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45" windowWidth="24600" windowHeight="12540"/>
  </bookViews>
  <sheets>
    <sheet name="沪深Ａ股20210916" sheetId="1" r:id="rId1"/>
  </sheets>
  <calcPr calcId="0"/>
</workbook>
</file>

<file path=xl/calcChain.xml><?xml version="1.0" encoding="utf-8"?>
<calcChain xmlns="http://schemas.openxmlformats.org/spreadsheetml/2006/main">
  <c r="A2" i="1"/>
  <c r="A3"/>
  <c r="A4"/>
  <c r="A5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45"/>
  <c r="A646"/>
  <c r="A647"/>
  <c r="A648"/>
  <c r="A649"/>
  <c r="A650"/>
  <c r="A651"/>
  <c r="A652"/>
  <c r="A653"/>
  <c r="A654"/>
  <c r="A655"/>
  <c r="A656"/>
  <c r="A657"/>
  <c r="A658"/>
  <c r="A659"/>
  <c r="A660"/>
  <c r="A661"/>
  <c r="A662"/>
  <c r="A663"/>
  <c r="A664"/>
  <c r="A665"/>
  <c r="A666"/>
  <c r="A667"/>
  <c r="A668"/>
  <c r="A669"/>
  <c r="A670"/>
  <c r="A671"/>
  <c r="A672"/>
  <c r="A673"/>
  <c r="A674"/>
  <c r="A675"/>
  <c r="A676"/>
  <c r="A677"/>
  <c r="A678"/>
  <c r="A679"/>
  <c r="A680"/>
  <c r="A681"/>
  <c r="A682"/>
  <c r="A683"/>
  <c r="A684"/>
  <c r="A685"/>
  <c r="A686"/>
  <c r="A687"/>
  <c r="A688"/>
  <c r="A689"/>
  <c r="A690"/>
  <c r="A691"/>
  <c r="A692"/>
  <c r="A693"/>
  <c r="A694"/>
  <c r="A695"/>
  <c r="A696"/>
  <c r="A697"/>
  <c r="A698"/>
  <c r="A699"/>
  <c r="A700"/>
  <c r="A701"/>
  <c r="A702"/>
  <c r="A703"/>
  <c r="A704"/>
  <c r="A705"/>
  <c r="A706"/>
  <c r="A707"/>
  <c r="A708"/>
  <c r="A709"/>
  <c r="A710"/>
  <c r="A711"/>
  <c r="A712"/>
  <c r="A713"/>
  <c r="A714"/>
  <c r="A715"/>
  <c r="A716"/>
  <c r="A717"/>
  <c r="A718"/>
  <c r="A719"/>
  <c r="A720"/>
  <c r="A721"/>
  <c r="A722"/>
  <c r="A723"/>
  <c r="A724"/>
  <c r="A725"/>
  <c r="A726"/>
  <c r="A727"/>
  <c r="A728"/>
  <c r="A729"/>
  <c r="A730"/>
  <c r="A731"/>
  <c r="A732"/>
  <c r="A733"/>
  <c r="A734"/>
  <c r="A735"/>
  <c r="A736"/>
  <c r="A737"/>
  <c r="A738"/>
  <c r="A739"/>
  <c r="A740"/>
  <c r="A741"/>
  <c r="A742"/>
  <c r="A743"/>
  <c r="A744"/>
  <c r="A745"/>
  <c r="A746"/>
  <c r="A747"/>
  <c r="A748"/>
  <c r="A749"/>
  <c r="A750"/>
  <c r="A751"/>
  <c r="A752"/>
  <c r="A753"/>
  <c r="A754"/>
  <c r="A755"/>
  <c r="A756"/>
  <c r="A757"/>
  <c r="A758"/>
  <c r="A759"/>
  <c r="A760"/>
  <c r="A761"/>
  <c r="A762"/>
  <c r="A763"/>
  <c r="A764"/>
  <c r="A765"/>
  <c r="A766"/>
  <c r="A767"/>
  <c r="A768"/>
  <c r="A769"/>
  <c r="A770"/>
  <c r="A771"/>
  <c r="A772"/>
  <c r="A773"/>
  <c r="A774"/>
  <c r="A775"/>
  <c r="A776"/>
  <c r="A777"/>
  <c r="A778"/>
  <c r="A779"/>
  <c r="A780"/>
  <c r="A781"/>
  <c r="A782"/>
  <c r="A783"/>
  <c r="A784"/>
  <c r="A785"/>
  <c r="A786"/>
  <c r="A787"/>
  <c r="A788"/>
  <c r="A789"/>
  <c r="A790"/>
  <c r="A791"/>
  <c r="A792"/>
  <c r="A793"/>
  <c r="A794"/>
  <c r="A795"/>
  <c r="A796"/>
  <c r="A797"/>
  <c r="A798"/>
  <c r="A799"/>
  <c r="A800"/>
  <c r="A801"/>
  <c r="A802"/>
  <c r="A803"/>
  <c r="A804"/>
  <c r="A805"/>
  <c r="A806"/>
  <c r="A807"/>
  <c r="A808"/>
  <c r="A809"/>
  <c r="A810"/>
  <c r="A811"/>
  <c r="A812"/>
  <c r="A813"/>
  <c r="A814"/>
  <c r="A815"/>
  <c r="A816"/>
  <c r="A817"/>
  <c r="A818"/>
  <c r="A819"/>
  <c r="A820"/>
  <c r="A821"/>
  <c r="A822"/>
  <c r="A823"/>
  <c r="A824"/>
  <c r="A825"/>
  <c r="A826"/>
  <c r="A827"/>
  <c r="A828"/>
  <c r="A829"/>
  <c r="A830"/>
  <c r="A831"/>
  <c r="A832"/>
  <c r="A833"/>
  <c r="A834"/>
  <c r="A835"/>
  <c r="A836"/>
  <c r="A837"/>
  <c r="A838"/>
  <c r="A839"/>
  <c r="A840"/>
  <c r="A841"/>
  <c r="A842"/>
  <c r="A843"/>
  <c r="A844"/>
  <c r="A845"/>
  <c r="A846"/>
  <c r="A847"/>
  <c r="A848"/>
  <c r="A849"/>
  <c r="A850"/>
  <c r="A851"/>
  <c r="A852"/>
  <c r="A853"/>
  <c r="A854"/>
  <c r="A855"/>
  <c r="A856"/>
  <c r="A857"/>
  <c r="A858"/>
  <c r="A859"/>
  <c r="A860"/>
  <c r="A861"/>
  <c r="A862"/>
  <c r="A863"/>
  <c r="A864"/>
  <c r="A865"/>
  <c r="A866"/>
  <c r="A867"/>
  <c r="A868"/>
  <c r="A869"/>
  <c r="A870"/>
  <c r="A871"/>
  <c r="A872"/>
  <c r="A873"/>
  <c r="A874"/>
  <c r="A875"/>
  <c r="A876"/>
  <c r="A877"/>
  <c r="A878"/>
  <c r="A879"/>
  <c r="A880"/>
  <c r="A881"/>
  <c r="A882"/>
  <c r="A883"/>
  <c r="A884"/>
  <c r="A885"/>
  <c r="A886"/>
  <c r="A887"/>
  <c r="A888"/>
  <c r="A889"/>
  <c r="A890"/>
  <c r="A891"/>
  <c r="A892"/>
  <c r="A893"/>
  <c r="A894"/>
  <c r="A895"/>
  <c r="A896"/>
  <c r="A897"/>
  <c r="A898"/>
  <c r="A899"/>
  <c r="A900"/>
  <c r="A901"/>
  <c r="A902"/>
  <c r="A903"/>
  <c r="A904"/>
  <c r="A905"/>
  <c r="A906"/>
  <c r="A907"/>
  <c r="A908"/>
  <c r="A909"/>
  <c r="A910"/>
  <c r="A911"/>
  <c r="A912"/>
  <c r="A913"/>
  <c r="A914"/>
  <c r="A915"/>
  <c r="A916"/>
  <c r="A917"/>
  <c r="A918"/>
  <c r="A919"/>
  <c r="A920"/>
  <c r="A921"/>
  <c r="A922"/>
  <c r="A923"/>
  <c r="A924"/>
  <c r="A925"/>
  <c r="A926"/>
  <c r="A927"/>
  <c r="A928"/>
  <c r="A929"/>
  <c r="A930"/>
  <c r="A931"/>
  <c r="A932"/>
  <c r="A933"/>
  <c r="A934"/>
  <c r="A935"/>
  <c r="A936"/>
  <c r="A937"/>
  <c r="A938"/>
  <c r="A939"/>
  <c r="A940"/>
  <c r="A941"/>
  <c r="A942"/>
  <c r="A943"/>
  <c r="A944"/>
  <c r="A945"/>
  <c r="A946"/>
  <c r="A947"/>
  <c r="A948"/>
  <c r="A949"/>
  <c r="A950"/>
  <c r="A951"/>
  <c r="A952"/>
  <c r="A953"/>
  <c r="A954"/>
  <c r="A955"/>
  <c r="A956"/>
  <c r="A957"/>
  <c r="A958"/>
  <c r="A959"/>
  <c r="A960"/>
  <c r="A961"/>
  <c r="A962"/>
  <c r="A963"/>
  <c r="A964"/>
  <c r="A965"/>
  <c r="A966"/>
  <c r="A967"/>
  <c r="A968"/>
  <c r="A969"/>
  <c r="A970"/>
  <c r="A971"/>
  <c r="A972"/>
  <c r="A973"/>
  <c r="A974"/>
  <c r="A975"/>
  <c r="A976"/>
  <c r="A977"/>
  <c r="A978"/>
  <c r="A979"/>
  <c r="A980"/>
  <c r="A981"/>
  <c r="A982"/>
  <c r="A983"/>
  <c r="A984"/>
  <c r="A985"/>
  <c r="A986"/>
  <c r="A987"/>
  <c r="A988"/>
  <c r="A989"/>
  <c r="A990"/>
  <c r="A991"/>
  <c r="A992"/>
  <c r="A993"/>
  <c r="A994"/>
  <c r="A995"/>
  <c r="A996"/>
  <c r="A997"/>
  <c r="A998"/>
  <c r="A999"/>
  <c r="A1000"/>
  <c r="A1001"/>
  <c r="A1002"/>
  <c r="A1003"/>
  <c r="A1004"/>
  <c r="A1005"/>
  <c r="A1006"/>
  <c r="A1007"/>
  <c r="A1008"/>
  <c r="A1009"/>
  <c r="A1010"/>
  <c r="A1011"/>
  <c r="A1012"/>
  <c r="A1013"/>
  <c r="A1014"/>
  <c r="A1015"/>
  <c r="A1016"/>
  <c r="A1017"/>
  <c r="A1018"/>
  <c r="A1019"/>
  <c r="A1020"/>
  <c r="A1021"/>
  <c r="A1022"/>
  <c r="A1023"/>
  <c r="A1024"/>
  <c r="A1025"/>
  <c r="A1026"/>
  <c r="A1027"/>
  <c r="A1028"/>
  <c r="A1029"/>
  <c r="A1030"/>
  <c r="A1031"/>
  <c r="A1032"/>
  <c r="A1033"/>
  <c r="A1034"/>
  <c r="A1035"/>
  <c r="A1036"/>
  <c r="A1037"/>
  <c r="A1038"/>
  <c r="A1039"/>
  <c r="A1040"/>
  <c r="A1041"/>
  <c r="A1042"/>
  <c r="A1043"/>
  <c r="A1044"/>
  <c r="A1045"/>
  <c r="A1046"/>
  <c r="A1047"/>
  <c r="A1048"/>
  <c r="A1049"/>
  <c r="A1050"/>
  <c r="A1051"/>
  <c r="A1052"/>
  <c r="A1053"/>
  <c r="A1054"/>
  <c r="A1055"/>
  <c r="A1056"/>
  <c r="A1057"/>
  <c r="A1058"/>
  <c r="A1059"/>
  <c r="A1060"/>
  <c r="A1061"/>
  <c r="A1062"/>
  <c r="A1063"/>
  <c r="A1064"/>
  <c r="A1065"/>
  <c r="A1066"/>
  <c r="A1067"/>
  <c r="A1068"/>
  <c r="A1069"/>
  <c r="A1070"/>
  <c r="A1071"/>
  <c r="A1072"/>
  <c r="A1073"/>
  <c r="A1074"/>
  <c r="A1075"/>
  <c r="A1076"/>
  <c r="A1077"/>
  <c r="A1078"/>
  <c r="A1079"/>
  <c r="A1080"/>
  <c r="A1081"/>
  <c r="A1082"/>
  <c r="A1083"/>
  <c r="A1084"/>
  <c r="A1085"/>
  <c r="A1086"/>
  <c r="A1087"/>
  <c r="A1088"/>
  <c r="A1089"/>
  <c r="A1090"/>
  <c r="A1091"/>
  <c r="A1092"/>
  <c r="A1093"/>
  <c r="A1094"/>
  <c r="A1095"/>
  <c r="A1096"/>
  <c r="A1097"/>
  <c r="A1098"/>
  <c r="A1099"/>
  <c r="A1100"/>
  <c r="A1101"/>
  <c r="A1102"/>
  <c r="A1103"/>
  <c r="A1104"/>
  <c r="A1105"/>
  <c r="A1106"/>
  <c r="A1107"/>
  <c r="A1108"/>
  <c r="A1109"/>
  <c r="A1110"/>
  <c r="A1111"/>
  <c r="A1112"/>
  <c r="A1113"/>
  <c r="A1114"/>
  <c r="A1115"/>
  <c r="A1116"/>
  <c r="A1117"/>
  <c r="A1118"/>
  <c r="A1119"/>
  <c r="A1120"/>
  <c r="A1121"/>
  <c r="A1122"/>
  <c r="A1123"/>
  <c r="A1124"/>
  <c r="A1125"/>
  <c r="A1126"/>
  <c r="A1127"/>
  <c r="A1128"/>
  <c r="A1129"/>
  <c r="A1130"/>
  <c r="A1131"/>
  <c r="A1132"/>
  <c r="A1133"/>
  <c r="A1134"/>
  <c r="A1135"/>
  <c r="A1136"/>
  <c r="A1137"/>
  <c r="A1138"/>
  <c r="A1139"/>
  <c r="A1140"/>
  <c r="A1141"/>
  <c r="A1142"/>
  <c r="A1143"/>
  <c r="A1144"/>
  <c r="A1145"/>
  <c r="A1146"/>
  <c r="A1147"/>
  <c r="A1148"/>
  <c r="A1149"/>
  <c r="A1150"/>
  <c r="A1151"/>
  <c r="A1152"/>
  <c r="A1153"/>
  <c r="A1154"/>
  <c r="A1155"/>
  <c r="A1156"/>
  <c r="A1157"/>
  <c r="A1158"/>
  <c r="A1159"/>
  <c r="A1160"/>
  <c r="A1161"/>
  <c r="A1162"/>
  <c r="A1163"/>
  <c r="A1164"/>
  <c r="A1165"/>
  <c r="A1166"/>
  <c r="A1167"/>
  <c r="A1168"/>
  <c r="A1169"/>
  <c r="A1170"/>
  <c r="A1171"/>
  <c r="A1172"/>
  <c r="A1173"/>
  <c r="A1174"/>
  <c r="A1175"/>
  <c r="A1176"/>
  <c r="A1177"/>
  <c r="A1178"/>
  <c r="A1179"/>
  <c r="A1180"/>
  <c r="A1181"/>
  <c r="A1182"/>
  <c r="A1183"/>
  <c r="A1184"/>
  <c r="A1185"/>
  <c r="A1186"/>
  <c r="A1187"/>
  <c r="A1188"/>
  <c r="A1189"/>
  <c r="A1190"/>
  <c r="A1191"/>
  <c r="A1192"/>
  <c r="A1193"/>
  <c r="A1194"/>
  <c r="A1195"/>
  <c r="A1196"/>
  <c r="A1197"/>
  <c r="A1198"/>
  <c r="A1199"/>
  <c r="A1200"/>
  <c r="A1201"/>
  <c r="A1202"/>
  <c r="A1203"/>
  <c r="A1204"/>
  <c r="A1205"/>
  <c r="A1206"/>
  <c r="A1207"/>
  <c r="A1208"/>
  <c r="A1209"/>
  <c r="A1210"/>
  <c r="A1211"/>
  <c r="A1212"/>
  <c r="A1213"/>
  <c r="A1214"/>
  <c r="A1215"/>
  <c r="A1216"/>
  <c r="A1217"/>
  <c r="A1218"/>
  <c r="A1219"/>
  <c r="A1220"/>
  <c r="A1221"/>
  <c r="A1222"/>
  <c r="A1223"/>
  <c r="A1224"/>
  <c r="A1225"/>
  <c r="A1226"/>
  <c r="A1227"/>
  <c r="A1228"/>
  <c r="A1229"/>
  <c r="A1230"/>
  <c r="A1231"/>
  <c r="A1232"/>
  <c r="A1233"/>
  <c r="A1234"/>
  <c r="A1235"/>
  <c r="A1236"/>
  <c r="A1237"/>
  <c r="A1238"/>
  <c r="A1239"/>
  <c r="A1240"/>
  <c r="A1241"/>
  <c r="A1242"/>
  <c r="A1243"/>
  <c r="A1244"/>
  <c r="A1245"/>
  <c r="A1246"/>
  <c r="A1247"/>
  <c r="A1248"/>
  <c r="A1249"/>
  <c r="A1250"/>
  <c r="A1251"/>
  <c r="A1252"/>
  <c r="A1253"/>
  <c r="A1254"/>
  <c r="A1255"/>
  <c r="A1256"/>
  <c r="A1257"/>
  <c r="A1258"/>
  <c r="A1259"/>
  <c r="A1260"/>
  <c r="A1261"/>
  <c r="A1262"/>
  <c r="A1263"/>
  <c r="A1264"/>
  <c r="A1265"/>
  <c r="A1266"/>
  <c r="A1267"/>
  <c r="A1268"/>
  <c r="A1269"/>
  <c r="A1270"/>
  <c r="A1271"/>
  <c r="A1272"/>
  <c r="A1273"/>
  <c r="A1274"/>
  <c r="A1275"/>
  <c r="A1276"/>
  <c r="A1277"/>
  <c r="A1278"/>
  <c r="A1279"/>
  <c r="A1280"/>
  <c r="A1281"/>
  <c r="A1282"/>
  <c r="A1283"/>
  <c r="A1284"/>
  <c r="A1285"/>
  <c r="A1286"/>
  <c r="A1287"/>
  <c r="A1288"/>
  <c r="A1289"/>
  <c r="A1290"/>
  <c r="A1291"/>
  <c r="A1292"/>
  <c r="A1293"/>
  <c r="A1294"/>
  <c r="A1295"/>
  <c r="A1296"/>
  <c r="A1297"/>
  <c r="A1298"/>
  <c r="A1299"/>
  <c r="A1300"/>
  <c r="A1301"/>
  <c r="A1302"/>
  <c r="A1303"/>
  <c r="A1304"/>
  <c r="A1305"/>
  <c r="A1306"/>
  <c r="A1307"/>
  <c r="A1308"/>
  <c r="A1309"/>
  <c r="A1310"/>
  <c r="A1311"/>
  <c r="A1312"/>
  <c r="A1313"/>
  <c r="A1314"/>
  <c r="A1315"/>
  <c r="A1316"/>
  <c r="A1317"/>
  <c r="A1318"/>
  <c r="A1319"/>
  <c r="A1320"/>
  <c r="A1321"/>
  <c r="A1322"/>
  <c r="A1323"/>
  <c r="A1324"/>
  <c r="A1325"/>
  <c r="A1326"/>
  <c r="A1327"/>
  <c r="A1328"/>
  <c r="A1329"/>
  <c r="A1330"/>
  <c r="A1331"/>
  <c r="A1332"/>
  <c r="A1333"/>
  <c r="A1334"/>
  <c r="A1335"/>
  <c r="A1336"/>
  <c r="A1337"/>
  <c r="A1338"/>
  <c r="A1339"/>
  <c r="A1340"/>
  <c r="A1341"/>
  <c r="A1342"/>
  <c r="A1343"/>
  <c r="A1344"/>
  <c r="A1345"/>
  <c r="A1346"/>
  <c r="A1347"/>
  <c r="A1348"/>
  <c r="A1349"/>
  <c r="A1350"/>
  <c r="A1351"/>
  <c r="A1352"/>
  <c r="A1353"/>
  <c r="A1354"/>
  <c r="A1355"/>
  <c r="A1356"/>
  <c r="A1357"/>
  <c r="A1358"/>
  <c r="A1359"/>
  <c r="A1360"/>
  <c r="A1361"/>
  <c r="A1362"/>
  <c r="A1363"/>
  <c r="A1364"/>
  <c r="A1365"/>
  <c r="A1366"/>
  <c r="A1367"/>
  <c r="A1368"/>
  <c r="A1369"/>
  <c r="A1370"/>
  <c r="A1371"/>
  <c r="A1372"/>
  <c r="A1373"/>
  <c r="A1374"/>
  <c r="A1375"/>
  <c r="A1376"/>
  <c r="A1377"/>
  <c r="A1378"/>
  <c r="A1379"/>
  <c r="A1380"/>
  <c r="A1381"/>
  <c r="A1382"/>
  <c r="A1383"/>
  <c r="A1384"/>
  <c r="A1385"/>
  <c r="A1386"/>
  <c r="A1387"/>
  <c r="A1388"/>
  <c r="A1389"/>
  <c r="A1390"/>
  <c r="A1391"/>
  <c r="A1392"/>
  <c r="A1393"/>
  <c r="A1394"/>
  <c r="A1395"/>
  <c r="A1396"/>
  <c r="A1397"/>
  <c r="A1398"/>
  <c r="A1399"/>
  <c r="A1400"/>
  <c r="A1401"/>
  <c r="A1402"/>
  <c r="A1403"/>
  <c r="A1404"/>
  <c r="A1405"/>
  <c r="A1406"/>
  <c r="A1407"/>
  <c r="A1408"/>
  <c r="A1409"/>
  <c r="A1410"/>
  <c r="A1411"/>
  <c r="A1412"/>
  <c r="A1413"/>
  <c r="A1414"/>
  <c r="A1415"/>
  <c r="A1416"/>
  <c r="A1417"/>
  <c r="A1418"/>
  <c r="A1419"/>
  <c r="A1420"/>
  <c r="A1421"/>
  <c r="A1422"/>
  <c r="A1423"/>
  <c r="A1424"/>
  <c r="A1425"/>
  <c r="A1426"/>
  <c r="A1427"/>
  <c r="A1428"/>
  <c r="A1429"/>
  <c r="A1430"/>
  <c r="A1431"/>
  <c r="A1432"/>
  <c r="A1433"/>
  <c r="A1434"/>
  <c r="A1435"/>
  <c r="A1436"/>
  <c r="A1437"/>
  <c r="A1438"/>
  <c r="A1439"/>
  <c r="A1440"/>
  <c r="A1441"/>
  <c r="A1442"/>
  <c r="A1443"/>
  <c r="A1444"/>
  <c r="A1445"/>
  <c r="A1446"/>
  <c r="A1447"/>
  <c r="A1448"/>
  <c r="A1449"/>
  <c r="A1450"/>
  <c r="A1451"/>
  <c r="A1452"/>
  <c r="A1453"/>
  <c r="A1454"/>
  <c r="A1455"/>
  <c r="A1456"/>
  <c r="A1457"/>
  <c r="A1458"/>
  <c r="A1459"/>
  <c r="A1460"/>
  <c r="A1461"/>
  <c r="A1462"/>
  <c r="A1463"/>
  <c r="A1464"/>
  <c r="A1465"/>
  <c r="A1466"/>
  <c r="A1467"/>
  <c r="A1468"/>
  <c r="A1469"/>
  <c r="A1470"/>
  <c r="A1471"/>
  <c r="A1472"/>
  <c r="A1473"/>
  <c r="A1474"/>
  <c r="A1475"/>
  <c r="A1476"/>
  <c r="A1477"/>
  <c r="A1478"/>
  <c r="A1479"/>
  <c r="A1480"/>
  <c r="A1481"/>
  <c r="A1482"/>
  <c r="A1483"/>
  <c r="A1484"/>
  <c r="A1485"/>
  <c r="A1486"/>
  <c r="A1487"/>
  <c r="A1488"/>
  <c r="A1489"/>
  <c r="A1490"/>
  <c r="A1491"/>
  <c r="A1492"/>
  <c r="A1493"/>
  <c r="A1494"/>
  <c r="A1495"/>
  <c r="A1496"/>
  <c r="A1497"/>
  <c r="A1498"/>
  <c r="A1499"/>
  <c r="A1500"/>
  <c r="A1501"/>
  <c r="A1502"/>
  <c r="A1503"/>
  <c r="A1504"/>
  <c r="A1505"/>
  <c r="A1506"/>
  <c r="A1507"/>
  <c r="A1508"/>
  <c r="A1509"/>
  <c r="A1510"/>
  <c r="A1511"/>
  <c r="A1512"/>
  <c r="A1513"/>
  <c r="A1514"/>
  <c r="A1515"/>
  <c r="A1516"/>
  <c r="A1517"/>
  <c r="A1518"/>
  <c r="A1519"/>
  <c r="A1520"/>
  <c r="A1521"/>
  <c r="A1522"/>
  <c r="A1523"/>
  <c r="A1524"/>
  <c r="A1525"/>
  <c r="A1526"/>
  <c r="A1527"/>
  <c r="A1528"/>
  <c r="A1529"/>
  <c r="A1530"/>
  <c r="A1531"/>
  <c r="A1532"/>
  <c r="A1533"/>
  <c r="A1534"/>
  <c r="A1535"/>
  <c r="A1536"/>
  <c r="A1537"/>
  <c r="A1538"/>
  <c r="A1539"/>
  <c r="A1540"/>
  <c r="A1541"/>
  <c r="A1542"/>
  <c r="A1543"/>
  <c r="A1544"/>
  <c r="A1545"/>
  <c r="A1546"/>
  <c r="A1547"/>
  <c r="A1548"/>
  <c r="A1549"/>
  <c r="A1550"/>
  <c r="A1551"/>
  <c r="A1552"/>
  <c r="A1553"/>
  <c r="A1554"/>
  <c r="A1555"/>
  <c r="A1556"/>
  <c r="A1557"/>
  <c r="A1558"/>
  <c r="A1559"/>
  <c r="A1560"/>
  <c r="A1561"/>
  <c r="A1562"/>
  <c r="A1563"/>
  <c r="A1564"/>
  <c r="A1565"/>
  <c r="A1566"/>
  <c r="A1567"/>
  <c r="A1568"/>
  <c r="A1569"/>
  <c r="A1570"/>
  <c r="A1571"/>
  <c r="A1572"/>
  <c r="A1573"/>
  <c r="A1574"/>
  <c r="A1575"/>
  <c r="A1576"/>
  <c r="A1577"/>
  <c r="A1578"/>
  <c r="A1579"/>
  <c r="A1580"/>
  <c r="A1581"/>
  <c r="A1582"/>
  <c r="A1583"/>
  <c r="A1584"/>
  <c r="A1585"/>
  <c r="A1586"/>
  <c r="A1587"/>
  <c r="A1588"/>
  <c r="A1589"/>
  <c r="A1590"/>
  <c r="A1591"/>
  <c r="A1592"/>
  <c r="A1593"/>
  <c r="A1594"/>
  <c r="A1595"/>
  <c r="A1596"/>
  <c r="A1597"/>
  <c r="A1598"/>
  <c r="A1599"/>
  <c r="A1600"/>
  <c r="A1601"/>
  <c r="A1602"/>
  <c r="A1603"/>
  <c r="A1604"/>
  <c r="A1605"/>
  <c r="A1606"/>
  <c r="A1607"/>
  <c r="A1608"/>
  <c r="A1609"/>
  <c r="A1610"/>
  <c r="A1611"/>
  <c r="A1612"/>
  <c r="A1613"/>
  <c r="A1614"/>
  <c r="A1615"/>
  <c r="A1616"/>
  <c r="A1617"/>
  <c r="A1618"/>
  <c r="A1619"/>
  <c r="A1620"/>
  <c r="A1621"/>
  <c r="A1622"/>
  <c r="A1623"/>
  <c r="A1624"/>
  <c r="A1625"/>
  <c r="A1626"/>
  <c r="A1627"/>
  <c r="A1628"/>
  <c r="A1629"/>
  <c r="A1630"/>
  <c r="A1631"/>
  <c r="A1632"/>
  <c r="A1633"/>
  <c r="A1634"/>
  <c r="A1635"/>
  <c r="A1636"/>
  <c r="A1637"/>
  <c r="A1638"/>
  <c r="A1639"/>
  <c r="A1640"/>
  <c r="A1641"/>
  <c r="A1642"/>
  <c r="A1643"/>
  <c r="A1644"/>
  <c r="A1645"/>
  <c r="A1646"/>
  <c r="A1647"/>
  <c r="A1648"/>
  <c r="A1649"/>
  <c r="A1650"/>
  <c r="A1651"/>
  <c r="A1652"/>
  <c r="A1653"/>
  <c r="A1654"/>
  <c r="A1655"/>
  <c r="A1656"/>
  <c r="A1657"/>
  <c r="A1658"/>
  <c r="A1659"/>
  <c r="A1660"/>
  <c r="A1661"/>
  <c r="A1662"/>
  <c r="A1663"/>
  <c r="A1664"/>
  <c r="A1665"/>
  <c r="A1666"/>
  <c r="A1667"/>
  <c r="A1668"/>
  <c r="A1669"/>
  <c r="A1670"/>
  <c r="A1671"/>
  <c r="A1672"/>
  <c r="A1673"/>
  <c r="A1674"/>
  <c r="A1675"/>
  <c r="A1676"/>
  <c r="A1677"/>
  <c r="A1678"/>
  <c r="A1679"/>
  <c r="A1680"/>
  <c r="A1681"/>
  <c r="A1682"/>
  <c r="A1683"/>
  <c r="A1684"/>
  <c r="A1685"/>
  <c r="A1686"/>
  <c r="A1687"/>
  <c r="A1688"/>
  <c r="A1689"/>
  <c r="A1690"/>
  <c r="A1691"/>
  <c r="A1692"/>
  <c r="A1693"/>
  <c r="A1694"/>
  <c r="A1695"/>
  <c r="A1696"/>
  <c r="A1697"/>
  <c r="A1698"/>
  <c r="A1699"/>
  <c r="A1700"/>
  <c r="A1701"/>
  <c r="A1702"/>
  <c r="A1703"/>
  <c r="A1704"/>
  <c r="A1705"/>
  <c r="A1706"/>
  <c r="A1707"/>
  <c r="A1708"/>
  <c r="A1709"/>
  <c r="A1710"/>
  <c r="A1711"/>
  <c r="A1712"/>
  <c r="A1713"/>
  <c r="A1714"/>
  <c r="A1715"/>
  <c r="A1716"/>
  <c r="A1717"/>
  <c r="A1718"/>
  <c r="A1719"/>
  <c r="A1720"/>
  <c r="A1721"/>
  <c r="A1722"/>
  <c r="A1723"/>
  <c r="A1724"/>
  <c r="A1725"/>
  <c r="A1726"/>
  <c r="A1727"/>
  <c r="A1728"/>
  <c r="A1729"/>
  <c r="A1730"/>
  <c r="A1731"/>
  <c r="A1732"/>
  <c r="A1733"/>
  <c r="A1734"/>
  <c r="A1735"/>
  <c r="A1736"/>
  <c r="A1737"/>
  <c r="A1738"/>
  <c r="A1739"/>
  <c r="A1740"/>
  <c r="A1741"/>
  <c r="A1742"/>
  <c r="A1743"/>
  <c r="A1744"/>
  <c r="A1745"/>
  <c r="A1746"/>
  <c r="A1747"/>
  <c r="A1748"/>
  <c r="A1749"/>
  <c r="A1750"/>
  <c r="A1751"/>
  <c r="A1752"/>
  <c r="A1753"/>
  <c r="A1754"/>
  <c r="A1755"/>
  <c r="A1756"/>
  <c r="A1757"/>
  <c r="A1758"/>
  <c r="A1759"/>
  <c r="A1760"/>
  <c r="A1761"/>
  <c r="A1762"/>
  <c r="A1763"/>
  <c r="A1764"/>
  <c r="A1765"/>
  <c r="A1766"/>
  <c r="A1767"/>
  <c r="A1768"/>
  <c r="A1769"/>
  <c r="A1770"/>
  <c r="A1771"/>
  <c r="A1772"/>
  <c r="A1773"/>
  <c r="A1774"/>
  <c r="A1775"/>
  <c r="A1776"/>
  <c r="A1777"/>
  <c r="A1778"/>
  <c r="A1779"/>
  <c r="A1780"/>
  <c r="A1781"/>
  <c r="A1782"/>
  <c r="A1783"/>
  <c r="A1784"/>
  <c r="A1785"/>
  <c r="A1786"/>
  <c r="A1787"/>
  <c r="A1788"/>
  <c r="A1789"/>
  <c r="A1790"/>
  <c r="A1791"/>
  <c r="A1792"/>
  <c r="A1793"/>
  <c r="A1794"/>
  <c r="A1795"/>
  <c r="A1796"/>
  <c r="A1797"/>
  <c r="A1798"/>
  <c r="A1799"/>
  <c r="A1800"/>
  <c r="A1801"/>
  <c r="A1802"/>
  <c r="A1803"/>
  <c r="A1804"/>
  <c r="A1805"/>
  <c r="A1806"/>
  <c r="A1807"/>
  <c r="A1808"/>
  <c r="A1809"/>
  <c r="A1810"/>
  <c r="A1811"/>
  <c r="A1812"/>
  <c r="A1813"/>
  <c r="A1814"/>
  <c r="A1815"/>
  <c r="A1816"/>
  <c r="A1817"/>
  <c r="A1818"/>
  <c r="A1819"/>
  <c r="A1820"/>
  <c r="A1821"/>
  <c r="A1822"/>
  <c r="A1823"/>
  <c r="A1824"/>
  <c r="A1825"/>
  <c r="A1826"/>
  <c r="A1827"/>
  <c r="A1828"/>
  <c r="A1829"/>
  <c r="A1830"/>
  <c r="A1831"/>
  <c r="A1832"/>
  <c r="A1833"/>
  <c r="A1834"/>
  <c r="A1835"/>
  <c r="A1836"/>
  <c r="A1837"/>
  <c r="A1838"/>
  <c r="A1839"/>
  <c r="A1840"/>
  <c r="A1841"/>
  <c r="A1842"/>
  <c r="A1843"/>
  <c r="A1844"/>
  <c r="A1845"/>
  <c r="A1846"/>
  <c r="A1847"/>
  <c r="A1848"/>
  <c r="A1849"/>
  <c r="A1850"/>
  <c r="A1851"/>
  <c r="A1852"/>
  <c r="A1853"/>
  <c r="A1854"/>
  <c r="A1855"/>
  <c r="A1856"/>
  <c r="A1857"/>
  <c r="A1858"/>
  <c r="A1859"/>
  <c r="A1860"/>
  <c r="A1861"/>
  <c r="A1862"/>
  <c r="A1863"/>
  <c r="A1864"/>
  <c r="A1865"/>
  <c r="A1866"/>
  <c r="A1867"/>
  <c r="A1868"/>
  <c r="A1869"/>
  <c r="A1870"/>
  <c r="A1871"/>
  <c r="A1872"/>
  <c r="A1873"/>
  <c r="A1874"/>
  <c r="A1875"/>
  <c r="A1876"/>
  <c r="A1877"/>
  <c r="A1878"/>
  <c r="A1879"/>
  <c r="A1880"/>
  <c r="A1881"/>
  <c r="A1882"/>
  <c r="A1883"/>
  <c r="A1884"/>
  <c r="A1885"/>
  <c r="A1886"/>
  <c r="A1887"/>
  <c r="A1888"/>
  <c r="A1889"/>
  <c r="A1890"/>
  <c r="A1891"/>
  <c r="A1892"/>
  <c r="A1893"/>
  <c r="A1894"/>
  <c r="A1895"/>
  <c r="A1896"/>
  <c r="A1897"/>
  <c r="A1898"/>
  <c r="A1899"/>
  <c r="A1900"/>
  <c r="A1901"/>
  <c r="A1902"/>
  <c r="A1903"/>
  <c r="A1904"/>
  <c r="A1905"/>
  <c r="A1906"/>
  <c r="A1907"/>
  <c r="A1908"/>
  <c r="A1909"/>
  <c r="A1910"/>
  <c r="A1911"/>
  <c r="A1912"/>
  <c r="A1913"/>
  <c r="A1914"/>
  <c r="A1915"/>
  <c r="A1916"/>
  <c r="A1917"/>
  <c r="A1918"/>
  <c r="A1919"/>
  <c r="A1920"/>
  <c r="A1921"/>
  <c r="A1922"/>
  <c r="A1923"/>
  <c r="A1924"/>
  <c r="A1925"/>
  <c r="A1926"/>
  <c r="A1927"/>
  <c r="A1928"/>
  <c r="A1929"/>
  <c r="A1930"/>
  <c r="A1931"/>
  <c r="A1932"/>
  <c r="A1933"/>
  <c r="A1934"/>
  <c r="A1935"/>
  <c r="A1936"/>
  <c r="A1937"/>
  <c r="A1938"/>
  <c r="A1939"/>
  <c r="A1940"/>
  <c r="A1941"/>
  <c r="A1942"/>
  <c r="A1943"/>
  <c r="A1944"/>
  <c r="A1945"/>
  <c r="A1946"/>
  <c r="A1947"/>
  <c r="A1948"/>
  <c r="A1949"/>
  <c r="A1950"/>
  <c r="A1951"/>
  <c r="A1952"/>
  <c r="A1953"/>
  <c r="A1954"/>
  <c r="A1955"/>
  <c r="A1956"/>
  <c r="A1957"/>
  <c r="A1958"/>
  <c r="A1959"/>
  <c r="A1960"/>
  <c r="A1961"/>
  <c r="A1962"/>
  <c r="A1963"/>
  <c r="A1964"/>
  <c r="A1965"/>
  <c r="A1966"/>
  <c r="A1967"/>
  <c r="A1968"/>
  <c r="A1969"/>
  <c r="A1970"/>
  <c r="A1971"/>
  <c r="A1972"/>
  <c r="A1973"/>
  <c r="A1974"/>
  <c r="A1975"/>
  <c r="A1976"/>
  <c r="A1977"/>
  <c r="A1978"/>
  <c r="A1979"/>
  <c r="A1980"/>
  <c r="A1981"/>
  <c r="A1982"/>
  <c r="A1983"/>
  <c r="A1984"/>
  <c r="A1985"/>
  <c r="A1986"/>
  <c r="A1987"/>
  <c r="A1988"/>
  <c r="A1989"/>
  <c r="A1990"/>
  <c r="A1991"/>
  <c r="A1992"/>
  <c r="A1993"/>
  <c r="A1994"/>
  <c r="A1995"/>
  <c r="A1996"/>
  <c r="A1997"/>
  <c r="A1998"/>
  <c r="A1999"/>
  <c r="A2000"/>
  <c r="A2001"/>
  <c r="A2002"/>
  <c r="A2003"/>
  <c r="A2004"/>
  <c r="A2005"/>
  <c r="A2006"/>
  <c r="A2007"/>
  <c r="A2008"/>
  <c r="A2009"/>
  <c r="A2010"/>
  <c r="A2011"/>
  <c r="A2012"/>
  <c r="A2013"/>
  <c r="A2014"/>
  <c r="A2015"/>
  <c r="A2016"/>
  <c r="A2017"/>
  <c r="A2018"/>
  <c r="A2019"/>
  <c r="A2020"/>
  <c r="A2021"/>
  <c r="A2022"/>
  <c r="A2023"/>
  <c r="A2024"/>
  <c r="A2025"/>
  <c r="A2026"/>
  <c r="A2027"/>
  <c r="A2028"/>
  <c r="A2029"/>
  <c r="A2030"/>
  <c r="A2031"/>
  <c r="A2032"/>
  <c r="A2033"/>
  <c r="A2034"/>
  <c r="A2035"/>
  <c r="A2036"/>
  <c r="A2037"/>
  <c r="A2038"/>
  <c r="A2039"/>
  <c r="A2040"/>
  <c r="A2041"/>
  <c r="A2042"/>
  <c r="A2043"/>
  <c r="A2044"/>
  <c r="A2045"/>
  <c r="A2046"/>
  <c r="A2047"/>
  <c r="A2048"/>
  <c r="A2049"/>
  <c r="A2050"/>
  <c r="A2051"/>
  <c r="A2052"/>
  <c r="A2053"/>
  <c r="A2054"/>
  <c r="A2055"/>
  <c r="A2056"/>
  <c r="A2057"/>
  <c r="A2058"/>
  <c r="A2059"/>
  <c r="A2060"/>
  <c r="A2061"/>
  <c r="A2062"/>
  <c r="A2063"/>
  <c r="A2064"/>
  <c r="A2065"/>
  <c r="A2066"/>
  <c r="A2067"/>
  <c r="A2068"/>
  <c r="A2069"/>
  <c r="A2070"/>
  <c r="A2071"/>
  <c r="A2072"/>
  <c r="A2073"/>
  <c r="A2074"/>
  <c r="A2075"/>
  <c r="A2076"/>
  <c r="A2077"/>
  <c r="A2078"/>
  <c r="A2079"/>
  <c r="A2080"/>
  <c r="A2081"/>
  <c r="A2082"/>
  <c r="A2083"/>
  <c r="A2084"/>
  <c r="A2085"/>
  <c r="A2086"/>
  <c r="A2087"/>
  <c r="A2088"/>
  <c r="A2089"/>
  <c r="A2090"/>
  <c r="A2091"/>
  <c r="A2092"/>
  <c r="A2093"/>
  <c r="A2094"/>
  <c r="A2095"/>
  <c r="A2096"/>
  <c r="A2097"/>
  <c r="A2098"/>
  <c r="A2099"/>
  <c r="A2100"/>
  <c r="A2101"/>
  <c r="A2102"/>
  <c r="A2103"/>
  <c r="A2104"/>
  <c r="A2105"/>
  <c r="A2106"/>
  <c r="A2107"/>
  <c r="A2108"/>
  <c r="A2109"/>
  <c r="A2110"/>
  <c r="A2111"/>
  <c r="A2112"/>
  <c r="A2113"/>
  <c r="A2114"/>
  <c r="A2115"/>
  <c r="A2116"/>
  <c r="A2117"/>
  <c r="A2118"/>
  <c r="A2119"/>
  <c r="A2120"/>
  <c r="A2121"/>
  <c r="A2122"/>
  <c r="A2123"/>
  <c r="A2124"/>
  <c r="A2125"/>
  <c r="A2126"/>
  <c r="A2127"/>
  <c r="A2128"/>
  <c r="A2129"/>
  <c r="A2130"/>
  <c r="A2131"/>
  <c r="A2132"/>
  <c r="A2133"/>
  <c r="A2134"/>
  <c r="A2135"/>
  <c r="A2136"/>
  <c r="A2137"/>
  <c r="A2138"/>
  <c r="A2139"/>
  <c r="A2140"/>
  <c r="A2141"/>
  <c r="A2142"/>
  <c r="A2143"/>
  <c r="A2144"/>
  <c r="A2145"/>
  <c r="A2146"/>
  <c r="A2147"/>
  <c r="A2148"/>
  <c r="A2149"/>
  <c r="A2150"/>
  <c r="A2151"/>
  <c r="A2152"/>
  <c r="A2153"/>
  <c r="A2154"/>
  <c r="A2155"/>
  <c r="A2156"/>
  <c r="A2157"/>
  <c r="A2158"/>
  <c r="A2159"/>
  <c r="A2160"/>
  <c r="A2161"/>
  <c r="A2162"/>
  <c r="A2163"/>
  <c r="A2164"/>
  <c r="A2165"/>
  <c r="A2166"/>
  <c r="A2167"/>
  <c r="A2168"/>
  <c r="A2169"/>
  <c r="A2170"/>
  <c r="A2171"/>
  <c r="A2172"/>
  <c r="A2173"/>
  <c r="A2174"/>
  <c r="A2175"/>
  <c r="A2176"/>
  <c r="A2177"/>
  <c r="A2178"/>
  <c r="A2179"/>
  <c r="A2180"/>
  <c r="A2181"/>
  <c r="A2182"/>
  <c r="A2183"/>
  <c r="A2184"/>
  <c r="A2185"/>
  <c r="A2186"/>
  <c r="A2187"/>
  <c r="A2188"/>
  <c r="A2189"/>
  <c r="A2190"/>
  <c r="A2191"/>
  <c r="A2192"/>
  <c r="A2193"/>
  <c r="A2194"/>
  <c r="A2195"/>
  <c r="A2196"/>
  <c r="A2197"/>
  <c r="A2198"/>
  <c r="A2199"/>
  <c r="A2200"/>
  <c r="A2201"/>
  <c r="A2202"/>
  <c r="A2203"/>
  <c r="A2204"/>
  <c r="A2205"/>
  <c r="A2206"/>
  <c r="A2207"/>
  <c r="A2208"/>
  <c r="A2209"/>
  <c r="A2210"/>
  <c r="A2211"/>
  <c r="A2212"/>
  <c r="A2213"/>
  <c r="A2214"/>
  <c r="A2215"/>
  <c r="A2216"/>
  <c r="A2217"/>
  <c r="A2218"/>
  <c r="A2219"/>
  <c r="A2220"/>
  <c r="A2221"/>
  <c r="A2222"/>
  <c r="A2223"/>
  <c r="A2224"/>
  <c r="A2225"/>
  <c r="A2226"/>
  <c r="A2227"/>
  <c r="A2228"/>
  <c r="A2229"/>
  <c r="A2230"/>
  <c r="A2231"/>
  <c r="A2232"/>
  <c r="A2233"/>
  <c r="A2234"/>
  <c r="A2235"/>
  <c r="A2236"/>
  <c r="A2237"/>
  <c r="A2238"/>
  <c r="A2239"/>
  <c r="A2240"/>
  <c r="A2241"/>
  <c r="A2242"/>
  <c r="A2243"/>
  <c r="A2244"/>
  <c r="A2245"/>
  <c r="A2246"/>
  <c r="A2247"/>
  <c r="A2248"/>
  <c r="A2249"/>
  <c r="A2250"/>
  <c r="A2251"/>
  <c r="A2252"/>
  <c r="A2253"/>
  <c r="A2254"/>
  <c r="A2255"/>
  <c r="A2256"/>
  <c r="A2257"/>
  <c r="A2258"/>
  <c r="A2259"/>
  <c r="A2260"/>
  <c r="A2261"/>
  <c r="A2262"/>
  <c r="A2263"/>
  <c r="A2264"/>
  <c r="A2265"/>
  <c r="A2266"/>
  <c r="A2267"/>
  <c r="A2268"/>
  <c r="A2269"/>
  <c r="A2270"/>
  <c r="A2271"/>
  <c r="A2272"/>
  <c r="A2273"/>
  <c r="A2274"/>
  <c r="A2275"/>
  <c r="A2276"/>
  <c r="A2277"/>
  <c r="A2278"/>
  <c r="A2279"/>
  <c r="A2280"/>
  <c r="A2281"/>
  <c r="A2282"/>
  <c r="A2283"/>
  <c r="A2284"/>
  <c r="A2285"/>
  <c r="A2286"/>
  <c r="A2287"/>
  <c r="A2288"/>
  <c r="A2289"/>
  <c r="A2290"/>
  <c r="A2291"/>
  <c r="A2292"/>
  <c r="A2293"/>
  <c r="A2294"/>
  <c r="A2295"/>
  <c r="A2296"/>
  <c r="A2297"/>
  <c r="A2298"/>
  <c r="A2299"/>
  <c r="A2300"/>
  <c r="A2301"/>
  <c r="A2302"/>
  <c r="A2303"/>
  <c r="A2304"/>
  <c r="A2305"/>
  <c r="A2306"/>
  <c r="A2307"/>
  <c r="A2308"/>
  <c r="A2309"/>
  <c r="A2310"/>
  <c r="A2311"/>
  <c r="A2312"/>
  <c r="A2313"/>
  <c r="A2314"/>
  <c r="A2315"/>
  <c r="A2316"/>
  <c r="A2317"/>
  <c r="A2318"/>
  <c r="A2319"/>
  <c r="A2320"/>
  <c r="A2321"/>
  <c r="A2322"/>
  <c r="A2323"/>
  <c r="A2324"/>
  <c r="A2325"/>
  <c r="A2326"/>
  <c r="A2327"/>
  <c r="A2328"/>
  <c r="A2329"/>
  <c r="A2330"/>
  <c r="A2331"/>
  <c r="A2332"/>
  <c r="A2333"/>
  <c r="A2334"/>
  <c r="A2335"/>
  <c r="A2336"/>
  <c r="A2337"/>
  <c r="A2338"/>
  <c r="A2339"/>
  <c r="A2340"/>
  <c r="A2341"/>
  <c r="A2342"/>
  <c r="A2343"/>
  <c r="A2344"/>
  <c r="A2345"/>
  <c r="A2346"/>
  <c r="A2347"/>
  <c r="A2348"/>
  <c r="A2349"/>
  <c r="A2350"/>
  <c r="A2351"/>
  <c r="A2352"/>
  <c r="A2353"/>
  <c r="A2354"/>
  <c r="A2355"/>
  <c r="A2356"/>
  <c r="A2357"/>
  <c r="A2358"/>
  <c r="A2359"/>
  <c r="A2360"/>
  <c r="A2361"/>
  <c r="A2362"/>
  <c r="A2363"/>
  <c r="A2364"/>
  <c r="A2365"/>
  <c r="A2366"/>
  <c r="A2367"/>
  <c r="A2368"/>
  <c r="A2369"/>
  <c r="A2370"/>
  <c r="A2371"/>
  <c r="A2372"/>
  <c r="A2373"/>
  <c r="A2374"/>
  <c r="A2375"/>
  <c r="A2376"/>
  <c r="A2377"/>
  <c r="A2378"/>
  <c r="A2379"/>
  <c r="A2380"/>
  <c r="A2381"/>
  <c r="A2382"/>
  <c r="A2383"/>
  <c r="A2384"/>
  <c r="A2385"/>
  <c r="A2386"/>
  <c r="A2387"/>
  <c r="A2388"/>
  <c r="A2389"/>
  <c r="A2390"/>
  <c r="A2391"/>
  <c r="A2392"/>
  <c r="A2393"/>
  <c r="A2394"/>
  <c r="A2395"/>
  <c r="A2396"/>
  <c r="A2397"/>
  <c r="A2398"/>
  <c r="A2399"/>
  <c r="A2400"/>
  <c r="A2401"/>
  <c r="A2402"/>
  <c r="A2403"/>
  <c r="A2404"/>
  <c r="A2405"/>
  <c r="A2406"/>
  <c r="A2407"/>
  <c r="A2408"/>
  <c r="A2409"/>
  <c r="A2410"/>
  <c r="A2411"/>
  <c r="A2412"/>
  <c r="A2413"/>
  <c r="A2414"/>
  <c r="A2415"/>
  <c r="A2416"/>
  <c r="A2417"/>
  <c r="A2418"/>
  <c r="A2419"/>
  <c r="A2420"/>
  <c r="A2421"/>
  <c r="A2422"/>
  <c r="A2423"/>
  <c r="A2424"/>
  <c r="A2425"/>
  <c r="A2426"/>
  <c r="A2427"/>
  <c r="A2428"/>
  <c r="A2429"/>
  <c r="A2430"/>
  <c r="A2431"/>
  <c r="A2432"/>
  <c r="A2433"/>
  <c r="A2434"/>
  <c r="A2435"/>
  <c r="A2436"/>
  <c r="A2437"/>
  <c r="A2438"/>
  <c r="A2439"/>
  <c r="A2440"/>
  <c r="A2441"/>
  <c r="A2442"/>
  <c r="A2443"/>
  <c r="A2444"/>
  <c r="A2445"/>
  <c r="A2446"/>
  <c r="A2447"/>
  <c r="A2448"/>
  <c r="A2449"/>
  <c r="A2450"/>
  <c r="A2451"/>
  <c r="A2452"/>
  <c r="A2453"/>
  <c r="A2454"/>
  <c r="A2455"/>
  <c r="A2456"/>
  <c r="A2457"/>
  <c r="A2458"/>
  <c r="A2459"/>
  <c r="A2460"/>
  <c r="A2461"/>
  <c r="A2462"/>
  <c r="A2463"/>
  <c r="A2464"/>
  <c r="A2465"/>
  <c r="A2466"/>
  <c r="A2467"/>
  <c r="A2468"/>
  <c r="A2469"/>
  <c r="A2470"/>
  <c r="A2471"/>
  <c r="A2472"/>
  <c r="A2473"/>
  <c r="A2474"/>
  <c r="A2475"/>
  <c r="A2476"/>
  <c r="A2477"/>
  <c r="A2478"/>
  <c r="A2479"/>
  <c r="A2480"/>
  <c r="A2481"/>
  <c r="A2482"/>
  <c r="A2483"/>
  <c r="A2484"/>
  <c r="A2485"/>
  <c r="A2486"/>
  <c r="A2487"/>
  <c r="A2488"/>
  <c r="A2489"/>
  <c r="A2490"/>
  <c r="A2491"/>
  <c r="A2492"/>
  <c r="A2493"/>
  <c r="A2494"/>
  <c r="A2495"/>
  <c r="A2496"/>
  <c r="A2497"/>
  <c r="A2498"/>
  <c r="A2499"/>
  <c r="A2500"/>
  <c r="A2501"/>
  <c r="A2502"/>
  <c r="A2503"/>
  <c r="A2504"/>
  <c r="A2505"/>
  <c r="A2506"/>
  <c r="A2507"/>
  <c r="A2508"/>
  <c r="A2509"/>
  <c r="A2510"/>
  <c r="A2511"/>
  <c r="A2512"/>
  <c r="A2513"/>
  <c r="A2514"/>
  <c r="A2515"/>
  <c r="A2516"/>
  <c r="A2517"/>
  <c r="A2518"/>
  <c r="A2519"/>
  <c r="A2520"/>
  <c r="A2521"/>
  <c r="A2522"/>
  <c r="A2523"/>
  <c r="A2524"/>
  <c r="A2525"/>
  <c r="A2526"/>
  <c r="A2527"/>
  <c r="A2528"/>
  <c r="A2529"/>
  <c r="A2530"/>
  <c r="A2531"/>
  <c r="A2532"/>
  <c r="A2533"/>
  <c r="A2534"/>
  <c r="A2535"/>
  <c r="A2536"/>
  <c r="A2537"/>
  <c r="A2538"/>
  <c r="A2539"/>
  <c r="A2540"/>
  <c r="A2541"/>
  <c r="A2542"/>
  <c r="A2543"/>
  <c r="A2544"/>
  <c r="A2545"/>
  <c r="A2546"/>
  <c r="A2547"/>
  <c r="A2548"/>
  <c r="A2549"/>
  <c r="A2550"/>
  <c r="A2551"/>
  <c r="A2552"/>
  <c r="A2553"/>
  <c r="A2554"/>
  <c r="A2555"/>
  <c r="A2556"/>
  <c r="A2557"/>
  <c r="A2558"/>
  <c r="A2559"/>
  <c r="A2560"/>
  <c r="A2561"/>
  <c r="A2562"/>
  <c r="A2563"/>
  <c r="A2564"/>
  <c r="A2565"/>
  <c r="A2566"/>
  <c r="A2567"/>
  <c r="A2568"/>
  <c r="A2569"/>
  <c r="A2570"/>
  <c r="A2571"/>
  <c r="A2572"/>
  <c r="A2573"/>
  <c r="A2574"/>
  <c r="A2575"/>
  <c r="A2576"/>
  <c r="A2577"/>
  <c r="A2578"/>
  <c r="A2579"/>
  <c r="A2580"/>
  <c r="A2581"/>
  <c r="A2582"/>
  <c r="A2583"/>
  <c r="A2584"/>
  <c r="A2585"/>
  <c r="A2586"/>
  <c r="A2587"/>
  <c r="A2588"/>
  <c r="A2589"/>
  <c r="A2590"/>
  <c r="A2591"/>
  <c r="A2592"/>
  <c r="A2593"/>
  <c r="A2594"/>
  <c r="A2595"/>
  <c r="A2596"/>
  <c r="A2597"/>
  <c r="A2598"/>
  <c r="A2599"/>
  <c r="A2600"/>
  <c r="A2601"/>
  <c r="A2602"/>
  <c r="A2603"/>
  <c r="A2604"/>
  <c r="A2605"/>
  <c r="A2606"/>
  <c r="A2607"/>
  <c r="A2608"/>
  <c r="A2609"/>
  <c r="A2610"/>
  <c r="A2611"/>
  <c r="A2612"/>
  <c r="A2613"/>
  <c r="A2614"/>
  <c r="A2615"/>
  <c r="A2616"/>
  <c r="A2617"/>
  <c r="A2618"/>
  <c r="A2619"/>
  <c r="A2620"/>
  <c r="A2621"/>
  <c r="A2622"/>
  <c r="A2623"/>
  <c r="A2624"/>
  <c r="A2625"/>
  <c r="A2626"/>
  <c r="A2627"/>
  <c r="A2628"/>
  <c r="A2629"/>
  <c r="A2630"/>
  <c r="A2631"/>
  <c r="A2632"/>
  <c r="A2633"/>
  <c r="A2634"/>
  <c r="A2635"/>
  <c r="A2636"/>
  <c r="A2637"/>
  <c r="A2638"/>
  <c r="A2639"/>
  <c r="A2640"/>
  <c r="A2641"/>
  <c r="A2642"/>
  <c r="A2643"/>
  <c r="A2644"/>
  <c r="A2645"/>
  <c r="A2646"/>
  <c r="A2647"/>
  <c r="A2648"/>
  <c r="A2649"/>
  <c r="A2650"/>
  <c r="A2651"/>
  <c r="A2652"/>
  <c r="A2653"/>
  <c r="A2654"/>
  <c r="A2655"/>
  <c r="A2656"/>
  <c r="A2657"/>
  <c r="A2658"/>
  <c r="A2659"/>
  <c r="A2660"/>
  <c r="A2661"/>
  <c r="A2662"/>
  <c r="A2663"/>
  <c r="A2664"/>
  <c r="A2665"/>
  <c r="A2666"/>
  <c r="A2667"/>
  <c r="A2668"/>
  <c r="A2669"/>
  <c r="A2670"/>
  <c r="A2671"/>
  <c r="A2672"/>
  <c r="A2673"/>
  <c r="A2674"/>
  <c r="A2675"/>
  <c r="A2676"/>
  <c r="A2677"/>
  <c r="A2678"/>
  <c r="A2679"/>
  <c r="A2680"/>
  <c r="A2681"/>
  <c r="A2682"/>
  <c r="A2683"/>
  <c r="A2684"/>
  <c r="A2685"/>
  <c r="A2686"/>
  <c r="A2687"/>
  <c r="A2688"/>
  <c r="A2689"/>
  <c r="A2690"/>
  <c r="A2691"/>
  <c r="A2692"/>
  <c r="A2693"/>
  <c r="A2694"/>
  <c r="A2695"/>
  <c r="A2696"/>
  <c r="A2697"/>
  <c r="A2698"/>
  <c r="A2699"/>
  <c r="A2700"/>
  <c r="A2701"/>
  <c r="A2702"/>
  <c r="A2703"/>
  <c r="A2704"/>
  <c r="A2705"/>
  <c r="A2706"/>
  <c r="A2707"/>
  <c r="A2708"/>
  <c r="A2709"/>
  <c r="A2710"/>
  <c r="A2711"/>
  <c r="A2712"/>
  <c r="A2713"/>
  <c r="A2714"/>
  <c r="A2715"/>
  <c r="A2716"/>
  <c r="A2717"/>
  <c r="A2718"/>
  <c r="A2719"/>
  <c r="A2720"/>
  <c r="A2721"/>
  <c r="A2722"/>
  <c r="A2723"/>
  <c r="A2724"/>
  <c r="A2725"/>
  <c r="A2726"/>
  <c r="A2727"/>
  <c r="A2728"/>
  <c r="A2729"/>
  <c r="A2730"/>
  <c r="A2731"/>
  <c r="A2732"/>
  <c r="A2733"/>
  <c r="A2734"/>
  <c r="A2735"/>
  <c r="A2736"/>
  <c r="A2737"/>
  <c r="A2738"/>
  <c r="A2739"/>
  <c r="A2740"/>
  <c r="A2741"/>
  <c r="A2742"/>
  <c r="A2743"/>
  <c r="A2744"/>
  <c r="A2745"/>
  <c r="A2746"/>
  <c r="A2747"/>
  <c r="A2748"/>
  <c r="A2749"/>
  <c r="A2750"/>
  <c r="A2751"/>
  <c r="A2752"/>
  <c r="A2753"/>
  <c r="A2754"/>
  <c r="A2755"/>
  <c r="A2756"/>
  <c r="A2757"/>
  <c r="A2758"/>
  <c r="A2759"/>
  <c r="A2760"/>
  <c r="A2761"/>
  <c r="A2762"/>
  <c r="A2763"/>
  <c r="A2764"/>
  <c r="A2765"/>
  <c r="A2766"/>
  <c r="A2767"/>
  <c r="A2768"/>
  <c r="A2769"/>
  <c r="A2770"/>
  <c r="A2771"/>
  <c r="A2772"/>
  <c r="A2773"/>
  <c r="A2774"/>
  <c r="A2775"/>
  <c r="A2776"/>
  <c r="A2777"/>
  <c r="A2778"/>
  <c r="A2779"/>
  <c r="A2780"/>
  <c r="A2781"/>
  <c r="A2782"/>
  <c r="A2783"/>
  <c r="A2784"/>
  <c r="A2785"/>
  <c r="A2786"/>
  <c r="A2787"/>
  <c r="A2788"/>
  <c r="A2789"/>
  <c r="A2790"/>
  <c r="A2791"/>
  <c r="A2792"/>
  <c r="A2793"/>
  <c r="A2794"/>
  <c r="A2795"/>
  <c r="A2796"/>
  <c r="A2797"/>
  <c r="A2798"/>
  <c r="A2799"/>
  <c r="A2800"/>
  <c r="A2801"/>
  <c r="A2802"/>
  <c r="A2803"/>
  <c r="A2804"/>
  <c r="A2805"/>
  <c r="A2806"/>
  <c r="A2807"/>
  <c r="A2808"/>
  <c r="A2809"/>
  <c r="A2810"/>
  <c r="A2811"/>
  <c r="A2812"/>
  <c r="A2813"/>
  <c r="A2814"/>
  <c r="A2815"/>
  <c r="A2816"/>
  <c r="A2817"/>
  <c r="A2818"/>
  <c r="A2819"/>
  <c r="A2820"/>
  <c r="A2821"/>
  <c r="A2822"/>
  <c r="A2823"/>
  <c r="A2824"/>
  <c r="A2825"/>
  <c r="A2826"/>
  <c r="A2827"/>
  <c r="A2828"/>
  <c r="A2829"/>
  <c r="A2830"/>
  <c r="A2831"/>
  <c r="A2832"/>
  <c r="A2833"/>
  <c r="A2834"/>
  <c r="A2835"/>
  <c r="A2836"/>
  <c r="A2837"/>
  <c r="A2838"/>
  <c r="A2839"/>
  <c r="A2840"/>
  <c r="A2841"/>
  <c r="A2842"/>
  <c r="A2843"/>
  <c r="A2844"/>
  <c r="A2845"/>
  <c r="A2846"/>
  <c r="A2847"/>
  <c r="A2848"/>
  <c r="A2849"/>
  <c r="A2850"/>
  <c r="A2851"/>
  <c r="A2852"/>
  <c r="A2853"/>
  <c r="A2854"/>
  <c r="A2855"/>
  <c r="A2856"/>
  <c r="A2857"/>
  <c r="A2858"/>
  <c r="A2859"/>
  <c r="A2860"/>
  <c r="A2861"/>
  <c r="A2862"/>
  <c r="A2863"/>
  <c r="A2864"/>
  <c r="A2865"/>
  <c r="A2866"/>
  <c r="A2867"/>
  <c r="A2868"/>
  <c r="A2869"/>
  <c r="A2870"/>
  <c r="A2871"/>
  <c r="A2872"/>
  <c r="A2873"/>
  <c r="A2874"/>
  <c r="A2875"/>
  <c r="A2876"/>
  <c r="A2877"/>
  <c r="A2878"/>
  <c r="A2879"/>
  <c r="A2880"/>
  <c r="A2881"/>
  <c r="A2882"/>
  <c r="A2883"/>
  <c r="A2884"/>
  <c r="A2885"/>
  <c r="A2886"/>
  <c r="A2887"/>
  <c r="A2888"/>
  <c r="A2889"/>
  <c r="A2890"/>
  <c r="A2891"/>
  <c r="A2892"/>
  <c r="A2893"/>
  <c r="A2894"/>
  <c r="A2895"/>
  <c r="A2896"/>
  <c r="A2897"/>
  <c r="A2898"/>
  <c r="A2899"/>
  <c r="A2900"/>
  <c r="A2901"/>
  <c r="A2902"/>
  <c r="A2903"/>
  <c r="A2904"/>
  <c r="A2905"/>
  <c r="A2906"/>
  <c r="A2907"/>
  <c r="A2908"/>
  <c r="A2909"/>
  <c r="A2910"/>
  <c r="A2911"/>
  <c r="A2912"/>
  <c r="A2913"/>
  <c r="A2914"/>
  <c r="A2915"/>
  <c r="A2916"/>
  <c r="A2917"/>
  <c r="A2918"/>
  <c r="A2919"/>
  <c r="A2920"/>
  <c r="A2921"/>
  <c r="A2922"/>
  <c r="A2923"/>
  <c r="A2924"/>
  <c r="A2925"/>
  <c r="A2926"/>
  <c r="A2927"/>
  <c r="A2928"/>
  <c r="A2929"/>
  <c r="A2930"/>
  <c r="A2931"/>
  <c r="A2932"/>
  <c r="A2933"/>
  <c r="A2934"/>
  <c r="A2935"/>
  <c r="A2936"/>
  <c r="A2937"/>
  <c r="A2938"/>
  <c r="A2939"/>
  <c r="A2940"/>
  <c r="A2941"/>
  <c r="A2942"/>
  <c r="A2943"/>
  <c r="A2944"/>
  <c r="A2945"/>
  <c r="A2946"/>
  <c r="A2947"/>
  <c r="A2948"/>
  <c r="A2949"/>
  <c r="A2950"/>
  <c r="A2951"/>
  <c r="A2952"/>
  <c r="A2953"/>
  <c r="A2954"/>
  <c r="A2955"/>
  <c r="A2956"/>
  <c r="A2957"/>
  <c r="A2958"/>
  <c r="A2959"/>
  <c r="A2960"/>
  <c r="A2961"/>
  <c r="A2962"/>
  <c r="A2963"/>
  <c r="A2964"/>
  <c r="A2965"/>
  <c r="A2966"/>
  <c r="A2967"/>
  <c r="A2968"/>
  <c r="A2969"/>
  <c r="A2970"/>
  <c r="A2971"/>
  <c r="A2972"/>
  <c r="A2973"/>
  <c r="A2974"/>
  <c r="A2975"/>
  <c r="A2976"/>
  <c r="A2977"/>
  <c r="A2978"/>
  <c r="A2979"/>
  <c r="A2980"/>
  <c r="A2981"/>
  <c r="A2982"/>
  <c r="A2983"/>
  <c r="A2984"/>
  <c r="A2985"/>
  <c r="A2986"/>
  <c r="A2987"/>
  <c r="A2988"/>
  <c r="A2989"/>
  <c r="A2990"/>
  <c r="A2991"/>
  <c r="A2992"/>
  <c r="A2993"/>
  <c r="A2994"/>
  <c r="A2995"/>
  <c r="A2996"/>
  <c r="A2997"/>
  <c r="A2998"/>
  <c r="A2999"/>
  <c r="A3000"/>
  <c r="A3001"/>
  <c r="A3002"/>
  <c r="A3003"/>
  <c r="A3004"/>
  <c r="A3005"/>
  <c r="A3006"/>
  <c r="A3007"/>
  <c r="A3008"/>
  <c r="A3009"/>
  <c r="A3010"/>
  <c r="A3011"/>
  <c r="A3012"/>
  <c r="A3013"/>
  <c r="A3014"/>
  <c r="A3015"/>
  <c r="A3016"/>
  <c r="A3017"/>
  <c r="A3018"/>
  <c r="A3019"/>
  <c r="A3020"/>
  <c r="A3021"/>
  <c r="A3022"/>
  <c r="A3023"/>
  <c r="A3024"/>
  <c r="A3025"/>
  <c r="A3026"/>
  <c r="A3027"/>
  <c r="A3028"/>
  <c r="A3029"/>
  <c r="A3030"/>
  <c r="A3031"/>
  <c r="A3032"/>
  <c r="A3033"/>
  <c r="A3034"/>
  <c r="A3035"/>
  <c r="A3036"/>
  <c r="A3037"/>
  <c r="A3038"/>
  <c r="A3039"/>
  <c r="A3040"/>
  <c r="A3041"/>
  <c r="A3042"/>
  <c r="A3043"/>
  <c r="A3044"/>
  <c r="A3045"/>
  <c r="A3046"/>
  <c r="A3047"/>
  <c r="A3048"/>
  <c r="A3049"/>
  <c r="A3050"/>
  <c r="A3051"/>
  <c r="A3052"/>
  <c r="A3053"/>
  <c r="A3054"/>
  <c r="A3055"/>
  <c r="A3056"/>
  <c r="A3057"/>
  <c r="A3058"/>
  <c r="A3059"/>
  <c r="A3060"/>
  <c r="A3061"/>
  <c r="A3062"/>
  <c r="A3063"/>
  <c r="A3064"/>
  <c r="A3065"/>
  <c r="A3066"/>
  <c r="A3067"/>
  <c r="A3068"/>
  <c r="A3069"/>
  <c r="A3070"/>
  <c r="A3071"/>
  <c r="A3072"/>
  <c r="A3073"/>
  <c r="A3074"/>
  <c r="A3075"/>
  <c r="A3076"/>
  <c r="A3077"/>
  <c r="A3078"/>
  <c r="A3079"/>
  <c r="A3080"/>
  <c r="A3081"/>
  <c r="A3082"/>
  <c r="A3083"/>
  <c r="A3084"/>
  <c r="A3085"/>
  <c r="A3086"/>
  <c r="A3087"/>
  <c r="A3088"/>
  <c r="A3089"/>
  <c r="A3090"/>
  <c r="A3091"/>
  <c r="A3092"/>
  <c r="A3093"/>
  <c r="A3094"/>
  <c r="A3095"/>
  <c r="A3096"/>
  <c r="A3097"/>
  <c r="A3098"/>
  <c r="A3099"/>
  <c r="A3100"/>
  <c r="A3101"/>
  <c r="A3102"/>
  <c r="A3103"/>
  <c r="A3104"/>
  <c r="A3105"/>
  <c r="A3106"/>
  <c r="A3107"/>
  <c r="A3108"/>
  <c r="A3109"/>
  <c r="A3110"/>
  <c r="A3111"/>
  <c r="A3112"/>
  <c r="A3113"/>
  <c r="A3114"/>
  <c r="A3115"/>
  <c r="A3116"/>
  <c r="A3117"/>
  <c r="A3118"/>
  <c r="A3119"/>
  <c r="A3120"/>
  <c r="A3121"/>
  <c r="A3122"/>
  <c r="A3123"/>
  <c r="A3124"/>
  <c r="A3125"/>
  <c r="A3126"/>
  <c r="A3127"/>
  <c r="A3128"/>
  <c r="A3129"/>
  <c r="A3130"/>
  <c r="A3131"/>
  <c r="A3132"/>
  <c r="A3133"/>
  <c r="A3134"/>
  <c r="A3135"/>
  <c r="A3136"/>
  <c r="A3137"/>
  <c r="A3138"/>
  <c r="A3139"/>
  <c r="A3140"/>
  <c r="A3141"/>
  <c r="A3142"/>
  <c r="A3143"/>
  <c r="A3144"/>
  <c r="A3145"/>
  <c r="A3146"/>
  <c r="A3147"/>
  <c r="A3148"/>
  <c r="A3149"/>
  <c r="A3150"/>
  <c r="A3151"/>
  <c r="A3152"/>
  <c r="A3153"/>
  <c r="A3154"/>
  <c r="A3155"/>
  <c r="A3156"/>
  <c r="A3157"/>
  <c r="A3158"/>
  <c r="A3159"/>
  <c r="A3160"/>
  <c r="A3161"/>
  <c r="A3162"/>
  <c r="A3163"/>
  <c r="A3164"/>
  <c r="A3165"/>
  <c r="A3166"/>
  <c r="A3167"/>
  <c r="A3168"/>
  <c r="A3169"/>
  <c r="A3170"/>
  <c r="A3171"/>
  <c r="A3172"/>
  <c r="A3173"/>
  <c r="A3174"/>
  <c r="A3175"/>
  <c r="A3176"/>
  <c r="A3177"/>
  <c r="A3178"/>
  <c r="A3179"/>
  <c r="A3180"/>
  <c r="A3181"/>
  <c r="A3182"/>
  <c r="A3183"/>
  <c r="A3184"/>
  <c r="A3185"/>
  <c r="A3186"/>
  <c r="A3187"/>
  <c r="A3188"/>
  <c r="A3189"/>
  <c r="A3190"/>
  <c r="A3191"/>
  <c r="A3192"/>
  <c r="A3193"/>
  <c r="A3194"/>
  <c r="A3195"/>
  <c r="A3196"/>
  <c r="A3197"/>
  <c r="A3198"/>
  <c r="A3199"/>
  <c r="A3200"/>
  <c r="A3201"/>
  <c r="A3202"/>
  <c r="A3203"/>
  <c r="A3204"/>
  <c r="A3205"/>
  <c r="A3206"/>
  <c r="A3207"/>
  <c r="A3208"/>
  <c r="A3209"/>
  <c r="A3210"/>
  <c r="A3211"/>
  <c r="A3212"/>
  <c r="A3213"/>
  <c r="A3214"/>
  <c r="A3215"/>
  <c r="A3216"/>
  <c r="A3217"/>
  <c r="A3218"/>
  <c r="A3219"/>
  <c r="A3220"/>
  <c r="A3221"/>
  <c r="A3222"/>
  <c r="A3223"/>
  <c r="A3224"/>
  <c r="A3225"/>
  <c r="A3226"/>
  <c r="A3227"/>
  <c r="A3228"/>
  <c r="A3229"/>
  <c r="A3230"/>
  <c r="A3231"/>
  <c r="A3232"/>
  <c r="A3233"/>
  <c r="A3234"/>
  <c r="A3235"/>
  <c r="A3236"/>
  <c r="A3237"/>
  <c r="A3238"/>
  <c r="A3239"/>
  <c r="A3240"/>
  <c r="A3241"/>
  <c r="A3242"/>
  <c r="A3243"/>
  <c r="A3244"/>
  <c r="A3245"/>
  <c r="A3246"/>
  <c r="A3247"/>
  <c r="A3248"/>
  <c r="A3249"/>
  <c r="A3250"/>
  <c r="A3251"/>
  <c r="A3252"/>
  <c r="A3253"/>
  <c r="A3254"/>
  <c r="A3255"/>
  <c r="A3256"/>
  <c r="A3257"/>
  <c r="A3258"/>
  <c r="A3259"/>
  <c r="A3260"/>
  <c r="A3261"/>
  <c r="A3262"/>
  <c r="A3263"/>
  <c r="A3264"/>
  <c r="A3265"/>
  <c r="A3266"/>
  <c r="A3267"/>
  <c r="A3268"/>
  <c r="A3269"/>
  <c r="A3270"/>
  <c r="A3271"/>
  <c r="A3272"/>
  <c r="A3273"/>
  <c r="A3274"/>
  <c r="A3275"/>
  <c r="A3276"/>
  <c r="A3277"/>
  <c r="A3278"/>
  <c r="A3279"/>
  <c r="A3280"/>
  <c r="A3281"/>
  <c r="A3282"/>
  <c r="A3283"/>
  <c r="A3284"/>
  <c r="A3285"/>
  <c r="A3286"/>
  <c r="A3287"/>
  <c r="A3288"/>
  <c r="A3289"/>
  <c r="A3290"/>
  <c r="A3291"/>
  <c r="A3292"/>
  <c r="A3293"/>
  <c r="A3294"/>
  <c r="A3295"/>
  <c r="A3296"/>
  <c r="A3297"/>
  <c r="A3298"/>
  <c r="A3299"/>
  <c r="A3300"/>
  <c r="A3301"/>
  <c r="A3302"/>
  <c r="A3303"/>
  <c r="A3304"/>
  <c r="A3305"/>
  <c r="A3306"/>
  <c r="A3307"/>
  <c r="A3308"/>
  <c r="A3309"/>
  <c r="A3310"/>
  <c r="A3311"/>
  <c r="A3312"/>
  <c r="A3313"/>
  <c r="A3314"/>
  <c r="A3315"/>
  <c r="A3316"/>
  <c r="A3317"/>
  <c r="A3318"/>
  <c r="A3319"/>
  <c r="A3320"/>
  <c r="A3321"/>
  <c r="A3322"/>
  <c r="A3323"/>
  <c r="A3324"/>
  <c r="A3325"/>
  <c r="A3326"/>
  <c r="A3327"/>
  <c r="A3328"/>
  <c r="A3329"/>
  <c r="A3330"/>
  <c r="A3331"/>
  <c r="A3332"/>
  <c r="A3333"/>
  <c r="A3334"/>
  <c r="A3335"/>
  <c r="A3336"/>
  <c r="A3337"/>
  <c r="A3338"/>
  <c r="A3339"/>
  <c r="A3340"/>
  <c r="A3341"/>
  <c r="A3342"/>
  <c r="A3343"/>
  <c r="A3344"/>
  <c r="A3345"/>
  <c r="A3346"/>
  <c r="A3347"/>
  <c r="A3348"/>
  <c r="A3349"/>
  <c r="A3350"/>
  <c r="A3351"/>
  <c r="A3352"/>
  <c r="A3353"/>
  <c r="A3354"/>
  <c r="A3355"/>
  <c r="A3356"/>
  <c r="A3357"/>
  <c r="A3358"/>
  <c r="A3359"/>
  <c r="A3360"/>
  <c r="A3361"/>
  <c r="A3362"/>
  <c r="A3363"/>
  <c r="A3364"/>
  <c r="A3365"/>
  <c r="A3366"/>
  <c r="A3367"/>
  <c r="A3368"/>
  <c r="A3369"/>
  <c r="A3370"/>
  <c r="A3371"/>
  <c r="A3372"/>
  <c r="A3373"/>
  <c r="A3374"/>
  <c r="A3375"/>
  <c r="A3376"/>
  <c r="A3377"/>
  <c r="A3378"/>
  <c r="A3379"/>
  <c r="A3380"/>
  <c r="A3381"/>
  <c r="A3382"/>
  <c r="A3383"/>
  <c r="A3384"/>
  <c r="A3385"/>
  <c r="A3386"/>
  <c r="A3387"/>
  <c r="A3388"/>
  <c r="A3389"/>
  <c r="A3390"/>
  <c r="A3391"/>
  <c r="A3392"/>
  <c r="A3393"/>
  <c r="A3394"/>
  <c r="A3395"/>
  <c r="A3396"/>
  <c r="A3397"/>
  <c r="A3398"/>
  <c r="A3399"/>
  <c r="A3400"/>
  <c r="A3401"/>
  <c r="A3402"/>
  <c r="A3403"/>
  <c r="A3404"/>
  <c r="A3405"/>
  <c r="A3406"/>
  <c r="A3407"/>
  <c r="A3408"/>
  <c r="A3409"/>
  <c r="A3410"/>
  <c r="A3411"/>
  <c r="A3412"/>
  <c r="A3413"/>
  <c r="A3414"/>
  <c r="A3415"/>
  <c r="A3416"/>
  <c r="A3417"/>
  <c r="A3418"/>
  <c r="A3419"/>
  <c r="A3420"/>
  <c r="A3421"/>
  <c r="A3422"/>
  <c r="A3423"/>
  <c r="A3424"/>
  <c r="A3425"/>
  <c r="A3426"/>
  <c r="A3427"/>
  <c r="A3428"/>
  <c r="A3429"/>
  <c r="A3430"/>
  <c r="A3431"/>
  <c r="A3432"/>
  <c r="A3433"/>
  <c r="A3434"/>
  <c r="A3435"/>
  <c r="A3436"/>
  <c r="A3437"/>
  <c r="A3438"/>
  <c r="A3439"/>
  <c r="A3440"/>
  <c r="A3441"/>
  <c r="A3442"/>
  <c r="A3443"/>
  <c r="A3444"/>
  <c r="A3445"/>
  <c r="A3446"/>
  <c r="A3447"/>
  <c r="A3448"/>
  <c r="A3449"/>
  <c r="A3450"/>
  <c r="A3451"/>
  <c r="A3452"/>
  <c r="A3453"/>
  <c r="A3454"/>
  <c r="A3455"/>
  <c r="A3456"/>
  <c r="A3457"/>
  <c r="A3458"/>
  <c r="A3459"/>
  <c r="A3460"/>
  <c r="A3461"/>
  <c r="A3462"/>
  <c r="A3463"/>
  <c r="A3464"/>
  <c r="A3465"/>
  <c r="A3466"/>
  <c r="A3467"/>
  <c r="A3468"/>
  <c r="A3469"/>
  <c r="A3470"/>
  <c r="A3471"/>
  <c r="A3472"/>
  <c r="A3473"/>
  <c r="A3474"/>
  <c r="A3475"/>
  <c r="A3476"/>
  <c r="A3477"/>
  <c r="A3478"/>
  <c r="A3479"/>
  <c r="A3480"/>
  <c r="A3481"/>
  <c r="A3482"/>
  <c r="A3483"/>
  <c r="A3484"/>
  <c r="A3485"/>
  <c r="A3486"/>
  <c r="A3487"/>
  <c r="A3488"/>
  <c r="A3489"/>
  <c r="A3490"/>
  <c r="A3491"/>
  <c r="A3492"/>
  <c r="A3493"/>
  <c r="A3494"/>
  <c r="A3495"/>
  <c r="A3496"/>
  <c r="A3497"/>
  <c r="A3498"/>
  <c r="A3499"/>
  <c r="A3500"/>
  <c r="A3501"/>
  <c r="A3502"/>
  <c r="A3503"/>
  <c r="A3504"/>
  <c r="A3505"/>
  <c r="A3506"/>
  <c r="A3507"/>
  <c r="A3508"/>
  <c r="A3509"/>
  <c r="A3510"/>
  <c r="A3511"/>
  <c r="A3512"/>
  <c r="A3513"/>
  <c r="A3514"/>
  <c r="A3515"/>
  <c r="A3516"/>
  <c r="A3517"/>
  <c r="A3518"/>
  <c r="A3519"/>
  <c r="A3520"/>
  <c r="A3521"/>
  <c r="A3522"/>
  <c r="A3523"/>
  <c r="A3524"/>
  <c r="A3525"/>
  <c r="A3526"/>
  <c r="A3527"/>
  <c r="A3528"/>
  <c r="A3529"/>
  <c r="A3530"/>
  <c r="A3531"/>
  <c r="A3532"/>
  <c r="A3533"/>
  <c r="A3534"/>
  <c r="A3535"/>
  <c r="A3536"/>
  <c r="A3537"/>
  <c r="A3538"/>
  <c r="A3539"/>
  <c r="A3540"/>
  <c r="A3541"/>
  <c r="A3542"/>
  <c r="A3543"/>
  <c r="A3544"/>
  <c r="A3545"/>
  <c r="A3546"/>
  <c r="A3547"/>
  <c r="A3548"/>
  <c r="A3549"/>
  <c r="A3550"/>
  <c r="A3551"/>
  <c r="A3552"/>
  <c r="A3553"/>
  <c r="A3554"/>
  <c r="A3555"/>
  <c r="A3556"/>
  <c r="A3557"/>
  <c r="A3558"/>
  <c r="A3559"/>
  <c r="A3560"/>
  <c r="A3561"/>
  <c r="A3562"/>
  <c r="A3563"/>
  <c r="A3564"/>
  <c r="A3565"/>
  <c r="A3566"/>
  <c r="A3567"/>
  <c r="A3568"/>
  <c r="A3569"/>
  <c r="A3570"/>
  <c r="A3571"/>
  <c r="A3572"/>
  <c r="A3573"/>
  <c r="A3574"/>
  <c r="A3575"/>
  <c r="A3576"/>
  <c r="A3577"/>
  <c r="A3578"/>
  <c r="A3579"/>
  <c r="A3580"/>
  <c r="A3581"/>
  <c r="A3582"/>
  <c r="A3583"/>
  <c r="A3584"/>
  <c r="A3585"/>
  <c r="A3586"/>
  <c r="A3587"/>
  <c r="A3588"/>
  <c r="A3589"/>
  <c r="A3590"/>
  <c r="A3591"/>
  <c r="A3592"/>
  <c r="A3593"/>
  <c r="A3594"/>
  <c r="A3595"/>
  <c r="A3596"/>
  <c r="A3597"/>
  <c r="A3598"/>
  <c r="A3599"/>
  <c r="A3600"/>
  <c r="A3601"/>
  <c r="A3602"/>
  <c r="A3603"/>
  <c r="A3604"/>
  <c r="A3605"/>
  <c r="A3606"/>
  <c r="A3607"/>
  <c r="A3608"/>
  <c r="A3609"/>
  <c r="A3610"/>
  <c r="A3611"/>
  <c r="A3612"/>
  <c r="A3613"/>
  <c r="A3614"/>
  <c r="A3615"/>
  <c r="A3616"/>
  <c r="A3617"/>
  <c r="A3618"/>
  <c r="A3619"/>
  <c r="A3620"/>
  <c r="A3621"/>
  <c r="A3622"/>
  <c r="A3623"/>
  <c r="A3624"/>
  <c r="A3625"/>
  <c r="A3626"/>
  <c r="A3627"/>
  <c r="A3628"/>
  <c r="A3629"/>
  <c r="A3630"/>
  <c r="A3631"/>
  <c r="A3632"/>
  <c r="A3633"/>
  <c r="A3634"/>
  <c r="A3635"/>
  <c r="A3636"/>
  <c r="A3637"/>
  <c r="A3638"/>
  <c r="A3639"/>
  <c r="A3640"/>
  <c r="A3641"/>
  <c r="A3642"/>
  <c r="A3643"/>
  <c r="A3644"/>
  <c r="A3645"/>
  <c r="A3646"/>
  <c r="A3647"/>
  <c r="A3648"/>
  <c r="A3649"/>
  <c r="A3650"/>
  <c r="A3651"/>
  <c r="A3652"/>
  <c r="A3653"/>
  <c r="A3654"/>
  <c r="A3655"/>
  <c r="A3656"/>
  <c r="A3657"/>
  <c r="A3658"/>
  <c r="A3659"/>
  <c r="A3660"/>
  <c r="A3661"/>
  <c r="A3662"/>
  <c r="A3663"/>
  <c r="A3664"/>
  <c r="A3665"/>
  <c r="A3666"/>
  <c r="A3667"/>
  <c r="A3668"/>
  <c r="A3669"/>
  <c r="A3670"/>
  <c r="A3671"/>
  <c r="A3672"/>
  <c r="A3673"/>
  <c r="A3674"/>
  <c r="A3675"/>
  <c r="A3676"/>
  <c r="A3677"/>
  <c r="A3678"/>
  <c r="A3679"/>
  <c r="A3680"/>
  <c r="A3681"/>
  <c r="A3682"/>
  <c r="A3683"/>
  <c r="A3684"/>
  <c r="A3685"/>
  <c r="A3686"/>
  <c r="A3687"/>
  <c r="A3688"/>
  <c r="A3689"/>
  <c r="A3690"/>
  <c r="A3691"/>
  <c r="A3692"/>
  <c r="A3693"/>
  <c r="A3694"/>
  <c r="A3695"/>
  <c r="A3696"/>
  <c r="A3697"/>
  <c r="A3698"/>
  <c r="A3699"/>
  <c r="A3700"/>
  <c r="A3701"/>
  <c r="A3702"/>
  <c r="A3703"/>
  <c r="A3704"/>
  <c r="A3705"/>
  <c r="A3706"/>
  <c r="A3707"/>
  <c r="A3708"/>
  <c r="A3709"/>
  <c r="A3710"/>
  <c r="A3711"/>
  <c r="A3712"/>
  <c r="A3713"/>
  <c r="A3714"/>
  <c r="A3715"/>
  <c r="A3716"/>
  <c r="A3717"/>
  <c r="A3718"/>
  <c r="A3719"/>
  <c r="A3720"/>
  <c r="A3721"/>
  <c r="A3722"/>
  <c r="A3723"/>
  <c r="A3724"/>
  <c r="A3725"/>
  <c r="A3726"/>
  <c r="A3727"/>
  <c r="A3728"/>
  <c r="A3729"/>
  <c r="A3730"/>
  <c r="A3731"/>
  <c r="A3732"/>
  <c r="A3733"/>
  <c r="A3734"/>
  <c r="A3735"/>
  <c r="A3736"/>
  <c r="A3737"/>
  <c r="A3738"/>
  <c r="A3739"/>
  <c r="A3740"/>
  <c r="A3741"/>
  <c r="A3742"/>
  <c r="A3743"/>
  <c r="A3744"/>
  <c r="A3745"/>
  <c r="A3746"/>
  <c r="A3747"/>
  <c r="A3748"/>
  <c r="A3749"/>
  <c r="A3750"/>
  <c r="A3751"/>
  <c r="A3752"/>
  <c r="A3753"/>
  <c r="A3754"/>
  <c r="A3755"/>
  <c r="A3756"/>
  <c r="A3757"/>
  <c r="A3758"/>
  <c r="A3759"/>
  <c r="A3760"/>
  <c r="A3761"/>
  <c r="A3762"/>
  <c r="A3763"/>
  <c r="A3764"/>
  <c r="A3765"/>
  <c r="A3766"/>
  <c r="A3767"/>
  <c r="A3768"/>
  <c r="A3769"/>
  <c r="A3770"/>
  <c r="A3771"/>
  <c r="A3772"/>
  <c r="A3773"/>
  <c r="A3774"/>
  <c r="A3775"/>
  <c r="A3776"/>
  <c r="A3777"/>
  <c r="A3778"/>
  <c r="A3779"/>
  <c r="A3780"/>
  <c r="A3781"/>
  <c r="A3782"/>
  <c r="A3783"/>
  <c r="A3784"/>
  <c r="A3785"/>
  <c r="A3786"/>
  <c r="A3787"/>
  <c r="A3788"/>
  <c r="A3789"/>
  <c r="A3790"/>
  <c r="A3791"/>
  <c r="A3792"/>
  <c r="A3793"/>
  <c r="A3794"/>
  <c r="A3795"/>
  <c r="A3796"/>
  <c r="A3797"/>
  <c r="A3798"/>
  <c r="A3799"/>
  <c r="A3800"/>
  <c r="A3801"/>
  <c r="A3802"/>
  <c r="A3803"/>
  <c r="A3804"/>
  <c r="A3805"/>
  <c r="A3806"/>
  <c r="A3807"/>
  <c r="A3808"/>
  <c r="A3809"/>
  <c r="A3810"/>
  <c r="A3811"/>
  <c r="A3812"/>
  <c r="A3813"/>
  <c r="A3814"/>
  <c r="A3815"/>
  <c r="A3816"/>
  <c r="A3817"/>
  <c r="A3818"/>
  <c r="A3819"/>
  <c r="A3820"/>
  <c r="A3821"/>
  <c r="A3822"/>
  <c r="A3823"/>
  <c r="A3824"/>
  <c r="A3825"/>
  <c r="A3826"/>
  <c r="A3827"/>
  <c r="A3828"/>
  <c r="A3829"/>
  <c r="A3830"/>
  <c r="A3831"/>
  <c r="A3832"/>
  <c r="A3833"/>
  <c r="A3834"/>
  <c r="A3835"/>
  <c r="A3836"/>
  <c r="A3837"/>
  <c r="A3838"/>
  <c r="A3839"/>
  <c r="A3840"/>
  <c r="A3841"/>
  <c r="A3842"/>
  <c r="A3843"/>
  <c r="A3844"/>
  <c r="A3845"/>
  <c r="A3846"/>
  <c r="A3847"/>
  <c r="A3848"/>
  <c r="A3849"/>
  <c r="A3850"/>
  <c r="A3851"/>
  <c r="A3852"/>
  <c r="A3853"/>
  <c r="A3854"/>
  <c r="A3855"/>
  <c r="A3856"/>
  <c r="A3857"/>
  <c r="A3858"/>
  <c r="A3859"/>
  <c r="A3860"/>
  <c r="A3861"/>
  <c r="A3862"/>
  <c r="A3863"/>
  <c r="A3864"/>
  <c r="A3865"/>
  <c r="A3866"/>
  <c r="A3867"/>
  <c r="A3868"/>
  <c r="A3869"/>
  <c r="A3870"/>
  <c r="A3871"/>
  <c r="A3872"/>
  <c r="A3873"/>
  <c r="A3874"/>
  <c r="A3875"/>
  <c r="A3876"/>
  <c r="A3877"/>
  <c r="A3878"/>
  <c r="A3879"/>
  <c r="A3880"/>
  <c r="A3881"/>
  <c r="A3882"/>
  <c r="A3883"/>
  <c r="A3884"/>
  <c r="A3885"/>
  <c r="A3886"/>
  <c r="A3887"/>
  <c r="A3888"/>
  <c r="A3889"/>
  <c r="A3890"/>
  <c r="A3891"/>
  <c r="A3892"/>
  <c r="A3893"/>
  <c r="A3894"/>
  <c r="A3895"/>
  <c r="A3896"/>
  <c r="A3897"/>
  <c r="A3898"/>
  <c r="A3899"/>
  <c r="A3900"/>
  <c r="A3901"/>
  <c r="A3902"/>
  <c r="A3903"/>
  <c r="A3904"/>
  <c r="A3905"/>
  <c r="A3906"/>
  <c r="A3907"/>
  <c r="A3908"/>
  <c r="A3909"/>
  <c r="A3910"/>
  <c r="A3911"/>
  <c r="A3912"/>
  <c r="A3913"/>
  <c r="A3914"/>
  <c r="A3915"/>
  <c r="A3916"/>
  <c r="A3917"/>
  <c r="A3918"/>
  <c r="A3919"/>
  <c r="A3920"/>
  <c r="A3921"/>
  <c r="A3922"/>
  <c r="A3923"/>
  <c r="A3924"/>
  <c r="A3925"/>
  <c r="A3926"/>
  <c r="A3927"/>
  <c r="A3928"/>
  <c r="A3929"/>
  <c r="A3930"/>
  <c r="A3931"/>
  <c r="A3932"/>
  <c r="A3933"/>
  <c r="A3934"/>
  <c r="A3935"/>
  <c r="A3936"/>
  <c r="A3937"/>
  <c r="A3938"/>
  <c r="A3939"/>
  <c r="A3940"/>
  <c r="A3941"/>
  <c r="A3942"/>
  <c r="A3943"/>
  <c r="A3944"/>
  <c r="A3945"/>
  <c r="A3946"/>
  <c r="A3947"/>
  <c r="A3948"/>
  <c r="A3949"/>
  <c r="A3950"/>
  <c r="A3951"/>
  <c r="A3952"/>
  <c r="A3953"/>
  <c r="A3954"/>
  <c r="A3955"/>
  <c r="A3956"/>
  <c r="A3957"/>
  <c r="A3958"/>
  <c r="A3959"/>
  <c r="A3960"/>
  <c r="A3961"/>
  <c r="A3962"/>
  <c r="A3963"/>
  <c r="A3964"/>
  <c r="A3965"/>
  <c r="A3966"/>
  <c r="A3967"/>
  <c r="A3968"/>
  <c r="A3969"/>
  <c r="A3970"/>
  <c r="A3971"/>
  <c r="A3972"/>
  <c r="A3973"/>
  <c r="A3974"/>
  <c r="A3975"/>
  <c r="A3976"/>
  <c r="A3977"/>
</calcChain>
</file>

<file path=xl/sharedStrings.xml><?xml version="1.0" encoding="utf-8"?>
<sst xmlns="http://schemas.openxmlformats.org/spreadsheetml/2006/main" count="76329" uniqueCount="16133">
  <si>
    <t>代码</t>
  </si>
  <si>
    <t>名称</t>
  </si>
  <si>
    <t>涨幅%</t>
  </si>
  <si>
    <t>涨速%</t>
  </si>
  <si>
    <t>开盘%</t>
  </si>
  <si>
    <t>现量</t>
  </si>
  <si>
    <t>流通市值Z</t>
  </si>
  <si>
    <t>总金额</t>
  </si>
  <si>
    <t>开盘金额</t>
  </si>
  <si>
    <t>封单额</t>
  </si>
  <si>
    <t>流通市值</t>
  </si>
  <si>
    <t>换手%</t>
  </si>
  <si>
    <t>现价</t>
  </si>
  <si>
    <t>量比</t>
  </si>
  <si>
    <t>最高%</t>
  </si>
  <si>
    <t>最高</t>
  </si>
  <si>
    <t>最低%</t>
  </si>
  <si>
    <t>最低</t>
  </si>
  <si>
    <t>今开</t>
  </si>
  <si>
    <t>总量</t>
  </si>
  <si>
    <t>卖价</t>
  </si>
  <si>
    <t>昨收</t>
  </si>
  <si>
    <t>市盈(动)</t>
  </si>
  <si>
    <t>细分行业</t>
  </si>
  <si>
    <t>地区</t>
  </si>
  <si>
    <t>振幅%</t>
  </si>
  <si>
    <t>均价</t>
  </si>
  <si>
    <t>内盘</t>
  </si>
  <si>
    <t>外盘</t>
  </si>
  <si>
    <t>内外比</t>
  </si>
  <si>
    <t>买量</t>
  </si>
  <si>
    <t>卖量</t>
  </si>
  <si>
    <t>未匹配量</t>
  </si>
  <si>
    <t>开盘换手Z</t>
  </si>
  <si>
    <t>封成比</t>
  </si>
  <si>
    <t>流通股(亿)</t>
  </si>
  <si>
    <t>AB股总市值</t>
  </si>
  <si>
    <t>强弱度%</t>
  </si>
  <si>
    <t>活跃度</t>
  </si>
  <si>
    <t>笔均量</t>
  </si>
  <si>
    <t>笔换手</t>
  </si>
  <si>
    <t>连涨天</t>
  </si>
  <si>
    <t>昨涨幅%</t>
  </si>
  <si>
    <t>3日涨幅%</t>
  </si>
  <si>
    <t>20日涨幅%</t>
  </si>
  <si>
    <t>60日涨幅%</t>
  </si>
  <si>
    <t>年初至今%</t>
  </si>
  <si>
    <t>年涨停天</t>
  </si>
  <si>
    <t>换手Z</t>
  </si>
  <si>
    <t>流通比例Z</t>
  </si>
  <si>
    <t>市盈(TTM)</t>
  </si>
  <si>
    <t>市盈(静)</t>
  </si>
  <si>
    <t>贝塔系数</t>
  </si>
  <si>
    <t>近日指标提示</t>
  </si>
  <si>
    <t>短期形态</t>
  </si>
  <si>
    <t>中期形态</t>
  </si>
  <si>
    <t>长期形态</t>
  </si>
  <si>
    <t>均涨幅%</t>
  </si>
  <si>
    <t>实体涨幅%</t>
  </si>
  <si>
    <t>回头波%</t>
  </si>
  <si>
    <t>攻击波%</t>
  </si>
  <si>
    <t>财务更新</t>
  </si>
  <si>
    <t>上市日期</t>
  </si>
  <si>
    <t>总股本(亿)</t>
  </si>
  <si>
    <t>B/A股(亿)</t>
  </si>
  <si>
    <t>H股(亿)</t>
  </si>
  <si>
    <t>总资产(亿)</t>
  </si>
  <si>
    <t>买价</t>
  </si>
  <si>
    <t>净资产(亿)</t>
  </si>
  <si>
    <t>少数股权(亿)</t>
  </si>
  <si>
    <t>资产负债率%</t>
  </si>
  <si>
    <t>流动资产(亿)</t>
  </si>
  <si>
    <t>固定资产(亿)</t>
  </si>
  <si>
    <t>无形资产(亿)</t>
  </si>
  <si>
    <t>流动负债(亿)</t>
  </si>
  <si>
    <t>货币资金(亿)</t>
  </si>
  <si>
    <t>存货(亿)</t>
  </si>
  <si>
    <t>应收帐款(亿)</t>
  </si>
  <si>
    <t>预收账款(亿)</t>
  </si>
  <si>
    <t>资本公积金(亿)</t>
  </si>
  <si>
    <t>营业收入(亿)</t>
  </si>
  <si>
    <t>营业成本(亿)</t>
  </si>
  <si>
    <t>营业利润(亿)</t>
  </si>
  <si>
    <t>投资收益(亿)</t>
  </si>
  <si>
    <t>利润总额(亿)</t>
  </si>
  <si>
    <t>税后利润(亿)</t>
  </si>
  <si>
    <t>净利润(亿)</t>
  </si>
  <si>
    <t>涨跌</t>
  </si>
  <si>
    <t>扣非净利润(亿)</t>
  </si>
  <si>
    <t>未分利润(亿)</t>
  </si>
  <si>
    <t>经营现金流(亿)</t>
  </si>
  <si>
    <t>总现金流(亿)</t>
  </si>
  <si>
    <t>股东人数</t>
  </si>
  <si>
    <t>人均持股</t>
  </si>
  <si>
    <t>人均市值</t>
  </si>
  <si>
    <t>利润同比%</t>
  </si>
  <si>
    <t>收入同比%</t>
  </si>
  <si>
    <t>市净率</t>
  </si>
  <si>
    <t>市现率</t>
  </si>
  <si>
    <t>市销率</t>
  </si>
  <si>
    <t>股息率%</t>
  </si>
  <si>
    <t>每股收益</t>
  </si>
  <si>
    <t>每股净资</t>
  </si>
  <si>
    <t>调整后净资</t>
  </si>
  <si>
    <t>每股公积</t>
  </si>
  <si>
    <t>每股未分配</t>
  </si>
  <si>
    <t>每股现金流</t>
  </si>
  <si>
    <t>权益比%</t>
  </si>
  <si>
    <t>净益率%</t>
  </si>
  <si>
    <t>毛利率%</t>
  </si>
  <si>
    <t>营业利润率%</t>
  </si>
  <si>
    <t>净利润率%</t>
  </si>
  <si>
    <t>研发费用(亿)</t>
  </si>
  <si>
    <t>员工人数</t>
  </si>
  <si>
    <t>交易代码</t>
  </si>
  <si>
    <t>自选日</t>
  </si>
  <si>
    <t>自选价</t>
  </si>
  <si>
    <t>自选收益%</t>
  </si>
  <si>
    <t>平安银行</t>
  </si>
  <si>
    <t xml:space="preserve">       1557.05亿</t>
  </si>
  <si>
    <t xml:space="preserve">--  </t>
  </si>
  <si>
    <t xml:space="preserve">       3702.62亿</t>
  </si>
  <si>
    <t>银行</t>
  </si>
  <si>
    <t>深圳</t>
  </si>
  <si>
    <t xml:space="preserve">       3702.65亿</t>
  </si>
  <si>
    <t>KDJ死叉</t>
  </si>
  <si>
    <t>52.46万</t>
  </si>
  <si>
    <t>0.800㈡</t>
  </si>
  <si>
    <t xml:space="preserve">   4.66㈡</t>
  </si>
  <si>
    <t>万 科Ａ</t>
  </si>
  <si>
    <t xml:space="preserve">       1237.77亿</t>
  </si>
  <si>
    <t xml:space="preserve">       1848.28亿</t>
  </si>
  <si>
    <t>全国地产</t>
  </si>
  <si>
    <t xml:space="preserve">       1849.54亿</t>
  </si>
  <si>
    <t>空头排列</t>
  </si>
  <si>
    <t>21.87万</t>
  </si>
  <si>
    <t>0.950㈡</t>
  </si>
  <si>
    <t xml:space="preserve">   4.98㈡</t>
  </si>
  <si>
    <t>国华网安</t>
  </si>
  <si>
    <t xml:space="preserve">         15.81亿</t>
  </si>
  <si>
    <t xml:space="preserve">         23.10亿</t>
  </si>
  <si>
    <t>软件服务</t>
  </si>
  <si>
    <t xml:space="preserve">         30.98亿</t>
  </si>
  <si>
    <t xml:space="preserve">-- -- </t>
  </si>
  <si>
    <t>6.22万</t>
  </si>
  <si>
    <t>0.040㈡</t>
  </si>
  <si>
    <t xml:space="preserve">   0.42㈡</t>
  </si>
  <si>
    <t>深振业Ａ</t>
  </si>
  <si>
    <t xml:space="preserve">         39.04亿</t>
  </si>
  <si>
    <t xml:space="preserve">         61.96亿</t>
  </si>
  <si>
    <t>区域地产</t>
  </si>
  <si>
    <t>5.84万</t>
  </si>
  <si>
    <t>0.287㈡</t>
  </si>
  <si>
    <t xml:space="preserve">   5.18㈡</t>
  </si>
  <si>
    <t>神州高铁</t>
  </si>
  <si>
    <t xml:space="preserve">         39.15亿</t>
  </si>
  <si>
    <t xml:space="preserve">         64.65亿</t>
  </si>
  <si>
    <t>运输设备</t>
  </si>
  <si>
    <t>北京</t>
  </si>
  <si>
    <t xml:space="preserve">         66.74亿</t>
  </si>
  <si>
    <t>4.30万</t>
  </si>
  <si>
    <t>-0.050㈡</t>
  </si>
  <si>
    <t xml:space="preserve">  -2.33㈡</t>
  </si>
  <si>
    <t>中国宝安</t>
  </si>
  <si>
    <t xml:space="preserve">        380.39亿</t>
  </si>
  <si>
    <t xml:space="preserve">        522.53亿</t>
  </si>
  <si>
    <t>综合类</t>
  </si>
  <si>
    <t xml:space="preserve">        528.22亿</t>
  </si>
  <si>
    <t>KDJ金叉</t>
  </si>
  <si>
    <t>29.92万</t>
  </si>
  <si>
    <t>0.264㈡</t>
  </si>
  <si>
    <t xml:space="preserve">   9.06㈡</t>
  </si>
  <si>
    <t>美丽生态</t>
  </si>
  <si>
    <t xml:space="preserve">         16.98亿</t>
  </si>
  <si>
    <t xml:space="preserve">         19.63亿</t>
  </si>
  <si>
    <t>建筑工程</t>
  </si>
  <si>
    <t xml:space="preserve">         30.83亿</t>
  </si>
  <si>
    <t>5.18万</t>
  </si>
  <si>
    <t>0.010㈡</t>
  </si>
  <si>
    <t xml:space="preserve">   1.59㈡</t>
  </si>
  <si>
    <t>深物业A</t>
  </si>
  <si>
    <t xml:space="preserve">         23.51亿</t>
  </si>
  <si>
    <t xml:space="preserve">         66.18亿</t>
  </si>
  <si>
    <t xml:space="preserve">         74.91亿</t>
  </si>
  <si>
    <t>多头排列</t>
  </si>
  <si>
    <t>6.23万</t>
  </si>
  <si>
    <t>1.135㈡</t>
  </si>
  <si>
    <t xml:space="preserve">  16.26㈡</t>
  </si>
  <si>
    <t>南 玻Ａ</t>
  </si>
  <si>
    <t xml:space="preserve">        129.64亿</t>
  </si>
  <si>
    <t xml:space="preserve">        207.82亿</t>
  </si>
  <si>
    <t>玻璃</t>
  </si>
  <si>
    <t xml:space="preserve">        326.11亿</t>
  </si>
  <si>
    <t>16.37万</t>
  </si>
  <si>
    <t>0.440㈡</t>
  </si>
  <si>
    <t xml:space="preserve">  12.01㈡</t>
  </si>
  <si>
    <t>沙河股份</t>
  </si>
  <si>
    <t xml:space="preserve">         10.09亿</t>
  </si>
  <si>
    <t xml:space="preserve">         15.29亿</t>
  </si>
  <si>
    <t>4.79万</t>
  </si>
  <si>
    <t>-0.106㈡</t>
  </si>
  <si>
    <t xml:space="preserve">  -2.46㈡</t>
  </si>
  <si>
    <t>深康佳Ａ</t>
  </si>
  <si>
    <t xml:space="preserve">         79.93亿</t>
  </si>
  <si>
    <t xml:space="preserve">        118.94亿</t>
  </si>
  <si>
    <t>家用电器</t>
  </si>
  <si>
    <t xml:space="preserve">        179.39亿</t>
  </si>
  <si>
    <t>15.73万</t>
  </si>
  <si>
    <t>0.035㈡</t>
  </si>
  <si>
    <t xml:space="preserve">   1.03㈡</t>
  </si>
  <si>
    <t>深中华A</t>
  </si>
  <si>
    <t xml:space="preserve">          9.12亿</t>
  </si>
  <si>
    <t xml:space="preserve">         11.54亿</t>
  </si>
  <si>
    <t>文教休闲</t>
  </si>
  <si>
    <t xml:space="preserve">         21.01亿</t>
  </si>
  <si>
    <t>4.57万</t>
  </si>
  <si>
    <t>0.002㈡</t>
  </si>
  <si>
    <t xml:space="preserve">  11.13㈡</t>
  </si>
  <si>
    <t>深粮控股</t>
  </si>
  <si>
    <t xml:space="preserve">         19.22亿</t>
  </si>
  <si>
    <t xml:space="preserve">         29.55亿</t>
  </si>
  <si>
    <t>其他商业</t>
  </si>
  <si>
    <t xml:space="preserve">         81.83亿</t>
  </si>
  <si>
    <t>4.31万</t>
  </si>
  <si>
    <t>0.212㈡</t>
  </si>
  <si>
    <t xml:space="preserve">   5.48㈡</t>
  </si>
  <si>
    <t>深华发Ａ</t>
  </si>
  <si>
    <t xml:space="preserve">          5.62亿</t>
  </si>
  <si>
    <t xml:space="preserve">         16.47亿</t>
  </si>
  <si>
    <t>元器件</t>
  </si>
  <si>
    <t xml:space="preserve">         25.74亿</t>
  </si>
  <si>
    <t>均线粘合</t>
  </si>
  <si>
    <t>7.10万</t>
  </si>
  <si>
    <t>0.025㈡</t>
  </si>
  <si>
    <t xml:space="preserve">   2.05㈡</t>
  </si>
  <si>
    <t>深科技</t>
  </si>
  <si>
    <t xml:space="preserve">        127.95亿</t>
  </si>
  <si>
    <t xml:space="preserve">        227.96亿</t>
  </si>
  <si>
    <t>IT设备</t>
  </si>
  <si>
    <t xml:space="preserve">        241.89亿</t>
  </si>
  <si>
    <t>MACD死叉</t>
  </si>
  <si>
    <t>9.67万</t>
  </si>
  <si>
    <t>0.180㈡</t>
  </si>
  <si>
    <t xml:space="preserve">   2.99㈡</t>
  </si>
  <si>
    <t>深天地Ａ</t>
  </si>
  <si>
    <t xml:space="preserve">          9.98亿</t>
  </si>
  <si>
    <t xml:space="preserve">         19.68亿</t>
  </si>
  <si>
    <t>其他建材</t>
  </si>
  <si>
    <t>12.57万</t>
  </si>
  <si>
    <t xml:space="preserve">   1.05㈡</t>
  </si>
  <si>
    <t>特 力Ａ</t>
  </si>
  <si>
    <t xml:space="preserve">         17.64亿</t>
  </si>
  <si>
    <t xml:space="preserve">         56.95亿</t>
  </si>
  <si>
    <t>汽车服务</t>
  </si>
  <si>
    <t xml:space="preserve">         62.50亿</t>
  </si>
  <si>
    <t>4.94万</t>
  </si>
  <si>
    <t>0.103㈡</t>
  </si>
  <si>
    <t xml:space="preserve">   3.31㈡</t>
  </si>
  <si>
    <t>飞亚达</t>
  </si>
  <si>
    <t xml:space="preserve">         23.92亿</t>
  </si>
  <si>
    <t xml:space="preserve">         43.92亿</t>
  </si>
  <si>
    <t xml:space="preserve">         52.30亿</t>
  </si>
  <si>
    <t>9.85万</t>
  </si>
  <si>
    <t>0.540㈡</t>
  </si>
  <si>
    <t xml:space="preserve">   8.17㈡</t>
  </si>
  <si>
    <t>深圳能源</t>
  </si>
  <si>
    <t xml:space="preserve">        105.16亿</t>
  </si>
  <si>
    <t xml:space="preserve">        397.72亿</t>
  </si>
  <si>
    <t>火力发电</t>
  </si>
  <si>
    <t>0.350㈡</t>
  </si>
  <si>
    <t xml:space="preserve">   3.69㈡</t>
  </si>
  <si>
    <t>国药一致</t>
  </si>
  <si>
    <t xml:space="preserve">         44.72亿</t>
  </si>
  <si>
    <t xml:space="preserve">        128.56亿</t>
  </si>
  <si>
    <t>医药商业</t>
  </si>
  <si>
    <t xml:space="preserve">        149.67亿</t>
  </si>
  <si>
    <t>14.66万</t>
  </si>
  <si>
    <t>1.730㈡</t>
  </si>
  <si>
    <t xml:space="preserve">   5.17㈡</t>
  </si>
  <si>
    <t>深深房Ａ</t>
  </si>
  <si>
    <t xml:space="preserve">         18.29亿</t>
  </si>
  <si>
    <t xml:space="preserve">         65.54亿</t>
  </si>
  <si>
    <t xml:space="preserve">         74.36亿</t>
  </si>
  <si>
    <t>4.39万</t>
  </si>
  <si>
    <t>0.131㈡</t>
  </si>
  <si>
    <t xml:space="preserve">   3.45㈡</t>
  </si>
  <si>
    <t>富奥股份</t>
  </si>
  <si>
    <t xml:space="preserve">         32.92亿</t>
  </si>
  <si>
    <t xml:space="preserve">        104.90亿</t>
  </si>
  <si>
    <t>汽车配件</t>
  </si>
  <si>
    <t>吉林</t>
  </si>
  <si>
    <t xml:space="preserve">        107.91亿</t>
  </si>
  <si>
    <t>12.09万</t>
  </si>
  <si>
    <t>0.290㈡</t>
  </si>
  <si>
    <t xml:space="preserve">   6.86㈡</t>
  </si>
  <si>
    <t>大悦城</t>
  </si>
  <si>
    <t xml:space="preserve">         35.86亿</t>
  </si>
  <si>
    <t xml:space="preserve">         65.61亿</t>
  </si>
  <si>
    <t xml:space="preserve">        148.74亿</t>
  </si>
  <si>
    <t>2.91万</t>
  </si>
  <si>
    <t>0.140㈡</t>
  </si>
  <si>
    <t xml:space="preserve">   3.20㈡</t>
  </si>
  <si>
    <t>深桑达Ａ</t>
  </si>
  <si>
    <t xml:space="preserve">         31.21亿</t>
  </si>
  <si>
    <t xml:space="preserve">         77.22亿</t>
  </si>
  <si>
    <t xml:space="preserve">        201.07亿</t>
  </si>
  <si>
    <t>17.23万</t>
  </si>
  <si>
    <t xml:space="preserve">   0.78㈡</t>
  </si>
  <si>
    <t>神州数码</t>
  </si>
  <si>
    <t xml:space="preserve">         64.21亿</t>
  </si>
  <si>
    <t xml:space="preserve">         80.09亿</t>
  </si>
  <si>
    <t xml:space="preserve">        105.78亿</t>
  </si>
  <si>
    <t>9.23万</t>
  </si>
  <si>
    <t>-0.210㈡</t>
  </si>
  <si>
    <t xml:space="preserve">  -2.58㈡</t>
  </si>
  <si>
    <t>中国天楹</t>
  </si>
  <si>
    <t xml:space="preserve">         83.32亿</t>
  </si>
  <si>
    <t xml:space="preserve">        116.29亿</t>
  </si>
  <si>
    <t>环境保护</t>
  </si>
  <si>
    <t>江苏</t>
  </si>
  <si>
    <t xml:space="preserve">        119.63亿</t>
  </si>
  <si>
    <t>22.11万</t>
  </si>
  <si>
    <t>0.134㈡</t>
  </si>
  <si>
    <t xml:space="preserve">   2.91㈡</t>
  </si>
  <si>
    <t>华联控股</t>
  </si>
  <si>
    <t xml:space="preserve">         42.33亿</t>
  </si>
  <si>
    <t xml:space="preserve">         63.48亿</t>
  </si>
  <si>
    <t xml:space="preserve">         63.66亿</t>
  </si>
  <si>
    <t>8.46万</t>
  </si>
  <si>
    <t>0.090㈡</t>
  </si>
  <si>
    <t>深南电A</t>
  </si>
  <si>
    <t xml:space="preserve">         16.23亿</t>
  </si>
  <si>
    <t xml:space="preserve">         27.48亿</t>
  </si>
  <si>
    <t xml:space="preserve">         48.88亿</t>
  </si>
  <si>
    <t>10.03万</t>
  </si>
  <si>
    <t xml:space="preserve">   0.07㈡</t>
  </si>
  <si>
    <t>深大通</t>
  </si>
  <si>
    <t xml:space="preserve">         14.25亿</t>
  </si>
  <si>
    <t xml:space="preserve">         21.77亿</t>
  </si>
  <si>
    <t>广告包装</t>
  </si>
  <si>
    <t xml:space="preserve">         47.78亿</t>
  </si>
  <si>
    <t>阶段放量</t>
  </si>
  <si>
    <t>6.37万</t>
  </si>
  <si>
    <t>0.053㈡</t>
  </si>
  <si>
    <t xml:space="preserve">   0.95㈡</t>
  </si>
  <si>
    <t>中集集团</t>
  </si>
  <si>
    <t xml:space="preserve">        234.72亿</t>
  </si>
  <si>
    <t xml:space="preserve">        304.09亿</t>
  </si>
  <si>
    <t>轻工机械</t>
  </si>
  <si>
    <t xml:space="preserve">        304.26亿</t>
  </si>
  <si>
    <t>33.43万</t>
  </si>
  <si>
    <t>1.170㈡</t>
  </si>
  <si>
    <t xml:space="preserve">   9.16㈡</t>
  </si>
  <si>
    <t>东旭蓝天</t>
  </si>
  <si>
    <t xml:space="preserve">         36.14亿</t>
  </si>
  <si>
    <t xml:space="preserve">         42.41亿</t>
  </si>
  <si>
    <t>新型电力</t>
  </si>
  <si>
    <t xml:space="preserve">         59.47亿</t>
  </si>
  <si>
    <t>5.05万</t>
  </si>
  <si>
    <t>-0.130㈡</t>
  </si>
  <si>
    <t xml:space="preserve">  -1.64㈡</t>
  </si>
  <si>
    <t>中洲控股</t>
  </si>
  <si>
    <t xml:space="preserve">         15.82亿</t>
  </si>
  <si>
    <t xml:space="preserve">         51.72亿</t>
  </si>
  <si>
    <t xml:space="preserve">         51.79亿</t>
  </si>
  <si>
    <t>11.46万</t>
  </si>
  <si>
    <t>0.417㈡</t>
  </si>
  <si>
    <t xml:space="preserve">   3.42㈡</t>
  </si>
  <si>
    <t>深纺织Ａ</t>
  </si>
  <si>
    <t xml:space="preserve">         20.89亿</t>
  </si>
  <si>
    <t xml:space="preserve">         42.82亿</t>
  </si>
  <si>
    <t xml:space="preserve">         47.46亿</t>
  </si>
  <si>
    <t>9.37万</t>
  </si>
  <si>
    <t>0.150㈡</t>
  </si>
  <si>
    <t xml:space="preserve">   2.71㈡</t>
  </si>
  <si>
    <t>泛海控股</t>
  </si>
  <si>
    <t xml:space="preserve">         35.78亿</t>
  </si>
  <si>
    <t xml:space="preserve">        110.11亿</t>
  </si>
  <si>
    <t>保险</t>
  </si>
  <si>
    <t xml:space="preserve">        110.16亿</t>
  </si>
  <si>
    <t>6.33万</t>
  </si>
  <si>
    <t>-0.104㈡</t>
  </si>
  <si>
    <t xml:space="preserve">  -3.36㈡</t>
  </si>
  <si>
    <t>京基智农</t>
  </si>
  <si>
    <t xml:space="preserve">         25.32亿</t>
  </si>
  <si>
    <t xml:space="preserve">         93.44亿</t>
  </si>
  <si>
    <t>饲料</t>
  </si>
  <si>
    <t xml:space="preserve">         93.45亿</t>
  </si>
  <si>
    <t>19.49万</t>
  </si>
  <si>
    <t>0.935㈡</t>
  </si>
  <si>
    <t xml:space="preserve">  18.55㈡</t>
  </si>
  <si>
    <t>德赛电池</t>
  </si>
  <si>
    <t xml:space="preserve">         55.91亿</t>
  </si>
  <si>
    <t xml:space="preserve">        101.82亿</t>
  </si>
  <si>
    <t>电气设备</t>
  </si>
  <si>
    <t xml:space="preserve">        102.47亿</t>
  </si>
  <si>
    <t>7.96万</t>
  </si>
  <si>
    <t>0.900㈡</t>
  </si>
  <si>
    <t xml:space="preserve">   9.27㈡</t>
  </si>
  <si>
    <t>深天马Ａ</t>
  </si>
  <si>
    <t xml:space="preserve">        158.57亿</t>
  </si>
  <si>
    <t xml:space="preserve">        322.68亿</t>
  </si>
  <si>
    <t xml:space="preserve">        344.08亿</t>
  </si>
  <si>
    <t>17.53万</t>
  </si>
  <si>
    <t>0.487㈡</t>
  </si>
  <si>
    <t xml:space="preserve">   3.44㈡</t>
  </si>
  <si>
    <t>方大集团</t>
  </si>
  <si>
    <t xml:space="preserve">         25.43亿</t>
  </si>
  <si>
    <t xml:space="preserve">         31.77亿</t>
  </si>
  <si>
    <t xml:space="preserve">         50.36亿</t>
  </si>
  <si>
    <t>7.49万</t>
  </si>
  <si>
    <t>0.100㈡</t>
  </si>
  <si>
    <t xml:space="preserve">   2.03㈡</t>
  </si>
  <si>
    <t>皇庭国际</t>
  </si>
  <si>
    <t xml:space="preserve">         11.13亿</t>
  </si>
  <si>
    <t xml:space="preserve">         28.74亿</t>
  </si>
  <si>
    <t>房产服务</t>
  </si>
  <si>
    <t xml:space="preserve">         37.35亿</t>
  </si>
  <si>
    <t>6.59万</t>
  </si>
  <si>
    <t>-0.020㈡</t>
  </si>
  <si>
    <t xml:space="preserve">  -0.49㈡</t>
  </si>
  <si>
    <t>深 赛 格</t>
  </si>
  <si>
    <t xml:space="preserve">         17.31亿</t>
  </si>
  <si>
    <t xml:space="preserve">         32.30亿</t>
  </si>
  <si>
    <t xml:space="preserve">         74.14亿</t>
  </si>
  <si>
    <t>4.36万</t>
  </si>
  <si>
    <t>0.039㈡</t>
  </si>
  <si>
    <t xml:space="preserve">   2.47㈡</t>
  </si>
  <si>
    <t>华锦股份</t>
  </si>
  <si>
    <t xml:space="preserve">         74.88亿</t>
  </si>
  <si>
    <t xml:space="preserve">        141.39亿</t>
  </si>
  <si>
    <t>石油加工</t>
  </si>
  <si>
    <t>辽宁</t>
  </si>
  <si>
    <t>14.30万</t>
  </si>
  <si>
    <t>0.437㈡</t>
  </si>
  <si>
    <t xml:space="preserve">   4.95㈡</t>
  </si>
  <si>
    <t>中金岭南</t>
  </si>
  <si>
    <t xml:space="preserve">        143.79亿</t>
  </si>
  <si>
    <t xml:space="preserve">        219.48亿</t>
  </si>
  <si>
    <t>铅锌</t>
  </si>
  <si>
    <t xml:space="preserve">        219.55亿</t>
  </si>
  <si>
    <t>9.88万</t>
  </si>
  <si>
    <t>0.190㈡</t>
  </si>
  <si>
    <t xml:space="preserve">   5.28㈡</t>
  </si>
  <si>
    <t>农 产 品</t>
  </si>
  <si>
    <t xml:space="preserve">         37.78亿</t>
  </si>
  <si>
    <t xml:space="preserve">        104.87亿</t>
  </si>
  <si>
    <t>农业综合</t>
  </si>
  <si>
    <t>5.81万</t>
  </si>
  <si>
    <t>0.129㈡</t>
  </si>
  <si>
    <t xml:space="preserve">   3.95㈡</t>
  </si>
  <si>
    <t>深圳华强</t>
  </si>
  <si>
    <t xml:space="preserve">         35.46亿</t>
  </si>
  <si>
    <t xml:space="preserve">        149.37亿</t>
  </si>
  <si>
    <t>批发业</t>
  </si>
  <si>
    <t xml:space="preserve">        149.57亿</t>
  </si>
  <si>
    <t>10.97万</t>
  </si>
  <si>
    <t>0.415㈡</t>
  </si>
  <si>
    <t xml:space="preserve">   7.56㈡</t>
  </si>
  <si>
    <t>中兴通讯</t>
  </si>
  <si>
    <t xml:space="preserve">        976.29亿</t>
  </si>
  <si>
    <t xml:space="preserve">       1317.57亿</t>
  </si>
  <si>
    <t>通信设备</t>
  </si>
  <si>
    <t xml:space="preserve">       1317.77亿</t>
  </si>
  <si>
    <t>18.99万</t>
  </si>
  <si>
    <t>0.880㈡</t>
  </si>
  <si>
    <t xml:space="preserve">   8.69㈡</t>
  </si>
  <si>
    <t>北方国际</t>
  </si>
  <si>
    <t xml:space="preserve">         26.30亿</t>
  </si>
  <si>
    <t xml:space="preserve">         58.38亿</t>
  </si>
  <si>
    <t xml:space="preserve">         66.68亿</t>
  </si>
  <si>
    <t>6.24万</t>
  </si>
  <si>
    <t>0.360㈡</t>
  </si>
  <si>
    <t xml:space="preserve">   4.65㈡</t>
  </si>
  <si>
    <t>中国长城</t>
  </si>
  <si>
    <t xml:space="preserve">        228.55亿</t>
  </si>
  <si>
    <t xml:space="preserve">        394.29亿</t>
  </si>
  <si>
    <t xml:space="preserve">        394.33亿</t>
  </si>
  <si>
    <t>11.20万</t>
  </si>
  <si>
    <t>-0.030㈡</t>
  </si>
  <si>
    <t xml:space="preserve">  -0.91㈡</t>
  </si>
  <si>
    <t>华控赛格</t>
  </si>
  <si>
    <t xml:space="preserve">         32.21亿</t>
  </si>
  <si>
    <t>4.03万</t>
  </si>
  <si>
    <t>-0.045㈡</t>
  </si>
  <si>
    <t xml:space="preserve"> -14.14㈡</t>
  </si>
  <si>
    <t>华侨城Ａ</t>
  </si>
  <si>
    <t xml:space="preserve">        239.69亿</t>
  </si>
  <si>
    <t xml:space="preserve">        469.20亿</t>
  </si>
  <si>
    <t>旅游景点</t>
  </si>
  <si>
    <t xml:space="preserve">        545.42亿</t>
  </si>
  <si>
    <t>20.16万</t>
  </si>
  <si>
    <t>0.200㈡</t>
  </si>
  <si>
    <t xml:space="preserve">   2.01㈡</t>
  </si>
  <si>
    <t>特发信息</t>
  </si>
  <si>
    <t xml:space="preserve">         37.27亿</t>
  </si>
  <si>
    <t xml:space="preserve">         59.97亿</t>
  </si>
  <si>
    <t xml:space="preserve">         61.56亿</t>
  </si>
  <si>
    <t>5.75万</t>
  </si>
  <si>
    <t>0.020㈡</t>
  </si>
  <si>
    <t xml:space="preserve">   0.41㈡</t>
  </si>
  <si>
    <t>海王生物</t>
  </si>
  <si>
    <t xml:space="preserve">         46.64亿</t>
  </si>
  <si>
    <t xml:space="preserve">         87.02亿</t>
  </si>
  <si>
    <t xml:space="preserve">         91.33亿</t>
  </si>
  <si>
    <t>2.62万</t>
  </si>
  <si>
    <t>0.051㈡</t>
  </si>
  <si>
    <t xml:space="preserve">   2.40㈡</t>
  </si>
  <si>
    <t>盐 田 港</t>
  </si>
  <si>
    <t xml:space="preserve">         41.83亿</t>
  </si>
  <si>
    <t xml:space="preserve">        128.65亿</t>
  </si>
  <si>
    <t>港口</t>
  </si>
  <si>
    <t>5.59万</t>
  </si>
  <si>
    <t>0.102㈡</t>
  </si>
  <si>
    <t xml:space="preserve">   2.61㈡</t>
  </si>
  <si>
    <t>深圳机场</t>
  </si>
  <si>
    <t xml:space="preserve">         66.45亿</t>
  </si>
  <si>
    <t xml:space="preserve">        154.42亿</t>
  </si>
  <si>
    <t>机场</t>
  </si>
  <si>
    <t>8.06万</t>
  </si>
  <si>
    <t>0.044㈡</t>
  </si>
  <si>
    <t xml:space="preserve">   0.75㈡</t>
  </si>
  <si>
    <t>天健集团</t>
  </si>
  <si>
    <t xml:space="preserve">         64.34亿</t>
  </si>
  <si>
    <t xml:space="preserve">        106.49亿</t>
  </si>
  <si>
    <t xml:space="preserve">        106.51亿</t>
  </si>
  <si>
    <t>12.39万</t>
  </si>
  <si>
    <t>0.680㈡</t>
  </si>
  <si>
    <t xml:space="preserve">  11.25㈡</t>
  </si>
  <si>
    <t>广聚能源</t>
  </si>
  <si>
    <t xml:space="preserve">         21.90亿</t>
  </si>
  <si>
    <t xml:space="preserve">         47.66亿</t>
  </si>
  <si>
    <t>石油贸易</t>
  </si>
  <si>
    <t xml:space="preserve">         49.26亿</t>
  </si>
  <si>
    <t>8.87万</t>
  </si>
  <si>
    <t>0.080㈡</t>
  </si>
  <si>
    <t xml:space="preserve">   1.46㈡</t>
  </si>
  <si>
    <t>中信海直</t>
  </si>
  <si>
    <t xml:space="preserve">         28.83亿</t>
  </si>
  <si>
    <t xml:space="preserve">         46.97亿</t>
  </si>
  <si>
    <t>空运</t>
  </si>
  <si>
    <t xml:space="preserve">         60.12亿</t>
  </si>
  <si>
    <t>5.71万</t>
  </si>
  <si>
    <t xml:space="preserve">   3.38㈡</t>
  </si>
  <si>
    <t>TCL科技</t>
  </si>
  <si>
    <t xml:space="preserve">        799.14亿</t>
  </si>
  <si>
    <t xml:space="preserve">        888.00亿</t>
  </si>
  <si>
    <t>广东</t>
  </si>
  <si>
    <t xml:space="preserve">        965.31亿</t>
  </si>
  <si>
    <t>10.14万</t>
  </si>
  <si>
    <t>0.500㈡</t>
  </si>
  <si>
    <t xml:space="preserve">  18.06㈡</t>
  </si>
  <si>
    <t>宜华健康</t>
  </si>
  <si>
    <t xml:space="preserve">         13.38亿</t>
  </si>
  <si>
    <t xml:space="preserve">         24.42亿</t>
  </si>
  <si>
    <t>医疗保健</t>
  </si>
  <si>
    <t xml:space="preserve">         26.59亿</t>
  </si>
  <si>
    <t>1.55万</t>
  </si>
  <si>
    <t>-0.199㈡</t>
  </si>
  <si>
    <t>中成股份</t>
  </si>
  <si>
    <t xml:space="preserve">         13.52亿</t>
  </si>
  <si>
    <t xml:space="preserve">         22.47亿</t>
  </si>
  <si>
    <t>商贸代理</t>
  </si>
  <si>
    <t xml:space="preserve">         28.44亿</t>
  </si>
  <si>
    <t>4.95万</t>
  </si>
  <si>
    <t xml:space="preserve">  -4.69㈡</t>
  </si>
  <si>
    <t>丰原药业</t>
  </si>
  <si>
    <t xml:space="preserve">         24.02亿</t>
  </si>
  <si>
    <t xml:space="preserve">         34.54亿</t>
  </si>
  <si>
    <t>化学制药</t>
  </si>
  <si>
    <t>安徽</t>
  </si>
  <si>
    <t xml:space="preserve">         34.55亿</t>
  </si>
  <si>
    <t>6.40万</t>
  </si>
  <si>
    <t>0.204㈡</t>
  </si>
  <si>
    <t xml:space="preserve">   4.30㈡</t>
  </si>
  <si>
    <t>川能动力</t>
  </si>
  <si>
    <t xml:space="preserve">        243.81亿</t>
  </si>
  <si>
    <t xml:space="preserve">        431.04亿</t>
  </si>
  <si>
    <t>四川</t>
  </si>
  <si>
    <t>22.25万</t>
  </si>
  <si>
    <t xml:space="preserve">   5.97㈡</t>
  </si>
  <si>
    <t>华数传媒</t>
  </si>
  <si>
    <t xml:space="preserve">         43.53亿</t>
  </si>
  <si>
    <t xml:space="preserve">        101.91亿</t>
  </si>
  <si>
    <t>影视音像</t>
  </si>
  <si>
    <t>浙江</t>
  </si>
  <si>
    <t xml:space="preserve">        147.49亿</t>
  </si>
  <si>
    <t>9.64万</t>
  </si>
  <si>
    <t>0.232㈡</t>
  </si>
  <si>
    <t xml:space="preserve">   3.15㈡</t>
  </si>
  <si>
    <t>中联重科</t>
  </si>
  <si>
    <t xml:space="preserve">        451.23亿</t>
  </si>
  <si>
    <t xml:space="preserve">        621.56亿</t>
  </si>
  <si>
    <t>工程机械</t>
  </si>
  <si>
    <t>湖南</t>
  </si>
  <si>
    <t xml:space="preserve">        624.19亿</t>
  </si>
  <si>
    <t>11.63万</t>
  </si>
  <si>
    <t>0.590㈡</t>
  </si>
  <si>
    <t xml:space="preserve">   8.76㈡</t>
  </si>
  <si>
    <t>常山北明</t>
  </si>
  <si>
    <t xml:space="preserve">         72.51亿</t>
  </si>
  <si>
    <t xml:space="preserve">        123.96亿</t>
  </si>
  <si>
    <t>河北</t>
  </si>
  <si>
    <t xml:space="preserve">        125.65亿</t>
  </si>
  <si>
    <t>-0.035㈡</t>
  </si>
  <si>
    <t xml:space="preserve">  -0.93㈡</t>
  </si>
  <si>
    <t>国际实业</t>
  </si>
  <si>
    <t xml:space="preserve">         28.68亿</t>
  </si>
  <si>
    <t xml:space="preserve">         37.16亿</t>
  </si>
  <si>
    <t>新疆</t>
  </si>
  <si>
    <t>5.28万</t>
  </si>
  <si>
    <t>0.109㈡</t>
  </si>
  <si>
    <t xml:space="preserve">   2.32㈡</t>
  </si>
  <si>
    <t>申万宏源</t>
  </si>
  <si>
    <t xml:space="preserve">        590.14亿</t>
  </si>
  <si>
    <t xml:space="preserve">       1367.91亿</t>
  </si>
  <si>
    <t>证券</t>
  </si>
  <si>
    <t xml:space="preserve">       1367.93亿</t>
  </si>
  <si>
    <t>20.00万</t>
  </si>
  <si>
    <t xml:space="preserve">   4.90㈡</t>
  </si>
  <si>
    <t>东方盛虹</t>
  </si>
  <si>
    <t xml:space="preserve">        505.78亿</t>
  </si>
  <si>
    <t xml:space="preserve">        621.72亿</t>
  </si>
  <si>
    <t>化纤</t>
  </si>
  <si>
    <t xml:space="preserve">       1735.72亿</t>
  </si>
  <si>
    <t>90.69万</t>
  </si>
  <si>
    <t>0.240㈡</t>
  </si>
  <si>
    <t xml:space="preserve">   5.91㈡</t>
  </si>
  <si>
    <t>美的集团</t>
  </si>
  <si>
    <t xml:space="preserve">       3068.33亿</t>
  </si>
  <si>
    <t xml:space="preserve">       4498.90亿</t>
  </si>
  <si>
    <t xml:space="preserve">       4604.17亿</t>
  </si>
  <si>
    <t>58.95万</t>
  </si>
  <si>
    <t>2.170㈡</t>
  </si>
  <si>
    <t xml:space="preserve">  13.25㈡</t>
  </si>
  <si>
    <t>潍柴动力</t>
  </si>
  <si>
    <t xml:space="preserve">        742.86亿</t>
  </si>
  <si>
    <t xml:space="preserve">        759.22亿</t>
  </si>
  <si>
    <t>山东</t>
  </si>
  <si>
    <t xml:space="preserve">       1214.25亿</t>
  </si>
  <si>
    <t>21.83万</t>
  </si>
  <si>
    <t xml:space="preserve">   9.22㈡</t>
  </si>
  <si>
    <t>许继电气</t>
  </si>
  <si>
    <t xml:space="preserve">        114.48亿</t>
  </si>
  <si>
    <t xml:space="preserve">        201.75亿</t>
  </si>
  <si>
    <t>河南</t>
  </si>
  <si>
    <t xml:space="preserve">        201.77亿</t>
  </si>
  <si>
    <t>12.72万</t>
  </si>
  <si>
    <t>0.426㈡</t>
  </si>
  <si>
    <t xml:space="preserve">   4.77㈡</t>
  </si>
  <si>
    <t>冀东水泥</t>
  </si>
  <si>
    <t xml:space="preserve">        116.44亿</t>
  </si>
  <si>
    <t xml:space="preserve">        193.91亿</t>
  </si>
  <si>
    <t>水泥</t>
  </si>
  <si>
    <t xml:space="preserve">        193.95亿</t>
  </si>
  <si>
    <t>0.830㈡</t>
  </si>
  <si>
    <t xml:space="preserve">   6.46㈡</t>
  </si>
  <si>
    <t>金 融 街</t>
  </si>
  <si>
    <t xml:space="preserve">         63.70亿</t>
  </si>
  <si>
    <t xml:space="preserve">        186.14亿</t>
  </si>
  <si>
    <t xml:space="preserve">        186.21亿</t>
  </si>
  <si>
    <t>8.40万</t>
  </si>
  <si>
    <t xml:space="preserve">   1.67㈡</t>
  </si>
  <si>
    <t>派林生物</t>
  </si>
  <si>
    <t xml:space="preserve">         77.24亿</t>
  </si>
  <si>
    <t xml:space="preserve">        137.98亿</t>
  </si>
  <si>
    <t>生物制药</t>
  </si>
  <si>
    <t>山西</t>
  </si>
  <si>
    <t xml:space="preserve">        188.54亿</t>
  </si>
  <si>
    <t>57.08万</t>
  </si>
  <si>
    <t>0.260㈡</t>
  </si>
  <si>
    <t xml:space="preserve">   2.89㈡</t>
  </si>
  <si>
    <t>长虹华意</t>
  </si>
  <si>
    <t xml:space="preserve">         19.70亿</t>
  </si>
  <si>
    <t xml:space="preserve">         28.41亿</t>
  </si>
  <si>
    <t>专用机械</t>
  </si>
  <si>
    <t>江西</t>
  </si>
  <si>
    <t xml:space="preserve">         28.47亿</t>
  </si>
  <si>
    <t>5.83万</t>
  </si>
  <si>
    <t>0.070㈡</t>
  </si>
  <si>
    <t xml:space="preserve">   1.48㈡</t>
  </si>
  <si>
    <t>胜利股份</t>
  </si>
  <si>
    <t xml:space="preserve">         30.68亿</t>
  </si>
  <si>
    <t xml:space="preserve">         44.31亿</t>
  </si>
  <si>
    <t>供气供热</t>
  </si>
  <si>
    <t xml:space="preserve">         44.53亿</t>
  </si>
  <si>
    <t>7.74万</t>
  </si>
  <si>
    <t xml:space="preserve">   6.75㈡</t>
  </si>
  <si>
    <t>藏格控股</t>
  </si>
  <si>
    <t xml:space="preserve">        144.89亿</t>
  </si>
  <si>
    <t>农药化肥</t>
  </si>
  <si>
    <t>青海</t>
  </si>
  <si>
    <t xml:space="preserve">        610.10亿</t>
  </si>
  <si>
    <t>27.00万</t>
  </si>
  <si>
    <t>0.230㈡</t>
  </si>
  <si>
    <t xml:space="preserve">   5.34㈡</t>
  </si>
  <si>
    <t>云鼎科技</t>
  </si>
  <si>
    <t xml:space="preserve">         17.74亿</t>
  </si>
  <si>
    <t xml:space="preserve">         21.17亿</t>
  </si>
  <si>
    <t xml:space="preserve">         26.67亿</t>
  </si>
  <si>
    <t>上穿BOLL上轨</t>
  </si>
  <si>
    <t>5.22万</t>
  </si>
  <si>
    <t>0.026㈡</t>
  </si>
  <si>
    <t xml:space="preserve">   2.57㈡</t>
  </si>
  <si>
    <t>英特集团</t>
  </si>
  <si>
    <t xml:space="preserve">         11.37亿</t>
  </si>
  <si>
    <t xml:space="preserve">         25.09亿</t>
  </si>
  <si>
    <t xml:space="preserve">         30.12亿</t>
  </si>
  <si>
    <t>3.72万</t>
  </si>
  <si>
    <t>0.370㈡</t>
  </si>
  <si>
    <t xml:space="preserve">   5.05㈡</t>
  </si>
  <si>
    <t>东旭光电</t>
  </si>
  <si>
    <t xml:space="preserve">         99.62亿</t>
  </si>
  <si>
    <t xml:space="preserve">        119.66亿</t>
  </si>
  <si>
    <t xml:space="preserve">        140.96亿</t>
  </si>
  <si>
    <t>3.38万</t>
  </si>
  <si>
    <t>-0.190㈡</t>
  </si>
  <si>
    <t xml:space="preserve">  -4.00㈡</t>
  </si>
  <si>
    <t>渤海租赁</t>
  </si>
  <si>
    <t xml:space="preserve">         57.11亿</t>
  </si>
  <si>
    <t xml:space="preserve">         99.68亿</t>
  </si>
  <si>
    <t>多元金融</t>
  </si>
  <si>
    <t xml:space="preserve">        173.79亿</t>
  </si>
  <si>
    <t>6.60万</t>
  </si>
  <si>
    <t xml:space="preserve">  -4.55㈡</t>
  </si>
  <si>
    <t>民生控股</t>
  </si>
  <si>
    <t xml:space="preserve">         15.77亿</t>
  </si>
  <si>
    <t xml:space="preserve">         20.36亿</t>
  </si>
  <si>
    <t xml:space="preserve">         20.37亿</t>
  </si>
  <si>
    <t>5.08万</t>
  </si>
  <si>
    <t>0.011㈡</t>
  </si>
  <si>
    <t xml:space="preserve">   0.63㈡</t>
  </si>
  <si>
    <t>合肥百货</t>
  </si>
  <si>
    <t xml:space="preserve">         21.67亿</t>
  </si>
  <si>
    <t xml:space="preserve">         34.98亿</t>
  </si>
  <si>
    <t>百货</t>
  </si>
  <si>
    <t xml:space="preserve">         35.02亿</t>
  </si>
  <si>
    <t>7.47万</t>
  </si>
  <si>
    <t>0.177㈡</t>
  </si>
  <si>
    <t xml:space="preserve">   3.35㈡</t>
  </si>
  <si>
    <t>通程控股</t>
  </si>
  <si>
    <t xml:space="preserve">         13.48亿</t>
  </si>
  <si>
    <t xml:space="preserve">         24.23亿</t>
  </si>
  <si>
    <t xml:space="preserve">         24.24亿</t>
  </si>
  <si>
    <t>6.03万</t>
  </si>
  <si>
    <t>0.157㈡</t>
  </si>
  <si>
    <t xml:space="preserve">   2.74㈡</t>
  </si>
  <si>
    <t>吉林化纤</t>
  </si>
  <si>
    <t xml:space="preserve">         68.69亿</t>
  </si>
  <si>
    <t xml:space="preserve">        115.08亿</t>
  </si>
  <si>
    <t xml:space="preserve">        115.14亿</t>
  </si>
  <si>
    <t>MACD金叉</t>
  </si>
  <si>
    <t>13.47万</t>
  </si>
  <si>
    <t>0.019㈡</t>
  </si>
  <si>
    <t xml:space="preserve">   1.32㈡</t>
  </si>
  <si>
    <t>南京公用</t>
  </si>
  <si>
    <t xml:space="preserve">         13.42亿</t>
  </si>
  <si>
    <t xml:space="preserve">         29.32亿</t>
  </si>
  <si>
    <t>3.47万</t>
  </si>
  <si>
    <t xml:space="preserve">   0.70㈡</t>
  </si>
  <si>
    <t>湖北宜化</t>
  </si>
  <si>
    <t xml:space="preserve">        162.63亿</t>
  </si>
  <si>
    <t xml:space="preserve">        223.02亿</t>
  </si>
  <si>
    <t>湖北</t>
  </si>
  <si>
    <t xml:space="preserve">        223.03亿</t>
  </si>
  <si>
    <t>37.33万</t>
  </si>
  <si>
    <t>0.808㈡</t>
  </si>
  <si>
    <t xml:space="preserve">  68.46㈡</t>
  </si>
  <si>
    <t>东阿阿胶</t>
  </si>
  <si>
    <t xml:space="preserve">        146.84亿</t>
  </si>
  <si>
    <t xml:space="preserve">        215.97亿</t>
  </si>
  <si>
    <t>中成药</t>
  </si>
  <si>
    <t xml:space="preserve">        216.02亿</t>
  </si>
  <si>
    <t>17.34万</t>
  </si>
  <si>
    <t xml:space="preserve">   1.55㈡</t>
  </si>
  <si>
    <t>徐工机械</t>
  </si>
  <si>
    <t xml:space="preserve">        299.64亿</t>
  </si>
  <si>
    <t xml:space="preserve">        534.95亿</t>
  </si>
  <si>
    <t xml:space="preserve">        535.82亿</t>
  </si>
  <si>
    <t>11.74万</t>
  </si>
  <si>
    <t>0.480㈡</t>
  </si>
  <si>
    <t xml:space="preserve">  10.39㈡</t>
  </si>
  <si>
    <t>兴业矿业</t>
  </si>
  <si>
    <t xml:space="preserve">         90.64亿</t>
  </si>
  <si>
    <t xml:space="preserve">        137.35亿</t>
  </si>
  <si>
    <t>内蒙</t>
  </si>
  <si>
    <t xml:space="preserve">        171.04亿</t>
  </si>
  <si>
    <t>13.07万</t>
  </si>
  <si>
    <t>0.119㈡</t>
  </si>
  <si>
    <t xml:space="preserve">   4.08㈡</t>
  </si>
  <si>
    <t>华天酒店</t>
  </si>
  <si>
    <t xml:space="preserve">         16.44亿</t>
  </si>
  <si>
    <t xml:space="preserve">         36.78亿</t>
  </si>
  <si>
    <t>酒店餐饮</t>
  </si>
  <si>
    <t>5.39万</t>
  </si>
  <si>
    <t>-0.150㈡</t>
  </si>
  <si>
    <t xml:space="preserve">  -8.07㈡</t>
  </si>
  <si>
    <t>粤高速Ａ</t>
  </si>
  <si>
    <t xml:space="preserve">         36.91亿</t>
  </si>
  <si>
    <t xml:space="preserve">         96.68亿</t>
  </si>
  <si>
    <t>路桥</t>
  </si>
  <si>
    <t xml:space="preserve">        155.14亿</t>
  </si>
  <si>
    <t>11.79万</t>
  </si>
  <si>
    <t>0.410㈡</t>
  </si>
  <si>
    <t xml:space="preserve">  10.37㈡</t>
  </si>
  <si>
    <t>张家界</t>
  </si>
  <si>
    <t xml:space="preserve">         15.48亿</t>
  </si>
  <si>
    <t xml:space="preserve">         19.61亿</t>
  </si>
  <si>
    <t>5.06万</t>
  </si>
  <si>
    <t>-0.070㈡</t>
  </si>
  <si>
    <t xml:space="preserve">  -1.82㈡</t>
  </si>
  <si>
    <t>晨鸣纸业</t>
  </si>
  <si>
    <t xml:space="preserve">        100.35亿</t>
  </si>
  <si>
    <t xml:space="preserve">        138.36亿</t>
  </si>
  <si>
    <t>造纸</t>
  </si>
  <si>
    <t xml:space="preserve">        204.09亿</t>
  </si>
  <si>
    <t>8.98万</t>
  </si>
  <si>
    <t>0.600㈡</t>
  </si>
  <si>
    <t xml:space="preserve">   8.68㈡</t>
  </si>
  <si>
    <t>山东路桥</t>
  </si>
  <si>
    <t xml:space="preserve">         32.56亿</t>
  </si>
  <si>
    <t xml:space="preserve">         36.54亿</t>
  </si>
  <si>
    <t xml:space="preserve">        110.86亿</t>
  </si>
  <si>
    <t>7.98万</t>
  </si>
  <si>
    <t>0.501㈡</t>
  </si>
  <si>
    <t xml:space="preserve">   8.27㈡</t>
  </si>
  <si>
    <t>鄂武商Ａ</t>
  </si>
  <si>
    <t xml:space="preserve">         49.11亿</t>
  </si>
  <si>
    <t xml:space="preserve">         86.18亿</t>
  </si>
  <si>
    <t xml:space="preserve">         86.28亿</t>
  </si>
  <si>
    <t>13.02万</t>
  </si>
  <si>
    <t xml:space="preserve">   4.41㈡</t>
  </si>
  <si>
    <t>国新健康</t>
  </si>
  <si>
    <t xml:space="preserve">         45.62亿</t>
  </si>
  <si>
    <t xml:space="preserve">         61.84亿</t>
  </si>
  <si>
    <t>海南</t>
  </si>
  <si>
    <t>8.52万</t>
  </si>
  <si>
    <t xml:space="preserve"> -11.07㈡</t>
  </si>
  <si>
    <t>南华生物</t>
  </si>
  <si>
    <t xml:space="preserve">         37.17亿</t>
  </si>
  <si>
    <t xml:space="preserve">         69.84亿</t>
  </si>
  <si>
    <t xml:space="preserve">         70.04亿</t>
  </si>
  <si>
    <t>32.65万</t>
  </si>
  <si>
    <t xml:space="preserve"> -31.07㈡</t>
  </si>
  <si>
    <t>京粮控股</t>
  </si>
  <si>
    <t xml:space="preserve">         20.34亿</t>
  </si>
  <si>
    <t xml:space="preserve">         44.61亿</t>
  </si>
  <si>
    <t>食品</t>
  </si>
  <si>
    <t xml:space="preserve">         52.34亿</t>
  </si>
  <si>
    <t>4.04万</t>
  </si>
  <si>
    <t>0.120㈡</t>
  </si>
  <si>
    <t xml:space="preserve">   3.16㈡</t>
  </si>
  <si>
    <t>中润资源</t>
  </si>
  <si>
    <t xml:space="preserve">         22.55亿</t>
  </si>
  <si>
    <t xml:space="preserve">         35.84亿</t>
  </si>
  <si>
    <t>黄金</t>
  </si>
  <si>
    <t>3.05万</t>
  </si>
  <si>
    <t>-0.068㈡</t>
  </si>
  <si>
    <t xml:space="preserve"> -12.54㈡</t>
  </si>
  <si>
    <t>珠海港</t>
  </si>
  <si>
    <t xml:space="preserve">         45.80亿</t>
  </si>
  <si>
    <t xml:space="preserve">         60.71亿</t>
  </si>
  <si>
    <t xml:space="preserve">         67.23亿</t>
  </si>
  <si>
    <t>0.250㈡</t>
  </si>
  <si>
    <t xml:space="preserve">   4.37㈡</t>
  </si>
  <si>
    <t>新金路</t>
  </si>
  <si>
    <t xml:space="preserve">         37.11亿</t>
  </si>
  <si>
    <t xml:space="preserve">         41.90亿</t>
  </si>
  <si>
    <t>化工原料</t>
  </si>
  <si>
    <t xml:space="preserve">         45.32亿</t>
  </si>
  <si>
    <t>8.27万</t>
  </si>
  <si>
    <t>0.266㈡</t>
  </si>
  <si>
    <t xml:space="preserve">  14.27㈡</t>
  </si>
  <si>
    <t>丽珠集团</t>
  </si>
  <si>
    <t xml:space="preserve">        142.43亿</t>
  </si>
  <si>
    <t xml:space="preserve">        235.33亿</t>
  </si>
  <si>
    <t xml:space="preserve">        243.00亿</t>
  </si>
  <si>
    <t>24.32万</t>
  </si>
  <si>
    <t>1.140㈡</t>
  </si>
  <si>
    <t xml:space="preserve">   8.85㈡</t>
  </si>
  <si>
    <t>渝 开 发</t>
  </si>
  <si>
    <t xml:space="preserve">         10.13亿</t>
  </si>
  <si>
    <t xml:space="preserve">         27.51亿</t>
  </si>
  <si>
    <t>重庆</t>
  </si>
  <si>
    <t>2.31万</t>
  </si>
  <si>
    <t>-0.015㈡</t>
  </si>
  <si>
    <t xml:space="preserve">  -0.37㈡</t>
  </si>
  <si>
    <t>国际医学</t>
  </si>
  <si>
    <t xml:space="preserve">        137.63亿</t>
  </si>
  <si>
    <t xml:space="preserve">        189.93亿</t>
  </si>
  <si>
    <t>陕西</t>
  </si>
  <si>
    <t xml:space="preserve">        228.28亿</t>
  </si>
  <si>
    <t>13.73万</t>
  </si>
  <si>
    <t>-0.160㈡</t>
  </si>
  <si>
    <t xml:space="preserve">  -6.13㈡</t>
  </si>
  <si>
    <t>荣安地产</t>
  </si>
  <si>
    <t xml:space="preserve">         14.76亿</t>
  </si>
  <si>
    <t xml:space="preserve">         63.67亿</t>
  </si>
  <si>
    <t xml:space="preserve">         81.19亿</t>
  </si>
  <si>
    <t>3.53万</t>
  </si>
  <si>
    <t>0.227㈡</t>
  </si>
  <si>
    <t xml:space="preserve">   8.20㈡</t>
  </si>
  <si>
    <t>四环生物</t>
  </si>
  <si>
    <t xml:space="preserve">         21.95亿</t>
  </si>
  <si>
    <t xml:space="preserve">         35.11亿</t>
  </si>
  <si>
    <t>1.72万</t>
  </si>
  <si>
    <t>-0.027㈡</t>
  </si>
  <si>
    <t xml:space="preserve">  -4.51㈡</t>
  </si>
  <si>
    <t>中兵红箭</t>
  </si>
  <si>
    <t xml:space="preserve">        182.94亿</t>
  </si>
  <si>
    <t xml:space="preserve">        313.09亿</t>
  </si>
  <si>
    <t xml:space="preserve">        313.33亿</t>
  </si>
  <si>
    <t>18.60万</t>
  </si>
  <si>
    <t>0.235㈡</t>
  </si>
  <si>
    <t>长航凤凰</t>
  </si>
  <si>
    <t xml:space="preserve">         27.85亿</t>
  </si>
  <si>
    <t xml:space="preserve">         41.80亿</t>
  </si>
  <si>
    <t>水运</t>
  </si>
  <si>
    <t>3.61万</t>
  </si>
  <si>
    <t>0.034㈡</t>
  </si>
  <si>
    <t xml:space="preserve">   7.48㈡</t>
  </si>
  <si>
    <t>长虹美菱</t>
  </si>
  <si>
    <t xml:space="preserve">         22.10亿</t>
  </si>
  <si>
    <t xml:space="preserve">         30.87亿</t>
  </si>
  <si>
    <t xml:space="preserve">         36.87亿</t>
  </si>
  <si>
    <t>3.65万</t>
  </si>
  <si>
    <t>0.036㈡</t>
  </si>
  <si>
    <t xml:space="preserve">   0.77㈡</t>
  </si>
  <si>
    <t>岭南控股</t>
  </si>
  <si>
    <t xml:space="preserve">         12.05亿</t>
  </si>
  <si>
    <t xml:space="preserve">         46.24亿</t>
  </si>
  <si>
    <t>4.13万</t>
  </si>
  <si>
    <t>-0.140㈡</t>
  </si>
  <si>
    <t xml:space="preserve">  -4.20㈡</t>
  </si>
  <si>
    <t>学大教育</t>
  </si>
  <si>
    <t xml:space="preserve">         10.44亿</t>
  </si>
  <si>
    <t xml:space="preserve">         19.64亿</t>
  </si>
  <si>
    <t>福建</t>
  </si>
  <si>
    <t xml:space="preserve">         24.05亿</t>
  </si>
  <si>
    <t>7.39万</t>
  </si>
  <si>
    <t>0.941㈡</t>
  </si>
  <si>
    <t xml:space="preserve">  10.33㈡</t>
  </si>
  <si>
    <t>柳 工</t>
  </si>
  <si>
    <t xml:space="preserve">         80.95亿</t>
  </si>
  <si>
    <t xml:space="preserve">        124.29亿</t>
  </si>
  <si>
    <t>广西</t>
  </si>
  <si>
    <t xml:space="preserve">        124.95亿</t>
  </si>
  <si>
    <t>8.44万</t>
  </si>
  <si>
    <t>0.520㈡</t>
  </si>
  <si>
    <t xml:space="preserve">   6.43㈡</t>
  </si>
  <si>
    <t>广弘控股</t>
  </si>
  <si>
    <t xml:space="preserve">         14.85亿</t>
  </si>
  <si>
    <t xml:space="preserve">         33.40亿</t>
  </si>
  <si>
    <t xml:space="preserve">         34.21亿</t>
  </si>
  <si>
    <t>3.87万</t>
  </si>
  <si>
    <t xml:space="preserve">   8.26㈡</t>
  </si>
  <si>
    <t>冰山冷热</t>
  </si>
  <si>
    <t xml:space="preserve">         16.89亿</t>
  </si>
  <si>
    <t xml:space="preserve">         23.64亿</t>
  </si>
  <si>
    <t>机械基件</t>
  </si>
  <si>
    <t xml:space="preserve">         33.31亿</t>
  </si>
  <si>
    <t>6.50万</t>
  </si>
  <si>
    <t xml:space="preserve">  -0.44㈡</t>
  </si>
  <si>
    <t>穗恒运Ａ</t>
  </si>
  <si>
    <t xml:space="preserve">         55.90亿</t>
  </si>
  <si>
    <t>7.41万</t>
  </si>
  <si>
    <t>0.320㈡</t>
  </si>
  <si>
    <t xml:space="preserve">   4.29㈡</t>
  </si>
  <si>
    <t>华金资本</t>
  </si>
  <si>
    <t xml:space="preserve">         24.08亿</t>
  </si>
  <si>
    <t xml:space="preserve">         47.55亿</t>
  </si>
  <si>
    <t xml:space="preserve">         47.71亿</t>
  </si>
  <si>
    <t>7.83万</t>
  </si>
  <si>
    <t>0.085㈡</t>
  </si>
  <si>
    <t>顺钠股份</t>
  </si>
  <si>
    <t xml:space="preserve">         14.20亿</t>
  </si>
  <si>
    <t xml:space="preserve">         23.29亿</t>
  </si>
  <si>
    <t xml:space="preserve">         23.49亿</t>
  </si>
  <si>
    <t>3.48万</t>
  </si>
  <si>
    <t>0.014㈡</t>
  </si>
  <si>
    <t xml:space="preserve">   1.36㈡</t>
  </si>
  <si>
    <t>万泽股份</t>
  </si>
  <si>
    <t xml:space="preserve">         36.39亿</t>
  </si>
  <si>
    <t xml:space="preserve">         75.69亿</t>
  </si>
  <si>
    <t xml:space="preserve">         76.22亿</t>
  </si>
  <si>
    <t>21.50万</t>
  </si>
  <si>
    <t>0.130㈡</t>
  </si>
  <si>
    <t xml:space="preserve">   6.36㈡</t>
  </si>
  <si>
    <t>华映科技</t>
  </si>
  <si>
    <t xml:space="preserve">         33.35亿</t>
  </si>
  <si>
    <t xml:space="preserve">         71.01亿</t>
  </si>
  <si>
    <t xml:space="preserve">         71.09亿</t>
  </si>
  <si>
    <t>6.04万</t>
  </si>
  <si>
    <t xml:space="preserve">  -1.37㈡</t>
  </si>
  <si>
    <t>广宇发展</t>
  </si>
  <si>
    <t xml:space="preserve">         50.51亿</t>
  </si>
  <si>
    <t xml:space="preserve">        196.69亿</t>
  </si>
  <si>
    <t>天津</t>
  </si>
  <si>
    <t xml:space="preserve">        211.58亿</t>
  </si>
  <si>
    <t>顶部放量</t>
  </si>
  <si>
    <t>15.97万</t>
  </si>
  <si>
    <t>0.510㈡</t>
  </si>
  <si>
    <t xml:space="preserve">   6.00㈡</t>
  </si>
  <si>
    <t>云南白药</t>
  </si>
  <si>
    <t xml:space="preserve">        440.00亿</t>
  </si>
  <si>
    <t xml:space="preserve">        572.50亿</t>
  </si>
  <si>
    <t>云南</t>
  </si>
  <si>
    <t xml:space="preserve">       1212.62亿</t>
  </si>
  <si>
    <t>28.27万</t>
  </si>
  <si>
    <t>1.410㈡</t>
  </si>
  <si>
    <t xml:space="preserve">   4.86㈡</t>
  </si>
  <si>
    <t>粤电力Ａ</t>
  </si>
  <si>
    <t xml:space="preserve">         34.22亿</t>
  </si>
  <si>
    <t xml:space="preserve">        107.26亿</t>
  </si>
  <si>
    <t xml:space="preserve">        220.51亿</t>
  </si>
  <si>
    <t>7.52万</t>
  </si>
  <si>
    <t>0.021㈡</t>
  </si>
  <si>
    <t xml:space="preserve">   0.40㈡</t>
  </si>
  <si>
    <t>中天金融</t>
  </si>
  <si>
    <t xml:space="preserve">        111.04亿</t>
  </si>
  <si>
    <t xml:space="preserve">        207.09亿</t>
  </si>
  <si>
    <t>贵州</t>
  </si>
  <si>
    <t xml:space="preserve">        208.06亿</t>
  </si>
  <si>
    <t>6.06万</t>
  </si>
  <si>
    <t xml:space="preserve">   0.22㈡</t>
  </si>
  <si>
    <t>佛山照明</t>
  </si>
  <si>
    <t xml:space="preserve">         32.97亿</t>
  </si>
  <si>
    <t xml:space="preserve">         65.13亿</t>
  </si>
  <si>
    <t xml:space="preserve">         84.94亿</t>
  </si>
  <si>
    <t>7.46万</t>
  </si>
  <si>
    <t xml:space="preserve">   1.87㈡</t>
  </si>
  <si>
    <t>皖能电力</t>
  </si>
  <si>
    <t xml:space="preserve">         40.27亿</t>
  </si>
  <si>
    <t xml:space="preserve">         73.23亿</t>
  </si>
  <si>
    <t xml:space="preserve">         92.71亿</t>
  </si>
  <si>
    <t>6.07万</t>
  </si>
  <si>
    <t>0.045㈡</t>
  </si>
  <si>
    <t xml:space="preserve">   0.74㈡</t>
  </si>
  <si>
    <t>中原环保</t>
  </si>
  <si>
    <t xml:space="preserve">         19.60亿</t>
  </si>
  <si>
    <t xml:space="preserve">         62.67亿</t>
  </si>
  <si>
    <t>5.94万</t>
  </si>
  <si>
    <t>金浦钛业</t>
  </si>
  <si>
    <t xml:space="preserve">         38.58亿</t>
  </si>
  <si>
    <t xml:space="preserve">         58.73亿</t>
  </si>
  <si>
    <t xml:space="preserve">         58.82亿</t>
  </si>
  <si>
    <t>4.46万</t>
  </si>
  <si>
    <t>0.114㈡</t>
  </si>
  <si>
    <t xml:space="preserve">   5.85㈡</t>
  </si>
  <si>
    <t>金圆股份</t>
  </si>
  <si>
    <t xml:space="preserve">         33.55亿</t>
  </si>
  <si>
    <t xml:space="preserve">         53.65亿</t>
  </si>
  <si>
    <t xml:space="preserve">         53.67亿</t>
  </si>
  <si>
    <t>16.33万</t>
  </si>
  <si>
    <t>0.280㈡</t>
  </si>
  <si>
    <t xml:space="preserve">   4.19㈡</t>
  </si>
  <si>
    <t>航天发展</t>
  </si>
  <si>
    <t xml:space="preserve">        195.15亿</t>
  </si>
  <si>
    <t xml:space="preserve">        254.02亿</t>
  </si>
  <si>
    <t>11.36万</t>
  </si>
  <si>
    <t xml:space="preserve">   3.60㈡</t>
  </si>
  <si>
    <t>湖南投资</t>
  </si>
  <si>
    <t xml:space="preserve">         19.77亿</t>
  </si>
  <si>
    <t>2.46万</t>
  </si>
  <si>
    <t>0.060㈡</t>
  </si>
  <si>
    <t>江铃汽车</t>
  </si>
  <si>
    <t xml:space="preserve">         29.95亿</t>
  </si>
  <si>
    <t xml:space="preserve">         94.52亿</t>
  </si>
  <si>
    <t>汽车整车</t>
  </si>
  <si>
    <t xml:space="preserve">        157.36亿</t>
  </si>
  <si>
    <t>18.97万</t>
  </si>
  <si>
    <t>0.470㈡</t>
  </si>
  <si>
    <t xml:space="preserve">   4.83㈡</t>
  </si>
  <si>
    <t>创元科技</t>
  </si>
  <si>
    <t xml:space="preserve">         28.22亿</t>
  </si>
  <si>
    <t xml:space="preserve">         47.65亿</t>
  </si>
  <si>
    <t>10.36万</t>
  </si>
  <si>
    <t xml:space="preserve">   3.66㈡</t>
  </si>
  <si>
    <t>靖远煤电</t>
  </si>
  <si>
    <t xml:space="preserve">         43.15亿</t>
  </si>
  <si>
    <t xml:space="preserve">         87.01亿</t>
  </si>
  <si>
    <t>煤炭开采</t>
  </si>
  <si>
    <t>甘肃</t>
  </si>
  <si>
    <t xml:space="preserve">         87.13亿</t>
  </si>
  <si>
    <t>8.95万</t>
  </si>
  <si>
    <t>0.125㈡</t>
  </si>
  <si>
    <t>安道麦A</t>
  </si>
  <si>
    <t xml:space="preserve">         37.30亿</t>
  </si>
  <si>
    <t xml:space="preserve">        232.73亿</t>
  </si>
  <si>
    <t xml:space="preserve">        249.06亿</t>
  </si>
  <si>
    <t>11.85万</t>
  </si>
  <si>
    <t>0.160㈡</t>
  </si>
  <si>
    <t xml:space="preserve">   1.71㈡</t>
  </si>
  <si>
    <t>泰山石油</t>
  </si>
  <si>
    <t xml:space="preserve">         18.68亿</t>
  </si>
  <si>
    <t xml:space="preserve">         24.76亿</t>
  </si>
  <si>
    <t>4.63万</t>
  </si>
  <si>
    <t>0.003㈡</t>
  </si>
  <si>
    <t xml:space="preserve">   0.16㈡</t>
  </si>
  <si>
    <t>神州信息</t>
  </si>
  <si>
    <t xml:space="preserve">         62.14亿</t>
  </si>
  <si>
    <t xml:space="preserve">        129.87亿</t>
  </si>
  <si>
    <t xml:space="preserve">        131.30亿</t>
  </si>
  <si>
    <t>EXPMA金叉</t>
  </si>
  <si>
    <t>8.10万</t>
  </si>
  <si>
    <t xml:space="preserve">   3.10㈡</t>
  </si>
  <si>
    <t>西部创业</t>
  </si>
  <si>
    <t xml:space="preserve">         31.64亿</t>
  </si>
  <si>
    <t xml:space="preserve">         57.73亿</t>
  </si>
  <si>
    <t>铁路</t>
  </si>
  <si>
    <t>宁夏</t>
  </si>
  <si>
    <t xml:space="preserve">         57.75亿</t>
  </si>
  <si>
    <t>6.25万</t>
  </si>
  <si>
    <t xml:space="preserve">   2.85㈡</t>
  </si>
  <si>
    <t>莱茵体育</t>
  </si>
  <si>
    <t xml:space="preserve">         39.55亿</t>
  </si>
  <si>
    <t xml:space="preserve">         39.58亿</t>
  </si>
  <si>
    <t>3.24万</t>
  </si>
  <si>
    <t>-0.039㈡</t>
  </si>
  <si>
    <t xml:space="preserve">  -4.32㈡</t>
  </si>
  <si>
    <t>万向钱潮</t>
  </si>
  <si>
    <t xml:space="preserve">         78.80亿</t>
  </si>
  <si>
    <t xml:space="preserve">        182.26亿</t>
  </si>
  <si>
    <t xml:space="preserve">        218.71亿</t>
  </si>
  <si>
    <t>7.97万</t>
  </si>
  <si>
    <t xml:space="preserve">   3.81㈡</t>
  </si>
  <si>
    <t>我爱我家</t>
  </si>
  <si>
    <t xml:space="preserve">         48.26亿</t>
  </si>
  <si>
    <t xml:space="preserve">         75.60亿</t>
  </si>
  <si>
    <t xml:space="preserve">         79.14亿</t>
  </si>
  <si>
    <t xml:space="preserve">   3.54㈡</t>
  </si>
  <si>
    <t>烽火电子</t>
  </si>
  <si>
    <t xml:space="preserve">         20.68亿</t>
  </si>
  <si>
    <t xml:space="preserve">         45.85亿</t>
  </si>
  <si>
    <t xml:space="preserve">         46.26亿</t>
  </si>
  <si>
    <t>4.35万</t>
  </si>
  <si>
    <t>陕国投Ａ</t>
  </si>
  <si>
    <t xml:space="preserve">         58.86亿</t>
  </si>
  <si>
    <t xml:space="preserve">        134.38亿</t>
  </si>
  <si>
    <t>6.09万</t>
  </si>
  <si>
    <t>0.111㈡</t>
  </si>
  <si>
    <t xml:space="preserve">   3.64㈡</t>
  </si>
  <si>
    <t>渝三峡Ａ</t>
  </si>
  <si>
    <t xml:space="preserve">         18.41亿</t>
  </si>
  <si>
    <t xml:space="preserve">         30.96亿</t>
  </si>
  <si>
    <t>染料涂料</t>
  </si>
  <si>
    <t>5.49万</t>
  </si>
  <si>
    <t>0.110㈡</t>
  </si>
  <si>
    <t xml:space="preserve">   3.87㈡</t>
  </si>
  <si>
    <t>海南海药</t>
  </si>
  <si>
    <t xml:space="preserve">         35.04亿</t>
  </si>
  <si>
    <t xml:space="preserve">         55.35亿</t>
  </si>
  <si>
    <t xml:space="preserve">         61.62亿</t>
  </si>
  <si>
    <t>-0.291㈡</t>
  </si>
  <si>
    <t xml:space="preserve"> -11.37㈡</t>
  </si>
  <si>
    <t>海德股份</t>
  </si>
  <si>
    <t xml:space="preserve">         85.64亿</t>
  </si>
  <si>
    <t xml:space="preserve">         94.62亿</t>
  </si>
  <si>
    <t xml:space="preserve">         94.82亿</t>
  </si>
  <si>
    <t>34.93万</t>
  </si>
  <si>
    <t>0.187㈡</t>
  </si>
  <si>
    <t xml:space="preserve">   2.68㈡</t>
  </si>
  <si>
    <t>泸州老窖</t>
  </si>
  <si>
    <t xml:space="preserve">       1249.33亿</t>
  </si>
  <si>
    <t xml:space="preserve">       2550.71亿</t>
  </si>
  <si>
    <t>白酒</t>
  </si>
  <si>
    <t xml:space="preserve">       2551.60亿</t>
  </si>
  <si>
    <t>57.16万</t>
  </si>
  <si>
    <t>2.890㈡</t>
  </si>
  <si>
    <t xml:space="preserve">  17.39㈡</t>
  </si>
  <si>
    <t>苏常柴Ａ</t>
  </si>
  <si>
    <t xml:space="preserve">         15.59亿</t>
  </si>
  <si>
    <t xml:space="preserve">         26.66亿</t>
  </si>
  <si>
    <t xml:space="preserve">         45.73亿</t>
  </si>
  <si>
    <t>4.83万</t>
  </si>
  <si>
    <t xml:space="preserve">   4.13㈡</t>
  </si>
  <si>
    <t>海马汽车</t>
  </si>
  <si>
    <t xml:space="preserve">         76.58亿</t>
  </si>
  <si>
    <t xml:space="preserve">        116.92亿</t>
  </si>
  <si>
    <t xml:space="preserve">        117.10亿</t>
  </si>
  <si>
    <t>7.15万</t>
  </si>
  <si>
    <t xml:space="preserve">  -2.37㈡</t>
  </si>
  <si>
    <t>粤宏远Ａ</t>
  </si>
  <si>
    <t xml:space="preserve">         16.78亿</t>
  </si>
  <si>
    <t xml:space="preserve">         21.19亿</t>
  </si>
  <si>
    <t>3.97万</t>
  </si>
  <si>
    <t>0.173㈡</t>
  </si>
  <si>
    <t xml:space="preserve">   6.69㈡</t>
  </si>
  <si>
    <t>甘化科工</t>
  </si>
  <si>
    <t xml:space="preserve">         34.23亿</t>
  </si>
  <si>
    <t xml:space="preserve">         60.47亿</t>
  </si>
  <si>
    <t xml:space="preserve">         63.15亿</t>
  </si>
  <si>
    <t>10.28万</t>
  </si>
  <si>
    <t>0.170㈡</t>
  </si>
  <si>
    <t xml:space="preserve">   4.40㈡</t>
  </si>
  <si>
    <t>威孚高科</t>
  </si>
  <si>
    <t xml:space="preserve">        107.64亿</t>
  </si>
  <si>
    <t xml:space="preserve">        176.71亿</t>
  </si>
  <si>
    <t xml:space="preserve">        218.24亿</t>
  </si>
  <si>
    <t>20.76万</t>
  </si>
  <si>
    <t>1.660㈡</t>
  </si>
  <si>
    <t xml:space="preserve">   8.93㈡</t>
  </si>
  <si>
    <t>北部湾港</t>
  </si>
  <si>
    <t xml:space="preserve">        105.02亿</t>
  </si>
  <si>
    <t xml:space="preserve">        135.41亿</t>
  </si>
  <si>
    <t>8.13万</t>
  </si>
  <si>
    <t xml:space="preserve">   4.88㈡</t>
  </si>
  <si>
    <t>哈工智能</t>
  </si>
  <si>
    <t xml:space="preserve">         33.17亿</t>
  </si>
  <si>
    <t xml:space="preserve">         44.19亿</t>
  </si>
  <si>
    <t>7.26万</t>
  </si>
  <si>
    <t>-0.073㈡</t>
  </si>
  <si>
    <t xml:space="preserve">  -2.38㈡</t>
  </si>
  <si>
    <t>汇源通信</t>
  </si>
  <si>
    <t xml:space="preserve">         10.47亿</t>
  </si>
  <si>
    <t xml:space="preserve">         17.39亿</t>
  </si>
  <si>
    <t xml:space="preserve">   5.37㈡</t>
  </si>
  <si>
    <t>贵州轮胎</t>
  </si>
  <si>
    <t xml:space="preserve">         33.41亿</t>
  </si>
  <si>
    <t xml:space="preserve">         44.74亿</t>
  </si>
  <si>
    <t xml:space="preserve">         55.18亿</t>
  </si>
  <si>
    <t>6.02万</t>
  </si>
  <si>
    <t>启迪药业</t>
  </si>
  <si>
    <t xml:space="preserve">         11.21亿</t>
  </si>
  <si>
    <t xml:space="preserve">         20.83亿</t>
  </si>
  <si>
    <t>6.78万</t>
  </si>
  <si>
    <t>0.122㈡</t>
  </si>
  <si>
    <t xml:space="preserve">   4.33㈡</t>
  </si>
  <si>
    <t>太阳能</t>
  </si>
  <si>
    <t xml:space="preserve">        175.17亿</t>
  </si>
  <si>
    <t xml:space="preserve">        181.71亿</t>
  </si>
  <si>
    <t xml:space="preserve">        268.23亿</t>
  </si>
  <si>
    <t>10.30万</t>
  </si>
  <si>
    <t>0.270㈡</t>
  </si>
  <si>
    <t xml:space="preserve">   5.61㈡</t>
  </si>
  <si>
    <t>平潭发展</t>
  </si>
  <si>
    <t xml:space="preserve">         47.57亿</t>
  </si>
  <si>
    <t xml:space="preserve">         59.91亿</t>
  </si>
  <si>
    <t>林业</t>
  </si>
  <si>
    <t xml:space="preserve">         60.46亿</t>
  </si>
  <si>
    <t>4.06万</t>
  </si>
  <si>
    <t>0.022㈡</t>
  </si>
  <si>
    <t xml:space="preserve">   1.43㈡</t>
  </si>
  <si>
    <t>大通燃气</t>
  </si>
  <si>
    <t xml:space="preserve">         12.74亿</t>
  </si>
  <si>
    <t xml:space="preserve">         22.48亿</t>
  </si>
  <si>
    <t xml:space="preserve">         22.49亿</t>
  </si>
  <si>
    <t>3.81万</t>
  </si>
  <si>
    <t>0.050㈡</t>
  </si>
  <si>
    <t xml:space="preserve">   1.68㈡</t>
  </si>
  <si>
    <t>宝塔实业</t>
  </si>
  <si>
    <t xml:space="preserve">         11.34亿</t>
  </si>
  <si>
    <t xml:space="preserve">         31.92亿</t>
  </si>
  <si>
    <t xml:space="preserve">         32.00亿</t>
  </si>
  <si>
    <t>3.25万</t>
  </si>
  <si>
    <t>-0.040㈡</t>
  </si>
  <si>
    <t>古井贡酒</t>
  </si>
  <si>
    <t xml:space="preserve">        238.98亿</t>
  </si>
  <si>
    <t xml:space="preserve">        817.07亿</t>
  </si>
  <si>
    <t xml:space="preserve">       1125.92亿</t>
  </si>
  <si>
    <t>149.02万</t>
  </si>
  <si>
    <t>2.740㈡</t>
  </si>
  <si>
    <t xml:space="preserve">   8.83㈡</t>
  </si>
  <si>
    <t>东北制药</t>
  </si>
  <si>
    <t xml:space="preserve">         30.46亿</t>
  </si>
  <si>
    <t xml:space="preserve">         73.09亿</t>
  </si>
  <si>
    <t xml:space="preserve">         74.40亿</t>
  </si>
  <si>
    <t>8.51万</t>
  </si>
  <si>
    <t>兴蓉环境</t>
  </si>
  <si>
    <t xml:space="preserve">         71.86亿</t>
  </si>
  <si>
    <t xml:space="preserve">        164.54亿</t>
  </si>
  <si>
    <t>水务</t>
  </si>
  <si>
    <t>7.06万</t>
  </si>
  <si>
    <t xml:space="preserve">   5.58㈡</t>
  </si>
  <si>
    <t>青岛双星</t>
  </si>
  <si>
    <t xml:space="preserve">         18.89亿</t>
  </si>
  <si>
    <t xml:space="preserve">         32.34亿</t>
  </si>
  <si>
    <t xml:space="preserve">  -0.65㈡</t>
  </si>
  <si>
    <t>建投能源</t>
  </si>
  <si>
    <t xml:space="preserve">         30.54亿</t>
  </si>
  <si>
    <t xml:space="preserve">         54.07亿</t>
  </si>
  <si>
    <t xml:space="preserve">         88.86亿</t>
  </si>
  <si>
    <t>4.23万</t>
  </si>
  <si>
    <t xml:space="preserve">   1.18㈡</t>
  </si>
  <si>
    <t>韶能股份</t>
  </si>
  <si>
    <t xml:space="preserve">         31.85亿</t>
  </si>
  <si>
    <t xml:space="preserve">         54.43亿</t>
  </si>
  <si>
    <t>水力发电</t>
  </si>
  <si>
    <t xml:space="preserve">         54.46亿</t>
  </si>
  <si>
    <t>5.96万</t>
  </si>
  <si>
    <t xml:space="preserve">   2.76㈡</t>
  </si>
  <si>
    <t>盛达资源</t>
  </si>
  <si>
    <t xml:space="preserve">         49.44亿</t>
  </si>
  <si>
    <t xml:space="preserve">         83.91亿</t>
  </si>
  <si>
    <t xml:space="preserve">         98.32亿</t>
  </si>
  <si>
    <t>12.69万</t>
  </si>
  <si>
    <t>0.165㈡</t>
  </si>
  <si>
    <t>渤海股份</t>
  </si>
  <si>
    <t xml:space="preserve">          9.85亿</t>
  </si>
  <si>
    <t xml:space="preserve">         19.54亿</t>
  </si>
  <si>
    <t>4.85万</t>
  </si>
  <si>
    <t>0.057㈡</t>
  </si>
  <si>
    <t xml:space="preserve">   1.00㈡</t>
  </si>
  <si>
    <t>华媒控股</t>
  </si>
  <si>
    <t xml:space="preserve">         14.17亿</t>
  </si>
  <si>
    <t xml:space="preserve">         37.15亿</t>
  </si>
  <si>
    <t>4.05万</t>
  </si>
  <si>
    <t xml:space="preserve">   3.97㈡</t>
  </si>
  <si>
    <t>阳光股份</t>
  </si>
  <si>
    <t xml:space="preserve">         13.65亿</t>
  </si>
  <si>
    <t xml:space="preserve">         23.62亿</t>
  </si>
  <si>
    <t>5.46万</t>
  </si>
  <si>
    <t>-0.010㈡</t>
  </si>
  <si>
    <t xml:space="preserve">  -0.17㈡</t>
  </si>
  <si>
    <t>西安旅游</t>
  </si>
  <si>
    <t xml:space="preserve">         13.76亿</t>
  </si>
  <si>
    <t xml:space="preserve">         20.39亿</t>
  </si>
  <si>
    <t>旅游服务</t>
  </si>
  <si>
    <t xml:space="preserve">         20.50亿</t>
  </si>
  <si>
    <t>2.76万</t>
  </si>
  <si>
    <t>-0.080㈡</t>
  </si>
  <si>
    <t xml:space="preserve">  -2.07㈡</t>
  </si>
  <si>
    <t>焦作万方</t>
  </si>
  <si>
    <t xml:space="preserve">         72.56亿</t>
  </si>
  <si>
    <t xml:space="preserve">        122.76亿</t>
  </si>
  <si>
    <t>铝</t>
  </si>
  <si>
    <t xml:space="preserve">        122.92亿</t>
  </si>
  <si>
    <t>0.420㈡</t>
  </si>
  <si>
    <t xml:space="preserve">   9.59㈡</t>
  </si>
  <si>
    <t>奥园美谷</t>
  </si>
  <si>
    <t xml:space="preserve">         59.65亿</t>
  </si>
  <si>
    <t xml:space="preserve">        103.22亿</t>
  </si>
  <si>
    <t xml:space="preserve">        104.37亿</t>
  </si>
  <si>
    <t>6.98万</t>
  </si>
  <si>
    <t>0.064㈡</t>
  </si>
  <si>
    <t xml:space="preserve">   2.84㈡</t>
  </si>
  <si>
    <t>中油资本</t>
  </si>
  <si>
    <t xml:space="preserve">        117.32亿</t>
  </si>
  <si>
    <t xml:space="preserve">        702.90亿</t>
  </si>
  <si>
    <t>27.89万</t>
  </si>
  <si>
    <t>0.300㈡</t>
  </si>
  <si>
    <t>海螺型材</t>
  </si>
  <si>
    <t xml:space="preserve">         12.82亿</t>
  </si>
  <si>
    <t xml:space="preserve">         19.26亿</t>
  </si>
  <si>
    <t>-0.023㈡</t>
  </si>
  <si>
    <t xml:space="preserve">  -0.33㈡</t>
  </si>
  <si>
    <t>新华联</t>
  </si>
  <si>
    <t xml:space="preserve">         15.83亿</t>
  </si>
  <si>
    <t xml:space="preserve">         40.78亿</t>
  </si>
  <si>
    <t>3.80万</t>
  </si>
  <si>
    <t>-0.380㈡</t>
  </si>
  <si>
    <t xml:space="preserve"> -12.58㈡</t>
  </si>
  <si>
    <t>恒立实业</t>
  </si>
  <si>
    <t xml:space="preserve">         10.02亿</t>
  </si>
  <si>
    <t xml:space="preserve">         15.31亿</t>
  </si>
  <si>
    <t>-0.012㈡</t>
  </si>
  <si>
    <t xml:space="preserve">  -2.44㈡</t>
  </si>
  <si>
    <t>吉林敖东</t>
  </si>
  <si>
    <t xml:space="preserve">        152.27亿</t>
  </si>
  <si>
    <t xml:space="preserve">        207.78亿</t>
  </si>
  <si>
    <t xml:space="preserve">        208.30亿</t>
  </si>
  <si>
    <t>16.01万</t>
  </si>
  <si>
    <t>0.840㈡</t>
  </si>
  <si>
    <t xml:space="preserve">   4.02㈡</t>
  </si>
  <si>
    <t>长安汽车</t>
  </si>
  <si>
    <t xml:space="preserve">        573.30亿</t>
  </si>
  <si>
    <t xml:space="preserve">       1040.05亿</t>
  </si>
  <si>
    <t xml:space="preserve">       1354.02亿</t>
  </si>
  <si>
    <t>24.44万</t>
  </si>
  <si>
    <t xml:space="preserve">   3.19㈡</t>
  </si>
  <si>
    <t>远大控股</t>
  </si>
  <si>
    <t xml:space="preserve">         36.01亿</t>
  </si>
  <si>
    <t xml:space="preserve">         99.89亿</t>
  </si>
  <si>
    <t xml:space="preserve">        109.57亿</t>
  </si>
  <si>
    <t>21.01万</t>
  </si>
  <si>
    <t xml:space="preserve">   4.76㈡</t>
  </si>
  <si>
    <t>天茂集团</t>
  </si>
  <si>
    <t xml:space="preserve">         59.30亿</t>
  </si>
  <si>
    <t xml:space="preserve">        162.07亿</t>
  </si>
  <si>
    <t xml:space="preserve">        175.89亿</t>
  </si>
  <si>
    <t>7.48万</t>
  </si>
  <si>
    <t>高新发展</t>
  </si>
  <si>
    <t xml:space="preserve">         13.92亿</t>
  </si>
  <si>
    <t xml:space="preserve">         16.19亿</t>
  </si>
  <si>
    <t>园区开发</t>
  </si>
  <si>
    <t xml:space="preserve">         29.70亿</t>
  </si>
  <si>
    <t xml:space="preserve">   6.12㈡</t>
  </si>
  <si>
    <t>攀钢钒钛</t>
  </si>
  <si>
    <t xml:space="preserve">        162.52亿</t>
  </si>
  <si>
    <t xml:space="preserve">        393.39亿</t>
  </si>
  <si>
    <t>小金属</t>
  </si>
  <si>
    <t xml:space="preserve">        393.41亿</t>
  </si>
  <si>
    <t>6.66万</t>
  </si>
  <si>
    <t>0.059㈡</t>
  </si>
  <si>
    <t xml:space="preserve">   5.06㈡</t>
  </si>
  <si>
    <t>铜陵有色</t>
  </si>
  <si>
    <t xml:space="preserve">        332.70亿</t>
  </si>
  <si>
    <t xml:space="preserve">        524.21亿</t>
  </si>
  <si>
    <t>铜</t>
  </si>
  <si>
    <t xml:space="preserve">        524.22亿</t>
  </si>
  <si>
    <t>11.13万</t>
  </si>
  <si>
    <t xml:space="preserve">   6.61㈡</t>
  </si>
  <si>
    <t>顺发恒业</t>
  </si>
  <si>
    <t xml:space="preserve">         26.80亿</t>
  </si>
  <si>
    <t xml:space="preserve">         89.76亿</t>
  </si>
  <si>
    <t xml:space="preserve">   0.68㈡</t>
  </si>
  <si>
    <t>三木集团</t>
  </si>
  <si>
    <t xml:space="preserve">         11.24亿</t>
  </si>
  <si>
    <t xml:space="preserve">         16.29亿</t>
  </si>
  <si>
    <t>0.041㈡</t>
  </si>
  <si>
    <t xml:space="preserve">   1.34㈡</t>
  </si>
  <si>
    <t>合金投资</t>
  </si>
  <si>
    <t xml:space="preserve">         17.96亿</t>
  </si>
  <si>
    <t xml:space="preserve">         27.07亿</t>
  </si>
  <si>
    <t>7.17万</t>
  </si>
  <si>
    <t>0.001㈡</t>
  </si>
  <si>
    <t xml:space="preserve">   0.28㈡</t>
  </si>
  <si>
    <t>英 力 特</t>
  </si>
  <si>
    <t xml:space="preserve">         24.82亿</t>
  </si>
  <si>
    <t xml:space="preserve">         50.92亿</t>
  </si>
  <si>
    <t>8.25万</t>
  </si>
  <si>
    <t xml:space="preserve">   6.32㈡</t>
  </si>
  <si>
    <t>风华高科</t>
  </si>
  <si>
    <t xml:space="preserve">        191.51亿</t>
  </si>
  <si>
    <t xml:space="preserve">        239.47亿</t>
  </si>
  <si>
    <t>18.93万</t>
  </si>
  <si>
    <t>0.560㈡</t>
  </si>
  <si>
    <t xml:space="preserve">   7.83㈡</t>
  </si>
  <si>
    <t>茂化实华</t>
  </si>
  <si>
    <t xml:space="preserve">         17.92亿</t>
  </si>
  <si>
    <t xml:space="preserve">         25.42亿</t>
  </si>
  <si>
    <t>4.72万</t>
  </si>
  <si>
    <t xml:space="preserve">   2.65㈡</t>
  </si>
  <si>
    <t>西王食品</t>
  </si>
  <si>
    <t xml:space="preserve">         26.46亿</t>
  </si>
  <si>
    <t xml:space="preserve">         55.48亿</t>
  </si>
  <si>
    <t>7.88万</t>
  </si>
  <si>
    <t xml:space="preserve">   3.48㈡</t>
  </si>
  <si>
    <t>仁和药业</t>
  </si>
  <si>
    <t xml:space="preserve">         89.77亿</t>
  </si>
  <si>
    <t xml:space="preserve">        120.78亿</t>
  </si>
  <si>
    <t xml:space="preserve">        125.99亿</t>
  </si>
  <si>
    <t>8.39万</t>
  </si>
  <si>
    <t xml:space="preserve">   6.42㈡</t>
  </si>
  <si>
    <t>格力电器</t>
  </si>
  <si>
    <t xml:space="preserve">       1748.02亿</t>
  </si>
  <si>
    <t xml:space="preserve">       2281.24亿</t>
  </si>
  <si>
    <t xml:space="preserve">       2298.61亿</t>
  </si>
  <si>
    <t>24.46万</t>
  </si>
  <si>
    <t>1.620㈡</t>
  </si>
  <si>
    <t xml:space="preserve">   9.62㈡</t>
  </si>
  <si>
    <t>泰达股份</t>
  </si>
  <si>
    <t xml:space="preserve">         41.19亿</t>
  </si>
  <si>
    <t xml:space="preserve">         61.48亿</t>
  </si>
  <si>
    <t xml:space="preserve">         61.53亿</t>
  </si>
  <si>
    <t>3.10万</t>
  </si>
  <si>
    <t xml:space="preserve">   1.86㈡</t>
  </si>
  <si>
    <t>金岭矿业</t>
  </si>
  <si>
    <t xml:space="preserve">         28.89亿</t>
  </si>
  <si>
    <t xml:space="preserve">         69.48亿</t>
  </si>
  <si>
    <t>普钢</t>
  </si>
  <si>
    <t>5.73万</t>
  </si>
  <si>
    <t>0.430㈡</t>
  </si>
  <si>
    <t xml:space="preserve">   8.54㈡</t>
  </si>
  <si>
    <t>金科股份</t>
  </si>
  <si>
    <t xml:space="preserve">        140.25亿</t>
  </si>
  <si>
    <t xml:space="preserve">        240.29亿</t>
  </si>
  <si>
    <t xml:space="preserve">        244.03亿</t>
  </si>
  <si>
    <t>13.80万</t>
  </si>
  <si>
    <t>0.670㈡</t>
  </si>
  <si>
    <t xml:space="preserve">   9.34㈡</t>
  </si>
  <si>
    <t>中钨高新</t>
  </si>
  <si>
    <t xml:space="preserve">         66.66亿</t>
  </si>
  <si>
    <t xml:space="preserve">        121.97亿</t>
  </si>
  <si>
    <t xml:space="preserve">        138.21亿</t>
  </si>
  <si>
    <t>21.33万</t>
  </si>
  <si>
    <t xml:space="preserve">   4.31㈡</t>
  </si>
  <si>
    <t>珠海中富</t>
  </si>
  <si>
    <t xml:space="preserve">         43.96亿</t>
  </si>
  <si>
    <t xml:space="preserve">         60.30亿</t>
  </si>
  <si>
    <t>10.10万</t>
  </si>
  <si>
    <t>0.015㈡</t>
  </si>
  <si>
    <t xml:space="preserve">   3.23㈡</t>
  </si>
  <si>
    <t>长春高新</t>
  </si>
  <si>
    <t xml:space="preserve">        688.73亿</t>
  </si>
  <si>
    <t xml:space="preserve">        883.31亿</t>
  </si>
  <si>
    <t xml:space="preserve">        965.26亿</t>
  </si>
  <si>
    <t>45.28万</t>
  </si>
  <si>
    <t>4.750㈡</t>
  </si>
  <si>
    <t xml:space="preserve">  14.77㈡</t>
  </si>
  <si>
    <t>湖北广电</t>
  </si>
  <si>
    <t xml:space="preserve">         16.83亿</t>
  </si>
  <si>
    <t xml:space="preserve">         37.02亿</t>
  </si>
  <si>
    <t>5.50万</t>
  </si>
  <si>
    <t xml:space="preserve">  -1.35㈡</t>
  </si>
  <si>
    <t>经纬纺机</t>
  </si>
  <si>
    <t xml:space="preserve">         24.99亿</t>
  </si>
  <si>
    <t xml:space="preserve">         61.75亿</t>
  </si>
  <si>
    <t>6.99万</t>
  </si>
  <si>
    <t>0.365㈡</t>
  </si>
  <si>
    <t xml:space="preserve">   2.77㈡</t>
  </si>
  <si>
    <t>美好置业</t>
  </si>
  <si>
    <t xml:space="preserve">         36.72亿</t>
  </si>
  <si>
    <t xml:space="preserve">         44.15亿</t>
  </si>
  <si>
    <t xml:space="preserve">         44.65亿</t>
  </si>
  <si>
    <t>2.18万</t>
  </si>
  <si>
    <t>-0.126㈡</t>
  </si>
  <si>
    <t xml:space="preserve">  -4.53㈡</t>
  </si>
  <si>
    <t>荣丰控股</t>
  </si>
  <si>
    <t xml:space="preserve">         12.23亿</t>
  </si>
  <si>
    <t>上海</t>
  </si>
  <si>
    <t xml:space="preserve">         20.70亿</t>
  </si>
  <si>
    <t>18.74万</t>
  </si>
  <si>
    <t>-0.170㈡</t>
  </si>
  <si>
    <t xml:space="preserve">  -2.79㈡</t>
  </si>
  <si>
    <t>阳 光 城</t>
  </si>
  <si>
    <t xml:space="preserve">         68.80亿</t>
  </si>
  <si>
    <t xml:space="preserve">        174.64亿</t>
  </si>
  <si>
    <t xml:space="preserve">        178.45亿</t>
  </si>
  <si>
    <t>14.35万</t>
  </si>
  <si>
    <t>0.450㈡</t>
  </si>
  <si>
    <t xml:space="preserve">   6.63㈡</t>
  </si>
  <si>
    <t>上峰水泥</t>
  </si>
  <si>
    <t xml:space="preserve">         84.86亿</t>
  </si>
  <si>
    <t xml:space="preserve">        195.43亿</t>
  </si>
  <si>
    <t>14.79万</t>
  </si>
  <si>
    <t>1.260㈡</t>
  </si>
  <si>
    <t xml:space="preserve">  14.20㈡</t>
  </si>
  <si>
    <t>智度股份</t>
  </si>
  <si>
    <t xml:space="preserve">         50.71亿</t>
  </si>
  <si>
    <t xml:space="preserve">         91.92亿</t>
  </si>
  <si>
    <t>互联网</t>
  </si>
  <si>
    <t xml:space="preserve">        102.12亿</t>
  </si>
  <si>
    <t>6.52万</t>
  </si>
  <si>
    <t>0.176㈡</t>
  </si>
  <si>
    <t xml:space="preserve">   5.75㈡</t>
  </si>
  <si>
    <t>恒天海龙</t>
  </si>
  <si>
    <t xml:space="preserve">         19.47亿</t>
  </si>
  <si>
    <t xml:space="preserve">         29.20亿</t>
  </si>
  <si>
    <t>4.02万</t>
  </si>
  <si>
    <t>0.037㈡</t>
  </si>
  <si>
    <t xml:space="preserve">   9.91㈡</t>
  </si>
  <si>
    <t>襄阳轴承</t>
  </si>
  <si>
    <t xml:space="preserve">         12.60亿</t>
  </si>
  <si>
    <t xml:space="preserve">         23.35亿</t>
  </si>
  <si>
    <t>5.32万</t>
  </si>
  <si>
    <t xml:space="preserve">   0.99㈡</t>
  </si>
  <si>
    <t>大连友谊</t>
  </si>
  <si>
    <t xml:space="preserve">         10.41亿</t>
  </si>
  <si>
    <t xml:space="preserve">         14.47亿</t>
  </si>
  <si>
    <t>6.29万</t>
  </si>
  <si>
    <t xml:space="preserve">  -4.34㈡</t>
  </si>
  <si>
    <t>山推股份</t>
  </si>
  <si>
    <t xml:space="preserve">         40.49亿</t>
  </si>
  <si>
    <t xml:space="preserve">         48.83亿</t>
  </si>
  <si>
    <t xml:space="preserve">         69.43亿</t>
  </si>
  <si>
    <t xml:space="preserve">   3.53㈡</t>
  </si>
  <si>
    <t>视觉中国</t>
  </si>
  <si>
    <t xml:space="preserve">         55.00亿</t>
  </si>
  <si>
    <t xml:space="preserve">         83.13亿</t>
  </si>
  <si>
    <t xml:space="preserve">         96.33亿</t>
  </si>
  <si>
    <t>11.65万</t>
  </si>
  <si>
    <t>0.138㈡</t>
  </si>
  <si>
    <t xml:space="preserve">   2.97㈡</t>
  </si>
  <si>
    <t>东方电子</t>
  </si>
  <si>
    <t xml:space="preserve">         48.90亿</t>
  </si>
  <si>
    <t xml:space="preserve">         83.53亿</t>
  </si>
  <si>
    <t>4.92万</t>
  </si>
  <si>
    <t>0.098㈡</t>
  </si>
  <si>
    <t>远兴能源</t>
  </si>
  <si>
    <t xml:space="preserve">        291.13亿</t>
  </si>
  <si>
    <t xml:space="preserve">        420.02亿</t>
  </si>
  <si>
    <t xml:space="preserve">        463.58亿</t>
  </si>
  <si>
    <t>25.58万</t>
  </si>
  <si>
    <t>0.340㈡</t>
  </si>
  <si>
    <t xml:space="preserve">  11.01㈡</t>
  </si>
  <si>
    <t>中山公用</t>
  </si>
  <si>
    <t xml:space="preserve">         54.05亿</t>
  </si>
  <si>
    <t xml:space="preserve">        116.80亿</t>
  </si>
  <si>
    <t xml:space="preserve">        137.48亿</t>
  </si>
  <si>
    <t>13.54万</t>
  </si>
  <si>
    <t>0.550㈡</t>
  </si>
  <si>
    <t xml:space="preserve">   5.64㈡</t>
  </si>
  <si>
    <t>东北证券</t>
  </si>
  <si>
    <t xml:space="preserve">        121.02亿</t>
  </si>
  <si>
    <t xml:space="preserve">        210.87亿</t>
  </si>
  <si>
    <t>11.71万</t>
  </si>
  <si>
    <t xml:space="preserve">   4.10㈡</t>
  </si>
  <si>
    <t>国城矿业</t>
  </si>
  <si>
    <t xml:space="preserve">         46.56亿</t>
  </si>
  <si>
    <t xml:space="preserve">        178.90亿</t>
  </si>
  <si>
    <t>16.83万</t>
  </si>
  <si>
    <t xml:space="preserve">   4.78㈡</t>
  </si>
  <si>
    <t>宝新能源</t>
  </si>
  <si>
    <t xml:space="preserve">        112.69亿</t>
  </si>
  <si>
    <t xml:space="preserve">        135.32亿</t>
  </si>
  <si>
    <t xml:space="preserve">        141.43亿</t>
  </si>
  <si>
    <t>10.49万</t>
  </si>
  <si>
    <t xml:space="preserve">   6.06㈡</t>
  </si>
  <si>
    <t>亚太实业</t>
  </si>
  <si>
    <t xml:space="preserve">         11.77亿</t>
  </si>
  <si>
    <t xml:space="preserve">         16.10亿</t>
  </si>
  <si>
    <t>6.14万</t>
  </si>
  <si>
    <t>0.049㈡</t>
  </si>
  <si>
    <t xml:space="preserve">  14.19㈡</t>
  </si>
  <si>
    <t>惠天热电</t>
  </si>
  <si>
    <t xml:space="preserve">         12.10亿</t>
  </si>
  <si>
    <t xml:space="preserve">         18.65亿</t>
  </si>
  <si>
    <t>3.73万</t>
  </si>
  <si>
    <t>-0.052㈡</t>
  </si>
  <si>
    <t xml:space="preserve"> -10.73㈡</t>
  </si>
  <si>
    <t>滨海能源</t>
  </si>
  <si>
    <t xml:space="preserve">         13.61亿</t>
  </si>
  <si>
    <t xml:space="preserve">         20.20亿</t>
  </si>
  <si>
    <t xml:space="preserve">         20.24亿</t>
  </si>
  <si>
    <t>11.15万</t>
  </si>
  <si>
    <t>-0.079㈡</t>
  </si>
  <si>
    <t xml:space="preserve">  -5.12㈡</t>
  </si>
  <si>
    <t>炼石航空</t>
  </si>
  <si>
    <t xml:space="preserve">         35.69亿</t>
  </si>
  <si>
    <t xml:space="preserve">         50.48亿</t>
  </si>
  <si>
    <t>航空</t>
  </si>
  <si>
    <t xml:space="preserve">         58.77亿</t>
  </si>
  <si>
    <t>8.71万</t>
  </si>
  <si>
    <t>-0.186㈡</t>
  </si>
  <si>
    <t xml:space="preserve"> -14.22㈡</t>
  </si>
  <si>
    <t>沈阳化工</t>
  </si>
  <si>
    <t xml:space="preserve">         48.14亿</t>
  </si>
  <si>
    <t xml:space="preserve">         61.28亿</t>
  </si>
  <si>
    <t xml:space="preserve">         63.92亿</t>
  </si>
  <si>
    <t>7.31万</t>
  </si>
  <si>
    <t>0.460㈡</t>
  </si>
  <si>
    <t xml:space="preserve">   8.59㈡</t>
  </si>
  <si>
    <t>模塑科技</t>
  </si>
  <si>
    <t xml:space="preserve">         30.60亿</t>
  </si>
  <si>
    <t xml:space="preserve">         49.25亿</t>
  </si>
  <si>
    <t>4.49万</t>
  </si>
  <si>
    <t>0.201㈡</t>
  </si>
  <si>
    <t xml:space="preserve">   6.76㈡</t>
  </si>
  <si>
    <t>厦门信达</t>
  </si>
  <si>
    <t xml:space="preserve">         15.16亿</t>
  </si>
  <si>
    <t xml:space="preserve">         28.73亿</t>
  </si>
  <si>
    <t>4.61万</t>
  </si>
  <si>
    <t>-0.120㈡</t>
  </si>
  <si>
    <t xml:space="preserve">   0.35㈡</t>
  </si>
  <si>
    <t>正虹科技</t>
  </si>
  <si>
    <t xml:space="preserve">          9.44亿</t>
  </si>
  <si>
    <t xml:space="preserve">         12.61亿</t>
  </si>
  <si>
    <t>3.18万</t>
  </si>
  <si>
    <t>-0.354㈡</t>
  </si>
  <si>
    <t xml:space="preserve"> -19.58㈡</t>
  </si>
  <si>
    <t>恒逸石化</t>
  </si>
  <si>
    <t xml:space="preserve">        237.85亿</t>
  </si>
  <si>
    <t xml:space="preserve">        438.77亿</t>
  </si>
  <si>
    <t xml:space="preserve">        474.78亿</t>
  </si>
  <si>
    <t>39.10万</t>
  </si>
  <si>
    <t>0.610㈡</t>
  </si>
  <si>
    <t xml:space="preserve">   8.52㈡</t>
  </si>
  <si>
    <t>浙江震元</t>
  </si>
  <si>
    <t xml:space="preserve">         19.56亿</t>
  </si>
  <si>
    <t xml:space="preserve">         21.99亿</t>
  </si>
  <si>
    <t xml:space="preserve">         26.06亿</t>
  </si>
  <si>
    <t>7.38万</t>
  </si>
  <si>
    <t>0.132㈡</t>
  </si>
  <si>
    <t>中信特钢</t>
  </si>
  <si>
    <t xml:space="preserve">        206.62亿</t>
  </si>
  <si>
    <t xml:space="preserve">        319.20亿</t>
  </si>
  <si>
    <t>特种钢</t>
  </si>
  <si>
    <t xml:space="preserve">       1279.45亿</t>
  </si>
  <si>
    <t>70.32万</t>
  </si>
  <si>
    <t xml:space="preserve">  14.41㈡</t>
  </si>
  <si>
    <t>河钢股份</t>
  </si>
  <si>
    <t xml:space="preserve">        131.07亿</t>
  </si>
  <si>
    <t xml:space="preserve">        346.11亿</t>
  </si>
  <si>
    <t xml:space="preserve">        346.17亿</t>
  </si>
  <si>
    <t>4.37万</t>
  </si>
  <si>
    <t>贝瑞基因</t>
  </si>
  <si>
    <t xml:space="preserve">         45.31亿</t>
  </si>
  <si>
    <t xml:space="preserve">         71.45亿</t>
  </si>
  <si>
    <t xml:space="preserve">         85.11亿</t>
  </si>
  <si>
    <t>15.86万</t>
  </si>
  <si>
    <t>0.088㈡</t>
  </si>
  <si>
    <t xml:space="preserve">   1.26㈡</t>
  </si>
  <si>
    <t>京蓝科技</t>
  </si>
  <si>
    <t xml:space="preserve">         14.30亿</t>
  </si>
  <si>
    <t xml:space="preserve">         25.23亿</t>
  </si>
  <si>
    <t>黑龙江</t>
  </si>
  <si>
    <t xml:space="preserve">         31.43亿</t>
  </si>
  <si>
    <t>4.00万</t>
  </si>
  <si>
    <t>-0.220㈡</t>
  </si>
  <si>
    <t xml:space="preserve"> -10.71㈡</t>
  </si>
  <si>
    <t>锦龙股份</t>
  </si>
  <si>
    <t xml:space="preserve">         74.58亿</t>
  </si>
  <si>
    <t xml:space="preserve">        132.92亿</t>
  </si>
  <si>
    <t xml:space="preserve">        149.63亿</t>
  </si>
  <si>
    <t>14.10万</t>
  </si>
  <si>
    <t xml:space="preserve">   0.04㈡</t>
  </si>
  <si>
    <t>丰乐种业</t>
  </si>
  <si>
    <t xml:space="preserve">         37.75亿</t>
  </si>
  <si>
    <t xml:space="preserve">         55.62亿</t>
  </si>
  <si>
    <t>种植业</t>
  </si>
  <si>
    <t xml:space="preserve">         61.09亿</t>
  </si>
  <si>
    <t>3.67万</t>
  </si>
  <si>
    <t xml:space="preserve">   1.22㈡</t>
  </si>
  <si>
    <t>中兴商业</t>
  </si>
  <si>
    <t xml:space="preserve">          7.13亿</t>
  </si>
  <si>
    <t xml:space="preserve">         20.30亿</t>
  </si>
  <si>
    <t xml:space="preserve">         20.33亿</t>
  </si>
  <si>
    <t>黑芝麻</t>
  </si>
  <si>
    <t xml:space="preserve">         15.07亿</t>
  </si>
  <si>
    <t xml:space="preserve">         23.24亿</t>
  </si>
  <si>
    <t xml:space="preserve">         24.85亿</t>
  </si>
  <si>
    <t>3.40万</t>
  </si>
  <si>
    <t xml:space="preserve">   0.43㈡</t>
  </si>
  <si>
    <t>韶钢松山</t>
  </si>
  <si>
    <t xml:space="preserve">         72.14亿</t>
  </si>
  <si>
    <t xml:space="preserve">        153.64亿</t>
  </si>
  <si>
    <t>7.81万</t>
  </si>
  <si>
    <t xml:space="preserve">  12.23㈡</t>
  </si>
  <si>
    <t>苏宁环球</t>
  </si>
  <si>
    <t xml:space="preserve">         64.51亿</t>
  </si>
  <si>
    <t xml:space="preserve">        110.80亿</t>
  </si>
  <si>
    <t xml:space="preserve">        146.88亿</t>
  </si>
  <si>
    <t>跌破BOLL下轨</t>
  </si>
  <si>
    <t>5.16万</t>
  </si>
  <si>
    <t>0.205㈡</t>
  </si>
  <si>
    <t xml:space="preserve">   6.88㈡</t>
  </si>
  <si>
    <t>中原传媒</t>
  </si>
  <si>
    <t xml:space="preserve">         16.12亿</t>
  </si>
  <si>
    <t xml:space="preserve">         45.97亿</t>
  </si>
  <si>
    <t>出版业</t>
  </si>
  <si>
    <t xml:space="preserve">         70.50亿</t>
  </si>
  <si>
    <t>9.20万</t>
  </si>
  <si>
    <t xml:space="preserve">   4.87㈡</t>
  </si>
  <si>
    <t>新能泰山</t>
  </si>
  <si>
    <t xml:space="preserve">         33.54亿</t>
  </si>
  <si>
    <t xml:space="preserve">         63.84亿</t>
  </si>
  <si>
    <t>6.47万</t>
  </si>
  <si>
    <t xml:space="preserve">  -1.41㈡</t>
  </si>
  <si>
    <t>西安饮食</t>
  </si>
  <si>
    <t xml:space="preserve">         13.39亿</t>
  </si>
  <si>
    <t xml:space="preserve">         17.87亿</t>
  </si>
  <si>
    <t xml:space="preserve">         20.46亿</t>
  </si>
  <si>
    <t>2.26万</t>
  </si>
  <si>
    <t>-0.124㈡</t>
  </si>
  <si>
    <t xml:space="preserve"> -10.92㈡</t>
  </si>
  <si>
    <t>湖南发展</t>
  </si>
  <si>
    <t xml:space="preserve">         15.93亿</t>
  </si>
  <si>
    <t xml:space="preserve">         33.79亿</t>
  </si>
  <si>
    <t>3.96万</t>
  </si>
  <si>
    <t xml:space="preserve">   1.72㈡</t>
  </si>
  <si>
    <t>美锦能源</t>
  </si>
  <si>
    <t xml:space="preserve">        257.83亿</t>
  </si>
  <si>
    <t xml:space="preserve">        508.19亿</t>
  </si>
  <si>
    <t>焦炭加工</t>
  </si>
  <si>
    <t xml:space="preserve">        546.59亿</t>
  </si>
  <si>
    <t>9.59万</t>
  </si>
  <si>
    <t xml:space="preserve">  11.27㈡</t>
  </si>
  <si>
    <t>京东方Ａ</t>
  </si>
  <si>
    <t xml:space="preserve">       1560.99亿</t>
  </si>
  <si>
    <t xml:space="preserve">       1911.63亿</t>
  </si>
  <si>
    <t xml:space="preserve">       2191.58亿</t>
  </si>
  <si>
    <t xml:space="preserve">  11.40㈡</t>
  </si>
  <si>
    <t>鲁 泰Ａ</t>
  </si>
  <si>
    <t xml:space="preserve">         25.59亿</t>
  </si>
  <si>
    <t xml:space="preserve">         34.12亿</t>
  </si>
  <si>
    <t>纺织</t>
  </si>
  <si>
    <t>7.42万</t>
  </si>
  <si>
    <t xml:space="preserve">   1.95㈡</t>
  </si>
  <si>
    <t>冠捷科技</t>
  </si>
  <si>
    <t xml:space="preserve">         59.38亿</t>
  </si>
  <si>
    <t xml:space="preserve">         88.22亿</t>
  </si>
  <si>
    <t xml:space="preserve">        116.86亿</t>
  </si>
  <si>
    <t xml:space="preserve">  20.89㈡</t>
  </si>
  <si>
    <t>国元证券</t>
  </si>
  <si>
    <t xml:space="preserve">        212.96亿</t>
  </si>
  <si>
    <t xml:space="preserve">        342.44亿</t>
  </si>
  <si>
    <t xml:space="preserve">        348.23亿</t>
  </si>
  <si>
    <t>19.67万</t>
  </si>
  <si>
    <t xml:space="preserve">   2.70㈡</t>
  </si>
  <si>
    <t>燕京啤酒</t>
  </si>
  <si>
    <t xml:space="preserve">         75.08亿</t>
  </si>
  <si>
    <t xml:space="preserve">        164.13亿</t>
  </si>
  <si>
    <t>啤酒</t>
  </si>
  <si>
    <t xml:space="preserve">        184.33亿</t>
  </si>
  <si>
    <t>7.37万</t>
  </si>
  <si>
    <t xml:space="preserve">   2.13㈡</t>
  </si>
  <si>
    <t>四川美丰</t>
  </si>
  <si>
    <t xml:space="preserve">         59.32亿</t>
  </si>
  <si>
    <t xml:space="preserve">         67.55亿</t>
  </si>
  <si>
    <t>14.12万</t>
  </si>
  <si>
    <t>0.352㈡</t>
  </si>
  <si>
    <t xml:space="preserve">   6.82㈡</t>
  </si>
  <si>
    <t>泰禾集团</t>
  </si>
  <si>
    <t xml:space="preserve">         51.95亿</t>
  </si>
  <si>
    <t xml:space="preserve">         52.02亿</t>
  </si>
  <si>
    <t>4.32万</t>
  </si>
  <si>
    <t>-0.343㈡</t>
  </si>
  <si>
    <t xml:space="preserve">  -6.42㈡</t>
  </si>
  <si>
    <t>振华科技</t>
  </si>
  <si>
    <t xml:space="preserve">        305.19亿</t>
  </si>
  <si>
    <t xml:space="preserve">        455.09亿</t>
  </si>
  <si>
    <t>94.95万</t>
  </si>
  <si>
    <t>1.001㈡</t>
  </si>
  <si>
    <t xml:space="preserve">   8.03㈡</t>
  </si>
  <si>
    <t>罗 牛 山</t>
  </si>
  <si>
    <t xml:space="preserve">         63.56亿</t>
  </si>
  <si>
    <t xml:space="preserve">         80.91亿</t>
  </si>
  <si>
    <t>0.028㈡</t>
  </si>
  <si>
    <t>中交地产</t>
  </si>
  <si>
    <t xml:space="preserve">         12.03亿</t>
  </si>
  <si>
    <t xml:space="preserve">         41.59亿</t>
  </si>
  <si>
    <t>13.08万</t>
  </si>
  <si>
    <t xml:space="preserve">   5.07㈡</t>
  </si>
  <si>
    <t>南风化工</t>
  </si>
  <si>
    <t xml:space="preserve">         40.80亿</t>
  </si>
  <si>
    <t xml:space="preserve">         59.81亿</t>
  </si>
  <si>
    <t>日用化工</t>
  </si>
  <si>
    <t>12.60万</t>
  </si>
  <si>
    <t>0.018㈡</t>
  </si>
  <si>
    <t xml:space="preserve">   1.92㈡</t>
  </si>
  <si>
    <t>航发控制</t>
  </si>
  <si>
    <t xml:space="preserve">        152.18亿</t>
  </si>
  <si>
    <t xml:space="preserve">        312.64亿</t>
  </si>
  <si>
    <t xml:space="preserve">        312.65亿</t>
  </si>
  <si>
    <t>16.61万</t>
  </si>
  <si>
    <t>0.259㈡</t>
  </si>
  <si>
    <t xml:space="preserve">   4.74㈡</t>
  </si>
  <si>
    <t>普洛药业</t>
  </si>
  <si>
    <t xml:space="preserve">        224.37亿</t>
  </si>
  <si>
    <t xml:space="preserve">        450.74亿</t>
  </si>
  <si>
    <t xml:space="preserve">        450.79亿</t>
  </si>
  <si>
    <t>76.11万</t>
  </si>
  <si>
    <t xml:space="preserve">  11.88㈡</t>
  </si>
  <si>
    <t>国海证券</t>
  </si>
  <si>
    <t xml:space="preserve">        145.60亿</t>
  </si>
  <si>
    <t xml:space="preserve">        234.11亿</t>
  </si>
  <si>
    <t xml:space="preserve">   2.52㈡</t>
  </si>
  <si>
    <t>锌业股份</t>
  </si>
  <si>
    <t xml:space="preserve">         53.54亿</t>
  </si>
  <si>
    <t xml:space="preserve">         70.07亿</t>
  </si>
  <si>
    <t xml:space="preserve">   3.33㈡</t>
  </si>
  <si>
    <t>漳州发展</t>
  </si>
  <si>
    <t xml:space="preserve">         17.15亿</t>
  </si>
  <si>
    <t xml:space="preserve">         27.36亿</t>
  </si>
  <si>
    <t>0.067㈡</t>
  </si>
  <si>
    <t xml:space="preserve">   2.67㈡</t>
  </si>
  <si>
    <t>山西路桥</t>
  </si>
  <si>
    <t xml:space="preserve">         12.45亿</t>
  </si>
  <si>
    <t xml:space="preserve">         18.96亿</t>
  </si>
  <si>
    <t xml:space="preserve">         53.59亿</t>
  </si>
  <si>
    <t xml:space="preserve">   8.32㈡</t>
  </si>
  <si>
    <t>新华制药</t>
  </si>
  <si>
    <t xml:space="preserve">         18.09亿</t>
  </si>
  <si>
    <t xml:space="preserve">         35.06亿</t>
  </si>
  <si>
    <t>5.63万</t>
  </si>
  <si>
    <t xml:space="preserve">   6.01㈡</t>
  </si>
  <si>
    <t>浩物股份</t>
  </si>
  <si>
    <t xml:space="preserve">         12.59亿</t>
  </si>
  <si>
    <t xml:space="preserve">         21.16亿</t>
  </si>
  <si>
    <t xml:space="preserve">         27.52亿</t>
  </si>
  <si>
    <t xml:space="preserve">   2.63㈡</t>
  </si>
  <si>
    <t>中色股份</t>
  </si>
  <si>
    <t xml:space="preserve">         87.55亿</t>
  </si>
  <si>
    <t xml:space="preserve">        132.14亿</t>
  </si>
  <si>
    <t xml:space="preserve">        132.15亿</t>
  </si>
  <si>
    <t>7.53万</t>
  </si>
  <si>
    <t>0.065㈡</t>
  </si>
  <si>
    <t xml:space="preserve">   2.75㈡</t>
  </si>
  <si>
    <t>中百集团</t>
  </si>
  <si>
    <t xml:space="preserve">         10.45亿</t>
  </si>
  <si>
    <t xml:space="preserve">         34.64亿</t>
  </si>
  <si>
    <t>超市连锁</t>
  </si>
  <si>
    <t xml:space="preserve">         34.66亿</t>
  </si>
  <si>
    <t>4.86万</t>
  </si>
  <si>
    <t xml:space="preserve">   0.25㈡</t>
  </si>
  <si>
    <t>本钢板材</t>
  </si>
  <si>
    <t xml:space="preserve">         70.23亿</t>
  </si>
  <si>
    <t xml:space="preserve">        227.58亿</t>
  </si>
  <si>
    <t xml:space="preserve">        253.70亿</t>
  </si>
  <si>
    <t>16.49万</t>
  </si>
  <si>
    <t>0.570㈡</t>
  </si>
  <si>
    <t xml:space="preserve">   9.50㈡</t>
  </si>
  <si>
    <t>西藏矿业</t>
  </si>
  <si>
    <t xml:space="preserve">        286.89亿</t>
  </si>
  <si>
    <t xml:space="preserve">        369.09亿</t>
  </si>
  <si>
    <t>西藏</t>
  </si>
  <si>
    <t xml:space="preserve">        369.10亿</t>
  </si>
  <si>
    <t>34.66万</t>
  </si>
  <si>
    <t>0.082㈡</t>
  </si>
  <si>
    <t xml:space="preserve">   2.06㈡</t>
  </si>
  <si>
    <t>通化金马</t>
  </si>
  <si>
    <t xml:space="preserve">         21.02亿</t>
  </si>
  <si>
    <t xml:space="preserve">         30.47亿</t>
  </si>
  <si>
    <t xml:space="preserve">         41.66亿</t>
  </si>
  <si>
    <t>5.10万</t>
  </si>
  <si>
    <t>0.024㈡</t>
  </si>
  <si>
    <t>晋控电力</t>
  </si>
  <si>
    <t xml:space="preserve">         56.51亿</t>
  </si>
  <si>
    <t xml:space="preserve">        101.64亿</t>
  </si>
  <si>
    <t xml:space="preserve">        107.39亿</t>
  </si>
  <si>
    <t>3.79万</t>
  </si>
  <si>
    <t>0.004㈡</t>
  </si>
  <si>
    <t>中航西飞</t>
  </si>
  <si>
    <t xml:space="preserve">        411.78亿</t>
  </si>
  <si>
    <t xml:space="preserve">        913.37亿</t>
  </si>
  <si>
    <t xml:space="preserve">        913.38亿</t>
  </si>
  <si>
    <t>20.27万</t>
  </si>
  <si>
    <t>0.121㈡</t>
  </si>
  <si>
    <t xml:space="preserve">   2.18㈡</t>
  </si>
  <si>
    <t>广发证券</t>
  </si>
  <si>
    <t xml:space="preserve">        618.91亿</t>
  </si>
  <si>
    <t xml:space="preserve">       1341.90亿</t>
  </si>
  <si>
    <t>29.22万</t>
  </si>
  <si>
    <t>0.770㈡</t>
  </si>
  <si>
    <t xml:space="preserve">   5.87㈡</t>
  </si>
  <si>
    <t>中核科技</t>
  </si>
  <si>
    <t xml:space="preserve">         35.03亿</t>
  </si>
  <si>
    <t xml:space="preserve">         48.16亿</t>
  </si>
  <si>
    <t xml:space="preserve">         48.56亿</t>
  </si>
  <si>
    <t>5.37万</t>
  </si>
  <si>
    <t xml:space="preserve">   1.17㈡</t>
  </si>
  <si>
    <t>新兴铸管</t>
  </si>
  <si>
    <t xml:space="preserve">        107.42亿</t>
  </si>
  <si>
    <t xml:space="preserve">        182.21亿</t>
  </si>
  <si>
    <t>钢加工</t>
  </si>
  <si>
    <t xml:space="preserve">        187.17亿</t>
  </si>
  <si>
    <t>7.35万</t>
  </si>
  <si>
    <t>0.334㈡</t>
  </si>
  <si>
    <t xml:space="preserve">   5.83㈡</t>
  </si>
  <si>
    <t>甘咨询</t>
  </si>
  <si>
    <t xml:space="preserve">         10.11亿</t>
  </si>
  <si>
    <t xml:space="preserve">         15.18亿</t>
  </si>
  <si>
    <t>6.89万</t>
  </si>
  <si>
    <t xml:space="preserve">   6.03㈡</t>
  </si>
  <si>
    <t>美达股份</t>
  </si>
  <si>
    <t xml:space="preserve">         22.64亿</t>
  </si>
  <si>
    <t xml:space="preserve">         31.37亿</t>
  </si>
  <si>
    <t xml:space="preserve">   3.09㈡</t>
  </si>
  <si>
    <t>长江证券</t>
  </si>
  <si>
    <t xml:space="preserve">        305.60亿</t>
  </si>
  <si>
    <t xml:space="preserve">        439.63亿</t>
  </si>
  <si>
    <t>16.69万</t>
  </si>
  <si>
    <t xml:space="preserve">   4.79㈡</t>
  </si>
  <si>
    <t>居然之家</t>
  </si>
  <si>
    <t xml:space="preserve">         41.97亿</t>
  </si>
  <si>
    <t xml:space="preserve">        360.40亿</t>
  </si>
  <si>
    <t>14.40万</t>
  </si>
  <si>
    <t xml:space="preserve">   6.80㈡</t>
  </si>
  <si>
    <t>北新建材</t>
  </si>
  <si>
    <t xml:space="preserve">        273.50亿</t>
  </si>
  <si>
    <t xml:space="preserve">        540.14亿</t>
  </si>
  <si>
    <t>39.07万</t>
  </si>
  <si>
    <t>1.090㈡</t>
  </si>
  <si>
    <t xml:space="preserve">  10.63㈡</t>
  </si>
  <si>
    <t>北大医药</t>
  </si>
  <si>
    <t xml:space="preserve">         24.01亿</t>
  </si>
  <si>
    <t xml:space="preserve">         40.65亿</t>
  </si>
  <si>
    <t>0.055㈡</t>
  </si>
  <si>
    <t xml:space="preserve">   2.48㈡</t>
  </si>
  <si>
    <t>万年青</t>
  </si>
  <si>
    <t xml:space="preserve">         63.08亿</t>
  </si>
  <si>
    <t xml:space="preserve">        120.09亿</t>
  </si>
  <si>
    <t>9.14万</t>
  </si>
  <si>
    <t>1.038㈡</t>
  </si>
  <si>
    <t xml:space="preserve">  12.41㈡</t>
  </si>
  <si>
    <t>华神科技</t>
  </si>
  <si>
    <t xml:space="preserve">         26.00亿</t>
  </si>
  <si>
    <t xml:space="preserve">         31.74亿</t>
  </si>
  <si>
    <t>甘肃电投</t>
  </si>
  <si>
    <t xml:space="preserve">         29.69亿</t>
  </si>
  <si>
    <t xml:space="preserve">         79.26亿</t>
  </si>
  <si>
    <t>6.08万</t>
  </si>
  <si>
    <t>0.108㈡</t>
  </si>
  <si>
    <t xml:space="preserve">   2.20㈡</t>
  </si>
  <si>
    <t>盐湖股份</t>
  </si>
  <si>
    <t xml:space="preserve">        809.91亿</t>
  </si>
  <si>
    <t xml:space="preserve">       1880.02亿</t>
  </si>
  <si>
    <t xml:space="preserve">       1881.41亿</t>
  </si>
  <si>
    <t>136.89万</t>
  </si>
  <si>
    <t>0.390㈡</t>
  </si>
  <si>
    <t xml:space="preserve">  33.81㈡</t>
  </si>
  <si>
    <t>华闻集团</t>
  </si>
  <si>
    <t xml:space="preserve">         38.00亿</t>
  </si>
  <si>
    <t xml:space="preserve">         50.20亿</t>
  </si>
  <si>
    <t xml:space="preserve">         51.13亿</t>
  </si>
  <si>
    <t>3.84万</t>
  </si>
  <si>
    <t xml:space="preserve">  -2.83㈡</t>
  </si>
  <si>
    <t>英洛华</t>
  </si>
  <si>
    <t xml:space="preserve">         35.31亿</t>
  </si>
  <si>
    <t xml:space="preserve">         70.26亿</t>
  </si>
  <si>
    <t>矿物制品</t>
  </si>
  <si>
    <t xml:space="preserve">         70.40亿</t>
  </si>
  <si>
    <t>4.19万</t>
  </si>
  <si>
    <t>凯撒旅业</t>
  </si>
  <si>
    <t xml:space="preserve">         27.38亿</t>
  </si>
  <si>
    <t xml:space="preserve">         61.00亿</t>
  </si>
  <si>
    <t xml:space="preserve">         61.03亿</t>
  </si>
  <si>
    <t xml:space="preserve"> -21.96㈡</t>
  </si>
  <si>
    <t>中国武夷</t>
  </si>
  <si>
    <t xml:space="preserve">         20.78亿</t>
  </si>
  <si>
    <t xml:space="preserve">         45.57亿</t>
  </si>
  <si>
    <t xml:space="preserve">         45.72亿</t>
  </si>
  <si>
    <t>7.33万</t>
  </si>
  <si>
    <t xml:space="preserve">   0.61㈡</t>
  </si>
  <si>
    <t>中水渔业</t>
  </si>
  <si>
    <t xml:space="preserve">         10.55亿</t>
  </si>
  <si>
    <t xml:space="preserve">         25.84亿</t>
  </si>
  <si>
    <t>渔业</t>
  </si>
  <si>
    <t>2.93万</t>
  </si>
  <si>
    <t xml:space="preserve">   0.72㈡</t>
  </si>
  <si>
    <t>酒鬼酒</t>
  </si>
  <si>
    <t xml:space="preserve">        518.65亿</t>
  </si>
  <si>
    <t xml:space="preserve">        751.66亿</t>
  </si>
  <si>
    <t>62.08万</t>
  </si>
  <si>
    <t>1.571㈡</t>
  </si>
  <si>
    <t xml:space="preserve">  16.25㈡</t>
  </si>
  <si>
    <t>一汽解放</t>
  </si>
  <si>
    <t xml:space="preserve">         85.55亿</t>
  </si>
  <si>
    <t xml:space="preserve">        520.41亿</t>
  </si>
  <si>
    <t>10.82万</t>
  </si>
  <si>
    <t>0.700㈡</t>
  </si>
  <si>
    <t xml:space="preserve">  12.77㈡</t>
  </si>
  <si>
    <t>四川九洲</t>
  </si>
  <si>
    <t xml:space="preserve">         38.88亿</t>
  </si>
  <si>
    <t xml:space="preserve">         76.51亿</t>
  </si>
  <si>
    <t>10.25万</t>
  </si>
  <si>
    <t>0.072㈡</t>
  </si>
  <si>
    <t xml:space="preserve">   2.80㈡</t>
  </si>
  <si>
    <t>北清环能</t>
  </si>
  <si>
    <t xml:space="preserve">         26.17亿</t>
  </si>
  <si>
    <t xml:space="preserve">         43.04亿</t>
  </si>
  <si>
    <t>17.52万</t>
  </si>
  <si>
    <t xml:space="preserve">   2.24㈡</t>
  </si>
  <si>
    <t>云铝股份</t>
  </si>
  <si>
    <t xml:space="preserve">        382.61亿</t>
  </si>
  <si>
    <t xml:space="preserve">        631.77亿</t>
  </si>
  <si>
    <t xml:space="preserve">        702.28亿</t>
  </si>
  <si>
    <t>31.19万</t>
  </si>
  <si>
    <t>0.640㈡</t>
  </si>
  <si>
    <t xml:space="preserve">  14.43㈡</t>
  </si>
  <si>
    <t>铁岭新城</t>
  </si>
  <si>
    <t xml:space="preserve">         12.95亿</t>
  </si>
  <si>
    <t xml:space="preserve">         19.71亿</t>
  </si>
  <si>
    <t>-0.060㈡</t>
  </si>
  <si>
    <t xml:space="preserve">  -1.79㈡</t>
  </si>
  <si>
    <t>创维数字</t>
  </si>
  <si>
    <t xml:space="preserve">         33.76亿</t>
  </si>
  <si>
    <t xml:space="preserve">         82.30亿</t>
  </si>
  <si>
    <t xml:space="preserve">         85.38亿</t>
  </si>
  <si>
    <t>6.71万</t>
  </si>
  <si>
    <t>0.267㈡</t>
  </si>
  <si>
    <t xml:space="preserve">   6.48㈡</t>
  </si>
  <si>
    <t>冰轮环境</t>
  </si>
  <si>
    <t xml:space="preserve">         49.85亿</t>
  </si>
  <si>
    <t xml:space="preserve">         86.89亿</t>
  </si>
  <si>
    <t>16.25万</t>
  </si>
  <si>
    <t>陕西金叶</t>
  </si>
  <si>
    <t xml:space="preserve">         19.89亿</t>
  </si>
  <si>
    <t xml:space="preserve">         27.11亿</t>
  </si>
  <si>
    <t xml:space="preserve">         27.13亿</t>
  </si>
  <si>
    <t>3.90万</t>
  </si>
  <si>
    <t xml:space="preserve">   0.91㈡</t>
  </si>
  <si>
    <t>德展健康</t>
  </si>
  <si>
    <t xml:space="preserve">         34.97亿</t>
  </si>
  <si>
    <t xml:space="preserve">         94.57亿</t>
  </si>
  <si>
    <t xml:space="preserve">         95.49亿</t>
  </si>
  <si>
    <t>6.64万</t>
  </si>
  <si>
    <t>0.046㈡</t>
  </si>
  <si>
    <t xml:space="preserve">   1.85㈡</t>
  </si>
  <si>
    <t>美利云</t>
  </si>
  <si>
    <t xml:space="preserve">         24.49亿</t>
  </si>
  <si>
    <t xml:space="preserve">         47.21亿</t>
  </si>
  <si>
    <t>7.51万</t>
  </si>
  <si>
    <t>0.030㈡</t>
  </si>
  <si>
    <t xml:space="preserve">   0.97㈡</t>
  </si>
  <si>
    <t>智慧农业</t>
  </si>
  <si>
    <t xml:space="preserve">         39.92亿</t>
  </si>
  <si>
    <t xml:space="preserve">         50.84亿</t>
  </si>
  <si>
    <t>农用机械</t>
  </si>
  <si>
    <t xml:space="preserve">         54.13亿</t>
  </si>
  <si>
    <t>2.55万</t>
  </si>
  <si>
    <t>航锦科技</t>
  </si>
  <si>
    <t xml:space="preserve">        152.60亿</t>
  </si>
  <si>
    <t xml:space="preserve">        209.83亿</t>
  </si>
  <si>
    <t xml:space="preserve">        211.75亿</t>
  </si>
  <si>
    <t>36.10万</t>
  </si>
  <si>
    <t xml:space="preserve">  12.75㈡</t>
  </si>
  <si>
    <t>岳阳兴长</t>
  </si>
  <si>
    <t xml:space="preserve">         14.39亿</t>
  </si>
  <si>
    <t xml:space="preserve">         23.39亿</t>
  </si>
  <si>
    <t>5.21万</t>
  </si>
  <si>
    <t xml:space="preserve">   1.41㈡</t>
  </si>
  <si>
    <t>京山轻机</t>
  </si>
  <si>
    <t xml:space="preserve">         53.50亿</t>
  </si>
  <si>
    <t xml:space="preserve">         80.31亿</t>
  </si>
  <si>
    <t>8.36万</t>
  </si>
  <si>
    <t>0.210㈡</t>
  </si>
  <si>
    <t xml:space="preserve">   3.76㈡</t>
  </si>
  <si>
    <t>山东海化</t>
  </si>
  <si>
    <t xml:space="preserve">         78.18亿</t>
  </si>
  <si>
    <t xml:space="preserve">        131.04亿</t>
  </si>
  <si>
    <t>15.02万</t>
  </si>
  <si>
    <t xml:space="preserve">   7.65㈡</t>
  </si>
  <si>
    <t>超声电子</t>
  </si>
  <si>
    <t xml:space="preserve">         42.58亿</t>
  </si>
  <si>
    <t xml:space="preserve">         61.10亿</t>
  </si>
  <si>
    <t xml:space="preserve">         61.11亿</t>
  </si>
  <si>
    <t>7.61万</t>
  </si>
  <si>
    <t>0.317㈡</t>
  </si>
  <si>
    <t xml:space="preserve">   4.27㈡</t>
  </si>
  <si>
    <t>太钢不锈</t>
  </si>
  <si>
    <t xml:space="preserve">        271.66亿</t>
  </si>
  <si>
    <t xml:space="preserve">        740.50亿</t>
  </si>
  <si>
    <t xml:space="preserve">        740.51亿</t>
  </si>
  <si>
    <t>18.21万</t>
  </si>
  <si>
    <t xml:space="preserve">  12.85㈡</t>
  </si>
  <si>
    <t>启迪环境</t>
  </si>
  <si>
    <t xml:space="preserve">         38.91亿</t>
  </si>
  <si>
    <t xml:space="preserve">         72.34亿</t>
  </si>
  <si>
    <t xml:space="preserve">         72.53亿</t>
  </si>
  <si>
    <t>7.57万</t>
  </si>
  <si>
    <t>-2.720㈡</t>
  </si>
  <si>
    <t xml:space="preserve"> -40.25㈡</t>
  </si>
  <si>
    <t>东莞控股</t>
  </si>
  <si>
    <t xml:space="preserve">         35.66亿</t>
  </si>
  <si>
    <t xml:space="preserve">        118.19亿</t>
  </si>
  <si>
    <t>9.80万</t>
  </si>
  <si>
    <t>0.486㈡</t>
  </si>
  <si>
    <t xml:space="preserve">   6.26㈡</t>
  </si>
  <si>
    <t>天音控股</t>
  </si>
  <si>
    <t xml:space="preserve">        100.98亿</t>
  </si>
  <si>
    <t xml:space="preserve">        180.69亿</t>
  </si>
  <si>
    <t xml:space="preserve">        180.93亿</t>
  </si>
  <si>
    <t>16.03万</t>
  </si>
  <si>
    <t xml:space="preserve">   3.47㈡</t>
  </si>
  <si>
    <t>鲁西化工</t>
  </si>
  <si>
    <t xml:space="preserve">        231.88亿</t>
  </si>
  <si>
    <t xml:space="preserve">        349.33亿</t>
  </si>
  <si>
    <t xml:space="preserve">        454.37亿</t>
  </si>
  <si>
    <t>21.08万</t>
  </si>
  <si>
    <t>1.380㈡</t>
  </si>
  <si>
    <t xml:space="preserve">  16.50㈡</t>
  </si>
  <si>
    <t>五矿稀土</t>
  </si>
  <si>
    <t xml:space="preserve">        254.43亿</t>
  </si>
  <si>
    <t xml:space="preserve">        424.63亿</t>
  </si>
  <si>
    <t>12.61万</t>
  </si>
  <si>
    <t>粤桂股份</t>
  </si>
  <si>
    <t xml:space="preserve">         27.08亿</t>
  </si>
  <si>
    <t xml:space="preserve">         33.88亿</t>
  </si>
  <si>
    <t xml:space="preserve">         59.89亿</t>
  </si>
  <si>
    <t xml:space="preserve">   2.35㈡</t>
  </si>
  <si>
    <t>富通信息</t>
  </si>
  <si>
    <t xml:space="preserve">         24.72亿</t>
  </si>
  <si>
    <t xml:space="preserve">         30.57亿</t>
  </si>
  <si>
    <t>4.65万</t>
  </si>
  <si>
    <t>-0.041㈡</t>
  </si>
  <si>
    <t xml:space="preserve">  -3.92㈡</t>
  </si>
  <si>
    <t>秦川机床</t>
  </si>
  <si>
    <t xml:space="preserve">         65.57亿</t>
  </si>
  <si>
    <t xml:space="preserve">         94.40亿</t>
  </si>
  <si>
    <t>机床制造</t>
  </si>
  <si>
    <t xml:space="preserve">        122.49亿</t>
  </si>
  <si>
    <t>15.71万</t>
  </si>
  <si>
    <t xml:space="preserve">   8.74㈡</t>
  </si>
  <si>
    <t>财信发展</t>
  </si>
  <si>
    <t xml:space="preserve">         12.80亿</t>
  </si>
  <si>
    <t xml:space="preserve">         25.72亿</t>
  </si>
  <si>
    <t xml:space="preserve">         33.45亿</t>
  </si>
  <si>
    <t>2.52万</t>
  </si>
  <si>
    <t xml:space="preserve">   0.15㈡</t>
  </si>
  <si>
    <t>中信国安</t>
  </si>
  <si>
    <t xml:space="preserve">         73.00亿</t>
  </si>
  <si>
    <t xml:space="preserve">        114.85亿</t>
  </si>
  <si>
    <t>4.16万</t>
  </si>
  <si>
    <t>-0.061㈡</t>
  </si>
  <si>
    <t xml:space="preserve">  -4.81㈡</t>
  </si>
  <si>
    <t>承德露露</t>
  </si>
  <si>
    <t xml:space="preserve">         71.64亿</t>
  </si>
  <si>
    <t xml:space="preserve">        120.77亿</t>
  </si>
  <si>
    <t>软饮料</t>
  </si>
  <si>
    <t>14.49万</t>
  </si>
  <si>
    <t xml:space="preserve">  13.69㈡</t>
  </si>
  <si>
    <t>华茂股份</t>
  </si>
  <si>
    <t xml:space="preserve">         38.02亿</t>
  </si>
  <si>
    <t xml:space="preserve">         38.03亿</t>
  </si>
  <si>
    <t>5.25万</t>
  </si>
  <si>
    <t xml:space="preserve">   3.32㈡</t>
  </si>
  <si>
    <t>高鸿股份</t>
  </si>
  <si>
    <t xml:space="preserve">         46.66亿</t>
  </si>
  <si>
    <t xml:space="preserve">         53.77亿</t>
  </si>
  <si>
    <t xml:space="preserve">         69.77亿</t>
  </si>
  <si>
    <t xml:space="preserve">   0.17㈡</t>
  </si>
  <si>
    <t>石化机械</t>
  </si>
  <si>
    <t xml:space="preserve">         23.58亿</t>
  </si>
  <si>
    <t xml:space="preserve">         57.15亿</t>
  </si>
  <si>
    <t>化工机械</t>
  </si>
  <si>
    <t xml:space="preserve">   1.19㈡</t>
  </si>
  <si>
    <t>冀东装备</t>
  </si>
  <si>
    <t xml:space="preserve">         16.82亿</t>
  </si>
  <si>
    <t>0.068㈡</t>
  </si>
  <si>
    <t>五 粮 液</t>
  </si>
  <si>
    <t xml:space="preserve">       3453.68亿</t>
  </si>
  <si>
    <t xml:space="preserve">       7646.57亿</t>
  </si>
  <si>
    <t xml:space="preserve">       7646.77亿</t>
  </si>
  <si>
    <t>82.82万</t>
  </si>
  <si>
    <t>3.400㈡</t>
  </si>
  <si>
    <t xml:space="preserve">  14.85㈡</t>
  </si>
  <si>
    <t>国风塑业</t>
  </si>
  <si>
    <t xml:space="preserve">         46.42亿</t>
  </si>
  <si>
    <t xml:space="preserve">         61.41亿</t>
  </si>
  <si>
    <t>塑料</t>
  </si>
  <si>
    <t xml:space="preserve">         65.50亿</t>
  </si>
  <si>
    <t>9.39万</t>
  </si>
  <si>
    <t>顺鑫农业</t>
  </si>
  <si>
    <t xml:space="preserve">        153.07亿</t>
  </si>
  <si>
    <t xml:space="preserve">        244.93亿</t>
  </si>
  <si>
    <t>15.74万</t>
  </si>
  <si>
    <t>0.641㈡</t>
  </si>
  <si>
    <t xml:space="preserve">   5.84㈡</t>
  </si>
  <si>
    <t>海印股份</t>
  </si>
  <si>
    <t xml:space="preserve">         27.35亿</t>
  </si>
  <si>
    <t xml:space="preserve">         47.26亿</t>
  </si>
  <si>
    <t xml:space="preserve">         50.70亿</t>
  </si>
  <si>
    <t>3.57万</t>
  </si>
  <si>
    <t>银星能源</t>
  </si>
  <si>
    <t xml:space="preserve">         30.26亿</t>
  </si>
  <si>
    <t xml:space="preserve">         35.95亿</t>
  </si>
  <si>
    <t xml:space="preserve">         50.63亿</t>
  </si>
  <si>
    <t>4.59万</t>
  </si>
  <si>
    <t>0.153㈡</t>
  </si>
  <si>
    <t xml:space="preserve">   3.90㈡</t>
  </si>
  <si>
    <t>三湘印象</t>
  </si>
  <si>
    <t xml:space="preserve">         19.44亿</t>
  </si>
  <si>
    <t xml:space="preserve">         39.74亿</t>
  </si>
  <si>
    <t xml:space="preserve">         40.92亿</t>
  </si>
  <si>
    <t>9.17万</t>
  </si>
  <si>
    <t xml:space="preserve">   4.32㈡</t>
  </si>
  <si>
    <t>安凯客车</t>
  </si>
  <si>
    <t xml:space="preserve">         17.79亿</t>
  </si>
  <si>
    <t xml:space="preserve">         29.41亿</t>
  </si>
  <si>
    <t>3.52万</t>
  </si>
  <si>
    <t>-0.090㈡</t>
  </si>
  <si>
    <t xml:space="preserve"> -14.04㈡</t>
  </si>
  <si>
    <t>张 裕Ａ</t>
  </si>
  <si>
    <t xml:space="preserve">         33.65亿</t>
  </si>
  <si>
    <t xml:space="preserve">        141.30亿</t>
  </si>
  <si>
    <t>红黄酒</t>
  </si>
  <si>
    <t xml:space="preserve">        213.59亿</t>
  </si>
  <si>
    <t>21.47万</t>
  </si>
  <si>
    <t>吉电股份</t>
  </si>
  <si>
    <t xml:space="preserve">        114.56亿</t>
  </si>
  <si>
    <t xml:space="preserve">        159.46亿</t>
  </si>
  <si>
    <t xml:space="preserve">        207.31亿</t>
  </si>
  <si>
    <t>6.63万</t>
  </si>
  <si>
    <t xml:space="preserve">   6.57㈡</t>
  </si>
  <si>
    <t>新 希 望</t>
  </si>
  <si>
    <t xml:space="preserve">        261.41亿</t>
  </si>
  <si>
    <t xml:space="preserve">        553.24亿</t>
  </si>
  <si>
    <t xml:space="preserve">        576.22亿</t>
  </si>
  <si>
    <t>10.21万</t>
  </si>
  <si>
    <t>-0.790㈡</t>
  </si>
  <si>
    <t xml:space="preserve">  -9.18㈡</t>
  </si>
  <si>
    <t>天山股份</t>
  </si>
  <si>
    <t xml:space="preserve">         91.74亿</t>
  </si>
  <si>
    <t xml:space="preserve">        142.22亿</t>
  </si>
  <si>
    <t xml:space="preserve">        169.47亿</t>
  </si>
  <si>
    <t>8.19万</t>
  </si>
  <si>
    <t>0.716㈡</t>
  </si>
  <si>
    <t xml:space="preserve">   6.90㈡</t>
  </si>
  <si>
    <t>云南铜业</t>
  </si>
  <si>
    <t xml:space="preserve">        169.44亿</t>
  </si>
  <si>
    <t xml:space="preserve">        276.98亿</t>
  </si>
  <si>
    <t xml:space="preserve">        286.74亿</t>
  </si>
  <si>
    <t>12.92万</t>
  </si>
  <si>
    <t>0.149㈡</t>
  </si>
  <si>
    <t xml:space="preserve">   2.88㈡</t>
  </si>
  <si>
    <t>潍柴重机</t>
  </si>
  <si>
    <t xml:space="preserve">         13.67亿</t>
  </si>
  <si>
    <t xml:space="preserve">         27.93亿</t>
  </si>
  <si>
    <t>中广核技</t>
  </si>
  <si>
    <t xml:space="preserve">         77.00亿</t>
  </si>
  <si>
    <t xml:space="preserve">         99.93亿</t>
  </si>
  <si>
    <t>10.58万</t>
  </si>
  <si>
    <t>0.137㈡</t>
  </si>
  <si>
    <t>华联股份</t>
  </si>
  <si>
    <t xml:space="preserve">         36.28亿</t>
  </si>
  <si>
    <t xml:space="preserve">         55.57亿</t>
  </si>
  <si>
    <t xml:space="preserve">   0.12㈡</t>
  </si>
  <si>
    <t>湖北能源</t>
  </si>
  <si>
    <t xml:space="preserve">         93.94亿</t>
  </si>
  <si>
    <t xml:space="preserve">        331.13亿</t>
  </si>
  <si>
    <t xml:space="preserve">        331.23亿</t>
  </si>
  <si>
    <t xml:space="preserve">   5.52㈡</t>
  </si>
  <si>
    <t>城发环境</t>
  </si>
  <si>
    <t xml:space="preserve">         21.25亿</t>
  </si>
  <si>
    <t xml:space="preserve">         62.86亿</t>
  </si>
  <si>
    <t>0.728㈡</t>
  </si>
  <si>
    <t>海南高速</t>
  </si>
  <si>
    <t xml:space="preserve">         30.65亿</t>
  </si>
  <si>
    <t xml:space="preserve">         42.22亿</t>
  </si>
  <si>
    <t>4.33万</t>
  </si>
  <si>
    <t xml:space="preserve">   1.81㈡</t>
  </si>
  <si>
    <t>中鼎股份</t>
  </si>
  <si>
    <t xml:space="preserve">        112.36亿</t>
  </si>
  <si>
    <t xml:space="preserve">        199.67亿</t>
  </si>
  <si>
    <t>橡胶</t>
  </si>
  <si>
    <t xml:space="preserve">        200.10亿</t>
  </si>
  <si>
    <t>22.86万</t>
  </si>
  <si>
    <t>峨眉山Ａ</t>
  </si>
  <si>
    <t>5.53万</t>
  </si>
  <si>
    <t>0.066㈡</t>
  </si>
  <si>
    <t>中嘉博创</t>
  </si>
  <si>
    <t xml:space="preserve">         16.37亿</t>
  </si>
  <si>
    <t xml:space="preserve">         28.10亿</t>
  </si>
  <si>
    <t xml:space="preserve">         30.24亿</t>
  </si>
  <si>
    <t>3.63万</t>
  </si>
  <si>
    <t>-0.037㈡</t>
  </si>
  <si>
    <t xml:space="preserve">  -1.51㈡</t>
  </si>
  <si>
    <t>法尔胜</t>
  </si>
  <si>
    <t xml:space="preserve">         18.91亿</t>
  </si>
  <si>
    <t>5.20万</t>
  </si>
  <si>
    <t>-6938.27㈡</t>
  </si>
  <si>
    <t>欢瑞世纪</t>
  </si>
  <si>
    <t xml:space="preserve">         13.91亿</t>
  </si>
  <si>
    <t xml:space="preserve">         28.06亿</t>
  </si>
  <si>
    <t>4.99万</t>
  </si>
  <si>
    <t>0.012㈡</t>
  </si>
  <si>
    <t xml:space="preserve">   0.60㈡</t>
  </si>
  <si>
    <t>亚钾国际</t>
  </si>
  <si>
    <t xml:space="preserve">         50.59亿</t>
  </si>
  <si>
    <t xml:space="preserve">         83.25亿</t>
  </si>
  <si>
    <t xml:space="preserve">        156.22亿</t>
  </si>
  <si>
    <t>24.33万</t>
  </si>
  <si>
    <t>0.669㈡</t>
  </si>
  <si>
    <t xml:space="preserve">  12.00㈡</t>
  </si>
  <si>
    <t>双汇发展</t>
  </si>
  <si>
    <t xml:space="preserve">        263.32亿</t>
  </si>
  <si>
    <t xml:space="preserve">        381.59亿</t>
  </si>
  <si>
    <t xml:space="preserve">        887.99亿</t>
  </si>
  <si>
    <t>6.48万</t>
  </si>
  <si>
    <t>0.732㈡</t>
  </si>
  <si>
    <t xml:space="preserve">  12.39㈡</t>
  </si>
  <si>
    <t>津滨发展</t>
  </si>
  <si>
    <t xml:space="preserve">         25.93亿</t>
  </si>
  <si>
    <t xml:space="preserve">         33.64亿</t>
  </si>
  <si>
    <t>2.48万</t>
  </si>
  <si>
    <t xml:space="preserve">   2.16㈡</t>
  </si>
  <si>
    <t>鞍钢股份</t>
  </si>
  <si>
    <t xml:space="preserve">        122.94亿</t>
  </si>
  <si>
    <t xml:space="preserve">        469.33亿</t>
  </si>
  <si>
    <t xml:space="preserve">        472.43亿</t>
  </si>
  <si>
    <t>11.45万</t>
  </si>
  <si>
    <t xml:space="preserve">   8.96㈡</t>
  </si>
  <si>
    <t>赣能股份</t>
  </si>
  <si>
    <t xml:space="preserve">         14.02亿</t>
  </si>
  <si>
    <t xml:space="preserve">         52.78亿</t>
  </si>
  <si>
    <t>0.078㈡</t>
  </si>
  <si>
    <t xml:space="preserve">   1.53㈡</t>
  </si>
  <si>
    <t>现代投资</t>
  </si>
  <si>
    <t xml:space="preserve">         37.86亿</t>
  </si>
  <si>
    <t xml:space="preserve">         66.91亿</t>
  </si>
  <si>
    <t xml:space="preserve">         66.94亿</t>
  </si>
  <si>
    <t>7.54万</t>
  </si>
  <si>
    <t>0.307㈡</t>
  </si>
  <si>
    <t xml:space="preserve">   4.21㈡</t>
  </si>
  <si>
    <t>航天科技</t>
  </si>
  <si>
    <t xml:space="preserve">         47.11亿</t>
  </si>
  <si>
    <t xml:space="preserve">         72.08亿</t>
  </si>
  <si>
    <t xml:space="preserve">   0.55㈡</t>
  </si>
  <si>
    <t>新洋丰</t>
  </si>
  <si>
    <t xml:space="preserve">        137.13亿</t>
  </si>
  <si>
    <t xml:space="preserve">        266.92亿</t>
  </si>
  <si>
    <t xml:space="preserve">        293.52亿</t>
  </si>
  <si>
    <t>44.95万</t>
  </si>
  <si>
    <t xml:space="preserve">   9.37㈡</t>
  </si>
  <si>
    <t>云内动力</t>
  </si>
  <si>
    <t xml:space="preserve">         50.98亿</t>
  </si>
  <si>
    <t xml:space="preserve">         76.07亿</t>
  </si>
  <si>
    <t xml:space="preserve">   2.83㈡</t>
  </si>
  <si>
    <t>厦门港务</t>
  </si>
  <si>
    <t xml:space="preserve">         34.77亿</t>
  </si>
  <si>
    <t xml:space="preserve">         36.80亿</t>
  </si>
  <si>
    <t xml:space="preserve">         43.33亿</t>
  </si>
  <si>
    <t>7.86万</t>
  </si>
  <si>
    <t>0.207㈡</t>
  </si>
  <si>
    <t xml:space="preserve">   3.57㈡</t>
  </si>
  <si>
    <t>浙商中拓</t>
  </si>
  <si>
    <t xml:space="preserve">         76.72亿</t>
  </si>
  <si>
    <t xml:space="preserve">         77.80亿</t>
  </si>
  <si>
    <t>23.32万</t>
  </si>
  <si>
    <t>0.530㈡</t>
  </si>
  <si>
    <t xml:space="preserve">   8.92㈡</t>
  </si>
  <si>
    <t>景峰医药</t>
  </si>
  <si>
    <t xml:space="preserve">         24.38亿</t>
  </si>
  <si>
    <t xml:space="preserve">         31.00亿</t>
  </si>
  <si>
    <t xml:space="preserve">         35.98亿</t>
  </si>
  <si>
    <t>2.42万</t>
  </si>
  <si>
    <t>0.095㈡</t>
  </si>
  <si>
    <t xml:space="preserve">  13.88㈡</t>
  </si>
  <si>
    <t>数源科技</t>
  </si>
  <si>
    <t xml:space="preserve">         17.43亿</t>
  </si>
  <si>
    <t xml:space="preserve">         27.47亿</t>
  </si>
  <si>
    <t xml:space="preserve">         32.18亿</t>
  </si>
  <si>
    <t>6.31万</t>
  </si>
  <si>
    <t xml:space="preserve">   1.66㈡</t>
  </si>
  <si>
    <t>大亚圣象</t>
  </si>
  <si>
    <t xml:space="preserve">         36.94亿</t>
  </si>
  <si>
    <t xml:space="preserve">         68.99亿</t>
  </si>
  <si>
    <t>家居用品</t>
  </si>
  <si>
    <t xml:space="preserve">         69.03亿</t>
  </si>
  <si>
    <t>高位回落</t>
  </si>
  <si>
    <t>13.45万</t>
  </si>
  <si>
    <t xml:space="preserve">   5.19㈡</t>
  </si>
  <si>
    <t>南宁糖业</t>
  </si>
  <si>
    <t xml:space="preserve">         20.14亿</t>
  </si>
  <si>
    <t xml:space="preserve">         38.14亿</t>
  </si>
  <si>
    <t xml:space="preserve">   4.00㈡</t>
  </si>
  <si>
    <t>泸天化</t>
  </si>
  <si>
    <t xml:space="preserve">         46.30亿</t>
  </si>
  <si>
    <t xml:space="preserve">        112.27亿</t>
  </si>
  <si>
    <t>11.03万</t>
  </si>
  <si>
    <t>0.197㈡</t>
  </si>
  <si>
    <t xml:space="preserve">   5.39㈡</t>
  </si>
  <si>
    <t>钱江摩托</t>
  </si>
  <si>
    <t xml:space="preserve">         38.11亿</t>
  </si>
  <si>
    <t xml:space="preserve">         65.08亿</t>
  </si>
  <si>
    <t>摩托车</t>
  </si>
  <si>
    <t>14.55万</t>
  </si>
  <si>
    <t>0.380㈡</t>
  </si>
  <si>
    <t xml:space="preserve">   5.86㈡</t>
  </si>
  <si>
    <t>华特达因</t>
  </si>
  <si>
    <t xml:space="preserve">         49.54亿</t>
  </si>
  <si>
    <t xml:space="preserve">         63.53亿</t>
  </si>
  <si>
    <t xml:space="preserve">         63.57亿</t>
  </si>
  <si>
    <t>24.48万</t>
  </si>
  <si>
    <t>0.980㈡</t>
  </si>
  <si>
    <t xml:space="preserve">  10.92㈡</t>
  </si>
  <si>
    <t>电广传媒</t>
  </si>
  <si>
    <t xml:space="preserve">         76.54亿</t>
  </si>
  <si>
    <t xml:space="preserve">         91.84亿</t>
  </si>
  <si>
    <t xml:space="preserve">         91.86亿</t>
  </si>
  <si>
    <t>8.92万</t>
  </si>
  <si>
    <t>0.330㈡</t>
  </si>
  <si>
    <t xml:space="preserve">   4.47㈡</t>
  </si>
  <si>
    <t>嘉凯城</t>
  </si>
  <si>
    <t xml:space="preserve">         23.46亿</t>
  </si>
  <si>
    <t xml:space="preserve">         65.49亿</t>
  </si>
  <si>
    <t>5.31万</t>
  </si>
  <si>
    <t>-0.240㈡</t>
  </si>
  <si>
    <t xml:space="preserve"> -23.05㈡</t>
  </si>
  <si>
    <t>金陵药业</t>
  </si>
  <si>
    <t xml:space="preserve">         19.38亿</t>
  </si>
  <si>
    <t xml:space="preserve">         35.42亿</t>
  </si>
  <si>
    <t xml:space="preserve">         35.48亿</t>
  </si>
  <si>
    <t>5.43万</t>
  </si>
  <si>
    <t>0.151㈡</t>
  </si>
  <si>
    <t>南方汇通</t>
  </si>
  <si>
    <t xml:space="preserve">         25.77亿</t>
  </si>
  <si>
    <t xml:space="preserve">         47.28亿</t>
  </si>
  <si>
    <t xml:space="preserve">         47.31亿</t>
  </si>
  <si>
    <t>6.75万</t>
  </si>
  <si>
    <t>海信家电</t>
  </si>
  <si>
    <t xml:space="preserve">         48.79亿</t>
  </si>
  <si>
    <t xml:space="preserve">        114.21亿</t>
  </si>
  <si>
    <t xml:space="preserve">        114.34亿</t>
  </si>
  <si>
    <t>16.66万</t>
  </si>
  <si>
    <t xml:space="preserve">   6.20㈡</t>
  </si>
  <si>
    <t>佳电股份</t>
  </si>
  <si>
    <t xml:space="preserve">         39.48亿</t>
  </si>
  <si>
    <t xml:space="preserve">         62.37亿</t>
  </si>
  <si>
    <t xml:space="preserve">         64.18亿</t>
  </si>
  <si>
    <t>12.93万</t>
  </si>
  <si>
    <t>0.228㈡</t>
  </si>
  <si>
    <t xml:space="preserve">   5.25㈡</t>
  </si>
  <si>
    <t>河钢资源</t>
  </si>
  <si>
    <t xml:space="preserve">         63.74亿</t>
  </si>
  <si>
    <t xml:space="preserve">        125.39亿</t>
  </si>
  <si>
    <t xml:space="preserve">        130.35亿</t>
  </si>
  <si>
    <t>16.72万</t>
  </si>
  <si>
    <t>1.580㈡</t>
  </si>
  <si>
    <t xml:space="preserve">  12.21㈡</t>
  </si>
  <si>
    <t>众合科技</t>
  </si>
  <si>
    <t xml:space="preserve">         41.69亿</t>
  </si>
  <si>
    <t xml:space="preserve">         47.73亿</t>
  </si>
  <si>
    <t xml:space="preserve">         50.73亿</t>
  </si>
  <si>
    <t>14.26万</t>
  </si>
  <si>
    <t xml:space="preserve">   2.66㈡</t>
  </si>
  <si>
    <t>福星股份</t>
  </si>
  <si>
    <t xml:space="preserve">         31.01亿</t>
  </si>
  <si>
    <t xml:space="preserve">         41.94亿</t>
  </si>
  <si>
    <t xml:space="preserve">         42.64亿</t>
  </si>
  <si>
    <t>7.99万</t>
  </si>
  <si>
    <t xml:space="preserve">   1.09㈡</t>
  </si>
  <si>
    <t>中国铁物</t>
  </si>
  <si>
    <t xml:space="preserve">         60.35亿</t>
  </si>
  <si>
    <t xml:space="preserve">         71.71亿</t>
  </si>
  <si>
    <t xml:space="preserve">        221.44亿</t>
  </si>
  <si>
    <t>12.30万</t>
  </si>
  <si>
    <t xml:space="preserve">   7.87㈡</t>
  </si>
  <si>
    <t>中钢国际</t>
  </si>
  <si>
    <t xml:space="preserve">         58.48亿</t>
  </si>
  <si>
    <t xml:space="preserve">        128.80亿</t>
  </si>
  <si>
    <t xml:space="preserve">        128.81亿</t>
  </si>
  <si>
    <t>0.292㈡</t>
  </si>
  <si>
    <t xml:space="preserve">   6.21㈡</t>
  </si>
  <si>
    <t>兰州黄河</t>
  </si>
  <si>
    <t xml:space="preserve">         11.51亿</t>
  </si>
  <si>
    <t xml:space="preserve">         15.66亿</t>
  </si>
  <si>
    <t>3.21万</t>
  </si>
  <si>
    <t>0.006㈡</t>
  </si>
  <si>
    <t xml:space="preserve">   0.18㈡</t>
  </si>
  <si>
    <t>中粮科技</t>
  </si>
  <si>
    <t xml:space="preserve">         83.51亿</t>
  </si>
  <si>
    <t xml:space="preserve">         99.14亿</t>
  </si>
  <si>
    <t xml:space="preserve">        191.80亿</t>
  </si>
  <si>
    <t>6.11万</t>
  </si>
  <si>
    <t>中 关 村</t>
  </si>
  <si>
    <t xml:space="preserve">         39.51亿</t>
  </si>
  <si>
    <t xml:space="preserve">         62.13亿</t>
  </si>
  <si>
    <t>4.93万</t>
  </si>
  <si>
    <t xml:space="preserve">   0.89㈡</t>
  </si>
  <si>
    <t>华菱钢铁</t>
  </si>
  <si>
    <t xml:space="preserve">        262.46亿</t>
  </si>
  <si>
    <t xml:space="preserve">        477.45亿</t>
  </si>
  <si>
    <t xml:space="preserve">        576.87亿</t>
  </si>
  <si>
    <t>24.38万</t>
  </si>
  <si>
    <t xml:space="preserve">  13.96㈡</t>
  </si>
  <si>
    <t>神火股份</t>
  </si>
  <si>
    <t xml:space="preserve">        240.30亿</t>
  </si>
  <si>
    <t xml:space="preserve">        374.22亿</t>
  </si>
  <si>
    <t xml:space="preserve">        377.49亿</t>
  </si>
  <si>
    <t>29.31万</t>
  </si>
  <si>
    <t>0.660㈡</t>
  </si>
  <si>
    <t xml:space="preserve">  17.82㈡</t>
  </si>
  <si>
    <t>四川双马</t>
  </si>
  <si>
    <t xml:space="preserve">         51.84亿</t>
  </si>
  <si>
    <t xml:space="preserve">        167.58亿</t>
  </si>
  <si>
    <t>12.19万</t>
  </si>
  <si>
    <t>华西股份</t>
  </si>
  <si>
    <t xml:space="preserve">         40.46亿</t>
  </si>
  <si>
    <t xml:space="preserve">         68.11亿</t>
  </si>
  <si>
    <t xml:space="preserve">         68.13亿</t>
  </si>
  <si>
    <t>6.55万</t>
  </si>
  <si>
    <t xml:space="preserve">   7.77㈡</t>
  </si>
  <si>
    <t>冀中能源</t>
  </si>
  <si>
    <t xml:space="preserve">        102.70亿</t>
  </si>
  <si>
    <t xml:space="preserve">        297.35亿</t>
  </si>
  <si>
    <t xml:space="preserve">        361.48亿</t>
  </si>
  <si>
    <t>13.56万</t>
  </si>
  <si>
    <t>紫光股份</t>
  </si>
  <si>
    <t xml:space="preserve">        302.27亿</t>
  </si>
  <si>
    <t xml:space="preserve">        705.58亿</t>
  </si>
  <si>
    <t>19.89万</t>
  </si>
  <si>
    <t xml:space="preserve">   3.22㈡</t>
  </si>
  <si>
    <t>南天信息</t>
  </si>
  <si>
    <t xml:space="preserve">         28.18亿</t>
  </si>
  <si>
    <t xml:space="preserve">         43.12亿</t>
  </si>
  <si>
    <t xml:space="preserve">         49.13亿</t>
  </si>
  <si>
    <t>0.027㈡</t>
  </si>
  <si>
    <t xml:space="preserve">   0.46㈡</t>
  </si>
  <si>
    <t>新乡化纤</t>
  </si>
  <si>
    <t xml:space="preserve">         48.96亿</t>
  </si>
  <si>
    <t xml:space="preserve">         94.16亿</t>
  </si>
  <si>
    <t xml:space="preserve">        109.86亿</t>
  </si>
  <si>
    <t>9.10万</t>
  </si>
  <si>
    <t xml:space="preserve">  13.23㈡</t>
  </si>
  <si>
    <t>重药控股</t>
  </si>
  <si>
    <t xml:space="preserve">         22.76亿</t>
  </si>
  <si>
    <t xml:space="preserve">         87.96亿</t>
  </si>
  <si>
    <t xml:space="preserve">         88.74亿</t>
  </si>
  <si>
    <t xml:space="preserve">   4.72㈡</t>
  </si>
  <si>
    <t>中国重汽</t>
  </si>
  <si>
    <t xml:space="preserve">         81.79亿</t>
  </si>
  <si>
    <t xml:space="preserve">        193.84亿</t>
  </si>
  <si>
    <t xml:space="preserve">        193.85亿</t>
  </si>
  <si>
    <t>21.23万</t>
  </si>
  <si>
    <t xml:space="preserve">   7.32㈡</t>
  </si>
  <si>
    <t>广济药业</t>
  </si>
  <si>
    <t xml:space="preserve">         21.27亿</t>
  </si>
  <si>
    <t xml:space="preserve">         25.37亿</t>
  </si>
  <si>
    <t xml:space="preserve">         28.45亿</t>
  </si>
  <si>
    <t xml:space="preserve">   4.23㈡</t>
  </si>
  <si>
    <t>河化股份</t>
  </si>
  <si>
    <t xml:space="preserve">          8.75亿</t>
  </si>
  <si>
    <t xml:space="preserve">         18.82亿</t>
  </si>
  <si>
    <t>5.36万</t>
  </si>
  <si>
    <t>0.008㈡</t>
  </si>
  <si>
    <t>欣龙控股</t>
  </si>
  <si>
    <t xml:space="preserve">         20.49亿</t>
  </si>
  <si>
    <t xml:space="preserve">         25.36亿</t>
  </si>
  <si>
    <t>3.35万</t>
  </si>
  <si>
    <t xml:space="preserve">   0.67㈡</t>
  </si>
  <si>
    <t>中通客车</t>
  </si>
  <si>
    <t xml:space="preserve">         18.52亿</t>
  </si>
  <si>
    <t xml:space="preserve">         30.89亿</t>
  </si>
  <si>
    <t>3.74万</t>
  </si>
  <si>
    <t>-0.252㈡</t>
  </si>
  <si>
    <t xml:space="preserve">  -5.69㈡</t>
  </si>
  <si>
    <t>东方能源</t>
  </si>
  <si>
    <t xml:space="preserve">         33.85亿</t>
  </si>
  <si>
    <t xml:space="preserve">         56.10亿</t>
  </si>
  <si>
    <t xml:space="preserve">        274.02亿</t>
  </si>
  <si>
    <t>5.35万</t>
  </si>
  <si>
    <t>0.142㈡</t>
  </si>
  <si>
    <t>首钢股份</t>
  </si>
  <si>
    <t xml:space="preserve">         98.27亿</t>
  </si>
  <si>
    <t xml:space="preserve">        455.64亿</t>
  </si>
  <si>
    <t xml:space="preserve">        602.36亿</t>
  </si>
  <si>
    <t>11.54万</t>
  </si>
  <si>
    <t>锡业股份</t>
  </si>
  <si>
    <t xml:space="preserve">        205.74亿</t>
  </si>
  <si>
    <t xml:space="preserve">        374.14亿</t>
  </si>
  <si>
    <t>19.34万</t>
  </si>
  <si>
    <t>0.580㈡</t>
  </si>
  <si>
    <t>中南建设</t>
  </si>
  <si>
    <t xml:space="preserve">         78.17亿</t>
  </si>
  <si>
    <t xml:space="preserve">        169.75亿</t>
  </si>
  <si>
    <t xml:space="preserve">        170.28亿</t>
  </si>
  <si>
    <t>11.37万</t>
  </si>
  <si>
    <t xml:space="preserve">   6.14㈡</t>
  </si>
  <si>
    <t>东方钽业</t>
  </si>
  <si>
    <t xml:space="preserve">         36.75亿</t>
  </si>
  <si>
    <t xml:space="preserve">         67.80亿</t>
  </si>
  <si>
    <t xml:space="preserve">   5.13㈡</t>
  </si>
  <si>
    <t>华东医药</t>
  </si>
  <si>
    <t xml:space="preserve">        215.67亿</t>
  </si>
  <si>
    <t xml:space="preserve">        513.56亿</t>
  </si>
  <si>
    <t xml:space="preserve">        513.57亿</t>
  </si>
  <si>
    <t>11.11万</t>
  </si>
  <si>
    <t>0.743㈡</t>
  </si>
  <si>
    <t xml:space="preserve">   8.35㈡</t>
  </si>
  <si>
    <t>天保基建</t>
  </si>
  <si>
    <t xml:space="preserve">         13.04亿</t>
  </si>
  <si>
    <t xml:space="preserve">         26.86亿</t>
  </si>
  <si>
    <t>3.26万</t>
  </si>
  <si>
    <t xml:space="preserve">  -1.90㈡</t>
  </si>
  <si>
    <t>长源电力</t>
  </si>
  <si>
    <t xml:space="preserve">         47.32亿</t>
  </si>
  <si>
    <t xml:space="preserve">         95.42亿</t>
  </si>
  <si>
    <t xml:space="preserve">        219.53亿</t>
  </si>
  <si>
    <t>2.95万</t>
  </si>
  <si>
    <t>0.101㈡</t>
  </si>
  <si>
    <t xml:space="preserve">   3.00㈡</t>
  </si>
  <si>
    <t>盈峰环境</t>
  </si>
  <si>
    <t xml:space="preserve">         57.63亿</t>
  </si>
  <si>
    <t xml:space="preserve">        130.92亿</t>
  </si>
  <si>
    <t xml:space="preserve">        204.65亿</t>
  </si>
  <si>
    <t>15.01万</t>
  </si>
  <si>
    <t xml:space="preserve">   2.25㈡</t>
  </si>
  <si>
    <t>蓝焰控股</t>
  </si>
  <si>
    <t xml:space="preserve">         45.98亿</t>
  </si>
  <si>
    <t xml:space="preserve">        125.29亿</t>
  </si>
  <si>
    <t>15.52万</t>
  </si>
  <si>
    <t xml:space="preserve">   3.70㈡</t>
  </si>
  <si>
    <t>安泰科技</t>
  </si>
  <si>
    <t xml:space="preserve">         60.76亿</t>
  </si>
  <si>
    <t xml:space="preserve">         95.56亿</t>
  </si>
  <si>
    <t xml:space="preserve">         97.98亿</t>
  </si>
  <si>
    <t>0.118㈡</t>
  </si>
  <si>
    <t xml:space="preserve">   2.58㈡</t>
  </si>
  <si>
    <t>中科三环</t>
  </si>
  <si>
    <t xml:space="preserve">        103.71亿</t>
  </si>
  <si>
    <t xml:space="preserve">        136.67亿</t>
  </si>
  <si>
    <t>10.89万</t>
  </si>
  <si>
    <t xml:space="preserve">   2.45㈡</t>
  </si>
  <si>
    <t>佛塑科技</t>
  </si>
  <si>
    <t xml:space="preserve">         39.54亿</t>
  </si>
  <si>
    <t xml:space="preserve">         53.98亿</t>
  </si>
  <si>
    <t>0.069㈡</t>
  </si>
  <si>
    <t>银泰黄金</t>
  </si>
  <si>
    <t xml:space="preserve">        152.75亿</t>
  </si>
  <si>
    <t xml:space="preserve">        238.72亿</t>
  </si>
  <si>
    <t xml:space="preserve">        270.73亿</t>
  </si>
  <si>
    <t>25.77万</t>
  </si>
  <si>
    <t>华铁股份</t>
  </si>
  <si>
    <t xml:space="preserve">         61.95亿</t>
  </si>
  <si>
    <t xml:space="preserve">         88.50亿</t>
  </si>
  <si>
    <t xml:space="preserve">         88.56亿</t>
  </si>
  <si>
    <t>17.31万</t>
  </si>
  <si>
    <t xml:space="preserve">   4.60㈡</t>
  </si>
  <si>
    <t>浪潮信息</t>
  </si>
  <si>
    <t xml:space="preserve">        269.23亿</t>
  </si>
  <si>
    <t xml:space="preserve">        424.22亿</t>
  </si>
  <si>
    <t xml:space="preserve">        424.49亿</t>
  </si>
  <si>
    <t>12.13万</t>
  </si>
  <si>
    <t>0.553㈡</t>
  </si>
  <si>
    <t xml:space="preserve">   5.31㈡</t>
  </si>
  <si>
    <t>桂林旅游</t>
  </si>
  <si>
    <t xml:space="preserve">         13.80亿</t>
  </si>
  <si>
    <t xml:space="preserve">         21.03亿</t>
  </si>
  <si>
    <t>-0.180㈡</t>
  </si>
  <si>
    <t xml:space="preserve">  -5.08㈡</t>
  </si>
  <si>
    <t>中银绒业</t>
  </si>
  <si>
    <t xml:space="preserve">         68.65亿</t>
  </si>
  <si>
    <t xml:space="preserve">        108.84亿</t>
  </si>
  <si>
    <t xml:space="preserve">        109.96亿</t>
  </si>
  <si>
    <t>山西焦煤</t>
  </si>
  <si>
    <t xml:space="preserve">        254.06亿</t>
  </si>
  <si>
    <t xml:space="preserve">        557.13亿</t>
  </si>
  <si>
    <t>16.60万</t>
  </si>
  <si>
    <t>0.475㈡</t>
  </si>
  <si>
    <t xml:space="preserve">   9.24㈡</t>
  </si>
  <si>
    <t>大庆华科</t>
  </si>
  <si>
    <t xml:space="preserve">          6.24亿</t>
  </si>
  <si>
    <t xml:space="preserve">         17.10亿</t>
  </si>
  <si>
    <t>5.92万</t>
  </si>
  <si>
    <t>越秀金控</t>
  </si>
  <si>
    <t xml:space="preserve">         68.79亿</t>
  </si>
  <si>
    <t xml:space="preserve">        310.39亿</t>
  </si>
  <si>
    <t xml:space="preserve">        320.35亿</t>
  </si>
  <si>
    <t>7.85万</t>
  </si>
  <si>
    <t>0.336㈡</t>
  </si>
  <si>
    <t xml:space="preserve">   5.22㈡</t>
  </si>
  <si>
    <t>华工科技</t>
  </si>
  <si>
    <t xml:space="preserve">        211.71亿</t>
  </si>
  <si>
    <t xml:space="preserve">        261.40亿</t>
  </si>
  <si>
    <t>电器仪表</t>
  </si>
  <si>
    <t xml:space="preserve">        261.53亿</t>
  </si>
  <si>
    <t>34.60万</t>
  </si>
  <si>
    <t xml:space="preserve">   5.04㈡</t>
  </si>
  <si>
    <t>九 芝 堂</t>
  </si>
  <si>
    <t xml:space="preserve">         31.76亿</t>
  </si>
  <si>
    <t xml:space="preserve">         54.15亿</t>
  </si>
  <si>
    <t xml:space="preserve">         76.59亿</t>
  </si>
  <si>
    <t>EXPMA死叉</t>
  </si>
  <si>
    <t>7.64万</t>
  </si>
  <si>
    <t xml:space="preserve">   5.63㈡</t>
  </si>
  <si>
    <t>诚志股份</t>
  </si>
  <si>
    <t xml:space="preserve">         93.47亿</t>
  </si>
  <si>
    <t xml:space="preserve">        223.66亿</t>
  </si>
  <si>
    <t>33.63万</t>
  </si>
  <si>
    <t>闽东电力</t>
  </si>
  <si>
    <t xml:space="preserve">         43.62亿</t>
  </si>
  <si>
    <t xml:space="preserve">         45.43亿</t>
  </si>
  <si>
    <t>3.86万</t>
  </si>
  <si>
    <t>0.145㈡</t>
  </si>
  <si>
    <t xml:space="preserve">   3.37㈡</t>
  </si>
  <si>
    <t>皇台酒业</t>
  </si>
  <si>
    <t xml:space="preserve">         30.77亿</t>
  </si>
  <si>
    <t xml:space="preserve">         50.86亿</t>
  </si>
  <si>
    <t>4.26万</t>
  </si>
  <si>
    <t xml:space="preserve">  -9.82㈡</t>
  </si>
  <si>
    <t>中国中期</t>
  </si>
  <si>
    <t xml:space="preserve">         24.65亿</t>
  </si>
  <si>
    <t>0.007㈡</t>
  </si>
  <si>
    <t xml:space="preserve">   0.52㈡</t>
  </si>
  <si>
    <t>新 大 陆</t>
  </si>
  <si>
    <t xml:space="preserve">        113.66亿</t>
  </si>
  <si>
    <t xml:space="preserve">        162.62亿</t>
  </si>
  <si>
    <t xml:space="preserve">        163.58亿</t>
  </si>
  <si>
    <t>14.22万</t>
  </si>
  <si>
    <t>0.310㈡</t>
  </si>
  <si>
    <t xml:space="preserve">   5.33㈡</t>
  </si>
  <si>
    <t>隆平高科</t>
  </si>
  <si>
    <t xml:space="preserve">        215.73亿</t>
  </si>
  <si>
    <t xml:space="preserve">        244.55亿</t>
  </si>
  <si>
    <t xml:space="preserve">        303.30亿</t>
  </si>
  <si>
    <t>12.70万</t>
  </si>
  <si>
    <t xml:space="preserve">  -1.01㈡</t>
  </si>
  <si>
    <t>华润三九</t>
  </si>
  <si>
    <t xml:space="preserve">         98.28亿</t>
  </si>
  <si>
    <t xml:space="preserve">        270.23亿</t>
  </si>
  <si>
    <t xml:space="preserve">        270.37亿</t>
  </si>
  <si>
    <t>24.51万</t>
  </si>
  <si>
    <t>1.390㈡</t>
  </si>
  <si>
    <t xml:space="preserve">   9.35㈡</t>
  </si>
  <si>
    <t>东瑞股份</t>
  </si>
  <si>
    <t xml:space="preserve">         16.40亿</t>
  </si>
  <si>
    <t xml:space="preserve">         65.58亿</t>
  </si>
  <si>
    <t>4.09万</t>
  </si>
  <si>
    <t>1.570㈡</t>
  </si>
  <si>
    <t xml:space="preserve">   7.43㈡</t>
  </si>
  <si>
    <t>炬申股份</t>
  </si>
  <si>
    <t xml:space="preserve">          5.47亿</t>
  </si>
  <si>
    <t>仓储物流</t>
  </si>
  <si>
    <t xml:space="preserve">         21.87亿</t>
  </si>
  <si>
    <t>2.78万</t>
  </si>
  <si>
    <t xml:space="preserve">   3.68㈡</t>
  </si>
  <si>
    <t>大中矿业</t>
  </si>
  <si>
    <t xml:space="preserve">         39.63亿</t>
  </si>
  <si>
    <t xml:space="preserve">        272.95亿</t>
  </si>
  <si>
    <t>4.01万</t>
  </si>
  <si>
    <t>0.650㈡</t>
  </si>
  <si>
    <t xml:space="preserve">  17.96㈡</t>
  </si>
  <si>
    <t>盛航股份</t>
  </si>
  <si>
    <t xml:space="preserve">          7.11亿</t>
  </si>
  <si>
    <t xml:space="preserve">         28.46亿</t>
  </si>
  <si>
    <t>依依股份</t>
  </si>
  <si>
    <t xml:space="preserve">         11.40亿</t>
  </si>
  <si>
    <t xml:space="preserve">         45.60亿</t>
  </si>
  <si>
    <t>5.72万</t>
  </si>
  <si>
    <t>0.810㈡</t>
  </si>
  <si>
    <t>联科科技</t>
  </si>
  <si>
    <t xml:space="preserve">         11.01亿</t>
  </si>
  <si>
    <t xml:space="preserve">         44.04亿</t>
  </si>
  <si>
    <t>3.30万</t>
  </si>
  <si>
    <t>0.690㈡</t>
  </si>
  <si>
    <t xml:space="preserve">   7.53㈡</t>
  </si>
  <si>
    <t>华菱线缆</t>
  </si>
  <si>
    <t xml:space="preserve">         21.59亿</t>
  </si>
  <si>
    <t xml:space="preserve">         86.36亿</t>
  </si>
  <si>
    <t>0.87万</t>
  </si>
  <si>
    <t xml:space="preserve">   4.85㈡</t>
  </si>
  <si>
    <t>洪兴股份</t>
  </si>
  <si>
    <t xml:space="preserve">          6.43亿</t>
  </si>
  <si>
    <t>服饰</t>
  </si>
  <si>
    <t xml:space="preserve">         25.71亿</t>
  </si>
  <si>
    <t>1.18万</t>
  </si>
  <si>
    <t>0.760㈡</t>
  </si>
  <si>
    <t xml:space="preserve">   8.87㈡</t>
  </si>
  <si>
    <t>金房节能</t>
  </si>
  <si>
    <t xml:space="preserve">          7.79亿</t>
  </si>
  <si>
    <t xml:space="preserve">         31.16亿</t>
  </si>
  <si>
    <t>1.46万</t>
  </si>
  <si>
    <t>1.320㈡</t>
  </si>
  <si>
    <t xml:space="preserve">  14.65㈡</t>
  </si>
  <si>
    <t>双枪科技</t>
  </si>
  <si>
    <t xml:space="preserve">          5.86亿</t>
  </si>
  <si>
    <t xml:space="preserve">         23.42亿</t>
  </si>
  <si>
    <t xml:space="preserve">   4.39㈡</t>
  </si>
  <si>
    <t>中旗新材</t>
  </si>
  <si>
    <t xml:space="preserve">          7.80亿</t>
  </si>
  <si>
    <t xml:space="preserve">         31.18亿</t>
  </si>
  <si>
    <t>1.45万</t>
  </si>
  <si>
    <t>0.691㈡</t>
  </si>
  <si>
    <t xml:space="preserve">   9.29㈡</t>
  </si>
  <si>
    <t>中铁特货</t>
  </si>
  <si>
    <t xml:space="preserve">         34.00亿</t>
  </si>
  <si>
    <t xml:space="preserve">        340.00亿</t>
  </si>
  <si>
    <t>0.42万</t>
  </si>
  <si>
    <t>0.043㈡</t>
  </si>
  <si>
    <t xml:space="preserve">   1.20㈡</t>
  </si>
  <si>
    <t>华尔泰</t>
  </si>
  <si>
    <t>0.000㈡</t>
  </si>
  <si>
    <t xml:space="preserve">  18.92㈡</t>
  </si>
  <si>
    <t>宗申动力</t>
  </si>
  <si>
    <t xml:space="preserve">         47.76亿</t>
  </si>
  <si>
    <t xml:space="preserve">         63.22亿</t>
  </si>
  <si>
    <t xml:space="preserve">         82.33亿</t>
  </si>
  <si>
    <t>0.223㈡</t>
  </si>
  <si>
    <t xml:space="preserve">   5.80㈡</t>
  </si>
  <si>
    <t>招商港口</t>
  </si>
  <si>
    <t xml:space="preserve">         40.22亿</t>
  </si>
  <si>
    <t xml:space="preserve">        107.13亿</t>
  </si>
  <si>
    <t xml:space="preserve">        346.79亿</t>
  </si>
  <si>
    <t>23.50万</t>
  </si>
  <si>
    <t>0.870㈡</t>
  </si>
  <si>
    <t>豫能控股</t>
  </si>
  <si>
    <t xml:space="preserve">         39.25亿</t>
  </si>
  <si>
    <t xml:space="preserve">        109.65亿</t>
  </si>
  <si>
    <t>4.27万</t>
  </si>
  <si>
    <t>-0.062㈡</t>
  </si>
  <si>
    <t xml:space="preserve">  -1.19㈡</t>
  </si>
  <si>
    <t>招商积余</t>
  </si>
  <si>
    <t xml:space="preserve">         85.02亿</t>
  </si>
  <si>
    <t xml:space="preserve">        135.19亿</t>
  </si>
  <si>
    <t>24.07万</t>
  </si>
  <si>
    <t>0.234㈡</t>
  </si>
  <si>
    <t xml:space="preserve">   2.95㈡</t>
  </si>
  <si>
    <t>招商公路</t>
  </si>
  <si>
    <t xml:space="preserve">         59.46亿</t>
  </si>
  <si>
    <t xml:space="preserve">        143.03亿</t>
  </si>
  <si>
    <t xml:space="preserve">        457.19亿</t>
  </si>
  <si>
    <t>16.71万</t>
  </si>
  <si>
    <t xml:space="preserve">   4.84㈡</t>
  </si>
  <si>
    <t>招商蛇口</t>
  </si>
  <si>
    <t xml:space="preserve">        305.61亿</t>
  </si>
  <si>
    <t xml:space="preserve">        833.36亿</t>
  </si>
  <si>
    <t xml:space="preserve">        833.53亿</t>
  </si>
  <si>
    <t>32.69万</t>
  </si>
  <si>
    <t xml:space="preserve">   3.96㈡</t>
  </si>
  <si>
    <t>新 和 成</t>
  </si>
  <si>
    <t xml:space="preserve">        395.72亿</t>
  </si>
  <si>
    <t xml:space="preserve">        777.93亿</t>
  </si>
  <si>
    <t xml:space="preserve">        787.18亿</t>
  </si>
  <si>
    <t>43.34万</t>
  </si>
  <si>
    <t>0.930㈡</t>
  </si>
  <si>
    <t xml:space="preserve">  11.90㈡</t>
  </si>
  <si>
    <t>鸿达兴业</t>
  </si>
  <si>
    <t xml:space="preserve">        153.16亿</t>
  </si>
  <si>
    <t xml:space="preserve">        190.24亿</t>
  </si>
  <si>
    <t xml:space="preserve">        190.48亿</t>
  </si>
  <si>
    <t>12.04万</t>
  </si>
  <si>
    <t>0.263㈡</t>
  </si>
  <si>
    <t xml:space="preserve">   8.24㈡</t>
  </si>
  <si>
    <t>伟星股份</t>
  </si>
  <si>
    <t xml:space="preserve">         59.36亿</t>
  </si>
  <si>
    <t xml:space="preserve">         71.38亿</t>
  </si>
  <si>
    <t>15.07万</t>
  </si>
  <si>
    <t>华邦健康</t>
  </si>
  <si>
    <t xml:space="preserve">        114.92亿</t>
  </si>
  <si>
    <t xml:space="preserve">        155.12亿</t>
  </si>
  <si>
    <t xml:space="preserve">        167.70亿</t>
  </si>
  <si>
    <t>12.05万</t>
  </si>
  <si>
    <t>精功科技</t>
  </si>
  <si>
    <t xml:space="preserve">         58.20亿</t>
  </si>
  <si>
    <t xml:space="preserve">         93.76亿</t>
  </si>
  <si>
    <t>11.72万</t>
  </si>
  <si>
    <t>华兰生物</t>
  </si>
  <si>
    <t xml:space="preserve">        270.82亿</t>
  </si>
  <si>
    <t xml:space="preserve">        436.32亿</t>
  </si>
  <si>
    <t xml:space="preserve">        506.81亿</t>
  </si>
  <si>
    <t>12.90万</t>
  </si>
  <si>
    <t xml:space="preserve">   6.10㈡</t>
  </si>
  <si>
    <t>大族激光</t>
  </si>
  <si>
    <t xml:space="preserve">        327.37亿</t>
  </si>
  <si>
    <t xml:space="preserve">        402.69亿</t>
  </si>
  <si>
    <t xml:space="preserve">        432.27亿</t>
  </si>
  <si>
    <t>21.54万</t>
  </si>
  <si>
    <t xml:space="preserve">   8.40㈡</t>
  </si>
  <si>
    <t>天奇股份</t>
  </si>
  <si>
    <t xml:space="preserve">         43.20亿</t>
  </si>
  <si>
    <t xml:space="preserve">         61.15亿</t>
  </si>
  <si>
    <t xml:space="preserve">         61.25亿</t>
  </si>
  <si>
    <t>9.15万</t>
  </si>
  <si>
    <t xml:space="preserve">   3.91㈡</t>
  </si>
  <si>
    <t>传化智联</t>
  </si>
  <si>
    <t xml:space="preserve">        105.00亿</t>
  </si>
  <si>
    <t xml:space="preserve">        270.01亿</t>
  </si>
  <si>
    <t xml:space="preserve">        282.27亿</t>
  </si>
  <si>
    <t>25.78万</t>
  </si>
  <si>
    <t>盾安环境</t>
  </si>
  <si>
    <t xml:space="preserve">         36.77亿</t>
  </si>
  <si>
    <t xml:space="preserve">         65.32亿</t>
  </si>
  <si>
    <t xml:space="preserve">         65.40亿</t>
  </si>
  <si>
    <t xml:space="preserve">  16.17㈡</t>
  </si>
  <si>
    <t>凯恩股份</t>
  </si>
  <si>
    <t xml:space="preserve">         30.37亿</t>
  </si>
  <si>
    <t xml:space="preserve">         30.44亿</t>
  </si>
  <si>
    <t xml:space="preserve">   3.28㈡</t>
  </si>
  <si>
    <t>中航机电</t>
  </si>
  <si>
    <t xml:space="preserve">        261.37亿</t>
  </si>
  <si>
    <t xml:space="preserve">        541.54亿</t>
  </si>
  <si>
    <t>29.60万</t>
  </si>
  <si>
    <t xml:space="preserve">   4.01㈡</t>
  </si>
  <si>
    <t>永新股份</t>
  </si>
  <si>
    <t xml:space="preserve">         15.17亿</t>
  </si>
  <si>
    <t xml:space="preserve">         41.52亿</t>
  </si>
  <si>
    <t xml:space="preserve">         42.51亿</t>
  </si>
  <si>
    <t>8.67万</t>
  </si>
  <si>
    <t xml:space="preserve">   6.71㈡</t>
  </si>
  <si>
    <t>协鑫能科</t>
  </si>
  <si>
    <t xml:space="preserve">         60.08亿</t>
  </si>
  <si>
    <t xml:space="preserve">         72.22亿</t>
  </si>
  <si>
    <t xml:space="preserve">        190.43亿</t>
  </si>
  <si>
    <t>19.12万</t>
  </si>
  <si>
    <t>0.368㈡</t>
  </si>
  <si>
    <t xml:space="preserve">   8.33㈡</t>
  </si>
  <si>
    <t>世荣兆业</t>
  </si>
  <si>
    <t xml:space="preserve">         11.85亿</t>
  </si>
  <si>
    <t xml:space="preserve">         38.81亿</t>
  </si>
  <si>
    <t xml:space="preserve">         45.71亿</t>
  </si>
  <si>
    <t>6.12万</t>
  </si>
  <si>
    <t>0.297㈡</t>
  </si>
  <si>
    <t xml:space="preserve">   5.60㈡</t>
  </si>
  <si>
    <t>东信和平</t>
  </si>
  <si>
    <t xml:space="preserve">         44.89亿</t>
  </si>
  <si>
    <t xml:space="preserve">         45.01亿</t>
  </si>
  <si>
    <t>4.17万</t>
  </si>
  <si>
    <t>0.052㈡</t>
  </si>
  <si>
    <t xml:space="preserve">   1.64㈡</t>
  </si>
  <si>
    <t>亿帆医药</t>
  </si>
  <si>
    <t xml:space="preserve">        116.97亿</t>
  </si>
  <si>
    <t xml:space="preserve">        141.73亿</t>
  </si>
  <si>
    <t xml:space="preserve">        205.36亿</t>
  </si>
  <si>
    <t>21.79万</t>
  </si>
  <si>
    <t>京新药业</t>
  </si>
  <si>
    <t xml:space="preserve">         48.62亿</t>
  </si>
  <si>
    <t xml:space="preserve">         57.88亿</t>
  </si>
  <si>
    <t xml:space="preserve">         74.78亿</t>
  </si>
  <si>
    <t>11.58万</t>
  </si>
  <si>
    <t xml:space="preserve">   6.81㈡</t>
  </si>
  <si>
    <t>科华生物</t>
  </si>
  <si>
    <t xml:space="preserve">         57.46亿</t>
  </si>
  <si>
    <t xml:space="preserve">         70.63亿</t>
  </si>
  <si>
    <t xml:space="preserve">         70.72亿</t>
  </si>
  <si>
    <t xml:space="preserve">  13.65㈡</t>
  </si>
  <si>
    <t>海特高新</t>
  </si>
  <si>
    <t xml:space="preserve">         82.86亿</t>
  </si>
  <si>
    <t xml:space="preserve">         97.28亿</t>
  </si>
  <si>
    <t xml:space="preserve">        107.69亿</t>
  </si>
  <si>
    <t>7.22万</t>
  </si>
  <si>
    <t>0.910㈡</t>
  </si>
  <si>
    <t xml:space="preserve">  17.19㈡</t>
  </si>
  <si>
    <t>苏宁易购</t>
  </si>
  <si>
    <t xml:space="preserve">        165.57亿</t>
  </si>
  <si>
    <t xml:space="preserve">        401.44亿</t>
  </si>
  <si>
    <t>电器连锁</t>
  </si>
  <si>
    <t xml:space="preserve">        492.50亿</t>
  </si>
  <si>
    <t>5.34万</t>
  </si>
  <si>
    <t>-0.370㈡</t>
  </si>
  <si>
    <t xml:space="preserve">  -4.71㈡</t>
  </si>
  <si>
    <t>航天电器</t>
  </si>
  <si>
    <t xml:space="preserve">        150.29亿</t>
  </si>
  <si>
    <t xml:space="preserve">        275.78亿</t>
  </si>
  <si>
    <t xml:space="preserve">        291.06亿</t>
  </si>
  <si>
    <t>64.37万</t>
  </si>
  <si>
    <t xml:space="preserve">   7.12㈡</t>
  </si>
  <si>
    <t>山东威达</t>
  </si>
  <si>
    <t xml:space="preserve">         36.68亿</t>
  </si>
  <si>
    <t xml:space="preserve">         60.80亿</t>
  </si>
  <si>
    <t xml:space="preserve">         60.82亿</t>
  </si>
  <si>
    <t>14.07万</t>
  </si>
  <si>
    <t xml:space="preserve">   6.56㈡</t>
  </si>
  <si>
    <t>分众传媒</t>
  </si>
  <si>
    <t xml:space="preserve">        714.77亿</t>
  </si>
  <si>
    <t xml:space="preserve">       1052.40亿</t>
  </si>
  <si>
    <t>34.05万</t>
  </si>
  <si>
    <t xml:space="preserve">  15.74㈡</t>
  </si>
  <si>
    <t>思源电气</t>
  </si>
  <si>
    <t xml:space="preserve">        202.37亿</t>
  </si>
  <si>
    <t xml:space="preserve">        223.97亿</t>
  </si>
  <si>
    <t xml:space="preserve">        289.49亿</t>
  </si>
  <si>
    <t>55.90万</t>
  </si>
  <si>
    <t>0.750㈡</t>
  </si>
  <si>
    <t xml:space="preserve">   8.18㈡</t>
  </si>
  <si>
    <t>七 匹 狼</t>
  </si>
  <si>
    <t xml:space="preserve">         45.81亿</t>
  </si>
  <si>
    <t xml:space="preserve">         47.83亿</t>
  </si>
  <si>
    <t>8.78万</t>
  </si>
  <si>
    <t>达安基因</t>
  </si>
  <si>
    <t xml:space="preserve">        176.91亿</t>
  </si>
  <si>
    <t xml:space="preserve">        261.61亿</t>
  </si>
  <si>
    <t xml:space="preserve">        267.78亿</t>
  </si>
  <si>
    <t>8.04万</t>
  </si>
  <si>
    <t>1.139㈡</t>
  </si>
  <si>
    <t xml:space="preserve">  29.69㈡</t>
  </si>
  <si>
    <t>巨轮智能</t>
  </si>
  <si>
    <t xml:space="preserve">         35.55亿</t>
  </si>
  <si>
    <t xml:space="preserve">         40.95亿</t>
  </si>
  <si>
    <t xml:space="preserve">         48.39亿</t>
  </si>
  <si>
    <t>3.66万</t>
  </si>
  <si>
    <t xml:space="preserve">   0.08㈡</t>
  </si>
  <si>
    <t>苏 泊 尔</t>
  </si>
  <si>
    <t xml:space="preserve">         64.99亿</t>
  </si>
  <si>
    <t xml:space="preserve">        272.96亿</t>
  </si>
  <si>
    <t xml:space="preserve">        367.24亿</t>
  </si>
  <si>
    <t>32.08万</t>
  </si>
  <si>
    <t>1.060㈡</t>
  </si>
  <si>
    <t xml:space="preserve">  12.80㈡</t>
  </si>
  <si>
    <t>丽江股份</t>
  </si>
  <si>
    <t xml:space="preserve">         18.25亿</t>
  </si>
  <si>
    <t xml:space="preserve">         33.19亿</t>
  </si>
  <si>
    <t>4.50万</t>
  </si>
  <si>
    <t>旺能环境</t>
  </si>
  <si>
    <t xml:space="preserve">         34.60亿</t>
  </si>
  <si>
    <t xml:space="preserve">         75.95亿</t>
  </si>
  <si>
    <t xml:space="preserve">         76.60亿</t>
  </si>
  <si>
    <t>20.35万</t>
  </si>
  <si>
    <t>0.790㈡</t>
  </si>
  <si>
    <t xml:space="preserve">   6.79㈡</t>
  </si>
  <si>
    <t>华帝股份</t>
  </si>
  <si>
    <t xml:space="preserve">         45.39亿</t>
  </si>
  <si>
    <t xml:space="preserve">         56.61亿</t>
  </si>
  <si>
    <t xml:space="preserve">         62.85亿</t>
  </si>
  <si>
    <t>8.93万</t>
  </si>
  <si>
    <t>0.275㈡</t>
  </si>
  <si>
    <t xml:space="preserve">   7.31㈡</t>
  </si>
  <si>
    <t>联创电子</t>
  </si>
  <si>
    <t xml:space="preserve">        136.49亿</t>
  </si>
  <si>
    <t xml:space="preserve">        166.30亿</t>
  </si>
  <si>
    <t xml:space="preserve">        168.99亿</t>
  </si>
  <si>
    <t>22.16万</t>
  </si>
  <si>
    <t xml:space="preserve">   2.54㈡</t>
  </si>
  <si>
    <t>保利联合</t>
  </si>
  <si>
    <t xml:space="preserve">         17.35亿</t>
  </si>
  <si>
    <t xml:space="preserve">         24.78亿</t>
  </si>
  <si>
    <t>10.52万</t>
  </si>
  <si>
    <t xml:space="preserve">   1.02㈡</t>
  </si>
  <si>
    <t>双鹭药业</t>
  </si>
  <si>
    <t xml:space="preserve">         63.23亿</t>
  </si>
  <si>
    <t>10.93万</t>
  </si>
  <si>
    <t>0.294㈡</t>
  </si>
  <si>
    <t xml:space="preserve">   5.72㈡</t>
  </si>
  <si>
    <t>黔源电力</t>
  </si>
  <si>
    <t xml:space="preserve">         40.69亿</t>
  </si>
  <si>
    <t xml:space="preserve">         65.93亿</t>
  </si>
  <si>
    <t xml:space="preserve">         65.94亿</t>
  </si>
  <si>
    <t>21.58万</t>
  </si>
  <si>
    <t xml:space="preserve">   3.55㈡</t>
  </si>
  <si>
    <t>南 京 港</t>
  </si>
  <si>
    <t xml:space="preserve">          9.80亿</t>
  </si>
  <si>
    <t xml:space="preserve">         30.34亿</t>
  </si>
  <si>
    <t>0.141㈡</t>
  </si>
  <si>
    <t xml:space="preserve">   2.41㈡</t>
  </si>
  <si>
    <t>登海种业</t>
  </si>
  <si>
    <t xml:space="preserve">         75.81亿</t>
  </si>
  <si>
    <t xml:space="preserve">        192.10亿</t>
  </si>
  <si>
    <t>9.42万</t>
  </si>
  <si>
    <t>华孚时尚</t>
  </si>
  <si>
    <t xml:space="preserve">         41.88亿</t>
  </si>
  <si>
    <t xml:space="preserve">         78.94亿</t>
  </si>
  <si>
    <t xml:space="preserve">         79.01亿</t>
  </si>
  <si>
    <t>28.39万</t>
  </si>
  <si>
    <t xml:space="preserve">   5.14㈡</t>
  </si>
  <si>
    <t>兔 宝 宝</t>
  </si>
  <si>
    <t xml:space="preserve">         42.31亿</t>
  </si>
  <si>
    <t xml:space="preserve">         71.00亿</t>
  </si>
  <si>
    <t xml:space="preserve">         76.18亿</t>
  </si>
  <si>
    <t>7.89万</t>
  </si>
  <si>
    <t xml:space="preserve">  17.95㈡</t>
  </si>
  <si>
    <t>美年健康</t>
  </si>
  <si>
    <t xml:space="preserve">        307.46亿</t>
  </si>
  <si>
    <t xml:space="preserve">        313.53亿</t>
  </si>
  <si>
    <t>8.91万</t>
  </si>
  <si>
    <t>-0.110㈡</t>
  </si>
  <si>
    <t xml:space="preserve">  -5.67㈡</t>
  </si>
  <si>
    <t>国光电器</t>
  </si>
  <si>
    <t xml:space="preserve">         41.82亿</t>
  </si>
  <si>
    <t xml:space="preserve">         59.78亿</t>
  </si>
  <si>
    <t xml:space="preserve">         59.86亿</t>
  </si>
  <si>
    <t>13.35万</t>
  </si>
  <si>
    <t>国机精工</t>
  </si>
  <si>
    <t xml:space="preserve">         29.29亿</t>
  </si>
  <si>
    <t xml:space="preserve">         73.36亿</t>
  </si>
  <si>
    <t>8.55万</t>
  </si>
  <si>
    <t>0.241㈡</t>
  </si>
  <si>
    <t xml:space="preserve">   4.38㈡</t>
  </si>
  <si>
    <t>宝鹰股份</t>
  </si>
  <si>
    <t xml:space="preserve">         25.49亿</t>
  </si>
  <si>
    <t xml:space="preserve">         42.74亿</t>
  </si>
  <si>
    <t>装修装饰</t>
  </si>
  <si>
    <t xml:space="preserve">         42.92亿</t>
  </si>
  <si>
    <t>5.93万</t>
  </si>
  <si>
    <t>宁波华翔</t>
  </si>
  <si>
    <t xml:space="preserve">        101.29亿</t>
  </si>
  <si>
    <t xml:space="preserve">        126.78亿</t>
  </si>
  <si>
    <t xml:space="preserve">        142.15亿</t>
  </si>
  <si>
    <t>28.82万</t>
  </si>
  <si>
    <t>1.030㈡</t>
  </si>
  <si>
    <t>紫光国微</t>
  </si>
  <si>
    <t xml:space="preserve">        807.79亿</t>
  </si>
  <si>
    <t xml:space="preserve">       1194.82亿</t>
  </si>
  <si>
    <t>126.08万</t>
  </si>
  <si>
    <t>1.443㈡</t>
  </si>
  <si>
    <t>三花智控</t>
  </si>
  <si>
    <t xml:space="preserve">        394.66亿</t>
  </si>
  <si>
    <t xml:space="preserve">        804.16亿</t>
  </si>
  <si>
    <t xml:space="preserve">        817.09亿</t>
  </si>
  <si>
    <t>50.78万</t>
  </si>
  <si>
    <t xml:space="preserve">   7.89㈡</t>
  </si>
  <si>
    <t>中工国际</t>
  </si>
  <si>
    <t xml:space="preserve">         33.81亿</t>
  </si>
  <si>
    <t xml:space="preserve">         83.65亿</t>
  </si>
  <si>
    <t xml:space="preserve">         93.05亿</t>
  </si>
  <si>
    <t>8.31万</t>
  </si>
  <si>
    <t>云南能投</t>
  </si>
  <si>
    <t xml:space="preserve">         17.89亿</t>
  </si>
  <si>
    <t xml:space="preserve">         81.04亿</t>
  </si>
  <si>
    <t>8.72万</t>
  </si>
  <si>
    <t>0.168㈡</t>
  </si>
  <si>
    <t xml:space="preserve">   2.98㈡</t>
  </si>
  <si>
    <t>德美化工</t>
  </si>
  <si>
    <t xml:space="preserve">         28.78亿</t>
  </si>
  <si>
    <t xml:space="preserve">         38.08亿</t>
  </si>
  <si>
    <t xml:space="preserve">         50.43亿</t>
  </si>
  <si>
    <t>16.20万</t>
  </si>
  <si>
    <t>得润电子</t>
  </si>
  <si>
    <t xml:space="preserve">         31.07亿</t>
  </si>
  <si>
    <t xml:space="preserve">         44.22亿</t>
  </si>
  <si>
    <t xml:space="preserve">         48.53亿</t>
  </si>
  <si>
    <t>横店东磁</t>
  </si>
  <si>
    <t xml:space="preserve">        117.60亿</t>
  </si>
  <si>
    <t xml:space="preserve">        243.67亿</t>
  </si>
  <si>
    <t xml:space="preserve">        247.10亿</t>
  </si>
  <si>
    <t>12.47万</t>
  </si>
  <si>
    <t xml:space="preserve">   8.86㈡</t>
  </si>
  <si>
    <t>中钢天源</t>
  </si>
  <si>
    <t xml:space="preserve">         32.29亿</t>
  </si>
  <si>
    <t xml:space="preserve">         55.45亿</t>
  </si>
  <si>
    <t xml:space="preserve">         71.93亿</t>
  </si>
  <si>
    <t xml:space="preserve">   3.71㈡</t>
  </si>
  <si>
    <t>云南旅游</t>
  </si>
  <si>
    <t xml:space="preserve">         16.77亿</t>
  </si>
  <si>
    <t xml:space="preserve">         51.63亿</t>
  </si>
  <si>
    <t>3.83万</t>
  </si>
  <si>
    <t>粤 水 电</t>
  </si>
  <si>
    <t xml:space="preserve">         37.96亿</t>
  </si>
  <si>
    <t xml:space="preserve">         60.58亿</t>
  </si>
  <si>
    <t xml:space="preserve">         60.59亿</t>
  </si>
  <si>
    <t xml:space="preserve">   4.25㈡</t>
  </si>
  <si>
    <t>浙江交科</t>
  </si>
  <si>
    <t xml:space="preserve">         33.07亿</t>
  </si>
  <si>
    <t xml:space="preserve">         77.18亿</t>
  </si>
  <si>
    <t>10.57万</t>
  </si>
  <si>
    <t>宏润建设</t>
  </si>
  <si>
    <t xml:space="preserve">         21.30亿</t>
  </si>
  <si>
    <t xml:space="preserve">         41.56亿</t>
  </si>
  <si>
    <t xml:space="preserve">         47.30亿</t>
  </si>
  <si>
    <t>5.55万</t>
  </si>
  <si>
    <t>远光软件</t>
  </si>
  <si>
    <t xml:space="preserve">         69.61亿</t>
  </si>
  <si>
    <t xml:space="preserve">         91.39亿</t>
  </si>
  <si>
    <t xml:space="preserve">         99.22亿</t>
  </si>
  <si>
    <t>9.52万</t>
  </si>
  <si>
    <t>0.063㈡</t>
  </si>
  <si>
    <t xml:space="preserve">   3.14㈡</t>
  </si>
  <si>
    <t>华峰化学</t>
  </si>
  <si>
    <t xml:space="preserve">        196.73亿</t>
  </si>
  <si>
    <t xml:space="preserve">        287.49亿</t>
  </si>
  <si>
    <t xml:space="preserve">        681.59亿</t>
  </si>
  <si>
    <t>26.91万</t>
  </si>
  <si>
    <t xml:space="preserve">  25.75㈡</t>
  </si>
  <si>
    <t>东华软件</t>
  </si>
  <si>
    <t xml:space="preserve">        216.66亿</t>
  </si>
  <si>
    <t xml:space="preserve">        239.89亿</t>
  </si>
  <si>
    <t>瑞泰科技</t>
  </si>
  <si>
    <t xml:space="preserve">         14.74亿</t>
  </si>
  <si>
    <t xml:space="preserve">         24.62亿</t>
  </si>
  <si>
    <t>景兴纸业</t>
  </si>
  <si>
    <t xml:space="preserve">         42.96亿</t>
  </si>
  <si>
    <t xml:space="preserve">         50.85亿</t>
  </si>
  <si>
    <t xml:space="preserve">   5.10㈡</t>
  </si>
  <si>
    <t>黑猫股份</t>
  </si>
  <si>
    <t xml:space="preserve">         31.06亿</t>
  </si>
  <si>
    <t xml:space="preserve">         65.21亿</t>
  </si>
  <si>
    <t xml:space="preserve">         66.81亿</t>
  </si>
  <si>
    <t>7.75万</t>
  </si>
  <si>
    <t>0.618㈡</t>
  </si>
  <si>
    <t xml:space="preserve">  13.57㈡</t>
  </si>
  <si>
    <t>獐子岛</t>
  </si>
  <si>
    <t xml:space="preserve">          9.92亿</t>
  </si>
  <si>
    <t xml:space="preserve">         21.84亿</t>
  </si>
  <si>
    <t xml:space="preserve">         22.54亿</t>
  </si>
  <si>
    <t>2.03万</t>
  </si>
  <si>
    <t>-0.055㈡</t>
  </si>
  <si>
    <t>软控股份</t>
  </si>
  <si>
    <t xml:space="preserve">         47.24亿</t>
  </si>
  <si>
    <t xml:space="preserve">         55.94亿</t>
  </si>
  <si>
    <t xml:space="preserve">         55.95亿</t>
  </si>
  <si>
    <t>11.81万</t>
  </si>
  <si>
    <t>国轩高科</t>
  </si>
  <si>
    <t xml:space="preserve">        492.65亿</t>
  </si>
  <si>
    <t xml:space="preserve">        630.62亿</t>
  </si>
  <si>
    <t xml:space="preserve">        685.22亿</t>
  </si>
  <si>
    <t>37.01万</t>
  </si>
  <si>
    <t>沙钢股份</t>
  </si>
  <si>
    <t xml:space="preserve">        116.46亿</t>
  </si>
  <si>
    <t xml:space="preserve">        170.36亿</t>
  </si>
  <si>
    <t>19.91万</t>
  </si>
  <si>
    <t xml:space="preserve">   9.83㈡</t>
  </si>
  <si>
    <t>大港股份</t>
  </si>
  <si>
    <t xml:space="preserve">         20.10亿</t>
  </si>
  <si>
    <t xml:space="preserve">         44.75亿</t>
  </si>
  <si>
    <t>半导体</t>
  </si>
  <si>
    <t xml:space="preserve">         47.70亿</t>
  </si>
  <si>
    <t xml:space="preserve">   3.13㈡</t>
  </si>
  <si>
    <t>太阳纸业</t>
  </si>
  <si>
    <t xml:space="preserve">        177.28亿</t>
  </si>
  <si>
    <t xml:space="preserve">        336.25亿</t>
  </si>
  <si>
    <t xml:space="preserve">        345.82亿</t>
  </si>
  <si>
    <t>20.31万</t>
  </si>
  <si>
    <t>0.850㈡</t>
  </si>
  <si>
    <t xml:space="preserve">  12.22㈡</t>
  </si>
  <si>
    <t>苏州固锝</t>
  </si>
  <si>
    <t xml:space="preserve">         83.79亿</t>
  </si>
  <si>
    <t xml:space="preserve">        121.90亿</t>
  </si>
  <si>
    <t xml:space="preserve">        135.48亿</t>
  </si>
  <si>
    <t>7.93万</t>
  </si>
  <si>
    <t xml:space="preserve">   5.03㈡</t>
  </si>
  <si>
    <t>中材科技</t>
  </si>
  <si>
    <t xml:space="preserve">        280.11亿</t>
  </si>
  <si>
    <t xml:space="preserve">        704.48亿</t>
  </si>
  <si>
    <t>61.17万</t>
  </si>
  <si>
    <t>1.101㈡</t>
  </si>
  <si>
    <t xml:space="preserve">  14.47㈡</t>
  </si>
  <si>
    <t>金 螳 螂</t>
  </si>
  <si>
    <t xml:space="preserve">         90.02亿</t>
  </si>
  <si>
    <t xml:space="preserve">        177.81亿</t>
  </si>
  <si>
    <t xml:space="preserve">        180.05亿</t>
  </si>
  <si>
    <t>10.47万</t>
  </si>
  <si>
    <t>0.401㈡</t>
  </si>
  <si>
    <t xml:space="preserve">   6.23㈡</t>
  </si>
  <si>
    <t>万邦德</t>
  </si>
  <si>
    <t xml:space="preserve">         25.06亿</t>
  </si>
  <si>
    <t xml:space="preserve">         65.10亿</t>
  </si>
  <si>
    <t>9.77万</t>
  </si>
  <si>
    <t>孚日股份</t>
  </si>
  <si>
    <t xml:space="preserve">         26.49亿</t>
  </si>
  <si>
    <t xml:space="preserve">         37.94亿</t>
  </si>
  <si>
    <t xml:space="preserve">         38.05亿</t>
  </si>
  <si>
    <t>4.62万</t>
  </si>
  <si>
    <t xml:space="preserve">   4.50㈡</t>
  </si>
  <si>
    <t>海鸥住工</t>
  </si>
  <si>
    <t xml:space="preserve">         20.31亿</t>
  </si>
  <si>
    <t xml:space="preserve">         33.92亿</t>
  </si>
  <si>
    <t>6.38万</t>
  </si>
  <si>
    <t>万丰奥威</t>
  </si>
  <si>
    <t xml:space="preserve">         69.35亿</t>
  </si>
  <si>
    <t xml:space="preserve">        129.46亿</t>
  </si>
  <si>
    <t>14.27万</t>
  </si>
  <si>
    <t>新野纺织</t>
  </si>
  <si>
    <t xml:space="preserve">         28.51亿</t>
  </si>
  <si>
    <t>3.75万</t>
  </si>
  <si>
    <t>0.079㈡</t>
  </si>
  <si>
    <t xml:space="preserve">   1.49㈡</t>
  </si>
  <si>
    <t>鲁阳节能</t>
  </si>
  <si>
    <t xml:space="preserve">         66.04亿</t>
  </si>
  <si>
    <t xml:space="preserve">        115.56亿</t>
  </si>
  <si>
    <t>55.38万</t>
  </si>
  <si>
    <t>0.720㈡</t>
  </si>
  <si>
    <t xml:space="preserve">  11.02㈡</t>
  </si>
  <si>
    <t>金智科技</t>
  </si>
  <si>
    <t xml:space="preserve">         22.51亿</t>
  </si>
  <si>
    <t xml:space="preserve">         37.14亿</t>
  </si>
  <si>
    <t xml:space="preserve">         37.60亿</t>
  </si>
  <si>
    <t>10.46万</t>
  </si>
  <si>
    <t xml:space="preserve">   3.56㈡</t>
  </si>
  <si>
    <t>江苏国泰</t>
  </si>
  <si>
    <t xml:space="preserve">        129.49亿</t>
  </si>
  <si>
    <t xml:space="preserve">        231.04亿</t>
  </si>
  <si>
    <t xml:space="preserve">        238.75亿</t>
  </si>
  <si>
    <t>27.08万</t>
  </si>
  <si>
    <t>中泰化学</t>
  </si>
  <si>
    <t xml:space="preserve">        248.49亿</t>
  </si>
  <si>
    <t xml:space="preserve">        377.13亿</t>
  </si>
  <si>
    <t xml:space="preserve">        452.56亿</t>
  </si>
  <si>
    <t>27.54万</t>
  </si>
  <si>
    <t xml:space="preserve">   8.42㈡</t>
  </si>
  <si>
    <t>国脉科技</t>
  </si>
  <si>
    <t xml:space="preserve">         59.02亿</t>
  </si>
  <si>
    <t>电信运营</t>
  </si>
  <si>
    <t xml:space="preserve">         59.24亿</t>
  </si>
  <si>
    <t xml:space="preserve">   1.10㈡</t>
  </si>
  <si>
    <t>青岛金王</t>
  </si>
  <si>
    <t xml:space="preserve">         21.52亿</t>
  </si>
  <si>
    <t xml:space="preserve">         30.03亿</t>
  </si>
  <si>
    <t xml:space="preserve">         30.05亿</t>
  </si>
  <si>
    <t xml:space="preserve">   1.28㈡</t>
  </si>
  <si>
    <t>生 意 宝</t>
  </si>
  <si>
    <t xml:space="preserve">         16.42亿</t>
  </si>
  <si>
    <t xml:space="preserve">         33.67亿</t>
  </si>
  <si>
    <t>4.91万</t>
  </si>
  <si>
    <t xml:space="preserve">   1.24㈡</t>
  </si>
  <si>
    <t>南岭民爆</t>
  </si>
  <si>
    <t xml:space="preserve">         11.35亿</t>
  </si>
  <si>
    <t xml:space="preserve">         32.41亿</t>
  </si>
  <si>
    <t xml:space="preserve">         32.45亿</t>
  </si>
  <si>
    <t>5.12万</t>
  </si>
  <si>
    <t>0.056㈡</t>
  </si>
  <si>
    <t xml:space="preserve">   1.01㈡</t>
  </si>
  <si>
    <t>山河智能</t>
  </si>
  <si>
    <t xml:space="preserve">         73.08亿</t>
  </si>
  <si>
    <t xml:space="preserve">        106.69亿</t>
  </si>
  <si>
    <t xml:space="preserve">        119.05亿</t>
  </si>
  <si>
    <t>9.35万</t>
  </si>
  <si>
    <t>0.490㈡</t>
  </si>
  <si>
    <t>浔兴股份</t>
  </si>
  <si>
    <t xml:space="preserve">          9.56亿</t>
  </si>
  <si>
    <t xml:space="preserve">         23.31亿</t>
  </si>
  <si>
    <t>4.81万</t>
  </si>
  <si>
    <t xml:space="preserve">   8.19㈡</t>
  </si>
  <si>
    <t>海翔药业</t>
  </si>
  <si>
    <t xml:space="preserve">         71.15亿</t>
  </si>
  <si>
    <t xml:space="preserve">        122.28亿</t>
  </si>
  <si>
    <t xml:space="preserve">        123.02亿</t>
  </si>
  <si>
    <t>20.77万</t>
  </si>
  <si>
    <t>天康生物</t>
  </si>
  <si>
    <t xml:space="preserve">         55.79亿</t>
  </si>
  <si>
    <t xml:space="preserve">         90.84亿</t>
  </si>
  <si>
    <t>0.220㈡</t>
  </si>
  <si>
    <t>广东鸿图</t>
  </si>
  <si>
    <t xml:space="preserve">         18.74亿</t>
  </si>
  <si>
    <t xml:space="preserve">         42.15亿</t>
  </si>
  <si>
    <t>7.02万</t>
  </si>
  <si>
    <t xml:space="preserve">   2.86㈡</t>
  </si>
  <si>
    <t>广博股份</t>
  </si>
  <si>
    <t xml:space="preserve">         11.47亿</t>
  </si>
  <si>
    <t xml:space="preserve">         19.09亿</t>
  </si>
  <si>
    <t xml:space="preserve">         24.20亿</t>
  </si>
  <si>
    <t>恒宝股份</t>
  </si>
  <si>
    <t xml:space="preserve">         35.23亿</t>
  </si>
  <si>
    <t xml:space="preserve">         41.75亿</t>
  </si>
  <si>
    <t>4.60万</t>
  </si>
  <si>
    <t>信隆健康</t>
  </si>
  <si>
    <t xml:space="preserve">         17.61亿</t>
  </si>
  <si>
    <t xml:space="preserve">         33.61亿</t>
  </si>
  <si>
    <t xml:space="preserve">  17.72㈡</t>
  </si>
  <si>
    <t>莱宝高科</t>
  </si>
  <si>
    <t xml:space="preserve">         74.71亿</t>
  </si>
  <si>
    <t xml:space="preserve">         74.89亿</t>
  </si>
  <si>
    <t>7.94万</t>
  </si>
  <si>
    <t>0.416㈡</t>
  </si>
  <si>
    <t xml:space="preserve">   6.38㈡</t>
  </si>
  <si>
    <t>沃华医药</t>
  </si>
  <si>
    <t xml:space="preserve">         18.83亿</t>
  </si>
  <si>
    <t xml:space="preserve">         38.83亿</t>
  </si>
  <si>
    <t xml:space="preserve">         39.77亿</t>
  </si>
  <si>
    <t xml:space="preserve">  13.41㈡</t>
  </si>
  <si>
    <t>沧州明珠</t>
  </si>
  <si>
    <t xml:space="preserve">         80.89亿</t>
  </si>
  <si>
    <t xml:space="preserve">        126.48亿</t>
  </si>
  <si>
    <t>8.48万</t>
  </si>
  <si>
    <t>0.164㈡</t>
  </si>
  <si>
    <t xml:space="preserve">   6.50㈡</t>
  </si>
  <si>
    <t>兴化股份</t>
  </si>
  <si>
    <t xml:space="preserve">         24.80亿</t>
  </si>
  <si>
    <t xml:space="preserve">         80.97亿</t>
  </si>
  <si>
    <t>0.276㈡</t>
  </si>
  <si>
    <t xml:space="preserve">   6.91㈡</t>
  </si>
  <si>
    <t>三钢闽光</t>
  </si>
  <si>
    <t xml:space="preserve">        114.50亿</t>
  </si>
  <si>
    <t xml:space="preserve">        270.16亿</t>
  </si>
  <si>
    <t>1.120㈡</t>
  </si>
  <si>
    <t xml:space="preserve">  12.42㈡</t>
  </si>
  <si>
    <t>威海广泰</t>
  </si>
  <si>
    <t xml:space="preserve">         42.84亿</t>
  </si>
  <si>
    <t xml:space="preserve">         65.36亿</t>
  </si>
  <si>
    <t xml:space="preserve">         74.09亿</t>
  </si>
  <si>
    <t>14.54万</t>
  </si>
  <si>
    <t>0.389㈡</t>
  </si>
  <si>
    <t>三变科技</t>
  </si>
  <si>
    <t xml:space="preserve">         11.26亿</t>
  </si>
  <si>
    <t xml:space="preserve">         18.05亿</t>
  </si>
  <si>
    <t xml:space="preserve">         18.31亿</t>
  </si>
  <si>
    <t xml:space="preserve">   1.47㈡</t>
  </si>
  <si>
    <t>罗平锌电</t>
  </si>
  <si>
    <t xml:space="preserve">         23.90亿</t>
  </si>
  <si>
    <t>6.90万</t>
  </si>
  <si>
    <t>三维通信</t>
  </si>
  <si>
    <t xml:space="preserve">         26.63亿</t>
  </si>
  <si>
    <t xml:space="preserve">         31.51亿</t>
  </si>
  <si>
    <t xml:space="preserve">   1.39㈡</t>
  </si>
  <si>
    <t>中国海诚</t>
  </si>
  <si>
    <t xml:space="preserve">         12.44亿</t>
  </si>
  <si>
    <t xml:space="preserve">         29.31亿</t>
  </si>
  <si>
    <t xml:space="preserve">         29.40亿</t>
  </si>
  <si>
    <t>7.71万</t>
  </si>
  <si>
    <t>东港股份</t>
  </si>
  <si>
    <t xml:space="preserve">         43.54亿</t>
  </si>
  <si>
    <t>9.90万</t>
  </si>
  <si>
    <t xml:space="preserve">   6.13㈡</t>
  </si>
  <si>
    <t>紫鑫药业</t>
  </si>
  <si>
    <t xml:space="preserve">         24.13亿</t>
  </si>
  <si>
    <t xml:space="preserve">         34.71亿</t>
  </si>
  <si>
    <t xml:space="preserve">  -5.83㈡</t>
  </si>
  <si>
    <t>康强电子</t>
  </si>
  <si>
    <t xml:space="preserve">         37.22亿</t>
  </si>
  <si>
    <t xml:space="preserve">         56.34亿</t>
  </si>
  <si>
    <t xml:space="preserve">         57.53亿</t>
  </si>
  <si>
    <t>韵达股份</t>
  </si>
  <si>
    <t xml:space="preserve">        204.70亿</t>
  </si>
  <si>
    <t xml:space="preserve">        497.65亿</t>
  </si>
  <si>
    <t xml:space="preserve">        514.08亿</t>
  </si>
  <si>
    <t>29.40万</t>
  </si>
  <si>
    <t>科陆电子</t>
  </si>
  <si>
    <t xml:space="preserve">         41.55亿</t>
  </si>
  <si>
    <t xml:space="preserve">         63.49亿</t>
  </si>
  <si>
    <t xml:space="preserve">         90.42亿</t>
  </si>
  <si>
    <t>8.60万</t>
  </si>
  <si>
    <t>-0.111㈡</t>
  </si>
  <si>
    <t xml:space="preserve"> -12.23㈡</t>
  </si>
  <si>
    <t>梦网科技</t>
  </si>
  <si>
    <t xml:space="preserve">        118.12亿</t>
  </si>
  <si>
    <t xml:space="preserve">        142.07亿</t>
  </si>
  <si>
    <t>17.64万</t>
  </si>
  <si>
    <t xml:space="preserve">   2.09㈡</t>
  </si>
  <si>
    <t>天邦股份</t>
  </si>
  <si>
    <t xml:space="preserve">         86.74亿</t>
  </si>
  <si>
    <t xml:space="preserve">         93.04亿</t>
  </si>
  <si>
    <t xml:space="preserve">        111.27亿</t>
  </si>
  <si>
    <t xml:space="preserve">  -9.04㈡</t>
  </si>
  <si>
    <t>湘潭电化</t>
  </si>
  <si>
    <t xml:space="preserve">         50.38亿</t>
  </si>
  <si>
    <t xml:space="preserve">         80.86亿</t>
  </si>
  <si>
    <t xml:space="preserve">         85.80亿</t>
  </si>
  <si>
    <t>11.22万</t>
  </si>
  <si>
    <t xml:space="preserve">   2.78㈡</t>
  </si>
  <si>
    <t>银轮股份</t>
  </si>
  <si>
    <t xml:space="preserve">         68.92亿</t>
  </si>
  <si>
    <t xml:space="preserve">         81.87亿</t>
  </si>
  <si>
    <t xml:space="preserve">         85.07亿</t>
  </si>
  <si>
    <t>17.66万</t>
  </si>
  <si>
    <t>南极电商</t>
  </si>
  <si>
    <t xml:space="preserve">        121.46亿</t>
  </si>
  <si>
    <t xml:space="preserve">        141.46亿</t>
  </si>
  <si>
    <t xml:space="preserve">        177.24亿</t>
  </si>
  <si>
    <t>露天煤业</t>
  </si>
  <si>
    <t xml:space="preserve">        116.25亿</t>
  </si>
  <si>
    <t xml:space="preserve">        284.91亿</t>
  </si>
  <si>
    <t xml:space="preserve">        309.76亿</t>
  </si>
  <si>
    <t>22.61万</t>
  </si>
  <si>
    <t xml:space="preserve">   9.73㈡</t>
  </si>
  <si>
    <t>中环股份</t>
  </si>
  <si>
    <t xml:space="preserve">        978.63亿</t>
  </si>
  <si>
    <t xml:space="preserve">       1394.39亿</t>
  </si>
  <si>
    <t xml:space="preserve">       1395.15亿</t>
  </si>
  <si>
    <t>67.96万</t>
  </si>
  <si>
    <t>0.488㈡</t>
  </si>
  <si>
    <t xml:space="preserve">   7.33㈡</t>
  </si>
  <si>
    <t>沃尔核材</t>
  </si>
  <si>
    <t xml:space="preserve">         80.27亿</t>
  </si>
  <si>
    <t xml:space="preserve">        108.73亿</t>
  </si>
  <si>
    <t>8.47万</t>
  </si>
  <si>
    <t xml:space="preserve">   8.73㈡</t>
  </si>
  <si>
    <t>利欧股份</t>
  </si>
  <si>
    <t xml:space="preserve">        157.80亿</t>
  </si>
  <si>
    <t xml:space="preserve">        165.96亿</t>
  </si>
  <si>
    <t xml:space="preserve">        193.19亿</t>
  </si>
  <si>
    <t>6.79万</t>
  </si>
  <si>
    <t xml:space="preserve">   6.78㈡</t>
  </si>
  <si>
    <t>恒星科技</t>
  </si>
  <si>
    <t xml:space="preserve">         55.92亿</t>
  </si>
  <si>
    <t xml:space="preserve">         77.85亿</t>
  </si>
  <si>
    <t xml:space="preserve">         78.03亿</t>
  </si>
  <si>
    <t>6.85万</t>
  </si>
  <si>
    <t>广宇集团</t>
  </si>
  <si>
    <t xml:space="preserve">         16.26亿</t>
  </si>
  <si>
    <t xml:space="preserve">         24.87亿</t>
  </si>
  <si>
    <t xml:space="preserve">         25.00亿</t>
  </si>
  <si>
    <t>4.47万</t>
  </si>
  <si>
    <t xml:space="preserve">   4.73㈡</t>
  </si>
  <si>
    <t>天津普林</t>
  </si>
  <si>
    <t xml:space="preserve">         11.57亿</t>
  </si>
  <si>
    <t>7.09万</t>
  </si>
  <si>
    <t xml:space="preserve">   1.99㈡</t>
  </si>
  <si>
    <t>东南网架</t>
  </si>
  <si>
    <t xml:space="preserve">         99.16亿</t>
  </si>
  <si>
    <t xml:space="preserve">        106.54亿</t>
  </si>
  <si>
    <t>13.70万</t>
  </si>
  <si>
    <t xml:space="preserve">   7.66㈡</t>
  </si>
  <si>
    <t>安 纳 达</t>
  </si>
  <si>
    <t xml:space="preserve">         38.85亿</t>
  </si>
  <si>
    <t xml:space="preserve">         58.30亿</t>
  </si>
  <si>
    <t xml:space="preserve">         58.51亿</t>
  </si>
  <si>
    <t>13.42万</t>
  </si>
  <si>
    <t>0.400㈡</t>
  </si>
  <si>
    <t xml:space="preserve">  10.46㈡</t>
  </si>
  <si>
    <t>实益达</t>
  </si>
  <si>
    <t xml:space="preserve">         23.32亿</t>
  </si>
  <si>
    <t xml:space="preserve">         34.48亿</t>
  </si>
  <si>
    <t xml:space="preserve">   1.96㈡</t>
  </si>
  <si>
    <t>顺络电子</t>
  </si>
  <si>
    <t xml:space="preserve">        201.04亿</t>
  </si>
  <si>
    <t xml:space="preserve">        231.73亿</t>
  </si>
  <si>
    <t xml:space="preserve">        262.86亿</t>
  </si>
  <si>
    <t>47.07万</t>
  </si>
  <si>
    <t xml:space="preserve">   8.08㈡</t>
  </si>
  <si>
    <t>拓邦股份</t>
  </si>
  <si>
    <t xml:space="preserve">        118.82亿</t>
  </si>
  <si>
    <t xml:space="preserve">        125.83亿</t>
  </si>
  <si>
    <t xml:space="preserve">        163.82亿</t>
  </si>
  <si>
    <t>16.40万</t>
  </si>
  <si>
    <t xml:space="preserve">   8.70㈡</t>
  </si>
  <si>
    <t>东华科技</t>
  </si>
  <si>
    <t xml:space="preserve">         29.63亿</t>
  </si>
  <si>
    <t xml:space="preserve">         73.05亿</t>
  </si>
  <si>
    <t>9.01万</t>
  </si>
  <si>
    <t xml:space="preserve">   5.45㈡</t>
  </si>
  <si>
    <t>贤丰控股</t>
  </si>
  <si>
    <t xml:space="preserve">         38.95亿</t>
  </si>
  <si>
    <t xml:space="preserve">         87.03亿</t>
  </si>
  <si>
    <t>8.89万</t>
  </si>
  <si>
    <t xml:space="preserve">   1.12㈡</t>
  </si>
  <si>
    <t>宁波银行</t>
  </si>
  <si>
    <t xml:space="preserve">       1041.59亿</t>
  </si>
  <si>
    <t xml:space="preserve">       1991.89亿</t>
  </si>
  <si>
    <t xml:space="preserve">       2018.69亿</t>
  </si>
  <si>
    <t>83.57万</t>
  </si>
  <si>
    <t xml:space="preserve">   7.39㈡</t>
  </si>
  <si>
    <t>宏达高科</t>
  </si>
  <si>
    <t xml:space="preserve">         13.32亿</t>
  </si>
  <si>
    <t xml:space="preserve">         14.36亿</t>
  </si>
  <si>
    <t xml:space="preserve">   4.24㈡</t>
  </si>
  <si>
    <t>中核钛白</t>
  </si>
  <si>
    <t xml:space="preserve">        213.54亿</t>
  </si>
  <si>
    <t xml:space="preserve">        292.76亿</t>
  </si>
  <si>
    <t xml:space="preserve">        377.88亿</t>
  </si>
  <si>
    <t>27.46万</t>
  </si>
  <si>
    <t xml:space="preserve">  10.26㈡</t>
  </si>
  <si>
    <t>荣盛发展</t>
  </si>
  <si>
    <t xml:space="preserve">        185.71亿</t>
  </si>
  <si>
    <t xml:space="preserve">        207.41亿</t>
  </si>
  <si>
    <t>8.75万</t>
  </si>
  <si>
    <t xml:space="preserve">   5.12㈡</t>
  </si>
  <si>
    <t>北纬科技</t>
  </si>
  <si>
    <t xml:space="preserve">         20.60亿</t>
  </si>
  <si>
    <t xml:space="preserve">         22.03亿</t>
  </si>
  <si>
    <t xml:space="preserve">         27.37亿</t>
  </si>
  <si>
    <t>西部材料</t>
  </si>
  <si>
    <t xml:space="preserve">         60.55亿</t>
  </si>
  <si>
    <t xml:space="preserve">         94.45亿</t>
  </si>
  <si>
    <t xml:space="preserve">         94.47亿</t>
  </si>
  <si>
    <t>8.49万</t>
  </si>
  <si>
    <t>0.147㈡</t>
  </si>
  <si>
    <t xml:space="preserve">   2.81㈡</t>
  </si>
  <si>
    <t>通润装备</t>
  </si>
  <si>
    <t xml:space="preserve">          9.38亿</t>
  </si>
  <si>
    <t xml:space="preserve">         20.86亿</t>
  </si>
  <si>
    <t>6.65万</t>
  </si>
  <si>
    <t xml:space="preserve">   3.77㈡</t>
  </si>
  <si>
    <t>北斗星通</t>
  </si>
  <si>
    <t xml:space="preserve">        137.96亿</t>
  </si>
  <si>
    <t xml:space="preserve">        172.74亿</t>
  </si>
  <si>
    <t xml:space="preserve">        217.07亿</t>
  </si>
  <si>
    <t>9.76万</t>
  </si>
  <si>
    <t xml:space="preserve">   2.60㈡</t>
  </si>
  <si>
    <t>广电运通</t>
  </si>
  <si>
    <t xml:space="preserve">        115.01亿</t>
  </si>
  <si>
    <t xml:space="preserve">        244.63亿</t>
  </si>
  <si>
    <t xml:space="preserve">        252.31亿</t>
  </si>
  <si>
    <t>9.70万</t>
  </si>
  <si>
    <t>石基信息</t>
  </si>
  <si>
    <t xml:space="preserve">         75.17亿</t>
  </si>
  <si>
    <t xml:space="preserve">        155.46亿</t>
  </si>
  <si>
    <t xml:space="preserve">        265.27亿</t>
  </si>
  <si>
    <t>44.94万</t>
  </si>
  <si>
    <t xml:space="preserve">   0.69㈡</t>
  </si>
  <si>
    <t>报 喜 鸟</t>
  </si>
  <si>
    <t xml:space="preserve">         50.23亿</t>
  </si>
  <si>
    <t xml:space="preserve">         62.41亿</t>
  </si>
  <si>
    <t xml:space="preserve">         68.31亿</t>
  </si>
  <si>
    <t xml:space="preserve">   7.67㈡</t>
  </si>
  <si>
    <t>湖南黄金</t>
  </si>
  <si>
    <t xml:space="preserve">        101.60亿</t>
  </si>
  <si>
    <t xml:space="preserve">        169.10亿</t>
  </si>
  <si>
    <t xml:space="preserve">        169.13亿</t>
  </si>
  <si>
    <t>11.76万</t>
  </si>
  <si>
    <t>通富微电</t>
  </si>
  <si>
    <t xml:space="preserve">        152.99亿</t>
  </si>
  <si>
    <t xml:space="preserve">        251.95亿</t>
  </si>
  <si>
    <t xml:space="preserve">        251.99亿</t>
  </si>
  <si>
    <t>7.55万</t>
  </si>
  <si>
    <t xml:space="preserve">   4.05㈡</t>
  </si>
  <si>
    <t>正邦科技</t>
  </si>
  <si>
    <t xml:space="preserve">        117.80亿</t>
  </si>
  <si>
    <t xml:space="preserve">        283.69亿</t>
  </si>
  <si>
    <t>-0.450㈡</t>
  </si>
  <si>
    <t xml:space="preserve">  -7.31㈡</t>
  </si>
  <si>
    <t>汉钟精机</t>
  </si>
  <si>
    <t xml:space="preserve">         48.10亿</t>
  </si>
  <si>
    <t xml:space="preserve">        125.63亿</t>
  </si>
  <si>
    <t xml:space="preserve">        126.45亿</t>
  </si>
  <si>
    <t>22.82万</t>
  </si>
  <si>
    <t>三特索道</t>
  </si>
  <si>
    <t xml:space="preserve">         11.48亿</t>
  </si>
  <si>
    <t xml:space="preserve">         17.13亿</t>
  </si>
  <si>
    <t xml:space="preserve">         22.00亿</t>
  </si>
  <si>
    <t xml:space="preserve">   0.36㈡</t>
  </si>
  <si>
    <t>常铝股份</t>
  </si>
  <si>
    <t xml:space="preserve">         30.86亿</t>
  </si>
  <si>
    <t xml:space="preserve">         39.79亿</t>
  </si>
  <si>
    <t xml:space="preserve">         43.44亿</t>
  </si>
  <si>
    <t>4.66万</t>
  </si>
  <si>
    <t>远 望 谷</t>
  </si>
  <si>
    <t xml:space="preserve">         26.58亿</t>
  </si>
  <si>
    <t xml:space="preserve">         35.51亿</t>
  </si>
  <si>
    <t>3.44万</t>
  </si>
  <si>
    <t xml:space="preserve">  -7.94㈡</t>
  </si>
  <si>
    <t>悦心健康</t>
  </si>
  <si>
    <t xml:space="preserve">         18.94亿</t>
  </si>
  <si>
    <t xml:space="preserve">         41.22亿</t>
  </si>
  <si>
    <t>陶瓷</t>
  </si>
  <si>
    <t xml:space="preserve">   1.97㈡</t>
  </si>
  <si>
    <t>海南发展</t>
  </si>
  <si>
    <t xml:space="preserve">         86.61亿</t>
  </si>
  <si>
    <t xml:space="preserve">        118.85亿</t>
  </si>
  <si>
    <t>15.43万</t>
  </si>
  <si>
    <t>宁波东力</t>
  </si>
  <si>
    <t xml:space="preserve">         15.20亿</t>
  </si>
  <si>
    <t xml:space="preserve">         24.17亿</t>
  </si>
  <si>
    <t xml:space="preserve">         27.14亿</t>
  </si>
  <si>
    <t>2.97万</t>
  </si>
  <si>
    <t xml:space="preserve"> -47.71㈡</t>
  </si>
  <si>
    <t>红 宝 丽</t>
  </si>
  <si>
    <t xml:space="preserve">         32.11亿</t>
  </si>
  <si>
    <t xml:space="preserve">         44.85亿</t>
  </si>
  <si>
    <t xml:space="preserve">         55.51亿</t>
  </si>
  <si>
    <t xml:space="preserve">   1.89㈡</t>
  </si>
  <si>
    <t>莱茵生物</t>
  </si>
  <si>
    <t xml:space="preserve">         46.69亿</t>
  </si>
  <si>
    <t>5.65万</t>
  </si>
  <si>
    <t>东方锆业</t>
  </si>
  <si>
    <t xml:space="preserve">         50.74亿</t>
  </si>
  <si>
    <t xml:space="preserve">         63.50亿</t>
  </si>
  <si>
    <t xml:space="preserve">         86.24亿</t>
  </si>
  <si>
    <t xml:space="preserve">   5.08㈡</t>
  </si>
  <si>
    <t>惠程科技</t>
  </si>
  <si>
    <t xml:space="preserve">         26.14亿</t>
  </si>
  <si>
    <t xml:space="preserve">         30.71亿</t>
  </si>
  <si>
    <t xml:space="preserve">  -9.83㈡</t>
  </si>
  <si>
    <t>智光电气</t>
  </si>
  <si>
    <t xml:space="preserve">         66.43亿</t>
  </si>
  <si>
    <t xml:space="preserve">         86.66亿</t>
  </si>
  <si>
    <t xml:space="preserve">         89.41亿</t>
  </si>
  <si>
    <t>0.940㈡</t>
  </si>
  <si>
    <t xml:space="preserve">  19.63㈡</t>
  </si>
  <si>
    <t>芭田股份</t>
  </si>
  <si>
    <t xml:space="preserve">         38.67亿</t>
  </si>
  <si>
    <t xml:space="preserve">         51.30亿</t>
  </si>
  <si>
    <t xml:space="preserve">         65.63亿</t>
  </si>
  <si>
    <t>楚江新材</t>
  </si>
  <si>
    <t xml:space="preserve">         90.82亿</t>
  </si>
  <si>
    <t xml:space="preserve">        155.73亿</t>
  </si>
  <si>
    <t xml:space="preserve">        166.98亿</t>
  </si>
  <si>
    <t>16.81万</t>
  </si>
  <si>
    <t xml:space="preserve">   4.42㈡</t>
  </si>
  <si>
    <t>澳洋健康</t>
  </si>
  <si>
    <t xml:space="preserve">         22.18亿</t>
  </si>
  <si>
    <t xml:space="preserve">         32.93亿</t>
  </si>
  <si>
    <t xml:space="preserve">         33.08亿</t>
  </si>
  <si>
    <t>2.92万</t>
  </si>
  <si>
    <t>-0.990㈡</t>
  </si>
  <si>
    <t>-408.68㈡</t>
  </si>
  <si>
    <t>创新医疗</t>
  </si>
  <si>
    <t xml:space="preserve">         12.40亿</t>
  </si>
  <si>
    <t xml:space="preserve">         28.49亿</t>
  </si>
  <si>
    <t>5.74万</t>
  </si>
  <si>
    <t xml:space="preserve">  -1.06㈡</t>
  </si>
  <si>
    <t>游族网络</t>
  </si>
  <si>
    <t xml:space="preserve">         76.90亿</t>
  </si>
  <si>
    <t xml:space="preserve">        100.20亿</t>
  </si>
  <si>
    <t xml:space="preserve">        114.30亿</t>
  </si>
  <si>
    <t>9.69万</t>
  </si>
  <si>
    <t xml:space="preserve">   5.01㈡</t>
  </si>
  <si>
    <t>江特电机</t>
  </si>
  <si>
    <t xml:space="preserve">        382.33亿</t>
  </si>
  <si>
    <t xml:space="preserve">        479.61亿</t>
  </si>
  <si>
    <t xml:space="preserve">        479.82亿</t>
  </si>
  <si>
    <t>36.78万</t>
  </si>
  <si>
    <t>0.106㈡</t>
  </si>
  <si>
    <t xml:space="preserve">  10.36㈡</t>
  </si>
  <si>
    <t>御银股份</t>
  </si>
  <si>
    <t xml:space="preserve">         37.24亿</t>
  </si>
  <si>
    <t xml:space="preserve">         44.91亿</t>
  </si>
  <si>
    <t>2.67万</t>
  </si>
  <si>
    <t>-0.031㈡</t>
  </si>
  <si>
    <t xml:space="preserve">  -1.39㈡</t>
  </si>
  <si>
    <t>延华智能</t>
  </si>
  <si>
    <t xml:space="preserve">         17.24亿</t>
  </si>
  <si>
    <t xml:space="preserve">         27.10亿</t>
  </si>
  <si>
    <t>2.73万</t>
  </si>
  <si>
    <t xml:space="preserve">  -1.33㈡</t>
  </si>
  <si>
    <t>中航光电</t>
  </si>
  <si>
    <t xml:space="preserve">        428.93亿</t>
  </si>
  <si>
    <t xml:space="preserve">        883.44亿</t>
  </si>
  <si>
    <t xml:space="preserve">        909.87亿</t>
  </si>
  <si>
    <t>78.40万</t>
  </si>
  <si>
    <t>1.040㈡</t>
  </si>
  <si>
    <t xml:space="preserve">  10.54㈡</t>
  </si>
  <si>
    <t>纳思达</t>
  </si>
  <si>
    <t xml:space="preserve">        229.44亿</t>
  </si>
  <si>
    <t xml:space="preserve">        398.54亿</t>
  </si>
  <si>
    <t xml:space="preserve">        425.24亿</t>
  </si>
  <si>
    <t>63.30万</t>
  </si>
  <si>
    <t>粤 传 媒</t>
  </si>
  <si>
    <t xml:space="preserve">         15.46亿</t>
  </si>
  <si>
    <t xml:space="preserve">         47.42亿</t>
  </si>
  <si>
    <t>0.033㈡</t>
  </si>
  <si>
    <t>云海金属</t>
  </si>
  <si>
    <t xml:space="preserve">        110.26亿</t>
  </si>
  <si>
    <t xml:space="preserve">        140.41亿</t>
  </si>
  <si>
    <t xml:space="preserve">        162.90亿</t>
  </si>
  <si>
    <t>18.51万</t>
  </si>
  <si>
    <t xml:space="preserve">   4.91㈡</t>
  </si>
  <si>
    <t>怡 亚 通</t>
  </si>
  <si>
    <t xml:space="preserve">         98.48亿</t>
  </si>
  <si>
    <t xml:space="preserve">        154.27亿</t>
  </si>
  <si>
    <t xml:space="preserve">        188.80亿</t>
  </si>
  <si>
    <t>11.64万</t>
  </si>
  <si>
    <t xml:space="preserve">   4.18㈡</t>
  </si>
  <si>
    <t>海得控制</t>
  </si>
  <si>
    <t xml:space="preserve">         35.32亿</t>
  </si>
  <si>
    <t xml:space="preserve">         65.60亿</t>
  </si>
  <si>
    <t>8.86万</t>
  </si>
  <si>
    <t>0.166㈡</t>
  </si>
  <si>
    <t xml:space="preserve">   5.26㈡</t>
  </si>
  <si>
    <t>华天科技</t>
  </si>
  <si>
    <t xml:space="preserve">        252.89亿</t>
  </si>
  <si>
    <t xml:space="preserve">        339.11亿</t>
  </si>
  <si>
    <t xml:space="preserve">        339.21亿</t>
  </si>
  <si>
    <t>6.51万</t>
  </si>
  <si>
    <t>0.224㈡</t>
  </si>
  <si>
    <t xml:space="preserve">   6.67㈡</t>
  </si>
  <si>
    <t>全 聚 德</t>
  </si>
  <si>
    <t xml:space="preserve">         30.90亿</t>
  </si>
  <si>
    <t xml:space="preserve">         30.94亿</t>
  </si>
  <si>
    <t xml:space="preserve">  -3.71㈡</t>
  </si>
  <si>
    <t>广百股份</t>
  </si>
  <si>
    <t xml:space="preserve">         10.80亿</t>
  </si>
  <si>
    <t>5.13万</t>
  </si>
  <si>
    <t xml:space="preserve">   2.46㈡</t>
  </si>
  <si>
    <t>中光学</t>
  </si>
  <si>
    <t xml:space="preserve">         27.68亿</t>
  </si>
  <si>
    <t xml:space="preserve">         40.83亿</t>
  </si>
  <si>
    <t xml:space="preserve">         48.13亿</t>
  </si>
  <si>
    <t>10.07万</t>
  </si>
  <si>
    <t>成飞集成</t>
  </si>
  <si>
    <t xml:space="preserve">         44.03亿</t>
  </si>
  <si>
    <t xml:space="preserve">         95.89亿</t>
  </si>
  <si>
    <t>11.70万</t>
  </si>
  <si>
    <t>劲嘉股份</t>
  </si>
  <si>
    <t xml:space="preserve">         99.83亿</t>
  </si>
  <si>
    <t xml:space="preserve">        166.10亿</t>
  </si>
  <si>
    <t xml:space="preserve">        168.61亿</t>
  </si>
  <si>
    <t>20.54万</t>
  </si>
  <si>
    <t xml:space="preserve">   6.92㈡</t>
  </si>
  <si>
    <t>融捷股份</t>
  </si>
  <si>
    <t xml:space="preserve">        320.11亿</t>
  </si>
  <si>
    <t xml:space="preserve">        426.49亿</t>
  </si>
  <si>
    <t xml:space="preserve">        427.37亿</t>
  </si>
  <si>
    <t>118.56万</t>
  </si>
  <si>
    <t>如意集团</t>
  </si>
  <si>
    <t xml:space="preserve">          7.04亿</t>
  </si>
  <si>
    <t xml:space="preserve">         14.98亿</t>
  </si>
  <si>
    <t xml:space="preserve">         15.02亿</t>
  </si>
  <si>
    <t>4.78万</t>
  </si>
  <si>
    <t xml:space="preserve">  -1.71㈡</t>
  </si>
  <si>
    <t>武汉凡谷</t>
  </si>
  <si>
    <t xml:space="preserve">         54.02亿</t>
  </si>
  <si>
    <t xml:space="preserve">         79.22亿</t>
  </si>
  <si>
    <t>7.36万</t>
  </si>
  <si>
    <t xml:space="preserve">   5.95㈡</t>
  </si>
  <si>
    <t>二三四五</t>
  </si>
  <si>
    <t xml:space="preserve">        114.31亿</t>
  </si>
  <si>
    <t xml:space="preserve">        126.77亿</t>
  </si>
  <si>
    <t xml:space="preserve">   2.43㈡</t>
  </si>
  <si>
    <t>方正电机</t>
  </si>
  <si>
    <t xml:space="preserve">         40.10亿</t>
  </si>
  <si>
    <t>纺织机械</t>
  </si>
  <si>
    <t xml:space="preserve">         48.85亿</t>
  </si>
  <si>
    <t>11.00万</t>
  </si>
  <si>
    <t xml:space="preserve">   0.47㈡</t>
  </si>
  <si>
    <t>证通电子</t>
  </si>
  <si>
    <t xml:space="preserve">         26.40亿</t>
  </si>
  <si>
    <t xml:space="preserve">         31.98亿</t>
  </si>
  <si>
    <t>4.45万</t>
  </si>
  <si>
    <t>嘉应制药</t>
  </si>
  <si>
    <t xml:space="preserve">         37.56亿</t>
  </si>
  <si>
    <t>9.86万</t>
  </si>
  <si>
    <t>东晶电子</t>
  </si>
  <si>
    <t xml:space="preserve">         11.68亿</t>
  </si>
  <si>
    <t xml:space="preserve">         19.72亿</t>
  </si>
  <si>
    <t>九鼎新材</t>
  </si>
  <si>
    <t xml:space="preserve">         61.58亿</t>
  </si>
  <si>
    <t xml:space="preserve">        117.51亿</t>
  </si>
  <si>
    <t xml:space="preserve">        117.81亿</t>
  </si>
  <si>
    <t>17.73万</t>
  </si>
  <si>
    <t xml:space="preserve">   2.59㈡</t>
  </si>
  <si>
    <t>金风科技</t>
  </si>
  <si>
    <t xml:space="preserve">        340.23亿</t>
  </si>
  <si>
    <t xml:space="preserve">        618.65亿</t>
  </si>
  <si>
    <t xml:space="preserve">        629.21亿</t>
  </si>
  <si>
    <t>14.89万</t>
  </si>
  <si>
    <t>海亮股份</t>
  </si>
  <si>
    <t xml:space="preserve">        229.41亿</t>
  </si>
  <si>
    <t xml:space="preserve">        242.32亿</t>
  </si>
  <si>
    <t>51.03万</t>
  </si>
  <si>
    <t xml:space="preserve">   6.02㈡</t>
  </si>
  <si>
    <t>大连重工</t>
  </si>
  <si>
    <t xml:space="preserve">         30.75亿</t>
  </si>
  <si>
    <t xml:space="preserve">         81.31亿</t>
  </si>
  <si>
    <t>5.69万</t>
  </si>
  <si>
    <t>国统股份</t>
  </si>
  <si>
    <t xml:space="preserve">         10.21亿</t>
  </si>
  <si>
    <t xml:space="preserve">         14.63亿</t>
  </si>
  <si>
    <t>5.54万</t>
  </si>
  <si>
    <t>海 利 得</t>
  </si>
  <si>
    <t xml:space="preserve">         77.58亿</t>
  </si>
  <si>
    <t xml:space="preserve">         92.58亿</t>
  </si>
  <si>
    <t xml:space="preserve">        117.53亿</t>
  </si>
  <si>
    <t>36.94万</t>
  </si>
  <si>
    <t xml:space="preserve">   9.87㈡</t>
  </si>
  <si>
    <t>准油股份</t>
  </si>
  <si>
    <t xml:space="preserve">         11.83亿</t>
  </si>
  <si>
    <t xml:space="preserve">         15.45亿</t>
  </si>
  <si>
    <t>石油开采</t>
  </si>
  <si>
    <t xml:space="preserve">         17.03亿</t>
  </si>
  <si>
    <t>5.90万</t>
  </si>
  <si>
    <t xml:space="preserve"> -12.65㈡</t>
  </si>
  <si>
    <t>合肥城建</t>
  </si>
  <si>
    <t xml:space="preserve">         27.33亿</t>
  </si>
  <si>
    <t xml:space="preserve">         52.21亿</t>
  </si>
  <si>
    <t xml:space="preserve">         67.40亿</t>
  </si>
  <si>
    <t>0.825㈡</t>
  </si>
  <si>
    <t xml:space="preserve">  11.14㈡</t>
  </si>
  <si>
    <t>达 意 隆</t>
  </si>
  <si>
    <t xml:space="preserve">          8.07亿</t>
  </si>
  <si>
    <t xml:space="preserve">         10.97亿</t>
  </si>
  <si>
    <t xml:space="preserve">         13.86亿</t>
  </si>
  <si>
    <t>6.17万</t>
  </si>
  <si>
    <t>0.029㈡</t>
  </si>
  <si>
    <t xml:space="preserve">   0.90㈡</t>
  </si>
  <si>
    <t>宏达新材</t>
  </si>
  <si>
    <t xml:space="preserve">         11.61亿</t>
  </si>
  <si>
    <t xml:space="preserve">         20.93亿</t>
  </si>
  <si>
    <t xml:space="preserve">         22.75亿</t>
  </si>
  <si>
    <t>3.04万</t>
  </si>
  <si>
    <t>-0.226㈡</t>
  </si>
  <si>
    <t xml:space="preserve"> -14.78㈡</t>
  </si>
  <si>
    <t>天融信</t>
  </si>
  <si>
    <t xml:space="preserve">        156.20亿</t>
  </si>
  <si>
    <t xml:space="preserve">        185.76亿</t>
  </si>
  <si>
    <t xml:space="preserve">        190.95亿</t>
  </si>
  <si>
    <t>68.81万</t>
  </si>
  <si>
    <t xml:space="preserve">  -2.02㈡</t>
  </si>
  <si>
    <t>大为股份</t>
  </si>
  <si>
    <t xml:space="preserve">         22.92亿</t>
  </si>
  <si>
    <t>27.42万</t>
  </si>
  <si>
    <t>0.016㈡</t>
  </si>
  <si>
    <t xml:space="preserve">   0.86㈡</t>
  </si>
  <si>
    <t>大立科技</t>
  </si>
  <si>
    <t xml:space="preserve">        104.64亿</t>
  </si>
  <si>
    <t xml:space="preserve">        143.22亿</t>
  </si>
  <si>
    <t>25.92万</t>
  </si>
  <si>
    <t xml:space="preserve">   9.95㈡</t>
  </si>
  <si>
    <t>诺 普 信</t>
  </si>
  <si>
    <t xml:space="preserve">         35.25亿</t>
  </si>
  <si>
    <t xml:space="preserve">         47.45亿</t>
  </si>
  <si>
    <t>7.92万</t>
  </si>
  <si>
    <t xml:space="preserve">  11.61㈡</t>
  </si>
  <si>
    <t>三全食品</t>
  </si>
  <si>
    <t xml:space="preserve">         46.15亿</t>
  </si>
  <si>
    <t xml:space="preserve">         94.08亿</t>
  </si>
  <si>
    <t xml:space="preserve">        131.26亿</t>
  </si>
  <si>
    <t xml:space="preserve">   9.58㈡</t>
  </si>
  <si>
    <t>合力泰</t>
  </si>
  <si>
    <t xml:space="preserve">         68.63亿</t>
  </si>
  <si>
    <t xml:space="preserve">        114.37亿</t>
  </si>
  <si>
    <t>6.95万</t>
  </si>
  <si>
    <t>拓日新能</t>
  </si>
  <si>
    <t xml:space="preserve">         57.78亿</t>
  </si>
  <si>
    <t xml:space="preserve">        102.97亿</t>
  </si>
  <si>
    <t xml:space="preserve">        104.72亿</t>
  </si>
  <si>
    <t>8.43万</t>
  </si>
  <si>
    <t>0.126㈡</t>
  </si>
  <si>
    <t>东华能源</t>
  </si>
  <si>
    <t xml:space="preserve">        132.87亿</t>
  </si>
  <si>
    <t xml:space="preserve">        224.21亿</t>
  </si>
  <si>
    <t xml:space="preserve">        241.42亿</t>
  </si>
  <si>
    <t>35.09万</t>
  </si>
  <si>
    <t>福晶科技</t>
  </si>
  <si>
    <t xml:space="preserve">         51.15亿</t>
  </si>
  <si>
    <t xml:space="preserve">         68.23亿</t>
  </si>
  <si>
    <t xml:space="preserve">         68.87亿</t>
  </si>
  <si>
    <t>8.88万</t>
  </si>
  <si>
    <t>0.237㈡</t>
  </si>
  <si>
    <t xml:space="preserve">   8.98㈡</t>
  </si>
  <si>
    <t>鱼跃医疗</t>
  </si>
  <si>
    <t xml:space="preserve">        179.20亿</t>
  </si>
  <si>
    <t xml:space="preserve">        294.00亿</t>
  </si>
  <si>
    <t xml:space="preserve">        312.07亿</t>
  </si>
  <si>
    <t>22.40万</t>
  </si>
  <si>
    <t>0.970㈡</t>
  </si>
  <si>
    <t xml:space="preserve">  12.43㈡</t>
  </si>
  <si>
    <t>三 力 士</t>
  </si>
  <si>
    <t xml:space="preserve">         24.79亿</t>
  </si>
  <si>
    <t xml:space="preserve">         28.65亿</t>
  </si>
  <si>
    <t xml:space="preserve">         38.52亿</t>
  </si>
  <si>
    <t>4.34万</t>
  </si>
  <si>
    <t>濮耐股份</t>
  </si>
  <si>
    <t xml:space="preserve">         34.96亿</t>
  </si>
  <si>
    <t xml:space="preserve">         43.00亿</t>
  </si>
  <si>
    <t xml:space="preserve">         53.45亿</t>
  </si>
  <si>
    <t>江南化工</t>
  </si>
  <si>
    <t xml:space="preserve">         50.65亿</t>
  </si>
  <si>
    <t xml:space="preserve">         89.62亿</t>
  </si>
  <si>
    <t>0.189㈡</t>
  </si>
  <si>
    <t xml:space="preserve">   4.99㈡</t>
  </si>
  <si>
    <t>奥 特 迅</t>
  </si>
  <si>
    <t xml:space="preserve">         12.90亿</t>
  </si>
  <si>
    <t xml:space="preserve">         35.36亿</t>
  </si>
  <si>
    <t xml:space="preserve">         35.41亿</t>
  </si>
  <si>
    <t>-0.051㈡</t>
  </si>
  <si>
    <t>合兴包装</t>
  </si>
  <si>
    <t xml:space="preserve">         45.46亿</t>
  </si>
  <si>
    <t>6.44万</t>
  </si>
  <si>
    <t>鸿博股份</t>
  </si>
  <si>
    <t xml:space="preserve">         22.93亿</t>
  </si>
  <si>
    <t xml:space="preserve">         34.53亿</t>
  </si>
  <si>
    <t>7.72万</t>
  </si>
  <si>
    <t xml:space="preserve">   1.08㈡</t>
  </si>
  <si>
    <t>科大讯飞</t>
  </si>
  <si>
    <t xml:space="preserve">        833.25亿</t>
  </si>
  <si>
    <t xml:space="preserve">       1042.45亿</t>
  </si>
  <si>
    <t xml:space="preserve">       1153.48亿</t>
  </si>
  <si>
    <t>40.86万</t>
  </si>
  <si>
    <t>奥维通信</t>
  </si>
  <si>
    <t xml:space="preserve">         10.81亿</t>
  </si>
  <si>
    <t xml:space="preserve">         16.24亿</t>
  </si>
  <si>
    <t xml:space="preserve">         19.11亿</t>
  </si>
  <si>
    <t>3.19万</t>
  </si>
  <si>
    <t>启明信息</t>
  </si>
  <si>
    <t xml:space="preserve">         19.97亿</t>
  </si>
  <si>
    <t xml:space="preserve">         45.10亿</t>
  </si>
  <si>
    <t>4.58万</t>
  </si>
  <si>
    <t>0.093㈡</t>
  </si>
  <si>
    <t>塔牌集团</t>
  </si>
  <si>
    <t xml:space="preserve">         96.31亿</t>
  </si>
  <si>
    <t xml:space="preserve">        160.90亿</t>
  </si>
  <si>
    <t xml:space="preserve">        160.96亿</t>
  </si>
  <si>
    <t>11.97万</t>
  </si>
  <si>
    <t>0.780㈡</t>
  </si>
  <si>
    <t xml:space="preserve">   8.47㈡</t>
  </si>
  <si>
    <t>民和股份</t>
  </si>
  <si>
    <t xml:space="preserve">         28.53亿</t>
  </si>
  <si>
    <t xml:space="preserve">         33.77亿</t>
  </si>
  <si>
    <t xml:space="preserve">         57.16亿</t>
  </si>
  <si>
    <t>6.87万</t>
  </si>
  <si>
    <t xml:space="preserve">   5.24㈡</t>
  </si>
  <si>
    <t>安妮股份</t>
  </si>
  <si>
    <t xml:space="preserve">         25.33亿</t>
  </si>
  <si>
    <t xml:space="preserve">         26.78亿</t>
  </si>
  <si>
    <t>3.22万</t>
  </si>
  <si>
    <t xml:space="preserve">   0.93㈡</t>
  </si>
  <si>
    <t>大华股份</t>
  </si>
  <si>
    <t xml:space="preserve">        391.18亿</t>
  </si>
  <si>
    <t xml:space="preserve">        465.80亿</t>
  </si>
  <si>
    <t xml:space="preserve">        712.05亿</t>
  </si>
  <si>
    <t>25.43万</t>
  </si>
  <si>
    <t xml:space="preserve">   7.64㈡</t>
  </si>
  <si>
    <t>恒邦股份</t>
  </si>
  <si>
    <t xml:space="preserve">         73.32亿</t>
  </si>
  <si>
    <t xml:space="preserve">        125.00亿</t>
  </si>
  <si>
    <t xml:space="preserve">        157.62亿</t>
  </si>
  <si>
    <t>11.24万</t>
  </si>
  <si>
    <t xml:space="preserve">   3.05㈡</t>
  </si>
  <si>
    <t>天威视讯</t>
  </si>
  <si>
    <t xml:space="preserve">         16.79亿</t>
  </si>
  <si>
    <t>0.097㈡</t>
  </si>
  <si>
    <t xml:space="preserve">   3.52㈡</t>
  </si>
  <si>
    <t>奥特佳</t>
  </si>
  <si>
    <t xml:space="preserve">         80.26亿</t>
  </si>
  <si>
    <t xml:space="preserve">        121.30亿</t>
  </si>
  <si>
    <t>5.11万</t>
  </si>
  <si>
    <t xml:space="preserve">   0.84㈡</t>
  </si>
  <si>
    <t>盛新锂能</t>
  </si>
  <si>
    <t xml:space="preserve">        358.14亿</t>
  </si>
  <si>
    <t xml:space="preserve">        471.17亿</t>
  </si>
  <si>
    <t xml:space="preserve">        584.79亿</t>
  </si>
  <si>
    <t>51.72万</t>
  </si>
  <si>
    <t>歌尔股份</t>
  </si>
  <si>
    <t xml:space="preserve">        980.38亿</t>
  </si>
  <si>
    <t xml:space="preserve">       1309.38亿</t>
  </si>
  <si>
    <t xml:space="preserve">       1502.50亿</t>
  </si>
  <si>
    <t>38.56万</t>
  </si>
  <si>
    <t xml:space="preserve">   7.13㈡</t>
  </si>
  <si>
    <t>九阳股份</t>
  </si>
  <si>
    <t xml:space="preserve">         53.28亿</t>
  </si>
  <si>
    <t xml:space="preserve">        162.24亿</t>
  </si>
  <si>
    <t xml:space="preserve">        162.46亿</t>
  </si>
  <si>
    <t>21.48万</t>
  </si>
  <si>
    <t xml:space="preserve">  11.37㈡</t>
  </si>
  <si>
    <t>力合科创</t>
  </si>
  <si>
    <t xml:space="preserve">         30.49亿</t>
  </si>
  <si>
    <t xml:space="preserve">         56.43亿</t>
  </si>
  <si>
    <t xml:space="preserve">        124.57亿</t>
  </si>
  <si>
    <t>10.84万</t>
  </si>
  <si>
    <t>0.154㈡</t>
  </si>
  <si>
    <t>滨江集团</t>
  </si>
  <si>
    <t xml:space="preserve">        142.19亿</t>
  </si>
  <si>
    <t>14.32万</t>
  </si>
  <si>
    <t xml:space="preserve">   6.65㈡</t>
  </si>
  <si>
    <t>蔚蓝锂芯</t>
  </si>
  <si>
    <t xml:space="preserve">        166.80亿</t>
  </si>
  <si>
    <t xml:space="preserve">        196.80亿</t>
  </si>
  <si>
    <t xml:space="preserve">        210.38亿</t>
  </si>
  <si>
    <t>23.30万</t>
  </si>
  <si>
    <t xml:space="preserve">  10.49㈡</t>
  </si>
  <si>
    <t>北化股份</t>
  </si>
  <si>
    <t xml:space="preserve">         22.40亿</t>
  </si>
  <si>
    <t xml:space="preserve">         45.41亿</t>
  </si>
  <si>
    <t>7.18万</t>
  </si>
  <si>
    <t>聚力文化</t>
  </si>
  <si>
    <t xml:space="preserve">         14.37亿</t>
  </si>
  <si>
    <t xml:space="preserve">         25.61亿</t>
  </si>
  <si>
    <t xml:space="preserve">   7.68㈡</t>
  </si>
  <si>
    <t>华东数控</t>
  </si>
  <si>
    <t xml:space="preserve">         30.43亿</t>
  </si>
  <si>
    <t xml:space="preserve">         38.38亿</t>
  </si>
  <si>
    <t>13.09万</t>
  </si>
  <si>
    <t xml:space="preserve">  12.19㈡</t>
  </si>
  <si>
    <t>大洋电机</t>
  </si>
  <si>
    <t xml:space="preserve">        111.32亿</t>
  </si>
  <si>
    <t xml:space="preserve">        125.57亿</t>
  </si>
  <si>
    <t xml:space="preserve">        172.68亿</t>
  </si>
  <si>
    <t>联化科技</t>
  </si>
  <si>
    <t xml:space="preserve">        143.31亿</t>
  </si>
  <si>
    <t xml:space="preserve">        195.04亿</t>
  </si>
  <si>
    <t xml:space="preserve">        195.91亿</t>
  </si>
  <si>
    <t>148.84万</t>
  </si>
  <si>
    <t xml:space="preserve">   3.06㈡</t>
  </si>
  <si>
    <t>步 步 高</t>
  </si>
  <si>
    <t xml:space="preserve">         28.86亿</t>
  </si>
  <si>
    <t xml:space="preserve">         60.13亿</t>
  </si>
  <si>
    <t>9.47万</t>
  </si>
  <si>
    <t>上海莱士</t>
  </si>
  <si>
    <t xml:space="preserve">        204.72亿</t>
  </si>
  <si>
    <t xml:space="preserve">        348.56亿</t>
  </si>
  <si>
    <t xml:space="preserve">        472.53亿</t>
  </si>
  <si>
    <t>18.42万</t>
  </si>
  <si>
    <t>川大智胜</t>
  </si>
  <si>
    <t xml:space="preserve">         25.20亿</t>
  </si>
  <si>
    <t xml:space="preserve">         31.68亿</t>
  </si>
  <si>
    <t xml:space="preserve">         34.50亿</t>
  </si>
  <si>
    <t xml:space="preserve">   1.57㈡</t>
  </si>
  <si>
    <t>泰和新材</t>
  </si>
  <si>
    <t xml:space="preserve">         99.10亿</t>
  </si>
  <si>
    <t xml:space="preserve">        160.42亿</t>
  </si>
  <si>
    <t>39.64万</t>
  </si>
  <si>
    <t xml:space="preserve">  12.88㈡</t>
  </si>
  <si>
    <t>海陆重工</t>
  </si>
  <si>
    <t xml:space="preserve">         31.31亿</t>
  </si>
  <si>
    <t>0.159㈡</t>
  </si>
  <si>
    <t xml:space="preserve">   4.49㈡</t>
  </si>
  <si>
    <t>兆新股份</t>
  </si>
  <si>
    <t xml:space="preserve">         53.48亿</t>
  </si>
  <si>
    <t xml:space="preserve">         67.75亿</t>
  </si>
  <si>
    <t xml:space="preserve">         91.67亿</t>
  </si>
  <si>
    <t>2.96万</t>
  </si>
  <si>
    <t>利尔化学</t>
  </si>
  <si>
    <t xml:space="preserve">         89.75亿</t>
  </si>
  <si>
    <t xml:space="preserve">        169.99亿</t>
  </si>
  <si>
    <t xml:space="preserve">        170.83亿</t>
  </si>
  <si>
    <t>30.17万</t>
  </si>
  <si>
    <t>0.960㈡</t>
  </si>
  <si>
    <t xml:space="preserve">  11.51㈡</t>
  </si>
  <si>
    <t>拓维信息</t>
  </si>
  <si>
    <t xml:space="preserve">         86.82亿</t>
  </si>
  <si>
    <t xml:space="preserve">        100.50亿</t>
  </si>
  <si>
    <t>6.35万</t>
  </si>
  <si>
    <t>恩华药业</t>
  </si>
  <si>
    <t xml:space="preserve">         65.15亿</t>
  </si>
  <si>
    <t xml:space="preserve">        118.18亿</t>
  </si>
  <si>
    <t xml:space="preserve">        135.02亿</t>
  </si>
  <si>
    <t>16.75万</t>
  </si>
  <si>
    <t xml:space="preserve">   9.26㈡</t>
  </si>
  <si>
    <t>大东南</t>
  </si>
  <si>
    <t xml:space="preserve">         47.53亿</t>
  </si>
  <si>
    <t xml:space="preserve">   3.73㈡</t>
  </si>
  <si>
    <t>新 华 都</t>
  </si>
  <si>
    <t xml:space="preserve">         12.29亿</t>
  </si>
  <si>
    <t xml:space="preserve">         28.64亿</t>
  </si>
  <si>
    <t xml:space="preserve">         29.30亿</t>
  </si>
  <si>
    <t xml:space="preserve">   6.64㈡</t>
  </si>
  <si>
    <t>西仪股份</t>
  </si>
  <si>
    <t xml:space="preserve">          9.95亿</t>
  </si>
  <si>
    <t xml:space="preserve">         23.56亿</t>
  </si>
  <si>
    <t xml:space="preserve">         24.59亿</t>
  </si>
  <si>
    <t>4.29万</t>
  </si>
  <si>
    <t xml:space="preserve">  -0.78㈡</t>
  </si>
  <si>
    <t>浙富控股</t>
  </si>
  <si>
    <t xml:space="preserve">        104.76亿</t>
  </si>
  <si>
    <t xml:space="preserve">        192.03亿</t>
  </si>
  <si>
    <t xml:space="preserve">        367.29亿</t>
  </si>
  <si>
    <t>10.81万</t>
  </si>
  <si>
    <t xml:space="preserve">  14.98㈡</t>
  </si>
  <si>
    <t>陕天然气</t>
  </si>
  <si>
    <t xml:space="preserve">         35.16亿</t>
  </si>
  <si>
    <t xml:space="preserve">         98.86亿</t>
  </si>
  <si>
    <t>12.27万</t>
  </si>
  <si>
    <t>0.308㈡</t>
  </si>
  <si>
    <t xml:space="preserve">   5.40㈡</t>
  </si>
  <si>
    <t>卫 士 通</t>
  </si>
  <si>
    <t xml:space="preserve">        212.60亿</t>
  </si>
  <si>
    <t xml:space="preserve">        339.78亿</t>
  </si>
  <si>
    <t xml:space="preserve">        343.51亿</t>
  </si>
  <si>
    <t>47.64万</t>
  </si>
  <si>
    <t xml:space="preserve">  -0.89㈡</t>
  </si>
  <si>
    <t>美邦服饰</t>
  </si>
  <si>
    <t xml:space="preserve">         67.84亿</t>
  </si>
  <si>
    <t>2.38万</t>
  </si>
  <si>
    <t xml:space="preserve">  -3.39㈡</t>
  </si>
  <si>
    <t>华明装备</t>
  </si>
  <si>
    <t xml:space="preserve">         39.37亿</t>
  </si>
  <si>
    <t xml:space="preserve">         59.07亿</t>
  </si>
  <si>
    <t xml:space="preserve">  10.41㈡</t>
  </si>
  <si>
    <t>东方雨虹</t>
  </si>
  <si>
    <t xml:space="preserve">        665.05亿</t>
  </si>
  <si>
    <t xml:space="preserve">        719.80亿</t>
  </si>
  <si>
    <t xml:space="preserve">       1043.49亿</t>
  </si>
  <si>
    <t>53.56万</t>
  </si>
  <si>
    <t>川润股份</t>
  </si>
  <si>
    <t xml:space="preserve">         24.55亿</t>
  </si>
  <si>
    <t xml:space="preserve">         32.47亿</t>
  </si>
  <si>
    <t>5.57万</t>
  </si>
  <si>
    <t>水晶光电</t>
  </si>
  <si>
    <t xml:space="preserve">        133.71亿</t>
  </si>
  <si>
    <t xml:space="preserve">        162.18亿</t>
  </si>
  <si>
    <t xml:space="preserve">        191.07亿</t>
  </si>
  <si>
    <t>10.05万</t>
  </si>
  <si>
    <t>华昌化工</t>
  </si>
  <si>
    <t xml:space="preserve">         82.88亿</t>
  </si>
  <si>
    <t xml:space="preserve">        138.17亿</t>
  </si>
  <si>
    <t xml:space="preserve">        140.28亿</t>
  </si>
  <si>
    <t>12.12万</t>
  </si>
  <si>
    <t>0.920㈡</t>
  </si>
  <si>
    <t xml:space="preserve">  24.65㈡</t>
  </si>
  <si>
    <t>桂林三金</t>
  </si>
  <si>
    <t xml:space="preserve">         21.42亿</t>
  </si>
  <si>
    <t xml:space="preserve">         79.50亿</t>
  </si>
  <si>
    <t>13.50万</t>
  </si>
  <si>
    <t xml:space="preserve">   8.31㈡</t>
  </si>
  <si>
    <t>万马股份</t>
  </si>
  <si>
    <t xml:space="preserve">         80.34亿</t>
  </si>
  <si>
    <t xml:space="preserve">         80.35亿</t>
  </si>
  <si>
    <t>5.79万</t>
  </si>
  <si>
    <t xml:space="preserve">   1.42㈡</t>
  </si>
  <si>
    <t>友阿股份</t>
  </si>
  <si>
    <t xml:space="preserve">         31.19亿</t>
  </si>
  <si>
    <t xml:space="preserve">         47.96亿</t>
  </si>
  <si>
    <t>6.57万</t>
  </si>
  <si>
    <t>神开股份</t>
  </si>
  <si>
    <t xml:space="preserve">         14.33亿</t>
  </si>
  <si>
    <t xml:space="preserve">         22.15亿</t>
  </si>
  <si>
    <t xml:space="preserve">         23.91亿</t>
  </si>
  <si>
    <t>10.31万</t>
  </si>
  <si>
    <t>久其软件</t>
  </si>
  <si>
    <t xml:space="preserve">         22.14亿</t>
  </si>
  <si>
    <t xml:space="preserve">         30.92亿</t>
  </si>
  <si>
    <t xml:space="preserve">         34.25亿</t>
  </si>
  <si>
    <t xml:space="preserve">  -8.58㈡</t>
  </si>
  <si>
    <t>联络互动</t>
  </si>
  <si>
    <t xml:space="preserve">        107.31亿</t>
  </si>
  <si>
    <t xml:space="preserve">        115.69亿</t>
  </si>
  <si>
    <t xml:space="preserve">        142.39亿</t>
  </si>
  <si>
    <t>9.58万</t>
  </si>
  <si>
    <t xml:space="preserve">   7.88㈡</t>
  </si>
  <si>
    <t>光迅科技</t>
  </si>
  <si>
    <t xml:space="preserve">         88.63亿</t>
  </si>
  <si>
    <t xml:space="preserve">        155.61亿</t>
  </si>
  <si>
    <t xml:space="preserve">        163.51亿</t>
  </si>
  <si>
    <t>11.86万</t>
  </si>
  <si>
    <t>博深股份</t>
  </si>
  <si>
    <t xml:space="preserve">         20.04亿</t>
  </si>
  <si>
    <t xml:space="preserve">         41.02亿</t>
  </si>
  <si>
    <t xml:space="preserve">         56.08亿</t>
  </si>
  <si>
    <t>天润工业</t>
  </si>
  <si>
    <t xml:space="preserve">         73.88亿</t>
  </si>
  <si>
    <t xml:space="preserve">        101.26亿</t>
  </si>
  <si>
    <t xml:space="preserve">        115.95亿</t>
  </si>
  <si>
    <t>16.46万</t>
  </si>
  <si>
    <t>亚太股份</t>
  </si>
  <si>
    <t xml:space="preserve">         53.92亿</t>
  </si>
  <si>
    <t xml:space="preserve">         57.98亿</t>
  </si>
  <si>
    <t>4.10万</t>
  </si>
  <si>
    <t xml:space="preserve">   1.14㈡</t>
  </si>
  <si>
    <t>世联行</t>
  </si>
  <si>
    <t xml:space="preserve">         48.59亿</t>
  </si>
  <si>
    <t xml:space="preserve">         90.05亿</t>
  </si>
  <si>
    <t xml:space="preserve">         90.90亿</t>
  </si>
  <si>
    <t>保龄宝</t>
  </si>
  <si>
    <t xml:space="preserve">         32.42亿</t>
  </si>
  <si>
    <t xml:space="preserve">         50.81亿</t>
  </si>
  <si>
    <t xml:space="preserve">   3.93㈡</t>
  </si>
  <si>
    <t>奇正藏药</t>
  </si>
  <si>
    <t xml:space="preserve">         19.84亿</t>
  </si>
  <si>
    <t xml:space="preserve">        161.13亿</t>
  </si>
  <si>
    <t xml:space="preserve">        161.86亿</t>
  </si>
  <si>
    <t>6.42万</t>
  </si>
  <si>
    <t>1.870㈡</t>
  </si>
  <si>
    <t xml:space="preserve">  28.82㈡</t>
  </si>
  <si>
    <t>超华科技</t>
  </si>
  <si>
    <t xml:space="preserve">         75.71亿</t>
  </si>
  <si>
    <t xml:space="preserve">         88.13亿</t>
  </si>
  <si>
    <t xml:space="preserve">   4.44㈡</t>
  </si>
  <si>
    <t>宇顺电子</t>
  </si>
  <si>
    <t xml:space="preserve">         15.42亿</t>
  </si>
  <si>
    <t xml:space="preserve">         24.33亿</t>
  </si>
  <si>
    <t xml:space="preserve">         25.78亿</t>
  </si>
  <si>
    <t>-0.046㈡</t>
  </si>
  <si>
    <t xml:space="preserve">  -4.56㈡</t>
  </si>
  <si>
    <t>禾盛新材</t>
  </si>
  <si>
    <t xml:space="preserve">          8.77亿</t>
  </si>
  <si>
    <t xml:space="preserve">         18.12亿</t>
  </si>
  <si>
    <t xml:space="preserve">         20.32亿</t>
  </si>
  <si>
    <t>5.61万</t>
  </si>
  <si>
    <t xml:space="preserve">  12.93㈡</t>
  </si>
  <si>
    <t>星期六</t>
  </si>
  <si>
    <t xml:space="preserve">        108.29亿</t>
  </si>
  <si>
    <t xml:space="preserve">        146.66亿</t>
  </si>
  <si>
    <t xml:space="preserve">        177.47亿</t>
  </si>
  <si>
    <t>30.54万</t>
  </si>
  <si>
    <t xml:space="preserve">  -1.80㈡</t>
  </si>
  <si>
    <t>奥飞娱乐</t>
  </si>
  <si>
    <t xml:space="preserve">         48.49亿</t>
  </si>
  <si>
    <t xml:space="preserve">         77.09亿</t>
  </si>
  <si>
    <t>罗莱生活</t>
  </si>
  <si>
    <t xml:space="preserve">         46.79亿</t>
  </si>
  <si>
    <t xml:space="preserve">        102.46亿</t>
  </si>
  <si>
    <t xml:space="preserve">        103.24亿</t>
  </si>
  <si>
    <t>17.92万</t>
  </si>
  <si>
    <t>信立泰</t>
  </si>
  <si>
    <t xml:space="preserve">        103.86亿</t>
  </si>
  <si>
    <t xml:space="preserve">        279.93亿</t>
  </si>
  <si>
    <t xml:space="preserve">        298.44亿</t>
  </si>
  <si>
    <t>26.00万</t>
  </si>
  <si>
    <t xml:space="preserve">   2.94㈡</t>
  </si>
  <si>
    <t>精艺股份</t>
  </si>
  <si>
    <t xml:space="preserve">         10.75亿</t>
  </si>
  <si>
    <t xml:space="preserve">         19.46亿</t>
  </si>
  <si>
    <t xml:space="preserve">         19.50亿</t>
  </si>
  <si>
    <t xml:space="preserve">   3.49㈡</t>
  </si>
  <si>
    <t>辉煌科技</t>
  </si>
  <si>
    <t xml:space="preserve">         24.90亿</t>
  </si>
  <si>
    <t xml:space="preserve">         28.76亿</t>
  </si>
  <si>
    <t xml:space="preserve">   4.92㈡</t>
  </si>
  <si>
    <t>博云新材</t>
  </si>
  <si>
    <t xml:space="preserve">         33.18亿</t>
  </si>
  <si>
    <t xml:space="preserve">         56.74亿</t>
  </si>
  <si>
    <t>7.14万</t>
  </si>
  <si>
    <t>中电兴发</t>
  </si>
  <si>
    <t xml:space="preserve">         35.70亿</t>
  </si>
  <si>
    <t xml:space="preserve">         40.40亿</t>
  </si>
  <si>
    <t xml:space="preserve">         53.07亿</t>
  </si>
  <si>
    <t xml:space="preserve">   1.84㈡</t>
  </si>
  <si>
    <t>圣农发展</t>
  </si>
  <si>
    <t xml:space="preserve">        116.83亿</t>
  </si>
  <si>
    <t xml:space="preserve">        245.51亿</t>
  </si>
  <si>
    <t xml:space="preserve">        246.39亿</t>
  </si>
  <si>
    <t>29.37万</t>
  </si>
  <si>
    <t>太阳电缆</t>
  </si>
  <si>
    <t xml:space="preserve">         20.01亿</t>
  </si>
  <si>
    <t xml:space="preserve">         46.88亿</t>
  </si>
  <si>
    <t xml:space="preserve">         46.89亿</t>
  </si>
  <si>
    <t>0.084㈡</t>
  </si>
  <si>
    <t>齐心集团</t>
  </si>
  <si>
    <t xml:space="preserve">         32.99亿</t>
  </si>
  <si>
    <t xml:space="preserve">         56.57亿</t>
  </si>
  <si>
    <t xml:space="preserve">         56.67亿</t>
  </si>
  <si>
    <t>16.43万</t>
  </si>
  <si>
    <t>西部建设</t>
  </si>
  <si>
    <t xml:space="preserve">         41.67亿</t>
  </si>
  <si>
    <t xml:space="preserve">        107.68亿</t>
  </si>
  <si>
    <t>5.80万</t>
  </si>
  <si>
    <t>0.288㈡</t>
  </si>
  <si>
    <t>美盈森</t>
  </si>
  <si>
    <t xml:space="preserve">         27.24亿</t>
  </si>
  <si>
    <t xml:space="preserve">         34.37亿</t>
  </si>
  <si>
    <t xml:space="preserve">         55.28亿</t>
  </si>
  <si>
    <t xml:space="preserve">   1.06㈡</t>
  </si>
  <si>
    <t>洋河股份</t>
  </si>
  <si>
    <t xml:space="preserve">        939.79亿</t>
  </si>
  <si>
    <t xml:space="preserve">       2160.54亿</t>
  </si>
  <si>
    <t xml:space="preserve">       2606.94亿</t>
  </si>
  <si>
    <t>68.31万</t>
  </si>
  <si>
    <t>3.780㈡</t>
  </si>
  <si>
    <t xml:space="preserve">  14.28㈡</t>
  </si>
  <si>
    <t>南国置业</t>
  </si>
  <si>
    <t xml:space="preserve">         17.80亿</t>
  </si>
  <si>
    <t xml:space="preserve">         33.97亿</t>
  </si>
  <si>
    <t xml:space="preserve">         33.99亿</t>
  </si>
  <si>
    <t>-0.244㈡</t>
  </si>
  <si>
    <t xml:space="preserve"> -11.77㈡</t>
  </si>
  <si>
    <t>中科云网</t>
  </si>
  <si>
    <t xml:space="preserve">         23.44亿</t>
  </si>
  <si>
    <t xml:space="preserve">         24.53亿</t>
  </si>
  <si>
    <t xml:space="preserve">   1.62㈡</t>
  </si>
  <si>
    <t>北新路桥</t>
  </si>
  <si>
    <t xml:space="preserve">         23.79亿</t>
  </si>
  <si>
    <t xml:space="preserve">         60.57亿</t>
  </si>
  <si>
    <t xml:space="preserve">   0.73㈡</t>
  </si>
  <si>
    <t>威创股份</t>
  </si>
  <si>
    <t xml:space="preserve">         23.77亿</t>
  </si>
  <si>
    <t xml:space="preserve">         36.16亿</t>
  </si>
  <si>
    <t>5.67万</t>
  </si>
  <si>
    <t xml:space="preserve">   0.38㈡</t>
  </si>
  <si>
    <t>中利集团</t>
  </si>
  <si>
    <t xml:space="preserve">         48.32亿</t>
  </si>
  <si>
    <t xml:space="preserve">         60.33亿</t>
  </si>
  <si>
    <t>-1.440㈡</t>
  </si>
  <si>
    <t xml:space="preserve"> -28.80㈡</t>
  </si>
  <si>
    <t>东方园林</t>
  </si>
  <si>
    <t xml:space="preserve">         43.47亿</t>
  </si>
  <si>
    <t xml:space="preserve">         79.15亿</t>
  </si>
  <si>
    <t xml:space="preserve">         82.98亿</t>
  </si>
  <si>
    <t>5.24万</t>
  </si>
  <si>
    <t>-0.200㈡</t>
  </si>
  <si>
    <t xml:space="preserve">  -4.65㈡</t>
  </si>
  <si>
    <t>海大集团</t>
  </si>
  <si>
    <t xml:space="preserve">        448.95亿</t>
  </si>
  <si>
    <t xml:space="preserve">        981.65亿</t>
  </si>
  <si>
    <t xml:space="preserve">        983.74亿</t>
  </si>
  <si>
    <t>201.62万</t>
  </si>
  <si>
    <t xml:space="preserve">  10.68㈡</t>
  </si>
  <si>
    <t>川发龙蟒</t>
  </si>
  <si>
    <t xml:space="preserve">        167.77亿</t>
  </si>
  <si>
    <t xml:space="preserve">        242.76亿</t>
  </si>
  <si>
    <t xml:space="preserve">        323.19亿</t>
  </si>
  <si>
    <t>17.80万</t>
  </si>
  <si>
    <t xml:space="preserve">  10.58㈡</t>
  </si>
  <si>
    <t>日海智能</t>
  </si>
  <si>
    <t xml:space="preserve">         25.70亿</t>
  </si>
  <si>
    <t xml:space="preserve">         46.39亿</t>
  </si>
  <si>
    <t>13.53万</t>
  </si>
  <si>
    <t>南山控股</t>
  </si>
  <si>
    <t xml:space="preserve">         22.33亿</t>
  </si>
  <si>
    <t xml:space="preserve">         43.36亿</t>
  </si>
  <si>
    <t xml:space="preserve">         87.73亿</t>
  </si>
  <si>
    <t>5.17万</t>
  </si>
  <si>
    <t xml:space="preserve">   4.20㈡</t>
  </si>
  <si>
    <t>焦点科技</t>
  </si>
  <si>
    <t xml:space="preserve">         23.53亿</t>
  </si>
  <si>
    <t xml:space="preserve">         32.62亿</t>
  </si>
  <si>
    <t xml:space="preserve">         53.83亿</t>
  </si>
  <si>
    <t>9.72万</t>
  </si>
  <si>
    <t xml:space="preserve">   5.98㈡</t>
  </si>
  <si>
    <t>亚联发展</t>
  </si>
  <si>
    <t xml:space="preserve">         10.66亿</t>
  </si>
  <si>
    <t>2.80万</t>
  </si>
  <si>
    <t>-0.097㈡</t>
  </si>
  <si>
    <t xml:space="preserve"> -19.18㈡</t>
  </si>
  <si>
    <t>众生药业</t>
  </si>
  <si>
    <t xml:space="preserve">         57.57亿</t>
  </si>
  <si>
    <t xml:space="preserve">         68.73亿</t>
  </si>
  <si>
    <t xml:space="preserve">         78.51亿</t>
  </si>
  <si>
    <t>12.86万</t>
  </si>
  <si>
    <t xml:space="preserve">   7.74㈡</t>
  </si>
  <si>
    <t>久立特材</t>
  </si>
  <si>
    <t xml:space="preserve">         92.87亿</t>
  </si>
  <si>
    <t xml:space="preserve">        145.39亿</t>
  </si>
  <si>
    <t xml:space="preserve">        149.02亿</t>
  </si>
  <si>
    <t>25.22万</t>
  </si>
  <si>
    <t>乐通股份</t>
  </si>
  <si>
    <t xml:space="preserve">         27.56亿</t>
  </si>
  <si>
    <t>19.73万</t>
  </si>
  <si>
    <t xml:space="preserve">  -6.50㈡</t>
  </si>
  <si>
    <t>海峡股份</t>
  </si>
  <si>
    <t xml:space="preserve">         44.77亿</t>
  </si>
  <si>
    <t xml:space="preserve">        166.06亿</t>
  </si>
  <si>
    <t>10.66万</t>
  </si>
  <si>
    <t>理工环科</t>
  </si>
  <si>
    <t xml:space="preserve">         25.51亿</t>
  </si>
  <si>
    <t xml:space="preserve">         39.56亿</t>
  </si>
  <si>
    <t xml:space="preserve">         41.73亿</t>
  </si>
  <si>
    <t xml:space="preserve">   3.83㈡</t>
  </si>
  <si>
    <t>普利特</t>
  </si>
  <si>
    <t xml:space="preserve">         53.36亿</t>
  </si>
  <si>
    <t xml:space="preserve">         74.01亿</t>
  </si>
  <si>
    <t xml:space="preserve">        118.65亿</t>
  </si>
  <si>
    <t>24.87万</t>
  </si>
  <si>
    <t xml:space="preserve">   3.25㈡</t>
  </si>
  <si>
    <t>洪涛股份</t>
  </si>
  <si>
    <t xml:space="preserve">         20.35亿</t>
  </si>
  <si>
    <t xml:space="preserve">         25.24亿</t>
  </si>
  <si>
    <t xml:space="preserve">         33.26亿</t>
  </si>
  <si>
    <t>永太科技</t>
  </si>
  <si>
    <t xml:space="preserve">        373.25亿</t>
  </si>
  <si>
    <t xml:space="preserve">        423.30亿</t>
  </si>
  <si>
    <t xml:space="preserve">        550.48亿</t>
  </si>
  <si>
    <t>48.86万</t>
  </si>
  <si>
    <t>富安娜</t>
  </si>
  <si>
    <t xml:space="preserve">         40.90亿</t>
  </si>
  <si>
    <t xml:space="preserve">         69.67亿</t>
  </si>
  <si>
    <t>13.13万</t>
  </si>
  <si>
    <t xml:space="preserve">   6.27㈡</t>
  </si>
  <si>
    <t>新朋股份</t>
  </si>
  <si>
    <t xml:space="preserve">         26.03亿</t>
  </si>
  <si>
    <t xml:space="preserve">         29.50亿</t>
  </si>
  <si>
    <t xml:space="preserve">         40.44亿</t>
  </si>
  <si>
    <t>6.46万</t>
  </si>
  <si>
    <t>皇氏集团</t>
  </si>
  <si>
    <t xml:space="preserve">         22.43亿</t>
  </si>
  <si>
    <t>乳制品</t>
  </si>
  <si>
    <t xml:space="preserve">         40.21亿</t>
  </si>
  <si>
    <t>0.013㈡</t>
  </si>
  <si>
    <t xml:space="preserve">   0.53㈡</t>
  </si>
  <si>
    <t>得利斯</t>
  </si>
  <si>
    <t xml:space="preserve">          8.65亿</t>
  </si>
  <si>
    <t xml:space="preserve">         27.99亿</t>
  </si>
  <si>
    <t>2.94万</t>
  </si>
  <si>
    <t>皖通科技</t>
  </si>
  <si>
    <t xml:space="preserve">         21.74亿</t>
  </si>
  <si>
    <t xml:space="preserve">         37.45亿</t>
  </si>
  <si>
    <t xml:space="preserve">         40.29亿</t>
  </si>
  <si>
    <t>8.77万</t>
  </si>
  <si>
    <t xml:space="preserve">   0.33㈡</t>
  </si>
  <si>
    <t>仙琚制药</t>
  </si>
  <si>
    <t xml:space="preserve">         75.09亿</t>
  </si>
  <si>
    <t xml:space="preserve">        105.48亿</t>
  </si>
  <si>
    <t xml:space="preserve">        108.42亿</t>
  </si>
  <si>
    <t>18.31万</t>
  </si>
  <si>
    <t>罗普斯金</t>
  </si>
  <si>
    <t xml:space="preserve">          8.27亿</t>
  </si>
  <si>
    <t xml:space="preserve">         35.96亿</t>
  </si>
  <si>
    <t xml:space="preserve">   0.59㈡</t>
  </si>
  <si>
    <t>英威腾</t>
  </si>
  <si>
    <t xml:space="preserve">         42.80亿</t>
  </si>
  <si>
    <t xml:space="preserve">         44.41亿</t>
  </si>
  <si>
    <t xml:space="preserve">         51.46亿</t>
  </si>
  <si>
    <t>5.40万</t>
  </si>
  <si>
    <t xml:space="preserve">   4.89㈡</t>
  </si>
  <si>
    <t>科华数据</t>
  </si>
  <si>
    <t xml:space="preserve">         79.02亿</t>
  </si>
  <si>
    <t xml:space="preserve">        130.68亿</t>
  </si>
  <si>
    <t xml:space="preserve">        151.99亿</t>
  </si>
  <si>
    <t>25.69万</t>
  </si>
  <si>
    <t xml:space="preserve">   5.65㈡</t>
  </si>
  <si>
    <t>人人乐</t>
  </si>
  <si>
    <t xml:space="preserve">          4.85亿</t>
  </si>
  <si>
    <t xml:space="preserve">         16.87亿</t>
  </si>
  <si>
    <t>4.38万</t>
  </si>
  <si>
    <t>-0.830㈡</t>
  </si>
  <si>
    <t xml:space="preserve"> -33.10㈡</t>
  </si>
  <si>
    <t>赛象科技</t>
  </si>
  <si>
    <t xml:space="preserve">         12.72亿</t>
  </si>
  <si>
    <t xml:space="preserve">         20.16亿</t>
  </si>
  <si>
    <t xml:space="preserve">         20.19亿</t>
  </si>
  <si>
    <t>2.24万</t>
  </si>
  <si>
    <t xml:space="preserve">   0.19㈡</t>
  </si>
  <si>
    <t>奥普光电</t>
  </si>
  <si>
    <t xml:space="preserve">         45.38亿</t>
  </si>
  <si>
    <t>积成电子</t>
  </si>
  <si>
    <t xml:space="preserve">         27.96亿</t>
  </si>
  <si>
    <t xml:space="preserve">         35.72亿</t>
  </si>
  <si>
    <t>格林美</t>
  </si>
  <si>
    <t xml:space="preserve">        530.93亿</t>
  </si>
  <si>
    <t xml:space="preserve">        605.12亿</t>
  </si>
  <si>
    <t xml:space="preserve">   3.89㈡</t>
  </si>
  <si>
    <t>新纶新材</t>
  </si>
  <si>
    <t xml:space="preserve">         77.43亿</t>
  </si>
  <si>
    <t>价量齐升</t>
  </si>
  <si>
    <t>-0.059㈡</t>
  </si>
  <si>
    <t xml:space="preserve">  -1.88㈡</t>
  </si>
  <si>
    <t>巨力索具</t>
  </si>
  <si>
    <t xml:space="preserve">         28.21亿</t>
  </si>
  <si>
    <t xml:space="preserve">         43.10亿</t>
  </si>
  <si>
    <t>2.66万</t>
  </si>
  <si>
    <t>慈文传媒</t>
  </si>
  <si>
    <t xml:space="preserve">         23.98亿</t>
  </si>
  <si>
    <t>7.25万</t>
  </si>
  <si>
    <t xml:space="preserve">   1.25㈡</t>
  </si>
  <si>
    <t>海宁皮城</t>
  </si>
  <si>
    <t xml:space="preserve">         25.18亿</t>
  </si>
  <si>
    <t xml:space="preserve">         53.57亿</t>
  </si>
  <si>
    <t>商品城</t>
  </si>
  <si>
    <t xml:space="preserve">         53.62亿</t>
  </si>
  <si>
    <t>潮宏基</t>
  </si>
  <si>
    <t xml:space="preserve">         31.81亿</t>
  </si>
  <si>
    <t xml:space="preserve">         51.40亿</t>
  </si>
  <si>
    <t xml:space="preserve">         52.60亿</t>
  </si>
  <si>
    <t>12.11万</t>
  </si>
  <si>
    <t>柘中股份</t>
  </si>
  <si>
    <t xml:space="preserve">         27.32亿</t>
  </si>
  <si>
    <t xml:space="preserve">         85.48亿</t>
  </si>
  <si>
    <t xml:space="preserve">         95.65亿</t>
  </si>
  <si>
    <t xml:space="preserve">  10.13㈡</t>
  </si>
  <si>
    <t>泰尔股份</t>
  </si>
  <si>
    <t xml:space="preserve">         13.19亿</t>
  </si>
  <si>
    <t xml:space="preserve">         15.49亿</t>
  </si>
  <si>
    <t xml:space="preserve">         21.86亿</t>
  </si>
  <si>
    <t xml:space="preserve">   1.40㈡</t>
  </si>
  <si>
    <t>高乐股份</t>
  </si>
  <si>
    <t xml:space="preserve">         11.89亿</t>
  </si>
  <si>
    <t xml:space="preserve">         19.99亿</t>
  </si>
  <si>
    <t xml:space="preserve">         22.16亿</t>
  </si>
  <si>
    <t>1.94万</t>
  </si>
  <si>
    <t>-0.038㈡</t>
  </si>
  <si>
    <t xml:space="preserve">  -4.89㈡</t>
  </si>
  <si>
    <t>精华制药</t>
  </si>
  <si>
    <t xml:space="preserve">         24.29亿</t>
  </si>
  <si>
    <t xml:space="preserve">         53.74亿</t>
  </si>
  <si>
    <t>6.58万</t>
  </si>
  <si>
    <t>北京科锐</t>
  </si>
  <si>
    <t xml:space="preserve">         26.34亿</t>
  </si>
  <si>
    <t>9.62万</t>
  </si>
  <si>
    <t xml:space="preserve">  -0.30㈡</t>
  </si>
  <si>
    <t>漫步者</t>
  </si>
  <si>
    <t xml:space="preserve">         45.74亿</t>
  </si>
  <si>
    <t xml:space="preserve">         59.18亿</t>
  </si>
  <si>
    <t xml:space="preserve">        110.07亿</t>
  </si>
  <si>
    <t>0.233㈡</t>
  </si>
  <si>
    <t xml:space="preserve">   9.89㈡</t>
  </si>
  <si>
    <t>顺丰控股</t>
  </si>
  <si>
    <t xml:space="preserve">       1153.02亿</t>
  </si>
  <si>
    <t xml:space="preserve">       2882.25亿</t>
  </si>
  <si>
    <t xml:space="preserve">       2916.12亿</t>
  </si>
  <si>
    <t>40.32万</t>
  </si>
  <si>
    <t>杰瑞股份</t>
  </si>
  <si>
    <t xml:space="preserve">        233.58亿</t>
  </si>
  <si>
    <t xml:space="preserve">        288.90亿</t>
  </si>
  <si>
    <t xml:space="preserve">        446.84亿</t>
  </si>
  <si>
    <t>63.07万</t>
  </si>
  <si>
    <t xml:space="preserve">   6.53㈡</t>
  </si>
  <si>
    <t>天神娱乐</t>
  </si>
  <si>
    <t xml:space="preserve">         43.71亿</t>
  </si>
  <si>
    <t xml:space="preserve">         54.38亿</t>
  </si>
  <si>
    <t>14.58万</t>
  </si>
  <si>
    <t xml:space="preserve">   1.52㈡</t>
  </si>
  <si>
    <t>兴民智通</t>
  </si>
  <si>
    <t xml:space="preserve">         38.45亿</t>
  </si>
  <si>
    <t xml:space="preserve">         38.66亿</t>
  </si>
  <si>
    <t xml:space="preserve">  -0.56㈡</t>
  </si>
  <si>
    <t>富临运业</t>
  </si>
  <si>
    <t xml:space="preserve">         10.63亿</t>
  </si>
  <si>
    <t>公路</t>
  </si>
  <si>
    <t>6.84万</t>
  </si>
  <si>
    <t>0.244㈡</t>
  </si>
  <si>
    <t xml:space="preserve">   5.79㈡</t>
  </si>
  <si>
    <t>同德化工</t>
  </si>
  <si>
    <t xml:space="preserve">         28.91亿</t>
  </si>
  <si>
    <t xml:space="preserve">         39.95亿</t>
  </si>
  <si>
    <t>15.60万</t>
  </si>
  <si>
    <t>神剑股份</t>
  </si>
  <si>
    <t xml:space="preserve">         34.13亿</t>
  </si>
  <si>
    <t xml:space="preserve">         38.84亿</t>
  </si>
  <si>
    <t xml:space="preserve">         48.66亿</t>
  </si>
  <si>
    <t>7.27万</t>
  </si>
  <si>
    <t>汉王科技</t>
  </si>
  <si>
    <t xml:space="preserve">         27.72亿</t>
  </si>
  <si>
    <t>6.72万</t>
  </si>
  <si>
    <t>0.124㈡</t>
  </si>
  <si>
    <t xml:space="preserve">   1.98㈡</t>
  </si>
  <si>
    <t>隆基机械</t>
  </si>
  <si>
    <t xml:space="preserve">         23.20亿</t>
  </si>
  <si>
    <t xml:space="preserve">         23.22亿</t>
  </si>
  <si>
    <t>中恒电气</t>
  </si>
  <si>
    <t xml:space="preserve">         28.71亿</t>
  </si>
  <si>
    <t xml:space="preserve">         48.12亿</t>
  </si>
  <si>
    <t xml:space="preserve">         51.12亿</t>
  </si>
  <si>
    <t xml:space="preserve">   1.82㈡</t>
  </si>
  <si>
    <t>永安药业</t>
  </si>
  <si>
    <t xml:space="preserve">         21.09亿</t>
  </si>
  <si>
    <t xml:space="preserve">         23.66亿</t>
  </si>
  <si>
    <t>6.68万</t>
  </si>
  <si>
    <t xml:space="preserve">   2.64㈡</t>
  </si>
  <si>
    <t>台海核电</t>
  </si>
  <si>
    <t xml:space="preserve">         26.18亿</t>
  </si>
  <si>
    <t xml:space="preserve">         37.54亿</t>
  </si>
  <si>
    <t>3.91万</t>
  </si>
  <si>
    <t xml:space="preserve"> -21.18㈡</t>
  </si>
  <si>
    <t>康力电梯</t>
  </si>
  <si>
    <t xml:space="preserve">         34.24亿</t>
  </si>
  <si>
    <t xml:space="preserve">         43.01亿</t>
  </si>
  <si>
    <t xml:space="preserve">         65.41亿</t>
  </si>
  <si>
    <t>8.90万</t>
  </si>
  <si>
    <t xml:space="preserve">   7.26㈡</t>
  </si>
  <si>
    <t>太极股份</t>
  </si>
  <si>
    <t xml:space="preserve">         90.76亿</t>
  </si>
  <si>
    <t xml:space="preserve">        148.99亿</t>
  </si>
  <si>
    <t xml:space="preserve">        149.90亿</t>
  </si>
  <si>
    <t>21.66万</t>
  </si>
  <si>
    <t xml:space="preserve">   0.80㈡</t>
  </si>
  <si>
    <t>卓翼科技</t>
  </si>
  <si>
    <t xml:space="preserve">         32.54亿</t>
  </si>
  <si>
    <t xml:space="preserve">         39.16亿</t>
  </si>
  <si>
    <t xml:space="preserve">         39.22亿</t>
  </si>
  <si>
    <t>0.005㈡</t>
  </si>
  <si>
    <t>亚太药业</t>
  </si>
  <si>
    <t xml:space="preserve">         16.95亿</t>
  </si>
  <si>
    <t xml:space="preserve">         21.54亿</t>
  </si>
  <si>
    <t xml:space="preserve">         24.95亿</t>
  </si>
  <si>
    <t>4.40万</t>
  </si>
  <si>
    <t xml:space="preserve">  -7.11㈡</t>
  </si>
  <si>
    <t>北方华创</t>
  </si>
  <si>
    <t xml:space="preserve">        772.00亿</t>
  </si>
  <si>
    <t xml:space="preserve">       1648.90亿</t>
  </si>
  <si>
    <t xml:space="preserve">       1781.69亿</t>
  </si>
  <si>
    <t>206.36万</t>
  </si>
  <si>
    <t>0.630㈡</t>
  </si>
  <si>
    <t xml:space="preserve">   4.36㈡</t>
  </si>
  <si>
    <t>伟星新材</t>
  </si>
  <si>
    <t xml:space="preserve">         98.40亿</t>
  </si>
  <si>
    <t xml:space="preserve">        257.13亿</t>
  </si>
  <si>
    <t xml:space="preserve">        284.99亿</t>
  </si>
  <si>
    <t>17.60万</t>
  </si>
  <si>
    <t>千方科技</t>
  </si>
  <si>
    <t xml:space="preserve">        142.16亿</t>
  </si>
  <si>
    <t xml:space="preserve">        184.74亿</t>
  </si>
  <si>
    <t xml:space="preserve">        237.92亿</t>
  </si>
  <si>
    <t>15.22万</t>
  </si>
  <si>
    <t xml:space="preserve">   4.15㈡</t>
  </si>
  <si>
    <t>中锐股份</t>
  </si>
  <si>
    <t xml:space="preserve">         26.61亿</t>
  </si>
  <si>
    <t xml:space="preserve">         31.79亿</t>
  </si>
  <si>
    <t>8.96万</t>
  </si>
  <si>
    <t>0.009㈡</t>
  </si>
  <si>
    <t xml:space="preserve">   0.37㈡</t>
  </si>
  <si>
    <t>亚厦股份</t>
  </si>
  <si>
    <t xml:space="preserve">         46.36亿</t>
  </si>
  <si>
    <t>17.00万</t>
  </si>
  <si>
    <t>新北洋</t>
  </si>
  <si>
    <t xml:space="preserve">         34.30亿</t>
  </si>
  <si>
    <t xml:space="preserve">         53.22亿</t>
  </si>
  <si>
    <t xml:space="preserve">         55.32亿</t>
  </si>
  <si>
    <t>平台整理</t>
  </si>
  <si>
    <t>10.85万</t>
  </si>
  <si>
    <t xml:space="preserve">   1.45㈡</t>
  </si>
  <si>
    <t>国创高新</t>
  </si>
  <si>
    <t xml:space="preserve">         17.02亿</t>
  </si>
  <si>
    <t xml:space="preserve">         32.33亿</t>
  </si>
  <si>
    <t xml:space="preserve">         32.35亿</t>
  </si>
  <si>
    <t>8.00万</t>
  </si>
  <si>
    <t>-0.100㈡</t>
  </si>
  <si>
    <t xml:space="preserve">  -4.23㈡</t>
  </si>
  <si>
    <t>章源钨业</t>
  </si>
  <si>
    <t xml:space="preserve">         34.79亿</t>
  </si>
  <si>
    <t xml:space="preserve">         98.95亿</t>
  </si>
  <si>
    <t xml:space="preserve">         99.90亿</t>
  </si>
  <si>
    <t>5.48万</t>
  </si>
  <si>
    <t xml:space="preserve">   2.15㈡</t>
  </si>
  <si>
    <t>宏创控股</t>
  </si>
  <si>
    <t xml:space="preserve">         26.01亿</t>
  </si>
  <si>
    <t xml:space="preserve">         36.22亿</t>
  </si>
  <si>
    <t>7.24万</t>
  </si>
  <si>
    <t>-0.044㈡</t>
  </si>
  <si>
    <t xml:space="preserve">  -2.94㈡</t>
  </si>
  <si>
    <t>科远智慧</t>
  </si>
  <si>
    <t xml:space="preserve">         14.35亿</t>
  </si>
  <si>
    <t xml:space="preserve">         31.63亿</t>
  </si>
  <si>
    <t>双箭股份</t>
  </si>
  <si>
    <t xml:space="preserve">         25.05亿</t>
  </si>
  <si>
    <t xml:space="preserve">         32.02亿</t>
  </si>
  <si>
    <t xml:space="preserve">   5.02㈡</t>
  </si>
  <si>
    <t>蓝帆医疗</t>
  </si>
  <si>
    <t xml:space="preserve">        191.01亿</t>
  </si>
  <si>
    <t xml:space="preserve">        191.98亿</t>
  </si>
  <si>
    <t>11.16万</t>
  </si>
  <si>
    <t>3.380㈡</t>
  </si>
  <si>
    <t xml:space="preserve">  26.63㈡</t>
  </si>
  <si>
    <t>合众思壮</t>
  </si>
  <si>
    <t xml:space="preserve">         28.96亿</t>
  </si>
  <si>
    <t xml:space="preserve">         42.02亿</t>
  </si>
  <si>
    <t xml:space="preserve">         52.18亿</t>
  </si>
  <si>
    <t xml:space="preserve">  -7.65㈡</t>
  </si>
  <si>
    <t>东山精密</t>
  </si>
  <si>
    <t xml:space="preserve">        249.23亿</t>
  </si>
  <si>
    <t xml:space="preserve">        282.78亿</t>
  </si>
  <si>
    <t xml:space="preserve">        347.79亿</t>
  </si>
  <si>
    <t>18.88万</t>
  </si>
  <si>
    <t xml:space="preserve">   4.43㈡</t>
  </si>
  <si>
    <t>大北农</t>
  </si>
  <si>
    <t xml:space="preserve">        240.34亿</t>
  </si>
  <si>
    <t xml:space="preserve">        259.15亿</t>
  </si>
  <si>
    <t xml:space="preserve">        337.51亿</t>
  </si>
  <si>
    <t>9.61万</t>
  </si>
  <si>
    <t>天原股份</t>
  </si>
  <si>
    <t xml:space="preserve">        110.24亿</t>
  </si>
  <si>
    <t xml:space="preserve">        142.84亿</t>
  </si>
  <si>
    <t xml:space="preserve">        142.90亿</t>
  </si>
  <si>
    <t>17.50万</t>
  </si>
  <si>
    <t>0.398㈡</t>
  </si>
  <si>
    <t xml:space="preserve">   5.81㈡</t>
  </si>
  <si>
    <t>维信诺</t>
  </si>
  <si>
    <t xml:space="preserve">         74.93亿</t>
  </si>
  <si>
    <t xml:space="preserve">        124.42亿</t>
  </si>
  <si>
    <t xml:space="preserve">        124.46亿</t>
  </si>
  <si>
    <t>15.13万</t>
  </si>
  <si>
    <t>-0.544㈡</t>
  </si>
  <si>
    <t xml:space="preserve">  -5.14㈡</t>
  </si>
  <si>
    <t>新亚制程</t>
  </si>
  <si>
    <t xml:space="preserve">         14.12亿</t>
  </si>
  <si>
    <t xml:space="preserve">         28.59亿</t>
  </si>
  <si>
    <t>4.20万</t>
  </si>
  <si>
    <t>航天彩虹</t>
  </si>
  <si>
    <t xml:space="preserve">        111.40亿</t>
  </si>
  <si>
    <t xml:space="preserve">        195.12亿</t>
  </si>
  <si>
    <t xml:space="preserve">        208.70亿</t>
  </si>
  <si>
    <t>11.29万</t>
  </si>
  <si>
    <t xml:space="preserve">   0.94㈡</t>
  </si>
  <si>
    <t>信邦制药</t>
  </si>
  <si>
    <t xml:space="preserve">         93.29亿</t>
  </si>
  <si>
    <t xml:space="preserve">        124.33亿</t>
  </si>
  <si>
    <t xml:space="preserve">        160.76亿</t>
  </si>
  <si>
    <t>22.22万</t>
  </si>
  <si>
    <t>长青股份</t>
  </si>
  <si>
    <t xml:space="preserve">         30.27亿</t>
  </si>
  <si>
    <t xml:space="preserve">         33.98亿</t>
  </si>
  <si>
    <t xml:space="preserve">         48.06亿</t>
  </si>
  <si>
    <t>8.50万</t>
  </si>
  <si>
    <t>北京利尔</t>
  </si>
  <si>
    <t xml:space="preserve">         43.79亿</t>
  </si>
  <si>
    <t>0.202㈡</t>
  </si>
  <si>
    <t>力生制药</t>
  </si>
  <si>
    <t xml:space="preserve">         17.76亿</t>
  </si>
  <si>
    <t xml:space="preserve">         36.51亿</t>
  </si>
  <si>
    <t>9.51万</t>
  </si>
  <si>
    <t>联发股份</t>
  </si>
  <si>
    <t xml:space="preserve">         13.72亿</t>
  </si>
  <si>
    <t xml:space="preserve">         25.98亿</t>
  </si>
  <si>
    <t>6.27万</t>
  </si>
  <si>
    <t>双象股份</t>
  </si>
  <si>
    <t xml:space="preserve">         10.42亿</t>
  </si>
  <si>
    <t xml:space="preserve">         29.37亿</t>
  </si>
  <si>
    <t>12.02万</t>
  </si>
  <si>
    <t xml:space="preserve">   4.59㈡</t>
  </si>
  <si>
    <t>星网锐捷</t>
  </si>
  <si>
    <t xml:space="preserve">        103.75亿</t>
  </si>
  <si>
    <t xml:space="preserve">        141.15亿</t>
  </si>
  <si>
    <t>0.434㈡</t>
  </si>
  <si>
    <t xml:space="preserve">   5.76㈡</t>
  </si>
  <si>
    <t>梦洁股份</t>
  </si>
  <si>
    <t xml:space="preserve">         13.23亿</t>
  </si>
  <si>
    <t xml:space="preserve">         31.61亿</t>
  </si>
  <si>
    <t>垒知集团</t>
  </si>
  <si>
    <t xml:space="preserve">         33.83亿</t>
  </si>
  <si>
    <t xml:space="preserve">         37.53亿</t>
  </si>
  <si>
    <t xml:space="preserve">         48.20亿</t>
  </si>
  <si>
    <t>14.42万</t>
  </si>
  <si>
    <t>海普瑞</t>
  </si>
  <si>
    <t xml:space="preserve">         44.49亿</t>
  </si>
  <si>
    <t xml:space="preserve">        199.30亿</t>
  </si>
  <si>
    <t>省广集团</t>
  </si>
  <si>
    <t xml:space="preserve">         62.28亿</t>
  </si>
  <si>
    <t xml:space="preserve">         77.27亿</t>
  </si>
  <si>
    <t xml:space="preserve">         79.84亿</t>
  </si>
  <si>
    <t>2.98万</t>
  </si>
  <si>
    <t>中远海科</t>
  </si>
  <si>
    <t xml:space="preserve">         17.42亿</t>
  </si>
  <si>
    <t xml:space="preserve">         34.94亿</t>
  </si>
  <si>
    <t xml:space="preserve">         35.83亿</t>
  </si>
  <si>
    <t>6.69万</t>
  </si>
  <si>
    <t xml:space="preserve">   7.44㈡</t>
  </si>
  <si>
    <t>和而泰</t>
  </si>
  <si>
    <t xml:space="preserve">        158.51亿</t>
  </si>
  <si>
    <t xml:space="preserve">        166.20亿</t>
  </si>
  <si>
    <t xml:space="preserve">        189.48亿</t>
  </si>
  <si>
    <t xml:space="preserve">   8.60㈡</t>
  </si>
  <si>
    <t>爱仕达</t>
  </si>
  <si>
    <t xml:space="preserve">         10.46亿</t>
  </si>
  <si>
    <t xml:space="preserve">         22.63亿</t>
  </si>
  <si>
    <t xml:space="preserve">         25.12亿</t>
  </si>
  <si>
    <t>嘉欣丝绸</t>
  </si>
  <si>
    <t xml:space="preserve">         36.10亿</t>
  </si>
  <si>
    <t>四维图新</t>
  </si>
  <si>
    <t xml:space="preserve">        237.15亿</t>
  </si>
  <si>
    <t xml:space="preserve">        259.61亿</t>
  </si>
  <si>
    <t xml:space="preserve">        260.91亿</t>
  </si>
  <si>
    <t>10.92万</t>
  </si>
  <si>
    <t xml:space="preserve">  -0.48㈡</t>
  </si>
  <si>
    <t>远东传动</t>
  </si>
  <si>
    <t xml:space="preserve">         32.25亿</t>
  </si>
  <si>
    <t xml:space="preserve">         40.57亿</t>
  </si>
  <si>
    <t>6.67万</t>
  </si>
  <si>
    <t xml:space="preserve">   4.52㈡</t>
  </si>
  <si>
    <t>多氟多</t>
  </si>
  <si>
    <t xml:space="preserve">        318.32亿</t>
  </si>
  <si>
    <t xml:space="preserve">        347.19亿</t>
  </si>
  <si>
    <t xml:space="preserve">        434.30亿</t>
  </si>
  <si>
    <t>18.78万</t>
  </si>
  <si>
    <t xml:space="preserve">   7.02㈡</t>
  </si>
  <si>
    <t>齐翔腾达</t>
  </si>
  <si>
    <t xml:space="preserve">        173.72亿</t>
  </si>
  <si>
    <t xml:space="preserve">        342.13亿</t>
  </si>
  <si>
    <t xml:space="preserve">        350.90亿</t>
  </si>
  <si>
    <t>35.24万</t>
  </si>
  <si>
    <t xml:space="preserve">  12.57㈡</t>
  </si>
  <si>
    <t>雅克科技</t>
  </si>
  <si>
    <t xml:space="preserve">        181.77亿</t>
  </si>
  <si>
    <t xml:space="preserve">        241.28亿</t>
  </si>
  <si>
    <t xml:space="preserve">        388.79亿</t>
  </si>
  <si>
    <t>74.63万</t>
  </si>
  <si>
    <t>广联达</t>
  </si>
  <si>
    <t xml:space="preserve">        574.05亿</t>
  </si>
  <si>
    <t xml:space="preserve">        602.95亿</t>
  </si>
  <si>
    <t xml:space="preserve">        722.07亿</t>
  </si>
  <si>
    <t>129.40万</t>
  </si>
  <si>
    <t xml:space="preserve">   4.57㈡</t>
  </si>
  <si>
    <t>延安必康</t>
  </si>
  <si>
    <t xml:space="preserve">         92.60亿</t>
  </si>
  <si>
    <t xml:space="preserve">        233.52亿</t>
  </si>
  <si>
    <t>12.44万</t>
  </si>
  <si>
    <t>0.198㈡</t>
  </si>
  <si>
    <t xml:space="preserve">   3.43㈡</t>
  </si>
  <si>
    <t>汉森制药</t>
  </si>
  <si>
    <t xml:space="preserve">         29.72亿</t>
  </si>
  <si>
    <t xml:space="preserve">         30.29亿</t>
  </si>
  <si>
    <t>雷科防务</t>
  </si>
  <si>
    <t xml:space="preserve">         80.99亿</t>
  </si>
  <si>
    <t xml:space="preserve">         89.95亿</t>
  </si>
  <si>
    <t>7.19万</t>
  </si>
  <si>
    <t>高德红外</t>
  </si>
  <si>
    <t xml:space="preserve">        184.04亿</t>
  </si>
  <si>
    <t xml:space="preserve">        437.27亿</t>
  </si>
  <si>
    <t xml:space="preserve">        586.64亿</t>
  </si>
  <si>
    <t>26.58万</t>
  </si>
  <si>
    <t xml:space="preserve">   9.77㈡</t>
  </si>
  <si>
    <t>海康威视</t>
  </si>
  <si>
    <t xml:space="preserve">       2003.94亿</t>
  </si>
  <si>
    <t xml:space="preserve">       4415.09亿</t>
  </si>
  <si>
    <t xml:space="preserve">       5061.87亿</t>
  </si>
  <si>
    <t>91.12万</t>
  </si>
  <si>
    <t xml:space="preserve">  12.25㈡</t>
  </si>
  <si>
    <t>爱施德</t>
  </si>
  <si>
    <t xml:space="preserve">         56.76亿</t>
  </si>
  <si>
    <t xml:space="preserve">        123.13亿</t>
  </si>
  <si>
    <t xml:space="preserve">        124.80亿</t>
  </si>
  <si>
    <t>11.33万</t>
  </si>
  <si>
    <t>0.246㈡</t>
  </si>
  <si>
    <t xml:space="preserve">   5.82㈡</t>
  </si>
  <si>
    <t>深南股份</t>
  </si>
  <si>
    <t xml:space="preserve">         10.33亿</t>
  </si>
  <si>
    <t xml:space="preserve">         13.50亿</t>
  </si>
  <si>
    <t>2.79万</t>
  </si>
  <si>
    <t xml:space="preserve">  -1.44㈡</t>
  </si>
  <si>
    <t>康盛股份</t>
  </si>
  <si>
    <t xml:space="preserve">         44.07亿</t>
  </si>
  <si>
    <t xml:space="preserve">         44.09亿</t>
  </si>
  <si>
    <t xml:space="preserve">   0.92㈡</t>
  </si>
  <si>
    <t>天虹股份</t>
  </si>
  <si>
    <t xml:space="preserve">         24.31亿</t>
  </si>
  <si>
    <t xml:space="preserve">         72.72亿</t>
  </si>
  <si>
    <t xml:space="preserve">         72.74亿</t>
  </si>
  <si>
    <t>毅昌股份</t>
  </si>
  <si>
    <t xml:space="preserve">         17.70亿</t>
  </si>
  <si>
    <t xml:space="preserve">         24.15亿</t>
  </si>
  <si>
    <t>0.117㈡</t>
  </si>
  <si>
    <t xml:space="preserve">   7.63㈡</t>
  </si>
  <si>
    <t>达实智能</t>
  </si>
  <si>
    <t xml:space="preserve">         53.96亿</t>
  </si>
  <si>
    <t xml:space="preserve">         66.90亿</t>
  </si>
  <si>
    <t xml:space="preserve">         72.52亿</t>
  </si>
  <si>
    <t>6.36万</t>
  </si>
  <si>
    <t xml:space="preserve">   5.11㈡</t>
  </si>
  <si>
    <t>科伦药业</t>
  </si>
  <si>
    <t xml:space="preserve">        162.19亿</t>
  </si>
  <si>
    <t xml:space="preserve">        196.33亿</t>
  </si>
  <si>
    <t xml:space="preserve">        258.86亿</t>
  </si>
  <si>
    <t>29.00万</t>
  </si>
  <si>
    <t xml:space="preserve">   3.67㈡</t>
  </si>
  <si>
    <t>中粮资本</t>
  </si>
  <si>
    <t xml:space="preserve">         62.04亿</t>
  </si>
  <si>
    <t xml:space="preserve">        109.74亿</t>
  </si>
  <si>
    <t xml:space="preserve">        211.29亿</t>
  </si>
  <si>
    <t>31.28万</t>
  </si>
  <si>
    <t xml:space="preserve">   3.94㈡</t>
  </si>
  <si>
    <t>贵州百灵</t>
  </si>
  <si>
    <t xml:space="preserve">         46.82亿</t>
  </si>
  <si>
    <t xml:space="preserve">         62.43亿</t>
  </si>
  <si>
    <t xml:space="preserve">         94.13亿</t>
  </si>
  <si>
    <t>6.30万</t>
  </si>
  <si>
    <t>凯撒文化</t>
  </si>
  <si>
    <t xml:space="preserve">         53.91亿</t>
  </si>
  <si>
    <t xml:space="preserve">         72.37亿</t>
  </si>
  <si>
    <t xml:space="preserve">         72.42亿</t>
  </si>
  <si>
    <t>6.97万</t>
  </si>
  <si>
    <t>胜利精密</t>
  </si>
  <si>
    <t xml:space="preserve">         84.09亿</t>
  </si>
  <si>
    <t xml:space="preserve">         93.50亿</t>
  </si>
  <si>
    <t xml:space="preserve">        106.34亿</t>
  </si>
  <si>
    <t>7.82万</t>
  </si>
  <si>
    <t>云南锗业</t>
  </si>
  <si>
    <t xml:space="preserve">         73.92亿</t>
  </si>
  <si>
    <t xml:space="preserve">         92.72亿</t>
  </si>
  <si>
    <t xml:space="preserve">         93.98亿</t>
  </si>
  <si>
    <t>10.13万</t>
  </si>
  <si>
    <t xml:space="preserve">   1.29㈡</t>
  </si>
  <si>
    <t>兆驰股份</t>
  </si>
  <si>
    <t xml:space="preserve">         92.89亿</t>
  </si>
  <si>
    <t xml:space="preserve">        239.65亿</t>
  </si>
  <si>
    <t xml:space="preserve">        241.29亿</t>
  </si>
  <si>
    <t xml:space="preserve">   8.39㈡</t>
  </si>
  <si>
    <t>杭氧股份</t>
  </si>
  <si>
    <t xml:space="preserve">        119.57亿</t>
  </si>
  <si>
    <t xml:space="preserve">        306.89亿</t>
  </si>
  <si>
    <t xml:space="preserve">        307.13亿</t>
  </si>
  <si>
    <t>49.24万</t>
  </si>
  <si>
    <t>0.710㈡</t>
  </si>
  <si>
    <t xml:space="preserve">  10.04㈡</t>
  </si>
  <si>
    <t>棕榈股份</t>
  </si>
  <si>
    <t xml:space="preserve">         29.11亿</t>
  </si>
  <si>
    <t>4.77万</t>
  </si>
  <si>
    <t xml:space="preserve">   0.34㈡</t>
  </si>
  <si>
    <t>九安医疗</t>
  </si>
  <si>
    <t xml:space="preserve">         21.53亿</t>
  </si>
  <si>
    <t xml:space="preserve">         29.93亿</t>
  </si>
  <si>
    <t xml:space="preserve">         34.03亿</t>
  </si>
  <si>
    <t>太安堂</t>
  </si>
  <si>
    <t xml:space="preserve">         55.53亿</t>
  </si>
  <si>
    <t xml:space="preserve">         57.20亿</t>
  </si>
  <si>
    <t xml:space="preserve">   9.05㈡</t>
  </si>
  <si>
    <t>万里扬</t>
  </si>
  <si>
    <t xml:space="preserve">         51.70亿</t>
  </si>
  <si>
    <t xml:space="preserve">        128.01亿</t>
  </si>
  <si>
    <t xml:space="preserve">        128.10亿</t>
  </si>
  <si>
    <t>20.52万</t>
  </si>
  <si>
    <t>长江健康</t>
  </si>
  <si>
    <t xml:space="preserve">         21.63亿</t>
  </si>
  <si>
    <t xml:space="preserve">         59.74亿</t>
  </si>
  <si>
    <t xml:space="preserve">         61.55亿</t>
  </si>
  <si>
    <t>3.93万</t>
  </si>
  <si>
    <t>0.123㈡</t>
  </si>
  <si>
    <t>兴森科技</t>
  </si>
  <si>
    <t xml:space="preserve">        145.32亿</t>
  </si>
  <si>
    <t xml:space="preserve">        150.26亿</t>
  </si>
  <si>
    <t xml:space="preserve">        175.72亿</t>
  </si>
  <si>
    <t>18.17万</t>
  </si>
  <si>
    <t>誉衡药业</t>
  </si>
  <si>
    <t xml:space="preserve">         36.38亿</t>
  </si>
  <si>
    <t xml:space="preserve">         59.39亿</t>
  </si>
  <si>
    <t xml:space="preserve">         59.79亿</t>
  </si>
  <si>
    <t>江苏神通</t>
  </si>
  <si>
    <t xml:space="preserve">         46.40亿</t>
  </si>
  <si>
    <t xml:space="preserve">         70.69亿</t>
  </si>
  <si>
    <t xml:space="preserve">         76.80亿</t>
  </si>
  <si>
    <t>26.76万</t>
  </si>
  <si>
    <t>0.256㈡</t>
  </si>
  <si>
    <t xml:space="preserve">   5.49㈡</t>
  </si>
  <si>
    <t>启明星辰</t>
  </si>
  <si>
    <t xml:space="preserve">        187.03亿</t>
  </si>
  <si>
    <t xml:space="preserve">        206.14亿</t>
  </si>
  <si>
    <t xml:space="preserve">        265.98亿</t>
  </si>
  <si>
    <t>28.16万</t>
  </si>
  <si>
    <t>-0.115㈡</t>
  </si>
  <si>
    <t xml:space="preserve">  -1.83㈡</t>
  </si>
  <si>
    <t>闰土股份</t>
  </si>
  <si>
    <t xml:space="preserve">         68.24亿</t>
  </si>
  <si>
    <t xml:space="preserve">         99.61亿</t>
  </si>
  <si>
    <t xml:space="preserve">        119.54亿</t>
  </si>
  <si>
    <t>17.03万</t>
  </si>
  <si>
    <t>众业达</t>
  </si>
  <si>
    <t xml:space="preserve">         22.96亿</t>
  </si>
  <si>
    <t xml:space="preserve">         37.61亿</t>
  </si>
  <si>
    <t xml:space="preserve">         51.35亿</t>
  </si>
  <si>
    <t xml:space="preserve">   4.97㈡</t>
  </si>
  <si>
    <t>龙星化工</t>
  </si>
  <si>
    <t xml:space="preserve">         25.88亿</t>
  </si>
  <si>
    <t xml:space="preserve">         46.54亿</t>
  </si>
  <si>
    <t xml:space="preserve">         47.60亿</t>
  </si>
  <si>
    <t>8.12万</t>
  </si>
  <si>
    <t xml:space="preserve">   8.53㈡</t>
  </si>
  <si>
    <t>金洲管道</t>
  </si>
  <si>
    <t xml:space="preserve">         32.65亿</t>
  </si>
  <si>
    <t xml:space="preserve">         32.74亿</t>
  </si>
  <si>
    <t xml:space="preserve">   6.77㈡</t>
  </si>
  <si>
    <t>巨星科技</t>
  </si>
  <si>
    <t xml:space="preserve">        173.76亿</t>
  </si>
  <si>
    <t xml:space="preserve">        311.75亿</t>
  </si>
  <si>
    <t xml:space="preserve">        329.42亿</t>
  </si>
  <si>
    <t>53.43万</t>
  </si>
  <si>
    <t xml:space="preserve">   7.08㈡</t>
  </si>
  <si>
    <t>中南文化</t>
  </si>
  <si>
    <t xml:space="preserve">         28.13亿</t>
  </si>
  <si>
    <t xml:space="preserve">         61.60亿</t>
  </si>
  <si>
    <t xml:space="preserve">         63.62亿</t>
  </si>
  <si>
    <t>10.26万</t>
  </si>
  <si>
    <t xml:space="preserve">  19.83㈡</t>
  </si>
  <si>
    <t>盛路通信</t>
  </si>
  <si>
    <t xml:space="preserve">         47.08亿</t>
  </si>
  <si>
    <t xml:space="preserve">         48.38亿</t>
  </si>
  <si>
    <t xml:space="preserve">         52.80亿</t>
  </si>
  <si>
    <t>5.76万</t>
  </si>
  <si>
    <t>中原内配</t>
  </si>
  <si>
    <t xml:space="preserve">         30.62亿</t>
  </si>
  <si>
    <t xml:space="preserve">         32.66亿</t>
  </si>
  <si>
    <t xml:space="preserve">         41.32亿</t>
  </si>
  <si>
    <t>5.33万</t>
  </si>
  <si>
    <t>国星光电</t>
  </si>
  <si>
    <t xml:space="preserve">         46.47亿</t>
  </si>
  <si>
    <t xml:space="preserve">         59.26亿</t>
  </si>
  <si>
    <t xml:space="preserve">         59.99亿</t>
  </si>
  <si>
    <t>8.45万</t>
  </si>
  <si>
    <t>0.148㈡</t>
  </si>
  <si>
    <t>摩恩电气</t>
  </si>
  <si>
    <t xml:space="preserve">         14.91亿</t>
  </si>
  <si>
    <t xml:space="preserve">   0.58㈡</t>
  </si>
  <si>
    <t>长高集团</t>
  </si>
  <si>
    <t xml:space="preserve">         41.95亿</t>
  </si>
  <si>
    <t xml:space="preserve">   7.78㈡</t>
  </si>
  <si>
    <t>华软科技</t>
  </si>
  <si>
    <t xml:space="preserve">         84.78亿</t>
  </si>
  <si>
    <t xml:space="preserve">        140.12亿</t>
  </si>
  <si>
    <t>18.72万</t>
  </si>
  <si>
    <t>松芝股份</t>
  </si>
  <si>
    <t xml:space="preserve">         35.35亿</t>
  </si>
  <si>
    <t xml:space="preserve">         63.17亿</t>
  </si>
  <si>
    <t>15.75万</t>
  </si>
  <si>
    <t>百川股份</t>
  </si>
  <si>
    <t xml:space="preserve">         76.11亿</t>
  </si>
  <si>
    <t xml:space="preserve">         88.54亿</t>
  </si>
  <si>
    <t xml:space="preserve">        111.22亿</t>
  </si>
  <si>
    <t>放量上攻</t>
  </si>
  <si>
    <t>20.83万</t>
  </si>
  <si>
    <t>欧菲光</t>
  </si>
  <si>
    <t xml:space="preserve">        151.66亿</t>
  </si>
  <si>
    <t xml:space="preserve">        216.08亿</t>
  </si>
  <si>
    <t xml:space="preserve">        216.39亿</t>
  </si>
  <si>
    <t xml:space="preserve">   0.44㈡</t>
  </si>
  <si>
    <t>青龙管业</t>
  </si>
  <si>
    <t xml:space="preserve">         18.49亿</t>
  </si>
  <si>
    <t xml:space="preserve">         27.49亿</t>
  </si>
  <si>
    <t xml:space="preserve">         27.50亿</t>
  </si>
  <si>
    <t xml:space="preserve">   2.08㈡</t>
  </si>
  <si>
    <t>益生股份</t>
  </si>
  <si>
    <t xml:space="preserve">         64.15亿</t>
  </si>
  <si>
    <t xml:space="preserve">         75.56亿</t>
  </si>
  <si>
    <t xml:space="preserve">        110.91亿</t>
  </si>
  <si>
    <t xml:space="preserve">   8.07㈡</t>
  </si>
  <si>
    <t>晶澳科技</t>
  </si>
  <si>
    <t xml:space="preserve">        302.87亿</t>
  </si>
  <si>
    <t xml:space="preserve">        389.10亿</t>
  </si>
  <si>
    <t xml:space="preserve">        974.53亿</t>
  </si>
  <si>
    <t>89.44万</t>
  </si>
  <si>
    <t>赣锋锂业</t>
  </si>
  <si>
    <t xml:space="preserve">       1353.62亿</t>
  </si>
  <si>
    <t xml:space="preserve">       1517.45亿</t>
  </si>
  <si>
    <t xml:space="preserve">       2029.05亿</t>
  </si>
  <si>
    <t>94.78万</t>
  </si>
  <si>
    <t xml:space="preserve">   7.79㈡</t>
  </si>
  <si>
    <t>珠江啤酒</t>
  </si>
  <si>
    <t xml:space="preserve">        203.63亿</t>
  </si>
  <si>
    <t>6.19万</t>
  </si>
  <si>
    <t xml:space="preserve">   3.46㈡</t>
  </si>
  <si>
    <t>嘉事堂</t>
  </si>
  <si>
    <t xml:space="preserve">         38.01亿</t>
  </si>
  <si>
    <t>沪电股份</t>
  </si>
  <si>
    <t xml:space="preserve">        151.24亿</t>
  </si>
  <si>
    <t xml:space="preserve">        227.48亿</t>
  </si>
  <si>
    <t xml:space="preserve">        227.60亿</t>
  </si>
  <si>
    <t>7.60万</t>
  </si>
  <si>
    <t>0.253㈡</t>
  </si>
  <si>
    <t>海格通信</t>
  </si>
  <si>
    <t xml:space="preserve">        184.35亿</t>
  </si>
  <si>
    <t xml:space="preserve">        250.74亿</t>
  </si>
  <si>
    <t xml:space="preserve">        255.10亿</t>
  </si>
  <si>
    <t>12.53万</t>
  </si>
  <si>
    <t>天齐锂业</t>
  </si>
  <si>
    <t xml:space="preserve">       1129.00亿</t>
  </si>
  <si>
    <t xml:space="preserve">       1685.25亿</t>
  </si>
  <si>
    <t xml:space="preserve">       1689.06亿</t>
  </si>
  <si>
    <t>49.96万</t>
  </si>
  <si>
    <t>二六三</t>
  </si>
  <si>
    <t xml:space="preserve">         46.17亿</t>
  </si>
  <si>
    <t xml:space="preserve">         56.48亿</t>
  </si>
  <si>
    <t>4.28万</t>
  </si>
  <si>
    <t xml:space="preserve">   2.27㈡</t>
  </si>
  <si>
    <t>申通快递</t>
  </si>
  <si>
    <t xml:space="preserve">        113.40亿</t>
  </si>
  <si>
    <t xml:space="preserve">        116.34亿</t>
  </si>
  <si>
    <t xml:space="preserve">  -1.70㈡</t>
  </si>
  <si>
    <t>三维化学</t>
  </si>
  <si>
    <t xml:space="preserve">         25.86亿</t>
  </si>
  <si>
    <t xml:space="preserve">         35.09亿</t>
  </si>
  <si>
    <t xml:space="preserve">         43.93亿</t>
  </si>
  <si>
    <t>0.192㈡</t>
  </si>
  <si>
    <t xml:space="preserve">   5.57㈡</t>
  </si>
  <si>
    <t>中超控股</t>
  </si>
  <si>
    <t xml:space="preserve">         35.73亿</t>
  </si>
  <si>
    <t xml:space="preserve">         43.27亿</t>
  </si>
  <si>
    <t xml:space="preserve">         43.37亿</t>
  </si>
  <si>
    <t>5.09万</t>
  </si>
  <si>
    <t xml:space="preserve">  -2.42㈡</t>
  </si>
  <si>
    <t>双环传动</t>
  </si>
  <si>
    <t xml:space="preserve">        116.02亿</t>
  </si>
  <si>
    <t xml:space="preserve">        157.28亿</t>
  </si>
  <si>
    <t>29.53万</t>
  </si>
  <si>
    <t>榕基软件</t>
  </si>
  <si>
    <t xml:space="preserve">         29.44亿</t>
  </si>
  <si>
    <t xml:space="preserve">         31.03亿</t>
  </si>
  <si>
    <t xml:space="preserve">         39.26亿</t>
  </si>
  <si>
    <t xml:space="preserve">   1.16㈡</t>
  </si>
  <si>
    <t>立讯精密</t>
  </si>
  <si>
    <t xml:space="preserve">       1463.27亿</t>
  </si>
  <si>
    <t xml:space="preserve">       2394.17亿</t>
  </si>
  <si>
    <t xml:space="preserve">       2397.67亿</t>
  </si>
  <si>
    <t>28.15万</t>
  </si>
  <si>
    <t xml:space="preserve">  10.01㈡</t>
  </si>
  <si>
    <t>宝莫股份</t>
  </si>
  <si>
    <t xml:space="preserve">         23.33亿</t>
  </si>
  <si>
    <t xml:space="preserve">         29.68亿</t>
  </si>
  <si>
    <t>常宝股份</t>
  </si>
  <si>
    <t xml:space="preserve">         21.76亿</t>
  </si>
  <si>
    <t xml:space="preserve">         28.36亿</t>
  </si>
  <si>
    <t xml:space="preserve">         43.60亿</t>
  </si>
  <si>
    <t>富春环保</t>
  </si>
  <si>
    <t xml:space="preserve">         35.59亿</t>
  </si>
  <si>
    <t xml:space="preserve">         54.87亿</t>
  </si>
  <si>
    <t xml:space="preserve">         55.10亿</t>
  </si>
  <si>
    <t>新筑股份</t>
  </si>
  <si>
    <t xml:space="preserve">         23.48亿</t>
  </si>
  <si>
    <t xml:space="preserve">         31.58亿</t>
  </si>
  <si>
    <t xml:space="preserve">         37.69亿</t>
  </si>
  <si>
    <t>5.97万</t>
  </si>
  <si>
    <t>-0.143㈡</t>
  </si>
  <si>
    <t xml:space="preserve">  -4.21㈡</t>
  </si>
  <si>
    <t>双塔食品</t>
  </si>
  <si>
    <t xml:space="preserve">         65.34亿</t>
  </si>
  <si>
    <t xml:space="preserve">        115.78亿</t>
  </si>
  <si>
    <t xml:space="preserve">        130.93亿</t>
  </si>
  <si>
    <t>13.59万</t>
  </si>
  <si>
    <t xml:space="preserve">   7.81㈡</t>
  </si>
  <si>
    <t>广田集团</t>
  </si>
  <si>
    <t xml:space="preserve">         42.06亿</t>
  </si>
  <si>
    <t xml:space="preserve">         42.28亿</t>
  </si>
  <si>
    <t>润邦股份</t>
  </si>
  <si>
    <t xml:space="preserve">         28.00亿</t>
  </si>
  <si>
    <t xml:space="preserve">         54.56亿</t>
  </si>
  <si>
    <t xml:space="preserve">         59.55亿</t>
  </si>
  <si>
    <t>0.217㈡</t>
  </si>
  <si>
    <t>江海股份</t>
  </si>
  <si>
    <t xml:space="preserve">         82.02亿</t>
  </si>
  <si>
    <t xml:space="preserve">        142.37亿</t>
  </si>
  <si>
    <t xml:space="preserve">        151.64亿</t>
  </si>
  <si>
    <t>38.57万</t>
  </si>
  <si>
    <t>雪松发展</t>
  </si>
  <si>
    <t xml:space="preserve">          8.64亿</t>
  </si>
  <si>
    <t xml:space="preserve">         29.10亿</t>
  </si>
  <si>
    <t>7.59万</t>
  </si>
  <si>
    <t>-0.006㈡</t>
  </si>
  <si>
    <t xml:space="preserve">  -0.16㈡</t>
  </si>
  <si>
    <t>嘉麟杰</t>
  </si>
  <si>
    <t xml:space="preserve">         17.85亿</t>
  </si>
  <si>
    <t>2.57万</t>
  </si>
  <si>
    <t>大金重工</t>
  </si>
  <si>
    <t xml:space="preserve">         56.54亿</t>
  </si>
  <si>
    <t xml:space="preserve">        104.36亿</t>
  </si>
  <si>
    <t xml:space="preserve">        106.19亿</t>
  </si>
  <si>
    <t>15.37万</t>
  </si>
  <si>
    <t>金固股份</t>
  </si>
  <si>
    <t xml:space="preserve">         54.31亿</t>
  </si>
  <si>
    <t xml:space="preserve">         59.71亿</t>
  </si>
  <si>
    <t>8.14万</t>
  </si>
  <si>
    <t>浙江永强</t>
  </si>
  <si>
    <t xml:space="preserve">         34.10亿</t>
  </si>
  <si>
    <t xml:space="preserve">         66.98亿</t>
  </si>
  <si>
    <t xml:space="preserve">         77.46亿</t>
  </si>
  <si>
    <t>3.59万</t>
  </si>
  <si>
    <t xml:space="preserve">  12.04㈡</t>
  </si>
  <si>
    <t>山东墨龙</t>
  </si>
  <si>
    <t xml:space="preserve">         16.58亿</t>
  </si>
  <si>
    <t xml:space="preserve">         30.22亿</t>
  </si>
  <si>
    <t xml:space="preserve">         30.23亿</t>
  </si>
  <si>
    <t>3.98万</t>
  </si>
  <si>
    <t>-0.086㈡</t>
  </si>
  <si>
    <t xml:space="preserve">  -3.99㈡</t>
  </si>
  <si>
    <t>通鼎互联</t>
  </si>
  <si>
    <t xml:space="preserve">         30.39亿</t>
  </si>
  <si>
    <t xml:space="preserve">         51.64亿</t>
  </si>
  <si>
    <t xml:space="preserve">         54.40亿</t>
  </si>
  <si>
    <t>0.048㈡</t>
  </si>
  <si>
    <t>恒基达鑫</t>
  </si>
  <si>
    <t xml:space="preserve">         13.15亿</t>
  </si>
  <si>
    <t xml:space="preserve">         23.73亿</t>
  </si>
  <si>
    <t>5.70万</t>
  </si>
  <si>
    <t>0.183㈡</t>
  </si>
  <si>
    <t xml:space="preserve">   5.20㈡</t>
  </si>
  <si>
    <t>荣盛石化</t>
  </si>
  <si>
    <t xml:space="preserve">        657.21亿</t>
  </si>
  <si>
    <t xml:space="preserve">       2055.43亿</t>
  </si>
  <si>
    <t xml:space="preserve">       2191.16亿</t>
  </si>
  <si>
    <t>84.27万</t>
  </si>
  <si>
    <t xml:space="preserve">  15.45㈡</t>
  </si>
  <si>
    <t>华斯股份</t>
  </si>
  <si>
    <t xml:space="preserve">         10.79亿</t>
  </si>
  <si>
    <t xml:space="preserve">         12.24亿</t>
  </si>
  <si>
    <t xml:space="preserve">         16.00亿</t>
  </si>
  <si>
    <t>3.12万</t>
  </si>
  <si>
    <t>佳隆股份</t>
  </si>
  <si>
    <t xml:space="preserve">         14.90亿</t>
  </si>
  <si>
    <t xml:space="preserve">         18.42亿</t>
  </si>
  <si>
    <t xml:space="preserve">         24.14亿</t>
  </si>
  <si>
    <t>3.09万</t>
  </si>
  <si>
    <t xml:space="preserve">   1.51㈡</t>
  </si>
  <si>
    <t>雅化集团</t>
  </si>
  <si>
    <t xml:space="preserve">        371.65亿</t>
  </si>
  <si>
    <t xml:space="preserve">        396.89亿</t>
  </si>
  <si>
    <t xml:space="preserve">        438.90亿</t>
  </si>
  <si>
    <t>29.97万</t>
  </si>
  <si>
    <t>汉缆股份</t>
  </si>
  <si>
    <t xml:space="preserve">         52.17亿</t>
  </si>
  <si>
    <t xml:space="preserve">        156.03亿</t>
  </si>
  <si>
    <t>3.95万</t>
  </si>
  <si>
    <t xml:space="preserve">   8.05㈡</t>
  </si>
  <si>
    <t>山西证券</t>
  </si>
  <si>
    <t xml:space="preserve">        126.86亿</t>
  </si>
  <si>
    <t xml:space="preserve">        241.23亿</t>
  </si>
  <si>
    <t>8.94万</t>
  </si>
  <si>
    <t xml:space="preserve">   2.51㈡</t>
  </si>
  <si>
    <t>鼎龙文化</t>
  </si>
  <si>
    <t xml:space="preserve">         54.47亿</t>
  </si>
  <si>
    <t xml:space="preserve">         60.17亿</t>
  </si>
  <si>
    <t>搜于特</t>
  </si>
  <si>
    <t xml:space="preserve">         36.18亿</t>
  </si>
  <si>
    <t xml:space="preserve">         42.21亿</t>
  </si>
  <si>
    <t xml:space="preserve">         51.34亿</t>
  </si>
  <si>
    <t>-0.440㈡</t>
  </si>
  <si>
    <t xml:space="preserve"> -54.77㈡</t>
  </si>
  <si>
    <t>鹏都农牧</t>
  </si>
  <si>
    <t xml:space="preserve">         58.60亿</t>
  </si>
  <si>
    <t xml:space="preserve">        135.49亿</t>
  </si>
  <si>
    <t xml:space="preserve">        157.44亿</t>
  </si>
  <si>
    <t xml:space="preserve">   1.31㈡</t>
  </si>
  <si>
    <t>协鑫集成</t>
  </si>
  <si>
    <t xml:space="preserve">        161.20亿</t>
  </si>
  <si>
    <t xml:space="preserve">        258.47亿</t>
  </si>
  <si>
    <t xml:space="preserve">        258.81亿</t>
  </si>
  <si>
    <t xml:space="preserve">  -6.18㈡</t>
  </si>
  <si>
    <t>涪陵榨菜</t>
  </si>
  <si>
    <t xml:space="preserve">        123.87亿</t>
  </si>
  <si>
    <t xml:space="preserve">        207.00亿</t>
  </si>
  <si>
    <t xml:space="preserve">        235.75亿</t>
  </si>
  <si>
    <t>17.33万</t>
  </si>
  <si>
    <t xml:space="preserve">   5.32㈡</t>
  </si>
  <si>
    <t>老板电器</t>
  </si>
  <si>
    <t xml:space="preserve">        151.13亿</t>
  </si>
  <si>
    <t xml:space="preserve">        317.87亿</t>
  </si>
  <si>
    <t xml:space="preserve">        322.67亿</t>
  </si>
  <si>
    <t>38.27万</t>
  </si>
  <si>
    <t xml:space="preserve">   9.70㈡</t>
  </si>
  <si>
    <t>天汽模</t>
  </si>
  <si>
    <t xml:space="preserve">         40.39亿</t>
  </si>
  <si>
    <t>中顺洁柔</t>
  </si>
  <si>
    <t xml:space="preserve">        105.60亿</t>
  </si>
  <si>
    <t xml:space="preserve">        211.56亿</t>
  </si>
  <si>
    <t xml:space="preserve">        216.47亿</t>
  </si>
  <si>
    <t>14.00万</t>
  </si>
  <si>
    <t>达华智能</t>
  </si>
  <si>
    <t xml:space="preserve">         22.84亿</t>
  </si>
  <si>
    <t xml:space="preserve">         39.46亿</t>
  </si>
  <si>
    <t xml:space="preserve"> -14.13㈡</t>
  </si>
  <si>
    <t>蓝丰生化</t>
  </si>
  <si>
    <t xml:space="preserve">          8.74亿</t>
  </si>
  <si>
    <t xml:space="preserve">  -1.18㈡</t>
  </si>
  <si>
    <t>宝馨科技</t>
  </si>
  <si>
    <t xml:space="preserve">         13.83亿</t>
  </si>
  <si>
    <t xml:space="preserve">         19.39亿</t>
  </si>
  <si>
    <t xml:space="preserve">         27.04亿</t>
  </si>
  <si>
    <t>5.04万</t>
  </si>
  <si>
    <t>金字火腿</t>
  </si>
  <si>
    <t xml:space="preserve">         33.70亿</t>
  </si>
  <si>
    <t xml:space="preserve">         47.10亿</t>
  </si>
  <si>
    <t xml:space="preserve">         51.56亿</t>
  </si>
  <si>
    <t>5.62万</t>
  </si>
  <si>
    <t xml:space="preserve">   4.75㈡</t>
  </si>
  <si>
    <t>旷达科技</t>
  </si>
  <si>
    <t xml:space="preserve">         36.58亿</t>
  </si>
  <si>
    <t xml:space="preserve">         49.84亿</t>
  </si>
  <si>
    <t xml:space="preserve">         76.92亿</t>
  </si>
  <si>
    <t>恺英网络</t>
  </si>
  <si>
    <t xml:space="preserve">         70.92亿</t>
  </si>
  <si>
    <t xml:space="preserve">         78.78亿</t>
  </si>
  <si>
    <t xml:space="preserve">        102.89亿</t>
  </si>
  <si>
    <t>14.39万</t>
  </si>
  <si>
    <t xml:space="preserve">   9.00㈡</t>
  </si>
  <si>
    <t>科士达</t>
  </si>
  <si>
    <t xml:space="preserve">         56.05亿</t>
  </si>
  <si>
    <t xml:space="preserve">        151.35亿</t>
  </si>
  <si>
    <t xml:space="preserve">        155.92亿</t>
  </si>
  <si>
    <t>7.78万</t>
  </si>
  <si>
    <t xml:space="preserve">   6.24㈡</t>
  </si>
  <si>
    <t>银河电子</t>
  </si>
  <si>
    <t xml:space="preserve">         28.93亿</t>
  </si>
  <si>
    <t xml:space="preserve">         41.20亿</t>
  </si>
  <si>
    <t xml:space="preserve">   0.85㈡</t>
  </si>
  <si>
    <t>日发精机</t>
  </si>
  <si>
    <t xml:space="preserve">         32.19亿</t>
  </si>
  <si>
    <t xml:space="preserve">         88.53亿</t>
  </si>
  <si>
    <t xml:space="preserve">   3.41㈡</t>
  </si>
  <si>
    <t>齐峰新材</t>
  </si>
  <si>
    <t xml:space="preserve">         25.60亿</t>
  </si>
  <si>
    <t xml:space="preserve">         35.17亿</t>
  </si>
  <si>
    <t>8.18万</t>
  </si>
  <si>
    <t xml:space="preserve">   4.28㈡</t>
  </si>
  <si>
    <t>浙江众成</t>
  </si>
  <si>
    <t xml:space="preserve">         70.49亿</t>
  </si>
  <si>
    <t xml:space="preserve">         74.55亿</t>
  </si>
  <si>
    <t>13.26万</t>
  </si>
  <si>
    <t>天桥起重</t>
  </si>
  <si>
    <t xml:space="preserve">         36.89亿</t>
  </si>
  <si>
    <t>8.68万</t>
  </si>
  <si>
    <t>光正眼科</t>
  </si>
  <si>
    <t xml:space="preserve">         39.11亿</t>
  </si>
  <si>
    <t xml:space="preserve">         53.03亿</t>
  </si>
  <si>
    <t xml:space="preserve">         55.61亿</t>
  </si>
  <si>
    <t>6.96万</t>
  </si>
  <si>
    <t xml:space="preserve">  16.43㈡</t>
  </si>
  <si>
    <t>山东矿机</t>
  </si>
  <si>
    <t xml:space="preserve">         33.51亿</t>
  </si>
  <si>
    <t xml:space="preserve">         42.44亿</t>
  </si>
  <si>
    <t xml:space="preserve">         42.97亿</t>
  </si>
  <si>
    <t>0.038㈡</t>
  </si>
  <si>
    <t>新时达</t>
  </si>
  <si>
    <t xml:space="preserve">         41.49亿</t>
  </si>
  <si>
    <t xml:space="preserve">         49.12亿</t>
  </si>
  <si>
    <t xml:space="preserve">         62.59亿</t>
  </si>
  <si>
    <t>英飞拓</t>
  </si>
  <si>
    <t xml:space="preserve">         14.77亿</t>
  </si>
  <si>
    <t xml:space="preserve">         36.73亿</t>
  </si>
  <si>
    <t xml:space="preserve">         42.07亿</t>
  </si>
  <si>
    <t xml:space="preserve">  -3.18㈡</t>
  </si>
  <si>
    <t>海源复材</t>
  </si>
  <si>
    <t xml:space="preserve">         37.48亿</t>
  </si>
  <si>
    <t xml:space="preserve">         52.65亿</t>
  </si>
  <si>
    <t>19.15万</t>
  </si>
  <si>
    <t xml:space="preserve">  -1.91㈡</t>
  </si>
  <si>
    <t>金财互联</t>
  </si>
  <si>
    <t xml:space="preserve">         22.73亿</t>
  </si>
  <si>
    <t xml:space="preserve">         45.79亿</t>
  </si>
  <si>
    <t xml:space="preserve">         55.01亿</t>
  </si>
  <si>
    <t>-0.134㈡</t>
  </si>
  <si>
    <t xml:space="preserve">  -5.20㈡</t>
  </si>
  <si>
    <t>天顺风能</t>
  </si>
  <si>
    <t xml:space="preserve">        142.89亿</t>
  </si>
  <si>
    <t xml:space="preserve">        299.85亿</t>
  </si>
  <si>
    <t xml:space="preserve">        305.53亿</t>
  </si>
  <si>
    <t>19.70万</t>
  </si>
  <si>
    <t xml:space="preserve">  11.04㈡</t>
  </si>
  <si>
    <t>天山铝业</t>
  </si>
  <si>
    <t xml:space="preserve">        142.10亿</t>
  </si>
  <si>
    <t xml:space="preserve">        546.60亿</t>
  </si>
  <si>
    <t>20.22万</t>
  </si>
  <si>
    <t xml:space="preserve">   9.74㈡</t>
  </si>
  <si>
    <t>金杯电工</t>
  </si>
  <si>
    <t xml:space="preserve">         30.97亿</t>
  </si>
  <si>
    <t xml:space="preserve">         48.41亿</t>
  </si>
  <si>
    <t>杭锅股份</t>
  </si>
  <si>
    <t xml:space="preserve">         37.23亿</t>
  </si>
  <si>
    <t xml:space="preserve">        157.68亿</t>
  </si>
  <si>
    <t xml:space="preserve">        160.63亿</t>
  </si>
  <si>
    <t>24.39万</t>
  </si>
  <si>
    <t xml:space="preserve">   7.59㈡</t>
  </si>
  <si>
    <t>飞龙股份</t>
  </si>
  <si>
    <t xml:space="preserve">         26.77亿</t>
  </si>
  <si>
    <t xml:space="preserve">         45.36亿</t>
  </si>
  <si>
    <t xml:space="preserve">         48.22亿</t>
  </si>
  <si>
    <t>5.98万</t>
  </si>
  <si>
    <t>海联金汇</t>
  </si>
  <si>
    <t xml:space="preserve">         66.80亿</t>
  </si>
  <si>
    <t>6.54万</t>
  </si>
  <si>
    <t>司尔特</t>
  </si>
  <si>
    <t xml:space="preserve">         74.34亿</t>
  </si>
  <si>
    <t xml:space="preserve">        113.67亿</t>
  </si>
  <si>
    <t>20.36万</t>
  </si>
  <si>
    <t>云图控股</t>
  </si>
  <si>
    <t xml:space="preserve">        120.57亿</t>
  </si>
  <si>
    <t xml:space="preserve">        140.82亿</t>
  </si>
  <si>
    <t xml:space="preserve">        216.16亿</t>
  </si>
  <si>
    <t>30.12万</t>
  </si>
  <si>
    <t xml:space="preserve">  11.03㈡</t>
  </si>
  <si>
    <t>亚太科技</t>
  </si>
  <si>
    <t xml:space="preserve">         35.92亿</t>
  </si>
  <si>
    <t xml:space="preserve">         71.66亿</t>
  </si>
  <si>
    <t>6.43万</t>
  </si>
  <si>
    <t xml:space="preserve">   4.06㈡</t>
  </si>
  <si>
    <t>鸿路钢构</t>
  </si>
  <si>
    <t xml:space="preserve">        126.07亿</t>
  </si>
  <si>
    <t xml:space="preserve">        183.92亿</t>
  </si>
  <si>
    <t xml:space="preserve">        259.14亿</t>
  </si>
  <si>
    <t>95.10万</t>
  </si>
  <si>
    <t xml:space="preserve">   7.82㈡</t>
  </si>
  <si>
    <t>中化岩土</t>
  </si>
  <si>
    <t xml:space="preserve">         27.25亿</t>
  </si>
  <si>
    <t xml:space="preserve">         45.27亿</t>
  </si>
  <si>
    <t xml:space="preserve">         56.33亿</t>
  </si>
  <si>
    <t>3.82万</t>
  </si>
  <si>
    <t>万和电气</t>
  </si>
  <si>
    <t xml:space="preserve">         15.55亿</t>
  </si>
  <si>
    <t xml:space="preserve">         53.12亿</t>
  </si>
  <si>
    <t xml:space="preserve">         62.61亿</t>
  </si>
  <si>
    <t>7.56万</t>
  </si>
  <si>
    <t xml:space="preserve">  10.52㈡</t>
  </si>
  <si>
    <t>杰赛科技</t>
  </si>
  <si>
    <t xml:space="preserve">         48.51亿</t>
  </si>
  <si>
    <t xml:space="preserve">         88.59亿</t>
  </si>
  <si>
    <t xml:space="preserve">         91.56亿</t>
  </si>
  <si>
    <t xml:space="preserve">   1.90㈡</t>
  </si>
  <si>
    <t>东方铁塔</t>
  </si>
  <si>
    <t xml:space="preserve">         32.85亿</t>
  </si>
  <si>
    <t xml:space="preserve">        107.76亿</t>
  </si>
  <si>
    <t xml:space="preserve">        124.16亿</t>
  </si>
  <si>
    <t>0.163㈡</t>
  </si>
  <si>
    <t>新联电子</t>
  </si>
  <si>
    <t xml:space="preserve">         18.67亿</t>
  </si>
  <si>
    <t xml:space="preserve">         32.81亿</t>
  </si>
  <si>
    <t xml:space="preserve">         34.70亿</t>
  </si>
  <si>
    <t xml:space="preserve">   3.08㈡</t>
  </si>
  <si>
    <t>春兴精工</t>
  </si>
  <si>
    <t xml:space="preserve">         48.28亿</t>
  </si>
  <si>
    <t>2.47万</t>
  </si>
  <si>
    <t xml:space="preserve"> -11.36㈡</t>
  </si>
  <si>
    <t>金新农</t>
  </si>
  <si>
    <t xml:space="preserve">         20.53亿</t>
  </si>
  <si>
    <t xml:space="preserve">         29.76亿</t>
  </si>
  <si>
    <t xml:space="preserve">         38.20亿</t>
  </si>
  <si>
    <t>凯美特气</t>
  </si>
  <si>
    <t xml:space="preserve">         81.36亿</t>
  </si>
  <si>
    <t xml:space="preserve">         81.70亿</t>
  </si>
  <si>
    <t>0.094㈡</t>
  </si>
  <si>
    <t>千红制药</t>
  </si>
  <si>
    <t xml:space="preserve">         36.27亿</t>
  </si>
  <si>
    <t xml:space="preserve">         41.12亿</t>
  </si>
  <si>
    <t xml:space="preserve">         56.70亿</t>
  </si>
  <si>
    <t>尚荣医疗</t>
  </si>
  <si>
    <t xml:space="preserve">         24.96亿</t>
  </si>
  <si>
    <t xml:space="preserve">         29.28亿</t>
  </si>
  <si>
    <t xml:space="preserve">         42.57亿</t>
  </si>
  <si>
    <t>3.46万</t>
  </si>
  <si>
    <t>宝鼎科技</t>
  </si>
  <si>
    <t xml:space="preserve">         12.51亿</t>
  </si>
  <si>
    <t xml:space="preserve">         32.50亿</t>
  </si>
  <si>
    <t xml:space="preserve">         43.03亿</t>
  </si>
  <si>
    <t>6.05万</t>
  </si>
  <si>
    <t>南方轴承</t>
  </si>
  <si>
    <t xml:space="preserve">         26.55亿</t>
  </si>
  <si>
    <t xml:space="preserve">         39.43亿</t>
  </si>
  <si>
    <t>惠博普</t>
  </si>
  <si>
    <t xml:space="preserve">         24.45亿</t>
  </si>
  <si>
    <t xml:space="preserve">         29.84亿</t>
  </si>
  <si>
    <t xml:space="preserve">         46.87亿</t>
  </si>
  <si>
    <t>3.58万</t>
  </si>
  <si>
    <t xml:space="preserve">   3.74㈡</t>
  </si>
  <si>
    <t>三七互娱</t>
  </si>
  <si>
    <t xml:space="preserve">        265.75亿</t>
  </si>
  <si>
    <t xml:space="preserve">        328.35亿</t>
  </si>
  <si>
    <t xml:space="preserve">        472.85亿</t>
  </si>
  <si>
    <t>16.50万</t>
  </si>
  <si>
    <t xml:space="preserve">   9.10㈡</t>
  </si>
  <si>
    <t>辉隆股份</t>
  </si>
  <si>
    <t xml:space="preserve">         57.19亿</t>
  </si>
  <si>
    <t xml:space="preserve">        101.47亿</t>
  </si>
  <si>
    <t xml:space="preserve">   9.03㈡</t>
  </si>
  <si>
    <t>洽洽食品</t>
  </si>
  <si>
    <t xml:space="preserve">        125.25亿</t>
  </si>
  <si>
    <t xml:space="preserve">        214.87亿</t>
  </si>
  <si>
    <t>32.89万</t>
  </si>
  <si>
    <t xml:space="preserve">   7.70㈡</t>
  </si>
  <si>
    <t>巨人网络</t>
  </si>
  <si>
    <t xml:space="preserve">        103.95亿</t>
  </si>
  <si>
    <t xml:space="preserve">        221.87亿</t>
  </si>
  <si>
    <t>22.60万</t>
  </si>
  <si>
    <t>亚威股份</t>
  </si>
  <si>
    <t xml:space="preserve">         34.06亿</t>
  </si>
  <si>
    <t xml:space="preserve">         41.48亿</t>
  </si>
  <si>
    <t>10.60万</t>
  </si>
  <si>
    <t>通达股份</t>
  </si>
  <si>
    <t xml:space="preserve">         21.47亿</t>
  </si>
  <si>
    <t xml:space="preserve">         34.18亿</t>
  </si>
  <si>
    <t>4.89万</t>
  </si>
  <si>
    <t>徐家汇</t>
  </si>
  <si>
    <t xml:space="preserve">         17.82亿</t>
  </si>
  <si>
    <t xml:space="preserve">         29.07亿</t>
  </si>
  <si>
    <t>兄弟科技</t>
  </si>
  <si>
    <t xml:space="preserve">         24.22亿</t>
  </si>
  <si>
    <t xml:space="preserve">         29.12亿</t>
  </si>
  <si>
    <t>4.82万</t>
  </si>
  <si>
    <t xml:space="preserve">  -0.28㈡</t>
  </si>
  <si>
    <t>森马服饰</t>
  </si>
  <si>
    <t xml:space="preserve">        155.49亿</t>
  </si>
  <si>
    <t xml:space="preserve">        221.99亿</t>
  </si>
  <si>
    <t>20.64万</t>
  </si>
  <si>
    <t>天沃科技</t>
  </si>
  <si>
    <t xml:space="preserve">         42.99亿</t>
  </si>
  <si>
    <t>顺灏股份</t>
  </si>
  <si>
    <t xml:space="preserve">         36.63亿</t>
  </si>
  <si>
    <t xml:space="preserve">         57.61亿</t>
  </si>
  <si>
    <t>6.13万</t>
  </si>
  <si>
    <t xml:space="preserve">   0.14㈡</t>
  </si>
  <si>
    <t>益盛药业</t>
  </si>
  <si>
    <t xml:space="preserve">         16.97亿</t>
  </si>
  <si>
    <t>7.04万</t>
  </si>
  <si>
    <t xml:space="preserve">   2.04㈡</t>
  </si>
  <si>
    <t>唐人神</t>
  </si>
  <si>
    <t xml:space="preserve">         55.97亿</t>
  </si>
  <si>
    <t xml:space="preserve">         74.70亿</t>
  </si>
  <si>
    <t xml:space="preserve">         76.10亿</t>
  </si>
  <si>
    <t xml:space="preserve">   2.56㈡</t>
  </si>
  <si>
    <t>百润股份</t>
  </si>
  <si>
    <t xml:space="preserve">        224.79亿</t>
  </si>
  <si>
    <t xml:space="preserve">        316.22亿</t>
  </si>
  <si>
    <t xml:space="preserve">        462.99亿</t>
  </si>
  <si>
    <t>102.83万</t>
  </si>
  <si>
    <t xml:space="preserve">  11.11㈡</t>
  </si>
  <si>
    <t>贝因美</t>
  </si>
  <si>
    <t xml:space="preserve">         38.82亿</t>
  </si>
  <si>
    <t xml:space="preserve">         56.44亿</t>
  </si>
  <si>
    <t>德力股份</t>
  </si>
  <si>
    <t xml:space="preserve">         15.24亿</t>
  </si>
  <si>
    <t xml:space="preserve">         22.04亿</t>
  </si>
  <si>
    <t xml:space="preserve">         28.97亿</t>
  </si>
  <si>
    <t>5.78万</t>
  </si>
  <si>
    <t>索菲亚</t>
  </si>
  <si>
    <t xml:space="preserve">         94.67亿</t>
  </si>
  <si>
    <t xml:space="preserve">        110.58亿</t>
  </si>
  <si>
    <t xml:space="preserve">        159.48亿</t>
  </si>
  <si>
    <t>16.90万</t>
  </si>
  <si>
    <t>0.489㈡</t>
  </si>
  <si>
    <t>清新环境</t>
  </si>
  <si>
    <t xml:space="preserve">         37.68亿</t>
  </si>
  <si>
    <t xml:space="preserve">         71.98亿</t>
  </si>
  <si>
    <t xml:space="preserve">         93.63亿</t>
  </si>
  <si>
    <t>6.28万</t>
  </si>
  <si>
    <t xml:space="preserve">   2.62㈡</t>
  </si>
  <si>
    <t>明牌珠宝</t>
  </si>
  <si>
    <t xml:space="preserve">         14.87亿</t>
  </si>
  <si>
    <t xml:space="preserve">         31.57亿</t>
  </si>
  <si>
    <t xml:space="preserve">  10.91㈡</t>
  </si>
  <si>
    <t>通达动力</t>
  </si>
  <si>
    <t xml:space="preserve">         15.63亿</t>
  </si>
  <si>
    <t xml:space="preserve">         25.57亿</t>
  </si>
  <si>
    <t xml:space="preserve">         25.67亿</t>
  </si>
  <si>
    <t>8.11万</t>
  </si>
  <si>
    <t>雷柏科技</t>
  </si>
  <si>
    <t xml:space="preserve">         12.21亿</t>
  </si>
  <si>
    <t>闽发铝业</t>
  </si>
  <si>
    <t xml:space="preserve">         19.27亿</t>
  </si>
  <si>
    <t xml:space="preserve">         35.88亿</t>
  </si>
  <si>
    <t xml:space="preserve">         40.02亿</t>
  </si>
  <si>
    <t>4.42万</t>
  </si>
  <si>
    <t xml:space="preserve">   2.11㈡</t>
  </si>
  <si>
    <t>中京电子</t>
  </si>
  <si>
    <t xml:space="preserve">         46.58亿</t>
  </si>
  <si>
    <t xml:space="preserve">         62.71亿</t>
  </si>
  <si>
    <t>圣阳股份</t>
  </si>
  <si>
    <t xml:space="preserve">         44.16亿</t>
  </si>
  <si>
    <t>8.62万</t>
  </si>
  <si>
    <t>未名医药</t>
  </si>
  <si>
    <t xml:space="preserve">         44.43亿</t>
  </si>
  <si>
    <t xml:space="preserve">         57.31亿</t>
  </si>
  <si>
    <t xml:space="preserve">         94.34亿</t>
  </si>
  <si>
    <t>0.209㈡</t>
  </si>
  <si>
    <t>好想你</t>
  </si>
  <si>
    <t xml:space="preserve">         31.29亿</t>
  </si>
  <si>
    <t>海能达</t>
  </si>
  <si>
    <t xml:space="preserve">         42.48亿</t>
  </si>
  <si>
    <t xml:space="preserve">         55.47亿</t>
  </si>
  <si>
    <t xml:space="preserve">         93.82亿</t>
  </si>
  <si>
    <t xml:space="preserve">  -1.99㈡</t>
  </si>
  <si>
    <t>西陇科学</t>
  </si>
  <si>
    <t xml:space="preserve">         25.83亿</t>
  </si>
  <si>
    <t xml:space="preserve">         29.35亿</t>
  </si>
  <si>
    <t xml:space="preserve">   6.05㈡</t>
  </si>
  <si>
    <t>双星新材</t>
  </si>
  <si>
    <t xml:space="preserve">        174.17亿</t>
  </si>
  <si>
    <t xml:space="preserve">        231.18亿</t>
  </si>
  <si>
    <t xml:space="preserve">        308.26亿</t>
  </si>
  <si>
    <t>34.11万</t>
  </si>
  <si>
    <t xml:space="preserve">   7.03㈡</t>
  </si>
  <si>
    <t>奥拓电子</t>
  </si>
  <si>
    <t xml:space="preserve">         19.35亿</t>
  </si>
  <si>
    <t xml:space="preserve">         29.67亿</t>
  </si>
  <si>
    <t>6.16万</t>
  </si>
  <si>
    <t>史丹利</t>
  </si>
  <si>
    <t xml:space="preserve">         38.90亿</t>
  </si>
  <si>
    <t xml:space="preserve">         85.03亿</t>
  </si>
  <si>
    <t>8.69万</t>
  </si>
  <si>
    <t xml:space="preserve">   5.69㈡</t>
  </si>
  <si>
    <t>瑞康医药</t>
  </si>
  <si>
    <t xml:space="preserve">         44.96亿</t>
  </si>
  <si>
    <t xml:space="preserve">         58.98亿</t>
  </si>
  <si>
    <t>万安科技</t>
  </si>
  <si>
    <t xml:space="preserve">         14.97亿</t>
  </si>
  <si>
    <t xml:space="preserve">         34.39亿</t>
  </si>
  <si>
    <t xml:space="preserve">         36.21亿</t>
  </si>
  <si>
    <t>恒大高新</t>
  </si>
  <si>
    <t xml:space="preserve">         17.36亿</t>
  </si>
  <si>
    <t>日上集团</t>
  </si>
  <si>
    <t xml:space="preserve">         12.62亿</t>
  </si>
  <si>
    <t xml:space="preserve">         20.15亿</t>
  </si>
  <si>
    <t xml:space="preserve">         34.83亿</t>
  </si>
  <si>
    <t>4.75万</t>
  </si>
  <si>
    <t>比亚迪</t>
  </si>
  <si>
    <t xml:space="preserve">       2037.36亿</t>
  </si>
  <si>
    <t xml:space="preserve">       2899.20亿</t>
  </si>
  <si>
    <t xml:space="preserve">       4550.99亿</t>
  </si>
  <si>
    <t>47.79万</t>
  </si>
  <si>
    <t xml:space="preserve">   1.44㈡</t>
  </si>
  <si>
    <t>豪迈科技</t>
  </si>
  <si>
    <t xml:space="preserve">        101.44亿</t>
  </si>
  <si>
    <t xml:space="preserve">        137.82亿</t>
  </si>
  <si>
    <t xml:space="preserve">        206.56亿</t>
  </si>
  <si>
    <t>65.58万</t>
  </si>
  <si>
    <t>0.726㈡</t>
  </si>
  <si>
    <t xml:space="preserve">   8.97㈡</t>
  </si>
  <si>
    <t>海南瑞泽</t>
  </si>
  <si>
    <t xml:space="preserve">         28.20亿</t>
  </si>
  <si>
    <t xml:space="preserve">         40.93亿</t>
  </si>
  <si>
    <t xml:space="preserve">  -0.99㈡</t>
  </si>
  <si>
    <t>金禾实业</t>
  </si>
  <si>
    <t xml:space="preserve">        142.72亿</t>
  </si>
  <si>
    <t xml:space="preserve">        258.42亿</t>
  </si>
  <si>
    <t xml:space="preserve">        259.08亿</t>
  </si>
  <si>
    <t>51.90万</t>
  </si>
  <si>
    <t xml:space="preserve">   8.56㈡</t>
  </si>
  <si>
    <t>山东章鼓</t>
  </si>
  <si>
    <t xml:space="preserve">         21.92亿</t>
  </si>
  <si>
    <t xml:space="preserve">         40.56亿</t>
  </si>
  <si>
    <t>4.70万</t>
  </si>
  <si>
    <t>盛通股份</t>
  </si>
  <si>
    <t xml:space="preserve">         25.58亿</t>
  </si>
  <si>
    <t xml:space="preserve">         44.00亿</t>
  </si>
  <si>
    <t>19.88万</t>
  </si>
  <si>
    <t>领益智造</t>
  </si>
  <si>
    <t xml:space="preserve">        156.98亿</t>
  </si>
  <si>
    <t xml:space="preserve">        456.42亿</t>
  </si>
  <si>
    <t xml:space="preserve">        477.59亿</t>
  </si>
  <si>
    <t>5.56万</t>
  </si>
  <si>
    <t>龙佰集团</t>
  </si>
  <si>
    <t xml:space="preserve">        456.56亿</t>
  </si>
  <si>
    <t xml:space="preserve">        555.54亿</t>
  </si>
  <si>
    <t xml:space="preserve">        867.26亿</t>
  </si>
  <si>
    <t>54.66万</t>
  </si>
  <si>
    <t xml:space="preserve">  14.40㈡</t>
  </si>
  <si>
    <t>世纪华通</t>
  </si>
  <si>
    <t xml:space="preserve">        281.17亿</t>
  </si>
  <si>
    <t xml:space="preserve">        348.15亿</t>
  </si>
  <si>
    <t xml:space="preserve">        532.86亿</t>
  </si>
  <si>
    <t>17.51万</t>
  </si>
  <si>
    <t xml:space="preserve">   7.84㈡</t>
  </si>
  <si>
    <t>以岭药业</t>
  </si>
  <si>
    <t xml:space="preserve">        127.40亿</t>
  </si>
  <si>
    <t xml:space="preserve">        232.96亿</t>
  </si>
  <si>
    <t xml:space="preserve">        282.85亿</t>
  </si>
  <si>
    <t>12.56万</t>
  </si>
  <si>
    <t>0.577㈡</t>
  </si>
  <si>
    <t xml:space="preserve">  11.09㈡</t>
  </si>
  <si>
    <t>姚记科技</t>
  </si>
  <si>
    <t xml:space="preserve">         32.59亿</t>
  </si>
  <si>
    <t xml:space="preserve">         70.37亿</t>
  </si>
  <si>
    <t xml:space="preserve">  16.52㈡</t>
  </si>
  <si>
    <t>大连电瓷</t>
  </si>
  <si>
    <t xml:space="preserve">         32.98亿</t>
  </si>
  <si>
    <t xml:space="preserve">         47.86亿</t>
  </si>
  <si>
    <t xml:space="preserve">         51.73亿</t>
  </si>
  <si>
    <t>10.86万</t>
  </si>
  <si>
    <t xml:space="preserve">   9.80㈡</t>
  </si>
  <si>
    <t>中公教育</t>
  </si>
  <si>
    <t xml:space="preserve">        150.40亿</t>
  </si>
  <si>
    <t xml:space="preserve">        191.85亿</t>
  </si>
  <si>
    <t xml:space="preserve">        720.35亿</t>
  </si>
  <si>
    <t>17.25万</t>
  </si>
  <si>
    <t>江苏国信</t>
  </si>
  <si>
    <t xml:space="preserve">         40.70亿</t>
  </si>
  <si>
    <t xml:space="preserve">        257.29亿</t>
  </si>
  <si>
    <t>19.50万</t>
  </si>
  <si>
    <t xml:space="preserve">   4.61㈡</t>
  </si>
  <si>
    <t>捷顺科技</t>
  </si>
  <si>
    <t xml:space="preserve">         45.04亿</t>
  </si>
  <si>
    <t xml:space="preserve">         65.20亿</t>
  </si>
  <si>
    <t>10.20万</t>
  </si>
  <si>
    <t xml:space="preserve">   1.93㈡</t>
  </si>
  <si>
    <t>爱康科技</t>
  </si>
  <si>
    <t xml:space="preserve">        205.10亿</t>
  </si>
  <si>
    <t xml:space="preserve">        231.52亿</t>
  </si>
  <si>
    <t xml:space="preserve">        236.69亿</t>
  </si>
  <si>
    <t xml:space="preserve">  -1.65㈡</t>
  </si>
  <si>
    <t>东方精工</t>
  </si>
  <si>
    <t xml:space="preserve">         59.15亿</t>
  </si>
  <si>
    <t xml:space="preserve">         70.14亿</t>
  </si>
  <si>
    <t xml:space="preserve">         85.65亿</t>
  </si>
  <si>
    <t>朗姿股份</t>
  </si>
  <si>
    <t xml:space="preserve">         77.45亿</t>
  </si>
  <si>
    <t xml:space="preserve">        136.01亿</t>
  </si>
  <si>
    <t>0.211㈡</t>
  </si>
  <si>
    <t>北玻股份</t>
  </si>
  <si>
    <t xml:space="preserve">         14.57亿</t>
  </si>
  <si>
    <t xml:space="preserve">         22.38亿</t>
  </si>
  <si>
    <t xml:space="preserve">         36.74亿</t>
  </si>
  <si>
    <t>3.03万</t>
  </si>
  <si>
    <t xml:space="preserve">   0.76㈡</t>
  </si>
  <si>
    <t>奥佳华</t>
  </si>
  <si>
    <t xml:space="preserve">         64.60亿</t>
  </si>
  <si>
    <t xml:space="preserve">         90.93亿</t>
  </si>
  <si>
    <t>29.55万</t>
  </si>
  <si>
    <t>哈尔斯</t>
  </si>
  <si>
    <t xml:space="preserve">          8.71亿</t>
  </si>
  <si>
    <t xml:space="preserve">         12.54亿</t>
  </si>
  <si>
    <t>4.76万</t>
  </si>
  <si>
    <t>长青集团</t>
  </si>
  <si>
    <t xml:space="preserve">         15.71亿</t>
  </si>
  <si>
    <t xml:space="preserve">         27.46亿</t>
  </si>
  <si>
    <t xml:space="preserve">   2.92㈡</t>
  </si>
  <si>
    <t>露笑科技</t>
  </si>
  <si>
    <t xml:space="preserve">        153.31亿</t>
  </si>
  <si>
    <t xml:space="preserve">        192.88亿</t>
  </si>
  <si>
    <t xml:space="preserve">        239.11亿</t>
  </si>
  <si>
    <t>9.45万</t>
  </si>
  <si>
    <t>瑞和股份</t>
  </si>
  <si>
    <t xml:space="preserve">         17.12亿</t>
  </si>
  <si>
    <t xml:space="preserve">         24.44亿</t>
  </si>
  <si>
    <t xml:space="preserve">         29.85亿</t>
  </si>
  <si>
    <t>美吉姆</t>
  </si>
  <si>
    <t xml:space="preserve">         13.90亿</t>
  </si>
  <si>
    <t xml:space="preserve">         33.71亿</t>
  </si>
  <si>
    <t xml:space="preserve">         35.05亿</t>
  </si>
  <si>
    <t>8.21万</t>
  </si>
  <si>
    <t>融钰集团</t>
  </si>
  <si>
    <t xml:space="preserve">   1.04㈡</t>
  </si>
  <si>
    <t>亚玛顿</t>
  </si>
  <si>
    <t xml:space="preserve">         67.44亿</t>
  </si>
  <si>
    <t xml:space="preserve">         84.12亿</t>
  </si>
  <si>
    <t>16.05万</t>
  </si>
  <si>
    <t>完美世界</t>
  </si>
  <si>
    <t xml:space="preserve">        183.95亿</t>
  </si>
  <si>
    <t xml:space="preserve">        290.72亿</t>
  </si>
  <si>
    <t xml:space="preserve">        308.65亿</t>
  </si>
  <si>
    <t>11.77万</t>
  </si>
  <si>
    <t>光启技术</t>
  </si>
  <si>
    <t xml:space="preserve">        283.53亿</t>
  </si>
  <si>
    <t xml:space="preserve">        339.33亿</t>
  </si>
  <si>
    <t xml:space="preserve">        491.25亿</t>
  </si>
  <si>
    <t>26.96万</t>
  </si>
  <si>
    <t>金达威</t>
  </si>
  <si>
    <t xml:space="preserve">         86.69亿</t>
  </si>
  <si>
    <t xml:space="preserve">        195.58亿</t>
  </si>
  <si>
    <t xml:space="preserve">        195.61亿</t>
  </si>
  <si>
    <t xml:space="preserve">  14.14㈡</t>
  </si>
  <si>
    <t>三峡旅游</t>
  </si>
  <si>
    <t xml:space="preserve">         19.59亿</t>
  </si>
  <si>
    <t>公共交通</t>
  </si>
  <si>
    <t xml:space="preserve">         42.81亿</t>
  </si>
  <si>
    <t>19.54万</t>
  </si>
  <si>
    <t xml:space="preserve">   2.22㈡</t>
  </si>
  <si>
    <t>成都路桥</t>
  </si>
  <si>
    <t xml:space="preserve">         17.73亿</t>
  </si>
  <si>
    <t xml:space="preserve">         25.22亿</t>
  </si>
  <si>
    <t>华西能源</t>
  </si>
  <si>
    <t xml:space="preserve">         25.45亿</t>
  </si>
  <si>
    <t>3.13万</t>
  </si>
  <si>
    <t xml:space="preserve">  -6.74㈡</t>
  </si>
  <si>
    <t>德尔未来</t>
  </si>
  <si>
    <t xml:space="preserve">         20.80亿</t>
  </si>
  <si>
    <t xml:space="preserve">         57.23亿</t>
  </si>
  <si>
    <t xml:space="preserve">         58.17亿</t>
  </si>
  <si>
    <t>4.52万</t>
  </si>
  <si>
    <t xml:space="preserve">   1.94㈡</t>
  </si>
  <si>
    <t>道明光学</t>
  </si>
  <si>
    <t xml:space="preserve">         20.95亿</t>
  </si>
  <si>
    <t xml:space="preserve">         49.53亿</t>
  </si>
  <si>
    <t xml:space="preserve">   3.86㈡</t>
  </si>
  <si>
    <t>申科股份</t>
  </si>
  <si>
    <t xml:space="preserve">          5.27亿</t>
  </si>
  <si>
    <t xml:space="preserve">         11.82亿</t>
  </si>
  <si>
    <t>6.70万</t>
  </si>
  <si>
    <t>0.017㈡</t>
  </si>
  <si>
    <t>棒杰股份</t>
  </si>
  <si>
    <t xml:space="preserve">         12.42亿</t>
  </si>
  <si>
    <t xml:space="preserve">         19.57亿</t>
  </si>
  <si>
    <t xml:space="preserve">         24.25亿</t>
  </si>
  <si>
    <t>安洁科技</t>
  </si>
  <si>
    <t xml:space="preserve">         34.75亿</t>
  </si>
  <si>
    <t xml:space="preserve">         46.46亿</t>
  </si>
  <si>
    <t>6.21万</t>
  </si>
  <si>
    <t xml:space="preserve">   0.50㈡</t>
  </si>
  <si>
    <t>金安国纪</t>
  </si>
  <si>
    <t xml:space="preserve">         36.24亿</t>
  </si>
  <si>
    <t xml:space="preserve">        117.58亿</t>
  </si>
  <si>
    <t xml:space="preserve">        118.37亿</t>
  </si>
  <si>
    <t xml:space="preserve">  16.32㈡</t>
  </si>
  <si>
    <t>赞宇科技</t>
  </si>
  <si>
    <t xml:space="preserve">         70.13亿</t>
  </si>
  <si>
    <t xml:space="preserve">         83.40亿</t>
  </si>
  <si>
    <t>24.71万</t>
  </si>
  <si>
    <t xml:space="preserve">  11.96㈡</t>
  </si>
  <si>
    <t>勤上股份</t>
  </si>
  <si>
    <t xml:space="preserve">         14.82亿</t>
  </si>
  <si>
    <t xml:space="preserve">         19.92亿</t>
  </si>
  <si>
    <t>5.15万</t>
  </si>
  <si>
    <t xml:space="preserve">  -1.94㈡</t>
  </si>
  <si>
    <t>雪人股份</t>
  </si>
  <si>
    <t xml:space="preserve">         38.75亿</t>
  </si>
  <si>
    <t xml:space="preserve">         42.40亿</t>
  </si>
  <si>
    <t xml:space="preserve">         51.16亿</t>
  </si>
  <si>
    <t>5.00万</t>
  </si>
  <si>
    <t>-0.042㈡</t>
  </si>
  <si>
    <t xml:space="preserve">  -1.36㈡</t>
  </si>
  <si>
    <t>永高股份</t>
  </si>
  <si>
    <t xml:space="preserve">         24.41亿</t>
  </si>
  <si>
    <t xml:space="preserve">         61.91亿</t>
  </si>
  <si>
    <t xml:space="preserve">         67.70亿</t>
  </si>
  <si>
    <t>荣联科技</t>
  </si>
  <si>
    <t xml:space="preserve">         26.05亿</t>
  </si>
  <si>
    <t xml:space="preserve">         29.58亿</t>
  </si>
  <si>
    <t xml:space="preserve">         33.78亿</t>
  </si>
  <si>
    <t>万润股份</t>
  </si>
  <si>
    <t xml:space="preserve">        108.68亿</t>
  </si>
  <si>
    <t xml:space="preserve">        183.27亿</t>
  </si>
  <si>
    <t xml:space="preserve">        186.01亿</t>
  </si>
  <si>
    <t>42.03万</t>
  </si>
  <si>
    <t>佛慈制药</t>
  </si>
  <si>
    <t xml:space="preserve">         14.46亿</t>
  </si>
  <si>
    <t>4.74万</t>
  </si>
  <si>
    <t>华宏科技</t>
  </si>
  <si>
    <t xml:space="preserve">         45.93亿</t>
  </si>
  <si>
    <t xml:space="preserve">         97.99亿</t>
  </si>
  <si>
    <t xml:space="preserve">        124.58亿</t>
  </si>
  <si>
    <t>19.56万</t>
  </si>
  <si>
    <t>青青稞酒</t>
  </si>
  <si>
    <t xml:space="preserve">         86.31亿</t>
  </si>
  <si>
    <t>5.07万</t>
  </si>
  <si>
    <t xml:space="preserve">   3.24㈡</t>
  </si>
  <si>
    <t>仁东控股</t>
  </si>
  <si>
    <t xml:space="preserve">         51.51亿</t>
  </si>
  <si>
    <t>2.64万</t>
  </si>
  <si>
    <t xml:space="preserve">  -2.20㈡</t>
  </si>
  <si>
    <t>卫星石化</t>
  </si>
  <si>
    <t xml:space="preserve">        354.27亿</t>
  </si>
  <si>
    <t xml:space="preserve">        800.91亿</t>
  </si>
  <si>
    <t xml:space="preserve">        803.61亿</t>
  </si>
  <si>
    <t>122.11万</t>
  </si>
  <si>
    <t>1.240㈡</t>
  </si>
  <si>
    <t xml:space="preserve">  13.64㈡</t>
  </si>
  <si>
    <t>博彦科技</t>
  </si>
  <si>
    <t xml:space="preserve">         43.68亿</t>
  </si>
  <si>
    <t xml:space="preserve">         49.69亿</t>
  </si>
  <si>
    <t>10.56万</t>
  </si>
  <si>
    <t>加加食品</t>
  </si>
  <si>
    <t xml:space="preserve">         58.87亿</t>
  </si>
  <si>
    <t>8.23万</t>
  </si>
  <si>
    <t>利君股份</t>
  </si>
  <si>
    <t xml:space="preserve">         79.39亿</t>
  </si>
  <si>
    <t xml:space="preserve">        148.40亿</t>
  </si>
  <si>
    <t>16.14万</t>
  </si>
  <si>
    <t>扬子新材</t>
  </si>
  <si>
    <t xml:space="preserve">         10.48亿</t>
  </si>
  <si>
    <t xml:space="preserve">         15.67亿</t>
  </si>
  <si>
    <t>海思科</t>
  </si>
  <si>
    <t xml:space="preserve">         28.48亿</t>
  </si>
  <si>
    <t xml:space="preserve">         83.92亿</t>
  </si>
  <si>
    <t xml:space="preserve">        189.35亿</t>
  </si>
  <si>
    <t>16.17万</t>
  </si>
  <si>
    <t xml:space="preserve">  11.32㈡</t>
  </si>
  <si>
    <t>万润科技</t>
  </si>
  <si>
    <t xml:space="preserve">         18.97亿</t>
  </si>
  <si>
    <t xml:space="preserve">         30.11亿</t>
  </si>
  <si>
    <t xml:space="preserve">         33.86亿</t>
  </si>
  <si>
    <t>共达电声</t>
  </si>
  <si>
    <t xml:space="preserve">         36.25亿</t>
  </si>
  <si>
    <t xml:space="preserve">         42.79亿</t>
  </si>
  <si>
    <t xml:space="preserve">   8.36㈡</t>
  </si>
  <si>
    <t>中科金财</t>
  </si>
  <si>
    <t xml:space="preserve">         29.66亿</t>
  </si>
  <si>
    <t xml:space="preserve">         31.72亿</t>
  </si>
  <si>
    <t>5.82万</t>
  </si>
  <si>
    <t xml:space="preserve">  -0.84㈡</t>
  </si>
  <si>
    <t>雪迪龙</t>
  </si>
  <si>
    <t xml:space="preserve">         30.28亿</t>
  </si>
  <si>
    <t xml:space="preserve">         57.33亿</t>
  </si>
  <si>
    <t>3.55万</t>
  </si>
  <si>
    <t xml:space="preserve">   4.56㈡</t>
  </si>
  <si>
    <t>凯文教育</t>
  </si>
  <si>
    <t xml:space="preserve">         15.84亿</t>
  </si>
  <si>
    <t xml:space="preserve">         21.88亿</t>
  </si>
  <si>
    <t xml:space="preserve">         22.26亿</t>
  </si>
  <si>
    <t>8.66万</t>
  </si>
  <si>
    <t>-0.058㈡</t>
  </si>
  <si>
    <t xml:space="preserve">  -1.43㈡</t>
  </si>
  <si>
    <t>茂硕电源</t>
  </si>
  <si>
    <t xml:space="preserve">         13.34亿</t>
  </si>
  <si>
    <t xml:space="preserve">         15.78亿</t>
  </si>
  <si>
    <t xml:space="preserve">   2.53㈡</t>
  </si>
  <si>
    <t>克明食品</t>
  </si>
  <si>
    <t xml:space="preserve">         22.50亿</t>
  </si>
  <si>
    <t xml:space="preserve">         35.15亿</t>
  </si>
  <si>
    <t xml:space="preserve">         35.82亿</t>
  </si>
  <si>
    <t xml:space="preserve">   1.70㈡</t>
  </si>
  <si>
    <t>京威股份</t>
  </si>
  <si>
    <t xml:space="preserve">         25.39亿</t>
  </si>
  <si>
    <t xml:space="preserve">         59.25亿</t>
  </si>
  <si>
    <t>普邦股份</t>
  </si>
  <si>
    <t xml:space="preserve">         24.77亿</t>
  </si>
  <si>
    <t xml:space="preserve">         28.38亿</t>
  </si>
  <si>
    <t>长鹰信质</t>
  </si>
  <si>
    <t xml:space="preserve">         31.39亿</t>
  </si>
  <si>
    <t xml:space="preserve">         72.78亿</t>
  </si>
  <si>
    <t xml:space="preserve">         75.04亿</t>
  </si>
  <si>
    <t>13.39万</t>
  </si>
  <si>
    <t xml:space="preserve">   4.11㈡</t>
  </si>
  <si>
    <t>首航高科</t>
  </si>
  <si>
    <t xml:space="preserve">         56.89亿</t>
  </si>
  <si>
    <t xml:space="preserve">         71.85亿</t>
  </si>
  <si>
    <t xml:space="preserve">  -1.17㈡</t>
  </si>
  <si>
    <t>德联集团</t>
  </si>
  <si>
    <t xml:space="preserve">         26.10亿</t>
  </si>
  <si>
    <t xml:space="preserve">         43.98亿</t>
  </si>
  <si>
    <t>鞍重股份</t>
  </si>
  <si>
    <t xml:space="preserve">         43.80亿</t>
  </si>
  <si>
    <t xml:space="preserve">         80.79亿</t>
  </si>
  <si>
    <t xml:space="preserve">         80.83亿</t>
  </si>
  <si>
    <t>54.71万</t>
  </si>
  <si>
    <t xml:space="preserve">   0.13㈡</t>
  </si>
  <si>
    <t>康达新材</t>
  </si>
  <si>
    <t xml:space="preserve">         24.58亿</t>
  </si>
  <si>
    <t xml:space="preserve">         32.84亿</t>
  </si>
  <si>
    <t xml:space="preserve">         33.05亿</t>
  </si>
  <si>
    <t xml:space="preserve">   1.21㈡</t>
  </si>
  <si>
    <t>国盛金控</t>
  </si>
  <si>
    <t xml:space="preserve">         61.65亿</t>
  </si>
  <si>
    <t xml:space="preserve">        154.54亿</t>
  </si>
  <si>
    <t xml:space="preserve">        184.22亿</t>
  </si>
  <si>
    <t>龙泉股份</t>
  </si>
  <si>
    <t xml:space="preserve">   0.27㈡</t>
  </si>
  <si>
    <t>东江环保</t>
  </si>
  <si>
    <t xml:space="preserve">         49.36亿</t>
  </si>
  <si>
    <t xml:space="preserve">         49.37亿</t>
  </si>
  <si>
    <t>6.94万</t>
  </si>
  <si>
    <t>西部证券</t>
  </si>
  <si>
    <t xml:space="preserve">        196.17亿</t>
  </si>
  <si>
    <t xml:space="preserve">        343.53亿</t>
  </si>
  <si>
    <t xml:space="preserve">        373.66亿</t>
  </si>
  <si>
    <t>兴业科技</t>
  </si>
  <si>
    <t xml:space="preserve">         13.36亿</t>
  </si>
  <si>
    <t xml:space="preserve">         35.27亿</t>
  </si>
  <si>
    <t xml:space="preserve">         35.64亿</t>
  </si>
  <si>
    <t>14.18万</t>
  </si>
  <si>
    <t>0.397㈡</t>
  </si>
  <si>
    <t>东诚药业</t>
  </si>
  <si>
    <t xml:space="preserve">         85.82亿</t>
  </si>
  <si>
    <t xml:space="preserve">        114.75亿</t>
  </si>
  <si>
    <t xml:space="preserve">        125.31亿</t>
  </si>
  <si>
    <t>42.33万</t>
  </si>
  <si>
    <t>0.193㈡</t>
  </si>
  <si>
    <t>顺威股份</t>
  </si>
  <si>
    <t xml:space="preserve">         13.79亿</t>
  </si>
  <si>
    <t xml:space="preserve">         32.76亿</t>
  </si>
  <si>
    <t>浙江美大</t>
  </si>
  <si>
    <t xml:space="preserve">         34.99亿</t>
  </si>
  <si>
    <t xml:space="preserve">         62.17亿</t>
  </si>
  <si>
    <t xml:space="preserve">         96.13亿</t>
  </si>
  <si>
    <t>珠江钢琴</t>
  </si>
  <si>
    <t xml:space="preserve">         97.86亿</t>
  </si>
  <si>
    <t xml:space="preserve">         97.93亿</t>
  </si>
  <si>
    <t>12.37万</t>
  </si>
  <si>
    <t>福建金森</t>
  </si>
  <si>
    <t xml:space="preserve">          9.96亿</t>
  </si>
  <si>
    <t xml:space="preserve">  -6.41㈡</t>
  </si>
  <si>
    <t>奋达科技</t>
  </si>
  <si>
    <t xml:space="preserve">         34.78亿</t>
  </si>
  <si>
    <t xml:space="preserve">         43.49亿</t>
  </si>
  <si>
    <t xml:space="preserve">         69.88亿</t>
  </si>
  <si>
    <t>-0.066㈡</t>
  </si>
  <si>
    <t xml:space="preserve">  -5.60㈡</t>
  </si>
  <si>
    <t>龙洲股份</t>
  </si>
  <si>
    <t xml:space="preserve">         22.59亿</t>
  </si>
  <si>
    <t xml:space="preserve">         22.89亿</t>
  </si>
  <si>
    <t>宏大爆破</t>
  </si>
  <si>
    <t xml:space="preserve">        120.06亿</t>
  </si>
  <si>
    <t xml:space="preserve">        177.25亿</t>
  </si>
  <si>
    <t xml:space="preserve">        206.09亿</t>
  </si>
  <si>
    <t>26.23万</t>
  </si>
  <si>
    <t>0.281㈡</t>
  </si>
  <si>
    <t>华东重机</t>
  </si>
  <si>
    <t xml:space="preserve">         25.91亿</t>
  </si>
  <si>
    <t xml:space="preserve">         48.17亿</t>
  </si>
  <si>
    <t>6.56万</t>
  </si>
  <si>
    <t>亿利达</t>
  </si>
  <si>
    <t xml:space="preserve">         14.11亿</t>
  </si>
  <si>
    <t xml:space="preserve">         21.94亿</t>
  </si>
  <si>
    <t xml:space="preserve">         31.71亿</t>
  </si>
  <si>
    <t>10.16万</t>
  </si>
  <si>
    <t>乔治白</t>
  </si>
  <si>
    <t xml:space="preserve">         14.69亿</t>
  </si>
  <si>
    <t xml:space="preserve">         20.29亿</t>
  </si>
  <si>
    <t>9.83万</t>
  </si>
  <si>
    <t>金河生物</t>
  </si>
  <si>
    <t xml:space="preserve">         46.90亿</t>
  </si>
  <si>
    <t>5.87万</t>
  </si>
  <si>
    <t xml:space="preserve">   7.05㈡</t>
  </si>
  <si>
    <t>远大智能</t>
  </si>
  <si>
    <t xml:space="preserve">         15.61亿</t>
  </si>
  <si>
    <t xml:space="preserve">         34.44亿</t>
  </si>
  <si>
    <t>2.84万</t>
  </si>
  <si>
    <t>-0.047㈡</t>
  </si>
  <si>
    <t xml:space="preserve">  -3.88㈡</t>
  </si>
  <si>
    <t>美亚光电</t>
  </si>
  <si>
    <t xml:space="preserve">         92.27亿</t>
  </si>
  <si>
    <t xml:space="preserve">        133.88亿</t>
  </si>
  <si>
    <t xml:space="preserve">        272.16亿</t>
  </si>
  <si>
    <t>53.16万</t>
  </si>
  <si>
    <t>冀凯股份</t>
  </si>
  <si>
    <t xml:space="preserve">          6.17亿</t>
  </si>
  <si>
    <t xml:space="preserve">         16.46亿</t>
  </si>
  <si>
    <t xml:space="preserve">         16.49亿</t>
  </si>
  <si>
    <t>4.96万</t>
  </si>
  <si>
    <t>双成药业</t>
  </si>
  <si>
    <t xml:space="preserve">          9.13亿</t>
  </si>
  <si>
    <t>3.36万</t>
  </si>
  <si>
    <t>顾地科技</t>
  </si>
  <si>
    <t xml:space="preserve">         12.97亿</t>
  </si>
  <si>
    <t xml:space="preserve">         18.81亿</t>
  </si>
  <si>
    <t xml:space="preserve">         21.20亿</t>
  </si>
  <si>
    <t xml:space="preserve">  -6.93㈡</t>
  </si>
  <si>
    <t>煌上煌</t>
  </si>
  <si>
    <t xml:space="preserve">         25.85亿</t>
  </si>
  <si>
    <t xml:space="preserve">         65.06亿</t>
  </si>
  <si>
    <t xml:space="preserve">         71.84亿</t>
  </si>
  <si>
    <t>百洋股份</t>
  </si>
  <si>
    <t xml:space="preserve">          9.05亿</t>
  </si>
  <si>
    <t xml:space="preserve">         17.29亿</t>
  </si>
  <si>
    <t>红旗连锁</t>
  </si>
  <si>
    <t xml:space="preserve">         52.16亿</t>
  </si>
  <si>
    <t xml:space="preserve">         65.82亿</t>
  </si>
  <si>
    <t>博实股份</t>
  </si>
  <si>
    <t xml:space="preserve">         61.17亿</t>
  </si>
  <si>
    <t xml:space="preserve">         98.54亿</t>
  </si>
  <si>
    <t xml:space="preserve">        127.21亿</t>
  </si>
  <si>
    <t xml:space="preserve">  10.80㈡</t>
  </si>
  <si>
    <t>美盛文化</t>
  </si>
  <si>
    <t xml:space="preserve">         16.14亿</t>
  </si>
  <si>
    <t>4.90万</t>
  </si>
  <si>
    <t>奥瑞金</t>
  </si>
  <si>
    <t xml:space="preserve">         87.65亿</t>
  </si>
  <si>
    <t xml:space="preserve">        140.69亿</t>
  </si>
  <si>
    <t>17.56万</t>
  </si>
  <si>
    <t xml:space="preserve">   8.23㈡</t>
  </si>
  <si>
    <t>海欣食品</t>
  </si>
  <si>
    <t xml:space="preserve">         14.73亿</t>
  </si>
  <si>
    <t xml:space="preserve">         26.73亿</t>
  </si>
  <si>
    <t>2.77万</t>
  </si>
  <si>
    <t xml:space="preserve">  -3.04㈡</t>
  </si>
  <si>
    <t>浙江世宝</t>
  </si>
  <si>
    <t xml:space="preserve">         12.11亿</t>
  </si>
  <si>
    <t xml:space="preserve">         31.69亿</t>
  </si>
  <si>
    <t xml:space="preserve">         32.82亿</t>
  </si>
  <si>
    <t xml:space="preserve">   2.50㈡</t>
  </si>
  <si>
    <t>新宝股份</t>
  </si>
  <si>
    <t xml:space="preserve">         59.50亿</t>
  </si>
  <si>
    <t xml:space="preserve">        165.92亿</t>
  </si>
  <si>
    <t xml:space="preserve">        166.75亿</t>
  </si>
  <si>
    <t>良信股份</t>
  </si>
  <si>
    <t xml:space="preserve">         96.10亿</t>
  </si>
  <si>
    <t xml:space="preserve">        147.98亿</t>
  </si>
  <si>
    <t>48.70万</t>
  </si>
  <si>
    <t xml:space="preserve">  10.25㈡</t>
  </si>
  <si>
    <t>众信旅游</t>
  </si>
  <si>
    <t xml:space="preserve">         31.55亿</t>
  </si>
  <si>
    <t xml:space="preserve">         44.68亿</t>
  </si>
  <si>
    <t xml:space="preserve"> -17.51㈡</t>
  </si>
  <si>
    <t>光洋股份</t>
  </si>
  <si>
    <t xml:space="preserve">         12.25亿</t>
  </si>
  <si>
    <t xml:space="preserve">         29.24亿</t>
  </si>
  <si>
    <t>4.88万</t>
  </si>
  <si>
    <t xml:space="preserve">   2.07㈡</t>
  </si>
  <si>
    <t>天赐材料</t>
  </si>
  <si>
    <t xml:space="preserve">       1208.12亿</t>
  </si>
  <si>
    <t xml:space="preserve">       1377.27亿</t>
  </si>
  <si>
    <t xml:space="preserve">       1417.41亿</t>
  </si>
  <si>
    <t>143.09万</t>
  </si>
  <si>
    <t xml:space="preserve">  13.53㈡</t>
  </si>
  <si>
    <t>思美传媒</t>
  </si>
  <si>
    <t xml:space="preserve">         15.21亿</t>
  </si>
  <si>
    <t>8.17万</t>
  </si>
  <si>
    <t xml:space="preserve">   1.69㈡</t>
  </si>
  <si>
    <t>东易日盛</t>
  </si>
  <si>
    <t xml:space="preserve">          9.81亿</t>
  </si>
  <si>
    <t xml:space="preserve">         27.28亿</t>
  </si>
  <si>
    <t xml:space="preserve">         28.28亿</t>
  </si>
  <si>
    <t>-0.310㈡</t>
  </si>
  <si>
    <t xml:space="preserve"> -16.63㈡</t>
  </si>
  <si>
    <t>牧原股份</t>
  </si>
  <si>
    <t xml:space="preserve">       1011.97亿</t>
  </si>
  <si>
    <t xml:space="preserve">       1569.14亿</t>
  </si>
  <si>
    <t xml:space="preserve">       2326.27亿</t>
  </si>
  <si>
    <t>47.90万</t>
  </si>
  <si>
    <t>1.820㈡</t>
  </si>
  <si>
    <t xml:space="preserve">  17.06㈡</t>
  </si>
  <si>
    <t>登云股份</t>
  </si>
  <si>
    <t xml:space="preserve">          9.68亿</t>
  </si>
  <si>
    <t xml:space="preserve">         18.71亿</t>
  </si>
  <si>
    <t>16.99万</t>
  </si>
  <si>
    <t xml:space="preserve">   0.79㈡</t>
  </si>
  <si>
    <t>金贵银业</t>
  </si>
  <si>
    <t xml:space="preserve">         53.85亿</t>
  </si>
  <si>
    <t xml:space="preserve">         89.30亿</t>
  </si>
  <si>
    <t>9.07万</t>
  </si>
  <si>
    <t>-0.013㈡</t>
  </si>
  <si>
    <t xml:space="preserve">  -1.47㈡</t>
  </si>
  <si>
    <t>岭南股份</t>
  </si>
  <si>
    <t xml:space="preserve">         30.40亿</t>
  </si>
  <si>
    <t xml:space="preserve">         34.33亿</t>
  </si>
  <si>
    <t xml:space="preserve">         46.63亿</t>
  </si>
  <si>
    <t xml:space="preserve">   0.82㈡</t>
  </si>
  <si>
    <t>友邦吊顶</t>
  </si>
  <si>
    <t xml:space="preserve">          4.65亿</t>
  </si>
  <si>
    <t xml:space="preserve">          8.57亿</t>
  </si>
  <si>
    <t>金一文化</t>
  </si>
  <si>
    <t xml:space="preserve">         14.99亿</t>
  </si>
  <si>
    <t xml:space="preserve">         22.08亿</t>
  </si>
  <si>
    <t xml:space="preserve">         28.99亿</t>
  </si>
  <si>
    <t xml:space="preserve">  -9.13㈡</t>
  </si>
  <si>
    <t>金轮股份</t>
  </si>
  <si>
    <t xml:space="preserve">         24.67亿</t>
  </si>
  <si>
    <t>金莱特</t>
  </si>
  <si>
    <t xml:space="preserve">         33.10亿</t>
  </si>
  <si>
    <t xml:space="preserve">         35.74亿</t>
  </si>
  <si>
    <t>15.58万</t>
  </si>
  <si>
    <t>海洋王</t>
  </si>
  <si>
    <t xml:space="preserve">        130.15亿</t>
  </si>
  <si>
    <t>跃岭股份</t>
  </si>
  <si>
    <t xml:space="preserve">          7.87亿</t>
  </si>
  <si>
    <t xml:space="preserve">         17.54亿</t>
  </si>
  <si>
    <t>龙大肉食</t>
  </si>
  <si>
    <t xml:space="preserve">         46.21亿</t>
  </si>
  <si>
    <t xml:space="preserve">        111.45亿</t>
  </si>
  <si>
    <t>14.41万</t>
  </si>
  <si>
    <t>一心堂</t>
  </si>
  <si>
    <t xml:space="preserve">         82.49亿</t>
  </si>
  <si>
    <t xml:space="preserve">        112.87亿</t>
  </si>
  <si>
    <t xml:space="preserve">        169.43亿</t>
  </si>
  <si>
    <t>24.86万</t>
  </si>
  <si>
    <t>0.890㈡</t>
  </si>
  <si>
    <t xml:space="preserve">   8.50㈡</t>
  </si>
  <si>
    <t>特一药业</t>
  </si>
  <si>
    <t xml:space="preserve">         11.15亿</t>
  </si>
  <si>
    <t xml:space="preserve">   7.35㈡</t>
  </si>
  <si>
    <t>好利来</t>
  </si>
  <si>
    <t xml:space="preserve">         11.91亿</t>
  </si>
  <si>
    <t xml:space="preserve">         32.55亿</t>
  </si>
  <si>
    <t xml:space="preserve">         33.94亿</t>
  </si>
  <si>
    <t>28.54万</t>
  </si>
  <si>
    <t>电光科技</t>
  </si>
  <si>
    <t xml:space="preserve">         34.31亿</t>
  </si>
  <si>
    <t xml:space="preserve">         36.11亿</t>
  </si>
  <si>
    <t>萃华珠宝</t>
  </si>
  <si>
    <t xml:space="preserve">          9.26亿</t>
  </si>
  <si>
    <t>4.84万</t>
  </si>
  <si>
    <t xml:space="preserve">   3.18㈡</t>
  </si>
  <si>
    <t>燕塘乳业</t>
  </si>
  <si>
    <t xml:space="preserve">         44.33亿</t>
  </si>
  <si>
    <t xml:space="preserve">         44.73亿</t>
  </si>
  <si>
    <t>12.36万</t>
  </si>
  <si>
    <t>雄韬股份</t>
  </si>
  <si>
    <t xml:space="preserve">         41.31亿</t>
  </si>
  <si>
    <t>8.35万</t>
  </si>
  <si>
    <t xml:space="preserve">   0.87㈡</t>
  </si>
  <si>
    <t>利民股份</t>
  </si>
  <si>
    <t xml:space="preserve">         28.32亿</t>
  </si>
  <si>
    <t xml:space="preserve">         44.14亿</t>
  </si>
  <si>
    <t>12.31万</t>
  </si>
  <si>
    <t xml:space="preserve">   9.07㈡</t>
  </si>
  <si>
    <t>王子新材</t>
  </si>
  <si>
    <t xml:space="preserve">         38.73亿</t>
  </si>
  <si>
    <t>22.10万</t>
  </si>
  <si>
    <t xml:space="preserve">   4.07㈡</t>
  </si>
  <si>
    <t>国信证券</t>
  </si>
  <si>
    <t xml:space="preserve">        322.96亿</t>
  </si>
  <si>
    <t xml:space="preserve">       1041.60亿</t>
  </si>
  <si>
    <t xml:space="preserve">       1134.27亿</t>
  </si>
  <si>
    <t xml:space="preserve">   5.23㈡</t>
  </si>
  <si>
    <t>葵花药业</t>
  </si>
  <si>
    <t xml:space="preserve">         33.21亿</t>
  </si>
  <si>
    <t xml:space="preserve">         83.22亿</t>
  </si>
  <si>
    <t>6.81万</t>
  </si>
  <si>
    <t xml:space="preserve">   9.38㈡</t>
  </si>
  <si>
    <t>中矿资源</t>
  </si>
  <si>
    <t xml:space="preserve">        152.47亿</t>
  </si>
  <si>
    <t xml:space="preserve">        206.57亿</t>
  </si>
  <si>
    <t xml:space="preserve">        213.31亿</t>
  </si>
  <si>
    <t>74.89万</t>
  </si>
  <si>
    <t>万达电影</t>
  </si>
  <si>
    <t xml:space="preserve">        153.76亿</t>
  </si>
  <si>
    <t xml:space="preserve">        318.28亿</t>
  </si>
  <si>
    <t xml:space="preserve">        330.59亿</t>
  </si>
  <si>
    <t>10.02万</t>
  </si>
  <si>
    <t>0.286㈡</t>
  </si>
  <si>
    <t>爱迪尔</t>
  </si>
  <si>
    <t xml:space="preserve">          8.25亿</t>
  </si>
  <si>
    <t xml:space="preserve">         10.12亿</t>
  </si>
  <si>
    <t xml:space="preserve">         18.75亿</t>
  </si>
  <si>
    <t>2.70万</t>
  </si>
  <si>
    <t>光华科技</t>
  </si>
  <si>
    <t xml:space="preserve">         46.38亿</t>
  </si>
  <si>
    <t xml:space="preserve">         87.17亿</t>
  </si>
  <si>
    <t>17.39万</t>
  </si>
  <si>
    <t>三圣股份</t>
  </si>
  <si>
    <t xml:space="preserve">         13.66亿</t>
  </si>
  <si>
    <t xml:space="preserve">         28.07亿</t>
  </si>
  <si>
    <t xml:space="preserve">         29.59亿</t>
  </si>
  <si>
    <t>6.73万</t>
  </si>
  <si>
    <t xml:space="preserve">  -1.09㈡</t>
  </si>
  <si>
    <t>富煌钢构</t>
  </si>
  <si>
    <t xml:space="preserve">         21.45亿</t>
  </si>
  <si>
    <t>9.98万</t>
  </si>
  <si>
    <t xml:space="preserve">   2.26㈡</t>
  </si>
  <si>
    <t>木林森</t>
  </si>
  <si>
    <t xml:space="preserve">        115.22亿</t>
  </si>
  <si>
    <t xml:space="preserve">        158.37亿</t>
  </si>
  <si>
    <t xml:space="preserve">        244.15亿</t>
  </si>
  <si>
    <t xml:space="preserve">   5.00㈡</t>
  </si>
  <si>
    <t>仙坛股份</t>
  </si>
  <si>
    <t xml:space="preserve">         50.39亿</t>
  </si>
  <si>
    <t>9.43万</t>
  </si>
  <si>
    <t>埃斯顿</t>
  </si>
  <si>
    <t xml:space="preserve">        111.67亿</t>
  </si>
  <si>
    <t xml:space="preserve">        182.16亿</t>
  </si>
  <si>
    <t xml:space="preserve">        213.69亿</t>
  </si>
  <si>
    <t>46.41万</t>
  </si>
  <si>
    <t>世龙实业</t>
  </si>
  <si>
    <t xml:space="preserve">         11.97亿</t>
  </si>
  <si>
    <t>10.15万</t>
  </si>
  <si>
    <t>国光股份</t>
  </si>
  <si>
    <t xml:space="preserve">         15.03亿</t>
  </si>
  <si>
    <t xml:space="preserve">         27.92亿</t>
  </si>
  <si>
    <t xml:space="preserve">         43.87亿</t>
  </si>
  <si>
    <t xml:space="preserve">  10.96㈡</t>
  </si>
  <si>
    <t>龙津药业</t>
  </si>
  <si>
    <t xml:space="preserve">         11.43亿</t>
  </si>
  <si>
    <t xml:space="preserve">         30.64亿</t>
  </si>
  <si>
    <t>易尚展示</t>
  </si>
  <si>
    <t xml:space="preserve">         20.99亿</t>
  </si>
  <si>
    <t xml:space="preserve">         23.27亿</t>
  </si>
  <si>
    <t xml:space="preserve">         28.50亿</t>
  </si>
  <si>
    <t>0.196㈡</t>
  </si>
  <si>
    <t>昇兴股份</t>
  </si>
  <si>
    <t xml:space="preserve">         56.56亿</t>
  </si>
  <si>
    <t xml:space="preserve">   2.72㈡</t>
  </si>
  <si>
    <t>永东股份</t>
  </si>
  <si>
    <t xml:space="preserve">         18.36亿</t>
  </si>
  <si>
    <t xml:space="preserve">         49.03亿</t>
  </si>
  <si>
    <t>0.627㈡</t>
  </si>
  <si>
    <t xml:space="preserve">  11.00㈡</t>
  </si>
  <si>
    <t>奥赛康</t>
  </si>
  <si>
    <t xml:space="preserve">         43.50亿</t>
  </si>
  <si>
    <t xml:space="preserve">        114.16亿</t>
  </si>
  <si>
    <t xml:space="preserve">   8.48㈡</t>
  </si>
  <si>
    <t>永兴材料</t>
  </si>
  <si>
    <t xml:space="preserve">        205.75亿</t>
  </si>
  <si>
    <t xml:space="preserve">        287.17亿</t>
  </si>
  <si>
    <t xml:space="preserve">        440.37亿</t>
  </si>
  <si>
    <t>80.36万</t>
  </si>
  <si>
    <t xml:space="preserve">   6.89㈡</t>
  </si>
  <si>
    <t>南兴股份</t>
  </si>
  <si>
    <t xml:space="preserve">         17.93亿</t>
  </si>
  <si>
    <t xml:space="preserve">         40.51亿</t>
  </si>
  <si>
    <t xml:space="preserve">         43.64亿</t>
  </si>
  <si>
    <t>12.07万</t>
  </si>
  <si>
    <t>浙农股份</t>
  </si>
  <si>
    <t xml:space="preserve">         13.95亿</t>
  </si>
  <si>
    <t xml:space="preserve">         48.65亿</t>
  </si>
  <si>
    <t>9.30万</t>
  </si>
  <si>
    <t>天际股份</t>
  </si>
  <si>
    <t xml:space="preserve">        109.46亿</t>
  </si>
  <si>
    <t xml:space="preserve">        195.26亿</t>
  </si>
  <si>
    <t xml:space="preserve">        195.29亿</t>
  </si>
  <si>
    <t>36.55万</t>
  </si>
  <si>
    <t>凤形股份</t>
  </si>
  <si>
    <t xml:space="preserve">         11.05亿</t>
  </si>
  <si>
    <t xml:space="preserve">         18.73亿</t>
  </si>
  <si>
    <t>15.82万</t>
  </si>
  <si>
    <t xml:space="preserve">   7.93㈡</t>
  </si>
  <si>
    <t>浙江建投</t>
  </si>
  <si>
    <t xml:space="preserve">         13.62亿</t>
  </si>
  <si>
    <t xml:space="preserve">         19.05亿</t>
  </si>
  <si>
    <t xml:space="preserve">         84.67亿</t>
  </si>
  <si>
    <t xml:space="preserve">   9.78㈡</t>
  </si>
  <si>
    <t>金发拉比</t>
  </si>
  <si>
    <t xml:space="preserve">         13.96亿</t>
  </si>
  <si>
    <t xml:space="preserve">         18.70亿</t>
  </si>
  <si>
    <t>2.17万</t>
  </si>
  <si>
    <t>汇洁股份</t>
  </si>
  <si>
    <t xml:space="preserve">         13.29亿</t>
  </si>
  <si>
    <t xml:space="preserve">         20.23亿</t>
  </si>
  <si>
    <t>6.83万</t>
  </si>
  <si>
    <t xml:space="preserve">  12.12㈡</t>
  </si>
  <si>
    <t>蓝黛科技</t>
  </si>
  <si>
    <t xml:space="preserve">         18.04亿</t>
  </si>
  <si>
    <t xml:space="preserve">         27.67亿</t>
  </si>
  <si>
    <t xml:space="preserve">         39.23亿</t>
  </si>
  <si>
    <t xml:space="preserve">   6.16㈡</t>
  </si>
  <si>
    <t>先锋电子</t>
  </si>
  <si>
    <t xml:space="preserve">          7.37亿</t>
  </si>
  <si>
    <t xml:space="preserve">         16.76亿</t>
  </si>
  <si>
    <t xml:space="preserve">   0.24㈡</t>
  </si>
  <si>
    <t>国恩股份</t>
  </si>
  <si>
    <t xml:space="preserve">         73.21亿</t>
  </si>
  <si>
    <t>1.300㈡</t>
  </si>
  <si>
    <t>普路通</t>
  </si>
  <si>
    <t xml:space="preserve">         12.75亿</t>
  </si>
  <si>
    <t xml:space="preserve">         17.30亿</t>
  </si>
  <si>
    <t xml:space="preserve">   2.29㈡</t>
  </si>
  <si>
    <t>真视通</t>
  </si>
  <si>
    <t xml:space="preserve">         13.89亿</t>
  </si>
  <si>
    <t xml:space="preserve">         22.11亿</t>
  </si>
  <si>
    <t xml:space="preserve">         22.86亿</t>
  </si>
  <si>
    <t xml:space="preserve">  -0.81㈡</t>
  </si>
  <si>
    <t>众兴菌业</t>
  </si>
  <si>
    <t xml:space="preserve">         30.78亿</t>
  </si>
  <si>
    <t xml:space="preserve">         48.15亿</t>
  </si>
  <si>
    <t>康弘药业</t>
  </si>
  <si>
    <t xml:space="preserve">         59.66亿</t>
  </si>
  <si>
    <t xml:space="preserve">        125.75亿</t>
  </si>
  <si>
    <t xml:space="preserve">        167.34亿</t>
  </si>
  <si>
    <t>8.09万</t>
  </si>
  <si>
    <t>快意电梯</t>
  </si>
  <si>
    <t xml:space="preserve">         28.58亿</t>
  </si>
  <si>
    <t xml:space="preserve">         34.14亿</t>
  </si>
  <si>
    <t>0.756㈡</t>
  </si>
  <si>
    <t xml:space="preserve">  19.09㈡</t>
  </si>
  <si>
    <t>文科园林</t>
  </si>
  <si>
    <t xml:space="preserve">         12.02亿</t>
  </si>
  <si>
    <t xml:space="preserve">         21.43亿</t>
  </si>
  <si>
    <t xml:space="preserve">   2.79㈡</t>
  </si>
  <si>
    <t>久远银海</t>
  </si>
  <si>
    <t xml:space="preserve">         35.54亿</t>
  </si>
  <si>
    <t xml:space="preserve">         64.50亿</t>
  </si>
  <si>
    <t xml:space="preserve">         65.91亿</t>
  </si>
  <si>
    <t>17.62万</t>
  </si>
  <si>
    <t xml:space="preserve">   6.62㈡</t>
  </si>
  <si>
    <t>中晟高科</t>
  </si>
  <si>
    <t xml:space="preserve">         13.78亿</t>
  </si>
  <si>
    <t>18.35万</t>
  </si>
  <si>
    <t xml:space="preserve">   8.61㈡</t>
  </si>
  <si>
    <t>中坚科技</t>
  </si>
  <si>
    <t xml:space="preserve">          5.05亿</t>
  </si>
  <si>
    <t xml:space="preserve">         14.79亿</t>
  </si>
  <si>
    <t>5.47万</t>
  </si>
  <si>
    <t>三夫户外</t>
  </si>
  <si>
    <t xml:space="preserve">         16.80亿</t>
  </si>
  <si>
    <t xml:space="preserve">         25.79亿</t>
  </si>
  <si>
    <t>13.03万</t>
  </si>
  <si>
    <t>奇信股份</t>
  </si>
  <si>
    <t xml:space="preserve">          7.17亿</t>
  </si>
  <si>
    <t xml:space="preserve">         15.47亿</t>
  </si>
  <si>
    <t>3.27万</t>
  </si>
  <si>
    <t>-0.330㈡</t>
  </si>
  <si>
    <t xml:space="preserve">  -5.58㈡</t>
  </si>
  <si>
    <t>可立克</t>
  </si>
  <si>
    <t xml:space="preserve">         59.48亿</t>
  </si>
  <si>
    <t xml:space="preserve">         60.52亿</t>
  </si>
  <si>
    <t>0.091㈡</t>
  </si>
  <si>
    <t>凯龙股份</t>
  </si>
  <si>
    <t xml:space="preserve">         40.23亿</t>
  </si>
  <si>
    <t>14.08万</t>
  </si>
  <si>
    <t xml:space="preserve">   1.76㈡</t>
  </si>
  <si>
    <t>万里石</t>
  </si>
  <si>
    <t xml:space="preserve">         28.92亿</t>
  </si>
  <si>
    <t xml:space="preserve">         33.09亿</t>
  </si>
  <si>
    <t xml:space="preserve">         40.64亿</t>
  </si>
  <si>
    <t>银宝山新</t>
  </si>
  <si>
    <t xml:space="preserve">         10.31亿</t>
  </si>
  <si>
    <t xml:space="preserve">         26.51亿</t>
  </si>
  <si>
    <t xml:space="preserve">         34.59亿</t>
  </si>
  <si>
    <t>2.86万</t>
  </si>
  <si>
    <t>-0.350㈡</t>
  </si>
  <si>
    <t xml:space="preserve"> -16.30㈡</t>
  </si>
  <si>
    <t>华源控股</t>
  </si>
  <si>
    <t xml:space="preserve">          8.53亿</t>
  </si>
  <si>
    <t xml:space="preserve">         10.57亿</t>
  </si>
  <si>
    <t>鹭燕医药</t>
  </si>
  <si>
    <t xml:space="preserve">         18.03亿</t>
  </si>
  <si>
    <t xml:space="preserve">         29.46亿</t>
  </si>
  <si>
    <t>6.10万</t>
  </si>
  <si>
    <t xml:space="preserve">   6.37㈡</t>
  </si>
  <si>
    <t>建艺集团</t>
  </si>
  <si>
    <t xml:space="preserve">          8.36亿</t>
  </si>
  <si>
    <t xml:space="preserve">         10.22亿</t>
  </si>
  <si>
    <t xml:space="preserve">         18.76亿</t>
  </si>
  <si>
    <t xml:space="preserve">   1.54㈡</t>
  </si>
  <si>
    <t>瑞尔特</t>
  </si>
  <si>
    <t xml:space="preserve">          8.22亿</t>
  </si>
  <si>
    <t>坚朗五金</t>
  </si>
  <si>
    <t xml:space="preserve">        146.86亿</t>
  </si>
  <si>
    <t xml:space="preserve">        216.74亿</t>
  </si>
  <si>
    <t xml:space="preserve">        433.44亿</t>
  </si>
  <si>
    <t>110.24万</t>
  </si>
  <si>
    <t>1.180㈡</t>
  </si>
  <si>
    <t>通宇通讯</t>
  </si>
  <si>
    <t xml:space="preserve">         19.94亿</t>
  </si>
  <si>
    <t xml:space="preserve">         54.29亿</t>
  </si>
  <si>
    <t>6.93万</t>
  </si>
  <si>
    <t xml:space="preserve">   3.34㈡</t>
  </si>
  <si>
    <t>罗欣药业</t>
  </si>
  <si>
    <t xml:space="preserve">         36.82亿</t>
  </si>
  <si>
    <t xml:space="preserve">        140.98亿</t>
  </si>
  <si>
    <t xml:space="preserve">   6.85㈡</t>
  </si>
  <si>
    <t>永和智控</t>
  </si>
  <si>
    <t xml:space="preserve">         11.92亿</t>
  </si>
  <si>
    <t xml:space="preserve">         23.68亿</t>
  </si>
  <si>
    <t xml:space="preserve">   3.79㈡</t>
  </si>
  <si>
    <t>世嘉科技</t>
  </si>
  <si>
    <t xml:space="preserve">         13.17亿</t>
  </si>
  <si>
    <t xml:space="preserve">         20.94亿</t>
  </si>
  <si>
    <t xml:space="preserve">  -1.04㈡</t>
  </si>
  <si>
    <t>第一创业</t>
  </si>
  <si>
    <t xml:space="preserve">        245.34亿</t>
  </si>
  <si>
    <t xml:space="preserve">        303.32亿</t>
  </si>
  <si>
    <t xml:space="preserve">        308.46亿</t>
  </si>
  <si>
    <t>9.16万</t>
  </si>
  <si>
    <t>帝欧家居</t>
  </si>
  <si>
    <t xml:space="preserve">         25.62亿</t>
  </si>
  <si>
    <t xml:space="preserve">         53.35亿</t>
  </si>
  <si>
    <t xml:space="preserve">   6.11㈡</t>
  </si>
  <si>
    <t>环球印务</t>
  </si>
  <si>
    <t xml:space="preserve">         12.79亿</t>
  </si>
  <si>
    <t xml:space="preserve">         34.02亿</t>
  </si>
  <si>
    <t xml:space="preserve">  10.16㈡</t>
  </si>
  <si>
    <t>天顺股份</t>
  </si>
  <si>
    <t xml:space="preserve">          7.14亿</t>
  </si>
  <si>
    <t xml:space="preserve">         13.75亿</t>
  </si>
  <si>
    <t>6.18万</t>
  </si>
  <si>
    <t xml:space="preserve">   3.30㈡</t>
  </si>
  <si>
    <t>微光股份</t>
  </si>
  <si>
    <t xml:space="preserve">         20.05亿</t>
  </si>
  <si>
    <t xml:space="preserve">         40.60亿</t>
  </si>
  <si>
    <t>9.00万</t>
  </si>
  <si>
    <t xml:space="preserve">   8.37㈡</t>
  </si>
  <si>
    <t>洪汇新材</t>
  </si>
  <si>
    <t>12.41万</t>
  </si>
  <si>
    <t xml:space="preserve">   7.09㈡</t>
  </si>
  <si>
    <t>吉宏股份</t>
  </si>
  <si>
    <t xml:space="preserve">         66.26亿</t>
  </si>
  <si>
    <t>9.79万</t>
  </si>
  <si>
    <t xml:space="preserve">   9.45㈡</t>
  </si>
  <si>
    <t>丰元股份</t>
  </si>
  <si>
    <t xml:space="preserve">         24.92亿</t>
  </si>
  <si>
    <t xml:space="preserve">         52.12亿</t>
  </si>
  <si>
    <t>华锋股份</t>
  </si>
  <si>
    <t xml:space="preserve">         24.35亿</t>
  </si>
  <si>
    <t xml:space="preserve">         26.88亿</t>
  </si>
  <si>
    <t>8.70万</t>
  </si>
  <si>
    <t>江阴银行</t>
  </si>
  <si>
    <t xml:space="preserve">         85.69亿</t>
  </si>
  <si>
    <t xml:space="preserve">         85.79亿</t>
  </si>
  <si>
    <t>13.37万</t>
  </si>
  <si>
    <t xml:space="preserve">   3.85㈡</t>
  </si>
  <si>
    <t>恒久科技</t>
  </si>
  <si>
    <t xml:space="preserve">         23.25亿</t>
  </si>
  <si>
    <t>7.43万</t>
  </si>
  <si>
    <t xml:space="preserve">   1.23㈡</t>
  </si>
  <si>
    <t>红墙股份</t>
  </si>
  <si>
    <t xml:space="preserve">         10.70亿</t>
  </si>
  <si>
    <t xml:space="preserve">         24.04亿</t>
  </si>
  <si>
    <t>6.39万</t>
  </si>
  <si>
    <t>山东赫达</t>
  </si>
  <si>
    <t xml:space="preserve">         79.43亿</t>
  </si>
  <si>
    <t xml:space="preserve">        131.56亿</t>
  </si>
  <si>
    <t>58.94万</t>
  </si>
  <si>
    <t xml:space="preserve">  13.24㈡</t>
  </si>
  <si>
    <t>郑中设计</t>
  </si>
  <si>
    <t xml:space="preserve">          5.99亿</t>
  </si>
  <si>
    <t xml:space="preserve">         19.87亿</t>
  </si>
  <si>
    <t>恩捷股份</t>
  </si>
  <si>
    <t xml:space="preserve">       1372.38亿</t>
  </si>
  <si>
    <t xml:space="preserve">       2522.72亿</t>
  </si>
  <si>
    <t xml:space="preserve">       2614.21亿</t>
  </si>
  <si>
    <t>479.23万</t>
  </si>
  <si>
    <t xml:space="preserve">   8.67㈡</t>
  </si>
  <si>
    <t>路畅科技</t>
  </si>
  <si>
    <t xml:space="preserve">          8.51亿</t>
  </si>
  <si>
    <t>0.031㈡</t>
  </si>
  <si>
    <t>崇达技术</t>
  </si>
  <si>
    <t xml:space="preserve">         35.12亿</t>
  </si>
  <si>
    <t xml:space="preserve">         52.94亿</t>
  </si>
  <si>
    <t xml:space="preserve">        107.88亿</t>
  </si>
  <si>
    <t>和科达</t>
  </si>
  <si>
    <t xml:space="preserve">         13.81亿</t>
  </si>
  <si>
    <t xml:space="preserve">         19.90亿</t>
  </si>
  <si>
    <t>21.63万</t>
  </si>
  <si>
    <t xml:space="preserve">  -4.50㈡</t>
  </si>
  <si>
    <t>黄山胶囊</t>
  </si>
  <si>
    <t xml:space="preserve">         12.07亿</t>
  </si>
  <si>
    <t xml:space="preserve">         12.46亿</t>
  </si>
  <si>
    <t xml:space="preserve">         21.83亿</t>
  </si>
  <si>
    <t>富森美</t>
  </si>
  <si>
    <t xml:space="preserve">         20.08亿</t>
  </si>
  <si>
    <t xml:space="preserve">         40.35亿</t>
  </si>
  <si>
    <t xml:space="preserve">        101.19亿</t>
  </si>
  <si>
    <t>9.89万</t>
  </si>
  <si>
    <t>东方中科</t>
  </si>
  <si>
    <t xml:space="preserve">         25.01亿</t>
  </si>
  <si>
    <t xml:space="preserve">         57.90亿</t>
  </si>
  <si>
    <t xml:space="preserve">         66.23亿</t>
  </si>
  <si>
    <t>25.65万</t>
  </si>
  <si>
    <t>桂发祥</t>
  </si>
  <si>
    <t xml:space="preserve">         20.56亿</t>
  </si>
  <si>
    <t>凯莱英</t>
  </si>
  <si>
    <t xml:space="preserve">        594.15亿</t>
  </si>
  <si>
    <t xml:space="preserve">        975.23亿</t>
  </si>
  <si>
    <t xml:space="preserve">       1015.33亿</t>
  </si>
  <si>
    <t>222.87万</t>
  </si>
  <si>
    <t>1.780㈡</t>
  </si>
  <si>
    <t>中装建设</t>
  </si>
  <si>
    <t xml:space="preserve">         24.69亿</t>
  </si>
  <si>
    <t>6.74万</t>
  </si>
  <si>
    <t>凯中精密</t>
  </si>
  <si>
    <t xml:space="preserve">         12.64亿</t>
  </si>
  <si>
    <t>和胜股份</t>
  </si>
  <si>
    <t xml:space="preserve">         23.19亿</t>
  </si>
  <si>
    <t xml:space="preserve">         35.79亿</t>
  </si>
  <si>
    <t xml:space="preserve">         58.19亿</t>
  </si>
  <si>
    <t>22.85万</t>
  </si>
  <si>
    <t xml:space="preserve">   8.12㈡</t>
  </si>
  <si>
    <t>纳尔股份</t>
  </si>
  <si>
    <t xml:space="preserve">         21.89亿</t>
  </si>
  <si>
    <t>11.87万</t>
  </si>
  <si>
    <t>易明医药</t>
  </si>
  <si>
    <t xml:space="preserve">         10.54亿</t>
  </si>
  <si>
    <t xml:space="preserve">         12.00亿</t>
  </si>
  <si>
    <t>高争民爆</t>
  </si>
  <si>
    <t xml:space="preserve">         10.86亿</t>
  </si>
  <si>
    <t xml:space="preserve">         29.75亿</t>
  </si>
  <si>
    <t>6.41万</t>
  </si>
  <si>
    <t>贝肯能源</t>
  </si>
  <si>
    <t xml:space="preserve">         13.13亿</t>
  </si>
  <si>
    <t xml:space="preserve">         13.87亿</t>
  </si>
  <si>
    <t>星网宇达</t>
  </si>
  <si>
    <t xml:space="preserve">         25.28亿</t>
  </si>
  <si>
    <t xml:space="preserve">         30.67亿</t>
  </si>
  <si>
    <t xml:space="preserve">         49.31亿</t>
  </si>
  <si>
    <t>16.08万</t>
  </si>
  <si>
    <t>名雕股份</t>
  </si>
  <si>
    <t xml:space="preserve">          4.54亿</t>
  </si>
  <si>
    <t xml:space="preserve">          6.97亿</t>
  </si>
  <si>
    <t>裕同科技</t>
  </si>
  <si>
    <t xml:space="preserve">        103.82亿</t>
  </si>
  <si>
    <t xml:space="preserve">        155.44亿</t>
  </si>
  <si>
    <t xml:space="preserve">        278.22亿</t>
  </si>
  <si>
    <t>75.79万</t>
  </si>
  <si>
    <t>比音勒芬</t>
  </si>
  <si>
    <t xml:space="preserve">         74.13亿</t>
  </si>
  <si>
    <t xml:space="preserve">        100.10亿</t>
  </si>
  <si>
    <t xml:space="preserve">        149.32亿</t>
  </si>
  <si>
    <t>弘亚数控</t>
  </si>
  <si>
    <t xml:space="preserve">         58.64亿</t>
  </si>
  <si>
    <t xml:space="preserve">         71.80亿</t>
  </si>
  <si>
    <t xml:space="preserve">        120.97亿</t>
  </si>
  <si>
    <t>47.59万</t>
  </si>
  <si>
    <t xml:space="preserve">  15.21㈡</t>
  </si>
  <si>
    <t>同为股份</t>
  </si>
  <si>
    <t xml:space="preserve">          7.95亿</t>
  </si>
  <si>
    <t xml:space="preserve">         12.65亿</t>
  </si>
  <si>
    <t>新宏泽</t>
  </si>
  <si>
    <t xml:space="preserve">          3.83亿</t>
  </si>
  <si>
    <t xml:space="preserve">         13.74亿</t>
  </si>
  <si>
    <t>英维克</t>
  </si>
  <si>
    <t xml:space="preserve">         49.17亿</t>
  </si>
  <si>
    <t xml:space="preserve">         77.88亿</t>
  </si>
  <si>
    <t xml:space="preserve">         99.25亿</t>
  </si>
  <si>
    <t>14.95万</t>
  </si>
  <si>
    <t>道恩股份</t>
  </si>
  <si>
    <t xml:space="preserve">         57.58亿</t>
  </si>
  <si>
    <t xml:space="preserve">         67.60亿</t>
  </si>
  <si>
    <t>4.71万</t>
  </si>
  <si>
    <t>张家港行</t>
  </si>
  <si>
    <t xml:space="preserve">         75.67亿</t>
  </si>
  <si>
    <t xml:space="preserve">         90.71亿</t>
  </si>
  <si>
    <t xml:space="preserve">        107.75亿</t>
  </si>
  <si>
    <t>9.87万</t>
  </si>
  <si>
    <t>华统股份</t>
  </si>
  <si>
    <t xml:space="preserve">         44.97亿</t>
  </si>
  <si>
    <t>13.25万</t>
  </si>
  <si>
    <t xml:space="preserve">   8.14㈡</t>
  </si>
  <si>
    <t>视源股份</t>
  </si>
  <si>
    <t xml:space="preserve">        250.86亿</t>
  </si>
  <si>
    <t xml:space="preserve">        361.83亿</t>
  </si>
  <si>
    <t xml:space="preserve">        534.57亿</t>
  </si>
  <si>
    <t>164.21万</t>
  </si>
  <si>
    <t>翔鹭钨业</t>
  </si>
  <si>
    <t xml:space="preserve">         17.07亿</t>
  </si>
  <si>
    <t xml:space="preserve">         26.93亿</t>
  </si>
  <si>
    <t xml:space="preserve">         31.42亿</t>
  </si>
  <si>
    <t>泰嘉股份</t>
  </si>
  <si>
    <t xml:space="preserve">          8.05亿</t>
  </si>
  <si>
    <t xml:space="preserve">         19.76亿</t>
  </si>
  <si>
    <t>同兴达</t>
  </si>
  <si>
    <t xml:space="preserve">         34.93亿</t>
  </si>
  <si>
    <t xml:space="preserve">         68.49亿</t>
  </si>
  <si>
    <t>19.40万</t>
  </si>
  <si>
    <t>1.050㈡</t>
  </si>
  <si>
    <t xml:space="preserve">   9.47㈡</t>
  </si>
  <si>
    <t>英联股份</t>
  </si>
  <si>
    <t xml:space="preserve">          8.31亿</t>
  </si>
  <si>
    <t>盐津铺子</t>
  </si>
  <si>
    <t xml:space="preserve">         21.69亿</t>
  </si>
  <si>
    <t xml:space="preserve">         60.50亿</t>
  </si>
  <si>
    <t xml:space="preserve">         69.08亿</t>
  </si>
  <si>
    <t xml:space="preserve">   6.52㈡</t>
  </si>
  <si>
    <t>高斯贝尔</t>
  </si>
  <si>
    <t xml:space="preserve">          8.80亿</t>
  </si>
  <si>
    <t xml:space="preserve">         14.07亿</t>
  </si>
  <si>
    <t>-0.235㈡</t>
  </si>
  <si>
    <t xml:space="preserve"> -12.55㈡</t>
  </si>
  <si>
    <t>威星智能</t>
  </si>
  <si>
    <t xml:space="preserve">          9.88亿</t>
  </si>
  <si>
    <t xml:space="preserve">         13.10亿</t>
  </si>
  <si>
    <t xml:space="preserve">         17.23亿</t>
  </si>
  <si>
    <t>8.81万</t>
  </si>
  <si>
    <t xml:space="preserve">   4.63㈡</t>
  </si>
  <si>
    <t>科达利</t>
  </si>
  <si>
    <t xml:space="preserve">        138.23亿</t>
  </si>
  <si>
    <t xml:space="preserve">        176.24亿</t>
  </si>
  <si>
    <t xml:space="preserve">        266.60亿</t>
  </si>
  <si>
    <t>101.41万</t>
  </si>
  <si>
    <t>麦格米特</t>
  </si>
  <si>
    <t xml:space="preserve">         97.36亿</t>
  </si>
  <si>
    <t xml:space="preserve">        118.71亿</t>
  </si>
  <si>
    <t xml:space="preserve">        153.65亿</t>
  </si>
  <si>
    <t>64.91万</t>
  </si>
  <si>
    <t>道道全</t>
  </si>
  <si>
    <t xml:space="preserve">         29.15亿</t>
  </si>
  <si>
    <t xml:space="preserve">         39.07亿</t>
  </si>
  <si>
    <t>7.44万</t>
  </si>
  <si>
    <t xml:space="preserve">   6.49㈡</t>
  </si>
  <si>
    <t>皮阿诺</t>
  </si>
  <si>
    <t xml:space="preserve">         16.03亿</t>
  </si>
  <si>
    <t>13.94万</t>
  </si>
  <si>
    <t>捷荣技术</t>
  </si>
  <si>
    <t xml:space="preserve">          8.12亿</t>
  </si>
  <si>
    <t xml:space="preserve">         22.34亿</t>
  </si>
  <si>
    <t xml:space="preserve">   0.23㈡</t>
  </si>
  <si>
    <t>美芝股份</t>
  </si>
  <si>
    <t xml:space="preserve">          5.85亿</t>
  </si>
  <si>
    <t xml:space="preserve">         11.14亿</t>
  </si>
  <si>
    <t xml:space="preserve">  -1.61㈡</t>
  </si>
  <si>
    <t>三晖电气</t>
  </si>
  <si>
    <t xml:space="preserve">         11.02亿</t>
  </si>
  <si>
    <t xml:space="preserve">         19.48亿</t>
  </si>
  <si>
    <t>19.95万</t>
  </si>
  <si>
    <t>-0.001㈡</t>
  </si>
  <si>
    <t xml:space="preserve">  -0.03㈡</t>
  </si>
  <si>
    <t>力盛赛车</t>
  </si>
  <si>
    <t xml:space="preserve">         14.23亿</t>
  </si>
  <si>
    <t xml:space="preserve">         23.40亿</t>
  </si>
  <si>
    <t>15.11万</t>
  </si>
  <si>
    <t>洁美科技</t>
  </si>
  <si>
    <t xml:space="preserve">        116.14亿</t>
  </si>
  <si>
    <t xml:space="preserve">        118.21亿</t>
  </si>
  <si>
    <t>25.90万</t>
  </si>
  <si>
    <t>星帅尔</t>
  </si>
  <si>
    <t xml:space="preserve">         18.93亿</t>
  </si>
  <si>
    <t xml:space="preserve">         27.16亿</t>
  </si>
  <si>
    <t xml:space="preserve">         37.55亿</t>
  </si>
  <si>
    <t>瀛通通讯</t>
  </si>
  <si>
    <t xml:space="preserve">          7.75亿</t>
  </si>
  <si>
    <t xml:space="preserve">         13.21亿</t>
  </si>
  <si>
    <t xml:space="preserve">         19.17亿</t>
  </si>
  <si>
    <t>5.89万</t>
  </si>
  <si>
    <t>实丰文化</t>
  </si>
  <si>
    <t xml:space="preserve">         13.06亿</t>
  </si>
  <si>
    <t xml:space="preserve">         18.78亿</t>
  </si>
  <si>
    <t>9.26万</t>
  </si>
  <si>
    <t>今飞凯达</t>
  </si>
  <si>
    <t xml:space="preserve">         26.74亿</t>
  </si>
  <si>
    <t>4.98万</t>
  </si>
  <si>
    <t>盘龙药业</t>
  </si>
  <si>
    <t xml:space="preserve">         10.65亿</t>
  </si>
  <si>
    <t xml:space="preserve">         12.92亿</t>
  </si>
  <si>
    <t xml:space="preserve">         20.25亿</t>
  </si>
  <si>
    <t xml:space="preserve">   5.73㈡</t>
  </si>
  <si>
    <t>钧达股份</t>
  </si>
  <si>
    <t xml:space="preserve">         16.04亿</t>
  </si>
  <si>
    <t xml:space="preserve">         41.00亿</t>
  </si>
  <si>
    <t>21.18万</t>
  </si>
  <si>
    <t>-0.270㈡</t>
  </si>
  <si>
    <t xml:space="preserve">  -3.29㈡</t>
  </si>
  <si>
    <t>传艺科技</t>
  </si>
  <si>
    <t xml:space="preserve">         22.87亿</t>
  </si>
  <si>
    <t xml:space="preserve">         38.40亿</t>
  </si>
  <si>
    <t>10.33万</t>
  </si>
  <si>
    <t xml:space="preserve">   5.74㈡</t>
  </si>
  <si>
    <t>周大生</t>
  </si>
  <si>
    <t xml:space="preserve">         74.56亿</t>
  </si>
  <si>
    <t xml:space="preserve">        207.66亿</t>
  </si>
  <si>
    <t xml:space="preserve">        212.12亿</t>
  </si>
  <si>
    <t>23.59万</t>
  </si>
  <si>
    <t xml:space="preserve">  10.94㈡</t>
  </si>
  <si>
    <t>绿康生化</t>
  </si>
  <si>
    <t xml:space="preserve">          4.36亿</t>
  </si>
  <si>
    <t xml:space="preserve">         16.57亿</t>
  </si>
  <si>
    <t xml:space="preserve">   0.88㈡</t>
  </si>
  <si>
    <t>金溢科技</t>
  </si>
  <si>
    <t xml:space="preserve">         23.61亿</t>
  </si>
  <si>
    <t xml:space="preserve">         27.64亿</t>
  </si>
  <si>
    <t>香山股份</t>
  </si>
  <si>
    <t xml:space="preserve">          8.67亿</t>
  </si>
  <si>
    <t xml:space="preserve">         16.69亿</t>
  </si>
  <si>
    <t>10.50万</t>
  </si>
  <si>
    <t>伟隆股份</t>
  </si>
  <si>
    <t xml:space="preserve">          5.15亿</t>
  </si>
  <si>
    <t xml:space="preserve">          8.76亿</t>
  </si>
  <si>
    <t>5.66万</t>
  </si>
  <si>
    <t>新天药业</t>
  </si>
  <si>
    <t xml:space="preserve">          9.35亿</t>
  </si>
  <si>
    <t xml:space="preserve">   5.53㈡</t>
  </si>
  <si>
    <t>安奈儿</t>
  </si>
  <si>
    <t xml:space="preserve">          4.68亿</t>
  </si>
  <si>
    <t xml:space="preserve">          7.47亿</t>
  </si>
  <si>
    <t>三利谱</t>
  </si>
  <si>
    <t xml:space="preserve">         62.49亿</t>
  </si>
  <si>
    <t xml:space="preserve">         77.06亿</t>
  </si>
  <si>
    <t>48.41万</t>
  </si>
  <si>
    <t>1.070㈡</t>
  </si>
  <si>
    <t xml:space="preserve">   9.49㈡</t>
  </si>
  <si>
    <t>智能自控</t>
  </si>
  <si>
    <t xml:space="preserve">          6.70亿</t>
  </si>
  <si>
    <t xml:space="preserve">         21.98亿</t>
  </si>
  <si>
    <t xml:space="preserve">   2.87㈡</t>
  </si>
  <si>
    <t>元隆雅图</t>
  </si>
  <si>
    <t xml:space="preserve">         11.49亿</t>
  </si>
  <si>
    <t xml:space="preserve">         30.00亿</t>
  </si>
  <si>
    <t xml:space="preserve">   6.98㈡</t>
  </si>
  <si>
    <t>长缆科技</t>
  </si>
  <si>
    <t xml:space="preserve">         24.70亿</t>
  </si>
  <si>
    <t xml:space="preserve">         28.14亿</t>
  </si>
  <si>
    <t>18.73万</t>
  </si>
  <si>
    <t>卫光生物</t>
  </si>
  <si>
    <t xml:space="preserve">         19.23亿</t>
  </si>
  <si>
    <t xml:space="preserve">         69.95亿</t>
  </si>
  <si>
    <t>17.55万</t>
  </si>
  <si>
    <t>美格智能</t>
  </si>
  <si>
    <t xml:space="preserve">         11.67亿</t>
  </si>
  <si>
    <t xml:space="preserve">         29.21亿</t>
  </si>
  <si>
    <t xml:space="preserve">         52.08亿</t>
  </si>
  <si>
    <t xml:space="preserve">   7.99㈡</t>
  </si>
  <si>
    <t>金龙羽</t>
  </si>
  <si>
    <t xml:space="preserve">         11.90亿</t>
  </si>
  <si>
    <t xml:space="preserve">         57.56亿</t>
  </si>
  <si>
    <t xml:space="preserve">         57.79亿</t>
  </si>
  <si>
    <t>中设股份</t>
  </si>
  <si>
    <t xml:space="preserve">          6.68亿</t>
  </si>
  <si>
    <t xml:space="preserve">          9.67亿</t>
  </si>
  <si>
    <t xml:space="preserve">         14.09亿</t>
  </si>
  <si>
    <t>凌霄泵业</t>
  </si>
  <si>
    <t xml:space="preserve">         75.10亿</t>
  </si>
  <si>
    <t>33.17万</t>
  </si>
  <si>
    <t xml:space="preserve">  11.26㈡</t>
  </si>
  <si>
    <t>京泉华</t>
  </si>
  <si>
    <t xml:space="preserve">         10.32亿</t>
  </si>
  <si>
    <t xml:space="preserve">         24.03亿</t>
  </si>
  <si>
    <t xml:space="preserve">   0.54㈡</t>
  </si>
  <si>
    <t>沃特股份</t>
  </si>
  <si>
    <t xml:space="preserve">         55.96亿</t>
  </si>
  <si>
    <t>16.18万</t>
  </si>
  <si>
    <t>绿茵生态</t>
  </si>
  <si>
    <t xml:space="preserve">         10.67亿</t>
  </si>
  <si>
    <t xml:space="preserve">         17.04亿</t>
  </si>
  <si>
    <t>5.41万</t>
  </si>
  <si>
    <t>0.353㈡</t>
  </si>
  <si>
    <t xml:space="preserve">   5.09㈡</t>
  </si>
  <si>
    <t>惠威科技</t>
  </si>
  <si>
    <t xml:space="preserve">          6.06亿</t>
  </si>
  <si>
    <t xml:space="preserve">          9.17亿</t>
  </si>
  <si>
    <t>东方嘉盛</t>
  </si>
  <si>
    <t xml:space="preserve">         13.47亿</t>
  </si>
  <si>
    <t>13.89万</t>
  </si>
  <si>
    <t>弘宇股份</t>
  </si>
  <si>
    <t xml:space="preserve">          8.04亿</t>
  </si>
  <si>
    <t xml:space="preserve">         17.01亿</t>
  </si>
  <si>
    <t xml:space="preserve">   1.74㈡</t>
  </si>
  <si>
    <t>中宠股份</t>
  </si>
  <si>
    <t xml:space="preserve">         38.68亿</t>
  </si>
  <si>
    <t xml:space="preserve">         84.50亿</t>
  </si>
  <si>
    <t>13.20万</t>
  </si>
  <si>
    <t>0.206㈡</t>
  </si>
  <si>
    <t>科力尔</t>
  </si>
  <si>
    <t xml:space="preserve">         22.60亿</t>
  </si>
  <si>
    <t xml:space="preserve">         66.47亿</t>
  </si>
  <si>
    <t>13.66万</t>
  </si>
  <si>
    <t>0.195㈡</t>
  </si>
  <si>
    <t>华通热力</t>
  </si>
  <si>
    <t xml:space="preserve">         10.14亿</t>
  </si>
  <si>
    <t xml:space="preserve">         19.55亿</t>
  </si>
  <si>
    <t xml:space="preserve">         19.65亿</t>
  </si>
  <si>
    <t>3.85万</t>
  </si>
  <si>
    <t xml:space="preserve">  10.76㈡</t>
  </si>
  <si>
    <t>川恒股份</t>
  </si>
  <si>
    <t xml:space="preserve">         83.83亿</t>
  </si>
  <si>
    <t xml:space="preserve">        234.65亿</t>
  </si>
  <si>
    <t xml:space="preserve">        236.89亿</t>
  </si>
  <si>
    <t>36.65万</t>
  </si>
  <si>
    <t>中大力德</t>
  </si>
  <si>
    <t xml:space="preserve">          9.84亿</t>
  </si>
  <si>
    <t xml:space="preserve">         22.97亿</t>
  </si>
  <si>
    <t>10.08万</t>
  </si>
  <si>
    <t>意华股份</t>
  </si>
  <si>
    <t xml:space="preserve">         66.29亿</t>
  </si>
  <si>
    <t>赛隆药业</t>
  </si>
  <si>
    <t xml:space="preserve">          5.13亿</t>
  </si>
  <si>
    <t xml:space="preserve">          9.82亿</t>
  </si>
  <si>
    <t xml:space="preserve">         17.11亿</t>
  </si>
  <si>
    <t xml:space="preserve">   1.58㈡</t>
  </si>
  <si>
    <t>英派斯</t>
  </si>
  <si>
    <t xml:space="preserve">         18.22亿</t>
  </si>
  <si>
    <t>8.28万</t>
  </si>
  <si>
    <t xml:space="preserve">   1.79㈡</t>
  </si>
  <si>
    <t>哈三联</t>
  </si>
  <si>
    <t xml:space="preserve">         23.57亿</t>
  </si>
  <si>
    <t xml:space="preserve">         35.08亿</t>
  </si>
  <si>
    <t xml:space="preserve">         65.16亿</t>
  </si>
  <si>
    <t>3.64万</t>
  </si>
  <si>
    <t>1.890㈡</t>
  </si>
  <si>
    <t xml:space="preserve">  25.09㈡</t>
  </si>
  <si>
    <t>大博医疗</t>
  </si>
  <si>
    <t xml:space="preserve">         26.87亿</t>
  </si>
  <si>
    <t xml:space="preserve">        189.04亿</t>
  </si>
  <si>
    <t xml:space="preserve">        224.85亿</t>
  </si>
  <si>
    <t>10.63万</t>
  </si>
  <si>
    <t xml:space="preserve">  15.04㈡</t>
  </si>
  <si>
    <t>铭普光磁</t>
  </si>
  <si>
    <t xml:space="preserve">         15.72亿</t>
  </si>
  <si>
    <t xml:space="preserve">         18.13亿</t>
  </si>
  <si>
    <t xml:space="preserve">         28.79亿</t>
  </si>
  <si>
    <t xml:space="preserve">   0.30㈡</t>
  </si>
  <si>
    <t>宇环数控</t>
  </si>
  <si>
    <t xml:space="preserve">         13.68亿</t>
  </si>
  <si>
    <t xml:space="preserve">         30.41亿</t>
  </si>
  <si>
    <t>金逸影视</t>
  </si>
  <si>
    <t xml:space="preserve">          6.75亿</t>
  </si>
  <si>
    <t xml:space="preserve">         26.98亿</t>
  </si>
  <si>
    <t>2.89万</t>
  </si>
  <si>
    <t xml:space="preserve">  -8.36㈡</t>
  </si>
  <si>
    <t>华阳集团</t>
  </si>
  <si>
    <t xml:space="preserve">         41.63亿</t>
  </si>
  <si>
    <t xml:space="preserve">        178.16亿</t>
  </si>
  <si>
    <t xml:space="preserve">        178.96亿</t>
  </si>
  <si>
    <t>19.48万</t>
  </si>
  <si>
    <t xml:space="preserve">   3.75㈡</t>
  </si>
  <si>
    <t>华森制药</t>
  </si>
  <si>
    <t xml:space="preserve">         34.34亿</t>
  </si>
  <si>
    <t xml:space="preserve">         48.52亿</t>
  </si>
  <si>
    <t>3.34万</t>
  </si>
  <si>
    <t xml:space="preserve">   4.58㈡</t>
  </si>
  <si>
    <t>德生科技</t>
  </si>
  <si>
    <t xml:space="preserve">         20.85亿</t>
  </si>
  <si>
    <t xml:space="preserve">         23.85亿</t>
  </si>
  <si>
    <t xml:space="preserve">         32.39亿</t>
  </si>
  <si>
    <t>12.73万</t>
  </si>
  <si>
    <t xml:space="preserve">   3.26㈡</t>
  </si>
  <si>
    <t>集泰股份</t>
  </si>
  <si>
    <t xml:space="preserve">         11.33亿</t>
  </si>
  <si>
    <t xml:space="preserve">         25.53亿</t>
  </si>
  <si>
    <t>9.78万</t>
  </si>
  <si>
    <t>庄园牧场</t>
  </si>
  <si>
    <t xml:space="preserve">         20.47亿</t>
  </si>
  <si>
    <t>4.25万</t>
  </si>
  <si>
    <t>佛燃能源</t>
  </si>
  <si>
    <t xml:space="preserve">         12.33亿</t>
  </si>
  <si>
    <t xml:space="preserve">        111.76亿</t>
  </si>
  <si>
    <t xml:space="preserve">        111.82亿</t>
  </si>
  <si>
    <t>5.95万</t>
  </si>
  <si>
    <t xml:space="preserve">   7.98㈡</t>
  </si>
  <si>
    <t>中新赛克</t>
  </si>
  <si>
    <t xml:space="preserve">         40.85亿</t>
  </si>
  <si>
    <t xml:space="preserve">         61.12亿</t>
  </si>
  <si>
    <t xml:space="preserve">  -2.61㈡</t>
  </si>
  <si>
    <t>奥士康</t>
  </si>
  <si>
    <t xml:space="preserve">         31.90亿</t>
  </si>
  <si>
    <t xml:space="preserve">        109.64亿</t>
  </si>
  <si>
    <t xml:space="preserve">        135.12亿</t>
  </si>
  <si>
    <t>38.99万</t>
  </si>
  <si>
    <t xml:space="preserve">   7.69㈡</t>
  </si>
  <si>
    <t>中欣氟材</t>
  </si>
  <si>
    <t xml:space="preserve">         40.12亿</t>
  </si>
  <si>
    <t xml:space="preserve">         63.46亿</t>
  </si>
  <si>
    <t>22.26万</t>
  </si>
  <si>
    <t>深南电路</t>
  </si>
  <si>
    <t xml:space="preserve">        140.64亿</t>
  </si>
  <si>
    <t xml:space="preserve">        436.55亿</t>
  </si>
  <si>
    <t xml:space="preserve">        441.36亿</t>
  </si>
  <si>
    <t>16.10万</t>
  </si>
  <si>
    <t>金奥博</t>
  </si>
  <si>
    <t xml:space="preserve">         16.31亿</t>
  </si>
  <si>
    <t xml:space="preserve">         23.82亿</t>
  </si>
  <si>
    <t>蒙娜丽莎</t>
  </si>
  <si>
    <t xml:space="preserve">         49.04亿</t>
  </si>
  <si>
    <t xml:space="preserve">         93.88亿</t>
  </si>
  <si>
    <t>16.00万</t>
  </si>
  <si>
    <t>名臣健康</t>
  </si>
  <si>
    <t xml:space="preserve">         29.98亿</t>
  </si>
  <si>
    <t>底部反转</t>
  </si>
  <si>
    <t>45.13万</t>
  </si>
  <si>
    <t xml:space="preserve">  13.68㈡</t>
  </si>
  <si>
    <t>德赛西威</t>
  </si>
  <si>
    <t xml:space="preserve">        176.27亿</t>
  </si>
  <si>
    <t xml:space="preserve">        422.83亿</t>
  </si>
  <si>
    <t xml:space="preserve">        422.95亿</t>
  </si>
  <si>
    <t>74.98万</t>
  </si>
  <si>
    <t>联诚精密</t>
  </si>
  <si>
    <t xml:space="preserve">          8.86亿</t>
  </si>
  <si>
    <t xml:space="preserve">         13.25亿</t>
  </si>
  <si>
    <t xml:space="preserve">         17.17亿</t>
  </si>
  <si>
    <t>8.99万</t>
  </si>
  <si>
    <t>伊戈尔</t>
  </si>
  <si>
    <t xml:space="preserve">         26.16亿</t>
  </si>
  <si>
    <t xml:space="preserve">         41.47亿</t>
  </si>
  <si>
    <t xml:space="preserve">         44.39亿</t>
  </si>
  <si>
    <t>8.53万</t>
  </si>
  <si>
    <t xml:space="preserve">   9.17㈡</t>
  </si>
  <si>
    <t>润都股份</t>
  </si>
  <si>
    <t xml:space="preserve">         24.40亿</t>
  </si>
  <si>
    <t xml:space="preserve">         62.70亿</t>
  </si>
  <si>
    <t>25.81万</t>
  </si>
  <si>
    <t>盈趣科技</t>
  </si>
  <si>
    <t xml:space="preserve">         72.28亿</t>
  </si>
  <si>
    <t xml:space="preserve">        224.87亿</t>
  </si>
  <si>
    <t xml:space="preserve">        241.15亿</t>
  </si>
  <si>
    <t>36.71万</t>
  </si>
  <si>
    <t>0.730㈡</t>
  </si>
  <si>
    <t xml:space="preserve">  11.63㈡</t>
  </si>
  <si>
    <t>华西证券</t>
  </si>
  <si>
    <t xml:space="preserve">        137.49亿</t>
  </si>
  <si>
    <t xml:space="preserve">        257.77亿</t>
  </si>
  <si>
    <t>泰永长征</t>
  </si>
  <si>
    <t xml:space="preserve">          8.37亿</t>
  </si>
  <si>
    <t>华夏航空</t>
  </si>
  <si>
    <t xml:space="preserve">         43.08亿</t>
  </si>
  <si>
    <t xml:space="preserve">        102.07亿</t>
  </si>
  <si>
    <t>23.87万</t>
  </si>
  <si>
    <t xml:space="preserve">   0.31㈡</t>
  </si>
  <si>
    <t>润建股份</t>
  </si>
  <si>
    <t xml:space="preserve">         29.16亿</t>
  </si>
  <si>
    <t xml:space="preserve">         49.08亿</t>
  </si>
  <si>
    <t>12.80万</t>
  </si>
  <si>
    <t>宏川智慧</t>
  </si>
  <si>
    <t xml:space="preserve">         75.02亿</t>
  </si>
  <si>
    <t xml:space="preserve">         77.89亿</t>
  </si>
  <si>
    <t>17.47万</t>
  </si>
  <si>
    <t xml:space="preserve">   6.58㈡</t>
  </si>
  <si>
    <t>锋龙股份</t>
  </si>
  <si>
    <t xml:space="preserve">          8.42亿</t>
  </si>
  <si>
    <t>7.29万</t>
  </si>
  <si>
    <t>明德生物</t>
  </si>
  <si>
    <t xml:space="preserve">          4.67亿</t>
  </si>
  <si>
    <t xml:space="preserve">         37.38亿</t>
  </si>
  <si>
    <t xml:space="preserve">         61.24亿</t>
  </si>
  <si>
    <t>1.69万</t>
  </si>
  <si>
    <t>6.000㈡</t>
  </si>
  <si>
    <t xml:space="preserve">  33.70㈡</t>
  </si>
  <si>
    <t>新兴装备</t>
  </si>
  <si>
    <t>8.22万</t>
  </si>
  <si>
    <t>天奥电子</t>
  </si>
  <si>
    <t xml:space="preserve">         27.59亿</t>
  </si>
  <si>
    <t xml:space="preserve">         50.33亿</t>
  </si>
  <si>
    <t xml:space="preserve">         52.52亿</t>
  </si>
  <si>
    <t>13.60万</t>
  </si>
  <si>
    <t>郑州银行</t>
  </si>
  <si>
    <t xml:space="preserve">         75.89亿</t>
  </si>
  <si>
    <t xml:space="preserve">        201.63亿</t>
  </si>
  <si>
    <t>7.07万</t>
  </si>
  <si>
    <t>兴瑞科技</t>
  </si>
  <si>
    <t>6.91万</t>
  </si>
  <si>
    <t>鹏鼎控股</t>
  </si>
  <si>
    <t xml:space="preserve">        152.55亿</t>
  </si>
  <si>
    <t xml:space="preserve">        155.93亿</t>
  </si>
  <si>
    <t xml:space="preserve">        699.92亿</t>
  </si>
  <si>
    <t>长城证券</t>
  </si>
  <si>
    <t xml:space="preserve">        112.53亿</t>
  </si>
  <si>
    <t xml:space="preserve">        211.18亿</t>
  </si>
  <si>
    <t xml:space="preserve">        393.82亿</t>
  </si>
  <si>
    <t xml:space="preserve">   4.48㈡</t>
  </si>
  <si>
    <t>昂利康</t>
  </si>
  <si>
    <t xml:space="preserve">         15.25亿</t>
  </si>
  <si>
    <t xml:space="preserve">         15.41亿</t>
  </si>
  <si>
    <t xml:space="preserve">         29.51亿</t>
  </si>
  <si>
    <t>9.73万</t>
  </si>
  <si>
    <t>新疆交建</t>
  </si>
  <si>
    <t xml:space="preserve">         81.85亿</t>
  </si>
  <si>
    <t xml:space="preserve">   2.90㈡</t>
  </si>
  <si>
    <t>新农股份</t>
  </si>
  <si>
    <t xml:space="preserve">         10.49亿</t>
  </si>
  <si>
    <t xml:space="preserve">         30.84亿</t>
  </si>
  <si>
    <t>11.23万</t>
  </si>
  <si>
    <t>0.598㈡</t>
  </si>
  <si>
    <t>宇晶股份</t>
  </si>
  <si>
    <t xml:space="preserve">         21.05亿</t>
  </si>
  <si>
    <t>华林证券</t>
  </si>
  <si>
    <t xml:space="preserve">         34.26亿</t>
  </si>
  <si>
    <t xml:space="preserve">         95.78亿</t>
  </si>
  <si>
    <t xml:space="preserve">        342.63亿</t>
  </si>
  <si>
    <t>新乳业</t>
  </si>
  <si>
    <t xml:space="preserve">         20.69亿</t>
  </si>
  <si>
    <t xml:space="preserve">        122.72亿</t>
  </si>
  <si>
    <t>恒铭达</t>
  </si>
  <si>
    <t xml:space="preserve">         17.09亿</t>
  </si>
  <si>
    <t xml:space="preserve">         48.30亿</t>
  </si>
  <si>
    <t>16.41万</t>
  </si>
  <si>
    <t>青岛银行</t>
  </si>
  <si>
    <t xml:space="preserve">         29.65亿</t>
  </si>
  <si>
    <t xml:space="preserve">        134.59亿</t>
  </si>
  <si>
    <t>3.94万</t>
  </si>
  <si>
    <t xml:space="preserve">   5.68㈡</t>
  </si>
  <si>
    <t>华阳国际</t>
  </si>
  <si>
    <t xml:space="preserve">         14.60亿</t>
  </si>
  <si>
    <t>8.65万</t>
  </si>
  <si>
    <t>0.331㈡</t>
  </si>
  <si>
    <t xml:space="preserve">   4.68㈡</t>
  </si>
  <si>
    <t>奥美医疗</t>
  </si>
  <si>
    <t xml:space="preserve">         24.19亿</t>
  </si>
  <si>
    <t xml:space="preserve">         30.36亿</t>
  </si>
  <si>
    <t xml:space="preserve">         82.77亿</t>
  </si>
  <si>
    <t>4.21万</t>
  </si>
  <si>
    <t>0.375㈡</t>
  </si>
  <si>
    <t xml:space="preserve">   9.21㈡</t>
  </si>
  <si>
    <t>金时科技</t>
  </si>
  <si>
    <t xml:space="preserve">          6.82亿</t>
  </si>
  <si>
    <t xml:space="preserve">         38.56亿</t>
  </si>
  <si>
    <t>3.43万</t>
  </si>
  <si>
    <t xml:space="preserve">   2.82㈡</t>
  </si>
  <si>
    <t>亚世光电</t>
  </si>
  <si>
    <t xml:space="preserve">          6.12亿</t>
  </si>
  <si>
    <t xml:space="preserve">          9.45亿</t>
  </si>
  <si>
    <t xml:space="preserve">         22.22亿</t>
  </si>
  <si>
    <t>日丰股份</t>
  </si>
  <si>
    <t xml:space="preserve">   6.68㈡</t>
  </si>
  <si>
    <t>鸿合科技</t>
  </si>
  <si>
    <t xml:space="preserve">         13.59亿</t>
  </si>
  <si>
    <t xml:space="preserve">         39.81亿</t>
  </si>
  <si>
    <t>西麦食品</t>
  </si>
  <si>
    <t xml:space="preserve">         12.57亿</t>
  </si>
  <si>
    <t xml:space="preserve">         16.34亿</t>
  </si>
  <si>
    <t xml:space="preserve">         38.24亿</t>
  </si>
  <si>
    <t>0.355㈡</t>
  </si>
  <si>
    <t>科瑞技术</t>
  </si>
  <si>
    <t xml:space="preserve">         26.92亿</t>
  </si>
  <si>
    <t xml:space="preserve">         38.70亿</t>
  </si>
  <si>
    <t xml:space="preserve">        103.57亿</t>
  </si>
  <si>
    <t>15.57万</t>
  </si>
  <si>
    <t>青农商行</t>
  </si>
  <si>
    <t xml:space="preserve">        106.74亿</t>
  </si>
  <si>
    <t xml:space="preserve">        220.00亿</t>
  </si>
  <si>
    <t>8.80万</t>
  </si>
  <si>
    <t>小熊电器</t>
  </si>
  <si>
    <t xml:space="preserve">         35.76亿</t>
  </si>
  <si>
    <t xml:space="preserve">         73.39亿</t>
  </si>
  <si>
    <t>5.91万</t>
  </si>
  <si>
    <t xml:space="preserve">   7.22㈡</t>
  </si>
  <si>
    <t>青鸟消防</t>
  </si>
  <si>
    <t xml:space="preserve">         38.44亿</t>
  </si>
  <si>
    <t xml:space="preserve">         46.74亿</t>
  </si>
  <si>
    <t xml:space="preserve">         93.26亿</t>
  </si>
  <si>
    <t>瑞达期货</t>
  </si>
  <si>
    <t xml:space="preserve">         28.23亿</t>
  </si>
  <si>
    <t xml:space="preserve">        115.57亿</t>
  </si>
  <si>
    <t>15.83万</t>
  </si>
  <si>
    <t xml:space="preserve">  11.34㈡</t>
  </si>
  <si>
    <t>五方光电</t>
  </si>
  <si>
    <t xml:space="preserve">         38.25亿</t>
  </si>
  <si>
    <t xml:space="preserve">   2.49㈡</t>
  </si>
  <si>
    <t>豪尔赛</t>
  </si>
  <si>
    <t xml:space="preserve">         12.52亿</t>
  </si>
  <si>
    <t>祥鑫科技</t>
  </si>
  <si>
    <t xml:space="preserve">         38.65亿</t>
  </si>
  <si>
    <t>0.322㈡</t>
  </si>
  <si>
    <t>苏州银行</t>
  </si>
  <si>
    <t xml:space="preserve">        112.44亿</t>
  </si>
  <si>
    <t xml:space="preserve">        230.67亿</t>
  </si>
  <si>
    <t>13.10万</t>
  </si>
  <si>
    <t xml:space="preserve">   5.59㈡</t>
  </si>
  <si>
    <t>广电计量</t>
  </si>
  <si>
    <t xml:space="preserve">        175.44亿</t>
  </si>
  <si>
    <t>29.75万</t>
  </si>
  <si>
    <t xml:space="preserve">  -0.60㈡</t>
  </si>
  <si>
    <t>新大正</t>
  </si>
  <si>
    <t xml:space="preserve">         24.39亿</t>
  </si>
  <si>
    <t xml:space="preserve">         56.97亿</t>
  </si>
  <si>
    <t>54.20万</t>
  </si>
  <si>
    <t xml:space="preserve">   8.30㈡</t>
  </si>
  <si>
    <t>嘉美包装</t>
  </si>
  <si>
    <t xml:space="preserve">         11.03亿</t>
  </si>
  <si>
    <t xml:space="preserve">         53.30亿</t>
  </si>
  <si>
    <t>0.076㈡</t>
  </si>
  <si>
    <t>锐明技术</t>
  </si>
  <si>
    <t xml:space="preserve">         24.09亿</t>
  </si>
  <si>
    <t xml:space="preserve">         36.90亿</t>
  </si>
  <si>
    <t xml:space="preserve">         75.45亿</t>
  </si>
  <si>
    <t>15.76万</t>
  </si>
  <si>
    <t>和远气体</t>
  </si>
  <si>
    <t xml:space="preserve">         11.76亿</t>
  </si>
  <si>
    <t xml:space="preserve">         31.04亿</t>
  </si>
  <si>
    <t>科安达</t>
  </si>
  <si>
    <t xml:space="preserve">         10.58亿</t>
  </si>
  <si>
    <t xml:space="preserve">         31.88亿</t>
  </si>
  <si>
    <t>侨银股份</t>
  </si>
  <si>
    <t xml:space="preserve">         16.92亿</t>
  </si>
  <si>
    <t xml:space="preserve">         64.94亿</t>
  </si>
  <si>
    <t xml:space="preserve">   9.66㈡</t>
  </si>
  <si>
    <t>博杰股份</t>
  </si>
  <si>
    <t xml:space="preserve">         21.65亿</t>
  </si>
  <si>
    <t xml:space="preserve">         77.68亿</t>
  </si>
  <si>
    <t>瑞玛工业</t>
  </si>
  <si>
    <t xml:space="preserve">          7.45亿</t>
  </si>
  <si>
    <t>天箭科技</t>
  </si>
  <si>
    <t xml:space="preserve">         19.40亿</t>
  </si>
  <si>
    <t xml:space="preserve">         54.70亿</t>
  </si>
  <si>
    <t>12.35万</t>
  </si>
  <si>
    <t>安宁股份</t>
  </si>
  <si>
    <t xml:space="preserve">         54.12亿</t>
  </si>
  <si>
    <t xml:space="preserve">        228.45亿</t>
  </si>
  <si>
    <t>1.902㈡</t>
  </si>
  <si>
    <t xml:space="preserve">  16.51㈡</t>
  </si>
  <si>
    <t>雷赛智能</t>
  </si>
  <si>
    <t xml:space="preserve">         38.55亿</t>
  </si>
  <si>
    <t xml:space="preserve">         88.01亿</t>
  </si>
  <si>
    <t>20.32万</t>
  </si>
  <si>
    <t xml:space="preserve">  11.79㈡</t>
  </si>
  <si>
    <t>华盛昌</t>
  </si>
  <si>
    <t xml:space="preserve">         41.91亿</t>
  </si>
  <si>
    <t>朝阳科技</t>
  </si>
  <si>
    <t xml:space="preserve">          5.28亿</t>
  </si>
  <si>
    <t xml:space="preserve">         21.14亿</t>
  </si>
  <si>
    <t xml:space="preserve">   0.57㈡</t>
  </si>
  <si>
    <t>湘佳股份</t>
  </si>
  <si>
    <t xml:space="preserve">         14.13亿</t>
  </si>
  <si>
    <t xml:space="preserve">  -0.32㈡</t>
  </si>
  <si>
    <t>芯瑞达</t>
  </si>
  <si>
    <t xml:space="preserve">         10.98亿</t>
  </si>
  <si>
    <t xml:space="preserve">         39.21亿</t>
  </si>
  <si>
    <t xml:space="preserve">   3.62㈡</t>
  </si>
  <si>
    <t>森麒麟</t>
  </si>
  <si>
    <t xml:space="preserve">         62.32亿</t>
  </si>
  <si>
    <t xml:space="preserve">         86.86亿</t>
  </si>
  <si>
    <t xml:space="preserve">        174.63亿</t>
  </si>
  <si>
    <t>30.80万</t>
  </si>
  <si>
    <t>北摩高科</t>
  </si>
  <si>
    <t xml:space="preserve">        138.85亿</t>
  </si>
  <si>
    <t xml:space="preserve">        142.77亿</t>
  </si>
  <si>
    <t xml:space="preserve">        277.94亿</t>
  </si>
  <si>
    <t>51.08万</t>
  </si>
  <si>
    <t xml:space="preserve">  10.05㈡</t>
  </si>
  <si>
    <t>宇新股份</t>
  </si>
  <si>
    <t xml:space="preserve">         34.15亿</t>
  </si>
  <si>
    <t xml:space="preserve">         45.45亿</t>
  </si>
  <si>
    <t xml:space="preserve">         67.64亿</t>
  </si>
  <si>
    <t>23.60万</t>
  </si>
  <si>
    <t>京北方</t>
  </si>
  <si>
    <t xml:space="preserve">         25.04亿</t>
  </si>
  <si>
    <t>豪美新材</t>
  </si>
  <si>
    <t xml:space="preserve">         16.93亿</t>
  </si>
  <si>
    <t>7.34万</t>
  </si>
  <si>
    <t>0.265㈡</t>
  </si>
  <si>
    <t>中天精装</t>
  </si>
  <si>
    <t xml:space="preserve">          8.46亿</t>
  </si>
  <si>
    <t xml:space="preserve">         17.06亿</t>
  </si>
  <si>
    <t xml:space="preserve">         33.84亿</t>
  </si>
  <si>
    <t>7.23万</t>
  </si>
  <si>
    <t xml:space="preserve">   4.04㈡</t>
  </si>
  <si>
    <t>盛视科技</t>
  </si>
  <si>
    <t xml:space="preserve">         72.06亿</t>
  </si>
  <si>
    <t>甘源食品</t>
  </si>
  <si>
    <t xml:space="preserve">         12.56亿</t>
  </si>
  <si>
    <t xml:space="preserve">         19.12亿</t>
  </si>
  <si>
    <t xml:space="preserve">         43.70亿</t>
  </si>
  <si>
    <t>宝明科技</t>
  </si>
  <si>
    <t>5.99万</t>
  </si>
  <si>
    <t>-0.490㈡</t>
  </si>
  <si>
    <t xml:space="preserve">  -6.44㈡</t>
  </si>
  <si>
    <t>奥海科技</t>
  </si>
  <si>
    <t xml:space="preserve">         84.43亿</t>
  </si>
  <si>
    <t>5.88万</t>
  </si>
  <si>
    <t xml:space="preserve">   7.04㈡</t>
  </si>
  <si>
    <t>天地在线</t>
  </si>
  <si>
    <t xml:space="preserve">          7.09亿</t>
  </si>
  <si>
    <t xml:space="preserve">         10.71亿</t>
  </si>
  <si>
    <t xml:space="preserve">         23.89亿</t>
  </si>
  <si>
    <t>0.464㈡</t>
  </si>
  <si>
    <t>顺博合金</t>
  </si>
  <si>
    <t xml:space="preserve">         23.54亿</t>
  </si>
  <si>
    <t xml:space="preserve">         81.96亿</t>
  </si>
  <si>
    <t>9.18万</t>
  </si>
  <si>
    <t>瑞鹄模具</t>
  </si>
  <si>
    <t xml:space="preserve">         27.41亿</t>
  </si>
  <si>
    <t>优彩资源</t>
  </si>
  <si>
    <t xml:space="preserve">         33.68亿</t>
  </si>
  <si>
    <t>0.184㈡</t>
  </si>
  <si>
    <t xml:space="preserve">   4.12㈡</t>
  </si>
  <si>
    <t>天禾股份</t>
  </si>
  <si>
    <t xml:space="preserve">         24.51亿</t>
  </si>
  <si>
    <t xml:space="preserve">   6.29㈡</t>
  </si>
  <si>
    <t>劲仔食品</t>
  </si>
  <si>
    <t xml:space="preserve">         23.87亿</t>
  </si>
  <si>
    <t xml:space="preserve">         40.20亿</t>
  </si>
  <si>
    <t xml:space="preserve">   4.94㈡</t>
  </si>
  <si>
    <t>中岩大地</t>
  </si>
  <si>
    <t xml:space="preserve">          7.18亿</t>
  </si>
  <si>
    <t>壶化股份</t>
  </si>
  <si>
    <t xml:space="preserve">         24.48亿</t>
  </si>
  <si>
    <t>天元股份</t>
  </si>
  <si>
    <t xml:space="preserve">          6.33亿</t>
  </si>
  <si>
    <t xml:space="preserve">         25.31亿</t>
  </si>
  <si>
    <t>声迅股份</t>
  </si>
  <si>
    <t xml:space="preserve">          5.23亿</t>
  </si>
  <si>
    <t xml:space="preserve">         20.92亿</t>
  </si>
  <si>
    <t>3.99万</t>
  </si>
  <si>
    <t>竞业达</t>
  </si>
  <si>
    <t xml:space="preserve">          8.70亿</t>
  </si>
  <si>
    <t>0.827㈡</t>
  </si>
  <si>
    <t>百亚股份</t>
  </si>
  <si>
    <t xml:space="preserve">          8.58亿</t>
  </si>
  <si>
    <t xml:space="preserve">         85.81亿</t>
  </si>
  <si>
    <t xml:space="preserve">  11.70㈡</t>
  </si>
  <si>
    <t>直真科技</t>
  </si>
  <si>
    <t xml:space="preserve">          4.49亿</t>
  </si>
  <si>
    <t>-0.590㈡</t>
  </si>
  <si>
    <t xml:space="preserve">  -7.45㈡</t>
  </si>
  <si>
    <t>开普检测</t>
  </si>
  <si>
    <t xml:space="preserve">          6.34亿</t>
  </si>
  <si>
    <t>中天火箭</t>
  </si>
  <si>
    <t xml:space="preserve">         92.96亿</t>
  </si>
  <si>
    <t>8.37万</t>
  </si>
  <si>
    <t xml:space="preserve">   7.01㈡</t>
  </si>
  <si>
    <t>若羽臣</t>
  </si>
  <si>
    <t xml:space="preserve">          6.57亿</t>
  </si>
  <si>
    <t xml:space="preserve">         26.27亿</t>
  </si>
  <si>
    <t>4.51万</t>
  </si>
  <si>
    <t>海象新材</t>
  </si>
  <si>
    <t xml:space="preserve">          7.15亿</t>
  </si>
  <si>
    <t xml:space="preserve">         28.61亿</t>
  </si>
  <si>
    <t>东鹏控股</t>
  </si>
  <si>
    <t xml:space="preserve">        158.60亿</t>
  </si>
  <si>
    <t>地铁设计</t>
  </si>
  <si>
    <t xml:space="preserve">          7.73亿</t>
  </si>
  <si>
    <t xml:space="preserve">         77.28亿</t>
  </si>
  <si>
    <t>4.68万</t>
  </si>
  <si>
    <t xml:space="preserve">  13.27㈡</t>
  </si>
  <si>
    <t>日久光电</t>
  </si>
  <si>
    <t xml:space="preserve">         10.03亿</t>
  </si>
  <si>
    <t xml:space="preserve">         40.11亿</t>
  </si>
  <si>
    <t>3.33万</t>
  </si>
  <si>
    <t>欣贺股份</t>
  </si>
  <si>
    <t xml:space="preserve">         13.31亿</t>
  </si>
  <si>
    <t xml:space="preserve">         53.87亿</t>
  </si>
  <si>
    <t xml:space="preserve">   6.54㈡</t>
  </si>
  <si>
    <t>大洋生物</t>
  </si>
  <si>
    <t xml:space="preserve">          6.26亿</t>
  </si>
  <si>
    <t xml:space="preserve">         25.03亿</t>
  </si>
  <si>
    <t>金富科技</t>
  </si>
  <si>
    <t xml:space="preserve">          7.38亿</t>
  </si>
  <si>
    <t xml:space="preserve">          7.44亿</t>
  </si>
  <si>
    <t xml:space="preserve">         29.74亿</t>
  </si>
  <si>
    <t>2.60万</t>
  </si>
  <si>
    <t xml:space="preserve">   4.51㈡</t>
  </si>
  <si>
    <t>宸展光电</t>
  </si>
  <si>
    <t xml:space="preserve">          8.16亿</t>
  </si>
  <si>
    <t>立方制药</t>
  </si>
  <si>
    <t xml:space="preserve">         10.00亿</t>
  </si>
  <si>
    <t xml:space="preserve">         40.01亿</t>
  </si>
  <si>
    <t>兆威机电</t>
  </si>
  <si>
    <t xml:space="preserve">         27.31亿</t>
  </si>
  <si>
    <t xml:space="preserve">        109.72亿</t>
  </si>
  <si>
    <t>18.47万</t>
  </si>
  <si>
    <t xml:space="preserve">   3.21㈡</t>
  </si>
  <si>
    <t>联泓新科</t>
  </si>
  <si>
    <t xml:space="preserve">        139.65亿</t>
  </si>
  <si>
    <t xml:space="preserve">        973.63亿</t>
  </si>
  <si>
    <t>34.38万</t>
  </si>
  <si>
    <t>彩虹集团</t>
  </si>
  <si>
    <t xml:space="preserve">          5.50亿</t>
  </si>
  <si>
    <t xml:space="preserve">   6.31㈡</t>
  </si>
  <si>
    <t>思进智能</t>
  </si>
  <si>
    <t xml:space="preserve">         34.86亿</t>
  </si>
  <si>
    <t xml:space="preserve">   7.52㈡</t>
  </si>
  <si>
    <t>中晶科技</t>
  </si>
  <si>
    <t xml:space="preserve">         74.92亿</t>
  </si>
  <si>
    <t xml:space="preserve">  10.11㈡</t>
  </si>
  <si>
    <t>同兴环保</t>
  </si>
  <si>
    <t xml:space="preserve">          8.14亿</t>
  </si>
  <si>
    <t>振邦智能</t>
  </si>
  <si>
    <t xml:space="preserve">         46.62亿</t>
  </si>
  <si>
    <t xml:space="preserve">   8.81㈡</t>
  </si>
  <si>
    <t>吉大正元</t>
  </si>
  <si>
    <t xml:space="preserve">         10.37亿</t>
  </si>
  <si>
    <t>祖名股份</t>
  </si>
  <si>
    <t xml:space="preserve">          7.55亿</t>
  </si>
  <si>
    <t xml:space="preserve">         30.18亿</t>
  </si>
  <si>
    <t>中瓷电子</t>
  </si>
  <si>
    <t>传智教育</t>
  </si>
  <si>
    <t xml:space="preserve">          9.19亿</t>
  </si>
  <si>
    <t xml:space="preserve">         91.88亿</t>
  </si>
  <si>
    <t>3.77万</t>
  </si>
  <si>
    <t>征和工业</t>
  </si>
  <si>
    <t xml:space="preserve">          5.72亿</t>
  </si>
  <si>
    <t>4.08万</t>
  </si>
  <si>
    <t>南网能源</t>
  </si>
  <si>
    <t xml:space="preserve">         63.71亿</t>
  </si>
  <si>
    <t xml:space="preserve">        318.56亿</t>
  </si>
  <si>
    <t xml:space="preserve">   2.93㈡</t>
  </si>
  <si>
    <t>泰坦股份</t>
  </si>
  <si>
    <t xml:space="preserve">          6.78亿</t>
  </si>
  <si>
    <t>三和管桩</t>
  </si>
  <si>
    <t xml:space="preserve">          8.84亿</t>
  </si>
  <si>
    <t>鑫铂股份</t>
  </si>
  <si>
    <t xml:space="preserve">         13.45亿</t>
  </si>
  <si>
    <t xml:space="preserve">         53.80亿</t>
  </si>
  <si>
    <t>顺控发展</t>
  </si>
  <si>
    <t xml:space="preserve">        198.90亿</t>
  </si>
  <si>
    <t>3.56万</t>
  </si>
  <si>
    <t xml:space="preserve">   5.30㈡</t>
  </si>
  <si>
    <t>楚天龙</t>
  </si>
  <si>
    <t xml:space="preserve">         20.12亿</t>
  </si>
  <si>
    <t xml:space="preserve">   1.83㈡</t>
  </si>
  <si>
    <t>真爱美家</t>
  </si>
  <si>
    <t xml:space="preserve">          5.81亿</t>
  </si>
  <si>
    <t xml:space="preserve">         23.23亿</t>
  </si>
  <si>
    <t xml:space="preserve">   3.99㈡</t>
  </si>
  <si>
    <t>中农联合</t>
  </si>
  <si>
    <t xml:space="preserve">          7.25亿</t>
  </si>
  <si>
    <t>华亚智能</t>
  </si>
  <si>
    <t xml:space="preserve">          9.75亿</t>
  </si>
  <si>
    <t xml:space="preserve">         39.02亿</t>
  </si>
  <si>
    <t>中国广核</t>
  </si>
  <si>
    <t xml:space="preserve">        185.35亿</t>
  </si>
  <si>
    <t xml:space="preserve">        285.80亿</t>
  </si>
  <si>
    <t xml:space="preserve">       1152.52亿</t>
  </si>
  <si>
    <t>特锐德</t>
  </si>
  <si>
    <t xml:space="preserve">        153.38亿</t>
  </si>
  <si>
    <t xml:space="preserve">        265.63亿</t>
  </si>
  <si>
    <t xml:space="preserve">        291.50亿</t>
  </si>
  <si>
    <t>22.19万</t>
  </si>
  <si>
    <t>神州泰岳</t>
  </si>
  <si>
    <t xml:space="preserve">         88.00亿</t>
  </si>
  <si>
    <t xml:space="preserve">         90.09亿</t>
  </si>
  <si>
    <t xml:space="preserve">        105.11亿</t>
  </si>
  <si>
    <t>乐普医疗</t>
  </si>
  <si>
    <t xml:space="preserve">        277.00亿</t>
  </si>
  <si>
    <t xml:space="preserve">        386.40亿</t>
  </si>
  <si>
    <t xml:space="preserve">        453.13亿</t>
  </si>
  <si>
    <t>24.60万</t>
  </si>
  <si>
    <t xml:space="preserve">  14.86㈡</t>
  </si>
  <si>
    <t>南风股份</t>
  </si>
  <si>
    <t xml:space="preserve">         17.28亿</t>
  </si>
  <si>
    <t xml:space="preserve">         30.38亿</t>
  </si>
  <si>
    <t>7.50万</t>
  </si>
  <si>
    <t xml:space="preserve">  -1.03㈡</t>
  </si>
  <si>
    <t>探路者</t>
  </si>
  <si>
    <t xml:space="preserve">         66.85亿</t>
  </si>
  <si>
    <t xml:space="preserve">         81.99亿</t>
  </si>
  <si>
    <t xml:space="preserve">        103.39亿</t>
  </si>
  <si>
    <t>28.42万</t>
  </si>
  <si>
    <t>莱美药业</t>
  </si>
  <si>
    <t xml:space="preserve">         43.13亿</t>
  </si>
  <si>
    <t xml:space="preserve">         64.48亿</t>
  </si>
  <si>
    <t xml:space="preserve">         83.84亿</t>
  </si>
  <si>
    <t>20.08万</t>
  </si>
  <si>
    <t>汉威科技</t>
  </si>
  <si>
    <t xml:space="preserve">         84.18亿</t>
  </si>
  <si>
    <t>天海防务</t>
  </si>
  <si>
    <t xml:space="preserve">         62.79亿</t>
  </si>
  <si>
    <t xml:space="preserve">         68.46亿</t>
  </si>
  <si>
    <t>船舶</t>
  </si>
  <si>
    <t xml:space="preserve">         91.93亿</t>
  </si>
  <si>
    <t>4.97万</t>
  </si>
  <si>
    <t xml:space="preserve">   1.88㈡</t>
  </si>
  <si>
    <t>安科生物</t>
  </si>
  <si>
    <t xml:space="preserve">        127.82亿</t>
  </si>
  <si>
    <t xml:space="preserve">        145.00亿</t>
  </si>
  <si>
    <t xml:space="preserve">        204.97亿</t>
  </si>
  <si>
    <t>14.83万</t>
  </si>
  <si>
    <t xml:space="preserve">   8.72㈡</t>
  </si>
  <si>
    <t>豆神教育</t>
  </si>
  <si>
    <t xml:space="preserve">         27.20亿</t>
  </si>
  <si>
    <t xml:space="preserve">         34.73亿</t>
  </si>
  <si>
    <t>-0.245㈡</t>
  </si>
  <si>
    <t xml:space="preserve"> -37.28㈡</t>
  </si>
  <si>
    <t>鼎汉技术</t>
  </si>
  <si>
    <t xml:space="preserve">         47.48亿</t>
  </si>
  <si>
    <t xml:space="preserve">         52.96亿</t>
  </si>
  <si>
    <t>13.30万</t>
  </si>
  <si>
    <t>华测检测</t>
  </si>
  <si>
    <t xml:space="preserve">        327.55亿</t>
  </si>
  <si>
    <t xml:space="preserve">        372.12亿</t>
  </si>
  <si>
    <t xml:space="preserve">        410.58亿</t>
  </si>
  <si>
    <t>87.82万</t>
  </si>
  <si>
    <t xml:space="preserve">   7.54㈡</t>
  </si>
  <si>
    <t>新宁物流</t>
  </si>
  <si>
    <t xml:space="preserve">         14.26亿</t>
  </si>
  <si>
    <t xml:space="preserve">         19.21亿</t>
  </si>
  <si>
    <t xml:space="preserve"> -36.92㈡</t>
  </si>
  <si>
    <t>亿纬锂能</t>
  </si>
  <si>
    <t xml:space="preserve">       1087.56亿</t>
  </si>
  <si>
    <t xml:space="preserve">       1657.96亿</t>
  </si>
  <si>
    <t xml:space="preserve">       1712.05亿</t>
  </si>
  <si>
    <t>67.03万</t>
  </si>
  <si>
    <t xml:space="preserve">   9.18㈡</t>
  </si>
  <si>
    <t>爱尔眼科</t>
  </si>
  <si>
    <t xml:space="preserve">       1065.57亿</t>
  </si>
  <si>
    <t xml:space="preserve">       2170.95亿</t>
  </si>
  <si>
    <t xml:space="preserve">       2631.95亿</t>
  </si>
  <si>
    <t>54.50万</t>
  </si>
  <si>
    <t>北陆药业</t>
  </si>
  <si>
    <t xml:space="preserve">         31.99亿</t>
  </si>
  <si>
    <t xml:space="preserve">         38.07亿</t>
  </si>
  <si>
    <t xml:space="preserve">         46.13亿</t>
  </si>
  <si>
    <t>网宿科技</t>
  </si>
  <si>
    <t xml:space="preserve">        125.71亿</t>
  </si>
  <si>
    <t xml:space="preserve">        145.76亿</t>
  </si>
  <si>
    <t>中元股份</t>
  </si>
  <si>
    <t xml:space="preserve">         27.00亿</t>
  </si>
  <si>
    <t xml:space="preserve">         35.24亿</t>
  </si>
  <si>
    <t>硅宝科技</t>
  </si>
  <si>
    <t xml:space="preserve">         42.27亿</t>
  </si>
  <si>
    <t xml:space="preserve">         84.76亿</t>
  </si>
  <si>
    <t>12.99万</t>
  </si>
  <si>
    <t>银江股份</t>
  </si>
  <si>
    <t xml:space="preserve">         44.01亿</t>
  </si>
  <si>
    <t xml:space="preserve">         54.95亿</t>
  </si>
  <si>
    <t xml:space="preserve">         57.45亿</t>
  </si>
  <si>
    <t>9.29万</t>
  </si>
  <si>
    <t xml:space="preserve">   2.69㈡</t>
  </si>
  <si>
    <t>大禹节水</t>
  </si>
  <si>
    <t xml:space="preserve">         22.27亿</t>
  </si>
  <si>
    <t xml:space="preserve">         34.84亿</t>
  </si>
  <si>
    <t xml:space="preserve">         43.65亿</t>
  </si>
  <si>
    <t>吉峰科技</t>
  </si>
  <si>
    <t xml:space="preserve">         19.66亿</t>
  </si>
  <si>
    <t>-0.014㈡</t>
  </si>
  <si>
    <t xml:space="preserve">  -9.02㈡</t>
  </si>
  <si>
    <t>机器人</t>
  </si>
  <si>
    <t xml:space="preserve">        121.16亿</t>
  </si>
  <si>
    <t xml:space="preserve">        163.70亿</t>
  </si>
  <si>
    <t xml:space="preserve">        168.35亿</t>
  </si>
  <si>
    <t>9.40万</t>
  </si>
  <si>
    <t>-0.127㈡</t>
  </si>
  <si>
    <t xml:space="preserve">  -4.36㈡</t>
  </si>
  <si>
    <t>华星创业</t>
  </si>
  <si>
    <t xml:space="preserve">         14.78亿</t>
  </si>
  <si>
    <t xml:space="preserve">         17.52亿</t>
  </si>
  <si>
    <t xml:space="preserve">         17.53亿</t>
  </si>
  <si>
    <t xml:space="preserve">  -4.27㈡</t>
  </si>
  <si>
    <t>红日药业</t>
  </si>
  <si>
    <t xml:space="preserve">         78.16亿</t>
  </si>
  <si>
    <t xml:space="preserve">        122.84亿</t>
  </si>
  <si>
    <t xml:space="preserve">        137.59亿</t>
  </si>
  <si>
    <t>华谊兄弟</t>
  </si>
  <si>
    <t xml:space="preserve">         58.95亿</t>
  </si>
  <si>
    <t xml:space="preserve">         81.48亿</t>
  </si>
  <si>
    <t xml:space="preserve">        100.89亿</t>
  </si>
  <si>
    <t>阳普医疗</t>
  </si>
  <si>
    <t xml:space="preserve">         30.63亿</t>
  </si>
  <si>
    <t xml:space="preserve">   8.21㈡</t>
  </si>
  <si>
    <t>宝通科技</t>
  </si>
  <si>
    <t xml:space="preserve">         70.85亿</t>
  </si>
  <si>
    <t xml:space="preserve">         74.35亿</t>
  </si>
  <si>
    <t>29.34万</t>
  </si>
  <si>
    <t>金龙机电</t>
  </si>
  <si>
    <t xml:space="preserve">         41.53亿</t>
  </si>
  <si>
    <t xml:space="preserve">         51.96亿</t>
  </si>
  <si>
    <t xml:space="preserve">         51.97亿</t>
  </si>
  <si>
    <t>17.78万</t>
  </si>
  <si>
    <t xml:space="preserve">  12.83㈡</t>
  </si>
  <si>
    <t>同花顺</t>
  </si>
  <si>
    <t xml:space="preserve">        253.14亿</t>
  </si>
  <si>
    <t xml:space="preserve">        352.26亿</t>
  </si>
  <si>
    <t xml:space="preserve">        696.35亿</t>
  </si>
  <si>
    <t xml:space="preserve">  11.21㈡</t>
  </si>
  <si>
    <t>钢研高纳</t>
  </si>
  <si>
    <t xml:space="preserve">         91.13亿</t>
  </si>
  <si>
    <t xml:space="preserve">        168.24亿</t>
  </si>
  <si>
    <t xml:space="preserve">        188.50亿</t>
  </si>
  <si>
    <t>32.53万</t>
  </si>
  <si>
    <t>中科电气</t>
  </si>
  <si>
    <t xml:space="preserve">        176.15亿</t>
  </si>
  <si>
    <t xml:space="preserve">        214.29亿</t>
  </si>
  <si>
    <t>82.46万</t>
  </si>
  <si>
    <t xml:space="preserve">   7.20㈡</t>
  </si>
  <si>
    <t>超图软件</t>
  </si>
  <si>
    <t xml:space="preserve">        105.94亿</t>
  </si>
  <si>
    <t xml:space="preserve">        109.44亿</t>
  </si>
  <si>
    <t xml:space="preserve">        135.85亿</t>
  </si>
  <si>
    <t>27.88万</t>
  </si>
  <si>
    <t>新宙邦</t>
  </si>
  <si>
    <t xml:space="preserve">        363.52亿</t>
  </si>
  <si>
    <t xml:space="preserve">        420.78亿</t>
  </si>
  <si>
    <t xml:space="preserve">        584.56亿</t>
  </si>
  <si>
    <t>197.04万</t>
  </si>
  <si>
    <t>上海凯宝</t>
  </si>
  <si>
    <t xml:space="preserve">         45.19亿</t>
  </si>
  <si>
    <t xml:space="preserve">         51.57亿</t>
  </si>
  <si>
    <t xml:space="preserve">   3.11㈡</t>
  </si>
  <si>
    <t>九洲集团</t>
  </si>
  <si>
    <t xml:space="preserve">         37.99亿</t>
  </si>
  <si>
    <t xml:space="preserve">         50.55亿</t>
  </si>
  <si>
    <t>12.49万</t>
  </si>
  <si>
    <t>0.162㈡</t>
  </si>
  <si>
    <t>回天新材</t>
  </si>
  <si>
    <t xml:space="preserve">         60.79亿</t>
  </si>
  <si>
    <t xml:space="preserve">         64.55亿</t>
  </si>
  <si>
    <t xml:space="preserve">         79.76亿</t>
  </si>
  <si>
    <t>25.97万</t>
  </si>
  <si>
    <t>朗科科技</t>
  </si>
  <si>
    <t>0.214㈡</t>
  </si>
  <si>
    <t>星辉娱乐</t>
  </si>
  <si>
    <t xml:space="preserve">         23.36亿</t>
  </si>
  <si>
    <t xml:space="preserve">         40.19亿</t>
  </si>
  <si>
    <t>4.67万</t>
  </si>
  <si>
    <t xml:space="preserve">  -7.34㈡</t>
  </si>
  <si>
    <t>华力创通</t>
  </si>
  <si>
    <t>6.92万</t>
  </si>
  <si>
    <t>台基股份</t>
  </si>
  <si>
    <t xml:space="preserve">         34.87亿</t>
  </si>
  <si>
    <t xml:space="preserve">         49.83亿</t>
  </si>
  <si>
    <t xml:space="preserve">         55.30亿</t>
  </si>
  <si>
    <t>6.20万</t>
  </si>
  <si>
    <t>天源迪科</t>
  </si>
  <si>
    <t xml:space="preserve">         37.72亿</t>
  </si>
  <si>
    <t xml:space="preserve">         39.33亿</t>
  </si>
  <si>
    <t xml:space="preserve">   1.30㈡</t>
  </si>
  <si>
    <t>合康新能</t>
  </si>
  <si>
    <t xml:space="preserve">         47.02亿</t>
  </si>
  <si>
    <t xml:space="preserve">         61.04亿</t>
  </si>
  <si>
    <t xml:space="preserve">         61.72亿</t>
  </si>
  <si>
    <t>福瑞股份</t>
  </si>
  <si>
    <t xml:space="preserve">         24.64亿</t>
  </si>
  <si>
    <t xml:space="preserve">         29.01亿</t>
  </si>
  <si>
    <t xml:space="preserve">         33.12亿</t>
  </si>
  <si>
    <t>13.00万</t>
  </si>
  <si>
    <t>世纪鼎利</t>
  </si>
  <si>
    <t xml:space="preserve">         19.81亿</t>
  </si>
  <si>
    <t xml:space="preserve">         25.10亿</t>
  </si>
  <si>
    <t xml:space="preserve">  -1.85㈡</t>
  </si>
  <si>
    <t>中青宝</t>
  </si>
  <si>
    <t xml:space="preserve">         41.86亿</t>
  </si>
  <si>
    <t xml:space="preserve">         52.24亿</t>
  </si>
  <si>
    <t>10.48万</t>
  </si>
  <si>
    <t xml:space="preserve">   1.63㈡</t>
  </si>
  <si>
    <t>欧比特</t>
  </si>
  <si>
    <t xml:space="preserve">         51.18亿</t>
  </si>
  <si>
    <t xml:space="preserve">         63.32亿</t>
  </si>
  <si>
    <t xml:space="preserve">         70.29亿</t>
  </si>
  <si>
    <t>鼎龙股份</t>
  </si>
  <si>
    <t xml:space="preserve">        130.71亿</t>
  </si>
  <si>
    <t xml:space="preserve">        144.72亿</t>
  </si>
  <si>
    <t xml:space="preserve">        189.87亿</t>
  </si>
  <si>
    <t>40.85万</t>
  </si>
  <si>
    <t>万邦达</t>
  </si>
  <si>
    <t xml:space="preserve">        118.47亿</t>
  </si>
  <si>
    <t xml:space="preserve">        163.56亿</t>
  </si>
  <si>
    <t xml:space="preserve">        163.95亿</t>
  </si>
  <si>
    <t>30.46万</t>
  </si>
  <si>
    <t>中创环保</t>
  </si>
  <si>
    <t xml:space="preserve">         12.09亿</t>
  </si>
  <si>
    <t>阶段缩量</t>
  </si>
  <si>
    <t xml:space="preserve">  -2.03㈡</t>
  </si>
  <si>
    <t>万顺新材</t>
  </si>
  <si>
    <t>13.67万</t>
  </si>
  <si>
    <t xml:space="preserve">   0.51㈡</t>
  </si>
  <si>
    <t>蓝色光标</t>
  </si>
  <si>
    <t xml:space="preserve">        129.36亿</t>
  </si>
  <si>
    <t xml:space="preserve">        145.27亿</t>
  </si>
  <si>
    <t xml:space="preserve">        151.95亿</t>
  </si>
  <si>
    <t>13.19万</t>
  </si>
  <si>
    <t>东方财富</t>
  </si>
  <si>
    <t xml:space="preserve">       2595.36亿</t>
  </si>
  <si>
    <t xml:space="preserve">       2908.24亿</t>
  </si>
  <si>
    <t xml:space="preserve">       3522.43亿</t>
  </si>
  <si>
    <t>42.24万</t>
  </si>
  <si>
    <t xml:space="preserve">   9.69㈡</t>
  </si>
  <si>
    <t>旗天科技</t>
  </si>
  <si>
    <t xml:space="preserve">         23.78亿</t>
  </si>
  <si>
    <t xml:space="preserve">         37.49亿</t>
  </si>
  <si>
    <t xml:space="preserve">         45.54亿</t>
  </si>
  <si>
    <t xml:space="preserve">  -1.13㈡</t>
  </si>
  <si>
    <t>中能电气</t>
  </si>
  <si>
    <t xml:space="preserve">         17.91亿</t>
  </si>
  <si>
    <t>天龙集团</t>
  </si>
  <si>
    <t xml:space="preserve">         27.27亿</t>
  </si>
  <si>
    <t xml:space="preserve">         33.46亿</t>
  </si>
  <si>
    <t>海兰信</t>
  </si>
  <si>
    <t xml:space="preserve">         50.17亿</t>
  </si>
  <si>
    <t xml:space="preserve">         56.37亿</t>
  </si>
  <si>
    <t xml:space="preserve">         67.25亿</t>
  </si>
  <si>
    <t>20.62万</t>
  </si>
  <si>
    <t>三川智慧</t>
  </si>
  <si>
    <t xml:space="preserve">         28.82亿</t>
  </si>
  <si>
    <t xml:space="preserve">         49.97亿</t>
  </si>
  <si>
    <t>安诺其</t>
  </si>
  <si>
    <t xml:space="preserve">         52.54亿</t>
  </si>
  <si>
    <t>南都电源</t>
  </si>
  <si>
    <t xml:space="preserve">         83.87亿</t>
  </si>
  <si>
    <t xml:space="preserve">        103.23亿</t>
  </si>
  <si>
    <t xml:space="preserve">        107.05亿</t>
  </si>
  <si>
    <t>17.49万</t>
  </si>
  <si>
    <t>金利华电</t>
  </si>
  <si>
    <t xml:space="preserve">         16.06亿</t>
  </si>
  <si>
    <t>33.34万</t>
  </si>
  <si>
    <t>碧水源</t>
  </si>
  <si>
    <t xml:space="preserve">        154.56亿</t>
  </si>
  <si>
    <t xml:space="preserve">        196.46亿</t>
  </si>
  <si>
    <t xml:space="preserve">        252.53亿</t>
  </si>
  <si>
    <t>18.56万</t>
  </si>
  <si>
    <t>三聚环保</t>
  </si>
  <si>
    <t xml:space="preserve">         89.78亿</t>
  </si>
  <si>
    <t xml:space="preserve">        168.90亿</t>
  </si>
  <si>
    <t xml:space="preserve">        170.35亿</t>
  </si>
  <si>
    <t>19.84万</t>
  </si>
  <si>
    <t>-0.141㈡</t>
  </si>
  <si>
    <t xml:space="preserve">  -4.26㈡</t>
  </si>
  <si>
    <t>当升科技</t>
  </si>
  <si>
    <t xml:space="preserve">        291.65亿</t>
  </si>
  <si>
    <t xml:space="preserve">        376.61亿</t>
  </si>
  <si>
    <t xml:space="preserve">        392.20亿</t>
  </si>
  <si>
    <t>66.28万</t>
  </si>
  <si>
    <t>0.985㈡</t>
  </si>
  <si>
    <t xml:space="preserve">  10.69㈡</t>
  </si>
  <si>
    <t>华平股份</t>
  </si>
  <si>
    <t xml:space="preserve">         16.73亿</t>
  </si>
  <si>
    <t xml:space="preserve">         21.50亿</t>
  </si>
  <si>
    <t xml:space="preserve">         21.62亿</t>
  </si>
  <si>
    <t>5.60万</t>
  </si>
  <si>
    <t>-0.005㈡</t>
  </si>
  <si>
    <t xml:space="preserve">  -0.24㈡</t>
  </si>
  <si>
    <t>数字政通</t>
  </si>
  <si>
    <t xml:space="preserve">         44.45亿</t>
  </si>
  <si>
    <t xml:space="preserve">         60.54亿</t>
  </si>
  <si>
    <t>9.24万</t>
  </si>
  <si>
    <t>GQY视讯</t>
  </si>
  <si>
    <t xml:space="preserve">         20.00亿</t>
  </si>
  <si>
    <t xml:space="preserve">  -0.96㈡</t>
  </si>
  <si>
    <t>国民技术</t>
  </si>
  <si>
    <t xml:space="preserve">        158.88亿</t>
  </si>
  <si>
    <t xml:space="preserve">        172.76亿</t>
  </si>
  <si>
    <t>21.78万</t>
  </si>
  <si>
    <t>思创医惠</t>
  </si>
  <si>
    <t xml:space="preserve">         56.90亿</t>
  </si>
  <si>
    <t>数码视讯</t>
  </si>
  <si>
    <t xml:space="preserve">        122.90亿</t>
  </si>
  <si>
    <t xml:space="preserve">        128.33亿</t>
  </si>
  <si>
    <t xml:space="preserve">        144.76亿</t>
  </si>
  <si>
    <t>15.17万</t>
  </si>
  <si>
    <t>易成新能</t>
  </si>
  <si>
    <t xml:space="preserve">         42.90亿</t>
  </si>
  <si>
    <t xml:space="preserve">         84.95亿</t>
  </si>
  <si>
    <t xml:space="preserve">        168.19亿</t>
  </si>
  <si>
    <t xml:space="preserve">   0.26㈡</t>
  </si>
  <si>
    <t>恒信东方</t>
  </si>
  <si>
    <t xml:space="preserve">         34.41亿</t>
  </si>
  <si>
    <t xml:space="preserve">         50.11亿</t>
  </si>
  <si>
    <t>15.35万</t>
  </si>
  <si>
    <t>奥克股份</t>
  </si>
  <si>
    <t xml:space="preserve">         88.65亿</t>
  </si>
  <si>
    <t xml:space="preserve">        188.94亿</t>
  </si>
  <si>
    <t xml:space="preserve">        189.61亿</t>
  </si>
  <si>
    <t>29.65万</t>
  </si>
  <si>
    <t>创世纪</t>
  </si>
  <si>
    <t xml:space="preserve">        173.68亿</t>
  </si>
  <si>
    <t xml:space="preserve">        203.02亿</t>
  </si>
  <si>
    <t>35.93万</t>
  </si>
  <si>
    <t xml:space="preserve">   8.71㈡</t>
  </si>
  <si>
    <t>海默科技</t>
  </si>
  <si>
    <t xml:space="preserve">         24.10亿</t>
  </si>
  <si>
    <t>10.17万</t>
  </si>
  <si>
    <t>-0.072㈡</t>
  </si>
  <si>
    <t xml:space="preserve">  -2.21㈡</t>
  </si>
  <si>
    <t>银之杰</t>
  </si>
  <si>
    <t xml:space="preserve">         82.92亿</t>
  </si>
  <si>
    <t xml:space="preserve">        112.14亿</t>
  </si>
  <si>
    <t>-0.054㈡</t>
  </si>
  <si>
    <t xml:space="preserve">  -2.90㈡</t>
  </si>
  <si>
    <t>康芝药业</t>
  </si>
  <si>
    <t xml:space="preserve">         23.67亿</t>
  </si>
  <si>
    <t>-0.128㈡</t>
  </si>
  <si>
    <t xml:space="preserve">  -4.01㈡</t>
  </si>
  <si>
    <t>荃银高科</t>
  </si>
  <si>
    <t xml:space="preserve">         99.15亿</t>
  </si>
  <si>
    <t xml:space="preserve">        143.69亿</t>
  </si>
  <si>
    <t xml:space="preserve">        163.48亿</t>
  </si>
  <si>
    <t>28.59万</t>
  </si>
  <si>
    <t xml:space="preserve">  -1.46㈡</t>
  </si>
  <si>
    <t>长信科技</t>
  </si>
  <si>
    <t xml:space="preserve">        166.44亿</t>
  </si>
  <si>
    <t xml:space="preserve">        206.89亿</t>
  </si>
  <si>
    <t xml:space="preserve">        207.93亿</t>
  </si>
  <si>
    <t>10.22万</t>
  </si>
  <si>
    <t xml:space="preserve">   6.44㈡</t>
  </si>
  <si>
    <t>文化长城</t>
  </si>
  <si>
    <t xml:space="preserve">         11.79亿</t>
  </si>
  <si>
    <t xml:space="preserve"> -97.39㈡</t>
  </si>
  <si>
    <t>金通灵</t>
  </si>
  <si>
    <t xml:space="preserve">         40.74亿</t>
  </si>
  <si>
    <t xml:space="preserve">         70.44亿</t>
  </si>
  <si>
    <t>9.92万</t>
  </si>
  <si>
    <t xml:space="preserve">   1.56㈡</t>
  </si>
  <si>
    <t>科新机电</t>
  </si>
  <si>
    <t xml:space="preserve">         21.35亿</t>
  </si>
  <si>
    <t xml:space="preserve">         29.53亿</t>
  </si>
  <si>
    <t>金刚玻璃</t>
  </si>
  <si>
    <t xml:space="preserve">         28.81亿</t>
  </si>
  <si>
    <t xml:space="preserve">         38.96亿</t>
  </si>
  <si>
    <t xml:space="preserve">         42.68亿</t>
  </si>
  <si>
    <t>23.48万</t>
  </si>
  <si>
    <t xml:space="preserve">   0.20㈡</t>
  </si>
  <si>
    <t>国联水产</t>
  </si>
  <si>
    <t xml:space="preserve">         23.47亿</t>
  </si>
  <si>
    <t xml:space="preserve">         37.59亿</t>
  </si>
  <si>
    <t>6.62万</t>
  </si>
  <si>
    <t xml:space="preserve">   0.48㈡</t>
  </si>
  <si>
    <t>华伍股份</t>
  </si>
  <si>
    <t xml:space="preserve">         26.60亿</t>
  </si>
  <si>
    <t xml:space="preserve">         37.76亿</t>
  </si>
  <si>
    <t>10.19万</t>
  </si>
  <si>
    <t>0.304㈡</t>
  </si>
  <si>
    <t>易联众</t>
  </si>
  <si>
    <t xml:space="preserve">         23.72亿</t>
  </si>
  <si>
    <t xml:space="preserve">         32.12亿</t>
  </si>
  <si>
    <t>-0.182㈡</t>
  </si>
  <si>
    <t xml:space="preserve"> -12.37㈡</t>
  </si>
  <si>
    <t>智云股份</t>
  </si>
  <si>
    <t xml:space="preserve">         18.00亿</t>
  </si>
  <si>
    <t xml:space="preserve">         24.71亿</t>
  </si>
  <si>
    <t>-0.300㈡</t>
  </si>
  <si>
    <t xml:space="preserve">  -6.67㈡</t>
  </si>
  <si>
    <t>高新兴</t>
  </si>
  <si>
    <t xml:space="preserve">         59.60亿</t>
  </si>
  <si>
    <t xml:space="preserve">         64.28亿</t>
  </si>
  <si>
    <t xml:space="preserve">         76.64亿</t>
  </si>
  <si>
    <t>精准信息</t>
  </si>
  <si>
    <t xml:space="preserve">         32.63亿</t>
  </si>
  <si>
    <t xml:space="preserve">         45.84亿</t>
  </si>
  <si>
    <t>0.096㈡</t>
  </si>
  <si>
    <t>双林股份</t>
  </si>
  <si>
    <t xml:space="preserve">         37.05亿</t>
  </si>
  <si>
    <t xml:space="preserve">         39.09亿</t>
  </si>
  <si>
    <t>振芯科技</t>
  </si>
  <si>
    <t xml:space="preserve">        104.84亿</t>
  </si>
  <si>
    <t xml:space="preserve">        149.39亿</t>
  </si>
  <si>
    <t xml:space="preserve">        150.01亿</t>
  </si>
  <si>
    <t xml:space="preserve">   7.24㈡</t>
  </si>
  <si>
    <t>乾照光电</t>
  </si>
  <si>
    <t xml:space="preserve">         46.09亿</t>
  </si>
  <si>
    <t>达刚控股</t>
  </si>
  <si>
    <t xml:space="preserve">         13.53亿</t>
  </si>
  <si>
    <t xml:space="preserve">         25.41亿</t>
  </si>
  <si>
    <t xml:space="preserve">         33.16亿</t>
  </si>
  <si>
    <t>10.67万</t>
  </si>
  <si>
    <t>龙源技术</t>
  </si>
  <si>
    <t xml:space="preserve">         31.56亿</t>
  </si>
  <si>
    <t xml:space="preserve">         32.14亿</t>
  </si>
  <si>
    <t>7.95万</t>
  </si>
  <si>
    <t>西部牧业</t>
  </si>
  <si>
    <t xml:space="preserve">         14.88亿</t>
  </si>
  <si>
    <t>5.26万</t>
  </si>
  <si>
    <t>0.061㈡</t>
  </si>
  <si>
    <t xml:space="preserve">   2.17㈡</t>
  </si>
  <si>
    <t>建新股份</t>
  </si>
  <si>
    <t xml:space="preserve">         17.65亿</t>
  </si>
  <si>
    <t>吉药控股</t>
  </si>
  <si>
    <t xml:space="preserve">         14.51亿</t>
  </si>
  <si>
    <t xml:space="preserve">         17.20亿</t>
  </si>
  <si>
    <t>-0.352㈡</t>
  </si>
  <si>
    <t>新开源</t>
  </si>
  <si>
    <t xml:space="preserve">         39.38亿</t>
  </si>
  <si>
    <t xml:space="preserve">         57.32亿</t>
  </si>
  <si>
    <t xml:space="preserve">         65.29亿</t>
  </si>
  <si>
    <t>23.41万</t>
  </si>
  <si>
    <t>华仁药业</t>
  </si>
  <si>
    <t xml:space="preserve">         52.31亿</t>
  </si>
  <si>
    <t xml:space="preserve">         52.37亿</t>
  </si>
  <si>
    <t>0.062㈡</t>
  </si>
  <si>
    <t>向日葵</t>
  </si>
  <si>
    <t xml:space="preserve">         33.74亿</t>
  </si>
  <si>
    <t xml:space="preserve">         33.82亿</t>
  </si>
  <si>
    <t xml:space="preserve">   0.64㈡</t>
  </si>
  <si>
    <t>万讯自控</t>
  </si>
  <si>
    <t xml:space="preserve">         17.69亿</t>
  </si>
  <si>
    <t xml:space="preserve">         21.10亿</t>
  </si>
  <si>
    <t>顺网科技</t>
  </si>
  <si>
    <t xml:space="preserve">         66.96亿</t>
  </si>
  <si>
    <t xml:space="preserve">         96.09亿</t>
  </si>
  <si>
    <t>13.48万</t>
  </si>
  <si>
    <t>中航电测</t>
  </si>
  <si>
    <t xml:space="preserve">         46.80亿</t>
  </si>
  <si>
    <t xml:space="preserve">         99.96亿</t>
  </si>
  <si>
    <t>长盈精密</t>
  </si>
  <si>
    <t xml:space="preserve">        191.78亿</t>
  </si>
  <si>
    <t xml:space="preserve">        192.52亿</t>
  </si>
  <si>
    <t>保力新</t>
  </si>
  <si>
    <t xml:space="preserve">         79.74亿</t>
  </si>
  <si>
    <t xml:space="preserve">        111.19亿</t>
  </si>
  <si>
    <t xml:space="preserve">        119.01亿</t>
  </si>
  <si>
    <t>嘉寓股份</t>
  </si>
  <si>
    <t xml:space="preserve">         20.41亿</t>
  </si>
  <si>
    <t xml:space="preserve">  -3.95㈡</t>
  </si>
  <si>
    <t>东方日升</t>
  </si>
  <si>
    <t xml:space="preserve">        135.40亿</t>
  </si>
  <si>
    <t xml:space="preserve">        191.40亿</t>
  </si>
  <si>
    <t xml:space="preserve">        191.81亿</t>
  </si>
  <si>
    <t>17.27万</t>
  </si>
  <si>
    <t xml:space="preserve">  -1.11㈡</t>
  </si>
  <si>
    <t>瑞普生物</t>
  </si>
  <si>
    <t xml:space="preserve">         43.29亿</t>
  </si>
  <si>
    <t xml:space="preserve">         60.68亿</t>
  </si>
  <si>
    <t xml:space="preserve">         97.25亿</t>
  </si>
  <si>
    <t>21.59万</t>
  </si>
  <si>
    <t xml:space="preserve">   8.13㈡</t>
  </si>
  <si>
    <t>经纬辉开</t>
  </si>
  <si>
    <t xml:space="preserve">         27.87亿</t>
  </si>
  <si>
    <t>9.53万</t>
  </si>
  <si>
    <t>阳谷华泰</t>
  </si>
  <si>
    <t xml:space="preserve">         29.39亿</t>
  </si>
  <si>
    <t xml:space="preserve">         47.16亿</t>
  </si>
  <si>
    <t xml:space="preserve">         49.10亿</t>
  </si>
  <si>
    <t xml:space="preserve">  10.15㈡</t>
  </si>
  <si>
    <t>智飞生物</t>
  </si>
  <si>
    <t xml:space="preserve">       1048.45亿</t>
  </si>
  <si>
    <t xml:space="preserve">       1375.67亿</t>
  </si>
  <si>
    <t xml:space="preserve">       2387.52亿</t>
  </si>
  <si>
    <t>94.79万</t>
  </si>
  <si>
    <t>3.432㈡</t>
  </si>
  <si>
    <t xml:space="preserve">  39.96㈡</t>
  </si>
  <si>
    <t>亚光科技</t>
  </si>
  <si>
    <t xml:space="preserve">         69.85亿</t>
  </si>
  <si>
    <t xml:space="preserve">        100.74亿</t>
  </si>
  <si>
    <t xml:space="preserve">        102.78亿</t>
  </si>
  <si>
    <t>汇川技术</t>
  </si>
  <si>
    <t xml:space="preserve">       1027.97亿</t>
  </si>
  <si>
    <t xml:space="preserve">       1352.21亿</t>
  </si>
  <si>
    <t xml:space="preserve">       1707.59亿</t>
  </si>
  <si>
    <t>97.18万</t>
  </si>
  <si>
    <t xml:space="preserve">  11.24㈡</t>
  </si>
  <si>
    <t>聆达股份</t>
  </si>
  <si>
    <t xml:space="preserve">         35.34亿</t>
  </si>
  <si>
    <t>52.15万</t>
  </si>
  <si>
    <t>-0.004㈡</t>
  </si>
  <si>
    <t xml:space="preserve">  -0.13㈡</t>
  </si>
  <si>
    <t>锐奇股份</t>
  </si>
  <si>
    <t xml:space="preserve">         22.68亿</t>
  </si>
  <si>
    <t xml:space="preserve">   1.15㈡</t>
  </si>
  <si>
    <t>银河磁体</t>
  </si>
  <si>
    <t xml:space="preserve">         20.57亿</t>
  </si>
  <si>
    <t xml:space="preserve">         47.29亿</t>
  </si>
  <si>
    <t xml:space="preserve">         67.12亿</t>
  </si>
  <si>
    <t>8.08万</t>
  </si>
  <si>
    <t>锦富技术</t>
  </si>
  <si>
    <t xml:space="preserve">         30.93亿</t>
  </si>
  <si>
    <t xml:space="preserve">         42.78亿</t>
  </si>
  <si>
    <t>-0.036㈡</t>
  </si>
  <si>
    <t xml:space="preserve">  -3.31㈡</t>
  </si>
  <si>
    <t>泰胜风能</t>
  </si>
  <si>
    <t xml:space="preserve">         57.62亿</t>
  </si>
  <si>
    <t xml:space="preserve">         71.77亿</t>
  </si>
  <si>
    <t>0.248㈡</t>
  </si>
  <si>
    <t>新国都</t>
  </si>
  <si>
    <t xml:space="preserve">         28.24亿</t>
  </si>
  <si>
    <t xml:space="preserve">         34.01亿</t>
  </si>
  <si>
    <t>英唐智控</t>
  </si>
  <si>
    <t xml:space="preserve">         63.06亿</t>
  </si>
  <si>
    <t xml:space="preserve">         66.28亿</t>
  </si>
  <si>
    <t xml:space="preserve">         75.94亿</t>
  </si>
  <si>
    <t>8.02万</t>
  </si>
  <si>
    <t xml:space="preserve">   2.10㈡</t>
  </si>
  <si>
    <t>青松股份</t>
  </si>
  <si>
    <t xml:space="preserve">         72.46亿</t>
  </si>
  <si>
    <t xml:space="preserve">         78.99亿</t>
  </si>
  <si>
    <t>40.04万</t>
  </si>
  <si>
    <t>华策影视</t>
  </si>
  <si>
    <t xml:space="preserve">         62.27亿</t>
  </si>
  <si>
    <t xml:space="preserve">         87.90亿</t>
  </si>
  <si>
    <t xml:space="preserve">        115.40亿</t>
  </si>
  <si>
    <t>15.66万</t>
  </si>
  <si>
    <t>大富科技</t>
  </si>
  <si>
    <t xml:space="preserve">         69.89亿</t>
  </si>
  <si>
    <t xml:space="preserve">         75.29亿</t>
  </si>
  <si>
    <t xml:space="preserve">  -0.71㈡</t>
  </si>
  <si>
    <t>宝利国际</t>
  </si>
  <si>
    <t xml:space="preserve">         18.88亿</t>
  </si>
  <si>
    <t xml:space="preserve">         20.26亿</t>
  </si>
  <si>
    <t>信维通信</t>
  </si>
  <si>
    <t xml:space="preserve">        179.21亿</t>
  </si>
  <si>
    <t xml:space="preserve">        190.09亿</t>
  </si>
  <si>
    <t xml:space="preserve">        223.31亿</t>
  </si>
  <si>
    <t xml:space="preserve">   3.02㈡</t>
  </si>
  <si>
    <t>先河环保</t>
  </si>
  <si>
    <t xml:space="preserve">         34.45亿</t>
  </si>
  <si>
    <t xml:space="preserve">         36.00亿</t>
  </si>
  <si>
    <t>7.12万</t>
  </si>
  <si>
    <t>晨光生物</t>
  </si>
  <si>
    <t xml:space="preserve">         55.72亿</t>
  </si>
  <si>
    <t xml:space="preserve">         59.12亿</t>
  </si>
  <si>
    <t xml:space="preserve">         73.68亿</t>
  </si>
  <si>
    <t xml:space="preserve">   7.18㈡</t>
  </si>
  <si>
    <t>晓程科技</t>
  </si>
  <si>
    <t xml:space="preserve">         21.23亿</t>
  </si>
  <si>
    <t xml:space="preserve">         26.39亿</t>
  </si>
  <si>
    <t xml:space="preserve">   0.71㈡</t>
  </si>
  <si>
    <t>中环装备</t>
  </si>
  <si>
    <t xml:space="preserve">         20.42亿</t>
  </si>
  <si>
    <t xml:space="preserve">         30.20亿</t>
  </si>
  <si>
    <t>-0.096㈡</t>
  </si>
  <si>
    <t>和顺电气</t>
  </si>
  <si>
    <t xml:space="preserve">         23.65亿</t>
  </si>
  <si>
    <t>6.53万</t>
  </si>
  <si>
    <t xml:space="preserve">   0.11㈡</t>
  </si>
  <si>
    <t>沃森生物</t>
  </si>
  <si>
    <t xml:space="preserve">       1011.84亿</t>
  </si>
  <si>
    <t xml:space="preserve">       1046.06亿</t>
  </si>
  <si>
    <t>74.73万</t>
  </si>
  <si>
    <t>盈康生命</t>
  </si>
  <si>
    <t xml:space="preserve">         71.67亿</t>
  </si>
  <si>
    <t xml:space="preserve">         84.32亿</t>
  </si>
  <si>
    <t>28.80万</t>
  </si>
  <si>
    <t>宋城演艺</t>
  </si>
  <si>
    <t xml:space="preserve">        208.74亿</t>
  </si>
  <si>
    <t xml:space="preserve">        336.75亿</t>
  </si>
  <si>
    <t xml:space="preserve">        384.88亿</t>
  </si>
  <si>
    <t>30.13万</t>
  </si>
  <si>
    <t>中金环境</t>
  </si>
  <si>
    <t xml:space="preserve">         45.29亿</t>
  </si>
  <si>
    <t xml:space="preserve">         61.34亿</t>
  </si>
  <si>
    <t xml:space="preserve">         67.90亿</t>
  </si>
  <si>
    <t>11.49万</t>
  </si>
  <si>
    <t>汤臣倍健</t>
  </si>
  <si>
    <t xml:space="preserve">        185.56亿</t>
  </si>
  <si>
    <t xml:space="preserve">        231.66亿</t>
  </si>
  <si>
    <t xml:space="preserve">        441.23亿</t>
  </si>
  <si>
    <t>41.61万</t>
  </si>
  <si>
    <t xml:space="preserve">  13.46㈡</t>
  </si>
  <si>
    <t>香雪制药</t>
  </si>
  <si>
    <t xml:space="preserve">         33.43亿</t>
  </si>
  <si>
    <t xml:space="preserve">         46.92亿</t>
  </si>
  <si>
    <t xml:space="preserve">         47.49亿</t>
  </si>
  <si>
    <t xml:space="preserve">   1.37㈡</t>
  </si>
  <si>
    <t>天舟文化</t>
  </si>
  <si>
    <t xml:space="preserve">         23.37亿</t>
  </si>
  <si>
    <t xml:space="preserve">         28.57亿</t>
  </si>
  <si>
    <t xml:space="preserve">         31.66亿</t>
  </si>
  <si>
    <t>7.40万</t>
  </si>
  <si>
    <t>睿智医药</t>
  </si>
  <si>
    <t xml:space="preserve">         66.73亿</t>
  </si>
  <si>
    <t xml:space="preserve">         72.82亿</t>
  </si>
  <si>
    <t>28.61万</t>
  </si>
  <si>
    <t>世纪瑞尔</t>
  </si>
  <si>
    <t xml:space="preserve">  -0.54㈡</t>
  </si>
  <si>
    <t>昌红科技</t>
  </si>
  <si>
    <t xml:space="preserve">         68.57亿</t>
  </si>
  <si>
    <t xml:space="preserve">         82.48亿</t>
  </si>
  <si>
    <t xml:space="preserve">        131.25亿</t>
  </si>
  <si>
    <t>44.69万</t>
  </si>
  <si>
    <t>科融环境</t>
  </si>
  <si>
    <t xml:space="preserve">         29.92亿</t>
  </si>
  <si>
    <t xml:space="preserve">         29.94亿</t>
  </si>
  <si>
    <t xml:space="preserve">  -3.67㈡</t>
  </si>
  <si>
    <t>科泰电源</t>
  </si>
  <si>
    <t>瑞凌股份</t>
  </si>
  <si>
    <t xml:space="preserve">         10.10亿</t>
  </si>
  <si>
    <t xml:space="preserve">         29.96亿</t>
  </si>
  <si>
    <t>安居宝</t>
  </si>
  <si>
    <t xml:space="preserve">         13.64亿</t>
  </si>
  <si>
    <t xml:space="preserve">         36.84亿</t>
  </si>
  <si>
    <t xml:space="preserve">   1.65㈡</t>
  </si>
  <si>
    <t>恒泰艾普</t>
  </si>
  <si>
    <t xml:space="preserve">         24.54亿</t>
  </si>
  <si>
    <t>振东制药</t>
  </si>
  <si>
    <t xml:space="preserve">         80.56亿</t>
  </si>
  <si>
    <t>13.12万</t>
  </si>
  <si>
    <t>0.215㈡</t>
  </si>
  <si>
    <t>新研股份</t>
  </si>
  <si>
    <t xml:space="preserve">         64.91亿</t>
  </si>
  <si>
    <t xml:space="preserve">         74.15亿</t>
  </si>
  <si>
    <t xml:space="preserve"> -18.37㈡</t>
  </si>
  <si>
    <t>秀强股份</t>
  </si>
  <si>
    <t xml:space="preserve">         25.35亿</t>
  </si>
  <si>
    <t xml:space="preserve">         49.29亿</t>
  </si>
  <si>
    <t xml:space="preserve">   4.46㈡</t>
  </si>
  <si>
    <t>华中数控</t>
  </si>
  <si>
    <t xml:space="preserve">         31.35亿</t>
  </si>
  <si>
    <t xml:space="preserve">         49.02亿</t>
  </si>
  <si>
    <t>20.82万</t>
  </si>
  <si>
    <t xml:space="preserve">  -2.48㈡</t>
  </si>
  <si>
    <t>雷曼光电</t>
  </si>
  <si>
    <t xml:space="preserve">         18.37亿</t>
  </si>
  <si>
    <t>7.65万</t>
  </si>
  <si>
    <t>先锋新材</t>
  </si>
  <si>
    <t xml:space="preserve">         13.58亿</t>
  </si>
  <si>
    <t xml:space="preserve">         19.18亿</t>
  </si>
  <si>
    <t xml:space="preserve">         19.20亿</t>
  </si>
  <si>
    <t>通源石油</t>
  </si>
  <si>
    <t xml:space="preserve">         20.28亿</t>
  </si>
  <si>
    <t xml:space="preserve">         23.34亿</t>
  </si>
  <si>
    <t>8.24万</t>
  </si>
  <si>
    <t>天瑞仪器</t>
  </si>
  <si>
    <t xml:space="preserve">         16.02亿</t>
  </si>
  <si>
    <t xml:space="preserve">         26.79亿</t>
  </si>
  <si>
    <t>7.00万</t>
  </si>
  <si>
    <t>东方国信</t>
  </si>
  <si>
    <t xml:space="preserve">         72.09亿</t>
  </si>
  <si>
    <t xml:space="preserve">         79.59亿</t>
  </si>
  <si>
    <t xml:space="preserve">        112.65亿</t>
  </si>
  <si>
    <t>9.75万</t>
  </si>
  <si>
    <t>迪威迅</t>
  </si>
  <si>
    <t xml:space="preserve">         16.30亿</t>
  </si>
  <si>
    <t>-0.193㈡</t>
  </si>
  <si>
    <t xml:space="preserve"> -16.26㈡</t>
  </si>
  <si>
    <t>万达信息</t>
  </si>
  <si>
    <t xml:space="preserve">        115.09亿</t>
  </si>
  <si>
    <t xml:space="preserve">        160.01亿</t>
  </si>
  <si>
    <t xml:space="preserve">        160.21亿</t>
  </si>
  <si>
    <t xml:space="preserve">   1.77㈡</t>
  </si>
  <si>
    <t>天晟新材</t>
  </si>
  <si>
    <t xml:space="preserve">         21.75亿</t>
  </si>
  <si>
    <t xml:space="preserve">         23.63亿</t>
  </si>
  <si>
    <t>汉得信息</t>
  </si>
  <si>
    <t xml:space="preserve">         58.99亿</t>
  </si>
  <si>
    <t xml:space="preserve">         64.98亿</t>
  </si>
  <si>
    <t>东富龙</t>
  </si>
  <si>
    <t xml:space="preserve">         98.05亿</t>
  </si>
  <si>
    <t xml:space="preserve">        259.50亿</t>
  </si>
  <si>
    <t>61.48万</t>
  </si>
  <si>
    <t>0.542㈡</t>
  </si>
  <si>
    <t xml:space="preserve">   9.02㈡</t>
  </si>
  <si>
    <t>中电环保</t>
  </si>
  <si>
    <t xml:space="preserve">         23.09亿</t>
  </si>
  <si>
    <t xml:space="preserve">         25.54亿</t>
  </si>
  <si>
    <t xml:space="preserve">         34.85亿</t>
  </si>
  <si>
    <t xml:space="preserve">   3.63㈡</t>
  </si>
  <si>
    <t>福能东方</t>
  </si>
  <si>
    <t xml:space="preserve">         48.44亿</t>
  </si>
  <si>
    <t xml:space="preserve">         53.63亿</t>
  </si>
  <si>
    <t>元力股份</t>
  </si>
  <si>
    <t xml:space="preserve">         49.46亿</t>
  </si>
  <si>
    <t>朗源股份</t>
  </si>
  <si>
    <t xml:space="preserve">         16.86亿</t>
  </si>
  <si>
    <t xml:space="preserve">         22.17亿</t>
  </si>
  <si>
    <t>7.45万</t>
  </si>
  <si>
    <t xml:space="preserve">  -4.13㈡</t>
  </si>
  <si>
    <t>派生科技</t>
  </si>
  <si>
    <t xml:space="preserve">         18.02亿</t>
  </si>
  <si>
    <t xml:space="preserve">         25.81亿</t>
  </si>
  <si>
    <t xml:space="preserve">         26.64亿</t>
  </si>
  <si>
    <t>中海达</t>
  </si>
  <si>
    <t xml:space="preserve">         57.25亿</t>
  </si>
  <si>
    <t xml:space="preserve">         62.74亿</t>
  </si>
  <si>
    <t xml:space="preserve">         79.25亿</t>
  </si>
  <si>
    <t>11.82万</t>
  </si>
  <si>
    <t>四方达</t>
  </si>
  <si>
    <t xml:space="preserve">         29.82亿</t>
  </si>
  <si>
    <t xml:space="preserve">         33.89亿</t>
  </si>
  <si>
    <t xml:space="preserve">         50.21亿</t>
  </si>
  <si>
    <t>9.25万</t>
  </si>
  <si>
    <t>华峰超纤</t>
  </si>
  <si>
    <t xml:space="preserve">         64.26亿</t>
  </si>
  <si>
    <t xml:space="preserve">         99.50亿</t>
  </si>
  <si>
    <t>22.09万</t>
  </si>
  <si>
    <t>佐力药业</t>
  </si>
  <si>
    <t xml:space="preserve">         33.75亿</t>
  </si>
  <si>
    <t xml:space="preserve">         39.88亿</t>
  </si>
  <si>
    <t xml:space="preserve">         49.18亿</t>
  </si>
  <si>
    <t>捷成股份</t>
  </si>
  <si>
    <t xml:space="preserve">         94.70亿</t>
  </si>
  <si>
    <t xml:space="preserve">        102.11亿</t>
  </si>
  <si>
    <t xml:space="preserve">        125.66亿</t>
  </si>
  <si>
    <t>21.52万</t>
  </si>
  <si>
    <t>东软载波</t>
  </si>
  <si>
    <t xml:space="preserve">         60.26亿</t>
  </si>
  <si>
    <t>13.40万</t>
  </si>
  <si>
    <t>力源信息</t>
  </si>
  <si>
    <t xml:space="preserve">         58.75亿</t>
  </si>
  <si>
    <t xml:space="preserve">   5.92㈡</t>
  </si>
  <si>
    <t>通裕重工</t>
  </si>
  <si>
    <t xml:space="preserve">        113.85亿</t>
  </si>
  <si>
    <t xml:space="preserve">        156.26亿</t>
  </si>
  <si>
    <t>6.26万</t>
  </si>
  <si>
    <t>永清环保</t>
  </si>
  <si>
    <t xml:space="preserve">         54.20亿</t>
  </si>
  <si>
    <t xml:space="preserve">         54.27亿</t>
  </si>
  <si>
    <t>0.071㈡</t>
  </si>
  <si>
    <t>美亚柏科</t>
  </si>
  <si>
    <t xml:space="preserve">         71.11亿</t>
  </si>
  <si>
    <t xml:space="preserve">        102.09亿</t>
  </si>
  <si>
    <t>16.38万</t>
  </si>
  <si>
    <t>神农科技</t>
  </si>
  <si>
    <t xml:space="preserve">         52.84亿</t>
  </si>
  <si>
    <t xml:space="preserve">  -1.52㈡</t>
  </si>
  <si>
    <t>维尔利</t>
  </si>
  <si>
    <t xml:space="preserve">         31.65亿</t>
  </si>
  <si>
    <t xml:space="preserve">         49.62亿</t>
  </si>
  <si>
    <t xml:space="preserve">         50.96亿</t>
  </si>
  <si>
    <t>11.30万</t>
  </si>
  <si>
    <t xml:space="preserve">   3.03㈡</t>
  </si>
  <si>
    <t>潜能恒信</t>
  </si>
  <si>
    <t xml:space="preserve">         33.14亿</t>
  </si>
  <si>
    <t xml:space="preserve">         76.19亿</t>
  </si>
  <si>
    <t>19.05万</t>
  </si>
  <si>
    <t>0.047㈡</t>
  </si>
  <si>
    <t>科德教育</t>
  </si>
  <si>
    <t xml:space="preserve">   5.21㈡</t>
  </si>
  <si>
    <t>佳士科技</t>
  </si>
  <si>
    <t xml:space="preserve">         45.17亿</t>
  </si>
  <si>
    <t xml:space="preserve">         73.16亿</t>
  </si>
  <si>
    <t>24.30万</t>
  </si>
  <si>
    <t>福安药业</t>
  </si>
  <si>
    <t xml:space="preserve">         37.58亿</t>
  </si>
  <si>
    <t xml:space="preserve">         51.28亿</t>
  </si>
  <si>
    <t>7.90万</t>
  </si>
  <si>
    <t>长荣股份</t>
  </si>
  <si>
    <t xml:space="preserve">         18.86亿</t>
  </si>
  <si>
    <t xml:space="preserve">         22.82亿</t>
  </si>
  <si>
    <t xml:space="preserve">         30.82亿</t>
  </si>
  <si>
    <t xml:space="preserve">   2.37㈡</t>
  </si>
  <si>
    <t>长海股份</t>
  </si>
  <si>
    <t xml:space="preserve">         40.14亿</t>
  </si>
  <si>
    <t xml:space="preserve">         51.29亿</t>
  </si>
  <si>
    <t xml:space="preserve">         85.26亿</t>
  </si>
  <si>
    <t>37.59万</t>
  </si>
  <si>
    <t xml:space="preserve">   8.16㈡</t>
  </si>
  <si>
    <t>节能铁汉</t>
  </si>
  <si>
    <t xml:space="preserve">         53.29亿</t>
  </si>
  <si>
    <t xml:space="preserve">         84.69亿</t>
  </si>
  <si>
    <t xml:space="preserve">  -3.51㈡</t>
  </si>
  <si>
    <t>纳川股份</t>
  </si>
  <si>
    <t xml:space="preserve">         28.12亿</t>
  </si>
  <si>
    <t xml:space="preserve">         37.04亿</t>
  </si>
  <si>
    <t xml:space="preserve">         43.94亿</t>
  </si>
  <si>
    <t>11.31万</t>
  </si>
  <si>
    <t>翰宇药业</t>
  </si>
  <si>
    <t xml:space="preserve">         23.05亿</t>
  </si>
  <si>
    <t xml:space="preserve">         31.91亿</t>
  </si>
  <si>
    <t xml:space="preserve">         46.49亿</t>
  </si>
  <si>
    <t>9.46万</t>
  </si>
  <si>
    <t>高盟新材</t>
  </si>
  <si>
    <t xml:space="preserve">         43.57亿</t>
  </si>
  <si>
    <t>海伦哲</t>
  </si>
  <si>
    <t xml:space="preserve">         24.86亿</t>
  </si>
  <si>
    <t xml:space="preserve">         41.43亿</t>
  </si>
  <si>
    <t xml:space="preserve">         45.59亿</t>
  </si>
  <si>
    <t>6.86万</t>
  </si>
  <si>
    <t>0.023㈡</t>
  </si>
  <si>
    <t>聚光科技</t>
  </si>
  <si>
    <t xml:space="preserve">         58.79亿</t>
  </si>
  <si>
    <t xml:space="preserve">         88.91亿</t>
  </si>
  <si>
    <t xml:space="preserve">         89.01亿</t>
  </si>
  <si>
    <t>27.55万</t>
  </si>
  <si>
    <t xml:space="preserve">  -0.29㈡</t>
  </si>
  <si>
    <t>舒泰神</t>
  </si>
  <si>
    <t xml:space="preserve">         56.66亿</t>
  </si>
  <si>
    <t xml:space="preserve">         57.74亿</t>
  </si>
  <si>
    <t>10.98万</t>
  </si>
  <si>
    <t>天喻信息</t>
  </si>
  <si>
    <t xml:space="preserve">         34.28亿</t>
  </si>
  <si>
    <t xml:space="preserve">         61.90亿</t>
  </si>
  <si>
    <t>13.31万</t>
  </si>
  <si>
    <t>理邦仪器</t>
  </si>
  <si>
    <t xml:space="preserve">         29.73亿</t>
  </si>
  <si>
    <t xml:space="preserve">         39.05亿</t>
  </si>
  <si>
    <t xml:space="preserve">         67.42亿</t>
  </si>
  <si>
    <t xml:space="preserve">  10.86㈡</t>
  </si>
  <si>
    <t>欣旺达</t>
  </si>
  <si>
    <t xml:space="preserve">        356.08亿</t>
  </si>
  <si>
    <t xml:space="preserve">        509.31亿</t>
  </si>
  <si>
    <t xml:space="preserve">        567.63亿</t>
  </si>
  <si>
    <t>81.33万</t>
  </si>
  <si>
    <t xml:space="preserve">   7.36㈡</t>
  </si>
  <si>
    <t>青岛中程</t>
  </si>
  <si>
    <t xml:space="preserve">         37.33亿</t>
  </si>
  <si>
    <t xml:space="preserve">         94.17亿</t>
  </si>
  <si>
    <t xml:space="preserve">        102.68亿</t>
  </si>
  <si>
    <t xml:space="preserve">  -1.55㈡</t>
  </si>
  <si>
    <t>天泽信息</t>
  </si>
  <si>
    <t xml:space="preserve">         15.05亿</t>
  </si>
  <si>
    <t>-2.270㈡</t>
  </si>
  <si>
    <t xml:space="preserve"> -43.93㈡</t>
  </si>
  <si>
    <t>森远股份</t>
  </si>
  <si>
    <t xml:space="preserve">          9.72亿</t>
  </si>
  <si>
    <t xml:space="preserve">         16.33亿</t>
  </si>
  <si>
    <t xml:space="preserve">         19.08亿</t>
  </si>
  <si>
    <t xml:space="preserve">  -1.12㈡</t>
  </si>
  <si>
    <t>亿通科技</t>
  </si>
  <si>
    <t xml:space="preserve">         17.75亿</t>
  </si>
  <si>
    <t>16.63万</t>
  </si>
  <si>
    <t xml:space="preserve">   1.33㈡</t>
  </si>
  <si>
    <t>易华录</t>
  </si>
  <si>
    <t xml:space="preserve">        188.81亿</t>
  </si>
  <si>
    <t xml:space="preserve">        203.06亿</t>
  </si>
  <si>
    <t>31.36万</t>
  </si>
  <si>
    <t>佳讯飞鸿</t>
  </si>
  <si>
    <t xml:space="preserve">         33.24亿</t>
  </si>
  <si>
    <t xml:space="preserve">         39.01亿</t>
  </si>
  <si>
    <t>10.09万</t>
  </si>
  <si>
    <t>日科化学</t>
  </si>
  <si>
    <t xml:space="preserve">         19.15亿</t>
  </si>
  <si>
    <t xml:space="preserve">         29.81亿</t>
  </si>
  <si>
    <t xml:space="preserve">         38.51亿</t>
  </si>
  <si>
    <t>电科院</t>
  </si>
  <si>
    <t xml:space="preserve">         78.79亿</t>
  </si>
  <si>
    <t>12.34万</t>
  </si>
  <si>
    <t>东方电热</t>
  </si>
  <si>
    <t xml:space="preserve">         39.82亿</t>
  </si>
  <si>
    <t xml:space="preserve">   2.21㈡</t>
  </si>
  <si>
    <t>安利股份</t>
  </si>
  <si>
    <t xml:space="preserve">         18.23亿</t>
  </si>
  <si>
    <t xml:space="preserve">         38.48亿</t>
  </si>
  <si>
    <t xml:space="preserve">         38.60亿</t>
  </si>
  <si>
    <t>21.09万</t>
  </si>
  <si>
    <t>0.314㈡</t>
  </si>
  <si>
    <t>鸿利智汇</t>
  </si>
  <si>
    <t xml:space="preserve">         49.06亿</t>
  </si>
  <si>
    <t xml:space="preserve">         82.21亿</t>
  </si>
  <si>
    <t xml:space="preserve">         92.67亿</t>
  </si>
  <si>
    <t>34.39万</t>
  </si>
  <si>
    <t>金运激光</t>
  </si>
  <si>
    <t xml:space="preserve">         20.97亿</t>
  </si>
  <si>
    <t xml:space="preserve">         21.06亿</t>
  </si>
  <si>
    <t>-0.085㈡</t>
  </si>
  <si>
    <t xml:space="preserve">  -6.40㈡</t>
  </si>
  <si>
    <t>银禧科技</t>
  </si>
  <si>
    <t xml:space="preserve">         44.94亿</t>
  </si>
  <si>
    <t xml:space="preserve">   4.81㈡</t>
  </si>
  <si>
    <t>科大智能</t>
  </si>
  <si>
    <t xml:space="preserve">         57.02亿</t>
  </si>
  <si>
    <t xml:space="preserve">         67.20亿</t>
  </si>
  <si>
    <t xml:space="preserve">         94.25亿</t>
  </si>
  <si>
    <t>8.07万</t>
  </si>
  <si>
    <t xml:space="preserve">  12.11㈡</t>
  </si>
  <si>
    <t>北京君正</t>
  </si>
  <si>
    <t xml:space="preserve">        235.38亿</t>
  </si>
  <si>
    <t xml:space="preserve">        418.11亿</t>
  </si>
  <si>
    <t xml:space="preserve">        604.93亿</t>
  </si>
  <si>
    <t>54.36万</t>
  </si>
  <si>
    <t>0.757㈡</t>
  </si>
  <si>
    <t>正海磁材</t>
  </si>
  <si>
    <t xml:space="preserve">         50.75亿</t>
  </si>
  <si>
    <t xml:space="preserve">        103.10亿</t>
  </si>
  <si>
    <t>12.64万</t>
  </si>
  <si>
    <t>金力泰</t>
  </si>
  <si>
    <t xml:space="preserve">         69.65亿</t>
  </si>
  <si>
    <t xml:space="preserve">         72.01亿</t>
  </si>
  <si>
    <t>27.59万</t>
  </si>
  <si>
    <t>上海钢联</t>
  </si>
  <si>
    <t xml:space="preserve">         72.27亿</t>
  </si>
  <si>
    <t xml:space="preserve">         97.90亿</t>
  </si>
  <si>
    <t xml:space="preserve">        101.67亿</t>
  </si>
  <si>
    <t>69.41万</t>
  </si>
  <si>
    <t xml:space="preserve">   7.80㈡</t>
  </si>
  <si>
    <t>光韵达</t>
  </si>
  <si>
    <t xml:space="preserve">         37.57亿</t>
  </si>
  <si>
    <t xml:space="preserve">         51.53亿</t>
  </si>
  <si>
    <t>8.76万</t>
  </si>
  <si>
    <t>富瑞特装</t>
  </si>
  <si>
    <t xml:space="preserve">         38.18亿</t>
  </si>
  <si>
    <t xml:space="preserve">         51.33亿</t>
  </si>
  <si>
    <t>5.85万</t>
  </si>
  <si>
    <t>拓尔思</t>
  </si>
  <si>
    <t xml:space="preserve">         40.33亿</t>
  </si>
  <si>
    <t xml:space="preserve">         73.14亿</t>
  </si>
  <si>
    <t xml:space="preserve">         73.76亿</t>
  </si>
  <si>
    <t xml:space="preserve">   2.36㈡</t>
  </si>
  <si>
    <t>永利股份</t>
  </si>
  <si>
    <t xml:space="preserve">         23.55亿</t>
  </si>
  <si>
    <t xml:space="preserve">         27.06亿</t>
  </si>
  <si>
    <t xml:space="preserve">         40.16亿</t>
  </si>
  <si>
    <t>0.116㈡</t>
  </si>
  <si>
    <t>银信科技</t>
  </si>
  <si>
    <t xml:space="preserve">         31.41亿</t>
  </si>
  <si>
    <t xml:space="preserve">         37.89亿</t>
  </si>
  <si>
    <t xml:space="preserve">   6.73㈡</t>
  </si>
  <si>
    <t>洲明科技</t>
  </si>
  <si>
    <t xml:space="preserve">         61.67亿</t>
  </si>
  <si>
    <t xml:space="preserve">         92.56亿</t>
  </si>
  <si>
    <t>金城医药</t>
  </si>
  <si>
    <t xml:space="preserve">         68.77亿</t>
  </si>
  <si>
    <t xml:space="preserve">         99.76亿</t>
  </si>
  <si>
    <t xml:space="preserve">        106.16亿</t>
  </si>
  <si>
    <t>47.20万</t>
  </si>
  <si>
    <t>开尔新材</t>
  </si>
  <si>
    <t xml:space="preserve">         23.28亿</t>
  </si>
  <si>
    <t>方直科技</t>
  </si>
  <si>
    <t xml:space="preserve">          9.71亿</t>
  </si>
  <si>
    <t xml:space="preserve">         11.39亿</t>
  </si>
  <si>
    <t xml:space="preserve">         16.62亿</t>
  </si>
  <si>
    <t>上海新阳</t>
  </si>
  <si>
    <t xml:space="preserve">        140.68亿</t>
  </si>
  <si>
    <t>13.36万</t>
  </si>
  <si>
    <t>美晨生态</t>
  </si>
  <si>
    <t xml:space="preserve">         29.18亿</t>
  </si>
  <si>
    <t>冠昊生物</t>
  </si>
  <si>
    <t xml:space="preserve">         34.47亿</t>
  </si>
  <si>
    <t xml:space="preserve">         46.93亿</t>
  </si>
  <si>
    <t>10.01万</t>
  </si>
  <si>
    <t>东宝生物</t>
  </si>
  <si>
    <t xml:space="preserve">         24.16亿</t>
  </si>
  <si>
    <t xml:space="preserve">         39.18亿</t>
  </si>
  <si>
    <t>飞力达</t>
  </si>
  <si>
    <t xml:space="preserve">         13.27亿</t>
  </si>
  <si>
    <t>8.58万</t>
  </si>
  <si>
    <t>瑞丰光电</t>
  </si>
  <si>
    <t xml:space="preserve">         31.89亿</t>
  </si>
  <si>
    <t xml:space="preserve">         53.86亿</t>
  </si>
  <si>
    <t>13.22万</t>
  </si>
  <si>
    <t>佳云科技</t>
  </si>
  <si>
    <t xml:space="preserve">         27.15亿</t>
  </si>
  <si>
    <t xml:space="preserve">         28.43亿</t>
  </si>
  <si>
    <t>瑞丰高材</t>
  </si>
  <si>
    <t xml:space="preserve">         29.26亿</t>
  </si>
  <si>
    <t>18.09万</t>
  </si>
  <si>
    <t xml:space="preserve">   9.19㈡</t>
  </si>
  <si>
    <t>迪安诊断</t>
  </si>
  <si>
    <t xml:space="preserve">        122.74亿</t>
  </si>
  <si>
    <t xml:space="preserve">        138.84亿</t>
  </si>
  <si>
    <t xml:space="preserve">        178.01亿</t>
  </si>
  <si>
    <t>34.02万</t>
  </si>
  <si>
    <t>1.172㈡</t>
  </si>
  <si>
    <t xml:space="preserve">  13.36㈡</t>
  </si>
  <si>
    <t>天玑科技</t>
  </si>
  <si>
    <t xml:space="preserve">         27.30亿</t>
  </si>
  <si>
    <t>宝莱特</t>
  </si>
  <si>
    <t xml:space="preserve">         15.90亿</t>
  </si>
  <si>
    <t xml:space="preserve">         24.88亿</t>
  </si>
  <si>
    <t>0.361㈡</t>
  </si>
  <si>
    <t xml:space="preserve">   5.78㈡</t>
  </si>
  <si>
    <t>融捷健康</t>
  </si>
  <si>
    <t xml:space="preserve">         23.41亿</t>
  </si>
  <si>
    <t xml:space="preserve">         29.71亿</t>
  </si>
  <si>
    <t>新开普</t>
  </si>
  <si>
    <t xml:space="preserve">         29.99亿</t>
  </si>
  <si>
    <t xml:space="preserve">         34.08亿</t>
  </si>
  <si>
    <t>9.13万</t>
  </si>
  <si>
    <t>依米康</t>
  </si>
  <si>
    <t xml:space="preserve">         19.41亿</t>
  </si>
  <si>
    <t xml:space="preserve">         30.80亿</t>
  </si>
  <si>
    <t>初灵信息</t>
  </si>
  <si>
    <t xml:space="preserve">         24.07亿</t>
  </si>
  <si>
    <t>光线传媒</t>
  </si>
  <si>
    <t xml:space="preserve">        116.06亿</t>
  </si>
  <si>
    <t xml:space="preserve">        271.72亿</t>
  </si>
  <si>
    <t xml:space="preserve">        286.03亿</t>
  </si>
  <si>
    <t>23.58万</t>
  </si>
  <si>
    <t>金信诺</t>
  </si>
  <si>
    <t>卫宁健康</t>
  </si>
  <si>
    <t xml:space="preserve">        222.39亿</t>
  </si>
  <si>
    <t xml:space="preserve">        245.91亿</t>
  </si>
  <si>
    <t xml:space="preserve">        293.18亿</t>
  </si>
  <si>
    <t>30.25万</t>
  </si>
  <si>
    <t xml:space="preserve">   2.38㈡</t>
  </si>
  <si>
    <t>仟源医药</t>
  </si>
  <si>
    <t xml:space="preserve">         13.41亿</t>
  </si>
  <si>
    <t>-0.018㈡</t>
  </si>
  <si>
    <t xml:space="preserve">  -0.61㈡</t>
  </si>
  <si>
    <t>常山药业</t>
  </si>
  <si>
    <t xml:space="preserve">         51.11亿</t>
  </si>
  <si>
    <t xml:space="preserve">         70.12亿</t>
  </si>
  <si>
    <t>9.95万</t>
  </si>
  <si>
    <t>开山股份</t>
  </si>
  <si>
    <t xml:space="preserve">         51.25亿</t>
  </si>
  <si>
    <t xml:space="preserve">        135.07亿</t>
  </si>
  <si>
    <t xml:space="preserve">        164.05亿</t>
  </si>
  <si>
    <t>52.26万</t>
  </si>
  <si>
    <t xml:space="preserve">   3.12㈡</t>
  </si>
  <si>
    <t>精锻科技</t>
  </si>
  <si>
    <t xml:space="preserve">         55.37亿</t>
  </si>
  <si>
    <t>新天科技</t>
  </si>
  <si>
    <t xml:space="preserve">         31.50亿</t>
  </si>
  <si>
    <t xml:space="preserve">         41.84亿</t>
  </si>
  <si>
    <t xml:space="preserve">         60.19亿</t>
  </si>
  <si>
    <t xml:space="preserve">   6.47㈡</t>
  </si>
  <si>
    <t>新莱应材</t>
  </si>
  <si>
    <t xml:space="preserve">         31.87亿</t>
  </si>
  <si>
    <t xml:space="preserve">         52.82亿</t>
  </si>
  <si>
    <t xml:space="preserve">         79.30亿</t>
  </si>
  <si>
    <t>雅本化学</t>
  </si>
  <si>
    <t xml:space="preserve">         59.13亿</t>
  </si>
  <si>
    <t xml:space="preserve">         60.11亿</t>
  </si>
  <si>
    <t>巴安水务</t>
  </si>
  <si>
    <t xml:space="preserve">         14.72亿</t>
  </si>
  <si>
    <t xml:space="preserve">         19.32亿</t>
  </si>
  <si>
    <t>隆华科技</t>
  </si>
  <si>
    <t xml:space="preserve">         70.39亿</t>
  </si>
  <si>
    <t xml:space="preserve">        100.84亿</t>
  </si>
  <si>
    <t>15.41万</t>
  </si>
  <si>
    <t>佳创视讯</t>
  </si>
  <si>
    <t xml:space="preserve">         20.66亿</t>
  </si>
  <si>
    <t xml:space="preserve"> -10.85㈡</t>
  </si>
  <si>
    <t>通光线缆</t>
  </si>
  <si>
    <t xml:space="preserve">         18.35亿</t>
  </si>
  <si>
    <t xml:space="preserve">         43.69亿</t>
  </si>
  <si>
    <t>兴源环境</t>
  </si>
  <si>
    <t xml:space="preserve">         57.14亿</t>
  </si>
  <si>
    <t xml:space="preserve">         57.97亿</t>
  </si>
  <si>
    <t>10.77万</t>
  </si>
  <si>
    <t>尔康制药</t>
  </si>
  <si>
    <t xml:space="preserve">         58.37亿</t>
  </si>
  <si>
    <t xml:space="preserve">         84.77亿</t>
  </si>
  <si>
    <t>11.14万</t>
  </si>
  <si>
    <t>佳沃食品</t>
  </si>
  <si>
    <t xml:space="preserve">         33.25亿</t>
  </si>
  <si>
    <t>-0.783㈡</t>
  </si>
  <si>
    <t xml:space="preserve"> -17.48㈡</t>
  </si>
  <si>
    <t>中威电子</t>
  </si>
  <si>
    <t xml:space="preserve">         10.77亿</t>
  </si>
  <si>
    <t xml:space="preserve">         12.78亿</t>
  </si>
  <si>
    <t>华宇软件</t>
  </si>
  <si>
    <t xml:space="preserve">         84.61亿</t>
  </si>
  <si>
    <t xml:space="preserve">        101.42亿</t>
  </si>
  <si>
    <t>17.08万</t>
  </si>
  <si>
    <t>开能健康</t>
  </si>
  <si>
    <t xml:space="preserve">         24.50亿</t>
  </si>
  <si>
    <t xml:space="preserve">         31.86亿</t>
  </si>
  <si>
    <t>6.82万</t>
  </si>
  <si>
    <t>和佳医疗</t>
  </si>
  <si>
    <t xml:space="preserve">         31.47亿</t>
  </si>
  <si>
    <t xml:space="preserve">         34.27亿</t>
  </si>
  <si>
    <t xml:space="preserve">         43.26亿</t>
  </si>
  <si>
    <t>阳光电源</t>
  </si>
  <si>
    <t xml:space="preserve">       1174.58亿</t>
  </si>
  <si>
    <t xml:space="preserve">       1386.62亿</t>
  </si>
  <si>
    <t xml:space="preserve">       1842.85亿</t>
  </si>
  <si>
    <t>107.35万</t>
  </si>
  <si>
    <t>梅安森</t>
  </si>
  <si>
    <t xml:space="preserve">         19.79亿</t>
  </si>
  <si>
    <t xml:space="preserve">         27.91亿</t>
  </si>
  <si>
    <t>三丰智能</t>
  </si>
  <si>
    <t xml:space="preserve">         43.95亿</t>
  </si>
  <si>
    <t xml:space="preserve">         66.69亿</t>
  </si>
  <si>
    <t>海联讯</t>
  </si>
  <si>
    <t xml:space="preserve">         31.12亿</t>
  </si>
  <si>
    <t>16.27万</t>
  </si>
  <si>
    <t xml:space="preserve">   1.60㈡</t>
  </si>
  <si>
    <t>和晶科技</t>
  </si>
  <si>
    <t xml:space="preserve">         29.45亿</t>
  </si>
  <si>
    <t xml:space="preserve">         30.08亿</t>
  </si>
  <si>
    <t xml:space="preserve">   1.91㈡</t>
  </si>
  <si>
    <t>紫天科技</t>
  </si>
  <si>
    <t xml:space="preserve">         35.87亿</t>
  </si>
  <si>
    <t xml:space="preserve">         45.33亿</t>
  </si>
  <si>
    <t xml:space="preserve">         45.78亿</t>
  </si>
  <si>
    <t>1.236㈡</t>
  </si>
  <si>
    <t xml:space="preserve">   9.53㈡</t>
  </si>
  <si>
    <t>金明精机</t>
  </si>
  <si>
    <t>三盛教育</t>
  </si>
  <si>
    <t xml:space="preserve">         11.96亿</t>
  </si>
  <si>
    <t>-0.069㈡</t>
  </si>
  <si>
    <t>温州宏丰</t>
  </si>
  <si>
    <t xml:space="preserve">         18.51亿</t>
  </si>
  <si>
    <t xml:space="preserve">         32.04亿</t>
  </si>
  <si>
    <t>5.51万</t>
  </si>
  <si>
    <t>苏交科</t>
  </si>
  <si>
    <t xml:space="preserve">         41.54亿</t>
  </si>
  <si>
    <t xml:space="preserve">         43.91亿</t>
  </si>
  <si>
    <t xml:space="preserve">         66.25亿</t>
  </si>
  <si>
    <t>13.83万</t>
  </si>
  <si>
    <t>国瓷材料</t>
  </si>
  <si>
    <t xml:space="preserve">        297.23亿</t>
  </si>
  <si>
    <t xml:space="preserve">        320.92亿</t>
  </si>
  <si>
    <t xml:space="preserve">        408.65亿</t>
  </si>
  <si>
    <t>75.36万</t>
  </si>
  <si>
    <t xml:space="preserve">   7.46㈡</t>
  </si>
  <si>
    <t>安科瑞</t>
  </si>
  <si>
    <t xml:space="preserve">         16.11亿</t>
  </si>
  <si>
    <t xml:space="preserve">         29.34亿</t>
  </si>
  <si>
    <t xml:space="preserve">         36.34亿</t>
  </si>
  <si>
    <t>12.14万</t>
  </si>
  <si>
    <t>飞利信</t>
  </si>
  <si>
    <t xml:space="preserve">         51.22亿</t>
  </si>
  <si>
    <t xml:space="preserve">         56.26亿</t>
  </si>
  <si>
    <t xml:space="preserve">         67.74亿</t>
  </si>
  <si>
    <t>朗玛信息</t>
  </si>
  <si>
    <t xml:space="preserve">         22.72亿</t>
  </si>
  <si>
    <t xml:space="preserve">         40.38亿</t>
  </si>
  <si>
    <t>利德曼</t>
  </si>
  <si>
    <t xml:space="preserve">         30.33亿</t>
  </si>
  <si>
    <t>7.80万</t>
  </si>
  <si>
    <t>荣科科技</t>
  </si>
  <si>
    <t xml:space="preserve">         27.29亿</t>
  </si>
  <si>
    <t>12.65万</t>
  </si>
  <si>
    <t>华录百纳</t>
  </si>
  <si>
    <t xml:space="preserve">         22.36亿</t>
  </si>
  <si>
    <t xml:space="preserve">         38.17亿</t>
  </si>
  <si>
    <t xml:space="preserve">         45.95亿</t>
  </si>
  <si>
    <t>10.24万</t>
  </si>
  <si>
    <t>吴通控股</t>
  </si>
  <si>
    <t xml:space="preserve">         39.76亿</t>
  </si>
  <si>
    <t>蓝英装备</t>
  </si>
  <si>
    <t>4.07万</t>
  </si>
  <si>
    <t>-0.118㈡</t>
  </si>
  <si>
    <t xml:space="preserve">  -6.03㈡</t>
  </si>
  <si>
    <t>博雅生物</t>
  </si>
  <si>
    <t xml:space="preserve">        112.96亿</t>
  </si>
  <si>
    <t>44.50万</t>
  </si>
  <si>
    <t>三六五网</t>
  </si>
  <si>
    <t xml:space="preserve">         18.15亿</t>
  </si>
  <si>
    <t>利亚德</t>
  </si>
  <si>
    <t xml:space="preserve">        182.36亿</t>
  </si>
  <si>
    <t xml:space="preserve">        196.58亿</t>
  </si>
  <si>
    <t xml:space="preserve">        255.82亿</t>
  </si>
  <si>
    <t>25.03万</t>
  </si>
  <si>
    <t>0.112㈡</t>
  </si>
  <si>
    <t>蓝盾股份</t>
  </si>
  <si>
    <t xml:space="preserve">         29.79亿</t>
  </si>
  <si>
    <t>-0.510㈡</t>
  </si>
  <si>
    <t xml:space="preserve"> -30.27㈡</t>
  </si>
  <si>
    <t>三诺生物</t>
  </si>
  <si>
    <t xml:space="preserve">         73.56亿</t>
  </si>
  <si>
    <t xml:space="preserve">        112.95亿</t>
  </si>
  <si>
    <t xml:space="preserve">        140.18亿</t>
  </si>
  <si>
    <t>52.51万</t>
  </si>
  <si>
    <t xml:space="preserve">   4.22㈡</t>
  </si>
  <si>
    <t>富春股份</t>
  </si>
  <si>
    <t xml:space="preserve">         34.56亿</t>
  </si>
  <si>
    <t>海峡创新</t>
  </si>
  <si>
    <t xml:space="preserve">         36.59亿</t>
  </si>
  <si>
    <t>7.30万</t>
  </si>
  <si>
    <t>长方集团</t>
  </si>
  <si>
    <t xml:space="preserve">         15.88亿</t>
  </si>
  <si>
    <t xml:space="preserve">  -0.94㈡</t>
  </si>
  <si>
    <t>同有科技</t>
  </si>
  <si>
    <t xml:space="preserve">         29.25亿</t>
  </si>
  <si>
    <t xml:space="preserve">         37.81亿</t>
  </si>
  <si>
    <t xml:space="preserve">         52.55亿</t>
  </si>
  <si>
    <t>10.23万</t>
  </si>
  <si>
    <t xml:space="preserve">  -0.57㈡</t>
  </si>
  <si>
    <t>聚飞光电</t>
  </si>
  <si>
    <t xml:space="preserve">         61.30亿</t>
  </si>
  <si>
    <t xml:space="preserve">         71.88亿</t>
  </si>
  <si>
    <t xml:space="preserve">         79.35亿</t>
  </si>
  <si>
    <t>云意电气</t>
  </si>
  <si>
    <t xml:space="preserve">         59.58亿</t>
  </si>
  <si>
    <t xml:space="preserve">         61.14亿</t>
  </si>
  <si>
    <t>裕兴股份</t>
  </si>
  <si>
    <t xml:space="preserve">         25.87亿</t>
  </si>
  <si>
    <t xml:space="preserve">         40.17亿</t>
  </si>
  <si>
    <t xml:space="preserve">         49.87亿</t>
  </si>
  <si>
    <t>18.55万</t>
  </si>
  <si>
    <t>0.444㈡</t>
  </si>
  <si>
    <t xml:space="preserve">   7.57㈡</t>
  </si>
  <si>
    <t>远方信息</t>
  </si>
  <si>
    <t xml:space="preserve">         12.86亿</t>
  </si>
  <si>
    <t xml:space="preserve">         17.21亿</t>
  </si>
  <si>
    <t>慈星股份</t>
  </si>
  <si>
    <t xml:space="preserve">         62.60亿</t>
  </si>
  <si>
    <t>中际旭创</t>
  </si>
  <si>
    <t xml:space="preserve">        164.31亿</t>
  </si>
  <si>
    <t xml:space="preserve">        234.09亿</t>
  </si>
  <si>
    <t xml:space="preserve">        244.71亿</t>
  </si>
  <si>
    <t xml:space="preserve">   4.16㈡</t>
  </si>
  <si>
    <t>吉艾科技</t>
  </si>
  <si>
    <t xml:space="preserve">         23.60亿</t>
  </si>
  <si>
    <t xml:space="preserve">         29.33亿</t>
  </si>
  <si>
    <t>-0.430㈡</t>
  </si>
  <si>
    <t>宜通世纪</t>
  </si>
  <si>
    <t xml:space="preserve">         33.95亿</t>
  </si>
  <si>
    <t>任子行</t>
  </si>
  <si>
    <t xml:space="preserve">         37.28亿</t>
  </si>
  <si>
    <t xml:space="preserve">         53.55亿</t>
  </si>
  <si>
    <t xml:space="preserve">  -3.27㈡</t>
  </si>
  <si>
    <t>戴维医疗</t>
  </si>
  <si>
    <t xml:space="preserve">         14.44亿</t>
  </si>
  <si>
    <t xml:space="preserve">         28.42亿</t>
  </si>
  <si>
    <t xml:space="preserve">         43.23亿</t>
  </si>
  <si>
    <t>掌趣科技</t>
  </si>
  <si>
    <t xml:space="preserve">        100.29亿</t>
  </si>
  <si>
    <t xml:space="preserve">        107.66亿</t>
  </si>
  <si>
    <t xml:space="preserve">        112.78亿</t>
  </si>
  <si>
    <t xml:space="preserve">   3.29㈡</t>
  </si>
  <si>
    <t>晶盛机电</t>
  </si>
  <si>
    <t xml:space="preserve">        395.11亿</t>
  </si>
  <si>
    <t xml:space="preserve">        839.27亿</t>
  </si>
  <si>
    <t xml:space="preserve">        893.47亿</t>
  </si>
  <si>
    <t>84.24万</t>
  </si>
  <si>
    <t xml:space="preserve">  10.56㈡</t>
  </si>
  <si>
    <t>珈伟新能</t>
  </si>
  <si>
    <t xml:space="preserve">         20.84亿</t>
  </si>
  <si>
    <t xml:space="preserve">         53.41亿</t>
  </si>
  <si>
    <t xml:space="preserve">  -0.52㈡</t>
  </si>
  <si>
    <t>博晖创新</t>
  </si>
  <si>
    <t xml:space="preserve">         28.27亿</t>
  </si>
  <si>
    <t xml:space="preserve">         70.25亿</t>
  </si>
  <si>
    <t xml:space="preserve">         72.05亿</t>
  </si>
  <si>
    <t xml:space="preserve">  -1.26㈡</t>
  </si>
  <si>
    <t>麦捷科技</t>
  </si>
  <si>
    <t xml:space="preserve">         61.26亿</t>
  </si>
  <si>
    <t xml:space="preserve">         86.98亿</t>
  </si>
  <si>
    <t xml:space="preserve">        112.77亿</t>
  </si>
  <si>
    <t>15.25万</t>
  </si>
  <si>
    <t>海达股份</t>
  </si>
  <si>
    <t xml:space="preserve">         43.31亿</t>
  </si>
  <si>
    <t xml:space="preserve">         52.73亿</t>
  </si>
  <si>
    <t>0.178㈡</t>
  </si>
  <si>
    <t>同大股份</t>
  </si>
  <si>
    <t xml:space="preserve">          7.83亿</t>
  </si>
  <si>
    <t xml:space="preserve">         17.33亿</t>
  </si>
  <si>
    <t>硕贝德</t>
  </si>
  <si>
    <t xml:space="preserve">         42.93亿</t>
  </si>
  <si>
    <t xml:space="preserve">         55.70亿</t>
  </si>
  <si>
    <t>10.38万</t>
  </si>
  <si>
    <t>华灿光电</t>
  </si>
  <si>
    <t xml:space="preserve">         87.88亿</t>
  </si>
  <si>
    <t xml:space="preserve">        109.92亿</t>
  </si>
  <si>
    <t xml:space="preserve">        149.94亿</t>
  </si>
  <si>
    <t>18.38万</t>
  </si>
  <si>
    <t xml:space="preserve">  -0.40㈡</t>
  </si>
  <si>
    <t>旋极信息</t>
  </si>
  <si>
    <t xml:space="preserve">         46.67亿</t>
  </si>
  <si>
    <t xml:space="preserve">         64.09亿</t>
  </si>
  <si>
    <t xml:space="preserve">  -3.82㈡</t>
  </si>
  <si>
    <t>凯利泰</t>
  </si>
  <si>
    <t xml:space="preserve">         70.91亿</t>
  </si>
  <si>
    <t xml:space="preserve">         81.55亿</t>
  </si>
  <si>
    <t>中颖电子</t>
  </si>
  <si>
    <t xml:space="preserve">        149.16亿</t>
  </si>
  <si>
    <t xml:space="preserve">        196.44亿</t>
  </si>
  <si>
    <t xml:space="preserve">        199.00亿</t>
  </si>
  <si>
    <t>52.34万</t>
  </si>
  <si>
    <t>0.491㈡</t>
  </si>
  <si>
    <t xml:space="preserve">  12.53㈡</t>
  </si>
  <si>
    <t>宜安科技</t>
  </si>
  <si>
    <t xml:space="preserve">         32.05亿</t>
  </si>
  <si>
    <t xml:space="preserve">   0.06㈡</t>
  </si>
  <si>
    <t>海伦钢琴</t>
  </si>
  <si>
    <t xml:space="preserve">         30.85亿</t>
  </si>
  <si>
    <t>华虹计通</t>
  </si>
  <si>
    <t xml:space="preserve">         13.08亿</t>
  </si>
  <si>
    <t xml:space="preserve">         17.58亿</t>
  </si>
  <si>
    <t xml:space="preserve">   1.61㈡</t>
  </si>
  <si>
    <t>苏大维格</t>
  </si>
  <si>
    <t xml:space="preserve">         90.62亿</t>
  </si>
  <si>
    <t>30.43万</t>
  </si>
  <si>
    <t>天壕环境</t>
  </si>
  <si>
    <t xml:space="preserve">         55.71亿</t>
  </si>
  <si>
    <t xml:space="preserve">         71.13亿</t>
  </si>
  <si>
    <t xml:space="preserve">         74.47亿</t>
  </si>
  <si>
    <t>22.18万</t>
  </si>
  <si>
    <t>兆日科技</t>
  </si>
  <si>
    <t xml:space="preserve">         26.65亿</t>
  </si>
  <si>
    <t>-0.024㈡</t>
  </si>
  <si>
    <t>津膜科技</t>
  </si>
  <si>
    <t xml:space="preserve">         19.80亿</t>
  </si>
  <si>
    <t>迪森股份</t>
  </si>
  <si>
    <t>新文化</t>
  </si>
  <si>
    <t xml:space="preserve">         17.86亿</t>
  </si>
  <si>
    <t xml:space="preserve">         20.51亿</t>
  </si>
  <si>
    <t xml:space="preserve">         22.41亿</t>
  </si>
  <si>
    <t>5.02万</t>
  </si>
  <si>
    <t xml:space="preserve"> -38.48㈡</t>
  </si>
  <si>
    <t>银邦股份</t>
  </si>
  <si>
    <t xml:space="preserve">         41.04亿</t>
  </si>
  <si>
    <t xml:space="preserve">         47.51亿</t>
  </si>
  <si>
    <t>开元教育</t>
  </si>
  <si>
    <t xml:space="preserve">         14.34亿</t>
  </si>
  <si>
    <t xml:space="preserve">         19.62亿</t>
  </si>
  <si>
    <t>10.39万</t>
  </si>
  <si>
    <t>-0.358㈡</t>
  </si>
  <si>
    <t xml:space="preserve"> -32.00㈡</t>
  </si>
  <si>
    <t>润和软件</t>
  </si>
  <si>
    <t xml:space="preserve">        216.94亿</t>
  </si>
  <si>
    <t xml:space="preserve">        231.05亿</t>
  </si>
  <si>
    <t xml:space="preserve">        238.53亿</t>
  </si>
  <si>
    <t>11.42万</t>
  </si>
  <si>
    <t>科恒股份</t>
  </si>
  <si>
    <t xml:space="preserve">         31.73亿</t>
  </si>
  <si>
    <t>11.02万</t>
  </si>
  <si>
    <t>麦克奥迪</t>
  </si>
  <si>
    <t xml:space="preserve">         17.50亿</t>
  </si>
  <si>
    <t xml:space="preserve">   6.33㈡</t>
  </si>
  <si>
    <t>天银机电</t>
  </si>
  <si>
    <t xml:space="preserve">         63.72亿</t>
  </si>
  <si>
    <t>13.74万</t>
  </si>
  <si>
    <t>联创股份</t>
  </si>
  <si>
    <t xml:space="preserve">        244.88亿</t>
  </si>
  <si>
    <t xml:space="preserve">        256.37亿</t>
  </si>
  <si>
    <t xml:space="preserve">        315.56亿</t>
  </si>
  <si>
    <t>27.56万</t>
  </si>
  <si>
    <t xml:space="preserve">   6.17㈡</t>
  </si>
  <si>
    <t>立方数科</t>
  </si>
  <si>
    <t xml:space="preserve">         33.80亿</t>
  </si>
  <si>
    <t xml:space="preserve">  51.19㈡</t>
  </si>
  <si>
    <t>华民股份</t>
  </si>
  <si>
    <t>南大光电</t>
  </si>
  <si>
    <t xml:space="preserve">        164.86亿</t>
  </si>
  <si>
    <t xml:space="preserve">        216.29亿</t>
  </si>
  <si>
    <t xml:space="preserve">        238.95亿</t>
  </si>
  <si>
    <t xml:space="preserve">   6.09㈡</t>
  </si>
  <si>
    <t>泰格医药</t>
  </si>
  <si>
    <t xml:space="preserve">        813.90亿</t>
  </si>
  <si>
    <t xml:space="preserve">        908.40亿</t>
  </si>
  <si>
    <t xml:space="preserve">       1208.39亿</t>
  </si>
  <si>
    <t>192.05万</t>
  </si>
  <si>
    <t>1.440㈡</t>
  </si>
  <si>
    <t xml:space="preserve">   7.38㈡</t>
  </si>
  <si>
    <t>长亮科技</t>
  </si>
  <si>
    <t xml:space="preserve">         79.85亿</t>
  </si>
  <si>
    <t xml:space="preserve">         91.04亿</t>
  </si>
  <si>
    <t xml:space="preserve">        107.43亿</t>
  </si>
  <si>
    <t>16.19万</t>
  </si>
  <si>
    <t xml:space="preserve">   0.62㈡</t>
  </si>
  <si>
    <t>金卡智能</t>
  </si>
  <si>
    <t xml:space="preserve">         30.10亿</t>
  </si>
  <si>
    <t xml:space="preserve">         49.86亿</t>
  </si>
  <si>
    <t>15.32万</t>
  </si>
  <si>
    <t>华鹏飞</t>
  </si>
  <si>
    <t xml:space="preserve">         34.20亿</t>
  </si>
  <si>
    <t xml:space="preserve">         58.96亿</t>
  </si>
  <si>
    <t>12.50万</t>
  </si>
  <si>
    <t>永贵电器</t>
  </si>
  <si>
    <t xml:space="preserve">         17.18亿</t>
  </si>
  <si>
    <t xml:space="preserve">         25.07亿</t>
  </si>
  <si>
    <t xml:space="preserve">         37.98亿</t>
  </si>
  <si>
    <t>10.71万</t>
  </si>
  <si>
    <t>北信源</t>
  </si>
  <si>
    <t xml:space="preserve">         74.94亿</t>
  </si>
  <si>
    <t xml:space="preserve">         79.97亿</t>
  </si>
  <si>
    <t xml:space="preserve">         95.83亿</t>
  </si>
  <si>
    <t>东土科技</t>
  </si>
  <si>
    <t xml:space="preserve">         34.95亿</t>
  </si>
  <si>
    <t xml:space="preserve">         36.61亿</t>
  </si>
  <si>
    <t xml:space="preserve">         46.50亿</t>
  </si>
  <si>
    <t xml:space="preserve">  -3.26㈡</t>
  </si>
  <si>
    <t>东华测试</t>
  </si>
  <si>
    <t xml:space="preserve">         21.49亿</t>
  </si>
  <si>
    <t xml:space="preserve">         49.49亿</t>
  </si>
  <si>
    <t>21.70万</t>
  </si>
  <si>
    <t>蒙草生态</t>
  </si>
  <si>
    <t xml:space="preserve">         55.41亿</t>
  </si>
  <si>
    <t xml:space="preserve">         58.85亿</t>
  </si>
  <si>
    <t xml:space="preserve">         72.19亿</t>
  </si>
  <si>
    <t>7.77万</t>
  </si>
  <si>
    <t>我武生物</t>
  </si>
  <si>
    <t xml:space="preserve">        126.66亿</t>
  </si>
  <si>
    <t xml:space="preserve">        234.86亿</t>
  </si>
  <si>
    <t xml:space="preserve">        261.06亿</t>
  </si>
  <si>
    <t>45.02万</t>
  </si>
  <si>
    <t>楚天科技</t>
  </si>
  <si>
    <t xml:space="preserve">         47.89亿</t>
  </si>
  <si>
    <t xml:space="preserve">        116.08亿</t>
  </si>
  <si>
    <t>22.76万</t>
  </si>
  <si>
    <t xml:space="preserve">   7.14㈡</t>
  </si>
  <si>
    <t>全通教育</t>
  </si>
  <si>
    <t xml:space="preserve">         19.58亿</t>
  </si>
  <si>
    <t>炬华科技</t>
  </si>
  <si>
    <t xml:space="preserve">         26.81亿</t>
  </si>
  <si>
    <t xml:space="preserve">         37.62亿</t>
  </si>
  <si>
    <t>14.28万</t>
  </si>
  <si>
    <t>博腾股份</t>
  </si>
  <si>
    <t xml:space="preserve">        273.03亿</t>
  </si>
  <si>
    <t xml:space="preserve">        434.76亿</t>
  </si>
  <si>
    <t xml:space="preserve">        528.17亿</t>
  </si>
  <si>
    <t>120.82万</t>
  </si>
  <si>
    <t xml:space="preserve">   6.04㈡</t>
  </si>
  <si>
    <t>中文在线</t>
  </si>
  <si>
    <t xml:space="preserve">         28.60亿</t>
  </si>
  <si>
    <t xml:space="preserve">         36.86亿</t>
  </si>
  <si>
    <t>7.58万</t>
  </si>
  <si>
    <t>恒华科技</t>
  </si>
  <si>
    <t xml:space="preserve">         35.40亿</t>
  </si>
  <si>
    <t xml:space="preserve">         46.27亿</t>
  </si>
  <si>
    <t xml:space="preserve">         79.72亿</t>
  </si>
  <si>
    <t>18.05万</t>
  </si>
  <si>
    <t>创意信息</t>
  </si>
  <si>
    <t xml:space="preserve">         34.40亿</t>
  </si>
  <si>
    <t xml:space="preserve">         52.40亿</t>
  </si>
  <si>
    <t>12.23万</t>
  </si>
  <si>
    <t>汇金股份</t>
  </si>
  <si>
    <t xml:space="preserve">         55.39亿</t>
  </si>
  <si>
    <t xml:space="preserve">         57.82亿</t>
  </si>
  <si>
    <t>绿盟科技</t>
  </si>
  <si>
    <t xml:space="preserve">         95.98亿</t>
  </si>
  <si>
    <t xml:space="preserve">        126.09亿</t>
  </si>
  <si>
    <t xml:space="preserve">        137.08亿</t>
  </si>
  <si>
    <t>40.65万</t>
  </si>
  <si>
    <t>汇中股份</t>
  </si>
  <si>
    <t xml:space="preserve">         15.35亿</t>
  </si>
  <si>
    <t>11.40万</t>
  </si>
  <si>
    <t xml:space="preserve">   5.56㈡</t>
  </si>
  <si>
    <t>扬杰科技</t>
  </si>
  <si>
    <t xml:space="preserve">        109.61亿</t>
  </si>
  <si>
    <t xml:space="preserve">        224.52亿</t>
  </si>
  <si>
    <t xml:space="preserve">        225.05亿</t>
  </si>
  <si>
    <t>16.89万</t>
  </si>
  <si>
    <t xml:space="preserve">   7.41㈡</t>
  </si>
  <si>
    <t>中铁装配</t>
  </si>
  <si>
    <t xml:space="preserve">         32.95亿</t>
  </si>
  <si>
    <t>-0.530㈡</t>
  </si>
  <si>
    <t xml:space="preserve">  -9.34㈡</t>
  </si>
  <si>
    <t>鹏翎股份</t>
  </si>
  <si>
    <t>易事特</t>
  </si>
  <si>
    <t xml:space="preserve">         91.95亿</t>
  </si>
  <si>
    <t xml:space="preserve">        229.80亿</t>
  </si>
  <si>
    <t xml:space="preserve">        230.00亿</t>
  </si>
  <si>
    <t xml:space="preserve">   3.59㈡</t>
  </si>
  <si>
    <t>赢时胜</t>
  </si>
  <si>
    <t xml:space="preserve">         63.97亿</t>
  </si>
  <si>
    <t xml:space="preserve">         71.61亿</t>
  </si>
  <si>
    <t xml:space="preserve">         90.55亿</t>
  </si>
  <si>
    <t>0.258㈡</t>
  </si>
  <si>
    <t xml:space="preserve">   6.70㈡</t>
  </si>
  <si>
    <t>鼎捷软件</t>
  </si>
  <si>
    <t xml:space="preserve">         64.87亿</t>
  </si>
  <si>
    <t xml:space="preserve">         65.01亿</t>
  </si>
  <si>
    <t>14.63万</t>
  </si>
  <si>
    <t>东方通</t>
  </si>
  <si>
    <t xml:space="preserve">        120.41亿</t>
  </si>
  <si>
    <t xml:space="preserve">        123.01亿</t>
  </si>
  <si>
    <t xml:space="preserve">        130.94亿</t>
  </si>
  <si>
    <t>26.68万</t>
  </si>
  <si>
    <t>-0.017㈡</t>
  </si>
  <si>
    <t xml:space="preserve">  -0.39㈡</t>
  </si>
  <si>
    <t>安硕信息</t>
  </si>
  <si>
    <t xml:space="preserve">         10.91亿</t>
  </si>
  <si>
    <t xml:space="preserve">         20.88亿</t>
  </si>
  <si>
    <t xml:space="preserve">  -1.84㈡</t>
  </si>
  <si>
    <t>溢多利</t>
  </si>
  <si>
    <t xml:space="preserve">         35.39亿</t>
  </si>
  <si>
    <t xml:space="preserve">         53.02亿</t>
  </si>
  <si>
    <t>斯莱克</t>
  </si>
  <si>
    <t xml:space="preserve">         80.67亿</t>
  </si>
  <si>
    <t xml:space="preserve">        167.66亿</t>
  </si>
  <si>
    <t xml:space="preserve">        167.68亿</t>
  </si>
  <si>
    <t>73.13万</t>
  </si>
  <si>
    <t>光环新网</t>
  </si>
  <si>
    <t xml:space="preserve">        143.32亿</t>
  </si>
  <si>
    <t xml:space="preserve">        206.08亿</t>
  </si>
  <si>
    <t xml:space="preserve">        209.25亿</t>
  </si>
  <si>
    <t>13.11万</t>
  </si>
  <si>
    <t xml:space="preserve">   4.64㈡</t>
  </si>
  <si>
    <t>三联虹普</t>
  </si>
  <si>
    <t xml:space="preserve">         31.70亿</t>
  </si>
  <si>
    <t xml:space="preserve">         51.24亿</t>
  </si>
  <si>
    <t xml:space="preserve">         74.82亿</t>
  </si>
  <si>
    <t>25.75万</t>
  </si>
  <si>
    <t xml:space="preserve">   4.69㈡</t>
  </si>
  <si>
    <t>雪浪环境</t>
  </si>
  <si>
    <t>飞天诚信</t>
  </si>
  <si>
    <t xml:space="preserve">         58.74亿</t>
  </si>
  <si>
    <t>富邦股份</t>
  </si>
  <si>
    <t xml:space="preserve">         21.57亿</t>
  </si>
  <si>
    <t>节能国祯</t>
  </si>
  <si>
    <t xml:space="preserve">         21.70亿</t>
  </si>
  <si>
    <t xml:space="preserve">         54.53亿</t>
  </si>
  <si>
    <t xml:space="preserve">         54.66亿</t>
  </si>
  <si>
    <t>8.33万</t>
  </si>
  <si>
    <t>艾比森</t>
  </si>
  <si>
    <t xml:space="preserve">          9.69亿</t>
  </si>
  <si>
    <t>天华超净</t>
  </si>
  <si>
    <t xml:space="preserve">        377.78亿</t>
  </si>
  <si>
    <t xml:space="preserve">        434.55亿</t>
  </si>
  <si>
    <t xml:space="preserve">        651.02亿</t>
  </si>
  <si>
    <t>203.61万</t>
  </si>
  <si>
    <t xml:space="preserve">  14.07㈡</t>
  </si>
  <si>
    <t>康跃科技</t>
  </si>
  <si>
    <t xml:space="preserve">         41.65亿</t>
  </si>
  <si>
    <t xml:space="preserve">         74.62亿</t>
  </si>
  <si>
    <t>51.06万</t>
  </si>
  <si>
    <t xml:space="preserve">   9.75㈡</t>
  </si>
  <si>
    <t>腾信股份</t>
  </si>
  <si>
    <t xml:space="preserve">         28.11亿</t>
  </si>
  <si>
    <t xml:space="preserve"> -10.81㈡</t>
  </si>
  <si>
    <t>中来股份</t>
  </si>
  <si>
    <t xml:space="preserve">         95.28亿</t>
  </si>
  <si>
    <t xml:space="preserve">        135.51亿</t>
  </si>
  <si>
    <t xml:space="preserve">        161.26亿</t>
  </si>
  <si>
    <t>天孚通信</t>
  </si>
  <si>
    <t xml:space="preserve">         48.33亿</t>
  </si>
  <si>
    <t xml:space="preserve">         93.22亿</t>
  </si>
  <si>
    <t xml:space="preserve">        103.09亿</t>
  </si>
  <si>
    <t xml:space="preserve">   6.41㈡</t>
  </si>
  <si>
    <t>菲利华</t>
  </si>
  <si>
    <t xml:space="preserve">        130.48亿</t>
  </si>
  <si>
    <t xml:space="preserve">        157.40亿</t>
  </si>
  <si>
    <t xml:space="preserve">        169.21亿</t>
  </si>
  <si>
    <t>98.64万</t>
  </si>
  <si>
    <t xml:space="preserve">   8.15㈡</t>
  </si>
  <si>
    <t>迪瑞医疗</t>
  </si>
  <si>
    <t xml:space="preserve">         17.25亿</t>
  </si>
  <si>
    <t>16.57万</t>
  </si>
  <si>
    <t xml:space="preserve">   6.74㈡</t>
  </si>
  <si>
    <t>天和防务</t>
  </si>
  <si>
    <t xml:space="preserve">         67.87亿</t>
  </si>
  <si>
    <t xml:space="preserve">         81.32亿</t>
  </si>
  <si>
    <t>飞凯材料</t>
  </si>
  <si>
    <t xml:space="preserve">         92.74亿</t>
  </si>
  <si>
    <t>15.68万</t>
  </si>
  <si>
    <t>天利科技</t>
  </si>
  <si>
    <t xml:space="preserve">          8.47亿</t>
  </si>
  <si>
    <t xml:space="preserve">         21.26亿</t>
  </si>
  <si>
    <t xml:space="preserve">         21.58亿</t>
  </si>
  <si>
    <t>-0.000㈡</t>
  </si>
  <si>
    <t xml:space="preserve">  -0.00㈡</t>
  </si>
  <si>
    <t>劲拓股份</t>
  </si>
  <si>
    <t xml:space="preserve">         38.72亿</t>
  </si>
  <si>
    <t xml:space="preserve">         57.87亿</t>
  </si>
  <si>
    <t>30.24万</t>
  </si>
  <si>
    <t xml:space="preserve">  11.15㈡</t>
  </si>
  <si>
    <t>花园生物</t>
  </si>
  <si>
    <t xml:space="preserve">         53.72亿</t>
  </si>
  <si>
    <t xml:space="preserve">         79.79亿</t>
  </si>
  <si>
    <t>23.25万</t>
  </si>
  <si>
    <t>宝色股份</t>
  </si>
  <si>
    <t xml:space="preserve">         13.69亿</t>
  </si>
  <si>
    <t>8.20万</t>
  </si>
  <si>
    <t xml:space="preserve">   3.80㈡</t>
  </si>
  <si>
    <t>汉宇集团</t>
  </si>
  <si>
    <t xml:space="preserve">         17.57亿</t>
  </si>
  <si>
    <t xml:space="preserve">         27.19亿</t>
  </si>
  <si>
    <t>博济医药</t>
  </si>
  <si>
    <t xml:space="preserve">         14.16亿</t>
  </si>
  <si>
    <t xml:space="preserve">         29.27亿</t>
  </si>
  <si>
    <t>科隆股份</t>
  </si>
  <si>
    <t xml:space="preserve">         14.95亿</t>
  </si>
  <si>
    <t>九强生物</t>
  </si>
  <si>
    <t>30.91万</t>
  </si>
  <si>
    <t>凯发电气</t>
  </si>
  <si>
    <t xml:space="preserve">         12.63亿</t>
  </si>
  <si>
    <t xml:space="preserve">         24.83亿</t>
  </si>
  <si>
    <t>8.63万</t>
  </si>
  <si>
    <t xml:space="preserve">  -0.10㈡</t>
  </si>
  <si>
    <t>三环集团</t>
  </si>
  <si>
    <t xml:space="preserve">        393.10亿</t>
  </si>
  <si>
    <t xml:space="preserve">        622.58亿</t>
  </si>
  <si>
    <t xml:space="preserve">        646.09亿</t>
  </si>
  <si>
    <t>154.70万</t>
  </si>
  <si>
    <t>道氏技术</t>
  </si>
  <si>
    <t xml:space="preserve">        108.55亿</t>
  </si>
  <si>
    <t xml:space="preserve">        124.55亿</t>
  </si>
  <si>
    <t xml:space="preserve">        165.10亿</t>
  </si>
  <si>
    <t>40.48万</t>
  </si>
  <si>
    <t>正业科技</t>
  </si>
  <si>
    <t xml:space="preserve">         27.12亿</t>
  </si>
  <si>
    <t xml:space="preserve">         48.46亿</t>
  </si>
  <si>
    <t xml:space="preserve">  20.45㈡</t>
  </si>
  <si>
    <t>金盾股份</t>
  </si>
  <si>
    <t xml:space="preserve">         32.36亿</t>
  </si>
  <si>
    <t>迦南科技</t>
  </si>
  <si>
    <t xml:space="preserve">         14.89亿</t>
  </si>
  <si>
    <t>7.21万</t>
  </si>
  <si>
    <t>芒果超媒</t>
  </si>
  <si>
    <t xml:space="preserve">        266.44亿</t>
  </si>
  <si>
    <t xml:space="preserve">        389.31亿</t>
  </si>
  <si>
    <t xml:space="preserve">        781.96亿</t>
  </si>
  <si>
    <t>95.31万</t>
  </si>
  <si>
    <t>0.820㈡</t>
  </si>
  <si>
    <t xml:space="preserve">  12.29㈡</t>
  </si>
  <si>
    <t>中光防雷</t>
  </si>
  <si>
    <t xml:space="preserve">         14.61亿</t>
  </si>
  <si>
    <t xml:space="preserve">         33.66亿</t>
  </si>
  <si>
    <t>7.01万</t>
  </si>
  <si>
    <t>0.077㈡</t>
  </si>
  <si>
    <t>伊之密</t>
  </si>
  <si>
    <t xml:space="preserve">         80.63亿</t>
  </si>
  <si>
    <t>34.27万</t>
  </si>
  <si>
    <t>0.620㈡</t>
  </si>
  <si>
    <t xml:space="preserve">  15.07㈡</t>
  </si>
  <si>
    <t>苏试试验</t>
  </si>
  <si>
    <t xml:space="preserve">         58.35亿</t>
  </si>
  <si>
    <t>32.58万</t>
  </si>
  <si>
    <t>0.309㈡</t>
  </si>
  <si>
    <t xml:space="preserve">   8.02㈡</t>
  </si>
  <si>
    <t>南华仪器</t>
  </si>
  <si>
    <t xml:space="preserve">         10.01亿</t>
  </si>
  <si>
    <t xml:space="preserve">         11.93亿</t>
  </si>
  <si>
    <t xml:space="preserve">   3.36㈡</t>
  </si>
  <si>
    <t>昆仑万维</t>
  </si>
  <si>
    <t xml:space="preserve">        128.63亿</t>
  </si>
  <si>
    <t xml:space="preserve">        189.13亿</t>
  </si>
  <si>
    <t xml:space="preserve">        221.33亿</t>
  </si>
  <si>
    <t>12.22万</t>
  </si>
  <si>
    <t xml:space="preserve">  10.74㈡</t>
  </si>
  <si>
    <t>浩丰科技</t>
  </si>
  <si>
    <t>五洋停车</t>
  </si>
  <si>
    <t xml:space="preserve">         45.55亿</t>
  </si>
  <si>
    <t>力星股份</t>
  </si>
  <si>
    <t xml:space="preserve">         41.98亿</t>
  </si>
  <si>
    <t>37.02万</t>
  </si>
  <si>
    <t>博世科</t>
  </si>
  <si>
    <t xml:space="preserve">         39.19亿</t>
  </si>
  <si>
    <t xml:space="preserve">   3.39㈡</t>
  </si>
  <si>
    <t>昇辉科技</t>
  </si>
  <si>
    <t xml:space="preserve">         41.62亿</t>
  </si>
  <si>
    <t>19.23万</t>
  </si>
  <si>
    <t xml:space="preserve">   3.72㈡</t>
  </si>
  <si>
    <t>航新科技</t>
  </si>
  <si>
    <t xml:space="preserve">         26.29亿</t>
  </si>
  <si>
    <t xml:space="preserve">         32.89亿</t>
  </si>
  <si>
    <t xml:space="preserve">         39.34亿</t>
  </si>
  <si>
    <t>中建环能</t>
  </si>
  <si>
    <t xml:space="preserve">         36.45亿</t>
  </si>
  <si>
    <t xml:space="preserve">         36.69亿</t>
  </si>
  <si>
    <t>0.086㈡</t>
  </si>
  <si>
    <t>唐德影视</t>
  </si>
  <si>
    <t xml:space="preserve">         16.53亿</t>
  </si>
  <si>
    <t xml:space="preserve">         27.23亿</t>
  </si>
  <si>
    <t>-662.35㈡</t>
  </si>
  <si>
    <t>红相股份</t>
  </si>
  <si>
    <t xml:space="preserve">         25.68亿</t>
  </si>
  <si>
    <t xml:space="preserve">         52.66亿</t>
  </si>
  <si>
    <t>立中集团</t>
  </si>
  <si>
    <t xml:space="preserve">         26.42亿</t>
  </si>
  <si>
    <t xml:space="preserve">        117.91亿</t>
  </si>
  <si>
    <t>强力新材</t>
  </si>
  <si>
    <t xml:space="preserve">         41.17亿</t>
  </si>
  <si>
    <t xml:space="preserve">         64.36亿</t>
  </si>
  <si>
    <t>诚益通</t>
  </si>
  <si>
    <t xml:space="preserve">         28.70亿</t>
  </si>
  <si>
    <t>富临精工</t>
  </si>
  <si>
    <t xml:space="preserve">        209.70亿</t>
  </si>
  <si>
    <t xml:space="preserve">        384.27亿</t>
  </si>
  <si>
    <t xml:space="preserve">        393.77亿</t>
  </si>
  <si>
    <t>55.01万</t>
  </si>
  <si>
    <t xml:space="preserve">   7.16㈡</t>
  </si>
  <si>
    <t>蓝思科技</t>
  </si>
  <si>
    <t xml:space="preserve">        291.44亿</t>
  </si>
  <si>
    <t xml:space="preserve">       1130.97亿</t>
  </si>
  <si>
    <t xml:space="preserve">       1133.95亿</t>
  </si>
  <si>
    <t>金石亚药</t>
  </si>
  <si>
    <t xml:space="preserve">         17.19亿</t>
  </si>
  <si>
    <t>17.42万</t>
  </si>
  <si>
    <t>0.185㈡</t>
  </si>
  <si>
    <t>中泰股份</t>
  </si>
  <si>
    <t xml:space="preserve">         63.65亿</t>
  </si>
  <si>
    <t xml:space="preserve">         82.60亿</t>
  </si>
  <si>
    <t>广生堂</t>
  </si>
  <si>
    <t xml:space="preserve">         18.99亿</t>
  </si>
  <si>
    <t xml:space="preserve">         48.98亿</t>
  </si>
  <si>
    <t>12.78万</t>
  </si>
  <si>
    <t>清水源</t>
  </si>
  <si>
    <t xml:space="preserve">         27.42亿</t>
  </si>
  <si>
    <t xml:space="preserve">         54.17亿</t>
  </si>
  <si>
    <t xml:space="preserve">  -2.53㈡</t>
  </si>
  <si>
    <t>鹏辉能源</t>
  </si>
  <si>
    <t xml:space="preserve">         69.98亿</t>
  </si>
  <si>
    <t xml:space="preserve">         86.34亿</t>
  </si>
  <si>
    <t xml:space="preserve">        114.08亿</t>
  </si>
  <si>
    <t>12.97万</t>
  </si>
  <si>
    <t>美康生物</t>
  </si>
  <si>
    <t xml:space="preserve">         30.30亿</t>
  </si>
  <si>
    <t xml:space="preserve">         44.29亿</t>
  </si>
  <si>
    <t xml:space="preserve">         71.47亿</t>
  </si>
  <si>
    <t>16.86万</t>
  </si>
  <si>
    <t>运达科技</t>
  </si>
  <si>
    <t xml:space="preserve">         16.16亿</t>
  </si>
  <si>
    <t xml:space="preserve">         35.53亿</t>
  </si>
  <si>
    <t>9.41万</t>
  </si>
  <si>
    <t xml:space="preserve">   1.75㈡</t>
  </si>
  <si>
    <t>鲍斯股份</t>
  </si>
  <si>
    <t xml:space="preserve">         74.31亿</t>
  </si>
  <si>
    <t xml:space="preserve">         77.81亿</t>
  </si>
  <si>
    <t>23.82万</t>
  </si>
  <si>
    <t>普丽盛</t>
  </si>
  <si>
    <t xml:space="preserve">         42.49亿</t>
  </si>
  <si>
    <t xml:space="preserve">   1.07㈡</t>
  </si>
  <si>
    <t>金雷股份</t>
  </si>
  <si>
    <t xml:space="preserve">         78.95亿</t>
  </si>
  <si>
    <t xml:space="preserve">         93.78亿</t>
  </si>
  <si>
    <t xml:space="preserve">        134.31亿</t>
  </si>
  <si>
    <t>25.85万</t>
  </si>
  <si>
    <t>1.020㈡</t>
  </si>
  <si>
    <t>双杰电气</t>
  </si>
  <si>
    <t xml:space="preserve">         29.49亿</t>
  </si>
  <si>
    <t xml:space="preserve">         32.78亿</t>
  </si>
  <si>
    <t>8.32万</t>
  </si>
  <si>
    <t>康斯特</t>
  </si>
  <si>
    <t xml:space="preserve">         13.07亿</t>
  </si>
  <si>
    <t xml:space="preserve">         19.69亿</t>
  </si>
  <si>
    <t>15.08万</t>
  </si>
  <si>
    <t>全信股份</t>
  </si>
  <si>
    <t xml:space="preserve">         25.19亿</t>
  </si>
  <si>
    <t xml:space="preserve">         61.57亿</t>
  </si>
  <si>
    <t>浩云科技</t>
  </si>
  <si>
    <t xml:space="preserve">         46.72亿</t>
  </si>
  <si>
    <t>汉邦高科</t>
  </si>
  <si>
    <t xml:space="preserve">         15.91亿</t>
  </si>
  <si>
    <t xml:space="preserve">         17.90亿</t>
  </si>
  <si>
    <t>先导智能</t>
  </si>
  <si>
    <t xml:space="preserve">        675.62亿</t>
  </si>
  <si>
    <t xml:space="preserve">       1032.49亿</t>
  </si>
  <si>
    <t xml:space="preserve">       1113.89亿</t>
  </si>
  <si>
    <t>113.59万</t>
  </si>
  <si>
    <t>创业慧康</t>
  </si>
  <si>
    <t xml:space="preserve">         85.20亿</t>
  </si>
  <si>
    <t xml:space="preserve">         99.49亿</t>
  </si>
  <si>
    <t xml:space="preserve">        117.63亿</t>
  </si>
  <si>
    <t>22.37万</t>
  </si>
  <si>
    <t>山河药辅</t>
  </si>
  <si>
    <t xml:space="preserve">         13.88亿</t>
  </si>
  <si>
    <t xml:space="preserve">         25.08亿</t>
  </si>
  <si>
    <t>9.33万</t>
  </si>
  <si>
    <t xml:space="preserve">   8.94㈡</t>
  </si>
  <si>
    <t>三鑫医疗</t>
  </si>
  <si>
    <t xml:space="preserve">         33.49亿</t>
  </si>
  <si>
    <t>0.181㈡</t>
  </si>
  <si>
    <t xml:space="preserve">   8.84㈡</t>
  </si>
  <si>
    <t>深信服</t>
  </si>
  <si>
    <t xml:space="preserve">        430.22亿</t>
  </si>
  <si>
    <t xml:space="preserve">        602.62亿</t>
  </si>
  <si>
    <t xml:space="preserve">        936.47亿</t>
  </si>
  <si>
    <t>394.34万</t>
  </si>
  <si>
    <t>康拓红外</t>
  </si>
  <si>
    <t xml:space="preserve">         65.04亿</t>
  </si>
  <si>
    <t xml:space="preserve">         83.98亿</t>
  </si>
  <si>
    <t>赛微电子</t>
  </si>
  <si>
    <t xml:space="preserve">         83.73亿</t>
  </si>
  <si>
    <t xml:space="preserve">        100.58亿</t>
  </si>
  <si>
    <t xml:space="preserve">        200.53亿</t>
  </si>
  <si>
    <t>赢合科技</t>
  </si>
  <si>
    <t xml:space="preserve">         94.12亿</t>
  </si>
  <si>
    <t xml:space="preserve">        127.99亿</t>
  </si>
  <si>
    <t xml:space="preserve">        177.45亿</t>
  </si>
  <si>
    <t>32.21万</t>
  </si>
  <si>
    <t>全志科技</t>
  </si>
  <si>
    <t xml:space="preserve">        145.50亿</t>
  </si>
  <si>
    <t xml:space="preserve">        174.92亿</t>
  </si>
  <si>
    <t xml:space="preserve">        222.30亿</t>
  </si>
  <si>
    <t>29.98万</t>
  </si>
  <si>
    <t xml:space="preserve">   9.85㈡</t>
  </si>
  <si>
    <t>汤姆猫</t>
  </si>
  <si>
    <t xml:space="preserve">         86.60亿</t>
  </si>
  <si>
    <t xml:space="preserve">        130.66亿</t>
  </si>
  <si>
    <t xml:space="preserve">        161.02亿</t>
  </si>
  <si>
    <t>8.54万</t>
  </si>
  <si>
    <t xml:space="preserve">  12.76㈡</t>
  </si>
  <si>
    <t>惠伦晶体</t>
  </si>
  <si>
    <t xml:space="preserve">         32.49亿</t>
  </si>
  <si>
    <t xml:space="preserve">         47.80亿</t>
  </si>
  <si>
    <t xml:space="preserve">         56.00亿</t>
  </si>
  <si>
    <t>田中精机</t>
  </si>
  <si>
    <t xml:space="preserve">         11.46亿</t>
  </si>
  <si>
    <t xml:space="preserve">         18.46亿</t>
  </si>
  <si>
    <t>7.91万</t>
  </si>
  <si>
    <t xml:space="preserve">  10.89㈡</t>
  </si>
  <si>
    <t>华铭智能</t>
  </si>
  <si>
    <t xml:space="preserve">         23.93亿</t>
  </si>
  <si>
    <t>迈克生物</t>
  </si>
  <si>
    <t xml:space="preserve">         95.87亿</t>
  </si>
  <si>
    <t xml:space="preserve">        108.96亿</t>
  </si>
  <si>
    <t xml:space="preserve">        151.01亿</t>
  </si>
  <si>
    <t>37.21万</t>
  </si>
  <si>
    <t xml:space="preserve">  13.66㈡</t>
  </si>
  <si>
    <t>星徽股份</t>
  </si>
  <si>
    <t>0.296㈡</t>
  </si>
  <si>
    <t>高伟达</t>
  </si>
  <si>
    <t xml:space="preserve">         32.01亿</t>
  </si>
  <si>
    <t xml:space="preserve">   7.28㈡</t>
  </si>
  <si>
    <t>赛摩智能</t>
  </si>
  <si>
    <t xml:space="preserve">         14.00亿</t>
  </si>
  <si>
    <t xml:space="preserve">         31.44亿</t>
  </si>
  <si>
    <t>5.23万</t>
  </si>
  <si>
    <t>迅游科技</t>
  </si>
  <si>
    <t xml:space="preserve">         21.29亿</t>
  </si>
  <si>
    <t>9.49万</t>
  </si>
  <si>
    <t>四方精创</t>
  </si>
  <si>
    <t xml:space="preserve">         52.64亿</t>
  </si>
  <si>
    <t xml:space="preserve">         52.81亿</t>
  </si>
  <si>
    <t>信息发展</t>
  </si>
  <si>
    <t xml:space="preserve">         21.37亿</t>
  </si>
  <si>
    <t xml:space="preserve">         23.71亿</t>
  </si>
  <si>
    <t>中密控股</t>
  </si>
  <si>
    <t xml:space="preserve">         61.36亿</t>
  </si>
  <si>
    <t xml:space="preserve">         85.58亿</t>
  </si>
  <si>
    <t>69.53万</t>
  </si>
  <si>
    <t>厚普股份</t>
  </si>
  <si>
    <t xml:space="preserve">         77.83亿</t>
  </si>
  <si>
    <t>新元科技</t>
  </si>
  <si>
    <t xml:space="preserve">         28.90亿</t>
  </si>
  <si>
    <t>14.52万</t>
  </si>
  <si>
    <t xml:space="preserve">   3.01㈡</t>
  </si>
  <si>
    <t>德尔股份</t>
  </si>
  <si>
    <t xml:space="preserve">         12.70亿</t>
  </si>
  <si>
    <t xml:space="preserve">         30.45亿</t>
  </si>
  <si>
    <t>景嘉微</t>
  </si>
  <si>
    <t xml:space="preserve">        160.29亿</t>
  </si>
  <si>
    <t xml:space="preserve">        216.57亿</t>
  </si>
  <si>
    <t xml:space="preserve">        409.41亿</t>
  </si>
  <si>
    <t>58.71万</t>
  </si>
  <si>
    <t>聚隆科技</t>
  </si>
  <si>
    <t xml:space="preserve">         25.90亿</t>
  </si>
  <si>
    <t>31.15万</t>
  </si>
  <si>
    <t>胜宏科技</t>
  </si>
  <si>
    <t xml:space="preserve">        121.86亿</t>
  </si>
  <si>
    <t xml:space="preserve">        196.87亿</t>
  </si>
  <si>
    <t xml:space="preserve">        199.76亿</t>
  </si>
  <si>
    <t>49.09万</t>
  </si>
  <si>
    <t xml:space="preserve">   9.81㈡</t>
  </si>
  <si>
    <t>合纵科技</t>
  </si>
  <si>
    <t xml:space="preserve">         67.85亿</t>
  </si>
  <si>
    <t xml:space="preserve">         74.65亿</t>
  </si>
  <si>
    <t xml:space="preserve">        134.03亿</t>
  </si>
  <si>
    <t>21.40万</t>
  </si>
  <si>
    <t xml:space="preserve">   2.02㈡</t>
  </si>
  <si>
    <t>杭州高新</t>
  </si>
  <si>
    <t xml:space="preserve">          6.58亿</t>
  </si>
  <si>
    <t xml:space="preserve">         11.64亿</t>
  </si>
  <si>
    <t>神思电子</t>
  </si>
  <si>
    <t xml:space="preserve">         27.79亿</t>
  </si>
  <si>
    <t xml:space="preserve">  -1.98㈡</t>
  </si>
  <si>
    <t>光力科技</t>
  </si>
  <si>
    <t xml:space="preserve">         36.83亿</t>
  </si>
  <si>
    <t xml:space="preserve">         51.52亿</t>
  </si>
  <si>
    <t xml:space="preserve">         80.84亿</t>
  </si>
  <si>
    <t>濮阳惠成</t>
  </si>
  <si>
    <t xml:space="preserve">   5.96㈡</t>
  </si>
  <si>
    <t>万孚生物</t>
  </si>
  <si>
    <t xml:space="preserve">         92.12亿</t>
  </si>
  <si>
    <t xml:space="preserve">        125.48亿</t>
  </si>
  <si>
    <t xml:space="preserve">        174.24亿</t>
  </si>
  <si>
    <t>53.09万</t>
  </si>
  <si>
    <t xml:space="preserve">  17.00㈡</t>
  </si>
  <si>
    <t>首华燃气</t>
  </si>
  <si>
    <t xml:space="preserve">         46.19亿</t>
  </si>
  <si>
    <t>60.89万</t>
  </si>
  <si>
    <t>蓝海华腾</t>
  </si>
  <si>
    <t xml:space="preserve">         32.88亿</t>
  </si>
  <si>
    <t>赛升药业</t>
  </si>
  <si>
    <t xml:space="preserve">         22.25亿</t>
  </si>
  <si>
    <t xml:space="preserve">         56.35亿</t>
  </si>
  <si>
    <t>东杰智能</t>
  </si>
  <si>
    <t xml:space="preserve">         24.91亿</t>
  </si>
  <si>
    <t xml:space="preserve">         38.77亿</t>
  </si>
  <si>
    <t>蓝晓科技</t>
  </si>
  <si>
    <t xml:space="preserve">         84.22亿</t>
  </si>
  <si>
    <t xml:space="preserve">        108.04亿</t>
  </si>
  <si>
    <t xml:space="preserve">        185.19亿</t>
  </si>
  <si>
    <t>47.80万</t>
  </si>
  <si>
    <t xml:space="preserve">   7.97㈡</t>
  </si>
  <si>
    <t>恒锋工具</t>
  </si>
  <si>
    <t xml:space="preserve">         15.85亿</t>
  </si>
  <si>
    <t xml:space="preserve">         58.72亿</t>
  </si>
  <si>
    <t xml:space="preserve">         71.18亿</t>
  </si>
  <si>
    <t>中飞股份</t>
  </si>
  <si>
    <t xml:space="preserve">         38.10亿</t>
  </si>
  <si>
    <t xml:space="preserve">         38.29亿</t>
  </si>
  <si>
    <t>华自科技</t>
  </si>
  <si>
    <t xml:space="preserve">         65.52亿</t>
  </si>
  <si>
    <t>通合科技</t>
  </si>
  <si>
    <t xml:space="preserve">         23.81亿</t>
  </si>
  <si>
    <t>华图山鼎</t>
  </si>
  <si>
    <t xml:space="preserve">         20.38亿</t>
  </si>
  <si>
    <t xml:space="preserve">         54.84亿</t>
  </si>
  <si>
    <t xml:space="preserve">         70.57亿</t>
  </si>
  <si>
    <t>温和放量下跌</t>
  </si>
  <si>
    <t>35.64万</t>
  </si>
  <si>
    <t>润欣科技</t>
  </si>
  <si>
    <t xml:space="preserve">         21.55亿</t>
  </si>
  <si>
    <t xml:space="preserve">         36.05亿</t>
  </si>
  <si>
    <t>盛天网络</t>
  </si>
  <si>
    <t xml:space="preserve">         35.62亿</t>
  </si>
  <si>
    <t>中科创达</t>
  </si>
  <si>
    <t xml:space="preserve">        353.12亿</t>
  </si>
  <si>
    <t xml:space="preserve">        392.73亿</t>
  </si>
  <si>
    <t xml:space="preserve">        521.65亿</t>
  </si>
  <si>
    <t>84.35万</t>
  </si>
  <si>
    <t>富祥药业</t>
  </si>
  <si>
    <t xml:space="preserve">         80.47亿</t>
  </si>
  <si>
    <t xml:space="preserve">         86.77亿</t>
  </si>
  <si>
    <t xml:space="preserve">        107.14亿</t>
  </si>
  <si>
    <t>25.79万</t>
  </si>
  <si>
    <t>温氏股份</t>
  </si>
  <si>
    <t xml:space="preserve">        646.03亿</t>
  </si>
  <si>
    <t xml:space="preserve">        654.84亿</t>
  </si>
  <si>
    <t xml:space="preserve">        861.30亿</t>
  </si>
  <si>
    <t>37.97万</t>
  </si>
  <si>
    <t>-0.390㈡</t>
  </si>
  <si>
    <t>高澜股份</t>
  </si>
  <si>
    <t>21.03万</t>
  </si>
  <si>
    <t>启迪设计</t>
  </si>
  <si>
    <t xml:space="preserve">         19.51亿</t>
  </si>
  <si>
    <t xml:space="preserve">         38.89亿</t>
  </si>
  <si>
    <t xml:space="preserve">         43.55亿</t>
  </si>
  <si>
    <t>海顺新材</t>
  </si>
  <si>
    <t xml:space="preserve">         12.84亿</t>
  </si>
  <si>
    <t xml:space="preserve">         31.62亿</t>
  </si>
  <si>
    <t>新易盛</t>
  </si>
  <si>
    <t xml:space="preserve">        121.96亿</t>
  </si>
  <si>
    <t xml:space="preserve">        149.30亿</t>
  </si>
  <si>
    <t xml:space="preserve">        172.41亿</t>
  </si>
  <si>
    <t>34.03万</t>
  </si>
  <si>
    <t>昊志机电</t>
  </si>
  <si>
    <t xml:space="preserve">         28.37亿</t>
  </si>
  <si>
    <t xml:space="preserve">         38.21亿</t>
  </si>
  <si>
    <t>天邑股份</t>
  </si>
  <si>
    <t xml:space="preserve">         17.99亿</t>
  </si>
  <si>
    <t xml:space="preserve">         35.63亿</t>
  </si>
  <si>
    <t xml:space="preserve">         46.41亿</t>
  </si>
  <si>
    <t>川金诺</t>
  </si>
  <si>
    <t xml:space="preserve">         38.04亿</t>
  </si>
  <si>
    <t xml:space="preserve">         62.16亿</t>
  </si>
  <si>
    <t>35.80万</t>
  </si>
  <si>
    <t>名家汇</t>
  </si>
  <si>
    <t xml:space="preserve">         26.44亿</t>
  </si>
  <si>
    <t>苏奥传感</t>
  </si>
  <si>
    <t xml:space="preserve">   4.35㈡</t>
  </si>
  <si>
    <t>维宏股份</t>
  </si>
  <si>
    <t xml:space="preserve">         15.11亿</t>
  </si>
  <si>
    <t xml:space="preserve">         48.23亿</t>
  </si>
  <si>
    <t>19.11万</t>
  </si>
  <si>
    <t>新美星</t>
  </si>
  <si>
    <t xml:space="preserve">          8.10亿</t>
  </si>
  <si>
    <t xml:space="preserve">         11.75亿</t>
  </si>
  <si>
    <t xml:space="preserve">         20.72亿</t>
  </si>
  <si>
    <t xml:space="preserve">   4.93㈡</t>
  </si>
  <si>
    <t>金冠股份</t>
  </si>
  <si>
    <t xml:space="preserve">         46.00亿</t>
  </si>
  <si>
    <t xml:space="preserve">         72.68亿</t>
  </si>
  <si>
    <t xml:space="preserve">         73.25亿</t>
  </si>
  <si>
    <t>25.59万</t>
  </si>
  <si>
    <t>雪榕生物</t>
  </si>
  <si>
    <t xml:space="preserve">         19.86亿</t>
  </si>
  <si>
    <t xml:space="preserve">         22.66亿</t>
  </si>
  <si>
    <t xml:space="preserve">  -3.69㈡</t>
  </si>
  <si>
    <t>中亚股份</t>
  </si>
  <si>
    <t xml:space="preserve">         14.70亿</t>
  </si>
  <si>
    <t xml:space="preserve">         39.96亿</t>
  </si>
  <si>
    <t xml:space="preserve">         50.44亿</t>
  </si>
  <si>
    <t>12.62万</t>
  </si>
  <si>
    <t>恒实科技</t>
  </si>
  <si>
    <t xml:space="preserve">         26.12亿</t>
  </si>
  <si>
    <t xml:space="preserve">         29.22亿</t>
  </si>
  <si>
    <t xml:space="preserve">         37.39亿</t>
  </si>
  <si>
    <t>9.97万</t>
  </si>
  <si>
    <t>友讯达</t>
  </si>
  <si>
    <t xml:space="preserve">          8.02亿</t>
  </si>
  <si>
    <t>4.55万</t>
  </si>
  <si>
    <t>三德科技</t>
  </si>
  <si>
    <t xml:space="preserve">         11.00亿</t>
  </si>
  <si>
    <t>8.29万</t>
  </si>
  <si>
    <t xml:space="preserve">   6.96㈡</t>
  </si>
  <si>
    <t>久之洋</t>
  </si>
  <si>
    <t xml:space="preserve">         56.23亿</t>
  </si>
  <si>
    <t xml:space="preserve">   2.96㈡</t>
  </si>
  <si>
    <t>海波重科</t>
  </si>
  <si>
    <t xml:space="preserve">          8.38亿</t>
  </si>
  <si>
    <t xml:space="preserve">         22.78亿</t>
  </si>
  <si>
    <t>9.34万</t>
  </si>
  <si>
    <t xml:space="preserve">   7.19㈡</t>
  </si>
  <si>
    <t>盛讯达</t>
  </si>
  <si>
    <t xml:space="preserve">         15.56亿</t>
  </si>
  <si>
    <t xml:space="preserve">         36.47亿</t>
  </si>
  <si>
    <t>15.40万</t>
  </si>
  <si>
    <t xml:space="preserve">  13.22㈡</t>
  </si>
  <si>
    <t>新光药业</t>
  </si>
  <si>
    <t xml:space="preserve">         26.82亿</t>
  </si>
  <si>
    <t xml:space="preserve">   7.23㈡</t>
  </si>
  <si>
    <t>科大国创</t>
  </si>
  <si>
    <t xml:space="preserve">         28.67亿</t>
  </si>
  <si>
    <t xml:space="preserve">         46.84亿</t>
  </si>
  <si>
    <t xml:space="preserve">         53.31亿</t>
  </si>
  <si>
    <t>爱司凯</t>
  </si>
  <si>
    <t xml:space="preserve">         15.12亿</t>
  </si>
  <si>
    <t xml:space="preserve">         27.71亿</t>
  </si>
  <si>
    <t>20.75万</t>
  </si>
  <si>
    <t xml:space="preserve">   0.02㈡</t>
  </si>
  <si>
    <t>世名科技</t>
  </si>
  <si>
    <t>25.28万</t>
  </si>
  <si>
    <t xml:space="preserve">   8.45㈡</t>
  </si>
  <si>
    <t>辰安科技</t>
  </si>
  <si>
    <t xml:space="preserve">         53.66亿</t>
  </si>
  <si>
    <t xml:space="preserve">         54.18亿</t>
  </si>
  <si>
    <t>-0.420㈡</t>
  </si>
  <si>
    <t xml:space="preserve">  -6.64㈡</t>
  </si>
  <si>
    <t>博思软件</t>
  </si>
  <si>
    <t xml:space="preserve">         43.43亿</t>
  </si>
  <si>
    <t xml:space="preserve">         74.06亿</t>
  </si>
  <si>
    <t>26.20万</t>
  </si>
  <si>
    <t xml:space="preserve">  -3.52㈡</t>
  </si>
  <si>
    <t>中潜股份</t>
  </si>
  <si>
    <t xml:space="preserve">         18.07亿</t>
  </si>
  <si>
    <t xml:space="preserve">         52.43亿</t>
  </si>
  <si>
    <t xml:space="preserve"> -10.67㈡</t>
  </si>
  <si>
    <t>中船应急</t>
  </si>
  <si>
    <t xml:space="preserve">         32.28亿</t>
  </si>
  <si>
    <t xml:space="preserve">         89.38亿</t>
  </si>
  <si>
    <t>幸福蓝海</t>
  </si>
  <si>
    <t>-0.099㈡</t>
  </si>
  <si>
    <t>健帆生物</t>
  </si>
  <si>
    <t xml:space="preserve">        211.36亿</t>
  </si>
  <si>
    <t xml:space="preserve">        259.70亿</t>
  </si>
  <si>
    <t xml:space="preserve">        406.77亿</t>
  </si>
  <si>
    <t>41.03万</t>
  </si>
  <si>
    <t xml:space="preserve">  19.36㈡</t>
  </si>
  <si>
    <t>优博讯</t>
  </si>
  <si>
    <t xml:space="preserve">         26.35亿</t>
  </si>
  <si>
    <t xml:space="preserve">         49.42亿</t>
  </si>
  <si>
    <t>11.07万</t>
  </si>
  <si>
    <t xml:space="preserve">   5.15㈡</t>
  </si>
  <si>
    <t>今天国际</t>
  </si>
  <si>
    <t xml:space="preserve">         17.41亿</t>
  </si>
  <si>
    <t>冰川网络</t>
  </si>
  <si>
    <t xml:space="preserve">         16.68亿</t>
  </si>
  <si>
    <t xml:space="preserve">   0.39㈡</t>
  </si>
  <si>
    <t>陇神戎发</t>
  </si>
  <si>
    <t xml:space="preserve">         20.67亿</t>
  </si>
  <si>
    <t>达威股份</t>
  </si>
  <si>
    <t xml:space="preserve">          8.78亿</t>
  </si>
  <si>
    <t xml:space="preserve">         13.11亿</t>
  </si>
  <si>
    <t xml:space="preserve">         16.21亿</t>
  </si>
  <si>
    <t>农尚环境</t>
  </si>
  <si>
    <t xml:space="preserve">         57.92亿</t>
  </si>
  <si>
    <t>50.07万</t>
  </si>
  <si>
    <t>广信材料</t>
  </si>
  <si>
    <t xml:space="preserve">         20.06亿</t>
  </si>
  <si>
    <t xml:space="preserve">  -0.35㈡</t>
  </si>
  <si>
    <t>同益股份</t>
  </si>
  <si>
    <t>13.14万</t>
  </si>
  <si>
    <t>横河精密</t>
  </si>
  <si>
    <t xml:space="preserve">          9.14亿</t>
  </si>
  <si>
    <t>深冷股份</t>
  </si>
  <si>
    <t xml:space="preserve">         32.68亿</t>
  </si>
  <si>
    <t>0.032㈡</t>
  </si>
  <si>
    <t>先进数通</t>
  </si>
  <si>
    <t xml:space="preserve">         43.11亿</t>
  </si>
  <si>
    <t>8.15万</t>
  </si>
  <si>
    <t>新晨科技</t>
  </si>
  <si>
    <t xml:space="preserve">         27.81亿</t>
  </si>
  <si>
    <t xml:space="preserve">         34.81亿</t>
  </si>
  <si>
    <t>朗科智能</t>
  </si>
  <si>
    <t xml:space="preserve">         38.32亿</t>
  </si>
  <si>
    <t>0.299㈡</t>
  </si>
  <si>
    <t xml:space="preserve">   7.85㈡</t>
  </si>
  <si>
    <t>联得装备</t>
  </si>
  <si>
    <t xml:space="preserve">         13.70亿</t>
  </si>
  <si>
    <t xml:space="preserve">         18.92亿</t>
  </si>
  <si>
    <t>雄帝科技</t>
  </si>
  <si>
    <t xml:space="preserve">         11.56亿</t>
  </si>
  <si>
    <t xml:space="preserve">         22.02亿</t>
  </si>
  <si>
    <t>-0.145㈡</t>
  </si>
  <si>
    <t xml:space="preserve">  -2.40㈡</t>
  </si>
  <si>
    <t>川环科技</t>
  </si>
  <si>
    <t xml:space="preserve">         20.74亿</t>
  </si>
  <si>
    <t xml:space="preserve">         25.46亿</t>
  </si>
  <si>
    <t>8.74万</t>
  </si>
  <si>
    <t xml:space="preserve">   5.71㈡</t>
  </si>
  <si>
    <t>博创科技</t>
  </si>
  <si>
    <t xml:space="preserve">         56.98亿</t>
  </si>
  <si>
    <t>优德精密</t>
  </si>
  <si>
    <t xml:space="preserve">          8.96亿</t>
  </si>
  <si>
    <t>和仁科技</t>
  </si>
  <si>
    <t xml:space="preserve">         15.73亿</t>
  </si>
  <si>
    <t>19.96万</t>
  </si>
  <si>
    <t>古鳌科技</t>
  </si>
  <si>
    <t xml:space="preserve">         49.68亿</t>
  </si>
  <si>
    <t>40.34万</t>
  </si>
  <si>
    <t>万集科技</t>
  </si>
  <si>
    <t xml:space="preserve">         56.71亿</t>
  </si>
  <si>
    <t>集智股份</t>
  </si>
  <si>
    <t xml:space="preserve">          7.61亿</t>
  </si>
  <si>
    <t xml:space="preserve">         10.85亿</t>
  </si>
  <si>
    <t xml:space="preserve">         17.62亿</t>
  </si>
  <si>
    <t xml:space="preserve">   4.96㈡</t>
  </si>
  <si>
    <t>三超新材</t>
  </si>
  <si>
    <t xml:space="preserve">          7.54亿</t>
  </si>
  <si>
    <t xml:space="preserve">          9.15亿</t>
  </si>
  <si>
    <t xml:space="preserve">         16.20亿</t>
  </si>
  <si>
    <t>路通视信</t>
  </si>
  <si>
    <t xml:space="preserve">         12.12亿</t>
  </si>
  <si>
    <t>7.67万</t>
  </si>
  <si>
    <t>-0.003㈡</t>
  </si>
  <si>
    <t xml:space="preserve">  -0.11㈡</t>
  </si>
  <si>
    <t>丝路视觉</t>
  </si>
  <si>
    <t xml:space="preserve">         19.30亿</t>
  </si>
  <si>
    <t>理工光科</t>
  </si>
  <si>
    <t xml:space="preserve">         16.61亿</t>
  </si>
  <si>
    <t>贝达药业</t>
  </si>
  <si>
    <t xml:space="preserve">        205.18亿</t>
  </si>
  <si>
    <t xml:space="preserve">        359.77亿</t>
  </si>
  <si>
    <t xml:space="preserve">        360.90亿</t>
  </si>
  <si>
    <t>67.12万</t>
  </si>
  <si>
    <t>佳发教育</t>
  </si>
  <si>
    <t xml:space="preserve">         33.56亿</t>
  </si>
  <si>
    <t>7.73万</t>
  </si>
  <si>
    <t>中富通</t>
  </si>
  <si>
    <t xml:space="preserve">         25.26亿</t>
  </si>
  <si>
    <t>汇金科技</t>
  </si>
  <si>
    <t xml:space="preserve">         12.16亿</t>
  </si>
  <si>
    <t xml:space="preserve">         18.63亿</t>
  </si>
  <si>
    <t>6.34万</t>
  </si>
  <si>
    <t>乐心医疗</t>
  </si>
  <si>
    <t xml:space="preserve">   2.00㈡</t>
  </si>
  <si>
    <t>神宇股份</t>
  </si>
  <si>
    <t xml:space="preserve">         14.62亿</t>
  </si>
  <si>
    <t>筑博设计</t>
  </si>
  <si>
    <t>科信技术</t>
  </si>
  <si>
    <t xml:space="preserve">         17.45亿</t>
  </si>
  <si>
    <t xml:space="preserve">         20.55亿</t>
  </si>
  <si>
    <t xml:space="preserve">  -4.88㈡</t>
  </si>
  <si>
    <t>激智科技</t>
  </si>
  <si>
    <t xml:space="preserve">         30.81亿</t>
  </si>
  <si>
    <t>26.08万</t>
  </si>
  <si>
    <t>精测电子</t>
  </si>
  <si>
    <t xml:space="preserve">         94.51亿</t>
  </si>
  <si>
    <t>26.79万</t>
  </si>
  <si>
    <t>星源材质</t>
  </si>
  <si>
    <t xml:space="preserve">        344.57亿</t>
  </si>
  <si>
    <t xml:space="preserve">        374.02亿</t>
  </si>
  <si>
    <t xml:space="preserve">        429.31亿</t>
  </si>
  <si>
    <t>94.55万</t>
  </si>
  <si>
    <t>天能重工</t>
  </si>
  <si>
    <t xml:space="preserve">         42.25亿</t>
  </si>
  <si>
    <t xml:space="preserve">         53.40亿</t>
  </si>
  <si>
    <t xml:space="preserve">         84.88亿</t>
  </si>
  <si>
    <t xml:space="preserve">   6.18㈡</t>
  </si>
  <si>
    <t>太辰光</t>
  </si>
  <si>
    <t xml:space="preserve">         22.77亿</t>
  </si>
  <si>
    <t>12.01万</t>
  </si>
  <si>
    <t>平治信息</t>
  </si>
  <si>
    <t xml:space="preserve">         27.65亿</t>
  </si>
  <si>
    <t xml:space="preserve">         38.53亿</t>
  </si>
  <si>
    <t xml:space="preserve">         49.81亿</t>
  </si>
  <si>
    <t>21.26万</t>
  </si>
  <si>
    <t>1.340㈡</t>
  </si>
  <si>
    <t>安车检测</t>
  </si>
  <si>
    <t xml:space="preserve">         27.83亿</t>
  </si>
  <si>
    <t xml:space="preserve">         45.25亿</t>
  </si>
  <si>
    <t>16.67万</t>
  </si>
  <si>
    <t>兴齐眼药</t>
  </si>
  <si>
    <t xml:space="preserve">         54.35亿</t>
  </si>
  <si>
    <t xml:space="preserve">         65.89亿</t>
  </si>
  <si>
    <t xml:space="preserve">         88.28亿</t>
  </si>
  <si>
    <t>49.82万</t>
  </si>
  <si>
    <t>0.990㈡</t>
  </si>
  <si>
    <t xml:space="preserve">  10.53㈡</t>
  </si>
  <si>
    <t>中旗股份</t>
  </si>
  <si>
    <t xml:space="preserve">         30.91亿</t>
  </si>
  <si>
    <t xml:space="preserve">         49.23亿</t>
  </si>
  <si>
    <t>35.65万</t>
  </si>
  <si>
    <t>容大感光</t>
  </si>
  <si>
    <t xml:space="preserve">         36.32亿</t>
  </si>
  <si>
    <t xml:space="preserve">         72.93亿</t>
  </si>
  <si>
    <t>开润股份</t>
  </si>
  <si>
    <t xml:space="preserve">         24.94亿</t>
  </si>
  <si>
    <t xml:space="preserve">         46.34亿</t>
  </si>
  <si>
    <t>26.53万</t>
  </si>
  <si>
    <t xml:space="preserve">   5.99㈡</t>
  </si>
  <si>
    <t>会畅通讯</t>
  </si>
  <si>
    <t xml:space="preserve">         40.34亿</t>
  </si>
  <si>
    <t xml:space="preserve">   3.51㈡</t>
  </si>
  <si>
    <t>数字认证</t>
  </si>
  <si>
    <t xml:space="preserve">         33.29亿</t>
  </si>
  <si>
    <t xml:space="preserve">         72.59亿</t>
  </si>
  <si>
    <t>11.01万</t>
  </si>
  <si>
    <t xml:space="preserve">   0.56㈡</t>
  </si>
  <si>
    <t>贝斯特</t>
  </si>
  <si>
    <t xml:space="preserve">         37.10亿</t>
  </si>
  <si>
    <t xml:space="preserve">         39.78亿</t>
  </si>
  <si>
    <t>9.08万</t>
  </si>
  <si>
    <t>0.533㈡</t>
  </si>
  <si>
    <t xml:space="preserve">   5.67㈡</t>
  </si>
  <si>
    <t>晨曦航空</t>
  </si>
  <si>
    <t xml:space="preserve">         42.56亿</t>
  </si>
  <si>
    <t>英飞特</t>
  </si>
  <si>
    <t xml:space="preserve">         43.81亿</t>
  </si>
  <si>
    <t xml:space="preserve">         49.43亿</t>
  </si>
  <si>
    <t xml:space="preserve">         71.21亿</t>
  </si>
  <si>
    <t>18.54万</t>
  </si>
  <si>
    <t>赛托生物</t>
  </si>
  <si>
    <t xml:space="preserve">          8.91亿</t>
  </si>
  <si>
    <t xml:space="preserve">         24.75亿</t>
  </si>
  <si>
    <t>海辰药业</t>
  </si>
  <si>
    <t xml:space="preserve">          7.71亿</t>
  </si>
  <si>
    <t xml:space="preserve">         10.74亿</t>
  </si>
  <si>
    <t>9.31万</t>
  </si>
  <si>
    <t>奥联电子</t>
  </si>
  <si>
    <t xml:space="preserve">         20.43亿</t>
  </si>
  <si>
    <t xml:space="preserve">         21.85亿</t>
  </si>
  <si>
    <t>美联新材</t>
  </si>
  <si>
    <t xml:space="preserve">         59.42亿</t>
  </si>
  <si>
    <t>天铁股份</t>
  </si>
  <si>
    <t xml:space="preserve">         85.51亿</t>
  </si>
  <si>
    <t>84.98万</t>
  </si>
  <si>
    <t>0.251㈡</t>
  </si>
  <si>
    <t xml:space="preserve">   8.62㈡</t>
  </si>
  <si>
    <t>熙菱信息</t>
  </si>
  <si>
    <t xml:space="preserve">         11.12亿</t>
  </si>
  <si>
    <t xml:space="preserve">         13.54亿</t>
  </si>
  <si>
    <t>4.44万</t>
  </si>
  <si>
    <t>江龙船艇</t>
  </si>
  <si>
    <t xml:space="preserve">         24.98亿</t>
  </si>
  <si>
    <t>移为通信</t>
  </si>
  <si>
    <t xml:space="preserve">         78.63亿</t>
  </si>
  <si>
    <t xml:space="preserve">   6.45㈡</t>
  </si>
  <si>
    <t>万里马</t>
  </si>
  <si>
    <t xml:space="preserve">         15.27亿</t>
  </si>
  <si>
    <t xml:space="preserve">         22.39亿</t>
  </si>
  <si>
    <t>华凯创意</t>
  </si>
  <si>
    <t xml:space="preserve">         20.62亿</t>
  </si>
  <si>
    <t>34.57万</t>
  </si>
  <si>
    <t xml:space="preserve">  -5.31㈡</t>
  </si>
  <si>
    <t>新雷能</t>
  </si>
  <si>
    <t xml:space="preserve">        104.09亿</t>
  </si>
  <si>
    <t xml:space="preserve">        111.68亿</t>
  </si>
  <si>
    <t xml:space="preserve">        139.58亿</t>
  </si>
  <si>
    <t>59.02万</t>
  </si>
  <si>
    <t>朗进科技</t>
  </si>
  <si>
    <t xml:space="preserve">         13.01亿</t>
  </si>
  <si>
    <t>欧普康视</t>
  </si>
  <si>
    <t xml:space="preserve">        300.12亿</t>
  </si>
  <si>
    <t xml:space="preserve">        425.80亿</t>
  </si>
  <si>
    <t xml:space="preserve">        591.10亿</t>
  </si>
  <si>
    <t>71.53万</t>
  </si>
  <si>
    <t xml:space="preserve">  13.39㈡</t>
  </si>
  <si>
    <t>利安隆</t>
  </si>
  <si>
    <t xml:space="preserve">         42.60亿</t>
  </si>
  <si>
    <t xml:space="preserve">         72.84亿</t>
  </si>
  <si>
    <t xml:space="preserve">         80.45亿</t>
  </si>
  <si>
    <t>39.74万</t>
  </si>
  <si>
    <t>0.909㈡</t>
  </si>
  <si>
    <t>吉大通信</t>
  </si>
  <si>
    <t>诚迈科技</t>
  </si>
  <si>
    <t xml:space="preserve">         52.20亿</t>
  </si>
  <si>
    <t xml:space="preserve">         90.47亿</t>
  </si>
  <si>
    <t xml:space="preserve">         90.48亿</t>
  </si>
  <si>
    <t>12.76万</t>
  </si>
  <si>
    <t>雄塑科技</t>
  </si>
  <si>
    <t xml:space="preserve">         18.26亿</t>
  </si>
  <si>
    <t>国瑞科技</t>
  </si>
  <si>
    <t xml:space="preserve">         23.26亿</t>
  </si>
  <si>
    <t xml:space="preserve">         30.31亿</t>
  </si>
  <si>
    <t>-0.757㈡</t>
  </si>
  <si>
    <t xml:space="preserve"> -24.72㈡</t>
  </si>
  <si>
    <t>康泰生物</t>
  </si>
  <si>
    <t xml:space="preserve">        355.83亿</t>
  </si>
  <si>
    <t xml:space="preserve">        547.17亿</t>
  </si>
  <si>
    <t xml:space="preserve">        703.44亿</t>
  </si>
  <si>
    <t>63.87万</t>
  </si>
  <si>
    <t>飞荣达</t>
  </si>
  <si>
    <t xml:space="preserve">         58.81亿</t>
  </si>
  <si>
    <t xml:space="preserve">         95.70亿</t>
  </si>
  <si>
    <t>17.98万</t>
  </si>
  <si>
    <t>立昂技术</t>
  </si>
  <si>
    <t xml:space="preserve">         22.09亿</t>
  </si>
  <si>
    <t xml:space="preserve">  -1.60㈡</t>
  </si>
  <si>
    <t>长川科技</t>
  </si>
  <si>
    <t xml:space="preserve">         99.21亿</t>
  </si>
  <si>
    <t xml:space="preserve">        160.19亿</t>
  </si>
  <si>
    <t xml:space="preserve">        269.07亿</t>
  </si>
  <si>
    <t>58.11万</t>
  </si>
  <si>
    <t>恒锋信息</t>
  </si>
  <si>
    <t xml:space="preserve">         12.69亿</t>
  </si>
  <si>
    <t>金太阳</t>
  </si>
  <si>
    <t xml:space="preserve">          8.52亿</t>
  </si>
  <si>
    <t xml:space="preserve">         19.13亿</t>
  </si>
  <si>
    <t>拓斯达</t>
  </si>
  <si>
    <t xml:space="preserve">         53.97亿</t>
  </si>
  <si>
    <t xml:space="preserve">         82.70亿</t>
  </si>
  <si>
    <t>0.301㈡</t>
  </si>
  <si>
    <t>思特奇</t>
  </si>
  <si>
    <t xml:space="preserve">         19.01亿</t>
  </si>
  <si>
    <t xml:space="preserve">  -0.67㈡</t>
  </si>
  <si>
    <t>汇纳科技</t>
  </si>
  <si>
    <t xml:space="preserve">         10.20亿</t>
  </si>
  <si>
    <t xml:space="preserve">         13.30亿</t>
  </si>
  <si>
    <t>-0.095㈡</t>
  </si>
  <si>
    <t xml:space="preserve">  -1.10㈡</t>
  </si>
  <si>
    <t>晨化股份</t>
  </si>
  <si>
    <t xml:space="preserve">         40.08亿</t>
  </si>
  <si>
    <t>美力科技</t>
  </si>
  <si>
    <t xml:space="preserve">          8.40亿</t>
  </si>
  <si>
    <t xml:space="preserve">         12.18亿</t>
  </si>
  <si>
    <t>6.80万</t>
  </si>
  <si>
    <t>宣亚国际</t>
  </si>
  <si>
    <t xml:space="preserve">         22.31亿</t>
  </si>
  <si>
    <t xml:space="preserve">  -1.29㈡</t>
  </si>
  <si>
    <t>富瀚微</t>
  </si>
  <si>
    <t xml:space="preserve">         95.01亿</t>
  </si>
  <si>
    <t xml:space="preserve">        204.55亿</t>
  </si>
  <si>
    <t xml:space="preserve">        216.97亿</t>
  </si>
  <si>
    <t>76.81万</t>
  </si>
  <si>
    <t>百川畅银</t>
  </si>
  <si>
    <t xml:space="preserve">         15.33亿</t>
  </si>
  <si>
    <t xml:space="preserve">         64.67亿</t>
  </si>
  <si>
    <t>欣天科技</t>
  </si>
  <si>
    <t xml:space="preserve">         10.15亿</t>
  </si>
  <si>
    <t xml:space="preserve">         12.53亿</t>
  </si>
  <si>
    <t xml:space="preserve">         23.02亿</t>
  </si>
  <si>
    <t>尚品宅配</t>
  </si>
  <si>
    <t xml:space="preserve">         35.75亿</t>
  </si>
  <si>
    <t xml:space="preserve">         94.53亿</t>
  </si>
  <si>
    <t>67.51万</t>
  </si>
  <si>
    <t>安靠智电</t>
  </si>
  <si>
    <t xml:space="preserve">         42.34亿</t>
  </si>
  <si>
    <t xml:space="preserve">        109.97亿</t>
  </si>
  <si>
    <t>30.49万</t>
  </si>
  <si>
    <t>寒锐钴业</t>
  </si>
  <si>
    <t xml:space="preserve">        176.85亿</t>
  </si>
  <si>
    <t xml:space="preserve">        186.73亿</t>
  </si>
  <si>
    <t xml:space="preserve">        260.70亿</t>
  </si>
  <si>
    <t>29.58万</t>
  </si>
  <si>
    <t>1.160㈡</t>
  </si>
  <si>
    <t>金银河</t>
  </si>
  <si>
    <t xml:space="preserve">         31.97亿</t>
  </si>
  <si>
    <t xml:space="preserve">         42.17亿</t>
  </si>
  <si>
    <t>光库科技</t>
  </si>
  <si>
    <t xml:space="preserve">         22.65亿</t>
  </si>
  <si>
    <t>20.63万</t>
  </si>
  <si>
    <t>维业股份</t>
  </si>
  <si>
    <t xml:space="preserve">         19.82亿</t>
  </si>
  <si>
    <t xml:space="preserve">         21.28亿</t>
  </si>
  <si>
    <t>5.64万</t>
  </si>
  <si>
    <t>博士眼镜</t>
  </si>
  <si>
    <t xml:space="preserve">         17.51亿</t>
  </si>
  <si>
    <t xml:space="preserve">         21.73亿</t>
  </si>
  <si>
    <t xml:space="preserve">         35.22亿</t>
  </si>
  <si>
    <t>28.20万</t>
  </si>
  <si>
    <t xml:space="preserve">   7.58㈡</t>
  </si>
  <si>
    <t>捷捷微电</t>
  </si>
  <si>
    <t xml:space="preserve">        101.22亿</t>
  </si>
  <si>
    <t xml:space="preserve">        181.78亿</t>
  </si>
  <si>
    <t xml:space="preserve">        209.90亿</t>
  </si>
  <si>
    <t>11.73万</t>
  </si>
  <si>
    <t xml:space="preserve">   8.01㈡</t>
  </si>
  <si>
    <t>万兴科技</t>
  </si>
  <si>
    <t xml:space="preserve">         40.43亿</t>
  </si>
  <si>
    <t xml:space="preserve">         55.31亿</t>
  </si>
  <si>
    <t xml:space="preserve">         64.95亿</t>
  </si>
  <si>
    <t xml:space="preserve">   5.46㈡</t>
  </si>
  <si>
    <t>三雄极光</t>
  </si>
  <si>
    <t xml:space="preserve">         14.65亿</t>
  </si>
  <si>
    <t xml:space="preserve">         22.23亿</t>
  </si>
  <si>
    <t xml:space="preserve">   3.17㈡</t>
  </si>
  <si>
    <t>华瑞股份</t>
  </si>
  <si>
    <t xml:space="preserve">          8.98亿</t>
  </si>
  <si>
    <t>华测导航</t>
  </si>
  <si>
    <t xml:space="preserve">        108.99亿</t>
  </si>
  <si>
    <t xml:space="preserve">        151.86亿</t>
  </si>
  <si>
    <t>27.82万</t>
  </si>
  <si>
    <t xml:space="preserve">   5.54㈡</t>
  </si>
  <si>
    <t>亿联网络</t>
  </si>
  <si>
    <t xml:space="preserve">        297.36亿</t>
  </si>
  <si>
    <t xml:space="preserve">        371.95亿</t>
  </si>
  <si>
    <t xml:space="preserve">        696.47亿</t>
  </si>
  <si>
    <t>220.31万</t>
  </si>
  <si>
    <t xml:space="preserve">  14.87㈡</t>
  </si>
  <si>
    <t>新劲刚</t>
  </si>
  <si>
    <t xml:space="preserve">         22.28亿</t>
  </si>
  <si>
    <t xml:space="preserve">         41.16亿</t>
  </si>
  <si>
    <t xml:space="preserve">   4.67㈡</t>
  </si>
  <si>
    <t>普利制药</t>
  </si>
  <si>
    <t xml:space="preserve">        123.83亿</t>
  </si>
  <si>
    <t xml:space="preserve">        137.06亿</t>
  </si>
  <si>
    <t xml:space="preserve">        186.26亿</t>
  </si>
  <si>
    <t>86.00万</t>
  </si>
  <si>
    <t>久吾高科</t>
  </si>
  <si>
    <t xml:space="preserve">         33.06亿</t>
  </si>
  <si>
    <t xml:space="preserve">         52.63亿</t>
  </si>
  <si>
    <t xml:space="preserve">         53.81亿</t>
  </si>
  <si>
    <t>20.45万</t>
  </si>
  <si>
    <t>光莆股份</t>
  </si>
  <si>
    <t xml:space="preserve">         27.88亿</t>
  </si>
  <si>
    <t xml:space="preserve">         42.62亿</t>
  </si>
  <si>
    <t>开立医疗</t>
  </si>
  <si>
    <t xml:space="preserve">         57.39亿</t>
  </si>
  <si>
    <t xml:space="preserve">        127.32亿</t>
  </si>
  <si>
    <t xml:space="preserve">        127.93亿</t>
  </si>
  <si>
    <t>32.12万</t>
  </si>
  <si>
    <t xml:space="preserve">   7.45㈡</t>
  </si>
  <si>
    <t>彩讯股份</t>
  </si>
  <si>
    <t xml:space="preserve">         60.85亿</t>
  </si>
  <si>
    <t xml:space="preserve">   3.07㈡</t>
  </si>
  <si>
    <t>中达安</t>
  </si>
  <si>
    <t xml:space="preserve">         13.77亿</t>
  </si>
  <si>
    <t xml:space="preserve">         15.65亿</t>
  </si>
  <si>
    <t>22.34万</t>
  </si>
  <si>
    <t>同和药业</t>
  </si>
  <si>
    <t xml:space="preserve">         27.01亿</t>
  </si>
  <si>
    <t>22.44万</t>
  </si>
  <si>
    <t>扬帆新材</t>
  </si>
  <si>
    <t xml:space="preserve">         20.40亿</t>
  </si>
  <si>
    <t>广和通</t>
  </si>
  <si>
    <t xml:space="preserve">         76.79亿</t>
  </si>
  <si>
    <t xml:space="preserve">        109.29亿</t>
  </si>
  <si>
    <t xml:space="preserve">        175.51亿</t>
  </si>
  <si>
    <t>35.04万</t>
  </si>
  <si>
    <t xml:space="preserve">  11.82㈡</t>
  </si>
  <si>
    <t>凯普生物</t>
  </si>
  <si>
    <t xml:space="preserve">         55.59亿</t>
  </si>
  <si>
    <t xml:space="preserve">         90.01亿</t>
  </si>
  <si>
    <t xml:space="preserve">         91.64亿</t>
  </si>
  <si>
    <t>1.330㈡</t>
  </si>
  <si>
    <t xml:space="preserve">  14.73㈡</t>
  </si>
  <si>
    <t>德艺文创</t>
  </si>
  <si>
    <t xml:space="preserve">          6.31亿</t>
  </si>
  <si>
    <t xml:space="preserve">          8.56亿</t>
  </si>
  <si>
    <t xml:space="preserve">   1.80㈡</t>
  </si>
  <si>
    <t>正丹股份</t>
  </si>
  <si>
    <t xml:space="preserve">         41.42亿</t>
  </si>
  <si>
    <t>透景生命</t>
  </si>
  <si>
    <t xml:space="preserve">         48.27亿</t>
  </si>
  <si>
    <t xml:space="preserve">         57.06亿</t>
  </si>
  <si>
    <t>38.43万</t>
  </si>
  <si>
    <t>0.456㈡</t>
  </si>
  <si>
    <t xml:space="preserve">   5.70㈡</t>
  </si>
  <si>
    <t>万通智控</t>
  </si>
  <si>
    <t xml:space="preserve">         11.74亿</t>
  </si>
  <si>
    <t xml:space="preserve">         28.52亿</t>
  </si>
  <si>
    <t xml:space="preserve">  10.20㈡</t>
  </si>
  <si>
    <t>南京聚隆</t>
  </si>
  <si>
    <t xml:space="preserve">         12.38亿</t>
  </si>
  <si>
    <t>正元智慧</t>
  </si>
  <si>
    <t xml:space="preserve">         16.25亿</t>
  </si>
  <si>
    <t>16.93万</t>
  </si>
  <si>
    <t>超频三</t>
  </si>
  <si>
    <t xml:space="preserve">         44.05亿</t>
  </si>
  <si>
    <t>星云股份</t>
  </si>
  <si>
    <t xml:space="preserve">         44.40亿</t>
  </si>
  <si>
    <t xml:space="preserve">         53.06亿</t>
  </si>
  <si>
    <t xml:space="preserve">         84.98亿</t>
  </si>
  <si>
    <t>35.18万</t>
  </si>
  <si>
    <t xml:space="preserve">   5.94㈡</t>
  </si>
  <si>
    <t>杭州园林</t>
  </si>
  <si>
    <t xml:space="preserve">         12.66亿</t>
  </si>
  <si>
    <t>10.35万</t>
  </si>
  <si>
    <t>太龙照明</t>
  </si>
  <si>
    <t xml:space="preserve">         12.50亿</t>
  </si>
  <si>
    <t xml:space="preserve">         28.30亿</t>
  </si>
  <si>
    <t xml:space="preserve">  11.91㈡</t>
  </si>
  <si>
    <t>金陵体育</t>
  </si>
  <si>
    <t xml:space="preserve">         21.39亿</t>
  </si>
  <si>
    <t xml:space="preserve">         37.88亿</t>
  </si>
  <si>
    <t>雷迪克</t>
  </si>
  <si>
    <t xml:space="preserve">         16.08亿</t>
  </si>
  <si>
    <t>正海生物</t>
  </si>
  <si>
    <t>16.78万</t>
  </si>
  <si>
    <t xml:space="preserve">  11.62㈡</t>
  </si>
  <si>
    <t>世纪天鸿</t>
  </si>
  <si>
    <t xml:space="preserve">          6.74亿</t>
  </si>
  <si>
    <t xml:space="preserve">         13.51亿</t>
  </si>
  <si>
    <t>-0.002㈡</t>
  </si>
  <si>
    <t xml:space="preserve">  -0.07㈡</t>
  </si>
  <si>
    <t>晶瑞电材</t>
  </si>
  <si>
    <t xml:space="preserve">         94.36亿</t>
  </si>
  <si>
    <t xml:space="preserve">        130.96亿</t>
  </si>
  <si>
    <t xml:space="preserve">        155.37亿</t>
  </si>
  <si>
    <t xml:space="preserve">   8.22㈡</t>
  </si>
  <si>
    <t>民德电子</t>
  </si>
  <si>
    <t xml:space="preserve">         32.27亿</t>
  </si>
  <si>
    <t xml:space="preserve">         46.73亿</t>
  </si>
  <si>
    <t>弘信电子</t>
  </si>
  <si>
    <t xml:space="preserve">         51.83亿</t>
  </si>
  <si>
    <t xml:space="preserve">         80.54亿</t>
  </si>
  <si>
    <t xml:space="preserve">         85.15亿</t>
  </si>
  <si>
    <t>-0.138㈡</t>
  </si>
  <si>
    <t>延江股份</t>
  </si>
  <si>
    <t xml:space="preserve">          8.66亿</t>
  </si>
  <si>
    <t xml:space="preserve">         15.64亿</t>
  </si>
  <si>
    <t>中孚信息</t>
  </si>
  <si>
    <t xml:space="preserve">         57.34亿</t>
  </si>
  <si>
    <t xml:space="preserve">         67.93亿</t>
  </si>
  <si>
    <t xml:space="preserve">        103.66亿</t>
  </si>
  <si>
    <t>30.94万</t>
  </si>
  <si>
    <t>江苏雷利</t>
  </si>
  <si>
    <t xml:space="preserve">         17.67亿</t>
  </si>
  <si>
    <t xml:space="preserve">         32.83亿</t>
  </si>
  <si>
    <t xml:space="preserve">         68.60亿</t>
  </si>
  <si>
    <t>13.72万</t>
  </si>
  <si>
    <t>圣邦股份</t>
  </si>
  <si>
    <t xml:space="preserve">        414.78亿</t>
  </si>
  <si>
    <t xml:space="preserve">        666.79亿</t>
  </si>
  <si>
    <t xml:space="preserve">        718.81亿</t>
  </si>
  <si>
    <t>300.05万</t>
  </si>
  <si>
    <t xml:space="preserve">  14.82㈡</t>
  </si>
  <si>
    <t>科锐国际</t>
  </si>
  <si>
    <t xml:space="preserve">         55.76亿</t>
  </si>
  <si>
    <t xml:space="preserve">         91.09亿</t>
  </si>
  <si>
    <t xml:space="preserve">         98.11亿</t>
  </si>
  <si>
    <t>94.52万</t>
  </si>
  <si>
    <t>科蓝软件</t>
  </si>
  <si>
    <t xml:space="preserve">         64.66亿</t>
  </si>
  <si>
    <t>-0.029㈡</t>
  </si>
  <si>
    <t xml:space="preserve">  -1.27㈡</t>
  </si>
  <si>
    <t>鹏鹞环保</t>
  </si>
  <si>
    <t xml:space="preserve">         47.41亿</t>
  </si>
  <si>
    <t xml:space="preserve">         48.07亿</t>
  </si>
  <si>
    <t>飞鹿股份</t>
  </si>
  <si>
    <t xml:space="preserve">         15.34亿</t>
  </si>
  <si>
    <t xml:space="preserve">         20.64亿</t>
  </si>
  <si>
    <t>17.81万</t>
  </si>
  <si>
    <t xml:space="preserve">   0.65㈡</t>
  </si>
  <si>
    <t>江丰电子</t>
  </si>
  <si>
    <t xml:space="preserve">         63.19亿</t>
  </si>
  <si>
    <t xml:space="preserve">         68.40亿</t>
  </si>
  <si>
    <t xml:space="preserve">        101.37亿</t>
  </si>
  <si>
    <t>必创科技</t>
  </si>
  <si>
    <t xml:space="preserve">         23.97亿</t>
  </si>
  <si>
    <t xml:space="preserve">         32.80亿</t>
  </si>
  <si>
    <t xml:space="preserve">         45.16亿</t>
  </si>
  <si>
    <t>17.21万</t>
  </si>
  <si>
    <t>杰恩设计</t>
  </si>
  <si>
    <t xml:space="preserve">          5.78亿</t>
  </si>
  <si>
    <t xml:space="preserve">          8.89亿</t>
  </si>
  <si>
    <t xml:space="preserve">         16.71亿</t>
  </si>
  <si>
    <t>沪宁股份</t>
  </si>
  <si>
    <t xml:space="preserve">         18.53亿</t>
  </si>
  <si>
    <t>大烨智能</t>
  </si>
  <si>
    <t>7.13万</t>
  </si>
  <si>
    <t>0.058㈡</t>
  </si>
  <si>
    <t>富满电子</t>
  </si>
  <si>
    <t xml:space="preserve">        145.01亿</t>
  </si>
  <si>
    <t xml:space="preserve">        222.79亿</t>
  </si>
  <si>
    <t xml:space="preserve">        223.89亿</t>
  </si>
  <si>
    <t>58.34万</t>
  </si>
  <si>
    <t>1.540㈡</t>
  </si>
  <si>
    <t xml:space="preserve">  23.84㈡</t>
  </si>
  <si>
    <t>国科微</t>
  </si>
  <si>
    <t xml:space="preserve">        100.75亿</t>
  </si>
  <si>
    <t xml:space="preserve">        206.04亿</t>
  </si>
  <si>
    <t xml:space="preserve">        214.67亿</t>
  </si>
  <si>
    <t>52.96万</t>
  </si>
  <si>
    <t>-0.057㈡</t>
  </si>
  <si>
    <t xml:space="preserve">  -0.82㈡</t>
  </si>
  <si>
    <t>佩蒂股份</t>
  </si>
  <si>
    <t xml:space="preserve">         20.98亿</t>
  </si>
  <si>
    <t xml:space="preserve">         45.44亿</t>
  </si>
  <si>
    <t>11.57万</t>
  </si>
  <si>
    <t>宇信科技</t>
  </si>
  <si>
    <t xml:space="preserve">         65.90亿</t>
  </si>
  <si>
    <t xml:space="preserve">         80.17亿</t>
  </si>
  <si>
    <t xml:space="preserve">        118.26亿</t>
  </si>
  <si>
    <t>23.74万</t>
  </si>
  <si>
    <t xml:space="preserve">   5.55㈡</t>
  </si>
  <si>
    <t>建科院</t>
  </si>
  <si>
    <t>6.88万</t>
  </si>
  <si>
    <t>华大基因</t>
  </si>
  <si>
    <t xml:space="preserve">        204.68亿</t>
  </si>
  <si>
    <t xml:space="preserve">        239.87亿</t>
  </si>
  <si>
    <t xml:space="preserve">        379.35亿</t>
  </si>
  <si>
    <t>27.71万</t>
  </si>
  <si>
    <t>2.660㈡</t>
  </si>
  <si>
    <t xml:space="preserve">  11.99㈡</t>
  </si>
  <si>
    <t>英科医疗</t>
  </si>
  <si>
    <t xml:space="preserve">        194.55亿</t>
  </si>
  <si>
    <t xml:space="preserve">        228.72亿</t>
  </si>
  <si>
    <t xml:space="preserve">        332.28亿</t>
  </si>
  <si>
    <t>16.110㈡</t>
  </si>
  <si>
    <t xml:space="preserve">  41.08㈡</t>
  </si>
  <si>
    <t>中科信息</t>
  </si>
  <si>
    <t xml:space="preserve">         15.37亿</t>
  </si>
  <si>
    <t>电连技术</t>
  </si>
  <si>
    <t xml:space="preserve">         87.97亿</t>
  </si>
  <si>
    <t xml:space="preserve">        134.99亿</t>
  </si>
  <si>
    <t xml:space="preserve">        183.26亿</t>
  </si>
  <si>
    <t>61.90万</t>
  </si>
  <si>
    <t>隆盛科技</t>
  </si>
  <si>
    <t xml:space="preserve">         33.00亿</t>
  </si>
  <si>
    <t xml:space="preserve">         53.01亿</t>
  </si>
  <si>
    <t>32.23万</t>
  </si>
  <si>
    <t>英搏尔</t>
  </si>
  <si>
    <t xml:space="preserve">         58.71亿</t>
  </si>
  <si>
    <t>40.40万</t>
  </si>
  <si>
    <t>0.221㈡</t>
  </si>
  <si>
    <t>朗新科技</t>
  </si>
  <si>
    <t xml:space="preserve">         69.56亿</t>
  </si>
  <si>
    <t xml:space="preserve">        150.64亿</t>
  </si>
  <si>
    <t xml:space="preserve">        217.43亿</t>
  </si>
  <si>
    <t>48.42万</t>
  </si>
  <si>
    <t>海特生物</t>
  </si>
  <si>
    <t xml:space="preserve">         36.98亿</t>
  </si>
  <si>
    <t>17.88万</t>
  </si>
  <si>
    <t>中石科技</t>
  </si>
  <si>
    <t xml:space="preserve">         26.97亿</t>
  </si>
  <si>
    <t xml:space="preserve">         33.20亿</t>
  </si>
  <si>
    <t xml:space="preserve">         54.25亿</t>
  </si>
  <si>
    <t>10.41万</t>
  </si>
  <si>
    <t>艾德生物</t>
  </si>
  <si>
    <t xml:space="preserve">         99.00亿</t>
  </si>
  <si>
    <t xml:space="preserve">        158.68亿</t>
  </si>
  <si>
    <t xml:space="preserve">        160.22亿</t>
  </si>
  <si>
    <t>55.37万</t>
  </si>
  <si>
    <t>智动力</t>
  </si>
  <si>
    <t xml:space="preserve">         25.96亿</t>
  </si>
  <si>
    <t>15.92万</t>
  </si>
  <si>
    <t>0.219㈡</t>
  </si>
  <si>
    <t>赛意信息</t>
  </si>
  <si>
    <t xml:space="preserve">         62.07亿</t>
  </si>
  <si>
    <t xml:space="preserve">         84.73亿</t>
  </si>
  <si>
    <t>24.37万</t>
  </si>
  <si>
    <t>创业黑马</t>
  </si>
  <si>
    <t xml:space="preserve">         32.77亿</t>
  </si>
  <si>
    <t>19.36万</t>
  </si>
  <si>
    <t>澄天伟业</t>
  </si>
  <si>
    <t xml:space="preserve">          7.88亿</t>
  </si>
  <si>
    <t xml:space="preserve">         22.01亿</t>
  </si>
  <si>
    <t>8.73万</t>
  </si>
  <si>
    <t>双一科技</t>
  </si>
  <si>
    <t xml:space="preserve">         27.53亿</t>
  </si>
  <si>
    <t xml:space="preserve">         54.55亿</t>
  </si>
  <si>
    <t>12.46万</t>
  </si>
  <si>
    <t>联合光电</t>
  </si>
  <si>
    <t xml:space="preserve">         22.67亿</t>
  </si>
  <si>
    <t>16.29万</t>
  </si>
  <si>
    <t>中环环保</t>
  </si>
  <si>
    <t xml:space="preserve">         23.11亿</t>
  </si>
  <si>
    <t xml:space="preserve">         30.72亿</t>
  </si>
  <si>
    <t>8.61万</t>
  </si>
  <si>
    <t>盛弘股份</t>
  </si>
  <si>
    <t xml:space="preserve">         49.24亿</t>
  </si>
  <si>
    <t>蠡湖股份</t>
  </si>
  <si>
    <t xml:space="preserve">         23.08亿</t>
  </si>
  <si>
    <t>兆丰股份</t>
  </si>
  <si>
    <t xml:space="preserve">          8.87亿</t>
  </si>
  <si>
    <t xml:space="preserve">         35.47亿</t>
  </si>
  <si>
    <t>爱乐达</t>
  </si>
  <si>
    <t xml:space="preserve">         60.66亿</t>
  </si>
  <si>
    <t xml:space="preserve">        103.83亿</t>
  </si>
  <si>
    <t>电工合金</t>
  </si>
  <si>
    <t xml:space="preserve">         51.02亿</t>
  </si>
  <si>
    <t>万马科技</t>
  </si>
  <si>
    <t xml:space="preserve">         11.59亿</t>
  </si>
  <si>
    <t xml:space="preserve">         22.13亿</t>
  </si>
  <si>
    <t>光威复材</t>
  </si>
  <si>
    <t xml:space="preserve">        184.32亿</t>
  </si>
  <si>
    <t xml:space="preserve">        362.80亿</t>
  </si>
  <si>
    <t xml:space="preserve">        370.10亿</t>
  </si>
  <si>
    <t>33.18万</t>
  </si>
  <si>
    <t xml:space="preserve">  11.39㈡</t>
  </si>
  <si>
    <t>岱勒新材</t>
  </si>
  <si>
    <t xml:space="preserve">          9.16亿</t>
  </si>
  <si>
    <t xml:space="preserve">         10.50亿</t>
  </si>
  <si>
    <t>森霸传感</t>
  </si>
  <si>
    <t xml:space="preserve">         10.62亿</t>
  </si>
  <si>
    <t xml:space="preserve">         30.55亿</t>
  </si>
  <si>
    <t>6.76万</t>
  </si>
  <si>
    <t>天宇股份</t>
  </si>
  <si>
    <t xml:space="preserve">         69.68亿</t>
  </si>
  <si>
    <t xml:space="preserve">        111.64亿</t>
  </si>
  <si>
    <t xml:space="preserve">        183.38亿</t>
  </si>
  <si>
    <t>41.86万</t>
  </si>
  <si>
    <t>创源股份</t>
  </si>
  <si>
    <t>14.17万</t>
  </si>
  <si>
    <t>九典制药</t>
  </si>
  <si>
    <t>36.60万</t>
  </si>
  <si>
    <t xml:space="preserve">  11.19㈡</t>
  </si>
  <si>
    <t>阿石创</t>
  </si>
  <si>
    <t xml:space="preserve">         22.06亿</t>
  </si>
  <si>
    <t>威唐工业</t>
  </si>
  <si>
    <t xml:space="preserve">         17.81亿</t>
  </si>
  <si>
    <t xml:space="preserve">         25.13亿</t>
  </si>
  <si>
    <t>11.21万</t>
  </si>
  <si>
    <t>聚灿光电</t>
  </si>
  <si>
    <t xml:space="preserve">         44.56亿</t>
  </si>
  <si>
    <t xml:space="preserve">         66.44亿</t>
  </si>
  <si>
    <t xml:space="preserve">        106.66亿</t>
  </si>
  <si>
    <t xml:space="preserve">   4.54㈡</t>
  </si>
  <si>
    <t>精研科技</t>
  </si>
  <si>
    <t xml:space="preserve">         46.85亿</t>
  </si>
  <si>
    <t>15.46万</t>
  </si>
  <si>
    <t>万隆光电</t>
  </si>
  <si>
    <t xml:space="preserve">         19.19亿</t>
  </si>
  <si>
    <t xml:space="preserve">         21.12亿</t>
  </si>
  <si>
    <t>0.136㈡</t>
  </si>
  <si>
    <t>广哈通信</t>
  </si>
  <si>
    <t xml:space="preserve">         28.80亿</t>
  </si>
  <si>
    <t>永福股份</t>
  </si>
  <si>
    <t xml:space="preserve">         41.92亿</t>
  </si>
  <si>
    <t xml:space="preserve">         92.95亿</t>
  </si>
  <si>
    <t>46.55万</t>
  </si>
  <si>
    <t>英可瑞</t>
  </si>
  <si>
    <t xml:space="preserve">          9.53亿</t>
  </si>
  <si>
    <t xml:space="preserve">         16.74亿</t>
  </si>
  <si>
    <t xml:space="preserve">         29.19亿</t>
  </si>
  <si>
    <t>凯伦股份</t>
  </si>
  <si>
    <t xml:space="preserve">         32.67亿</t>
  </si>
  <si>
    <t xml:space="preserve">         69.05亿</t>
  </si>
  <si>
    <t xml:space="preserve">         97.27亿</t>
  </si>
  <si>
    <t>28.67万</t>
  </si>
  <si>
    <t>国立科技</t>
  </si>
  <si>
    <t xml:space="preserve">          9.59亿</t>
  </si>
  <si>
    <t>华信新材</t>
  </si>
  <si>
    <t xml:space="preserve">          8.55亿</t>
  </si>
  <si>
    <t xml:space="preserve">   2.33㈡</t>
  </si>
  <si>
    <t>长盛轴承</t>
  </si>
  <si>
    <t xml:space="preserve">         55.43亿</t>
  </si>
  <si>
    <t>安达维尔</t>
  </si>
  <si>
    <t xml:space="preserve">         18.39亿</t>
  </si>
  <si>
    <t xml:space="preserve">         27.17亿</t>
  </si>
  <si>
    <t>-0.049㈡</t>
  </si>
  <si>
    <t>海川智能</t>
  </si>
  <si>
    <t>怡达股份</t>
  </si>
  <si>
    <t xml:space="preserve">         27.03亿</t>
  </si>
  <si>
    <t>33.27万</t>
  </si>
  <si>
    <t>新余国科</t>
  </si>
  <si>
    <t xml:space="preserve">         21.34亿</t>
  </si>
  <si>
    <t xml:space="preserve">   4.62㈡</t>
  </si>
  <si>
    <t>一品红</t>
  </si>
  <si>
    <t xml:space="preserve">         38.41亿</t>
  </si>
  <si>
    <t xml:space="preserve">         89.43亿</t>
  </si>
  <si>
    <t>34.07万</t>
  </si>
  <si>
    <t xml:space="preserve">   7.55㈡</t>
  </si>
  <si>
    <t>捷佳伟创</t>
  </si>
  <si>
    <t xml:space="preserve">        277.77亿</t>
  </si>
  <si>
    <t xml:space="preserve">        442.80亿</t>
  </si>
  <si>
    <t xml:space="preserve">        508.44亿</t>
  </si>
  <si>
    <t>80.87万</t>
  </si>
  <si>
    <t xml:space="preserve">   7.73㈡</t>
  </si>
  <si>
    <t>药石科技</t>
  </si>
  <si>
    <t xml:space="preserve">        279.19亿</t>
  </si>
  <si>
    <t xml:space="preserve">        314.18亿</t>
  </si>
  <si>
    <t xml:space="preserve">        385.42亿</t>
  </si>
  <si>
    <t>180.42万</t>
  </si>
  <si>
    <t>1.930㈡</t>
  </si>
  <si>
    <t xml:space="preserve">  16.71㈡</t>
  </si>
  <si>
    <t>宏达电子</t>
  </si>
  <si>
    <t xml:space="preserve">         84.34亿</t>
  </si>
  <si>
    <t xml:space="preserve">        138.93亿</t>
  </si>
  <si>
    <t xml:space="preserve">        303.36亿</t>
  </si>
  <si>
    <t>47.35万</t>
  </si>
  <si>
    <t>0.998㈡</t>
  </si>
  <si>
    <t xml:space="preserve">  16.30㈡</t>
  </si>
  <si>
    <t>润禾材料</t>
  </si>
  <si>
    <t>乐歌股份</t>
  </si>
  <si>
    <t xml:space="preserve">         36.76亿</t>
  </si>
  <si>
    <t xml:space="preserve">         38.39亿</t>
  </si>
  <si>
    <t>12.10万</t>
  </si>
  <si>
    <t xml:space="preserve">   7.71㈡</t>
  </si>
  <si>
    <t>科创信息</t>
  </si>
  <si>
    <t xml:space="preserve">         11.04亿</t>
  </si>
  <si>
    <t xml:space="preserve">         17.38亿</t>
  </si>
  <si>
    <t xml:space="preserve">         23.59亿</t>
  </si>
  <si>
    <t xml:space="preserve">  -2.91㈡</t>
  </si>
  <si>
    <t>科创新源</t>
  </si>
  <si>
    <t xml:space="preserve">         42.03亿</t>
  </si>
  <si>
    <t>34.80万</t>
  </si>
  <si>
    <t>设研院</t>
  </si>
  <si>
    <t xml:space="preserve">         16.99亿</t>
  </si>
  <si>
    <t>10.62万</t>
  </si>
  <si>
    <t>西菱动力</t>
  </si>
  <si>
    <t xml:space="preserve">         14.27亿</t>
  </si>
  <si>
    <t>13.88万</t>
  </si>
  <si>
    <t xml:space="preserve">   2.44㈡</t>
  </si>
  <si>
    <t>光弘科技</t>
  </si>
  <si>
    <t xml:space="preserve">         98.30亿</t>
  </si>
  <si>
    <t xml:space="preserve">        101.48亿</t>
  </si>
  <si>
    <t>11.95万</t>
  </si>
  <si>
    <t>百邦科技</t>
  </si>
  <si>
    <t xml:space="preserve">          5.94亿</t>
  </si>
  <si>
    <t xml:space="preserve">         15.09亿</t>
  </si>
  <si>
    <t>科顺股份</t>
  </si>
  <si>
    <t xml:space="preserve">         89.48亿</t>
  </si>
  <si>
    <t xml:space="preserve">        135.75亿</t>
  </si>
  <si>
    <t xml:space="preserve">        183.91亿</t>
  </si>
  <si>
    <t>23.76万</t>
  </si>
  <si>
    <t xml:space="preserve">   9.79㈡</t>
  </si>
  <si>
    <t>奥飞数据</t>
  </si>
  <si>
    <t xml:space="preserve">         39.86亿</t>
  </si>
  <si>
    <t xml:space="preserve">         71.35亿</t>
  </si>
  <si>
    <t xml:space="preserve">   5.44㈡</t>
  </si>
  <si>
    <t>明阳电路</t>
  </si>
  <si>
    <t xml:space="preserve">         46.35亿</t>
  </si>
  <si>
    <t xml:space="preserve">         47.40亿</t>
  </si>
  <si>
    <t>8.57万</t>
  </si>
  <si>
    <t>水羊股份</t>
  </si>
  <si>
    <t xml:space="preserve">         39.30亿</t>
  </si>
  <si>
    <t xml:space="preserve">         65.30亿</t>
  </si>
  <si>
    <t xml:space="preserve">         71.20亿</t>
  </si>
  <si>
    <t>19.13万</t>
  </si>
  <si>
    <t xml:space="preserve">   6.07㈡</t>
  </si>
  <si>
    <t>华宝股份</t>
  </si>
  <si>
    <t xml:space="preserve">         51.92亿</t>
  </si>
  <si>
    <t xml:space="preserve">        274.74亿</t>
  </si>
  <si>
    <t>37.40万</t>
  </si>
  <si>
    <t>0.860㈡</t>
  </si>
  <si>
    <t xml:space="preserve">   7.30㈡</t>
  </si>
  <si>
    <t>越博动力</t>
  </si>
  <si>
    <t xml:space="preserve">         11.87亿</t>
  </si>
  <si>
    <t>9.44万</t>
  </si>
  <si>
    <t>天地数码</t>
  </si>
  <si>
    <t xml:space="preserve">          7.72亿</t>
  </si>
  <si>
    <t xml:space="preserve">         11.50亿</t>
  </si>
  <si>
    <t xml:space="preserve">         16.22亿</t>
  </si>
  <si>
    <t>欣锐科技</t>
  </si>
  <si>
    <t>20.66万</t>
  </si>
  <si>
    <t>汉嘉设计</t>
  </si>
  <si>
    <t xml:space="preserve">         13.73亿</t>
  </si>
  <si>
    <t xml:space="preserve">         38.86亿</t>
  </si>
  <si>
    <t>锐科激光</t>
  </si>
  <si>
    <t xml:space="preserve">        116.12亿</t>
  </si>
  <si>
    <t xml:space="preserve">        224.07亿</t>
  </si>
  <si>
    <t xml:space="preserve">        257.39亿</t>
  </si>
  <si>
    <t>57.65万</t>
  </si>
  <si>
    <t>0.603㈡</t>
  </si>
  <si>
    <t xml:space="preserve">   9.31㈡</t>
  </si>
  <si>
    <t>金力永磁</t>
  </si>
  <si>
    <t xml:space="preserve">        112.56亿</t>
  </si>
  <si>
    <t xml:space="preserve">        162.45亿</t>
  </si>
  <si>
    <t xml:space="preserve">        251.62亿</t>
  </si>
  <si>
    <t>23.23万</t>
  </si>
  <si>
    <t>顶固集创</t>
  </si>
  <si>
    <t xml:space="preserve">          7.96亿</t>
  </si>
  <si>
    <t xml:space="preserve">         18.28亿</t>
  </si>
  <si>
    <t>宁德时代</t>
  </si>
  <si>
    <t xml:space="preserve">       6150.97亿</t>
  </si>
  <si>
    <t xml:space="preserve">      10108.11亿</t>
  </si>
  <si>
    <t xml:space="preserve">      11598.46亿</t>
  </si>
  <si>
    <t>454.96万</t>
  </si>
  <si>
    <t>1.940㈡</t>
  </si>
  <si>
    <t>迈为股份</t>
  </si>
  <si>
    <t xml:space="preserve">        254.18亿</t>
  </si>
  <si>
    <t xml:space="preserve">        321.15亿</t>
  </si>
  <si>
    <t xml:space="preserve">        631.02亿</t>
  </si>
  <si>
    <t>193.38万</t>
  </si>
  <si>
    <t>2.470㈡</t>
  </si>
  <si>
    <t xml:space="preserve">   9.86㈡</t>
  </si>
  <si>
    <t>隆利科技</t>
  </si>
  <si>
    <t xml:space="preserve">         42.69亿</t>
  </si>
  <si>
    <t>9.22万</t>
  </si>
  <si>
    <t>-0.460㈡</t>
  </si>
  <si>
    <t xml:space="preserve"> -11.02㈡</t>
  </si>
  <si>
    <t>爱朋医疗</t>
  </si>
  <si>
    <t xml:space="preserve">         11.65亿</t>
  </si>
  <si>
    <t>10.61万</t>
  </si>
  <si>
    <t>0.295㈡</t>
  </si>
  <si>
    <t>华致酒行</t>
  </si>
  <si>
    <t xml:space="preserve">         35.49亿</t>
  </si>
  <si>
    <t xml:space="preserve">        123.66亿</t>
  </si>
  <si>
    <t>24.63万</t>
  </si>
  <si>
    <t xml:space="preserve">  11.81㈡</t>
  </si>
  <si>
    <t>金马游乐</t>
  </si>
  <si>
    <t>罗博特科</t>
  </si>
  <si>
    <t xml:space="preserve">         17.77亿</t>
  </si>
  <si>
    <t>35.83万</t>
  </si>
  <si>
    <t>七彩化学</t>
  </si>
  <si>
    <t xml:space="preserve">         35.52亿</t>
  </si>
  <si>
    <t xml:space="preserve">         71.41亿</t>
  </si>
  <si>
    <t>23.09万</t>
  </si>
  <si>
    <t>康龙化成</t>
  </si>
  <si>
    <t xml:space="preserve">        488.80亿</t>
  </si>
  <si>
    <t xml:space="preserve">        597.96亿</t>
  </si>
  <si>
    <t xml:space="preserve">       1386.78亿</t>
  </si>
  <si>
    <t>177.81万</t>
  </si>
  <si>
    <t>迈瑞医疗</t>
  </si>
  <si>
    <t xml:space="preserve">       1377.63亿</t>
  </si>
  <si>
    <t xml:space="preserve">       1667.16亿</t>
  </si>
  <si>
    <t xml:space="preserve">       4060.53亿</t>
  </si>
  <si>
    <t>211.93万</t>
  </si>
  <si>
    <t>3.574㈡</t>
  </si>
  <si>
    <t xml:space="preserve">  17.69㈡</t>
  </si>
  <si>
    <t>立华股份</t>
  </si>
  <si>
    <t xml:space="preserve">         33.32亿</t>
  </si>
  <si>
    <t>21.20万</t>
  </si>
  <si>
    <t>-0.694㈡</t>
  </si>
  <si>
    <t xml:space="preserve">  -4.42㈡</t>
  </si>
  <si>
    <t>上海瀚讯</t>
  </si>
  <si>
    <t xml:space="preserve">         47.43亿</t>
  </si>
  <si>
    <t xml:space="preserve">        107.55亿</t>
  </si>
  <si>
    <t>22.52万</t>
  </si>
  <si>
    <t>锦浪科技</t>
  </si>
  <si>
    <t xml:space="preserve">        213.63亿</t>
  </si>
  <si>
    <t xml:space="preserve">        492.68亿</t>
  </si>
  <si>
    <t>102.62万</t>
  </si>
  <si>
    <t xml:space="preserve">  11.29㈡</t>
  </si>
  <si>
    <t>新诺威</t>
  </si>
  <si>
    <t xml:space="preserve">         67.81亿</t>
  </si>
  <si>
    <t>每日互动</t>
  </si>
  <si>
    <t xml:space="preserve">         42.37亿</t>
  </si>
  <si>
    <t xml:space="preserve">         54.77亿</t>
  </si>
  <si>
    <t>震安科技</t>
  </si>
  <si>
    <t xml:space="preserve">        115.32亿</t>
  </si>
  <si>
    <t xml:space="preserve">        197.51亿</t>
  </si>
  <si>
    <t>92.44万</t>
  </si>
  <si>
    <t>0.324㈡</t>
  </si>
  <si>
    <t xml:space="preserve">   5.27㈡</t>
  </si>
  <si>
    <t>迪普科技</t>
  </si>
  <si>
    <t xml:space="preserve">         37.25亿</t>
  </si>
  <si>
    <t xml:space="preserve">         59.57亿</t>
  </si>
  <si>
    <t xml:space="preserve">        170.48亿</t>
  </si>
  <si>
    <t>33.47万</t>
  </si>
  <si>
    <t>德方纳米</t>
  </si>
  <si>
    <t xml:space="preserve">        269.55亿</t>
  </si>
  <si>
    <t xml:space="preserve">        441.67亿</t>
  </si>
  <si>
    <t>251.26万</t>
  </si>
  <si>
    <t>1.520㈡</t>
  </si>
  <si>
    <t>新媒股份</t>
  </si>
  <si>
    <t xml:space="preserve">         53.64亿</t>
  </si>
  <si>
    <t xml:space="preserve">         69.63亿</t>
  </si>
  <si>
    <t xml:space="preserve">        113.68亿</t>
  </si>
  <si>
    <t>18.58万</t>
  </si>
  <si>
    <t xml:space="preserve">  13.11㈡</t>
  </si>
  <si>
    <t>智莱科技</t>
  </si>
  <si>
    <t xml:space="preserve">         13.84亿</t>
  </si>
  <si>
    <t xml:space="preserve">         29.09亿</t>
  </si>
  <si>
    <t>运达股份</t>
  </si>
  <si>
    <t xml:space="preserve">         91.35亿</t>
  </si>
  <si>
    <t>66.83万</t>
  </si>
  <si>
    <t xml:space="preserve">   6.66㈡</t>
  </si>
  <si>
    <t>拉卡拉</t>
  </si>
  <si>
    <t xml:space="preserve">         96.51亿</t>
  </si>
  <si>
    <t xml:space="preserve">        201.45亿</t>
  </si>
  <si>
    <t>15.95万</t>
  </si>
  <si>
    <t xml:space="preserve">  12.94㈡</t>
  </si>
  <si>
    <t>倍杰特</t>
  </si>
  <si>
    <t xml:space="preserve">          6.45亿</t>
  </si>
  <si>
    <t xml:space="preserve">         68.67亿</t>
  </si>
  <si>
    <t>1.68万</t>
  </si>
  <si>
    <t>三角防务</t>
  </si>
  <si>
    <t xml:space="preserve">        116.45亿</t>
  </si>
  <si>
    <t xml:space="preserve">        218.57亿</t>
  </si>
  <si>
    <t>48.18万</t>
  </si>
  <si>
    <t>帝尔激光</t>
  </si>
  <si>
    <t xml:space="preserve">         68.55亿</t>
  </si>
  <si>
    <t xml:space="preserve">         71.50亿</t>
  </si>
  <si>
    <t xml:space="preserve">        160.82亿</t>
  </si>
  <si>
    <t>90.83万</t>
  </si>
  <si>
    <t>1.680㈡</t>
  </si>
  <si>
    <t xml:space="preserve">   9.33㈡</t>
  </si>
  <si>
    <t>中简科技</t>
  </si>
  <si>
    <t xml:space="preserve">        120.72亿</t>
  </si>
  <si>
    <t xml:space="preserve">        131.10亿</t>
  </si>
  <si>
    <t xml:space="preserve">        199.97亿</t>
  </si>
  <si>
    <t>45.47万</t>
  </si>
  <si>
    <t>新城市</t>
  </si>
  <si>
    <t xml:space="preserve">          6.93亿</t>
  </si>
  <si>
    <t>0.327㈡</t>
  </si>
  <si>
    <t>惠城环保</t>
  </si>
  <si>
    <t xml:space="preserve">         11.25亿</t>
  </si>
  <si>
    <t xml:space="preserve">         19.49亿</t>
  </si>
  <si>
    <t xml:space="preserve">   0.83㈡</t>
  </si>
  <si>
    <t>德恩精工</t>
  </si>
  <si>
    <t>7.87万</t>
  </si>
  <si>
    <t>因赛集团</t>
  </si>
  <si>
    <t xml:space="preserve">         23.16亿</t>
  </si>
  <si>
    <t>0.289㈡</t>
  </si>
  <si>
    <t>卓胜微</t>
  </si>
  <si>
    <t xml:space="preserve">        654.94亿</t>
  </si>
  <si>
    <t xml:space="preserve">        669.24亿</t>
  </si>
  <si>
    <t xml:space="preserve">       1112.46亿</t>
  </si>
  <si>
    <t>102.35万</t>
  </si>
  <si>
    <t>3.060㈡</t>
  </si>
  <si>
    <t xml:space="preserve">  15.72㈡</t>
  </si>
  <si>
    <t>三只松鼠</t>
  </si>
  <si>
    <t xml:space="preserve">         84.66亿</t>
  </si>
  <si>
    <t>值得买</t>
  </si>
  <si>
    <t xml:space="preserve">         25.52亿</t>
  </si>
  <si>
    <t xml:space="preserve">         72.39亿</t>
  </si>
  <si>
    <t>25.52万</t>
  </si>
  <si>
    <t>国林科技</t>
  </si>
  <si>
    <t xml:space="preserve">         16.81亿</t>
  </si>
  <si>
    <t xml:space="preserve">         36.13亿</t>
  </si>
  <si>
    <t>16.80万</t>
  </si>
  <si>
    <t xml:space="preserve">   4.09㈡</t>
  </si>
  <si>
    <t>海能实业</t>
  </si>
  <si>
    <t>0.335㈡</t>
  </si>
  <si>
    <t>中信出版</t>
  </si>
  <si>
    <t xml:space="preserve">         16.72亿</t>
  </si>
  <si>
    <t xml:space="preserve">         63.09亿</t>
  </si>
  <si>
    <t>21.16万</t>
  </si>
  <si>
    <t>唐源电气</t>
  </si>
  <si>
    <t xml:space="preserve">         19.04亿</t>
  </si>
  <si>
    <t>宇瞳光学</t>
  </si>
  <si>
    <t xml:space="preserve">         39.97亿</t>
  </si>
  <si>
    <t xml:space="preserve">         81.07亿</t>
  </si>
  <si>
    <t>39.69万</t>
  </si>
  <si>
    <t xml:space="preserve">   9.12㈡</t>
  </si>
  <si>
    <t>仙乐健康</t>
  </si>
  <si>
    <t xml:space="preserve">         23.43亿</t>
  </si>
  <si>
    <t xml:space="preserve">         79.33亿</t>
  </si>
  <si>
    <t>28.26万</t>
  </si>
  <si>
    <t>壹网壹创</t>
  </si>
  <si>
    <t xml:space="preserve">         46.45亿</t>
  </si>
  <si>
    <t xml:space="preserve">        134.39亿</t>
  </si>
  <si>
    <t>22.13万</t>
  </si>
  <si>
    <t xml:space="preserve">   8.09㈡</t>
  </si>
  <si>
    <t>佳禾智能</t>
  </si>
  <si>
    <t xml:space="preserve">         45.23亿</t>
  </si>
  <si>
    <t xml:space="preserve">   3.04㈡</t>
  </si>
  <si>
    <t>贝斯美</t>
  </si>
  <si>
    <t xml:space="preserve">          9.33亿</t>
  </si>
  <si>
    <t>钢研纳克</t>
  </si>
  <si>
    <t xml:space="preserve">         12.30亿</t>
  </si>
  <si>
    <t xml:space="preserve">         39.99亿</t>
  </si>
  <si>
    <t>0.158㈡</t>
  </si>
  <si>
    <t>锦鸡股份</t>
  </si>
  <si>
    <t xml:space="preserve">          7.52亿</t>
  </si>
  <si>
    <t xml:space="preserve">         24.34亿</t>
  </si>
  <si>
    <t>左江科技</t>
  </si>
  <si>
    <t xml:space="preserve">         50.77亿</t>
  </si>
  <si>
    <t>0.172㈡</t>
  </si>
  <si>
    <t>力合科技</t>
  </si>
  <si>
    <t xml:space="preserve">         53.00亿</t>
  </si>
  <si>
    <t>12.24万</t>
  </si>
  <si>
    <t>泰和科技</t>
  </si>
  <si>
    <t xml:space="preserve">         16.15亿</t>
  </si>
  <si>
    <t>0.329㈡</t>
  </si>
  <si>
    <t>矩子科技</t>
  </si>
  <si>
    <t xml:space="preserve">         69.20亿</t>
  </si>
  <si>
    <t>指南针</t>
  </si>
  <si>
    <t xml:space="preserve">         90.18亿</t>
  </si>
  <si>
    <t xml:space="preserve">        165.56亿</t>
  </si>
  <si>
    <t xml:space="preserve">  10.45㈡</t>
  </si>
  <si>
    <t>电声股份</t>
  </si>
  <si>
    <t xml:space="preserve">         14.92亿</t>
  </si>
  <si>
    <t>斯迪克</t>
  </si>
  <si>
    <t xml:space="preserve">         61.27亿</t>
  </si>
  <si>
    <t xml:space="preserve">         67.59亿</t>
  </si>
  <si>
    <t xml:space="preserve">        123.24亿</t>
  </si>
  <si>
    <t>76.33万</t>
  </si>
  <si>
    <t>天迈科技</t>
  </si>
  <si>
    <t xml:space="preserve">         16.27亿</t>
  </si>
  <si>
    <t xml:space="preserve">  -4.39㈡</t>
  </si>
  <si>
    <t>久量股份</t>
  </si>
  <si>
    <t xml:space="preserve">          7.43亿</t>
  </si>
  <si>
    <t xml:space="preserve">         23.95亿</t>
  </si>
  <si>
    <t>4.54万</t>
  </si>
  <si>
    <t>华辰装备</t>
  </si>
  <si>
    <t xml:space="preserve">         94.59亿</t>
  </si>
  <si>
    <t>19.10万</t>
  </si>
  <si>
    <t>中科海讯</t>
  </si>
  <si>
    <t xml:space="preserve">         19.96亿</t>
  </si>
  <si>
    <t xml:space="preserve">         30.17亿</t>
  </si>
  <si>
    <t>0.128㈡</t>
  </si>
  <si>
    <t>铂科新材</t>
  </si>
  <si>
    <t xml:space="preserve">         40.89亿</t>
  </si>
  <si>
    <t>35.10万</t>
  </si>
  <si>
    <t>易天股份</t>
  </si>
  <si>
    <t xml:space="preserve">         11.22亿</t>
  </si>
  <si>
    <t xml:space="preserve">         12.85亿</t>
  </si>
  <si>
    <t xml:space="preserve">         29.61亿</t>
  </si>
  <si>
    <t>泰林生物</t>
  </si>
  <si>
    <t xml:space="preserve">         12.48亿</t>
  </si>
  <si>
    <t>14.92万</t>
  </si>
  <si>
    <t>中富电路</t>
  </si>
  <si>
    <t xml:space="preserve">         42.67亿</t>
  </si>
  <si>
    <t>3.14万</t>
  </si>
  <si>
    <t>玉禾田</t>
  </si>
  <si>
    <t xml:space="preserve">        101.95亿</t>
  </si>
  <si>
    <t>12.74万</t>
  </si>
  <si>
    <t xml:space="preserve">  11.58㈡</t>
  </si>
  <si>
    <t>艾可蓝</t>
  </si>
  <si>
    <t xml:space="preserve">         44.66亿</t>
  </si>
  <si>
    <t>32.62万</t>
  </si>
  <si>
    <t>双飞股份</t>
  </si>
  <si>
    <t xml:space="preserve">          9.08亿</t>
  </si>
  <si>
    <t xml:space="preserve">          9.46亿</t>
  </si>
  <si>
    <t>耐普矿机</t>
  </si>
  <si>
    <t xml:space="preserve">          9.60亿</t>
  </si>
  <si>
    <t xml:space="preserve">         24.47亿</t>
  </si>
  <si>
    <t>聚杰微纤</t>
  </si>
  <si>
    <t xml:space="preserve">          7.68亿</t>
  </si>
  <si>
    <t>英杰电气</t>
  </si>
  <si>
    <t xml:space="preserve">         20.91亿</t>
  </si>
  <si>
    <t>东岳硅材</t>
  </si>
  <si>
    <t xml:space="preserve">         75.87亿</t>
  </si>
  <si>
    <t xml:space="preserve">        105.46亿</t>
  </si>
  <si>
    <t xml:space="preserve">        303.48亿</t>
  </si>
  <si>
    <t>贝仕达克</t>
  </si>
  <si>
    <t xml:space="preserve">         10.53亿</t>
  </si>
  <si>
    <t xml:space="preserve">         40.61亿</t>
  </si>
  <si>
    <t>7.63万</t>
  </si>
  <si>
    <t>0.538㈡</t>
  </si>
  <si>
    <t xml:space="preserve">   7.34㈡</t>
  </si>
  <si>
    <t>建科机械</t>
  </si>
  <si>
    <t>北鼎股份</t>
  </si>
  <si>
    <t xml:space="preserve">         14.66亿</t>
  </si>
  <si>
    <t>阿尔特</t>
  </si>
  <si>
    <t xml:space="preserve">         72.89亿</t>
  </si>
  <si>
    <t xml:space="preserve">         87.34亿</t>
  </si>
  <si>
    <t xml:space="preserve">        109.12亿</t>
  </si>
  <si>
    <t>0.339㈡</t>
  </si>
  <si>
    <t>测绘股份</t>
  </si>
  <si>
    <t xml:space="preserve">          9.73亿</t>
  </si>
  <si>
    <t xml:space="preserve">         21.44亿</t>
  </si>
  <si>
    <t>8.41万</t>
  </si>
  <si>
    <t>上能电气</t>
  </si>
  <si>
    <t xml:space="preserve">         60.94亿</t>
  </si>
  <si>
    <t>18.26万</t>
  </si>
  <si>
    <t>锐新科技</t>
  </si>
  <si>
    <t xml:space="preserve">   4.26㈡</t>
  </si>
  <si>
    <t>金丹科技</t>
  </si>
  <si>
    <t xml:space="preserve">         40.36亿</t>
  </si>
  <si>
    <t xml:space="preserve">         93.31亿</t>
  </si>
  <si>
    <t>27.80万</t>
  </si>
  <si>
    <t>金现代</t>
  </si>
  <si>
    <t xml:space="preserve">   1.50㈡</t>
  </si>
  <si>
    <t>派瑞股份</t>
  </si>
  <si>
    <t xml:space="preserve">         50.02亿</t>
  </si>
  <si>
    <t>新产业</t>
  </si>
  <si>
    <t xml:space="preserve">        122.00亿</t>
  </si>
  <si>
    <t xml:space="preserve">        353.45亿</t>
  </si>
  <si>
    <t>48.99万</t>
  </si>
  <si>
    <t>浩洋股份</t>
  </si>
  <si>
    <t xml:space="preserve">         52.03亿</t>
  </si>
  <si>
    <t>0.405㈡</t>
  </si>
  <si>
    <t>龙磁科技</t>
  </si>
  <si>
    <t xml:space="preserve">         19.88亿</t>
  </si>
  <si>
    <t>12.77万</t>
  </si>
  <si>
    <t>佰奥智能</t>
  </si>
  <si>
    <t>浙矿股份</t>
  </si>
  <si>
    <t xml:space="preserve">         10.95亿</t>
  </si>
  <si>
    <t>浙江力诺</t>
  </si>
  <si>
    <t>博汇股份</t>
  </si>
  <si>
    <t xml:space="preserve">         13.05亿</t>
  </si>
  <si>
    <t>11.32万</t>
  </si>
  <si>
    <t>酷特智能</t>
  </si>
  <si>
    <t xml:space="preserve">         10.88亿</t>
  </si>
  <si>
    <t>康华生物</t>
  </si>
  <si>
    <t xml:space="preserve">         44.26亿</t>
  </si>
  <si>
    <t xml:space="preserve">        108.70亿</t>
  </si>
  <si>
    <t xml:space="preserve">        154.98亿</t>
  </si>
  <si>
    <t>22.28万</t>
  </si>
  <si>
    <t>3.880㈡</t>
  </si>
  <si>
    <t xml:space="preserve">  11.78㈡</t>
  </si>
  <si>
    <t>帝科股份</t>
  </si>
  <si>
    <t xml:space="preserve">         64.22亿</t>
  </si>
  <si>
    <t xml:space="preserve">         92.39亿</t>
  </si>
  <si>
    <t>23.57万</t>
  </si>
  <si>
    <t>胜蓝股份</t>
  </si>
  <si>
    <t xml:space="preserve">          9.70亿</t>
  </si>
  <si>
    <t xml:space="preserve">         38.79亿</t>
  </si>
  <si>
    <t>山水比德</t>
  </si>
  <si>
    <t xml:space="preserve">         26.71亿</t>
  </si>
  <si>
    <t>3.31万</t>
  </si>
  <si>
    <t>1.153㈡</t>
  </si>
  <si>
    <t xml:space="preserve">  17.20㈡</t>
  </si>
  <si>
    <t>捷安高科</t>
  </si>
  <si>
    <t>首都在线</t>
  </si>
  <si>
    <t xml:space="preserve">         27.18亿</t>
  </si>
  <si>
    <t xml:space="preserve">         52.77亿</t>
  </si>
  <si>
    <t>12.71万</t>
  </si>
  <si>
    <t>中船汉光</t>
  </si>
  <si>
    <t xml:space="preserve">         47.12亿</t>
  </si>
  <si>
    <t>美瑞新材</t>
  </si>
  <si>
    <t>8.30万</t>
  </si>
  <si>
    <t>锦盛新材</t>
  </si>
  <si>
    <t xml:space="preserve">          6.53亿</t>
  </si>
  <si>
    <t xml:space="preserve">         11.88亿</t>
  </si>
  <si>
    <t>新强联</t>
  </si>
  <si>
    <t xml:space="preserve">        141.09亿</t>
  </si>
  <si>
    <t xml:space="preserve">        196.88亿</t>
  </si>
  <si>
    <t xml:space="preserve">        368.52亿</t>
  </si>
  <si>
    <t>129.48万</t>
  </si>
  <si>
    <t xml:space="preserve">  10.65㈡</t>
  </si>
  <si>
    <t>交大思诺</t>
  </si>
  <si>
    <t xml:space="preserve">         14.10亿</t>
  </si>
  <si>
    <t>四会富仕</t>
  </si>
  <si>
    <t xml:space="preserve">         47.91亿</t>
  </si>
  <si>
    <t>0.819㈡</t>
  </si>
  <si>
    <t xml:space="preserve">   8.89㈡</t>
  </si>
  <si>
    <t>申昊科技</t>
  </si>
  <si>
    <t xml:space="preserve">         26.36亿</t>
  </si>
  <si>
    <t xml:space="preserve">         53.78亿</t>
  </si>
  <si>
    <t>22.00万</t>
  </si>
  <si>
    <t>N中兰</t>
  </si>
  <si>
    <t xml:space="preserve">          8.49亿</t>
  </si>
  <si>
    <t>2.63万</t>
  </si>
  <si>
    <t>0.325㈡</t>
  </si>
  <si>
    <t>图南股份</t>
  </si>
  <si>
    <t xml:space="preserve">         44.79亿</t>
  </si>
  <si>
    <t xml:space="preserve">         57.48亿</t>
  </si>
  <si>
    <t xml:space="preserve">        104.06亿</t>
  </si>
  <si>
    <t>30.26万</t>
  </si>
  <si>
    <t>科思股份</t>
  </si>
  <si>
    <t xml:space="preserve">         17.05亿</t>
  </si>
  <si>
    <t xml:space="preserve">         49.57亿</t>
  </si>
  <si>
    <t>9.11万</t>
  </si>
  <si>
    <t>0.766㈡</t>
  </si>
  <si>
    <t>协创数据</t>
  </si>
  <si>
    <t xml:space="preserve">         14.18亿</t>
  </si>
  <si>
    <t xml:space="preserve">         34.68亿</t>
  </si>
  <si>
    <t xml:space="preserve">         50.54亿</t>
  </si>
  <si>
    <t>科拓生物</t>
  </si>
  <si>
    <t xml:space="preserve">         12.17亿</t>
  </si>
  <si>
    <t xml:space="preserve">         15.06亿</t>
  </si>
  <si>
    <t xml:space="preserve">         42.12亿</t>
  </si>
  <si>
    <t>13.01万</t>
  </si>
  <si>
    <t>锋尚文化</t>
  </si>
  <si>
    <t xml:space="preserve">         16.94亿</t>
  </si>
  <si>
    <t>美畅股份</t>
  </si>
  <si>
    <t xml:space="preserve">         80.18亿</t>
  </si>
  <si>
    <t xml:space="preserve">        133.09亿</t>
  </si>
  <si>
    <t xml:space="preserve">        303.25亿</t>
  </si>
  <si>
    <t>79.63万</t>
  </si>
  <si>
    <t>蓝盾光电</t>
  </si>
  <si>
    <t xml:space="preserve">         22.94亿</t>
  </si>
  <si>
    <t xml:space="preserve">         28.66亿</t>
  </si>
  <si>
    <t xml:space="preserve">         44.02亿</t>
  </si>
  <si>
    <t>卡倍亿</t>
  </si>
  <si>
    <t xml:space="preserve">         11.53亿</t>
  </si>
  <si>
    <t>南大环境</t>
  </si>
  <si>
    <t xml:space="preserve">         11.06亿</t>
  </si>
  <si>
    <t>大宏立</t>
  </si>
  <si>
    <t xml:space="preserve">          7.70亿</t>
  </si>
  <si>
    <t>0.396㈡</t>
  </si>
  <si>
    <t>安克创新</t>
  </si>
  <si>
    <t xml:space="preserve">        100.06亿</t>
  </si>
  <si>
    <t xml:space="preserve">        146.38亿</t>
  </si>
  <si>
    <t xml:space="preserve">        394.15亿</t>
  </si>
  <si>
    <t>90.52万</t>
  </si>
  <si>
    <t>1.000㈡</t>
  </si>
  <si>
    <t>圣元环保</t>
  </si>
  <si>
    <t xml:space="preserve">         46.03亿</t>
  </si>
  <si>
    <t xml:space="preserve">         80.90亿</t>
  </si>
  <si>
    <t>1.331㈡</t>
  </si>
  <si>
    <t xml:space="preserve">  11.74㈡</t>
  </si>
  <si>
    <t>杰美特</t>
  </si>
  <si>
    <t xml:space="preserve">         12.41亿</t>
  </si>
  <si>
    <t>6.45万</t>
  </si>
  <si>
    <t>康泰医学</t>
  </si>
  <si>
    <t xml:space="preserve">         48.18亿</t>
  </si>
  <si>
    <t xml:space="preserve">        150.19亿</t>
  </si>
  <si>
    <t>欧陆通</t>
  </si>
  <si>
    <t xml:space="preserve">         63.98亿</t>
  </si>
  <si>
    <t>20.60万</t>
  </si>
  <si>
    <t>回盛生物</t>
  </si>
  <si>
    <t xml:space="preserve">         26.22亿</t>
  </si>
  <si>
    <t xml:space="preserve">         55.36亿</t>
  </si>
  <si>
    <t>13.81万</t>
  </si>
  <si>
    <t xml:space="preserve">   7.06㈡</t>
  </si>
  <si>
    <t>天阳科技</t>
  </si>
  <si>
    <t xml:space="preserve">         44.63亿</t>
  </si>
  <si>
    <t>海晨股份</t>
  </si>
  <si>
    <t xml:space="preserve">         60.96亿</t>
  </si>
  <si>
    <t>1.245㈡</t>
  </si>
  <si>
    <t>捷强装备</t>
  </si>
  <si>
    <t xml:space="preserve">         21.81亿</t>
  </si>
  <si>
    <t>蒙泰高新</t>
  </si>
  <si>
    <t xml:space="preserve">         32.06亿</t>
  </si>
  <si>
    <t>金春股份</t>
  </si>
  <si>
    <t xml:space="preserve">         14.40亿</t>
  </si>
  <si>
    <t>维康药业</t>
  </si>
  <si>
    <t>大叶股份</t>
  </si>
  <si>
    <t xml:space="preserve">         11.42亿</t>
  </si>
  <si>
    <t xml:space="preserve">         33.22亿</t>
  </si>
  <si>
    <t>6.00万</t>
  </si>
  <si>
    <t>迦南智能</t>
  </si>
  <si>
    <t xml:space="preserve">         11.41亿</t>
  </si>
  <si>
    <t xml:space="preserve">         15.36亿</t>
  </si>
  <si>
    <t>0.305㈡</t>
  </si>
  <si>
    <t>盛德鑫泰</t>
  </si>
  <si>
    <t xml:space="preserve">          8.15亿</t>
  </si>
  <si>
    <t>万胜智能</t>
  </si>
  <si>
    <t xml:space="preserve">         10.60亿</t>
  </si>
  <si>
    <t>龙利得</t>
  </si>
  <si>
    <t xml:space="preserve">         30.59亿</t>
  </si>
  <si>
    <t>狄耐克</t>
  </si>
  <si>
    <t xml:space="preserve">         40.54亿</t>
  </si>
  <si>
    <t>海昌新材</t>
  </si>
  <si>
    <t xml:space="preserve">          7.74亿</t>
  </si>
  <si>
    <t>华业香料</t>
  </si>
  <si>
    <t xml:space="preserve">         13.94亿</t>
  </si>
  <si>
    <t xml:space="preserve">         21.07亿</t>
  </si>
  <si>
    <t>0.191㈡</t>
  </si>
  <si>
    <t>谱尼测试</t>
  </si>
  <si>
    <t xml:space="preserve">         91.75亿</t>
  </si>
  <si>
    <t>稳健医疗</t>
  </si>
  <si>
    <t xml:space="preserve">         37.51亿</t>
  </si>
  <si>
    <t xml:space="preserve">        336.55亿</t>
  </si>
  <si>
    <t>11.19万</t>
  </si>
  <si>
    <t>1.784㈡</t>
  </si>
  <si>
    <t>爱克股份</t>
  </si>
  <si>
    <t xml:space="preserve">          8.41亿</t>
  </si>
  <si>
    <t xml:space="preserve">         33.63亿</t>
  </si>
  <si>
    <t>翔丰华</t>
  </si>
  <si>
    <t xml:space="preserve">         13.82亿</t>
  </si>
  <si>
    <t xml:space="preserve">         55.27亿</t>
  </si>
  <si>
    <t>0.427㈡</t>
  </si>
  <si>
    <t>惠云钛业</t>
  </si>
  <si>
    <t xml:space="preserve">   8.90㈡</t>
  </si>
  <si>
    <t>品渥食品</t>
  </si>
  <si>
    <t xml:space="preserve">   4.03㈡</t>
  </si>
  <si>
    <t>松原股份</t>
  </si>
  <si>
    <t xml:space="preserve">          8.06亿</t>
  </si>
  <si>
    <t xml:space="preserve">         32.24亿</t>
  </si>
  <si>
    <t>火星人</t>
  </si>
  <si>
    <t xml:space="preserve">        184.64亿</t>
  </si>
  <si>
    <t>15.00万</t>
  </si>
  <si>
    <t xml:space="preserve">  11.22㈡</t>
  </si>
  <si>
    <t>铜牛信息</t>
  </si>
  <si>
    <t xml:space="preserve">   2.55㈡</t>
  </si>
  <si>
    <t>爱美客</t>
  </si>
  <si>
    <t xml:space="preserve">        266.01亿</t>
  </si>
  <si>
    <t xml:space="preserve">       1165.57亿</t>
  </si>
  <si>
    <t>55.45万</t>
  </si>
  <si>
    <t>1.970㈡</t>
  </si>
  <si>
    <t>山科智能</t>
  </si>
  <si>
    <t xml:space="preserve">          5.70亿</t>
  </si>
  <si>
    <t>熊猫乳品</t>
  </si>
  <si>
    <t xml:space="preserve">         40.30亿</t>
  </si>
  <si>
    <t>0.293㈡</t>
  </si>
  <si>
    <t>上海凯鑫</t>
  </si>
  <si>
    <t xml:space="preserve">          6.01亿</t>
  </si>
  <si>
    <t>广联航空</t>
  </si>
  <si>
    <t>中胤时尚</t>
  </si>
  <si>
    <t xml:space="preserve">         32.23亿</t>
  </si>
  <si>
    <t>国安达</t>
  </si>
  <si>
    <t>科翔股份</t>
  </si>
  <si>
    <t xml:space="preserve">         12.99亿</t>
  </si>
  <si>
    <t xml:space="preserve">         51.93亿</t>
  </si>
  <si>
    <t>0.284㈡</t>
  </si>
  <si>
    <t>宝丽迪</t>
  </si>
  <si>
    <t xml:space="preserve">         44.18亿</t>
  </si>
  <si>
    <t>7.08万</t>
  </si>
  <si>
    <t>日月明</t>
  </si>
  <si>
    <t xml:space="preserve">          6.80亿</t>
  </si>
  <si>
    <t>康平科技</t>
  </si>
  <si>
    <t xml:space="preserve">          6.66亿</t>
  </si>
  <si>
    <t>仲景食品</t>
  </si>
  <si>
    <t xml:space="preserve">         54.67亿</t>
  </si>
  <si>
    <t>汇创达</t>
  </si>
  <si>
    <t xml:space="preserve">         44.54亿</t>
  </si>
  <si>
    <t>0.740㈡</t>
  </si>
  <si>
    <t xml:space="preserve">   6.22㈡</t>
  </si>
  <si>
    <t>瑞丰新材</t>
  </si>
  <si>
    <t xml:space="preserve">        118.96亿</t>
  </si>
  <si>
    <t>35.87万</t>
  </si>
  <si>
    <t>亿田智能</t>
  </si>
  <si>
    <t xml:space="preserve">         16.09亿</t>
  </si>
  <si>
    <t xml:space="preserve">         64.37亿</t>
  </si>
  <si>
    <t>23.46万</t>
  </si>
  <si>
    <t>凯龙高科</t>
  </si>
  <si>
    <t xml:space="preserve">          7.58亿</t>
  </si>
  <si>
    <t xml:space="preserve">         30.32亿</t>
  </si>
  <si>
    <t xml:space="preserve">   0.21㈡</t>
  </si>
  <si>
    <t>兆龙互连</t>
  </si>
  <si>
    <t>海融科技</t>
  </si>
  <si>
    <t>9.82万</t>
  </si>
  <si>
    <t>朗特智能</t>
  </si>
  <si>
    <t xml:space="preserve">          9.89亿</t>
  </si>
  <si>
    <t xml:space="preserve">   7.25㈡</t>
  </si>
  <si>
    <t>特发服务</t>
  </si>
  <si>
    <t xml:space="preserve">          7.28亿</t>
  </si>
  <si>
    <t xml:space="preserve">         32.20亿</t>
  </si>
  <si>
    <t xml:space="preserve">   7.00㈡</t>
  </si>
  <si>
    <t>南山智尚</t>
  </si>
  <si>
    <t xml:space="preserve">          8.93亿</t>
  </si>
  <si>
    <t xml:space="preserve">         35.71亿</t>
  </si>
  <si>
    <t>4.12万</t>
  </si>
  <si>
    <t>中伟股份</t>
  </si>
  <si>
    <t xml:space="preserve">         86.04亿</t>
  </si>
  <si>
    <t xml:space="preserve">        974.67亿</t>
  </si>
  <si>
    <t>52.25万</t>
  </si>
  <si>
    <t xml:space="preserve">  11.36㈡</t>
  </si>
  <si>
    <t>润阳科技</t>
  </si>
  <si>
    <t xml:space="preserve">          9.09亿</t>
  </si>
  <si>
    <t>南凌科技</t>
  </si>
  <si>
    <t xml:space="preserve">          7.02亿</t>
  </si>
  <si>
    <t>天秦装备</t>
  </si>
  <si>
    <t xml:space="preserve">         50.22亿</t>
  </si>
  <si>
    <t>8.26万</t>
  </si>
  <si>
    <t>研奥股份</t>
  </si>
  <si>
    <t xml:space="preserve">          6.07亿</t>
  </si>
  <si>
    <t xml:space="preserve">         24.30亿</t>
  </si>
  <si>
    <t xml:space="preserve">   3.58㈡</t>
  </si>
  <si>
    <t>法本信息</t>
  </si>
  <si>
    <t xml:space="preserve">         60.07亿</t>
  </si>
  <si>
    <t>博俊科技</t>
  </si>
  <si>
    <t xml:space="preserve">          8.13亿</t>
  </si>
  <si>
    <t xml:space="preserve">         32.52亿</t>
  </si>
  <si>
    <t>江天化学</t>
  </si>
  <si>
    <t xml:space="preserve">         10.89亿</t>
  </si>
  <si>
    <t>10.91万</t>
  </si>
  <si>
    <t>华安鑫创</t>
  </si>
  <si>
    <t>华骐环保</t>
  </si>
  <si>
    <t xml:space="preserve">          5.48亿</t>
  </si>
  <si>
    <t>屹通新材</t>
  </si>
  <si>
    <t>通用电梯</t>
  </si>
  <si>
    <t xml:space="preserve">         31.15亿</t>
  </si>
  <si>
    <t>三友联众</t>
  </si>
  <si>
    <t xml:space="preserve">         42.29亿</t>
  </si>
  <si>
    <t>中辰股份</t>
  </si>
  <si>
    <t>盈建科</t>
  </si>
  <si>
    <t>7.62万</t>
  </si>
  <si>
    <t>中英科技</t>
  </si>
  <si>
    <t xml:space="preserve">          8.45亿</t>
  </si>
  <si>
    <t>药易购</t>
  </si>
  <si>
    <t>信测标准</t>
  </si>
  <si>
    <t xml:space="preserve">          7.64亿</t>
  </si>
  <si>
    <t xml:space="preserve">         30.56亿</t>
  </si>
  <si>
    <t>秋田微</t>
  </si>
  <si>
    <t xml:space="preserve">         10.25亿</t>
  </si>
  <si>
    <t>南极光</t>
  </si>
  <si>
    <t xml:space="preserve">         11.72亿</t>
  </si>
  <si>
    <t xml:space="preserve">         46.86亿</t>
  </si>
  <si>
    <t>创识科技</t>
  </si>
  <si>
    <t xml:space="preserve">         14.15亿</t>
  </si>
  <si>
    <t xml:space="preserve">         56.59亿</t>
  </si>
  <si>
    <t>7.05万</t>
  </si>
  <si>
    <t>易瑞生物</t>
  </si>
  <si>
    <t xml:space="preserve">         12.22亿</t>
  </si>
  <si>
    <t xml:space="preserve">        119.86亿</t>
  </si>
  <si>
    <t>4.87万</t>
  </si>
  <si>
    <t xml:space="preserve">  18.79㈡</t>
  </si>
  <si>
    <t>春晖智控</t>
  </si>
  <si>
    <t xml:space="preserve">          7.00亿</t>
  </si>
  <si>
    <t xml:space="preserve">         31.08亿</t>
  </si>
  <si>
    <t>曼卡龙</t>
  </si>
  <si>
    <t xml:space="preserve">          8.81亿</t>
  </si>
  <si>
    <t>恒而达</t>
  </si>
  <si>
    <t xml:space="preserve">         16.17亿</t>
  </si>
  <si>
    <t xml:space="preserve">         64.68亿</t>
  </si>
  <si>
    <t>德必集团</t>
  </si>
  <si>
    <t xml:space="preserve">          6.49亿</t>
  </si>
  <si>
    <t xml:space="preserve">         25.97亿</t>
  </si>
  <si>
    <t>冠中生态</t>
  </si>
  <si>
    <t xml:space="preserve">          8.68亿</t>
  </si>
  <si>
    <t xml:space="preserve">         34.72亿</t>
  </si>
  <si>
    <t>奥雅设计</t>
  </si>
  <si>
    <t xml:space="preserve">         27.89亿</t>
  </si>
  <si>
    <t>5.77万</t>
  </si>
  <si>
    <t xml:space="preserve">   1.78㈡</t>
  </si>
  <si>
    <t>德固特</t>
  </si>
  <si>
    <t>博硕科技</t>
  </si>
  <si>
    <t xml:space="preserve">         16.50亿</t>
  </si>
  <si>
    <t xml:space="preserve">         66.00亿</t>
  </si>
  <si>
    <t>1.220㈡</t>
  </si>
  <si>
    <t>恒辉安防</t>
  </si>
  <si>
    <t>3.92万</t>
  </si>
  <si>
    <t>震裕科技</t>
  </si>
  <si>
    <t xml:space="preserve">         84.52亿</t>
  </si>
  <si>
    <t>12.38万</t>
  </si>
  <si>
    <t>嘉亨家化</t>
  </si>
  <si>
    <t xml:space="preserve">          8.17亿</t>
  </si>
  <si>
    <t xml:space="preserve">         34.49亿</t>
  </si>
  <si>
    <t>5.45万</t>
  </si>
  <si>
    <t>英力股份</t>
  </si>
  <si>
    <t xml:space="preserve">          6.92亿</t>
  </si>
  <si>
    <t>贝泰妮</t>
  </si>
  <si>
    <t xml:space="preserve">         98.65亿</t>
  </si>
  <si>
    <t xml:space="preserve">        777.60亿</t>
  </si>
  <si>
    <t>30.23万</t>
  </si>
  <si>
    <t>建工修复</t>
  </si>
  <si>
    <t>线上线下</t>
  </si>
  <si>
    <t xml:space="preserve">         10.23亿</t>
  </si>
  <si>
    <t>通业科技</t>
  </si>
  <si>
    <t xml:space="preserve">          6.09亿</t>
  </si>
  <si>
    <t xml:space="preserve">         25.69亿</t>
  </si>
  <si>
    <t>深水海纳</t>
  </si>
  <si>
    <t xml:space="preserve">         10.18亿</t>
  </si>
  <si>
    <t>中金辐照</t>
  </si>
  <si>
    <t xml:space="preserve">         12.77亿</t>
  </si>
  <si>
    <t xml:space="preserve">   6.51㈡</t>
  </si>
  <si>
    <t>中洲特材</t>
  </si>
  <si>
    <t xml:space="preserve">         35.65亿</t>
  </si>
  <si>
    <t>本川智能</t>
  </si>
  <si>
    <t xml:space="preserve">          8.90亿</t>
  </si>
  <si>
    <t>2.30万</t>
  </si>
  <si>
    <t>恒宇信通</t>
  </si>
  <si>
    <t xml:space="preserve">         43.51亿</t>
  </si>
  <si>
    <t xml:space="preserve">   3.27㈡</t>
  </si>
  <si>
    <t>共同药业</t>
  </si>
  <si>
    <t xml:space="preserve">         12.20亿</t>
  </si>
  <si>
    <t>晓鸣股份</t>
  </si>
  <si>
    <t xml:space="preserve">          9.02亿</t>
  </si>
  <si>
    <t xml:space="preserve">         37.93亿</t>
  </si>
  <si>
    <t>格林精密</t>
  </si>
  <si>
    <t xml:space="preserve">         58.66亿</t>
  </si>
  <si>
    <t>2.75万</t>
  </si>
  <si>
    <t>恒帅股份</t>
  </si>
  <si>
    <t xml:space="preserve">         11.45亿</t>
  </si>
  <si>
    <t>华绿生物</t>
  </si>
  <si>
    <t xml:space="preserve">         32.09亿</t>
  </si>
  <si>
    <t xml:space="preserve">   0.00㈡</t>
  </si>
  <si>
    <t>博亚精工</t>
  </si>
  <si>
    <t>万辰生物</t>
  </si>
  <si>
    <t xml:space="preserve">          5.44亿</t>
  </si>
  <si>
    <t>2.15万</t>
  </si>
  <si>
    <t>立高食品</t>
  </si>
  <si>
    <t xml:space="preserve">         50.80亿</t>
  </si>
  <si>
    <t xml:space="preserve">        238.08亿</t>
  </si>
  <si>
    <t>41.28万</t>
  </si>
  <si>
    <t>商络电子</t>
  </si>
  <si>
    <t xml:space="preserve">          7.48亿</t>
  </si>
  <si>
    <t xml:space="preserve">         73.79亿</t>
  </si>
  <si>
    <t>达瑞电子</t>
  </si>
  <si>
    <t xml:space="preserve">         79.17亿</t>
  </si>
  <si>
    <t>2.070㈡</t>
  </si>
  <si>
    <t>深圳瑞捷</t>
  </si>
  <si>
    <t>13.49万</t>
  </si>
  <si>
    <t>东箭科技</t>
  </si>
  <si>
    <t xml:space="preserve">          6.60亿</t>
  </si>
  <si>
    <t xml:space="preserve">         69.96亿</t>
  </si>
  <si>
    <t>3.07万</t>
  </si>
  <si>
    <t>华利集团</t>
  </si>
  <si>
    <t xml:space="preserve">         68.25亿</t>
  </si>
  <si>
    <t xml:space="preserve">       1011.91亿</t>
  </si>
  <si>
    <t>39.68万</t>
  </si>
  <si>
    <t>1.190㈡</t>
  </si>
  <si>
    <t xml:space="preserve">  12.13㈡</t>
  </si>
  <si>
    <t>祥源新材</t>
  </si>
  <si>
    <t xml:space="preserve">          7.40亿</t>
  </si>
  <si>
    <t>中红医疗</t>
  </si>
  <si>
    <t xml:space="preserve">        159.19亿</t>
  </si>
  <si>
    <t>9.54万</t>
  </si>
  <si>
    <t>15.040㈡</t>
  </si>
  <si>
    <t xml:space="preserve">  31.94㈡</t>
  </si>
  <si>
    <t>苏文电能</t>
  </si>
  <si>
    <t xml:space="preserve">         89.26亿</t>
  </si>
  <si>
    <t>14.16万</t>
  </si>
  <si>
    <t xml:space="preserve">  10.07㈡</t>
  </si>
  <si>
    <t>尤安设计</t>
  </si>
  <si>
    <t xml:space="preserve">         17.56亿</t>
  </si>
  <si>
    <t>金沃股份</t>
  </si>
  <si>
    <t xml:space="preserve">          4.99亿</t>
  </si>
  <si>
    <t xml:space="preserve">         19.95亿</t>
  </si>
  <si>
    <t>致远新能</t>
  </si>
  <si>
    <t xml:space="preserve">         10.84亿</t>
  </si>
  <si>
    <t>4.18万</t>
  </si>
  <si>
    <t>志特新材</t>
  </si>
  <si>
    <t xml:space="preserve">         12.55亿</t>
  </si>
  <si>
    <t xml:space="preserve">         52.95亿</t>
  </si>
  <si>
    <t>川网传媒</t>
  </si>
  <si>
    <t xml:space="preserve">         41.61亿</t>
  </si>
  <si>
    <t>津荣天宇</t>
  </si>
  <si>
    <t xml:space="preserve">          6.47亿</t>
  </si>
  <si>
    <t xml:space="preserve">         25.89亿</t>
  </si>
  <si>
    <t>蕾奥规划</t>
  </si>
  <si>
    <t xml:space="preserve">         26.26亿</t>
  </si>
  <si>
    <t>同飞股份</t>
  </si>
  <si>
    <t xml:space="preserve">         11.23亿</t>
  </si>
  <si>
    <t xml:space="preserve">         44.93亿</t>
  </si>
  <si>
    <t>1.510㈡</t>
  </si>
  <si>
    <t>创益通</t>
  </si>
  <si>
    <t xml:space="preserve">          7.20亿</t>
  </si>
  <si>
    <t>泰福泵业</t>
  </si>
  <si>
    <t xml:space="preserve">          5.83亿</t>
  </si>
  <si>
    <t xml:space="preserve">         24.57亿</t>
  </si>
  <si>
    <t>玉马遮阳</t>
  </si>
  <si>
    <t>久祺股份</t>
  </si>
  <si>
    <t xml:space="preserve">         15.60亿</t>
  </si>
  <si>
    <t xml:space="preserve">         65.81亿</t>
  </si>
  <si>
    <t>2.83万</t>
  </si>
  <si>
    <t xml:space="preserve">  16.38㈡</t>
  </si>
  <si>
    <t>奇德新材</t>
  </si>
  <si>
    <t xml:space="preserve">          6.94亿</t>
  </si>
  <si>
    <t>普联软件</t>
  </si>
  <si>
    <t xml:space="preserve">         47.97亿</t>
  </si>
  <si>
    <t xml:space="preserve">   3.82㈡</t>
  </si>
  <si>
    <t>欢乐家</t>
  </si>
  <si>
    <t xml:space="preserve">         14.14亿</t>
  </si>
  <si>
    <t xml:space="preserve">         75.28亿</t>
  </si>
  <si>
    <t>3.20万</t>
  </si>
  <si>
    <t xml:space="preserve">   7.90㈡</t>
  </si>
  <si>
    <t>宁波方正</t>
  </si>
  <si>
    <t xml:space="preserve">          5.74亿</t>
  </si>
  <si>
    <t xml:space="preserve">         26.89亿</t>
  </si>
  <si>
    <t>2.88万</t>
  </si>
  <si>
    <t>金龙鱼</t>
  </si>
  <si>
    <t xml:space="preserve">        269.88亿</t>
  </si>
  <si>
    <t xml:space="preserve">       3698.07亿</t>
  </si>
  <si>
    <t>13.82万</t>
  </si>
  <si>
    <t>肇民科技</t>
  </si>
  <si>
    <t>凯淳股份</t>
  </si>
  <si>
    <t xml:space="preserve">          6.67亿</t>
  </si>
  <si>
    <t xml:space="preserve">         26.68亿</t>
  </si>
  <si>
    <t>崧盛股份</t>
  </si>
  <si>
    <t xml:space="preserve">         14.86亿</t>
  </si>
  <si>
    <t>10.45万</t>
  </si>
  <si>
    <t>江苏博云</t>
  </si>
  <si>
    <t xml:space="preserve">          8.28亿</t>
  </si>
  <si>
    <t xml:space="preserve">         33.13亿</t>
  </si>
  <si>
    <t>1.480㈡</t>
  </si>
  <si>
    <t>嘉益股份</t>
  </si>
  <si>
    <t xml:space="preserve">          4.94亿</t>
  </si>
  <si>
    <t>超捷股份</t>
  </si>
  <si>
    <t>迈拓股份</t>
  </si>
  <si>
    <t xml:space="preserve">          9.25亿</t>
  </si>
  <si>
    <t xml:space="preserve">         39.00亿</t>
  </si>
  <si>
    <t>德迈仕</t>
  </si>
  <si>
    <t xml:space="preserve">         28.08亿</t>
  </si>
  <si>
    <t>宏昌科技</t>
  </si>
  <si>
    <t>可靠股份</t>
  </si>
  <si>
    <t xml:space="preserve">         69.22亿</t>
  </si>
  <si>
    <t>晶雪节能</t>
  </si>
  <si>
    <t>华立科技</t>
  </si>
  <si>
    <t xml:space="preserve">         53.44亿</t>
  </si>
  <si>
    <t>扬电科技</t>
  </si>
  <si>
    <t>利和兴</t>
  </si>
  <si>
    <t xml:space="preserve">          8.08亿</t>
  </si>
  <si>
    <t xml:space="preserve">         37.87亿</t>
  </si>
  <si>
    <t>百洋医药</t>
  </si>
  <si>
    <t xml:space="preserve">         11.78亿</t>
  </si>
  <si>
    <t xml:space="preserve">        139.20亿</t>
  </si>
  <si>
    <t xml:space="preserve">   9.36㈡</t>
  </si>
  <si>
    <t>雷尔伟</t>
  </si>
  <si>
    <t xml:space="preserve">   9.41㈡</t>
  </si>
  <si>
    <t>漱玉平民</t>
  </si>
  <si>
    <t xml:space="preserve">          6.42亿</t>
  </si>
  <si>
    <t xml:space="preserve">         75.92亿</t>
  </si>
  <si>
    <t>1.97万</t>
  </si>
  <si>
    <t>申菱环境</t>
  </si>
  <si>
    <t>1.91万</t>
  </si>
  <si>
    <t>宁波色母</t>
  </si>
  <si>
    <t xml:space="preserve">          9.74亿</t>
  </si>
  <si>
    <t xml:space="preserve">         38.97亿</t>
  </si>
  <si>
    <t xml:space="preserve">   5.43㈡</t>
  </si>
  <si>
    <t>密封科技</t>
  </si>
  <si>
    <t xml:space="preserve">   7.91㈡</t>
  </si>
  <si>
    <t>英诺激光</t>
  </si>
  <si>
    <t xml:space="preserve">         13.63亿</t>
  </si>
  <si>
    <t>海泰科</t>
  </si>
  <si>
    <t xml:space="preserve">          6.14亿</t>
  </si>
  <si>
    <t>4.53万</t>
  </si>
  <si>
    <t>江南奕帆</t>
  </si>
  <si>
    <t>1.080㈡</t>
  </si>
  <si>
    <t>霍普股份</t>
  </si>
  <si>
    <t xml:space="preserve">          5.25亿</t>
  </si>
  <si>
    <t>读客文化</t>
  </si>
  <si>
    <t xml:space="preserve">          5.91亿</t>
  </si>
  <si>
    <t xml:space="preserve">         62.88亿</t>
  </si>
  <si>
    <t>1.58万</t>
  </si>
  <si>
    <t>浩通科技</t>
  </si>
  <si>
    <t xml:space="preserve">         95.20亿</t>
  </si>
  <si>
    <t>2.020㈡</t>
  </si>
  <si>
    <t xml:space="preserve">  23.39㈡</t>
  </si>
  <si>
    <t>华蓝集团</t>
  </si>
  <si>
    <t xml:space="preserve">  11.10㈡</t>
  </si>
  <si>
    <t>东亚机械</t>
  </si>
  <si>
    <t xml:space="preserve">         63.81亿</t>
  </si>
  <si>
    <t>1.52万</t>
  </si>
  <si>
    <t xml:space="preserve">  16.08㈡</t>
  </si>
  <si>
    <t>怡合达</t>
  </si>
  <si>
    <t xml:space="preserve">        362.97亿</t>
  </si>
  <si>
    <t>24.35万</t>
  </si>
  <si>
    <t xml:space="preserve">  12.65㈡</t>
  </si>
  <si>
    <t>仕净科技</t>
  </si>
  <si>
    <t xml:space="preserve">          7.99亿</t>
  </si>
  <si>
    <t>中熔电气</t>
  </si>
  <si>
    <t xml:space="preserve">         85.70亿</t>
  </si>
  <si>
    <t>21.89万</t>
  </si>
  <si>
    <t xml:space="preserve">  12.74㈡</t>
  </si>
  <si>
    <t>新柴股份</t>
  </si>
  <si>
    <t xml:space="preserve">          6.89亿</t>
  </si>
  <si>
    <t xml:space="preserve">         29.06亿</t>
  </si>
  <si>
    <t>1.04万</t>
  </si>
  <si>
    <t>迈普医学</t>
  </si>
  <si>
    <t xml:space="preserve">          8.85亿</t>
  </si>
  <si>
    <t xml:space="preserve">   5.89㈡</t>
  </si>
  <si>
    <t>润丰股份</t>
  </si>
  <si>
    <t xml:space="preserve">         35.20亿</t>
  </si>
  <si>
    <t xml:space="preserve">        148.45亿</t>
  </si>
  <si>
    <t xml:space="preserve">   8.91㈡</t>
  </si>
  <si>
    <t>双乐股份</t>
  </si>
  <si>
    <t xml:space="preserve">         45.28亿</t>
  </si>
  <si>
    <t>3.32万</t>
  </si>
  <si>
    <t>保立佳</t>
  </si>
  <si>
    <t xml:space="preserve">          6.13亿</t>
  </si>
  <si>
    <t xml:space="preserve">   8.41㈡</t>
  </si>
  <si>
    <t>深水规院</t>
  </si>
  <si>
    <t xml:space="preserve">          6.16亿</t>
  </si>
  <si>
    <t xml:space="preserve">         28.88亿</t>
  </si>
  <si>
    <t>中集车辆</t>
  </si>
  <si>
    <t xml:space="preserve">        208.29亿</t>
  </si>
  <si>
    <t>1.37万</t>
  </si>
  <si>
    <t>中环海陆</t>
  </si>
  <si>
    <t xml:space="preserve">   8.57㈡</t>
  </si>
  <si>
    <t>金百泽</t>
  </si>
  <si>
    <t xml:space="preserve">   7.10㈡</t>
  </si>
  <si>
    <t>安联锐视</t>
  </si>
  <si>
    <t xml:space="preserve">          8.00亿</t>
  </si>
  <si>
    <t>2.32万</t>
  </si>
  <si>
    <t>绿岛风</t>
  </si>
  <si>
    <t>天禄科技</t>
  </si>
  <si>
    <t xml:space="preserve">  11.87㈡</t>
  </si>
  <si>
    <t>能辉科技</t>
  </si>
  <si>
    <t xml:space="preserve">         17.40亿</t>
  </si>
  <si>
    <t xml:space="preserve">  13.08㈡</t>
  </si>
  <si>
    <t>义翘神州</t>
  </si>
  <si>
    <t xml:space="preserve">        289.35亿</t>
  </si>
  <si>
    <t>8.680㈡</t>
  </si>
  <si>
    <t xml:space="preserve">  25.37㈡</t>
  </si>
  <si>
    <t>金鹰重工</t>
  </si>
  <si>
    <t xml:space="preserve">         14.19亿</t>
  </si>
  <si>
    <t xml:space="preserve">         86.29亿</t>
  </si>
  <si>
    <t>1.77万</t>
  </si>
  <si>
    <t xml:space="preserve">   8.49㈡</t>
  </si>
  <si>
    <t>超越科技</t>
  </si>
  <si>
    <t xml:space="preserve">          7.77亿</t>
  </si>
  <si>
    <t>2.54万</t>
  </si>
  <si>
    <t>雷电微力</t>
  </si>
  <si>
    <t xml:space="preserve">        233.55亿</t>
  </si>
  <si>
    <t>17.65万</t>
  </si>
  <si>
    <t>1.188㈡</t>
  </si>
  <si>
    <t xml:space="preserve">  18.48㈡</t>
  </si>
  <si>
    <t>信濠光电</t>
  </si>
  <si>
    <t xml:space="preserve">         89.37亿</t>
  </si>
  <si>
    <t>5.58万</t>
  </si>
  <si>
    <t>1.441㈡</t>
  </si>
  <si>
    <t xml:space="preserve">  12.96㈡</t>
  </si>
  <si>
    <t>果麦文化</t>
  </si>
  <si>
    <t xml:space="preserve">          5.21亿</t>
  </si>
  <si>
    <t xml:space="preserve">         21.96亿</t>
  </si>
  <si>
    <t>1.12万</t>
  </si>
  <si>
    <t>0.318㈡</t>
  </si>
  <si>
    <t>远信工业</t>
  </si>
  <si>
    <t xml:space="preserve">          6.48亿</t>
  </si>
  <si>
    <t>0.546㈡</t>
  </si>
  <si>
    <t xml:space="preserve">  14.70㈡</t>
  </si>
  <si>
    <t>张小泉</t>
  </si>
  <si>
    <t xml:space="preserve">          8.92亿</t>
  </si>
  <si>
    <t xml:space="preserve">         41.81亿</t>
  </si>
  <si>
    <t>2.21万</t>
  </si>
  <si>
    <t>森赫股份</t>
  </si>
  <si>
    <t>0.105㈡</t>
  </si>
  <si>
    <t>汇隆新材</t>
  </si>
  <si>
    <t>0.345㈡</t>
  </si>
  <si>
    <t>中粮工科</t>
  </si>
  <si>
    <t>1.43万</t>
  </si>
  <si>
    <t xml:space="preserve">   3.84㈡</t>
  </si>
  <si>
    <t>C金三江</t>
  </si>
  <si>
    <t>2.27万</t>
  </si>
  <si>
    <t>0.208㈡</t>
  </si>
  <si>
    <t>C兰卫</t>
  </si>
  <si>
    <t xml:space="preserve">         89.92亿</t>
  </si>
  <si>
    <t>2.23万</t>
  </si>
  <si>
    <t>0.245㈡</t>
  </si>
  <si>
    <t>C匠心</t>
  </si>
  <si>
    <t xml:space="preserve">         15.10亿</t>
  </si>
  <si>
    <t xml:space="preserve">         60.40亿</t>
  </si>
  <si>
    <t>3.78万</t>
  </si>
  <si>
    <t>1.881㈡</t>
  </si>
  <si>
    <t xml:space="preserve">  15.11㈡</t>
  </si>
  <si>
    <t>C艾录</t>
  </si>
  <si>
    <t>1.71万</t>
  </si>
  <si>
    <t>C本立</t>
  </si>
  <si>
    <t xml:space="preserve">         11.31亿</t>
  </si>
  <si>
    <t xml:space="preserve">   6.95㈡</t>
  </si>
  <si>
    <t>中捷精工</t>
  </si>
  <si>
    <t>君亭酒店</t>
  </si>
  <si>
    <t>华瓷股份</t>
  </si>
  <si>
    <t xml:space="preserve">   7.29㈡</t>
  </si>
  <si>
    <t>丽臣实业</t>
  </si>
  <si>
    <t>慈铭体检</t>
  </si>
  <si>
    <t>0.000㈢</t>
  </si>
  <si>
    <t xml:space="preserve">   6.57㈢</t>
  </si>
  <si>
    <t>宏良股份</t>
  </si>
  <si>
    <t xml:space="preserve">          0.00亿</t>
  </si>
  <si>
    <t>0.598㈢</t>
  </si>
  <si>
    <t xml:space="preserve">  25.13㈢</t>
  </si>
  <si>
    <t>天常股份</t>
  </si>
  <si>
    <t xml:space="preserve">   6.86㈢</t>
  </si>
  <si>
    <t>海锅股份</t>
  </si>
  <si>
    <t>万事利</t>
  </si>
  <si>
    <t>显盈科技</t>
  </si>
  <si>
    <t xml:space="preserve">  12.51㈡</t>
  </si>
  <si>
    <t>大地海洋</t>
  </si>
  <si>
    <t>凯盛新材</t>
  </si>
  <si>
    <t xml:space="preserve">  10.62㈡</t>
  </si>
  <si>
    <t>开勒股份</t>
  </si>
  <si>
    <t>力量钻石</t>
  </si>
  <si>
    <t xml:space="preserve">  19.54㈡</t>
  </si>
  <si>
    <t>多瑞医药</t>
  </si>
  <si>
    <t>新瀚新材</t>
  </si>
  <si>
    <t>星华反光</t>
  </si>
  <si>
    <t xml:space="preserve">  14.37㈡</t>
  </si>
  <si>
    <t>浦发银行</t>
  </si>
  <si>
    <t xml:space="preserve">        869.29亿</t>
  </si>
  <si>
    <t xml:space="preserve">       2676.92亿</t>
  </si>
  <si>
    <t>42.68万</t>
  </si>
  <si>
    <t>白云机场</t>
  </si>
  <si>
    <t xml:space="preserve">        102.31亿</t>
  </si>
  <si>
    <t xml:space="preserve">        209.00亿</t>
  </si>
  <si>
    <t xml:space="preserve">        239.04亿</t>
  </si>
  <si>
    <t>9.36万</t>
  </si>
  <si>
    <t xml:space="preserve">  -2.24㈡</t>
  </si>
  <si>
    <t>东风汽车</t>
  </si>
  <si>
    <t xml:space="preserve">         67.11亿</t>
  </si>
  <si>
    <t xml:space="preserve">        168.20亿</t>
  </si>
  <si>
    <t>4.15万</t>
  </si>
  <si>
    <t>0.252㈡</t>
  </si>
  <si>
    <t xml:space="preserve">   6.19㈡</t>
  </si>
  <si>
    <t>中国国贸</t>
  </si>
  <si>
    <t xml:space="preserve">        156.23亿</t>
  </si>
  <si>
    <t>15.10万</t>
  </si>
  <si>
    <t>首创环保</t>
  </si>
  <si>
    <t xml:space="preserve">        155.88亿</t>
  </si>
  <si>
    <t xml:space="preserve">        290.69亿</t>
  </si>
  <si>
    <t>上海机场</t>
  </si>
  <si>
    <t xml:space="preserve">        380.76亿</t>
  </si>
  <si>
    <t xml:space="preserve">        462.21亿</t>
  </si>
  <si>
    <t xml:space="preserve">        814.53亿</t>
  </si>
  <si>
    <t>11.12万</t>
  </si>
  <si>
    <t xml:space="preserve">  -2.60㈡</t>
  </si>
  <si>
    <t>包钢股份</t>
  </si>
  <si>
    <t xml:space="preserve">        742.18亿</t>
  </si>
  <si>
    <t xml:space="preserve">       1146.72亿</t>
  </si>
  <si>
    <t xml:space="preserve">       1650.18亿</t>
  </si>
  <si>
    <t>10.34万</t>
  </si>
  <si>
    <t>华能国际</t>
  </si>
  <si>
    <t xml:space="preserve">        274.81亿</t>
  </si>
  <si>
    <t xml:space="preserve">        690.66亿</t>
  </si>
  <si>
    <t>皖通高速</t>
  </si>
  <si>
    <t xml:space="preserve">         77.98亿</t>
  </si>
  <si>
    <t>0.428㈡</t>
  </si>
  <si>
    <t>华夏银行</t>
  </si>
  <si>
    <t xml:space="preserve">        287.52亿</t>
  </si>
  <si>
    <t xml:space="preserve">        723.20亿</t>
  </si>
  <si>
    <t xml:space="preserve">        867.84亿</t>
  </si>
  <si>
    <t>民生银行</t>
  </si>
  <si>
    <t xml:space="preserve">       1118.77亿</t>
  </si>
  <si>
    <t xml:space="preserve">       1411.39亿</t>
  </si>
  <si>
    <t>25.94万</t>
  </si>
  <si>
    <t>日照港</t>
  </si>
  <si>
    <t xml:space="preserve">         86.12亿</t>
  </si>
  <si>
    <t>上港集团</t>
  </si>
  <si>
    <t xml:space="preserve">        334.98亿</t>
  </si>
  <si>
    <t xml:space="preserve">       1420.55亿</t>
  </si>
  <si>
    <t xml:space="preserve">       1426.98亿</t>
  </si>
  <si>
    <t>15.62万</t>
  </si>
  <si>
    <t>宝钢股份</t>
  </si>
  <si>
    <t xml:space="preserve">        926.69亿</t>
  </si>
  <si>
    <t xml:space="preserve">       2445.58亿</t>
  </si>
  <si>
    <t xml:space="preserve">       2451.77亿</t>
  </si>
  <si>
    <t>29.73万</t>
  </si>
  <si>
    <t>中原高速</t>
  </si>
  <si>
    <t>上海电力</t>
  </si>
  <si>
    <t xml:space="preserve">        227.69亿</t>
  </si>
  <si>
    <t>山东钢铁</t>
  </si>
  <si>
    <t xml:space="preserve">        132.82亿</t>
  </si>
  <si>
    <t xml:space="preserve">        270.38亿</t>
  </si>
  <si>
    <t>浙能电力</t>
  </si>
  <si>
    <t xml:space="preserve">        144.68亿</t>
  </si>
  <si>
    <t xml:space="preserve">        519.55亿</t>
  </si>
  <si>
    <t>华能水电</t>
  </si>
  <si>
    <t xml:space="preserve">        119.88亿</t>
  </si>
  <si>
    <t xml:space="preserve">       1198.80亿</t>
  </si>
  <si>
    <t>13.17万</t>
  </si>
  <si>
    <t>中远海能</t>
  </si>
  <si>
    <t xml:space="preserve">         81.14亿</t>
  </si>
  <si>
    <t xml:space="preserve">        175.05亿</t>
  </si>
  <si>
    <t xml:space="preserve">        211.81亿</t>
  </si>
  <si>
    <t>华电国际</t>
  </si>
  <si>
    <t xml:space="preserve">        350.27亿</t>
  </si>
  <si>
    <t>10.04万</t>
  </si>
  <si>
    <t>中国石化</t>
  </si>
  <si>
    <t xml:space="preserve">        597.46亿</t>
  </si>
  <si>
    <t xml:space="preserve">       4443.44亿</t>
  </si>
  <si>
    <t>11.78万</t>
  </si>
  <si>
    <t>南方航空</t>
  </si>
  <si>
    <t xml:space="preserve">        232.94亿</t>
  </si>
  <si>
    <t xml:space="preserve">        556.59亿</t>
  </si>
  <si>
    <t xml:space="preserve">        724.91亿</t>
  </si>
  <si>
    <t xml:space="preserve">  -6.25㈡</t>
  </si>
  <si>
    <t>中信证券</t>
  </si>
  <si>
    <t xml:space="preserve">       1991.25亿</t>
  </si>
  <si>
    <t xml:space="preserve">       2500.78亿</t>
  </si>
  <si>
    <t xml:space="preserve">       2713.22亿</t>
  </si>
  <si>
    <t>26.81万</t>
  </si>
  <si>
    <t>三一重工</t>
  </si>
  <si>
    <t xml:space="preserve">       1546.43亿</t>
  </si>
  <si>
    <t xml:space="preserve">       2273.85亿</t>
  </si>
  <si>
    <t>1.200㈡</t>
  </si>
  <si>
    <t xml:space="preserve">  16.29㈡</t>
  </si>
  <si>
    <t>浙江新能</t>
  </si>
  <si>
    <t xml:space="preserve">         25.44亿</t>
  </si>
  <si>
    <t xml:space="preserve">        254.38亿</t>
  </si>
  <si>
    <t>3.00万</t>
  </si>
  <si>
    <t>福建高速</t>
  </si>
  <si>
    <t xml:space="preserve">         76.29亿</t>
  </si>
  <si>
    <t>楚天高速</t>
  </si>
  <si>
    <t xml:space="preserve">         51.68亿</t>
  </si>
  <si>
    <t>招商银行</t>
  </si>
  <si>
    <t xml:space="preserve">       5941.21亿</t>
  </si>
  <si>
    <t xml:space="preserve">      10458.88亿</t>
  </si>
  <si>
    <t>131.36万</t>
  </si>
  <si>
    <t>2.350㈡</t>
  </si>
  <si>
    <t xml:space="preserve">   8.10㈡</t>
  </si>
  <si>
    <t>歌华有线</t>
  </si>
  <si>
    <t xml:space="preserve">         72.92亿</t>
  </si>
  <si>
    <t xml:space="preserve">        117.61亿</t>
  </si>
  <si>
    <t>中直股份</t>
  </si>
  <si>
    <t xml:space="preserve">        147.44亿</t>
  </si>
  <si>
    <t xml:space="preserve">        334.82亿</t>
  </si>
  <si>
    <t>41.41万</t>
  </si>
  <si>
    <t>0.649㈡</t>
  </si>
  <si>
    <t>四川路桥</t>
  </si>
  <si>
    <t xml:space="preserve">        127.89亿</t>
  </si>
  <si>
    <t xml:space="preserve">        323.86亿</t>
  </si>
  <si>
    <t xml:space="preserve">        428.36亿</t>
  </si>
  <si>
    <t xml:space="preserve">  10.43㈡</t>
  </si>
  <si>
    <t>保利发展</t>
  </si>
  <si>
    <t xml:space="preserve">        783.35亿</t>
  </si>
  <si>
    <t xml:space="preserve">       1469.93亿</t>
  </si>
  <si>
    <t xml:space="preserve">   5.41㈡</t>
  </si>
  <si>
    <t>中国联通</t>
  </si>
  <si>
    <t xml:space="preserve">        527.72亿</t>
  </si>
  <si>
    <t xml:space="preserve">       1282.51亿</t>
  </si>
  <si>
    <t xml:space="preserve">       1292.34亿</t>
  </si>
  <si>
    <t>宁波联合</t>
  </si>
  <si>
    <t>4.48万</t>
  </si>
  <si>
    <t>浙江广厦</t>
  </si>
  <si>
    <t xml:space="preserve">         37.65亿</t>
  </si>
  <si>
    <t xml:space="preserve">  -0.55㈡</t>
  </si>
  <si>
    <t>九鼎投资</t>
  </si>
  <si>
    <t xml:space="preserve">         20.18亿</t>
  </si>
  <si>
    <t>10.69万</t>
  </si>
  <si>
    <t>黄山旅游</t>
  </si>
  <si>
    <t xml:space="preserve">         20.07亿</t>
  </si>
  <si>
    <t xml:space="preserve">         67.54亿</t>
  </si>
  <si>
    <t>万东医疗</t>
  </si>
  <si>
    <t xml:space="preserve">        101.94亿</t>
  </si>
  <si>
    <t>中国医药</t>
  </si>
  <si>
    <t xml:space="preserve">         59.69亿</t>
  </si>
  <si>
    <t xml:space="preserve">        126.36亿</t>
  </si>
  <si>
    <t xml:space="preserve">        126.40亿</t>
  </si>
  <si>
    <t>6.77万</t>
  </si>
  <si>
    <t>0.619㈡</t>
  </si>
  <si>
    <t>厦门象屿</t>
  </si>
  <si>
    <t xml:space="preserve">         82.20亿</t>
  </si>
  <si>
    <t xml:space="preserve">        178.48亿</t>
  </si>
  <si>
    <t xml:space="preserve">        180.15亿</t>
  </si>
  <si>
    <t>18.64万</t>
  </si>
  <si>
    <t>五矿发展</t>
  </si>
  <si>
    <t xml:space="preserve">         47.68亿</t>
  </si>
  <si>
    <t xml:space="preserve">        127.34亿</t>
  </si>
  <si>
    <t>古越龙山</t>
  </si>
  <si>
    <t xml:space="preserve">         89.58亿</t>
  </si>
  <si>
    <t xml:space="preserve">        101.00亿</t>
  </si>
  <si>
    <t>海信视像</t>
  </si>
  <si>
    <t xml:space="preserve">         80.68亿</t>
  </si>
  <si>
    <t xml:space="preserve">        152.89亿</t>
  </si>
  <si>
    <t xml:space="preserve">        155.19亿</t>
  </si>
  <si>
    <t>17.40万</t>
  </si>
  <si>
    <t>国投资本</t>
  </si>
  <si>
    <t xml:space="preserve">        215.13亿</t>
  </si>
  <si>
    <t xml:space="preserve">        591.13亿</t>
  </si>
  <si>
    <t>29.54万</t>
  </si>
  <si>
    <t>华润双鹤</t>
  </si>
  <si>
    <t xml:space="preserve">         49.55亿</t>
  </si>
  <si>
    <t>皖维高新</t>
  </si>
  <si>
    <t xml:space="preserve">        116.85亿</t>
  </si>
  <si>
    <t xml:space="preserve">        168.71亿</t>
  </si>
  <si>
    <t>14.29万</t>
  </si>
  <si>
    <t>南京高科</t>
  </si>
  <si>
    <t xml:space="preserve">         72.76亿</t>
  </si>
  <si>
    <t xml:space="preserve">        111.48亿</t>
  </si>
  <si>
    <t xml:space="preserve">  10.18㈡</t>
  </si>
  <si>
    <t>宇通客车</t>
  </si>
  <si>
    <t xml:space="preserve">        147.39亿</t>
  </si>
  <si>
    <t xml:space="preserve">        250.40亿</t>
  </si>
  <si>
    <t xml:space="preserve">        255.94亿</t>
  </si>
  <si>
    <t>冠城大通</t>
  </si>
  <si>
    <t xml:space="preserve">         42.14亿</t>
  </si>
  <si>
    <t>葛洲坝</t>
  </si>
  <si>
    <t xml:space="preserve">        457.25亿</t>
  </si>
  <si>
    <t xml:space="preserve">   2.23㈡</t>
  </si>
  <si>
    <t>浙江富润</t>
  </si>
  <si>
    <t xml:space="preserve">  -0.41㈡</t>
  </si>
  <si>
    <t>凤凰光学</t>
  </si>
  <si>
    <t xml:space="preserve">         22.46亿</t>
  </si>
  <si>
    <t xml:space="preserve">         37.09亿</t>
  </si>
  <si>
    <t>16.30万</t>
  </si>
  <si>
    <t>中船科技</t>
  </si>
  <si>
    <t>上海梅林</t>
  </si>
  <si>
    <t xml:space="preserve">         46.55亿</t>
  </si>
  <si>
    <t xml:space="preserve">         74.83亿</t>
  </si>
  <si>
    <t xml:space="preserve">   6.93㈡</t>
  </si>
  <si>
    <t>新疆天业</t>
  </si>
  <si>
    <t xml:space="preserve">        103.29亿</t>
  </si>
  <si>
    <t xml:space="preserve">        154.24亿</t>
  </si>
  <si>
    <t xml:space="preserve">        208.89亿</t>
  </si>
  <si>
    <t>20.70万</t>
  </si>
  <si>
    <t xml:space="preserve">  11.54㈡</t>
  </si>
  <si>
    <t>康欣新材</t>
  </si>
  <si>
    <t xml:space="preserve">         28.85亿</t>
  </si>
  <si>
    <t xml:space="preserve">         44.06亿</t>
  </si>
  <si>
    <t xml:space="preserve">         57.28亿</t>
  </si>
  <si>
    <t>宋都股份</t>
  </si>
  <si>
    <t xml:space="preserve">         33.37亿</t>
  </si>
  <si>
    <t xml:space="preserve">   2.30㈡</t>
  </si>
  <si>
    <t>人福医药</t>
  </si>
  <si>
    <t xml:space="preserve">        267.36亿</t>
  </si>
  <si>
    <t xml:space="preserve">        322.53亿</t>
  </si>
  <si>
    <t>40.29万</t>
  </si>
  <si>
    <t>金花股份</t>
  </si>
  <si>
    <t xml:space="preserve">         16.64亿</t>
  </si>
  <si>
    <t xml:space="preserve">         32.96亿</t>
  </si>
  <si>
    <t>东风科技</t>
  </si>
  <si>
    <t xml:space="preserve">         41.77亿</t>
  </si>
  <si>
    <t>0.268㈡</t>
  </si>
  <si>
    <t>海泰发展</t>
  </si>
  <si>
    <t xml:space="preserve">         12.88亿</t>
  </si>
  <si>
    <t xml:space="preserve">         18.33亿</t>
  </si>
  <si>
    <t>3.89万</t>
  </si>
  <si>
    <t>同仁堂</t>
  </si>
  <si>
    <t xml:space="preserve">        208.63亿</t>
  </si>
  <si>
    <t xml:space="preserve">        438.73亿</t>
  </si>
  <si>
    <t>中视传媒</t>
  </si>
  <si>
    <t xml:space="preserve">         17.72亿</t>
  </si>
  <si>
    <t xml:space="preserve">         41.36亿</t>
  </si>
  <si>
    <t>5.01万</t>
  </si>
  <si>
    <t xml:space="preserve">  -0.36㈡</t>
  </si>
  <si>
    <t>特变电工</t>
  </si>
  <si>
    <t xml:space="preserve">        735.21亿</t>
  </si>
  <si>
    <t xml:space="preserve">        906.29亿</t>
  </si>
  <si>
    <t>28.65万</t>
  </si>
  <si>
    <t>0.836㈡</t>
  </si>
  <si>
    <t>大名城</t>
  </si>
  <si>
    <t xml:space="preserve">         83.10亿</t>
  </si>
  <si>
    <t xml:space="preserve">         90.35亿</t>
  </si>
  <si>
    <t>湘财股份</t>
  </si>
  <si>
    <t xml:space="preserve">         54.11亿</t>
  </si>
  <si>
    <t xml:space="preserve">         93.75亿</t>
  </si>
  <si>
    <t xml:space="preserve">        279.79亿</t>
  </si>
  <si>
    <t>云天化</t>
  </si>
  <si>
    <t xml:space="preserve">        329.03亿</t>
  </si>
  <si>
    <t xml:space="preserve">        578.23亿</t>
  </si>
  <si>
    <t xml:space="preserve">        631.15亿</t>
  </si>
  <si>
    <t>46.78万</t>
  </si>
  <si>
    <t xml:space="preserve">  19.74㈡</t>
  </si>
  <si>
    <t>开创国际</t>
  </si>
  <si>
    <t>7.69万</t>
  </si>
  <si>
    <t>广州发展</t>
  </si>
  <si>
    <t xml:space="preserve">        203.37亿</t>
  </si>
  <si>
    <t>林海股份</t>
  </si>
  <si>
    <t>同方股份</t>
  </si>
  <si>
    <t xml:space="preserve">        128.28亿</t>
  </si>
  <si>
    <t xml:space="preserve">        178.43亿</t>
  </si>
  <si>
    <t xml:space="preserve">        201.69亿</t>
  </si>
  <si>
    <t>8.82万</t>
  </si>
  <si>
    <t xml:space="preserve">  -3.42㈡</t>
  </si>
  <si>
    <t>明星电力</t>
  </si>
  <si>
    <t>青山纸业</t>
  </si>
  <si>
    <t xml:space="preserve">         68.94亿</t>
  </si>
  <si>
    <t>3.54万</t>
  </si>
  <si>
    <t>上汽集团</t>
  </si>
  <si>
    <t xml:space="preserve">        672.42亿</t>
  </si>
  <si>
    <t xml:space="preserve">       2337.86亿</t>
  </si>
  <si>
    <t>27.41万</t>
  </si>
  <si>
    <t>1.150㈡</t>
  </si>
  <si>
    <t xml:space="preserve">   4.82㈡</t>
  </si>
  <si>
    <t>永鼎股份</t>
  </si>
  <si>
    <t xml:space="preserve">         53.99亿</t>
  </si>
  <si>
    <t>4.24万</t>
  </si>
  <si>
    <t>重庆路桥</t>
  </si>
  <si>
    <t xml:space="preserve">         26.07亿</t>
  </si>
  <si>
    <t xml:space="preserve">         37.21亿</t>
  </si>
  <si>
    <t>美尔雅</t>
  </si>
  <si>
    <t>亚盛集团</t>
  </si>
  <si>
    <t xml:space="preserve">         52.13亿</t>
  </si>
  <si>
    <t xml:space="preserve">         69.12亿</t>
  </si>
  <si>
    <t>国金证券</t>
  </si>
  <si>
    <t xml:space="preserve">        251.10亿</t>
  </si>
  <si>
    <t xml:space="preserve">        340.85亿</t>
  </si>
  <si>
    <t>诺德股份</t>
  </si>
  <si>
    <t xml:space="preserve">        275.39亿</t>
  </si>
  <si>
    <t xml:space="preserve">        298.91亿</t>
  </si>
  <si>
    <t xml:space="preserve">        315.64亿</t>
  </si>
  <si>
    <t>28.85万</t>
  </si>
  <si>
    <t>0.144㈡</t>
  </si>
  <si>
    <t>北方稀土</t>
  </si>
  <si>
    <t xml:space="preserve">       1064.95亿</t>
  </si>
  <si>
    <t xml:space="preserve">       1930.97亿</t>
  </si>
  <si>
    <t>30.92万</t>
  </si>
  <si>
    <t>浙江东日</t>
  </si>
  <si>
    <t xml:space="preserve">         24.56亿</t>
  </si>
  <si>
    <t>东睦股份</t>
  </si>
  <si>
    <t>中国东航</t>
  </si>
  <si>
    <t xml:space="preserve">        196.37亿</t>
  </si>
  <si>
    <t xml:space="preserve">        450.21亿</t>
  </si>
  <si>
    <t xml:space="preserve">        514.21亿</t>
  </si>
  <si>
    <t>10.64万</t>
  </si>
  <si>
    <t>-0.318㈡</t>
  </si>
  <si>
    <t xml:space="preserve"> -10.88㈡</t>
  </si>
  <si>
    <t>三峡水利</t>
  </si>
  <si>
    <t xml:space="preserve">         84.48亿</t>
  </si>
  <si>
    <t xml:space="preserve">        142.97亿</t>
  </si>
  <si>
    <t xml:space="preserve">        201.92亿</t>
  </si>
  <si>
    <t>西宁特钢</t>
  </si>
  <si>
    <t xml:space="preserve">         52.57亿</t>
  </si>
  <si>
    <t>中国卫星</t>
  </si>
  <si>
    <t xml:space="preserve">        157.55亿</t>
  </si>
  <si>
    <t xml:space="preserve">        324.59亿</t>
  </si>
  <si>
    <t>10.43万</t>
  </si>
  <si>
    <t>长江投资</t>
  </si>
  <si>
    <t>浙江东方</t>
  </si>
  <si>
    <t xml:space="preserve">        129.18亿</t>
  </si>
  <si>
    <t xml:space="preserve">   2.39㈡</t>
  </si>
  <si>
    <t>郑州煤电</t>
  </si>
  <si>
    <t xml:space="preserve">         26.76亿</t>
  </si>
  <si>
    <t>0.092㈡</t>
  </si>
  <si>
    <t>兰花科创</t>
  </si>
  <si>
    <t xml:space="preserve">         80.08亿</t>
  </si>
  <si>
    <t xml:space="preserve">        145.88亿</t>
  </si>
  <si>
    <t>13.52万</t>
  </si>
  <si>
    <t>0.608㈡</t>
  </si>
  <si>
    <t>铁龙物流</t>
  </si>
  <si>
    <t xml:space="preserve">         68.15亿</t>
  </si>
  <si>
    <t>5.38万</t>
  </si>
  <si>
    <t>杭钢股份</t>
  </si>
  <si>
    <t xml:space="preserve">        214.11亿</t>
  </si>
  <si>
    <t>金健米业</t>
  </si>
  <si>
    <t xml:space="preserve">         42.61亿</t>
  </si>
  <si>
    <t>弘业股份</t>
  </si>
  <si>
    <t xml:space="preserve">         13.20亿</t>
  </si>
  <si>
    <t>太极集团</t>
  </si>
  <si>
    <t xml:space="preserve">         81.58亿</t>
  </si>
  <si>
    <t>17.86万</t>
  </si>
  <si>
    <t>波导股份</t>
  </si>
  <si>
    <t>国网信通</t>
  </si>
  <si>
    <t xml:space="preserve">         62.31亿</t>
  </si>
  <si>
    <t xml:space="preserve">         78.44亿</t>
  </si>
  <si>
    <t xml:space="preserve">        173.57亿</t>
  </si>
  <si>
    <t>15.94万</t>
  </si>
  <si>
    <t>重庆啤酒</t>
  </si>
  <si>
    <t xml:space="preserve">        241.06亿</t>
  </si>
  <si>
    <t xml:space="preserve">        602.64亿</t>
  </si>
  <si>
    <t>118.39万</t>
  </si>
  <si>
    <t>1.290㈡</t>
  </si>
  <si>
    <t xml:space="preserve">  51.52㈡</t>
  </si>
  <si>
    <t>东湖高新</t>
  </si>
  <si>
    <t xml:space="preserve">         34.61亿</t>
  </si>
  <si>
    <t>乐凯胶片</t>
  </si>
  <si>
    <t xml:space="preserve">         44.76亿</t>
  </si>
  <si>
    <t>当代文体</t>
  </si>
  <si>
    <t>7.32万</t>
  </si>
  <si>
    <t xml:space="preserve">  -8.32㈡</t>
  </si>
  <si>
    <t>浪莎股份</t>
  </si>
  <si>
    <t xml:space="preserve">          5.43亿</t>
  </si>
  <si>
    <t xml:space="preserve">         14.50亿</t>
  </si>
  <si>
    <t>中青旅</t>
  </si>
  <si>
    <t xml:space="preserve">         57.89亿</t>
  </si>
  <si>
    <t xml:space="preserve">         74.19亿</t>
  </si>
  <si>
    <t>兴发集团</t>
  </si>
  <si>
    <t xml:space="preserve">        347.25亿</t>
  </si>
  <si>
    <t xml:space="preserve">        501.46亿</t>
  </si>
  <si>
    <t xml:space="preserve">        575.11亿</t>
  </si>
  <si>
    <t>101.16万</t>
  </si>
  <si>
    <t xml:space="preserve">  10.88㈡</t>
  </si>
  <si>
    <t>金发科技</t>
  </si>
  <si>
    <t xml:space="preserve">        307.78亿</t>
  </si>
  <si>
    <t xml:space="preserve">        439.57亿</t>
  </si>
  <si>
    <t>0.614㈡</t>
  </si>
  <si>
    <t xml:space="preserve">  10.64㈡</t>
  </si>
  <si>
    <t>长春一东</t>
  </si>
  <si>
    <t xml:space="preserve">          8.29亿</t>
  </si>
  <si>
    <t>廊坊发展</t>
  </si>
  <si>
    <t xml:space="preserve">  -3.53㈡</t>
  </si>
  <si>
    <t>中国船舶</t>
  </si>
  <si>
    <t xml:space="preserve">        429.45亿</t>
  </si>
  <si>
    <t xml:space="preserve">        603.74亿</t>
  </si>
  <si>
    <t xml:space="preserve">       1105.14亿</t>
  </si>
  <si>
    <t>航天机电</t>
  </si>
  <si>
    <t xml:space="preserve">         92.18亿</t>
  </si>
  <si>
    <t xml:space="preserve">        148.01亿</t>
  </si>
  <si>
    <t>11.26万</t>
  </si>
  <si>
    <t>-0.008㈡</t>
  </si>
  <si>
    <t xml:space="preserve">  -0.21㈡</t>
  </si>
  <si>
    <t>维科技术</t>
  </si>
  <si>
    <t xml:space="preserve">         31.46亿</t>
  </si>
  <si>
    <t>5.44万</t>
  </si>
  <si>
    <t>建发股份</t>
  </si>
  <si>
    <t xml:space="preserve">        116.01亿</t>
  </si>
  <si>
    <t xml:space="preserve">        250.06亿</t>
  </si>
  <si>
    <t xml:space="preserve">        252.55亿</t>
  </si>
  <si>
    <t>华创阳安</t>
  </si>
  <si>
    <t xml:space="preserve">        175.00亿</t>
  </si>
  <si>
    <t>17.37万</t>
  </si>
  <si>
    <t>华升股份</t>
  </si>
  <si>
    <t>永泰能源</t>
  </si>
  <si>
    <t xml:space="preserve">        348.89亿</t>
  </si>
  <si>
    <t xml:space="preserve">        477.68亿</t>
  </si>
  <si>
    <t>11.52万</t>
  </si>
  <si>
    <t>中体产业</t>
  </si>
  <si>
    <t xml:space="preserve">        118.98亿</t>
  </si>
  <si>
    <t>11.06万</t>
  </si>
  <si>
    <t>-0.034㈡</t>
  </si>
  <si>
    <t>大龙地产</t>
  </si>
  <si>
    <t xml:space="preserve">         21.08亿</t>
  </si>
  <si>
    <t>巨化股份</t>
  </si>
  <si>
    <t xml:space="preserve">        183.85亿</t>
  </si>
  <si>
    <t xml:space="preserve">        465.17亿</t>
  </si>
  <si>
    <t>34.00万</t>
  </si>
  <si>
    <t>天坛生物</t>
  </si>
  <si>
    <t xml:space="preserve">        186.27亿</t>
  </si>
  <si>
    <t xml:space="preserve">        412.71亿</t>
  </si>
  <si>
    <t xml:space="preserve">        451.77亿</t>
  </si>
  <si>
    <t>27.69万</t>
  </si>
  <si>
    <t>香江控股</t>
  </si>
  <si>
    <t xml:space="preserve">         65.88亿</t>
  </si>
  <si>
    <t>3.71万</t>
  </si>
  <si>
    <t>中闽能源</t>
  </si>
  <si>
    <t xml:space="preserve">         45.26亿</t>
  </si>
  <si>
    <t xml:space="preserve">        136.47亿</t>
  </si>
  <si>
    <t>新日恒力</t>
  </si>
  <si>
    <t xml:space="preserve">         56.49亿</t>
  </si>
  <si>
    <t>20.68万</t>
  </si>
  <si>
    <t>福田汽车</t>
  </si>
  <si>
    <t xml:space="preserve">        272.21亿</t>
  </si>
  <si>
    <t xml:space="preserve">   3.78㈡</t>
  </si>
  <si>
    <t>联美控股</t>
  </si>
  <si>
    <t xml:space="preserve">         66.21亿</t>
  </si>
  <si>
    <t xml:space="preserve">        205.70亿</t>
  </si>
  <si>
    <t>16.28万</t>
  </si>
  <si>
    <t>武汉控股</t>
  </si>
  <si>
    <t>太原重工</t>
  </si>
  <si>
    <t xml:space="preserve">         57.22亿</t>
  </si>
  <si>
    <t xml:space="preserve">         86.15亿</t>
  </si>
  <si>
    <t xml:space="preserve">        111.99亿</t>
  </si>
  <si>
    <t>上海建工</t>
  </si>
  <si>
    <t xml:space="preserve">        132.43亿</t>
  </si>
  <si>
    <t xml:space="preserve">        270.69亿</t>
  </si>
  <si>
    <t>上海贝岭</t>
  </si>
  <si>
    <t xml:space="preserve">        153.04亿</t>
  </si>
  <si>
    <t xml:space="preserve">        205.21亿</t>
  </si>
  <si>
    <t xml:space="preserve">        208.71亿</t>
  </si>
  <si>
    <t>黄河旋风</t>
  </si>
  <si>
    <t xml:space="preserve">        105.25亿</t>
  </si>
  <si>
    <t xml:space="preserve">        133.07亿</t>
  </si>
  <si>
    <t xml:space="preserve">        156.77亿</t>
  </si>
  <si>
    <t>17.45万</t>
  </si>
  <si>
    <t>卧龙地产</t>
  </si>
  <si>
    <t xml:space="preserve">         15.54亿</t>
  </si>
  <si>
    <t xml:space="preserve">         38.80亿</t>
  </si>
  <si>
    <t xml:space="preserve">  10.23㈡</t>
  </si>
  <si>
    <t>中国巨石</t>
  </si>
  <si>
    <t xml:space="preserve">        458.45亿</t>
  </si>
  <si>
    <t xml:space="preserve">        798.23亿</t>
  </si>
  <si>
    <t>31.13万</t>
  </si>
  <si>
    <t xml:space="preserve">  13.52㈡</t>
  </si>
  <si>
    <t>雅戈尔</t>
  </si>
  <si>
    <t xml:space="preserve">        135.01亿</t>
  </si>
  <si>
    <t xml:space="preserve">        297.18亿</t>
  </si>
  <si>
    <t xml:space="preserve">        305.51亿</t>
  </si>
  <si>
    <t>东安动力</t>
  </si>
  <si>
    <t xml:space="preserve">         37.52亿</t>
  </si>
  <si>
    <t>安通控股</t>
  </si>
  <si>
    <t xml:space="preserve">        117.13亿</t>
  </si>
  <si>
    <t xml:space="preserve">        157.21亿</t>
  </si>
  <si>
    <t xml:space="preserve">        192.46亿</t>
  </si>
  <si>
    <t>57.19万</t>
  </si>
  <si>
    <t>瑞茂通</t>
  </si>
  <si>
    <t xml:space="preserve">         65.26亿</t>
  </si>
  <si>
    <t>生益科技</t>
  </si>
  <si>
    <t xml:space="preserve">        248.96亿</t>
  </si>
  <si>
    <t xml:space="preserve">        517.60亿</t>
  </si>
  <si>
    <t xml:space="preserve">  12.26㈡</t>
  </si>
  <si>
    <t>光电股份</t>
  </si>
  <si>
    <t xml:space="preserve">         58.05亿</t>
  </si>
  <si>
    <t>格力地产</t>
  </si>
  <si>
    <t xml:space="preserve">        153.05亿</t>
  </si>
  <si>
    <t>莲花健康</t>
  </si>
  <si>
    <t xml:space="preserve">         50.37亿</t>
  </si>
  <si>
    <t xml:space="preserve">         65.48亿</t>
  </si>
  <si>
    <t>国中水务</t>
  </si>
  <si>
    <t>兖州煤业</t>
  </si>
  <si>
    <t xml:space="preserve">        246.62亿</t>
  </si>
  <si>
    <t xml:space="preserve">       1031.45亿</t>
  </si>
  <si>
    <t>49.99万</t>
  </si>
  <si>
    <t>泉阳泉</t>
  </si>
  <si>
    <t xml:space="preserve">         60.78亿</t>
  </si>
  <si>
    <t>锦州港</t>
  </si>
  <si>
    <t xml:space="preserve">         12.27亿</t>
  </si>
  <si>
    <t xml:space="preserve">         50.89亿</t>
  </si>
  <si>
    <t xml:space="preserve">         57.27亿</t>
  </si>
  <si>
    <t>2.04万</t>
  </si>
  <si>
    <t>长城电工</t>
  </si>
  <si>
    <t xml:space="preserve">         21.56亿</t>
  </si>
  <si>
    <t>-0.094㈡</t>
  </si>
  <si>
    <t xml:space="preserve">  -2.36㈡</t>
  </si>
  <si>
    <t>创兴资源</t>
  </si>
  <si>
    <t>中牧股份</t>
  </si>
  <si>
    <t xml:space="preserve">         55.24亿</t>
  </si>
  <si>
    <t xml:space="preserve">        109.69亿</t>
  </si>
  <si>
    <t>0.312㈡</t>
  </si>
  <si>
    <t xml:space="preserve">   6.59㈡</t>
  </si>
  <si>
    <t>复星医药</t>
  </si>
  <si>
    <t xml:space="preserve">        617.00亿</t>
  </si>
  <si>
    <t xml:space="preserve">       1156.50亿</t>
  </si>
  <si>
    <t>30.39万</t>
  </si>
  <si>
    <t>伊力特</t>
  </si>
  <si>
    <t>0.449㈡</t>
  </si>
  <si>
    <t xml:space="preserve">   5.62㈡</t>
  </si>
  <si>
    <t>金种子酒</t>
  </si>
  <si>
    <t xml:space="preserve">         64.96亿</t>
  </si>
  <si>
    <t xml:space="preserve">         92.00亿</t>
  </si>
  <si>
    <t xml:space="preserve">         99.79亿</t>
  </si>
  <si>
    <t>-0.149㈡</t>
  </si>
  <si>
    <t xml:space="preserve">  -3.49㈡</t>
  </si>
  <si>
    <t>江苏吴中</t>
  </si>
  <si>
    <t xml:space="preserve">         48.94亿</t>
  </si>
  <si>
    <t>生物股份</t>
  </si>
  <si>
    <t xml:space="preserve">        151.27亿</t>
  </si>
  <si>
    <t xml:space="preserve">        173.03亿</t>
  </si>
  <si>
    <t xml:space="preserve">        174.00亿</t>
  </si>
  <si>
    <t>25.39万</t>
  </si>
  <si>
    <t>哈空调</t>
  </si>
  <si>
    <t xml:space="preserve">         12.67亿</t>
  </si>
  <si>
    <t>福日电子</t>
  </si>
  <si>
    <t>有研新材</t>
  </si>
  <si>
    <t xml:space="preserve">         81.38亿</t>
  </si>
  <si>
    <t xml:space="preserve">        121.80亿</t>
  </si>
  <si>
    <t xml:space="preserve">        122.16亿</t>
  </si>
  <si>
    <t>安彩高科</t>
  </si>
  <si>
    <t xml:space="preserve">         23.45亿</t>
  </si>
  <si>
    <t xml:space="preserve">         65.67亿</t>
  </si>
  <si>
    <t>新湖中宝</t>
  </si>
  <si>
    <t xml:space="preserve">        121.00亿</t>
  </si>
  <si>
    <t xml:space="preserve">        282.02亿</t>
  </si>
  <si>
    <t xml:space="preserve">        282.06亿</t>
  </si>
  <si>
    <t>紫江企业</t>
  </si>
  <si>
    <t xml:space="preserve">        123.04亿</t>
  </si>
  <si>
    <t xml:space="preserve">        167.30亿</t>
  </si>
  <si>
    <t>西藏药业</t>
  </si>
  <si>
    <t xml:space="preserve">         52.26亿</t>
  </si>
  <si>
    <t xml:space="preserve">        118.44亿</t>
  </si>
  <si>
    <t>7.66万</t>
  </si>
  <si>
    <t xml:space="preserve">  10.90㈡</t>
  </si>
  <si>
    <t>江泉实业</t>
  </si>
  <si>
    <t xml:space="preserve">   1.35㈡</t>
  </si>
  <si>
    <t>亚星客车</t>
  </si>
  <si>
    <t xml:space="preserve">          8.26亿</t>
  </si>
  <si>
    <t xml:space="preserve">         16.85亿</t>
  </si>
  <si>
    <t>长春经开</t>
  </si>
  <si>
    <t xml:space="preserve">         37.85亿</t>
  </si>
  <si>
    <t>11.61万</t>
  </si>
  <si>
    <t>0.127㈡</t>
  </si>
  <si>
    <t>浙江医药</t>
  </si>
  <si>
    <t xml:space="preserve">        106.08亿</t>
  </si>
  <si>
    <t>中再资环</t>
  </si>
  <si>
    <t xml:space="preserve">         40.37亿</t>
  </si>
  <si>
    <t xml:space="preserve">         80.82亿</t>
  </si>
  <si>
    <t>全柴动力</t>
  </si>
  <si>
    <t xml:space="preserve">         48.68亿</t>
  </si>
  <si>
    <t xml:space="preserve">         57.50亿</t>
  </si>
  <si>
    <t>南山铝业</t>
  </si>
  <si>
    <t xml:space="preserve">        341.11亿</t>
  </si>
  <si>
    <t xml:space="preserve">        623.82亿</t>
  </si>
  <si>
    <t>16.54万</t>
  </si>
  <si>
    <t xml:space="preserve">   3.65㈡</t>
  </si>
  <si>
    <t>江苏阳光</t>
  </si>
  <si>
    <t xml:space="preserve">         30.14亿</t>
  </si>
  <si>
    <t xml:space="preserve">         45.83亿</t>
  </si>
  <si>
    <t>太龙药业</t>
  </si>
  <si>
    <t xml:space="preserve">         41.30亿</t>
  </si>
  <si>
    <t xml:space="preserve">         58.25亿</t>
  </si>
  <si>
    <t>鲁商发展</t>
  </si>
  <si>
    <t xml:space="preserve">         57.13亿</t>
  </si>
  <si>
    <t xml:space="preserve">        126.04亿</t>
  </si>
  <si>
    <t xml:space="preserve">   7.49㈡</t>
  </si>
  <si>
    <t>圣济堂</t>
  </si>
  <si>
    <t xml:space="preserve">         51.77亿</t>
  </si>
  <si>
    <t>返利科技</t>
  </si>
  <si>
    <t xml:space="preserve">         12.89亿</t>
  </si>
  <si>
    <t xml:space="preserve">         59.11亿</t>
  </si>
  <si>
    <t>城市传媒</t>
  </si>
  <si>
    <t xml:space="preserve">         17.60亿</t>
  </si>
  <si>
    <t xml:space="preserve">         42.20亿</t>
  </si>
  <si>
    <t>沧州大化</t>
  </si>
  <si>
    <t xml:space="preserve">         46.07亿</t>
  </si>
  <si>
    <t xml:space="preserve">         85.71亿</t>
  </si>
  <si>
    <t xml:space="preserve">         87.11亿</t>
  </si>
  <si>
    <t>0.418㈡</t>
  </si>
  <si>
    <t>凌钢股份</t>
  </si>
  <si>
    <t xml:space="preserve">         28.15亿</t>
  </si>
  <si>
    <t xml:space="preserve">        105.24亿</t>
  </si>
  <si>
    <t xml:space="preserve">   8.28㈡</t>
  </si>
  <si>
    <t>金鹰股份</t>
  </si>
  <si>
    <t>圆通速递</t>
  </si>
  <si>
    <t xml:space="preserve">        149.95亿</t>
  </si>
  <si>
    <t xml:space="preserve">        379.15亿</t>
  </si>
  <si>
    <t xml:space="preserve">        379.18亿</t>
  </si>
  <si>
    <t>18.12万</t>
  </si>
  <si>
    <t>山水文化</t>
  </si>
  <si>
    <t xml:space="preserve">         14.59亿</t>
  </si>
  <si>
    <t>民丰特纸</t>
  </si>
  <si>
    <t xml:space="preserve">         18.69亿</t>
  </si>
  <si>
    <t xml:space="preserve">   2.31㈡</t>
  </si>
  <si>
    <t>桂冠电力</t>
  </si>
  <si>
    <t xml:space="preserve">         75.32亿</t>
  </si>
  <si>
    <t xml:space="preserve">        466.64亿</t>
  </si>
  <si>
    <t>14.62万</t>
  </si>
  <si>
    <t>铜峰电子</t>
  </si>
  <si>
    <t>海南椰岛</t>
  </si>
  <si>
    <t xml:space="preserve">         44.98亿</t>
  </si>
  <si>
    <t xml:space="preserve">         72.71亿</t>
  </si>
  <si>
    <t xml:space="preserve">         73.24亿</t>
  </si>
  <si>
    <t>青海华鼎</t>
  </si>
  <si>
    <t xml:space="preserve">         27.34亿</t>
  </si>
  <si>
    <t xml:space="preserve">  -1.54㈡</t>
  </si>
  <si>
    <t>万通发展</t>
  </si>
  <si>
    <t xml:space="preserve">         79.82亿</t>
  </si>
  <si>
    <t xml:space="preserve">        234.57亿</t>
  </si>
  <si>
    <t>31.42万</t>
  </si>
  <si>
    <t>陕西建工</t>
  </si>
  <si>
    <t xml:space="preserve">         39.53亿</t>
  </si>
  <si>
    <t xml:space="preserve">        225.83亿</t>
  </si>
  <si>
    <t>两面针</t>
  </si>
  <si>
    <t>2.65万</t>
  </si>
  <si>
    <t>-0.019㈡</t>
  </si>
  <si>
    <t xml:space="preserve">  -0.50㈡</t>
  </si>
  <si>
    <t>南纺股份</t>
  </si>
  <si>
    <t xml:space="preserve">          6.96亿</t>
  </si>
  <si>
    <t>冠农股份</t>
  </si>
  <si>
    <t xml:space="preserve">         82.91亿</t>
  </si>
  <si>
    <t xml:space="preserve">         83.39亿</t>
  </si>
  <si>
    <t>10.75万</t>
  </si>
  <si>
    <t>中恒集团</t>
  </si>
  <si>
    <t xml:space="preserve">         85.39亿</t>
  </si>
  <si>
    <t xml:space="preserve">        118.15亿</t>
  </si>
  <si>
    <t>鑫科材料</t>
  </si>
  <si>
    <t xml:space="preserve">         43.89亿</t>
  </si>
  <si>
    <t>3.28万</t>
  </si>
  <si>
    <t>广汇能源</t>
  </si>
  <si>
    <t xml:space="preserve">        354.61亿</t>
  </si>
  <si>
    <t xml:space="preserve">        582.20亿</t>
  </si>
  <si>
    <t>大湖股份</t>
  </si>
  <si>
    <t xml:space="preserve">         26.48亿</t>
  </si>
  <si>
    <t>3.69万</t>
  </si>
  <si>
    <t>首旅酒店</t>
  </si>
  <si>
    <t xml:space="preserve">        114.03亿</t>
  </si>
  <si>
    <t xml:space="preserve">        227.84亿</t>
  </si>
  <si>
    <t xml:space="preserve">        228.99亿</t>
  </si>
  <si>
    <t>32.37万</t>
  </si>
  <si>
    <t>广晟有色</t>
  </si>
  <si>
    <t xml:space="preserve">         99.08亿</t>
  </si>
  <si>
    <t xml:space="preserve">        194.48亿</t>
  </si>
  <si>
    <t>19.80万</t>
  </si>
  <si>
    <t>阳光照明</t>
  </si>
  <si>
    <t>北方股份</t>
  </si>
  <si>
    <t>城建发展</t>
  </si>
  <si>
    <t xml:space="preserve">        106.73亿</t>
  </si>
  <si>
    <t>9.50万</t>
  </si>
  <si>
    <t>海正药业</t>
  </si>
  <si>
    <t xml:space="preserve">         70.99亿</t>
  </si>
  <si>
    <t xml:space="preserve">        122.62亿</t>
  </si>
  <si>
    <t xml:space="preserve">        151.92亿</t>
  </si>
  <si>
    <t>国电南自</t>
  </si>
  <si>
    <t xml:space="preserve">         57.85亿</t>
  </si>
  <si>
    <t>赣粤高速</t>
  </si>
  <si>
    <t xml:space="preserve">         38.78亿</t>
  </si>
  <si>
    <t>航天信息</t>
  </si>
  <si>
    <t xml:space="preserve">        122.80亿</t>
  </si>
  <si>
    <t xml:space="preserve">        231.80亿</t>
  </si>
  <si>
    <t>开开实业</t>
  </si>
  <si>
    <t xml:space="preserve">          6.27亿</t>
  </si>
  <si>
    <t>嘉化能源</t>
  </si>
  <si>
    <t xml:space="preserve">        190.27亿</t>
  </si>
  <si>
    <t>24.22万</t>
  </si>
  <si>
    <t xml:space="preserve">   8.63㈡</t>
  </si>
  <si>
    <t>恒瑞医药</t>
  </si>
  <si>
    <t xml:space="preserve">       1789.04亿</t>
  </si>
  <si>
    <t xml:space="preserve">       2938.61亿</t>
  </si>
  <si>
    <t xml:space="preserve">       2952.44亿</t>
  </si>
  <si>
    <t>29.32万</t>
  </si>
  <si>
    <t>亿利洁能</t>
  </si>
  <si>
    <t xml:space="preserve">         74.18亿</t>
  </si>
  <si>
    <t xml:space="preserve">        149.19亿</t>
  </si>
  <si>
    <t>11.38万</t>
  </si>
  <si>
    <t>东方创业</t>
  </si>
  <si>
    <t xml:space="preserve">         69.39亿</t>
  </si>
  <si>
    <t>重庆港九</t>
  </si>
  <si>
    <t>中央商场</t>
  </si>
  <si>
    <t xml:space="preserve">         35.29亿</t>
  </si>
  <si>
    <t>华阳新材</t>
  </si>
  <si>
    <t xml:space="preserve">         22.24亿</t>
  </si>
  <si>
    <t xml:space="preserve">         39.35亿</t>
  </si>
  <si>
    <t xml:space="preserve">  -2.75㈡</t>
  </si>
  <si>
    <t>南钢股份</t>
  </si>
  <si>
    <t xml:space="preserve">        121.04亿</t>
  </si>
  <si>
    <t xml:space="preserve">        212.27亿</t>
  </si>
  <si>
    <t xml:space="preserve">        293.10亿</t>
  </si>
  <si>
    <t>11.88万</t>
  </si>
  <si>
    <t xml:space="preserve">   9.25㈡</t>
  </si>
  <si>
    <t>钱江水利</t>
  </si>
  <si>
    <t>浦东建设</t>
  </si>
  <si>
    <t>羚锐制药</t>
  </si>
  <si>
    <t xml:space="preserve">         59.51亿</t>
  </si>
  <si>
    <t xml:space="preserve">         60.98亿</t>
  </si>
  <si>
    <t>12.59万</t>
  </si>
  <si>
    <t>江苏舜天</t>
  </si>
  <si>
    <t xml:space="preserve">          9.90亿</t>
  </si>
  <si>
    <t xml:space="preserve">  -2.22㈡</t>
  </si>
  <si>
    <t>大恒科技</t>
  </si>
  <si>
    <t xml:space="preserve">         55.04亿</t>
  </si>
  <si>
    <t>15.09万</t>
  </si>
  <si>
    <t>远达环保</t>
  </si>
  <si>
    <t>4.80万</t>
  </si>
  <si>
    <t>三峡新材</t>
  </si>
  <si>
    <t xml:space="preserve">         48.61亿</t>
  </si>
  <si>
    <t xml:space="preserve">  -6.09㈡</t>
  </si>
  <si>
    <t>鄂尔多斯</t>
  </si>
  <si>
    <t xml:space="preserve">        257.23亿</t>
  </si>
  <si>
    <t xml:space="preserve">        562.90亿</t>
  </si>
  <si>
    <t>43.67万</t>
  </si>
  <si>
    <t>1.100㈡</t>
  </si>
  <si>
    <t>广汇汽车</t>
  </si>
  <si>
    <t xml:space="preserve">        121.01亿</t>
  </si>
  <si>
    <t xml:space="preserve">        257.10亿</t>
  </si>
  <si>
    <t>安琪酵母</t>
  </si>
  <si>
    <t xml:space="preserve">        211.11亿</t>
  </si>
  <si>
    <t xml:space="preserve">        351.72亿</t>
  </si>
  <si>
    <t xml:space="preserve">        355.47亿</t>
  </si>
  <si>
    <t>23.85万</t>
  </si>
  <si>
    <t>0.994㈡</t>
  </si>
  <si>
    <t xml:space="preserve">  12.68㈡</t>
  </si>
  <si>
    <t>安迪苏</t>
  </si>
  <si>
    <t xml:space="preserve">        339.80亿</t>
  </si>
  <si>
    <t>14.61万</t>
  </si>
  <si>
    <t xml:space="preserve">   5.90㈡</t>
  </si>
  <si>
    <t>标准股份</t>
  </si>
  <si>
    <t xml:space="preserve">          8.99亿</t>
  </si>
  <si>
    <t>-0.063㈡</t>
  </si>
  <si>
    <t>曙光股份</t>
  </si>
  <si>
    <t xml:space="preserve">         27.09亿</t>
  </si>
  <si>
    <t>3.42万</t>
  </si>
  <si>
    <t>恒顺醋业</t>
  </si>
  <si>
    <t xml:space="preserve">         77.30亿</t>
  </si>
  <si>
    <t xml:space="preserve">        139.61亿</t>
  </si>
  <si>
    <t>酒钢宏兴</t>
  </si>
  <si>
    <t xml:space="preserve">         94.58亿</t>
  </si>
  <si>
    <t xml:space="preserve">        209.20亿</t>
  </si>
  <si>
    <t>0.311㈡</t>
  </si>
  <si>
    <t xml:space="preserve">  13.61㈡</t>
  </si>
  <si>
    <t>华泰股份</t>
  </si>
  <si>
    <t xml:space="preserve">         66.27亿</t>
  </si>
  <si>
    <t xml:space="preserve">        102.98亿</t>
  </si>
  <si>
    <t>0.502㈡</t>
  </si>
  <si>
    <t>万华化学</t>
  </si>
  <si>
    <t xml:space="preserve">       1586.78亿</t>
  </si>
  <si>
    <t xml:space="preserve">       3499.25亿</t>
  </si>
  <si>
    <t>93.89万</t>
  </si>
  <si>
    <t>4.310㈡</t>
  </si>
  <si>
    <t xml:space="preserve">  23.40㈡</t>
  </si>
  <si>
    <t>桂东电力</t>
  </si>
  <si>
    <t xml:space="preserve">         54.00亿</t>
  </si>
  <si>
    <t>6.49万</t>
  </si>
  <si>
    <t>-0.121㈡</t>
  </si>
  <si>
    <t xml:space="preserve">  -6.06㈡</t>
  </si>
  <si>
    <t>平高电气</t>
  </si>
  <si>
    <t xml:space="preserve">         66.61亿</t>
  </si>
  <si>
    <t xml:space="preserve">        111.95亿</t>
  </si>
  <si>
    <t>农发种业</t>
  </si>
  <si>
    <t xml:space="preserve">         55.63亿</t>
  </si>
  <si>
    <t>上海家化</t>
  </si>
  <si>
    <t xml:space="preserve">        141.98亿</t>
  </si>
  <si>
    <t xml:space="preserve">        292.06亿</t>
  </si>
  <si>
    <t xml:space="preserve">        295.71亿</t>
  </si>
  <si>
    <t>64.74万</t>
  </si>
  <si>
    <t>洪都航空</t>
  </si>
  <si>
    <t xml:space="preserve">        149.92亿</t>
  </si>
  <si>
    <t>0.081㈡</t>
  </si>
  <si>
    <t xml:space="preserve">   1.13㈡</t>
  </si>
  <si>
    <t>新力金融</t>
  </si>
  <si>
    <t>振华重工</t>
  </si>
  <si>
    <t xml:space="preserve">         80.24亿</t>
  </si>
  <si>
    <t xml:space="preserve">        147.83亿</t>
  </si>
  <si>
    <t xml:space="preserve">        234.44亿</t>
  </si>
  <si>
    <t>正源股份</t>
  </si>
  <si>
    <t>-0.009㈡</t>
  </si>
  <si>
    <t xml:space="preserve">  -0.72㈡</t>
  </si>
  <si>
    <t>天房发展</t>
  </si>
  <si>
    <t>2.40万</t>
  </si>
  <si>
    <t>-0.089㈡</t>
  </si>
  <si>
    <t xml:space="preserve">  -4.82㈡</t>
  </si>
  <si>
    <t>瀚蓝环境</t>
  </si>
  <si>
    <t xml:space="preserve">        103.30亿</t>
  </si>
  <si>
    <t xml:space="preserve">        187.53亿</t>
  </si>
  <si>
    <t>华发股份</t>
  </si>
  <si>
    <t xml:space="preserve">         90.49亿</t>
  </si>
  <si>
    <t xml:space="preserve">        126.63亿</t>
  </si>
  <si>
    <t xml:space="preserve">        126.82亿</t>
  </si>
  <si>
    <t>17.79万</t>
  </si>
  <si>
    <t>西藏天路</t>
  </si>
  <si>
    <t xml:space="preserve">         51.50亿</t>
  </si>
  <si>
    <t>0.075㈡</t>
  </si>
  <si>
    <t>大东方</t>
  </si>
  <si>
    <t xml:space="preserve">         55.56亿</t>
  </si>
  <si>
    <t>中盐化工</t>
  </si>
  <si>
    <t xml:space="preserve">        121.10亿</t>
  </si>
  <si>
    <t xml:space="preserve">        161.17亿</t>
  </si>
  <si>
    <t xml:space="preserve">        275.81亿</t>
  </si>
  <si>
    <t>25.80万</t>
  </si>
  <si>
    <t>0.803㈡</t>
  </si>
  <si>
    <t>中新药业</t>
  </si>
  <si>
    <t xml:space="preserve">         63.29亿</t>
  </si>
  <si>
    <t xml:space="preserve">        149.22亿</t>
  </si>
  <si>
    <t xml:space="preserve">        204.01亿</t>
  </si>
  <si>
    <t>天通股份</t>
  </si>
  <si>
    <t xml:space="preserve">         89.74亿</t>
  </si>
  <si>
    <t xml:space="preserve">        121.38亿</t>
  </si>
  <si>
    <t>10.83万</t>
  </si>
  <si>
    <t>宏达股份</t>
  </si>
  <si>
    <t xml:space="preserve">         70.89亿</t>
  </si>
  <si>
    <t xml:space="preserve">        109.93亿</t>
  </si>
  <si>
    <t xml:space="preserve">  81.57㈡</t>
  </si>
  <si>
    <t>白云山</t>
  </si>
  <si>
    <t xml:space="preserve">        202.14亿</t>
  </si>
  <si>
    <t xml:space="preserve">        421.91亿</t>
  </si>
  <si>
    <t xml:space="preserve">   9.01㈡</t>
  </si>
  <si>
    <t>长春燃气</t>
  </si>
  <si>
    <t xml:space="preserve">         37.70亿</t>
  </si>
  <si>
    <t>1.93万</t>
  </si>
  <si>
    <t xml:space="preserve">  -3.07㈡</t>
  </si>
  <si>
    <t>国机汽车</t>
  </si>
  <si>
    <t xml:space="preserve">         59.83亿</t>
  </si>
  <si>
    <t xml:space="preserve">         84.64亿</t>
  </si>
  <si>
    <t>澳柯玛</t>
  </si>
  <si>
    <t xml:space="preserve">         48.77亿</t>
  </si>
  <si>
    <t>美克家居</t>
  </si>
  <si>
    <t>12.28万</t>
  </si>
  <si>
    <t>西藏珠峰</t>
  </si>
  <si>
    <t xml:space="preserve">        197.29亿</t>
  </si>
  <si>
    <t xml:space="preserve">        392.10亿</t>
  </si>
  <si>
    <t>28.76万</t>
  </si>
  <si>
    <t>0.457㈡</t>
  </si>
  <si>
    <t xml:space="preserve">  16.66㈡</t>
  </si>
  <si>
    <t>中油工程</t>
  </si>
  <si>
    <t xml:space="preserve">         52.93亿</t>
  </si>
  <si>
    <t xml:space="preserve">        190.39亿</t>
  </si>
  <si>
    <t>华夏幸福</t>
  </si>
  <si>
    <t xml:space="preserve">         77.31亿</t>
  </si>
  <si>
    <t xml:space="preserve">        149.12亿</t>
  </si>
  <si>
    <t>4.41万</t>
  </si>
  <si>
    <t>-2.620㈡</t>
  </si>
  <si>
    <t xml:space="preserve"> -18.01㈡</t>
  </si>
  <si>
    <t>航天动力</t>
  </si>
  <si>
    <t xml:space="preserve">         37.63亿</t>
  </si>
  <si>
    <t xml:space="preserve">         66.95亿</t>
  </si>
  <si>
    <t>长江通信</t>
  </si>
  <si>
    <t xml:space="preserve">         33.42亿</t>
  </si>
  <si>
    <t>恒力石化</t>
  </si>
  <si>
    <t xml:space="preserve">        519.78亿</t>
  </si>
  <si>
    <t xml:space="preserve">       2143.41亿</t>
  </si>
  <si>
    <t>40.51万</t>
  </si>
  <si>
    <t>1.230㈡</t>
  </si>
  <si>
    <t xml:space="preserve">  17.24㈡</t>
  </si>
  <si>
    <t>华阳股份</t>
  </si>
  <si>
    <t xml:space="preserve">        140.17亿</t>
  </si>
  <si>
    <t xml:space="preserve">        336.46亿</t>
  </si>
  <si>
    <t>17.77万</t>
  </si>
  <si>
    <t>山东高速</t>
  </si>
  <si>
    <t xml:space="preserve">        276.16亿</t>
  </si>
  <si>
    <t>亚宝药业</t>
  </si>
  <si>
    <t xml:space="preserve">         61.29亿</t>
  </si>
  <si>
    <t xml:space="preserve">   3.50㈡</t>
  </si>
  <si>
    <t>浙江龙盛</t>
  </si>
  <si>
    <t xml:space="preserve">        381.63亿</t>
  </si>
  <si>
    <t xml:space="preserve">        493.21亿</t>
  </si>
  <si>
    <t>19.01万</t>
  </si>
  <si>
    <t>旭光电子</t>
  </si>
  <si>
    <t>敦煌种业</t>
  </si>
  <si>
    <t xml:space="preserve">  -0.68㈡</t>
  </si>
  <si>
    <t>精伦电子</t>
  </si>
  <si>
    <t xml:space="preserve">         13.02亿</t>
  </si>
  <si>
    <t xml:space="preserve">         15.50亿</t>
  </si>
  <si>
    <t>恒丰纸业</t>
  </si>
  <si>
    <t>国旅联合</t>
  </si>
  <si>
    <t>新农开发</t>
  </si>
  <si>
    <t>华微电子</t>
  </si>
  <si>
    <t xml:space="preserve">         63.63亿</t>
  </si>
  <si>
    <t xml:space="preserve">         81.91亿</t>
  </si>
  <si>
    <t>华联综超</t>
  </si>
  <si>
    <t xml:space="preserve">  -0.85㈡</t>
  </si>
  <si>
    <t>江西铜业</t>
  </si>
  <si>
    <t xml:space="preserve">        248.08亿</t>
  </si>
  <si>
    <t xml:space="preserve">        564.26亿</t>
  </si>
  <si>
    <t>联创光电</t>
  </si>
  <si>
    <t xml:space="preserve">        104.91亿</t>
  </si>
  <si>
    <t xml:space="preserve">        133.04亿</t>
  </si>
  <si>
    <t xml:space="preserve">        136.64亿</t>
  </si>
  <si>
    <t>34.01万</t>
  </si>
  <si>
    <t>宁波韵升</t>
  </si>
  <si>
    <t xml:space="preserve">         79.90亿</t>
  </si>
  <si>
    <t xml:space="preserve">        121.17亿</t>
  </si>
  <si>
    <t>11.89万</t>
  </si>
  <si>
    <t>红星发展</t>
  </si>
  <si>
    <t xml:space="preserve">         40.87亿</t>
  </si>
  <si>
    <t xml:space="preserve">         63.95亿</t>
  </si>
  <si>
    <t xml:space="preserve">         64.41亿</t>
  </si>
  <si>
    <t>12.96万</t>
  </si>
  <si>
    <t xml:space="preserve">   4.70㈡</t>
  </si>
  <si>
    <t>五洲交通</t>
  </si>
  <si>
    <t>0.358㈡</t>
  </si>
  <si>
    <t xml:space="preserve">   8.00㈡</t>
  </si>
  <si>
    <t>西南证券</t>
  </si>
  <si>
    <t xml:space="preserve">        298.63亿</t>
  </si>
  <si>
    <t xml:space="preserve">        351.53亿</t>
  </si>
  <si>
    <t>三房巷</t>
  </si>
  <si>
    <t xml:space="preserve">         13.57亿</t>
  </si>
  <si>
    <t xml:space="preserve">        146.50亿</t>
  </si>
  <si>
    <t xml:space="preserve">   5.29㈡</t>
  </si>
  <si>
    <t>万向德农</t>
  </si>
  <si>
    <t>中航电子</t>
  </si>
  <si>
    <t xml:space="preserve">        338.40亿</t>
  </si>
  <si>
    <t>15.15万</t>
  </si>
  <si>
    <t>中文传媒</t>
  </si>
  <si>
    <t xml:space="preserve">        150.14亿</t>
  </si>
  <si>
    <t>16.91万</t>
  </si>
  <si>
    <t>汉马科技</t>
  </si>
  <si>
    <t xml:space="preserve">         50.35亿</t>
  </si>
  <si>
    <t xml:space="preserve">         59.28亿</t>
  </si>
  <si>
    <t>-0.970㈡</t>
  </si>
  <si>
    <t xml:space="preserve"> -23.70㈡</t>
  </si>
  <si>
    <t>首开股份</t>
  </si>
  <si>
    <t xml:space="preserve">        135.94亿</t>
  </si>
  <si>
    <t>16.16万</t>
  </si>
  <si>
    <t>宁沪高速</t>
  </si>
  <si>
    <t xml:space="preserve">        330.41亿</t>
  </si>
  <si>
    <t xml:space="preserve">        331.59亿</t>
  </si>
  <si>
    <t>14.81万</t>
  </si>
  <si>
    <t>0.532㈡</t>
  </si>
  <si>
    <t xml:space="preserve">   9.08㈡</t>
  </si>
  <si>
    <t>昊华科技</t>
  </si>
  <si>
    <t xml:space="preserve">        121.25亿</t>
  </si>
  <si>
    <t xml:space="preserve">        312.54亿</t>
  </si>
  <si>
    <t>36.17万</t>
  </si>
  <si>
    <t>宝光股份</t>
  </si>
  <si>
    <t xml:space="preserve">         24.36亿</t>
  </si>
  <si>
    <t>9.84万</t>
  </si>
  <si>
    <t>健康元</t>
  </si>
  <si>
    <t xml:space="preserve">        129.29亿</t>
  </si>
  <si>
    <t xml:space="preserve">        238.12亿</t>
  </si>
  <si>
    <t>青海春天</t>
  </si>
  <si>
    <t xml:space="preserve">         45.56亿</t>
  </si>
  <si>
    <t>金地集团</t>
  </si>
  <si>
    <t xml:space="preserve">        189.92亿</t>
  </si>
  <si>
    <t xml:space="preserve">        452.81亿</t>
  </si>
  <si>
    <t>26.27万</t>
  </si>
  <si>
    <t>北巴传媒</t>
  </si>
  <si>
    <t xml:space="preserve">         30.48亿</t>
  </si>
  <si>
    <t>5.52万</t>
  </si>
  <si>
    <t>龙净环保</t>
  </si>
  <si>
    <t xml:space="preserve">         63.93亿</t>
  </si>
  <si>
    <t xml:space="preserve">         97.50亿</t>
  </si>
  <si>
    <t xml:space="preserve">   6.30㈡</t>
  </si>
  <si>
    <t>江山股份</t>
  </si>
  <si>
    <t xml:space="preserve">         70.16亿</t>
  </si>
  <si>
    <t>55.76万</t>
  </si>
  <si>
    <t>1.034㈡</t>
  </si>
  <si>
    <t>五矿资本</t>
  </si>
  <si>
    <t xml:space="preserve">        273.93亿</t>
  </si>
  <si>
    <t>26.95万</t>
  </si>
  <si>
    <t>航发科技</t>
  </si>
  <si>
    <t xml:space="preserve">         68.17亿</t>
  </si>
  <si>
    <t xml:space="preserve">  -3.80㈡</t>
  </si>
  <si>
    <t>盛和资源</t>
  </si>
  <si>
    <t xml:space="preserve">        312.56亿</t>
  </si>
  <si>
    <t xml:space="preserve">        460.03亿</t>
  </si>
  <si>
    <t>18.75万</t>
  </si>
  <si>
    <t>盘江股份</t>
  </si>
  <si>
    <t xml:space="preserve">         54.96亿</t>
  </si>
  <si>
    <t xml:space="preserve">        181.06亿</t>
  </si>
  <si>
    <t>金山股份</t>
  </si>
  <si>
    <t xml:space="preserve">         15.69亿</t>
  </si>
  <si>
    <t xml:space="preserve">         37.41亿</t>
  </si>
  <si>
    <t>2.35万</t>
  </si>
  <si>
    <t>-0.214㈡</t>
  </si>
  <si>
    <t xml:space="preserve"> -17.46㈡</t>
  </si>
  <si>
    <t>安源煤业</t>
  </si>
  <si>
    <t xml:space="preserve">         35.44亿</t>
  </si>
  <si>
    <t xml:space="preserve"> -10.28㈡</t>
  </si>
  <si>
    <t>海澜之家</t>
  </si>
  <si>
    <t xml:space="preserve">         90.92亿</t>
  </si>
  <si>
    <t xml:space="preserve">        325.27亿</t>
  </si>
  <si>
    <t>18.79万</t>
  </si>
  <si>
    <t xml:space="preserve">  11.57㈡</t>
  </si>
  <si>
    <t>抚顺特钢</t>
  </si>
  <si>
    <t xml:space="preserve">        301.37亿</t>
  </si>
  <si>
    <t xml:space="preserve">        425.97亿</t>
  </si>
  <si>
    <t>68.20万</t>
  </si>
  <si>
    <t>红豆股份</t>
  </si>
  <si>
    <t xml:space="preserve">         26.54亿</t>
  </si>
  <si>
    <t xml:space="preserve">         75.24亿</t>
  </si>
  <si>
    <t>动力源</t>
  </si>
  <si>
    <t xml:space="preserve">         30.99亿</t>
  </si>
  <si>
    <t xml:space="preserve">         34.91亿</t>
  </si>
  <si>
    <t xml:space="preserve">  -5.70㈡</t>
  </si>
  <si>
    <t>国电南瑞</t>
  </si>
  <si>
    <t xml:space="preserve">        778.03亿</t>
  </si>
  <si>
    <t xml:space="preserve">       1834.34亿</t>
  </si>
  <si>
    <t xml:space="preserve">       1845.64亿</t>
  </si>
  <si>
    <t>123.74万</t>
  </si>
  <si>
    <t>三友化工</t>
  </si>
  <si>
    <t xml:space="preserve">        168.11亿</t>
  </si>
  <si>
    <t xml:space="preserve">        307.18亿</t>
  </si>
  <si>
    <t>21.36万</t>
  </si>
  <si>
    <t>0.565㈡</t>
  </si>
  <si>
    <t xml:space="preserve">   9.48㈡</t>
  </si>
  <si>
    <t>华胜天成</t>
  </si>
  <si>
    <t xml:space="preserve">         72.23亿</t>
  </si>
  <si>
    <t>小商品城</t>
  </si>
  <si>
    <t xml:space="preserve">        109.04亿</t>
  </si>
  <si>
    <t xml:space="preserve">        262.91亿</t>
  </si>
  <si>
    <t xml:space="preserve">        265.16亿</t>
  </si>
  <si>
    <t>湘电股份</t>
  </si>
  <si>
    <t xml:space="preserve">         95.74亿</t>
  </si>
  <si>
    <t xml:space="preserve">        175.90亿</t>
  </si>
  <si>
    <t>34.44万</t>
  </si>
  <si>
    <t>江淮汽车</t>
  </si>
  <si>
    <t xml:space="preserve">        183.32亿</t>
  </si>
  <si>
    <t xml:space="preserve">        266.77亿</t>
  </si>
  <si>
    <t>13.86万</t>
  </si>
  <si>
    <t>天润乳业</t>
  </si>
  <si>
    <t>0.302㈡</t>
  </si>
  <si>
    <t>国药现代</t>
  </si>
  <si>
    <t xml:space="preserve">        101.77亿</t>
  </si>
  <si>
    <t>华嵘控股</t>
  </si>
  <si>
    <t xml:space="preserve">         17.37亿</t>
  </si>
  <si>
    <t xml:space="preserve">  -8.80㈡</t>
  </si>
  <si>
    <t>昆药集团</t>
  </si>
  <si>
    <t xml:space="preserve">         43.18亿</t>
  </si>
  <si>
    <t xml:space="preserve">         71.34亿</t>
  </si>
  <si>
    <t xml:space="preserve">         71.58亿</t>
  </si>
  <si>
    <t>0.438㈡</t>
  </si>
  <si>
    <t>柳化股份</t>
  </si>
  <si>
    <t xml:space="preserve">         35.14亿</t>
  </si>
  <si>
    <t>9.55万</t>
  </si>
  <si>
    <t>青松建化</t>
  </si>
  <si>
    <t xml:space="preserve">         41.78亿</t>
  </si>
  <si>
    <t xml:space="preserve">         59.01亿</t>
  </si>
  <si>
    <t>华鲁恒升</t>
  </si>
  <si>
    <t xml:space="preserve">        539.09亿</t>
  </si>
  <si>
    <t xml:space="preserve">        796.00亿</t>
  </si>
  <si>
    <t xml:space="preserve">        797.04亿</t>
  </si>
  <si>
    <t>99.64万</t>
  </si>
  <si>
    <t>1.800㈡</t>
  </si>
  <si>
    <t xml:space="preserve">  20.24㈡</t>
  </si>
  <si>
    <t>中远海特</t>
  </si>
  <si>
    <t xml:space="preserve">        167.65亿</t>
  </si>
  <si>
    <t>三元股份</t>
  </si>
  <si>
    <t xml:space="preserve">         83.86亿</t>
  </si>
  <si>
    <t>冠豪高新</t>
  </si>
  <si>
    <t xml:space="preserve">         57.84亿</t>
  </si>
  <si>
    <t xml:space="preserve">        103.34亿</t>
  </si>
  <si>
    <t>北方导航</t>
  </si>
  <si>
    <t xml:space="preserve">         80.21亿</t>
  </si>
  <si>
    <t>片仔癀</t>
  </si>
  <si>
    <t xml:space="preserve">        842.62亿</t>
  </si>
  <si>
    <t xml:space="preserve">       2002.53亿</t>
  </si>
  <si>
    <t>71.77万</t>
  </si>
  <si>
    <t>1.850㈡</t>
  </si>
  <si>
    <t xml:space="preserve">  13.20㈡</t>
  </si>
  <si>
    <t>通威股份</t>
  </si>
  <si>
    <t xml:space="preserve">       1251.13亿</t>
  </si>
  <si>
    <t xml:space="preserve">       2228.27亿</t>
  </si>
  <si>
    <t>40.60万</t>
  </si>
  <si>
    <t>0.659㈡</t>
  </si>
  <si>
    <t>瑞贝卡</t>
  </si>
  <si>
    <t xml:space="preserve">         22.81亿</t>
  </si>
  <si>
    <t>国机通用</t>
  </si>
  <si>
    <t xml:space="preserve">         11.55亿</t>
  </si>
  <si>
    <t>13.68万</t>
  </si>
  <si>
    <t>金证股份</t>
  </si>
  <si>
    <t xml:space="preserve">        119.58亿</t>
  </si>
  <si>
    <t xml:space="preserve">        131.62亿</t>
  </si>
  <si>
    <t>华纺股份</t>
  </si>
  <si>
    <t>宁夏建材</t>
  </si>
  <si>
    <t xml:space="preserve">         31.25亿</t>
  </si>
  <si>
    <t>涪陵电力</t>
  </si>
  <si>
    <t xml:space="preserve">         46.37亿</t>
  </si>
  <si>
    <t xml:space="preserve">        118.90亿</t>
  </si>
  <si>
    <t xml:space="preserve">  11.59㈡</t>
  </si>
  <si>
    <t>博通股份</t>
  </si>
  <si>
    <t xml:space="preserve">         10.06亿</t>
  </si>
  <si>
    <t>9.66万</t>
  </si>
  <si>
    <t>宝钛股份</t>
  </si>
  <si>
    <t xml:space="preserve">        120.38亿</t>
  </si>
  <si>
    <t xml:space="preserve">        230.48亿</t>
  </si>
  <si>
    <t>30.08万</t>
  </si>
  <si>
    <t>时代新材</t>
  </si>
  <si>
    <t xml:space="preserve">         44.13亿</t>
  </si>
  <si>
    <t xml:space="preserve">         90.80亿</t>
  </si>
  <si>
    <t>贵研铂业</t>
  </si>
  <si>
    <t xml:space="preserve">         88.37亿</t>
  </si>
  <si>
    <t xml:space="preserve">        146.41亿</t>
  </si>
  <si>
    <t>士兰微</t>
  </si>
  <si>
    <t xml:space="preserve">        422.78亿</t>
  </si>
  <si>
    <t xml:space="preserve">        715.20亿</t>
  </si>
  <si>
    <t xml:space="preserve">        760.09亿</t>
  </si>
  <si>
    <t xml:space="preserve">  11.17㈡</t>
  </si>
  <si>
    <t>洪城环境</t>
  </si>
  <si>
    <t>18.68万</t>
  </si>
  <si>
    <t xml:space="preserve">   7.42㈡</t>
  </si>
  <si>
    <t>空港股份</t>
  </si>
  <si>
    <t xml:space="preserve">         20.22亿</t>
  </si>
  <si>
    <t>蓝光发展</t>
  </si>
  <si>
    <t xml:space="preserve">         29.02亿</t>
  </si>
  <si>
    <t xml:space="preserve">         67.98亿</t>
  </si>
  <si>
    <t>-1.580㈡</t>
  </si>
  <si>
    <t xml:space="preserve"> -43.63㈡</t>
  </si>
  <si>
    <t>好当家</t>
  </si>
  <si>
    <t xml:space="preserve">         38.57亿</t>
  </si>
  <si>
    <t>百利电气</t>
  </si>
  <si>
    <t>风神股份</t>
  </si>
  <si>
    <t>六国化工</t>
  </si>
  <si>
    <t xml:space="preserve">         38.16亿</t>
  </si>
  <si>
    <t xml:space="preserve">   9.98㈡</t>
  </si>
  <si>
    <t>华光环能</t>
  </si>
  <si>
    <t xml:space="preserve">         20.96亿</t>
  </si>
  <si>
    <t xml:space="preserve">         85.56亿</t>
  </si>
  <si>
    <t xml:space="preserve">         88.02亿</t>
  </si>
  <si>
    <t>11.53万</t>
  </si>
  <si>
    <t>湘邮科技</t>
  </si>
  <si>
    <t>-0.025㈡</t>
  </si>
  <si>
    <t>杭萧钢构</t>
  </si>
  <si>
    <t xml:space="preserve">         48.37亿</t>
  </si>
  <si>
    <t xml:space="preserve">         84.42亿</t>
  </si>
  <si>
    <t>科力远</t>
  </si>
  <si>
    <t xml:space="preserve">         83.21亿</t>
  </si>
  <si>
    <t xml:space="preserve">        114.70亿</t>
  </si>
  <si>
    <t>14.70万</t>
  </si>
  <si>
    <t>千金药业</t>
  </si>
  <si>
    <t>0.247㈡</t>
  </si>
  <si>
    <t>凌云股份</t>
  </si>
  <si>
    <t xml:space="preserve">         65.73亿</t>
  </si>
  <si>
    <t>11.96万</t>
  </si>
  <si>
    <t>双良节能</t>
  </si>
  <si>
    <t xml:space="preserve">        179.49亿</t>
  </si>
  <si>
    <t>16.48万</t>
  </si>
  <si>
    <t>中国动力</t>
  </si>
  <si>
    <t xml:space="preserve">        199.02亿</t>
  </si>
  <si>
    <t xml:space="preserve">        411.37亿</t>
  </si>
  <si>
    <t xml:space="preserve">        438.40亿</t>
  </si>
  <si>
    <t>49.72万</t>
  </si>
  <si>
    <t>福能股份</t>
  </si>
  <si>
    <t xml:space="preserve">        252.71亿</t>
  </si>
  <si>
    <t xml:space="preserve">        284.45亿</t>
  </si>
  <si>
    <t>31.51万</t>
  </si>
  <si>
    <t xml:space="preserve">   5.66㈡</t>
  </si>
  <si>
    <t>扬农化工</t>
  </si>
  <si>
    <t xml:space="preserve">        193.16亿</t>
  </si>
  <si>
    <t xml:space="preserve">        363.20亿</t>
  </si>
  <si>
    <t>103.53万</t>
  </si>
  <si>
    <t>2.550㈡</t>
  </si>
  <si>
    <t xml:space="preserve">  12.14㈡</t>
  </si>
  <si>
    <t>亨通光电</t>
  </si>
  <si>
    <t xml:space="preserve">        228.33亿</t>
  </si>
  <si>
    <t xml:space="preserve">        306.63亿</t>
  </si>
  <si>
    <t xml:space="preserve">        317.48亿</t>
  </si>
  <si>
    <t>13.06万</t>
  </si>
  <si>
    <t>天药股份</t>
  </si>
  <si>
    <t xml:space="preserve">         50.07亿</t>
  </si>
  <si>
    <t>中金黄金</t>
  </si>
  <si>
    <t xml:space="preserve">        238.92亿</t>
  </si>
  <si>
    <t xml:space="preserve">        397.00亿</t>
  </si>
  <si>
    <t xml:space="preserve">        441.11亿</t>
  </si>
  <si>
    <t>11.90万</t>
  </si>
  <si>
    <t>鹏欣资源</t>
  </si>
  <si>
    <t xml:space="preserve">        118.49亿</t>
  </si>
  <si>
    <t xml:space="preserve">        167.38亿</t>
  </si>
  <si>
    <t xml:space="preserve">        185.88亿</t>
  </si>
  <si>
    <t>15.81万</t>
  </si>
  <si>
    <t>龙元建设</t>
  </si>
  <si>
    <t xml:space="preserve">         55.65亿</t>
  </si>
  <si>
    <t xml:space="preserve">         95.46亿</t>
  </si>
  <si>
    <t>凤竹纺织</t>
  </si>
  <si>
    <t xml:space="preserve">          9.77亿</t>
  </si>
  <si>
    <t xml:space="preserve">         14.58亿</t>
  </si>
  <si>
    <t>晋西车轴</t>
  </si>
  <si>
    <t xml:space="preserve">         31.34亿</t>
  </si>
  <si>
    <t xml:space="preserve">  -1.74㈡</t>
  </si>
  <si>
    <t>精工钢构</t>
  </si>
  <si>
    <t xml:space="preserve">         63.02亿</t>
  </si>
  <si>
    <t xml:space="preserve">         85.95亿</t>
  </si>
  <si>
    <t>驰宏锌锗</t>
  </si>
  <si>
    <t xml:space="preserve">        169.15亿</t>
  </si>
  <si>
    <t xml:space="preserve">        298.86亿</t>
  </si>
  <si>
    <t xml:space="preserve">   3.98㈡</t>
  </si>
  <si>
    <t>烽火通信</t>
  </si>
  <si>
    <t xml:space="preserve">        115.31亿</t>
  </si>
  <si>
    <t>科达制造</t>
  </si>
  <si>
    <t xml:space="preserve">        203.27亿</t>
  </si>
  <si>
    <t xml:space="preserve">        316.86亿</t>
  </si>
  <si>
    <t xml:space="preserve">        379.38亿</t>
  </si>
  <si>
    <t>37.26万</t>
  </si>
  <si>
    <t>中化国际</t>
  </si>
  <si>
    <t xml:space="preserve">        139.98亿</t>
  </si>
  <si>
    <t xml:space="preserve">        315.74亿</t>
  </si>
  <si>
    <t xml:space="preserve">        322.51亿</t>
  </si>
  <si>
    <t>21.81万</t>
  </si>
  <si>
    <t xml:space="preserve">  15.87㈡</t>
  </si>
  <si>
    <t>航天晨光</t>
  </si>
  <si>
    <t xml:space="preserve">         41.71亿</t>
  </si>
  <si>
    <t>安徽建工</t>
  </si>
  <si>
    <t xml:space="preserve">         48.34亿</t>
  </si>
  <si>
    <t xml:space="preserve">         71.43亿</t>
  </si>
  <si>
    <t>8.64万</t>
  </si>
  <si>
    <t>华丽家族</t>
  </si>
  <si>
    <t xml:space="preserve">         56.24亿</t>
  </si>
  <si>
    <t>西昌电力</t>
  </si>
  <si>
    <t xml:space="preserve">         11.70亿</t>
  </si>
  <si>
    <t xml:space="preserve">         26.50亿</t>
  </si>
  <si>
    <t>方大特钢</t>
  </si>
  <si>
    <t xml:space="preserve">         96.41亿</t>
  </si>
  <si>
    <t xml:space="preserve">        196.19亿</t>
  </si>
  <si>
    <t xml:space="preserve">  18.01㈡</t>
  </si>
  <si>
    <t>上海能源</t>
  </si>
  <si>
    <t>天富能源</t>
  </si>
  <si>
    <t xml:space="preserve">         50.66亿</t>
  </si>
  <si>
    <t xml:space="preserve">         86.01亿</t>
  </si>
  <si>
    <t>黑牡丹</t>
  </si>
  <si>
    <t xml:space="preserve">         83.62亿</t>
  </si>
  <si>
    <t xml:space="preserve">         86.07亿</t>
  </si>
  <si>
    <t>国药股份</t>
  </si>
  <si>
    <t xml:space="preserve">        100.82亿</t>
  </si>
  <si>
    <t xml:space="preserve">        163.29亿</t>
  </si>
  <si>
    <t xml:space="preserve">        222.65亿</t>
  </si>
  <si>
    <t>1.015㈡</t>
  </si>
  <si>
    <t>腾达建设</t>
  </si>
  <si>
    <t>联环药业</t>
  </si>
  <si>
    <t xml:space="preserve">         15.52亿</t>
  </si>
  <si>
    <t xml:space="preserve">         24.66亿</t>
  </si>
  <si>
    <t>方大炭素</t>
  </si>
  <si>
    <t xml:space="preserve">        300.08亿</t>
  </si>
  <si>
    <t xml:space="preserve">        504.67亿</t>
  </si>
  <si>
    <t>11.83万</t>
  </si>
  <si>
    <t>国网英大</t>
  </si>
  <si>
    <t xml:space="preserve">        137.91亿</t>
  </si>
  <si>
    <t xml:space="preserve">        415.16亿</t>
  </si>
  <si>
    <t>11.44万</t>
  </si>
  <si>
    <t>贵州茅台</t>
  </si>
  <si>
    <t xml:space="preserve">       9010.92亿</t>
  </si>
  <si>
    <t xml:space="preserve">      20577.40亿</t>
  </si>
  <si>
    <t>615.93万</t>
  </si>
  <si>
    <t>19.620㈡</t>
  </si>
  <si>
    <t xml:space="preserve">  15.24㈡</t>
  </si>
  <si>
    <t>文一科技</t>
  </si>
  <si>
    <t xml:space="preserve">         14.01亿</t>
  </si>
  <si>
    <t xml:space="preserve">  -2.70㈡</t>
  </si>
  <si>
    <t>华海药业</t>
  </si>
  <si>
    <t xml:space="preserve">        142.32亿</t>
  </si>
  <si>
    <t xml:space="preserve">        246.85亿</t>
  </si>
  <si>
    <t xml:space="preserve">        253.15亿</t>
  </si>
  <si>
    <t>21.10万</t>
  </si>
  <si>
    <t>中天科技</t>
  </si>
  <si>
    <t xml:space="preserve">        206.83亿</t>
  </si>
  <si>
    <t xml:space="preserve">        275.95亿</t>
  </si>
  <si>
    <t>贵航股份</t>
  </si>
  <si>
    <t xml:space="preserve">         31.32亿</t>
  </si>
  <si>
    <t xml:space="preserve">         66.02亿</t>
  </si>
  <si>
    <t xml:space="preserve">         66.06亿</t>
  </si>
  <si>
    <t>18.59万</t>
  </si>
  <si>
    <t>长园集团</t>
  </si>
  <si>
    <t xml:space="preserve">         59.94亿</t>
  </si>
  <si>
    <t xml:space="preserve">         93.10亿</t>
  </si>
  <si>
    <t>菲达环保</t>
  </si>
  <si>
    <t xml:space="preserve">         34.05亿</t>
  </si>
  <si>
    <t>江南高纤</t>
  </si>
  <si>
    <t>中铁工业</t>
  </si>
  <si>
    <t xml:space="preserve">        186.83亿</t>
  </si>
  <si>
    <t>山东药玻</t>
  </si>
  <si>
    <t xml:space="preserve">        151.78亿</t>
  </si>
  <si>
    <t xml:space="preserve">        193.96亿</t>
  </si>
  <si>
    <t>0.506㈡</t>
  </si>
  <si>
    <t xml:space="preserve">   6.87㈡</t>
  </si>
  <si>
    <t>交大昂立</t>
  </si>
  <si>
    <t xml:space="preserve">         28.39亿</t>
  </si>
  <si>
    <t>4.11万</t>
  </si>
  <si>
    <t>豫光金铅</t>
  </si>
  <si>
    <t>未来股份</t>
  </si>
  <si>
    <t xml:space="preserve">         99.65亿</t>
  </si>
  <si>
    <t>74.25万</t>
  </si>
  <si>
    <t>栖霞建设</t>
  </si>
  <si>
    <t xml:space="preserve">         17.94亿</t>
  </si>
  <si>
    <t>0.316㈡</t>
  </si>
  <si>
    <t xml:space="preserve">   7.51㈡</t>
  </si>
  <si>
    <t>天士力</t>
  </si>
  <si>
    <t xml:space="preserve">        110.94亿</t>
  </si>
  <si>
    <t xml:space="preserve">        202.39亿</t>
  </si>
  <si>
    <t>12.84万</t>
  </si>
  <si>
    <t>中国软件</t>
  </si>
  <si>
    <t xml:space="preserve">        140.90亿</t>
  </si>
  <si>
    <t xml:space="preserve">        242.19亿</t>
  </si>
  <si>
    <t>10.27万</t>
  </si>
  <si>
    <t>-0.730㈡</t>
  </si>
  <si>
    <t xml:space="preserve"> -18.66㈡</t>
  </si>
  <si>
    <t>亿晶光电</t>
  </si>
  <si>
    <t xml:space="preserve">         60.23亿</t>
  </si>
  <si>
    <t xml:space="preserve">  -5.21㈡</t>
  </si>
  <si>
    <t>国发股份</t>
  </si>
  <si>
    <t xml:space="preserve">         43.09亿</t>
  </si>
  <si>
    <t>狮头股份</t>
  </si>
  <si>
    <t>新赛股份</t>
  </si>
  <si>
    <t xml:space="preserve">         26.84亿</t>
  </si>
  <si>
    <t>莫高股份</t>
  </si>
  <si>
    <t xml:space="preserve">         15.43亿</t>
  </si>
  <si>
    <t>卓郎智能</t>
  </si>
  <si>
    <t xml:space="preserve">  -1.38㈡</t>
  </si>
  <si>
    <t>山煤国际</t>
  </si>
  <si>
    <t xml:space="preserve">        108.41亿</t>
  </si>
  <si>
    <t xml:space="preserve">        273.98亿</t>
  </si>
  <si>
    <t>山东黄金</t>
  </si>
  <si>
    <t xml:space="preserve">        336.67亿</t>
  </si>
  <si>
    <t xml:space="preserve">        743.72亿</t>
  </si>
  <si>
    <t xml:space="preserve">        760.12亿</t>
  </si>
  <si>
    <t>12.79万</t>
  </si>
  <si>
    <t xml:space="preserve">  -4.64㈡</t>
  </si>
  <si>
    <t>深高速</t>
  </si>
  <si>
    <t xml:space="preserve">         33.03亿</t>
  </si>
  <si>
    <t xml:space="preserve">        128.99亿</t>
  </si>
  <si>
    <t>厦门钨业</t>
  </si>
  <si>
    <t xml:space="preserve">        214.07亿</t>
  </si>
  <si>
    <t xml:space="preserve">        404.94亿</t>
  </si>
  <si>
    <t xml:space="preserve">        408.52亿</t>
  </si>
  <si>
    <t>26.26万</t>
  </si>
  <si>
    <t>保变电气</t>
  </si>
  <si>
    <t xml:space="preserve">         97.42亿</t>
  </si>
  <si>
    <t>时代出版</t>
  </si>
  <si>
    <t xml:space="preserve">         40.06亿</t>
  </si>
  <si>
    <t>凯盛科技</t>
  </si>
  <si>
    <t xml:space="preserve">         55.82亿</t>
  </si>
  <si>
    <t xml:space="preserve">         76.69亿</t>
  </si>
  <si>
    <t>16.09万</t>
  </si>
  <si>
    <t>天下秀</t>
  </si>
  <si>
    <t xml:space="preserve">        163.24亿</t>
  </si>
  <si>
    <t>11.47万</t>
  </si>
  <si>
    <t>康缘药业</t>
  </si>
  <si>
    <t xml:space="preserve">         36.23亿</t>
  </si>
  <si>
    <t xml:space="preserve">         60.36亿</t>
  </si>
  <si>
    <t>10.96万</t>
  </si>
  <si>
    <t>大西洋</t>
  </si>
  <si>
    <t xml:space="preserve">         22.37亿</t>
  </si>
  <si>
    <t xml:space="preserve">         33.57亿</t>
  </si>
  <si>
    <t>0.054㈡</t>
  </si>
  <si>
    <t>老白干酒</t>
  </si>
  <si>
    <t xml:space="preserve">        140.33亿</t>
  </si>
  <si>
    <t xml:space="preserve">        188.70亿</t>
  </si>
  <si>
    <t>5.86万</t>
  </si>
  <si>
    <t>金自天正</t>
  </si>
  <si>
    <t>0.113㈡</t>
  </si>
  <si>
    <t>江西长运</t>
  </si>
  <si>
    <t>国睿科技</t>
  </si>
  <si>
    <t xml:space="preserve">         91.71亿</t>
  </si>
  <si>
    <t xml:space="preserve">        172.37亿</t>
  </si>
  <si>
    <t>15.55万</t>
  </si>
  <si>
    <t>法拉电子</t>
  </si>
  <si>
    <t xml:space="preserve">        222.38亿</t>
  </si>
  <si>
    <t xml:space="preserve">        394.20亿</t>
  </si>
  <si>
    <t>192.79万</t>
  </si>
  <si>
    <t>迪马股份</t>
  </si>
  <si>
    <t xml:space="preserve">         34.36亿</t>
  </si>
  <si>
    <t xml:space="preserve">         61.54亿</t>
  </si>
  <si>
    <t xml:space="preserve">         64.57亿</t>
  </si>
  <si>
    <t>4.56万</t>
  </si>
  <si>
    <t>济川药业</t>
  </si>
  <si>
    <t xml:space="preserve">         54.71亿</t>
  </si>
  <si>
    <t>山鹰国际</t>
  </si>
  <si>
    <t xml:space="preserve">        122.43亿</t>
  </si>
  <si>
    <t xml:space="preserve">        170.33亿</t>
  </si>
  <si>
    <t>安阳钢铁</t>
  </si>
  <si>
    <t xml:space="preserve">         98.38亿</t>
  </si>
  <si>
    <t xml:space="preserve">        118.06亿</t>
  </si>
  <si>
    <t xml:space="preserve">   7.17㈡</t>
  </si>
  <si>
    <t>恒生电子</t>
  </si>
  <si>
    <t xml:space="preserve">        621.05亿</t>
  </si>
  <si>
    <t xml:space="preserve">        783.40亿</t>
  </si>
  <si>
    <t>55.03万</t>
  </si>
  <si>
    <t xml:space="preserve">  15.69㈡</t>
  </si>
  <si>
    <t>信雅达</t>
  </si>
  <si>
    <t xml:space="preserve">         38.12亿</t>
  </si>
  <si>
    <t xml:space="preserve">  19.46㈡</t>
  </si>
  <si>
    <t>康恩贝</t>
  </si>
  <si>
    <t xml:space="preserve">         77.13亿</t>
  </si>
  <si>
    <t xml:space="preserve">        115.47亿</t>
  </si>
  <si>
    <t xml:space="preserve">        115.76亿</t>
  </si>
  <si>
    <t>惠泉啤酒</t>
  </si>
  <si>
    <t xml:space="preserve">         10.56亿</t>
  </si>
  <si>
    <t xml:space="preserve">         21.15亿</t>
  </si>
  <si>
    <t>淮河能源</t>
  </si>
  <si>
    <t xml:space="preserve">         37.40亿</t>
  </si>
  <si>
    <t>祥源文化</t>
  </si>
  <si>
    <t xml:space="preserve">         32.46亿</t>
  </si>
  <si>
    <t>精达股份</t>
  </si>
  <si>
    <t xml:space="preserve">        108.40亿</t>
  </si>
  <si>
    <t>京能电力</t>
  </si>
  <si>
    <t xml:space="preserve">         42.24亿</t>
  </si>
  <si>
    <t xml:space="preserve">        208.34亿</t>
  </si>
  <si>
    <t xml:space="preserve">  -1.23㈡</t>
  </si>
  <si>
    <t>克劳斯</t>
  </si>
  <si>
    <t xml:space="preserve">         14.68亿</t>
  </si>
  <si>
    <t xml:space="preserve">         57.42亿</t>
  </si>
  <si>
    <t>卧龙电驱</t>
  </si>
  <si>
    <t xml:space="preserve">        119.18亿</t>
  </si>
  <si>
    <t xml:space="preserve">        183.61亿</t>
  </si>
  <si>
    <t>19.26万</t>
  </si>
  <si>
    <t>八一钢铁</t>
  </si>
  <si>
    <t xml:space="preserve">         77.38亿</t>
  </si>
  <si>
    <t xml:space="preserve">        154.82亿</t>
  </si>
  <si>
    <t xml:space="preserve">  22.06㈡</t>
  </si>
  <si>
    <t>天地科技</t>
  </si>
  <si>
    <t xml:space="preserve">         81.63亿</t>
  </si>
  <si>
    <t xml:space="preserve">        233.00亿</t>
  </si>
  <si>
    <t>海油工程</t>
  </si>
  <si>
    <t xml:space="preserve">        230.79亿</t>
  </si>
  <si>
    <t>10.00万</t>
  </si>
  <si>
    <t>长电科技</t>
  </si>
  <si>
    <t xml:space="preserve">        363.54亿</t>
  </si>
  <si>
    <t xml:space="preserve">        513.24亿</t>
  </si>
  <si>
    <t xml:space="preserve">        569.81亿</t>
  </si>
  <si>
    <t>海螺水泥</t>
  </si>
  <si>
    <t xml:space="preserve">        956.93亿</t>
  </si>
  <si>
    <t xml:space="preserve">       1848.26亿</t>
  </si>
  <si>
    <t>23.15万</t>
  </si>
  <si>
    <t>2.820㈡</t>
  </si>
  <si>
    <t xml:space="preserve">   9.04㈡</t>
  </si>
  <si>
    <t>金晶科技</t>
  </si>
  <si>
    <t xml:space="preserve">        117.22亿</t>
  </si>
  <si>
    <t xml:space="preserve">        172.45亿</t>
  </si>
  <si>
    <t>0.548㈡</t>
  </si>
  <si>
    <t xml:space="preserve">  15.66㈡</t>
  </si>
  <si>
    <t>新华医疗</t>
  </si>
  <si>
    <t xml:space="preserve">        117.33亿</t>
  </si>
  <si>
    <t>28.89万</t>
  </si>
  <si>
    <t>用友网络</t>
  </si>
  <si>
    <t xml:space="preserve">        585.35亿</t>
  </si>
  <si>
    <t xml:space="preserve">       1036.77亿</t>
  </si>
  <si>
    <t xml:space="preserve">       1042.97亿</t>
  </si>
  <si>
    <t>44.46万</t>
  </si>
  <si>
    <t>泰豪科技</t>
  </si>
  <si>
    <t>龙溪股份</t>
  </si>
  <si>
    <t>14.84万</t>
  </si>
  <si>
    <t>0.272㈡</t>
  </si>
  <si>
    <t>益佰制药</t>
  </si>
  <si>
    <t xml:space="preserve">         46.33亿</t>
  </si>
  <si>
    <t>0.216㈡</t>
  </si>
  <si>
    <t>新安股份</t>
  </si>
  <si>
    <t xml:space="preserve">        248.62亿</t>
  </si>
  <si>
    <t xml:space="preserve">        312.60亿</t>
  </si>
  <si>
    <t xml:space="preserve">        347.98亿</t>
  </si>
  <si>
    <t>52.18万</t>
  </si>
  <si>
    <t xml:space="preserve">  11.75㈡</t>
  </si>
  <si>
    <t>光明乳业</t>
  </si>
  <si>
    <t xml:space="preserve">         75.03亿</t>
  </si>
  <si>
    <t>北大荒</t>
  </si>
  <si>
    <t xml:space="preserve">         97.84亿</t>
  </si>
  <si>
    <t xml:space="preserve">        272.87亿</t>
  </si>
  <si>
    <t>青岛啤酒</t>
  </si>
  <si>
    <t xml:space="preserve">        234.08亿</t>
  </si>
  <si>
    <t xml:space="preserve">        560.21亿</t>
  </si>
  <si>
    <t xml:space="preserve">        571.07亿</t>
  </si>
  <si>
    <t>53.48万</t>
  </si>
  <si>
    <t>云赛智联</t>
  </si>
  <si>
    <t xml:space="preserve">         66.07亿</t>
  </si>
  <si>
    <t xml:space="preserve">         84.11亿</t>
  </si>
  <si>
    <t>广汇物流</t>
  </si>
  <si>
    <t xml:space="preserve">         50.50亿</t>
  </si>
  <si>
    <t>7.11万</t>
  </si>
  <si>
    <t>市北高新</t>
  </si>
  <si>
    <t xml:space="preserve">         31.30亿</t>
  </si>
  <si>
    <t xml:space="preserve">         78.25亿</t>
  </si>
  <si>
    <t xml:space="preserve">        104.16亿</t>
  </si>
  <si>
    <t xml:space="preserve">  -1.21㈡</t>
  </si>
  <si>
    <t>汇通能源</t>
  </si>
  <si>
    <t xml:space="preserve">          6.61亿</t>
  </si>
  <si>
    <t>绿地控股</t>
  </si>
  <si>
    <t xml:space="preserve">        142.71亿</t>
  </si>
  <si>
    <t xml:space="preserve">        582.61亿</t>
  </si>
  <si>
    <t>11.10万</t>
  </si>
  <si>
    <t>0.644㈡</t>
  </si>
  <si>
    <t>金杯汽车</t>
  </si>
  <si>
    <t xml:space="preserve">         66.76亿</t>
  </si>
  <si>
    <t xml:space="preserve">         80.11亿</t>
  </si>
  <si>
    <t xml:space="preserve">  28.59㈡</t>
  </si>
  <si>
    <t>中毅达</t>
  </si>
  <si>
    <t xml:space="preserve">         73.17亿</t>
  </si>
  <si>
    <t xml:space="preserve">         94.72亿</t>
  </si>
  <si>
    <t xml:space="preserve">        226.15亿</t>
  </si>
  <si>
    <t>29.13万</t>
  </si>
  <si>
    <t>大众交通</t>
  </si>
  <si>
    <t xml:space="preserve">         55.19亿</t>
  </si>
  <si>
    <t xml:space="preserve">         83.45亿</t>
  </si>
  <si>
    <t>老凤祥</t>
  </si>
  <si>
    <t xml:space="preserve">         44.59亿</t>
  </si>
  <si>
    <t xml:space="preserve">        145.87亿</t>
  </si>
  <si>
    <t xml:space="preserve">        240.63亿</t>
  </si>
  <si>
    <t>32.01万</t>
  </si>
  <si>
    <t>1.992㈡</t>
  </si>
  <si>
    <t xml:space="preserve">  12.47㈡</t>
  </si>
  <si>
    <t>神奇制药</t>
  </si>
  <si>
    <t>金枫酒业</t>
  </si>
  <si>
    <t>国新能源</t>
  </si>
  <si>
    <t xml:space="preserve">         53.04亿</t>
  </si>
  <si>
    <t xml:space="preserve">         74.96亿</t>
  </si>
  <si>
    <t>氯碱化工</t>
  </si>
  <si>
    <t xml:space="preserve">         40.31亿</t>
  </si>
  <si>
    <t xml:space="preserve">        220.87亿</t>
  </si>
  <si>
    <t>15.44万</t>
  </si>
  <si>
    <t>0.576㈡</t>
  </si>
  <si>
    <t>海立股份</t>
  </si>
  <si>
    <t xml:space="preserve">         51.17亿</t>
  </si>
  <si>
    <t xml:space="preserve">         95.38亿</t>
  </si>
  <si>
    <t>9.91万</t>
  </si>
  <si>
    <t>天宸股份</t>
  </si>
  <si>
    <t xml:space="preserve">         66.88亿</t>
  </si>
  <si>
    <t>15.63万</t>
  </si>
  <si>
    <t>华鑫股份</t>
  </si>
  <si>
    <t xml:space="preserve">         76.74亿</t>
  </si>
  <si>
    <t xml:space="preserve">        164.23亿</t>
  </si>
  <si>
    <t>光大嘉宝</t>
  </si>
  <si>
    <t>华谊集团</t>
  </si>
  <si>
    <t xml:space="preserve">         76.14亿</t>
  </si>
  <si>
    <t xml:space="preserve">        279.52亿</t>
  </si>
  <si>
    <t xml:space="preserve">        319.77亿</t>
  </si>
  <si>
    <t>19.35万</t>
  </si>
  <si>
    <t>复旦复华</t>
  </si>
  <si>
    <t xml:space="preserve">         31.60亿</t>
  </si>
  <si>
    <t xml:space="preserve">         46.08亿</t>
  </si>
  <si>
    <t>申达股份</t>
  </si>
  <si>
    <t xml:space="preserve">         46.76亿</t>
  </si>
  <si>
    <t>新世界</t>
  </si>
  <si>
    <t>7.28万</t>
  </si>
  <si>
    <t>华建集团</t>
  </si>
  <si>
    <t xml:space="preserve">         39.65亿</t>
  </si>
  <si>
    <t>8.03万</t>
  </si>
  <si>
    <t xml:space="preserve">   6.28㈡</t>
  </si>
  <si>
    <t>龙头股份</t>
  </si>
  <si>
    <t xml:space="preserve">         16.13亿</t>
  </si>
  <si>
    <t xml:space="preserve">         23.07亿</t>
  </si>
  <si>
    <t>浙数文化</t>
  </si>
  <si>
    <t>大众公用</t>
  </si>
  <si>
    <t xml:space="preserve">         74.16亿</t>
  </si>
  <si>
    <t xml:space="preserve">        101.35亿</t>
  </si>
  <si>
    <t>0.073㈡</t>
  </si>
  <si>
    <t>国新文化</t>
  </si>
  <si>
    <t>10.80万</t>
  </si>
  <si>
    <t>东方明珠</t>
  </si>
  <si>
    <t xml:space="preserve">        147.76亿</t>
  </si>
  <si>
    <t>新黄浦</t>
  </si>
  <si>
    <t xml:space="preserve">         15.98亿</t>
  </si>
  <si>
    <t xml:space="preserve">         36.03亿</t>
  </si>
  <si>
    <t>浦东金桥</t>
  </si>
  <si>
    <t xml:space="preserve">         35.01亿</t>
  </si>
  <si>
    <t xml:space="preserve">        132.67亿</t>
  </si>
  <si>
    <t>0.395㈡</t>
  </si>
  <si>
    <t>新国脉</t>
  </si>
  <si>
    <t xml:space="preserve">         26.43亿</t>
  </si>
  <si>
    <t xml:space="preserve">         86.33亿</t>
  </si>
  <si>
    <t>-0.146㈡</t>
  </si>
  <si>
    <t xml:space="preserve">  -2.64㈡</t>
  </si>
  <si>
    <t>万业企业</t>
  </si>
  <si>
    <t xml:space="preserve">        133.21亿</t>
  </si>
  <si>
    <t xml:space="preserve">        258.16亿</t>
  </si>
  <si>
    <t>申能股份</t>
  </si>
  <si>
    <t xml:space="preserve">        111.61亿</t>
  </si>
  <si>
    <t xml:space="preserve">        302.04亿</t>
  </si>
  <si>
    <t xml:space="preserve">        329.11亿</t>
  </si>
  <si>
    <t>爱建集团</t>
  </si>
  <si>
    <t xml:space="preserve">         59.95亿</t>
  </si>
  <si>
    <t xml:space="preserve">        119.97亿</t>
  </si>
  <si>
    <t xml:space="preserve">        120.18亿</t>
  </si>
  <si>
    <t>乐山电力</t>
  </si>
  <si>
    <t xml:space="preserve">         12.36亿</t>
  </si>
  <si>
    <t>0.156㈡</t>
  </si>
  <si>
    <t>中源协和</t>
  </si>
  <si>
    <t xml:space="preserve">         73.57亿</t>
  </si>
  <si>
    <t xml:space="preserve">        102.63亿</t>
  </si>
  <si>
    <t xml:space="preserve">        102.81亿</t>
  </si>
  <si>
    <t>20.19万</t>
  </si>
  <si>
    <t>同达创业</t>
  </si>
  <si>
    <t>10.74万</t>
  </si>
  <si>
    <t>外高桥</t>
  </si>
  <si>
    <t xml:space="preserve">         44.24亿</t>
  </si>
  <si>
    <t xml:space="preserve">        151.00亿</t>
  </si>
  <si>
    <t>城投控股</t>
  </si>
  <si>
    <t xml:space="preserve">        113.58亿</t>
  </si>
  <si>
    <t>锦江在线</t>
  </si>
  <si>
    <t xml:space="preserve">         51.91亿</t>
  </si>
  <si>
    <t>0.107㈡</t>
  </si>
  <si>
    <t>飞乐音响</t>
  </si>
  <si>
    <t xml:space="preserve">         37.44亿</t>
  </si>
  <si>
    <t xml:space="preserve">         81.73亿</t>
  </si>
  <si>
    <t>申华控股</t>
  </si>
  <si>
    <t xml:space="preserve">         31.05亿</t>
  </si>
  <si>
    <t>2.02万</t>
  </si>
  <si>
    <t>豫园股份</t>
  </si>
  <si>
    <t xml:space="preserve">        123.46亿</t>
  </si>
  <si>
    <t xml:space="preserve">        162.94亿</t>
  </si>
  <si>
    <t xml:space="preserve">        394.18亿</t>
  </si>
  <si>
    <t>信达地产</t>
  </si>
  <si>
    <t xml:space="preserve">         25.95亿</t>
  </si>
  <si>
    <t>电子城</t>
  </si>
  <si>
    <t xml:space="preserve">  -3.10㈡</t>
  </si>
  <si>
    <t>福耀玻璃</t>
  </si>
  <si>
    <t xml:space="preserve">        614.80亿</t>
  </si>
  <si>
    <t xml:space="preserve">        896.74亿</t>
  </si>
  <si>
    <t>34.43万</t>
  </si>
  <si>
    <t>昂立教育</t>
  </si>
  <si>
    <t xml:space="preserve">  30.21㈡</t>
  </si>
  <si>
    <t>强生控股</t>
  </si>
  <si>
    <t xml:space="preserve">         46.52亿</t>
  </si>
  <si>
    <t xml:space="preserve">         84.58亿</t>
  </si>
  <si>
    <t xml:space="preserve">   1.11㈡</t>
  </si>
  <si>
    <t>陆家嘴</t>
  </si>
  <si>
    <t xml:space="preserve">         76.99亿</t>
  </si>
  <si>
    <t xml:space="preserve">        472.40亿</t>
  </si>
  <si>
    <t>哈药股份</t>
  </si>
  <si>
    <t xml:space="preserve">         89.25亿</t>
  </si>
  <si>
    <t xml:space="preserve">         89.64亿</t>
  </si>
  <si>
    <t>天地源</t>
  </si>
  <si>
    <t xml:space="preserve">         11.86亿</t>
  </si>
  <si>
    <t>3.37万</t>
  </si>
  <si>
    <t>太极实业</t>
  </si>
  <si>
    <t xml:space="preserve">        112.37亿</t>
  </si>
  <si>
    <t xml:space="preserve">        181.97亿</t>
  </si>
  <si>
    <t>尖峰集团</t>
  </si>
  <si>
    <t xml:space="preserve">         37.36亿</t>
  </si>
  <si>
    <t>0.929㈡</t>
  </si>
  <si>
    <t>东阳光</t>
  </si>
  <si>
    <t xml:space="preserve">        135.36亿</t>
  </si>
  <si>
    <t xml:space="preserve">        291.08亿</t>
  </si>
  <si>
    <t xml:space="preserve">        292.05亿</t>
  </si>
  <si>
    <t>15.72万</t>
  </si>
  <si>
    <t>川投能源</t>
  </si>
  <si>
    <t xml:space="preserve">        143.46亿</t>
  </si>
  <si>
    <t xml:space="preserve">        554.72亿</t>
  </si>
  <si>
    <t>35.47万</t>
  </si>
  <si>
    <t>中华企业</t>
  </si>
  <si>
    <t xml:space="preserve">         66.09亿</t>
  </si>
  <si>
    <t xml:space="preserve">        179.84亿</t>
  </si>
  <si>
    <t>交运股份</t>
  </si>
  <si>
    <t xml:space="preserve">         43.61亿</t>
  </si>
  <si>
    <t>四川金顶</t>
  </si>
  <si>
    <t xml:space="preserve">         19.75亿</t>
  </si>
  <si>
    <t xml:space="preserve">  21.56㈡</t>
  </si>
  <si>
    <t>上海凤凰</t>
  </si>
  <si>
    <t xml:space="preserve">         25.76亿</t>
  </si>
  <si>
    <t>百川能源</t>
  </si>
  <si>
    <t xml:space="preserve">         20.13亿</t>
  </si>
  <si>
    <t xml:space="preserve">         81.39亿</t>
  </si>
  <si>
    <t xml:space="preserve">         81.51亿</t>
  </si>
  <si>
    <t>南京新百</t>
  </si>
  <si>
    <t xml:space="preserve">         64.30亿</t>
  </si>
  <si>
    <t xml:space="preserve">        116.16亿</t>
  </si>
  <si>
    <t xml:space="preserve">        134.21亿</t>
  </si>
  <si>
    <t>京投发展</t>
  </si>
  <si>
    <t xml:space="preserve">         54.30亿</t>
  </si>
  <si>
    <t>珠江股份</t>
  </si>
  <si>
    <t xml:space="preserve">         19.07亿</t>
  </si>
  <si>
    <t xml:space="preserve">         29.62亿</t>
  </si>
  <si>
    <t xml:space="preserve">  13.98㈡</t>
  </si>
  <si>
    <t>中船防务</t>
  </si>
  <si>
    <t xml:space="preserve">         71.08亿</t>
  </si>
  <si>
    <t xml:space="preserve">        171.68亿</t>
  </si>
  <si>
    <t>-0.067㈡</t>
  </si>
  <si>
    <t>金龙汽车</t>
  </si>
  <si>
    <t>-0.260㈡</t>
  </si>
  <si>
    <t xml:space="preserve">  -3.01㈡</t>
  </si>
  <si>
    <t>上海石化</t>
  </si>
  <si>
    <t xml:space="preserve">        346.65亿</t>
  </si>
  <si>
    <t>40.57万</t>
  </si>
  <si>
    <t>上海三毛</t>
  </si>
  <si>
    <t>海尔智家</t>
  </si>
  <si>
    <t xml:space="preserve">        978.27亿</t>
  </si>
  <si>
    <t xml:space="preserve">       1621.93亿</t>
  </si>
  <si>
    <t xml:space="preserve">       1691.61亿</t>
  </si>
  <si>
    <t xml:space="preserve">   9.28㈡</t>
  </si>
  <si>
    <t>阳煤化工</t>
  </si>
  <si>
    <t xml:space="preserve">         79.77亿</t>
  </si>
  <si>
    <t xml:space="preserve">        118.56亿</t>
  </si>
  <si>
    <t xml:space="preserve">        160.38亿</t>
  </si>
  <si>
    <t>亚通股份</t>
  </si>
  <si>
    <t xml:space="preserve">         15.40亿</t>
  </si>
  <si>
    <t>东百集团</t>
  </si>
  <si>
    <t xml:space="preserve">         14.49亿</t>
  </si>
  <si>
    <t xml:space="preserve">         36.43亿</t>
  </si>
  <si>
    <t>大商股份</t>
  </si>
  <si>
    <t xml:space="preserve">         59.10亿</t>
  </si>
  <si>
    <t>14.86万</t>
  </si>
  <si>
    <t>1.710㈡</t>
  </si>
  <si>
    <t>岩石股份</t>
  </si>
  <si>
    <t xml:space="preserve">         36.07亿</t>
  </si>
  <si>
    <t xml:space="preserve">        100.54亿</t>
  </si>
  <si>
    <t>欧亚集团</t>
  </si>
  <si>
    <t>湖南天雁</t>
  </si>
  <si>
    <t xml:space="preserve">         36.62亿</t>
  </si>
  <si>
    <t>2.45万</t>
  </si>
  <si>
    <t>均胜电子</t>
  </si>
  <si>
    <t xml:space="preserve">        154.29亿</t>
  </si>
  <si>
    <t xml:space="preserve">        246.26亿</t>
  </si>
  <si>
    <t>17.70万</t>
  </si>
  <si>
    <t>舍得酒业</t>
  </si>
  <si>
    <t xml:space="preserve">        402.45亿</t>
  </si>
  <si>
    <t xml:space="preserve">        576.80亿</t>
  </si>
  <si>
    <t xml:space="preserve">        581.78亿</t>
  </si>
  <si>
    <t>30.15万</t>
  </si>
  <si>
    <t>2.210㈡</t>
  </si>
  <si>
    <t xml:space="preserve">  17.35㈡</t>
  </si>
  <si>
    <t>三安光电</t>
  </si>
  <si>
    <t xml:space="preserve">        723.82亿</t>
  </si>
  <si>
    <t xml:space="preserve">       1316.92亿</t>
  </si>
  <si>
    <t xml:space="preserve">       1446.38亿</t>
  </si>
  <si>
    <t>24.88万</t>
  </si>
  <si>
    <t>物产中大</t>
  </si>
  <si>
    <t xml:space="preserve">        194.05亿</t>
  </si>
  <si>
    <t xml:space="preserve">        344.73亿</t>
  </si>
  <si>
    <t xml:space="preserve">        353.85亿</t>
  </si>
  <si>
    <t>中航产融</t>
  </si>
  <si>
    <t xml:space="preserve">        185.74亿</t>
  </si>
  <si>
    <t xml:space="preserve">        351.93亿</t>
  </si>
  <si>
    <t xml:space="preserve">        353.23亿</t>
  </si>
  <si>
    <t>曲江文旅</t>
  </si>
  <si>
    <t xml:space="preserve">          6.88亿</t>
  </si>
  <si>
    <t xml:space="preserve">         14.84亿</t>
  </si>
  <si>
    <t xml:space="preserve">  -1.81㈡</t>
  </si>
  <si>
    <t>彩虹股份</t>
  </si>
  <si>
    <t xml:space="preserve">        206.90亿</t>
  </si>
  <si>
    <t xml:space="preserve">        299.99亿</t>
  </si>
  <si>
    <t>光明地产</t>
  </si>
  <si>
    <t xml:space="preserve">         52.29亿</t>
  </si>
  <si>
    <t xml:space="preserve">   0.32㈡</t>
  </si>
  <si>
    <t>苏美达</t>
  </si>
  <si>
    <t xml:space="preserve">         38.92亿</t>
  </si>
  <si>
    <t>盛屯矿业</t>
  </si>
  <si>
    <t xml:space="preserve">        269.52亿</t>
  </si>
  <si>
    <t xml:space="preserve">        329.15亿</t>
  </si>
  <si>
    <t xml:space="preserve">        362.07亿</t>
  </si>
  <si>
    <t>南宁百货</t>
  </si>
  <si>
    <t xml:space="preserve">         21.38亿</t>
  </si>
  <si>
    <t>南京医药</t>
  </si>
  <si>
    <t xml:space="preserve">         26.20亿</t>
  </si>
  <si>
    <t>金瑞矿业</t>
  </si>
  <si>
    <t>文投控股</t>
  </si>
  <si>
    <t xml:space="preserve">         57.69亿</t>
  </si>
  <si>
    <t xml:space="preserve">  -3.94㈡</t>
  </si>
  <si>
    <t>凤凰股份</t>
  </si>
  <si>
    <t>天津港</t>
  </si>
  <si>
    <t xml:space="preserve">         54.24亿</t>
  </si>
  <si>
    <t xml:space="preserve">        125.60亿</t>
  </si>
  <si>
    <t>东软集团</t>
  </si>
  <si>
    <t xml:space="preserve">         86.23亿</t>
  </si>
  <si>
    <t xml:space="preserve">        124.59亿</t>
  </si>
  <si>
    <t xml:space="preserve">        128.71亿</t>
  </si>
  <si>
    <t>大连热电</t>
  </si>
  <si>
    <t xml:space="preserve">         10.51亿</t>
  </si>
  <si>
    <t>祁连山</t>
  </si>
  <si>
    <t xml:space="preserve">         69.70亿</t>
  </si>
  <si>
    <t xml:space="preserve">         92.98亿</t>
  </si>
  <si>
    <t xml:space="preserve">         93.00亿</t>
  </si>
  <si>
    <t>0.774㈡</t>
  </si>
  <si>
    <t xml:space="preserve">   7.62㈡</t>
  </si>
  <si>
    <t>金牛化工</t>
  </si>
  <si>
    <t xml:space="preserve">         54.49亿</t>
  </si>
  <si>
    <t>首商股份</t>
  </si>
  <si>
    <t xml:space="preserve">         58.80亿</t>
  </si>
  <si>
    <t>宁波富达</t>
  </si>
  <si>
    <t xml:space="preserve">         54.19亿</t>
  </si>
  <si>
    <t>云维股份</t>
  </si>
  <si>
    <t>华电能源</t>
  </si>
  <si>
    <t xml:space="preserve">         40.82亿</t>
  </si>
  <si>
    <t>1.66万</t>
  </si>
  <si>
    <t>-415.74㈡</t>
  </si>
  <si>
    <t>鲁北化工</t>
  </si>
  <si>
    <t xml:space="preserve">         69.86亿</t>
  </si>
  <si>
    <t xml:space="preserve">         83.99亿</t>
  </si>
  <si>
    <t xml:space="preserve">   9.71㈡</t>
  </si>
  <si>
    <t>佳都科技</t>
  </si>
  <si>
    <t xml:space="preserve">        114.84亿</t>
  </si>
  <si>
    <t xml:space="preserve">        142.70亿</t>
  </si>
  <si>
    <t xml:space="preserve">        142.73亿</t>
  </si>
  <si>
    <t>重庆百货</t>
  </si>
  <si>
    <t xml:space="preserve">         45.40亿</t>
  </si>
  <si>
    <t xml:space="preserve">         99.64亿</t>
  </si>
  <si>
    <t>28.33万</t>
  </si>
  <si>
    <t>1.550㈡</t>
  </si>
  <si>
    <t>中国高科</t>
  </si>
  <si>
    <t xml:space="preserve">         35.26亿</t>
  </si>
  <si>
    <t>湖南海利</t>
  </si>
  <si>
    <t xml:space="preserve">         40.99亿</t>
  </si>
  <si>
    <t xml:space="preserve">         41.05亿</t>
  </si>
  <si>
    <t>17.72万</t>
  </si>
  <si>
    <t>爱旭股份</t>
  </si>
  <si>
    <t xml:space="preserve">         86.70亿</t>
  </si>
  <si>
    <t xml:space="preserve">        270.42亿</t>
  </si>
  <si>
    <t xml:space="preserve">  -0.46㈡</t>
  </si>
  <si>
    <t>北汽蓝谷</t>
  </si>
  <si>
    <t xml:space="preserve">        237.89亿</t>
  </si>
  <si>
    <t xml:space="preserve">        278.18亿</t>
  </si>
  <si>
    <t xml:space="preserve">        538.06亿</t>
  </si>
  <si>
    <t>-0.500㈡</t>
  </si>
  <si>
    <t xml:space="preserve"> -12.45㈡</t>
  </si>
  <si>
    <t>新华锦</t>
  </si>
  <si>
    <t>苏州高新</t>
  </si>
  <si>
    <t xml:space="preserve">         50.31亿</t>
  </si>
  <si>
    <t>中粮糖业</t>
  </si>
  <si>
    <t xml:space="preserve">        106.96亿</t>
  </si>
  <si>
    <t xml:space="preserve">        214.28亿</t>
  </si>
  <si>
    <t xml:space="preserve">        217.09亿</t>
  </si>
  <si>
    <t>丽尚国潮</t>
  </si>
  <si>
    <t xml:space="preserve">         43.59亿</t>
  </si>
  <si>
    <t>辽宁成大</t>
  </si>
  <si>
    <t xml:space="preserve">        235.84亿</t>
  </si>
  <si>
    <t xml:space="preserve">        368.35亿</t>
  </si>
  <si>
    <t>34.09万</t>
  </si>
  <si>
    <t>0.879㈡</t>
  </si>
  <si>
    <t xml:space="preserve">   5.38㈡</t>
  </si>
  <si>
    <t>山西焦化</t>
  </si>
  <si>
    <t xml:space="preserve">        112.07亿</t>
  </si>
  <si>
    <t xml:space="preserve">        260.31亿</t>
  </si>
  <si>
    <t>13.28万</t>
  </si>
  <si>
    <t>0.537㈡</t>
  </si>
  <si>
    <t>华域汽车</t>
  </si>
  <si>
    <t xml:space="preserve">        301.84亿</t>
  </si>
  <si>
    <t xml:space="preserve">        724.18亿</t>
  </si>
  <si>
    <t>43.35万</t>
  </si>
  <si>
    <t>0.866㈡</t>
  </si>
  <si>
    <t>一汽富维</t>
  </si>
  <si>
    <t xml:space="preserve">         40.07亿</t>
  </si>
  <si>
    <t xml:space="preserve">         64.70亿</t>
  </si>
  <si>
    <t>华远地产</t>
  </si>
  <si>
    <t>华银电力</t>
  </si>
  <si>
    <t xml:space="preserve">         44.60亿</t>
  </si>
  <si>
    <t>2.28万</t>
  </si>
  <si>
    <t xml:space="preserve">  -9.87㈡</t>
  </si>
  <si>
    <t>闻泰科技</t>
  </si>
  <si>
    <t xml:space="preserve">        657.53亿</t>
  </si>
  <si>
    <t xml:space="preserve">        912.70亿</t>
  </si>
  <si>
    <t xml:space="preserve">       1214.82亿</t>
  </si>
  <si>
    <t>38.88万</t>
  </si>
  <si>
    <t>江苏索普</t>
  </si>
  <si>
    <t xml:space="preserve">         69.13亿</t>
  </si>
  <si>
    <t xml:space="preserve">        264.98亿</t>
  </si>
  <si>
    <t>1.360㈡</t>
  </si>
  <si>
    <t xml:space="preserve">  28.71㈡</t>
  </si>
  <si>
    <t>上实发展</t>
  </si>
  <si>
    <t xml:space="preserve">         32.40亿</t>
  </si>
  <si>
    <t xml:space="preserve">         76.36亿</t>
  </si>
  <si>
    <t>西藏旅游</t>
  </si>
  <si>
    <t xml:space="preserve">  -0.14㈡</t>
  </si>
  <si>
    <t>江中药业</t>
  </si>
  <si>
    <t xml:space="preserve">         79.57亿</t>
  </si>
  <si>
    <t>海航科技</t>
  </si>
  <si>
    <t xml:space="preserve">         45.91亿</t>
  </si>
  <si>
    <t xml:space="preserve">         90.58亿</t>
  </si>
  <si>
    <t xml:space="preserve">        102.06亿</t>
  </si>
  <si>
    <t xml:space="preserve">  21.20㈡</t>
  </si>
  <si>
    <t>东方银星</t>
  </si>
  <si>
    <t xml:space="preserve">         67.31亿</t>
  </si>
  <si>
    <t>21.74万</t>
  </si>
  <si>
    <t>锦江酒店</t>
  </si>
  <si>
    <t xml:space="preserve">        133.70亿</t>
  </si>
  <si>
    <t xml:space="preserve">        335.13亿</t>
  </si>
  <si>
    <t xml:space="preserve">        447.17亿</t>
  </si>
  <si>
    <t>52.17万</t>
  </si>
  <si>
    <t xml:space="preserve">   0.03㈡</t>
  </si>
  <si>
    <t>厦门国贸</t>
  </si>
  <si>
    <t xml:space="preserve">        104.58亿</t>
  </si>
  <si>
    <t xml:space="preserve">        167.53亿</t>
  </si>
  <si>
    <t xml:space="preserve">        176.29亿</t>
  </si>
  <si>
    <t>浪潮软件</t>
  </si>
  <si>
    <t xml:space="preserve">         44.47亿</t>
  </si>
  <si>
    <t>长江传媒</t>
  </si>
  <si>
    <t xml:space="preserve">         28.63亿</t>
  </si>
  <si>
    <t xml:space="preserve">         65.77亿</t>
  </si>
  <si>
    <t xml:space="preserve">         65.78亿</t>
  </si>
  <si>
    <t>辽宁能源</t>
  </si>
  <si>
    <t xml:space="preserve">         60.89亿</t>
  </si>
  <si>
    <t xml:space="preserve">  -1.07㈡</t>
  </si>
  <si>
    <t>洲际油气</t>
  </si>
  <si>
    <t xml:space="preserve">         59.21亿</t>
  </si>
  <si>
    <t xml:space="preserve">         88.52亿</t>
  </si>
  <si>
    <t xml:space="preserve">         88.73亿</t>
  </si>
  <si>
    <t>中航沈飞</t>
  </si>
  <si>
    <t xml:space="preserve">        385.50亿</t>
  </si>
  <si>
    <t xml:space="preserve">       1394.58亿</t>
  </si>
  <si>
    <t xml:space="preserve">       1396.69亿</t>
  </si>
  <si>
    <t>34.58万</t>
  </si>
  <si>
    <t>安徽合力</t>
  </si>
  <si>
    <t xml:space="preserve">         80.38亿</t>
  </si>
  <si>
    <t>12.20万</t>
  </si>
  <si>
    <t>通策医疗</t>
  </si>
  <si>
    <t xml:space="preserve">        544.61亿</t>
  </si>
  <si>
    <t xml:space="preserve">        822.12亿</t>
  </si>
  <si>
    <t>127.25万</t>
  </si>
  <si>
    <t xml:space="preserve">  14.02㈡</t>
  </si>
  <si>
    <t>中国海防</t>
  </si>
  <si>
    <t xml:space="preserve">        136.37亿</t>
  </si>
  <si>
    <t xml:space="preserve">        195.35亿</t>
  </si>
  <si>
    <t>19.55万</t>
  </si>
  <si>
    <t>0.391㈡</t>
  </si>
  <si>
    <t>中航重机</t>
  </si>
  <si>
    <t xml:space="preserve">        195.70亿</t>
  </si>
  <si>
    <t xml:space="preserve">        297.78亿</t>
  </si>
  <si>
    <t xml:space="preserve">        365.23亿</t>
  </si>
  <si>
    <t>34.40万</t>
  </si>
  <si>
    <t>运盛医疗</t>
  </si>
  <si>
    <t>宁波富邦</t>
  </si>
  <si>
    <t xml:space="preserve">          7.69亿</t>
  </si>
  <si>
    <t>祥龙电业</t>
  </si>
  <si>
    <t>综艺股份</t>
  </si>
  <si>
    <t xml:space="preserve">         47.35亿</t>
  </si>
  <si>
    <t>广誉远</t>
  </si>
  <si>
    <t xml:space="preserve">        114.15亿</t>
  </si>
  <si>
    <t xml:space="preserve">        138.99亿</t>
  </si>
  <si>
    <t>14.93万</t>
  </si>
  <si>
    <t>西藏城投</t>
  </si>
  <si>
    <t xml:space="preserve">        141.38亿</t>
  </si>
  <si>
    <t>27.16万</t>
  </si>
  <si>
    <t>汉商集团</t>
  </si>
  <si>
    <t xml:space="preserve">          9.20亿</t>
  </si>
  <si>
    <t xml:space="preserve">         36.19亿</t>
  </si>
  <si>
    <t>11.04万</t>
  </si>
  <si>
    <t>南京熊猫</t>
  </si>
  <si>
    <t>东方通信</t>
  </si>
  <si>
    <t>新潮能源</t>
  </si>
  <si>
    <t xml:space="preserve">        142.69亿</t>
  </si>
  <si>
    <t xml:space="preserve">        182.60亿</t>
  </si>
  <si>
    <t xml:space="preserve">        199.25亿</t>
  </si>
  <si>
    <t>友好集团</t>
  </si>
  <si>
    <t xml:space="preserve">         14.45亿</t>
  </si>
  <si>
    <t>水井坊</t>
  </si>
  <si>
    <t xml:space="preserve">        209.11亿</t>
  </si>
  <si>
    <t xml:space="preserve">        567.80亿</t>
  </si>
  <si>
    <t xml:space="preserve">        567.88亿</t>
  </si>
  <si>
    <t>31.76万</t>
  </si>
  <si>
    <t xml:space="preserve">  19.59㈡</t>
  </si>
  <si>
    <t>通宝能源</t>
  </si>
  <si>
    <t xml:space="preserve">         49.76亿</t>
  </si>
  <si>
    <t>新钢股份</t>
  </si>
  <si>
    <t xml:space="preserve">        310.90亿</t>
  </si>
  <si>
    <t>31.81万</t>
  </si>
  <si>
    <t xml:space="preserve">   9.63㈡</t>
  </si>
  <si>
    <t>鲁信创投</t>
  </si>
  <si>
    <t xml:space="preserve">        106.15亿</t>
  </si>
  <si>
    <t>鲁银投资</t>
  </si>
  <si>
    <t>新华百货</t>
  </si>
  <si>
    <t xml:space="preserve">          7.05亿</t>
  </si>
  <si>
    <t>中储股份</t>
  </si>
  <si>
    <t xml:space="preserve">         60.34亿</t>
  </si>
  <si>
    <t xml:space="preserve">        159.27亿</t>
  </si>
  <si>
    <t>11.50万</t>
  </si>
  <si>
    <t>鲁抗医药</t>
  </si>
  <si>
    <t xml:space="preserve">         47.36亿</t>
  </si>
  <si>
    <t xml:space="preserve">   2.14㈡</t>
  </si>
  <si>
    <t>轻纺城</t>
  </si>
  <si>
    <t>京能置业</t>
  </si>
  <si>
    <t xml:space="preserve">          9.37亿</t>
  </si>
  <si>
    <t xml:space="preserve">         17.14亿</t>
  </si>
  <si>
    <t xml:space="preserve">         17.16亿</t>
  </si>
  <si>
    <t>云煤能源</t>
  </si>
  <si>
    <t xml:space="preserve">         53.95亿</t>
  </si>
  <si>
    <t>宜宾纸业</t>
  </si>
  <si>
    <t xml:space="preserve">          9.28亿</t>
  </si>
  <si>
    <t>保税科技</t>
  </si>
  <si>
    <t xml:space="preserve">         23.13亿</t>
  </si>
  <si>
    <t>国电电力</t>
  </si>
  <si>
    <t xml:space="preserve">        302.43亿</t>
  </si>
  <si>
    <t xml:space="preserve">        560.04亿</t>
  </si>
  <si>
    <t>钱江生化</t>
  </si>
  <si>
    <t>浙大网新</t>
  </si>
  <si>
    <t xml:space="preserve">         57.10亿</t>
  </si>
  <si>
    <t xml:space="preserve">         67.61亿</t>
  </si>
  <si>
    <t>宁波海运</t>
  </si>
  <si>
    <t xml:space="preserve">         62.62亿</t>
  </si>
  <si>
    <t>渤海化学</t>
  </si>
  <si>
    <t xml:space="preserve">         39.64亿</t>
  </si>
  <si>
    <t xml:space="preserve">         59.17亿</t>
  </si>
  <si>
    <t>华新水泥</t>
  </si>
  <si>
    <t xml:space="preserve">        139.69亿</t>
  </si>
  <si>
    <t xml:space="preserve">        332.30亿</t>
  </si>
  <si>
    <t xml:space="preserve">        511.57亿</t>
  </si>
  <si>
    <t>34.32万</t>
  </si>
  <si>
    <t>福建水泥</t>
  </si>
  <si>
    <t xml:space="preserve">         26.38亿</t>
  </si>
  <si>
    <t xml:space="preserve">  11.42㈡</t>
  </si>
  <si>
    <t>新奥股份</t>
  </si>
  <si>
    <t xml:space="preserve">        181.25亿</t>
  </si>
  <si>
    <t xml:space="preserve">        309.33亿</t>
  </si>
  <si>
    <t xml:space="preserve">        614.14亿</t>
  </si>
  <si>
    <t>96.17万</t>
  </si>
  <si>
    <t>鹏博士</t>
  </si>
  <si>
    <t xml:space="preserve">         83.74亿</t>
  </si>
  <si>
    <t xml:space="preserve">         96.97亿</t>
  </si>
  <si>
    <t xml:space="preserve">  52.44㈡</t>
  </si>
  <si>
    <t>悦达投资</t>
  </si>
  <si>
    <t>-0.410㈡</t>
  </si>
  <si>
    <t xml:space="preserve">  -7.70㈡</t>
  </si>
  <si>
    <t>济南高新</t>
  </si>
  <si>
    <t xml:space="preserve">         17.95亿</t>
  </si>
  <si>
    <t xml:space="preserve"> -42.77㈡</t>
  </si>
  <si>
    <t>马钢股份</t>
  </si>
  <si>
    <t xml:space="preserve">        143.48亿</t>
  </si>
  <si>
    <t xml:space="preserve">        371.79亿</t>
  </si>
  <si>
    <t xml:space="preserve">  14.48㈡</t>
  </si>
  <si>
    <t>山西汾酒</t>
  </si>
  <si>
    <t xml:space="preserve">       1148.61亿</t>
  </si>
  <si>
    <t xml:space="preserve">       3612.63亿</t>
  </si>
  <si>
    <t xml:space="preserve">       3626.79亿</t>
  </si>
  <si>
    <t>180.96万</t>
  </si>
  <si>
    <t>2.904㈡</t>
  </si>
  <si>
    <t xml:space="preserve">  26.85㈡</t>
  </si>
  <si>
    <t>神马股份</t>
  </si>
  <si>
    <t xml:space="preserve">         93.49亿</t>
  </si>
  <si>
    <t xml:space="preserve">        149.50亿</t>
  </si>
  <si>
    <t xml:space="preserve">  15.27㈡</t>
  </si>
  <si>
    <t>东方集团</t>
  </si>
  <si>
    <t xml:space="preserve">        121.84亿</t>
  </si>
  <si>
    <t>华北制药</t>
  </si>
  <si>
    <t xml:space="preserve">         64.39亿</t>
  </si>
  <si>
    <t xml:space="preserve">        143.09亿</t>
  </si>
  <si>
    <t>杭州解百</t>
  </si>
  <si>
    <t xml:space="preserve">         14.80亿</t>
  </si>
  <si>
    <t xml:space="preserve">   7.92㈡</t>
  </si>
  <si>
    <t>厦工股份</t>
  </si>
  <si>
    <t xml:space="preserve">         23.52亿</t>
  </si>
  <si>
    <t>宇通重工</t>
  </si>
  <si>
    <t>29.18万</t>
  </si>
  <si>
    <t>中路股份</t>
  </si>
  <si>
    <t xml:space="preserve">         11.63亿</t>
  </si>
  <si>
    <t>耀皮玻璃</t>
  </si>
  <si>
    <t xml:space="preserve">         49.78亿</t>
  </si>
  <si>
    <t>隧道股份</t>
  </si>
  <si>
    <t xml:space="preserve">        107.86亿</t>
  </si>
  <si>
    <t xml:space="preserve">        184.87亿</t>
  </si>
  <si>
    <t>金开新能</t>
  </si>
  <si>
    <t xml:space="preserve">         37.08亿</t>
  </si>
  <si>
    <t xml:space="preserve">         64.32亿</t>
  </si>
  <si>
    <t xml:space="preserve">        102.32亿</t>
  </si>
  <si>
    <t>上海物贸</t>
  </si>
  <si>
    <t xml:space="preserve">         13.99亿</t>
  </si>
  <si>
    <t xml:space="preserve">         35.18亿</t>
  </si>
  <si>
    <t>世茂股份</t>
  </si>
  <si>
    <t xml:space="preserve">        137.29亿</t>
  </si>
  <si>
    <t>益民集团</t>
  </si>
  <si>
    <t>新华传媒</t>
  </si>
  <si>
    <t>兰生股份</t>
  </si>
  <si>
    <t xml:space="preserve">         36.85亿</t>
  </si>
  <si>
    <t xml:space="preserve">         46.95亿</t>
  </si>
  <si>
    <t>百联股份</t>
  </si>
  <si>
    <t xml:space="preserve">         91.76亿</t>
  </si>
  <si>
    <t xml:space="preserve">        224.46亿</t>
  </si>
  <si>
    <t xml:space="preserve">        249.61亿</t>
  </si>
  <si>
    <t>茂业商业</t>
  </si>
  <si>
    <t xml:space="preserve">         64.93亿</t>
  </si>
  <si>
    <t>人民同泰</t>
  </si>
  <si>
    <t xml:space="preserve">          9.18亿</t>
  </si>
  <si>
    <t>香溢融通</t>
  </si>
  <si>
    <t xml:space="preserve">         22.90亿</t>
  </si>
  <si>
    <t>广电网络</t>
  </si>
  <si>
    <t>第一医药</t>
  </si>
  <si>
    <t xml:space="preserve">         10.64亿</t>
  </si>
  <si>
    <t>申通地铁</t>
  </si>
  <si>
    <t xml:space="preserve">         52.61亿</t>
  </si>
  <si>
    <t>4.64万</t>
  </si>
  <si>
    <t>上海机电</t>
  </si>
  <si>
    <t xml:space="preserve">         48.80亿</t>
  </si>
  <si>
    <t xml:space="preserve">        124.77亿</t>
  </si>
  <si>
    <t xml:space="preserve">        158.22亿</t>
  </si>
  <si>
    <t>12.00万</t>
  </si>
  <si>
    <t>上海易连</t>
  </si>
  <si>
    <t xml:space="preserve">         48.05亿</t>
  </si>
  <si>
    <t xml:space="preserve">  12.63㈡</t>
  </si>
  <si>
    <t>海通证券</t>
  </si>
  <si>
    <t xml:space="preserve">        999.21亿</t>
  </si>
  <si>
    <t xml:space="preserve">       1028.10亿</t>
  </si>
  <si>
    <t xml:space="preserve">       1170.14亿</t>
  </si>
  <si>
    <t>31.70万</t>
  </si>
  <si>
    <t>上海九百</t>
  </si>
  <si>
    <t>四川长虹</t>
  </si>
  <si>
    <t xml:space="preserve">        106.65亿</t>
  </si>
  <si>
    <t xml:space="preserve">        138.91亿</t>
  </si>
  <si>
    <t xml:space="preserve">        138.95亿</t>
  </si>
  <si>
    <t>上柴股份</t>
  </si>
  <si>
    <t xml:space="preserve">         12.13亿</t>
  </si>
  <si>
    <t xml:space="preserve">         60.02亿</t>
  </si>
  <si>
    <t xml:space="preserve">        162.04亿</t>
  </si>
  <si>
    <t>上工申贝</t>
  </si>
  <si>
    <t xml:space="preserve">         19.83亿</t>
  </si>
  <si>
    <t xml:space="preserve">         46.43亿</t>
  </si>
  <si>
    <t>丹化科技</t>
  </si>
  <si>
    <t xml:space="preserve">         34.32亿</t>
  </si>
  <si>
    <t xml:space="preserve">         54.28亿</t>
  </si>
  <si>
    <t>宝信软件</t>
  </si>
  <si>
    <t xml:space="preserve">        228.86亿</t>
  </si>
  <si>
    <t xml:space="preserve">        738.53亿</t>
  </si>
  <si>
    <t xml:space="preserve">       1028.77亿</t>
  </si>
  <si>
    <t>95.92万</t>
  </si>
  <si>
    <t xml:space="preserve">  12.70㈡</t>
  </si>
  <si>
    <t>同济科技</t>
  </si>
  <si>
    <t xml:space="preserve">         53.42亿</t>
  </si>
  <si>
    <t xml:space="preserve">  10.50㈡</t>
  </si>
  <si>
    <t>万里股份</t>
  </si>
  <si>
    <t xml:space="preserve">         10.68亿</t>
  </si>
  <si>
    <t xml:space="preserve">  -0.15㈡</t>
  </si>
  <si>
    <t>上海临港</t>
  </si>
  <si>
    <t xml:space="preserve">        218.19亿</t>
  </si>
  <si>
    <t xml:space="preserve">        377.62亿</t>
  </si>
  <si>
    <t>18.53万</t>
  </si>
  <si>
    <t>电科数字</t>
  </si>
  <si>
    <t xml:space="preserve">         75.68亿</t>
  </si>
  <si>
    <t>36.62万</t>
  </si>
  <si>
    <t>海欣股份</t>
  </si>
  <si>
    <t xml:space="preserve">         75.15亿</t>
  </si>
  <si>
    <t xml:space="preserve">        122.88亿</t>
  </si>
  <si>
    <t>14.85万</t>
  </si>
  <si>
    <t>龙建股份</t>
  </si>
  <si>
    <t>春兰股份</t>
  </si>
  <si>
    <t xml:space="preserve">         12.93亿</t>
  </si>
  <si>
    <t xml:space="preserve">         19.06亿</t>
  </si>
  <si>
    <t>航天长峰</t>
  </si>
  <si>
    <t xml:space="preserve">         43.73亿</t>
  </si>
  <si>
    <t>6.61万</t>
  </si>
  <si>
    <t>宁波中百</t>
  </si>
  <si>
    <t xml:space="preserve">         14.05亿</t>
  </si>
  <si>
    <t>银座股份</t>
  </si>
  <si>
    <t xml:space="preserve">         27.90亿</t>
  </si>
  <si>
    <t xml:space="preserve">         28.03亿</t>
  </si>
  <si>
    <t>王府井</t>
  </si>
  <si>
    <t xml:space="preserve">        119.15亿</t>
  </si>
  <si>
    <t xml:space="preserve">        238.31亿</t>
  </si>
  <si>
    <t>15.96万</t>
  </si>
  <si>
    <t xml:space="preserve">   4.45㈡</t>
  </si>
  <si>
    <t>京城股份</t>
  </si>
  <si>
    <t xml:space="preserve">         26.91亿</t>
  </si>
  <si>
    <t xml:space="preserve">  -0.19㈡</t>
  </si>
  <si>
    <t>北京城乡</t>
  </si>
  <si>
    <t xml:space="preserve">         44.42亿</t>
  </si>
  <si>
    <t xml:space="preserve">  -0.87㈡</t>
  </si>
  <si>
    <t>中航高科</t>
  </si>
  <si>
    <t xml:space="preserve">        235.26亿</t>
  </si>
  <si>
    <t xml:space="preserve">        437.42亿</t>
  </si>
  <si>
    <t>37.56万</t>
  </si>
  <si>
    <t>内蒙华电</t>
  </si>
  <si>
    <t xml:space="preserve">        194.01亿</t>
  </si>
  <si>
    <t>哈投股份</t>
  </si>
  <si>
    <t xml:space="preserve">        128.37亿</t>
  </si>
  <si>
    <t>百大集团</t>
  </si>
  <si>
    <t xml:space="preserve">         31.23亿</t>
  </si>
  <si>
    <t>星湖科技</t>
  </si>
  <si>
    <t xml:space="preserve">         29.56亿</t>
  </si>
  <si>
    <t>通化东宝</t>
  </si>
  <si>
    <t xml:space="preserve">        131.91亿</t>
  </si>
  <si>
    <t xml:space="preserve">        215.47亿</t>
  </si>
  <si>
    <t xml:space="preserve">        216.21亿</t>
  </si>
  <si>
    <t>梅雁吉祥</t>
  </si>
  <si>
    <t xml:space="preserve">         56.75亿</t>
  </si>
  <si>
    <t>1.88万</t>
  </si>
  <si>
    <t>远东股份</t>
  </si>
  <si>
    <t xml:space="preserve">        143.81亿</t>
  </si>
  <si>
    <t>石化油服</t>
  </si>
  <si>
    <t xml:space="preserve">        347.38亿</t>
  </si>
  <si>
    <t>中炬高新</t>
  </si>
  <si>
    <t xml:space="preserve">        151.61亿</t>
  </si>
  <si>
    <t xml:space="preserve">        235.88亿</t>
  </si>
  <si>
    <t>15.56万</t>
  </si>
  <si>
    <t>梅花生物</t>
  </si>
  <si>
    <t xml:space="preserve">        155.77亿</t>
  </si>
  <si>
    <t xml:space="preserve">        215.04亿</t>
  </si>
  <si>
    <t>14.56万</t>
  </si>
  <si>
    <t xml:space="preserve">  10.93㈡</t>
  </si>
  <si>
    <t>创业环保</t>
  </si>
  <si>
    <t xml:space="preserve">         23.30亿</t>
  </si>
  <si>
    <t xml:space="preserve">   4.53㈡</t>
  </si>
  <si>
    <t>东方电气</t>
  </si>
  <si>
    <t xml:space="preserve">        166.83亿</t>
  </si>
  <si>
    <t xml:space="preserve">        325.69亿</t>
  </si>
  <si>
    <t xml:space="preserve">        453.28亿</t>
  </si>
  <si>
    <t>洛阳玻璃</t>
  </si>
  <si>
    <t xml:space="preserve">         80.20亿</t>
  </si>
  <si>
    <t xml:space="preserve">  10.85㈡</t>
  </si>
  <si>
    <t>电能股份</t>
  </si>
  <si>
    <t xml:space="preserve">        103.16亿</t>
  </si>
  <si>
    <t xml:space="preserve">        123.41亿</t>
  </si>
  <si>
    <t>18.01万</t>
  </si>
  <si>
    <t>航天电子</t>
  </si>
  <si>
    <t xml:space="preserve">        149.88亿</t>
  </si>
  <si>
    <t xml:space="preserve">        209.38亿</t>
  </si>
  <si>
    <t>博瑞传播</t>
  </si>
  <si>
    <t xml:space="preserve">         26.31亿</t>
  </si>
  <si>
    <t xml:space="preserve">         40.45亿</t>
  </si>
  <si>
    <t>亚泰集团</t>
  </si>
  <si>
    <t xml:space="preserve">         91.01亿</t>
  </si>
  <si>
    <t xml:space="preserve">        103.97亿</t>
  </si>
  <si>
    <t>妙可蓝多</t>
  </si>
  <si>
    <t xml:space="preserve">        145.20亿</t>
  </si>
  <si>
    <t xml:space="preserve">        210.79亿</t>
  </si>
  <si>
    <t xml:space="preserve">        265.85亿</t>
  </si>
  <si>
    <t>59.29万</t>
  </si>
  <si>
    <t>博闻科技</t>
  </si>
  <si>
    <t>杉杉股份</t>
  </si>
  <si>
    <t xml:space="preserve">        376.10亿</t>
  </si>
  <si>
    <t xml:space="preserve">        618.95亿</t>
  </si>
  <si>
    <t>53.44万</t>
  </si>
  <si>
    <t>宏发股份</t>
  </si>
  <si>
    <t xml:space="preserve">        308.82亿</t>
  </si>
  <si>
    <t xml:space="preserve">        475.53亿</t>
  </si>
  <si>
    <t>177.53万</t>
  </si>
  <si>
    <t>0.699㈡</t>
  </si>
  <si>
    <t>国投电力</t>
  </si>
  <si>
    <t xml:space="preserve">        240.79亿</t>
  </si>
  <si>
    <t xml:space="preserve">        674.99亿</t>
  </si>
  <si>
    <t>25.40万</t>
  </si>
  <si>
    <t>伊利股份</t>
  </si>
  <si>
    <t xml:space="preserve">       1889.79亿</t>
  </si>
  <si>
    <t xml:space="preserve">       2078.55亿</t>
  </si>
  <si>
    <t xml:space="preserve">       2131.80亿</t>
  </si>
  <si>
    <t>30.50万</t>
  </si>
  <si>
    <t>新疆众和</t>
  </si>
  <si>
    <t xml:space="preserve">         86.32亿</t>
  </si>
  <si>
    <t xml:space="preserve">        135.31亿</t>
  </si>
  <si>
    <t xml:space="preserve">        144.52亿</t>
  </si>
  <si>
    <t>南京化纤</t>
  </si>
  <si>
    <t>大晟文化</t>
  </si>
  <si>
    <t>航发动力</t>
  </si>
  <si>
    <t xml:space="preserve">        566.85亿</t>
  </si>
  <si>
    <t xml:space="preserve">       1150.83亿</t>
  </si>
  <si>
    <t xml:space="preserve">       1455.15亿</t>
  </si>
  <si>
    <t>22.21万</t>
  </si>
  <si>
    <t>广日股份</t>
  </si>
  <si>
    <t xml:space="preserve">         26.52亿</t>
  </si>
  <si>
    <t xml:space="preserve">         61.06亿</t>
  </si>
  <si>
    <t>0.372㈡</t>
  </si>
  <si>
    <t>张江高科</t>
  </si>
  <si>
    <t xml:space="preserve">        266.53亿</t>
  </si>
  <si>
    <t xml:space="preserve">  14.30㈡</t>
  </si>
  <si>
    <t>厦门空港</t>
  </si>
  <si>
    <t xml:space="preserve">         48.57亿</t>
  </si>
  <si>
    <t>0.485㈡</t>
  </si>
  <si>
    <t>长江电力</t>
  </si>
  <si>
    <t xml:space="preserve">       1829.06亿</t>
  </si>
  <si>
    <t xml:space="preserve">       4493.79亿</t>
  </si>
  <si>
    <t>83.08万</t>
  </si>
  <si>
    <t>0.377㈡</t>
  </si>
  <si>
    <t>江苏租赁</t>
  </si>
  <si>
    <t xml:space="preserve">        158.52亿</t>
  </si>
  <si>
    <t xml:space="preserve">        160.08亿</t>
  </si>
  <si>
    <t xml:space="preserve">   8.06㈡</t>
  </si>
  <si>
    <t>贵州燃气</t>
  </si>
  <si>
    <t xml:space="preserve">        130.78亿</t>
  </si>
  <si>
    <t>三峡能源</t>
  </si>
  <si>
    <t xml:space="preserve">        418.36亿</t>
  </si>
  <si>
    <t xml:space="preserve">       1719.97亿</t>
  </si>
  <si>
    <t>财达证券</t>
  </si>
  <si>
    <t xml:space="preserve">        439.37亿</t>
  </si>
  <si>
    <t>无锡银行</t>
  </si>
  <si>
    <t xml:space="preserve">         87.05亿</t>
  </si>
  <si>
    <t xml:space="preserve">        106.48亿</t>
  </si>
  <si>
    <t xml:space="preserve">        114.12亿</t>
  </si>
  <si>
    <t>14.04万</t>
  </si>
  <si>
    <t>华安证券</t>
  </si>
  <si>
    <t xml:space="preserve">        132.97亿</t>
  </si>
  <si>
    <t xml:space="preserve">        263.54亿</t>
  </si>
  <si>
    <t>中国黄金</t>
  </si>
  <si>
    <t xml:space="preserve">        253.51亿</t>
  </si>
  <si>
    <t>2.85万</t>
  </si>
  <si>
    <t>重庆燃气</t>
  </si>
  <si>
    <t xml:space="preserve">         15.62亿</t>
  </si>
  <si>
    <t xml:space="preserve">        156.07亿</t>
  </si>
  <si>
    <t xml:space="preserve">        157.61亿</t>
  </si>
  <si>
    <t>中泰证券</t>
  </si>
  <si>
    <t xml:space="preserve">        247.55亿</t>
  </si>
  <si>
    <t xml:space="preserve">        268.47亿</t>
  </si>
  <si>
    <t xml:space="preserve">        717.07亿</t>
  </si>
  <si>
    <t>16.24万</t>
  </si>
  <si>
    <t>江苏银行</t>
  </si>
  <si>
    <t xml:space="preserve">        689.19亿</t>
  </si>
  <si>
    <t xml:space="preserve">        907.22亿</t>
  </si>
  <si>
    <t xml:space="preserve">        912.76亿</t>
  </si>
  <si>
    <t>49.54万</t>
  </si>
  <si>
    <t>杭州银行</t>
  </si>
  <si>
    <t xml:space="preserve">        410.64亿</t>
  </si>
  <si>
    <t xml:space="preserve">        736.54亿</t>
  </si>
  <si>
    <t xml:space="preserve">        866.40亿</t>
  </si>
  <si>
    <t>70.61万</t>
  </si>
  <si>
    <t>西安银行</t>
  </si>
  <si>
    <t xml:space="preserve">         51.89亿</t>
  </si>
  <si>
    <t xml:space="preserve">        199.56亿</t>
  </si>
  <si>
    <t>雪天盐业</t>
  </si>
  <si>
    <t xml:space="preserve">         27.02亿</t>
  </si>
  <si>
    <t xml:space="preserve">         75.62亿</t>
  </si>
  <si>
    <t>爱柯迪</t>
  </si>
  <si>
    <t xml:space="preserve">        103.81亿</t>
  </si>
  <si>
    <t xml:space="preserve">        104.27亿</t>
  </si>
  <si>
    <t>广西广电</t>
  </si>
  <si>
    <t xml:space="preserve">         27.86亿</t>
  </si>
  <si>
    <t xml:space="preserve">  -4.41㈡</t>
  </si>
  <si>
    <t>重庆建工</t>
  </si>
  <si>
    <t xml:space="preserve">         13.16亿</t>
  </si>
  <si>
    <t xml:space="preserve">         66.05亿</t>
  </si>
  <si>
    <t>新天绿能</t>
  </si>
  <si>
    <t xml:space="preserve">         22.56亿</t>
  </si>
  <si>
    <t xml:space="preserve">        336.63亿</t>
  </si>
  <si>
    <t>东方证券</t>
  </si>
  <si>
    <t xml:space="preserve">        697.88亿</t>
  </si>
  <si>
    <t xml:space="preserve">        953.42亿</t>
  </si>
  <si>
    <t xml:space="preserve">        991.64亿</t>
  </si>
  <si>
    <t>44.49万</t>
  </si>
  <si>
    <t>江苏有线</t>
  </si>
  <si>
    <t xml:space="preserve">         55.73亿</t>
  </si>
  <si>
    <t xml:space="preserve">        139.44亿</t>
  </si>
  <si>
    <t xml:space="preserve">        154.02亿</t>
  </si>
  <si>
    <t>渤海汽车</t>
  </si>
  <si>
    <t>株冶集团</t>
  </si>
  <si>
    <t xml:space="preserve">  52.00㈡</t>
  </si>
  <si>
    <t>国投中鲁</t>
  </si>
  <si>
    <t>岳阳林纸</t>
  </si>
  <si>
    <t xml:space="preserve">         75.86亿</t>
  </si>
  <si>
    <t xml:space="preserve">        143.33亿</t>
  </si>
  <si>
    <t xml:space="preserve">        146.21亿</t>
  </si>
  <si>
    <t>福成股份</t>
  </si>
  <si>
    <t xml:space="preserve">         50.68亿</t>
  </si>
  <si>
    <t>博汇纸业</t>
  </si>
  <si>
    <t xml:space="preserve">         85.36亿</t>
  </si>
  <si>
    <t xml:space="preserve">        166.84亿</t>
  </si>
  <si>
    <t xml:space="preserve">  21.16㈡</t>
  </si>
  <si>
    <t>内蒙一机</t>
  </si>
  <si>
    <t xml:space="preserve">         75.42亿</t>
  </si>
  <si>
    <t xml:space="preserve">        177.41亿</t>
  </si>
  <si>
    <t xml:space="preserve">        178.95亿</t>
  </si>
  <si>
    <t>11.92万</t>
  </si>
  <si>
    <t>海油发展</t>
  </si>
  <si>
    <t xml:space="preserve">         61.73亿</t>
  </si>
  <si>
    <t>郴电国际</t>
  </si>
  <si>
    <t xml:space="preserve">         15.76亿</t>
  </si>
  <si>
    <t>中材国际</t>
  </si>
  <si>
    <t xml:space="preserve">        134.53亿</t>
  </si>
  <si>
    <t xml:space="preserve">        224.50亿</t>
  </si>
  <si>
    <t>26.19万</t>
  </si>
  <si>
    <t xml:space="preserve">   6.34㈡</t>
  </si>
  <si>
    <t>恒源煤电</t>
  </si>
  <si>
    <t>0.412㈡</t>
  </si>
  <si>
    <t>宝胜股份</t>
  </si>
  <si>
    <t xml:space="preserve">         36.50亿</t>
  </si>
  <si>
    <t xml:space="preserve">         59.72亿</t>
  </si>
  <si>
    <t>新五丰</t>
  </si>
  <si>
    <t xml:space="preserve">         27.98亿</t>
  </si>
  <si>
    <t>健民集团</t>
  </si>
  <si>
    <t xml:space="preserve">         63.54亿</t>
  </si>
  <si>
    <t xml:space="preserve">         64.03亿</t>
  </si>
  <si>
    <t>42.87万</t>
  </si>
  <si>
    <t>中国电影</t>
  </si>
  <si>
    <t xml:space="preserve">         81.10亿</t>
  </si>
  <si>
    <t xml:space="preserve">        248.50亿</t>
  </si>
  <si>
    <t>9.03万</t>
  </si>
  <si>
    <t xml:space="preserve">   2.73㈡</t>
  </si>
  <si>
    <t>广安爱众</t>
  </si>
  <si>
    <t xml:space="preserve">         40.91亿</t>
  </si>
  <si>
    <t>5.42万</t>
  </si>
  <si>
    <t>北矿科技</t>
  </si>
  <si>
    <t xml:space="preserve">         32.07亿</t>
  </si>
  <si>
    <t>汇鸿集团</t>
  </si>
  <si>
    <t xml:space="preserve">         17.49亿</t>
  </si>
  <si>
    <t xml:space="preserve">         64.58亿</t>
  </si>
  <si>
    <t>宁波能源</t>
  </si>
  <si>
    <t xml:space="preserve">         30.25亿</t>
  </si>
  <si>
    <t>惠而浦</t>
  </si>
  <si>
    <t xml:space="preserve">         64.00亿</t>
  </si>
  <si>
    <t xml:space="preserve">  -3.77㈡</t>
  </si>
  <si>
    <t>建设机械</t>
  </si>
  <si>
    <t xml:space="preserve">         59.49亿</t>
  </si>
  <si>
    <t xml:space="preserve">         88.83亿</t>
  </si>
  <si>
    <t xml:space="preserve">         99.98亿</t>
  </si>
  <si>
    <t>13.23万</t>
  </si>
  <si>
    <t>淮北矿业</t>
  </si>
  <si>
    <t xml:space="preserve">        141.04亿</t>
  </si>
  <si>
    <t xml:space="preserve">        158.76亿</t>
  </si>
  <si>
    <t xml:space="preserve">        410.86亿</t>
  </si>
  <si>
    <t>43.27万</t>
  </si>
  <si>
    <t>浙文互联</t>
  </si>
  <si>
    <t xml:space="preserve">         52.39亿</t>
  </si>
  <si>
    <t xml:space="preserve">         60.04亿</t>
  </si>
  <si>
    <t xml:space="preserve">         60.05亿</t>
  </si>
  <si>
    <t>航民股份</t>
  </si>
  <si>
    <t xml:space="preserve">         56.53亿</t>
  </si>
  <si>
    <t>赤峰黄金</t>
  </si>
  <si>
    <t xml:space="preserve">        193.58亿</t>
  </si>
  <si>
    <t xml:space="preserve">        258.21亿</t>
  </si>
  <si>
    <t xml:space="preserve">        279.87亿</t>
  </si>
  <si>
    <t>宝丰能源</t>
  </si>
  <si>
    <t xml:space="preserve">        370.93亿</t>
  </si>
  <si>
    <t xml:space="preserve">       1364.01亿</t>
  </si>
  <si>
    <t>27.73万</t>
  </si>
  <si>
    <t>四创电子</t>
  </si>
  <si>
    <t xml:space="preserve">         31.26亿</t>
  </si>
  <si>
    <t xml:space="preserve">         59.20亿</t>
  </si>
  <si>
    <t xml:space="preserve">  -2.32㈡</t>
  </si>
  <si>
    <t>贵绳股份</t>
  </si>
  <si>
    <t xml:space="preserve">         20.44亿</t>
  </si>
  <si>
    <t xml:space="preserve">   0.98㈡</t>
  </si>
  <si>
    <t>马应龙</t>
  </si>
  <si>
    <t xml:space="preserve">         81.45亿</t>
  </si>
  <si>
    <t xml:space="preserve">        125.91亿</t>
  </si>
  <si>
    <t xml:space="preserve">        126.13亿</t>
  </si>
  <si>
    <t>文山电力</t>
  </si>
  <si>
    <t xml:space="preserve">         24.26亿</t>
  </si>
  <si>
    <t xml:space="preserve">   5.47㈡</t>
  </si>
  <si>
    <t>贵广网络</t>
  </si>
  <si>
    <t>-0.340㈡</t>
  </si>
  <si>
    <t xml:space="preserve">  -8.63㈡</t>
  </si>
  <si>
    <t>开滦股份</t>
  </si>
  <si>
    <t xml:space="preserve">         56.32亿</t>
  </si>
  <si>
    <t xml:space="preserve">        177.99亿</t>
  </si>
  <si>
    <t xml:space="preserve">   8.79㈡</t>
  </si>
  <si>
    <t>九州通</t>
  </si>
  <si>
    <t xml:space="preserve">        293.81亿</t>
  </si>
  <si>
    <t>34.13万</t>
  </si>
  <si>
    <t xml:space="preserve">   9.40㈡</t>
  </si>
  <si>
    <t>招商证券</t>
  </si>
  <si>
    <t xml:space="preserve">        559.23亿</t>
  </si>
  <si>
    <t xml:space="preserve">       1376.04亿</t>
  </si>
  <si>
    <t>29.20万</t>
  </si>
  <si>
    <t>唐山港</t>
  </si>
  <si>
    <t xml:space="preserve">         77.44亿</t>
  </si>
  <si>
    <t xml:space="preserve">        164.74亿</t>
  </si>
  <si>
    <t>7.70万</t>
  </si>
  <si>
    <t>晋控煤业</t>
  </si>
  <si>
    <t xml:space="preserve">        104.96亿</t>
  </si>
  <si>
    <t xml:space="preserve">        246.70亿</t>
  </si>
  <si>
    <t xml:space="preserve">  15.31㈡</t>
  </si>
  <si>
    <t>晋亿实业</t>
  </si>
  <si>
    <t xml:space="preserve">         30.16亿</t>
  </si>
  <si>
    <t>柳钢股份</t>
  </si>
  <si>
    <t xml:space="preserve">  14.49㈡</t>
  </si>
  <si>
    <t>重庆钢铁</t>
  </si>
  <si>
    <t xml:space="preserve">        187.88亿</t>
  </si>
  <si>
    <t xml:space="preserve">        250.58亿</t>
  </si>
  <si>
    <t xml:space="preserve">  11.86㈡</t>
  </si>
  <si>
    <t>大秦铁路</t>
  </si>
  <si>
    <t xml:space="preserve">        344.56亿</t>
  </si>
  <si>
    <t xml:space="preserve">        924.72亿</t>
  </si>
  <si>
    <t>16.94万</t>
  </si>
  <si>
    <t>金陵饭店</t>
  </si>
  <si>
    <t xml:space="preserve">         13.00亿</t>
  </si>
  <si>
    <t xml:space="preserve">         23.01亿</t>
  </si>
  <si>
    <t>连云港</t>
  </si>
  <si>
    <t xml:space="preserve">         48.69亿</t>
  </si>
  <si>
    <t xml:space="preserve">   1.27㈡</t>
  </si>
  <si>
    <t>南京银行</t>
  </si>
  <si>
    <t xml:space="preserve">        463.10亿</t>
  </si>
  <si>
    <t xml:space="preserve">        786.30亿</t>
  </si>
  <si>
    <t xml:space="preserve">        927.65亿</t>
  </si>
  <si>
    <t>文峰股份</t>
  </si>
  <si>
    <t>宝泰隆</t>
  </si>
  <si>
    <t>隆基股份</t>
  </si>
  <si>
    <t xml:space="preserve">       3197.86亿</t>
  </si>
  <si>
    <t xml:space="preserve">       4384.94亿</t>
  </si>
  <si>
    <t xml:space="preserve">       4385.03亿</t>
  </si>
  <si>
    <t>60.33万</t>
  </si>
  <si>
    <t xml:space="preserve">  11.50㈡</t>
  </si>
  <si>
    <t>陕西黑猫</t>
  </si>
  <si>
    <t xml:space="preserve">         70.08亿</t>
  </si>
  <si>
    <t xml:space="preserve">        209.36亿</t>
  </si>
  <si>
    <t>节能风电</t>
  </si>
  <si>
    <t xml:space="preserve">        261.66亿</t>
  </si>
  <si>
    <t>宁波港</t>
  </si>
  <si>
    <t xml:space="preserve">         93.16亿</t>
  </si>
  <si>
    <t xml:space="preserve">        538.77亿</t>
  </si>
  <si>
    <t xml:space="preserve">        646.52亿</t>
  </si>
  <si>
    <t>山东出版</t>
  </si>
  <si>
    <t xml:space="preserve">        133.35亿</t>
  </si>
  <si>
    <t>春秋航空</t>
  </si>
  <si>
    <t xml:space="preserve">        184.12亿</t>
  </si>
  <si>
    <t xml:space="preserve">        496.26亿</t>
  </si>
  <si>
    <t>79.95万</t>
  </si>
  <si>
    <t>玉龙股份</t>
  </si>
  <si>
    <t xml:space="preserve">         70.15亿</t>
  </si>
  <si>
    <t xml:space="preserve">        140.32亿</t>
  </si>
  <si>
    <t>49.85万</t>
  </si>
  <si>
    <t>一拖股份</t>
  </si>
  <si>
    <t xml:space="preserve">         97.76亿</t>
  </si>
  <si>
    <t>赛轮轮胎</t>
  </si>
  <si>
    <t xml:space="preserve">        180.00亿</t>
  </si>
  <si>
    <t xml:space="preserve">        253.33亿</t>
  </si>
  <si>
    <t xml:space="preserve">        303.28亿</t>
  </si>
  <si>
    <t>40.84万</t>
  </si>
  <si>
    <t>中信建投</t>
  </si>
  <si>
    <t xml:space="preserve">        434.43亿</t>
  </si>
  <si>
    <t xml:space="preserve">       1161.70亿</t>
  </si>
  <si>
    <t xml:space="preserve">       1979.88亿</t>
  </si>
  <si>
    <t>21.60万</t>
  </si>
  <si>
    <t>中铝国际</t>
  </si>
  <si>
    <t>西部黄金</t>
  </si>
  <si>
    <t xml:space="preserve">         78.74亿</t>
  </si>
  <si>
    <t>-0.078㈡</t>
  </si>
  <si>
    <t xml:space="preserve">  -2.93㈡</t>
  </si>
  <si>
    <t>渝农商行</t>
  </si>
  <si>
    <t xml:space="preserve">        230.87亿</t>
  </si>
  <si>
    <t xml:space="preserve">        347.56亿</t>
  </si>
  <si>
    <t>国芳集团</t>
  </si>
  <si>
    <t xml:space="preserve">         29.57亿</t>
  </si>
  <si>
    <t>中国神华</t>
  </si>
  <si>
    <t xml:space="preserve">        620.30亿</t>
  </si>
  <si>
    <t xml:space="preserve">       3819.32亿</t>
  </si>
  <si>
    <t>32.22万</t>
  </si>
  <si>
    <t>1.310㈡</t>
  </si>
  <si>
    <t>中南传媒</t>
  </si>
  <si>
    <t xml:space="preserve">         57.64亿</t>
  </si>
  <si>
    <t xml:space="preserve">        163.26亿</t>
  </si>
  <si>
    <t>太平洋</t>
  </si>
  <si>
    <t xml:space="preserve">        213.14亿</t>
  </si>
  <si>
    <t xml:space="preserve">        239.25亿</t>
  </si>
  <si>
    <t>恒立液压</t>
  </si>
  <si>
    <t xml:space="preserve">        358.50亿</t>
  </si>
  <si>
    <t xml:space="preserve">       1153.68亿</t>
  </si>
  <si>
    <t>53.24万</t>
  </si>
  <si>
    <t xml:space="preserve">  17.78㈡</t>
  </si>
  <si>
    <t>昊华能源</t>
  </si>
  <si>
    <t xml:space="preserve">         56.45亿</t>
  </si>
  <si>
    <t xml:space="preserve">        153.84亿</t>
  </si>
  <si>
    <t xml:space="preserve">   7.60㈡</t>
  </si>
  <si>
    <t>中国一重</t>
  </si>
  <si>
    <t xml:space="preserve">        101.07亿</t>
  </si>
  <si>
    <t xml:space="preserve">        279.80亿</t>
  </si>
  <si>
    <t>3.62万</t>
  </si>
  <si>
    <t>四川成渝</t>
  </si>
  <si>
    <t xml:space="preserve">         15.95亿</t>
  </si>
  <si>
    <t xml:space="preserve">         74.61亿</t>
  </si>
  <si>
    <t>3.17万</t>
  </si>
  <si>
    <t>财通证券</t>
  </si>
  <si>
    <t xml:space="preserve">        269.41亿</t>
  </si>
  <si>
    <t xml:space="preserve">        397.66亿</t>
  </si>
  <si>
    <t>17.04万</t>
  </si>
  <si>
    <t>中国国航</t>
  </si>
  <si>
    <t xml:space="preserve">        193.31亿</t>
  </si>
  <si>
    <t xml:space="preserve">        719.27亿</t>
  </si>
  <si>
    <t>12.82万</t>
  </si>
  <si>
    <t xml:space="preserve">  -9.49㈡</t>
  </si>
  <si>
    <t>三江购物</t>
  </si>
  <si>
    <t xml:space="preserve">         17.71亿</t>
  </si>
  <si>
    <t>中国化学</t>
  </si>
  <si>
    <t xml:space="preserve">        278.05亿</t>
  </si>
  <si>
    <t xml:space="preserve">        613.17亿</t>
  </si>
  <si>
    <t xml:space="preserve">        759.41亿</t>
  </si>
  <si>
    <t>32.68万</t>
  </si>
  <si>
    <t>海南橡胶</t>
  </si>
  <si>
    <t xml:space="preserve">         80.39亿</t>
  </si>
  <si>
    <t xml:space="preserve">        225.53亿</t>
  </si>
  <si>
    <t xml:space="preserve">  -1.24㈡</t>
  </si>
  <si>
    <t>四方股份</t>
  </si>
  <si>
    <t xml:space="preserve">        152.96亿</t>
  </si>
  <si>
    <t>29.62万</t>
  </si>
  <si>
    <t>小康股份</t>
  </si>
  <si>
    <t xml:space="preserve">        417.38亿</t>
  </si>
  <si>
    <t xml:space="preserve">        770.76亿</t>
  </si>
  <si>
    <t xml:space="preserve">       1074.34亿</t>
  </si>
  <si>
    <t>41.82万</t>
  </si>
  <si>
    <t xml:space="preserve">  -6.17㈡</t>
  </si>
  <si>
    <t>常熟银行</t>
  </si>
  <si>
    <t xml:space="preserve">        146.40亿</t>
  </si>
  <si>
    <t xml:space="preserve">        161.73亿</t>
  </si>
  <si>
    <t xml:space="preserve">        170.21亿</t>
  </si>
  <si>
    <t>22.63万</t>
  </si>
  <si>
    <t>博威合金</t>
  </si>
  <si>
    <t xml:space="preserve">         47.33亿</t>
  </si>
  <si>
    <t xml:space="preserve">        102.39亿</t>
  </si>
  <si>
    <t xml:space="preserve">        112.34亿</t>
  </si>
  <si>
    <t>工业富联</t>
  </si>
  <si>
    <t xml:space="preserve">        357.06亿</t>
  </si>
  <si>
    <t xml:space="preserve">       2334.39亿</t>
  </si>
  <si>
    <t>深圳燃气</t>
  </si>
  <si>
    <t xml:space="preserve">         57.17亿</t>
  </si>
  <si>
    <t xml:space="preserve">        342.33亿</t>
  </si>
  <si>
    <t xml:space="preserve">        342.34亿</t>
  </si>
  <si>
    <t>19.19万</t>
  </si>
  <si>
    <t>新城控股</t>
  </si>
  <si>
    <t xml:space="preserve">        238.93亿</t>
  </si>
  <si>
    <t xml:space="preserve">        729.30亿</t>
  </si>
  <si>
    <t xml:space="preserve">        731.30亿</t>
  </si>
  <si>
    <t>44.63万</t>
  </si>
  <si>
    <t>1.910㈡</t>
  </si>
  <si>
    <t>东航物流</t>
  </si>
  <si>
    <t xml:space="preserve">         35.50亿</t>
  </si>
  <si>
    <t xml:space="preserve">        354.98亿</t>
  </si>
  <si>
    <t xml:space="preserve">  17.16㈡</t>
  </si>
  <si>
    <t>重庆水务</t>
  </si>
  <si>
    <t xml:space="preserve">        268.80亿</t>
  </si>
  <si>
    <t>天风证券</t>
  </si>
  <si>
    <t xml:space="preserve">        162.50亿</t>
  </si>
  <si>
    <t xml:space="preserve">        172.35亿</t>
  </si>
  <si>
    <t xml:space="preserve">        389.09亿</t>
  </si>
  <si>
    <t>三角轮胎</t>
  </si>
  <si>
    <t xml:space="preserve">        110.72亿</t>
  </si>
  <si>
    <t>兴业银行</t>
  </si>
  <si>
    <t xml:space="preserve">       2392.87亿</t>
  </si>
  <si>
    <t xml:space="preserve">       3648.44亿</t>
  </si>
  <si>
    <t xml:space="preserve">       3864.00亿</t>
  </si>
  <si>
    <t>72.01万</t>
  </si>
  <si>
    <t>1.790㈡</t>
  </si>
  <si>
    <t>西部矿业</t>
  </si>
  <si>
    <t xml:space="preserve">        283.08亿</t>
  </si>
  <si>
    <t xml:space="preserve">        404.40亿</t>
  </si>
  <si>
    <t>北京银行</t>
  </si>
  <si>
    <t xml:space="preserve">        654.78亿</t>
  </si>
  <si>
    <t xml:space="preserve">        938.75亿</t>
  </si>
  <si>
    <t>30.04万</t>
  </si>
  <si>
    <t>杭齿前进</t>
  </si>
  <si>
    <t xml:space="preserve">         18.56亿</t>
  </si>
  <si>
    <t>中国西电</t>
  </si>
  <si>
    <t xml:space="preserve">        107.36亿</t>
  </si>
  <si>
    <t xml:space="preserve">        315.24亿</t>
  </si>
  <si>
    <t>中国铁建</t>
  </si>
  <si>
    <t xml:space="preserve">        389.47亿</t>
  </si>
  <si>
    <t xml:space="preserve">        982.38亿</t>
  </si>
  <si>
    <t>厦门银行</t>
  </si>
  <si>
    <t xml:space="preserve">        220.10亿</t>
  </si>
  <si>
    <t>龙江交通</t>
  </si>
  <si>
    <t>东兴证券</t>
  </si>
  <si>
    <t xml:space="preserve">        316.06亿</t>
  </si>
  <si>
    <t>江南水务</t>
  </si>
  <si>
    <t>上海环境</t>
  </si>
  <si>
    <t xml:space="preserve">        134.96亿</t>
  </si>
  <si>
    <t>东材科技</t>
  </si>
  <si>
    <t xml:space="preserve">        103.13亿</t>
  </si>
  <si>
    <t xml:space="preserve">        138.56亿</t>
  </si>
  <si>
    <t xml:space="preserve">        154.94亿</t>
  </si>
  <si>
    <t>40.62万</t>
  </si>
  <si>
    <t>国泰君安</t>
  </si>
  <si>
    <t xml:space="preserve">        770.05亿</t>
  </si>
  <si>
    <t xml:space="preserve">       1349.18亿</t>
  </si>
  <si>
    <t xml:space="preserve">       1363.52亿</t>
  </si>
  <si>
    <t>40.54万</t>
  </si>
  <si>
    <t>白银有色</t>
  </si>
  <si>
    <t xml:space="preserve">         71.60亿</t>
  </si>
  <si>
    <t xml:space="preserve">        254.72亿</t>
  </si>
  <si>
    <t>君正集团</t>
  </si>
  <si>
    <t xml:space="preserve">        199.37亿</t>
  </si>
  <si>
    <t xml:space="preserve">        530.75亿</t>
  </si>
  <si>
    <t>吉鑫科技</t>
  </si>
  <si>
    <t xml:space="preserve">         28.35亿</t>
  </si>
  <si>
    <t>林洋能源</t>
  </si>
  <si>
    <t xml:space="preserve">        127.16亿</t>
  </si>
  <si>
    <t xml:space="preserve">        219.63亿</t>
  </si>
  <si>
    <t>19.46万</t>
  </si>
  <si>
    <t>陕西煤业</t>
  </si>
  <si>
    <t xml:space="preserve">        542.00亿</t>
  </si>
  <si>
    <t xml:space="preserve">       1554.11亿</t>
  </si>
  <si>
    <t>58.57万</t>
  </si>
  <si>
    <t>0.855㈡</t>
  </si>
  <si>
    <t xml:space="preserve">  11.52㈡</t>
  </si>
  <si>
    <t>华电重工</t>
  </si>
  <si>
    <t>广州港</t>
  </si>
  <si>
    <t xml:space="preserve">         33.73亿</t>
  </si>
  <si>
    <t xml:space="preserve">        206.23亿</t>
  </si>
  <si>
    <t>上海银行</t>
  </si>
  <si>
    <t xml:space="preserve">        607.61亿</t>
  </si>
  <si>
    <t xml:space="preserve">       1007.23亿</t>
  </si>
  <si>
    <t xml:space="preserve">       1044.18亿</t>
  </si>
  <si>
    <t>49.63万</t>
  </si>
  <si>
    <t>环旭电子</t>
  </si>
  <si>
    <t xml:space="preserve">         68.66亿</t>
  </si>
  <si>
    <t xml:space="preserve">        311.18亿</t>
  </si>
  <si>
    <t xml:space="preserve">        314.87亿</t>
  </si>
  <si>
    <t>桐昆股份</t>
  </si>
  <si>
    <t xml:space="preserve">        400.72亿</t>
  </si>
  <si>
    <t xml:space="preserve">        614.89亿</t>
  </si>
  <si>
    <t>56.73万</t>
  </si>
  <si>
    <t xml:space="preserve">  13.35㈡</t>
  </si>
  <si>
    <t>红塔证券</t>
  </si>
  <si>
    <t xml:space="preserve">        172.57亿</t>
  </si>
  <si>
    <t xml:space="preserve">        312.62亿</t>
  </si>
  <si>
    <t xml:space="preserve">        576.39亿</t>
  </si>
  <si>
    <t>广汽集团</t>
  </si>
  <si>
    <t xml:space="preserve">        337.19亿</t>
  </si>
  <si>
    <t xml:space="preserve">       1238.51亿</t>
  </si>
  <si>
    <t xml:space="preserve">       1256.18亿</t>
  </si>
  <si>
    <t>37.85万</t>
  </si>
  <si>
    <t>庞大集团</t>
  </si>
  <si>
    <t xml:space="preserve">        130.88亿</t>
  </si>
  <si>
    <t xml:space="preserve">        198.41亿</t>
  </si>
  <si>
    <t>英利汽车</t>
  </si>
  <si>
    <t xml:space="preserve">         11.36亿</t>
  </si>
  <si>
    <t xml:space="preserve">        113.56亿</t>
  </si>
  <si>
    <t>农业银行</t>
  </si>
  <si>
    <t xml:space="preserve">        953.98亿</t>
  </si>
  <si>
    <t xml:space="preserve">       8888.75亿</t>
  </si>
  <si>
    <t xml:space="preserve">       9481.55亿</t>
  </si>
  <si>
    <t>21.38万</t>
  </si>
  <si>
    <t xml:space="preserve">   5.42㈡</t>
  </si>
  <si>
    <t>青岛港</t>
  </si>
  <si>
    <t xml:space="preserve">        111.07亿</t>
  </si>
  <si>
    <t xml:space="preserve">        320.29亿</t>
  </si>
  <si>
    <t>骆驼股份</t>
  </si>
  <si>
    <t xml:space="preserve">         90.12亿</t>
  </si>
  <si>
    <t xml:space="preserve">        154.97亿</t>
  </si>
  <si>
    <t xml:space="preserve">   6.40㈡</t>
  </si>
  <si>
    <t>中国平安</t>
  </si>
  <si>
    <t xml:space="preserve">       4886.61亿</t>
  </si>
  <si>
    <t xml:space="preserve">       5363.25亿</t>
  </si>
  <si>
    <t>41.08万</t>
  </si>
  <si>
    <t>3.290㈡</t>
  </si>
  <si>
    <t>中国人保</t>
  </si>
  <si>
    <t xml:space="preserve">        117.76亿</t>
  </si>
  <si>
    <t xml:space="preserve">        289.60亿</t>
  </si>
  <si>
    <t xml:space="preserve">       1835.23亿</t>
  </si>
  <si>
    <t>秦港股份</t>
  </si>
  <si>
    <t xml:space="preserve">         31.45亿</t>
  </si>
  <si>
    <t xml:space="preserve">        135.59亿</t>
  </si>
  <si>
    <t>交通银行</t>
  </si>
  <si>
    <t xml:space="preserve">       1035.82亿</t>
  </si>
  <si>
    <t xml:space="preserve">       1770.21亿</t>
  </si>
  <si>
    <t xml:space="preserve">   4.55㈡</t>
  </si>
  <si>
    <t>绿色动力</t>
  </si>
  <si>
    <t xml:space="preserve">         30.09亿</t>
  </si>
  <si>
    <t xml:space="preserve">         85.05亿</t>
  </si>
  <si>
    <t xml:space="preserve">         93.86亿</t>
  </si>
  <si>
    <t>广深铁路</t>
  </si>
  <si>
    <t xml:space="preserve">         69.15亿</t>
  </si>
  <si>
    <t xml:space="preserve">        133.96亿</t>
  </si>
  <si>
    <t>新华保险</t>
  </si>
  <si>
    <t xml:space="preserve">        289.15亿</t>
  </si>
  <si>
    <t xml:space="preserve">        858.37亿</t>
  </si>
  <si>
    <t>25.99万</t>
  </si>
  <si>
    <t>百隆东方</t>
  </si>
  <si>
    <t xml:space="preserve">         93.60亿</t>
  </si>
  <si>
    <t>三六零</t>
  </si>
  <si>
    <t xml:space="preserve">        326.66亿</t>
  </si>
  <si>
    <t>利群股份</t>
  </si>
  <si>
    <t xml:space="preserve">         30.13亿</t>
  </si>
  <si>
    <t>10.18万</t>
  </si>
  <si>
    <t>绿城水务</t>
  </si>
  <si>
    <t>陕鼓动力</t>
  </si>
  <si>
    <t xml:space="preserve">        208.33亿</t>
  </si>
  <si>
    <t xml:space="preserve">        211.63亿</t>
  </si>
  <si>
    <t>23.42万</t>
  </si>
  <si>
    <t>中原证券</t>
  </si>
  <si>
    <t xml:space="preserve">        118.17亿</t>
  </si>
  <si>
    <t xml:space="preserve">        178.24亿</t>
  </si>
  <si>
    <t>兴业证券</t>
  </si>
  <si>
    <t xml:space="preserve">        503.63亿</t>
  </si>
  <si>
    <t xml:space="preserve">        708.51亿</t>
  </si>
  <si>
    <t>17.36万</t>
  </si>
  <si>
    <t>0.364㈡</t>
  </si>
  <si>
    <t>怡球资源</t>
  </si>
  <si>
    <t xml:space="preserve">         74.60亿</t>
  </si>
  <si>
    <t xml:space="preserve">        128.69亿</t>
  </si>
  <si>
    <t>0.194㈡</t>
  </si>
  <si>
    <t>中国中铁</t>
  </si>
  <si>
    <t xml:space="preserve">        545.57亿</t>
  </si>
  <si>
    <t xml:space="preserve">       1244.21亿</t>
  </si>
  <si>
    <t>工商银行</t>
  </si>
  <si>
    <t xml:space="preserve">       1586.32亿</t>
  </si>
  <si>
    <t xml:space="preserve">      12617.85亿</t>
  </si>
  <si>
    <t>22.96万</t>
  </si>
  <si>
    <t>国机重装</t>
  </si>
  <si>
    <t xml:space="preserve">         75.54亿</t>
  </si>
  <si>
    <t xml:space="preserve">         93.19亿</t>
  </si>
  <si>
    <t xml:space="preserve">        284.92亿</t>
  </si>
  <si>
    <t>14.25万</t>
  </si>
  <si>
    <t>国联证券</t>
  </si>
  <si>
    <t xml:space="preserve">        257.03亿</t>
  </si>
  <si>
    <t>通用股份</t>
  </si>
  <si>
    <t xml:space="preserve">         18.08亿</t>
  </si>
  <si>
    <t xml:space="preserve">         58.47亿</t>
  </si>
  <si>
    <t>中新集团</t>
  </si>
  <si>
    <t xml:space="preserve">         74.48亿</t>
  </si>
  <si>
    <t xml:space="preserve">        140.00亿</t>
  </si>
  <si>
    <t>东风股份</t>
  </si>
  <si>
    <t xml:space="preserve">        105.95亿</t>
  </si>
  <si>
    <t xml:space="preserve">  10.47㈡</t>
  </si>
  <si>
    <t>吉林高速</t>
  </si>
  <si>
    <t xml:space="preserve">         36.06亿</t>
  </si>
  <si>
    <t>2.29万</t>
  </si>
  <si>
    <t>大智慧</t>
  </si>
  <si>
    <t xml:space="preserve">        158.62亿</t>
  </si>
  <si>
    <t xml:space="preserve">        161.85亿</t>
  </si>
  <si>
    <t>瑞丰银行</t>
  </si>
  <si>
    <t xml:space="preserve">        158.18亿</t>
  </si>
  <si>
    <t>1.20万</t>
  </si>
  <si>
    <t>东吴证券</t>
  </si>
  <si>
    <t xml:space="preserve">        272.04亿</t>
  </si>
  <si>
    <t xml:space="preserve">        375.63亿</t>
  </si>
  <si>
    <t>九牧王</t>
  </si>
  <si>
    <t xml:space="preserve">         84.99亿</t>
  </si>
  <si>
    <t>三星医疗</t>
  </si>
  <si>
    <t xml:space="preserve">        190.51亿</t>
  </si>
  <si>
    <t>27.28万</t>
  </si>
  <si>
    <t>北元集团</t>
  </si>
  <si>
    <t xml:space="preserve">        374.11亿</t>
  </si>
  <si>
    <t xml:space="preserve">   9.13㈡</t>
  </si>
  <si>
    <t>长沙银行</t>
  </si>
  <si>
    <t xml:space="preserve">         84.90亿</t>
  </si>
  <si>
    <t xml:space="preserve">        343.04亿</t>
  </si>
  <si>
    <t>17.97万</t>
  </si>
  <si>
    <t>会稽山</t>
  </si>
  <si>
    <t xml:space="preserve">         60.93亿</t>
  </si>
  <si>
    <t>北辰实业</t>
  </si>
  <si>
    <t xml:space="preserve">         33.11亿</t>
  </si>
  <si>
    <t xml:space="preserve">         64.11亿</t>
  </si>
  <si>
    <t>上海电影</t>
  </si>
  <si>
    <t xml:space="preserve">         49.30亿</t>
  </si>
  <si>
    <t xml:space="preserve">   1.73㈡</t>
  </si>
  <si>
    <t>中国外运</t>
  </si>
  <si>
    <t xml:space="preserve">         68.38亿</t>
  </si>
  <si>
    <t xml:space="preserve">         78.12亿</t>
  </si>
  <si>
    <t xml:space="preserve">        303.79亿</t>
  </si>
  <si>
    <t xml:space="preserve">   6.83㈡</t>
  </si>
  <si>
    <t>浙文影业</t>
  </si>
  <si>
    <t xml:space="preserve">         24.61亿</t>
  </si>
  <si>
    <t>中国铝业</t>
  </si>
  <si>
    <t xml:space="preserve">        745.50亿</t>
  </si>
  <si>
    <t xml:space="preserve">       1251.63亿</t>
  </si>
  <si>
    <t>19.02万</t>
  </si>
  <si>
    <t xml:space="preserve">   5.35㈡</t>
  </si>
  <si>
    <t>中国太保</t>
  </si>
  <si>
    <t xml:space="preserve">        976.34亿</t>
  </si>
  <si>
    <t xml:space="preserve">       1895.39亿</t>
  </si>
  <si>
    <t>55.89万</t>
  </si>
  <si>
    <t>长城军工</t>
  </si>
  <si>
    <t xml:space="preserve">         83.29亿</t>
  </si>
  <si>
    <t>5.30万</t>
  </si>
  <si>
    <t xml:space="preserve">  -0.27㈡</t>
  </si>
  <si>
    <t>上海医药</t>
  </si>
  <si>
    <t xml:space="preserve">        191.90亿</t>
  </si>
  <si>
    <t xml:space="preserve">        374.97亿</t>
  </si>
  <si>
    <t xml:space="preserve">        374.99亿</t>
  </si>
  <si>
    <t>中信重工</t>
  </si>
  <si>
    <t xml:space="preserve">         71.29亿</t>
  </si>
  <si>
    <t xml:space="preserve">        217.84亿</t>
  </si>
  <si>
    <t>金田铜业</t>
  </si>
  <si>
    <t xml:space="preserve">         53.20亿</t>
  </si>
  <si>
    <t xml:space="preserve">        137.83亿</t>
  </si>
  <si>
    <t>中国核建</t>
  </si>
  <si>
    <t xml:space="preserve">         67.33亿</t>
  </si>
  <si>
    <t xml:space="preserve">        254.63亿</t>
  </si>
  <si>
    <t xml:space="preserve">        256.95亿</t>
  </si>
  <si>
    <t>明阳智能</t>
  </si>
  <si>
    <t xml:space="preserve">        325.39亿</t>
  </si>
  <si>
    <t xml:space="preserve">        364.28亿</t>
  </si>
  <si>
    <t xml:space="preserve">        480.68亿</t>
  </si>
  <si>
    <t>32.64万</t>
  </si>
  <si>
    <t>广电电气</t>
  </si>
  <si>
    <t xml:space="preserve">         32.75亿</t>
  </si>
  <si>
    <t>中国中冶</t>
  </si>
  <si>
    <t xml:space="preserve">        330.06亿</t>
  </si>
  <si>
    <t xml:space="preserve">        915.84亿</t>
  </si>
  <si>
    <t>嘉泽新能</t>
  </si>
  <si>
    <t xml:space="preserve">        119.26亿</t>
  </si>
  <si>
    <t>中国人寿</t>
  </si>
  <si>
    <t xml:space="preserve">        462.75亿</t>
  </si>
  <si>
    <t xml:space="preserve">       6424.06亿</t>
  </si>
  <si>
    <t>24.19万</t>
  </si>
  <si>
    <t>1.450㈡</t>
  </si>
  <si>
    <t>长城汽车</t>
  </si>
  <si>
    <t xml:space="preserve">        533.44亿</t>
  </si>
  <si>
    <t xml:space="preserve">       3364.60亿</t>
  </si>
  <si>
    <t xml:space="preserve">       3396.59亿</t>
  </si>
  <si>
    <t>39.40万</t>
  </si>
  <si>
    <t>旗滨集团</t>
  </si>
  <si>
    <t xml:space="preserve">        327.88亿</t>
  </si>
  <si>
    <t xml:space="preserve">        549.60亿</t>
  </si>
  <si>
    <t>39.38万</t>
  </si>
  <si>
    <t xml:space="preserve">  19.85㈡</t>
  </si>
  <si>
    <t>邮储银行</t>
  </si>
  <si>
    <t xml:space="preserve">        542.36亿</t>
  </si>
  <si>
    <t xml:space="preserve">        589.65亿</t>
  </si>
  <si>
    <t xml:space="preserve">       3793.20亿</t>
  </si>
  <si>
    <t>21.15万</t>
  </si>
  <si>
    <t>齐鲁银行</t>
  </si>
  <si>
    <t xml:space="preserve">        270.27亿</t>
  </si>
  <si>
    <t>1.39万</t>
  </si>
  <si>
    <t>平煤股份</t>
  </si>
  <si>
    <t xml:space="preserve">        113.60亿</t>
  </si>
  <si>
    <t xml:space="preserve">        264.89亿</t>
  </si>
  <si>
    <t xml:space="preserve">        267.28亿</t>
  </si>
  <si>
    <t>18.16万</t>
  </si>
  <si>
    <t>中国建筑</t>
  </si>
  <si>
    <t xml:space="preserve">        842.19亿</t>
  </si>
  <si>
    <t xml:space="preserve">       2011.91亿</t>
  </si>
  <si>
    <t xml:space="preserve">       2076.43亿</t>
  </si>
  <si>
    <t>15.06万</t>
  </si>
  <si>
    <t xml:space="preserve">   8.11㈡</t>
  </si>
  <si>
    <t>中国电建</t>
  </si>
  <si>
    <t xml:space="preserve">        508.58亿</t>
  </si>
  <si>
    <t xml:space="preserve">        889.32亿</t>
  </si>
  <si>
    <t xml:space="preserve">       1220.86亿</t>
  </si>
  <si>
    <t>明泰铝业</t>
  </si>
  <si>
    <t xml:space="preserve">        207.71亿</t>
  </si>
  <si>
    <t xml:space="preserve">        260.79亿</t>
  </si>
  <si>
    <t xml:space="preserve">        261.15亿</t>
  </si>
  <si>
    <t>99.53万</t>
  </si>
  <si>
    <t>滨化股份</t>
  </si>
  <si>
    <t xml:space="preserve">        202.95亿</t>
  </si>
  <si>
    <t xml:space="preserve">        239.31亿</t>
  </si>
  <si>
    <t>50.08万</t>
  </si>
  <si>
    <t xml:space="preserve">  10.34㈡</t>
  </si>
  <si>
    <t>友发集团</t>
  </si>
  <si>
    <t xml:space="preserve">        152.49亿</t>
  </si>
  <si>
    <t xml:space="preserve">   9.57㈡</t>
  </si>
  <si>
    <t>华泰证券</t>
  </si>
  <si>
    <t xml:space="preserve">        917.58亿</t>
  </si>
  <si>
    <t xml:space="preserve">       1292.78亿</t>
  </si>
  <si>
    <t xml:space="preserve">       1300.82亿</t>
  </si>
  <si>
    <t>26.46万</t>
  </si>
  <si>
    <t>拓普集团</t>
  </si>
  <si>
    <t xml:space="preserve">        137.80亿</t>
  </si>
  <si>
    <t xml:space="preserve">        378.55亿</t>
  </si>
  <si>
    <t>41.88万</t>
  </si>
  <si>
    <t>中银证券</t>
  </si>
  <si>
    <t xml:space="preserve">        167.18亿</t>
  </si>
  <si>
    <t xml:space="preserve">        229.51亿</t>
  </si>
  <si>
    <t xml:space="preserve">        439.20亿</t>
  </si>
  <si>
    <t>中国卫通</t>
  </si>
  <si>
    <t xml:space="preserve">         62.45亿</t>
  </si>
  <si>
    <t xml:space="preserve">        612.80亿</t>
  </si>
  <si>
    <t>潞安环能</t>
  </si>
  <si>
    <t xml:space="preserve">        198.35亿</t>
  </si>
  <si>
    <t xml:space="preserve">        531.27亿</t>
  </si>
  <si>
    <t>1.110㈡</t>
  </si>
  <si>
    <t>风范股份</t>
  </si>
  <si>
    <t xml:space="preserve">         25.30亿</t>
  </si>
  <si>
    <t xml:space="preserve">         53.49亿</t>
  </si>
  <si>
    <t>3.39万</t>
  </si>
  <si>
    <t>华峰铝业</t>
  </si>
  <si>
    <t xml:space="preserve">        132.70亿</t>
  </si>
  <si>
    <t>郑煤机</t>
  </si>
  <si>
    <t xml:space="preserve">        193.60亿</t>
  </si>
  <si>
    <t xml:space="preserve">        199.10亿</t>
  </si>
  <si>
    <t>24.01万</t>
  </si>
  <si>
    <t>际华集团</t>
  </si>
  <si>
    <t xml:space="preserve">         68.36亿</t>
  </si>
  <si>
    <t xml:space="preserve">        136.58亿</t>
  </si>
  <si>
    <t>上海电气</t>
  </si>
  <si>
    <t xml:space="preserve">        210.85亿</t>
  </si>
  <si>
    <t xml:space="preserve">        606.19亿</t>
  </si>
  <si>
    <t xml:space="preserve">        612.23亿</t>
  </si>
  <si>
    <t>-0.320㈡</t>
  </si>
  <si>
    <t xml:space="preserve">  -7.82㈡</t>
  </si>
  <si>
    <t>中国电信</t>
  </si>
  <si>
    <t xml:space="preserve">        262.11亿</t>
  </si>
  <si>
    <t xml:space="preserve">       3508.53亿</t>
  </si>
  <si>
    <t>0.86万</t>
  </si>
  <si>
    <t>中国中车</t>
  </si>
  <si>
    <t xml:space="preserve">        633.06亿</t>
  </si>
  <si>
    <t xml:space="preserve">       1576.44亿</t>
  </si>
  <si>
    <t>力帆科技</t>
  </si>
  <si>
    <t xml:space="preserve">         87.36亿</t>
  </si>
  <si>
    <t xml:space="preserve">        158.21亿</t>
  </si>
  <si>
    <t xml:space="preserve">        316.35亿</t>
  </si>
  <si>
    <t>17.24万</t>
  </si>
  <si>
    <t>晶科科技</t>
  </si>
  <si>
    <t xml:space="preserve">         79.46亿</t>
  </si>
  <si>
    <t xml:space="preserve">        151.31亿</t>
  </si>
  <si>
    <t xml:space="preserve">        240.32亿</t>
  </si>
  <si>
    <t>光大证券</t>
  </si>
  <si>
    <t xml:space="preserve">        289.81亿</t>
  </si>
  <si>
    <t xml:space="preserve">        633.67亿</t>
  </si>
  <si>
    <t>宁波建工</t>
  </si>
  <si>
    <t>蓝科高新</t>
  </si>
  <si>
    <t xml:space="preserve">          8.19亿</t>
  </si>
  <si>
    <t xml:space="preserve">  -4.16㈡</t>
  </si>
  <si>
    <t>星宇股份</t>
  </si>
  <si>
    <t xml:space="preserve">        242.97亿</t>
  </si>
  <si>
    <t xml:space="preserve">        531.62亿</t>
  </si>
  <si>
    <t>285.62万</t>
  </si>
  <si>
    <t>2.060㈡</t>
  </si>
  <si>
    <t>中国交建</t>
  </si>
  <si>
    <t xml:space="preserve">        214.72亿</t>
  </si>
  <si>
    <t xml:space="preserve">       1063.12亿</t>
  </si>
  <si>
    <t>皖新传媒</t>
  </si>
  <si>
    <t xml:space="preserve">         94.29亿</t>
  </si>
  <si>
    <t>中海油服</t>
  </si>
  <si>
    <t xml:space="preserve">         85.19亿</t>
  </si>
  <si>
    <t xml:space="preserve">        458.87亿</t>
  </si>
  <si>
    <t>新华文轩</t>
  </si>
  <si>
    <t xml:space="preserve">         18.14亿</t>
  </si>
  <si>
    <t>京沪高铁</t>
  </si>
  <si>
    <t xml:space="preserve">        929.61亿</t>
  </si>
  <si>
    <t xml:space="preserve">       1311.78亿</t>
  </si>
  <si>
    <t xml:space="preserve">       2357.11亿</t>
  </si>
  <si>
    <t>光大银行</t>
  </si>
  <si>
    <t xml:space="preserve">        561.60亿</t>
  </si>
  <si>
    <t xml:space="preserve">       1414.28亿</t>
  </si>
  <si>
    <t>25.02万</t>
  </si>
  <si>
    <t>沪农商行</t>
  </si>
  <si>
    <t xml:space="preserve">        738.76亿</t>
  </si>
  <si>
    <t>0.83万</t>
  </si>
  <si>
    <t>0.531㈡</t>
  </si>
  <si>
    <t>三峰环境</t>
  </si>
  <si>
    <t xml:space="preserve">         41.27亿</t>
  </si>
  <si>
    <t xml:space="preserve">         72.62亿</t>
  </si>
  <si>
    <t xml:space="preserve">        152.39亿</t>
  </si>
  <si>
    <t xml:space="preserve">   9.11㈡</t>
  </si>
  <si>
    <t>美凯龙</t>
  </si>
  <si>
    <t xml:space="preserve">         38.35亿</t>
  </si>
  <si>
    <t xml:space="preserve">        292.01亿</t>
  </si>
  <si>
    <t>8.79万</t>
  </si>
  <si>
    <t>成都银行</t>
  </si>
  <si>
    <t xml:space="preserve">        230.46亿</t>
  </si>
  <si>
    <t xml:space="preserve">        440.24亿</t>
  </si>
  <si>
    <t xml:space="preserve">        441.78亿</t>
  </si>
  <si>
    <t>47.05万</t>
  </si>
  <si>
    <t xml:space="preserve">   7.11㈡</t>
  </si>
  <si>
    <t>中国石油</t>
  </si>
  <si>
    <t xml:space="preserve">        894.86亿</t>
  </si>
  <si>
    <t xml:space="preserve">       9634.36亿</t>
  </si>
  <si>
    <t>中国科传</t>
  </si>
  <si>
    <t>紫金银行</t>
  </si>
  <si>
    <t xml:space="preserve">        122.64亿</t>
  </si>
  <si>
    <t>福莱特</t>
  </si>
  <si>
    <t xml:space="preserve">        248.61亿</t>
  </si>
  <si>
    <t xml:space="preserve">        790.75亿</t>
  </si>
  <si>
    <t>37.74万</t>
  </si>
  <si>
    <t xml:space="preserve">  11.56㈡</t>
  </si>
  <si>
    <t>中远海发</t>
  </si>
  <si>
    <t xml:space="preserve">        166.57亿</t>
  </si>
  <si>
    <t xml:space="preserve">        375.19亿</t>
  </si>
  <si>
    <t>长飞光纤</t>
  </si>
  <si>
    <t xml:space="preserve">         32.64亿</t>
  </si>
  <si>
    <t>招商轮船</t>
  </si>
  <si>
    <t xml:space="preserve">        140.51亿</t>
  </si>
  <si>
    <t xml:space="preserve">        369.17亿</t>
  </si>
  <si>
    <t xml:space="preserve">        444.29亿</t>
  </si>
  <si>
    <t>正泰电器</t>
  </si>
  <si>
    <t xml:space="preserve">        524.64亿</t>
  </si>
  <si>
    <t xml:space="preserve">       1116.27亿</t>
  </si>
  <si>
    <t>101.33万</t>
  </si>
  <si>
    <t>浙商证券</t>
  </si>
  <si>
    <t xml:space="preserve">        187.94亿</t>
  </si>
  <si>
    <t xml:space="preserve">        456.09亿</t>
  </si>
  <si>
    <t xml:space="preserve">        489.42亿</t>
  </si>
  <si>
    <t>辽港股份</t>
  </si>
  <si>
    <t xml:space="preserve">         96.70亿</t>
  </si>
  <si>
    <t xml:space="preserve">        326.59亿</t>
  </si>
  <si>
    <t>中国银河</t>
  </si>
  <si>
    <t xml:space="preserve">        139.11亿</t>
  </si>
  <si>
    <t xml:space="preserve">        697.49亿</t>
  </si>
  <si>
    <t>13.15万</t>
  </si>
  <si>
    <t>海天精工</t>
  </si>
  <si>
    <t xml:space="preserve">        147.26亿</t>
  </si>
  <si>
    <t xml:space="preserve">  11.08㈡</t>
  </si>
  <si>
    <t>江河集团</t>
  </si>
  <si>
    <t xml:space="preserve">         88.75亿</t>
  </si>
  <si>
    <t>中国中免</t>
  </si>
  <si>
    <t xml:space="preserve">       2200.80亿</t>
  </si>
  <si>
    <t xml:space="preserve">       4712.49亿</t>
  </si>
  <si>
    <t>158.62万</t>
  </si>
  <si>
    <t>2.745㈡</t>
  </si>
  <si>
    <t xml:space="preserve">  20.91㈡</t>
  </si>
  <si>
    <t>亚星锚链</t>
  </si>
  <si>
    <t xml:space="preserve">         50.05亿</t>
  </si>
  <si>
    <t>中煤能源</t>
  </si>
  <si>
    <t xml:space="preserve">        886.83亿</t>
  </si>
  <si>
    <t>11.84万</t>
  </si>
  <si>
    <t>紫金矿业</t>
  </si>
  <si>
    <t xml:space="preserve">       1601.08亿</t>
  </si>
  <si>
    <t xml:space="preserve">       2276.96亿</t>
  </si>
  <si>
    <t xml:space="preserve">       2287.62亿</t>
  </si>
  <si>
    <t xml:space="preserve">   9.94㈡</t>
  </si>
  <si>
    <t>南方传媒</t>
  </si>
  <si>
    <t xml:space="preserve">         66.12亿</t>
  </si>
  <si>
    <t xml:space="preserve">   4.17㈡</t>
  </si>
  <si>
    <t>方正证券</t>
  </si>
  <si>
    <t xml:space="preserve">        341.01亿</t>
  </si>
  <si>
    <t xml:space="preserve">        689.85亿</t>
  </si>
  <si>
    <t>16.58万</t>
  </si>
  <si>
    <t>京运通</t>
  </si>
  <si>
    <t xml:space="preserve">        285.41亿</t>
  </si>
  <si>
    <t>14.65万</t>
  </si>
  <si>
    <t>浙商银行</t>
  </si>
  <si>
    <t xml:space="preserve">        248.88亿</t>
  </si>
  <si>
    <t xml:space="preserve">        593.37亿</t>
  </si>
  <si>
    <t>新集能源</t>
  </si>
  <si>
    <t xml:space="preserve">         97.17亿</t>
  </si>
  <si>
    <t xml:space="preserve">        176.93亿</t>
  </si>
  <si>
    <t xml:space="preserve">  14.21㈡</t>
  </si>
  <si>
    <t>中远海控</t>
  </si>
  <si>
    <t xml:space="preserve">       1105.36亿</t>
  </si>
  <si>
    <t xml:space="preserve">       2317.00亿</t>
  </si>
  <si>
    <t xml:space="preserve">       2588.60亿</t>
  </si>
  <si>
    <t>24.45万</t>
  </si>
  <si>
    <t>2.320㈡</t>
  </si>
  <si>
    <t xml:space="preserve">  45.96㈡</t>
  </si>
  <si>
    <t>浙版传媒</t>
  </si>
  <si>
    <t xml:space="preserve">        216.22亿</t>
  </si>
  <si>
    <t>1.02万</t>
  </si>
  <si>
    <t>凤凰传媒</t>
  </si>
  <si>
    <t xml:space="preserve">         50.25亿</t>
  </si>
  <si>
    <t xml:space="preserve">        184.76亿</t>
  </si>
  <si>
    <t>10.87万</t>
  </si>
  <si>
    <t>0.556㈡</t>
  </si>
  <si>
    <t>吉视传媒</t>
  </si>
  <si>
    <t xml:space="preserve">         63.47亿</t>
  </si>
  <si>
    <t>永辉超市</t>
  </si>
  <si>
    <t xml:space="preserve">        148.93亿</t>
  </si>
  <si>
    <t xml:space="preserve">        375.89亿</t>
  </si>
  <si>
    <t xml:space="preserve">        377.80亿</t>
  </si>
  <si>
    <t xml:space="preserve">  -8.03㈡</t>
  </si>
  <si>
    <t>建设银行</t>
  </si>
  <si>
    <t xml:space="preserve">        538.52亿</t>
  </si>
  <si>
    <t xml:space="preserve">        580.42亿</t>
  </si>
  <si>
    <t>中国出版</t>
  </si>
  <si>
    <t xml:space="preserve">        103.52亿</t>
  </si>
  <si>
    <t>苏垦农发</t>
  </si>
  <si>
    <t xml:space="preserve">         47.59亿</t>
  </si>
  <si>
    <t xml:space="preserve">        148.00亿</t>
  </si>
  <si>
    <t>东贝集团</t>
  </si>
  <si>
    <t>3.88万</t>
  </si>
  <si>
    <t>金钼股份</t>
  </si>
  <si>
    <t xml:space="preserve">         79.10亿</t>
  </si>
  <si>
    <t xml:space="preserve">        316.21亿</t>
  </si>
  <si>
    <t>9.28万</t>
  </si>
  <si>
    <t>重庆银行</t>
  </si>
  <si>
    <t xml:space="preserve">        169.27亿</t>
  </si>
  <si>
    <t>中国汽研</t>
  </si>
  <si>
    <t xml:space="preserve">        144.38亿</t>
  </si>
  <si>
    <t>24.47万</t>
  </si>
  <si>
    <t>玲珑轮胎</t>
  </si>
  <si>
    <t xml:space="preserve">        164.71亿</t>
  </si>
  <si>
    <t xml:space="preserve">        410.34亿</t>
  </si>
  <si>
    <t xml:space="preserve">        415.49亿</t>
  </si>
  <si>
    <t>41.32万</t>
  </si>
  <si>
    <t>宝钢包装</t>
  </si>
  <si>
    <t xml:space="preserve">         31.40亿</t>
  </si>
  <si>
    <t xml:space="preserve">         77.72亿</t>
  </si>
  <si>
    <t xml:space="preserve">        105.12亿</t>
  </si>
  <si>
    <t>9.12万</t>
  </si>
  <si>
    <t>海南矿业</t>
  </si>
  <si>
    <t xml:space="preserve">         61.05亿</t>
  </si>
  <si>
    <t xml:space="preserve">        406.78亿</t>
  </si>
  <si>
    <t xml:space="preserve">        420.72亿</t>
  </si>
  <si>
    <t>16.56万</t>
  </si>
  <si>
    <t xml:space="preserve">  12.67㈡</t>
  </si>
  <si>
    <t>招商南油</t>
  </si>
  <si>
    <t xml:space="preserve">         77.25亿</t>
  </si>
  <si>
    <t xml:space="preserve">        107.25亿</t>
  </si>
  <si>
    <t>中国核电</t>
  </si>
  <si>
    <t xml:space="preserve">        409.77亿</t>
  </si>
  <si>
    <t xml:space="preserve">       1125.95亿</t>
  </si>
  <si>
    <t xml:space="preserve">       1155.59亿</t>
  </si>
  <si>
    <t>中国银行</t>
  </si>
  <si>
    <t xml:space="preserve">        625.07亿</t>
  </si>
  <si>
    <t xml:space="preserve">       6428.35亿</t>
  </si>
  <si>
    <t xml:space="preserve">   5.36㈡</t>
  </si>
  <si>
    <t>中国重工</t>
  </si>
  <si>
    <t xml:space="preserve">        484.99亿</t>
  </si>
  <si>
    <t xml:space="preserve">        998.19亿</t>
  </si>
  <si>
    <t xml:space="preserve">       1030.65亿</t>
  </si>
  <si>
    <t>南京证券</t>
  </si>
  <si>
    <t xml:space="preserve">        200.66亿</t>
  </si>
  <si>
    <t xml:space="preserve">        369.96亿</t>
  </si>
  <si>
    <t xml:space="preserve">        376.75亿</t>
  </si>
  <si>
    <t>大唐发电</t>
  </si>
  <si>
    <t xml:space="preserve">         58.33亿</t>
  </si>
  <si>
    <t xml:space="preserve">        353.29亿</t>
  </si>
  <si>
    <t>金隅集团</t>
  </si>
  <si>
    <t xml:space="preserve">        105.04亿</t>
  </si>
  <si>
    <t xml:space="preserve">        247.52亿</t>
  </si>
  <si>
    <t xml:space="preserve">        247.67亿</t>
  </si>
  <si>
    <t>中金公司</t>
  </si>
  <si>
    <t xml:space="preserve">        179.90亿</t>
  </si>
  <si>
    <t xml:space="preserve">       1638.35亿</t>
  </si>
  <si>
    <t xml:space="preserve">   6.35㈡</t>
  </si>
  <si>
    <t>丰林集团</t>
  </si>
  <si>
    <t xml:space="preserve">         39.75亿</t>
  </si>
  <si>
    <t>贵阳银行</t>
  </si>
  <si>
    <t xml:space="preserve">        155.29亿</t>
  </si>
  <si>
    <t xml:space="preserve">        211.37亿</t>
  </si>
  <si>
    <t>19.83万</t>
  </si>
  <si>
    <t>中信银行</t>
  </si>
  <si>
    <t xml:space="preserve">        239.32亿</t>
  </si>
  <si>
    <t xml:space="preserve">       1593.67亿</t>
  </si>
  <si>
    <t>14.53万</t>
  </si>
  <si>
    <t>出版传媒</t>
  </si>
  <si>
    <t xml:space="preserve">         33.44亿</t>
  </si>
  <si>
    <t xml:space="preserve">   0.66㈡</t>
  </si>
  <si>
    <t>人民网</t>
  </si>
  <si>
    <t xml:space="preserve">         66.53亿</t>
  </si>
  <si>
    <t xml:space="preserve">        153.14亿</t>
  </si>
  <si>
    <t>奥康国际</t>
  </si>
  <si>
    <t xml:space="preserve">         14.75亿</t>
  </si>
  <si>
    <t>宏昌电子</t>
  </si>
  <si>
    <t xml:space="preserve">         80.72亿</t>
  </si>
  <si>
    <t xml:space="preserve">  10.17㈡</t>
  </si>
  <si>
    <t>龙宇燃油</t>
  </si>
  <si>
    <t xml:space="preserve">         17.46亿</t>
  </si>
  <si>
    <t>晶方科技</t>
  </si>
  <si>
    <t xml:space="preserve">        120.04亿</t>
  </si>
  <si>
    <t xml:space="preserve">        184.88亿</t>
  </si>
  <si>
    <t xml:space="preserve">        185.27亿</t>
  </si>
  <si>
    <t>12.75万</t>
  </si>
  <si>
    <t>联明股份</t>
  </si>
  <si>
    <t xml:space="preserve">          6.28亿</t>
  </si>
  <si>
    <t xml:space="preserve">         22.88亿</t>
  </si>
  <si>
    <t>喜临门</t>
  </si>
  <si>
    <t xml:space="preserve">         67.88亿</t>
  </si>
  <si>
    <t xml:space="preserve">        100.53亿</t>
  </si>
  <si>
    <t>75.82万</t>
  </si>
  <si>
    <t>北特科技</t>
  </si>
  <si>
    <t xml:space="preserve">         23.75亿</t>
  </si>
  <si>
    <t>万盛股份</t>
  </si>
  <si>
    <t xml:space="preserve">         74.64亿</t>
  </si>
  <si>
    <t xml:space="preserve">        132.73亿</t>
  </si>
  <si>
    <t>37.75万</t>
  </si>
  <si>
    <t xml:space="preserve">  22.25㈡</t>
  </si>
  <si>
    <t>合锻智能</t>
  </si>
  <si>
    <t xml:space="preserve">         26.08亿</t>
  </si>
  <si>
    <t xml:space="preserve">         26.19亿</t>
  </si>
  <si>
    <t>创力集团</t>
  </si>
  <si>
    <t xml:space="preserve">         29.36亿</t>
  </si>
  <si>
    <t xml:space="preserve">         39.72亿</t>
  </si>
  <si>
    <t>7.68万</t>
  </si>
  <si>
    <t>亚普股份</t>
  </si>
  <si>
    <t xml:space="preserve">         81.29亿</t>
  </si>
  <si>
    <t xml:space="preserve">         81.97亿</t>
  </si>
  <si>
    <t>弘讯科技</t>
  </si>
  <si>
    <t xml:space="preserve">         31.93亿</t>
  </si>
  <si>
    <t>新宏泰</t>
  </si>
  <si>
    <t xml:space="preserve">         12.06亿</t>
  </si>
  <si>
    <t xml:space="preserve">         30.73亿</t>
  </si>
  <si>
    <t>中衡设计</t>
  </si>
  <si>
    <t xml:space="preserve">         27.57亿</t>
  </si>
  <si>
    <t>华设集团</t>
  </si>
  <si>
    <t xml:space="preserve">         55.16亿</t>
  </si>
  <si>
    <t>32.73万</t>
  </si>
  <si>
    <t>中科曙光</t>
  </si>
  <si>
    <t xml:space="preserve">        305.39亿</t>
  </si>
  <si>
    <t xml:space="preserve">        393.29亿</t>
  </si>
  <si>
    <t xml:space="preserve">        396.67亿</t>
  </si>
  <si>
    <t>爱普股份</t>
  </si>
  <si>
    <t xml:space="preserve">         44.90亿</t>
  </si>
  <si>
    <t>0.382㈡</t>
  </si>
  <si>
    <t>山东华鹏</t>
  </si>
  <si>
    <t xml:space="preserve">          9.07亿</t>
  </si>
  <si>
    <t xml:space="preserve">  -4.83㈡</t>
  </si>
  <si>
    <t>新通联</t>
  </si>
  <si>
    <t xml:space="preserve">          9.58亿</t>
  </si>
  <si>
    <t>威帝股份</t>
  </si>
  <si>
    <t>大豪科技</t>
  </si>
  <si>
    <t xml:space="preserve">        286.43亿</t>
  </si>
  <si>
    <t xml:space="preserve">        287.74亿</t>
  </si>
  <si>
    <t>石大胜华</t>
  </si>
  <si>
    <t xml:space="preserve">        450.99亿</t>
  </si>
  <si>
    <t xml:space="preserve">        652.63亿</t>
  </si>
  <si>
    <t>161.29万</t>
  </si>
  <si>
    <t>2.920㈡</t>
  </si>
  <si>
    <t xml:space="preserve">  23.38㈡</t>
  </si>
  <si>
    <t>千禾味业</t>
  </si>
  <si>
    <t xml:space="preserve">         70.59亿</t>
  </si>
  <si>
    <t xml:space="preserve">        135.79亿</t>
  </si>
  <si>
    <t xml:space="preserve">        136.51亿</t>
  </si>
  <si>
    <t>赛福天</t>
  </si>
  <si>
    <t xml:space="preserve">         11.28亿</t>
  </si>
  <si>
    <t>天鹅股份</t>
  </si>
  <si>
    <t xml:space="preserve">          4.58亿</t>
  </si>
  <si>
    <t>全筑股份</t>
  </si>
  <si>
    <t xml:space="preserve">  -8.24㈡</t>
  </si>
  <si>
    <t>安德利</t>
  </si>
  <si>
    <t xml:space="preserve">         17.83亿</t>
  </si>
  <si>
    <t xml:space="preserve">         43.34亿</t>
  </si>
  <si>
    <t>40.35万</t>
  </si>
  <si>
    <t xml:space="preserve">  -0.92㈡</t>
  </si>
  <si>
    <t>三维股份</t>
  </si>
  <si>
    <t xml:space="preserve">         57.67亿</t>
  </si>
  <si>
    <t xml:space="preserve">        127.56亿</t>
  </si>
  <si>
    <t xml:space="preserve">        218.44亿</t>
  </si>
  <si>
    <t>91.29万</t>
  </si>
  <si>
    <t>常熟汽饰</t>
  </si>
  <si>
    <t xml:space="preserve">         33.34亿</t>
  </si>
  <si>
    <t xml:space="preserve">         49.67亿</t>
  </si>
  <si>
    <t xml:space="preserve">   5.50㈡</t>
  </si>
  <si>
    <t>如通股份</t>
  </si>
  <si>
    <t>8.97万</t>
  </si>
  <si>
    <t>凯众股份</t>
  </si>
  <si>
    <t>华立股份</t>
  </si>
  <si>
    <t xml:space="preserve">         20.59亿</t>
  </si>
  <si>
    <t>10.90万</t>
  </si>
  <si>
    <t>泛微网络</t>
  </si>
  <si>
    <t xml:space="preserve">         82.28亿</t>
  </si>
  <si>
    <t xml:space="preserve">        171.17亿</t>
  </si>
  <si>
    <t>96.78万</t>
  </si>
  <si>
    <t xml:space="preserve">   6.99㈡</t>
  </si>
  <si>
    <t>新坐标</t>
  </si>
  <si>
    <t>17.99万</t>
  </si>
  <si>
    <t xml:space="preserve">   8.46㈡</t>
  </si>
  <si>
    <t>美思德</t>
  </si>
  <si>
    <t>华脉科技</t>
  </si>
  <si>
    <t xml:space="preserve">         11.69亿</t>
  </si>
  <si>
    <t>广州酒家</t>
  </si>
  <si>
    <t xml:space="preserve">        120.75亿</t>
  </si>
  <si>
    <t>17.11万</t>
  </si>
  <si>
    <t>福达合金</t>
  </si>
  <si>
    <t>科林电气</t>
  </si>
  <si>
    <t>成都燃气</t>
  </si>
  <si>
    <t xml:space="preserve">         64.45亿</t>
  </si>
  <si>
    <t xml:space="preserve">        102.13亿</t>
  </si>
  <si>
    <t>台华新材</t>
  </si>
  <si>
    <t xml:space="preserve">         27.84亿</t>
  </si>
  <si>
    <t xml:space="preserve">        142.26亿</t>
  </si>
  <si>
    <t xml:space="preserve">        154.00亿</t>
  </si>
  <si>
    <t>21.14万</t>
  </si>
  <si>
    <t>德邦股份</t>
  </si>
  <si>
    <t xml:space="preserve">        103.20亿</t>
  </si>
  <si>
    <t xml:space="preserve">        110.40亿</t>
  </si>
  <si>
    <t>7.20万</t>
  </si>
  <si>
    <t>永吉股份</t>
  </si>
  <si>
    <t xml:space="preserve">         13.24亿</t>
  </si>
  <si>
    <t xml:space="preserve">         36.17亿</t>
  </si>
  <si>
    <t>倍加洁</t>
  </si>
  <si>
    <t xml:space="preserve">          5.26亿</t>
  </si>
  <si>
    <t>国检集团</t>
  </si>
  <si>
    <t xml:space="preserve">         37.97亿</t>
  </si>
  <si>
    <t xml:space="preserve">        119.77亿</t>
  </si>
  <si>
    <t>禾望电气</t>
  </si>
  <si>
    <t xml:space="preserve">         68.08亿</t>
  </si>
  <si>
    <t xml:space="preserve">         98.21亿</t>
  </si>
  <si>
    <t xml:space="preserve">         98.90亿</t>
  </si>
  <si>
    <t>21.37万</t>
  </si>
  <si>
    <t xml:space="preserve">   3.40㈡</t>
  </si>
  <si>
    <t>音飞储存</t>
  </si>
  <si>
    <t>振华股份</t>
  </si>
  <si>
    <t xml:space="preserve">         57.05亿</t>
  </si>
  <si>
    <t xml:space="preserve">         67.26亿</t>
  </si>
  <si>
    <t>14.50万</t>
  </si>
  <si>
    <t>博通集成</t>
  </si>
  <si>
    <t xml:space="preserve">         54.26亿</t>
  </si>
  <si>
    <t xml:space="preserve">         89.32亿</t>
  </si>
  <si>
    <t>海汽集团</t>
  </si>
  <si>
    <t xml:space="preserve">         23.06亿</t>
  </si>
  <si>
    <t xml:space="preserve">         54.42亿</t>
  </si>
  <si>
    <t>乐惠国际</t>
  </si>
  <si>
    <t xml:space="preserve">         21.93亿</t>
  </si>
  <si>
    <t xml:space="preserve">         44.88亿</t>
  </si>
  <si>
    <t>23.29万</t>
  </si>
  <si>
    <t>和邦生物</t>
  </si>
  <si>
    <t xml:space="preserve">        242.43亿</t>
  </si>
  <si>
    <t>江化微</t>
  </si>
  <si>
    <t>9.60万</t>
  </si>
  <si>
    <t>圣达生物</t>
  </si>
  <si>
    <t>新疆火炬</t>
  </si>
  <si>
    <t>大丰实业</t>
  </si>
  <si>
    <t xml:space="preserve">         47.90亿</t>
  </si>
  <si>
    <t>20.95万</t>
  </si>
  <si>
    <t>剑桥科技</t>
  </si>
  <si>
    <t xml:space="preserve">         23.69亿</t>
  </si>
  <si>
    <t>天成自控</t>
  </si>
  <si>
    <t xml:space="preserve">         25.14亿</t>
  </si>
  <si>
    <t xml:space="preserve">   3.92㈡</t>
  </si>
  <si>
    <t>先达股份</t>
  </si>
  <si>
    <t xml:space="preserve">         11.66亿</t>
  </si>
  <si>
    <t xml:space="preserve">         22.98亿</t>
  </si>
  <si>
    <t>11.25万</t>
  </si>
  <si>
    <t>甘李药业</t>
  </si>
  <si>
    <t xml:space="preserve">         80.30亿</t>
  </si>
  <si>
    <t xml:space="preserve">        216.50亿</t>
  </si>
  <si>
    <t xml:space="preserve">        421.72亿</t>
  </si>
  <si>
    <t>16.47万</t>
  </si>
  <si>
    <t>宁波精达</t>
  </si>
  <si>
    <t xml:space="preserve">         26.28亿</t>
  </si>
  <si>
    <t>正裕工业</t>
  </si>
  <si>
    <t xml:space="preserve">          6.44亿</t>
  </si>
  <si>
    <t xml:space="preserve">         19.02亿</t>
  </si>
  <si>
    <t>宏盛股份</t>
  </si>
  <si>
    <t>南华期货</t>
  </si>
  <si>
    <t xml:space="preserve">         15.01亿</t>
  </si>
  <si>
    <t xml:space="preserve">         82.97亿</t>
  </si>
  <si>
    <t>越剑智能</t>
  </si>
  <si>
    <t>新经典</t>
  </si>
  <si>
    <t>33.96万</t>
  </si>
  <si>
    <t>森特股份</t>
  </si>
  <si>
    <t xml:space="preserve">         80.62亿</t>
  </si>
  <si>
    <t xml:space="preserve">        201.94亿</t>
  </si>
  <si>
    <t>长白山</t>
  </si>
  <si>
    <t xml:space="preserve">  -7.25㈡</t>
  </si>
  <si>
    <t>川仪股份</t>
  </si>
  <si>
    <t xml:space="preserve">         36.79亿</t>
  </si>
  <si>
    <t xml:space="preserve">         85.12亿</t>
  </si>
  <si>
    <t>汇嘉时代</t>
  </si>
  <si>
    <t xml:space="preserve">          7.60亿</t>
  </si>
  <si>
    <t xml:space="preserve">         26.62亿</t>
  </si>
  <si>
    <t>横店影视</t>
  </si>
  <si>
    <t xml:space="preserve">  11.98㈡</t>
  </si>
  <si>
    <t>芯能科技</t>
  </si>
  <si>
    <t xml:space="preserve">         64.80亿</t>
  </si>
  <si>
    <t>恒银科技</t>
  </si>
  <si>
    <t xml:space="preserve">         11.44亿</t>
  </si>
  <si>
    <t xml:space="preserve">         27.22亿</t>
  </si>
  <si>
    <t>润达医疗</t>
  </si>
  <si>
    <t>神驰机电</t>
  </si>
  <si>
    <t>东方材料</t>
  </si>
  <si>
    <t xml:space="preserve">         30.35亿</t>
  </si>
  <si>
    <t xml:space="preserve">         64.69亿</t>
  </si>
  <si>
    <t>40.46万</t>
  </si>
  <si>
    <t>康尼机电</t>
  </si>
  <si>
    <t xml:space="preserve">         46.48亿</t>
  </si>
  <si>
    <t xml:space="preserve">         55.23亿</t>
  </si>
  <si>
    <t>14.24万</t>
  </si>
  <si>
    <t>华翔股份</t>
  </si>
  <si>
    <t xml:space="preserve">          6.38亿</t>
  </si>
  <si>
    <t>3.60万</t>
  </si>
  <si>
    <t>金能科技</t>
  </si>
  <si>
    <t xml:space="preserve">        150.69亿</t>
  </si>
  <si>
    <t xml:space="preserve">        178.17亿</t>
  </si>
  <si>
    <t>26.22万</t>
  </si>
  <si>
    <t xml:space="preserve">  10.59㈡</t>
  </si>
  <si>
    <t>海星股份</t>
  </si>
  <si>
    <t xml:space="preserve">         12.35亿</t>
  </si>
  <si>
    <t xml:space="preserve">         49.40亿</t>
  </si>
  <si>
    <t>红蜻蜓</t>
  </si>
  <si>
    <t>万林物流</t>
  </si>
  <si>
    <t xml:space="preserve">         14.96亿</t>
  </si>
  <si>
    <t>共进股份</t>
  </si>
  <si>
    <t>华培动力</t>
  </si>
  <si>
    <t xml:space="preserve">         13.98亿</t>
  </si>
  <si>
    <t>翠微股份</t>
  </si>
  <si>
    <t xml:space="preserve">         40.09亿</t>
  </si>
  <si>
    <t xml:space="preserve">         55.67亿</t>
  </si>
  <si>
    <t>中材节能</t>
  </si>
  <si>
    <t xml:space="preserve">         55.68亿</t>
  </si>
  <si>
    <t>0.133㈡</t>
  </si>
  <si>
    <t>昭衍新药</t>
  </si>
  <si>
    <t xml:space="preserve">        238.88亿</t>
  </si>
  <si>
    <t xml:space="preserve">        521.76亿</t>
  </si>
  <si>
    <t xml:space="preserve">        522.65亿</t>
  </si>
  <si>
    <t>105.20万</t>
  </si>
  <si>
    <t>华贸物流</t>
  </si>
  <si>
    <t xml:space="preserve">         80.76亿</t>
  </si>
  <si>
    <t xml:space="preserve">        186.86亿</t>
  </si>
  <si>
    <t>春风动力</t>
  </si>
  <si>
    <t xml:space="preserve">         83.35亿</t>
  </si>
  <si>
    <t xml:space="preserve">        174.57亿</t>
  </si>
  <si>
    <t>81.82万</t>
  </si>
  <si>
    <t xml:space="preserve">  13.71㈡</t>
  </si>
  <si>
    <t>上海沪工</t>
  </si>
  <si>
    <t xml:space="preserve">         70.02亿</t>
  </si>
  <si>
    <t>11.66万</t>
  </si>
  <si>
    <t>碳元科技</t>
  </si>
  <si>
    <t>4.73万</t>
  </si>
  <si>
    <t>-1.720㈡</t>
  </si>
  <si>
    <t xml:space="preserve"> -77.24㈡</t>
  </si>
  <si>
    <t>天目湖</t>
  </si>
  <si>
    <t xml:space="preserve">         34.07亿</t>
  </si>
  <si>
    <t>20.23万</t>
  </si>
  <si>
    <t>海量数据</t>
  </si>
  <si>
    <t xml:space="preserve">         13.43亿</t>
  </si>
  <si>
    <t xml:space="preserve">         31.33亿</t>
  </si>
  <si>
    <t xml:space="preserve">         31.94亿</t>
  </si>
  <si>
    <t>康惠制药</t>
  </si>
  <si>
    <t xml:space="preserve">          6.52亿</t>
  </si>
  <si>
    <t>新亚强</t>
  </si>
  <si>
    <t xml:space="preserve">         79.44亿</t>
  </si>
  <si>
    <t>养元饮品</t>
  </si>
  <si>
    <t xml:space="preserve">        399.52亿</t>
  </si>
  <si>
    <t>61.92万</t>
  </si>
  <si>
    <t>0.916㈡</t>
  </si>
  <si>
    <t xml:space="preserve">  10.10㈡</t>
  </si>
  <si>
    <t>腾龙股份</t>
  </si>
  <si>
    <t xml:space="preserve">         39.32亿</t>
  </si>
  <si>
    <t xml:space="preserve">         45.64亿</t>
  </si>
  <si>
    <t>15.03万</t>
  </si>
  <si>
    <t>上海亚虹</t>
  </si>
  <si>
    <t xml:space="preserve">         26.11亿</t>
  </si>
  <si>
    <t>10.53万</t>
  </si>
  <si>
    <t>汇顶科技</t>
  </si>
  <si>
    <t xml:space="preserve">        464.97亿</t>
  </si>
  <si>
    <t xml:space="preserve">        466.27亿</t>
  </si>
  <si>
    <t>25.35万</t>
  </si>
  <si>
    <t>科华控股</t>
  </si>
  <si>
    <t xml:space="preserve">          9.93亿</t>
  </si>
  <si>
    <t>荣晟环保</t>
  </si>
  <si>
    <t>12.06万</t>
  </si>
  <si>
    <t>福达股份</t>
  </si>
  <si>
    <t xml:space="preserve">         56.41亿</t>
  </si>
  <si>
    <t>渤海轮渡</t>
  </si>
  <si>
    <t xml:space="preserve">         25.11亿</t>
  </si>
  <si>
    <t>莎普爱思</t>
  </si>
  <si>
    <t>兰石重装</t>
  </si>
  <si>
    <t xml:space="preserve">         67.51亿</t>
  </si>
  <si>
    <t>税友股份</t>
  </si>
  <si>
    <t xml:space="preserve">        145.92亿</t>
  </si>
  <si>
    <t>德创环保</t>
  </si>
  <si>
    <t xml:space="preserve">         32.70亿</t>
  </si>
  <si>
    <t>圣龙股份</t>
  </si>
  <si>
    <t xml:space="preserve">          5.19亿</t>
  </si>
  <si>
    <t xml:space="preserve">   8.51㈡</t>
  </si>
  <si>
    <t>新泉股份</t>
  </si>
  <si>
    <t xml:space="preserve">        113.09亿</t>
  </si>
  <si>
    <t>106.15万</t>
  </si>
  <si>
    <t>金牌厨柜</t>
  </si>
  <si>
    <t xml:space="preserve">         47.09亿</t>
  </si>
  <si>
    <t>皇马科技</t>
  </si>
  <si>
    <t xml:space="preserve">         84.01亿</t>
  </si>
  <si>
    <t>36.06万</t>
  </si>
  <si>
    <t>0.351㈡</t>
  </si>
  <si>
    <t>建研院</t>
  </si>
  <si>
    <t>上机数控</t>
  </si>
  <si>
    <t xml:space="preserve">        274.23亿</t>
  </si>
  <si>
    <t xml:space="preserve">        738.23亿</t>
  </si>
  <si>
    <t>112.14万</t>
  </si>
  <si>
    <t>3.210㈡</t>
  </si>
  <si>
    <t>华正新材</t>
  </si>
  <si>
    <t xml:space="preserve">         32.03亿</t>
  </si>
  <si>
    <t xml:space="preserve">         53.11亿</t>
  </si>
  <si>
    <t xml:space="preserve">         53.84亿</t>
  </si>
  <si>
    <t>19.28万</t>
  </si>
  <si>
    <t>海容冷链</t>
  </si>
  <si>
    <t xml:space="preserve">         78.13亿</t>
  </si>
  <si>
    <t xml:space="preserve">        102.99亿</t>
  </si>
  <si>
    <t>82.25万</t>
  </si>
  <si>
    <t>亚邦股份</t>
  </si>
  <si>
    <t xml:space="preserve">         35.37亿</t>
  </si>
  <si>
    <t xml:space="preserve">  -5.13㈡</t>
  </si>
  <si>
    <t>网达软件</t>
  </si>
  <si>
    <t xml:space="preserve">         52.62亿</t>
  </si>
  <si>
    <t>汇得科技</t>
  </si>
  <si>
    <t xml:space="preserve">         27.45亿</t>
  </si>
  <si>
    <t>公牛集团</t>
  </si>
  <si>
    <t xml:space="preserve">        119.89亿</t>
  </si>
  <si>
    <t xml:space="preserve">        953.40亿</t>
  </si>
  <si>
    <t>40.80万</t>
  </si>
  <si>
    <t>2.370㈡</t>
  </si>
  <si>
    <t>日播时尚</t>
  </si>
  <si>
    <t xml:space="preserve">          5.07亿</t>
  </si>
  <si>
    <t>保隆科技</t>
  </si>
  <si>
    <t>23.18万</t>
  </si>
  <si>
    <t>迎驾贡酒</t>
  </si>
  <si>
    <t xml:space="preserve">        104.43亿</t>
  </si>
  <si>
    <t xml:space="preserve">        412.08亿</t>
  </si>
  <si>
    <t xml:space="preserve">  11.43㈡</t>
  </si>
  <si>
    <t>九华旅游</t>
  </si>
  <si>
    <t>0.477㈡</t>
  </si>
  <si>
    <t>上海洗霸</t>
  </si>
  <si>
    <t xml:space="preserve">         10.52亿</t>
  </si>
  <si>
    <t>快克股份</t>
  </si>
  <si>
    <t>24.52万</t>
  </si>
  <si>
    <t xml:space="preserve">  12.30㈡</t>
  </si>
  <si>
    <t>江山欧派</t>
  </si>
  <si>
    <t xml:space="preserve">         69.80亿</t>
  </si>
  <si>
    <t>39.51万</t>
  </si>
  <si>
    <t>1.690㈡</t>
  </si>
  <si>
    <t>赛伍技术</t>
  </si>
  <si>
    <t xml:space="preserve">        145.68亿</t>
  </si>
  <si>
    <t>22.56万</t>
  </si>
  <si>
    <t>爱婴室</t>
  </si>
  <si>
    <t xml:space="preserve">         15.38亿</t>
  </si>
  <si>
    <t xml:space="preserve">         34.16亿</t>
  </si>
  <si>
    <t>元利科技</t>
  </si>
  <si>
    <t xml:space="preserve">         18.58亿</t>
  </si>
  <si>
    <t xml:space="preserve">         51.82亿</t>
  </si>
  <si>
    <t>日月股份</t>
  </si>
  <si>
    <t xml:space="preserve">        151.70亿</t>
  </si>
  <si>
    <t xml:space="preserve">        354.10亿</t>
  </si>
  <si>
    <t xml:space="preserve">        354.92亿</t>
  </si>
  <si>
    <t>38.54万</t>
  </si>
  <si>
    <t>中贝通信</t>
  </si>
  <si>
    <t xml:space="preserve">         49.65亿</t>
  </si>
  <si>
    <t>爱丽家居</t>
  </si>
  <si>
    <t xml:space="preserve">          5.71亿</t>
  </si>
  <si>
    <t>济民医疗</t>
  </si>
  <si>
    <t xml:space="preserve">         52.00亿</t>
  </si>
  <si>
    <t>恒通股份</t>
  </si>
  <si>
    <t>65.54万</t>
  </si>
  <si>
    <t>新凤鸣</t>
  </si>
  <si>
    <t xml:space="preserve">        118.23亿</t>
  </si>
  <si>
    <t xml:space="preserve">        327.53亿</t>
  </si>
  <si>
    <t xml:space="preserve">        332.99亿</t>
  </si>
  <si>
    <t>70.11万</t>
  </si>
  <si>
    <t>菲林格尔</t>
  </si>
  <si>
    <t>雪峰科技</t>
  </si>
  <si>
    <t xml:space="preserve">         28.34亿</t>
  </si>
  <si>
    <t xml:space="preserve">         44.99亿</t>
  </si>
  <si>
    <t>景旺电子</t>
  </si>
  <si>
    <t xml:space="preserve">        210.16亿</t>
  </si>
  <si>
    <t xml:space="preserve">        213.03亿</t>
  </si>
  <si>
    <t>奥翔药业</t>
  </si>
  <si>
    <t xml:space="preserve">         29.00亿</t>
  </si>
  <si>
    <t xml:space="preserve">         74.04亿</t>
  </si>
  <si>
    <t xml:space="preserve">         74.95亿</t>
  </si>
  <si>
    <t>28.63万</t>
  </si>
  <si>
    <t xml:space="preserve">   6.84㈡</t>
  </si>
  <si>
    <t>格尔软件</t>
  </si>
  <si>
    <t xml:space="preserve">         22.32亿</t>
  </si>
  <si>
    <t xml:space="preserve">         32.16亿</t>
  </si>
  <si>
    <t>10.72万</t>
  </si>
  <si>
    <t xml:space="preserve">  -1.95㈡</t>
  </si>
  <si>
    <t>大参林</t>
  </si>
  <si>
    <t xml:space="preserve">        107.94亿</t>
  </si>
  <si>
    <t xml:space="preserve">        334.73亿</t>
  </si>
  <si>
    <t xml:space="preserve">        335.90亿</t>
  </si>
  <si>
    <t>35.33万</t>
  </si>
  <si>
    <t>移远通信</t>
  </si>
  <si>
    <t xml:space="preserve">        137.70亿</t>
  </si>
  <si>
    <t xml:space="preserve">        216.82亿</t>
  </si>
  <si>
    <t>81.76万</t>
  </si>
  <si>
    <t>诺邦股份</t>
  </si>
  <si>
    <t xml:space="preserve">          8.33亿</t>
  </si>
  <si>
    <t>0.414㈡</t>
  </si>
  <si>
    <t>浙江仙通</t>
  </si>
  <si>
    <t xml:space="preserve">         36.71亿</t>
  </si>
  <si>
    <t xml:space="preserve">   8.66㈡</t>
  </si>
  <si>
    <t>宏和科技</t>
  </si>
  <si>
    <t xml:space="preserve">         91.12亿</t>
  </si>
  <si>
    <t>电魂网络</t>
  </si>
  <si>
    <t xml:space="preserve">         58.32亿</t>
  </si>
  <si>
    <t>药明康德</t>
  </si>
  <si>
    <t xml:space="preserve">       2665.68亿</t>
  </si>
  <si>
    <t xml:space="preserve">       3671.17亿</t>
  </si>
  <si>
    <t xml:space="preserve">       3695.47亿</t>
  </si>
  <si>
    <t>172.30万</t>
  </si>
  <si>
    <t>合盛硅业</t>
  </si>
  <si>
    <t xml:space="preserve">        331.85亿</t>
  </si>
  <si>
    <t xml:space="preserve">       2129.26亿</t>
  </si>
  <si>
    <t xml:space="preserve">       2438.36亿</t>
  </si>
  <si>
    <t>126.81万</t>
  </si>
  <si>
    <t>2.530㈡</t>
  </si>
  <si>
    <t xml:space="preserve">  16.61㈡</t>
  </si>
  <si>
    <t>天龙股份</t>
  </si>
  <si>
    <t xml:space="preserve">         22.91亿</t>
  </si>
  <si>
    <t>鸿远电子</t>
  </si>
  <si>
    <t xml:space="preserve">        192.15亿</t>
  </si>
  <si>
    <t xml:space="preserve">        213.57亿</t>
  </si>
  <si>
    <t xml:space="preserve">        315.12亿</t>
  </si>
  <si>
    <t>120.86万</t>
  </si>
  <si>
    <t>1.960㈡</t>
  </si>
  <si>
    <t xml:space="preserve">  15.54㈡</t>
  </si>
  <si>
    <t>松发股份</t>
  </si>
  <si>
    <t xml:space="preserve">         19.16亿</t>
  </si>
  <si>
    <t>海鸥股份</t>
  </si>
  <si>
    <t xml:space="preserve">         14.21亿</t>
  </si>
  <si>
    <t>银都股份</t>
  </si>
  <si>
    <t xml:space="preserve">         85.59亿</t>
  </si>
  <si>
    <t xml:space="preserve">         88.12亿</t>
  </si>
  <si>
    <t>17.75万</t>
  </si>
  <si>
    <t>大业股份</t>
  </si>
  <si>
    <t xml:space="preserve">         10.72亿</t>
  </si>
  <si>
    <t xml:space="preserve">         31.17亿</t>
  </si>
  <si>
    <t>7.84万</t>
  </si>
  <si>
    <t>景津环保</t>
  </si>
  <si>
    <t xml:space="preserve">         62.24亿</t>
  </si>
  <si>
    <t xml:space="preserve">         71.44亿</t>
  </si>
  <si>
    <t xml:space="preserve">        154.65亿</t>
  </si>
  <si>
    <t xml:space="preserve">   9.54㈡</t>
  </si>
  <si>
    <t>赛腾股份</t>
  </si>
  <si>
    <t xml:space="preserve">         16.52亿</t>
  </si>
  <si>
    <t xml:space="preserve">         41.57亿</t>
  </si>
  <si>
    <t>日盈电子</t>
  </si>
  <si>
    <t xml:space="preserve">          7.36亿</t>
  </si>
  <si>
    <t>海天味业</t>
  </si>
  <si>
    <t xml:space="preserve">        979.55亿</t>
  </si>
  <si>
    <t xml:space="preserve">       3751.72亿</t>
  </si>
  <si>
    <t>60.12万</t>
  </si>
  <si>
    <t xml:space="preserve">  16.69㈡</t>
  </si>
  <si>
    <t>泰瑞机器</t>
  </si>
  <si>
    <t>斯达半导</t>
  </si>
  <si>
    <t xml:space="preserve">        193.70亿</t>
  </si>
  <si>
    <t xml:space="preserve">        286.17亿</t>
  </si>
  <si>
    <t xml:space="preserve">        579.90亿</t>
  </si>
  <si>
    <t>95.69万</t>
  </si>
  <si>
    <t>0.962㈡</t>
  </si>
  <si>
    <t xml:space="preserve">  12.18㈡</t>
  </si>
  <si>
    <t>永新光学</t>
  </si>
  <si>
    <t xml:space="preserve">         21.36亿</t>
  </si>
  <si>
    <t xml:space="preserve">         74.52亿</t>
  </si>
  <si>
    <t xml:space="preserve">         75.14亿</t>
  </si>
  <si>
    <t>24.91万</t>
  </si>
  <si>
    <t xml:space="preserve">  11.92㈡</t>
  </si>
  <si>
    <t>杭叉集团</t>
  </si>
  <si>
    <t xml:space="preserve">        142.09亿</t>
  </si>
  <si>
    <t>26.85万</t>
  </si>
  <si>
    <t xml:space="preserve">   9.60㈡</t>
  </si>
  <si>
    <t>苏盐井神</t>
  </si>
  <si>
    <t xml:space="preserve">         62.99亿</t>
  </si>
  <si>
    <t xml:space="preserve">         87.20亿</t>
  </si>
  <si>
    <t>华铁应急</t>
  </si>
  <si>
    <t xml:space="preserve">         74.41亿</t>
  </si>
  <si>
    <t xml:space="preserve">         86.39亿</t>
  </si>
  <si>
    <t xml:space="preserve">         89.82亿</t>
  </si>
  <si>
    <t>34.75万</t>
  </si>
  <si>
    <t>振德医疗</t>
  </si>
  <si>
    <t xml:space="preserve">         71.57亿</t>
  </si>
  <si>
    <t xml:space="preserve">   9.68㈡</t>
  </si>
  <si>
    <t>得邦照明</t>
  </si>
  <si>
    <t xml:space="preserve">         87.04亿</t>
  </si>
  <si>
    <t>14.94万</t>
  </si>
  <si>
    <t>0.381㈡</t>
  </si>
  <si>
    <t>旭升股份</t>
  </si>
  <si>
    <t xml:space="preserve">        159.91亿</t>
  </si>
  <si>
    <t>华懋科技</t>
  </si>
  <si>
    <t xml:space="preserve">         74.54亿</t>
  </si>
  <si>
    <t xml:space="preserve">        125.26亿</t>
  </si>
  <si>
    <t>63.71万</t>
  </si>
  <si>
    <t>应流股份</t>
  </si>
  <si>
    <t>37.92万</t>
  </si>
  <si>
    <t>维力医疗</t>
  </si>
  <si>
    <t xml:space="preserve">         12.58亿</t>
  </si>
  <si>
    <t xml:space="preserve">         31.20亿</t>
  </si>
  <si>
    <t>金海高科</t>
  </si>
  <si>
    <t xml:space="preserve">          9.34亿</t>
  </si>
  <si>
    <t>梦百合</t>
  </si>
  <si>
    <t xml:space="preserve">         72.12亿</t>
  </si>
  <si>
    <t xml:space="preserve">         72.30亿</t>
  </si>
  <si>
    <t>福鞍股份</t>
  </si>
  <si>
    <t xml:space="preserve">         82.07亿</t>
  </si>
  <si>
    <t>29.36万</t>
  </si>
  <si>
    <t>诚邦股份</t>
  </si>
  <si>
    <t xml:space="preserve">         14.24亿</t>
  </si>
  <si>
    <t>天味食品</t>
  </si>
  <si>
    <t xml:space="preserve">        159.56亿</t>
  </si>
  <si>
    <t>9.06万</t>
  </si>
  <si>
    <t>水发燃气</t>
  </si>
  <si>
    <t>湘油泵</t>
  </si>
  <si>
    <t>13.99万</t>
  </si>
  <si>
    <t>迪贝电气</t>
  </si>
  <si>
    <t xml:space="preserve">   6.55㈡</t>
  </si>
  <si>
    <t>梅轮电梯</t>
  </si>
  <si>
    <t xml:space="preserve">          8.34亿</t>
  </si>
  <si>
    <t xml:space="preserve">   2.28㈡</t>
  </si>
  <si>
    <t>超讯通信</t>
  </si>
  <si>
    <t>苏农银行</t>
  </si>
  <si>
    <t xml:space="preserve">         66.15亿</t>
  </si>
  <si>
    <t xml:space="preserve">         96.28亿</t>
  </si>
  <si>
    <t>盛剑环境</t>
  </si>
  <si>
    <t xml:space="preserve">         76.33亿</t>
  </si>
  <si>
    <t>10.79万</t>
  </si>
  <si>
    <t>我乐家居</t>
  </si>
  <si>
    <t xml:space="preserve">         31.38亿</t>
  </si>
  <si>
    <t>福蓉科技</t>
  </si>
  <si>
    <t xml:space="preserve">         65.12亿</t>
  </si>
  <si>
    <t>0.319㈡</t>
  </si>
  <si>
    <t xml:space="preserve">   8.65㈡</t>
  </si>
  <si>
    <t>依顿电子</t>
  </si>
  <si>
    <t>上海雅仕</t>
  </si>
  <si>
    <t xml:space="preserve">         18.06亿</t>
  </si>
  <si>
    <t xml:space="preserve">         21.72亿</t>
  </si>
  <si>
    <t>上海天洋</t>
  </si>
  <si>
    <t xml:space="preserve">         39.36亿</t>
  </si>
  <si>
    <t xml:space="preserve">         43.72亿</t>
  </si>
  <si>
    <t>28.08万</t>
  </si>
  <si>
    <t>百达精工</t>
  </si>
  <si>
    <t>9.21万</t>
  </si>
  <si>
    <t>苏州龙杰</t>
  </si>
  <si>
    <t>尚纬股份</t>
  </si>
  <si>
    <t>迪生力</t>
  </si>
  <si>
    <t xml:space="preserve">          9.97亿</t>
  </si>
  <si>
    <t>宏辉果蔬</t>
  </si>
  <si>
    <t xml:space="preserve">   2.34㈡</t>
  </si>
  <si>
    <t>杰克股份</t>
  </si>
  <si>
    <t xml:space="preserve">        100.45亿</t>
  </si>
  <si>
    <t xml:space="preserve">        100.77亿</t>
  </si>
  <si>
    <t>35.56万</t>
  </si>
  <si>
    <t>浙江鼎力</t>
  </si>
  <si>
    <t xml:space="preserve">        122.79亿</t>
  </si>
  <si>
    <t xml:space="preserve">        303.62亿</t>
  </si>
  <si>
    <t>36.87万</t>
  </si>
  <si>
    <t>四方科技</t>
  </si>
  <si>
    <t xml:space="preserve">         35.99亿</t>
  </si>
  <si>
    <t>安井食品</t>
  </si>
  <si>
    <t xml:space="preserve">        228.11亿</t>
  </si>
  <si>
    <t xml:space="preserve">        416.19亿</t>
  </si>
  <si>
    <t xml:space="preserve">        423.00亿</t>
  </si>
  <si>
    <t>237.47万</t>
  </si>
  <si>
    <t>文灿股份</t>
  </si>
  <si>
    <t xml:space="preserve">         82.11亿</t>
  </si>
  <si>
    <t>25.14万</t>
  </si>
  <si>
    <t>威尔药业</t>
  </si>
  <si>
    <t>和顺石油</t>
  </si>
  <si>
    <t xml:space="preserve">         11.16亿</t>
  </si>
  <si>
    <t>莱克电气</t>
  </si>
  <si>
    <t xml:space="preserve">         25.66亿</t>
  </si>
  <si>
    <t xml:space="preserve">        147.14亿</t>
  </si>
  <si>
    <t xml:space="preserve">        150.71亿</t>
  </si>
  <si>
    <t>26.03万</t>
  </si>
  <si>
    <t>华菱精工</t>
  </si>
  <si>
    <t xml:space="preserve">         10.28亿</t>
  </si>
  <si>
    <t xml:space="preserve">         17.00亿</t>
  </si>
  <si>
    <t xml:space="preserve">  -1.15㈡</t>
  </si>
  <si>
    <t>设计总院</t>
  </si>
  <si>
    <t>华达科技</t>
  </si>
  <si>
    <t>25.13万</t>
  </si>
  <si>
    <t>东珠生态</t>
  </si>
  <si>
    <t xml:space="preserve">         22.52亿</t>
  </si>
  <si>
    <t>11.18万</t>
  </si>
  <si>
    <t>0.622㈡</t>
  </si>
  <si>
    <t>百傲化学</t>
  </si>
  <si>
    <t xml:space="preserve">  13.38㈡</t>
  </si>
  <si>
    <t>傲农生物</t>
  </si>
  <si>
    <t xml:space="preserve">  -6.11㈡</t>
  </si>
  <si>
    <t>水星家纺</t>
  </si>
  <si>
    <t xml:space="preserve">         43.76亿</t>
  </si>
  <si>
    <t>日出东方</t>
  </si>
  <si>
    <t xml:space="preserve">         37.84亿</t>
  </si>
  <si>
    <t>3.49万</t>
  </si>
  <si>
    <t>辰欣药业</t>
  </si>
  <si>
    <t xml:space="preserve">         57.96亿</t>
  </si>
  <si>
    <t xml:space="preserve">         58.62亿</t>
  </si>
  <si>
    <t>柳药股份</t>
  </si>
  <si>
    <t xml:space="preserve">         59.82亿</t>
  </si>
  <si>
    <t xml:space="preserve">         59.98亿</t>
  </si>
  <si>
    <t>13.32万</t>
  </si>
  <si>
    <t>今世缘</t>
  </si>
  <si>
    <t xml:space="preserve">        294.02亿</t>
  </si>
  <si>
    <t xml:space="preserve">        531.91亿</t>
  </si>
  <si>
    <t>45.95万</t>
  </si>
  <si>
    <t>1.064㈡</t>
  </si>
  <si>
    <t>东方时尚</t>
  </si>
  <si>
    <t xml:space="preserve">         26.13亿</t>
  </si>
  <si>
    <t>亚士创能</t>
  </si>
  <si>
    <t xml:space="preserve">         69.10亿</t>
  </si>
  <si>
    <t xml:space="preserve">         74.02亿</t>
  </si>
  <si>
    <t>23.07万</t>
  </si>
  <si>
    <t>三美股份</t>
  </si>
  <si>
    <t xml:space="preserve">         67.07亿</t>
  </si>
  <si>
    <t xml:space="preserve">         68.54亿</t>
  </si>
  <si>
    <t xml:space="preserve">        216.72亿</t>
  </si>
  <si>
    <t>27.03万</t>
  </si>
  <si>
    <t>易德龙</t>
  </si>
  <si>
    <t xml:space="preserve">         46.77亿</t>
  </si>
  <si>
    <t>16.95万</t>
  </si>
  <si>
    <t xml:space="preserve">  10.40㈡</t>
  </si>
  <si>
    <t>顶点软件</t>
  </si>
  <si>
    <t>惠达卫浴</t>
  </si>
  <si>
    <t>广东骏亚</t>
  </si>
  <si>
    <t xml:space="preserve">         39.59亿</t>
  </si>
  <si>
    <t>基蛋生物</t>
  </si>
  <si>
    <t xml:space="preserve">         37.34亿</t>
  </si>
  <si>
    <t xml:space="preserve">         68.03亿</t>
  </si>
  <si>
    <t>16.59万</t>
  </si>
  <si>
    <t>元成股份</t>
  </si>
  <si>
    <t xml:space="preserve">         19.53亿</t>
  </si>
  <si>
    <t>亚振家居</t>
  </si>
  <si>
    <t xml:space="preserve">          4.57亿</t>
  </si>
  <si>
    <t xml:space="preserve">  -2.82㈡</t>
  </si>
  <si>
    <t>通达电气</t>
  </si>
  <si>
    <t xml:space="preserve">         11.62亿</t>
  </si>
  <si>
    <t>万泰生物</t>
  </si>
  <si>
    <t xml:space="preserve">        263.62亿</t>
  </si>
  <si>
    <t xml:space="preserve">       1061.11亿</t>
  </si>
  <si>
    <t>140.85万</t>
  </si>
  <si>
    <t>1.470㈡</t>
  </si>
  <si>
    <t xml:space="preserve">  22.78㈡</t>
  </si>
  <si>
    <t>新天然气</t>
  </si>
  <si>
    <t xml:space="preserve">         86.10亿</t>
  </si>
  <si>
    <t xml:space="preserve">        146.35亿</t>
  </si>
  <si>
    <t>22.03万</t>
  </si>
  <si>
    <t>2.140㈡</t>
  </si>
  <si>
    <t xml:space="preserve">  24.13㈡</t>
  </si>
  <si>
    <t>金辰股份</t>
  </si>
  <si>
    <t xml:space="preserve">        161.09亿</t>
  </si>
  <si>
    <t xml:space="preserve">        176.66亿</t>
  </si>
  <si>
    <t>38.81万</t>
  </si>
  <si>
    <t>邦宝益智</t>
  </si>
  <si>
    <t>吉翔股份</t>
  </si>
  <si>
    <t>建霖家居</t>
  </si>
  <si>
    <t xml:space="preserve">         61.82亿</t>
  </si>
  <si>
    <t>信捷电气</t>
  </si>
  <si>
    <t xml:space="preserve">         68.20亿</t>
  </si>
  <si>
    <t>28.10万</t>
  </si>
  <si>
    <t>鼎信通讯</t>
  </si>
  <si>
    <t xml:space="preserve">         48.72亿</t>
  </si>
  <si>
    <t xml:space="preserve">  -1.73㈡</t>
  </si>
  <si>
    <t>集友股份</t>
  </si>
  <si>
    <t xml:space="preserve">         49.77亿</t>
  </si>
  <si>
    <t xml:space="preserve">         86.50亿</t>
  </si>
  <si>
    <t>48.50万</t>
  </si>
  <si>
    <t>贵州三力</t>
  </si>
  <si>
    <t>吉比特</t>
  </si>
  <si>
    <t xml:space="preserve">        167.99亿</t>
  </si>
  <si>
    <t xml:space="preserve">        287.48亿</t>
  </si>
  <si>
    <t>93.78万</t>
  </si>
  <si>
    <t>12.540㈡</t>
  </si>
  <si>
    <t xml:space="preserve">  22.91㈡</t>
  </si>
  <si>
    <t>九洲药业</t>
  </si>
  <si>
    <t xml:space="preserve">        209.13亿</t>
  </si>
  <si>
    <t xml:space="preserve">        415.57亿</t>
  </si>
  <si>
    <t xml:space="preserve">        417.14亿</t>
  </si>
  <si>
    <t>130.29万</t>
  </si>
  <si>
    <t>勘设股份</t>
  </si>
  <si>
    <t>13.18万</t>
  </si>
  <si>
    <t>风语筑</t>
  </si>
  <si>
    <t xml:space="preserve">         69.64亿</t>
  </si>
  <si>
    <t xml:space="preserve">         70.00亿</t>
  </si>
  <si>
    <t xml:space="preserve">  13.16㈡</t>
  </si>
  <si>
    <t>巨星农牧</t>
  </si>
  <si>
    <t xml:space="preserve">         21.04亿</t>
  </si>
  <si>
    <t xml:space="preserve">         55.22亿</t>
  </si>
  <si>
    <t xml:space="preserve">         63.01亿</t>
  </si>
  <si>
    <t>科沃斯</t>
  </si>
  <si>
    <t xml:space="preserve">        296.80亿</t>
  </si>
  <si>
    <t xml:space="preserve">        883.28亿</t>
  </si>
  <si>
    <t xml:space="preserve">        902.42亿</t>
  </si>
  <si>
    <t>156.05万</t>
  </si>
  <si>
    <t>展鹏科技</t>
  </si>
  <si>
    <t>八方股份</t>
  </si>
  <si>
    <t xml:space="preserve">         81.00亿</t>
  </si>
  <si>
    <t xml:space="preserve">        178.50亿</t>
  </si>
  <si>
    <t xml:space="preserve">        300.79亿</t>
  </si>
  <si>
    <t>129.85万</t>
  </si>
  <si>
    <t>2.570㈡</t>
  </si>
  <si>
    <t xml:space="preserve">  13.02㈡</t>
  </si>
  <si>
    <t>恒为科技</t>
  </si>
  <si>
    <t xml:space="preserve">         37.82亿</t>
  </si>
  <si>
    <t>翔港科技</t>
  </si>
  <si>
    <t xml:space="preserve">          4.31亿</t>
  </si>
  <si>
    <t xml:space="preserve">         14.81亿</t>
  </si>
  <si>
    <t>祥和实业</t>
  </si>
  <si>
    <t>韦尔股份</t>
  </si>
  <si>
    <t xml:space="preserve">       1162.27亿</t>
  </si>
  <si>
    <t xml:space="preserve">       1782.97亿</t>
  </si>
  <si>
    <t xml:space="preserve">       1971.68亿</t>
  </si>
  <si>
    <t>212.04万</t>
  </si>
  <si>
    <t>2.590㈡</t>
  </si>
  <si>
    <t xml:space="preserve">  16.84㈡</t>
  </si>
  <si>
    <t>金石资源</t>
  </si>
  <si>
    <t xml:space="preserve">         75.96亿</t>
  </si>
  <si>
    <t xml:space="preserve">        167.55亿</t>
  </si>
  <si>
    <t xml:space="preserve">        168.74亿</t>
  </si>
  <si>
    <t xml:space="preserve">   8.82㈡</t>
  </si>
  <si>
    <t>南都物业</t>
  </si>
  <si>
    <t>振江股份</t>
  </si>
  <si>
    <t xml:space="preserve">         50.76亿</t>
  </si>
  <si>
    <t xml:space="preserve">         51.26亿</t>
  </si>
  <si>
    <t>29.47万</t>
  </si>
  <si>
    <t>思维列控</t>
  </si>
  <si>
    <t>爱慕股份</t>
  </si>
  <si>
    <t xml:space="preserve">        106.00亿</t>
  </si>
  <si>
    <t>欧普照明</t>
  </si>
  <si>
    <t xml:space="preserve">        168.09亿</t>
  </si>
  <si>
    <t xml:space="preserve">        168.30亿</t>
  </si>
  <si>
    <t>18.07万</t>
  </si>
  <si>
    <t>淳中科技</t>
  </si>
  <si>
    <t>12.32万</t>
  </si>
  <si>
    <t>绝味食品</t>
  </si>
  <si>
    <t xml:space="preserve">        181.63亿</t>
  </si>
  <si>
    <t xml:space="preserve">        365.06亿</t>
  </si>
  <si>
    <t xml:space="preserve">        368.41亿</t>
  </si>
  <si>
    <t>117.79万</t>
  </si>
  <si>
    <t xml:space="preserve">   9.67㈡</t>
  </si>
  <si>
    <t>锦泓集团</t>
  </si>
  <si>
    <t xml:space="preserve">         42.88亿</t>
  </si>
  <si>
    <t>立霸股份</t>
  </si>
  <si>
    <t xml:space="preserve">         34.65亿</t>
  </si>
  <si>
    <t>22.14万</t>
  </si>
  <si>
    <t>司太立</t>
  </si>
  <si>
    <t xml:space="preserve">        128.30亿</t>
  </si>
  <si>
    <t>40.82万</t>
  </si>
  <si>
    <t xml:space="preserve">   7.76㈡</t>
  </si>
  <si>
    <t>众源新材</t>
  </si>
  <si>
    <t>多伦科技</t>
  </si>
  <si>
    <t>爱玛科技</t>
  </si>
  <si>
    <t xml:space="preserve">        163.64亿</t>
  </si>
  <si>
    <t>神马电力</t>
  </si>
  <si>
    <t xml:space="preserve">          7.35亿</t>
  </si>
  <si>
    <t xml:space="preserve">         79.36亿</t>
  </si>
  <si>
    <t>掌阅科技</t>
  </si>
  <si>
    <t xml:space="preserve">         91.47亿</t>
  </si>
  <si>
    <t>嘉诚国际</t>
  </si>
  <si>
    <t xml:space="preserve">         52.79亿</t>
  </si>
  <si>
    <t xml:space="preserve">         56.46亿</t>
  </si>
  <si>
    <t>30.57万</t>
  </si>
  <si>
    <t xml:space="preserve">   5.51㈡</t>
  </si>
  <si>
    <t>惠发食品</t>
  </si>
  <si>
    <t xml:space="preserve">         15.99亿</t>
  </si>
  <si>
    <t xml:space="preserve">         16.36亿</t>
  </si>
  <si>
    <t xml:space="preserve"> -10.77㈡</t>
  </si>
  <si>
    <t>美诺华</t>
  </si>
  <si>
    <t xml:space="preserve">         47.50亿</t>
  </si>
  <si>
    <t>奥普家居</t>
  </si>
  <si>
    <t xml:space="preserve">         14.71亿</t>
  </si>
  <si>
    <t>海兴电力</t>
  </si>
  <si>
    <t>健盛集团</t>
  </si>
  <si>
    <t>19.86万</t>
  </si>
  <si>
    <t>中通国脉</t>
  </si>
  <si>
    <t xml:space="preserve">         17.97亿</t>
  </si>
  <si>
    <t xml:space="preserve">  -3.25㈡</t>
  </si>
  <si>
    <t>中谷物流</t>
  </si>
  <si>
    <t xml:space="preserve">         31.10亿</t>
  </si>
  <si>
    <t xml:space="preserve">        344.10亿</t>
  </si>
  <si>
    <t>25.10万</t>
  </si>
  <si>
    <t>1.270㈡</t>
  </si>
  <si>
    <t xml:space="preserve">  19.41㈡</t>
  </si>
  <si>
    <t>普莱柯</t>
  </si>
  <si>
    <t xml:space="preserve">         60.63亿</t>
  </si>
  <si>
    <t>29.68万</t>
  </si>
  <si>
    <t>珍宝岛</t>
  </si>
  <si>
    <t xml:space="preserve">        141.22亿</t>
  </si>
  <si>
    <t>伟明环保</t>
  </si>
  <si>
    <t xml:space="preserve">         92.34亿</t>
  </si>
  <si>
    <t xml:space="preserve">        339.27亿</t>
  </si>
  <si>
    <t>30.34万</t>
  </si>
  <si>
    <t>长久物流</t>
  </si>
  <si>
    <t xml:space="preserve">         39.39亿</t>
  </si>
  <si>
    <t>汇金通</t>
  </si>
  <si>
    <t xml:space="preserve">         28.54亿</t>
  </si>
  <si>
    <t>三星新材</t>
  </si>
  <si>
    <t xml:space="preserve">         19.93亿</t>
  </si>
  <si>
    <t>荣泰健康</t>
  </si>
  <si>
    <t>艾艾精工</t>
  </si>
  <si>
    <t xml:space="preserve">          4.66亿</t>
  </si>
  <si>
    <t>捷昌驱动</t>
  </si>
  <si>
    <t xml:space="preserve">         73.07亿</t>
  </si>
  <si>
    <t xml:space="preserve">        100.62亿</t>
  </si>
  <si>
    <t xml:space="preserve">        159.14亿</t>
  </si>
  <si>
    <t>69.68万</t>
  </si>
  <si>
    <t>苏利股份</t>
  </si>
  <si>
    <t xml:space="preserve">         32.58亿</t>
  </si>
  <si>
    <t>金麒麟</t>
  </si>
  <si>
    <t xml:space="preserve">  -2.00㈡</t>
  </si>
  <si>
    <t>地素时尚</t>
  </si>
  <si>
    <t xml:space="preserve">        102.83亿</t>
  </si>
  <si>
    <t>14.99万</t>
  </si>
  <si>
    <t>高能环境</t>
  </si>
  <si>
    <t xml:space="preserve">        141.27亿</t>
  </si>
  <si>
    <t xml:space="preserve">        183.03亿</t>
  </si>
  <si>
    <t xml:space="preserve">        190.92亿</t>
  </si>
  <si>
    <t>50.65万</t>
  </si>
  <si>
    <t>口子窖</t>
  </si>
  <si>
    <t xml:space="preserve">        176.73亿</t>
  </si>
  <si>
    <t xml:space="preserve">        297.00亿</t>
  </si>
  <si>
    <t>32.30万</t>
  </si>
  <si>
    <t>康辰药业</t>
  </si>
  <si>
    <t xml:space="preserve">         54.08亿</t>
  </si>
  <si>
    <t>16.31万</t>
  </si>
  <si>
    <t>东尼电子</t>
  </si>
  <si>
    <t xml:space="preserve">         61.85亿</t>
  </si>
  <si>
    <t>伯特利</t>
  </si>
  <si>
    <t xml:space="preserve">         83.26亿</t>
  </si>
  <si>
    <t xml:space="preserve">        197.54亿</t>
  </si>
  <si>
    <t xml:space="preserve">        198.48亿</t>
  </si>
  <si>
    <t>80.47万</t>
  </si>
  <si>
    <t xml:space="preserve">   7.94㈡</t>
  </si>
  <si>
    <t>引力传媒</t>
  </si>
  <si>
    <t xml:space="preserve">         10.08亿</t>
  </si>
  <si>
    <t>广信股份</t>
  </si>
  <si>
    <t xml:space="preserve">         87.86亿</t>
  </si>
  <si>
    <t xml:space="preserve">        176.30亿</t>
  </si>
  <si>
    <t xml:space="preserve">        177.50亿</t>
  </si>
  <si>
    <t>46.79万</t>
  </si>
  <si>
    <t>永艺股份</t>
  </si>
  <si>
    <t xml:space="preserve">         32.13亿</t>
  </si>
  <si>
    <t>再升科技</t>
  </si>
  <si>
    <t>14.72万</t>
  </si>
  <si>
    <t>纵横通信</t>
  </si>
  <si>
    <t xml:space="preserve">         20.45亿</t>
  </si>
  <si>
    <t>博天环境</t>
  </si>
  <si>
    <t xml:space="preserve"> -18.82㈡</t>
  </si>
  <si>
    <t>珀莱雅</t>
  </si>
  <si>
    <t xml:space="preserve">        147.18亿</t>
  </si>
  <si>
    <t xml:space="preserve">        341.13亿</t>
  </si>
  <si>
    <t xml:space="preserve">        341.90亿</t>
  </si>
  <si>
    <t>86.32万</t>
  </si>
  <si>
    <t>1.130㈡</t>
  </si>
  <si>
    <t>东方电缆</t>
  </si>
  <si>
    <t xml:space="preserve">        184.20亿</t>
  </si>
  <si>
    <t>20.48万</t>
  </si>
  <si>
    <t xml:space="preserve">  17.51㈡</t>
  </si>
  <si>
    <t>京华激光</t>
  </si>
  <si>
    <t xml:space="preserve">   6.60㈡</t>
  </si>
  <si>
    <t>天创时尚</t>
  </si>
  <si>
    <t>禾丰股份</t>
  </si>
  <si>
    <t>9.27万</t>
  </si>
  <si>
    <t>麒盛科技</t>
  </si>
  <si>
    <t xml:space="preserve">         41.45亿</t>
  </si>
  <si>
    <t xml:space="preserve">         71.36亿</t>
  </si>
  <si>
    <t>诺力股份</t>
  </si>
  <si>
    <t xml:space="preserve">         51.01亿</t>
  </si>
  <si>
    <t>14.82万</t>
  </si>
  <si>
    <t xml:space="preserve">   8.78㈡</t>
  </si>
  <si>
    <t>索通发展</t>
  </si>
  <si>
    <t xml:space="preserve">         84.62亿</t>
  </si>
  <si>
    <t xml:space="preserve">        133.75亿</t>
  </si>
  <si>
    <t xml:space="preserve">        142.91亿</t>
  </si>
  <si>
    <t>33.39万</t>
  </si>
  <si>
    <t>国联股份</t>
  </si>
  <si>
    <t xml:space="preserve">        255.01亿</t>
  </si>
  <si>
    <t xml:space="preserve">        394.80亿</t>
  </si>
  <si>
    <t>191.45万</t>
  </si>
  <si>
    <t>茶花股份</t>
  </si>
  <si>
    <t xml:space="preserve">          8.21亿</t>
  </si>
  <si>
    <t>韩建河山</t>
  </si>
  <si>
    <t>君禾股份</t>
  </si>
  <si>
    <t xml:space="preserve">          6.41亿</t>
  </si>
  <si>
    <t>杭电股份</t>
  </si>
  <si>
    <t>中曼石油</t>
  </si>
  <si>
    <t xml:space="preserve">         55.52亿</t>
  </si>
  <si>
    <t>科森科技</t>
  </si>
  <si>
    <t xml:space="preserve">         61.78亿</t>
  </si>
  <si>
    <t xml:space="preserve">         71.03亿</t>
  </si>
  <si>
    <t>13.98万</t>
  </si>
  <si>
    <t xml:space="preserve">  13.75㈡</t>
  </si>
  <si>
    <t>清源股份</t>
  </si>
  <si>
    <t xml:space="preserve">         36.96亿</t>
  </si>
  <si>
    <t>利通电子</t>
  </si>
  <si>
    <t xml:space="preserve">          5.84亿</t>
  </si>
  <si>
    <t>拉芳家化</t>
  </si>
  <si>
    <t xml:space="preserve">         46.12亿</t>
  </si>
  <si>
    <t>徕木股份</t>
  </si>
  <si>
    <t>南威软件</t>
  </si>
  <si>
    <t xml:space="preserve">         53.53亿</t>
  </si>
  <si>
    <t>镇海股份</t>
  </si>
  <si>
    <t xml:space="preserve">         18.72亿</t>
  </si>
  <si>
    <t>13.63万</t>
  </si>
  <si>
    <t>艾迪精密</t>
  </si>
  <si>
    <t xml:space="preserve">        285.64亿</t>
  </si>
  <si>
    <t xml:space="preserve">        307.17亿</t>
  </si>
  <si>
    <t>62.99万</t>
  </si>
  <si>
    <t xml:space="preserve">  12.56㈡</t>
  </si>
  <si>
    <t>海利尔</t>
  </si>
  <si>
    <t xml:space="preserve">         70.11亿</t>
  </si>
  <si>
    <t xml:space="preserve">         71.74亿</t>
  </si>
  <si>
    <t>19.71万</t>
  </si>
  <si>
    <t>畅联股份</t>
  </si>
  <si>
    <t xml:space="preserve">         15.44亿</t>
  </si>
  <si>
    <t>彤程新材</t>
  </si>
  <si>
    <t xml:space="preserve">        320.64亿</t>
  </si>
  <si>
    <t>37.83万</t>
  </si>
  <si>
    <t>朗博科技</t>
  </si>
  <si>
    <t xml:space="preserve">          9.24亿</t>
  </si>
  <si>
    <t>泰禾智能</t>
  </si>
  <si>
    <t xml:space="preserve">         20.61亿</t>
  </si>
  <si>
    <t>春光科技</t>
  </si>
  <si>
    <t xml:space="preserve">         29.03亿</t>
  </si>
  <si>
    <t>安图生物</t>
  </si>
  <si>
    <t xml:space="preserve">         89.99亿</t>
  </si>
  <si>
    <t xml:space="preserve">        284.34亿</t>
  </si>
  <si>
    <t xml:space="preserve">   6.15㈡</t>
  </si>
  <si>
    <t>璞泰来</t>
  </si>
  <si>
    <t xml:space="preserve">        547.39亿</t>
  </si>
  <si>
    <t xml:space="preserve">       1260.72亿</t>
  </si>
  <si>
    <t xml:space="preserve">       1264.51亿</t>
  </si>
  <si>
    <t>318.55万</t>
  </si>
  <si>
    <t>苏州科达</t>
  </si>
  <si>
    <t>恒林股份</t>
  </si>
  <si>
    <t xml:space="preserve">         11.73亿</t>
  </si>
  <si>
    <t xml:space="preserve">         40.50亿</t>
  </si>
  <si>
    <t>12.48万</t>
  </si>
  <si>
    <t xml:space="preserve">   5.88㈡</t>
  </si>
  <si>
    <t>柯力传感</t>
  </si>
  <si>
    <t>17.84万</t>
  </si>
  <si>
    <t>0.528㈡</t>
  </si>
  <si>
    <t xml:space="preserve">   6.08㈡</t>
  </si>
  <si>
    <t>三祥新材</t>
  </si>
  <si>
    <t xml:space="preserve">         49.28亿</t>
  </si>
  <si>
    <t>康隆达</t>
  </si>
  <si>
    <t xml:space="preserve">         23.14亿</t>
  </si>
  <si>
    <t>亿嘉和</t>
  </si>
  <si>
    <t xml:space="preserve">        102.08亿</t>
  </si>
  <si>
    <t xml:space="preserve">        109.59亿</t>
  </si>
  <si>
    <t>54.01万</t>
  </si>
  <si>
    <t>0.445㈡</t>
  </si>
  <si>
    <t>五洲新春</t>
  </si>
  <si>
    <t xml:space="preserve">         61.86亿</t>
  </si>
  <si>
    <t>18.30万</t>
  </si>
  <si>
    <t>天马科技</t>
  </si>
  <si>
    <t xml:space="preserve">         17.47亿</t>
  </si>
  <si>
    <t>灵康药业</t>
  </si>
  <si>
    <t xml:space="preserve">         24.60亿</t>
  </si>
  <si>
    <t xml:space="preserve">         60.00亿</t>
  </si>
  <si>
    <t>15.20万</t>
  </si>
  <si>
    <t>卫信康</t>
  </si>
  <si>
    <t>奇精机械</t>
  </si>
  <si>
    <t xml:space="preserve">          5.95亿</t>
  </si>
  <si>
    <t xml:space="preserve">         22.85亿</t>
  </si>
  <si>
    <t>火炬电子</t>
  </si>
  <si>
    <t xml:space="preserve">        182.01亿</t>
  </si>
  <si>
    <t xml:space="preserve">        312.09亿</t>
  </si>
  <si>
    <t xml:space="preserve">        312.66亿</t>
  </si>
  <si>
    <t>57.43万</t>
  </si>
  <si>
    <t xml:space="preserve">  12.91㈡</t>
  </si>
  <si>
    <t>华体科技</t>
  </si>
  <si>
    <t xml:space="preserve">         10.93亿</t>
  </si>
  <si>
    <t>10.29万</t>
  </si>
  <si>
    <t>今创集团</t>
  </si>
  <si>
    <t xml:space="preserve">          9.06亿</t>
  </si>
  <si>
    <t xml:space="preserve">         78.61亿</t>
  </si>
  <si>
    <t xml:space="preserve">         79.87亿</t>
  </si>
  <si>
    <t>永冠新材</t>
  </si>
  <si>
    <t xml:space="preserve">         72.17亿</t>
  </si>
  <si>
    <t>31.18万</t>
  </si>
  <si>
    <t>锦和商业</t>
  </si>
  <si>
    <t>晶华新材</t>
  </si>
  <si>
    <t xml:space="preserve">         22.70亿</t>
  </si>
  <si>
    <t>晨丰科技</t>
  </si>
  <si>
    <t xml:space="preserve">          5.56亿</t>
  </si>
  <si>
    <t>5.68万</t>
  </si>
  <si>
    <t>龙马环卫</t>
  </si>
  <si>
    <t xml:space="preserve">         45.37亿</t>
  </si>
  <si>
    <t>大胜达</t>
  </si>
  <si>
    <t xml:space="preserve">          6.50亿</t>
  </si>
  <si>
    <t xml:space="preserve">         36.48亿</t>
  </si>
  <si>
    <t>石英股份</t>
  </si>
  <si>
    <t xml:space="preserve">         73.10亿</t>
  </si>
  <si>
    <t xml:space="preserve">        161.06亿</t>
  </si>
  <si>
    <t>40.68万</t>
  </si>
  <si>
    <t>皖天然气</t>
  </si>
  <si>
    <t>至纯科技</t>
  </si>
  <si>
    <t xml:space="preserve">         90.73亿</t>
  </si>
  <si>
    <t xml:space="preserve">        147.53亿</t>
  </si>
  <si>
    <t>22.53万</t>
  </si>
  <si>
    <t>江苏新能</t>
  </si>
  <si>
    <t xml:space="preserve">        129.35亿</t>
  </si>
  <si>
    <t>安记食品</t>
  </si>
  <si>
    <t xml:space="preserve">          7.39亿</t>
  </si>
  <si>
    <t>有友食品</t>
  </si>
  <si>
    <t xml:space="preserve">         15.13亿</t>
  </si>
  <si>
    <t xml:space="preserve">         51.86亿</t>
  </si>
  <si>
    <t>航天工程</t>
  </si>
  <si>
    <t xml:space="preserve">        102.86亿</t>
  </si>
  <si>
    <t>纽威股份</t>
  </si>
  <si>
    <t xml:space="preserve">         26.99亿</t>
  </si>
  <si>
    <t xml:space="preserve">         83.47亿</t>
  </si>
  <si>
    <t>宁水集团</t>
  </si>
  <si>
    <t>15.91万</t>
  </si>
  <si>
    <t>德宏股份</t>
  </si>
  <si>
    <t xml:space="preserve">         11.98亿</t>
  </si>
  <si>
    <t>盛洋科技</t>
  </si>
  <si>
    <t>东方环宇</t>
  </si>
  <si>
    <t xml:space="preserve">          9.10亿</t>
  </si>
  <si>
    <t>健友股份</t>
  </si>
  <si>
    <t xml:space="preserve">        108.79亿</t>
  </si>
  <si>
    <t xml:space="preserve">        361.80亿</t>
  </si>
  <si>
    <t xml:space="preserve">        362.62亿</t>
  </si>
  <si>
    <t>74.14万</t>
  </si>
  <si>
    <t>家家悦</t>
  </si>
  <si>
    <t>9.48万</t>
  </si>
  <si>
    <t>中源家居</t>
  </si>
  <si>
    <t xml:space="preserve">          3.38亿</t>
  </si>
  <si>
    <t>香飘飘</t>
  </si>
  <si>
    <t xml:space="preserve">         57.60亿</t>
  </si>
  <si>
    <t>七一二</t>
  </si>
  <si>
    <t xml:space="preserve">        298.76亿</t>
  </si>
  <si>
    <t>49.06万</t>
  </si>
  <si>
    <t>密尔克卫</t>
  </si>
  <si>
    <t xml:space="preserve">        152.26亿</t>
  </si>
  <si>
    <t xml:space="preserve">        163.65亿</t>
  </si>
  <si>
    <t>塞力医疗</t>
  </si>
  <si>
    <t xml:space="preserve">         22.07亿</t>
  </si>
  <si>
    <t>天域生态</t>
  </si>
  <si>
    <t xml:space="preserve">         36.70亿</t>
  </si>
  <si>
    <t xml:space="preserve">  -2.31㈡</t>
  </si>
  <si>
    <t>海利生物</t>
  </si>
  <si>
    <t>9.93万</t>
  </si>
  <si>
    <t>良品铺子</t>
  </si>
  <si>
    <t xml:space="preserve">         27.39亿</t>
  </si>
  <si>
    <t xml:space="preserve">        138.35亿</t>
  </si>
  <si>
    <t>中广天择</t>
  </si>
  <si>
    <t>阿科力</t>
  </si>
  <si>
    <t xml:space="preserve">         44.35亿</t>
  </si>
  <si>
    <t xml:space="preserve">         44.82亿</t>
  </si>
  <si>
    <t>28.30万</t>
  </si>
  <si>
    <t>天安新材</t>
  </si>
  <si>
    <t>朗迪集团</t>
  </si>
  <si>
    <t xml:space="preserve">          9.99亿</t>
  </si>
  <si>
    <t xml:space="preserve">         27.75亿</t>
  </si>
  <si>
    <t>博迈科</t>
  </si>
  <si>
    <t xml:space="preserve">         86.02亿</t>
  </si>
  <si>
    <t>鸣志电器</t>
  </si>
  <si>
    <t xml:space="preserve">         24.97亿</t>
  </si>
  <si>
    <t xml:space="preserve">         75.25亿</t>
  </si>
  <si>
    <t xml:space="preserve">         76.01亿</t>
  </si>
  <si>
    <t>岱美股份</t>
  </si>
  <si>
    <t xml:space="preserve">        120.69亿</t>
  </si>
  <si>
    <t>27.15万</t>
  </si>
  <si>
    <t>仙鹤股份</t>
  </si>
  <si>
    <t xml:space="preserve">         51.49亿</t>
  </si>
  <si>
    <t xml:space="preserve">        233.04亿</t>
  </si>
  <si>
    <t xml:space="preserve">  10.60㈡</t>
  </si>
  <si>
    <t>三棵树</t>
  </si>
  <si>
    <t xml:space="preserve">        401.47亿</t>
  </si>
  <si>
    <t xml:space="preserve">        414.08亿</t>
  </si>
  <si>
    <t>112.21万</t>
  </si>
  <si>
    <t>泰晶科技</t>
  </si>
  <si>
    <t xml:space="preserve">         93.23亿</t>
  </si>
  <si>
    <t>28.11万</t>
  </si>
  <si>
    <t>蔚蓝生物</t>
  </si>
  <si>
    <t>日辰股份</t>
  </si>
  <si>
    <t>33.81万</t>
  </si>
  <si>
    <t>大元泵业</t>
  </si>
  <si>
    <t>12.94万</t>
  </si>
  <si>
    <t>秦安股份</t>
  </si>
  <si>
    <t>海天股份</t>
  </si>
  <si>
    <t xml:space="preserve">         54.04亿</t>
  </si>
  <si>
    <t>隆鑫通用</t>
  </si>
  <si>
    <t xml:space="preserve">         43.88亿</t>
  </si>
  <si>
    <t xml:space="preserve">         87.89亿</t>
  </si>
  <si>
    <t>中马传动</t>
  </si>
  <si>
    <t>常青股份</t>
  </si>
  <si>
    <t>10.37万</t>
  </si>
  <si>
    <t xml:space="preserve">   4.14㈡</t>
  </si>
  <si>
    <t>沃格光电</t>
  </si>
  <si>
    <t xml:space="preserve">         12.68亿</t>
  </si>
  <si>
    <t xml:space="preserve">         23.04亿</t>
  </si>
  <si>
    <t>9.38万</t>
  </si>
  <si>
    <t>永安行</t>
  </si>
  <si>
    <t xml:space="preserve">         39.31亿</t>
  </si>
  <si>
    <t>14.36万</t>
  </si>
  <si>
    <t>来伊份</t>
  </si>
  <si>
    <t xml:space="preserve">         51.90亿</t>
  </si>
  <si>
    <t>乾景园林</t>
  </si>
  <si>
    <t>3.45万</t>
  </si>
  <si>
    <t xml:space="preserve">  -1.31㈡</t>
  </si>
  <si>
    <t>威龙股份</t>
  </si>
  <si>
    <t xml:space="preserve">         26.85亿</t>
  </si>
  <si>
    <t>科博达</t>
  </si>
  <si>
    <t xml:space="preserve">         24.52亿</t>
  </si>
  <si>
    <t xml:space="preserve">        244.62亿</t>
  </si>
  <si>
    <t>24.29万</t>
  </si>
  <si>
    <t xml:space="preserve">   5.93㈡</t>
  </si>
  <si>
    <t>新日股份</t>
  </si>
  <si>
    <t xml:space="preserve">          9.51亿</t>
  </si>
  <si>
    <t>宁波高发</t>
  </si>
  <si>
    <t xml:space="preserve">         12.28亿</t>
  </si>
  <si>
    <t xml:space="preserve">         28.17亿</t>
  </si>
  <si>
    <t>星光农机</t>
  </si>
  <si>
    <t>-0.175㈡</t>
  </si>
  <si>
    <t>雅运股份</t>
  </si>
  <si>
    <t xml:space="preserve">          6.86亿</t>
  </si>
  <si>
    <t xml:space="preserve">         21.32亿</t>
  </si>
  <si>
    <t>联泰环保</t>
  </si>
  <si>
    <t xml:space="preserve">         11.07亿</t>
  </si>
  <si>
    <t xml:space="preserve">         31.49亿</t>
  </si>
  <si>
    <t xml:space="preserve">         40.88亿</t>
  </si>
  <si>
    <t>康普顿</t>
  </si>
  <si>
    <t xml:space="preserve">          9.41亿</t>
  </si>
  <si>
    <t xml:space="preserve">         21.68亿</t>
  </si>
  <si>
    <t>华友钴业</t>
  </si>
  <si>
    <t xml:space="preserve">        919.33亿</t>
  </si>
  <si>
    <t xml:space="preserve">       1301.57亿</t>
  </si>
  <si>
    <t xml:space="preserve">       1311.21亿</t>
  </si>
  <si>
    <t>103.14万</t>
  </si>
  <si>
    <t>道森股份</t>
  </si>
  <si>
    <t xml:space="preserve">         31.82亿</t>
  </si>
  <si>
    <t>-0.192㈡</t>
  </si>
  <si>
    <t xml:space="preserve">  -4.62㈡</t>
  </si>
  <si>
    <t>志邦家居</t>
  </si>
  <si>
    <t xml:space="preserve">         71.62亿</t>
  </si>
  <si>
    <t>24.36万</t>
  </si>
  <si>
    <t>瑞斯康达</t>
  </si>
  <si>
    <t>-1.830㈡</t>
  </si>
  <si>
    <t xml:space="preserve"> -41.17㈡</t>
  </si>
  <si>
    <t>福斯特</t>
  </si>
  <si>
    <t xml:space="preserve">        477.64亿</t>
  </si>
  <si>
    <t xml:space="preserve">       1273.53亿</t>
  </si>
  <si>
    <t>235.93万</t>
  </si>
  <si>
    <t>歌力思</t>
  </si>
  <si>
    <t>豪能股份</t>
  </si>
  <si>
    <t xml:space="preserve">         29.52亿</t>
  </si>
  <si>
    <t xml:space="preserve">         50.49亿</t>
  </si>
  <si>
    <t xml:space="preserve">         52.25亿</t>
  </si>
  <si>
    <t>29.72万</t>
  </si>
  <si>
    <t>丰山集团</t>
  </si>
  <si>
    <t>诚意药业</t>
  </si>
  <si>
    <t xml:space="preserve">         23.94亿</t>
  </si>
  <si>
    <t>19.98万</t>
  </si>
  <si>
    <t xml:space="preserve">   8.77㈡</t>
  </si>
  <si>
    <t>原尚股份</t>
  </si>
  <si>
    <t xml:space="preserve">          4.79亿</t>
  </si>
  <si>
    <t>交建股份</t>
  </si>
  <si>
    <t xml:space="preserve">         14.53亿</t>
  </si>
  <si>
    <t xml:space="preserve">         55.08亿</t>
  </si>
  <si>
    <t>顾家家居</t>
  </si>
  <si>
    <t xml:space="preserve">        187.29亿</t>
  </si>
  <si>
    <t xml:space="preserve">        410.06亿</t>
  </si>
  <si>
    <t xml:space="preserve">        410.97亿</t>
  </si>
  <si>
    <t>177.39万</t>
  </si>
  <si>
    <t xml:space="preserve">  11.07㈡</t>
  </si>
  <si>
    <t>海峡环保</t>
  </si>
  <si>
    <t xml:space="preserve">          9.87亿</t>
  </si>
  <si>
    <t xml:space="preserve">         26.33亿</t>
  </si>
  <si>
    <t>0.152㈡</t>
  </si>
  <si>
    <t>曲美家居</t>
  </si>
  <si>
    <t xml:space="preserve">         56.18亿</t>
  </si>
  <si>
    <t>13.46万</t>
  </si>
  <si>
    <t>神力股份</t>
  </si>
  <si>
    <t xml:space="preserve">         20.63亿</t>
  </si>
  <si>
    <t>嘉澳环保</t>
  </si>
  <si>
    <t>20.18万</t>
  </si>
  <si>
    <t>百合花</t>
  </si>
  <si>
    <t>15.27万</t>
  </si>
  <si>
    <t>华扬联众</t>
  </si>
  <si>
    <t>坤彩科技</t>
  </si>
  <si>
    <t xml:space="preserve">        185.89亿</t>
  </si>
  <si>
    <t>57.39万</t>
  </si>
  <si>
    <t>0.186㈡</t>
  </si>
  <si>
    <t>柯利达</t>
  </si>
  <si>
    <t>9.56万</t>
  </si>
  <si>
    <t>洛凯股份</t>
  </si>
  <si>
    <t xml:space="preserve">          4.43亿</t>
  </si>
  <si>
    <t xml:space="preserve">         17.63亿</t>
  </si>
  <si>
    <t>欧派家居</t>
  </si>
  <si>
    <t xml:space="preserve">        206.94亿</t>
  </si>
  <si>
    <t xml:space="preserve">        816.57亿</t>
  </si>
  <si>
    <t>160.85万</t>
  </si>
  <si>
    <t>1.670㈡</t>
  </si>
  <si>
    <t>海程邦达</t>
  </si>
  <si>
    <t xml:space="preserve">         39.84亿</t>
  </si>
  <si>
    <t>1.010㈡</t>
  </si>
  <si>
    <t>四通股份</t>
  </si>
  <si>
    <t>安正时尚</t>
  </si>
  <si>
    <t xml:space="preserve">          8.61亿</t>
  </si>
  <si>
    <t>正平股份</t>
  </si>
  <si>
    <t xml:space="preserve">         13.55亿</t>
  </si>
  <si>
    <t>好太太</t>
  </si>
  <si>
    <t xml:space="preserve">         51.65亿</t>
  </si>
  <si>
    <t>华荣股份</t>
  </si>
  <si>
    <t>34.31万</t>
  </si>
  <si>
    <t xml:space="preserve">  11.05㈡</t>
  </si>
  <si>
    <t>东宏股份</t>
  </si>
  <si>
    <t xml:space="preserve">         30.15亿</t>
  </si>
  <si>
    <t>步长制药</t>
  </si>
  <si>
    <t xml:space="preserve">        104.07亿</t>
  </si>
  <si>
    <t xml:space="preserve">        217.01亿</t>
  </si>
  <si>
    <t xml:space="preserve">   6.72㈡</t>
  </si>
  <si>
    <t>能科股份</t>
  </si>
  <si>
    <t xml:space="preserve">         58.88亿</t>
  </si>
  <si>
    <t>中公高科</t>
  </si>
  <si>
    <t xml:space="preserve">          5.60亿</t>
  </si>
  <si>
    <t>11.75万</t>
  </si>
  <si>
    <t>白云电器</t>
  </si>
  <si>
    <t xml:space="preserve">         57.38亿</t>
  </si>
  <si>
    <t>桃李面包</t>
  </si>
  <si>
    <t xml:space="preserve">        102.42亿</t>
  </si>
  <si>
    <t xml:space="preserve">        266.33亿</t>
  </si>
  <si>
    <t>0.388㈡</t>
  </si>
  <si>
    <t>新化股份</t>
  </si>
  <si>
    <t xml:space="preserve">         30.66亿</t>
  </si>
  <si>
    <t>飞科电器</t>
  </si>
  <si>
    <t xml:space="preserve">        172.93亿</t>
  </si>
  <si>
    <t>18.63万</t>
  </si>
  <si>
    <t>新智认知</t>
  </si>
  <si>
    <t xml:space="preserve">         51.76亿</t>
  </si>
  <si>
    <t>嘉友国际</t>
  </si>
  <si>
    <t>鼎胜新材</t>
  </si>
  <si>
    <t xml:space="preserve">         99.81亿</t>
  </si>
  <si>
    <t xml:space="preserve">        228.67亿</t>
  </si>
  <si>
    <t>35.89万</t>
  </si>
  <si>
    <t>太平鸟</t>
  </si>
  <si>
    <t xml:space="preserve">        215.05亿</t>
  </si>
  <si>
    <t>65.69万</t>
  </si>
  <si>
    <t>武进不锈</t>
  </si>
  <si>
    <t>永悦科技</t>
  </si>
  <si>
    <t>南卫股份</t>
  </si>
  <si>
    <t xml:space="preserve">          6.72亿</t>
  </si>
  <si>
    <t xml:space="preserve">         19.14亿</t>
  </si>
  <si>
    <t>数据港</t>
  </si>
  <si>
    <t xml:space="preserve">         53.46亿</t>
  </si>
  <si>
    <t xml:space="preserve">        110.03亿</t>
  </si>
  <si>
    <t>金域医学</t>
  </si>
  <si>
    <t xml:space="preserve">        426.18亿</t>
  </si>
  <si>
    <t xml:space="preserve">        429.07亿</t>
  </si>
  <si>
    <t>2.300㈡</t>
  </si>
  <si>
    <t xml:space="preserve">  21.65㈡</t>
  </si>
  <si>
    <t>老百姓</t>
  </si>
  <si>
    <t xml:space="preserve">         82.61亿</t>
  </si>
  <si>
    <t xml:space="preserve">        185.06亿</t>
  </si>
  <si>
    <t xml:space="preserve">        185.37亿</t>
  </si>
  <si>
    <t>吉祥航空</t>
  </si>
  <si>
    <t xml:space="preserve">         81.69亿</t>
  </si>
  <si>
    <t xml:space="preserve">        273.15亿</t>
  </si>
  <si>
    <t xml:space="preserve">        298.85亿</t>
  </si>
  <si>
    <t>38.22万</t>
  </si>
  <si>
    <t>元祖股份</t>
  </si>
  <si>
    <t xml:space="preserve">         43.58亿</t>
  </si>
  <si>
    <t>城地香江</t>
  </si>
  <si>
    <t>新华网</t>
  </si>
  <si>
    <t xml:space="preserve">         96.02亿</t>
  </si>
  <si>
    <t>新澳股份</t>
  </si>
  <si>
    <t>16.97万</t>
  </si>
  <si>
    <t>春秋电子</t>
  </si>
  <si>
    <t xml:space="preserve">         24.74亿</t>
  </si>
  <si>
    <t xml:space="preserve">         47.69亿</t>
  </si>
  <si>
    <t xml:space="preserve">         54.10亿</t>
  </si>
  <si>
    <t>瑞芯微</t>
  </si>
  <si>
    <t xml:space="preserve">        164.19亿</t>
  </si>
  <si>
    <t xml:space="preserve">        237.44亿</t>
  </si>
  <si>
    <t xml:space="preserve">        526.43亿</t>
  </si>
  <si>
    <t>48.93万</t>
  </si>
  <si>
    <t xml:space="preserve">  11.16㈡</t>
  </si>
  <si>
    <t>天永智能</t>
  </si>
  <si>
    <t xml:space="preserve">          5.96亿</t>
  </si>
  <si>
    <t>寿仙谷</t>
  </si>
  <si>
    <t xml:space="preserve">         62.12亿</t>
  </si>
  <si>
    <t>35.30万</t>
  </si>
  <si>
    <t>长城科技</t>
  </si>
  <si>
    <t xml:space="preserve">         82.19亿</t>
  </si>
  <si>
    <t>15.48万</t>
  </si>
  <si>
    <t>好莱客</t>
  </si>
  <si>
    <t xml:space="preserve">         12.87亿</t>
  </si>
  <si>
    <t>晨光文具</t>
  </si>
  <si>
    <t xml:space="preserve">        205.43亿</t>
  </si>
  <si>
    <t xml:space="preserve">        583.63亿</t>
  </si>
  <si>
    <t xml:space="preserve">        587.26亿</t>
  </si>
  <si>
    <t>75.60万</t>
  </si>
  <si>
    <t xml:space="preserve">  12.78㈡</t>
  </si>
  <si>
    <t>莱绅通灵</t>
  </si>
  <si>
    <t xml:space="preserve">          8.32亿</t>
  </si>
  <si>
    <t>永创智能</t>
  </si>
  <si>
    <t xml:space="preserve">         75.79亿</t>
  </si>
  <si>
    <t>25.56万</t>
  </si>
  <si>
    <t>中持股份</t>
  </si>
  <si>
    <t xml:space="preserve">         11.94亿</t>
  </si>
  <si>
    <t xml:space="preserve">         21.46亿</t>
  </si>
  <si>
    <t>龙蟠科技</t>
  </si>
  <si>
    <t xml:space="preserve">        110.34亿</t>
  </si>
  <si>
    <t xml:space="preserve">        223.55亿</t>
  </si>
  <si>
    <t>88.84万</t>
  </si>
  <si>
    <t>牧高笛</t>
  </si>
  <si>
    <t xml:space="preserve">  12.05㈡</t>
  </si>
  <si>
    <t>合诚股份</t>
  </si>
  <si>
    <t>36.72万</t>
  </si>
  <si>
    <t>佳力图</t>
  </si>
  <si>
    <t>国茂股份</t>
  </si>
  <si>
    <t xml:space="preserve">        210.59亿</t>
  </si>
  <si>
    <t>苏博特</t>
  </si>
  <si>
    <t xml:space="preserve">         45.00亿</t>
  </si>
  <si>
    <t xml:space="preserve">         91.50亿</t>
  </si>
  <si>
    <t>29.23万</t>
  </si>
  <si>
    <t>合力科技</t>
  </si>
  <si>
    <t>0.238㈡</t>
  </si>
  <si>
    <t>金桥信息</t>
  </si>
  <si>
    <t>金徽酒</t>
  </si>
  <si>
    <t xml:space="preserve">        168.81亿</t>
  </si>
  <si>
    <t xml:space="preserve">        174.29亿</t>
  </si>
  <si>
    <t>世运电路</t>
  </si>
  <si>
    <t>金鸿顺</t>
  </si>
  <si>
    <t>8.59万</t>
  </si>
  <si>
    <t xml:space="preserve">  -0.62㈡</t>
  </si>
  <si>
    <t>铁流股份</t>
  </si>
  <si>
    <t xml:space="preserve">         27.77亿</t>
  </si>
  <si>
    <t>中科软</t>
  </si>
  <si>
    <t xml:space="preserve">         91.07亿</t>
  </si>
  <si>
    <t xml:space="preserve">        113.29亿</t>
  </si>
  <si>
    <t>21.61万</t>
  </si>
  <si>
    <t>兴业股份</t>
  </si>
  <si>
    <t xml:space="preserve">          7.51亿</t>
  </si>
  <si>
    <t>亚翔集成</t>
  </si>
  <si>
    <t xml:space="preserve">         24.43亿</t>
  </si>
  <si>
    <t>格林达</t>
  </si>
  <si>
    <t>睿能科技</t>
  </si>
  <si>
    <t xml:space="preserve">         28.09亿</t>
  </si>
  <si>
    <t>0.298㈡</t>
  </si>
  <si>
    <t>博敏电子</t>
  </si>
  <si>
    <t xml:space="preserve">         67.97亿</t>
  </si>
  <si>
    <t xml:space="preserve">         68.78亿</t>
  </si>
  <si>
    <t>12.63万</t>
  </si>
  <si>
    <t>丽岛新材</t>
  </si>
  <si>
    <t xml:space="preserve">         23.21亿</t>
  </si>
  <si>
    <t>三孚股份</t>
  </si>
  <si>
    <t xml:space="preserve">         39.12亿</t>
  </si>
  <si>
    <t xml:space="preserve">        114.79亿</t>
  </si>
  <si>
    <t>36.29万</t>
  </si>
  <si>
    <t xml:space="preserve">  10.83㈡</t>
  </si>
  <si>
    <t>益丰药房</t>
  </si>
  <si>
    <t xml:space="preserve">        352.71亿</t>
  </si>
  <si>
    <t>64.83万</t>
  </si>
  <si>
    <t>建业股份</t>
  </si>
  <si>
    <t xml:space="preserve">         44.70亿</t>
  </si>
  <si>
    <t>雪龙集团</t>
  </si>
  <si>
    <t>长源东谷</t>
  </si>
  <si>
    <t xml:space="preserve">         17.59亿</t>
  </si>
  <si>
    <t xml:space="preserve">         46.23亿</t>
  </si>
  <si>
    <t>大千生态</t>
  </si>
  <si>
    <t xml:space="preserve">          7.49亿</t>
  </si>
  <si>
    <t xml:space="preserve">         17.78亿</t>
  </si>
  <si>
    <t>0.283㈡</t>
  </si>
  <si>
    <t xml:space="preserve">   2.42㈡</t>
  </si>
  <si>
    <t>威派格</t>
  </si>
  <si>
    <t xml:space="preserve">         10.82亿</t>
  </si>
  <si>
    <t xml:space="preserve">         15.58亿</t>
  </si>
  <si>
    <t xml:space="preserve">         75.52亿</t>
  </si>
  <si>
    <t>哈森股份</t>
  </si>
  <si>
    <t xml:space="preserve">          4.88亿</t>
  </si>
  <si>
    <t>百利科技</t>
  </si>
  <si>
    <t xml:space="preserve">         47.22亿</t>
  </si>
  <si>
    <t xml:space="preserve">         84.14亿</t>
  </si>
  <si>
    <t>37.91万</t>
  </si>
  <si>
    <t>克来机电</t>
  </si>
  <si>
    <t xml:space="preserve">         51.20亿</t>
  </si>
  <si>
    <t xml:space="preserve">         82.85亿</t>
  </si>
  <si>
    <t>38.34万</t>
  </si>
  <si>
    <t>大理药业</t>
  </si>
  <si>
    <t xml:space="preserve">          4.23亿</t>
  </si>
  <si>
    <t xml:space="preserve">  -0.26㈡</t>
  </si>
  <si>
    <t>法兰泰克</t>
  </si>
  <si>
    <t>中创物流</t>
  </si>
  <si>
    <t xml:space="preserve">         11.32亿</t>
  </si>
  <si>
    <t>醋化股份</t>
  </si>
  <si>
    <t>银龙股份</t>
  </si>
  <si>
    <t xml:space="preserve">         18.85亿</t>
  </si>
  <si>
    <t>中农立华</t>
  </si>
  <si>
    <t>24.80万</t>
  </si>
  <si>
    <t>0.582㈡</t>
  </si>
  <si>
    <t xml:space="preserve">   9.93㈡</t>
  </si>
  <si>
    <t>正川股份</t>
  </si>
  <si>
    <t xml:space="preserve">         13.60亿</t>
  </si>
  <si>
    <t>国泰集团</t>
  </si>
  <si>
    <t xml:space="preserve">         62.77亿</t>
  </si>
  <si>
    <t>13.75万</t>
  </si>
  <si>
    <t>深圳新星</t>
  </si>
  <si>
    <t xml:space="preserve">         35.57亿</t>
  </si>
  <si>
    <t>金诚信</t>
  </si>
  <si>
    <t xml:space="preserve">         78.88亿</t>
  </si>
  <si>
    <t xml:space="preserve">        148.77亿</t>
  </si>
  <si>
    <t>45.63万</t>
  </si>
  <si>
    <t>吉华集团</t>
  </si>
  <si>
    <t>泉峰汽车</t>
  </si>
  <si>
    <t>丸美股份</t>
  </si>
  <si>
    <t xml:space="preserve">        146.62亿</t>
  </si>
  <si>
    <t xml:space="preserve">   6.25㈡</t>
  </si>
  <si>
    <t>恒润股份</t>
  </si>
  <si>
    <t xml:space="preserve">         48.93亿</t>
  </si>
  <si>
    <t xml:space="preserve">         88.88亿</t>
  </si>
  <si>
    <t>28.57万</t>
  </si>
  <si>
    <t>0.918㈡</t>
  </si>
  <si>
    <t xml:space="preserve">  14.44㈡</t>
  </si>
  <si>
    <t>兆易创新</t>
  </si>
  <si>
    <t xml:space="preserve">        722.62亿</t>
  </si>
  <si>
    <t xml:space="preserve">        909.93亿</t>
  </si>
  <si>
    <t xml:space="preserve">        984.62亿</t>
  </si>
  <si>
    <t>66.39万</t>
  </si>
  <si>
    <t xml:space="preserve">   6.94㈡</t>
  </si>
  <si>
    <t>康德莱</t>
  </si>
  <si>
    <t xml:space="preserve">         92.37亿</t>
  </si>
  <si>
    <t xml:space="preserve">         93.13亿</t>
  </si>
  <si>
    <t>19.29万</t>
  </si>
  <si>
    <t>中电电机</t>
  </si>
  <si>
    <t xml:space="preserve">         37.26亿</t>
  </si>
  <si>
    <t>艾华集团</t>
  </si>
  <si>
    <t xml:space="preserve">        129.12亿</t>
  </si>
  <si>
    <t>29.09万</t>
  </si>
  <si>
    <t>麦迪科技</t>
  </si>
  <si>
    <t>至正股份</t>
  </si>
  <si>
    <t>50.20万</t>
  </si>
  <si>
    <t xml:space="preserve">  -2.95㈡</t>
  </si>
  <si>
    <t>松霖科技</t>
  </si>
  <si>
    <t xml:space="preserve">          7.93亿</t>
  </si>
  <si>
    <t xml:space="preserve">         70.94亿</t>
  </si>
  <si>
    <t>洛阳钼业</t>
  </si>
  <si>
    <t xml:space="preserve">        531.51亿</t>
  </si>
  <si>
    <t xml:space="preserve">       1340.83亿</t>
  </si>
  <si>
    <t>甬金股份</t>
  </si>
  <si>
    <t xml:space="preserve">         52.32亿</t>
  </si>
  <si>
    <t xml:space="preserve">        109.08亿</t>
  </si>
  <si>
    <t>63.74万</t>
  </si>
  <si>
    <t>继峰股份</t>
  </si>
  <si>
    <t xml:space="preserve">         38.71亿</t>
  </si>
  <si>
    <t xml:space="preserve">         82.81亿</t>
  </si>
  <si>
    <t xml:space="preserve">        105.88亿</t>
  </si>
  <si>
    <t>24.57万</t>
  </si>
  <si>
    <t>方盛制药</t>
  </si>
  <si>
    <t>读者传媒</t>
  </si>
  <si>
    <t>威奥股份</t>
  </si>
  <si>
    <t xml:space="preserve">         20.54亿</t>
  </si>
  <si>
    <t>-0.257㈡</t>
  </si>
  <si>
    <t xml:space="preserve">  -3.72㈡</t>
  </si>
  <si>
    <t>众望布艺</t>
  </si>
  <si>
    <t xml:space="preserve">          6.40亿</t>
  </si>
  <si>
    <t>合兴股份</t>
  </si>
  <si>
    <t xml:space="preserve">         73.70亿</t>
  </si>
  <si>
    <t>山东玻纤</t>
  </si>
  <si>
    <t xml:space="preserve">         18.45亿</t>
  </si>
  <si>
    <t xml:space="preserve">         84.25亿</t>
  </si>
  <si>
    <t xml:space="preserve">  16.23㈡</t>
  </si>
  <si>
    <t>五洲特纸</t>
  </si>
  <si>
    <t xml:space="preserve">         79.28亿</t>
  </si>
  <si>
    <t>长鸿高科</t>
  </si>
  <si>
    <t xml:space="preserve">         31.59亿</t>
  </si>
  <si>
    <t xml:space="preserve">        100.02亿</t>
  </si>
  <si>
    <t>豪悦护理</t>
  </si>
  <si>
    <t xml:space="preserve">         22.99亿</t>
  </si>
  <si>
    <t xml:space="preserve">         79.60亿</t>
  </si>
  <si>
    <t>9.02万</t>
  </si>
  <si>
    <t>1.210㈡</t>
  </si>
  <si>
    <t>杭州热电</t>
  </si>
  <si>
    <t xml:space="preserve">         80.46亿</t>
  </si>
  <si>
    <t>1.65万</t>
  </si>
  <si>
    <t xml:space="preserve">   7.15㈡</t>
  </si>
  <si>
    <t>百龙创园</t>
  </si>
  <si>
    <t xml:space="preserve">         10.39亿</t>
  </si>
  <si>
    <t xml:space="preserve">         41.41亿</t>
  </si>
  <si>
    <t>长华股份</t>
  </si>
  <si>
    <t xml:space="preserve">         58.46亿</t>
  </si>
  <si>
    <t>永和股份</t>
  </si>
  <si>
    <t xml:space="preserve">   7.50㈡</t>
  </si>
  <si>
    <t>世茂能源</t>
  </si>
  <si>
    <t xml:space="preserve">          8.88亿</t>
  </si>
  <si>
    <t>1.84万</t>
  </si>
  <si>
    <t xml:space="preserve">  16.07㈡</t>
  </si>
  <si>
    <t>福然德</t>
  </si>
  <si>
    <t>迎丰股份</t>
  </si>
  <si>
    <t>咸亨国际</t>
  </si>
  <si>
    <t xml:space="preserve">          7.85亿</t>
  </si>
  <si>
    <t xml:space="preserve">         78.52亿</t>
  </si>
  <si>
    <t>1.67万</t>
  </si>
  <si>
    <t>0.231㈡</t>
  </si>
  <si>
    <t>澳弘电子</t>
  </si>
  <si>
    <t xml:space="preserve">          8.30亿</t>
  </si>
  <si>
    <t>联德股份</t>
  </si>
  <si>
    <t xml:space="preserve">         36.60亿</t>
  </si>
  <si>
    <t>3.23万</t>
  </si>
  <si>
    <t>天正电气</t>
  </si>
  <si>
    <t xml:space="preserve">         31.02亿</t>
  </si>
  <si>
    <t>明新旭腾</t>
  </si>
  <si>
    <t>12.89万</t>
  </si>
  <si>
    <t>正和生态</t>
  </si>
  <si>
    <t xml:space="preserve">         32.31亿</t>
  </si>
  <si>
    <t>华康股份</t>
  </si>
  <si>
    <t>浙江自然</t>
  </si>
  <si>
    <t xml:space="preserve">         63.91亿</t>
  </si>
  <si>
    <t>22.68万</t>
  </si>
  <si>
    <t>1.630㈡</t>
  </si>
  <si>
    <t>太和水</t>
  </si>
  <si>
    <t xml:space="preserve">          6.87亿</t>
  </si>
  <si>
    <t>龙高股份</t>
  </si>
  <si>
    <t>冠盛股份</t>
  </si>
  <si>
    <t xml:space="preserve">          9.30亿</t>
  </si>
  <si>
    <t xml:space="preserve">         23.70亿</t>
  </si>
  <si>
    <t>味知香</t>
  </si>
  <si>
    <t xml:space="preserve">         69.24亿</t>
  </si>
  <si>
    <t>九丰能源</t>
  </si>
  <si>
    <t>行动教育</t>
  </si>
  <si>
    <t xml:space="preserve">         36.56亿</t>
  </si>
  <si>
    <t>14.21万</t>
  </si>
  <si>
    <t xml:space="preserve">   7.37㈡</t>
  </si>
  <si>
    <t>共创草坪</t>
  </si>
  <si>
    <t xml:space="preserve">         13.22亿</t>
  </si>
  <si>
    <t xml:space="preserve">        132.62亿</t>
  </si>
  <si>
    <t>华丰股份</t>
  </si>
  <si>
    <t>12.81万</t>
  </si>
  <si>
    <t>1.250㈡</t>
  </si>
  <si>
    <t>同庆楼</t>
  </si>
  <si>
    <t>新洁能</t>
  </si>
  <si>
    <t xml:space="preserve">         43.32亿</t>
  </si>
  <si>
    <t xml:space="preserve">        173.27亿</t>
  </si>
  <si>
    <t xml:space="preserve">  13.50㈡</t>
  </si>
  <si>
    <t>奥锐特</t>
  </si>
  <si>
    <t xml:space="preserve">          5.49亿</t>
  </si>
  <si>
    <t xml:space="preserve">         53.73亿</t>
  </si>
  <si>
    <t>德业股份</t>
  </si>
  <si>
    <t xml:space="preserve">         80.49亿</t>
  </si>
  <si>
    <t xml:space="preserve">        321.95亿</t>
  </si>
  <si>
    <t>75.76万</t>
  </si>
  <si>
    <t>力鼎光电</t>
  </si>
  <si>
    <t xml:space="preserve">         56.69亿</t>
  </si>
  <si>
    <t>四方新材</t>
  </si>
  <si>
    <t xml:space="preserve">         39.90亿</t>
  </si>
  <si>
    <t>派克新材</t>
  </si>
  <si>
    <t xml:space="preserve">         97.07亿</t>
  </si>
  <si>
    <t>36.08万</t>
  </si>
  <si>
    <t>1.168㈡</t>
  </si>
  <si>
    <t>上海沿浦</t>
  </si>
  <si>
    <t xml:space="preserve">         14.43亿</t>
  </si>
  <si>
    <t>31.02万</t>
  </si>
  <si>
    <t>嵘泰股份</t>
  </si>
  <si>
    <t xml:space="preserve">          7.22亿</t>
  </si>
  <si>
    <t>丽人丽妆</t>
  </si>
  <si>
    <t xml:space="preserve">          9.76亿</t>
  </si>
  <si>
    <t xml:space="preserve">         98.00亿</t>
  </si>
  <si>
    <t xml:space="preserve">   8.29㈡</t>
  </si>
  <si>
    <t>西上海</t>
  </si>
  <si>
    <t xml:space="preserve">          5.89亿</t>
  </si>
  <si>
    <t>西大门</t>
  </si>
  <si>
    <t xml:space="preserve">          5.14亿</t>
  </si>
  <si>
    <t>华达新材</t>
  </si>
  <si>
    <t>新中港</t>
  </si>
  <si>
    <t xml:space="preserve">         44.81亿</t>
  </si>
  <si>
    <t>1.08万</t>
  </si>
  <si>
    <t>聚合顺</t>
  </si>
  <si>
    <t xml:space="preserve">         39.47亿</t>
  </si>
  <si>
    <t>利柏特</t>
  </si>
  <si>
    <t xml:space="preserve">         45.58亿</t>
  </si>
  <si>
    <t>1.01万</t>
  </si>
  <si>
    <t>0.074㈡</t>
  </si>
  <si>
    <t>三人行</t>
  </si>
  <si>
    <t xml:space="preserve">         37.67亿</t>
  </si>
  <si>
    <t xml:space="preserve">         86.55亿</t>
  </si>
  <si>
    <t>36.46万</t>
  </si>
  <si>
    <t>2.400㈡</t>
  </si>
  <si>
    <t xml:space="preserve">  10.06㈡</t>
  </si>
  <si>
    <t>洪通燃气</t>
  </si>
  <si>
    <t>东亚药业</t>
  </si>
  <si>
    <t>时空科技</t>
  </si>
  <si>
    <t xml:space="preserve">         10.30亿</t>
  </si>
  <si>
    <t xml:space="preserve">         12.96亿</t>
  </si>
  <si>
    <t xml:space="preserve">         40.97亿</t>
  </si>
  <si>
    <t>一鸣食品</t>
  </si>
  <si>
    <t xml:space="preserve">         60.87亿</t>
  </si>
  <si>
    <t>华生科技</t>
  </si>
  <si>
    <t xml:space="preserve">          9.66亿</t>
  </si>
  <si>
    <t xml:space="preserve">   9.61㈡</t>
  </si>
  <si>
    <t>确成股份</t>
  </si>
  <si>
    <t>健麾信息</t>
  </si>
  <si>
    <t xml:space="preserve">         13.26亿</t>
  </si>
  <si>
    <t>13.95万</t>
  </si>
  <si>
    <t>国光连锁</t>
  </si>
  <si>
    <t xml:space="preserve">          4.81亿</t>
  </si>
  <si>
    <t xml:space="preserve">         39.45亿</t>
  </si>
  <si>
    <t>富春染织</t>
  </si>
  <si>
    <t xml:space="preserve">          7.08亿</t>
  </si>
  <si>
    <t xml:space="preserve">         28.33亿</t>
  </si>
  <si>
    <t>华通线缆</t>
  </si>
  <si>
    <t xml:space="preserve">         51.44亿</t>
  </si>
  <si>
    <t>德利股份</t>
  </si>
  <si>
    <t xml:space="preserve">          3.51亿</t>
  </si>
  <si>
    <t>葫芦娃</t>
  </si>
  <si>
    <t xml:space="preserve">         83.70亿</t>
  </si>
  <si>
    <t>永茂泰</t>
  </si>
  <si>
    <t>伟时电子</t>
  </si>
  <si>
    <t xml:space="preserve">          7.34亿</t>
  </si>
  <si>
    <t>起帆电缆</t>
  </si>
  <si>
    <t xml:space="preserve">         88.25亿</t>
  </si>
  <si>
    <t>神通科技</t>
  </si>
  <si>
    <t xml:space="preserve">          7.24亿</t>
  </si>
  <si>
    <t>2.50万</t>
  </si>
  <si>
    <t>天普股份</t>
  </si>
  <si>
    <t xml:space="preserve">          5.53亿</t>
  </si>
  <si>
    <t>协和电子</t>
  </si>
  <si>
    <t xml:space="preserve">          6.64亿</t>
  </si>
  <si>
    <t>0.519㈡</t>
  </si>
  <si>
    <t>绿田机械</t>
  </si>
  <si>
    <t>健之佳</t>
  </si>
  <si>
    <t>王力安防</t>
  </si>
  <si>
    <t xml:space="preserve">         53.93亿</t>
  </si>
  <si>
    <t>新亚电子</t>
  </si>
  <si>
    <t xml:space="preserve">          9.22亿</t>
  </si>
  <si>
    <t>同力日升</t>
  </si>
  <si>
    <t>德才股份</t>
  </si>
  <si>
    <t>2.13万</t>
  </si>
  <si>
    <t>1.650㈡</t>
  </si>
  <si>
    <t>凯迪股份</t>
  </si>
  <si>
    <t>0.854㈡</t>
  </si>
  <si>
    <t>罗曼股份</t>
  </si>
  <si>
    <t>神农集团</t>
  </si>
  <si>
    <t xml:space="preserve">        159.81亿</t>
  </si>
  <si>
    <t xml:space="preserve">   7.72㈡</t>
  </si>
  <si>
    <t>必得科技</t>
  </si>
  <si>
    <t>舒华体育</t>
  </si>
  <si>
    <t>佳禾食品</t>
  </si>
  <si>
    <t xml:space="preserve">          7.33亿</t>
  </si>
  <si>
    <t>园林股份</t>
  </si>
  <si>
    <t>中际联合</t>
  </si>
  <si>
    <t xml:space="preserve">         92.40亿</t>
  </si>
  <si>
    <t>23.17万</t>
  </si>
  <si>
    <t>法狮龙</t>
  </si>
  <si>
    <t xml:space="preserve">          4.61亿</t>
  </si>
  <si>
    <t xml:space="preserve">         18.43亿</t>
  </si>
  <si>
    <t>无锡振华</t>
  </si>
  <si>
    <t>沪光股份</t>
  </si>
  <si>
    <t xml:space="preserve">         55.50亿</t>
  </si>
  <si>
    <t>帅丰电器</t>
  </si>
  <si>
    <t xml:space="preserve">         10.29亿</t>
  </si>
  <si>
    <t xml:space="preserve">         41.51亿</t>
  </si>
  <si>
    <t>李子园</t>
  </si>
  <si>
    <t xml:space="preserve">         21.61亿</t>
  </si>
  <si>
    <t xml:space="preserve">         86.43亿</t>
  </si>
  <si>
    <t>巴比食品</t>
  </si>
  <si>
    <t xml:space="preserve">         20.87亿</t>
  </si>
  <si>
    <t xml:space="preserve">         83.48亿</t>
  </si>
  <si>
    <t>南侨食品</t>
  </si>
  <si>
    <t xml:space="preserve">        136.63亿</t>
  </si>
  <si>
    <t>立昂微</t>
  </si>
  <si>
    <t xml:space="preserve">        278.67亿</t>
  </si>
  <si>
    <t xml:space="preserve">        308.49亿</t>
  </si>
  <si>
    <t xml:space="preserve">        437.03亿</t>
  </si>
  <si>
    <t>86.25万</t>
  </si>
  <si>
    <t xml:space="preserve">  10.31㈡</t>
  </si>
  <si>
    <t>立达信</t>
  </si>
  <si>
    <t>1.70万</t>
  </si>
  <si>
    <t xml:space="preserve">   8.88㈡</t>
  </si>
  <si>
    <t>宏柏新材</t>
  </si>
  <si>
    <t xml:space="preserve">         49.73亿</t>
  </si>
  <si>
    <t>蓝天燃气</t>
  </si>
  <si>
    <t xml:space="preserve">         10.43亿</t>
  </si>
  <si>
    <t xml:space="preserve">         73.66亿</t>
  </si>
  <si>
    <t xml:space="preserve">   7.21㈡</t>
  </si>
  <si>
    <t>拱东医疗</t>
  </si>
  <si>
    <t xml:space="preserve">         28.29亿</t>
  </si>
  <si>
    <t xml:space="preserve">        113.76亿</t>
  </si>
  <si>
    <t>29.07万</t>
  </si>
  <si>
    <t>博迁新材</t>
  </si>
  <si>
    <t xml:space="preserve">         55.60亿</t>
  </si>
  <si>
    <t>39.14万</t>
  </si>
  <si>
    <t>华旺科技</t>
  </si>
  <si>
    <t xml:space="preserve">   9.46㈡</t>
  </si>
  <si>
    <t>野马电池</t>
  </si>
  <si>
    <t xml:space="preserve">          9.54亿</t>
  </si>
  <si>
    <t xml:space="preserve">         38.15亿</t>
  </si>
  <si>
    <t>均瑶健康</t>
  </si>
  <si>
    <t xml:space="preserve">         72.15亿</t>
  </si>
  <si>
    <t>长龄液压</t>
  </si>
  <si>
    <t xml:space="preserve">         12.14亿</t>
  </si>
  <si>
    <t>新炬网络</t>
  </si>
  <si>
    <t xml:space="preserve">          5.67亿</t>
  </si>
  <si>
    <t>晨光新材</t>
  </si>
  <si>
    <t xml:space="preserve">         25.48亿</t>
  </si>
  <si>
    <t xml:space="preserve">  12.84㈡</t>
  </si>
  <si>
    <t>福莱新材</t>
  </si>
  <si>
    <t>东鹏饮料</t>
  </si>
  <si>
    <t xml:space="preserve">         72.02亿</t>
  </si>
  <si>
    <t xml:space="preserve">        720.02亿</t>
  </si>
  <si>
    <t>29.03万</t>
  </si>
  <si>
    <t>1.840㈡</t>
  </si>
  <si>
    <t xml:space="preserve">  15.64㈡</t>
  </si>
  <si>
    <t>森林包装</t>
  </si>
  <si>
    <t>国邦医药</t>
  </si>
  <si>
    <t xml:space="preserve">        166.25亿</t>
  </si>
  <si>
    <t>2.82万</t>
  </si>
  <si>
    <t>0.676㈡</t>
  </si>
  <si>
    <t>龙版传媒</t>
  </si>
  <si>
    <t xml:space="preserve">          5.46亿</t>
  </si>
  <si>
    <t xml:space="preserve">         54.62亿</t>
  </si>
  <si>
    <t>1.05万</t>
  </si>
  <si>
    <t>0.169㈡</t>
  </si>
  <si>
    <t>恒盛能源</t>
  </si>
  <si>
    <t>1.36万</t>
  </si>
  <si>
    <t>0.323㈡</t>
  </si>
  <si>
    <t xml:space="preserve">  15.29㈡</t>
  </si>
  <si>
    <t>冠石科技</t>
  </si>
  <si>
    <t>0.682㈡</t>
  </si>
  <si>
    <t xml:space="preserve">  11.69㈡</t>
  </si>
  <si>
    <t>圣泉集团</t>
  </si>
  <si>
    <t xml:space="preserve">        291.24亿</t>
  </si>
  <si>
    <t>3.51万</t>
  </si>
  <si>
    <t>菜百股份</t>
  </si>
  <si>
    <t xml:space="preserve">         10.99亿</t>
  </si>
  <si>
    <t xml:space="preserve">        109.90亿</t>
  </si>
  <si>
    <t>1.31万</t>
  </si>
  <si>
    <t xml:space="preserve">   8.58㈡</t>
  </si>
  <si>
    <t>海尔施</t>
  </si>
  <si>
    <t xml:space="preserve">  10.32㈡</t>
  </si>
  <si>
    <t>鑫广绿环</t>
  </si>
  <si>
    <t xml:space="preserve">  15.87㈢</t>
  </si>
  <si>
    <t>盛泰集团</t>
  </si>
  <si>
    <t>春雪食品</t>
  </si>
  <si>
    <t>上海港湾</t>
  </si>
  <si>
    <t>数据来源:通达信</t>
  </si>
</sst>
</file>

<file path=xl/styles.xml><?xml version="1.0" encoding="utf-8"?>
<styleSheet xmlns="http://schemas.openxmlformats.org/spreadsheetml/2006/main">
  <fonts count="19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N3978"/>
  <sheetViews>
    <sheetView tabSelected="1" workbookViewId="0"/>
  </sheetViews>
  <sheetFormatPr defaultRowHeight="13.5"/>
  <sheetData>
    <row r="1" spans="1:1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</row>
    <row r="2" spans="1:118">
      <c r="A2" t="str">
        <f>"000001"</f>
        <v>000001</v>
      </c>
      <c r="B2" t="s">
        <v>118</v>
      </c>
      <c r="C2">
        <v>-2.25</v>
      </c>
      <c r="D2">
        <v>1.17</v>
      </c>
      <c r="E2">
        <v>-1.1299999999999999</v>
      </c>
      <c r="F2">
        <v>42716</v>
      </c>
      <c r="G2" t="s">
        <v>119</v>
      </c>
      <c r="H2">
        <v>223447.5</v>
      </c>
      <c r="I2">
        <v>718.15</v>
      </c>
      <c r="J2" t="s">
        <v>120</v>
      </c>
      <c r="K2" t="s">
        <v>121</v>
      </c>
      <c r="L2">
        <v>0.61</v>
      </c>
      <c r="M2">
        <v>19.079999999999998</v>
      </c>
      <c r="N2">
        <v>0.93</v>
      </c>
      <c r="O2">
        <v>-0.1</v>
      </c>
      <c r="P2">
        <v>19.5</v>
      </c>
      <c r="Q2">
        <v>-4.05</v>
      </c>
      <c r="R2">
        <v>18.73</v>
      </c>
      <c r="S2">
        <v>19.3</v>
      </c>
      <c r="T2">
        <v>1176954</v>
      </c>
      <c r="U2">
        <v>19.079999999999998</v>
      </c>
      <c r="V2">
        <v>19.52</v>
      </c>
      <c r="W2">
        <v>10.53</v>
      </c>
      <c r="X2" t="s">
        <v>122</v>
      </c>
      <c r="Y2" t="s">
        <v>123</v>
      </c>
      <c r="Z2">
        <v>3.94</v>
      </c>
      <c r="AA2">
        <v>18.989999999999998</v>
      </c>
      <c r="AB2">
        <v>671910</v>
      </c>
      <c r="AC2">
        <v>505044</v>
      </c>
      <c r="AD2">
        <v>1.33</v>
      </c>
      <c r="AE2">
        <v>103</v>
      </c>
      <c r="AF2">
        <v>21</v>
      </c>
      <c r="AG2" t="s">
        <v>120</v>
      </c>
      <c r="AH2">
        <v>0</v>
      </c>
      <c r="AI2" t="s">
        <v>120</v>
      </c>
      <c r="AJ2">
        <v>194.06</v>
      </c>
      <c r="AK2" t="s">
        <v>124</v>
      </c>
      <c r="AL2">
        <v>-0.34</v>
      </c>
      <c r="AM2">
        <v>4707</v>
      </c>
      <c r="AN2">
        <v>250</v>
      </c>
      <c r="AO2">
        <v>1E-4</v>
      </c>
      <c r="AP2">
        <v>-1</v>
      </c>
      <c r="AQ2">
        <v>0.77</v>
      </c>
      <c r="AR2">
        <v>-5.6</v>
      </c>
      <c r="AS2">
        <v>-6.19</v>
      </c>
      <c r="AT2">
        <v>-17.329999999999998</v>
      </c>
      <c r="AU2">
        <v>-0.42</v>
      </c>
      <c r="AV2">
        <v>0</v>
      </c>
      <c r="AW2">
        <v>1.44</v>
      </c>
      <c r="AX2">
        <v>42.05</v>
      </c>
      <c r="AY2">
        <v>11.54</v>
      </c>
      <c r="AZ2">
        <v>13.09</v>
      </c>
      <c r="BA2">
        <v>1.1399999999999999</v>
      </c>
      <c r="BB2" t="s">
        <v>125</v>
      </c>
      <c r="BF2">
        <v>-2.74</v>
      </c>
      <c r="BG2">
        <v>-1.1399999999999999</v>
      </c>
      <c r="BH2">
        <v>-2.15</v>
      </c>
      <c r="BI2">
        <v>1.87</v>
      </c>
      <c r="BJ2">
        <v>20210821</v>
      </c>
      <c r="BK2">
        <v>19910403</v>
      </c>
      <c r="BL2">
        <v>194.06</v>
      </c>
      <c r="BM2" t="s">
        <v>120</v>
      </c>
      <c r="BN2" t="s">
        <v>120</v>
      </c>
      <c r="BO2">
        <v>47235.199999999997</v>
      </c>
      <c r="BP2">
        <v>19</v>
      </c>
      <c r="BQ2">
        <v>3771.93</v>
      </c>
      <c r="BR2" t="s">
        <v>120</v>
      </c>
      <c r="BS2">
        <v>92.01</v>
      </c>
      <c r="BT2">
        <v>0</v>
      </c>
      <c r="BU2">
        <v>114.73</v>
      </c>
      <c r="BV2">
        <v>60.91</v>
      </c>
      <c r="BW2">
        <v>0</v>
      </c>
      <c r="BX2">
        <v>4051.65</v>
      </c>
      <c r="BY2">
        <v>0</v>
      </c>
      <c r="BZ2">
        <v>0</v>
      </c>
      <c r="CA2" t="s">
        <v>120</v>
      </c>
      <c r="CB2">
        <v>808.16</v>
      </c>
      <c r="CC2">
        <v>846.8</v>
      </c>
      <c r="CD2">
        <v>0</v>
      </c>
      <c r="CE2">
        <v>224.15</v>
      </c>
      <c r="CF2">
        <v>59.63</v>
      </c>
      <c r="CG2">
        <v>223.41</v>
      </c>
      <c r="CH2">
        <v>175.83</v>
      </c>
      <c r="CI2">
        <v>175.83</v>
      </c>
      <c r="CJ2">
        <v>-0.44</v>
      </c>
      <c r="CK2">
        <v>175.11</v>
      </c>
      <c r="CL2">
        <v>1432.39</v>
      </c>
      <c r="CM2">
        <v>-1159.72</v>
      </c>
      <c r="CN2">
        <v>202.21</v>
      </c>
      <c r="CO2">
        <v>296828</v>
      </c>
      <c r="CP2">
        <v>27493</v>
      </c>
      <c r="CQ2" t="s">
        <v>126</v>
      </c>
      <c r="CR2">
        <v>28.55</v>
      </c>
      <c r="CS2">
        <v>8.11</v>
      </c>
      <c r="CT2">
        <v>1.21</v>
      </c>
      <c r="CU2">
        <v>-3.19</v>
      </c>
      <c r="CV2">
        <v>4.37</v>
      </c>
      <c r="CW2">
        <v>0.92</v>
      </c>
      <c r="CX2" t="s">
        <v>127</v>
      </c>
      <c r="CY2">
        <v>15.83</v>
      </c>
      <c r="CZ2">
        <v>15.83</v>
      </c>
      <c r="DA2">
        <v>4.16</v>
      </c>
      <c r="DB2">
        <v>7.38</v>
      </c>
      <c r="DC2">
        <v>-5.98</v>
      </c>
      <c r="DD2">
        <v>7.99</v>
      </c>
      <c r="DE2" t="s">
        <v>128</v>
      </c>
      <c r="DF2" t="s">
        <v>120</v>
      </c>
      <c r="DG2">
        <v>26.47</v>
      </c>
      <c r="DH2">
        <v>20.76</v>
      </c>
      <c r="DI2" t="s">
        <v>120</v>
      </c>
      <c r="DJ2">
        <v>37384</v>
      </c>
      <c r="DK2">
        <v>1</v>
      </c>
      <c r="DL2" t="s">
        <v>120</v>
      </c>
      <c r="DM2" t="s">
        <v>120</v>
      </c>
      <c r="DN2" t="s">
        <v>120</v>
      </c>
    </row>
    <row r="3" spans="1:118">
      <c r="A3" t="str">
        <f>"000002"</f>
        <v>000002</v>
      </c>
      <c r="B3" t="s">
        <v>129</v>
      </c>
      <c r="C3">
        <v>-2.86</v>
      </c>
      <c r="D3">
        <v>-0.15</v>
      </c>
      <c r="E3">
        <v>-0.05</v>
      </c>
      <c r="F3">
        <v>22752</v>
      </c>
      <c r="G3" t="s">
        <v>130</v>
      </c>
      <c r="H3">
        <v>211390.79</v>
      </c>
      <c r="I3">
        <v>985.55</v>
      </c>
      <c r="J3" t="s">
        <v>120</v>
      </c>
      <c r="K3" t="s">
        <v>131</v>
      </c>
      <c r="L3">
        <v>1.1299999999999999</v>
      </c>
      <c r="M3">
        <v>19.02</v>
      </c>
      <c r="N3">
        <v>1.02</v>
      </c>
      <c r="O3">
        <v>0.1</v>
      </c>
      <c r="P3">
        <v>19.600000000000001</v>
      </c>
      <c r="Q3">
        <v>-2.86</v>
      </c>
      <c r="R3">
        <v>19.02</v>
      </c>
      <c r="S3">
        <v>19.57</v>
      </c>
      <c r="T3">
        <v>1100870</v>
      </c>
      <c r="U3">
        <v>19.03</v>
      </c>
      <c r="V3">
        <v>19.579999999999998</v>
      </c>
      <c r="W3">
        <v>10.01</v>
      </c>
      <c r="X3" t="s">
        <v>132</v>
      </c>
      <c r="Y3" t="s">
        <v>123</v>
      </c>
      <c r="Z3">
        <v>2.96</v>
      </c>
      <c r="AA3">
        <v>19.2</v>
      </c>
      <c r="AB3">
        <v>541883</v>
      </c>
      <c r="AC3">
        <v>558987</v>
      </c>
      <c r="AD3">
        <v>0.97</v>
      </c>
      <c r="AE3">
        <v>3610</v>
      </c>
      <c r="AF3">
        <v>2</v>
      </c>
      <c r="AG3" t="s">
        <v>120</v>
      </c>
      <c r="AH3">
        <v>0.01</v>
      </c>
      <c r="AI3" t="s">
        <v>120</v>
      </c>
      <c r="AJ3">
        <v>97.18</v>
      </c>
      <c r="AK3" t="s">
        <v>133</v>
      </c>
      <c r="AL3">
        <v>-0.95</v>
      </c>
      <c r="AM3">
        <v>4737</v>
      </c>
      <c r="AN3">
        <v>232</v>
      </c>
      <c r="AO3">
        <v>2.0000000000000001E-4</v>
      </c>
      <c r="AP3">
        <v>-3</v>
      </c>
      <c r="AQ3">
        <v>-2.73</v>
      </c>
      <c r="AR3">
        <v>-10.54</v>
      </c>
      <c r="AS3">
        <v>-13.15</v>
      </c>
      <c r="AT3">
        <v>-17.59</v>
      </c>
      <c r="AU3">
        <v>-30.71</v>
      </c>
      <c r="AV3">
        <v>1</v>
      </c>
      <c r="AW3">
        <v>1.69</v>
      </c>
      <c r="AX3">
        <v>66.92</v>
      </c>
      <c r="AY3">
        <v>5.68</v>
      </c>
      <c r="AZ3">
        <v>5.48</v>
      </c>
      <c r="BA3">
        <v>0.5</v>
      </c>
      <c r="BB3" t="s">
        <v>134</v>
      </c>
      <c r="BF3">
        <v>-1.93</v>
      </c>
      <c r="BG3">
        <v>-2.81</v>
      </c>
      <c r="BH3">
        <v>-2.96</v>
      </c>
      <c r="BI3">
        <v>0</v>
      </c>
      <c r="BJ3">
        <v>20210913</v>
      </c>
      <c r="BK3">
        <v>19910129</v>
      </c>
      <c r="BL3">
        <v>116.25</v>
      </c>
      <c r="BM3" t="s">
        <v>120</v>
      </c>
      <c r="BN3">
        <v>19.010000000000002</v>
      </c>
      <c r="BO3">
        <v>19550.46</v>
      </c>
      <c r="BP3">
        <v>19.02</v>
      </c>
      <c r="BQ3">
        <v>2218.66</v>
      </c>
      <c r="BR3">
        <v>1418.55</v>
      </c>
      <c r="BS3">
        <v>81.400000000000006</v>
      </c>
      <c r="BT3">
        <v>16322.5</v>
      </c>
      <c r="BU3">
        <v>125.97</v>
      </c>
      <c r="BV3">
        <v>61.77</v>
      </c>
      <c r="BW3">
        <v>13808.52</v>
      </c>
      <c r="BX3">
        <v>1952.16</v>
      </c>
      <c r="BY3">
        <v>10478.780000000001</v>
      </c>
      <c r="BZ3">
        <v>37.18</v>
      </c>
      <c r="CA3">
        <v>10.039999999999999</v>
      </c>
      <c r="CB3">
        <v>184.08</v>
      </c>
      <c r="CC3">
        <v>1671.11</v>
      </c>
      <c r="CD3">
        <v>1287.75</v>
      </c>
      <c r="CE3">
        <v>219.88</v>
      </c>
      <c r="CF3">
        <v>28.79</v>
      </c>
      <c r="CG3">
        <v>220.81</v>
      </c>
      <c r="CH3">
        <v>161.74</v>
      </c>
      <c r="CI3">
        <v>110.47</v>
      </c>
      <c r="CJ3">
        <v>-0.56000000000000005</v>
      </c>
      <c r="CK3">
        <v>107.27</v>
      </c>
      <c r="CL3">
        <v>949.42</v>
      </c>
      <c r="CM3">
        <v>67.819999999999993</v>
      </c>
      <c r="CN3">
        <v>13.36</v>
      </c>
      <c r="CO3">
        <v>566091</v>
      </c>
      <c r="CP3">
        <v>11496</v>
      </c>
      <c r="CQ3" t="s">
        <v>135</v>
      </c>
      <c r="CR3">
        <v>-11.68</v>
      </c>
      <c r="CS3">
        <v>14.19</v>
      </c>
      <c r="CT3">
        <v>1</v>
      </c>
      <c r="CU3">
        <v>32.61</v>
      </c>
      <c r="CV3">
        <v>1.32</v>
      </c>
      <c r="CW3">
        <v>5.34</v>
      </c>
      <c r="CX3" t="s">
        <v>136</v>
      </c>
      <c r="CY3">
        <v>19.100000000000001</v>
      </c>
      <c r="CZ3">
        <v>19.100000000000001</v>
      </c>
      <c r="DA3">
        <v>1.58</v>
      </c>
      <c r="DB3">
        <v>8.17</v>
      </c>
      <c r="DC3">
        <v>0.57999999999999996</v>
      </c>
      <c r="DD3">
        <v>11.35</v>
      </c>
      <c r="DE3" t="s">
        <v>137</v>
      </c>
      <c r="DF3">
        <v>22.94</v>
      </c>
      <c r="DG3">
        <v>13.16</v>
      </c>
      <c r="DH3">
        <v>6.61</v>
      </c>
      <c r="DI3">
        <v>2.5299999999999998</v>
      </c>
      <c r="DJ3">
        <v>140565</v>
      </c>
      <c r="DK3">
        <v>2</v>
      </c>
      <c r="DL3" t="s">
        <v>120</v>
      </c>
      <c r="DM3" t="s">
        <v>120</v>
      </c>
      <c r="DN3" t="s">
        <v>120</v>
      </c>
    </row>
    <row r="4" spans="1:118">
      <c r="A4" t="str">
        <f>"000004"</f>
        <v>000004</v>
      </c>
      <c r="B4" t="s">
        <v>138</v>
      </c>
      <c r="C4">
        <v>-0.85</v>
      </c>
      <c r="D4">
        <v>-0.19</v>
      </c>
      <c r="E4">
        <v>-0.1</v>
      </c>
      <c r="F4">
        <v>1460</v>
      </c>
      <c r="G4" t="s">
        <v>139</v>
      </c>
      <c r="H4">
        <v>10301.370000000001</v>
      </c>
      <c r="I4">
        <v>105.65</v>
      </c>
      <c r="J4" t="s">
        <v>120</v>
      </c>
      <c r="K4" t="s">
        <v>140</v>
      </c>
      <c r="L4">
        <v>4.46</v>
      </c>
      <c r="M4">
        <v>19.86</v>
      </c>
      <c r="N4">
        <v>0.89</v>
      </c>
      <c r="O4">
        <v>1.1499999999999999</v>
      </c>
      <c r="P4">
        <v>20.260000000000002</v>
      </c>
      <c r="Q4">
        <v>-2.25</v>
      </c>
      <c r="R4">
        <v>19.579999999999998</v>
      </c>
      <c r="S4">
        <v>20.010000000000002</v>
      </c>
      <c r="T4">
        <v>51894</v>
      </c>
      <c r="U4">
        <v>19.88</v>
      </c>
      <c r="V4">
        <v>20.03</v>
      </c>
      <c r="W4">
        <v>254.48</v>
      </c>
      <c r="X4" t="s">
        <v>141</v>
      </c>
      <c r="Y4" t="s">
        <v>123</v>
      </c>
      <c r="Z4">
        <v>3.39</v>
      </c>
      <c r="AA4">
        <v>19.850000000000001</v>
      </c>
      <c r="AB4">
        <v>30042</v>
      </c>
      <c r="AC4">
        <v>21852</v>
      </c>
      <c r="AD4">
        <v>1.37</v>
      </c>
      <c r="AE4">
        <v>211</v>
      </c>
      <c r="AF4">
        <v>11</v>
      </c>
      <c r="AG4" t="s">
        <v>120</v>
      </c>
      <c r="AH4">
        <v>7.0000000000000007E-2</v>
      </c>
      <c r="AI4" t="s">
        <v>120</v>
      </c>
      <c r="AJ4">
        <v>1.1599999999999999</v>
      </c>
      <c r="AK4" t="s">
        <v>142</v>
      </c>
      <c r="AL4">
        <v>1.06</v>
      </c>
      <c r="AM4">
        <v>2645</v>
      </c>
      <c r="AN4">
        <v>20</v>
      </c>
      <c r="AO4">
        <v>1.6999999999999999E-3</v>
      </c>
      <c r="AP4">
        <v>-2</v>
      </c>
      <c r="AQ4">
        <v>-2.2400000000000002</v>
      </c>
      <c r="AR4">
        <v>6.6</v>
      </c>
      <c r="AS4">
        <v>-5.79</v>
      </c>
      <c r="AT4">
        <v>5.3</v>
      </c>
      <c r="AU4">
        <v>-4.0599999999999996</v>
      </c>
      <c r="AV4">
        <v>12</v>
      </c>
      <c r="AW4">
        <v>6.52</v>
      </c>
      <c r="AX4">
        <v>51.02</v>
      </c>
      <c r="AY4">
        <v>45.86</v>
      </c>
      <c r="AZ4">
        <v>48.35</v>
      </c>
      <c r="BA4">
        <v>0.65</v>
      </c>
      <c r="BB4" t="s">
        <v>143</v>
      </c>
      <c r="BF4">
        <v>-0.89</v>
      </c>
      <c r="BG4">
        <v>-0.75</v>
      </c>
      <c r="BH4">
        <v>-1.97</v>
      </c>
      <c r="BI4">
        <v>1.43</v>
      </c>
      <c r="BJ4">
        <v>20210827</v>
      </c>
      <c r="BK4">
        <v>19910114</v>
      </c>
      <c r="BL4">
        <v>1.56</v>
      </c>
      <c r="BM4" t="s">
        <v>120</v>
      </c>
      <c r="BN4" t="s">
        <v>120</v>
      </c>
      <c r="BO4">
        <v>15.56</v>
      </c>
      <c r="BP4">
        <v>19.86</v>
      </c>
      <c r="BQ4">
        <v>14.63</v>
      </c>
      <c r="BR4">
        <v>0</v>
      </c>
      <c r="BS4">
        <v>5.99</v>
      </c>
      <c r="BT4">
        <v>5.21</v>
      </c>
      <c r="BU4">
        <v>0.02</v>
      </c>
      <c r="BV4">
        <v>0.25</v>
      </c>
      <c r="BW4">
        <v>0.9</v>
      </c>
      <c r="BX4">
        <v>1.19</v>
      </c>
      <c r="BY4">
        <v>0</v>
      </c>
      <c r="BZ4">
        <v>3.23</v>
      </c>
      <c r="CA4">
        <v>0.01</v>
      </c>
      <c r="CB4">
        <v>12</v>
      </c>
      <c r="CC4">
        <v>0.93</v>
      </c>
      <c r="CD4">
        <v>0.38</v>
      </c>
      <c r="CE4">
        <v>7.0000000000000007E-2</v>
      </c>
      <c r="CF4">
        <v>0</v>
      </c>
      <c r="CG4">
        <v>7.0000000000000007E-2</v>
      </c>
      <c r="CH4">
        <v>0.06</v>
      </c>
      <c r="CI4">
        <v>0.06</v>
      </c>
      <c r="CJ4">
        <v>-0.17</v>
      </c>
      <c r="CK4">
        <v>0.05</v>
      </c>
      <c r="CL4">
        <v>0.85</v>
      </c>
      <c r="CM4">
        <v>-0.35</v>
      </c>
      <c r="CN4">
        <v>-0.61</v>
      </c>
      <c r="CO4">
        <v>25393</v>
      </c>
      <c r="CP4">
        <v>3134</v>
      </c>
      <c r="CQ4" t="s">
        <v>144</v>
      </c>
      <c r="CR4">
        <v>136.44</v>
      </c>
      <c r="CS4">
        <v>73.92</v>
      </c>
      <c r="CT4">
        <v>2.2400000000000002</v>
      </c>
      <c r="CU4">
        <v>-87.8</v>
      </c>
      <c r="CV4">
        <v>33.31</v>
      </c>
      <c r="CW4">
        <v>0</v>
      </c>
      <c r="CX4" t="s">
        <v>145</v>
      </c>
      <c r="CY4">
        <v>8.86</v>
      </c>
      <c r="CZ4">
        <v>8.86</v>
      </c>
      <c r="DA4">
        <v>7.69</v>
      </c>
      <c r="DB4">
        <v>0.54</v>
      </c>
      <c r="DC4">
        <v>-0.23</v>
      </c>
      <c r="DD4">
        <v>94.01</v>
      </c>
      <c r="DE4" t="s">
        <v>146</v>
      </c>
      <c r="DF4">
        <v>59.11</v>
      </c>
      <c r="DG4">
        <v>7.28</v>
      </c>
      <c r="DH4">
        <v>6.54</v>
      </c>
      <c r="DI4">
        <v>0.14000000000000001</v>
      </c>
      <c r="DJ4">
        <v>264</v>
      </c>
      <c r="DK4">
        <v>4</v>
      </c>
      <c r="DL4" t="s">
        <v>120</v>
      </c>
      <c r="DM4" t="s">
        <v>120</v>
      </c>
      <c r="DN4" t="s">
        <v>120</v>
      </c>
    </row>
    <row r="5" spans="1:118">
      <c r="A5" t="str">
        <f>"000006"</f>
        <v>000006</v>
      </c>
      <c r="B5" t="s">
        <v>147</v>
      </c>
      <c r="C5">
        <v>-1.92</v>
      </c>
      <c r="D5">
        <v>0</v>
      </c>
      <c r="E5">
        <v>0.21</v>
      </c>
      <c r="F5">
        <v>960</v>
      </c>
      <c r="G5" t="s">
        <v>148</v>
      </c>
      <c r="H5">
        <v>4356.29</v>
      </c>
      <c r="I5">
        <v>4.97</v>
      </c>
      <c r="J5" t="s">
        <v>120</v>
      </c>
      <c r="K5" t="s">
        <v>149</v>
      </c>
      <c r="L5">
        <v>0.69</v>
      </c>
      <c r="M5">
        <v>4.59</v>
      </c>
      <c r="N5">
        <v>0.83</v>
      </c>
      <c r="O5">
        <v>1.07</v>
      </c>
      <c r="P5">
        <v>4.7300000000000004</v>
      </c>
      <c r="Q5">
        <v>-1.92</v>
      </c>
      <c r="R5">
        <v>4.59</v>
      </c>
      <c r="S5">
        <v>4.6900000000000004</v>
      </c>
      <c r="T5">
        <v>93491</v>
      </c>
      <c r="U5">
        <v>4.5999999999999996</v>
      </c>
      <c r="V5">
        <v>4.68</v>
      </c>
      <c r="W5">
        <v>7.98</v>
      </c>
      <c r="X5" t="s">
        <v>150</v>
      </c>
      <c r="Y5" t="s">
        <v>123</v>
      </c>
      <c r="Z5">
        <v>2.99</v>
      </c>
      <c r="AA5">
        <v>4.66</v>
      </c>
      <c r="AB5">
        <v>60944</v>
      </c>
      <c r="AC5">
        <v>32547</v>
      </c>
      <c r="AD5">
        <v>1.87</v>
      </c>
      <c r="AE5">
        <v>849</v>
      </c>
      <c r="AF5">
        <v>5</v>
      </c>
      <c r="AG5" t="s">
        <v>120</v>
      </c>
      <c r="AH5">
        <v>0</v>
      </c>
      <c r="AI5" t="s">
        <v>120</v>
      </c>
      <c r="AJ5">
        <v>13.5</v>
      </c>
      <c r="AK5" t="s">
        <v>149</v>
      </c>
      <c r="AL5">
        <v>-0.01</v>
      </c>
      <c r="AM5">
        <v>1684</v>
      </c>
      <c r="AN5">
        <v>56</v>
      </c>
      <c r="AO5">
        <v>4.0000000000000002E-4</v>
      </c>
      <c r="AP5">
        <v>-3</v>
      </c>
      <c r="AQ5">
        <v>-0.64</v>
      </c>
      <c r="AR5">
        <v>-5.37</v>
      </c>
      <c r="AS5">
        <v>0.66</v>
      </c>
      <c r="AT5">
        <v>-8.75</v>
      </c>
      <c r="AU5">
        <v>-15.27</v>
      </c>
      <c r="AV5">
        <v>1</v>
      </c>
      <c r="AW5">
        <v>1.1000000000000001</v>
      </c>
      <c r="AX5">
        <v>63.01</v>
      </c>
      <c r="AY5">
        <v>6.1</v>
      </c>
      <c r="AZ5">
        <v>7.31</v>
      </c>
      <c r="BA5">
        <v>0.28999999999999998</v>
      </c>
      <c r="BB5" t="s">
        <v>143</v>
      </c>
      <c r="BF5">
        <v>-0.44</v>
      </c>
      <c r="BG5">
        <v>-2.13</v>
      </c>
      <c r="BH5">
        <v>-2.96</v>
      </c>
      <c r="BI5">
        <v>0</v>
      </c>
      <c r="BJ5">
        <v>20210827</v>
      </c>
      <c r="BK5">
        <v>19920427</v>
      </c>
      <c r="BL5">
        <v>13.5</v>
      </c>
      <c r="BM5" t="s">
        <v>120</v>
      </c>
      <c r="BN5" t="s">
        <v>120</v>
      </c>
      <c r="BO5">
        <v>187.62</v>
      </c>
      <c r="BP5">
        <v>4.59</v>
      </c>
      <c r="BQ5">
        <v>74.92</v>
      </c>
      <c r="BR5">
        <v>4.91</v>
      </c>
      <c r="BS5">
        <v>57.45</v>
      </c>
      <c r="BT5">
        <v>148.24</v>
      </c>
      <c r="BU5">
        <v>0.43</v>
      </c>
      <c r="BV5">
        <v>0</v>
      </c>
      <c r="BW5">
        <v>61.86</v>
      </c>
      <c r="BX5">
        <v>13.38</v>
      </c>
      <c r="BY5">
        <v>107.11</v>
      </c>
      <c r="BZ5">
        <v>0.14000000000000001</v>
      </c>
      <c r="CA5">
        <v>0.01</v>
      </c>
      <c r="CB5">
        <v>4.84</v>
      </c>
      <c r="CC5">
        <v>14.74</v>
      </c>
      <c r="CD5">
        <v>7.77</v>
      </c>
      <c r="CE5">
        <v>5.05</v>
      </c>
      <c r="CF5">
        <v>1.29</v>
      </c>
      <c r="CG5">
        <v>5.0599999999999996</v>
      </c>
      <c r="CH5">
        <v>4.0599999999999996</v>
      </c>
      <c r="CI5">
        <v>3.88</v>
      </c>
      <c r="CJ5">
        <v>-0.09</v>
      </c>
      <c r="CK5">
        <v>3.78</v>
      </c>
      <c r="CL5">
        <v>37.56</v>
      </c>
      <c r="CM5">
        <v>-35.380000000000003</v>
      </c>
      <c r="CN5">
        <v>-6.22</v>
      </c>
      <c r="CO5">
        <v>66873</v>
      </c>
      <c r="CP5">
        <v>12720</v>
      </c>
      <c r="CQ5" t="s">
        <v>151</v>
      </c>
      <c r="CR5">
        <v>78.489999999999995</v>
      </c>
      <c r="CS5">
        <v>22.62</v>
      </c>
      <c r="CT5">
        <v>0.83</v>
      </c>
      <c r="CU5">
        <v>-1.75</v>
      </c>
      <c r="CV5">
        <v>4.2</v>
      </c>
      <c r="CW5">
        <v>4.12</v>
      </c>
      <c r="CX5" t="s">
        <v>152</v>
      </c>
      <c r="CY5">
        <v>5.55</v>
      </c>
      <c r="CZ5">
        <v>0</v>
      </c>
      <c r="DA5">
        <v>0.36</v>
      </c>
      <c r="DB5">
        <v>2.78</v>
      </c>
      <c r="DC5">
        <v>-2.62</v>
      </c>
      <c r="DD5">
        <v>39.93</v>
      </c>
      <c r="DE5" t="s">
        <v>153</v>
      </c>
      <c r="DF5">
        <v>47.31</v>
      </c>
      <c r="DG5">
        <v>34.270000000000003</v>
      </c>
      <c r="DH5">
        <v>26.33</v>
      </c>
      <c r="DI5" t="s">
        <v>120</v>
      </c>
      <c r="DJ5">
        <v>397</v>
      </c>
      <c r="DK5">
        <v>6</v>
      </c>
      <c r="DL5" t="s">
        <v>120</v>
      </c>
      <c r="DM5" t="s">
        <v>120</v>
      </c>
      <c r="DN5" t="s">
        <v>120</v>
      </c>
    </row>
    <row r="6" spans="1:118">
      <c r="A6" t="str">
        <f>"000008"</f>
        <v>000008</v>
      </c>
      <c r="B6" t="s">
        <v>154</v>
      </c>
      <c r="C6">
        <v>-0.83</v>
      </c>
      <c r="D6">
        <v>0</v>
      </c>
      <c r="E6">
        <v>0</v>
      </c>
      <c r="F6">
        <v>6955</v>
      </c>
      <c r="G6" t="s">
        <v>155</v>
      </c>
      <c r="H6">
        <v>5649.99</v>
      </c>
      <c r="I6">
        <v>41.12</v>
      </c>
      <c r="J6" t="s">
        <v>120</v>
      </c>
      <c r="K6" t="s">
        <v>156</v>
      </c>
      <c r="L6">
        <v>0.86</v>
      </c>
      <c r="M6">
        <v>2.4</v>
      </c>
      <c r="N6">
        <v>0.63</v>
      </c>
      <c r="O6">
        <v>2.0699999999999998</v>
      </c>
      <c r="P6">
        <v>2.4700000000000002</v>
      </c>
      <c r="Q6">
        <v>-1.24</v>
      </c>
      <c r="R6">
        <v>2.39</v>
      </c>
      <c r="S6">
        <v>2.42</v>
      </c>
      <c r="T6">
        <v>232801</v>
      </c>
      <c r="U6">
        <v>2.41</v>
      </c>
      <c r="V6">
        <v>2.42</v>
      </c>
      <c r="W6" t="s">
        <v>120</v>
      </c>
      <c r="X6" t="s">
        <v>157</v>
      </c>
      <c r="Y6" t="s">
        <v>158</v>
      </c>
      <c r="Z6">
        <v>3.31</v>
      </c>
      <c r="AA6">
        <v>2.4300000000000002</v>
      </c>
      <c r="AB6">
        <v>133170</v>
      </c>
      <c r="AC6">
        <v>99631</v>
      </c>
      <c r="AD6">
        <v>1.34</v>
      </c>
      <c r="AE6">
        <v>5745</v>
      </c>
      <c r="AF6">
        <v>6438</v>
      </c>
      <c r="AG6" t="s">
        <v>120</v>
      </c>
      <c r="AH6">
        <v>0.01</v>
      </c>
      <c r="AI6" t="s">
        <v>120</v>
      </c>
      <c r="AJ6">
        <v>26.94</v>
      </c>
      <c r="AK6" t="s">
        <v>159</v>
      </c>
      <c r="AL6">
        <v>1.0900000000000001</v>
      </c>
      <c r="AM6">
        <v>2195</v>
      </c>
      <c r="AN6">
        <v>106</v>
      </c>
      <c r="AO6">
        <v>4.0000000000000002E-4</v>
      </c>
      <c r="AP6">
        <v>-1</v>
      </c>
      <c r="AQ6">
        <v>1.68</v>
      </c>
      <c r="AR6">
        <v>-2.04</v>
      </c>
      <c r="AS6">
        <v>14.83</v>
      </c>
      <c r="AT6">
        <v>8.6</v>
      </c>
      <c r="AU6">
        <v>-5.51</v>
      </c>
      <c r="AV6">
        <v>0</v>
      </c>
      <c r="AW6">
        <v>1.43</v>
      </c>
      <c r="AX6">
        <v>58.67</v>
      </c>
      <c r="AY6" t="s">
        <v>120</v>
      </c>
      <c r="AZ6" t="s">
        <v>120</v>
      </c>
      <c r="BA6">
        <v>0.28999999999999998</v>
      </c>
      <c r="BB6" t="s">
        <v>143</v>
      </c>
      <c r="BF6">
        <v>0.28999999999999998</v>
      </c>
      <c r="BG6">
        <v>-0.83</v>
      </c>
      <c r="BH6">
        <v>-2.83</v>
      </c>
      <c r="BI6">
        <v>0.42</v>
      </c>
      <c r="BJ6">
        <v>20210902</v>
      </c>
      <c r="BK6">
        <v>19920507</v>
      </c>
      <c r="BL6">
        <v>27.81</v>
      </c>
      <c r="BM6" t="s">
        <v>120</v>
      </c>
      <c r="BN6" t="s">
        <v>120</v>
      </c>
      <c r="BO6">
        <v>127.46</v>
      </c>
      <c r="BP6">
        <v>2.4</v>
      </c>
      <c r="BQ6">
        <v>63.97</v>
      </c>
      <c r="BR6">
        <v>1.21</v>
      </c>
      <c r="BS6">
        <v>48.86</v>
      </c>
      <c r="BT6">
        <v>55.37</v>
      </c>
      <c r="BU6">
        <v>4.28</v>
      </c>
      <c r="BV6">
        <v>2.94</v>
      </c>
      <c r="BW6">
        <v>46.7</v>
      </c>
      <c r="BX6">
        <v>5.36</v>
      </c>
      <c r="BY6">
        <v>13.16</v>
      </c>
      <c r="BZ6">
        <v>26.77</v>
      </c>
      <c r="CA6" t="s">
        <v>120</v>
      </c>
      <c r="CB6">
        <v>27.93</v>
      </c>
      <c r="CC6">
        <v>5.28</v>
      </c>
      <c r="CD6">
        <v>3.28</v>
      </c>
      <c r="CE6">
        <v>-1.45</v>
      </c>
      <c r="CF6">
        <v>0.4</v>
      </c>
      <c r="CG6">
        <v>-1.46</v>
      </c>
      <c r="CH6">
        <v>-1.48</v>
      </c>
      <c r="CI6">
        <v>-1.49</v>
      </c>
      <c r="CJ6">
        <v>-0.02</v>
      </c>
      <c r="CK6">
        <v>-1.54</v>
      </c>
      <c r="CL6">
        <v>10.029999999999999</v>
      </c>
      <c r="CM6">
        <v>-2.29</v>
      </c>
      <c r="CN6">
        <v>-3.03</v>
      </c>
      <c r="CO6">
        <v>91117</v>
      </c>
      <c r="CP6">
        <v>17904</v>
      </c>
      <c r="CQ6" t="s">
        <v>160</v>
      </c>
      <c r="CR6">
        <v>49.04</v>
      </c>
      <c r="CS6">
        <v>23.99</v>
      </c>
      <c r="CT6">
        <v>1.04</v>
      </c>
      <c r="CU6">
        <v>-29.2</v>
      </c>
      <c r="CV6">
        <v>12.64</v>
      </c>
      <c r="CW6">
        <v>0</v>
      </c>
      <c r="CX6" t="s">
        <v>161</v>
      </c>
      <c r="CY6">
        <v>2.2999999999999998</v>
      </c>
      <c r="CZ6">
        <v>0</v>
      </c>
      <c r="DA6">
        <v>1</v>
      </c>
      <c r="DB6">
        <v>0.36</v>
      </c>
      <c r="DC6">
        <v>-0.08</v>
      </c>
      <c r="DD6">
        <v>50.19</v>
      </c>
      <c r="DE6" t="s">
        <v>162</v>
      </c>
      <c r="DF6">
        <v>37.950000000000003</v>
      </c>
      <c r="DG6">
        <v>-27.43</v>
      </c>
      <c r="DH6">
        <v>-28.18</v>
      </c>
      <c r="DI6">
        <v>0.92</v>
      </c>
      <c r="DJ6">
        <v>2394</v>
      </c>
      <c r="DK6">
        <v>8</v>
      </c>
      <c r="DL6" t="s">
        <v>120</v>
      </c>
      <c r="DM6" t="s">
        <v>120</v>
      </c>
      <c r="DN6" t="s">
        <v>120</v>
      </c>
    </row>
    <row r="7" spans="1:118">
      <c r="A7" t="str">
        <f>"000009"</f>
        <v>000009</v>
      </c>
      <c r="B7" t="s">
        <v>163</v>
      </c>
      <c r="C7">
        <v>-5.84</v>
      </c>
      <c r="D7">
        <v>-0.38</v>
      </c>
      <c r="E7">
        <v>-0.97</v>
      </c>
      <c r="F7">
        <v>15639</v>
      </c>
      <c r="G7" t="s">
        <v>164</v>
      </c>
      <c r="H7">
        <v>212271.73</v>
      </c>
      <c r="I7">
        <v>2582.4299999999998</v>
      </c>
      <c r="J7" t="s">
        <v>120</v>
      </c>
      <c r="K7" t="s">
        <v>165</v>
      </c>
      <c r="L7">
        <v>3.97</v>
      </c>
      <c r="M7">
        <v>20.48</v>
      </c>
      <c r="N7">
        <v>0.66</v>
      </c>
      <c r="O7">
        <v>-0.46</v>
      </c>
      <c r="P7">
        <v>21.65</v>
      </c>
      <c r="Q7">
        <v>-5.84</v>
      </c>
      <c r="R7">
        <v>20.48</v>
      </c>
      <c r="S7">
        <v>21.54</v>
      </c>
      <c r="T7">
        <v>1012505</v>
      </c>
      <c r="U7">
        <v>20.48</v>
      </c>
      <c r="V7">
        <v>21.75</v>
      </c>
      <c r="W7">
        <v>38.82</v>
      </c>
      <c r="X7" t="s">
        <v>166</v>
      </c>
      <c r="Y7" t="s">
        <v>123</v>
      </c>
      <c r="Z7">
        <v>5.38</v>
      </c>
      <c r="AA7">
        <v>20.97</v>
      </c>
      <c r="AB7">
        <v>547090</v>
      </c>
      <c r="AC7">
        <v>465415</v>
      </c>
      <c r="AD7">
        <v>1.18</v>
      </c>
      <c r="AE7">
        <v>350</v>
      </c>
      <c r="AF7">
        <v>541</v>
      </c>
      <c r="AG7" t="s">
        <v>120</v>
      </c>
      <c r="AH7">
        <v>0.06</v>
      </c>
      <c r="AI7" t="s">
        <v>120</v>
      </c>
      <c r="AJ7">
        <v>25.51</v>
      </c>
      <c r="AK7" t="s">
        <v>167</v>
      </c>
      <c r="AL7">
        <v>-3.93</v>
      </c>
      <c r="AM7">
        <v>4719</v>
      </c>
      <c r="AN7">
        <v>215</v>
      </c>
      <c r="AO7">
        <v>8.0000000000000004E-4</v>
      </c>
      <c r="AP7">
        <v>-2</v>
      </c>
      <c r="AQ7">
        <v>-3.07</v>
      </c>
      <c r="AR7">
        <v>0.4</v>
      </c>
      <c r="AS7">
        <v>-23.72</v>
      </c>
      <c r="AT7">
        <v>29.13</v>
      </c>
      <c r="AU7">
        <v>173.07</v>
      </c>
      <c r="AV7">
        <v>13</v>
      </c>
      <c r="AW7">
        <v>5.45</v>
      </c>
      <c r="AX7">
        <v>72.010000000000005</v>
      </c>
      <c r="AY7">
        <v>46.48</v>
      </c>
      <c r="AZ7">
        <v>84.77</v>
      </c>
      <c r="BA7">
        <v>1.67</v>
      </c>
      <c r="BB7" t="s">
        <v>168</v>
      </c>
      <c r="BF7">
        <v>-3.61</v>
      </c>
      <c r="BG7">
        <v>-4.92</v>
      </c>
      <c r="BH7">
        <v>-5.4</v>
      </c>
      <c r="BI7">
        <v>0</v>
      </c>
      <c r="BJ7">
        <v>20210914</v>
      </c>
      <c r="BK7">
        <v>19910625</v>
      </c>
      <c r="BL7">
        <v>25.79</v>
      </c>
      <c r="BM7" t="s">
        <v>120</v>
      </c>
      <c r="BN7" t="s">
        <v>120</v>
      </c>
      <c r="BO7">
        <v>330.51</v>
      </c>
      <c r="BP7">
        <v>20.47</v>
      </c>
      <c r="BQ7">
        <v>75.12</v>
      </c>
      <c r="BR7">
        <v>66.58</v>
      </c>
      <c r="BS7">
        <v>57.13</v>
      </c>
      <c r="BT7">
        <v>219.17</v>
      </c>
      <c r="BU7">
        <v>42.73</v>
      </c>
      <c r="BV7">
        <v>10.96</v>
      </c>
      <c r="BW7">
        <v>127.4</v>
      </c>
      <c r="BX7">
        <v>69.349999999999994</v>
      </c>
      <c r="BY7">
        <v>87.02</v>
      </c>
      <c r="BZ7">
        <v>20.059999999999999</v>
      </c>
      <c r="CA7">
        <v>0.02</v>
      </c>
      <c r="CB7">
        <v>12.28</v>
      </c>
      <c r="CC7">
        <v>80.209999999999994</v>
      </c>
      <c r="CD7">
        <v>55.27</v>
      </c>
      <c r="CE7">
        <v>13.82</v>
      </c>
      <c r="CF7">
        <v>6.05</v>
      </c>
      <c r="CG7">
        <v>13.81</v>
      </c>
      <c r="CH7">
        <v>11.06</v>
      </c>
      <c r="CI7">
        <v>6.8</v>
      </c>
      <c r="CJ7">
        <v>-1.27</v>
      </c>
      <c r="CK7">
        <v>2.64</v>
      </c>
      <c r="CL7">
        <v>34.119999999999997</v>
      </c>
      <c r="CM7">
        <v>1.65</v>
      </c>
      <c r="CN7">
        <v>1.19</v>
      </c>
      <c r="CO7">
        <v>127146</v>
      </c>
      <c r="CP7">
        <v>14608</v>
      </c>
      <c r="CQ7" t="s">
        <v>169</v>
      </c>
      <c r="CR7">
        <v>402.95</v>
      </c>
      <c r="CS7">
        <v>101.73</v>
      </c>
      <c r="CT7">
        <v>7.03</v>
      </c>
      <c r="CU7">
        <v>320.33999999999997</v>
      </c>
      <c r="CV7">
        <v>6.59</v>
      </c>
      <c r="CW7">
        <v>0.14000000000000001</v>
      </c>
      <c r="CX7" t="s">
        <v>170</v>
      </c>
      <c r="CY7">
        <v>2.91</v>
      </c>
      <c r="CZ7">
        <v>0</v>
      </c>
      <c r="DA7">
        <v>0.48</v>
      </c>
      <c r="DB7">
        <v>1.32</v>
      </c>
      <c r="DC7">
        <v>0.06</v>
      </c>
      <c r="DD7">
        <v>22.73</v>
      </c>
      <c r="DE7" t="s">
        <v>171</v>
      </c>
      <c r="DF7">
        <v>31.1</v>
      </c>
      <c r="DG7">
        <v>17.23</v>
      </c>
      <c r="DH7">
        <v>8.48</v>
      </c>
      <c r="DI7">
        <v>3.32</v>
      </c>
      <c r="DJ7">
        <v>13345</v>
      </c>
      <c r="DK7">
        <v>9</v>
      </c>
      <c r="DL7">
        <v>20210914</v>
      </c>
      <c r="DM7">
        <v>22.44</v>
      </c>
      <c r="DN7">
        <v>-8.73</v>
      </c>
    </row>
    <row r="8" spans="1:118">
      <c r="A8" t="str">
        <f>"000010"</f>
        <v>000010</v>
      </c>
      <c r="B8" t="s">
        <v>172</v>
      </c>
      <c r="C8">
        <v>-1.57</v>
      </c>
      <c r="D8">
        <v>0.27</v>
      </c>
      <c r="E8">
        <v>0</v>
      </c>
      <c r="F8">
        <v>1404</v>
      </c>
      <c r="G8" t="s">
        <v>173</v>
      </c>
      <c r="H8">
        <v>1593.64</v>
      </c>
      <c r="I8">
        <v>1.68</v>
      </c>
      <c r="J8" t="s">
        <v>120</v>
      </c>
      <c r="K8" t="s">
        <v>174</v>
      </c>
      <c r="L8">
        <v>0.81</v>
      </c>
      <c r="M8">
        <v>3.76</v>
      </c>
      <c r="N8">
        <v>0.73</v>
      </c>
      <c r="O8">
        <v>0.26</v>
      </c>
      <c r="P8">
        <v>3.83</v>
      </c>
      <c r="Q8">
        <v>-1.83</v>
      </c>
      <c r="R8">
        <v>3.75</v>
      </c>
      <c r="S8">
        <v>3.82</v>
      </c>
      <c r="T8">
        <v>42126</v>
      </c>
      <c r="U8">
        <v>3.76</v>
      </c>
      <c r="V8">
        <v>3.82</v>
      </c>
      <c r="W8">
        <v>193.2</v>
      </c>
      <c r="X8" t="s">
        <v>175</v>
      </c>
      <c r="Y8" t="s">
        <v>123</v>
      </c>
      <c r="Z8">
        <v>2.09</v>
      </c>
      <c r="AA8">
        <v>3.78</v>
      </c>
      <c r="AB8">
        <v>28762</v>
      </c>
      <c r="AC8">
        <v>13364</v>
      </c>
      <c r="AD8">
        <v>2.15</v>
      </c>
      <c r="AE8">
        <v>839</v>
      </c>
      <c r="AF8">
        <v>300</v>
      </c>
      <c r="AG8" t="s">
        <v>120</v>
      </c>
      <c r="AH8">
        <v>0</v>
      </c>
      <c r="AI8" t="s">
        <v>120</v>
      </c>
      <c r="AJ8">
        <v>5.22</v>
      </c>
      <c r="AK8" t="s">
        <v>176</v>
      </c>
      <c r="AL8">
        <v>0.34</v>
      </c>
      <c r="AM8">
        <v>908</v>
      </c>
      <c r="AN8">
        <v>46</v>
      </c>
      <c r="AO8">
        <v>8.9999999999999998E-4</v>
      </c>
      <c r="AP8">
        <v>-1</v>
      </c>
      <c r="AQ8">
        <v>0.26</v>
      </c>
      <c r="AR8">
        <v>-3.35</v>
      </c>
      <c r="AS8">
        <v>2.17</v>
      </c>
      <c r="AT8">
        <v>-4.57</v>
      </c>
      <c r="AU8">
        <v>-3.83</v>
      </c>
      <c r="AV8">
        <v>6</v>
      </c>
      <c r="AW8">
        <v>0.93</v>
      </c>
      <c r="AX8">
        <v>55.09</v>
      </c>
      <c r="AY8">
        <v>80.3</v>
      </c>
      <c r="AZ8">
        <v>78.61</v>
      </c>
      <c r="BA8">
        <v>0.22</v>
      </c>
      <c r="BB8" t="s">
        <v>143</v>
      </c>
      <c r="BF8">
        <v>-0.97</v>
      </c>
      <c r="BG8">
        <v>-1.57</v>
      </c>
      <c r="BH8">
        <v>-1.83</v>
      </c>
      <c r="BI8">
        <v>0.27</v>
      </c>
      <c r="BJ8">
        <v>20210902</v>
      </c>
      <c r="BK8">
        <v>19951027</v>
      </c>
      <c r="BL8">
        <v>8.1999999999999993</v>
      </c>
      <c r="BM8" t="s">
        <v>120</v>
      </c>
      <c r="BN8" t="s">
        <v>120</v>
      </c>
      <c r="BO8">
        <v>37.32</v>
      </c>
      <c r="BP8">
        <v>3.75</v>
      </c>
      <c r="BQ8">
        <v>5</v>
      </c>
      <c r="BR8">
        <v>3.33</v>
      </c>
      <c r="BS8">
        <v>77.66</v>
      </c>
      <c r="BT8">
        <v>29.23</v>
      </c>
      <c r="BU8">
        <v>0.21</v>
      </c>
      <c r="BV8">
        <v>0.02</v>
      </c>
      <c r="BW8">
        <v>27.38</v>
      </c>
      <c r="BX8">
        <v>0.41</v>
      </c>
      <c r="BY8">
        <v>1.91</v>
      </c>
      <c r="BZ8">
        <v>19.32</v>
      </c>
      <c r="CA8" t="s">
        <v>120</v>
      </c>
      <c r="CB8">
        <v>14.82</v>
      </c>
      <c r="CC8">
        <v>5.63</v>
      </c>
      <c r="CD8">
        <v>4.63</v>
      </c>
      <c r="CE8">
        <v>0.22</v>
      </c>
      <c r="CF8">
        <v>0</v>
      </c>
      <c r="CG8">
        <v>0.26</v>
      </c>
      <c r="CH8">
        <v>0.16</v>
      </c>
      <c r="CI8">
        <v>0.08</v>
      </c>
      <c r="CJ8">
        <v>-0.06</v>
      </c>
      <c r="CK8">
        <v>0.05</v>
      </c>
      <c r="CL8">
        <v>-18.100000000000001</v>
      </c>
      <c r="CM8">
        <v>-1.83</v>
      </c>
      <c r="CN8">
        <v>-0.27</v>
      </c>
      <c r="CO8">
        <v>32767</v>
      </c>
      <c r="CP8">
        <v>13784</v>
      </c>
      <c r="CQ8" t="s">
        <v>177</v>
      </c>
      <c r="CR8">
        <v>-9.52</v>
      </c>
      <c r="CS8">
        <v>1.75</v>
      </c>
      <c r="CT8">
        <v>6.16</v>
      </c>
      <c r="CU8">
        <v>-16.84</v>
      </c>
      <c r="CV8">
        <v>5.48</v>
      </c>
      <c r="CW8">
        <v>0</v>
      </c>
      <c r="CX8" t="s">
        <v>178</v>
      </c>
      <c r="CY8">
        <v>0.61</v>
      </c>
      <c r="CZ8">
        <v>0</v>
      </c>
      <c r="DA8">
        <v>1.81</v>
      </c>
      <c r="DB8">
        <v>-2.21</v>
      </c>
      <c r="DC8">
        <v>-0.22</v>
      </c>
      <c r="DD8">
        <v>13.41</v>
      </c>
      <c r="DE8" t="s">
        <v>179</v>
      </c>
      <c r="DF8">
        <v>17.760000000000002</v>
      </c>
      <c r="DG8">
        <v>3.9</v>
      </c>
      <c r="DH8">
        <v>1.42</v>
      </c>
      <c r="DI8" t="s">
        <v>120</v>
      </c>
      <c r="DJ8">
        <v>278</v>
      </c>
      <c r="DK8">
        <v>10</v>
      </c>
      <c r="DL8" t="s">
        <v>120</v>
      </c>
      <c r="DM8" t="s">
        <v>120</v>
      </c>
      <c r="DN8" t="s">
        <v>120</v>
      </c>
    </row>
    <row r="9" spans="1:118">
      <c r="A9" t="str">
        <f>"000011"</f>
        <v>000011</v>
      </c>
      <c r="B9" t="s">
        <v>180</v>
      </c>
      <c r="C9">
        <v>-2.2599999999999998</v>
      </c>
      <c r="D9">
        <v>0.08</v>
      </c>
      <c r="E9">
        <v>0</v>
      </c>
      <c r="F9">
        <v>746</v>
      </c>
      <c r="G9" t="s">
        <v>181</v>
      </c>
      <c r="H9">
        <v>9792.91</v>
      </c>
      <c r="I9">
        <v>16.72</v>
      </c>
      <c r="J9" t="s">
        <v>120</v>
      </c>
      <c r="K9" t="s">
        <v>182</v>
      </c>
      <c r="L9">
        <v>1.47</v>
      </c>
      <c r="M9">
        <v>12.57</v>
      </c>
      <c r="N9">
        <v>1.01</v>
      </c>
      <c r="O9">
        <v>1.79</v>
      </c>
      <c r="P9">
        <v>13.09</v>
      </c>
      <c r="Q9">
        <v>-3.58</v>
      </c>
      <c r="R9">
        <v>12.4</v>
      </c>
      <c r="S9">
        <v>12.86</v>
      </c>
      <c r="T9">
        <v>77356</v>
      </c>
      <c r="U9">
        <v>12.57</v>
      </c>
      <c r="V9">
        <v>12.86</v>
      </c>
      <c r="W9">
        <v>5.54</v>
      </c>
      <c r="X9" t="s">
        <v>150</v>
      </c>
      <c r="Y9" t="s">
        <v>123</v>
      </c>
      <c r="Z9">
        <v>5.37</v>
      </c>
      <c r="AA9">
        <v>12.66</v>
      </c>
      <c r="AB9">
        <v>42707</v>
      </c>
      <c r="AC9">
        <v>34649</v>
      </c>
      <c r="AD9">
        <v>1.23</v>
      </c>
      <c r="AE9">
        <v>30</v>
      </c>
      <c r="AF9">
        <v>9</v>
      </c>
      <c r="AG9" t="s">
        <v>120</v>
      </c>
      <c r="AH9">
        <v>0.01</v>
      </c>
      <c r="AI9" t="s">
        <v>120</v>
      </c>
      <c r="AJ9">
        <v>5.26</v>
      </c>
      <c r="AK9" t="s">
        <v>183</v>
      </c>
      <c r="AL9">
        <v>-0.34</v>
      </c>
      <c r="AM9">
        <v>2769</v>
      </c>
      <c r="AN9">
        <v>28</v>
      </c>
      <c r="AO9">
        <v>5.0000000000000001E-4</v>
      </c>
      <c r="AP9">
        <v>-1</v>
      </c>
      <c r="AQ9">
        <v>0.63</v>
      </c>
      <c r="AR9">
        <v>-2.78</v>
      </c>
      <c r="AS9">
        <v>10.07</v>
      </c>
      <c r="AT9">
        <v>3.88</v>
      </c>
      <c r="AU9">
        <v>6.88</v>
      </c>
      <c r="AV9">
        <v>4</v>
      </c>
      <c r="AW9">
        <v>4.1399999999999997</v>
      </c>
      <c r="AX9">
        <v>31.38</v>
      </c>
      <c r="AY9">
        <v>6.07</v>
      </c>
      <c r="AZ9">
        <v>9.6</v>
      </c>
      <c r="BA9">
        <v>0.37</v>
      </c>
      <c r="BB9" t="s">
        <v>184</v>
      </c>
      <c r="BF9">
        <v>-1.56</v>
      </c>
      <c r="BG9">
        <v>-2.2599999999999998</v>
      </c>
      <c r="BH9">
        <v>-3.97</v>
      </c>
      <c r="BI9">
        <v>1.37</v>
      </c>
      <c r="BJ9">
        <v>20210830</v>
      </c>
      <c r="BK9">
        <v>19920330</v>
      </c>
      <c r="BL9">
        <v>5.96</v>
      </c>
      <c r="BM9">
        <v>0.68</v>
      </c>
      <c r="BN9" t="s">
        <v>120</v>
      </c>
      <c r="BO9">
        <v>132.84</v>
      </c>
      <c r="BP9">
        <v>12.56</v>
      </c>
      <c r="BQ9">
        <v>41.59</v>
      </c>
      <c r="BR9">
        <v>0.46</v>
      </c>
      <c r="BS9">
        <v>68.349999999999994</v>
      </c>
      <c r="BT9">
        <v>114.48</v>
      </c>
      <c r="BU9">
        <v>1.0900000000000001</v>
      </c>
      <c r="BV9">
        <v>0</v>
      </c>
      <c r="BW9">
        <v>53.99</v>
      </c>
      <c r="BX9">
        <v>49.71</v>
      </c>
      <c r="BY9">
        <v>52.9</v>
      </c>
      <c r="BZ9">
        <v>2.6</v>
      </c>
      <c r="CA9">
        <v>0.01</v>
      </c>
      <c r="CB9">
        <v>0.8</v>
      </c>
      <c r="CC9">
        <v>25.41</v>
      </c>
      <c r="CD9">
        <v>7.54</v>
      </c>
      <c r="CE9">
        <v>8.5500000000000007</v>
      </c>
      <c r="CF9">
        <v>0.03</v>
      </c>
      <c r="CG9">
        <v>8.6300000000000008</v>
      </c>
      <c r="CH9">
        <v>6.69</v>
      </c>
      <c r="CI9">
        <v>6.76</v>
      </c>
      <c r="CJ9">
        <v>-0.28999999999999998</v>
      </c>
      <c r="CK9">
        <v>6.7</v>
      </c>
      <c r="CL9">
        <v>34.71</v>
      </c>
      <c r="CM9">
        <v>11.38</v>
      </c>
      <c r="CN9">
        <v>7.86</v>
      </c>
      <c r="CO9">
        <v>51397</v>
      </c>
      <c r="CP9">
        <v>4954</v>
      </c>
      <c r="CQ9" t="s">
        <v>185</v>
      </c>
      <c r="CR9">
        <v>219.09</v>
      </c>
      <c r="CS9">
        <v>78.8</v>
      </c>
      <c r="CT9">
        <v>1.8</v>
      </c>
      <c r="CU9">
        <v>6.59</v>
      </c>
      <c r="CV9">
        <v>2.95</v>
      </c>
      <c r="CW9">
        <v>3.19</v>
      </c>
      <c r="CX9" t="s">
        <v>186</v>
      </c>
      <c r="CY9">
        <v>6.98</v>
      </c>
      <c r="CZ9">
        <v>0</v>
      </c>
      <c r="DA9">
        <v>0.14000000000000001</v>
      </c>
      <c r="DB9">
        <v>5.82</v>
      </c>
      <c r="DC9">
        <v>1.91</v>
      </c>
      <c r="DD9">
        <v>31.31</v>
      </c>
      <c r="DE9" t="s">
        <v>187</v>
      </c>
      <c r="DF9">
        <v>70.31</v>
      </c>
      <c r="DG9">
        <v>33.65</v>
      </c>
      <c r="DH9">
        <v>26.62</v>
      </c>
      <c r="DI9" t="s">
        <v>120</v>
      </c>
      <c r="DJ9">
        <v>8035</v>
      </c>
      <c r="DK9">
        <v>11</v>
      </c>
      <c r="DL9" t="s">
        <v>120</v>
      </c>
      <c r="DM9" t="s">
        <v>120</v>
      </c>
      <c r="DN9" t="s">
        <v>120</v>
      </c>
    </row>
    <row r="10" spans="1:118">
      <c r="A10" t="str">
        <f>"000012"</f>
        <v>000012</v>
      </c>
      <c r="B10" t="s">
        <v>188</v>
      </c>
      <c r="C10">
        <v>-7.81</v>
      </c>
      <c r="D10">
        <v>-0.08</v>
      </c>
      <c r="E10">
        <v>-1.22</v>
      </c>
      <c r="F10">
        <v>12743</v>
      </c>
      <c r="G10" t="s">
        <v>189</v>
      </c>
      <c r="H10">
        <v>123837.1</v>
      </c>
      <c r="I10">
        <v>392.27</v>
      </c>
      <c r="J10" t="s">
        <v>120</v>
      </c>
      <c r="K10" t="s">
        <v>190</v>
      </c>
      <c r="L10">
        <v>5.77</v>
      </c>
      <c r="M10">
        <v>10.62</v>
      </c>
      <c r="N10">
        <v>1.24</v>
      </c>
      <c r="O10">
        <v>-1.22</v>
      </c>
      <c r="P10">
        <v>11.38</v>
      </c>
      <c r="Q10">
        <v>-7.99</v>
      </c>
      <c r="R10">
        <v>10.6</v>
      </c>
      <c r="S10">
        <v>11.38</v>
      </c>
      <c r="T10">
        <v>1129022</v>
      </c>
      <c r="U10">
        <v>10.62</v>
      </c>
      <c r="V10">
        <v>11.52</v>
      </c>
      <c r="W10">
        <v>12.06</v>
      </c>
      <c r="X10" t="s">
        <v>191</v>
      </c>
      <c r="Y10" t="s">
        <v>123</v>
      </c>
      <c r="Z10">
        <v>6.77</v>
      </c>
      <c r="AA10">
        <v>10.97</v>
      </c>
      <c r="AB10">
        <v>617519</v>
      </c>
      <c r="AC10">
        <v>511503</v>
      </c>
      <c r="AD10">
        <v>1.21</v>
      </c>
      <c r="AE10">
        <v>2673</v>
      </c>
      <c r="AF10">
        <v>2926</v>
      </c>
      <c r="AG10" t="s">
        <v>120</v>
      </c>
      <c r="AH10">
        <v>0.03</v>
      </c>
      <c r="AI10" t="s">
        <v>120</v>
      </c>
      <c r="AJ10">
        <v>19.57</v>
      </c>
      <c r="AK10" t="s">
        <v>192</v>
      </c>
      <c r="AL10">
        <v>-5.9</v>
      </c>
      <c r="AM10">
        <v>4699</v>
      </c>
      <c r="AN10">
        <v>240</v>
      </c>
      <c r="AO10">
        <v>1.1999999999999999E-3</v>
      </c>
      <c r="AP10">
        <v>-1</v>
      </c>
      <c r="AQ10">
        <v>1.68</v>
      </c>
      <c r="AR10">
        <v>-7</v>
      </c>
      <c r="AS10">
        <v>-6.35</v>
      </c>
      <c r="AT10">
        <v>2.41</v>
      </c>
      <c r="AU10">
        <v>45.88</v>
      </c>
      <c r="AV10">
        <v>5</v>
      </c>
      <c r="AW10">
        <v>9.25</v>
      </c>
      <c r="AX10">
        <v>39.75</v>
      </c>
      <c r="AY10">
        <v>20.329999999999998</v>
      </c>
      <c r="AZ10">
        <v>45.39</v>
      </c>
      <c r="BA10">
        <v>0.79</v>
      </c>
      <c r="BB10" t="s">
        <v>143</v>
      </c>
      <c r="BF10">
        <v>-4.79</v>
      </c>
      <c r="BG10">
        <v>-6.68</v>
      </c>
      <c r="BH10">
        <v>-6.68</v>
      </c>
      <c r="BI10">
        <v>0.19</v>
      </c>
      <c r="BJ10">
        <v>20210909</v>
      </c>
      <c r="BK10">
        <v>19920228</v>
      </c>
      <c r="BL10">
        <v>30.71</v>
      </c>
      <c r="BM10">
        <v>11.09</v>
      </c>
      <c r="BN10" t="s">
        <v>120</v>
      </c>
      <c r="BO10">
        <v>185.63</v>
      </c>
      <c r="BP10">
        <v>10.61</v>
      </c>
      <c r="BQ10">
        <v>112.59</v>
      </c>
      <c r="BR10">
        <v>4.1900000000000004</v>
      </c>
      <c r="BS10">
        <v>37.090000000000003</v>
      </c>
      <c r="BT10">
        <v>50.17</v>
      </c>
      <c r="BU10">
        <v>87.42</v>
      </c>
      <c r="BV10">
        <v>11.73</v>
      </c>
      <c r="BW10">
        <v>30.19</v>
      </c>
      <c r="BX10">
        <v>16.489999999999998</v>
      </c>
      <c r="BY10">
        <v>10.54</v>
      </c>
      <c r="BZ10">
        <v>8.42</v>
      </c>
      <c r="CA10" t="s">
        <v>120</v>
      </c>
      <c r="CB10">
        <v>5.97</v>
      </c>
      <c r="CC10">
        <v>66.150000000000006</v>
      </c>
      <c r="CD10">
        <v>41.27</v>
      </c>
      <c r="CE10">
        <v>16.329999999999998</v>
      </c>
      <c r="CF10">
        <v>0.04</v>
      </c>
      <c r="CG10">
        <v>16.239999999999998</v>
      </c>
      <c r="CH10">
        <v>13.69</v>
      </c>
      <c r="CI10">
        <v>13.53</v>
      </c>
      <c r="CJ10">
        <v>-0.9</v>
      </c>
      <c r="CK10">
        <v>13.3</v>
      </c>
      <c r="CL10">
        <v>63.82</v>
      </c>
      <c r="CM10">
        <v>16.98</v>
      </c>
      <c r="CN10">
        <v>-4.75</v>
      </c>
      <c r="CO10">
        <v>151200</v>
      </c>
      <c r="CP10">
        <v>15410</v>
      </c>
      <c r="CQ10" t="s">
        <v>193</v>
      </c>
      <c r="CR10">
        <v>245.5</v>
      </c>
      <c r="CS10">
        <v>49.51</v>
      </c>
      <c r="CT10">
        <v>2.9</v>
      </c>
      <c r="CU10">
        <v>19.2</v>
      </c>
      <c r="CV10">
        <v>4.93</v>
      </c>
      <c r="CW10">
        <v>0.87</v>
      </c>
      <c r="CX10" t="s">
        <v>194</v>
      </c>
      <c r="CY10">
        <v>3.67</v>
      </c>
      <c r="CZ10">
        <v>0</v>
      </c>
      <c r="DA10">
        <v>0.19</v>
      </c>
      <c r="DB10">
        <v>2.08</v>
      </c>
      <c r="DC10">
        <v>0.55000000000000004</v>
      </c>
      <c r="DD10">
        <v>60.65</v>
      </c>
      <c r="DE10" t="s">
        <v>195</v>
      </c>
      <c r="DF10">
        <v>37.619999999999997</v>
      </c>
      <c r="DG10">
        <v>24.69</v>
      </c>
      <c r="DH10">
        <v>20.45</v>
      </c>
      <c r="DI10">
        <v>2.25</v>
      </c>
      <c r="DJ10">
        <v>10558</v>
      </c>
      <c r="DK10">
        <v>12</v>
      </c>
      <c r="DL10" t="s">
        <v>120</v>
      </c>
      <c r="DM10" t="s">
        <v>120</v>
      </c>
      <c r="DN10" t="s">
        <v>120</v>
      </c>
    </row>
    <row r="11" spans="1:118">
      <c r="A11" t="str">
        <f>"000014"</f>
        <v>000014</v>
      </c>
      <c r="B11" t="s">
        <v>196</v>
      </c>
      <c r="C11">
        <v>1.07</v>
      </c>
      <c r="D11">
        <v>0</v>
      </c>
      <c r="E11">
        <v>-0.13</v>
      </c>
      <c r="F11">
        <v>239</v>
      </c>
      <c r="G11" t="s">
        <v>197</v>
      </c>
      <c r="H11">
        <v>2889.67</v>
      </c>
      <c r="I11">
        <v>2.4</v>
      </c>
      <c r="J11" t="s">
        <v>120</v>
      </c>
      <c r="K11" t="s">
        <v>198</v>
      </c>
      <c r="L11">
        <v>1.9</v>
      </c>
      <c r="M11">
        <v>7.58</v>
      </c>
      <c r="N11">
        <v>2.4500000000000002</v>
      </c>
      <c r="O11">
        <v>1.87</v>
      </c>
      <c r="P11">
        <v>7.64</v>
      </c>
      <c r="Q11">
        <v>-0.53</v>
      </c>
      <c r="R11">
        <v>7.46</v>
      </c>
      <c r="S11">
        <v>7.49</v>
      </c>
      <c r="T11">
        <v>38249</v>
      </c>
      <c r="U11">
        <v>7.59</v>
      </c>
      <c r="V11">
        <v>7.5</v>
      </c>
      <c r="W11" t="s">
        <v>120</v>
      </c>
      <c r="X11" t="s">
        <v>132</v>
      </c>
      <c r="Y11" t="s">
        <v>123</v>
      </c>
      <c r="Z11">
        <v>2.4</v>
      </c>
      <c r="AA11">
        <v>7.55</v>
      </c>
      <c r="AB11">
        <v>14271</v>
      </c>
      <c r="AC11">
        <v>23978</v>
      </c>
      <c r="AD11">
        <v>0.6</v>
      </c>
      <c r="AE11">
        <v>36</v>
      </c>
      <c r="AF11">
        <v>25</v>
      </c>
      <c r="AG11" t="s">
        <v>120</v>
      </c>
      <c r="AH11">
        <v>0</v>
      </c>
      <c r="AI11" t="s">
        <v>120</v>
      </c>
      <c r="AJ11">
        <v>2.02</v>
      </c>
      <c r="AK11" t="s">
        <v>198</v>
      </c>
      <c r="AL11">
        <v>2.98</v>
      </c>
      <c r="AM11">
        <v>955</v>
      </c>
      <c r="AN11">
        <v>40</v>
      </c>
      <c r="AO11">
        <v>2E-3</v>
      </c>
      <c r="AP11">
        <v>2</v>
      </c>
      <c r="AQ11">
        <v>0.81</v>
      </c>
      <c r="AR11">
        <v>1.89</v>
      </c>
      <c r="AS11">
        <v>9.06</v>
      </c>
      <c r="AT11">
        <v>-2.2000000000000002</v>
      </c>
      <c r="AU11">
        <v>-8.36</v>
      </c>
      <c r="AV11">
        <v>2</v>
      </c>
      <c r="AW11">
        <v>2.87</v>
      </c>
      <c r="AX11">
        <v>65.98</v>
      </c>
      <c r="AY11" t="s">
        <v>120</v>
      </c>
      <c r="AZ11">
        <v>345.84</v>
      </c>
      <c r="BA11">
        <v>0.43</v>
      </c>
      <c r="BB11" t="s">
        <v>184</v>
      </c>
      <c r="BF11">
        <v>0.73</v>
      </c>
      <c r="BG11">
        <v>1.2</v>
      </c>
      <c r="BH11">
        <v>-0.79</v>
      </c>
      <c r="BI11">
        <v>1.61</v>
      </c>
      <c r="BJ11">
        <v>20210827</v>
      </c>
      <c r="BK11">
        <v>19920602</v>
      </c>
      <c r="BL11">
        <v>2.02</v>
      </c>
      <c r="BM11" t="s">
        <v>120</v>
      </c>
      <c r="BN11" t="s">
        <v>120</v>
      </c>
      <c r="BO11">
        <v>25.31</v>
      </c>
      <c r="BP11">
        <v>7.58</v>
      </c>
      <c r="BQ11">
        <v>8.7100000000000009</v>
      </c>
      <c r="BR11">
        <v>0.6</v>
      </c>
      <c r="BS11">
        <v>63.23</v>
      </c>
      <c r="BT11">
        <v>23.81</v>
      </c>
      <c r="BU11">
        <v>0.25</v>
      </c>
      <c r="BV11">
        <v>0</v>
      </c>
      <c r="BW11">
        <v>14.41</v>
      </c>
      <c r="BX11">
        <v>3.8</v>
      </c>
      <c r="BY11">
        <v>18.600000000000001</v>
      </c>
      <c r="BZ11">
        <v>0.02</v>
      </c>
      <c r="CA11">
        <v>0</v>
      </c>
      <c r="CB11">
        <v>0.1</v>
      </c>
      <c r="CC11">
        <v>0.18</v>
      </c>
      <c r="CD11">
        <v>0.13</v>
      </c>
      <c r="CE11">
        <v>-0.34</v>
      </c>
      <c r="CF11">
        <v>0</v>
      </c>
      <c r="CG11">
        <v>-0.28000000000000003</v>
      </c>
      <c r="CH11">
        <v>-0.21</v>
      </c>
      <c r="CI11">
        <v>-0.21</v>
      </c>
      <c r="CJ11">
        <v>0.08</v>
      </c>
      <c r="CK11">
        <v>-0.26</v>
      </c>
      <c r="CL11">
        <v>4.2699999999999996</v>
      </c>
      <c r="CM11">
        <v>-0.22</v>
      </c>
      <c r="CN11">
        <v>-0.85</v>
      </c>
      <c r="CO11">
        <v>21042</v>
      </c>
      <c r="CP11">
        <v>6325</v>
      </c>
      <c r="CQ11" t="s">
        <v>199</v>
      </c>
      <c r="CR11">
        <v>-191.77</v>
      </c>
      <c r="CS11">
        <v>-91.51</v>
      </c>
      <c r="CT11">
        <v>1.76</v>
      </c>
      <c r="CU11">
        <v>-68.86</v>
      </c>
      <c r="CV11">
        <v>85.54</v>
      </c>
      <c r="CW11">
        <v>0.11</v>
      </c>
      <c r="CX11" t="s">
        <v>200</v>
      </c>
      <c r="CY11">
        <v>4.32</v>
      </c>
      <c r="CZ11">
        <v>0</v>
      </c>
      <c r="DA11">
        <v>0.05</v>
      </c>
      <c r="DB11">
        <v>2.12</v>
      </c>
      <c r="DC11">
        <v>-0.11</v>
      </c>
      <c r="DD11">
        <v>34.42</v>
      </c>
      <c r="DE11" t="s">
        <v>201</v>
      </c>
      <c r="DF11">
        <v>28.6</v>
      </c>
      <c r="DG11">
        <v>-188.37</v>
      </c>
      <c r="DH11">
        <v>-120.07</v>
      </c>
      <c r="DI11" t="s">
        <v>120</v>
      </c>
      <c r="DJ11">
        <v>153</v>
      </c>
      <c r="DK11">
        <v>14</v>
      </c>
      <c r="DL11" t="s">
        <v>120</v>
      </c>
      <c r="DM11" t="s">
        <v>120</v>
      </c>
      <c r="DN11" t="s">
        <v>120</v>
      </c>
    </row>
    <row r="12" spans="1:118">
      <c r="A12" t="str">
        <f>"000016"</f>
        <v>000016</v>
      </c>
      <c r="B12" t="s">
        <v>202</v>
      </c>
      <c r="C12">
        <v>0.4</v>
      </c>
      <c r="D12">
        <v>0.13</v>
      </c>
      <c r="E12">
        <v>0</v>
      </c>
      <c r="F12">
        <v>4346</v>
      </c>
      <c r="G12" t="s">
        <v>203</v>
      </c>
      <c r="H12">
        <v>34337.43</v>
      </c>
      <c r="I12">
        <v>90.67</v>
      </c>
      <c r="J12" t="s">
        <v>120</v>
      </c>
      <c r="K12" t="s">
        <v>204</v>
      </c>
      <c r="L12">
        <v>2.83</v>
      </c>
      <c r="M12">
        <v>7.45</v>
      </c>
      <c r="N12">
        <v>0.52</v>
      </c>
      <c r="O12">
        <v>6.33</v>
      </c>
      <c r="P12">
        <v>7.89</v>
      </c>
      <c r="Q12">
        <v>-0.94</v>
      </c>
      <c r="R12">
        <v>7.35</v>
      </c>
      <c r="S12">
        <v>7.42</v>
      </c>
      <c r="T12">
        <v>452266</v>
      </c>
      <c r="U12">
        <v>7.46</v>
      </c>
      <c r="V12">
        <v>7.42</v>
      </c>
      <c r="W12">
        <v>104.97</v>
      </c>
      <c r="X12" t="s">
        <v>205</v>
      </c>
      <c r="Y12" t="s">
        <v>123</v>
      </c>
      <c r="Z12">
        <v>7.28</v>
      </c>
      <c r="AA12">
        <v>7.59</v>
      </c>
      <c r="AB12">
        <v>244483</v>
      </c>
      <c r="AC12">
        <v>207783</v>
      </c>
      <c r="AD12">
        <v>1.18</v>
      </c>
      <c r="AE12">
        <v>1688</v>
      </c>
      <c r="AF12">
        <v>303</v>
      </c>
      <c r="AG12" t="s">
        <v>120</v>
      </c>
      <c r="AH12">
        <v>0.01</v>
      </c>
      <c r="AI12" t="s">
        <v>120</v>
      </c>
      <c r="AJ12">
        <v>15.97</v>
      </c>
      <c r="AK12" t="s">
        <v>206</v>
      </c>
      <c r="AL12">
        <v>2.3199999999999998</v>
      </c>
      <c r="AM12">
        <v>3576</v>
      </c>
      <c r="AN12">
        <v>126</v>
      </c>
      <c r="AO12">
        <v>8.0000000000000004E-4</v>
      </c>
      <c r="AP12">
        <v>2</v>
      </c>
      <c r="AQ12">
        <v>5.7</v>
      </c>
      <c r="AR12">
        <v>-3.12</v>
      </c>
      <c r="AS12">
        <v>-1.32</v>
      </c>
      <c r="AT12">
        <v>14.09</v>
      </c>
      <c r="AU12">
        <v>14.44</v>
      </c>
      <c r="AV12">
        <v>1</v>
      </c>
      <c r="AW12">
        <v>4.22</v>
      </c>
      <c r="AX12">
        <v>44.55</v>
      </c>
      <c r="AY12">
        <v>38.15</v>
      </c>
      <c r="AZ12">
        <v>37.409999999999997</v>
      </c>
      <c r="BA12">
        <v>0.4</v>
      </c>
      <c r="BB12" t="s">
        <v>143</v>
      </c>
      <c r="BF12">
        <v>2.3199999999999998</v>
      </c>
      <c r="BG12">
        <v>0.4</v>
      </c>
      <c r="BH12">
        <v>-5.58</v>
      </c>
      <c r="BI12">
        <v>1.36</v>
      </c>
      <c r="BJ12">
        <v>20210908</v>
      </c>
      <c r="BK12">
        <v>19920327</v>
      </c>
      <c r="BL12">
        <v>24.08</v>
      </c>
      <c r="BM12">
        <v>8.11</v>
      </c>
      <c r="BN12" t="s">
        <v>120</v>
      </c>
      <c r="BO12">
        <v>516.48</v>
      </c>
      <c r="BP12">
        <v>7.45</v>
      </c>
      <c r="BQ12">
        <v>82.77</v>
      </c>
      <c r="BR12">
        <v>23.17</v>
      </c>
      <c r="BS12">
        <v>79.489999999999995</v>
      </c>
      <c r="BT12">
        <v>259.88</v>
      </c>
      <c r="BU12">
        <v>33.549999999999997</v>
      </c>
      <c r="BV12">
        <v>11.7</v>
      </c>
      <c r="BW12">
        <v>291.52999999999997</v>
      </c>
      <c r="BX12">
        <v>58.09</v>
      </c>
      <c r="BY12">
        <v>51.59</v>
      </c>
      <c r="BZ12">
        <v>45.5</v>
      </c>
      <c r="CA12" t="s">
        <v>120</v>
      </c>
      <c r="CB12">
        <v>2.34</v>
      </c>
      <c r="CC12">
        <v>218.1</v>
      </c>
      <c r="CD12">
        <v>208.17</v>
      </c>
      <c r="CE12">
        <v>1.6</v>
      </c>
      <c r="CF12">
        <v>3.22</v>
      </c>
      <c r="CG12">
        <v>1.75</v>
      </c>
      <c r="CH12">
        <v>0.91</v>
      </c>
      <c r="CI12">
        <v>0.85</v>
      </c>
      <c r="CJ12">
        <v>0.03</v>
      </c>
      <c r="CK12">
        <v>-7.1</v>
      </c>
      <c r="CL12">
        <v>44.4</v>
      </c>
      <c r="CM12">
        <v>-12.85</v>
      </c>
      <c r="CN12">
        <v>8.69</v>
      </c>
      <c r="CO12">
        <v>89266</v>
      </c>
      <c r="CP12">
        <v>21107</v>
      </c>
      <c r="CQ12" t="s">
        <v>207</v>
      </c>
      <c r="CR12">
        <v>-9.77</v>
      </c>
      <c r="CS12">
        <v>24.46</v>
      </c>
      <c r="CT12">
        <v>2.17</v>
      </c>
      <c r="CU12">
        <v>-13.96</v>
      </c>
      <c r="CV12">
        <v>0.82</v>
      </c>
      <c r="CW12">
        <v>1.35</v>
      </c>
      <c r="CX12" t="s">
        <v>208</v>
      </c>
      <c r="CY12">
        <v>3.44</v>
      </c>
      <c r="CZ12">
        <v>0</v>
      </c>
      <c r="DA12">
        <v>0.1</v>
      </c>
      <c r="DB12">
        <v>1.84</v>
      </c>
      <c r="DC12">
        <v>-0.53</v>
      </c>
      <c r="DD12">
        <v>16.03</v>
      </c>
      <c r="DE12" t="s">
        <v>209</v>
      </c>
      <c r="DF12">
        <v>4.55</v>
      </c>
      <c r="DG12">
        <v>0.73</v>
      </c>
      <c r="DH12">
        <v>0.39</v>
      </c>
      <c r="DI12">
        <v>2.85</v>
      </c>
      <c r="DJ12">
        <v>17216</v>
      </c>
      <c r="DK12">
        <v>16</v>
      </c>
      <c r="DL12" t="s">
        <v>120</v>
      </c>
      <c r="DM12" t="s">
        <v>120</v>
      </c>
      <c r="DN12" t="s">
        <v>120</v>
      </c>
    </row>
    <row r="13" spans="1:118">
      <c r="A13" t="str">
        <f>"000017"</f>
        <v>000017</v>
      </c>
      <c r="B13" t="s">
        <v>210</v>
      </c>
      <c r="C13">
        <v>-0.52</v>
      </c>
      <c r="D13">
        <v>0.26</v>
      </c>
      <c r="E13">
        <v>0.78</v>
      </c>
      <c r="F13">
        <v>582</v>
      </c>
      <c r="G13" t="s">
        <v>211</v>
      </c>
      <c r="H13">
        <v>3410.74</v>
      </c>
      <c r="I13">
        <v>6.91</v>
      </c>
      <c r="J13" t="s">
        <v>120</v>
      </c>
      <c r="K13" t="s">
        <v>212</v>
      </c>
      <c r="L13">
        <v>2.95</v>
      </c>
      <c r="M13">
        <v>3.81</v>
      </c>
      <c r="N13">
        <v>1.35</v>
      </c>
      <c r="O13">
        <v>2.09</v>
      </c>
      <c r="P13">
        <v>3.91</v>
      </c>
      <c r="Q13">
        <v>-2.61</v>
      </c>
      <c r="R13">
        <v>3.73</v>
      </c>
      <c r="S13">
        <v>3.86</v>
      </c>
      <c r="T13">
        <v>89319</v>
      </c>
      <c r="U13">
        <v>3.82</v>
      </c>
      <c r="V13">
        <v>3.83</v>
      </c>
      <c r="W13">
        <v>769.29</v>
      </c>
      <c r="X13" t="s">
        <v>213</v>
      </c>
      <c r="Y13" t="s">
        <v>123</v>
      </c>
      <c r="Z13">
        <v>4.7</v>
      </c>
      <c r="AA13">
        <v>3.82</v>
      </c>
      <c r="AB13">
        <v>41577</v>
      </c>
      <c r="AC13">
        <v>47742</v>
      </c>
      <c r="AD13">
        <v>0.87</v>
      </c>
      <c r="AE13">
        <v>40</v>
      </c>
      <c r="AF13">
        <v>222</v>
      </c>
      <c r="AG13" t="s">
        <v>120</v>
      </c>
      <c r="AH13">
        <v>0.01</v>
      </c>
      <c r="AI13" t="s">
        <v>120</v>
      </c>
      <c r="AJ13">
        <v>3.03</v>
      </c>
      <c r="AK13" t="s">
        <v>214</v>
      </c>
      <c r="AL13">
        <v>1.39</v>
      </c>
      <c r="AM13">
        <v>951</v>
      </c>
      <c r="AN13">
        <v>94</v>
      </c>
      <c r="AO13">
        <v>3.0999999999999999E-3</v>
      </c>
      <c r="AP13">
        <v>-1</v>
      </c>
      <c r="AQ13">
        <v>0</v>
      </c>
      <c r="AR13">
        <v>-3.3</v>
      </c>
      <c r="AS13">
        <v>2.97</v>
      </c>
      <c r="AT13">
        <v>7.02</v>
      </c>
      <c r="AU13">
        <v>58.09</v>
      </c>
      <c r="AV13">
        <v>14</v>
      </c>
      <c r="AW13">
        <v>3.73</v>
      </c>
      <c r="AX13">
        <v>43.43</v>
      </c>
      <c r="AY13">
        <v>897.17</v>
      </c>
      <c r="AZ13">
        <v>557.78</v>
      </c>
      <c r="BA13">
        <v>0.89</v>
      </c>
      <c r="BB13" t="s">
        <v>125</v>
      </c>
      <c r="BF13">
        <v>-0.3</v>
      </c>
      <c r="BG13">
        <v>-1.3</v>
      </c>
      <c r="BH13">
        <v>-2.56</v>
      </c>
      <c r="BI13">
        <v>2.14</v>
      </c>
      <c r="BJ13">
        <v>20210827</v>
      </c>
      <c r="BK13">
        <v>19920331</v>
      </c>
      <c r="BL13">
        <v>5.51</v>
      </c>
      <c r="BM13">
        <v>2.48</v>
      </c>
      <c r="BN13" t="s">
        <v>120</v>
      </c>
      <c r="BO13">
        <v>0.95</v>
      </c>
      <c r="BP13">
        <v>3.81</v>
      </c>
      <c r="BQ13">
        <v>0.12</v>
      </c>
      <c r="BR13">
        <v>0.15</v>
      </c>
      <c r="BS13">
        <v>71.2</v>
      </c>
      <c r="BT13">
        <v>0.89</v>
      </c>
      <c r="BU13">
        <v>0.04</v>
      </c>
      <c r="BV13">
        <v>0</v>
      </c>
      <c r="BW13">
        <v>0.67</v>
      </c>
      <c r="BX13">
        <v>0.17</v>
      </c>
      <c r="BY13">
        <v>0.08</v>
      </c>
      <c r="BZ13">
        <v>0.56000000000000005</v>
      </c>
      <c r="CA13" t="s">
        <v>120</v>
      </c>
      <c r="CB13">
        <v>6.28</v>
      </c>
      <c r="CC13">
        <v>0.54</v>
      </c>
      <c r="CD13">
        <v>0.49</v>
      </c>
      <c r="CE13">
        <v>0.01</v>
      </c>
      <c r="CF13">
        <v>0</v>
      </c>
      <c r="CG13">
        <v>0.02</v>
      </c>
      <c r="CH13">
        <v>0.02</v>
      </c>
      <c r="CI13">
        <v>0.01</v>
      </c>
      <c r="CJ13">
        <v>-0.02</v>
      </c>
      <c r="CK13">
        <v>0</v>
      </c>
      <c r="CL13">
        <v>-12</v>
      </c>
      <c r="CM13">
        <v>-0.02</v>
      </c>
      <c r="CN13">
        <v>-0.02</v>
      </c>
      <c r="CO13">
        <v>40691</v>
      </c>
      <c r="CP13">
        <v>11989</v>
      </c>
      <c r="CQ13" t="s">
        <v>215</v>
      </c>
      <c r="CR13">
        <v>-51.2</v>
      </c>
      <c r="CS13">
        <v>26.9</v>
      </c>
      <c r="CT13">
        <v>171.19</v>
      </c>
      <c r="CU13">
        <v>-858.42</v>
      </c>
      <c r="CV13">
        <v>38.81</v>
      </c>
      <c r="CW13">
        <v>0</v>
      </c>
      <c r="CX13" t="s">
        <v>216</v>
      </c>
      <c r="CY13">
        <v>0.02</v>
      </c>
      <c r="CZ13">
        <v>0</v>
      </c>
      <c r="DA13">
        <v>1.1399999999999999</v>
      </c>
      <c r="DB13">
        <v>-2.1800000000000002</v>
      </c>
      <c r="DC13">
        <v>0</v>
      </c>
      <c r="DD13">
        <v>12.98</v>
      </c>
      <c r="DE13" t="s">
        <v>217</v>
      </c>
      <c r="DF13">
        <v>10.23</v>
      </c>
      <c r="DG13">
        <v>2.37</v>
      </c>
      <c r="DH13">
        <v>2.52</v>
      </c>
      <c r="DI13">
        <v>0.02</v>
      </c>
      <c r="DJ13">
        <v>65</v>
      </c>
      <c r="DK13">
        <v>17</v>
      </c>
      <c r="DL13" t="s">
        <v>120</v>
      </c>
      <c r="DM13" t="s">
        <v>120</v>
      </c>
      <c r="DN13" t="s">
        <v>120</v>
      </c>
    </row>
    <row r="14" spans="1:118">
      <c r="A14" t="str">
        <f>"000019"</f>
        <v>000019</v>
      </c>
      <c r="B14" t="s">
        <v>218</v>
      </c>
      <c r="C14">
        <v>0.85</v>
      </c>
      <c r="D14">
        <v>0.14000000000000001</v>
      </c>
      <c r="E14">
        <v>-0.56999999999999995</v>
      </c>
      <c r="F14">
        <v>1337</v>
      </c>
      <c r="G14" t="s">
        <v>219</v>
      </c>
      <c r="H14">
        <v>5154.93</v>
      </c>
      <c r="I14">
        <v>1.89</v>
      </c>
      <c r="J14" t="s">
        <v>120</v>
      </c>
      <c r="K14" t="s">
        <v>220</v>
      </c>
      <c r="L14">
        <v>1.74</v>
      </c>
      <c r="M14">
        <v>7.1</v>
      </c>
      <c r="N14">
        <v>1.69</v>
      </c>
      <c r="O14">
        <v>1.99</v>
      </c>
      <c r="P14">
        <v>7.18</v>
      </c>
      <c r="Q14">
        <v>-0.71</v>
      </c>
      <c r="R14">
        <v>6.99</v>
      </c>
      <c r="S14">
        <v>7</v>
      </c>
      <c r="T14">
        <v>72508</v>
      </c>
      <c r="U14">
        <v>7.1</v>
      </c>
      <c r="V14">
        <v>7.04</v>
      </c>
      <c r="W14">
        <v>16.78</v>
      </c>
      <c r="X14" t="s">
        <v>221</v>
      </c>
      <c r="Y14" t="s">
        <v>123</v>
      </c>
      <c r="Z14">
        <v>2.7</v>
      </c>
      <c r="AA14">
        <v>7.11</v>
      </c>
      <c r="AB14">
        <v>30975</v>
      </c>
      <c r="AC14">
        <v>41533</v>
      </c>
      <c r="AD14">
        <v>0.75</v>
      </c>
      <c r="AE14">
        <v>117</v>
      </c>
      <c r="AF14">
        <v>231</v>
      </c>
      <c r="AG14" t="s">
        <v>120</v>
      </c>
      <c r="AH14">
        <v>0</v>
      </c>
      <c r="AI14" t="s">
        <v>120</v>
      </c>
      <c r="AJ14">
        <v>4.16</v>
      </c>
      <c r="AK14" t="s">
        <v>222</v>
      </c>
      <c r="AL14">
        <v>2.77</v>
      </c>
      <c r="AM14">
        <v>1542</v>
      </c>
      <c r="AN14">
        <v>47</v>
      </c>
      <c r="AO14">
        <v>1.1000000000000001E-3</v>
      </c>
      <c r="AP14">
        <v>2</v>
      </c>
      <c r="AQ14">
        <v>0.86</v>
      </c>
      <c r="AR14">
        <v>-0.14000000000000001</v>
      </c>
      <c r="AS14">
        <v>3.05</v>
      </c>
      <c r="AT14">
        <v>-4.05</v>
      </c>
      <c r="AU14">
        <v>-2.74</v>
      </c>
      <c r="AV14">
        <v>1</v>
      </c>
      <c r="AW14">
        <v>2.68</v>
      </c>
      <c r="AX14">
        <v>23.49</v>
      </c>
      <c r="AY14">
        <v>18.52</v>
      </c>
      <c r="AZ14">
        <v>20.03</v>
      </c>
      <c r="BA14">
        <v>0.51</v>
      </c>
      <c r="BB14" t="s">
        <v>143</v>
      </c>
      <c r="BF14">
        <v>0.99</v>
      </c>
      <c r="BG14">
        <v>1.43</v>
      </c>
      <c r="BH14">
        <v>-1.1100000000000001</v>
      </c>
      <c r="BI14">
        <v>1.57</v>
      </c>
      <c r="BJ14">
        <v>20210913</v>
      </c>
      <c r="BK14">
        <v>19921012</v>
      </c>
      <c r="BL14">
        <v>11.53</v>
      </c>
      <c r="BM14">
        <v>0.52</v>
      </c>
      <c r="BN14" t="s">
        <v>120</v>
      </c>
      <c r="BO14">
        <v>84.3</v>
      </c>
      <c r="BP14">
        <v>7.09</v>
      </c>
      <c r="BQ14">
        <v>44.48</v>
      </c>
      <c r="BR14">
        <v>0.4</v>
      </c>
      <c r="BS14">
        <v>46.76</v>
      </c>
      <c r="BT14">
        <v>51.34</v>
      </c>
      <c r="BU14">
        <v>13.39</v>
      </c>
      <c r="BV14">
        <v>6.07</v>
      </c>
      <c r="BW14">
        <v>29.09</v>
      </c>
      <c r="BX14">
        <v>0.69</v>
      </c>
      <c r="BY14">
        <v>41.3</v>
      </c>
      <c r="BZ14">
        <v>7.12</v>
      </c>
      <c r="CA14">
        <v>0.05</v>
      </c>
      <c r="CB14">
        <v>12.62</v>
      </c>
      <c r="CC14">
        <v>52.62</v>
      </c>
      <c r="CD14">
        <v>46.5</v>
      </c>
      <c r="CE14">
        <v>2.58</v>
      </c>
      <c r="CF14">
        <v>0.04</v>
      </c>
      <c r="CG14">
        <v>2.59</v>
      </c>
      <c r="CH14">
        <v>2.46</v>
      </c>
      <c r="CI14">
        <v>2.44</v>
      </c>
      <c r="CJ14">
        <v>0.06</v>
      </c>
      <c r="CK14">
        <v>2.37</v>
      </c>
      <c r="CL14">
        <v>16.510000000000002</v>
      </c>
      <c r="CM14">
        <v>-6.91</v>
      </c>
      <c r="CN14">
        <v>-1.22</v>
      </c>
      <c r="CO14">
        <v>53115</v>
      </c>
      <c r="CP14">
        <v>6070</v>
      </c>
      <c r="CQ14" t="s">
        <v>223</v>
      </c>
      <c r="CR14">
        <v>15.71</v>
      </c>
      <c r="CS14">
        <v>11.01</v>
      </c>
      <c r="CT14">
        <v>1.84</v>
      </c>
      <c r="CU14">
        <v>-11.84</v>
      </c>
      <c r="CV14">
        <v>1.56</v>
      </c>
      <c r="CW14">
        <v>2.84</v>
      </c>
      <c r="CX14" t="s">
        <v>224</v>
      </c>
      <c r="CY14">
        <v>3.86</v>
      </c>
      <c r="CZ14">
        <v>0</v>
      </c>
      <c r="DA14">
        <v>1.1000000000000001</v>
      </c>
      <c r="DB14">
        <v>1.43</v>
      </c>
      <c r="DC14">
        <v>-0.6</v>
      </c>
      <c r="DD14">
        <v>52.77</v>
      </c>
      <c r="DE14" t="s">
        <v>225</v>
      </c>
      <c r="DF14">
        <v>11.63</v>
      </c>
      <c r="DG14">
        <v>4.9000000000000004</v>
      </c>
      <c r="DH14">
        <v>4.63</v>
      </c>
      <c r="DI14">
        <v>0.11</v>
      </c>
      <c r="DJ14">
        <v>1246</v>
      </c>
      <c r="DK14">
        <v>19</v>
      </c>
      <c r="DL14" t="s">
        <v>120</v>
      </c>
      <c r="DM14" t="s">
        <v>120</v>
      </c>
      <c r="DN14" t="s">
        <v>120</v>
      </c>
    </row>
    <row r="15" spans="1:118">
      <c r="A15" t="str">
        <f>"000020"</f>
        <v>000020</v>
      </c>
      <c r="B15" t="s">
        <v>226</v>
      </c>
      <c r="C15">
        <v>-1.3</v>
      </c>
      <c r="D15">
        <v>-0.1</v>
      </c>
      <c r="E15">
        <v>-0.65</v>
      </c>
      <c r="F15">
        <v>36</v>
      </c>
      <c r="G15" t="s">
        <v>227</v>
      </c>
      <c r="H15">
        <v>634.64</v>
      </c>
      <c r="I15">
        <v>0</v>
      </c>
      <c r="J15" t="s">
        <v>120</v>
      </c>
      <c r="K15" t="s">
        <v>228</v>
      </c>
      <c r="L15">
        <v>0.38</v>
      </c>
      <c r="M15">
        <v>9.09</v>
      </c>
      <c r="N15">
        <v>0.96</v>
      </c>
      <c r="O15">
        <v>0.98</v>
      </c>
      <c r="P15">
        <v>9.3000000000000007</v>
      </c>
      <c r="Q15">
        <v>-1.3</v>
      </c>
      <c r="R15">
        <v>9.09</v>
      </c>
      <c r="S15">
        <v>9.15</v>
      </c>
      <c r="T15">
        <v>6916</v>
      </c>
      <c r="U15">
        <v>9.1</v>
      </c>
      <c r="V15">
        <v>9.2100000000000009</v>
      </c>
      <c r="W15">
        <v>183.25</v>
      </c>
      <c r="X15" t="s">
        <v>229</v>
      </c>
      <c r="Y15" t="s">
        <v>123</v>
      </c>
      <c r="Z15">
        <v>2.2799999999999998</v>
      </c>
      <c r="AA15">
        <v>9.18</v>
      </c>
      <c r="AB15">
        <v>4751</v>
      </c>
      <c r="AC15">
        <v>2165</v>
      </c>
      <c r="AD15">
        <v>2.19</v>
      </c>
      <c r="AE15">
        <v>17</v>
      </c>
      <c r="AF15">
        <v>1</v>
      </c>
      <c r="AG15" t="s">
        <v>120</v>
      </c>
      <c r="AH15">
        <v>0</v>
      </c>
      <c r="AI15" t="s">
        <v>120</v>
      </c>
      <c r="AJ15">
        <v>1.81</v>
      </c>
      <c r="AK15" t="s">
        <v>230</v>
      </c>
      <c r="AL15">
        <v>0.61</v>
      </c>
      <c r="AM15">
        <v>418</v>
      </c>
      <c r="AN15">
        <v>17</v>
      </c>
      <c r="AO15">
        <v>8.9999999999999998E-4</v>
      </c>
      <c r="AP15">
        <v>-1</v>
      </c>
      <c r="AQ15">
        <v>0.66</v>
      </c>
      <c r="AR15">
        <v>-1.0900000000000001</v>
      </c>
      <c r="AS15">
        <v>-2.4700000000000002</v>
      </c>
      <c r="AT15">
        <v>-10.44</v>
      </c>
      <c r="AU15">
        <v>-9.01</v>
      </c>
      <c r="AV15">
        <v>3</v>
      </c>
      <c r="AW15">
        <v>1.1200000000000001</v>
      </c>
      <c r="AX15">
        <v>21.85</v>
      </c>
      <c r="AY15">
        <v>244.01</v>
      </c>
      <c r="AZ15">
        <v>381.82</v>
      </c>
      <c r="BA15">
        <v>0.38</v>
      </c>
      <c r="BB15" t="s">
        <v>231</v>
      </c>
      <c r="BF15">
        <v>-0.36</v>
      </c>
      <c r="BG15">
        <v>-0.66</v>
      </c>
      <c r="BH15">
        <v>-2.2599999999999998</v>
      </c>
      <c r="BI15">
        <v>0</v>
      </c>
      <c r="BJ15">
        <v>20210824</v>
      </c>
      <c r="BK15">
        <v>19920428</v>
      </c>
      <c r="BL15">
        <v>2.83</v>
      </c>
      <c r="BM15">
        <v>1.02</v>
      </c>
      <c r="BN15" t="s">
        <v>120</v>
      </c>
      <c r="BO15">
        <v>6.73</v>
      </c>
      <c r="BP15">
        <v>9.09</v>
      </c>
      <c r="BQ15">
        <v>3.43</v>
      </c>
      <c r="BR15" t="s">
        <v>120</v>
      </c>
      <c r="BS15">
        <v>49.02</v>
      </c>
      <c r="BT15">
        <v>3.87</v>
      </c>
      <c r="BU15">
        <v>1.91</v>
      </c>
      <c r="BV15">
        <v>0.4</v>
      </c>
      <c r="BW15">
        <v>2.65</v>
      </c>
      <c r="BX15">
        <v>0.6</v>
      </c>
      <c r="BY15">
        <v>1.3</v>
      </c>
      <c r="BZ15">
        <v>1.36</v>
      </c>
      <c r="CA15" t="s">
        <v>120</v>
      </c>
      <c r="CB15">
        <v>1.47</v>
      </c>
      <c r="CC15">
        <v>3.92</v>
      </c>
      <c r="CD15">
        <v>3.34</v>
      </c>
      <c r="CE15">
        <v>0.09</v>
      </c>
      <c r="CF15">
        <v>0</v>
      </c>
      <c r="CG15">
        <v>0.09</v>
      </c>
      <c r="CH15">
        <v>7.0000000000000007E-2</v>
      </c>
      <c r="CI15">
        <v>7.0000000000000007E-2</v>
      </c>
      <c r="CJ15">
        <v>-0.12</v>
      </c>
      <c r="CK15">
        <v>7.0000000000000007E-2</v>
      </c>
      <c r="CL15">
        <v>-1.64</v>
      </c>
      <c r="CM15">
        <v>-0.22</v>
      </c>
      <c r="CN15">
        <v>-0.01</v>
      </c>
      <c r="CO15">
        <v>20986</v>
      </c>
      <c r="CP15">
        <v>7809</v>
      </c>
      <c r="CQ15" t="s">
        <v>232</v>
      </c>
      <c r="CR15">
        <v>121.86</v>
      </c>
      <c r="CS15">
        <v>30.24</v>
      </c>
      <c r="CT15">
        <v>7.5</v>
      </c>
      <c r="CU15">
        <v>-117.97</v>
      </c>
      <c r="CV15">
        <v>6.57</v>
      </c>
      <c r="CW15">
        <v>0</v>
      </c>
      <c r="CX15" t="s">
        <v>233</v>
      </c>
      <c r="CY15">
        <v>1.21</v>
      </c>
      <c r="CZ15">
        <v>0</v>
      </c>
      <c r="DA15">
        <v>0.52</v>
      </c>
      <c r="DB15">
        <v>-0.57999999999999996</v>
      </c>
      <c r="DC15">
        <v>-0.08</v>
      </c>
      <c r="DD15">
        <v>50.98</v>
      </c>
      <c r="DE15" t="s">
        <v>234</v>
      </c>
      <c r="DF15">
        <v>14.59</v>
      </c>
      <c r="DG15">
        <v>2.1800000000000002</v>
      </c>
      <c r="DH15">
        <v>1.79</v>
      </c>
      <c r="DI15">
        <v>0.04</v>
      </c>
      <c r="DJ15">
        <v>1132</v>
      </c>
      <c r="DK15">
        <v>20</v>
      </c>
      <c r="DL15" t="s">
        <v>120</v>
      </c>
      <c r="DM15" t="s">
        <v>120</v>
      </c>
      <c r="DN15" t="s">
        <v>120</v>
      </c>
    </row>
    <row r="16" spans="1:118">
      <c r="A16" t="str">
        <f>"000021"</f>
        <v>000021</v>
      </c>
      <c r="B16" t="s">
        <v>235</v>
      </c>
      <c r="C16">
        <v>-2.08</v>
      </c>
      <c r="D16">
        <v>0</v>
      </c>
      <c r="E16">
        <v>-0.38</v>
      </c>
      <c r="F16">
        <v>4320</v>
      </c>
      <c r="G16" t="s">
        <v>236</v>
      </c>
      <c r="H16">
        <v>21059.439999999999</v>
      </c>
      <c r="I16">
        <v>53.3</v>
      </c>
      <c r="J16" t="s">
        <v>120</v>
      </c>
      <c r="K16" t="s">
        <v>237</v>
      </c>
      <c r="L16">
        <v>0.92</v>
      </c>
      <c r="M16">
        <v>15.5</v>
      </c>
      <c r="N16">
        <v>0.94</v>
      </c>
      <c r="O16">
        <v>0.44</v>
      </c>
      <c r="P16">
        <v>15.9</v>
      </c>
      <c r="Q16">
        <v>-2.08</v>
      </c>
      <c r="R16">
        <v>15.5</v>
      </c>
      <c r="S16">
        <v>15.77</v>
      </c>
      <c r="T16">
        <v>134568</v>
      </c>
      <c r="U16">
        <v>15.51</v>
      </c>
      <c r="V16">
        <v>15.83</v>
      </c>
      <c r="W16">
        <v>44.29</v>
      </c>
      <c r="X16" t="s">
        <v>238</v>
      </c>
      <c r="Y16" t="s">
        <v>123</v>
      </c>
      <c r="Z16">
        <v>2.5299999999999998</v>
      </c>
      <c r="AA16">
        <v>15.65</v>
      </c>
      <c r="AB16">
        <v>82468</v>
      </c>
      <c r="AC16">
        <v>52100</v>
      </c>
      <c r="AD16">
        <v>1.58</v>
      </c>
      <c r="AE16">
        <v>3514</v>
      </c>
      <c r="AF16">
        <v>426</v>
      </c>
      <c r="AG16" t="s">
        <v>120</v>
      </c>
      <c r="AH16">
        <v>0</v>
      </c>
      <c r="AI16" t="s">
        <v>120</v>
      </c>
      <c r="AJ16">
        <v>14.71</v>
      </c>
      <c r="AK16" t="s">
        <v>239</v>
      </c>
      <c r="AL16">
        <v>-0.17</v>
      </c>
      <c r="AM16">
        <v>3422</v>
      </c>
      <c r="AN16">
        <v>39</v>
      </c>
      <c r="AO16">
        <v>2.9999999999999997E-4</v>
      </c>
      <c r="AP16">
        <v>-4</v>
      </c>
      <c r="AQ16">
        <v>-0.94</v>
      </c>
      <c r="AR16">
        <v>-3.49</v>
      </c>
      <c r="AS16">
        <v>-8.61</v>
      </c>
      <c r="AT16">
        <v>-13.93</v>
      </c>
      <c r="AU16">
        <v>-17.77</v>
      </c>
      <c r="AV16">
        <v>1</v>
      </c>
      <c r="AW16">
        <v>1.63</v>
      </c>
      <c r="AX16">
        <v>52.9</v>
      </c>
      <c r="AY16">
        <v>26.33</v>
      </c>
      <c r="AZ16">
        <v>28.82</v>
      </c>
      <c r="BA16">
        <v>0.46</v>
      </c>
      <c r="BB16" t="s">
        <v>240</v>
      </c>
      <c r="BF16">
        <v>-1.1399999999999999</v>
      </c>
      <c r="BG16">
        <v>-1.71</v>
      </c>
      <c r="BH16">
        <v>-2.52</v>
      </c>
      <c r="BI16">
        <v>0</v>
      </c>
      <c r="BJ16">
        <v>20210913</v>
      </c>
      <c r="BK16">
        <v>19940202</v>
      </c>
      <c r="BL16">
        <v>15.61</v>
      </c>
      <c r="BM16" t="s">
        <v>120</v>
      </c>
      <c r="BN16" t="s">
        <v>120</v>
      </c>
      <c r="BO16">
        <v>240.19</v>
      </c>
      <c r="BP16">
        <v>15.5</v>
      </c>
      <c r="BQ16">
        <v>91.38</v>
      </c>
      <c r="BR16">
        <v>13.57</v>
      </c>
      <c r="BS16">
        <v>56.31</v>
      </c>
      <c r="BT16">
        <v>156.68</v>
      </c>
      <c r="BU16">
        <v>34.520000000000003</v>
      </c>
      <c r="BV16">
        <v>5.96</v>
      </c>
      <c r="BW16">
        <v>109.87</v>
      </c>
      <c r="BX16">
        <v>86.35</v>
      </c>
      <c r="BY16">
        <v>24.87</v>
      </c>
      <c r="BZ16">
        <v>27.3</v>
      </c>
      <c r="CA16">
        <v>0.12</v>
      </c>
      <c r="CB16">
        <v>21.47</v>
      </c>
      <c r="CC16">
        <v>79.55</v>
      </c>
      <c r="CD16">
        <v>72.12</v>
      </c>
      <c r="CE16">
        <v>4.22</v>
      </c>
      <c r="CF16">
        <v>0.06</v>
      </c>
      <c r="CG16">
        <v>4.25</v>
      </c>
      <c r="CH16">
        <v>3.21</v>
      </c>
      <c r="CI16">
        <v>2.73</v>
      </c>
      <c r="CJ16">
        <v>-0.33</v>
      </c>
      <c r="CK16">
        <v>0.69</v>
      </c>
      <c r="CL16">
        <v>41.1</v>
      </c>
      <c r="CM16">
        <v>0.78</v>
      </c>
      <c r="CN16">
        <v>24.95</v>
      </c>
      <c r="CO16">
        <v>132367</v>
      </c>
      <c r="CP16">
        <v>6236</v>
      </c>
      <c r="CQ16" t="s">
        <v>241</v>
      </c>
      <c r="CR16">
        <v>42.34</v>
      </c>
      <c r="CS16">
        <v>14.43</v>
      </c>
      <c r="CT16">
        <v>2.65</v>
      </c>
      <c r="CU16">
        <v>309.45999999999998</v>
      </c>
      <c r="CV16">
        <v>3.04</v>
      </c>
      <c r="CW16">
        <v>1.01</v>
      </c>
      <c r="CX16" t="s">
        <v>242</v>
      </c>
      <c r="CY16">
        <v>5.86</v>
      </c>
      <c r="CZ16">
        <v>0</v>
      </c>
      <c r="DA16">
        <v>1.38</v>
      </c>
      <c r="DB16">
        <v>2.63</v>
      </c>
      <c r="DC16">
        <v>0.05</v>
      </c>
      <c r="DD16">
        <v>38.04</v>
      </c>
      <c r="DE16" t="s">
        <v>243</v>
      </c>
      <c r="DF16">
        <v>9.35</v>
      </c>
      <c r="DG16">
        <v>5.31</v>
      </c>
      <c r="DH16">
        <v>3.43</v>
      </c>
      <c r="DI16">
        <v>1.51</v>
      </c>
      <c r="DJ16">
        <v>27051</v>
      </c>
      <c r="DK16">
        <v>21</v>
      </c>
      <c r="DL16" t="s">
        <v>120</v>
      </c>
      <c r="DM16" t="s">
        <v>120</v>
      </c>
      <c r="DN16" t="s">
        <v>120</v>
      </c>
    </row>
    <row r="17" spans="1:118">
      <c r="A17" t="str">
        <f>"000023"</f>
        <v>000023</v>
      </c>
      <c r="B17" t="s">
        <v>244</v>
      </c>
      <c r="C17">
        <v>0.28000000000000003</v>
      </c>
      <c r="D17">
        <v>0.21</v>
      </c>
      <c r="E17">
        <v>7.0000000000000007E-2</v>
      </c>
      <c r="F17">
        <v>78</v>
      </c>
      <c r="G17" t="s">
        <v>245</v>
      </c>
      <c r="H17">
        <v>564.66</v>
      </c>
      <c r="I17">
        <v>0</v>
      </c>
      <c r="J17" t="s">
        <v>120</v>
      </c>
      <c r="K17" t="s">
        <v>246</v>
      </c>
      <c r="L17">
        <v>0.28999999999999998</v>
      </c>
      <c r="M17">
        <v>14.18</v>
      </c>
      <c r="N17">
        <v>0.79</v>
      </c>
      <c r="O17">
        <v>1.49</v>
      </c>
      <c r="P17">
        <v>14.35</v>
      </c>
      <c r="Q17">
        <v>-1.63</v>
      </c>
      <c r="R17">
        <v>13.91</v>
      </c>
      <c r="S17">
        <v>14.15</v>
      </c>
      <c r="T17">
        <v>3966</v>
      </c>
      <c r="U17">
        <v>14.18</v>
      </c>
      <c r="V17">
        <v>14.14</v>
      </c>
      <c r="W17">
        <v>199.77</v>
      </c>
      <c r="X17" t="s">
        <v>247</v>
      </c>
      <c r="Y17" t="s">
        <v>123</v>
      </c>
      <c r="Z17">
        <v>3.11</v>
      </c>
      <c r="AA17">
        <v>14.24</v>
      </c>
      <c r="AB17">
        <v>1596</v>
      </c>
      <c r="AC17">
        <v>2370</v>
      </c>
      <c r="AD17">
        <v>0.67</v>
      </c>
      <c r="AE17">
        <v>20</v>
      </c>
      <c r="AF17">
        <v>52</v>
      </c>
      <c r="AG17" t="s">
        <v>120</v>
      </c>
      <c r="AH17">
        <v>0</v>
      </c>
      <c r="AI17" t="s">
        <v>120</v>
      </c>
      <c r="AJ17">
        <v>1.39</v>
      </c>
      <c r="AK17" t="s">
        <v>246</v>
      </c>
      <c r="AL17">
        <v>2.2000000000000002</v>
      </c>
      <c r="AM17">
        <v>433</v>
      </c>
      <c r="AN17">
        <v>9</v>
      </c>
      <c r="AO17">
        <v>6.9999999999999999E-4</v>
      </c>
      <c r="AP17">
        <v>2</v>
      </c>
      <c r="AQ17">
        <v>0.78</v>
      </c>
      <c r="AR17">
        <v>-1.19</v>
      </c>
      <c r="AS17">
        <v>-1.93</v>
      </c>
      <c r="AT17">
        <v>-7.14</v>
      </c>
      <c r="AU17">
        <v>-13</v>
      </c>
      <c r="AV17">
        <v>1</v>
      </c>
      <c r="AW17">
        <v>0.56000000000000005</v>
      </c>
      <c r="AX17">
        <v>50.7</v>
      </c>
      <c r="AY17">
        <v>179.08</v>
      </c>
      <c r="AZ17" t="s">
        <v>120</v>
      </c>
      <c r="BA17">
        <v>0.28999999999999998</v>
      </c>
      <c r="BB17" t="s">
        <v>240</v>
      </c>
      <c r="BF17">
        <v>0.69</v>
      </c>
      <c r="BG17">
        <v>0.21</v>
      </c>
      <c r="BH17">
        <v>-1.18</v>
      </c>
      <c r="BI17">
        <v>1.94</v>
      </c>
      <c r="BJ17">
        <v>20210827</v>
      </c>
      <c r="BK17">
        <v>19930429</v>
      </c>
      <c r="BL17">
        <v>1.39</v>
      </c>
      <c r="BM17" t="s">
        <v>120</v>
      </c>
      <c r="BN17" t="s">
        <v>120</v>
      </c>
      <c r="BO17">
        <v>21.48</v>
      </c>
      <c r="BP17">
        <v>14.16</v>
      </c>
      <c r="BQ17">
        <v>4.7</v>
      </c>
      <c r="BR17">
        <v>1.5</v>
      </c>
      <c r="BS17">
        <v>71.13</v>
      </c>
      <c r="BT17">
        <v>17.46</v>
      </c>
      <c r="BU17">
        <v>1.55</v>
      </c>
      <c r="BV17">
        <v>0.02</v>
      </c>
      <c r="BW17">
        <v>14.97</v>
      </c>
      <c r="BX17">
        <v>3.86</v>
      </c>
      <c r="BY17">
        <v>1.44</v>
      </c>
      <c r="BZ17">
        <v>9.01</v>
      </c>
      <c r="CA17">
        <v>0.25</v>
      </c>
      <c r="CB17">
        <v>1.03</v>
      </c>
      <c r="CC17">
        <v>8.0500000000000007</v>
      </c>
      <c r="CD17">
        <v>6.83</v>
      </c>
      <c r="CE17">
        <v>0.53</v>
      </c>
      <c r="CF17">
        <v>0</v>
      </c>
      <c r="CG17">
        <v>0.53</v>
      </c>
      <c r="CH17">
        <v>0.34</v>
      </c>
      <c r="CI17">
        <v>0.05</v>
      </c>
      <c r="CJ17">
        <v>0.04</v>
      </c>
      <c r="CK17">
        <v>0.05</v>
      </c>
      <c r="CL17">
        <v>1.77</v>
      </c>
      <c r="CM17">
        <v>0.34</v>
      </c>
      <c r="CN17">
        <v>-0.63</v>
      </c>
      <c r="CO17">
        <v>7936</v>
      </c>
      <c r="CP17">
        <v>8865</v>
      </c>
      <c r="CQ17" t="s">
        <v>248</v>
      </c>
      <c r="CR17">
        <v>135.21</v>
      </c>
      <c r="CS17">
        <v>32.700000000000003</v>
      </c>
      <c r="CT17">
        <v>4.1900000000000004</v>
      </c>
      <c r="CU17">
        <v>57.77</v>
      </c>
      <c r="CV17">
        <v>2.44</v>
      </c>
      <c r="CW17">
        <v>0</v>
      </c>
      <c r="CX17" t="s">
        <v>208</v>
      </c>
      <c r="CY17">
        <v>3.38</v>
      </c>
      <c r="CZ17">
        <v>0</v>
      </c>
      <c r="DA17">
        <v>0.74</v>
      </c>
      <c r="DB17">
        <v>1.28</v>
      </c>
      <c r="DC17">
        <v>0.25</v>
      </c>
      <c r="DD17">
        <v>21.86</v>
      </c>
      <c r="DE17" t="s">
        <v>249</v>
      </c>
      <c r="DF17">
        <v>15.17</v>
      </c>
      <c r="DG17">
        <v>6.54</v>
      </c>
      <c r="DH17">
        <v>0.61</v>
      </c>
      <c r="DI17">
        <v>0.06</v>
      </c>
      <c r="DJ17">
        <v>984</v>
      </c>
      <c r="DK17">
        <v>23</v>
      </c>
      <c r="DL17" t="s">
        <v>120</v>
      </c>
      <c r="DM17" t="s">
        <v>120</v>
      </c>
      <c r="DN17" t="s">
        <v>120</v>
      </c>
    </row>
    <row r="18" spans="1:118">
      <c r="A18" t="str">
        <f>"000025"</f>
        <v>000025</v>
      </c>
      <c r="B18" t="s">
        <v>250</v>
      </c>
      <c r="C18">
        <v>-2.75</v>
      </c>
      <c r="D18">
        <v>-0.13</v>
      </c>
      <c r="E18">
        <v>7.0000000000000007E-2</v>
      </c>
      <c r="F18">
        <v>813</v>
      </c>
      <c r="G18" t="s">
        <v>251</v>
      </c>
      <c r="H18">
        <v>5407.26</v>
      </c>
      <c r="I18">
        <v>7.76</v>
      </c>
      <c r="J18" t="s">
        <v>120</v>
      </c>
      <c r="K18" t="s">
        <v>252</v>
      </c>
      <c r="L18">
        <v>0.94</v>
      </c>
      <c r="M18">
        <v>14.5</v>
      </c>
      <c r="N18">
        <v>1.23</v>
      </c>
      <c r="O18">
        <v>0.27</v>
      </c>
      <c r="P18">
        <v>14.95</v>
      </c>
      <c r="Q18">
        <v>-2.82</v>
      </c>
      <c r="R18">
        <v>14.49</v>
      </c>
      <c r="S18">
        <v>14.92</v>
      </c>
      <c r="T18">
        <v>36779</v>
      </c>
      <c r="U18">
        <v>14.51</v>
      </c>
      <c r="V18">
        <v>14.91</v>
      </c>
      <c r="W18">
        <v>70.16</v>
      </c>
      <c r="X18" t="s">
        <v>253</v>
      </c>
      <c r="Y18" t="s">
        <v>123</v>
      </c>
      <c r="Z18">
        <v>3.09</v>
      </c>
      <c r="AA18">
        <v>14.7</v>
      </c>
      <c r="AB18">
        <v>24396</v>
      </c>
      <c r="AC18">
        <v>12383</v>
      </c>
      <c r="AD18">
        <v>1.97</v>
      </c>
      <c r="AE18">
        <v>523</v>
      </c>
      <c r="AF18">
        <v>30</v>
      </c>
      <c r="AG18" t="s">
        <v>120</v>
      </c>
      <c r="AH18">
        <v>0</v>
      </c>
      <c r="AI18" t="s">
        <v>120</v>
      </c>
      <c r="AJ18">
        <v>3.93</v>
      </c>
      <c r="AK18" t="s">
        <v>254</v>
      </c>
      <c r="AL18">
        <v>-0.84</v>
      </c>
      <c r="AM18">
        <v>1620</v>
      </c>
      <c r="AN18">
        <v>23</v>
      </c>
      <c r="AO18">
        <v>5.9999999999999995E-4</v>
      </c>
      <c r="AP18">
        <v>-1</v>
      </c>
      <c r="AQ18">
        <v>0.68</v>
      </c>
      <c r="AR18">
        <v>-5.04</v>
      </c>
      <c r="AS18">
        <v>-7.11</v>
      </c>
      <c r="AT18">
        <v>-1.96</v>
      </c>
      <c r="AU18">
        <v>-14.1</v>
      </c>
      <c r="AV18">
        <v>2</v>
      </c>
      <c r="AW18">
        <v>3.02</v>
      </c>
      <c r="AX18">
        <v>28.23</v>
      </c>
      <c r="AY18">
        <v>83.89</v>
      </c>
      <c r="AZ18">
        <v>111.46</v>
      </c>
      <c r="BA18">
        <v>0.3</v>
      </c>
      <c r="BB18" t="s">
        <v>143</v>
      </c>
      <c r="BF18">
        <v>-1.39</v>
      </c>
      <c r="BG18">
        <v>-2.82</v>
      </c>
      <c r="BH18">
        <v>-3.01</v>
      </c>
      <c r="BI18">
        <v>7.0000000000000007E-2</v>
      </c>
      <c r="BJ18">
        <v>20210821</v>
      </c>
      <c r="BK18">
        <v>19930621</v>
      </c>
      <c r="BL18">
        <v>4.3099999999999996</v>
      </c>
      <c r="BM18">
        <v>0.38</v>
      </c>
      <c r="BN18" t="s">
        <v>120</v>
      </c>
      <c r="BO18">
        <v>17.84</v>
      </c>
      <c r="BP18">
        <v>14.5</v>
      </c>
      <c r="BQ18">
        <v>13.46</v>
      </c>
      <c r="BR18">
        <v>0.74</v>
      </c>
      <c r="BS18">
        <v>20.38</v>
      </c>
      <c r="BT18">
        <v>6.82</v>
      </c>
      <c r="BU18">
        <v>1.1599999999999999</v>
      </c>
      <c r="BV18">
        <v>0.51</v>
      </c>
      <c r="BW18">
        <v>3.14</v>
      </c>
      <c r="BX18">
        <v>3.88</v>
      </c>
      <c r="BY18">
        <v>0.13</v>
      </c>
      <c r="BZ18">
        <v>0.22</v>
      </c>
      <c r="CA18">
        <v>0.02</v>
      </c>
      <c r="CB18">
        <v>4.3099999999999996</v>
      </c>
      <c r="CC18">
        <v>2.4900000000000002</v>
      </c>
      <c r="CD18">
        <v>1.73</v>
      </c>
      <c r="CE18">
        <v>0.56000000000000005</v>
      </c>
      <c r="CF18">
        <v>0.14000000000000001</v>
      </c>
      <c r="CG18">
        <v>0.56000000000000005</v>
      </c>
      <c r="CH18">
        <v>0.44</v>
      </c>
      <c r="CI18">
        <v>0.45</v>
      </c>
      <c r="CJ18">
        <v>-0.41</v>
      </c>
      <c r="CK18">
        <v>0.42</v>
      </c>
      <c r="CL18">
        <v>4.5999999999999996</v>
      </c>
      <c r="CM18">
        <v>0.6</v>
      </c>
      <c r="CN18">
        <v>1.5</v>
      </c>
      <c r="CO18">
        <v>46964</v>
      </c>
      <c r="CP18">
        <v>3406</v>
      </c>
      <c r="CQ18" t="s">
        <v>255</v>
      </c>
      <c r="CR18">
        <v>74.03</v>
      </c>
      <c r="CS18">
        <v>26.61</v>
      </c>
      <c r="CT18">
        <v>4.6399999999999997</v>
      </c>
      <c r="CU18">
        <v>104.92</v>
      </c>
      <c r="CV18">
        <v>25.05</v>
      </c>
      <c r="CW18">
        <v>0.13</v>
      </c>
      <c r="CX18" t="s">
        <v>256</v>
      </c>
      <c r="CY18">
        <v>3.12</v>
      </c>
      <c r="CZ18">
        <v>0</v>
      </c>
      <c r="DA18">
        <v>1</v>
      </c>
      <c r="DB18">
        <v>1.07</v>
      </c>
      <c r="DC18">
        <v>0.14000000000000001</v>
      </c>
      <c r="DD18">
        <v>75.47</v>
      </c>
      <c r="DE18" t="s">
        <v>257</v>
      </c>
      <c r="DF18">
        <v>30.53</v>
      </c>
      <c r="DG18">
        <v>22.25</v>
      </c>
      <c r="DH18">
        <v>17.850000000000001</v>
      </c>
      <c r="DI18" t="s">
        <v>120</v>
      </c>
      <c r="DJ18">
        <v>302</v>
      </c>
      <c r="DK18">
        <v>25</v>
      </c>
      <c r="DL18" t="s">
        <v>120</v>
      </c>
      <c r="DM18" t="s">
        <v>120</v>
      </c>
      <c r="DN18" t="s">
        <v>120</v>
      </c>
    </row>
    <row r="19" spans="1:118">
      <c r="A19" t="str">
        <f>"000026"</f>
        <v>000026</v>
      </c>
      <c r="B19" t="s">
        <v>258</v>
      </c>
      <c r="C19">
        <v>0.41</v>
      </c>
      <c r="D19">
        <v>0</v>
      </c>
      <c r="E19">
        <v>-0.08</v>
      </c>
      <c r="F19">
        <v>350</v>
      </c>
      <c r="G19" t="s">
        <v>259</v>
      </c>
      <c r="H19">
        <v>5312.55</v>
      </c>
      <c r="I19">
        <v>72.28</v>
      </c>
      <c r="J19" t="s">
        <v>120</v>
      </c>
      <c r="K19" t="s">
        <v>260</v>
      </c>
      <c r="L19">
        <v>1.2</v>
      </c>
      <c r="M19">
        <v>12.27</v>
      </c>
      <c r="N19">
        <v>0.62</v>
      </c>
      <c r="O19">
        <v>1.88</v>
      </c>
      <c r="P19">
        <v>12.45</v>
      </c>
      <c r="Q19">
        <v>-0.16</v>
      </c>
      <c r="R19">
        <v>12.2</v>
      </c>
      <c r="S19">
        <v>12.21</v>
      </c>
      <c r="T19">
        <v>43119</v>
      </c>
      <c r="U19">
        <v>12.27</v>
      </c>
      <c r="V19">
        <v>12.22</v>
      </c>
      <c r="W19">
        <v>11.2</v>
      </c>
      <c r="X19" t="s">
        <v>221</v>
      </c>
      <c r="Y19" t="s">
        <v>123</v>
      </c>
      <c r="Z19">
        <v>2.0499999999999998</v>
      </c>
      <c r="AA19">
        <v>12.32</v>
      </c>
      <c r="AB19">
        <v>24216</v>
      </c>
      <c r="AC19">
        <v>18903</v>
      </c>
      <c r="AD19">
        <v>1.28</v>
      </c>
      <c r="AE19">
        <v>92</v>
      </c>
      <c r="AF19">
        <v>202</v>
      </c>
      <c r="AG19" t="s">
        <v>120</v>
      </c>
      <c r="AH19">
        <v>0.03</v>
      </c>
      <c r="AI19" t="s">
        <v>120</v>
      </c>
      <c r="AJ19">
        <v>3.58</v>
      </c>
      <c r="AK19" t="s">
        <v>261</v>
      </c>
      <c r="AL19">
        <v>2.3199999999999998</v>
      </c>
      <c r="AM19">
        <v>2032</v>
      </c>
      <c r="AN19">
        <v>21</v>
      </c>
      <c r="AO19">
        <v>5.9999999999999995E-4</v>
      </c>
      <c r="AP19">
        <v>1</v>
      </c>
      <c r="AQ19">
        <v>-2.5499999999999998</v>
      </c>
      <c r="AR19">
        <v>-5.03</v>
      </c>
      <c r="AS19">
        <v>-1.45</v>
      </c>
      <c r="AT19">
        <v>-7.67</v>
      </c>
      <c r="AU19">
        <v>11.32</v>
      </c>
      <c r="AV19">
        <v>2</v>
      </c>
      <c r="AW19">
        <v>2.21</v>
      </c>
      <c r="AX19">
        <v>45.73</v>
      </c>
      <c r="AY19">
        <v>11.58</v>
      </c>
      <c r="AZ19">
        <v>17.71</v>
      </c>
      <c r="BA19">
        <v>0.8</v>
      </c>
      <c r="BB19" t="s">
        <v>240</v>
      </c>
      <c r="BF19">
        <v>0.82</v>
      </c>
      <c r="BG19">
        <v>0.49</v>
      </c>
      <c r="BH19">
        <v>-1.45</v>
      </c>
      <c r="BI19">
        <v>0.56999999999999995</v>
      </c>
      <c r="BJ19">
        <v>20210914</v>
      </c>
      <c r="BK19">
        <v>19930603</v>
      </c>
      <c r="BL19">
        <v>4.26</v>
      </c>
      <c r="BM19">
        <v>0.57999999999999996</v>
      </c>
      <c r="BN19" t="s">
        <v>120</v>
      </c>
      <c r="BO19">
        <v>41.25</v>
      </c>
      <c r="BP19">
        <v>12.26</v>
      </c>
      <c r="BQ19">
        <v>28.57</v>
      </c>
      <c r="BR19" t="s">
        <v>120</v>
      </c>
      <c r="BS19">
        <v>30.74</v>
      </c>
      <c r="BT19">
        <v>29.22</v>
      </c>
      <c r="BU19">
        <v>3.51</v>
      </c>
      <c r="BV19">
        <v>0.35</v>
      </c>
      <c r="BW19">
        <v>12.05</v>
      </c>
      <c r="BX19">
        <v>2.35</v>
      </c>
      <c r="BY19">
        <v>20.14</v>
      </c>
      <c r="BZ19">
        <v>4.93</v>
      </c>
      <c r="CA19">
        <v>0.09</v>
      </c>
      <c r="CB19">
        <v>10.79</v>
      </c>
      <c r="CC19">
        <v>27.78</v>
      </c>
      <c r="CD19">
        <v>17.38</v>
      </c>
      <c r="CE19">
        <v>3.03</v>
      </c>
      <c r="CF19">
        <v>0.02</v>
      </c>
      <c r="CG19">
        <v>3.02</v>
      </c>
      <c r="CH19">
        <v>2.34</v>
      </c>
      <c r="CI19">
        <v>2.34</v>
      </c>
      <c r="CJ19">
        <v>0.05</v>
      </c>
      <c r="CK19">
        <v>2.2400000000000002</v>
      </c>
      <c r="CL19">
        <v>12.19</v>
      </c>
      <c r="CM19">
        <v>2.0499999999999998</v>
      </c>
      <c r="CN19">
        <v>-1.18</v>
      </c>
      <c r="CO19">
        <v>31491</v>
      </c>
      <c r="CP19">
        <v>8030</v>
      </c>
      <c r="CQ19" t="s">
        <v>262</v>
      </c>
      <c r="CR19">
        <v>200.42</v>
      </c>
      <c r="CS19">
        <v>75.59</v>
      </c>
      <c r="CT19">
        <v>1.87</v>
      </c>
      <c r="CU19">
        <v>25.49</v>
      </c>
      <c r="CV19">
        <v>1.88</v>
      </c>
      <c r="CW19">
        <v>3.34</v>
      </c>
      <c r="CX19" t="s">
        <v>263</v>
      </c>
      <c r="CY19">
        <v>6.56</v>
      </c>
      <c r="CZ19">
        <v>6.56</v>
      </c>
      <c r="DA19">
        <v>2.5299999999999998</v>
      </c>
      <c r="DB19">
        <v>2.86</v>
      </c>
      <c r="DC19">
        <v>0.48</v>
      </c>
      <c r="DD19">
        <v>69.260000000000005</v>
      </c>
      <c r="DE19" t="s">
        <v>264</v>
      </c>
      <c r="DF19">
        <v>37.42</v>
      </c>
      <c r="DG19">
        <v>10.9</v>
      </c>
      <c r="DH19">
        <v>8.41</v>
      </c>
      <c r="DI19">
        <v>0.26</v>
      </c>
      <c r="DJ19">
        <v>4901</v>
      </c>
      <c r="DK19">
        <v>26</v>
      </c>
      <c r="DL19" t="s">
        <v>120</v>
      </c>
      <c r="DM19" t="s">
        <v>120</v>
      </c>
      <c r="DN19" t="s">
        <v>120</v>
      </c>
    </row>
    <row r="20" spans="1:118">
      <c r="A20" t="str">
        <f>"000027"</f>
        <v>000027</v>
      </c>
      <c r="B20" t="s">
        <v>265</v>
      </c>
      <c r="C20">
        <v>-3.24</v>
      </c>
      <c r="D20">
        <v>-0.11</v>
      </c>
      <c r="E20">
        <v>-0.12</v>
      </c>
      <c r="F20">
        <v>5106</v>
      </c>
      <c r="G20" t="s">
        <v>266</v>
      </c>
      <c r="H20">
        <v>44147.06</v>
      </c>
      <c r="I20">
        <v>84.83</v>
      </c>
      <c r="J20" t="s">
        <v>120</v>
      </c>
      <c r="K20" t="s">
        <v>267</v>
      </c>
      <c r="L20">
        <v>1.0900000000000001</v>
      </c>
      <c r="M20">
        <v>8.36</v>
      </c>
      <c r="N20">
        <v>0.65</v>
      </c>
      <c r="O20">
        <v>0.93</v>
      </c>
      <c r="P20">
        <v>8.7200000000000006</v>
      </c>
      <c r="Q20">
        <v>-3.36</v>
      </c>
      <c r="R20">
        <v>8.35</v>
      </c>
      <c r="S20">
        <v>8.6300000000000008</v>
      </c>
      <c r="T20">
        <v>517999</v>
      </c>
      <c r="U20">
        <v>8.3699999999999992</v>
      </c>
      <c r="V20">
        <v>8.64</v>
      </c>
      <c r="W20">
        <v>11.96</v>
      </c>
      <c r="X20" t="s">
        <v>268</v>
      </c>
      <c r="Y20" t="s">
        <v>123</v>
      </c>
      <c r="Z20">
        <v>4.28</v>
      </c>
      <c r="AA20">
        <v>8.52</v>
      </c>
      <c r="AB20">
        <v>276619</v>
      </c>
      <c r="AC20">
        <v>241380</v>
      </c>
      <c r="AD20">
        <v>1.1499999999999999</v>
      </c>
      <c r="AE20">
        <v>1933</v>
      </c>
      <c r="AF20">
        <v>1205</v>
      </c>
      <c r="AG20" t="s">
        <v>120</v>
      </c>
      <c r="AH20">
        <v>0.01</v>
      </c>
      <c r="AI20" t="s">
        <v>120</v>
      </c>
      <c r="AJ20">
        <v>47.57</v>
      </c>
      <c r="AK20" t="s">
        <v>267</v>
      </c>
      <c r="AL20">
        <v>-1.33</v>
      </c>
      <c r="AM20">
        <v>4378</v>
      </c>
      <c r="AN20">
        <v>118</v>
      </c>
      <c r="AO20">
        <v>2.0000000000000001E-4</v>
      </c>
      <c r="AP20">
        <v>-1</v>
      </c>
      <c r="AQ20">
        <v>1.17</v>
      </c>
      <c r="AR20">
        <v>-5.97</v>
      </c>
      <c r="AS20">
        <v>5.16</v>
      </c>
      <c r="AT20">
        <v>-15.72</v>
      </c>
      <c r="AU20">
        <v>43.4</v>
      </c>
      <c r="AV20">
        <v>10</v>
      </c>
      <c r="AW20">
        <v>4.12</v>
      </c>
      <c r="AX20">
        <v>26.44</v>
      </c>
      <c r="AY20">
        <v>14.65</v>
      </c>
      <c r="AZ20">
        <v>10.32</v>
      </c>
      <c r="BA20">
        <v>0.32</v>
      </c>
      <c r="BB20" t="s">
        <v>143</v>
      </c>
      <c r="BF20">
        <v>-1.36</v>
      </c>
      <c r="BG20">
        <v>-3.13</v>
      </c>
      <c r="BH20">
        <v>-4.13</v>
      </c>
      <c r="BI20">
        <v>0.12</v>
      </c>
      <c r="BJ20">
        <v>20210910</v>
      </c>
      <c r="BK20">
        <v>19930903</v>
      </c>
      <c r="BL20">
        <v>47.57</v>
      </c>
      <c r="BM20" t="s">
        <v>120</v>
      </c>
      <c r="BN20" t="s">
        <v>120</v>
      </c>
      <c r="BO20">
        <v>1218.1500000000001</v>
      </c>
      <c r="BP20">
        <v>8.36</v>
      </c>
      <c r="BQ20">
        <v>451.12</v>
      </c>
      <c r="BR20">
        <v>42.69</v>
      </c>
      <c r="BS20">
        <v>59.46</v>
      </c>
      <c r="BT20">
        <v>246.45</v>
      </c>
      <c r="BU20">
        <v>415.63</v>
      </c>
      <c r="BV20">
        <v>136.16</v>
      </c>
      <c r="BW20">
        <v>220.06</v>
      </c>
      <c r="BX20">
        <v>72.56</v>
      </c>
      <c r="BY20">
        <v>14.29</v>
      </c>
      <c r="BZ20">
        <v>88.88</v>
      </c>
      <c r="CA20" t="s">
        <v>120</v>
      </c>
      <c r="CB20">
        <v>39.51</v>
      </c>
      <c r="CC20">
        <v>132.63</v>
      </c>
      <c r="CD20">
        <v>96.16</v>
      </c>
      <c r="CE20">
        <v>21.51</v>
      </c>
      <c r="CF20">
        <v>4.6100000000000003</v>
      </c>
      <c r="CG20">
        <v>21.6</v>
      </c>
      <c r="CH20">
        <v>18.77</v>
      </c>
      <c r="CI20">
        <v>16.63</v>
      </c>
      <c r="CJ20">
        <v>-0.28000000000000003</v>
      </c>
      <c r="CK20">
        <v>17.3</v>
      </c>
      <c r="CL20">
        <v>128.36000000000001</v>
      </c>
      <c r="CM20">
        <v>27.17</v>
      </c>
      <c r="CN20">
        <v>8.7100000000000009</v>
      </c>
      <c r="CO20">
        <v>212975</v>
      </c>
      <c r="CP20">
        <v>5906</v>
      </c>
      <c r="CQ20" t="s">
        <v>255</v>
      </c>
      <c r="CR20">
        <v>-41.47</v>
      </c>
      <c r="CS20">
        <v>50.88</v>
      </c>
      <c r="CT20">
        <v>1.47</v>
      </c>
      <c r="CU20">
        <v>14.64</v>
      </c>
      <c r="CV20">
        <v>3</v>
      </c>
      <c r="CW20">
        <v>3.01</v>
      </c>
      <c r="CX20" t="s">
        <v>269</v>
      </c>
      <c r="CY20">
        <v>5.7</v>
      </c>
      <c r="CZ20">
        <v>5.7</v>
      </c>
      <c r="DA20">
        <v>0.83</v>
      </c>
      <c r="DB20">
        <v>2.7</v>
      </c>
      <c r="DC20">
        <v>0.56999999999999995</v>
      </c>
      <c r="DD20">
        <v>37.03</v>
      </c>
      <c r="DE20" t="s">
        <v>270</v>
      </c>
      <c r="DF20">
        <v>27.5</v>
      </c>
      <c r="DG20">
        <v>16.22</v>
      </c>
      <c r="DH20">
        <v>12.54</v>
      </c>
      <c r="DI20">
        <v>0.5</v>
      </c>
      <c r="DJ20">
        <v>7384</v>
      </c>
      <c r="DK20">
        <v>27</v>
      </c>
      <c r="DL20" t="s">
        <v>120</v>
      </c>
      <c r="DM20" t="s">
        <v>120</v>
      </c>
      <c r="DN20" t="s">
        <v>120</v>
      </c>
    </row>
    <row r="21" spans="1:118">
      <c r="A21" t="str">
        <f>"000028"</f>
        <v>000028</v>
      </c>
      <c r="B21" t="s">
        <v>271</v>
      </c>
      <c r="C21">
        <v>-1.1299999999999999</v>
      </c>
      <c r="D21">
        <v>0</v>
      </c>
      <c r="E21">
        <v>0.23</v>
      </c>
      <c r="F21">
        <v>223</v>
      </c>
      <c r="G21" t="s">
        <v>272</v>
      </c>
      <c r="H21">
        <v>6779.34</v>
      </c>
      <c r="I21">
        <v>4.25</v>
      </c>
      <c r="J21" t="s">
        <v>120</v>
      </c>
      <c r="K21" t="s">
        <v>273</v>
      </c>
      <c r="L21">
        <v>0.52</v>
      </c>
      <c r="M21">
        <v>34.96</v>
      </c>
      <c r="N21">
        <v>0.86</v>
      </c>
      <c r="O21">
        <v>0.48</v>
      </c>
      <c r="P21">
        <v>35.53</v>
      </c>
      <c r="Q21">
        <v>-1.33</v>
      </c>
      <c r="R21">
        <v>34.89</v>
      </c>
      <c r="S21">
        <v>35.44</v>
      </c>
      <c r="T21">
        <v>19263</v>
      </c>
      <c r="U21">
        <v>34.96</v>
      </c>
      <c r="V21">
        <v>35.36</v>
      </c>
      <c r="W21">
        <v>10.09</v>
      </c>
      <c r="X21" t="s">
        <v>274</v>
      </c>
      <c r="Y21" t="s">
        <v>123</v>
      </c>
      <c r="Z21">
        <v>1.81</v>
      </c>
      <c r="AA21">
        <v>35.19</v>
      </c>
      <c r="AB21">
        <v>11555</v>
      </c>
      <c r="AC21">
        <v>7708</v>
      </c>
      <c r="AD21">
        <v>1.5</v>
      </c>
      <c r="AE21">
        <v>13</v>
      </c>
      <c r="AF21">
        <v>23</v>
      </c>
      <c r="AG21" t="s">
        <v>120</v>
      </c>
      <c r="AH21">
        <v>0</v>
      </c>
      <c r="AI21" t="s">
        <v>120</v>
      </c>
      <c r="AJ21">
        <v>3.68</v>
      </c>
      <c r="AK21" t="s">
        <v>275</v>
      </c>
      <c r="AL21">
        <v>0.78</v>
      </c>
      <c r="AM21">
        <v>1992</v>
      </c>
      <c r="AN21">
        <v>10</v>
      </c>
      <c r="AO21">
        <v>2.9999999999999997E-4</v>
      </c>
      <c r="AP21">
        <v>-1</v>
      </c>
      <c r="AQ21">
        <v>0.83</v>
      </c>
      <c r="AR21">
        <v>-1.94</v>
      </c>
      <c r="AS21">
        <v>-0.43</v>
      </c>
      <c r="AT21">
        <v>-6.85</v>
      </c>
      <c r="AU21">
        <v>-22.31</v>
      </c>
      <c r="AV21">
        <v>0</v>
      </c>
      <c r="AW21">
        <v>1.51</v>
      </c>
      <c r="AX21">
        <v>29.88</v>
      </c>
      <c r="AY21">
        <v>10.09</v>
      </c>
      <c r="AZ21">
        <v>10.8</v>
      </c>
      <c r="BA21">
        <v>0.28999999999999998</v>
      </c>
      <c r="BB21" t="s">
        <v>143</v>
      </c>
      <c r="BF21">
        <v>-0.47</v>
      </c>
      <c r="BG21">
        <v>-1.35</v>
      </c>
      <c r="BH21">
        <v>-1.6</v>
      </c>
      <c r="BI21">
        <v>0.2</v>
      </c>
      <c r="BJ21">
        <v>20210817</v>
      </c>
      <c r="BK21">
        <v>19930809</v>
      </c>
      <c r="BL21">
        <v>4.28</v>
      </c>
      <c r="BM21">
        <v>0.55000000000000004</v>
      </c>
      <c r="BN21" t="s">
        <v>120</v>
      </c>
      <c r="BO21">
        <v>441.91</v>
      </c>
      <c r="BP21">
        <v>34.950000000000003</v>
      </c>
      <c r="BQ21">
        <v>143.47</v>
      </c>
      <c r="BR21">
        <v>31.41</v>
      </c>
      <c r="BS21">
        <v>60.43</v>
      </c>
      <c r="BT21">
        <v>332.06</v>
      </c>
      <c r="BU21">
        <v>8.4</v>
      </c>
      <c r="BV21">
        <v>7.51</v>
      </c>
      <c r="BW21">
        <v>242.8</v>
      </c>
      <c r="BX21">
        <v>58.77</v>
      </c>
      <c r="BY21">
        <v>72.2</v>
      </c>
      <c r="BZ21">
        <v>177.61</v>
      </c>
      <c r="CA21">
        <v>0.15</v>
      </c>
      <c r="CB21">
        <v>43.72</v>
      </c>
      <c r="CC21">
        <v>331.63</v>
      </c>
      <c r="CD21">
        <v>292.17</v>
      </c>
      <c r="CE21">
        <v>11.37</v>
      </c>
      <c r="CF21">
        <v>1.57</v>
      </c>
      <c r="CG21">
        <v>11.46</v>
      </c>
      <c r="CH21">
        <v>9.08</v>
      </c>
      <c r="CI21">
        <v>7.41</v>
      </c>
      <c r="CJ21">
        <v>-0.4</v>
      </c>
      <c r="CK21">
        <v>7.21</v>
      </c>
      <c r="CL21">
        <v>92.94</v>
      </c>
      <c r="CM21">
        <v>12.29</v>
      </c>
      <c r="CN21">
        <v>1.32</v>
      </c>
      <c r="CO21">
        <v>43600</v>
      </c>
      <c r="CP21">
        <v>4193</v>
      </c>
      <c r="CQ21" t="s">
        <v>276</v>
      </c>
      <c r="CR21">
        <v>15.23</v>
      </c>
      <c r="CS21">
        <v>22.06</v>
      </c>
      <c r="CT21">
        <v>1.04</v>
      </c>
      <c r="CU21">
        <v>12.17</v>
      </c>
      <c r="CV21">
        <v>0.45</v>
      </c>
      <c r="CW21">
        <v>2.2599999999999998</v>
      </c>
      <c r="CX21" t="s">
        <v>277</v>
      </c>
      <c r="CY21">
        <v>33.51</v>
      </c>
      <c r="CZ21">
        <v>0</v>
      </c>
      <c r="DA21">
        <v>10.210000000000001</v>
      </c>
      <c r="DB21">
        <v>21.71</v>
      </c>
      <c r="DC21">
        <v>2.87</v>
      </c>
      <c r="DD21">
        <v>32.47</v>
      </c>
      <c r="DE21" t="s">
        <v>278</v>
      </c>
      <c r="DF21">
        <v>11.9</v>
      </c>
      <c r="DG21">
        <v>3.43</v>
      </c>
      <c r="DH21">
        <v>2.2400000000000002</v>
      </c>
      <c r="DI21" t="s">
        <v>120</v>
      </c>
      <c r="DJ21">
        <v>38289</v>
      </c>
      <c r="DK21">
        <v>28</v>
      </c>
      <c r="DL21" t="s">
        <v>120</v>
      </c>
      <c r="DM21" t="s">
        <v>120</v>
      </c>
      <c r="DN21" t="s">
        <v>120</v>
      </c>
    </row>
    <row r="22" spans="1:118">
      <c r="A22" t="str">
        <f>"000029"</f>
        <v>000029</v>
      </c>
      <c r="B22" t="s">
        <v>279</v>
      </c>
      <c r="C22">
        <v>-1.34</v>
      </c>
      <c r="D22">
        <v>0</v>
      </c>
      <c r="E22">
        <v>-0.13</v>
      </c>
      <c r="F22">
        <v>471</v>
      </c>
      <c r="G22" t="s">
        <v>280</v>
      </c>
      <c r="H22">
        <v>2641.83</v>
      </c>
      <c r="I22">
        <v>1.34</v>
      </c>
      <c r="J22" t="s">
        <v>120</v>
      </c>
      <c r="K22" t="s">
        <v>281</v>
      </c>
      <c r="L22">
        <v>0.4</v>
      </c>
      <c r="M22">
        <v>7.35</v>
      </c>
      <c r="N22">
        <v>0.68</v>
      </c>
      <c r="O22">
        <v>1.61</v>
      </c>
      <c r="P22">
        <v>7.57</v>
      </c>
      <c r="Q22">
        <v>-2.82</v>
      </c>
      <c r="R22">
        <v>7.24</v>
      </c>
      <c r="S22">
        <v>7.44</v>
      </c>
      <c r="T22">
        <v>35802</v>
      </c>
      <c r="U22">
        <v>7.36</v>
      </c>
      <c r="V22">
        <v>7.45</v>
      </c>
      <c r="W22">
        <v>28.07</v>
      </c>
      <c r="X22" t="s">
        <v>150</v>
      </c>
      <c r="Y22" t="s">
        <v>123</v>
      </c>
      <c r="Z22">
        <v>4.43</v>
      </c>
      <c r="AA22">
        <v>7.38</v>
      </c>
      <c r="AB22">
        <v>17532</v>
      </c>
      <c r="AC22">
        <v>18270</v>
      </c>
      <c r="AD22">
        <v>0.96</v>
      </c>
      <c r="AE22">
        <v>51</v>
      </c>
      <c r="AF22">
        <v>105</v>
      </c>
      <c r="AG22" t="s">
        <v>120</v>
      </c>
      <c r="AH22">
        <v>0</v>
      </c>
      <c r="AI22" t="s">
        <v>120</v>
      </c>
      <c r="AJ22">
        <v>8.92</v>
      </c>
      <c r="AK22" t="s">
        <v>282</v>
      </c>
      <c r="AL22">
        <v>0.56999999999999995</v>
      </c>
      <c r="AM22">
        <v>1168</v>
      </c>
      <c r="AN22">
        <v>31</v>
      </c>
      <c r="AO22">
        <v>2.9999999999999997E-4</v>
      </c>
      <c r="AP22">
        <v>-1</v>
      </c>
      <c r="AQ22">
        <v>0.27</v>
      </c>
      <c r="AR22">
        <v>-5.41</v>
      </c>
      <c r="AS22">
        <v>8.89</v>
      </c>
      <c r="AT22">
        <v>1.66</v>
      </c>
      <c r="AU22">
        <v>4.21</v>
      </c>
      <c r="AV22">
        <v>4</v>
      </c>
      <c r="AW22">
        <v>1.44</v>
      </c>
      <c r="AX22">
        <v>24.59</v>
      </c>
      <c r="AY22">
        <v>23.16</v>
      </c>
      <c r="AZ22">
        <v>25.97</v>
      </c>
      <c r="BA22">
        <v>0.13</v>
      </c>
      <c r="BB22" t="s">
        <v>143</v>
      </c>
      <c r="BF22">
        <v>-0.95</v>
      </c>
      <c r="BG22">
        <v>-1.21</v>
      </c>
      <c r="BH22">
        <v>-2.91</v>
      </c>
      <c r="BI22">
        <v>1.52</v>
      </c>
      <c r="BJ22">
        <v>20210830</v>
      </c>
      <c r="BK22">
        <v>19930915</v>
      </c>
      <c r="BL22">
        <v>10.119999999999999</v>
      </c>
      <c r="BM22">
        <v>1.2</v>
      </c>
      <c r="BN22" t="s">
        <v>120</v>
      </c>
      <c r="BO22">
        <v>62.04</v>
      </c>
      <c r="BP22">
        <v>7.35</v>
      </c>
      <c r="BQ22">
        <v>38.43</v>
      </c>
      <c r="BR22">
        <v>2.92</v>
      </c>
      <c r="BS22">
        <v>33.36</v>
      </c>
      <c r="BT22">
        <v>54.31</v>
      </c>
      <c r="BU22">
        <v>0.27</v>
      </c>
      <c r="BV22">
        <v>0</v>
      </c>
      <c r="BW22">
        <v>20.52</v>
      </c>
      <c r="BX22">
        <v>8.82</v>
      </c>
      <c r="BY22">
        <v>29.75</v>
      </c>
      <c r="BZ22">
        <v>0.74</v>
      </c>
      <c r="CA22">
        <v>0.21</v>
      </c>
      <c r="CB22">
        <v>9.7799999999999994</v>
      </c>
      <c r="CC22">
        <v>6.95</v>
      </c>
      <c r="CD22">
        <v>3.32</v>
      </c>
      <c r="CE22">
        <v>1.79</v>
      </c>
      <c r="CF22">
        <v>0</v>
      </c>
      <c r="CG22">
        <v>1.8</v>
      </c>
      <c r="CH22">
        <v>1.32</v>
      </c>
      <c r="CI22">
        <v>1.32</v>
      </c>
      <c r="CJ22">
        <v>-0.1</v>
      </c>
      <c r="CK22">
        <v>1.31</v>
      </c>
      <c r="CL22">
        <v>16.05</v>
      </c>
      <c r="CM22">
        <v>-2.86</v>
      </c>
      <c r="CN22">
        <v>-17.93</v>
      </c>
      <c r="CO22">
        <v>61695</v>
      </c>
      <c r="CP22">
        <v>5977</v>
      </c>
      <c r="CQ22" t="s">
        <v>283</v>
      </c>
      <c r="CR22">
        <v>36.159999999999997</v>
      </c>
      <c r="CS22">
        <v>16.489999999999998</v>
      </c>
      <c r="CT22">
        <v>1.93</v>
      </c>
      <c r="CU22">
        <v>-26.04</v>
      </c>
      <c r="CV22">
        <v>10.71</v>
      </c>
      <c r="CW22">
        <v>1.17</v>
      </c>
      <c r="CX22" t="s">
        <v>284</v>
      </c>
      <c r="CY22">
        <v>3.8</v>
      </c>
      <c r="CZ22">
        <v>0</v>
      </c>
      <c r="DA22">
        <v>0.97</v>
      </c>
      <c r="DB22">
        <v>1.59</v>
      </c>
      <c r="DC22">
        <v>-0.28000000000000003</v>
      </c>
      <c r="DD22">
        <v>61.94</v>
      </c>
      <c r="DE22" t="s">
        <v>285</v>
      </c>
      <c r="DF22">
        <v>52.21</v>
      </c>
      <c r="DG22">
        <v>25.72</v>
      </c>
      <c r="DH22">
        <v>19.07</v>
      </c>
      <c r="DI22" t="s">
        <v>120</v>
      </c>
      <c r="DJ22">
        <v>1668</v>
      </c>
      <c r="DK22">
        <v>29</v>
      </c>
      <c r="DL22" t="s">
        <v>120</v>
      </c>
      <c r="DM22" t="s">
        <v>120</v>
      </c>
      <c r="DN22" t="s">
        <v>120</v>
      </c>
    </row>
    <row r="23" spans="1:118">
      <c r="A23" t="str">
        <f>"000030"</f>
        <v>000030</v>
      </c>
      <c r="B23" t="s">
        <v>286</v>
      </c>
      <c r="C23">
        <v>-3.4</v>
      </c>
      <c r="D23">
        <v>0</v>
      </c>
      <c r="E23">
        <v>0.16</v>
      </c>
      <c r="F23">
        <v>3000</v>
      </c>
      <c r="G23" t="s">
        <v>287</v>
      </c>
      <c r="H23">
        <v>9692.5499999999993</v>
      </c>
      <c r="I23">
        <v>14.52</v>
      </c>
      <c r="J23" t="s">
        <v>120</v>
      </c>
      <c r="K23" t="s">
        <v>288</v>
      </c>
      <c r="L23">
        <v>0.91</v>
      </c>
      <c r="M23">
        <v>5.96</v>
      </c>
      <c r="N23">
        <v>0.91</v>
      </c>
      <c r="O23">
        <v>0.16</v>
      </c>
      <c r="P23">
        <v>6.18</v>
      </c>
      <c r="Q23">
        <v>-3.73</v>
      </c>
      <c r="R23">
        <v>5.94</v>
      </c>
      <c r="S23">
        <v>6.18</v>
      </c>
      <c r="T23">
        <v>160083</v>
      </c>
      <c r="U23">
        <v>5.96</v>
      </c>
      <c r="V23">
        <v>6.17</v>
      </c>
      <c r="W23">
        <v>10.85</v>
      </c>
      <c r="X23" t="s">
        <v>289</v>
      </c>
      <c r="Y23" t="s">
        <v>290</v>
      </c>
      <c r="Z23">
        <v>3.89</v>
      </c>
      <c r="AA23">
        <v>6.05</v>
      </c>
      <c r="AB23">
        <v>111153</v>
      </c>
      <c r="AC23">
        <v>48930</v>
      </c>
      <c r="AD23">
        <v>2.27</v>
      </c>
      <c r="AE23">
        <v>939</v>
      </c>
      <c r="AF23">
        <v>55</v>
      </c>
      <c r="AG23" t="s">
        <v>120</v>
      </c>
      <c r="AH23">
        <v>0</v>
      </c>
      <c r="AI23" t="s">
        <v>120</v>
      </c>
      <c r="AJ23">
        <v>17.600000000000001</v>
      </c>
      <c r="AK23" t="s">
        <v>291</v>
      </c>
      <c r="AL23">
        <v>-1.49</v>
      </c>
      <c r="AM23">
        <v>1939</v>
      </c>
      <c r="AN23">
        <v>83</v>
      </c>
      <c r="AO23">
        <v>5.0000000000000001E-4</v>
      </c>
      <c r="AP23">
        <v>-3</v>
      </c>
      <c r="AQ23">
        <v>-0.32</v>
      </c>
      <c r="AR23">
        <v>-7.16</v>
      </c>
      <c r="AS23">
        <v>-9.2899999999999991</v>
      </c>
      <c r="AT23">
        <v>-9.42</v>
      </c>
      <c r="AU23">
        <v>-15.34</v>
      </c>
      <c r="AV23">
        <v>1</v>
      </c>
      <c r="AW23">
        <v>2.9</v>
      </c>
      <c r="AX23">
        <v>30.5</v>
      </c>
      <c r="AY23">
        <v>11.6</v>
      </c>
      <c r="AZ23">
        <v>12.39</v>
      </c>
      <c r="BA23">
        <v>0.52</v>
      </c>
      <c r="BB23" t="s">
        <v>125</v>
      </c>
      <c r="BF23">
        <v>-1.87</v>
      </c>
      <c r="BG23">
        <v>-3.56</v>
      </c>
      <c r="BH23">
        <v>-3.56</v>
      </c>
      <c r="BI23">
        <v>0.34</v>
      </c>
      <c r="BJ23">
        <v>20210826</v>
      </c>
      <c r="BK23">
        <v>19930929</v>
      </c>
      <c r="BL23">
        <v>18.11</v>
      </c>
      <c r="BM23">
        <v>0.48</v>
      </c>
      <c r="BN23" t="s">
        <v>120</v>
      </c>
      <c r="BO23">
        <v>152.47</v>
      </c>
      <c r="BP23">
        <v>5.95</v>
      </c>
      <c r="BQ23">
        <v>72.459999999999994</v>
      </c>
      <c r="BR23">
        <v>10.9</v>
      </c>
      <c r="BS23">
        <v>45.33</v>
      </c>
      <c r="BT23">
        <v>82.48</v>
      </c>
      <c r="BU23">
        <v>23.51</v>
      </c>
      <c r="BV23">
        <v>7.03</v>
      </c>
      <c r="BW23">
        <v>56.77</v>
      </c>
      <c r="BX23">
        <v>13.14</v>
      </c>
      <c r="BY23">
        <v>11.65</v>
      </c>
      <c r="BZ23">
        <v>23.38</v>
      </c>
      <c r="CA23">
        <v>0.14000000000000001</v>
      </c>
      <c r="CB23">
        <v>5.27</v>
      </c>
      <c r="CC23">
        <v>66.760000000000005</v>
      </c>
      <c r="CD23">
        <v>59.09</v>
      </c>
      <c r="CE23">
        <v>4.25</v>
      </c>
      <c r="CF23">
        <v>3.12</v>
      </c>
      <c r="CG23">
        <v>5.09</v>
      </c>
      <c r="CH23">
        <v>4.87</v>
      </c>
      <c r="CI23">
        <v>4.97</v>
      </c>
      <c r="CJ23">
        <v>-0.21</v>
      </c>
      <c r="CK23">
        <v>3.92</v>
      </c>
      <c r="CL23">
        <v>44.7</v>
      </c>
      <c r="CM23">
        <v>1.1299999999999999</v>
      </c>
      <c r="CN23">
        <v>-2.4300000000000002</v>
      </c>
      <c r="CO23">
        <v>29589</v>
      </c>
      <c r="CP23">
        <v>20281</v>
      </c>
      <c r="CQ23" t="s">
        <v>292</v>
      </c>
      <c r="CR23">
        <v>14.08</v>
      </c>
      <c r="CS23">
        <v>27</v>
      </c>
      <c r="CT23">
        <v>1.49</v>
      </c>
      <c r="CU23">
        <v>95.27</v>
      </c>
      <c r="CV23">
        <v>1.62</v>
      </c>
      <c r="CW23">
        <v>4.68</v>
      </c>
      <c r="CX23" t="s">
        <v>293</v>
      </c>
      <c r="CY23">
        <v>4</v>
      </c>
      <c r="CZ23">
        <v>0</v>
      </c>
      <c r="DA23">
        <v>0.28999999999999998</v>
      </c>
      <c r="DB23">
        <v>2.4700000000000002</v>
      </c>
      <c r="DC23">
        <v>0.06</v>
      </c>
      <c r="DD23">
        <v>47.52</v>
      </c>
      <c r="DE23" t="s">
        <v>294</v>
      </c>
      <c r="DF23">
        <v>11.49</v>
      </c>
      <c r="DG23">
        <v>6.37</v>
      </c>
      <c r="DH23">
        <v>7.45</v>
      </c>
      <c r="DI23">
        <v>1.48</v>
      </c>
      <c r="DJ23">
        <v>7397</v>
      </c>
      <c r="DK23">
        <v>30</v>
      </c>
      <c r="DL23" t="s">
        <v>120</v>
      </c>
      <c r="DM23" t="s">
        <v>120</v>
      </c>
      <c r="DN23" t="s">
        <v>120</v>
      </c>
    </row>
    <row r="24" spans="1:118">
      <c r="A24" t="str">
        <f>"000031"</f>
        <v>000031</v>
      </c>
      <c r="B24" t="s">
        <v>295</v>
      </c>
      <c r="C24">
        <v>-1.98</v>
      </c>
      <c r="D24">
        <v>-0.85</v>
      </c>
      <c r="E24">
        <v>0</v>
      </c>
      <c r="F24">
        <v>7135</v>
      </c>
      <c r="G24" t="s">
        <v>296</v>
      </c>
      <c r="H24">
        <v>2823.13</v>
      </c>
      <c r="I24">
        <v>26.44</v>
      </c>
      <c r="J24" t="s">
        <v>120</v>
      </c>
      <c r="K24" t="s">
        <v>297</v>
      </c>
      <c r="L24">
        <v>0.42</v>
      </c>
      <c r="M24">
        <v>3.47</v>
      </c>
      <c r="N24">
        <v>0.79</v>
      </c>
      <c r="O24">
        <v>1.41</v>
      </c>
      <c r="P24">
        <v>3.59</v>
      </c>
      <c r="Q24">
        <v>-1.98</v>
      </c>
      <c r="R24">
        <v>3.47</v>
      </c>
      <c r="S24">
        <v>3.54</v>
      </c>
      <c r="T24">
        <v>79758</v>
      </c>
      <c r="U24">
        <v>3.48</v>
      </c>
      <c r="V24">
        <v>3.54</v>
      </c>
      <c r="W24">
        <v>12.1</v>
      </c>
      <c r="X24" t="s">
        <v>132</v>
      </c>
      <c r="Y24" t="s">
        <v>123</v>
      </c>
      <c r="Z24">
        <v>3.39</v>
      </c>
      <c r="AA24">
        <v>3.54</v>
      </c>
      <c r="AB24">
        <v>47454</v>
      </c>
      <c r="AC24">
        <v>32304</v>
      </c>
      <c r="AD24">
        <v>1.47</v>
      </c>
      <c r="AE24">
        <v>405</v>
      </c>
      <c r="AF24">
        <v>8</v>
      </c>
      <c r="AG24" t="s">
        <v>120</v>
      </c>
      <c r="AH24">
        <v>0.01</v>
      </c>
      <c r="AI24" t="s">
        <v>120</v>
      </c>
      <c r="AJ24">
        <v>18.91</v>
      </c>
      <c r="AK24" t="s">
        <v>298</v>
      </c>
      <c r="AL24">
        <v>-0.06</v>
      </c>
      <c r="AM24">
        <v>1676</v>
      </c>
      <c r="AN24">
        <v>48</v>
      </c>
      <c r="AO24">
        <v>2.9999999999999997E-4</v>
      </c>
      <c r="AP24">
        <v>-3</v>
      </c>
      <c r="AQ24">
        <v>-0.28000000000000003</v>
      </c>
      <c r="AR24">
        <v>-4.93</v>
      </c>
      <c r="AS24">
        <v>3.89</v>
      </c>
      <c r="AT24">
        <v>-6.97</v>
      </c>
      <c r="AU24">
        <v>-21.14</v>
      </c>
      <c r="AV24">
        <v>0</v>
      </c>
      <c r="AW24">
        <v>0.77</v>
      </c>
      <c r="AX24">
        <v>24.11</v>
      </c>
      <c r="AY24" t="s">
        <v>120</v>
      </c>
      <c r="AZ24" t="s">
        <v>120</v>
      </c>
      <c r="BA24">
        <v>0.22</v>
      </c>
      <c r="BB24" t="s">
        <v>143</v>
      </c>
      <c r="BF24">
        <v>-0.01</v>
      </c>
      <c r="BG24">
        <v>-1.98</v>
      </c>
      <c r="BH24">
        <v>-3.34</v>
      </c>
      <c r="BI24">
        <v>0</v>
      </c>
      <c r="BJ24">
        <v>20210830</v>
      </c>
      <c r="BK24">
        <v>19931008</v>
      </c>
      <c r="BL24">
        <v>42.86</v>
      </c>
      <c r="BM24" t="s">
        <v>120</v>
      </c>
      <c r="BN24" t="s">
        <v>120</v>
      </c>
      <c r="BO24">
        <v>2139.2199999999998</v>
      </c>
      <c r="BP24">
        <v>3.47</v>
      </c>
      <c r="BQ24">
        <v>192.32</v>
      </c>
      <c r="BR24">
        <v>302.56</v>
      </c>
      <c r="BS24">
        <v>76.87</v>
      </c>
      <c r="BT24">
        <v>1610.83</v>
      </c>
      <c r="BU24">
        <v>39.39</v>
      </c>
      <c r="BV24">
        <v>17.739999999999998</v>
      </c>
      <c r="BW24">
        <v>1056.3900000000001</v>
      </c>
      <c r="BX24">
        <v>264.60000000000002</v>
      </c>
      <c r="BY24">
        <v>1018.64</v>
      </c>
      <c r="BZ24">
        <v>4.3499999999999996</v>
      </c>
      <c r="CA24">
        <v>2.88</v>
      </c>
      <c r="CB24">
        <v>87.24</v>
      </c>
      <c r="CC24">
        <v>142.47999999999999</v>
      </c>
      <c r="CD24">
        <v>99.46</v>
      </c>
      <c r="CE24">
        <v>19.28</v>
      </c>
      <c r="CF24">
        <v>-6.15</v>
      </c>
      <c r="CG24">
        <v>19.309999999999999</v>
      </c>
      <c r="CH24">
        <v>11.61</v>
      </c>
      <c r="CI24">
        <v>6.15</v>
      </c>
      <c r="CJ24">
        <v>-7.0000000000000007E-2</v>
      </c>
      <c r="CK24">
        <v>6.02</v>
      </c>
      <c r="CL24">
        <v>49.98</v>
      </c>
      <c r="CM24">
        <v>-77.930000000000007</v>
      </c>
      <c r="CN24">
        <v>-55.13</v>
      </c>
      <c r="CO24">
        <v>123432</v>
      </c>
      <c r="CP24">
        <v>8372</v>
      </c>
      <c r="CQ24" t="s">
        <v>299</v>
      </c>
      <c r="CR24">
        <v>8.65</v>
      </c>
      <c r="CS24">
        <v>16.920000000000002</v>
      </c>
      <c r="CT24">
        <v>0.77</v>
      </c>
      <c r="CU24">
        <v>-1.91</v>
      </c>
      <c r="CV24">
        <v>1.04</v>
      </c>
      <c r="CW24">
        <v>0</v>
      </c>
      <c r="CX24" t="s">
        <v>300</v>
      </c>
      <c r="CY24">
        <v>4.49</v>
      </c>
      <c r="CZ24">
        <v>0</v>
      </c>
      <c r="DA24">
        <v>2.04</v>
      </c>
      <c r="DB24">
        <v>1.17</v>
      </c>
      <c r="DC24">
        <v>-1.82</v>
      </c>
      <c r="DD24">
        <v>8.99</v>
      </c>
      <c r="DE24" t="s">
        <v>301</v>
      </c>
      <c r="DF24">
        <v>30.2</v>
      </c>
      <c r="DG24">
        <v>13.53</v>
      </c>
      <c r="DH24">
        <v>4.3099999999999996</v>
      </c>
      <c r="DI24">
        <v>0.01</v>
      </c>
      <c r="DJ24">
        <v>10283</v>
      </c>
      <c r="DK24">
        <v>31</v>
      </c>
      <c r="DL24" t="s">
        <v>120</v>
      </c>
      <c r="DM24" t="s">
        <v>120</v>
      </c>
      <c r="DN24" t="s">
        <v>120</v>
      </c>
    </row>
    <row r="25" spans="1:118">
      <c r="A25" t="str">
        <f>"000032"</f>
        <v>000032</v>
      </c>
      <c r="B25" t="s">
        <v>302</v>
      </c>
      <c r="C25">
        <v>-0.53</v>
      </c>
      <c r="D25">
        <v>-0.04</v>
      </c>
      <c r="E25">
        <v>0</v>
      </c>
      <c r="F25">
        <v>198</v>
      </c>
      <c r="G25" t="s">
        <v>303</v>
      </c>
      <c r="H25">
        <v>3075.54</v>
      </c>
      <c r="I25">
        <v>0.75</v>
      </c>
      <c r="J25" t="s">
        <v>120</v>
      </c>
      <c r="K25" t="s">
        <v>304</v>
      </c>
      <c r="L25">
        <v>0.4</v>
      </c>
      <c r="M25">
        <v>18.77</v>
      </c>
      <c r="N25">
        <v>0.78</v>
      </c>
      <c r="O25">
        <v>1.43</v>
      </c>
      <c r="P25">
        <v>19.14</v>
      </c>
      <c r="Q25">
        <v>-0.79</v>
      </c>
      <c r="R25">
        <v>18.72</v>
      </c>
      <c r="S25">
        <v>18.87</v>
      </c>
      <c r="T25">
        <v>16279</v>
      </c>
      <c r="U25">
        <v>18.79</v>
      </c>
      <c r="V25">
        <v>18.87</v>
      </c>
      <c r="W25">
        <v>277.25</v>
      </c>
      <c r="X25" t="s">
        <v>229</v>
      </c>
      <c r="Y25" t="s">
        <v>123</v>
      </c>
      <c r="Z25">
        <v>2.23</v>
      </c>
      <c r="AA25">
        <v>18.89</v>
      </c>
      <c r="AB25">
        <v>7724</v>
      </c>
      <c r="AC25">
        <v>8555</v>
      </c>
      <c r="AD25">
        <v>0.9</v>
      </c>
      <c r="AE25">
        <v>48</v>
      </c>
      <c r="AF25">
        <v>4</v>
      </c>
      <c r="AG25" t="s">
        <v>120</v>
      </c>
      <c r="AH25">
        <v>0</v>
      </c>
      <c r="AI25" t="s">
        <v>120</v>
      </c>
      <c r="AJ25">
        <v>4.1100000000000003</v>
      </c>
      <c r="AK25" t="s">
        <v>305</v>
      </c>
      <c r="AL25">
        <v>1.38</v>
      </c>
      <c r="AM25">
        <v>1008</v>
      </c>
      <c r="AN25">
        <v>16</v>
      </c>
      <c r="AO25">
        <v>4.0000000000000002E-4</v>
      </c>
      <c r="AP25">
        <v>-2</v>
      </c>
      <c r="AQ25">
        <v>-0.47</v>
      </c>
      <c r="AR25">
        <v>0.38</v>
      </c>
      <c r="AS25">
        <v>12.53</v>
      </c>
      <c r="AT25">
        <v>-2.19</v>
      </c>
      <c r="AU25">
        <v>4.8600000000000003</v>
      </c>
      <c r="AV25">
        <v>6</v>
      </c>
      <c r="AW25">
        <v>0.98</v>
      </c>
      <c r="AX25">
        <v>15.52</v>
      </c>
      <c r="AY25">
        <v>118.6</v>
      </c>
      <c r="AZ25">
        <v>135.63999999999999</v>
      </c>
      <c r="BA25">
        <v>0.47</v>
      </c>
      <c r="BB25" t="s">
        <v>184</v>
      </c>
      <c r="BF25">
        <v>0.12</v>
      </c>
      <c r="BG25">
        <v>-0.53</v>
      </c>
      <c r="BH25">
        <v>-1.93</v>
      </c>
      <c r="BI25">
        <v>0.27</v>
      </c>
      <c r="BJ25">
        <v>20210910</v>
      </c>
      <c r="BK25">
        <v>19931028</v>
      </c>
      <c r="BL25">
        <v>10.71</v>
      </c>
      <c r="BM25" t="s">
        <v>120</v>
      </c>
      <c r="BN25" t="s">
        <v>120</v>
      </c>
      <c r="BO25">
        <v>388.72</v>
      </c>
      <c r="BP25">
        <v>18.77</v>
      </c>
      <c r="BQ25">
        <v>46.77</v>
      </c>
      <c r="BR25">
        <v>29.58</v>
      </c>
      <c r="BS25">
        <v>80.36</v>
      </c>
      <c r="BT25">
        <v>298.97000000000003</v>
      </c>
      <c r="BU25">
        <v>39.520000000000003</v>
      </c>
      <c r="BV25">
        <v>10.72</v>
      </c>
      <c r="BW25">
        <v>250</v>
      </c>
      <c r="BX25">
        <v>44.82</v>
      </c>
      <c r="BY25">
        <v>5.99</v>
      </c>
      <c r="BZ25">
        <v>98.28</v>
      </c>
      <c r="CA25">
        <v>0</v>
      </c>
      <c r="CB25">
        <v>22.9</v>
      </c>
      <c r="CC25">
        <v>172.83</v>
      </c>
      <c r="CD25">
        <v>154.28</v>
      </c>
      <c r="CE25">
        <v>5.83</v>
      </c>
      <c r="CF25">
        <v>0.98</v>
      </c>
      <c r="CG25">
        <v>5.83</v>
      </c>
      <c r="CH25">
        <v>3.48</v>
      </c>
      <c r="CI25">
        <v>0.36</v>
      </c>
      <c r="CJ25">
        <v>-0.1</v>
      </c>
      <c r="CK25">
        <v>0.13</v>
      </c>
      <c r="CL25">
        <v>10.75</v>
      </c>
      <c r="CM25">
        <v>-27.84</v>
      </c>
      <c r="CN25">
        <v>-22.59</v>
      </c>
      <c r="CO25">
        <v>18109</v>
      </c>
      <c r="CP25">
        <v>9182</v>
      </c>
      <c r="CQ25" t="s">
        <v>306</v>
      </c>
      <c r="CR25">
        <v>144.19</v>
      </c>
      <c r="CS25">
        <v>31.13</v>
      </c>
      <c r="CT25">
        <v>4.3</v>
      </c>
      <c r="CU25">
        <v>-7.22</v>
      </c>
      <c r="CV25">
        <v>1.1599999999999999</v>
      </c>
      <c r="CW25">
        <v>0</v>
      </c>
      <c r="CX25" t="s">
        <v>145</v>
      </c>
      <c r="CY25">
        <v>4.37</v>
      </c>
      <c r="CZ25">
        <v>0</v>
      </c>
      <c r="DA25">
        <v>2.14</v>
      </c>
      <c r="DB25">
        <v>1</v>
      </c>
      <c r="DC25">
        <v>-2.6</v>
      </c>
      <c r="DD25">
        <v>12.03</v>
      </c>
      <c r="DE25" t="s">
        <v>307</v>
      </c>
      <c r="DF25">
        <v>10.73</v>
      </c>
      <c r="DG25">
        <v>3.37</v>
      </c>
      <c r="DH25">
        <v>0.21</v>
      </c>
      <c r="DI25">
        <v>3.45</v>
      </c>
      <c r="DJ25">
        <v>476</v>
      </c>
      <c r="DK25">
        <v>32</v>
      </c>
      <c r="DL25" t="s">
        <v>120</v>
      </c>
      <c r="DM25" t="s">
        <v>120</v>
      </c>
      <c r="DN25" t="s">
        <v>120</v>
      </c>
    </row>
    <row r="26" spans="1:118">
      <c r="A26" t="str">
        <f>"000034"</f>
        <v>000034</v>
      </c>
      <c r="B26" t="s">
        <v>308</v>
      </c>
      <c r="C26">
        <v>-1.41</v>
      </c>
      <c r="D26">
        <v>0.06</v>
      </c>
      <c r="E26">
        <v>-0.12</v>
      </c>
      <c r="F26">
        <v>477</v>
      </c>
      <c r="G26" t="s">
        <v>309</v>
      </c>
      <c r="H26">
        <v>9596.24</v>
      </c>
      <c r="I26">
        <v>58.63</v>
      </c>
      <c r="J26" t="s">
        <v>120</v>
      </c>
      <c r="K26" t="s">
        <v>310</v>
      </c>
      <c r="L26">
        <v>1.19</v>
      </c>
      <c r="M26">
        <v>16.03</v>
      </c>
      <c r="N26">
        <v>0.73</v>
      </c>
      <c r="O26">
        <v>0.62</v>
      </c>
      <c r="P26">
        <v>16.36</v>
      </c>
      <c r="Q26">
        <v>-1.54</v>
      </c>
      <c r="R26">
        <v>16.010000000000002</v>
      </c>
      <c r="S26">
        <v>16.239999999999998</v>
      </c>
      <c r="T26">
        <v>59480</v>
      </c>
      <c r="U26">
        <v>16.04</v>
      </c>
      <c r="V26">
        <v>16.260000000000002</v>
      </c>
      <c r="W26" t="s">
        <v>120</v>
      </c>
      <c r="X26" t="s">
        <v>166</v>
      </c>
      <c r="Y26" t="s">
        <v>123</v>
      </c>
      <c r="Z26">
        <v>2.15</v>
      </c>
      <c r="AA26">
        <v>16.13</v>
      </c>
      <c r="AB26">
        <v>35366</v>
      </c>
      <c r="AC26">
        <v>24114</v>
      </c>
      <c r="AD26">
        <v>1.47</v>
      </c>
      <c r="AE26">
        <v>7</v>
      </c>
      <c r="AF26">
        <v>98</v>
      </c>
      <c r="AG26" t="s">
        <v>120</v>
      </c>
      <c r="AH26">
        <v>0.01</v>
      </c>
      <c r="AI26" t="s">
        <v>120</v>
      </c>
      <c r="AJ26">
        <v>5</v>
      </c>
      <c r="AK26" t="s">
        <v>311</v>
      </c>
      <c r="AL26">
        <v>0.5</v>
      </c>
      <c r="AM26">
        <v>2235</v>
      </c>
      <c r="AN26">
        <v>27</v>
      </c>
      <c r="AO26">
        <v>5.0000000000000001E-4</v>
      </c>
      <c r="AP26">
        <v>-2</v>
      </c>
      <c r="AQ26">
        <v>-3.1</v>
      </c>
      <c r="AR26">
        <v>-0.62</v>
      </c>
      <c r="AS26">
        <v>-5.26</v>
      </c>
      <c r="AT26">
        <v>-15.05</v>
      </c>
      <c r="AU26">
        <v>-24.64</v>
      </c>
      <c r="AV26">
        <v>5</v>
      </c>
      <c r="AW26">
        <v>1.48</v>
      </c>
      <c r="AX26">
        <v>60.7</v>
      </c>
      <c r="AY26">
        <v>43.16</v>
      </c>
      <c r="AZ26">
        <v>17.190000000000001</v>
      </c>
      <c r="BA26">
        <v>0.16</v>
      </c>
      <c r="BB26" t="s">
        <v>134</v>
      </c>
      <c r="BF26">
        <v>-0.78</v>
      </c>
      <c r="BG26">
        <v>-1.29</v>
      </c>
      <c r="BH26">
        <v>-2.02</v>
      </c>
      <c r="BI26">
        <v>0.12</v>
      </c>
      <c r="BJ26">
        <v>20210830</v>
      </c>
      <c r="BK26">
        <v>19940509</v>
      </c>
      <c r="BL26">
        <v>6.6</v>
      </c>
      <c r="BM26" t="s">
        <v>120</v>
      </c>
      <c r="BN26" t="s">
        <v>120</v>
      </c>
      <c r="BO26">
        <v>324.83</v>
      </c>
      <c r="BP26">
        <v>16.03</v>
      </c>
      <c r="BQ26">
        <v>51</v>
      </c>
      <c r="BR26">
        <v>3.44</v>
      </c>
      <c r="BS26">
        <v>83.24</v>
      </c>
      <c r="BT26">
        <v>259.11</v>
      </c>
      <c r="BU26">
        <v>2.12</v>
      </c>
      <c r="BV26">
        <v>23.06</v>
      </c>
      <c r="BW26">
        <v>242.41</v>
      </c>
      <c r="BX26">
        <v>43.38</v>
      </c>
      <c r="BY26">
        <v>101.39</v>
      </c>
      <c r="BZ26">
        <v>83.19</v>
      </c>
      <c r="CA26" t="s">
        <v>120</v>
      </c>
      <c r="CB26">
        <v>31.74</v>
      </c>
      <c r="CC26">
        <v>567</v>
      </c>
      <c r="CD26">
        <v>546.29999999999995</v>
      </c>
      <c r="CE26">
        <v>-0.56999999999999995</v>
      </c>
      <c r="CF26">
        <v>-5.1100000000000003</v>
      </c>
      <c r="CG26">
        <v>-0.55000000000000004</v>
      </c>
      <c r="CH26">
        <v>-1.46</v>
      </c>
      <c r="CI26">
        <v>-1.32</v>
      </c>
      <c r="CJ26">
        <v>-0.23</v>
      </c>
      <c r="CK26">
        <v>3.39</v>
      </c>
      <c r="CL26">
        <v>14.74</v>
      </c>
      <c r="CM26">
        <v>0.46</v>
      </c>
      <c r="CN26">
        <v>6.09</v>
      </c>
      <c r="CO26">
        <v>69591</v>
      </c>
      <c r="CP26">
        <v>5756</v>
      </c>
      <c r="CQ26" t="s">
        <v>312</v>
      </c>
      <c r="CR26">
        <v>-154.09</v>
      </c>
      <c r="CS26">
        <v>39.58</v>
      </c>
      <c r="CT26">
        <v>2.0699999999999998</v>
      </c>
      <c r="CU26">
        <v>229.63</v>
      </c>
      <c r="CV26">
        <v>0.19</v>
      </c>
      <c r="CW26">
        <v>1.1399999999999999</v>
      </c>
      <c r="CX26" t="s">
        <v>313</v>
      </c>
      <c r="CY26">
        <v>7.73</v>
      </c>
      <c r="CZ26">
        <v>7.73</v>
      </c>
      <c r="DA26">
        <v>4.8099999999999996</v>
      </c>
      <c r="DB26">
        <v>2.23</v>
      </c>
      <c r="DC26">
        <v>7.0000000000000007E-2</v>
      </c>
      <c r="DD26">
        <v>15.7</v>
      </c>
      <c r="DE26" t="s">
        <v>314</v>
      </c>
      <c r="DF26">
        <v>3.65</v>
      </c>
      <c r="DG26">
        <v>-0.1</v>
      </c>
      <c r="DH26">
        <v>-0.23</v>
      </c>
      <c r="DI26">
        <v>0.98</v>
      </c>
      <c r="DJ26">
        <v>4569</v>
      </c>
      <c r="DK26">
        <v>34</v>
      </c>
      <c r="DL26" t="s">
        <v>120</v>
      </c>
      <c r="DM26" t="s">
        <v>120</v>
      </c>
      <c r="DN26" t="s">
        <v>120</v>
      </c>
    </row>
    <row r="27" spans="1:118">
      <c r="A27" t="str">
        <f>"000035"</f>
        <v>000035</v>
      </c>
      <c r="B27" t="s">
        <v>315</v>
      </c>
      <c r="C27">
        <v>-2.0699999999999998</v>
      </c>
      <c r="D27">
        <v>0</v>
      </c>
      <c r="E27">
        <v>0</v>
      </c>
      <c r="F27">
        <v>588</v>
      </c>
      <c r="G27" t="s">
        <v>316</v>
      </c>
      <c r="H27">
        <v>5490.51</v>
      </c>
      <c r="I27">
        <v>12.34</v>
      </c>
      <c r="J27" t="s">
        <v>120</v>
      </c>
      <c r="K27" t="s">
        <v>317</v>
      </c>
      <c r="L27">
        <v>0.46</v>
      </c>
      <c r="M27">
        <v>4.74</v>
      </c>
      <c r="N27">
        <v>0.77</v>
      </c>
      <c r="O27">
        <v>1.24</v>
      </c>
      <c r="P27">
        <v>4.9000000000000004</v>
      </c>
      <c r="Q27">
        <v>-2.27</v>
      </c>
      <c r="R27">
        <v>4.7300000000000004</v>
      </c>
      <c r="S27">
        <v>4.84</v>
      </c>
      <c r="T27">
        <v>113985</v>
      </c>
      <c r="U27">
        <v>4.75</v>
      </c>
      <c r="V27">
        <v>4.84</v>
      </c>
      <c r="W27">
        <v>17.66</v>
      </c>
      <c r="X27" t="s">
        <v>318</v>
      </c>
      <c r="Y27" t="s">
        <v>319</v>
      </c>
      <c r="Z27">
        <v>3.51</v>
      </c>
      <c r="AA27">
        <v>4.82</v>
      </c>
      <c r="AB27">
        <v>63853</v>
      </c>
      <c r="AC27">
        <v>50132</v>
      </c>
      <c r="AD27">
        <v>1.27</v>
      </c>
      <c r="AE27">
        <v>269</v>
      </c>
      <c r="AF27">
        <v>35</v>
      </c>
      <c r="AG27" t="s">
        <v>120</v>
      </c>
      <c r="AH27">
        <v>0</v>
      </c>
      <c r="AI27" t="s">
        <v>120</v>
      </c>
      <c r="AJ27">
        <v>24.53</v>
      </c>
      <c r="AK27" t="s">
        <v>320</v>
      </c>
      <c r="AL27">
        <v>-0.15</v>
      </c>
      <c r="AM27">
        <v>2109</v>
      </c>
      <c r="AN27">
        <v>54</v>
      </c>
      <c r="AO27">
        <v>2.0000000000000001E-4</v>
      </c>
      <c r="AP27">
        <v>-1</v>
      </c>
      <c r="AQ27">
        <v>0.62</v>
      </c>
      <c r="AR27">
        <v>-3.47</v>
      </c>
      <c r="AS27">
        <v>7.97</v>
      </c>
      <c r="AT27">
        <v>-0.63</v>
      </c>
      <c r="AU27">
        <v>15.33</v>
      </c>
      <c r="AV27">
        <v>0</v>
      </c>
      <c r="AW27">
        <v>0.65</v>
      </c>
      <c r="AX27">
        <v>69.650000000000006</v>
      </c>
      <c r="AY27">
        <v>17.54</v>
      </c>
      <c r="AZ27">
        <v>18.690000000000001</v>
      </c>
      <c r="BA27">
        <v>0.19</v>
      </c>
      <c r="BB27" t="s">
        <v>184</v>
      </c>
      <c r="BF27">
        <v>-0.48</v>
      </c>
      <c r="BG27">
        <v>-2.0699999999999998</v>
      </c>
      <c r="BH27">
        <v>-3.27</v>
      </c>
      <c r="BI27">
        <v>0.21</v>
      </c>
      <c r="BJ27">
        <v>20210831</v>
      </c>
      <c r="BK27">
        <v>19940408</v>
      </c>
      <c r="BL27">
        <v>25.24</v>
      </c>
      <c r="BM27" t="s">
        <v>120</v>
      </c>
      <c r="BN27" t="s">
        <v>120</v>
      </c>
      <c r="BO27">
        <v>527.38</v>
      </c>
      <c r="BP27">
        <v>4.74</v>
      </c>
      <c r="BQ27">
        <v>116.46</v>
      </c>
      <c r="BR27">
        <v>7.21</v>
      </c>
      <c r="BS27">
        <v>76.55</v>
      </c>
      <c r="BT27">
        <v>126.26</v>
      </c>
      <c r="BU27">
        <v>76.7</v>
      </c>
      <c r="BV27">
        <v>108.77</v>
      </c>
      <c r="BW27">
        <v>158.38</v>
      </c>
      <c r="BX27">
        <v>31.83</v>
      </c>
      <c r="BY27">
        <v>8.1300000000000008</v>
      </c>
      <c r="BZ27">
        <v>61.72</v>
      </c>
      <c r="CA27" t="s">
        <v>120</v>
      </c>
      <c r="CB27">
        <v>83.51</v>
      </c>
      <c r="CC27">
        <v>114.64</v>
      </c>
      <c r="CD27">
        <v>96.78</v>
      </c>
      <c r="CE27">
        <v>5.82</v>
      </c>
      <c r="CF27">
        <v>0.41</v>
      </c>
      <c r="CG27">
        <v>5.79</v>
      </c>
      <c r="CH27">
        <v>4.4800000000000004</v>
      </c>
      <c r="CI27">
        <v>3.39</v>
      </c>
      <c r="CJ27">
        <v>-0.1</v>
      </c>
      <c r="CK27">
        <v>3.47</v>
      </c>
      <c r="CL27">
        <v>27.04</v>
      </c>
      <c r="CM27">
        <v>14.44</v>
      </c>
      <c r="CN27">
        <v>-2.48</v>
      </c>
      <c r="CO27">
        <v>37688</v>
      </c>
      <c r="CP27">
        <v>46641</v>
      </c>
      <c r="CQ27" t="s">
        <v>321</v>
      </c>
      <c r="CR27">
        <v>14.45</v>
      </c>
      <c r="CS27">
        <v>7.15</v>
      </c>
      <c r="CT27">
        <v>1.03</v>
      </c>
      <c r="CU27">
        <v>8.2899999999999991</v>
      </c>
      <c r="CV27">
        <v>1.04</v>
      </c>
      <c r="CW27">
        <v>0</v>
      </c>
      <c r="CX27" t="s">
        <v>322</v>
      </c>
      <c r="CY27">
        <v>4.6100000000000003</v>
      </c>
      <c r="CZ27">
        <v>0</v>
      </c>
      <c r="DA27">
        <v>3.31</v>
      </c>
      <c r="DB27">
        <v>1.07</v>
      </c>
      <c r="DC27">
        <v>0.56999999999999995</v>
      </c>
      <c r="DD27">
        <v>22.08</v>
      </c>
      <c r="DE27" t="s">
        <v>323</v>
      </c>
      <c r="DF27">
        <v>15.58</v>
      </c>
      <c r="DG27">
        <v>5.08</v>
      </c>
      <c r="DH27">
        <v>2.95</v>
      </c>
      <c r="DI27">
        <v>0.25</v>
      </c>
      <c r="DJ27">
        <v>60224</v>
      </c>
      <c r="DK27">
        <v>35</v>
      </c>
      <c r="DL27" t="s">
        <v>120</v>
      </c>
      <c r="DM27" t="s">
        <v>120</v>
      </c>
      <c r="DN27" t="s">
        <v>120</v>
      </c>
    </row>
    <row r="28" spans="1:118">
      <c r="A28" t="str">
        <f>"000036"</f>
        <v>000036</v>
      </c>
      <c r="B28" t="s">
        <v>324</v>
      </c>
      <c r="C28">
        <v>-4.03</v>
      </c>
      <c r="D28">
        <v>0</v>
      </c>
      <c r="E28">
        <v>0</v>
      </c>
      <c r="F28">
        <v>1437</v>
      </c>
      <c r="G28" t="s">
        <v>325</v>
      </c>
      <c r="H28">
        <v>7103.3</v>
      </c>
      <c r="I28">
        <v>2.06</v>
      </c>
      <c r="J28" t="s">
        <v>120</v>
      </c>
      <c r="K28" t="s">
        <v>326</v>
      </c>
      <c r="L28">
        <v>1.1000000000000001</v>
      </c>
      <c r="M28">
        <v>4.29</v>
      </c>
      <c r="N28">
        <v>0.8</v>
      </c>
      <c r="O28">
        <v>0.67</v>
      </c>
      <c r="P28">
        <v>4.5</v>
      </c>
      <c r="Q28">
        <v>-4.47</v>
      </c>
      <c r="R28">
        <v>4.2699999999999996</v>
      </c>
      <c r="S28">
        <v>4.47</v>
      </c>
      <c r="T28">
        <v>162295</v>
      </c>
      <c r="U28">
        <v>4.3</v>
      </c>
      <c r="V28">
        <v>4.47</v>
      </c>
      <c r="W28">
        <v>23.27</v>
      </c>
      <c r="X28" t="s">
        <v>132</v>
      </c>
      <c r="Y28" t="s">
        <v>123</v>
      </c>
      <c r="Z28">
        <v>5.15</v>
      </c>
      <c r="AA28">
        <v>4.38</v>
      </c>
      <c r="AB28">
        <v>105482</v>
      </c>
      <c r="AC28">
        <v>56813</v>
      </c>
      <c r="AD28">
        <v>1.86</v>
      </c>
      <c r="AE28">
        <v>1643</v>
      </c>
      <c r="AF28">
        <v>2213</v>
      </c>
      <c r="AG28" t="s">
        <v>120</v>
      </c>
      <c r="AH28">
        <v>0</v>
      </c>
      <c r="AI28" t="s">
        <v>120</v>
      </c>
      <c r="AJ28">
        <v>14.8</v>
      </c>
      <c r="AK28" t="s">
        <v>327</v>
      </c>
      <c r="AL28">
        <v>-2.11</v>
      </c>
      <c r="AM28">
        <v>2041</v>
      </c>
      <c r="AN28">
        <v>80</v>
      </c>
      <c r="AO28">
        <v>5.0000000000000001E-4</v>
      </c>
      <c r="AP28">
        <v>-3</v>
      </c>
      <c r="AQ28">
        <v>-0.89</v>
      </c>
      <c r="AR28">
        <v>-8.7200000000000006</v>
      </c>
      <c r="AS28">
        <v>16.260000000000002</v>
      </c>
      <c r="AT28">
        <v>21.88</v>
      </c>
      <c r="AU28">
        <v>14.4</v>
      </c>
      <c r="AV28">
        <v>3</v>
      </c>
      <c r="AW28">
        <v>1.64</v>
      </c>
      <c r="AX28">
        <v>66.5</v>
      </c>
      <c r="AY28">
        <v>27.03</v>
      </c>
      <c r="AZ28">
        <v>12.03</v>
      </c>
      <c r="BA28">
        <v>0.33</v>
      </c>
      <c r="BB28" t="s">
        <v>143</v>
      </c>
      <c r="BF28">
        <v>-2.09</v>
      </c>
      <c r="BG28">
        <v>-4.03</v>
      </c>
      <c r="BH28">
        <v>-4.67</v>
      </c>
      <c r="BI28">
        <v>0.47</v>
      </c>
      <c r="BJ28">
        <v>20210913</v>
      </c>
      <c r="BK28">
        <v>19940617</v>
      </c>
      <c r="BL28">
        <v>14.84</v>
      </c>
      <c r="BM28" t="s">
        <v>120</v>
      </c>
      <c r="BN28" t="s">
        <v>120</v>
      </c>
      <c r="BO28">
        <v>103.1</v>
      </c>
      <c r="BP28">
        <v>4.29</v>
      </c>
      <c r="BQ28">
        <v>47.01</v>
      </c>
      <c r="BR28">
        <v>9.58</v>
      </c>
      <c r="BS28">
        <v>45.11</v>
      </c>
      <c r="BT28">
        <v>77.64</v>
      </c>
      <c r="BU28">
        <v>7.86</v>
      </c>
      <c r="BV28">
        <v>0.03</v>
      </c>
      <c r="BW28">
        <v>29.13</v>
      </c>
      <c r="BX28">
        <v>31.85</v>
      </c>
      <c r="BY28">
        <v>31.53</v>
      </c>
      <c r="BZ28">
        <v>7.0000000000000007E-2</v>
      </c>
      <c r="CA28">
        <v>0.49</v>
      </c>
      <c r="CB28">
        <v>2.3199999999999998</v>
      </c>
      <c r="CC28">
        <v>6.64</v>
      </c>
      <c r="CD28">
        <v>2.34</v>
      </c>
      <c r="CE28">
        <v>2.33</v>
      </c>
      <c r="CF28">
        <v>0.2</v>
      </c>
      <c r="CG28">
        <v>2.34</v>
      </c>
      <c r="CH28">
        <v>1.74</v>
      </c>
      <c r="CI28">
        <v>1.37</v>
      </c>
      <c r="CJ28">
        <v>-0.18</v>
      </c>
      <c r="CK28">
        <v>1.28</v>
      </c>
      <c r="CL28">
        <v>24.81</v>
      </c>
      <c r="CM28">
        <v>-2.6</v>
      </c>
      <c r="CN28">
        <v>-8.92</v>
      </c>
      <c r="CO28">
        <v>50021</v>
      </c>
      <c r="CP28">
        <v>19728</v>
      </c>
      <c r="CQ28" t="s">
        <v>328</v>
      </c>
      <c r="CR28">
        <v>-69.099999999999994</v>
      </c>
      <c r="CS28">
        <v>-68.41</v>
      </c>
      <c r="CT28">
        <v>1.35</v>
      </c>
      <c r="CU28">
        <v>-24.51</v>
      </c>
      <c r="CV28">
        <v>9.59</v>
      </c>
      <c r="CW28">
        <v>5.15</v>
      </c>
      <c r="CX28" t="s">
        <v>329</v>
      </c>
      <c r="CY28">
        <v>3.17</v>
      </c>
      <c r="CZ28">
        <v>0</v>
      </c>
      <c r="DA28">
        <v>0.16</v>
      </c>
      <c r="DB28">
        <v>1.67</v>
      </c>
      <c r="DC28">
        <v>-0.18</v>
      </c>
      <c r="DD28">
        <v>45.6</v>
      </c>
      <c r="DE28" t="s">
        <v>323</v>
      </c>
      <c r="DF28">
        <v>64.8</v>
      </c>
      <c r="DG28">
        <v>35.06</v>
      </c>
      <c r="DH28">
        <v>20.6</v>
      </c>
      <c r="DI28" t="s">
        <v>120</v>
      </c>
      <c r="DJ28">
        <v>806</v>
      </c>
      <c r="DK28">
        <v>36</v>
      </c>
      <c r="DL28" t="s">
        <v>120</v>
      </c>
      <c r="DM28" t="s">
        <v>120</v>
      </c>
      <c r="DN28" t="s">
        <v>120</v>
      </c>
    </row>
    <row r="29" spans="1:118">
      <c r="A29" t="str">
        <f>"000037"</f>
        <v>000037</v>
      </c>
      <c r="B29" t="s">
        <v>330</v>
      </c>
      <c r="C29">
        <v>-2.52</v>
      </c>
      <c r="D29">
        <v>0</v>
      </c>
      <c r="E29">
        <v>0</v>
      </c>
      <c r="F29">
        <v>402</v>
      </c>
      <c r="G29" t="s">
        <v>331</v>
      </c>
      <c r="H29">
        <v>3972.46</v>
      </c>
      <c r="I29">
        <v>5.41</v>
      </c>
      <c r="J29" t="s">
        <v>120</v>
      </c>
      <c r="K29" t="s">
        <v>332</v>
      </c>
      <c r="L29">
        <v>1.41</v>
      </c>
      <c r="M29">
        <v>8.11</v>
      </c>
      <c r="N29">
        <v>0.81</v>
      </c>
      <c r="O29">
        <v>3</v>
      </c>
      <c r="P29">
        <v>8.57</v>
      </c>
      <c r="Q29">
        <v>-2.88</v>
      </c>
      <c r="R29">
        <v>8.08</v>
      </c>
      <c r="S29">
        <v>8.32</v>
      </c>
      <c r="T29">
        <v>47870</v>
      </c>
      <c r="U29">
        <v>8.1199999999999992</v>
      </c>
      <c r="V29">
        <v>8.32</v>
      </c>
      <c r="W29">
        <v>1678.6</v>
      </c>
      <c r="X29" t="s">
        <v>268</v>
      </c>
      <c r="Y29" t="s">
        <v>123</v>
      </c>
      <c r="Z29">
        <v>5.89</v>
      </c>
      <c r="AA29">
        <v>8.3000000000000007</v>
      </c>
      <c r="AB29">
        <v>28359</v>
      </c>
      <c r="AC29">
        <v>19511</v>
      </c>
      <c r="AD29">
        <v>1.45</v>
      </c>
      <c r="AE29">
        <v>155</v>
      </c>
      <c r="AF29">
        <v>52</v>
      </c>
      <c r="AG29" t="s">
        <v>120</v>
      </c>
      <c r="AH29">
        <v>0</v>
      </c>
      <c r="AI29" t="s">
        <v>120</v>
      </c>
      <c r="AJ29">
        <v>3.39</v>
      </c>
      <c r="AK29" t="s">
        <v>333</v>
      </c>
      <c r="AL29">
        <v>-0.61</v>
      </c>
      <c r="AM29">
        <v>1733</v>
      </c>
      <c r="AN29">
        <v>28</v>
      </c>
      <c r="AO29">
        <v>8.0000000000000004E-4</v>
      </c>
      <c r="AP29">
        <v>-1</v>
      </c>
      <c r="AQ29">
        <v>1.34</v>
      </c>
      <c r="AR29">
        <v>-4.4800000000000004</v>
      </c>
      <c r="AS29">
        <v>5.05</v>
      </c>
      <c r="AT29">
        <v>-2.64</v>
      </c>
      <c r="AU29">
        <v>-25.73</v>
      </c>
      <c r="AV29">
        <v>4</v>
      </c>
      <c r="AW29">
        <v>2.39</v>
      </c>
      <c r="AX29">
        <v>33.200000000000003</v>
      </c>
      <c r="AY29">
        <v>373.14</v>
      </c>
      <c r="AZ29">
        <v>78.33</v>
      </c>
      <c r="BA29">
        <v>0.81</v>
      </c>
      <c r="BB29" t="s">
        <v>143</v>
      </c>
      <c r="BF29">
        <v>-0.26</v>
      </c>
      <c r="BG29">
        <v>-2.52</v>
      </c>
      <c r="BH29">
        <v>-5.37</v>
      </c>
      <c r="BI29">
        <v>0.37</v>
      </c>
      <c r="BJ29">
        <v>20210913</v>
      </c>
      <c r="BK29">
        <v>19940701</v>
      </c>
      <c r="BL29">
        <v>6.03</v>
      </c>
      <c r="BM29">
        <v>2.64</v>
      </c>
      <c r="BN29" t="s">
        <v>120</v>
      </c>
      <c r="BO29">
        <v>32.06</v>
      </c>
      <c r="BP29">
        <v>8.11</v>
      </c>
      <c r="BQ29">
        <v>20.56</v>
      </c>
      <c r="BR29">
        <v>0.31</v>
      </c>
      <c r="BS29">
        <v>34.909999999999997</v>
      </c>
      <c r="BT29">
        <v>19.82</v>
      </c>
      <c r="BU29">
        <v>9.0399999999999991</v>
      </c>
      <c r="BV29">
        <v>0.21</v>
      </c>
      <c r="BW29">
        <v>10.14</v>
      </c>
      <c r="BX29">
        <v>4.5199999999999996</v>
      </c>
      <c r="BY29">
        <v>1.01</v>
      </c>
      <c r="BZ29">
        <v>0.96</v>
      </c>
      <c r="CA29" t="s">
        <v>120</v>
      </c>
      <c r="CB29">
        <v>3.63</v>
      </c>
      <c r="CC29">
        <v>3.77</v>
      </c>
      <c r="CD29">
        <v>3.51</v>
      </c>
      <c r="CE29">
        <v>-0.06</v>
      </c>
      <c r="CF29">
        <v>0.13</v>
      </c>
      <c r="CG29">
        <v>-0.01</v>
      </c>
      <c r="CH29">
        <v>-0.01</v>
      </c>
      <c r="CI29">
        <v>0.01</v>
      </c>
      <c r="CJ29">
        <v>-0.21</v>
      </c>
      <c r="CK29">
        <v>-0.2</v>
      </c>
      <c r="CL29">
        <v>7.6</v>
      </c>
      <c r="CM29">
        <v>0.69</v>
      </c>
      <c r="CN29">
        <v>-3.13</v>
      </c>
      <c r="CO29">
        <v>37516</v>
      </c>
      <c r="CP29">
        <v>12367</v>
      </c>
      <c r="CQ29" t="s">
        <v>334</v>
      </c>
      <c r="CR29">
        <v>-97.2</v>
      </c>
      <c r="CS29">
        <v>-27.32</v>
      </c>
      <c r="CT29">
        <v>2.38</v>
      </c>
      <c r="CU29">
        <v>70.930000000000007</v>
      </c>
      <c r="CV29">
        <v>12.98</v>
      </c>
      <c r="CW29">
        <v>0</v>
      </c>
      <c r="CX29" t="s">
        <v>216</v>
      </c>
      <c r="CY29">
        <v>3.41</v>
      </c>
      <c r="CZ29">
        <v>0</v>
      </c>
      <c r="DA29">
        <v>0.6</v>
      </c>
      <c r="DB29">
        <v>1.26</v>
      </c>
      <c r="DC29">
        <v>0.11</v>
      </c>
      <c r="DD29">
        <v>64.13</v>
      </c>
      <c r="DE29" t="s">
        <v>335</v>
      </c>
      <c r="DF29">
        <v>6.74</v>
      </c>
      <c r="DG29">
        <v>-1.59</v>
      </c>
      <c r="DH29">
        <v>0.39</v>
      </c>
      <c r="DI29">
        <v>0.03</v>
      </c>
      <c r="DJ29">
        <v>403</v>
      </c>
      <c r="DK29">
        <v>37</v>
      </c>
      <c r="DL29" t="s">
        <v>120</v>
      </c>
      <c r="DM29" t="s">
        <v>120</v>
      </c>
      <c r="DN29" t="s">
        <v>120</v>
      </c>
    </row>
    <row r="30" spans="1:118">
      <c r="A30" t="str">
        <f>"000038"</f>
        <v>000038</v>
      </c>
      <c r="B30" t="s">
        <v>336</v>
      </c>
      <c r="C30">
        <v>0</v>
      </c>
      <c r="D30">
        <v>0.22</v>
      </c>
      <c r="E30">
        <v>-0.44</v>
      </c>
      <c r="F30">
        <v>805</v>
      </c>
      <c r="G30" t="s">
        <v>337</v>
      </c>
      <c r="H30">
        <v>1383.47</v>
      </c>
      <c r="I30">
        <v>5.28</v>
      </c>
      <c r="J30" t="s">
        <v>120</v>
      </c>
      <c r="K30" t="s">
        <v>338</v>
      </c>
      <c r="L30">
        <v>0.64</v>
      </c>
      <c r="M30">
        <v>9.14</v>
      </c>
      <c r="N30">
        <v>0.65</v>
      </c>
      <c r="O30">
        <v>0.44</v>
      </c>
      <c r="P30">
        <v>9.18</v>
      </c>
      <c r="Q30">
        <v>-0.55000000000000004</v>
      </c>
      <c r="R30">
        <v>9.09</v>
      </c>
      <c r="S30">
        <v>9.1</v>
      </c>
      <c r="T30">
        <v>15174</v>
      </c>
      <c r="U30">
        <v>9.14</v>
      </c>
      <c r="V30">
        <v>9.14</v>
      </c>
      <c r="W30">
        <v>86.49</v>
      </c>
      <c r="X30" t="s">
        <v>339</v>
      </c>
      <c r="Y30" t="s">
        <v>123</v>
      </c>
      <c r="Z30">
        <v>0.98</v>
      </c>
      <c r="AA30">
        <v>9.1199999999999992</v>
      </c>
      <c r="AB30">
        <v>8044</v>
      </c>
      <c r="AC30">
        <v>7130</v>
      </c>
      <c r="AD30">
        <v>1.1299999999999999</v>
      </c>
      <c r="AE30">
        <v>6</v>
      </c>
      <c r="AF30">
        <v>444</v>
      </c>
      <c r="AG30" t="s">
        <v>120</v>
      </c>
      <c r="AH30">
        <v>0</v>
      </c>
      <c r="AI30" t="s">
        <v>120</v>
      </c>
      <c r="AJ30">
        <v>2.38</v>
      </c>
      <c r="AK30" t="s">
        <v>340</v>
      </c>
      <c r="AL30">
        <v>1.91</v>
      </c>
      <c r="AM30">
        <v>697</v>
      </c>
      <c r="AN30">
        <v>22</v>
      </c>
      <c r="AO30">
        <v>8.9999999999999998E-4</v>
      </c>
      <c r="AP30">
        <v>0</v>
      </c>
      <c r="AQ30">
        <v>0</v>
      </c>
      <c r="AR30">
        <v>-0.33</v>
      </c>
      <c r="AS30">
        <v>-4.6900000000000004</v>
      </c>
      <c r="AT30">
        <v>-19.329999999999998</v>
      </c>
      <c r="AU30">
        <v>-4.79</v>
      </c>
      <c r="AV30">
        <v>0</v>
      </c>
      <c r="AW30">
        <v>0.97</v>
      </c>
      <c r="AX30">
        <v>29.83</v>
      </c>
      <c r="AY30">
        <v>141.77000000000001</v>
      </c>
      <c r="AZ30">
        <v>60.08</v>
      </c>
      <c r="BA30">
        <v>0</v>
      </c>
      <c r="BB30" t="s">
        <v>341</v>
      </c>
      <c r="BF30">
        <v>-0.24</v>
      </c>
      <c r="BG30">
        <v>0.44</v>
      </c>
      <c r="BH30">
        <v>-0.44</v>
      </c>
      <c r="BI30">
        <v>0.55000000000000004</v>
      </c>
      <c r="BJ30">
        <v>20210913</v>
      </c>
      <c r="BK30">
        <v>19940808</v>
      </c>
      <c r="BL30">
        <v>5.23</v>
      </c>
      <c r="BM30" t="s">
        <v>120</v>
      </c>
      <c r="BN30" t="s">
        <v>120</v>
      </c>
      <c r="BO30">
        <v>33.380000000000003</v>
      </c>
      <c r="BP30">
        <v>9.1300000000000008</v>
      </c>
      <c r="BQ30">
        <v>28.97</v>
      </c>
      <c r="BR30">
        <v>0.76</v>
      </c>
      <c r="BS30">
        <v>10.95</v>
      </c>
      <c r="BT30">
        <v>14.63</v>
      </c>
      <c r="BU30">
        <v>0.17</v>
      </c>
      <c r="BV30">
        <v>0.23</v>
      </c>
      <c r="BW30">
        <v>3.38</v>
      </c>
      <c r="BX30">
        <v>7.68</v>
      </c>
      <c r="BY30">
        <v>1.07</v>
      </c>
      <c r="BZ30">
        <v>3.76</v>
      </c>
      <c r="CA30">
        <v>0.01</v>
      </c>
      <c r="CB30">
        <v>43.47</v>
      </c>
      <c r="CC30">
        <v>19.739999999999998</v>
      </c>
      <c r="CD30">
        <v>18.37</v>
      </c>
      <c r="CE30">
        <v>0.42</v>
      </c>
      <c r="CF30">
        <v>0</v>
      </c>
      <c r="CG30">
        <v>0.42</v>
      </c>
      <c r="CH30">
        <v>0.28999999999999998</v>
      </c>
      <c r="CI30">
        <v>0.28000000000000003</v>
      </c>
      <c r="CJ30">
        <v>0</v>
      </c>
      <c r="CK30">
        <v>0.28000000000000003</v>
      </c>
      <c r="CL30">
        <v>-20.38</v>
      </c>
      <c r="CM30">
        <v>-1.73</v>
      </c>
      <c r="CN30">
        <v>-1.8</v>
      </c>
      <c r="CO30">
        <v>22365</v>
      </c>
      <c r="CP30">
        <v>6973</v>
      </c>
      <c r="CQ30" t="s">
        <v>342</v>
      </c>
      <c r="CR30">
        <v>-62.4</v>
      </c>
      <c r="CS30">
        <v>229.5</v>
      </c>
      <c r="CT30">
        <v>1.65</v>
      </c>
      <c r="CU30">
        <v>-27.61</v>
      </c>
      <c r="CV30">
        <v>2.42</v>
      </c>
      <c r="CW30">
        <v>0</v>
      </c>
      <c r="CX30" t="s">
        <v>343</v>
      </c>
      <c r="CY30">
        <v>5.54</v>
      </c>
      <c r="CZ30">
        <v>0</v>
      </c>
      <c r="DA30">
        <v>8.32</v>
      </c>
      <c r="DB30">
        <v>-3.9</v>
      </c>
      <c r="DC30">
        <v>-0.33</v>
      </c>
      <c r="DD30">
        <v>86.78</v>
      </c>
      <c r="DE30" t="s">
        <v>344</v>
      </c>
      <c r="DF30">
        <v>6.95</v>
      </c>
      <c r="DG30">
        <v>2.15</v>
      </c>
      <c r="DH30">
        <v>1.4</v>
      </c>
      <c r="DI30">
        <v>7.0000000000000007E-2</v>
      </c>
      <c r="DJ30">
        <v>147</v>
      </c>
      <c r="DK30">
        <v>38</v>
      </c>
      <c r="DL30" t="s">
        <v>120</v>
      </c>
      <c r="DM30" t="s">
        <v>120</v>
      </c>
      <c r="DN30" t="s">
        <v>120</v>
      </c>
    </row>
    <row r="31" spans="1:118">
      <c r="A31" t="str">
        <f>"000039"</f>
        <v>000039</v>
      </c>
      <c r="B31" t="s">
        <v>345</v>
      </c>
      <c r="C31">
        <v>-3.22</v>
      </c>
      <c r="D31">
        <v>-0.34</v>
      </c>
      <c r="E31">
        <v>0.05</v>
      </c>
      <c r="F31">
        <v>9310</v>
      </c>
      <c r="G31" t="s">
        <v>346</v>
      </c>
      <c r="H31">
        <v>69457.649999999994</v>
      </c>
      <c r="I31">
        <v>189</v>
      </c>
      <c r="J31" t="s">
        <v>120</v>
      </c>
      <c r="K31" t="s">
        <v>347</v>
      </c>
      <c r="L31">
        <v>2.2400000000000002</v>
      </c>
      <c r="M31">
        <v>19.82</v>
      </c>
      <c r="N31">
        <v>0.63</v>
      </c>
      <c r="O31">
        <v>1.76</v>
      </c>
      <c r="P31">
        <v>20.84</v>
      </c>
      <c r="Q31">
        <v>-3.32</v>
      </c>
      <c r="R31">
        <v>19.8</v>
      </c>
      <c r="S31">
        <v>20.49</v>
      </c>
      <c r="T31">
        <v>344425</v>
      </c>
      <c r="U31">
        <v>19.829999999999998</v>
      </c>
      <c r="V31">
        <v>20.48</v>
      </c>
      <c r="W31">
        <v>8.2899999999999991</v>
      </c>
      <c r="X31" t="s">
        <v>348</v>
      </c>
      <c r="Y31" t="s">
        <v>123</v>
      </c>
      <c r="Z31">
        <v>5.08</v>
      </c>
      <c r="AA31">
        <v>20.170000000000002</v>
      </c>
      <c r="AB31">
        <v>172713</v>
      </c>
      <c r="AC31">
        <v>171712</v>
      </c>
      <c r="AD31">
        <v>1.01</v>
      </c>
      <c r="AE31">
        <v>231</v>
      </c>
      <c r="AF31">
        <v>3</v>
      </c>
      <c r="AG31" t="s">
        <v>120</v>
      </c>
      <c r="AH31">
        <v>0.01</v>
      </c>
      <c r="AI31" t="s">
        <v>120</v>
      </c>
      <c r="AJ31">
        <v>15.34</v>
      </c>
      <c r="AK31" t="s">
        <v>349</v>
      </c>
      <c r="AL31">
        <v>-1.31</v>
      </c>
      <c r="AM31">
        <v>4582</v>
      </c>
      <c r="AN31">
        <v>75</v>
      </c>
      <c r="AO31">
        <v>5.0000000000000001E-4</v>
      </c>
      <c r="AP31">
        <v>-3</v>
      </c>
      <c r="AQ31">
        <v>-0.05</v>
      </c>
      <c r="AR31">
        <v>-8.49</v>
      </c>
      <c r="AS31">
        <v>15.17</v>
      </c>
      <c r="AT31">
        <v>12.68</v>
      </c>
      <c r="AU31">
        <v>34.74</v>
      </c>
      <c r="AV31">
        <v>3</v>
      </c>
      <c r="AW31">
        <v>2.91</v>
      </c>
      <c r="AX31">
        <v>77.150000000000006</v>
      </c>
      <c r="AY31">
        <v>7.49</v>
      </c>
      <c r="AZ31">
        <v>13.76</v>
      </c>
      <c r="BA31">
        <v>0.1</v>
      </c>
      <c r="BB31" t="s">
        <v>143</v>
      </c>
      <c r="BF31">
        <v>-1.53</v>
      </c>
      <c r="BG31">
        <v>-3.27</v>
      </c>
      <c r="BH31">
        <v>-4.8899999999999997</v>
      </c>
      <c r="BI31">
        <v>0.1</v>
      </c>
      <c r="BJ31">
        <v>20210830</v>
      </c>
      <c r="BK31">
        <v>19940408</v>
      </c>
      <c r="BL31">
        <v>35.950000000000003</v>
      </c>
      <c r="BM31" t="s">
        <v>120</v>
      </c>
      <c r="BN31">
        <v>20.6</v>
      </c>
      <c r="BO31">
        <v>1574.36</v>
      </c>
      <c r="BP31">
        <v>19.82</v>
      </c>
      <c r="BQ31">
        <v>468.97</v>
      </c>
      <c r="BR31">
        <v>103.15</v>
      </c>
      <c r="BS31">
        <v>63.66</v>
      </c>
      <c r="BT31">
        <v>785.79</v>
      </c>
      <c r="BU31">
        <v>362.93</v>
      </c>
      <c r="BV31">
        <v>47.05</v>
      </c>
      <c r="BW31">
        <v>678.97</v>
      </c>
      <c r="BX31">
        <v>131.53</v>
      </c>
      <c r="BY31">
        <v>199.36</v>
      </c>
      <c r="BZ31">
        <v>264.39999999999998</v>
      </c>
      <c r="CA31">
        <v>0.17</v>
      </c>
      <c r="CB31">
        <v>54.6</v>
      </c>
      <c r="CC31">
        <v>731.85</v>
      </c>
      <c r="CD31">
        <v>610.41999999999996</v>
      </c>
      <c r="CE31">
        <v>68.89</v>
      </c>
      <c r="CF31">
        <v>6.82</v>
      </c>
      <c r="CG31">
        <v>68.59</v>
      </c>
      <c r="CH31">
        <v>50.45</v>
      </c>
      <c r="CI31">
        <v>42.97</v>
      </c>
      <c r="CJ31">
        <v>-0.66</v>
      </c>
      <c r="CK31">
        <v>36.49</v>
      </c>
      <c r="CL31">
        <v>293.33</v>
      </c>
      <c r="CM31">
        <v>62.61</v>
      </c>
      <c r="CN31">
        <v>10.48</v>
      </c>
      <c r="CO31">
        <v>70216</v>
      </c>
      <c r="CP31">
        <v>16866</v>
      </c>
      <c r="CQ31" t="s">
        <v>350</v>
      </c>
      <c r="CR31">
        <v>2450.9499999999998</v>
      </c>
      <c r="CS31">
        <v>85.6</v>
      </c>
      <c r="CT31">
        <v>1.67</v>
      </c>
      <c r="CU31">
        <v>11.38</v>
      </c>
      <c r="CV31">
        <v>0.97</v>
      </c>
      <c r="CW31">
        <v>1.37</v>
      </c>
      <c r="CX31" t="s">
        <v>351</v>
      </c>
      <c r="CY31">
        <v>11.9</v>
      </c>
      <c r="CZ31">
        <v>11.9</v>
      </c>
      <c r="DA31">
        <v>1.52</v>
      </c>
      <c r="DB31">
        <v>8.16</v>
      </c>
      <c r="DC31">
        <v>1.74</v>
      </c>
      <c r="DD31">
        <v>29.79</v>
      </c>
      <c r="DE31" t="s">
        <v>352</v>
      </c>
      <c r="DF31">
        <v>16.59</v>
      </c>
      <c r="DG31">
        <v>9.41</v>
      </c>
      <c r="DH31">
        <v>5.87</v>
      </c>
      <c r="DI31">
        <v>9.35</v>
      </c>
      <c r="DJ31">
        <v>51100</v>
      </c>
      <c r="DK31">
        <v>39</v>
      </c>
      <c r="DL31">
        <v>20210905</v>
      </c>
      <c r="DM31">
        <v>20.079999999999998</v>
      </c>
      <c r="DN31">
        <v>-1.29</v>
      </c>
    </row>
    <row r="32" spans="1:118">
      <c r="A32" t="str">
        <f>"000040"</f>
        <v>000040</v>
      </c>
      <c r="B32" t="s">
        <v>353</v>
      </c>
      <c r="C32">
        <v>-5.88</v>
      </c>
      <c r="D32">
        <v>-0.24</v>
      </c>
      <c r="E32">
        <v>-0.47</v>
      </c>
      <c r="F32">
        <v>13292</v>
      </c>
      <c r="G32" t="s">
        <v>354</v>
      </c>
      <c r="H32">
        <v>59108.09</v>
      </c>
      <c r="I32">
        <v>1551.31</v>
      </c>
      <c r="J32" t="s">
        <v>120</v>
      </c>
      <c r="K32" t="s">
        <v>355</v>
      </c>
      <c r="L32">
        <v>13.51</v>
      </c>
      <c r="M32">
        <v>4</v>
      </c>
      <c r="N32">
        <v>2.2000000000000002</v>
      </c>
      <c r="O32">
        <v>1.65</v>
      </c>
      <c r="P32">
        <v>4.32</v>
      </c>
      <c r="Q32">
        <v>-5.88</v>
      </c>
      <c r="R32">
        <v>4</v>
      </c>
      <c r="S32">
        <v>4.2300000000000004</v>
      </c>
      <c r="T32">
        <v>1432532</v>
      </c>
      <c r="U32">
        <v>4.01</v>
      </c>
      <c r="V32">
        <v>4.25</v>
      </c>
      <c r="W32" t="s">
        <v>120</v>
      </c>
      <c r="X32" t="s">
        <v>356</v>
      </c>
      <c r="Y32" t="s">
        <v>123</v>
      </c>
      <c r="Z32">
        <v>7.53</v>
      </c>
      <c r="AA32">
        <v>4.13</v>
      </c>
      <c r="AB32">
        <v>797228</v>
      </c>
      <c r="AC32">
        <v>635304</v>
      </c>
      <c r="AD32">
        <v>1.25</v>
      </c>
      <c r="AE32">
        <v>7182</v>
      </c>
      <c r="AF32">
        <v>779</v>
      </c>
      <c r="AG32" t="s">
        <v>120</v>
      </c>
      <c r="AH32">
        <v>0.41</v>
      </c>
      <c r="AI32" t="s">
        <v>120</v>
      </c>
      <c r="AJ32">
        <v>10.6</v>
      </c>
      <c r="AK32" t="s">
        <v>357</v>
      </c>
      <c r="AL32">
        <v>-3.97</v>
      </c>
      <c r="AM32">
        <v>4272</v>
      </c>
      <c r="AN32">
        <v>335</v>
      </c>
      <c r="AO32">
        <v>3.2000000000000002E-3</v>
      </c>
      <c r="AP32">
        <v>-1</v>
      </c>
      <c r="AQ32">
        <v>10.1</v>
      </c>
      <c r="AR32">
        <v>2.2999999999999998</v>
      </c>
      <c r="AS32">
        <v>25.39</v>
      </c>
      <c r="AT32">
        <v>38.409999999999997</v>
      </c>
      <c r="AU32">
        <v>14.62</v>
      </c>
      <c r="AV32">
        <v>8</v>
      </c>
      <c r="AW32">
        <v>15.85</v>
      </c>
      <c r="AX32">
        <v>60.77</v>
      </c>
      <c r="AY32" t="s">
        <v>120</v>
      </c>
      <c r="AZ32" t="s">
        <v>120</v>
      </c>
      <c r="BA32">
        <v>0.27</v>
      </c>
      <c r="BB32" t="s">
        <v>168</v>
      </c>
      <c r="BF32">
        <v>-2.91</v>
      </c>
      <c r="BG32">
        <v>-5.44</v>
      </c>
      <c r="BH32">
        <v>-7.41</v>
      </c>
      <c r="BI32">
        <v>0</v>
      </c>
      <c r="BJ32">
        <v>20210906</v>
      </c>
      <c r="BK32">
        <v>19940808</v>
      </c>
      <c r="BL32">
        <v>14.87</v>
      </c>
      <c r="BM32" t="s">
        <v>120</v>
      </c>
      <c r="BN32" t="s">
        <v>120</v>
      </c>
      <c r="BO32">
        <v>264.02999999999997</v>
      </c>
      <c r="BP32">
        <v>4</v>
      </c>
      <c r="BQ32">
        <v>119.76</v>
      </c>
      <c r="BR32">
        <v>0.08</v>
      </c>
      <c r="BS32">
        <v>54.61</v>
      </c>
      <c r="BT32">
        <v>130.44999999999999</v>
      </c>
      <c r="BU32">
        <v>52.65</v>
      </c>
      <c r="BV32">
        <v>1.05</v>
      </c>
      <c r="BW32">
        <v>110.77</v>
      </c>
      <c r="BX32">
        <v>34.380000000000003</v>
      </c>
      <c r="BY32">
        <v>1.01</v>
      </c>
      <c r="BZ32">
        <v>32.869999999999997</v>
      </c>
      <c r="CA32" t="s">
        <v>120</v>
      </c>
      <c r="CB32">
        <v>106.76</v>
      </c>
      <c r="CC32">
        <v>17.13</v>
      </c>
      <c r="CD32">
        <v>14.44</v>
      </c>
      <c r="CE32">
        <v>-1.95</v>
      </c>
      <c r="CF32">
        <v>-0.04</v>
      </c>
      <c r="CG32">
        <v>-1.94</v>
      </c>
      <c r="CH32">
        <v>-1.99</v>
      </c>
      <c r="CI32">
        <v>-1.97</v>
      </c>
      <c r="CJ32">
        <v>-0.25</v>
      </c>
      <c r="CK32">
        <v>-1.99</v>
      </c>
      <c r="CL32">
        <v>-4.04</v>
      </c>
      <c r="CM32">
        <v>2.4500000000000002</v>
      </c>
      <c r="CN32">
        <v>0.37</v>
      </c>
      <c r="CO32">
        <v>71546</v>
      </c>
      <c r="CP32">
        <v>12630</v>
      </c>
      <c r="CQ32" t="s">
        <v>358</v>
      </c>
      <c r="CR32">
        <v>29.99</v>
      </c>
      <c r="CS32">
        <v>29.07</v>
      </c>
      <c r="CT32">
        <v>0.5</v>
      </c>
      <c r="CU32">
        <v>24.25</v>
      </c>
      <c r="CV32">
        <v>3.47</v>
      </c>
      <c r="CW32">
        <v>0</v>
      </c>
      <c r="CX32" t="s">
        <v>359</v>
      </c>
      <c r="CY32">
        <v>8.0500000000000007</v>
      </c>
      <c r="CZ32">
        <v>0</v>
      </c>
      <c r="DA32">
        <v>7.18</v>
      </c>
      <c r="DB32">
        <v>-0.27</v>
      </c>
      <c r="DC32">
        <v>0.16</v>
      </c>
      <c r="DD32">
        <v>45.36</v>
      </c>
      <c r="DE32" t="s">
        <v>360</v>
      </c>
      <c r="DF32">
        <v>15.7</v>
      </c>
      <c r="DG32">
        <v>-11.36</v>
      </c>
      <c r="DH32">
        <v>-11.48</v>
      </c>
      <c r="DI32">
        <v>0.14000000000000001</v>
      </c>
      <c r="DJ32">
        <v>572</v>
      </c>
      <c r="DK32">
        <v>40</v>
      </c>
      <c r="DL32">
        <v>20210902</v>
      </c>
      <c r="DM32">
        <v>3.83</v>
      </c>
      <c r="DN32">
        <v>4.4400000000000004</v>
      </c>
    </row>
    <row r="33" spans="1:118">
      <c r="A33" t="str">
        <f>"000042"</f>
        <v>000042</v>
      </c>
      <c r="B33" t="s">
        <v>361</v>
      </c>
      <c r="C33">
        <v>-0.89</v>
      </c>
      <c r="D33">
        <v>0</v>
      </c>
      <c r="E33">
        <v>0</v>
      </c>
      <c r="F33">
        <v>173</v>
      </c>
      <c r="G33" t="s">
        <v>362</v>
      </c>
      <c r="H33">
        <v>582.46</v>
      </c>
      <c r="I33">
        <v>1.02</v>
      </c>
      <c r="J33" t="s">
        <v>120</v>
      </c>
      <c r="K33" t="s">
        <v>363</v>
      </c>
      <c r="L33">
        <v>0.11</v>
      </c>
      <c r="M33">
        <v>7.79</v>
      </c>
      <c r="N33">
        <v>0.65</v>
      </c>
      <c r="O33">
        <v>0.76</v>
      </c>
      <c r="P33">
        <v>7.92</v>
      </c>
      <c r="Q33">
        <v>-1.53</v>
      </c>
      <c r="R33">
        <v>7.74</v>
      </c>
      <c r="S33">
        <v>7.86</v>
      </c>
      <c r="T33">
        <v>7447</v>
      </c>
      <c r="U33">
        <v>7.8</v>
      </c>
      <c r="V33">
        <v>7.86</v>
      </c>
      <c r="W33">
        <v>9.33</v>
      </c>
      <c r="X33" t="s">
        <v>132</v>
      </c>
      <c r="Y33" t="s">
        <v>123</v>
      </c>
      <c r="Z33">
        <v>2.29</v>
      </c>
      <c r="AA33">
        <v>7.82</v>
      </c>
      <c r="AB33">
        <v>4109</v>
      </c>
      <c r="AC33">
        <v>3338</v>
      </c>
      <c r="AD33">
        <v>1.23</v>
      </c>
      <c r="AE33">
        <v>213</v>
      </c>
      <c r="AF33">
        <v>99</v>
      </c>
      <c r="AG33" t="s">
        <v>120</v>
      </c>
      <c r="AH33">
        <v>0</v>
      </c>
      <c r="AI33" t="s">
        <v>120</v>
      </c>
      <c r="AJ33">
        <v>6.64</v>
      </c>
      <c r="AK33" t="s">
        <v>364</v>
      </c>
      <c r="AL33">
        <v>1.02</v>
      </c>
      <c r="AM33">
        <v>720</v>
      </c>
      <c r="AN33">
        <v>10</v>
      </c>
      <c r="AO33">
        <v>2.0000000000000001E-4</v>
      </c>
      <c r="AP33">
        <v>-3</v>
      </c>
      <c r="AQ33">
        <v>-0.25</v>
      </c>
      <c r="AR33">
        <v>-2.62</v>
      </c>
      <c r="AS33">
        <v>-1.02</v>
      </c>
      <c r="AT33">
        <v>-6.71</v>
      </c>
      <c r="AU33">
        <v>-14.3</v>
      </c>
      <c r="AV33">
        <v>0</v>
      </c>
      <c r="AW33">
        <v>0.37</v>
      </c>
      <c r="AX33">
        <v>30.55</v>
      </c>
      <c r="AY33">
        <v>12.95</v>
      </c>
      <c r="AZ33">
        <v>18.57</v>
      </c>
      <c r="BA33">
        <v>0.39</v>
      </c>
      <c r="BB33" t="s">
        <v>143</v>
      </c>
      <c r="BF33">
        <v>-0.49</v>
      </c>
      <c r="BG33">
        <v>-0.89</v>
      </c>
      <c r="BH33">
        <v>-1.64</v>
      </c>
      <c r="BI33">
        <v>0.65</v>
      </c>
      <c r="BJ33">
        <v>20210914</v>
      </c>
      <c r="BK33">
        <v>19940921</v>
      </c>
      <c r="BL33">
        <v>6.65</v>
      </c>
      <c r="BM33" t="s">
        <v>120</v>
      </c>
      <c r="BN33" t="s">
        <v>120</v>
      </c>
      <c r="BO33">
        <v>424.31</v>
      </c>
      <c r="BP33">
        <v>7.79</v>
      </c>
      <c r="BQ33">
        <v>81.180000000000007</v>
      </c>
      <c r="BR33">
        <v>2.42</v>
      </c>
      <c r="BS33">
        <v>80.3</v>
      </c>
      <c r="BT33">
        <v>371.99</v>
      </c>
      <c r="BU33">
        <v>10.49</v>
      </c>
      <c r="BV33">
        <v>0.01</v>
      </c>
      <c r="BW33">
        <v>194.44</v>
      </c>
      <c r="BX33">
        <v>32.25</v>
      </c>
      <c r="BY33">
        <v>302.11</v>
      </c>
      <c r="BZ33">
        <v>1.32</v>
      </c>
      <c r="CA33">
        <v>0.24</v>
      </c>
      <c r="CB33">
        <v>24.48</v>
      </c>
      <c r="CC33">
        <v>39.56</v>
      </c>
      <c r="CD33">
        <v>26.97</v>
      </c>
      <c r="CE33">
        <v>3.6</v>
      </c>
      <c r="CF33">
        <v>0.16</v>
      </c>
      <c r="CG33">
        <v>3.69</v>
      </c>
      <c r="CH33">
        <v>1.96</v>
      </c>
      <c r="CI33">
        <v>2.78</v>
      </c>
      <c r="CJ33">
        <v>-7.0000000000000007E-2</v>
      </c>
      <c r="CK33">
        <v>2.58</v>
      </c>
      <c r="CL33">
        <v>44.63</v>
      </c>
      <c r="CM33">
        <v>-1.29</v>
      </c>
      <c r="CN33">
        <v>-19.2</v>
      </c>
      <c r="CO33">
        <v>13810</v>
      </c>
      <c r="CP33">
        <v>14709</v>
      </c>
      <c r="CQ33" t="s">
        <v>365</v>
      </c>
      <c r="CR33">
        <v>78.739999999999995</v>
      </c>
      <c r="CS33">
        <v>12.5</v>
      </c>
      <c r="CT33">
        <v>0.64</v>
      </c>
      <c r="CU33">
        <v>-40.29</v>
      </c>
      <c r="CV33">
        <v>1.31</v>
      </c>
      <c r="CW33">
        <v>0.64</v>
      </c>
      <c r="CX33" t="s">
        <v>366</v>
      </c>
      <c r="CY33">
        <v>12.21</v>
      </c>
      <c r="CZ33">
        <v>0</v>
      </c>
      <c r="DA33">
        <v>3.68</v>
      </c>
      <c r="DB33">
        <v>6.71</v>
      </c>
      <c r="DC33">
        <v>-0.19</v>
      </c>
      <c r="DD33">
        <v>19.13</v>
      </c>
      <c r="DE33" t="s">
        <v>367</v>
      </c>
      <c r="DF33">
        <v>31.84</v>
      </c>
      <c r="DG33">
        <v>9.11</v>
      </c>
      <c r="DH33">
        <v>7.02</v>
      </c>
      <c r="DI33" t="s">
        <v>120</v>
      </c>
      <c r="DJ33">
        <v>2489</v>
      </c>
      <c r="DK33">
        <v>42</v>
      </c>
      <c r="DL33" t="s">
        <v>120</v>
      </c>
      <c r="DM33" t="s">
        <v>120</v>
      </c>
      <c r="DN33" t="s">
        <v>120</v>
      </c>
    </row>
    <row r="34" spans="1:118">
      <c r="A34" t="str">
        <f>"000045"</f>
        <v>000045</v>
      </c>
      <c r="B34" t="s">
        <v>368</v>
      </c>
      <c r="C34">
        <v>0.43</v>
      </c>
      <c r="D34">
        <v>0</v>
      </c>
      <c r="E34">
        <v>0.54</v>
      </c>
      <c r="F34">
        <v>207</v>
      </c>
      <c r="G34" t="s">
        <v>369</v>
      </c>
      <c r="H34">
        <v>6258.49</v>
      </c>
      <c r="I34">
        <v>5.16</v>
      </c>
      <c r="J34" t="s">
        <v>120</v>
      </c>
      <c r="K34" t="s">
        <v>370</v>
      </c>
      <c r="L34">
        <v>1.45</v>
      </c>
      <c r="M34">
        <v>9.3699999999999992</v>
      </c>
      <c r="N34">
        <v>1.25</v>
      </c>
      <c r="O34">
        <v>2.57</v>
      </c>
      <c r="P34">
        <v>9.57</v>
      </c>
      <c r="Q34">
        <v>-1.07</v>
      </c>
      <c r="R34">
        <v>9.23</v>
      </c>
      <c r="S34">
        <v>9.3800000000000008</v>
      </c>
      <c r="T34">
        <v>66260</v>
      </c>
      <c r="U34">
        <v>9.3699999999999992</v>
      </c>
      <c r="V34">
        <v>9.33</v>
      </c>
      <c r="W34">
        <v>30.98</v>
      </c>
      <c r="X34" t="s">
        <v>229</v>
      </c>
      <c r="Y34" t="s">
        <v>123</v>
      </c>
      <c r="Z34">
        <v>3.64</v>
      </c>
      <c r="AA34">
        <v>9.4499999999999993</v>
      </c>
      <c r="AB34">
        <v>32578</v>
      </c>
      <c r="AC34">
        <v>33682</v>
      </c>
      <c r="AD34">
        <v>0.97</v>
      </c>
      <c r="AE34">
        <v>565</v>
      </c>
      <c r="AF34">
        <v>185</v>
      </c>
      <c r="AG34" t="s">
        <v>120</v>
      </c>
      <c r="AH34">
        <v>0</v>
      </c>
      <c r="AI34" t="s">
        <v>120</v>
      </c>
      <c r="AJ34">
        <v>4.57</v>
      </c>
      <c r="AK34" t="s">
        <v>371</v>
      </c>
      <c r="AL34">
        <v>2.34</v>
      </c>
      <c r="AM34">
        <v>2220</v>
      </c>
      <c r="AN34">
        <v>30</v>
      </c>
      <c r="AO34">
        <v>6.9999999999999999E-4</v>
      </c>
      <c r="AP34">
        <v>2</v>
      </c>
      <c r="AQ34">
        <v>0.32</v>
      </c>
      <c r="AR34">
        <v>-1.89</v>
      </c>
      <c r="AS34">
        <v>12.89</v>
      </c>
      <c r="AT34">
        <v>9.59</v>
      </c>
      <c r="AU34">
        <v>31.23</v>
      </c>
      <c r="AV34">
        <v>1</v>
      </c>
      <c r="AW34">
        <v>2.97</v>
      </c>
      <c r="AX34">
        <v>44.02</v>
      </c>
      <c r="AY34">
        <v>41.77</v>
      </c>
      <c r="AZ34">
        <v>126.81</v>
      </c>
      <c r="BA34">
        <v>0.56999999999999995</v>
      </c>
      <c r="BB34" t="s">
        <v>143</v>
      </c>
      <c r="BF34">
        <v>1.24</v>
      </c>
      <c r="BG34">
        <v>-0.11</v>
      </c>
      <c r="BH34">
        <v>-2.09</v>
      </c>
      <c r="BI34">
        <v>1.52</v>
      </c>
      <c r="BJ34">
        <v>20210830</v>
      </c>
      <c r="BK34">
        <v>19940815</v>
      </c>
      <c r="BL34">
        <v>5.07</v>
      </c>
      <c r="BM34">
        <v>0.5</v>
      </c>
      <c r="BN34" t="s">
        <v>120</v>
      </c>
      <c r="BO34">
        <v>51.82</v>
      </c>
      <c r="BP34">
        <v>9.36</v>
      </c>
      <c r="BQ34">
        <v>28.23</v>
      </c>
      <c r="BR34">
        <v>11.7</v>
      </c>
      <c r="BS34">
        <v>22.94</v>
      </c>
      <c r="BT34">
        <v>22.68</v>
      </c>
      <c r="BU34">
        <v>7.46</v>
      </c>
      <c r="BV34">
        <v>0.36</v>
      </c>
      <c r="BW34">
        <v>4.78</v>
      </c>
      <c r="BX34">
        <v>2.61</v>
      </c>
      <c r="BY34">
        <v>5.76</v>
      </c>
      <c r="BZ34">
        <v>5.39</v>
      </c>
      <c r="CA34">
        <v>0.04</v>
      </c>
      <c r="CB34">
        <v>19.62</v>
      </c>
      <c r="CC34">
        <v>11.02</v>
      </c>
      <c r="CD34">
        <v>8.6300000000000008</v>
      </c>
      <c r="CE34">
        <v>1.01</v>
      </c>
      <c r="CF34">
        <v>0.1</v>
      </c>
      <c r="CG34">
        <v>1.21</v>
      </c>
      <c r="CH34">
        <v>1.1299999999999999</v>
      </c>
      <c r="CI34">
        <v>0.77</v>
      </c>
      <c r="CJ34">
        <v>0.04</v>
      </c>
      <c r="CK34">
        <v>0.62</v>
      </c>
      <c r="CL34">
        <v>1.48</v>
      </c>
      <c r="CM34">
        <v>-0.53</v>
      </c>
      <c r="CN34">
        <v>-0.24</v>
      </c>
      <c r="CO34">
        <v>27236</v>
      </c>
      <c r="CP34">
        <v>10003</v>
      </c>
      <c r="CQ34" t="s">
        <v>372</v>
      </c>
      <c r="CR34">
        <v>10543.44</v>
      </c>
      <c r="CS34">
        <v>28.64</v>
      </c>
      <c r="CT34">
        <v>1.68</v>
      </c>
      <c r="CU34">
        <v>-90.16</v>
      </c>
      <c r="CV34">
        <v>4.3099999999999996</v>
      </c>
      <c r="CW34">
        <v>0.32</v>
      </c>
      <c r="CX34" t="s">
        <v>373</v>
      </c>
      <c r="CY34">
        <v>5.57</v>
      </c>
      <c r="CZ34">
        <v>0</v>
      </c>
      <c r="DA34">
        <v>3.87</v>
      </c>
      <c r="DB34">
        <v>0.28999999999999998</v>
      </c>
      <c r="DC34">
        <v>-0.1</v>
      </c>
      <c r="DD34">
        <v>54.48</v>
      </c>
      <c r="DE34" t="s">
        <v>374</v>
      </c>
      <c r="DF34">
        <v>21.64</v>
      </c>
      <c r="DG34">
        <v>9.19</v>
      </c>
      <c r="DH34">
        <v>6.95</v>
      </c>
      <c r="DI34">
        <v>0.28999999999999998</v>
      </c>
      <c r="DJ34">
        <v>1369</v>
      </c>
      <c r="DK34">
        <v>45</v>
      </c>
      <c r="DL34" t="s">
        <v>120</v>
      </c>
      <c r="DM34" t="s">
        <v>120</v>
      </c>
      <c r="DN34" t="s">
        <v>120</v>
      </c>
    </row>
    <row r="35" spans="1:118">
      <c r="A35" t="str">
        <f>"000046"</f>
        <v>000046</v>
      </c>
      <c r="B35" t="s">
        <v>375</v>
      </c>
      <c r="C35">
        <v>-2.75</v>
      </c>
      <c r="D35">
        <v>0</v>
      </c>
      <c r="E35">
        <v>0.92</v>
      </c>
      <c r="F35">
        <v>19913</v>
      </c>
      <c r="G35" t="s">
        <v>376</v>
      </c>
      <c r="H35">
        <v>12027.79</v>
      </c>
      <c r="I35">
        <v>90.93</v>
      </c>
      <c r="J35" t="s">
        <v>120</v>
      </c>
      <c r="K35" t="s">
        <v>377</v>
      </c>
      <c r="L35">
        <v>1.07</v>
      </c>
      <c r="M35">
        <v>2.12</v>
      </c>
      <c r="N35">
        <v>1.07</v>
      </c>
      <c r="O35">
        <v>1.83</v>
      </c>
      <c r="P35">
        <v>2.2200000000000002</v>
      </c>
      <c r="Q35">
        <v>-3.21</v>
      </c>
      <c r="R35">
        <v>2.11</v>
      </c>
      <c r="S35">
        <v>2.2000000000000002</v>
      </c>
      <c r="T35">
        <v>555195</v>
      </c>
      <c r="U35">
        <v>2.12</v>
      </c>
      <c r="V35">
        <v>2.1800000000000002</v>
      </c>
      <c r="W35" t="s">
        <v>120</v>
      </c>
      <c r="X35" t="s">
        <v>378</v>
      </c>
      <c r="Y35" t="s">
        <v>158</v>
      </c>
      <c r="Z35">
        <v>5.05</v>
      </c>
      <c r="AA35">
        <v>2.17</v>
      </c>
      <c r="AB35">
        <v>301599</v>
      </c>
      <c r="AC35">
        <v>253596</v>
      </c>
      <c r="AD35">
        <v>1.19</v>
      </c>
      <c r="AE35">
        <v>9726</v>
      </c>
      <c r="AF35">
        <v>371</v>
      </c>
      <c r="AG35" t="s">
        <v>120</v>
      </c>
      <c r="AH35">
        <v>0.02</v>
      </c>
      <c r="AI35" t="s">
        <v>120</v>
      </c>
      <c r="AJ35">
        <v>51.94</v>
      </c>
      <c r="AK35" t="s">
        <v>379</v>
      </c>
      <c r="AL35">
        <v>-0.84</v>
      </c>
      <c r="AM35">
        <v>2883</v>
      </c>
      <c r="AN35">
        <v>193</v>
      </c>
      <c r="AO35">
        <v>4.0000000000000002E-4</v>
      </c>
      <c r="AP35">
        <v>-3</v>
      </c>
      <c r="AQ35">
        <v>-0.91</v>
      </c>
      <c r="AR35">
        <v>-6.61</v>
      </c>
      <c r="AS35">
        <v>2.41</v>
      </c>
      <c r="AT35">
        <v>-21.19</v>
      </c>
      <c r="AU35">
        <v>-35.369999999999997</v>
      </c>
      <c r="AV35">
        <v>3</v>
      </c>
      <c r="AW35">
        <v>3.29</v>
      </c>
      <c r="AX35">
        <v>32.479999999999997</v>
      </c>
      <c r="AY35" t="s">
        <v>120</v>
      </c>
      <c r="AZ35" t="s">
        <v>120</v>
      </c>
      <c r="BA35">
        <v>0</v>
      </c>
      <c r="BB35" t="s">
        <v>143</v>
      </c>
      <c r="BF35">
        <v>-0.62</v>
      </c>
      <c r="BG35">
        <v>-3.64</v>
      </c>
      <c r="BH35">
        <v>-4.5</v>
      </c>
      <c r="BI35">
        <v>0.47</v>
      </c>
      <c r="BJ35">
        <v>20210913</v>
      </c>
      <c r="BK35">
        <v>19940912</v>
      </c>
      <c r="BL35">
        <v>51.96</v>
      </c>
      <c r="BM35" t="s">
        <v>120</v>
      </c>
      <c r="BN35" t="s">
        <v>120</v>
      </c>
      <c r="BO35">
        <v>1708.2</v>
      </c>
      <c r="BP35">
        <v>2.11</v>
      </c>
      <c r="BQ35">
        <v>160.69999999999999</v>
      </c>
      <c r="BR35">
        <v>184.62</v>
      </c>
      <c r="BS35">
        <v>79.78</v>
      </c>
      <c r="BT35">
        <v>1196.32</v>
      </c>
      <c r="BU35">
        <v>7.32</v>
      </c>
      <c r="BV35">
        <v>2.11</v>
      </c>
      <c r="BW35">
        <v>1051.2</v>
      </c>
      <c r="BX35">
        <v>163.94</v>
      </c>
      <c r="BY35">
        <v>501.94</v>
      </c>
      <c r="BZ35">
        <v>12.32</v>
      </c>
      <c r="CA35">
        <v>35.29</v>
      </c>
      <c r="CB35">
        <v>78.97</v>
      </c>
      <c r="CC35">
        <v>41.23</v>
      </c>
      <c r="CD35">
        <v>10.83</v>
      </c>
      <c r="CE35">
        <v>0.42</v>
      </c>
      <c r="CF35">
        <v>-1.93</v>
      </c>
      <c r="CG35">
        <v>-0.43</v>
      </c>
      <c r="CH35">
        <v>-3.01</v>
      </c>
      <c r="CI35">
        <v>-5.4</v>
      </c>
      <c r="CJ35">
        <v>-0.06</v>
      </c>
      <c r="CK35">
        <v>-0.75</v>
      </c>
      <c r="CL35">
        <v>10.61</v>
      </c>
      <c r="CM35">
        <v>36.49</v>
      </c>
      <c r="CN35">
        <v>-34.71</v>
      </c>
      <c r="CO35">
        <v>56540</v>
      </c>
      <c r="CP35">
        <v>29849</v>
      </c>
      <c r="CQ35" t="s">
        <v>380</v>
      </c>
      <c r="CR35">
        <v>-31.14</v>
      </c>
      <c r="CS35">
        <v>1173.04</v>
      </c>
      <c r="CT35">
        <v>0.69</v>
      </c>
      <c r="CU35">
        <v>3.02</v>
      </c>
      <c r="CV35">
        <v>2.67</v>
      </c>
      <c r="CW35">
        <v>0</v>
      </c>
      <c r="CX35" t="s">
        <v>381</v>
      </c>
      <c r="CY35">
        <v>3.09</v>
      </c>
      <c r="CZ35">
        <v>0</v>
      </c>
      <c r="DA35">
        <v>1.52</v>
      </c>
      <c r="DB35">
        <v>0.2</v>
      </c>
      <c r="DC35">
        <v>0.7</v>
      </c>
      <c r="DD35">
        <v>9.41</v>
      </c>
      <c r="DE35" t="s">
        <v>382</v>
      </c>
      <c r="DF35">
        <v>73.72</v>
      </c>
      <c r="DG35">
        <v>1.01</v>
      </c>
      <c r="DH35">
        <v>-13.09</v>
      </c>
      <c r="DI35" t="s">
        <v>120</v>
      </c>
      <c r="DJ35">
        <v>9601</v>
      </c>
      <c r="DK35">
        <v>46</v>
      </c>
      <c r="DL35" t="s">
        <v>120</v>
      </c>
      <c r="DM35" t="s">
        <v>120</v>
      </c>
      <c r="DN35" t="s">
        <v>120</v>
      </c>
    </row>
    <row r="36" spans="1:118">
      <c r="A36" t="str">
        <f>"000048"</f>
        <v>000048</v>
      </c>
      <c r="B36" t="s">
        <v>383</v>
      </c>
      <c r="C36">
        <v>0.68</v>
      </c>
      <c r="D36">
        <v>0</v>
      </c>
      <c r="E36">
        <v>0.9</v>
      </c>
      <c r="F36">
        <v>108</v>
      </c>
      <c r="G36" t="s">
        <v>384</v>
      </c>
      <c r="H36">
        <v>3896.5</v>
      </c>
      <c r="I36">
        <v>1.25</v>
      </c>
      <c r="J36" t="s">
        <v>120</v>
      </c>
      <c r="K36" t="s">
        <v>385</v>
      </c>
      <c r="L36">
        <v>0.42</v>
      </c>
      <c r="M36">
        <v>17.86</v>
      </c>
      <c r="N36">
        <v>1.93</v>
      </c>
      <c r="O36">
        <v>2.59</v>
      </c>
      <c r="P36">
        <v>18.2</v>
      </c>
      <c r="Q36">
        <v>-0.79</v>
      </c>
      <c r="R36">
        <v>17.600000000000001</v>
      </c>
      <c r="S36">
        <v>17.899999999999999</v>
      </c>
      <c r="T36">
        <v>21736</v>
      </c>
      <c r="U36">
        <v>17.87</v>
      </c>
      <c r="V36">
        <v>17.739999999999998</v>
      </c>
      <c r="W36">
        <v>9.5500000000000007</v>
      </c>
      <c r="X36" t="s">
        <v>386</v>
      </c>
      <c r="Y36" t="s">
        <v>123</v>
      </c>
      <c r="Z36">
        <v>3.38</v>
      </c>
      <c r="AA36">
        <v>17.93</v>
      </c>
      <c r="AB36">
        <v>10202</v>
      </c>
      <c r="AC36">
        <v>11534</v>
      </c>
      <c r="AD36">
        <v>0.88</v>
      </c>
      <c r="AE36">
        <v>141</v>
      </c>
      <c r="AF36">
        <v>241</v>
      </c>
      <c r="AG36" t="s">
        <v>120</v>
      </c>
      <c r="AH36">
        <v>0</v>
      </c>
      <c r="AI36" t="s">
        <v>120</v>
      </c>
      <c r="AJ36">
        <v>5.23</v>
      </c>
      <c r="AK36" t="s">
        <v>387</v>
      </c>
      <c r="AL36">
        <v>2.59</v>
      </c>
      <c r="AM36">
        <v>1181</v>
      </c>
      <c r="AN36">
        <v>18</v>
      </c>
      <c r="AO36">
        <v>4.0000000000000002E-4</v>
      </c>
      <c r="AP36">
        <v>1</v>
      </c>
      <c r="AQ36">
        <v>-0.5</v>
      </c>
      <c r="AR36">
        <v>-0.77</v>
      </c>
      <c r="AS36">
        <v>-2.94</v>
      </c>
      <c r="AT36">
        <v>-1.06</v>
      </c>
      <c r="AU36">
        <v>8.5</v>
      </c>
      <c r="AV36">
        <v>2</v>
      </c>
      <c r="AW36">
        <v>1.53</v>
      </c>
      <c r="AX36">
        <v>27.1</v>
      </c>
      <c r="AY36">
        <v>7.62</v>
      </c>
      <c r="AZ36">
        <v>10.71</v>
      </c>
      <c r="BA36">
        <v>0.7</v>
      </c>
      <c r="BB36" t="s">
        <v>143</v>
      </c>
      <c r="BF36">
        <v>1.05</v>
      </c>
      <c r="BG36">
        <v>-0.22</v>
      </c>
      <c r="BH36">
        <v>-1.87</v>
      </c>
      <c r="BI36">
        <v>1.48</v>
      </c>
      <c r="BJ36">
        <v>20210830</v>
      </c>
      <c r="BK36">
        <v>19941101</v>
      </c>
      <c r="BL36">
        <v>5.23</v>
      </c>
      <c r="BM36" t="s">
        <v>120</v>
      </c>
      <c r="BN36" t="s">
        <v>120</v>
      </c>
      <c r="BO36">
        <v>90.66</v>
      </c>
      <c r="BP36">
        <v>17.86</v>
      </c>
      <c r="BQ36">
        <v>26.38</v>
      </c>
      <c r="BR36">
        <v>0.23</v>
      </c>
      <c r="BS36">
        <v>70.64</v>
      </c>
      <c r="BT36">
        <v>41.24</v>
      </c>
      <c r="BU36">
        <v>15.02</v>
      </c>
      <c r="BV36">
        <v>0.6</v>
      </c>
      <c r="BW36">
        <v>43.84</v>
      </c>
      <c r="BX36">
        <v>9.43</v>
      </c>
      <c r="BY36">
        <v>28.24</v>
      </c>
      <c r="BZ36">
        <v>0.48</v>
      </c>
      <c r="CA36">
        <v>3.03</v>
      </c>
      <c r="CB36">
        <v>0.42</v>
      </c>
      <c r="CC36">
        <v>25.73</v>
      </c>
      <c r="CD36">
        <v>10.119999999999999</v>
      </c>
      <c r="CE36">
        <v>6.83</v>
      </c>
      <c r="CF36">
        <v>0.04</v>
      </c>
      <c r="CG36">
        <v>6.76</v>
      </c>
      <c r="CH36">
        <v>4.9400000000000004</v>
      </c>
      <c r="CI36">
        <v>4.8899999999999997</v>
      </c>
      <c r="CJ36">
        <v>0.12</v>
      </c>
      <c r="CK36">
        <v>5.09</v>
      </c>
      <c r="CL36">
        <v>18.72</v>
      </c>
      <c r="CM36">
        <v>-16.62</v>
      </c>
      <c r="CN36">
        <v>-25.96</v>
      </c>
      <c r="CO36">
        <v>12995</v>
      </c>
      <c r="CP36">
        <v>10911</v>
      </c>
      <c r="CQ36" t="s">
        <v>388</v>
      </c>
      <c r="CR36">
        <v>254.42</v>
      </c>
      <c r="CS36">
        <v>208.48</v>
      </c>
      <c r="CT36">
        <v>3.54</v>
      </c>
      <c r="CU36">
        <v>-5.62</v>
      </c>
      <c r="CV36">
        <v>3.63</v>
      </c>
      <c r="CW36">
        <v>6.5</v>
      </c>
      <c r="CX36" t="s">
        <v>389</v>
      </c>
      <c r="CY36">
        <v>5.04</v>
      </c>
      <c r="CZ36">
        <v>0</v>
      </c>
      <c r="DA36">
        <v>0.08</v>
      </c>
      <c r="DB36">
        <v>3.58</v>
      </c>
      <c r="DC36">
        <v>-3.18</v>
      </c>
      <c r="DD36">
        <v>29.1</v>
      </c>
      <c r="DE36" t="s">
        <v>390</v>
      </c>
      <c r="DF36">
        <v>60.68</v>
      </c>
      <c r="DG36">
        <v>26.54</v>
      </c>
      <c r="DH36">
        <v>19.02</v>
      </c>
      <c r="DI36">
        <v>0.16</v>
      </c>
      <c r="DJ36">
        <v>1305</v>
      </c>
      <c r="DK36">
        <v>48</v>
      </c>
      <c r="DL36" t="s">
        <v>120</v>
      </c>
      <c r="DM36" t="s">
        <v>120</v>
      </c>
      <c r="DN36" t="s">
        <v>120</v>
      </c>
    </row>
    <row r="37" spans="1:118">
      <c r="A37" t="str">
        <f>"000049"</f>
        <v>000049</v>
      </c>
      <c r="B37" t="s">
        <v>391</v>
      </c>
      <c r="C37">
        <v>-4.0999999999999996</v>
      </c>
      <c r="D37">
        <v>0</v>
      </c>
      <c r="E37">
        <v>-0.34</v>
      </c>
      <c r="F37">
        <v>520</v>
      </c>
      <c r="G37" t="s">
        <v>392</v>
      </c>
      <c r="H37">
        <v>26981.49</v>
      </c>
      <c r="I37">
        <v>33.32</v>
      </c>
      <c r="J37" t="s">
        <v>120</v>
      </c>
      <c r="K37" t="s">
        <v>393</v>
      </c>
      <c r="L37">
        <v>2.61</v>
      </c>
      <c r="M37">
        <v>34.11</v>
      </c>
      <c r="N37">
        <v>1.39</v>
      </c>
      <c r="O37">
        <v>-0.2</v>
      </c>
      <c r="P37">
        <v>35.5</v>
      </c>
      <c r="Q37">
        <v>-4.3</v>
      </c>
      <c r="R37">
        <v>34.04</v>
      </c>
      <c r="S37">
        <v>35.450000000000003</v>
      </c>
      <c r="T37">
        <v>77859</v>
      </c>
      <c r="U37">
        <v>34.11</v>
      </c>
      <c r="V37">
        <v>35.57</v>
      </c>
      <c r="W37">
        <v>19.05</v>
      </c>
      <c r="X37" t="s">
        <v>394</v>
      </c>
      <c r="Y37" t="s">
        <v>123</v>
      </c>
      <c r="Z37">
        <v>4.0999999999999996</v>
      </c>
      <c r="AA37">
        <v>34.65</v>
      </c>
      <c r="AB37">
        <v>50110</v>
      </c>
      <c r="AC37">
        <v>27749</v>
      </c>
      <c r="AD37">
        <v>1.81</v>
      </c>
      <c r="AE37">
        <v>218</v>
      </c>
      <c r="AF37">
        <v>180</v>
      </c>
      <c r="AG37" t="s">
        <v>120</v>
      </c>
      <c r="AH37">
        <v>0.01</v>
      </c>
      <c r="AI37" t="s">
        <v>120</v>
      </c>
      <c r="AJ37">
        <v>2.99</v>
      </c>
      <c r="AK37" t="s">
        <v>395</v>
      </c>
      <c r="AL37">
        <v>-2.19</v>
      </c>
      <c r="AM37">
        <v>3767</v>
      </c>
      <c r="AN37">
        <v>21</v>
      </c>
      <c r="AO37">
        <v>6.9999999999999999E-4</v>
      </c>
      <c r="AP37">
        <v>-2</v>
      </c>
      <c r="AQ37">
        <v>-1.96</v>
      </c>
      <c r="AR37">
        <v>-5.22</v>
      </c>
      <c r="AS37">
        <v>-15.21</v>
      </c>
      <c r="AT37">
        <v>-26.36</v>
      </c>
      <c r="AU37">
        <v>-25.74</v>
      </c>
      <c r="AV37">
        <v>3</v>
      </c>
      <c r="AW37">
        <v>4.75</v>
      </c>
      <c r="AX37">
        <v>54.56</v>
      </c>
      <c r="AY37">
        <v>13.97</v>
      </c>
      <c r="AZ37">
        <v>15.96</v>
      </c>
      <c r="BA37">
        <v>0.99</v>
      </c>
      <c r="BB37" t="s">
        <v>125</v>
      </c>
      <c r="BF37">
        <v>-2.57</v>
      </c>
      <c r="BG37">
        <v>-3.78</v>
      </c>
      <c r="BH37">
        <v>-3.92</v>
      </c>
      <c r="BI37">
        <v>0.21</v>
      </c>
      <c r="BJ37">
        <v>20210915</v>
      </c>
      <c r="BK37">
        <v>19950320</v>
      </c>
      <c r="BL37">
        <v>3</v>
      </c>
      <c r="BM37" t="s">
        <v>120</v>
      </c>
      <c r="BN37" t="s">
        <v>120</v>
      </c>
      <c r="BO37">
        <v>79.25</v>
      </c>
      <c r="BP37">
        <v>34.1</v>
      </c>
      <c r="BQ37">
        <v>29</v>
      </c>
      <c r="BR37">
        <v>-7.0000000000000007E-2</v>
      </c>
      <c r="BS37">
        <v>63.49</v>
      </c>
      <c r="BT37">
        <v>59.04</v>
      </c>
      <c r="BU37">
        <v>9.17</v>
      </c>
      <c r="BV37">
        <v>2.34</v>
      </c>
      <c r="BW37">
        <v>43.31</v>
      </c>
      <c r="BX37">
        <v>6.13</v>
      </c>
      <c r="BY37">
        <v>16.579999999999998</v>
      </c>
      <c r="BZ37">
        <v>32.4</v>
      </c>
      <c r="CA37" t="s">
        <v>120</v>
      </c>
      <c r="CB37">
        <v>1.59</v>
      </c>
      <c r="CC37">
        <v>76.84</v>
      </c>
      <c r="CD37">
        <v>69.69</v>
      </c>
      <c r="CE37">
        <v>3.33</v>
      </c>
      <c r="CF37">
        <v>0.01</v>
      </c>
      <c r="CG37">
        <v>3.33</v>
      </c>
      <c r="CH37">
        <v>2.69</v>
      </c>
      <c r="CI37">
        <v>2.69</v>
      </c>
      <c r="CJ37">
        <v>-1.46</v>
      </c>
      <c r="CK37">
        <v>2.57</v>
      </c>
      <c r="CL37">
        <v>23.63</v>
      </c>
      <c r="CM37">
        <v>5.57</v>
      </c>
      <c r="CN37">
        <v>0.68</v>
      </c>
      <c r="CO37">
        <v>70267</v>
      </c>
      <c r="CP37">
        <v>2333</v>
      </c>
      <c r="CQ37" t="s">
        <v>396</v>
      </c>
      <c r="CR37">
        <v>54.76</v>
      </c>
      <c r="CS37">
        <v>1.46</v>
      </c>
      <c r="CT37">
        <v>3.53</v>
      </c>
      <c r="CU37">
        <v>18.41</v>
      </c>
      <c r="CV37">
        <v>1.33</v>
      </c>
      <c r="CW37">
        <v>1.94</v>
      </c>
      <c r="CX37" t="s">
        <v>397</v>
      </c>
      <c r="CY37">
        <v>9.65</v>
      </c>
      <c r="CZ37">
        <v>9.65</v>
      </c>
      <c r="DA37">
        <v>0.53</v>
      </c>
      <c r="DB37">
        <v>7.87</v>
      </c>
      <c r="DC37">
        <v>1.85</v>
      </c>
      <c r="DD37">
        <v>36.6</v>
      </c>
      <c r="DE37" t="s">
        <v>398</v>
      </c>
      <c r="DF37">
        <v>9.31</v>
      </c>
      <c r="DG37">
        <v>4.33</v>
      </c>
      <c r="DH37">
        <v>3.5</v>
      </c>
      <c r="DI37">
        <v>1.71</v>
      </c>
      <c r="DJ37">
        <v>9833</v>
      </c>
      <c r="DK37">
        <v>49</v>
      </c>
      <c r="DL37" t="s">
        <v>120</v>
      </c>
      <c r="DM37" t="s">
        <v>120</v>
      </c>
      <c r="DN37" t="s">
        <v>120</v>
      </c>
    </row>
    <row r="38" spans="1:118">
      <c r="A38" t="str">
        <f>"000050"</f>
        <v>000050</v>
      </c>
      <c r="B38" t="s">
        <v>399</v>
      </c>
      <c r="C38">
        <v>-1.96</v>
      </c>
      <c r="D38">
        <v>-0.27</v>
      </c>
      <c r="E38">
        <v>-0.21</v>
      </c>
      <c r="F38">
        <v>6998</v>
      </c>
      <c r="G38" t="s">
        <v>400</v>
      </c>
      <c r="H38">
        <v>27632.02</v>
      </c>
      <c r="I38">
        <v>83.79</v>
      </c>
      <c r="J38" t="s">
        <v>120</v>
      </c>
      <c r="K38" t="s">
        <v>401</v>
      </c>
      <c r="L38">
        <v>0.85</v>
      </c>
      <c r="M38">
        <v>14</v>
      </c>
      <c r="N38">
        <v>0.82</v>
      </c>
      <c r="O38">
        <v>0.91</v>
      </c>
      <c r="P38">
        <v>14.41</v>
      </c>
      <c r="Q38">
        <v>-1.96</v>
      </c>
      <c r="R38">
        <v>14</v>
      </c>
      <c r="S38">
        <v>14.25</v>
      </c>
      <c r="T38">
        <v>194804</v>
      </c>
      <c r="U38">
        <v>14.04</v>
      </c>
      <c r="V38">
        <v>14.28</v>
      </c>
      <c r="W38">
        <v>14.39</v>
      </c>
      <c r="X38" t="s">
        <v>229</v>
      </c>
      <c r="Y38" t="s">
        <v>123</v>
      </c>
      <c r="Z38">
        <v>2.87</v>
      </c>
      <c r="AA38">
        <v>14.18</v>
      </c>
      <c r="AB38">
        <v>112287</v>
      </c>
      <c r="AC38">
        <v>82517</v>
      </c>
      <c r="AD38">
        <v>1.36</v>
      </c>
      <c r="AE38">
        <v>2732</v>
      </c>
      <c r="AF38">
        <v>59</v>
      </c>
      <c r="AG38" t="s">
        <v>120</v>
      </c>
      <c r="AH38">
        <v>0.01</v>
      </c>
      <c r="AI38" t="s">
        <v>120</v>
      </c>
      <c r="AJ38">
        <v>23.05</v>
      </c>
      <c r="AK38" t="s">
        <v>402</v>
      </c>
      <c r="AL38">
        <v>-0.05</v>
      </c>
      <c r="AM38">
        <v>3514</v>
      </c>
      <c r="AN38">
        <v>55</v>
      </c>
      <c r="AO38">
        <v>2.0000000000000001E-4</v>
      </c>
      <c r="AP38">
        <v>-1</v>
      </c>
      <c r="AQ38">
        <v>0.21</v>
      </c>
      <c r="AR38">
        <v>-3.78</v>
      </c>
      <c r="AS38">
        <v>-3.31</v>
      </c>
      <c r="AT38">
        <v>-2.17</v>
      </c>
      <c r="AU38">
        <v>-4.57</v>
      </c>
      <c r="AV38">
        <v>1</v>
      </c>
      <c r="AW38">
        <v>1.72</v>
      </c>
      <c r="AX38">
        <v>46.09</v>
      </c>
      <c r="AY38">
        <v>18.22</v>
      </c>
      <c r="AZ38">
        <v>23.8</v>
      </c>
      <c r="BA38">
        <v>0.38</v>
      </c>
      <c r="BB38" t="s">
        <v>143</v>
      </c>
      <c r="BF38">
        <v>-0.67</v>
      </c>
      <c r="BG38">
        <v>-1.75</v>
      </c>
      <c r="BH38">
        <v>-2.85</v>
      </c>
      <c r="BI38">
        <v>0</v>
      </c>
      <c r="BJ38">
        <v>20210909</v>
      </c>
      <c r="BK38">
        <v>19950315</v>
      </c>
      <c r="BL38">
        <v>24.58</v>
      </c>
      <c r="BM38" t="s">
        <v>120</v>
      </c>
      <c r="BN38" t="s">
        <v>120</v>
      </c>
      <c r="BO38">
        <v>782.51</v>
      </c>
      <c r="BP38">
        <v>14</v>
      </c>
      <c r="BQ38">
        <v>347.26</v>
      </c>
      <c r="BR38" t="s">
        <v>120</v>
      </c>
      <c r="BS38">
        <v>55.62</v>
      </c>
      <c r="BT38">
        <v>167.13</v>
      </c>
      <c r="BU38">
        <v>254.42</v>
      </c>
      <c r="BV38">
        <v>21.55</v>
      </c>
      <c r="BW38">
        <v>207.83</v>
      </c>
      <c r="BX38">
        <v>49.04</v>
      </c>
      <c r="BY38">
        <v>31.47</v>
      </c>
      <c r="BZ38">
        <v>67.069999999999993</v>
      </c>
      <c r="CA38" t="s">
        <v>120</v>
      </c>
      <c r="CB38">
        <v>262.35000000000002</v>
      </c>
      <c r="CC38">
        <v>159.94</v>
      </c>
      <c r="CD38">
        <v>131.93</v>
      </c>
      <c r="CE38">
        <v>12.75</v>
      </c>
      <c r="CF38">
        <v>-0.06</v>
      </c>
      <c r="CG38">
        <v>12.83</v>
      </c>
      <c r="CH38">
        <v>11.96</v>
      </c>
      <c r="CI38">
        <v>11.96</v>
      </c>
      <c r="CJ38">
        <v>-0.28000000000000003</v>
      </c>
      <c r="CK38">
        <v>6.09</v>
      </c>
      <c r="CL38">
        <v>59.19</v>
      </c>
      <c r="CM38">
        <v>23</v>
      </c>
      <c r="CN38">
        <v>3.98</v>
      </c>
      <c r="CO38">
        <v>90452</v>
      </c>
      <c r="CP38">
        <v>12522</v>
      </c>
      <c r="CQ38" t="s">
        <v>403</v>
      </c>
      <c r="CR38">
        <v>60.64</v>
      </c>
      <c r="CS38">
        <v>13.78</v>
      </c>
      <c r="CT38">
        <v>0.99</v>
      </c>
      <c r="CU38">
        <v>14.96</v>
      </c>
      <c r="CV38">
        <v>2.15</v>
      </c>
      <c r="CW38">
        <v>0.49</v>
      </c>
      <c r="CX38" t="s">
        <v>404</v>
      </c>
      <c r="CY38">
        <v>14.13</v>
      </c>
      <c r="CZ38">
        <v>0</v>
      </c>
      <c r="DA38">
        <v>10.67</v>
      </c>
      <c r="DB38">
        <v>2.41</v>
      </c>
      <c r="DC38">
        <v>0.94</v>
      </c>
      <c r="DD38">
        <v>44.38</v>
      </c>
      <c r="DE38" t="s">
        <v>405</v>
      </c>
      <c r="DF38">
        <v>17.510000000000002</v>
      </c>
      <c r="DG38">
        <v>7.97</v>
      </c>
      <c r="DH38">
        <v>7.48</v>
      </c>
      <c r="DI38">
        <v>10.55</v>
      </c>
      <c r="DJ38">
        <v>37484</v>
      </c>
      <c r="DK38">
        <v>50</v>
      </c>
      <c r="DL38" t="s">
        <v>120</v>
      </c>
      <c r="DM38" t="s">
        <v>120</v>
      </c>
      <c r="DN38" t="s">
        <v>120</v>
      </c>
    </row>
    <row r="39" spans="1:118">
      <c r="A39" t="str">
        <f>"000055"</f>
        <v>000055</v>
      </c>
      <c r="B39" t="s">
        <v>406</v>
      </c>
      <c r="C39">
        <v>-0.64</v>
      </c>
      <c r="D39">
        <v>0</v>
      </c>
      <c r="E39">
        <v>0</v>
      </c>
      <c r="F39">
        <v>1360</v>
      </c>
      <c r="G39" t="s">
        <v>407</v>
      </c>
      <c r="H39">
        <v>7333.4</v>
      </c>
      <c r="I39">
        <v>39.22</v>
      </c>
      <c r="J39" t="s">
        <v>120</v>
      </c>
      <c r="K39" t="s">
        <v>408</v>
      </c>
      <c r="L39">
        <v>2.29</v>
      </c>
      <c r="M39">
        <v>4.6900000000000004</v>
      </c>
      <c r="N39">
        <v>1.1200000000000001</v>
      </c>
      <c r="O39">
        <v>2.33</v>
      </c>
      <c r="P39">
        <v>4.83</v>
      </c>
      <c r="Q39">
        <v>-1.69</v>
      </c>
      <c r="R39">
        <v>4.6399999999999997</v>
      </c>
      <c r="S39">
        <v>4.72</v>
      </c>
      <c r="T39">
        <v>154836</v>
      </c>
      <c r="U39">
        <v>4.7</v>
      </c>
      <c r="V39">
        <v>4.72</v>
      </c>
      <c r="W39">
        <v>22.59</v>
      </c>
      <c r="X39" t="s">
        <v>247</v>
      </c>
      <c r="Y39" t="s">
        <v>123</v>
      </c>
      <c r="Z39">
        <v>4.03</v>
      </c>
      <c r="AA39">
        <v>4.74</v>
      </c>
      <c r="AB39">
        <v>74184</v>
      </c>
      <c r="AC39">
        <v>80652</v>
      </c>
      <c r="AD39">
        <v>0.92</v>
      </c>
      <c r="AE39">
        <v>1067</v>
      </c>
      <c r="AF39">
        <v>1684</v>
      </c>
      <c r="AG39" t="s">
        <v>120</v>
      </c>
      <c r="AH39">
        <v>0.02</v>
      </c>
      <c r="AI39" t="s">
        <v>120</v>
      </c>
      <c r="AJ39">
        <v>6.77</v>
      </c>
      <c r="AK39" t="s">
        <v>409</v>
      </c>
      <c r="AL39">
        <v>1.28</v>
      </c>
      <c r="AM39">
        <v>2314</v>
      </c>
      <c r="AN39">
        <v>67</v>
      </c>
      <c r="AO39">
        <v>1E-3</v>
      </c>
      <c r="AP39">
        <v>-1</v>
      </c>
      <c r="AQ39">
        <v>3.74</v>
      </c>
      <c r="AR39">
        <v>0.86</v>
      </c>
      <c r="AS39">
        <v>9.07</v>
      </c>
      <c r="AT39">
        <v>2.1800000000000002</v>
      </c>
      <c r="AU39">
        <v>4.92</v>
      </c>
      <c r="AV39">
        <v>0</v>
      </c>
      <c r="AW39">
        <v>2.86</v>
      </c>
      <c r="AX39">
        <v>50.49</v>
      </c>
      <c r="AY39">
        <v>14.66</v>
      </c>
      <c r="AZ39">
        <v>13.27</v>
      </c>
      <c r="BA39">
        <v>0.32</v>
      </c>
      <c r="BB39" t="s">
        <v>184</v>
      </c>
      <c r="BF39">
        <v>0.34</v>
      </c>
      <c r="BG39">
        <v>-0.64</v>
      </c>
      <c r="BH39">
        <v>-2.9</v>
      </c>
      <c r="BI39">
        <v>1.08</v>
      </c>
      <c r="BJ39">
        <v>20210818</v>
      </c>
      <c r="BK39">
        <v>19960415</v>
      </c>
      <c r="BL39">
        <v>10.74</v>
      </c>
      <c r="BM39">
        <v>3.94</v>
      </c>
      <c r="BN39" t="s">
        <v>120</v>
      </c>
      <c r="BO39">
        <v>117.21</v>
      </c>
      <c r="BP39">
        <v>4.6900000000000004</v>
      </c>
      <c r="BQ39">
        <v>55.03</v>
      </c>
      <c r="BR39">
        <v>0.95</v>
      </c>
      <c r="BS39">
        <v>52.24</v>
      </c>
      <c r="BT39">
        <v>49.29</v>
      </c>
      <c r="BU39">
        <v>5.66</v>
      </c>
      <c r="BV39">
        <v>0.77</v>
      </c>
      <c r="BW39">
        <v>35.35</v>
      </c>
      <c r="BX39">
        <v>12.46</v>
      </c>
      <c r="BY39">
        <v>7.75</v>
      </c>
      <c r="BZ39">
        <v>4.46</v>
      </c>
      <c r="CA39">
        <v>0.04</v>
      </c>
      <c r="CB39">
        <v>1.22</v>
      </c>
      <c r="CC39">
        <v>15.69</v>
      </c>
      <c r="CD39">
        <v>12.09</v>
      </c>
      <c r="CE39">
        <v>1.31</v>
      </c>
      <c r="CF39">
        <v>-0.01</v>
      </c>
      <c r="CG39">
        <v>1.29</v>
      </c>
      <c r="CH39">
        <v>1.1499999999999999</v>
      </c>
      <c r="CI39">
        <v>1.1100000000000001</v>
      </c>
      <c r="CJ39">
        <v>-0.03</v>
      </c>
      <c r="CK39">
        <v>0.97</v>
      </c>
      <c r="CL39">
        <v>43.05</v>
      </c>
      <c r="CM39">
        <v>-5.01</v>
      </c>
      <c r="CN39">
        <v>-4.4000000000000004</v>
      </c>
      <c r="CO39">
        <v>58605</v>
      </c>
      <c r="CP39">
        <v>15978</v>
      </c>
      <c r="CQ39" t="s">
        <v>410</v>
      </c>
      <c r="CR39">
        <v>-24.56</v>
      </c>
      <c r="CS39">
        <v>24.88</v>
      </c>
      <c r="CT39">
        <v>0.92</v>
      </c>
      <c r="CU39">
        <v>-10.050000000000001</v>
      </c>
      <c r="CV39">
        <v>3.21</v>
      </c>
      <c r="CW39">
        <v>0</v>
      </c>
      <c r="CX39" t="s">
        <v>411</v>
      </c>
      <c r="CY39">
        <v>5.12</v>
      </c>
      <c r="CZ39">
        <v>0</v>
      </c>
      <c r="DA39">
        <v>0.11</v>
      </c>
      <c r="DB39">
        <v>4.01</v>
      </c>
      <c r="DC39">
        <v>-0.47</v>
      </c>
      <c r="DD39">
        <v>46.95</v>
      </c>
      <c r="DE39" t="s">
        <v>412</v>
      </c>
      <c r="DF39">
        <v>22.96</v>
      </c>
      <c r="DG39">
        <v>8.3800000000000008</v>
      </c>
      <c r="DH39">
        <v>7.11</v>
      </c>
      <c r="DI39">
        <v>0.79</v>
      </c>
      <c r="DJ39">
        <v>2245</v>
      </c>
      <c r="DK39">
        <v>55</v>
      </c>
      <c r="DL39" t="s">
        <v>120</v>
      </c>
      <c r="DM39" t="s">
        <v>120</v>
      </c>
      <c r="DN39" t="s">
        <v>120</v>
      </c>
    </row>
    <row r="40" spans="1:118">
      <c r="A40" t="str">
        <f>"000056"</f>
        <v>000056</v>
      </c>
      <c r="B40" t="s">
        <v>413</v>
      </c>
      <c r="C40">
        <v>-5.07</v>
      </c>
      <c r="D40">
        <v>0</v>
      </c>
      <c r="E40">
        <v>0</v>
      </c>
      <c r="F40">
        <v>5518</v>
      </c>
      <c r="G40" t="s">
        <v>414</v>
      </c>
      <c r="H40">
        <v>6826.99</v>
      </c>
      <c r="I40">
        <v>49.48</v>
      </c>
      <c r="J40" t="s">
        <v>120</v>
      </c>
      <c r="K40" t="s">
        <v>415</v>
      </c>
      <c r="L40">
        <v>2.33</v>
      </c>
      <c r="M40">
        <v>3.18</v>
      </c>
      <c r="N40">
        <v>1.01</v>
      </c>
      <c r="O40">
        <v>0.6</v>
      </c>
      <c r="P40">
        <v>3.37</v>
      </c>
      <c r="Q40">
        <v>-5.37</v>
      </c>
      <c r="R40">
        <v>3.17</v>
      </c>
      <c r="S40">
        <v>3.35</v>
      </c>
      <c r="T40">
        <v>210706</v>
      </c>
      <c r="U40">
        <v>3.18</v>
      </c>
      <c r="V40">
        <v>3.35</v>
      </c>
      <c r="W40" t="s">
        <v>120</v>
      </c>
      <c r="X40" t="s">
        <v>416</v>
      </c>
      <c r="Y40" t="s">
        <v>123</v>
      </c>
      <c r="Z40">
        <v>5.97</v>
      </c>
      <c r="AA40">
        <v>3.24</v>
      </c>
      <c r="AB40">
        <v>138685</v>
      </c>
      <c r="AC40">
        <v>72021</v>
      </c>
      <c r="AD40">
        <v>1.93</v>
      </c>
      <c r="AE40">
        <v>4200</v>
      </c>
      <c r="AF40">
        <v>270</v>
      </c>
      <c r="AG40" t="s">
        <v>120</v>
      </c>
      <c r="AH40">
        <v>0.04</v>
      </c>
      <c r="AI40" t="s">
        <v>120</v>
      </c>
      <c r="AJ40">
        <v>9.0399999999999991</v>
      </c>
      <c r="AK40" t="s">
        <v>417</v>
      </c>
      <c r="AL40">
        <v>-3.16</v>
      </c>
      <c r="AM40">
        <v>2204</v>
      </c>
      <c r="AN40">
        <v>96</v>
      </c>
      <c r="AO40">
        <v>1.1000000000000001E-3</v>
      </c>
      <c r="AP40">
        <v>-2</v>
      </c>
      <c r="AQ40">
        <v>-0.89</v>
      </c>
      <c r="AR40">
        <v>-0.31</v>
      </c>
      <c r="AS40">
        <v>-4.51</v>
      </c>
      <c r="AT40">
        <v>14.8</v>
      </c>
      <c r="AU40">
        <v>4.95</v>
      </c>
      <c r="AV40">
        <v>6</v>
      </c>
      <c r="AW40">
        <v>6.02</v>
      </c>
      <c r="AX40">
        <v>29.79</v>
      </c>
      <c r="AY40" t="s">
        <v>120</v>
      </c>
      <c r="AZ40" t="s">
        <v>120</v>
      </c>
      <c r="BA40">
        <v>0.64</v>
      </c>
      <c r="BB40" t="s">
        <v>143</v>
      </c>
      <c r="BF40">
        <v>-3.28</v>
      </c>
      <c r="BG40">
        <v>-5.07</v>
      </c>
      <c r="BH40">
        <v>-5.64</v>
      </c>
      <c r="BI40">
        <v>0.32</v>
      </c>
      <c r="BJ40">
        <v>20210830</v>
      </c>
      <c r="BK40">
        <v>19960708</v>
      </c>
      <c r="BL40">
        <v>11.75</v>
      </c>
      <c r="BM40">
        <v>2.4300000000000002</v>
      </c>
      <c r="BN40" t="s">
        <v>120</v>
      </c>
      <c r="BO40">
        <v>121.38</v>
      </c>
      <c r="BP40">
        <v>3.17</v>
      </c>
      <c r="BQ40">
        <v>47.32</v>
      </c>
      <c r="BR40">
        <v>0.79</v>
      </c>
      <c r="BS40">
        <v>60.36</v>
      </c>
      <c r="BT40">
        <v>11.86</v>
      </c>
      <c r="BU40">
        <v>0.42</v>
      </c>
      <c r="BV40">
        <v>0.22</v>
      </c>
      <c r="BW40">
        <v>49.56</v>
      </c>
      <c r="BX40">
        <v>1.29</v>
      </c>
      <c r="BY40">
        <v>0.41</v>
      </c>
      <c r="BZ40">
        <v>2.61</v>
      </c>
      <c r="CA40">
        <v>0.82</v>
      </c>
      <c r="CB40">
        <v>16.850000000000001</v>
      </c>
      <c r="CC40">
        <v>3.69</v>
      </c>
      <c r="CD40">
        <v>1.0900000000000001</v>
      </c>
      <c r="CE40">
        <v>-0.17</v>
      </c>
      <c r="CF40">
        <v>0</v>
      </c>
      <c r="CG40">
        <v>-0.13</v>
      </c>
      <c r="CH40">
        <v>-0.22</v>
      </c>
      <c r="CI40">
        <v>-0.23</v>
      </c>
      <c r="CJ40">
        <v>-0.17</v>
      </c>
      <c r="CK40">
        <v>-0.26</v>
      </c>
      <c r="CL40">
        <v>17.97</v>
      </c>
      <c r="CM40">
        <v>2.19</v>
      </c>
      <c r="CN40">
        <v>-0.51</v>
      </c>
      <c r="CO40">
        <v>28613</v>
      </c>
      <c r="CP40">
        <v>20729</v>
      </c>
      <c r="CQ40" t="s">
        <v>418</v>
      </c>
      <c r="CR40">
        <v>-181.52</v>
      </c>
      <c r="CS40">
        <v>13.32</v>
      </c>
      <c r="CT40">
        <v>0.79</v>
      </c>
      <c r="CU40">
        <v>17.059999999999999</v>
      </c>
      <c r="CV40">
        <v>10.130000000000001</v>
      </c>
      <c r="CW40">
        <v>0</v>
      </c>
      <c r="CX40" t="s">
        <v>419</v>
      </c>
      <c r="CY40">
        <v>4.03</v>
      </c>
      <c r="CZ40">
        <v>0</v>
      </c>
      <c r="DA40">
        <v>1.43</v>
      </c>
      <c r="DB40">
        <v>1.53</v>
      </c>
      <c r="DC40">
        <v>0.19</v>
      </c>
      <c r="DD40">
        <v>38.99</v>
      </c>
      <c r="DE40" t="s">
        <v>420</v>
      </c>
      <c r="DF40">
        <v>70.33</v>
      </c>
      <c r="DG40">
        <v>-4.5599999999999996</v>
      </c>
      <c r="DH40">
        <v>-6.26</v>
      </c>
      <c r="DI40" t="s">
        <v>120</v>
      </c>
      <c r="DJ40">
        <v>960</v>
      </c>
      <c r="DK40">
        <v>56</v>
      </c>
      <c r="DL40" t="s">
        <v>120</v>
      </c>
      <c r="DM40" t="s">
        <v>120</v>
      </c>
      <c r="DN40" t="s">
        <v>120</v>
      </c>
    </row>
    <row r="41" spans="1:118">
      <c r="A41" t="str">
        <f>"000058"</f>
        <v>000058</v>
      </c>
      <c r="B41" t="s">
        <v>421</v>
      </c>
      <c r="C41">
        <v>-2.76</v>
      </c>
      <c r="D41">
        <v>-0.32</v>
      </c>
      <c r="E41">
        <v>-0.97</v>
      </c>
      <c r="F41">
        <v>1484</v>
      </c>
      <c r="G41" t="s">
        <v>422</v>
      </c>
      <c r="H41">
        <v>7163.39</v>
      </c>
      <c r="I41">
        <v>87.37</v>
      </c>
      <c r="J41" t="s">
        <v>120</v>
      </c>
      <c r="K41" t="s">
        <v>423</v>
      </c>
      <c r="L41">
        <v>2.19</v>
      </c>
      <c r="M41">
        <v>6</v>
      </c>
      <c r="N41">
        <v>0.77</v>
      </c>
      <c r="O41">
        <v>0.32</v>
      </c>
      <c r="P41">
        <v>6.19</v>
      </c>
      <c r="Q41">
        <v>-2.92</v>
      </c>
      <c r="R41">
        <v>5.99</v>
      </c>
      <c r="S41">
        <v>6.11</v>
      </c>
      <c r="T41">
        <v>118135</v>
      </c>
      <c r="U41">
        <v>6</v>
      </c>
      <c r="V41">
        <v>6.17</v>
      </c>
      <c r="W41">
        <v>77.41</v>
      </c>
      <c r="X41" t="s">
        <v>229</v>
      </c>
      <c r="Y41" t="s">
        <v>123</v>
      </c>
      <c r="Z41">
        <v>3.24</v>
      </c>
      <c r="AA41">
        <v>6.06</v>
      </c>
      <c r="AB41">
        <v>74262</v>
      </c>
      <c r="AC41">
        <v>43873</v>
      </c>
      <c r="AD41">
        <v>1.69</v>
      </c>
      <c r="AE41">
        <v>1001</v>
      </c>
      <c r="AF41">
        <v>138</v>
      </c>
      <c r="AG41" t="s">
        <v>120</v>
      </c>
      <c r="AH41">
        <v>0.05</v>
      </c>
      <c r="AI41" t="s">
        <v>120</v>
      </c>
      <c r="AJ41">
        <v>5.38</v>
      </c>
      <c r="AK41" t="s">
        <v>424</v>
      </c>
      <c r="AL41">
        <v>-0.84</v>
      </c>
      <c r="AM41">
        <v>1999</v>
      </c>
      <c r="AN41">
        <v>59</v>
      </c>
      <c r="AO41">
        <v>1.1000000000000001E-3</v>
      </c>
      <c r="AP41">
        <v>-1</v>
      </c>
      <c r="AQ41">
        <v>0.65</v>
      </c>
      <c r="AR41">
        <v>-1.1499999999999999</v>
      </c>
      <c r="AS41">
        <v>9.89</v>
      </c>
      <c r="AT41">
        <v>-1.32</v>
      </c>
      <c r="AU41">
        <v>-10.58</v>
      </c>
      <c r="AV41">
        <v>3</v>
      </c>
      <c r="AW41">
        <v>4.09</v>
      </c>
      <c r="AX41">
        <v>23.35</v>
      </c>
      <c r="AY41">
        <v>517.27</v>
      </c>
      <c r="AZ41">
        <v>294.08</v>
      </c>
      <c r="BA41">
        <v>0.15</v>
      </c>
      <c r="BB41" t="s">
        <v>341</v>
      </c>
      <c r="BF41">
        <v>-1.72</v>
      </c>
      <c r="BG41">
        <v>-1.8</v>
      </c>
      <c r="BH41">
        <v>-3.07</v>
      </c>
      <c r="BI41">
        <v>0.17</v>
      </c>
      <c r="BJ41">
        <v>20210818</v>
      </c>
      <c r="BK41">
        <v>19961226</v>
      </c>
      <c r="BL41">
        <v>12.36</v>
      </c>
      <c r="BM41">
        <v>2.46</v>
      </c>
      <c r="BN41" t="s">
        <v>120</v>
      </c>
      <c r="BO41">
        <v>59.32</v>
      </c>
      <c r="BP41">
        <v>5.99</v>
      </c>
      <c r="BQ41">
        <v>19.41</v>
      </c>
      <c r="BR41">
        <v>5.66</v>
      </c>
      <c r="BS41">
        <v>57.74</v>
      </c>
      <c r="BT41">
        <v>39.61</v>
      </c>
      <c r="BU41">
        <v>2.4500000000000002</v>
      </c>
      <c r="BV41">
        <v>0.24</v>
      </c>
      <c r="BW41">
        <v>26.22</v>
      </c>
      <c r="BX41">
        <v>7.22</v>
      </c>
      <c r="BY41">
        <v>21.67</v>
      </c>
      <c r="BZ41">
        <v>2.25</v>
      </c>
      <c r="CA41" t="s">
        <v>120</v>
      </c>
      <c r="CB41">
        <v>1.72</v>
      </c>
      <c r="CC41">
        <v>9.5399999999999991</v>
      </c>
      <c r="CD41">
        <v>7.25</v>
      </c>
      <c r="CE41">
        <v>1.1499999999999999</v>
      </c>
      <c r="CF41">
        <v>0</v>
      </c>
      <c r="CG41">
        <v>1.1599999999999999</v>
      </c>
      <c r="CH41">
        <v>0.69</v>
      </c>
      <c r="CI41">
        <v>0.48</v>
      </c>
      <c r="CJ41">
        <v>-0.17</v>
      </c>
      <c r="CK41">
        <v>0.35</v>
      </c>
      <c r="CL41">
        <v>3.6</v>
      </c>
      <c r="CM41">
        <v>-0.02</v>
      </c>
      <c r="CN41">
        <v>-1.03</v>
      </c>
      <c r="CO41">
        <v>73679</v>
      </c>
      <c r="CP41">
        <v>7261</v>
      </c>
      <c r="CQ41" t="s">
        <v>425</v>
      </c>
      <c r="CR41">
        <v>-18.940000000000001</v>
      </c>
      <c r="CS41">
        <v>22.77</v>
      </c>
      <c r="CT41">
        <v>3.82</v>
      </c>
      <c r="CU41">
        <v>-3750.85</v>
      </c>
      <c r="CV41">
        <v>7.77</v>
      </c>
      <c r="CW41">
        <v>0.16</v>
      </c>
      <c r="CX41" t="s">
        <v>426</v>
      </c>
      <c r="CY41">
        <v>1.57</v>
      </c>
      <c r="CZ41">
        <v>0</v>
      </c>
      <c r="DA41">
        <v>0.14000000000000001</v>
      </c>
      <c r="DB41">
        <v>0.28999999999999998</v>
      </c>
      <c r="DC41">
        <v>0</v>
      </c>
      <c r="DD41">
        <v>32.72</v>
      </c>
      <c r="DE41" t="s">
        <v>427</v>
      </c>
      <c r="DF41">
        <v>24.01</v>
      </c>
      <c r="DG41">
        <v>12.1</v>
      </c>
      <c r="DH41">
        <v>5.0199999999999996</v>
      </c>
      <c r="DI41">
        <v>0.02</v>
      </c>
      <c r="DJ41">
        <v>2615</v>
      </c>
      <c r="DK41">
        <v>58</v>
      </c>
      <c r="DL41" t="s">
        <v>120</v>
      </c>
      <c r="DM41" t="s">
        <v>120</v>
      </c>
      <c r="DN41" t="s">
        <v>120</v>
      </c>
    </row>
    <row r="42" spans="1:118">
      <c r="A42" t="str">
        <f>"000059"</f>
        <v>000059</v>
      </c>
      <c r="B42" t="s">
        <v>428</v>
      </c>
      <c r="C42">
        <v>3.27</v>
      </c>
      <c r="D42">
        <v>-0.44</v>
      </c>
      <c r="E42">
        <v>2.4500000000000002</v>
      </c>
      <c r="F42">
        <v>14195</v>
      </c>
      <c r="G42" t="s">
        <v>429</v>
      </c>
      <c r="H42">
        <v>82042.17</v>
      </c>
      <c r="I42">
        <v>640.12</v>
      </c>
      <c r="J42" t="s">
        <v>120</v>
      </c>
      <c r="K42" t="s">
        <v>430</v>
      </c>
      <c r="L42">
        <v>5.79</v>
      </c>
      <c r="M42">
        <v>8.84</v>
      </c>
      <c r="N42">
        <v>1.43</v>
      </c>
      <c r="O42">
        <v>4.91</v>
      </c>
      <c r="P42">
        <v>8.98</v>
      </c>
      <c r="Q42">
        <v>0.93</v>
      </c>
      <c r="R42">
        <v>8.64</v>
      </c>
      <c r="S42">
        <v>8.77</v>
      </c>
      <c r="T42">
        <v>926692</v>
      </c>
      <c r="U42">
        <v>8.84</v>
      </c>
      <c r="V42">
        <v>8.56</v>
      </c>
      <c r="W42">
        <v>10.11</v>
      </c>
      <c r="X42" t="s">
        <v>431</v>
      </c>
      <c r="Y42" t="s">
        <v>432</v>
      </c>
      <c r="Z42">
        <v>3.97</v>
      </c>
      <c r="AA42">
        <v>8.85</v>
      </c>
      <c r="AB42">
        <v>449281</v>
      </c>
      <c r="AC42">
        <v>477411</v>
      </c>
      <c r="AD42">
        <v>0.94</v>
      </c>
      <c r="AE42">
        <v>154</v>
      </c>
      <c r="AF42">
        <v>2899</v>
      </c>
      <c r="AG42" t="s">
        <v>120</v>
      </c>
      <c r="AH42">
        <v>0.09</v>
      </c>
      <c r="AI42" t="s">
        <v>120</v>
      </c>
      <c r="AJ42">
        <v>15.99</v>
      </c>
      <c r="AK42" t="s">
        <v>430</v>
      </c>
      <c r="AL42">
        <v>5.18</v>
      </c>
      <c r="AM42">
        <v>4242</v>
      </c>
      <c r="AN42">
        <v>218</v>
      </c>
      <c r="AO42">
        <v>1.4E-3</v>
      </c>
      <c r="AP42">
        <v>1</v>
      </c>
      <c r="AQ42">
        <v>-0.81</v>
      </c>
      <c r="AR42">
        <v>1.1399999999999999</v>
      </c>
      <c r="AS42">
        <v>27.37</v>
      </c>
      <c r="AT42">
        <v>20.93</v>
      </c>
      <c r="AU42">
        <v>62.47</v>
      </c>
      <c r="AV42">
        <v>1</v>
      </c>
      <c r="AW42">
        <v>10.94</v>
      </c>
      <c r="AX42">
        <v>52.96</v>
      </c>
      <c r="AY42">
        <v>8.09</v>
      </c>
      <c r="AZ42">
        <v>42.19</v>
      </c>
      <c r="BA42">
        <v>0.2</v>
      </c>
      <c r="BB42" t="s">
        <v>184</v>
      </c>
      <c r="BF42">
        <v>3.43</v>
      </c>
      <c r="BG42">
        <v>0.8</v>
      </c>
      <c r="BH42">
        <v>-1.56</v>
      </c>
      <c r="BI42">
        <v>2.31</v>
      </c>
      <c r="BJ42">
        <v>20210827</v>
      </c>
      <c r="BK42">
        <v>19970130</v>
      </c>
      <c r="BL42">
        <v>15.99</v>
      </c>
      <c r="BM42" t="s">
        <v>120</v>
      </c>
      <c r="BN42" t="s">
        <v>120</v>
      </c>
      <c r="BO42">
        <v>311.97000000000003</v>
      </c>
      <c r="BP42">
        <v>8.83</v>
      </c>
      <c r="BQ42">
        <v>141.13</v>
      </c>
      <c r="BR42">
        <v>5.9</v>
      </c>
      <c r="BS42">
        <v>52.87</v>
      </c>
      <c r="BT42">
        <v>166.33</v>
      </c>
      <c r="BU42">
        <v>120.43</v>
      </c>
      <c r="BV42">
        <v>12.41</v>
      </c>
      <c r="BW42">
        <v>89.38</v>
      </c>
      <c r="BX42">
        <v>89.52</v>
      </c>
      <c r="BY42">
        <v>53.9</v>
      </c>
      <c r="BZ42">
        <v>1.64</v>
      </c>
      <c r="CA42">
        <v>0.01</v>
      </c>
      <c r="CB42">
        <v>59.59</v>
      </c>
      <c r="CC42">
        <v>186.37</v>
      </c>
      <c r="CD42">
        <v>149.44</v>
      </c>
      <c r="CE42">
        <v>9.84</v>
      </c>
      <c r="CF42">
        <v>0.05</v>
      </c>
      <c r="CG42">
        <v>9.94</v>
      </c>
      <c r="CH42">
        <v>7.28</v>
      </c>
      <c r="CI42">
        <v>6.99</v>
      </c>
      <c r="CJ42">
        <v>0.28000000000000003</v>
      </c>
      <c r="CK42">
        <v>6.89</v>
      </c>
      <c r="CL42">
        <v>59.3</v>
      </c>
      <c r="CM42">
        <v>10.24</v>
      </c>
      <c r="CN42">
        <v>11.85</v>
      </c>
      <c r="CO42">
        <v>52379</v>
      </c>
      <c r="CP42">
        <v>16172</v>
      </c>
      <c r="CQ42" t="s">
        <v>433</v>
      </c>
      <c r="CR42">
        <v>204.49</v>
      </c>
      <c r="CS42">
        <v>40.520000000000003</v>
      </c>
      <c r="CT42">
        <v>1</v>
      </c>
      <c r="CU42">
        <v>13.81</v>
      </c>
      <c r="CV42">
        <v>0.76</v>
      </c>
      <c r="CW42">
        <v>0.92</v>
      </c>
      <c r="CX42" t="s">
        <v>434</v>
      </c>
      <c r="CY42">
        <v>8.82</v>
      </c>
      <c r="CZ42">
        <v>0</v>
      </c>
      <c r="DA42">
        <v>3.73</v>
      </c>
      <c r="DB42">
        <v>3.71</v>
      </c>
      <c r="DC42">
        <v>0.64</v>
      </c>
      <c r="DD42">
        <v>45.24</v>
      </c>
      <c r="DE42" t="s">
        <v>435</v>
      </c>
      <c r="DF42">
        <v>19.82</v>
      </c>
      <c r="DG42">
        <v>5.28</v>
      </c>
      <c r="DH42">
        <v>3.75</v>
      </c>
      <c r="DI42">
        <v>0.52</v>
      </c>
      <c r="DJ42">
        <v>8332</v>
      </c>
      <c r="DK42">
        <v>59</v>
      </c>
      <c r="DL42" t="s">
        <v>120</v>
      </c>
      <c r="DM42" t="s">
        <v>120</v>
      </c>
      <c r="DN42" t="s">
        <v>120</v>
      </c>
    </row>
    <row r="43" spans="1:118">
      <c r="A43" t="str">
        <f>"000060"</f>
        <v>000060</v>
      </c>
      <c r="B43" t="s">
        <v>436</v>
      </c>
      <c r="C43">
        <v>-3.91</v>
      </c>
      <c r="D43">
        <v>-0.15</v>
      </c>
      <c r="E43">
        <v>0.62</v>
      </c>
      <c r="F43">
        <v>16378</v>
      </c>
      <c r="G43" t="s">
        <v>437</v>
      </c>
      <c r="H43">
        <v>117525.27</v>
      </c>
      <c r="I43">
        <v>800.68</v>
      </c>
      <c r="J43" t="s">
        <v>120</v>
      </c>
      <c r="K43" t="s">
        <v>438</v>
      </c>
      <c r="L43">
        <v>5.21</v>
      </c>
      <c r="M43">
        <v>6.15</v>
      </c>
      <c r="N43">
        <v>0.88</v>
      </c>
      <c r="O43">
        <v>2.34</v>
      </c>
      <c r="P43">
        <v>6.55</v>
      </c>
      <c r="Q43">
        <v>-4.53</v>
      </c>
      <c r="R43">
        <v>6.11</v>
      </c>
      <c r="S43">
        <v>6.44</v>
      </c>
      <c r="T43">
        <v>1857775</v>
      </c>
      <c r="U43">
        <v>6.16</v>
      </c>
      <c r="V43">
        <v>6.4</v>
      </c>
      <c r="W43">
        <v>16.57</v>
      </c>
      <c r="X43" t="s">
        <v>439</v>
      </c>
      <c r="Y43" t="s">
        <v>123</v>
      </c>
      <c r="Z43">
        <v>6.88</v>
      </c>
      <c r="AA43">
        <v>6.33</v>
      </c>
      <c r="AB43">
        <v>1012916</v>
      </c>
      <c r="AC43">
        <v>844859</v>
      </c>
      <c r="AD43">
        <v>1.2</v>
      </c>
      <c r="AE43">
        <v>1729</v>
      </c>
      <c r="AF43">
        <v>4795</v>
      </c>
      <c r="AG43" t="s">
        <v>120</v>
      </c>
      <c r="AH43">
        <v>0.05</v>
      </c>
      <c r="AI43" t="s">
        <v>120</v>
      </c>
      <c r="AJ43">
        <v>35.69</v>
      </c>
      <c r="AK43" t="s">
        <v>440</v>
      </c>
      <c r="AL43">
        <v>-1.99</v>
      </c>
      <c r="AM43">
        <v>4660</v>
      </c>
      <c r="AN43">
        <v>399</v>
      </c>
      <c r="AO43">
        <v>1.1000000000000001E-3</v>
      </c>
      <c r="AP43">
        <v>-1</v>
      </c>
      <c r="AQ43">
        <v>0.63</v>
      </c>
      <c r="AR43">
        <v>-10.74</v>
      </c>
      <c r="AS43">
        <v>16.25</v>
      </c>
      <c r="AT43">
        <v>36.97</v>
      </c>
      <c r="AU43">
        <v>29.85</v>
      </c>
      <c r="AV43">
        <v>1</v>
      </c>
      <c r="AW43">
        <v>7.95</v>
      </c>
      <c r="AX43">
        <v>65.489999999999995</v>
      </c>
      <c r="AY43">
        <v>17.75</v>
      </c>
      <c r="AZ43">
        <v>22.96</v>
      </c>
      <c r="BA43">
        <v>0.13</v>
      </c>
      <c r="BB43" t="s">
        <v>143</v>
      </c>
      <c r="BF43">
        <v>-1.1499999999999999</v>
      </c>
      <c r="BG43">
        <v>-4.5</v>
      </c>
      <c r="BH43">
        <v>-6.11</v>
      </c>
      <c r="BI43">
        <v>0.65</v>
      </c>
      <c r="BJ43">
        <v>20210910</v>
      </c>
      <c r="BK43">
        <v>19970123</v>
      </c>
      <c r="BL43">
        <v>35.700000000000003</v>
      </c>
      <c r="BM43" t="s">
        <v>120</v>
      </c>
      <c r="BN43" t="s">
        <v>120</v>
      </c>
      <c r="BO43">
        <v>260.08999999999997</v>
      </c>
      <c r="BP43">
        <v>6.15</v>
      </c>
      <c r="BQ43">
        <v>125.43</v>
      </c>
      <c r="BR43">
        <v>5.44</v>
      </c>
      <c r="BS43">
        <v>49.68</v>
      </c>
      <c r="BT43">
        <v>93.38</v>
      </c>
      <c r="BU43">
        <v>72.66</v>
      </c>
      <c r="BV43">
        <v>30.67</v>
      </c>
      <c r="BW43">
        <v>61.01</v>
      </c>
      <c r="BX43">
        <v>19.66</v>
      </c>
      <c r="BY43">
        <v>22.54</v>
      </c>
      <c r="BZ43">
        <v>6.14</v>
      </c>
      <c r="CA43" t="s">
        <v>120</v>
      </c>
      <c r="CB43">
        <v>16.100000000000001</v>
      </c>
      <c r="CC43">
        <v>201.16</v>
      </c>
      <c r="CD43">
        <v>188.78</v>
      </c>
      <c r="CE43">
        <v>8.3000000000000007</v>
      </c>
      <c r="CF43">
        <v>1.1000000000000001</v>
      </c>
      <c r="CG43">
        <v>8.34</v>
      </c>
      <c r="CH43">
        <v>6.92</v>
      </c>
      <c r="CI43">
        <v>6.63</v>
      </c>
      <c r="CJ43">
        <v>-0.25</v>
      </c>
      <c r="CK43">
        <v>6.22</v>
      </c>
      <c r="CL43">
        <v>61.53</v>
      </c>
      <c r="CM43">
        <v>8.4</v>
      </c>
      <c r="CN43">
        <v>2.86</v>
      </c>
      <c r="CO43">
        <v>145506</v>
      </c>
      <c r="CP43">
        <v>16068</v>
      </c>
      <c r="CQ43" t="s">
        <v>441</v>
      </c>
      <c r="CR43">
        <v>78.67</v>
      </c>
      <c r="CS43">
        <v>40.04</v>
      </c>
      <c r="CT43">
        <v>1.84</v>
      </c>
      <c r="CU43">
        <v>26.15</v>
      </c>
      <c r="CV43">
        <v>1.0900000000000001</v>
      </c>
      <c r="CW43">
        <v>1.31</v>
      </c>
      <c r="CX43" t="s">
        <v>442</v>
      </c>
      <c r="CY43">
        <v>3.34</v>
      </c>
      <c r="CZ43">
        <v>3.34</v>
      </c>
      <c r="DA43">
        <v>0.45</v>
      </c>
      <c r="DB43">
        <v>1.72</v>
      </c>
      <c r="DC43">
        <v>0.24</v>
      </c>
      <c r="DD43">
        <v>48.23</v>
      </c>
      <c r="DE43" t="s">
        <v>443</v>
      </c>
      <c r="DF43">
        <v>6.16</v>
      </c>
      <c r="DG43">
        <v>4.13</v>
      </c>
      <c r="DH43">
        <v>3.29</v>
      </c>
      <c r="DI43">
        <v>1.54</v>
      </c>
      <c r="DJ43">
        <v>9835</v>
      </c>
      <c r="DK43">
        <v>60</v>
      </c>
      <c r="DL43" t="s">
        <v>120</v>
      </c>
      <c r="DM43" t="s">
        <v>120</v>
      </c>
      <c r="DN43" t="s">
        <v>120</v>
      </c>
    </row>
    <row r="44" spans="1:118">
      <c r="A44" t="str">
        <f>"000061"</f>
        <v>000061</v>
      </c>
      <c r="B44" t="s">
        <v>444</v>
      </c>
      <c r="C44">
        <v>1.1499999999999999</v>
      </c>
      <c r="D44">
        <v>1.1499999999999999</v>
      </c>
      <c r="E44">
        <v>0</v>
      </c>
      <c r="F44">
        <v>5684</v>
      </c>
      <c r="G44" t="s">
        <v>445</v>
      </c>
      <c r="H44">
        <v>11138.65</v>
      </c>
      <c r="I44">
        <v>54.5</v>
      </c>
      <c r="J44" t="s">
        <v>120</v>
      </c>
      <c r="K44" t="s">
        <v>446</v>
      </c>
      <c r="L44">
        <v>1.06</v>
      </c>
      <c r="M44">
        <v>6.18</v>
      </c>
      <c r="N44">
        <v>1.46</v>
      </c>
      <c r="O44">
        <v>2.95</v>
      </c>
      <c r="P44">
        <v>6.29</v>
      </c>
      <c r="Q44">
        <v>-0.33</v>
      </c>
      <c r="R44">
        <v>6.09</v>
      </c>
      <c r="S44">
        <v>6.11</v>
      </c>
      <c r="T44">
        <v>180182</v>
      </c>
      <c r="U44">
        <v>6.18</v>
      </c>
      <c r="V44">
        <v>6.11</v>
      </c>
      <c r="W44">
        <v>24.04</v>
      </c>
      <c r="X44" t="s">
        <v>447</v>
      </c>
      <c r="Y44" t="s">
        <v>123</v>
      </c>
      <c r="Z44">
        <v>3.27</v>
      </c>
      <c r="AA44">
        <v>6.18</v>
      </c>
      <c r="AB44">
        <v>85243</v>
      </c>
      <c r="AC44">
        <v>94939</v>
      </c>
      <c r="AD44">
        <v>0.9</v>
      </c>
      <c r="AE44">
        <v>8</v>
      </c>
      <c r="AF44">
        <v>1270</v>
      </c>
      <c r="AG44" t="s">
        <v>120</v>
      </c>
      <c r="AH44">
        <v>0.01</v>
      </c>
      <c r="AI44" t="s">
        <v>120</v>
      </c>
      <c r="AJ44">
        <v>16.97</v>
      </c>
      <c r="AK44" t="s">
        <v>446</v>
      </c>
      <c r="AL44">
        <v>3.06</v>
      </c>
      <c r="AM44">
        <v>3034</v>
      </c>
      <c r="AN44">
        <v>59</v>
      </c>
      <c r="AO44">
        <v>2.9999999999999997E-4</v>
      </c>
      <c r="AP44">
        <v>2</v>
      </c>
      <c r="AQ44">
        <v>2.69</v>
      </c>
      <c r="AR44">
        <v>1.1499999999999999</v>
      </c>
      <c r="AS44">
        <v>9.57</v>
      </c>
      <c r="AT44">
        <v>10.55</v>
      </c>
      <c r="AU44">
        <v>-11.59</v>
      </c>
      <c r="AV44">
        <v>0</v>
      </c>
      <c r="AW44">
        <v>2.95</v>
      </c>
      <c r="AX44">
        <v>36.03</v>
      </c>
      <c r="AY44">
        <v>30.22</v>
      </c>
      <c r="AZ44">
        <v>32.880000000000003</v>
      </c>
      <c r="BA44">
        <v>0.08</v>
      </c>
      <c r="BB44" t="s">
        <v>184</v>
      </c>
      <c r="BF44">
        <v>1.18</v>
      </c>
      <c r="BG44">
        <v>1.1499999999999999</v>
      </c>
      <c r="BH44">
        <v>-1.75</v>
      </c>
      <c r="BI44">
        <v>1.48</v>
      </c>
      <c r="BJ44">
        <v>20210830</v>
      </c>
      <c r="BK44">
        <v>19970110</v>
      </c>
      <c r="BL44">
        <v>16.97</v>
      </c>
      <c r="BM44" t="s">
        <v>120</v>
      </c>
      <c r="BN44" t="s">
        <v>120</v>
      </c>
      <c r="BO44">
        <v>207.88</v>
      </c>
      <c r="BP44">
        <v>6.14</v>
      </c>
      <c r="BQ44">
        <v>55.18</v>
      </c>
      <c r="BR44">
        <v>18.36</v>
      </c>
      <c r="BS44">
        <v>64.62</v>
      </c>
      <c r="BT44">
        <v>40.630000000000003</v>
      </c>
      <c r="BU44">
        <v>19.71</v>
      </c>
      <c r="BV44">
        <v>15.83</v>
      </c>
      <c r="BW44">
        <v>77.989999999999995</v>
      </c>
      <c r="BX44">
        <v>18.52</v>
      </c>
      <c r="BY44">
        <v>8</v>
      </c>
      <c r="BZ44">
        <v>1.08</v>
      </c>
      <c r="CA44" t="s">
        <v>120</v>
      </c>
      <c r="CB44">
        <v>27.96</v>
      </c>
      <c r="CC44">
        <v>20.59</v>
      </c>
      <c r="CD44">
        <v>13.37</v>
      </c>
      <c r="CE44">
        <v>4.16</v>
      </c>
      <c r="CF44">
        <v>0.53</v>
      </c>
      <c r="CG44">
        <v>4.22</v>
      </c>
      <c r="CH44">
        <v>3.04</v>
      </c>
      <c r="CI44">
        <v>2.1800000000000002</v>
      </c>
      <c r="CJ44">
        <v>7.0000000000000007E-2</v>
      </c>
      <c r="CK44">
        <v>1.92</v>
      </c>
      <c r="CL44">
        <v>7.18</v>
      </c>
      <c r="CM44">
        <v>5.39</v>
      </c>
      <c r="CN44">
        <v>4.62</v>
      </c>
      <c r="CO44">
        <v>65065</v>
      </c>
      <c r="CP44">
        <v>9397</v>
      </c>
      <c r="CQ44" t="s">
        <v>448</v>
      </c>
      <c r="CR44">
        <v>14.56</v>
      </c>
      <c r="CS44">
        <v>38.270000000000003</v>
      </c>
      <c r="CT44">
        <v>1.9</v>
      </c>
      <c r="CU44">
        <v>19.45</v>
      </c>
      <c r="CV44">
        <v>5.09</v>
      </c>
      <c r="CW44">
        <v>0.98</v>
      </c>
      <c r="CX44" t="s">
        <v>449</v>
      </c>
      <c r="CY44">
        <v>3.25</v>
      </c>
      <c r="CZ44">
        <v>0</v>
      </c>
      <c r="DA44">
        <v>1.65</v>
      </c>
      <c r="DB44">
        <v>0.42</v>
      </c>
      <c r="DC44">
        <v>0.32</v>
      </c>
      <c r="DD44">
        <v>26.55</v>
      </c>
      <c r="DE44" t="s">
        <v>450</v>
      </c>
      <c r="DF44">
        <v>35.07</v>
      </c>
      <c r="DG44">
        <v>20.18</v>
      </c>
      <c r="DH44">
        <v>10.59</v>
      </c>
      <c r="DI44">
        <v>0.04</v>
      </c>
      <c r="DJ44">
        <v>4863</v>
      </c>
      <c r="DK44">
        <v>61</v>
      </c>
      <c r="DL44" t="s">
        <v>120</v>
      </c>
      <c r="DM44" t="s">
        <v>120</v>
      </c>
      <c r="DN44" t="s">
        <v>120</v>
      </c>
    </row>
    <row r="45" spans="1:118">
      <c r="A45" t="str">
        <f>"000062"</f>
        <v>000062</v>
      </c>
      <c r="B45" t="s">
        <v>451</v>
      </c>
      <c r="C45">
        <v>-4.16</v>
      </c>
      <c r="D45">
        <v>-0.96</v>
      </c>
      <c r="E45">
        <v>-7.0000000000000007E-2</v>
      </c>
      <c r="F45">
        <v>6505</v>
      </c>
      <c r="G45" t="s">
        <v>452</v>
      </c>
      <c r="H45">
        <v>9156.76</v>
      </c>
      <c r="I45">
        <v>2.98</v>
      </c>
      <c r="J45" t="s">
        <v>120</v>
      </c>
      <c r="K45" t="s">
        <v>453</v>
      </c>
      <c r="L45">
        <v>0.6</v>
      </c>
      <c r="M45">
        <v>14.3</v>
      </c>
      <c r="N45">
        <v>1.2</v>
      </c>
      <c r="O45">
        <v>0.47</v>
      </c>
      <c r="P45">
        <v>14.99</v>
      </c>
      <c r="Q45">
        <v>-4.16</v>
      </c>
      <c r="R45">
        <v>14.3</v>
      </c>
      <c r="S45">
        <v>14.91</v>
      </c>
      <c r="T45">
        <v>62907</v>
      </c>
      <c r="U45">
        <v>14.3</v>
      </c>
      <c r="V45">
        <v>14.92</v>
      </c>
      <c r="W45">
        <v>17.25</v>
      </c>
      <c r="X45" t="s">
        <v>454</v>
      </c>
      <c r="Y45" t="s">
        <v>123</v>
      </c>
      <c r="Z45">
        <v>4.62</v>
      </c>
      <c r="AA45">
        <v>14.56</v>
      </c>
      <c r="AB45">
        <v>35499</v>
      </c>
      <c r="AC45">
        <v>27408</v>
      </c>
      <c r="AD45">
        <v>1.3</v>
      </c>
      <c r="AE45">
        <v>63</v>
      </c>
      <c r="AF45">
        <v>441</v>
      </c>
      <c r="AG45" t="s">
        <v>120</v>
      </c>
      <c r="AH45">
        <v>0</v>
      </c>
      <c r="AI45" t="s">
        <v>120</v>
      </c>
      <c r="AJ45">
        <v>10.45</v>
      </c>
      <c r="AK45" t="s">
        <v>455</v>
      </c>
      <c r="AL45">
        <v>-2.2400000000000002</v>
      </c>
      <c r="AM45">
        <v>2747</v>
      </c>
      <c r="AN45">
        <v>23</v>
      </c>
      <c r="AO45">
        <v>2.0000000000000001E-4</v>
      </c>
      <c r="AP45">
        <v>-3</v>
      </c>
      <c r="AQ45">
        <v>-1.65</v>
      </c>
      <c r="AR45">
        <v>-8.92</v>
      </c>
      <c r="AS45">
        <v>-2.06</v>
      </c>
      <c r="AT45">
        <v>-11.34</v>
      </c>
      <c r="AU45">
        <v>16.829999999999998</v>
      </c>
      <c r="AV45">
        <v>3</v>
      </c>
      <c r="AW45">
        <v>2.54</v>
      </c>
      <c r="AX45">
        <v>23.71</v>
      </c>
      <c r="AY45">
        <v>20.11</v>
      </c>
      <c r="AZ45">
        <v>24.99</v>
      </c>
      <c r="BA45">
        <v>0.72</v>
      </c>
      <c r="BB45" t="s">
        <v>143</v>
      </c>
      <c r="BF45">
        <v>-2.44</v>
      </c>
      <c r="BG45">
        <v>-4.09</v>
      </c>
      <c r="BH45">
        <v>-4.5999999999999996</v>
      </c>
      <c r="BI45">
        <v>0</v>
      </c>
      <c r="BJ45">
        <v>20210908</v>
      </c>
      <c r="BK45">
        <v>19970130</v>
      </c>
      <c r="BL45">
        <v>10.46</v>
      </c>
      <c r="BM45" t="s">
        <v>120</v>
      </c>
      <c r="BN45" t="s">
        <v>120</v>
      </c>
      <c r="BO45">
        <v>136.91</v>
      </c>
      <c r="BP45">
        <v>14.29</v>
      </c>
      <c r="BQ45">
        <v>57.37</v>
      </c>
      <c r="BR45">
        <v>6.04</v>
      </c>
      <c r="BS45">
        <v>53.69</v>
      </c>
      <c r="BT45">
        <v>95.66</v>
      </c>
      <c r="BU45">
        <v>2.48</v>
      </c>
      <c r="BV45">
        <v>1.76</v>
      </c>
      <c r="BW45">
        <v>57.59</v>
      </c>
      <c r="BX45">
        <v>20.47</v>
      </c>
      <c r="BY45">
        <v>24.42</v>
      </c>
      <c r="BZ45">
        <v>39.36</v>
      </c>
      <c r="CA45">
        <v>1.07</v>
      </c>
      <c r="CB45">
        <v>6.44</v>
      </c>
      <c r="CC45">
        <v>99.87</v>
      </c>
      <c r="CD45">
        <v>88.18</v>
      </c>
      <c r="CE45">
        <v>6.82</v>
      </c>
      <c r="CF45">
        <v>0.32</v>
      </c>
      <c r="CG45">
        <v>6.8</v>
      </c>
      <c r="CH45">
        <v>5.12</v>
      </c>
      <c r="CI45">
        <v>4.34</v>
      </c>
      <c r="CJ45">
        <v>-0.62</v>
      </c>
      <c r="CK45">
        <v>4.28</v>
      </c>
      <c r="CL45">
        <v>37.200000000000003</v>
      </c>
      <c r="CM45">
        <v>-2.15</v>
      </c>
      <c r="CN45">
        <v>2.02</v>
      </c>
      <c r="CO45">
        <v>32329</v>
      </c>
      <c r="CP45">
        <v>7670</v>
      </c>
      <c r="CQ45" t="s">
        <v>456</v>
      </c>
      <c r="CR45">
        <v>53.73</v>
      </c>
      <c r="CS45">
        <v>53.1</v>
      </c>
      <c r="CT45">
        <v>2.61</v>
      </c>
      <c r="CU45">
        <v>-69.44</v>
      </c>
      <c r="CV45">
        <v>1.5</v>
      </c>
      <c r="CW45">
        <v>1.34</v>
      </c>
      <c r="CX45" t="s">
        <v>457</v>
      </c>
      <c r="CY45">
        <v>5.49</v>
      </c>
      <c r="CZ45">
        <v>0</v>
      </c>
      <c r="DA45">
        <v>0.62</v>
      </c>
      <c r="DB45">
        <v>3.56</v>
      </c>
      <c r="DC45">
        <v>-0.21</v>
      </c>
      <c r="DD45">
        <v>41.9</v>
      </c>
      <c r="DE45" t="s">
        <v>458</v>
      </c>
      <c r="DF45">
        <v>11.71</v>
      </c>
      <c r="DG45">
        <v>6.83</v>
      </c>
      <c r="DH45">
        <v>4.34</v>
      </c>
      <c r="DI45">
        <v>0.55000000000000004</v>
      </c>
      <c r="DJ45">
        <v>1881</v>
      </c>
      <c r="DK45">
        <v>62</v>
      </c>
      <c r="DL45" t="s">
        <v>120</v>
      </c>
      <c r="DM45" t="s">
        <v>120</v>
      </c>
      <c r="DN45" t="s">
        <v>120</v>
      </c>
    </row>
    <row r="46" spans="1:118">
      <c r="A46" t="str">
        <f>"000063"</f>
        <v>000063</v>
      </c>
      <c r="B46" t="s">
        <v>459</v>
      </c>
      <c r="C46">
        <v>0.41</v>
      </c>
      <c r="D46">
        <v>0.06</v>
      </c>
      <c r="E46">
        <v>-0.03</v>
      </c>
      <c r="F46">
        <v>4645</v>
      </c>
      <c r="G46" t="s">
        <v>460</v>
      </c>
      <c r="H46">
        <v>155122.72</v>
      </c>
      <c r="I46">
        <v>319.22000000000003</v>
      </c>
      <c r="J46" t="s">
        <v>120</v>
      </c>
      <c r="K46" t="s">
        <v>461</v>
      </c>
      <c r="L46">
        <v>1.17</v>
      </c>
      <c r="M46">
        <v>33.93</v>
      </c>
      <c r="N46">
        <v>0.85</v>
      </c>
      <c r="O46">
        <v>2.1</v>
      </c>
      <c r="P46">
        <v>34.5</v>
      </c>
      <c r="Q46">
        <v>-0.86</v>
      </c>
      <c r="R46">
        <v>33.5</v>
      </c>
      <c r="S46">
        <v>33.78</v>
      </c>
      <c r="T46">
        <v>455286</v>
      </c>
      <c r="U46">
        <v>33.93</v>
      </c>
      <c r="V46">
        <v>33.79</v>
      </c>
      <c r="W46">
        <v>19.3</v>
      </c>
      <c r="X46" t="s">
        <v>462</v>
      </c>
      <c r="Y46" t="s">
        <v>123</v>
      </c>
      <c r="Z46">
        <v>2.96</v>
      </c>
      <c r="AA46">
        <v>34.07</v>
      </c>
      <c r="AB46">
        <v>225567</v>
      </c>
      <c r="AC46">
        <v>229719</v>
      </c>
      <c r="AD46">
        <v>0.98</v>
      </c>
      <c r="AE46">
        <v>535</v>
      </c>
      <c r="AF46">
        <v>494</v>
      </c>
      <c r="AG46" t="s">
        <v>120</v>
      </c>
      <c r="AH46">
        <v>0</v>
      </c>
      <c r="AI46" t="s">
        <v>120</v>
      </c>
      <c r="AJ46">
        <v>38.83</v>
      </c>
      <c r="AK46" t="s">
        <v>463</v>
      </c>
      <c r="AL46">
        <v>2.33</v>
      </c>
      <c r="AM46">
        <v>4699</v>
      </c>
      <c r="AN46">
        <v>97</v>
      </c>
      <c r="AO46">
        <v>2.0000000000000001E-4</v>
      </c>
      <c r="AP46">
        <v>2</v>
      </c>
      <c r="AQ46">
        <v>0.87</v>
      </c>
      <c r="AR46">
        <v>-0.73</v>
      </c>
      <c r="AS46">
        <v>-5.98</v>
      </c>
      <c r="AT46">
        <v>5.84</v>
      </c>
      <c r="AU46">
        <v>1.44</v>
      </c>
      <c r="AV46">
        <v>3</v>
      </c>
      <c r="AW46">
        <v>1.58</v>
      </c>
      <c r="AX46">
        <v>74.09</v>
      </c>
      <c r="AY46">
        <v>24.19</v>
      </c>
      <c r="AZ46">
        <v>36.799999999999997</v>
      </c>
      <c r="BA46">
        <v>0.81</v>
      </c>
      <c r="BB46" t="s">
        <v>143</v>
      </c>
      <c r="BF46">
        <v>0.83</v>
      </c>
      <c r="BG46">
        <v>0.44</v>
      </c>
      <c r="BH46">
        <v>-1.65</v>
      </c>
      <c r="BI46">
        <v>1.28</v>
      </c>
      <c r="BJ46">
        <v>20210913</v>
      </c>
      <c r="BK46">
        <v>19971118</v>
      </c>
      <c r="BL46">
        <v>46.39</v>
      </c>
      <c r="BM46" t="s">
        <v>120</v>
      </c>
      <c r="BN46">
        <v>7.56</v>
      </c>
      <c r="BO46">
        <v>1659.02</v>
      </c>
      <c r="BP46">
        <v>33.92</v>
      </c>
      <c r="BQ46">
        <v>469.48</v>
      </c>
      <c r="BR46">
        <v>32.18</v>
      </c>
      <c r="BS46">
        <v>69.760000000000005</v>
      </c>
      <c r="BT46">
        <v>1236.0999999999999</v>
      </c>
      <c r="BU46">
        <v>116.14</v>
      </c>
      <c r="BV46">
        <v>87.76</v>
      </c>
      <c r="BW46">
        <v>838.16</v>
      </c>
      <c r="BX46">
        <v>500.5</v>
      </c>
      <c r="BY46">
        <v>346.19</v>
      </c>
      <c r="BZ46">
        <v>145.66</v>
      </c>
      <c r="CA46" t="s">
        <v>120</v>
      </c>
      <c r="CB46">
        <v>237.54</v>
      </c>
      <c r="CC46">
        <v>530.71</v>
      </c>
      <c r="CD46">
        <v>338.93</v>
      </c>
      <c r="CE46">
        <v>55.46</v>
      </c>
      <c r="CF46">
        <v>7.03</v>
      </c>
      <c r="CG46">
        <v>55.27</v>
      </c>
      <c r="CH46">
        <v>45.51</v>
      </c>
      <c r="CI46">
        <v>40.79</v>
      </c>
      <c r="CJ46">
        <v>0.14000000000000001</v>
      </c>
      <c r="CK46">
        <v>21.12</v>
      </c>
      <c r="CL46">
        <v>179.8</v>
      </c>
      <c r="CM46">
        <v>70.28</v>
      </c>
      <c r="CN46">
        <v>91.36</v>
      </c>
      <c r="CO46">
        <v>514144</v>
      </c>
      <c r="CP46">
        <v>5596</v>
      </c>
      <c r="CQ46" t="s">
        <v>464</v>
      </c>
      <c r="CR46">
        <v>119.6</v>
      </c>
      <c r="CS46">
        <v>12.44</v>
      </c>
      <c r="CT46">
        <v>3.33</v>
      </c>
      <c r="CU46">
        <v>22.4</v>
      </c>
      <c r="CV46">
        <v>2.97</v>
      </c>
      <c r="CW46">
        <v>0.59</v>
      </c>
      <c r="CX46" t="s">
        <v>465</v>
      </c>
      <c r="CY46">
        <v>10.18</v>
      </c>
      <c r="CZ46">
        <v>10.18</v>
      </c>
      <c r="DA46">
        <v>5.12</v>
      </c>
      <c r="DB46">
        <v>3.88</v>
      </c>
      <c r="DC46">
        <v>1.51</v>
      </c>
      <c r="DD46">
        <v>28.3</v>
      </c>
      <c r="DE46" t="s">
        <v>466</v>
      </c>
      <c r="DF46">
        <v>36.14</v>
      </c>
      <c r="DG46">
        <v>10.45</v>
      </c>
      <c r="DH46">
        <v>7.69</v>
      </c>
      <c r="DI46">
        <v>88.61</v>
      </c>
      <c r="DJ46">
        <v>73709</v>
      </c>
      <c r="DK46">
        <v>63</v>
      </c>
      <c r="DL46">
        <v>20210713</v>
      </c>
      <c r="DM46">
        <v>36.1</v>
      </c>
      <c r="DN46">
        <v>-5.46</v>
      </c>
    </row>
    <row r="47" spans="1:118">
      <c r="A47" t="str">
        <f>"000065"</f>
        <v>000065</v>
      </c>
      <c r="B47" t="s">
        <v>467</v>
      </c>
      <c r="C47">
        <v>-2.4900000000000002</v>
      </c>
      <c r="D47">
        <v>0</v>
      </c>
      <c r="E47">
        <v>0</v>
      </c>
      <c r="F47">
        <v>1806</v>
      </c>
      <c r="G47" t="s">
        <v>468</v>
      </c>
      <c r="H47">
        <v>15661.9</v>
      </c>
      <c r="I47">
        <v>21.02</v>
      </c>
      <c r="J47" t="s">
        <v>120</v>
      </c>
      <c r="K47" t="s">
        <v>469</v>
      </c>
      <c r="L47">
        <v>2.62</v>
      </c>
      <c r="M47">
        <v>8.61</v>
      </c>
      <c r="N47">
        <v>0.69</v>
      </c>
      <c r="O47">
        <v>2.27</v>
      </c>
      <c r="P47">
        <v>9.0299999999999994</v>
      </c>
      <c r="Q47">
        <v>-3.28</v>
      </c>
      <c r="R47">
        <v>8.5399999999999991</v>
      </c>
      <c r="S47">
        <v>8.83</v>
      </c>
      <c r="T47">
        <v>177472</v>
      </c>
      <c r="U47">
        <v>8.61</v>
      </c>
      <c r="V47">
        <v>8.83</v>
      </c>
      <c r="W47">
        <v>12.16</v>
      </c>
      <c r="X47" t="s">
        <v>175</v>
      </c>
      <c r="Y47" t="s">
        <v>158</v>
      </c>
      <c r="Z47">
        <v>5.55</v>
      </c>
      <c r="AA47">
        <v>8.83</v>
      </c>
      <c r="AB47">
        <v>96756</v>
      </c>
      <c r="AC47">
        <v>80716</v>
      </c>
      <c r="AD47">
        <v>1.2</v>
      </c>
      <c r="AE47">
        <v>105</v>
      </c>
      <c r="AF47">
        <v>190</v>
      </c>
      <c r="AG47" t="s">
        <v>120</v>
      </c>
      <c r="AH47">
        <v>0.01</v>
      </c>
      <c r="AI47" t="s">
        <v>120</v>
      </c>
      <c r="AJ47">
        <v>6.78</v>
      </c>
      <c r="AK47" t="s">
        <v>470</v>
      </c>
      <c r="AL47">
        <v>-0.57999999999999996</v>
      </c>
      <c r="AM47">
        <v>2872</v>
      </c>
      <c r="AN47">
        <v>62</v>
      </c>
      <c r="AO47">
        <v>8.9999999999999998E-4</v>
      </c>
      <c r="AP47">
        <v>-1</v>
      </c>
      <c r="AQ47">
        <v>1.61</v>
      </c>
      <c r="AR47">
        <v>-4.33</v>
      </c>
      <c r="AS47">
        <v>6.96</v>
      </c>
      <c r="AT47">
        <v>12.52</v>
      </c>
      <c r="AU47">
        <v>16.940000000000001</v>
      </c>
      <c r="AV47">
        <v>7</v>
      </c>
      <c r="AW47">
        <v>5.81</v>
      </c>
      <c r="AX47">
        <v>39.450000000000003</v>
      </c>
      <c r="AY47">
        <v>9.0500000000000007</v>
      </c>
      <c r="AZ47">
        <v>9.1</v>
      </c>
      <c r="BA47">
        <v>0.61</v>
      </c>
      <c r="BB47" t="s">
        <v>143</v>
      </c>
      <c r="BF47">
        <v>-0.06</v>
      </c>
      <c r="BG47">
        <v>-2.4900000000000002</v>
      </c>
      <c r="BH47">
        <v>-4.6500000000000004</v>
      </c>
      <c r="BI47">
        <v>0.82</v>
      </c>
      <c r="BJ47">
        <v>20210830</v>
      </c>
      <c r="BK47">
        <v>19980605</v>
      </c>
      <c r="BL47">
        <v>7.74</v>
      </c>
      <c r="BM47" t="s">
        <v>120</v>
      </c>
      <c r="BN47" t="s">
        <v>120</v>
      </c>
      <c r="BO47">
        <v>191.7</v>
      </c>
      <c r="BP47">
        <v>8.6</v>
      </c>
      <c r="BQ47">
        <v>59</v>
      </c>
      <c r="BR47">
        <v>6.09</v>
      </c>
      <c r="BS47">
        <v>66.040000000000006</v>
      </c>
      <c r="BT47">
        <v>135.46</v>
      </c>
      <c r="BU47">
        <v>7.93</v>
      </c>
      <c r="BV47">
        <v>16.18</v>
      </c>
      <c r="BW47">
        <v>81.12</v>
      </c>
      <c r="BX47">
        <v>39.79</v>
      </c>
      <c r="BY47">
        <v>9.83</v>
      </c>
      <c r="BZ47">
        <v>42.44</v>
      </c>
      <c r="CA47" t="s">
        <v>120</v>
      </c>
      <c r="CB47">
        <v>9.5299999999999994</v>
      </c>
      <c r="CC47">
        <v>44.01</v>
      </c>
      <c r="CD47">
        <v>38.270000000000003</v>
      </c>
      <c r="CE47">
        <v>3.34</v>
      </c>
      <c r="CF47">
        <v>0.06</v>
      </c>
      <c r="CG47">
        <v>3.35</v>
      </c>
      <c r="CH47">
        <v>2.91</v>
      </c>
      <c r="CI47">
        <v>2.74</v>
      </c>
      <c r="CJ47">
        <v>-0.22</v>
      </c>
      <c r="CK47">
        <v>1.1599999999999999</v>
      </c>
      <c r="CL47">
        <v>36.590000000000003</v>
      </c>
      <c r="CM47">
        <v>-9.2100000000000009</v>
      </c>
      <c r="CN47">
        <v>-9.65</v>
      </c>
      <c r="CO47">
        <v>42165</v>
      </c>
      <c r="CP47">
        <v>7245</v>
      </c>
      <c r="CQ47" t="s">
        <v>471</v>
      </c>
      <c r="CR47">
        <v>1.73</v>
      </c>
      <c r="CS47">
        <v>7.42</v>
      </c>
      <c r="CT47">
        <v>1.1599999999999999</v>
      </c>
      <c r="CU47">
        <v>-7.24</v>
      </c>
      <c r="CV47">
        <v>1.52</v>
      </c>
      <c r="CW47">
        <v>1.1000000000000001</v>
      </c>
      <c r="CX47" t="s">
        <v>472</v>
      </c>
      <c r="CY47">
        <v>7.44</v>
      </c>
      <c r="CZ47">
        <v>7.44</v>
      </c>
      <c r="DA47">
        <v>1.23</v>
      </c>
      <c r="DB47">
        <v>4.72</v>
      </c>
      <c r="DC47">
        <v>-1.19</v>
      </c>
      <c r="DD47">
        <v>30.78</v>
      </c>
      <c r="DE47" t="s">
        <v>473</v>
      </c>
      <c r="DF47">
        <v>13.04</v>
      </c>
      <c r="DG47">
        <v>7.59</v>
      </c>
      <c r="DH47">
        <v>6.23</v>
      </c>
      <c r="DI47">
        <v>0.09</v>
      </c>
      <c r="DJ47">
        <v>1917</v>
      </c>
      <c r="DK47">
        <v>65</v>
      </c>
      <c r="DL47">
        <v>20210818</v>
      </c>
      <c r="DM47">
        <v>8.14</v>
      </c>
      <c r="DN47">
        <v>5.77</v>
      </c>
    </row>
    <row r="48" spans="1:118">
      <c r="A48" t="str">
        <f>"000066"</f>
        <v>000066</v>
      </c>
      <c r="B48" t="s">
        <v>474</v>
      </c>
      <c r="C48">
        <v>-6.22</v>
      </c>
      <c r="D48">
        <v>-0.28999999999999998</v>
      </c>
      <c r="E48">
        <v>-0.28000000000000003</v>
      </c>
      <c r="F48">
        <v>8474</v>
      </c>
      <c r="G48" t="s">
        <v>475</v>
      </c>
      <c r="H48">
        <v>104159.54</v>
      </c>
      <c r="I48">
        <v>85.48</v>
      </c>
      <c r="J48" t="s">
        <v>120</v>
      </c>
      <c r="K48" t="s">
        <v>476</v>
      </c>
      <c r="L48">
        <v>2.56</v>
      </c>
      <c r="M48">
        <v>13.42</v>
      </c>
      <c r="N48">
        <v>1.49</v>
      </c>
      <c r="O48">
        <v>-0.28000000000000003</v>
      </c>
      <c r="P48">
        <v>14.27</v>
      </c>
      <c r="Q48">
        <v>-6.5</v>
      </c>
      <c r="R48">
        <v>13.38</v>
      </c>
      <c r="S48">
        <v>14.27</v>
      </c>
      <c r="T48">
        <v>752440</v>
      </c>
      <c r="U48">
        <v>13.43</v>
      </c>
      <c r="V48">
        <v>14.31</v>
      </c>
      <c r="W48" t="s">
        <v>120</v>
      </c>
      <c r="X48" t="s">
        <v>238</v>
      </c>
      <c r="Y48" t="s">
        <v>123</v>
      </c>
      <c r="Z48">
        <v>6.22</v>
      </c>
      <c r="AA48">
        <v>13.84</v>
      </c>
      <c r="AB48">
        <v>427775</v>
      </c>
      <c r="AC48">
        <v>324665</v>
      </c>
      <c r="AD48">
        <v>1.32</v>
      </c>
      <c r="AE48">
        <v>1189</v>
      </c>
      <c r="AF48">
        <v>330</v>
      </c>
      <c r="AG48" t="s">
        <v>120</v>
      </c>
      <c r="AH48">
        <v>0</v>
      </c>
      <c r="AI48" t="s">
        <v>120</v>
      </c>
      <c r="AJ48">
        <v>29.38</v>
      </c>
      <c r="AK48" t="s">
        <v>477</v>
      </c>
      <c r="AL48">
        <v>-4.3099999999999996</v>
      </c>
      <c r="AM48">
        <v>4604</v>
      </c>
      <c r="AN48">
        <v>163</v>
      </c>
      <c r="AO48">
        <v>5.9999999999999995E-4</v>
      </c>
      <c r="AP48">
        <v>-2</v>
      </c>
      <c r="AQ48">
        <v>-1.45</v>
      </c>
      <c r="AR48">
        <v>-7.58</v>
      </c>
      <c r="AS48">
        <v>-13.14</v>
      </c>
      <c r="AT48">
        <v>-14.32</v>
      </c>
      <c r="AU48">
        <v>-29.01</v>
      </c>
      <c r="AV48">
        <v>3</v>
      </c>
      <c r="AW48">
        <v>4.42</v>
      </c>
      <c r="AX48">
        <v>57.96</v>
      </c>
      <c r="AY48">
        <v>36.72</v>
      </c>
      <c r="AZ48">
        <v>45.32</v>
      </c>
      <c r="BA48">
        <v>0.7</v>
      </c>
      <c r="BB48" t="s">
        <v>143</v>
      </c>
      <c r="BF48">
        <v>-3.26</v>
      </c>
      <c r="BG48">
        <v>-5.96</v>
      </c>
      <c r="BH48">
        <v>-5.96</v>
      </c>
      <c r="BI48">
        <v>0.3</v>
      </c>
      <c r="BJ48">
        <v>20210903</v>
      </c>
      <c r="BK48">
        <v>19970626</v>
      </c>
      <c r="BL48">
        <v>29.38</v>
      </c>
      <c r="BM48" t="s">
        <v>120</v>
      </c>
      <c r="BN48" t="s">
        <v>120</v>
      </c>
      <c r="BO48">
        <v>314.72000000000003</v>
      </c>
      <c r="BP48">
        <v>13.42</v>
      </c>
      <c r="BQ48">
        <v>90.98</v>
      </c>
      <c r="BR48">
        <v>9.9700000000000006</v>
      </c>
      <c r="BS48">
        <v>67.92</v>
      </c>
      <c r="BT48">
        <v>215.23</v>
      </c>
      <c r="BU48">
        <v>28.7</v>
      </c>
      <c r="BV48">
        <v>5.07</v>
      </c>
      <c r="BW48">
        <v>139.16999999999999</v>
      </c>
      <c r="BX48">
        <v>35.15</v>
      </c>
      <c r="BY48">
        <v>77.48</v>
      </c>
      <c r="BZ48">
        <v>43.19</v>
      </c>
      <c r="CA48">
        <v>0.6</v>
      </c>
      <c r="CB48">
        <v>8.02</v>
      </c>
      <c r="CC48">
        <v>71.88</v>
      </c>
      <c r="CD48">
        <v>57.42</v>
      </c>
      <c r="CE48">
        <v>-0.11</v>
      </c>
      <c r="CF48">
        <v>1.01</v>
      </c>
      <c r="CG48">
        <v>-0.13</v>
      </c>
      <c r="CH48">
        <v>-0.4</v>
      </c>
      <c r="CI48">
        <v>-0.83</v>
      </c>
      <c r="CJ48">
        <v>-0.89</v>
      </c>
      <c r="CK48">
        <v>-1.2</v>
      </c>
      <c r="CL48">
        <v>45.42</v>
      </c>
      <c r="CM48">
        <v>-30</v>
      </c>
      <c r="CN48">
        <v>-11.36</v>
      </c>
      <c r="CO48">
        <v>204123</v>
      </c>
      <c r="CP48">
        <v>8343</v>
      </c>
      <c r="CQ48" t="s">
        <v>478</v>
      </c>
      <c r="CR48">
        <v>72.34</v>
      </c>
      <c r="CS48">
        <v>82.96</v>
      </c>
      <c r="CT48">
        <v>4.33</v>
      </c>
      <c r="CU48">
        <v>-13.15</v>
      </c>
      <c r="CV48">
        <v>5.49</v>
      </c>
      <c r="CW48">
        <v>0.6</v>
      </c>
      <c r="CX48" t="s">
        <v>479</v>
      </c>
      <c r="CY48">
        <v>3.1</v>
      </c>
      <c r="CZ48">
        <v>3.1</v>
      </c>
      <c r="DA48">
        <v>0.27</v>
      </c>
      <c r="DB48">
        <v>1.55</v>
      </c>
      <c r="DC48">
        <v>-1.02</v>
      </c>
      <c r="DD48">
        <v>28.91</v>
      </c>
      <c r="DE48" t="s">
        <v>480</v>
      </c>
      <c r="DF48">
        <v>20.12</v>
      </c>
      <c r="DG48">
        <v>-0.16</v>
      </c>
      <c r="DH48">
        <v>-1.1599999999999999</v>
      </c>
      <c r="DI48">
        <v>5.35</v>
      </c>
      <c r="DJ48">
        <v>15410</v>
      </c>
      <c r="DK48">
        <v>66</v>
      </c>
      <c r="DL48" t="s">
        <v>120</v>
      </c>
      <c r="DM48" t="s">
        <v>120</v>
      </c>
      <c r="DN48" t="s">
        <v>120</v>
      </c>
    </row>
    <row r="49" spans="1:118">
      <c r="A49" t="str">
        <f>"000068"</f>
        <v>000068</v>
      </c>
      <c r="B49" t="s">
        <v>481</v>
      </c>
      <c r="C49">
        <v>-5.04</v>
      </c>
      <c r="D49">
        <v>-0.61</v>
      </c>
      <c r="E49">
        <v>-0.3</v>
      </c>
      <c r="F49">
        <v>9117</v>
      </c>
      <c r="G49" t="s">
        <v>251</v>
      </c>
      <c r="H49">
        <v>15553.99</v>
      </c>
      <c r="I49">
        <v>334.05</v>
      </c>
      <c r="J49" t="s">
        <v>120</v>
      </c>
      <c r="K49" t="s">
        <v>482</v>
      </c>
      <c r="L49">
        <v>4.67</v>
      </c>
      <c r="M49">
        <v>3.2</v>
      </c>
      <c r="N49">
        <v>1.19</v>
      </c>
      <c r="O49">
        <v>1.48</v>
      </c>
      <c r="P49">
        <v>3.42</v>
      </c>
      <c r="Q49">
        <v>-5.04</v>
      </c>
      <c r="R49">
        <v>3.2</v>
      </c>
      <c r="S49">
        <v>3.36</v>
      </c>
      <c r="T49">
        <v>470485</v>
      </c>
      <c r="U49">
        <v>3.21</v>
      </c>
      <c r="V49">
        <v>3.37</v>
      </c>
      <c r="W49" t="s">
        <v>120</v>
      </c>
      <c r="X49" t="s">
        <v>318</v>
      </c>
      <c r="Y49" t="s">
        <v>123</v>
      </c>
      <c r="Z49">
        <v>6.53</v>
      </c>
      <c r="AA49">
        <v>3.31</v>
      </c>
      <c r="AB49">
        <v>305674</v>
      </c>
      <c r="AC49">
        <v>164811</v>
      </c>
      <c r="AD49">
        <v>1.85</v>
      </c>
      <c r="AE49">
        <v>2779</v>
      </c>
      <c r="AF49">
        <v>128</v>
      </c>
      <c r="AG49" t="s">
        <v>120</v>
      </c>
      <c r="AH49">
        <v>0.18</v>
      </c>
      <c r="AI49" t="s">
        <v>120</v>
      </c>
      <c r="AJ49">
        <v>10.07</v>
      </c>
      <c r="AK49" t="s">
        <v>482</v>
      </c>
      <c r="AL49">
        <v>-3.13</v>
      </c>
      <c r="AM49">
        <v>3204</v>
      </c>
      <c r="AN49">
        <v>147</v>
      </c>
      <c r="AO49">
        <v>1.5E-3</v>
      </c>
      <c r="AP49">
        <v>-1</v>
      </c>
      <c r="AQ49">
        <v>0.9</v>
      </c>
      <c r="AR49">
        <v>5.27</v>
      </c>
      <c r="AS49">
        <v>18.96</v>
      </c>
      <c r="AT49">
        <v>13.88</v>
      </c>
      <c r="AU49">
        <v>-1.54</v>
      </c>
      <c r="AV49">
        <v>5</v>
      </c>
      <c r="AW49">
        <v>8.5399999999999991</v>
      </c>
      <c r="AX49">
        <v>54.76</v>
      </c>
      <c r="AY49" t="s">
        <v>120</v>
      </c>
      <c r="AZ49" t="s">
        <v>120</v>
      </c>
      <c r="BA49">
        <v>0.02</v>
      </c>
      <c r="BB49" t="s">
        <v>184</v>
      </c>
      <c r="BF49">
        <v>-1.9</v>
      </c>
      <c r="BG49">
        <v>-4.76</v>
      </c>
      <c r="BH49">
        <v>-6.43</v>
      </c>
      <c r="BI49">
        <v>0</v>
      </c>
      <c r="BJ49">
        <v>20210913</v>
      </c>
      <c r="BK49">
        <v>19970611</v>
      </c>
      <c r="BL49">
        <v>10.07</v>
      </c>
      <c r="BM49" t="s">
        <v>120</v>
      </c>
      <c r="BN49" t="s">
        <v>120</v>
      </c>
      <c r="BO49">
        <v>36.31</v>
      </c>
      <c r="BP49">
        <v>3.2</v>
      </c>
      <c r="BQ49">
        <v>3.18</v>
      </c>
      <c r="BR49">
        <v>4.12</v>
      </c>
      <c r="BS49">
        <v>79.900000000000006</v>
      </c>
      <c r="BT49">
        <v>9.2899999999999991</v>
      </c>
      <c r="BU49">
        <v>2.0699999999999998</v>
      </c>
      <c r="BV49">
        <v>0.98</v>
      </c>
      <c r="BW49">
        <v>10.39</v>
      </c>
      <c r="BX49">
        <v>3.14</v>
      </c>
      <c r="BY49">
        <v>0.48</v>
      </c>
      <c r="BZ49">
        <v>1.71</v>
      </c>
      <c r="CA49">
        <v>0</v>
      </c>
      <c r="CB49">
        <v>11.93</v>
      </c>
      <c r="CC49">
        <v>1.82</v>
      </c>
      <c r="CD49">
        <v>1.44</v>
      </c>
      <c r="CE49">
        <v>-0.48</v>
      </c>
      <c r="CF49">
        <v>-0.01</v>
      </c>
      <c r="CG49">
        <v>-0.48</v>
      </c>
      <c r="CH49">
        <v>-0.49</v>
      </c>
      <c r="CI49">
        <v>-0.45</v>
      </c>
      <c r="CJ49">
        <v>-0.17</v>
      </c>
      <c r="CK49">
        <v>-0.47</v>
      </c>
      <c r="CL49">
        <v>-20.399999999999999</v>
      </c>
      <c r="CM49">
        <v>0</v>
      </c>
      <c r="CN49">
        <v>-1.68</v>
      </c>
      <c r="CO49">
        <v>43802</v>
      </c>
      <c r="CP49">
        <v>12585</v>
      </c>
      <c r="CQ49" t="s">
        <v>483</v>
      </c>
      <c r="CR49">
        <v>10.71</v>
      </c>
      <c r="CS49">
        <v>118.26</v>
      </c>
      <c r="CT49">
        <v>10.14</v>
      </c>
      <c r="CU49">
        <v>-16335.44</v>
      </c>
      <c r="CV49">
        <v>17.649999999999999</v>
      </c>
      <c r="CW49">
        <v>0</v>
      </c>
      <c r="CX49" t="s">
        <v>484</v>
      </c>
      <c r="CY49">
        <v>0.32</v>
      </c>
      <c r="CZ49">
        <v>0</v>
      </c>
      <c r="DA49">
        <v>1.19</v>
      </c>
      <c r="DB49">
        <v>-2.0299999999999998</v>
      </c>
      <c r="DC49">
        <v>0</v>
      </c>
      <c r="DD49">
        <v>8.75</v>
      </c>
      <c r="DE49" t="s">
        <v>485</v>
      </c>
      <c r="DF49">
        <v>20.85</v>
      </c>
      <c r="DG49">
        <v>-26.48</v>
      </c>
      <c r="DH49">
        <v>-24.62</v>
      </c>
      <c r="DI49">
        <v>0.1</v>
      </c>
      <c r="DJ49">
        <v>482</v>
      </c>
      <c r="DK49">
        <v>68</v>
      </c>
      <c r="DL49" t="s">
        <v>120</v>
      </c>
      <c r="DM49" t="s">
        <v>120</v>
      </c>
      <c r="DN49" t="s">
        <v>120</v>
      </c>
    </row>
    <row r="50" spans="1:118">
      <c r="A50" t="str">
        <f>"000069"</f>
        <v>000069</v>
      </c>
      <c r="B50" t="s">
        <v>486</v>
      </c>
      <c r="C50">
        <v>-2.78</v>
      </c>
      <c r="D50">
        <v>0</v>
      </c>
      <c r="E50">
        <v>-0.28999999999999998</v>
      </c>
      <c r="F50">
        <v>8607</v>
      </c>
      <c r="G50" t="s">
        <v>487</v>
      </c>
      <c r="H50">
        <v>31093.82</v>
      </c>
      <c r="I50">
        <v>115.39</v>
      </c>
      <c r="J50" t="s">
        <v>120</v>
      </c>
      <c r="K50" t="s">
        <v>488</v>
      </c>
      <c r="L50">
        <v>0.65</v>
      </c>
      <c r="M50">
        <v>6.65</v>
      </c>
      <c r="N50">
        <v>0.97</v>
      </c>
      <c r="O50">
        <v>0.57999999999999996</v>
      </c>
      <c r="P50">
        <v>6.88</v>
      </c>
      <c r="Q50">
        <v>-3.22</v>
      </c>
      <c r="R50">
        <v>6.62</v>
      </c>
      <c r="S50">
        <v>6.82</v>
      </c>
      <c r="T50">
        <v>461128</v>
      </c>
      <c r="U50">
        <v>6.66</v>
      </c>
      <c r="V50">
        <v>6.84</v>
      </c>
      <c r="W50">
        <v>17.21</v>
      </c>
      <c r="X50" t="s">
        <v>489</v>
      </c>
      <c r="Y50" t="s">
        <v>123</v>
      </c>
      <c r="Z50">
        <v>3.8</v>
      </c>
      <c r="AA50">
        <v>6.74</v>
      </c>
      <c r="AB50">
        <v>255198</v>
      </c>
      <c r="AC50">
        <v>205930</v>
      </c>
      <c r="AD50">
        <v>1.24</v>
      </c>
      <c r="AE50">
        <v>12</v>
      </c>
      <c r="AF50">
        <v>1132</v>
      </c>
      <c r="AG50" t="s">
        <v>120</v>
      </c>
      <c r="AH50">
        <v>0</v>
      </c>
      <c r="AI50" t="s">
        <v>120</v>
      </c>
      <c r="AJ50">
        <v>70.56</v>
      </c>
      <c r="AK50" t="s">
        <v>490</v>
      </c>
      <c r="AL50">
        <v>-0.86</v>
      </c>
      <c r="AM50">
        <v>3906</v>
      </c>
      <c r="AN50">
        <v>118</v>
      </c>
      <c r="AO50">
        <v>2.0000000000000001E-4</v>
      </c>
      <c r="AP50">
        <v>-5</v>
      </c>
      <c r="AQ50">
        <v>-2.29</v>
      </c>
      <c r="AR50">
        <v>-8.15</v>
      </c>
      <c r="AS50">
        <v>-5.68</v>
      </c>
      <c r="AT50">
        <v>-12.03</v>
      </c>
      <c r="AU50">
        <v>-0.6</v>
      </c>
      <c r="AV50">
        <v>1</v>
      </c>
      <c r="AW50">
        <v>1.28</v>
      </c>
      <c r="AX50">
        <v>43.95</v>
      </c>
      <c r="AY50">
        <v>4.62</v>
      </c>
      <c r="AZ50">
        <v>4.42</v>
      </c>
      <c r="BA50">
        <v>0.43</v>
      </c>
      <c r="BB50" t="s">
        <v>240</v>
      </c>
      <c r="BF50">
        <v>-1.42</v>
      </c>
      <c r="BG50">
        <v>-2.4900000000000002</v>
      </c>
      <c r="BH50">
        <v>-3.34</v>
      </c>
      <c r="BI50">
        <v>0.45</v>
      </c>
      <c r="BJ50">
        <v>20210913</v>
      </c>
      <c r="BK50">
        <v>19970910</v>
      </c>
      <c r="BL50">
        <v>82.02</v>
      </c>
      <c r="BM50" t="s">
        <v>120</v>
      </c>
      <c r="BN50" t="s">
        <v>120</v>
      </c>
      <c r="BO50">
        <v>4821.57</v>
      </c>
      <c r="BP50">
        <v>6.65</v>
      </c>
      <c r="BQ50">
        <v>788.23</v>
      </c>
      <c r="BR50">
        <v>353.61</v>
      </c>
      <c r="BS50">
        <v>76.319999999999993</v>
      </c>
      <c r="BT50">
        <v>3905.53</v>
      </c>
      <c r="BU50">
        <v>191.76</v>
      </c>
      <c r="BV50">
        <v>113.71</v>
      </c>
      <c r="BW50">
        <v>2410.2399999999998</v>
      </c>
      <c r="BX50">
        <v>532.15</v>
      </c>
      <c r="BY50">
        <v>2626.74</v>
      </c>
      <c r="BZ50">
        <v>12.38</v>
      </c>
      <c r="CA50">
        <v>3.83</v>
      </c>
      <c r="CB50">
        <v>50.63</v>
      </c>
      <c r="CC50">
        <v>230.14</v>
      </c>
      <c r="CD50">
        <v>153.46</v>
      </c>
      <c r="CE50">
        <v>31.25</v>
      </c>
      <c r="CF50">
        <v>1.29</v>
      </c>
      <c r="CG50">
        <v>31.07</v>
      </c>
      <c r="CH50">
        <v>23.66</v>
      </c>
      <c r="CI50">
        <v>15.84</v>
      </c>
      <c r="CJ50">
        <v>-0.19</v>
      </c>
      <c r="CK50">
        <v>12.49</v>
      </c>
      <c r="CL50">
        <v>605.21</v>
      </c>
      <c r="CM50">
        <v>9.8800000000000008</v>
      </c>
      <c r="CN50">
        <v>-70.599999999999994</v>
      </c>
      <c r="CO50">
        <v>118866</v>
      </c>
      <c r="CP50">
        <v>30323</v>
      </c>
      <c r="CQ50" t="s">
        <v>491</v>
      </c>
      <c r="CR50">
        <v>-25.89</v>
      </c>
      <c r="CS50">
        <v>34.409999999999997</v>
      </c>
      <c r="CT50">
        <v>0.72</v>
      </c>
      <c r="CU50">
        <v>55.19</v>
      </c>
      <c r="CV50">
        <v>2.37</v>
      </c>
      <c r="CW50">
        <v>5.73</v>
      </c>
      <c r="CX50" t="s">
        <v>492</v>
      </c>
      <c r="CY50">
        <v>9.23</v>
      </c>
      <c r="CZ50">
        <v>9.23</v>
      </c>
      <c r="DA50">
        <v>0.62</v>
      </c>
      <c r="DB50">
        <v>7.38</v>
      </c>
      <c r="DC50">
        <v>0.12</v>
      </c>
      <c r="DD50">
        <v>16.350000000000001</v>
      </c>
      <c r="DE50" t="s">
        <v>493</v>
      </c>
      <c r="DF50">
        <v>33.32</v>
      </c>
      <c r="DG50">
        <v>13.58</v>
      </c>
      <c r="DH50">
        <v>6.88</v>
      </c>
      <c r="DI50" t="s">
        <v>120</v>
      </c>
      <c r="DJ50">
        <v>23986</v>
      </c>
      <c r="DK50">
        <v>69</v>
      </c>
      <c r="DL50" t="s">
        <v>120</v>
      </c>
      <c r="DM50" t="s">
        <v>120</v>
      </c>
      <c r="DN50" t="s">
        <v>120</v>
      </c>
    </row>
    <row r="51" spans="1:118">
      <c r="A51" t="str">
        <f>"000070"</f>
        <v>000070</v>
      </c>
      <c r="B51" t="s">
        <v>494</v>
      </c>
      <c r="C51">
        <v>-1.84</v>
      </c>
      <c r="D51">
        <v>-0.12</v>
      </c>
      <c r="E51">
        <v>-0.13</v>
      </c>
      <c r="F51">
        <v>4126</v>
      </c>
      <c r="G51" t="s">
        <v>495</v>
      </c>
      <c r="H51">
        <v>7673.06</v>
      </c>
      <c r="I51">
        <v>21.3</v>
      </c>
      <c r="J51" t="s">
        <v>120</v>
      </c>
      <c r="K51" t="s">
        <v>496</v>
      </c>
      <c r="L51">
        <v>1.26</v>
      </c>
      <c r="M51">
        <v>7.45</v>
      </c>
      <c r="N51">
        <v>0.85</v>
      </c>
      <c r="O51">
        <v>0.79</v>
      </c>
      <c r="P51">
        <v>7.65</v>
      </c>
      <c r="Q51">
        <v>-1.84</v>
      </c>
      <c r="R51">
        <v>7.45</v>
      </c>
      <c r="S51">
        <v>7.58</v>
      </c>
      <c r="T51">
        <v>101656</v>
      </c>
      <c r="U51">
        <v>7.45</v>
      </c>
      <c r="V51">
        <v>7.59</v>
      </c>
      <c r="W51">
        <v>246</v>
      </c>
      <c r="X51" t="s">
        <v>462</v>
      </c>
      <c r="Y51" t="s">
        <v>123</v>
      </c>
      <c r="Z51">
        <v>2.64</v>
      </c>
      <c r="AA51">
        <v>7.55</v>
      </c>
      <c r="AB51">
        <v>60870</v>
      </c>
      <c r="AC51">
        <v>40786</v>
      </c>
      <c r="AD51">
        <v>1.49</v>
      </c>
      <c r="AE51">
        <v>197</v>
      </c>
      <c r="AF51">
        <v>425</v>
      </c>
      <c r="AG51" t="s">
        <v>120</v>
      </c>
      <c r="AH51">
        <v>0.01</v>
      </c>
      <c r="AI51" t="s">
        <v>120</v>
      </c>
      <c r="AJ51">
        <v>8.0500000000000007</v>
      </c>
      <c r="AK51" t="s">
        <v>497</v>
      </c>
      <c r="AL51">
        <v>7.0000000000000007E-2</v>
      </c>
      <c r="AM51">
        <v>1842</v>
      </c>
      <c r="AN51">
        <v>55</v>
      </c>
      <c r="AO51">
        <v>6.9999999999999999E-4</v>
      </c>
      <c r="AP51">
        <v>-1</v>
      </c>
      <c r="AQ51">
        <v>1.2</v>
      </c>
      <c r="AR51">
        <v>-2.11</v>
      </c>
      <c r="AS51">
        <v>2.4700000000000002</v>
      </c>
      <c r="AT51">
        <v>-10.24</v>
      </c>
      <c r="AU51">
        <v>-19.11</v>
      </c>
      <c r="AV51">
        <v>2</v>
      </c>
      <c r="AW51">
        <v>2.0299999999999998</v>
      </c>
      <c r="AX51">
        <v>60.54</v>
      </c>
      <c r="AY51">
        <v>96.75</v>
      </c>
      <c r="AZ51">
        <v>547.96</v>
      </c>
      <c r="BA51">
        <v>0.42</v>
      </c>
      <c r="BB51" t="s">
        <v>143</v>
      </c>
      <c r="BF51">
        <v>-0.55000000000000004</v>
      </c>
      <c r="BG51">
        <v>-1.72</v>
      </c>
      <c r="BH51">
        <v>-2.61</v>
      </c>
      <c r="BI51">
        <v>0</v>
      </c>
      <c r="BJ51">
        <v>20210830</v>
      </c>
      <c r="BK51">
        <v>20000511</v>
      </c>
      <c r="BL51">
        <v>8.26</v>
      </c>
      <c r="BM51" t="s">
        <v>120</v>
      </c>
      <c r="BN51" t="s">
        <v>120</v>
      </c>
      <c r="BO51">
        <v>88.9</v>
      </c>
      <c r="BP51">
        <v>7.44</v>
      </c>
      <c r="BQ51">
        <v>30.29</v>
      </c>
      <c r="BR51">
        <v>5.0599999999999996</v>
      </c>
      <c r="BS51">
        <v>60.23</v>
      </c>
      <c r="BT51">
        <v>63.33</v>
      </c>
      <c r="BU51">
        <v>5.4</v>
      </c>
      <c r="BV51">
        <v>1.4</v>
      </c>
      <c r="BW51">
        <v>41.74</v>
      </c>
      <c r="BX51">
        <v>11.39</v>
      </c>
      <c r="BY51">
        <v>15.12</v>
      </c>
      <c r="BZ51">
        <v>26.4</v>
      </c>
      <c r="CA51">
        <v>0.05</v>
      </c>
      <c r="CB51">
        <v>9.8000000000000007</v>
      </c>
      <c r="CC51">
        <v>22.95</v>
      </c>
      <c r="CD51">
        <v>20.149999999999999</v>
      </c>
      <c r="CE51">
        <v>0.27</v>
      </c>
      <c r="CF51">
        <v>0.23</v>
      </c>
      <c r="CG51">
        <v>0.3</v>
      </c>
      <c r="CH51">
        <v>0.16</v>
      </c>
      <c r="CI51">
        <v>0.13</v>
      </c>
      <c r="CJ51">
        <v>-0.14000000000000001</v>
      </c>
      <c r="CK51">
        <v>-0.22</v>
      </c>
      <c r="CL51">
        <v>10.07</v>
      </c>
      <c r="CM51">
        <v>-8.75</v>
      </c>
      <c r="CN51">
        <v>-18.23</v>
      </c>
      <c r="CO51">
        <v>64810</v>
      </c>
      <c r="CP51">
        <v>7719</v>
      </c>
      <c r="CQ51" t="s">
        <v>498</v>
      </c>
      <c r="CR51">
        <v>130.62</v>
      </c>
      <c r="CS51">
        <v>37.909999999999997</v>
      </c>
      <c r="CT51">
        <v>2.1</v>
      </c>
      <c r="CU51">
        <v>-7.04</v>
      </c>
      <c r="CV51">
        <v>2.68</v>
      </c>
      <c r="CW51">
        <v>0</v>
      </c>
      <c r="CX51" t="s">
        <v>499</v>
      </c>
      <c r="CY51">
        <v>3.55</v>
      </c>
      <c r="CZ51">
        <v>3.55</v>
      </c>
      <c r="DA51">
        <v>1.19</v>
      </c>
      <c r="DB51">
        <v>1.22</v>
      </c>
      <c r="DC51">
        <v>-1.06</v>
      </c>
      <c r="DD51">
        <v>34.08</v>
      </c>
      <c r="DE51" t="s">
        <v>500</v>
      </c>
      <c r="DF51">
        <v>12.24</v>
      </c>
      <c r="DG51">
        <v>1.18</v>
      </c>
      <c r="DH51">
        <v>0.55000000000000004</v>
      </c>
      <c r="DI51">
        <v>0.98</v>
      </c>
      <c r="DJ51">
        <v>2877</v>
      </c>
      <c r="DK51">
        <v>70</v>
      </c>
      <c r="DL51" t="s">
        <v>120</v>
      </c>
      <c r="DM51" t="s">
        <v>120</v>
      </c>
      <c r="DN51" t="s">
        <v>120</v>
      </c>
    </row>
    <row r="52" spans="1:118">
      <c r="A52" t="str">
        <f>"000078"</f>
        <v>000078</v>
      </c>
      <c r="B52" t="s">
        <v>501</v>
      </c>
      <c r="C52">
        <v>-0.3</v>
      </c>
      <c r="D52">
        <v>0</v>
      </c>
      <c r="E52">
        <v>0</v>
      </c>
      <c r="F52">
        <v>1730</v>
      </c>
      <c r="G52" t="s">
        <v>502</v>
      </c>
      <c r="H52">
        <v>9696.2099999999991</v>
      </c>
      <c r="I52">
        <v>35.43</v>
      </c>
      <c r="J52" t="s">
        <v>120</v>
      </c>
      <c r="K52" t="s">
        <v>503</v>
      </c>
      <c r="L52">
        <v>1.1000000000000001</v>
      </c>
      <c r="M52">
        <v>3.32</v>
      </c>
      <c r="N52">
        <v>1.18</v>
      </c>
      <c r="O52">
        <v>2.1</v>
      </c>
      <c r="P52">
        <v>3.4</v>
      </c>
      <c r="Q52">
        <v>-0.6</v>
      </c>
      <c r="R52">
        <v>3.31</v>
      </c>
      <c r="S52">
        <v>3.33</v>
      </c>
      <c r="T52">
        <v>288831</v>
      </c>
      <c r="U52">
        <v>3.33</v>
      </c>
      <c r="V52">
        <v>3.33</v>
      </c>
      <c r="W52">
        <v>32.57</v>
      </c>
      <c r="X52" t="s">
        <v>274</v>
      </c>
      <c r="Y52" t="s">
        <v>123</v>
      </c>
      <c r="Z52">
        <v>2.7</v>
      </c>
      <c r="AA52">
        <v>3.36</v>
      </c>
      <c r="AB52">
        <v>135835</v>
      </c>
      <c r="AC52">
        <v>152996</v>
      </c>
      <c r="AD52">
        <v>0.89</v>
      </c>
      <c r="AE52">
        <v>2040</v>
      </c>
      <c r="AF52">
        <v>7832</v>
      </c>
      <c r="AG52" t="s">
        <v>120</v>
      </c>
      <c r="AH52">
        <v>0.01</v>
      </c>
      <c r="AI52" t="s">
        <v>120</v>
      </c>
      <c r="AJ52">
        <v>26.21</v>
      </c>
      <c r="AK52" t="s">
        <v>504</v>
      </c>
      <c r="AL52">
        <v>1.61</v>
      </c>
      <c r="AM52">
        <v>2417</v>
      </c>
      <c r="AN52">
        <v>119</v>
      </c>
      <c r="AO52">
        <v>5.0000000000000001E-4</v>
      </c>
      <c r="AP52">
        <v>-1</v>
      </c>
      <c r="AQ52">
        <v>0.91</v>
      </c>
      <c r="AR52">
        <v>-0.89</v>
      </c>
      <c r="AS52">
        <v>4.7300000000000004</v>
      </c>
      <c r="AT52">
        <v>2.15</v>
      </c>
      <c r="AU52">
        <v>-17.21</v>
      </c>
      <c r="AV52">
        <v>0</v>
      </c>
      <c r="AW52">
        <v>2.06</v>
      </c>
      <c r="AX52">
        <v>51.07</v>
      </c>
      <c r="AY52" t="s">
        <v>120</v>
      </c>
      <c r="AZ52" t="s">
        <v>120</v>
      </c>
      <c r="BA52">
        <v>0.1</v>
      </c>
      <c r="BB52" t="s">
        <v>143</v>
      </c>
      <c r="BF52">
        <v>0.81</v>
      </c>
      <c r="BG52">
        <v>-0.3</v>
      </c>
      <c r="BH52">
        <v>-2.35</v>
      </c>
      <c r="BI52">
        <v>0.3</v>
      </c>
      <c r="BJ52">
        <v>20210817</v>
      </c>
      <c r="BK52">
        <v>19981218</v>
      </c>
      <c r="BL52">
        <v>27.51</v>
      </c>
      <c r="BM52" t="s">
        <v>120</v>
      </c>
      <c r="BN52" t="s">
        <v>120</v>
      </c>
      <c r="BO52">
        <v>401.13</v>
      </c>
      <c r="BP52">
        <v>3.32</v>
      </c>
      <c r="BQ52">
        <v>58.51</v>
      </c>
      <c r="BR52">
        <v>15.2</v>
      </c>
      <c r="BS52">
        <v>81.63</v>
      </c>
      <c r="BT52">
        <v>335.77</v>
      </c>
      <c r="BU52">
        <v>11.41</v>
      </c>
      <c r="BV52">
        <v>3.45</v>
      </c>
      <c r="BW52">
        <v>321.77</v>
      </c>
      <c r="BX52">
        <v>44.61</v>
      </c>
      <c r="BY52">
        <v>36.76</v>
      </c>
      <c r="BZ52">
        <v>178.05</v>
      </c>
      <c r="CA52" t="s">
        <v>120</v>
      </c>
      <c r="CB52">
        <v>22.97</v>
      </c>
      <c r="CC52">
        <v>202.38</v>
      </c>
      <c r="CD52">
        <v>179.25</v>
      </c>
      <c r="CE52">
        <v>3.84</v>
      </c>
      <c r="CF52">
        <v>0.12</v>
      </c>
      <c r="CG52">
        <v>3.84</v>
      </c>
      <c r="CH52">
        <v>2.62</v>
      </c>
      <c r="CI52">
        <v>1.4</v>
      </c>
      <c r="CJ52">
        <v>-0.01</v>
      </c>
      <c r="CK52">
        <v>1.31</v>
      </c>
      <c r="CL52">
        <v>10.33</v>
      </c>
      <c r="CM52">
        <v>8.5399999999999991</v>
      </c>
      <c r="CN52">
        <v>-7.78</v>
      </c>
      <c r="CO52">
        <v>178321</v>
      </c>
      <c r="CP52">
        <v>7878</v>
      </c>
      <c r="CQ52" t="s">
        <v>505</v>
      </c>
      <c r="CR52">
        <v>9.44</v>
      </c>
      <c r="CS52">
        <v>13.28</v>
      </c>
      <c r="CT52">
        <v>1.56</v>
      </c>
      <c r="CU52">
        <v>10.7</v>
      </c>
      <c r="CV52">
        <v>0.45</v>
      </c>
      <c r="CW52">
        <v>0</v>
      </c>
      <c r="CX52" t="s">
        <v>506</v>
      </c>
      <c r="CY52">
        <v>2.13</v>
      </c>
      <c r="CZ52">
        <v>0</v>
      </c>
      <c r="DA52">
        <v>0.83</v>
      </c>
      <c r="DB52">
        <v>0.38</v>
      </c>
      <c r="DC52">
        <v>0.31</v>
      </c>
      <c r="DD52">
        <v>14.59</v>
      </c>
      <c r="DE52" t="s">
        <v>507</v>
      </c>
      <c r="DF52">
        <v>11.43</v>
      </c>
      <c r="DG52">
        <v>1.9</v>
      </c>
      <c r="DH52">
        <v>0.69</v>
      </c>
      <c r="DI52">
        <v>0.24</v>
      </c>
      <c r="DJ52">
        <v>10484</v>
      </c>
      <c r="DK52">
        <v>78</v>
      </c>
      <c r="DL52" t="s">
        <v>120</v>
      </c>
      <c r="DM52" t="s">
        <v>120</v>
      </c>
      <c r="DN52" t="s">
        <v>120</v>
      </c>
    </row>
    <row r="53" spans="1:118">
      <c r="A53" t="str">
        <f>"000088"</f>
        <v>000088</v>
      </c>
      <c r="B53" t="s">
        <v>508</v>
      </c>
      <c r="C53">
        <v>0</v>
      </c>
      <c r="D53">
        <v>1.96</v>
      </c>
      <c r="E53">
        <v>0</v>
      </c>
      <c r="F53">
        <v>9391</v>
      </c>
      <c r="G53" t="s">
        <v>509</v>
      </c>
      <c r="H53">
        <v>6586.03</v>
      </c>
      <c r="I53">
        <v>1.54</v>
      </c>
      <c r="J53" t="s">
        <v>120</v>
      </c>
      <c r="K53" t="s">
        <v>510</v>
      </c>
      <c r="L53">
        <v>0.52</v>
      </c>
      <c r="M53">
        <v>5.72</v>
      </c>
      <c r="N53">
        <v>0.6</v>
      </c>
      <c r="O53">
        <v>1.4</v>
      </c>
      <c r="P53">
        <v>5.8</v>
      </c>
      <c r="Q53">
        <v>-2.27</v>
      </c>
      <c r="R53">
        <v>5.59</v>
      </c>
      <c r="S53">
        <v>5.72</v>
      </c>
      <c r="T53">
        <v>115974</v>
      </c>
      <c r="U53">
        <v>5.73</v>
      </c>
      <c r="V53">
        <v>5.72</v>
      </c>
      <c r="W53">
        <v>28.13</v>
      </c>
      <c r="X53" t="s">
        <v>511</v>
      </c>
      <c r="Y53" t="s">
        <v>123</v>
      </c>
      <c r="Z53">
        <v>3.67</v>
      </c>
      <c r="AA53">
        <v>5.68</v>
      </c>
      <c r="AB53">
        <v>71260</v>
      </c>
      <c r="AC53">
        <v>44714</v>
      </c>
      <c r="AD53">
        <v>1.59</v>
      </c>
      <c r="AE53">
        <v>373</v>
      </c>
      <c r="AF53">
        <v>16</v>
      </c>
      <c r="AG53" t="s">
        <v>120</v>
      </c>
      <c r="AH53">
        <v>0</v>
      </c>
      <c r="AI53" t="s">
        <v>120</v>
      </c>
      <c r="AJ53">
        <v>22.49</v>
      </c>
      <c r="AK53" t="s">
        <v>510</v>
      </c>
      <c r="AL53">
        <v>1.91</v>
      </c>
      <c r="AM53">
        <v>2149</v>
      </c>
      <c r="AN53">
        <v>54</v>
      </c>
      <c r="AO53">
        <v>2.0000000000000001E-4</v>
      </c>
      <c r="AP53">
        <v>0</v>
      </c>
      <c r="AQ53">
        <v>0.7</v>
      </c>
      <c r="AR53">
        <v>-2.06</v>
      </c>
      <c r="AS53">
        <v>9.7899999999999991</v>
      </c>
      <c r="AT53">
        <v>2.14</v>
      </c>
      <c r="AU53">
        <v>-9.24</v>
      </c>
      <c r="AV53">
        <v>2</v>
      </c>
      <c r="AW53">
        <v>1.59</v>
      </c>
      <c r="AX53">
        <v>32.520000000000003</v>
      </c>
      <c r="AY53">
        <v>27.49</v>
      </c>
      <c r="AZ53">
        <v>32.840000000000003</v>
      </c>
      <c r="BA53">
        <v>0.2</v>
      </c>
      <c r="BB53" t="s">
        <v>143</v>
      </c>
      <c r="BF53">
        <v>-0.72</v>
      </c>
      <c r="BG53">
        <v>0</v>
      </c>
      <c r="BH53">
        <v>-1.38</v>
      </c>
      <c r="BI53">
        <v>2.33</v>
      </c>
      <c r="BJ53">
        <v>20210814</v>
      </c>
      <c r="BK53">
        <v>19970728</v>
      </c>
      <c r="BL53">
        <v>22.49</v>
      </c>
      <c r="BM53" t="s">
        <v>120</v>
      </c>
      <c r="BN53" t="s">
        <v>120</v>
      </c>
      <c r="BO53">
        <v>133.58000000000001</v>
      </c>
      <c r="BP53">
        <v>5.72</v>
      </c>
      <c r="BQ53">
        <v>87.75</v>
      </c>
      <c r="BR53">
        <v>13.04</v>
      </c>
      <c r="BS53">
        <v>24.54</v>
      </c>
      <c r="BT53">
        <v>26.03</v>
      </c>
      <c r="BU53">
        <v>34.479999999999997</v>
      </c>
      <c r="BV53">
        <v>2.33</v>
      </c>
      <c r="BW53">
        <v>8.94</v>
      </c>
      <c r="BX53">
        <v>9.8000000000000007</v>
      </c>
      <c r="BY53">
        <v>0.05</v>
      </c>
      <c r="BZ53">
        <v>0.24</v>
      </c>
      <c r="CA53" t="s">
        <v>120</v>
      </c>
      <c r="CB53">
        <v>16.89</v>
      </c>
      <c r="CC53">
        <v>3.09</v>
      </c>
      <c r="CD53">
        <v>1.94</v>
      </c>
      <c r="CE53">
        <v>2.5299999999999998</v>
      </c>
      <c r="CF53">
        <v>2.1800000000000002</v>
      </c>
      <c r="CG53">
        <v>2.54</v>
      </c>
      <c r="CH53">
        <v>2.2999999999999998</v>
      </c>
      <c r="CI53">
        <v>2.29</v>
      </c>
      <c r="CJ53">
        <v>0</v>
      </c>
      <c r="CK53">
        <v>2.2799999999999998</v>
      </c>
      <c r="CL53">
        <v>38.97</v>
      </c>
      <c r="CM53">
        <v>1.1599999999999999</v>
      </c>
      <c r="CN53">
        <v>-5.92</v>
      </c>
      <c r="CO53">
        <v>74875</v>
      </c>
      <c r="CP53">
        <v>9768</v>
      </c>
      <c r="CQ53" t="s">
        <v>512</v>
      </c>
      <c r="CR53">
        <v>49.99</v>
      </c>
      <c r="CS53">
        <v>34.5</v>
      </c>
      <c r="CT53">
        <v>1.47</v>
      </c>
      <c r="CU53">
        <v>111.25</v>
      </c>
      <c r="CV53">
        <v>41.63</v>
      </c>
      <c r="CW53">
        <v>0.31</v>
      </c>
      <c r="CX53" t="s">
        <v>513</v>
      </c>
      <c r="CY53">
        <v>3.9</v>
      </c>
      <c r="CZ53">
        <v>0</v>
      </c>
      <c r="DA53">
        <v>0.75</v>
      </c>
      <c r="DB53">
        <v>1.73</v>
      </c>
      <c r="DC53">
        <v>0.05</v>
      </c>
      <c r="DD53">
        <v>65.69</v>
      </c>
      <c r="DE53" t="s">
        <v>514</v>
      </c>
      <c r="DF53">
        <v>37.11</v>
      </c>
      <c r="DG53">
        <v>82.01</v>
      </c>
      <c r="DH53">
        <v>74</v>
      </c>
      <c r="DI53">
        <v>0.01</v>
      </c>
      <c r="DJ53">
        <v>848</v>
      </c>
      <c r="DK53">
        <v>88</v>
      </c>
      <c r="DL53" t="s">
        <v>120</v>
      </c>
      <c r="DM53" t="s">
        <v>120</v>
      </c>
      <c r="DN53" t="s">
        <v>120</v>
      </c>
    </row>
    <row r="54" spans="1:118">
      <c r="A54" t="str">
        <f>"000089"</f>
        <v>000089</v>
      </c>
      <c r="B54" t="s">
        <v>515</v>
      </c>
      <c r="C54">
        <v>-0.13</v>
      </c>
      <c r="D54">
        <v>0.67</v>
      </c>
      <c r="E54">
        <v>0.13</v>
      </c>
      <c r="F54">
        <v>9429</v>
      </c>
      <c r="G54" t="s">
        <v>516</v>
      </c>
      <c r="H54">
        <v>9959.67</v>
      </c>
      <c r="I54">
        <v>74.069999999999993</v>
      </c>
      <c r="J54" t="s">
        <v>120</v>
      </c>
      <c r="K54" t="s">
        <v>517</v>
      </c>
      <c r="L54">
        <v>0.65</v>
      </c>
      <c r="M54">
        <v>7.53</v>
      </c>
      <c r="N54">
        <v>0.61</v>
      </c>
      <c r="O54">
        <v>0.27</v>
      </c>
      <c r="P54">
        <v>7.56</v>
      </c>
      <c r="Q54">
        <v>-1.19</v>
      </c>
      <c r="R54">
        <v>7.45</v>
      </c>
      <c r="S54">
        <v>7.55</v>
      </c>
      <c r="T54">
        <v>132569</v>
      </c>
      <c r="U54">
        <v>7.53</v>
      </c>
      <c r="V54">
        <v>7.54</v>
      </c>
      <c r="W54">
        <v>85.67</v>
      </c>
      <c r="X54" t="s">
        <v>518</v>
      </c>
      <c r="Y54" t="s">
        <v>123</v>
      </c>
      <c r="Z54">
        <v>1.46</v>
      </c>
      <c r="AA54">
        <v>7.51</v>
      </c>
      <c r="AB54">
        <v>59147</v>
      </c>
      <c r="AC54">
        <v>73422</v>
      </c>
      <c r="AD54">
        <v>0.81</v>
      </c>
      <c r="AE54">
        <v>11</v>
      </c>
      <c r="AF54">
        <v>1580</v>
      </c>
      <c r="AG54" t="s">
        <v>120</v>
      </c>
      <c r="AH54">
        <v>0.01</v>
      </c>
      <c r="AI54" t="s">
        <v>120</v>
      </c>
      <c r="AJ54">
        <v>20.51</v>
      </c>
      <c r="AK54" t="s">
        <v>517</v>
      </c>
      <c r="AL54">
        <v>1.78</v>
      </c>
      <c r="AM54">
        <v>3393</v>
      </c>
      <c r="AN54">
        <v>39</v>
      </c>
      <c r="AO54">
        <v>2.0000000000000001E-4</v>
      </c>
      <c r="AP54">
        <v>-1</v>
      </c>
      <c r="AQ54">
        <v>1.07</v>
      </c>
      <c r="AR54">
        <v>-0.66</v>
      </c>
      <c r="AS54">
        <v>6.21</v>
      </c>
      <c r="AT54">
        <v>-4.2</v>
      </c>
      <c r="AU54">
        <v>-7.83</v>
      </c>
      <c r="AV54">
        <v>0</v>
      </c>
      <c r="AW54">
        <v>1.5</v>
      </c>
      <c r="AX54">
        <v>43.03</v>
      </c>
      <c r="AY54">
        <v>57.37</v>
      </c>
      <c r="AZ54">
        <v>550.82000000000005</v>
      </c>
      <c r="BA54">
        <v>0.19</v>
      </c>
      <c r="BB54" t="s">
        <v>341</v>
      </c>
      <c r="BF54">
        <v>-0.36</v>
      </c>
      <c r="BG54">
        <v>-0.26</v>
      </c>
      <c r="BH54">
        <v>-0.4</v>
      </c>
      <c r="BI54">
        <v>1.07</v>
      </c>
      <c r="BJ54">
        <v>20210827</v>
      </c>
      <c r="BK54">
        <v>19980420</v>
      </c>
      <c r="BL54">
        <v>20.51</v>
      </c>
      <c r="BM54" t="s">
        <v>120</v>
      </c>
      <c r="BN54" t="s">
        <v>120</v>
      </c>
      <c r="BO54">
        <v>192.88</v>
      </c>
      <c r="BP54">
        <v>7.5</v>
      </c>
      <c r="BQ54">
        <v>120.15</v>
      </c>
      <c r="BR54">
        <v>0.13</v>
      </c>
      <c r="BS54">
        <v>37.64</v>
      </c>
      <c r="BT54">
        <v>23.55</v>
      </c>
      <c r="BU54">
        <v>73.02</v>
      </c>
      <c r="BV54">
        <v>2.56</v>
      </c>
      <c r="BW54">
        <v>34.93</v>
      </c>
      <c r="BX54">
        <v>13.97</v>
      </c>
      <c r="BY54">
        <v>0.08</v>
      </c>
      <c r="BZ54">
        <v>5.24</v>
      </c>
      <c r="CA54">
        <v>0.12</v>
      </c>
      <c r="CB54">
        <v>27.92</v>
      </c>
      <c r="CC54">
        <v>15.81</v>
      </c>
      <c r="CD54">
        <v>13.71</v>
      </c>
      <c r="CE54">
        <v>1</v>
      </c>
      <c r="CF54">
        <v>0.61</v>
      </c>
      <c r="CG54">
        <v>1.07</v>
      </c>
      <c r="CH54">
        <v>0.96</v>
      </c>
      <c r="CI54">
        <v>0.9</v>
      </c>
      <c r="CJ54">
        <v>-0.01</v>
      </c>
      <c r="CK54">
        <v>0.69</v>
      </c>
      <c r="CL54">
        <v>61.66</v>
      </c>
      <c r="CM54">
        <v>7.05</v>
      </c>
      <c r="CN54">
        <v>2.31</v>
      </c>
      <c r="CO54">
        <v>82493</v>
      </c>
      <c r="CP54">
        <v>10698</v>
      </c>
      <c r="CQ54" t="s">
        <v>519</v>
      </c>
      <c r="CR54">
        <v>159.56</v>
      </c>
      <c r="CS54">
        <v>23.47</v>
      </c>
      <c r="CT54">
        <v>1.29</v>
      </c>
      <c r="CU54">
        <v>21.91</v>
      </c>
      <c r="CV54">
        <v>9.77</v>
      </c>
      <c r="CW54">
        <v>0</v>
      </c>
      <c r="CX54" t="s">
        <v>520</v>
      </c>
      <c r="CY54">
        <v>5.86</v>
      </c>
      <c r="CZ54">
        <v>0</v>
      </c>
      <c r="DA54">
        <v>1.36</v>
      </c>
      <c r="DB54">
        <v>3.01</v>
      </c>
      <c r="DC54">
        <v>0.34</v>
      </c>
      <c r="DD54">
        <v>62.29</v>
      </c>
      <c r="DE54" t="s">
        <v>521</v>
      </c>
      <c r="DF54">
        <v>13.28</v>
      </c>
      <c r="DG54">
        <v>6.31</v>
      </c>
      <c r="DH54">
        <v>5.7</v>
      </c>
      <c r="DI54" t="s">
        <v>120</v>
      </c>
      <c r="DJ54">
        <v>5241</v>
      </c>
      <c r="DK54">
        <v>89</v>
      </c>
      <c r="DL54" t="s">
        <v>120</v>
      </c>
      <c r="DM54" t="s">
        <v>120</v>
      </c>
      <c r="DN54" t="s">
        <v>120</v>
      </c>
    </row>
    <row r="55" spans="1:118">
      <c r="A55" t="str">
        <f>"000090"</f>
        <v>000090</v>
      </c>
      <c r="B55" t="s">
        <v>522</v>
      </c>
      <c r="C55">
        <v>-2.06</v>
      </c>
      <c r="D55">
        <v>0</v>
      </c>
      <c r="E55">
        <v>0.17</v>
      </c>
      <c r="F55">
        <v>1602</v>
      </c>
      <c r="G55" t="s">
        <v>523</v>
      </c>
      <c r="H55">
        <v>11496.83</v>
      </c>
      <c r="I55">
        <v>4.6100000000000003</v>
      </c>
      <c r="J55" t="s">
        <v>120</v>
      </c>
      <c r="K55" t="s">
        <v>524</v>
      </c>
      <c r="L55">
        <v>1.07</v>
      </c>
      <c r="M55">
        <v>5.7</v>
      </c>
      <c r="N55">
        <v>0.96</v>
      </c>
      <c r="O55">
        <v>1.2</v>
      </c>
      <c r="P55">
        <v>5.89</v>
      </c>
      <c r="Q55">
        <v>-2.75</v>
      </c>
      <c r="R55">
        <v>5.66</v>
      </c>
      <c r="S55">
        <v>5.83</v>
      </c>
      <c r="T55">
        <v>199061</v>
      </c>
      <c r="U55">
        <v>5.7</v>
      </c>
      <c r="V55">
        <v>5.82</v>
      </c>
      <c r="W55">
        <v>4.1100000000000003</v>
      </c>
      <c r="X55" t="s">
        <v>175</v>
      </c>
      <c r="Y55" t="s">
        <v>123</v>
      </c>
      <c r="Z55">
        <v>3.95</v>
      </c>
      <c r="AA55">
        <v>5.78</v>
      </c>
      <c r="AB55">
        <v>110099</v>
      </c>
      <c r="AC55">
        <v>88962</v>
      </c>
      <c r="AD55">
        <v>1.24</v>
      </c>
      <c r="AE55">
        <v>511</v>
      </c>
      <c r="AF55">
        <v>31</v>
      </c>
      <c r="AG55" t="s">
        <v>120</v>
      </c>
      <c r="AH55">
        <v>0</v>
      </c>
      <c r="AI55" t="s">
        <v>120</v>
      </c>
      <c r="AJ55">
        <v>18.68</v>
      </c>
      <c r="AK55" t="s">
        <v>525</v>
      </c>
      <c r="AL55">
        <v>-0.15</v>
      </c>
      <c r="AM55">
        <v>2853</v>
      </c>
      <c r="AN55">
        <v>70</v>
      </c>
      <c r="AO55">
        <v>4.0000000000000002E-4</v>
      </c>
      <c r="AP55">
        <v>-3</v>
      </c>
      <c r="AQ55">
        <v>-0.17</v>
      </c>
      <c r="AR55">
        <v>-3.88</v>
      </c>
      <c r="AS55">
        <v>10.68</v>
      </c>
      <c r="AT55">
        <v>3.45</v>
      </c>
      <c r="AU55">
        <v>2.52</v>
      </c>
      <c r="AV55">
        <v>1</v>
      </c>
      <c r="AW55">
        <v>1.76</v>
      </c>
      <c r="AX55">
        <v>60.41</v>
      </c>
      <c r="AY55">
        <v>7.06</v>
      </c>
      <c r="AZ55">
        <v>7.32</v>
      </c>
      <c r="BA55">
        <v>0.05</v>
      </c>
      <c r="BB55" t="s">
        <v>143</v>
      </c>
      <c r="BF55">
        <v>-0.76</v>
      </c>
      <c r="BG55">
        <v>-2.23</v>
      </c>
      <c r="BH55">
        <v>-3.23</v>
      </c>
      <c r="BI55">
        <v>0.71</v>
      </c>
      <c r="BJ55">
        <v>20210824</v>
      </c>
      <c r="BK55">
        <v>19990721</v>
      </c>
      <c r="BL55">
        <v>18.690000000000001</v>
      </c>
      <c r="BM55" t="s">
        <v>120</v>
      </c>
      <c r="BN55" t="s">
        <v>120</v>
      </c>
      <c r="BO55">
        <v>535.29999999999995</v>
      </c>
      <c r="BP55">
        <v>5.69</v>
      </c>
      <c r="BQ55">
        <v>115.3</v>
      </c>
      <c r="BR55">
        <v>0.9</v>
      </c>
      <c r="BS55">
        <v>78.290000000000006</v>
      </c>
      <c r="BT55">
        <v>462.17</v>
      </c>
      <c r="BU55">
        <v>4.8</v>
      </c>
      <c r="BV55">
        <v>8.14</v>
      </c>
      <c r="BW55">
        <v>318.41000000000003</v>
      </c>
      <c r="BX55">
        <v>92.53</v>
      </c>
      <c r="BY55">
        <v>265.36</v>
      </c>
      <c r="BZ55">
        <v>33.950000000000003</v>
      </c>
      <c r="CA55">
        <v>0.26</v>
      </c>
      <c r="CB55">
        <v>15.62</v>
      </c>
      <c r="CC55">
        <v>77.62</v>
      </c>
      <c r="CD55">
        <v>48.63</v>
      </c>
      <c r="CE55">
        <v>18.11</v>
      </c>
      <c r="CF55">
        <v>0.22</v>
      </c>
      <c r="CG55">
        <v>18.170000000000002</v>
      </c>
      <c r="CH55">
        <v>12.97</v>
      </c>
      <c r="CI55">
        <v>12.97</v>
      </c>
      <c r="CJ55">
        <v>-0.12</v>
      </c>
      <c r="CK55">
        <v>12.77</v>
      </c>
      <c r="CL55">
        <v>43.62</v>
      </c>
      <c r="CM55">
        <v>27.11</v>
      </c>
      <c r="CN55">
        <v>5.08</v>
      </c>
      <c r="CO55">
        <v>51920</v>
      </c>
      <c r="CP55">
        <v>21739</v>
      </c>
      <c r="CQ55" t="s">
        <v>526</v>
      </c>
      <c r="CR55">
        <v>4.33</v>
      </c>
      <c r="CS55">
        <v>6.91</v>
      </c>
      <c r="CT55">
        <v>1.18</v>
      </c>
      <c r="CU55">
        <v>3.93</v>
      </c>
      <c r="CV55">
        <v>1.37</v>
      </c>
      <c r="CW55">
        <v>6.53</v>
      </c>
      <c r="CX55" t="s">
        <v>527</v>
      </c>
      <c r="CY55">
        <v>4.84</v>
      </c>
      <c r="CZ55">
        <v>4.84</v>
      </c>
      <c r="DA55">
        <v>0.84</v>
      </c>
      <c r="DB55">
        <v>2.33</v>
      </c>
      <c r="DC55">
        <v>1.45</v>
      </c>
      <c r="DD55">
        <v>21.54</v>
      </c>
      <c r="DE55" t="s">
        <v>528</v>
      </c>
      <c r="DF55">
        <v>37.35</v>
      </c>
      <c r="DG55">
        <v>23.34</v>
      </c>
      <c r="DH55">
        <v>16.71</v>
      </c>
      <c r="DI55">
        <v>1.3</v>
      </c>
      <c r="DJ55">
        <v>11246</v>
      </c>
      <c r="DK55">
        <v>90</v>
      </c>
      <c r="DL55" t="s">
        <v>120</v>
      </c>
      <c r="DM55" t="s">
        <v>120</v>
      </c>
      <c r="DN55" t="s">
        <v>120</v>
      </c>
    </row>
    <row r="56" spans="1:118">
      <c r="A56" t="str">
        <f>"000096"</f>
        <v>000096</v>
      </c>
      <c r="B56" t="s">
        <v>529</v>
      </c>
      <c r="C56">
        <v>-2.61</v>
      </c>
      <c r="D56">
        <v>-0.1</v>
      </c>
      <c r="E56">
        <v>0.52</v>
      </c>
      <c r="F56">
        <v>472</v>
      </c>
      <c r="G56" t="s">
        <v>530</v>
      </c>
      <c r="H56">
        <v>3174.27</v>
      </c>
      <c r="I56">
        <v>26.1</v>
      </c>
      <c r="J56" t="s">
        <v>120</v>
      </c>
      <c r="K56" t="s">
        <v>531</v>
      </c>
      <c r="L56">
        <v>0.65</v>
      </c>
      <c r="M56">
        <v>9.33</v>
      </c>
      <c r="N56">
        <v>0.74</v>
      </c>
      <c r="O56">
        <v>2.09</v>
      </c>
      <c r="P56">
        <v>9.7799999999999994</v>
      </c>
      <c r="Q56">
        <v>-2.61</v>
      </c>
      <c r="R56">
        <v>9.33</v>
      </c>
      <c r="S56">
        <v>9.6300000000000008</v>
      </c>
      <c r="T56">
        <v>33097</v>
      </c>
      <c r="U56">
        <v>9.34</v>
      </c>
      <c r="V56">
        <v>9.58</v>
      </c>
      <c r="W56">
        <v>58.7</v>
      </c>
      <c r="X56" t="s">
        <v>532</v>
      </c>
      <c r="Y56" t="s">
        <v>123</v>
      </c>
      <c r="Z56">
        <v>4.7</v>
      </c>
      <c r="AA56">
        <v>9.59</v>
      </c>
      <c r="AB56">
        <v>19047</v>
      </c>
      <c r="AC56">
        <v>14050</v>
      </c>
      <c r="AD56">
        <v>1.36</v>
      </c>
      <c r="AE56">
        <v>35</v>
      </c>
      <c r="AF56">
        <v>83</v>
      </c>
      <c r="AG56" t="s">
        <v>120</v>
      </c>
      <c r="AH56">
        <v>0.01</v>
      </c>
      <c r="AI56" t="s">
        <v>120</v>
      </c>
      <c r="AJ56">
        <v>5.1100000000000003</v>
      </c>
      <c r="AK56" t="s">
        <v>533</v>
      </c>
      <c r="AL56">
        <v>-0.7</v>
      </c>
      <c r="AM56">
        <v>1500</v>
      </c>
      <c r="AN56">
        <v>22</v>
      </c>
      <c r="AO56">
        <v>4.0000000000000002E-4</v>
      </c>
      <c r="AP56">
        <v>-1</v>
      </c>
      <c r="AQ56">
        <v>2.57</v>
      </c>
      <c r="AR56">
        <v>-1.06</v>
      </c>
      <c r="AS56">
        <v>10.02</v>
      </c>
      <c r="AT56">
        <v>-1.68</v>
      </c>
      <c r="AU56">
        <v>-3.52</v>
      </c>
      <c r="AV56">
        <v>0</v>
      </c>
      <c r="AW56">
        <v>1.41</v>
      </c>
      <c r="AX56">
        <v>44.46</v>
      </c>
      <c r="AY56">
        <v>35.03</v>
      </c>
      <c r="AZ56">
        <v>38.89</v>
      </c>
      <c r="BA56">
        <v>0.37</v>
      </c>
      <c r="BB56" t="s">
        <v>184</v>
      </c>
      <c r="BF56">
        <v>0.11</v>
      </c>
      <c r="BG56">
        <v>-3.12</v>
      </c>
      <c r="BH56">
        <v>-4.5999999999999996</v>
      </c>
      <c r="BI56">
        <v>0</v>
      </c>
      <c r="BJ56">
        <v>20210827</v>
      </c>
      <c r="BK56">
        <v>20000724</v>
      </c>
      <c r="BL56">
        <v>5.28</v>
      </c>
      <c r="BM56" t="s">
        <v>120</v>
      </c>
      <c r="BN56" t="s">
        <v>120</v>
      </c>
      <c r="BO56">
        <v>31.26</v>
      </c>
      <c r="BP56">
        <v>9.33</v>
      </c>
      <c r="BQ56">
        <v>28.69</v>
      </c>
      <c r="BR56">
        <v>0.21</v>
      </c>
      <c r="BS56">
        <v>7.54</v>
      </c>
      <c r="BT56">
        <v>18.170000000000002</v>
      </c>
      <c r="BU56">
        <v>0.47</v>
      </c>
      <c r="BV56">
        <v>0.56000000000000005</v>
      </c>
      <c r="BW56">
        <v>1.75</v>
      </c>
      <c r="BX56">
        <v>15.34</v>
      </c>
      <c r="BY56">
        <v>0.68</v>
      </c>
      <c r="BZ56">
        <v>0.14000000000000001</v>
      </c>
      <c r="CA56">
        <v>0.24</v>
      </c>
      <c r="CB56">
        <v>3.51</v>
      </c>
      <c r="CC56">
        <v>7</v>
      </c>
      <c r="CD56">
        <v>6.24</v>
      </c>
      <c r="CE56">
        <v>0.54</v>
      </c>
      <c r="CF56">
        <v>0.19</v>
      </c>
      <c r="CG56">
        <v>0.54</v>
      </c>
      <c r="CH56">
        <v>0.43</v>
      </c>
      <c r="CI56">
        <v>0.42</v>
      </c>
      <c r="CJ56">
        <v>-0.25</v>
      </c>
      <c r="CK56">
        <v>0.32</v>
      </c>
      <c r="CL56">
        <v>14.66</v>
      </c>
      <c r="CM56">
        <v>-0.61</v>
      </c>
      <c r="CN56">
        <v>-1.72</v>
      </c>
      <c r="CO56">
        <v>24701</v>
      </c>
      <c r="CP56">
        <v>9503</v>
      </c>
      <c r="CQ56" t="s">
        <v>534</v>
      </c>
      <c r="CR56">
        <v>51.99</v>
      </c>
      <c r="CS56">
        <v>19.059999999999999</v>
      </c>
      <c r="CT56">
        <v>1.72</v>
      </c>
      <c r="CU56">
        <v>-81.42</v>
      </c>
      <c r="CV56">
        <v>7.04</v>
      </c>
      <c r="CW56">
        <v>0.21</v>
      </c>
      <c r="CX56" t="s">
        <v>535</v>
      </c>
      <c r="CY56">
        <v>5.43</v>
      </c>
      <c r="CZ56">
        <v>0</v>
      </c>
      <c r="DA56">
        <v>0.67</v>
      </c>
      <c r="DB56">
        <v>2.78</v>
      </c>
      <c r="DC56">
        <v>-0.11</v>
      </c>
      <c r="DD56">
        <v>91.78</v>
      </c>
      <c r="DE56" t="s">
        <v>536</v>
      </c>
      <c r="DF56">
        <v>10.8</v>
      </c>
      <c r="DG56">
        <v>7.69</v>
      </c>
      <c r="DH56">
        <v>6</v>
      </c>
      <c r="DI56" t="s">
        <v>120</v>
      </c>
      <c r="DJ56">
        <v>350</v>
      </c>
      <c r="DK56">
        <v>96</v>
      </c>
      <c r="DL56" t="s">
        <v>120</v>
      </c>
      <c r="DM56" t="s">
        <v>120</v>
      </c>
      <c r="DN56" t="s">
        <v>120</v>
      </c>
    </row>
    <row r="57" spans="1:118">
      <c r="A57" t="str">
        <f>"000099"</f>
        <v>000099</v>
      </c>
      <c r="B57" t="s">
        <v>537</v>
      </c>
      <c r="C57">
        <v>0.91</v>
      </c>
      <c r="D57">
        <v>0.13</v>
      </c>
      <c r="E57">
        <v>0.39</v>
      </c>
      <c r="F57">
        <v>839</v>
      </c>
      <c r="G57" t="s">
        <v>538</v>
      </c>
      <c r="H57">
        <v>16451.419999999998</v>
      </c>
      <c r="I57">
        <v>32.54</v>
      </c>
      <c r="J57" t="s">
        <v>120</v>
      </c>
      <c r="K57" t="s">
        <v>539</v>
      </c>
      <c r="L57">
        <v>3.42</v>
      </c>
      <c r="M57">
        <v>7.75</v>
      </c>
      <c r="N57">
        <v>1.9</v>
      </c>
      <c r="O57">
        <v>5.73</v>
      </c>
      <c r="P57">
        <v>8.1199999999999992</v>
      </c>
      <c r="Q57">
        <v>0.39</v>
      </c>
      <c r="R57">
        <v>7.71</v>
      </c>
      <c r="S57">
        <v>7.71</v>
      </c>
      <c r="T57">
        <v>207175</v>
      </c>
      <c r="U57">
        <v>7.75</v>
      </c>
      <c r="V57">
        <v>7.68</v>
      </c>
      <c r="W57">
        <v>25.01</v>
      </c>
      <c r="X57" t="s">
        <v>540</v>
      </c>
      <c r="Y57" t="s">
        <v>123</v>
      </c>
      <c r="Z57">
        <v>5.34</v>
      </c>
      <c r="AA57">
        <v>7.94</v>
      </c>
      <c r="AB57">
        <v>91194</v>
      </c>
      <c r="AC57">
        <v>115981</v>
      </c>
      <c r="AD57">
        <v>0.79</v>
      </c>
      <c r="AE57">
        <v>105</v>
      </c>
      <c r="AF57">
        <v>113</v>
      </c>
      <c r="AG57" t="s">
        <v>120</v>
      </c>
      <c r="AH57">
        <v>0.01</v>
      </c>
      <c r="AI57" t="s">
        <v>120</v>
      </c>
      <c r="AJ57">
        <v>6.06</v>
      </c>
      <c r="AK57" t="s">
        <v>541</v>
      </c>
      <c r="AL57">
        <v>2.83</v>
      </c>
      <c r="AM57">
        <v>2921</v>
      </c>
      <c r="AN57">
        <v>71</v>
      </c>
      <c r="AO57">
        <v>1.1999999999999999E-3</v>
      </c>
      <c r="AP57">
        <v>2</v>
      </c>
      <c r="AQ57">
        <v>1.59</v>
      </c>
      <c r="AR57">
        <v>-0.39</v>
      </c>
      <c r="AS57">
        <v>3.75</v>
      </c>
      <c r="AT57">
        <v>12.31</v>
      </c>
      <c r="AU57">
        <v>4.9400000000000004</v>
      </c>
      <c r="AV57">
        <v>0</v>
      </c>
      <c r="AW57">
        <v>5.57</v>
      </c>
      <c r="AX57">
        <v>47.95</v>
      </c>
      <c r="AY57">
        <v>22.28</v>
      </c>
      <c r="AZ57">
        <v>27.28</v>
      </c>
      <c r="BA57">
        <v>0.47</v>
      </c>
      <c r="BB57" t="s">
        <v>143</v>
      </c>
      <c r="BF57">
        <v>3.4</v>
      </c>
      <c r="BG57">
        <v>0.52</v>
      </c>
      <c r="BH57">
        <v>-4.5599999999999996</v>
      </c>
      <c r="BI57">
        <v>0.52</v>
      </c>
      <c r="BJ57">
        <v>20210908</v>
      </c>
      <c r="BK57">
        <v>20000731</v>
      </c>
      <c r="BL57">
        <v>7.76</v>
      </c>
      <c r="BM57" t="s">
        <v>120</v>
      </c>
      <c r="BN57" t="s">
        <v>120</v>
      </c>
      <c r="BO57">
        <v>54.38</v>
      </c>
      <c r="BP57">
        <v>7.74</v>
      </c>
      <c r="BQ57">
        <v>35.53</v>
      </c>
      <c r="BR57">
        <v>2.1800000000000002</v>
      </c>
      <c r="BS57">
        <v>30.67</v>
      </c>
      <c r="BT57">
        <v>22.26</v>
      </c>
      <c r="BU57">
        <v>22.07</v>
      </c>
      <c r="BV57">
        <v>0.9</v>
      </c>
      <c r="BW57">
        <v>5.1100000000000003</v>
      </c>
      <c r="BX57">
        <v>6.27</v>
      </c>
      <c r="BY57">
        <v>3.08</v>
      </c>
      <c r="BZ57">
        <v>7.35</v>
      </c>
      <c r="CA57" t="s">
        <v>120</v>
      </c>
      <c r="CB57">
        <v>10.33</v>
      </c>
      <c r="CC57">
        <v>7.56</v>
      </c>
      <c r="CD57">
        <v>5.38</v>
      </c>
      <c r="CE57">
        <v>1.31</v>
      </c>
      <c r="CF57">
        <v>0.01</v>
      </c>
      <c r="CG57">
        <v>1.4</v>
      </c>
      <c r="CH57">
        <v>1.18</v>
      </c>
      <c r="CI57">
        <v>1.2</v>
      </c>
      <c r="CJ57">
        <v>7.0000000000000007E-2</v>
      </c>
      <c r="CK57">
        <v>1.1200000000000001</v>
      </c>
      <c r="CL57">
        <v>16.3</v>
      </c>
      <c r="CM57">
        <v>3.2</v>
      </c>
      <c r="CN57">
        <v>-0.02</v>
      </c>
      <c r="CO57">
        <v>50447</v>
      </c>
      <c r="CP57">
        <v>7373</v>
      </c>
      <c r="CQ57" t="s">
        <v>542</v>
      </c>
      <c r="CR57">
        <v>69.06</v>
      </c>
      <c r="CS57">
        <v>9.5</v>
      </c>
      <c r="CT57">
        <v>1.32</v>
      </c>
      <c r="CU57">
        <v>18.760000000000002</v>
      </c>
      <c r="CV57">
        <v>7.95</v>
      </c>
      <c r="CW57">
        <v>0.76</v>
      </c>
      <c r="CX57" t="s">
        <v>492</v>
      </c>
      <c r="CY57">
        <v>5.86</v>
      </c>
      <c r="CZ57">
        <v>5.86</v>
      </c>
      <c r="DA57">
        <v>1.33</v>
      </c>
      <c r="DB57">
        <v>2.1</v>
      </c>
      <c r="DC57">
        <v>0.41</v>
      </c>
      <c r="DD57">
        <v>65.319999999999993</v>
      </c>
      <c r="DE57" t="s">
        <v>543</v>
      </c>
      <c r="DF57">
        <v>28.87</v>
      </c>
      <c r="DG57">
        <v>17.34</v>
      </c>
      <c r="DH57">
        <v>15.9</v>
      </c>
      <c r="DI57">
        <v>0.1</v>
      </c>
      <c r="DJ57">
        <v>1005</v>
      </c>
      <c r="DK57">
        <v>99</v>
      </c>
      <c r="DL57" t="s">
        <v>120</v>
      </c>
      <c r="DM57" t="s">
        <v>120</v>
      </c>
      <c r="DN57" t="s">
        <v>120</v>
      </c>
    </row>
    <row r="58" spans="1:118">
      <c r="A58" t="str">
        <f>"000100"</f>
        <v>000100</v>
      </c>
      <c r="B58" t="s">
        <v>544</v>
      </c>
      <c r="C58">
        <v>-2.41</v>
      </c>
      <c r="D58">
        <v>0</v>
      </c>
      <c r="E58">
        <v>-0.14000000000000001</v>
      </c>
      <c r="F58">
        <v>36786</v>
      </c>
      <c r="G58" t="s">
        <v>545</v>
      </c>
      <c r="H58">
        <v>208730.62</v>
      </c>
      <c r="I58">
        <v>382.5</v>
      </c>
      <c r="J58" t="s">
        <v>120</v>
      </c>
      <c r="K58" t="s">
        <v>546</v>
      </c>
      <c r="L58">
        <v>2.33</v>
      </c>
      <c r="M58">
        <v>6.88</v>
      </c>
      <c r="N58">
        <v>1.19</v>
      </c>
      <c r="O58">
        <v>0</v>
      </c>
      <c r="P58">
        <v>7.05</v>
      </c>
      <c r="Q58">
        <v>-2.7</v>
      </c>
      <c r="R58">
        <v>6.86</v>
      </c>
      <c r="S58">
        <v>7.04</v>
      </c>
      <c r="T58">
        <v>3006974</v>
      </c>
      <c r="U58">
        <v>6.89</v>
      </c>
      <c r="V58">
        <v>7.05</v>
      </c>
      <c r="W58">
        <v>7.11</v>
      </c>
      <c r="X58" t="s">
        <v>229</v>
      </c>
      <c r="Y58" t="s">
        <v>547</v>
      </c>
      <c r="Z58">
        <v>2.7</v>
      </c>
      <c r="AA58">
        <v>6.94</v>
      </c>
      <c r="AB58">
        <v>1616145</v>
      </c>
      <c r="AC58">
        <v>1390829</v>
      </c>
      <c r="AD58">
        <v>1.1599999999999999</v>
      </c>
      <c r="AE58">
        <v>1515</v>
      </c>
      <c r="AF58">
        <v>15210</v>
      </c>
      <c r="AG58" t="s">
        <v>120</v>
      </c>
      <c r="AH58">
        <v>0</v>
      </c>
      <c r="AI58" t="s">
        <v>120</v>
      </c>
      <c r="AJ58">
        <v>129.07</v>
      </c>
      <c r="AK58" t="s">
        <v>548</v>
      </c>
      <c r="AL58">
        <v>-0.5</v>
      </c>
      <c r="AM58">
        <v>4740</v>
      </c>
      <c r="AN58">
        <v>634</v>
      </c>
      <c r="AO58">
        <v>5.0000000000000001E-4</v>
      </c>
      <c r="AP58">
        <v>-1</v>
      </c>
      <c r="AQ58">
        <v>0</v>
      </c>
      <c r="AR58">
        <v>-3.5</v>
      </c>
      <c r="AS58">
        <v>-7.15</v>
      </c>
      <c r="AT58">
        <v>-12.02</v>
      </c>
      <c r="AU58">
        <v>-1.1499999999999999</v>
      </c>
      <c r="AV58">
        <v>2</v>
      </c>
      <c r="AW58">
        <v>2.59</v>
      </c>
      <c r="AX58">
        <v>82.79</v>
      </c>
      <c r="AY58">
        <v>9.93</v>
      </c>
      <c r="AZ58">
        <v>22.54</v>
      </c>
      <c r="BA58">
        <v>0.23</v>
      </c>
      <c r="BB58" t="s">
        <v>143</v>
      </c>
      <c r="BF58">
        <v>-1.54</v>
      </c>
      <c r="BG58">
        <v>-2.27</v>
      </c>
      <c r="BH58">
        <v>-2.41</v>
      </c>
      <c r="BI58">
        <v>0.28999999999999998</v>
      </c>
      <c r="BJ58">
        <v>20210913</v>
      </c>
      <c r="BK58">
        <v>20040130</v>
      </c>
      <c r="BL58">
        <v>140.31</v>
      </c>
      <c r="BM58" t="s">
        <v>120</v>
      </c>
      <c r="BN58" t="s">
        <v>120</v>
      </c>
      <c r="BO58">
        <v>3022.05</v>
      </c>
      <c r="BP58">
        <v>6.88</v>
      </c>
      <c r="BQ58">
        <v>375.58</v>
      </c>
      <c r="BR58">
        <v>676.88</v>
      </c>
      <c r="BS58">
        <v>65.17</v>
      </c>
      <c r="BT58">
        <v>893.45</v>
      </c>
      <c r="BU58">
        <v>1045.21</v>
      </c>
      <c r="BV58">
        <v>124.31</v>
      </c>
      <c r="BW58">
        <v>845.77</v>
      </c>
      <c r="BX58">
        <v>273.74</v>
      </c>
      <c r="BY58">
        <v>139.01</v>
      </c>
      <c r="BZ58">
        <v>189.08</v>
      </c>
      <c r="CA58">
        <v>0.41</v>
      </c>
      <c r="CB58">
        <v>41.35</v>
      </c>
      <c r="CC58">
        <v>742.99</v>
      </c>
      <c r="CD58">
        <v>579.85</v>
      </c>
      <c r="CE58">
        <v>104.1</v>
      </c>
      <c r="CF58">
        <v>27.88</v>
      </c>
      <c r="CG58">
        <v>106.66</v>
      </c>
      <c r="CH58">
        <v>92.52</v>
      </c>
      <c r="CI58">
        <v>67.84</v>
      </c>
      <c r="CJ58">
        <v>-0.17</v>
      </c>
      <c r="CK58">
        <v>54.98</v>
      </c>
      <c r="CL58">
        <v>192.84</v>
      </c>
      <c r="CM58">
        <v>138.96</v>
      </c>
      <c r="CN58">
        <v>63.3</v>
      </c>
      <c r="CO58">
        <v>788420</v>
      </c>
      <c r="CP58">
        <v>14733</v>
      </c>
      <c r="CQ58" t="s">
        <v>549</v>
      </c>
      <c r="CR58">
        <v>461.55</v>
      </c>
      <c r="CS58">
        <v>153.29</v>
      </c>
      <c r="CT58">
        <v>2.59</v>
      </c>
      <c r="CU58">
        <v>6.95</v>
      </c>
      <c r="CV58">
        <v>1.3</v>
      </c>
      <c r="CW58">
        <v>1.64</v>
      </c>
      <c r="CX58" t="s">
        <v>550</v>
      </c>
      <c r="CY58">
        <v>2.66</v>
      </c>
      <c r="CZ58">
        <v>2.66</v>
      </c>
      <c r="DA58">
        <v>0.28999999999999998</v>
      </c>
      <c r="DB58">
        <v>1.37</v>
      </c>
      <c r="DC58">
        <v>0.99</v>
      </c>
      <c r="DD58">
        <v>12.43</v>
      </c>
      <c r="DE58" t="s">
        <v>551</v>
      </c>
      <c r="DF58">
        <v>21.96</v>
      </c>
      <c r="DG58">
        <v>14.01</v>
      </c>
      <c r="DH58">
        <v>9.1300000000000008</v>
      </c>
      <c r="DI58">
        <v>34.28</v>
      </c>
      <c r="DJ58">
        <v>48471</v>
      </c>
      <c r="DK58">
        <v>100</v>
      </c>
      <c r="DL58" t="s">
        <v>120</v>
      </c>
      <c r="DM58" t="s">
        <v>120</v>
      </c>
      <c r="DN58" t="s">
        <v>120</v>
      </c>
    </row>
    <row r="59" spans="1:118">
      <c r="A59" t="str">
        <f>"000150"</f>
        <v>000150</v>
      </c>
      <c r="B59" t="s">
        <v>552</v>
      </c>
      <c r="C59">
        <v>-1.3</v>
      </c>
      <c r="D59">
        <v>-0.32</v>
      </c>
      <c r="E59">
        <v>-0.65</v>
      </c>
      <c r="F59">
        <v>2760</v>
      </c>
      <c r="G59" t="s">
        <v>553</v>
      </c>
      <c r="H59">
        <v>6011.3</v>
      </c>
      <c r="I59">
        <v>32.54</v>
      </c>
      <c r="J59" t="s">
        <v>120</v>
      </c>
      <c r="K59" t="s">
        <v>554</v>
      </c>
      <c r="L59">
        <v>2.4300000000000002</v>
      </c>
      <c r="M59">
        <v>3.03</v>
      </c>
      <c r="N59">
        <v>0.89</v>
      </c>
      <c r="O59">
        <v>1.63</v>
      </c>
      <c r="P59">
        <v>3.12</v>
      </c>
      <c r="Q59">
        <v>-1.3</v>
      </c>
      <c r="R59">
        <v>3.03</v>
      </c>
      <c r="S59">
        <v>3.05</v>
      </c>
      <c r="T59">
        <v>196152</v>
      </c>
      <c r="U59">
        <v>3.04</v>
      </c>
      <c r="V59">
        <v>3.07</v>
      </c>
      <c r="W59" t="s">
        <v>120</v>
      </c>
      <c r="X59" t="s">
        <v>555</v>
      </c>
      <c r="Y59" t="s">
        <v>547</v>
      </c>
      <c r="Z59">
        <v>2.93</v>
      </c>
      <c r="AA59">
        <v>3.06</v>
      </c>
      <c r="AB59">
        <v>96788</v>
      </c>
      <c r="AC59">
        <v>99364</v>
      </c>
      <c r="AD59">
        <v>0.97</v>
      </c>
      <c r="AE59">
        <v>6681</v>
      </c>
      <c r="AF59">
        <v>1397</v>
      </c>
      <c r="AG59" t="s">
        <v>120</v>
      </c>
      <c r="AH59">
        <v>0.02</v>
      </c>
      <c r="AI59" t="s">
        <v>120</v>
      </c>
      <c r="AJ59">
        <v>8.06</v>
      </c>
      <c r="AK59" t="s">
        <v>556</v>
      </c>
      <c r="AL59">
        <v>0.61</v>
      </c>
      <c r="AM59">
        <v>2258</v>
      </c>
      <c r="AN59">
        <v>87</v>
      </c>
      <c r="AO59">
        <v>1.1000000000000001E-3</v>
      </c>
      <c r="AP59">
        <v>-3</v>
      </c>
      <c r="AQ59">
        <v>-1.92</v>
      </c>
      <c r="AR59">
        <v>-3.81</v>
      </c>
      <c r="AS59">
        <v>-10.09</v>
      </c>
      <c r="AT59">
        <v>-34.130000000000003</v>
      </c>
      <c r="AU59">
        <v>2.37</v>
      </c>
      <c r="AV59">
        <v>18</v>
      </c>
      <c r="AW59">
        <v>4.4400000000000004</v>
      </c>
      <c r="AX59">
        <v>50.32</v>
      </c>
      <c r="AY59" t="s">
        <v>120</v>
      </c>
      <c r="AZ59" t="s">
        <v>120</v>
      </c>
      <c r="BA59">
        <v>0.78</v>
      </c>
      <c r="BB59" t="s">
        <v>134</v>
      </c>
      <c r="BF59">
        <v>-0.18</v>
      </c>
      <c r="BG59">
        <v>-0.66</v>
      </c>
      <c r="BH59">
        <v>-2.88</v>
      </c>
      <c r="BI59">
        <v>0</v>
      </c>
      <c r="BJ59">
        <v>20210826</v>
      </c>
      <c r="BK59">
        <v>20000807</v>
      </c>
      <c r="BL59">
        <v>8.7799999999999994</v>
      </c>
      <c r="BM59" t="s">
        <v>120</v>
      </c>
      <c r="BN59" t="s">
        <v>120</v>
      </c>
      <c r="BO59">
        <v>46.66</v>
      </c>
      <c r="BP59">
        <v>3.03</v>
      </c>
      <c r="BQ59">
        <v>-0.38</v>
      </c>
      <c r="BR59">
        <v>1.31</v>
      </c>
      <c r="BS59">
        <v>98.01</v>
      </c>
      <c r="BT59">
        <v>20.350000000000001</v>
      </c>
      <c r="BU59">
        <v>6.17</v>
      </c>
      <c r="BV59">
        <v>3.18</v>
      </c>
      <c r="BW59">
        <v>39.85</v>
      </c>
      <c r="BX59">
        <v>0.91</v>
      </c>
      <c r="BY59">
        <v>0.15</v>
      </c>
      <c r="BZ59">
        <v>4.9000000000000004</v>
      </c>
      <c r="CA59">
        <v>0.48</v>
      </c>
      <c r="CB59">
        <v>3.22</v>
      </c>
      <c r="CC59">
        <v>6.92</v>
      </c>
      <c r="CD59">
        <v>5.89</v>
      </c>
      <c r="CE59">
        <v>-1.39</v>
      </c>
      <c r="CF59">
        <v>0.19</v>
      </c>
      <c r="CG59">
        <v>-1.62</v>
      </c>
      <c r="CH59">
        <v>-1.7</v>
      </c>
      <c r="CI59">
        <v>-1.74</v>
      </c>
      <c r="CJ59">
        <v>-0.04</v>
      </c>
      <c r="CK59">
        <v>-1.62</v>
      </c>
      <c r="CL59">
        <v>-13.36</v>
      </c>
      <c r="CM59">
        <v>0.21</v>
      </c>
      <c r="CN59">
        <v>-0.48</v>
      </c>
      <c r="CO59">
        <v>86364</v>
      </c>
      <c r="CP59">
        <v>5114</v>
      </c>
      <c r="CQ59" t="s">
        <v>557</v>
      </c>
      <c r="CR59">
        <v>-19.87</v>
      </c>
      <c r="CS59">
        <v>-12.2</v>
      </c>
      <c r="CT59">
        <v>-70.540000000000006</v>
      </c>
      <c r="CU59">
        <v>128.34</v>
      </c>
      <c r="CV59">
        <v>3.84</v>
      </c>
      <c r="CW59">
        <v>0</v>
      </c>
      <c r="CX59" t="s">
        <v>558</v>
      </c>
      <c r="CY59">
        <v>-0.04</v>
      </c>
      <c r="CZ59">
        <v>0</v>
      </c>
      <c r="DA59">
        <v>0.37</v>
      </c>
      <c r="DB59">
        <v>-1.52</v>
      </c>
      <c r="DC59">
        <v>0.02</v>
      </c>
      <c r="DD59">
        <v>-0.81</v>
      </c>
      <c r="DE59" t="s">
        <v>120</v>
      </c>
      <c r="DF59">
        <v>14.9</v>
      </c>
      <c r="DG59">
        <v>-20.12</v>
      </c>
      <c r="DH59">
        <v>-25.19</v>
      </c>
      <c r="DI59" t="s">
        <v>120</v>
      </c>
      <c r="DJ59">
        <v>8414</v>
      </c>
      <c r="DK59">
        <v>150</v>
      </c>
      <c r="DL59" t="s">
        <v>120</v>
      </c>
      <c r="DM59" t="s">
        <v>120</v>
      </c>
      <c r="DN59" t="s">
        <v>120</v>
      </c>
    </row>
    <row r="60" spans="1:118">
      <c r="A60" t="str">
        <f>"000151"</f>
        <v>000151</v>
      </c>
      <c r="B60" t="s">
        <v>559</v>
      </c>
      <c r="C60">
        <v>-2.66</v>
      </c>
      <c r="D60">
        <v>-0.34</v>
      </c>
      <c r="E60">
        <v>0</v>
      </c>
      <c r="F60">
        <v>581</v>
      </c>
      <c r="G60" t="s">
        <v>560</v>
      </c>
      <c r="H60">
        <v>4180.53</v>
      </c>
      <c r="I60">
        <v>21.74</v>
      </c>
      <c r="J60" t="s">
        <v>120</v>
      </c>
      <c r="K60" t="s">
        <v>561</v>
      </c>
      <c r="L60">
        <v>1.83</v>
      </c>
      <c r="M60">
        <v>8.43</v>
      </c>
      <c r="N60">
        <v>0.78</v>
      </c>
      <c r="O60">
        <v>1.62</v>
      </c>
      <c r="P60">
        <v>8.8000000000000007</v>
      </c>
      <c r="Q60">
        <v>-2.77</v>
      </c>
      <c r="R60">
        <v>8.42</v>
      </c>
      <c r="S60">
        <v>8.66</v>
      </c>
      <c r="T60">
        <v>48799</v>
      </c>
      <c r="U60">
        <v>8.4600000000000009</v>
      </c>
      <c r="V60">
        <v>8.66</v>
      </c>
      <c r="W60" t="s">
        <v>120</v>
      </c>
      <c r="X60" t="s">
        <v>562</v>
      </c>
      <c r="Y60" t="s">
        <v>158</v>
      </c>
      <c r="Z60">
        <v>4.3899999999999997</v>
      </c>
      <c r="AA60">
        <v>8.57</v>
      </c>
      <c r="AB60">
        <v>27995</v>
      </c>
      <c r="AC60">
        <v>20804</v>
      </c>
      <c r="AD60">
        <v>1.35</v>
      </c>
      <c r="AE60">
        <v>395</v>
      </c>
      <c r="AF60">
        <v>152</v>
      </c>
      <c r="AG60" t="s">
        <v>120</v>
      </c>
      <c r="AH60">
        <v>0.02</v>
      </c>
      <c r="AI60" t="s">
        <v>120</v>
      </c>
      <c r="AJ60">
        <v>2.67</v>
      </c>
      <c r="AK60" t="s">
        <v>563</v>
      </c>
      <c r="AL60">
        <v>-0.74</v>
      </c>
      <c r="AM60">
        <v>1552</v>
      </c>
      <c r="AN60">
        <v>31</v>
      </c>
      <c r="AO60">
        <v>1.1999999999999999E-3</v>
      </c>
      <c r="AP60">
        <v>-1</v>
      </c>
      <c r="AQ60">
        <v>0.46</v>
      </c>
      <c r="AR60">
        <v>-3.22</v>
      </c>
      <c r="AS60">
        <v>7.66</v>
      </c>
      <c r="AT60">
        <v>15.64</v>
      </c>
      <c r="AU60">
        <v>3.69</v>
      </c>
      <c r="AV60">
        <v>4</v>
      </c>
      <c r="AW60">
        <v>3.04</v>
      </c>
      <c r="AX60">
        <v>47.55</v>
      </c>
      <c r="AY60" t="s">
        <v>120</v>
      </c>
      <c r="AZ60" t="s">
        <v>120</v>
      </c>
      <c r="BA60">
        <v>0.41</v>
      </c>
      <c r="BB60" t="s">
        <v>184</v>
      </c>
      <c r="BF60">
        <v>-1.08</v>
      </c>
      <c r="BG60">
        <v>-2.66</v>
      </c>
      <c r="BH60">
        <v>-4.2</v>
      </c>
      <c r="BI60">
        <v>0.12</v>
      </c>
      <c r="BJ60">
        <v>20210907</v>
      </c>
      <c r="BK60">
        <v>20000906</v>
      </c>
      <c r="BL60">
        <v>3.37</v>
      </c>
      <c r="BM60" t="s">
        <v>120</v>
      </c>
      <c r="BN60" t="s">
        <v>120</v>
      </c>
      <c r="BO60">
        <v>19.11</v>
      </c>
      <c r="BP60">
        <v>8.43</v>
      </c>
      <c r="BQ60">
        <v>8.4600000000000009</v>
      </c>
      <c r="BR60" t="s">
        <v>120</v>
      </c>
      <c r="BS60">
        <v>55.7</v>
      </c>
      <c r="BT60">
        <v>14.26</v>
      </c>
      <c r="BU60">
        <v>0.49</v>
      </c>
      <c r="BV60">
        <v>0.19</v>
      </c>
      <c r="BW60">
        <v>10.17</v>
      </c>
      <c r="BX60">
        <v>4.8099999999999996</v>
      </c>
      <c r="BY60">
        <v>3.13</v>
      </c>
      <c r="BZ60">
        <v>0.18</v>
      </c>
      <c r="CA60" t="s">
        <v>120</v>
      </c>
      <c r="CB60">
        <v>6.44</v>
      </c>
      <c r="CC60">
        <v>1.83</v>
      </c>
      <c r="CD60">
        <v>1.52</v>
      </c>
      <c r="CE60">
        <v>-0.37</v>
      </c>
      <c r="CF60">
        <v>0</v>
      </c>
      <c r="CG60">
        <v>-0.37</v>
      </c>
      <c r="CH60">
        <v>-0.4</v>
      </c>
      <c r="CI60">
        <v>-0.4</v>
      </c>
      <c r="CJ60">
        <v>-0.23</v>
      </c>
      <c r="CK60">
        <v>-0.56000000000000005</v>
      </c>
      <c r="CL60">
        <v>-3.02</v>
      </c>
      <c r="CM60">
        <v>-1.55</v>
      </c>
      <c r="CN60">
        <v>0.12</v>
      </c>
      <c r="CO60">
        <v>27314</v>
      </c>
      <c r="CP60">
        <v>5873</v>
      </c>
      <c r="CQ60" t="s">
        <v>564</v>
      </c>
      <c r="CR60">
        <v>-577.13</v>
      </c>
      <c r="CS60">
        <v>-53.29</v>
      </c>
      <c r="CT60">
        <v>3.36</v>
      </c>
      <c r="CU60">
        <v>-18.399999999999999</v>
      </c>
      <c r="CV60">
        <v>15.54</v>
      </c>
      <c r="CW60">
        <v>0</v>
      </c>
      <c r="CX60" t="s">
        <v>359</v>
      </c>
      <c r="CY60">
        <v>2.5099999999999998</v>
      </c>
      <c r="CZ60">
        <v>0</v>
      </c>
      <c r="DA60">
        <v>1.91</v>
      </c>
      <c r="DB60">
        <v>-0.89</v>
      </c>
      <c r="DC60">
        <v>-0.46</v>
      </c>
      <c r="DD60">
        <v>44.3</v>
      </c>
      <c r="DE60" t="s">
        <v>565</v>
      </c>
      <c r="DF60">
        <v>17.14</v>
      </c>
      <c r="DG60">
        <v>-20.46</v>
      </c>
      <c r="DH60">
        <v>-21.7</v>
      </c>
      <c r="DI60">
        <v>0</v>
      </c>
      <c r="DJ60">
        <v>327</v>
      </c>
      <c r="DK60">
        <v>151</v>
      </c>
      <c r="DL60">
        <v>20210901</v>
      </c>
      <c r="DM60">
        <v>8.23</v>
      </c>
      <c r="DN60">
        <v>2.4300000000000002</v>
      </c>
    </row>
    <row r="61" spans="1:118">
      <c r="A61" t="str">
        <f>"000153"</f>
        <v>000153</v>
      </c>
      <c r="B61" t="s">
        <v>566</v>
      </c>
      <c r="C61">
        <v>-1.77</v>
      </c>
      <c r="D61">
        <v>-0.08</v>
      </c>
      <c r="E61">
        <v>-0.27</v>
      </c>
      <c r="F61">
        <v>832</v>
      </c>
      <c r="G61" t="s">
        <v>567</v>
      </c>
      <c r="H61">
        <v>15461.22</v>
      </c>
      <c r="I61">
        <v>585.38</v>
      </c>
      <c r="J61" t="s">
        <v>120</v>
      </c>
      <c r="K61" t="s">
        <v>568</v>
      </c>
      <c r="L61">
        <v>4.42</v>
      </c>
      <c r="M61">
        <v>11.07</v>
      </c>
      <c r="N61">
        <v>0.76</v>
      </c>
      <c r="O61">
        <v>2.75</v>
      </c>
      <c r="P61">
        <v>11.58</v>
      </c>
      <c r="Q61">
        <v>-2.75</v>
      </c>
      <c r="R61">
        <v>10.96</v>
      </c>
      <c r="S61">
        <v>11.24</v>
      </c>
      <c r="T61">
        <v>137989</v>
      </c>
      <c r="U61">
        <v>11.08</v>
      </c>
      <c r="V61">
        <v>11.27</v>
      </c>
      <c r="W61">
        <v>27.17</v>
      </c>
      <c r="X61" t="s">
        <v>569</v>
      </c>
      <c r="Y61" t="s">
        <v>570</v>
      </c>
      <c r="Z61">
        <v>5.5</v>
      </c>
      <c r="AA61">
        <v>11.2</v>
      </c>
      <c r="AB61">
        <v>72903</v>
      </c>
      <c r="AC61">
        <v>65086</v>
      </c>
      <c r="AD61">
        <v>1.1200000000000001</v>
      </c>
      <c r="AE61">
        <v>112</v>
      </c>
      <c r="AF61">
        <v>768</v>
      </c>
      <c r="AG61" t="s">
        <v>120</v>
      </c>
      <c r="AH61">
        <v>0.24</v>
      </c>
      <c r="AI61" t="s">
        <v>120</v>
      </c>
      <c r="AJ61">
        <v>3.12</v>
      </c>
      <c r="AK61" t="s">
        <v>571</v>
      </c>
      <c r="AL61">
        <v>0.14000000000000001</v>
      </c>
      <c r="AM61">
        <v>3017</v>
      </c>
      <c r="AN61">
        <v>46</v>
      </c>
      <c r="AO61">
        <v>1.5E-3</v>
      </c>
      <c r="AP61">
        <v>-4</v>
      </c>
      <c r="AQ61">
        <v>-2.68</v>
      </c>
      <c r="AR61">
        <v>-5.54</v>
      </c>
      <c r="AS61">
        <v>18.649999999999999</v>
      </c>
      <c r="AT61">
        <v>18.899999999999999</v>
      </c>
      <c r="AU61">
        <v>25.8</v>
      </c>
      <c r="AV61">
        <v>4</v>
      </c>
      <c r="AW61">
        <v>6.36</v>
      </c>
      <c r="AX61">
        <v>69.52</v>
      </c>
      <c r="AY61">
        <v>32.11</v>
      </c>
      <c r="AZ61">
        <v>33.92</v>
      </c>
      <c r="BA61">
        <v>1</v>
      </c>
      <c r="BB61" t="s">
        <v>143</v>
      </c>
      <c r="BF61">
        <v>-0.57999999999999996</v>
      </c>
      <c r="BG61">
        <v>-1.51</v>
      </c>
      <c r="BH61">
        <v>-4.4000000000000004</v>
      </c>
      <c r="BI61">
        <v>1</v>
      </c>
      <c r="BJ61">
        <v>20210826</v>
      </c>
      <c r="BK61">
        <v>20000920</v>
      </c>
      <c r="BL61">
        <v>3.12</v>
      </c>
      <c r="BM61" t="s">
        <v>120</v>
      </c>
      <c r="BN61" t="s">
        <v>120</v>
      </c>
      <c r="BO61">
        <v>38</v>
      </c>
      <c r="BP61">
        <v>11.07</v>
      </c>
      <c r="BQ61">
        <v>14.77</v>
      </c>
      <c r="BR61">
        <v>0.32</v>
      </c>
      <c r="BS61">
        <v>60.29</v>
      </c>
      <c r="BT61">
        <v>17.920000000000002</v>
      </c>
      <c r="BU61">
        <v>6.52</v>
      </c>
      <c r="BV61">
        <v>1.54</v>
      </c>
      <c r="BW61">
        <v>19.309999999999999</v>
      </c>
      <c r="BX61">
        <v>3</v>
      </c>
      <c r="BY61">
        <v>5.31</v>
      </c>
      <c r="BZ61">
        <v>7.43</v>
      </c>
      <c r="CA61">
        <v>0</v>
      </c>
      <c r="CB61">
        <v>4.96</v>
      </c>
      <c r="CC61">
        <v>17.43</v>
      </c>
      <c r="CD61">
        <v>11.9</v>
      </c>
      <c r="CE61">
        <v>0.88</v>
      </c>
      <c r="CF61">
        <v>0.02</v>
      </c>
      <c r="CG61">
        <v>0.9</v>
      </c>
      <c r="CH61">
        <v>0.62</v>
      </c>
      <c r="CI61">
        <v>0.64</v>
      </c>
      <c r="CJ61">
        <v>-0.2</v>
      </c>
      <c r="CK61">
        <v>0.44</v>
      </c>
      <c r="CL61">
        <v>5.82</v>
      </c>
      <c r="CM61">
        <v>0.76</v>
      </c>
      <c r="CN61">
        <v>0.27</v>
      </c>
      <c r="CO61">
        <v>37526</v>
      </c>
      <c r="CP61">
        <v>5783</v>
      </c>
      <c r="CQ61" t="s">
        <v>572</v>
      </c>
      <c r="CR61">
        <v>10.1</v>
      </c>
      <c r="CS61">
        <v>10.5</v>
      </c>
      <c r="CT61">
        <v>2.34</v>
      </c>
      <c r="CU61">
        <v>45.36</v>
      </c>
      <c r="CV61">
        <v>1.98</v>
      </c>
      <c r="CW61">
        <v>0</v>
      </c>
      <c r="CX61" t="s">
        <v>573</v>
      </c>
      <c r="CY61">
        <v>4.7300000000000004</v>
      </c>
      <c r="CZ61">
        <v>0</v>
      </c>
      <c r="DA61">
        <v>1.59</v>
      </c>
      <c r="DB61">
        <v>1.87</v>
      </c>
      <c r="DC61">
        <v>0.24</v>
      </c>
      <c r="DD61">
        <v>38.869999999999997</v>
      </c>
      <c r="DE61" t="s">
        <v>574</v>
      </c>
      <c r="DF61">
        <v>31.73</v>
      </c>
      <c r="DG61">
        <v>5.07</v>
      </c>
      <c r="DH61">
        <v>3.65</v>
      </c>
      <c r="DI61">
        <v>0.37</v>
      </c>
      <c r="DJ61">
        <v>4556</v>
      </c>
      <c r="DK61">
        <v>153</v>
      </c>
      <c r="DL61" t="s">
        <v>120</v>
      </c>
      <c r="DM61" t="s">
        <v>120</v>
      </c>
      <c r="DN61" t="s">
        <v>120</v>
      </c>
    </row>
    <row r="62" spans="1:118">
      <c r="A62" t="str">
        <f>"000155"</f>
        <v>000155</v>
      </c>
      <c r="B62" t="s">
        <v>575</v>
      </c>
      <c r="C62">
        <v>-6.37</v>
      </c>
      <c r="D62">
        <v>0.98</v>
      </c>
      <c r="E62">
        <v>-2.59</v>
      </c>
      <c r="F62">
        <v>20887</v>
      </c>
      <c r="G62" t="s">
        <v>576</v>
      </c>
      <c r="H62">
        <v>338099.58</v>
      </c>
      <c r="I62">
        <v>2063.87</v>
      </c>
      <c r="J62" t="s">
        <v>120</v>
      </c>
      <c r="K62" t="s">
        <v>577</v>
      </c>
      <c r="L62">
        <v>7.78</v>
      </c>
      <c r="M62">
        <v>33.94</v>
      </c>
      <c r="N62">
        <v>0.98</v>
      </c>
      <c r="O62">
        <v>-0.99</v>
      </c>
      <c r="P62">
        <v>35.89</v>
      </c>
      <c r="Q62">
        <v>-9.77</v>
      </c>
      <c r="R62">
        <v>32.71</v>
      </c>
      <c r="S62">
        <v>35.31</v>
      </c>
      <c r="T62">
        <v>988016</v>
      </c>
      <c r="U62">
        <v>33.950000000000003</v>
      </c>
      <c r="V62">
        <v>36.25</v>
      </c>
      <c r="W62">
        <v>96</v>
      </c>
      <c r="X62" t="s">
        <v>356</v>
      </c>
      <c r="Y62" t="s">
        <v>578</v>
      </c>
      <c r="Z62">
        <v>8.77</v>
      </c>
      <c r="AA62">
        <v>34.22</v>
      </c>
      <c r="AB62">
        <v>526076</v>
      </c>
      <c r="AC62">
        <v>461940</v>
      </c>
      <c r="AD62">
        <v>1.1399999999999999</v>
      </c>
      <c r="AE62">
        <v>1386</v>
      </c>
      <c r="AF62">
        <v>60</v>
      </c>
      <c r="AG62" t="s">
        <v>120</v>
      </c>
      <c r="AH62">
        <v>0.08</v>
      </c>
      <c r="AI62" t="s">
        <v>120</v>
      </c>
      <c r="AJ62">
        <v>12.7</v>
      </c>
      <c r="AK62" t="s">
        <v>577</v>
      </c>
      <c r="AL62">
        <v>-4.46</v>
      </c>
      <c r="AM62">
        <v>4722</v>
      </c>
      <c r="AN62">
        <v>209</v>
      </c>
      <c r="AO62">
        <v>1.6000000000000001E-3</v>
      </c>
      <c r="AP62">
        <v>-1</v>
      </c>
      <c r="AQ62">
        <v>0.69</v>
      </c>
      <c r="AR62">
        <v>-9.2799999999999994</v>
      </c>
      <c r="AS62">
        <v>31.14</v>
      </c>
      <c r="AT62">
        <v>157.91</v>
      </c>
      <c r="AU62">
        <v>308.92</v>
      </c>
      <c r="AV62">
        <v>17</v>
      </c>
      <c r="AW62">
        <v>13.75</v>
      </c>
      <c r="AX62">
        <v>56.56</v>
      </c>
      <c r="AY62">
        <v>241.83</v>
      </c>
      <c r="AZ62">
        <v>300.33</v>
      </c>
      <c r="BA62">
        <v>1.1200000000000001</v>
      </c>
      <c r="BB62" t="s">
        <v>143</v>
      </c>
      <c r="BF62">
        <v>-5.6</v>
      </c>
      <c r="BG62">
        <v>-3.88</v>
      </c>
      <c r="BH62">
        <v>-5.43</v>
      </c>
      <c r="BI62">
        <v>3.76</v>
      </c>
      <c r="BJ62">
        <v>20210826</v>
      </c>
      <c r="BK62">
        <v>20000926</v>
      </c>
      <c r="BL62">
        <v>12.7</v>
      </c>
      <c r="BM62" t="s">
        <v>120</v>
      </c>
      <c r="BN62" t="s">
        <v>120</v>
      </c>
      <c r="BO62">
        <v>112.71</v>
      </c>
      <c r="BP62">
        <v>33.94</v>
      </c>
      <c r="BQ62">
        <v>37.61</v>
      </c>
      <c r="BR62">
        <v>18.39</v>
      </c>
      <c r="BS62">
        <v>50.32</v>
      </c>
      <c r="BT62">
        <v>39.44</v>
      </c>
      <c r="BU62">
        <v>47.89</v>
      </c>
      <c r="BV62">
        <v>13.01</v>
      </c>
      <c r="BW62">
        <v>13.09</v>
      </c>
      <c r="BX62">
        <v>13.7</v>
      </c>
      <c r="BY62">
        <v>0.06</v>
      </c>
      <c r="BZ62">
        <v>16.82</v>
      </c>
      <c r="CA62" t="s">
        <v>120</v>
      </c>
      <c r="CB62">
        <v>31.78</v>
      </c>
      <c r="CC62">
        <v>20.440000000000001</v>
      </c>
      <c r="CD62">
        <v>14.89</v>
      </c>
      <c r="CE62">
        <v>4.08</v>
      </c>
      <c r="CF62">
        <v>0.12</v>
      </c>
      <c r="CG62">
        <v>4.08</v>
      </c>
      <c r="CH62">
        <v>3.84</v>
      </c>
      <c r="CI62">
        <v>2.25</v>
      </c>
      <c r="CJ62">
        <v>-2.31</v>
      </c>
      <c r="CK62">
        <v>2.17</v>
      </c>
      <c r="CL62">
        <v>-8.8800000000000008</v>
      </c>
      <c r="CM62">
        <v>5.28</v>
      </c>
      <c r="CN62">
        <v>4.5999999999999996</v>
      </c>
      <c r="CO62">
        <v>109600</v>
      </c>
      <c r="CP62">
        <v>6554</v>
      </c>
      <c r="CQ62" t="s">
        <v>579</v>
      </c>
      <c r="CR62">
        <v>19.78</v>
      </c>
      <c r="CS62">
        <v>107.15</v>
      </c>
      <c r="CT62">
        <v>11.46</v>
      </c>
      <c r="CU62">
        <v>81.62</v>
      </c>
      <c r="CV62">
        <v>21.09</v>
      </c>
      <c r="CW62">
        <v>0</v>
      </c>
      <c r="CX62" t="s">
        <v>242</v>
      </c>
      <c r="CY62">
        <v>2.96</v>
      </c>
      <c r="CZ62">
        <v>0</v>
      </c>
      <c r="DA62">
        <v>2.5</v>
      </c>
      <c r="DB62">
        <v>-0.7</v>
      </c>
      <c r="DC62">
        <v>0.42</v>
      </c>
      <c r="DD62">
        <v>33.36</v>
      </c>
      <c r="DE62" t="s">
        <v>580</v>
      </c>
      <c r="DF62">
        <v>27.16</v>
      </c>
      <c r="DG62">
        <v>19.97</v>
      </c>
      <c r="DH62">
        <v>10.98</v>
      </c>
      <c r="DI62">
        <v>0</v>
      </c>
      <c r="DJ62">
        <v>251</v>
      </c>
      <c r="DK62">
        <v>155</v>
      </c>
      <c r="DL62">
        <v>20210712</v>
      </c>
      <c r="DM62">
        <v>17.52</v>
      </c>
      <c r="DN62">
        <v>93.72</v>
      </c>
    </row>
    <row r="63" spans="1:118">
      <c r="A63" t="str">
        <f>"000156"</f>
        <v>000156</v>
      </c>
      <c r="B63" t="s">
        <v>581</v>
      </c>
      <c r="C63">
        <v>2.31</v>
      </c>
      <c r="D63">
        <v>0.13</v>
      </c>
      <c r="E63">
        <v>1.03</v>
      </c>
      <c r="F63">
        <v>760</v>
      </c>
      <c r="G63" t="s">
        <v>582</v>
      </c>
      <c r="H63">
        <v>13011.71</v>
      </c>
      <c r="I63">
        <v>96.36</v>
      </c>
      <c r="J63" t="s">
        <v>120</v>
      </c>
      <c r="K63" t="s">
        <v>583</v>
      </c>
      <c r="L63">
        <v>1.27</v>
      </c>
      <c r="M63">
        <v>7.96</v>
      </c>
      <c r="N63">
        <v>1.54</v>
      </c>
      <c r="O63">
        <v>3.98</v>
      </c>
      <c r="P63">
        <v>8.09</v>
      </c>
      <c r="Q63">
        <v>0.77</v>
      </c>
      <c r="R63">
        <v>7.84</v>
      </c>
      <c r="S63">
        <v>7.86</v>
      </c>
      <c r="T63">
        <v>162626</v>
      </c>
      <c r="U63">
        <v>7.96</v>
      </c>
      <c r="V63">
        <v>7.78</v>
      </c>
      <c r="W63">
        <v>17.149999999999999</v>
      </c>
      <c r="X63" t="s">
        <v>584</v>
      </c>
      <c r="Y63" t="s">
        <v>585</v>
      </c>
      <c r="Z63">
        <v>3.21</v>
      </c>
      <c r="AA63">
        <v>8</v>
      </c>
      <c r="AB63">
        <v>76659</v>
      </c>
      <c r="AC63">
        <v>85967</v>
      </c>
      <c r="AD63">
        <v>0.89</v>
      </c>
      <c r="AE63">
        <v>134</v>
      </c>
      <c r="AF63">
        <v>572</v>
      </c>
      <c r="AG63" t="s">
        <v>120</v>
      </c>
      <c r="AH63">
        <v>0.02</v>
      </c>
      <c r="AI63" t="s">
        <v>120</v>
      </c>
      <c r="AJ63">
        <v>12.8</v>
      </c>
      <c r="AK63" t="s">
        <v>586</v>
      </c>
      <c r="AL63">
        <v>4.2300000000000004</v>
      </c>
      <c r="AM63">
        <v>2787</v>
      </c>
      <c r="AN63">
        <v>58</v>
      </c>
      <c r="AO63">
        <v>5.0000000000000001E-4</v>
      </c>
      <c r="AP63">
        <v>2</v>
      </c>
      <c r="AQ63">
        <v>0.65</v>
      </c>
      <c r="AR63">
        <v>0.76</v>
      </c>
      <c r="AS63">
        <v>13.23</v>
      </c>
      <c r="AT63">
        <v>6</v>
      </c>
      <c r="AU63">
        <v>-5.12</v>
      </c>
      <c r="AV63">
        <v>0</v>
      </c>
      <c r="AW63">
        <v>2.97</v>
      </c>
      <c r="AX63">
        <v>29.51</v>
      </c>
      <c r="AY63">
        <v>15.86</v>
      </c>
      <c r="AZ63">
        <v>17.09</v>
      </c>
      <c r="BA63">
        <v>0.22</v>
      </c>
      <c r="BB63" t="s">
        <v>143</v>
      </c>
      <c r="BF63">
        <v>2.84</v>
      </c>
      <c r="BG63">
        <v>1.27</v>
      </c>
      <c r="BH63">
        <v>-1.61</v>
      </c>
      <c r="BI63">
        <v>1.53</v>
      </c>
      <c r="BJ63">
        <v>20210830</v>
      </c>
      <c r="BK63">
        <v>20000906</v>
      </c>
      <c r="BL63">
        <v>18.53</v>
      </c>
      <c r="BM63" t="s">
        <v>120</v>
      </c>
      <c r="BN63" t="s">
        <v>120</v>
      </c>
      <c r="BO63">
        <v>237.15</v>
      </c>
      <c r="BP63">
        <v>7.95</v>
      </c>
      <c r="BQ63">
        <v>136.55000000000001</v>
      </c>
      <c r="BR63">
        <v>3.54</v>
      </c>
      <c r="BS63">
        <v>40.93</v>
      </c>
      <c r="BT63">
        <v>104.29</v>
      </c>
      <c r="BU63">
        <v>81.73</v>
      </c>
      <c r="BV63">
        <v>5.03</v>
      </c>
      <c r="BW63">
        <v>67</v>
      </c>
      <c r="BX63">
        <v>49.8</v>
      </c>
      <c r="BY63">
        <v>10.9</v>
      </c>
      <c r="BZ63">
        <v>15.11</v>
      </c>
      <c r="CA63" t="s">
        <v>120</v>
      </c>
      <c r="CB63">
        <v>89.4</v>
      </c>
      <c r="CC63">
        <v>36.01</v>
      </c>
      <c r="CD63">
        <v>24.25</v>
      </c>
      <c r="CE63">
        <v>4.25</v>
      </c>
      <c r="CF63">
        <v>0.17</v>
      </c>
      <c r="CG63">
        <v>4.34</v>
      </c>
      <c r="CH63">
        <v>4.37</v>
      </c>
      <c r="CI63">
        <v>4.3</v>
      </c>
      <c r="CJ63">
        <v>0.18</v>
      </c>
      <c r="CK63">
        <v>3.65</v>
      </c>
      <c r="CL63">
        <v>24.03</v>
      </c>
      <c r="CM63">
        <v>3.58</v>
      </c>
      <c r="CN63">
        <v>-13.16</v>
      </c>
      <c r="CO63">
        <v>45141</v>
      </c>
      <c r="CP63">
        <v>12115</v>
      </c>
      <c r="CQ63" t="s">
        <v>587</v>
      </c>
      <c r="CR63">
        <v>17.89</v>
      </c>
      <c r="CS63">
        <v>12.57</v>
      </c>
      <c r="CT63">
        <v>1.08</v>
      </c>
      <c r="CU63">
        <v>41.25</v>
      </c>
      <c r="CV63">
        <v>4.0999999999999996</v>
      </c>
      <c r="CW63">
        <v>2.19</v>
      </c>
      <c r="CX63" t="s">
        <v>588</v>
      </c>
      <c r="CY63">
        <v>7.37</v>
      </c>
      <c r="CZ63">
        <v>0</v>
      </c>
      <c r="DA63">
        <v>4.82</v>
      </c>
      <c r="DB63">
        <v>1.3</v>
      </c>
      <c r="DC63">
        <v>0.19</v>
      </c>
      <c r="DD63">
        <v>57.58</v>
      </c>
      <c r="DE63" t="s">
        <v>589</v>
      </c>
      <c r="DF63">
        <v>32.64</v>
      </c>
      <c r="DG63">
        <v>11.8</v>
      </c>
      <c r="DH63">
        <v>11.94</v>
      </c>
      <c r="DI63">
        <v>1.3</v>
      </c>
      <c r="DJ63">
        <v>12944</v>
      </c>
      <c r="DK63">
        <v>156</v>
      </c>
      <c r="DL63" t="s">
        <v>120</v>
      </c>
      <c r="DM63" t="s">
        <v>120</v>
      </c>
      <c r="DN63" t="s">
        <v>120</v>
      </c>
    </row>
    <row r="64" spans="1:118">
      <c r="A64" t="str">
        <f>"000157"</f>
        <v>000157</v>
      </c>
      <c r="B64" t="s">
        <v>590</v>
      </c>
      <c r="C64">
        <v>1.27</v>
      </c>
      <c r="D64">
        <v>0</v>
      </c>
      <c r="E64">
        <v>-0.46</v>
      </c>
      <c r="F64">
        <v>18700</v>
      </c>
      <c r="G64" t="s">
        <v>591</v>
      </c>
      <c r="H64">
        <v>114534.23</v>
      </c>
      <c r="I64">
        <v>262.27</v>
      </c>
      <c r="J64" t="s">
        <v>120</v>
      </c>
      <c r="K64" t="s">
        <v>592</v>
      </c>
      <c r="L64">
        <v>1.86</v>
      </c>
      <c r="M64">
        <v>8.8000000000000007</v>
      </c>
      <c r="N64">
        <v>0.68</v>
      </c>
      <c r="O64">
        <v>1.84</v>
      </c>
      <c r="P64">
        <v>8.85</v>
      </c>
      <c r="Q64">
        <v>-1.04</v>
      </c>
      <c r="R64">
        <v>8.6</v>
      </c>
      <c r="S64">
        <v>8.65</v>
      </c>
      <c r="T64">
        <v>1314076</v>
      </c>
      <c r="U64">
        <v>8.8000000000000007</v>
      </c>
      <c r="V64">
        <v>8.69</v>
      </c>
      <c r="W64">
        <v>7.87</v>
      </c>
      <c r="X64" t="s">
        <v>593</v>
      </c>
      <c r="Y64" t="s">
        <v>594</v>
      </c>
      <c r="Z64">
        <v>2.88</v>
      </c>
      <c r="AA64">
        <v>8.7200000000000006</v>
      </c>
      <c r="AB64">
        <v>644339</v>
      </c>
      <c r="AC64">
        <v>669737</v>
      </c>
      <c r="AD64">
        <v>0.96</v>
      </c>
      <c r="AE64">
        <v>6239</v>
      </c>
      <c r="AF64">
        <v>6868</v>
      </c>
      <c r="AG64" t="s">
        <v>120</v>
      </c>
      <c r="AH64">
        <v>0.01</v>
      </c>
      <c r="AI64" t="s">
        <v>120</v>
      </c>
      <c r="AJ64">
        <v>70.63</v>
      </c>
      <c r="AK64" t="s">
        <v>595</v>
      </c>
      <c r="AL64">
        <v>3.18</v>
      </c>
      <c r="AM64">
        <v>4665</v>
      </c>
      <c r="AN64">
        <v>282</v>
      </c>
      <c r="AO64">
        <v>4.0000000000000002E-4</v>
      </c>
      <c r="AP64">
        <v>1</v>
      </c>
      <c r="AQ64">
        <v>-0.34</v>
      </c>
      <c r="AR64">
        <v>-3.4</v>
      </c>
      <c r="AS64">
        <v>8.7799999999999994</v>
      </c>
      <c r="AT64">
        <v>0.69</v>
      </c>
      <c r="AU64">
        <v>-8.14</v>
      </c>
      <c r="AV64">
        <v>4</v>
      </c>
      <c r="AW64">
        <v>2.56</v>
      </c>
      <c r="AX64">
        <v>72.290000000000006</v>
      </c>
      <c r="AY64">
        <v>9.2899999999999991</v>
      </c>
      <c r="AZ64">
        <v>10.35</v>
      </c>
      <c r="BA64">
        <v>1.07</v>
      </c>
      <c r="BB64" t="s">
        <v>143</v>
      </c>
      <c r="BF64">
        <v>0.3</v>
      </c>
      <c r="BG64">
        <v>1.73</v>
      </c>
      <c r="BH64">
        <v>-0.56000000000000005</v>
      </c>
      <c r="BI64">
        <v>2.33</v>
      </c>
      <c r="BJ64">
        <v>20210913</v>
      </c>
      <c r="BK64">
        <v>20001012</v>
      </c>
      <c r="BL64">
        <v>86.75</v>
      </c>
      <c r="BM64" t="s">
        <v>120</v>
      </c>
      <c r="BN64">
        <v>15.82</v>
      </c>
      <c r="BO64">
        <v>1367.29</v>
      </c>
      <c r="BP64">
        <v>8.7899999999999991</v>
      </c>
      <c r="BQ64">
        <v>553.75</v>
      </c>
      <c r="BR64">
        <v>11.94</v>
      </c>
      <c r="BS64">
        <v>58.63</v>
      </c>
      <c r="BT64">
        <v>1057.99</v>
      </c>
      <c r="BU64">
        <v>63.09</v>
      </c>
      <c r="BV64">
        <v>46.32</v>
      </c>
      <c r="BW64">
        <v>629.96</v>
      </c>
      <c r="BX64">
        <v>170.07</v>
      </c>
      <c r="BY64">
        <v>166.73</v>
      </c>
      <c r="BZ64">
        <v>446.07</v>
      </c>
      <c r="CA64" t="s">
        <v>120</v>
      </c>
      <c r="CB64">
        <v>193.76</v>
      </c>
      <c r="CC64">
        <v>424.49</v>
      </c>
      <c r="CD64">
        <v>318.33999999999997</v>
      </c>
      <c r="CE64">
        <v>57.8</v>
      </c>
      <c r="CF64">
        <v>0.62</v>
      </c>
      <c r="CG64">
        <v>58.3</v>
      </c>
      <c r="CH64">
        <v>49.19</v>
      </c>
      <c r="CI64">
        <v>48.5</v>
      </c>
      <c r="CJ64">
        <v>0.11</v>
      </c>
      <c r="CK64">
        <v>45.42</v>
      </c>
      <c r="CL64">
        <v>246.35</v>
      </c>
      <c r="CM64">
        <v>41.3</v>
      </c>
      <c r="CN64">
        <v>40.200000000000003</v>
      </c>
      <c r="CO64">
        <v>387884</v>
      </c>
      <c r="CP64">
        <v>13219</v>
      </c>
      <c r="CQ64" t="s">
        <v>596</v>
      </c>
      <c r="CR64">
        <v>20.7</v>
      </c>
      <c r="CS64">
        <v>47.25</v>
      </c>
      <c r="CT64">
        <v>1.38</v>
      </c>
      <c r="CU64">
        <v>18.489999999999998</v>
      </c>
      <c r="CV64">
        <v>1.8</v>
      </c>
      <c r="CW64">
        <v>3.68</v>
      </c>
      <c r="CX64" t="s">
        <v>597</v>
      </c>
      <c r="CY64">
        <v>6.38</v>
      </c>
      <c r="CZ64">
        <v>6.38</v>
      </c>
      <c r="DA64">
        <v>2.23</v>
      </c>
      <c r="DB64">
        <v>2.84</v>
      </c>
      <c r="DC64">
        <v>0.48</v>
      </c>
      <c r="DD64">
        <v>40.5</v>
      </c>
      <c r="DE64" t="s">
        <v>598</v>
      </c>
      <c r="DF64">
        <v>25.01</v>
      </c>
      <c r="DG64">
        <v>13.62</v>
      </c>
      <c r="DH64">
        <v>11.43</v>
      </c>
      <c r="DI64">
        <v>20.05</v>
      </c>
      <c r="DJ64">
        <v>23528</v>
      </c>
      <c r="DK64">
        <v>157</v>
      </c>
      <c r="DL64" t="s">
        <v>120</v>
      </c>
      <c r="DM64" t="s">
        <v>120</v>
      </c>
      <c r="DN64" t="s">
        <v>120</v>
      </c>
    </row>
    <row r="65" spans="1:118">
      <c r="A65" t="str">
        <f>"000158"</f>
        <v>000158</v>
      </c>
      <c r="B65" t="s">
        <v>599</v>
      </c>
      <c r="C65">
        <v>-3.68</v>
      </c>
      <c r="D65">
        <v>0.13</v>
      </c>
      <c r="E65">
        <v>-1.1000000000000001</v>
      </c>
      <c r="F65">
        <v>10331</v>
      </c>
      <c r="G65" t="s">
        <v>600</v>
      </c>
      <c r="H65">
        <v>95575.7</v>
      </c>
      <c r="I65">
        <v>2417.42</v>
      </c>
      <c r="J65" t="s">
        <v>120</v>
      </c>
      <c r="K65" t="s">
        <v>601</v>
      </c>
      <c r="L65">
        <v>7.56</v>
      </c>
      <c r="M65">
        <v>7.86</v>
      </c>
      <c r="N65">
        <v>1.37</v>
      </c>
      <c r="O65">
        <v>1.96</v>
      </c>
      <c r="P65">
        <v>8.32</v>
      </c>
      <c r="Q65">
        <v>-4.41</v>
      </c>
      <c r="R65">
        <v>7.8</v>
      </c>
      <c r="S65">
        <v>8.07</v>
      </c>
      <c r="T65">
        <v>1191586</v>
      </c>
      <c r="U65">
        <v>7.86</v>
      </c>
      <c r="V65">
        <v>8.16</v>
      </c>
      <c r="W65" t="s">
        <v>120</v>
      </c>
      <c r="X65" t="s">
        <v>141</v>
      </c>
      <c r="Y65" t="s">
        <v>602</v>
      </c>
      <c r="Z65">
        <v>6.37</v>
      </c>
      <c r="AA65">
        <v>8.02</v>
      </c>
      <c r="AB65">
        <v>640373</v>
      </c>
      <c r="AC65">
        <v>551213</v>
      </c>
      <c r="AD65">
        <v>1.1599999999999999</v>
      </c>
      <c r="AE65">
        <v>4616</v>
      </c>
      <c r="AF65">
        <v>1642</v>
      </c>
      <c r="AG65" t="s">
        <v>120</v>
      </c>
      <c r="AH65">
        <v>0.32</v>
      </c>
      <c r="AI65" t="s">
        <v>120</v>
      </c>
      <c r="AJ65">
        <v>15.77</v>
      </c>
      <c r="AK65" t="s">
        <v>603</v>
      </c>
      <c r="AL65">
        <v>-1.76</v>
      </c>
      <c r="AM65">
        <v>4646</v>
      </c>
      <c r="AN65">
        <v>256</v>
      </c>
      <c r="AO65">
        <v>1.6000000000000001E-3</v>
      </c>
      <c r="AP65">
        <v>-1</v>
      </c>
      <c r="AQ65">
        <v>3.16</v>
      </c>
      <c r="AR65">
        <v>9.31</v>
      </c>
      <c r="AS65">
        <v>4.5199999999999996</v>
      </c>
      <c r="AT65">
        <v>-33.22</v>
      </c>
      <c r="AU65">
        <v>26.77</v>
      </c>
      <c r="AV65">
        <v>9</v>
      </c>
      <c r="AW65">
        <v>12.92</v>
      </c>
      <c r="AX65">
        <v>57.7</v>
      </c>
      <c r="AY65">
        <v>99.29</v>
      </c>
      <c r="AZ65">
        <v>128.76</v>
      </c>
      <c r="BA65">
        <v>1</v>
      </c>
      <c r="BB65" t="s">
        <v>143</v>
      </c>
      <c r="BF65">
        <v>-1.7</v>
      </c>
      <c r="BG65">
        <v>-2.6</v>
      </c>
      <c r="BH65">
        <v>-5.53</v>
      </c>
      <c r="BI65">
        <v>0.77</v>
      </c>
      <c r="BJ65">
        <v>20210902</v>
      </c>
      <c r="BK65">
        <v>20000724</v>
      </c>
      <c r="BL65">
        <v>15.99</v>
      </c>
      <c r="BM65" t="s">
        <v>120</v>
      </c>
      <c r="BN65" t="s">
        <v>120</v>
      </c>
      <c r="BO65">
        <v>141.93</v>
      </c>
      <c r="BP65">
        <v>7.85</v>
      </c>
      <c r="BQ65">
        <v>59.62</v>
      </c>
      <c r="BR65">
        <v>-0.01</v>
      </c>
      <c r="BS65">
        <v>58</v>
      </c>
      <c r="BT65">
        <v>82.43</v>
      </c>
      <c r="BU65">
        <v>24.04</v>
      </c>
      <c r="BV65">
        <v>6.72</v>
      </c>
      <c r="BW65">
        <v>64.58</v>
      </c>
      <c r="BX65">
        <v>17.2</v>
      </c>
      <c r="BY65">
        <v>26.15</v>
      </c>
      <c r="BZ65">
        <v>19.27</v>
      </c>
      <c r="CA65" t="s">
        <v>120</v>
      </c>
      <c r="CB65">
        <v>26.55</v>
      </c>
      <c r="CC65">
        <v>40.89</v>
      </c>
      <c r="CD65">
        <v>37.24</v>
      </c>
      <c r="CE65">
        <v>-0.46</v>
      </c>
      <c r="CF65">
        <v>0.02</v>
      </c>
      <c r="CG65">
        <v>-0.76</v>
      </c>
      <c r="CH65">
        <v>-0.84</v>
      </c>
      <c r="CI65">
        <v>-0.55000000000000004</v>
      </c>
      <c r="CJ65">
        <v>-0.3</v>
      </c>
      <c r="CK65">
        <v>-1.59</v>
      </c>
      <c r="CL65">
        <v>14.67</v>
      </c>
      <c r="CM65">
        <v>-3.74</v>
      </c>
      <c r="CN65">
        <v>-5.07</v>
      </c>
      <c r="CO65">
        <v>146892</v>
      </c>
      <c r="CP65">
        <v>6280</v>
      </c>
      <c r="CQ65" t="s">
        <v>255</v>
      </c>
      <c r="CR65">
        <v>35.159999999999997</v>
      </c>
      <c r="CS65">
        <v>13.42</v>
      </c>
      <c r="CT65">
        <v>2.11</v>
      </c>
      <c r="CU65">
        <v>-33.58</v>
      </c>
      <c r="CV65">
        <v>3.07</v>
      </c>
      <c r="CW65">
        <v>0</v>
      </c>
      <c r="CX65" t="s">
        <v>604</v>
      </c>
      <c r="CY65">
        <v>3.73</v>
      </c>
      <c r="CZ65">
        <v>0</v>
      </c>
      <c r="DA65">
        <v>1.66</v>
      </c>
      <c r="DB65">
        <v>0.92</v>
      </c>
      <c r="DC65">
        <v>-0.23</v>
      </c>
      <c r="DD65">
        <v>42.01</v>
      </c>
      <c r="DE65" t="s">
        <v>605</v>
      </c>
      <c r="DF65">
        <v>8.91</v>
      </c>
      <c r="DG65">
        <v>-1.1399999999999999</v>
      </c>
      <c r="DH65">
        <v>-1.36</v>
      </c>
      <c r="DI65">
        <v>1.35</v>
      </c>
      <c r="DJ65">
        <v>5007</v>
      </c>
      <c r="DK65">
        <v>158</v>
      </c>
      <c r="DL65">
        <v>20210903</v>
      </c>
      <c r="DM65">
        <v>7.06</v>
      </c>
      <c r="DN65">
        <v>11.33</v>
      </c>
    </row>
    <row r="66" spans="1:118">
      <c r="A66" t="str">
        <f>"000159"</f>
        <v>000159</v>
      </c>
      <c r="B66" t="s">
        <v>606</v>
      </c>
      <c r="C66">
        <v>-3.5</v>
      </c>
      <c r="D66">
        <v>0.26</v>
      </c>
      <c r="E66">
        <v>0</v>
      </c>
      <c r="F66">
        <v>1267</v>
      </c>
      <c r="G66" t="s">
        <v>607</v>
      </c>
      <c r="H66">
        <v>14478.42</v>
      </c>
      <c r="I66">
        <v>28.12</v>
      </c>
      <c r="J66" t="s">
        <v>120</v>
      </c>
      <c r="K66" t="s">
        <v>608</v>
      </c>
      <c r="L66">
        <v>3.78</v>
      </c>
      <c r="M66">
        <v>7.73</v>
      </c>
      <c r="N66">
        <v>0.92</v>
      </c>
      <c r="O66">
        <v>2.87</v>
      </c>
      <c r="P66">
        <v>8.24</v>
      </c>
      <c r="Q66">
        <v>-3.75</v>
      </c>
      <c r="R66">
        <v>7.71</v>
      </c>
      <c r="S66">
        <v>8.01</v>
      </c>
      <c r="T66">
        <v>181554</v>
      </c>
      <c r="U66">
        <v>7.74</v>
      </c>
      <c r="V66">
        <v>8.01</v>
      </c>
      <c r="W66">
        <v>35.31</v>
      </c>
      <c r="X66" t="s">
        <v>532</v>
      </c>
      <c r="Y66" t="s">
        <v>609</v>
      </c>
      <c r="Z66">
        <v>6.62</v>
      </c>
      <c r="AA66">
        <v>7.97</v>
      </c>
      <c r="AB66">
        <v>94797</v>
      </c>
      <c r="AC66">
        <v>86757</v>
      </c>
      <c r="AD66">
        <v>1.0900000000000001</v>
      </c>
      <c r="AE66">
        <v>100</v>
      </c>
      <c r="AF66">
        <v>32</v>
      </c>
      <c r="AG66" t="s">
        <v>120</v>
      </c>
      <c r="AH66">
        <v>0.01</v>
      </c>
      <c r="AI66" t="s">
        <v>120</v>
      </c>
      <c r="AJ66">
        <v>4.8099999999999996</v>
      </c>
      <c r="AK66" t="s">
        <v>608</v>
      </c>
      <c r="AL66">
        <v>-1.58</v>
      </c>
      <c r="AM66">
        <v>3003</v>
      </c>
      <c r="AN66">
        <v>60</v>
      </c>
      <c r="AO66">
        <v>1.2999999999999999E-3</v>
      </c>
      <c r="AP66">
        <v>-1</v>
      </c>
      <c r="AQ66">
        <v>2.4300000000000002</v>
      </c>
      <c r="AR66">
        <v>-3.98</v>
      </c>
      <c r="AS66">
        <v>-7.32</v>
      </c>
      <c r="AT66">
        <v>28.41</v>
      </c>
      <c r="AU66">
        <v>51.57</v>
      </c>
      <c r="AV66">
        <v>7</v>
      </c>
      <c r="AW66">
        <v>4.8899999999999997</v>
      </c>
      <c r="AX66">
        <v>77.180000000000007</v>
      </c>
      <c r="AY66">
        <v>52.09</v>
      </c>
      <c r="AZ66">
        <v>43.4</v>
      </c>
      <c r="BA66">
        <v>0.59</v>
      </c>
      <c r="BB66" t="s">
        <v>143</v>
      </c>
      <c r="BF66">
        <v>-0.44</v>
      </c>
      <c r="BG66">
        <v>-3.5</v>
      </c>
      <c r="BH66">
        <v>-6.19</v>
      </c>
      <c r="BI66">
        <v>0.26</v>
      </c>
      <c r="BJ66">
        <v>20210817</v>
      </c>
      <c r="BK66">
        <v>20000926</v>
      </c>
      <c r="BL66">
        <v>4.8099999999999996</v>
      </c>
      <c r="BM66" t="s">
        <v>120</v>
      </c>
      <c r="BN66" t="s">
        <v>120</v>
      </c>
      <c r="BO66">
        <v>26.83</v>
      </c>
      <c r="BP66">
        <v>7.73</v>
      </c>
      <c r="BQ66">
        <v>22.66</v>
      </c>
      <c r="BR66">
        <v>-0.2</v>
      </c>
      <c r="BS66">
        <v>16.27</v>
      </c>
      <c r="BT66">
        <v>13.73</v>
      </c>
      <c r="BU66">
        <v>2.57</v>
      </c>
      <c r="BV66">
        <v>0.65</v>
      </c>
      <c r="BW66">
        <v>4.3600000000000003</v>
      </c>
      <c r="BX66">
        <v>1.1000000000000001</v>
      </c>
      <c r="BY66">
        <v>7.15</v>
      </c>
      <c r="BZ66">
        <v>0.21</v>
      </c>
      <c r="CA66">
        <v>7.0000000000000007E-2</v>
      </c>
      <c r="CB66">
        <v>3.73</v>
      </c>
      <c r="CC66">
        <v>4.09</v>
      </c>
      <c r="CD66">
        <v>3.97</v>
      </c>
      <c r="CE66">
        <v>0.63</v>
      </c>
      <c r="CF66">
        <v>0.59</v>
      </c>
      <c r="CG66">
        <v>0.63</v>
      </c>
      <c r="CH66">
        <v>0.49</v>
      </c>
      <c r="CI66">
        <v>0.53</v>
      </c>
      <c r="CJ66">
        <v>-0.28000000000000003</v>
      </c>
      <c r="CK66">
        <v>0.23</v>
      </c>
      <c r="CL66">
        <v>13.03</v>
      </c>
      <c r="CM66">
        <v>-0.4</v>
      </c>
      <c r="CN66">
        <v>0.53</v>
      </c>
      <c r="CO66">
        <v>54314</v>
      </c>
      <c r="CP66">
        <v>6830</v>
      </c>
      <c r="CQ66" t="s">
        <v>610</v>
      </c>
      <c r="CR66">
        <v>-21.95</v>
      </c>
      <c r="CS66">
        <v>141.58000000000001</v>
      </c>
      <c r="CT66">
        <v>1.64</v>
      </c>
      <c r="CU66">
        <v>-92.89</v>
      </c>
      <c r="CV66">
        <v>9.08</v>
      </c>
      <c r="CW66">
        <v>0.25</v>
      </c>
      <c r="CX66" t="s">
        <v>611</v>
      </c>
      <c r="CY66">
        <v>4.71</v>
      </c>
      <c r="CZ66">
        <v>0</v>
      </c>
      <c r="DA66">
        <v>0.78</v>
      </c>
      <c r="DB66">
        <v>2.71</v>
      </c>
      <c r="DC66">
        <v>-0.08</v>
      </c>
      <c r="DD66">
        <v>84.47</v>
      </c>
      <c r="DE66" t="s">
        <v>612</v>
      </c>
      <c r="DF66">
        <v>3.13</v>
      </c>
      <c r="DG66">
        <v>15.37</v>
      </c>
      <c r="DH66">
        <v>12.85</v>
      </c>
      <c r="DI66">
        <v>0.04</v>
      </c>
      <c r="DJ66">
        <v>258</v>
      </c>
      <c r="DK66">
        <v>159</v>
      </c>
      <c r="DL66" t="s">
        <v>120</v>
      </c>
      <c r="DM66" t="s">
        <v>120</v>
      </c>
      <c r="DN66" t="s">
        <v>120</v>
      </c>
    </row>
    <row r="67" spans="1:118">
      <c r="A67" t="str">
        <f>"000166"</f>
        <v>000166</v>
      </c>
      <c r="B67" t="s">
        <v>613</v>
      </c>
      <c r="C67">
        <v>1.34</v>
      </c>
      <c r="D67">
        <v>0.33</v>
      </c>
      <c r="E67">
        <v>0</v>
      </c>
      <c r="F67">
        <v>73001</v>
      </c>
      <c r="G67" t="s">
        <v>614</v>
      </c>
      <c r="H67">
        <v>255417.82</v>
      </c>
      <c r="I67">
        <v>1698.34</v>
      </c>
      <c r="J67" t="s">
        <v>120</v>
      </c>
      <c r="K67" t="s">
        <v>615</v>
      </c>
      <c r="L67">
        <v>1.89</v>
      </c>
      <c r="M67">
        <v>6.07</v>
      </c>
      <c r="N67">
        <v>0.78</v>
      </c>
      <c r="O67">
        <v>2.5</v>
      </c>
      <c r="P67">
        <v>6.14</v>
      </c>
      <c r="Q67">
        <v>-1.84</v>
      </c>
      <c r="R67">
        <v>5.88</v>
      </c>
      <c r="S67">
        <v>5.99</v>
      </c>
      <c r="T67">
        <v>4257971</v>
      </c>
      <c r="U67">
        <v>6.07</v>
      </c>
      <c r="V67">
        <v>5.99</v>
      </c>
      <c r="W67">
        <v>16.809999999999999</v>
      </c>
      <c r="X67" t="s">
        <v>616</v>
      </c>
      <c r="Y67" t="s">
        <v>609</v>
      </c>
      <c r="Z67">
        <v>4.34</v>
      </c>
      <c r="AA67">
        <v>6</v>
      </c>
      <c r="AB67">
        <v>1960928</v>
      </c>
      <c r="AC67">
        <v>2297043</v>
      </c>
      <c r="AD67">
        <v>0.85</v>
      </c>
      <c r="AE67">
        <v>8608</v>
      </c>
      <c r="AF67">
        <v>9473</v>
      </c>
      <c r="AG67" t="s">
        <v>120</v>
      </c>
      <c r="AH67">
        <v>0.03</v>
      </c>
      <c r="AI67" t="s">
        <v>120</v>
      </c>
      <c r="AJ67">
        <v>225.36</v>
      </c>
      <c r="AK67" t="s">
        <v>617</v>
      </c>
      <c r="AL67">
        <v>3.25</v>
      </c>
      <c r="AM67">
        <v>4706</v>
      </c>
      <c r="AN67">
        <v>905</v>
      </c>
      <c r="AO67">
        <v>4.0000000000000002E-4</v>
      </c>
      <c r="AP67">
        <v>1</v>
      </c>
      <c r="AQ67">
        <v>-2.6</v>
      </c>
      <c r="AR67">
        <v>-7.33</v>
      </c>
      <c r="AS67">
        <v>30.81</v>
      </c>
      <c r="AT67">
        <v>32.82</v>
      </c>
      <c r="AU67">
        <v>17.18</v>
      </c>
      <c r="AV67">
        <v>1</v>
      </c>
      <c r="AW67">
        <v>4.38</v>
      </c>
      <c r="AX67">
        <v>43.14</v>
      </c>
      <c r="AY67">
        <v>18.18</v>
      </c>
      <c r="AZ67">
        <v>19.309999999999999</v>
      </c>
      <c r="BA67">
        <v>0.57999999999999996</v>
      </c>
      <c r="BB67" t="s">
        <v>341</v>
      </c>
      <c r="BF67">
        <v>0.14000000000000001</v>
      </c>
      <c r="BG67">
        <v>1.34</v>
      </c>
      <c r="BH67">
        <v>-1.1399999999999999</v>
      </c>
      <c r="BI67">
        <v>3.23</v>
      </c>
      <c r="BJ67">
        <v>20210830</v>
      </c>
      <c r="BK67">
        <v>20150126</v>
      </c>
      <c r="BL67">
        <v>250.4</v>
      </c>
      <c r="BM67" t="s">
        <v>120</v>
      </c>
      <c r="BN67">
        <v>25.04</v>
      </c>
      <c r="BO67">
        <v>5205.9799999999996</v>
      </c>
      <c r="BP67">
        <v>6.06</v>
      </c>
      <c r="BQ67">
        <v>922.69</v>
      </c>
      <c r="BR67">
        <v>16.940000000000001</v>
      </c>
      <c r="BS67">
        <v>81.95</v>
      </c>
      <c r="BT67">
        <v>0</v>
      </c>
      <c r="BU67">
        <v>11.07</v>
      </c>
      <c r="BV67">
        <v>1.9</v>
      </c>
      <c r="BW67">
        <v>0</v>
      </c>
      <c r="BX67">
        <v>1002.48</v>
      </c>
      <c r="BY67">
        <v>0</v>
      </c>
      <c r="BZ67">
        <v>0</v>
      </c>
      <c r="CA67" t="s">
        <v>120</v>
      </c>
      <c r="CB67">
        <v>193.67</v>
      </c>
      <c r="CC67">
        <v>160.79</v>
      </c>
      <c r="CD67">
        <v>0</v>
      </c>
      <c r="CE67">
        <v>53.82</v>
      </c>
      <c r="CF67">
        <v>50.51</v>
      </c>
      <c r="CG67">
        <v>53.47</v>
      </c>
      <c r="CH67">
        <v>45.66</v>
      </c>
      <c r="CI67">
        <v>45.21</v>
      </c>
      <c r="CJ67">
        <v>0.08</v>
      </c>
      <c r="CK67">
        <v>45.14</v>
      </c>
      <c r="CL67">
        <v>291.7</v>
      </c>
      <c r="CM67">
        <v>-283.43</v>
      </c>
      <c r="CN67">
        <v>91.05</v>
      </c>
      <c r="CO67">
        <v>295060</v>
      </c>
      <c r="CP67">
        <v>32950</v>
      </c>
      <c r="CQ67" t="s">
        <v>618</v>
      </c>
      <c r="CR67">
        <v>12.05</v>
      </c>
      <c r="CS67">
        <v>20.12</v>
      </c>
      <c r="CT67">
        <v>1.68</v>
      </c>
      <c r="CU67">
        <v>-5.36</v>
      </c>
      <c r="CV67">
        <v>9.4499999999999993</v>
      </c>
      <c r="CW67">
        <v>1.5</v>
      </c>
      <c r="CX67" t="s">
        <v>242</v>
      </c>
      <c r="CY67">
        <v>3.61</v>
      </c>
      <c r="CZ67">
        <v>3.61</v>
      </c>
      <c r="DA67">
        <v>0.77</v>
      </c>
      <c r="DB67">
        <v>1.1599999999999999</v>
      </c>
      <c r="DC67">
        <v>-1.1299999999999999</v>
      </c>
      <c r="DD67">
        <v>17.72</v>
      </c>
      <c r="DE67" t="s">
        <v>619</v>
      </c>
      <c r="DF67" t="s">
        <v>120</v>
      </c>
      <c r="DG67">
        <v>33.47</v>
      </c>
      <c r="DH67">
        <v>28.12</v>
      </c>
      <c r="DI67" t="s">
        <v>120</v>
      </c>
      <c r="DJ67">
        <v>11591</v>
      </c>
      <c r="DK67">
        <v>166</v>
      </c>
      <c r="DL67">
        <v>20210906</v>
      </c>
      <c r="DM67">
        <v>5.87</v>
      </c>
      <c r="DN67">
        <v>3.41</v>
      </c>
    </row>
    <row r="68" spans="1:118">
      <c r="A68" t="str">
        <f>"000301"</f>
        <v>000301</v>
      </c>
      <c r="B68" t="s">
        <v>620</v>
      </c>
      <c r="C68">
        <v>-6.24</v>
      </c>
      <c r="D68">
        <v>-1.26</v>
      </c>
      <c r="E68">
        <v>0</v>
      </c>
      <c r="F68">
        <v>8517</v>
      </c>
      <c r="G68" t="s">
        <v>621</v>
      </c>
      <c r="H68">
        <v>244493.38</v>
      </c>
      <c r="I68">
        <v>412.18</v>
      </c>
      <c r="J68" t="s">
        <v>120</v>
      </c>
      <c r="K68" t="s">
        <v>622</v>
      </c>
      <c r="L68">
        <v>3.69</v>
      </c>
      <c r="M68">
        <v>35.9</v>
      </c>
      <c r="N68">
        <v>1.4</v>
      </c>
      <c r="O68">
        <v>7.86</v>
      </c>
      <c r="P68">
        <v>41.3</v>
      </c>
      <c r="Q68">
        <v>-7.47</v>
      </c>
      <c r="R68">
        <v>35.43</v>
      </c>
      <c r="S68">
        <v>38.29</v>
      </c>
      <c r="T68">
        <v>638685</v>
      </c>
      <c r="U68">
        <v>35.909999999999997</v>
      </c>
      <c r="V68">
        <v>38.29</v>
      </c>
      <c r="W68">
        <v>75.63</v>
      </c>
      <c r="X68" t="s">
        <v>623</v>
      </c>
      <c r="Y68" t="s">
        <v>319</v>
      </c>
      <c r="Z68">
        <v>15.33</v>
      </c>
      <c r="AA68">
        <v>38.28</v>
      </c>
      <c r="AB68">
        <v>293920</v>
      </c>
      <c r="AC68">
        <v>344765</v>
      </c>
      <c r="AD68">
        <v>0.85</v>
      </c>
      <c r="AE68">
        <v>87</v>
      </c>
      <c r="AF68">
        <v>1</v>
      </c>
      <c r="AG68" t="s">
        <v>120</v>
      </c>
      <c r="AH68">
        <v>0.01</v>
      </c>
      <c r="AI68" t="s">
        <v>120</v>
      </c>
      <c r="AJ68">
        <v>17.32</v>
      </c>
      <c r="AK68" t="s">
        <v>624</v>
      </c>
      <c r="AL68">
        <v>-4.33</v>
      </c>
      <c r="AM68">
        <v>4627</v>
      </c>
      <c r="AN68">
        <v>138</v>
      </c>
      <c r="AO68">
        <v>8.0000000000000004E-4</v>
      </c>
      <c r="AP68">
        <v>-3</v>
      </c>
      <c r="AQ68">
        <v>-0.55000000000000004</v>
      </c>
      <c r="AR68">
        <v>-7.84</v>
      </c>
      <c r="AS68">
        <v>40.79</v>
      </c>
      <c r="AT68">
        <v>86.49</v>
      </c>
      <c r="AU68">
        <v>282.73</v>
      </c>
      <c r="AV68">
        <v>13</v>
      </c>
      <c r="AW68">
        <v>4.53</v>
      </c>
      <c r="AX68">
        <v>29.14</v>
      </c>
      <c r="AY68">
        <v>132.16</v>
      </c>
      <c r="AZ68">
        <v>585.27</v>
      </c>
      <c r="BA68">
        <v>0.88</v>
      </c>
      <c r="BB68" t="s">
        <v>184</v>
      </c>
      <c r="BF68">
        <v>-0.02</v>
      </c>
      <c r="BG68">
        <v>-6.24</v>
      </c>
      <c r="BH68">
        <v>-13.08</v>
      </c>
      <c r="BI68">
        <v>1.33</v>
      </c>
      <c r="BJ68">
        <v>20210825</v>
      </c>
      <c r="BK68">
        <v>20000529</v>
      </c>
      <c r="BL68">
        <v>48.35</v>
      </c>
      <c r="BM68" t="s">
        <v>120</v>
      </c>
      <c r="BN68" t="s">
        <v>120</v>
      </c>
      <c r="BO68">
        <v>989.08</v>
      </c>
      <c r="BP68">
        <v>35.9</v>
      </c>
      <c r="BQ68">
        <v>194.2</v>
      </c>
      <c r="BR68">
        <v>50.02</v>
      </c>
      <c r="BS68">
        <v>75.31</v>
      </c>
      <c r="BT68">
        <v>340.68</v>
      </c>
      <c r="BU68">
        <v>176.18</v>
      </c>
      <c r="BV68">
        <v>24.25</v>
      </c>
      <c r="BW68">
        <v>261.60000000000002</v>
      </c>
      <c r="BX68">
        <v>268.76</v>
      </c>
      <c r="BY68">
        <v>34.950000000000003</v>
      </c>
      <c r="BZ68">
        <v>6.31</v>
      </c>
      <c r="CA68">
        <v>0.36</v>
      </c>
      <c r="CB68">
        <v>72.650000000000006</v>
      </c>
      <c r="CC68">
        <v>156.91</v>
      </c>
      <c r="CD68">
        <v>135.69999999999999</v>
      </c>
      <c r="CE68">
        <v>13.51</v>
      </c>
      <c r="CF68">
        <v>-0.99</v>
      </c>
      <c r="CG68">
        <v>13.64</v>
      </c>
      <c r="CH68">
        <v>11.43</v>
      </c>
      <c r="CI68">
        <v>11.47</v>
      </c>
      <c r="CJ68">
        <v>-2.39</v>
      </c>
      <c r="CK68">
        <v>11.69</v>
      </c>
      <c r="CL68">
        <v>25.7</v>
      </c>
      <c r="CM68">
        <v>7.13</v>
      </c>
      <c r="CN68">
        <v>100.54</v>
      </c>
      <c r="CO68">
        <v>55771</v>
      </c>
      <c r="CP68">
        <v>25261</v>
      </c>
      <c r="CQ68" t="s">
        <v>625</v>
      </c>
      <c r="CR68">
        <v>1720.3</v>
      </c>
      <c r="CS68">
        <v>65.430000000000007</v>
      </c>
      <c r="CT68">
        <v>9.5399999999999991</v>
      </c>
      <c r="CU68">
        <v>243.33</v>
      </c>
      <c r="CV68">
        <v>11.06</v>
      </c>
      <c r="CW68">
        <v>0.26</v>
      </c>
      <c r="CX68" t="s">
        <v>626</v>
      </c>
      <c r="CY68">
        <v>3.76</v>
      </c>
      <c r="CZ68">
        <v>3.76</v>
      </c>
      <c r="DA68">
        <v>1.5</v>
      </c>
      <c r="DB68">
        <v>0.53</v>
      </c>
      <c r="DC68">
        <v>0.15</v>
      </c>
      <c r="DD68">
        <v>19.63</v>
      </c>
      <c r="DE68" t="s">
        <v>627</v>
      </c>
      <c r="DF68">
        <v>13.51</v>
      </c>
      <c r="DG68">
        <v>8.61</v>
      </c>
      <c r="DH68">
        <v>7.31</v>
      </c>
      <c r="DI68">
        <v>1.22</v>
      </c>
      <c r="DJ68">
        <v>18597</v>
      </c>
      <c r="DK68">
        <v>301</v>
      </c>
      <c r="DL68">
        <v>20210827</v>
      </c>
      <c r="DM68">
        <v>31.26</v>
      </c>
      <c r="DN68">
        <v>14.84</v>
      </c>
    </row>
    <row r="69" spans="1:118">
      <c r="A69" t="str">
        <f>"000333"</f>
        <v>000333</v>
      </c>
      <c r="B69" t="s">
        <v>628</v>
      </c>
      <c r="C69">
        <v>-0.86</v>
      </c>
      <c r="D69">
        <v>0.03</v>
      </c>
      <c r="E69">
        <v>0</v>
      </c>
      <c r="F69">
        <v>18874</v>
      </c>
      <c r="G69" t="s">
        <v>629</v>
      </c>
      <c r="H69">
        <v>195295.68</v>
      </c>
      <c r="I69">
        <v>962.19</v>
      </c>
      <c r="J69" t="s">
        <v>120</v>
      </c>
      <c r="K69" t="s">
        <v>630</v>
      </c>
      <c r="L69">
        <v>0.43</v>
      </c>
      <c r="M69">
        <v>65.95</v>
      </c>
      <c r="N69">
        <v>1.0900000000000001</v>
      </c>
      <c r="O69">
        <v>0.99</v>
      </c>
      <c r="P69">
        <v>67.180000000000007</v>
      </c>
      <c r="Q69">
        <v>-1.08</v>
      </c>
      <c r="R69">
        <v>65.8</v>
      </c>
      <c r="S69">
        <v>66.52</v>
      </c>
      <c r="T69">
        <v>294662</v>
      </c>
      <c r="U69">
        <v>65.95</v>
      </c>
      <c r="V69">
        <v>66.52</v>
      </c>
      <c r="W69">
        <v>15.34</v>
      </c>
      <c r="X69" t="s">
        <v>205</v>
      </c>
      <c r="Y69" t="s">
        <v>547</v>
      </c>
      <c r="Z69">
        <v>2.0699999999999998</v>
      </c>
      <c r="AA69">
        <v>66.28</v>
      </c>
      <c r="AB69">
        <v>148453</v>
      </c>
      <c r="AC69">
        <v>146209</v>
      </c>
      <c r="AD69">
        <v>1.02</v>
      </c>
      <c r="AE69">
        <v>78</v>
      </c>
      <c r="AF69">
        <v>32</v>
      </c>
      <c r="AG69" t="s">
        <v>120</v>
      </c>
      <c r="AH69">
        <v>0</v>
      </c>
      <c r="AI69" t="s">
        <v>120</v>
      </c>
      <c r="AJ69">
        <v>68.22</v>
      </c>
      <c r="AK69" t="s">
        <v>631</v>
      </c>
      <c r="AL69">
        <v>1.06</v>
      </c>
      <c r="AM69">
        <v>4710</v>
      </c>
      <c r="AN69">
        <v>63</v>
      </c>
      <c r="AO69">
        <v>1E-4</v>
      </c>
      <c r="AP69">
        <v>-4</v>
      </c>
      <c r="AQ69">
        <v>-2.79</v>
      </c>
      <c r="AR69">
        <v>-7.08</v>
      </c>
      <c r="AS69">
        <v>-8.32</v>
      </c>
      <c r="AT69">
        <v>-9.91</v>
      </c>
      <c r="AU69">
        <v>-31.9</v>
      </c>
      <c r="AV69">
        <v>0</v>
      </c>
      <c r="AW69">
        <v>0.63</v>
      </c>
      <c r="AX69">
        <v>66.64</v>
      </c>
      <c r="AY69">
        <v>16.41</v>
      </c>
      <c r="AZ69">
        <v>17.059999999999999</v>
      </c>
      <c r="BA69">
        <v>0.69</v>
      </c>
      <c r="BB69" t="s">
        <v>240</v>
      </c>
      <c r="BF69">
        <v>-0.36</v>
      </c>
      <c r="BG69">
        <v>-0.86</v>
      </c>
      <c r="BH69">
        <v>-1.83</v>
      </c>
      <c r="BI69">
        <v>0.23</v>
      </c>
      <c r="BJ69">
        <v>20210831</v>
      </c>
      <c r="BK69">
        <v>20130918</v>
      </c>
      <c r="BL69">
        <v>69.81</v>
      </c>
      <c r="BM69" t="s">
        <v>120</v>
      </c>
      <c r="BN69" t="s">
        <v>120</v>
      </c>
      <c r="BO69">
        <v>3802.11</v>
      </c>
      <c r="BP69">
        <v>65.94</v>
      </c>
      <c r="BQ69">
        <v>1132.4000000000001</v>
      </c>
      <c r="BR69">
        <v>102.14</v>
      </c>
      <c r="BS69">
        <v>67.53</v>
      </c>
      <c r="BT69">
        <v>2596.4</v>
      </c>
      <c r="BU69">
        <v>225.54</v>
      </c>
      <c r="BV69">
        <v>178.37</v>
      </c>
      <c r="BW69">
        <v>1966.5</v>
      </c>
      <c r="BX69">
        <v>634.27</v>
      </c>
      <c r="BY69">
        <v>345</v>
      </c>
      <c r="BZ69">
        <v>275.92</v>
      </c>
      <c r="CA69" t="s">
        <v>120</v>
      </c>
      <c r="CB69">
        <v>236.22</v>
      </c>
      <c r="CC69">
        <v>1738.1</v>
      </c>
      <c r="CD69">
        <v>1334.36</v>
      </c>
      <c r="CE69">
        <v>175.54</v>
      </c>
      <c r="CF69">
        <v>10.81</v>
      </c>
      <c r="CG69">
        <v>176.24</v>
      </c>
      <c r="CH69">
        <v>152.16</v>
      </c>
      <c r="CI69">
        <v>150.09</v>
      </c>
      <c r="CJ69">
        <v>-0.56999999999999995</v>
      </c>
      <c r="CK69">
        <v>146.37</v>
      </c>
      <c r="CL69">
        <v>910.22</v>
      </c>
      <c r="CM69">
        <v>201.76</v>
      </c>
      <c r="CN69">
        <v>127.54</v>
      </c>
      <c r="CO69">
        <v>520532</v>
      </c>
      <c r="CP69">
        <v>8938</v>
      </c>
      <c r="CQ69" t="s">
        <v>632</v>
      </c>
      <c r="CR69">
        <v>7.76</v>
      </c>
      <c r="CS69">
        <v>24.98</v>
      </c>
      <c r="CT69">
        <v>4.0999999999999996</v>
      </c>
      <c r="CU69">
        <v>22.82</v>
      </c>
      <c r="CV69">
        <v>2.65</v>
      </c>
      <c r="CW69">
        <v>2.38</v>
      </c>
      <c r="CX69" t="s">
        <v>633</v>
      </c>
      <c r="CY69">
        <v>16.07</v>
      </c>
      <c r="CZ69">
        <v>16.07</v>
      </c>
      <c r="DA69">
        <v>3.38</v>
      </c>
      <c r="DB69">
        <v>13.04</v>
      </c>
      <c r="DC69">
        <v>2.89</v>
      </c>
      <c r="DD69">
        <v>29.78</v>
      </c>
      <c r="DE69" t="s">
        <v>634</v>
      </c>
      <c r="DF69">
        <v>23.23</v>
      </c>
      <c r="DG69">
        <v>10.1</v>
      </c>
      <c r="DH69">
        <v>8.64</v>
      </c>
      <c r="DI69">
        <v>53.15</v>
      </c>
      <c r="DJ69">
        <v>149239</v>
      </c>
      <c r="DK69">
        <v>333</v>
      </c>
      <c r="DL69" t="s">
        <v>120</v>
      </c>
      <c r="DM69" t="s">
        <v>120</v>
      </c>
      <c r="DN69" t="s">
        <v>120</v>
      </c>
    </row>
    <row r="70" spans="1:118">
      <c r="A70" t="str">
        <f>"000338"</f>
        <v>000338</v>
      </c>
      <c r="B70" t="s">
        <v>635</v>
      </c>
      <c r="C70">
        <v>-1.21</v>
      </c>
      <c r="D70">
        <v>-0.05</v>
      </c>
      <c r="E70">
        <v>0.06</v>
      </c>
      <c r="F70">
        <v>17460</v>
      </c>
      <c r="G70" t="s">
        <v>636</v>
      </c>
      <c r="H70">
        <v>131456.76</v>
      </c>
      <c r="I70">
        <v>429.86</v>
      </c>
      <c r="J70" t="s">
        <v>120</v>
      </c>
      <c r="K70" t="s">
        <v>637</v>
      </c>
      <c r="L70">
        <v>1.71</v>
      </c>
      <c r="M70">
        <v>17.899999999999999</v>
      </c>
      <c r="N70">
        <v>0.82</v>
      </c>
      <c r="O70">
        <v>1.66</v>
      </c>
      <c r="P70">
        <v>18.420000000000002</v>
      </c>
      <c r="Q70">
        <v>-1.43</v>
      </c>
      <c r="R70">
        <v>17.86</v>
      </c>
      <c r="S70">
        <v>18.13</v>
      </c>
      <c r="T70">
        <v>726544</v>
      </c>
      <c r="U70">
        <v>17.91</v>
      </c>
      <c r="V70">
        <v>18.12</v>
      </c>
      <c r="W70">
        <v>12.14</v>
      </c>
      <c r="X70" t="s">
        <v>289</v>
      </c>
      <c r="Y70" t="s">
        <v>638</v>
      </c>
      <c r="Z70">
        <v>3.09</v>
      </c>
      <c r="AA70">
        <v>18.09</v>
      </c>
      <c r="AB70">
        <v>371000</v>
      </c>
      <c r="AC70">
        <v>355544</v>
      </c>
      <c r="AD70">
        <v>1.04</v>
      </c>
      <c r="AE70">
        <v>1907</v>
      </c>
      <c r="AF70">
        <v>1169</v>
      </c>
      <c r="AG70" t="s">
        <v>120</v>
      </c>
      <c r="AH70">
        <v>0.01</v>
      </c>
      <c r="AI70" t="s">
        <v>120</v>
      </c>
      <c r="AJ70">
        <v>42.41</v>
      </c>
      <c r="AK70" t="s">
        <v>639</v>
      </c>
      <c r="AL70">
        <v>0.7</v>
      </c>
      <c r="AM70">
        <v>4667</v>
      </c>
      <c r="AN70">
        <v>156</v>
      </c>
      <c r="AO70">
        <v>4.0000000000000002E-4</v>
      </c>
      <c r="AP70">
        <v>-8</v>
      </c>
      <c r="AQ70">
        <v>-1.25</v>
      </c>
      <c r="AR70">
        <v>-4.07</v>
      </c>
      <c r="AS70">
        <v>-7.91</v>
      </c>
      <c r="AT70">
        <v>6.7</v>
      </c>
      <c r="AU70">
        <v>15.06</v>
      </c>
      <c r="AV70">
        <v>2</v>
      </c>
      <c r="AW70">
        <v>1.75</v>
      </c>
      <c r="AX70">
        <v>61.18</v>
      </c>
      <c r="AY70">
        <v>14.43</v>
      </c>
      <c r="AZ70">
        <v>17.170000000000002</v>
      </c>
      <c r="BA70">
        <v>0.92</v>
      </c>
      <c r="BB70" t="s">
        <v>134</v>
      </c>
      <c r="BF70">
        <v>-0.15</v>
      </c>
      <c r="BG70">
        <v>-1.27</v>
      </c>
      <c r="BH70">
        <v>-2.82</v>
      </c>
      <c r="BI70">
        <v>0.22</v>
      </c>
      <c r="BJ70">
        <v>20210831</v>
      </c>
      <c r="BK70">
        <v>20070430</v>
      </c>
      <c r="BL70">
        <v>87.27</v>
      </c>
      <c r="BM70" t="s">
        <v>120</v>
      </c>
      <c r="BN70">
        <v>19.43</v>
      </c>
      <c r="BO70">
        <v>3041.82</v>
      </c>
      <c r="BP70">
        <v>17.899999999999999</v>
      </c>
      <c r="BQ70">
        <v>697.7</v>
      </c>
      <c r="BR70">
        <v>312.48</v>
      </c>
      <c r="BS70">
        <v>66.790000000000006</v>
      </c>
      <c r="BT70">
        <v>1842.38</v>
      </c>
      <c r="BU70">
        <v>323.22000000000003</v>
      </c>
      <c r="BV70">
        <v>227.04</v>
      </c>
      <c r="BW70">
        <v>1421.5</v>
      </c>
      <c r="BX70">
        <v>773.93</v>
      </c>
      <c r="BY70">
        <v>280.87</v>
      </c>
      <c r="BZ70">
        <v>219.03</v>
      </c>
      <c r="CA70" t="s">
        <v>120</v>
      </c>
      <c r="CB70">
        <v>123.78</v>
      </c>
      <c r="CC70">
        <v>1263.8800000000001</v>
      </c>
      <c r="CD70">
        <v>1025.77</v>
      </c>
      <c r="CE70">
        <v>98.85</v>
      </c>
      <c r="CF70">
        <v>3.9</v>
      </c>
      <c r="CG70">
        <v>99.72</v>
      </c>
      <c r="CH70">
        <v>82.55</v>
      </c>
      <c r="CI70">
        <v>64.319999999999993</v>
      </c>
      <c r="CJ70">
        <v>-0.22</v>
      </c>
      <c r="CK70">
        <v>59.71</v>
      </c>
      <c r="CL70">
        <v>478.83</v>
      </c>
      <c r="CM70">
        <v>71.510000000000005</v>
      </c>
      <c r="CN70">
        <v>135.94</v>
      </c>
      <c r="CO70">
        <v>340248</v>
      </c>
      <c r="CP70">
        <v>12197</v>
      </c>
      <c r="CQ70" t="s">
        <v>640</v>
      </c>
      <c r="CR70">
        <v>37.42</v>
      </c>
      <c r="CS70">
        <v>33.75</v>
      </c>
      <c r="CT70">
        <v>2.2400000000000002</v>
      </c>
      <c r="CU70">
        <v>21.84</v>
      </c>
      <c r="CV70">
        <v>1.24</v>
      </c>
      <c r="CW70">
        <v>2.31</v>
      </c>
      <c r="CX70" t="s">
        <v>127</v>
      </c>
      <c r="CY70">
        <v>8</v>
      </c>
      <c r="CZ70">
        <v>0</v>
      </c>
      <c r="DA70">
        <v>1.42</v>
      </c>
      <c r="DB70">
        <v>5.49</v>
      </c>
      <c r="DC70">
        <v>0.82</v>
      </c>
      <c r="DD70">
        <v>22.94</v>
      </c>
      <c r="DE70" t="s">
        <v>641</v>
      </c>
      <c r="DF70">
        <v>18.84</v>
      </c>
      <c r="DG70">
        <v>7.82</v>
      </c>
      <c r="DH70">
        <v>5.09</v>
      </c>
      <c r="DI70">
        <v>35.67</v>
      </c>
      <c r="DJ70">
        <v>45361</v>
      </c>
      <c r="DK70">
        <v>338</v>
      </c>
      <c r="DL70" t="s">
        <v>120</v>
      </c>
      <c r="DM70" t="s">
        <v>120</v>
      </c>
      <c r="DN70" t="s">
        <v>120</v>
      </c>
    </row>
    <row r="71" spans="1:118">
      <c r="A71" t="str">
        <f>"000400"</f>
        <v>000400</v>
      </c>
      <c r="B71" t="s">
        <v>642</v>
      </c>
      <c r="C71">
        <v>-3.33</v>
      </c>
      <c r="D71">
        <v>-0.28999999999999998</v>
      </c>
      <c r="E71">
        <v>-1.1599999999999999</v>
      </c>
      <c r="F71">
        <v>5840</v>
      </c>
      <c r="G71" t="s">
        <v>643</v>
      </c>
      <c r="H71">
        <v>94891.98</v>
      </c>
      <c r="I71">
        <v>892.87</v>
      </c>
      <c r="J71" t="s">
        <v>120</v>
      </c>
      <c r="K71" t="s">
        <v>644</v>
      </c>
      <c r="L71">
        <v>4.6500000000000004</v>
      </c>
      <c r="M71">
        <v>20.010000000000002</v>
      </c>
      <c r="N71">
        <v>0.67</v>
      </c>
      <c r="O71">
        <v>0.68</v>
      </c>
      <c r="P71">
        <v>20.84</v>
      </c>
      <c r="Q71">
        <v>-4.01</v>
      </c>
      <c r="R71">
        <v>19.87</v>
      </c>
      <c r="S71">
        <v>20.46</v>
      </c>
      <c r="T71">
        <v>468709</v>
      </c>
      <c r="U71">
        <v>20.02</v>
      </c>
      <c r="V71">
        <v>20.7</v>
      </c>
      <c r="W71">
        <v>23.49</v>
      </c>
      <c r="X71" t="s">
        <v>394</v>
      </c>
      <c r="Y71" t="s">
        <v>645</v>
      </c>
      <c r="Z71">
        <v>4.6900000000000004</v>
      </c>
      <c r="AA71">
        <v>20.25</v>
      </c>
      <c r="AB71">
        <v>257269</v>
      </c>
      <c r="AC71">
        <v>211440</v>
      </c>
      <c r="AD71">
        <v>1.22</v>
      </c>
      <c r="AE71">
        <v>43</v>
      </c>
      <c r="AF71">
        <v>30</v>
      </c>
      <c r="AG71" t="s">
        <v>120</v>
      </c>
      <c r="AH71">
        <v>0.08</v>
      </c>
      <c r="AI71" t="s">
        <v>120</v>
      </c>
      <c r="AJ71">
        <v>10.08</v>
      </c>
      <c r="AK71" t="s">
        <v>646</v>
      </c>
      <c r="AL71">
        <v>-1.42</v>
      </c>
      <c r="AM71">
        <v>4502</v>
      </c>
      <c r="AN71">
        <v>104</v>
      </c>
      <c r="AO71">
        <v>1E-3</v>
      </c>
      <c r="AP71">
        <v>-1</v>
      </c>
      <c r="AQ71">
        <v>6.43</v>
      </c>
      <c r="AR71">
        <v>0.1</v>
      </c>
      <c r="AS71">
        <v>21.42</v>
      </c>
      <c r="AT71">
        <v>54.52</v>
      </c>
      <c r="AU71">
        <v>39.340000000000003</v>
      </c>
      <c r="AV71">
        <v>3</v>
      </c>
      <c r="AW71">
        <v>8.19</v>
      </c>
      <c r="AX71">
        <v>56.74</v>
      </c>
      <c r="AY71">
        <v>26.39</v>
      </c>
      <c r="AZ71">
        <v>29.15</v>
      </c>
      <c r="BA71">
        <v>0.02</v>
      </c>
      <c r="BB71" t="s">
        <v>143</v>
      </c>
      <c r="BF71">
        <v>-2.2000000000000002</v>
      </c>
      <c r="BG71">
        <v>-2.2000000000000002</v>
      </c>
      <c r="BH71">
        <v>-3.98</v>
      </c>
      <c r="BI71">
        <v>0.7</v>
      </c>
      <c r="BJ71">
        <v>20210914</v>
      </c>
      <c r="BK71">
        <v>19970418</v>
      </c>
      <c r="BL71">
        <v>10.08</v>
      </c>
      <c r="BM71" t="s">
        <v>120</v>
      </c>
      <c r="BN71" t="s">
        <v>120</v>
      </c>
      <c r="BO71">
        <v>161.93</v>
      </c>
      <c r="BP71">
        <v>20.010000000000002</v>
      </c>
      <c r="BQ71">
        <v>89.97</v>
      </c>
      <c r="BR71">
        <v>5.77</v>
      </c>
      <c r="BS71">
        <v>40.880000000000003</v>
      </c>
      <c r="BT71">
        <v>135.19999999999999</v>
      </c>
      <c r="BU71">
        <v>15.09</v>
      </c>
      <c r="BV71">
        <v>8.35</v>
      </c>
      <c r="BW71">
        <v>57.89</v>
      </c>
      <c r="BX71">
        <v>14.48</v>
      </c>
      <c r="BY71">
        <v>25.16</v>
      </c>
      <c r="BZ71">
        <v>78.34</v>
      </c>
      <c r="CA71" t="s">
        <v>120</v>
      </c>
      <c r="CB71">
        <v>6.95</v>
      </c>
      <c r="CC71">
        <v>49.54</v>
      </c>
      <c r="CD71">
        <v>38.64</v>
      </c>
      <c r="CE71">
        <v>5.46</v>
      </c>
      <c r="CF71">
        <v>0.01</v>
      </c>
      <c r="CG71">
        <v>5.52</v>
      </c>
      <c r="CH71">
        <v>4.78</v>
      </c>
      <c r="CI71">
        <v>4.29</v>
      </c>
      <c r="CJ71">
        <v>-0.69</v>
      </c>
      <c r="CK71">
        <v>4.0999999999999996</v>
      </c>
      <c r="CL71">
        <v>67.67</v>
      </c>
      <c r="CM71">
        <v>-0.46</v>
      </c>
      <c r="CN71">
        <v>-2.69</v>
      </c>
      <c r="CO71">
        <v>90000</v>
      </c>
      <c r="CP71">
        <v>6357</v>
      </c>
      <c r="CQ71" t="s">
        <v>647</v>
      </c>
      <c r="CR71">
        <v>21.19</v>
      </c>
      <c r="CS71">
        <v>19.61</v>
      </c>
      <c r="CT71">
        <v>2.2400000000000002</v>
      </c>
      <c r="CU71">
        <v>-439.5</v>
      </c>
      <c r="CV71">
        <v>4.07</v>
      </c>
      <c r="CW71">
        <v>0.48</v>
      </c>
      <c r="CX71" t="s">
        <v>648</v>
      </c>
      <c r="CY71">
        <v>8.92</v>
      </c>
      <c r="CZ71">
        <v>0</v>
      </c>
      <c r="DA71">
        <v>0.69</v>
      </c>
      <c r="DB71">
        <v>6.71</v>
      </c>
      <c r="DC71">
        <v>-0.05</v>
      </c>
      <c r="DD71">
        <v>55.56</v>
      </c>
      <c r="DE71" t="s">
        <v>649</v>
      </c>
      <c r="DF71">
        <v>22.01</v>
      </c>
      <c r="DG71">
        <v>11.02</v>
      </c>
      <c r="DH71">
        <v>8.67</v>
      </c>
      <c r="DI71">
        <v>2.25</v>
      </c>
      <c r="DJ71">
        <v>5547</v>
      </c>
      <c r="DK71">
        <v>400</v>
      </c>
      <c r="DL71">
        <v>20210902</v>
      </c>
      <c r="DM71">
        <v>21.21</v>
      </c>
      <c r="DN71">
        <v>-5.66</v>
      </c>
    </row>
    <row r="72" spans="1:118">
      <c r="A72" t="str">
        <f>"000401"</f>
        <v>000401</v>
      </c>
      <c r="B72" t="s">
        <v>650</v>
      </c>
      <c r="C72">
        <v>-1.01</v>
      </c>
      <c r="D72">
        <v>-0.35</v>
      </c>
      <c r="E72">
        <v>0.51</v>
      </c>
      <c r="F72">
        <v>6257</v>
      </c>
      <c r="G72" t="s">
        <v>651</v>
      </c>
      <c r="H72">
        <v>33730.050000000003</v>
      </c>
      <c r="I72">
        <v>304.23</v>
      </c>
      <c r="J72" t="s">
        <v>120</v>
      </c>
      <c r="K72" t="s">
        <v>652</v>
      </c>
      <c r="L72">
        <v>1.71</v>
      </c>
      <c r="M72">
        <v>13.72</v>
      </c>
      <c r="N72">
        <v>0.46</v>
      </c>
      <c r="O72">
        <v>2.5299999999999998</v>
      </c>
      <c r="P72">
        <v>14.21</v>
      </c>
      <c r="Q72">
        <v>-1.1499999999999999</v>
      </c>
      <c r="R72">
        <v>13.7</v>
      </c>
      <c r="S72">
        <v>13.93</v>
      </c>
      <c r="T72">
        <v>241680</v>
      </c>
      <c r="U72">
        <v>13.72</v>
      </c>
      <c r="V72">
        <v>13.86</v>
      </c>
      <c r="W72">
        <v>7.9</v>
      </c>
      <c r="X72" t="s">
        <v>653</v>
      </c>
      <c r="Y72" t="s">
        <v>602</v>
      </c>
      <c r="Z72">
        <v>3.68</v>
      </c>
      <c r="AA72">
        <v>13.96</v>
      </c>
      <c r="AB72">
        <v>134312</v>
      </c>
      <c r="AC72">
        <v>107368</v>
      </c>
      <c r="AD72">
        <v>1.25</v>
      </c>
      <c r="AE72">
        <v>2068</v>
      </c>
      <c r="AF72">
        <v>285</v>
      </c>
      <c r="AG72" t="s">
        <v>120</v>
      </c>
      <c r="AH72">
        <v>0.03</v>
      </c>
      <c r="AI72" t="s">
        <v>120</v>
      </c>
      <c r="AJ72">
        <v>14.13</v>
      </c>
      <c r="AK72" t="s">
        <v>654</v>
      </c>
      <c r="AL72">
        <v>0.9</v>
      </c>
      <c r="AM72">
        <v>3843</v>
      </c>
      <c r="AN72">
        <v>63</v>
      </c>
      <c r="AO72">
        <v>4.0000000000000002E-4</v>
      </c>
      <c r="AP72">
        <v>-3</v>
      </c>
      <c r="AQ72">
        <v>-2.39</v>
      </c>
      <c r="AR72">
        <v>-4.91</v>
      </c>
      <c r="AS72">
        <v>7.11</v>
      </c>
      <c r="AT72">
        <v>10.73</v>
      </c>
      <c r="AU72">
        <v>0.51</v>
      </c>
      <c r="AV72">
        <v>0</v>
      </c>
      <c r="AW72">
        <v>2.85</v>
      </c>
      <c r="AX72">
        <v>60.03</v>
      </c>
      <c r="AY72">
        <v>6.37</v>
      </c>
      <c r="AZ72">
        <v>6.87</v>
      </c>
      <c r="BA72">
        <v>0.25</v>
      </c>
      <c r="BB72" t="s">
        <v>143</v>
      </c>
      <c r="BF72">
        <v>0.7</v>
      </c>
      <c r="BG72">
        <v>-1.51</v>
      </c>
      <c r="BH72">
        <v>-3.45</v>
      </c>
      <c r="BI72">
        <v>0.15</v>
      </c>
      <c r="BJ72">
        <v>20210913</v>
      </c>
      <c r="BK72">
        <v>19960614</v>
      </c>
      <c r="BL72">
        <v>14.14</v>
      </c>
      <c r="BM72" t="s">
        <v>120</v>
      </c>
      <c r="BN72" t="s">
        <v>120</v>
      </c>
      <c r="BO72">
        <v>599.14</v>
      </c>
      <c r="BP72">
        <v>13.71</v>
      </c>
      <c r="BQ72">
        <v>190.1</v>
      </c>
      <c r="BR72">
        <v>135.58000000000001</v>
      </c>
      <c r="BS72">
        <v>45.64</v>
      </c>
      <c r="BT72">
        <v>168.49</v>
      </c>
      <c r="BU72">
        <v>305.3</v>
      </c>
      <c r="BV72">
        <v>53.62</v>
      </c>
      <c r="BW72">
        <v>129.69</v>
      </c>
      <c r="BX72">
        <v>75.099999999999994</v>
      </c>
      <c r="BY72">
        <v>32.159999999999997</v>
      </c>
      <c r="BZ72">
        <v>17.2</v>
      </c>
      <c r="CA72" t="s">
        <v>120</v>
      </c>
      <c r="CB72">
        <v>42.32</v>
      </c>
      <c r="CC72">
        <v>163.16</v>
      </c>
      <c r="CD72">
        <v>114.64</v>
      </c>
      <c r="CE72">
        <v>25.56</v>
      </c>
      <c r="CF72">
        <v>2.2400000000000002</v>
      </c>
      <c r="CG72">
        <v>25.75</v>
      </c>
      <c r="CH72">
        <v>20.260000000000002</v>
      </c>
      <c r="CI72">
        <v>12.28</v>
      </c>
      <c r="CJ72">
        <v>-0.14000000000000001</v>
      </c>
      <c r="CK72">
        <v>11.82</v>
      </c>
      <c r="CL72">
        <v>91.04</v>
      </c>
      <c r="CM72">
        <v>31.71</v>
      </c>
      <c r="CN72">
        <v>14.67</v>
      </c>
      <c r="CO72">
        <v>117801</v>
      </c>
      <c r="CP72">
        <v>7204</v>
      </c>
      <c r="CQ72" t="s">
        <v>441</v>
      </c>
      <c r="CR72">
        <v>22.7</v>
      </c>
      <c r="CS72">
        <v>14.47</v>
      </c>
      <c r="CT72">
        <v>1.23</v>
      </c>
      <c r="CU72">
        <v>6.12</v>
      </c>
      <c r="CV72">
        <v>1.19</v>
      </c>
      <c r="CW72">
        <v>3.61</v>
      </c>
      <c r="CX72" t="s">
        <v>655</v>
      </c>
      <c r="CY72">
        <v>11.13</v>
      </c>
      <c r="CZ72">
        <v>11.13</v>
      </c>
      <c r="DA72">
        <v>2.99</v>
      </c>
      <c r="DB72">
        <v>6.44</v>
      </c>
      <c r="DC72">
        <v>2.2400000000000002</v>
      </c>
      <c r="DD72">
        <v>31.73</v>
      </c>
      <c r="DE72" t="s">
        <v>656</v>
      </c>
      <c r="DF72">
        <v>29.74</v>
      </c>
      <c r="DG72">
        <v>15.67</v>
      </c>
      <c r="DH72">
        <v>7.53</v>
      </c>
      <c r="DI72">
        <v>0.67</v>
      </c>
      <c r="DJ72">
        <v>23442</v>
      </c>
      <c r="DK72">
        <v>401</v>
      </c>
      <c r="DL72" t="s">
        <v>120</v>
      </c>
      <c r="DM72" t="s">
        <v>120</v>
      </c>
      <c r="DN72" t="s">
        <v>120</v>
      </c>
    </row>
    <row r="73" spans="1:118">
      <c r="A73" t="str">
        <f>"000402"</f>
        <v>000402</v>
      </c>
      <c r="B73" t="s">
        <v>657</v>
      </c>
      <c r="C73">
        <v>0.65</v>
      </c>
      <c r="D73">
        <v>0</v>
      </c>
      <c r="E73">
        <v>0</v>
      </c>
      <c r="F73">
        <v>3534</v>
      </c>
      <c r="G73" t="s">
        <v>658</v>
      </c>
      <c r="H73">
        <v>12615.11</v>
      </c>
      <c r="I73">
        <v>21.91</v>
      </c>
      <c r="J73" t="s">
        <v>120</v>
      </c>
      <c r="K73" t="s">
        <v>659</v>
      </c>
      <c r="L73">
        <v>0.67</v>
      </c>
      <c r="M73">
        <v>6.23</v>
      </c>
      <c r="N73">
        <v>0.84</v>
      </c>
      <c r="O73">
        <v>2.58</v>
      </c>
      <c r="P73">
        <v>6.35</v>
      </c>
      <c r="Q73">
        <v>-0.32</v>
      </c>
      <c r="R73">
        <v>6.17</v>
      </c>
      <c r="S73">
        <v>6.19</v>
      </c>
      <c r="T73">
        <v>201648</v>
      </c>
      <c r="U73">
        <v>6.24</v>
      </c>
      <c r="V73">
        <v>6.19</v>
      </c>
      <c r="W73">
        <v>15.41</v>
      </c>
      <c r="X73" t="s">
        <v>132</v>
      </c>
      <c r="Y73" t="s">
        <v>158</v>
      </c>
      <c r="Z73">
        <v>2.91</v>
      </c>
      <c r="AA73">
        <v>6.26</v>
      </c>
      <c r="AB73">
        <v>89868</v>
      </c>
      <c r="AC73">
        <v>111780</v>
      </c>
      <c r="AD73">
        <v>0.8</v>
      </c>
      <c r="AE73">
        <v>687</v>
      </c>
      <c r="AF73">
        <v>939</v>
      </c>
      <c r="AG73" t="s">
        <v>120</v>
      </c>
      <c r="AH73">
        <v>0</v>
      </c>
      <c r="AI73" t="s">
        <v>120</v>
      </c>
      <c r="AJ73">
        <v>29.88</v>
      </c>
      <c r="AK73" t="s">
        <v>660</v>
      </c>
      <c r="AL73">
        <v>2.56</v>
      </c>
      <c r="AM73">
        <v>2509</v>
      </c>
      <c r="AN73">
        <v>80</v>
      </c>
      <c r="AO73">
        <v>2.9999999999999997E-4</v>
      </c>
      <c r="AP73">
        <v>1</v>
      </c>
      <c r="AQ73">
        <v>-0.32</v>
      </c>
      <c r="AR73">
        <v>-2.66</v>
      </c>
      <c r="AS73">
        <v>6.86</v>
      </c>
      <c r="AT73">
        <v>-7.98</v>
      </c>
      <c r="AU73">
        <v>1.3</v>
      </c>
      <c r="AV73">
        <v>3</v>
      </c>
      <c r="AW73">
        <v>1.97</v>
      </c>
      <c r="AX73">
        <v>34.21</v>
      </c>
      <c r="AY73">
        <v>6.49</v>
      </c>
      <c r="AZ73">
        <v>7.41</v>
      </c>
      <c r="BA73">
        <v>0.03</v>
      </c>
      <c r="BB73" t="s">
        <v>240</v>
      </c>
      <c r="BF73">
        <v>1.07</v>
      </c>
      <c r="BG73">
        <v>0.65</v>
      </c>
      <c r="BH73">
        <v>-1.89</v>
      </c>
      <c r="BI73">
        <v>0.97</v>
      </c>
      <c r="BJ73">
        <v>20210903</v>
      </c>
      <c r="BK73">
        <v>19960626</v>
      </c>
      <c r="BL73">
        <v>29.89</v>
      </c>
      <c r="BM73" t="s">
        <v>120</v>
      </c>
      <c r="BN73" t="s">
        <v>120</v>
      </c>
      <c r="BO73">
        <v>1683.49</v>
      </c>
      <c r="BP73">
        <v>6.23</v>
      </c>
      <c r="BQ73">
        <v>361.01</v>
      </c>
      <c r="BR73">
        <v>33.85</v>
      </c>
      <c r="BS73">
        <v>76.55</v>
      </c>
      <c r="BT73">
        <v>1184.56</v>
      </c>
      <c r="BU73">
        <v>25.9</v>
      </c>
      <c r="BV73">
        <v>5.27</v>
      </c>
      <c r="BW73">
        <v>580</v>
      </c>
      <c r="BX73">
        <v>183.95</v>
      </c>
      <c r="BY73">
        <v>869.13</v>
      </c>
      <c r="BZ73">
        <v>4.93</v>
      </c>
      <c r="CA73">
        <v>2.25</v>
      </c>
      <c r="CB73">
        <v>68.900000000000006</v>
      </c>
      <c r="CC73">
        <v>54.73</v>
      </c>
      <c r="CD73">
        <v>36.979999999999997</v>
      </c>
      <c r="CE73">
        <v>10.25</v>
      </c>
      <c r="CF73">
        <v>-0.15</v>
      </c>
      <c r="CG73">
        <v>10.35</v>
      </c>
      <c r="CH73">
        <v>6.56</v>
      </c>
      <c r="CI73">
        <v>6.04</v>
      </c>
      <c r="CJ73">
        <v>0.04</v>
      </c>
      <c r="CK73">
        <v>0.68</v>
      </c>
      <c r="CL73">
        <v>239.62</v>
      </c>
      <c r="CM73">
        <v>42.66</v>
      </c>
      <c r="CN73">
        <v>-4.21</v>
      </c>
      <c r="CO73">
        <v>75870</v>
      </c>
      <c r="CP73">
        <v>13477</v>
      </c>
      <c r="CQ73" t="s">
        <v>661</v>
      </c>
      <c r="CR73">
        <v>140.38999999999999</v>
      </c>
      <c r="CS73">
        <v>-6.71</v>
      </c>
      <c r="CT73">
        <v>0.52</v>
      </c>
      <c r="CU73">
        <v>4.3600000000000003</v>
      </c>
      <c r="CV73">
        <v>3.4</v>
      </c>
      <c r="CW73">
        <v>4.8499999999999996</v>
      </c>
      <c r="CX73" t="s">
        <v>492</v>
      </c>
      <c r="CY73">
        <v>12.08</v>
      </c>
      <c r="CZ73">
        <v>0</v>
      </c>
      <c r="DA73">
        <v>2.31</v>
      </c>
      <c r="DB73">
        <v>8.02</v>
      </c>
      <c r="DC73">
        <v>1.43</v>
      </c>
      <c r="DD73">
        <v>21.44</v>
      </c>
      <c r="DE73" t="s">
        <v>662</v>
      </c>
      <c r="DF73">
        <v>32.44</v>
      </c>
      <c r="DG73">
        <v>18.73</v>
      </c>
      <c r="DH73">
        <v>11.04</v>
      </c>
      <c r="DI73" t="s">
        <v>120</v>
      </c>
      <c r="DJ73">
        <v>3548</v>
      </c>
      <c r="DK73">
        <v>402</v>
      </c>
      <c r="DL73" t="s">
        <v>120</v>
      </c>
      <c r="DM73" t="s">
        <v>120</v>
      </c>
      <c r="DN73" t="s">
        <v>120</v>
      </c>
    </row>
    <row r="74" spans="1:118">
      <c r="A74" t="str">
        <f>"000403"</f>
        <v>000403</v>
      </c>
      <c r="B74" t="s">
        <v>663</v>
      </c>
      <c r="C74">
        <v>-1.49</v>
      </c>
      <c r="D74">
        <v>-0.22</v>
      </c>
      <c r="E74">
        <v>0</v>
      </c>
      <c r="F74">
        <v>350</v>
      </c>
      <c r="G74" t="s">
        <v>664</v>
      </c>
      <c r="H74">
        <v>11715.74</v>
      </c>
      <c r="I74">
        <v>39.78</v>
      </c>
      <c r="J74" t="s">
        <v>120</v>
      </c>
      <c r="K74" t="s">
        <v>665</v>
      </c>
      <c r="L74">
        <v>0.84</v>
      </c>
      <c r="M74">
        <v>25.73</v>
      </c>
      <c r="N74">
        <v>1</v>
      </c>
      <c r="O74">
        <v>1.45</v>
      </c>
      <c r="P74">
        <v>26.5</v>
      </c>
      <c r="Q74">
        <v>-2.37</v>
      </c>
      <c r="R74">
        <v>25.5</v>
      </c>
      <c r="S74">
        <v>26.12</v>
      </c>
      <c r="T74">
        <v>44855</v>
      </c>
      <c r="U74">
        <v>25.73</v>
      </c>
      <c r="V74">
        <v>26.12</v>
      </c>
      <c r="W74">
        <v>53.58</v>
      </c>
      <c r="X74" t="s">
        <v>666</v>
      </c>
      <c r="Y74" t="s">
        <v>667</v>
      </c>
      <c r="Z74">
        <v>3.83</v>
      </c>
      <c r="AA74">
        <v>26.12</v>
      </c>
      <c r="AB74">
        <v>20472</v>
      </c>
      <c r="AC74">
        <v>24383</v>
      </c>
      <c r="AD74">
        <v>0.84</v>
      </c>
      <c r="AE74">
        <v>8</v>
      </c>
      <c r="AF74">
        <v>2</v>
      </c>
      <c r="AG74" t="s">
        <v>120</v>
      </c>
      <c r="AH74">
        <v>0.01</v>
      </c>
      <c r="AI74" t="s">
        <v>120</v>
      </c>
      <c r="AJ74">
        <v>5.36</v>
      </c>
      <c r="AK74" t="s">
        <v>668</v>
      </c>
      <c r="AL74">
        <v>0.42</v>
      </c>
      <c r="AM74">
        <v>2923</v>
      </c>
      <c r="AN74">
        <v>15</v>
      </c>
      <c r="AO74">
        <v>2.9999999999999997E-4</v>
      </c>
      <c r="AP74">
        <v>-8</v>
      </c>
      <c r="AQ74">
        <v>-1.28</v>
      </c>
      <c r="AR74">
        <v>-6.84</v>
      </c>
      <c r="AS74">
        <v>-20.78</v>
      </c>
      <c r="AT74">
        <v>-19.170000000000002</v>
      </c>
      <c r="AU74">
        <v>-32.29</v>
      </c>
      <c r="AV74">
        <v>2</v>
      </c>
      <c r="AW74">
        <v>1.49</v>
      </c>
      <c r="AX74">
        <v>40.97</v>
      </c>
      <c r="AY74">
        <v>64.02</v>
      </c>
      <c r="AZ74">
        <v>102.92</v>
      </c>
      <c r="BA74">
        <v>0.84</v>
      </c>
      <c r="BB74" t="s">
        <v>134</v>
      </c>
      <c r="BF74">
        <v>0</v>
      </c>
      <c r="BG74">
        <v>-1.49</v>
      </c>
      <c r="BH74">
        <v>-2.91</v>
      </c>
      <c r="BI74">
        <v>0.9</v>
      </c>
      <c r="BJ74">
        <v>20210828</v>
      </c>
      <c r="BK74">
        <v>19960628</v>
      </c>
      <c r="BL74">
        <v>7.33</v>
      </c>
      <c r="BM74" t="s">
        <v>120</v>
      </c>
      <c r="BN74" t="s">
        <v>120</v>
      </c>
      <c r="BO74">
        <v>67.53</v>
      </c>
      <c r="BP74">
        <v>25.72</v>
      </c>
      <c r="BQ74">
        <v>60.79</v>
      </c>
      <c r="BR74">
        <v>0.02</v>
      </c>
      <c r="BS74">
        <v>9.9499999999999993</v>
      </c>
      <c r="BT74">
        <v>22.17</v>
      </c>
      <c r="BU74">
        <v>7.21</v>
      </c>
      <c r="BV74">
        <v>2.02</v>
      </c>
      <c r="BW74">
        <v>5.39</v>
      </c>
      <c r="BX74">
        <v>6.81</v>
      </c>
      <c r="BY74">
        <v>7.82</v>
      </c>
      <c r="BZ74">
        <v>4.12</v>
      </c>
      <c r="CA74" t="s">
        <v>120</v>
      </c>
      <c r="CB74">
        <v>47.57</v>
      </c>
      <c r="CC74">
        <v>7.91</v>
      </c>
      <c r="CD74">
        <v>4.24</v>
      </c>
      <c r="CE74">
        <v>2.0299999999999998</v>
      </c>
      <c r="CF74">
        <v>0.03</v>
      </c>
      <c r="CG74">
        <v>2.0299999999999998</v>
      </c>
      <c r="CH74">
        <v>1.76</v>
      </c>
      <c r="CI74">
        <v>1.76</v>
      </c>
      <c r="CJ74">
        <v>-0.39</v>
      </c>
      <c r="CK74">
        <v>1.48</v>
      </c>
      <c r="CL74">
        <v>5.5</v>
      </c>
      <c r="CM74">
        <v>1.04</v>
      </c>
      <c r="CN74">
        <v>5.81</v>
      </c>
      <c r="CO74">
        <v>13532</v>
      </c>
      <c r="CP74">
        <v>22185</v>
      </c>
      <c r="CQ74" t="s">
        <v>669</v>
      </c>
      <c r="CR74">
        <v>179.56</v>
      </c>
      <c r="CS74">
        <v>85.1</v>
      </c>
      <c r="CT74">
        <v>3.1</v>
      </c>
      <c r="CU74">
        <v>180.48</v>
      </c>
      <c r="CV74">
        <v>23.85</v>
      </c>
      <c r="CW74">
        <v>0</v>
      </c>
      <c r="CX74" t="s">
        <v>670</v>
      </c>
      <c r="CY74">
        <v>8.3000000000000007</v>
      </c>
      <c r="CZ74">
        <v>8.3000000000000007</v>
      </c>
      <c r="DA74">
        <v>6.49</v>
      </c>
      <c r="DB74">
        <v>0.75</v>
      </c>
      <c r="DC74">
        <v>0.14000000000000001</v>
      </c>
      <c r="DD74">
        <v>90.02</v>
      </c>
      <c r="DE74" t="s">
        <v>671</v>
      </c>
      <c r="DF74">
        <v>46.43</v>
      </c>
      <c r="DG74">
        <v>25.66</v>
      </c>
      <c r="DH74">
        <v>22.26</v>
      </c>
      <c r="DI74">
        <v>0.18</v>
      </c>
      <c r="DJ74">
        <v>902</v>
      </c>
      <c r="DK74">
        <v>403</v>
      </c>
      <c r="DL74" t="s">
        <v>120</v>
      </c>
      <c r="DM74" t="s">
        <v>120</v>
      </c>
      <c r="DN74" t="s">
        <v>120</v>
      </c>
    </row>
    <row r="75" spans="1:118">
      <c r="A75" t="str">
        <f>"000404"</f>
        <v>000404</v>
      </c>
      <c r="B75" t="s">
        <v>672</v>
      </c>
      <c r="C75">
        <v>-2.15</v>
      </c>
      <c r="D75">
        <v>-0.23</v>
      </c>
      <c r="E75">
        <v>0.24</v>
      </c>
      <c r="F75">
        <v>546</v>
      </c>
      <c r="G75" t="s">
        <v>673</v>
      </c>
      <c r="H75">
        <v>4002.34</v>
      </c>
      <c r="I75">
        <v>15.67</v>
      </c>
      <c r="J75" t="s">
        <v>120</v>
      </c>
      <c r="K75" t="s">
        <v>674</v>
      </c>
      <c r="L75">
        <v>1.39</v>
      </c>
      <c r="M75">
        <v>4.09</v>
      </c>
      <c r="N75">
        <v>0.97</v>
      </c>
      <c r="O75">
        <v>1.44</v>
      </c>
      <c r="P75">
        <v>4.24</v>
      </c>
      <c r="Q75">
        <v>-2.39</v>
      </c>
      <c r="R75">
        <v>4.08</v>
      </c>
      <c r="S75">
        <v>4.1900000000000004</v>
      </c>
      <c r="T75">
        <v>96315</v>
      </c>
      <c r="U75">
        <v>4.0999999999999996</v>
      </c>
      <c r="V75">
        <v>4.18</v>
      </c>
      <c r="W75">
        <v>29.13</v>
      </c>
      <c r="X75" t="s">
        <v>675</v>
      </c>
      <c r="Y75" t="s">
        <v>676</v>
      </c>
      <c r="Z75">
        <v>3.83</v>
      </c>
      <c r="AA75">
        <v>4.16</v>
      </c>
      <c r="AB75">
        <v>57284</v>
      </c>
      <c r="AC75">
        <v>39031</v>
      </c>
      <c r="AD75">
        <v>1.47</v>
      </c>
      <c r="AE75">
        <v>596</v>
      </c>
      <c r="AF75">
        <v>496</v>
      </c>
      <c r="AG75" t="s">
        <v>120</v>
      </c>
      <c r="AH75">
        <v>0.01</v>
      </c>
      <c r="AI75" t="s">
        <v>120</v>
      </c>
      <c r="AJ75">
        <v>6.95</v>
      </c>
      <c r="AK75" t="s">
        <v>677</v>
      </c>
      <c r="AL75">
        <v>-0.24</v>
      </c>
      <c r="AM75">
        <v>1413</v>
      </c>
      <c r="AN75">
        <v>68</v>
      </c>
      <c r="AO75">
        <v>1E-3</v>
      </c>
      <c r="AP75">
        <v>-1</v>
      </c>
      <c r="AQ75">
        <v>1.7</v>
      </c>
      <c r="AR75">
        <v>-1.92</v>
      </c>
      <c r="AS75">
        <v>6.79</v>
      </c>
      <c r="AT75">
        <v>3.81</v>
      </c>
      <c r="AU75">
        <v>-17.71</v>
      </c>
      <c r="AV75">
        <v>1</v>
      </c>
      <c r="AW75">
        <v>2</v>
      </c>
      <c r="AX75">
        <v>69.209999999999994</v>
      </c>
      <c r="AY75">
        <v>24.9</v>
      </c>
      <c r="AZ75">
        <v>25.07</v>
      </c>
      <c r="BA75">
        <v>0.3</v>
      </c>
      <c r="BB75" t="s">
        <v>168</v>
      </c>
      <c r="BF75">
        <v>-0.59</v>
      </c>
      <c r="BG75">
        <v>-2.39</v>
      </c>
      <c r="BH75">
        <v>-3.54</v>
      </c>
      <c r="BI75">
        <v>0.25</v>
      </c>
      <c r="BJ75">
        <v>20210806</v>
      </c>
      <c r="BK75">
        <v>19960619</v>
      </c>
      <c r="BL75">
        <v>6.96</v>
      </c>
      <c r="BM75" t="s">
        <v>120</v>
      </c>
      <c r="BN75" t="s">
        <v>120</v>
      </c>
      <c r="BO75">
        <v>121.57</v>
      </c>
      <c r="BP75">
        <v>4.09</v>
      </c>
      <c r="BQ75">
        <v>32.96</v>
      </c>
      <c r="BR75">
        <v>11.44</v>
      </c>
      <c r="BS75">
        <v>63.47</v>
      </c>
      <c r="BT75">
        <v>95.18</v>
      </c>
      <c r="BU75">
        <v>14.38</v>
      </c>
      <c r="BV75">
        <v>3.15</v>
      </c>
      <c r="BW75">
        <v>73.959999999999994</v>
      </c>
      <c r="BX75">
        <v>32.090000000000003</v>
      </c>
      <c r="BY75">
        <v>11.05</v>
      </c>
      <c r="BZ75">
        <v>23.34</v>
      </c>
      <c r="CA75" t="s">
        <v>120</v>
      </c>
      <c r="CB75">
        <v>15.82</v>
      </c>
      <c r="CC75">
        <v>68.03</v>
      </c>
      <c r="CD75">
        <v>61.97</v>
      </c>
      <c r="CE75">
        <v>1.07</v>
      </c>
      <c r="CF75">
        <v>0.43</v>
      </c>
      <c r="CG75">
        <v>1.1100000000000001</v>
      </c>
      <c r="CH75">
        <v>0.94</v>
      </c>
      <c r="CI75">
        <v>0.49</v>
      </c>
      <c r="CJ75">
        <v>-0.09</v>
      </c>
      <c r="CK75">
        <v>0.09</v>
      </c>
      <c r="CL75">
        <v>9.48</v>
      </c>
      <c r="CM75">
        <v>7.43</v>
      </c>
      <c r="CN75">
        <v>5.96</v>
      </c>
      <c r="CO75">
        <v>33772</v>
      </c>
      <c r="CP75">
        <v>14263</v>
      </c>
      <c r="CQ75" t="s">
        <v>678</v>
      </c>
      <c r="CR75">
        <v>1.63</v>
      </c>
      <c r="CS75">
        <v>48.54</v>
      </c>
      <c r="CT75">
        <v>0.86</v>
      </c>
      <c r="CU75">
        <v>3.83</v>
      </c>
      <c r="CV75">
        <v>0.42</v>
      </c>
      <c r="CW75">
        <v>2.39</v>
      </c>
      <c r="CX75" t="s">
        <v>679</v>
      </c>
      <c r="CY75">
        <v>4.74</v>
      </c>
      <c r="CZ75">
        <v>0</v>
      </c>
      <c r="DA75">
        <v>2.27</v>
      </c>
      <c r="DB75">
        <v>1.36</v>
      </c>
      <c r="DC75">
        <v>1.07</v>
      </c>
      <c r="DD75">
        <v>27.12</v>
      </c>
      <c r="DE75" t="s">
        <v>680</v>
      </c>
      <c r="DF75">
        <v>8.91</v>
      </c>
      <c r="DG75">
        <v>1.57</v>
      </c>
      <c r="DH75">
        <v>0.72</v>
      </c>
      <c r="DI75">
        <v>2.09</v>
      </c>
      <c r="DJ75">
        <v>7788</v>
      </c>
      <c r="DK75">
        <v>404</v>
      </c>
      <c r="DL75" t="s">
        <v>120</v>
      </c>
      <c r="DM75" t="s">
        <v>120</v>
      </c>
      <c r="DN75" t="s">
        <v>120</v>
      </c>
    </row>
    <row r="76" spans="1:118">
      <c r="A76" t="str">
        <f>"000407"</f>
        <v>000407</v>
      </c>
      <c r="B76" t="s">
        <v>681</v>
      </c>
      <c r="C76">
        <v>0</v>
      </c>
      <c r="D76">
        <v>0.2</v>
      </c>
      <c r="E76">
        <v>0.99</v>
      </c>
      <c r="F76">
        <v>1820</v>
      </c>
      <c r="G76" t="s">
        <v>682</v>
      </c>
      <c r="H76">
        <v>13523.11</v>
      </c>
      <c r="I76">
        <v>55.85</v>
      </c>
      <c r="J76" t="s">
        <v>120</v>
      </c>
      <c r="K76" t="s">
        <v>683</v>
      </c>
      <c r="L76">
        <v>2.98</v>
      </c>
      <c r="M76">
        <v>5.0599999999999996</v>
      </c>
      <c r="N76">
        <v>0.96</v>
      </c>
      <c r="O76">
        <v>5.34</v>
      </c>
      <c r="P76">
        <v>5.33</v>
      </c>
      <c r="Q76">
        <v>-0.79</v>
      </c>
      <c r="R76">
        <v>5.0199999999999996</v>
      </c>
      <c r="S76">
        <v>5.1100000000000003</v>
      </c>
      <c r="T76">
        <v>260553</v>
      </c>
      <c r="U76">
        <v>5.0599999999999996</v>
      </c>
      <c r="V76">
        <v>5.0599999999999996</v>
      </c>
      <c r="W76">
        <v>12.6</v>
      </c>
      <c r="X76" t="s">
        <v>684</v>
      </c>
      <c r="Y76" t="s">
        <v>638</v>
      </c>
      <c r="Z76">
        <v>6.13</v>
      </c>
      <c r="AA76">
        <v>5.19</v>
      </c>
      <c r="AB76">
        <v>128072</v>
      </c>
      <c r="AC76">
        <v>132481</v>
      </c>
      <c r="AD76">
        <v>0.97</v>
      </c>
      <c r="AE76">
        <v>532</v>
      </c>
      <c r="AF76">
        <v>144</v>
      </c>
      <c r="AG76" t="s">
        <v>120</v>
      </c>
      <c r="AH76">
        <v>0.02</v>
      </c>
      <c r="AI76" t="s">
        <v>120</v>
      </c>
      <c r="AJ76">
        <v>8.76</v>
      </c>
      <c r="AK76" t="s">
        <v>685</v>
      </c>
      <c r="AL76">
        <v>1.91</v>
      </c>
      <c r="AM76">
        <v>2718</v>
      </c>
      <c r="AN76">
        <v>96</v>
      </c>
      <c r="AO76">
        <v>1.1000000000000001E-3</v>
      </c>
      <c r="AP76">
        <v>0</v>
      </c>
      <c r="AQ76">
        <v>1.4</v>
      </c>
      <c r="AR76">
        <v>-0.79</v>
      </c>
      <c r="AS76">
        <v>17.13</v>
      </c>
      <c r="AT76">
        <v>20.76</v>
      </c>
      <c r="AU76">
        <v>19.62</v>
      </c>
      <c r="AV76">
        <v>1</v>
      </c>
      <c r="AW76">
        <v>4.3</v>
      </c>
      <c r="AX76">
        <v>68.88</v>
      </c>
      <c r="AY76">
        <v>18.47</v>
      </c>
      <c r="AZ76">
        <v>31.29</v>
      </c>
      <c r="BA76">
        <v>0.45</v>
      </c>
      <c r="BB76" t="s">
        <v>143</v>
      </c>
      <c r="BF76">
        <v>2.57</v>
      </c>
      <c r="BG76">
        <v>-0.98</v>
      </c>
      <c r="BH76">
        <v>-5.07</v>
      </c>
      <c r="BI76">
        <v>0.8</v>
      </c>
      <c r="BJ76">
        <v>20210826</v>
      </c>
      <c r="BK76">
        <v>19960703</v>
      </c>
      <c r="BL76">
        <v>8.8000000000000007</v>
      </c>
      <c r="BM76" t="s">
        <v>120</v>
      </c>
      <c r="BN76" t="s">
        <v>120</v>
      </c>
      <c r="BO76">
        <v>67.28</v>
      </c>
      <c r="BP76">
        <v>5.05</v>
      </c>
      <c r="BQ76">
        <v>26.2</v>
      </c>
      <c r="BR76">
        <v>4.5599999999999996</v>
      </c>
      <c r="BS76">
        <v>54.28</v>
      </c>
      <c r="BT76">
        <v>19.87</v>
      </c>
      <c r="BU76">
        <v>17.77</v>
      </c>
      <c r="BV76">
        <v>1.1499999999999999</v>
      </c>
      <c r="BW76">
        <v>29.13</v>
      </c>
      <c r="BX76">
        <v>6.75</v>
      </c>
      <c r="BY76">
        <v>4.3099999999999996</v>
      </c>
      <c r="BZ76">
        <v>4.01</v>
      </c>
      <c r="CA76" t="s">
        <v>120</v>
      </c>
      <c r="CB76">
        <v>9.5299999999999994</v>
      </c>
      <c r="CC76">
        <v>20.47</v>
      </c>
      <c r="CD76">
        <v>17.079999999999998</v>
      </c>
      <c r="CE76">
        <v>2.82</v>
      </c>
      <c r="CF76">
        <v>2.31</v>
      </c>
      <c r="CG76">
        <v>2.78</v>
      </c>
      <c r="CH76">
        <v>1.94</v>
      </c>
      <c r="CI76">
        <v>1.77</v>
      </c>
      <c r="CJ76">
        <v>0</v>
      </c>
      <c r="CK76">
        <v>1.71</v>
      </c>
      <c r="CL76">
        <v>6.36</v>
      </c>
      <c r="CM76">
        <v>-0.32</v>
      </c>
      <c r="CN76">
        <v>-1.82</v>
      </c>
      <c r="CO76">
        <v>39630</v>
      </c>
      <c r="CP76">
        <v>15297</v>
      </c>
      <c r="CQ76" t="s">
        <v>686</v>
      </c>
      <c r="CR76">
        <v>126.55</v>
      </c>
      <c r="CS76">
        <v>7.15</v>
      </c>
      <c r="CT76">
        <v>1.7</v>
      </c>
      <c r="CU76">
        <v>-140.82</v>
      </c>
      <c r="CV76">
        <v>2.1800000000000002</v>
      </c>
      <c r="CW76">
        <v>0.4</v>
      </c>
      <c r="CX76" t="s">
        <v>492</v>
      </c>
      <c r="CY76">
        <v>2.98</v>
      </c>
      <c r="CZ76">
        <v>0</v>
      </c>
      <c r="DA76">
        <v>1.08</v>
      </c>
      <c r="DB76">
        <v>0.72</v>
      </c>
      <c r="DC76">
        <v>-0.04</v>
      </c>
      <c r="DD76">
        <v>38.93</v>
      </c>
      <c r="DE76" t="s">
        <v>687</v>
      </c>
      <c r="DF76">
        <v>16.55</v>
      </c>
      <c r="DG76">
        <v>13.78</v>
      </c>
      <c r="DH76">
        <v>8.64</v>
      </c>
      <c r="DI76">
        <v>0.14000000000000001</v>
      </c>
      <c r="DJ76">
        <v>2071</v>
      </c>
      <c r="DK76">
        <v>407</v>
      </c>
      <c r="DL76" t="s">
        <v>120</v>
      </c>
      <c r="DM76" t="s">
        <v>120</v>
      </c>
      <c r="DN76" t="s">
        <v>120</v>
      </c>
    </row>
    <row r="77" spans="1:118">
      <c r="A77" t="str">
        <f>"000408"</f>
        <v>000408</v>
      </c>
      <c r="B77" t="s">
        <v>688</v>
      </c>
      <c r="C77">
        <v>-9.31</v>
      </c>
      <c r="D77">
        <v>0</v>
      </c>
      <c r="E77">
        <v>0.18</v>
      </c>
      <c r="F77">
        <v>4339</v>
      </c>
      <c r="G77" t="s">
        <v>689</v>
      </c>
      <c r="H77">
        <v>135512.28</v>
      </c>
      <c r="I77">
        <v>681.07</v>
      </c>
      <c r="J77" t="s">
        <v>120</v>
      </c>
      <c r="K77" t="s">
        <v>689</v>
      </c>
      <c r="L77">
        <v>9.02</v>
      </c>
      <c r="M77">
        <v>30.6</v>
      </c>
      <c r="N77">
        <v>1.0900000000000001</v>
      </c>
      <c r="O77">
        <v>0.18</v>
      </c>
      <c r="P77">
        <v>33.799999999999997</v>
      </c>
      <c r="Q77">
        <v>-9.99</v>
      </c>
      <c r="R77">
        <v>30.37</v>
      </c>
      <c r="S77">
        <v>33.799999999999997</v>
      </c>
      <c r="T77">
        <v>427162</v>
      </c>
      <c r="U77">
        <v>30.61</v>
      </c>
      <c r="V77">
        <v>33.74</v>
      </c>
      <c r="W77">
        <v>68.48</v>
      </c>
      <c r="X77" t="s">
        <v>690</v>
      </c>
      <c r="Y77" t="s">
        <v>691</v>
      </c>
      <c r="Z77">
        <v>10.17</v>
      </c>
      <c r="AA77">
        <v>31.72</v>
      </c>
      <c r="AB77">
        <v>260339</v>
      </c>
      <c r="AC77">
        <v>166823</v>
      </c>
      <c r="AD77">
        <v>1.56</v>
      </c>
      <c r="AE77">
        <v>1759</v>
      </c>
      <c r="AF77">
        <v>8</v>
      </c>
      <c r="AG77" t="s">
        <v>120</v>
      </c>
      <c r="AH77">
        <v>0.04</v>
      </c>
      <c r="AI77" t="s">
        <v>120</v>
      </c>
      <c r="AJ77">
        <v>4.74</v>
      </c>
      <c r="AK77" t="s">
        <v>692</v>
      </c>
      <c r="AL77">
        <v>-7.39</v>
      </c>
      <c r="AM77">
        <v>4598</v>
      </c>
      <c r="AN77">
        <v>93</v>
      </c>
      <c r="AO77">
        <v>2E-3</v>
      </c>
      <c r="AP77">
        <v>-3</v>
      </c>
      <c r="AQ77">
        <v>-0.18</v>
      </c>
      <c r="AR77">
        <v>-10.56</v>
      </c>
      <c r="AS77">
        <v>4.91</v>
      </c>
      <c r="AT77">
        <v>48.47</v>
      </c>
      <c r="AU77">
        <v>282.02</v>
      </c>
      <c r="AV77">
        <v>23</v>
      </c>
      <c r="AW77">
        <v>9.02</v>
      </c>
      <c r="AX77">
        <v>23.75</v>
      </c>
      <c r="AY77">
        <v>82.42</v>
      </c>
      <c r="AZ77">
        <v>293.89999999999998</v>
      </c>
      <c r="BA77">
        <v>1.1000000000000001</v>
      </c>
      <c r="BB77" t="s">
        <v>143</v>
      </c>
      <c r="BF77">
        <v>-5.98</v>
      </c>
      <c r="BG77">
        <v>-9.4700000000000006</v>
      </c>
      <c r="BH77">
        <v>-9.4700000000000006</v>
      </c>
      <c r="BI77">
        <v>0.76</v>
      </c>
      <c r="BJ77">
        <v>20210905</v>
      </c>
      <c r="BK77">
        <v>19960628</v>
      </c>
      <c r="BL77">
        <v>19.940000000000001</v>
      </c>
      <c r="BM77" t="s">
        <v>120</v>
      </c>
      <c r="BN77" t="s">
        <v>120</v>
      </c>
      <c r="BO77">
        <v>89.18</v>
      </c>
      <c r="BP77">
        <v>30.6</v>
      </c>
      <c r="BQ77">
        <v>83.39</v>
      </c>
      <c r="BR77" t="s">
        <v>120</v>
      </c>
      <c r="BS77">
        <v>6.49</v>
      </c>
      <c r="BT77">
        <v>24.24</v>
      </c>
      <c r="BU77">
        <v>34.090000000000003</v>
      </c>
      <c r="BV77">
        <v>2.79</v>
      </c>
      <c r="BW77">
        <v>5.51</v>
      </c>
      <c r="BX77">
        <v>9.14</v>
      </c>
      <c r="BY77">
        <v>5.21</v>
      </c>
      <c r="BZ77">
        <v>0.61</v>
      </c>
      <c r="CA77">
        <v>0.01</v>
      </c>
      <c r="CB77">
        <v>12.55</v>
      </c>
      <c r="CC77">
        <v>11.02</v>
      </c>
      <c r="CD77">
        <v>6.63</v>
      </c>
      <c r="CE77">
        <v>5.14</v>
      </c>
      <c r="CF77">
        <v>2.11</v>
      </c>
      <c r="CG77">
        <v>5.0199999999999996</v>
      </c>
      <c r="CH77">
        <v>4.45</v>
      </c>
      <c r="CI77">
        <v>4.45</v>
      </c>
      <c r="CJ77">
        <v>-3.14</v>
      </c>
      <c r="CK77">
        <v>3.07</v>
      </c>
      <c r="CL77">
        <v>48.58</v>
      </c>
      <c r="CM77">
        <v>6.01</v>
      </c>
      <c r="CN77">
        <v>4.5999999999999996</v>
      </c>
      <c r="CO77">
        <v>53659</v>
      </c>
      <c r="CP77">
        <v>8824</v>
      </c>
      <c r="CQ77" t="s">
        <v>693</v>
      </c>
      <c r="CR77">
        <v>414</v>
      </c>
      <c r="CS77">
        <v>23.93</v>
      </c>
      <c r="CT77">
        <v>7.32</v>
      </c>
      <c r="CU77">
        <v>101.6</v>
      </c>
      <c r="CV77">
        <v>55.37</v>
      </c>
      <c r="CW77">
        <v>0</v>
      </c>
      <c r="CX77" t="s">
        <v>694</v>
      </c>
      <c r="CY77">
        <v>4.18</v>
      </c>
      <c r="CZ77">
        <v>0</v>
      </c>
      <c r="DA77">
        <v>0.63</v>
      </c>
      <c r="DB77">
        <v>2.44</v>
      </c>
      <c r="DC77">
        <v>0.3</v>
      </c>
      <c r="DD77">
        <v>93.51</v>
      </c>
      <c r="DE77" t="s">
        <v>695</v>
      </c>
      <c r="DF77">
        <v>39.86</v>
      </c>
      <c r="DG77">
        <v>46.67</v>
      </c>
      <c r="DH77">
        <v>40.43</v>
      </c>
      <c r="DI77">
        <v>0.08</v>
      </c>
      <c r="DJ77">
        <v>1603</v>
      </c>
      <c r="DK77">
        <v>408</v>
      </c>
      <c r="DL77">
        <v>20210825</v>
      </c>
      <c r="DM77">
        <v>30.6</v>
      </c>
      <c r="DN77">
        <v>0</v>
      </c>
    </row>
    <row r="78" spans="1:118">
      <c r="A78" t="str">
        <f>"000409"</f>
        <v>000409</v>
      </c>
      <c r="B78" t="s">
        <v>696</v>
      </c>
      <c r="C78">
        <v>-4.57</v>
      </c>
      <c r="D78">
        <v>-0.37</v>
      </c>
      <c r="E78">
        <v>0.18</v>
      </c>
      <c r="F78">
        <v>2249</v>
      </c>
      <c r="G78" t="s">
        <v>697</v>
      </c>
      <c r="H78">
        <v>12771.97</v>
      </c>
      <c r="I78">
        <v>464.68</v>
      </c>
      <c r="J78" t="s">
        <v>120</v>
      </c>
      <c r="K78" t="s">
        <v>698</v>
      </c>
      <c r="L78">
        <v>5.92</v>
      </c>
      <c r="M78">
        <v>5.22</v>
      </c>
      <c r="N78">
        <v>1.76</v>
      </c>
      <c r="O78">
        <v>0.55000000000000004</v>
      </c>
      <c r="P78">
        <v>5.5</v>
      </c>
      <c r="Q78">
        <v>-4.57</v>
      </c>
      <c r="R78">
        <v>5.22</v>
      </c>
      <c r="S78">
        <v>5.48</v>
      </c>
      <c r="T78">
        <v>240108</v>
      </c>
      <c r="U78">
        <v>5.23</v>
      </c>
      <c r="V78">
        <v>5.47</v>
      </c>
      <c r="W78">
        <v>100.99</v>
      </c>
      <c r="X78" t="s">
        <v>141</v>
      </c>
      <c r="Y78" t="s">
        <v>638</v>
      </c>
      <c r="Z78">
        <v>5.12</v>
      </c>
      <c r="AA78">
        <v>5.32</v>
      </c>
      <c r="AB78">
        <v>150619</v>
      </c>
      <c r="AC78">
        <v>89489</v>
      </c>
      <c r="AD78">
        <v>1.68</v>
      </c>
      <c r="AE78">
        <v>2214</v>
      </c>
      <c r="AF78">
        <v>37</v>
      </c>
      <c r="AG78" t="s">
        <v>120</v>
      </c>
      <c r="AH78">
        <v>0.25</v>
      </c>
      <c r="AI78" t="s">
        <v>120</v>
      </c>
      <c r="AJ78">
        <v>4.0599999999999996</v>
      </c>
      <c r="AK78" t="s">
        <v>699</v>
      </c>
      <c r="AL78">
        <v>-2.66</v>
      </c>
      <c r="AM78">
        <v>2559</v>
      </c>
      <c r="AN78">
        <v>94</v>
      </c>
      <c r="AO78">
        <v>2.3E-3</v>
      </c>
      <c r="AP78">
        <v>-1</v>
      </c>
      <c r="AQ78">
        <v>7.05</v>
      </c>
      <c r="AR78">
        <v>0.2</v>
      </c>
      <c r="AS78">
        <v>14.48</v>
      </c>
      <c r="AT78">
        <v>-0.19</v>
      </c>
      <c r="AU78">
        <v>28.26</v>
      </c>
      <c r="AV78">
        <v>9</v>
      </c>
      <c r="AW78">
        <v>7.06</v>
      </c>
      <c r="AX78">
        <v>66.52</v>
      </c>
      <c r="AY78">
        <v>48.96</v>
      </c>
      <c r="AZ78">
        <v>37.840000000000003</v>
      </c>
      <c r="BA78">
        <v>0.46</v>
      </c>
      <c r="BB78" t="s">
        <v>700</v>
      </c>
      <c r="BF78">
        <v>-2.76</v>
      </c>
      <c r="BG78">
        <v>-4.74</v>
      </c>
      <c r="BH78">
        <v>-5.09</v>
      </c>
      <c r="BI78">
        <v>0</v>
      </c>
      <c r="BJ78">
        <v>20210827</v>
      </c>
      <c r="BK78">
        <v>19960627</v>
      </c>
      <c r="BL78">
        <v>5.1100000000000003</v>
      </c>
      <c r="BM78" t="s">
        <v>120</v>
      </c>
      <c r="BN78" t="s">
        <v>120</v>
      </c>
      <c r="BO78">
        <v>9.3000000000000007</v>
      </c>
      <c r="BP78">
        <v>5.22</v>
      </c>
      <c r="BQ78">
        <v>5.13</v>
      </c>
      <c r="BR78">
        <v>0.73</v>
      </c>
      <c r="BS78">
        <v>36.96</v>
      </c>
      <c r="BT78">
        <v>6.22</v>
      </c>
      <c r="BU78">
        <v>1.85</v>
      </c>
      <c r="BV78">
        <v>0.12</v>
      </c>
      <c r="BW78">
        <v>3.41</v>
      </c>
      <c r="BX78">
        <v>1.47</v>
      </c>
      <c r="BY78">
        <v>0.99</v>
      </c>
      <c r="BZ78">
        <v>2.4900000000000002</v>
      </c>
      <c r="CA78">
        <v>0.02</v>
      </c>
      <c r="CB78">
        <v>5.35</v>
      </c>
      <c r="CC78">
        <v>1.29</v>
      </c>
      <c r="CD78">
        <v>0.61</v>
      </c>
      <c r="CE78">
        <v>0.2</v>
      </c>
      <c r="CF78">
        <v>0</v>
      </c>
      <c r="CG78">
        <v>0.2</v>
      </c>
      <c r="CH78">
        <v>0.15</v>
      </c>
      <c r="CI78">
        <v>0.13</v>
      </c>
      <c r="CJ78">
        <v>-0.25</v>
      </c>
      <c r="CK78">
        <v>0.13</v>
      </c>
      <c r="CL78">
        <v>-5.36</v>
      </c>
      <c r="CM78">
        <v>-0.11</v>
      </c>
      <c r="CN78">
        <v>-0.35</v>
      </c>
      <c r="CO78">
        <v>34013</v>
      </c>
      <c r="CP78">
        <v>9992</v>
      </c>
      <c r="CQ78" t="s">
        <v>701</v>
      </c>
      <c r="CR78">
        <v>-55.94</v>
      </c>
      <c r="CS78">
        <v>-93.04</v>
      </c>
      <c r="CT78">
        <v>5.2</v>
      </c>
      <c r="CU78">
        <v>-232.61</v>
      </c>
      <c r="CV78">
        <v>20.71</v>
      </c>
      <c r="CW78">
        <v>0</v>
      </c>
      <c r="CX78" t="s">
        <v>702</v>
      </c>
      <c r="CY78">
        <v>1</v>
      </c>
      <c r="CZ78">
        <v>0</v>
      </c>
      <c r="DA78">
        <v>1.05</v>
      </c>
      <c r="DB78">
        <v>-1.05</v>
      </c>
      <c r="DC78">
        <v>-0.02</v>
      </c>
      <c r="DD78">
        <v>55.18</v>
      </c>
      <c r="DE78" t="s">
        <v>703</v>
      </c>
      <c r="DF78">
        <v>52.36</v>
      </c>
      <c r="DG78">
        <v>15.58</v>
      </c>
      <c r="DH78">
        <v>10.25</v>
      </c>
      <c r="DI78">
        <v>7.0000000000000007E-2</v>
      </c>
      <c r="DJ78">
        <v>381</v>
      </c>
      <c r="DK78">
        <v>409</v>
      </c>
      <c r="DL78" t="s">
        <v>120</v>
      </c>
      <c r="DM78" t="s">
        <v>120</v>
      </c>
      <c r="DN78" t="s">
        <v>120</v>
      </c>
    </row>
    <row r="79" spans="1:118">
      <c r="A79" t="str">
        <f>"000411"</f>
        <v>000411</v>
      </c>
      <c r="B79" t="s">
        <v>704</v>
      </c>
      <c r="C79">
        <v>-0.49</v>
      </c>
      <c r="D79">
        <v>0.08</v>
      </c>
      <c r="E79">
        <v>0.33</v>
      </c>
      <c r="F79">
        <v>53</v>
      </c>
      <c r="G79" t="s">
        <v>705</v>
      </c>
      <c r="H79">
        <v>2036.64</v>
      </c>
      <c r="I79">
        <v>1.34</v>
      </c>
      <c r="J79" t="s">
        <v>120</v>
      </c>
      <c r="K79" t="s">
        <v>706</v>
      </c>
      <c r="L79">
        <v>0.81</v>
      </c>
      <c r="M79">
        <v>12.1</v>
      </c>
      <c r="N79">
        <v>0.99</v>
      </c>
      <c r="O79">
        <v>1.56</v>
      </c>
      <c r="P79">
        <v>12.35</v>
      </c>
      <c r="Q79">
        <v>-0.74</v>
      </c>
      <c r="R79">
        <v>12.07</v>
      </c>
      <c r="S79">
        <v>12.2</v>
      </c>
      <c r="T79">
        <v>16693</v>
      </c>
      <c r="U79">
        <v>12.1</v>
      </c>
      <c r="V79">
        <v>12.16</v>
      </c>
      <c r="W79">
        <v>16.14</v>
      </c>
      <c r="X79" t="s">
        <v>274</v>
      </c>
      <c r="Y79" t="s">
        <v>585</v>
      </c>
      <c r="Z79">
        <v>2.2999999999999998</v>
      </c>
      <c r="AA79">
        <v>12.2</v>
      </c>
      <c r="AB79">
        <v>8423</v>
      </c>
      <c r="AC79">
        <v>8270</v>
      </c>
      <c r="AD79">
        <v>1.02</v>
      </c>
      <c r="AE79">
        <v>20</v>
      </c>
      <c r="AF79">
        <v>145</v>
      </c>
      <c r="AG79" t="s">
        <v>120</v>
      </c>
      <c r="AH79">
        <v>0</v>
      </c>
      <c r="AI79" t="s">
        <v>120</v>
      </c>
      <c r="AJ79">
        <v>2.0699999999999998</v>
      </c>
      <c r="AK79" t="s">
        <v>707</v>
      </c>
      <c r="AL79">
        <v>1.42</v>
      </c>
      <c r="AM79">
        <v>1101</v>
      </c>
      <c r="AN79">
        <v>15</v>
      </c>
      <c r="AO79">
        <v>6.9999999999999999E-4</v>
      </c>
      <c r="AP79">
        <v>-1</v>
      </c>
      <c r="AQ79">
        <v>0.41</v>
      </c>
      <c r="AR79">
        <v>-2.02</v>
      </c>
      <c r="AS79">
        <v>0.92</v>
      </c>
      <c r="AT79">
        <v>-8.33</v>
      </c>
      <c r="AU79">
        <v>-37.35</v>
      </c>
      <c r="AV79">
        <v>3</v>
      </c>
      <c r="AW79">
        <v>1.78</v>
      </c>
      <c r="AX79">
        <v>37.74</v>
      </c>
      <c r="AY79">
        <v>17.809999999999999</v>
      </c>
      <c r="AZ79">
        <v>19.309999999999999</v>
      </c>
      <c r="BA79">
        <v>0.52</v>
      </c>
      <c r="BB79" t="s">
        <v>143</v>
      </c>
      <c r="BF79">
        <v>0.33</v>
      </c>
      <c r="BG79">
        <v>-0.82</v>
      </c>
      <c r="BH79">
        <v>-2.02</v>
      </c>
      <c r="BI79">
        <v>0.25</v>
      </c>
      <c r="BJ79">
        <v>20210830</v>
      </c>
      <c r="BK79">
        <v>19960716</v>
      </c>
      <c r="BL79">
        <v>2.4900000000000002</v>
      </c>
      <c r="BM79" t="s">
        <v>120</v>
      </c>
      <c r="BN79" t="s">
        <v>120</v>
      </c>
      <c r="BO79">
        <v>126.15</v>
      </c>
      <c r="BP79">
        <v>12.09</v>
      </c>
      <c r="BQ79">
        <v>18.46</v>
      </c>
      <c r="BR79">
        <v>16.39</v>
      </c>
      <c r="BS79">
        <v>72.37</v>
      </c>
      <c r="BT79">
        <v>112.37</v>
      </c>
      <c r="BU79">
        <v>5.16</v>
      </c>
      <c r="BV79">
        <v>1.03</v>
      </c>
      <c r="BW79">
        <v>81.040000000000006</v>
      </c>
      <c r="BX79">
        <v>24.48</v>
      </c>
      <c r="BY79">
        <v>25.28</v>
      </c>
      <c r="BZ79">
        <v>56.49</v>
      </c>
      <c r="CA79">
        <v>0</v>
      </c>
      <c r="CB79">
        <v>4.5</v>
      </c>
      <c r="CC79">
        <v>130.69999999999999</v>
      </c>
      <c r="CD79">
        <v>122</v>
      </c>
      <c r="CE79">
        <v>2.99</v>
      </c>
      <c r="CF79">
        <v>0</v>
      </c>
      <c r="CG79">
        <v>2.88</v>
      </c>
      <c r="CH79">
        <v>2.17</v>
      </c>
      <c r="CI79">
        <v>0.93</v>
      </c>
      <c r="CJ79">
        <v>-0.06</v>
      </c>
      <c r="CK79">
        <v>0.87</v>
      </c>
      <c r="CL79">
        <v>10.16</v>
      </c>
      <c r="CM79">
        <v>0.05</v>
      </c>
      <c r="CN79">
        <v>7.11</v>
      </c>
      <c r="CO79">
        <v>30604</v>
      </c>
      <c r="CP79">
        <v>3070</v>
      </c>
      <c r="CQ79" t="s">
        <v>708</v>
      </c>
      <c r="CR79">
        <v>16.489999999999998</v>
      </c>
      <c r="CS79">
        <v>10.15</v>
      </c>
      <c r="CT79">
        <v>1.73</v>
      </c>
      <c r="CU79">
        <v>603.67999999999995</v>
      </c>
      <c r="CV79">
        <v>0.23</v>
      </c>
      <c r="CW79">
        <v>0.53</v>
      </c>
      <c r="CX79" t="s">
        <v>709</v>
      </c>
      <c r="CY79">
        <v>6.98</v>
      </c>
      <c r="CZ79">
        <v>6.98</v>
      </c>
      <c r="DA79">
        <v>1.81</v>
      </c>
      <c r="DB79">
        <v>4.08</v>
      </c>
      <c r="DC79">
        <v>0.02</v>
      </c>
      <c r="DD79">
        <v>14.64</v>
      </c>
      <c r="DE79" t="s">
        <v>710</v>
      </c>
      <c r="DF79">
        <v>6.66</v>
      </c>
      <c r="DG79">
        <v>2.29</v>
      </c>
      <c r="DH79">
        <v>0.71</v>
      </c>
      <c r="DI79">
        <v>0.01</v>
      </c>
      <c r="DJ79">
        <v>2710</v>
      </c>
      <c r="DK79">
        <v>411</v>
      </c>
      <c r="DL79" t="s">
        <v>120</v>
      </c>
      <c r="DM79" t="s">
        <v>120</v>
      </c>
      <c r="DN79" t="s">
        <v>120</v>
      </c>
    </row>
    <row r="80" spans="1:118">
      <c r="A80" t="str">
        <f>"000413"</f>
        <v>000413</v>
      </c>
      <c r="B80" t="s">
        <v>711</v>
      </c>
      <c r="C80">
        <v>0.41</v>
      </c>
      <c r="D80">
        <v>0</v>
      </c>
      <c r="E80">
        <v>0</v>
      </c>
      <c r="F80">
        <v>21497</v>
      </c>
      <c r="G80" t="s">
        <v>712</v>
      </c>
      <c r="H80">
        <v>106045.92</v>
      </c>
      <c r="I80">
        <v>2008.19</v>
      </c>
      <c r="J80" t="s">
        <v>120</v>
      </c>
      <c r="K80" t="s">
        <v>713</v>
      </c>
      <c r="L80">
        <v>8.7100000000000009</v>
      </c>
      <c r="M80">
        <v>2.46</v>
      </c>
      <c r="N80">
        <v>2.82</v>
      </c>
      <c r="O80">
        <v>6.94</v>
      </c>
      <c r="P80">
        <v>2.62</v>
      </c>
      <c r="Q80">
        <v>-1.22</v>
      </c>
      <c r="R80">
        <v>2.42</v>
      </c>
      <c r="S80">
        <v>2.4500000000000002</v>
      </c>
      <c r="T80">
        <v>4234848</v>
      </c>
      <c r="U80">
        <v>2.46</v>
      </c>
      <c r="V80">
        <v>2.4500000000000002</v>
      </c>
      <c r="W80" t="s">
        <v>120</v>
      </c>
      <c r="X80" t="s">
        <v>229</v>
      </c>
      <c r="Y80" t="s">
        <v>602</v>
      </c>
      <c r="Z80">
        <v>8.16</v>
      </c>
      <c r="AA80">
        <v>2.5</v>
      </c>
      <c r="AB80">
        <v>1952622</v>
      </c>
      <c r="AC80">
        <v>2282226</v>
      </c>
      <c r="AD80">
        <v>0.86</v>
      </c>
      <c r="AE80">
        <v>33501</v>
      </c>
      <c r="AF80">
        <v>12901</v>
      </c>
      <c r="AG80" t="s">
        <v>120</v>
      </c>
      <c r="AH80">
        <v>0.2</v>
      </c>
      <c r="AI80" t="s">
        <v>120</v>
      </c>
      <c r="AJ80">
        <v>48.64</v>
      </c>
      <c r="AK80" t="s">
        <v>714</v>
      </c>
      <c r="AL80">
        <v>2.3199999999999998</v>
      </c>
      <c r="AM80">
        <v>4526</v>
      </c>
      <c r="AN80">
        <v>936</v>
      </c>
      <c r="AO80">
        <v>1.9E-3</v>
      </c>
      <c r="AP80">
        <v>2</v>
      </c>
      <c r="AQ80">
        <v>9.8699999999999992</v>
      </c>
      <c r="AR80">
        <v>7.43</v>
      </c>
      <c r="AS80">
        <v>13.36</v>
      </c>
      <c r="AT80">
        <v>14.42</v>
      </c>
      <c r="AU80">
        <v>-3.91</v>
      </c>
      <c r="AV80">
        <v>3</v>
      </c>
      <c r="AW80">
        <v>10.46</v>
      </c>
      <c r="AX80">
        <v>70.67</v>
      </c>
      <c r="AY80" t="s">
        <v>120</v>
      </c>
      <c r="AZ80" t="s">
        <v>120</v>
      </c>
      <c r="BA80">
        <v>0.21</v>
      </c>
      <c r="BB80" t="s">
        <v>168</v>
      </c>
      <c r="BF80">
        <v>2.21</v>
      </c>
      <c r="BG80">
        <v>0.41</v>
      </c>
      <c r="BH80">
        <v>-6.11</v>
      </c>
      <c r="BI80">
        <v>1.65</v>
      </c>
      <c r="BJ80">
        <v>20210831</v>
      </c>
      <c r="BK80">
        <v>19960925</v>
      </c>
      <c r="BL80">
        <v>57.3</v>
      </c>
      <c r="BM80">
        <v>2.5</v>
      </c>
      <c r="BN80" t="s">
        <v>120</v>
      </c>
      <c r="BO80">
        <v>626.25</v>
      </c>
      <c r="BP80">
        <v>2.4500000000000002</v>
      </c>
      <c r="BQ80">
        <v>266.82</v>
      </c>
      <c r="BR80">
        <v>10.66</v>
      </c>
      <c r="BS80">
        <v>55.69</v>
      </c>
      <c r="BT80">
        <v>331.67</v>
      </c>
      <c r="BU80">
        <v>78.97</v>
      </c>
      <c r="BV80">
        <v>38.72</v>
      </c>
      <c r="BW80">
        <v>302.62</v>
      </c>
      <c r="BX80">
        <v>93.37</v>
      </c>
      <c r="BY80">
        <v>19.940000000000001</v>
      </c>
      <c r="BZ80">
        <v>76.37</v>
      </c>
      <c r="CA80">
        <v>3.2</v>
      </c>
      <c r="CB80">
        <v>218.31</v>
      </c>
      <c r="CC80">
        <v>24.91</v>
      </c>
      <c r="CD80">
        <v>22.34</v>
      </c>
      <c r="CE80">
        <v>-10.54</v>
      </c>
      <c r="CF80">
        <v>-0.22</v>
      </c>
      <c r="CG80">
        <v>-10.55</v>
      </c>
      <c r="CH80">
        <v>-10.92</v>
      </c>
      <c r="CI80">
        <v>-10.66</v>
      </c>
      <c r="CJ80">
        <v>0.01</v>
      </c>
      <c r="CK80">
        <v>-13.69</v>
      </c>
      <c r="CL80">
        <v>-16.59</v>
      </c>
      <c r="CM80">
        <v>5.34</v>
      </c>
      <c r="CN80">
        <v>-3.58</v>
      </c>
      <c r="CO80">
        <v>313121</v>
      </c>
      <c r="CP80">
        <v>13731</v>
      </c>
      <c r="CQ80" t="s">
        <v>715</v>
      </c>
      <c r="CR80">
        <v>-18.88</v>
      </c>
      <c r="CS80">
        <v>-10.11</v>
      </c>
      <c r="CT80">
        <v>0.53</v>
      </c>
      <c r="CU80">
        <v>26.38</v>
      </c>
      <c r="CV80">
        <v>5.66</v>
      </c>
      <c r="CW80">
        <v>0</v>
      </c>
      <c r="CX80" t="s">
        <v>716</v>
      </c>
      <c r="CY80">
        <v>4.66</v>
      </c>
      <c r="CZ80">
        <v>0</v>
      </c>
      <c r="DA80">
        <v>3.81</v>
      </c>
      <c r="DB80">
        <v>-0.28999999999999998</v>
      </c>
      <c r="DC80">
        <v>0.09</v>
      </c>
      <c r="DD80">
        <v>42.61</v>
      </c>
      <c r="DE80" t="s">
        <v>717</v>
      </c>
      <c r="DF80">
        <v>10.29</v>
      </c>
      <c r="DG80">
        <v>-42.31</v>
      </c>
      <c r="DH80">
        <v>-42.81</v>
      </c>
      <c r="DI80">
        <v>0.73</v>
      </c>
      <c r="DJ80">
        <v>4557</v>
      </c>
      <c r="DK80">
        <v>413</v>
      </c>
      <c r="DL80" t="s">
        <v>120</v>
      </c>
      <c r="DM80" t="s">
        <v>120</v>
      </c>
      <c r="DN80" t="s">
        <v>120</v>
      </c>
    </row>
    <row r="81" spans="1:118">
      <c r="A81" t="str">
        <f>"000415"</f>
        <v>000415</v>
      </c>
      <c r="B81" t="s">
        <v>718</v>
      </c>
      <c r="C81">
        <v>-1.06</v>
      </c>
      <c r="D81">
        <v>0.36</v>
      </c>
      <c r="E81">
        <v>1.41</v>
      </c>
      <c r="F81">
        <v>1705</v>
      </c>
      <c r="G81" t="s">
        <v>719</v>
      </c>
      <c r="H81">
        <v>7587.1</v>
      </c>
      <c r="I81">
        <v>52.82</v>
      </c>
      <c r="J81" t="s">
        <v>120</v>
      </c>
      <c r="K81" t="s">
        <v>720</v>
      </c>
      <c r="L81">
        <v>0.76</v>
      </c>
      <c r="M81">
        <v>2.81</v>
      </c>
      <c r="N81">
        <v>0.7</v>
      </c>
      <c r="O81">
        <v>2.82</v>
      </c>
      <c r="P81">
        <v>2.92</v>
      </c>
      <c r="Q81">
        <v>-2.46</v>
      </c>
      <c r="R81">
        <v>2.77</v>
      </c>
      <c r="S81">
        <v>2.88</v>
      </c>
      <c r="T81">
        <v>268210</v>
      </c>
      <c r="U81">
        <v>2.81</v>
      </c>
      <c r="V81">
        <v>2.84</v>
      </c>
      <c r="W81" t="s">
        <v>120</v>
      </c>
      <c r="X81" t="s">
        <v>721</v>
      </c>
      <c r="Y81" t="s">
        <v>609</v>
      </c>
      <c r="Z81">
        <v>5.28</v>
      </c>
      <c r="AA81">
        <v>2.83</v>
      </c>
      <c r="AB81">
        <v>152571</v>
      </c>
      <c r="AC81">
        <v>115639</v>
      </c>
      <c r="AD81">
        <v>1.32</v>
      </c>
      <c r="AE81">
        <v>598</v>
      </c>
      <c r="AF81">
        <v>1916</v>
      </c>
      <c r="AG81" t="s">
        <v>120</v>
      </c>
      <c r="AH81">
        <v>0.01</v>
      </c>
      <c r="AI81" t="s">
        <v>120</v>
      </c>
      <c r="AJ81">
        <v>35.47</v>
      </c>
      <c r="AK81" t="s">
        <v>722</v>
      </c>
      <c r="AL81">
        <v>0.86</v>
      </c>
      <c r="AM81">
        <v>2648</v>
      </c>
      <c r="AN81">
        <v>101</v>
      </c>
      <c r="AO81">
        <v>2.9999999999999997E-4</v>
      </c>
      <c r="AP81">
        <v>-1</v>
      </c>
      <c r="AQ81">
        <v>1.43</v>
      </c>
      <c r="AR81">
        <v>-4.0999999999999996</v>
      </c>
      <c r="AS81">
        <v>10.19</v>
      </c>
      <c r="AT81">
        <v>17.079999999999998</v>
      </c>
      <c r="AU81">
        <v>17.079999999999998</v>
      </c>
      <c r="AV81">
        <v>3</v>
      </c>
      <c r="AW81">
        <v>1.32</v>
      </c>
      <c r="AX81">
        <v>32.86</v>
      </c>
      <c r="AY81" t="s">
        <v>120</v>
      </c>
      <c r="AZ81" t="s">
        <v>120</v>
      </c>
      <c r="BA81">
        <v>0.28999999999999998</v>
      </c>
      <c r="BB81" t="s">
        <v>143</v>
      </c>
      <c r="BF81">
        <v>-0.39</v>
      </c>
      <c r="BG81">
        <v>-2.4300000000000002</v>
      </c>
      <c r="BH81">
        <v>-3.77</v>
      </c>
      <c r="BI81">
        <v>1.44</v>
      </c>
      <c r="BJ81">
        <v>20210831</v>
      </c>
      <c r="BK81">
        <v>19960716</v>
      </c>
      <c r="BL81">
        <v>61.85</v>
      </c>
      <c r="BM81" t="s">
        <v>120</v>
      </c>
      <c r="BN81" t="s">
        <v>120</v>
      </c>
      <c r="BO81">
        <v>2507.31</v>
      </c>
      <c r="BP81">
        <v>2.8</v>
      </c>
      <c r="BQ81">
        <v>260.08</v>
      </c>
      <c r="BR81">
        <v>141.12</v>
      </c>
      <c r="BS81">
        <v>84</v>
      </c>
      <c r="BT81">
        <v>229.19</v>
      </c>
      <c r="BU81">
        <v>1879.98</v>
      </c>
      <c r="BV81">
        <v>1.43</v>
      </c>
      <c r="BW81">
        <v>364.46</v>
      </c>
      <c r="BX81">
        <v>136.96</v>
      </c>
      <c r="BY81">
        <v>0.11</v>
      </c>
      <c r="BZ81">
        <v>62.42</v>
      </c>
      <c r="CA81">
        <v>9.3800000000000008</v>
      </c>
      <c r="CB81">
        <v>171.22</v>
      </c>
      <c r="CC81">
        <v>119.27</v>
      </c>
      <c r="CD81">
        <v>67.150000000000006</v>
      </c>
      <c r="CE81">
        <v>-16.57</v>
      </c>
      <c r="CF81">
        <v>-0.41</v>
      </c>
      <c r="CG81">
        <v>-16.170000000000002</v>
      </c>
      <c r="CH81">
        <v>-13.89</v>
      </c>
      <c r="CI81">
        <v>-11.83</v>
      </c>
      <c r="CJ81">
        <v>-0.03</v>
      </c>
      <c r="CK81">
        <v>-12.27</v>
      </c>
      <c r="CL81">
        <v>32.35</v>
      </c>
      <c r="CM81">
        <v>63.21</v>
      </c>
      <c r="CN81">
        <v>-41.07</v>
      </c>
      <c r="CO81">
        <v>86565</v>
      </c>
      <c r="CP81">
        <v>23478</v>
      </c>
      <c r="CQ81" t="s">
        <v>723</v>
      </c>
      <c r="CR81">
        <v>52.94</v>
      </c>
      <c r="CS81">
        <v>-30.98</v>
      </c>
      <c r="CT81">
        <v>0.67</v>
      </c>
      <c r="CU81">
        <v>2.75</v>
      </c>
      <c r="CV81">
        <v>1.46</v>
      </c>
      <c r="CW81">
        <v>0</v>
      </c>
      <c r="CX81" t="s">
        <v>716</v>
      </c>
      <c r="CY81">
        <v>4.22</v>
      </c>
      <c r="CZ81">
        <v>4.22</v>
      </c>
      <c r="DA81">
        <v>2.77</v>
      </c>
      <c r="DB81">
        <v>0.52</v>
      </c>
      <c r="DC81">
        <v>1.02</v>
      </c>
      <c r="DD81">
        <v>10.37</v>
      </c>
      <c r="DE81" t="s">
        <v>724</v>
      </c>
      <c r="DF81">
        <v>43.7</v>
      </c>
      <c r="DG81">
        <v>-13.89</v>
      </c>
      <c r="DH81">
        <v>-9.92</v>
      </c>
      <c r="DI81" t="s">
        <v>120</v>
      </c>
      <c r="DJ81">
        <v>612</v>
      </c>
      <c r="DK81">
        <v>415</v>
      </c>
      <c r="DL81" t="s">
        <v>120</v>
      </c>
      <c r="DM81" t="s">
        <v>120</v>
      </c>
      <c r="DN81" t="s">
        <v>120</v>
      </c>
    </row>
    <row r="82" spans="1:118">
      <c r="A82" t="str">
        <f>"000416"</f>
        <v>000416</v>
      </c>
      <c r="B82" t="s">
        <v>725</v>
      </c>
      <c r="C82">
        <v>-1.29</v>
      </c>
      <c r="D82">
        <v>0</v>
      </c>
      <c r="E82">
        <v>0</v>
      </c>
      <c r="F82">
        <v>1637</v>
      </c>
      <c r="G82" t="s">
        <v>726</v>
      </c>
      <c r="H82">
        <v>2212.96</v>
      </c>
      <c r="I82">
        <v>0.43</v>
      </c>
      <c r="J82" t="s">
        <v>120</v>
      </c>
      <c r="K82" t="s">
        <v>727</v>
      </c>
      <c r="L82">
        <v>1.07</v>
      </c>
      <c r="M82">
        <v>3.83</v>
      </c>
      <c r="N82">
        <v>0.83</v>
      </c>
      <c r="O82">
        <v>1.55</v>
      </c>
      <c r="P82">
        <v>3.94</v>
      </c>
      <c r="Q82">
        <v>-1.55</v>
      </c>
      <c r="R82">
        <v>3.82</v>
      </c>
      <c r="S82">
        <v>3.88</v>
      </c>
      <c r="T82">
        <v>57063</v>
      </c>
      <c r="U82">
        <v>3.84</v>
      </c>
      <c r="V82">
        <v>3.88</v>
      </c>
      <c r="W82">
        <v>181.33</v>
      </c>
      <c r="X82" t="s">
        <v>721</v>
      </c>
      <c r="Y82" t="s">
        <v>638</v>
      </c>
      <c r="Z82">
        <v>3.09</v>
      </c>
      <c r="AA82">
        <v>3.88</v>
      </c>
      <c r="AB82">
        <v>29845</v>
      </c>
      <c r="AC82">
        <v>27218</v>
      </c>
      <c r="AD82">
        <v>1.1000000000000001</v>
      </c>
      <c r="AE82">
        <v>29</v>
      </c>
      <c r="AF82">
        <v>269</v>
      </c>
      <c r="AG82" t="s">
        <v>120</v>
      </c>
      <c r="AH82">
        <v>0</v>
      </c>
      <c r="AI82" t="s">
        <v>120</v>
      </c>
      <c r="AJ82">
        <v>5.32</v>
      </c>
      <c r="AK82" t="s">
        <v>728</v>
      </c>
      <c r="AL82">
        <v>0.63</v>
      </c>
      <c r="AM82">
        <v>1057</v>
      </c>
      <c r="AN82">
        <v>54</v>
      </c>
      <c r="AO82">
        <v>1E-3</v>
      </c>
      <c r="AP82">
        <v>-3</v>
      </c>
      <c r="AQ82">
        <v>-0.51</v>
      </c>
      <c r="AR82">
        <v>-5.2</v>
      </c>
      <c r="AS82">
        <v>2.4</v>
      </c>
      <c r="AT82">
        <v>-6.82</v>
      </c>
      <c r="AU82">
        <v>-33.159999999999997</v>
      </c>
      <c r="AV82">
        <v>0</v>
      </c>
      <c r="AW82">
        <v>1.39</v>
      </c>
      <c r="AX82">
        <v>77.400000000000006</v>
      </c>
      <c r="AY82">
        <v>83.99</v>
      </c>
      <c r="AZ82">
        <v>58.92</v>
      </c>
      <c r="BA82">
        <v>0.41</v>
      </c>
      <c r="BB82" t="s">
        <v>143</v>
      </c>
      <c r="BF82">
        <v>-0.05</v>
      </c>
      <c r="BG82">
        <v>-1.29</v>
      </c>
      <c r="BH82">
        <v>-2.79</v>
      </c>
      <c r="BI82">
        <v>0.26</v>
      </c>
      <c r="BJ82">
        <v>20210809</v>
      </c>
      <c r="BK82">
        <v>19960719</v>
      </c>
      <c r="BL82">
        <v>5.32</v>
      </c>
      <c r="BM82" t="s">
        <v>120</v>
      </c>
      <c r="BN82" t="s">
        <v>120</v>
      </c>
      <c r="BO82">
        <v>9.42</v>
      </c>
      <c r="BP82">
        <v>3.83</v>
      </c>
      <c r="BQ82">
        <v>8.89</v>
      </c>
      <c r="BR82">
        <v>0.26</v>
      </c>
      <c r="BS82">
        <v>2.87</v>
      </c>
      <c r="BT82">
        <v>7.93</v>
      </c>
      <c r="BU82">
        <v>0.28999999999999998</v>
      </c>
      <c r="BV82">
        <v>0</v>
      </c>
      <c r="BW82">
        <v>0.12</v>
      </c>
      <c r="BX82">
        <v>0.27</v>
      </c>
      <c r="BY82">
        <v>0</v>
      </c>
      <c r="BZ82">
        <v>7.0000000000000007E-2</v>
      </c>
      <c r="CA82" t="s">
        <v>120</v>
      </c>
      <c r="CB82">
        <v>0.28000000000000003</v>
      </c>
      <c r="CC82">
        <v>0.03</v>
      </c>
      <c r="CD82">
        <v>0</v>
      </c>
      <c r="CE82">
        <v>7.0000000000000007E-2</v>
      </c>
      <c r="CF82">
        <v>0.13</v>
      </c>
      <c r="CG82">
        <v>7.0000000000000007E-2</v>
      </c>
      <c r="CH82">
        <v>0.06</v>
      </c>
      <c r="CI82">
        <v>0.06</v>
      </c>
      <c r="CJ82">
        <v>-0.05</v>
      </c>
      <c r="CK82">
        <v>-0.01</v>
      </c>
      <c r="CL82">
        <v>2.76</v>
      </c>
      <c r="CM82">
        <v>-0.15</v>
      </c>
      <c r="CN82">
        <v>-0.19</v>
      </c>
      <c r="CO82">
        <v>31022</v>
      </c>
      <c r="CP82">
        <v>13270</v>
      </c>
      <c r="CQ82" t="s">
        <v>729</v>
      </c>
      <c r="CR82">
        <v>-65.040000000000006</v>
      </c>
      <c r="CS82">
        <v>36.39</v>
      </c>
      <c r="CT82">
        <v>2.29</v>
      </c>
      <c r="CU82">
        <v>-132.19999999999999</v>
      </c>
      <c r="CV82">
        <v>615</v>
      </c>
      <c r="CW82">
        <v>0.77</v>
      </c>
      <c r="CX82" t="s">
        <v>730</v>
      </c>
      <c r="CY82">
        <v>1.67</v>
      </c>
      <c r="CZ82">
        <v>0</v>
      </c>
      <c r="DA82">
        <v>0.05</v>
      </c>
      <c r="DB82">
        <v>0.52</v>
      </c>
      <c r="DC82">
        <v>-0.03</v>
      </c>
      <c r="DD82">
        <v>94.38</v>
      </c>
      <c r="DE82" t="s">
        <v>731</v>
      </c>
      <c r="DF82" t="s">
        <v>120</v>
      </c>
      <c r="DG82">
        <v>210.73</v>
      </c>
      <c r="DH82">
        <v>169.58</v>
      </c>
      <c r="DI82" t="s">
        <v>120</v>
      </c>
      <c r="DJ82">
        <v>49</v>
      </c>
      <c r="DK82">
        <v>416</v>
      </c>
      <c r="DL82" t="s">
        <v>120</v>
      </c>
      <c r="DM82" t="s">
        <v>120</v>
      </c>
      <c r="DN82" t="s">
        <v>120</v>
      </c>
    </row>
    <row r="83" spans="1:118">
      <c r="A83" t="str">
        <f>"000417"</f>
        <v>000417</v>
      </c>
      <c r="B83" t="s">
        <v>732</v>
      </c>
      <c r="C83">
        <v>-1.32</v>
      </c>
      <c r="D83">
        <v>0</v>
      </c>
      <c r="E83">
        <v>-0.22</v>
      </c>
      <c r="F83">
        <v>1027</v>
      </c>
      <c r="G83" t="s">
        <v>733</v>
      </c>
      <c r="H83">
        <v>3244.59</v>
      </c>
      <c r="I83">
        <v>0.95</v>
      </c>
      <c r="J83" t="s">
        <v>120</v>
      </c>
      <c r="K83" t="s">
        <v>734</v>
      </c>
      <c r="L83">
        <v>0.91</v>
      </c>
      <c r="M83">
        <v>4.49</v>
      </c>
      <c r="N83">
        <v>1.01</v>
      </c>
      <c r="O83">
        <v>1.1000000000000001</v>
      </c>
      <c r="P83">
        <v>4.5999999999999996</v>
      </c>
      <c r="Q83">
        <v>-1.32</v>
      </c>
      <c r="R83">
        <v>4.49</v>
      </c>
      <c r="S83">
        <v>4.54</v>
      </c>
      <c r="T83">
        <v>71124</v>
      </c>
      <c r="U83">
        <v>4.5</v>
      </c>
      <c r="V83">
        <v>4.55</v>
      </c>
      <c r="W83">
        <v>12.65</v>
      </c>
      <c r="X83" t="s">
        <v>735</v>
      </c>
      <c r="Y83" t="s">
        <v>570</v>
      </c>
      <c r="Z83">
        <v>2.42</v>
      </c>
      <c r="AA83">
        <v>4.5599999999999996</v>
      </c>
      <c r="AB83">
        <v>39373</v>
      </c>
      <c r="AC83">
        <v>31751</v>
      </c>
      <c r="AD83">
        <v>1.24</v>
      </c>
      <c r="AE83">
        <v>92</v>
      </c>
      <c r="AF83">
        <v>171</v>
      </c>
      <c r="AG83" t="s">
        <v>120</v>
      </c>
      <c r="AH83">
        <v>0</v>
      </c>
      <c r="AI83" t="s">
        <v>120</v>
      </c>
      <c r="AJ83">
        <v>7.79</v>
      </c>
      <c r="AK83" t="s">
        <v>736</v>
      </c>
      <c r="AL83">
        <v>0.6</v>
      </c>
      <c r="AM83">
        <v>1182</v>
      </c>
      <c r="AN83">
        <v>60</v>
      </c>
      <c r="AO83">
        <v>8.0000000000000004E-4</v>
      </c>
      <c r="AP83">
        <v>-1</v>
      </c>
      <c r="AQ83">
        <v>0.44</v>
      </c>
      <c r="AR83">
        <v>-1.76</v>
      </c>
      <c r="AS83">
        <v>5.65</v>
      </c>
      <c r="AT83">
        <v>0</v>
      </c>
      <c r="AU83">
        <v>-5.67</v>
      </c>
      <c r="AV83">
        <v>1</v>
      </c>
      <c r="AW83">
        <v>1.47</v>
      </c>
      <c r="AX83">
        <v>61.89</v>
      </c>
      <c r="AY83">
        <v>19.79</v>
      </c>
      <c r="AZ83">
        <v>25.89</v>
      </c>
      <c r="BA83">
        <v>0.3</v>
      </c>
      <c r="BB83" t="s">
        <v>143</v>
      </c>
      <c r="BF83">
        <v>0.26</v>
      </c>
      <c r="BG83">
        <v>-1.1000000000000001</v>
      </c>
      <c r="BH83">
        <v>-2.39</v>
      </c>
      <c r="BI83">
        <v>0</v>
      </c>
      <c r="BJ83">
        <v>20210814</v>
      </c>
      <c r="BK83">
        <v>19960812</v>
      </c>
      <c r="BL83">
        <v>7.8</v>
      </c>
      <c r="BM83" t="s">
        <v>120</v>
      </c>
      <c r="BN83" t="s">
        <v>120</v>
      </c>
      <c r="BO83">
        <v>122.91</v>
      </c>
      <c r="BP83">
        <v>4.49</v>
      </c>
      <c r="BQ83">
        <v>41.33</v>
      </c>
      <c r="BR83">
        <v>8.34</v>
      </c>
      <c r="BS83">
        <v>59.59</v>
      </c>
      <c r="BT83">
        <v>60.7</v>
      </c>
      <c r="BU83">
        <v>19.64</v>
      </c>
      <c r="BV83">
        <v>11.56</v>
      </c>
      <c r="BW83">
        <v>58.63</v>
      </c>
      <c r="BX83">
        <v>25.43</v>
      </c>
      <c r="BY83">
        <v>24.02</v>
      </c>
      <c r="BZ83">
        <v>1.57</v>
      </c>
      <c r="CA83">
        <v>1.25</v>
      </c>
      <c r="CB83">
        <v>3.09</v>
      </c>
      <c r="CC83">
        <v>32.29</v>
      </c>
      <c r="CD83">
        <v>21.86</v>
      </c>
      <c r="CE83">
        <v>2.41</v>
      </c>
      <c r="CF83">
        <v>0.2</v>
      </c>
      <c r="CG83">
        <v>2.42</v>
      </c>
      <c r="CH83">
        <v>1.7</v>
      </c>
      <c r="CI83">
        <v>1.38</v>
      </c>
      <c r="CJ83">
        <v>-0.06</v>
      </c>
      <c r="CK83">
        <v>0.99</v>
      </c>
      <c r="CL83">
        <v>20.2</v>
      </c>
      <c r="CM83">
        <v>1.82</v>
      </c>
      <c r="CN83">
        <v>-5.79</v>
      </c>
      <c r="CO83">
        <v>29023</v>
      </c>
      <c r="CP83">
        <v>16629</v>
      </c>
      <c r="CQ83" t="s">
        <v>737</v>
      </c>
      <c r="CR83">
        <v>43.9</v>
      </c>
      <c r="CS83">
        <v>1.19</v>
      </c>
      <c r="CT83">
        <v>0.85</v>
      </c>
      <c r="CU83">
        <v>19.190000000000001</v>
      </c>
      <c r="CV83">
        <v>1.08</v>
      </c>
      <c r="CW83">
        <v>1.32</v>
      </c>
      <c r="CX83" t="s">
        <v>738</v>
      </c>
      <c r="CY83">
        <v>5.3</v>
      </c>
      <c r="CZ83">
        <v>0</v>
      </c>
      <c r="DA83">
        <v>0.4</v>
      </c>
      <c r="DB83">
        <v>2.59</v>
      </c>
      <c r="DC83">
        <v>0.23</v>
      </c>
      <c r="DD83">
        <v>33.630000000000003</v>
      </c>
      <c r="DE83" t="s">
        <v>739</v>
      </c>
      <c r="DF83">
        <v>32.299999999999997</v>
      </c>
      <c r="DG83">
        <v>7.45</v>
      </c>
      <c r="DH83">
        <v>4.29</v>
      </c>
      <c r="DI83" t="s">
        <v>120</v>
      </c>
      <c r="DJ83">
        <v>8842</v>
      </c>
      <c r="DK83">
        <v>417</v>
      </c>
      <c r="DL83" t="s">
        <v>120</v>
      </c>
      <c r="DM83" t="s">
        <v>120</v>
      </c>
      <c r="DN83" t="s">
        <v>120</v>
      </c>
    </row>
    <row r="84" spans="1:118">
      <c r="A84" t="str">
        <f>"000419"</f>
        <v>000419</v>
      </c>
      <c r="B84" t="s">
        <v>740</v>
      </c>
      <c r="C84">
        <v>-0.67</v>
      </c>
      <c r="D84">
        <v>-0.21</v>
      </c>
      <c r="E84">
        <v>-0.22</v>
      </c>
      <c r="F84">
        <v>61</v>
      </c>
      <c r="G84" t="s">
        <v>741</v>
      </c>
      <c r="H84">
        <v>1412.42</v>
      </c>
      <c r="I84">
        <v>2.11</v>
      </c>
      <c r="J84" t="s">
        <v>120</v>
      </c>
      <c r="K84" t="s">
        <v>742</v>
      </c>
      <c r="L84">
        <v>0.57999999999999996</v>
      </c>
      <c r="M84">
        <v>4.46</v>
      </c>
      <c r="N84">
        <v>0.91</v>
      </c>
      <c r="O84">
        <v>1.1100000000000001</v>
      </c>
      <c r="P84">
        <v>4.54</v>
      </c>
      <c r="Q84">
        <v>-0.67</v>
      </c>
      <c r="R84">
        <v>4.46</v>
      </c>
      <c r="S84">
        <v>4.4800000000000004</v>
      </c>
      <c r="T84">
        <v>31288</v>
      </c>
      <c r="U84">
        <v>4.47</v>
      </c>
      <c r="V84">
        <v>4.49</v>
      </c>
      <c r="W84">
        <v>14.24</v>
      </c>
      <c r="X84" t="s">
        <v>735</v>
      </c>
      <c r="Y84" t="s">
        <v>594</v>
      </c>
      <c r="Z84">
        <v>1.78</v>
      </c>
      <c r="AA84">
        <v>4.51</v>
      </c>
      <c r="AB84">
        <v>19532</v>
      </c>
      <c r="AC84">
        <v>11756</v>
      </c>
      <c r="AD84">
        <v>1.66</v>
      </c>
      <c r="AE84">
        <v>441</v>
      </c>
      <c r="AF84">
        <v>527</v>
      </c>
      <c r="AG84" t="s">
        <v>120</v>
      </c>
      <c r="AH84">
        <v>0</v>
      </c>
      <c r="AI84" t="s">
        <v>120</v>
      </c>
      <c r="AJ84">
        <v>5.43</v>
      </c>
      <c r="AK84" t="s">
        <v>743</v>
      </c>
      <c r="AL84">
        <v>1.25</v>
      </c>
      <c r="AM84">
        <v>794</v>
      </c>
      <c r="AN84">
        <v>39</v>
      </c>
      <c r="AO84">
        <v>6.9999999999999999E-4</v>
      </c>
      <c r="AP84">
        <v>-1</v>
      </c>
      <c r="AQ84">
        <v>0.67</v>
      </c>
      <c r="AR84">
        <v>-1.55</v>
      </c>
      <c r="AS84">
        <v>6.44</v>
      </c>
      <c r="AT84">
        <v>6.44</v>
      </c>
      <c r="AU84">
        <v>-1.32</v>
      </c>
      <c r="AV84">
        <v>1</v>
      </c>
      <c r="AW84">
        <v>1.03</v>
      </c>
      <c r="AX84">
        <v>55.62</v>
      </c>
      <c r="AY84">
        <v>14.3</v>
      </c>
      <c r="AZ84">
        <v>13.48</v>
      </c>
      <c r="BA84">
        <v>0.21</v>
      </c>
      <c r="BB84" t="s">
        <v>143</v>
      </c>
      <c r="BF84">
        <v>0.54</v>
      </c>
      <c r="BG84">
        <v>-0.45</v>
      </c>
      <c r="BH84">
        <v>-1.76</v>
      </c>
      <c r="BI84">
        <v>0</v>
      </c>
      <c r="BJ84">
        <v>20210821</v>
      </c>
      <c r="BK84">
        <v>19960816</v>
      </c>
      <c r="BL84">
        <v>5.44</v>
      </c>
      <c r="BM84" t="s">
        <v>120</v>
      </c>
      <c r="BN84" t="s">
        <v>120</v>
      </c>
      <c r="BO84">
        <v>60.07</v>
      </c>
      <c r="BP84">
        <v>4.46</v>
      </c>
      <c r="BQ84">
        <v>31.11</v>
      </c>
      <c r="BR84">
        <v>3.02</v>
      </c>
      <c r="BS84">
        <v>43.19</v>
      </c>
      <c r="BT84">
        <v>25.03</v>
      </c>
      <c r="BU84">
        <v>10.09</v>
      </c>
      <c r="BV84">
        <v>2.5099999999999998</v>
      </c>
      <c r="BW84">
        <v>10.98</v>
      </c>
      <c r="BX84">
        <v>8.86</v>
      </c>
      <c r="BY84">
        <v>1.71</v>
      </c>
      <c r="BZ84">
        <v>0.16</v>
      </c>
      <c r="CA84" t="s">
        <v>120</v>
      </c>
      <c r="CB84">
        <v>4.17</v>
      </c>
      <c r="CC84">
        <v>10.59</v>
      </c>
      <c r="CD84">
        <v>7.58</v>
      </c>
      <c r="CE84">
        <v>1.2</v>
      </c>
      <c r="CF84">
        <v>0.39</v>
      </c>
      <c r="CG84">
        <v>1.21</v>
      </c>
      <c r="CH84">
        <v>0.98</v>
      </c>
      <c r="CI84">
        <v>0.85</v>
      </c>
      <c r="CJ84">
        <v>-0.03</v>
      </c>
      <c r="CK84">
        <v>0.82</v>
      </c>
      <c r="CL84">
        <v>12.81</v>
      </c>
      <c r="CM84">
        <v>-1.88</v>
      </c>
      <c r="CN84">
        <v>-2.11</v>
      </c>
      <c r="CO84">
        <v>22376</v>
      </c>
      <c r="CP84">
        <v>13511</v>
      </c>
      <c r="CQ84" t="s">
        <v>744</v>
      </c>
      <c r="CR84">
        <v>-10.91</v>
      </c>
      <c r="CS84">
        <v>-14.06</v>
      </c>
      <c r="CT84">
        <v>0.78</v>
      </c>
      <c r="CU84">
        <v>-12.91</v>
      </c>
      <c r="CV84">
        <v>2.29</v>
      </c>
      <c r="CW84">
        <v>3.34</v>
      </c>
      <c r="CX84" t="s">
        <v>745</v>
      </c>
      <c r="CY84">
        <v>5.72</v>
      </c>
      <c r="CZ84">
        <v>0</v>
      </c>
      <c r="DA84">
        <v>0.77</v>
      </c>
      <c r="DB84">
        <v>2.36</v>
      </c>
      <c r="DC84">
        <v>-0.35</v>
      </c>
      <c r="DD84">
        <v>51.78</v>
      </c>
      <c r="DE84" t="s">
        <v>746</v>
      </c>
      <c r="DF84">
        <v>28.37</v>
      </c>
      <c r="DG84">
        <v>11.37</v>
      </c>
      <c r="DH84">
        <v>8.0399999999999991</v>
      </c>
      <c r="DI84" t="s">
        <v>120</v>
      </c>
      <c r="DJ84">
        <v>1773</v>
      </c>
      <c r="DK84">
        <v>419</v>
      </c>
      <c r="DL84" t="s">
        <v>120</v>
      </c>
      <c r="DM84" t="s">
        <v>120</v>
      </c>
      <c r="DN84" t="s">
        <v>120</v>
      </c>
    </row>
    <row r="85" spans="1:118">
      <c r="A85" t="str">
        <f>"000420"</f>
        <v>000420</v>
      </c>
      <c r="B85" t="s">
        <v>747</v>
      </c>
      <c r="C85">
        <v>3.11</v>
      </c>
      <c r="D85">
        <v>1.1399999999999999</v>
      </c>
      <c r="E85">
        <v>0</v>
      </c>
      <c r="F85">
        <v>10570</v>
      </c>
      <c r="G85" t="s">
        <v>748</v>
      </c>
      <c r="H85">
        <v>70810.73</v>
      </c>
      <c r="I85">
        <v>395.88</v>
      </c>
      <c r="J85" t="s">
        <v>120</v>
      </c>
      <c r="K85" t="s">
        <v>749</v>
      </c>
      <c r="L85">
        <v>6.12</v>
      </c>
      <c r="M85">
        <v>5.31</v>
      </c>
      <c r="N85">
        <v>1.48</v>
      </c>
      <c r="O85">
        <v>9.1300000000000008</v>
      </c>
      <c r="P85">
        <v>5.62</v>
      </c>
      <c r="Q85">
        <v>-3.11</v>
      </c>
      <c r="R85">
        <v>4.99</v>
      </c>
      <c r="S85">
        <v>5.15</v>
      </c>
      <c r="T85">
        <v>1326957</v>
      </c>
      <c r="U85">
        <v>5.31</v>
      </c>
      <c r="V85">
        <v>5.15</v>
      </c>
      <c r="W85">
        <v>141.21</v>
      </c>
      <c r="X85" t="s">
        <v>623</v>
      </c>
      <c r="Y85" t="s">
        <v>290</v>
      </c>
      <c r="Z85">
        <v>12.23</v>
      </c>
      <c r="AA85">
        <v>5.34</v>
      </c>
      <c r="AB85">
        <v>613676</v>
      </c>
      <c r="AC85">
        <v>713281</v>
      </c>
      <c r="AD85">
        <v>0.86</v>
      </c>
      <c r="AE85">
        <v>2280</v>
      </c>
      <c r="AF85">
        <v>106</v>
      </c>
      <c r="AG85" t="s">
        <v>120</v>
      </c>
      <c r="AH85">
        <v>0.06</v>
      </c>
      <c r="AI85" t="s">
        <v>120</v>
      </c>
      <c r="AJ85">
        <v>21.67</v>
      </c>
      <c r="AK85" t="s">
        <v>750</v>
      </c>
      <c r="AL85">
        <v>5.0199999999999996</v>
      </c>
      <c r="AM85">
        <v>4414</v>
      </c>
      <c r="AN85">
        <v>301</v>
      </c>
      <c r="AO85">
        <v>1.4E-3</v>
      </c>
      <c r="AP85">
        <v>4</v>
      </c>
      <c r="AQ85">
        <v>1.18</v>
      </c>
      <c r="AR85">
        <v>14.69</v>
      </c>
      <c r="AS85">
        <v>33.42</v>
      </c>
      <c r="AT85">
        <v>48.32</v>
      </c>
      <c r="AU85">
        <v>180.96</v>
      </c>
      <c r="AV85">
        <v>7</v>
      </c>
      <c r="AW85">
        <v>10.26</v>
      </c>
      <c r="AX85">
        <v>59.66</v>
      </c>
      <c r="AY85" t="s">
        <v>120</v>
      </c>
      <c r="AZ85" t="s">
        <v>120</v>
      </c>
      <c r="BA85">
        <v>0.99</v>
      </c>
      <c r="BB85" t="s">
        <v>751</v>
      </c>
      <c r="BF85">
        <v>3.62</v>
      </c>
      <c r="BG85">
        <v>3.11</v>
      </c>
      <c r="BH85">
        <v>-5.52</v>
      </c>
      <c r="BI85">
        <v>6.41</v>
      </c>
      <c r="BJ85">
        <v>20210814</v>
      </c>
      <c r="BK85">
        <v>19960802</v>
      </c>
      <c r="BL85">
        <v>21.68</v>
      </c>
      <c r="BM85" t="s">
        <v>120</v>
      </c>
      <c r="BN85" t="s">
        <v>120</v>
      </c>
      <c r="BO85">
        <v>87.37</v>
      </c>
      <c r="BP85">
        <v>5.3</v>
      </c>
      <c r="BQ85">
        <v>30.82</v>
      </c>
      <c r="BR85">
        <v>-0.01</v>
      </c>
      <c r="BS85">
        <v>64.739999999999995</v>
      </c>
      <c r="BT85">
        <v>23.4</v>
      </c>
      <c r="BU85">
        <v>42.37</v>
      </c>
      <c r="BV85">
        <v>2.27</v>
      </c>
      <c r="BW85">
        <v>53.04</v>
      </c>
      <c r="BX85">
        <v>8.24</v>
      </c>
      <c r="BY85">
        <v>7.34</v>
      </c>
      <c r="BZ85">
        <v>5.36</v>
      </c>
      <c r="CA85" t="s">
        <v>120</v>
      </c>
      <c r="CB85">
        <v>14.56</v>
      </c>
      <c r="CC85">
        <v>16.79</v>
      </c>
      <c r="CD85">
        <v>14.18</v>
      </c>
      <c r="CE85">
        <v>0.4</v>
      </c>
      <c r="CF85">
        <v>0</v>
      </c>
      <c r="CG85">
        <v>0.39</v>
      </c>
      <c r="CH85">
        <v>0.41</v>
      </c>
      <c r="CI85">
        <v>0.41</v>
      </c>
      <c r="CJ85">
        <v>0.16</v>
      </c>
      <c r="CK85">
        <v>0.4</v>
      </c>
      <c r="CL85">
        <v>-7.33</v>
      </c>
      <c r="CM85">
        <v>0.25</v>
      </c>
      <c r="CN85">
        <v>1.88</v>
      </c>
      <c r="CO85">
        <v>50998</v>
      </c>
      <c r="CP85">
        <v>25365</v>
      </c>
      <c r="CQ85" t="s">
        <v>752</v>
      </c>
      <c r="CR85">
        <v>150.07</v>
      </c>
      <c r="CS85">
        <v>65.709999999999994</v>
      </c>
      <c r="CT85">
        <v>3.74</v>
      </c>
      <c r="CU85">
        <v>461.4</v>
      </c>
      <c r="CV85">
        <v>6.86</v>
      </c>
      <c r="CW85">
        <v>0</v>
      </c>
      <c r="CX85" t="s">
        <v>753</v>
      </c>
      <c r="CY85">
        <v>1.42</v>
      </c>
      <c r="CZ85">
        <v>0</v>
      </c>
      <c r="DA85">
        <v>0.67</v>
      </c>
      <c r="DB85">
        <v>-0.34</v>
      </c>
      <c r="DC85">
        <v>0.01</v>
      </c>
      <c r="DD85">
        <v>35.270000000000003</v>
      </c>
      <c r="DE85" t="s">
        <v>754</v>
      </c>
      <c r="DF85">
        <v>15.54</v>
      </c>
      <c r="DG85">
        <v>2.4</v>
      </c>
      <c r="DH85">
        <v>2.4300000000000002</v>
      </c>
      <c r="DI85">
        <v>0.03</v>
      </c>
      <c r="DJ85">
        <v>5406</v>
      </c>
      <c r="DK85">
        <v>420</v>
      </c>
      <c r="DL85">
        <v>20210916</v>
      </c>
      <c r="DM85">
        <v>5.15</v>
      </c>
      <c r="DN85">
        <v>3.11</v>
      </c>
    </row>
    <row r="86" spans="1:118">
      <c r="A86" t="str">
        <f>"000421"</f>
        <v>000421</v>
      </c>
      <c r="B86" t="s">
        <v>755</v>
      </c>
      <c r="C86">
        <v>-0.78</v>
      </c>
      <c r="D86">
        <v>0</v>
      </c>
      <c r="E86">
        <v>0</v>
      </c>
      <c r="F86">
        <v>329</v>
      </c>
      <c r="G86" t="s">
        <v>756</v>
      </c>
      <c r="H86">
        <v>3639.07</v>
      </c>
      <c r="I86">
        <v>2.3199999999999998</v>
      </c>
      <c r="J86" t="s">
        <v>120</v>
      </c>
      <c r="K86" t="s">
        <v>757</v>
      </c>
      <c r="L86">
        <v>1.22</v>
      </c>
      <c r="M86">
        <v>5.12</v>
      </c>
      <c r="N86">
        <v>0.96</v>
      </c>
      <c r="O86">
        <v>2.91</v>
      </c>
      <c r="P86">
        <v>5.31</v>
      </c>
      <c r="Q86">
        <v>-0.78</v>
      </c>
      <c r="R86">
        <v>5.12</v>
      </c>
      <c r="S86">
        <v>5.16</v>
      </c>
      <c r="T86">
        <v>69620</v>
      </c>
      <c r="U86">
        <v>5.13</v>
      </c>
      <c r="V86">
        <v>5.16</v>
      </c>
      <c r="W86">
        <v>73.98</v>
      </c>
      <c r="X86" t="s">
        <v>684</v>
      </c>
      <c r="Y86" t="s">
        <v>319</v>
      </c>
      <c r="Z86">
        <v>3.68</v>
      </c>
      <c r="AA86">
        <v>5.23</v>
      </c>
      <c r="AB86">
        <v>37745</v>
      </c>
      <c r="AC86">
        <v>31875</v>
      </c>
      <c r="AD86">
        <v>1.18</v>
      </c>
      <c r="AE86">
        <v>1503</v>
      </c>
      <c r="AF86">
        <v>153</v>
      </c>
      <c r="AG86" t="s">
        <v>120</v>
      </c>
      <c r="AH86">
        <v>0</v>
      </c>
      <c r="AI86" t="s">
        <v>120</v>
      </c>
      <c r="AJ86">
        <v>5.73</v>
      </c>
      <c r="AK86" t="s">
        <v>757</v>
      </c>
      <c r="AL86">
        <v>1.1399999999999999</v>
      </c>
      <c r="AM86">
        <v>1592</v>
      </c>
      <c r="AN86">
        <v>44</v>
      </c>
      <c r="AO86">
        <v>8.0000000000000004E-4</v>
      </c>
      <c r="AP86">
        <v>-1</v>
      </c>
      <c r="AQ86">
        <v>0.19</v>
      </c>
      <c r="AR86">
        <v>-1.73</v>
      </c>
      <c r="AS86">
        <v>8.6999999999999993</v>
      </c>
      <c r="AT86">
        <v>-1.25</v>
      </c>
      <c r="AU86">
        <v>-23.76</v>
      </c>
      <c r="AV86">
        <v>4</v>
      </c>
      <c r="AW86">
        <v>2.66</v>
      </c>
      <c r="AX86">
        <v>45.76</v>
      </c>
      <c r="AY86" t="s">
        <v>120</v>
      </c>
      <c r="AZ86">
        <v>13.13</v>
      </c>
      <c r="BA86">
        <v>0.47</v>
      </c>
      <c r="BB86" t="s">
        <v>143</v>
      </c>
      <c r="BF86">
        <v>1.3</v>
      </c>
      <c r="BG86">
        <v>-0.78</v>
      </c>
      <c r="BH86">
        <v>-3.58</v>
      </c>
      <c r="BI86">
        <v>0</v>
      </c>
      <c r="BJ86">
        <v>20210821</v>
      </c>
      <c r="BK86">
        <v>19960806</v>
      </c>
      <c r="BL86">
        <v>5.73</v>
      </c>
      <c r="BM86" t="s">
        <v>120</v>
      </c>
      <c r="BN86" t="s">
        <v>120</v>
      </c>
      <c r="BO86">
        <v>109.3</v>
      </c>
      <c r="BP86">
        <v>5.12</v>
      </c>
      <c r="BQ86">
        <v>28.14</v>
      </c>
      <c r="BR86">
        <v>10.95</v>
      </c>
      <c r="BS86">
        <v>64.23</v>
      </c>
      <c r="BT86">
        <v>54.23</v>
      </c>
      <c r="BU86">
        <v>33.94</v>
      </c>
      <c r="BV86">
        <v>0.99</v>
      </c>
      <c r="BW86">
        <v>38.33</v>
      </c>
      <c r="BX86">
        <v>11.26</v>
      </c>
      <c r="BY86">
        <v>35.72</v>
      </c>
      <c r="BZ86">
        <v>2.52</v>
      </c>
      <c r="CA86">
        <v>0.19</v>
      </c>
      <c r="CB86">
        <v>4.07</v>
      </c>
      <c r="CC86">
        <v>17.559999999999999</v>
      </c>
      <c r="CD86">
        <v>13.92</v>
      </c>
      <c r="CE86">
        <v>0.81</v>
      </c>
      <c r="CF86">
        <v>-0.02</v>
      </c>
      <c r="CG86">
        <v>0.75</v>
      </c>
      <c r="CH86">
        <v>0.55000000000000004</v>
      </c>
      <c r="CI86">
        <v>0.2</v>
      </c>
      <c r="CJ86">
        <v>-0.04</v>
      </c>
      <c r="CK86">
        <v>0.19</v>
      </c>
      <c r="CL86">
        <v>16.61</v>
      </c>
      <c r="CM86">
        <v>4.5999999999999996</v>
      </c>
      <c r="CN86">
        <v>-0.48</v>
      </c>
      <c r="CO86">
        <v>38692</v>
      </c>
      <c r="CP86">
        <v>6773</v>
      </c>
      <c r="CQ86" t="s">
        <v>758</v>
      </c>
      <c r="CR86">
        <v>-95.08</v>
      </c>
      <c r="CS86">
        <v>-66.92</v>
      </c>
      <c r="CT86">
        <v>1.04</v>
      </c>
      <c r="CU86">
        <v>6.38</v>
      </c>
      <c r="CV86">
        <v>1.67</v>
      </c>
      <c r="CW86">
        <v>1.26</v>
      </c>
      <c r="CX86" t="s">
        <v>208</v>
      </c>
      <c r="CY86">
        <v>4.91</v>
      </c>
      <c r="CZ86">
        <v>0</v>
      </c>
      <c r="DA86">
        <v>0.71</v>
      </c>
      <c r="DB86">
        <v>2.9</v>
      </c>
      <c r="DC86">
        <v>0.8</v>
      </c>
      <c r="DD86">
        <v>25.75</v>
      </c>
      <c r="DE86" t="s">
        <v>759</v>
      </c>
      <c r="DF86">
        <v>20.74</v>
      </c>
      <c r="DG86">
        <v>4.6399999999999997</v>
      </c>
      <c r="DH86">
        <v>1.1299999999999999</v>
      </c>
      <c r="DI86">
        <v>0.02</v>
      </c>
      <c r="DJ86">
        <v>3263</v>
      </c>
      <c r="DK86">
        <v>421</v>
      </c>
      <c r="DL86" t="s">
        <v>120</v>
      </c>
      <c r="DM86" t="s">
        <v>120</v>
      </c>
      <c r="DN86" t="s">
        <v>120</v>
      </c>
    </row>
    <row r="87" spans="1:118">
      <c r="A87" t="str">
        <f>"000422"</f>
        <v>000422</v>
      </c>
      <c r="B87" t="s">
        <v>760</v>
      </c>
      <c r="C87">
        <v>3.54</v>
      </c>
      <c r="D87">
        <v>0</v>
      </c>
      <c r="E87">
        <v>2.04</v>
      </c>
      <c r="F87">
        <v>7252</v>
      </c>
      <c r="G87" t="s">
        <v>761</v>
      </c>
      <c r="H87">
        <v>231386.21</v>
      </c>
      <c r="I87">
        <v>1524.61</v>
      </c>
      <c r="J87" t="s">
        <v>120</v>
      </c>
      <c r="K87" t="s">
        <v>762</v>
      </c>
      <c r="L87">
        <v>10.29</v>
      </c>
      <c r="M87">
        <v>24.84</v>
      </c>
      <c r="N87">
        <v>0.97</v>
      </c>
      <c r="O87">
        <v>7.84</v>
      </c>
      <c r="P87">
        <v>25.87</v>
      </c>
      <c r="Q87">
        <v>0.08</v>
      </c>
      <c r="R87">
        <v>24.01</v>
      </c>
      <c r="S87">
        <v>24.48</v>
      </c>
      <c r="T87">
        <v>923803</v>
      </c>
      <c r="U87">
        <v>24.85</v>
      </c>
      <c r="V87">
        <v>23.99</v>
      </c>
      <c r="W87">
        <v>15.37</v>
      </c>
      <c r="X87" t="s">
        <v>690</v>
      </c>
      <c r="Y87" t="s">
        <v>763</v>
      </c>
      <c r="Z87">
        <v>7.75</v>
      </c>
      <c r="AA87">
        <v>25.05</v>
      </c>
      <c r="AB87">
        <v>420742</v>
      </c>
      <c r="AC87">
        <v>503061</v>
      </c>
      <c r="AD87">
        <v>0.84</v>
      </c>
      <c r="AE87">
        <v>3421</v>
      </c>
      <c r="AF87">
        <v>934</v>
      </c>
      <c r="AG87" t="s">
        <v>120</v>
      </c>
      <c r="AH87">
        <v>0.1</v>
      </c>
      <c r="AI87" t="s">
        <v>120</v>
      </c>
      <c r="AJ87">
        <v>8.98</v>
      </c>
      <c r="AK87" t="s">
        <v>764</v>
      </c>
      <c r="AL87">
        <v>5.46</v>
      </c>
      <c r="AM87">
        <v>4683</v>
      </c>
      <c r="AN87">
        <v>197</v>
      </c>
      <c r="AO87">
        <v>2.2000000000000001E-3</v>
      </c>
      <c r="AP87">
        <v>1</v>
      </c>
      <c r="AQ87">
        <v>-6.25</v>
      </c>
      <c r="AR87">
        <v>-7.59</v>
      </c>
      <c r="AS87">
        <v>98.09</v>
      </c>
      <c r="AT87">
        <v>237.95</v>
      </c>
      <c r="AU87">
        <v>676.25</v>
      </c>
      <c r="AV87">
        <v>28</v>
      </c>
      <c r="AW87">
        <v>14.11</v>
      </c>
      <c r="AX87">
        <v>72.92</v>
      </c>
      <c r="AY87">
        <v>19.37</v>
      </c>
      <c r="AZ87">
        <v>186.02</v>
      </c>
      <c r="BA87">
        <v>0.93</v>
      </c>
      <c r="BB87" t="s">
        <v>125</v>
      </c>
      <c r="BF87">
        <v>4.41</v>
      </c>
      <c r="BG87">
        <v>1.47</v>
      </c>
      <c r="BH87">
        <v>-3.98</v>
      </c>
      <c r="BI87">
        <v>3.46</v>
      </c>
      <c r="BJ87">
        <v>20210816</v>
      </c>
      <c r="BK87">
        <v>19960815</v>
      </c>
      <c r="BL87">
        <v>8.98</v>
      </c>
      <c r="BM87" t="s">
        <v>120</v>
      </c>
      <c r="BN87" t="s">
        <v>120</v>
      </c>
      <c r="BO87">
        <v>210.37</v>
      </c>
      <c r="BP87">
        <v>24.84</v>
      </c>
      <c r="BQ87">
        <v>10.6</v>
      </c>
      <c r="BR87">
        <v>12.87</v>
      </c>
      <c r="BS87">
        <v>88.85</v>
      </c>
      <c r="BT87">
        <v>69.739999999999995</v>
      </c>
      <c r="BU87">
        <v>92.5</v>
      </c>
      <c r="BV87">
        <v>3.6</v>
      </c>
      <c r="BW87">
        <v>98.69</v>
      </c>
      <c r="BX87">
        <v>35</v>
      </c>
      <c r="BY87">
        <v>12.11</v>
      </c>
      <c r="BZ87">
        <v>3.13</v>
      </c>
      <c r="CA87" t="s">
        <v>120</v>
      </c>
      <c r="CB87">
        <v>20.54</v>
      </c>
      <c r="CC87">
        <v>93.49</v>
      </c>
      <c r="CD87">
        <v>74.78</v>
      </c>
      <c r="CE87">
        <v>10.16</v>
      </c>
      <c r="CF87">
        <v>0.73</v>
      </c>
      <c r="CG87">
        <v>10.050000000000001</v>
      </c>
      <c r="CH87">
        <v>9.59</v>
      </c>
      <c r="CI87">
        <v>7.26</v>
      </c>
      <c r="CJ87">
        <v>0.85</v>
      </c>
      <c r="CK87">
        <v>6.25</v>
      </c>
      <c r="CL87">
        <v>-23.29</v>
      </c>
      <c r="CM87">
        <v>17.190000000000001</v>
      </c>
      <c r="CN87">
        <v>0.64</v>
      </c>
      <c r="CO87">
        <v>43563</v>
      </c>
      <c r="CP87">
        <v>15029</v>
      </c>
      <c r="CQ87" t="s">
        <v>765</v>
      </c>
      <c r="CR87">
        <v>367.93</v>
      </c>
      <c r="CS87">
        <v>52.14</v>
      </c>
      <c r="CT87">
        <v>21.05</v>
      </c>
      <c r="CU87">
        <v>12.97</v>
      </c>
      <c r="CV87">
        <v>2.39</v>
      </c>
      <c r="CW87">
        <v>0</v>
      </c>
      <c r="CX87" t="s">
        <v>766</v>
      </c>
      <c r="CY87">
        <v>1.18</v>
      </c>
      <c r="CZ87">
        <v>0</v>
      </c>
      <c r="DA87">
        <v>2.29</v>
      </c>
      <c r="DB87">
        <v>-2.59</v>
      </c>
      <c r="DC87">
        <v>1.91</v>
      </c>
      <c r="DD87">
        <v>5.04</v>
      </c>
      <c r="DE87" t="s">
        <v>767</v>
      </c>
      <c r="DF87">
        <v>20.02</v>
      </c>
      <c r="DG87">
        <v>10.87</v>
      </c>
      <c r="DH87">
        <v>7.76</v>
      </c>
      <c r="DI87">
        <v>2.29</v>
      </c>
      <c r="DJ87">
        <v>7499</v>
      </c>
      <c r="DK87">
        <v>422</v>
      </c>
      <c r="DL87">
        <v>20210903</v>
      </c>
      <c r="DM87">
        <v>21.99</v>
      </c>
      <c r="DN87">
        <v>12.96</v>
      </c>
    </row>
    <row r="88" spans="1:118">
      <c r="A88" t="str">
        <f>"000423"</f>
        <v>000423</v>
      </c>
      <c r="B88" t="s">
        <v>768</v>
      </c>
      <c r="C88">
        <v>-1.4</v>
      </c>
      <c r="D88">
        <v>0.06</v>
      </c>
      <c r="E88">
        <v>0</v>
      </c>
      <c r="F88">
        <v>754</v>
      </c>
      <c r="G88" t="s">
        <v>769</v>
      </c>
      <c r="H88">
        <v>14187.21</v>
      </c>
      <c r="I88">
        <v>63.32</v>
      </c>
      <c r="J88" t="s">
        <v>120</v>
      </c>
      <c r="K88" t="s">
        <v>770</v>
      </c>
      <c r="L88">
        <v>0.65</v>
      </c>
      <c r="M88">
        <v>33.03</v>
      </c>
      <c r="N88">
        <v>0.55000000000000004</v>
      </c>
      <c r="O88">
        <v>1.1299999999999999</v>
      </c>
      <c r="P88">
        <v>33.880000000000003</v>
      </c>
      <c r="Q88">
        <v>-1.49</v>
      </c>
      <c r="R88">
        <v>33</v>
      </c>
      <c r="S88">
        <v>33.5</v>
      </c>
      <c r="T88">
        <v>42609</v>
      </c>
      <c r="U88">
        <v>33.049999999999997</v>
      </c>
      <c r="V88">
        <v>33.5</v>
      </c>
      <c r="W88">
        <v>72.180000000000007</v>
      </c>
      <c r="X88" t="s">
        <v>771</v>
      </c>
      <c r="Y88" t="s">
        <v>638</v>
      </c>
      <c r="Z88">
        <v>2.63</v>
      </c>
      <c r="AA88">
        <v>33.299999999999997</v>
      </c>
      <c r="AB88">
        <v>26107</v>
      </c>
      <c r="AC88">
        <v>16502</v>
      </c>
      <c r="AD88">
        <v>1.58</v>
      </c>
      <c r="AE88">
        <v>20</v>
      </c>
      <c r="AF88">
        <v>25</v>
      </c>
      <c r="AG88" t="s">
        <v>120</v>
      </c>
      <c r="AH88">
        <v>0</v>
      </c>
      <c r="AI88" t="s">
        <v>120</v>
      </c>
      <c r="AJ88">
        <v>6.54</v>
      </c>
      <c r="AK88" t="s">
        <v>772</v>
      </c>
      <c r="AL88">
        <v>0.51</v>
      </c>
      <c r="AM88">
        <v>2821</v>
      </c>
      <c r="AN88">
        <v>15</v>
      </c>
      <c r="AO88">
        <v>2.0000000000000001E-4</v>
      </c>
      <c r="AP88">
        <v>-3</v>
      </c>
      <c r="AQ88">
        <v>-1.47</v>
      </c>
      <c r="AR88">
        <v>-5.57</v>
      </c>
      <c r="AS88">
        <v>8.57</v>
      </c>
      <c r="AT88">
        <v>-1.19</v>
      </c>
      <c r="AU88">
        <v>-13.99</v>
      </c>
      <c r="AV88">
        <v>3</v>
      </c>
      <c r="AW88">
        <v>0.96</v>
      </c>
      <c r="AX88">
        <v>67.98</v>
      </c>
      <c r="AY88">
        <v>79.11</v>
      </c>
      <c r="AZ88">
        <v>506.12</v>
      </c>
      <c r="BA88">
        <v>0.73</v>
      </c>
      <c r="BB88" t="s">
        <v>240</v>
      </c>
      <c r="BF88">
        <v>-0.61</v>
      </c>
      <c r="BG88">
        <v>-1.4</v>
      </c>
      <c r="BH88">
        <v>-2.5099999999999998</v>
      </c>
      <c r="BI88">
        <v>0.09</v>
      </c>
      <c r="BJ88">
        <v>20210823</v>
      </c>
      <c r="BK88">
        <v>19960729</v>
      </c>
      <c r="BL88">
        <v>6.54</v>
      </c>
      <c r="BM88" t="s">
        <v>120</v>
      </c>
      <c r="BN88" t="s">
        <v>120</v>
      </c>
      <c r="BO88">
        <v>112.56</v>
      </c>
      <c r="BP88">
        <v>33.03</v>
      </c>
      <c r="BQ88">
        <v>96.83</v>
      </c>
      <c r="BR88">
        <v>0.24</v>
      </c>
      <c r="BS88">
        <v>13.77</v>
      </c>
      <c r="BT88">
        <v>81.47</v>
      </c>
      <c r="BU88">
        <v>21.42</v>
      </c>
      <c r="BV88">
        <v>4.3099999999999996</v>
      </c>
      <c r="BW88">
        <v>13.76</v>
      </c>
      <c r="BX88">
        <v>27.25</v>
      </c>
      <c r="BY88">
        <v>20.29</v>
      </c>
      <c r="BZ88">
        <v>4.18</v>
      </c>
      <c r="CA88" t="s">
        <v>120</v>
      </c>
      <c r="CB88">
        <v>7.42</v>
      </c>
      <c r="CC88">
        <v>16.87</v>
      </c>
      <c r="CD88">
        <v>6.83</v>
      </c>
      <c r="CE88">
        <v>1.86</v>
      </c>
      <c r="CF88">
        <v>0.27</v>
      </c>
      <c r="CG88">
        <v>1.89</v>
      </c>
      <c r="CH88">
        <v>1.5</v>
      </c>
      <c r="CI88">
        <v>1.5</v>
      </c>
      <c r="CJ88">
        <v>-0.47</v>
      </c>
      <c r="CK88">
        <v>1.08</v>
      </c>
      <c r="CL88">
        <v>81.709999999999994</v>
      </c>
      <c r="CM88">
        <v>20.329999999999998</v>
      </c>
      <c r="CN88">
        <v>12.73</v>
      </c>
      <c r="CO88">
        <v>84708</v>
      </c>
      <c r="CP88">
        <v>5248</v>
      </c>
      <c r="CQ88" t="s">
        <v>773</v>
      </c>
      <c r="CR88">
        <v>278.10000000000002</v>
      </c>
      <c r="CS88">
        <v>54.01</v>
      </c>
      <c r="CT88">
        <v>2.23</v>
      </c>
      <c r="CU88">
        <v>10.63</v>
      </c>
      <c r="CV88">
        <v>12.81</v>
      </c>
      <c r="CW88">
        <v>0.9</v>
      </c>
      <c r="CX88" t="s">
        <v>694</v>
      </c>
      <c r="CY88">
        <v>14.81</v>
      </c>
      <c r="CZ88">
        <v>0</v>
      </c>
      <c r="DA88">
        <v>1.1299999999999999</v>
      </c>
      <c r="DB88">
        <v>12.49</v>
      </c>
      <c r="DC88">
        <v>3.11</v>
      </c>
      <c r="DD88">
        <v>86.02</v>
      </c>
      <c r="DE88" t="s">
        <v>774</v>
      </c>
      <c r="DF88">
        <v>59.52</v>
      </c>
      <c r="DG88">
        <v>11.01</v>
      </c>
      <c r="DH88">
        <v>8.8699999999999992</v>
      </c>
      <c r="DI88">
        <v>0.57999999999999996</v>
      </c>
      <c r="DJ88">
        <v>4509</v>
      </c>
      <c r="DK88">
        <v>423</v>
      </c>
      <c r="DL88" t="s">
        <v>120</v>
      </c>
      <c r="DM88" t="s">
        <v>120</v>
      </c>
      <c r="DN88" t="s">
        <v>120</v>
      </c>
    </row>
    <row r="89" spans="1:118">
      <c r="A89" t="str">
        <f>"000425"</f>
        <v>000425</v>
      </c>
      <c r="B89" t="s">
        <v>775</v>
      </c>
      <c r="C89">
        <v>-1.01</v>
      </c>
      <c r="D89">
        <v>-0.14000000000000001</v>
      </c>
      <c r="E89">
        <v>0.28999999999999998</v>
      </c>
      <c r="F89">
        <v>13510</v>
      </c>
      <c r="G89" t="s">
        <v>776</v>
      </c>
      <c r="H89">
        <v>95313.66</v>
      </c>
      <c r="I89">
        <v>129.44999999999999</v>
      </c>
      <c r="J89" t="s">
        <v>120</v>
      </c>
      <c r="K89" t="s">
        <v>777</v>
      </c>
      <c r="L89">
        <v>1.76</v>
      </c>
      <c r="M89">
        <v>6.84</v>
      </c>
      <c r="N89">
        <v>0.8</v>
      </c>
      <c r="O89">
        <v>3.18</v>
      </c>
      <c r="P89">
        <v>7.13</v>
      </c>
      <c r="Q89">
        <v>-1.59</v>
      </c>
      <c r="R89">
        <v>6.8</v>
      </c>
      <c r="S89">
        <v>6.93</v>
      </c>
      <c r="T89">
        <v>1377621</v>
      </c>
      <c r="U89">
        <v>6.85</v>
      </c>
      <c r="V89">
        <v>6.91</v>
      </c>
      <c r="W89">
        <v>7.04</v>
      </c>
      <c r="X89" t="s">
        <v>593</v>
      </c>
      <c r="Y89" t="s">
        <v>319</v>
      </c>
      <c r="Z89">
        <v>4.78</v>
      </c>
      <c r="AA89">
        <v>6.92</v>
      </c>
      <c r="AB89">
        <v>714583</v>
      </c>
      <c r="AC89">
        <v>663037</v>
      </c>
      <c r="AD89">
        <v>1.08</v>
      </c>
      <c r="AE89">
        <v>1859</v>
      </c>
      <c r="AF89">
        <v>4747</v>
      </c>
      <c r="AG89" t="s">
        <v>120</v>
      </c>
      <c r="AH89">
        <v>0</v>
      </c>
      <c r="AI89" t="s">
        <v>120</v>
      </c>
      <c r="AJ89">
        <v>78.209999999999994</v>
      </c>
      <c r="AK89" t="s">
        <v>778</v>
      </c>
      <c r="AL89">
        <v>0.9</v>
      </c>
      <c r="AM89">
        <v>4678</v>
      </c>
      <c r="AN89">
        <v>294</v>
      </c>
      <c r="AO89">
        <v>4.0000000000000002E-4</v>
      </c>
      <c r="AP89">
        <v>-3</v>
      </c>
      <c r="AQ89">
        <v>-0.43</v>
      </c>
      <c r="AR89">
        <v>-3.53</v>
      </c>
      <c r="AS89">
        <v>7.04</v>
      </c>
      <c r="AT89">
        <v>9.6199999999999992</v>
      </c>
      <c r="AU89">
        <v>29.79</v>
      </c>
      <c r="AV89">
        <v>5</v>
      </c>
      <c r="AW89">
        <v>3.14</v>
      </c>
      <c r="AX89">
        <v>55.92</v>
      </c>
      <c r="AY89">
        <v>9.9</v>
      </c>
      <c r="AZ89">
        <v>14.52</v>
      </c>
      <c r="BA89">
        <v>0.56000000000000005</v>
      </c>
      <c r="BB89" t="s">
        <v>240</v>
      </c>
      <c r="BF89">
        <v>0.13</v>
      </c>
      <c r="BG89">
        <v>-1.3</v>
      </c>
      <c r="BH89">
        <v>-4.07</v>
      </c>
      <c r="BI89">
        <v>0.59</v>
      </c>
      <c r="BJ89">
        <v>20210831</v>
      </c>
      <c r="BK89">
        <v>19960828</v>
      </c>
      <c r="BL89">
        <v>78.34</v>
      </c>
      <c r="BM89" t="s">
        <v>120</v>
      </c>
      <c r="BN89" t="s">
        <v>120</v>
      </c>
      <c r="BO89">
        <v>1053.78</v>
      </c>
      <c r="BP89">
        <v>6.84</v>
      </c>
      <c r="BQ89">
        <v>365.97</v>
      </c>
      <c r="BR89">
        <v>7.13</v>
      </c>
      <c r="BS89">
        <v>64.59</v>
      </c>
      <c r="BT89">
        <v>818.52</v>
      </c>
      <c r="BU89">
        <v>81.58</v>
      </c>
      <c r="BV89">
        <v>26.94</v>
      </c>
      <c r="BW89">
        <v>601.72</v>
      </c>
      <c r="BX89">
        <v>193.33</v>
      </c>
      <c r="BY89">
        <v>139.47999999999999</v>
      </c>
      <c r="BZ89">
        <v>340.29</v>
      </c>
      <c r="CA89" t="s">
        <v>120</v>
      </c>
      <c r="CB89">
        <v>51.48</v>
      </c>
      <c r="CC89">
        <v>532.34</v>
      </c>
      <c r="CD89">
        <v>448.21</v>
      </c>
      <c r="CE89">
        <v>43.26</v>
      </c>
      <c r="CF89">
        <v>3.14</v>
      </c>
      <c r="CG89">
        <v>43.45</v>
      </c>
      <c r="CH89">
        <v>38.299999999999997</v>
      </c>
      <c r="CI89">
        <v>38.03</v>
      </c>
      <c r="CJ89">
        <v>-7.0000000000000007E-2</v>
      </c>
      <c r="CK89">
        <v>36.299999999999997</v>
      </c>
      <c r="CL89">
        <v>202.4</v>
      </c>
      <c r="CM89">
        <v>37.51</v>
      </c>
      <c r="CN89">
        <v>20.87</v>
      </c>
      <c r="CO89">
        <v>255263</v>
      </c>
      <c r="CP89">
        <v>17161</v>
      </c>
      <c r="CQ89" t="s">
        <v>779</v>
      </c>
      <c r="CR89">
        <v>84.46</v>
      </c>
      <c r="CS89">
        <v>51.8</v>
      </c>
      <c r="CT89">
        <v>1.55</v>
      </c>
      <c r="CU89">
        <v>14.28</v>
      </c>
      <c r="CV89">
        <v>1.01</v>
      </c>
      <c r="CW89">
        <v>1.45</v>
      </c>
      <c r="CX89" t="s">
        <v>780</v>
      </c>
      <c r="CY89">
        <v>4.42</v>
      </c>
      <c r="CZ89">
        <v>4.42</v>
      </c>
      <c r="DA89">
        <v>0.66</v>
      </c>
      <c r="DB89">
        <v>2.58</v>
      </c>
      <c r="DC89">
        <v>0.48</v>
      </c>
      <c r="DD89">
        <v>34.729999999999997</v>
      </c>
      <c r="DE89" t="s">
        <v>781</v>
      </c>
      <c r="DF89">
        <v>15.8</v>
      </c>
      <c r="DG89">
        <v>8.1300000000000008</v>
      </c>
      <c r="DH89">
        <v>7.14</v>
      </c>
      <c r="DI89">
        <v>12.89</v>
      </c>
      <c r="DJ89">
        <v>15191</v>
      </c>
      <c r="DK89">
        <v>425</v>
      </c>
      <c r="DL89" t="s">
        <v>120</v>
      </c>
      <c r="DM89" t="s">
        <v>120</v>
      </c>
      <c r="DN89" t="s">
        <v>120</v>
      </c>
    </row>
    <row r="90" spans="1:118">
      <c r="A90" t="str">
        <f>"000426"</f>
        <v>000426</v>
      </c>
      <c r="B90" t="s">
        <v>782</v>
      </c>
      <c r="C90">
        <v>-7.46</v>
      </c>
      <c r="D90">
        <v>-0.1</v>
      </c>
      <c r="E90">
        <v>0.7</v>
      </c>
      <c r="F90">
        <v>5629</v>
      </c>
      <c r="G90" t="s">
        <v>783</v>
      </c>
      <c r="H90">
        <v>91915.88</v>
      </c>
      <c r="I90">
        <v>320.72000000000003</v>
      </c>
      <c r="J90" t="s">
        <v>120</v>
      </c>
      <c r="K90" t="s">
        <v>784</v>
      </c>
      <c r="L90">
        <v>6.42</v>
      </c>
      <c r="M90">
        <v>9.31</v>
      </c>
      <c r="N90">
        <v>1.03</v>
      </c>
      <c r="O90">
        <v>1.19</v>
      </c>
      <c r="P90">
        <v>10.18</v>
      </c>
      <c r="Q90">
        <v>-7.55</v>
      </c>
      <c r="R90">
        <v>9.3000000000000007</v>
      </c>
      <c r="S90">
        <v>10.130000000000001</v>
      </c>
      <c r="T90">
        <v>947885</v>
      </c>
      <c r="U90">
        <v>9.32</v>
      </c>
      <c r="V90">
        <v>10.06</v>
      </c>
      <c r="W90">
        <v>39</v>
      </c>
      <c r="X90" t="s">
        <v>439</v>
      </c>
      <c r="Y90" t="s">
        <v>785</v>
      </c>
      <c r="Z90">
        <v>8.75</v>
      </c>
      <c r="AA90">
        <v>9.6999999999999993</v>
      </c>
      <c r="AB90">
        <v>522976</v>
      </c>
      <c r="AC90">
        <v>424909</v>
      </c>
      <c r="AD90">
        <v>1.23</v>
      </c>
      <c r="AE90">
        <v>896</v>
      </c>
      <c r="AF90">
        <v>1401</v>
      </c>
      <c r="AG90" t="s">
        <v>120</v>
      </c>
      <c r="AH90">
        <v>0.03</v>
      </c>
      <c r="AI90" t="s">
        <v>120</v>
      </c>
      <c r="AJ90">
        <v>14.75</v>
      </c>
      <c r="AK90" t="s">
        <v>786</v>
      </c>
      <c r="AL90">
        <v>-5.54</v>
      </c>
      <c r="AM90">
        <v>4426</v>
      </c>
      <c r="AN90">
        <v>214</v>
      </c>
      <c r="AO90">
        <v>1.5E-3</v>
      </c>
      <c r="AP90">
        <v>-1</v>
      </c>
      <c r="AQ90">
        <v>0.2</v>
      </c>
      <c r="AR90">
        <v>-15.05</v>
      </c>
      <c r="AS90">
        <v>1.64</v>
      </c>
      <c r="AT90">
        <v>24.13</v>
      </c>
      <c r="AU90">
        <v>18.75</v>
      </c>
      <c r="AV90">
        <v>3</v>
      </c>
      <c r="AW90">
        <v>9.74</v>
      </c>
      <c r="AX90">
        <v>52.99</v>
      </c>
      <c r="AY90">
        <v>84.29</v>
      </c>
      <c r="AZ90" t="s">
        <v>120</v>
      </c>
      <c r="BA90">
        <v>0.64</v>
      </c>
      <c r="BB90" t="s">
        <v>143</v>
      </c>
      <c r="BF90">
        <v>-3.61</v>
      </c>
      <c r="BG90">
        <v>-8.09</v>
      </c>
      <c r="BH90">
        <v>-8.5500000000000007</v>
      </c>
      <c r="BI90">
        <v>0.11</v>
      </c>
      <c r="BJ90">
        <v>20210914</v>
      </c>
      <c r="BK90">
        <v>19960828</v>
      </c>
      <c r="BL90">
        <v>18.37</v>
      </c>
      <c r="BM90" t="s">
        <v>120</v>
      </c>
      <c r="BN90" t="s">
        <v>120</v>
      </c>
      <c r="BO90">
        <v>89.88</v>
      </c>
      <c r="BP90">
        <v>9.31</v>
      </c>
      <c r="BQ90">
        <v>53.68</v>
      </c>
      <c r="BR90">
        <v>0.06</v>
      </c>
      <c r="BS90">
        <v>40.21</v>
      </c>
      <c r="BT90">
        <v>4.9800000000000004</v>
      </c>
      <c r="BU90">
        <v>34.1</v>
      </c>
      <c r="BV90">
        <v>31.88</v>
      </c>
      <c r="BW90">
        <v>21.44</v>
      </c>
      <c r="BX90">
        <v>2</v>
      </c>
      <c r="BY90">
        <v>1.9</v>
      </c>
      <c r="BZ90">
        <v>0.02</v>
      </c>
      <c r="CA90" t="s">
        <v>120</v>
      </c>
      <c r="CB90">
        <v>22.46</v>
      </c>
      <c r="CC90">
        <v>11.51</v>
      </c>
      <c r="CD90">
        <v>5.5</v>
      </c>
      <c r="CE90">
        <v>3.25</v>
      </c>
      <c r="CF90">
        <v>0.01</v>
      </c>
      <c r="CG90">
        <v>3.06</v>
      </c>
      <c r="CH90">
        <v>2.19</v>
      </c>
      <c r="CI90">
        <v>2.19</v>
      </c>
      <c r="CJ90">
        <v>-0.75</v>
      </c>
      <c r="CK90">
        <v>2.38</v>
      </c>
      <c r="CL90">
        <v>9.99</v>
      </c>
      <c r="CM90">
        <v>3.88</v>
      </c>
      <c r="CN90">
        <v>0.68</v>
      </c>
      <c r="CO90">
        <v>69358</v>
      </c>
      <c r="CP90">
        <v>14037</v>
      </c>
      <c r="CQ90" t="s">
        <v>787</v>
      </c>
      <c r="CR90">
        <v>219.26</v>
      </c>
      <c r="CS90">
        <v>388.09</v>
      </c>
      <c r="CT90">
        <v>3.19</v>
      </c>
      <c r="CU90">
        <v>44.09</v>
      </c>
      <c r="CV90">
        <v>14.86</v>
      </c>
      <c r="CW90">
        <v>0</v>
      </c>
      <c r="CX90" t="s">
        <v>788</v>
      </c>
      <c r="CY90">
        <v>2.92</v>
      </c>
      <c r="CZ90">
        <v>0</v>
      </c>
      <c r="DA90">
        <v>1.22</v>
      </c>
      <c r="DB90">
        <v>0.54</v>
      </c>
      <c r="DC90">
        <v>0.21</v>
      </c>
      <c r="DD90">
        <v>59.73</v>
      </c>
      <c r="DE90" t="s">
        <v>789</v>
      </c>
      <c r="DF90">
        <v>52.26</v>
      </c>
      <c r="DG90">
        <v>28.27</v>
      </c>
      <c r="DH90">
        <v>19.05</v>
      </c>
      <c r="DI90" t="s">
        <v>120</v>
      </c>
      <c r="DJ90">
        <v>554</v>
      </c>
      <c r="DK90">
        <v>426</v>
      </c>
      <c r="DL90" t="s">
        <v>120</v>
      </c>
      <c r="DM90" t="s">
        <v>120</v>
      </c>
      <c r="DN90" t="s">
        <v>120</v>
      </c>
    </row>
    <row r="91" spans="1:118">
      <c r="A91" t="str">
        <f>"000428"</f>
        <v>000428</v>
      </c>
      <c r="B91" t="s">
        <v>790</v>
      </c>
      <c r="C91">
        <v>0.84</v>
      </c>
      <c r="D91">
        <v>-0.27</v>
      </c>
      <c r="E91">
        <v>0</v>
      </c>
      <c r="F91">
        <v>1368</v>
      </c>
      <c r="G91" t="s">
        <v>791</v>
      </c>
      <c r="H91">
        <v>6980.12</v>
      </c>
      <c r="I91">
        <v>16.54</v>
      </c>
      <c r="J91" t="s">
        <v>120</v>
      </c>
      <c r="K91" t="s">
        <v>792</v>
      </c>
      <c r="L91">
        <v>1.88</v>
      </c>
      <c r="M91">
        <v>3.61</v>
      </c>
      <c r="N91">
        <v>1</v>
      </c>
      <c r="O91">
        <v>4.47</v>
      </c>
      <c r="P91">
        <v>3.74</v>
      </c>
      <c r="Q91">
        <v>-0.28000000000000003</v>
      </c>
      <c r="R91">
        <v>3.57</v>
      </c>
      <c r="S91">
        <v>3.58</v>
      </c>
      <c r="T91">
        <v>191421</v>
      </c>
      <c r="U91">
        <v>3.62</v>
      </c>
      <c r="V91">
        <v>3.58</v>
      </c>
      <c r="W91" t="s">
        <v>120</v>
      </c>
      <c r="X91" t="s">
        <v>793</v>
      </c>
      <c r="Y91" t="s">
        <v>594</v>
      </c>
      <c r="Z91">
        <v>4.75</v>
      </c>
      <c r="AA91">
        <v>3.65</v>
      </c>
      <c r="AB91">
        <v>101935</v>
      </c>
      <c r="AC91">
        <v>89486</v>
      </c>
      <c r="AD91">
        <v>1.1399999999999999</v>
      </c>
      <c r="AE91">
        <v>991</v>
      </c>
      <c r="AF91">
        <v>1540</v>
      </c>
      <c r="AG91" t="s">
        <v>120</v>
      </c>
      <c r="AH91">
        <v>0.01</v>
      </c>
      <c r="AI91" t="s">
        <v>120</v>
      </c>
      <c r="AJ91">
        <v>10.19</v>
      </c>
      <c r="AK91" t="s">
        <v>792</v>
      </c>
      <c r="AL91">
        <v>2.75</v>
      </c>
      <c r="AM91">
        <v>1997</v>
      </c>
      <c r="AN91">
        <v>96</v>
      </c>
      <c r="AO91">
        <v>8.9999999999999998E-4</v>
      </c>
      <c r="AP91">
        <v>2</v>
      </c>
      <c r="AQ91">
        <v>3.17</v>
      </c>
      <c r="AR91">
        <v>2.56</v>
      </c>
      <c r="AS91">
        <v>19.14</v>
      </c>
      <c r="AT91">
        <v>27.12</v>
      </c>
      <c r="AU91">
        <v>36.75</v>
      </c>
      <c r="AV91">
        <v>7</v>
      </c>
      <c r="AW91">
        <v>4.2</v>
      </c>
      <c r="AX91">
        <v>44.7</v>
      </c>
      <c r="AY91" t="s">
        <v>120</v>
      </c>
      <c r="AZ91" t="s">
        <v>120</v>
      </c>
      <c r="BA91">
        <v>7.0000000000000007E-2</v>
      </c>
      <c r="BB91" t="s">
        <v>184</v>
      </c>
      <c r="BF91">
        <v>1.86</v>
      </c>
      <c r="BG91">
        <v>0.84</v>
      </c>
      <c r="BH91">
        <v>-3.48</v>
      </c>
      <c r="BI91">
        <v>1.1200000000000001</v>
      </c>
      <c r="BJ91">
        <v>20210915</v>
      </c>
      <c r="BK91">
        <v>19960808</v>
      </c>
      <c r="BL91">
        <v>10.19</v>
      </c>
      <c r="BM91" t="s">
        <v>120</v>
      </c>
      <c r="BN91" t="s">
        <v>120</v>
      </c>
      <c r="BO91">
        <v>62.63</v>
      </c>
      <c r="BP91">
        <v>3.61</v>
      </c>
      <c r="BQ91">
        <v>19.14</v>
      </c>
      <c r="BR91">
        <v>-2.78</v>
      </c>
      <c r="BS91">
        <v>73.89</v>
      </c>
      <c r="BT91">
        <v>14.75</v>
      </c>
      <c r="BU91">
        <v>29.02</v>
      </c>
      <c r="BV91">
        <v>4.59</v>
      </c>
      <c r="BW91">
        <v>40.61</v>
      </c>
      <c r="BX91">
        <v>1.7</v>
      </c>
      <c r="BY91">
        <v>8.18</v>
      </c>
      <c r="BZ91">
        <v>0.52</v>
      </c>
      <c r="CA91">
        <v>0.01</v>
      </c>
      <c r="CB91">
        <v>14.52</v>
      </c>
      <c r="CC91">
        <v>3.05</v>
      </c>
      <c r="CD91">
        <v>2.35</v>
      </c>
      <c r="CE91">
        <v>-1.91</v>
      </c>
      <c r="CF91">
        <v>-0.01</v>
      </c>
      <c r="CG91">
        <v>-1.91</v>
      </c>
      <c r="CH91">
        <v>-1.89</v>
      </c>
      <c r="CI91">
        <v>-1.54</v>
      </c>
      <c r="CJ91">
        <v>0.03</v>
      </c>
      <c r="CK91">
        <v>-1.68</v>
      </c>
      <c r="CL91">
        <v>-6.48</v>
      </c>
      <c r="CM91">
        <v>0.01</v>
      </c>
      <c r="CN91">
        <v>1</v>
      </c>
      <c r="CO91">
        <v>30504</v>
      </c>
      <c r="CP91">
        <v>14931</v>
      </c>
      <c r="CQ91" t="s">
        <v>794</v>
      </c>
      <c r="CR91">
        <v>32.450000000000003</v>
      </c>
      <c r="CS91">
        <v>78.069999999999993</v>
      </c>
      <c r="CT91">
        <v>1.92</v>
      </c>
      <c r="CU91">
        <v>3466.85</v>
      </c>
      <c r="CV91">
        <v>12.06</v>
      </c>
      <c r="CW91">
        <v>0</v>
      </c>
      <c r="CX91" t="s">
        <v>795</v>
      </c>
      <c r="CY91">
        <v>1.88</v>
      </c>
      <c r="CZ91">
        <v>0</v>
      </c>
      <c r="DA91">
        <v>1.43</v>
      </c>
      <c r="DB91">
        <v>-0.64</v>
      </c>
      <c r="DC91">
        <v>0</v>
      </c>
      <c r="DD91">
        <v>30.56</v>
      </c>
      <c r="DE91" t="s">
        <v>796</v>
      </c>
      <c r="DF91">
        <v>23.09</v>
      </c>
      <c r="DG91">
        <v>-62.72</v>
      </c>
      <c r="DH91">
        <v>-50.61</v>
      </c>
      <c r="DI91" t="s">
        <v>120</v>
      </c>
      <c r="DJ91">
        <v>3845</v>
      </c>
      <c r="DK91">
        <v>428</v>
      </c>
      <c r="DL91" t="s">
        <v>120</v>
      </c>
      <c r="DM91" t="s">
        <v>120</v>
      </c>
      <c r="DN91" t="s">
        <v>120</v>
      </c>
    </row>
    <row r="92" spans="1:118">
      <c r="A92" t="str">
        <f>"000429"</f>
        <v>000429</v>
      </c>
      <c r="B92" t="s">
        <v>797</v>
      </c>
      <c r="C92">
        <v>-2.11</v>
      </c>
      <c r="D92">
        <v>-1.97</v>
      </c>
      <c r="E92">
        <v>-0.66</v>
      </c>
      <c r="F92">
        <v>13444</v>
      </c>
      <c r="G92" t="s">
        <v>798</v>
      </c>
      <c r="H92">
        <v>5986.3</v>
      </c>
      <c r="I92">
        <v>59.94</v>
      </c>
      <c r="J92" t="s">
        <v>120</v>
      </c>
      <c r="K92" t="s">
        <v>799</v>
      </c>
      <c r="L92">
        <v>0.61</v>
      </c>
      <c r="M92">
        <v>7.42</v>
      </c>
      <c r="N92">
        <v>1.02</v>
      </c>
      <c r="O92">
        <v>3.56</v>
      </c>
      <c r="P92">
        <v>7.85</v>
      </c>
      <c r="Q92">
        <v>-2.11</v>
      </c>
      <c r="R92">
        <v>7.42</v>
      </c>
      <c r="S92">
        <v>7.53</v>
      </c>
      <c r="T92">
        <v>78828</v>
      </c>
      <c r="U92">
        <v>7.42</v>
      </c>
      <c r="V92">
        <v>7.58</v>
      </c>
      <c r="W92">
        <v>9.14</v>
      </c>
      <c r="X92" t="s">
        <v>800</v>
      </c>
      <c r="Y92" t="s">
        <v>547</v>
      </c>
      <c r="Z92">
        <v>5.67</v>
      </c>
      <c r="AA92">
        <v>7.59</v>
      </c>
      <c r="AB92">
        <v>33536</v>
      </c>
      <c r="AC92">
        <v>45292</v>
      </c>
      <c r="AD92">
        <v>0.74</v>
      </c>
      <c r="AE92">
        <v>869</v>
      </c>
      <c r="AF92">
        <v>1944</v>
      </c>
      <c r="AG92" t="s">
        <v>120</v>
      </c>
      <c r="AH92">
        <v>0.02</v>
      </c>
      <c r="AI92" t="s">
        <v>120</v>
      </c>
      <c r="AJ92">
        <v>13.03</v>
      </c>
      <c r="AK92" t="s">
        <v>801</v>
      </c>
      <c r="AL92">
        <v>-0.2</v>
      </c>
      <c r="AM92">
        <v>2415</v>
      </c>
      <c r="AN92">
        <v>33</v>
      </c>
      <c r="AO92">
        <v>2.9999999999999997E-4</v>
      </c>
      <c r="AP92">
        <v>-1</v>
      </c>
      <c r="AQ92">
        <v>0.4</v>
      </c>
      <c r="AR92">
        <v>-2.88</v>
      </c>
      <c r="AS92">
        <v>10.09</v>
      </c>
      <c r="AT92">
        <v>6.62</v>
      </c>
      <c r="AU92">
        <v>28.84</v>
      </c>
      <c r="AV92">
        <v>0</v>
      </c>
      <c r="AW92">
        <v>1.58</v>
      </c>
      <c r="AX92">
        <v>23.79</v>
      </c>
      <c r="AY92">
        <v>9.3699999999999992</v>
      </c>
      <c r="AZ92">
        <v>18.260000000000002</v>
      </c>
      <c r="BA92">
        <v>0.06</v>
      </c>
      <c r="BB92" t="s">
        <v>184</v>
      </c>
      <c r="BF92">
        <v>0.19</v>
      </c>
      <c r="BG92">
        <v>-1.46</v>
      </c>
      <c r="BH92">
        <v>-5.48</v>
      </c>
      <c r="BI92">
        <v>0</v>
      </c>
      <c r="BJ92">
        <v>20210827</v>
      </c>
      <c r="BK92">
        <v>19980220</v>
      </c>
      <c r="BL92">
        <v>20.91</v>
      </c>
      <c r="BM92">
        <v>3.49</v>
      </c>
      <c r="BN92" t="s">
        <v>120</v>
      </c>
      <c r="BO92">
        <v>199.49</v>
      </c>
      <c r="BP92">
        <v>7.41</v>
      </c>
      <c r="BQ92">
        <v>81.84</v>
      </c>
      <c r="BR92">
        <v>22.81</v>
      </c>
      <c r="BS92">
        <v>47.54</v>
      </c>
      <c r="BT92">
        <v>38.44</v>
      </c>
      <c r="BU92">
        <v>108.97</v>
      </c>
      <c r="BV92">
        <v>2.84</v>
      </c>
      <c r="BW92">
        <v>17.27</v>
      </c>
      <c r="BX92">
        <v>35.67</v>
      </c>
      <c r="BY92">
        <v>0</v>
      </c>
      <c r="BZ92">
        <v>1.44</v>
      </c>
      <c r="CA92">
        <v>0.22</v>
      </c>
      <c r="CB92">
        <v>6.92</v>
      </c>
      <c r="CC92">
        <v>24.88</v>
      </c>
      <c r="CD92">
        <v>8.89</v>
      </c>
      <c r="CE92">
        <v>15.52</v>
      </c>
      <c r="CF92">
        <v>1.72</v>
      </c>
      <c r="CG92">
        <v>15.54</v>
      </c>
      <c r="CH92">
        <v>12</v>
      </c>
      <c r="CI92">
        <v>8.49</v>
      </c>
      <c r="CJ92">
        <v>-0.16</v>
      </c>
      <c r="CK92">
        <v>8.43</v>
      </c>
      <c r="CL92">
        <v>39.659999999999997</v>
      </c>
      <c r="CM92">
        <v>18.149999999999999</v>
      </c>
      <c r="CN92">
        <v>7.2</v>
      </c>
      <c r="CO92">
        <v>53257</v>
      </c>
      <c r="CP92">
        <v>15888</v>
      </c>
      <c r="CQ92" t="s">
        <v>802</v>
      </c>
      <c r="CR92">
        <v>3348.35</v>
      </c>
      <c r="CS92">
        <v>122.63</v>
      </c>
      <c r="CT92">
        <v>1.9</v>
      </c>
      <c r="CU92">
        <v>8.5500000000000007</v>
      </c>
      <c r="CV92">
        <v>6.23</v>
      </c>
      <c r="CW92">
        <v>3.84</v>
      </c>
      <c r="CX92" t="s">
        <v>803</v>
      </c>
      <c r="CY92">
        <v>3.91</v>
      </c>
      <c r="CZ92">
        <v>0</v>
      </c>
      <c r="DA92">
        <v>0.33</v>
      </c>
      <c r="DB92">
        <v>1.9</v>
      </c>
      <c r="DC92">
        <v>0.87</v>
      </c>
      <c r="DD92">
        <v>41.03</v>
      </c>
      <c r="DE92" t="s">
        <v>804</v>
      </c>
      <c r="DF92">
        <v>64.27</v>
      </c>
      <c r="DG92">
        <v>62.36</v>
      </c>
      <c r="DH92">
        <v>34.11</v>
      </c>
      <c r="DI92" t="s">
        <v>120</v>
      </c>
      <c r="DJ92">
        <v>2956</v>
      </c>
      <c r="DK92">
        <v>429</v>
      </c>
      <c r="DL92" t="s">
        <v>120</v>
      </c>
      <c r="DM92" t="s">
        <v>120</v>
      </c>
      <c r="DN92" t="s">
        <v>120</v>
      </c>
    </row>
    <row r="93" spans="1:118">
      <c r="A93" t="str">
        <f>"000430"</f>
        <v>000430</v>
      </c>
      <c r="B93" t="s">
        <v>805</v>
      </c>
      <c r="C93">
        <v>-0.17</v>
      </c>
      <c r="D93">
        <v>-0.5</v>
      </c>
      <c r="E93">
        <v>-0.17</v>
      </c>
      <c r="F93">
        <v>831</v>
      </c>
      <c r="G93" t="s">
        <v>806</v>
      </c>
      <c r="H93">
        <v>3612.96</v>
      </c>
      <c r="I93">
        <v>4.3099999999999996</v>
      </c>
      <c r="J93" t="s">
        <v>120</v>
      </c>
      <c r="K93" t="s">
        <v>807</v>
      </c>
      <c r="L93">
        <v>1.82</v>
      </c>
      <c r="M93">
        <v>5.91</v>
      </c>
      <c r="N93">
        <v>0.66</v>
      </c>
      <c r="O93">
        <v>3.55</v>
      </c>
      <c r="P93">
        <v>6.13</v>
      </c>
      <c r="Q93">
        <v>-0.68</v>
      </c>
      <c r="R93">
        <v>5.88</v>
      </c>
      <c r="S93">
        <v>5.91</v>
      </c>
      <c r="T93">
        <v>60366</v>
      </c>
      <c r="U93">
        <v>5.92</v>
      </c>
      <c r="V93">
        <v>5.92</v>
      </c>
      <c r="W93" t="s">
        <v>120</v>
      </c>
      <c r="X93" t="s">
        <v>489</v>
      </c>
      <c r="Y93" t="s">
        <v>594</v>
      </c>
      <c r="Z93">
        <v>4.22</v>
      </c>
      <c r="AA93">
        <v>5.99</v>
      </c>
      <c r="AB93">
        <v>29118</v>
      </c>
      <c r="AC93">
        <v>31248</v>
      </c>
      <c r="AD93">
        <v>0.93</v>
      </c>
      <c r="AE93">
        <v>31</v>
      </c>
      <c r="AF93">
        <v>82</v>
      </c>
      <c r="AG93" t="s">
        <v>120</v>
      </c>
      <c r="AH93">
        <v>0</v>
      </c>
      <c r="AI93" t="s">
        <v>120</v>
      </c>
      <c r="AJ93">
        <v>3.32</v>
      </c>
      <c r="AK93" t="s">
        <v>259</v>
      </c>
      <c r="AL93">
        <v>1.74</v>
      </c>
      <c r="AM93">
        <v>2160</v>
      </c>
      <c r="AN93">
        <v>28</v>
      </c>
      <c r="AO93">
        <v>8.0000000000000004E-4</v>
      </c>
      <c r="AP93">
        <v>-4</v>
      </c>
      <c r="AQ93">
        <v>-1.5</v>
      </c>
      <c r="AR93">
        <v>-4.53</v>
      </c>
      <c r="AS93">
        <v>13.66</v>
      </c>
      <c r="AT93">
        <v>11.93</v>
      </c>
      <c r="AU93">
        <v>22.36</v>
      </c>
      <c r="AV93">
        <v>2</v>
      </c>
      <c r="AW93">
        <v>2.2999999999999998</v>
      </c>
      <c r="AX93">
        <v>64.7</v>
      </c>
      <c r="AY93" t="s">
        <v>120</v>
      </c>
      <c r="AZ93" t="s">
        <v>120</v>
      </c>
      <c r="BA93">
        <v>0.64</v>
      </c>
      <c r="BB93" t="s">
        <v>240</v>
      </c>
      <c r="BF93">
        <v>1.1000000000000001</v>
      </c>
      <c r="BG93">
        <v>0</v>
      </c>
      <c r="BH93">
        <v>-3.59</v>
      </c>
      <c r="BI93">
        <v>0.51</v>
      </c>
      <c r="BJ93">
        <v>20210831</v>
      </c>
      <c r="BK93">
        <v>19960829</v>
      </c>
      <c r="BL93">
        <v>4.05</v>
      </c>
      <c r="BM93" t="s">
        <v>120</v>
      </c>
      <c r="BN93" t="s">
        <v>120</v>
      </c>
      <c r="BO93">
        <v>29.25</v>
      </c>
      <c r="BP93">
        <v>5.91</v>
      </c>
      <c r="BQ93">
        <v>14.85</v>
      </c>
      <c r="BR93" t="s">
        <v>120</v>
      </c>
      <c r="BS93">
        <v>49.24</v>
      </c>
      <c r="BT93">
        <v>1.91</v>
      </c>
      <c r="BU93">
        <v>9.8000000000000007</v>
      </c>
      <c r="BV93">
        <v>6.25</v>
      </c>
      <c r="BW93">
        <v>4.55</v>
      </c>
      <c r="BX93">
        <v>0.73</v>
      </c>
      <c r="BY93">
        <v>0.04</v>
      </c>
      <c r="BZ93">
        <v>0.06</v>
      </c>
      <c r="CA93">
        <v>0.02</v>
      </c>
      <c r="CB93">
        <v>8.52</v>
      </c>
      <c r="CC93">
        <v>1.17</v>
      </c>
      <c r="CD93">
        <v>1.03</v>
      </c>
      <c r="CE93">
        <v>-0.32</v>
      </c>
      <c r="CF93">
        <v>0.03</v>
      </c>
      <c r="CG93">
        <v>-0.33</v>
      </c>
      <c r="CH93">
        <v>-0.27</v>
      </c>
      <c r="CI93">
        <v>-0.27</v>
      </c>
      <c r="CJ93">
        <v>-0.01</v>
      </c>
      <c r="CK93">
        <v>-0.32</v>
      </c>
      <c r="CL93">
        <v>1.6</v>
      </c>
      <c r="CM93">
        <v>-0.09</v>
      </c>
      <c r="CN93">
        <v>0.35</v>
      </c>
      <c r="CO93">
        <v>30608</v>
      </c>
      <c r="CP93">
        <v>8557</v>
      </c>
      <c r="CQ93" t="s">
        <v>808</v>
      </c>
      <c r="CR93">
        <v>56.2</v>
      </c>
      <c r="CS93">
        <v>226.68</v>
      </c>
      <c r="CT93">
        <v>1.61</v>
      </c>
      <c r="CU93">
        <v>-265.26</v>
      </c>
      <c r="CV93">
        <v>20.45</v>
      </c>
      <c r="CW93">
        <v>0</v>
      </c>
      <c r="CX93" t="s">
        <v>809</v>
      </c>
      <c r="CY93">
        <v>3.67</v>
      </c>
      <c r="CZ93">
        <v>0</v>
      </c>
      <c r="DA93">
        <v>2.11</v>
      </c>
      <c r="DB93">
        <v>0.4</v>
      </c>
      <c r="DC93">
        <v>-0.02</v>
      </c>
      <c r="DD93">
        <v>50.76</v>
      </c>
      <c r="DE93" t="s">
        <v>810</v>
      </c>
      <c r="DF93">
        <v>12.34</v>
      </c>
      <c r="DG93">
        <v>-27.45</v>
      </c>
      <c r="DH93">
        <v>-23.06</v>
      </c>
      <c r="DI93" t="s">
        <v>120</v>
      </c>
      <c r="DJ93">
        <v>1074</v>
      </c>
      <c r="DK93">
        <v>430</v>
      </c>
      <c r="DL93" t="s">
        <v>120</v>
      </c>
      <c r="DM93" t="s">
        <v>120</v>
      </c>
      <c r="DN93" t="s">
        <v>120</v>
      </c>
    </row>
    <row r="94" spans="1:118">
      <c r="A94" t="str">
        <f>"000488"</f>
        <v>000488</v>
      </c>
      <c r="B94" t="s">
        <v>811</v>
      </c>
      <c r="C94">
        <v>0.36</v>
      </c>
      <c r="D94">
        <v>-0.59</v>
      </c>
      <c r="E94">
        <v>-0.72</v>
      </c>
      <c r="F94">
        <v>18685</v>
      </c>
      <c r="G94" t="s">
        <v>812</v>
      </c>
      <c r="H94">
        <v>60642.67</v>
      </c>
      <c r="I94">
        <v>209.53</v>
      </c>
      <c r="J94" t="s">
        <v>120</v>
      </c>
      <c r="K94" t="s">
        <v>813</v>
      </c>
      <c r="L94">
        <v>4.34</v>
      </c>
      <c r="M94">
        <v>8.31</v>
      </c>
      <c r="N94">
        <v>0.76</v>
      </c>
      <c r="O94">
        <v>3.38</v>
      </c>
      <c r="P94">
        <v>8.56</v>
      </c>
      <c r="Q94">
        <v>-0.85</v>
      </c>
      <c r="R94">
        <v>8.2100000000000009</v>
      </c>
      <c r="S94">
        <v>8.2200000000000006</v>
      </c>
      <c r="T94">
        <v>721808</v>
      </c>
      <c r="U94">
        <v>8.32</v>
      </c>
      <c r="V94">
        <v>8.2799999999999994</v>
      </c>
      <c r="W94">
        <v>6.13</v>
      </c>
      <c r="X94" t="s">
        <v>814</v>
      </c>
      <c r="Y94" t="s">
        <v>638</v>
      </c>
      <c r="Z94">
        <v>4.2300000000000004</v>
      </c>
      <c r="AA94">
        <v>8.4</v>
      </c>
      <c r="AB94">
        <v>335614</v>
      </c>
      <c r="AC94">
        <v>386194</v>
      </c>
      <c r="AD94">
        <v>0.87</v>
      </c>
      <c r="AE94">
        <v>3608</v>
      </c>
      <c r="AF94">
        <v>3562</v>
      </c>
      <c r="AG94" t="s">
        <v>120</v>
      </c>
      <c r="AH94">
        <v>0.02</v>
      </c>
      <c r="AI94" t="s">
        <v>120</v>
      </c>
      <c r="AJ94">
        <v>16.649999999999999</v>
      </c>
      <c r="AK94" t="s">
        <v>815</v>
      </c>
      <c r="AL94">
        <v>2.2799999999999998</v>
      </c>
      <c r="AM94">
        <v>4271</v>
      </c>
      <c r="AN94">
        <v>169</v>
      </c>
      <c r="AO94">
        <v>1E-3</v>
      </c>
      <c r="AP94">
        <v>1</v>
      </c>
      <c r="AQ94">
        <v>-0.24</v>
      </c>
      <c r="AR94">
        <v>-4.1500000000000004</v>
      </c>
      <c r="AS94">
        <v>8.06</v>
      </c>
      <c r="AT94">
        <v>-0.54</v>
      </c>
      <c r="AU94">
        <v>33.28</v>
      </c>
      <c r="AV94">
        <v>7</v>
      </c>
      <c r="AW94">
        <v>5.98</v>
      </c>
      <c r="AX94">
        <v>49.17</v>
      </c>
      <c r="AY94">
        <v>7.68</v>
      </c>
      <c r="AZ94">
        <v>14.43</v>
      </c>
      <c r="BA94">
        <v>0.53</v>
      </c>
      <c r="BB94" t="s">
        <v>143</v>
      </c>
      <c r="BF94">
        <v>1.47</v>
      </c>
      <c r="BG94">
        <v>1.0900000000000001</v>
      </c>
      <c r="BH94">
        <v>-2.92</v>
      </c>
      <c r="BI94">
        <v>1.22</v>
      </c>
      <c r="BJ94">
        <v>20210827</v>
      </c>
      <c r="BK94">
        <v>20001120</v>
      </c>
      <c r="BL94">
        <v>29.84</v>
      </c>
      <c r="BM94">
        <v>7.06</v>
      </c>
      <c r="BN94">
        <v>5.28</v>
      </c>
      <c r="BO94">
        <v>906.01</v>
      </c>
      <c r="BP94">
        <v>8.31</v>
      </c>
      <c r="BQ94">
        <v>232.96</v>
      </c>
      <c r="BR94">
        <v>39.380000000000003</v>
      </c>
      <c r="BS94">
        <v>69.94</v>
      </c>
      <c r="BT94">
        <v>359.1</v>
      </c>
      <c r="BU94">
        <v>365.54</v>
      </c>
      <c r="BV94">
        <v>16.3</v>
      </c>
      <c r="BW94">
        <v>508.85</v>
      </c>
      <c r="BX94">
        <v>163.94</v>
      </c>
      <c r="BY94">
        <v>69.02</v>
      </c>
      <c r="BZ94">
        <v>18.14</v>
      </c>
      <c r="CA94" t="s">
        <v>120</v>
      </c>
      <c r="CB94">
        <v>52.59</v>
      </c>
      <c r="CC94">
        <v>171.73</v>
      </c>
      <c r="CD94">
        <v>118.61</v>
      </c>
      <c r="CE94">
        <v>23.24</v>
      </c>
      <c r="CF94">
        <v>0.99</v>
      </c>
      <c r="CG94">
        <v>23.4</v>
      </c>
      <c r="CH94">
        <v>20.66</v>
      </c>
      <c r="CI94">
        <v>20.21</v>
      </c>
      <c r="CJ94">
        <v>0.03</v>
      </c>
      <c r="CK94">
        <v>19.649999999999999</v>
      </c>
      <c r="CL94">
        <v>112.62</v>
      </c>
      <c r="CM94">
        <v>47.47</v>
      </c>
      <c r="CN94">
        <v>2.56</v>
      </c>
      <c r="CO94">
        <v>177220</v>
      </c>
      <c r="CP94">
        <v>10800</v>
      </c>
      <c r="CQ94" t="s">
        <v>816</v>
      </c>
      <c r="CR94">
        <v>291.44</v>
      </c>
      <c r="CS94">
        <v>26.27</v>
      </c>
      <c r="CT94">
        <v>1.24</v>
      </c>
      <c r="CU94">
        <v>5.22</v>
      </c>
      <c r="CV94">
        <v>1.44</v>
      </c>
      <c r="CW94">
        <v>2.23</v>
      </c>
      <c r="CX94" t="s">
        <v>817</v>
      </c>
      <c r="CY94">
        <v>6.72</v>
      </c>
      <c r="CZ94">
        <v>6.72</v>
      </c>
      <c r="DA94">
        <v>1.76</v>
      </c>
      <c r="DB94">
        <v>3.77</v>
      </c>
      <c r="DC94">
        <v>1.59</v>
      </c>
      <c r="DD94">
        <v>25.71</v>
      </c>
      <c r="DE94" t="s">
        <v>818</v>
      </c>
      <c r="DF94">
        <v>30.93</v>
      </c>
      <c r="DG94">
        <v>13.53</v>
      </c>
      <c r="DH94">
        <v>11.77</v>
      </c>
      <c r="DI94">
        <v>7.57</v>
      </c>
      <c r="DJ94">
        <v>12683</v>
      </c>
      <c r="DK94">
        <v>488</v>
      </c>
      <c r="DL94" t="s">
        <v>120</v>
      </c>
      <c r="DM94" t="s">
        <v>120</v>
      </c>
      <c r="DN94" t="s">
        <v>120</v>
      </c>
    </row>
    <row r="95" spans="1:118">
      <c r="A95" t="str">
        <f>"000498"</f>
        <v>000498</v>
      </c>
      <c r="B95" t="s">
        <v>819</v>
      </c>
      <c r="C95">
        <v>0.71</v>
      </c>
      <c r="D95">
        <v>0.14000000000000001</v>
      </c>
      <c r="E95">
        <v>-0.56999999999999995</v>
      </c>
      <c r="F95">
        <v>2781</v>
      </c>
      <c r="G95" t="s">
        <v>820</v>
      </c>
      <c r="H95">
        <v>12318.25</v>
      </c>
      <c r="I95">
        <v>95.96</v>
      </c>
      <c r="J95" t="s">
        <v>120</v>
      </c>
      <c r="K95" t="s">
        <v>821</v>
      </c>
      <c r="L95">
        <v>3.34</v>
      </c>
      <c r="M95">
        <v>7.12</v>
      </c>
      <c r="N95">
        <v>1.06</v>
      </c>
      <c r="O95">
        <v>3.68</v>
      </c>
      <c r="P95">
        <v>7.33</v>
      </c>
      <c r="Q95">
        <v>-0.56999999999999995</v>
      </c>
      <c r="R95">
        <v>7.03</v>
      </c>
      <c r="S95">
        <v>7.03</v>
      </c>
      <c r="T95">
        <v>171609</v>
      </c>
      <c r="U95">
        <v>7.12</v>
      </c>
      <c r="V95">
        <v>7.07</v>
      </c>
      <c r="W95">
        <v>7.11</v>
      </c>
      <c r="X95" t="s">
        <v>175</v>
      </c>
      <c r="Y95" t="s">
        <v>638</v>
      </c>
      <c r="Z95">
        <v>4.24</v>
      </c>
      <c r="AA95">
        <v>7.18</v>
      </c>
      <c r="AB95">
        <v>76680</v>
      </c>
      <c r="AC95">
        <v>94929</v>
      </c>
      <c r="AD95">
        <v>0.81</v>
      </c>
      <c r="AE95">
        <v>113</v>
      </c>
      <c r="AF95">
        <v>433</v>
      </c>
      <c r="AG95" t="s">
        <v>120</v>
      </c>
      <c r="AH95">
        <v>0.03</v>
      </c>
      <c r="AI95" t="s">
        <v>120</v>
      </c>
      <c r="AJ95">
        <v>5.13</v>
      </c>
      <c r="AK95" t="s">
        <v>822</v>
      </c>
      <c r="AL95">
        <v>2.62</v>
      </c>
      <c r="AM95">
        <v>3015</v>
      </c>
      <c r="AN95">
        <v>57</v>
      </c>
      <c r="AO95">
        <v>1.1000000000000001E-3</v>
      </c>
      <c r="AP95">
        <v>1</v>
      </c>
      <c r="AQ95">
        <v>-0.42</v>
      </c>
      <c r="AR95">
        <v>-3.39</v>
      </c>
      <c r="AS95">
        <v>9.5399999999999991</v>
      </c>
      <c r="AT95">
        <v>27.6</v>
      </c>
      <c r="AU95">
        <v>53.12</v>
      </c>
      <c r="AV95">
        <v>1</v>
      </c>
      <c r="AW95">
        <v>3.75</v>
      </c>
      <c r="AX95">
        <v>29.37</v>
      </c>
      <c r="AY95">
        <v>6.64</v>
      </c>
      <c r="AZ95">
        <v>8.2200000000000006</v>
      </c>
      <c r="BA95">
        <v>0.42</v>
      </c>
      <c r="BB95" t="s">
        <v>143</v>
      </c>
      <c r="BF95">
        <v>1.53</v>
      </c>
      <c r="BG95">
        <v>1.28</v>
      </c>
      <c r="BH95">
        <v>-2.86</v>
      </c>
      <c r="BI95">
        <v>1.28</v>
      </c>
      <c r="BJ95">
        <v>20210831</v>
      </c>
      <c r="BK95">
        <v>19970609</v>
      </c>
      <c r="BL95">
        <v>15.57</v>
      </c>
      <c r="BM95" t="s">
        <v>120</v>
      </c>
      <c r="BN95" t="s">
        <v>120</v>
      </c>
      <c r="BO95">
        <v>700.96</v>
      </c>
      <c r="BP95">
        <v>7.11</v>
      </c>
      <c r="BQ95">
        <v>94.28</v>
      </c>
      <c r="BR95">
        <v>61.56</v>
      </c>
      <c r="BS95">
        <v>77.77</v>
      </c>
      <c r="BT95">
        <v>503.79</v>
      </c>
      <c r="BU95">
        <v>29.44</v>
      </c>
      <c r="BV95">
        <v>3.29</v>
      </c>
      <c r="BW95">
        <v>448.13</v>
      </c>
      <c r="BX95">
        <v>51.11</v>
      </c>
      <c r="BY95">
        <v>23.26</v>
      </c>
      <c r="BZ95">
        <v>67.239999999999995</v>
      </c>
      <c r="CA95" t="s">
        <v>120</v>
      </c>
      <c r="CB95">
        <v>12.96</v>
      </c>
      <c r="CC95">
        <v>222.59</v>
      </c>
      <c r="CD95">
        <v>197.77</v>
      </c>
      <c r="CE95">
        <v>12.47</v>
      </c>
      <c r="CF95">
        <v>0.22</v>
      </c>
      <c r="CG95">
        <v>12.48</v>
      </c>
      <c r="CH95">
        <v>9.74</v>
      </c>
      <c r="CI95">
        <v>7.8</v>
      </c>
      <c r="CJ95">
        <v>0.05</v>
      </c>
      <c r="CK95">
        <v>7.46</v>
      </c>
      <c r="CL95">
        <v>51.29</v>
      </c>
      <c r="CM95">
        <v>22.06</v>
      </c>
      <c r="CN95">
        <v>12.19</v>
      </c>
      <c r="CO95">
        <v>40817</v>
      </c>
      <c r="CP95">
        <v>11204</v>
      </c>
      <c r="CQ95" t="s">
        <v>823</v>
      </c>
      <c r="CR95">
        <v>68.930000000000007</v>
      </c>
      <c r="CS95">
        <v>90.12</v>
      </c>
      <c r="CT95">
        <v>1.18</v>
      </c>
      <c r="CU95">
        <v>5.03</v>
      </c>
      <c r="CV95">
        <v>0.5</v>
      </c>
      <c r="CW95">
        <v>1.41</v>
      </c>
      <c r="CX95" t="s">
        <v>824</v>
      </c>
      <c r="CY95">
        <v>6.06</v>
      </c>
      <c r="CZ95">
        <v>0</v>
      </c>
      <c r="DA95">
        <v>0.83</v>
      </c>
      <c r="DB95">
        <v>3.29</v>
      </c>
      <c r="DC95">
        <v>1.42</v>
      </c>
      <c r="DD95">
        <v>13.45</v>
      </c>
      <c r="DE95" t="s">
        <v>825</v>
      </c>
      <c r="DF95">
        <v>11.15</v>
      </c>
      <c r="DG95">
        <v>5.6</v>
      </c>
      <c r="DH95">
        <v>3.5</v>
      </c>
      <c r="DI95">
        <v>2.84</v>
      </c>
      <c r="DJ95">
        <v>14020</v>
      </c>
      <c r="DK95">
        <v>498</v>
      </c>
      <c r="DL95" t="s">
        <v>120</v>
      </c>
      <c r="DM95" t="s">
        <v>120</v>
      </c>
      <c r="DN95" t="s">
        <v>120</v>
      </c>
    </row>
    <row r="96" spans="1:118">
      <c r="A96" t="str">
        <f>"000501"</f>
        <v>000501</v>
      </c>
      <c r="B96" t="s">
        <v>826</v>
      </c>
      <c r="C96">
        <v>1.08</v>
      </c>
      <c r="D96">
        <v>-0.08</v>
      </c>
      <c r="E96">
        <v>0.09</v>
      </c>
      <c r="F96">
        <v>1196</v>
      </c>
      <c r="G96" t="s">
        <v>827</v>
      </c>
      <c r="H96">
        <v>21980.58</v>
      </c>
      <c r="I96">
        <v>52.77</v>
      </c>
      <c r="J96" t="s">
        <v>120</v>
      </c>
      <c r="K96" t="s">
        <v>828</v>
      </c>
      <c r="L96">
        <v>2.5099999999999998</v>
      </c>
      <c r="M96">
        <v>11.22</v>
      </c>
      <c r="N96">
        <v>1.45</v>
      </c>
      <c r="O96">
        <v>5.86</v>
      </c>
      <c r="P96">
        <v>11.75</v>
      </c>
      <c r="Q96">
        <v>-0.09</v>
      </c>
      <c r="R96">
        <v>11.09</v>
      </c>
      <c r="S96">
        <v>11.11</v>
      </c>
      <c r="T96">
        <v>192978</v>
      </c>
      <c r="U96">
        <v>11.23</v>
      </c>
      <c r="V96">
        <v>11.1</v>
      </c>
      <c r="W96">
        <v>9.5399999999999991</v>
      </c>
      <c r="X96" t="s">
        <v>735</v>
      </c>
      <c r="Y96" t="s">
        <v>763</v>
      </c>
      <c r="Z96">
        <v>5.95</v>
      </c>
      <c r="AA96">
        <v>11.39</v>
      </c>
      <c r="AB96">
        <v>94750</v>
      </c>
      <c r="AC96">
        <v>98228</v>
      </c>
      <c r="AD96">
        <v>0.96</v>
      </c>
      <c r="AE96">
        <v>92</v>
      </c>
      <c r="AF96">
        <v>214</v>
      </c>
      <c r="AG96" t="s">
        <v>120</v>
      </c>
      <c r="AH96">
        <v>0.01</v>
      </c>
      <c r="AI96" t="s">
        <v>120</v>
      </c>
      <c r="AJ96">
        <v>7.68</v>
      </c>
      <c r="AK96" t="s">
        <v>829</v>
      </c>
      <c r="AL96">
        <v>2.99</v>
      </c>
      <c r="AM96">
        <v>3227</v>
      </c>
      <c r="AN96">
        <v>60</v>
      </c>
      <c r="AO96">
        <v>8.0000000000000004E-4</v>
      </c>
      <c r="AP96">
        <v>1</v>
      </c>
      <c r="AQ96">
        <v>-1.42</v>
      </c>
      <c r="AR96">
        <v>-0.62</v>
      </c>
      <c r="AS96">
        <v>8.3000000000000007</v>
      </c>
      <c r="AT96">
        <v>-4.0199999999999996</v>
      </c>
      <c r="AU96">
        <v>-2.44</v>
      </c>
      <c r="AV96">
        <v>1</v>
      </c>
      <c r="AW96">
        <v>4.41</v>
      </c>
      <c r="AX96">
        <v>56.92</v>
      </c>
      <c r="AY96">
        <v>8.19</v>
      </c>
      <c r="AZ96">
        <v>15.59</v>
      </c>
      <c r="BA96">
        <v>0.5</v>
      </c>
      <c r="BB96" t="s">
        <v>143</v>
      </c>
      <c r="BF96">
        <v>2.61</v>
      </c>
      <c r="BG96">
        <v>0.99</v>
      </c>
      <c r="BH96">
        <v>-4.51</v>
      </c>
      <c r="BI96">
        <v>1.17</v>
      </c>
      <c r="BJ96">
        <v>20210830</v>
      </c>
      <c r="BK96">
        <v>19921120</v>
      </c>
      <c r="BL96">
        <v>7.69</v>
      </c>
      <c r="BM96" t="s">
        <v>120</v>
      </c>
      <c r="BN96" t="s">
        <v>120</v>
      </c>
      <c r="BO96">
        <v>242.83</v>
      </c>
      <c r="BP96">
        <v>11.22</v>
      </c>
      <c r="BQ96">
        <v>102.53</v>
      </c>
      <c r="BR96" t="s">
        <v>120</v>
      </c>
      <c r="BS96">
        <v>57.78</v>
      </c>
      <c r="BT96">
        <v>45.7</v>
      </c>
      <c r="BU96">
        <v>61.99</v>
      </c>
      <c r="BV96">
        <v>65.86</v>
      </c>
      <c r="BW96">
        <v>99.85</v>
      </c>
      <c r="BX96">
        <v>17.670000000000002</v>
      </c>
      <c r="BY96">
        <v>19.59</v>
      </c>
      <c r="BZ96">
        <v>0.63</v>
      </c>
      <c r="CA96">
        <v>0.33</v>
      </c>
      <c r="CB96">
        <v>14.49</v>
      </c>
      <c r="CC96">
        <v>37.01</v>
      </c>
      <c r="CD96">
        <v>20.38</v>
      </c>
      <c r="CE96">
        <v>6.02</v>
      </c>
      <c r="CF96">
        <v>0</v>
      </c>
      <c r="CG96">
        <v>6.04</v>
      </c>
      <c r="CH96">
        <v>4.5199999999999996</v>
      </c>
      <c r="CI96">
        <v>4.5199999999999996</v>
      </c>
      <c r="CJ96">
        <v>0.12</v>
      </c>
      <c r="CK96">
        <v>4.38</v>
      </c>
      <c r="CL96">
        <v>62.5</v>
      </c>
      <c r="CM96">
        <v>10.25</v>
      </c>
      <c r="CN96">
        <v>-1.27</v>
      </c>
      <c r="CO96">
        <v>37708</v>
      </c>
      <c r="CP96">
        <v>11608</v>
      </c>
      <c r="CQ96" t="s">
        <v>830</v>
      </c>
      <c r="CR96">
        <v>1167.5</v>
      </c>
      <c r="CS96">
        <v>37.67</v>
      </c>
      <c r="CT96">
        <v>0.84</v>
      </c>
      <c r="CU96">
        <v>8.42</v>
      </c>
      <c r="CV96">
        <v>2.33</v>
      </c>
      <c r="CW96">
        <v>1.35</v>
      </c>
      <c r="CX96" t="s">
        <v>597</v>
      </c>
      <c r="CY96">
        <v>13.33</v>
      </c>
      <c r="CZ96">
        <v>0</v>
      </c>
      <c r="DA96">
        <v>1.88</v>
      </c>
      <c r="DB96">
        <v>8.1300000000000008</v>
      </c>
      <c r="DC96">
        <v>1.33</v>
      </c>
      <c r="DD96">
        <v>42.22</v>
      </c>
      <c r="DE96" t="s">
        <v>831</v>
      </c>
      <c r="DF96">
        <v>44.94</v>
      </c>
      <c r="DG96">
        <v>16.28</v>
      </c>
      <c r="DH96">
        <v>12.22</v>
      </c>
      <c r="DI96" t="s">
        <v>120</v>
      </c>
      <c r="DJ96">
        <v>9038</v>
      </c>
      <c r="DK96">
        <v>501</v>
      </c>
      <c r="DL96" t="s">
        <v>120</v>
      </c>
      <c r="DM96" t="s">
        <v>120</v>
      </c>
      <c r="DN96" t="s">
        <v>120</v>
      </c>
    </row>
    <row r="97" spans="1:118">
      <c r="A97" t="str">
        <f>"000503"</f>
        <v>000503</v>
      </c>
      <c r="B97" t="s">
        <v>832</v>
      </c>
      <c r="C97">
        <v>-1.01</v>
      </c>
      <c r="D97">
        <v>0</v>
      </c>
      <c r="E97">
        <v>0.72</v>
      </c>
      <c r="F97">
        <v>567</v>
      </c>
      <c r="G97" t="s">
        <v>833</v>
      </c>
      <c r="H97">
        <v>7370.98</v>
      </c>
      <c r="I97">
        <v>44.52</v>
      </c>
      <c r="J97" t="s">
        <v>120</v>
      </c>
      <c r="K97" t="s">
        <v>834</v>
      </c>
      <c r="L97">
        <v>1.18</v>
      </c>
      <c r="M97">
        <v>6.88</v>
      </c>
      <c r="N97">
        <v>0.95</v>
      </c>
      <c r="O97">
        <v>2.2999999999999998</v>
      </c>
      <c r="P97">
        <v>7.11</v>
      </c>
      <c r="Q97">
        <v>-1.29</v>
      </c>
      <c r="R97">
        <v>6.86</v>
      </c>
      <c r="S97">
        <v>7</v>
      </c>
      <c r="T97">
        <v>105988</v>
      </c>
      <c r="U97">
        <v>6.89</v>
      </c>
      <c r="V97">
        <v>6.95</v>
      </c>
      <c r="W97" t="s">
        <v>120</v>
      </c>
      <c r="X97" t="s">
        <v>555</v>
      </c>
      <c r="Y97" t="s">
        <v>835</v>
      </c>
      <c r="Z97">
        <v>3.6</v>
      </c>
      <c r="AA97">
        <v>6.95</v>
      </c>
      <c r="AB97">
        <v>74009</v>
      </c>
      <c r="AC97">
        <v>31979</v>
      </c>
      <c r="AD97">
        <v>2.31</v>
      </c>
      <c r="AE97">
        <v>226</v>
      </c>
      <c r="AF97">
        <v>1782</v>
      </c>
      <c r="AG97" t="s">
        <v>120</v>
      </c>
      <c r="AH97">
        <v>0.01</v>
      </c>
      <c r="AI97" t="s">
        <v>120</v>
      </c>
      <c r="AJ97">
        <v>8.99</v>
      </c>
      <c r="AK97" t="s">
        <v>834</v>
      </c>
      <c r="AL97">
        <v>0.91</v>
      </c>
      <c r="AM97">
        <v>1811</v>
      </c>
      <c r="AN97">
        <v>59</v>
      </c>
      <c r="AO97">
        <v>6.9999999999999999E-4</v>
      </c>
      <c r="AP97">
        <v>-5</v>
      </c>
      <c r="AQ97">
        <v>-0.86</v>
      </c>
      <c r="AR97">
        <v>-5.23</v>
      </c>
      <c r="AS97">
        <v>-1.71</v>
      </c>
      <c r="AT97">
        <v>-10.77</v>
      </c>
      <c r="AU97">
        <v>-17.71</v>
      </c>
      <c r="AV97">
        <v>2</v>
      </c>
      <c r="AW97">
        <v>1.6</v>
      </c>
      <c r="AX97">
        <v>73.78</v>
      </c>
      <c r="AY97" t="s">
        <v>120</v>
      </c>
      <c r="AZ97" t="s">
        <v>120</v>
      </c>
      <c r="BA97">
        <v>0.35</v>
      </c>
      <c r="BB97" t="s">
        <v>240</v>
      </c>
      <c r="BF97">
        <v>7.0000000000000007E-2</v>
      </c>
      <c r="BG97">
        <v>-1.71</v>
      </c>
      <c r="BH97">
        <v>-3.23</v>
      </c>
      <c r="BI97">
        <v>0.28999999999999998</v>
      </c>
      <c r="BJ97">
        <v>20210830</v>
      </c>
      <c r="BK97">
        <v>19921130</v>
      </c>
      <c r="BL97">
        <v>8.99</v>
      </c>
      <c r="BM97" t="s">
        <v>120</v>
      </c>
      <c r="BN97" t="s">
        <v>120</v>
      </c>
      <c r="BO97">
        <v>11.78</v>
      </c>
      <c r="BP97">
        <v>6.88</v>
      </c>
      <c r="BQ97">
        <v>8.6300000000000008</v>
      </c>
      <c r="BR97">
        <v>0.03</v>
      </c>
      <c r="BS97">
        <v>26.46</v>
      </c>
      <c r="BT97">
        <v>9.14</v>
      </c>
      <c r="BU97">
        <v>0.11</v>
      </c>
      <c r="BV97">
        <v>1.35</v>
      </c>
      <c r="BW97">
        <v>3.07</v>
      </c>
      <c r="BX97">
        <v>4.13</v>
      </c>
      <c r="BY97">
        <v>0</v>
      </c>
      <c r="BZ97">
        <v>0.48</v>
      </c>
      <c r="CA97">
        <v>0</v>
      </c>
      <c r="CB97">
        <v>0</v>
      </c>
      <c r="CC97">
        <v>0.53</v>
      </c>
      <c r="CD97">
        <v>0.85</v>
      </c>
      <c r="CE97">
        <v>-0.96</v>
      </c>
      <c r="CF97">
        <v>0.06</v>
      </c>
      <c r="CG97">
        <v>-0.96</v>
      </c>
      <c r="CH97">
        <v>-0.96</v>
      </c>
      <c r="CI97">
        <v>-0.96</v>
      </c>
      <c r="CJ97">
        <v>-7.0000000000000007E-2</v>
      </c>
      <c r="CK97">
        <v>-1.03</v>
      </c>
      <c r="CL97">
        <v>0.84</v>
      </c>
      <c r="CM97">
        <v>-1.21</v>
      </c>
      <c r="CN97">
        <v>-0.81</v>
      </c>
      <c r="CO97">
        <v>53543</v>
      </c>
      <c r="CP97">
        <v>12385</v>
      </c>
      <c r="CQ97" t="s">
        <v>836</v>
      </c>
      <c r="CR97">
        <v>20.13</v>
      </c>
      <c r="CS97">
        <v>32.01</v>
      </c>
      <c r="CT97">
        <v>7.16</v>
      </c>
      <c r="CU97">
        <v>-51.3</v>
      </c>
      <c r="CV97">
        <v>117.5</v>
      </c>
      <c r="CW97">
        <v>0</v>
      </c>
      <c r="CX97" t="s">
        <v>200</v>
      </c>
      <c r="CY97">
        <v>0.96</v>
      </c>
      <c r="CZ97">
        <v>0</v>
      </c>
      <c r="DA97">
        <v>0</v>
      </c>
      <c r="DB97">
        <v>0.09</v>
      </c>
      <c r="DC97">
        <v>-0.13</v>
      </c>
      <c r="DD97">
        <v>73.290000000000006</v>
      </c>
      <c r="DE97" t="s">
        <v>837</v>
      </c>
      <c r="DF97">
        <v>-61.71</v>
      </c>
      <c r="DG97">
        <v>-182.06</v>
      </c>
      <c r="DH97">
        <v>-181.57</v>
      </c>
      <c r="DI97">
        <v>0.04</v>
      </c>
      <c r="DJ97">
        <v>1244</v>
      </c>
      <c r="DK97">
        <v>503</v>
      </c>
      <c r="DL97" t="s">
        <v>120</v>
      </c>
      <c r="DM97" t="s">
        <v>120</v>
      </c>
      <c r="DN97" t="s">
        <v>120</v>
      </c>
    </row>
    <row r="98" spans="1:118">
      <c r="A98" t="str">
        <f>"000504"</f>
        <v>000504</v>
      </c>
      <c r="B98" t="s">
        <v>838</v>
      </c>
      <c r="C98">
        <v>-1.06</v>
      </c>
      <c r="D98">
        <v>0.04</v>
      </c>
      <c r="E98">
        <v>1.19</v>
      </c>
      <c r="F98">
        <v>683</v>
      </c>
      <c r="G98" t="s">
        <v>839</v>
      </c>
      <c r="H98">
        <v>5894.96</v>
      </c>
      <c r="I98">
        <v>12.87</v>
      </c>
      <c r="J98" t="s">
        <v>120</v>
      </c>
      <c r="K98" t="s">
        <v>840</v>
      </c>
      <c r="L98">
        <v>0.83</v>
      </c>
      <c r="M98">
        <v>22.48</v>
      </c>
      <c r="N98">
        <v>0.43</v>
      </c>
      <c r="O98">
        <v>2.5499999999999998</v>
      </c>
      <c r="P98">
        <v>23.3</v>
      </c>
      <c r="Q98">
        <v>-1.85</v>
      </c>
      <c r="R98">
        <v>22.3</v>
      </c>
      <c r="S98">
        <v>22.99</v>
      </c>
      <c r="T98">
        <v>25852</v>
      </c>
      <c r="U98">
        <v>22.49</v>
      </c>
      <c r="V98">
        <v>22.72</v>
      </c>
      <c r="W98" t="s">
        <v>120</v>
      </c>
      <c r="X98" t="s">
        <v>666</v>
      </c>
      <c r="Y98" t="s">
        <v>594</v>
      </c>
      <c r="Z98">
        <v>4.4000000000000004</v>
      </c>
      <c r="AA98">
        <v>22.8</v>
      </c>
      <c r="AB98">
        <v>13747</v>
      </c>
      <c r="AC98">
        <v>12105</v>
      </c>
      <c r="AD98">
        <v>1.1399999999999999</v>
      </c>
      <c r="AE98">
        <v>32</v>
      </c>
      <c r="AF98">
        <v>144</v>
      </c>
      <c r="AG98" t="s">
        <v>120</v>
      </c>
      <c r="AH98">
        <v>0</v>
      </c>
      <c r="AI98" t="s">
        <v>120</v>
      </c>
      <c r="AJ98">
        <v>3.11</v>
      </c>
      <c r="AK98" t="s">
        <v>841</v>
      </c>
      <c r="AL98">
        <v>0.86</v>
      </c>
      <c r="AM98">
        <v>1571</v>
      </c>
      <c r="AN98">
        <v>16</v>
      </c>
      <c r="AO98">
        <v>5.0000000000000001E-4</v>
      </c>
      <c r="AP98">
        <v>-3</v>
      </c>
      <c r="AQ98">
        <v>-4.42</v>
      </c>
      <c r="AR98">
        <v>-9.02</v>
      </c>
      <c r="AS98">
        <v>19.89</v>
      </c>
      <c r="AT98">
        <v>12.34</v>
      </c>
      <c r="AU98">
        <v>83.66</v>
      </c>
      <c r="AV98">
        <v>11</v>
      </c>
      <c r="AW98">
        <v>1.56</v>
      </c>
      <c r="AX98">
        <v>53.07</v>
      </c>
      <c r="AY98">
        <v>1793.86</v>
      </c>
      <c r="AZ98">
        <v>868.1</v>
      </c>
      <c r="BA98">
        <v>0.49</v>
      </c>
      <c r="BB98" t="s">
        <v>143</v>
      </c>
      <c r="BF98">
        <v>0.36</v>
      </c>
      <c r="BG98">
        <v>-2.2200000000000002</v>
      </c>
      <c r="BH98">
        <v>-3.52</v>
      </c>
      <c r="BI98">
        <v>0.81</v>
      </c>
      <c r="BJ98">
        <v>20210831</v>
      </c>
      <c r="BK98">
        <v>19921208</v>
      </c>
      <c r="BL98">
        <v>3.12</v>
      </c>
      <c r="BM98" t="s">
        <v>120</v>
      </c>
      <c r="BN98" t="s">
        <v>120</v>
      </c>
      <c r="BO98">
        <v>5.96</v>
      </c>
      <c r="BP98">
        <v>22.48</v>
      </c>
      <c r="BQ98">
        <v>0.2</v>
      </c>
      <c r="BR98">
        <v>1.0900000000000001</v>
      </c>
      <c r="BS98">
        <v>78.349999999999994</v>
      </c>
      <c r="BT98">
        <v>4.93</v>
      </c>
      <c r="BU98">
        <v>0.12</v>
      </c>
      <c r="BV98">
        <v>0.01</v>
      </c>
      <c r="BW98">
        <v>4.45</v>
      </c>
      <c r="BX98">
        <v>0.83</v>
      </c>
      <c r="BY98">
        <v>0.12</v>
      </c>
      <c r="BZ98">
        <v>2.2599999999999998</v>
      </c>
      <c r="CA98" t="s">
        <v>120</v>
      </c>
      <c r="CB98">
        <v>1.52</v>
      </c>
      <c r="CC98">
        <v>0.67</v>
      </c>
      <c r="CD98">
        <v>0.11</v>
      </c>
      <c r="CE98">
        <v>-0.04</v>
      </c>
      <c r="CF98">
        <v>0</v>
      </c>
      <c r="CG98">
        <v>-0.04</v>
      </c>
      <c r="CH98">
        <v>-0.05</v>
      </c>
      <c r="CI98">
        <v>-0.06</v>
      </c>
      <c r="CJ98">
        <v>-0.24</v>
      </c>
      <c r="CK98">
        <v>-0.06</v>
      </c>
      <c r="CL98">
        <v>-4.78</v>
      </c>
      <c r="CM98">
        <v>-0.08</v>
      </c>
      <c r="CN98">
        <v>0.16</v>
      </c>
      <c r="CO98">
        <v>11386</v>
      </c>
      <c r="CP98">
        <v>14522</v>
      </c>
      <c r="CQ98" t="s">
        <v>842</v>
      </c>
      <c r="CR98">
        <v>-201.34</v>
      </c>
      <c r="CS98">
        <v>60.34</v>
      </c>
      <c r="CT98">
        <v>345.54</v>
      </c>
      <c r="CU98">
        <v>-902.19</v>
      </c>
      <c r="CV98">
        <v>103.92</v>
      </c>
      <c r="CW98">
        <v>0</v>
      </c>
      <c r="CX98" t="s">
        <v>419</v>
      </c>
      <c r="CY98">
        <v>7.0000000000000007E-2</v>
      </c>
      <c r="CZ98">
        <v>0</v>
      </c>
      <c r="DA98">
        <v>0.49</v>
      </c>
      <c r="DB98">
        <v>-1.53</v>
      </c>
      <c r="DC98">
        <v>-0.02</v>
      </c>
      <c r="DD98">
        <v>3.4</v>
      </c>
      <c r="DE98" t="s">
        <v>843</v>
      </c>
      <c r="DF98">
        <v>83.19</v>
      </c>
      <c r="DG98">
        <v>-5.7</v>
      </c>
      <c r="DH98">
        <v>-9.34</v>
      </c>
      <c r="DI98">
        <v>0.04</v>
      </c>
      <c r="DJ98">
        <v>395</v>
      </c>
      <c r="DK98">
        <v>504</v>
      </c>
      <c r="DL98" t="s">
        <v>120</v>
      </c>
      <c r="DM98" t="s">
        <v>120</v>
      </c>
      <c r="DN98" t="s">
        <v>120</v>
      </c>
    </row>
    <row r="99" spans="1:118">
      <c r="A99" t="str">
        <f>"000505"</f>
        <v>000505</v>
      </c>
      <c r="B99" t="s">
        <v>844</v>
      </c>
      <c r="C99">
        <v>0.7</v>
      </c>
      <c r="D99">
        <v>-0.13</v>
      </c>
      <c r="E99">
        <v>0.56000000000000005</v>
      </c>
      <c r="F99">
        <v>831</v>
      </c>
      <c r="G99" t="s">
        <v>845</v>
      </c>
      <c r="H99">
        <v>8225.07</v>
      </c>
      <c r="I99">
        <v>21.79</v>
      </c>
      <c r="J99" t="s">
        <v>120</v>
      </c>
      <c r="K99" t="s">
        <v>846</v>
      </c>
      <c r="L99">
        <v>1.84</v>
      </c>
      <c r="M99">
        <v>7.2</v>
      </c>
      <c r="N99">
        <v>1.5</v>
      </c>
      <c r="O99">
        <v>1.54</v>
      </c>
      <c r="P99">
        <v>7.26</v>
      </c>
      <c r="Q99">
        <v>-0.28000000000000003</v>
      </c>
      <c r="R99">
        <v>7.13</v>
      </c>
      <c r="S99">
        <v>7.19</v>
      </c>
      <c r="T99">
        <v>114150</v>
      </c>
      <c r="U99">
        <v>7.21</v>
      </c>
      <c r="V99">
        <v>7.15</v>
      </c>
      <c r="W99">
        <v>29.63</v>
      </c>
      <c r="X99" t="s">
        <v>847</v>
      </c>
      <c r="Y99" t="s">
        <v>835</v>
      </c>
      <c r="Z99">
        <v>1.82</v>
      </c>
      <c r="AA99">
        <v>7.21</v>
      </c>
      <c r="AB99">
        <v>48319</v>
      </c>
      <c r="AC99">
        <v>65831</v>
      </c>
      <c r="AD99">
        <v>0.73</v>
      </c>
      <c r="AE99">
        <v>463</v>
      </c>
      <c r="AF99">
        <v>584</v>
      </c>
      <c r="AG99" t="s">
        <v>120</v>
      </c>
      <c r="AH99">
        <v>0.01</v>
      </c>
      <c r="AI99" t="s">
        <v>120</v>
      </c>
      <c r="AJ99">
        <v>6.2</v>
      </c>
      <c r="AK99" t="s">
        <v>848</v>
      </c>
      <c r="AL99">
        <v>2.61</v>
      </c>
      <c r="AM99">
        <v>2278</v>
      </c>
      <c r="AN99">
        <v>50</v>
      </c>
      <c r="AO99">
        <v>8.0000000000000004E-4</v>
      </c>
      <c r="AP99">
        <v>2</v>
      </c>
      <c r="AQ99">
        <v>2</v>
      </c>
      <c r="AR99">
        <v>0.7</v>
      </c>
      <c r="AS99">
        <v>6.04</v>
      </c>
      <c r="AT99">
        <v>-0.14000000000000001</v>
      </c>
      <c r="AU99">
        <v>-18.920000000000002</v>
      </c>
      <c r="AV99">
        <v>2</v>
      </c>
      <c r="AW99">
        <v>4.04</v>
      </c>
      <c r="AX99">
        <v>38.869999999999997</v>
      </c>
      <c r="AY99">
        <v>26.07</v>
      </c>
      <c r="AZ99">
        <v>28.12</v>
      </c>
      <c r="BA99">
        <v>0.26</v>
      </c>
      <c r="BB99" t="s">
        <v>143</v>
      </c>
      <c r="BF99">
        <v>0.78</v>
      </c>
      <c r="BG99">
        <v>0.14000000000000001</v>
      </c>
      <c r="BH99">
        <v>-0.83</v>
      </c>
      <c r="BI99">
        <v>0.98</v>
      </c>
      <c r="BJ99">
        <v>20210907</v>
      </c>
      <c r="BK99">
        <v>19921221</v>
      </c>
      <c r="BL99">
        <v>7.27</v>
      </c>
      <c r="BM99">
        <v>0.65</v>
      </c>
      <c r="BN99" t="s">
        <v>120</v>
      </c>
      <c r="BO99">
        <v>61.44</v>
      </c>
      <c r="BP99">
        <v>7.2</v>
      </c>
      <c r="BQ99">
        <v>27.99</v>
      </c>
      <c r="BR99">
        <v>3.99</v>
      </c>
      <c r="BS99">
        <v>47.95</v>
      </c>
      <c r="BT99">
        <v>38.159999999999997</v>
      </c>
      <c r="BU99">
        <v>10.89</v>
      </c>
      <c r="BV99">
        <v>3.47</v>
      </c>
      <c r="BW99">
        <v>27.17</v>
      </c>
      <c r="BX99">
        <v>7.8</v>
      </c>
      <c r="BY99">
        <v>16</v>
      </c>
      <c r="BZ99">
        <v>0.96</v>
      </c>
      <c r="CA99">
        <v>0.01</v>
      </c>
      <c r="CB99">
        <v>16.75</v>
      </c>
      <c r="CC99">
        <v>53.28</v>
      </c>
      <c r="CD99">
        <v>51</v>
      </c>
      <c r="CE99">
        <v>1.34</v>
      </c>
      <c r="CF99">
        <v>0.31</v>
      </c>
      <c r="CG99">
        <v>1.35</v>
      </c>
      <c r="CH99">
        <v>0.98</v>
      </c>
      <c r="CI99">
        <v>0.88</v>
      </c>
      <c r="CJ99">
        <v>0.05</v>
      </c>
      <c r="CK99">
        <v>0.83</v>
      </c>
      <c r="CL99">
        <v>2.75</v>
      </c>
      <c r="CM99">
        <v>2.78</v>
      </c>
      <c r="CN99">
        <v>4.45</v>
      </c>
      <c r="CO99">
        <v>62000</v>
      </c>
      <c r="CP99">
        <v>5605</v>
      </c>
      <c r="CQ99" t="s">
        <v>849</v>
      </c>
      <c r="CR99">
        <v>19.75</v>
      </c>
      <c r="CS99">
        <v>42.06</v>
      </c>
      <c r="CT99">
        <v>1.87</v>
      </c>
      <c r="CU99">
        <v>18.84</v>
      </c>
      <c r="CV99">
        <v>0.98</v>
      </c>
      <c r="CW99">
        <v>0</v>
      </c>
      <c r="CX99" t="s">
        <v>850</v>
      </c>
      <c r="CY99">
        <v>3.85</v>
      </c>
      <c r="CZ99">
        <v>0</v>
      </c>
      <c r="DA99">
        <v>2.2999999999999998</v>
      </c>
      <c r="DB99">
        <v>0.38</v>
      </c>
      <c r="DC99">
        <v>0.38</v>
      </c>
      <c r="DD99">
        <v>45.56</v>
      </c>
      <c r="DE99" t="s">
        <v>851</v>
      </c>
      <c r="DF99">
        <v>4.29</v>
      </c>
      <c r="DG99">
        <v>2.52</v>
      </c>
      <c r="DH99">
        <v>1.66</v>
      </c>
      <c r="DI99">
        <v>0.05</v>
      </c>
      <c r="DJ99">
        <v>2907</v>
      </c>
      <c r="DK99">
        <v>505</v>
      </c>
      <c r="DL99" t="s">
        <v>120</v>
      </c>
      <c r="DM99" t="s">
        <v>120</v>
      </c>
      <c r="DN99" t="s">
        <v>120</v>
      </c>
    </row>
    <row r="100" spans="1:118">
      <c r="A100" t="str">
        <f>"000506"</f>
        <v>000506</v>
      </c>
      <c r="B100" t="s">
        <v>852</v>
      </c>
      <c r="C100">
        <v>-1.03</v>
      </c>
      <c r="D100">
        <v>0</v>
      </c>
      <c r="E100">
        <v>0</v>
      </c>
      <c r="F100">
        <v>6214</v>
      </c>
      <c r="G100" t="s">
        <v>853</v>
      </c>
      <c r="H100">
        <v>28229.919999999998</v>
      </c>
      <c r="I100">
        <v>238.1</v>
      </c>
      <c r="J100" t="s">
        <v>120</v>
      </c>
      <c r="K100" t="s">
        <v>854</v>
      </c>
      <c r="L100">
        <v>7.78</v>
      </c>
      <c r="M100">
        <v>3.86</v>
      </c>
      <c r="N100">
        <v>0.86</v>
      </c>
      <c r="O100">
        <v>4.0999999999999996</v>
      </c>
      <c r="P100">
        <v>4.0599999999999996</v>
      </c>
      <c r="Q100">
        <v>-2.0499999999999998</v>
      </c>
      <c r="R100">
        <v>3.82</v>
      </c>
      <c r="S100">
        <v>3.9</v>
      </c>
      <c r="T100">
        <v>722711</v>
      </c>
      <c r="U100">
        <v>3.86</v>
      </c>
      <c r="V100">
        <v>3.9</v>
      </c>
      <c r="W100" t="s">
        <v>120</v>
      </c>
      <c r="X100" t="s">
        <v>855</v>
      </c>
      <c r="Y100" t="s">
        <v>638</v>
      </c>
      <c r="Z100">
        <v>6.15</v>
      </c>
      <c r="AA100">
        <v>3.91</v>
      </c>
      <c r="AB100">
        <v>378160</v>
      </c>
      <c r="AC100">
        <v>344551</v>
      </c>
      <c r="AD100">
        <v>1.1000000000000001</v>
      </c>
      <c r="AE100">
        <v>5675</v>
      </c>
      <c r="AF100">
        <v>4057</v>
      </c>
      <c r="AG100" t="s">
        <v>120</v>
      </c>
      <c r="AH100">
        <v>0.1</v>
      </c>
      <c r="AI100" t="s">
        <v>120</v>
      </c>
      <c r="AJ100">
        <v>9.2899999999999991</v>
      </c>
      <c r="AK100" t="s">
        <v>296</v>
      </c>
      <c r="AL100">
        <v>0.89</v>
      </c>
      <c r="AM100">
        <v>3750</v>
      </c>
      <c r="AN100">
        <v>193</v>
      </c>
      <c r="AO100">
        <v>2.0999999999999999E-3</v>
      </c>
      <c r="AP100">
        <v>-1</v>
      </c>
      <c r="AQ100">
        <v>7.14</v>
      </c>
      <c r="AR100">
        <v>-0.78</v>
      </c>
      <c r="AS100">
        <v>30.41</v>
      </c>
      <c r="AT100">
        <v>83.81</v>
      </c>
      <c r="AU100">
        <v>60.83</v>
      </c>
      <c r="AV100">
        <v>10</v>
      </c>
      <c r="AW100">
        <v>12.37</v>
      </c>
      <c r="AX100">
        <v>62.87</v>
      </c>
      <c r="AY100" t="s">
        <v>120</v>
      </c>
      <c r="AZ100" t="s">
        <v>120</v>
      </c>
      <c r="BA100">
        <v>0</v>
      </c>
      <c r="BB100" t="s">
        <v>751</v>
      </c>
      <c r="BF100">
        <v>0.16</v>
      </c>
      <c r="BG100">
        <v>-1.03</v>
      </c>
      <c r="BH100">
        <v>-4.93</v>
      </c>
      <c r="BI100">
        <v>1.05</v>
      </c>
      <c r="BJ100">
        <v>20210910</v>
      </c>
      <c r="BK100">
        <v>19930312</v>
      </c>
      <c r="BL100">
        <v>9.2899999999999991</v>
      </c>
      <c r="BM100" t="s">
        <v>120</v>
      </c>
      <c r="BN100" t="s">
        <v>120</v>
      </c>
      <c r="BO100">
        <v>23.62</v>
      </c>
      <c r="BP100">
        <v>3.85</v>
      </c>
      <c r="BQ100">
        <v>5.0199999999999996</v>
      </c>
      <c r="BR100">
        <v>0.47</v>
      </c>
      <c r="BS100">
        <v>76.760000000000005</v>
      </c>
      <c r="BT100">
        <v>8.66</v>
      </c>
      <c r="BU100">
        <v>4.91</v>
      </c>
      <c r="BV100">
        <v>1.47</v>
      </c>
      <c r="BW100">
        <v>17.73</v>
      </c>
      <c r="BX100">
        <v>0.74</v>
      </c>
      <c r="BY100">
        <v>6.07</v>
      </c>
      <c r="BZ100">
        <v>0.02</v>
      </c>
      <c r="CA100">
        <v>0.01</v>
      </c>
      <c r="CB100">
        <v>0.51</v>
      </c>
      <c r="CC100">
        <v>2.0699999999999998</v>
      </c>
      <c r="CD100">
        <v>1.67</v>
      </c>
      <c r="CE100">
        <v>-0.48</v>
      </c>
      <c r="CF100">
        <v>0.01</v>
      </c>
      <c r="CG100">
        <v>-0.63</v>
      </c>
      <c r="CH100">
        <v>-0.62</v>
      </c>
      <c r="CI100">
        <v>-0.63</v>
      </c>
      <c r="CJ100">
        <v>-0.04</v>
      </c>
      <c r="CK100">
        <v>-0.49</v>
      </c>
      <c r="CL100">
        <v>-5.76</v>
      </c>
      <c r="CM100">
        <v>-0.32</v>
      </c>
      <c r="CN100">
        <v>-0.5</v>
      </c>
      <c r="CO100">
        <v>74000</v>
      </c>
      <c r="CP100">
        <v>7893</v>
      </c>
      <c r="CQ100" t="s">
        <v>856</v>
      </c>
      <c r="CR100">
        <v>-74.53</v>
      </c>
      <c r="CS100">
        <v>7.13</v>
      </c>
      <c r="CT100">
        <v>7.15</v>
      </c>
      <c r="CU100">
        <v>-111.54</v>
      </c>
      <c r="CV100">
        <v>17.29</v>
      </c>
      <c r="CW100">
        <v>0</v>
      </c>
      <c r="CX100" t="s">
        <v>857</v>
      </c>
      <c r="CY100">
        <v>0.54</v>
      </c>
      <c r="CZ100">
        <v>0</v>
      </c>
      <c r="DA100">
        <v>0.06</v>
      </c>
      <c r="DB100">
        <v>-0.62</v>
      </c>
      <c r="DC100">
        <v>-0.03</v>
      </c>
      <c r="DD100">
        <v>21.24</v>
      </c>
      <c r="DE100" t="s">
        <v>858</v>
      </c>
      <c r="DF100">
        <v>19.260000000000002</v>
      </c>
      <c r="DG100">
        <v>-22.94</v>
      </c>
      <c r="DH100">
        <v>-30.32</v>
      </c>
      <c r="DI100" t="s">
        <v>120</v>
      </c>
      <c r="DJ100">
        <v>1472</v>
      </c>
      <c r="DK100">
        <v>506</v>
      </c>
      <c r="DL100">
        <v>20210715</v>
      </c>
      <c r="DM100">
        <v>2.71</v>
      </c>
      <c r="DN100">
        <v>42.44</v>
      </c>
    </row>
    <row r="101" spans="1:118">
      <c r="A101" t="str">
        <f>"000507"</f>
        <v>000507</v>
      </c>
      <c r="B101" t="s">
        <v>859</v>
      </c>
      <c r="C101">
        <v>-2.0099999999999998</v>
      </c>
      <c r="D101">
        <v>0</v>
      </c>
      <c r="E101">
        <v>0.4</v>
      </c>
      <c r="F101">
        <v>3523</v>
      </c>
      <c r="G101" t="s">
        <v>860</v>
      </c>
      <c r="H101">
        <v>25653.759999999998</v>
      </c>
      <c r="I101">
        <v>68.38</v>
      </c>
      <c r="J101" t="s">
        <v>120</v>
      </c>
      <c r="K101" t="s">
        <v>861</v>
      </c>
      <c r="L101">
        <v>4.1399999999999997</v>
      </c>
      <c r="M101">
        <v>7.31</v>
      </c>
      <c r="N101">
        <v>0.6</v>
      </c>
      <c r="O101">
        <v>2.41</v>
      </c>
      <c r="P101">
        <v>7.64</v>
      </c>
      <c r="Q101">
        <v>-2.5499999999999998</v>
      </c>
      <c r="R101">
        <v>7.27</v>
      </c>
      <c r="S101">
        <v>7.49</v>
      </c>
      <c r="T101">
        <v>344174</v>
      </c>
      <c r="U101">
        <v>7.31</v>
      </c>
      <c r="V101">
        <v>7.46</v>
      </c>
      <c r="W101">
        <v>14.3</v>
      </c>
      <c r="X101" t="s">
        <v>511</v>
      </c>
      <c r="Y101" t="s">
        <v>547</v>
      </c>
      <c r="Z101">
        <v>4.96</v>
      </c>
      <c r="AA101">
        <v>7.45</v>
      </c>
      <c r="AB101">
        <v>176320</v>
      </c>
      <c r="AC101">
        <v>167854</v>
      </c>
      <c r="AD101">
        <v>1.05</v>
      </c>
      <c r="AE101">
        <v>1521</v>
      </c>
      <c r="AF101">
        <v>324</v>
      </c>
      <c r="AG101" t="s">
        <v>120</v>
      </c>
      <c r="AH101">
        <v>0.01</v>
      </c>
      <c r="AI101" t="s">
        <v>120</v>
      </c>
      <c r="AJ101">
        <v>8.31</v>
      </c>
      <c r="AK101" t="s">
        <v>862</v>
      </c>
      <c r="AL101">
        <v>-0.1</v>
      </c>
      <c r="AM101">
        <v>3812</v>
      </c>
      <c r="AN101">
        <v>90</v>
      </c>
      <c r="AO101">
        <v>1.1000000000000001E-3</v>
      </c>
      <c r="AP101">
        <v>-3</v>
      </c>
      <c r="AQ101">
        <v>-0.67</v>
      </c>
      <c r="AR101">
        <v>-8.52</v>
      </c>
      <c r="AS101">
        <v>-8.4</v>
      </c>
      <c r="AT101">
        <v>24.33</v>
      </c>
      <c r="AU101">
        <v>30.08</v>
      </c>
      <c r="AV101">
        <v>3</v>
      </c>
      <c r="AW101">
        <v>5.49</v>
      </c>
      <c r="AX101">
        <v>68.13</v>
      </c>
      <c r="AY101">
        <v>18.579999999999998</v>
      </c>
      <c r="AZ101">
        <v>26.1</v>
      </c>
      <c r="BA101">
        <v>0.03</v>
      </c>
      <c r="BB101" t="s">
        <v>143</v>
      </c>
      <c r="BF101">
        <v>-0.08</v>
      </c>
      <c r="BG101">
        <v>-2.4</v>
      </c>
      <c r="BH101">
        <v>-4.32</v>
      </c>
      <c r="BI101">
        <v>0.55000000000000004</v>
      </c>
      <c r="BJ101">
        <v>20210913</v>
      </c>
      <c r="BK101">
        <v>19930326</v>
      </c>
      <c r="BL101">
        <v>9.1999999999999993</v>
      </c>
      <c r="BM101" t="s">
        <v>120</v>
      </c>
      <c r="BN101" t="s">
        <v>120</v>
      </c>
      <c r="BO101">
        <v>174.86</v>
      </c>
      <c r="BP101">
        <v>7.3</v>
      </c>
      <c r="BQ101">
        <v>53.85</v>
      </c>
      <c r="BR101">
        <v>18.13</v>
      </c>
      <c r="BS101">
        <v>58.84</v>
      </c>
      <c r="BT101">
        <v>57.76</v>
      </c>
      <c r="BU101">
        <v>55.54</v>
      </c>
      <c r="BV101">
        <v>12.38</v>
      </c>
      <c r="BW101">
        <v>58.12</v>
      </c>
      <c r="BX101">
        <v>32.03</v>
      </c>
      <c r="BY101">
        <v>3.58</v>
      </c>
      <c r="BZ101">
        <v>10.07</v>
      </c>
      <c r="CA101">
        <v>0.03</v>
      </c>
      <c r="CB101">
        <v>16.13</v>
      </c>
      <c r="CC101">
        <v>29.71</v>
      </c>
      <c r="CD101">
        <v>24.72</v>
      </c>
      <c r="CE101">
        <v>3.05</v>
      </c>
      <c r="CF101">
        <v>1.17</v>
      </c>
      <c r="CG101">
        <v>3.06</v>
      </c>
      <c r="CH101">
        <v>2.58</v>
      </c>
      <c r="CI101">
        <v>2.35</v>
      </c>
      <c r="CJ101">
        <v>-0.15</v>
      </c>
      <c r="CK101">
        <v>2.34</v>
      </c>
      <c r="CL101">
        <v>17.14</v>
      </c>
      <c r="CM101">
        <v>3.13</v>
      </c>
      <c r="CN101">
        <v>6.07</v>
      </c>
      <c r="CO101">
        <v>105051</v>
      </c>
      <c r="CP101">
        <v>5965</v>
      </c>
      <c r="CQ101" t="s">
        <v>425</v>
      </c>
      <c r="CR101">
        <v>82.62</v>
      </c>
      <c r="CS101">
        <v>104.83</v>
      </c>
      <c r="CT101">
        <v>1.25</v>
      </c>
      <c r="CU101">
        <v>21.45</v>
      </c>
      <c r="CV101">
        <v>2.2599999999999998</v>
      </c>
      <c r="CW101">
        <v>0.81</v>
      </c>
      <c r="CX101" t="s">
        <v>863</v>
      </c>
      <c r="CY101">
        <v>5.85</v>
      </c>
      <c r="CZ101">
        <v>0</v>
      </c>
      <c r="DA101">
        <v>1.75</v>
      </c>
      <c r="DB101">
        <v>1.86</v>
      </c>
      <c r="DC101">
        <v>0.34</v>
      </c>
      <c r="DD101">
        <v>30.79</v>
      </c>
      <c r="DE101" t="s">
        <v>864</v>
      </c>
      <c r="DF101">
        <v>16.8</v>
      </c>
      <c r="DG101">
        <v>10.25</v>
      </c>
      <c r="DH101">
        <v>7.91</v>
      </c>
      <c r="DI101">
        <v>0.18</v>
      </c>
      <c r="DJ101">
        <v>2883</v>
      </c>
      <c r="DK101">
        <v>507</v>
      </c>
      <c r="DL101" t="s">
        <v>120</v>
      </c>
      <c r="DM101" t="s">
        <v>120</v>
      </c>
      <c r="DN101" t="s">
        <v>120</v>
      </c>
    </row>
    <row r="102" spans="1:118">
      <c r="A102" t="str">
        <f>"000510"</f>
        <v>000510</v>
      </c>
      <c r="B102" t="s">
        <v>865</v>
      </c>
      <c r="C102">
        <v>-1.85</v>
      </c>
      <c r="D102">
        <v>-0.26</v>
      </c>
      <c r="E102">
        <v>3.56</v>
      </c>
      <c r="F102">
        <v>1986</v>
      </c>
      <c r="G102" t="s">
        <v>866</v>
      </c>
      <c r="H102">
        <v>23324.560000000001</v>
      </c>
      <c r="I102">
        <v>220.04</v>
      </c>
      <c r="J102" t="s">
        <v>120</v>
      </c>
      <c r="K102" t="s">
        <v>867</v>
      </c>
      <c r="L102">
        <v>5.45</v>
      </c>
      <c r="M102">
        <v>7.44</v>
      </c>
      <c r="N102">
        <v>0.78</v>
      </c>
      <c r="O102">
        <v>4.09</v>
      </c>
      <c r="P102">
        <v>7.89</v>
      </c>
      <c r="Q102">
        <v>-2.5099999999999998</v>
      </c>
      <c r="R102">
        <v>7.39</v>
      </c>
      <c r="S102">
        <v>7.85</v>
      </c>
      <c r="T102">
        <v>307097</v>
      </c>
      <c r="U102">
        <v>7.45</v>
      </c>
      <c r="V102">
        <v>7.58</v>
      </c>
      <c r="W102">
        <v>13.99</v>
      </c>
      <c r="X102" t="s">
        <v>868</v>
      </c>
      <c r="Y102" t="s">
        <v>578</v>
      </c>
      <c r="Z102">
        <v>6.6</v>
      </c>
      <c r="AA102">
        <v>7.6</v>
      </c>
      <c r="AB102">
        <v>170179</v>
      </c>
      <c r="AC102">
        <v>136918</v>
      </c>
      <c r="AD102">
        <v>1.24</v>
      </c>
      <c r="AE102">
        <v>86</v>
      </c>
      <c r="AF102">
        <v>255</v>
      </c>
      <c r="AG102" t="s">
        <v>120</v>
      </c>
      <c r="AH102">
        <v>0.06</v>
      </c>
      <c r="AI102" t="s">
        <v>120</v>
      </c>
      <c r="AJ102">
        <v>5.63</v>
      </c>
      <c r="AK102" t="s">
        <v>869</v>
      </c>
      <c r="AL102">
        <v>7.0000000000000007E-2</v>
      </c>
      <c r="AM102">
        <v>3610</v>
      </c>
      <c r="AN102">
        <v>85</v>
      </c>
      <c r="AO102">
        <v>1.5E-3</v>
      </c>
      <c r="AP102">
        <v>-1</v>
      </c>
      <c r="AQ102">
        <v>4.7</v>
      </c>
      <c r="AR102">
        <v>-1.85</v>
      </c>
      <c r="AS102">
        <v>21.96</v>
      </c>
      <c r="AT102">
        <v>55.33</v>
      </c>
      <c r="AU102">
        <v>59.31</v>
      </c>
      <c r="AV102">
        <v>2</v>
      </c>
      <c r="AW102">
        <v>6.16</v>
      </c>
      <c r="AX102">
        <v>81.88</v>
      </c>
      <c r="AY102">
        <v>24.25</v>
      </c>
      <c r="AZ102">
        <v>64.55</v>
      </c>
      <c r="BA102">
        <v>0.57999999999999996</v>
      </c>
      <c r="BB102" t="s">
        <v>184</v>
      </c>
      <c r="BF102">
        <v>0.2</v>
      </c>
      <c r="BG102">
        <v>-5.22</v>
      </c>
      <c r="BH102">
        <v>-5.7</v>
      </c>
      <c r="BI102">
        <v>0.68</v>
      </c>
      <c r="BJ102">
        <v>20210907</v>
      </c>
      <c r="BK102">
        <v>19930507</v>
      </c>
      <c r="BL102">
        <v>6.09</v>
      </c>
      <c r="BM102" t="s">
        <v>120</v>
      </c>
      <c r="BN102" t="s">
        <v>120</v>
      </c>
      <c r="BO102">
        <v>17.68</v>
      </c>
      <c r="BP102">
        <v>7.44</v>
      </c>
      <c r="BQ102">
        <v>11.35</v>
      </c>
      <c r="BR102">
        <v>0.3</v>
      </c>
      <c r="BS102">
        <v>34.07</v>
      </c>
      <c r="BT102">
        <v>5.64</v>
      </c>
      <c r="BU102">
        <v>9.7899999999999991</v>
      </c>
      <c r="BV102">
        <v>0.56999999999999995</v>
      </c>
      <c r="BW102">
        <v>5.4</v>
      </c>
      <c r="BX102">
        <v>1.58</v>
      </c>
      <c r="BY102">
        <v>1.7</v>
      </c>
      <c r="BZ102">
        <v>0.17</v>
      </c>
      <c r="CA102" t="s">
        <v>120</v>
      </c>
      <c r="CB102">
        <v>0.2</v>
      </c>
      <c r="CC102">
        <v>14.54</v>
      </c>
      <c r="CD102">
        <v>10.98</v>
      </c>
      <c r="CE102">
        <v>2.2200000000000002</v>
      </c>
      <c r="CF102">
        <v>7.0000000000000007E-2</v>
      </c>
      <c r="CG102">
        <v>2.2000000000000002</v>
      </c>
      <c r="CH102">
        <v>1.64</v>
      </c>
      <c r="CI102">
        <v>1.62</v>
      </c>
      <c r="CJ102">
        <v>-0.14000000000000001</v>
      </c>
      <c r="CK102">
        <v>1.68</v>
      </c>
      <c r="CL102">
        <v>4.79</v>
      </c>
      <c r="CM102">
        <v>1.62</v>
      </c>
      <c r="CN102">
        <v>-0.11</v>
      </c>
      <c r="CO102">
        <v>44883</v>
      </c>
      <c r="CP102">
        <v>11113</v>
      </c>
      <c r="CQ102" t="s">
        <v>870</v>
      </c>
      <c r="CR102">
        <v>275.58</v>
      </c>
      <c r="CS102">
        <v>41.73</v>
      </c>
      <c r="CT102">
        <v>3.99</v>
      </c>
      <c r="CU102">
        <v>27.9</v>
      </c>
      <c r="CV102">
        <v>3.12</v>
      </c>
      <c r="CW102">
        <v>0</v>
      </c>
      <c r="CX102" t="s">
        <v>871</v>
      </c>
      <c r="CY102">
        <v>1.86</v>
      </c>
      <c r="CZ102">
        <v>0</v>
      </c>
      <c r="DA102">
        <v>0.03</v>
      </c>
      <c r="DB102">
        <v>0.79</v>
      </c>
      <c r="DC102">
        <v>0.27</v>
      </c>
      <c r="DD102">
        <v>64.209999999999994</v>
      </c>
      <c r="DE102" t="s">
        <v>872</v>
      </c>
      <c r="DF102">
        <v>24.49</v>
      </c>
      <c r="DG102">
        <v>15.29</v>
      </c>
      <c r="DH102">
        <v>11.14</v>
      </c>
      <c r="DI102">
        <v>0.05</v>
      </c>
      <c r="DJ102">
        <v>2435</v>
      </c>
      <c r="DK102">
        <v>510</v>
      </c>
      <c r="DL102" t="s">
        <v>120</v>
      </c>
      <c r="DM102" t="s">
        <v>120</v>
      </c>
      <c r="DN102" t="s">
        <v>120</v>
      </c>
    </row>
    <row r="103" spans="1:118">
      <c r="A103" t="str">
        <f>"000513"</f>
        <v>000513</v>
      </c>
      <c r="B103" t="s">
        <v>873</v>
      </c>
      <c r="C103">
        <v>-1.24</v>
      </c>
      <c r="D103">
        <v>-0.04</v>
      </c>
      <c r="E103">
        <v>0.08</v>
      </c>
      <c r="F103">
        <v>1203</v>
      </c>
      <c r="G103" t="s">
        <v>874</v>
      </c>
      <c r="H103">
        <v>21070.48</v>
      </c>
      <c r="I103">
        <v>71.53</v>
      </c>
      <c r="J103" t="s">
        <v>120</v>
      </c>
      <c r="K103" t="s">
        <v>875</v>
      </c>
      <c r="L103">
        <v>0.89</v>
      </c>
      <c r="M103">
        <v>39</v>
      </c>
      <c r="N103">
        <v>1.03</v>
      </c>
      <c r="O103">
        <v>0.99</v>
      </c>
      <c r="P103">
        <v>39.880000000000003</v>
      </c>
      <c r="Q103">
        <v>-1.24</v>
      </c>
      <c r="R103">
        <v>39</v>
      </c>
      <c r="S103">
        <v>39.520000000000003</v>
      </c>
      <c r="T103">
        <v>53487</v>
      </c>
      <c r="U103">
        <v>39.01</v>
      </c>
      <c r="V103">
        <v>39.49</v>
      </c>
      <c r="W103">
        <v>17.18</v>
      </c>
      <c r="X103" t="s">
        <v>569</v>
      </c>
      <c r="Y103" t="s">
        <v>547</v>
      </c>
      <c r="Z103">
        <v>2.23</v>
      </c>
      <c r="AA103">
        <v>39.39</v>
      </c>
      <c r="AB103">
        <v>25514</v>
      </c>
      <c r="AC103">
        <v>27973</v>
      </c>
      <c r="AD103">
        <v>0.91</v>
      </c>
      <c r="AE103">
        <v>632</v>
      </c>
      <c r="AF103">
        <v>56</v>
      </c>
      <c r="AG103" t="s">
        <v>120</v>
      </c>
      <c r="AH103">
        <v>0</v>
      </c>
      <c r="AI103" t="s">
        <v>120</v>
      </c>
      <c r="AJ103">
        <v>6.03</v>
      </c>
      <c r="AK103" t="s">
        <v>876</v>
      </c>
      <c r="AL103">
        <v>0.67</v>
      </c>
      <c r="AM103">
        <v>2625</v>
      </c>
      <c r="AN103">
        <v>20</v>
      </c>
      <c r="AO103">
        <v>2.9999999999999997E-4</v>
      </c>
      <c r="AP103">
        <v>-2</v>
      </c>
      <c r="AQ103">
        <v>-2.2999999999999998</v>
      </c>
      <c r="AR103">
        <v>-3.27</v>
      </c>
      <c r="AS103">
        <v>-1.86</v>
      </c>
      <c r="AT103">
        <v>-19.600000000000001</v>
      </c>
      <c r="AU103">
        <v>-0.64</v>
      </c>
      <c r="AV103">
        <v>0</v>
      </c>
      <c r="AW103">
        <v>1.46</v>
      </c>
      <c r="AX103">
        <v>58.61</v>
      </c>
      <c r="AY103">
        <v>20.86</v>
      </c>
      <c r="AZ103">
        <v>21.56</v>
      </c>
      <c r="BA103">
        <v>0.7</v>
      </c>
      <c r="BB103" t="s">
        <v>240</v>
      </c>
      <c r="BF103">
        <v>-0.24</v>
      </c>
      <c r="BG103">
        <v>-1.32</v>
      </c>
      <c r="BH103">
        <v>-2.21</v>
      </c>
      <c r="BI103">
        <v>0</v>
      </c>
      <c r="BJ103">
        <v>20210913</v>
      </c>
      <c r="BK103">
        <v>19931028</v>
      </c>
      <c r="BL103">
        <v>9.36</v>
      </c>
      <c r="BM103" t="s">
        <v>120</v>
      </c>
      <c r="BN103">
        <v>3.13</v>
      </c>
      <c r="BO103">
        <v>210.59</v>
      </c>
      <c r="BP103">
        <v>39</v>
      </c>
      <c r="BQ103">
        <v>120.01</v>
      </c>
      <c r="BR103">
        <v>14.53</v>
      </c>
      <c r="BS103">
        <v>36.11</v>
      </c>
      <c r="BT103">
        <v>142.58000000000001</v>
      </c>
      <c r="BU103">
        <v>34.65</v>
      </c>
      <c r="BV103">
        <v>2.67</v>
      </c>
      <c r="BW103">
        <v>64.86</v>
      </c>
      <c r="BX103">
        <v>85.84</v>
      </c>
      <c r="BY103">
        <v>14.61</v>
      </c>
      <c r="BZ103">
        <v>21.95</v>
      </c>
      <c r="CA103" t="s">
        <v>120</v>
      </c>
      <c r="CB103">
        <v>12.94</v>
      </c>
      <c r="CC103">
        <v>62.36</v>
      </c>
      <c r="CD103">
        <v>21.25</v>
      </c>
      <c r="CE103">
        <v>13.72</v>
      </c>
      <c r="CF103">
        <v>0.35</v>
      </c>
      <c r="CG103">
        <v>13.71</v>
      </c>
      <c r="CH103">
        <v>11.8</v>
      </c>
      <c r="CI103">
        <v>10.62</v>
      </c>
      <c r="CJ103">
        <v>-0.49</v>
      </c>
      <c r="CK103">
        <v>9.1999999999999993</v>
      </c>
      <c r="CL103">
        <v>90.03</v>
      </c>
      <c r="CM103">
        <v>6.75</v>
      </c>
      <c r="CN103">
        <v>-13.47</v>
      </c>
      <c r="CO103">
        <v>58564</v>
      </c>
      <c r="CP103">
        <v>6236</v>
      </c>
      <c r="CQ103" t="s">
        <v>877</v>
      </c>
      <c r="CR103">
        <v>5.75</v>
      </c>
      <c r="CS103">
        <v>22.38</v>
      </c>
      <c r="CT103">
        <v>3.04</v>
      </c>
      <c r="CU103">
        <v>54.11</v>
      </c>
      <c r="CV103">
        <v>5.86</v>
      </c>
      <c r="CW103">
        <v>2.1</v>
      </c>
      <c r="CX103" t="s">
        <v>878</v>
      </c>
      <c r="CY103">
        <v>12.83</v>
      </c>
      <c r="CZ103">
        <v>12.83</v>
      </c>
      <c r="DA103">
        <v>1.38</v>
      </c>
      <c r="DB103">
        <v>9.6199999999999992</v>
      </c>
      <c r="DC103">
        <v>0.72</v>
      </c>
      <c r="DD103">
        <v>56.99</v>
      </c>
      <c r="DE103" t="s">
        <v>879</v>
      </c>
      <c r="DF103">
        <v>65.92</v>
      </c>
      <c r="DG103">
        <v>22</v>
      </c>
      <c r="DH103">
        <v>17.04</v>
      </c>
      <c r="DI103">
        <v>5.07</v>
      </c>
      <c r="DJ103">
        <v>8367</v>
      </c>
      <c r="DK103">
        <v>513</v>
      </c>
      <c r="DL103" t="s">
        <v>120</v>
      </c>
      <c r="DM103" t="s">
        <v>120</v>
      </c>
      <c r="DN103" t="s">
        <v>120</v>
      </c>
    </row>
    <row r="104" spans="1:118">
      <c r="A104" t="str">
        <f>"000514"</f>
        <v>000514</v>
      </c>
      <c r="B104" t="s">
        <v>880</v>
      </c>
      <c r="C104">
        <v>-1.51</v>
      </c>
      <c r="D104">
        <v>0</v>
      </c>
      <c r="E104">
        <v>-0.3</v>
      </c>
      <c r="F104">
        <v>154</v>
      </c>
      <c r="G104" t="s">
        <v>881</v>
      </c>
      <c r="H104">
        <v>1226.28</v>
      </c>
      <c r="I104">
        <v>6.01</v>
      </c>
      <c r="J104" t="s">
        <v>120</v>
      </c>
      <c r="K104" t="s">
        <v>882</v>
      </c>
      <c r="L104">
        <v>0.44</v>
      </c>
      <c r="M104">
        <v>3.26</v>
      </c>
      <c r="N104">
        <v>0.48</v>
      </c>
      <c r="O104">
        <v>1.51</v>
      </c>
      <c r="P104">
        <v>3.36</v>
      </c>
      <c r="Q104">
        <v>-2.11</v>
      </c>
      <c r="R104">
        <v>3.24</v>
      </c>
      <c r="S104">
        <v>3.3</v>
      </c>
      <c r="T104">
        <v>37168</v>
      </c>
      <c r="U104">
        <v>3.27</v>
      </c>
      <c r="V104">
        <v>3.31</v>
      </c>
      <c r="W104" t="s">
        <v>120</v>
      </c>
      <c r="X104" t="s">
        <v>150</v>
      </c>
      <c r="Y104" t="s">
        <v>883</v>
      </c>
      <c r="Z104">
        <v>3.63</v>
      </c>
      <c r="AA104">
        <v>3.3</v>
      </c>
      <c r="AB104">
        <v>21681</v>
      </c>
      <c r="AC104">
        <v>15487</v>
      </c>
      <c r="AD104">
        <v>1.4</v>
      </c>
      <c r="AE104">
        <v>1037</v>
      </c>
      <c r="AF104">
        <v>969</v>
      </c>
      <c r="AG104" t="s">
        <v>120</v>
      </c>
      <c r="AH104">
        <v>0.01</v>
      </c>
      <c r="AI104" t="s">
        <v>120</v>
      </c>
      <c r="AJ104">
        <v>8.44</v>
      </c>
      <c r="AK104" t="s">
        <v>882</v>
      </c>
      <c r="AL104">
        <v>0.4</v>
      </c>
      <c r="AM104">
        <v>744</v>
      </c>
      <c r="AN104">
        <v>50</v>
      </c>
      <c r="AO104">
        <v>5.9999999999999995E-4</v>
      </c>
      <c r="AP104">
        <v>-3</v>
      </c>
      <c r="AQ104">
        <v>-0.9</v>
      </c>
      <c r="AR104">
        <v>-4.1100000000000003</v>
      </c>
      <c r="AS104">
        <v>5.16</v>
      </c>
      <c r="AT104">
        <v>-3.97</v>
      </c>
      <c r="AU104">
        <v>-13.41</v>
      </c>
      <c r="AV104">
        <v>0</v>
      </c>
      <c r="AW104">
        <v>1.2</v>
      </c>
      <c r="AX104">
        <v>36.81</v>
      </c>
      <c r="AY104">
        <v>29.19</v>
      </c>
      <c r="AZ104">
        <v>20.91</v>
      </c>
      <c r="BA104">
        <v>0.26</v>
      </c>
      <c r="BB104" t="s">
        <v>341</v>
      </c>
      <c r="BF104">
        <v>-0.32</v>
      </c>
      <c r="BG104">
        <v>-1.21</v>
      </c>
      <c r="BH104">
        <v>-2.98</v>
      </c>
      <c r="BI104">
        <v>0.62</v>
      </c>
      <c r="BJ104">
        <v>20210806</v>
      </c>
      <c r="BK104">
        <v>19930712</v>
      </c>
      <c r="BL104">
        <v>8.44</v>
      </c>
      <c r="BM104" t="s">
        <v>120</v>
      </c>
      <c r="BN104" t="s">
        <v>120</v>
      </c>
      <c r="BO104">
        <v>82.69</v>
      </c>
      <c r="BP104">
        <v>3.26</v>
      </c>
      <c r="BQ104">
        <v>33.590000000000003</v>
      </c>
      <c r="BR104">
        <v>4.62</v>
      </c>
      <c r="BS104">
        <v>53.79</v>
      </c>
      <c r="BT104">
        <v>69.86</v>
      </c>
      <c r="BU104">
        <v>6.32</v>
      </c>
      <c r="BV104">
        <v>2.2599999999999998</v>
      </c>
      <c r="BW104">
        <v>37.590000000000003</v>
      </c>
      <c r="BX104">
        <v>11.39</v>
      </c>
      <c r="BY104">
        <v>55.14</v>
      </c>
      <c r="BZ104">
        <v>0.12</v>
      </c>
      <c r="CA104">
        <v>0.2</v>
      </c>
      <c r="CB104">
        <v>11.9</v>
      </c>
      <c r="CC104">
        <v>1.39</v>
      </c>
      <c r="CD104">
        <v>1.0900000000000001</v>
      </c>
      <c r="CE104">
        <v>-0.36</v>
      </c>
      <c r="CF104">
        <v>7.0000000000000007E-2</v>
      </c>
      <c r="CG104">
        <v>-0.36</v>
      </c>
      <c r="CH104">
        <v>-0.14000000000000001</v>
      </c>
      <c r="CI104">
        <v>-0.12</v>
      </c>
      <c r="CJ104">
        <v>-0.05</v>
      </c>
      <c r="CK104">
        <v>-0.02</v>
      </c>
      <c r="CL104">
        <v>11.58</v>
      </c>
      <c r="CM104">
        <v>0.78</v>
      </c>
      <c r="CN104">
        <v>1.29</v>
      </c>
      <c r="CO104">
        <v>43877</v>
      </c>
      <c r="CP104">
        <v>7079</v>
      </c>
      <c r="CQ104" t="s">
        <v>884</v>
      </c>
      <c r="CR104">
        <v>-148.41999999999999</v>
      </c>
      <c r="CS104">
        <v>55.38</v>
      </c>
      <c r="CT104">
        <v>0.82</v>
      </c>
      <c r="CU104">
        <v>35.479999999999997</v>
      </c>
      <c r="CV104">
        <v>19.8</v>
      </c>
      <c r="CW104">
        <v>0.76</v>
      </c>
      <c r="CX104" t="s">
        <v>885</v>
      </c>
      <c r="CY104">
        <v>3.98</v>
      </c>
      <c r="CZ104">
        <v>0</v>
      </c>
      <c r="DA104">
        <v>1.41</v>
      </c>
      <c r="DB104">
        <v>1.37</v>
      </c>
      <c r="DC104">
        <v>0.09</v>
      </c>
      <c r="DD104">
        <v>40.619999999999997</v>
      </c>
      <c r="DE104" t="s">
        <v>886</v>
      </c>
      <c r="DF104">
        <v>21.22</v>
      </c>
      <c r="DG104">
        <v>-26.22</v>
      </c>
      <c r="DH104">
        <v>-8.89</v>
      </c>
      <c r="DI104" t="s">
        <v>120</v>
      </c>
      <c r="DJ104">
        <v>820</v>
      </c>
      <c r="DK104">
        <v>514</v>
      </c>
      <c r="DL104" t="s">
        <v>120</v>
      </c>
      <c r="DM104" t="s">
        <v>120</v>
      </c>
      <c r="DN104" t="s">
        <v>120</v>
      </c>
    </row>
    <row r="105" spans="1:118">
      <c r="A105" t="str">
        <f>"000516"</f>
        <v>000516</v>
      </c>
      <c r="B105" t="s">
        <v>887</v>
      </c>
      <c r="C105">
        <v>1.21</v>
      </c>
      <c r="D105">
        <v>-0.49</v>
      </c>
      <c r="E105">
        <v>-0.1</v>
      </c>
      <c r="F105">
        <v>16702</v>
      </c>
      <c r="G105" t="s">
        <v>888</v>
      </c>
      <c r="H105">
        <v>57869.58</v>
      </c>
      <c r="I105">
        <v>143.75</v>
      </c>
      <c r="J105" t="s">
        <v>120</v>
      </c>
      <c r="K105" t="s">
        <v>889</v>
      </c>
      <c r="L105">
        <v>3.03</v>
      </c>
      <c r="M105">
        <v>10.029999999999999</v>
      </c>
      <c r="N105">
        <v>1.64</v>
      </c>
      <c r="O105">
        <v>4.34</v>
      </c>
      <c r="P105">
        <v>10.34</v>
      </c>
      <c r="Q105">
        <v>-0.81</v>
      </c>
      <c r="R105">
        <v>9.83</v>
      </c>
      <c r="S105">
        <v>9.9</v>
      </c>
      <c r="T105">
        <v>573960</v>
      </c>
      <c r="U105">
        <v>10.039999999999999</v>
      </c>
      <c r="V105">
        <v>9.91</v>
      </c>
      <c r="W105" t="s">
        <v>120</v>
      </c>
      <c r="X105" t="s">
        <v>555</v>
      </c>
      <c r="Y105" t="s">
        <v>890</v>
      </c>
      <c r="Z105">
        <v>5.15</v>
      </c>
      <c r="AA105">
        <v>10.08</v>
      </c>
      <c r="AB105">
        <v>289440</v>
      </c>
      <c r="AC105">
        <v>284520</v>
      </c>
      <c r="AD105">
        <v>1.02</v>
      </c>
      <c r="AE105">
        <v>273</v>
      </c>
      <c r="AF105">
        <v>667</v>
      </c>
      <c r="AG105" t="s">
        <v>120</v>
      </c>
      <c r="AH105">
        <v>0.01</v>
      </c>
      <c r="AI105" t="s">
        <v>120</v>
      </c>
      <c r="AJ105">
        <v>18.940000000000001</v>
      </c>
      <c r="AK105" t="s">
        <v>891</v>
      </c>
      <c r="AL105">
        <v>3.12</v>
      </c>
      <c r="AM105">
        <v>4268</v>
      </c>
      <c r="AN105">
        <v>134</v>
      </c>
      <c r="AO105">
        <v>6.9999999999999999E-4</v>
      </c>
      <c r="AP105">
        <v>1</v>
      </c>
      <c r="AQ105">
        <v>-1.2</v>
      </c>
      <c r="AR105">
        <v>-0.5</v>
      </c>
      <c r="AS105">
        <v>-16.07</v>
      </c>
      <c r="AT105">
        <v>-49.85</v>
      </c>
      <c r="AU105">
        <v>-20.21</v>
      </c>
      <c r="AV105">
        <v>4</v>
      </c>
      <c r="AW105">
        <v>4.18</v>
      </c>
      <c r="AX105">
        <v>60.29</v>
      </c>
      <c r="AY105">
        <v>763.82</v>
      </c>
      <c r="AZ105">
        <v>497.23</v>
      </c>
      <c r="BA105">
        <v>1.02</v>
      </c>
      <c r="BB105" t="s">
        <v>134</v>
      </c>
      <c r="BF105">
        <v>1.74</v>
      </c>
      <c r="BG105">
        <v>1.31</v>
      </c>
      <c r="BH105">
        <v>-3</v>
      </c>
      <c r="BI105">
        <v>2.0299999999999998</v>
      </c>
      <c r="BJ105">
        <v>20210827</v>
      </c>
      <c r="BK105">
        <v>19930809</v>
      </c>
      <c r="BL105">
        <v>22.76</v>
      </c>
      <c r="BM105" t="s">
        <v>120</v>
      </c>
      <c r="BN105" t="s">
        <v>120</v>
      </c>
      <c r="BO105">
        <v>132.01</v>
      </c>
      <c r="BP105">
        <v>10.029999999999999</v>
      </c>
      <c r="BQ105">
        <v>58.72</v>
      </c>
      <c r="BR105">
        <v>0.27</v>
      </c>
      <c r="BS105">
        <v>55.31</v>
      </c>
      <c r="BT105">
        <v>31.85</v>
      </c>
      <c r="BU105">
        <v>74.27</v>
      </c>
      <c r="BV105">
        <v>6.91</v>
      </c>
      <c r="BW105">
        <v>30.23</v>
      </c>
      <c r="BX105">
        <v>24.53</v>
      </c>
      <c r="BY105">
        <v>0.56999999999999995</v>
      </c>
      <c r="BZ105">
        <v>3.96</v>
      </c>
      <c r="CA105">
        <v>0</v>
      </c>
      <c r="CB105">
        <v>9.5500000000000007</v>
      </c>
      <c r="CC105">
        <v>13.06</v>
      </c>
      <c r="CD105">
        <v>12.31</v>
      </c>
      <c r="CE105">
        <v>-3.53</v>
      </c>
      <c r="CF105">
        <v>0.1</v>
      </c>
      <c r="CG105">
        <v>-3.57</v>
      </c>
      <c r="CH105">
        <v>-3.65</v>
      </c>
      <c r="CI105">
        <v>-3.6</v>
      </c>
      <c r="CJ105">
        <v>0.12</v>
      </c>
      <c r="CK105">
        <v>-2.93</v>
      </c>
      <c r="CL105">
        <v>22.81</v>
      </c>
      <c r="CM105">
        <v>0.78</v>
      </c>
      <c r="CN105">
        <v>14.93</v>
      </c>
      <c r="CO105">
        <v>100218</v>
      </c>
      <c r="CP105">
        <v>13692</v>
      </c>
      <c r="CQ105" t="s">
        <v>892</v>
      </c>
      <c r="CR105">
        <v>-4.5999999999999996</v>
      </c>
      <c r="CS105">
        <v>104.1</v>
      </c>
      <c r="CT105">
        <v>3.89</v>
      </c>
      <c r="CU105">
        <v>293.60000000000002</v>
      </c>
      <c r="CV105">
        <v>17.47</v>
      </c>
      <c r="CW105">
        <v>0</v>
      </c>
      <c r="CX105" t="s">
        <v>893</v>
      </c>
      <c r="CY105">
        <v>2.58</v>
      </c>
      <c r="CZ105">
        <v>0</v>
      </c>
      <c r="DA105">
        <v>0.42</v>
      </c>
      <c r="DB105">
        <v>1</v>
      </c>
      <c r="DC105">
        <v>0.03</v>
      </c>
      <c r="DD105">
        <v>44.48</v>
      </c>
      <c r="DE105" t="s">
        <v>894</v>
      </c>
      <c r="DF105">
        <v>5.79</v>
      </c>
      <c r="DG105">
        <v>-27</v>
      </c>
      <c r="DH105">
        <v>-27.55</v>
      </c>
      <c r="DI105">
        <v>0.05</v>
      </c>
      <c r="DJ105">
        <v>6737</v>
      </c>
      <c r="DK105">
        <v>516</v>
      </c>
      <c r="DL105" t="s">
        <v>120</v>
      </c>
      <c r="DM105" t="s">
        <v>120</v>
      </c>
      <c r="DN105" t="s">
        <v>120</v>
      </c>
    </row>
    <row r="106" spans="1:118">
      <c r="A106" t="str">
        <f>"000517"</f>
        <v>000517</v>
      </c>
      <c r="B106" t="s">
        <v>895</v>
      </c>
      <c r="C106">
        <v>-0.39</v>
      </c>
      <c r="D106">
        <v>0</v>
      </c>
      <c r="E106">
        <v>0.39</v>
      </c>
      <c r="F106">
        <v>1118</v>
      </c>
      <c r="G106" t="s">
        <v>896</v>
      </c>
      <c r="H106">
        <v>3169.37</v>
      </c>
      <c r="I106">
        <v>69.239999999999995</v>
      </c>
      <c r="J106" t="s">
        <v>120</v>
      </c>
      <c r="K106" t="s">
        <v>897</v>
      </c>
      <c r="L106">
        <v>0.49</v>
      </c>
      <c r="M106">
        <v>2.5499999999999998</v>
      </c>
      <c r="N106">
        <v>0.91</v>
      </c>
      <c r="O106">
        <v>1.56</v>
      </c>
      <c r="P106">
        <v>2.6</v>
      </c>
      <c r="Q106">
        <v>-0.39</v>
      </c>
      <c r="R106">
        <v>2.5499999999999998</v>
      </c>
      <c r="S106">
        <v>2.57</v>
      </c>
      <c r="T106">
        <v>123262</v>
      </c>
      <c r="U106">
        <v>2.56</v>
      </c>
      <c r="V106">
        <v>2.56</v>
      </c>
      <c r="W106">
        <v>5.61</v>
      </c>
      <c r="X106" t="s">
        <v>150</v>
      </c>
      <c r="Y106" t="s">
        <v>585</v>
      </c>
      <c r="Z106">
        <v>1.95</v>
      </c>
      <c r="AA106">
        <v>2.57</v>
      </c>
      <c r="AB106">
        <v>70101</v>
      </c>
      <c r="AC106">
        <v>53161</v>
      </c>
      <c r="AD106">
        <v>1.32</v>
      </c>
      <c r="AE106">
        <v>3716</v>
      </c>
      <c r="AF106">
        <v>9616</v>
      </c>
      <c r="AG106" t="s">
        <v>120</v>
      </c>
      <c r="AH106">
        <v>0.05</v>
      </c>
      <c r="AI106" t="s">
        <v>120</v>
      </c>
      <c r="AJ106">
        <v>24.97</v>
      </c>
      <c r="AK106" t="s">
        <v>898</v>
      </c>
      <c r="AL106">
        <v>1.52</v>
      </c>
      <c r="AM106">
        <v>1620</v>
      </c>
      <c r="AN106">
        <v>76</v>
      </c>
      <c r="AO106">
        <v>2.9999999999999997E-4</v>
      </c>
      <c r="AP106">
        <v>-3</v>
      </c>
      <c r="AQ106">
        <v>-0.78</v>
      </c>
      <c r="AR106">
        <v>-3.41</v>
      </c>
      <c r="AS106">
        <v>4.08</v>
      </c>
      <c r="AT106">
        <v>-5.56</v>
      </c>
      <c r="AU106">
        <v>-11</v>
      </c>
      <c r="AV106">
        <v>3</v>
      </c>
      <c r="AW106">
        <v>2.13</v>
      </c>
      <c r="AX106">
        <v>18.190000000000001</v>
      </c>
      <c r="AY106">
        <v>4.6500000000000004</v>
      </c>
      <c r="AZ106">
        <v>4.68</v>
      </c>
      <c r="BA106">
        <v>0.12</v>
      </c>
      <c r="BB106" t="s">
        <v>143</v>
      </c>
      <c r="BF106">
        <v>0.44</v>
      </c>
      <c r="BG106">
        <v>-0.78</v>
      </c>
      <c r="BH106">
        <v>-1.92</v>
      </c>
      <c r="BI106">
        <v>0</v>
      </c>
      <c r="BJ106">
        <v>20210830</v>
      </c>
      <c r="BK106">
        <v>19930806</v>
      </c>
      <c r="BL106">
        <v>31.84</v>
      </c>
      <c r="BM106" t="s">
        <v>120</v>
      </c>
      <c r="BN106" t="s">
        <v>120</v>
      </c>
      <c r="BO106">
        <v>774.49</v>
      </c>
      <c r="BP106">
        <v>2.5499999999999998</v>
      </c>
      <c r="BQ106">
        <v>88.21</v>
      </c>
      <c r="BR106">
        <v>60.42</v>
      </c>
      <c r="BS106">
        <v>80.81</v>
      </c>
      <c r="BT106">
        <v>706.41</v>
      </c>
      <c r="BU106">
        <v>0.21</v>
      </c>
      <c r="BV106">
        <v>0.09</v>
      </c>
      <c r="BW106">
        <v>509.17</v>
      </c>
      <c r="BX106">
        <v>80.53</v>
      </c>
      <c r="BY106">
        <v>547.89</v>
      </c>
      <c r="BZ106">
        <v>1.51</v>
      </c>
      <c r="CA106">
        <v>0.23</v>
      </c>
      <c r="CB106">
        <v>-17.100000000000001</v>
      </c>
      <c r="CC106">
        <v>90.97</v>
      </c>
      <c r="CD106">
        <v>77.88</v>
      </c>
      <c r="CE106">
        <v>9.8800000000000008</v>
      </c>
      <c r="CF106">
        <v>2.4900000000000002</v>
      </c>
      <c r="CG106">
        <v>9.86</v>
      </c>
      <c r="CH106">
        <v>8.17</v>
      </c>
      <c r="CI106">
        <v>7.23</v>
      </c>
      <c r="CJ106">
        <v>-0.01</v>
      </c>
      <c r="CK106">
        <v>7.51</v>
      </c>
      <c r="CL106">
        <v>70.7</v>
      </c>
      <c r="CM106">
        <v>-38.369999999999997</v>
      </c>
      <c r="CN106">
        <v>-1.22</v>
      </c>
      <c r="CO106">
        <v>41774</v>
      </c>
      <c r="CP106">
        <v>13861</v>
      </c>
      <c r="CQ106" t="s">
        <v>899</v>
      </c>
      <c r="CR106">
        <v>1.47</v>
      </c>
      <c r="CS106">
        <v>179.94</v>
      </c>
      <c r="CT106">
        <v>0.92</v>
      </c>
      <c r="CU106">
        <v>-2.12</v>
      </c>
      <c r="CV106">
        <v>0.89</v>
      </c>
      <c r="CW106">
        <v>1.37</v>
      </c>
      <c r="CX106" t="s">
        <v>900</v>
      </c>
      <c r="CY106">
        <v>2.77</v>
      </c>
      <c r="CZ106">
        <v>0</v>
      </c>
      <c r="DA106">
        <v>-0.54</v>
      </c>
      <c r="DB106">
        <v>2.2200000000000002</v>
      </c>
      <c r="DC106">
        <v>-1.21</v>
      </c>
      <c r="DD106">
        <v>11.39</v>
      </c>
      <c r="DE106" t="s">
        <v>901</v>
      </c>
      <c r="DF106">
        <v>14.4</v>
      </c>
      <c r="DG106">
        <v>10.86</v>
      </c>
      <c r="DH106">
        <v>7.95</v>
      </c>
      <c r="DI106">
        <v>0.42</v>
      </c>
      <c r="DJ106">
        <v>977</v>
      </c>
      <c r="DK106">
        <v>517</v>
      </c>
      <c r="DL106" t="s">
        <v>120</v>
      </c>
      <c r="DM106" t="s">
        <v>120</v>
      </c>
      <c r="DN106" t="s">
        <v>120</v>
      </c>
    </row>
    <row r="107" spans="1:118">
      <c r="A107" t="str">
        <f>"000518"</f>
        <v>000518</v>
      </c>
      <c r="B107" t="s">
        <v>902</v>
      </c>
      <c r="C107">
        <v>0.28999999999999998</v>
      </c>
      <c r="D107">
        <v>-0.28000000000000003</v>
      </c>
      <c r="E107">
        <v>0</v>
      </c>
      <c r="F107">
        <v>1098</v>
      </c>
      <c r="G107" t="s">
        <v>903</v>
      </c>
      <c r="H107">
        <v>4207.2700000000004</v>
      </c>
      <c r="I107">
        <v>7.41</v>
      </c>
      <c r="J107" t="s">
        <v>120</v>
      </c>
      <c r="K107" t="s">
        <v>904</v>
      </c>
      <c r="L107">
        <v>1.2</v>
      </c>
      <c r="M107">
        <v>3.41</v>
      </c>
      <c r="N107">
        <v>1.56</v>
      </c>
      <c r="O107">
        <v>1.47</v>
      </c>
      <c r="P107">
        <v>3.45</v>
      </c>
      <c r="Q107">
        <v>-0.59</v>
      </c>
      <c r="R107">
        <v>3.38</v>
      </c>
      <c r="S107">
        <v>3.4</v>
      </c>
      <c r="T107">
        <v>123043</v>
      </c>
      <c r="U107">
        <v>3.42</v>
      </c>
      <c r="V107">
        <v>3.4</v>
      </c>
      <c r="W107" t="s">
        <v>120</v>
      </c>
      <c r="X107" t="s">
        <v>666</v>
      </c>
      <c r="Y107" t="s">
        <v>319</v>
      </c>
      <c r="Z107">
        <v>2.06</v>
      </c>
      <c r="AA107">
        <v>3.42</v>
      </c>
      <c r="AB107">
        <v>50792</v>
      </c>
      <c r="AC107">
        <v>72251</v>
      </c>
      <c r="AD107">
        <v>0.7</v>
      </c>
      <c r="AE107">
        <v>1213</v>
      </c>
      <c r="AF107">
        <v>3774</v>
      </c>
      <c r="AG107" t="s">
        <v>120</v>
      </c>
      <c r="AH107">
        <v>0</v>
      </c>
      <c r="AI107" t="s">
        <v>120</v>
      </c>
      <c r="AJ107">
        <v>10.3</v>
      </c>
      <c r="AK107" t="s">
        <v>904</v>
      </c>
      <c r="AL107">
        <v>2.21</v>
      </c>
      <c r="AM107">
        <v>1676</v>
      </c>
      <c r="AN107">
        <v>73</v>
      </c>
      <c r="AO107">
        <v>6.9999999999999999E-4</v>
      </c>
      <c r="AP107">
        <v>2</v>
      </c>
      <c r="AQ107">
        <v>1.49</v>
      </c>
      <c r="AR107">
        <v>0</v>
      </c>
      <c r="AS107">
        <v>3.02</v>
      </c>
      <c r="AT107">
        <v>-7.09</v>
      </c>
      <c r="AU107">
        <v>-33.39</v>
      </c>
      <c r="AV107">
        <v>2</v>
      </c>
      <c r="AW107">
        <v>1.91</v>
      </c>
      <c r="AX107">
        <v>62.52</v>
      </c>
      <c r="AY107" t="s">
        <v>120</v>
      </c>
      <c r="AZ107">
        <v>128.25</v>
      </c>
      <c r="BA107">
        <v>0.28000000000000003</v>
      </c>
      <c r="BB107" t="s">
        <v>143</v>
      </c>
      <c r="BF107">
        <v>0.56999999999999995</v>
      </c>
      <c r="BG107">
        <v>0.28999999999999998</v>
      </c>
      <c r="BH107">
        <v>-1.1599999999999999</v>
      </c>
      <c r="BI107">
        <v>0.89</v>
      </c>
      <c r="BJ107">
        <v>20210830</v>
      </c>
      <c r="BK107">
        <v>19930908</v>
      </c>
      <c r="BL107">
        <v>10.3</v>
      </c>
      <c r="BM107" t="s">
        <v>120</v>
      </c>
      <c r="BN107" t="s">
        <v>120</v>
      </c>
      <c r="BO107">
        <v>8.18</v>
      </c>
      <c r="BP107">
        <v>3.41</v>
      </c>
      <c r="BQ107">
        <v>6.13</v>
      </c>
      <c r="BR107">
        <v>0.4</v>
      </c>
      <c r="BS107">
        <v>20.09</v>
      </c>
      <c r="BT107">
        <v>6.31</v>
      </c>
      <c r="BU107">
        <v>0.67</v>
      </c>
      <c r="BV107">
        <v>0.26</v>
      </c>
      <c r="BW107">
        <v>1.22</v>
      </c>
      <c r="BX107">
        <v>0.39</v>
      </c>
      <c r="BY107">
        <v>4.43</v>
      </c>
      <c r="BZ107">
        <v>1.21</v>
      </c>
      <c r="CA107">
        <v>0.09</v>
      </c>
      <c r="CB107">
        <v>0.36</v>
      </c>
      <c r="CC107">
        <v>1.5</v>
      </c>
      <c r="CD107">
        <v>0.36</v>
      </c>
      <c r="CE107">
        <v>-0.3</v>
      </c>
      <c r="CF107">
        <v>0</v>
      </c>
      <c r="CG107">
        <v>-0.3</v>
      </c>
      <c r="CH107">
        <v>-0.32</v>
      </c>
      <c r="CI107">
        <v>-0.28000000000000003</v>
      </c>
      <c r="CJ107">
        <v>0.01</v>
      </c>
      <c r="CK107">
        <v>-0.28000000000000003</v>
      </c>
      <c r="CL107">
        <v>-4.91</v>
      </c>
      <c r="CM107">
        <v>-0.13</v>
      </c>
      <c r="CN107">
        <v>-0.15</v>
      </c>
      <c r="CO107">
        <v>127376</v>
      </c>
      <c r="CP107">
        <v>5053</v>
      </c>
      <c r="CQ107" t="s">
        <v>905</v>
      </c>
      <c r="CR107">
        <v>-539.42999999999995</v>
      </c>
      <c r="CS107">
        <v>-36.700000000000003</v>
      </c>
      <c r="CT107">
        <v>5.73</v>
      </c>
      <c r="CU107">
        <v>-273.58</v>
      </c>
      <c r="CV107">
        <v>23.44</v>
      </c>
      <c r="CW107">
        <v>0</v>
      </c>
      <c r="CX107" t="s">
        <v>906</v>
      </c>
      <c r="CY107">
        <v>0.6</v>
      </c>
      <c r="CZ107">
        <v>0</v>
      </c>
      <c r="DA107">
        <v>0.03</v>
      </c>
      <c r="DB107">
        <v>-0.48</v>
      </c>
      <c r="DC107">
        <v>-0.01</v>
      </c>
      <c r="DD107">
        <v>74.98</v>
      </c>
      <c r="DE107" t="s">
        <v>907</v>
      </c>
      <c r="DF107">
        <v>75.959999999999994</v>
      </c>
      <c r="DG107">
        <v>-20.27</v>
      </c>
      <c r="DH107">
        <v>-18.48</v>
      </c>
      <c r="DI107">
        <v>0.41</v>
      </c>
      <c r="DJ107">
        <v>288</v>
      </c>
      <c r="DK107">
        <v>518</v>
      </c>
      <c r="DL107" t="s">
        <v>120</v>
      </c>
      <c r="DM107" t="s">
        <v>120</v>
      </c>
      <c r="DN107" t="s">
        <v>120</v>
      </c>
    </row>
    <row r="108" spans="1:118">
      <c r="A108" t="str">
        <f>"000519"</f>
        <v>000519</v>
      </c>
      <c r="B108" t="s">
        <v>908</v>
      </c>
      <c r="C108">
        <v>4.5999999999999996</v>
      </c>
      <c r="D108">
        <v>0</v>
      </c>
      <c r="E108">
        <v>-0.42</v>
      </c>
      <c r="F108">
        <v>10614</v>
      </c>
      <c r="G108" t="s">
        <v>909</v>
      </c>
      <c r="H108">
        <v>258650.72</v>
      </c>
      <c r="I108">
        <v>2569.9699999999998</v>
      </c>
      <c r="J108" t="s">
        <v>120</v>
      </c>
      <c r="K108" t="s">
        <v>910</v>
      </c>
      <c r="L108">
        <v>8.36</v>
      </c>
      <c r="M108">
        <v>22.5</v>
      </c>
      <c r="N108">
        <v>1.3</v>
      </c>
      <c r="O108">
        <v>7.48</v>
      </c>
      <c r="P108">
        <v>23.12</v>
      </c>
      <c r="Q108">
        <v>-2.23</v>
      </c>
      <c r="R108">
        <v>21.03</v>
      </c>
      <c r="S108">
        <v>21.42</v>
      </c>
      <c r="T108">
        <v>1162920</v>
      </c>
      <c r="U108">
        <v>22.5</v>
      </c>
      <c r="V108">
        <v>21.51</v>
      </c>
      <c r="W108">
        <v>47.92</v>
      </c>
      <c r="X108" t="s">
        <v>675</v>
      </c>
      <c r="Y108" t="s">
        <v>594</v>
      </c>
      <c r="Z108">
        <v>9.7200000000000006</v>
      </c>
      <c r="AA108">
        <v>22.24</v>
      </c>
      <c r="AB108">
        <v>588746</v>
      </c>
      <c r="AC108">
        <v>574174</v>
      </c>
      <c r="AD108">
        <v>1.03</v>
      </c>
      <c r="AE108">
        <v>136</v>
      </c>
      <c r="AF108">
        <v>2960</v>
      </c>
      <c r="AG108" t="s">
        <v>120</v>
      </c>
      <c r="AH108">
        <v>0.15</v>
      </c>
      <c r="AI108" t="s">
        <v>120</v>
      </c>
      <c r="AJ108">
        <v>13.91</v>
      </c>
      <c r="AK108" t="s">
        <v>911</v>
      </c>
      <c r="AL108">
        <v>6.52</v>
      </c>
      <c r="AM108">
        <v>4726</v>
      </c>
      <c r="AN108">
        <v>246</v>
      </c>
      <c r="AO108">
        <v>1.8E-3</v>
      </c>
      <c r="AP108">
        <v>3</v>
      </c>
      <c r="AQ108">
        <v>10.029999999999999</v>
      </c>
      <c r="AR108">
        <v>21.17</v>
      </c>
      <c r="AS108">
        <v>60.26</v>
      </c>
      <c r="AT108">
        <v>110.28</v>
      </c>
      <c r="AU108">
        <v>124.55</v>
      </c>
      <c r="AV108">
        <v>6</v>
      </c>
      <c r="AW108">
        <v>14.3</v>
      </c>
      <c r="AX108">
        <v>58.39</v>
      </c>
      <c r="AY108">
        <v>71.52</v>
      </c>
      <c r="AZ108">
        <v>109.1</v>
      </c>
      <c r="BA108">
        <v>0.42</v>
      </c>
      <c r="BB108" t="s">
        <v>168</v>
      </c>
      <c r="BF108">
        <v>3.4</v>
      </c>
      <c r="BG108">
        <v>5.04</v>
      </c>
      <c r="BH108">
        <v>-2.68</v>
      </c>
      <c r="BI108">
        <v>6.99</v>
      </c>
      <c r="BJ108">
        <v>20210821</v>
      </c>
      <c r="BK108">
        <v>19931008</v>
      </c>
      <c r="BL108">
        <v>13.93</v>
      </c>
      <c r="BM108" t="s">
        <v>120</v>
      </c>
      <c r="BN108" t="s">
        <v>120</v>
      </c>
      <c r="BO108">
        <v>126.52</v>
      </c>
      <c r="BP108">
        <v>22.49</v>
      </c>
      <c r="BQ108">
        <v>88.62</v>
      </c>
      <c r="BR108" t="s">
        <v>120</v>
      </c>
      <c r="BS108">
        <v>29.95</v>
      </c>
      <c r="BT108">
        <v>85.67</v>
      </c>
      <c r="BU108">
        <v>24.86</v>
      </c>
      <c r="BV108">
        <v>5.0999999999999996</v>
      </c>
      <c r="BW108">
        <v>34.1</v>
      </c>
      <c r="BX108">
        <v>47.09</v>
      </c>
      <c r="BY108">
        <v>16.59</v>
      </c>
      <c r="BZ108">
        <v>9.0500000000000007</v>
      </c>
      <c r="CA108" t="s">
        <v>120</v>
      </c>
      <c r="CB108">
        <v>37.83</v>
      </c>
      <c r="CC108">
        <v>28.81</v>
      </c>
      <c r="CD108">
        <v>21.56</v>
      </c>
      <c r="CE108">
        <v>3.91</v>
      </c>
      <c r="CF108">
        <v>0.03</v>
      </c>
      <c r="CG108">
        <v>3.92</v>
      </c>
      <c r="CH108">
        <v>3.27</v>
      </c>
      <c r="CI108">
        <v>3.27</v>
      </c>
      <c r="CJ108">
        <v>0.99</v>
      </c>
      <c r="CK108">
        <v>3.08</v>
      </c>
      <c r="CL108">
        <v>35.28</v>
      </c>
      <c r="CM108">
        <v>-3.14</v>
      </c>
      <c r="CN108">
        <v>-6.44</v>
      </c>
      <c r="CO108">
        <v>98361</v>
      </c>
      <c r="CP108">
        <v>8266</v>
      </c>
      <c r="CQ108" t="s">
        <v>912</v>
      </c>
      <c r="CR108">
        <v>78.98</v>
      </c>
      <c r="CS108">
        <v>24.28</v>
      </c>
      <c r="CT108">
        <v>3.54</v>
      </c>
      <c r="CU108">
        <v>-99.69</v>
      </c>
      <c r="CV108">
        <v>10.88</v>
      </c>
      <c r="CW108">
        <v>0</v>
      </c>
      <c r="CX108" t="s">
        <v>913</v>
      </c>
      <c r="CY108">
        <v>6.36</v>
      </c>
      <c r="CZ108">
        <v>0</v>
      </c>
      <c r="DA108">
        <v>2.72</v>
      </c>
      <c r="DB108">
        <v>2.5299999999999998</v>
      </c>
      <c r="DC108">
        <v>-0.23</v>
      </c>
      <c r="DD108">
        <v>70.05</v>
      </c>
      <c r="DE108" t="s">
        <v>270</v>
      </c>
      <c r="DF108">
        <v>25.15</v>
      </c>
      <c r="DG108">
        <v>13.56</v>
      </c>
      <c r="DH108">
        <v>11.35</v>
      </c>
      <c r="DI108">
        <v>1.38</v>
      </c>
      <c r="DJ108">
        <v>8496</v>
      </c>
      <c r="DK108">
        <v>519</v>
      </c>
      <c r="DL108">
        <v>20210823</v>
      </c>
      <c r="DM108">
        <v>15.9</v>
      </c>
      <c r="DN108">
        <v>41.51</v>
      </c>
    </row>
    <row r="109" spans="1:118">
      <c r="A109" t="str">
        <f>"000520"</f>
        <v>000520</v>
      </c>
      <c r="B109" t="s">
        <v>914</v>
      </c>
      <c r="C109">
        <v>-4.62</v>
      </c>
      <c r="D109">
        <v>-0.95</v>
      </c>
      <c r="E109">
        <v>-1.62</v>
      </c>
      <c r="F109">
        <v>6253</v>
      </c>
      <c r="G109" t="s">
        <v>915</v>
      </c>
      <c r="H109">
        <v>17246.73</v>
      </c>
      <c r="I109">
        <v>224.5</v>
      </c>
      <c r="J109" t="s">
        <v>120</v>
      </c>
      <c r="K109" t="s">
        <v>916</v>
      </c>
      <c r="L109">
        <v>3.99</v>
      </c>
      <c r="M109">
        <v>4.13</v>
      </c>
      <c r="N109">
        <v>0.95</v>
      </c>
      <c r="O109">
        <v>3</v>
      </c>
      <c r="P109">
        <v>4.46</v>
      </c>
      <c r="Q109">
        <v>-4.62</v>
      </c>
      <c r="R109">
        <v>4.13</v>
      </c>
      <c r="S109">
        <v>4.26</v>
      </c>
      <c r="T109">
        <v>403744</v>
      </c>
      <c r="U109">
        <v>4.1399999999999997</v>
      </c>
      <c r="V109">
        <v>4.33</v>
      </c>
      <c r="W109">
        <v>61.44</v>
      </c>
      <c r="X109" t="s">
        <v>917</v>
      </c>
      <c r="Y109" t="s">
        <v>763</v>
      </c>
      <c r="Z109">
        <v>7.62</v>
      </c>
      <c r="AA109">
        <v>4.2699999999999996</v>
      </c>
      <c r="AB109">
        <v>226263</v>
      </c>
      <c r="AC109">
        <v>177481</v>
      </c>
      <c r="AD109">
        <v>1.27</v>
      </c>
      <c r="AE109">
        <v>701</v>
      </c>
      <c r="AF109">
        <v>67</v>
      </c>
      <c r="AG109" t="s">
        <v>120</v>
      </c>
      <c r="AH109">
        <v>0.08</v>
      </c>
      <c r="AI109" t="s">
        <v>120</v>
      </c>
      <c r="AJ109">
        <v>10.119999999999999</v>
      </c>
      <c r="AK109" t="s">
        <v>916</v>
      </c>
      <c r="AL109">
        <v>-2.71</v>
      </c>
      <c r="AM109">
        <v>3368</v>
      </c>
      <c r="AN109">
        <v>120</v>
      </c>
      <c r="AO109">
        <v>1.1999999999999999E-3</v>
      </c>
      <c r="AP109">
        <v>-1</v>
      </c>
      <c r="AQ109">
        <v>0.7</v>
      </c>
      <c r="AR109">
        <v>-0.71</v>
      </c>
      <c r="AS109">
        <v>26.69</v>
      </c>
      <c r="AT109">
        <v>28.66</v>
      </c>
      <c r="AU109">
        <v>21.47</v>
      </c>
      <c r="AV109">
        <v>4</v>
      </c>
      <c r="AW109">
        <v>5.99</v>
      </c>
      <c r="AX109">
        <v>66.63</v>
      </c>
      <c r="AY109">
        <v>109.87</v>
      </c>
      <c r="AZ109">
        <v>416.21</v>
      </c>
      <c r="BA109">
        <v>0.25</v>
      </c>
      <c r="BB109" t="s">
        <v>184</v>
      </c>
      <c r="BF109">
        <v>-1.35</v>
      </c>
      <c r="BG109">
        <v>-3.05</v>
      </c>
      <c r="BH109">
        <v>-7.4</v>
      </c>
      <c r="BI109">
        <v>0</v>
      </c>
      <c r="BJ109">
        <v>20210821</v>
      </c>
      <c r="BK109">
        <v>19931025</v>
      </c>
      <c r="BL109">
        <v>10.119999999999999</v>
      </c>
      <c r="BM109" t="s">
        <v>120</v>
      </c>
      <c r="BN109" t="s">
        <v>120</v>
      </c>
      <c r="BO109">
        <v>7.41</v>
      </c>
      <c r="BP109">
        <v>4.13</v>
      </c>
      <c r="BQ109">
        <v>4.55</v>
      </c>
      <c r="BR109" t="s">
        <v>120</v>
      </c>
      <c r="BS109">
        <v>38.61</v>
      </c>
      <c r="BT109">
        <v>3.17</v>
      </c>
      <c r="BU109">
        <v>4.0999999999999996</v>
      </c>
      <c r="BV109">
        <v>0</v>
      </c>
      <c r="BW109">
        <v>2.4</v>
      </c>
      <c r="BX109">
        <v>1.52</v>
      </c>
      <c r="BY109">
        <v>7.0000000000000007E-2</v>
      </c>
      <c r="BZ109">
        <v>0.31</v>
      </c>
      <c r="CA109" t="s">
        <v>120</v>
      </c>
      <c r="CB109">
        <v>19.61</v>
      </c>
      <c r="CC109">
        <v>4.4000000000000004</v>
      </c>
      <c r="CD109">
        <v>3.53</v>
      </c>
      <c r="CE109">
        <v>0.46</v>
      </c>
      <c r="CF109">
        <v>0</v>
      </c>
      <c r="CG109">
        <v>0.46</v>
      </c>
      <c r="CH109">
        <v>0.34</v>
      </c>
      <c r="CI109">
        <v>0.34</v>
      </c>
      <c r="CJ109">
        <v>-0.2</v>
      </c>
      <c r="CK109">
        <v>0.34</v>
      </c>
      <c r="CL109">
        <v>-27.69</v>
      </c>
      <c r="CM109">
        <v>0.37</v>
      </c>
      <c r="CN109">
        <v>0.64</v>
      </c>
      <c r="CO109">
        <v>77151</v>
      </c>
      <c r="CP109">
        <v>8741</v>
      </c>
      <c r="CQ109" t="s">
        <v>918</v>
      </c>
      <c r="CR109">
        <v>629.54</v>
      </c>
      <c r="CS109">
        <v>36.58</v>
      </c>
      <c r="CT109">
        <v>9.19</v>
      </c>
      <c r="CU109">
        <v>113.54</v>
      </c>
      <c r="CV109">
        <v>9.5</v>
      </c>
      <c r="CW109">
        <v>0</v>
      </c>
      <c r="CX109" t="s">
        <v>919</v>
      </c>
      <c r="CY109">
        <v>0.45</v>
      </c>
      <c r="CZ109">
        <v>0</v>
      </c>
      <c r="DA109">
        <v>1.94</v>
      </c>
      <c r="DB109">
        <v>-2.74</v>
      </c>
      <c r="DC109">
        <v>0.04</v>
      </c>
      <c r="DD109">
        <v>61.39</v>
      </c>
      <c r="DE109" t="s">
        <v>920</v>
      </c>
      <c r="DF109">
        <v>19.73</v>
      </c>
      <c r="DG109">
        <v>10.39</v>
      </c>
      <c r="DH109">
        <v>7.73</v>
      </c>
      <c r="DI109" t="s">
        <v>120</v>
      </c>
      <c r="DJ109">
        <v>272</v>
      </c>
      <c r="DK109">
        <v>520</v>
      </c>
      <c r="DL109">
        <v>20210913</v>
      </c>
      <c r="DM109">
        <v>4.16</v>
      </c>
      <c r="DN109">
        <v>-0.72</v>
      </c>
    </row>
    <row r="110" spans="1:118">
      <c r="A110" t="str">
        <f>"000521"</f>
        <v>000521</v>
      </c>
      <c r="B110" t="s">
        <v>921</v>
      </c>
      <c r="C110">
        <v>-1.67</v>
      </c>
      <c r="D110">
        <v>0</v>
      </c>
      <c r="E110">
        <v>0</v>
      </c>
      <c r="F110">
        <v>1197</v>
      </c>
      <c r="G110" t="s">
        <v>922</v>
      </c>
      <c r="H110">
        <v>4880.3900000000003</v>
      </c>
      <c r="I110">
        <v>32.53</v>
      </c>
      <c r="J110" t="s">
        <v>120</v>
      </c>
      <c r="K110" t="s">
        <v>923</v>
      </c>
      <c r="L110">
        <v>1.56</v>
      </c>
      <c r="M110">
        <v>3.53</v>
      </c>
      <c r="N110">
        <v>0.72</v>
      </c>
      <c r="O110">
        <v>1.1100000000000001</v>
      </c>
      <c r="P110">
        <v>3.63</v>
      </c>
      <c r="Q110">
        <v>-1.95</v>
      </c>
      <c r="R110">
        <v>3.52</v>
      </c>
      <c r="S110">
        <v>3.59</v>
      </c>
      <c r="T110">
        <v>136684</v>
      </c>
      <c r="U110">
        <v>3.54</v>
      </c>
      <c r="V110">
        <v>3.59</v>
      </c>
      <c r="W110">
        <v>49.62</v>
      </c>
      <c r="X110" t="s">
        <v>205</v>
      </c>
      <c r="Y110" t="s">
        <v>570</v>
      </c>
      <c r="Z110">
        <v>3.06</v>
      </c>
      <c r="AA110">
        <v>3.57</v>
      </c>
      <c r="AB110">
        <v>78614</v>
      </c>
      <c r="AC110">
        <v>58070</v>
      </c>
      <c r="AD110">
        <v>1.35</v>
      </c>
      <c r="AE110">
        <v>1201</v>
      </c>
      <c r="AF110">
        <v>465</v>
      </c>
      <c r="AG110" t="s">
        <v>120</v>
      </c>
      <c r="AH110">
        <v>0.01</v>
      </c>
      <c r="AI110" t="s">
        <v>120</v>
      </c>
      <c r="AJ110">
        <v>8.75</v>
      </c>
      <c r="AK110" t="s">
        <v>924</v>
      </c>
      <c r="AL110">
        <v>0.24</v>
      </c>
      <c r="AM110">
        <v>1721</v>
      </c>
      <c r="AN110">
        <v>79</v>
      </c>
      <c r="AO110">
        <v>8.9999999999999998E-4</v>
      </c>
      <c r="AP110">
        <v>-1</v>
      </c>
      <c r="AQ110">
        <v>2.2799999999999998</v>
      </c>
      <c r="AR110">
        <v>-2.76</v>
      </c>
      <c r="AS110">
        <v>6.32</v>
      </c>
      <c r="AT110">
        <v>0.28999999999999998</v>
      </c>
      <c r="AU110">
        <v>-41.27</v>
      </c>
      <c r="AV110">
        <v>11</v>
      </c>
      <c r="AW110">
        <v>2.1800000000000002</v>
      </c>
      <c r="AX110">
        <v>59.94</v>
      </c>
      <c r="AY110">
        <v>23.19</v>
      </c>
      <c r="AZ110" t="s">
        <v>120</v>
      </c>
      <c r="BA110">
        <v>0.44</v>
      </c>
      <c r="BB110" t="s">
        <v>184</v>
      </c>
      <c r="BF110">
        <v>-0.54</v>
      </c>
      <c r="BG110">
        <v>-1.67</v>
      </c>
      <c r="BH110">
        <v>-2.75</v>
      </c>
      <c r="BI110">
        <v>0.28000000000000003</v>
      </c>
      <c r="BJ110">
        <v>20210913</v>
      </c>
      <c r="BK110">
        <v>19931018</v>
      </c>
      <c r="BL110">
        <v>10.45</v>
      </c>
      <c r="BM110">
        <v>1.63</v>
      </c>
      <c r="BN110" t="s">
        <v>120</v>
      </c>
      <c r="BO110">
        <v>168.83</v>
      </c>
      <c r="BP110">
        <v>3.53</v>
      </c>
      <c r="BQ110">
        <v>48.31</v>
      </c>
      <c r="BR110">
        <v>1.4</v>
      </c>
      <c r="BS110">
        <v>70.56</v>
      </c>
      <c r="BT110">
        <v>126.49</v>
      </c>
      <c r="BU110">
        <v>23.5</v>
      </c>
      <c r="BV110">
        <v>9.2799999999999994</v>
      </c>
      <c r="BW110">
        <v>115.14</v>
      </c>
      <c r="BX110">
        <v>53.11</v>
      </c>
      <c r="BY110">
        <v>22.85</v>
      </c>
      <c r="BZ110">
        <v>25.46</v>
      </c>
      <c r="CA110" t="s">
        <v>120</v>
      </c>
      <c r="CB110">
        <v>26.84</v>
      </c>
      <c r="CC110">
        <v>96.03</v>
      </c>
      <c r="CD110">
        <v>81.77</v>
      </c>
      <c r="CE110">
        <v>0.88</v>
      </c>
      <c r="CF110">
        <v>0.53</v>
      </c>
      <c r="CG110">
        <v>0.93</v>
      </c>
      <c r="CH110">
        <v>0.56000000000000005</v>
      </c>
      <c r="CI110">
        <v>0.37</v>
      </c>
      <c r="CJ110">
        <v>-0.06</v>
      </c>
      <c r="CK110">
        <v>-0.64</v>
      </c>
      <c r="CL110">
        <v>7.26</v>
      </c>
      <c r="CM110">
        <v>-5.88</v>
      </c>
      <c r="CN110">
        <v>-16.440000000000001</v>
      </c>
      <c r="CO110">
        <v>76311</v>
      </c>
      <c r="CP110">
        <v>10339</v>
      </c>
      <c r="CQ110" t="s">
        <v>925</v>
      </c>
      <c r="CR110">
        <v>117.68</v>
      </c>
      <c r="CS110">
        <v>41.3</v>
      </c>
      <c r="CT110">
        <v>0.76</v>
      </c>
      <c r="CU110">
        <v>-6.27</v>
      </c>
      <c r="CV110">
        <v>0.38</v>
      </c>
      <c r="CW110">
        <v>1.38</v>
      </c>
      <c r="CX110" t="s">
        <v>926</v>
      </c>
      <c r="CY110">
        <v>4.62</v>
      </c>
      <c r="CZ110">
        <v>0</v>
      </c>
      <c r="DA110">
        <v>2.57</v>
      </c>
      <c r="DB110">
        <v>0.7</v>
      </c>
      <c r="DC110">
        <v>-0.56000000000000005</v>
      </c>
      <c r="DD110">
        <v>28.62</v>
      </c>
      <c r="DE110" t="s">
        <v>927</v>
      </c>
      <c r="DF110">
        <v>14.84</v>
      </c>
      <c r="DG110">
        <v>0.91</v>
      </c>
      <c r="DH110">
        <v>0.39</v>
      </c>
      <c r="DI110">
        <v>1.86</v>
      </c>
      <c r="DJ110">
        <v>14907</v>
      </c>
      <c r="DK110">
        <v>521</v>
      </c>
      <c r="DL110" t="s">
        <v>120</v>
      </c>
      <c r="DM110" t="s">
        <v>120</v>
      </c>
      <c r="DN110" t="s">
        <v>120</v>
      </c>
    </row>
    <row r="111" spans="1:118">
      <c r="A111" t="str">
        <f>"000524"</f>
        <v>000524</v>
      </c>
      <c r="B111" t="s">
        <v>928</v>
      </c>
      <c r="C111">
        <v>-0.43</v>
      </c>
      <c r="D111">
        <v>0</v>
      </c>
      <c r="E111">
        <v>-1.1499999999999999</v>
      </c>
      <c r="F111">
        <v>11</v>
      </c>
      <c r="G111" t="s">
        <v>929</v>
      </c>
      <c r="H111">
        <v>779.27</v>
      </c>
      <c r="I111">
        <v>9.59</v>
      </c>
      <c r="J111" t="s">
        <v>120</v>
      </c>
      <c r="K111" t="s">
        <v>930</v>
      </c>
      <c r="L111">
        <v>0.17</v>
      </c>
      <c r="M111">
        <v>6.9</v>
      </c>
      <c r="N111">
        <v>0.45</v>
      </c>
      <c r="O111">
        <v>2.16</v>
      </c>
      <c r="P111">
        <v>7.08</v>
      </c>
      <c r="Q111">
        <v>-1.59</v>
      </c>
      <c r="R111">
        <v>6.82</v>
      </c>
      <c r="S111">
        <v>6.85</v>
      </c>
      <c r="T111">
        <v>11215</v>
      </c>
      <c r="U111">
        <v>6.91</v>
      </c>
      <c r="V111">
        <v>6.93</v>
      </c>
      <c r="W111" t="s">
        <v>120</v>
      </c>
      <c r="X111" t="s">
        <v>793</v>
      </c>
      <c r="Y111" t="s">
        <v>547</v>
      </c>
      <c r="Z111">
        <v>3.75</v>
      </c>
      <c r="AA111">
        <v>6.95</v>
      </c>
      <c r="AB111">
        <v>5215</v>
      </c>
      <c r="AC111">
        <v>6000</v>
      </c>
      <c r="AD111">
        <v>0.87</v>
      </c>
      <c r="AE111">
        <v>231</v>
      </c>
      <c r="AF111">
        <v>8</v>
      </c>
      <c r="AG111" t="s">
        <v>120</v>
      </c>
      <c r="AH111">
        <v>0.01</v>
      </c>
      <c r="AI111" t="s">
        <v>120</v>
      </c>
      <c r="AJ111">
        <v>6.7</v>
      </c>
      <c r="AK111" t="s">
        <v>930</v>
      </c>
      <c r="AL111">
        <v>1.48</v>
      </c>
      <c r="AM111">
        <v>766</v>
      </c>
      <c r="AN111">
        <v>15</v>
      </c>
      <c r="AO111">
        <v>2.0000000000000001E-4</v>
      </c>
      <c r="AP111">
        <v>-5</v>
      </c>
      <c r="AQ111">
        <v>-0.28999999999999998</v>
      </c>
      <c r="AR111">
        <v>-3.22</v>
      </c>
      <c r="AS111">
        <v>2.23</v>
      </c>
      <c r="AT111">
        <v>-6.76</v>
      </c>
      <c r="AU111">
        <v>-12.77</v>
      </c>
      <c r="AV111">
        <v>1</v>
      </c>
      <c r="AW111">
        <v>0.64</v>
      </c>
      <c r="AX111">
        <v>26.06</v>
      </c>
      <c r="AY111" t="s">
        <v>120</v>
      </c>
      <c r="AZ111" t="s">
        <v>120</v>
      </c>
      <c r="BA111">
        <v>0.22</v>
      </c>
      <c r="BB111" t="s">
        <v>143</v>
      </c>
      <c r="BF111">
        <v>0.27</v>
      </c>
      <c r="BG111">
        <v>0.73</v>
      </c>
      <c r="BH111">
        <v>-2.54</v>
      </c>
      <c r="BI111">
        <v>1.17</v>
      </c>
      <c r="BJ111">
        <v>20210831</v>
      </c>
      <c r="BK111">
        <v>19931118</v>
      </c>
      <c r="BL111">
        <v>6.7</v>
      </c>
      <c r="BM111" t="s">
        <v>120</v>
      </c>
      <c r="BN111" t="s">
        <v>120</v>
      </c>
      <c r="BO111">
        <v>32.54</v>
      </c>
      <c r="BP111">
        <v>6.9</v>
      </c>
      <c r="BQ111">
        <v>22.53</v>
      </c>
      <c r="BR111">
        <v>0.32</v>
      </c>
      <c r="BS111">
        <v>29.76</v>
      </c>
      <c r="BT111">
        <v>16.559999999999999</v>
      </c>
      <c r="BU111">
        <v>5.16</v>
      </c>
      <c r="BV111">
        <v>5.23</v>
      </c>
      <c r="BW111">
        <v>8.4</v>
      </c>
      <c r="BX111">
        <v>14.09</v>
      </c>
      <c r="BY111">
        <v>0.14000000000000001</v>
      </c>
      <c r="BZ111">
        <v>0.9</v>
      </c>
      <c r="CA111" t="s">
        <v>120</v>
      </c>
      <c r="CB111">
        <v>12.16</v>
      </c>
      <c r="CC111">
        <v>7.34</v>
      </c>
      <c r="CD111">
        <v>6.11</v>
      </c>
      <c r="CE111">
        <v>-1.02</v>
      </c>
      <c r="CF111">
        <v>0</v>
      </c>
      <c r="CG111">
        <v>-1.01</v>
      </c>
      <c r="CH111">
        <v>-1.01</v>
      </c>
      <c r="CI111">
        <v>-0.95</v>
      </c>
      <c r="CJ111">
        <v>-0.03</v>
      </c>
      <c r="CK111">
        <v>-1.03</v>
      </c>
      <c r="CL111">
        <v>1.04</v>
      </c>
      <c r="CM111">
        <v>-1.55</v>
      </c>
      <c r="CN111">
        <v>-2.3199999999999998</v>
      </c>
      <c r="CO111">
        <v>29211</v>
      </c>
      <c r="CP111">
        <v>5980</v>
      </c>
      <c r="CQ111" t="s">
        <v>931</v>
      </c>
      <c r="CR111">
        <v>30.7</v>
      </c>
      <c r="CS111">
        <v>-9.67</v>
      </c>
      <c r="CT111">
        <v>2.0499999999999998</v>
      </c>
      <c r="CU111">
        <v>-29.86</v>
      </c>
      <c r="CV111">
        <v>6.3</v>
      </c>
      <c r="CW111">
        <v>0</v>
      </c>
      <c r="CX111" t="s">
        <v>932</v>
      </c>
      <c r="CY111">
        <v>3.36</v>
      </c>
      <c r="CZ111">
        <v>0</v>
      </c>
      <c r="DA111">
        <v>1.81</v>
      </c>
      <c r="DB111">
        <v>0.15</v>
      </c>
      <c r="DC111">
        <v>-0.23</v>
      </c>
      <c r="DD111">
        <v>69.260000000000005</v>
      </c>
      <c r="DE111" t="s">
        <v>933</v>
      </c>
      <c r="DF111">
        <v>16.71</v>
      </c>
      <c r="DG111">
        <v>-13.84</v>
      </c>
      <c r="DH111">
        <v>-12.88</v>
      </c>
      <c r="DI111">
        <v>0.04</v>
      </c>
      <c r="DJ111">
        <v>5389</v>
      </c>
      <c r="DK111">
        <v>524</v>
      </c>
      <c r="DL111" t="s">
        <v>120</v>
      </c>
      <c r="DM111" t="s">
        <v>120</v>
      </c>
      <c r="DN111" t="s">
        <v>120</v>
      </c>
    </row>
    <row r="112" spans="1:118">
      <c r="A112" t="str">
        <f>"000526"</f>
        <v>000526</v>
      </c>
      <c r="B112" t="s">
        <v>934</v>
      </c>
      <c r="C112">
        <v>-2.76</v>
      </c>
      <c r="D112">
        <v>-0.09</v>
      </c>
      <c r="E112">
        <v>0.48</v>
      </c>
      <c r="F112">
        <v>410</v>
      </c>
      <c r="G112" t="s">
        <v>935</v>
      </c>
      <c r="H112">
        <v>5589.54</v>
      </c>
      <c r="I112">
        <v>51.06</v>
      </c>
      <c r="J112" t="s">
        <v>120</v>
      </c>
      <c r="K112" t="s">
        <v>936</v>
      </c>
      <c r="L112">
        <v>2.79</v>
      </c>
      <c r="M112">
        <v>20.420000000000002</v>
      </c>
      <c r="N112">
        <v>0.55000000000000004</v>
      </c>
      <c r="O112">
        <v>1.76</v>
      </c>
      <c r="P112">
        <v>21.37</v>
      </c>
      <c r="Q112">
        <v>-3.81</v>
      </c>
      <c r="R112">
        <v>20.2</v>
      </c>
      <c r="S112">
        <v>21.1</v>
      </c>
      <c r="T112">
        <v>26843</v>
      </c>
      <c r="U112">
        <v>20.420000000000002</v>
      </c>
      <c r="V112">
        <v>21</v>
      </c>
      <c r="W112">
        <v>10.85</v>
      </c>
      <c r="X112" t="s">
        <v>213</v>
      </c>
      <c r="Y112" t="s">
        <v>937</v>
      </c>
      <c r="Z112">
        <v>5.57</v>
      </c>
      <c r="AA112">
        <v>20.82</v>
      </c>
      <c r="AB112">
        <v>14200</v>
      </c>
      <c r="AC112">
        <v>12643</v>
      </c>
      <c r="AD112">
        <v>1.1200000000000001</v>
      </c>
      <c r="AE112">
        <v>8</v>
      </c>
      <c r="AF112">
        <v>163</v>
      </c>
      <c r="AG112" t="s">
        <v>120</v>
      </c>
      <c r="AH112">
        <v>0.05</v>
      </c>
      <c r="AI112" t="s">
        <v>120</v>
      </c>
      <c r="AJ112">
        <v>0.96</v>
      </c>
      <c r="AK112" t="s">
        <v>938</v>
      </c>
      <c r="AL112">
        <v>-0.85</v>
      </c>
      <c r="AM112">
        <v>2038</v>
      </c>
      <c r="AN112">
        <v>13</v>
      </c>
      <c r="AO112">
        <v>1.4E-3</v>
      </c>
      <c r="AP112">
        <v>-2</v>
      </c>
      <c r="AQ112">
        <v>-2.73</v>
      </c>
      <c r="AR112">
        <v>-3.68</v>
      </c>
      <c r="AS112">
        <v>-2.25</v>
      </c>
      <c r="AT112">
        <v>-30.14</v>
      </c>
      <c r="AU112">
        <v>-61.03</v>
      </c>
      <c r="AV112">
        <v>7</v>
      </c>
      <c r="AW112">
        <v>5.25</v>
      </c>
      <c r="AX112">
        <v>43.4</v>
      </c>
      <c r="AY112">
        <v>22.36</v>
      </c>
      <c r="AZ112">
        <v>56.61</v>
      </c>
      <c r="BA112">
        <v>1.46</v>
      </c>
      <c r="BB112" t="s">
        <v>143</v>
      </c>
      <c r="BF112">
        <v>-0.84</v>
      </c>
      <c r="BG112">
        <v>-3.22</v>
      </c>
      <c r="BH112">
        <v>-4.45</v>
      </c>
      <c r="BI112">
        <v>1.0900000000000001</v>
      </c>
      <c r="BJ112">
        <v>20210826</v>
      </c>
      <c r="BK112">
        <v>19931101</v>
      </c>
      <c r="BL112">
        <v>1.18</v>
      </c>
      <c r="BM112" t="s">
        <v>120</v>
      </c>
      <c r="BN112" t="s">
        <v>120</v>
      </c>
      <c r="BO112">
        <v>44.74</v>
      </c>
      <c r="BP112">
        <v>20.41</v>
      </c>
      <c r="BQ112">
        <v>10.72</v>
      </c>
      <c r="BR112">
        <v>-0.1</v>
      </c>
      <c r="BS112">
        <v>76.260000000000005</v>
      </c>
      <c r="BT112">
        <v>14.76</v>
      </c>
      <c r="BU112">
        <v>1.85</v>
      </c>
      <c r="BV112">
        <v>0.52</v>
      </c>
      <c r="BW112">
        <v>29.12</v>
      </c>
      <c r="BX112">
        <v>9.5</v>
      </c>
      <c r="BY112">
        <v>0.01</v>
      </c>
      <c r="BZ112">
        <v>0.38</v>
      </c>
      <c r="CA112">
        <v>1.55</v>
      </c>
      <c r="CB112">
        <v>8.59</v>
      </c>
      <c r="CC112">
        <v>15.82</v>
      </c>
      <c r="CD112">
        <v>10.49</v>
      </c>
      <c r="CE112">
        <v>1.43</v>
      </c>
      <c r="CF112">
        <v>0.01</v>
      </c>
      <c r="CG112">
        <v>1.41</v>
      </c>
      <c r="CH112">
        <v>1.0900000000000001</v>
      </c>
      <c r="CI112">
        <v>1.1100000000000001</v>
      </c>
      <c r="CJ112">
        <v>-0.57999999999999996</v>
      </c>
      <c r="CK112">
        <v>0.9</v>
      </c>
      <c r="CL112">
        <v>0.92</v>
      </c>
      <c r="CM112">
        <v>0.84</v>
      </c>
      <c r="CN112">
        <v>-1.24</v>
      </c>
      <c r="CO112">
        <v>14115</v>
      </c>
      <c r="CP112">
        <v>3621</v>
      </c>
      <c r="CQ112" t="s">
        <v>939</v>
      </c>
      <c r="CR112">
        <v>152.55000000000001</v>
      </c>
      <c r="CS112">
        <v>22.03</v>
      </c>
      <c r="CT112">
        <v>2.2400000000000002</v>
      </c>
      <c r="CU112">
        <v>28.5</v>
      </c>
      <c r="CV112">
        <v>1.52</v>
      </c>
      <c r="CW112">
        <v>0</v>
      </c>
      <c r="CX112" t="s">
        <v>940</v>
      </c>
      <c r="CY112">
        <v>9.1</v>
      </c>
      <c r="CZ112">
        <v>0</v>
      </c>
      <c r="DA112">
        <v>7.29</v>
      </c>
      <c r="DB112">
        <v>0.78</v>
      </c>
      <c r="DC112">
        <v>0.72</v>
      </c>
      <c r="DD112">
        <v>23.97</v>
      </c>
      <c r="DE112" t="s">
        <v>941</v>
      </c>
      <c r="DF112">
        <v>33.72</v>
      </c>
      <c r="DG112">
        <v>9.07</v>
      </c>
      <c r="DH112">
        <v>7</v>
      </c>
      <c r="DI112">
        <v>0.23</v>
      </c>
      <c r="DJ112">
        <v>11442</v>
      </c>
      <c r="DK112">
        <v>526</v>
      </c>
      <c r="DL112" t="s">
        <v>120</v>
      </c>
      <c r="DM112" t="s">
        <v>120</v>
      </c>
      <c r="DN112" t="s">
        <v>120</v>
      </c>
    </row>
    <row r="113" spans="1:118">
      <c r="A113" t="str">
        <f>"000528"</f>
        <v>000528</v>
      </c>
      <c r="B113" t="s">
        <v>942</v>
      </c>
      <c r="C113">
        <v>-0.24</v>
      </c>
      <c r="D113">
        <v>0.71</v>
      </c>
      <c r="E113">
        <v>-0.12</v>
      </c>
      <c r="F113">
        <v>5330</v>
      </c>
      <c r="G113" t="s">
        <v>943</v>
      </c>
      <c r="H113">
        <v>24990.85</v>
      </c>
      <c r="I113">
        <v>36.72</v>
      </c>
      <c r="J113" t="s">
        <v>120</v>
      </c>
      <c r="K113" t="s">
        <v>944</v>
      </c>
      <c r="L113">
        <v>2.0099999999999998</v>
      </c>
      <c r="M113">
        <v>8.4700000000000006</v>
      </c>
      <c r="N113">
        <v>0.98</v>
      </c>
      <c r="O113">
        <v>1.88</v>
      </c>
      <c r="P113">
        <v>8.65</v>
      </c>
      <c r="Q113">
        <v>-2.36</v>
      </c>
      <c r="R113">
        <v>8.2899999999999991</v>
      </c>
      <c r="S113">
        <v>8.48</v>
      </c>
      <c r="T113">
        <v>295269</v>
      </c>
      <c r="U113">
        <v>8.4700000000000006</v>
      </c>
      <c r="V113">
        <v>8.49</v>
      </c>
      <c r="W113">
        <v>8.2100000000000009</v>
      </c>
      <c r="X113" t="s">
        <v>593</v>
      </c>
      <c r="Y113" t="s">
        <v>945</v>
      </c>
      <c r="Z113">
        <v>4.24</v>
      </c>
      <c r="AA113">
        <v>8.4600000000000009</v>
      </c>
      <c r="AB113">
        <v>163832</v>
      </c>
      <c r="AC113">
        <v>131437</v>
      </c>
      <c r="AD113">
        <v>1.25</v>
      </c>
      <c r="AE113">
        <v>5</v>
      </c>
      <c r="AF113">
        <v>2463</v>
      </c>
      <c r="AG113" t="s">
        <v>120</v>
      </c>
      <c r="AH113">
        <v>0</v>
      </c>
      <c r="AI113" t="s">
        <v>120</v>
      </c>
      <c r="AJ113">
        <v>14.67</v>
      </c>
      <c r="AK113" t="s">
        <v>946</v>
      </c>
      <c r="AL113">
        <v>1.68</v>
      </c>
      <c r="AM113">
        <v>3192</v>
      </c>
      <c r="AN113">
        <v>93</v>
      </c>
      <c r="AO113">
        <v>5.9999999999999995E-4</v>
      </c>
      <c r="AP113">
        <v>-1</v>
      </c>
      <c r="AQ113">
        <v>0.35</v>
      </c>
      <c r="AR113">
        <v>-3.2</v>
      </c>
      <c r="AS113">
        <v>5.35</v>
      </c>
      <c r="AT113">
        <v>4.4400000000000004</v>
      </c>
      <c r="AU113">
        <v>19.64</v>
      </c>
      <c r="AV113">
        <v>2</v>
      </c>
      <c r="AW113">
        <v>3.09</v>
      </c>
      <c r="AX113">
        <v>64.790000000000006</v>
      </c>
      <c r="AY113">
        <v>8.86</v>
      </c>
      <c r="AZ113">
        <v>9.41</v>
      </c>
      <c r="BA113">
        <v>0.63</v>
      </c>
      <c r="BB113" t="s">
        <v>143</v>
      </c>
      <c r="BF113">
        <v>-0.31</v>
      </c>
      <c r="BG113">
        <v>-0.12</v>
      </c>
      <c r="BH113">
        <v>-2.08</v>
      </c>
      <c r="BI113">
        <v>2.17</v>
      </c>
      <c r="BJ113">
        <v>20210831</v>
      </c>
      <c r="BK113">
        <v>19931118</v>
      </c>
      <c r="BL113">
        <v>14.75</v>
      </c>
      <c r="BM113" t="s">
        <v>120</v>
      </c>
      <c r="BN113" t="s">
        <v>120</v>
      </c>
      <c r="BO113">
        <v>351.08</v>
      </c>
      <c r="BP113">
        <v>8.4499999999999993</v>
      </c>
      <c r="BQ113">
        <v>118.33</v>
      </c>
      <c r="BR113">
        <v>4.33</v>
      </c>
      <c r="BS113">
        <v>65.06</v>
      </c>
      <c r="BT113">
        <v>246.27</v>
      </c>
      <c r="BU113">
        <v>31.06</v>
      </c>
      <c r="BV113">
        <v>9.61</v>
      </c>
      <c r="BW113">
        <v>194.49</v>
      </c>
      <c r="BX113">
        <v>58.58</v>
      </c>
      <c r="BY113">
        <v>60.8</v>
      </c>
      <c r="BZ113">
        <v>62.54</v>
      </c>
      <c r="CA113">
        <v>0.75</v>
      </c>
      <c r="CB113">
        <v>31.45</v>
      </c>
      <c r="CC113">
        <v>147.88</v>
      </c>
      <c r="CD113">
        <v>122.69</v>
      </c>
      <c r="CE113">
        <v>9.26</v>
      </c>
      <c r="CF113">
        <v>1.33</v>
      </c>
      <c r="CG113">
        <v>9.3000000000000007</v>
      </c>
      <c r="CH113">
        <v>7.5</v>
      </c>
      <c r="CI113">
        <v>7.61</v>
      </c>
      <c r="CJ113">
        <v>-0.02</v>
      </c>
      <c r="CK113">
        <v>6.95</v>
      </c>
      <c r="CL113">
        <v>63.48</v>
      </c>
      <c r="CM113">
        <v>7.69</v>
      </c>
      <c r="CN113">
        <v>-5.21</v>
      </c>
      <c r="CO113">
        <v>95901</v>
      </c>
      <c r="CP113">
        <v>9966</v>
      </c>
      <c r="CQ113" t="s">
        <v>947</v>
      </c>
      <c r="CR113">
        <v>12.21</v>
      </c>
      <c r="CS113">
        <v>28.04</v>
      </c>
      <c r="CT113">
        <v>1.06</v>
      </c>
      <c r="CU113">
        <v>16.260000000000002</v>
      </c>
      <c r="CV113">
        <v>0.84</v>
      </c>
      <c r="CW113">
        <v>3.3</v>
      </c>
      <c r="CX113" t="s">
        <v>948</v>
      </c>
      <c r="CY113">
        <v>8.02</v>
      </c>
      <c r="CZ113">
        <v>0</v>
      </c>
      <c r="DA113">
        <v>2.13</v>
      </c>
      <c r="DB113">
        <v>4.3</v>
      </c>
      <c r="DC113">
        <v>0.52</v>
      </c>
      <c r="DD113">
        <v>33.700000000000003</v>
      </c>
      <c r="DE113" t="s">
        <v>949</v>
      </c>
      <c r="DF113">
        <v>17.04</v>
      </c>
      <c r="DG113">
        <v>6.26</v>
      </c>
      <c r="DH113">
        <v>5.15</v>
      </c>
      <c r="DI113">
        <v>2.35</v>
      </c>
      <c r="DJ113">
        <v>13152</v>
      </c>
      <c r="DK113">
        <v>528</v>
      </c>
      <c r="DL113" t="s">
        <v>120</v>
      </c>
      <c r="DM113" t="s">
        <v>120</v>
      </c>
      <c r="DN113" t="s">
        <v>120</v>
      </c>
    </row>
    <row r="114" spans="1:118">
      <c r="A114" t="str">
        <f>"000529"</f>
        <v>000529</v>
      </c>
      <c r="B114" t="s">
        <v>950</v>
      </c>
      <c r="C114">
        <v>4.09</v>
      </c>
      <c r="D114">
        <v>0</v>
      </c>
      <c r="E114">
        <v>0</v>
      </c>
      <c r="F114">
        <v>2772</v>
      </c>
      <c r="G114" t="s">
        <v>951</v>
      </c>
      <c r="H114">
        <v>5914.6</v>
      </c>
      <c r="I114">
        <v>7.09</v>
      </c>
      <c r="J114" t="s">
        <v>120</v>
      </c>
      <c r="K114" t="s">
        <v>952</v>
      </c>
      <c r="L114">
        <v>1.79</v>
      </c>
      <c r="M114">
        <v>5.86</v>
      </c>
      <c r="N114">
        <v>2.13</v>
      </c>
      <c r="O114">
        <v>4.62</v>
      </c>
      <c r="P114">
        <v>5.89</v>
      </c>
      <c r="Q114">
        <v>-0.36</v>
      </c>
      <c r="R114">
        <v>5.61</v>
      </c>
      <c r="S114">
        <v>5.63</v>
      </c>
      <c r="T114">
        <v>102264</v>
      </c>
      <c r="U114">
        <v>5.86</v>
      </c>
      <c r="V114">
        <v>5.63</v>
      </c>
      <c r="W114">
        <v>10.119999999999999</v>
      </c>
      <c r="X114" t="s">
        <v>847</v>
      </c>
      <c r="Y114" t="s">
        <v>547</v>
      </c>
      <c r="Z114">
        <v>4.97</v>
      </c>
      <c r="AA114">
        <v>5.78</v>
      </c>
      <c r="AB114">
        <v>41685</v>
      </c>
      <c r="AC114">
        <v>60579</v>
      </c>
      <c r="AD114">
        <v>0.69</v>
      </c>
      <c r="AE114">
        <v>302</v>
      </c>
      <c r="AF114">
        <v>1316</v>
      </c>
      <c r="AG114" t="s">
        <v>120</v>
      </c>
      <c r="AH114">
        <v>0</v>
      </c>
      <c r="AI114" t="s">
        <v>120</v>
      </c>
      <c r="AJ114">
        <v>5.7</v>
      </c>
      <c r="AK114" t="s">
        <v>953</v>
      </c>
      <c r="AL114">
        <v>6</v>
      </c>
      <c r="AM114">
        <v>2296</v>
      </c>
      <c r="AN114">
        <v>45</v>
      </c>
      <c r="AO114">
        <v>8.0000000000000004E-4</v>
      </c>
      <c r="AP114">
        <v>2</v>
      </c>
      <c r="AQ114">
        <v>0.54</v>
      </c>
      <c r="AR114">
        <v>1.92</v>
      </c>
      <c r="AS114">
        <v>15.36</v>
      </c>
      <c r="AT114">
        <v>9.5299999999999994</v>
      </c>
      <c r="AU114">
        <v>-12.14</v>
      </c>
      <c r="AV114">
        <v>1</v>
      </c>
      <c r="AW114">
        <v>4.04</v>
      </c>
      <c r="AX114">
        <v>43.41</v>
      </c>
      <c r="AY114">
        <v>10.45</v>
      </c>
      <c r="AZ114">
        <v>10.89</v>
      </c>
      <c r="BA114">
        <v>0.72</v>
      </c>
      <c r="BB114" t="s">
        <v>240</v>
      </c>
      <c r="BF114">
        <v>2.73</v>
      </c>
      <c r="BG114">
        <v>4.09</v>
      </c>
      <c r="BH114">
        <v>-0.51</v>
      </c>
      <c r="BI114">
        <v>4.46</v>
      </c>
      <c r="BJ114">
        <v>20210824</v>
      </c>
      <c r="BK114">
        <v>19931118</v>
      </c>
      <c r="BL114">
        <v>5.84</v>
      </c>
      <c r="BM114" t="s">
        <v>120</v>
      </c>
      <c r="BN114" t="s">
        <v>120</v>
      </c>
      <c r="BO114">
        <v>42.09</v>
      </c>
      <c r="BP114">
        <v>5.85</v>
      </c>
      <c r="BQ114">
        <v>20.45</v>
      </c>
      <c r="BR114">
        <v>0.79</v>
      </c>
      <c r="BS114">
        <v>49.54</v>
      </c>
      <c r="BT114">
        <v>34.200000000000003</v>
      </c>
      <c r="BU114">
        <v>1.6</v>
      </c>
      <c r="BV114">
        <v>1.02</v>
      </c>
      <c r="BW114">
        <v>15.06</v>
      </c>
      <c r="BX114">
        <v>26.04</v>
      </c>
      <c r="BY114">
        <v>4.5999999999999996</v>
      </c>
      <c r="BZ114">
        <v>2.37</v>
      </c>
      <c r="CA114">
        <v>0.43</v>
      </c>
      <c r="CB114">
        <v>5.71</v>
      </c>
      <c r="CC114">
        <v>16.38</v>
      </c>
      <c r="CD114">
        <v>12.61</v>
      </c>
      <c r="CE114">
        <v>2.46</v>
      </c>
      <c r="CF114">
        <v>-0.01</v>
      </c>
      <c r="CG114">
        <v>2.4700000000000002</v>
      </c>
      <c r="CH114">
        <v>1.98</v>
      </c>
      <c r="CI114">
        <v>1.69</v>
      </c>
      <c r="CJ114">
        <v>0.23</v>
      </c>
      <c r="CK114">
        <v>1.67</v>
      </c>
      <c r="CL114">
        <v>7.53</v>
      </c>
      <c r="CM114">
        <v>-0.36</v>
      </c>
      <c r="CN114">
        <v>3.38</v>
      </c>
      <c r="CO114">
        <v>38390</v>
      </c>
      <c r="CP114">
        <v>6602</v>
      </c>
      <c r="CQ114" t="s">
        <v>954</v>
      </c>
      <c r="CR114">
        <v>8.15</v>
      </c>
      <c r="CS114">
        <v>7.28</v>
      </c>
      <c r="CT114">
        <v>1.67</v>
      </c>
      <c r="CU114">
        <v>-94.79</v>
      </c>
      <c r="CV114">
        <v>2.09</v>
      </c>
      <c r="CW114">
        <v>1.95</v>
      </c>
      <c r="CX114" t="s">
        <v>293</v>
      </c>
      <c r="CY114">
        <v>3.5</v>
      </c>
      <c r="CZ114">
        <v>0</v>
      </c>
      <c r="DA114">
        <v>0.98</v>
      </c>
      <c r="DB114">
        <v>1.29</v>
      </c>
      <c r="DC114">
        <v>-0.06</v>
      </c>
      <c r="DD114">
        <v>48.58</v>
      </c>
      <c r="DE114" t="s">
        <v>955</v>
      </c>
      <c r="DF114">
        <v>23.04</v>
      </c>
      <c r="DG114">
        <v>15</v>
      </c>
      <c r="DH114">
        <v>10.32</v>
      </c>
      <c r="DI114">
        <v>0.05</v>
      </c>
      <c r="DJ114">
        <v>1743</v>
      </c>
      <c r="DK114">
        <v>529</v>
      </c>
      <c r="DL114">
        <v>20210826</v>
      </c>
      <c r="DM114">
        <v>5.45</v>
      </c>
      <c r="DN114">
        <v>7.52</v>
      </c>
    </row>
    <row r="115" spans="1:118">
      <c r="A115" t="str">
        <f>"000530"</f>
        <v>000530</v>
      </c>
      <c r="B115" t="s">
        <v>956</v>
      </c>
      <c r="C115">
        <v>-1.5</v>
      </c>
      <c r="D115">
        <v>-0.24</v>
      </c>
      <c r="E115">
        <v>0</v>
      </c>
      <c r="F115">
        <v>720</v>
      </c>
      <c r="G115" t="s">
        <v>957</v>
      </c>
      <c r="H115">
        <v>3774.8</v>
      </c>
      <c r="I115">
        <v>7.6</v>
      </c>
      <c r="J115" t="s">
        <v>120</v>
      </c>
      <c r="K115" t="s">
        <v>958</v>
      </c>
      <c r="L115">
        <v>1.58</v>
      </c>
      <c r="M115">
        <v>3.95</v>
      </c>
      <c r="N115">
        <v>1.23</v>
      </c>
      <c r="O115">
        <v>1.25</v>
      </c>
      <c r="P115">
        <v>4.0599999999999996</v>
      </c>
      <c r="Q115">
        <v>-1.75</v>
      </c>
      <c r="R115">
        <v>3.94</v>
      </c>
      <c r="S115">
        <v>4.01</v>
      </c>
      <c r="T115">
        <v>94387</v>
      </c>
      <c r="U115">
        <v>3.96</v>
      </c>
      <c r="V115">
        <v>4.01</v>
      </c>
      <c r="W115" t="s">
        <v>120</v>
      </c>
      <c r="X115" t="s">
        <v>959</v>
      </c>
      <c r="Y115" t="s">
        <v>432</v>
      </c>
      <c r="Z115">
        <v>2.99</v>
      </c>
      <c r="AA115">
        <v>4</v>
      </c>
      <c r="AB115">
        <v>55419</v>
      </c>
      <c r="AC115">
        <v>38968</v>
      </c>
      <c r="AD115">
        <v>1.42</v>
      </c>
      <c r="AE115">
        <v>372</v>
      </c>
      <c r="AF115">
        <v>1322</v>
      </c>
      <c r="AG115" t="s">
        <v>120</v>
      </c>
      <c r="AH115">
        <v>0</v>
      </c>
      <c r="AI115" t="s">
        <v>120</v>
      </c>
      <c r="AJ115">
        <v>5.99</v>
      </c>
      <c r="AK115" t="s">
        <v>960</v>
      </c>
      <c r="AL115">
        <v>0.42</v>
      </c>
      <c r="AM115">
        <v>1624</v>
      </c>
      <c r="AN115">
        <v>58</v>
      </c>
      <c r="AO115">
        <v>1E-3</v>
      </c>
      <c r="AP115">
        <v>-1</v>
      </c>
      <c r="AQ115">
        <v>2.04</v>
      </c>
      <c r="AR115">
        <v>0.51</v>
      </c>
      <c r="AS115">
        <v>7.04</v>
      </c>
      <c r="AT115">
        <v>0.77</v>
      </c>
      <c r="AU115">
        <v>-18.559999999999999</v>
      </c>
      <c r="AV115">
        <v>3</v>
      </c>
      <c r="AW115">
        <v>2.21</v>
      </c>
      <c r="AX115">
        <v>50.71</v>
      </c>
      <c r="AY115">
        <v>111.37</v>
      </c>
      <c r="AZ115">
        <v>158.44</v>
      </c>
      <c r="BA115">
        <v>0.5</v>
      </c>
      <c r="BB115" t="s">
        <v>168</v>
      </c>
      <c r="BF115">
        <v>-0.27</v>
      </c>
      <c r="BG115">
        <v>-1.5</v>
      </c>
      <c r="BH115">
        <v>-2.71</v>
      </c>
      <c r="BI115">
        <v>0.25</v>
      </c>
      <c r="BJ115">
        <v>20210913</v>
      </c>
      <c r="BK115">
        <v>19931208</v>
      </c>
      <c r="BL115">
        <v>8.43</v>
      </c>
      <c r="BM115">
        <v>2.42</v>
      </c>
      <c r="BN115" t="s">
        <v>120</v>
      </c>
      <c r="BO115">
        <v>58.78</v>
      </c>
      <c r="BP115">
        <v>3.95</v>
      </c>
      <c r="BQ115">
        <v>33.36</v>
      </c>
      <c r="BR115">
        <v>0.71</v>
      </c>
      <c r="BS115">
        <v>42.02</v>
      </c>
      <c r="BT115">
        <v>27.22</v>
      </c>
      <c r="BU115">
        <v>8.43</v>
      </c>
      <c r="BV115">
        <v>1.44</v>
      </c>
      <c r="BW115">
        <v>21.66</v>
      </c>
      <c r="BX115">
        <v>3.13</v>
      </c>
      <c r="BY115">
        <v>8.58</v>
      </c>
      <c r="BZ115">
        <v>8.8000000000000007</v>
      </c>
      <c r="CA115" t="s">
        <v>120</v>
      </c>
      <c r="CB115">
        <v>7.11</v>
      </c>
      <c r="CC115">
        <v>10.94</v>
      </c>
      <c r="CD115">
        <v>9.5</v>
      </c>
      <c r="CE115">
        <v>-0.16</v>
      </c>
      <c r="CF115">
        <v>0.28000000000000003</v>
      </c>
      <c r="CG115">
        <v>-0.14000000000000001</v>
      </c>
      <c r="CH115">
        <v>-0.17</v>
      </c>
      <c r="CI115">
        <v>-0.15</v>
      </c>
      <c r="CJ115">
        <v>-0.06</v>
      </c>
      <c r="CK115">
        <v>-0.12</v>
      </c>
      <c r="CL115">
        <v>9.6199999999999992</v>
      </c>
      <c r="CM115">
        <v>-0.28999999999999998</v>
      </c>
      <c r="CN115">
        <v>-0.61</v>
      </c>
      <c r="CO115">
        <v>40685</v>
      </c>
      <c r="CP115">
        <v>16446</v>
      </c>
      <c r="CQ115" t="s">
        <v>961</v>
      </c>
      <c r="CR115">
        <v>38.21</v>
      </c>
      <c r="CS115">
        <v>25.29</v>
      </c>
      <c r="CT115">
        <v>1</v>
      </c>
      <c r="CU115">
        <v>-115.3</v>
      </c>
      <c r="CV115">
        <v>3.04</v>
      </c>
      <c r="CW115">
        <v>0.25</v>
      </c>
      <c r="CX115" t="s">
        <v>419</v>
      </c>
      <c r="CY115">
        <v>3.96</v>
      </c>
      <c r="CZ115">
        <v>0</v>
      </c>
      <c r="DA115">
        <v>0.84</v>
      </c>
      <c r="DB115">
        <v>1.1399999999999999</v>
      </c>
      <c r="DC115">
        <v>-0.03</v>
      </c>
      <c r="DD115">
        <v>56.76</v>
      </c>
      <c r="DE115" t="s">
        <v>962</v>
      </c>
      <c r="DF115">
        <v>13.15</v>
      </c>
      <c r="DG115">
        <v>-1.44</v>
      </c>
      <c r="DH115">
        <v>-1.33</v>
      </c>
      <c r="DI115">
        <v>0.31</v>
      </c>
      <c r="DJ115">
        <v>2487</v>
      </c>
      <c r="DK115">
        <v>530</v>
      </c>
      <c r="DL115" t="s">
        <v>120</v>
      </c>
      <c r="DM115" t="s">
        <v>120</v>
      </c>
      <c r="DN115" t="s">
        <v>120</v>
      </c>
    </row>
    <row r="116" spans="1:118">
      <c r="A116" t="str">
        <f>"000531"</f>
        <v>000531</v>
      </c>
      <c r="B116" t="s">
        <v>963</v>
      </c>
      <c r="C116">
        <v>-1.21</v>
      </c>
      <c r="D116">
        <v>0</v>
      </c>
      <c r="E116">
        <v>-0.12</v>
      </c>
      <c r="F116">
        <v>253</v>
      </c>
      <c r="G116" t="s">
        <v>181</v>
      </c>
      <c r="H116">
        <v>3540.22</v>
      </c>
      <c r="I116">
        <v>3.63</v>
      </c>
      <c r="J116" t="s">
        <v>120</v>
      </c>
      <c r="K116" t="s">
        <v>964</v>
      </c>
      <c r="L116">
        <v>0.63</v>
      </c>
      <c r="M116">
        <v>8.16</v>
      </c>
      <c r="N116">
        <v>0.62</v>
      </c>
      <c r="O116">
        <v>1.45</v>
      </c>
      <c r="P116">
        <v>8.3800000000000008</v>
      </c>
      <c r="Q116">
        <v>-1.57</v>
      </c>
      <c r="R116">
        <v>8.1300000000000008</v>
      </c>
      <c r="S116">
        <v>8.25</v>
      </c>
      <c r="T116">
        <v>42943</v>
      </c>
      <c r="U116">
        <v>8.16</v>
      </c>
      <c r="V116">
        <v>8.26</v>
      </c>
      <c r="W116">
        <v>12.75</v>
      </c>
      <c r="X116" t="s">
        <v>268</v>
      </c>
      <c r="Y116" t="s">
        <v>547</v>
      </c>
      <c r="Z116">
        <v>3.03</v>
      </c>
      <c r="AA116">
        <v>8.24</v>
      </c>
      <c r="AB116">
        <v>26295</v>
      </c>
      <c r="AC116">
        <v>16648</v>
      </c>
      <c r="AD116">
        <v>1.58</v>
      </c>
      <c r="AE116">
        <v>162</v>
      </c>
      <c r="AF116">
        <v>37</v>
      </c>
      <c r="AG116" t="s">
        <v>120</v>
      </c>
      <c r="AH116">
        <v>0</v>
      </c>
      <c r="AI116" t="s">
        <v>120</v>
      </c>
      <c r="AJ116">
        <v>6.85</v>
      </c>
      <c r="AK116" t="s">
        <v>964</v>
      </c>
      <c r="AL116">
        <v>0.7</v>
      </c>
      <c r="AM116">
        <v>1388</v>
      </c>
      <c r="AN116">
        <v>31</v>
      </c>
      <c r="AO116">
        <v>5.0000000000000001E-4</v>
      </c>
      <c r="AP116">
        <v>-1</v>
      </c>
      <c r="AQ116">
        <v>1.6</v>
      </c>
      <c r="AR116">
        <v>-2.97</v>
      </c>
      <c r="AS116">
        <v>2.39</v>
      </c>
      <c r="AT116">
        <v>0.37</v>
      </c>
      <c r="AU116">
        <v>-12.73</v>
      </c>
      <c r="AV116">
        <v>2</v>
      </c>
      <c r="AW116">
        <v>1.49</v>
      </c>
      <c r="AX116">
        <v>42.06</v>
      </c>
      <c r="AY116">
        <v>14.69</v>
      </c>
      <c r="AZ116">
        <v>7.26</v>
      </c>
      <c r="BA116">
        <v>0.36</v>
      </c>
      <c r="BB116" t="s">
        <v>240</v>
      </c>
      <c r="BF116">
        <v>-0.19</v>
      </c>
      <c r="BG116">
        <v>-1.0900000000000001</v>
      </c>
      <c r="BH116">
        <v>-2.63</v>
      </c>
      <c r="BI116">
        <v>0.37</v>
      </c>
      <c r="BJ116">
        <v>20210828</v>
      </c>
      <c r="BK116">
        <v>19940106</v>
      </c>
      <c r="BL116">
        <v>6.85</v>
      </c>
      <c r="BM116" t="s">
        <v>120</v>
      </c>
      <c r="BN116" t="s">
        <v>120</v>
      </c>
      <c r="BO116">
        <v>132.66999999999999</v>
      </c>
      <c r="BP116">
        <v>8.15</v>
      </c>
      <c r="BQ116">
        <v>51.16</v>
      </c>
      <c r="BR116">
        <v>7.31</v>
      </c>
      <c r="BS116">
        <v>55.93</v>
      </c>
      <c r="BT116">
        <v>36.32</v>
      </c>
      <c r="BU116">
        <v>24.7</v>
      </c>
      <c r="BV116">
        <v>2.98</v>
      </c>
      <c r="BW116">
        <v>50.67</v>
      </c>
      <c r="BX116">
        <v>21.06</v>
      </c>
      <c r="BY116">
        <v>8.16</v>
      </c>
      <c r="BZ116">
        <v>3.71</v>
      </c>
      <c r="CA116" t="s">
        <v>120</v>
      </c>
      <c r="CB116">
        <v>11.5</v>
      </c>
      <c r="CC116">
        <v>19.66</v>
      </c>
      <c r="CD116">
        <v>16.170000000000002</v>
      </c>
      <c r="CE116">
        <v>2.71</v>
      </c>
      <c r="CF116">
        <v>1.58</v>
      </c>
      <c r="CG116">
        <v>2.74</v>
      </c>
      <c r="CH116">
        <v>2.46</v>
      </c>
      <c r="CI116">
        <v>2.19</v>
      </c>
      <c r="CJ116">
        <v>-0.1</v>
      </c>
      <c r="CK116">
        <v>2.0299999999999998</v>
      </c>
      <c r="CL116">
        <v>28.03</v>
      </c>
      <c r="CM116">
        <v>-0.39</v>
      </c>
      <c r="CN116">
        <v>-7.97</v>
      </c>
      <c r="CO116">
        <v>31732</v>
      </c>
      <c r="CP116">
        <v>9081</v>
      </c>
      <c r="CQ116" t="s">
        <v>965</v>
      </c>
      <c r="CR116">
        <v>-64.28</v>
      </c>
      <c r="CS116">
        <v>20.37</v>
      </c>
      <c r="CT116">
        <v>1.0900000000000001</v>
      </c>
      <c r="CU116">
        <v>-141.55000000000001</v>
      </c>
      <c r="CV116">
        <v>2.84</v>
      </c>
      <c r="CW116">
        <v>3.03</v>
      </c>
      <c r="CX116" t="s">
        <v>966</v>
      </c>
      <c r="CY116">
        <v>7.47</v>
      </c>
      <c r="CZ116">
        <v>0</v>
      </c>
      <c r="DA116">
        <v>1.68</v>
      </c>
      <c r="DB116">
        <v>4.09</v>
      </c>
      <c r="DC116">
        <v>-0.06</v>
      </c>
      <c r="DD116">
        <v>38.56</v>
      </c>
      <c r="DE116" t="s">
        <v>967</v>
      </c>
      <c r="DF116">
        <v>17.79</v>
      </c>
      <c r="DG116">
        <v>13.78</v>
      </c>
      <c r="DH116">
        <v>11.15</v>
      </c>
      <c r="DI116">
        <v>0.1</v>
      </c>
      <c r="DJ116">
        <v>1241</v>
      </c>
      <c r="DK116">
        <v>531</v>
      </c>
      <c r="DL116" t="s">
        <v>120</v>
      </c>
      <c r="DM116" t="s">
        <v>120</v>
      </c>
      <c r="DN116" t="s">
        <v>120</v>
      </c>
    </row>
    <row r="117" spans="1:118">
      <c r="A117" t="str">
        <f>"000532"</f>
        <v>000532</v>
      </c>
      <c r="B117" t="s">
        <v>968</v>
      </c>
      <c r="C117">
        <v>-0.5</v>
      </c>
      <c r="D117">
        <v>0</v>
      </c>
      <c r="E117">
        <v>0.86</v>
      </c>
      <c r="F117">
        <v>1343</v>
      </c>
      <c r="G117" t="s">
        <v>969</v>
      </c>
      <c r="H117">
        <v>12708.54</v>
      </c>
      <c r="I117">
        <v>93.58</v>
      </c>
      <c r="J117" t="s">
        <v>120</v>
      </c>
      <c r="K117" t="s">
        <v>970</v>
      </c>
      <c r="L117">
        <v>2.62</v>
      </c>
      <c r="M117">
        <v>13.84</v>
      </c>
      <c r="N117">
        <v>0.79</v>
      </c>
      <c r="O117">
        <v>3.09</v>
      </c>
      <c r="P117">
        <v>14.34</v>
      </c>
      <c r="Q117">
        <v>-0.57999999999999996</v>
      </c>
      <c r="R117">
        <v>13.83</v>
      </c>
      <c r="S117">
        <v>14.03</v>
      </c>
      <c r="T117">
        <v>90123</v>
      </c>
      <c r="U117">
        <v>13.85</v>
      </c>
      <c r="V117">
        <v>13.91</v>
      </c>
      <c r="W117">
        <v>81.22</v>
      </c>
      <c r="X117" t="s">
        <v>721</v>
      </c>
      <c r="Y117" t="s">
        <v>547</v>
      </c>
      <c r="Z117">
        <v>3.67</v>
      </c>
      <c r="AA117">
        <v>14.1</v>
      </c>
      <c r="AB117">
        <v>50059</v>
      </c>
      <c r="AC117">
        <v>40064</v>
      </c>
      <c r="AD117">
        <v>1.25</v>
      </c>
      <c r="AE117">
        <v>364</v>
      </c>
      <c r="AF117">
        <v>57</v>
      </c>
      <c r="AG117" t="s">
        <v>120</v>
      </c>
      <c r="AH117">
        <v>0.04</v>
      </c>
      <c r="AI117" t="s">
        <v>120</v>
      </c>
      <c r="AJ117">
        <v>3.44</v>
      </c>
      <c r="AK117" t="s">
        <v>971</v>
      </c>
      <c r="AL117">
        <v>1.41</v>
      </c>
      <c r="AM117">
        <v>2503</v>
      </c>
      <c r="AN117">
        <v>36</v>
      </c>
      <c r="AO117">
        <v>1E-3</v>
      </c>
      <c r="AP117">
        <v>-1</v>
      </c>
      <c r="AQ117">
        <v>3.04</v>
      </c>
      <c r="AR117">
        <v>1.39</v>
      </c>
      <c r="AS117">
        <v>-12.46</v>
      </c>
      <c r="AT117">
        <v>4.21</v>
      </c>
      <c r="AU117">
        <v>18.7</v>
      </c>
      <c r="AV117">
        <v>4</v>
      </c>
      <c r="AW117">
        <v>5.18</v>
      </c>
      <c r="AX117">
        <v>50.48</v>
      </c>
      <c r="AY117">
        <v>28.03</v>
      </c>
      <c r="AZ117">
        <v>29.42</v>
      </c>
      <c r="BA117">
        <v>0.65</v>
      </c>
      <c r="BB117" t="s">
        <v>143</v>
      </c>
      <c r="BF117">
        <v>1.38</v>
      </c>
      <c r="BG117">
        <v>-1.35</v>
      </c>
      <c r="BH117">
        <v>-3.49</v>
      </c>
      <c r="BI117">
        <v>7.0000000000000007E-2</v>
      </c>
      <c r="BJ117">
        <v>20210827</v>
      </c>
      <c r="BK117">
        <v>19940103</v>
      </c>
      <c r="BL117">
        <v>3.45</v>
      </c>
      <c r="BM117" t="s">
        <v>120</v>
      </c>
      <c r="BN117" t="s">
        <v>120</v>
      </c>
      <c r="BO117">
        <v>24.89</v>
      </c>
      <c r="BP117">
        <v>13.84</v>
      </c>
      <c r="BQ117">
        <v>10.08</v>
      </c>
      <c r="BR117">
        <v>1.82</v>
      </c>
      <c r="BS117">
        <v>52.2</v>
      </c>
      <c r="BT117">
        <v>7.53</v>
      </c>
      <c r="BU117">
        <v>0.88</v>
      </c>
      <c r="BV117">
        <v>2.34</v>
      </c>
      <c r="BW117">
        <v>10.25</v>
      </c>
      <c r="BX117">
        <v>3.61</v>
      </c>
      <c r="BY117">
        <v>1.81</v>
      </c>
      <c r="BZ117">
        <v>1.25</v>
      </c>
      <c r="CA117" t="s">
        <v>120</v>
      </c>
      <c r="CB117">
        <v>0.26</v>
      </c>
      <c r="CC117">
        <v>2.38</v>
      </c>
      <c r="CD117">
        <v>1.47</v>
      </c>
      <c r="CE117">
        <v>0.39</v>
      </c>
      <c r="CF117">
        <v>0.18</v>
      </c>
      <c r="CG117">
        <v>0.39</v>
      </c>
      <c r="CH117">
        <v>0.32</v>
      </c>
      <c r="CI117">
        <v>0.28999999999999998</v>
      </c>
      <c r="CJ117">
        <v>-7.0000000000000007E-2</v>
      </c>
      <c r="CK117">
        <v>0.28000000000000003</v>
      </c>
      <c r="CL117">
        <v>5.67</v>
      </c>
      <c r="CM117">
        <v>0.94</v>
      </c>
      <c r="CN117">
        <v>-0.82</v>
      </c>
      <c r="CO117">
        <v>30771</v>
      </c>
      <c r="CP117">
        <v>5655</v>
      </c>
      <c r="CQ117" t="s">
        <v>972</v>
      </c>
      <c r="CR117">
        <v>38.17</v>
      </c>
      <c r="CS117">
        <v>16.190000000000001</v>
      </c>
      <c r="CT117">
        <v>4.7300000000000004</v>
      </c>
      <c r="CU117">
        <v>51.01</v>
      </c>
      <c r="CV117">
        <v>20.079999999999998</v>
      </c>
      <c r="CW117">
        <v>0.43</v>
      </c>
      <c r="CX117" t="s">
        <v>973</v>
      </c>
      <c r="CY117">
        <v>2.92</v>
      </c>
      <c r="CZ117">
        <v>0</v>
      </c>
      <c r="DA117">
        <v>7.0000000000000007E-2</v>
      </c>
      <c r="DB117">
        <v>1.65</v>
      </c>
      <c r="DC117">
        <v>0.27</v>
      </c>
      <c r="DD117">
        <v>40.5</v>
      </c>
      <c r="DE117" t="s">
        <v>323</v>
      </c>
      <c r="DF117">
        <v>38.299999999999997</v>
      </c>
      <c r="DG117">
        <v>16.399999999999999</v>
      </c>
      <c r="DH117">
        <v>12.36</v>
      </c>
      <c r="DI117">
        <v>0.18</v>
      </c>
      <c r="DJ117">
        <v>648</v>
      </c>
      <c r="DK117">
        <v>532</v>
      </c>
      <c r="DL117" t="s">
        <v>120</v>
      </c>
      <c r="DM117" t="s">
        <v>120</v>
      </c>
      <c r="DN117" t="s">
        <v>120</v>
      </c>
    </row>
    <row r="118" spans="1:118">
      <c r="A118" t="str">
        <f>"000533"</f>
        <v>000533</v>
      </c>
      <c r="B118" t="s">
        <v>974</v>
      </c>
      <c r="C118">
        <v>-2.02</v>
      </c>
      <c r="D118">
        <v>0.3</v>
      </c>
      <c r="E118">
        <v>0</v>
      </c>
      <c r="F118">
        <v>3732</v>
      </c>
      <c r="G118" t="s">
        <v>975</v>
      </c>
      <c r="H118">
        <v>6710.42</v>
      </c>
      <c r="I118">
        <v>100.28</v>
      </c>
      <c r="J118" t="s">
        <v>120</v>
      </c>
      <c r="K118" t="s">
        <v>976</v>
      </c>
      <c r="L118">
        <v>2.86</v>
      </c>
      <c r="M118">
        <v>3.4</v>
      </c>
      <c r="N118">
        <v>0.89</v>
      </c>
      <c r="O118">
        <v>0.86</v>
      </c>
      <c r="P118">
        <v>3.5</v>
      </c>
      <c r="Q118">
        <v>-2.59</v>
      </c>
      <c r="R118">
        <v>3.38</v>
      </c>
      <c r="S118">
        <v>3.47</v>
      </c>
      <c r="T118">
        <v>195927</v>
      </c>
      <c r="U118">
        <v>3.41</v>
      </c>
      <c r="V118">
        <v>3.47</v>
      </c>
      <c r="W118">
        <v>122.69</v>
      </c>
      <c r="X118" t="s">
        <v>394</v>
      </c>
      <c r="Y118" t="s">
        <v>547</v>
      </c>
      <c r="Z118">
        <v>3.46</v>
      </c>
      <c r="AA118">
        <v>3.42</v>
      </c>
      <c r="AB118">
        <v>110925</v>
      </c>
      <c r="AC118">
        <v>85002</v>
      </c>
      <c r="AD118">
        <v>1.3</v>
      </c>
      <c r="AE118">
        <v>1023</v>
      </c>
      <c r="AF118">
        <v>1173</v>
      </c>
      <c r="AG118" t="s">
        <v>120</v>
      </c>
      <c r="AH118">
        <v>7.0000000000000007E-2</v>
      </c>
      <c r="AI118" t="s">
        <v>120</v>
      </c>
      <c r="AJ118">
        <v>6.85</v>
      </c>
      <c r="AK118" t="s">
        <v>977</v>
      </c>
      <c r="AL118">
        <v>-0.1</v>
      </c>
      <c r="AM118">
        <v>2116</v>
      </c>
      <c r="AN118">
        <v>93</v>
      </c>
      <c r="AO118">
        <v>1.4E-3</v>
      </c>
      <c r="AP118">
        <v>-1</v>
      </c>
      <c r="AQ118">
        <v>6.44</v>
      </c>
      <c r="AR118">
        <v>-0.59</v>
      </c>
      <c r="AS118">
        <v>11.11</v>
      </c>
      <c r="AT118">
        <v>15.65</v>
      </c>
      <c r="AU118">
        <v>11.84</v>
      </c>
      <c r="AV118">
        <v>1</v>
      </c>
      <c r="AW118">
        <v>4.6900000000000004</v>
      </c>
      <c r="AX118">
        <v>60.44</v>
      </c>
      <c r="AY118">
        <v>29.48</v>
      </c>
      <c r="AZ118">
        <v>27.9</v>
      </c>
      <c r="BA118">
        <v>0.37</v>
      </c>
      <c r="BB118" t="s">
        <v>751</v>
      </c>
      <c r="BF118">
        <v>-1.3</v>
      </c>
      <c r="BG118">
        <v>-2.02</v>
      </c>
      <c r="BH118">
        <v>-2.86</v>
      </c>
      <c r="BI118">
        <v>0.59</v>
      </c>
      <c r="BJ118">
        <v>20210830</v>
      </c>
      <c r="BK118">
        <v>19940103</v>
      </c>
      <c r="BL118">
        <v>6.91</v>
      </c>
      <c r="BM118" t="s">
        <v>120</v>
      </c>
      <c r="BN118" t="s">
        <v>120</v>
      </c>
      <c r="BO118">
        <v>24.04</v>
      </c>
      <c r="BP118">
        <v>3.4</v>
      </c>
      <c r="BQ118">
        <v>7.06</v>
      </c>
      <c r="BR118">
        <v>2.39</v>
      </c>
      <c r="BS118">
        <v>60.69</v>
      </c>
      <c r="BT118">
        <v>18.61</v>
      </c>
      <c r="BU118">
        <v>1.89</v>
      </c>
      <c r="BV118">
        <v>2.4300000000000002</v>
      </c>
      <c r="BW118">
        <v>12.45</v>
      </c>
      <c r="BX118">
        <v>2.44</v>
      </c>
      <c r="BY118">
        <v>2.85</v>
      </c>
      <c r="BZ118">
        <v>9.89</v>
      </c>
      <c r="CA118">
        <v>0</v>
      </c>
      <c r="CB118">
        <v>0.41</v>
      </c>
      <c r="CC118">
        <v>6.74</v>
      </c>
      <c r="CD118">
        <v>5.27</v>
      </c>
      <c r="CE118">
        <v>0.2</v>
      </c>
      <c r="CF118">
        <v>0</v>
      </c>
      <c r="CG118">
        <v>0.18</v>
      </c>
      <c r="CH118">
        <v>0.11</v>
      </c>
      <c r="CI118">
        <v>0.1</v>
      </c>
      <c r="CJ118">
        <v>-7.0000000000000007E-2</v>
      </c>
      <c r="CK118">
        <v>0.08</v>
      </c>
      <c r="CL118">
        <v>-1.22</v>
      </c>
      <c r="CM118">
        <v>-0.75</v>
      </c>
      <c r="CN118">
        <v>-0.01</v>
      </c>
      <c r="CO118">
        <v>40836</v>
      </c>
      <c r="CP118">
        <v>10225</v>
      </c>
      <c r="CQ118" t="s">
        <v>978</v>
      </c>
      <c r="CR118">
        <v>-32.479999999999997</v>
      </c>
      <c r="CS118">
        <v>5.58</v>
      </c>
      <c r="CT118">
        <v>3.33</v>
      </c>
      <c r="CU118">
        <v>-31.23</v>
      </c>
      <c r="CV118">
        <v>3.48</v>
      </c>
      <c r="CW118">
        <v>0</v>
      </c>
      <c r="CX118" t="s">
        <v>979</v>
      </c>
      <c r="CY118">
        <v>1.02</v>
      </c>
      <c r="CZ118">
        <v>0</v>
      </c>
      <c r="DA118">
        <v>0.06</v>
      </c>
      <c r="DB118">
        <v>-0.18</v>
      </c>
      <c r="DC118">
        <v>-0.11</v>
      </c>
      <c r="DD118">
        <v>29.35</v>
      </c>
      <c r="DE118" t="s">
        <v>980</v>
      </c>
      <c r="DF118">
        <v>21.88</v>
      </c>
      <c r="DG118">
        <v>3.03</v>
      </c>
      <c r="DH118">
        <v>1.42</v>
      </c>
      <c r="DI118">
        <v>0.34</v>
      </c>
      <c r="DJ118">
        <v>1270</v>
      </c>
      <c r="DK118">
        <v>533</v>
      </c>
      <c r="DL118" t="s">
        <v>120</v>
      </c>
      <c r="DM118" t="s">
        <v>120</v>
      </c>
      <c r="DN118" t="s">
        <v>120</v>
      </c>
    </row>
    <row r="119" spans="1:118">
      <c r="A119" t="str">
        <f>"000534"</f>
        <v>000534</v>
      </c>
      <c r="B119" t="s">
        <v>981</v>
      </c>
      <c r="C119">
        <v>-6.21</v>
      </c>
      <c r="D119">
        <v>-0.18</v>
      </c>
      <c r="E119">
        <v>0</v>
      </c>
      <c r="F119">
        <v>1103</v>
      </c>
      <c r="G119" t="s">
        <v>982</v>
      </c>
      <c r="H119">
        <v>8002.13</v>
      </c>
      <c r="I119">
        <v>3.78</v>
      </c>
      <c r="J119" t="s">
        <v>120</v>
      </c>
      <c r="K119" t="s">
        <v>983</v>
      </c>
      <c r="L119">
        <v>1.02</v>
      </c>
      <c r="M119">
        <v>15.4</v>
      </c>
      <c r="N119">
        <v>0.96</v>
      </c>
      <c r="O119">
        <v>0</v>
      </c>
      <c r="P119">
        <v>16.420000000000002</v>
      </c>
      <c r="Q119">
        <v>-6.21</v>
      </c>
      <c r="R119">
        <v>15.4</v>
      </c>
      <c r="S119">
        <v>16.420000000000002</v>
      </c>
      <c r="T119">
        <v>50367</v>
      </c>
      <c r="U119">
        <v>15.42</v>
      </c>
      <c r="V119">
        <v>16.420000000000002</v>
      </c>
      <c r="W119">
        <v>59.44</v>
      </c>
      <c r="X119" t="s">
        <v>666</v>
      </c>
      <c r="Y119" t="s">
        <v>547</v>
      </c>
      <c r="Z119">
        <v>6.21</v>
      </c>
      <c r="AA119">
        <v>15.89</v>
      </c>
      <c r="AB119">
        <v>30588</v>
      </c>
      <c r="AC119">
        <v>19779</v>
      </c>
      <c r="AD119">
        <v>1.55</v>
      </c>
      <c r="AE119">
        <v>67</v>
      </c>
      <c r="AF119">
        <v>26</v>
      </c>
      <c r="AG119" t="s">
        <v>120</v>
      </c>
      <c r="AH119">
        <v>0</v>
      </c>
      <c r="AI119" t="s">
        <v>120</v>
      </c>
      <c r="AJ119">
        <v>4.92</v>
      </c>
      <c r="AK119" t="s">
        <v>984</v>
      </c>
      <c r="AL119">
        <v>-4.3</v>
      </c>
      <c r="AM119">
        <v>2040</v>
      </c>
      <c r="AN119">
        <v>25</v>
      </c>
      <c r="AO119">
        <v>5.0000000000000001E-4</v>
      </c>
      <c r="AP119">
        <v>-4</v>
      </c>
      <c r="AQ119">
        <v>-0.3</v>
      </c>
      <c r="AR119">
        <v>-7.9</v>
      </c>
      <c r="AS119">
        <v>-4.5199999999999996</v>
      </c>
      <c r="AT119">
        <v>12.33</v>
      </c>
      <c r="AU119">
        <v>13.07</v>
      </c>
      <c r="AV119">
        <v>2</v>
      </c>
      <c r="AW119">
        <v>2.13</v>
      </c>
      <c r="AX119">
        <v>47.74</v>
      </c>
      <c r="AY119">
        <v>88.54</v>
      </c>
      <c r="AZ119">
        <v>105.93</v>
      </c>
      <c r="BA119">
        <v>0.6</v>
      </c>
      <c r="BB119" t="s">
        <v>143</v>
      </c>
      <c r="BF119">
        <v>-3.24</v>
      </c>
      <c r="BG119">
        <v>-6.21</v>
      </c>
      <c r="BH119">
        <v>-6.21</v>
      </c>
      <c r="BI119">
        <v>0</v>
      </c>
      <c r="BJ119">
        <v>20210814</v>
      </c>
      <c r="BK119">
        <v>19940110</v>
      </c>
      <c r="BL119">
        <v>4.95</v>
      </c>
      <c r="BM119" t="s">
        <v>120</v>
      </c>
      <c r="BN119" t="s">
        <v>120</v>
      </c>
      <c r="BO119">
        <v>20.170000000000002</v>
      </c>
      <c r="BP119">
        <v>15.4</v>
      </c>
      <c r="BQ119">
        <v>10.08</v>
      </c>
      <c r="BR119">
        <v>0.2</v>
      </c>
      <c r="BS119">
        <v>49.01</v>
      </c>
      <c r="BT119">
        <v>6.07</v>
      </c>
      <c r="BU119">
        <v>6.19</v>
      </c>
      <c r="BV119">
        <v>2.27</v>
      </c>
      <c r="BW119">
        <v>5.15</v>
      </c>
      <c r="BX119">
        <v>2.0099999999999998</v>
      </c>
      <c r="BY119">
        <v>0.77</v>
      </c>
      <c r="BZ119">
        <v>1.4</v>
      </c>
      <c r="CA119" t="s">
        <v>120</v>
      </c>
      <c r="CB119">
        <v>0</v>
      </c>
      <c r="CC119">
        <v>2.8</v>
      </c>
      <c r="CD119">
        <v>0.54</v>
      </c>
      <c r="CE119">
        <v>0.82</v>
      </c>
      <c r="CF119">
        <v>0.37</v>
      </c>
      <c r="CG119">
        <v>0.82</v>
      </c>
      <c r="CH119">
        <v>0.59</v>
      </c>
      <c r="CI119">
        <v>0.64</v>
      </c>
      <c r="CJ119">
        <v>-1.02</v>
      </c>
      <c r="CK119">
        <v>0.22</v>
      </c>
      <c r="CL119">
        <v>5.35</v>
      </c>
      <c r="CM119">
        <v>0.31</v>
      </c>
      <c r="CN119">
        <v>-1.92</v>
      </c>
      <c r="CO119">
        <v>16923</v>
      </c>
      <c r="CP119">
        <v>13964</v>
      </c>
      <c r="CQ119" t="s">
        <v>985</v>
      </c>
      <c r="CR119">
        <v>30.72</v>
      </c>
      <c r="CS119">
        <v>21.24</v>
      </c>
      <c r="CT119">
        <v>7.56</v>
      </c>
      <c r="CU119">
        <v>248.49</v>
      </c>
      <c r="CV119">
        <v>27.22</v>
      </c>
      <c r="CW119">
        <v>0.37</v>
      </c>
      <c r="CX119" t="s">
        <v>986</v>
      </c>
      <c r="CY119">
        <v>2.04</v>
      </c>
      <c r="CZ119">
        <v>0</v>
      </c>
      <c r="DA119">
        <v>0</v>
      </c>
      <c r="DB119">
        <v>1.08</v>
      </c>
      <c r="DC119">
        <v>0.06</v>
      </c>
      <c r="DD119">
        <v>49.98</v>
      </c>
      <c r="DE119" t="s">
        <v>987</v>
      </c>
      <c r="DF119">
        <v>80.83</v>
      </c>
      <c r="DG119">
        <v>29.18</v>
      </c>
      <c r="DH119">
        <v>22.9</v>
      </c>
      <c r="DI119">
        <v>0.32</v>
      </c>
      <c r="DJ119">
        <v>890</v>
      </c>
      <c r="DK119">
        <v>534</v>
      </c>
      <c r="DL119" t="s">
        <v>120</v>
      </c>
      <c r="DM119" t="s">
        <v>120</v>
      </c>
      <c r="DN119" t="s">
        <v>120</v>
      </c>
    </row>
    <row r="120" spans="1:118">
      <c r="A120" t="str">
        <f>"000536"</f>
        <v>000536</v>
      </c>
      <c r="B120" t="s">
        <v>988</v>
      </c>
      <c r="C120">
        <v>-1.91</v>
      </c>
      <c r="D120">
        <v>0.39</v>
      </c>
      <c r="E120">
        <v>0.38</v>
      </c>
      <c r="F120">
        <v>1706</v>
      </c>
      <c r="G120" t="s">
        <v>989</v>
      </c>
      <c r="H120">
        <v>4800.8999999999996</v>
      </c>
      <c r="I120">
        <v>23.33</v>
      </c>
      <c r="J120" t="s">
        <v>120</v>
      </c>
      <c r="K120" t="s">
        <v>990</v>
      </c>
      <c r="L120">
        <v>0.67</v>
      </c>
      <c r="M120">
        <v>2.57</v>
      </c>
      <c r="N120">
        <v>0.96</v>
      </c>
      <c r="O120">
        <v>1.53</v>
      </c>
      <c r="P120">
        <v>2.66</v>
      </c>
      <c r="Q120">
        <v>-2.29</v>
      </c>
      <c r="R120">
        <v>2.56</v>
      </c>
      <c r="S120">
        <v>2.63</v>
      </c>
      <c r="T120">
        <v>183981</v>
      </c>
      <c r="U120">
        <v>2.57</v>
      </c>
      <c r="V120">
        <v>2.62</v>
      </c>
      <c r="W120" t="s">
        <v>120</v>
      </c>
      <c r="X120" t="s">
        <v>229</v>
      </c>
      <c r="Y120" t="s">
        <v>937</v>
      </c>
      <c r="Z120">
        <v>3.82</v>
      </c>
      <c r="AA120">
        <v>2.61</v>
      </c>
      <c r="AB120">
        <v>103475</v>
      </c>
      <c r="AC120">
        <v>80506</v>
      </c>
      <c r="AD120">
        <v>1.29</v>
      </c>
      <c r="AE120">
        <v>5179</v>
      </c>
      <c r="AF120">
        <v>1253</v>
      </c>
      <c r="AG120" t="s">
        <v>120</v>
      </c>
      <c r="AH120">
        <v>0.01</v>
      </c>
      <c r="AI120" t="s">
        <v>120</v>
      </c>
      <c r="AJ120">
        <v>27.63</v>
      </c>
      <c r="AK120" t="s">
        <v>991</v>
      </c>
      <c r="AL120">
        <v>0.01</v>
      </c>
      <c r="AM120">
        <v>1821</v>
      </c>
      <c r="AN120">
        <v>101</v>
      </c>
      <c r="AO120">
        <v>4.0000000000000002E-4</v>
      </c>
      <c r="AP120">
        <v>-3</v>
      </c>
      <c r="AQ120">
        <v>-0.38</v>
      </c>
      <c r="AR120">
        <v>-4.1100000000000003</v>
      </c>
      <c r="AS120">
        <v>-1.1499999999999999</v>
      </c>
      <c r="AT120">
        <v>-8.2200000000000006</v>
      </c>
      <c r="AU120">
        <v>-11.98</v>
      </c>
      <c r="AV120">
        <v>13</v>
      </c>
      <c r="AW120">
        <v>1.42</v>
      </c>
      <c r="AX120">
        <v>46.92</v>
      </c>
      <c r="AY120">
        <v>5.79</v>
      </c>
      <c r="AZ120">
        <v>11.85</v>
      </c>
      <c r="BA120">
        <v>0.03</v>
      </c>
      <c r="BB120" t="s">
        <v>125</v>
      </c>
      <c r="BF120">
        <v>-0.4</v>
      </c>
      <c r="BG120">
        <v>-2.2799999999999998</v>
      </c>
      <c r="BH120">
        <v>-3.38</v>
      </c>
      <c r="BI120">
        <v>0.39</v>
      </c>
      <c r="BJ120">
        <v>20210831</v>
      </c>
      <c r="BK120">
        <v>19931126</v>
      </c>
      <c r="BL120">
        <v>27.66</v>
      </c>
      <c r="BM120" t="s">
        <v>120</v>
      </c>
      <c r="BN120" t="s">
        <v>120</v>
      </c>
      <c r="BO120">
        <v>119.55</v>
      </c>
      <c r="BP120">
        <v>2.56</v>
      </c>
      <c r="BQ120">
        <v>54.05</v>
      </c>
      <c r="BR120">
        <v>0.94</v>
      </c>
      <c r="BS120">
        <v>54</v>
      </c>
      <c r="BT120">
        <v>26.66</v>
      </c>
      <c r="BU120">
        <v>72.31</v>
      </c>
      <c r="BV120">
        <v>2.2999999999999998</v>
      </c>
      <c r="BW120">
        <v>55.41</v>
      </c>
      <c r="BX120">
        <v>15.55</v>
      </c>
      <c r="BY120">
        <v>5.07</v>
      </c>
      <c r="BZ120">
        <v>2.75</v>
      </c>
      <c r="CA120" t="s">
        <v>120</v>
      </c>
      <c r="CB120">
        <v>85.95</v>
      </c>
      <c r="CC120">
        <v>15.5</v>
      </c>
      <c r="CD120">
        <v>13.73</v>
      </c>
      <c r="CE120">
        <v>-1.1200000000000001</v>
      </c>
      <c r="CF120">
        <v>0</v>
      </c>
      <c r="CG120">
        <v>-0.6</v>
      </c>
      <c r="CH120">
        <v>-0.66</v>
      </c>
      <c r="CI120">
        <v>-0.74</v>
      </c>
      <c r="CJ120">
        <v>-0.05</v>
      </c>
      <c r="CK120">
        <v>-2.39</v>
      </c>
      <c r="CL120">
        <v>-65.23</v>
      </c>
      <c r="CM120">
        <v>1.9</v>
      </c>
      <c r="CN120">
        <v>1.21</v>
      </c>
      <c r="CO120">
        <v>55262</v>
      </c>
      <c r="CP120">
        <v>23483</v>
      </c>
      <c r="CQ120" t="s">
        <v>992</v>
      </c>
      <c r="CR120">
        <v>89.64</v>
      </c>
      <c r="CS120">
        <v>91.9</v>
      </c>
      <c r="CT120">
        <v>1.32</v>
      </c>
      <c r="CU120">
        <v>37.46</v>
      </c>
      <c r="CV120">
        <v>4.59</v>
      </c>
      <c r="CW120">
        <v>0</v>
      </c>
      <c r="CX120" t="s">
        <v>906</v>
      </c>
      <c r="CY120">
        <v>1.95</v>
      </c>
      <c r="CZ120">
        <v>0</v>
      </c>
      <c r="DA120">
        <v>3.11</v>
      </c>
      <c r="DB120">
        <v>-2.36</v>
      </c>
      <c r="DC120">
        <v>7.0000000000000007E-2</v>
      </c>
      <c r="DD120">
        <v>45.22</v>
      </c>
      <c r="DE120" t="s">
        <v>993</v>
      </c>
      <c r="DF120">
        <v>11.39</v>
      </c>
      <c r="DG120">
        <v>-7.2</v>
      </c>
      <c r="DH120">
        <v>-4.78</v>
      </c>
      <c r="DI120">
        <v>1.22</v>
      </c>
      <c r="DJ120">
        <v>3255</v>
      </c>
      <c r="DK120">
        <v>536</v>
      </c>
      <c r="DL120" t="s">
        <v>120</v>
      </c>
      <c r="DM120" t="s">
        <v>120</v>
      </c>
      <c r="DN120" t="s">
        <v>120</v>
      </c>
    </row>
    <row r="121" spans="1:118">
      <c r="A121" t="str">
        <f>"000537"</f>
        <v>000537</v>
      </c>
      <c r="B121" t="s">
        <v>994</v>
      </c>
      <c r="C121">
        <v>9.9700000000000006</v>
      </c>
      <c r="D121">
        <v>0</v>
      </c>
      <c r="E121">
        <v>9.9700000000000006</v>
      </c>
      <c r="F121">
        <v>1530</v>
      </c>
      <c r="G121" t="s">
        <v>995</v>
      </c>
      <c r="H121">
        <v>10505.74</v>
      </c>
      <c r="I121">
        <v>6573.37</v>
      </c>
      <c r="J121">
        <v>43430.75</v>
      </c>
      <c r="K121" t="s">
        <v>996</v>
      </c>
      <c r="L121">
        <v>0.53</v>
      </c>
      <c r="M121">
        <v>11.36</v>
      </c>
      <c r="N121">
        <v>1.38</v>
      </c>
      <c r="O121">
        <v>9.9700000000000006</v>
      </c>
      <c r="P121">
        <v>11.36</v>
      </c>
      <c r="Q121">
        <v>9.9700000000000006</v>
      </c>
      <c r="R121">
        <v>11.36</v>
      </c>
      <c r="S121">
        <v>11.36</v>
      </c>
      <c r="T121">
        <v>92480</v>
      </c>
      <c r="U121" t="s">
        <v>120</v>
      </c>
      <c r="V121">
        <v>10.33</v>
      </c>
      <c r="W121">
        <v>11.13</v>
      </c>
      <c r="X121" t="s">
        <v>150</v>
      </c>
      <c r="Y121" t="s">
        <v>997</v>
      </c>
      <c r="Z121">
        <v>0</v>
      </c>
      <c r="AA121">
        <v>11.36</v>
      </c>
      <c r="AB121">
        <v>62783</v>
      </c>
      <c r="AC121">
        <v>29697</v>
      </c>
      <c r="AD121">
        <v>2.11</v>
      </c>
      <c r="AE121">
        <v>382313</v>
      </c>
      <c r="AF121">
        <v>0</v>
      </c>
      <c r="AG121" t="s">
        <v>120</v>
      </c>
      <c r="AH121">
        <v>1.3</v>
      </c>
      <c r="AI121">
        <v>4.13</v>
      </c>
      <c r="AJ121">
        <v>17.309999999999999</v>
      </c>
      <c r="AK121" t="s">
        <v>998</v>
      </c>
      <c r="AL121">
        <v>11.88</v>
      </c>
      <c r="AM121">
        <v>669</v>
      </c>
      <c r="AN121">
        <v>138</v>
      </c>
      <c r="AO121">
        <v>8.0000000000000004E-4</v>
      </c>
      <c r="AP121">
        <v>10</v>
      </c>
      <c r="AQ121">
        <v>10.01</v>
      </c>
      <c r="AR121">
        <v>33.020000000000003</v>
      </c>
      <c r="AS121">
        <v>141.71</v>
      </c>
      <c r="AT121">
        <v>124.51</v>
      </c>
      <c r="AU121">
        <v>88.7</v>
      </c>
      <c r="AV121">
        <v>8</v>
      </c>
      <c r="AW121">
        <v>2.08</v>
      </c>
      <c r="AX121">
        <v>23.87</v>
      </c>
      <c r="AY121">
        <v>10.79</v>
      </c>
      <c r="AZ121">
        <v>8.6999999999999993</v>
      </c>
      <c r="BA121">
        <v>0.43</v>
      </c>
      <c r="BB121" t="s">
        <v>999</v>
      </c>
      <c r="BF121">
        <v>9.9700000000000006</v>
      </c>
      <c r="BG121">
        <v>0</v>
      </c>
      <c r="BH121">
        <v>0</v>
      </c>
      <c r="BI121">
        <v>0</v>
      </c>
      <c r="BJ121">
        <v>20210827</v>
      </c>
      <c r="BK121">
        <v>19931210</v>
      </c>
      <c r="BL121">
        <v>18.63</v>
      </c>
      <c r="BM121" t="s">
        <v>120</v>
      </c>
      <c r="BN121" t="s">
        <v>120</v>
      </c>
      <c r="BO121">
        <v>795.59</v>
      </c>
      <c r="BP121">
        <v>11.36</v>
      </c>
      <c r="BQ121">
        <v>158.41</v>
      </c>
      <c r="BR121">
        <v>5.67</v>
      </c>
      <c r="BS121">
        <v>79.38</v>
      </c>
      <c r="BT121">
        <v>716.35</v>
      </c>
      <c r="BU121">
        <v>13.13</v>
      </c>
      <c r="BV121">
        <v>2.79</v>
      </c>
      <c r="BW121">
        <v>269.38</v>
      </c>
      <c r="BX121">
        <v>58.93</v>
      </c>
      <c r="BY121">
        <v>631.44000000000005</v>
      </c>
      <c r="BZ121">
        <v>0.34</v>
      </c>
      <c r="CA121">
        <v>1.25</v>
      </c>
      <c r="CB121">
        <v>17.21</v>
      </c>
      <c r="CC121">
        <v>99</v>
      </c>
      <c r="CD121">
        <v>71.87</v>
      </c>
      <c r="CE121">
        <v>12.29</v>
      </c>
      <c r="CF121">
        <v>0.01</v>
      </c>
      <c r="CG121">
        <v>12.68</v>
      </c>
      <c r="CH121">
        <v>9.5</v>
      </c>
      <c r="CI121">
        <v>9.5</v>
      </c>
      <c r="CJ121">
        <v>1.03</v>
      </c>
      <c r="CK121">
        <v>9.15</v>
      </c>
      <c r="CL121">
        <v>115.9</v>
      </c>
      <c r="CM121">
        <v>-18.190000000000001</v>
      </c>
      <c r="CN121">
        <v>-6.89</v>
      </c>
      <c r="CO121">
        <v>31619</v>
      </c>
      <c r="CP121">
        <v>14062</v>
      </c>
      <c r="CQ121" t="s">
        <v>1000</v>
      </c>
      <c r="CR121">
        <v>-31.07</v>
      </c>
      <c r="CS121">
        <v>-1.89</v>
      </c>
      <c r="CT121">
        <v>1.34</v>
      </c>
      <c r="CU121">
        <v>-11.63</v>
      </c>
      <c r="CV121">
        <v>2.14</v>
      </c>
      <c r="CW121">
        <v>2.42</v>
      </c>
      <c r="CX121" t="s">
        <v>1001</v>
      </c>
      <c r="CY121">
        <v>8.51</v>
      </c>
      <c r="CZ121">
        <v>0</v>
      </c>
      <c r="DA121">
        <v>0.92</v>
      </c>
      <c r="DB121">
        <v>6.22</v>
      </c>
      <c r="DC121">
        <v>-0.98</v>
      </c>
      <c r="DD121">
        <v>19.91</v>
      </c>
      <c r="DE121" t="s">
        <v>1002</v>
      </c>
      <c r="DF121">
        <v>27.4</v>
      </c>
      <c r="DG121">
        <v>12.41</v>
      </c>
      <c r="DH121">
        <v>9.6</v>
      </c>
      <c r="DI121" t="s">
        <v>120</v>
      </c>
      <c r="DJ121">
        <v>2234</v>
      </c>
      <c r="DK121">
        <v>537</v>
      </c>
      <c r="DL121">
        <v>20210908</v>
      </c>
      <c r="DM121">
        <v>6.41</v>
      </c>
      <c r="DN121">
        <v>77.22</v>
      </c>
    </row>
    <row r="122" spans="1:118">
      <c r="A122" t="str">
        <f>"000538"</f>
        <v>000538</v>
      </c>
      <c r="B122" t="s">
        <v>1003</v>
      </c>
      <c r="C122">
        <v>-2.27</v>
      </c>
      <c r="D122">
        <v>0.12</v>
      </c>
      <c r="E122">
        <v>-0.42</v>
      </c>
      <c r="F122">
        <v>438</v>
      </c>
      <c r="G122" t="s">
        <v>1004</v>
      </c>
      <c r="H122">
        <v>51610.28</v>
      </c>
      <c r="I122">
        <v>121.7</v>
      </c>
      <c r="J122" t="s">
        <v>120</v>
      </c>
      <c r="K122" t="s">
        <v>1005</v>
      </c>
      <c r="L122">
        <v>0.9</v>
      </c>
      <c r="M122">
        <v>94.8</v>
      </c>
      <c r="N122">
        <v>0.91</v>
      </c>
      <c r="O122">
        <v>-0.42</v>
      </c>
      <c r="P122">
        <v>96.59</v>
      </c>
      <c r="Q122">
        <v>-3.09</v>
      </c>
      <c r="R122">
        <v>94</v>
      </c>
      <c r="S122">
        <v>96.59</v>
      </c>
      <c r="T122">
        <v>54319</v>
      </c>
      <c r="U122">
        <v>94.8</v>
      </c>
      <c r="V122">
        <v>97</v>
      </c>
      <c r="W122">
        <v>33.65</v>
      </c>
      <c r="X122" t="s">
        <v>771</v>
      </c>
      <c r="Y122" t="s">
        <v>1006</v>
      </c>
      <c r="Z122">
        <v>2.67</v>
      </c>
      <c r="AA122">
        <v>95.01</v>
      </c>
      <c r="AB122">
        <v>29944</v>
      </c>
      <c r="AC122">
        <v>24375</v>
      </c>
      <c r="AD122">
        <v>1.23</v>
      </c>
      <c r="AE122">
        <v>1</v>
      </c>
      <c r="AF122">
        <v>4</v>
      </c>
      <c r="AG122" t="s">
        <v>120</v>
      </c>
      <c r="AH122">
        <v>0</v>
      </c>
      <c r="AI122" t="s">
        <v>120</v>
      </c>
      <c r="AJ122">
        <v>6.04</v>
      </c>
      <c r="AK122" t="s">
        <v>1007</v>
      </c>
      <c r="AL122">
        <v>-0.35</v>
      </c>
      <c r="AM122">
        <v>3859</v>
      </c>
      <c r="AN122">
        <v>14</v>
      </c>
      <c r="AO122">
        <v>2.0000000000000001E-4</v>
      </c>
      <c r="AP122">
        <v>-2</v>
      </c>
      <c r="AQ122">
        <v>-1.1200000000000001</v>
      </c>
      <c r="AR122">
        <v>-1.05</v>
      </c>
      <c r="AS122">
        <v>2.95</v>
      </c>
      <c r="AT122">
        <v>-12.31</v>
      </c>
      <c r="AU122">
        <v>-13.59</v>
      </c>
      <c r="AV122">
        <v>3</v>
      </c>
      <c r="AW122">
        <v>1.17</v>
      </c>
      <c r="AX122">
        <v>36.29</v>
      </c>
      <c r="AY122">
        <v>25.51</v>
      </c>
      <c r="AZ122">
        <v>22.49</v>
      </c>
      <c r="BA122">
        <v>0.64</v>
      </c>
      <c r="BB122" t="s">
        <v>125</v>
      </c>
      <c r="BF122">
        <v>-2.0499999999999998</v>
      </c>
      <c r="BG122">
        <v>-1.85</v>
      </c>
      <c r="BH122">
        <v>-1.85</v>
      </c>
      <c r="BI122">
        <v>0.85</v>
      </c>
      <c r="BJ122">
        <v>20210830</v>
      </c>
      <c r="BK122">
        <v>19931215</v>
      </c>
      <c r="BL122">
        <v>12.79</v>
      </c>
      <c r="BM122" t="s">
        <v>120</v>
      </c>
      <c r="BN122" t="s">
        <v>120</v>
      </c>
      <c r="BO122">
        <v>496</v>
      </c>
      <c r="BP122">
        <v>94.78</v>
      </c>
      <c r="BQ122">
        <v>370.35</v>
      </c>
      <c r="BR122">
        <v>2.12</v>
      </c>
      <c r="BS122">
        <v>24.9</v>
      </c>
      <c r="BT122">
        <v>438.62</v>
      </c>
      <c r="BU122">
        <v>28.57</v>
      </c>
      <c r="BV122">
        <v>4.92</v>
      </c>
      <c r="BW122">
        <v>112.44</v>
      </c>
      <c r="BX122">
        <v>142.94999999999999</v>
      </c>
      <c r="BY122">
        <v>87.96</v>
      </c>
      <c r="BZ122">
        <v>57.75</v>
      </c>
      <c r="CA122">
        <v>0</v>
      </c>
      <c r="CB122">
        <v>179.42</v>
      </c>
      <c r="CC122">
        <v>190.83</v>
      </c>
      <c r="CD122">
        <v>135.57</v>
      </c>
      <c r="CE122">
        <v>22.24</v>
      </c>
      <c r="CF122">
        <v>6.04</v>
      </c>
      <c r="CG122">
        <v>22.22</v>
      </c>
      <c r="CH122">
        <v>17.989999999999998</v>
      </c>
      <c r="CI122">
        <v>18.02</v>
      </c>
      <c r="CJ122">
        <v>-2.2000000000000002</v>
      </c>
      <c r="CK122">
        <v>18.850000000000001</v>
      </c>
      <c r="CL122">
        <v>157.26</v>
      </c>
      <c r="CM122">
        <v>32.15</v>
      </c>
      <c r="CN122">
        <v>-9.81</v>
      </c>
      <c r="CO122">
        <v>155622</v>
      </c>
      <c r="CP122">
        <v>2982</v>
      </c>
      <c r="CQ122" t="s">
        <v>1008</v>
      </c>
      <c r="CR122">
        <v>-26.57</v>
      </c>
      <c r="CS122">
        <v>23.17</v>
      </c>
      <c r="CT122">
        <v>3.27</v>
      </c>
      <c r="CU122">
        <v>37.71</v>
      </c>
      <c r="CV122">
        <v>6.35</v>
      </c>
      <c r="CW122">
        <v>3.96</v>
      </c>
      <c r="CX122" t="s">
        <v>1009</v>
      </c>
      <c r="CY122">
        <v>28.95</v>
      </c>
      <c r="CZ122">
        <v>28.95</v>
      </c>
      <c r="DA122">
        <v>14.03</v>
      </c>
      <c r="DB122">
        <v>12.29</v>
      </c>
      <c r="DC122">
        <v>2.5099999999999998</v>
      </c>
      <c r="DD122">
        <v>74.67</v>
      </c>
      <c r="DE122" t="s">
        <v>1010</v>
      </c>
      <c r="DF122">
        <v>28.96</v>
      </c>
      <c r="DG122">
        <v>11.65</v>
      </c>
      <c r="DH122">
        <v>9.44</v>
      </c>
      <c r="DI122">
        <v>1.06</v>
      </c>
      <c r="DJ122">
        <v>8131</v>
      </c>
      <c r="DK122">
        <v>538</v>
      </c>
      <c r="DL122" t="s">
        <v>120</v>
      </c>
      <c r="DM122" t="s">
        <v>120</v>
      </c>
      <c r="DN122" t="s">
        <v>120</v>
      </c>
    </row>
    <row r="123" spans="1:118">
      <c r="A123" t="str">
        <f>"000539"</f>
        <v>000539</v>
      </c>
      <c r="B123" t="s">
        <v>1011</v>
      </c>
      <c r="C123">
        <v>-3.89</v>
      </c>
      <c r="D123">
        <v>-1.17</v>
      </c>
      <c r="E123">
        <v>0.46</v>
      </c>
      <c r="F123">
        <v>22466</v>
      </c>
      <c r="G123" t="s">
        <v>1012</v>
      </c>
      <c r="H123">
        <v>8723.7999999999993</v>
      </c>
      <c r="I123">
        <v>48.99</v>
      </c>
      <c r="J123" t="s">
        <v>120</v>
      </c>
      <c r="K123" t="s">
        <v>1013</v>
      </c>
      <c r="L123">
        <v>0.79</v>
      </c>
      <c r="M123">
        <v>4.2</v>
      </c>
      <c r="N123">
        <v>0.51</v>
      </c>
      <c r="O123">
        <v>1.1399999999999999</v>
      </c>
      <c r="P123">
        <v>4.42</v>
      </c>
      <c r="Q123">
        <v>-3.89</v>
      </c>
      <c r="R123">
        <v>4.2</v>
      </c>
      <c r="S123">
        <v>4.3899999999999997</v>
      </c>
      <c r="T123">
        <v>202604</v>
      </c>
      <c r="U123">
        <v>4.21</v>
      </c>
      <c r="V123">
        <v>4.37</v>
      </c>
      <c r="W123">
        <v>101.13</v>
      </c>
      <c r="X123" t="s">
        <v>268</v>
      </c>
      <c r="Y123" t="s">
        <v>547</v>
      </c>
      <c r="Z123">
        <v>5.03</v>
      </c>
      <c r="AA123">
        <v>4.3099999999999996</v>
      </c>
      <c r="AB123">
        <v>119623</v>
      </c>
      <c r="AC123">
        <v>82981</v>
      </c>
      <c r="AD123">
        <v>1.44</v>
      </c>
      <c r="AE123">
        <v>3416</v>
      </c>
      <c r="AF123">
        <v>35</v>
      </c>
      <c r="AG123" t="s">
        <v>120</v>
      </c>
      <c r="AH123">
        <v>0.01</v>
      </c>
      <c r="AI123" t="s">
        <v>120</v>
      </c>
      <c r="AJ123">
        <v>25.54</v>
      </c>
      <c r="AK123" t="s">
        <v>1014</v>
      </c>
      <c r="AL123">
        <v>-1.98</v>
      </c>
      <c r="AM123">
        <v>2182</v>
      </c>
      <c r="AN123">
        <v>93</v>
      </c>
      <c r="AO123">
        <v>4.0000000000000002E-4</v>
      </c>
      <c r="AP123">
        <v>-1</v>
      </c>
      <c r="AQ123">
        <v>2.82</v>
      </c>
      <c r="AR123">
        <v>-4.1100000000000003</v>
      </c>
      <c r="AS123">
        <v>8.81</v>
      </c>
      <c r="AT123">
        <v>12.9</v>
      </c>
      <c r="AU123">
        <v>11.7</v>
      </c>
      <c r="AV123">
        <v>1</v>
      </c>
      <c r="AW123">
        <v>2.4900000000000002</v>
      </c>
      <c r="AX123">
        <v>15.52</v>
      </c>
      <c r="AY123">
        <v>22.03</v>
      </c>
      <c r="AZ123">
        <v>13.14</v>
      </c>
      <c r="BA123">
        <v>0</v>
      </c>
      <c r="BB123" t="s">
        <v>143</v>
      </c>
      <c r="BF123">
        <v>-1.47</v>
      </c>
      <c r="BG123">
        <v>-4.33</v>
      </c>
      <c r="BH123">
        <v>-4.9800000000000004</v>
      </c>
      <c r="BI123">
        <v>0</v>
      </c>
      <c r="BJ123">
        <v>20210830</v>
      </c>
      <c r="BK123">
        <v>19931126</v>
      </c>
      <c r="BL123">
        <v>52.5</v>
      </c>
      <c r="BM123">
        <v>7.98</v>
      </c>
      <c r="BN123" t="s">
        <v>120</v>
      </c>
      <c r="BO123">
        <v>923.32</v>
      </c>
      <c r="BP123">
        <v>4.2</v>
      </c>
      <c r="BQ123">
        <v>269.33</v>
      </c>
      <c r="BR123">
        <v>81.069999999999993</v>
      </c>
      <c r="BS123">
        <v>62.05</v>
      </c>
      <c r="BT123">
        <v>147.9</v>
      </c>
      <c r="BU123">
        <v>482.97</v>
      </c>
      <c r="BV123">
        <v>21.47</v>
      </c>
      <c r="BW123">
        <v>256.24</v>
      </c>
      <c r="BX123">
        <v>55.67</v>
      </c>
      <c r="BY123">
        <v>23.3</v>
      </c>
      <c r="BZ123">
        <v>45.34</v>
      </c>
      <c r="CA123" t="s">
        <v>120</v>
      </c>
      <c r="CB123">
        <v>49.02</v>
      </c>
      <c r="CC123">
        <v>177.82</v>
      </c>
      <c r="CD123">
        <v>167.87</v>
      </c>
      <c r="CE123">
        <v>3</v>
      </c>
      <c r="CF123">
        <v>4.28</v>
      </c>
      <c r="CG123">
        <v>3.01</v>
      </c>
      <c r="CH123">
        <v>1.95</v>
      </c>
      <c r="CI123">
        <v>1.0900000000000001</v>
      </c>
      <c r="CJ123">
        <v>-0.17</v>
      </c>
      <c r="CK123">
        <v>0.9</v>
      </c>
      <c r="CL123">
        <v>58.47</v>
      </c>
      <c r="CM123">
        <v>30.97</v>
      </c>
      <c r="CN123">
        <v>-2.2400000000000002</v>
      </c>
      <c r="CO123">
        <v>90117</v>
      </c>
      <c r="CP123">
        <v>17902</v>
      </c>
      <c r="CQ123" t="s">
        <v>1015</v>
      </c>
      <c r="CR123">
        <v>-86.6</v>
      </c>
      <c r="CS123">
        <v>41.8</v>
      </c>
      <c r="CT123">
        <v>0.82</v>
      </c>
      <c r="CU123">
        <v>7.12</v>
      </c>
      <c r="CV123">
        <v>1.24</v>
      </c>
      <c r="CW123">
        <v>2.75</v>
      </c>
      <c r="CX123" t="s">
        <v>1016</v>
      </c>
      <c r="CY123">
        <v>5.13</v>
      </c>
      <c r="CZ123">
        <v>0</v>
      </c>
      <c r="DA123">
        <v>0.93</v>
      </c>
      <c r="DB123">
        <v>1.1100000000000001</v>
      </c>
      <c r="DC123">
        <v>0.59</v>
      </c>
      <c r="DD123">
        <v>29.17</v>
      </c>
      <c r="DE123" t="s">
        <v>1017</v>
      </c>
      <c r="DF123">
        <v>5.59</v>
      </c>
      <c r="DG123">
        <v>1.69</v>
      </c>
      <c r="DH123">
        <v>0.61</v>
      </c>
      <c r="DI123">
        <v>0.94</v>
      </c>
      <c r="DJ123">
        <v>6794</v>
      </c>
      <c r="DK123">
        <v>539</v>
      </c>
      <c r="DL123" t="s">
        <v>120</v>
      </c>
      <c r="DM123" t="s">
        <v>120</v>
      </c>
      <c r="DN123" t="s">
        <v>120</v>
      </c>
    </row>
    <row r="124" spans="1:118">
      <c r="A124" t="str">
        <f>"000540"</f>
        <v>000540</v>
      </c>
      <c r="B124" t="s">
        <v>1018</v>
      </c>
      <c r="C124">
        <v>3.48</v>
      </c>
      <c r="D124">
        <v>0</v>
      </c>
      <c r="E124">
        <v>-0.35</v>
      </c>
      <c r="F124">
        <v>14333</v>
      </c>
      <c r="G124" t="s">
        <v>1019</v>
      </c>
      <c r="H124">
        <v>38203.620000000003</v>
      </c>
      <c r="I124">
        <v>91.01</v>
      </c>
      <c r="J124" t="s">
        <v>120</v>
      </c>
      <c r="K124" t="s">
        <v>1020</v>
      </c>
      <c r="L124">
        <v>1.85</v>
      </c>
      <c r="M124">
        <v>2.97</v>
      </c>
      <c r="N124">
        <v>1.25</v>
      </c>
      <c r="O124">
        <v>6.97</v>
      </c>
      <c r="P124">
        <v>3.07</v>
      </c>
      <c r="Q124">
        <v>-0.7</v>
      </c>
      <c r="R124">
        <v>2.85</v>
      </c>
      <c r="S124">
        <v>2.86</v>
      </c>
      <c r="T124">
        <v>1287138</v>
      </c>
      <c r="U124">
        <v>2.98</v>
      </c>
      <c r="V124">
        <v>2.87</v>
      </c>
      <c r="W124">
        <v>253.91</v>
      </c>
      <c r="X124" t="s">
        <v>721</v>
      </c>
      <c r="Y124" t="s">
        <v>1021</v>
      </c>
      <c r="Z124">
        <v>7.67</v>
      </c>
      <c r="AA124">
        <v>2.97</v>
      </c>
      <c r="AB124">
        <v>565006</v>
      </c>
      <c r="AC124">
        <v>722132</v>
      </c>
      <c r="AD124">
        <v>0.78</v>
      </c>
      <c r="AE124">
        <v>3531</v>
      </c>
      <c r="AF124">
        <v>11004</v>
      </c>
      <c r="AG124" t="s">
        <v>120</v>
      </c>
      <c r="AH124">
        <v>0.01</v>
      </c>
      <c r="AI124" t="s">
        <v>120</v>
      </c>
      <c r="AJ124">
        <v>69.73</v>
      </c>
      <c r="AK124" t="s">
        <v>1022</v>
      </c>
      <c r="AL124">
        <v>5.4</v>
      </c>
      <c r="AM124">
        <v>3979</v>
      </c>
      <c r="AN124">
        <v>323</v>
      </c>
      <c r="AO124">
        <v>5.0000000000000001E-4</v>
      </c>
      <c r="AP124">
        <v>2</v>
      </c>
      <c r="AQ124">
        <v>1.41</v>
      </c>
      <c r="AR124">
        <v>4.58</v>
      </c>
      <c r="AS124">
        <v>28.57</v>
      </c>
      <c r="AT124">
        <v>7.22</v>
      </c>
      <c r="AU124">
        <v>-5.72</v>
      </c>
      <c r="AV124">
        <v>7</v>
      </c>
      <c r="AW124">
        <v>3.44</v>
      </c>
      <c r="AX124">
        <v>53.37</v>
      </c>
      <c r="AY124" t="s">
        <v>120</v>
      </c>
      <c r="AZ124">
        <v>35.159999999999997</v>
      </c>
      <c r="BA124">
        <v>0.17</v>
      </c>
      <c r="BB124" t="s">
        <v>341</v>
      </c>
      <c r="BF124">
        <v>3.42</v>
      </c>
      <c r="BG124">
        <v>3.85</v>
      </c>
      <c r="BH124">
        <v>-3.26</v>
      </c>
      <c r="BI124">
        <v>4.21</v>
      </c>
      <c r="BJ124">
        <v>20210907</v>
      </c>
      <c r="BK124">
        <v>19940202</v>
      </c>
      <c r="BL124">
        <v>70.05</v>
      </c>
      <c r="BM124" t="s">
        <v>120</v>
      </c>
      <c r="BN124" t="s">
        <v>120</v>
      </c>
      <c r="BO124">
        <v>1558.84</v>
      </c>
      <c r="BP124">
        <v>2.97</v>
      </c>
      <c r="BQ124">
        <v>182.93</v>
      </c>
      <c r="BR124">
        <v>38.909999999999997</v>
      </c>
      <c r="BS124">
        <v>85.77</v>
      </c>
      <c r="BT124">
        <v>768.29</v>
      </c>
      <c r="BU124">
        <v>33.799999999999997</v>
      </c>
      <c r="BV124">
        <v>3.61</v>
      </c>
      <c r="BW124">
        <v>473.06</v>
      </c>
      <c r="BX124">
        <v>35.18</v>
      </c>
      <c r="BY124">
        <v>389.19</v>
      </c>
      <c r="BZ124">
        <v>18.95</v>
      </c>
      <c r="CA124">
        <v>0.27</v>
      </c>
      <c r="CB124">
        <v>11.06</v>
      </c>
      <c r="CC124">
        <v>49.81</v>
      </c>
      <c r="CD124">
        <v>38.82</v>
      </c>
      <c r="CE124">
        <v>-0.48</v>
      </c>
      <c r="CF124">
        <v>0.13</v>
      </c>
      <c r="CG124">
        <v>5.35</v>
      </c>
      <c r="CH124">
        <v>4.63</v>
      </c>
      <c r="CI124">
        <v>0.41</v>
      </c>
      <c r="CJ124">
        <v>0.1</v>
      </c>
      <c r="CK124">
        <v>-0.95</v>
      </c>
      <c r="CL124">
        <v>95.6</v>
      </c>
      <c r="CM124">
        <v>162.66</v>
      </c>
      <c r="CN124">
        <v>-10.15</v>
      </c>
      <c r="CO124">
        <v>183100</v>
      </c>
      <c r="CP124">
        <v>20419</v>
      </c>
      <c r="CQ124" t="s">
        <v>1023</v>
      </c>
      <c r="CR124">
        <v>-93.71</v>
      </c>
      <c r="CS124">
        <v>2.27</v>
      </c>
      <c r="CT124">
        <v>1.1399999999999999</v>
      </c>
      <c r="CU124">
        <v>1.28</v>
      </c>
      <c r="CV124">
        <v>4.18</v>
      </c>
      <c r="CW124">
        <v>0</v>
      </c>
      <c r="CX124" t="s">
        <v>178</v>
      </c>
      <c r="CY124">
        <v>2.61</v>
      </c>
      <c r="CZ124">
        <v>0</v>
      </c>
      <c r="DA124">
        <v>0.16</v>
      </c>
      <c r="DB124">
        <v>1.36</v>
      </c>
      <c r="DC124">
        <v>2.3199999999999998</v>
      </c>
      <c r="DD124">
        <v>11.74</v>
      </c>
      <c r="DE124" t="s">
        <v>1024</v>
      </c>
      <c r="DF124">
        <v>22.06</v>
      </c>
      <c r="DG124">
        <v>-0.96</v>
      </c>
      <c r="DH124">
        <v>0.82</v>
      </c>
      <c r="DI124" t="s">
        <v>120</v>
      </c>
      <c r="DJ124">
        <v>5950</v>
      </c>
      <c r="DK124">
        <v>540</v>
      </c>
      <c r="DL124">
        <v>20210901</v>
      </c>
      <c r="DM124">
        <v>2.7</v>
      </c>
      <c r="DN124">
        <v>10</v>
      </c>
    </row>
    <row r="125" spans="1:118">
      <c r="A125" t="str">
        <f>"000541"</f>
        <v>000541</v>
      </c>
      <c r="B125" t="s">
        <v>1025</v>
      </c>
      <c r="C125">
        <v>-0.33</v>
      </c>
      <c r="D125">
        <v>-0.15</v>
      </c>
      <c r="E125">
        <v>-0.16</v>
      </c>
      <c r="F125">
        <v>647</v>
      </c>
      <c r="G125" t="s">
        <v>1026</v>
      </c>
      <c r="H125">
        <v>4868.6000000000004</v>
      </c>
      <c r="I125">
        <v>1.76</v>
      </c>
      <c r="J125" t="s">
        <v>120</v>
      </c>
      <c r="K125" t="s">
        <v>1027</v>
      </c>
      <c r="L125">
        <v>0.74</v>
      </c>
      <c r="M125">
        <v>6.07</v>
      </c>
      <c r="N125">
        <v>1.1399999999999999</v>
      </c>
      <c r="O125">
        <v>2.2999999999999998</v>
      </c>
      <c r="P125">
        <v>6.23</v>
      </c>
      <c r="Q125">
        <v>-0.82</v>
      </c>
      <c r="R125">
        <v>6.04</v>
      </c>
      <c r="S125">
        <v>6.08</v>
      </c>
      <c r="T125">
        <v>79259</v>
      </c>
      <c r="U125">
        <v>6.08</v>
      </c>
      <c r="V125">
        <v>6.09</v>
      </c>
      <c r="W125">
        <v>38.42</v>
      </c>
      <c r="X125" t="s">
        <v>205</v>
      </c>
      <c r="Y125" t="s">
        <v>547</v>
      </c>
      <c r="Z125">
        <v>3.12</v>
      </c>
      <c r="AA125">
        <v>6.14</v>
      </c>
      <c r="AB125">
        <v>37669</v>
      </c>
      <c r="AC125">
        <v>41590</v>
      </c>
      <c r="AD125">
        <v>0.91</v>
      </c>
      <c r="AE125">
        <v>819</v>
      </c>
      <c r="AF125">
        <v>110</v>
      </c>
      <c r="AG125" t="s">
        <v>120</v>
      </c>
      <c r="AH125">
        <v>0</v>
      </c>
      <c r="AI125" t="s">
        <v>120</v>
      </c>
      <c r="AJ125">
        <v>10.73</v>
      </c>
      <c r="AK125" t="s">
        <v>1028</v>
      </c>
      <c r="AL125">
        <v>1.59</v>
      </c>
      <c r="AM125">
        <v>1342</v>
      </c>
      <c r="AN125">
        <v>59</v>
      </c>
      <c r="AO125">
        <v>5.9999999999999995E-4</v>
      </c>
      <c r="AP125">
        <v>-1</v>
      </c>
      <c r="AQ125">
        <v>0</v>
      </c>
      <c r="AR125">
        <v>-2.57</v>
      </c>
      <c r="AS125">
        <v>0.33</v>
      </c>
      <c r="AT125">
        <v>2.36</v>
      </c>
      <c r="AU125">
        <v>-0.49</v>
      </c>
      <c r="AV125">
        <v>0</v>
      </c>
      <c r="AW125">
        <v>1.46</v>
      </c>
      <c r="AX125">
        <v>38.82</v>
      </c>
      <c r="AY125">
        <v>30.59</v>
      </c>
      <c r="AZ125">
        <v>26.89</v>
      </c>
      <c r="BA125">
        <v>0.41</v>
      </c>
      <c r="BB125" t="s">
        <v>143</v>
      </c>
      <c r="BF125">
        <v>0.86</v>
      </c>
      <c r="BG125">
        <v>-0.16</v>
      </c>
      <c r="BH125">
        <v>-2.57</v>
      </c>
      <c r="BI125">
        <v>0.5</v>
      </c>
      <c r="BJ125">
        <v>20210831</v>
      </c>
      <c r="BK125">
        <v>19931123</v>
      </c>
      <c r="BL125">
        <v>13.99</v>
      </c>
      <c r="BM125">
        <v>3.22</v>
      </c>
      <c r="BN125" t="s">
        <v>120</v>
      </c>
      <c r="BO125">
        <v>82.58</v>
      </c>
      <c r="BP125">
        <v>6.07</v>
      </c>
      <c r="BQ125">
        <v>59.11</v>
      </c>
      <c r="BR125">
        <v>0.51</v>
      </c>
      <c r="BS125">
        <v>27.81</v>
      </c>
      <c r="BT125">
        <v>40.700000000000003</v>
      </c>
      <c r="BU125">
        <v>6.77</v>
      </c>
      <c r="BV125">
        <v>1.69</v>
      </c>
      <c r="BW125">
        <v>19.86</v>
      </c>
      <c r="BX125">
        <v>15.04</v>
      </c>
      <c r="BY125">
        <v>8.52</v>
      </c>
      <c r="BZ125">
        <v>10.92</v>
      </c>
      <c r="CA125">
        <v>0.02</v>
      </c>
      <c r="CB125">
        <v>0.15</v>
      </c>
      <c r="CC125">
        <v>19.55</v>
      </c>
      <c r="CD125">
        <v>15.87</v>
      </c>
      <c r="CE125">
        <v>1.34</v>
      </c>
      <c r="CF125">
        <v>0.05</v>
      </c>
      <c r="CG125">
        <v>1.36</v>
      </c>
      <c r="CH125">
        <v>1.1299999999999999</v>
      </c>
      <c r="CI125">
        <v>1.1100000000000001</v>
      </c>
      <c r="CJ125">
        <v>-0.02</v>
      </c>
      <c r="CK125">
        <v>0.99</v>
      </c>
      <c r="CL125">
        <v>22.25</v>
      </c>
      <c r="CM125">
        <v>0.46</v>
      </c>
      <c r="CN125">
        <v>4.7699999999999996</v>
      </c>
      <c r="CO125">
        <v>70374</v>
      </c>
      <c r="CP125">
        <v>12296</v>
      </c>
      <c r="CQ125" t="s">
        <v>1029</v>
      </c>
      <c r="CR125">
        <v>-25.75</v>
      </c>
      <c r="CS125">
        <v>28.4</v>
      </c>
      <c r="CT125">
        <v>1.44</v>
      </c>
      <c r="CU125">
        <v>185.54</v>
      </c>
      <c r="CV125">
        <v>4.34</v>
      </c>
      <c r="CW125">
        <v>1.59</v>
      </c>
      <c r="CX125" t="s">
        <v>535</v>
      </c>
      <c r="CY125">
        <v>4.22</v>
      </c>
      <c r="CZ125">
        <v>0</v>
      </c>
      <c r="DA125">
        <v>0.01</v>
      </c>
      <c r="DB125">
        <v>1.59</v>
      </c>
      <c r="DC125">
        <v>0.03</v>
      </c>
      <c r="DD125">
        <v>71.58</v>
      </c>
      <c r="DE125" t="s">
        <v>1030</v>
      </c>
      <c r="DF125">
        <v>18.82</v>
      </c>
      <c r="DG125">
        <v>6.86</v>
      </c>
      <c r="DH125">
        <v>5.65</v>
      </c>
      <c r="DI125">
        <v>0.77</v>
      </c>
      <c r="DJ125">
        <v>7916</v>
      </c>
      <c r="DK125">
        <v>541</v>
      </c>
      <c r="DL125" t="s">
        <v>120</v>
      </c>
      <c r="DM125" t="s">
        <v>120</v>
      </c>
      <c r="DN125" t="s">
        <v>120</v>
      </c>
    </row>
    <row r="126" spans="1:118">
      <c r="A126" t="str">
        <f>"000543"</f>
        <v>000543</v>
      </c>
      <c r="B126" t="s">
        <v>1031</v>
      </c>
      <c r="C126">
        <v>-1.92</v>
      </c>
      <c r="D126">
        <v>0.25</v>
      </c>
      <c r="E126">
        <v>0.48</v>
      </c>
      <c r="F126">
        <v>10642</v>
      </c>
      <c r="G126" t="s">
        <v>1032</v>
      </c>
      <c r="H126">
        <v>10999.21</v>
      </c>
      <c r="I126">
        <v>72.78</v>
      </c>
      <c r="J126" t="s">
        <v>120</v>
      </c>
      <c r="K126" t="s">
        <v>1033</v>
      </c>
      <c r="L126">
        <v>1.48</v>
      </c>
      <c r="M126">
        <v>4.09</v>
      </c>
      <c r="N126">
        <v>0.62</v>
      </c>
      <c r="O126">
        <v>1.44</v>
      </c>
      <c r="P126">
        <v>4.2300000000000004</v>
      </c>
      <c r="Q126">
        <v>-2.64</v>
      </c>
      <c r="R126">
        <v>4.0599999999999996</v>
      </c>
      <c r="S126">
        <v>4.1900000000000004</v>
      </c>
      <c r="T126">
        <v>265448</v>
      </c>
      <c r="U126">
        <v>4.09</v>
      </c>
      <c r="V126">
        <v>4.17</v>
      </c>
      <c r="W126">
        <v>45.37</v>
      </c>
      <c r="X126" t="s">
        <v>268</v>
      </c>
      <c r="Y126" t="s">
        <v>570</v>
      </c>
      <c r="Z126">
        <v>4.08</v>
      </c>
      <c r="AA126">
        <v>4.1399999999999997</v>
      </c>
      <c r="AB126">
        <v>148856</v>
      </c>
      <c r="AC126">
        <v>116592</v>
      </c>
      <c r="AD126">
        <v>1.28</v>
      </c>
      <c r="AE126">
        <v>669</v>
      </c>
      <c r="AF126">
        <v>169</v>
      </c>
      <c r="AG126" t="s">
        <v>120</v>
      </c>
      <c r="AH126">
        <v>0.02</v>
      </c>
      <c r="AI126" t="s">
        <v>120</v>
      </c>
      <c r="AJ126">
        <v>17.899999999999999</v>
      </c>
      <c r="AK126" t="s">
        <v>1034</v>
      </c>
      <c r="AL126">
        <v>0</v>
      </c>
      <c r="AM126">
        <v>2374</v>
      </c>
      <c r="AN126">
        <v>112</v>
      </c>
      <c r="AO126">
        <v>5.9999999999999995E-4</v>
      </c>
      <c r="AP126">
        <v>-1</v>
      </c>
      <c r="AQ126">
        <v>1.96</v>
      </c>
      <c r="AR126">
        <v>-4.4400000000000004</v>
      </c>
      <c r="AS126">
        <v>10.84</v>
      </c>
      <c r="AT126">
        <v>7.63</v>
      </c>
      <c r="AU126">
        <v>-0.34</v>
      </c>
      <c r="AV126">
        <v>0</v>
      </c>
      <c r="AW126">
        <v>2.7</v>
      </c>
      <c r="AX126">
        <v>43.44</v>
      </c>
      <c r="AY126">
        <v>15.42</v>
      </c>
      <c r="AZ126">
        <v>9.33</v>
      </c>
      <c r="BA126">
        <v>0.02</v>
      </c>
      <c r="BB126" t="s">
        <v>143</v>
      </c>
      <c r="BF126">
        <v>-0.63</v>
      </c>
      <c r="BG126">
        <v>-2.39</v>
      </c>
      <c r="BH126">
        <v>-3.31</v>
      </c>
      <c r="BI126">
        <v>0.74</v>
      </c>
      <c r="BJ126">
        <v>20210831</v>
      </c>
      <c r="BK126">
        <v>19931220</v>
      </c>
      <c r="BL126">
        <v>22.67</v>
      </c>
      <c r="BM126" t="s">
        <v>120</v>
      </c>
      <c r="BN126" t="s">
        <v>120</v>
      </c>
      <c r="BO126">
        <v>362.72</v>
      </c>
      <c r="BP126">
        <v>4.08</v>
      </c>
      <c r="BQ126">
        <v>138.72999999999999</v>
      </c>
      <c r="BR126">
        <v>52.61</v>
      </c>
      <c r="BS126">
        <v>47.25</v>
      </c>
      <c r="BT126">
        <v>44.01</v>
      </c>
      <c r="BU126">
        <v>147.63999999999999</v>
      </c>
      <c r="BV126">
        <v>7.64</v>
      </c>
      <c r="BW126">
        <v>92.53</v>
      </c>
      <c r="BX126">
        <v>9.93</v>
      </c>
      <c r="BY126">
        <v>5.62</v>
      </c>
      <c r="BZ126">
        <v>18.87</v>
      </c>
      <c r="CA126">
        <v>0</v>
      </c>
      <c r="CB126">
        <v>38.17</v>
      </c>
      <c r="CC126">
        <v>91.01</v>
      </c>
      <c r="CD126">
        <v>88.07</v>
      </c>
      <c r="CE126">
        <v>1.04</v>
      </c>
      <c r="CF126">
        <v>2.04</v>
      </c>
      <c r="CG126">
        <v>1.1200000000000001</v>
      </c>
      <c r="CH126">
        <v>0.59</v>
      </c>
      <c r="CI126">
        <v>1.02</v>
      </c>
      <c r="CJ126">
        <v>-0.08</v>
      </c>
      <c r="CK126">
        <v>0.89</v>
      </c>
      <c r="CL126">
        <v>49.68</v>
      </c>
      <c r="CM126">
        <v>14.54</v>
      </c>
      <c r="CN126">
        <v>-0.14000000000000001</v>
      </c>
      <c r="CO126">
        <v>66346</v>
      </c>
      <c r="CP126">
        <v>14841</v>
      </c>
      <c r="CQ126" t="s">
        <v>1035</v>
      </c>
      <c r="CR126">
        <v>-79.67</v>
      </c>
      <c r="CS126">
        <v>20.260000000000002</v>
      </c>
      <c r="CT126">
        <v>0.67</v>
      </c>
      <c r="CU126">
        <v>6.38</v>
      </c>
      <c r="CV126">
        <v>1.02</v>
      </c>
      <c r="CW126">
        <v>1.82</v>
      </c>
      <c r="CX126" t="s">
        <v>1036</v>
      </c>
      <c r="CY126">
        <v>6.12</v>
      </c>
      <c r="CZ126">
        <v>0</v>
      </c>
      <c r="DA126">
        <v>1.68</v>
      </c>
      <c r="DB126">
        <v>2.19</v>
      </c>
      <c r="DC126">
        <v>0.64</v>
      </c>
      <c r="DD126">
        <v>38.25</v>
      </c>
      <c r="DE126" t="s">
        <v>1037</v>
      </c>
      <c r="DF126">
        <v>3.22</v>
      </c>
      <c r="DG126">
        <v>1.1399999999999999</v>
      </c>
      <c r="DH126">
        <v>1.1200000000000001</v>
      </c>
      <c r="DI126">
        <v>1.28</v>
      </c>
      <c r="DJ126">
        <v>3446</v>
      </c>
      <c r="DK126">
        <v>543</v>
      </c>
      <c r="DL126" t="s">
        <v>120</v>
      </c>
      <c r="DM126" t="s">
        <v>120</v>
      </c>
      <c r="DN126" t="s">
        <v>120</v>
      </c>
    </row>
    <row r="127" spans="1:118">
      <c r="A127" t="str">
        <f>"000544"</f>
        <v>000544</v>
      </c>
      <c r="B127" t="s">
        <v>1038</v>
      </c>
      <c r="C127">
        <v>-2.13</v>
      </c>
      <c r="D127">
        <v>0</v>
      </c>
      <c r="E127">
        <v>0</v>
      </c>
      <c r="F127">
        <v>432</v>
      </c>
      <c r="G127" t="s">
        <v>1039</v>
      </c>
      <c r="H127">
        <v>3283.57</v>
      </c>
      <c r="I127">
        <v>2.89</v>
      </c>
      <c r="J127" t="s">
        <v>120</v>
      </c>
      <c r="K127" t="s">
        <v>1040</v>
      </c>
      <c r="L127">
        <v>0.52</v>
      </c>
      <c r="M127">
        <v>6.43</v>
      </c>
      <c r="N127">
        <v>0.77</v>
      </c>
      <c r="O127">
        <v>0.46</v>
      </c>
      <c r="P127">
        <v>6.6</v>
      </c>
      <c r="Q127">
        <v>-2.44</v>
      </c>
      <c r="R127">
        <v>6.41</v>
      </c>
      <c r="S127">
        <v>6.57</v>
      </c>
      <c r="T127">
        <v>50510</v>
      </c>
      <c r="U127">
        <v>6.44</v>
      </c>
      <c r="V127">
        <v>6.57</v>
      </c>
      <c r="W127">
        <v>10.130000000000001</v>
      </c>
      <c r="X127" t="s">
        <v>318</v>
      </c>
      <c r="Y127" t="s">
        <v>645</v>
      </c>
      <c r="Z127">
        <v>2.89</v>
      </c>
      <c r="AA127">
        <v>6.5</v>
      </c>
      <c r="AB127">
        <v>31262</v>
      </c>
      <c r="AC127">
        <v>19248</v>
      </c>
      <c r="AD127">
        <v>1.62</v>
      </c>
      <c r="AE127">
        <v>64</v>
      </c>
      <c r="AF127">
        <v>1027</v>
      </c>
      <c r="AG127" t="s">
        <v>120</v>
      </c>
      <c r="AH127">
        <v>0</v>
      </c>
      <c r="AI127" t="s">
        <v>120</v>
      </c>
      <c r="AJ127">
        <v>9.75</v>
      </c>
      <c r="AK127" t="s">
        <v>1040</v>
      </c>
      <c r="AL127">
        <v>-0.22</v>
      </c>
      <c r="AM127">
        <v>1762</v>
      </c>
      <c r="AN127">
        <v>29</v>
      </c>
      <c r="AO127">
        <v>2.9999999999999997E-4</v>
      </c>
      <c r="AP127">
        <v>-1</v>
      </c>
      <c r="AQ127">
        <v>0.46</v>
      </c>
      <c r="AR127">
        <v>-3.45</v>
      </c>
      <c r="AS127">
        <v>7.34</v>
      </c>
      <c r="AT127">
        <v>3.55</v>
      </c>
      <c r="AU127">
        <v>-4.88</v>
      </c>
      <c r="AV127">
        <v>1</v>
      </c>
      <c r="AW127">
        <v>1.66</v>
      </c>
      <c r="AX127">
        <v>31.27</v>
      </c>
      <c r="AY127">
        <v>12.02</v>
      </c>
      <c r="AZ127">
        <v>12.91</v>
      </c>
      <c r="BA127">
        <v>0.26</v>
      </c>
      <c r="BB127" t="s">
        <v>184</v>
      </c>
      <c r="BF127">
        <v>-1.05</v>
      </c>
      <c r="BG127">
        <v>-2.13</v>
      </c>
      <c r="BH127">
        <v>-2.58</v>
      </c>
      <c r="BI127">
        <v>0.31</v>
      </c>
      <c r="BJ127">
        <v>20210826</v>
      </c>
      <c r="BK127">
        <v>19931208</v>
      </c>
      <c r="BL127">
        <v>9.75</v>
      </c>
      <c r="BM127" t="s">
        <v>120</v>
      </c>
      <c r="BN127" t="s">
        <v>120</v>
      </c>
      <c r="BO127">
        <v>186.45</v>
      </c>
      <c r="BP127">
        <v>6.43</v>
      </c>
      <c r="BQ127">
        <v>63.2</v>
      </c>
      <c r="BR127">
        <v>6.49</v>
      </c>
      <c r="BS127">
        <v>62.62</v>
      </c>
      <c r="BT127">
        <v>36.81</v>
      </c>
      <c r="BU127">
        <v>27.02</v>
      </c>
      <c r="BV127">
        <v>26.96</v>
      </c>
      <c r="BW127">
        <v>47.79</v>
      </c>
      <c r="BX127">
        <v>28.09</v>
      </c>
      <c r="BY127">
        <v>0.83</v>
      </c>
      <c r="BZ127">
        <v>4.92</v>
      </c>
      <c r="CA127" t="s">
        <v>120</v>
      </c>
      <c r="CB127">
        <v>38.51</v>
      </c>
      <c r="CC127">
        <v>25.89</v>
      </c>
      <c r="CD127">
        <v>19.989999999999998</v>
      </c>
      <c r="CE127">
        <v>3.63</v>
      </c>
      <c r="CF127">
        <v>0.01</v>
      </c>
      <c r="CG127">
        <v>3.64</v>
      </c>
      <c r="CH127">
        <v>3.17</v>
      </c>
      <c r="CI127">
        <v>3.09</v>
      </c>
      <c r="CJ127">
        <v>-0.14000000000000001</v>
      </c>
      <c r="CK127">
        <v>3.01</v>
      </c>
      <c r="CL127">
        <v>11.84</v>
      </c>
      <c r="CM127">
        <v>-11.38</v>
      </c>
      <c r="CN127">
        <v>2.13</v>
      </c>
      <c r="CO127">
        <v>33004</v>
      </c>
      <c r="CP127">
        <v>9236</v>
      </c>
      <c r="CQ127" t="s">
        <v>1041</v>
      </c>
      <c r="CR127">
        <v>13.4</v>
      </c>
      <c r="CS127">
        <v>194.17</v>
      </c>
      <c r="CT127">
        <v>0.99</v>
      </c>
      <c r="CU127">
        <v>-5.51</v>
      </c>
      <c r="CV127">
        <v>2.42</v>
      </c>
      <c r="CW127">
        <v>3.81</v>
      </c>
      <c r="CX127" t="s">
        <v>966</v>
      </c>
      <c r="CY127">
        <v>6.48</v>
      </c>
      <c r="CZ127">
        <v>0</v>
      </c>
      <c r="DA127">
        <v>3.95</v>
      </c>
      <c r="DB127">
        <v>1.21</v>
      </c>
      <c r="DC127">
        <v>-1.17</v>
      </c>
      <c r="DD127">
        <v>33.89</v>
      </c>
      <c r="DE127" t="s">
        <v>619</v>
      </c>
      <c r="DF127">
        <v>22.79</v>
      </c>
      <c r="DG127">
        <v>14.03</v>
      </c>
      <c r="DH127">
        <v>11.95</v>
      </c>
      <c r="DI127">
        <v>0.32</v>
      </c>
      <c r="DJ127">
        <v>1655</v>
      </c>
      <c r="DK127">
        <v>544</v>
      </c>
      <c r="DL127" t="s">
        <v>120</v>
      </c>
      <c r="DM127" t="s">
        <v>120</v>
      </c>
      <c r="DN127" t="s">
        <v>120</v>
      </c>
    </row>
    <row r="128" spans="1:118">
      <c r="A128" t="str">
        <f>"000545"</f>
        <v>000545</v>
      </c>
      <c r="B128" t="s">
        <v>1042</v>
      </c>
      <c r="C128">
        <v>-2.13</v>
      </c>
      <c r="D128">
        <v>0.34</v>
      </c>
      <c r="E128">
        <v>2.96</v>
      </c>
      <c r="F128">
        <v>18897</v>
      </c>
      <c r="G128" t="s">
        <v>1043</v>
      </c>
      <c r="H128">
        <v>124428.35</v>
      </c>
      <c r="I128">
        <v>1854.54</v>
      </c>
      <c r="J128" t="s">
        <v>120</v>
      </c>
      <c r="K128" t="s">
        <v>1044</v>
      </c>
      <c r="L128">
        <v>20.63</v>
      </c>
      <c r="M128">
        <v>5.96</v>
      </c>
      <c r="N128">
        <v>2.27</v>
      </c>
      <c r="O128">
        <v>5.25</v>
      </c>
      <c r="P128">
        <v>6.41</v>
      </c>
      <c r="Q128">
        <v>-3.12</v>
      </c>
      <c r="R128">
        <v>5.9</v>
      </c>
      <c r="S128">
        <v>6.27</v>
      </c>
      <c r="T128">
        <v>2032676</v>
      </c>
      <c r="U128">
        <v>5.97</v>
      </c>
      <c r="V128">
        <v>6.09</v>
      </c>
      <c r="W128">
        <v>26.17</v>
      </c>
      <c r="X128" t="s">
        <v>868</v>
      </c>
      <c r="Y128" t="s">
        <v>290</v>
      </c>
      <c r="Z128">
        <v>8.3699999999999992</v>
      </c>
      <c r="AA128">
        <v>6.12</v>
      </c>
      <c r="AB128">
        <v>1049470</v>
      </c>
      <c r="AC128">
        <v>983206</v>
      </c>
      <c r="AD128">
        <v>1.07</v>
      </c>
      <c r="AE128">
        <v>7099</v>
      </c>
      <c r="AF128">
        <v>1490</v>
      </c>
      <c r="AG128" t="s">
        <v>120</v>
      </c>
      <c r="AH128">
        <v>0.46</v>
      </c>
      <c r="AI128" t="s">
        <v>120</v>
      </c>
      <c r="AJ128">
        <v>9.85</v>
      </c>
      <c r="AK128" t="s">
        <v>1045</v>
      </c>
      <c r="AL128">
        <v>-0.22</v>
      </c>
      <c r="AM128">
        <v>4634</v>
      </c>
      <c r="AN128">
        <v>439</v>
      </c>
      <c r="AO128">
        <v>4.4999999999999997E-3</v>
      </c>
      <c r="AP128">
        <v>-1</v>
      </c>
      <c r="AQ128">
        <v>9.93</v>
      </c>
      <c r="AR128">
        <v>11.4</v>
      </c>
      <c r="AS128">
        <v>30.7</v>
      </c>
      <c r="AT128">
        <v>57.26</v>
      </c>
      <c r="AU128">
        <v>71.260000000000005</v>
      </c>
      <c r="AV128">
        <v>15</v>
      </c>
      <c r="AW128">
        <v>31.4</v>
      </c>
      <c r="AX128">
        <v>65.59</v>
      </c>
      <c r="AY128" t="s">
        <v>120</v>
      </c>
      <c r="AZ128" t="s">
        <v>120</v>
      </c>
      <c r="BA128">
        <v>0.5</v>
      </c>
      <c r="BB128" t="s">
        <v>700</v>
      </c>
      <c r="BF128">
        <v>0.52</v>
      </c>
      <c r="BG128">
        <v>-4.9400000000000004</v>
      </c>
      <c r="BH128">
        <v>-7.02</v>
      </c>
      <c r="BI128">
        <v>1.02</v>
      </c>
      <c r="BJ128">
        <v>20210914</v>
      </c>
      <c r="BK128">
        <v>19931215</v>
      </c>
      <c r="BL128">
        <v>9.8699999999999992</v>
      </c>
      <c r="BM128" t="s">
        <v>120</v>
      </c>
      <c r="BN128" t="s">
        <v>120</v>
      </c>
      <c r="BO128">
        <v>30.86</v>
      </c>
      <c r="BP128">
        <v>5.96</v>
      </c>
      <c r="BQ128">
        <v>19.2</v>
      </c>
      <c r="BR128" t="s">
        <v>120</v>
      </c>
      <c r="BS128">
        <v>37.79</v>
      </c>
      <c r="BT128">
        <v>15.28</v>
      </c>
      <c r="BU128">
        <v>10.75</v>
      </c>
      <c r="BV128">
        <v>0.49</v>
      </c>
      <c r="BW128">
        <v>11.12</v>
      </c>
      <c r="BX128">
        <v>3.33</v>
      </c>
      <c r="BY128">
        <v>2.82</v>
      </c>
      <c r="BZ128">
        <v>1.97</v>
      </c>
      <c r="CA128" t="s">
        <v>120</v>
      </c>
      <c r="CB128">
        <v>-0.64</v>
      </c>
      <c r="CC128">
        <v>12.38</v>
      </c>
      <c r="CD128">
        <v>9.6199999999999992</v>
      </c>
      <c r="CE128">
        <v>1.36</v>
      </c>
      <c r="CF128">
        <v>-0.02</v>
      </c>
      <c r="CG128">
        <v>1.35</v>
      </c>
      <c r="CH128">
        <v>1.1200000000000001</v>
      </c>
      <c r="CI128">
        <v>1.1200000000000001</v>
      </c>
      <c r="CJ128">
        <v>-0.13</v>
      </c>
      <c r="CK128">
        <v>1.05</v>
      </c>
      <c r="CL128">
        <v>9.33</v>
      </c>
      <c r="CM128">
        <v>-1.18</v>
      </c>
      <c r="CN128">
        <v>-1.46</v>
      </c>
      <c r="CO128">
        <v>86558</v>
      </c>
      <c r="CP128">
        <v>7478</v>
      </c>
      <c r="CQ128" t="s">
        <v>1046</v>
      </c>
      <c r="CR128">
        <v>1404.26</v>
      </c>
      <c r="CS128">
        <v>55.56</v>
      </c>
      <c r="CT128">
        <v>3.06</v>
      </c>
      <c r="CU128">
        <v>-49.84</v>
      </c>
      <c r="CV128">
        <v>4.75</v>
      </c>
      <c r="CW128">
        <v>0</v>
      </c>
      <c r="CX128" t="s">
        <v>1047</v>
      </c>
      <c r="CY128">
        <v>1.95</v>
      </c>
      <c r="CZ128">
        <v>0</v>
      </c>
      <c r="DA128">
        <v>-0.06</v>
      </c>
      <c r="DB128">
        <v>0.95</v>
      </c>
      <c r="DC128">
        <v>-0.12</v>
      </c>
      <c r="DD128">
        <v>62.21</v>
      </c>
      <c r="DE128" t="s">
        <v>1048</v>
      </c>
      <c r="DF128">
        <v>22.29</v>
      </c>
      <c r="DG128">
        <v>10.98</v>
      </c>
      <c r="DH128">
        <v>9.08</v>
      </c>
      <c r="DI128">
        <v>0.44</v>
      </c>
      <c r="DJ128">
        <v>964</v>
      </c>
      <c r="DK128">
        <v>545</v>
      </c>
      <c r="DL128" t="s">
        <v>120</v>
      </c>
      <c r="DM128" t="s">
        <v>120</v>
      </c>
      <c r="DN128" t="s">
        <v>120</v>
      </c>
    </row>
    <row r="129" spans="1:118">
      <c r="A129" t="str">
        <f>"000546"</f>
        <v>000546</v>
      </c>
      <c r="B129" t="s">
        <v>1049</v>
      </c>
      <c r="C129">
        <v>-0.53</v>
      </c>
      <c r="D129">
        <v>0</v>
      </c>
      <c r="E129">
        <v>0.66</v>
      </c>
      <c r="F129">
        <v>941</v>
      </c>
      <c r="G129" t="s">
        <v>1050</v>
      </c>
      <c r="H129">
        <v>11044.75</v>
      </c>
      <c r="I129">
        <v>53.05</v>
      </c>
      <c r="J129" t="s">
        <v>120</v>
      </c>
      <c r="K129" t="s">
        <v>1051</v>
      </c>
      <c r="L129">
        <v>2.0099999999999998</v>
      </c>
      <c r="M129">
        <v>7.51</v>
      </c>
      <c r="N129">
        <v>1</v>
      </c>
      <c r="O129">
        <v>3.97</v>
      </c>
      <c r="P129">
        <v>7.85</v>
      </c>
      <c r="Q129">
        <v>-0.79</v>
      </c>
      <c r="R129">
        <v>7.49</v>
      </c>
      <c r="S129">
        <v>7.6</v>
      </c>
      <c r="T129">
        <v>143270</v>
      </c>
      <c r="U129">
        <v>7.52</v>
      </c>
      <c r="V129">
        <v>7.55</v>
      </c>
      <c r="W129">
        <v>13.39</v>
      </c>
      <c r="X129" t="s">
        <v>653</v>
      </c>
      <c r="Y129" t="s">
        <v>290</v>
      </c>
      <c r="Z129">
        <v>4.7699999999999996</v>
      </c>
      <c r="AA129">
        <v>7.71</v>
      </c>
      <c r="AB129">
        <v>66934</v>
      </c>
      <c r="AC129">
        <v>76336</v>
      </c>
      <c r="AD129">
        <v>0.88</v>
      </c>
      <c r="AE129">
        <v>162</v>
      </c>
      <c r="AF129">
        <v>164</v>
      </c>
      <c r="AG129" t="s">
        <v>120</v>
      </c>
      <c r="AH129">
        <v>0.02</v>
      </c>
      <c r="AI129" t="s">
        <v>120</v>
      </c>
      <c r="AJ129">
        <v>7.14</v>
      </c>
      <c r="AK129" t="s">
        <v>1052</v>
      </c>
      <c r="AL129">
        <v>1.38</v>
      </c>
      <c r="AM129">
        <v>2537</v>
      </c>
      <c r="AN129">
        <v>56</v>
      </c>
      <c r="AO129">
        <v>8.0000000000000004E-4</v>
      </c>
      <c r="AP129">
        <v>-1</v>
      </c>
      <c r="AQ129">
        <v>1.21</v>
      </c>
      <c r="AR129">
        <v>-3.72</v>
      </c>
      <c r="AS129">
        <v>19.02</v>
      </c>
      <c r="AT129">
        <v>13.45</v>
      </c>
      <c r="AU129">
        <v>0.67</v>
      </c>
      <c r="AV129">
        <v>2</v>
      </c>
      <c r="AW129">
        <v>3.21</v>
      </c>
      <c r="AX129">
        <v>62.51</v>
      </c>
      <c r="AY129">
        <v>11.22</v>
      </c>
      <c r="AZ129">
        <v>11.37</v>
      </c>
      <c r="BA129">
        <v>0.21</v>
      </c>
      <c r="BB129" t="s">
        <v>240</v>
      </c>
      <c r="BF129">
        <v>2.11</v>
      </c>
      <c r="BG129">
        <v>-1.18</v>
      </c>
      <c r="BH129">
        <v>-4.33</v>
      </c>
      <c r="BI129">
        <v>0.27</v>
      </c>
      <c r="BJ129">
        <v>20210826</v>
      </c>
      <c r="BK129">
        <v>19931215</v>
      </c>
      <c r="BL129">
        <v>7.15</v>
      </c>
      <c r="BM129" t="s">
        <v>120</v>
      </c>
      <c r="BN129" t="s">
        <v>120</v>
      </c>
      <c r="BO129">
        <v>97.82</v>
      </c>
      <c r="BP129">
        <v>7.51</v>
      </c>
      <c r="BQ129">
        <v>47.78</v>
      </c>
      <c r="BR129">
        <v>6.1</v>
      </c>
      <c r="BS129">
        <v>44.92</v>
      </c>
      <c r="BT129">
        <v>45.44</v>
      </c>
      <c r="BU129">
        <v>37.85</v>
      </c>
      <c r="BV129">
        <v>2.91</v>
      </c>
      <c r="BW129">
        <v>38.86</v>
      </c>
      <c r="BX129">
        <v>5.3</v>
      </c>
      <c r="BY129">
        <v>18.82</v>
      </c>
      <c r="BZ129">
        <v>10.17</v>
      </c>
      <c r="CA129" t="s">
        <v>120</v>
      </c>
      <c r="CB129">
        <v>16.18</v>
      </c>
      <c r="CC129">
        <v>46.15</v>
      </c>
      <c r="CD129">
        <v>41.25</v>
      </c>
      <c r="CE129">
        <v>1.76</v>
      </c>
      <c r="CF129">
        <v>-0.11</v>
      </c>
      <c r="CG129">
        <v>2.36</v>
      </c>
      <c r="CH129">
        <v>2.0299999999999998</v>
      </c>
      <c r="CI129">
        <v>2</v>
      </c>
      <c r="CJ129">
        <v>-0.04</v>
      </c>
      <c r="CK129">
        <v>1.34</v>
      </c>
      <c r="CL129">
        <v>22.72</v>
      </c>
      <c r="CM129">
        <v>1.66</v>
      </c>
      <c r="CN129">
        <v>0.12</v>
      </c>
      <c r="CO129">
        <v>20541</v>
      </c>
      <c r="CP129">
        <v>21747</v>
      </c>
      <c r="CQ129" t="s">
        <v>1053</v>
      </c>
      <c r="CR129">
        <v>3.22</v>
      </c>
      <c r="CS129">
        <v>41.95</v>
      </c>
      <c r="CT129">
        <v>1.1200000000000001</v>
      </c>
      <c r="CU129">
        <v>32.409999999999997</v>
      </c>
      <c r="CV129">
        <v>1.1599999999999999</v>
      </c>
      <c r="CW129">
        <v>0.79</v>
      </c>
      <c r="CX129" t="s">
        <v>1054</v>
      </c>
      <c r="CY129">
        <v>6.69</v>
      </c>
      <c r="CZ129">
        <v>0</v>
      </c>
      <c r="DA129">
        <v>2.2599999999999998</v>
      </c>
      <c r="DB129">
        <v>3.18</v>
      </c>
      <c r="DC129">
        <v>0.23</v>
      </c>
      <c r="DD129">
        <v>48.84</v>
      </c>
      <c r="DE129" t="s">
        <v>1055</v>
      </c>
      <c r="DF129">
        <v>10.61</v>
      </c>
      <c r="DG129">
        <v>3.82</v>
      </c>
      <c r="DH129">
        <v>4.34</v>
      </c>
      <c r="DI129">
        <v>1.57</v>
      </c>
      <c r="DJ129">
        <v>3299</v>
      </c>
      <c r="DK129">
        <v>546</v>
      </c>
      <c r="DL129" t="s">
        <v>120</v>
      </c>
      <c r="DM129" t="s">
        <v>120</v>
      </c>
      <c r="DN129" t="s">
        <v>120</v>
      </c>
    </row>
    <row r="130" spans="1:118">
      <c r="A130" t="str">
        <f>"000547"</f>
        <v>000547</v>
      </c>
      <c r="B130" t="s">
        <v>1056</v>
      </c>
      <c r="C130">
        <v>-2.16</v>
      </c>
      <c r="D130">
        <v>-0.05</v>
      </c>
      <c r="E130">
        <v>0</v>
      </c>
      <c r="F130">
        <v>3969</v>
      </c>
      <c r="G130" t="s">
        <v>1057</v>
      </c>
      <c r="H130">
        <v>56272.58</v>
      </c>
      <c r="I130">
        <v>234.59</v>
      </c>
      <c r="J130" t="s">
        <v>120</v>
      </c>
      <c r="K130" t="s">
        <v>1057</v>
      </c>
      <c r="L130">
        <v>2.86</v>
      </c>
      <c r="M130">
        <v>15.84</v>
      </c>
      <c r="N130">
        <v>0.75</v>
      </c>
      <c r="O130">
        <v>0.49</v>
      </c>
      <c r="P130">
        <v>16.27</v>
      </c>
      <c r="Q130">
        <v>-2.16</v>
      </c>
      <c r="R130">
        <v>15.84</v>
      </c>
      <c r="S130">
        <v>16.190000000000001</v>
      </c>
      <c r="T130">
        <v>351985</v>
      </c>
      <c r="U130">
        <v>15.84</v>
      </c>
      <c r="V130">
        <v>16.190000000000001</v>
      </c>
      <c r="W130">
        <v>40.4</v>
      </c>
      <c r="X130" t="s">
        <v>462</v>
      </c>
      <c r="Y130" t="s">
        <v>937</v>
      </c>
      <c r="Z130">
        <v>2.66</v>
      </c>
      <c r="AA130">
        <v>15.99</v>
      </c>
      <c r="AB130">
        <v>213737</v>
      </c>
      <c r="AC130">
        <v>138248</v>
      </c>
      <c r="AD130">
        <v>1.55</v>
      </c>
      <c r="AE130">
        <v>1510</v>
      </c>
      <c r="AF130">
        <v>495</v>
      </c>
      <c r="AG130" t="s">
        <v>120</v>
      </c>
      <c r="AH130">
        <v>0.01</v>
      </c>
      <c r="AI130" t="s">
        <v>120</v>
      </c>
      <c r="AJ130">
        <v>12.32</v>
      </c>
      <c r="AK130" t="s">
        <v>1058</v>
      </c>
      <c r="AL130">
        <v>-0.25</v>
      </c>
      <c r="AM130">
        <v>4319</v>
      </c>
      <c r="AN130">
        <v>81</v>
      </c>
      <c r="AO130">
        <v>6.9999999999999999E-4</v>
      </c>
      <c r="AP130">
        <v>-3</v>
      </c>
      <c r="AQ130">
        <v>-0.25</v>
      </c>
      <c r="AR130">
        <v>-3.36</v>
      </c>
      <c r="AS130">
        <v>-28.65</v>
      </c>
      <c r="AT130">
        <v>-16.04</v>
      </c>
      <c r="AU130">
        <v>-42.32</v>
      </c>
      <c r="AV130">
        <v>0</v>
      </c>
      <c r="AW130">
        <v>2.86</v>
      </c>
      <c r="AX130">
        <v>76.819999999999993</v>
      </c>
      <c r="AY130">
        <v>32.049999999999997</v>
      </c>
      <c r="AZ130">
        <v>32.14</v>
      </c>
      <c r="BA130">
        <v>0.62</v>
      </c>
      <c r="BB130" t="s">
        <v>143</v>
      </c>
      <c r="BF130">
        <v>-1.25</v>
      </c>
      <c r="BG130">
        <v>-2.16</v>
      </c>
      <c r="BH130">
        <v>-2.64</v>
      </c>
      <c r="BI130">
        <v>0</v>
      </c>
      <c r="BJ130">
        <v>20210913</v>
      </c>
      <c r="BK130">
        <v>19931130</v>
      </c>
      <c r="BL130">
        <v>16.04</v>
      </c>
      <c r="BM130" t="s">
        <v>120</v>
      </c>
      <c r="BN130" t="s">
        <v>120</v>
      </c>
      <c r="BO130">
        <v>132.79</v>
      </c>
      <c r="BP130">
        <v>15.83</v>
      </c>
      <c r="BQ130">
        <v>87.41</v>
      </c>
      <c r="BR130">
        <v>9.48</v>
      </c>
      <c r="BS130">
        <v>27.03</v>
      </c>
      <c r="BT130">
        <v>71.28</v>
      </c>
      <c r="BU130">
        <v>6.63</v>
      </c>
      <c r="BV130">
        <v>4.63</v>
      </c>
      <c r="BW130">
        <v>34.51</v>
      </c>
      <c r="BX130">
        <v>10.68</v>
      </c>
      <c r="BY130">
        <v>13.67</v>
      </c>
      <c r="BZ130">
        <v>31.43</v>
      </c>
      <c r="CA130" t="s">
        <v>120</v>
      </c>
      <c r="CB130">
        <v>53.9</v>
      </c>
      <c r="CC130">
        <v>22.22</v>
      </c>
      <c r="CD130">
        <v>13.81</v>
      </c>
      <c r="CE130">
        <v>3.94</v>
      </c>
      <c r="CF130">
        <v>-0.23</v>
      </c>
      <c r="CG130">
        <v>3.92</v>
      </c>
      <c r="CH130">
        <v>3.47</v>
      </c>
      <c r="CI130">
        <v>3.14</v>
      </c>
      <c r="CJ130">
        <v>-0.35</v>
      </c>
      <c r="CK130">
        <v>2.83</v>
      </c>
      <c r="CL130">
        <v>29.24</v>
      </c>
      <c r="CM130">
        <v>-4.8899999999999997</v>
      </c>
      <c r="CN130">
        <v>-9.68</v>
      </c>
      <c r="CO130">
        <v>171742</v>
      </c>
      <c r="CP130">
        <v>7173</v>
      </c>
      <c r="CQ130" t="s">
        <v>1059</v>
      </c>
      <c r="CR130">
        <v>0.69</v>
      </c>
      <c r="CS130">
        <v>15.02</v>
      </c>
      <c r="CT130">
        <v>2.91</v>
      </c>
      <c r="CU130">
        <v>-51.89</v>
      </c>
      <c r="CV130">
        <v>11.43</v>
      </c>
      <c r="CW130">
        <v>0.22</v>
      </c>
      <c r="CX130" t="s">
        <v>492</v>
      </c>
      <c r="CY130">
        <v>5.45</v>
      </c>
      <c r="CZ130">
        <v>5.45</v>
      </c>
      <c r="DA130">
        <v>3.36</v>
      </c>
      <c r="DB130">
        <v>1.82</v>
      </c>
      <c r="DC130">
        <v>-0.31</v>
      </c>
      <c r="DD130">
        <v>65.83</v>
      </c>
      <c r="DE130" t="s">
        <v>1060</v>
      </c>
      <c r="DF130">
        <v>37.83</v>
      </c>
      <c r="DG130">
        <v>17.71</v>
      </c>
      <c r="DH130">
        <v>14.15</v>
      </c>
      <c r="DI130">
        <v>1.92</v>
      </c>
      <c r="DJ130">
        <v>2589</v>
      </c>
      <c r="DK130">
        <v>547</v>
      </c>
      <c r="DL130" t="s">
        <v>120</v>
      </c>
      <c r="DM130" t="s">
        <v>120</v>
      </c>
      <c r="DN130" t="s">
        <v>120</v>
      </c>
    </row>
    <row r="131" spans="1:118">
      <c r="A131" t="str">
        <f>"000548"</f>
        <v>000548</v>
      </c>
      <c r="B131" t="s">
        <v>1061</v>
      </c>
      <c r="C131">
        <v>0</v>
      </c>
      <c r="D131">
        <v>0.25</v>
      </c>
      <c r="E131">
        <v>0</v>
      </c>
      <c r="F131">
        <v>587</v>
      </c>
      <c r="G131" t="s">
        <v>553</v>
      </c>
      <c r="H131">
        <v>1787.57</v>
      </c>
      <c r="I131">
        <v>0.28000000000000003</v>
      </c>
      <c r="J131" t="s">
        <v>120</v>
      </c>
      <c r="K131" t="s">
        <v>1062</v>
      </c>
      <c r="L131">
        <v>0.9</v>
      </c>
      <c r="M131">
        <v>3.96</v>
      </c>
      <c r="N131">
        <v>0.79</v>
      </c>
      <c r="O131">
        <v>1.77</v>
      </c>
      <c r="P131">
        <v>4.03</v>
      </c>
      <c r="Q131">
        <v>-0.51</v>
      </c>
      <c r="R131">
        <v>3.94</v>
      </c>
      <c r="S131">
        <v>3.96</v>
      </c>
      <c r="T131">
        <v>44872</v>
      </c>
      <c r="U131">
        <v>3.97</v>
      </c>
      <c r="V131">
        <v>3.96</v>
      </c>
      <c r="W131">
        <v>32.700000000000003</v>
      </c>
      <c r="X131" t="s">
        <v>800</v>
      </c>
      <c r="Y131" t="s">
        <v>594</v>
      </c>
      <c r="Z131">
        <v>2.27</v>
      </c>
      <c r="AA131">
        <v>3.98</v>
      </c>
      <c r="AB131">
        <v>22107</v>
      </c>
      <c r="AC131">
        <v>22765</v>
      </c>
      <c r="AD131">
        <v>0.97</v>
      </c>
      <c r="AE131">
        <v>567</v>
      </c>
      <c r="AF131">
        <v>575</v>
      </c>
      <c r="AG131" t="s">
        <v>120</v>
      </c>
      <c r="AH131">
        <v>0</v>
      </c>
      <c r="AI131" t="s">
        <v>120</v>
      </c>
      <c r="AJ131">
        <v>4.99</v>
      </c>
      <c r="AK131" t="s">
        <v>1062</v>
      </c>
      <c r="AL131">
        <v>1.91</v>
      </c>
      <c r="AM131">
        <v>981</v>
      </c>
      <c r="AN131">
        <v>46</v>
      </c>
      <c r="AO131">
        <v>8.9999999999999998E-4</v>
      </c>
      <c r="AP131">
        <v>0</v>
      </c>
      <c r="AQ131">
        <v>0.51</v>
      </c>
      <c r="AR131">
        <v>-1</v>
      </c>
      <c r="AS131">
        <v>7.03</v>
      </c>
      <c r="AT131">
        <v>4.21</v>
      </c>
      <c r="AU131">
        <v>-1.74</v>
      </c>
      <c r="AV131">
        <v>3</v>
      </c>
      <c r="AW131">
        <v>1.33</v>
      </c>
      <c r="AX131">
        <v>67.680000000000007</v>
      </c>
      <c r="AY131">
        <v>29.36</v>
      </c>
      <c r="AZ131">
        <v>22.76</v>
      </c>
      <c r="BA131">
        <v>0.02</v>
      </c>
      <c r="BB131" t="s">
        <v>143</v>
      </c>
      <c r="BF131">
        <v>0.6</v>
      </c>
      <c r="BG131">
        <v>0</v>
      </c>
      <c r="BH131">
        <v>-1.74</v>
      </c>
      <c r="BI131">
        <v>0.51</v>
      </c>
      <c r="BJ131">
        <v>20210830</v>
      </c>
      <c r="BK131">
        <v>19931220</v>
      </c>
      <c r="BL131">
        <v>4.99</v>
      </c>
      <c r="BM131" t="s">
        <v>120</v>
      </c>
      <c r="BN131" t="s">
        <v>120</v>
      </c>
      <c r="BO131">
        <v>24.62</v>
      </c>
      <c r="BP131">
        <v>3.96</v>
      </c>
      <c r="BQ131">
        <v>18.14</v>
      </c>
      <c r="BR131" t="s">
        <v>120</v>
      </c>
      <c r="BS131">
        <v>26.33</v>
      </c>
      <c r="BT131">
        <v>14.61</v>
      </c>
      <c r="BU131">
        <v>2.13</v>
      </c>
      <c r="BV131">
        <v>2.09</v>
      </c>
      <c r="BW131">
        <v>5.79</v>
      </c>
      <c r="BX131">
        <v>2.37</v>
      </c>
      <c r="BY131">
        <v>10.79</v>
      </c>
      <c r="BZ131">
        <v>0.08</v>
      </c>
      <c r="CA131">
        <v>0.03</v>
      </c>
      <c r="CB131">
        <v>4.78</v>
      </c>
      <c r="CC131">
        <v>1.78</v>
      </c>
      <c r="CD131">
        <v>0.88</v>
      </c>
      <c r="CE131">
        <v>0.41</v>
      </c>
      <c r="CF131">
        <v>0</v>
      </c>
      <c r="CG131">
        <v>0.41</v>
      </c>
      <c r="CH131">
        <v>0.3</v>
      </c>
      <c r="CI131">
        <v>0.3</v>
      </c>
      <c r="CJ131">
        <v>0</v>
      </c>
      <c r="CK131">
        <v>0.26</v>
      </c>
      <c r="CL131">
        <v>7.04</v>
      </c>
      <c r="CM131">
        <v>-3.64</v>
      </c>
      <c r="CN131">
        <v>-1.75</v>
      </c>
      <c r="CO131">
        <v>54471</v>
      </c>
      <c r="CP131">
        <v>6203</v>
      </c>
      <c r="CQ131" t="s">
        <v>1063</v>
      </c>
      <c r="CR131">
        <v>-39.24</v>
      </c>
      <c r="CS131">
        <v>-7.54</v>
      </c>
      <c r="CT131">
        <v>1.0900000000000001</v>
      </c>
      <c r="CU131">
        <v>-5.43</v>
      </c>
      <c r="CV131">
        <v>11.09</v>
      </c>
      <c r="CW131">
        <v>0.51</v>
      </c>
      <c r="CX131" t="s">
        <v>1064</v>
      </c>
      <c r="CY131">
        <v>3.63</v>
      </c>
      <c r="CZ131">
        <v>0</v>
      </c>
      <c r="DA131">
        <v>0.96</v>
      </c>
      <c r="DB131">
        <v>1.41</v>
      </c>
      <c r="DC131">
        <v>-0.73</v>
      </c>
      <c r="DD131">
        <v>73.67</v>
      </c>
      <c r="DE131" t="s">
        <v>662</v>
      </c>
      <c r="DF131">
        <v>50.74</v>
      </c>
      <c r="DG131">
        <v>23.07</v>
      </c>
      <c r="DH131">
        <v>16.95</v>
      </c>
      <c r="DI131" t="s">
        <v>120</v>
      </c>
      <c r="DJ131">
        <v>752</v>
      </c>
      <c r="DK131">
        <v>548</v>
      </c>
      <c r="DL131" t="s">
        <v>120</v>
      </c>
      <c r="DM131" t="s">
        <v>120</v>
      </c>
      <c r="DN131" t="s">
        <v>120</v>
      </c>
    </row>
    <row r="132" spans="1:118">
      <c r="A132" t="str">
        <f>"000550"</f>
        <v>000550</v>
      </c>
      <c r="B132" t="s">
        <v>1065</v>
      </c>
      <c r="C132">
        <v>-1.88</v>
      </c>
      <c r="D132">
        <v>1</v>
      </c>
      <c r="E132">
        <v>0</v>
      </c>
      <c r="F132">
        <v>1493</v>
      </c>
      <c r="G132" t="s">
        <v>1066</v>
      </c>
      <c r="H132">
        <v>10813.85</v>
      </c>
      <c r="I132">
        <v>4.83</v>
      </c>
      <c r="J132" t="s">
        <v>120</v>
      </c>
      <c r="K132" t="s">
        <v>1067</v>
      </c>
      <c r="L132">
        <v>1.1399999999999999</v>
      </c>
      <c r="M132">
        <v>18.23</v>
      </c>
      <c r="N132">
        <v>0.98</v>
      </c>
      <c r="O132">
        <v>0.54</v>
      </c>
      <c r="P132">
        <v>18.68</v>
      </c>
      <c r="Q132">
        <v>-3.12</v>
      </c>
      <c r="R132">
        <v>18</v>
      </c>
      <c r="S132">
        <v>18.579999999999998</v>
      </c>
      <c r="T132">
        <v>59252</v>
      </c>
      <c r="U132">
        <v>18.239999999999998</v>
      </c>
      <c r="V132">
        <v>18.579999999999998</v>
      </c>
      <c r="W132">
        <v>19.420000000000002</v>
      </c>
      <c r="X132" t="s">
        <v>1068</v>
      </c>
      <c r="Y132" t="s">
        <v>676</v>
      </c>
      <c r="Z132">
        <v>3.66</v>
      </c>
      <c r="AA132">
        <v>18.25</v>
      </c>
      <c r="AB132">
        <v>38107</v>
      </c>
      <c r="AC132">
        <v>21145</v>
      </c>
      <c r="AD132">
        <v>1.8</v>
      </c>
      <c r="AE132">
        <v>107</v>
      </c>
      <c r="AF132">
        <v>291</v>
      </c>
      <c r="AG132" t="s">
        <v>120</v>
      </c>
      <c r="AH132">
        <v>0</v>
      </c>
      <c r="AI132" t="s">
        <v>120</v>
      </c>
      <c r="AJ132">
        <v>5.18</v>
      </c>
      <c r="AK132" t="s">
        <v>1069</v>
      </c>
      <c r="AL132">
        <v>0.03</v>
      </c>
      <c r="AM132">
        <v>2635</v>
      </c>
      <c r="AN132">
        <v>22</v>
      </c>
      <c r="AO132">
        <v>4.0000000000000002E-4</v>
      </c>
      <c r="AP132">
        <v>-4</v>
      </c>
      <c r="AQ132">
        <v>-2.72</v>
      </c>
      <c r="AR132">
        <v>-5.2</v>
      </c>
      <c r="AS132">
        <v>-14.3</v>
      </c>
      <c r="AT132">
        <v>-10.48</v>
      </c>
      <c r="AU132">
        <v>6.21</v>
      </c>
      <c r="AV132">
        <v>12</v>
      </c>
      <c r="AW132">
        <v>3.61</v>
      </c>
      <c r="AX132">
        <v>19.03</v>
      </c>
      <c r="AY132">
        <v>21.44</v>
      </c>
      <c r="AZ132">
        <v>29.12</v>
      </c>
      <c r="BA132">
        <v>0.93</v>
      </c>
      <c r="BB132" t="s">
        <v>134</v>
      </c>
      <c r="BF132">
        <v>-1.77</v>
      </c>
      <c r="BG132">
        <v>-1.88</v>
      </c>
      <c r="BH132">
        <v>-2.41</v>
      </c>
      <c r="BI132">
        <v>1.28</v>
      </c>
      <c r="BJ132">
        <v>20210830</v>
      </c>
      <c r="BK132">
        <v>19931201</v>
      </c>
      <c r="BL132">
        <v>8.6300000000000008</v>
      </c>
      <c r="BM132">
        <v>3.44</v>
      </c>
      <c r="BN132" t="s">
        <v>120</v>
      </c>
      <c r="BO132">
        <v>284.08</v>
      </c>
      <c r="BP132">
        <v>18.23</v>
      </c>
      <c r="BQ132">
        <v>83.91</v>
      </c>
      <c r="BR132" t="s">
        <v>120</v>
      </c>
      <c r="BS132">
        <v>70.459999999999994</v>
      </c>
      <c r="BT132">
        <v>191.94</v>
      </c>
      <c r="BU132">
        <v>47.85</v>
      </c>
      <c r="BV132">
        <v>10.63</v>
      </c>
      <c r="BW132">
        <v>194.22</v>
      </c>
      <c r="BX132">
        <v>109.5</v>
      </c>
      <c r="BY132">
        <v>21.79</v>
      </c>
      <c r="BZ132">
        <v>34.020000000000003</v>
      </c>
      <c r="CA132" t="s">
        <v>120</v>
      </c>
      <c r="CB132">
        <v>8.39</v>
      </c>
      <c r="CC132">
        <v>176.76</v>
      </c>
      <c r="CD132">
        <v>150.5</v>
      </c>
      <c r="CE132">
        <v>4.22</v>
      </c>
      <c r="CF132">
        <v>-0.11</v>
      </c>
      <c r="CG132">
        <v>4.22</v>
      </c>
      <c r="CH132">
        <v>4.05</v>
      </c>
      <c r="CI132">
        <v>4.05</v>
      </c>
      <c r="CJ132">
        <v>-0.35</v>
      </c>
      <c r="CK132">
        <v>1.1399999999999999</v>
      </c>
      <c r="CL132">
        <v>62.69</v>
      </c>
      <c r="CM132">
        <v>0.7</v>
      </c>
      <c r="CN132">
        <v>-1.73</v>
      </c>
      <c r="CO132">
        <v>48843</v>
      </c>
      <c r="CP132">
        <v>10407</v>
      </c>
      <c r="CQ132" t="s">
        <v>1070</v>
      </c>
      <c r="CR132">
        <v>95.03</v>
      </c>
      <c r="CS132">
        <v>25.6</v>
      </c>
      <c r="CT132">
        <v>1.88</v>
      </c>
      <c r="CU132">
        <v>225.07</v>
      </c>
      <c r="CV132">
        <v>0.89</v>
      </c>
      <c r="CW132">
        <v>18.71</v>
      </c>
      <c r="CX132" t="s">
        <v>1071</v>
      </c>
      <c r="CY132">
        <v>9.7200000000000006</v>
      </c>
      <c r="CZ132">
        <v>0</v>
      </c>
      <c r="DA132">
        <v>0.97</v>
      </c>
      <c r="DB132">
        <v>7.26</v>
      </c>
      <c r="DC132">
        <v>0.08</v>
      </c>
      <c r="DD132">
        <v>29.54</v>
      </c>
      <c r="DE132" t="s">
        <v>1072</v>
      </c>
      <c r="DF132">
        <v>14.85</v>
      </c>
      <c r="DG132">
        <v>2.39</v>
      </c>
      <c r="DH132">
        <v>2.29</v>
      </c>
      <c r="DI132">
        <v>7.26</v>
      </c>
      <c r="DJ132">
        <v>13432</v>
      </c>
      <c r="DK132">
        <v>550</v>
      </c>
      <c r="DL132" t="s">
        <v>120</v>
      </c>
      <c r="DM132" t="s">
        <v>120</v>
      </c>
      <c r="DN132" t="s">
        <v>120</v>
      </c>
    </row>
    <row r="133" spans="1:118">
      <c r="A133" t="str">
        <f>"000551"</f>
        <v>000551</v>
      </c>
      <c r="B133" t="s">
        <v>1073</v>
      </c>
      <c r="C133">
        <v>5.21</v>
      </c>
      <c r="D133">
        <v>0</v>
      </c>
      <c r="E133">
        <v>0.71</v>
      </c>
      <c r="F133">
        <v>4665</v>
      </c>
      <c r="G133" t="s">
        <v>1074</v>
      </c>
      <c r="H133">
        <v>29155.1</v>
      </c>
      <c r="I133">
        <v>123.01</v>
      </c>
      <c r="J133" t="s">
        <v>120</v>
      </c>
      <c r="K133" t="s">
        <v>1075</v>
      </c>
      <c r="L133">
        <v>6.2</v>
      </c>
      <c r="M133">
        <v>11.91</v>
      </c>
      <c r="N133">
        <v>1.61</v>
      </c>
      <c r="O133">
        <v>7.69</v>
      </c>
      <c r="P133">
        <v>12.19</v>
      </c>
      <c r="Q133">
        <v>0</v>
      </c>
      <c r="R133">
        <v>11.32</v>
      </c>
      <c r="S133">
        <v>11.4</v>
      </c>
      <c r="T133">
        <v>247894</v>
      </c>
      <c r="U133">
        <v>11.91</v>
      </c>
      <c r="V133">
        <v>11.32</v>
      </c>
      <c r="W133">
        <v>32.549999999999997</v>
      </c>
      <c r="X133" t="s">
        <v>675</v>
      </c>
      <c r="Y133" t="s">
        <v>319</v>
      </c>
      <c r="Z133">
        <v>7.69</v>
      </c>
      <c r="AA133">
        <v>11.76</v>
      </c>
      <c r="AB133">
        <v>114218</v>
      </c>
      <c r="AC133">
        <v>133676</v>
      </c>
      <c r="AD133">
        <v>0.85</v>
      </c>
      <c r="AE133">
        <v>622</v>
      </c>
      <c r="AF133">
        <v>468</v>
      </c>
      <c r="AG133" t="s">
        <v>120</v>
      </c>
      <c r="AH133">
        <v>0.05</v>
      </c>
      <c r="AI133" t="s">
        <v>120</v>
      </c>
      <c r="AJ133">
        <v>4</v>
      </c>
      <c r="AK133" t="s">
        <v>1075</v>
      </c>
      <c r="AL133">
        <v>7.13</v>
      </c>
      <c r="AM133">
        <v>3582</v>
      </c>
      <c r="AN133">
        <v>69</v>
      </c>
      <c r="AO133">
        <v>1.6999999999999999E-3</v>
      </c>
      <c r="AP133">
        <v>2</v>
      </c>
      <c r="AQ133">
        <v>1.8</v>
      </c>
      <c r="AR133">
        <v>3.57</v>
      </c>
      <c r="AS133">
        <v>13.32</v>
      </c>
      <c r="AT133">
        <v>41.78</v>
      </c>
      <c r="AU133">
        <v>47.58</v>
      </c>
      <c r="AV133">
        <v>7</v>
      </c>
      <c r="AW133">
        <v>10.46</v>
      </c>
      <c r="AX133">
        <v>59.23</v>
      </c>
      <c r="AY133">
        <v>35.67</v>
      </c>
      <c r="AZ133">
        <v>38.82</v>
      </c>
      <c r="BA133">
        <v>0.86</v>
      </c>
      <c r="BB133" t="s">
        <v>143</v>
      </c>
      <c r="BF133">
        <v>3.9</v>
      </c>
      <c r="BG133">
        <v>4.47</v>
      </c>
      <c r="BH133">
        <v>-2.2999999999999998</v>
      </c>
      <c r="BI133">
        <v>5.21</v>
      </c>
      <c r="BJ133">
        <v>20210824</v>
      </c>
      <c r="BK133">
        <v>19940106</v>
      </c>
      <c r="BL133">
        <v>4</v>
      </c>
      <c r="BM133" t="s">
        <v>120</v>
      </c>
      <c r="BN133" t="s">
        <v>120</v>
      </c>
      <c r="BO133">
        <v>53.27</v>
      </c>
      <c r="BP133">
        <v>11.9</v>
      </c>
      <c r="BQ133">
        <v>19.989999999999998</v>
      </c>
      <c r="BR133">
        <v>7.51</v>
      </c>
      <c r="BS133">
        <v>48.37</v>
      </c>
      <c r="BT133">
        <v>34.5</v>
      </c>
      <c r="BU133">
        <v>9.32</v>
      </c>
      <c r="BV133">
        <v>1.64</v>
      </c>
      <c r="BW133">
        <v>24.33</v>
      </c>
      <c r="BX133">
        <v>8.27</v>
      </c>
      <c r="BY133">
        <v>10.5</v>
      </c>
      <c r="BZ133">
        <v>6.99</v>
      </c>
      <c r="CA133">
        <v>0.02</v>
      </c>
      <c r="CB133">
        <v>3.68</v>
      </c>
      <c r="CC133">
        <v>18.420000000000002</v>
      </c>
      <c r="CD133">
        <v>14.42</v>
      </c>
      <c r="CE133">
        <v>1.26</v>
      </c>
      <c r="CF133">
        <v>0.17</v>
      </c>
      <c r="CG133">
        <v>1.25</v>
      </c>
      <c r="CH133">
        <v>1.17</v>
      </c>
      <c r="CI133">
        <v>0.73</v>
      </c>
      <c r="CJ133">
        <v>0.59</v>
      </c>
      <c r="CK133">
        <v>0.63</v>
      </c>
      <c r="CL133">
        <v>8.8000000000000007</v>
      </c>
      <c r="CM133">
        <v>-0.09</v>
      </c>
      <c r="CN133">
        <v>-1.39</v>
      </c>
      <c r="CO133">
        <v>27231</v>
      </c>
      <c r="CP133">
        <v>8702</v>
      </c>
      <c r="CQ133" t="s">
        <v>1076</v>
      </c>
      <c r="CR133">
        <v>16.350000000000001</v>
      </c>
      <c r="CS133">
        <v>22.18</v>
      </c>
      <c r="CT133">
        <v>2.38</v>
      </c>
      <c r="CU133">
        <v>-513.54999999999995</v>
      </c>
      <c r="CV133">
        <v>2.59</v>
      </c>
      <c r="CW133">
        <v>0.88</v>
      </c>
      <c r="CX133" t="s">
        <v>242</v>
      </c>
      <c r="CY133">
        <v>5</v>
      </c>
      <c r="CZ133">
        <v>0</v>
      </c>
      <c r="DA133">
        <v>0.92</v>
      </c>
      <c r="DB133">
        <v>2.2000000000000002</v>
      </c>
      <c r="DC133">
        <v>-0.02</v>
      </c>
      <c r="DD133">
        <v>37.54</v>
      </c>
      <c r="DE133" t="s">
        <v>1077</v>
      </c>
      <c r="DF133">
        <v>21.69</v>
      </c>
      <c r="DG133">
        <v>6.85</v>
      </c>
      <c r="DH133">
        <v>3.97</v>
      </c>
      <c r="DI133">
        <v>0.93</v>
      </c>
      <c r="DJ133">
        <v>2658</v>
      </c>
      <c r="DK133">
        <v>551</v>
      </c>
      <c r="DL133" t="s">
        <v>120</v>
      </c>
      <c r="DM133" t="s">
        <v>120</v>
      </c>
      <c r="DN133" t="s">
        <v>120</v>
      </c>
    </row>
    <row r="134" spans="1:118">
      <c r="A134" t="str">
        <f>"000552"</f>
        <v>000552</v>
      </c>
      <c r="B134" t="s">
        <v>1078</v>
      </c>
      <c r="C134">
        <v>-2.06</v>
      </c>
      <c r="D134">
        <v>0.26</v>
      </c>
      <c r="E134">
        <v>2.31</v>
      </c>
      <c r="F134">
        <v>7172</v>
      </c>
      <c r="G134" t="s">
        <v>1079</v>
      </c>
      <c r="H134">
        <v>48990.75</v>
      </c>
      <c r="I134">
        <v>461.68</v>
      </c>
      <c r="J134" t="s">
        <v>120</v>
      </c>
      <c r="K134" t="s">
        <v>1080</v>
      </c>
      <c r="L134">
        <v>5.48</v>
      </c>
      <c r="M134">
        <v>3.81</v>
      </c>
      <c r="N134">
        <v>0.98</v>
      </c>
      <c r="O134">
        <v>3.6</v>
      </c>
      <c r="P134">
        <v>4.03</v>
      </c>
      <c r="Q134">
        <v>-2.31</v>
      </c>
      <c r="R134">
        <v>3.8</v>
      </c>
      <c r="S134">
        <v>3.98</v>
      </c>
      <c r="T134">
        <v>1251855</v>
      </c>
      <c r="U134">
        <v>3.82</v>
      </c>
      <c r="V134">
        <v>3.89</v>
      </c>
      <c r="W134">
        <v>15.2</v>
      </c>
      <c r="X134" t="s">
        <v>1081</v>
      </c>
      <c r="Y134" t="s">
        <v>1082</v>
      </c>
      <c r="Z134">
        <v>5.91</v>
      </c>
      <c r="AA134">
        <v>3.91</v>
      </c>
      <c r="AB134">
        <v>679235</v>
      </c>
      <c r="AC134">
        <v>572620</v>
      </c>
      <c r="AD134">
        <v>1.19</v>
      </c>
      <c r="AE134">
        <v>1382</v>
      </c>
      <c r="AF134">
        <v>3874</v>
      </c>
      <c r="AG134" t="s">
        <v>120</v>
      </c>
      <c r="AH134">
        <v>0.1</v>
      </c>
      <c r="AI134" t="s">
        <v>120</v>
      </c>
      <c r="AJ134">
        <v>22.84</v>
      </c>
      <c r="AK134" t="s">
        <v>1083</v>
      </c>
      <c r="AL134">
        <v>-0.14000000000000001</v>
      </c>
      <c r="AM134">
        <v>4203</v>
      </c>
      <c r="AN134">
        <v>298</v>
      </c>
      <c r="AO134">
        <v>1.2999999999999999E-3</v>
      </c>
      <c r="AP134">
        <v>-1</v>
      </c>
      <c r="AQ134">
        <v>4.8499999999999996</v>
      </c>
      <c r="AR134">
        <v>0.79</v>
      </c>
      <c r="AS134">
        <v>25.33</v>
      </c>
      <c r="AT134">
        <v>24.1</v>
      </c>
      <c r="AU134">
        <v>22.51</v>
      </c>
      <c r="AV134">
        <v>2</v>
      </c>
      <c r="AW134">
        <v>11.05</v>
      </c>
      <c r="AX134">
        <v>49.52</v>
      </c>
      <c r="AY134">
        <v>19.41</v>
      </c>
      <c r="AZ134">
        <v>19.989999999999998</v>
      </c>
      <c r="BA134">
        <v>0.09</v>
      </c>
      <c r="BB134" t="s">
        <v>184</v>
      </c>
      <c r="BF134">
        <v>0.6</v>
      </c>
      <c r="BG134">
        <v>-4.2699999999999996</v>
      </c>
      <c r="BH134">
        <v>-5.46</v>
      </c>
      <c r="BI134">
        <v>0.26</v>
      </c>
      <c r="BJ134">
        <v>20210824</v>
      </c>
      <c r="BK134">
        <v>19940106</v>
      </c>
      <c r="BL134">
        <v>22.87</v>
      </c>
      <c r="BM134" t="s">
        <v>120</v>
      </c>
      <c r="BN134" t="s">
        <v>120</v>
      </c>
      <c r="BO134">
        <v>135.25</v>
      </c>
      <c r="BP134">
        <v>3.81</v>
      </c>
      <c r="BQ134">
        <v>83.84</v>
      </c>
      <c r="BR134">
        <v>2</v>
      </c>
      <c r="BS134">
        <v>36.54</v>
      </c>
      <c r="BT134">
        <v>74.61</v>
      </c>
      <c r="BU134">
        <v>31.7</v>
      </c>
      <c r="BV134">
        <v>19.559999999999999</v>
      </c>
      <c r="BW134">
        <v>17.22</v>
      </c>
      <c r="BX134">
        <v>48.51</v>
      </c>
      <c r="BY134">
        <v>1.52</v>
      </c>
      <c r="BZ134">
        <v>4.76</v>
      </c>
      <c r="CA134">
        <v>0.09</v>
      </c>
      <c r="CB134">
        <v>18.93</v>
      </c>
      <c r="CC134">
        <v>22.5</v>
      </c>
      <c r="CD134">
        <v>15.89</v>
      </c>
      <c r="CE134">
        <v>3.27</v>
      </c>
      <c r="CF134">
        <v>0.01</v>
      </c>
      <c r="CG134">
        <v>3.26</v>
      </c>
      <c r="CH134">
        <v>2.87</v>
      </c>
      <c r="CI134">
        <v>2.87</v>
      </c>
      <c r="CJ134">
        <v>-0.08</v>
      </c>
      <c r="CK134">
        <v>2.84</v>
      </c>
      <c r="CL134">
        <v>27.96</v>
      </c>
      <c r="CM134">
        <v>4.55</v>
      </c>
      <c r="CN134">
        <v>-4.68</v>
      </c>
      <c r="CO134">
        <v>48218</v>
      </c>
      <c r="CP134">
        <v>23488</v>
      </c>
      <c r="CQ134" t="s">
        <v>1084</v>
      </c>
      <c r="CR134">
        <v>4.8499999999999996</v>
      </c>
      <c r="CS134">
        <v>18.670000000000002</v>
      </c>
      <c r="CT134">
        <v>1.1000000000000001</v>
      </c>
      <c r="CU134">
        <v>19.14</v>
      </c>
      <c r="CV134">
        <v>3.87</v>
      </c>
      <c r="CW134">
        <v>5.03</v>
      </c>
      <c r="CX134" t="s">
        <v>1085</v>
      </c>
      <c r="CY134">
        <v>3.46</v>
      </c>
      <c r="CZ134">
        <v>3.46</v>
      </c>
      <c r="DA134">
        <v>0.83</v>
      </c>
      <c r="DB134">
        <v>1.22</v>
      </c>
      <c r="DC134">
        <v>0.2</v>
      </c>
      <c r="DD134">
        <v>61.99</v>
      </c>
      <c r="DE134" t="s">
        <v>367</v>
      </c>
      <c r="DF134">
        <v>29.35</v>
      </c>
      <c r="DG134">
        <v>14.55</v>
      </c>
      <c r="DH134">
        <v>12.74</v>
      </c>
      <c r="DI134">
        <v>0</v>
      </c>
      <c r="DJ134">
        <v>12391</v>
      </c>
      <c r="DK134">
        <v>552</v>
      </c>
      <c r="DL134" t="s">
        <v>120</v>
      </c>
      <c r="DM134" t="s">
        <v>120</v>
      </c>
      <c r="DN134" t="s">
        <v>120</v>
      </c>
    </row>
    <row r="135" spans="1:118">
      <c r="A135" t="str">
        <f>"000553"</f>
        <v>000553</v>
      </c>
      <c r="B135" t="s">
        <v>1086</v>
      </c>
      <c r="C135">
        <v>-0.09</v>
      </c>
      <c r="D135">
        <v>0.38</v>
      </c>
      <c r="E135">
        <v>1.68</v>
      </c>
      <c r="F135">
        <v>5693</v>
      </c>
      <c r="G135" t="s">
        <v>1087</v>
      </c>
      <c r="H135">
        <v>15255.14</v>
      </c>
      <c r="I135">
        <v>39.82</v>
      </c>
      <c r="J135" t="s">
        <v>120</v>
      </c>
      <c r="K135" t="s">
        <v>1088</v>
      </c>
      <c r="L135">
        <v>0.65</v>
      </c>
      <c r="M135">
        <v>10.69</v>
      </c>
      <c r="N135">
        <v>1.1499999999999999</v>
      </c>
      <c r="O135">
        <v>3.55</v>
      </c>
      <c r="P135">
        <v>11.08</v>
      </c>
      <c r="Q135">
        <v>-1.31</v>
      </c>
      <c r="R135">
        <v>10.56</v>
      </c>
      <c r="S135">
        <v>10.88</v>
      </c>
      <c r="T135">
        <v>141232</v>
      </c>
      <c r="U135">
        <v>10.69</v>
      </c>
      <c r="V135">
        <v>10.7</v>
      </c>
      <c r="W135">
        <v>33.93</v>
      </c>
      <c r="X135" t="s">
        <v>690</v>
      </c>
      <c r="Y135" t="s">
        <v>763</v>
      </c>
      <c r="Z135">
        <v>4.8600000000000003</v>
      </c>
      <c r="AA135">
        <v>10.8</v>
      </c>
      <c r="AB135">
        <v>66865</v>
      </c>
      <c r="AC135">
        <v>74367</v>
      </c>
      <c r="AD135">
        <v>0.9</v>
      </c>
      <c r="AE135">
        <v>3</v>
      </c>
      <c r="AF135">
        <v>12</v>
      </c>
      <c r="AG135" t="s">
        <v>120</v>
      </c>
      <c r="AH135">
        <v>0.01</v>
      </c>
      <c r="AI135" t="s">
        <v>120</v>
      </c>
      <c r="AJ135">
        <v>21.77</v>
      </c>
      <c r="AK135" t="s">
        <v>1089</v>
      </c>
      <c r="AL135">
        <v>1.82</v>
      </c>
      <c r="AM135">
        <v>3106</v>
      </c>
      <c r="AN135">
        <v>45</v>
      </c>
      <c r="AO135">
        <v>2.0000000000000001E-4</v>
      </c>
      <c r="AP135">
        <v>-1</v>
      </c>
      <c r="AQ135">
        <v>2.2000000000000002</v>
      </c>
      <c r="AR135">
        <v>0.47</v>
      </c>
      <c r="AS135">
        <v>16.7</v>
      </c>
      <c r="AT135">
        <v>15.14</v>
      </c>
      <c r="AU135">
        <v>36.979999999999997</v>
      </c>
      <c r="AV135">
        <v>1</v>
      </c>
      <c r="AW135">
        <v>4.05</v>
      </c>
      <c r="AX135">
        <v>14.98</v>
      </c>
      <c r="AY135">
        <v>48.39</v>
      </c>
      <c r="AZ135">
        <v>70.67</v>
      </c>
      <c r="BA135">
        <v>0.55000000000000004</v>
      </c>
      <c r="BB135" t="s">
        <v>184</v>
      </c>
      <c r="BF135">
        <v>0.95</v>
      </c>
      <c r="BG135">
        <v>-1.75</v>
      </c>
      <c r="BH135">
        <v>-3.52</v>
      </c>
      <c r="BI135">
        <v>1.23</v>
      </c>
      <c r="BJ135">
        <v>20210901</v>
      </c>
      <c r="BK135">
        <v>19931203</v>
      </c>
      <c r="BL135">
        <v>23.3</v>
      </c>
      <c r="BM135">
        <v>1.53</v>
      </c>
      <c r="BN135" t="s">
        <v>120</v>
      </c>
      <c r="BO135">
        <v>494.5</v>
      </c>
      <c r="BP135">
        <v>10.67</v>
      </c>
      <c r="BQ135">
        <v>214.32</v>
      </c>
      <c r="BR135" t="s">
        <v>120</v>
      </c>
      <c r="BS135">
        <v>56.66</v>
      </c>
      <c r="BT135">
        <v>281.45999999999998</v>
      </c>
      <c r="BU135">
        <v>76.95</v>
      </c>
      <c r="BV135">
        <v>51.5</v>
      </c>
      <c r="BW135">
        <v>136.51</v>
      </c>
      <c r="BX135">
        <v>46.33</v>
      </c>
      <c r="BY135">
        <v>112.81</v>
      </c>
      <c r="BZ135">
        <v>92.96</v>
      </c>
      <c r="CA135" t="s">
        <v>120</v>
      </c>
      <c r="CB135">
        <v>128.82</v>
      </c>
      <c r="CC135">
        <v>150.63999999999999</v>
      </c>
      <c r="CD135">
        <v>107.07</v>
      </c>
      <c r="CE135">
        <v>4.03</v>
      </c>
      <c r="CF135">
        <v>5.28</v>
      </c>
      <c r="CG135">
        <v>4.2</v>
      </c>
      <c r="CH135">
        <v>3.69</v>
      </c>
      <c r="CI135">
        <v>3.67</v>
      </c>
      <c r="CJ135">
        <v>-0.01</v>
      </c>
      <c r="CK135">
        <v>3.22</v>
      </c>
      <c r="CL135">
        <v>61.57</v>
      </c>
      <c r="CM135">
        <v>14.91</v>
      </c>
      <c r="CN135">
        <v>8.08</v>
      </c>
      <c r="CO135">
        <v>45262</v>
      </c>
      <c r="CP135">
        <v>11084</v>
      </c>
      <c r="CQ135" t="s">
        <v>1090</v>
      </c>
      <c r="CR135">
        <v>79.349999999999994</v>
      </c>
      <c r="CS135">
        <v>6.68</v>
      </c>
      <c r="CT135">
        <v>1.1599999999999999</v>
      </c>
      <c r="CU135">
        <v>16.7</v>
      </c>
      <c r="CV135">
        <v>1.65</v>
      </c>
      <c r="CW135">
        <v>0.15</v>
      </c>
      <c r="CX135" t="s">
        <v>1091</v>
      </c>
      <c r="CY135">
        <v>9.1999999999999993</v>
      </c>
      <c r="CZ135">
        <v>0</v>
      </c>
      <c r="DA135">
        <v>5.53</v>
      </c>
      <c r="DB135">
        <v>2.64</v>
      </c>
      <c r="DC135">
        <v>0.64</v>
      </c>
      <c r="DD135">
        <v>43.34</v>
      </c>
      <c r="DE135" t="s">
        <v>1092</v>
      </c>
      <c r="DF135">
        <v>28.92</v>
      </c>
      <c r="DG135">
        <v>2.67</v>
      </c>
      <c r="DH135">
        <v>2.44</v>
      </c>
      <c r="DI135">
        <v>2.27</v>
      </c>
      <c r="DJ135">
        <v>7768</v>
      </c>
      <c r="DK135">
        <v>553</v>
      </c>
      <c r="DL135" t="s">
        <v>120</v>
      </c>
      <c r="DM135" t="s">
        <v>120</v>
      </c>
      <c r="DN135" t="s">
        <v>120</v>
      </c>
    </row>
    <row r="136" spans="1:118">
      <c r="A136" t="str">
        <f>"000554"</f>
        <v>000554</v>
      </c>
      <c r="B136" t="s">
        <v>1093</v>
      </c>
      <c r="C136">
        <v>-1.72</v>
      </c>
      <c r="D136">
        <v>0</v>
      </c>
      <c r="E136">
        <v>0.76</v>
      </c>
      <c r="F136">
        <v>2991</v>
      </c>
      <c r="G136" t="s">
        <v>1094</v>
      </c>
      <c r="H136">
        <v>13205.1</v>
      </c>
      <c r="I136">
        <v>75.239999999999995</v>
      </c>
      <c r="J136" t="s">
        <v>120</v>
      </c>
      <c r="K136" t="s">
        <v>1094</v>
      </c>
      <c r="L136">
        <v>6.98</v>
      </c>
      <c r="M136">
        <v>5.15</v>
      </c>
      <c r="N136">
        <v>1.02</v>
      </c>
      <c r="O136">
        <v>1.91</v>
      </c>
      <c r="P136">
        <v>5.34</v>
      </c>
      <c r="Q136">
        <v>-2.1</v>
      </c>
      <c r="R136">
        <v>5.13</v>
      </c>
      <c r="S136">
        <v>5.28</v>
      </c>
      <c r="T136">
        <v>253045</v>
      </c>
      <c r="U136">
        <v>5.15</v>
      </c>
      <c r="V136">
        <v>5.24</v>
      </c>
      <c r="W136">
        <v>817.08</v>
      </c>
      <c r="X136" t="s">
        <v>532</v>
      </c>
      <c r="Y136" t="s">
        <v>638</v>
      </c>
      <c r="Z136">
        <v>4.01</v>
      </c>
      <c r="AA136">
        <v>5.22</v>
      </c>
      <c r="AB136">
        <v>134436</v>
      </c>
      <c r="AC136">
        <v>118609</v>
      </c>
      <c r="AD136">
        <v>1.1299999999999999</v>
      </c>
      <c r="AE136">
        <v>751</v>
      </c>
      <c r="AF136">
        <v>5473</v>
      </c>
      <c r="AG136" t="s">
        <v>120</v>
      </c>
      <c r="AH136">
        <v>0.04</v>
      </c>
      <c r="AI136" t="s">
        <v>120</v>
      </c>
      <c r="AJ136">
        <v>3.63</v>
      </c>
      <c r="AK136" t="s">
        <v>1095</v>
      </c>
      <c r="AL136">
        <v>0.2</v>
      </c>
      <c r="AM136">
        <v>3046</v>
      </c>
      <c r="AN136">
        <v>83</v>
      </c>
      <c r="AO136">
        <v>2.3E-3</v>
      </c>
      <c r="AP136">
        <v>-1</v>
      </c>
      <c r="AQ136">
        <v>3.35</v>
      </c>
      <c r="AR136">
        <v>3.2</v>
      </c>
      <c r="AS136">
        <v>16.78</v>
      </c>
      <c r="AT136">
        <v>8.65</v>
      </c>
      <c r="AU136">
        <v>17.04</v>
      </c>
      <c r="AV136">
        <v>0</v>
      </c>
      <c r="AW136">
        <v>6.98</v>
      </c>
      <c r="AX136">
        <v>75.430000000000007</v>
      </c>
      <c r="AY136">
        <v>289.82</v>
      </c>
      <c r="AZ136">
        <v>345.69</v>
      </c>
      <c r="BA136">
        <v>0.27</v>
      </c>
      <c r="BB136" t="s">
        <v>700</v>
      </c>
      <c r="BF136">
        <v>-0.41</v>
      </c>
      <c r="BG136">
        <v>-2.46</v>
      </c>
      <c r="BH136">
        <v>-3.56</v>
      </c>
      <c r="BI136">
        <v>0.39</v>
      </c>
      <c r="BJ136">
        <v>20210826</v>
      </c>
      <c r="BK136">
        <v>19931215</v>
      </c>
      <c r="BL136">
        <v>4.8099999999999996</v>
      </c>
      <c r="BM136" t="s">
        <v>120</v>
      </c>
      <c r="BN136" t="s">
        <v>120</v>
      </c>
      <c r="BO136">
        <v>13.67</v>
      </c>
      <c r="BP136">
        <v>5.14</v>
      </c>
      <c r="BQ136">
        <v>9.2100000000000009</v>
      </c>
      <c r="BR136">
        <v>0.03</v>
      </c>
      <c r="BS136">
        <v>32.4</v>
      </c>
      <c r="BT136">
        <v>3.12</v>
      </c>
      <c r="BU136">
        <v>5.18</v>
      </c>
      <c r="BV136">
        <v>2.78</v>
      </c>
      <c r="BW136">
        <v>3.25</v>
      </c>
      <c r="BX136">
        <v>0.72</v>
      </c>
      <c r="BY136">
        <v>1.85</v>
      </c>
      <c r="BZ136">
        <v>0.03</v>
      </c>
      <c r="CA136" t="s">
        <v>120</v>
      </c>
      <c r="CB136">
        <v>1.87</v>
      </c>
      <c r="CC136">
        <v>12.91</v>
      </c>
      <c r="CD136">
        <v>11.57</v>
      </c>
      <c r="CE136">
        <v>0.05</v>
      </c>
      <c r="CF136">
        <v>-0.01</v>
      </c>
      <c r="CG136">
        <v>7.0000000000000007E-2</v>
      </c>
      <c r="CH136">
        <v>0.02</v>
      </c>
      <c r="CI136">
        <v>0.02</v>
      </c>
      <c r="CJ136">
        <v>-0.09</v>
      </c>
      <c r="CK136">
        <v>0</v>
      </c>
      <c r="CL136">
        <v>1.33</v>
      </c>
      <c r="CM136">
        <v>-1.38</v>
      </c>
      <c r="CN136">
        <v>-1.57</v>
      </c>
      <c r="CO136">
        <v>40368</v>
      </c>
      <c r="CP136">
        <v>8984</v>
      </c>
      <c r="CQ136" t="s">
        <v>1096</v>
      </c>
      <c r="CR136">
        <v>1272.3399999999999</v>
      </c>
      <c r="CS136">
        <v>19.170000000000002</v>
      </c>
      <c r="CT136">
        <v>2.69</v>
      </c>
      <c r="CU136">
        <v>-17.88</v>
      </c>
      <c r="CV136">
        <v>1.92</v>
      </c>
      <c r="CW136">
        <v>0.19</v>
      </c>
      <c r="CX136" t="s">
        <v>1097</v>
      </c>
      <c r="CY136">
        <v>1.92</v>
      </c>
      <c r="CZ136">
        <v>0</v>
      </c>
      <c r="DA136">
        <v>0.39</v>
      </c>
      <c r="DB136">
        <v>0.28000000000000003</v>
      </c>
      <c r="DC136">
        <v>-0.28999999999999998</v>
      </c>
      <c r="DD136">
        <v>67.349999999999994</v>
      </c>
      <c r="DE136" t="s">
        <v>1098</v>
      </c>
      <c r="DF136">
        <v>10.41</v>
      </c>
      <c r="DG136">
        <v>0.4</v>
      </c>
      <c r="DH136">
        <v>0.12</v>
      </c>
      <c r="DI136" t="s">
        <v>120</v>
      </c>
      <c r="DJ136">
        <v>1185</v>
      </c>
      <c r="DK136">
        <v>554</v>
      </c>
      <c r="DL136" t="s">
        <v>120</v>
      </c>
      <c r="DM136" t="s">
        <v>120</v>
      </c>
      <c r="DN136" t="s">
        <v>120</v>
      </c>
    </row>
    <row r="137" spans="1:118">
      <c r="A137" t="str">
        <f>"000555"</f>
        <v>000555</v>
      </c>
      <c r="B137" t="s">
        <v>1099</v>
      </c>
      <c r="C137">
        <v>-1.1000000000000001</v>
      </c>
      <c r="D137">
        <v>0.67</v>
      </c>
      <c r="E137">
        <v>-0.28999999999999998</v>
      </c>
      <c r="F137">
        <v>2955</v>
      </c>
      <c r="G137" t="s">
        <v>1100</v>
      </c>
      <c r="H137">
        <v>10067.09</v>
      </c>
      <c r="I137">
        <v>35.369999999999997</v>
      </c>
      <c r="J137" t="s">
        <v>120</v>
      </c>
      <c r="K137" t="s">
        <v>1101</v>
      </c>
      <c r="L137">
        <v>0.77</v>
      </c>
      <c r="M137">
        <v>13.44</v>
      </c>
      <c r="N137">
        <v>0.82</v>
      </c>
      <c r="O137">
        <v>0.74</v>
      </c>
      <c r="P137">
        <v>13.69</v>
      </c>
      <c r="Q137">
        <v>-1.91</v>
      </c>
      <c r="R137">
        <v>13.33</v>
      </c>
      <c r="S137">
        <v>13.55</v>
      </c>
      <c r="T137">
        <v>74635</v>
      </c>
      <c r="U137">
        <v>13.44</v>
      </c>
      <c r="V137">
        <v>13.59</v>
      </c>
      <c r="W137">
        <v>37.29</v>
      </c>
      <c r="X137" t="s">
        <v>141</v>
      </c>
      <c r="Y137" t="s">
        <v>123</v>
      </c>
      <c r="Z137">
        <v>2.65</v>
      </c>
      <c r="AA137">
        <v>13.49</v>
      </c>
      <c r="AB137">
        <v>44106</v>
      </c>
      <c r="AC137">
        <v>30529</v>
      </c>
      <c r="AD137">
        <v>1.44</v>
      </c>
      <c r="AE137">
        <v>18</v>
      </c>
      <c r="AF137">
        <v>224</v>
      </c>
      <c r="AG137" t="s">
        <v>120</v>
      </c>
      <c r="AH137">
        <v>0.01</v>
      </c>
      <c r="AI137" t="s">
        <v>120</v>
      </c>
      <c r="AJ137">
        <v>9.66</v>
      </c>
      <c r="AK137" t="s">
        <v>1102</v>
      </c>
      <c r="AL137">
        <v>0.81</v>
      </c>
      <c r="AM137">
        <v>2607</v>
      </c>
      <c r="AN137">
        <v>29</v>
      </c>
      <c r="AO137">
        <v>2.9999999999999997E-4</v>
      </c>
      <c r="AP137">
        <v>-3</v>
      </c>
      <c r="AQ137">
        <v>-0.44</v>
      </c>
      <c r="AR137">
        <v>-3.17</v>
      </c>
      <c r="AS137">
        <v>3.15</v>
      </c>
      <c r="AT137">
        <v>-6.99</v>
      </c>
      <c r="AU137">
        <v>-13.01</v>
      </c>
      <c r="AV137">
        <v>1</v>
      </c>
      <c r="AW137">
        <v>1.61</v>
      </c>
      <c r="AX137">
        <v>47.32</v>
      </c>
      <c r="AY137">
        <v>26.82</v>
      </c>
      <c r="AZ137">
        <v>27.91</v>
      </c>
      <c r="BA137">
        <v>0.51</v>
      </c>
      <c r="BB137" t="s">
        <v>1103</v>
      </c>
      <c r="BF137">
        <v>-0.75</v>
      </c>
      <c r="BG137">
        <v>-0.81</v>
      </c>
      <c r="BH137">
        <v>-1.83</v>
      </c>
      <c r="BI137">
        <v>0.83</v>
      </c>
      <c r="BJ137">
        <v>20210830</v>
      </c>
      <c r="BK137">
        <v>19940408</v>
      </c>
      <c r="BL137">
        <v>9.77</v>
      </c>
      <c r="BM137" t="s">
        <v>120</v>
      </c>
      <c r="BN137" t="s">
        <v>120</v>
      </c>
      <c r="BO137">
        <v>114.42</v>
      </c>
      <c r="BP137">
        <v>13.36</v>
      </c>
      <c r="BQ137">
        <v>56.72</v>
      </c>
      <c r="BR137">
        <v>0.95</v>
      </c>
      <c r="BS137">
        <v>49.6</v>
      </c>
      <c r="BT137">
        <v>86.03</v>
      </c>
      <c r="BU137">
        <v>4.33</v>
      </c>
      <c r="BV137">
        <v>1.19</v>
      </c>
      <c r="BW137">
        <v>55.44</v>
      </c>
      <c r="BX137">
        <v>9.3800000000000008</v>
      </c>
      <c r="BY137">
        <v>25.57</v>
      </c>
      <c r="BZ137">
        <v>23.8</v>
      </c>
      <c r="CA137" t="s">
        <v>120</v>
      </c>
      <c r="CB137">
        <v>24.27</v>
      </c>
      <c r="CC137">
        <v>49.3</v>
      </c>
      <c r="CD137">
        <v>40.299999999999997</v>
      </c>
      <c r="CE137">
        <v>1.66</v>
      </c>
      <c r="CF137">
        <v>0.17</v>
      </c>
      <c r="CG137">
        <v>1.66</v>
      </c>
      <c r="CH137">
        <v>1.7</v>
      </c>
      <c r="CI137">
        <v>1.76</v>
      </c>
      <c r="CJ137">
        <v>-0.15</v>
      </c>
      <c r="CK137">
        <v>1.65</v>
      </c>
      <c r="CL137">
        <v>23.57</v>
      </c>
      <c r="CM137">
        <v>-5</v>
      </c>
      <c r="CN137">
        <v>-9.14</v>
      </c>
      <c r="CO137">
        <v>76723</v>
      </c>
      <c r="CP137">
        <v>6026</v>
      </c>
      <c r="CQ137" t="s">
        <v>1104</v>
      </c>
      <c r="CR137">
        <v>12.36</v>
      </c>
      <c r="CS137">
        <v>12.7</v>
      </c>
      <c r="CT137">
        <v>2.31</v>
      </c>
      <c r="CU137">
        <v>-26.24</v>
      </c>
      <c r="CV137">
        <v>2.66</v>
      </c>
      <c r="CW137">
        <v>0.36</v>
      </c>
      <c r="CX137" t="s">
        <v>242</v>
      </c>
      <c r="CY137">
        <v>5.81</v>
      </c>
      <c r="CZ137">
        <v>0</v>
      </c>
      <c r="DA137">
        <v>2.48</v>
      </c>
      <c r="DB137">
        <v>2.41</v>
      </c>
      <c r="DC137">
        <v>-0.51</v>
      </c>
      <c r="DD137">
        <v>49.57</v>
      </c>
      <c r="DE137" t="s">
        <v>1105</v>
      </c>
      <c r="DF137">
        <v>18.25</v>
      </c>
      <c r="DG137">
        <v>3.36</v>
      </c>
      <c r="DH137">
        <v>3.57</v>
      </c>
      <c r="DI137">
        <v>2.6</v>
      </c>
      <c r="DJ137">
        <v>12898</v>
      </c>
      <c r="DK137">
        <v>555</v>
      </c>
      <c r="DL137" t="s">
        <v>120</v>
      </c>
      <c r="DM137" t="s">
        <v>120</v>
      </c>
      <c r="DN137" t="s">
        <v>120</v>
      </c>
    </row>
    <row r="138" spans="1:118">
      <c r="A138" t="str">
        <f>"000557"</f>
        <v>000557</v>
      </c>
      <c r="B138" t="s">
        <v>1106</v>
      </c>
      <c r="C138">
        <v>-1.98</v>
      </c>
      <c r="D138">
        <v>-0.24</v>
      </c>
      <c r="E138">
        <v>0.25</v>
      </c>
      <c r="F138">
        <v>2182</v>
      </c>
      <c r="G138" t="s">
        <v>1107</v>
      </c>
      <c r="H138">
        <v>6243.45</v>
      </c>
      <c r="I138">
        <v>8.34</v>
      </c>
      <c r="J138" t="s">
        <v>120</v>
      </c>
      <c r="K138" t="s">
        <v>1108</v>
      </c>
      <c r="L138">
        <v>1.07</v>
      </c>
      <c r="M138">
        <v>3.96</v>
      </c>
      <c r="N138">
        <v>0.95</v>
      </c>
      <c r="O138">
        <v>0.74</v>
      </c>
      <c r="P138">
        <v>4.07</v>
      </c>
      <c r="Q138">
        <v>-2.23</v>
      </c>
      <c r="R138">
        <v>3.95</v>
      </c>
      <c r="S138">
        <v>4.05</v>
      </c>
      <c r="T138">
        <v>155715</v>
      </c>
      <c r="U138">
        <v>3.97</v>
      </c>
      <c r="V138">
        <v>4.04</v>
      </c>
      <c r="W138">
        <v>19.149999999999999</v>
      </c>
      <c r="X138" t="s">
        <v>1109</v>
      </c>
      <c r="Y138" t="s">
        <v>1110</v>
      </c>
      <c r="Z138">
        <v>2.97</v>
      </c>
      <c r="AA138">
        <v>4.01</v>
      </c>
      <c r="AB138">
        <v>94435</v>
      </c>
      <c r="AC138">
        <v>61280</v>
      </c>
      <c r="AD138">
        <v>1.54</v>
      </c>
      <c r="AE138">
        <v>917</v>
      </c>
      <c r="AF138">
        <v>604</v>
      </c>
      <c r="AG138" t="s">
        <v>120</v>
      </c>
      <c r="AH138">
        <v>0</v>
      </c>
      <c r="AI138" t="s">
        <v>120</v>
      </c>
      <c r="AJ138">
        <v>14.58</v>
      </c>
      <c r="AK138" t="s">
        <v>1111</v>
      </c>
      <c r="AL138">
        <v>-7.0000000000000007E-2</v>
      </c>
      <c r="AM138">
        <v>1981</v>
      </c>
      <c r="AN138">
        <v>79</v>
      </c>
      <c r="AO138">
        <v>5.0000000000000001E-4</v>
      </c>
      <c r="AP138">
        <v>-1</v>
      </c>
      <c r="AQ138">
        <v>3.59</v>
      </c>
      <c r="AR138">
        <v>0</v>
      </c>
      <c r="AS138">
        <v>11.55</v>
      </c>
      <c r="AT138">
        <v>7.61</v>
      </c>
      <c r="AU138">
        <v>0.76</v>
      </c>
      <c r="AV138">
        <v>3</v>
      </c>
      <c r="AW138">
        <v>1.95</v>
      </c>
      <c r="AX138">
        <v>54.78</v>
      </c>
      <c r="AY138">
        <v>23.69</v>
      </c>
      <c r="AZ138">
        <v>34.32</v>
      </c>
      <c r="BA138">
        <v>0.3</v>
      </c>
      <c r="BB138" t="s">
        <v>184</v>
      </c>
      <c r="BF138">
        <v>-0.75</v>
      </c>
      <c r="BG138">
        <v>-2.2200000000000002</v>
      </c>
      <c r="BH138">
        <v>-2.7</v>
      </c>
      <c r="BI138">
        <v>0.25</v>
      </c>
      <c r="BJ138">
        <v>20210818</v>
      </c>
      <c r="BK138">
        <v>19940617</v>
      </c>
      <c r="BL138">
        <v>14.58</v>
      </c>
      <c r="BM138" t="s">
        <v>120</v>
      </c>
      <c r="BN138" t="s">
        <v>120</v>
      </c>
      <c r="BO138">
        <v>56.74</v>
      </c>
      <c r="BP138">
        <v>3.96</v>
      </c>
      <c r="BQ138">
        <v>52.98</v>
      </c>
      <c r="BR138" t="s">
        <v>120</v>
      </c>
      <c r="BS138">
        <v>6.62</v>
      </c>
      <c r="BT138">
        <v>16.760000000000002</v>
      </c>
      <c r="BU138">
        <v>32.58</v>
      </c>
      <c r="BV138">
        <v>4.53</v>
      </c>
      <c r="BW138">
        <v>3.38</v>
      </c>
      <c r="BX138">
        <v>11.16</v>
      </c>
      <c r="BY138">
        <v>0.49</v>
      </c>
      <c r="BZ138">
        <v>1.02</v>
      </c>
      <c r="CA138" t="s">
        <v>120</v>
      </c>
      <c r="CB138">
        <v>43.22</v>
      </c>
      <c r="CC138">
        <v>5.46</v>
      </c>
      <c r="CD138">
        <v>3.49</v>
      </c>
      <c r="CE138">
        <v>1.87</v>
      </c>
      <c r="CF138">
        <v>0</v>
      </c>
      <c r="CG138">
        <v>1.81</v>
      </c>
      <c r="CH138">
        <v>1.51</v>
      </c>
      <c r="CI138">
        <v>1.51</v>
      </c>
      <c r="CJ138">
        <v>-0.08</v>
      </c>
      <c r="CK138">
        <v>1.41</v>
      </c>
      <c r="CL138">
        <v>-6.29</v>
      </c>
      <c r="CM138">
        <v>1.93</v>
      </c>
      <c r="CN138">
        <v>1.73</v>
      </c>
      <c r="CO138">
        <v>50583</v>
      </c>
      <c r="CP138">
        <v>15794</v>
      </c>
      <c r="CQ138" t="s">
        <v>1112</v>
      </c>
      <c r="CR138">
        <v>104.39</v>
      </c>
      <c r="CS138">
        <v>49.16</v>
      </c>
      <c r="CT138">
        <v>1.0900000000000001</v>
      </c>
      <c r="CU138">
        <v>29.86</v>
      </c>
      <c r="CV138">
        <v>10.58</v>
      </c>
      <c r="CW138">
        <v>0</v>
      </c>
      <c r="CX138" t="s">
        <v>256</v>
      </c>
      <c r="CY138">
        <v>3.63</v>
      </c>
      <c r="CZ138">
        <v>0</v>
      </c>
      <c r="DA138">
        <v>2.96</v>
      </c>
      <c r="DB138">
        <v>-0.43</v>
      </c>
      <c r="DC138">
        <v>0.13</v>
      </c>
      <c r="DD138">
        <v>93.38</v>
      </c>
      <c r="DE138" t="s">
        <v>1113</v>
      </c>
      <c r="DF138">
        <v>36.090000000000003</v>
      </c>
      <c r="DG138">
        <v>34.25</v>
      </c>
      <c r="DH138">
        <v>27.63</v>
      </c>
      <c r="DI138">
        <v>0.02</v>
      </c>
      <c r="DJ138">
        <v>1122</v>
      </c>
      <c r="DK138">
        <v>557</v>
      </c>
      <c r="DL138" t="s">
        <v>120</v>
      </c>
      <c r="DM138" t="s">
        <v>120</v>
      </c>
      <c r="DN138" t="s">
        <v>120</v>
      </c>
    </row>
    <row r="139" spans="1:118">
      <c r="A139" t="str">
        <f>"000558"</f>
        <v>000558</v>
      </c>
      <c r="B139" t="s">
        <v>1114</v>
      </c>
      <c r="C139">
        <v>-2.54</v>
      </c>
      <c r="D139">
        <v>0</v>
      </c>
      <c r="E139">
        <v>-0.63</v>
      </c>
      <c r="F139">
        <v>8411</v>
      </c>
      <c r="G139" t="s">
        <v>728</v>
      </c>
      <c r="H139">
        <v>15254.19</v>
      </c>
      <c r="I139">
        <v>290.18</v>
      </c>
      <c r="J139" t="s">
        <v>120</v>
      </c>
      <c r="K139" t="s">
        <v>1115</v>
      </c>
      <c r="L139">
        <v>3.73</v>
      </c>
      <c r="M139">
        <v>3.07</v>
      </c>
      <c r="N139">
        <v>1.41</v>
      </c>
      <c r="O139">
        <v>4.13</v>
      </c>
      <c r="P139">
        <v>3.28</v>
      </c>
      <c r="Q139">
        <v>-2.54</v>
      </c>
      <c r="R139">
        <v>3.07</v>
      </c>
      <c r="S139">
        <v>3.13</v>
      </c>
      <c r="T139">
        <v>480544</v>
      </c>
      <c r="U139">
        <v>3.08</v>
      </c>
      <c r="V139">
        <v>3.15</v>
      </c>
      <c r="W139" t="s">
        <v>120</v>
      </c>
      <c r="X139" t="s">
        <v>213</v>
      </c>
      <c r="Y139" t="s">
        <v>585</v>
      </c>
      <c r="Z139">
        <v>6.67</v>
      </c>
      <c r="AA139">
        <v>3.17</v>
      </c>
      <c r="AB139">
        <v>247943</v>
      </c>
      <c r="AC139">
        <v>232601</v>
      </c>
      <c r="AD139">
        <v>1.07</v>
      </c>
      <c r="AE139">
        <v>4505</v>
      </c>
      <c r="AF139">
        <v>1722</v>
      </c>
      <c r="AG139" t="s">
        <v>120</v>
      </c>
      <c r="AH139">
        <v>0.14000000000000001</v>
      </c>
      <c r="AI139" t="s">
        <v>120</v>
      </c>
      <c r="AJ139">
        <v>12.88</v>
      </c>
      <c r="AK139" t="s">
        <v>1116</v>
      </c>
      <c r="AL139">
        <v>-0.63</v>
      </c>
      <c r="AM139">
        <v>2966</v>
      </c>
      <c r="AN139">
        <v>162</v>
      </c>
      <c r="AO139">
        <v>1.2999999999999999E-3</v>
      </c>
      <c r="AP139">
        <v>-1</v>
      </c>
      <c r="AQ139">
        <v>2.61</v>
      </c>
      <c r="AR139">
        <v>-3.46</v>
      </c>
      <c r="AS139">
        <v>10.83</v>
      </c>
      <c r="AT139">
        <v>8.48</v>
      </c>
      <c r="AU139">
        <v>10.43</v>
      </c>
      <c r="AV139">
        <v>8</v>
      </c>
      <c r="AW139">
        <v>7.24</v>
      </c>
      <c r="AX139">
        <v>51.47</v>
      </c>
      <c r="AY139" t="s">
        <v>120</v>
      </c>
      <c r="AZ139" t="s">
        <v>120</v>
      </c>
      <c r="BA139">
        <v>0.1</v>
      </c>
      <c r="BB139" t="s">
        <v>184</v>
      </c>
      <c r="BF139">
        <v>0.77</v>
      </c>
      <c r="BG139">
        <v>-1.92</v>
      </c>
      <c r="BH139">
        <v>-6.4</v>
      </c>
      <c r="BI139">
        <v>0</v>
      </c>
      <c r="BJ139">
        <v>20210831</v>
      </c>
      <c r="BK139">
        <v>19940509</v>
      </c>
      <c r="BL139">
        <v>12.89</v>
      </c>
      <c r="BM139" t="s">
        <v>120</v>
      </c>
      <c r="BN139" t="s">
        <v>120</v>
      </c>
      <c r="BO139">
        <v>20.38</v>
      </c>
      <c r="BP139">
        <v>3.07</v>
      </c>
      <c r="BQ139">
        <v>11.67</v>
      </c>
      <c r="BR139">
        <v>-0.02</v>
      </c>
      <c r="BS139">
        <v>42.82</v>
      </c>
      <c r="BT139">
        <v>3.34</v>
      </c>
      <c r="BU139">
        <v>4.3899999999999997</v>
      </c>
      <c r="BV139">
        <v>0.59</v>
      </c>
      <c r="BW139">
        <v>3.47</v>
      </c>
      <c r="BX139">
        <v>1.39</v>
      </c>
      <c r="BY139">
        <v>0.36</v>
      </c>
      <c r="BZ139">
        <v>0.13</v>
      </c>
      <c r="CA139">
        <v>0.08</v>
      </c>
      <c r="CB139">
        <v>0.7</v>
      </c>
      <c r="CC139">
        <v>0.72</v>
      </c>
      <c r="CD139">
        <v>0.68</v>
      </c>
      <c r="CE139">
        <v>-0.51</v>
      </c>
      <c r="CF139">
        <v>0.01</v>
      </c>
      <c r="CG139">
        <v>-0.52</v>
      </c>
      <c r="CH139">
        <v>-0.54</v>
      </c>
      <c r="CI139">
        <v>-0.5</v>
      </c>
      <c r="CJ139">
        <v>-0.08</v>
      </c>
      <c r="CK139">
        <v>-0.5</v>
      </c>
      <c r="CL139">
        <v>-2.56</v>
      </c>
      <c r="CM139">
        <v>-0.08</v>
      </c>
      <c r="CN139">
        <v>-1.68</v>
      </c>
      <c r="CO139">
        <v>62835</v>
      </c>
      <c r="CP139">
        <v>10560</v>
      </c>
      <c r="CQ139" t="s">
        <v>1117</v>
      </c>
      <c r="CR139">
        <v>-99.95</v>
      </c>
      <c r="CS139">
        <v>30.46</v>
      </c>
      <c r="CT139">
        <v>3.39</v>
      </c>
      <c r="CU139">
        <v>-472.5</v>
      </c>
      <c r="CV139">
        <v>54.98</v>
      </c>
      <c r="CW139">
        <v>0</v>
      </c>
      <c r="CX139" t="s">
        <v>1118</v>
      </c>
      <c r="CY139">
        <v>0.91</v>
      </c>
      <c r="CZ139">
        <v>0</v>
      </c>
      <c r="DA139">
        <v>0.05</v>
      </c>
      <c r="DB139">
        <v>-0.2</v>
      </c>
      <c r="DC139">
        <v>-0.01</v>
      </c>
      <c r="DD139">
        <v>57.25</v>
      </c>
      <c r="DE139" t="s">
        <v>1119</v>
      </c>
      <c r="DF139">
        <v>5.99</v>
      </c>
      <c r="DG139">
        <v>-71.02</v>
      </c>
      <c r="DH139">
        <v>-70.08</v>
      </c>
      <c r="DI139" t="s">
        <v>120</v>
      </c>
      <c r="DJ139">
        <v>136</v>
      </c>
      <c r="DK139">
        <v>558</v>
      </c>
      <c r="DL139">
        <v>20210901</v>
      </c>
      <c r="DM139">
        <v>2.99</v>
      </c>
      <c r="DN139">
        <v>2.68</v>
      </c>
    </row>
    <row r="140" spans="1:118">
      <c r="A140" t="str">
        <f>"000559"</f>
        <v>000559</v>
      </c>
      <c r="B140" t="s">
        <v>1120</v>
      </c>
      <c r="C140">
        <v>-2.0699999999999998</v>
      </c>
      <c r="D140">
        <v>0.3</v>
      </c>
      <c r="E140">
        <v>0</v>
      </c>
      <c r="F140">
        <v>2980</v>
      </c>
      <c r="G140" t="s">
        <v>1121</v>
      </c>
      <c r="H140">
        <v>27868.560000000001</v>
      </c>
      <c r="I140">
        <v>95.32</v>
      </c>
      <c r="J140" t="s">
        <v>120</v>
      </c>
      <c r="K140" t="s">
        <v>1122</v>
      </c>
      <c r="L140">
        <v>1.51</v>
      </c>
      <c r="M140">
        <v>6.62</v>
      </c>
      <c r="N140">
        <v>0.6</v>
      </c>
      <c r="O140">
        <v>1.78</v>
      </c>
      <c r="P140">
        <v>6.88</v>
      </c>
      <c r="Q140">
        <v>-2.66</v>
      </c>
      <c r="R140">
        <v>6.58</v>
      </c>
      <c r="S140">
        <v>6.76</v>
      </c>
      <c r="T140">
        <v>415617</v>
      </c>
      <c r="U140">
        <v>6.62</v>
      </c>
      <c r="V140">
        <v>6.76</v>
      </c>
      <c r="W140">
        <v>32.29</v>
      </c>
      <c r="X140" t="s">
        <v>289</v>
      </c>
      <c r="Y140" t="s">
        <v>585</v>
      </c>
      <c r="Z140">
        <v>4.4400000000000004</v>
      </c>
      <c r="AA140">
        <v>6.71</v>
      </c>
      <c r="AB140">
        <v>236080</v>
      </c>
      <c r="AC140">
        <v>179537</v>
      </c>
      <c r="AD140">
        <v>1.31</v>
      </c>
      <c r="AE140">
        <v>317</v>
      </c>
      <c r="AF140">
        <v>495</v>
      </c>
      <c r="AG140" t="s">
        <v>120</v>
      </c>
      <c r="AH140">
        <v>0.01</v>
      </c>
      <c r="AI140" t="s">
        <v>120</v>
      </c>
      <c r="AJ140">
        <v>27.53</v>
      </c>
      <c r="AK140" t="s">
        <v>1123</v>
      </c>
      <c r="AL140">
        <v>-0.16</v>
      </c>
      <c r="AM140">
        <v>3774</v>
      </c>
      <c r="AN140">
        <v>110</v>
      </c>
      <c r="AO140">
        <v>4.0000000000000002E-4</v>
      </c>
      <c r="AP140">
        <v>-4</v>
      </c>
      <c r="AQ140">
        <v>-0.59</v>
      </c>
      <c r="AR140">
        <v>-5.57</v>
      </c>
      <c r="AS140">
        <v>21.69</v>
      </c>
      <c r="AT140">
        <v>21.91</v>
      </c>
      <c r="AU140">
        <v>28.54</v>
      </c>
      <c r="AV140">
        <v>3</v>
      </c>
      <c r="AW140">
        <v>3.49</v>
      </c>
      <c r="AX140">
        <v>36.03</v>
      </c>
      <c r="AY140">
        <v>38.61</v>
      </c>
      <c r="AZ140">
        <v>51.21</v>
      </c>
      <c r="BA140">
        <v>0.65</v>
      </c>
      <c r="BB140" t="s">
        <v>143</v>
      </c>
      <c r="BF140">
        <v>-0.81</v>
      </c>
      <c r="BG140">
        <v>-2.0699999999999998</v>
      </c>
      <c r="BH140">
        <v>-3.78</v>
      </c>
      <c r="BI140">
        <v>0.61</v>
      </c>
      <c r="BJ140">
        <v>20210827</v>
      </c>
      <c r="BK140">
        <v>19940110</v>
      </c>
      <c r="BL140">
        <v>33.04</v>
      </c>
      <c r="BM140" t="s">
        <v>120</v>
      </c>
      <c r="BN140" t="s">
        <v>120</v>
      </c>
      <c r="BO140">
        <v>163.84</v>
      </c>
      <c r="BP140">
        <v>6.61</v>
      </c>
      <c r="BQ140">
        <v>88.98</v>
      </c>
      <c r="BR140">
        <v>2.4300000000000002</v>
      </c>
      <c r="BS140">
        <v>44.21</v>
      </c>
      <c r="BT140">
        <v>115.47</v>
      </c>
      <c r="BU140">
        <v>29.72</v>
      </c>
      <c r="BV140">
        <v>1.94</v>
      </c>
      <c r="BW140">
        <v>54.3</v>
      </c>
      <c r="BX140">
        <v>55.89</v>
      </c>
      <c r="BY140">
        <v>20.65</v>
      </c>
      <c r="BZ140">
        <v>19.14</v>
      </c>
      <c r="CA140" t="s">
        <v>120</v>
      </c>
      <c r="CB140">
        <v>25.04</v>
      </c>
      <c r="CC140">
        <v>71.75</v>
      </c>
      <c r="CD140">
        <v>62.07</v>
      </c>
      <c r="CE140">
        <v>3.81</v>
      </c>
      <c r="CF140">
        <v>0.18</v>
      </c>
      <c r="CG140">
        <v>3.84</v>
      </c>
      <c r="CH140">
        <v>3.46</v>
      </c>
      <c r="CI140">
        <v>3.39</v>
      </c>
      <c r="CJ140">
        <v>-0.14000000000000001</v>
      </c>
      <c r="CK140">
        <v>3.05</v>
      </c>
      <c r="CL140">
        <v>22.13</v>
      </c>
      <c r="CM140">
        <v>0.69</v>
      </c>
      <c r="CN140">
        <v>5.04</v>
      </c>
      <c r="CO140">
        <v>98913</v>
      </c>
      <c r="CP140">
        <v>12034</v>
      </c>
      <c r="CQ140" t="s">
        <v>1124</v>
      </c>
      <c r="CR140">
        <v>72.5</v>
      </c>
      <c r="CS140">
        <v>61.17</v>
      </c>
      <c r="CT140">
        <v>2.46</v>
      </c>
      <c r="CU140">
        <v>317.48</v>
      </c>
      <c r="CV140">
        <v>3.05</v>
      </c>
      <c r="CW140">
        <v>2.96</v>
      </c>
      <c r="CX140" t="s">
        <v>411</v>
      </c>
      <c r="CY140">
        <v>2.69</v>
      </c>
      <c r="CZ140">
        <v>0</v>
      </c>
      <c r="DA140">
        <v>0.76</v>
      </c>
      <c r="DB140">
        <v>0.67</v>
      </c>
      <c r="DC140">
        <v>0.02</v>
      </c>
      <c r="DD140">
        <v>54.31</v>
      </c>
      <c r="DE140" t="s">
        <v>1125</v>
      </c>
      <c r="DF140">
        <v>13.49</v>
      </c>
      <c r="DG140">
        <v>5.31</v>
      </c>
      <c r="DH140">
        <v>4.72</v>
      </c>
      <c r="DI140">
        <v>2.37</v>
      </c>
      <c r="DJ140">
        <v>8245</v>
      </c>
      <c r="DK140">
        <v>559</v>
      </c>
      <c r="DL140" t="s">
        <v>120</v>
      </c>
      <c r="DM140" t="s">
        <v>120</v>
      </c>
      <c r="DN140" t="s">
        <v>120</v>
      </c>
    </row>
    <row r="141" spans="1:118">
      <c r="A141" t="str">
        <f>"000560"</f>
        <v>000560</v>
      </c>
      <c r="B141" t="s">
        <v>1126</v>
      </c>
      <c r="C141">
        <v>-2.04</v>
      </c>
      <c r="D141">
        <v>0</v>
      </c>
      <c r="E141">
        <v>0.57999999999999996</v>
      </c>
      <c r="F141">
        <v>827</v>
      </c>
      <c r="G141" t="s">
        <v>1127</v>
      </c>
      <c r="H141">
        <v>7959.3</v>
      </c>
      <c r="I141">
        <v>47.06</v>
      </c>
      <c r="J141" t="s">
        <v>120</v>
      </c>
      <c r="K141" t="s">
        <v>1128</v>
      </c>
      <c r="L141">
        <v>1.04</v>
      </c>
      <c r="M141">
        <v>3.36</v>
      </c>
      <c r="N141">
        <v>0.86</v>
      </c>
      <c r="O141">
        <v>1.46</v>
      </c>
      <c r="P141">
        <v>3.48</v>
      </c>
      <c r="Q141">
        <v>-2.33</v>
      </c>
      <c r="R141">
        <v>3.35</v>
      </c>
      <c r="S141">
        <v>3.45</v>
      </c>
      <c r="T141">
        <v>233463</v>
      </c>
      <c r="U141">
        <v>3.37</v>
      </c>
      <c r="V141">
        <v>3.43</v>
      </c>
      <c r="W141">
        <v>10.41</v>
      </c>
      <c r="X141" t="s">
        <v>416</v>
      </c>
      <c r="Y141" t="s">
        <v>1006</v>
      </c>
      <c r="Z141">
        <v>3.79</v>
      </c>
      <c r="AA141">
        <v>3.41</v>
      </c>
      <c r="AB141">
        <v>144184</v>
      </c>
      <c r="AC141">
        <v>89279</v>
      </c>
      <c r="AD141">
        <v>1.61</v>
      </c>
      <c r="AE141">
        <v>3106</v>
      </c>
      <c r="AF141">
        <v>6683</v>
      </c>
      <c r="AG141" t="s">
        <v>120</v>
      </c>
      <c r="AH141">
        <v>0.01</v>
      </c>
      <c r="AI141" t="s">
        <v>120</v>
      </c>
      <c r="AJ141">
        <v>22.5</v>
      </c>
      <c r="AK141" t="s">
        <v>1129</v>
      </c>
      <c r="AL141">
        <v>-0.13</v>
      </c>
      <c r="AM141">
        <v>2498</v>
      </c>
      <c r="AN141">
        <v>93</v>
      </c>
      <c r="AO141">
        <v>4.0000000000000002E-4</v>
      </c>
      <c r="AP141">
        <v>-1</v>
      </c>
      <c r="AQ141">
        <v>0</v>
      </c>
      <c r="AR141">
        <v>-5.88</v>
      </c>
      <c r="AS141">
        <v>-0.59</v>
      </c>
      <c r="AT141">
        <v>-30.24</v>
      </c>
      <c r="AU141">
        <v>-16.98</v>
      </c>
      <c r="AV141">
        <v>4</v>
      </c>
      <c r="AW141">
        <v>1.63</v>
      </c>
      <c r="AX141">
        <v>60.98</v>
      </c>
      <c r="AY141">
        <v>12.4</v>
      </c>
      <c r="AZ141">
        <v>25.9</v>
      </c>
      <c r="BA141">
        <v>0.14000000000000001</v>
      </c>
      <c r="BB141" t="s">
        <v>143</v>
      </c>
      <c r="BF141">
        <v>-0.61</v>
      </c>
      <c r="BG141">
        <v>-2.61</v>
      </c>
      <c r="BH141">
        <v>-3.45</v>
      </c>
      <c r="BI141">
        <v>0.3</v>
      </c>
      <c r="BJ141">
        <v>20210903</v>
      </c>
      <c r="BK141">
        <v>19940202</v>
      </c>
      <c r="BL141">
        <v>23.56</v>
      </c>
      <c r="BM141" t="s">
        <v>120</v>
      </c>
      <c r="BN141" t="s">
        <v>120</v>
      </c>
      <c r="BO141">
        <v>230.34</v>
      </c>
      <c r="BP141">
        <v>3.36</v>
      </c>
      <c r="BQ141">
        <v>107.37</v>
      </c>
      <c r="BR141">
        <v>1.9</v>
      </c>
      <c r="BS141">
        <v>52.56</v>
      </c>
      <c r="BT141">
        <v>97.21</v>
      </c>
      <c r="BU141">
        <v>3.26</v>
      </c>
      <c r="BV141">
        <v>14.65</v>
      </c>
      <c r="BW141">
        <v>91.78</v>
      </c>
      <c r="BX141">
        <v>42.02</v>
      </c>
      <c r="BY141">
        <v>5.86</v>
      </c>
      <c r="BZ141">
        <v>15</v>
      </c>
      <c r="CA141">
        <v>0.6</v>
      </c>
      <c r="CB141">
        <v>55.13</v>
      </c>
      <c r="CC141">
        <v>61.3</v>
      </c>
      <c r="CD141">
        <v>42.79</v>
      </c>
      <c r="CE141">
        <v>5.37</v>
      </c>
      <c r="CF141">
        <v>0.21</v>
      </c>
      <c r="CG141">
        <v>5.4</v>
      </c>
      <c r="CH141">
        <v>3.87</v>
      </c>
      <c r="CI141">
        <v>3.8</v>
      </c>
      <c r="CJ141">
        <v>-7.0000000000000007E-2</v>
      </c>
      <c r="CK141">
        <v>3.58</v>
      </c>
      <c r="CL141">
        <v>25.85</v>
      </c>
      <c r="CM141">
        <v>12.46</v>
      </c>
      <c r="CN141">
        <v>0.61</v>
      </c>
      <c r="CO141">
        <v>37059</v>
      </c>
      <c r="CP141">
        <v>38759</v>
      </c>
      <c r="CQ141" t="s">
        <v>830</v>
      </c>
      <c r="CR141">
        <v>840.2</v>
      </c>
      <c r="CS141">
        <v>55.86</v>
      </c>
      <c r="CT141">
        <v>0.74</v>
      </c>
      <c r="CU141">
        <v>6.35</v>
      </c>
      <c r="CV141">
        <v>1.29</v>
      </c>
      <c r="CW141">
        <v>0.37</v>
      </c>
      <c r="CX141" t="s">
        <v>1091</v>
      </c>
      <c r="CY141">
        <v>4.5599999999999996</v>
      </c>
      <c r="CZ141">
        <v>0</v>
      </c>
      <c r="DA141">
        <v>2.34</v>
      </c>
      <c r="DB141">
        <v>1.1000000000000001</v>
      </c>
      <c r="DC141">
        <v>0.53</v>
      </c>
      <c r="DD141">
        <v>46.61</v>
      </c>
      <c r="DE141" t="s">
        <v>1130</v>
      </c>
      <c r="DF141">
        <v>30.19</v>
      </c>
      <c r="DG141">
        <v>8.75</v>
      </c>
      <c r="DH141">
        <v>6.2</v>
      </c>
      <c r="DI141">
        <v>0.21</v>
      </c>
      <c r="DJ141">
        <v>48488</v>
      </c>
      <c r="DK141">
        <v>560</v>
      </c>
      <c r="DL141" t="s">
        <v>120</v>
      </c>
      <c r="DM141" t="s">
        <v>120</v>
      </c>
      <c r="DN141" t="s">
        <v>120</v>
      </c>
    </row>
    <row r="142" spans="1:118">
      <c r="A142" t="str">
        <f>"000561"</f>
        <v>000561</v>
      </c>
      <c r="B142" t="s">
        <v>1131</v>
      </c>
      <c r="C142">
        <v>-2.17</v>
      </c>
      <c r="D142">
        <v>-0.12</v>
      </c>
      <c r="E142">
        <v>-0.13</v>
      </c>
      <c r="F142">
        <v>1336</v>
      </c>
      <c r="G142" t="s">
        <v>1132</v>
      </c>
      <c r="H142">
        <v>6165.5</v>
      </c>
      <c r="I142">
        <v>12.11</v>
      </c>
      <c r="J142" t="s">
        <v>120</v>
      </c>
      <c r="K142" t="s">
        <v>1133</v>
      </c>
      <c r="L142">
        <v>1.33</v>
      </c>
      <c r="M142">
        <v>7.65</v>
      </c>
      <c r="N142">
        <v>0.8</v>
      </c>
      <c r="O142">
        <v>0.64</v>
      </c>
      <c r="P142">
        <v>7.87</v>
      </c>
      <c r="Q142">
        <v>-2.2999999999999998</v>
      </c>
      <c r="R142">
        <v>7.64</v>
      </c>
      <c r="S142">
        <v>7.81</v>
      </c>
      <c r="T142">
        <v>79559</v>
      </c>
      <c r="U142">
        <v>7.66</v>
      </c>
      <c r="V142">
        <v>7.82</v>
      </c>
      <c r="W142">
        <v>209.87</v>
      </c>
      <c r="X142" t="s">
        <v>462</v>
      </c>
      <c r="Y142" t="s">
        <v>890</v>
      </c>
      <c r="Z142">
        <v>2.94</v>
      </c>
      <c r="AA142">
        <v>7.75</v>
      </c>
      <c r="AB142">
        <v>52459</v>
      </c>
      <c r="AC142">
        <v>27100</v>
      </c>
      <c r="AD142">
        <v>1.94</v>
      </c>
      <c r="AE142">
        <v>294</v>
      </c>
      <c r="AF142">
        <v>287</v>
      </c>
      <c r="AG142" t="s">
        <v>120</v>
      </c>
      <c r="AH142">
        <v>0.01</v>
      </c>
      <c r="AI142" t="s">
        <v>120</v>
      </c>
      <c r="AJ142">
        <v>5.99</v>
      </c>
      <c r="AK142" t="s">
        <v>1134</v>
      </c>
      <c r="AL142">
        <v>-0.26</v>
      </c>
      <c r="AM142">
        <v>2184</v>
      </c>
      <c r="AN142">
        <v>36</v>
      </c>
      <c r="AO142">
        <v>5.9999999999999995E-4</v>
      </c>
      <c r="AP142">
        <v>-1</v>
      </c>
      <c r="AQ142">
        <v>1.96</v>
      </c>
      <c r="AR142">
        <v>-2.17</v>
      </c>
      <c r="AS142">
        <v>-1.55</v>
      </c>
      <c r="AT142">
        <v>12.33</v>
      </c>
      <c r="AU142">
        <v>6.7</v>
      </c>
      <c r="AV142">
        <v>4</v>
      </c>
      <c r="AW142">
        <v>2.94</v>
      </c>
      <c r="AX142">
        <v>44.7</v>
      </c>
      <c r="AY142">
        <v>47.66</v>
      </c>
      <c r="AZ142">
        <v>47.92</v>
      </c>
      <c r="BA142">
        <v>0.52</v>
      </c>
      <c r="BB142" t="s">
        <v>143</v>
      </c>
      <c r="BF142">
        <v>-0.9</v>
      </c>
      <c r="BG142">
        <v>-2.0499999999999998</v>
      </c>
      <c r="BH142">
        <v>-2.8</v>
      </c>
      <c r="BI142">
        <v>0.13</v>
      </c>
      <c r="BJ142">
        <v>20210830</v>
      </c>
      <c r="BK142">
        <v>19940509</v>
      </c>
      <c r="BL142">
        <v>6.05</v>
      </c>
      <c r="BM142" t="s">
        <v>120</v>
      </c>
      <c r="BN142" t="s">
        <v>120</v>
      </c>
      <c r="BO142">
        <v>37.299999999999997</v>
      </c>
      <c r="BP142">
        <v>7.65</v>
      </c>
      <c r="BQ142">
        <v>15.83</v>
      </c>
      <c r="BR142">
        <v>1.32</v>
      </c>
      <c r="BS142">
        <v>54.03</v>
      </c>
      <c r="BT142">
        <v>28.24</v>
      </c>
      <c r="BU142">
        <v>2.59</v>
      </c>
      <c r="BV142">
        <v>0.94</v>
      </c>
      <c r="BW142">
        <v>17.29</v>
      </c>
      <c r="BX142">
        <v>4.72</v>
      </c>
      <c r="BY142">
        <v>8.0299999999999994</v>
      </c>
      <c r="BZ142">
        <v>11.48</v>
      </c>
      <c r="CA142" t="s">
        <v>120</v>
      </c>
      <c r="CB142">
        <v>1.76</v>
      </c>
      <c r="CC142">
        <v>5.77</v>
      </c>
      <c r="CD142">
        <v>3.39</v>
      </c>
      <c r="CE142">
        <v>0.08</v>
      </c>
      <c r="CF142">
        <v>0</v>
      </c>
      <c r="CG142">
        <v>0.12</v>
      </c>
      <c r="CH142">
        <v>7.0000000000000007E-2</v>
      </c>
      <c r="CI142">
        <v>0.11</v>
      </c>
      <c r="CJ142">
        <v>-0.17</v>
      </c>
      <c r="CK142">
        <v>0.02</v>
      </c>
      <c r="CL142">
        <v>8.16</v>
      </c>
      <c r="CM142">
        <v>-1.64</v>
      </c>
      <c r="CN142">
        <v>-0.76</v>
      </c>
      <c r="CO142">
        <v>47519</v>
      </c>
      <c r="CP142">
        <v>5688</v>
      </c>
      <c r="CQ142" t="s">
        <v>1135</v>
      </c>
      <c r="CR142">
        <v>5.16</v>
      </c>
      <c r="CS142">
        <v>17.96</v>
      </c>
      <c r="CT142">
        <v>2.92</v>
      </c>
      <c r="CU142">
        <v>-28.27</v>
      </c>
      <c r="CV142">
        <v>8.02</v>
      </c>
      <c r="CW142">
        <v>0</v>
      </c>
      <c r="CX142" t="s">
        <v>499</v>
      </c>
      <c r="CY142">
        <v>2.62</v>
      </c>
      <c r="CZ142">
        <v>0</v>
      </c>
      <c r="DA142">
        <v>0.28999999999999998</v>
      </c>
      <c r="DB142">
        <v>1.35</v>
      </c>
      <c r="DC142">
        <v>-0.27</v>
      </c>
      <c r="DD142">
        <v>42.43</v>
      </c>
      <c r="DE142" t="s">
        <v>759</v>
      </c>
      <c r="DF142">
        <v>41.19</v>
      </c>
      <c r="DG142">
        <v>1.46</v>
      </c>
      <c r="DH142">
        <v>1.91</v>
      </c>
      <c r="DI142">
        <v>0.86</v>
      </c>
      <c r="DJ142">
        <v>2913</v>
      </c>
      <c r="DK142">
        <v>561</v>
      </c>
      <c r="DL142" t="s">
        <v>120</v>
      </c>
      <c r="DM142" t="s">
        <v>120</v>
      </c>
      <c r="DN142" t="s">
        <v>120</v>
      </c>
    </row>
    <row r="143" spans="1:118">
      <c r="A143" t="str">
        <f>"000563"</f>
        <v>000563</v>
      </c>
      <c r="B143" t="s">
        <v>1136</v>
      </c>
      <c r="C143">
        <v>-1.45</v>
      </c>
      <c r="D143">
        <v>0.59</v>
      </c>
      <c r="E143">
        <v>0.87</v>
      </c>
      <c r="F143">
        <v>12671</v>
      </c>
      <c r="G143" t="s">
        <v>1137</v>
      </c>
      <c r="H143">
        <v>9139.25</v>
      </c>
      <c r="I143">
        <v>278.02</v>
      </c>
      <c r="J143" t="s">
        <v>120</v>
      </c>
      <c r="K143" t="s">
        <v>1138</v>
      </c>
      <c r="L143">
        <v>0.67</v>
      </c>
      <c r="M143">
        <v>3.39</v>
      </c>
      <c r="N143">
        <v>0.85</v>
      </c>
      <c r="O143">
        <v>0.87</v>
      </c>
      <c r="P143">
        <v>3.47</v>
      </c>
      <c r="Q143">
        <v>-2.33</v>
      </c>
      <c r="R143">
        <v>3.36</v>
      </c>
      <c r="S143">
        <v>3.47</v>
      </c>
      <c r="T143">
        <v>267121</v>
      </c>
      <c r="U143">
        <v>3.39</v>
      </c>
      <c r="V143">
        <v>3.44</v>
      </c>
      <c r="W143">
        <v>15.3</v>
      </c>
      <c r="X143" t="s">
        <v>721</v>
      </c>
      <c r="Y143" t="s">
        <v>890</v>
      </c>
      <c r="Z143">
        <v>3.2</v>
      </c>
      <c r="AA143">
        <v>3.42</v>
      </c>
      <c r="AB143">
        <v>153871</v>
      </c>
      <c r="AC143">
        <v>113250</v>
      </c>
      <c r="AD143">
        <v>1.36</v>
      </c>
      <c r="AE143">
        <v>77</v>
      </c>
      <c r="AF143">
        <v>3010</v>
      </c>
      <c r="AG143" t="s">
        <v>120</v>
      </c>
      <c r="AH143">
        <v>0.05</v>
      </c>
      <c r="AI143" t="s">
        <v>120</v>
      </c>
      <c r="AJ143">
        <v>39.64</v>
      </c>
      <c r="AK143" t="s">
        <v>1138</v>
      </c>
      <c r="AL143">
        <v>0.46</v>
      </c>
      <c r="AM143">
        <v>2807</v>
      </c>
      <c r="AN143">
        <v>95</v>
      </c>
      <c r="AO143">
        <v>2.0000000000000001E-4</v>
      </c>
      <c r="AP143">
        <v>-1</v>
      </c>
      <c r="AQ143">
        <v>1.78</v>
      </c>
      <c r="AR143">
        <v>-1.74</v>
      </c>
      <c r="AS143">
        <v>6.61</v>
      </c>
      <c r="AT143">
        <v>4.3099999999999996</v>
      </c>
      <c r="AU143">
        <v>-9.36</v>
      </c>
      <c r="AV143">
        <v>0</v>
      </c>
      <c r="AW143">
        <v>1.54</v>
      </c>
      <c r="AX143">
        <v>43.8</v>
      </c>
      <c r="AY143">
        <v>19.03</v>
      </c>
      <c r="AZ143">
        <v>19.89</v>
      </c>
      <c r="BA143">
        <v>0.18</v>
      </c>
      <c r="BB143" t="s">
        <v>184</v>
      </c>
      <c r="BF143">
        <v>-0.54</v>
      </c>
      <c r="BG143">
        <v>-2.31</v>
      </c>
      <c r="BH143">
        <v>-2.31</v>
      </c>
      <c r="BI143">
        <v>0.89</v>
      </c>
      <c r="BJ143">
        <v>20210913</v>
      </c>
      <c r="BK143">
        <v>19940110</v>
      </c>
      <c r="BL143">
        <v>39.64</v>
      </c>
      <c r="BM143" t="s">
        <v>120</v>
      </c>
      <c r="BN143" t="s">
        <v>120</v>
      </c>
      <c r="BO143">
        <v>157.12</v>
      </c>
      <c r="BP143">
        <v>3.38</v>
      </c>
      <c r="BQ143">
        <v>120.76</v>
      </c>
      <c r="BR143" t="s">
        <v>120</v>
      </c>
      <c r="BS143">
        <v>23.14</v>
      </c>
      <c r="BT143">
        <v>0</v>
      </c>
      <c r="BU143">
        <v>0.64</v>
      </c>
      <c r="BV143">
        <v>0.09</v>
      </c>
      <c r="BW143">
        <v>0</v>
      </c>
      <c r="BX143">
        <v>5.65</v>
      </c>
      <c r="BY143">
        <v>0</v>
      </c>
      <c r="BZ143">
        <v>0</v>
      </c>
      <c r="CA143" t="s">
        <v>120</v>
      </c>
      <c r="CB143">
        <v>41.11</v>
      </c>
      <c r="CC143">
        <v>9.39</v>
      </c>
      <c r="CD143">
        <v>0</v>
      </c>
      <c r="CE143">
        <v>5.86</v>
      </c>
      <c r="CF143">
        <v>1.1100000000000001</v>
      </c>
      <c r="CG143">
        <v>5.86</v>
      </c>
      <c r="CH143">
        <v>4.3899999999999997</v>
      </c>
      <c r="CI143">
        <v>4.3899999999999997</v>
      </c>
      <c r="CJ143">
        <v>-0.05</v>
      </c>
      <c r="CK143">
        <v>4.2300000000000004</v>
      </c>
      <c r="CL143">
        <v>28.87</v>
      </c>
      <c r="CM143">
        <v>6.05</v>
      </c>
      <c r="CN143">
        <v>1.31</v>
      </c>
      <c r="CO143">
        <v>96719</v>
      </c>
      <c r="CP143">
        <v>17952</v>
      </c>
      <c r="CQ143" t="s">
        <v>1139</v>
      </c>
      <c r="CR143">
        <v>7.59</v>
      </c>
      <c r="CS143">
        <v>1.46</v>
      </c>
      <c r="CT143">
        <v>1.1100000000000001</v>
      </c>
      <c r="CU143">
        <v>22.21</v>
      </c>
      <c r="CV143">
        <v>14.3</v>
      </c>
      <c r="CW143">
        <v>0.87</v>
      </c>
      <c r="CX143" t="s">
        <v>1140</v>
      </c>
      <c r="CY143">
        <v>3.05</v>
      </c>
      <c r="CZ143">
        <v>0</v>
      </c>
      <c r="DA143">
        <v>1.04</v>
      </c>
      <c r="DB143">
        <v>0.73</v>
      </c>
      <c r="DC143">
        <v>0.15</v>
      </c>
      <c r="DD143">
        <v>76.86</v>
      </c>
      <c r="DE143" t="s">
        <v>1141</v>
      </c>
      <c r="DF143" t="s">
        <v>120</v>
      </c>
      <c r="DG143">
        <v>62.35</v>
      </c>
      <c r="DH143">
        <v>46.74</v>
      </c>
      <c r="DI143" t="s">
        <v>120</v>
      </c>
      <c r="DJ143">
        <v>671</v>
      </c>
      <c r="DK143">
        <v>563</v>
      </c>
      <c r="DL143" t="s">
        <v>120</v>
      </c>
      <c r="DM143" t="s">
        <v>120</v>
      </c>
      <c r="DN143" t="s">
        <v>120</v>
      </c>
    </row>
    <row r="144" spans="1:118">
      <c r="A144" t="str">
        <f>"000565"</f>
        <v>000565</v>
      </c>
      <c r="B144" t="s">
        <v>1142</v>
      </c>
      <c r="C144">
        <v>-5.8</v>
      </c>
      <c r="D144">
        <v>-0.27</v>
      </c>
      <c r="E144">
        <v>0</v>
      </c>
      <c r="F144">
        <v>3759</v>
      </c>
      <c r="G144" t="s">
        <v>1143</v>
      </c>
      <c r="H144">
        <v>26548.639999999999</v>
      </c>
      <c r="I144">
        <v>644.91</v>
      </c>
      <c r="J144" t="s">
        <v>120</v>
      </c>
      <c r="K144" t="s">
        <v>1144</v>
      </c>
      <c r="L144">
        <v>8.3000000000000007</v>
      </c>
      <c r="M144">
        <v>7.14</v>
      </c>
      <c r="N144">
        <v>2.4300000000000002</v>
      </c>
      <c r="O144">
        <v>0.26</v>
      </c>
      <c r="P144">
        <v>7.6</v>
      </c>
      <c r="Q144">
        <v>-5.94</v>
      </c>
      <c r="R144">
        <v>7.13</v>
      </c>
      <c r="S144">
        <v>7.58</v>
      </c>
      <c r="T144">
        <v>359802</v>
      </c>
      <c r="U144">
        <v>7.15</v>
      </c>
      <c r="V144">
        <v>7.58</v>
      </c>
      <c r="W144">
        <v>32.270000000000003</v>
      </c>
      <c r="X144" t="s">
        <v>1145</v>
      </c>
      <c r="Y144" t="s">
        <v>883</v>
      </c>
      <c r="Z144">
        <v>6.2</v>
      </c>
      <c r="AA144">
        <v>7.38</v>
      </c>
      <c r="AB144">
        <v>197266</v>
      </c>
      <c r="AC144">
        <v>162536</v>
      </c>
      <c r="AD144">
        <v>1.21</v>
      </c>
      <c r="AE144">
        <v>1267</v>
      </c>
      <c r="AF144">
        <v>488</v>
      </c>
      <c r="AG144" t="s">
        <v>120</v>
      </c>
      <c r="AH144">
        <v>0.33</v>
      </c>
      <c r="AI144" t="s">
        <v>120</v>
      </c>
      <c r="AJ144">
        <v>4.34</v>
      </c>
      <c r="AK144" t="s">
        <v>1144</v>
      </c>
      <c r="AL144">
        <v>-3.89</v>
      </c>
      <c r="AM144">
        <v>3382</v>
      </c>
      <c r="AN144">
        <v>106</v>
      </c>
      <c r="AO144">
        <v>2.5000000000000001E-3</v>
      </c>
      <c r="AP144">
        <v>-1</v>
      </c>
      <c r="AQ144">
        <v>10.01</v>
      </c>
      <c r="AR144">
        <v>0.28000000000000003</v>
      </c>
      <c r="AS144">
        <v>11.56</v>
      </c>
      <c r="AT144">
        <v>31.01</v>
      </c>
      <c r="AU144">
        <v>51.43</v>
      </c>
      <c r="AV144">
        <v>5</v>
      </c>
      <c r="AW144">
        <v>13.96</v>
      </c>
      <c r="AX144">
        <v>59.45</v>
      </c>
      <c r="AY144">
        <v>40.07</v>
      </c>
      <c r="AZ144">
        <v>59.68</v>
      </c>
      <c r="BA144">
        <v>0.46</v>
      </c>
      <c r="BB144" t="s">
        <v>751</v>
      </c>
      <c r="BF144">
        <v>-2.66</v>
      </c>
      <c r="BG144">
        <v>-5.8</v>
      </c>
      <c r="BH144">
        <v>-6.05</v>
      </c>
      <c r="BI144">
        <v>0.14000000000000001</v>
      </c>
      <c r="BJ144">
        <v>20210826</v>
      </c>
      <c r="BK144">
        <v>19940408</v>
      </c>
      <c r="BL144">
        <v>4.34</v>
      </c>
      <c r="BM144" t="s">
        <v>120</v>
      </c>
      <c r="BN144" t="s">
        <v>120</v>
      </c>
      <c r="BO144">
        <v>15.91</v>
      </c>
      <c r="BP144">
        <v>7.14</v>
      </c>
      <c r="BQ144">
        <v>12.39</v>
      </c>
      <c r="BR144" t="s">
        <v>120</v>
      </c>
      <c r="BS144">
        <v>22.12</v>
      </c>
      <c r="BT144">
        <v>6.25</v>
      </c>
      <c r="BU144">
        <v>1.88</v>
      </c>
      <c r="BV144">
        <v>0.32</v>
      </c>
      <c r="BW144">
        <v>1.63</v>
      </c>
      <c r="BX144">
        <v>2.52</v>
      </c>
      <c r="BY144">
        <v>1.1299999999999999</v>
      </c>
      <c r="BZ144">
        <v>1.1200000000000001</v>
      </c>
      <c r="CA144" t="s">
        <v>120</v>
      </c>
      <c r="CB144">
        <v>0.64</v>
      </c>
      <c r="CC144">
        <v>2.35</v>
      </c>
      <c r="CD144">
        <v>1.61</v>
      </c>
      <c r="CE144">
        <v>0.51</v>
      </c>
      <c r="CF144">
        <v>0.35</v>
      </c>
      <c r="CG144">
        <v>0.51</v>
      </c>
      <c r="CH144">
        <v>0.48</v>
      </c>
      <c r="CI144">
        <v>0.48</v>
      </c>
      <c r="CJ144">
        <v>-0.44</v>
      </c>
      <c r="CK144">
        <v>0.41</v>
      </c>
      <c r="CL144">
        <v>5.87</v>
      </c>
      <c r="CM144">
        <v>0.19</v>
      </c>
      <c r="CN144">
        <v>0.09</v>
      </c>
      <c r="CO144">
        <v>33542</v>
      </c>
      <c r="CP144">
        <v>7685</v>
      </c>
      <c r="CQ144" t="s">
        <v>1146</v>
      </c>
      <c r="CR144">
        <v>128.25</v>
      </c>
      <c r="CS144">
        <v>23.57</v>
      </c>
      <c r="CT144">
        <v>2.5</v>
      </c>
      <c r="CU144">
        <v>165.72</v>
      </c>
      <c r="CV144">
        <v>13.17</v>
      </c>
      <c r="CW144">
        <v>0.33</v>
      </c>
      <c r="CX144" t="s">
        <v>1147</v>
      </c>
      <c r="CY144">
        <v>2.86</v>
      </c>
      <c r="CZ144">
        <v>0</v>
      </c>
      <c r="DA144">
        <v>0.15</v>
      </c>
      <c r="DB144">
        <v>1.35</v>
      </c>
      <c r="DC144">
        <v>0.04</v>
      </c>
      <c r="DD144">
        <v>77.88</v>
      </c>
      <c r="DE144" t="s">
        <v>1148</v>
      </c>
      <c r="DF144">
        <v>31.56</v>
      </c>
      <c r="DG144">
        <v>21.64</v>
      </c>
      <c r="DH144">
        <v>20.41</v>
      </c>
      <c r="DI144">
        <v>0.04</v>
      </c>
      <c r="DJ144">
        <v>928</v>
      </c>
      <c r="DK144">
        <v>565</v>
      </c>
      <c r="DL144" t="s">
        <v>120</v>
      </c>
      <c r="DM144" t="s">
        <v>120</v>
      </c>
      <c r="DN144" t="s">
        <v>120</v>
      </c>
    </row>
    <row r="145" spans="1:118">
      <c r="A145" t="str">
        <f>"000566"</f>
        <v>000566</v>
      </c>
      <c r="B145" t="s">
        <v>1149</v>
      </c>
      <c r="C145">
        <v>-2.66</v>
      </c>
      <c r="D145">
        <v>-0.2</v>
      </c>
      <c r="E145">
        <v>0.2</v>
      </c>
      <c r="F145">
        <v>584</v>
      </c>
      <c r="G145" t="s">
        <v>1150</v>
      </c>
      <c r="H145">
        <v>4714.3</v>
      </c>
      <c r="I145">
        <v>9.39</v>
      </c>
      <c r="J145" t="s">
        <v>120</v>
      </c>
      <c r="K145" t="s">
        <v>1151</v>
      </c>
      <c r="L145">
        <v>0.84</v>
      </c>
      <c r="M145">
        <v>4.75</v>
      </c>
      <c r="N145">
        <v>1.1299999999999999</v>
      </c>
      <c r="O145">
        <v>0.82</v>
      </c>
      <c r="P145">
        <v>4.92</v>
      </c>
      <c r="Q145">
        <v>-2.66</v>
      </c>
      <c r="R145">
        <v>4.75</v>
      </c>
      <c r="S145">
        <v>4.8899999999999997</v>
      </c>
      <c r="T145">
        <v>97749</v>
      </c>
      <c r="U145">
        <v>4.76</v>
      </c>
      <c r="V145">
        <v>4.88</v>
      </c>
      <c r="W145" t="s">
        <v>120</v>
      </c>
      <c r="X145" t="s">
        <v>569</v>
      </c>
      <c r="Y145" t="s">
        <v>835</v>
      </c>
      <c r="Z145">
        <v>3.48</v>
      </c>
      <c r="AA145">
        <v>4.82</v>
      </c>
      <c r="AB145">
        <v>64796</v>
      </c>
      <c r="AC145">
        <v>32953</v>
      </c>
      <c r="AD145">
        <v>1.97</v>
      </c>
      <c r="AE145">
        <v>1549</v>
      </c>
      <c r="AF145">
        <v>266</v>
      </c>
      <c r="AG145" t="s">
        <v>120</v>
      </c>
      <c r="AH145">
        <v>0</v>
      </c>
      <c r="AI145" t="s">
        <v>120</v>
      </c>
      <c r="AJ145">
        <v>11.65</v>
      </c>
      <c r="AK145" t="s">
        <v>1152</v>
      </c>
      <c r="AL145">
        <v>-0.75</v>
      </c>
      <c r="AM145">
        <v>1515</v>
      </c>
      <c r="AN145">
        <v>65</v>
      </c>
      <c r="AO145">
        <v>5.9999999999999995E-4</v>
      </c>
      <c r="AP145">
        <v>-3</v>
      </c>
      <c r="AQ145">
        <v>-0.61</v>
      </c>
      <c r="AR145">
        <v>-4.2300000000000004</v>
      </c>
      <c r="AS145">
        <v>1.72</v>
      </c>
      <c r="AT145">
        <v>-16.82</v>
      </c>
      <c r="AU145">
        <v>-48.54</v>
      </c>
      <c r="AV145">
        <v>4</v>
      </c>
      <c r="AW145">
        <v>1.33</v>
      </c>
      <c r="AX145">
        <v>56.85</v>
      </c>
      <c r="AY145" t="s">
        <v>120</v>
      </c>
      <c r="AZ145" t="s">
        <v>120</v>
      </c>
      <c r="BA145">
        <v>0.23</v>
      </c>
      <c r="BB145" t="s">
        <v>125</v>
      </c>
      <c r="BF145">
        <v>-1.17</v>
      </c>
      <c r="BG145">
        <v>-2.86</v>
      </c>
      <c r="BH145">
        <v>-3.46</v>
      </c>
      <c r="BI145">
        <v>0</v>
      </c>
      <c r="BJ145">
        <v>20210826</v>
      </c>
      <c r="BK145">
        <v>19940525</v>
      </c>
      <c r="BL145">
        <v>12.97</v>
      </c>
      <c r="BM145" t="s">
        <v>120</v>
      </c>
      <c r="BN145" t="s">
        <v>120</v>
      </c>
      <c r="BO145">
        <v>97.05</v>
      </c>
      <c r="BP145">
        <v>4.75</v>
      </c>
      <c r="BQ145">
        <v>33.159999999999997</v>
      </c>
      <c r="BR145">
        <v>2.5299999999999998</v>
      </c>
      <c r="BS145">
        <v>63.23</v>
      </c>
      <c r="BT145">
        <v>47.03</v>
      </c>
      <c r="BU145">
        <v>17.739999999999998</v>
      </c>
      <c r="BV145">
        <v>4.2</v>
      </c>
      <c r="BW145">
        <v>52.7</v>
      </c>
      <c r="BX145">
        <v>6.86</v>
      </c>
      <c r="BY145">
        <v>2.92</v>
      </c>
      <c r="BZ145">
        <v>7.28</v>
      </c>
      <c r="CA145" t="s">
        <v>120</v>
      </c>
      <c r="CB145">
        <v>27.66</v>
      </c>
      <c r="CC145">
        <v>10.3</v>
      </c>
      <c r="CD145">
        <v>6.41</v>
      </c>
      <c r="CE145">
        <v>-3.93</v>
      </c>
      <c r="CF145">
        <v>-0.13</v>
      </c>
      <c r="CG145">
        <v>-3.9</v>
      </c>
      <c r="CH145">
        <v>-3.99</v>
      </c>
      <c r="CI145">
        <v>-3.77</v>
      </c>
      <c r="CJ145">
        <v>-0.13</v>
      </c>
      <c r="CK145">
        <v>-2.17</v>
      </c>
      <c r="CL145">
        <v>-8.19</v>
      </c>
      <c r="CM145">
        <v>0.21</v>
      </c>
      <c r="CN145">
        <v>-1.2</v>
      </c>
      <c r="CO145">
        <v>56093</v>
      </c>
      <c r="CP145">
        <v>13149</v>
      </c>
      <c r="CQ145" t="s">
        <v>1112</v>
      </c>
      <c r="CR145">
        <v>-807.89</v>
      </c>
      <c r="CS145">
        <v>-4.07</v>
      </c>
      <c r="CT145">
        <v>1.86</v>
      </c>
      <c r="CU145">
        <v>288.67</v>
      </c>
      <c r="CV145">
        <v>5.98</v>
      </c>
      <c r="CW145">
        <v>0</v>
      </c>
      <c r="CX145" t="s">
        <v>1153</v>
      </c>
      <c r="CY145">
        <v>2.56</v>
      </c>
      <c r="CZ145">
        <v>0</v>
      </c>
      <c r="DA145">
        <v>2.13</v>
      </c>
      <c r="DB145">
        <v>-0.63</v>
      </c>
      <c r="DC145">
        <v>0.02</v>
      </c>
      <c r="DD145">
        <v>34.159999999999997</v>
      </c>
      <c r="DE145" t="s">
        <v>1154</v>
      </c>
      <c r="DF145">
        <v>37.78</v>
      </c>
      <c r="DG145">
        <v>-38.18</v>
      </c>
      <c r="DH145">
        <v>-36.61</v>
      </c>
      <c r="DI145">
        <v>0.3</v>
      </c>
      <c r="DJ145">
        <v>3148</v>
      </c>
      <c r="DK145">
        <v>566</v>
      </c>
      <c r="DL145" t="s">
        <v>120</v>
      </c>
      <c r="DM145" t="s">
        <v>120</v>
      </c>
      <c r="DN145" t="s">
        <v>120</v>
      </c>
    </row>
    <row r="146" spans="1:118">
      <c r="A146" t="str">
        <f>"000567"</f>
        <v>000567</v>
      </c>
      <c r="B146" t="s">
        <v>1155</v>
      </c>
      <c r="C146">
        <v>2</v>
      </c>
      <c r="D146">
        <v>0.2</v>
      </c>
      <c r="E146">
        <v>1.03</v>
      </c>
      <c r="F146">
        <v>1023</v>
      </c>
      <c r="G146" t="s">
        <v>1156</v>
      </c>
      <c r="H146">
        <v>18434.61</v>
      </c>
      <c r="I146">
        <v>90.98</v>
      </c>
      <c r="J146" t="s">
        <v>120</v>
      </c>
      <c r="K146" t="s">
        <v>1157</v>
      </c>
      <c r="L146">
        <v>1.92</v>
      </c>
      <c r="M146">
        <v>14.79</v>
      </c>
      <c r="N146">
        <v>1.1100000000000001</v>
      </c>
      <c r="O146">
        <v>6.48</v>
      </c>
      <c r="P146">
        <v>15.44</v>
      </c>
      <c r="Q146">
        <v>-0.21</v>
      </c>
      <c r="R146">
        <v>14.47</v>
      </c>
      <c r="S146">
        <v>14.65</v>
      </c>
      <c r="T146">
        <v>122828</v>
      </c>
      <c r="U146">
        <v>14.8</v>
      </c>
      <c r="V146">
        <v>14.5</v>
      </c>
      <c r="W146">
        <v>39.49</v>
      </c>
      <c r="X146" t="s">
        <v>721</v>
      </c>
      <c r="Y146" t="s">
        <v>835</v>
      </c>
      <c r="Z146">
        <v>6.69</v>
      </c>
      <c r="AA146">
        <v>15.01</v>
      </c>
      <c r="AB146">
        <v>58553</v>
      </c>
      <c r="AC146">
        <v>64275</v>
      </c>
      <c r="AD146">
        <v>0.91</v>
      </c>
      <c r="AE146">
        <v>329</v>
      </c>
      <c r="AF146">
        <v>201</v>
      </c>
      <c r="AG146" t="s">
        <v>120</v>
      </c>
      <c r="AH146">
        <v>0.01</v>
      </c>
      <c r="AI146" t="s">
        <v>120</v>
      </c>
      <c r="AJ146">
        <v>6.4</v>
      </c>
      <c r="AK146" t="s">
        <v>1158</v>
      </c>
      <c r="AL146">
        <v>3.91</v>
      </c>
      <c r="AM146">
        <v>3330</v>
      </c>
      <c r="AN146">
        <v>37</v>
      </c>
      <c r="AO146">
        <v>5.9999999999999995E-4</v>
      </c>
      <c r="AP146">
        <v>6</v>
      </c>
      <c r="AQ146">
        <v>0.69</v>
      </c>
      <c r="AR146">
        <v>4.3</v>
      </c>
      <c r="AS146">
        <v>22.33</v>
      </c>
      <c r="AT146">
        <v>42.35</v>
      </c>
      <c r="AU146">
        <v>66.180000000000007</v>
      </c>
      <c r="AV146">
        <v>3</v>
      </c>
      <c r="AW146">
        <v>2.12</v>
      </c>
      <c r="AX146">
        <v>90.31</v>
      </c>
      <c r="AY146">
        <v>54.5</v>
      </c>
      <c r="AZ146">
        <v>72.739999999999995</v>
      </c>
      <c r="BA146">
        <v>0.09</v>
      </c>
      <c r="BB146" t="s">
        <v>184</v>
      </c>
      <c r="BF146">
        <v>3.51</v>
      </c>
      <c r="BG146">
        <v>0.96</v>
      </c>
      <c r="BH146">
        <v>-4.21</v>
      </c>
      <c r="BI146">
        <v>2.21</v>
      </c>
      <c r="BJ146">
        <v>20210915</v>
      </c>
      <c r="BK146">
        <v>19940525</v>
      </c>
      <c r="BL146">
        <v>6.41</v>
      </c>
      <c r="BM146" t="s">
        <v>120</v>
      </c>
      <c r="BN146" t="s">
        <v>120</v>
      </c>
      <c r="BO146">
        <v>64.06</v>
      </c>
      <c r="BP146">
        <v>14.79</v>
      </c>
      <c r="BQ146">
        <v>44.78</v>
      </c>
      <c r="BR146" t="s">
        <v>120</v>
      </c>
      <c r="BS146">
        <v>30.1</v>
      </c>
      <c r="BT146">
        <v>35.24</v>
      </c>
      <c r="BU146">
        <v>0.06</v>
      </c>
      <c r="BV146">
        <v>0</v>
      </c>
      <c r="BW146">
        <v>11.13</v>
      </c>
      <c r="BX146">
        <v>4.82</v>
      </c>
      <c r="BY146">
        <v>0</v>
      </c>
      <c r="BZ146">
        <v>0</v>
      </c>
      <c r="CA146" t="s">
        <v>120</v>
      </c>
      <c r="CB146">
        <v>33.53</v>
      </c>
      <c r="CC146">
        <v>2.3199999999999998</v>
      </c>
      <c r="CD146">
        <v>0</v>
      </c>
      <c r="CE146">
        <v>1.32</v>
      </c>
      <c r="CF146">
        <v>0.23</v>
      </c>
      <c r="CG146">
        <v>1.34</v>
      </c>
      <c r="CH146">
        <v>1.2</v>
      </c>
      <c r="CI146">
        <v>1.2</v>
      </c>
      <c r="CJ146">
        <v>0.28999999999999998</v>
      </c>
      <c r="CK146">
        <v>1.17</v>
      </c>
      <c r="CL146">
        <v>4.5</v>
      </c>
      <c r="CM146">
        <v>-9.83</v>
      </c>
      <c r="CN146">
        <v>-8.1199999999999992</v>
      </c>
      <c r="CO146">
        <v>24518</v>
      </c>
      <c r="CP146">
        <v>23616</v>
      </c>
      <c r="CQ146" t="s">
        <v>1159</v>
      </c>
      <c r="CR146">
        <v>55.34</v>
      </c>
      <c r="CS146">
        <v>46.74</v>
      </c>
      <c r="CT146">
        <v>2.12</v>
      </c>
      <c r="CU146">
        <v>-9.65</v>
      </c>
      <c r="CV146">
        <v>40.950000000000003</v>
      </c>
      <c r="CW146">
        <v>0</v>
      </c>
      <c r="CX146" t="s">
        <v>1160</v>
      </c>
      <c r="CY146">
        <v>6.98</v>
      </c>
      <c r="CZ146">
        <v>0</v>
      </c>
      <c r="DA146">
        <v>5.23</v>
      </c>
      <c r="DB146">
        <v>0.7</v>
      </c>
      <c r="DC146">
        <v>-1.53</v>
      </c>
      <c r="DD146">
        <v>69.900000000000006</v>
      </c>
      <c r="DE146" t="s">
        <v>1161</v>
      </c>
      <c r="DF146" t="s">
        <v>120</v>
      </c>
      <c r="DG146">
        <v>57.08</v>
      </c>
      <c r="DH146">
        <v>51.85</v>
      </c>
      <c r="DI146" t="s">
        <v>120</v>
      </c>
      <c r="DJ146">
        <v>58</v>
      </c>
      <c r="DK146">
        <v>567</v>
      </c>
      <c r="DL146">
        <v>20200831</v>
      </c>
      <c r="DM146">
        <v>11.63</v>
      </c>
      <c r="DN146">
        <v>27.17</v>
      </c>
    </row>
    <row r="147" spans="1:118">
      <c r="A147" t="str">
        <f>"000568"</f>
        <v>000568</v>
      </c>
      <c r="B147" t="s">
        <v>1162</v>
      </c>
      <c r="C147">
        <v>0.77</v>
      </c>
      <c r="D147">
        <v>-0.31</v>
      </c>
      <c r="E147">
        <v>-1.1000000000000001</v>
      </c>
      <c r="F147">
        <v>1949</v>
      </c>
      <c r="G147" t="s">
        <v>1163</v>
      </c>
      <c r="H147">
        <v>264234.95</v>
      </c>
      <c r="I147">
        <v>3482.66</v>
      </c>
      <c r="J147" t="s">
        <v>120</v>
      </c>
      <c r="K147" t="s">
        <v>1164</v>
      </c>
      <c r="L147">
        <v>1.04</v>
      </c>
      <c r="M147">
        <v>174.2</v>
      </c>
      <c r="N147">
        <v>1.1200000000000001</v>
      </c>
      <c r="O147">
        <v>2.2000000000000002</v>
      </c>
      <c r="P147">
        <v>176.68</v>
      </c>
      <c r="Q147">
        <v>-2.78</v>
      </c>
      <c r="R147">
        <v>168.06</v>
      </c>
      <c r="S147">
        <v>170.97</v>
      </c>
      <c r="T147">
        <v>152936</v>
      </c>
      <c r="U147">
        <v>174.25</v>
      </c>
      <c r="V147">
        <v>172.87</v>
      </c>
      <c r="W147">
        <v>30.19</v>
      </c>
      <c r="X147" t="s">
        <v>1165</v>
      </c>
      <c r="Y147" t="s">
        <v>578</v>
      </c>
      <c r="Z147">
        <v>4.99</v>
      </c>
      <c r="AA147">
        <v>172.77</v>
      </c>
      <c r="AB147">
        <v>67570</v>
      </c>
      <c r="AC147">
        <v>85366</v>
      </c>
      <c r="AD147">
        <v>0.79</v>
      </c>
      <c r="AE147">
        <v>4</v>
      </c>
      <c r="AF147">
        <v>1</v>
      </c>
      <c r="AG147" t="s">
        <v>120</v>
      </c>
      <c r="AH147">
        <v>0.03</v>
      </c>
      <c r="AI147" t="s">
        <v>120</v>
      </c>
      <c r="AJ147">
        <v>14.64</v>
      </c>
      <c r="AK147" t="s">
        <v>1166</v>
      </c>
      <c r="AL147">
        <v>2.68</v>
      </c>
      <c r="AM147">
        <v>4639</v>
      </c>
      <c r="AN147">
        <v>33</v>
      </c>
      <c r="AO147">
        <v>2.0000000000000001E-4</v>
      </c>
      <c r="AP147">
        <v>1</v>
      </c>
      <c r="AQ147">
        <v>-4.7699999999999996</v>
      </c>
      <c r="AR147">
        <v>-5.8</v>
      </c>
      <c r="AS147">
        <v>-0.33</v>
      </c>
      <c r="AT147">
        <v>-23.91</v>
      </c>
      <c r="AU147">
        <v>-22.27</v>
      </c>
      <c r="AV147">
        <v>0</v>
      </c>
      <c r="AW147">
        <v>2.13</v>
      </c>
      <c r="AX147">
        <v>48.96</v>
      </c>
      <c r="AY147">
        <v>36.11</v>
      </c>
      <c r="AZ147">
        <v>42.16</v>
      </c>
      <c r="BA147">
        <v>1.31</v>
      </c>
      <c r="BB147" t="s">
        <v>143</v>
      </c>
      <c r="BF147">
        <v>-0.06</v>
      </c>
      <c r="BG147">
        <v>1.89</v>
      </c>
      <c r="BH147">
        <v>-1.4</v>
      </c>
      <c r="BI147">
        <v>3.65</v>
      </c>
      <c r="BJ147">
        <v>20210828</v>
      </c>
      <c r="BK147">
        <v>19940509</v>
      </c>
      <c r="BL147">
        <v>14.65</v>
      </c>
      <c r="BM147" t="s">
        <v>120</v>
      </c>
      <c r="BN147" t="s">
        <v>120</v>
      </c>
      <c r="BO147">
        <v>375.04</v>
      </c>
      <c r="BP147">
        <v>174.2</v>
      </c>
      <c r="BQ147">
        <v>243.07</v>
      </c>
      <c r="BR147">
        <v>1.52</v>
      </c>
      <c r="BS147">
        <v>34.78</v>
      </c>
      <c r="BT147">
        <v>220.72</v>
      </c>
      <c r="BU147">
        <v>78.8</v>
      </c>
      <c r="BV147">
        <v>26.3</v>
      </c>
      <c r="BW147">
        <v>89.1</v>
      </c>
      <c r="BX147">
        <v>136.11000000000001</v>
      </c>
      <c r="BY147">
        <v>59.17</v>
      </c>
      <c r="BZ147">
        <v>7.0000000000000007E-2</v>
      </c>
      <c r="CA147" t="s">
        <v>120</v>
      </c>
      <c r="CB147">
        <v>37.229999999999997</v>
      </c>
      <c r="CC147">
        <v>93.17</v>
      </c>
      <c r="CD147">
        <v>13.35</v>
      </c>
      <c r="CE147">
        <v>55.95</v>
      </c>
      <c r="CF147">
        <v>1.28</v>
      </c>
      <c r="CG147">
        <v>56.12</v>
      </c>
      <c r="CH147">
        <v>42.66</v>
      </c>
      <c r="CI147">
        <v>42.26</v>
      </c>
      <c r="CJ147">
        <v>1.33</v>
      </c>
      <c r="CK147">
        <v>42.09</v>
      </c>
      <c r="CL147">
        <v>174.59</v>
      </c>
      <c r="CM147">
        <v>27.38</v>
      </c>
      <c r="CN147">
        <v>19.579999999999998</v>
      </c>
      <c r="CO147">
        <v>218549</v>
      </c>
      <c r="CP147">
        <v>3282</v>
      </c>
      <c r="CQ147" t="s">
        <v>1167</v>
      </c>
      <c r="CR147">
        <v>31.23</v>
      </c>
      <c r="CS147">
        <v>22.04</v>
      </c>
      <c r="CT147">
        <v>10.5</v>
      </c>
      <c r="CU147">
        <v>93.18</v>
      </c>
      <c r="CV147">
        <v>27.39</v>
      </c>
      <c r="CW147">
        <v>1.19</v>
      </c>
      <c r="CX147" t="s">
        <v>1168</v>
      </c>
      <c r="CY147">
        <v>16.59</v>
      </c>
      <c r="CZ147">
        <v>0</v>
      </c>
      <c r="DA147">
        <v>2.54</v>
      </c>
      <c r="DB147">
        <v>11.92</v>
      </c>
      <c r="DC147">
        <v>1.87</v>
      </c>
      <c r="DD147">
        <v>64.81</v>
      </c>
      <c r="DE147" t="s">
        <v>1169</v>
      </c>
      <c r="DF147">
        <v>85.67</v>
      </c>
      <c r="DG147">
        <v>60.05</v>
      </c>
      <c r="DH147">
        <v>45.36</v>
      </c>
      <c r="DI147">
        <v>0.37</v>
      </c>
      <c r="DJ147">
        <v>3330</v>
      </c>
      <c r="DK147">
        <v>568</v>
      </c>
      <c r="DL147" t="s">
        <v>120</v>
      </c>
      <c r="DM147" t="s">
        <v>120</v>
      </c>
      <c r="DN147" t="s">
        <v>120</v>
      </c>
    </row>
    <row r="148" spans="1:118">
      <c r="A148" t="str">
        <f>"000570"</f>
        <v>000570</v>
      </c>
      <c r="B148" t="s">
        <v>1170</v>
      </c>
      <c r="C148">
        <v>-1.97</v>
      </c>
      <c r="D148">
        <v>-0.14000000000000001</v>
      </c>
      <c r="E148">
        <v>-0.3</v>
      </c>
      <c r="F148">
        <v>406</v>
      </c>
      <c r="G148" t="s">
        <v>1171</v>
      </c>
      <c r="H148">
        <v>6556.05</v>
      </c>
      <c r="I148">
        <v>11.2</v>
      </c>
      <c r="J148" t="s">
        <v>120</v>
      </c>
      <c r="K148" t="s">
        <v>1172</v>
      </c>
      <c r="L148">
        <v>2.4</v>
      </c>
      <c r="M148">
        <v>6.48</v>
      </c>
      <c r="N148">
        <v>1.06</v>
      </c>
      <c r="O148">
        <v>3.33</v>
      </c>
      <c r="P148">
        <v>6.83</v>
      </c>
      <c r="Q148">
        <v>-2.12</v>
      </c>
      <c r="R148">
        <v>6.47</v>
      </c>
      <c r="S148">
        <v>6.59</v>
      </c>
      <c r="T148">
        <v>98590</v>
      </c>
      <c r="U148">
        <v>6.48</v>
      </c>
      <c r="V148">
        <v>6.61</v>
      </c>
      <c r="W148">
        <v>17.7</v>
      </c>
      <c r="X148" t="s">
        <v>959</v>
      </c>
      <c r="Y148" t="s">
        <v>319</v>
      </c>
      <c r="Z148">
        <v>5.45</v>
      </c>
      <c r="AA148">
        <v>6.65</v>
      </c>
      <c r="AB148">
        <v>54176</v>
      </c>
      <c r="AC148">
        <v>44414</v>
      </c>
      <c r="AD148">
        <v>1.22</v>
      </c>
      <c r="AE148">
        <v>157</v>
      </c>
      <c r="AF148">
        <v>110</v>
      </c>
      <c r="AG148" t="s">
        <v>120</v>
      </c>
      <c r="AH148">
        <v>0.01</v>
      </c>
      <c r="AI148" t="s">
        <v>120</v>
      </c>
      <c r="AJ148">
        <v>4.1100000000000003</v>
      </c>
      <c r="AK148" t="s">
        <v>1173</v>
      </c>
      <c r="AL148">
        <v>-0.05</v>
      </c>
      <c r="AM148">
        <v>2627</v>
      </c>
      <c r="AN148">
        <v>38</v>
      </c>
      <c r="AO148">
        <v>8.9999999999999998E-4</v>
      </c>
      <c r="AP148">
        <v>-1</v>
      </c>
      <c r="AQ148">
        <v>2.0099999999999998</v>
      </c>
      <c r="AR148">
        <v>-4.42</v>
      </c>
      <c r="AS148">
        <v>1.57</v>
      </c>
      <c r="AT148">
        <v>8.73</v>
      </c>
      <c r="AU148">
        <v>15.31</v>
      </c>
      <c r="AV148">
        <v>9</v>
      </c>
      <c r="AW148">
        <v>4.0999999999999996</v>
      </c>
      <c r="AX148">
        <v>34.08</v>
      </c>
      <c r="AY148">
        <v>30.3</v>
      </c>
      <c r="AZ148">
        <v>88.96</v>
      </c>
      <c r="BA148">
        <v>0.97</v>
      </c>
      <c r="BB148" t="s">
        <v>143</v>
      </c>
      <c r="BF148">
        <v>0.6</v>
      </c>
      <c r="BG148">
        <v>-1.67</v>
      </c>
      <c r="BH148">
        <v>-5.12</v>
      </c>
      <c r="BI148">
        <v>0.15</v>
      </c>
      <c r="BJ148">
        <v>20210913</v>
      </c>
      <c r="BK148">
        <v>19940701</v>
      </c>
      <c r="BL148">
        <v>7.06</v>
      </c>
      <c r="BM148">
        <v>1.5</v>
      </c>
      <c r="BN148" t="s">
        <v>120</v>
      </c>
      <c r="BO148">
        <v>49.92</v>
      </c>
      <c r="BP148">
        <v>6.47</v>
      </c>
      <c r="BQ148">
        <v>31.3</v>
      </c>
      <c r="BR148">
        <v>0.2</v>
      </c>
      <c r="BS148">
        <v>36.9</v>
      </c>
      <c r="BT148">
        <v>31.41</v>
      </c>
      <c r="BU148">
        <v>4.2699999999999996</v>
      </c>
      <c r="BV148">
        <v>1.57</v>
      </c>
      <c r="BW148">
        <v>16.579999999999998</v>
      </c>
      <c r="BX148">
        <v>12.32</v>
      </c>
      <c r="BY148">
        <v>5.61</v>
      </c>
      <c r="BZ148">
        <v>9.35</v>
      </c>
      <c r="CA148" t="s">
        <v>120</v>
      </c>
      <c r="CB148">
        <v>6.41</v>
      </c>
      <c r="CC148">
        <v>14.97</v>
      </c>
      <c r="CD148">
        <v>12.84</v>
      </c>
      <c r="CE148">
        <v>1.57</v>
      </c>
      <c r="CF148">
        <v>0.09</v>
      </c>
      <c r="CG148">
        <v>1.58</v>
      </c>
      <c r="CH148">
        <v>1.29</v>
      </c>
      <c r="CI148">
        <v>1.29</v>
      </c>
      <c r="CJ148">
        <v>-0.13</v>
      </c>
      <c r="CK148">
        <v>0.27</v>
      </c>
      <c r="CL148">
        <v>9.07</v>
      </c>
      <c r="CM148">
        <v>-0.93</v>
      </c>
      <c r="CN148">
        <v>4.17</v>
      </c>
      <c r="CO148">
        <v>52417</v>
      </c>
      <c r="CP148">
        <v>7450</v>
      </c>
      <c r="CQ148" t="s">
        <v>1174</v>
      </c>
      <c r="CR148">
        <v>366.55</v>
      </c>
      <c r="CS148">
        <v>28.24</v>
      </c>
      <c r="CT148">
        <v>1.46</v>
      </c>
      <c r="CU148">
        <v>-49.41</v>
      </c>
      <c r="CV148">
        <v>3.05</v>
      </c>
      <c r="CW148">
        <v>0</v>
      </c>
      <c r="CX148" t="s">
        <v>694</v>
      </c>
      <c r="CY148">
        <v>4.4400000000000004</v>
      </c>
      <c r="CZ148">
        <v>0</v>
      </c>
      <c r="DA148">
        <v>0.91</v>
      </c>
      <c r="DB148">
        <v>1.29</v>
      </c>
      <c r="DC148">
        <v>-0.13</v>
      </c>
      <c r="DD148">
        <v>62.7</v>
      </c>
      <c r="DE148" t="s">
        <v>1175</v>
      </c>
      <c r="DF148">
        <v>14.23</v>
      </c>
      <c r="DG148">
        <v>10.49</v>
      </c>
      <c r="DH148">
        <v>8.6300000000000008</v>
      </c>
      <c r="DI148">
        <v>0.45</v>
      </c>
      <c r="DJ148">
        <v>2863</v>
      </c>
      <c r="DK148">
        <v>570</v>
      </c>
      <c r="DL148" t="s">
        <v>120</v>
      </c>
      <c r="DM148" t="s">
        <v>120</v>
      </c>
      <c r="DN148" t="s">
        <v>120</v>
      </c>
    </row>
    <row r="149" spans="1:118">
      <c r="A149" t="str">
        <f>"000572"</f>
        <v>000572</v>
      </c>
      <c r="B149" t="s">
        <v>1176</v>
      </c>
      <c r="C149">
        <v>1.71</v>
      </c>
      <c r="D149">
        <v>0</v>
      </c>
      <c r="E149">
        <v>-0.14000000000000001</v>
      </c>
      <c r="F149">
        <v>5506</v>
      </c>
      <c r="G149" t="s">
        <v>1177</v>
      </c>
      <c r="H149">
        <v>58922.34</v>
      </c>
      <c r="I149">
        <v>95.48</v>
      </c>
      <c r="J149" t="s">
        <v>120</v>
      </c>
      <c r="K149" t="s">
        <v>1178</v>
      </c>
      <c r="L149">
        <v>4.97</v>
      </c>
      <c r="M149">
        <v>7.12</v>
      </c>
      <c r="N149">
        <v>1.47</v>
      </c>
      <c r="O149">
        <v>6.43</v>
      </c>
      <c r="P149">
        <v>7.45</v>
      </c>
      <c r="Q149">
        <v>-1.57</v>
      </c>
      <c r="R149">
        <v>6.89</v>
      </c>
      <c r="S149">
        <v>6.99</v>
      </c>
      <c r="T149">
        <v>816495</v>
      </c>
      <c r="U149">
        <v>7.12</v>
      </c>
      <c r="V149">
        <v>7</v>
      </c>
      <c r="W149" t="s">
        <v>120</v>
      </c>
      <c r="X149" t="s">
        <v>1068</v>
      </c>
      <c r="Y149" t="s">
        <v>835</v>
      </c>
      <c r="Z149">
        <v>8</v>
      </c>
      <c r="AA149">
        <v>7.22</v>
      </c>
      <c r="AB149">
        <v>378508</v>
      </c>
      <c r="AC149">
        <v>437987</v>
      </c>
      <c r="AD149">
        <v>0.86</v>
      </c>
      <c r="AE149">
        <v>1312</v>
      </c>
      <c r="AF149">
        <v>906</v>
      </c>
      <c r="AG149" t="s">
        <v>120</v>
      </c>
      <c r="AH149">
        <v>0.01</v>
      </c>
      <c r="AI149" t="s">
        <v>120</v>
      </c>
      <c r="AJ149">
        <v>16.420000000000002</v>
      </c>
      <c r="AK149" t="s">
        <v>1179</v>
      </c>
      <c r="AL149">
        <v>3.63</v>
      </c>
      <c r="AM149">
        <v>4289</v>
      </c>
      <c r="AN149">
        <v>190</v>
      </c>
      <c r="AO149">
        <v>1.1999999999999999E-3</v>
      </c>
      <c r="AP149">
        <v>1</v>
      </c>
      <c r="AQ149">
        <v>-3.18</v>
      </c>
      <c r="AR149">
        <v>5.48</v>
      </c>
      <c r="AS149">
        <v>-1.93</v>
      </c>
      <c r="AT149">
        <v>17.100000000000001</v>
      </c>
      <c r="AU149">
        <v>134.21</v>
      </c>
      <c r="AV149">
        <v>38</v>
      </c>
      <c r="AW149">
        <v>7.59</v>
      </c>
      <c r="AX149">
        <v>65.400000000000006</v>
      </c>
      <c r="AY149" t="s">
        <v>120</v>
      </c>
      <c r="AZ149" t="s">
        <v>120</v>
      </c>
      <c r="BA149">
        <v>0.98</v>
      </c>
      <c r="BB149" t="s">
        <v>143</v>
      </c>
      <c r="BF149">
        <v>3.09</v>
      </c>
      <c r="BG149">
        <v>1.86</v>
      </c>
      <c r="BH149">
        <v>-4.43</v>
      </c>
      <c r="BI149">
        <v>3.34</v>
      </c>
      <c r="BJ149">
        <v>20210914</v>
      </c>
      <c r="BK149">
        <v>19940808</v>
      </c>
      <c r="BL149">
        <v>16.45</v>
      </c>
      <c r="BM149" t="s">
        <v>120</v>
      </c>
      <c r="BN149" t="s">
        <v>120</v>
      </c>
      <c r="BO149">
        <v>86.99</v>
      </c>
      <c r="BP149">
        <v>7.11</v>
      </c>
      <c r="BQ149">
        <v>35.01</v>
      </c>
      <c r="BR149">
        <v>8.64</v>
      </c>
      <c r="BS149">
        <v>49.82</v>
      </c>
      <c r="BT149">
        <v>30.44</v>
      </c>
      <c r="BU149">
        <v>25.26</v>
      </c>
      <c r="BV149">
        <v>14.02</v>
      </c>
      <c r="BW149">
        <v>40.78</v>
      </c>
      <c r="BX149">
        <v>10.18</v>
      </c>
      <c r="BY149">
        <v>6.38</v>
      </c>
      <c r="BZ149">
        <v>2.9</v>
      </c>
      <c r="CA149" t="s">
        <v>120</v>
      </c>
      <c r="CB149">
        <v>37.770000000000003</v>
      </c>
      <c r="CC149">
        <v>9.26</v>
      </c>
      <c r="CD149">
        <v>7.56</v>
      </c>
      <c r="CE149">
        <v>-1.06</v>
      </c>
      <c r="CF149">
        <v>0</v>
      </c>
      <c r="CG149">
        <v>-0.96</v>
      </c>
      <c r="CH149">
        <v>-0.71</v>
      </c>
      <c r="CI149">
        <v>-0.83</v>
      </c>
      <c r="CJ149">
        <v>0.12</v>
      </c>
      <c r="CK149">
        <v>-1.81</v>
      </c>
      <c r="CL149">
        <v>-20.84</v>
      </c>
      <c r="CM149">
        <v>0.68</v>
      </c>
      <c r="CN149">
        <v>0.3</v>
      </c>
      <c r="CO149">
        <v>107171</v>
      </c>
      <c r="CP149">
        <v>10036</v>
      </c>
      <c r="CQ149" t="s">
        <v>1180</v>
      </c>
      <c r="CR149">
        <v>51.95</v>
      </c>
      <c r="CS149">
        <v>48.35</v>
      </c>
      <c r="CT149">
        <v>3.34</v>
      </c>
      <c r="CU149">
        <v>172.71</v>
      </c>
      <c r="CV149">
        <v>12.65</v>
      </c>
      <c r="CW149">
        <v>0</v>
      </c>
      <c r="CX149" t="s">
        <v>161</v>
      </c>
      <c r="CY149">
        <v>2.13</v>
      </c>
      <c r="CZ149">
        <v>0</v>
      </c>
      <c r="DA149">
        <v>2.2999999999999998</v>
      </c>
      <c r="DB149">
        <v>-1.27</v>
      </c>
      <c r="DC149">
        <v>0.04</v>
      </c>
      <c r="DD149">
        <v>40.25</v>
      </c>
      <c r="DE149" t="s">
        <v>1181</v>
      </c>
      <c r="DF149">
        <v>18.38</v>
      </c>
      <c r="DG149">
        <v>-11.43</v>
      </c>
      <c r="DH149">
        <v>-8.9700000000000006</v>
      </c>
      <c r="DI149">
        <v>1.1499999999999999</v>
      </c>
      <c r="DJ149">
        <v>3122</v>
      </c>
      <c r="DK149">
        <v>572</v>
      </c>
      <c r="DL149" t="s">
        <v>120</v>
      </c>
      <c r="DM149" t="s">
        <v>120</v>
      </c>
      <c r="DN149" t="s">
        <v>120</v>
      </c>
    </row>
    <row r="150" spans="1:118">
      <c r="A150" t="str">
        <f>"000573"</f>
        <v>000573</v>
      </c>
      <c r="B150" t="s">
        <v>1182</v>
      </c>
      <c r="C150">
        <v>-2.92</v>
      </c>
      <c r="D150">
        <v>-0.28999999999999998</v>
      </c>
      <c r="E150">
        <v>0</v>
      </c>
      <c r="F150">
        <v>2290</v>
      </c>
      <c r="G150" t="s">
        <v>1183</v>
      </c>
      <c r="H150">
        <v>3309.23</v>
      </c>
      <c r="I150">
        <v>8.86</v>
      </c>
      <c r="J150" t="s">
        <v>120</v>
      </c>
      <c r="K150" t="s">
        <v>214</v>
      </c>
      <c r="L150">
        <v>1.55</v>
      </c>
      <c r="M150">
        <v>3.32</v>
      </c>
      <c r="N150">
        <v>0.8</v>
      </c>
      <c r="O150">
        <v>1.17</v>
      </c>
      <c r="P150">
        <v>3.46</v>
      </c>
      <c r="Q150">
        <v>-3.22</v>
      </c>
      <c r="R150">
        <v>3.31</v>
      </c>
      <c r="S150">
        <v>3.42</v>
      </c>
      <c r="T150">
        <v>97972</v>
      </c>
      <c r="U150">
        <v>3.33</v>
      </c>
      <c r="V150">
        <v>3.42</v>
      </c>
      <c r="W150">
        <v>9.6199999999999992</v>
      </c>
      <c r="X150" t="s">
        <v>150</v>
      </c>
      <c r="Y150" t="s">
        <v>547</v>
      </c>
      <c r="Z150">
        <v>4.3899999999999997</v>
      </c>
      <c r="AA150">
        <v>3.38</v>
      </c>
      <c r="AB150">
        <v>64904</v>
      </c>
      <c r="AC150">
        <v>33068</v>
      </c>
      <c r="AD150">
        <v>1.96</v>
      </c>
      <c r="AE150">
        <v>654</v>
      </c>
      <c r="AF150">
        <v>1593</v>
      </c>
      <c r="AG150" t="s">
        <v>120</v>
      </c>
      <c r="AH150">
        <v>0.01</v>
      </c>
      <c r="AI150" t="s">
        <v>120</v>
      </c>
      <c r="AJ150">
        <v>6.33</v>
      </c>
      <c r="AK150" t="s">
        <v>1184</v>
      </c>
      <c r="AL150">
        <v>-1.01</v>
      </c>
      <c r="AM150">
        <v>1429</v>
      </c>
      <c r="AN150">
        <v>69</v>
      </c>
      <c r="AO150">
        <v>1.1000000000000001E-3</v>
      </c>
      <c r="AP150">
        <v>-1</v>
      </c>
      <c r="AQ150">
        <v>2.7</v>
      </c>
      <c r="AR150">
        <v>-2.36</v>
      </c>
      <c r="AS150">
        <v>14.88</v>
      </c>
      <c r="AT150">
        <v>8.14</v>
      </c>
      <c r="AU150">
        <v>19.86</v>
      </c>
      <c r="AV150">
        <v>4</v>
      </c>
      <c r="AW150">
        <v>1.94</v>
      </c>
      <c r="AX150">
        <v>79.209999999999994</v>
      </c>
      <c r="AY150">
        <v>1180.8499999999999</v>
      </c>
      <c r="AZ150" t="s">
        <v>120</v>
      </c>
      <c r="BA150">
        <v>0.32</v>
      </c>
      <c r="BB150" t="s">
        <v>168</v>
      </c>
      <c r="BF150">
        <v>-1.24</v>
      </c>
      <c r="BG150">
        <v>-2.92</v>
      </c>
      <c r="BH150">
        <v>-4.05</v>
      </c>
      <c r="BI150">
        <v>0.3</v>
      </c>
      <c r="BJ150">
        <v>20210830</v>
      </c>
      <c r="BK150">
        <v>19940815</v>
      </c>
      <c r="BL150">
        <v>6.38</v>
      </c>
      <c r="BM150" t="s">
        <v>120</v>
      </c>
      <c r="BN150" t="s">
        <v>120</v>
      </c>
      <c r="BO150">
        <v>29.27</v>
      </c>
      <c r="BP150">
        <v>3.32</v>
      </c>
      <c r="BQ150">
        <v>16.47</v>
      </c>
      <c r="BR150">
        <v>0</v>
      </c>
      <c r="BS150">
        <v>43.75</v>
      </c>
      <c r="BT150">
        <v>17.04</v>
      </c>
      <c r="BU150">
        <v>0.79</v>
      </c>
      <c r="BV150">
        <v>1.66</v>
      </c>
      <c r="BW150">
        <v>11.58</v>
      </c>
      <c r="BX150">
        <v>6.15</v>
      </c>
      <c r="BY150">
        <v>10.18</v>
      </c>
      <c r="BZ150">
        <v>0.16</v>
      </c>
      <c r="CA150" t="s">
        <v>120</v>
      </c>
      <c r="CB150">
        <v>5.41</v>
      </c>
      <c r="CC150">
        <v>6.45</v>
      </c>
      <c r="CD150">
        <v>4.45</v>
      </c>
      <c r="CE150">
        <v>1.3</v>
      </c>
      <c r="CF150">
        <v>0.38</v>
      </c>
      <c r="CG150">
        <v>1.3</v>
      </c>
      <c r="CH150">
        <v>1.0900000000000001</v>
      </c>
      <c r="CI150">
        <v>1.1000000000000001</v>
      </c>
      <c r="CJ150">
        <v>-0.1</v>
      </c>
      <c r="CK150">
        <v>1.1000000000000001</v>
      </c>
      <c r="CL150">
        <v>2.39</v>
      </c>
      <c r="CM150">
        <v>0.95</v>
      </c>
      <c r="CN150">
        <v>-0.61</v>
      </c>
      <c r="CO150">
        <v>42273</v>
      </c>
      <c r="CP150">
        <v>11960</v>
      </c>
      <c r="CQ150" t="s">
        <v>1185</v>
      </c>
      <c r="CR150">
        <v>1492.12</v>
      </c>
      <c r="CS150">
        <v>112.88</v>
      </c>
      <c r="CT150">
        <v>1.29</v>
      </c>
      <c r="CU150">
        <v>22.34</v>
      </c>
      <c r="CV150">
        <v>3.29</v>
      </c>
      <c r="CW150">
        <v>1.75</v>
      </c>
      <c r="CX150" t="s">
        <v>1186</v>
      </c>
      <c r="CY150">
        <v>2.58</v>
      </c>
      <c r="CZ150">
        <v>0</v>
      </c>
      <c r="DA150">
        <v>0.85</v>
      </c>
      <c r="DB150">
        <v>0.37</v>
      </c>
      <c r="DC150">
        <v>0.15</v>
      </c>
      <c r="DD150">
        <v>56.25</v>
      </c>
      <c r="DE150" t="s">
        <v>1187</v>
      </c>
      <c r="DF150">
        <v>31.01</v>
      </c>
      <c r="DG150">
        <v>20.170000000000002</v>
      </c>
      <c r="DH150">
        <v>17.079999999999998</v>
      </c>
      <c r="DI150">
        <v>0.01</v>
      </c>
      <c r="DJ150">
        <v>255</v>
      </c>
      <c r="DK150">
        <v>573</v>
      </c>
      <c r="DL150" t="s">
        <v>120</v>
      </c>
      <c r="DM150" t="s">
        <v>120</v>
      </c>
      <c r="DN150" t="s">
        <v>120</v>
      </c>
    </row>
    <row r="151" spans="1:118">
      <c r="A151" t="str">
        <f>"000576"</f>
        <v>000576</v>
      </c>
      <c r="B151" t="s">
        <v>1188</v>
      </c>
      <c r="C151">
        <v>-1.59</v>
      </c>
      <c r="D151">
        <v>0</v>
      </c>
      <c r="E151">
        <v>-1.38</v>
      </c>
      <c r="F151">
        <v>1304</v>
      </c>
      <c r="G151" t="s">
        <v>1189</v>
      </c>
      <c r="H151">
        <v>19041.689999999999</v>
      </c>
      <c r="I151">
        <v>92.89</v>
      </c>
      <c r="J151" t="s">
        <v>120</v>
      </c>
      <c r="K151" t="s">
        <v>1190</v>
      </c>
      <c r="L151">
        <v>3.12</v>
      </c>
      <c r="M151">
        <v>14.26</v>
      </c>
      <c r="N151">
        <v>0.45</v>
      </c>
      <c r="O151">
        <v>1.1000000000000001</v>
      </c>
      <c r="P151">
        <v>14.65</v>
      </c>
      <c r="Q151">
        <v>-2.69</v>
      </c>
      <c r="R151">
        <v>14.1</v>
      </c>
      <c r="S151">
        <v>14.29</v>
      </c>
      <c r="T151">
        <v>132312</v>
      </c>
      <c r="U151">
        <v>14.27</v>
      </c>
      <c r="V151">
        <v>14.49</v>
      </c>
      <c r="W151">
        <v>42.14</v>
      </c>
      <c r="X151" t="s">
        <v>847</v>
      </c>
      <c r="Y151" t="s">
        <v>547</v>
      </c>
      <c r="Z151">
        <v>3.8</v>
      </c>
      <c r="AA151">
        <v>14.39</v>
      </c>
      <c r="AB151">
        <v>71755</v>
      </c>
      <c r="AC151">
        <v>60557</v>
      </c>
      <c r="AD151">
        <v>1.18</v>
      </c>
      <c r="AE151">
        <v>247</v>
      </c>
      <c r="AF151">
        <v>28</v>
      </c>
      <c r="AG151" t="s">
        <v>120</v>
      </c>
      <c r="AH151">
        <v>0.03</v>
      </c>
      <c r="AI151" t="s">
        <v>120</v>
      </c>
      <c r="AJ151">
        <v>4.24</v>
      </c>
      <c r="AK151" t="s">
        <v>1191</v>
      </c>
      <c r="AL151">
        <v>0.33</v>
      </c>
      <c r="AM151">
        <v>3519</v>
      </c>
      <c r="AN151">
        <v>38</v>
      </c>
      <c r="AO151">
        <v>8.9999999999999998E-4</v>
      </c>
      <c r="AP151">
        <v>-1</v>
      </c>
      <c r="AQ151">
        <v>1.54</v>
      </c>
      <c r="AR151">
        <v>-4.3</v>
      </c>
      <c r="AS151">
        <v>16.98</v>
      </c>
      <c r="AT151">
        <v>20.85</v>
      </c>
      <c r="AU151">
        <v>37.090000000000003</v>
      </c>
      <c r="AV151">
        <v>5</v>
      </c>
      <c r="AW151">
        <v>5.51</v>
      </c>
      <c r="AX151">
        <v>54.21</v>
      </c>
      <c r="AY151">
        <v>8.91</v>
      </c>
      <c r="AZ151">
        <v>9.4600000000000009</v>
      </c>
      <c r="BA151">
        <v>0.52</v>
      </c>
      <c r="BB151" t="s">
        <v>143</v>
      </c>
      <c r="BF151">
        <v>-0.68</v>
      </c>
      <c r="BG151">
        <v>-0.21</v>
      </c>
      <c r="BH151">
        <v>-2.66</v>
      </c>
      <c r="BI151">
        <v>1.1299999999999999</v>
      </c>
      <c r="BJ151">
        <v>20210903</v>
      </c>
      <c r="BK151">
        <v>19940907</v>
      </c>
      <c r="BL151">
        <v>4.43</v>
      </c>
      <c r="BM151" t="s">
        <v>120</v>
      </c>
      <c r="BN151" t="s">
        <v>120</v>
      </c>
      <c r="BO151">
        <v>18.45</v>
      </c>
      <c r="BP151">
        <v>14.26</v>
      </c>
      <c r="BQ151">
        <v>17.03</v>
      </c>
      <c r="BR151">
        <v>0.21</v>
      </c>
      <c r="BS151">
        <v>6.59</v>
      </c>
      <c r="BT151">
        <v>8.9499999999999993</v>
      </c>
      <c r="BU151">
        <v>0.36</v>
      </c>
      <c r="BV151">
        <v>0.1</v>
      </c>
      <c r="BW151">
        <v>1.18</v>
      </c>
      <c r="BX151">
        <v>2.78</v>
      </c>
      <c r="BY151">
        <v>0.9</v>
      </c>
      <c r="BZ151">
        <v>1.46</v>
      </c>
      <c r="CA151">
        <v>0</v>
      </c>
      <c r="CB151">
        <v>7.64</v>
      </c>
      <c r="CC151">
        <v>2.95</v>
      </c>
      <c r="CD151">
        <v>1.74</v>
      </c>
      <c r="CE151">
        <v>0.93</v>
      </c>
      <c r="CF151">
        <v>-0.19</v>
      </c>
      <c r="CG151">
        <v>0.93</v>
      </c>
      <c r="CH151">
        <v>0.8</v>
      </c>
      <c r="CI151">
        <v>0.75</v>
      </c>
      <c r="CJ151">
        <v>-0.23</v>
      </c>
      <c r="CK151">
        <v>0.65</v>
      </c>
      <c r="CL151">
        <v>5.01</v>
      </c>
      <c r="CM151">
        <v>-0.56000000000000005</v>
      </c>
      <c r="CN151">
        <v>-1.83</v>
      </c>
      <c r="CO151">
        <v>33304</v>
      </c>
      <c r="CP151">
        <v>7208</v>
      </c>
      <c r="CQ151" t="s">
        <v>1192</v>
      </c>
      <c r="CR151">
        <v>128.16</v>
      </c>
      <c r="CS151">
        <v>30.81</v>
      </c>
      <c r="CT151">
        <v>3.71</v>
      </c>
      <c r="CU151">
        <v>-111.92</v>
      </c>
      <c r="CV151">
        <v>21.44</v>
      </c>
      <c r="CW151">
        <v>1.35</v>
      </c>
      <c r="CX151" t="s">
        <v>1193</v>
      </c>
      <c r="CY151">
        <v>3.85</v>
      </c>
      <c r="CZ151">
        <v>0</v>
      </c>
      <c r="DA151">
        <v>1.73</v>
      </c>
      <c r="DB151">
        <v>1.1299999999999999</v>
      </c>
      <c r="DC151">
        <v>-0.13</v>
      </c>
      <c r="DD151">
        <v>92.3</v>
      </c>
      <c r="DE151" t="s">
        <v>1194</v>
      </c>
      <c r="DF151">
        <v>40.869999999999997</v>
      </c>
      <c r="DG151">
        <v>31.47</v>
      </c>
      <c r="DH151">
        <v>25.44</v>
      </c>
      <c r="DI151">
        <v>0.15</v>
      </c>
      <c r="DJ151">
        <v>278</v>
      </c>
      <c r="DK151">
        <v>576</v>
      </c>
      <c r="DL151" t="s">
        <v>120</v>
      </c>
      <c r="DM151" t="s">
        <v>120</v>
      </c>
      <c r="DN151" t="s">
        <v>120</v>
      </c>
    </row>
    <row r="152" spans="1:118">
      <c r="A152" t="str">
        <f>"000581"</f>
        <v>000581</v>
      </c>
      <c r="B152" t="s">
        <v>1195</v>
      </c>
      <c r="C152">
        <v>-2.2200000000000002</v>
      </c>
      <c r="D152">
        <v>-0.04</v>
      </c>
      <c r="E152">
        <v>0.05</v>
      </c>
      <c r="F152">
        <v>1346</v>
      </c>
      <c r="G152" t="s">
        <v>1196</v>
      </c>
      <c r="H152">
        <v>24992.67</v>
      </c>
      <c r="I152">
        <v>41.16</v>
      </c>
      <c r="J152" t="s">
        <v>120</v>
      </c>
      <c r="K152" t="s">
        <v>1197</v>
      </c>
      <c r="L152">
        <v>1.4</v>
      </c>
      <c r="M152">
        <v>21.63</v>
      </c>
      <c r="N152">
        <v>0.82</v>
      </c>
      <c r="O152">
        <v>0.54</v>
      </c>
      <c r="P152">
        <v>22.24</v>
      </c>
      <c r="Q152">
        <v>-2.2599999999999998</v>
      </c>
      <c r="R152">
        <v>21.62</v>
      </c>
      <c r="S152">
        <v>22.13</v>
      </c>
      <c r="T152">
        <v>114325</v>
      </c>
      <c r="U152">
        <v>21.64</v>
      </c>
      <c r="V152">
        <v>22.12</v>
      </c>
      <c r="W152">
        <v>6.63</v>
      </c>
      <c r="X152" t="s">
        <v>289</v>
      </c>
      <c r="Y152" t="s">
        <v>319</v>
      </c>
      <c r="Z152">
        <v>2.8</v>
      </c>
      <c r="AA152">
        <v>21.86</v>
      </c>
      <c r="AB152">
        <v>63033</v>
      </c>
      <c r="AC152">
        <v>51292</v>
      </c>
      <c r="AD152">
        <v>1.23</v>
      </c>
      <c r="AE152">
        <v>10</v>
      </c>
      <c r="AF152">
        <v>19</v>
      </c>
      <c r="AG152" t="s">
        <v>120</v>
      </c>
      <c r="AH152">
        <v>0</v>
      </c>
      <c r="AI152" t="s">
        <v>120</v>
      </c>
      <c r="AJ152">
        <v>8.17</v>
      </c>
      <c r="AK152" t="s">
        <v>1198</v>
      </c>
      <c r="AL152">
        <v>-0.3</v>
      </c>
      <c r="AM152">
        <v>3361</v>
      </c>
      <c r="AN152">
        <v>34</v>
      </c>
      <c r="AO152">
        <v>4.0000000000000002E-4</v>
      </c>
      <c r="AP152">
        <v>-1</v>
      </c>
      <c r="AQ152">
        <v>0.82</v>
      </c>
      <c r="AR152">
        <v>-4.76</v>
      </c>
      <c r="AS152">
        <v>-1.36</v>
      </c>
      <c r="AT152">
        <v>2.9</v>
      </c>
      <c r="AU152">
        <v>-0.28000000000000003</v>
      </c>
      <c r="AV152">
        <v>1</v>
      </c>
      <c r="AW152">
        <v>2.2999999999999998</v>
      </c>
      <c r="AX152">
        <v>49.32</v>
      </c>
      <c r="AY152">
        <v>7.22</v>
      </c>
      <c r="AZ152">
        <v>8.0500000000000007</v>
      </c>
      <c r="BA152">
        <v>0.41</v>
      </c>
      <c r="BB152" t="s">
        <v>143</v>
      </c>
      <c r="BF152">
        <v>-1.17</v>
      </c>
      <c r="BG152">
        <v>-2.2599999999999998</v>
      </c>
      <c r="BH152">
        <v>-2.74</v>
      </c>
      <c r="BI152">
        <v>0.05</v>
      </c>
      <c r="BJ152">
        <v>20210824</v>
      </c>
      <c r="BK152">
        <v>19980924</v>
      </c>
      <c r="BL152">
        <v>10.09</v>
      </c>
      <c r="BM152">
        <v>1.72</v>
      </c>
      <c r="BN152" t="s">
        <v>120</v>
      </c>
      <c r="BO152">
        <v>277.79000000000002</v>
      </c>
      <c r="BP152">
        <v>21.63</v>
      </c>
      <c r="BQ152">
        <v>184.35</v>
      </c>
      <c r="BR152">
        <v>5.43</v>
      </c>
      <c r="BS152">
        <v>31.68</v>
      </c>
      <c r="BT152">
        <v>167.19</v>
      </c>
      <c r="BU152">
        <v>29.03</v>
      </c>
      <c r="BV152">
        <v>4.3</v>
      </c>
      <c r="BW152">
        <v>82.27</v>
      </c>
      <c r="BX152">
        <v>24.59</v>
      </c>
      <c r="BY152">
        <v>22.7</v>
      </c>
      <c r="BZ152">
        <v>42.14</v>
      </c>
      <c r="CA152">
        <v>0</v>
      </c>
      <c r="CB152">
        <v>33.32</v>
      </c>
      <c r="CC152">
        <v>90.38</v>
      </c>
      <c r="CD152">
        <v>74.98</v>
      </c>
      <c r="CE152">
        <v>18.07</v>
      </c>
      <c r="CF152">
        <v>11.06</v>
      </c>
      <c r="CG152">
        <v>18.07</v>
      </c>
      <c r="CH152">
        <v>16.89</v>
      </c>
      <c r="CI152">
        <v>16.45</v>
      </c>
      <c r="CJ152">
        <v>-0.49</v>
      </c>
      <c r="CK152">
        <v>17.02</v>
      </c>
      <c r="CL152">
        <v>138.9</v>
      </c>
      <c r="CM152">
        <v>0.8</v>
      </c>
      <c r="CN152">
        <v>5.34</v>
      </c>
      <c r="CO152">
        <v>69815</v>
      </c>
      <c r="CP152">
        <v>9597</v>
      </c>
      <c r="CQ152" t="s">
        <v>1199</v>
      </c>
      <c r="CR152">
        <v>24.05</v>
      </c>
      <c r="CS152">
        <v>37.049999999999997</v>
      </c>
      <c r="CT152">
        <v>1.18</v>
      </c>
      <c r="CU152">
        <v>272.14</v>
      </c>
      <c r="CV152">
        <v>2.41</v>
      </c>
      <c r="CW152">
        <v>6.78</v>
      </c>
      <c r="CX152" t="s">
        <v>1200</v>
      </c>
      <c r="CY152">
        <v>18.27</v>
      </c>
      <c r="CZ152">
        <v>0</v>
      </c>
      <c r="DA152">
        <v>3.3</v>
      </c>
      <c r="DB152">
        <v>13.77</v>
      </c>
      <c r="DC152">
        <v>0.08</v>
      </c>
      <c r="DD152">
        <v>66.36</v>
      </c>
      <c r="DE152" t="s">
        <v>1201</v>
      </c>
      <c r="DF152">
        <v>17.04</v>
      </c>
      <c r="DG152">
        <v>20</v>
      </c>
      <c r="DH152">
        <v>18.21</v>
      </c>
      <c r="DI152">
        <v>2.5</v>
      </c>
      <c r="DJ152">
        <v>5389</v>
      </c>
      <c r="DK152">
        <v>581</v>
      </c>
      <c r="DL152" t="s">
        <v>120</v>
      </c>
      <c r="DM152" t="s">
        <v>120</v>
      </c>
      <c r="DN152" t="s">
        <v>120</v>
      </c>
    </row>
    <row r="153" spans="1:118">
      <c r="A153" t="str">
        <f>"000582"</f>
        <v>000582</v>
      </c>
      <c r="B153" t="s">
        <v>1202</v>
      </c>
      <c r="C153">
        <v>-2.0099999999999998</v>
      </c>
      <c r="D153">
        <v>0.24</v>
      </c>
      <c r="E153">
        <v>-0.47</v>
      </c>
      <c r="F153">
        <v>328</v>
      </c>
      <c r="G153" t="s">
        <v>734</v>
      </c>
      <c r="H153">
        <v>4755.2299999999996</v>
      </c>
      <c r="I153">
        <v>37.89</v>
      </c>
      <c r="J153" t="s">
        <v>120</v>
      </c>
      <c r="K153" t="s">
        <v>1203</v>
      </c>
      <c r="L153">
        <v>0.45</v>
      </c>
      <c r="M153">
        <v>8.2899999999999991</v>
      </c>
      <c r="N153">
        <v>0.62</v>
      </c>
      <c r="O153">
        <v>0.95</v>
      </c>
      <c r="P153">
        <v>8.5399999999999991</v>
      </c>
      <c r="Q153">
        <v>-2.36</v>
      </c>
      <c r="R153">
        <v>8.26</v>
      </c>
      <c r="S153">
        <v>8.42</v>
      </c>
      <c r="T153">
        <v>56716</v>
      </c>
      <c r="U153">
        <v>8.2899999999999991</v>
      </c>
      <c r="V153">
        <v>8.4600000000000009</v>
      </c>
      <c r="W153">
        <v>13.13</v>
      </c>
      <c r="X153" t="s">
        <v>511</v>
      </c>
      <c r="Y153" t="s">
        <v>945</v>
      </c>
      <c r="Z153">
        <v>3.31</v>
      </c>
      <c r="AA153">
        <v>8.3800000000000008</v>
      </c>
      <c r="AB153">
        <v>33595</v>
      </c>
      <c r="AC153">
        <v>23121</v>
      </c>
      <c r="AD153">
        <v>1.45</v>
      </c>
      <c r="AE153">
        <v>148</v>
      </c>
      <c r="AF153">
        <v>58</v>
      </c>
      <c r="AG153" t="s">
        <v>120</v>
      </c>
      <c r="AH153">
        <v>0.01</v>
      </c>
      <c r="AI153" t="s">
        <v>120</v>
      </c>
      <c r="AJ153">
        <v>12.67</v>
      </c>
      <c r="AK153" t="s">
        <v>1204</v>
      </c>
      <c r="AL153">
        <v>-0.1</v>
      </c>
      <c r="AM153">
        <v>1711</v>
      </c>
      <c r="AN153">
        <v>33</v>
      </c>
      <c r="AO153">
        <v>2.9999999999999997E-4</v>
      </c>
      <c r="AP153">
        <v>-1</v>
      </c>
      <c r="AQ153">
        <v>0.36</v>
      </c>
      <c r="AR153">
        <v>-3.82</v>
      </c>
      <c r="AS153">
        <v>9.2200000000000006</v>
      </c>
      <c r="AT153">
        <v>0.49</v>
      </c>
      <c r="AU153">
        <v>-19.62</v>
      </c>
      <c r="AV153">
        <v>1</v>
      </c>
      <c r="AW153">
        <v>1.34</v>
      </c>
      <c r="AX153">
        <v>25.83</v>
      </c>
      <c r="AY153">
        <v>12.94</v>
      </c>
      <c r="AZ153">
        <v>12.85</v>
      </c>
      <c r="BA153">
        <v>0.38</v>
      </c>
      <c r="BB153" t="s">
        <v>143</v>
      </c>
      <c r="BF153">
        <v>-0.89</v>
      </c>
      <c r="BG153">
        <v>-1.54</v>
      </c>
      <c r="BH153">
        <v>-2.93</v>
      </c>
      <c r="BI153">
        <v>0.36</v>
      </c>
      <c r="BJ153">
        <v>20210824</v>
      </c>
      <c r="BK153">
        <v>19951102</v>
      </c>
      <c r="BL153">
        <v>16.329999999999998</v>
      </c>
      <c r="BM153" t="s">
        <v>120</v>
      </c>
      <c r="BN153" t="s">
        <v>120</v>
      </c>
      <c r="BO153">
        <v>203.63</v>
      </c>
      <c r="BP153">
        <v>8.27</v>
      </c>
      <c r="BQ153">
        <v>105.61</v>
      </c>
      <c r="BR153">
        <v>17.73</v>
      </c>
      <c r="BS153">
        <v>39.43</v>
      </c>
      <c r="BT153">
        <v>36.700000000000003</v>
      </c>
      <c r="BU153">
        <v>115.86</v>
      </c>
      <c r="BV153">
        <v>24.25</v>
      </c>
      <c r="BW153">
        <v>42.56</v>
      </c>
      <c r="BX153">
        <v>22.49</v>
      </c>
      <c r="BY153">
        <v>0.37</v>
      </c>
      <c r="BZ153">
        <v>5.98</v>
      </c>
      <c r="CA153" t="s">
        <v>120</v>
      </c>
      <c r="CB153">
        <v>37.020000000000003</v>
      </c>
      <c r="CC153">
        <v>26.94</v>
      </c>
      <c r="CD153">
        <v>16.940000000000001</v>
      </c>
      <c r="CE153">
        <v>6.97</v>
      </c>
      <c r="CF153">
        <v>0</v>
      </c>
      <c r="CG153">
        <v>6.98</v>
      </c>
      <c r="CH153">
        <v>5.77</v>
      </c>
      <c r="CI153">
        <v>5.15</v>
      </c>
      <c r="CJ153">
        <v>-0.17</v>
      </c>
      <c r="CK153">
        <v>4.9000000000000004</v>
      </c>
      <c r="CL153">
        <v>48.69</v>
      </c>
      <c r="CM153">
        <v>3.35</v>
      </c>
      <c r="CN153">
        <v>-3.63</v>
      </c>
      <c r="CO153">
        <v>43027</v>
      </c>
      <c r="CP153">
        <v>9806</v>
      </c>
      <c r="CQ153" t="s">
        <v>1205</v>
      </c>
      <c r="CR153">
        <v>-1.53</v>
      </c>
      <c r="CS153">
        <v>11.13</v>
      </c>
      <c r="CT153">
        <v>1.28</v>
      </c>
      <c r="CU153">
        <v>40.369999999999997</v>
      </c>
      <c r="CV153">
        <v>5.03</v>
      </c>
      <c r="CW153">
        <v>2.19</v>
      </c>
      <c r="CX153" t="s">
        <v>966</v>
      </c>
      <c r="CY153">
        <v>6.47</v>
      </c>
      <c r="CZ153">
        <v>0</v>
      </c>
      <c r="DA153">
        <v>2.27</v>
      </c>
      <c r="DB153">
        <v>2.98</v>
      </c>
      <c r="DC153">
        <v>0.21</v>
      </c>
      <c r="DD153">
        <v>51.86</v>
      </c>
      <c r="DE153" t="s">
        <v>1206</v>
      </c>
      <c r="DF153">
        <v>37.119999999999997</v>
      </c>
      <c r="DG153">
        <v>25.87</v>
      </c>
      <c r="DH153">
        <v>19.14</v>
      </c>
      <c r="DI153">
        <v>0.04</v>
      </c>
      <c r="DJ153">
        <v>7509</v>
      </c>
      <c r="DK153">
        <v>582</v>
      </c>
      <c r="DL153" t="s">
        <v>120</v>
      </c>
      <c r="DM153" t="s">
        <v>120</v>
      </c>
      <c r="DN153" t="s">
        <v>120</v>
      </c>
    </row>
    <row r="154" spans="1:118">
      <c r="A154" t="str">
        <f>"000584"</f>
        <v>000584</v>
      </c>
      <c r="B154" t="s">
        <v>1207</v>
      </c>
      <c r="C154">
        <v>-1.8</v>
      </c>
      <c r="D154">
        <v>0</v>
      </c>
      <c r="E154">
        <v>-0.16</v>
      </c>
      <c r="F154">
        <v>1339</v>
      </c>
      <c r="G154" t="s">
        <v>1208</v>
      </c>
      <c r="H154">
        <v>4124.25</v>
      </c>
      <c r="I154">
        <v>3.85</v>
      </c>
      <c r="J154" t="s">
        <v>120</v>
      </c>
      <c r="K154" t="s">
        <v>1209</v>
      </c>
      <c r="L154">
        <v>0.92</v>
      </c>
      <c r="M154">
        <v>6.01</v>
      </c>
      <c r="N154">
        <v>0.59</v>
      </c>
      <c r="O154">
        <v>0.16</v>
      </c>
      <c r="P154">
        <v>6.13</v>
      </c>
      <c r="Q154">
        <v>-1.96</v>
      </c>
      <c r="R154">
        <v>6</v>
      </c>
      <c r="S154">
        <v>6.11</v>
      </c>
      <c r="T154">
        <v>67987</v>
      </c>
      <c r="U154">
        <v>6.01</v>
      </c>
      <c r="V154">
        <v>6.12</v>
      </c>
      <c r="W154" t="s">
        <v>120</v>
      </c>
      <c r="X154" t="s">
        <v>675</v>
      </c>
      <c r="Y154" t="s">
        <v>319</v>
      </c>
      <c r="Z154">
        <v>2.12</v>
      </c>
      <c r="AA154">
        <v>6.07</v>
      </c>
      <c r="AB154">
        <v>40668</v>
      </c>
      <c r="AC154">
        <v>27319</v>
      </c>
      <c r="AD154">
        <v>1.49</v>
      </c>
      <c r="AE154">
        <v>3503</v>
      </c>
      <c r="AF154">
        <v>566</v>
      </c>
      <c r="AG154" t="s">
        <v>120</v>
      </c>
      <c r="AH154">
        <v>0</v>
      </c>
      <c r="AI154" t="s">
        <v>120</v>
      </c>
      <c r="AJ154">
        <v>7.35</v>
      </c>
      <c r="AK154" t="s">
        <v>1173</v>
      </c>
      <c r="AL154">
        <v>0.12</v>
      </c>
      <c r="AM154">
        <v>1421</v>
      </c>
      <c r="AN154">
        <v>48</v>
      </c>
      <c r="AO154">
        <v>6.9999999999999999E-4</v>
      </c>
      <c r="AP154">
        <v>-3</v>
      </c>
      <c r="AQ154">
        <v>-0.65</v>
      </c>
      <c r="AR154">
        <v>-3.07</v>
      </c>
      <c r="AS154">
        <v>-4.1399999999999997</v>
      </c>
      <c r="AT154">
        <v>-10.43</v>
      </c>
      <c r="AU154">
        <v>3.08</v>
      </c>
      <c r="AV154">
        <v>4</v>
      </c>
      <c r="AW154">
        <v>1.23</v>
      </c>
      <c r="AX154">
        <v>72.53</v>
      </c>
      <c r="AY154" t="s">
        <v>120</v>
      </c>
      <c r="AZ154">
        <v>816.3</v>
      </c>
      <c r="BA154">
        <v>0.77</v>
      </c>
      <c r="BB154" t="s">
        <v>134</v>
      </c>
      <c r="BF154">
        <v>-0.88</v>
      </c>
      <c r="BG154">
        <v>-1.64</v>
      </c>
      <c r="BH154">
        <v>-1.96</v>
      </c>
      <c r="BI154">
        <v>0.17</v>
      </c>
      <c r="BJ154">
        <v>20210831</v>
      </c>
      <c r="BK154">
        <v>19951128</v>
      </c>
      <c r="BL154">
        <v>7.61</v>
      </c>
      <c r="BM154" t="s">
        <v>120</v>
      </c>
      <c r="BN154" t="s">
        <v>120</v>
      </c>
      <c r="BO154">
        <v>49.12</v>
      </c>
      <c r="BP154">
        <v>6</v>
      </c>
      <c r="BQ154">
        <v>23.43</v>
      </c>
      <c r="BR154">
        <v>1.51</v>
      </c>
      <c r="BS154">
        <v>49.22</v>
      </c>
      <c r="BT154">
        <v>24.07</v>
      </c>
      <c r="BU154">
        <v>1.46</v>
      </c>
      <c r="BV154">
        <v>1.18</v>
      </c>
      <c r="BW154">
        <v>18.93</v>
      </c>
      <c r="BX154">
        <v>3.53</v>
      </c>
      <c r="BY154">
        <v>9.16</v>
      </c>
      <c r="BZ154">
        <v>4.63</v>
      </c>
      <c r="CA154" t="s">
        <v>120</v>
      </c>
      <c r="CB154">
        <v>12.06</v>
      </c>
      <c r="CC154">
        <v>9.1199999999999992</v>
      </c>
      <c r="CD154">
        <v>8.09</v>
      </c>
      <c r="CE154">
        <v>-0.81</v>
      </c>
      <c r="CF154">
        <v>-0.04</v>
      </c>
      <c r="CG154">
        <v>-0.74</v>
      </c>
      <c r="CH154">
        <v>-0.57999999999999996</v>
      </c>
      <c r="CI154">
        <v>-0.56000000000000005</v>
      </c>
      <c r="CJ154">
        <v>-0.11</v>
      </c>
      <c r="CK154">
        <v>-0.63</v>
      </c>
      <c r="CL154">
        <v>2.92</v>
      </c>
      <c r="CM154">
        <v>-1.1299999999999999</v>
      </c>
      <c r="CN154">
        <v>0.01</v>
      </c>
      <c r="CO154">
        <v>45692</v>
      </c>
      <c r="CP154">
        <v>12079</v>
      </c>
      <c r="CQ154" t="s">
        <v>1210</v>
      </c>
      <c r="CR154">
        <v>-136.04</v>
      </c>
      <c r="CS154">
        <v>18.34</v>
      </c>
      <c r="CT154">
        <v>1.95</v>
      </c>
      <c r="CU154">
        <v>-40.5</v>
      </c>
      <c r="CV154">
        <v>5.0199999999999996</v>
      </c>
      <c r="CW154">
        <v>0</v>
      </c>
      <c r="CX154" t="s">
        <v>1211</v>
      </c>
      <c r="CY154">
        <v>3.08</v>
      </c>
      <c r="CZ154">
        <v>0</v>
      </c>
      <c r="DA154">
        <v>1.58</v>
      </c>
      <c r="DB154">
        <v>0.38</v>
      </c>
      <c r="DC154">
        <v>-0.15</v>
      </c>
      <c r="DD154">
        <v>47.7</v>
      </c>
      <c r="DE154" t="s">
        <v>1212</v>
      </c>
      <c r="DF154">
        <v>11.22</v>
      </c>
      <c r="DG154">
        <v>-8.94</v>
      </c>
      <c r="DH154">
        <v>-6.13</v>
      </c>
      <c r="DI154">
        <v>0.36</v>
      </c>
      <c r="DJ154">
        <v>994</v>
      </c>
      <c r="DK154">
        <v>584</v>
      </c>
      <c r="DL154" t="s">
        <v>120</v>
      </c>
      <c r="DM154" t="s">
        <v>120</v>
      </c>
      <c r="DN154" t="s">
        <v>120</v>
      </c>
    </row>
    <row r="155" spans="1:118">
      <c r="A155" t="str">
        <f>"000586"</f>
        <v>000586</v>
      </c>
      <c r="B155" t="s">
        <v>1213</v>
      </c>
      <c r="C155" t="s">
        <v>120</v>
      </c>
      <c r="D155" t="s">
        <v>120</v>
      </c>
      <c r="E155" t="s">
        <v>120</v>
      </c>
      <c r="F155">
        <v>0</v>
      </c>
      <c r="G155" t="s">
        <v>1214</v>
      </c>
      <c r="H155">
        <v>0</v>
      </c>
      <c r="I155">
        <v>0</v>
      </c>
      <c r="J155" t="s">
        <v>120</v>
      </c>
      <c r="K155" t="s">
        <v>1215</v>
      </c>
      <c r="L155" t="s">
        <v>120</v>
      </c>
      <c r="M155">
        <v>8.99</v>
      </c>
      <c r="N155">
        <v>0</v>
      </c>
      <c r="O155" t="s">
        <v>120</v>
      </c>
      <c r="P155" t="s">
        <v>120</v>
      </c>
      <c r="Q155" t="s">
        <v>120</v>
      </c>
      <c r="R155" t="s">
        <v>120</v>
      </c>
      <c r="S155" t="s">
        <v>120</v>
      </c>
      <c r="T155">
        <v>0</v>
      </c>
      <c r="U155" t="s">
        <v>120</v>
      </c>
      <c r="V155">
        <v>8.99</v>
      </c>
      <c r="W155">
        <v>56.96</v>
      </c>
      <c r="X155" t="s">
        <v>462</v>
      </c>
      <c r="Y155" t="s">
        <v>578</v>
      </c>
      <c r="Z155">
        <v>0</v>
      </c>
      <c r="AA155">
        <v>8.99</v>
      </c>
      <c r="AB155">
        <v>0</v>
      </c>
      <c r="AC155">
        <v>0</v>
      </c>
      <c r="AD155" t="s">
        <v>120</v>
      </c>
      <c r="AE155">
        <v>0</v>
      </c>
      <c r="AF155">
        <v>0</v>
      </c>
      <c r="AG155" t="s">
        <v>120</v>
      </c>
      <c r="AH155">
        <v>0</v>
      </c>
      <c r="AI155" t="s">
        <v>120</v>
      </c>
      <c r="AJ155">
        <v>1.93</v>
      </c>
      <c r="AK155" t="s">
        <v>1215</v>
      </c>
      <c r="AL155">
        <v>1.91</v>
      </c>
      <c r="AM155">
        <v>0</v>
      </c>
      <c r="AN155" t="s">
        <v>120</v>
      </c>
      <c r="AO155" t="s">
        <v>120</v>
      </c>
      <c r="AP155">
        <v>1</v>
      </c>
      <c r="AQ155">
        <v>10.039999999999999</v>
      </c>
      <c r="AR155">
        <v>8.58</v>
      </c>
      <c r="AS155">
        <v>8.84</v>
      </c>
      <c r="AT155">
        <v>21.82</v>
      </c>
      <c r="AU155">
        <v>23.83</v>
      </c>
      <c r="AV155">
        <v>1</v>
      </c>
      <c r="AW155" t="s">
        <v>120</v>
      </c>
      <c r="AX155">
        <v>60.22</v>
      </c>
      <c r="AY155">
        <v>45.52</v>
      </c>
      <c r="AZ155">
        <v>71.37</v>
      </c>
      <c r="BA155">
        <v>0.44</v>
      </c>
      <c r="BB155" t="s">
        <v>143</v>
      </c>
      <c r="BF155">
        <v>0</v>
      </c>
      <c r="BG155" t="s">
        <v>120</v>
      </c>
      <c r="BH155" t="s">
        <v>120</v>
      </c>
      <c r="BI155" t="s">
        <v>120</v>
      </c>
      <c r="BJ155">
        <v>20210826</v>
      </c>
      <c r="BK155">
        <v>19951220</v>
      </c>
      <c r="BL155">
        <v>1.93</v>
      </c>
      <c r="BM155" t="s">
        <v>120</v>
      </c>
      <c r="BN155" t="s">
        <v>120</v>
      </c>
      <c r="BO155">
        <v>5.36</v>
      </c>
      <c r="BQ155">
        <v>2.84</v>
      </c>
      <c r="BR155">
        <v>0.05</v>
      </c>
      <c r="BS155">
        <v>46</v>
      </c>
      <c r="BT155">
        <v>4.57</v>
      </c>
      <c r="BU155">
        <v>0.43</v>
      </c>
      <c r="BV155">
        <v>0.17</v>
      </c>
      <c r="BW155">
        <v>2.34</v>
      </c>
      <c r="BX155">
        <v>0.81</v>
      </c>
      <c r="BY155">
        <v>0.69</v>
      </c>
      <c r="BZ155">
        <v>2.42</v>
      </c>
      <c r="CA155">
        <v>0.01</v>
      </c>
      <c r="CB155">
        <v>0.65</v>
      </c>
      <c r="CC155">
        <v>2.13</v>
      </c>
      <c r="CD155">
        <v>1.28</v>
      </c>
      <c r="CE155">
        <v>0.18</v>
      </c>
      <c r="CF155">
        <v>0</v>
      </c>
      <c r="CG155">
        <v>0.18</v>
      </c>
      <c r="CH155">
        <v>0.16</v>
      </c>
      <c r="CI155">
        <v>0.15</v>
      </c>
      <c r="CJ155" t="s">
        <v>120</v>
      </c>
      <c r="CK155">
        <v>0.14000000000000001</v>
      </c>
      <c r="CL155">
        <v>0.08</v>
      </c>
      <c r="CM155">
        <v>-0.13</v>
      </c>
      <c r="CN155">
        <v>-7.0000000000000007E-2</v>
      </c>
      <c r="CO155">
        <v>19062</v>
      </c>
      <c r="CP155">
        <v>6111</v>
      </c>
      <c r="CQ155" t="s">
        <v>1146</v>
      </c>
      <c r="CR155">
        <v>970.97</v>
      </c>
      <c r="CS155">
        <v>32.92</v>
      </c>
      <c r="CT155">
        <v>6.12</v>
      </c>
      <c r="CU155">
        <v>-132.34</v>
      </c>
      <c r="CV155">
        <v>8.17</v>
      </c>
      <c r="CW155">
        <v>0</v>
      </c>
      <c r="CX155" t="s">
        <v>535</v>
      </c>
      <c r="CY155">
        <v>1.47</v>
      </c>
      <c r="CZ155">
        <v>0</v>
      </c>
      <c r="DA155">
        <v>0.33</v>
      </c>
      <c r="DB155">
        <v>0.04</v>
      </c>
      <c r="DC155">
        <v>-7.0000000000000007E-2</v>
      </c>
      <c r="DD155">
        <v>53.03</v>
      </c>
      <c r="DE155" t="s">
        <v>1216</v>
      </c>
      <c r="DF155">
        <v>39.700000000000003</v>
      </c>
      <c r="DG155">
        <v>8.68</v>
      </c>
      <c r="DH155">
        <v>7.17</v>
      </c>
      <c r="DI155">
        <v>0.11</v>
      </c>
      <c r="DJ155">
        <v>603</v>
      </c>
      <c r="DK155">
        <v>586</v>
      </c>
      <c r="DL155" t="s">
        <v>120</v>
      </c>
      <c r="DM155" t="s">
        <v>120</v>
      </c>
      <c r="DN155" t="s">
        <v>120</v>
      </c>
    </row>
    <row r="156" spans="1:118">
      <c r="A156" t="str">
        <f>"000589"</f>
        <v>000589</v>
      </c>
      <c r="B156" t="s">
        <v>1217</v>
      </c>
      <c r="C156">
        <v>-1.54</v>
      </c>
      <c r="D156">
        <v>0</v>
      </c>
      <c r="E156">
        <v>1.19</v>
      </c>
      <c r="F156">
        <v>834</v>
      </c>
      <c r="G156" t="s">
        <v>1218</v>
      </c>
      <c r="H156">
        <v>5135.6899999999996</v>
      </c>
      <c r="I156">
        <v>75.13</v>
      </c>
      <c r="J156" t="s">
        <v>120</v>
      </c>
      <c r="K156" t="s">
        <v>1219</v>
      </c>
      <c r="L156">
        <v>1.1299999999999999</v>
      </c>
      <c r="M156">
        <v>5.77</v>
      </c>
      <c r="N156">
        <v>0.73</v>
      </c>
      <c r="O156">
        <v>1.54</v>
      </c>
      <c r="P156">
        <v>5.95</v>
      </c>
      <c r="Q156">
        <v>-1.54</v>
      </c>
      <c r="R156">
        <v>5.77</v>
      </c>
      <c r="S156">
        <v>5.93</v>
      </c>
      <c r="T156">
        <v>87774</v>
      </c>
      <c r="U156">
        <v>5.77</v>
      </c>
      <c r="V156">
        <v>5.86</v>
      </c>
      <c r="W156">
        <v>13.99</v>
      </c>
      <c r="X156" t="s">
        <v>289</v>
      </c>
      <c r="Y156" t="s">
        <v>1021</v>
      </c>
      <c r="Z156">
        <v>3.07</v>
      </c>
      <c r="AA156">
        <v>5.85</v>
      </c>
      <c r="AB156">
        <v>53896</v>
      </c>
      <c r="AC156">
        <v>33878</v>
      </c>
      <c r="AD156">
        <v>1.59</v>
      </c>
      <c r="AE156">
        <v>896</v>
      </c>
      <c r="AF156">
        <v>52</v>
      </c>
      <c r="AG156" t="s">
        <v>120</v>
      </c>
      <c r="AH156">
        <v>0.02</v>
      </c>
      <c r="AI156" t="s">
        <v>120</v>
      </c>
      <c r="AJ156">
        <v>7.75</v>
      </c>
      <c r="AK156" t="s">
        <v>1220</v>
      </c>
      <c r="AL156">
        <v>0.38</v>
      </c>
      <c r="AM156">
        <v>1699</v>
      </c>
      <c r="AN156">
        <v>52</v>
      </c>
      <c r="AO156">
        <v>6.9999999999999999E-4</v>
      </c>
      <c r="AP156">
        <v>-1</v>
      </c>
      <c r="AQ156">
        <v>1.03</v>
      </c>
      <c r="AR156">
        <v>-3.68</v>
      </c>
      <c r="AS156">
        <v>0.7</v>
      </c>
      <c r="AT156">
        <v>-0.18</v>
      </c>
      <c r="AU156">
        <v>-10.26</v>
      </c>
      <c r="AV156">
        <v>1</v>
      </c>
      <c r="AW156">
        <v>1.52</v>
      </c>
      <c r="AX156">
        <v>60.55</v>
      </c>
      <c r="AY156">
        <v>4.93</v>
      </c>
      <c r="AZ156">
        <v>4.92</v>
      </c>
      <c r="BA156">
        <v>0.1</v>
      </c>
      <c r="BB156" t="s">
        <v>143</v>
      </c>
      <c r="BF156">
        <v>-0.15</v>
      </c>
      <c r="BG156">
        <v>-2.7</v>
      </c>
      <c r="BH156">
        <v>-3.03</v>
      </c>
      <c r="BI156">
        <v>0</v>
      </c>
      <c r="BJ156">
        <v>20210902</v>
      </c>
      <c r="BK156">
        <v>19960308</v>
      </c>
      <c r="BL156">
        <v>9.56</v>
      </c>
      <c r="BM156" t="s">
        <v>120</v>
      </c>
      <c r="BN156" t="s">
        <v>120</v>
      </c>
      <c r="BO156">
        <v>123.55</v>
      </c>
      <c r="BP156">
        <v>5.76</v>
      </c>
      <c r="BQ156">
        <v>58.86</v>
      </c>
      <c r="BR156">
        <v>0.34</v>
      </c>
      <c r="BS156">
        <v>52.09</v>
      </c>
      <c r="BT156">
        <v>55.61</v>
      </c>
      <c r="BU156">
        <v>38.17</v>
      </c>
      <c r="BV156">
        <v>2.2000000000000002</v>
      </c>
      <c r="BW156">
        <v>55.41</v>
      </c>
      <c r="BX156">
        <v>17.190000000000001</v>
      </c>
      <c r="BY156">
        <v>8.57</v>
      </c>
      <c r="BZ156">
        <v>9.1199999999999992</v>
      </c>
      <c r="CA156" t="s">
        <v>120</v>
      </c>
      <c r="CB156">
        <v>27.2</v>
      </c>
      <c r="CC156">
        <v>34.9</v>
      </c>
      <c r="CD156">
        <v>28.71</v>
      </c>
      <c r="CE156">
        <v>2.17</v>
      </c>
      <c r="CF156">
        <v>0.13</v>
      </c>
      <c r="CG156">
        <v>2.16</v>
      </c>
      <c r="CH156">
        <v>1.97</v>
      </c>
      <c r="CI156">
        <v>1.97</v>
      </c>
      <c r="CJ156">
        <v>-0.09</v>
      </c>
      <c r="CK156">
        <v>1.89</v>
      </c>
      <c r="CL156">
        <v>16.850000000000001</v>
      </c>
      <c r="CM156">
        <v>2</v>
      </c>
      <c r="CN156">
        <v>-1.85</v>
      </c>
      <c r="CO156">
        <v>55455</v>
      </c>
      <c r="CP156">
        <v>10441</v>
      </c>
      <c r="CQ156" t="s">
        <v>1221</v>
      </c>
      <c r="CR156">
        <v>-0.46</v>
      </c>
      <c r="CS156">
        <v>11.92</v>
      </c>
      <c r="CT156">
        <v>0.94</v>
      </c>
      <c r="CU156">
        <v>27.64</v>
      </c>
      <c r="CV156">
        <v>1.58</v>
      </c>
      <c r="CW156">
        <v>2.56</v>
      </c>
      <c r="CX156" t="s">
        <v>694</v>
      </c>
      <c r="CY156">
        <v>6.15</v>
      </c>
      <c r="CZ156">
        <v>0</v>
      </c>
      <c r="DA156">
        <v>2.84</v>
      </c>
      <c r="DB156">
        <v>1.76</v>
      </c>
      <c r="DC156">
        <v>0.21</v>
      </c>
      <c r="DD156">
        <v>47.64</v>
      </c>
      <c r="DE156" t="s">
        <v>739</v>
      </c>
      <c r="DF156">
        <v>17.760000000000002</v>
      </c>
      <c r="DG156">
        <v>6.21</v>
      </c>
      <c r="DH156">
        <v>5.65</v>
      </c>
      <c r="DI156">
        <v>1.08</v>
      </c>
      <c r="DJ156">
        <v>6131</v>
      </c>
      <c r="DK156">
        <v>589</v>
      </c>
      <c r="DL156" t="s">
        <v>120</v>
      </c>
      <c r="DM156" t="s">
        <v>120</v>
      </c>
      <c r="DN156" t="s">
        <v>120</v>
      </c>
    </row>
    <row r="157" spans="1:118">
      <c r="A157" t="str">
        <f>"000590"</f>
        <v>000590</v>
      </c>
      <c r="B157" t="s">
        <v>1222</v>
      </c>
      <c r="C157">
        <v>-0.11</v>
      </c>
      <c r="D157">
        <v>0</v>
      </c>
      <c r="E157">
        <v>0</v>
      </c>
      <c r="F157">
        <v>108</v>
      </c>
      <c r="G157" t="s">
        <v>1223</v>
      </c>
      <c r="H157">
        <v>1741.71</v>
      </c>
      <c r="I157">
        <v>13.94</v>
      </c>
      <c r="J157" t="s">
        <v>120</v>
      </c>
      <c r="K157" t="s">
        <v>1224</v>
      </c>
      <c r="L157">
        <v>0.83</v>
      </c>
      <c r="M157">
        <v>8.6999999999999993</v>
      </c>
      <c r="N157">
        <v>1.19</v>
      </c>
      <c r="O157">
        <v>2.76</v>
      </c>
      <c r="P157">
        <v>8.9499999999999993</v>
      </c>
      <c r="Q157">
        <v>-0.46</v>
      </c>
      <c r="R157">
        <v>8.67</v>
      </c>
      <c r="S157">
        <v>8.7100000000000009</v>
      </c>
      <c r="T157">
        <v>19767</v>
      </c>
      <c r="U157">
        <v>8.6999999999999993</v>
      </c>
      <c r="V157">
        <v>8.7100000000000009</v>
      </c>
      <c r="W157">
        <v>35.68</v>
      </c>
      <c r="X157" t="s">
        <v>771</v>
      </c>
      <c r="Y157" t="s">
        <v>594</v>
      </c>
      <c r="Z157">
        <v>3.21</v>
      </c>
      <c r="AA157">
        <v>8.81</v>
      </c>
      <c r="AB157">
        <v>9493</v>
      </c>
      <c r="AC157">
        <v>10274</v>
      </c>
      <c r="AD157">
        <v>0.92</v>
      </c>
      <c r="AE157">
        <v>40</v>
      </c>
      <c r="AF157">
        <v>20</v>
      </c>
      <c r="AG157" t="s">
        <v>120</v>
      </c>
      <c r="AH157">
        <v>0.01</v>
      </c>
      <c r="AI157" t="s">
        <v>120</v>
      </c>
      <c r="AJ157">
        <v>2.39</v>
      </c>
      <c r="AK157" t="s">
        <v>1224</v>
      </c>
      <c r="AL157">
        <v>1.8</v>
      </c>
      <c r="AM157">
        <v>878</v>
      </c>
      <c r="AN157">
        <v>23</v>
      </c>
      <c r="AO157">
        <v>8.9999999999999998E-4</v>
      </c>
      <c r="AP157">
        <v>-1</v>
      </c>
      <c r="AQ157">
        <v>0.11</v>
      </c>
      <c r="AR157">
        <v>-1.1399999999999999</v>
      </c>
      <c r="AS157">
        <v>-4.18</v>
      </c>
      <c r="AT157">
        <v>5.2</v>
      </c>
      <c r="AU157">
        <v>2.59</v>
      </c>
      <c r="AV157">
        <v>1</v>
      </c>
      <c r="AW157">
        <v>1.53</v>
      </c>
      <c r="AX157">
        <v>53.81</v>
      </c>
      <c r="AY157">
        <v>54.76</v>
      </c>
      <c r="AZ157">
        <v>91.79</v>
      </c>
      <c r="BA157">
        <v>0.65</v>
      </c>
      <c r="BB157" t="s">
        <v>143</v>
      </c>
      <c r="BF157">
        <v>1.1599999999999999</v>
      </c>
      <c r="BG157">
        <v>-0.11</v>
      </c>
      <c r="BH157">
        <v>-2.79</v>
      </c>
      <c r="BI157">
        <v>0.35</v>
      </c>
      <c r="BJ157">
        <v>20210830</v>
      </c>
      <c r="BK157">
        <v>19960119</v>
      </c>
      <c r="BL157">
        <v>2.39</v>
      </c>
      <c r="BM157" t="s">
        <v>120</v>
      </c>
      <c r="BN157" t="s">
        <v>120</v>
      </c>
      <c r="BO157">
        <v>9.1199999999999992</v>
      </c>
      <c r="BP157">
        <v>8.69</v>
      </c>
      <c r="BQ157">
        <v>6.74</v>
      </c>
      <c r="BR157" t="s">
        <v>120</v>
      </c>
      <c r="BS157">
        <v>26.07</v>
      </c>
      <c r="BT157">
        <v>5.19</v>
      </c>
      <c r="BU157">
        <v>1.73</v>
      </c>
      <c r="BV157">
        <v>1.37</v>
      </c>
      <c r="BW157">
        <v>1.45</v>
      </c>
      <c r="BX157">
        <v>2.2599999999999998</v>
      </c>
      <c r="BY157">
        <v>0.55000000000000004</v>
      </c>
      <c r="BZ157">
        <v>0.01</v>
      </c>
      <c r="CA157" t="s">
        <v>120</v>
      </c>
      <c r="CB157">
        <v>4.74</v>
      </c>
      <c r="CC157">
        <v>1.49</v>
      </c>
      <c r="CD157">
        <v>0.64</v>
      </c>
      <c r="CE157">
        <v>0.34</v>
      </c>
      <c r="CF157">
        <v>0</v>
      </c>
      <c r="CG157">
        <v>0.34</v>
      </c>
      <c r="CH157">
        <v>0.28999999999999998</v>
      </c>
      <c r="CI157">
        <v>0.28999999999999998</v>
      </c>
      <c r="CJ157">
        <v>-0.01</v>
      </c>
      <c r="CK157">
        <v>0.24</v>
      </c>
      <c r="CL157">
        <v>-0.85</v>
      </c>
      <c r="CM157">
        <v>0.32</v>
      </c>
      <c r="CN157">
        <v>-1.17</v>
      </c>
      <c r="CO157">
        <v>16528</v>
      </c>
      <c r="CP157">
        <v>7796</v>
      </c>
      <c r="CQ157" t="s">
        <v>1225</v>
      </c>
      <c r="CR157">
        <v>111.06</v>
      </c>
      <c r="CS157">
        <v>28.97</v>
      </c>
      <c r="CT157">
        <v>3.09</v>
      </c>
      <c r="CU157">
        <v>66.13</v>
      </c>
      <c r="CV157">
        <v>14.03</v>
      </c>
      <c r="CW157">
        <v>0</v>
      </c>
      <c r="CX157" t="s">
        <v>1226</v>
      </c>
      <c r="CY157">
        <v>2.81</v>
      </c>
      <c r="CZ157">
        <v>0</v>
      </c>
      <c r="DA157">
        <v>1.98</v>
      </c>
      <c r="DB157">
        <v>-0.36</v>
      </c>
      <c r="DC157">
        <v>0.13</v>
      </c>
      <c r="DD157">
        <v>73.930000000000007</v>
      </c>
      <c r="DE157" t="s">
        <v>1227</v>
      </c>
      <c r="DF157">
        <v>56.64</v>
      </c>
      <c r="DG157">
        <v>22.68</v>
      </c>
      <c r="DH157">
        <v>19.66</v>
      </c>
      <c r="DI157">
        <v>0.04</v>
      </c>
      <c r="DJ157">
        <v>1256</v>
      </c>
      <c r="DK157">
        <v>590</v>
      </c>
      <c r="DL157" t="s">
        <v>120</v>
      </c>
      <c r="DM157" t="s">
        <v>120</v>
      </c>
      <c r="DN157" t="s">
        <v>120</v>
      </c>
    </row>
    <row r="158" spans="1:118">
      <c r="A158" t="str">
        <f>"000591"</f>
        <v>000591</v>
      </c>
      <c r="B158" t="s">
        <v>1228</v>
      </c>
      <c r="C158">
        <v>-3.04</v>
      </c>
      <c r="D158">
        <v>0.45</v>
      </c>
      <c r="E158">
        <v>-1.3</v>
      </c>
      <c r="F158">
        <v>22084</v>
      </c>
      <c r="G158" t="s">
        <v>1229</v>
      </c>
      <c r="H158">
        <v>190528.66</v>
      </c>
      <c r="I158">
        <v>1193.6099999999999</v>
      </c>
      <c r="J158" t="s">
        <v>120</v>
      </c>
      <c r="K158" t="s">
        <v>1230</v>
      </c>
      <c r="L158">
        <v>10.28</v>
      </c>
      <c r="M158">
        <v>8.92</v>
      </c>
      <c r="N158">
        <v>0.83</v>
      </c>
      <c r="O158">
        <v>2.0699999999999998</v>
      </c>
      <c r="P158">
        <v>9.39</v>
      </c>
      <c r="Q158">
        <v>-3.48</v>
      </c>
      <c r="R158">
        <v>8.8800000000000008</v>
      </c>
      <c r="S158">
        <v>9.08</v>
      </c>
      <c r="T158">
        <v>2094436</v>
      </c>
      <c r="U158">
        <v>8.93</v>
      </c>
      <c r="V158">
        <v>9.1999999999999993</v>
      </c>
      <c r="W158">
        <v>16.5</v>
      </c>
      <c r="X158" t="s">
        <v>356</v>
      </c>
      <c r="Y158" t="s">
        <v>883</v>
      </c>
      <c r="Z158">
        <v>5.54</v>
      </c>
      <c r="AA158">
        <v>9.1</v>
      </c>
      <c r="AB158">
        <v>1145808</v>
      </c>
      <c r="AC158">
        <v>948628</v>
      </c>
      <c r="AD158">
        <v>1.21</v>
      </c>
      <c r="AE158">
        <v>509</v>
      </c>
      <c r="AF158">
        <v>5320</v>
      </c>
      <c r="AG158" t="s">
        <v>120</v>
      </c>
      <c r="AH158">
        <v>7.0000000000000007E-2</v>
      </c>
      <c r="AI158" t="s">
        <v>120</v>
      </c>
      <c r="AJ158">
        <v>20.37</v>
      </c>
      <c r="AK158" t="s">
        <v>1231</v>
      </c>
      <c r="AL158">
        <v>-1.1299999999999999</v>
      </c>
      <c r="AM158">
        <v>4721</v>
      </c>
      <c r="AN158">
        <v>444</v>
      </c>
      <c r="AO158">
        <v>2.2000000000000001E-3</v>
      </c>
      <c r="AP158">
        <v>-1</v>
      </c>
      <c r="AQ158">
        <v>7.1</v>
      </c>
      <c r="AR158">
        <v>-1.1100000000000001</v>
      </c>
      <c r="AS158">
        <v>29.27</v>
      </c>
      <c r="AT158">
        <v>35.86</v>
      </c>
      <c r="AU158">
        <v>24.82</v>
      </c>
      <c r="AV158">
        <v>10</v>
      </c>
      <c r="AW158">
        <v>10.67</v>
      </c>
      <c r="AX158">
        <v>65.3</v>
      </c>
      <c r="AY158">
        <v>22.39</v>
      </c>
      <c r="AZ158">
        <v>26.91</v>
      </c>
      <c r="BA158">
        <v>0.56999999999999995</v>
      </c>
      <c r="BB158" t="s">
        <v>143</v>
      </c>
      <c r="BF158">
        <v>-1.1200000000000001</v>
      </c>
      <c r="BG158">
        <v>-1.76</v>
      </c>
      <c r="BH158">
        <v>-5.01</v>
      </c>
      <c r="BI158">
        <v>0.45</v>
      </c>
      <c r="BJ158">
        <v>20210902</v>
      </c>
      <c r="BK158">
        <v>19960208</v>
      </c>
      <c r="BL158">
        <v>30.07</v>
      </c>
      <c r="BM158" t="s">
        <v>120</v>
      </c>
      <c r="BN158" t="s">
        <v>120</v>
      </c>
      <c r="BO158">
        <v>404.19</v>
      </c>
      <c r="BP158">
        <v>8.92</v>
      </c>
      <c r="BQ158">
        <v>144.79</v>
      </c>
      <c r="BR158">
        <v>1.29</v>
      </c>
      <c r="BS158">
        <v>63.86</v>
      </c>
      <c r="BT158">
        <v>118.39</v>
      </c>
      <c r="BU158">
        <v>259.89999999999998</v>
      </c>
      <c r="BV158">
        <v>5.1100000000000003</v>
      </c>
      <c r="BW158">
        <v>67.56</v>
      </c>
      <c r="BX158">
        <v>13.32</v>
      </c>
      <c r="BY158">
        <v>3.1</v>
      </c>
      <c r="BZ158">
        <v>96.78</v>
      </c>
      <c r="CA158">
        <v>0.02</v>
      </c>
      <c r="CB158">
        <v>66.930000000000007</v>
      </c>
      <c r="CC158">
        <v>33.6</v>
      </c>
      <c r="CD158">
        <v>18.98</v>
      </c>
      <c r="CE158">
        <v>8.2100000000000009</v>
      </c>
      <c r="CF158">
        <v>0.01</v>
      </c>
      <c r="CG158">
        <v>9.3699999999999992</v>
      </c>
      <c r="CH158">
        <v>8.1199999999999992</v>
      </c>
      <c r="CI158">
        <v>8.1300000000000008</v>
      </c>
      <c r="CJ158">
        <v>-0.28000000000000003</v>
      </c>
      <c r="CK158">
        <v>6.98</v>
      </c>
      <c r="CL158">
        <v>45.92</v>
      </c>
      <c r="CM158">
        <v>6.87</v>
      </c>
      <c r="CN158">
        <v>-0.49</v>
      </c>
      <c r="CO158">
        <v>170064</v>
      </c>
      <c r="CP158">
        <v>11547</v>
      </c>
      <c r="CQ158" t="s">
        <v>1232</v>
      </c>
      <c r="CR158">
        <v>34.340000000000003</v>
      </c>
      <c r="CS158">
        <v>42.69</v>
      </c>
      <c r="CT158">
        <v>1.85</v>
      </c>
      <c r="CU158">
        <v>39.03</v>
      </c>
      <c r="CV158">
        <v>7.98</v>
      </c>
      <c r="CW158">
        <v>1.35</v>
      </c>
      <c r="CX158" t="s">
        <v>1233</v>
      </c>
      <c r="CY158">
        <v>4.8099999999999996</v>
      </c>
      <c r="CZ158">
        <v>0</v>
      </c>
      <c r="DA158">
        <v>2.23</v>
      </c>
      <c r="DB158">
        <v>1.53</v>
      </c>
      <c r="DC158">
        <v>0.23</v>
      </c>
      <c r="DD158">
        <v>35.82</v>
      </c>
      <c r="DE158" t="s">
        <v>1234</v>
      </c>
      <c r="DF158">
        <v>43.51</v>
      </c>
      <c r="DG158">
        <v>24.44</v>
      </c>
      <c r="DH158">
        <v>24.19</v>
      </c>
      <c r="DI158">
        <v>0.51</v>
      </c>
      <c r="DJ158">
        <v>1833</v>
      </c>
      <c r="DK158">
        <v>591</v>
      </c>
      <c r="DL158" t="s">
        <v>120</v>
      </c>
      <c r="DM158" t="s">
        <v>120</v>
      </c>
      <c r="DN158" t="s">
        <v>120</v>
      </c>
    </row>
    <row r="159" spans="1:118">
      <c r="A159" t="str">
        <f>"000592"</f>
        <v>000592</v>
      </c>
      <c r="B159" t="s">
        <v>1235</v>
      </c>
      <c r="C159">
        <v>1.62</v>
      </c>
      <c r="D159">
        <v>0</v>
      </c>
      <c r="E159">
        <v>0.65</v>
      </c>
      <c r="F159">
        <v>9824</v>
      </c>
      <c r="G159" t="s">
        <v>1236</v>
      </c>
      <c r="H159">
        <v>36924.06</v>
      </c>
      <c r="I159">
        <v>70.06</v>
      </c>
      <c r="J159" t="s">
        <v>120</v>
      </c>
      <c r="K159" t="s">
        <v>1237</v>
      </c>
      <c r="L159">
        <v>6.11</v>
      </c>
      <c r="M159">
        <v>3.13</v>
      </c>
      <c r="N159">
        <v>1.84</v>
      </c>
      <c r="O159">
        <v>4.55</v>
      </c>
      <c r="P159">
        <v>3.22</v>
      </c>
      <c r="Q159">
        <v>0</v>
      </c>
      <c r="R159">
        <v>3.08</v>
      </c>
      <c r="S159">
        <v>3.1</v>
      </c>
      <c r="T159">
        <v>1168658</v>
      </c>
      <c r="U159">
        <v>3.14</v>
      </c>
      <c r="V159">
        <v>3.08</v>
      </c>
      <c r="W159">
        <v>70</v>
      </c>
      <c r="X159" t="s">
        <v>1238</v>
      </c>
      <c r="Y159" t="s">
        <v>937</v>
      </c>
      <c r="Z159">
        <v>4.55</v>
      </c>
      <c r="AA159">
        <v>3.16</v>
      </c>
      <c r="AB159">
        <v>512396</v>
      </c>
      <c r="AC159">
        <v>656261</v>
      </c>
      <c r="AD159">
        <v>0.78</v>
      </c>
      <c r="AE159">
        <v>3880</v>
      </c>
      <c r="AF159">
        <v>15008</v>
      </c>
      <c r="AG159" t="s">
        <v>120</v>
      </c>
      <c r="AH159">
        <v>0.01</v>
      </c>
      <c r="AI159" t="s">
        <v>120</v>
      </c>
      <c r="AJ159">
        <v>19.14</v>
      </c>
      <c r="AK159" t="s">
        <v>1239</v>
      </c>
      <c r="AL159">
        <v>3.54</v>
      </c>
      <c r="AM159">
        <v>3479</v>
      </c>
      <c r="AN159">
        <v>336</v>
      </c>
      <c r="AO159">
        <v>1.8E-3</v>
      </c>
      <c r="AP159">
        <v>2</v>
      </c>
      <c r="AQ159">
        <v>2.33</v>
      </c>
      <c r="AR159">
        <v>0.98</v>
      </c>
      <c r="AS159">
        <v>11.39</v>
      </c>
      <c r="AT159">
        <v>-0.95</v>
      </c>
      <c r="AU159">
        <v>13</v>
      </c>
      <c r="AV159">
        <v>5</v>
      </c>
      <c r="AW159">
        <v>7.69</v>
      </c>
      <c r="AX159">
        <v>78.680000000000007</v>
      </c>
      <c r="AY159" t="s">
        <v>120</v>
      </c>
      <c r="AZ159" t="s">
        <v>120</v>
      </c>
      <c r="BA159">
        <v>0.28999999999999998</v>
      </c>
      <c r="BB159" t="s">
        <v>184</v>
      </c>
      <c r="BF159">
        <v>2.58</v>
      </c>
      <c r="BG159">
        <v>0.97</v>
      </c>
      <c r="BH159">
        <v>-2.8</v>
      </c>
      <c r="BI159">
        <v>1.62</v>
      </c>
      <c r="BJ159">
        <v>20210831</v>
      </c>
      <c r="BK159">
        <v>19960327</v>
      </c>
      <c r="BL159">
        <v>19.32</v>
      </c>
      <c r="BM159" t="s">
        <v>120</v>
      </c>
      <c r="BN159" t="s">
        <v>120</v>
      </c>
      <c r="BO159">
        <v>49.96</v>
      </c>
      <c r="BP159">
        <v>3.13</v>
      </c>
      <c r="BQ159">
        <v>30.28</v>
      </c>
      <c r="BR159">
        <v>3.04</v>
      </c>
      <c r="BS159">
        <v>33.299999999999997</v>
      </c>
      <c r="BT159">
        <v>42.69</v>
      </c>
      <c r="BU159">
        <v>3.15</v>
      </c>
      <c r="BV159">
        <v>1</v>
      </c>
      <c r="BW159">
        <v>16.510000000000002</v>
      </c>
      <c r="BX159">
        <v>8.02</v>
      </c>
      <c r="BY159">
        <v>25.05</v>
      </c>
      <c r="BZ159">
        <v>2.19</v>
      </c>
      <c r="CA159">
        <v>0</v>
      </c>
      <c r="CB159">
        <v>14.2</v>
      </c>
      <c r="CC159">
        <v>6.81</v>
      </c>
      <c r="CD159">
        <v>5.96</v>
      </c>
      <c r="CE159">
        <v>0.39</v>
      </c>
      <c r="CF159">
        <v>0.02</v>
      </c>
      <c r="CG159">
        <v>0.45</v>
      </c>
      <c r="CH159">
        <v>0.38</v>
      </c>
      <c r="CI159">
        <v>0.43</v>
      </c>
      <c r="CJ159">
        <v>0.05</v>
      </c>
      <c r="CK159">
        <v>0.31</v>
      </c>
      <c r="CL159">
        <v>-3.57</v>
      </c>
      <c r="CM159">
        <v>0.38</v>
      </c>
      <c r="CN159">
        <v>1.42</v>
      </c>
      <c r="CO159">
        <v>117231</v>
      </c>
      <c r="CP159">
        <v>12965</v>
      </c>
      <c r="CQ159" t="s">
        <v>1240</v>
      </c>
      <c r="CR159">
        <v>1709.95</v>
      </c>
      <c r="CS159">
        <v>80.63</v>
      </c>
      <c r="CT159">
        <v>2</v>
      </c>
      <c r="CU159">
        <v>159.37</v>
      </c>
      <c r="CV159">
        <v>8.8699999999999992</v>
      </c>
      <c r="CW159">
        <v>0</v>
      </c>
      <c r="CX159" t="s">
        <v>1241</v>
      </c>
      <c r="CY159">
        <v>1.57</v>
      </c>
      <c r="CZ159">
        <v>0</v>
      </c>
      <c r="DA159">
        <v>0.73</v>
      </c>
      <c r="DB159">
        <v>-0.18</v>
      </c>
      <c r="DC159">
        <v>0.02</v>
      </c>
      <c r="DD159">
        <v>60.61</v>
      </c>
      <c r="DE159" t="s">
        <v>1242</v>
      </c>
      <c r="DF159">
        <v>12.47</v>
      </c>
      <c r="DG159">
        <v>5.79</v>
      </c>
      <c r="DH159">
        <v>6.34</v>
      </c>
      <c r="DI159">
        <v>0.03</v>
      </c>
      <c r="DJ159">
        <v>1060</v>
      </c>
      <c r="DK159">
        <v>592</v>
      </c>
      <c r="DL159" t="s">
        <v>120</v>
      </c>
      <c r="DM159" t="s">
        <v>120</v>
      </c>
      <c r="DN159" t="s">
        <v>120</v>
      </c>
    </row>
    <row r="160" spans="1:118">
      <c r="A160" t="str">
        <f>"000593"</f>
        <v>000593</v>
      </c>
      <c r="B160" t="s">
        <v>1243</v>
      </c>
      <c r="C160">
        <v>0.48</v>
      </c>
      <c r="D160">
        <v>-0.15</v>
      </c>
      <c r="E160">
        <v>1.92</v>
      </c>
      <c r="F160">
        <v>1969</v>
      </c>
      <c r="G160" t="s">
        <v>1244</v>
      </c>
      <c r="H160">
        <v>14151.59</v>
      </c>
      <c r="I160">
        <v>74.28</v>
      </c>
      <c r="J160" t="s">
        <v>120</v>
      </c>
      <c r="K160" t="s">
        <v>1245</v>
      </c>
      <c r="L160">
        <v>6.15</v>
      </c>
      <c r="M160">
        <v>6.27</v>
      </c>
      <c r="N160">
        <v>1.08</v>
      </c>
      <c r="O160">
        <v>5.13</v>
      </c>
      <c r="P160">
        <v>6.56</v>
      </c>
      <c r="Q160">
        <v>0.16</v>
      </c>
      <c r="R160">
        <v>6.25</v>
      </c>
      <c r="S160">
        <v>6.36</v>
      </c>
      <c r="T160">
        <v>220378</v>
      </c>
      <c r="U160">
        <v>6.28</v>
      </c>
      <c r="V160">
        <v>6.24</v>
      </c>
      <c r="W160">
        <v>65.62</v>
      </c>
      <c r="X160" t="s">
        <v>684</v>
      </c>
      <c r="Y160" t="s">
        <v>578</v>
      </c>
      <c r="Z160">
        <v>4.97</v>
      </c>
      <c r="AA160">
        <v>6.42</v>
      </c>
      <c r="AB160">
        <v>104991</v>
      </c>
      <c r="AC160">
        <v>115387</v>
      </c>
      <c r="AD160">
        <v>0.91</v>
      </c>
      <c r="AE160">
        <v>456</v>
      </c>
      <c r="AF160">
        <v>155</v>
      </c>
      <c r="AG160" t="s">
        <v>120</v>
      </c>
      <c r="AH160">
        <v>0.06</v>
      </c>
      <c r="AI160" t="s">
        <v>120</v>
      </c>
      <c r="AJ160">
        <v>3.58</v>
      </c>
      <c r="AK160" t="s">
        <v>1246</v>
      </c>
      <c r="AL160">
        <v>2.39</v>
      </c>
      <c r="AM160">
        <v>3034</v>
      </c>
      <c r="AN160">
        <v>73</v>
      </c>
      <c r="AO160">
        <v>2E-3</v>
      </c>
      <c r="AP160">
        <v>2</v>
      </c>
      <c r="AQ160">
        <v>1.63</v>
      </c>
      <c r="AR160">
        <v>0.48</v>
      </c>
      <c r="AS160">
        <v>2.2799999999999998</v>
      </c>
      <c r="AT160">
        <v>30.08</v>
      </c>
      <c r="AU160">
        <v>-0.8</v>
      </c>
      <c r="AV160">
        <v>7</v>
      </c>
      <c r="AW160">
        <v>10.85</v>
      </c>
      <c r="AX160">
        <v>56.65</v>
      </c>
      <c r="AY160">
        <v>49.93</v>
      </c>
      <c r="AZ160">
        <v>64.08</v>
      </c>
      <c r="BA160">
        <v>0.54</v>
      </c>
      <c r="BB160" t="s">
        <v>143</v>
      </c>
      <c r="BF160">
        <v>2.91</v>
      </c>
      <c r="BG160">
        <v>-1.42</v>
      </c>
      <c r="BH160">
        <v>-4.42</v>
      </c>
      <c r="BI160">
        <v>0.32</v>
      </c>
      <c r="BJ160">
        <v>20210807</v>
      </c>
      <c r="BK160">
        <v>19960312</v>
      </c>
      <c r="BL160">
        <v>3.59</v>
      </c>
      <c r="BM160" t="s">
        <v>120</v>
      </c>
      <c r="BN160" t="s">
        <v>120</v>
      </c>
      <c r="BO160">
        <v>22.03</v>
      </c>
      <c r="BP160">
        <v>6.27</v>
      </c>
      <c r="BQ160">
        <v>10.19</v>
      </c>
      <c r="BR160">
        <v>0.51</v>
      </c>
      <c r="BS160">
        <v>51.41</v>
      </c>
      <c r="BT160">
        <v>6.8</v>
      </c>
      <c r="BU160">
        <v>7.41</v>
      </c>
      <c r="BV160">
        <v>0.49</v>
      </c>
      <c r="BW160">
        <v>9.6300000000000008</v>
      </c>
      <c r="BX160">
        <v>2.14</v>
      </c>
      <c r="BY160">
        <v>0.72</v>
      </c>
      <c r="BZ160">
        <v>1.28</v>
      </c>
      <c r="CA160" t="s">
        <v>120</v>
      </c>
      <c r="CB160">
        <v>6.61</v>
      </c>
      <c r="CC160">
        <v>7.09</v>
      </c>
      <c r="CD160">
        <v>5.93</v>
      </c>
      <c r="CE160">
        <v>0.32</v>
      </c>
      <c r="CF160">
        <v>0.05</v>
      </c>
      <c r="CG160">
        <v>0.32</v>
      </c>
      <c r="CH160">
        <v>0.21</v>
      </c>
      <c r="CI160">
        <v>0.17</v>
      </c>
      <c r="CJ160">
        <v>0.03</v>
      </c>
      <c r="CK160">
        <v>0.16</v>
      </c>
      <c r="CL160">
        <v>-0.25</v>
      </c>
      <c r="CM160">
        <v>0.45</v>
      </c>
      <c r="CN160">
        <v>0.76</v>
      </c>
      <c r="CO160">
        <v>33444</v>
      </c>
      <c r="CP160">
        <v>6074</v>
      </c>
      <c r="CQ160" t="s">
        <v>1247</v>
      </c>
      <c r="CR160">
        <v>136.65</v>
      </c>
      <c r="CS160">
        <v>38.159999999999997</v>
      </c>
      <c r="CT160">
        <v>2.21</v>
      </c>
      <c r="CU160">
        <v>50.35</v>
      </c>
      <c r="CV160">
        <v>3.17</v>
      </c>
      <c r="CW160">
        <v>0</v>
      </c>
      <c r="CX160" t="s">
        <v>1248</v>
      </c>
      <c r="CY160">
        <v>2.84</v>
      </c>
      <c r="CZ160">
        <v>0</v>
      </c>
      <c r="DA160">
        <v>1.84</v>
      </c>
      <c r="DB160">
        <v>-7.0000000000000007E-2</v>
      </c>
      <c r="DC160">
        <v>0.12</v>
      </c>
      <c r="DD160">
        <v>46.25</v>
      </c>
      <c r="DE160" t="s">
        <v>1249</v>
      </c>
      <c r="DF160">
        <v>16.39</v>
      </c>
      <c r="DG160">
        <v>4.47</v>
      </c>
      <c r="DH160">
        <v>2.42</v>
      </c>
      <c r="DI160">
        <v>0.01</v>
      </c>
      <c r="DJ160">
        <v>1073</v>
      </c>
      <c r="DK160">
        <v>593</v>
      </c>
      <c r="DL160">
        <v>20210826</v>
      </c>
      <c r="DM160">
        <v>6.35</v>
      </c>
      <c r="DN160">
        <v>-1.26</v>
      </c>
    </row>
    <row r="161" spans="1:118">
      <c r="A161" t="str">
        <f>"000595"</f>
        <v>000595</v>
      </c>
      <c r="B161" t="s">
        <v>1250</v>
      </c>
      <c r="C161">
        <v>-0.71</v>
      </c>
      <c r="D161">
        <v>0</v>
      </c>
      <c r="E161">
        <v>-0.35</v>
      </c>
      <c r="F161">
        <v>702</v>
      </c>
      <c r="G161" t="s">
        <v>1251</v>
      </c>
      <c r="H161">
        <v>3095.43</v>
      </c>
      <c r="I161">
        <v>18.87</v>
      </c>
      <c r="J161" t="s">
        <v>120</v>
      </c>
      <c r="K161" t="s">
        <v>1252</v>
      </c>
      <c r="L161">
        <v>0.96</v>
      </c>
      <c r="M161">
        <v>2.81</v>
      </c>
      <c r="N161">
        <v>0.76</v>
      </c>
      <c r="O161">
        <v>1.06</v>
      </c>
      <c r="P161">
        <v>2.86</v>
      </c>
      <c r="Q161">
        <v>-1.06</v>
      </c>
      <c r="R161">
        <v>2.8</v>
      </c>
      <c r="S161">
        <v>2.82</v>
      </c>
      <c r="T161">
        <v>109462</v>
      </c>
      <c r="U161">
        <v>2.82</v>
      </c>
      <c r="V161">
        <v>2.83</v>
      </c>
      <c r="W161" t="s">
        <v>120</v>
      </c>
      <c r="X161" t="s">
        <v>959</v>
      </c>
      <c r="Y161" t="s">
        <v>1110</v>
      </c>
      <c r="Z161">
        <v>2.12</v>
      </c>
      <c r="AA161">
        <v>2.83</v>
      </c>
      <c r="AB161">
        <v>61451</v>
      </c>
      <c r="AC161">
        <v>48011</v>
      </c>
      <c r="AD161">
        <v>1.28</v>
      </c>
      <c r="AE161">
        <v>1777</v>
      </c>
      <c r="AF161">
        <v>1288</v>
      </c>
      <c r="AG161" t="s">
        <v>120</v>
      </c>
      <c r="AH161">
        <v>0.02</v>
      </c>
      <c r="AI161" t="s">
        <v>120</v>
      </c>
      <c r="AJ161">
        <v>11.36</v>
      </c>
      <c r="AK161" t="s">
        <v>1253</v>
      </c>
      <c r="AL161">
        <v>1.21</v>
      </c>
      <c r="AM161">
        <v>1172</v>
      </c>
      <c r="AN161">
        <v>93</v>
      </c>
      <c r="AO161">
        <v>8.0000000000000004E-4</v>
      </c>
      <c r="AP161">
        <v>-1</v>
      </c>
      <c r="AQ161">
        <v>3.28</v>
      </c>
      <c r="AR161">
        <v>-0.36</v>
      </c>
      <c r="AS161">
        <v>12.4</v>
      </c>
      <c r="AT161">
        <v>-8.4700000000000006</v>
      </c>
      <c r="AU161">
        <v>41.92</v>
      </c>
      <c r="AV161">
        <v>11</v>
      </c>
      <c r="AW161">
        <v>2.71</v>
      </c>
      <c r="AX161">
        <v>35.450000000000003</v>
      </c>
      <c r="AY161" t="s">
        <v>120</v>
      </c>
      <c r="AZ161">
        <v>298.27</v>
      </c>
      <c r="BA161">
        <v>0.27</v>
      </c>
      <c r="BB161" t="s">
        <v>184</v>
      </c>
      <c r="BF161">
        <v>-0.08</v>
      </c>
      <c r="BG161">
        <v>-0.35</v>
      </c>
      <c r="BH161">
        <v>-1.75</v>
      </c>
      <c r="BI161">
        <v>0.36</v>
      </c>
      <c r="BJ161">
        <v>20210903</v>
      </c>
      <c r="BK161">
        <v>19960419</v>
      </c>
      <c r="BL161">
        <v>11.39</v>
      </c>
      <c r="BM161" t="s">
        <v>120</v>
      </c>
      <c r="BN161" t="s">
        <v>120</v>
      </c>
      <c r="BO161">
        <v>14.64</v>
      </c>
      <c r="BP161">
        <v>2.81</v>
      </c>
      <c r="BQ161">
        <v>8.9</v>
      </c>
      <c r="BR161">
        <v>0.59</v>
      </c>
      <c r="BS161">
        <v>35.229999999999997</v>
      </c>
      <c r="BT161">
        <v>7.51</v>
      </c>
      <c r="BU161">
        <v>4.01</v>
      </c>
      <c r="BV161">
        <v>1.32</v>
      </c>
      <c r="BW161">
        <v>2.4300000000000002</v>
      </c>
      <c r="BX161">
        <v>2.8</v>
      </c>
      <c r="BY161">
        <v>2.08</v>
      </c>
      <c r="BZ161">
        <v>1.18</v>
      </c>
      <c r="CA161" t="s">
        <v>120</v>
      </c>
      <c r="CB161">
        <v>6.95</v>
      </c>
      <c r="CC161">
        <v>0.77</v>
      </c>
      <c r="CD161">
        <v>0.87</v>
      </c>
      <c r="CE161">
        <v>-0.45</v>
      </c>
      <c r="CF161">
        <v>0</v>
      </c>
      <c r="CG161">
        <v>-0.42</v>
      </c>
      <c r="CH161">
        <v>-0.4</v>
      </c>
      <c r="CI161">
        <v>-0.4</v>
      </c>
      <c r="CJ161">
        <v>-0.02</v>
      </c>
      <c r="CK161">
        <v>-0.43</v>
      </c>
      <c r="CL161">
        <v>-9.5399999999999991</v>
      </c>
      <c r="CM161">
        <v>-0.39</v>
      </c>
      <c r="CN161">
        <v>-0.96</v>
      </c>
      <c r="CO161">
        <v>34935</v>
      </c>
      <c r="CP161">
        <v>11554</v>
      </c>
      <c r="CQ161" t="s">
        <v>1254</v>
      </c>
      <c r="CR161">
        <v>-43.34</v>
      </c>
      <c r="CS161">
        <v>-25.02</v>
      </c>
      <c r="CT161">
        <v>3.6</v>
      </c>
      <c r="CU161">
        <v>-82.9</v>
      </c>
      <c r="CV161">
        <v>41.64</v>
      </c>
      <c r="CW161">
        <v>0</v>
      </c>
      <c r="CX161" t="s">
        <v>1255</v>
      </c>
      <c r="CY161">
        <v>0.78</v>
      </c>
      <c r="CZ161">
        <v>0</v>
      </c>
      <c r="DA161">
        <v>0.61</v>
      </c>
      <c r="DB161">
        <v>-0.84</v>
      </c>
      <c r="DC161">
        <v>-0.03</v>
      </c>
      <c r="DD161">
        <v>60.77</v>
      </c>
      <c r="DE161" t="s">
        <v>907</v>
      </c>
      <c r="DF161">
        <v>-13.7</v>
      </c>
      <c r="DG161">
        <v>-58.74</v>
      </c>
      <c r="DH161">
        <v>-52.24</v>
      </c>
      <c r="DI161">
        <v>0.01</v>
      </c>
      <c r="DJ161">
        <v>1206</v>
      </c>
      <c r="DK161">
        <v>595</v>
      </c>
      <c r="DL161" t="s">
        <v>120</v>
      </c>
      <c r="DM161" t="s">
        <v>120</v>
      </c>
      <c r="DN161" t="s">
        <v>120</v>
      </c>
    </row>
    <row r="162" spans="1:118">
      <c r="A162" t="str">
        <f>"000596"</f>
        <v>000596</v>
      </c>
      <c r="B162" t="s">
        <v>1256</v>
      </c>
      <c r="C162">
        <v>-2.52</v>
      </c>
      <c r="D162">
        <v>-0.3</v>
      </c>
      <c r="E162">
        <v>-0.76</v>
      </c>
      <c r="F162">
        <v>691</v>
      </c>
      <c r="G162" t="s">
        <v>1257</v>
      </c>
      <c r="H162">
        <v>32159.08</v>
      </c>
      <c r="I162">
        <v>190.81</v>
      </c>
      <c r="J162" t="s">
        <v>120</v>
      </c>
      <c r="K162" t="s">
        <v>1258</v>
      </c>
      <c r="L162">
        <v>0.39</v>
      </c>
      <c r="M162">
        <v>213</v>
      </c>
      <c r="N162">
        <v>0.97</v>
      </c>
      <c r="O162">
        <v>1.6</v>
      </c>
      <c r="P162">
        <v>221.99</v>
      </c>
      <c r="Q162">
        <v>-2.52</v>
      </c>
      <c r="R162">
        <v>213</v>
      </c>
      <c r="S162">
        <v>216.83</v>
      </c>
      <c r="T162">
        <v>14865</v>
      </c>
      <c r="U162">
        <v>213.6</v>
      </c>
      <c r="V162">
        <v>218.5</v>
      </c>
      <c r="W162">
        <v>40.83</v>
      </c>
      <c r="X162" t="s">
        <v>1165</v>
      </c>
      <c r="Y162" t="s">
        <v>570</v>
      </c>
      <c r="Z162">
        <v>4.1100000000000003</v>
      </c>
      <c r="AA162">
        <v>216.35</v>
      </c>
      <c r="AB162">
        <v>7161</v>
      </c>
      <c r="AC162">
        <v>7704</v>
      </c>
      <c r="AD162">
        <v>0.93</v>
      </c>
      <c r="AE162">
        <v>42</v>
      </c>
      <c r="AF162">
        <v>4</v>
      </c>
      <c r="AG162" t="s">
        <v>120</v>
      </c>
      <c r="AH162">
        <v>0.01</v>
      </c>
      <c r="AI162" t="s">
        <v>120</v>
      </c>
      <c r="AJ162">
        <v>3.84</v>
      </c>
      <c r="AK162" t="s">
        <v>1259</v>
      </c>
      <c r="AL162">
        <v>-0.6</v>
      </c>
      <c r="AM162">
        <v>2781</v>
      </c>
      <c r="AN162">
        <v>5</v>
      </c>
      <c r="AO162">
        <v>1E-4</v>
      </c>
      <c r="AP162">
        <v>-5</v>
      </c>
      <c r="AQ162">
        <v>-0.94</v>
      </c>
      <c r="AR162">
        <v>-5.26</v>
      </c>
      <c r="AS162">
        <v>7.57</v>
      </c>
      <c r="AT162">
        <v>-1.44</v>
      </c>
      <c r="AU162">
        <v>-21.25</v>
      </c>
      <c r="AV162">
        <v>2</v>
      </c>
      <c r="AW162">
        <v>1.32</v>
      </c>
      <c r="AX162">
        <v>21.23</v>
      </c>
      <c r="AY162">
        <v>52.3</v>
      </c>
      <c r="AZ162">
        <v>62.28</v>
      </c>
      <c r="BA162">
        <v>1.56</v>
      </c>
      <c r="BB162" t="s">
        <v>143</v>
      </c>
      <c r="BF162">
        <v>-0.99</v>
      </c>
      <c r="BG162">
        <v>-1.77</v>
      </c>
      <c r="BH162">
        <v>-4.05</v>
      </c>
      <c r="BI162">
        <v>0</v>
      </c>
      <c r="BJ162">
        <v>20210913</v>
      </c>
      <c r="BK162">
        <v>19960927</v>
      </c>
      <c r="BL162">
        <v>5.29</v>
      </c>
      <c r="BM162">
        <v>1.2</v>
      </c>
      <c r="BN162" t="s">
        <v>120</v>
      </c>
      <c r="BO162">
        <v>227.74</v>
      </c>
      <c r="BP162">
        <v>213</v>
      </c>
      <c r="BQ162">
        <v>156.22</v>
      </c>
      <c r="BR162">
        <v>5.46</v>
      </c>
      <c r="BS162">
        <v>29.01</v>
      </c>
      <c r="BT162">
        <v>186.48</v>
      </c>
      <c r="BU162">
        <v>18.3</v>
      </c>
      <c r="BV162">
        <v>10.23</v>
      </c>
      <c r="BW162">
        <v>61.54</v>
      </c>
      <c r="BX162">
        <v>121.44</v>
      </c>
      <c r="BY162">
        <v>39.700000000000003</v>
      </c>
      <c r="BZ162">
        <v>0.65</v>
      </c>
      <c r="CA162" t="s">
        <v>120</v>
      </c>
      <c r="CB162">
        <v>62.25</v>
      </c>
      <c r="CC162">
        <v>70.069999999999993</v>
      </c>
      <c r="CD162">
        <v>16.54</v>
      </c>
      <c r="CE162">
        <v>18.77</v>
      </c>
      <c r="CF162">
        <v>-0.05</v>
      </c>
      <c r="CG162">
        <v>18.989999999999998</v>
      </c>
      <c r="CH162">
        <v>14.21</v>
      </c>
      <c r="CI162">
        <v>13.79</v>
      </c>
      <c r="CJ162">
        <v>-5.5</v>
      </c>
      <c r="CK162">
        <v>13.38</v>
      </c>
      <c r="CL162">
        <v>86.11</v>
      </c>
      <c r="CM162">
        <v>2.64</v>
      </c>
      <c r="CN162">
        <v>40.049999999999997</v>
      </c>
      <c r="CO162">
        <v>33189</v>
      </c>
      <c r="CP162">
        <v>6996</v>
      </c>
      <c r="CQ162" t="s">
        <v>1260</v>
      </c>
      <c r="CR162">
        <v>34.53</v>
      </c>
      <c r="CS162">
        <v>26.96</v>
      </c>
      <c r="CT162">
        <v>7.21</v>
      </c>
      <c r="CU162">
        <v>426.54</v>
      </c>
      <c r="CV162">
        <v>16.07</v>
      </c>
      <c r="CW162">
        <v>0.65</v>
      </c>
      <c r="CX162" t="s">
        <v>1261</v>
      </c>
      <c r="CY162">
        <v>29.55</v>
      </c>
      <c r="CZ162">
        <v>0</v>
      </c>
      <c r="DA162">
        <v>11.78</v>
      </c>
      <c r="DB162">
        <v>16.29</v>
      </c>
      <c r="DC162">
        <v>0.5</v>
      </c>
      <c r="DD162">
        <v>68.59</v>
      </c>
      <c r="DE162" t="s">
        <v>1262</v>
      </c>
      <c r="DF162">
        <v>76.400000000000006</v>
      </c>
      <c r="DG162">
        <v>26.78</v>
      </c>
      <c r="DH162">
        <v>19.68</v>
      </c>
      <c r="DI162">
        <v>0.2</v>
      </c>
      <c r="DJ162">
        <v>9936</v>
      </c>
      <c r="DK162">
        <v>596</v>
      </c>
      <c r="DL162" t="s">
        <v>120</v>
      </c>
      <c r="DM162" t="s">
        <v>120</v>
      </c>
      <c r="DN162" t="s">
        <v>120</v>
      </c>
    </row>
    <row r="163" spans="1:118">
      <c r="A163" t="str">
        <f>"000597"</f>
        <v>000597</v>
      </c>
      <c r="B163" t="s">
        <v>1263</v>
      </c>
      <c r="C163">
        <v>-0.54</v>
      </c>
      <c r="D163">
        <v>0.18</v>
      </c>
      <c r="E163">
        <v>0</v>
      </c>
      <c r="F163">
        <v>1179</v>
      </c>
      <c r="G163" t="s">
        <v>1264</v>
      </c>
      <c r="H163">
        <v>5014.1899999999996</v>
      </c>
      <c r="I163">
        <v>9.7100000000000009</v>
      </c>
      <c r="J163" t="s">
        <v>120</v>
      </c>
      <c r="K163" t="s">
        <v>1265</v>
      </c>
      <c r="L163">
        <v>0.68</v>
      </c>
      <c r="M163">
        <v>5.52</v>
      </c>
      <c r="N163">
        <v>0.72</v>
      </c>
      <c r="O163">
        <v>1.26</v>
      </c>
      <c r="P163">
        <v>5.62</v>
      </c>
      <c r="Q163">
        <v>-1.26</v>
      </c>
      <c r="R163">
        <v>5.48</v>
      </c>
      <c r="S163">
        <v>5.55</v>
      </c>
      <c r="T163">
        <v>90334</v>
      </c>
      <c r="U163">
        <v>5.53</v>
      </c>
      <c r="V163">
        <v>5.55</v>
      </c>
      <c r="W163">
        <v>61.61</v>
      </c>
      <c r="X163" t="s">
        <v>569</v>
      </c>
      <c r="Y163" t="s">
        <v>432</v>
      </c>
      <c r="Z163">
        <v>2.52</v>
      </c>
      <c r="AA163">
        <v>5.55</v>
      </c>
      <c r="AB163">
        <v>39525</v>
      </c>
      <c r="AC163">
        <v>50809</v>
      </c>
      <c r="AD163">
        <v>0.78</v>
      </c>
      <c r="AE163">
        <v>511</v>
      </c>
      <c r="AF163">
        <v>307</v>
      </c>
      <c r="AG163" t="s">
        <v>120</v>
      </c>
      <c r="AH163">
        <v>0</v>
      </c>
      <c r="AI163" t="s">
        <v>120</v>
      </c>
      <c r="AJ163">
        <v>13.24</v>
      </c>
      <c r="AK163" t="s">
        <v>1266</v>
      </c>
      <c r="AL163">
        <v>1.37</v>
      </c>
      <c r="AM163">
        <v>2056</v>
      </c>
      <c r="AN163">
        <v>44</v>
      </c>
      <c r="AO163">
        <v>2.9999999999999997E-4</v>
      </c>
      <c r="AP163">
        <v>-1</v>
      </c>
      <c r="AQ163">
        <v>2.02</v>
      </c>
      <c r="AR163">
        <v>-0.54</v>
      </c>
      <c r="AS163">
        <v>0.91</v>
      </c>
      <c r="AT163">
        <v>8.8800000000000008</v>
      </c>
      <c r="AU163">
        <v>9.0500000000000007</v>
      </c>
      <c r="AV163">
        <v>0</v>
      </c>
      <c r="AW163">
        <v>1.64</v>
      </c>
      <c r="AX163">
        <v>40.94</v>
      </c>
      <c r="AY163">
        <v>518.48</v>
      </c>
      <c r="AZ163">
        <v>610.33000000000004</v>
      </c>
      <c r="BA163">
        <v>0.25</v>
      </c>
      <c r="BB163" t="s">
        <v>184</v>
      </c>
      <c r="BF163">
        <v>0.01</v>
      </c>
      <c r="BG163">
        <v>-0.54</v>
      </c>
      <c r="BH163">
        <v>-1.78</v>
      </c>
      <c r="BI163">
        <v>0.73</v>
      </c>
      <c r="BJ163">
        <v>20210826</v>
      </c>
      <c r="BK163">
        <v>19960523</v>
      </c>
      <c r="BL163">
        <v>13.48</v>
      </c>
      <c r="BM163" t="s">
        <v>120</v>
      </c>
      <c r="BN163" t="s">
        <v>120</v>
      </c>
      <c r="BO163">
        <v>135.57</v>
      </c>
      <c r="BP163">
        <v>5.52</v>
      </c>
      <c r="BQ163">
        <v>41.41</v>
      </c>
      <c r="BR163">
        <v>1.44</v>
      </c>
      <c r="BS163">
        <v>68.39</v>
      </c>
      <c r="BT163">
        <v>70.489999999999995</v>
      </c>
      <c r="BU163">
        <v>46.66</v>
      </c>
      <c r="BV163">
        <v>6.68</v>
      </c>
      <c r="BW163">
        <v>83.02</v>
      </c>
      <c r="BX163">
        <v>22.17</v>
      </c>
      <c r="BY163">
        <v>12.15</v>
      </c>
      <c r="BZ163">
        <v>20.059999999999999</v>
      </c>
      <c r="CA163" t="s">
        <v>120</v>
      </c>
      <c r="CB163">
        <v>21.83</v>
      </c>
      <c r="CC163">
        <v>40.1</v>
      </c>
      <c r="CD163">
        <v>24.07</v>
      </c>
      <c r="CE163">
        <v>0.88</v>
      </c>
      <c r="CF163">
        <v>0</v>
      </c>
      <c r="CG163">
        <v>0.81</v>
      </c>
      <c r="CH163">
        <v>0.63</v>
      </c>
      <c r="CI163">
        <v>0.6</v>
      </c>
      <c r="CJ163">
        <v>-0.03</v>
      </c>
      <c r="CK163">
        <v>0.47</v>
      </c>
      <c r="CL163">
        <v>4.66</v>
      </c>
      <c r="CM163">
        <v>1.75</v>
      </c>
      <c r="CN163">
        <v>-0.87</v>
      </c>
      <c r="CO163">
        <v>35800</v>
      </c>
      <c r="CP163">
        <v>15415</v>
      </c>
      <c r="CQ163" t="s">
        <v>1267</v>
      </c>
      <c r="CR163">
        <v>3.73</v>
      </c>
      <c r="CS163">
        <v>7.69</v>
      </c>
      <c r="CT163">
        <v>1.8</v>
      </c>
      <c r="CU163">
        <v>42.4</v>
      </c>
      <c r="CV163">
        <v>1.86</v>
      </c>
      <c r="CW163">
        <v>0.14000000000000001</v>
      </c>
      <c r="CX163" t="s">
        <v>1248</v>
      </c>
      <c r="CY163">
        <v>3.07</v>
      </c>
      <c r="CZ163">
        <v>0</v>
      </c>
      <c r="DA163">
        <v>1.62</v>
      </c>
      <c r="DB163">
        <v>0.35</v>
      </c>
      <c r="DC163">
        <v>0.13</v>
      </c>
      <c r="DD163">
        <v>30.54</v>
      </c>
      <c r="DE163" t="s">
        <v>536</v>
      </c>
      <c r="DF163">
        <v>39.97</v>
      </c>
      <c r="DG163">
        <v>2.21</v>
      </c>
      <c r="DH163">
        <v>1.51</v>
      </c>
      <c r="DI163">
        <v>0.21</v>
      </c>
      <c r="DJ163">
        <v>7567</v>
      </c>
      <c r="DK163">
        <v>597</v>
      </c>
      <c r="DL163" t="s">
        <v>120</v>
      </c>
      <c r="DM163" t="s">
        <v>120</v>
      </c>
      <c r="DN163" t="s">
        <v>120</v>
      </c>
    </row>
    <row r="164" spans="1:118">
      <c r="A164" t="str">
        <f>"000598"</f>
        <v>000598</v>
      </c>
      <c r="B164" t="s">
        <v>1268</v>
      </c>
      <c r="C164">
        <v>-1.25</v>
      </c>
      <c r="D164">
        <v>0.18</v>
      </c>
      <c r="E164">
        <v>0</v>
      </c>
      <c r="F164">
        <v>2572</v>
      </c>
      <c r="G164" t="s">
        <v>1269</v>
      </c>
      <c r="H164">
        <v>10425.030000000001</v>
      </c>
      <c r="I164">
        <v>45.2</v>
      </c>
      <c r="J164" t="s">
        <v>120</v>
      </c>
      <c r="K164" t="s">
        <v>1270</v>
      </c>
      <c r="L164">
        <v>0.62</v>
      </c>
      <c r="M164">
        <v>5.51</v>
      </c>
      <c r="N164">
        <v>0.81</v>
      </c>
      <c r="O164">
        <v>1.97</v>
      </c>
      <c r="P164">
        <v>5.69</v>
      </c>
      <c r="Q164">
        <v>-1.43</v>
      </c>
      <c r="R164">
        <v>5.5</v>
      </c>
      <c r="S164">
        <v>5.58</v>
      </c>
      <c r="T164">
        <v>186290</v>
      </c>
      <c r="U164">
        <v>5.52</v>
      </c>
      <c r="V164">
        <v>5.58</v>
      </c>
      <c r="W164">
        <v>11.62</v>
      </c>
      <c r="X164" t="s">
        <v>1271</v>
      </c>
      <c r="Y164" t="s">
        <v>578</v>
      </c>
      <c r="Z164">
        <v>3.41</v>
      </c>
      <c r="AA164">
        <v>5.6</v>
      </c>
      <c r="AB164">
        <v>97563</v>
      </c>
      <c r="AC164">
        <v>88727</v>
      </c>
      <c r="AD164">
        <v>1.1000000000000001</v>
      </c>
      <c r="AE164">
        <v>140</v>
      </c>
      <c r="AF164">
        <v>175</v>
      </c>
      <c r="AG164" t="s">
        <v>120</v>
      </c>
      <c r="AH164">
        <v>0.01</v>
      </c>
      <c r="AI164" t="s">
        <v>120</v>
      </c>
      <c r="AJ164">
        <v>29.86</v>
      </c>
      <c r="AK164" t="s">
        <v>1270</v>
      </c>
      <c r="AL164">
        <v>0.66</v>
      </c>
      <c r="AM164">
        <v>2692</v>
      </c>
      <c r="AN164">
        <v>69</v>
      </c>
      <c r="AO164">
        <v>2.0000000000000001E-4</v>
      </c>
      <c r="AP164">
        <v>-1</v>
      </c>
      <c r="AQ164">
        <v>0.54</v>
      </c>
      <c r="AR164">
        <v>-4.67</v>
      </c>
      <c r="AS164">
        <v>7.2</v>
      </c>
      <c r="AT164">
        <v>5.56</v>
      </c>
      <c r="AU164">
        <v>17.23</v>
      </c>
      <c r="AV164">
        <v>0</v>
      </c>
      <c r="AW164">
        <v>1.43</v>
      </c>
      <c r="AX164">
        <v>43.67</v>
      </c>
      <c r="AY164">
        <v>12.41</v>
      </c>
      <c r="AZ164">
        <v>12.83</v>
      </c>
      <c r="BA164">
        <v>0</v>
      </c>
      <c r="BB164" t="s">
        <v>240</v>
      </c>
      <c r="BF164">
        <v>0.28999999999999998</v>
      </c>
      <c r="BG164">
        <v>-1.25</v>
      </c>
      <c r="BH164">
        <v>-3.16</v>
      </c>
      <c r="BI164">
        <v>0.18</v>
      </c>
      <c r="BJ164">
        <v>20210813</v>
      </c>
      <c r="BK164">
        <v>19960529</v>
      </c>
      <c r="BL164">
        <v>29.86</v>
      </c>
      <c r="BM164" t="s">
        <v>120</v>
      </c>
      <c r="BN164" t="s">
        <v>120</v>
      </c>
      <c r="BO164">
        <v>323.45</v>
      </c>
      <c r="BP164">
        <v>5.51</v>
      </c>
      <c r="BQ164">
        <v>126.79</v>
      </c>
      <c r="BR164">
        <v>8.76</v>
      </c>
      <c r="BS164">
        <v>58.09</v>
      </c>
      <c r="BT164">
        <v>64.58</v>
      </c>
      <c r="BU164">
        <v>86.53</v>
      </c>
      <c r="BV164">
        <v>100.1</v>
      </c>
      <c r="BW164">
        <v>88.58</v>
      </c>
      <c r="BX164">
        <v>36.03</v>
      </c>
      <c r="BY164">
        <v>3.37</v>
      </c>
      <c r="BZ164">
        <v>17.059999999999999</v>
      </c>
      <c r="CA164" t="s">
        <v>120</v>
      </c>
      <c r="CB164">
        <v>17.8</v>
      </c>
      <c r="CC164">
        <v>27.77</v>
      </c>
      <c r="CD164">
        <v>15.78</v>
      </c>
      <c r="CE164">
        <v>8.36</v>
      </c>
      <c r="CF164">
        <v>0</v>
      </c>
      <c r="CG164">
        <v>8.3800000000000008</v>
      </c>
      <c r="CH164">
        <v>7.13</v>
      </c>
      <c r="CI164">
        <v>7.08</v>
      </c>
      <c r="CJ164">
        <v>-7.0000000000000007E-2</v>
      </c>
      <c r="CK164">
        <v>6.9</v>
      </c>
      <c r="CL164">
        <v>75.150000000000006</v>
      </c>
      <c r="CM164">
        <v>7.86</v>
      </c>
      <c r="CN164">
        <v>2.09</v>
      </c>
      <c r="CO164">
        <v>101814</v>
      </c>
      <c r="CP164">
        <v>12809</v>
      </c>
      <c r="CQ164" t="s">
        <v>1272</v>
      </c>
      <c r="CR164">
        <v>6.76</v>
      </c>
      <c r="CS164">
        <v>18.920000000000002</v>
      </c>
      <c r="CT164">
        <v>1.3</v>
      </c>
      <c r="CU164">
        <v>20.92</v>
      </c>
      <c r="CV164">
        <v>5.92</v>
      </c>
      <c r="CW164">
        <v>1.78</v>
      </c>
      <c r="CX164" t="s">
        <v>626</v>
      </c>
      <c r="CY164">
        <v>4.25</v>
      </c>
      <c r="CZ164">
        <v>0</v>
      </c>
      <c r="DA164">
        <v>0.6</v>
      </c>
      <c r="DB164">
        <v>2.52</v>
      </c>
      <c r="DC164">
        <v>0.26</v>
      </c>
      <c r="DD164">
        <v>39.200000000000003</v>
      </c>
      <c r="DE164" t="s">
        <v>1273</v>
      </c>
      <c r="DF164">
        <v>43.17</v>
      </c>
      <c r="DG164">
        <v>30.11</v>
      </c>
      <c r="DH164">
        <v>25.49</v>
      </c>
      <c r="DI164">
        <v>0.01</v>
      </c>
      <c r="DJ164">
        <v>4200</v>
      </c>
      <c r="DK164">
        <v>598</v>
      </c>
      <c r="DL164" t="s">
        <v>120</v>
      </c>
      <c r="DM164" t="s">
        <v>120</v>
      </c>
      <c r="DN164" t="s">
        <v>120</v>
      </c>
    </row>
    <row r="165" spans="1:118">
      <c r="A165" t="str">
        <f>"000599"</f>
        <v>000599</v>
      </c>
      <c r="B165" t="s">
        <v>1274</v>
      </c>
      <c r="C165">
        <v>-1.74</v>
      </c>
      <c r="D165">
        <v>0</v>
      </c>
      <c r="E165">
        <v>0</v>
      </c>
      <c r="F165">
        <v>516</v>
      </c>
      <c r="G165" t="s">
        <v>1275</v>
      </c>
      <c r="H165">
        <v>2188.04</v>
      </c>
      <c r="I165">
        <v>0.64</v>
      </c>
      <c r="J165" t="s">
        <v>120</v>
      </c>
      <c r="K165" t="s">
        <v>1276</v>
      </c>
      <c r="L165">
        <v>0.67</v>
      </c>
      <c r="M165">
        <v>3.96</v>
      </c>
      <c r="N165">
        <v>1.1399999999999999</v>
      </c>
      <c r="O165">
        <v>0.74</v>
      </c>
      <c r="P165">
        <v>4.0599999999999996</v>
      </c>
      <c r="Q165">
        <v>-1.74</v>
      </c>
      <c r="R165">
        <v>3.96</v>
      </c>
      <c r="S165">
        <v>4.03</v>
      </c>
      <c r="T165">
        <v>54515</v>
      </c>
      <c r="U165">
        <v>3.97</v>
      </c>
      <c r="V165">
        <v>4.03</v>
      </c>
      <c r="W165" t="s">
        <v>120</v>
      </c>
      <c r="X165" t="s">
        <v>289</v>
      </c>
      <c r="Y165" t="s">
        <v>638</v>
      </c>
      <c r="Z165">
        <v>2.48</v>
      </c>
      <c r="AA165">
        <v>4.01</v>
      </c>
      <c r="AB165">
        <v>30377</v>
      </c>
      <c r="AC165">
        <v>24138</v>
      </c>
      <c r="AD165">
        <v>1.26</v>
      </c>
      <c r="AE165">
        <v>701</v>
      </c>
      <c r="AF165">
        <v>543</v>
      </c>
      <c r="AG165" t="s">
        <v>120</v>
      </c>
      <c r="AH165">
        <v>0</v>
      </c>
      <c r="AI165" t="s">
        <v>120</v>
      </c>
      <c r="AJ165">
        <v>8.17</v>
      </c>
      <c r="AK165" t="s">
        <v>1276</v>
      </c>
      <c r="AL165">
        <v>0.18</v>
      </c>
      <c r="AM165">
        <v>970</v>
      </c>
      <c r="AN165">
        <v>56</v>
      </c>
      <c r="AO165">
        <v>6.9999999999999999E-4</v>
      </c>
      <c r="AP165">
        <v>-1</v>
      </c>
      <c r="AQ165">
        <v>2.0299999999999998</v>
      </c>
      <c r="AR165">
        <v>-1</v>
      </c>
      <c r="AS165">
        <v>3.13</v>
      </c>
      <c r="AT165">
        <v>-8.1199999999999992</v>
      </c>
      <c r="AU165">
        <v>-6.6</v>
      </c>
      <c r="AV165">
        <v>0</v>
      </c>
      <c r="AW165">
        <v>1.1399999999999999</v>
      </c>
      <c r="AX165">
        <v>58.4</v>
      </c>
      <c r="AY165" t="s">
        <v>120</v>
      </c>
      <c r="AZ165" t="s">
        <v>120</v>
      </c>
      <c r="BA165">
        <v>0.26</v>
      </c>
      <c r="BB165" t="s">
        <v>1103</v>
      </c>
      <c r="BF165">
        <v>-0.41</v>
      </c>
      <c r="BG165">
        <v>-1.74</v>
      </c>
      <c r="BH165">
        <v>-2.46</v>
      </c>
      <c r="BI165">
        <v>0</v>
      </c>
      <c r="BJ165">
        <v>20210910</v>
      </c>
      <c r="BK165">
        <v>19960430</v>
      </c>
      <c r="BL165">
        <v>8.17</v>
      </c>
      <c r="BM165" t="s">
        <v>120</v>
      </c>
      <c r="BN165" t="s">
        <v>120</v>
      </c>
      <c r="BO165">
        <v>106.69</v>
      </c>
      <c r="BP165">
        <v>3.96</v>
      </c>
      <c r="BQ165">
        <v>33.130000000000003</v>
      </c>
      <c r="BR165">
        <v>1.84</v>
      </c>
      <c r="BS165">
        <v>67.23</v>
      </c>
      <c r="BT165">
        <v>51</v>
      </c>
      <c r="BU165">
        <v>41.95</v>
      </c>
      <c r="BV165">
        <v>3.65</v>
      </c>
      <c r="BW165">
        <v>57.05</v>
      </c>
      <c r="BX165">
        <v>16.600000000000001</v>
      </c>
      <c r="BY165">
        <v>9.98</v>
      </c>
      <c r="BZ165">
        <v>9.43</v>
      </c>
      <c r="CA165">
        <v>0.09</v>
      </c>
      <c r="CB165">
        <v>19.79</v>
      </c>
      <c r="CC165">
        <v>22.68</v>
      </c>
      <c r="CD165">
        <v>21.04</v>
      </c>
      <c r="CE165">
        <v>-0.23</v>
      </c>
      <c r="CF165">
        <v>1.67</v>
      </c>
      <c r="CG165">
        <v>-0.23</v>
      </c>
      <c r="CH165">
        <v>-0.52</v>
      </c>
      <c r="CI165">
        <v>-0.22</v>
      </c>
      <c r="CJ165">
        <v>-7.0000000000000007E-2</v>
      </c>
      <c r="CK165">
        <v>-2.4700000000000002</v>
      </c>
      <c r="CL165">
        <v>4.54</v>
      </c>
      <c r="CM165">
        <v>-0.12</v>
      </c>
      <c r="CN165">
        <v>4.55</v>
      </c>
      <c r="CO165">
        <v>52257</v>
      </c>
      <c r="CP165">
        <v>9128</v>
      </c>
      <c r="CQ165" t="s">
        <v>918</v>
      </c>
      <c r="CR165">
        <v>52.32</v>
      </c>
      <c r="CS165">
        <v>12.47</v>
      </c>
      <c r="CT165">
        <v>0.98</v>
      </c>
      <c r="CU165">
        <v>-279.08</v>
      </c>
      <c r="CV165">
        <v>1.43</v>
      </c>
      <c r="CW165">
        <v>0.25</v>
      </c>
      <c r="CX165" t="s">
        <v>479</v>
      </c>
      <c r="CY165">
        <v>4.0599999999999996</v>
      </c>
      <c r="CZ165">
        <v>0</v>
      </c>
      <c r="DA165">
        <v>2.42</v>
      </c>
      <c r="DB165">
        <v>0.56000000000000005</v>
      </c>
      <c r="DC165">
        <v>-0.01</v>
      </c>
      <c r="DD165">
        <v>31.05</v>
      </c>
      <c r="DE165" t="s">
        <v>1277</v>
      </c>
      <c r="DF165">
        <v>7.2</v>
      </c>
      <c r="DG165">
        <v>-1.02</v>
      </c>
      <c r="DH165">
        <v>-0.96</v>
      </c>
      <c r="DI165">
        <v>1.02</v>
      </c>
      <c r="DJ165">
        <v>5078</v>
      </c>
      <c r="DK165">
        <v>599</v>
      </c>
      <c r="DL165" t="s">
        <v>120</v>
      </c>
      <c r="DM165" t="s">
        <v>120</v>
      </c>
      <c r="DN165" t="s">
        <v>120</v>
      </c>
    </row>
    <row r="166" spans="1:118">
      <c r="A166" t="str">
        <f>"000600"</f>
        <v>000600</v>
      </c>
      <c r="B166" t="s">
        <v>1278</v>
      </c>
      <c r="C166">
        <v>-3.12</v>
      </c>
      <c r="D166">
        <v>0.2</v>
      </c>
      <c r="E166">
        <v>-0.39</v>
      </c>
      <c r="F166">
        <v>2039</v>
      </c>
      <c r="G166" t="s">
        <v>1279</v>
      </c>
      <c r="H166">
        <v>9941.61</v>
      </c>
      <c r="I166">
        <v>31.01</v>
      </c>
      <c r="J166" t="s">
        <v>120</v>
      </c>
      <c r="K166" t="s">
        <v>1280</v>
      </c>
      <c r="L166">
        <v>1.81</v>
      </c>
      <c r="M166">
        <v>4.96</v>
      </c>
      <c r="N166">
        <v>0.72</v>
      </c>
      <c r="O166">
        <v>0.59</v>
      </c>
      <c r="P166">
        <v>5.15</v>
      </c>
      <c r="Q166">
        <v>-3.71</v>
      </c>
      <c r="R166">
        <v>4.93</v>
      </c>
      <c r="S166">
        <v>5.0999999999999996</v>
      </c>
      <c r="T166">
        <v>197517</v>
      </c>
      <c r="U166">
        <v>4.96</v>
      </c>
      <c r="V166">
        <v>5.12</v>
      </c>
      <c r="W166">
        <v>31.56</v>
      </c>
      <c r="X166" t="s">
        <v>268</v>
      </c>
      <c r="Y166" t="s">
        <v>602</v>
      </c>
      <c r="Z166">
        <v>4.3</v>
      </c>
      <c r="AA166">
        <v>5.03</v>
      </c>
      <c r="AB166">
        <v>132194</v>
      </c>
      <c r="AC166">
        <v>65323</v>
      </c>
      <c r="AD166">
        <v>2.02</v>
      </c>
      <c r="AE166">
        <v>1418</v>
      </c>
      <c r="AF166">
        <v>301</v>
      </c>
      <c r="AG166" t="s">
        <v>120</v>
      </c>
      <c r="AH166">
        <v>0.01</v>
      </c>
      <c r="AI166" t="s">
        <v>120</v>
      </c>
      <c r="AJ166">
        <v>10.9</v>
      </c>
      <c r="AK166" t="s">
        <v>1281</v>
      </c>
      <c r="AL166">
        <v>-1.21</v>
      </c>
      <c r="AM166">
        <v>2596</v>
      </c>
      <c r="AN166">
        <v>76</v>
      </c>
      <c r="AO166">
        <v>6.9999999999999999E-4</v>
      </c>
      <c r="AP166">
        <v>-1</v>
      </c>
      <c r="AQ166">
        <v>1.79</v>
      </c>
      <c r="AR166">
        <v>-4.62</v>
      </c>
      <c r="AS166">
        <v>10.47</v>
      </c>
      <c r="AT166">
        <v>-0.2</v>
      </c>
      <c r="AU166">
        <v>-8.82</v>
      </c>
      <c r="AV166">
        <v>1</v>
      </c>
      <c r="AW166">
        <v>3.21</v>
      </c>
      <c r="AX166">
        <v>34.36</v>
      </c>
      <c r="AY166">
        <v>17.079999999999998</v>
      </c>
      <c r="AZ166">
        <v>9.92</v>
      </c>
      <c r="BA166">
        <v>0.14000000000000001</v>
      </c>
      <c r="BB166" t="s">
        <v>341</v>
      </c>
      <c r="BF166">
        <v>-1.69</v>
      </c>
      <c r="BG166">
        <v>-2.75</v>
      </c>
      <c r="BH166">
        <v>-3.69</v>
      </c>
      <c r="BI166">
        <v>0.61</v>
      </c>
      <c r="BJ166">
        <v>20210825</v>
      </c>
      <c r="BK166">
        <v>19960606</v>
      </c>
      <c r="BL166">
        <v>17.920000000000002</v>
      </c>
      <c r="BM166" t="s">
        <v>120</v>
      </c>
      <c r="BN166" t="s">
        <v>120</v>
      </c>
      <c r="BO166">
        <v>374.78</v>
      </c>
      <c r="BP166">
        <v>4.95</v>
      </c>
      <c r="BQ166">
        <v>119.47</v>
      </c>
      <c r="BR166">
        <v>30.6</v>
      </c>
      <c r="BS166">
        <v>59.96</v>
      </c>
      <c r="BT166">
        <v>73.16</v>
      </c>
      <c r="BU166">
        <v>184.07</v>
      </c>
      <c r="BV166">
        <v>14.55</v>
      </c>
      <c r="BW166">
        <v>96.74</v>
      </c>
      <c r="BX166">
        <v>28.2</v>
      </c>
      <c r="BY166">
        <v>5.57</v>
      </c>
      <c r="BZ166">
        <v>18.98</v>
      </c>
      <c r="CA166" t="s">
        <v>120</v>
      </c>
      <c r="CB166">
        <v>43.96</v>
      </c>
      <c r="CC166">
        <v>74.680000000000007</v>
      </c>
      <c r="CD166">
        <v>66.77</v>
      </c>
      <c r="CE166">
        <v>2.0699999999999998</v>
      </c>
      <c r="CF166">
        <v>0.79</v>
      </c>
      <c r="CG166">
        <v>2.16</v>
      </c>
      <c r="CH166">
        <v>1.39</v>
      </c>
      <c r="CI166">
        <v>1.41</v>
      </c>
      <c r="CJ166">
        <v>-0.16</v>
      </c>
      <c r="CK166">
        <v>1.2</v>
      </c>
      <c r="CL166">
        <v>49.39</v>
      </c>
      <c r="CM166">
        <v>8.89</v>
      </c>
      <c r="CN166">
        <v>8.49</v>
      </c>
      <c r="CO166">
        <v>72125</v>
      </c>
      <c r="CP166">
        <v>8536</v>
      </c>
      <c r="CQ166" t="s">
        <v>1282</v>
      </c>
      <c r="CR166">
        <v>-73.36</v>
      </c>
      <c r="CS166">
        <v>4.18</v>
      </c>
      <c r="CT166">
        <v>0.74</v>
      </c>
      <c r="CU166">
        <v>9.99</v>
      </c>
      <c r="CV166">
        <v>1.19</v>
      </c>
      <c r="CW166">
        <v>3.32</v>
      </c>
      <c r="CX166" t="s">
        <v>535</v>
      </c>
      <c r="CY166">
        <v>6.67</v>
      </c>
      <c r="CZ166">
        <v>0</v>
      </c>
      <c r="DA166">
        <v>2.4500000000000002</v>
      </c>
      <c r="DB166">
        <v>2.76</v>
      </c>
      <c r="DC166">
        <v>0.5</v>
      </c>
      <c r="DD166">
        <v>31.88</v>
      </c>
      <c r="DE166" t="s">
        <v>1283</v>
      </c>
      <c r="DF166">
        <v>10.59</v>
      </c>
      <c r="DG166">
        <v>2.77</v>
      </c>
      <c r="DH166">
        <v>1.89</v>
      </c>
      <c r="DI166">
        <v>0.09</v>
      </c>
      <c r="DJ166">
        <v>4506</v>
      </c>
      <c r="DK166">
        <v>600</v>
      </c>
      <c r="DL166" t="s">
        <v>120</v>
      </c>
      <c r="DM166" t="s">
        <v>120</v>
      </c>
      <c r="DN166" t="s">
        <v>120</v>
      </c>
    </row>
    <row r="167" spans="1:118">
      <c r="A167" t="str">
        <f>"000601"</f>
        <v>000601</v>
      </c>
      <c r="B167" t="s">
        <v>1284</v>
      </c>
      <c r="C167">
        <v>-2.14</v>
      </c>
      <c r="D167">
        <v>0.2</v>
      </c>
      <c r="E167">
        <v>0.57999999999999996</v>
      </c>
      <c r="F167">
        <v>968</v>
      </c>
      <c r="G167" t="s">
        <v>1285</v>
      </c>
      <c r="H167">
        <v>3523.19</v>
      </c>
      <c r="I167">
        <v>33.26</v>
      </c>
      <c r="J167" t="s">
        <v>120</v>
      </c>
      <c r="K167" t="s">
        <v>1286</v>
      </c>
      <c r="L167">
        <v>0.64</v>
      </c>
      <c r="M167">
        <v>5.04</v>
      </c>
      <c r="N167">
        <v>0.8</v>
      </c>
      <c r="O167">
        <v>0.97</v>
      </c>
      <c r="P167">
        <v>5.2</v>
      </c>
      <c r="Q167">
        <v>-2.91</v>
      </c>
      <c r="R167">
        <v>5</v>
      </c>
      <c r="S167">
        <v>5.18</v>
      </c>
      <c r="T167">
        <v>69140</v>
      </c>
      <c r="U167">
        <v>5.05</v>
      </c>
      <c r="V167">
        <v>5.15</v>
      </c>
      <c r="W167">
        <v>20.65</v>
      </c>
      <c r="X167" t="s">
        <v>1287</v>
      </c>
      <c r="Y167" t="s">
        <v>547</v>
      </c>
      <c r="Z167">
        <v>3.88</v>
      </c>
      <c r="AA167">
        <v>5.0999999999999996</v>
      </c>
      <c r="AB167">
        <v>44147</v>
      </c>
      <c r="AC167">
        <v>24993</v>
      </c>
      <c r="AD167">
        <v>1.77</v>
      </c>
      <c r="AE167">
        <v>215</v>
      </c>
      <c r="AF167">
        <v>401</v>
      </c>
      <c r="AG167" t="s">
        <v>120</v>
      </c>
      <c r="AH167">
        <v>0.01</v>
      </c>
      <c r="AI167" t="s">
        <v>120</v>
      </c>
      <c r="AJ167">
        <v>10.8</v>
      </c>
      <c r="AK167" t="s">
        <v>1288</v>
      </c>
      <c r="AL167">
        <v>-0.22</v>
      </c>
      <c r="AM167">
        <v>1775</v>
      </c>
      <c r="AN167">
        <v>39</v>
      </c>
      <c r="AO167">
        <v>4.0000000000000002E-4</v>
      </c>
      <c r="AP167">
        <v>-1</v>
      </c>
      <c r="AQ167">
        <v>1.38</v>
      </c>
      <c r="AR167">
        <v>-4.18</v>
      </c>
      <c r="AS167">
        <v>9.32</v>
      </c>
      <c r="AT167">
        <v>-8.69</v>
      </c>
      <c r="AU167">
        <v>-24.1</v>
      </c>
      <c r="AV167">
        <v>0</v>
      </c>
      <c r="AW167">
        <v>1.0900000000000001</v>
      </c>
      <c r="AX167">
        <v>58.49</v>
      </c>
      <c r="AY167">
        <v>60.8</v>
      </c>
      <c r="AZ167">
        <v>25.98</v>
      </c>
      <c r="BA167">
        <v>0.4</v>
      </c>
      <c r="BB167" t="s">
        <v>143</v>
      </c>
      <c r="BF167">
        <v>-1.05</v>
      </c>
      <c r="BG167">
        <v>-2.7</v>
      </c>
      <c r="BH167">
        <v>-3.08</v>
      </c>
      <c r="BI167">
        <v>0.8</v>
      </c>
      <c r="BJ167">
        <v>20210830</v>
      </c>
      <c r="BK167">
        <v>19960830</v>
      </c>
      <c r="BL167">
        <v>10.81</v>
      </c>
      <c r="BM167" t="s">
        <v>120</v>
      </c>
      <c r="BN167" t="s">
        <v>120</v>
      </c>
      <c r="BO167">
        <v>128</v>
      </c>
      <c r="BP167">
        <v>5.04</v>
      </c>
      <c r="BQ167">
        <v>47.77</v>
      </c>
      <c r="BR167">
        <v>3.37</v>
      </c>
      <c r="BS167">
        <v>60.05</v>
      </c>
      <c r="BT167">
        <v>29.66</v>
      </c>
      <c r="BU167">
        <v>86.62</v>
      </c>
      <c r="BV167">
        <v>3.43</v>
      </c>
      <c r="BW167">
        <v>20.28</v>
      </c>
      <c r="BX167">
        <v>2.67</v>
      </c>
      <c r="BY167">
        <v>5.41</v>
      </c>
      <c r="BZ167">
        <v>15.87</v>
      </c>
      <c r="CA167" t="s">
        <v>120</v>
      </c>
      <c r="CB167">
        <v>15.81</v>
      </c>
      <c r="CC167">
        <v>22.14</v>
      </c>
      <c r="CD167">
        <v>17.41</v>
      </c>
      <c r="CE167">
        <v>1.74</v>
      </c>
      <c r="CF167">
        <v>-0.03</v>
      </c>
      <c r="CG167">
        <v>1.87</v>
      </c>
      <c r="CH167">
        <v>1.4</v>
      </c>
      <c r="CI167">
        <v>1.32</v>
      </c>
      <c r="CJ167">
        <v>-0.11</v>
      </c>
      <c r="CK167">
        <v>1.1200000000000001</v>
      </c>
      <c r="CL167">
        <v>12.49</v>
      </c>
      <c r="CM167">
        <v>1.96</v>
      </c>
      <c r="CN167">
        <v>-2.04</v>
      </c>
      <c r="CO167">
        <v>53413</v>
      </c>
      <c r="CP167">
        <v>11832</v>
      </c>
      <c r="CQ167" t="s">
        <v>1289</v>
      </c>
      <c r="CR167">
        <v>-48.2</v>
      </c>
      <c r="CS167">
        <v>-3.7</v>
      </c>
      <c r="CT167">
        <v>1.1399999999999999</v>
      </c>
      <c r="CU167">
        <v>27.85</v>
      </c>
      <c r="CV167">
        <v>2.46</v>
      </c>
      <c r="CW167">
        <v>0.97</v>
      </c>
      <c r="CX167" t="s">
        <v>1226</v>
      </c>
      <c r="CY167">
        <v>4.42</v>
      </c>
      <c r="CZ167">
        <v>0</v>
      </c>
      <c r="DA167">
        <v>1.46</v>
      </c>
      <c r="DB167">
        <v>1.1599999999999999</v>
      </c>
      <c r="DC167">
        <v>0.18</v>
      </c>
      <c r="DD167">
        <v>37.32</v>
      </c>
      <c r="DE167" t="s">
        <v>1290</v>
      </c>
      <c r="DF167">
        <v>21.39</v>
      </c>
      <c r="DG167">
        <v>7.84</v>
      </c>
      <c r="DH167">
        <v>5.95</v>
      </c>
      <c r="DI167">
        <v>0.27</v>
      </c>
      <c r="DJ167">
        <v>5185</v>
      </c>
      <c r="DK167">
        <v>601</v>
      </c>
      <c r="DL167" t="s">
        <v>120</v>
      </c>
      <c r="DM167" t="s">
        <v>120</v>
      </c>
      <c r="DN167" t="s">
        <v>120</v>
      </c>
    </row>
    <row r="168" spans="1:118">
      <c r="A168" t="str">
        <f>"000603"</f>
        <v>000603</v>
      </c>
      <c r="B168" t="s">
        <v>1291</v>
      </c>
      <c r="C168">
        <v>-2.5299999999999998</v>
      </c>
      <c r="D168">
        <v>0</v>
      </c>
      <c r="E168">
        <v>0.48</v>
      </c>
      <c r="F168">
        <v>1577</v>
      </c>
      <c r="G168" t="s">
        <v>1292</v>
      </c>
      <c r="H168">
        <v>32052.32</v>
      </c>
      <c r="I168">
        <v>73.89</v>
      </c>
      <c r="J168" t="s">
        <v>120</v>
      </c>
      <c r="K168" t="s">
        <v>1293</v>
      </c>
      <c r="L168">
        <v>3.73</v>
      </c>
      <c r="M168">
        <v>14.25</v>
      </c>
      <c r="N168">
        <v>0.93</v>
      </c>
      <c r="O168">
        <v>3.21</v>
      </c>
      <c r="P168">
        <v>15.09</v>
      </c>
      <c r="Q168">
        <v>-2.87</v>
      </c>
      <c r="R168">
        <v>14.2</v>
      </c>
      <c r="S168">
        <v>14.69</v>
      </c>
      <c r="T168">
        <v>219354</v>
      </c>
      <c r="U168">
        <v>14.25</v>
      </c>
      <c r="V168">
        <v>14.62</v>
      </c>
      <c r="W168">
        <v>43.26</v>
      </c>
      <c r="X168" t="s">
        <v>439</v>
      </c>
      <c r="Y168" t="s">
        <v>158</v>
      </c>
      <c r="Z168">
        <v>6.09</v>
      </c>
      <c r="AA168">
        <v>14.61</v>
      </c>
      <c r="AB168">
        <v>116972</v>
      </c>
      <c r="AC168">
        <v>102382</v>
      </c>
      <c r="AD168">
        <v>1.1399999999999999</v>
      </c>
      <c r="AE168">
        <v>6</v>
      </c>
      <c r="AF168">
        <v>429</v>
      </c>
      <c r="AG168" t="s">
        <v>120</v>
      </c>
      <c r="AH168">
        <v>0.01</v>
      </c>
      <c r="AI168" t="s">
        <v>120</v>
      </c>
      <c r="AJ168">
        <v>5.89</v>
      </c>
      <c r="AK168" t="s">
        <v>1294</v>
      </c>
      <c r="AL168">
        <v>-0.62</v>
      </c>
      <c r="AM168">
        <v>3753</v>
      </c>
      <c r="AN168">
        <v>58</v>
      </c>
      <c r="AO168">
        <v>1E-3</v>
      </c>
      <c r="AP168">
        <v>-1</v>
      </c>
      <c r="AQ168">
        <v>1.67</v>
      </c>
      <c r="AR168">
        <v>-6.07</v>
      </c>
      <c r="AS168">
        <v>10.46</v>
      </c>
      <c r="AT168">
        <v>11.07</v>
      </c>
      <c r="AU168">
        <v>-10.49</v>
      </c>
      <c r="AV168">
        <v>1</v>
      </c>
      <c r="AW168">
        <v>6.32</v>
      </c>
      <c r="AX168">
        <v>50.29</v>
      </c>
      <c r="AY168">
        <v>26.2</v>
      </c>
      <c r="AZ168">
        <v>34.71</v>
      </c>
      <c r="BA168">
        <v>0.39</v>
      </c>
      <c r="BB168" t="s">
        <v>143</v>
      </c>
      <c r="BF168">
        <v>-0.05</v>
      </c>
      <c r="BG168">
        <v>-3</v>
      </c>
      <c r="BH168">
        <v>-5.57</v>
      </c>
      <c r="BI168">
        <v>0.35</v>
      </c>
      <c r="BJ168">
        <v>20210914</v>
      </c>
      <c r="BK168">
        <v>19960823</v>
      </c>
      <c r="BL168">
        <v>6.9</v>
      </c>
      <c r="BM168" t="s">
        <v>120</v>
      </c>
      <c r="BN168" t="s">
        <v>120</v>
      </c>
      <c r="BO168">
        <v>50.11</v>
      </c>
      <c r="BP168">
        <v>14.24</v>
      </c>
      <c r="BQ168">
        <v>23.39</v>
      </c>
      <c r="BR168">
        <v>5.36</v>
      </c>
      <c r="BS168">
        <v>42.63</v>
      </c>
      <c r="BT168">
        <v>14.44</v>
      </c>
      <c r="BU168">
        <v>13.17</v>
      </c>
      <c r="BV168">
        <v>5.59</v>
      </c>
      <c r="BW168">
        <v>13.99</v>
      </c>
      <c r="BX168">
        <v>2.27</v>
      </c>
      <c r="BY168">
        <v>1.65</v>
      </c>
      <c r="BZ168">
        <v>0.35</v>
      </c>
      <c r="CA168" t="s">
        <v>120</v>
      </c>
      <c r="CB168">
        <v>4.5199999999999996</v>
      </c>
      <c r="CC168">
        <v>5.51</v>
      </c>
      <c r="CD168">
        <v>2.13</v>
      </c>
      <c r="CE168">
        <v>1.77</v>
      </c>
      <c r="CF168">
        <v>0.11</v>
      </c>
      <c r="CG168">
        <v>1.77</v>
      </c>
      <c r="CH168">
        <v>1.47</v>
      </c>
      <c r="CI168">
        <v>1.1399999999999999</v>
      </c>
      <c r="CJ168">
        <v>-0.37</v>
      </c>
      <c r="CK168">
        <v>1.06</v>
      </c>
      <c r="CL168">
        <v>20.190000000000001</v>
      </c>
      <c r="CM168">
        <v>1.38</v>
      </c>
      <c r="CN168">
        <v>-5.58</v>
      </c>
      <c r="CO168">
        <v>38969</v>
      </c>
      <c r="CP168">
        <v>8903</v>
      </c>
      <c r="CQ168" t="s">
        <v>1295</v>
      </c>
      <c r="CR168">
        <v>490.81</v>
      </c>
      <c r="CS168">
        <v>11.94</v>
      </c>
      <c r="CT168">
        <v>4.2</v>
      </c>
      <c r="CU168">
        <v>71.11</v>
      </c>
      <c r="CV168">
        <v>17.850000000000001</v>
      </c>
      <c r="CW168">
        <v>0</v>
      </c>
      <c r="CX168" t="s">
        <v>1296</v>
      </c>
      <c r="CY168">
        <v>3.39</v>
      </c>
      <c r="CZ168">
        <v>0</v>
      </c>
      <c r="DA168">
        <v>0.66</v>
      </c>
      <c r="DB168">
        <v>2.93</v>
      </c>
      <c r="DC168">
        <v>0.2</v>
      </c>
      <c r="DD168">
        <v>46.67</v>
      </c>
      <c r="DE168" t="s">
        <v>1010</v>
      </c>
      <c r="DF168">
        <v>61.24</v>
      </c>
      <c r="DG168">
        <v>32.15</v>
      </c>
      <c r="DH168">
        <v>20.64</v>
      </c>
      <c r="DI168">
        <v>0.06</v>
      </c>
      <c r="DJ168">
        <v>1581</v>
      </c>
      <c r="DK168">
        <v>603</v>
      </c>
      <c r="DL168" t="s">
        <v>120</v>
      </c>
      <c r="DM168" t="s">
        <v>120</v>
      </c>
      <c r="DN168" t="s">
        <v>120</v>
      </c>
    </row>
    <row r="169" spans="1:118">
      <c r="A169" t="str">
        <f>"000605"</f>
        <v>000605</v>
      </c>
      <c r="B169" t="s">
        <v>1297</v>
      </c>
      <c r="C169">
        <v>-0.89</v>
      </c>
      <c r="D169">
        <v>0</v>
      </c>
      <c r="E169">
        <v>0.54</v>
      </c>
      <c r="F169">
        <v>231</v>
      </c>
      <c r="G169" t="s">
        <v>1298</v>
      </c>
      <c r="H169">
        <v>2157.6999999999998</v>
      </c>
      <c r="I169">
        <v>2.08</v>
      </c>
      <c r="J169" t="s">
        <v>120</v>
      </c>
      <c r="K169" t="s">
        <v>1094</v>
      </c>
      <c r="L169">
        <v>1.1399999999999999</v>
      </c>
      <c r="M169">
        <v>5.54</v>
      </c>
      <c r="N169">
        <v>0.93</v>
      </c>
      <c r="O169">
        <v>2.15</v>
      </c>
      <c r="P169">
        <v>5.71</v>
      </c>
      <c r="Q169">
        <v>-1.25</v>
      </c>
      <c r="R169">
        <v>5.52</v>
      </c>
      <c r="S169">
        <v>5.62</v>
      </c>
      <c r="T169">
        <v>38317</v>
      </c>
      <c r="U169">
        <v>5.54</v>
      </c>
      <c r="V169">
        <v>5.59</v>
      </c>
      <c r="W169">
        <v>48.91</v>
      </c>
      <c r="X169" t="s">
        <v>1271</v>
      </c>
      <c r="Y169" t="s">
        <v>158</v>
      </c>
      <c r="Z169">
        <v>3.4</v>
      </c>
      <c r="AA169">
        <v>5.63</v>
      </c>
      <c r="AB169">
        <v>19856</v>
      </c>
      <c r="AC169">
        <v>18461</v>
      </c>
      <c r="AD169">
        <v>1.08</v>
      </c>
      <c r="AE169">
        <v>312</v>
      </c>
      <c r="AF169">
        <v>43</v>
      </c>
      <c r="AG169" t="s">
        <v>120</v>
      </c>
      <c r="AH169">
        <v>0</v>
      </c>
      <c r="AI169" t="s">
        <v>120</v>
      </c>
      <c r="AJ169">
        <v>3.37</v>
      </c>
      <c r="AK169" t="s">
        <v>1299</v>
      </c>
      <c r="AL169">
        <v>1.02</v>
      </c>
      <c r="AM169">
        <v>1170</v>
      </c>
      <c r="AN169">
        <v>33</v>
      </c>
      <c r="AO169">
        <v>1E-3</v>
      </c>
      <c r="AP169">
        <v>-1</v>
      </c>
      <c r="AQ169">
        <v>1.82</v>
      </c>
      <c r="AR169">
        <v>-2.12</v>
      </c>
      <c r="AS169">
        <v>8</v>
      </c>
      <c r="AT169">
        <v>4.1399999999999997</v>
      </c>
      <c r="AU169">
        <v>-4.3099999999999996</v>
      </c>
      <c r="AV169">
        <v>2</v>
      </c>
      <c r="AW169">
        <v>2.15</v>
      </c>
      <c r="AX169">
        <v>50.44</v>
      </c>
      <c r="AY169">
        <v>73.900000000000006</v>
      </c>
      <c r="AZ169">
        <v>97.62</v>
      </c>
      <c r="BA169">
        <v>0.34</v>
      </c>
      <c r="BB169" t="s">
        <v>184</v>
      </c>
      <c r="BF169">
        <v>0.74</v>
      </c>
      <c r="BG169">
        <v>-1.42</v>
      </c>
      <c r="BH169">
        <v>-2.98</v>
      </c>
      <c r="BI169">
        <v>0.36</v>
      </c>
      <c r="BJ169">
        <v>20210831</v>
      </c>
      <c r="BK169">
        <v>19960913</v>
      </c>
      <c r="BL169">
        <v>3.53</v>
      </c>
      <c r="BM169" t="s">
        <v>120</v>
      </c>
      <c r="BN169" t="s">
        <v>120</v>
      </c>
      <c r="BO169">
        <v>77.66</v>
      </c>
      <c r="BP169">
        <v>5.53</v>
      </c>
      <c r="BQ169">
        <v>19.989999999999998</v>
      </c>
      <c r="BR169">
        <v>4.99</v>
      </c>
      <c r="BS169">
        <v>67.83</v>
      </c>
      <c r="BT169">
        <v>28.55</v>
      </c>
      <c r="BU169">
        <v>22.42</v>
      </c>
      <c r="BV169">
        <v>8.15</v>
      </c>
      <c r="BW169">
        <v>36.479999999999997</v>
      </c>
      <c r="BX169">
        <v>6.23</v>
      </c>
      <c r="BY169">
        <v>1.28</v>
      </c>
      <c r="BZ169">
        <v>7.28</v>
      </c>
      <c r="CA169" t="s">
        <v>120</v>
      </c>
      <c r="CB169">
        <v>10.63</v>
      </c>
      <c r="CC169">
        <v>8.69</v>
      </c>
      <c r="CD169">
        <v>6.44</v>
      </c>
      <c r="CE169">
        <v>0.41</v>
      </c>
      <c r="CF169">
        <v>0.17</v>
      </c>
      <c r="CG169">
        <v>0.42</v>
      </c>
      <c r="CH169">
        <v>0.25</v>
      </c>
      <c r="CI169">
        <v>0.2</v>
      </c>
      <c r="CJ169">
        <v>-0.05</v>
      </c>
      <c r="CK169">
        <v>-0.02</v>
      </c>
      <c r="CL169">
        <v>5.23</v>
      </c>
      <c r="CM169">
        <v>0.59</v>
      </c>
      <c r="CN169">
        <v>0.54</v>
      </c>
      <c r="CO169">
        <v>20299</v>
      </c>
      <c r="CP169">
        <v>8763</v>
      </c>
      <c r="CQ169" t="s">
        <v>1300</v>
      </c>
      <c r="CR169">
        <v>48.06</v>
      </c>
      <c r="CS169">
        <v>-4.8</v>
      </c>
      <c r="CT169">
        <v>0.98</v>
      </c>
      <c r="CU169">
        <v>32.9</v>
      </c>
      <c r="CV169">
        <v>2.25</v>
      </c>
      <c r="CW169">
        <v>0.36</v>
      </c>
      <c r="CX169" t="s">
        <v>1301</v>
      </c>
      <c r="CY169">
        <v>5.67</v>
      </c>
      <c r="CZ169">
        <v>0</v>
      </c>
      <c r="DA169">
        <v>3.01</v>
      </c>
      <c r="DB169">
        <v>1.48</v>
      </c>
      <c r="DC169">
        <v>0.17</v>
      </c>
      <c r="DD169">
        <v>25.75</v>
      </c>
      <c r="DE169" t="s">
        <v>1302</v>
      </c>
      <c r="DF169">
        <v>25.84</v>
      </c>
      <c r="DG169">
        <v>4.68</v>
      </c>
      <c r="DH169">
        <v>2.2999999999999998</v>
      </c>
      <c r="DI169">
        <v>7.0000000000000007E-2</v>
      </c>
      <c r="DJ169">
        <v>1692</v>
      </c>
      <c r="DK169">
        <v>605</v>
      </c>
      <c r="DL169" t="s">
        <v>120</v>
      </c>
      <c r="DM169" t="s">
        <v>120</v>
      </c>
      <c r="DN169" t="s">
        <v>120</v>
      </c>
    </row>
    <row r="170" spans="1:118">
      <c r="A170" t="str">
        <f>"000607"</f>
        <v>000607</v>
      </c>
      <c r="B170" t="s">
        <v>1303</v>
      </c>
      <c r="C170">
        <v>-2.67</v>
      </c>
      <c r="D170">
        <v>-1.07</v>
      </c>
      <c r="E170">
        <v>0</v>
      </c>
      <c r="F170">
        <v>6027</v>
      </c>
      <c r="G170" t="s">
        <v>1304</v>
      </c>
      <c r="H170">
        <v>1857.74</v>
      </c>
      <c r="I170">
        <v>10.050000000000001</v>
      </c>
      <c r="J170" t="s">
        <v>120</v>
      </c>
      <c r="K170" t="s">
        <v>423</v>
      </c>
      <c r="L170">
        <v>0.56000000000000005</v>
      </c>
      <c r="M170">
        <v>3.65</v>
      </c>
      <c r="N170">
        <v>0.66</v>
      </c>
      <c r="O170">
        <v>1.07</v>
      </c>
      <c r="P170">
        <v>3.79</v>
      </c>
      <c r="Q170">
        <v>-2.67</v>
      </c>
      <c r="R170">
        <v>3.65</v>
      </c>
      <c r="S170">
        <v>3.75</v>
      </c>
      <c r="T170">
        <v>49882</v>
      </c>
      <c r="U170">
        <v>3.68</v>
      </c>
      <c r="V170">
        <v>3.75</v>
      </c>
      <c r="W170">
        <v>33.090000000000003</v>
      </c>
      <c r="X170" t="s">
        <v>339</v>
      </c>
      <c r="Y170" t="s">
        <v>585</v>
      </c>
      <c r="Z170">
        <v>3.73</v>
      </c>
      <c r="AA170">
        <v>3.72</v>
      </c>
      <c r="AB170">
        <v>31616</v>
      </c>
      <c r="AC170">
        <v>18266</v>
      </c>
      <c r="AD170">
        <v>1.73</v>
      </c>
      <c r="AE170">
        <v>383</v>
      </c>
      <c r="AF170">
        <v>123</v>
      </c>
      <c r="AG170" t="s">
        <v>120</v>
      </c>
      <c r="AH170">
        <v>0.01</v>
      </c>
      <c r="AI170" t="s">
        <v>120</v>
      </c>
      <c r="AJ170">
        <v>8.85</v>
      </c>
      <c r="AK170" t="s">
        <v>1305</v>
      </c>
      <c r="AL170">
        <v>-0.75</v>
      </c>
      <c r="AM170">
        <v>1187</v>
      </c>
      <c r="AN170">
        <v>42</v>
      </c>
      <c r="AO170">
        <v>5.0000000000000001E-4</v>
      </c>
      <c r="AP170">
        <v>-1</v>
      </c>
      <c r="AQ170">
        <v>0</v>
      </c>
      <c r="AR170">
        <v>-4.1900000000000004</v>
      </c>
      <c r="AS170">
        <v>3.69</v>
      </c>
      <c r="AT170">
        <v>-1.08</v>
      </c>
      <c r="AU170">
        <v>-7.36</v>
      </c>
      <c r="AV170">
        <v>1</v>
      </c>
      <c r="AW170">
        <v>1.29</v>
      </c>
      <c r="AX170">
        <v>38.130000000000003</v>
      </c>
      <c r="AY170" t="s">
        <v>120</v>
      </c>
      <c r="AZ170" t="s">
        <v>120</v>
      </c>
      <c r="BA170">
        <v>0.31</v>
      </c>
      <c r="BB170" t="s">
        <v>143</v>
      </c>
      <c r="BF170">
        <v>-0.69</v>
      </c>
      <c r="BG170">
        <v>-2.67</v>
      </c>
      <c r="BH170">
        <v>-3.69</v>
      </c>
      <c r="BI170">
        <v>0</v>
      </c>
      <c r="BJ170">
        <v>20210831</v>
      </c>
      <c r="BK170">
        <v>19960830</v>
      </c>
      <c r="BL170">
        <v>10.18</v>
      </c>
      <c r="BM170" t="s">
        <v>120</v>
      </c>
      <c r="BN170" t="s">
        <v>120</v>
      </c>
      <c r="BO170">
        <v>39.43</v>
      </c>
      <c r="BP170">
        <v>3.65</v>
      </c>
      <c r="BQ170">
        <v>14.13</v>
      </c>
      <c r="BR170">
        <v>2.06</v>
      </c>
      <c r="BS170">
        <v>58.96</v>
      </c>
      <c r="BT170">
        <v>12.9</v>
      </c>
      <c r="BU170">
        <v>1.45</v>
      </c>
      <c r="BV170">
        <v>0.78</v>
      </c>
      <c r="BW170">
        <v>15.47</v>
      </c>
      <c r="BX170">
        <v>6.32</v>
      </c>
      <c r="BY170">
        <v>0.34</v>
      </c>
      <c r="BZ170">
        <v>3.79</v>
      </c>
      <c r="CA170">
        <v>0.02</v>
      </c>
      <c r="CB170">
        <v>-1.94</v>
      </c>
      <c r="CC170">
        <v>8.7899999999999991</v>
      </c>
      <c r="CD170">
        <v>6.89</v>
      </c>
      <c r="CE170">
        <v>0.57999999999999996</v>
      </c>
      <c r="CF170">
        <v>0.28000000000000003</v>
      </c>
      <c r="CG170">
        <v>0.56999999999999995</v>
      </c>
      <c r="CH170">
        <v>0.55000000000000004</v>
      </c>
      <c r="CI170">
        <v>0.56000000000000005</v>
      </c>
      <c r="CJ170">
        <v>-0.1</v>
      </c>
      <c r="CK170">
        <v>0.38</v>
      </c>
      <c r="CL170">
        <v>5.95</v>
      </c>
      <c r="CM170">
        <v>-0.63</v>
      </c>
      <c r="CN170">
        <v>-1.34</v>
      </c>
      <c r="CO170">
        <v>34952</v>
      </c>
      <c r="CP170">
        <v>11103</v>
      </c>
      <c r="CQ170" t="s">
        <v>1306</v>
      </c>
      <c r="CR170">
        <v>435.78</v>
      </c>
      <c r="CS170">
        <v>32.520000000000003</v>
      </c>
      <c r="CT170">
        <v>2.63</v>
      </c>
      <c r="CU170">
        <v>-58.54</v>
      </c>
      <c r="CV170">
        <v>4.22</v>
      </c>
      <c r="CW170">
        <v>0</v>
      </c>
      <c r="CX170" t="s">
        <v>1064</v>
      </c>
      <c r="CY170">
        <v>1.39</v>
      </c>
      <c r="CZ170">
        <v>0</v>
      </c>
      <c r="DA170">
        <v>-0.19</v>
      </c>
      <c r="DB170">
        <v>0.57999999999999996</v>
      </c>
      <c r="DC170">
        <v>-0.06</v>
      </c>
      <c r="DD170">
        <v>35.82</v>
      </c>
      <c r="DE170" t="s">
        <v>1307</v>
      </c>
      <c r="DF170">
        <v>21.65</v>
      </c>
      <c r="DG170">
        <v>6.54</v>
      </c>
      <c r="DH170">
        <v>6.38</v>
      </c>
      <c r="DI170">
        <v>0.05</v>
      </c>
      <c r="DJ170">
        <v>3070</v>
      </c>
      <c r="DK170">
        <v>607</v>
      </c>
      <c r="DL170" t="s">
        <v>120</v>
      </c>
      <c r="DM170" t="s">
        <v>120</v>
      </c>
      <c r="DN170" t="s">
        <v>120</v>
      </c>
    </row>
    <row r="171" spans="1:118">
      <c r="A171" t="str">
        <f>"000608"</f>
        <v>000608</v>
      </c>
      <c r="B171" t="s">
        <v>1308</v>
      </c>
      <c r="C171">
        <v>-1.25</v>
      </c>
      <c r="D171">
        <v>-0.31</v>
      </c>
      <c r="E171">
        <v>0.31</v>
      </c>
      <c r="F171">
        <v>4892</v>
      </c>
      <c r="G171" t="s">
        <v>1309</v>
      </c>
      <c r="H171">
        <v>1947.24</v>
      </c>
      <c r="I171">
        <v>2.91</v>
      </c>
      <c r="J171" t="s">
        <v>120</v>
      </c>
      <c r="K171" t="s">
        <v>1310</v>
      </c>
      <c r="L171">
        <v>0.82</v>
      </c>
      <c r="M171">
        <v>3.15</v>
      </c>
      <c r="N171">
        <v>0.99</v>
      </c>
      <c r="O171">
        <v>1.57</v>
      </c>
      <c r="P171">
        <v>3.24</v>
      </c>
      <c r="Q171">
        <v>-1.25</v>
      </c>
      <c r="R171">
        <v>3.15</v>
      </c>
      <c r="S171">
        <v>3.2</v>
      </c>
      <c r="T171">
        <v>61137</v>
      </c>
      <c r="U171">
        <v>3.16</v>
      </c>
      <c r="V171">
        <v>3.19</v>
      </c>
      <c r="W171" t="s">
        <v>120</v>
      </c>
      <c r="X171" t="s">
        <v>150</v>
      </c>
      <c r="Y171" t="s">
        <v>945</v>
      </c>
      <c r="Z171">
        <v>2.82</v>
      </c>
      <c r="AA171">
        <v>3.19</v>
      </c>
      <c r="AB171">
        <v>35123</v>
      </c>
      <c r="AC171">
        <v>26014</v>
      </c>
      <c r="AD171">
        <v>1.35</v>
      </c>
      <c r="AE171">
        <v>1266</v>
      </c>
      <c r="AF171">
        <v>70</v>
      </c>
      <c r="AG171" t="s">
        <v>120</v>
      </c>
      <c r="AH171">
        <v>0</v>
      </c>
      <c r="AI171" t="s">
        <v>120</v>
      </c>
      <c r="AJ171">
        <v>7.5</v>
      </c>
      <c r="AK171" t="s">
        <v>1310</v>
      </c>
      <c r="AL171">
        <v>0.66</v>
      </c>
      <c r="AM171">
        <v>814</v>
      </c>
      <c r="AN171">
        <v>75</v>
      </c>
      <c r="AO171">
        <v>1E-3</v>
      </c>
      <c r="AP171">
        <v>-3</v>
      </c>
      <c r="AQ171">
        <v>-0.93</v>
      </c>
      <c r="AR171">
        <v>-3.96</v>
      </c>
      <c r="AS171">
        <v>-19.43</v>
      </c>
      <c r="AT171">
        <v>-8.17</v>
      </c>
      <c r="AU171">
        <v>0.64</v>
      </c>
      <c r="AV171">
        <v>6</v>
      </c>
      <c r="AW171">
        <v>1.41</v>
      </c>
      <c r="AX171">
        <v>57.77</v>
      </c>
      <c r="AY171">
        <v>15.62</v>
      </c>
      <c r="AZ171">
        <v>22.29</v>
      </c>
      <c r="BA171">
        <v>0.13</v>
      </c>
      <c r="BB171" t="s">
        <v>125</v>
      </c>
      <c r="BF171">
        <v>-0.16</v>
      </c>
      <c r="BG171">
        <v>-1.56</v>
      </c>
      <c r="BH171">
        <v>-2.78</v>
      </c>
      <c r="BI171">
        <v>0</v>
      </c>
      <c r="BJ171">
        <v>20210827</v>
      </c>
      <c r="BK171">
        <v>19960919</v>
      </c>
      <c r="BL171">
        <v>7.5</v>
      </c>
      <c r="BM171" t="s">
        <v>120</v>
      </c>
      <c r="BN171" t="s">
        <v>120</v>
      </c>
      <c r="BO171">
        <v>57.41</v>
      </c>
      <c r="BP171">
        <v>3.15</v>
      </c>
      <c r="BQ171">
        <v>31.42</v>
      </c>
      <c r="BR171">
        <v>4.93</v>
      </c>
      <c r="BS171">
        <v>36.69</v>
      </c>
      <c r="BT171">
        <v>1.8</v>
      </c>
      <c r="BU171">
        <v>0.2</v>
      </c>
      <c r="BV171">
        <v>0.1</v>
      </c>
      <c r="BW171">
        <v>8.74</v>
      </c>
      <c r="BX171">
        <v>0.8</v>
      </c>
      <c r="BY171">
        <v>0.35</v>
      </c>
      <c r="BZ171">
        <v>0.12</v>
      </c>
      <c r="CA171">
        <v>0.49</v>
      </c>
      <c r="CB171">
        <v>5.12</v>
      </c>
      <c r="CC171">
        <v>1.79</v>
      </c>
      <c r="CD171">
        <v>0.43</v>
      </c>
      <c r="CE171">
        <v>0.09</v>
      </c>
      <c r="CF171">
        <v>0.05</v>
      </c>
      <c r="CG171">
        <v>0.09</v>
      </c>
      <c r="CH171">
        <v>0.04</v>
      </c>
      <c r="CI171">
        <v>-0.05</v>
      </c>
      <c r="CJ171">
        <v>-0.04</v>
      </c>
      <c r="CK171">
        <v>-0.06</v>
      </c>
      <c r="CL171">
        <v>14.29</v>
      </c>
      <c r="CM171">
        <v>0.21</v>
      </c>
      <c r="CN171">
        <v>-1.71</v>
      </c>
      <c r="CO171">
        <v>24986</v>
      </c>
      <c r="CP171">
        <v>17338</v>
      </c>
      <c r="CQ171" t="s">
        <v>1311</v>
      </c>
      <c r="CR171">
        <v>89.62</v>
      </c>
      <c r="CS171">
        <v>102.94</v>
      </c>
      <c r="CT171">
        <v>0.75</v>
      </c>
      <c r="CU171">
        <v>111.87</v>
      </c>
      <c r="CV171">
        <v>13.21</v>
      </c>
      <c r="CW171">
        <v>0</v>
      </c>
      <c r="CX171" t="s">
        <v>1312</v>
      </c>
      <c r="CY171">
        <v>4.1900000000000004</v>
      </c>
      <c r="CZ171">
        <v>0</v>
      </c>
      <c r="DA171">
        <v>0.68</v>
      </c>
      <c r="DB171">
        <v>1.91</v>
      </c>
      <c r="DC171">
        <v>0.03</v>
      </c>
      <c r="DD171">
        <v>54.73</v>
      </c>
      <c r="DE171" t="s">
        <v>1313</v>
      </c>
      <c r="DF171">
        <v>75.8</v>
      </c>
      <c r="DG171">
        <v>5.19</v>
      </c>
      <c r="DH171">
        <v>-2.97</v>
      </c>
      <c r="DI171" t="s">
        <v>120</v>
      </c>
      <c r="DJ171">
        <v>107</v>
      </c>
      <c r="DK171">
        <v>608</v>
      </c>
      <c r="DL171" t="s">
        <v>120</v>
      </c>
      <c r="DM171" t="s">
        <v>120</v>
      </c>
      <c r="DN171" t="s">
        <v>120</v>
      </c>
    </row>
    <row r="172" spans="1:118">
      <c r="A172" t="str">
        <f>"000610"</f>
        <v>000610</v>
      </c>
      <c r="B172" t="s">
        <v>1314</v>
      </c>
      <c r="C172">
        <v>-0.8</v>
      </c>
      <c r="D172">
        <v>0.12</v>
      </c>
      <c r="E172">
        <v>-0.34</v>
      </c>
      <c r="F172">
        <v>1238</v>
      </c>
      <c r="G172" t="s">
        <v>1315</v>
      </c>
      <c r="H172">
        <v>8326.2800000000007</v>
      </c>
      <c r="I172">
        <v>76.47</v>
      </c>
      <c r="J172" t="s">
        <v>120</v>
      </c>
      <c r="K172" t="s">
        <v>1316</v>
      </c>
      <c r="L172">
        <v>4.07</v>
      </c>
      <c r="M172">
        <v>8.66</v>
      </c>
      <c r="N172">
        <v>0.44</v>
      </c>
      <c r="O172">
        <v>1.37</v>
      </c>
      <c r="P172">
        <v>8.85</v>
      </c>
      <c r="Q172">
        <v>-1.26</v>
      </c>
      <c r="R172">
        <v>8.6199999999999992</v>
      </c>
      <c r="S172">
        <v>8.6999999999999993</v>
      </c>
      <c r="T172">
        <v>95743</v>
      </c>
      <c r="U172">
        <v>8.66</v>
      </c>
      <c r="V172">
        <v>8.73</v>
      </c>
      <c r="W172" t="s">
        <v>120</v>
      </c>
      <c r="X172" t="s">
        <v>1317</v>
      </c>
      <c r="Y172" t="s">
        <v>890</v>
      </c>
      <c r="Z172">
        <v>2.63</v>
      </c>
      <c r="AA172">
        <v>8.6999999999999993</v>
      </c>
      <c r="AB172">
        <v>50932</v>
      </c>
      <c r="AC172">
        <v>44811</v>
      </c>
      <c r="AD172">
        <v>1.1399999999999999</v>
      </c>
      <c r="AE172">
        <v>866</v>
      </c>
      <c r="AF172">
        <v>899</v>
      </c>
      <c r="AG172" t="s">
        <v>120</v>
      </c>
      <c r="AH172">
        <v>0.06</v>
      </c>
      <c r="AI172" t="s">
        <v>120</v>
      </c>
      <c r="AJ172">
        <v>2.35</v>
      </c>
      <c r="AK172" t="s">
        <v>1318</v>
      </c>
      <c r="AL172">
        <v>1.1100000000000001</v>
      </c>
      <c r="AM172">
        <v>2237</v>
      </c>
      <c r="AN172">
        <v>43</v>
      </c>
      <c r="AO172">
        <v>1.8E-3</v>
      </c>
      <c r="AP172">
        <v>-2</v>
      </c>
      <c r="AQ172">
        <v>-2.13</v>
      </c>
      <c r="AR172">
        <v>-2.25</v>
      </c>
      <c r="AS172">
        <v>-3.56</v>
      </c>
      <c r="AT172">
        <v>-12.08</v>
      </c>
      <c r="AU172">
        <v>4.49</v>
      </c>
      <c r="AV172">
        <v>1</v>
      </c>
      <c r="AW172">
        <v>6.02</v>
      </c>
      <c r="AX172">
        <v>67.14</v>
      </c>
      <c r="AY172">
        <v>53.79</v>
      </c>
      <c r="AZ172">
        <v>55</v>
      </c>
      <c r="BA172">
        <v>0.2</v>
      </c>
      <c r="BB172" t="s">
        <v>143</v>
      </c>
      <c r="BF172">
        <v>-0.38</v>
      </c>
      <c r="BG172">
        <v>-0.46</v>
      </c>
      <c r="BH172">
        <v>-2.15</v>
      </c>
      <c r="BI172">
        <v>0.46</v>
      </c>
      <c r="BJ172">
        <v>20210814</v>
      </c>
      <c r="BK172">
        <v>19960926</v>
      </c>
      <c r="BL172">
        <v>2.37</v>
      </c>
      <c r="BM172" t="s">
        <v>120</v>
      </c>
      <c r="BN172" t="s">
        <v>120</v>
      </c>
      <c r="BO172">
        <v>18.649999999999999</v>
      </c>
      <c r="BP172">
        <v>8.65</v>
      </c>
      <c r="BQ172">
        <v>8.7100000000000009</v>
      </c>
      <c r="BR172">
        <v>0.14000000000000001</v>
      </c>
      <c r="BS172">
        <v>52.59</v>
      </c>
      <c r="BT172">
        <v>8.73</v>
      </c>
      <c r="BU172">
        <v>2.06</v>
      </c>
      <c r="BV172">
        <v>0.54</v>
      </c>
      <c r="BW172">
        <v>5.32</v>
      </c>
      <c r="BX172">
        <v>4.01</v>
      </c>
      <c r="BY172">
        <v>1.1000000000000001</v>
      </c>
      <c r="BZ172">
        <v>0.19</v>
      </c>
      <c r="CA172">
        <v>0.08</v>
      </c>
      <c r="CB172">
        <v>3.95</v>
      </c>
      <c r="CC172">
        <v>2.5099999999999998</v>
      </c>
      <c r="CD172">
        <v>2.2000000000000002</v>
      </c>
      <c r="CE172">
        <v>-0.17</v>
      </c>
      <c r="CF172">
        <v>0.08</v>
      </c>
      <c r="CG172">
        <v>-0.17</v>
      </c>
      <c r="CH172">
        <v>-0.17</v>
      </c>
      <c r="CI172">
        <v>-0.18</v>
      </c>
      <c r="CJ172">
        <v>-7.0000000000000007E-2</v>
      </c>
      <c r="CK172">
        <v>-0.27</v>
      </c>
      <c r="CL172">
        <v>1.9</v>
      </c>
      <c r="CM172">
        <v>-1.1499999999999999</v>
      </c>
      <c r="CN172">
        <v>0.93</v>
      </c>
      <c r="CO172">
        <v>49868</v>
      </c>
      <c r="CP172">
        <v>3187</v>
      </c>
      <c r="CQ172" t="s">
        <v>1319</v>
      </c>
      <c r="CR172">
        <v>4.51</v>
      </c>
      <c r="CS172">
        <v>138.72999999999999</v>
      </c>
      <c r="CT172">
        <v>2.35</v>
      </c>
      <c r="CU172">
        <v>-17.88</v>
      </c>
      <c r="CV172">
        <v>8.16</v>
      </c>
      <c r="CW172">
        <v>0.14000000000000001</v>
      </c>
      <c r="CX172" t="s">
        <v>1320</v>
      </c>
      <c r="CY172">
        <v>3.68</v>
      </c>
      <c r="CZ172">
        <v>0</v>
      </c>
      <c r="DA172">
        <v>1.67</v>
      </c>
      <c r="DB172">
        <v>0.8</v>
      </c>
      <c r="DC172">
        <v>-0.48</v>
      </c>
      <c r="DD172">
        <v>46.67</v>
      </c>
      <c r="DE172" t="s">
        <v>1321</v>
      </c>
      <c r="DF172">
        <v>12.27</v>
      </c>
      <c r="DG172">
        <v>-6.69</v>
      </c>
      <c r="DH172">
        <v>-7.16</v>
      </c>
      <c r="DI172" t="s">
        <v>120</v>
      </c>
      <c r="DJ172">
        <v>491</v>
      </c>
      <c r="DK172">
        <v>610</v>
      </c>
      <c r="DL172" t="s">
        <v>120</v>
      </c>
      <c r="DM172" t="s">
        <v>120</v>
      </c>
      <c r="DN172" t="s">
        <v>120</v>
      </c>
    </row>
    <row r="173" spans="1:118">
      <c r="A173" t="str">
        <f>"000612"</f>
        <v>000612</v>
      </c>
      <c r="B173" t="s">
        <v>1322</v>
      </c>
      <c r="C173">
        <v>-2.74</v>
      </c>
      <c r="D173">
        <v>0.19</v>
      </c>
      <c r="E173">
        <v>0.66</v>
      </c>
      <c r="F173">
        <v>7458</v>
      </c>
      <c r="G173" t="s">
        <v>1323</v>
      </c>
      <c r="H173">
        <v>93818.46</v>
      </c>
      <c r="I173">
        <v>494.42</v>
      </c>
      <c r="J173" t="s">
        <v>120</v>
      </c>
      <c r="K173" t="s">
        <v>1324</v>
      </c>
      <c r="L173">
        <v>7.42</v>
      </c>
      <c r="M173">
        <v>10.31</v>
      </c>
      <c r="N173">
        <v>0.72</v>
      </c>
      <c r="O173">
        <v>3.49</v>
      </c>
      <c r="P173">
        <v>10.97</v>
      </c>
      <c r="Q173">
        <v>-3.02</v>
      </c>
      <c r="R173">
        <v>10.28</v>
      </c>
      <c r="S173">
        <v>10.67</v>
      </c>
      <c r="T173">
        <v>883510</v>
      </c>
      <c r="U173">
        <v>10.31</v>
      </c>
      <c r="V173">
        <v>10.6</v>
      </c>
      <c r="W173">
        <v>12.17</v>
      </c>
      <c r="X173" t="s">
        <v>1325</v>
      </c>
      <c r="Y173" t="s">
        <v>645</v>
      </c>
      <c r="Z173">
        <v>6.51</v>
      </c>
      <c r="AA173">
        <v>10.62</v>
      </c>
      <c r="AB173">
        <v>421920</v>
      </c>
      <c r="AC173">
        <v>461590</v>
      </c>
      <c r="AD173">
        <v>0.91</v>
      </c>
      <c r="AE173">
        <v>685</v>
      </c>
      <c r="AF173">
        <v>914</v>
      </c>
      <c r="AG173" t="s">
        <v>120</v>
      </c>
      <c r="AH173">
        <v>7.0000000000000007E-2</v>
      </c>
      <c r="AI173" t="s">
        <v>120</v>
      </c>
      <c r="AJ173">
        <v>11.91</v>
      </c>
      <c r="AK173" t="s">
        <v>1326</v>
      </c>
      <c r="AL173">
        <v>-0.82</v>
      </c>
      <c r="AM173">
        <v>4497</v>
      </c>
      <c r="AN173">
        <v>196</v>
      </c>
      <c r="AO173">
        <v>1.6999999999999999E-3</v>
      </c>
      <c r="AP173">
        <v>-1</v>
      </c>
      <c r="AQ173">
        <v>1.34</v>
      </c>
      <c r="AR173">
        <v>-9.7200000000000006</v>
      </c>
      <c r="AS173">
        <v>19.89</v>
      </c>
      <c r="AT173">
        <v>44.4</v>
      </c>
      <c r="AU173">
        <v>47.92</v>
      </c>
      <c r="AV173">
        <v>11</v>
      </c>
      <c r="AW173">
        <v>12.55</v>
      </c>
      <c r="AX173">
        <v>59.03</v>
      </c>
      <c r="AY173">
        <v>13.71</v>
      </c>
      <c r="AZ173">
        <v>22.25</v>
      </c>
      <c r="BA173">
        <v>0.74</v>
      </c>
      <c r="BB173" t="s">
        <v>143</v>
      </c>
      <c r="BF173">
        <v>0.18</v>
      </c>
      <c r="BG173">
        <v>-3.37</v>
      </c>
      <c r="BH173">
        <v>-6.02</v>
      </c>
      <c r="BI173">
        <v>0.28999999999999998</v>
      </c>
      <c r="BJ173">
        <v>20210821</v>
      </c>
      <c r="BK173">
        <v>19960926</v>
      </c>
      <c r="BL173">
        <v>11.92</v>
      </c>
      <c r="BM173" t="s">
        <v>120</v>
      </c>
      <c r="BN173" t="s">
        <v>120</v>
      </c>
      <c r="BO173">
        <v>75.47</v>
      </c>
      <c r="BP173">
        <v>10.3</v>
      </c>
      <c r="BQ173">
        <v>52.67</v>
      </c>
      <c r="BR173" t="s">
        <v>120</v>
      </c>
      <c r="BS173">
        <v>30.21</v>
      </c>
      <c r="BT173">
        <v>20.38</v>
      </c>
      <c r="BU173">
        <v>23.4</v>
      </c>
      <c r="BV173">
        <v>0.92</v>
      </c>
      <c r="BW173">
        <v>18.940000000000001</v>
      </c>
      <c r="BX173">
        <v>14.12</v>
      </c>
      <c r="BY173">
        <v>4.43</v>
      </c>
      <c r="BZ173">
        <v>0.01</v>
      </c>
      <c r="CA173" t="s">
        <v>120</v>
      </c>
      <c r="CB173">
        <v>16.41</v>
      </c>
      <c r="CC173">
        <v>31.83</v>
      </c>
      <c r="CD173">
        <v>24.56</v>
      </c>
      <c r="CE173">
        <v>6.55</v>
      </c>
      <c r="CF173">
        <v>0.01</v>
      </c>
      <c r="CG173">
        <v>6.54</v>
      </c>
      <c r="CH173">
        <v>5.05</v>
      </c>
      <c r="CI173">
        <v>5.05</v>
      </c>
      <c r="CJ173">
        <v>-0.28999999999999998</v>
      </c>
      <c r="CK173">
        <v>5.34</v>
      </c>
      <c r="CL173">
        <v>20.22</v>
      </c>
      <c r="CM173">
        <v>9.68</v>
      </c>
      <c r="CN173">
        <v>5.55</v>
      </c>
      <c r="CO173">
        <v>110176</v>
      </c>
      <c r="CP173">
        <v>6387</v>
      </c>
      <c r="CQ173" t="s">
        <v>418</v>
      </c>
      <c r="CR173">
        <v>233.9</v>
      </c>
      <c r="CS173">
        <v>39.380000000000003</v>
      </c>
      <c r="CT173">
        <v>2.33</v>
      </c>
      <c r="CU173">
        <v>12.7</v>
      </c>
      <c r="CV173">
        <v>3.86</v>
      </c>
      <c r="CW173">
        <v>0.47</v>
      </c>
      <c r="CX173" t="s">
        <v>1327</v>
      </c>
      <c r="CY173">
        <v>4.42</v>
      </c>
      <c r="CZ173">
        <v>0</v>
      </c>
      <c r="DA173">
        <v>1.38</v>
      </c>
      <c r="DB173">
        <v>1.7</v>
      </c>
      <c r="DC173">
        <v>0.81</v>
      </c>
      <c r="DD173">
        <v>69.790000000000006</v>
      </c>
      <c r="DE173" t="s">
        <v>1328</v>
      </c>
      <c r="DF173">
        <v>22.82</v>
      </c>
      <c r="DG173">
        <v>20.57</v>
      </c>
      <c r="DH173">
        <v>15.87</v>
      </c>
      <c r="DI173">
        <v>0</v>
      </c>
      <c r="DJ173">
        <v>2407</v>
      </c>
      <c r="DK173">
        <v>612</v>
      </c>
      <c r="DL173" t="s">
        <v>120</v>
      </c>
      <c r="DM173" t="s">
        <v>120</v>
      </c>
      <c r="DN173" t="s">
        <v>120</v>
      </c>
    </row>
    <row r="174" spans="1:118">
      <c r="A174" t="str">
        <f>"000615"</f>
        <v>000615</v>
      </c>
      <c r="B174" t="s">
        <v>1329</v>
      </c>
      <c r="C174">
        <v>7.0000000000000007E-2</v>
      </c>
      <c r="D174">
        <v>-0.06</v>
      </c>
      <c r="E174">
        <v>-0.15</v>
      </c>
      <c r="F174">
        <v>1515</v>
      </c>
      <c r="G174" t="s">
        <v>1330</v>
      </c>
      <c r="H174">
        <v>27843.67</v>
      </c>
      <c r="I174">
        <v>68.38</v>
      </c>
      <c r="J174" t="s">
        <v>120</v>
      </c>
      <c r="K174" t="s">
        <v>1331</v>
      </c>
      <c r="L174">
        <v>2.68</v>
      </c>
      <c r="M174">
        <v>13.36</v>
      </c>
      <c r="N174">
        <v>1</v>
      </c>
      <c r="O174">
        <v>3.75</v>
      </c>
      <c r="P174">
        <v>13.85</v>
      </c>
      <c r="Q174">
        <v>-0.45</v>
      </c>
      <c r="R174">
        <v>13.29</v>
      </c>
      <c r="S174">
        <v>13.33</v>
      </c>
      <c r="T174">
        <v>206682</v>
      </c>
      <c r="U174">
        <v>13.37</v>
      </c>
      <c r="V174">
        <v>13.35</v>
      </c>
      <c r="W174">
        <v>104.1</v>
      </c>
      <c r="X174" t="s">
        <v>150</v>
      </c>
      <c r="Y174" t="s">
        <v>763</v>
      </c>
      <c r="Z174">
        <v>4.1900000000000004</v>
      </c>
      <c r="AA174">
        <v>13.47</v>
      </c>
      <c r="AB174">
        <v>102397</v>
      </c>
      <c r="AC174">
        <v>104285</v>
      </c>
      <c r="AD174">
        <v>0.98</v>
      </c>
      <c r="AE174">
        <v>1230</v>
      </c>
      <c r="AF174">
        <v>555</v>
      </c>
      <c r="AG174" t="s">
        <v>120</v>
      </c>
      <c r="AH174">
        <v>0.01</v>
      </c>
      <c r="AI174" t="s">
        <v>120</v>
      </c>
      <c r="AJ174">
        <v>7.73</v>
      </c>
      <c r="AK174" t="s">
        <v>1332</v>
      </c>
      <c r="AL174">
        <v>1.99</v>
      </c>
      <c r="AM174">
        <v>3831</v>
      </c>
      <c r="AN174">
        <v>54</v>
      </c>
      <c r="AO174">
        <v>6.9999999999999999E-4</v>
      </c>
      <c r="AP174">
        <v>1</v>
      </c>
      <c r="AQ174">
        <v>-1.33</v>
      </c>
      <c r="AR174">
        <v>-2.48</v>
      </c>
      <c r="AS174">
        <v>-1.77</v>
      </c>
      <c r="AT174">
        <v>-36.1</v>
      </c>
      <c r="AU174">
        <v>75.790000000000006</v>
      </c>
      <c r="AV174">
        <v>16</v>
      </c>
      <c r="AW174">
        <v>4.63</v>
      </c>
      <c r="AX174">
        <v>57.16</v>
      </c>
      <c r="AY174">
        <v>96.23</v>
      </c>
      <c r="AZ174" t="s">
        <v>120</v>
      </c>
      <c r="BA174">
        <v>0.78</v>
      </c>
      <c r="BB174" t="s">
        <v>143</v>
      </c>
      <c r="BF174">
        <v>0.91</v>
      </c>
      <c r="BG174">
        <v>0.23</v>
      </c>
      <c r="BH174">
        <v>-3.54</v>
      </c>
      <c r="BI174">
        <v>0.53</v>
      </c>
      <c r="BJ174">
        <v>20210830</v>
      </c>
      <c r="BK174">
        <v>19961016</v>
      </c>
      <c r="BL174">
        <v>7.81</v>
      </c>
      <c r="BM174" t="s">
        <v>120</v>
      </c>
      <c r="BN174" t="s">
        <v>120</v>
      </c>
      <c r="BO174">
        <v>109.41</v>
      </c>
      <c r="BP174">
        <v>13.36</v>
      </c>
      <c r="BQ174">
        <v>17.63</v>
      </c>
      <c r="BR174">
        <v>12.93</v>
      </c>
      <c r="BS174">
        <v>72.069999999999993</v>
      </c>
      <c r="BT174">
        <v>67.72</v>
      </c>
      <c r="BU174">
        <v>5.49</v>
      </c>
      <c r="BV174">
        <v>12.1</v>
      </c>
      <c r="BW174">
        <v>43.73</v>
      </c>
      <c r="BX174">
        <v>5.46</v>
      </c>
      <c r="BY174">
        <v>53</v>
      </c>
      <c r="BZ174">
        <v>1.64</v>
      </c>
      <c r="CA174" t="s">
        <v>120</v>
      </c>
      <c r="CB174">
        <v>0.03</v>
      </c>
      <c r="CC174">
        <v>11.67</v>
      </c>
      <c r="CD174">
        <v>8.44</v>
      </c>
      <c r="CE174">
        <v>0.5</v>
      </c>
      <c r="CF174">
        <v>0.01</v>
      </c>
      <c r="CG174">
        <v>0.46</v>
      </c>
      <c r="CH174">
        <v>0.43</v>
      </c>
      <c r="CI174">
        <v>0.5</v>
      </c>
      <c r="CJ174">
        <v>0.01</v>
      </c>
      <c r="CK174">
        <v>0.47</v>
      </c>
      <c r="CL174">
        <v>10.51</v>
      </c>
      <c r="CM174">
        <v>-1.98</v>
      </c>
      <c r="CN174">
        <v>0.81</v>
      </c>
      <c r="CO174">
        <v>85485</v>
      </c>
      <c r="CP174">
        <v>5223</v>
      </c>
      <c r="CQ174" t="s">
        <v>1333</v>
      </c>
      <c r="CR174">
        <v>125.97</v>
      </c>
      <c r="CS174">
        <v>291.06</v>
      </c>
      <c r="CT174">
        <v>5.92</v>
      </c>
      <c r="CU174">
        <v>-52.69</v>
      </c>
      <c r="CV174">
        <v>8.94</v>
      </c>
      <c r="CW174">
        <v>0</v>
      </c>
      <c r="CX174" t="s">
        <v>1334</v>
      </c>
      <c r="CY174">
        <v>2.2599999999999998</v>
      </c>
      <c r="CZ174">
        <v>0</v>
      </c>
      <c r="DA174">
        <v>0</v>
      </c>
      <c r="DB174">
        <v>1.35</v>
      </c>
      <c r="DC174">
        <v>-0.25</v>
      </c>
      <c r="DD174">
        <v>16.11</v>
      </c>
      <c r="DE174" t="s">
        <v>1335</v>
      </c>
      <c r="DF174">
        <v>27.62</v>
      </c>
      <c r="DG174">
        <v>4.25</v>
      </c>
      <c r="DH174">
        <v>4.3</v>
      </c>
      <c r="DI174">
        <v>0.13</v>
      </c>
      <c r="DJ174">
        <v>3565</v>
      </c>
      <c r="DK174">
        <v>615</v>
      </c>
      <c r="DL174" t="s">
        <v>120</v>
      </c>
      <c r="DM174" t="s">
        <v>120</v>
      </c>
      <c r="DN174" t="s">
        <v>120</v>
      </c>
    </row>
    <row r="175" spans="1:118">
      <c r="A175" t="str">
        <f>"000617"</f>
        <v>000617</v>
      </c>
      <c r="B175" t="s">
        <v>1336</v>
      </c>
      <c r="C175">
        <v>-0.89</v>
      </c>
      <c r="D175">
        <v>0.18</v>
      </c>
      <c r="E175">
        <v>0.71</v>
      </c>
      <c r="F175">
        <v>2483</v>
      </c>
      <c r="G175" t="s">
        <v>1337</v>
      </c>
      <c r="H175">
        <v>8667.66</v>
      </c>
      <c r="I175">
        <v>45.88</v>
      </c>
      <c r="J175" t="s">
        <v>120</v>
      </c>
      <c r="K175" t="s">
        <v>1338</v>
      </c>
      <c r="L175">
        <v>0.12</v>
      </c>
      <c r="M175">
        <v>5.56</v>
      </c>
      <c r="N175">
        <v>0.7</v>
      </c>
      <c r="O175">
        <v>1.6</v>
      </c>
      <c r="P175">
        <v>5.7</v>
      </c>
      <c r="Q175">
        <v>-1.43</v>
      </c>
      <c r="R175">
        <v>5.53</v>
      </c>
      <c r="S175">
        <v>5.65</v>
      </c>
      <c r="T175">
        <v>154441</v>
      </c>
      <c r="U175">
        <v>5.56</v>
      </c>
      <c r="V175">
        <v>5.61</v>
      </c>
      <c r="W175">
        <v>9.41</v>
      </c>
      <c r="X175" t="s">
        <v>721</v>
      </c>
      <c r="Y175" t="s">
        <v>609</v>
      </c>
      <c r="Z175">
        <v>3.03</v>
      </c>
      <c r="AA175">
        <v>5.61</v>
      </c>
      <c r="AB175">
        <v>86273</v>
      </c>
      <c r="AC175">
        <v>68168</v>
      </c>
      <c r="AD175">
        <v>1.27</v>
      </c>
      <c r="AE175">
        <v>162</v>
      </c>
      <c r="AF175">
        <v>804</v>
      </c>
      <c r="AG175" t="s">
        <v>120</v>
      </c>
      <c r="AH175">
        <v>0</v>
      </c>
      <c r="AI175" t="s">
        <v>120</v>
      </c>
      <c r="AJ175">
        <v>126.42</v>
      </c>
      <c r="AK175" t="s">
        <v>1338</v>
      </c>
      <c r="AL175">
        <v>1.02</v>
      </c>
      <c r="AM175">
        <v>1965</v>
      </c>
      <c r="AN175">
        <v>79</v>
      </c>
      <c r="AO175">
        <v>1E-4</v>
      </c>
      <c r="AP175">
        <v>-1</v>
      </c>
      <c r="AQ175">
        <v>0.18</v>
      </c>
      <c r="AR175">
        <v>-1.77</v>
      </c>
      <c r="AS175">
        <v>4.51</v>
      </c>
      <c r="AT175">
        <v>-4.68</v>
      </c>
      <c r="AU175">
        <v>-15.67</v>
      </c>
      <c r="AV175">
        <v>2</v>
      </c>
      <c r="AW175">
        <v>0.73</v>
      </c>
      <c r="AX175">
        <v>16.690000000000001</v>
      </c>
      <c r="AY175">
        <v>9.75</v>
      </c>
      <c r="AZ175">
        <v>9.0399999999999991</v>
      </c>
      <c r="BA175">
        <v>0.32</v>
      </c>
      <c r="BB175" t="s">
        <v>143</v>
      </c>
      <c r="BF175">
        <v>0.04</v>
      </c>
      <c r="BG175">
        <v>-1.59</v>
      </c>
      <c r="BH175">
        <v>-2.46</v>
      </c>
      <c r="BI175">
        <v>0.54</v>
      </c>
      <c r="BJ175">
        <v>20210905</v>
      </c>
      <c r="BK175">
        <v>19961022</v>
      </c>
      <c r="BL175">
        <v>126.42</v>
      </c>
      <c r="BM175" t="s">
        <v>120</v>
      </c>
      <c r="BN175" t="s">
        <v>120</v>
      </c>
      <c r="BO175">
        <v>9369.0400000000009</v>
      </c>
      <c r="BP175">
        <v>5.55</v>
      </c>
      <c r="BQ175">
        <v>904.25</v>
      </c>
      <c r="BR175">
        <v>742.72</v>
      </c>
      <c r="BS175">
        <v>82.42</v>
      </c>
      <c r="BT175">
        <v>5301.62</v>
      </c>
      <c r="BU175">
        <v>99.43</v>
      </c>
      <c r="BV175">
        <v>5.51</v>
      </c>
      <c r="BW175">
        <v>7430.15</v>
      </c>
      <c r="BX175">
        <v>404.76</v>
      </c>
      <c r="BY175">
        <v>0</v>
      </c>
      <c r="BZ175">
        <v>0.59</v>
      </c>
      <c r="CA175">
        <v>11.96</v>
      </c>
      <c r="CB175">
        <v>350.48</v>
      </c>
      <c r="CC175">
        <v>3.64</v>
      </c>
      <c r="CD175">
        <v>2.4900000000000002</v>
      </c>
      <c r="CE175">
        <v>82.62</v>
      </c>
      <c r="CF175">
        <v>20.69</v>
      </c>
      <c r="CG175">
        <v>82.56</v>
      </c>
      <c r="CH175">
        <v>68.709999999999994</v>
      </c>
      <c r="CI175">
        <v>37.35</v>
      </c>
      <c r="CJ175">
        <v>-0.05</v>
      </c>
      <c r="CK175">
        <v>36.74</v>
      </c>
      <c r="CL175">
        <v>290.24</v>
      </c>
      <c r="CM175">
        <v>-344.63</v>
      </c>
      <c r="CN175">
        <v>-276.69</v>
      </c>
      <c r="CO175">
        <v>42065</v>
      </c>
      <c r="CP175">
        <v>50164</v>
      </c>
      <c r="CQ175" t="s">
        <v>1339</v>
      </c>
      <c r="CR175">
        <v>-13.27</v>
      </c>
      <c r="CS175">
        <v>-14.56</v>
      </c>
      <c r="CT175">
        <v>0.78</v>
      </c>
      <c r="CU175">
        <v>-2.04</v>
      </c>
      <c r="CV175">
        <v>193.3</v>
      </c>
      <c r="CW175">
        <v>3.33</v>
      </c>
      <c r="CX175" t="s">
        <v>1340</v>
      </c>
      <c r="CY175">
        <v>7.15</v>
      </c>
      <c r="CZ175">
        <v>0</v>
      </c>
      <c r="DA175">
        <v>2.77</v>
      </c>
      <c r="DB175">
        <v>2.2999999999999998</v>
      </c>
      <c r="DC175">
        <v>-2.73</v>
      </c>
      <c r="DD175">
        <v>9.65</v>
      </c>
      <c r="DE175" t="s">
        <v>1175</v>
      </c>
      <c r="DF175">
        <v>31.49</v>
      </c>
      <c r="DG175">
        <v>2271.9899999999998</v>
      </c>
      <c r="DH175">
        <v>1027.1500000000001</v>
      </c>
      <c r="DI175" t="s">
        <v>120</v>
      </c>
      <c r="DJ175">
        <v>4405</v>
      </c>
      <c r="DK175">
        <v>617</v>
      </c>
      <c r="DL175" t="s">
        <v>120</v>
      </c>
      <c r="DM175" t="s">
        <v>120</v>
      </c>
      <c r="DN175" t="s">
        <v>120</v>
      </c>
    </row>
    <row r="176" spans="1:118">
      <c r="A176" t="str">
        <f>"000619"</f>
        <v>000619</v>
      </c>
      <c r="B176" t="s">
        <v>1341</v>
      </c>
      <c r="C176">
        <v>0.56000000000000005</v>
      </c>
      <c r="D176">
        <v>0</v>
      </c>
      <c r="E176">
        <v>0</v>
      </c>
      <c r="F176">
        <v>823</v>
      </c>
      <c r="G176" t="s">
        <v>1342</v>
      </c>
      <c r="H176">
        <v>2293.71</v>
      </c>
      <c r="I176">
        <v>3.51</v>
      </c>
      <c r="J176" t="s">
        <v>120</v>
      </c>
      <c r="K176" t="s">
        <v>1343</v>
      </c>
      <c r="L176">
        <v>1.18</v>
      </c>
      <c r="M176">
        <v>5.35</v>
      </c>
      <c r="N176">
        <v>1.1000000000000001</v>
      </c>
      <c r="O176">
        <v>1.88</v>
      </c>
      <c r="P176">
        <v>5.42</v>
      </c>
      <c r="Q176">
        <v>-0.38</v>
      </c>
      <c r="R176">
        <v>5.3</v>
      </c>
      <c r="S176">
        <v>5.32</v>
      </c>
      <c r="T176">
        <v>42625</v>
      </c>
      <c r="U176">
        <v>5.36</v>
      </c>
      <c r="V176">
        <v>5.32</v>
      </c>
      <c r="W176" t="s">
        <v>120</v>
      </c>
      <c r="X176" t="s">
        <v>247</v>
      </c>
      <c r="Y176" t="s">
        <v>570</v>
      </c>
      <c r="Z176">
        <v>2.2599999999999998</v>
      </c>
      <c r="AA176">
        <v>5.38</v>
      </c>
      <c r="AB176">
        <v>21020</v>
      </c>
      <c r="AC176">
        <v>21605</v>
      </c>
      <c r="AD176">
        <v>0.97</v>
      </c>
      <c r="AE176">
        <v>149</v>
      </c>
      <c r="AF176">
        <v>633</v>
      </c>
      <c r="AG176" t="s">
        <v>120</v>
      </c>
      <c r="AH176">
        <v>0</v>
      </c>
      <c r="AI176" t="s">
        <v>120</v>
      </c>
      <c r="AJ176">
        <v>3.6</v>
      </c>
      <c r="AK176" t="s">
        <v>1343</v>
      </c>
      <c r="AL176">
        <v>2.48</v>
      </c>
      <c r="AM176">
        <v>958</v>
      </c>
      <c r="AN176">
        <v>44</v>
      </c>
      <c r="AO176">
        <v>1.1999999999999999E-3</v>
      </c>
      <c r="AP176">
        <v>2</v>
      </c>
      <c r="AQ176">
        <v>0.95</v>
      </c>
      <c r="AR176">
        <v>-0.37</v>
      </c>
      <c r="AS176">
        <v>5.52</v>
      </c>
      <c r="AT176">
        <v>5.1100000000000003</v>
      </c>
      <c r="AU176">
        <v>-10.24</v>
      </c>
      <c r="AV176">
        <v>2</v>
      </c>
      <c r="AW176">
        <v>1.78</v>
      </c>
      <c r="AX176">
        <v>66.56</v>
      </c>
      <c r="AY176">
        <v>94.91</v>
      </c>
      <c r="AZ176">
        <v>59.19</v>
      </c>
      <c r="BA176">
        <v>0.13</v>
      </c>
      <c r="BB176" t="s">
        <v>143</v>
      </c>
      <c r="BF176">
        <v>1.1499999999999999</v>
      </c>
      <c r="BG176">
        <v>0.56000000000000005</v>
      </c>
      <c r="BH176">
        <v>-1.29</v>
      </c>
      <c r="BI176">
        <v>0.94</v>
      </c>
      <c r="BJ176">
        <v>20210821</v>
      </c>
      <c r="BK176">
        <v>19961023</v>
      </c>
      <c r="BL176">
        <v>3.6</v>
      </c>
      <c r="BM176" t="s">
        <v>120</v>
      </c>
      <c r="BN176" t="s">
        <v>120</v>
      </c>
      <c r="BO176">
        <v>49.3</v>
      </c>
      <c r="BP176">
        <v>5.35</v>
      </c>
      <c r="BQ176">
        <v>24.59</v>
      </c>
      <c r="BR176">
        <v>4</v>
      </c>
      <c r="BS176">
        <v>42.02</v>
      </c>
      <c r="BT176">
        <v>29.62</v>
      </c>
      <c r="BU176">
        <v>12.65</v>
      </c>
      <c r="BV176">
        <v>3.4</v>
      </c>
      <c r="BW176">
        <v>17.98</v>
      </c>
      <c r="BX176">
        <v>6.07</v>
      </c>
      <c r="BY176">
        <v>6.17</v>
      </c>
      <c r="BZ176">
        <v>5.43</v>
      </c>
      <c r="CA176" t="s">
        <v>120</v>
      </c>
      <c r="CB176">
        <v>4.41</v>
      </c>
      <c r="CC176">
        <v>22.87</v>
      </c>
      <c r="CD176">
        <v>20.79</v>
      </c>
      <c r="CE176">
        <v>0.02</v>
      </c>
      <c r="CF176">
        <v>0.01</v>
      </c>
      <c r="CG176">
        <v>0.03</v>
      </c>
      <c r="CH176">
        <v>-0.03</v>
      </c>
      <c r="CI176">
        <v>-0.08</v>
      </c>
      <c r="CJ176">
        <v>0.03</v>
      </c>
      <c r="CK176">
        <v>-0.18</v>
      </c>
      <c r="CL176">
        <v>13.85</v>
      </c>
      <c r="CM176">
        <v>-0.56000000000000005</v>
      </c>
      <c r="CN176">
        <v>-0.4</v>
      </c>
      <c r="CO176">
        <v>25225</v>
      </c>
      <c r="CP176">
        <v>9499</v>
      </c>
      <c r="CQ176" t="s">
        <v>729</v>
      </c>
      <c r="CR176">
        <v>-300.29000000000002</v>
      </c>
      <c r="CS176">
        <v>41.52</v>
      </c>
      <c r="CT176">
        <v>0.78</v>
      </c>
      <c r="CU176">
        <v>-34.590000000000003</v>
      </c>
      <c r="CV176">
        <v>0.84</v>
      </c>
      <c r="CW176">
        <v>0.94</v>
      </c>
      <c r="CX176" t="s">
        <v>1344</v>
      </c>
      <c r="CY176">
        <v>6.83</v>
      </c>
      <c r="CZ176">
        <v>0</v>
      </c>
      <c r="DA176">
        <v>1.22</v>
      </c>
      <c r="DB176">
        <v>3.85</v>
      </c>
      <c r="DC176">
        <v>-0.15</v>
      </c>
      <c r="DD176">
        <v>49.87</v>
      </c>
      <c r="DE176" t="s">
        <v>1345</v>
      </c>
      <c r="DF176">
        <v>9.1300000000000008</v>
      </c>
      <c r="DG176">
        <v>7.0000000000000007E-2</v>
      </c>
      <c r="DH176">
        <v>-0.36</v>
      </c>
      <c r="DI176">
        <v>0.1</v>
      </c>
      <c r="DJ176">
        <v>4178</v>
      </c>
      <c r="DK176">
        <v>619</v>
      </c>
      <c r="DL176" t="s">
        <v>120</v>
      </c>
      <c r="DM176" t="s">
        <v>120</v>
      </c>
      <c r="DN176" t="s">
        <v>120</v>
      </c>
    </row>
    <row r="177" spans="1:118">
      <c r="A177" t="str">
        <f>"000620"</f>
        <v>000620</v>
      </c>
      <c r="B177" t="s">
        <v>1346</v>
      </c>
      <c r="C177">
        <v>-0.46</v>
      </c>
      <c r="D177">
        <v>-0.45</v>
      </c>
      <c r="E177">
        <v>0.46</v>
      </c>
      <c r="F177">
        <v>522</v>
      </c>
      <c r="G177" t="s">
        <v>1347</v>
      </c>
      <c r="H177">
        <v>2264.9299999999998</v>
      </c>
      <c r="I177">
        <v>2.4700000000000002</v>
      </c>
      <c r="J177" t="s">
        <v>120</v>
      </c>
      <c r="K177" t="s">
        <v>1348</v>
      </c>
      <c r="L177">
        <v>0.55000000000000004</v>
      </c>
      <c r="M177">
        <v>2.15</v>
      </c>
      <c r="N177">
        <v>0.81</v>
      </c>
      <c r="O177">
        <v>2.78</v>
      </c>
      <c r="P177">
        <v>2.2200000000000002</v>
      </c>
      <c r="Q177">
        <v>-0.93</v>
      </c>
      <c r="R177">
        <v>2.14</v>
      </c>
      <c r="S177">
        <v>2.17</v>
      </c>
      <c r="T177">
        <v>103956</v>
      </c>
      <c r="U177">
        <v>2.16</v>
      </c>
      <c r="V177">
        <v>2.16</v>
      </c>
      <c r="W177" t="s">
        <v>120</v>
      </c>
      <c r="X177" t="s">
        <v>132</v>
      </c>
      <c r="Y177" t="s">
        <v>158</v>
      </c>
      <c r="Z177">
        <v>3.7</v>
      </c>
      <c r="AA177">
        <v>2.1800000000000002</v>
      </c>
      <c r="AB177">
        <v>52632</v>
      </c>
      <c r="AC177">
        <v>51324</v>
      </c>
      <c r="AD177">
        <v>1.03</v>
      </c>
      <c r="AE177">
        <v>1184</v>
      </c>
      <c r="AF177">
        <v>291</v>
      </c>
      <c r="AG177" t="s">
        <v>120</v>
      </c>
      <c r="AH177">
        <v>0</v>
      </c>
      <c r="AI177" t="s">
        <v>120</v>
      </c>
      <c r="AJ177">
        <v>18.97</v>
      </c>
      <c r="AK177" t="s">
        <v>1348</v>
      </c>
      <c r="AL177">
        <v>1.45</v>
      </c>
      <c r="AM177">
        <v>1153</v>
      </c>
      <c r="AN177">
        <v>90</v>
      </c>
      <c r="AO177">
        <v>5.0000000000000001E-4</v>
      </c>
      <c r="AP177">
        <v>-3</v>
      </c>
      <c r="AQ177">
        <v>-0.46</v>
      </c>
      <c r="AR177">
        <v>-4.45</v>
      </c>
      <c r="AS177">
        <v>9.69</v>
      </c>
      <c r="AT177">
        <v>-11.52</v>
      </c>
      <c r="AU177">
        <v>-12.25</v>
      </c>
      <c r="AV177">
        <v>8</v>
      </c>
      <c r="AW177">
        <v>1.41</v>
      </c>
      <c r="AX177">
        <v>38.82</v>
      </c>
      <c r="AY177" t="s">
        <v>120</v>
      </c>
      <c r="AZ177" t="s">
        <v>120</v>
      </c>
      <c r="BA177">
        <v>0.1</v>
      </c>
      <c r="BB177" t="s">
        <v>143</v>
      </c>
      <c r="BF177">
        <v>0.87</v>
      </c>
      <c r="BG177">
        <v>-0.92</v>
      </c>
      <c r="BH177">
        <v>-3.15</v>
      </c>
      <c r="BI177">
        <v>0.47</v>
      </c>
      <c r="BJ177">
        <v>20210819</v>
      </c>
      <c r="BK177">
        <v>19961029</v>
      </c>
      <c r="BL177">
        <v>18.97</v>
      </c>
      <c r="BM177" t="s">
        <v>120</v>
      </c>
      <c r="BN177" t="s">
        <v>120</v>
      </c>
      <c r="BO177">
        <v>494.53</v>
      </c>
      <c r="BP177">
        <v>2.15</v>
      </c>
      <c r="BQ177">
        <v>57.71</v>
      </c>
      <c r="BR177">
        <v>17.260000000000002</v>
      </c>
      <c r="BS177">
        <v>84.84</v>
      </c>
      <c r="BT177">
        <v>276.12</v>
      </c>
      <c r="BU177">
        <v>113.61</v>
      </c>
      <c r="BV177">
        <v>18.91</v>
      </c>
      <c r="BW177">
        <v>284.45999999999998</v>
      </c>
      <c r="BX177">
        <v>22.69</v>
      </c>
      <c r="BY177">
        <v>221.98</v>
      </c>
      <c r="BZ177">
        <v>2.78</v>
      </c>
      <c r="CA177" t="s">
        <v>120</v>
      </c>
      <c r="CB177">
        <v>19.05</v>
      </c>
      <c r="CC177">
        <v>19.190000000000001</v>
      </c>
      <c r="CD177">
        <v>17.02</v>
      </c>
      <c r="CE177">
        <v>-6.55</v>
      </c>
      <c r="CF177">
        <v>2.4900000000000002</v>
      </c>
      <c r="CG177">
        <v>-6.59</v>
      </c>
      <c r="CH177">
        <v>-7.13</v>
      </c>
      <c r="CI177">
        <v>-7.26</v>
      </c>
      <c r="CJ177">
        <v>-0.01</v>
      </c>
      <c r="CK177">
        <v>-7.48</v>
      </c>
      <c r="CL177">
        <v>30.29</v>
      </c>
      <c r="CM177">
        <v>4.2699999999999996</v>
      </c>
      <c r="CN177">
        <v>-2.11</v>
      </c>
      <c r="CO177">
        <v>41689</v>
      </c>
      <c r="CP177">
        <v>17663</v>
      </c>
      <c r="CQ177" t="s">
        <v>1349</v>
      </c>
      <c r="CR177">
        <v>-28.48</v>
      </c>
      <c r="CS177">
        <v>11.29</v>
      </c>
      <c r="CT177">
        <v>0.71</v>
      </c>
      <c r="CU177">
        <v>9.56</v>
      </c>
      <c r="CV177">
        <v>2.12</v>
      </c>
      <c r="CW177">
        <v>0</v>
      </c>
      <c r="CX177" t="s">
        <v>1350</v>
      </c>
      <c r="CY177">
        <v>3.04</v>
      </c>
      <c r="CZ177">
        <v>0</v>
      </c>
      <c r="DA177">
        <v>1</v>
      </c>
      <c r="DB177">
        <v>1.6</v>
      </c>
      <c r="DC177">
        <v>0.22</v>
      </c>
      <c r="DD177">
        <v>11.67</v>
      </c>
      <c r="DE177" t="s">
        <v>1351</v>
      </c>
      <c r="DF177">
        <v>11.32</v>
      </c>
      <c r="DG177">
        <v>-34.1</v>
      </c>
      <c r="DH177">
        <v>-37.82</v>
      </c>
      <c r="DI177" t="s">
        <v>120</v>
      </c>
      <c r="DJ177">
        <v>7469</v>
      </c>
      <c r="DK177">
        <v>620</v>
      </c>
      <c r="DL177" t="s">
        <v>120</v>
      </c>
      <c r="DM177" t="s">
        <v>120</v>
      </c>
      <c r="DN177" t="s">
        <v>120</v>
      </c>
    </row>
    <row r="178" spans="1:118">
      <c r="A178" t="str">
        <f>"000622"</f>
        <v>000622</v>
      </c>
      <c r="B178" t="s">
        <v>1352</v>
      </c>
      <c r="C178">
        <v>-0.83</v>
      </c>
      <c r="D178">
        <v>0.84</v>
      </c>
      <c r="E178">
        <v>0</v>
      </c>
      <c r="F178">
        <v>2571</v>
      </c>
      <c r="G178" t="s">
        <v>1353</v>
      </c>
      <c r="H178">
        <v>5755.47</v>
      </c>
      <c r="I178">
        <v>17.86</v>
      </c>
      <c r="J178" t="s">
        <v>120</v>
      </c>
      <c r="K178" t="s">
        <v>1354</v>
      </c>
      <c r="L178">
        <v>3.7</v>
      </c>
      <c r="M178">
        <v>3.6</v>
      </c>
      <c r="N178">
        <v>1.87</v>
      </c>
      <c r="O178">
        <v>4.68</v>
      </c>
      <c r="P178">
        <v>3.8</v>
      </c>
      <c r="Q178">
        <v>-1.65</v>
      </c>
      <c r="R178">
        <v>3.57</v>
      </c>
      <c r="S178">
        <v>3.63</v>
      </c>
      <c r="T178">
        <v>157217</v>
      </c>
      <c r="U178">
        <v>3.6</v>
      </c>
      <c r="V178">
        <v>3.63</v>
      </c>
      <c r="W178" t="s">
        <v>120</v>
      </c>
      <c r="X178" t="s">
        <v>289</v>
      </c>
      <c r="Y178" t="s">
        <v>594</v>
      </c>
      <c r="Z178">
        <v>6.34</v>
      </c>
      <c r="AA178">
        <v>3.66</v>
      </c>
      <c r="AB178">
        <v>78693</v>
      </c>
      <c r="AC178">
        <v>78524</v>
      </c>
      <c r="AD178">
        <v>1</v>
      </c>
      <c r="AE178">
        <v>39</v>
      </c>
      <c r="AF178">
        <v>4268</v>
      </c>
      <c r="AG178" t="s">
        <v>120</v>
      </c>
      <c r="AH178">
        <v>0.02</v>
      </c>
      <c r="AI178" t="s">
        <v>120</v>
      </c>
      <c r="AJ178">
        <v>4.25</v>
      </c>
      <c r="AK178" t="s">
        <v>1354</v>
      </c>
      <c r="AL178">
        <v>1.0900000000000001</v>
      </c>
      <c r="AM178">
        <v>1908</v>
      </c>
      <c r="AN178">
        <v>82</v>
      </c>
      <c r="AO178">
        <v>1.9E-3</v>
      </c>
      <c r="AP178">
        <v>-1</v>
      </c>
      <c r="AQ178">
        <v>3.42</v>
      </c>
      <c r="AR178">
        <v>0</v>
      </c>
      <c r="AS178">
        <v>6.83</v>
      </c>
      <c r="AT178">
        <v>1.1299999999999999</v>
      </c>
      <c r="AU178">
        <v>-8.39</v>
      </c>
      <c r="AV178">
        <v>4</v>
      </c>
      <c r="AW178">
        <v>5.65</v>
      </c>
      <c r="AX178">
        <v>65.47</v>
      </c>
      <c r="AY178" t="s">
        <v>120</v>
      </c>
      <c r="AZ178">
        <v>523.46</v>
      </c>
      <c r="BA178">
        <v>0.44</v>
      </c>
      <c r="BB178" t="s">
        <v>168</v>
      </c>
      <c r="BF178">
        <v>0.85</v>
      </c>
      <c r="BG178">
        <v>-0.83</v>
      </c>
      <c r="BH178">
        <v>-5.26</v>
      </c>
      <c r="BI178">
        <v>0.84</v>
      </c>
      <c r="BJ178">
        <v>20210826</v>
      </c>
      <c r="BK178">
        <v>19961107</v>
      </c>
      <c r="BL178">
        <v>4.25</v>
      </c>
      <c r="BM178" t="s">
        <v>120</v>
      </c>
      <c r="BN178" t="s">
        <v>120</v>
      </c>
      <c r="BO178">
        <v>3.14</v>
      </c>
      <c r="BP178">
        <v>3.59</v>
      </c>
      <c r="BQ178">
        <v>2.0099999999999998</v>
      </c>
      <c r="BR178">
        <v>0.08</v>
      </c>
      <c r="BS178">
        <v>33.57</v>
      </c>
      <c r="BT178">
        <v>2.95</v>
      </c>
      <c r="BU178">
        <v>0.14000000000000001</v>
      </c>
      <c r="BV178">
        <v>0</v>
      </c>
      <c r="BW178">
        <v>0.74</v>
      </c>
      <c r="BX178">
        <v>0.19</v>
      </c>
      <c r="BY178">
        <v>0.13</v>
      </c>
      <c r="BZ178">
        <v>1.1399999999999999</v>
      </c>
      <c r="CA178">
        <v>0.02</v>
      </c>
      <c r="CB178">
        <v>1.96</v>
      </c>
      <c r="CC178">
        <v>2.19</v>
      </c>
      <c r="CD178">
        <v>2.08</v>
      </c>
      <c r="CE178">
        <v>-0.06</v>
      </c>
      <c r="CF178">
        <v>0</v>
      </c>
      <c r="CG178">
        <v>-0.06</v>
      </c>
      <c r="CH178">
        <v>-0.05</v>
      </c>
      <c r="CI178">
        <v>-0.05</v>
      </c>
      <c r="CJ178">
        <v>-0.03</v>
      </c>
      <c r="CK178">
        <v>-0.05</v>
      </c>
      <c r="CL178">
        <v>-4.22</v>
      </c>
      <c r="CM178">
        <v>-0.85</v>
      </c>
      <c r="CN178">
        <v>-0.8</v>
      </c>
      <c r="CO178">
        <v>30964</v>
      </c>
      <c r="CP178">
        <v>8990</v>
      </c>
      <c r="CQ178" t="s">
        <v>1117</v>
      </c>
      <c r="CR178">
        <v>-330.3</v>
      </c>
      <c r="CS178">
        <v>34.64</v>
      </c>
      <c r="CT178">
        <v>7.62</v>
      </c>
      <c r="CU178">
        <v>-18.11</v>
      </c>
      <c r="CV178">
        <v>6.99</v>
      </c>
      <c r="CW178">
        <v>0</v>
      </c>
      <c r="CX178" t="s">
        <v>1355</v>
      </c>
      <c r="CY178">
        <v>0.47</v>
      </c>
      <c r="CZ178">
        <v>0</v>
      </c>
      <c r="DA178">
        <v>0.46</v>
      </c>
      <c r="DB178">
        <v>-0.99</v>
      </c>
      <c r="DC178">
        <v>-0.2</v>
      </c>
      <c r="DD178">
        <v>63.98</v>
      </c>
      <c r="DE178" t="s">
        <v>1356</v>
      </c>
      <c r="DF178">
        <v>4.87</v>
      </c>
      <c r="DG178">
        <v>-2.84</v>
      </c>
      <c r="DH178">
        <v>-2.2400000000000002</v>
      </c>
      <c r="DI178">
        <v>0.01</v>
      </c>
      <c r="DJ178">
        <v>133</v>
      </c>
      <c r="DK178">
        <v>622</v>
      </c>
      <c r="DL178" t="s">
        <v>120</v>
      </c>
      <c r="DM178" t="s">
        <v>120</v>
      </c>
      <c r="DN178" t="s">
        <v>120</v>
      </c>
    </row>
    <row r="179" spans="1:118">
      <c r="A179" t="str">
        <f>"000623"</f>
        <v>000623</v>
      </c>
      <c r="B179" t="s">
        <v>1357</v>
      </c>
      <c r="C179">
        <v>-3.71</v>
      </c>
      <c r="D179">
        <v>-0.43</v>
      </c>
      <c r="E179">
        <v>0.05</v>
      </c>
      <c r="F179">
        <v>10410</v>
      </c>
      <c r="G179" t="s">
        <v>1358</v>
      </c>
      <c r="H179">
        <v>67647.02</v>
      </c>
      <c r="I179">
        <v>420.77</v>
      </c>
      <c r="J179" t="s">
        <v>120</v>
      </c>
      <c r="K179" t="s">
        <v>1359</v>
      </c>
      <c r="L179">
        <v>3.2</v>
      </c>
      <c r="M179">
        <v>17.91</v>
      </c>
      <c r="N179">
        <v>0.92</v>
      </c>
      <c r="O179">
        <v>0.48</v>
      </c>
      <c r="P179">
        <v>18.690000000000001</v>
      </c>
      <c r="Q179">
        <v>-3.76</v>
      </c>
      <c r="R179">
        <v>17.899999999999999</v>
      </c>
      <c r="S179">
        <v>18.61</v>
      </c>
      <c r="T179">
        <v>371591</v>
      </c>
      <c r="U179">
        <v>17.93</v>
      </c>
      <c r="V179">
        <v>18.600000000000001</v>
      </c>
      <c r="W179">
        <v>10.82</v>
      </c>
      <c r="X179" t="s">
        <v>569</v>
      </c>
      <c r="Y179" t="s">
        <v>290</v>
      </c>
      <c r="Z179">
        <v>4.25</v>
      </c>
      <c r="AA179">
        <v>18.2</v>
      </c>
      <c r="AB179">
        <v>203809</v>
      </c>
      <c r="AC179">
        <v>167782</v>
      </c>
      <c r="AD179">
        <v>1.21</v>
      </c>
      <c r="AE179">
        <v>1822</v>
      </c>
      <c r="AF179">
        <v>19</v>
      </c>
      <c r="AG179" t="s">
        <v>120</v>
      </c>
      <c r="AH179">
        <v>0.03</v>
      </c>
      <c r="AI179" t="s">
        <v>120</v>
      </c>
      <c r="AJ179">
        <v>11.6</v>
      </c>
      <c r="AK179" t="s">
        <v>1360</v>
      </c>
      <c r="AL179">
        <v>-1.8</v>
      </c>
      <c r="AM179">
        <v>4066</v>
      </c>
      <c r="AN179">
        <v>91</v>
      </c>
      <c r="AO179">
        <v>8.0000000000000004E-4</v>
      </c>
      <c r="AP179">
        <v>-1</v>
      </c>
      <c r="AQ179">
        <v>0.65</v>
      </c>
      <c r="AR179">
        <v>-3.71</v>
      </c>
      <c r="AS179">
        <v>6.92</v>
      </c>
      <c r="AT179">
        <v>19.16</v>
      </c>
      <c r="AU179">
        <v>10.08</v>
      </c>
      <c r="AV179">
        <v>0</v>
      </c>
      <c r="AW179">
        <v>4.37</v>
      </c>
      <c r="AX179">
        <v>73.099999999999994</v>
      </c>
      <c r="AY179">
        <v>13.1</v>
      </c>
      <c r="AZ179">
        <v>12.66</v>
      </c>
      <c r="BA179">
        <v>0.49</v>
      </c>
      <c r="BB179" t="s">
        <v>184</v>
      </c>
      <c r="BF179">
        <v>-2.13</v>
      </c>
      <c r="BG179">
        <v>-3.76</v>
      </c>
      <c r="BH179">
        <v>-4.17</v>
      </c>
      <c r="BI179">
        <v>0.06</v>
      </c>
      <c r="BJ179">
        <v>20210910</v>
      </c>
      <c r="BK179">
        <v>19961028</v>
      </c>
      <c r="BL179">
        <v>11.63</v>
      </c>
      <c r="BM179" t="s">
        <v>120</v>
      </c>
      <c r="BN179" t="s">
        <v>120</v>
      </c>
      <c r="BO179">
        <v>282.85000000000002</v>
      </c>
      <c r="BP179">
        <v>17.91</v>
      </c>
      <c r="BQ179">
        <v>239.4</v>
      </c>
      <c r="BR179">
        <v>1.85</v>
      </c>
      <c r="BS179">
        <v>14.71</v>
      </c>
      <c r="BT179">
        <v>66.180000000000007</v>
      </c>
      <c r="BU179">
        <v>20.62</v>
      </c>
      <c r="BV179">
        <v>3.36</v>
      </c>
      <c r="BW179">
        <v>16.399999999999999</v>
      </c>
      <c r="BX179">
        <v>14.81</v>
      </c>
      <c r="BY179">
        <v>6.13</v>
      </c>
      <c r="BZ179">
        <v>6.74</v>
      </c>
      <c r="CA179">
        <v>0.03</v>
      </c>
      <c r="CB179">
        <v>39.74</v>
      </c>
      <c r="CC179">
        <v>10.83</v>
      </c>
      <c r="CD179">
        <v>4.9800000000000004</v>
      </c>
      <c r="CE179">
        <v>9.48</v>
      </c>
      <c r="CF179">
        <v>10.79</v>
      </c>
      <c r="CG179">
        <v>9.5</v>
      </c>
      <c r="CH179">
        <v>9.57</v>
      </c>
      <c r="CI179">
        <v>9.6199999999999992</v>
      </c>
      <c r="CJ179">
        <v>-0.69</v>
      </c>
      <c r="CK179">
        <v>10.41</v>
      </c>
      <c r="CL179">
        <v>164.56</v>
      </c>
      <c r="CM179">
        <v>2.7</v>
      </c>
      <c r="CN179">
        <v>-10.24</v>
      </c>
      <c r="CO179">
        <v>95129</v>
      </c>
      <c r="CP179">
        <v>8937</v>
      </c>
      <c r="CQ179" t="s">
        <v>1361</v>
      </c>
      <c r="CR179">
        <v>-5.67</v>
      </c>
      <c r="CS179">
        <v>-3.45</v>
      </c>
      <c r="CT179">
        <v>0.89</v>
      </c>
      <c r="CU179">
        <v>77.150000000000006</v>
      </c>
      <c r="CV179">
        <v>19.239999999999998</v>
      </c>
      <c r="CW179">
        <v>1.05</v>
      </c>
      <c r="CX179" t="s">
        <v>1362</v>
      </c>
      <c r="CY179">
        <v>20.100000000000001</v>
      </c>
      <c r="CZ179">
        <v>20.100000000000001</v>
      </c>
      <c r="DA179">
        <v>3.42</v>
      </c>
      <c r="DB179">
        <v>14.15</v>
      </c>
      <c r="DC179">
        <v>0.23</v>
      </c>
      <c r="DD179">
        <v>84.64</v>
      </c>
      <c r="DE179" t="s">
        <v>1363</v>
      </c>
      <c r="DF179">
        <v>54</v>
      </c>
      <c r="DG179">
        <v>87.58</v>
      </c>
      <c r="DH179">
        <v>88.87</v>
      </c>
      <c r="DI179">
        <v>0.25</v>
      </c>
      <c r="DJ179">
        <v>4462</v>
      </c>
      <c r="DK179">
        <v>623</v>
      </c>
      <c r="DL179" t="s">
        <v>120</v>
      </c>
      <c r="DM179" t="s">
        <v>120</v>
      </c>
      <c r="DN179" t="s">
        <v>120</v>
      </c>
    </row>
    <row r="180" spans="1:118">
      <c r="A180" t="str">
        <f>"000625"</f>
        <v>000625</v>
      </c>
      <c r="B180" t="s">
        <v>1364</v>
      </c>
      <c r="C180">
        <v>-4.5599999999999996</v>
      </c>
      <c r="D180">
        <v>0</v>
      </c>
      <c r="E180">
        <v>-0.48</v>
      </c>
      <c r="F180">
        <v>14694</v>
      </c>
      <c r="G180" t="s">
        <v>1365</v>
      </c>
      <c r="H180">
        <v>224531.5</v>
      </c>
      <c r="I180">
        <v>443.11</v>
      </c>
      <c r="J180" t="s">
        <v>120</v>
      </c>
      <c r="K180" t="s">
        <v>1366</v>
      </c>
      <c r="L180">
        <v>2.12</v>
      </c>
      <c r="M180">
        <v>17.78</v>
      </c>
      <c r="N180">
        <v>1.2</v>
      </c>
      <c r="O180">
        <v>0.05</v>
      </c>
      <c r="P180">
        <v>18.64</v>
      </c>
      <c r="Q180">
        <v>-4.72</v>
      </c>
      <c r="R180">
        <v>17.75</v>
      </c>
      <c r="S180">
        <v>18.54</v>
      </c>
      <c r="T180">
        <v>1242889</v>
      </c>
      <c r="U180">
        <v>17.79</v>
      </c>
      <c r="V180">
        <v>18.63</v>
      </c>
      <c r="W180">
        <v>39.15</v>
      </c>
      <c r="X180" t="s">
        <v>1068</v>
      </c>
      <c r="Y180" t="s">
        <v>883</v>
      </c>
      <c r="Z180">
        <v>4.78</v>
      </c>
      <c r="AA180">
        <v>18.07</v>
      </c>
      <c r="AB180">
        <v>618880</v>
      </c>
      <c r="AC180">
        <v>624009</v>
      </c>
      <c r="AD180">
        <v>0.99</v>
      </c>
      <c r="AE180">
        <v>924</v>
      </c>
      <c r="AF180">
        <v>4243</v>
      </c>
      <c r="AG180" t="s">
        <v>120</v>
      </c>
      <c r="AH180">
        <v>0.01</v>
      </c>
      <c r="AI180" t="s">
        <v>120</v>
      </c>
      <c r="AJ180">
        <v>58.5</v>
      </c>
      <c r="AK180" t="s">
        <v>1367</v>
      </c>
      <c r="AL180">
        <v>-2.65</v>
      </c>
      <c r="AM180">
        <v>4743</v>
      </c>
      <c r="AN180">
        <v>262</v>
      </c>
      <c r="AO180">
        <v>4.0000000000000002E-4</v>
      </c>
      <c r="AP180">
        <v>-2</v>
      </c>
      <c r="AQ180">
        <v>-2.72</v>
      </c>
      <c r="AR180">
        <v>-6.96</v>
      </c>
      <c r="AS180">
        <v>-20.69</v>
      </c>
      <c r="AT180">
        <v>-3.94</v>
      </c>
      <c r="AU180">
        <v>15.38</v>
      </c>
      <c r="AV180">
        <v>14</v>
      </c>
      <c r="AW180">
        <v>3.85</v>
      </c>
      <c r="AX180">
        <v>42.34</v>
      </c>
      <c r="AY180">
        <v>57.88</v>
      </c>
      <c r="AZ180">
        <v>42.68</v>
      </c>
      <c r="BA180">
        <v>1.05</v>
      </c>
      <c r="BB180" t="s">
        <v>143</v>
      </c>
      <c r="BF180">
        <v>-3.03</v>
      </c>
      <c r="BG180">
        <v>-4.0999999999999996</v>
      </c>
      <c r="BH180">
        <v>-4.6100000000000003</v>
      </c>
      <c r="BI180">
        <v>0.17</v>
      </c>
      <c r="BJ180">
        <v>20210913</v>
      </c>
      <c r="BK180">
        <v>19970610</v>
      </c>
      <c r="BL180">
        <v>76.150000000000006</v>
      </c>
      <c r="BM180">
        <v>12.63</v>
      </c>
      <c r="BN180" t="s">
        <v>120</v>
      </c>
      <c r="BO180">
        <v>1304.58</v>
      </c>
      <c r="BP180">
        <v>17.78</v>
      </c>
      <c r="BQ180">
        <v>541.46</v>
      </c>
      <c r="BR180">
        <v>1.46</v>
      </c>
      <c r="BS180">
        <v>58.38</v>
      </c>
      <c r="BT180">
        <v>869.28</v>
      </c>
      <c r="BU180">
        <v>232.9</v>
      </c>
      <c r="BV180">
        <v>41.41</v>
      </c>
      <c r="BW180">
        <v>703.23</v>
      </c>
      <c r="BX180">
        <v>477.21</v>
      </c>
      <c r="BY180">
        <v>40.89</v>
      </c>
      <c r="BZ180">
        <v>16.28</v>
      </c>
      <c r="CA180" t="s">
        <v>120</v>
      </c>
      <c r="CB180">
        <v>114.69</v>
      </c>
      <c r="CC180">
        <v>567.85</v>
      </c>
      <c r="CD180">
        <v>480.87</v>
      </c>
      <c r="CE180">
        <v>18.37</v>
      </c>
      <c r="CF180">
        <v>3.28</v>
      </c>
      <c r="CG180">
        <v>18.64</v>
      </c>
      <c r="CH180">
        <v>18.05</v>
      </c>
      <c r="CI180">
        <v>17.29</v>
      </c>
      <c r="CJ180">
        <v>-0.85</v>
      </c>
      <c r="CK180">
        <v>7.4</v>
      </c>
      <c r="CL180">
        <v>343.78</v>
      </c>
      <c r="CM180">
        <v>176.99</v>
      </c>
      <c r="CN180">
        <v>156.16999999999999</v>
      </c>
      <c r="CO180">
        <v>326409</v>
      </c>
      <c r="CP180">
        <v>13747</v>
      </c>
      <c r="CQ180" t="s">
        <v>1368</v>
      </c>
      <c r="CR180">
        <v>-33.549999999999997</v>
      </c>
      <c r="CS180">
        <v>73.22</v>
      </c>
      <c r="CT180">
        <v>2.5</v>
      </c>
      <c r="CU180">
        <v>7.65</v>
      </c>
      <c r="CV180">
        <v>2.38</v>
      </c>
      <c r="CW180">
        <v>1.17</v>
      </c>
      <c r="CX180" t="s">
        <v>900</v>
      </c>
      <c r="CY180">
        <v>7.11</v>
      </c>
      <c r="CZ180">
        <v>0</v>
      </c>
      <c r="DA180">
        <v>1.51</v>
      </c>
      <c r="DB180">
        <v>4.51</v>
      </c>
      <c r="DC180">
        <v>2.3199999999999998</v>
      </c>
      <c r="DD180">
        <v>41.5</v>
      </c>
      <c r="DE180" t="s">
        <v>1369</v>
      </c>
      <c r="DF180">
        <v>15.32</v>
      </c>
      <c r="DG180">
        <v>3.24</v>
      </c>
      <c r="DH180">
        <v>3.05</v>
      </c>
      <c r="DI180">
        <v>14.96</v>
      </c>
      <c r="DJ180">
        <v>40298</v>
      </c>
      <c r="DK180">
        <v>625</v>
      </c>
      <c r="DL180">
        <v>20210713</v>
      </c>
      <c r="DM180">
        <v>20.49</v>
      </c>
      <c r="DN180">
        <v>-13.23</v>
      </c>
    </row>
    <row r="181" spans="1:118">
      <c r="A181" t="str">
        <f>"000626"</f>
        <v>000626</v>
      </c>
      <c r="B181" t="s">
        <v>1370</v>
      </c>
      <c r="C181">
        <v>-0.28000000000000003</v>
      </c>
      <c r="D181">
        <v>0.05</v>
      </c>
      <c r="E181">
        <v>-0.79</v>
      </c>
      <c r="F181">
        <v>488</v>
      </c>
      <c r="G181" t="s">
        <v>1371</v>
      </c>
      <c r="H181">
        <v>5510.41</v>
      </c>
      <c r="I181">
        <v>114.81</v>
      </c>
      <c r="J181" t="s">
        <v>120</v>
      </c>
      <c r="K181" t="s">
        <v>1372</v>
      </c>
      <c r="L181">
        <v>0.55000000000000004</v>
      </c>
      <c r="M181">
        <v>21.53</v>
      </c>
      <c r="N181">
        <v>1.02</v>
      </c>
      <c r="O181">
        <v>1.2</v>
      </c>
      <c r="P181">
        <v>21.85</v>
      </c>
      <c r="Q181">
        <v>-1.76</v>
      </c>
      <c r="R181">
        <v>21.21</v>
      </c>
      <c r="S181">
        <v>21.42</v>
      </c>
      <c r="T181">
        <v>25734</v>
      </c>
      <c r="U181">
        <v>21.54</v>
      </c>
      <c r="V181">
        <v>21.59</v>
      </c>
      <c r="W181">
        <v>41.48</v>
      </c>
      <c r="X181" t="s">
        <v>562</v>
      </c>
      <c r="Y181" t="s">
        <v>319</v>
      </c>
      <c r="Z181">
        <v>2.96</v>
      </c>
      <c r="AA181">
        <v>21.41</v>
      </c>
      <c r="AB181">
        <v>14130</v>
      </c>
      <c r="AC181">
        <v>11604</v>
      </c>
      <c r="AD181">
        <v>1.22</v>
      </c>
      <c r="AE181">
        <v>93</v>
      </c>
      <c r="AF181">
        <v>703</v>
      </c>
      <c r="AG181" t="s">
        <v>120</v>
      </c>
      <c r="AH181">
        <v>0.03</v>
      </c>
      <c r="AI181" t="s">
        <v>120</v>
      </c>
      <c r="AJ181">
        <v>4.6399999999999997</v>
      </c>
      <c r="AK181" t="s">
        <v>1373</v>
      </c>
      <c r="AL181">
        <v>1.64</v>
      </c>
      <c r="AM181">
        <v>1998</v>
      </c>
      <c r="AN181">
        <v>13</v>
      </c>
      <c r="AO181">
        <v>2.9999999999999997E-4</v>
      </c>
      <c r="AP181">
        <v>-4</v>
      </c>
      <c r="AQ181">
        <v>-0.32</v>
      </c>
      <c r="AR181">
        <v>-0.83</v>
      </c>
      <c r="AS181">
        <v>-11.62</v>
      </c>
      <c r="AT181">
        <v>21.43</v>
      </c>
      <c r="AU181">
        <v>52.38</v>
      </c>
      <c r="AV181">
        <v>3</v>
      </c>
      <c r="AW181">
        <v>1.54</v>
      </c>
      <c r="AX181">
        <v>32.86</v>
      </c>
      <c r="AY181">
        <v>93.15</v>
      </c>
      <c r="AZ181" t="s">
        <v>120</v>
      </c>
      <c r="BA181">
        <v>0</v>
      </c>
      <c r="BB181" t="s">
        <v>143</v>
      </c>
      <c r="BF181">
        <v>-0.82</v>
      </c>
      <c r="BG181">
        <v>0.51</v>
      </c>
      <c r="BH181">
        <v>-1.46</v>
      </c>
      <c r="BI181">
        <v>1.51</v>
      </c>
      <c r="BJ181">
        <v>20210810</v>
      </c>
      <c r="BK181">
        <v>19961128</v>
      </c>
      <c r="BL181">
        <v>5.09</v>
      </c>
      <c r="BM181" t="s">
        <v>120</v>
      </c>
      <c r="BN181" t="s">
        <v>120</v>
      </c>
      <c r="BO181">
        <v>85.97</v>
      </c>
      <c r="BP181">
        <v>21.53</v>
      </c>
      <c r="BQ181">
        <v>27.76</v>
      </c>
      <c r="BR181">
        <v>1.9</v>
      </c>
      <c r="BS181">
        <v>65.5</v>
      </c>
      <c r="BT181">
        <v>77.89</v>
      </c>
      <c r="BU181">
        <v>1.93</v>
      </c>
      <c r="BV181">
        <v>0.54</v>
      </c>
      <c r="BW181">
        <v>54.43</v>
      </c>
      <c r="BX181">
        <v>34.15</v>
      </c>
      <c r="BY181">
        <v>12.14</v>
      </c>
      <c r="BZ181">
        <v>10.95</v>
      </c>
      <c r="CA181" t="s">
        <v>120</v>
      </c>
      <c r="CB181">
        <v>13.27</v>
      </c>
      <c r="CC181">
        <v>399.14</v>
      </c>
      <c r="CD181">
        <v>392.66</v>
      </c>
      <c r="CE181">
        <v>2.09</v>
      </c>
      <c r="CF181">
        <v>0.71</v>
      </c>
      <c r="CG181">
        <v>2.15</v>
      </c>
      <c r="CH181">
        <v>1.7</v>
      </c>
      <c r="CI181">
        <v>1.32</v>
      </c>
      <c r="CJ181">
        <v>-0.06</v>
      </c>
      <c r="CK181">
        <v>1.31</v>
      </c>
      <c r="CL181">
        <v>9.81</v>
      </c>
      <c r="CM181">
        <v>4.71</v>
      </c>
      <c r="CN181">
        <v>10.98</v>
      </c>
      <c r="CO181">
        <v>17144</v>
      </c>
      <c r="CP181">
        <v>9756</v>
      </c>
      <c r="CQ181" t="s">
        <v>1374</v>
      </c>
      <c r="CR181">
        <v>233.34</v>
      </c>
      <c r="CS181">
        <v>70.73</v>
      </c>
      <c r="CT181">
        <v>3.95</v>
      </c>
      <c r="CU181">
        <v>23.25</v>
      </c>
      <c r="CV181">
        <v>0.27</v>
      </c>
      <c r="CW181">
        <v>0</v>
      </c>
      <c r="CX181" t="s">
        <v>863</v>
      </c>
      <c r="CY181">
        <v>5.45</v>
      </c>
      <c r="CZ181">
        <v>0</v>
      </c>
      <c r="DA181">
        <v>2.61</v>
      </c>
      <c r="DB181">
        <v>1.93</v>
      </c>
      <c r="DC181">
        <v>0.93</v>
      </c>
      <c r="DD181">
        <v>32.29</v>
      </c>
      <c r="DE181" t="s">
        <v>1375</v>
      </c>
      <c r="DF181">
        <v>1.62</v>
      </c>
      <c r="DG181">
        <v>0.52</v>
      </c>
      <c r="DH181">
        <v>0.33</v>
      </c>
      <c r="DI181" t="s">
        <v>120</v>
      </c>
      <c r="DJ181">
        <v>623</v>
      </c>
      <c r="DK181">
        <v>626</v>
      </c>
      <c r="DL181" t="s">
        <v>120</v>
      </c>
      <c r="DM181" t="s">
        <v>120</v>
      </c>
      <c r="DN181" t="s">
        <v>120</v>
      </c>
    </row>
    <row r="182" spans="1:118">
      <c r="A182" t="str">
        <f>"000627"</f>
        <v>000627</v>
      </c>
      <c r="B182" t="s">
        <v>1376</v>
      </c>
      <c r="C182">
        <v>-0.56000000000000005</v>
      </c>
      <c r="D182">
        <v>0</v>
      </c>
      <c r="E182">
        <v>0.28000000000000003</v>
      </c>
      <c r="F182">
        <v>9967</v>
      </c>
      <c r="G182" t="s">
        <v>1377</v>
      </c>
      <c r="H182">
        <v>6839.81</v>
      </c>
      <c r="I182">
        <v>40.1</v>
      </c>
      <c r="J182" t="s">
        <v>120</v>
      </c>
      <c r="K182" t="s">
        <v>1378</v>
      </c>
      <c r="L182">
        <v>0.42</v>
      </c>
      <c r="M182">
        <v>3.56</v>
      </c>
      <c r="N182">
        <v>1.18</v>
      </c>
      <c r="O182">
        <v>2.23</v>
      </c>
      <c r="P182">
        <v>3.66</v>
      </c>
      <c r="Q182">
        <v>-0.84</v>
      </c>
      <c r="R182">
        <v>3.55</v>
      </c>
      <c r="S182">
        <v>3.59</v>
      </c>
      <c r="T182">
        <v>190130</v>
      </c>
      <c r="U182">
        <v>3.56</v>
      </c>
      <c r="V182">
        <v>3.58</v>
      </c>
      <c r="W182">
        <v>27.93</v>
      </c>
      <c r="X182" t="s">
        <v>378</v>
      </c>
      <c r="Y182" t="s">
        <v>763</v>
      </c>
      <c r="Z182">
        <v>3.07</v>
      </c>
      <c r="AA182">
        <v>3.6</v>
      </c>
      <c r="AB182">
        <v>102131</v>
      </c>
      <c r="AC182">
        <v>87999</v>
      </c>
      <c r="AD182">
        <v>1.1599999999999999</v>
      </c>
      <c r="AE182">
        <v>4395</v>
      </c>
      <c r="AF182">
        <v>567</v>
      </c>
      <c r="AG182" t="s">
        <v>120</v>
      </c>
      <c r="AH182">
        <v>0.01</v>
      </c>
      <c r="AI182" t="s">
        <v>120</v>
      </c>
      <c r="AJ182">
        <v>45.53</v>
      </c>
      <c r="AK182" t="s">
        <v>1379</v>
      </c>
      <c r="AL182">
        <v>1.36</v>
      </c>
      <c r="AM182">
        <v>1921</v>
      </c>
      <c r="AN182">
        <v>99</v>
      </c>
      <c r="AO182">
        <v>2.0000000000000001E-4</v>
      </c>
      <c r="AP182">
        <v>-1</v>
      </c>
      <c r="AQ182">
        <v>0.28000000000000003</v>
      </c>
      <c r="AR182">
        <v>-2.19</v>
      </c>
      <c r="AS182">
        <v>3.19</v>
      </c>
      <c r="AT182">
        <v>-1.93</v>
      </c>
      <c r="AU182">
        <v>-26.75</v>
      </c>
      <c r="AV182">
        <v>0</v>
      </c>
      <c r="AW182">
        <v>1.1399999999999999</v>
      </c>
      <c r="AX182">
        <v>33.72</v>
      </c>
      <c r="AY182">
        <v>47.21</v>
      </c>
      <c r="AZ182">
        <v>30.48</v>
      </c>
      <c r="BA182">
        <v>0.19</v>
      </c>
      <c r="BB182" t="s">
        <v>143</v>
      </c>
      <c r="BF182">
        <v>0.49</v>
      </c>
      <c r="BG182">
        <v>-0.84</v>
      </c>
      <c r="BH182">
        <v>-2.73</v>
      </c>
      <c r="BI182">
        <v>0.28000000000000003</v>
      </c>
      <c r="BJ182">
        <v>20210831</v>
      </c>
      <c r="BK182">
        <v>19961112</v>
      </c>
      <c r="BL182">
        <v>49.41</v>
      </c>
      <c r="BM182" t="s">
        <v>120</v>
      </c>
      <c r="BN182" t="s">
        <v>120</v>
      </c>
      <c r="BO182">
        <v>2468.41</v>
      </c>
      <c r="BP182">
        <v>3.55</v>
      </c>
      <c r="BQ182">
        <v>214.97</v>
      </c>
      <c r="BR182">
        <v>139.22</v>
      </c>
      <c r="BS182">
        <v>85.65</v>
      </c>
      <c r="BT182">
        <v>463.37</v>
      </c>
      <c r="BU182">
        <v>5.1100000000000003</v>
      </c>
      <c r="BV182">
        <v>1.91</v>
      </c>
      <c r="BW182">
        <v>175.06</v>
      </c>
      <c r="BX182">
        <v>228.17</v>
      </c>
      <c r="BY182">
        <v>109.68</v>
      </c>
      <c r="BZ182">
        <v>0.47</v>
      </c>
      <c r="CA182" t="s">
        <v>120</v>
      </c>
      <c r="CB182">
        <v>110.95</v>
      </c>
      <c r="CC182">
        <v>229.23</v>
      </c>
      <c r="CD182">
        <v>0</v>
      </c>
      <c r="CE182">
        <v>4.71</v>
      </c>
      <c r="CF182">
        <v>51.54</v>
      </c>
      <c r="CG182">
        <v>4.5599999999999996</v>
      </c>
      <c r="CH182">
        <v>5.9</v>
      </c>
      <c r="CI182">
        <v>3.15</v>
      </c>
      <c r="CJ182">
        <v>-0.02</v>
      </c>
      <c r="CK182">
        <v>2.89</v>
      </c>
      <c r="CL182">
        <v>61.75</v>
      </c>
      <c r="CM182">
        <v>-72.16</v>
      </c>
      <c r="CN182">
        <v>-40.32</v>
      </c>
      <c r="CO182">
        <v>79300</v>
      </c>
      <c r="CP182">
        <v>21007</v>
      </c>
      <c r="CQ182" t="s">
        <v>1380</v>
      </c>
      <c r="CR182">
        <v>-39.51</v>
      </c>
      <c r="CS182">
        <v>0</v>
      </c>
      <c r="CT182">
        <v>0.82</v>
      </c>
      <c r="CU182">
        <v>-2.44</v>
      </c>
      <c r="CV182">
        <v>0.77</v>
      </c>
      <c r="CW182">
        <v>0.28000000000000003</v>
      </c>
      <c r="CX182" t="s">
        <v>1064</v>
      </c>
      <c r="CY182">
        <v>4.3499999999999996</v>
      </c>
      <c r="CZ182">
        <v>0</v>
      </c>
      <c r="DA182">
        <v>2.25</v>
      </c>
      <c r="DB182">
        <v>1.25</v>
      </c>
      <c r="DC182">
        <v>-1.46</v>
      </c>
      <c r="DD182">
        <v>8.7100000000000009</v>
      </c>
      <c r="DE182" t="s">
        <v>536</v>
      </c>
      <c r="DF182" t="s">
        <v>120</v>
      </c>
      <c r="DG182">
        <v>2.06</v>
      </c>
      <c r="DH182">
        <v>1.37</v>
      </c>
      <c r="DI182" t="s">
        <v>120</v>
      </c>
      <c r="DJ182">
        <v>2379</v>
      </c>
      <c r="DK182">
        <v>627</v>
      </c>
      <c r="DL182" t="s">
        <v>120</v>
      </c>
      <c r="DM182" t="s">
        <v>120</v>
      </c>
      <c r="DN182" t="s">
        <v>120</v>
      </c>
    </row>
    <row r="183" spans="1:118">
      <c r="A183" t="str">
        <f>"000628"</f>
        <v>000628</v>
      </c>
      <c r="B183" t="s">
        <v>1381</v>
      </c>
      <c r="C183">
        <v>-2.2000000000000002</v>
      </c>
      <c r="D183">
        <v>-0.11</v>
      </c>
      <c r="E183">
        <v>0</v>
      </c>
      <c r="F183">
        <v>527</v>
      </c>
      <c r="G183" t="s">
        <v>1382</v>
      </c>
      <c r="H183">
        <v>2053.91</v>
      </c>
      <c r="I183">
        <v>1.21</v>
      </c>
      <c r="J183" t="s">
        <v>120</v>
      </c>
      <c r="K183" t="s">
        <v>1383</v>
      </c>
      <c r="L183">
        <v>1.24</v>
      </c>
      <c r="M183">
        <v>8.43</v>
      </c>
      <c r="N183">
        <v>1.1200000000000001</v>
      </c>
      <c r="O183">
        <v>1.51</v>
      </c>
      <c r="P183">
        <v>8.75</v>
      </c>
      <c r="Q183">
        <v>-2.2000000000000002</v>
      </c>
      <c r="R183">
        <v>8.43</v>
      </c>
      <c r="S183">
        <v>8.6199999999999992</v>
      </c>
      <c r="T183">
        <v>23883</v>
      </c>
      <c r="U183">
        <v>8.4600000000000009</v>
      </c>
      <c r="V183">
        <v>8.6199999999999992</v>
      </c>
      <c r="W183">
        <v>16.170000000000002</v>
      </c>
      <c r="X183" t="s">
        <v>1384</v>
      </c>
      <c r="Y183" t="s">
        <v>578</v>
      </c>
      <c r="Z183">
        <v>3.71</v>
      </c>
      <c r="AA183">
        <v>8.6</v>
      </c>
      <c r="AB183">
        <v>12350</v>
      </c>
      <c r="AC183">
        <v>11533</v>
      </c>
      <c r="AD183">
        <v>1.07</v>
      </c>
      <c r="AE183">
        <v>93</v>
      </c>
      <c r="AF183">
        <v>936</v>
      </c>
      <c r="AG183" t="s">
        <v>120</v>
      </c>
      <c r="AH183">
        <v>0</v>
      </c>
      <c r="AI183" t="s">
        <v>120</v>
      </c>
      <c r="AJ183">
        <v>1.92</v>
      </c>
      <c r="AK183" t="s">
        <v>1385</v>
      </c>
      <c r="AL183">
        <v>-0.28999999999999998</v>
      </c>
      <c r="AM183">
        <v>991</v>
      </c>
      <c r="AN183">
        <v>24</v>
      </c>
      <c r="AO183">
        <v>1.2999999999999999E-3</v>
      </c>
      <c r="AP183">
        <v>-3</v>
      </c>
      <c r="AQ183">
        <v>-1.93</v>
      </c>
      <c r="AR183">
        <v>-5.28</v>
      </c>
      <c r="AS183">
        <v>7.12</v>
      </c>
      <c r="AT183">
        <v>2.02</v>
      </c>
      <c r="AU183">
        <v>1.1599999999999999</v>
      </c>
      <c r="AV183">
        <v>2</v>
      </c>
      <c r="AW183">
        <v>1.45</v>
      </c>
      <c r="AX183">
        <v>46.88</v>
      </c>
      <c r="AY183">
        <v>11.65</v>
      </c>
      <c r="AZ183">
        <v>12.61</v>
      </c>
      <c r="BA183">
        <v>0.39</v>
      </c>
      <c r="BB183" t="s">
        <v>143</v>
      </c>
      <c r="BF183">
        <v>-0.23</v>
      </c>
      <c r="BG183">
        <v>-2.2000000000000002</v>
      </c>
      <c r="BH183">
        <v>-3.66</v>
      </c>
      <c r="BI183">
        <v>0</v>
      </c>
      <c r="BJ183">
        <v>20210831</v>
      </c>
      <c r="BK183">
        <v>19961118</v>
      </c>
      <c r="BL183">
        <v>3.52</v>
      </c>
      <c r="BM183" t="s">
        <v>120</v>
      </c>
      <c r="BN183" t="s">
        <v>120</v>
      </c>
      <c r="BO183">
        <v>90.8</v>
      </c>
      <c r="BP183">
        <v>8.43</v>
      </c>
      <c r="BQ183">
        <v>15.01</v>
      </c>
      <c r="BR183">
        <v>1.1299999999999999</v>
      </c>
      <c r="BS183">
        <v>82.22</v>
      </c>
      <c r="BT183">
        <v>85.39</v>
      </c>
      <c r="BU183">
        <v>0.49</v>
      </c>
      <c r="BV183">
        <v>0.45</v>
      </c>
      <c r="BW183">
        <v>73.5</v>
      </c>
      <c r="BX183">
        <v>15.18</v>
      </c>
      <c r="BY183">
        <v>0.16</v>
      </c>
      <c r="BZ183">
        <v>7.76</v>
      </c>
      <c r="CA183">
        <v>0.02</v>
      </c>
      <c r="CB183">
        <v>9</v>
      </c>
      <c r="CC183">
        <v>28.53</v>
      </c>
      <c r="CD183">
        <v>25.88</v>
      </c>
      <c r="CE183">
        <v>1.33</v>
      </c>
      <c r="CF183">
        <v>0.08</v>
      </c>
      <c r="CG183">
        <v>1.35</v>
      </c>
      <c r="CH183">
        <v>0.98</v>
      </c>
      <c r="CI183">
        <v>0.92</v>
      </c>
      <c r="CJ183">
        <v>-0.19</v>
      </c>
      <c r="CK183">
        <v>0.88</v>
      </c>
      <c r="CL183">
        <v>2.0699999999999998</v>
      </c>
      <c r="CM183">
        <v>-1.67</v>
      </c>
      <c r="CN183">
        <v>-2.0699999999999998</v>
      </c>
      <c r="CO183">
        <v>19943</v>
      </c>
      <c r="CP183">
        <v>8281</v>
      </c>
      <c r="CQ183" t="s">
        <v>1333</v>
      </c>
      <c r="CR183">
        <v>27.38</v>
      </c>
      <c r="CS183">
        <v>48.03</v>
      </c>
      <c r="CT183">
        <v>1.98</v>
      </c>
      <c r="CU183">
        <v>-17.82</v>
      </c>
      <c r="CV183">
        <v>1.04</v>
      </c>
      <c r="CW183">
        <v>1.36</v>
      </c>
      <c r="CX183" t="s">
        <v>670</v>
      </c>
      <c r="CY183">
        <v>4.26</v>
      </c>
      <c r="CZ183">
        <v>0</v>
      </c>
      <c r="DA183">
        <v>2.56</v>
      </c>
      <c r="DB183">
        <v>0.59</v>
      </c>
      <c r="DC183">
        <v>-0.47</v>
      </c>
      <c r="DD183">
        <v>16.53</v>
      </c>
      <c r="DE183" t="s">
        <v>1386</v>
      </c>
      <c r="DF183">
        <v>9.2899999999999991</v>
      </c>
      <c r="DG183">
        <v>4.66</v>
      </c>
      <c r="DH183">
        <v>3.22</v>
      </c>
      <c r="DI183">
        <v>0.05</v>
      </c>
      <c r="DJ183">
        <v>1097</v>
      </c>
      <c r="DK183">
        <v>628</v>
      </c>
      <c r="DL183" t="s">
        <v>120</v>
      </c>
      <c r="DM183" t="s">
        <v>120</v>
      </c>
      <c r="DN183" t="s">
        <v>120</v>
      </c>
    </row>
    <row r="184" spans="1:118">
      <c r="A184" t="str">
        <f>"000629"</f>
        <v>000629</v>
      </c>
      <c r="B184" t="s">
        <v>1387</v>
      </c>
      <c r="C184">
        <v>-0.22</v>
      </c>
      <c r="D184">
        <v>0.66</v>
      </c>
      <c r="E184">
        <v>0.65</v>
      </c>
      <c r="F184">
        <v>27859</v>
      </c>
      <c r="G184" t="s">
        <v>1388</v>
      </c>
      <c r="H184">
        <v>158387.38</v>
      </c>
      <c r="I184">
        <v>1144.3699999999999</v>
      </c>
      <c r="J184" t="s">
        <v>120</v>
      </c>
      <c r="K184" t="s">
        <v>1389</v>
      </c>
      <c r="L184">
        <v>3.93</v>
      </c>
      <c r="M184">
        <v>4.58</v>
      </c>
      <c r="N184">
        <v>1.05</v>
      </c>
      <c r="O184">
        <v>6.54</v>
      </c>
      <c r="P184">
        <v>4.8899999999999997</v>
      </c>
      <c r="Q184">
        <v>-1.53</v>
      </c>
      <c r="R184">
        <v>4.5199999999999996</v>
      </c>
      <c r="S184">
        <v>4.62</v>
      </c>
      <c r="T184">
        <v>3378666</v>
      </c>
      <c r="U184">
        <v>4.58</v>
      </c>
      <c r="V184">
        <v>4.59</v>
      </c>
      <c r="W184">
        <v>38.770000000000003</v>
      </c>
      <c r="X184" t="s">
        <v>1390</v>
      </c>
      <c r="Y184" t="s">
        <v>578</v>
      </c>
      <c r="Z184">
        <v>8.06</v>
      </c>
      <c r="AA184">
        <v>4.6900000000000004</v>
      </c>
      <c r="AB184">
        <v>1578474</v>
      </c>
      <c r="AC184">
        <v>1800192</v>
      </c>
      <c r="AD184">
        <v>0.88</v>
      </c>
      <c r="AE184">
        <v>4678</v>
      </c>
      <c r="AF184">
        <v>1455</v>
      </c>
      <c r="AG184" t="s">
        <v>120</v>
      </c>
      <c r="AH184">
        <v>7.0000000000000007E-2</v>
      </c>
      <c r="AI184" t="s">
        <v>120</v>
      </c>
      <c r="AJ184">
        <v>85.89</v>
      </c>
      <c r="AK184" t="s">
        <v>1391</v>
      </c>
      <c r="AL184">
        <v>1.7</v>
      </c>
      <c r="AM184">
        <v>4654</v>
      </c>
      <c r="AN184">
        <v>726</v>
      </c>
      <c r="AO184">
        <v>8.0000000000000004E-4</v>
      </c>
      <c r="AP184">
        <v>-1</v>
      </c>
      <c r="AQ184">
        <v>1.55</v>
      </c>
      <c r="AR184">
        <v>-5.76</v>
      </c>
      <c r="AS184">
        <v>48.22</v>
      </c>
      <c r="AT184">
        <v>100</v>
      </c>
      <c r="AU184">
        <v>111.06</v>
      </c>
      <c r="AV184">
        <v>6</v>
      </c>
      <c r="AW184">
        <v>9.52</v>
      </c>
      <c r="AX184">
        <v>41.31</v>
      </c>
      <c r="AY184">
        <v>60.93</v>
      </c>
      <c r="AZ184">
        <v>174.98</v>
      </c>
      <c r="BA184">
        <v>0.89</v>
      </c>
      <c r="BB184" t="s">
        <v>143</v>
      </c>
      <c r="BF184">
        <v>2.13</v>
      </c>
      <c r="BG184">
        <v>-0.87</v>
      </c>
      <c r="BH184">
        <v>-6.34</v>
      </c>
      <c r="BI184">
        <v>1.33</v>
      </c>
      <c r="BJ184">
        <v>20210903</v>
      </c>
      <c r="BK184">
        <v>19961115</v>
      </c>
      <c r="BL184">
        <v>85.9</v>
      </c>
      <c r="BM184" t="s">
        <v>120</v>
      </c>
      <c r="BN184" t="s">
        <v>120</v>
      </c>
      <c r="BO184">
        <v>122.2</v>
      </c>
      <c r="BP184">
        <v>4.57</v>
      </c>
      <c r="BQ184">
        <v>100.33</v>
      </c>
      <c r="BR184">
        <v>3.69</v>
      </c>
      <c r="BS184">
        <v>14.88</v>
      </c>
      <c r="BT184">
        <v>57.48</v>
      </c>
      <c r="BU184">
        <v>43.11</v>
      </c>
      <c r="BV184">
        <v>3.48</v>
      </c>
      <c r="BW184">
        <v>12.67</v>
      </c>
      <c r="BX184">
        <v>34.46</v>
      </c>
      <c r="BY184">
        <v>7.85</v>
      </c>
      <c r="BZ184">
        <v>2.06</v>
      </c>
      <c r="CA184" t="s">
        <v>120</v>
      </c>
      <c r="CB184">
        <v>55.4</v>
      </c>
      <c r="CC184">
        <v>71.33</v>
      </c>
      <c r="CD184">
        <v>61.02</v>
      </c>
      <c r="CE184">
        <v>6.94</v>
      </c>
      <c r="CF184">
        <v>0</v>
      </c>
      <c r="CG184">
        <v>6.83</v>
      </c>
      <c r="CH184">
        <v>5.85</v>
      </c>
      <c r="CI184">
        <v>5.07</v>
      </c>
      <c r="CJ184">
        <v>-0.01</v>
      </c>
      <c r="CK184">
        <v>5.0199999999999996</v>
      </c>
      <c r="CL184">
        <v>-60.28</v>
      </c>
      <c r="CM184">
        <v>0.91</v>
      </c>
      <c r="CN184">
        <v>0.53</v>
      </c>
      <c r="CO184">
        <v>244000</v>
      </c>
      <c r="CP184">
        <v>14543</v>
      </c>
      <c r="CQ184" t="s">
        <v>1392</v>
      </c>
      <c r="CR184">
        <v>492.86</v>
      </c>
      <c r="CS184">
        <v>42.62</v>
      </c>
      <c r="CT184">
        <v>3.92</v>
      </c>
      <c r="CU184">
        <v>432.8</v>
      </c>
      <c r="CV184">
        <v>5.52</v>
      </c>
      <c r="CW184">
        <v>0</v>
      </c>
      <c r="CX184" t="s">
        <v>1393</v>
      </c>
      <c r="CY184">
        <v>1.17</v>
      </c>
      <c r="CZ184">
        <v>0</v>
      </c>
      <c r="DA184">
        <v>0.64</v>
      </c>
      <c r="DB184">
        <v>-0.7</v>
      </c>
      <c r="DC184">
        <v>0.01</v>
      </c>
      <c r="DD184">
        <v>82.1</v>
      </c>
      <c r="DE184" t="s">
        <v>1394</v>
      </c>
      <c r="DF184">
        <v>14.46</v>
      </c>
      <c r="DG184">
        <v>9.7200000000000006</v>
      </c>
      <c r="DH184">
        <v>7.11</v>
      </c>
      <c r="DI184">
        <v>2.0099999999999998</v>
      </c>
      <c r="DJ184">
        <v>3181</v>
      </c>
      <c r="DK184">
        <v>629</v>
      </c>
      <c r="DL184">
        <v>20210806</v>
      </c>
      <c r="DM184">
        <v>3</v>
      </c>
      <c r="DN184">
        <v>52.67</v>
      </c>
    </row>
    <row r="185" spans="1:118">
      <c r="A185" t="str">
        <f>"000630"</f>
        <v>000630</v>
      </c>
      <c r="B185" t="s">
        <v>1395</v>
      </c>
      <c r="C185">
        <v>-6.21</v>
      </c>
      <c r="D185">
        <v>-0.19</v>
      </c>
      <c r="E185">
        <v>0.94</v>
      </c>
      <c r="F185">
        <v>77551</v>
      </c>
      <c r="G185" t="s">
        <v>1396</v>
      </c>
      <c r="H185">
        <v>379935.66</v>
      </c>
      <c r="I185">
        <v>2964.29</v>
      </c>
      <c r="J185" t="s">
        <v>120</v>
      </c>
      <c r="K185" t="s">
        <v>1397</v>
      </c>
      <c r="L185">
        <v>7.01</v>
      </c>
      <c r="M185">
        <v>4.9800000000000004</v>
      </c>
      <c r="N185">
        <v>0.83</v>
      </c>
      <c r="O185">
        <v>1.88</v>
      </c>
      <c r="P185">
        <v>5.41</v>
      </c>
      <c r="Q185">
        <v>-6.97</v>
      </c>
      <c r="R185">
        <v>4.9400000000000004</v>
      </c>
      <c r="S185">
        <v>5.36</v>
      </c>
      <c r="T185">
        <v>7376571</v>
      </c>
      <c r="U185">
        <v>4.99</v>
      </c>
      <c r="V185">
        <v>5.31</v>
      </c>
      <c r="W185">
        <v>19.84</v>
      </c>
      <c r="X185" t="s">
        <v>1398</v>
      </c>
      <c r="Y185" t="s">
        <v>570</v>
      </c>
      <c r="Z185">
        <v>8.85</v>
      </c>
      <c r="AA185">
        <v>5.15</v>
      </c>
      <c r="AB185">
        <v>3553319</v>
      </c>
      <c r="AC185">
        <v>3823252</v>
      </c>
      <c r="AD185">
        <v>0.93</v>
      </c>
      <c r="AE185">
        <v>17669</v>
      </c>
      <c r="AF185">
        <v>2766</v>
      </c>
      <c r="AG185" t="s">
        <v>120</v>
      </c>
      <c r="AH185">
        <v>0.08</v>
      </c>
      <c r="AI185" t="s">
        <v>120</v>
      </c>
      <c r="AJ185">
        <v>105.26</v>
      </c>
      <c r="AK185" t="s">
        <v>1399</v>
      </c>
      <c r="AL185">
        <v>-4.3</v>
      </c>
      <c r="AM185">
        <v>4743</v>
      </c>
      <c r="AN185">
        <v>1555</v>
      </c>
      <c r="AO185">
        <v>1.5E-3</v>
      </c>
      <c r="AP185">
        <v>-1</v>
      </c>
      <c r="AQ185">
        <v>0.19</v>
      </c>
      <c r="AR185">
        <v>-6.91</v>
      </c>
      <c r="AS185">
        <v>38.33</v>
      </c>
      <c r="AT185">
        <v>82.42</v>
      </c>
      <c r="AU185">
        <v>96.84</v>
      </c>
      <c r="AV185">
        <v>5</v>
      </c>
      <c r="AW185">
        <v>11.04</v>
      </c>
      <c r="AX185">
        <v>63.46</v>
      </c>
      <c r="AY185">
        <v>30.86</v>
      </c>
      <c r="AZ185">
        <v>64.569999999999993</v>
      </c>
      <c r="BA185">
        <v>0.01</v>
      </c>
      <c r="BB185" t="s">
        <v>184</v>
      </c>
      <c r="BF185">
        <v>-3</v>
      </c>
      <c r="BG185">
        <v>-7.09</v>
      </c>
      <c r="BH185">
        <v>-7.95</v>
      </c>
      <c r="BI185">
        <v>0.81</v>
      </c>
      <c r="BJ185">
        <v>20210831</v>
      </c>
      <c r="BK185">
        <v>19961120</v>
      </c>
      <c r="BL185">
        <v>105.27</v>
      </c>
      <c r="BM185" t="s">
        <v>120</v>
      </c>
      <c r="BN185" t="s">
        <v>120</v>
      </c>
      <c r="BO185">
        <v>514.5</v>
      </c>
      <c r="BP185">
        <v>4.9800000000000004</v>
      </c>
      <c r="BQ185">
        <v>200.01</v>
      </c>
      <c r="BR185">
        <v>15.06</v>
      </c>
      <c r="BS185">
        <v>58.2</v>
      </c>
      <c r="BT185">
        <v>293.85000000000002</v>
      </c>
      <c r="BU185">
        <v>161.91999999999999</v>
      </c>
      <c r="BV185">
        <v>22.51</v>
      </c>
      <c r="BW185">
        <v>260.14</v>
      </c>
      <c r="BX185">
        <v>54.39</v>
      </c>
      <c r="BY185">
        <v>145.01</v>
      </c>
      <c r="BZ185">
        <v>22.58</v>
      </c>
      <c r="CA185" t="s">
        <v>120</v>
      </c>
      <c r="CB185">
        <v>27.37</v>
      </c>
      <c r="CC185">
        <v>681.55</v>
      </c>
      <c r="CD185">
        <v>649.36</v>
      </c>
      <c r="CE185">
        <v>18.690000000000001</v>
      </c>
      <c r="CF185">
        <v>1.35</v>
      </c>
      <c r="CG185">
        <v>18.64</v>
      </c>
      <c r="CH185">
        <v>14.91</v>
      </c>
      <c r="CI185">
        <v>13.21</v>
      </c>
      <c r="CJ185">
        <v>-0.33</v>
      </c>
      <c r="CK185">
        <v>10.43</v>
      </c>
      <c r="CL185">
        <v>53.35</v>
      </c>
      <c r="CM185">
        <v>-9.42</v>
      </c>
      <c r="CN185">
        <v>-8.24</v>
      </c>
      <c r="CO185">
        <v>298980</v>
      </c>
      <c r="CP185">
        <v>22345</v>
      </c>
      <c r="CQ185" t="s">
        <v>1400</v>
      </c>
      <c r="CR185">
        <v>251.65</v>
      </c>
      <c r="CS185">
        <v>53.35</v>
      </c>
      <c r="CT185">
        <v>2.62</v>
      </c>
      <c r="CU185">
        <v>-55.65</v>
      </c>
      <c r="CV185">
        <v>0.77</v>
      </c>
      <c r="CW185">
        <v>0.75</v>
      </c>
      <c r="CX185" t="s">
        <v>986</v>
      </c>
      <c r="CY185">
        <v>1.9</v>
      </c>
      <c r="CZ185">
        <v>0</v>
      </c>
      <c r="DA185">
        <v>0.26</v>
      </c>
      <c r="DB185">
        <v>0.51</v>
      </c>
      <c r="DC185">
        <v>-0.09</v>
      </c>
      <c r="DD185">
        <v>38.869999999999997</v>
      </c>
      <c r="DE185" t="s">
        <v>1401</v>
      </c>
      <c r="DF185">
        <v>4.72</v>
      </c>
      <c r="DG185">
        <v>2.74</v>
      </c>
      <c r="DH185">
        <v>1.94</v>
      </c>
      <c r="DI185">
        <v>0.74</v>
      </c>
      <c r="DJ185">
        <v>14441</v>
      </c>
      <c r="DK185">
        <v>630</v>
      </c>
      <c r="DL185">
        <v>20210913</v>
      </c>
      <c r="DM185">
        <v>5.35</v>
      </c>
      <c r="DN185">
        <v>-6.92</v>
      </c>
    </row>
    <row r="186" spans="1:118">
      <c r="A186" t="str">
        <f>"000631"</f>
        <v>000631</v>
      </c>
      <c r="B186" t="s">
        <v>1402</v>
      </c>
      <c r="C186">
        <v>-3.4</v>
      </c>
      <c r="D186">
        <v>-0.8</v>
      </c>
      <c r="E186">
        <v>9.42</v>
      </c>
      <c r="F186">
        <v>1306</v>
      </c>
      <c r="G186" t="s">
        <v>1403</v>
      </c>
      <c r="H186">
        <v>20417.25</v>
      </c>
      <c r="I186">
        <v>1472.36</v>
      </c>
      <c r="J186" t="s">
        <v>120</v>
      </c>
      <c r="K186" t="s">
        <v>1404</v>
      </c>
      <c r="L186">
        <v>2.17</v>
      </c>
      <c r="M186">
        <v>3.69</v>
      </c>
      <c r="N186">
        <v>3.63</v>
      </c>
      <c r="O186">
        <v>9.42</v>
      </c>
      <c r="P186">
        <v>4.18</v>
      </c>
      <c r="Q186">
        <v>-4.1900000000000004</v>
      </c>
      <c r="R186">
        <v>3.66</v>
      </c>
      <c r="S186">
        <v>4.18</v>
      </c>
      <c r="T186">
        <v>528831</v>
      </c>
      <c r="U186">
        <v>3.7</v>
      </c>
      <c r="V186">
        <v>3.82</v>
      </c>
      <c r="W186">
        <v>107.76</v>
      </c>
      <c r="X186" t="s">
        <v>150</v>
      </c>
      <c r="Y186" t="s">
        <v>290</v>
      </c>
      <c r="Z186">
        <v>13.61</v>
      </c>
      <c r="AA186">
        <v>3.86</v>
      </c>
      <c r="AB186">
        <v>276842</v>
      </c>
      <c r="AC186">
        <v>251989</v>
      </c>
      <c r="AD186">
        <v>1.1000000000000001</v>
      </c>
      <c r="AE186">
        <v>480</v>
      </c>
      <c r="AF186">
        <v>12</v>
      </c>
      <c r="AG186" t="s">
        <v>120</v>
      </c>
      <c r="AH186">
        <v>0.48</v>
      </c>
      <c r="AI186" t="s">
        <v>120</v>
      </c>
      <c r="AJ186">
        <v>24.33</v>
      </c>
      <c r="AK186" t="s">
        <v>1404</v>
      </c>
      <c r="AL186">
        <v>-1.49</v>
      </c>
      <c r="AM186">
        <v>2608</v>
      </c>
      <c r="AN186">
        <v>203</v>
      </c>
      <c r="AO186">
        <v>8.0000000000000004E-4</v>
      </c>
      <c r="AP186">
        <v>-1</v>
      </c>
      <c r="AQ186">
        <v>10.09</v>
      </c>
      <c r="AR186">
        <v>10.48</v>
      </c>
      <c r="AS186">
        <v>23.83</v>
      </c>
      <c r="AT186">
        <v>16.399999999999999</v>
      </c>
      <c r="AU186">
        <v>21.38</v>
      </c>
      <c r="AV186">
        <v>3</v>
      </c>
      <c r="AW186">
        <v>7.28</v>
      </c>
      <c r="AX186">
        <v>29.86</v>
      </c>
      <c r="AY186">
        <v>65.62</v>
      </c>
      <c r="AZ186">
        <v>37.42</v>
      </c>
      <c r="BA186">
        <v>0.12</v>
      </c>
      <c r="BB186" t="s">
        <v>184</v>
      </c>
      <c r="BF186">
        <v>1.07</v>
      </c>
      <c r="BG186">
        <v>-11.72</v>
      </c>
      <c r="BH186">
        <v>-11.72</v>
      </c>
      <c r="BI186">
        <v>0.82</v>
      </c>
      <c r="BJ186">
        <v>20210913</v>
      </c>
      <c r="BK186">
        <v>19961122</v>
      </c>
      <c r="BL186">
        <v>24.33</v>
      </c>
      <c r="BM186" t="s">
        <v>120</v>
      </c>
      <c r="BN186" t="s">
        <v>120</v>
      </c>
      <c r="BO186">
        <v>87.65</v>
      </c>
      <c r="BP186">
        <v>3.69</v>
      </c>
      <c r="BQ186">
        <v>61.55</v>
      </c>
      <c r="BR186">
        <v>1.01</v>
      </c>
      <c r="BS186">
        <v>28.62</v>
      </c>
      <c r="BT186">
        <v>77.09</v>
      </c>
      <c r="BU186">
        <v>3.15</v>
      </c>
      <c r="BV186">
        <v>0.15</v>
      </c>
      <c r="BW186">
        <v>20.7</v>
      </c>
      <c r="BX186">
        <v>52.52</v>
      </c>
      <c r="BY186">
        <v>23.55</v>
      </c>
      <c r="BZ186">
        <v>0.62</v>
      </c>
      <c r="CA186">
        <v>0.16</v>
      </c>
      <c r="CB186">
        <v>13.14</v>
      </c>
      <c r="CC186">
        <v>1.21</v>
      </c>
      <c r="CD186">
        <v>0.71</v>
      </c>
      <c r="CE186">
        <v>0.56999999999999995</v>
      </c>
      <c r="CF186">
        <v>0.23</v>
      </c>
      <c r="CG186">
        <v>0.56999999999999995</v>
      </c>
      <c r="CH186">
        <v>0.45</v>
      </c>
      <c r="CI186">
        <v>0.42</v>
      </c>
      <c r="CJ186">
        <v>-0.13</v>
      </c>
      <c r="CK186">
        <v>0.26</v>
      </c>
      <c r="CL186">
        <v>24.98</v>
      </c>
      <c r="CM186">
        <v>10.42</v>
      </c>
      <c r="CN186">
        <v>11.86</v>
      </c>
      <c r="CO186">
        <v>23040</v>
      </c>
      <c r="CP186">
        <v>31527</v>
      </c>
      <c r="CQ186" t="s">
        <v>596</v>
      </c>
      <c r="CR186">
        <v>-71.92</v>
      </c>
      <c r="CS186">
        <v>-69.67</v>
      </c>
      <c r="CT186">
        <v>1.46</v>
      </c>
      <c r="CU186">
        <v>8.61</v>
      </c>
      <c r="CV186">
        <v>74.430000000000007</v>
      </c>
      <c r="CW186">
        <v>0</v>
      </c>
      <c r="CX186" t="s">
        <v>499</v>
      </c>
      <c r="CY186">
        <v>2.5299999999999998</v>
      </c>
      <c r="CZ186">
        <v>0</v>
      </c>
      <c r="DA186">
        <v>0.54</v>
      </c>
      <c r="DB186">
        <v>1.03</v>
      </c>
      <c r="DC186">
        <v>0.43</v>
      </c>
      <c r="DD186">
        <v>70.23</v>
      </c>
      <c r="DE186" t="s">
        <v>1405</v>
      </c>
      <c r="DF186">
        <v>41.52</v>
      </c>
      <c r="DG186">
        <v>47.31</v>
      </c>
      <c r="DH186">
        <v>34.54</v>
      </c>
      <c r="DI186" t="s">
        <v>120</v>
      </c>
      <c r="DJ186">
        <v>615</v>
      </c>
      <c r="DK186">
        <v>631</v>
      </c>
      <c r="DL186" t="s">
        <v>120</v>
      </c>
      <c r="DM186" t="s">
        <v>120</v>
      </c>
      <c r="DN186" t="s">
        <v>120</v>
      </c>
    </row>
    <row r="187" spans="1:118">
      <c r="A187" t="str">
        <f>"000632"</f>
        <v>000632</v>
      </c>
      <c r="B187" t="s">
        <v>1406</v>
      </c>
      <c r="C187">
        <v>-0.85</v>
      </c>
      <c r="D187">
        <v>-0.27</v>
      </c>
      <c r="E187">
        <v>0</v>
      </c>
      <c r="F187">
        <v>446</v>
      </c>
      <c r="G187" t="s">
        <v>1407</v>
      </c>
      <c r="H187">
        <v>2584.02</v>
      </c>
      <c r="I187">
        <v>3.85</v>
      </c>
      <c r="J187" t="s">
        <v>120</v>
      </c>
      <c r="K187" t="s">
        <v>1408</v>
      </c>
      <c r="L187">
        <v>1.57</v>
      </c>
      <c r="M187">
        <v>3.5</v>
      </c>
      <c r="N187">
        <v>1.1100000000000001</v>
      </c>
      <c r="O187">
        <v>1.98</v>
      </c>
      <c r="P187">
        <v>3.6</v>
      </c>
      <c r="Q187">
        <v>-1.1299999999999999</v>
      </c>
      <c r="R187">
        <v>3.49</v>
      </c>
      <c r="S187">
        <v>3.53</v>
      </c>
      <c r="T187">
        <v>72869</v>
      </c>
      <c r="U187">
        <v>3.51</v>
      </c>
      <c r="V187">
        <v>3.53</v>
      </c>
      <c r="W187">
        <v>43.12</v>
      </c>
      <c r="X187" t="s">
        <v>166</v>
      </c>
      <c r="Y187" t="s">
        <v>937</v>
      </c>
      <c r="Z187">
        <v>3.12</v>
      </c>
      <c r="AA187">
        <v>3.55</v>
      </c>
      <c r="AB187">
        <v>35808</v>
      </c>
      <c r="AC187">
        <v>37061</v>
      </c>
      <c r="AD187">
        <v>0.97</v>
      </c>
      <c r="AE187">
        <v>846</v>
      </c>
      <c r="AF187">
        <v>540</v>
      </c>
      <c r="AG187" t="s">
        <v>120</v>
      </c>
      <c r="AH187">
        <v>0</v>
      </c>
      <c r="AI187" t="s">
        <v>120</v>
      </c>
      <c r="AJ187">
        <v>4.6500000000000004</v>
      </c>
      <c r="AK187" t="s">
        <v>1408</v>
      </c>
      <c r="AL187">
        <v>1.06</v>
      </c>
      <c r="AM187">
        <v>1077</v>
      </c>
      <c r="AN187">
        <v>68</v>
      </c>
      <c r="AO187">
        <v>1.5E-3</v>
      </c>
      <c r="AP187">
        <v>-1</v>
      </c>
      <c r="AQ187">
        <v>1.44</v>
      </c>
      <c r="AR187">
        <v>-1.1200000000000001</v>
      </c>
      <c r="AS187">
        <v>4.17</v>
      </c>
      <c r="AT187">
        <v>-5.66</v>
      </c>
      <c r="AU187">
        <v>-14.42</v>
      </c>
      <c r="AV187">
        <v>0</v>
      </c>
      <c r="AW187">
        <v>2.27</v>
      </c>
      <c r="AX187">
        <v>69.010000000000005</v>
      </c>
      <c r="AY187">
        <v>37.08</v>
      </c>
      <c r="AZ187">
        <v>34.86</v>
      </c>
      <c r="BA187">
        <v>0.24</v>
      </c>
      <c r="BB187" t="s">
        <v>168</v>
      </c>
      <c r="BF187">
        <v>0.46</v>
      </c>
      <c r="BG187">
        <v>-0.85</v>
      </c>
      <c r="BH187">
        <v>-2.78</v>
      </c>
      <c r="BI187">
        <v>0.28999999999999998</v>
      </c>
      <c r="BJ187">
        <v>20210827</v>
      </c>
      <c r="BK187">
        <v>19961121</v>
      </c>
      <c r="BL187">
        <v>4.66</v>
      </c>
      <c r="BM187" t="s">
        <v>120</v>
      </c>
      <c r="BN187" t="s">
        <v>120</v>
      </c>
      <c r="BO187">
        <v>102.29</v>
      </c>
      <c r="BP187">
        <v>3.5</v>
      </c>
      <c r="BQ187">
        <v>14.13</v>
      </c>
      <c r="BR187">
        <v>4.95</v>
      </c>
      <c r="BS187">
        <v>81.349999999999994</v>
      </c>
      <c r="BT187">
        <v>72.64</v>
      </c>
      <c r="BU187">
        <v>5.0599999999999996</v>
      </c>
      <c r="BV187">
        <v>0.03</v>
      </c>
      <c r="BW187">
        <v>59.29</v>
      </c>
      <c r="BX187">
        <v>13.7</v>
      </c>
      <c r="BY187">
        <v>45.62</v>
      </c>
      <c r="BZ187">
        <v>1.95</v>
      </c>
      <c r="CA187">
        <v>0.09</v>
      </c>
      <c r="CB187">
        <v>0</v>
      </c>
      <c r="CC187">
        <v>37.799999999999997</v>
      </c>
      <c r="CD187">
        <v>36.229999999999997</v>
      </c>
      <c r="CE187">
        <v>0.22</v>
      </c>
      <c r="CF187">
        <v>0.62</v>
      </c>
      <c r="CG187">
        <v>0.23</v>
      </c>
      <c r="CH187">
        <v>0.19</v>
      </c>
      <c r="CI187">
        <v>0.19</v>
      </c>
      <c r="CJ187">
        <v>-0.03</v>
      </c>
      <c r="CK187">
        <v>0.15</v>
      </c>
      <c r="CL187">
        <v>3.03</v>
      </c>
      <c r="CM187">
        <v>-1.99</v>
      </c>
      <c r="CN187">
        <v>2.06</v>
      </c>
      <c r="CO187">
        <v>26066</v>
      </c>
      <c r="CP187">
        <v>12325</v>
      </c>
      <c r="CQ187" t="s">
        <v>223</v>
      </c>
      <c r="CR187">
        <v>-13.01</v>
      </c>
      <c r="CS187">
        <v>46.36</v>
      </c>
      <c r="CT187">
        <v>1.1499999999999999</v>
      </c>
      <c r="CU187">
        <v>-8.19</v>
      </c>
      <c r="CV187">
        <v>0.43</v>
      </c>
      <c r="CW187">
        <v>0</v>
      </c>
      <c r="CX187" t="s">
        <v>1409</v>
      </c>
      <c r="CY187">
        <v>3.04</v>
      </c>
      <c r="CZ187">
        <v>0</v>
      </c>
      <c r="DA187">
        <v>0</v>
      </c>
      <c r="DB187">
        <v>0.65</v>
      </c>
      <c r="DC187">
        <v>-0.43</v>
      </c>
      <c r="DD187">
        <v>13.81</v>
      </c>
      <c r="DE187" t="s">
        <v>1410</v>
      </c>
      <c r="DF187">
        <v>4.16</v>
      </c>
      <c r="DG187">
        <v>0.56999999999999995</v>
      </c>
      <c r="DH187">
        <v>0.5</v>
      </c>
      <c r="DI187" t="s">
        <v>120</v>
      </c>
      <c r="DJ187">
        <v>590</v>
      </c>
      <c r="DK187">
        <v>632</v>
      </c>
      <c r="DL187" t="s">
        <v>120</v>
      </c>
      <c r="DM187" t="s">
        <v>120</v>
      </c>
      <c r="DN187" t="s">
        <v>120</v>
      </c>
    </row>
    <row r="188" spans="1:118">
      <c r="A188" t="str">
        <f>"000633"</f>
        <v>000633</v>
      </c>
      <c r="B188" t="s">
        <v>1411</v>
      </c>
      <c r="C188">
        <v>-2.23</v>
      </c>
      <c r="D188">
        <v>0</v>
      </c>
      <c r="E188">
        <v>-0.14000000000000001</v>
      </c>
      <c r="F188">
        <v>734</v>
      </c>
      <c r="G188" t="s">
        <v>1412</v>
      </c>
      <c r="H188">
        <v>7572.81</v>
      </c>
      <c r="I188">
        <v>2.44</v>
      </c>
      <c r="J188" t="s">
        <v>120</v>
      </c>
      <c r="K188" t="s">
        <v>1413</v>
      </c>
      <c r="L188">
        <v>2.71</v>
      </c>
      <c r="M188">
        <v>7.03</v>
      </c>
      <c r="N188">
        <v>2.31</v>
      </c>
      <c r="O188">
        <v>5.42</v>
      </c>
      <c r="P188">
        <v>7.58</v>
      </c>
      <c r="Q188">
        <v>-2.36</v>
      </c>
      <c r="R188">
        <v>7.02</v>
      </c>
      <c r="S188">
        <v>7.18</v>
      </c>
      <c r="T188">
        <v>104371</v>
      </c>
      <c r="U188">
        <v>7.04</v>
      </c>
      <c r="V188">
        <v>7.19</v>
      </c>
      <c r="W188">
        <v>2960.74</v>
      </c>
      <c r="X188" t="s">
        <v>166</v>
      </c>
      <c r="Y188" t="s">
        <v>609</v>
      </c>
      <c r="Z188">
        <v>7.79</v>
      </c>
      <c r="AA188">
        <v>7.26</v>
      </c>
      <c r="AB188">
        <v>54063</v>
      </c>
      <c r="AC188">
        <v>50308</v>
      </c>
      <c r="AD188">
        <v>1.07</v>
      </c>
      <c r="AE188">
        <v>136</v>
      </c>
      <c r="AF188">
        <v>34</v>
      </c>
      <c r="AG188" t="s">
        <v>120</v>
      </c>
      <c r="AH188">
        <v>0</v>
      </c>
      <c r="AI188" t="s">
        <v>120</v>
      </c>
      <c r="AJ188">
        <v>3.85</v>
      </c>
      <c r="AK188" t="s">
        <v>1413</v>
      </c>
      <c r="AL188">
        <v>-0.31</v>
      </c>
      <c r="AM188">
        <v>1946</v>
      </c>
      <c r="AN188">
        <v>54</v>
      </c>
      <c r="AO188">
        <v>1.4E-3</v>
      </c>
      <c r="AP188">
        <v>-1</v>
      </c>
      <c r="AQ188">
        <v>1.84</v>
      </c>
      <c r="AR188">
        <v>-1.82</v>
      </c>
      <c r="AS188">
        <v>-7.62</v>
      </c>
      <c r="AT188">
        <v>4.3099999999999996</v>
      </c>
      <c r="AU188">
        <v>36.5</v>
      </c>
      <c r="AV188">
        <v>10</v>
      </c>
      <c r="AW188">
        <v>4.09</v>
      </c>
      <c r="AX188">
        <v>66.34</v>
      </c>
      <c r="AY188">
        <v>2870.85</v>
      </c>
      <c r="AZ188">
        <v>305.63</v>
      </c>
      <c r="BA188">
        <v>0.6</v>
      </c>
      <c r="BB188" t="s">
        <v>168</v>
      </c>
      <c r="BF188">
        <v>0.91</v>
      </c>
      <c r="BG188">
        <v>-2.09</v>
      </c>
      <c r="BH188">
        <v>-7.26</v>
      </c>
      <c r="BI188">
        <v>0.14000000000000001</v>
      </c>
      <c r="BJ188">
        <v>20210824</v>
      </c>
      <c r="BK188">
        <v>19961112</v>
      </c>
      <c r="BL188">
        <v>3.85</v>
      </c>
      <c r="BM188" t="s">
        <v>120</v>
      </c>
      <c r="BN188" t="s">
        <v>120</v>
      </c>
      <c r="BO188">
        <v>2.35</v>
      </c>
      <c r="BP188">
        <v>7.03</v>
      </c>
      <c r="BQ188">
        <v>1.65</v>
      </c>
      <c r="BR188" t="s">
        <v>120</v>
      </c>
      <c r="BS188">
        <v>29.7</v>
      </c>
      <c r="BT188">
        <v>1.21</v>
      </c>
      <c r="BU188">
        <v>0.88</v>
      </c>
      <c r="BV188">
        <v>0.14000000000000001</v>
      </c>
      <c r="BW188">
        <v>0.28999999999999998</v>
      </c>
      <c r="BX188">
        <v>0.25</v>
      </c>
      <c r="BY188">
        <v>0.34</v>
      </c>
      <c r="BZ188">
        <v>0.41</v>
      </c>
      <c r="CA188" t="s">
        <v>120</v>
      </c>
      <c r="CB188">
        <v>0.48</v>
      </c>
      <c r="CC188">
        <v>0.71</v>
      </c>
      <c r="CD188">
        <v>0.61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-0.16</v>
      </c>
      <c r="CK188">
        <v>0</v>
      </c>
      <c r="CL188">
        <v>-3.32</v>
      </c>
      <c r="CM188">
        <v>7.0000000000000007E-2</v>
      </c>
      <c r="CN188">
        <v>0.05</v>
      </c>
      <c r="CO188">
        <v>25038</v>
      </c>
      <c r="CP188">
        <v>10204</v>
      </c>
      <c r="CQ188" t="s">
        <v>1414</v>
      </c>
      <c r="CR188">
        <v>-94.65</v>
      </c>
      <c r="CS188">
        <v>7.83</v>
      </c>
      <c r="CT188">
        <v>16.37</v>
      </c>
      <c r="CU188">
        <v>414.42</v>
      </c>
      <c r="CV188">
        <v>38.020000000000003</v>
      </c>
      <c r="CW188">
        <v>0</v>
      </c>
      <c r="CX188" t="s">
        <v>1415</v>
      </c>
      <c r="CY188">
        <v>0.43</v>
      </c>
      <c r="CZ188">
        <v>0</v>
      </c>
      <c r="DA188">
        <v>0.12</v>
      </c>
      <c r="DB188">
        <v>-0.86</v>
      </c>
      <c r="DC188">
        <v>0.02</v>
      </c>
      <c r="DD188">
        <v>70.3</v>
      </c>
      <c r="DE188" t="s">
        <v>1416</v>
      </c>
      <c r="DF188">
        <v>13.65</v>
      </c>
      <c r="DG188">
        <v>0.67</v>
      </c>
      <c r="DH188">
        <v>0.64</v>
      </c>
      <c r="DI188" t="s">
        <v>120</v>
      </c>
      <c r="DJ188">
        <v>209</v>
      </c>
      <c r="DK188">
        <v>633</v>
      </c>
      <c r="DL188" t="s">
        <v>120</v>
      </c>
      <c r="DM188" t="s">
        <v>120</v>
      </c>
      <c r="DN188" t="s">
        <v>120</v>
      </c>
    </row>
    <row r="189" spans="1:118">
      <c r="A189" t="str">
        <f>"000635"</f>
        <v>000635</v>
      </c>
      <c r="B189" t="s">
        <v>1417</v>
      </c>
      <c r="C189">
        <v>0.42</v>
      </c>
      <c r="D189">
        <v>-0.46</v>
      </c>
      <c r="E189">
        <v>3.29</v>
      </c>
      <c r="F189">
        <v>1481</v>
      </c>
      <c r="G189" t="s">
        <v>1418</v>
      </c>
      <c r="H189">
        <v>51949.7</v>
      </c>
      <c r="I189">
        <v>451.18</v>
      </c>
      <c r="J189" t="s">
        <v>120</v>
      </c>
      <c r="K189" t="s">
        <v>1419</v>
      </c>
      <c r="L189">
        <v>9.89</v>
      </c>
      <c r="M189">
        <v>16.8</v>
      </c>
      <c r="N189">
        <v>1.02</v>
      </c>
      <c r="O189">
        <v>8.43</v>
      </c>
      <c r="P189">
        <v>18.14</v>
      </c>
      <c r="Q189">
        <v>-0.24</v>
      </c>
      <c r="R189">
        <v>16.690000000000001</v>
      </c>
      <c r="S189">
        <v>17.28</v>
      </c>
      <c r="T189">
        <v>299810</v>
      </c>
      <c r="U189">
        <v>16.8</v>
      </c>
      <c r="V189">
        <v>16.73</v>
      </c>
      <c r="W189">
        <v>14.19</v>
      </c>
      <c r="X189" t="s">
        <v>868</v>
      </c>
      <c r="Y189" t="s">
        <v>1110</v>
      </c>
      <c r="Z189">
        <v>8.67</v>
      </c>
      <c r="AA189">
        <v>17.329999999999998</v>
      </c>
      <c r="AB189">
        <v>148763</v>
      </c>
      <c r="AC189">
        <v>151047</v>
      </c>
      <c r="AD189">
        <v>0.98</v>
      </c>
      <c r="AE189">
        <v>35</v>
      </c>
      <c r="AF189">
        <v>70</v>
      </c>
      <c r="AG189" t="s">
        <v>120</v>
      </c>
      <c r="AH189">
        <v>0.18</v>
      </c>
      <c r="AI189" t="s">
        <v>120</v>
      </c>
      <c r="AJ189">
        <v>3.03</v>
      </c>
      <c r="AK189" t="s">
        <v>1419</v>
      </c>
      <c r="AL189">
        <v>2.33</v>
      </c>
      <c r="AM189">
        <v>4194</v>
      </c>
      <c r="AN189">
        <v>71</v>
      </c>
      <c r="AO189">
        <v>2.3999999999999998E-3</v>
      </c>
      <c r="AP189">
        <v>2</v>
      </c>
      <c r="AQ189">
        <v>3.66</v>
      </c>
      <c r="AR189">
        <v>-0.41</v>
      </c>
      <c r="AS189">
        <v>26.51</v>
      </c>
      <c r="AT189">
        <v>54.99</v>
      </c>
      <c r="AU189">
        <v>120.19</v>
      </c>
      <c r="AV189">
        <v>4</v>
      </c>
      <c r="AW189">
        <v>20.29</v>
      </c>
      <c r="AX189">
        <v>48.75</v>
      </c>
      <c r="AY189">
        <v>19.54</v>
      </c>
      <c r="AZ189">
        <v>72.87</v>
      </c>
      <c r="BA189">
        <v>0.74</v>
      </c>
      <c r="BB189" t="s">
        <v>184</v>
      </c>
      <c r="BF189">
        <v>3.57</v>
      </c>
      <c r="BG189">
        <v>-2.78</v>
      </c>
      <c r="BH189">
        <v>-7.39</v>
      </c>
      <c r="BI189">
        <v>0.66</v>
      </c>
      <c r="BJ189">
        <v>20210914</v>
      </c>
      <c r="BK189">
        <v>19961120</v>
      </c>
      <c r="BL189">
        <v>3.03</v>
      </c>
      <c r="BM189" t="s">
        <v>120</v>
      </c>
      <c r="BN189" t="s">
        <v>120</v>
      </c>
      <c r="BO189">
        <v>34.67</v>
      </c>
      <c r="BP189">
        <v>16.79</v>
      </c>
      <c r="BQ189">
        <v>28.36</v>
      </c>
      <c r="BR189" t="s">
        <v>120</v>
      </c>
      <c r="BS189">
        <v>18.2</v>
      </c>
      <c r="BT189">
        <v>19.7</v>
      </c>
      <c r="BU189">
        <v>13.78</v>
      </c>
      <c r="BV189">
        <v>0.7</v>
      </c>
      <c r="BW189">
        <v>6.24</v>
      </c>
      <c r="BX189">
        <v>7.06</v>
      </c>
      <c r="BY189">
        <v>0.78</v>
      </c>
      <c r="BZ189">
        <v>0</v>
      </c>
      <c r="CA189">
        <v>0.18</v>
      </c>
      <c r="CB189">
        <v>18.79</v>
      </c>
      <c r="CC189">
        <v>12.52</v>
      </c>
      <c r="CD189">
        <v>9.66</v>
      </c>
      <c r="CE189">
        <v>2.42</v>
      </c>
      <c r="CF189">
        <v>0</v>
      </c>
      <c r="CG189">
        <v>2.42</v>
      </c>
      <c r="CH189">
        <v>1.79</v>
      </c>
      <c r="CI189">
        <v>1.79</v>
      </c>
      <c r="CJ189">
        <v>7.0000000000000007E-2</v>
      </c>
      <c r="CK189">
        <v>1.66</v>
      </c>
      <c r="CL189">
        <v>5.31</v>
      </c>
      <c r="CM189">
        <v>2.56</v>
      </c>
      <c r="CN189">
        <v>0.27</v>
      </c>
      <c r="CO189">
        <v>30105</v>
      </c>
      <c r="CP189">
        <v>4908</v>
      </c>
      <c r="CQ189" t="s">
        <v>1420</v>
      </c>
      <c r="CR189">
        <v>1794.64</v>
      </c>
      <c r="CS189">
        <v>61.4</v>
      </c>
      <c r="CT189">
        <v>1.8</v>
      </c>
      <c r="CU189">
        <v>19.86</v>
      </c>
      <c r="CV189">
        <v>4.07</v>
      </c>
      <c r="CW189">
        <v>0.84</v>
      </c>
      <c r="CX189" t="s">
        <v>597</v>
      </c>
      <c r="CY189">
        <v>9.36</v>
      </c>
      <c r="CZ189">
        <v>0</v>
      </c>
      <c r="DA189">
        <v>6.2</v>
      </c>
      <c r="DB189">
        <v>1.75</v>
      </c>
      <c r="DC189">
        <v>0.85</v>
      </c>
      <c r="DD189">
        <v>81.8</v>
      </c>
      <c r="DE189" t="s">
        <v>1421</v>
      </c>
      <c r="DF189">
        <v>22.8</v>
      </c>
      <c r="DG189">
        <v>19.32</v>
      </c>
      <c r="DH189">
        <v>14.33</v>
      </c>
      <c r="DI189" t="s">
        <v>120</v>
      </c>
      <c r="DJ189">
        <v>2128</v>
      </c>
      <c r="DK189">
        <v>635</v>
      </c>
      <c r="DL189" t="s">
        <v>120</v>
      </c>
      <c r="DM189" t="s">
        <v>120</v>
      </c>
      <c r="DN189" t="s">
        <v>120</v>
      </c>
    </row>
    <row r="190" spans="1:118">
      <c r="A190" t="str">
        <f>"000636"</f>
        <v>000636</v>
      </c>
      <c r="B190" t="s">
        <v>1422</v>
      </c>
      <c r="C190">
        <v>-3.98</v>
      </c>
      <c r="D190">
        <v>-0.03</v>
      </c>
      <c r="E190">
        <v>-0.43</v>
      </c>
      <c r="F190">
        <v>4904</v>
      </c>
      <c r="G190" t="s">
        <v>1423</v>
      </c>
      <c r="H190">
        <v>74723.179999999993</v>
      </c>
      <c r="I190">
        <v>72.12</v>
      </c>
      <c r="J190" t="s">
        <v>120</v>
      </c>
      <c r="K190" t="s">
        <v>1424</v>
      </c>
      <c r="L190">
        <v>3.07</v>
      </c>
      <c r="M190">
        <v>26.75</v>
      </c>
      <c r="N190">
        <v>0.77</v>
      </c>
      <c r="O190">
        <v>-0.18</v>
      </c>
      <c r="P190">
        <v>27.81</v>
      </c>
      <c r="Q190">
        <v>-4.09</v>
      </c>
      <c r="R190">
        <v>26.72</v>
      </c>
      <c r="S190">
        <v>27.74</v>
      </c>
      <c r="T190">
        <v>275021</v>
      </c>
      <c r="U190">
        <v>26.76</v>
      </c>
      <c r="V190">
        <v>27.86</v>
      </c>
      <c r="W190">
        <v>23.68</v>
      </c>
      <c r="X190" t="s">
        <v>229</v>
      </c>
      <c r="Y190" t="s">
        <v>547</v>
      </c>
      <c r="Z190">
        <v>3.91</v>
      </c>
      <c r="AA190">
        <v>27.17</v>
      </c>
      <c r="AB190">
        <v>164748</v>
      </c>
      <c r="AC190">
        <v>110273</v>
      </c>
      <c r="AD190">
        <v>1.49</v>
      </c>
      <c r="AE190">
        <v>301</v>
      </c>
      <c r="AF190">
        <v>125</v>
      </c>
      <c r="AG190" t="s">
        <v>120</v>
      </c>
      <c r="AH190">
        <v>0</v>
      </c>
      <c r="AI190" t="s">
        <v>120</v>
      </c>
      <c r="AJ190">
        <v>8.9499999999999993</v>
      </c>
      <c r="AK190" t="s">
        <v>1424</v>
      </c>
      <c r="AL190">
        <v>-2.0699999999999998</v>
      </c>
      <c r="AM190">
        <v>4372</v>
      </c>
      <c r="AN190">
        <v>63</v>
      </c>
      <c r="AO190">
        <v>6.9999999999999999E-4</v>
      </c>
      <c r="AP190">
        <v>-2</v>
      </c>
      <c r="AQ190">
        <v>-1.49</v>
      </c>
      <c r="AR190">
        <v>-2.16</v>
      </c>
      <c r="AS190">
        <v>-13.6</v>
      </c>
      <c r="AT190">
        <v>-5.9</v>
      </c>
      <c r="AU190">
        <v>-20.51</v>
      </c>
      <c r="AV190">
        <v>1</v>
      </c>
      <c r="AW190">
        <v>3.84</v>
      </c>
      <c r="AX190">
        <v>79.97</v>
      </c>
      <c r="AY190">
        <v>40.89</v>
      </c>
      <c r="AZ190">
        <v>69.53</v>
      </c>
      <c r="BA190">
        <v>1.18</v>
      </c>
      <c r="BB190" t="s">
        <v>134</v>
      </c>
      <c r="BF190">
        <v>-2.48</v>
      </c>
      <c r="BG190">
        <v>-3.57</v>
      </c>
      <c r="BH190">
        <v>-3.81</v>
      </c>
      <c r="BI190">
        <v>0.11</v>
      </c>
      <c r="BJ190">
        <v>20210827</v>
      </c>
      <c r="BK190">
        <v>19961129</v>
      </c>
      <c r="BL190">
        <v>8.9499999999999993</v>
      </c>
      <c r="BM190" t="s">
        <v>120</v>
      </c>
      <c r="BN190" t="s">
        <v>120</v>
      </c>
      <c r="BO190">
        <v>99.45</v>
      </c>
      <c r="BP190">
        <v>26.75</v>
      </c>
      <c r="BQ190">
        <v>64.56</v>
      </c>
      <c r="BR190">
        <v>0.81</v>
      </c>
      <c r="BS190">
        <v>34.270000000000003</v>
      </c>
      <c r="BT190">
        <v>39.89</v>
      </c>
      <c r="BU190">
        <v>24.8</v>
      </c>
      <c r="BV190">
        <v>2.39</v>
      </c>
      <c r="BW190">
        <v>28.25</v>
      </c>
      <c r="BX190">
        <v>15.92</v>
      </c>
      <c r="BY190">
        <v>6.15</v>
      </c>
      <c r="BZ190">
        <v>10.64</v>
      </c>
      <c r="CA190" t="s">
        <v>120</v>
      </c>
      <c r="CB190">
        <v>24.07</v>
      </c>
      <c r="CC190">
        <v>26.97</v>
      </c>
      <c r="CD190">
        <v>18.12</v>
      </c>
      <c r="CE190">
        <v>5.96</v>
      </c>
      <c r="CF190">
        <v>0.33</v>
      </c>
      <c r="CG190">
        <v>5.86</v>
      </c>
      <c r="CH190">
        <v>5.0999999999999996</v>
      </c>
      <c r="CI190">
        <v>5.0599999999999996</v>
      </c>
      <c r="CJ190">
        <v>-1.1100000000000001</v>
      </c>
      <c r="CK190">
        <v>4.8</v>
      </c>
      <c r="CL190">
        <v>24.44</v>
      </c>
      <c r="CM190">
        <v>5.0599999999999996</v>
      </c>
      <c r="CN190">
        <v>-4.5199999999999996</v>
      </c>
      <c r="CO190">
        <v>101159</v>
      </c>
      <c r="CP190">
        <v>7077</v>
      </c>
      <c r="CQ190" t="s">
        <v>1425</v>
      </c>
      <c r="CR190">
        <v>98.77</v>
      </c>
      <c r="CS190">
        <v>51.85</v>
      </c>
      <c r="CT190">
        <v>3.71</v>
      </c>
      <c r="CU190">
        <v>47.28</v>
      </c>
      <c r="CV190">
        <v>8.8800000000000008</v>
      </c>
      <c r="CW190">
        <v>0.18</v>
      </c>
      <c r="CX190" t="s">
        <v>1426</v>
      </c>
      <c r="CY190">
        <v>7.21</v>
      </c>
      <c r="CZ190">
        <v>0</v>
      </c>
      <c r="DA190">
        <v>2.69</v>
      </c>
      <c r="DB190">
        <v>2.73</v>
      </c>
      <c r="DC190">
        <v>0.56999999999999995</v>
      </c>
      <c r="DD190">
        <v>64.91</v>
      </c>
      <c r="DE190" t="s">
        <v>1427</v>
      </c>
      <c r="DF190">
        <v>32.840000000000003</v>
      </c>
      <c r="DG190">
        <v>22.12</v>
      </c>
      <c r="DH190">
        <v>18.75</v>
      </c>
      <c r="DI190">
        <v>1.3</v>
      </c>
      <c r="DJ190">
        <v>7407</v>
      </c>
      <c r="DK190">
        <v>636</v>
      </c>
      <c r="DL190" t="s">
        <v>120</v>
      </c>
      <c r="DM190" t="s">
        <v>120</v>
      </c>
      <c r="DN190" t="s">
        <v>120</v>
      </c>
    </row>
    <row r="191" spans="1:118">
      <c r="A191" t="str">
        <f>"000637"</f>
        <v>000637</v>
      </c>
      <c r="B191" t="s">
        <v>1428</v>
      </c>
      <c r="C191">
        <v>-1.21</v>
      </c>
      <c r="D191">
        <v>0.41</v>
      </c>
      <c r="E191">
        <v>3.03</v>
      </c>
      <c r="F191">
        <v>1367</v>
      </c>
      <c r="G191" t="s">
        <v>1304</v>
      </c>
      <c r="H191">
        <v>7114.33</v>
      </c>
      <c r="I191">
        <v>186.97</v>
      </c>
      <c r="J191" t="s">
        <v>120</v>
      </c>
      <c r="K191" t="s">
        <v>1429</v>
      </c>
      <c r="L191">
        <v>3.92</v>
      </c>
      <c r="M191">
        <v>4.8899999999999997</v>
      </c>
      <c r="N191">
        <v>1.1000000000000001</v>
      </c>
      <c r="O191">
        <v>3.43</v>
      </c>
      <c r="P191">
        <v>5.12</v>
      </c>
      <c r="Q191">
        <v>-1.82</v>
      </c>
      <c r="R191">
        <v>4.8600000000000003</v>
      </c>
      <c r="S191">
        <v>5.0999999999999996</v>
      </c>
      <c r="T191">
        <v>143527</v>
      </c>
      <c r="U191">
        <v>4.8899999999999997</v>
      </c>
      <c r="V191">
        <v>4.95</v>
      </c>
      <c r="W191">
        <v>51.27</v>
      </c>
      <c r="X191" t="s">
        <v>431</v>
      </c>
      <c r="Y191" t="s">
        <v>547</v>
      </c>
      <c r="Z191">
        <v>5.25</v>
      </c>
      <c r="AA191">
        <v>4.96</v>
      </c>
      <c r="AB191">
        <v>84937</v>
      </c>
      <c r="AC191">
        <v>58590</v>
      </c>
      <c r="AD191">
        <v>1.45</v>
      </c>
      <c r="AE191">
        <v>392</v>
      </c>
      <c r="AF191">
        <v>201</v>
      </c>
      <c r="AG191" t="s">
        <v>120</v>
      </c>
      <c r="AH191">
        <v>0.13</v>
      </c>
      <c r="AI191" t="s">
        <v>120</v>
      </c>
      <c r="AJ191">
        <v>3.66</v>
      </c>
      <c r="AK191" t="s">
        <v>1430</v>
      </c>
      <c r="AL191">
        <v>0.7</v>
      </c>
      <c r="AM191">
        <v>2182</v>
      </c>
      <c r="AN191">
        <v>66</v>
      </c>
      <c r="AO191">
        <v>1.8E-3</v>
      </c>
      <c r="AP191">
        <v>-1</v>
      </c>
      <c r="AQ191">
        <v>3.56</v>
      </c>
      <c r="AR191">
        <v>1.46</v>
      </c>
      <c r="AS191">
        <v>11.9</v>
      </c>
      <c r="AT191">
        <v>23.8</v>
      </c>
      <c r="AU191">
        <v>18.399999999999999</v>
      </c>
      <c r="AV191">
        <v>0</v>
      </c>
      <c r="AW191">
        <v>4.95</v>
      </c>
      <c r="AX191">
        <v>55.75</v>
      </c>
      <c r="AY191">
        <v>95.56</v>
      </c>
      <c r="AZ191">
        <v>176.86</v>
      </c>
      <c r="BA191">
        <v>0.22</v>
      </c>
      <c r="BB191" t="s">
        <v>700</v>
      </c>
      <c r="BF191">
        <v>0.14000000000000001</v>
      </c>
      <c r="BG191">
        <v>-4.12</v>
      </c>
      <c r="BH191">
        <v>-4.49</v>
      </c>
      <c r="BI191">
        <v>0.62</v>
      </c>
      <c r="BJ191">
        <v>20210830</v>
      </c>
      <c r="BK191">
        <v>19961114</v>
      </c>
      <c r="BL191">
        <v>5.2</v>
      </c>
      <c r="BM191" t="s">
        <v>120</v>
      </c>
      <c r="BN191" t="s">
        <v>120</v>
      </c>
      <c r="BO191">
        <v>26.97</v>
      </c>
      <c r="BP191">
        <v>4.88</v>
      </c>
      <c r="BQ191">
        <v>9.34</v>
      </c>
      <c r="BR191">
        <v>0.84</v>
      </c>
      <c r="BS191">
        <v>62.24</v>
      </c>
      <c r="BT191">
        <v>12.59</v>
      </c>
      <c r="BU191">
        <v>3.43</v>
      </c>
      <c r="BV191">
        <v>0.83</v>
      </c>
      <c r="BW191">
        <v>11.28</v>
      </c>
      <c r="BX191">
        <v>5.1100000000000003</v>
      </c>
      <c r="BY191">
        <v>2.94</v>
      </c>
      <c r="BZ191">
        <v>0.66</v>
      </c>
      <c r="CA191" t="s">
        <v>120</v>
      </c>
      <c r="CB191">
        <v>7.0000000000000007E-2</v>
      </c>
      <c r="CC191">
        <v>21.41</v>
      </c>
      <c r="CD191">
        <v>20.22</v>
      </c>
      <c r="CE191">
        <v>0.55000000000000004</v>
      </c>
      <c r="CF191">
        <v>0.03</v>
      </c>
      <c r="CG191">
        <v>0.55000000000000004</v>
      </c>
      <c r="CH191">
        <v>0.32</v>
      </c>
      <c r="CI191">
        <v>0.25</v>
      </c>
      <c r="CJ191">
        <v>-0.06</v>
      </c>
      <c r="CK191">
        <v>0.21</v>
      </c>
      <c r="CL191">
        <v>1.77</v>
      </c>
      <c r="CM191">
        <v>0.23</v>
      </c>
      <c r="CN191">
        <v>3.37</v>
      </c>
      <c r="CO191">
        <v>30053</v>
      </c>
      <c r="CP191">
        <v>9644</v>
      </c>
      <c r="CQ191" t="s">
        <v>1431</v>
      </c>
      <c r="CR191">
        <v>99.72</v>
      </c>
      <c r="CS191">
        <v>17.97</v>
      </c>
      <c r="CT191">
        <v>2.72</v>
      </c>
      <c r="CU191">
        <v>108.22</v>
      </c>
      <c r="CV191">
        <v>1.19</v>
      </c>
      <c r="CW191">
        <v>0</v>
      </c>
      <c r="CX191" t="s">
        <v>1248</v>
      </c>
      <c r="CY191">
        <v>1.8</v>
      </c>
      <c r="CZ191">
        <v>0</v>
      </c>
      <c r="DA191">
        <v>0.01</v>
      </c>
      <c r="DB191">
        <v>0.34</v>
      </c>
      <c r="DC191">
        <v>0.05</v>
      </c>
      <c r="DD191">
        <v>34.65</v>
      </c>
      <c r="DE191" t="s">
        <v>1432</v>
      </c>
      <c r="DF191">
        <v>5.57</v>
      </c>
      <c r="DG191">
        <v>2.57</v>
      </c>
      <c r="DH191">
        <v>1.1599999999999999</v>
      </c>
      <c r="DI191">
        <v>7.0000000000000007E-2</v>
      </c>
      <c r="DJ191">
        <v>684</v>
      </c>
      <c r="DK191">
        <v>637</v>
      </c>
      <c r="DL191" t="s">
        <v>120</v>
      </c>
      <c r="DM191" t="s">
        <v>120</v>
      </c>
      <c r="DN191" t="s">
        <v>120</v>
      </c>
    </row>
    <row r="192" spans="1:118">
      <c r="A192" t="str">
        <f>"000639"</f>
        <v>000639</v>
      </c>
      <c r="B192" t="s">
        <v>1433</v>
      </c>
      <c r="C192">
        <v>0.78</v>
      </c>
      <c r="D192">
        <v>-0.18</v>
      </c>
      <c r="E192">
        <v>0.39</v>
      </c>
      <c r="F192">
        <v>1000</v>
      </c>
      <c r="G192" t="s">
        <v>1434</v>
      </c>
      <c r="H192">
        <v>5633.12</v>
      </c>
      <c r="I192">
        <v>4.3</v>
      </c>
      <c r="J192" t="s">
        <v>120</v>
      </c>
      <c r="K192" t="s">
        <v>1435</v>
      </c>
      <c r="L192">
        <v>1.01</v>
      </c>
      <c r="M192">
        <v>5.14</v>
      </c>
      <c r="N192">
        <v>0.84</v>
      </c>
      <c r="O192">
        <v>1.76</v>
      </c>
      <c r="P192">
        <v>5.19</v>
      </c>
      <c r="Q192">
        <v>0</v>
      </c>
      <c r="R192">
        <v>5.0999999999999996</v>
      </c>
      <c r="S192">
        <v>5.12</v>
      </c>
      <c r="T192">
        <v>109340</v>
      </c>
      <c r="U192">
        <v>5.15</v>
      </c>
      <c r="V192">
        <v>5.0999999999999996</v>
      </c>
      <c r="W192">
        <v>21.17</v>
      </c>
      <c r="X192" t="s">
        <v>847</v>
      </c>
      <c r="Y192" t="s">
        <v>638</v>
      </c>
      <c r="Z192">
        <v>1.76</v>
      </c>
      <c r="AA192">
        <v>5.15</v>
      </c>
      <c r="AB192">
        <v>51254</v>
      </c>
      <c r="AC192">
        <v>58086</v>
      </c>
      <c r="AD192">
        <v>0.88</v>
      </c>
      <c r="AE192">
        <v>1719</v>
      </c>
      <c r="AF192">
        <v>88</v>
      </c>
      <c r="AG192" t="s">
        <v>120</v>
      </c>
      <c r="AH192">
        <v>0</v>
      </c>
      <c r="AI192" t="s">
        <v>120</v>
      </c>
      <c r="AJ192">
        <v>10.79</v>
      </c>
      <c r="AK192" t="s">
        <v>1435</v>
      </c>
      <c r="AL192">
        <v>2.7</v>
      </c>
      <c r="AM192">
        <v>1620</v>
      </c>
      <c r="AN192">
        <v>67</v>
      </c>
      <c r="AO192">
        <v>5.9999999999999995E-4</v>
      </c>
      <c r="AP192">
        <v>1</v>
      </c>
      <c r="AQ192">
        <v>-0.39</v>
      </c>
      <c r="AR192">
        <v>-0.57999999999999996</v>
      </c>
      <c r="AS192">
        <v>-3.2</v>
      </c>
      <c r="AT192">
        <v>-14.19</v>
      </c>
      <c r="AU192">
        <v>-26.15</v>
      </c>
      <c r="AV192">
        <v>2</v>
      </c>
      <c r="AW192">
        <v>2.12</v>
      </c>
      <c r="AX192">
        <v>47.69</v>
      </c>
      <c r="AY192">
        <v>20.86</v>
      </c>
      <c r="AZ192">
        <v>17.600000000000001</v>
      </c>
      <c r="BA192">
        <v>0.6</v>
      </c>
      <c r="BB192" t="s">
        <v>134</v>
      </c>
      <c r="BF192">
        <v>1.02</v>
      </c>
      <c r="BG192">
        <v>0.39</v>
      </c>
      <c r="BH192">
        <v>-0.96</v>
      </c>
      <c r="BI192">
        <v>0.78</v>
      </c>
      <c r="BJ192">
        <v>20210827</v>
      </c>
      <c r="BK192">
        <v>19961126</v>
      </c>
      <c r="BL192">
        <v>10.79</v>
      </c>
      <c r="BM192" t="s">
        <v>120</v>
      </c>
      <c r="BN192" t="s">
        <v>120</v>
      </c>
      <c r="BO192">
        <v>76.42</v>
      </c>
      <c r="BP192">
        <v>5.14</v>
      </c>
      <c r="BQ192">
        <v>37.619999999999997</v>
      </c>
      <c r="BR192">
        <v>6.57</v>
      </c>
      <c r="BS192">
        <v>42.17</v>
      </c>
      <c r="BT192">
        <v>31.68</v>
      </c>
      <c r="BU192">
        <v>5.98</v>
      </c>
      <c r="BV192">
        <v>30.86</v>
      </c>
      <c r="BW192">
        <v>19.2</v>
      </c>
      <c r="BX192">
        <v>15.65</v>
      </c>
      <c r="BY192">
        <v>8.73</v>
      </c>
      <c r="BZ192">
        <v>3</v>
      </c>
      <c r="CA192" t="s">
        <v>120</v>
      </c>
      <c r="CB192">
        <v>16.100000000000001</v>
      </c>
      <c r="CC192">
        <v>30.49</v>
      </c>
      <c r="CD192">
        <v>21.8</v>
      </c>
      <c r="CE192">
        <v>1.83</v>
      </c>
      <c r="CF192">
        <v>0.06</v>
      </c>
      <c r="CG192">
        <v>1.84</v>
      </c>
      <c r="CH192">
        <v>1.51</v>
      </c>
      <c r="CI192">
        <v>1.31</v>
      </c>
      <c r="CJ192">
        <v>0.04</v>
      </c>
      <c r="CK192">
        <v>1.3</v>
      </c>
      <c r="CL192">
        <v>9.9700000000000006</v>
      </c>
      <c r="CM192">
        <v>-2.96</v>
      </c>
      <c r="CN192">
        <v>-1.8</v>
      </c>
      <c r="CO192">
        <v>33584</v>
      </c>
      <c r="CP192">
        <v>15327</v>
      </c>
      <c r="CQ192" t="s">
        <v>1436</v>
      </c>
      <c r="CR192">
        <v>-27.21</v>
      </c>
      <c r="CS192">
        <v>15.17</v>
      </c>
      <c r="CT192">
        <v>1.47</v>
      </c>
      <c r="CU192">
        <v>-18.73</v>
      </c>
      <c r="CV192">
        <v>1.82</v>
      </c>
      <c r="CW192">
        <v>0</v>
      </c>
      <c r="CX192" t="s">
        <v>850</v>
      </c>
      <c r="CY192">
        <v>3.49</v>
      </c>
      <c r="CZ192">
        <v>0</v>
      </c>
      <c r="DA192">
        <v>1.49</v>
      </c>
      <c r="DB192">
        <v>0.92</v>
      </c>
      <c r="DC192">
        <v>-0.27</v>
      </c>
      <c r="DD192">
        <v>49.23</v>
      </c>
      <c r="DE192" t="s">
        <v>1437</v>
      </c>
      <c r="DF192">
        <v>28.5</v>
      </c>
      <c r="DG192">
        <v>6</v>
      </c>
      <c r="DH192">
        <v>4.3</v>
      </c>
      <c r="DI192">
        <v>0.45</v>
      </c>
      <c r="DJ192">
        <v>1957</v>
      </c>
      <c r="DK192">
        <v>639</v>
      </c>
      <c r="DL192" t="s">
        <v>120</v>
      </c>
      <c r="DM192" t="s">
        <v>120</v>
      </c>
      <c r="DN192" t="s">
        <v>120</v>
      </c>
    </row>
    <row r="193" spans="1:118">
      <c r="A193" t="str">
        <f>"000650"</f>
        <v>000650</v>
      </c>
      <c r="B193" t="s">
        <v>1438</v>
      </c>
      <c r="C193">
        <v>-3.74</v>
      </c>
      <c r="D193">
        <v>0</v>
      </c>
      <c r="E193">
        <v>-0.53</v>
      </c>
      <c r="F193">
        <v>2724</v>
      </c>
      <c r="G193" t="s">
        <v>1439</v>
      </c>
      <c r="H193">
        <v>17646.46</v>
      </c>
      <c r="I193">
        <v>35.06</v>
      </c>
      <c r="J193" t="s">
        <v>120</v>
      </c>
      <c r="K193" t="s">
        <v>1440</v>
      </c>
      <c r="L193">
        <v>1.43</v>
      </c>
      <c r="M193">
        <v>9</v>
      </c>
      <c r="N193">
        <v>1.03</v>
      </c>
      <c r="O193">
        <v>0.86</v>
      </c>
      <c r="P193">
        <v>9.43</v>
      </c>
      <c r="Q193">
        <v>-3.85</v>
      </c>
      <c r="R193">
        <v>8.99</v>
      </c>
      <c r="S193">
        <v>9.3000000000000007</v>
      </c>
      <c r="T193">
        <v>192093</v>
      </c>
      <c r="U193">
        <v>9</v>
      </c>
      <c r="V193">
        <v>9.35</v>
      </c>
      <c r="W193">
        <v>19.170000000000002</v>
      </c>
      <c r="X193" t="s">
        <v>771</v>
      </c>
      <c r="Y193" t="s">
        <v>676</v>
      </c>
      <c r="Z193">
        <v>4.71</v>
      </c>
      <c r="AA193">
        <v>9.19</v>
      </c>
      <c r="AB193">
        <v>111662</v>
      </c>
      <c r="AC193">
        <v>80431</v>
      </c>
      <c r="AD193">
        <v>1.39</v>
      </c>
      <c r="AE193">
        <v>570</v>
      </c>
      <c r="AF193">
        <v>2327</v>
      </c>
      <c r="AG193" t="s">
        <v>120</v>
      </c>
      <c r="AH193">
        <v>0</v>
      </c>
      <c r="AI193" t="s">
        <v>120</v>
      </c>
      <c r="AJ193">
        <v>13.42</v>
      </c>
      <c r="AK193" t="s">
        <v>1441</v>
      </c>
      <c r="AL193">
        <v>-1.83</v>
      </c>
      <c r="AM193">
        <v>3036</v>
      </c>
      <c r="AN193">
        <v>63</v>
      </c>
      <c r="AO193">
        <v>5.0000000000000001E-4</v>
      </c>
      <c r="AP193">
        <v>-4</v>
      </c>
      <c r="AQ193">
        <v>-1.1599999999999999</v>
      </c>
      <c r="AR193">
        <v>-5.0599999999999996</v>
      </c>
      <c r="AS193">
        <v>2.39</v>
      </c>
      <c r="AT193">
        <v>-7.88</v>
      </c>
      <c r="AU193">
        <v>52.54</v>
      </c>
      <c r="AV193">
        <v>6</v>
      </c>
      <c r="AW193">
        <v>1.93</v>
      </c>
      <c r="AX193">
        <v>71.25</v>
      </c>
      <c r="AY193">
        <v>19.98</v>
      </c>
      <c r="AZ193">
        <v>23.02</v>
      </c>
      <c r="BA193">
        <v>0.2</v>
      </c>
      <c r="BB193" t="s">
        <v>143</v>
      </c>
      <c r="BF193">
        <v>-1.75</v>
      </c>
      <c r="BG193">
        <v>-3.23</v>
      </c>
      <c r="BH193">
        <v>-4.5599999999999996</v>
      </c>
      <c r="BI193">
        <v>0.11</v>
      </c>
      <c r="BJ193">
        <v>20210910</v>
      </c>
      <c r="BK193">
        <v>19961210</v>
      </c>
      <c r="BL193">
        <v>14</v>
      </c>
      <c r="BM193" t="s">
        <v>120</v>
      </c>
      <c r="BN193" t="s">
        <v>120</v>
      </c>
      <c r="BO193">
        <v>64.53</v>
      </c>
      <c r="BP193">
        <v>8.99</v>
      </c>
      <c r="BQ193">
        <v>51.22</v>
      </c>
      <c r="BR193">
        <v>5.97</v>
      </c>
      <c r="BS193">
        <v>11.38</v>
      </c>
      <c r="BT193">
        <v>36.6</v>
      </c>
      <c r="BU193">
        <v>4.96</v>
      </c>
      <c r="BV193">
        <v>3.53</v>
      </c>
      <c r="BW193">
        <v>7.25</v>
      </c>
      <c r="BX193">
        <v>9.93</v>
      </c>
      <c r="BY193">
        <v>5.15</v>
      </c>
      <c r="BZ193">
        <v>6.02</v>
      </c>
      <c r="CA193" t="s">
        <v>120</v>
      </c>
      <c r="CB193">
        <v>9.56</v>
      </c>
      <c r="CC193">
        <v>23.22</v>
      </c>
      <c r="CD193">
        <v>13.96</v>
      </c>
      <c r="CE193">
        <v>4.93</v>
      </c>
      <c r="CF193">
        <v>0.13</v>
      </c>
      <c r="CG193">
        <v>4.92</v>
      </c>
      <c r="CH193">
        <v>3.87</v>
      </c>
      <c r="CI193">
        <v>3.29</v>
      </c>
      <c r="CJ193">
        <v>-0.35</v>
      </c>
      <c r="CK193">
        <v>3.23</v>
      </c>
      <c r="CL193">
        <v>24.61</v>
      </c>
      <c r="CM193">
        <v>1.82</v>
      </c>
      <c r="CN193">
        <v>-7.15</v>
      </c>
      <c r="CO193">
        <v>107000</v>
      </c>
      <c r="CP193">
        <v>9322</v>
      </c>
      <c r="CQ193" t="s">
        <v>1442</v>
      </c>
      <c r="CR193">
        <v>35.71</v>
      </c>
      <c r="CS193">
        <v>19.18</v>
      </c>
      <c r="CT193">
        <v>2.46</v>
      </c>
      <c r="CU193">
        <v>69.23</v>
      </c>
      <c r="CV193">
        <v>5.43</v>
      </c>
      <c r="CW193">
        <v>2.14</v>
      </c>
      <c r="CX193" t="s">
        <v>913</v>
      </c>
      <c r="CY193">
        <v>3.66</v>
      </c>
      <c r="CZ193">
        <v>0</v>
      </c>
      <c r="DA193">
        <v>0.68</v>
      </c>
      <c r="DB193">
        <v>1.76</v>
      </c>
      <c r="DC193">
        <v>0.13</v>
      </c>
      <c r="DD193">
        <v>79.37</v>
      </c>
      <c r="DE193" t="s">
        <v>1443</v>
      </c>
      <c r="DF193">
        <v>39.86</v>
      </c>
      <c r="DG193">
        <v>21.22</v>
      </c>
      <c r="DH193">
        <v>14.15</v>
      </c>
      <c r="DI193">
        <v>0.28999999999999998</v>
      </c>
      <c r="DJ193">
        <v>6538</v>
      </c>
      <c r="DK193">
        <v>650</v>
      </c>
      <c r="DL193" t="s">
        <v>120</v>
      </c>
      <c r="DM193" t="s">
        <v>120</v>
      </c>
      <c r="DN193" t="s">
        <v>120</v>
      </c>
    </row>
    <row r="194" spans="1:118">
      <c r="A194" t="str">
        <f>"000651"</f>
        <v>000651</v>
      </c>
      <c r="B194" t="s">
        <v>1444</v>
      </c>
      <c r="C194">
        <v>-2</v>
      </c>
      <c r="D194">
        <v>-0.48</v>
      </c>
      <c r="E194">
        <v>-0.49</v>
      </c>
      <c r="F194">
        <v>34480</v>
      </c>
      <c r="G194" t="s">
        <v>1445</v>
      </c>
      <c r="H194">
        <v>298650.46000000002</v>
      </c>
      <c r="I194">
        <v>1728.93</v>
      </c>
      <c r="J194" t="s">
        <v>120</v>
      </c>
      <c r="K194" t="s">
        <v>1446</v>
      </c>
      <c r="L194">
        <v>1.3</v>
      </c>
      <c r="M194">
        <v>38.21</v>
      </c>
      <c r="N194">
        <v>1.1399999999999999</v>
      </c>
      <c r="O194">
        <v>0.26</v>
      </c>
      <c r="P194">
        <v>39.090000000000003</v>
      </c>
      <c r="Q194">
        <v>-2.0499999999999998</v>
      </c>
      <c r="R194">
        <v>38.19</v>
      </c>
      <c r="S194">
        <v>38.799999999999997</v>
      </c>
      <c r="T194">
        <v>774093</v>
      </c>
      <c r="U194">
        <v>38.29</v>
      </c>
      <c r="V194">
        <v>38.99</v>
      </c>
      <c r="W194">
        <v>12.15</v>
      </c>
      <c r="X194" t="s">
        <v>205</v>
      </c>
      <c r="Y194" t="s">
        <v>547</v>
      </c>
      <c r="Z194">
        <v>2.31</v>
      </c>
      <c r="AA194">
        <v>38.58</v>
      </c>
      <c r="AB194">
        <v>352304</v>
      </c>
      <c r="AC194">
        <v>421789</v>
      </c>
      <c r="AD194">
        <v>0.84</v>
      </c>
      <c r="AE194">
        <v>375</v>
      </c>
      <c r="AF194">
        <v>747</v>
      </c>
      <c r="AG194" t="s">
        <v>120</v>
      </c>
      <c r="AH194">
        <v>0.01</v>
      </c>
      <c r="AI194" t="s">
        <v>120</v>
      </c>
      <c r="AJ194">
        <v>59.7</v>
      </c>
      <c r="AK194" t="s">
        <v>1447</v>
      </c>
      <c r="AL194">
        <v>-0.09</v>
      </c>
      <c r="AM194">
        <v>4734</v>
      </c>
      <c r="AN194">
        <v>164</v>
      </c>
      <c r="AO194">
        <v>2.9999999999999997E-4</v>
      </c>
      <c r="AP194">
        <v>-7</v>
      </c>
      <c r="AQ194">
        <v>-3.03</v>
      </c>
      <c r="AR194">
        <v>-6.35</v>
      </c>
      <c r="AS194">
        <v>-13.59</v>
      </c>
      <c r="AT194">
        <v>-21.14</v>
      </c>
      <c r="AU194">
        <v>-35.17</v>
      </c>
      <c r="AV194">
        <v>0</v>
      </c>
      <c r="AW194">
        <v>1.69</v>
      </c>
      <c r="AX194">
        <v>76.05</v>
      </c>
      <c r="AY194">
        <v>9.2799999999999994</v>
      </c>
      <c r="AZ194">
        <v>10.58</v>
      </c>
      <c r="BA194">
        <v>0.62</v>
      </c>
      <c r="BB194" t="s">
        <v>134</v>
      </c>
      <c r="BF194">
        <v>-1.05</v>
      </c>
      <c r="BG194">
        <v>-1.52</v>
      </c>
      <c r="BH194">
        <v>-2.25</v>
      </c>
      <c r="BI194">
        <v>0.05</v>
      </c>
      <c r="BJ194">
        <v>20210913</v>
      </c>
      <c r="BK194">
        <v>19961118</v>
      </c>
      <c r="BL194">
        <v>60.16</v>
      </c>
      <c r="BM194" t="s">
        <v>120</v>
      </c>
      <c r="BN194" t="s">
        <v>120</v>
      </c>
      <c r="BO194">
        <v>3118.91</v>
      </c>
      <c r="BP194">
        <v>38.21</v>
      </c>
      <c r="BQ194">
        <v>983.11</v>
      </c>
      <c r="BR194">
        <v>17.239999999999998</v>
      </c>
      <c r="BS194">
        <v>67.930000000000007</v>
      </c>
      <c r="BT194">
        <v>2266.48</v>
      </c>
      <c r="BU194">
        <v>187.1</v>
      </c>
      <c r="BV194">
        <v>64.31</v>
      </c>
      <c r="BW194">
        <v>2030.92</v>
      </c>
      <c r="BX194">
        <v>1344.55</v>
      </c>
      <c r="BY194">
        <v>327.27999999999997</v>
      </c>
      <c r="BZ194">
        <v>111.17</v>
      </c>
      <c r="CA194" t="s">
        <v>120</v>
      </c>
      <c r="CB194">
        <v>1.22</v>
      </c>
      <c r="CC194">
        <v>910.52</v>
      </c>
      <c r="CD194">
        <v>694.39</v>
      </c>
      <c r="CE194">
        <v>109.17</v>
      </c>
      <c r="CF194">
        <v>1.91</v>
      </c>
      <c r="CG194">
        <v>109.76</v>
      </c>
      <c r="CH194">
        <v>94.91</v>
      </c>
      <c r="CI194">
        <v>94.57</v>
      </c>
      <c r="CJ194">
        <v>-0.78</v>
      </c>
      <c r="CK194">
        <v>87.92</v>
      </c>
      <c r="CL194">
        <v>955.43</v>
      </c>
      <c r="CM194">
        <v>-60.71</v>
      </c>
      <c r="CN194">
        <v>57.88</v>
      </c>
      <c r="CO194">
        <v>714661</v>
      </c>
      <c r="CP194">
        <v>6401</v>
      </c>
      <c r="CQ194" t="s">
        <v>1448</v>
      </c>
      <c r="CR194">
        <v>48.64</v>
      </c>
      <c r="CS194">
        <v>31.01</v>
      </c>
      <c r="CT194">
        <v>2.34</v>
      </c>
      <c r="CU194">
        <v>-37.86</v>
      </c>
      <c r="CV194">
        <v>2.52</v>
      </c>
      <c r="CW194">
        <v>7.14</v>
      </c>
      <c r="CX194" t="s">
        <v>1449</v>
      </c>
      <c r="CY194">
        <v>16.34</v>
      </c>
      <c r="CZ194">
        <v>0</v>
      </c>
      <c r="DA194">
        <v>0.02</v>
      </c>
      <c r="DB194">
        <v>15.88</v>
      </c>
      <c r="DC194">
        <v>-1.01</v>
      </c>
      <c r="DD194">
        <v>31.52</v>
      </c>
      <c r="DE194" t="s">
        <v>1450</v>
      </c>
      <c r="DF194">
        <v>23.74</v>
      </c>
      <c r="DG194">
        <v>11.99</v>
      </c>
      <c r="DH194">
        <v>10.39</v>
      </c>
      <c r="DI194">
        <v>33.82</v>
      </c>
      <c r="DJ194">
        <v>83952</v>
      </c>
      <c r="DK194">
        <v>651</v>
      </c>
      <c r="DL194" t="s">
        <v>120</v>
      </c>
      <c r="DM194" t="s">
        <v>120</v>
      </c>
      <c r="DN194" t="s">
        <v>120</v>
      </c>
    </row>
    <row r="195" spans="1:118">
      <c r="A195" t="str">
        <f>"000652"</f>
        <v>000652</v>
      </c>
      <c r="B195" t="s">
        <v>1451</v>
      </c>
      <c r="C195">
        <v>-1.88</v>
      </c>
      <c r="D195">
        <v>0</v>
      </c>
      <c r="E195">
        <v>0.47</v>
      </c>
      <c r="F195">
        <v>1069</v>
      </c>
      <c r="G195" t="s">
        <v>1452</v>
      </c>
      <c r="H195">
        <v>6580.65</v>
      </c>
      <c r="I195">
        <v>20.92</v>
      </c>
      <c r="J195" t="s">
        <v>120</v>
      </c>
      <c r="K195" t="s">
        <v>1453</v>
      </c>
      <c r="L195">
        <v>1.06</v>
      </c>
      <c r="M195">
        <v>4.17</v>
      </c>
      <c r="N195">
        <v>0.78</v>
      </c>
      <c r="O195">
        <v>0.71</v>
      </c>
      <c r="P195">
        <v>4.28</v>
      </c>
      <c r="Q195">
        <v>-1.88</v>
      </c>
      <c r="R195">
        <v>4.17</v>
      </c>
      <c r="S195">
        <v>4.2699999999999996</v>
      </c>
      <c r="T195">
        <v>155740</v>
      </c>
      <c r="U195">
        <v>4.18</v>
      </c>
      <c r="V195">
        <v>4.25</v>
      </c>
      <c r="W195">
        <v>32.82</v>
      </c>
      <c r="X195" t="s">
        <v>454</v>
      </c>
      <c r="Y195" t="s">
        <v>997</v>
      </c>
      <c r="Z195">
        <v>2.59</v>
      </c>
      <c r="AA195">
        <v>4.2300000000000004</v>
      </c>
      <c r="AB195">
        <v>103344</v>
      </c>
      <c r="AC195">
        <v>52396</v>
      </c>
      <c r="AD195">
        <v>1.97</v>
      </c>
      <c r="AE195">
        <v>4273</v>
      </c>
      <c r="AF195">
        <v>895</v>
      </c>
      <c r="AG195" t="s">
        <v>120</v>
      </c>
      <c r="AH195">
        <v>0</v>
      </c>
      <c r="AI195" t="s">
        <v>120</v>
      </c>
      <c r="AJ195">
        <v>14.74</v>
      </c>
      <c r="AK195" t="s">
        <v>1454</v>
      </c>
      <c r="AL195">
        <v>0.03</v>
      </c>
      <c r="AM195">
        <v>2074</v>
      </c>
      <c r="AN195">
        <v>75</v>
      </c>
      <c r="AO195">
        <v>5.0000000000000001E-4</v>
      </c>
      <c r="AP195">
        <v>-1</v>
      </c>
      <c r="AQ195">
        <v>1.19</v>
      </c>
      <c r="AR195">
        <v>-3.03</v>
      </c>
      <c r="AS195">
        <v>4.25</v>
      </c>
      <c r="AT195">
        <v>-5.01</v>
      </c>
      <c r="AU195">
        <v>-18.07</v>
      </c>
      <c r="AV195">
        <v>3</v>
      </c>
      <c r="AW195">
        <v>1.58</v>
      </c>
      <c r="AX195">
        <v>66.94</v>
      </c>
      <c r="AY195">
        <v>29.65</v>
      </c>
      <c r="AZ195">
        <v>30.8</v>
      </c>
      <c r="BA195">
        <v>0.31</v>
      </c>
      <c r="BB195" t="s">
        <v>184</v>
      </c>
      <c r="BF195">
        <v>-0.57999999999999996</v>
      </c>
      <c r="BG195">
        <v>-2.34</v>
      </c>
      <c r="BH195">
        <v>-2.57</v>
      </c>
      <c r="BI195">
        <v>0</v>
      </c>
      <c r="BJ195">
        <v>20210827</v>
      </c>
      <c r="BK195">
        <v>19961128</v>
      </c>
      <c r="BL195">
        <v>14.76</v>
      </c>
      <c r="BM195" t="s">
        <v>120</v>
      </c>
      <c r="BN195" t="s">
        <v>120</v>
      </c>
      <c r="BO195">
        <v>350.68</v>
      </c>
      <c r="BP195">
        <v>4.17</v>
      </c>
      <c r="BQ195">
        <v>50.47</v>
      </c>
      <c r="BR195">
        <v>10.23</v>
      </c>
      <c r="BS195">
        <v>82.69</v>
      </c>
      <c r="BT195">
        <v>239.3</v>
      </c>
      <c r="BU195">
        <v>4.28</v>
      </c>
      <c r="BV195">
        <v>26</v>
      </c>
      <c r="BW195">
        <v>239.88</v>
      </c>
      <c r="BX195">
        <v>30.66</v>
      </c>
      <c r="BY195">
        <v>126.14</v>
      </c>
      <c r="BZ195">
        <v>53.15</v>
      </c>
      <c r="CA195">
        <v>0.36</v>
      </c>
      <c r="CB195">
        <v>6.86</v>
      </c>
      <c r="CC195">
        <v>60.02</v>
      </c>
      <c r="CD195">
        <v>56.62</v>
      </c>
      <c r="CE195">
        <v>0.42</v>
      </c>
      <c r="CF195">
        <v>1.75</v>
      </c>
      <c r="CG195">
        <v>0.39</v>
      </c>
      <c r="CH195">
        <v>0.27</v>
      </c>
      <c r="CI195">
        <v>0.94</v>
      </c>
      <c r="CJ195">
        <v>-0.08</v>
      </c>
      <c r="CK195">
        <v>0.49</v>
      </c>
      <c r="CL195">
        <v>23.49</v>
      </c>
      <c r="CM195">
        <v>2.33</v>
      </c>
      <c r="CN195">
        <v>-3.03</v>
      </c>
      <c r="CO195">
        <v>132895</v>
      </c>
      <c r="CP195">
        <v>7433</v>
      </c>
      <c r="CQ195" t="s">
        <v>1455</v>
      </c>
      <c r="CR195">
        <v>9.23</v>
      </c>
      <c r="CS195">
        <v>6.28</v>
      </c>
      <c r="CT195">
        <v>1.22</v>
      </c>
      <c r="CU195">
        <v>26.43</v>
      </c>
      <c r="CV195">
        <v>1.03</v>
      </c>
      <c r="CW195">
        <v>0.24</v>
      </c>
      <c r="CX195" t="s">
        <v>1334</v>
      </c>
      <c r="CY195">
        <v>3.42</v>
      </c>
      <c r="CZ195">
        <v>0</v>
      </c>
      <c r="DA195">
        <v>0.46</v>
      </c>
      <c r="DB195">
        <v>1.59</v>
      </c>
      <c r="DC195">
        <v>0.16</v>
      </c>
      <c r="DD195">
        <v>14.39</v>
      </c>
      <c r="DE195" t="s">
        <v>1456</v>
      </c>
      <c r="DF195">
        <v>5.65</v>
      </c>
      <c r="DG195">
        <v>0.69</v>
      </c>
      <c r="DH195">
        <v>1.56</v>
      </c>
      <c r="DI195">
        <v>7.0000000000000007E-2</v>
      </c>
      <c r="DJ195">
        <v>1564</v>
      </c>
      <c r="DK195">
        <v>652</v>
      </c>
      <c r="DL195" t="s">
        <v>120</v>
      </c>
      <c r="DM195" t="s">
        <v>120</v>
      </c>
      <c r="DN195" t="s">
        <v>120</v>
      </c>
    </row>
    <row r="196" spans="1:118">
      <c r="A196" t="str">
        <f>"000655"</f>
        <v>000655</v>
      </c>
      <c r="B196" t="s">
        <v>1457</v>
      </c>
      <c r="C196">
        <v>-4.1900000000000004</v>
      </c>
      <c r="D196">
        <v>0.09</v>
      </c>
      <c r="E196">
        <v>1.81</v>
      </c>
      <c r="F196">
        <v>2958</v>
      </c>
      <c r="G196" t="s">
        <v>1458</v>
      </c>
      <c r="H196">
        <v>55401.37</v>
      </c>
      <c r="I196">
        <v>1293.57</v>
      </c>
      <c r="J196" t="s">
        <v>120</v>
      </c>
      <c r="K196" t="s">
        <v>1459</v>
      </c>
      <c r="L196">
        <v>7.81</v>
      </c>
      <c r="M196">
        <v>11.67</v>
      </c>
      <c r="N196">
        <v>1.37</v>
      </c>
      <c r="O196">
        <v>1.81</v>
      </c>
      <c r="P196">
        <v>12.4</v>
      </c>
      <c r="Q196">
        <v>-5.01</v>
      </c>
      <c r="R196">
        <v>11.57</v>
      </c>
      <c r="S196">
        <v>12.4</v>
      </c>
      <c r="T196">
        <v>465248</v>
      </c>
      <c r="U196">
        <v>11.67</v>
      </c>
      <c r="V196">
        <v>12.18</v>
      </c>
      <c r="W196">
        <v>13.53</v>
      </c>
      <c r="X196" t="s">
        <v>1460</v>
      </c>
      <c r="Y196" t="s">
        <v>638</v>
      </c>
      <c r="Z196">
        <v>6.81</v>
      </c>
      <c r="AA196">
        <v>11.91</v>
      </c>
      <c r="AB196">
        <v>256511</v>
      </c>
      <c r="AC196">
        <v>208737</v>
      </c>
      <c r="AD196">
        <v>1.23</v>
      </c>
      <c r="AE196">
        <v>827</v>
      </c>
      <c r="AF196">
        <v>1628</v>
      </c>
      <c r="AG196" t="s">
        <v>120</v>
      </c>
      <c r="AH196">
        <v>0.42</v>
      </c>
      <c r="AI196" t="s">
        <v>120</v>
      </c>
      <c r="AJ196">
        <v>5.95</v>
      </c>
      <c r="AK196" t="s">
        <v>1459</v>
      </c>
      <c r="AL196">
        <v>-2.27</v>
      </c>
      <c r="AM196">
        <v>4154</v>
      </c>
      <c r="AN196">
        <v>112</v>
      </c>
      <c r="AO196">
        <v>1.9E-3</v>
      </c>
      <c r="AP196">
        <v>-1</v>
      </c>
      <c r="AQ196">
        <v>10.029999999999999</v>
      </c>
      <c r="AR196">
        <v>-1.02</v>
      </c>
      <c r="AS196">
        <v>22.98</v>
      </c>
      <c r="AT196">
        <v>19.45</v>
      </c>
      <c r="AU196">
        <v>53.15</v>
      </c>
      <c r="AV196">
        <v>10</v>
      </c>
      <c r="AW196">
        <v>18.79</v>
      </c>
      <c r="AX196">
        <v>41.59</v>
      </c>
      <c r="AY196">
        <v>20.05</v>
      </c>
      <c r="AZ196">
        <v>31.47</v>
      </c>
      <c r="BA196">
        <v>0.16</v>
      </c>
      <c r="BB196" t="s">
        <v>168</v>
      </c>
      <c r="BF196">
        <v>-2.23</v>
      </c>
      <c r="BG196">
        <v>-5.89</v>
      </c>
      <c r="BH196">
        <v>-5.89</v>
      </c>
      <c r="BI196">
        <v>0.86</v>
      </c>
      <c r="BJ196">
        <v>20210821</v>
      </c>
      <c r="BK196">
        <v>19961128</v>
      </c>
      <c r="BL196">
        <v>5.95</v>
      </c>
      <c r="BM196" t="s">
        <v>120</v>
      </c>
      <c r="BN196" t="s">
        <v>120</v>
      </c>
      <c r="BO196">
        <v>33.909999999999997</v>
      </c>
      <c r="BP196">
        <v>11.66</v>
      </c>
      <c r="BQ196">
        <v>30.06</v>
      </c>
      <c r="BR196">
        <v>0.21</v>
      </c>
      <c r="BS196">
        <v>10.73</v>
      </c>
      <c r="BT196">
        <v>18.829999999999998</v>
      </c>
      <c r="BU196">
        <v>2.64</v>
      </c>
      <c r="BV196">
        <v>2.62</v>
      </c>
      <c r="BW196">
        <v>3.34</v>
      </c>
      <c r="BX196">
        <v>12.91</v>
      </c>
      <c r="BY196">
        <v>1.06</v>
      </c>
      <c r="BZ196">
        <v>0.6</v>
      </c>
      <c r="CA196">
        <v>0.02</v>
      </c>
      <c r="CB196">
        <v>4.88</v>
      </c>
      <c r="CC196">
        <v>9.36</v>
      </c>
      <c r="CD196">
        <v>5.64</v>
      </c>
      <c r="CE196">
        <v>3.3</v>
      </c>
      <c r="CF196">
        <v>0.62</v>
      </c>
      <c r="CG196">
        <v>3.3</v>
      </c>
      <c r="CH196">
        <v>2.62</v>
      </c>
      <c r="CI196">
        <v>2.57</v>
      </c>
      <c r="CJ196">
        <v>-0.51</v>
      </c>
      <c r="CK196">
        <v>2.56</v>
      </c>
      <c r="CL196">
        <v>15.88</v>
      </c>
      <c r="CM196">
        <v>3.58</v>
      </c>
      <c r="CN196">
        <v>3.01</v>
      </c>
      <c r="CO196">
        <v>50432</v>
      </c>
      <c r="CP196">
        <v>4910</v>
      </c>
      <c r="CQ196" t="s">
        <v>1461</v>
      </c>
      <c r="CR196">
        <v>104.56</v>
      </c>
      <c r="CS196">
        <v>53.7</v>
      </c>
      <c r="CT196">
        <v>2.31</v>
      </c>
      <c r="CU196">
        <v>19.39</v>
      </c>
      <c r="CV196">
        <v>7.42</v>
      </c>
      <c r="CW196">
        <v>0.82</v>
      </c>
      <c r="CX196" t="s">
        <v>1462</v>
      </c>
      <c r="CY196">
        <v>5.05</v>
      </c>
      <c r="CZ196">
        <v>0</v>
      </c>
      <c r="DA196">
        <v>0.82</v>
      </c>
      <c r="DB196">
        <v>2.67</v>
      </c>
      <c r="DC196">
        <v>0.6</v>
      </c>
      <c r="DD196">
        <v>88.65</v>
      </c>
      <c r="DE196" t="s">
        <v>1463</v>
      </c>
      <c r="DF196">
        <v>39.770000000000003</v>
      </c>
      <c r="DG196">
        <v>35.25</v>
      </c>
      <c r="DH196">
        <v>27.41</v>
      </c>
      <c r="DI196">
        <v>0.14000000000000001</v>
      </c>
      <c r="DJ196">
        <v>2702</v>
      </c>
      <c r="DK196">
        <v>655</v>
      </c>
      <c r="DL196" t="s">
        <v>120</v>
      </c>
      <c r="DM196" t="s">
        <v>120</v>
      </c>
      <c r="DN196" t="s">
        <v>120</v>
      </c>
    </row>
    <row r="197" spans="1:118">
      <c r="A197" t="str">
        <f>"000656"</f>
        <v>000656</v>
      </c>
      <c r="B197" t="s">
        <v>1464</v>
      </c>
      <c r="C197">
        <v>-6.92</v>
      </c>
      <c r="D197">
        <v>-0.43</v>
      </c>
      <c r="E197">
        <v>-0.2</v>
      </c>
      <c r="F197">
        <v>11705</v>
      </c>
      <c r="G197" t="s">
        <v>1465</v>
      </c>
      <c r="H197">
        <v>30134.37</v>
      </c>
      <c r="I197">
        <v>165.42</v>
      </c>
      <c r="J197" t="s">
        <v>120</v>
      </c>
      <c r="K197" t="s">
        <v>1466</v>
      </c>
      <c r="L197">
        <v>1.21</v>
      </c>
      <c r="M197">
        <v>4.57</v>
      </c>
      <c r="N197">
        <v>1.26</v>
      </c>
      <c r="O197">
        <v>1.02</v>
      </c>
      <c r="P197">
        <v>4.96</v>
      </c>
      <c r="Q197">
        <v>-6.92</v>
      </c>
      <c r="R197">
        <v>4.57</v>
      </c>
      <c r="S197">
        <v>4.9000000000000004</v>
      </c>
      <c r="T197">
        <v>637742</v>
      </c>
      <c r="U197">
        <v>4.58</v>
      </c>
      <c r="V197">
        <v>4.91</v>
      </c>
      <c r="W197">
        <v>3.29</v>
      </c>
      <c r="X197" t="s">
        <v>150</v>
      </c>
      <c r="Y197" t="s">
        <v>883</v>
      </c>
      <c r="Z197">
        <v>7.94</v>
      </c>
      <c r="AA197">
        <v>4.7300000000000004</v>
      </c>
      <c r="AB197">
        <v>414508</v>
      </c>
      <c r="AC197">
        <v>223234</v>
      </c>
      <c r="AD197">
        <v>1.86</v>
      </c>
      <c r="AE197">
        <v>5303</v>
      </c>
      <c r="AF197">
        <v>121</v>
      </c>
      <c r="AG197" t="s">
        <v>120</v>
      </c>
      <c r="AH197">
        <v>0.01</v>
      </c>
      <c r="AI197" t="s">
        <v>120</v>
      </c>
      <c r="AJ197">
        <v>52.58</v>
      </c>
      <c r="AK197" t="s">
        <v>1467</v>
      </c>
      <c r="AL197">
        <v>-5.01</v>
      </c>
      <c r="AM197">
        <v>4123</v>
      </c>
      <c r="AN197">
        <v>155</v>
      </c>
      <c r="AO197">
        <v>2.9999999999999997E-4</v>
      </c>
      <c r="AP197">
        <v>-1</v>
      </c>
      <c r="AQ197">
        <v>0.82</v>
      </c>
      <c r="AR197">
        <v>-11.77</v>
      </c>
      <c r="AS197">
        <v>-7.68</v>
      </c>
      <c r="AT197">
        <v>-12.62</v>
      </c>
      <c r="AU197">
        <v>-31.17</v>
      </c>
      <c r="AV197">
        <v>0</v>
      </c>
      <c r="AW197">
        <v>2.08</v>
      </c>
      <c r="AX197">
        <v>57.48</v>
      </c>
      <c r="AY197">
        <v>3.68</v>
      </c>
      <c r="AZ197">
        <v>3.73</v>
      </c>
      <c r="BA197">
        <v>0.11</v>
      </c>
      <c r="BB197" t="s">
        <v>240</v>
      </c>
      <c r="BF197">
        <v>-3.76</v>
      </c>
      <c r="BG197">
        <v>-6.73</v>
      </c>
      <c r="BH197">
        <v>-7.86</v>
      </c>
      <c r="BI197">
        <v>0</v>
      </c>
      <c r="BJ197">
        <v>20210830</v>
      </c>
      <c r="BK197">
        <v>19961128</v>
      </c>
      <c r="BL197">
        <v>53.4</v>
      </c>
      <c r="BM197" t="s">
        <v>120</v>
      </c>
      <c r="BN197" t="s">
        <v>120</v>
      </c>
      <c r="BO197">
        <v>3956.34</v>
      </c>
      <c r="BP197">
        <v>4.57</v>
      </c>
      <c r="BQ197">
        <v>396.69</v>
      </c>
      <c r="BR197">
        <v>378.91</v>
      </c>
      <c r="BS197">
        <v>80.400000000000006</v>
      </c>
      <c r="BT197">
        <v>3469.06</v>
      </c>
      <c r="BU197">
        <v>21.28</v>
      </c>
      <c r="BV197">
        <v>0.98</v>
      </c>
      <c r="BW197">
        <v>2476.87</v>
      </c>
      <c r="BX197">
        <v>370.3</v>
      </c>
      <c r="BY197">
        <v>2463.33</v>
      </c>
      <c r="BZ197">
        <v>26.51</v>
      </c>
      <c r="CA197">
        <v>0.32</v>
      </c>
      <c r="CB197">
        <v>65.52</v>
      </c>
      <c r="CC197">
        <v>439.73</v>
      </c>
      <c r="CD197">
        <v>351.16</v>
      </c>
      <c r="CE197">
        <v>61.61</v>
      </c>
      <c r="CF197">
        <v>6.45</v>
      </c>
      <c r="CG197">
        <v>61.48</v>
      </c>
      <c r="CH197">
        <v>48.66</v>
      </c>
      <c r="CI197">
        <v>37.049999999999997</v>
      </c>
      <c r="CJ197">
        <v>-0.34</v>
      </c>
      <c r="CK197">
        <v>28.5</v>
      </c>
      <c r="CL197">
        <v>189.69</v>
      </c>
      <c r="CM197">
        <v>25.14</v>
      </c>
      <c r="CN197">
        <v>-62.75</v>
      </c>
      <c r="CO197">
        <v>101616</v>
      </c>
      <c r="CP197">
        <v>30202</v>
      </c>
      <c r="CQ197" t="s">
        <v>1468</v>
      </c>
      <c r="CR197">
        <v>2.4900000000000002</v>
      </c>
      <c r="CS197">
        <v>45.1</v>
      </c>
      <c r="CT197">
        <v>0.69</v>
      </c>
      <c r="CU197">
        <v>9.7100000000000009</v>
      </c>
      <c r="CV197">
        <v>0.55000000000000004</v>
      </c>
      <c r="CW197">
        <v>9.15</v>
      </c>
      <c r="CX197" t="s">
        <v>1469</v>
      </c>
      <c r="CY197">
        <v>6.63</v>
      </c>
      <c r="CZ197">
        <v>6.63</v>
      </c>
      <c r="DA197">
        <v>1.23</v>
      </c>
      <c r="DB197">
        <v>3.55</v>
      </c>
      <c r="DC197">
        <v>0.47</v>
      </c>
      <c r="DD197">
        <v>10.029999999999999</v>
      </c>
      <c r="DE197" t="s">
        <v>1470</v>
      </c>
      <c r="DF197">
        <v>20.14</v>
      </c>
      <c r="DG197">
        <v>14.01</v>
      </c>
      <c r="DH197">
        <v>8.43</v>
      </c>
      <c r="DI197">
        <v>0.41</v>
      </c>
      <c r="DJ197">
        <v>22910</v>
      </c>
      <c r="DK197">
        <v>656</v>
      </c>
      <c r="DL197" t="s">
        <v>120</v>
      </c>
      <c r="DM197" t="s">
        <v>120</v>
      </c>
      <c r="DN197" t="s">
        <v>120</v>
      </c>
    </row>
    <row r="198" spans="1:118">
      <c r="A198" t="str">
        <f>"000657"</f>
        <v>000657</v>
      </c>
      <c r="B198" t="s">
        <v>1471</v>
      </c>
      <c r="C198">
        <v>-4.3099999999999996</v>
      </c>
      <c r="D198">
        <v>0.08</v>
      </c>
      <c r="E198">
        <v>0</v>
      </c>
      <c r="F198">
        <v>1092</v>
      </c>
      <c r="G198" t="s">
        <v>1472</v>
      </c>
      <c r="H198">
        <v>34457.78</v>
      </c>
      <c r="I198">
        <v>92.67</v>
      </c>
      <c r="J198" t="s">
        <v>120</v>
      </c>
      <c r="K198" t="s">
        <v>1473</v>
      </c>
      <c r="L198">
        <v>2.72</v>
      </c>
      <c r="M198">
        <v>12.87</v>
      </c>
      <c r="N198">
        <v>0.96</v>
      </c>
      <c r="O198">
        <v>2.97</v>
      </c>
      <c r="P198">
        <v>13.85</v>
      </c>
      <c r="Q198">
        <v>-4.83</v>
      </c>
      <c r="R198">
        <v>12.8</v>
      </c>
      <c r="S198">
        <v>13.45</v>
      </c>
      <c r="T198">
        <v>257797</v>
      </c>
      <c r="U198">
        <v>12.88</v>
      </c>
      <c r="V198">
        <v>13.45</v>
      </c>
      <c r="W198">
        <v>35.76</v>
      </c>
      <c r="X198" t="s">
        <v>1390</v>
      </c>
      <c r="Y198" t="s">
        <v>835</v>
      </c>
      <c r="Z198">
        <v>7.81</v>
      </c>
      <c r="AA198">
        <v>13.37</v>
      </c>
      <c r="AB198">
        <v>136130</v>
      </c>
      <c r="AC198">
        <v>121667</v>
      </c>
      <c r="AD198">
        <v>1.1200000000000001</v>
      </c>
      <c r="AE198">
        <v>591</v>
      </c>
      <c r="AF198">
        <v>9</v>
      </c>
      <c r="AG198" t="s">
        <v>120</v>
      </c>
      <c r="AH198">
        <v>0.01</v>
      </c>
      <c r="AI198" t="s">
        <v>120</v>
      </c>
      <c r="AJ198">
        <v>9.48</v>
      </c>
      <c r="AK198" t="s">
        <v>1474</v>
      </c>
      <c r="AL198">
        <v>-2.4</v>
      </c>
      <c r="AM198">
        <v>4153</v>
      </c>
      <c r="AN198">
        <v>62</v>
      </c>
      <c r="AO198">
        <v>6.9999999999999999E-4</v>
      </c>
      <c r="AP198">
        <v>-1</v>
      </c>
      <c r="AQ198">
        <v>2.67</v>
      </c>
      <c r="AR198">
        <v>-9.69</v>
      </c>
      <c r="AS198">
        <v>-1.23</v>
      </c>
      <c r="AT198">
        <v>38.99</v>
      </c>
      <c r="AU198">
        <v>77.52</v>
      </c>
      <c r="AV198">
        <v>7</v>
      </c>
      <c r="AW198">
        <v>4.9800000000000004</v>
      </c>
      <c r="AX198">
        <v>48.23</v>
      </c>
      <c r="AY198">
        <v>46.86</v>
      </c>
      <c r="AZ198">
        <v>65.319999999999993</v>
      </c>
      <c r="BA198">
        <v>0.6</v>
      </c>
      <c r="BB198" t="s">
        <v>143</v>
      </c>
      <c r="BF198">
        <v>-0.62</v>
      </c>
      <c r="BG198">
        <v>-4.3099999999999996</v>
      </c>
      <c r="BH198">
        <v>-7.08</v>
      </c>
      <c r="BI198">
        <v>0.55000000000000004</v>
      </c>
      <c r="BJ198">
        <v>20210826</v>
      </c>
      <c r="BK198">
        <v>19961205</v>
      </c>
      <c r="BL198">
        <v>10.74</v>
      </c>
      <c r="BM198" t="s">
        <v>120</v>
      </c>
      <c r="BN198" t="s">
        <v>120</v>
      </c>
      <c r="BO198">
        <v>100.27</v>
      </c>
      <c r="BP198">
        <v>12.87</v>
      </c>
      <c r="BQ198">
        <v>44.85</v>
      </c>
      <c r="BR198">
        <v>6.67</v>
      </c>
      <c r="BS198">
        <v>48.62</v>
      </c>
      <c r="BT198">
        <v>60.18</v>
      </c>
      <c r="BU198">
        <v>29.36</v>
      </c>
      <c r="BV198">
        <v>5.15</v>
      </c>
      <c r="BW198">
        <v>28.22</v>
      </c>
      <c r="BX198">
        <v>6.04</v>
      </c>
      <c r="BY198">
        <v>26.56</v>
      </c>
      <c r="BZ198">
        <v>21.04</v>
      </c>
      <c r="CA198" t="s">
        <v>120</v>
      </c>
      <c r="CB198">
        <v>33.799999999999997</v>
      </c>
      <c r="CC198">
        <v>62.3</v>
      </c>
      <c r="CD198">
        <v>51.17</v>
      </c>
      <c r="CE198">
        <v>3.03</v>
      </c>
      <c r="CF198">
        <v>0</v>
      </c>
      <c r="CG198">
        <v>2.97</v>
      </c>
      <c r="CH198">
        <v>2.4700000000000002</v>
      </c>
      <c r="CI198">
        <v>1.93</v>
      </c>
      <c r="CJ198">
        <v>-0.57999999999999996</v>
      </c>
      <c r="CK198">
        <v>1.81</v>
      </c>
      <c r="CL198">
        <v>1.1299999999999999</v>
      </c>
      <c r="CM198">
        <v>1.1499999999999999</v>
      </c>
      <c r="CN198">
        <v>-3.19</v>
      </c>
      <c r="CO198">
        <v>31255</v>
      </c>
      <c r="CP198">
        <v>16572</v>
      </c>
      <c r="CQ198" t="s">
        <v>1475</v>
      </c>
      <c r="CR198">
        <v>82.1</v>
      </c>
      <c r="CS198">
        <v>41.88</v>
      </c>
      <c r="CT198">
        <v>3.03</v>
      </c>
      <c r="CU198">
        <v>120.53</v>
      </c>
      <c r="CV198">
        <v>2.2200000000000002</v>
      </c>
      <c r="CW198">
        <v>0</v>
      </c>
      <c r="CX198" t="s">
        <v>242</v>
      </c>
      <c r="CY198">
        <v>4.25</v>
      </c>
      <c r="CZ198">
        <v>4.25</v>
      </c>
      <c r="DA198">
        <v>3.15</v>
      </c>
      <c r="DB198">
        <v>0.11</v>
      </c>
      <c r="DC198">
        <v>0.11</v>
      </c>
      <c r="DD198">
        <v>44.73</v>
      </c>
      <c r="DE198" t="s">
        <v>1476</v>
      </c>
      <c r="DF198">
        <v>17.86</v>
      </c>
      <c r="DG198">
        <v>4.8600000000000003</v>
      </c>
      <c r="DH198">
        <v>3.1</v>
      </c>
      <c r="DI198">
        <v>1.65</v>
      </c>
      <c r="DJ198">
        <v>7546</v>
      </c>
      <c r="DK198">
        <v>657</v>
      </c>
      <c r="DL198" t="s">
        <v>120</v>
      </c>
      <c r="DM198" t="s">
        <v>120</v>
      </c>
      <c r="DN198" t="s">
        <v>120</v>
      </c>
    </row>
    <row r="199" spans="1:118">
      <c r="A199" t="str">
        <f>"000659"</f>
        <v>000659</v>
      </c>
      <c r="B199" t="s">
        <v>1477</v>
      </c>
      <c r="C199">
        <v>-2.29</v>
      </c>
      <c r="D199">
        <v>0</v>
      </c>
      <c r="E199">
        <v>0</v>
      </c>
      <c r="F199">
        <v>2844</v>
      </c>
      <c r="G199" t="s">
        <v>1478</v>
      </c>
      <c r="H199">
        <v>15565.19</v>
      </c>
      <c r="I199">
        <v>45.98</v>
      </c>
      <c r="J199" t="s">
        <v>120</v>
      </c>
      <c r="K199" t="s">
        <v>1479</v>
      </c>
      <c r="L199">
        <v>2.5</v>
      </c>
      <c r="M199">
        <v>4.6900000000000004</v>
      </c>
      <c r="N199">
        <v>0.99</v>
      </c>
      <c r="O199">
        <v>5.21</v>
      </c>
      <c r="P199">
        <v>5.05</v>
      </c>
      <c r="Q199">
        <v>-2.92</v>
      </c>
      <c r="R199">
        <v>4.66</v>
      </c>
      <c r="S199">
        <v>4.8</v>
      </c>
      <c r="T199">
        <v>321205</v>
      </c>
      <c r="U199">
        <v>4.7</v>
      </c>
      <c r="V199">
        <v>4.8</v>
      </c>
      <c r="W199">
        <v>160.53</v>
      </c>
      <c r="X199" t="s">
        <v>339</v>
      </c>
      <c r="Y199" t="s">
        <v>547</v>
      </c>
      <c r="Z199">
        <v>8.1300000000000008</v>
      </c>
      <c r="AA199">
        <v>4.8499999999999996</v>
      </c>
      <c r="AB199">
        <v>162594</v>
      </c>
      <c r="AC199">
        <v>158611</v>
      </c>
      <c r="AD199">
        <v>1.03</v>
      </c>
      <c r="AE199">
        <v>952</v>
      </c>
      <c r="AF199">
        <v>265</v>
      </c>
      <c r="AG199" t="s">
        <v>120</v>
      </c>
      <c r="AH199">
        <v>0.01</v>
      </c>
      <c r="AI199" t="s">
        <v>120</v>
      </c>
      <c r="AJ199">
        <v>12.86</v>
      </c>
      <c r="AK199" t="s">
        <v>1479</v>
      </c>
      <c r="AL199">
        <v>-0.38</v>
      </c>
      <c r="AM199">
        <v>2454</v>
      </c>
      <c r="AN199">
        <v>131</v>
      </c>
      <c r="AO199">
        <v>1E-3</v>
      </c>
      <c r="AP199">
        <v>-1</v>
      </c>
      <c r="AQ199">
        <v>1.48</v>
      </c>
      <c r="AR199">
        <v>-6.76</v>
      </c>
      <c r="AS199">
        <v>0.86</v>
      </c>
      <c r="AT199">
        <v>44.75</v>
      </c>
      <c r="AU199">
        <v>39.17</v>
      </c>
      <c r="AV199">
        <v>2</v>
      </c>
      <c r="AW199">
        <v>3.43</v>
      </c>
      <c r="AX199">
        <v>72.900000000000006</v>
      </c>
      <c r="AY199" t="s">
        <v>120</v>
      </c>
      <c r="AZ199" t="s">
        <v>120</v>
      </c>
      <c r="BA199">
        <v>0.45</v>
      </c>
      <c r="BB199" t="s">
        <v>240</v>
      </c>
      <c r="BF199">
        <v>0.96</v>
      </c>
      <c r="BG199">
        <v>-2.29</v>
      </c>
      <c r="BH199">
        <v>-7.13</v>
      </c>
      <c r="BI199">
        <v>0.64</v>
      </c>
      <c r="BJ199">
        <v>20210827</v>
      </c>
      <c r="BK199">
        <v>19961203</v>
      </c>
      <c r="BL199">
        <v>12.86</v>
      </c>
      <c r="BM199" t="s">
        <v>120</v>
      </c>
      <c r="BN199" t="s">
        <v>120</v>
      </c>
      <c r="BO199">
        <v>23.7</v>
      </c>
      <c r="BP199">
        <v>4.6900000000000004</v>
      </c>
      <c r="BQ199">
        <v>5.82</v>
      </c>
      <c r="BR199">
        <v>-0.81</v>
      </c>
      <c r="BS199">
        <v>78.86</v>
      </c>
      <c r="BT199">
        <v>7.26</v>
      </c>
      <c r="BU199">
        <v>10.08</v>
      </c>
      <c r="BV199">
        <v>1.17</v>
      </c>
      <c r="BW199">
        <v>17.47</v>
      </c>
      <c r="BX199">
        <v>0.68</v>
      </c>
      <c r="BY199">
        <v>1.33</v>
      </c>
      <c r="BZ199">
        <v>2.4700000000000002</v>
      </c>
      <c r="CA199">
        <v>0.03</v>
      </c>
      <c r="CB199">
        <v>2.81</v>
      </c>
      <c r="CC199">
        <v>7.42</v>
      </c>
      <c r="CD199">
        <v>5.69</v>
      </c>
      <c r="CE199">
        <v>0.5</v>
      </c>
      <c r="CF199">
        <v>0</v>
      </c>
      <c r="CG199">
        <v>0.38</v>
      </c>
      <c r="CH199">
        <v>0.18</v>
      </c>
      <c r="CI199">
        <v>0.19</v>
      </c>
      <c r="CJ199">
        <v>-0.11</v>
      </c>
      <c r="CK199">
        <v>0.22</v>
      </c>
      <c r="CL199">
        <v>-14.63</v>
      </c>
      <c r="CM199">
        <v>0.72</v>
      </c>
      <c r="CN199">
        <v>-0.12</v>
      </c>
      <c r="CO199">
        <v>43502</v>
      </c>
      <c r="CP199">
        <v>21545</v>
      </c>
      <c r="CQ199" t="s">
        <v>1480</v>
      </c>
      <c r="CR199">
        <v>175.68</v>
      </c>
      <c r="CS199">
        <v>16.149999999999999</v>
      </c>
      <c r="CT199">
        <v>10.37</v>
      </c>
      <c r="CU199">
        <v>83.92</v>
      </c>
      <c r="CV199">
        <v>8.1199999999999992</v>
      </c>
      <c r="CW199">
        <v>0</v>
      </c>
      <c r="CX199" t="s">
        <v>1481</v>
      </c>
      <c r="CY199">
        <v>0.45</v>
      </c>
      <c r="CZ199">
        <v>0</v>
      </c>
      <c r="DA199">
        <v>0.22</v>
      </c>
      <c r="DB199">
        <v>-1.1399999999999999</v>
      </c>
      <c r="DC199">
        <v>0.06</v>
      </c>
      <c r="DD199">
        <v>24.55</v>
      </c>
      <c r="DE199" t="s">
        <v>1482</v>
      </c>
      <c r="DF199">
        <v>23.35</v>
      </c>
      <c r="DG199">
        <v>6.7</v>
      </c>
      <c r="DH199">
        <v>2.5299999999999998</v>
      </c>
      <c r="DI199">
        <v>0.02</v>
      </c>
      <c r="DJ199">
        <v>1896</v>
      </c>
      <c r="DK199">
        <v>659</v>
      </c>
      <c r="DL199">
        <v>20210826</v>
      </c>
      <c r="DM199">
        <v>4.7300000000000004</v>
      </c>
      <c r="DN199">
        <v>-0.85</v>
      </c>
    </row>
    <row r="200" spans="1:118">
      <c r="A200" t="str">
        <f>"000661"</f>
        <v>000661</v>
      </c>
      <c r="B200" t="s">
        <v>1483</v>
      </c>
      <c r="C200">
        <v>0.78</v>
      </c>
      <c r="D200">
        <v>-0.02</v>
      </c>
      <c r="E200">
        <v>0.15</v>
      </c>
      <c r="F200">
        <v>557</v>
      </c>
      <c r="G200" t="s">
        <v>1484</v>
      </c>
      <c r="H200">
        <v>161555.75</v>
      </c>
      <c r="I200">
        <v>784.47</v>
      </c>
      <c r="J200" t="s">
        <v>120</v>
      </c>
      <c r="K200" t="s">
        <v>1485</v>
      </c>
      <c r="L200">
        <v>1.82</v>
      </c>
      <c r="M200">
        <v>238.5</v>
      </c>
      <c r="N200">
        <v>1.05</v>
      </c>
      <c r="O200">
        <v>3.29</v>
      </c>
      <c r="P200">
        <v>244.44</v>
      </c>
      <c r="Q200">
        <v>-0.46</v>
      </c>
      <c r="R200">
        <v>235.55</v>
      </c>
      <c r="S200">
        <v>237</v>
      </c>
      <c r="T200">
        <v>67457</v>
      </c>
      <c r="U200">
        <v>238.5</v>
      </c>
      <c r="V200">
        <v>236.65</v>
      </c>
      <c r="W200">
        <v>25.09</v>
      </c>
      <c r="X200" t="s">
        <v>666</v>
      </c>
      <c r="Y200" t="s">
        <v>290</v>
      </c>
      <c r="Z200">
        <v>3.76</v>
      </c>
      <c r="AA200">
        <v>239.5</v>
      </c>
      <c r="AB200">
        <v>30727</v>
      </c>
      <c r="AC200">
        <v>36730</v>
      </c>
      <c r="AD200">
        <v>0.84</v>
      </c>
      <c r="AE200">
        <v>1</v>
      </c>
      <c r="AF200">
        <v>46</v>
      </c>
      <c r="AG200" t="s">
        <v>120</v>
      </c>
      <c r="AH200">
        <v>0.01</v>
      </c>
      <c r="AI200" t="s">
        <v>120</v>
      </c>
      <c r="AJ200">
        <v>3.7</v>
      </c>
      <c r="AK200" t="s">
        <v>1486</v>
      </c>
      <c r="AL200">
        <v>2.7</v>
      </c>
      <c r="AM200">
        <v>4483</v>
      </c>
      <c r="AN200">
        <v>15</v>
      </c>
      <c r="AO200">
        <v>4.0000000000000002E-4</v>
      </c>
      <c r="AP200">
        <v>1</v>
      </c>
      <c r="AQ200">
        <v>-3.18</v>
      </c>
      <c r="AR200">
        <v>-2.91</v>
      </c>
      <c r="AS200">
        <v>-16.309999999999999</v>
      </c>
      <c r="AT200">
        <v>-38.72</v>
      </c>
      <c r="AU200">
        <v>-46.78</v>
      </c>
      <c r="AV200">
        <v>1</v>
      </c>
      <c r="AW200">
        <v>2.34</v>
      </c>
      <c r="AX200">
        <v>71.349999999999994</v>
      </c>
      <c r="AY200">
        <v>26.17</v>
      </c>
      <c r="AZ200">
        <v>31.44</v>
      </c>
      <c r="BA200">
        <v>1.32</v>
      </c>
      <c r="BB200" t="s">
        <v>125</v>
      </c>
      <c r="BF200">
        <v>1.2</v>
      </c>
      <c r="BG200">
        <v>0.63</v>
      </c>
      <c r="BH200">
        <v>-2.4300000000000002</v>
      </c>
      <c r="BI200">
        <v>1.25</v>
      </c>
      <c r="BJ200">
        <v>20210901</v>
      </c>
      <c r="BK200">
        <v>19961218</v>
      </c>
      <c r="BL200">
        <v>4.05</v>
      </c>
      <c r="BM200" t="s">
        <v>120</v>
      </c>
      <c r="BN200" t="s">
        <v>120</v>
      </c>
      <c r="BO200">
        <v>201.48</v>
      </c>
      <c r="BP200">
        <v>238.48</v>
      </c>
      <c r="BQ200">
        <v>130.22999999999999</v>
      </c>
      <c r="BR200">
        <v>23.64</v>
      </c>
      <c r="BS200">
        <v>23.63</v>
      </c>
      <c r="BT200">
        <v>134.33000000000001</v>
      </c>
      <c r="BU200">
        <v>19.86</v>
      </c>
      <c r="BV200">
        <v>9.73</v>
      </c>
      <c r="BW200">
        <v>30.99</v>
      </c>
      <c r="BX200">
        <v>55.12</v>
      </c>
      <c r="BY200">
        <v>35.71</v>
      </c>
      <c r="BZ200">
        <v>14.71</v>
      </c>
      <c r="CA200">
        <v>0.04</v>
      </c>
      <c r="CB200">
        <v>33.61</v>
      </c>
      <c r="CC200">
        <v>49.63</v>
      </c>
      <c r="CD200">
        <v>6.01</v>
      </c>
      <c r="CE200">
        <v>23.79</v>
      </c>
      <c r="CF200">
        <v>-0.18</v>
      </c>
      <c r="CG200">
        <v>23.46</v>
      </c>
      <c r="CH200">
        <v>20.05</v>
      </c>
      <c r="CI200">
        <v>19.23</v>
      </c>
      <c r="CJ200">
        <v>1.85</v>
      </c>
      <c r="CK200">
        <v>19.22</v>
      </c>
      <c r="CL200">
        <v>84.63</v>
      </c>
      <c r="CM200">
        <v>13.05</v>
      </c>
      <c r="CN200">
        <v>15.47</v>
      </c>
      <c r="CO200">
        <v>152090</v>
      </c>
      <c r="CP200">
        <v>1899</v>
      </c>
      <c r="CQ200" t="s">
        <v>1487</v>
      </c>
      <c r="CR200">
        <v>46.85</v>
      </c>
      <c r="CS200">
        <v>26.71</v>
      </c>
      <c r="CT200">
        <v>7.41</v>
      </c>
      <c r="CU200">
        <v>73.959999999999994</v>
      </c>
      <c r="CV200">
        <v>19.45</v>
      </c>
      <c r="CW200">
        <v>0.34</v>
      </c>
      <c r="CX200" t="s">
        <v>1488</v>
      </c>
      <c r="CY200">
        <v>32.18</v>
      </c>
      <c r="CZ200">
        <v>0</v>
      </c>
      <c r="DA200">
        <v>8.31</v>
      </c>
      <c r="DB200">
        <v>20.91</v>
      </c>
      <c r="DC200">
        <v>3.22</v>
      </c>
      <c r="DD200">
        <v>64.63</v>
      </c>
      <c r="DE200" t="s">
        <v>1489</v>
      </c>
      <c r="DF200">
        <v>87.89</v>
      </c>
      <c r="DG200">
        <v>47.93</v>
      </c>
      <c r="DH200">
        <v>38.76</v>
      </c>
      <c r="DI200">
        <v>3.52</v>
      </c>
      <c r="DJ200">
        <v>6247</v>
      </c>
      <c r="DK200">
        <v>661</v>
      </c>
      <c r="DL200" t="s">
        <v>120</v>
      </c>
      <c r="DM200" t="s">
        <v>120</v>
      </c>
      <c r="DN200" t="s">
        <v>120</v>
      </c>
    </row>
    <row r="201" spans="1:118">
      <c r="A201" t="str">
        <f>"000665"</f>
        <v>000665</v>
      </c>
      <c r="B201" t="s">
        <v>1490</v>
      </c>
      <c r="C201">
        <v>-1.82</v>
      </c>
      <c r="D201">
        <v>0</v>
      </c>
      <c r="E201">
        <v>-0.26</v>
      </c>
      <c r="F201">
        <v>1472</v>
      </c>
      <c r="G201" t="s">
        <v>1491</v>
      </c>
      <c r="H201">
        <v>1685.87</v>
      </c>
      <c r="I201">
        <v>0.96</v>
      </c>
      <c r="J201" t="s">
        <v>120</v>
      </c>
      <c r="K201" t="s">
        <v>1492</v>
      </c>
      <c r="L201">
        <v>0.45</v>
      </c>
      <c r="M201">
        <v>3.77</v>
      </c>
      <c r="N201">
        <v>0.87</v>
      </c>
      <c r="O201">
        <v>1.04</v>
      </c>
      <c r="P201">
        <v>3.88</v>
      </c>
      <c r="Q201">
        <v>-1.82</v>
      </c>
      <c r="R201">
        <v>3.77</v>
      </c>
      <c r="S201">
        <v>3.83</v>
      </c>
      <c r="T201">
        <v>44095</v>
      </c>
      <c r="U201">
        <v>3.78</v>
      </c>
      <c r="V201">
        <v>3.84</v>
      </c>
      <c r="W201" t="s">
        <v>120</v>
      </c>
      <c r="X201" t="s">
        <v>584</v>
      </c>
      <c r="Y201" t="s">
        <v>763</v>
      </c>
      <c r="Z201">
        <v>2.86</v>
      </c>
      <c r="AA201">
        <v>3.82</v>
      </c>
      <c r="AB201">
        <v>26921</v>
      </c>
      <c r="AC201">
        <v>17174</v>
      </c>
      <c r="AD201">
        <v>1.57</v>
      </c>
      <c r="AE201">
        <v>790</v>
      </c>
      <c r="AF201">
        <v>295</v>
      </c>
      <c r="AG201" t="s">
        <v>120</v>
      </c>
      <c r="AH201">
        <v>0</v>
      </c>
      <c r="AI201" t="s">
        <v>120</v>
      </c>
      <c r="AJ201">
        <v>9.82</v>
      </c>
      <c r="AK201" t="s">
        <v>1492</v>
      </c>
      <c r="AL201">
        <v>0.09</v>
      </c>
      <c r="AM201">
        <v>971</v>
      </c>
      <c r="AN201">
        <v>45</v>
      </c>
      <c r="AO201">
        <v>5.0000000000000001E-4</v>
      </c>
      <c r="AP201">
        <v>-1</v>
      </c>
      <c r="AQ201">
        <v>0.52</v>
      </c>
      <c r="AR201">
        <v>-3.58</v>
      </c>
      <c r="AS201">
        <v>3.57</v>
      </c>
      <c r="AT201">
        <v>-5.99</v>
      </c>
      <c r="AU201">
        <v>-15.09</v>
      </c>
      <c r="AV201">
        <v>1</v>
      </c>
      <c r="AW201">
        <v>0.99</v>
      </c>
      <c r="AX201">
        <v>45.46</v>
      </c>
      <c r="AY201" t="s">
        <v>120</v>
      </c>
      <c r="AZ201" t="s">
        <v>120</v>
      </c>
      <c r="BA201">
        <v>0.2</v>
      </c>
      <c r="BB201" t="s">
        <v>143</v>
      </c>
      <c r="BF201">
        <v>-0.44</v>
      </c>
      <c r="BG201">
        <v>-1.57</v>
      </c>
      <c r="BH201">
        <v>-2.84</v>
      </c>
      <c r="BI201">
        <v>0</v>
      </c>
      <c r="BJ201">
        <v>20210826</v>
      </c>
      <c r="BK201">
        <v>19961210</v>
      </c>
      <c r="BL201">
        <v>9.82</v>
      </c>
      <c r="BM201" t="s">
        <v>120</v>
      </c>
      <c r="BN201" t="s">
        <v>120</v>
      </c>
      <c r="BO201">
        <v>117.74</v>
      </c>
      <c r="BP201">
        <v>3.77</v>
      </c>
      <c r="BQ201">
        <v>60.68</v>
      </c>
      <c r="BR201">
        <v>1.1499999999999999</v>
      </c>
      <c r="BS201">
        <v>47.49</v>
      </c>
      <c r="BT201">
        <v>23.64</v>
      </c>
      <c r="BU201">
        <v>58.52</v>
      </c>
      <c r="BV201">
        <v>1.34</v>
      </c>
      <c r="BW201">
        <v>31.34</v>
      </c>
      <c r="BX201">
        <v>3.29</v>
      </c>
      <c r="BY201">
        <v>0.45</v>
      </c>
      <c r="BZ201">
        <v>9.58</v>
      </c>
      <c r="CA201" t="s">
        <v>120</v>
      </c>
      <c r="CB201">
        <v>36.68</v>
      </c>
      <c r="CC201">
        <v>10.51</v>
      </c>
      <c r="CD201">
        <v>8.5399999999999991</v>
      </c>
      <c r="CE201">
        <v>-0.86</v>
      </c>
      <c r="CF201">
        <v>-0.01</v>
      </c>
      <c r="CG201">
        <v>-0.79</v>
      </c>
      <c r="CH201">
        <v>-0.8</v>
      </c>
      <c r="CI201">
        <v>-0.82</v>
      </c>
      <c r="CJ201">
        <v>-7.0000000000000007E-2</v>
      </c>
      <c r="CK201">
        <v>-0.98</v>
      </c>
      <c r="CL201">
        <v>10.34</v>
      </c>
      <c r="CM201">
        <v>-0.77</v>
      </c>
      <c r="CN201">
        <v>-1.2</v>
      </c>
      <c r="CO201">
        <v>30572</v>
      </c>
      <c r="CP201">
        <v>14601</v>
      </c>
      <c r="CQ201" t="s">
        <v>1493</v>
      </c>
      <c r="CR201">
        <v>-369.4</v>
      </c>
      <c r="CS201">
        <v>-2.15</v>
      </c>
      <c r="CT201">
        <v>0.64</v>
      </c>
      <c r="CU201">
        <v>-48.07</v>
      </c>
      <c r="CV201">
        <v>3.52</v>
      </c>
      <c r="CW201">
        <v>0</v>
      </c>
      <c r="CX201" t="s">
        <v>1320</v>
      </c>
      <c r="CY201">
        <v>5.89</v>
      </c>
      <c r="CZ201">
        <v>5.89</v>
      </c>
      <c r="DA201">
        <v>3.74</v>
      </c>
      <c r="DB201">
        <v>1.05</v>
      </c>
      <c r="DC201">
        <v>-0.08</v>
      </c>
      <c r="DD201">
        <v>51.54</v>
      </c>
      <c r="DE201" t="s">
        <v>1494</v>
      </c>
      <c r="DF201">
        <v>18.75</v>
      </c>
      <c r="DG201">
        <v>-8.17</v>
      </c>
      <c r="DH201">
        <v>-7.77</v>
      </c>
      <c r="DI201">
        <v>0.3</v>
      </c>
      <c r="DJ201">
        <v>7726</v>
      </c>
      <c r="DK201">
        <v>665</v>
      </c>
      <c r="DL201" t="s">
        <v>120</v>
      </c>
      <c r="DM201" t="s">
        <v>120</v>
      </c>
      <c r="DN201" t="s">
        <v>120</v>
      </c>
    </row>
    <row r="202" spans="1:118">
      <c r="A202" t="str">
        <f>"000666"</f>
        <v>000666</v>
      </c>
      <c r="B202" t="s">
        <v>1495</v>
      </c>
      <c r="C202">
        <v>-1.79</v>
      </c>
      <c r="D202">
        <v>0</v>
      </c>
      <c r="E202">
        <v>0</v>
      </c>
      <c r="F202">
        <v>303</v>
      </c>
      <c r="G202" t="s">
        <v>1496</v>
      </c>
      <c r="H202">
        <v>6649.31</v>
      </c>
      <c r="I202">
        <v>6.88</v>
      </c>
      <c r="J202" t="s">
        <v>120</v>
      </c>
      <c r="K202" t="s">
        <v>230</v>
      </c>
      <c r="L202">
        <v>2.54</v>
      </c>
      <c r="M202">
        <v>8.77</v>
      </c>
      <c r="N202">
        <v>0.81</v>
      </c>
      <c r="O202">
        <v>1.68</v>
      </c>
      <c r="P202">
        <v>9.08</v>
      </c>
      <c r="Q202">
        <v>-1.9</v>
      </c>
      <c r="R202">
        <v>8.76</v>
      </c>
      <c r="S202">
        <v>8.93</v>
      </c>
      <c r="T202">
        <v>74656</v>
      </c>
      <c r="U202">
        <v>8.7799999999999994</v>
      </c>
      <c r="V202">
        <v>8.93</v>
      </c>
      <c r="W202">
        <v>12.02</v>
      </c>
      <c r="X202" t="s">
        <v>721</v>
      </c>
      <c r="Y202" t="s">
        <v>158</v>
      </c>
      <c r="Z202">
        <v>3.58</v>
      </c>
      <c r="AA202">
        <v>8.91</v>
      </c>
      <c r="AB202">
        <v>41459</v>
      </c>
      <c r="AC202">
        <v>33197</v>
      </c>
      <c r="AD202">
        <v>1.25</v>
      </c>
      <c r="AE202">
        <v>327</v>
      </c>
      <c r="AF202">
        <v>275</v>
      </c>
      <c r="AG202" t="s">
        <v>120</v>
      </c>
      <c r="AH202">
        <v>0</v>
      </c>
      <c r="AI202" t="s">
        <v>120</v>
      </c>
      <c r="AJ202">
        <v>2.94</v>
      </c>
      <c r="AK202" t="s">
        <v>1497</v>
      </c>
      <c r="AL202">
        <v>0.12</v>
      </c>
      <c r="AM202">
        <v>2197</v>
      </c>
      <c r="AN202">
        <v>34</v>
      </c>
      <c r="AO202">
        <v>1.1999999999999999E-3</v>
      </c>
      <c r="AP202">
        <v>-1</v>
      </c>
      <c r="AQ202">
        <v>0.56000000000000005</v>
      </c>
      <c r="AR202">
        <v>-5.09</v>
      </c>
      <c r="AS202">
        <v>1.27</v>
      </c>
      <c r="AT202">
        <v>13.19</v>
      </c>
      <c r="AU202">
        <v>9.11</v>
      </c>
      <c r="AV202">
        <v>0</v>
      </c>
      <c r="AW202">
        <v>2.62</v>
      </c>
      <c r="AX202">
        <v>40.47</v>
      </c>
      <c r="AY202">
        <v>12.67</v>
      </c>
      <c r="AZ202">
        <v>15.32</v>
      </c>
      <c r="BA202">
        <v>0.5</v>
      </c>
      <c r="BB202" t="s">
        <v>143</v>
      </c>
      <c r="BF202">
        <v>-0.26</v>
      </c>
      <c r="BG202">
        <v>-1.79</v>
      </c>
      <c r="BH202">
        <v>-3.41</v>
      </c>
      <c r="BI202">
        <v>0.11</v>
      </c>
      <c r="BJ202">
        <v>20210914</v>
      </c>
      <c r="BK202">
        <v>19961210</v>
      </c>
      <c r="BL202">
        <v>7.04</v>
      </c>
      <c r="BM202" t="s">
        <v>120</v>
      </c>
      <c r="BN202" t="s">
        <v>120</v>
      </c>
      <c r="BO202">
        <v>385.64</v>
      </c>
      <c r="BP202">
        <v>8.77</v>
      </c>
      <c r="BQ202">
        <v>92.89</v>
      </c>
      <c r="BR202">
        <v>139.08000000000001</v>
      </c>
      <c r="BS202">
        <v>39.85</v>
      </c>
      <c r="BT202">
        <v>263.87</v>
      </c>
      <c r="BU202">
        <v>12.72</v>
      </c>
      <c r="BV202">
        <v>3.56</v>
      </c>
      <c r="BW202">
        <v>138.9</v>
      </c>
      <c r="BX202">
        <v>41.49</v>
      </c>
      <c r="BY202">
        <v>11.81</v>
      </c>
      <c r="BZ202">
        <v>11.45</v>
      </c>
      <c r="CA202" t="s">
        <v>120</v>
      </c>
      <c r="CB202">
        <v>18.88</v>
      </c>
      <c r="CC202">
        <v>35.590000000000003</v>
      </c>
      <c r="CD202">
        <v>29.48</v>
      </c>
      <c r="CE202">
        <v>8.5500000000000007</v>
      </c>
      <c r="CF202">
        <v>1.43</v>
      </c>
      <c r="CG202">
        <v>8.81</v>
      </c>
      <c r="CH202">
        <v>7.1</v>
      </c>
      <c r="CI202">
        <v>2.57</v>
      </c>
      <c r="CJ202">
        <v>-0.16</v>
      </c>
      <c r="CK202">
        <v>2.27</v>
      </c>
      <c r="CL202">
        <v>48.07</v>
      </c>
      <c r="CM202">
        <v>-76.099999999999994</v>
      </c>
      <c r="CN202">
        <v>-82.9</v>
      </c>
      <c r="CO202">
        <v>35739</v>
      </c>
      <c r="CP202">
        <v>7972</v>
      </c>
      <c r="CQ202" t="s">
        <v>1498</v>
      </c>
      <c r="CR202">
        <v>50.04</v>
      </c>
      <c r="CS202">
        <v>114.43</v>
      </c>
      <c r="CT202">
        <v>0.66</v>
      </c>
      <c r="CU202">
        <v>-0.81</v>
      </c>
      <c r="CV202">
        <v>1.73</v>
      </c>
      <c r="CW202">
        <v>1.25</v>
      </c>
      <c r="CX202" t="s">
        <v>1499</v>
      </c>
      <c r="CY202">
        <v>13.19</v>
      </c>
      <c r="CZ202">
        <v>0</v>
      </c>
      <c r="DA202">
        <v>2.68</v>
      </c>
      <c r="DB202">
        <v>6.83</v>
      </c>
      <c r="DC202">
        <v>-10.81</v>
      </c>
      <c r="DD202">
        <v>24.09</v>
      </c>
      <c r="DE202" t="s">
        <v>1500</v>
      </c>
      <c r="DF202">
        <v>17.18</v>
      </c>
      <c r="DG202">
        <v>24.03</v>
      </c>
      <c r="DH202">
        <v>7.22</v>
      </c>
      <c r="DI202">
        <v>0.91</v>
      </c>
      <c r="DJ202">
        <v>7770</v>
      </c>
      <c r="DK202">
        <v>666</v>
      </c>
      <c r="DL202" t="s">
        <v>120</v>
      </c>
      <c r="DM202" t="s">
        <v>120</v>
      </c>
      <c r="DN202" t="s">
        <v>120</v>
      </c>
    </row>
    <row r="203" spans="1:118">
      <c r="A203" t="str">
        <f>"000667"</f>
        <v>000667</v>
      </c>
      <c r="B203" t="s">
        <v>1501</v>
      </c>
      <c r="C203">
        <v>0.56000000000000005</v>
      </c>
      <c r="D203">
        <v>0</v>
      </c>
      <c r="E203">
        <v>2.2200000000000002</v>
      </c>
      <c r="F203">
        <v>7736</v>
      </c>
      <c r="G203" t="s">
        <v>1502</v>
      </c>
      <c r="H203">
        <v>34682.07</v>
      </c>
      <c r="I203">
        <v>437.26</v>
      </c>
      <c r="J203" t="s">
        <v>120</v>
      </c>
      <c r="K203" t="s">
        <v>1503</v>
      </c>
      <c r="L203">
        <v>7.59</v>
      </c>
      <c r="M203">
        <v>1.81</v>
      </c>
      <c r="N203">
        <v>1.94</v>
      </c>
      <c r="O203">
        <v>8.89</v>
      </c>
      <c r="P203">
        <v>1.96</v>
      </c>
      <c r="Q203">
        <v>0</v>
      </c>
      <c r="R203">
        <v>1.8</v>
      </c>
      <c r="S203">
        <v>1.84</v>
      </c>
      <c r="T203">
        <v>1851088</v>
      </c>
      <c r="U203">
        <v>1.81</v>
      </c>
      <c r="V203">
        <v>1.8</v>
      </c>
      <c r="W203" t="s">
        <v>120</v>
      </c>
      <c r="X203" t="s">
        <v>132</v>
      </c>
      <c r="Y203" t="s">
        <v>1006</v>
      </c>
      <c r="Z203">
        <v>8.89</v>
      </c>
      <c r="AA203">
        <v>1.87</v>
      </c>
      <c r="AB203">
        <v>916947</v>
      </c>
      <c r="AC203">
        <v>934141</v>
      </c>
      <c r="AD203">
        <v>0.98</v>
      </c>
      <c r="AE203">
        <v>55983</v>
      </c>
      <c r="AF203">
        <v>6643</v>
      </c>
      <c r="AG203" t="s">
        <v>120</v>
      </c>
      <c r="AH203">
        <v>0.12</v>
      </c>
      <c r="AI203" t="s">
        <v>120</v>
      </c>
      <c r="AJ203">
        <v>24.39</v>
      </c>
      <c r="AK203" t="s">
        <v>1504</v>
      </c>
      <c r="AL203">
        <v>2.4700000000000002</v>
      </c>
      <c r="AM203">
        <v>3456</v>
      </c>
      <c r="AN203">
        <v>536</v>
      </c>
      <c r="AO203">
        <v>2.2000000000000001E-3</v>
      </c>
      <c r="AP203">
        <v>2</v>
      </c>
      <c r="AQ203">
        <v>0.56000000000000005</v>
      </c>
      <c r="AR203">
        <v>-2.16</v>
      </c>
      <c r="AS203">
        <v>13.12</v>
      </c>
      <c r="AT203">
        <v>4.0199999999999996</v>
      </c>
      <c r="AU203">
        <v>-53.35</v>
      </c>
      <c r="AV203">
        <v>3</v>
      </c>
      <c r="AW203">
        <v>9.1199999999999992</v>
      </c>
      <c r="AX203">
        <v>82.24</v>
      </c>
      <c r="AY203" t="s">
        <v>120</v>
      </c>
      <c r="AZ203">
        <v>46.89</v>
      </c>
      <c r="BA203">
        <v>0.22</v>
      </c>
      <c r="BB203" t="s">
        <v>143</v>
      </c>
      <c r="BF203">
        <v>4.09</v>
      </c>
      <c r="BG203">
        <v>-1.63</v>
      </c>
      <c r="BH203">
        <v>-7.65</v>
      </c>
      <c r="BI203">
        <v>0.56000000000000005</v>
      </c>
      <c r="BJ203">
        <v>20210913</v>
      </c>
      <c r="BK203">
        <v>19961205</v>
      </c>
      <c r="BL203">
        <v>24.67</v>
      </c>
      <c r="BM203" t="s">
        <v>120</v>
      </c>
      <c r="BN203" t="s">
        <v>120</v>
      </c>
      <c r="BO203">
        <v>280.95999999999998</v>
      </c>
      <c r="BP203">
        <v>1.8</v>
      </c>
      <c r="BQ203">
        <v>68.7</v>
      </c>
      <c r="BR203">
        <v>-5.21</v>
      </c>
      <c r="BS203">
        <v>77.400000000000006</v>
      </c>
      <c r="BT203">
        <v>214.03</v>
      </c>
      <c r="BU203">
        <v>26.52</v>
      </c>
      <c r="BV203">
        <v>4.8099999999999996</v>
      </c>
      <c r="BW203">
        <v>142.06</v>
      </c>
      <c r="BX203">
        <v>13.19</v>
      </c>
      <c r="BY203">
        <v>150.63</v>
      </c>
      <c r="BZ203">
        <v>1.05</v>
      </c>
      <c r="CA203">
        <v>0.01</v>
      </c>
      <c r="CB203">
        <v>13.85</v>
      </c>
      <c r="CC203">
        <v>7.45</v>
      </c>
      <c r="CD203">
        <v>7.43</v>
      </c>
      <c r="CE203">
        <v>-4.3499999999999996</v>
      </c>
      <c r="CF203">
        <v>-0.6</v>
      </c>
      <c r="CG203">
        <v>-4.22</v>
      </c>
      <c r="CH203">
        <v>-4.2300000000000004</v>
      </c>
      <c r="CI203">
        <v>-3.11</v>
      </c>
      <c r="CJ203">
        <v>0.01</v>
      </c>
      <c r="CK203">
        <v>-3.27</v>
      </c>
      <c r="CL203">
        <v>26.53</v>
      </c>
      <c r="CM203">
        <v>10.83</v>
      </c>
      <c r="CN203">
        <v>-11.03</v>
      </c>
      <c r="CO203">
        <v>168300</v>
      </c>
      <c r="CP203">
        <v>12055</v>
      </c>
      <c r="CQ203" t="s">
        <v>1505</v>
      </c>
      <c r="CR203">
        <v>-998.78</v>
      </c>
      <c r="CS203">
        <v>-61.48</v>
      </c>
      <c r="CT203">
        <v>0.65</v>
      </c>
      <c r="CU203">
        <v>4.12</v>
      </c>
      <c r="CV203">
        <v>5.99</v>
      </c>
      <c r="CW203">
        <v>0</v>
      </c>
      <c r="CX203" t="s">
        <v>1506</v>
      </c>
      <c r="CY203">
        <v>2.78</v>
      </c>
      <c r="CZ203">
        <v>0</v>
      </c>
      <c r="DA203">
        <v>0.56000000000000005</v>
      </c>
      <c r="DB203">
        <v>1.08</v>
      </c>
      <c r="DC203">
        <v>0.44</v>
      </c>
      <c r="DD203">
        <v>24.45</v>
      </c>
      <c r="DE203" t="s">
        <v>1507</v>
      </c>
      <c r="DF203">
        <v>0.22</v>
      </c>
      <c r="DG203">
        <v>-58.34</v>
      </c>
      <c r="DH203">
        <v>-41.76</v>
      </c>
      <c r="DI203">
        <v>0.04</v>
      </c>
      <c r="DJ203">
        <v>1988</v>
      </c>
      <c r="DK203">
        <v>667</v>
      </c>
      <c r="DL203" t="s">
        <v>120</v>
      </c>
      <c r="DM203" t="s">
        <v>120</v>
      </c>
      <c r="DN203" t="s">
        <v>120</v>
      </c>
    </row>
    <row r="204" spans="1:118">
      <c r="A204" t="str">
        <f>"000668"</f>
        <v>000668</v>
      </c>
      <c r="B204" t="s">
        <v>1508</v>
      </c>
      <c r="C204">
        <v>-2.76</v>
      </c>
      <c r="D204">
        <v>-0.2</v>
      </c>
      <c r="E204">
        <v>0</v>
      </c>
      <c r="F204">
        <v>50</v>
      </c>
      <c r="G204" t="s">
        <v>1509</v>
      </c>
      <c r="H204">
        <v>1254.48</v>
      </c>
      <c r="I204">
        <v>11.46</v>
      </c>
      <c r="J204" t="s">
        <v>120</v>
      </c>
      <c r="K204" t="s">
        <v>1132</v>
      </c>
      <c r="L204">
        <v>0.6</v>
      </c>
      <c r="M204">
        <v>14.1</v>
      </c>
      <c r="N204">
        <v>0.94</v>
      </c>
      <c r="O204">
        <v>0.69</v>
      </c>
      <c r="P204">
        <v>14.6</v>
      </c>
      <c r="Q204">
        <v>-3.31</v>
      </c>
      <c r="R204">
        <v>14.02</v>
      </c>
      <c r="S204">
        <v>14.5</v>
      </c>
      <c r="T204">
        <v>8770</v>
      </c>
      <c r="U204">
        <v>14.1</v>
      </c>
      <c r="V204">
        <v>14.5</v>
      </c>
      <c r="W204" t="s">
        <v>120</v>
      </c>
      <c r="X204" t="s">
        <v>150</v>
      </c>
      <c r="Y204" t="s">
        <v>1510</v>
      </c>
      <c r="Z204">
        <v>4</v>
      </c>
      <c r="AA204">
        <v>14.3</v>
      </c>
      <c r="AB204">
        <v>6073</v>
      </c>
      <c r="AC204">
        <v>2697</v>
      </c>
      <c r="AD204">
        <v>2.25</v>
      </c>
      <c r="AE204">
        <v>33</v>
      </c>
      <c r="AF204">
        <v>35</v>
      </c>
      <c r="AG204" t="s">
        <v>120</v>
      </c>
      <c r="AH204">
        <v>0.01</v>
      </c>
      <c r="AI204" t="s">
        <v>120</v>
      </c>
      <c r="AJ204">
        <v>1.47</v>
      </c>
      <c r="AK204" t="s">
        <v>1511</v>
      </c>
      <c r="AL204">
        <v>-0.84</v>
      </c>
      <c r="AM204">
        <v>464</v>
      </c>
      <c r="AN204">
        <v>19</v>
      </c>
      <c r="AO204">
        <v>1.2999999999999999E-3</v>
      </c>
      <c r="AP204">
        <v>-1</v>
      </c>
      <c r="AQ204">
        <v>0.42</v>
      </c>
      <c r="AR204">
        <v>-4.34</v>
      </c>
      <c r="AS204">
        <v>-13.97</v>
      </c>
      <c r="AT204">
        <v>-20.39</v>
      </c>
      <c r="AU204">
        <v>4.37</v>
      </c>
      <c r="AV204">
        <v>3</v>
      </c>
      <c r="AW204">
        <v>1.01</v>
      </c>
      <c r="AX204">
        <v>59.09</v>
      </c>
      <c r="AY204" t="s">
        <v>120</v>
      </c>
      <c r="AZ204" t="s">
        <v>120</v>
      </c>
      <c r="BA204">
        <v>0.28000000000000003</v>
      </c>
      <c r="BB204" t="s">
        <v>168</v>
      </c>
      <c r="BF204">
        <v>-1.35</v>
      </c>
      <c r="BG204">
        <v>-2.76</v>
      </c>
      <c r="BH204">
        <v>-3.42</v>
      </c>
      <c r="BI204">
        <v>0.56999999999999995</v>
      </c>
      <c r="BJ204">
        <v>20210827</v>
      </c>
      <c r="BK204">
        <v>19961210</v>
      </c>
      <c r="BL204">
        <v>1.47</v>
      </c>
      <c r="BM204" t="s">
        <v>120</v>
      </c>
      <c r="BN204" t="s">
        <v>120</v>
      </c>
      <c r="BO204">
        <v>28.27</v>
      </c>
      <c r="BP204">
        <v>14.06</v>
      </c>
      <c r="BQ204">
        <v>9.18</v>
      </c>
      <c r="BR204">
        <v>0.96</v>
      </c>
      <c r="BS204">
        <v>64.11</v>
      </c>
      <c r="BT204">
        <v>22.85</v>
      </c>
      <c r="BU204">
        <v>0.02</v>
      </c>
      <c r="BV204">
        <v>0</v>
      </c>
      <c r="BW204">
        <v>18.13</v>
      </c>
      <c r="BX204">
        <v>3.81</v>
      </c>
      <c r="BY204">
        <v>14.32</v>
      </c>
      <c r="BZ204">
        <v>0.05</v>
      </c>
      <c r="CA204">
        <v>0.36</v>
      </c>
      <c r="CB204">
        <v>0.8</v>
      </c>
      <c r="CC204">
        <v>0.36</v>
      </c>
      <c r="CD204">
        <v>0.34</v>
      </c>
      <c r="CE204">
        <v>-0.33</v>
      </c>
      <c r="CF204">
        <v>0</v>
      </c>
      <c r="CG204">
        <v>-0.33</v>
      </c>
      <c r="CH204">
        <v>-0.27</v>
      </c>
      <c r="CI204">
        <v>-0.26</v>
      </c>
      <c r="CJ204">
        <v>-0.4</v>
      </c>
      <c r="CK204">
        <v>-0.28999999999999998</v>
      </c>
      <c r="CL204">
        <v>5.79</v>
      </c>
      <c r="CM204">
        <v>3.7</v>
      </c>
      <c r="CN204">
        <v>0.08</v>
      </c>
      <c r="CO204">
        <v>6528</v>
      </c>
      <c r="CP204">
        <v>13291</v>
      </c>
      <c r="CQ204" t="s">
        <v>1512</v>
      </c>
      <c r="CR204">
        <v>-58.44</v>
      </c>
      <c r="CS204">
        <v>58.7</v>
      </c>
      <c r="CT204">
        <v>2.25</v>
      </c>
      <c r="CU204">
        <v>5.59</v>
      </c>
      <c r="CV204">
        <v>56.74</v>
      </c>
      <c r="CW204">
        <v>0</v>
      </c>
      <c r="CX204" t="s">
        <v>1513</v>
      </c>
      <c r="CY204">
        <v>6.25</v>
      </c>
      <c r="CZ204">
        <v>0</v>
      </c>
      <c r="DA204">
        <v>0.55000000000000004</v>
      </c>
      <c r="DB204">
        <v>3.94</v>
      </c>
      <c r="DC204">
        <v>2.52</v>
      </c>
      <c r="DD204">
        <v>32.479999999999997</v>
      </c>
      <c r="DE204" t="s">
        <v>1514</v>
      </c>
      <c r="DF204">
        <v>6.67</v>
      </c>
      <c r="DG204">
        <v>-90.84</v>
      </c>
      <c r="DH204">
        <v>-70.239999999999995</v>
      </c>
      <c r="DI204" t="s">
        <v>120</v>
      </c>
      <c r="DJ204">
        <v>167</v>
      </c>
      <c r="DK204">
        <v>668</v>
      </c>
      <c r="DL204" t="s">
        <v>120</v>
      </c>
      <c r="DM204" t="s">
        <v>120</v>
      </c>
      <c r="DN204" t="s">
        <v>120</v>
      </c>
    </row>
    <row r="205" spans="1:118">
      <c r="A205" t="str">
        <f>"000671"</f>
        <v>000671</v>
      </c>
      <c r="B205" t="s">
        <v>1515</v>
      </c>
      <c r="C205">
        <v>-3.79</v>
      </c>
      <c r="D205">
        <v>-0.22</v>
      </c>
      <c r="E205">
        <v>0.45</v>
      </c>
      <c r="F205">
        <v>4677</v>
      </c>
      <c r="G205" t="s">
        <v>1516</v>
      </c>
      <c r="H205">
        <v>12009.93</v>
      </c>
      <c r="I205">
        <v>36.14</v>
      </c>
      <c r="J205" t="s">
        <v>120</v>
      </c>
      <c r="K205" t="s">
        <v>1517</v>
      </c>
      <c r="L205">
        <v>0.67</v>
      </c>
      <c r="M205">
        <v>4.3099999999999996</v>
      </c>
      <c r="N205">
        <v>0.9</v>
      </c>
      <c r="O205">
        <v>0.67</v>
      </c>
      <c r="P205">
        <v>4.51</v>
      </c>
      <c r="Q205">
        <v>-3.79</v>
      </c>
      <c r="R205">
        <v>4.3099999999999996</v>
      </c>
      <c r="S205">
        <v>4.5</v>
      </c>
      <c r="T205">
        <v>273371</v>
      </c>
      <c r="U205">
        <v>4.32</v>
      </c>
      <c r="V205">
        <v>4.4800000000000004</v>
      </c>
      <c r="W205">
        <v>4.47</v>
      </c>
      <c r="X205" t="s">
        <v>150</v>
      </c>
      <c r="Y205" t="s">
        <v>937</v>
      </c>
      <c r="Z205">
        <v>4.46</v>
      </c>
      <c r="AA205">
        <v>4.3899999999999997</v>
      </c>
      <c r="AB205">
        <v>181615</v>
      </c>
      <c r="AC205">
        <v>91756</v>
      </c>
      <c r="AD205">
        <v>1.98</v>
      </c>
      <c r="AE205">
        <v>663</v>
      </c>
      <c r="AF205">
        <v>387</v>
      </c>
      <c r="AG205" t="s">
        <v>120</v>
      </c>
      <c r="AH205">
        <v>0.01</v>
      </c>
      <c r="AI205" t="s">
        <v>120</v>
      </c>
      <c r="AJ205">
        <v>40.520000000000003</v>
      </c>
      <c r="AK205" t="s">
        <v>1518</v>
      </c>
      <c r="AL205">
        <v>-1.88</v>
      </c>
      <c r="AM205">
        <v>2700</v>
      </c>
      <c r="AN205">
        <v>101</v>
      </c>
      <c r="AO205">
        <v>2.0000000000000001E-4</v>
      </c>
      <c r="AP205">
        <v>-3</v>
      </c>
      <c r="AQ205">
        <v>-1.97</v>
      </c>
      <c r="AR205">
        <v>-9.08</v>
      </c>
      <c r="AS205">
        <v>-5.0599999999999996</v>
      </c>
      <c r="AT205">
        <v>-10.75</v>
      </c>
      <c r="AU205">
        <v>-29.8</v>
      </c>
      <c r="AV205">
        <v>0</v>
      </c>
      <c r="AW205">
        <v>1.71</v>
      </c>
      <c r="AX205">
        <v>38.549999999999997</v>
      </c>
      <c r="AY205">
        <v>3.37</v>
      </c>
      <c r="AZ205">
        <v>3.55</v>
      </c>
      <c r="BA205">
        <v>0.11</v>
      </c>
      <c r="BB205" t="s">
        <v>143</v>
      </c>
      <c r="BF205">
        <v>-1.94</v>
      </c>
      <c r="BG205">
        <v>-4.22</v>
      </c>
      <c r="BH205">
        <v>-4.43</v>
      </c>
      <c r="BI205">
        <v>0</v>
      </c>
      <c r="BJ205">
        <v>20210910</v>
      </c>
      <c r="BK205">
        <v>19961218</v>
      </c>
      <c r="BL205">
        <v>41.4</v>
      </c>
      <c r="BM205" t="s">
        <v>120</v>
      </c>
      <c r="BN205" t="s">
        <v>120</v>
      </c>
      <c r="BO205">
        <v>3582.09</v>
      </c>
      <c r="BP205">
        <v>4.3099999999999996</v>
      </c>
      <c r="BQ205">
        <v>300.91000000000003</v>
      </c>
      <c r="BR205">
        <v>284.68</v>
      </c>
      <c r="BS205">
        <v>83.65</v>
      </c>
      <c r="BT205">
        <v>3025.96</v>
      </c>
      <c r="BU205">
        <v>42.23</v>
      </c>
      <c r="BV205">
        <v>8.02</v>
      </c>
      <c r="BW205">
        <v>2284.27</v>
      </c>
      <c r="BX205">
        <v>403.73</v>
      </c>
      <c r="BY205">
        <v>1944.49</v>
      </c>
      <c r="BZ205">
        <v>24.55</v>
      </c>
      <c r="CA205">
        <v>0.49</v>
      </c>
      <c r="CB205">
        <v>44.66</v>
      </c>
      <c r="CC205">
        <v>299.32</v>
      </c>
      <c r="CD205">
        <v>244.93</v>
      </c>
      <c r="CE205">
        <v>34.4</v>
      </c>
      <c r="CF205">
        <v>14.48</v>
      </c>
      <c r="CG205">
        <v>34.270000000000003</v>
      </c>
      <c r="CH205">
        <v>22.59</v>
      </c>
      <c r="CI205">
        <v>19.940000000000001</v>
      </c>
      <c r="CJ205">
        <v>-0.17</v>
      </c>
      <c r="CK205">
        <v>18.39</v>
      </c>
      <c r="CL205">
        <v>170.54</v>
      </c>
      <c r="CM205">
        <v>79.930000000000007</v>
      </c>
      <c r="CN205">
        <v>-69.099999999999994</v>
      </c>
      <c r="CO205">
        <v>47940</v>
      </c>
      <c r="CP205">
        <v>33296</v>
      </c>
      <c r="CQ205" t="s">
        <v>1519</v>
      </c>
      <c r="CR205">
        <v>17.079999999999998</v>
      </c>
      <c r="CS205">
        <v>24.1</v>
      </c>
      <c r="CT205">
        <v>0.66</v>
      </c>
      <c r="CU205">
        <v>2.23</v>
      </c>
      <c r="CV205">
        <v>0.6</v>
      </c>
      <c r="CW205">
        <v>8.4499999999999993</v>
      </c>
      <c r="CX205" t="s">
        <v>1520</v>
      </c>
      <c r="CY205">
        <v>6.54</v>
      </c>
      <c r="CZ205">
        <v>6.54</v>
      </c>
      <c r="DA205">
        <v>1.08</v>
      </c>
      <c r="DB205">
        <v>4.12</v>
      </c>
      <c r="DC205">
        <v>1.93</v>
      </c>
      <c r="DD205">
        <v>8.4</v>
      </c>
      <c r="DE205" t="s">
        <v>1521</v>
      </c>
      <c r="DF205">
        <v>18.170000000000002</v>
      </c>
      <c r="DG205">
        <v>11.49</v>
      </c>
      <c r="DH205">
        <v>6.66</v>
      </c>
      <c r="DI205">
        <v>0.56000000000000005</v>
      </c>
      <c r="DJ205">
        <v>21319</v>
      </c>
      <c r="DK205">
        <v>671</v>
      </c>
      <c r="DL205" t="s">
        <v>120</v>
      </c>
      <c r="DM205" t="s">
        <v>120</v>
      </c>
      <c r="DN205" t="s">
        <v>120</v>
      </c>
    </row>
    <row r="206" spans="1:118">
      <c r="A206" t="str">
        <f>"000672"</f>
        <v>000672</v>
      </c>
      <c r="B206" t="s">
        <v>1522</v>
      </c>
      <c r="C206">
        <v>0.46</v>
      </c>
      <c r="D206">
        <v>0.04</v>
      </c>
      <c r="E206">
        <v>1.55</v>
      </c>
      <c r="F206">
        <v>1507</v>
      </c>
      <c r="G206" t="s">
        <v>1523</v>
      </c>
      <c r="H206">
        <v>81693.36</v>
      </c>
      <c r="I206">
        <v>856.36</v>
      </c>
      <c r="J206" t="s">
        <v>120</v>
      </c>
      <c r="K206" t="s">
        <v>1524</v>
      </c>
      <c r="L206">
        <v>4.1100000000000003</v>
      </c>
      <c r="M206">
        <v>24.02</v>
      </c>
      <c r="N206">
        <v>0.69</v>
      </c>
      <c r="O206">
        <v>5.4</v>
      </c>
      <c r="P206">
        <v>25.2</v>
      </c>
      <c r="Q206">
        <v>-0.5</v>
      </c>
      <c r="R206">
        <v>23.79</v>
      </c>
      <c r="S206">
        <v>24.28</v>
      </c>
      <c r="T206">
        <v>334286</v>
      </c>
      <c r="U206">
        <v>24.02</v>
      </c>
      <c r="V206">
        <v>23.91</v>
      </c>
      <c r="W206">
        <v>9.68</v>
      </c>
      <c r="X206" t="s">
        <v>653</v>
      </c>
      <c r="Y206" t="s">
        <v>1082</v>
      </c>
      <c r="Z206">
        <v>5.9</v>
      </c>
      <c r="AA206">
        <v>24.44</v>
      </c>
      <c r="AB206">
        <v>180167</v>
      </c>
      <c r="AC206">
        <v>154119</v>
      </c>
      <c r="AD206">
        <v>1.17</v>
      </c>
      <c r="AE206">
        <v>296</v>
      </c>
      <c r="AF206">
        <v>164</v>
      </c>
      <c r="AG206" t="s">
        <v>120</v>
      </c>
      <c r="AH206">
        <v>0.1</v>
      </c>
      <c r="AI206" t="s">
        <v>120</v>
      </c>
      <c r="AJ206">
        <v>8.14</v>
      </c>
      <c r="AK206" t="s">
        <v>1524</v>
      </c>
      <c r="AL206">
        <v>2.37</v>
      </c>
      <c r="AM206">
        <v>4248</v>
      </c>
      <c r="AN206">
        <v>79</v>
      </c>
      <c r="AO206">
        <v>1E-3</v>
      </c>
      <c r="AP206">
        <v>1</v>
      </c>
      <c r="AQ206">
        <v>-5.53</v>
      </c>
      <c r="AR206">
        <v>-7.9</v>
      </c>
      <c r="AS206">
        <v>31.4</v>
      </c>
      <c r="AT206">
        <v>38.6</v>
      </c>
      <c r="AU206">
        <v>28.73</v>
      </c>
      <c r="AV206">
        <v>2</v>
      </c>
      <c r="AW206">
        <v>9.4600000000000009</v>
      </c>
      <c r="AX206">
        <v>43.42</v>
      </c>
      <c r="AY206">
        <v>9.6</v>
      </c>
      <c r="AZ206">
        <v>9.6</v>
      </c>
      <c r="BA206">
        <v>0.63</v>
      </c>
      <c r="BB206" t="s">
        <v>125</v>
      </c>
      <c r="BF206">
        <v>2.21</v>
      </c>
      <c r="BG206">
        <v>-1.07</v>
      </c>
      <c r="BH206">
        <v>-4.68</v>
      </c>
      <c r="BI206">
        <v>0.97</v>
      </c>
      <c r="BJ206">
        <v>20210901</v>
      </c>
      <c r="BK206">
        <v>19961218</v>
      </c>
      <c r="BL206">
        <v>8.14</v>
      </c>
      <c r="BM206" t="s">
        <v>120</v>
      </c>
      <c r="BN206" t="s">
        <v>120</v>
      </c>
      <c r="BO206">
        <v>117.73</v>
      </c>
      <c r="BP206">
        <v>24.01</v>
      </c>
      <c r="BQ206">
        <v>71.11</v>
      </c>
      <c r="BR206">
        <v>5.58</v>
      </c>
      <c r="BS206">
        <v>34.869999999999997</v>
      </c>
      <c r="BT206">
        <v>44.18</v>
      </c>
      <c r="BU206">
        <v>34.39</v>
      </c>
      <c r="BV206">
        <v>20.190000000000001</v>
      </c>
      <c r="BW206">
        <v>32.61</v>
      </c>
      <c r="BX206">
        <v>11.06</v>
      </c>
      <c r="BY206">
        <v>9.24</v>
      </c>
      <c r="BZ206">
        <v>1.89</v>
      </c>
      <c r="CA206">
        <v>0</v>
      </c>
      <c r="CB206">
        <v>-9.26</v>
      </c>
      <c r="CC206">
        <v>35.94</v>
      </c>
      <c r="CD206">
        <v>19.13</v>
      </c>
      <c r="CE206">
        <v>13.68</v>
      </c>
      <c r="CF206">
        <v>0.57999999999999996</v>
      </c>
      <c r="CG206">
        <v>13.5</v>
      </c>
      <c r="CH206">
        <v>10.26</v>
      </c>
      <c r="CI206">
        <v>10.1</v>
      </c>
      <c r="CJ206">
        <v>0.11</v>
      </c>
      <c r="CK206">
        <v>10.27</v>
      </c>
      <c r="CL206">
        <v>70.78</v>
      </c>
      <c r="CM206">
        <v>9.26</v>
      </c>
      <c r="CN206">
        <v>-7.65</v>
      </c>
      <c r="CO206">
        <v>57369</v>
      </c>
      <c r="CP206">
        <v>6158</v>
      </c>
      <c r="CQ206" t="s">
        <v>1525</v>
      </c>
      <c r="CR206">
        <v>0.12</v>
      </c>
      <c r="CS206">
        <v>25.05</v>
      </c>
      <c r="CT206">
        <v>2.75</v>
      </c>
      <c r="CU206">
        <v>21.12</v>
      </c>
      <c r="CV206">
        <v>5.44</v>
      </c>
      <c r="CW206">
        <v>3.5</v>
      </c>
      <c r="CX206" t="s">
        <v>1526</v>
      </c>
      <c r="CY206">
        <v>8.74</v>
      </c>
      <c r="CZ206">
        <v>0</v>
      </c>
      <c r="DA206">
        <v>-1.1399999999999999</v>
      </c>
      <c r="DB206">
        <v>8.6999999999999993</v>
      </c>
      <c r="DC206">
        <v>1.1399999999999999</v>
      </c>
      <c r="DD206">
        <v>60.4</v>
      </c>
      <c r="DE206" t="s">
        <v>1527</v>
      </c>
      <c r="DF206">
        <v>46.79</v>
      </c>
      <c r="DG206">
        <v>38.049999999999997</v>
      </c>
      <c r="DH206">
        <v>28.09</v>
      </c>
      <c r="DI206">
        <v>0.09</v>
      </c>
      <c r="DJ206">
        <v>2433</v>
      </c>
      <c r="DK206">
        <v>672</v>
      </c>
      <c r="DL206" t="s">
        <v>120</v>
      </c>
      <c r="DM206" t="s">
        <v>120</v>
      </c>
      <c r="DN206" t="s">
        <v>120</v>
      </c>
    </row>
    <row r="207" spans="1:118">
      <c r="A207" t="str">
        <f>"000676"</f>
        <v>000676</v>
      </c>
      <c r="B207" t="s">
        <v>1528</v>
      </c>
      <c r="C207">
        <v>-4.99</v>
      </c>
      <c r="D207">
        <v>-0.24</v>
      </c>
      <c r="E207">
        <v>0.95</v>
      </c>
      <c r="F207">
        <v>12276</v>
      </c>
      <c r="G207" t="s">
        <v>1529</v>
      </c>
      <c r="H207">
        <v>70072.160000000003</v>
      </c>
      <c r="I207">
        <v>611.83000000000004</v>
      </c>
      <c r="J207" t="s">
        <v>120</v>
      </c>
      <c r="K207" t="s">
        <v>1530</v>
      </c>
      <c r="L207">
        <v>7.36</v>
      </c>
      <c r="M207">
        <v>8</v>
      </c>
      <c r="N207">
        <v>0.74</v>
      </c>
      <c r="O207">
        <v>3.68</v>
      </c>
      <c r="P207">
        <v>8.73</v>
      </c>
      <c r="Q207">
        <v>-5.58</v>
      </c>
      <c r="R207">
        <v>7.95</v>
      </c>
      <c r="S207">
        <v>8.5</v>
      </c>
      <c r="T207">
        <v>846164</v>
      </c>
      <c r="U207">
        <v>8</v>
      </c>
      <c r="V207">
        <v>8.42</v>
      </c>
      <c r="W207">
        <v>22.68</v>
      </c>
      <c r="X207" t="s">
        <v>1531</v>
      </c>
      <c r="Y207" t="s">
        <v>645</v>
      </c>
      <c r="Z207">
        <v>9.26</v>
      </c>
      <c r="AA207">
        <v>8.2799999999999994</v>
      </c>
      <c r="AB207">
        <v>440128</v>
      </c>
      <c r="AC207">
        <v>406036</v>
      </c>
      <c r="AD207">
        <v>1.08</v>
      </c>
      <c r="AE207">
        <v>662</v>
      </c>
      <c r="AF207">
        <v>951</v>
      </c>
      <c r="AG207" t="s">
        <v>120</v>
      </c>
      <c r="AH207">
        <v>0.11</v>
      </c>
      <c r="AI207" t="s">
        <v>120</v>
      </c>
      <c r="AJ207">
        <v>11.49</v>
      </c>
      <c r="AK207" t="s">
        <v>1532</v>
      </c>
      <c r="AL207">
        <v>-3.07</v>
      </c>
      <c r="AM207">
        <v>4442</v>
      </c>
      <c r="AN207">
        <v>190</v>
      </c>
      <c r="AO207">
        <v>1.6999999999999999E-3</v>
      </c>
      <c r="AP207">
        <v>-1</v>
      </c>
      <c r="AQ207">
        <v>0.36</v>
      </c>
      <c r="AR207">
        <v>-6.54</v>
      </c>
      <c r="AS207">
        <v>6.24</v>
      </c>
      <c r="AT207">
        <v>36.06</v>
      </c>
      <c r="AU207">
        <v>20.12</v>
      </c>
      <c r="AV207">
        <v>17</v>
      </c>
      <c r="AW207">
        <v>13.35</v>
      </c>
      <c r="AX207">
        <v>49.66</v>
      </c>
      <c r="AY207" t="s">
        <v>120</v>
      </c>
      <c r="AZ207" t="s">
        <v>120</v>
      </c>
      <c r="BA207">
        <v>0.5</v>
      </c>
      <c r="BB207" t="s">
        <v>143</v>
      </c>
      <c r="BF207">
        <v>-1.65</v>
      </c>
      <c r="BG207">
        <v>-5.88</v>
      </c>
      <c r="BH207">
        <v>-8.36</v>
      </c>
      <c r="BI207">
        <v>0.63</v>
      </c>
      <c r="BJ207">
        <v>20210821</v>
      </c>
      <c r="BK207">
        <v>19961224</v>
      </c>
      <c r="BL207">
        <v>12.77</v>
      </c>
      <c r="BM207" t="s">
        <v>120</v>
      </c>
      <c r="BN207" t="s">
        <v>120</v>
      </c>
      <c r="BO207">
        <v>55.29</v>
      </c>
      <c r="BP207">
        <v>7.99</v>
      </c>
      <c r="BQ207">
        <v>39.19</v>
      </c>
      <c r="BR207">
        <v>-0.43</v>
      </c>
      <c r="BS207">
        <v>29.89</v>
      </c>
      <c r="BT207">
        <v>34.29</v>
      </c>
      <c r="BU207">
        <v>0.06</v>
      </c>
      <c r="BV207">
        <v>1.03</v>
      </c>
      <c r="BW207">
        <v>15.84</v>
      </c>
      <c r="BX207">
        <v>8</v>
      </c>
      <c r="BY207">
        <v>0.79</v>
      </c>
      <c r="BZ207">
        <v>13.02</v>
      </c>
      <c r="CA207" t="s">
        <v>120</v>
      </c>
      <c r="CB207">
        <v>36.33</v>
      </c>
      <c r="CC207">
        <v>34.619999999999997</v>
      </c>
      <c r="CD207">
        <v>31.58</v>
      </c>
      <c r="CE207">
        <v>2.73</v>
      </c>
      <c r="CF207">
        <v>0.16</v>
      </c>
      <c r="CG207">
        <v>2.73</v>
      </c>
      <c r="CH207">
        <v>2.2000000000000002</v>
      </c>
      <c r="CI207">
        <v>2.25</v>
      </c>
      <c r="CJ207">
        <v>-0.42</v>
      </c>
      <c r="CK207">
        <v>0.38</v>
      </c>
      <c r="CL207">
        <v>-10.09</v>
      </c>
      <c r="CM207">
        <v>-1.06</v>
      </c>
      <c r="CN207">
        <v>-2.8</v>
      </c>
      <c r="CO207">
        <v>77786</v>
      </c>
      <c r="CP207">
        <v>8149</v>
      </c>
      <c r="CQ207" t="s">
        <v>1533</v>
      </c>
      <c r="CR207">
        <v>400.01</v>
      </c>
      <c r="CS207">
        <v>-41.89</v>
      </c>
      <c r="CT207">
        <v>2.61</v>
      </c>
      <c r="CU207">
        <v>-96.33</v>
      </c>
      <c r="CV207">
        <v>2.95</v>
      </c>
      <c r="CW207">
        <v>0</v>
      </c>
      <c r="CX207" t="s">
        <v>1534</v>
      </c>
      <c r="CY207">
        <v>3.07</v>
      </c>
      <c r="CZ207">
        <v>0</v>
      </c>
      <c r="DA207">
        <v>2.85</v>
      </c>
      <c r="DB207">
        <v>-0.79</v>
      </c>
      <c r="DC207">
        <v>-0.08</v>
      </c>
      <c r="DD207">
        <v>70.89</v>
      </c>
      <c r="DE207" t="s">
        <v>1535</v>
      </c>
      <c r="DF207">
        <v>8.75</v>
      </c>
      <c r="DG207">
        <v>7.88</v>
      </c>
      <c r="DH207">
        <v>6.5</v>
      </c>
      <c r="DI207">
        <v>0.63</v>
      </c>
      <c r="DJ207">
        <v>895</v>
      </c>
      <c r="DK207">
        <v>676</v>
      </c>
      <c r="DL207" t="s">
        <v>120</v>
      </c>
      <c r="DM207" t="s">
        <v>120</v>
      </c>
      <c r="DN207" t="s">
        <v>120</v>
      </c>
    </row>
    <row r="208" spans="1:118">
      <c r="A208" t="str">
        <f>"000677"</f>
        <v>000677</v>
      </c>
      <c r="B208" t="s">
        <v>1536</v>
      </c>
      <c r="C208">
        <v>-1.46</v>
      </c>
      <c r="D208">
        <v>0</v>
      </c>
      <c r="E208">
        <v>0.28999999999999998</v>
      </c>
      <c r="F208">
        <v>1532</v>
      </c>
      <c r="G208" t="s">
        <v>1537</v>
      </c>
      <c r="H208">
        <v>6023.88</v>
      </c>
      <c r="I208">
        <v>24.6</v>
      </c>
      <c r="J208" t="s">
        <v>120</v>
      </c>
      <c r="K208" t="s">
        <v>1538</v>
      </c>
      <c r="L208">
        <v>2.0499999999999998</v>
      </c>
      <c r="M208">
        <v>3.38</v>
      </c>
      <c r="N208">
        <v>1.35</v>
      </c>
      <c r="O208">
        <v>1.75</v>
      </c>
      <c r="P208">
        <v>3.49</v>
      </c>
      <c r="Q208">
        <v>-2.33</v>
      </c>
      <c r="R208">
        <v>3.35</v>
      </c>
      <c r="S208">
        <v>3.44</v>
      </c>
      <c r="T208">
        <v>176697</v>
      </c>
      <c r="U208">
        <v>3.39</v>
      </c>
      <c r="V208">
        <v>3.43</v>
      </c>
      <c r="W208">
        <v>46.18</v>
      </c>
      <c r="X208" t="s">
        <v>623</v>
      </c>
      <c r="Y208" t="s">
        <v>638</v>
      </c>
      <c r="Z208">
        <v>4.08</v>
      </c>
      <c r="AA208">
        <v>3.41</v>
      </c>
      <c r="AB208">
        <v>91256</v>
      </c>
      <c r="AC208">
        <v>85441</v>
      </c>
      <c r="AD208">
        <v>1.07</v>
      </c>
      <c r="AE208">
        <v>2247</v>
      </c>
      <c r="AF208">
        <v>229</v>
      </c>
      <c r="AG208" t="s">
        <v>120</v>
      </c>
      <c r="AH208">
        <v>0.01</v>
      </c>
      <c r="AI208" t="s">
        <v>120</v>
      </c>
      <c r="AJ208">
        <v>8.64</v>
      </c>
      <c r="AK208" t="s">
        <v>1538</v>
      </c>
      <c r="AL208">
        <v>0.46</v>
      </c>
      <c r="AM208">
        <v>2596</v>
      </c>
      <c r="AN208">
        <v>68</v>
      </c>
      <c r="AO208">
        <v>8.0000000000000004E-4</v>
      </c>
      <c r="AP208">
        <v>-1</v>
      </c>
      <c r="AQ208">
        <v>4.57</v>
      </c>
      <c r="AR208">
        <v>0.59</v>
      </c>
      <c r="AS208">
        <v>11.92</v>
      </c>
      <c r="AT208">
        <v>19.010000000000002</v>
      </c>
      <c r="AU208">
        <v>22.47</v>
      </c>
      <c r="AV208">
        <v>2</v>
      </c>
      <c r="AW208">
        <v>3.07</v>
      </c>
      <c r="AX208">
        <v>66.66</v>
      </c>
      <c r="AY208">
        <v>82.09</v>
      </c>
      <c r="AZ208">
        <v>453.12</v>
      </c>
      <c r="BA208">
        <v>0.39</v>
      </c>
      <c r="BB208" t="s">
        <v>168</v>
      </c>
      <c r="BF208">
        <v>-0.61</v>
      </c>
      <c r="BG208">
        <v>-1.74</v>
      </c>
      <c r="BH208">
        <v>-3.15</v>
      </c>
      <c r="BI208">
        <v>0.9</v>
      </c>
      <c r="BJ208">
        <v>20210827</v>
      </c>
      <c r="BK208">
        <v>19961226</v>
      </c>
      <c r="BL208">
        <v>8.64</v>
      </c>
      <c r="BM208" t="s">
        <v>120</v>
      </c>
      <c r="BN208" t="s">
        <v>120</v>
      </c>
      <c r="BO208">
        <v>9.6</v>
      </c>
      <c r="BP208">
        <v>3.38</v>
      </c>
      <c r="BQ208">
        <v>3.19</v>
      </c>
      <c r="BR208">
        <v>4.3499999999999996</v>
      </c>
      <c r="BS208">
        <v>21.42</v>
      </c>
      <c r="BT208">
        <v>5</v>
      </c>
      <c r="BU208">
        <v>3.72</v>
      </c>
      <c r="BV208">
        <v>0.75</v>
      </c>
      <c r="BW208">
        <v>1.77</v>
      </c>
      <c r="BX208">
        <v>1.33</v>
      </c>
      <c r="BY208">
        <v>1.04</v>
      </c>
      <c r="BZ208">
        <v>1.92</v>
      </c>
      <c r="CA208" t="s">
        <v>120</v>
      </c>
      <c r="CB208">
        <v>6.98</v>
      </c>
      <c r="CC208">
        <v>4.6900000000000004</v>
      </c>
      <c r="CD208">
        <v>3.39</v>
      </c>
      <c r="CE208">
        <v>0.84</v>
      </c>
      <c r="CF208">
        <v>0</v>
      </c>
      <c r="CG208">
        <v>0.84</v>
      </c>
      <c r="CH208">
        <v>0.63</v>
      </c>
      <c r="CI208">
        <v>0.32</v>
      </c>
      <c r="CJ208">
        <v>-0.05</v>
      </c>
      <c r="CK208">
        <v>0.32</v>
      </c>
      <c r="CL208">
        <v>-14.55</v>
      </c>
      <c r="CM208">
        <v>0.28999999999999998</v>
      </c>
      <c r="CN208">
        <v>0.25</v>
      </c>
      <c r="CO208">
        <v>48403</v>
      </c>
      <c r="CP208">
        <v>11899</v>
      </c>
      <c r="CQ208" t="s">
        <v>1539</v>
      </c>
      <c r="CR208">
        <v>1436.26</v>
      </c>
      <c r="CS208">
        <v>40.43</v>
      </c>
      <c r="CT208">
        <v>9.15</v>
      </c>
      <c r="CU208">
        <v>102.14</v>
      </c>
      <c r="CV208">
        <v>6.23</v>
      </c>
      <c r="CW208">
        <v>0</v>
      </c>
      <c r="CX208" t="s">
        <v>1540</v>
      </c>
      <c r="CY208">
        <v>0.37</v>
      </c>
      <c r="CZ208">
        <v>0</v>
      </c>
      <c r="DA208">
        <v>0.81</v>
      </c>
      <c r="DB208">
        <v>-1.68</v>
      </c>
      <c r="DC208">
        <v>0.03</v>
      </c>
      <c r="DD208">
        <v>33.229999999999997</v>
      </c>
      <c r="DE208" t="s">
        <v>1541</v>
      </c>
      <c r="DF208">
        <v>27.66</v>
      </c>
      <c r="DG208">
        <v>17.98</v>
      </c>
      <c r="DH208">
        <v>6.74</v>
      </c>
      <c r="DI208">
        <v>0.01</v>
      </c>
      <c r="DJ208">
        <v>931</v>
      </c>
      <c r="DK208">
        <v>677</v>
      </c>
      <c r="DL208" t="s">
        <v>120</v>
      </c>
      <c r="DM208" t="s">
        <v>120</v>
      </c>
      <c r="DN208" t="s">
        <v>120</v>
      </c>
    </row>
    <row r="209" spans="1:118">
      <c r="A209" t="str">
        <f>"000678"</f>
        <v>000678</v>
      </c>
      <c r="B209" t="s">
        <v>1542</v>
      </c>
      <c r="C209">
        <v>-1.55</v>
      </c>
      <c r="D209">
        <v>0</v>
      </c>
      <c r="E209">
        <v>-0.19</v>
      </c>
      <c r="F209">
        <v>218</v>
      </c>
      <c r="G209" t="s">
        <v>1543</v>
      </c>
      <c r="H209">
        <v>2113.44</v>
      </c>
      <c r="I209">
        <v>0</v>
      </c>
      <c r="J209" t="s">
        <v>120</v>
      </c>
      <c r="K209" t="s">
        <v>1544</v>
      </c>
      <c r="L209">
        <v>0.89</v>
      </c>
      <c r="M209">
        <v>5.08</v>
      </c>
      <c r="N209">
        <v>1.19</v>
      </c>
      <c r="O209">
        <v>1.94</v>
      </c>
      <c r="P209">
        <v>5.26</v>
      </c>
      <c r="Q209">
        <v>-2.13</v>
      </c>
      <c r="R209">
        <v>5.05</v>
      </c>
      <c r="S209">
        <v>5.15</v>
      </c>
      <c r="T209">
        <v>40837</v>
      </c>
      <c r="U209">
        <v>5.09</v>
      </c>
      <c r="V209">
        <v>5.16</v>
      </c>
      <c r="W209">
        <v>106.63</v>
      </c>
      <c r="X209" t="s">
        <v>959</v>
      </c>
      <c r="Y209" t="s">
        <v>763</v>
      </c>
      <c r="Z209">
        <v>4.07</v>
      </c>
      <c r="AA209">
        <v>5.18</v>
      </c>
      <c r="AB209">
        <v>23036</v>
      </c>
      <c r="AC209">
        <v>17801</v>
      </c>
      <c r="AD209">
        <v>1.29</v>
      </c>
      <c r="AE209">
        <v>267</v>
      </c>
      <c r="AF209">
        <v>342</v>
      </c>
      <c r="AG209" t="s">
        <v>120</v>
      </c>
      <c r="AH209">
        <v>0</v>
      </c>
      <c r="AI209" t="s">
        <v>120</v>
      </c>
      <c r="AJ209">
        <v>4.5999999999999996</v>
      </c>
      <c r="AK209" t="s">
        <v>1544</v>
      </c>
      <c r="AL209">
        <v>0.36</v>
      </c>
      <c r="AM209">
        <v>1022</v>
      </c>
      <c r="AN209">
        <v>40</v>
      </c>
      <c r="AO209">
        <v>8.9999999999999998E-4</v>
      </c>
      <c r="AP209">
        <v>-1</v>
      </c>
      <c r="AQ209">
        <v>0.78</v>
      </c>
      <c r="AR209">
        <v>-3.24</v>
      </c>
      <c r="AS209">
        <v>-0.78</v>
      </c>
      <c r="AT209">
        <v>-4.1500000000000004</v>
      </c>
      <c r="AU209">
        <v>5.83</v>
      </c>
      <c r="AV209">
        <v>0</v>
      </c>
      <c r="AW209">
        <v>1.65</v>
      </c>
      <c r="AX209">
        <v>53.97</v>
      </c>
      <c r="AY209" t="s">
        <v>120</v>
      </c>
      <c r="AZ209" t="s">
        <v>120</v>
      </c>
      <c r="BA209">
        <v>0.18</v>
      </c>
      <c r="BB209" t="s">
        <v>143</v>
      </c>
      <c r="BF209">
        <v>0.3</v>
      </c>
      <c r="BG209">
        <v>-1.36</v>
      </c>
      <c r="BH209">
        <v>-3.42</v>
      </c>
      <c r="BI209">
        <v>0.59</v>
      </c>
      <c r="BJ209">
        <v>20210814</v>
      </c>
      <c r="BK209">
        <v>19970106</v>
      </c>
      <c r="BL209">
        <v>4.5999999999999996</v>
      </c>
      <c r="BM209" t="s">
        <v>120</v>
      </c>
      <c r="BN209" t="s">
        <v>120</v>
      </c>
      <c r="BO209">
        <v>25.05</v>
      </c>
      <c r="BP209">
        <v>5.08</v>
      </c>
      <c r="BQ209">
        <v>11.04</v>
      </c>
      <c r="BR209">
        <v>0.64</v>
      </c>
      <c r="BS209">
        <v>53.37</v>
      </c>
      <c r="BT209">
        <v>9.92</v>
      </c>
      <c r="BU209">
        <v>11.35</v>
      </c>
      <c r="BV209">
        <v>2.96</v>
      </c>
      <c r="BW209">
        <v>10.97</v>
      </c>
      <c r="BX209">
        <v>0.92</v>
      </c>
      <c r="BY209">
        <v>4</v>
      </c>
      <c r="BZ209">
        <v>3.21</v>
      </c>
      <c r="CA209" t="s">
        <v>120</v>
      </c>
      <c r="CB209">
        <v>7.69</v>
      </c>
      <c r="CC209">
        <v>8.01</v>
      </c>
      <c r="CD209">
        <v>6.75</v>
      </c>
      <c r="CE209">
        <v>0.13</v>
      </c>
      <c r="CF209">
        <v>0</v>
      </c>
      <c r="CG209">
        <v>0.14000000000000001</v>
      </c>
      <c r="CH209">
        <v>0.12</v>
      </c>
      <c r="CI209">
        <v>0.11</v>
      </c>
      <c r="CJ209">
        <v>-0.08</v>
      </c>
      <c r="CK209">
        <v>0.06</v>
      </c>
      <c r="CL209">
        <v>-1.86</v>
      </c>
      <c r="CM209">
        <v>0.08</v>
      </c>
      <c r="CN209">
        <v>0</v>
      </c>
      <c r="CO209">
        <v>23679</v>
      </c>
      <c r="CP209">
        <v>10476</v>
      </c>
      <c r="CQ209" t="s">
        <v>1545</v>
      </c>
      <c r="CR209">
        <v>135.02000000000001</v>
      </c>
      <c r="CS209">
        <v>46.02</v>
      </c>
      <c r="CT209">
        <v>2.11</v>
      </c>
      <c r="CU209">
        <v>294.2</v>
      </c>
      <c r="CV209">
        <v>2.92</v>
      </c>
      <c r="CW209">
        <v>0</v>
      </c>
      <c r="CX209" t="s">
        <v>499</v>
      </c>
      <c r="CY209">
        <v>2.4</v>
      </c>
      <c r="CZ209">
        <v>0</v>
      </c>
      <c r="DA209">
        <v>1.67</v>
      </c>
      <c r="DB209">
        <v>-0.4</v>
      </c>
      <c r="DC209">
        <v>0.02</v>
      </c>
      <c r="DD209">
        <v>44.09</v>
      </c>
      <c r="DE209" t="s">
        <v>1546</v>
      </c>
      <c r="DF209">
        <v>15.72</v>
      </c>
      <c r="DG209">
        <v>1.61</v>
      </c>
      <c r="DH209">
        <v>1.37</v>
      </c>
      <c r="DI209">
        <v>0.23</v>
      </c>
      <c r="DJ209">
        <v>3515</v>
      </c>
      <c r="DK209">
        <v>678</v>
      </c>
      <c r="DL209" t="s">
        <v>120</v>
      </c>
      <c r="DM209" t="s">
        <v>120</v>
      </c>
      <c r="DN209" t="s">
        <v>120</v>
      </c>
    </row>
    <row r="210" spans="1:118">
      <c r="A210" t="str">
        <f>"000679"</f>
        <v>000679</v>
      </c>
      <c r="B210" t="s">
        <v>1547</v>
      </c>
      <c r="C210">
        <v>-3.33</v>
      </c>
      <c r="D210">
        <v>0</v>
      </c>
      <c r="E210">
        <v>0.24</v>
      </c>
      <c r="F210">
        <v>372</v>
      </c>
      <c r="G210" t="s">
        <v>1548</v>
      </c>
      <c r="H210">
        <v>1066.79</v>
      </c>
      <c r="I210">
        <v>2.27</v>
      </c>
      <c r="J210" t="s">
        <v>120</v>
      </c>
      <c r="K210" t="s">
        <v>1549</v>
      </c>
      <c r="L210">
        <v>0.73</v>
      </c>
      <c r="M210">
        <v>4.0599999999999996</v>
      </c>
      <c r="N210">
        <v>0.78</v>
      </c>
      <c r="O210">
        <v>0.71</v>
      </c>
      <c r="P210">
        <v>4.2300000000000004</v>
      </c>
      <c r="Q210">
        <v>-3.57</v>
      </c>
      <c r="R210">
        <v>4.05</v>
      </c>
      <c r="S210">
        <v>4.21</v>
      </c>
      <c r="T210">
        <v>25982</v>
      </c>
      <c r="U210">
        <v>4.07</v>
      </c>
      <c r="V210">
        <v>4.2</v>
      </c>
      <c r="W210" t="s">
        <v>120</v>
      </c>
      <c r="X210" t="s">
        <v>735</v>
      </c>
      <c r="Y210" t="s">
        <v>432</v>
      </c>
      <c r="Z210">
        <v>4.29</v>
      </c>
      <c r="AA210">
        <v>4.1100000000000003</v>
      </c>
      <c r="AB210">
        <v>15978</v>
      </c>
      <c r="AC210">
        <v>10004</v>
      </c>
      <c r="AD210">
        <v>1.6</v>
      </c>
      <c r="AE210">
        <v>462</v>
      </c>
      <c r="AF210">
        <v>179</v>
      </c>
      <c r="AG210" t="s">
        <v>120</v>
      </c>
      <c r="AH210">
        <v>0</v>
      </c>
      <c r="AI210" t="s">
        <v>120</v>
      </c>
      <c r="AJ210">
        <v>3.56</v>
      </c>
      <c r="AK210" t="s">
        <v>1549</v>
      </c>
      <c r="AL210">
        <v>-1.42</v>
      </c>
      <c r="AM210">
        <v>898</v>
      </c>
      <c r="AN210">
        <v>29</v>
      </c>
      <c r="AO210">
        <v>8.0000000000000004E-4</v>
      </c>
      <c r="AP210">
        <v>-1</v>
      </c>
      <c r="AQ210">
        <v>0.96</v>
      </c>
      <c r="AR210">
        <v>-3.33</v>
      </c>
      <c r="AS210">
        <v>11.53</v>
      </c>
      <c r="AT210">
        <v>-6.02</v>
      </c>
      <c r="AU210">
        <v>45</v>
      </c>
      <c r="AV210">
        <v>7</v>
      </c>
      <c r="AW210">
        <v>1.01</v>
      </c>
      <c r="AX210">
        <v>71.94</v>
      </c>
      <c r="AY210" t="s">
        <v>120</v>
      </c>
      <c r="AZ210">
        <v>58.1</v>
      </c>
      <c r="BA210">
        <v>0.57999999999999996</v>
      </c>
      <c r="BB210" t="s">
        <v>184</v>
      </c>
      <c r="BF210">
        <v>-2.2400000000000002</v>
      </c>
      <c r="BG210">
        <v>-3.56</v>
      </c>
      <c r="BH210">
        <v>-4.0199999999999996</v>
      </c>
      <c r="BI210">
        <v>0.25</v>
      </c>
      <c r="BJ210">
        <v>20210830</v>
      </c>
      <c r="BK210">
        <v>19970124</v>
      </c>
      <c r="BL210">
        <v>3.56</v>
      </c>
      <c r="BM210" t="s">
        <v>120</v>
      </c>
      <c r="BN210" t="s">
        <v>120</v>
      </c>
      <c r="BO210">
        <v>12.9</v>
      </c>
      <c r="BP210">
        <v>4.0599999999999996</v>
      </c>
      <c r="BQ210">
        <v>6.09</v>
      </c>
      <c r="BR210">
        <v>0.35</v>
      </c>
      <c r="BS210">
        <v>50.07</v>
      </c>
      <c r="BT210">
        <v>3.13</v>
      </c>
      <c r="BU210">
        <v>2.17</v>
      </c>
      <c r="BV210">
        <v>1.39</v>
      </c>
      <c r="BW210">
        <v>6.25</v>
      </c>
      <c r="BX210">
        <v>1.8</v>
      </c>
      <c r="BY210">
        <v>0.27</v>
      </c>
      <c r="BZ210">
        <v>0</v>
      </c>
      <c r="CA210" t="s">
        <v>120</v>
      </c>
      <c r="CB210">
        <v>0.69</v>
      </c>
      <c r="CC210">
        <v>0.91</v>
      </c>
      <c r="CD210">
        <v>0.67</v>
      </c>
      <c r="CE210">
        <v>-0.32</v>
      </c>
      <c r="CF210">
        <v>0</v>
      </c>
      <c r="CG210">
        <v>-0.32</v>
      </c>
      <c r="CH210">
        <v>-0.32</v>
      </c>
      <c r="CI210">
        <v>-0.26</v>
      </c>
      <c r="CJ210">
        <v>-0.14000000000000001</v>
      </c>
      <c r="CK210">
        <v>-0.27</v>
      </c>
      <c r="CL210">
        <v>-0.14000000000000001</v>
      </c>
      <c r="CM210">
        <v>0.02</v>
      </c>
      <c r="CN210">
        <v>0.13</v>
      </c>
      <c r="CO210">
        <v>16553</v>
      </c>
      <c r="CP210">
        <v>15490</v>
      </c>
      <c r="CQ210" t="s">
        <v>1550</v>
      </c>
      <c r="CR210">
        <v>-201.51</v>
      </c>
      <c r="CS210">
        <v>24.83</v>
      </c>
      <c r="CT210">
        <v>2.37</v>
      </c>
      <c r="CU210">
        <v>865.94</v>
      </c>
      <c r="CV210">
        <v>15.86</v>
      </c>
      <c r="CW210">
        <v>0</v>
      </c>
      <c r="CX210" t="s">
        <v>809</v>
      </c>
      <c r="CY210">
        <v>1.71</v>
      </c>
      <c r="CZ210">
        <v>0</v>
      </c>
      <c r="DA210">
        <v>0.19</v>
      </c>
      <c r="DB210">
        <v>-0.04</v>
      </c>
      <c r="DC210">
        <v>0</v>
      </c>
      <c r="DD210">
        <v>47.22</v>
      </c>
      <c r="DE210" t="s">
        <v>1551</v>
      </c>
      <c r="DF210">
        <v>26.5</v>
      </c>
      <c r="DG210">
        <v>-35.29</v>
      </c>
      <c r="DH210">
        <v>-28.99</v>
      </c>
      <c r="DI210" t="s">
        <v>120</v>
      </c>
      <c r="DJ210">
        <v>467</v>
      </c>
      <c r="DK210">
        <v>679</v>
      </c>
      <c r="DL210" t="s">
        <v>120</v>
      </c>
      <c r="DM210" t="s">
        <v>120</v>
      </c>
      <c r="DN210" t="s">
        <v>120</v>
      </c>
    </row>
    <row r="211" spans="1:118">
      <c r="A211" t="str">
        <f>"000680"</f>
        <v>000680</v>
      </c>
      <c r="B211" t="s">
        <v>1552</v>
      </c>
      <c r="C211">
        <v>1.0900000000000001</v>
      </c>
      <c r="D211">
        <v>0</v>
      </c>
      <c r="E211">
        <v>0.66</v>
      </c>
      <c r="F211">
        <v>4238</v>
      </c>
      <c r="G211" t="s">
        <v>1553</v>
      </c>
      <c r="H211">
        <v>34711.599999999999</v>
      </c>
      <c r="I211">
        <v>67.48</v>
      </c>
      <c r="J211" t="s">
        <v>120</v>
      </c>
      <c r="K211" t="s">
        <v>1554</v>
      </c>
      <c r="L211">
        <v>6.98</v>
      </c>
      <c r="M211">
        <v>4.62</v>
      </c>
      <c r="N211">
        <v>2.34</v>
      </c>
      <c r="O211">
        <v>7</v>
      </c>
      <c r="P211">
        <v>4.8899999999999997</v>
      </c>
      <c r="Q211">
        <v>-0.44</v>
      </c>
      <c r="R211">
        <v>4.55</v>
      </c>
      <c r="S211">
        <v>4.5999999999999996</v>
      </c>
      <c r="T211">
        <v>737490</v>
      </c>
      <c r="U211">
        <v>4.62</v>
      </c>
      <c r="V211">
        <v>4.57</v>
      </c>
      <c r="W211">
        <v>22.58</v>
      </c>
      <c r="X211" t="s">
        <v>593</v>
      </c>
      <c r="Y211" t="s">
        <v>638</v>
      </c>
      <c r="Z211">
        <v>7.44</v>
      </c>
      <c r="AA211">
        <v>4.71</v>
      </c>
      <c r="AB211">
        <v>371217</v>
      </c>
      <c r="AC211">
        <v>366273</v>
      </c>
      <c r="AD211">
        <v>1.01</v>
      </c>
      <c r="AE211">
        <v>2394</v>
      </c>
      <c r="AF211">
        <v>627</v>
      </c>
      <c r="AG211" t="s">
        <v>120</v>
      </c>
      <c r="AH211">
        <v>0.02</v>
      </c>
      <c r="AI211" t="s">
        <v>120</v>
      </c>
      <c r="AJ211">
        <v>10.57</v>
      </c>
      <c r="AK211" t="s">
        <v>1555</v>
      </c>
      <c r="AL211">
        <v>3.01</v>
      </c>
      <c r="AM211">
        <v>3777</v>
      </c>
      <c r="AN211">
        <v>195</v>
      </c>
      <c r="AO211">
        <v>1.8E-3</v>
      </c>
      <c r="AP211">
        <v>2</v>
      </c>
      <c r="AQ211">
        <v>2.2400000000000002</v>
      </c>
      <c r="AR211">
        <v>1.32</v>
      </c>
      <c r="AS211">
        <v>14.64</v>
      </c>
      <c r="AT211">
        <v>19.38</v>
      </c>
      <c r="AU211">
        <v>22.87</v>
      </c>
      <c r="AV211">
        <v>1</v>
      </c>
      <c r="AW211">
        <v>8.42</v>
      </c>
      <c r="AX211">
        <v>58.32</v>
      </c>
      <c r="AY211">
        <v>36.130000000000003</v>
      </c>
      <c r="AZ211">
        <v>68.16</v>
      </c>
      <c r="BA211">
        <v>0.48</v>
      </c>
      <c r="BB211" t="s">
        <v>184</v>
      </c>
      <c r="BF211">
        <v>2.99</v>
      </c>
      <c r="BG211">
        <v>0.43</v>
      </c>
      <c r="BH211">
        <v>-5.52</v>
      </c>
      <c r="BI211">
        <v>1.54</v>
      </c>
      <c r="BJ211">
        <v>20210910</v>
      </c>
      <c r="BK211">
        <v>19970122</v>
      </c>
      <c r="BL211">
        <v>15.03</v>
      </c>
      <c r="BM211" t="s">
        <v>120</v>
      </c>
      <c r="BN211" t="s">
        <v>120</v>
      </c>
      <c r="BO211">
        <v>107.65</v>
      </c>
      <c r="BP211">
        <v>4.6100000000000003</v>
      </c>
      <c r="BQ211">
        <v>43.49</v>
      </c>
      <c r="BR211">
        <v>3.19</v>
      </c>
      <c r="BS211">
        <v>56.64</v>
      </c>
      <c r="BT211">
        <v>73</v>
      </c>
      <c r="BU211">
        <v>12.96</v>
      </c>
      <c r="BV211">
        <v>6.12</v>
      </c>
      <c r="BW211">
        <v>50.98</v>
      </c>
      <c r="BX211">
        <v>27.13</v>
      </c>
      <c r="BY211">
        <v>14.09</v>
      </c>
      <c r="BZ211">
        <v>20.86</v>
      </c>
      <c r="CA211" t="s">
        <v>120</v>
      </c>
      <c r="CB211">
        <v>16.579999999999998</v>
      </c>
      <c r="CC211">
        <v>54.04</v>
      </c>
      <c r="CD211">
        <v>47.02</v>
      </c>
      <c r="CE211">
        <v>1.62</v>
      </c>
      <c r="CF211">
        <v>0.49</v>
      </c>
      <c r="CG211">
        <v>1.62</v>
      </c>
      <c r="CH211">
        <v>1.59</v>
      </c>
      <c r="CI211">
        <v>1.54</v>
      </c>
      <c r="CJ211">
        <v>0.05</v>
      </c>
      <c r="CK211">
        <v>1.72</v>
      </c>
      <c r="CL211">
        <v>8.68</v>
      </c>
      <c r="CM211">
        <v>6.36</v>
      </c>
      <c r="CN211">
        <v>6.26</v>
      </c>
      <c r="CO211">
        <v>98038</v>
      </c>
      <c r="CP211">
        <v>8939</v>
      </c>
      <c r="CQ211" t="s">
        <v>931</v>
      </c>
      <c r="CR211">
        <v>138.6</v>
      </c>
      <c r="CS211">
        <v>46.32</v>
      </c>
      <c r="CT211">
        <v>1.6</v>
      </c>
      <c r="CU211">
        <v>10.92</v>
      </c>
      <c r="CV211">
        <v>1.28</v>
      </c>
      <c r="CW211">
        <v>0.22</v>
      </c>
      <c r="CX211" t="s">
        <v>1147</v>
      </c>
      <c r="CY211">
        <v>2.89</v>
      </c>
      <c r="CZ211">
        <v>0</v>
      </c>
      <c r="DA211">
        <v>1.1000000000000001</v>
      </c>
      <c r="DB211">
        <v>0.57999999999999996</v>
      </c>
      <c r="DC211">
        <v>0.42</v>
      </c>
      <c r="DD211">
        <v>40.4</v>
      </c>
      <c r="DE211" t="s">
        <v>1556</v>
      </c>
      <c r="DF211">
        <v>12.99</v>
      </c>
      <c r="DG211">
        <v>3</v>
      </c>
      <c r="DH211">
        <v>2.84</v>
      </c>
      <c r="DI211">
        <v>1.55</v>
      </c>
      <c r="DJ211">
        <v>5481</v>
      </c>
      <c r="DK211">
        <v>680</v>
      </c>
      <c r="DL211" t="s">
        <v>120</v>
      </c>
      <c r="DM211" t="s">
        <v>120</v>
      </c>
      <c r="DN211" t="s">
        <v>120</v>
      </c>
    </row>
    <row r="212" spans="1:118">
      <c r="A212" t="str">
        <f>"000681"</f>
        <v>000681</v>
      </c>
      <c r="B212" t="s">
        <v>1557</v>
      </c>
      <c r="C212">
        <v>-5.82</v>
      </c>
      <c r="D212">
        <v>7.0000000000000007E-2</v>
      </c>
      <c r="E212">
        <v>-0.96</v>
      </c>
      <c r="F212">
        <v>5787</v>
      </c>
      <c r="G212" t="s">
        <v>1558</v>
      </c>
      <c r="H212">
        <v>75737.53</v>
      </c>
      <c r="I212">
        <v>194.63</v>
      </c>
      <c r="J212" t="s">
        <v>120</v>
      </c>
      <c r="K212" t="s">
        <v>1559</v>
      </c>
      <c r="L212">
        <v>8.94</v>
      </c>
      <c r="M212">
        <v>13.75</v>
      </c>
      <c r="N212">
        <v>0.98</v>
      </c>
      <c r="O212">
        <v>1.03</v>
      </c>
      <c r="P212">
        <v>14.75</v>
      </c>
      <c r="Q212">
        <v>-7.47</v>
      </c>
      <c r="R212">
        <v>13.51</v>
      </c>
      <c r="S212">
        <v>14.46</v>
      </c>
      <c r="T212">
        <v>540412</v>
      </c>
      <c r="U212">
        <v>13.76</v>
      </c>
      <c r="V212">
        <v>14.6</v>
      </c>
      <c r="W212">
        <v>49.88</v>
      </c>
      <c r="X212" t="s">
        <v>1531</v>
      </c>
      <c r="Y212" t="s">
        <v>319</v>
      </c>
      <c r="Z212">
        <v>8.49</v>
      </c>
      <c r="AA212">
        <v>14.01</v>
      </c>
      <c r="AB212">
        <v>290405</v>
      </c>
      <c r="AC212">
        <v>250007</v>
      </c>
      <c r="AD212">
        <v>1.1599999999999999</v>
      </c>
      <c r="AE212">
        <v>276</v>
      </c>
      <c r="AF212">
        <v>181</v>
      </c>
      <c r="AG212" t="s">
        <v>120</v>
      </c>
      <c r="AH212">
        <v>0.03</v>
      </c>
      <c r="AI212" t="s">
        <v>120</v>
      </c>
      <c r="AJ212">
        <v>6.05</v>
      </c>
      <c r="AK212" t="s">
        <v>1560</v>
      </c>
      <c r="AL212">
        <v>-3.91</v>
      </c>
      <c r="AM212">
        <v>4428</v>
      </c>
      <c r="AN212">
        <v>122</v>
      </c>
      <c r="AO212">
        <v>2E-3</v>
      </c>
      <c r="AP212">
        <v>-3</v>
      </c>
      <c r="AQ212">
        <v>-0.75</v>
      </c>
      <c r="AR212">
        <v>-12.48</v>
      </c>
      <c r="AS212">
        <v>25.34</v>
      </c>
      <c r="AT212">
        <v>4.6399999999999997</v>
      </c>
      <c r="AU212">
        <v>5.94</v>
      </c>
      <c r="AV212">
        <v>7</v>
      </c>
      <c r="AW212">
        <v>13.51</v>
      </c>
      <c r="AX212">
        <v>57.1</v>
      </c>
      <c r="AY212">
        <v>61.71</v>
      </c>
      <c r="AZ212">
        <v>72.27</v>
      </c>
      <c r="BA212">
        <v>0.92</v>
      </c>
      <c r="BB212" t="s">
        <v>341</v>
      </c>
      <c r="BF212">
        <v>-4.01</v>
      </c>
      <c r="BG212">
        <v>-4.91</v>
      </c>
      <c r="BH212">
        <v>-6.78</v>
      </c>
      <c r="BI212">
        <v>1.78</v>
      </c>
      <c r="BJ212">
        <v>20210827</v>
      </c>
      <c r="BK212">
        <v>19970121</v>
      </c>
      <c r="BL212">
        <v>7.01</v>
      </c>
      <c r="BM212" t="s">
        <v>120</v>
      </c>
      <c r="BN212" t="s">
        <v>120</v>
      </c>
      <c r="BO212">
        <v>40.51</v>
      </c>
      <c r="BP212">
        <v>13.75</v>
      </c>
      <c r="BQ212">
        <v>32.47</v>
      </c>
      <c r="BR212">
        <v>0.05</v>
      </c>
      <c r="BS212">
        <v>19.72</v>
      </c>
      <c r="BT212">
        <v>6.04</v>
      </c>
      <c r="BU212">
        <v>0.02</v>
      </c>
      <c r="BV212">
        <v>1.49</v>
      </c>
      <c r="BW212">
        <v>5.58</v>
      </c>
      <c r="BX212">
        <v>2.61</v>
      </c>
      <c r="BY212">
        <v>0</v>
      </c>
      <c r="BZ212">
        <v>2.2200000000000002</v>
      </c>
      <c r="CA212" t="s">
        <v>120</v>
      </c>
      <c r="CB212">
        <v>16.36</v>
      </c>
      <c r="CC212">
        <v>3.4</v>
      </c>
      <c r="CD212">
        <v>1.3</v>
      </c>
      <c r="CE212">
        <v>1.08</v>
      </c>
      <c r="CF212">
        <v>0.23</v>
      </c>
      <c r="CG212">
        <v>1.07</v>
      </c>
      <c r="CH212">
        <v>0.98</v>
      </c>
      <c r="CI212">
        <v>0.97</v>
      </c>
      <c r="CJ212">
        <v>-0.85</v>
      </c>
      <c r="CK212">
        <v>0.9</v>
      </c>
      <c r="CL212">
        <v>15.46</v>
      </c>
      <c r="CM212">
        <v>0.35</v>
      </c>
      <c r="CN212">
        <v>-0.4</v>
      </c>
      <c r="CO212">
        <v>47196</v>
      </c>
      <c r="CP212">
        <v>8475</v>
      </c>
      <c r="CQ212" t="s">
        <v>1561</v>
      </c>
      <c r="CR212">
        <v>33.46</v>
      </c>
      <c r="CS212">
        <v>24.94</v>
      </c>
      <c r="CT212">
        <v>2.97</v>
      </c>
      <c r="CU212">
        <v>277.8</v>
      </c>
      <c r="CV212">
        <v>28.31</v>
      </c>
      <c r="CW212">
        <v>0.14000000000000001</v>
      </c>
      <c r="CX212" t="s">
        <v>1562</v>
      </c>
      <c r="CY212">
        <v>4.63</v>
      </c>
      <c r="CZ212">
        <v>0</v>
      </c>
      <c r="DA212">
        <v>2.33</v>
      </c>
      <c r="DB212">
        <v>2.21</v>
      </c>
      <c r="DC212">
        <v>0.05</v>
      </c>
      <c r="DD212">
        <v>80.16</v>
      </c>
      <c r="DE212" t="s">
        <v>1563</v>
      </c>
      <c r="DF212">
        <v>61.79</v>
      </c>
      <c r="DG212">
        <v>31.78</v>
      </c>
      <c r="DH212">
        <v>28.38</v>
      </c>
      <c r="DI212">
        <v>0.28000000000000003</v>
      </c>
      <c r="DJ212">
        <v>483</v>
      </c>
      <c r="DK212">
        <v>681</v>
      </c>
      <c r="DL212">
        <v>20210908</v>
      </c>
      <c r="DM212">
        <v>17.34</v>
      </c>
      <c r="DN212">
        <v>-20.7</v>
      </c>
    </row>
    <row r="213" spans="1:118">
      <c r="A213" t="str">
        <f>"000682"</f>
        <v>000682</v>
      </c>
      <c r="B213" t="s">
        <v>1564</v>
      </c>
      <c r="C213">
        <v>-0.95</v>
      </c>
      <c r="D213">
        <v>0</v>
      </c>
      <c r="E213">
        <v>0.64</v>
      </c>
      <c r="F213">
        <v>3993</v>
      </c>
      <c r="G213" t="s">
        <v>1565</v>
      </c>
      <c r="H213">
        <v>18024.060000000001</v>
      </c>
      <c r="I213">
        <v>95.06</v>
      </c>
      <c r="J213" t="s">
        <v>120</v>
      </c>
      <c r="K213" t="s">
        <v>600</v>
      </c>
      <c r="L213">
        <v>2.48</v>
      </c>
      <c r="M213">
        <v>6.23</v>
      </c>
      <c r="N213">
        <v>0.53</v>
      </c>
      <c r="O213">
        <v>1.27</v>
      </c>
      <c r="P213">
        <v>6.37</v>
      </c>
      <c r="Q213">
        <v>-2.0699999999999998</v>
      </c>
      <c r="R213">
        <v>6.16</v>
      </c>
      <c r="S213">
        <v>6.33</v>
      </c>
      <c r="T213">
        <v>288466</v>
      </c>
      <c r="U213">
        <v>6.24</v>
      </c>
      <c r="V213">
        <v>6.29</v>
      </c>
      <c r="W213">
        <v>31.63</v>
      </c>
      <c r="X213" t="s">
        <v>141</v>
      </c>
      <c r="Y213" t="s">
        <v>638</v>
      </c>
      <c r="Z213">
        <v>3.34</v>
      </c>
      <c r="AA213">
        <v>6.25</v>
      </c>
      <c r="AB213">
        <v>152712</v>
      </c>
      <c r="AC213">
        <v>135754</v>
      </c>
      <c r="AD213">
        <v>1.1200000000000001</v>
      </c>
      <c r="AE213">
        <v>117</v>
      </c>
      <c r="AF213">
        <v>1028</v>
      </c>
      <c r="AG213" t="s">
        <v>120</v>
      </c>
      <c r="AH213">
        <v>0.02</v>
      </c>
      <c r="AI213" t="s">
        <v>120</v>
      </c>
      <c r="AJ213">
        <v>11.64</v>
      </c>
      <c r="AK213" t="s">
        <v>1566</v>
      </c>
      <c r="AL213">
        <v>0.96</v>
      </c>
      <c r="AM213">
        <v>3180</v>
      </c>
      <c r="AN213">
        <v>91</v>
      </c>
      <c r="AO213">
        <v>8.0000000000000004E-4</v>
      </c>
      <c r="AP213">
        <v>-1</v>
      </c>
      <c r="AQ213">
        <v>3.8</v>
      </c>
      <c r="AR213">
        <v>0.98</v>
      </c>
      <c r="AS213">
        <v>22.15</v>
      </c>
      <c r="AT213">
        <v>26.63</v>
      </c>
      <c r="AU213">
        <v>26.37</v>
      </c>
      <c r="AV213">
        <v>2</v>
      </c>
      <c r="AW213">
        <v>3.67</v>
      </c>
      <c r="AX213">
        <v>58.55</v>
      </c>
      <c r="AY213">
        <v>28.45</v>
      </c>
      <c r="AZ213">
        <v>30.32</v>
      </c>
      <c r="BA213">
        <v>0.27</v>
      </c>
      <c r="BB213" t="s">
        <v>184</v>
      </c>
      <c r="BF213">
        <v>-0.66</v>
      </c>
      <c r="BG213">
        <v>-1.58</v>
      </c>
      <c r="BH213">
        <v>-2.2000000000000002</v>
      </c>
      <c r="BI213">
        <v>1.1399999999999999</v>
      </c>
      <c r="BJ213">
        <v>20210827</v>
      </c>
      <c r="BK213">
        <v>19970121</v>
      </c>
      <c r="BL213">
        <v>13.41</v>
      </c>
      <c r="BM213" t="s">
        <v>120</v>
      </c>
      <c r="BN213" t="s">
        <v>120</v>
      </c>
      <c r="BO213">
        <v>68.27</v>
      </c>
      <c r="BP213">
        <v>6.23</v>
      </c>
      <c r="BQ213">
        <v>36.08</v>
      </c>
      <c r="BR213">
        <v>3.28</v>
      </c>
      <c r="BS213">
        <v>42.34</v>
      </c>
      <c r="BT213">
        <v>55.49</v>
      </c>
      <c r="BU213">
        <v>5.89</v>
      </c>
      <c r="BV213">
        <v>1.25</v>
      </c>
      <c r="BW213">
        <v>27.55</v>
      </c>
      <c r="BX213">
        <v>15.63</v>
      </c>
      <c r="BY213">
        <v>20.88</v>
      </c>
      <c r="BZ213">
        <v>9.5</v>
      </c>
      <c r="CA213">
        <v>0.06</v>
      </c>
      <c r="CB213">
        <v>11.99</v>
      </c>
      <c r="CC213">
        <v>17.57</v>
      </c>
      <c r="CD213">
        <v>12.06</v>
      </c>
      <c r="CE213">
        <v>1.59</v>
      </c>
      <c r="CF213">
        <v>0.08</v>
      </c>
      <c r="CG213">
        <v>1.6</v>
      </c>
      <c r="CH213">
        <v>1.43</v>
      </c>
      <c r="CI213">
        <v>1.32</v>
      </c>
      <c r="CJ213">
        <v>-0.06</v>
      </c>
      <c r="CK213">
        <v>1.1100000000000001</v>
      </c>
      <c r="CL213">
        <v>10.32</v>
      </c>
      <c r="CM213">
        <v>-4.01</v>
      </c>
      <c r="CN213">
        <v>-5.35</v>
      </c>
      <c r="CO213">
        <v>99304</v>
      </c>
      <c r="CP213">
        <v>7905</v>
      </c>
      <c r="CQ213" t="s">
        <v>1567</v>
      </c>
      <c r="CR213">
        <v>16.07</v>
      </c>
      <c r="CS213">
        <v>13.05</v>
      </c>
      <c r="CT213">
        <v>2.3199999999999998</v>
      </c>
      <c r="CU213">
        <v>-20.83</v>
      </c>
      <c r="CV213">
        <v>4.75</v>
      </c>
      <c r="CW213">
        <v>0</v>
      </c>
      <c r="CX213" t="s">
        <v>1568</v>
      </c>
      <c r="CY213">
        <v>2.69</v>
      </c>
      <c r="CZ213">
        <v>0</v>
      </c>
      <c r="DA213">
        <v>0.89</v>
      </c>
      <c r="DB213">
        <v>0.77</v>
      </c>
      <c r="DC213">
        <v>-0.3</v>
      </c>
      <c r="DD213">
        <v>52.85</v>
      </c>
      <c r="DE213" t="s">
        <v>1077</v>
      </c>
      <c r="DF213">
        <v>31.36</v>
      </c>
      <c r="DG213">
        <v>9.0399999999999991</v>
      </c>
      <c r="DH213">
        <v>7.52</v>
      </c>
      <c r="DI213">
        <v>1.47</v>
      </c>
      <c r="DJ213">
        <v>5665</v>
      </c>
      <c r="DK213">
        <v>682</v>
      </c>
      <c r="DL213">
        <v>20210912</v>
      </c>
      <c r="DM213">
        <v>6.36</v>
      </c>
      <c r="DN213">
        <v>-2.04</v>
      </c>
    </row>
    <row r="214" spans="1:118">
      <c r="A214" t="str">
        <f>"000683"</f>
        <v>000683</v>
      </c>
      <c r="B214" t="s">
        <v>1569</v>
      </c>
      <c r="C214">
        <v>-0.32</v>
      </c>
      <c r="D214">
        <v>-0.31</v>
      </c>
      <c r="E214">
        <v>3.63</v>
      </c>
      <c r="F214">
        <v>16724</v>
      </c>
      <c r="G214" t="s">
        <v>1570</v>
      </c>
      <c r="H214">
        <v>248064.74</v>
      </c>
      <c r="I214">
        <v>2590.02</v>
      </c>
      <c r="J214" t="s">
        <v>120</v>
      </c>
      <c r="K214" t="s">
        <v>1571</v>
      </c>
      <c r="L214">
        <v>5.74</v>
      </c>
      <c r="M214">
        <v>12.62</v>
      </c>
      <c r="N214">
        <v>0.91</v>
      </c>
      <c r="O214">
        <v>6.95</v>
      </c>
      <c r="P214">
        <v>13.54</v>
      </c>
      <c r="Q214">
        <v>-0.47</v>
      </c>
      <c r="R214">
        <v>12.6</v>
      </c>
      <c r="S214">
        <v>13.12</v>
      </c>
      <c r="T214">
        <v>1909845</v>
      </c>
      <c r="U214">
        <v>12.62</v>
      </c>
      <c r="V214">
        <v>12.66</v>
      </c>
      <c r="W214">
        <v>18.47</v>
      </c>
      <c r="X214" t="s">
        <v>868</v>
      </c>
      <c r="Y214" t="s">
        <v>785</v>
      </c>
      <c r="Z214">
        <v>7.42</v>
      </c>
      <c r="AA214">
        <v>12.99</v>
      </c>
      <c r="AB214">
        <v>976344</v>
      </c>
      <c r="AC214">
        <v>933501</v>
      </c>
      <c r="AD214">
        <v>1.05</v>
      </c>
      <c r="AE214">
        <v>3845</v>
      </c>
      <c r="AF214">
        <v>1553</v>
      </c>
      <c r="AG214" t="s">
        <v>120</v>
      </c>
      <c r="AH214">
        <v>0.09</v>
      </c>
      <c r="AI214" t="s">
        <v>120</v>
      </c>
      <c r="AJ214">
        <v>33.28</v>
      </c>
      <c r="AK214" t="s">
        <v>1572</v>
      </c>
      <c r="AL214">
        <v>1.6</v>
      </c>
      <c r="AM214">
        <v>4707</v>
      </c>
      <c r="AN214">
        <v>406</v>
      </c>
      <c r="AO214">
        <v>1.1999999999999999E-3</v>
      </c>
      <c r="AP214">
        <v>-1</v>
      </c>
      <c r="AQ214">
        <v>4.54</v>
      </c>
      <c r="AR214">
        <v>1.6</v>
      </c>
      <c r="AS214">
        <v>40.840000000000003</v>
      </c>
      <c r="AT214">
        <v>184.24</v>
      </c>
      <c r="AU214">
        <v>484.26</v>
      </c>
      <c r="AV214">
        <v>12</v>
      </c>
      <c r="AW214">
        <v>8.2799999999999994</v>
      </c>
      <c r="AX214">
        <v>62.8</v>
      </c>
      <c r="AY214">
        <v>33.21</v>
      </c>
      <c r="AZ214">
        <v>682.94</v>
      </c>
      <c r="BA214">
        <v>0.85</v>
      </c>
      <c r="BB214" t="s">
        <v>184</v>
      </c>
      <c r="BF214">
        <v>2.6</v>
      </c>
      <c r="BG214">
        <v>-3.81</v>
      </c>
      <c r="BH214">
        <v>-6.79</v>
      </c>
      <c r="BI214">
        <v>0.16</v>
      </c>
      <c r="BJ214">
        <v>20210730</v>
      </c>
      <c r="BK214">
        <v>19970131</v>
      </c>
      <c r="BL214">
        <v>36.729999999999997</v>
      </c>
      <c r="BM214" t="s">
        <v>120</v>
      </c>
      <c r="BN214" t="s">
        <v>120</v>
      </c>
      <c r="BO214">
        <v>231.55</v>
      </c>
      <c r="BP214">
        <v>12.61</v>
      </c>
      <c r="BQ214">
        <v>114.01</v>
      </c>
      <c r="BR214">
        <v>22.17</v>
      </c>
      <c r="BS214">
        <v>41.19</v>
      </c>
      <c r="BT214">
        <v>46.05</v>
      </c>
      <c r="BU214">
        <v>123.44</v>
      </c>
      <c r="BV214">
        <v>15</v>
      </c>
      <c r="BW214">
        <v>83.43</v>
      </c>
      <c r="BX214">
        <v>17.54</v>
      </c>
      <c r="BY214">
        <v>4.2699999999999996</v>
      </c>
      <c r="BZ214">
        <v>1.43</v>
      </c>
      <c r="CA214" t="s">
        <v>120</v>
      </c>
      <c r="CB214">
        <v>13.63</v>
      </c>
      <c r="CC214">
        <v>57.4</v>
      </c>
      <c r="CD214">
        <v>33.78</v>
      </c>
      <c r="CE214">
        <v>18.350000000000001</v>
      </c>
      <c r="CF214">
        <v>4.09</v>
      </c>
      <c r="CG214">
        <v>18.190000000000001</v>
      </c>
      <c r="CH214">
        <v>15.82</v>
      </c>
      <c r="CI214">
        <v>12.55</v>
      </c>
      <c r="CJ214">
        <v>-0.04</v>
      </c>
      <c r="CK214">
        <v>12.6</v>
      </c>
      <c r="CL214">
        <v>59.36</v>
      </c>
      <c r="CM214">
        <v>17.73</v>
      </c>
      <c r="CN214">
        <v>2.97</v>
      </c>
      <c r="CO214">
        <v>113800</v>
      </c>
      <c r="CP214">
        <v>20272</v>
      </c>
      <c r="CQ214" t="s">
        <v>1573</v>
      </c>
      <c r="CR214">
        <v>1720.73</v>
      </c>
      <c r="CS214">
        <v>64.8</v>
      </c>
      <c r="CT214">
        <v>4.07</v>
      </c>
      <c r="CU214">
        <v>26.15</v>
      </c>
      <c r="CV214">
        <v>8.08</v>
      </c>
      <c r="CW214">
        <v>0</v>
      </c>
      <c r="CX214" t="s">
        <v>1574</v>
      </c>
      <c r="CY214">
        <v>3.1</v>
      </c>
      <c r="CZ214">
        <v>0</v>
      </c>
      <c r="DA214">
        <v>0.37</v>
      </c>
      <c r="DB214">
        <v>1.62</v>
      </c>
      <c r="DC214">
        <v>0.48</v>
      </c>
      <c r="DD214">
        <v>49.24</v>
      </c>
      <c r="DE214" t="s">
        <v>1575</v>
      </c>
      <c r="DF214">
        <v>41.15</v>
      </c>
      <c r="DG214">
        <v>31.97</v>
      </c>
      <c r="DH214">
        <v>21.86</v>
      </c>
      <c r="DI214">
        <v>0.7</v>
      </c>
      <c r="DJ214">
        <v>4887</v>
      </c>
      <c r="DK214">
        <v>683</v>
      </c>
      <c r="DL214" t="s">
        <v>120</v>
      </c>
      <c r="DM214" t="s">
        <v>120</v>
      </c>
      <c r="DN214" t="s">
        <v>120</v>
      </c>
    </row>
    <row r="215" spans="1:118">
      <c r="A215" t="str">
        <f>"000685"</f>
        <v>000685</v>
      </c>
      <c r="B215" t="s">
        <v>1576</v>
      </c>
      <c r="C215">
        <v>-1.69</v>
      </c>
      <c r="D215">
        <v>0.22</v>
      </c>
      <c r="E215">
        <v>0.11</v>
      </c>
      <c r="F215">
        <v>4040</v>
      </c>
      <c r="G215" t="s">
        <v>1577</v>
      </c>
      <c r="H215">
        <v>15613.35</v>
      </c>
      <c r="I215">
        <v>15.37</v>
      </c>
      <c r="J215" t="s">
        <v>120</v>
      </c>
      <c r="K215" t="s">
        <v>1578</v>
      </c>
      <c r="L215">
        <v>1.32</v>
      </c>
      <c r="M215">
        <v>9.32</v>
      </c>
      <c r="N215">
        <v>0.97</v>
      </c>
      <c r="O215">
        <v>1.9</v>
      </c>
      <c r="P215">
        <v>9.66</v>
      </c>
      <c r="Q215">
        <v>-2.11</v>
      </c>
      <c r="R215">
        <v>9.2799999999999994</v>
      </c>
      <c r="S215">
        <v>9.49</v>
      </c>
      <c r="T215">
        <v>165441</v>
      </c>
      <c r="U215">
        <v>9.32</v>
      </c>
      <c r="V215">
        <v>9.48</v>
      </c>
      <c r="W215">
        <v>8.51</v>
      </c>
      <c r="X215" t="s">
        <v>1271</v>
      </c>
      <c r="Y215" t="s">
        <v>547</v>
      </c>
      <c r="Z215">
        <v>4.01</v>
      </c>
      <c r="AA215">
        <v>9.44</v>
      </c>
      <c r="AB215">
        <v>89974</v>
      </c>
      <c r="AC215">
        <v>75467</v>
      </c>
      <c r="AD215">
        <v>1.19</v>
      </c>
      <c r="AE215">
        <v>27</v>
      </c>
      <c r="AF215">
        <v>206</v>
      </c>
      <c r="AG215" t="s">
        <v>120</v>
      </c>
      <c r="AH215">
        <v>0</v>
      </c>
      <c r="AI215" t="s">
        <v>120</v>
      </c>
      <c r="AJ215">
        <v>12.53</v>
      </c>
      <c r="AK215" t="s">
        <v>1579</v>
      </c>
      <c r="AL215">
        <v>0.23</v>
      </c>
      <c r="AM215">
        <v>3165</v>
      </c>
      <c r="AN215">
        <v>52</v>
      </c>
      <c r="AO215">
        <v>4.0000000000000002E-4</v>
      </c>
      <c r="AP215">
        <v>-3</v>
      </c>
      <c r="AQ215">
        <v>-0.11</v>
      </c>
      <c r="AR215">
        <v>-3.52</v>
      </c>
      <c r="AS215">
        <v>10.42</v>
      </c>
      <c r="AT215">
        <v>16.79</v>
      </c>
      <c r="AU215">
        <v>16.21</v>
      </c>
      <c r="AV215">
        <v>0</v>
      </c>
      <c r="AW215">
        <v>2.85</v>
      </c>
      <c r="AX215">
        <v>39.32</v>
      </c>
      <c r="AY215">
        <v>9.4499999999999993</v>
      </c>
      <c r="AZ215">
        <v>10.17</v>
      </c>
      <c r="BA215">
        <v>0.27</v>
      </c>
      <c r="BB215" t="s">
        <v>143</v>
      </c>
      <c r="BF215">
        <v>-0.45</v>
      </c>
      <c r="BG215">
        <v>-1.79</v>
      </c>
      <c r="BH215">
        <v>-3.52</v>
      </c>
      <c r="BI215">
        <v>0.43</v>
      </c>
      <c r="BJ215">
        <v>20210831</v>
      </c>
      <c r="BK215">
        <v>19970123</v>
      </c>
      <c r="BL215">
        <v>14.75</v>
      </c>
      <c r="BM215" t="s">
        <v>120</v>
      </c>
      <c r="BN215" t="s">
        <v>120</v>
      </c>
      <c r="BO215">
        <v>215.61</v>
      </c>
      <c r="BP215">
        <v>9.31</v>
      </c>
      <c r="BQ215">
        <v>143.41</v>
      </c>
      <c r="BR215">
        <v>3.08</v>
      </c>
      <c r="BS215">
        <v>32.06</v>
      </c>
      <c r="BT215">
        <v>32.94</v>
      </c>
      <c r="BU215">
        <v>18.010000000000002</v>
      </c>
      <c r="BV215">
        <v>22.66</v>
      </c>
      <c r="BW215">
        <v>42.07</v>
      </c>
      <c r="BX215">
        <v>16.079999999999998</v>
      </c>
      <c r="BY215">
        <v>1.58</v>
      </c>
      <c r="BZ215">
        <v>6.43</v>
      </c>
      <c r="CA215">
        <v>0.23</v>
      </c>
      <c r="CB215">
        <v>18.420000000000002</v>
      </c>
      <c r="CC215">
        <v>11.5</v>
      </c>
      <c r="CD215">
        <v>7.81</v>
      </c>
      <c r="CE215">
        <v>8.41</v>
      </c>
      <c r="CF215">
        <v>6.93</v>
      </c>
      <c r="CG215">
        <v>8.4</v>
      </c>
      <c r="CH215">
        <v>8.01</v>
      </c>
      <c r="CI215">
        <v>8.08</v>
      </c>
      <c r="CJ215">
        <v>-0.16</v>
      </c>
      <c r="CK215">
        <v>8.0399999999999991</v>
      </c>
      <c r="CL215">
        <v>95.9</v>
      </c>
      <c r="CM215">
        <v>2.4700000000000002</v>
      </c>
      <c r="CN215">
        <v>-0.56000000000000005</v>
      </c>
      <c r="CO215">
        <v>39931</v>
      </c>
      <c r="CP215">
        <v>14524</v>
      </c>
      <c r="CQ215" t="s">
        <v>1580</v>
      </c>
      <c r="CR215">
        <v>14.93</v>
      </c>
      <c r="CS215">
        <v>28.91</v>
      </c>
      <c r="CT215">
        <v>0.96</v>
      </c>
      <c r="CU215">
        <v>55.67</v>
      </c>
      <c r="CV215">
        <v>11.95</v>
      </c>
      <c r="CW215">
        <v>2.95</v>
      </c>
      <c r="CX215" t="s">
        <v>1581</v>
      </c>
      <c r="CY215">
        <v>9.7200000000000006</v>
      </c>
      <c r="CZ215">
        <v>0</v>
      </c>
      <c r="DA215">
        <v>1.25</v>
      </c>
      <c r="DB215">
        <v>6.5</v>
      </c>
      <c r="DC215">
        <v>0.17</v>
      </c>
      <c r="DD215">
        <v>66.510000000000005</v>
      </c>
      <c r="DE215" t="s">
        <v>1582</v>
      </c>
      <c r="DF215">
        <v>32.090000000000003</v>
      </c>
      <c r="DG215">
        <v>73.09</v>
      </c>
      <c r="DH215">
        <v>70.27</v>
      </c>
      <c r="DI215">
        <v>0.22</v>
      </c>
      <c r="DJ215">
        <v>4606</v>
      </c>
      <c r="DK215">
        <v>685</v>
      </c>
      <c r="DL215" t="s">
        <v>120</v>
      </c>
      <c r="DM215" t="s">
        <v>120</v>
      </c>
      <c r="DN215" t="s">
        <v>120</v>
      </c>
    </row>
    <row r="216" spans="1:118">
      <c r="A216" t="str">
        <f>"000686"</f>
        <v>000686</v>
      </c>
      <c r="B216" t="s">
        <v>1583</v>
      </c>
      <c r="C216">
        <v>-0.99</v>
      </c>
      <c r="D216">
        <v>-0.21</v>
      </c>
      <c r="E216">
        <v>0</v>
      </c>
      <c r="F216">
        <v>6968</v>
      </c>
      <c r="G216" t="s">
        <v>1584</v>
      </c>
      <c r="H216">
        <v>22243.65</v>
      </c>
      <c r="I216">
        <v>56.24</v>
      </c>
      <c r="J216" t="s">
        <v>120</v>
      </c>
      <c r="K216" t="s">
        <v>1585</v>
      </c>
      <c r="L216">
        <v>1.05</v>
      </c>
      <c r="M216">
        <v>9.01</v>
      </c>
      <c r="N216">
        <v>0.59</v>
      </c>
      <c r="O216">
        <v>0.99</v>
      </c>
      <c r="P216">
        <v>9.19</v>
      </c>
      <c r="Q216">
        <v>-1.32</v>
      </c>
      <c r="R216">
        <v>8.98</v>
      </c>
      <c r="S216">
        <v>9.1</v>
      </c>
      <c r="T216">
        <v>244791</v>
      </c>
      <c r="U216">
        <v>9.0299999999999994</v>
      </c>
      <c r="V216">
        <v>9.1</v>
      </c>
      <c r="W216">
        <v>15</v>
      </c>
      <c r="X216" t="s">
        <v>616</v>
      </c>
      <c r="Y216" t="s">
        <v>290</v>
      </c>
      <c r="Z216">
        <v>2.31</v>
      </c>
      <c r="AA216">
        <v>9.09</v>
      </c>
      <c r="AB216">
        <v>127041</v>
      </c>
      <c r="AC216">
        <v>117750</v>
      </c>
      <c r="AD216">
        <v>1.08</v>
      </c>
      <c r="AE216">
        <v>3362</v>
      </c>
      <c r="AF216">
        <v>67</v>
      </c>
      <c r="AG216" t="s">
        <v>120</v>
      </c>
      <c r="AH216">
        <v>0</v>
      </c>
      <c r="AI216" t="s">
        <v>120</v>
      </c>
      <c r="AJ216">
        <v>23.4</v>
      </c>
      <c r="AK216" t="s">
        <v>1585</v>
      </c>
      <c r="AL216">
        <v>0.92</v>
      </c>
      <c r="AM216">
        <v>3278</v>
      </c>
      <c r="AN216">
        <v>75</v>
      </c>
      <c r="AO216">
        <v>2.9999999999999997E-4</v>
      </c>
      <c r="AP216">
        <v>-1</v>
      </c>
      <c r="AQ216">
        <v>1.1100000000000001</v>
      </c>
      <c r="AR216">
        <v>-2.59</v>
      </c>
      <c r="AS216">
        <v>7.01</v>
      </c>
      <c r="AT216">
        <v>5.87</v>
      </c>
      <c r="AU216">
        <v>-7.31</v>
      </c>
      <c r="AV216">
        <v>0</v>
      </c>
      <c r="AW216">
        <v>1.82</v>
      </c>
      <c r="AX216">
        <v>57.39</v>
      </c>
      <c r="AY216">
        <v>15.55</v>
      </c>
      <c r="AZ216">
        <v>15.97</v>
      </c>
      <c r="BA216">
        <v>0.43</v>
      </c>
      <c r="BB216" t="s">
        <v>143</v>
      </c>
      <c r="BF216">
        <v>-0.15</v>
      </c>
      <c r="BG216">
        <v>-0.99</v>
      </c>
      <c r="BH216">
        <v>-1.96</v>
      </c>
      <c r="BI216">
        <v>0.33</v>
      </c>
      <c r="BJ216">
        <v>20210821</v>
      </c>
      <c r="BK216">
        <v>19970227</v>
      </c>
      <c r="BL216">
        <v>23.4</v>
      </c>
      <c r="BM216" t="s">
        <v>120</v>
      </c>
      <c r="BN216" t="s">
        <v>120</v>
      </c>
      <c r="BO216">
        <v>773.1</v>
      </c>
      <c r="BP216">
        <v>9.01</v>
      </c>
      <c r="BQ216">
        <v>171.38</v>
      </c>
      <c r="BR216">
        <v>6.95</v>
      </c>
      <c r="BS216">
        <v>76.930000000000007</v>
      </c>
      <c r="BT216">
        <v>0</v>
      </c>
      <c r="BU216">
        <v>6.64</v>
      </c>
      <c r="BV216">
        <v>2.87</v>
      </c>
      <c r="BW216">
        <v>0</v>
      </c>
      <c r="BX216">
        <v>203.77</v>
      </c>
      <c r="BY216">
        <v>0</v>
      </c>
      <c r="BZ216">
        <v>0</v>
      </c>
      <c r="CA216" t="s">
        <v>120</v>
      </c>
      <c r="CB216">
        <v>57.46</v>
      </c>
      <c r="CC216">
        <v>29.26</v>
      </c>
      <c r="CD216">
        <v>0</v>
      </c>
      <c r="CE216">
        <v>9.6</v>
      </c>
      <c r="CF216">
        <v>7.48</v>
      </c>
      <c r="CG216">
        <v>9.6199999999999992</v>
      </c>
      <c r="CH216">
        <v>7.54</v>
      </c>
      <c r="CI216">
        <v>7.03</v>
      </c>
      <c r="CJ216">
        <v>-0.09</v>
      </c>
      <c r="CK216">
        <v>6.81</v>
      </c>
      <c r="CL216">
        <v>56.34</v>
      </c>
      <c r="CM216">
        <v>1.23</v>
      </c>
      <c r="CN216">
        <v>22.49</v>
      </c>
      <c r="CO216">
        <v>103393</v>
      </c>
      <c r="CP216">
        <v>12991</v>
      </c>
      <c r="CQ216" t="s">
        <v>1586</v>
      </c>
      <c r="CR216">
        <v>5.44</v>
      </c>
      <c r="CS216">
        <v>-20.71</v>
      </c>
      <c r="CT216">
        <v>1.23</v>
      </c>
      <c r="CU216">
        <v>171.17</v>
      </c>
      <c r="CV216">
        <v>7.21</v>
      </c>
      <c r="CW216">
        <v>1.1000000000000001</v>
      </c>
      <c r="CX216" t="s">
        <v>1340</v>
      </c>
      <c r="CY216">
        <v>7.32</v>
      </c>
      <c r="CZ216">
        <v>0</v>
      </c>
      <c r="DA216">
        <v>2.46</v>
      </c>
      <c r="DB216">
        <v>2.41</v>
      </c>
      <c r="DC216">
        <v>0.05</v>
      </c>
      <c r="DD216">
        <v>22.17</v>
      </c>
      <c r="DE216" t="s">
        <v>1587</v>
      </c>
      <c r="DF216" t="s">
        <v>120</v>
      </c>
      <c r="DG216">
        <v>32.81</v>
      </c>
      <c r="DH216">
        <v>24.03</v>
      </c>
      <c r="DI216" t="s">
        <v>120</v>
      </c>
      <c r="DJ216">
        <v>3351</v>
      </c>
      <c r="DK216">
        <v>686</v>
      </c>
      <c r="DL216" t="s">
        <v>120</v>
      </c>
      <c r="DM216" t="s">
        <v>120</v>
      </c>
      <c r="DN216" t="s">
        <v>120</v>
      </c>
    </row>
    <row r="217" spans="1:118">
      <c r="A217" t="str">
        <f>"000688"</f>
        <v>000688</v>
      </c>
      <c r="B217" t="s">
        <v>1588</v>
      </c>
      <c r="C217">
        <v>-4.26</v>
      </c>
      <c r="D217">
        <v>0.19</v>
      </c>
      <c r="E217">
        <v>-0.79</v>
      </c>
      <c r="F217">
        <v>2014</v>
      </c>
      <c r="G217" t="s">
        <v>1589</v>
      </c>
      <c r="H217">
        <v>62325.84</v>
      </c>
      <c r="I217">
        <v>470.09</v>
      </c>
      <c r="J217" t="s">
        <v>120</v>
      </c>
      <c r="K217" t="s">
        <v>1590</v>
      </c>
      <c r="L217">
        <v>3.31</v>
      </c>
      <c r="M217">
        <v>15.73</v>
      </c>
      <c r="N217">
        <v>1.32</v>
      </c>
      <c r="O217">
        <v>6.7</v>
      </c>
      <c r="P217">
        <v>17.53</v>
      </c>
      <c r="Q217">
        <v>-5.17</v>
      </c>
      <c r="R217">
        <v>15.58</v>
      </c>
      <c r="S217">
        <v>16.3</v>
      </c>
      <c r="T217">
        <v>376700</v>
      </c>
      <c r="U217">
        <v>15.73</v>
      </c>
      <c r="V217">
        <v>16.43</v>
      </c>
      <c r="W217">
        <v>73.81</v>
      </c>
      <c r="X217" t="s">
        <v>439</v>
      </c>
      <c r="Y217" t="s">
        <v>883</v>
      </c>
      <c r="Z217">
        <v>11.87</v>
      </c>
      <c r="AA217">
        <v>16.55</v>
      </c>
      <c r="AB217">
        <v>187707</v>
      </c>
      <c r="AC217">
        <v>188993</v>
      </c>
      <c r="AD217">
        <v>0.99</v>
      </c>
      <c r="AE217">
        <v>30</v>
      </c>
      <c r="AF217">
        <v>1076</v>
      </c>
      <c r="AG217" t="s">
        <v>120</v>
      </c>
      <c r="AH217">
        <v>0.1</v>
      </c>
      <c r="AI217" t="s">
        <v>120</v>
      </c>
      <c r="AJ217">
        <v>11.37</v>
      </c>
      <c r="AK217" t="s">
        <v>1590</v>
      </c>
      <c r="AL217">
        <v>-2.35</v>
      </c>
      <c r="AM217">
        <v>4005</v>
      </c>
      <c r="AN217">
        <v>94</v>
      </c>
      <c r="AO217">
        <v>8.0000000000000004E-4</v>
      </c>
      <c r="AP217">
        <v>-1</v>
      </c>
      <c r="AQ217">
        <v>4.5199999999999996</v>
      </c>
      <c r="AR217">
        <v>-0.44</v>
      </c>
      <c r="AS217">
        <v>40.950000000000003</v>
      </c>
      <c r="AT217">
        <v>77.41</v>
      </c>
      <c r="AU217">
        <v>58.63</v>
      </c>
      <c r="AV217">
        <v>5</v>
      </c>
      <c r="AW217">
        <v>12.73</v>
      </c>
      <c r="AX217">
        <v>26.03</v>
      </c>
      <c r="AY217">
        <v>85.23</v>
      </c>
      <c r="AZ217">
        <v>126.98</v>
      </c>
      <c r="BA217">
        <v>0.24</v>
      </c>
      <c r="BB217" t="s">
        <v>184</v>
      </c>
      <c r="BF217">
        <v>0.7</v>
      </c>
      <c r="BG217">
        <v>-3.5</v>
      </c>
      <c r="BH217">
        <v>-10.27</v>
      </c>
      <c r="BI217">
        <v>0.96</v>
      </c>
      <c r="BJ217">
        <v>20210913</v>
      </c>
      <c r="BK217">
        <v>19970120</v>
      </c>
      <c r="BL217">
        <v>11.37</v>
      </c>
      <c r="BM217" t="s">
        <v>120</v>
      </c>
      <c r="BN217" t="s">
        <v>120</v>
      </c>
      <c r="BO217">
        <v>51.58</v>
      </c>
      <c r="BP217">
        <v>15.72</v>
      </c>
      <c r="BQ217">
        <v>25.36</v>
      </c>
      <c r="BR217">
        <v>4.28</v>
      </c>
      <c r="BS217">
        <v>42.53</v>
      </c>
      <c r="BT217">
        <v>7.16</v>
      </c>
      <c r="BU217">
        <v>10.08</v>
      </c>
      <c r="BV217">
        <v>18.96</v>
      </c>
      <c r="BW217">
        <v>9.06</v>
      </c>
      <c r="BX217">
        <v>4.8600000000000003</v>
      </c>
      <c r="BY217">
        <v>0.65</v>
      </c>
      <c r="BZ217">
        <v>0.55000000000000004</v>
      </c>
      <c r="CA217" t="s">
        <v>120</v>
      </c>
      <c r="CB217">
        <v>1.89</v>
      </c>
      <c r="CC217">
        <v>5.24</v>
      </c>
      <c r="CD217">
        <v>2.69</v>
      </c>
      <c r="CE217">
        <v>1.5</v>
      </c>
      <c r="CF217">
        <v>0.04</v>
      </c>
      <c r="CG217">
        <v>1.48</v>
      </c>
      <c r="CH217">
        <v>1.23</v>
      </c>
      <c r="CI217">
        <v>1.21</v>
      </c>
      <c r="CJ217">
        <v>-0.7</v>
      </c>
      <c r="CK217">
        <v>1.1000000000000001</v>
      </c>
      <c r="CL217">
        <v>12.78</v>
      </c>
      <c r="CM217">
        <v>2.48</v>
      </c>
      <c r="CN217">
        <v>-3.57</v>
      </c>
      <c r="CO217">
        <v>27664</v>
      </c>
      <c r="CP217">
        <v>10700</v>
      </c>
      <c r="CQ217" t="s">
        <v>1591</v>
      </c>
      <c r="CR217">
        <v>146.74</v>
      </c>
      <c r="CS217">
        <v>39.01</v>
      </c>
      <c r="CT217">
        <v>7.49</v>
      </c>
      <c r="CU217">
        <v>72.069999999999993</v>
      </c>
      <c r="CV217">
        <v>34.11</v>
      </c>
      <c r="CW217">
        <v>0.08</v>
      </c>
      <c r="CX217" t="s">
        <v>1147</v>
      </c>
      <c r="CY217">
        <v>2.1</v>
      </c>
      <c r="CZ217">
        <v>2.1</v>
      </c>
      <c r="DA217">
        <v>0.17</v>
      </c>
      <c r="DB217">
        <v>1.1200000000000001</v>
      </c>
      <c r="DC217">
        <v>0.22</v>
      </c>
      <c r="DD217">
        <v>49.17</v>
      </c>
      <c r="DE217" t="s">
        <v>1592</v>
      </c>
      <c r="DF217">
        <v>48.7</v>
      </c>
      <c r="DG217">
        <v>28.56</v>
      </c>
      <c r="DH217">
        <v>23.11</v>
      </c>
      <c r="DI217" t="s">
        <v>120</v>
      </c>
      <c r="DJ217">
        <v>903</v>
      </c>
      <c r="DK217">
        <v>688</v>
      </c>
      <c r="DL217" t="s">
        <v>120</v>
      </c>
      <c r="DM217" t="s">
        <v>120</v>
      </c>
      <c r="DN217" t="s">
        <v>120</v>
      </c>
    </row>
    <row r="218" spans="1:118">
      <c r="A218" t="str">
        <f>"000690"</f>
        <v>000690</v>
      </c>
      <c r="B218" t="s">
        <v>1593</v>
      </c>
      <c r="C218">
        <v>-4.2699999999999996</v>
      </c>
      <c r="D218">
        <v>0.46</v>
      </c>
      <c r="E218">
        <v>-0.15</v>
      </c>
      <c r="F218">
        <v>10429</v>
      </c>
      <c r="G218" t="s">
        <v>1594</v>
      </c>
      <c r="H218">
        <v>48974.82</v>
      </c>
      <c r="I218">
        <v>317.85000000000002</v>
      </c>
      <c r="J218" t="s">
        <v>120</v>
      </c>
      <c r="K218" t="s">
        <v>1595</v>
      </c>
      <c r="L218">
        <v>3.56</v>
      </c>
      <c r="M218">
        <v>6.5</v>
      </c>
      <c r="N218">
        <v>1.23</v>
      </c>
      <c r="O218">
        <v>-0.15</v>
      </c>
      <c r="P218">
        <v>6.78</v>
      </c>
      <c r="Q218">
        <v>-5.45</v>
      </c>
      <c r="R218">
        <v>6.42</v>
      </c>
      <c r="S218">
        <v>6.78</v>
      </c>
      <c r="T218">
        <v>740723</v>
      </c>
      <c r="U218">
        <v>6.5</v>
      </c>
      <c r="V218">
        <v>6.79</v>
      </c>
      <c r="W218">
        <v>10.69</v>
      </c>
      <c r="X218" t="s">
        <v>268</v>
      </c>
      <c r="Y218" t="s">
        <v>547</v>
      </c>
      <c r="Z218">
        <v>5.3</v>
      </c>
      <c r="AA218">
        <v>6.61</v>
      </c>
      <c r="AB218">
        <v>436259</v>
      </c>
      <c r="AC218">
        <v>304464</v>
      </c>
      <c r="AD218">
        <v>1.43</v>
      </c>
      <c r="AE218">
        <v>149</v>
      </c>
      <c r="AF218">
        <v>794</v>
      </c>
      <c r="AG218" t="s">
        <v>120</v>
      </c>
      <c r="AH218">
        <v>0.03</v>
      </c>
      <c r="AI218" t="s">
        <v>120</v>
      </c>
      <c r="AJ218">
        <v>20.82</v>
      </c>
      <c r="AK218" t="s">
        <v>1596</v>
      </c>
      <c r="AL218">
        <v>-2.36</v>
      </c>
      <c r="AM218">
        <v>4229</v>
      </c>
      <c r="AN218">
        <v>175</v>
      </c>
      <c r="AO218">
        <v>8.0000000000000004E-4</v>
      </c>
      <c r="AP218">
        <v>-1</v>
      </c>
      <c r="AQ218">
        <v>8.4700000000000006</v>
      </c>
      <c r="AR218">
        <v>2.04</v>
      </c>
      <c r="AS218">
        <v>17.329999999999998</v>
      </c>
      <c r="AT218">
        <v>25</v>
      </c>
      <c r="AU218">
        <v>-7.14</v>
      </c>
      <c r="AV218">
        <v>0</v>
      </c>
      <c r="AW218">
        <v>4.2699999999999996</v>
      </c>
      <c r="AX218">
        <v>79.680000000000007</v>
      </c>
      <c r="AY218">
        <v>8.02</v>
      </c>
      <c r="AZ218">
        <v>8.1300000000000008</v>
      </c>
      <c r="BA218">
        <v>0</v>
      </c>
      <c r="BB218" t="s">
        <v>168</v>
      </c>
      <c r="BF218">
        <v>-2.63</v>
      </c>
      <c r="BG218">
        <v>-4.13</v>
      </c>
      <c r="BH218">
        <v>-4.13</v>
      </c>
      <c r="BI218">
        <v>1.25</v>
      </c>
      <c r="BJ218">
        <v>20210806</v>
      </c>
      <c r="BK218">
        <v>19970128</v>
      </c>
      <c r="BL218">
        <v>21.76</v>
      </c>
      <c r="BM218" t="s">
        <v>120</v>
      </c>
      <c r="BN218" t="s">
        <v>120</v>
      </c>
      <c r="BO218">
        <v>189.5</v>
      </c>
      <c r="BP218">
        <v>6.48</v>
      </c>
      <c r="BQ218">
        <v>109.18</v>
      </c>
      <c r="BR218" t="s">
        <v>120</v>
      </c>
      <c r="BS218">
        <v>42.38</v>
      </c>
      <c r="BT218">
        <v>58.01</v>
      </c>
      <c r="BU218">
        <v>87.74</v>
      </c>
      <c r="BV218">
        <v>6.59</v>
      </c>
      <c r="BW218">
        <v>30.59</v>
      </c>
      <c r="BX218">
        <v>38.68</v>
      </c>
      <c r="BY218">
        <v>1.8</v>
      </c>
      <c r="BZ218">
        <v>9.3699999999999992</v>
      </c>
      <c r="CA218" t="s">
        <v>120</v>
      </c>
      <c r="CB218">
        <v>29.56</v>
      </c>
      <c r="CC218">
        <v>44.72</v>
      </c>
      <c r="CD218">
        <v>30.3</v>
      </c>
      <c r="CE218">
        <v>9.15</v>
      </c>
      <c r="CF218">
        <v>0.11</v>
      </c>
      <c r="CG218">
        <v>9.15</v>
      </c>
      <c r="CH218">
        <v>6.62</v>
      </c>
      <c r="CI218">
        <v>6.62</v>
      </c>
      <c r="CJ218">
        <v>-0.28999999999999998</v>
      </c>
      <c r="CK218">
        <v>7.51</v>
      </c>
      <c r="CL218">
        <v>47.79</v>
      </c>
      <c r="CM218">
        <v>13.41</v>
      </c>
      <c r="CN218">
        <v>-3.04</v>
      </c>
      <c r="CO218">
        <v>107420</v>
      </c>
      <c r="CP218">
        <v>16139</v>
      </c>
      <c r="CQ218" t="s">
        <v>1597</v>
      </c>
      <c r="CR218">
        <v>3.67</v>
      </c>
      <c r="CS218">
        <v>38.979999999999997</v>
      </c>
      <c r="CT218">
        <v>1.3</v>
      </c>
      <c r="CU218">
        <v>10.55</v>
      </c>
      <c r="CV218">
        <v>3.16</v>
      </c>
      <c r="CW218">
        <v>4.42</v>
      </c>
      <c r="CX218" t="s">
        <v>1340</v>
      </c>
      <c r="CY218">
        <v>5.0199999999999996</v>
      </c>
      <c r="CZ218">
        <v>0</v>
      </c>
      <c r="DA218">
        <v>1.36</v>
      </c>
      <c r="DB218">
        <v>2.2000000000000002</v>
      </c>
      <c r="DC218">
        <v>0.62</v>
      </c>
      <c r="DD218">
        <v>57.62</v>
      </c>
      <c r="DE218" t="s">
        <v>1598</v>
      </c>
      <c r="DF218">
        <v>32.25</v>
      </c>
      <c r="DG218">
        <v>20.46</v>
      </c>
      <c r="DH218">
        <v>14.8</v>
      </c>
      <c r="DI218" t="s">
        <v>120</v>
      </c>
      <c r="DJ218">
        <v>1312</v>
      </c>
      <c r="DK218">
        <v>690</v>
      </c>
      <c r="DL218" t="s">
        <v>120</v>
      </c>
      <c r="DM218" t="s">
        <v>120</v>
      </c>
      <c r="DN218" t="s">
        <v>120</v>
      </c>
    </row>
    <row r="219" spans="1:118">
      <c r="A219" t="str">
        <f>"000691"</f>
        <v>000691</v>
      </c>
      <c r="B219" t="s">
        <v>1599</v>
      </c>
      <c r="C219">
        <v>1.84</v>
      </c>
      <c r="D219">
        <v>-0.19</v>
      </c>
      <c r="E219">
        <v>0.61</v>
      </c>
      <c r="F219">
        <v>730</v>
      </c>
      <c r="G219" t="s">
        <v>1600</v>
      </c>
      <c r="H219">
        <v>8214.7199999999993</v>
      </c>
      <c r="I219">
        <v>15.35</v>
      </c>
      <c r="J219" t="s">
        <v>120</v>
      </c>
      <c r="K219" t="s">
        <v>1601</v>
      </c>
      <c r="L219">
        <v>5.03</v>
      </c>
      <c r="M219">
        <v>4.9800000000000004</v>
      </c>
      <c r="N219">
        <v>3.99</v>
      </c>
      <c r="O219">
        <v>5.93</v>
      </c>
      <c r="P219">
        <v>5.18</v>
      </c>
      <c r="Q219">
        <v>-0.41</v>
      </c>
      <c r="R219">
        <v>4.87</v>
      </c>
      <c r="S219">
        <v>4.92</v>
      </c>
      <c r="T219">
        <v>162709</v>
      </c>
      <c r="U219">
        <v>4.99</v>
      </c>
      <c r="V219">
        <v>4.8899999999999997</v>
      </c>
      <c r="W219">
        <v>51.31</v>
      </c>
      <c r="X219" t="s">
        <v>868</v>
      </c>
      <c r="Y219" t="s">
        <v>1082</v>
      </c>
      <c r="Z219">
        <v>6.34</v>
      </c>
      <c r="AA219">
        <v>5.05</v>
      </c>
      <c r="AB219">
        <v>76976</v>
      </c>
      <c r="AC219">
        <v>85733</v>
      </c>
      <c r="AD219">
        <v>0.9</v>
      </c>
      <c r="AE219">
        <v>758</v>
      </c>
      <c r="AF219">
        <v>488</v>
      </c>
      <c r="AG219" t="s">
        <v>120</v>
      </c>
      <c r="AH219">
        <v>0.01</v>
      </c>
      <c r="AI219" t="s">
        <v>120</v>
      </c>
      <c r="AJ219">
        <v>3.23</v>
      </c>
      <c r="AK219" t="s">
        <v>1601</v>
      </c>
      <c r="AL219">
        <v>3.75</v>
      </c>
      <c r="AM219">
        <v>1781</v>
      </c>
      <c r="AN219">
        <v>91</v>
      </c>
      <c r="AO219">
        <v>2.8E-3</v>
      </c>
      <c r="AP219">
        <v>2</v>
      </c>
      <c r="AQ219">
        <v>0.41</v>
      </c>
      <c r="AR219">
        <v>0.81</v>
      </c>
      <c r="AS219">
        <v>7.56</v>
      </c>
      <c r="AT219">
        <v>-1.77</v>
      </c>
      <c r="AU219">
        <v>8.74</v>
      </c>
      <c r="AV219">
        <v>10</v>
      </c>
      <c r="AW219">
        <v>6.89</v>
      </c>
      <c r="AX219">
        <v>73.099999999999994</v>
      </c>
      <c r="AY219">
        <v>95.52</v>
      </c>
      <c r="AZ219">
        <v>87.87</v>
      </c>
      <c r="BA219">
        <v>0.39</v>
      </c>
      <c r="BB219" t="s">
        <v>168</v>
      </c>
      <c r="BF219">
        <v>3.25</v>
      </c>
      <c r="BG219">
        <v>1.22</v>
      </c>
      <c r="BH219">
        <v>-3.86</v>
      </c>
      <c r="BI219">
        <v>2.2599999999999998</v>
      </c>
      <c r="BJ219">
        <v>20210821</v>
      </c>
      <c r="BK219">
        <v>19970228</v>
      </c>
      <c r="BL219">
        <v>3.23</v>
      </c>
      <c r="BM219" t="s">
        <v>120</v>
      </c>
      <c r="BN219" t="s">
        <v>120</v>
      </c>
      <c r="BO219">
        <v>7.05</v>
      </c>
      <c r="BP219">
        <v>4.9800000000000004</v>
      </c>
      <c r="BQ219">
        <v>1.1100000000000001</v>
      </c>
      <c r="BR219">
        <v>1.56</v>
      </c>
      <c r="BS219">
        <v>62.2</v>
      </c>
      <c r="BT219">
        <v>2.2400000000000002</v>
      </c>
      <c r="BU219">
        <v>2.48</v>
      </c>
      <c r="BV219">
        <v>0.35</v>
      </c>
      <c r="BW219">
        <v>4.2699999999999996</v>
      </c>
      <c r="BX219">
        <v>0.26</v>
      </c>
      <c r="BY219">
        <v>1.37</v>
      </c>
      <c r="BZ219">
        <v>0.56000000000000005</v>
      </c>
      <c r="CA219" t="s">
        <v>120</v>
      </c>
      <c r="CB219">
        <v>1.54</v>
      </c>
      <c r="CC219">
        <v>2.8</v>
      </c>
      <c r="CD219">
        <v>2.04</v>
      </c>
      <c r="CE219">
        <v>0.41</v>
      </c>
      <c r="CF219">
        <v>0</v>
      </c>
      <c r="CG219">
        <v>0.41</v>
      </c>
      <c r="CH219">
        <v>0.35</v>
      </c>
      <c r="CI219">
        <v>0.16</v>
      </c>
      <c r="CJ219">
        <v>0.09</v>
      </c>
      <c r="CK219">
        <v>0.15</v>
      </c>
      <c r="CL219">
        <v>-3.82</v>
      </c>
      <c r="CM219">
        <v>0.47</v>
      </c>
      <c r="CN219">
        <v>0.04</v>
      </c>
      <c r="CO219">
        <v>19159</v>
      </c>
      <c r="CP219">
        <v>12334</v>
      </c>
      <c r="CQ219" t="s">
        <v>1602</v>
      </c>
      <c r="CR219">
        <v>-8.42</v>
      </c>
      <c r="CS219">
        <v>332.45</v>
      </c>
      <c r="CT219">
        <v>14.57</v>
      </c>
      <c r="CU219">
        <v>34.29</v>
      </c>
      <c r="CV219">
        <v>5.74</v>
      </c>
      <c r="CW219">
        <v>0</v>
      </c>
      <c r="CX219" t="s">
        <v>1603</v>
      </c>
      <c r="CY219">
        <v>0.34</v>
      </c>
      <c r="CZ219">
        <v>0</v>
      </c>
      <c r="DA219">
        <v>0.48</v>
      </c>
      <c r="DB219">
        <v>-1.18</v>
      </c>
      <c r="DC219">
        <v>0.15</v>
      </c>
      <c r="DD219">
        <v>15.68</v>
      </c>
      <c r="DE219" t="s">
        <v>1604</v>
      </c>
      <c r="DF219">
        <v>27.13</v>
      </c>
      <c r="DG219">
        <v>14.64</v>
      </c>
      <c r="DH219">
        <v>5.59</v>
      </c>
      <c r="DI219">
        <v>0.09</v>
      </c>
      <c r="DJ219">
        <v>444</v>
      </c>
      <c r="DK219">
        <v>691</v>
      </c>
      <c r="DL219" t="s">
        <v>120</v>
      </c>
      <c r="DM219" t="s">
        <v>120</v>
      </c>
      <c r="DN219" t="s">
        <v>120</v>
      </c>
    </row>
    <row r="220" spans="1:118">
      <c r="A220" t="str">
        <f>"000692"</f>
        <v>000692</v>
      </c>
      <c r="B220" t="s">
        <v>1605</v>
      </c>
      <c r="C220">
        <v>-1.1299999999999999</v>
      </c>
      <c r="D220">
        <v>0.28999999999999998</v>
      </c>
      <c r="E220">
        <v>-0.56000000000000005</v>
      </c>
      <c r="F220">
        <v>96</v>
      </c>
      <c r="G220" t="s">
        <v>1606</v>
      </c>
      <c r="H220">
        <v>1853.17</v>
      </c>
      <c r="I220">
        <v>3.52</v>
      </c>
      <c r="J220" t="s">
        <v>120</v>
      </c>
      <c r="K220" t="s">
        <v>1607</v>
      </c>
      <c r="L220">
        <v>0.99</v>
      </c>
      <c r="M220">
        <v>3.5</v>
      </c>
      <c r="N220">
        <v>0.76</v>
      </c>
      <c r="O220">
        <v>1.1299999999999999</v>
      </c>
      <c r="P220">
        <v>3.58</v>
      </c>
      <c r="Q220">
        <v>-1.69</v>
      </c>
      <c r="R220">
        <v>3.48</v>
      </c>
      <c r="S220">
        <v>3.52</v>
      </c>
      <c r="T220">
        <v>52667</v>
      </c>
      <c r="U220">
        <v>3.5</v>
      </c>
      <c r="V220">
        <v>3.54</v>
      </c>
      <c r="W220" t="s">
        <v>120</v>
      </c>
      <c r="X220" t="s">
        <v>684</v>
      </c>
      <c r="Y220" t="s">
        <v>432</v>
      </c>
      <c r="Z220">
        <v>2.82</v>
      </c>
      <c r="AA220">
        <v>3.52</v>
      </c>
      <c r="AB220">
        <v>29994</v>
      </c>
      <c r="AC220">
        <v>22673</v>
      </c>
      <c r="AD220">
        <v>1.32</v>
      </c>
      <c r="AE220">
        <v>504</v>
      </c>
      <c r="AF220">
        <v>524</v>
      </c>
      <c r="AG220" t="s">
        <v>120</v>
      </c>
      <c r="AH220">
        <v>0</v>
      </c>
      <c r="AI220" t="s">
        <v>120</v>
      </c>
      <c r="AJ220">
        <v>5.33</v>
      </c>
      <c r="AK220" t="s">
        <v>1607</v>
      </c>
      <c r="AL220">
        <v>0.78</v>
      </c>
      <c r="AM220">
        <v>1153</v>
      </c>
      <c r="AN220">
        <v>46</v>
      </c>
      <c r="AO220">
        <v>8.9999999999999998E-4</v>
      </c>
      <c r="AP220">
        <v>-1</v>
      </c>
      <c r="AQ220">
        <v>2.31</v>
      </c>
      <c r="AR220">
        <v>-0.56999999999999995</v>
      </c>
      <c r="AS220">
        <v>10.06</v>
      </c>
      <c r="AT220">
        <v>0.87</v>
      </c>
      <c r="AU220">
        <v>20.28</v>
      </c>
      <c r="AV220">
        <v>6</v>
      </c>
      <c r="AW220">
        <v>1.52</v>
      </c>
      <c r="AX220">
        <v>64.89</v>
      </c>
      <c r="AY220" t="s">
        <v>120</v>
      </c>
      <c r="AZ220" t="s">
        <v>120</v>
      </c>
      <c r="BA220">
        <v>0.55000000000000004</v>
      </c>
      <c r="BB220" t="s">
        <v>184</v>
      </c>
      <c r="BF220">
        <v>-0.6</v>
      </c>
      <c r="BG220">
        <v>-0.56999999999999995</v>
      </c>
      <c r="BH220">
        <v>-2.23</v>
      </c>
      <c r="BI220">
        <v>0.56999999999999995</v>
      </c>
      <c r="BJ220">
        <v>20210827</v>
      </c>
      <c r="BK220">
        <v>19970227</v>
      </c>
      <c r="BL220">
        <v>5.33</v>
      </c>
      <c r="BM220" t="s">
        <v>120</v>
      </c>
      <c r="BN220" t="s">
        <v>120</v>
      </c>
      <c r="BO220">
        <v>46.15</v>
      </c>
      <c r="BP220">
        <v>3.49</v>
      </c>
      <c r="BQ220">
        <v>2.6</v>
      </c>
      <c r="BR220">
        <v>0.71</v>
      </c>
      <c r="BS220">
        <v>92.82</v>
      </c>
      <c r="BT220">
        <v>14.29</v>
      </c>
      <c r="BU220">
        <v>17.53</v>
      </c>
      <c r="BV220">
        <v>1.17</v>
      </c>
      <c r="BW220">
        <v>32.74</v>
      </c>
      <c r="BX220">
        <v>1.73</v>
      </c>
      <c r="BY220">
        <v>1.57</v>
      </c>
      <c r="BZ220">
        <v>4.1900000000000004</v>
      </c>
      <c r="CA220" t="s">
        <v>120</v>
      </c>
      <c r="CB220">
        <v>4.5599999999999996</v>
      </c>
      <c r="CC220">
        <v>10.46</v>
      </c>
      <c r="CD220">
        <v>10.18</v>
      </c>
      <c r="CE220">
        <v>0.02</v>
      </c>
      <c r="CF220">
        <v>0</v>
      </c>
      <c r="CG220">
        <v>0.01</v>
      </c>
      <c r="CH220">
        <v>-0.28000000000000003</v>
      </c>
      <c r="CI220">
        <v>-0.28000000000000003</v>
      </c>
      <c r="CJ220">
        <v>-0.04</v>
      </c>
      <c r="CK220">
        <v>-1.21</v>
      </c>
      <c r="CL220">
        <v>-8.8800000000000008</v>
      </c>
      <c r="CM220">
        <v>-4.4000000000000004</v>
      </c>
      <c r="CN220">
        <v>0.1</v>
      </c>
      <c r="CO220">
        <v>32429</v>
      </c>
      <c r="CP220">
        <v>10663</v>
      </c>
      <c r="CQ220" t="s">
        <v>1608</v>
      </c>
      <c r="CR220">
        <v>86.1</v>
      </c>
      <c r="CS220">
        <v>3.98</v>
      </c>
      <c r="CT220">
        <v>7.16</v>
      </c>
      <c r="CU220">
        <v>-4.2300000000000004</v>
      </c>
      <c r="CV220">
        <v>1.78</v>
      </c>
      <c r="CW220">
        <v>0</v>
      </c>
      <c r="CX220" t="s">
        <v>1609</v>
      </c>
      <c r="CY220">
        <v>0.49</v>
      </c>
      <c r="CZ220">
        <v>0</v>
      </c>
      <c r="DA220">
        <v>0.86</v>
      </c>
      <c r="DB220">
        <v>-1.67</v>
      </c>
      <c r="DC220">
        <v>-0.83</v>
      </c>
      <c r="DD220">
        <v>5.64</v>
      </c>
      <c r="DE220" t="s">
        <v>1610</v>
      </c>
      <c r="DF220">
        <v>2.74</v>
      </c>
      <c r="DG220">
        <v>0.22</v>
      </c>
      <c r="DH220">
        <v>-2.67</v>
      </c>
      <c r="DI220" t="s">
        <v>120</v>
      </c>
      <c r="DJ220">
        <v>2426</v>
      </c>
      <c r="DK220">
        <v>692</v>
      </c>
      <c r="DL220" t="s">
        <v>120</v>
      </c>
      <c r="DM220" t="s">
        <v>120</v>
      </c>
      <c r="DN220" t="s">
        <v>120</v>
      </c>
    </row>
    <row r="221" spans="1:118">
      <c r="A221" t="str">
        <f>"000695"</f>
        <v>000695</v>
      </c>
      <c r="B221" t="s">
        <v>1611</v>
      </c>
      <c r="C221">
        <v>-0.11</v>
      </c>
      <c r="D221">
        <v>0.11</v>
      </c>
      <c r="E221">
        <v>0</v>
      </c>
      <c r="F221">
        <v>211</v>
      </c>
      <c r="G221" t="s">
        <v>1612</v>
      </c>
      <c r="H221">
        <v>3408.72</v>
      </c>
      <c r="I221">
        <v>1.82</v>
      </c>
      <c r="J221" t="s">
        <v>120</v>
      </c>
      <c r="K221" t="s">
        <v>1613</v>
      </c>
      <c r="L221">
        <v>1.67</v>
      </c>
      <c r="M221">
        <v>9.11</v>
      </c>
      <c r="N221">
        <v>0.89</v>
      </c>
      <c r="O221">
        <v>3.84</v>
      </c>
      <c r="P221">
        <v>9.4700000000000006</v>
      </c>
      <c r="Q221">
        <v>-0.66</v>
      </c>
      <c r="R221">
        <v>9.06</v>
      </c>
      <c r="S221">
        <v>9.1199999999999992</v>
      </c>
      <c r="T221">
        <v>36928</v>
      </c>
      <c r="U221">
        <v>9.11</v>
      </c>
      <c r="V221">
        <v>9.1199999999999992</v>
      </c>
      <c r="W221" t="s">
        <v>120</v>
      </c>
      <c r="X221" t="s">
        <v>339</v>
      </c>
      <c r="Y221" t="s">
        <v>997</v>
      </c>
      <c r="Z221">
        <v>4.5</v>
      </c>
      <c r="AA221">
        <v>9.23</v>
      </c>
      <c r="AB221">
        <v>18540</v>
      </c>
      <c r="AC221">
        <v>18388</v>
      </c>
      <c r="AD221">
        <v>1.01</v>
      </c>
      <c r="AE221">
        <v>184</v>
      </c>
      <c r="AF221">
        <v>520</v>
      </c>
      <c r="AG221" t="s">
        <v>120</v>
      </c>
      <c r="AH221">
        <v>0</v>
      </c>
      <c r="AI221" t="s">
        <v>120</v>
      </c>
      <c r="AJ221">
        <v>2.2200000000000002</v>
      </c>
      <c r="AK221" t="s">
        <v>1614</v>
      </c>
      <c r="AL221">
        <v>1.8</v>
      </c>
      <c r="AM221">
        <v>1494</v>
      </c>
      <c r="AN221">
        <v>25</v>
      </c>
      <c r="AO221">
        <v>1.1000000000000001E-3</v>
      </c>
      <c r="AP221">
        <v>-1</v>
      </c>
      <c r="AQ221">
        <v>2.36</v>
      </c>
      <c r="AR221">
        <v>-0.33</v>
      </c>
      <c r="AS221">
        <v>8.19</v>
      </c>
      <c r="AT221">
        <v>51.33</v>
      </c>
      <c r="AU221">
        <v>28.31</v>
      </c>
      <c r="AV221">
        <v>6</v>
      </c>
      <c r="AW221">
        <v>2.4700000000000002</v>
      </c>
      <c r="AX221">
        <v>67.260000000000005</v>
      </c>
      <c r="AY221" t="s">
        <v>120</v>
      </c>
      <c r="AZ221" t="s">
        <v>120</v>
      </c>
      <c r="BA221">
        <v>0</v>
      </c>
      <c r="BB221" t="s">
        <v>143</v>
      </c>
      <c r="BF221">
        <v>1.21</v>
      </c>
      <c r="BG221">
        <v>-0.11</v>
      </c>
      <c r="BH221">
        <v>-3.8</v>
      </c>
      <c r="BI221">
        <v>0.55000000000000004</v>
      </c>
      <c r="BJ221">
        <v>20210825</v>
      </c>
      <c r="BK221">
        <v>19970218</v>
      </c>
      <c r="BL221">
        <v>2.2200000000000002</v>
      </c>
      <c r="BM221" t="s">
        <v>120</v>
      </c>
      <c r="BN221" t="s">
        <v>120</v>
      </c>
      <c r="BO221">
        <v>9.75</v>
      </c>
      <c r="BP221">
        <v>9.1</v>
      </c>
      <c r="BQ221">
        <v>3.43</v>
      </c>
      <c r="BR221">
        <v>2.41</v>
      </c>
      <c r="BS221">
        <v>40.14</v>
      </c>
      <c r="BT221">
        <v>5.07</v>
      </c>
      <c r="BU221">
        <v>1.81</v>
      </c>
      <c r="BV221">
        <v>0.35</v>
      </c>
      <c r="BW221">
        <v>2.94</v>
      </c>
      <c r="BX221">
        <v>0.51</v>
      </c>
      <c r="BY221">
        <v>1.37</v>
      </c>
      <c r="BZ221">
        <v>2.6</v>
      </c>
      <c r="CA221" t="s">
        <v>120</v>
      </c>
      <c r="CB221">
        <v>0.75</v>
      </c>
      <c r="CC221">
        <v>2.17</v>
      </c>
      <c r="CD221">
        <v>2.15</v>
      </c>
      <c r="CE221">
        <v>-0.31</v>
      </c>
      <c r="CF221">
        <v>0</v>
      </c>
      <c r="CG221">
        <v>-0.3</v>
      </c>
      <c r="CH221">
        <v>-0.3</v>
      </c>
      <c r="CI221">
        <v>-0.18</v>
      </c>
      <c r="CJ221">
        <v>-0.01</v>
      </c>
      <c r="CK221">
        <v>-0.18</v>
      </c>
      <c r="CL221">
        <v>0.33</v>
      </c>
      <c r="CM221">
        <v>-0.11</v>
      </c>
      <c r="CN221">
        <v>-0.11</v>
      </c>
      <c r="CO221">
        <v>12211</v>
      </c>
      <c r="CP221">
        <v>12237</v>
      </c>
      <c r="CQ221" t="s">
        <v>1615</v>
      </c>
      <c r="CR221">
        <v>-45.22</v>
      </c>
      <c r="CS221">
        <v>73.22</v>
      </c>
      <c r="CT221">
        <v>5.9</v>
      </c>
      <c r="CU221">
        <v>-178.49</v>
      </c>
      <c r="CV221">
        <v>9.31</v>
      </c>
      <c r="CW221">
        <v>0</v>
      </c>
      <c r="CX221" t="s">
        <v>1616</v>
      </c>
      <c r="CY221">
        <v>1.54</v>
      </c>
      <c r="CZ221">
        <v>0</v>
      </c>
      <c r="DA221">
        <v>0.34</v>
      </c>
      <c r="DB221">
        <v>0.15</v>
      </c>
      <c r="DC221">
        <v>-0.05</v>
      </c>
      <c r="DD221">
        <v>35.18</v>
      </c>
      <c r="DE221" t="s">
        <v>1617</v>
      </c>
      <c r="DF221">
        <v>1.31</v>
      </c>
      <c r="DG221">
        <v>-14.05</v>
      </c>
      <c r="DH221">
        <v>-8.08</v>
      </c>
      <c r="DI221">
        <v>0.08</v>
      </c>
      <c r="DJ221">
        <v>933</v>
      </c>
      <c r="DK221">
        <v>695</v>
      </c>
      <c r="DL221" t="s">
        <v>120</v>
      </c>
      <c r="DM221" t="s">
        <v>120</v>
      </c>
      <c r="DN221" t="s">
        <v>120</v>
      </c>
    </row>
    <row r="222" spans="1:118">
      <c r="A222" t="str">
        <f>"000697"</f>
        <v>000697</v>
      </c>
      <c r="B222" t="s">
        <v>1618</v>
      </c>
      <c r="C222">
        <v>-0.46</v>
      </c>
      <c r="D222">
        <v>0</v>
      </c>
      <c r="E222">
        <v>0.11</v>
      </c>
      <c r="F222">
        <v>536</v>
      </c>
      <c r="G222" t="s">
        <v>1619</v>
      </c>
      <c r="H222">
        <v>6985.42</v>
      </c>
      <c r="I222">
        <v>39.6</v>
      </c>
      <c r="J222" t="s">
        <v>120</v>
      </c>
      <c r="K222" t="s">
        <v>1620</v>
      </c>
      <c r="L222">
        <v>1.37</v>
      </c>
      <c r="M222">
        <v>8.75</v>
      </c>
      <c r="N222">
        <v>0.73</v>
      </c>
      <c r="O222">
        <v>2.2799999999999998</v>
      </c>
      <c r="P222">
        <v>8.99</v>
      </c>
      <c r="Q222">
        <v>-0.56999999999999995</v>
      </c>
      <c r="R222">
        <v>8.74</v>
      </c>
      <c r="S222">
        <v>8.8000000000000007</v>
      </c>
      <c r="T222">
        <v>78886</v>
      </c>
      <c r="U222">
        <v>8.76</v>
      </c>
      <c r="V222">
        <v>8.7899999999999991</v>
      </c>
      <c r="W222" t="s">
        <v>120</v>
      </c>
      <c r="X222" t="s">
        <v>1621</v>
      </c>
      <c r="Y222" t="s">
        <v>890</v>
      </c>
      <c r="Z222">
        <v>2.84</v>
      </c>
      <c r="AA222">
        <v>8.86</v>
      </c>
      <c r="AB222">
        <v>44057</v>
      </c>
      <c r="AC222">
        <v>34829</v>
      </c>
      <c r="AD222">
        <v>1.26</v>
      </c>
      <c r="AE222">
        <v>294</v>
      </c>
      <c r="AF222">
        <v>814</v>
      </c>
      <c r="AG222" t="s">
        <v>120</v>
      </c>
      <c r="AH222">
        <v>0.01</v>
      </c>
      <c r="AI222" t="s">
        <v>120</v>
      </c>
      <c r="AJ222">
        <v>5.77</v>
      </c>
      <c r="AK222" t="s">
        <v>1622</v>
      </c>
      <c r="AL222">
        <v>1.46</v>
      </c>
      <c r="AM222">
        <v>2024</v>
      </c>
      <c r="AN222">
        <v>39</v>
      </c>
      <c r="AO222">
        <v>6.9999999999999999E-4</v>
      </c>
      <c r="AP222">
        <v>-5</v>
      </c>
      <c r="AQ222">
        <v>-2.0099999999999998</v>
      </c>
      <c r="AR222">
        <v>-2.89</v>
      </c>
      <c r="AS222">
        <v>-11.17</v>
      </c>
      <c r="AT222">
        <v>0.46</v>
      </c>
      <c r="AU222">
        <v>-25.02</v>
      </c>
      <c r="AV222">
        <v>7</v>
      </c>
      <c r="AW222">
        <v>1.93</v>
      </c>
      <c r="AX222">
        <v>60.73</v>
      </c>
      <c r="AY222" t="s">
        <v>120</v>
      </c>
      <c r="AZ222" t="s">
        <v>120</v>
      </c>
      <c r="BA222">
        <v>0.24</v>
      </c>
      <c r="BB222" t="s">
        <v>125</v>
      </c>
      <c r="BF222">
        <v>0.74</v>
      </c>
      <c r="BG222">
        <v>-0.56999999999999995</v>
      </c>
      <c r="BH222">
        <v>-2.67</v>
      </c>
      <c r="BI222">
        <v>0.11</v>
      </c>
      <c r="BJ222">
        <v>20210830</v>
      </c>
      <c r="BK222">
        <v>19970325</v>
      </c>
      <c r="BL222">
        <v>6.72</v>
      </c>
      <c r="BM222" t="s">
        <v>120</v>
      </c>
      <c r="BN222" t="s">
        <v>120</v>
      </c>
      <c r="BO222">
        <v>33.97</v>
      </c>
      <c r="BP222">
        <v>8.75</v>
      </c>
      <c r="BQ222">
        <v>8.7799999999999994</v>
      </c>
      <c r="BR222">
        <v>-0.13</v>
      </c>
      <c r="BS222">
        <v>74.52</v>
      </c>
      <c r="BT222">
        <v>7.7</v>
      </c>
      <c r="BU222">
        <v>7.38</v>
      </c>
      <c r="BV222">
        <v>2.0499999999999998</v>
      </c>
      <c r="BW222">
        <v>20.65</v>
      </c>
      <c r="BX222">
        <v>1.06</v>
      </c>
      <c r="BY222">
        <v>2.76</v>
      </c>
      <c r="BZ222">
        <v>2.36</v>
      </c>
      <c r="CA222" t="s">
        <v>120</v>
      </c>
      <c r="CB222">
        <v>20.309999999999999</v>
      </c>
      <c r="CC222">
        <v>4.68</v>
      </c>
      <c r="CD222">
        <v>4.18</v>
      </c>
      <c r="CE222">
        <v>-1.1100000000000001</v>
      </c>
      <c r="CF222">
        <v>-0.01</v>
      </c>
      <c r="CG222">
        <v>-1.25</v>
      </c>
      <c r="CH222">
        <v>-1.25</v>
      </c>
      <c r="CI222">
        <v>-1.25</v>
      </c>
      <c r="CJ222">
        <v>-0.04</v>
      </c>
      <c r="CK222">
        <v>-1.17</v>
      </c>
      <c r="CL222">
        <v>-18.2</v>
      </c>
      <c r="CM222">
        <v>-1.3</v>
      </c>
      <c r="CN222">
        <v>-0.37</v>
      </c>
      <c r="CO222">
        <v>40996</v>
      </c>
      <c r="CP222">
        <v>9949</v>
      </c>
      <c r="CQ222" t="s">
        <v>1623</v>
      </c>
      <c r="CR222">
        <v>-2.67</v>
      </c>
      <c r="CS222">
        <v>-25.86</v>
      </c>
      <c r="CT222">
        <v>6.69</v>
      </c>
      <c r="CU222">
        <v>-45.29</v>
      </c>
      <c r="CV222">
        <v>12.55</v>
      </c>
      <c r="CW222">
        <v>0</v>
      </c>
      <c r="CX222" t="s">
        <v>1624</v>
      </c>
      <c r="CY222">
        <v>1.31</v>
      </c>
      <c r="CZ222">
        <v>0</v>
      </c>
      <c r="DA222">
        <v>3.02</v>
      </c>
      <c r="DB222">
        <v>-2.71</v>
      </c>
      <c r="DC222">
        <v>-0.19</v>
      </c>
      <c r="DD222">
        <v>25.86</v>
      </c>
      <c r="DE222" t="s">
        <v>1625</v>
      </c>
      <c r="DF222">
        <v>10.83</v>
      </c>
      <c r="DG222">
        <v>-23.68</v>
      </c>
      <c r="DH222">
        <v>-26.67</v>
      </c>
      <c r="DI222">
        <v>0.04</v>
      </c>
      <c r="DJ222">
        <v>1714</v>
      </c>
      <c r="DK222">
        <v>697</v>
      </c>
      <c r="DL222" t="s">
        <v>120</v>
      </c>
      <c r="DM222" t="s">
        <v>120</v>
      </c>
      <c r="DN222" t="s">
        <v>120</v>
      </c>
    </row>
    <row r="223" spans="1:118">
      <c r="A223" t="str">
        <f>"000698"</f>
        <v>000698</v>
      </c>
      <c r="B223" t="s">
        <v>1626</v>
      </c>
      <c r="C223">
        <v>-0.13</v>
      </c>
      <c r="D223">
        <v>-0.12</v>
      </c>
      <c r="E223">
        <v>2.94</v>
      </c>
      <c r="F223">
        <v>3509</v>
      </c>
      <c r="G223" t="s">
        <v>1627</v>
      </c>
      <c r="H223">
        <v>54517.8</v>
      </c>
      <c r="I223">
        <v>416.07</v>
      </c>
      <c r="J223" t="s">
        <v>120</v>
      </c>
      <c r="K223" t="s">
        <v>1628</v>
      </c>
      <c r="L223">
        <v>8.7200000000000006</v>
      </c>
      <c r="M223">
        <v>7.8</v>
      </c>
      <c r="N223">
        <v>1.1399999999999999</v>
      </c>
      <c r="O223">
        <v>5.38</v>
      </c>
      <c r="P223">
        <v>8.23</v>
      </c>
      <c r="Q223">
        <v>-2.1800000000000002</v>
      </c>
      <c r="R223">
        <v>7.64</v>
      </c>
      <c r="S223">
        <v>8.0399999999999991</v>
      </c>
      <c r="T223">
        <v>685055</v>
      </c>
      <c r="U223">
        <v>7.81</v>
      </c>
      <c r="V223">
        <v>7.81</v>
      </c>
      <c r="W223">
        <v>8.49</v>
      </c>
      <c r="X223" t="s">
        <v>868</v>
      </c>
      <c r="Y223" t="s">
        <v>432</v>
      </c>
      <c r="Z223">
        <v>7.55</v>
      </c>
      <c r="AA223">
        <v>7.96</v>
      </c>
      <c r="AB223">
        <v>362138</v>
      </c>
      <c r="AC223">
        <v>322917</v>
      </c>
      <c r="AD223">
        <v>1.1200000000000001</v>
      </c>
      <c r="AE223">
        <v>732</v>
      </c>
      <c r="AF223">
        <v>3218</v>
      </c>
      <c r="AG223" t="s">
        <v>120</v>
      </c>
      <c r="AH223">
        <v>0.08</v>
      </c>
      <c r="AI223" t="s">
        <v>120</v>
      </c>
      <c r="AJ223">
        <v>7.86</v>
      </c>
      <c r="AK223" t="s">
        <v>1629</v>
      </c>
      <c r="AL223">
        <v>1.79</v>
      </c>
      <c r="AM223">
        <v>4174</v>
      </c>
      <c r="AN223">
        <v>164</v>
      </c>
      <c r="AO223">
        <v>2.0999999999999999E-3</v>
      </c>
      <c r="AP223">
        <v>-1</v>
      </c>
      <c r="AQ223">
        <v>3.58</v>
      </c>
      <c r="AR223">
        <v>-0.38</v>
      </c>
      <c r="AS223">
        <v>18.54</v>
      </c>
      <c r="AT223">
        <v>18.72</v>
      </c>
      <c r="AU223">
        <v>68.83</v>
      </c>
      <c r="AV223">
        <v>9</v>
      </c>
      <c r="AW223">
        <v>11.1</v>
      </c>
      <c r="AX223">
        <v>75.319999999999993</v>
      </c>
      <c r="AY223">
        <v>6.89</v>
      </c>
      <c r="AZ223">
        <v>17.91</v>
      </c>
      <c r="BA223">
        <v>0.31</v>
      </c>
      <c r="BB223" t="s">
        <v>184</v>
      </c>
      <c r="BF223">
        <v>1.9</v>
      </c>
      <c r="BG223">
        <v>-2.99</v>
      </c>
      <c r="BH223">
        <v>-5.22</v>
      </c>
      <c r="BI223">
        <v>2.09</v>
      </c>
      <c r="BJ223">
        <v>20210825</v>
      </c>
      <c r="BK223">
        <v>19970220</v>
      </c>
      <c r="BL223">
        <v>8.1999999999999993</v>
      </c>
      <c r="BM223" t="s">
        <v>120</v>
      </c>
      <c r="BN223" t="s">
        <v>120</v>
      </c>
      <c r="BO223">
        <v>102.79</v>
      </c>
      <c r="BP223">
        <v>7.8</v>
      </c>
      <c r="BQ223">
        <v>43.83</v>
      </c>
      <c r="BR223">
        <v>0.09</v>
      </c>
      <c r="BS223">
        <v>57.27</v>
      </c>
      <c r="BT223">
        <v>50.63</v>
      </c>
      <c r="BU223">
        <v>33.32</v>
      </c>
      <c r="BV223">
        <v>7.91</v>
      </c>
      <c r="BW223">
        <v>50.92</v>
      </c>
      <c r="BX223">
        <v>16.010000000000002</v>
      </c>
      <c r="BY223">
        <v>8.98</v>
      </c>
      <c r="BZ223">
        <v>1.03</v>
      </c>
      <c r="CA223" t="s">
        <v>120</v>
      </c>
      <c r="CB223">
        <v>13.36</v>
      </c>
      <c r="CC223">
        <v>51.83</v>
      </c>
      <c r="CD223">
        <v>44.25</v>
      </c>
      <c r="CE223">
        <v>4.8099999999999996</v>
      </c>
      <c r="CF223">
        <v>0</v>
      </c>
      <c r="CG223">
        <v>4.84</v>
      </c>
      <c r="CH223">
        <v>3.77</v>
      </c>
      <c r="CI223">
        <v>3.76</v>
      </c>
      <c r="CJ223">
        <v>-0.01</v>
      </c>
      <c r="CK223">
        <v>3.67</v>
      </c>
      <c r="CL223">
        <v>18.829999999999998</v>
      </c>
      <c r="CM223">
        <v>9.6999999999999993</v>
      </c>
      <c r="CN223">
        <v>-1.25</v>
      </c>
      <c r="CO223">
        <v>65848</v>
      </c>
      <c r="CP223">
        <v>9374</v>
      </c>
      <c r="CQ223" t="s">
        <v>1630</v>
      </c>
      <c r="CR223">
        <v>292.19</v>
      </c>
      <c r="CS223">
        <v>58.41</v>
      </c>
      <c r="CT223">
        <v>1.46</v>
      </c>
      <c r="CU223">
        <v>6.59</v>
      </c>
      <c r="CV223">
        <v>1.23</v>
      </c>
      <c r="CW223">
        <v>1.1499999999999999</v>
      </c>
      <c r="CX223" t="s">
        <v>1631</v>
      </c>
      <c r="CY223">
        <v>5.35</v>
      </c>
      <c r="CZ223">
        <v>0</v>
      </c>
      <c r="DA223">
        <v>1.63</v>
      </c>
      <c r="DB223">
        <v>2.2999999999999998</v>
      </c>
      <c r="DC223">
        <v>1.18</v>
      </c>
      <c r="DD223">
        <v>42.64</v>
      </c>
      <c r="DE223" t="s">
        <v>1632</v>
      </c>
      <c r="DF223">
        <v>14.64</v>
      </c>
      <c r="DG223">
        <v>9.27</v>
      </c>
      <c r="DH223">
        <v>7.26</v>
      </c>
      <c r="DI223">
        <v>1.24</v>
      </c>
      <c r="DJ223">
        <v>2672</v>
      </c>
      <c r="DK223">
        <v>698</v>
      </c>
      <c r="DL223" t="s">
        <v>120</v>
      </c>
      <c r="DM223" t="s">
        <v>120</v>
      </c>
      <c r="DN223" t="s">
        <v>120</v>
      </c>
    </row>
    <row r="224" spans="1:118">
      <c r="A224" t="str">
        <f>"000700"</f>
        <v>000700</v>
      </c>
      <c r="B224" t="s">
        <v>1633</v>
      </c>
      <c r="C224">
        <v>-2.54</v>
      </c>
      <c r="D224">
        <v>0</v>
      </c>
      <c r="E224">
        <v>-0.36</v>
      </c>
      <c r="F224">
        <v>2851</v>
      </c>
      <c r="G224" t="s">
        <v>1634</v>
      </c>
      <c r="H224">
        <v>12086.16</v>
      </c>
      <c r="I224">
        <v>21.36</v>
      </c>
      <c r="J224" t="s">
        <v>120</v>
      </c>
      <c r="K224" t="s">
        <v>1635</v>
      </c>
      <c r="L224">
        <v>2.4</v>
      </c>
      <c r="M224">
        <v>5.37</v>
      </c>
      <c r="N224">
        <v>0.64</v>
      </c>
      <c r="O224">
        <v>1.0900000000000001</v>
      </c>
      <c r="P224">
        <v>5.57</v>
      </c>
      <c r="Q224">
        <v>-2.72</v>
      </c>
      <c r="R224">
        <v>5.36</v>
      </c>
      <c r="S224">
        <v>5.49</v>
      </c>
      <c r="T224">
        <v>220463</v>
      </c>
      <c r="U224">
        <v>5.37</v>
      </c>
      <c r="V224">
        <v>5.51</v>
      </c>
      <c r="W224">
        <v>13.37</v>
      </c>
      <c r="X224" t="s">
        <v>289</v>
      </c>
      <c r="Y224" t="s">
        <v>319</v>
      </c>
      <c r="Z224">
        <v>3.81</v>
      </c>
      <c r="AA224">
        <v>5.48</v>
      </c>
      <c r="AB224">
        <v>129125</v>
      </c>
      <c r="AC224">
        <v>91338</v>
      </c>
      <c r="AD224">
        <v>1.41</v>
      </c>
      <c r="AE224">
        <v>2207</v>
      </c>
      <c r="AF224">
        <v>343</v>
      </c>
      <c r="AG224" t="s">
        <v>120</v>
      </c>
      <c r="AH224">
        <v>0.01</v>
      </c>
      <c r="AI224" t="s">
        <v>120</v>
      </c>
      <c r="AJ224">
        <v>9.17</v>
      </c>
      <c r="AK224" t="s">
        <v>1635</v>
      </c>
      <c r="AL224">
        <v>-0.63</v>
      </c>
      <c r="AM224">
        <v>2927</v>
      </c>
      <c r="AN224">
        <v>75</v>
      </c>
      <c r="AO224">
        <v>8.0000000000000004E-4</v>
      </c>
      <c r="AP224">
        <v>-3</v>
      </c>
      <c r="AQ224">
        <v>-1.96</v>
      </c>
      <c r="AR224">
        <v>-13.95</v>
      </c>
      <c r="AS224">
        <v>-8.98</v>
      </c>
      <c r="AT224">
        <v>-3.28</v>
      </c>
      <c r="AU224">
        <v>2.63</v>
      </c>
      <c r="AV224">
        <v>5</v>
      </c>
      <c r="AW224">
        <v>3.87</v>
      </c>
      <c r="AX224">
        <v>62.15</v>
      </c>
      <c r="AY224">
        <v>16.079999999999998</v>
      </c>
      <c r="AZ224">
        <v>351.42</v>
      </c>
      <c r="BA224">
        <v>0.56999999999999995</v>
      </c>
      <c r="BB224" t="s">
        <v>143</v>
      </c>
      <c r="BF224">
        <v>-0.5</v>
      </c>
      <c r="BG224">
        <v>-2.19</v>
      </c>
      <c r="BH224">
        <v>-3.59</v>
      </c>
      <c r="BI224">
        <v>0.19</v>
      </c>
      <c r="BJ224">
        <v>20210907</v>
      </c>
      <c r="BK224">
        <v>19970228</v>
      </c>
      <c r="BL224">
        <v>9.17</v>
      </c>
      <c r="BM224" t="s">
        <v>120</v>
      </c>
      <c r="BN224" t="s">
        <v>120</v>
      </c>
      <c r="BO224">
        <v>86.46</v>
      </c>
      <c r="BP224">
        <v>5.36</v>
      </c>
      <c r="BQ224">
        <v>27.26</v>
      </c>
      <c r="BR224">
        <v>0.05</v>
      </c>
      <c r="BS224">
        <v>68.41</v>
      </c>
      <c r="BT224">
        <v>43.5</v>
      </c>
      <c r="BU224">
        <v>26.21</v>
      </c>
      <c r="BV224">
        <v>1.87</v>
      </c>
      <c r="BW224">
        <v>51.53</v>
      </c>
      <c r="BX224">
        <v>10.29</v>
      </c>
      <c r="BY224">
        <v>10.6</v>
      </c>
      <c r="BZ224">
        <v>12.51</v>
      </c>
      <c r="CA224">
        <v>0</v>
      </c>
      <c r="CB224">
        <v>6.41</v>
      </c>
      <c r="CC224">
        <v>36.369999999999997</v>
      </c>
      <c r="CD224">
        <v>29.74</v>
      </c>
      <c r="CE224">
        <v>2.2400000000000002</v>
      </c>
      <c r="CF224">
        <v>1.53</v>
      </c>
      <c r="CG224">
        <v>2.23</v>
      </c>
      <c r="CH224">
        <v>1.83</v>
      </c>
      <c r="CI224">
        <v>1.84</v>
      </c>
      <c r="CJ224">
        <v>-0.14000000000000001</v>
      </c>
      <c r="CK224">
        <v>1.62</v>
      </c>
      <c r="CL224">
        <v>11.44</v>
      </c>
      <c r="CM224">
        <v>2.79</v>
      </c>
      <c r="CN224">
        <v>1.08</v>
      </c>
      <c r="CO224">
        <v>68172</v>
      </c>
      <c r="CP224">
        <v>8360</v>
      </c>
      <c r="CQ224" t="s">
        <v>1636</v>
      </c>
      <c r="CR224">
        <v>259.22000000000003</v>
      </c>
      <c r="CS224">
        <v>56.65</v>
      </c>
      <c r="CT224">
        <v>1.82</v>
      </c>
      <c r="CU224">
        <v>17.63</v>
      </c>
      <c r="CV224">
        <v>1.35</v>
      </c>
      <c r="CW224">
        <v>3.96</v>
      </c>
      <c r="CX224" t="s">
        <v>1637</v>
      </c>
      <c r="CY224">
        <v>2.95</v>
      </c>
      <c r="CZ224">
        <v>2.95</v>
      </c>
      <c r="DA224">
        <v>0.7</v>
      </c>
      <c r="DB224">
        <v>1.25</v>
      </c>
      <c r="DC224">
        <v>0.3</v>
      </c>
      <c r="DD224">
        <v>31.53</v>
      </c>
      <c r="DE224" t="s">
        <v>1638</v>
      </c>
      <c r="DF224">
        <v>18.22</v>
      </c>
      <c r="DG224">
        <v>6.15</v>
      </c>
      <c r="DH224">
        <v>5.07</v>
      </c>
      <c r="DI224">
        <v>1.04</v>
      </c>
      <c r="DJ224">
        <v>5810</v>
      </c>
      <c r="DK224">
        <v>700</v>
      </c>
      <c r="DL224" t="s">
        <v>120</v>
      </c>
      <c r="DM224" t="s">
        <v>120</v>
      </c>
      <c r="DN224" t="s">
        <v>120</v>
      </c>
    </row>
    <row r="225" spans="1:118">
      <c r="A225" t="str">
        <f>"000701"</f>
        <v>000701</v>
      </c>
      <c r="B225" t="s">
        <v>1639</v>
      </c>
      <c r="C225">
        <v>-0.93</v>
      </c>
      <c r="D225">
        <v>0.19</v>
      </c>
      <c r="E225">
        <v>-0.56000000000000005</v>
      </c>
      <c r="F225">
        <v>216</v>
      </c>
      <c r="G225" t="s">
        <v>1640</v>
      </c>
      <c r="H225">
        <v>2721.77</v>
      </c>
      <c r="I225">
        <v>9.26</v>
      </c>
      <c r="J225" t="s">
        <v>120</v>
      </c>
      <c r="K225" t="s">
        <v>733</v>
      </c>
      <c r="L225">
        <v>1.24</v>
      </c>
      <c r="M225">
        <v>5.33</v>
      </c>
      <c r="N225">
        <v>1.18</v>
      </c>
      <c r="O225">
        <v>2.6</v>
      </c>
      <c r="P225">
        <v>5.52</v>
      </c>
      <c r="Q225">
        <v>-1.1200000000000001</v>
      </c>
      <c r="R225">
        <v>5.32</v>
      </c>
      <c r="S225">
        <v>5.35</v>
      </c>
      <c r="T225">
        <v>50283</v>
      </c>
      <c r="U225">
        <v>5.34</v>
      </c>
      <c r="V225">
        <v>5.38</v>
      </c>
      <c r="W225">
        <v>158.81</v>
      </c>
      <c r="X225" t="s">
        <v>166</v>
      </c>
      <c r="Y225" t="s">
        <v>937</v>
      </c>
      <c r="Z225">
        <v>3.72</v>
      </c>
      <c r="AA225">
        <v>5.41</v>
      </c>
      <c r="AB225">
        <v>23518</v>
      </c>
      <c r="AC225">
        <v>26765</v>
      </c>
      <c r="AD225">
        <v>0.88</v>
      </c>
      <c r="AE225">
        <v>12</v>
      </c>
      <c r="AF225">
        <v>132</v>
      </c>
      <c r="AG225" t="s">
        <v>120</v>
      </c>
      <c r="AH225">
        <v>0.01</v>
      </c>
      <c r="AI225" t="s">
        <v>120</v>
      </c>
      <c r="AJ225">
        <v>4.07</v>
      </c>
      <c r="AK225" t="s">
        <v>1641</v>
      </c>
      <c r="AL225">
        <v>0.98</v>
      </c>
      <c r="AM225">
        <v>1349</v>
      </c>
      <c r="AN225">
        <v>37</v>
      </c>
      <c r="AO225">
        <v>8.9999999999999998E-4</v>
      </c>
      <c r="AP225">
        <v>-1</v>
      </c>
      <c r="AQ225">
        <v>2.2799999999999998</v>
      </c>
      <c r="AR225">
        <v>-0.19</v>
      </c>
      <c r="AS225">
        <v>7.9</v>
      </c>
      <c r="AT225">
        <v>-1.84</v>
      </c>
      <c r="AU225">
        <v>4.51</v>
      </c>
      <c r="AV225">
        <v>1</v>
      </c>
      <c r="AW225">
        <v>1.77</v>
      </c>
      <c r="AX225">
        <v>52.77</v>
      </c>
      <c r="AY225">
        <v>215.44</v>
      </c>
      <c r="AZ225">
        <v>261.92</v>
      </c>
      <c r="BA225">
        <v>0.42</v>
      </c>
      <c r="BB225" t="s">
        <v>1103</v>
      </c>
      <c r="BF225">
        <v>0.61</v>
      </c>
      <c r="BG225">
        <v>-0.37</v>
      </c>
      <c r="BH225">
        <v>-3.44</v>
      </c>
      <c r="BI225">
        <v>0.19</v>
      </c>
      <c r="BJ225">
        <v>20210821</v>
      </c>
      <c r="BK225">
        <v>19970226</v>
      </c>
      <c r="BL225">
        <v>5.39</v>
      </c>
      <c r="BM225" t="s">
        <v>120</v>
      </c>
      <c r="BN225" t="s">
        <v>120</v>
      </c>
      <c r="BO225">
        <v>236.88</v>
      </c>
      <c r="BP225">
        <v>5.33</v>
      </c>
      <c r="BQ225">
        <v>25.7</v>
      </c>
      <c r="BR225">
        <v>9.32</v>
      </c>
      <c r="BS225">
        <v>85.22</v>
      </c>
      <c r="BT225">
        <v>182.75</v>
      </c>
      <c r="BU225">
        <v>15.43</v>
      </c>
      <c r="BV225">
        <v>2.15</v>
      </c>
      <c r="BW225">
        <v>179.6</v>
      </c>
      <c r="BX225">
        <v>21.67</v>
      </c>
      <c r="BY225">
        <v>53.18</v>
      </c>
      <c r="BZ225">
        <v>25.24</v>
      </c>
      <c r="CA225">
        <v>0.02</v>
      </c>
      <c r="CB225">
        <v>22.15</v>
      </c>
      <c r="CC225">
        <v>491.34</v>
      </c>
      <c r="CD225">
        <v>481.66</v>
      </c>
      <c r="CE225">
        <v>0.86</v>
      </c>
      <c r="CF225">
        <v>-1.7</v>
      </c>
      <c r="CG225">
        <v>0.87</v>
      </c>
      <c r="CH225">
        <v>0.4</v>
      </c>
      <c r="CI225">
        <v>0.09</v>
      </c>
      <c r="CJ225">
        <v>-0.05</v>
      </c>
      <c r="CK225">
        <v>0.87</v>
      </c>
      <c r="CL225">
        <v>-22.65</v>
      </c>
      <c r="CM225">
        <v>-41.26</v>
      </c>
      <c r="CN225">
        <v>3.74</v>
      </c>
      <c r="CO225">
        <v>32901</v>
      </c>
      <c r="CP225">
        <v>8646</v>
      </c>
      <c r="CQ225" t="s">
        <v>1642</v>
      </c>
      <c r="CR225">
        <v>35.880000000000003</v>
      </c>
      <c r="CS225">
        <v>53.4</v>
      </c>
      <c r="CT225">
        <v>5.04</v>
      </c>
      <c r="CU225">
        <v>-0.7</v>
      </c>
      <c r="CV225">
        <v>0.06</v>
      </c>
      <c r="CW225">
        <v>0</v>
      </c>
      <c r="CX225" t="s">
        <v>1643</v>
      </c>
      <c r="CY225">
        <v>1.06</v>
      </c>
      <c r="CZ225">
        <v>1.06</v>
      </c>
      <c r="DA225">
        <v>4.1100000000000003</v>
      </c>
      <c r="DB225">
        <v>-4.2</v>
      </c>
      <c r="DC225">
        <v>-7.65</v>
      </c>
      <c r="DD225">
        <v>10.85</v>
      </c>
      <c r="DE225" t="s">
        <v>1644</v>
      </c>
      <c r="DF225">
        <v>1.97</v>
      </c>
      <c r="DG225">
        <v>0.17</v>
      </c>
      <c r="DH225">
        <v>0.02</v>
      </c>
      <c r="DI225">
        <v>0.25</v>
      </c>
      <c r="DJ225">
        <v>5354</v>
      </c>
      <c r="DK225">
        <v>701</v>
      </c>
      <c r="DL225" t="s">
        <v>120</v>
      </c>
      <c r="DM225" t="s">
        <v>120</v>
      </c>
      <c r="DN225" t="s">
        <v>120</v>
      </c>
    </row>
    <row r="226" spans="1:118">
      <c r="A226" t="str">
        <f>"000702"</f>
        <v>000702</v>
      </c>
      <c r="B226" t="s">
        <v>1645</v>
      </c>
      <c r="C226">
        <v>1.07</v>
      </c>
      <c r="D226">
        <v>0.21</v>
      </c>
      <c r="E226">
        <v>-0.21</v>
      </c>
      <c r="F226">
        <v>303</v>
      </c>
      <c r="G226" t="s">
        <v>1646</v>
      </c>
      <c r="H226">
        <v>2581.67</v>
      </c>
      <c r="I226">
        <v>2.19</v>
      </c>
      <c r="J226" t="s">
        <v>120</v>
      </c>
      <c r="K226" t="s">
        <v>1647</v>
      </c>
      <c r="L226">
        <v>2.0299999999999998</v>
      </c>
      <c r="M226">
        <v>4.7300000000000004</v>
      </c>
      <c r="N226">
        <v>1.82</v>
      </c>
      <c r="O226">
        <v>2.99</v>
      </c>
      <c r="P226">
        <v>4.82</v>
      </c>
      <c r="Q226">
        <v>-0.43</v>
      </c>
      <c r="R226">
        <v>4.66</v>
      </c>
      <c r="S226">
        <v>4.67</v>
      </c>
      <c r="T226">
        <v>54244</v>
      </c>
      <c r="U226">
        <v>4.7300000000000004</v>
      </c>
      <c r="V226">
        <v>4.68</v>
      </c>
      <c r="W226" t="s">
        <v>120</v>
      </c>
      <c r="X226" t="s">
        <v>386</v>
      </c>
      <c r="Y226" t="s">
        <v>594</v>
      </c>
      <c r="Z226">
        <v>3.42</v>
      </c>
      <c r="AA226">
        <v>4.76</v>
      </c>
      <c r="AB226">
        <v>19425</v>
      </c>
      <c r="AC226">
        <v>34819</v>
      </c>
      <c r="AD226">
        <v>0.56000000000000005</v>
      </c>
      <c r="AE226">
        <v>381</v>
      </c>
      <c r="AF226">
        <v>430</v>
      </c>
      <c r="AG226" t="s">
        <v>120</v>
      </c>
      <c r="AH226">
        <v>0</v>
      </c>
      <c r="AI226" t="s">
        <v>120</v>
      </c>
      <c r="AJ226">
        <v>2.67</v>
      </c>
      <c r="AK226" t="s">
        <v>1647</v>
      </c>
      <c r="AL226">
        <v>2.98</v>
      </c>
      <c r="AM226">
        <v>1526</v>
      </c>
      <c r="AN226">
        <v>36</v>
      </c>
      <c r="AO226">
        <v>1.2999999999999999E-3</v>
      </c>
      <c r="AP226">
        <v>2</v>
      </c>
      <c r="AQ226">
        <v>1.08</v>
      </c>
      <c r="AR226">
        <v>-0.21</v>
      </c>
      <c r="AS226">
        <v>7.25</v>
      </c>
      <c r="AT226">
        <v>-3.27</v>
      </c>
      <c r="AU226">
        <v>-19</v>
      </c>
      <c r="AV226">
        <v>0</v>
      </c>
      <c r="AW226">
        <v>2.72</v>
      </c>
      <c r="AX226">
        <v>74.87</v>
      </c>
      <c r="AY226" t="s">
        <v>120</v>
      </c>
      <c r="AZ226">
        <v>37.21</v>
      </c>
      <c r="BA226">
        <v>0.51</v>
      </c>
      <c r="BB226" t="s">
        <v>143</v>
      </c>
      <c r="BF226">
        <v>1.7</v>
      </c>
      <c r="BG226">
        <v>1.28</v>
      </c>
      <c r="BH226">
        <v>-1.87</v>
      </c>
      <c r="BI226">
        <v>1.5</v>
      </c>
      <c r="BJ226">
        <v>20210827</v>
      </c>
      <c r="BK226">
        <v>19970318</v>
      </c>
      <c r="BL226">
        <v>2.67</v>
      </c>
      <c r="BM226" t="s">
        <v>120</v>
      </c>
      <c r="BN226" t="s">
        <v>120</v>
      </c>
      <c r="BO226">
        <v>11.21</v>
      </c>
      <c r="BP226">
        <v>4.72</v>
      </c>
      <c r="BQ226">
        <v>4.82</v>
      </c>
      <c r="BR226">
        <v>-0.03</v>
      </c>
      <c r="BS226">
        <v>57.27</v>
      </c>
      <c r="BT226">
        <v>5.22</v>
      </c>
      <c r="BU226">
        <v>2.65</v>
      </c>
      <c r="BV226">
        <v>0.28000000000000003</v>
      </c>
      <c r="BW226">
        <v>5.6</v>
      </c>
      <c r="BX226">
        <v>1.3</v>
      </c>
      <c r="BY226">
        <v>3.48</v>
      </c>
      <c r="BZ226">
        <v>0.05</v>
      </c>
      <c r="CA226">
        <v>0</v>
      </c>
      <c r="CB226">
        <v>1.82</v>
      </c>
      <c r="CC226">
        <v>7.2</v>
      </c>
      <c r="CD226">
        <v>6.9</v>
      </c>
      <c r="CE226">
        <v>-1.25</v>
      </c>
      <c r="CF226">
        <v>0.06</v>
      </c>
      <c r="CG226">
        <v>-1.36</v>
      </c>
      <c r="CH226">
        <v>-1.37</v>
      </c>
      <c r="CI226">
        <v>-0.94</v>
      </c>
      <c r="CJ226">
        <v>0.05</v>
      </c>
      <c r="CK226">
        <v>-0.97</v>
      </c>
      <c r="CL226">
        <v>-0.28999999999999998</v>
      </c>
      <c r="CM226">
        <v>-1.46</v>
      </c>
      <c r="CN226">
        <v>0.65</v>
      </c>
      <c r="CO226">
        <v>29700</v>
      </c>
      <c r="CP226">
        <v>6721</v>
      </c>
      <c r="CQ226" t="s">
        <v>1648</v>
      </c>
      <c r="CR226">
        <v>-6372.28</v>
      </c>
      <c r="CS226">
        <v>76.180000000000007</v>
      </c>
      <c r="CT226">
        <v>2.62</v>
      </c>
      <c r="CU226">
        <v>-8.65</v>
      </c>
      <c r="CV226">
        <v>1.75</v>
      </c>
      <c r="CW226">
        <v>0</v>
      </c>
      <c r="CX226" t="s">
        <v>1649</v>
      </c>
      <c r="CY226">
        <v>1.81</v>
      </c>
      <c r="CZ226">
        <v>0</v>
      </c>
      <c r="DA226">
        <v>0.68</v>
      </c>
      <c r="DB226">
        <v>-0.11</v>
      </c>
      <c r="DC226">
        <v>-0.55000000000000004</v>
      </c>
      <c r="DD226">
        <v>42.98</v>
      </c>
      <c r="DE226" t="s">
        <v>1650</v>
      </c>
      <c r="DF226">
        <v>4.1900000000000004</v>
      </c>
      <c r="DG226">
        <v>-17.309999999999999</v>
      </c>
      <c r="DH226">
        <v>-13.1</v>
      </c>
      <c r="DI226">
        <v>0.02</v>
      </c>
      <c r="DJ226">
        <v>1268</v>
      </c>
      <c r="DK226">
        <v>702</v>
      </c>
      <c r="DL226" t="s">
        <v>120</v>
      </c>
      <c r="DM226" t="s">
        <v>120</v>
      </c>
      <c r="DN226" t="s">
        <v>120</v>
      </c>
    </row>
    <row r="227" spans="1:118">
      <c r="A227" t="str">
        <f>"000703"</f>
        <v>000703</v>
      </c>
      <c r="B227" t="s">
        <v>1651</v>
      </c>
      <c r="C227">
        <v>2.78</v>
      </c>
      <c r="D227">
        <v>-7.0000000000000007E-2</v>
      </c>
      <c r="E227">
        <v>0.71</v>
      </c>
      <c r="F227">
        <v>15031</v>
      </c>
      <c r="G227" t="s">
        <v>1652</v>
      </c>
      <c r="H227">
        <v>124181.37</v>
      </c>
      <c r="I227">
        <v>372.07</v>
      </c>
      <c r="J227" t="s">
        <v>120</v>
      </c>
      <c r="K227" t="s">
        <v>1653</v>
      </c>
      <c r="L227">
        <v>2.86</v>
      </c>
      <c r="M227">
        <v>12.95</v>
      </c>
      <c r="N227">
        <v>1.5</v>
      </c>
      <c r="O227">
        <v>3.89</v>
      </c>
      <c r="P227">
        <v>13.09</v>
      </c>
      <c r="Q227">
        <v>-0.95</v>
      </c>
      <c r="R227">
        <v>12.48</v>
      </c>
      <c r="S227">
        <v>12.69</v>
      </c>
      <c r="T227">
        <v>968837</v>
      </c>
      <c r="U227">
        <v>12.95</v>
      </c>
      <c r="V227">
        <v>12.6</v>
      </c>
      <c r="W227">
        <v>10.62</v>
      </c>
      <c r="X227" t="s">
        <v>623</v>
      </c>
      <c r="Y227" t="s">
        <v>945</v>
      </c>
      <c r="Z227">
        <v>4.84</v>
      </c>
      <c r="AA227">
        <v>12.82</v>
      </c>
      <c r="AB227">
        <v>425310</v>
      </c>
      <c r="AC227">
        <v>543527</v>
      </c>
      <c r="AD227">
        <v>0.78</v>
      </c>
      <c r="AE227">
        <v>751</v>
      </c>
      <c r="AF227">
        <v>1114</v>
      </c>
      <c r="AG227" t="s">
        <v>120</v>
      </c>
      <c r="AH227">
        <v>0.02</v>
      </c>
      <c r="AI227" t="s">
        <v>120</v>
      </c>
      <c r="AJ227">
        <v>33.880000000000003</v>
      </c>
      <c r="AK227" t="s">
        <v>1654</v>
      </c>
      <c r="AL227">
        <v>4.6900000000000004</v>
      </c>
      <c r="AM227">
        <v>4458</v>
      </c>
      <c r="AN227">
        <v>217</v>
      </c>
      <c r="AO227">
        <v>5.9999999999999995E-4</v>
      </c>
      <c r="AP227">
        <v>2</v>
      </c>
      <c r="AQ227">
        <v>0.64</v>
      </c>
      <c r="AR227">
        <v>3.35</v>
      </c>
      <c r="AS227">
        <v>12.71</v>
      </c>
      <c r="AT227">
        <v>11.26</v>
      </c>
      <c r="AU227">
        <v>3.6</v>
      </c>
      <c r="AV227">
        <v>0</v>
      </c>
      <c r="AW227">
        <v>5.27</v>
      </c>
      <c r="AX227">
        <v>50.1</v>
      </c>
      <c r="AY227">
        <v>13.6</v>
      </c>
      <c r="AZ227">
        <v>15.04</v>
      </c>
      <c r="BA227">
        <v>0.4</v>
      </c>
      <c r="BB227" t="s">
        <v>1103</v>
      </c>
      <c r="BF227">
        <v>1.73</v>
      </c>
      <c r="BG227">
        <v>2.0499999999999998</v>
      </c>
      <c r="BH227">
        <v>-1.07</v>
      </c>
      <c r="BI227">
        <v>3.77</v>
      </c>
      <c r="BJ227">
        <v>20210825</v>
      </c>
      <c r="BK227">
        <v>19970328</v>
      </c>
      <c r="BL227">
        <v>36.659999999999997</v>
      </c>
      <c r="BM227" t="s">
        <v>120</v>
      </c>
      <c r="BN227" t="s">
        <v>120</v>
      </c>
      <c r="BO227">
        <v>1059.08</v>
      </c>
      <c r="BP227">
        <v>12.94</v>
      </c>
      <c r="BQ227">
        <v>262.19</v>
      </c>
      <c r="BR227">
        <v>69.31</v>
      </c>
      <c r="BS227">
        <v>68.7</v>
      </c>
      <c r="BT227">
        <v>395.29</v>
      </c>
      <c r="BU227">
        <v>427.18</v>
      </c>
      <c r="BV227">
        <v>17.62</v>
      </c>
      <c r="BW227">
        <v>522.69000000000005</v>
      </c>
      <c r="BX227">
        <v>132.82</v>
      </c>
      <c r="BY227">
        <v>149.71</v>
      </c>
      <c r="BZ227">
        <v>49.16</v>
      </c>
      <c r="CA227" t="s">
        <v>120</v>
      </c>
      <c r="CB227">
        <v>91.65</v>
      </c>
      <c r="CC227">
        <v>609.23</v>
      </c>
      <c r="CD227">
        <v>564.53</v>
      </c>
      <c r="CE227">
        <v>29.45</v>
      </c>
      <c r="CF227">
        <v>4.2300000000000004</v>
      </c>
      <c r="CG227">
        <v>29.59</v>
      </c>
      <c r="CH227">
        <v>26.47</v>
      </c>
      <c r="CI227">
        <v>22.34</v>
      </c>
      <c r="CJ227">
        <v>0.35</v>
      </c>
      <c r="CK227">
        <v>20.45</v>
      </c>
      <c r="CL227">
        <v>136.34</v>
      </c>
      <c r="CM227">
        <v>17.600000000000001</v>
      </c>
      <c r="CN227">
        <v>15.1</v>
      </c>
      <c r="CO227">
        <v>60834</v>
      </c>
      <c r="CP227">
        <v>30192</v>
      </c>
      <c r="CQ227" t="s">
        <v>1655</v>
      </c>
      <c r="CR227">
        <v>16.95</v>
      </c>
      <c r="CS227">
        <v>54.57</v>
      </c>
      <c r="CT227">
        <v>1.85</v>
      </c>
      <c r="CU227">
        <v>26.98</v>
      </c>
      <c r="CV227">
        <v>0.78</v>
      </c>
      <c r="CW227">
        <v>2.37</v>
      </c>
      <c r="CX227" t="s">
        <v>1656</v>
      </c>
      <c r="CY227">
        <v>6.99</v>
      </c>
      <c r="CZ227">
        <v>6.99</v>
      </c>
      <c r="DA227">
        <v>2.5</v>
      </c>
      <c r="DB227">
        <v>3.72</v>
      </c>
      <c r="DC227">
        <v>0.48</v>
      </c>
      <c r="DD227">
        <v>24.76</v>
      </c>
      <c r="DE227" t="s">
        <v>1657</v>
      </c>
      <c r="DF227">
        <v>7.34</v>
      </c>
      <c r="DG227">
        <v>4.83</v>
      </c>
      <c r="DH227">
        <v>3.67</v>
      </c>
      <c r="DI227">
        <v>3.5</v>
      </c>
      <c r="DJ227">
        <v>18154</v>
      </c>
      <c r="DK227">
        <v>703</v>
      </c>
      <c r="DL227" t="s">
        <v>120</v>
      </c>
      <c r="DM227" t="s">
        <v>120</v>
      </c>
      <c r="DN227" t="s">
        <v>120</v>
      </c>
    </row>
    <row r="228" spans="1:118">
      <c r="A228" t="str">
        <f>"000705"</f>
        <v>000705</v>
      </c>
      <c r="B228" t="s">
        <v>1658</v>
      </c>
      <c r="C228">
        <v>-2.0099999999999998</v>
      </c>
      <c r="D228">
        <v>-0.12</v>
      </c>
      <c r="E228">
        <v>0.13</v>
      </c>
      <c r="F228">
        <v>72</v>
      </c>
      <c r="G228" t="s">
        <v>1659</v>
      </c>
      <c r="H228">
        <v>4126.46</v>
      </c>
      <c r="I228">
        <v>0.8</v>
      </c>
      <c r="J228" t="s">
        <v>120</v>
      </c>
      <c r="K228" t="s">
        <v>1660</v>
      </c>
      <c r="L228">
        <v>1.85</v>
      </c>
      <c r="M228">
        <v>7.8</v>
      </c>
      <c r="N228">
        <v>1.02</v>
      </c>
      <c r="O228">
        <v>1.01</v>
      </c>
      <c r="P228">
        <v>8.0399999999999991</v>
      </c>
      <c r="Q228">
        <v>-2.39</v>
      </c>
      <c r="R228">
        <v>7.77</v>
      </c>
      <c r="S228">
        <v>7.97</v>
      </c>
      <c r="T228">
        <v>52075</v>
      </c>
      <c r="U228">
        <v>7.81</v>
      </c>
      <c r="V228">
        <v>7.96</v>
      </c>
      <c r="W228">
        <v>29.6</v>
      </c>
      <c r="X228" t="s">
        <v>274</v>
      </c>
      <c r="Y228" t="s">
        <v>585</v>
      </c>
      <c r="Z228">
        <v>3.39</v>
      </c>
      <c r="AA228">
        <v>7.92</v>
      </c>
      <c r="AB228">
        <v>27052</v>
      </c>
      <c r="AC228">
        <v>25023</v>
      </c>
      <c r="AD228">
        <v>1.08</v>
      </c>
      <c r="AE228">
        <v>54</v>
      </c>
      <c r="AF228">
        <v>138</v>
      </c>
      <c r="AG228" t="s">
        <v>120</v>
      </c>
      <c r="AH228">
        <v>0</v>
      </c>
      <c r="AI228" t="s">
        <v>120</v>
      </c>
      <c r="AJ228">
        <v>2.82</v>
      </c>
      <c r="AK228" t="s">
        <v>1661</v>
      </c>
      <c r="AL228">
        <v>-0.1</v>
      </c>
      <c r="AM228">
        <v>1594</v>
      </c>
      <c r="AN228">
        <v>33</v>
      </c>
      <c r="AO228">
        <v>1.1999999999999999E-3</v>
      </c>
      <c r="AP228">
        <v>-3</v>
      </c>
      <c r="AQ228">
        <v>-0.13</v>
      </c>
      <c r="AR228">
        <v>-4.7699999999999996</v>
      </c>
      <c r="AS228">
        <v>6.12</v>
      </c>
      <c r="AT228">
        <v>11.27</v>
      </c>
      <c r="AU228">
        <v>8.48</v>
      </c>
      <c r="AV228">
        <v>1</v>
      </c>
      <c r="AW228">
        <v>2.08</v>
      </c>
      <c r="AX228">
        <v>75.05</v>
      </c>
      <c r="AY228">
        <v>30.93</v>
      </c>
      <c r="AZ228">
        <v>29.75</v>
      </c>
      <c r="BA228">
        <v>0.44</v>
      </c>
      <c r="BB228" t="s">
        <v>143</v>
      </c>
      <c r="BF228">
        <v>-0.45</v>
      </c>
      <c r="BG228">
        <v>-2.13</v>
      </c>
      <c r="BH228">
        <v>-2.99</v>
      </c>
      <c r="BI228">
        <v>0.39</v>
      </c>
      <c r="BJ228">
        <v>20210805</v>
      </c>
      <c r="BK228">
        <v>19970410</v>
      </c>
      <c r="BL228">
        <v>3.34</v>
      </c>
      <c r="BM228" t="s">
        <v>120</v>
      </c>
      <c r="BN228" t="s">
        <v>120</v>
      </c>
      <c r="BO228">
        <v>27.33</v>
      </c>
      <c r="BP228">
        <v>7.8</v>
      </c>
      <c r="BQ228">
        <v>18.309999999999999</v>
      </c>
      <c r="BR228">
        <v>0.18</v>
      </c>
      <c r="BS228">
        <v>32.36</v>
      </c>
      <c r="BT228">
        <v>16.579999999999998</v>
      </c>
      <c r="BU228">
        <v>4.5999999999999996</v>
      </c>
      <c r="BV228">
        <v>0.54</v>
      </c>
      <c r="BW228">
        <v>7.18</v>
      </c>
      <c r="BX228">
        <v>2.4900000000000002</v>
      </c>
      <c r="BY228">
        <v>5.83</v>
      </c>
      <c r="BZ228">
        <v>4.97</v>
      </c>
      <c r="CA228">
        <v>0.04</v>
      </c>
      <c r="CB228">
        <v>5.33</v>
      </c>
      <c r="CC228">
        <v>17.3</v>
      </c>
      <c r="CD228">
        <v>13.79</v>
      </c>
      <c r="CE228">
        <v>0.56999999999999995</v>
      </c>
      <c r="CF228">
        <v>0.04</v>
      </c>
      <c r="CG228">
        <v>0.56999999999999995</v>
      </c>
      <c r="CH228">
        <v>0.46</v>
      </c>
      <c r="CI228">
        <v>0.44</v>
      </c>
      <c r="CJ228">
        <v>-0.16</v>
      </c>
      <c r="CK228">
        <v>0.36</v>
      </c>
      <c r="CL228">
        <v>7.39</v>
      </c>
      <c r="CM228">
        <v>-1.23</v>
      </c>
      <c r="CN228">
        <v>-2.5499999999999998</v>
      </c>
      <c r="CO228">
        <v>26492</v>
      </c>
      <c r="CP228">
        <v>9465</v>
      </c>
      <c r="CQ228" t="s">
        <v>1662</v>
      </c>
      <c r="CR228">
        <v>-7.2</v>
      </c>
      <c r="CS228">
        <v>7.33</v>
      </c>
      <c r="CT228">
        <v>1.42</v>
      </c>
      <c r="CU228">
        <v>-21.14</v>
      </c>
      <c r="CV228">
        <v>1.51</v>
      </c>
      <c r="CW228">
        <v>0.88</v>
      </c>
      <c r="CX228" t="s">
        <v>1663</v>
      </c>
      <c r="CY228">
        <v>5.48</v>
      </c>
      <c r="CZ228">
        <v>0</v>
      </c>
      <c r="DA228">
        <v>1.6</v>
      </c>
      <c r="DB228">
        <v>2.21</v>
      </c>
      <c r="DC228">
        <v>-0.37</v>
      </c>
      <c r="DD228">
        <v>66.989999999999995</v>
      </c>
      <c r="DE228" t="s">
        <v>507</v>
      </c>
      <c r="DF228">
        <v>20.260000000000002</v>
      </c>
      <c r="DG228">
        <v>3.31</v>
      </c>
      <c r="DH228">
        <v>2.5499999999999998</v>
      </c>
      <c r="DI228">
        <v>0.14000000000000001</v>
      </c>
      <c r="DJ228">
        <v>1938</v>
      </c>
      <c r="DK228">
        <v>705</v>
      </c>
      <c r="DL228" t="s">
        <v>120</v>
      </c>
      <c r="DM228" t="s">
        <v>120</v>
      </c>
      <c r="DN228" t="s">
        <v>120</v>
      </c>
    </row>
    <row r="229" spans="1:118">
      <c r="A229" t="str">
        <f>"000708"</f>
        <v>000708</v>
      </c>
      <c r="B229" t="s">
        <v>1664</v>
      </c>
      <c r="C229">
        <v>-1.25</v>
      </c>
      <c r="D229">
        <v>0.08</v>
      </c>
      <c r="E229">
        <v>2.1</v>
      </c>
      <c r="F229">
        <v>1230</v>
      </c>
      <c r="G229" t="s">
        <v>1665</v>
      </c>
      <c r="H229">
        <v>22211.42</v>
      </c>
      <c r="I229">
        <v>105.36</v>
      </c>
      <c r="J229" t="s">
        <v>120</v>
      </c>
      <c r="K229" t="s">
        <v>1666</v>
      </c>
      <c r="L229">
        <v>0.69</v>
      </c>
      <c r="M229">
        <v>25.35</v>
      </c>
      <c r="N229">
        <v>0.59</v>
      </c>
      <c r="O229">
        <v>2.69</v>
      </c>
      <c r="P229">
        <v>26.36</v>
      </c>
      <c r="Q229">
        <v>-2.4500000000000002</v>
      </c>
      <c r="R229">
        <v>25.04</v>
      </c>
      <c r="S229">
        <v>26.21</v>
      </c>
      <c r="T229">
        <v>86299</v>
      </c>
      <c r="U229">
        <v>25.38</v>
      </c>
      <c r="V229">
        <v>25.67</v>
      </c>
      <c r="W229">
        <v>15.28</v>
      </c>
      <c r="X229" t="s">
        <v>1667</v>
      </c>
      <c r="Y229" t="s">
        <v>763</v>
      </c>
      <c r="Z229">
        <v>5.14</v>
      </c>
      <c r="AA229">
        <v>25.74</v>
      </c>
      <c r="AB229">
        <v>47573</v>
      </c>
      <c r="AC229">
        <v>38726</v>
      </c>
      <c r="AD229">
        <v>1.23</v>
      </c>
      <c r="AE229">
        <v>22</v>
      </c>
      <c r="AF229">
        <v>12</v>
      </c>
      <c r="AG229" t="s">
        <v>120</v>
      </c>
      <c r="AH229">
        <v>0</v>
      </c>
      <c r="AI229" t="s">
        <v>120</v>
      </c>
      <c r="AJ229">
        <v>12.59</v>
      </c>
      <c r="AK229" t="s">
        <v>1668</v>
      </c>
      <c r="AL229">
        <v>0.67</v>
      </c>
      <c r="AM229">
        <v>3363</v>
      </c>
      <c r="AN229">
        <v>26</v>
      </c>
      <c r="AO229">
        <v>2.0000000000000001E-4</v>
      </c>
      <c r="AP229">
        <v>-3</v>
      </c>
      <c r="AQ229">
        <v>-2.4</v>
      </c>
      <c r="AR229">
        <v>-7.39</v>
      </c>
      <c r="AS229">
        <v>2.34</v>
      </c>
      <c r="AT229">
        <v>15.43</v>
      </c>
      <c r="AU229">
        <v>20.2</v>
      </c>
      <c r="AV229">
        <v>3</v>
      </c>
      <c r="AW229">
        <v>1.06</v>
      </c>
      <c r="AX229">
        <v>16.149999999999999</v>
      </c>
      <c r="AY229">
        <v>17.36</v>
      </c>
      <c r="AZ229">
        <v>21.51</v>
      </c>
      <c r="BA229">
        <v>0.7</v>
      </c>
      <c r="BB229" t="s">
        <v>143</v>
      </c>
      <c r="BF229">
        <v>0.26</v>
      </c>
      <c r="BG229">
        <v>-3.28</v>
      </c>
      <c r="BH229">
        <v>-3.83</v>
      </c>
      <c r="BI229">
        <v>1.24</v>
      </c>
      <c r="BJ229">
        <v>20210817</v>
      </c>
      <c r="BK229">
        <v>19970326</v>
      </c>
      <c r="BL229">
        <v>50.47</v>
      </c>
      <c r="BM229" t="s">
        <v>120</v>
      </c>
      <c r="BN229" t="s">
        <v>120</v>
      </c>
      <c r="BO229">
        <v>826.86</v>
      </c>
      <c r="BP229">
        <v>25.35</v>
      </c>
      <c r="BQ229">
        <v>290.64</v>
      </c>
      <c r="BR229">
        <v>0.11</v>
      </c>
      <c r="BS229">
        <v>64.84</v>
      </c>
      <c r="BT229">
        <v>332.76</v>
      </c>
      <c r="BU229">
        <v>330.58</v>
      </c>
      <c r="BV229">
        <v>43.4</v>
      </c>
      <c r="BW229">
        <v>399.03</v>
      </c>
      <c r="BX229">
        <v>48.01</v>
      </c>
      <c r="BY229">
        <v>105.02</v>
      </c>
      <c r="BZ229">
        <v>27.16</v>
      </c>
      <c r="CA229" t="s">
        <v>120</v>
      </c>
      <c r="CB229">
        <v>91.97</v>
      </c>
      <c r="CC229">
        <v>490.87</v>
      </c>
      <c r="CD229">
        <v>404.75</v>
      </c>
      <c r="CE229">
        <v>50.09</v>
      </c>
      <c r="CF229">
        <v>-1.8</v>
      </c>
      <c r="CG229">
        <v>50.27</v>
      </c>
      <c r="CH229">
        <v>41.89</v>
      </c>
      <c r="CI229">
        <v>41.88</v>
      </c>
      <c r="CJ229">
        <v>-0.32</v>
      </c>
      <c r="CK229">
        <v>41.42</v>
      </c>
      <c r="CL229">
        <v>136.71</v>
      </c>
      <c r="CM229">
        <v>31.26</v>
      </c>
      <c r="CN229">
        <v>-40.74</v>
      </c>
      <c r="CO229">
        <v>29381</v>
      </c>
      <c r="CP229">
        <v>27741</v>
      </c>
      <c r="CQ229" t="s">
        <v>1669</v>
      </c>
      <c r="CR229">
        <v>52.29</v>
      </c>
      <c r="CS229">
        <v>34.83</v>
      </c>
      <c r="CT229">
        <v>4.4000000000000004</v>
      </c>
      <c r="CU229">
        <v>40.93</v>
      </c>
      <c r="CV229">
        <v>2.61</v>
      </c>
      <c r="CW229">
        <v>2.73</v>
      </c>
      <c r="CX229" t="s">
        <v>655</v>
      </c>
      <c r="CY229">
        <v>5.76</v>
      </c>
      <c r="CZ229">
        <v>0</v>
      </c>
      <c r="DA229">
        <v>1.82</v>
      </c>
      <c r="DB229">
        <v>2.71</v>
      </c>
      <c r="DC229">
        <v>0.62</v>
      </c>
      <c r="DD229">
        <v>35.15</v>
      </c>
      <c r="DE229" t="s">
        <v>1670</v>
      </c>
      <c r="DF229">
        <v>17.54</v>
      </c>
      <c r="DG229">
        <v>10.199999999999999</v>
      </c>
      <c r="DH229">
        <v>8.5299999999999994</v>
      </c>
      <c r="DI229">
        <v>17.48</v>
      </c>
      <c r="DJ229">
        <v>22753</v>
      </c>
      <c r="DK229">
        <v>708</v>
      </c>
      <c r="DL229" t="s">
        <v>120</v>
      </c>
      <c r="DM229" t="s">
        <v>120</v>
      </c>
      <c r="DN229" t="s">
        <v>120</v>
      </c>
    </row>
    <row r="230" spans="1:118">
      <c r="A230" t="str">
        <f>"000709"</f>
        <v>000709</v>
      </c>
      <c r="B230" t="s">
        <v>1671</v>
      </c>
      <c r="C230">
        <v>-0.61</v>
      </c>
      <c r="D230">
        <v>0</v>
      </c>
      <c r="E230">
        <v>2.13</v>
      </c>
      <c r="F230">
        <v>18438</v>
      </c>
      <c r="G230" t="s">
        <v>1672</v>
      </c>
      <c r="H230">
        <v>36636.26</v>
      </c>
      <c r="I230">
        <v>686.72</v>
      </c>
      <c r="J230" t="s">
        <v>120</v>
      </c>
      <c r="K230" t="s">
        <v>1673</v>
      </c>
      <c r="L230">
        <v>1.04</v>
      </c>
      <c r="M230">
        <v>3.26</v>
      </c>
      <c r="N230">
        <v>0.8</v>
      </c>
      <c r="O230">
        <v>3.35</v>
      </c>
      <c r="P230">
        <v>3.39</v>
      </c>
      <c r="Q230">
        <v>-1.22</v>
      </c>
      <c r="R230">
        <v>3.24</v>
      </c>
      <c r="S230">
        <v>3.35</v>
      </c>
      <c r="T230">
        <v>1100373</v>
      </c>
      <c r="U230">
        <v>3.27</v>
      </c>
      <c r="V230">
        <v>3.28</v>
      </c>
      <c r="W230">
        <v>11.38</v>
      </c>
      <c r="X230" t="s">
        <v>1460</v>
      </c>
      <c r="Y230" t="s">
        <v>602</v>
      </c>
      <c r="Z230">
        <v>4.57</v>
      </c>
      <c r="AA230">
        <v>3.33</v>
      </c>
      <c r="AB230">
        <v>557529</v>
      </c>
      <c r="AC230">
        <v>542844</v>
      </c>
      <c r="AD230">
        <v>1.03</v>
      </c>
      <c r="AE230">
        <v>337</v>
      </c>
      <c r="AF230">
        <v>3493</v>
      </c>
      <c r="AG230" t="s">
        <v>120</v>
      </c>
      <c r="AH230">
        <v>0.05</v>
      </c>
      <c r="AI230" t="s">
        <v>120</v>
      </c>
      <c r="AJ230">
        <v>106.17</v>
      </c>
      <c r="AK230" t="s">
        <v>1674</v>
      </c>
      <c r="AL230">
        <v>1.3</v>
      </c>
      <c r="AM230">
        <v>4010</v>
      </c>
      <c r="AN230">
        <v>274</v>
      </c>
      <c r="AO230">
        <v>2.9999999999999997E-4</v>
      </c>
      <c r="AP230">
        <v>-1</v>
      </c>
      <c r="AQ230">
        <v>1.55</v>
      </c>
      <c r="AR230">
        <v>-3.26</v>
      </c>
      <c r="AS230">
        <v>16.02</v>
      </c>
      <c r="AT230">
        <v>38.72</v>
      </c>
      <c r="AU230">
        <v>52.34</v>
      </c>
      <c r="AV230">
        <v>0</v>
      </c>
      <c r="AW230">
        <v>2.74</v>
      </c>
      <c r="AX230">
        <v>37.86</v>
      </c>
      <c r="AY230">
        <v>13.75</v>
      </c>
      <c r="AZ230">
        <v>20.51</v>
      </c>
      <c r="BA230">
        <v>0.16</v>
      </c>
      <c r="BB230" t="s">
        <v>143</v>
      </c>
      <c r="BF230">
        <v>1.51</v>
      </c>
      <c r="BG230">
        <v>-2.69</v>
      </c>
      <c r="BH230">
        <v>-3.83</v>
      </c>
      <c r="BI230">
        <v>0.62</v>
      </c>
      <c r="BJ230">
        <v>20210824</v>
      </c>
      <c r="BK230">
        <v>19970416</v>
      </c>
      <c r="BL230">
        <v>106.19</v>
      </c>
      <c r="BM230" t="s">
        <v>120</v>
      </c>
      <c r="BN230" t="s">
        <v>120</v>
      </c>
      <c r="BO230">
        <v>2427.69</v>
      </c>
      <c r="BP230">
        <v>3.26</v>
      </c>
      <c r="BQ230">
        <v>551.98</v>
      </c>
      <c r="BR230">
        <v>69.06</v>
      </c>
      <c r="BS230">
        <v>74.42</v>
      </c>
      <c r="BT230">
        <v>700.93</v>
      </c>
      <c r="BU230">
        <v>1443.82</v>
      </c>
      <c r="BV230">
        <v>14.24</v>
      </c>
      <c r="BW230">
        <v>1408.31</v>
      </c>
      <c r="BX230">
        <v>286.89</v>
      </c>
      <c r="BY230">
        <v>222.63</v>
      </c>
      <c r="BZ230">
        <v>23.63</v>
      </c>
      <c r="CA230" t="s">
        <v>120</v>
      </c>
      <c r="CB230">
        <v>232.4</v>
      </c>
      <c r="CC230">
        <v>750.31</v>
      </c>
      <c r="CD230">
        <v>667.29</v>
      </c>
      <c r="CE230">
        <v>21.44</v>
      </c>
      <c r="CF230">
        <v>2.5499999999999998</v>
      </c>
      <c r="CG230">
        <v>21.35</v>
      </c>
      <c r="CH230">
        <v>16.309999999999999</v>
      </c>
      <c r="CI230">
        <v>15.21</v>
      </c>
      <c r="CJ230">
        <v>-0.02</v>
      </c>
      <c r="CK230">
        <v>15.1</v>
      </c>
      <c r="CL230">
        <v>142.88</v>
      </c>
      <c r="CM230">
        <v>85.15</v>
      </c>
      <c r="CN230">
        <v>60.95</v>
      </c>
      <c r="CO230">
        <v>299757</v>
      </c>
      <c r="CP230">
        <v>13413</v>
      </c>
      <c r="CQ230" t="s">
        <v>1675</v>
      </c>
      <c r="CR230">
        <v>121.63</v>
      </c>
      <c r="CS230">
        <v>48.76</v>
      </c>
      <c r="CT230">
        <v>0.69</v>
      </c>
      <c r="CU230">
        <v>4.07</v>
      </c>
      <c r="CV230">
        <v>0.46</v>
      </c>
      <c r="CW230">
        <v>2.97</v>
      </c>
      <c r="CX230" t="s">
        <v>986</v>
      </c>
      <c r="CY230">
        <v>4.7</v>
      </c>
      <c r="CZ230">
        <v>4.7</v>
      </c>
      <c r="DA230">
        <v>2.19</v>
      </c>
      <c r="DB230">
        <v>1.35</v>
      </c>
      <c r="DC230">
        <v>0.8</v>
      </c>
      <c r="DD230">
        <v>22.74</v>
      </c>
      <c r="DE230" t="s">
        <v>1290</v>
      </c>
      <c r="DF230">
        <v>11.06</v>
      </c>
      <c r="DG230">
        <v>2.86</v>
      </c>
      <c r="DH230">
        <v>2.0299999999999998</v>
      </c>
      <c r="DI230">
        <v>13.06</v>
      </c>
      <c r="DJ230">
        <v>35336</v>
      </c>
      <c r="DK230">
        <v>709</v>
      </c>
      <c r="DL230">
        <v>20210829</v>
      </c>
      <c r="DM230">
        <v>3.04</v>
      </c>
      <c r="DN230">
        <v>7.24</v>
      </c>
    </row>
    <row r="231" spans="1:118">
      <c r="A231" t="str">
        <f>"000710"</f>
        <v>000710</v>
      </c>
      <c r="B231" t="s">
        <v>1676</v>
      </c>
      <c r="C231">
        <v>-0.21</v>
      </c>
      <c r="D231">
        <v>0.04</v>
      </c>
      <c r="E231">
        <v>-0.57999999999999996</v>
      </c>
      <c r="F231">
        <v>284</v>
      </c>
      <c r="G231" t="s">
        <v>1677</v>
      </c>
      <c r="H231">
        <v>5146.4399999999996</v>
      </c>
      <c r="I231">
        <v>21.52</v>
      </c>
      <c r="J231" t="s">
        <v>120</v>
      </c>
      <c r="K231" t="s">
        <v>1678</v>
      </c>
      <c r="L231">
        <v>0.72</v>
      </c>
      <c r="M231">
        <v>24</v>
      </c>
      <c r="N231">
        <v>0.83</v>
      </c>
      <c r="O231">
        <v>1.79</v>
      </c>
      <c r="P231">
        <v>24.48</v>
      </c>
      <c r="Q231">
        <v>-1.04</v>
      </c>
      <c r="R231">
        <v>23.8</v>
      </c>
      <c r="S231">
        <v>23.91</v>
      </c>
      <c r="T231">
        <v>21329</v>
      </c>
      <c r="U231">
        <v>24.02</v>
      </c>
      <c r="V231">
        <v>24.05</v>
      </c>
      <c r="W231">
        <v>136.25</v>
      </c>
      <c r="X231" t="s">
        <v>555</v>
      </c>
      <c r="Y231" t="s">
        <v>578</v>
      </c>
      <c r="Z231">
        <v>2.83</v>
      </c>
      <c r="AA231">
        <v>24.13</v>
      </c>
      <c r="AB231">
        <v>10827</v>
      </c>
      <c r="AC231">
        <v>10502</v>
      </c>
      <c r="AD231">
        <v>1.03</v>
      </c>
      <c r="AE231">
        <v>1</v>
      </c>
      <c r="AF231">
        <v>109</v>
      </c>
      <c r="AG231" t="s">
        <v>120</v>
      </c>
      <c r="AH231">
        <v>0</v>
      </c>
      <c r="AI231" t="s">
        <v>120</v>
      </c>
      <c r="AJ231">
        <v>2.98</v>
      </c>
      <c r="AK231" t="s">
        <v>1679</v>
      </c>
      <c r="AL231">
        <v>1.71</v>
      </c>
      <c r="AM231">
        <v>1662</v>
      </c>
      <c r="AN231">
        <v>13</v>
      </c>
      <c r="AO231">
        <v>4.0000000000000002E-4</v>
      </c>
      <c r="AP231">
        <v>-2</v>
      </c>
      <c r="AQ231">
        <v>-0.46</v>
      </c>
      <c r="AR231">
        <v>2.34</v>
      </c>
      <c r="AS231">
        <v>-4.99</v>
      </c>
      <c r="AT231">
        <v>-19.190000000000001</v>
      </c>
      <c r="AU231">
        <v>-36.94</v>
      </c>
      <c r="AV231">
        <v>4</v>
      </c>
      <c r="AW231">
        <v>1.1299999999999999</v>
      </c>
      <c r="AX231">
        <v>53.24</v>
      </c>
      <c r="AY231">
        <v>68.540000000000006</v>
      </c>
      <c r="AZ231">
        <v>40.479999999999997</v>
      </c>
      <c r="BA231">
        <v>0.56999999999999995</v>
      </c>
      <c r="BB231" t="s">
        <v>143</v>
      </c>
      <c r="BF231">
        <v>0.33</v>
      </c>
      <c r="BG231">
        <v>0.38</v>
      </c>
      <c r="BH231">
        <v>-1.96</v>
      </c>
      <c r="BI231">
        <v>0.84</v>
      </c>
      <c r="BJ231">
        <v>20210910</v>
      </c>
      <c r="BK231">
        <v>19970422</v>
      </c>
      <c r="BL231">
        <v>3.55</v>
      </c>
      <c r="BM231" t="s">
        <v>120</v>
      </c>
      <c r="BN231" t="s">
        <v>120</v>
      </c>
      <c r="BO231">
        <v>33.32</v>
      </c>
      <c r="BP231">
        <v>24</v>
      </c>
      <c r="BQ231">
        <v>24.83</v>
      </c>
      <c r="BR231">
        <v>0.34</v>
      </c>
      <c r="BS231">
        <v>24.47</v>
      </c>
      <c r="BT231">
        <v>20.76</v>
      </c>
      <c r="BU231">
        <v>8.7799999999999994</v>
      </c>
      <c r="BV231">
        <v>0.53</v>
      </c>
      <c r="BW231">
        <v>5.65</v>
      </c>
      <c r="BX231">
        <v>4.34</v>
      </c>
      <c r="BY231">
        <v>2.46</v>
      </c>
      <c r="BZ231">
        <v>12.16</v>
      </c>
      <c r="CA231" t="s">
        <v>120</v>
      </c>
      <c r="CB231">
        <v>10.119999999999999</v>
      </c>
      <c r="CC231">
        <v>7.34</v>
      </c>
      <c r="CD231">
        <v>3.7</v>
      </c>
      <c r="CE231">
        <v>0.44</v>
      </c>
      <c r="CF231">
        <v>-0.26</v>
      </c>
      <c r="CG231">
        <v>0.44</v>
      </c>
      <c r="CH231">
        <v>0.32</v>
      </c>
      <c r="CI231">
        <v>0.31</v>
      </c>
      <c r="CJ231">
        <v>-0.05</v>
      </c>
      <c r="CK231">
        <v>0.3</v>
      </c>
      <c r="CL231">
        <v>10.84</v>
      </c>
      <c r="CM231">
        <v>-1.52</v>
      </c>
      <c r="CN231">
        <v>-1.94</v>
      </c>
      <c r="CO231">
        <v>28565</v>
      </c>
      <c r="CP231">
        <v>6609</v>
      </c>
      <c r="CQ231" t="s">
        <v>1680</v>
      </c>
      <c r="CR231">
        <v>-73.41</v>
      </c>
      <c r="CS231">
        <v>1.82</v>
      </c>
      <c r="CT231">
        <v>3.43</v>
      </c>
      <c r="CU231">
        <v>-56.17</v>
      </c>
      <c r="CV231">
        <v>11.6</v>
      </c>
      <c r="CW231">
        <v>0</v>
      </c>
      <c r="CX231" t="s">
        <v>1681</v>
      </c>
      <c r="CY231">
        <v>7</v>
      </c>
      <c r="CZ231">
        <v>0</v>
      </c>
      <c r="DA231">
        <v>2.85</v>
      </c>
      <c r="DB231">
        <v>3.06</v>
      </c>
      <c r="DC231">
        <v>-0.43</v>
      </c>
      <c r="DD231">
        <v>74.5</v>
      </c>
      <c r="DE231" t="s">
        <v>1682</v>
      </c>
      <c r="DF231">
        <v>49.52</v>
      </c>
      <c r="DG231">
        <v>5.97</v>
      </c>
      <c r="DH231">
        <v>4.26</v>
      </c>
      <c r="DI231">
        <v>0.6</v>
      </c>
      <c r="DJ231">
        <v>1496</v>
      </c>
      <c r="DK231">
        <v>710</v>
      </c>
      <c r="DL231" t="s">
        <v>120</v>
      </c>
      <c r="DM231" t="s">
        <v>120</v>
      </c>
      <c r="DN231" t="s">
        <v>120</v>
      </c>
    </row>
    <row r="232" spans="1:118">
      <c r="A232" t="str">
        <f>"000711"</f>
        <v>000711</v>
      </c>
      <c r="B232" t="s">
        <v>1683</v>
      </c>
      <c r="C232">
        <v>-2.85</v>
      </c>
      <c r="D232">
        <v>-0.31</v>
      </c>
      <c r="E232">
        <v>0.32</v>
      </c>
      <c r="F232">
        <v>1145</v>
      </c>
      <c r="G232" t="s">
        <v>1684</v>
      </c>
      <c r="H232">
        <v>3486.14</v>
      </c>
      <c r="I232">
        <v>48.69</v>
      </c>
      <c r="J232" t="s">
        <v>120</v>
      </c>
      <c r="K232" t="s">
        <v>1685</v>
      </c>
      <c r="L232">
        <v>1.36</v>
      </c>
      <c r="M232">
        <v>3.07</v>
      </c>
      <c r="N232">
        <v>0.61</v>
      </c>
      <c r="O232">
        <v>0.95</v>
      </c>
      <c r="P232">
        <v>3.19</v>
      </c>
      <c r="Q232">
        <v>-3.16</v>
      </c>
      <c r="R232">
        <v>3.06</v>
      </c>
      <c r="S232">
        <v>3.17</v>
      </c>
      <c r="T232">
        <v>111914</v>
      </c>
      <c r="U232">
        <v>3.07</v>
      </c>
      <c r="V232">
        <v>3.16</v>
      </c>
      <c r="W232" t="s">
        <v>120</v>
      </c>
      <c r="X232" t="s">
        <v>141</v>
      </c>
      <c r="Y232" t="s">
        <v>1686</v>
      </c>
      <c r="Z232">
        <v>4.1100000000000003</v>
      </c>
      <c r="AA232">
        <v>3.12</v>
      </c>
      <c r="AB232">
        <v>71781</v>
      </c>
      <c r="AC232">
        <v>40133</v>
      </c>
      <c r="AD232">
        <v>1.79</v>
      </c>
      <c r="AE232">
        <v>5245</v>
      </c>
      <c r="AF232">
        <v>98</v>
      </c>
      <c r="AG232" t="s">
        <v>120</v>
      </c>
      <c r="AH232">
        <v>0.03</v>
      </c>
      <c r="AI232" t="s">
        <v>120</v>
      </c>
      <c r="AJ232">
        <v>8.2200000000000006</v>
      </c>
      <c r="AK232" t="s">
        <v>1687</v>
      </c>
      <c r="AL232">
        <v>-0.93</v>
      </c>
      <c r="AM232">
        <v>1526</v>
      </c>
      <c r="AN232">
        <v>73</v>
      </c>
      <c r="AO232">
        <v>8.9999999999999998E-4</v>
      </c>
      <c r="AP232">
        <v>-1</v>
      </c>
      <c r="AQ232">
        <v>2.27</v>
      </c>
      <c r="AR232">
        <v>-4.0599999999999996</v>
      </c>
      <c r="AS232">
        <v>2.33</v>
      </c>
      <c r="AT232">
        <v>10.43</v>
      </c>
      <c r="AU232">
        <v>16.29</v>
      </c>
      <c r="AV232">
        <v>20</v>
      </c>
      <c r="AW232">
        <v>2.4</v>
      </c>
      <c r="AX232">
        <v>45.5</v>
      </c>
      <c r="AY232" t="s">
        <v>120</v>
      </c>
      <c r="AZ232" t="s">
        <v>120</v>
      </c>
      <c r="BA232">
        <v>0.36</v>
      </c>
      <c r="BB232" t="s">
        <v>143</v>
      </c>
      <c r="BF232">
        <v>-1.42</v>
      </c>
      <c r="BG232">
        <v>-3.15</v>
      </c>
      <c r="BH232">
        <v>-3.76</v>
      </c>
      <c r="BI232">
        <v>0.33</v>
      </c>
      <c r="BJ232">
        <v>20210908</v>
      </c>
      <c r="BK232">
        <v>19970411</v>
      </c>
      <c r="BL232">
        <v>10.24</v>
      </c>
      <c r="BM232" t="s">
        <v>120</v>
      </c>
      <c r="BN232" t="s">
        <v>120</v>
      </c>
      <c r="BO232">
        <v>98.5</v>
      </c>
      <c r="BP232">
        <v>3.06</v>
      </c>
      <c r="BQ232">
        <v>20.54</v>
      </c>
      <c r="BR232">
        <v>3.83</v>
      </c>
      <c r="BS232">
        <v>75.260000000000005</v>
      </c>
      <c r="BT232">
        <v>61.89</v>
      </c>
      <c r="BU232">
        <v>3.88</v>
      </c>
      <c r="BV232">
        <v>3.64</v>
      </c>
      <c r="BW232">
        <v>66.45</v>
      </c>
      <c r="BX232">
        <v>1.49</v>
      </c>
      <c r="BY232">
        <v>9.99</v>
      </c>
      <c r="BZ232">
        <v>13.36</v>
      </c>
      <c r="CA232" t="s">
        <v>120</v>
      </c>
      <c r="CB232">
        <v>41.68</v>
      </c>
      <c r="CC232">
        <v>4.33</v>
      </c>
      <c r="CD232">
        <v>3.16</v>
      </c>
      <c r="CE232">
        <v>-2.2599999999999998</v>
      </c>
      <c r="CF232">
        <v>-0.01</v>
      </c>
      <c r="CG232">
        <v>-2.2799999999999998</v>
      </c>
      <c r="CH232">
        <v>-2.4300000000000002</v>
      </c>
      <c r="CI232">
        <v>-2.2000000000000002</v>
      </c>
      <c r="CJ232">
        <v>-0.09</v>
      </c>
      <c r="CK232">
        <v>-2.2599999999999998</v>
      </c>
      <c r="CL232">
        <v>-31.68</v>
      </c>
      <c r="CM232">
        <v>0.15</v>
      </c>
      <c r="CN232">
        <v>-1.1200000000000001</v>
      </c>
      <c r="CO232">
        <v>35723</v>
      </c>
      <c r="CP232">
        <v>13037</v>
      </c>
      <c r="CQ232" t="s">
        <v>1688</v>
      </c>
      <c r="CR232">
        <v>25.07</v>
      </c>
      <c r="CS232">
        <v>43.4</v>
      </c>
      <c r="CT232">
        <v>1.53</v>
      </c>
      <c r="CU232">
        <v>203.6</v>
      </c>
      <c r="CV232">
        <v>7.26</v>
      </c>
      <c r="CW232">
        <v>0</v>
      </c>
      <c r="CX232" t="s">
        <v>1689</v>
      </c>
      <c r="CY232">
        <v>2.0099999999999998</v>
      </c>
      <c r="CZ232">
        <v>0</v>
      </c>
      <c r="DA232">
        <v>4.07</v>
      </c>
      <c r="DB232">
        <v>-3.1</v>
      </c>
      <c r="DC232">
        <v>0.02</v>
      </c>
      <c r="DD232">
        <v>20.85</v>
      </c>
      <c r="DE232" t="s">
        <v>1690</v>
      </c>
      <c r="DF232">
        <v>27.05</v>
      </c>
      <c r="DG232">
        <v>-52.25</v>
      </c>
      <c r="DH232">
        <v>-50.82</v>
      </c>
      <c r="DI232">
        <v>0.25</v>
      </c>
      <c r="DJ232">
        <v>1078</v>
      </c>
      <c r="DK232">
        <v>711</v>
      </c>
      <c r="DL232" t="s">
        <v>120</v>
      </c>
      <c r="DM232" t="s">
        <v>120</v>
      </c>
      <c r="DN232" t="s">
        <v>120</v>
      </c>
    </row>
    <row r="233" spans="1:118">
      <c r="A233" t="str">
        <f>"000712"</f>
        <v>000712</v>
      </c>
      <c r="B233" t="s">
        <v>1691</v>
      </c>
      <c r="C233">
        <v>-1.07</v>
      </c>
      <c r="D233">
        <v>-0.17</v>
      </c>
      <c r="E233">
        <v>-0.71</v>
      </c>
      <c r="F233">
        <v>4258</v>
      </c>
      <c r="G233" t="s">
        <v>1692</v>
      </c>
      <c r="H233">
        <v>18237.599999999999</v>
      </c>
      <c r="I233">
        <v>80.83</v>
      </c>
      <c r="J233" t="s">
        <v>120</v>
      </c>
      <c r="K233" t="s">
        <v>1693</v>
      </c>
      <c r="L233">
        <v>1.36</v>
      </c>
      <c r="M233">
        <v>16.7</v>
      </c>
      <c r="N233">
        <v>0.87</v>
      </c>
      <c r="O233">
        <v>0.83</v>
      </c>
      <c r="P233">
        <v>17.02</v>
      </c>
      <c r="Q233">
        <v>-1.07</v>
      </c>
      <c r="R233">
        <v>16.7</v>
      </c>
      <c r="S233">
        <v>16.760000000000002</v>
      </c>
      <c r="T233">
        <v>108279</v>
      </c>
      <c r="U233">
        <v>16.71</v>
      </c>
      <c r="V233">
        <v>16.88</v>
      </c>
      <c r="W233">
        <v>5459.83</v>
      </c>
      <c r="X233" t="s">
        <v>616</v>
      </c>
      <c r="Y233" t="s">
        <v>547</v>
      </c>
      <c r="Z233">
        <v>1.9</v>
      </c>
      <c r="AA233">
        <v>16.84</v>
      </c>
      <c r="AB233">
        <v>55993</v>
      </c>
      <c r="AC233">
        <v>52286</v>
      </c>
      <c r="AD233">
        <v>1.07</v>
      </c>
      <c r="AE233">
        <v>855</v>
      </c>
      <c r="AF233">
        <v>189</v>
      </c>
      <c r="AG233" t="s">
        <v>120</v>
      </c>
      <c r="AH233">
        <v>0.01</v>
      </c>
      <c r="AI233" t="s">
        <v>120</v>
      </c>
      <c r="AJ233">
        <v>7.96</v>
      </c>
      <c r="AK233" t="s">
        <v>1694</v>
      </c>
      <c r="AL233">
        <v>0.85</v>
      </c>
      <c r="AM233">
        <v>3093</v>
      </c>
      <c r="AN233">
        <v>35</v>
      </c>
      <c r="AO233">
        <v>4.0000000000000002E-4</v>
      </c>
      <c r="AP233">
        <v>-1</v>
      </c>
      <c r="AQ233">
        <v>1.08</v>
      </c>
      <c r="AR233">
        <v>-0.36</v>
      </c>
      <c r="AS233">
        <v>1.95</v>
      </c>
      <c r="AT233">
        <v>3.72</v>
      </c>
      <c r="AU233">
        <v>5.63</v>
      </c>
      <c r="AV233">
        <v>5</v>
      </c>
      <c r="AW233">
        <v>2.42</v>
      </c>
      <c r="AX233">
        <v>49.85</v>
      </c>
      <c r="AY233" t="s">
        <v>120</v>
      </c>
      <c r="AZ233">
        <v>228.9</v>
      </c>
      <c r="BA233">
        <v>0.79</v>
      </c>
      <c r="BB233" t="s">
        <v>143</v>
      </c>
      <c r="BF233">
        <v>-0.22</v>
      </c>
      <c r="BG233">
        <v>-0.36</v>
      </c>
      <c r="BH233">
        <v>-1.88</v>
      </c>
      <c r="BI233">
        <v>0</v>
      </c>
      <c r="BJ233">
        <v>20210826</v>
      </c>
      <c r="BK233">
        <v>19970415</v>
      </c>
      <c r="BL233">
        <v>8.9600000000000009</v>
      </c>
      <c r="BM233" t="s">
        <v>120</v>
      </c>
      <c r="BN233" t="s">
        <v>120</v>
      </c>
      <c r="BO233">
        <v>232.09</v>
      </c>
      <c r="BP233">
        <v>16.7</v>
      </c>
      <c r="BQ233">
        <v>34.130000000000003</v>
      </c>
      <c r="BR233">
        <v>19.739999999999998</v>
      </c>
      <c r="BS233">
        <v>76.790000000000006</v>
      </c>
      <c r="BT233">
        <v>0</v>
      </c>
      <c r="BU233">
        <v>0.93</v>
      </c>
      <c r="BV233">
        <v>4.1100000000000003</v>
      </c>
      <c r="BW233">
        <v>0</v>
      </c>
      <c r="BX233">
        <v>50.12</v>
      </c>
      <c r="BY233">
        <v>0</v>
      </c>
      <c r="BZ233">
        <v>0</v>
      </c>
      <c r="CA233" t="s">
        <v>120</v>
      </c>
      <c r="CB233">
        <v>7.08</v>
      </c>
      <c r="CC233">
        <v>6.89</v>
      </c>
      <c r="CD233">
        <v>0</v>
      </c>
      <c r="CE233">
        <v>0.9</v>
      </c>
      <c r="CF233">
        <v>3.76</v>
      </c>
      <c r="CG233">
        <v>0.06</v>
      </c>
      <c r="CH233">
        <v>0.1</v>
      </c>
      <c r="CI233">
        <v>0.01</v>
      </c>
      <c r="CJ233">
        <v>-0.18</v>
      </c>
      <c r="CK233">
        <v>0.39</v>
      </c>
      <c r="CL233">
        <v>13.13</v>
      </c>
      <c r="CM233">
        <v>-21.44</v>
      </c>
      <c r="CN233">
        <v>-20.6</v>
      </c>
      <c r="CO233">
        <v>52907</v>
      </c>
      <c r="CP233">
        <v>8442</v>
      </c>
      <c r="CQ233" t="s">
        <v>1695</v>
      </c>
      <c r="CR233">
        <v>-99.16</v>
      </c>
      <c r="CS233">
        <v>-41.35</v>
      </c>
      <c r="CT233">
        <v>4.38</v>
      </c>
      <c r="CU233">
        <v>-6.98</v>
      </c>
      <c r="CV233">
        <v>21.71</v>
      </c>
      <c r="CW233">
        <v>0</v>
      </c>
      <c r="CX233" t="s">
        <v>216</v>
      </c>
      <c r="CY233">
        <v>3.81</v>
      </c>
      <c r="CZ233">
        <v>0</v>
      </c>
      <c r="DA233">
        <v>0.79</v>
      </c>
      <c r="DB233">
        <v>1.47</v>
      </c>
      <c r="DC233">
        <v>-2.39</v>
      </c>
      <c r="DD233">
        <v>14.7</v>
      </c>
      <c r="DE233" t="s">
        <v>1696</v>
      </c>
      <c r="DF233" t="s">
        <v>120</v>
      </c>
      <c r="DG233">
        <v>13.01</v>
      </c>
      <c r="DH233">
        <v>0.2</v>
      </c>
      <c r="DI233" t="s">
        <v>120</v>
      </c>
      <c r="DJ233">
        <v>1570</v>
      </c>
      <c r="DK233">
        <v>712</v>
      </c>
      <c r="DL233" t="s">
        <v>120</v>
      </c>
      <c r="DM233" t="s">
        <v>120</v>
      </c>
      <c r="DN233" t="s">
        <v>120</v>
      </c>
    </row>
    <row r="234" spans="1:118">
      <c r="A234" t="str">
        <f>"000713"</f>
        <v>000713</v>
      </c>
      <c r="B234" t="s">
        <v>1697</v>
      </c>
      <c r="C234">
        <v>1.63</v>
      </c>
      <c r="D234">
        <v>0</v>
      </c>
      <c r="E234">
        <v>0.1</v>
      </c>
      <c r="F234">
        <v>4489</v>
      </c>
      <c r="G234" t="s">
        <v>1698</v>
      </c>
      <c r="H234">
        <v>55142.65</v>
      </c>
      <c r="I234">
        <v>186.59</v>
      </c>
      <c r="J234" t="s">
        <v>120</v>
      </c>
      <c r="K234" t="s">
        <v>1699</v>
      </c>
      <c r="L234">
        <v>9.91</v>
      </c>
      <c r="M234">
        <v>9.9499999999999993</v>
      </c>
      <c r="N234">
        <v>1.46</v>
      </c>
      <c r="O234">
        <v>3.98</v>
      </c>
      <c r="P234">
        <v>10.18</v>
      </c>
      <c r="Q234">
        <v>-0.61</v>
      </c>
      <c r="R234">
        <v>9.73</v>
      </c>
      <c r="S234">
        <v>9.8000000000000007</v>
      </c>
      <c r="T234">
        <v>553703</v>
      </c>
      <c r="U234">
        <v>9.9600000000000009</v>
      </c>
      <c r="V234">
        <v>9.7899999999999991</v>
      </c>
      <c r="W234">
        <v>145.69</v>
      </c>
      <c r="X234" t="s">
        <v>1700</v>
      </c>
      <c r="Y234" t="s">
        <v>570</v>
      </c>
      <c r="Z234">
        <v>4.5999999999999996</v>
      </c>
      <c r="AA234">
        <v>9.9600000000000009</v>
      </c>
      <c r="AB234">
        <v>256975</v>
      </c>
      <c r="AC234">
        <v>296728</v>
      </c>
      <c r="AD234">
        <v>0.87</v>
      </c>
      <c r="AE234">
        <v>1023</v>
      </c>
      <c r="AF234">
        <v>1223</v>
      </c>
      <c r="AG234" t="s">
        <v>120</v>
      </c>
      <c r="AH234">
        <v>0.05</v>
      </c>
      <c r="AI234" t="s">
        <v>120</v>
      </c>
      <c r="AJ234">
        <v>5.59</v>
      </c>
      <c r="AK234" t="s">
        <v>1701</v>
      </c>
      <c r="AL234">
        <v>3.55</v>
      </c>
      <c r="AM234">
        <v>4374</v>
      </c>
      <c r="AN234">
        <v>127</v>
      </c>
      <c r="AO234">
        <v>2.3E-3</v>
      </c>
      <c r="AP234">
        <v>2</v>
      </c>
      <c r="AQ234">
        <v>2.09</v>
      </c>
      <c r="AR234">
        <v>1.54</v>
      </c>
      <c r="AS234">
        <v>6.64</v>
      </c>
      <c r="AT234">
        <v>12.79</v>
      </c>
      <c r="AU234">
        <v>-19.850000000000001</v>
      </c>
      <c r="AV234">
        <v>6</v>
      </c>
      <c r="AW234">
        <v>14.59</v>
      </c>
      <c r="AX234">
        <v>61.79</v>
      </c>
      <c r="AY234">
        <v>142.36000000000001</v>
      </c>
      <c r="AZ234">
        <v>119.26</v>
      </c>
      <c r="BA234">
        <v>0.25</v>
      </c>
      <c r="BB234" t="s">
        <v>143</v>
      </c>
      <c r="BF234">
        <v>1.73</v>
      </c>
      <c r="BG234">
        <v>1.53</v>
      </c>
      <c r="BH234">
        <v>-2.2599999999999998</v>
      </c>
      <c r="BI234">
        <v>2.2599999999999998</v>
      </c>
      <c r="BJ234">
        <v>20210825</v>
      </c>
      <c r="BK234">
        <v>19970422</v>
      </c>
      <c r="BL234">
        <v>6.14</v>
      </c>
      <c r="BM234" t="s">
        <v>120</v>
      </c>
      <c r="BN234" t="s">
        <v>120</v>
      </c>
      <c r="BO234">
        <v>26.4</v>
      </c>
      <c r="BP234">
        <v>9.9499999999999993</v>
      </c>
      <c r="BQ234">
        <v>17.22</v>
      </c>
      <c r="BR234">
        <v>0.63</v>
      </c>
      <c r="BS234">
        <v>32.380000000000003</v>
      </c>
      <c r="BT234">
        <v>15.37</v>
      </c>
      <c r="BU234">
        <v>5.92</v>
      </c>
      <c r="BV234">
        <v>2.34</v>
      </c>
      <c r="BW234">
        <v>7.73</v>
      </c>
      <c r="BX234">
        <v>1.32</v>
      </c>
      <c r="BY234">
        <v>7.08</v>
      </c>
      <c r="BZ234">
        <v>2.91</v>
      </c>
      <c r="CA234" t="s">
        <v>120</v>
      </c>
      <c r="CB234">
        <v>4.49</v>
      </c>
      <c r="CC234">
        <v>13.62</v>
      </c>
      <c r="CD234">
        <v>12.02</v>
      </c>
      <c r="CE234">
        <v>0.32</v>
      </c>
      <c r="CF234">
        <v>0.01</v>
      </c>
      <c r="CG234">
        <v>0.32</v>
      </c>
      <c r="CH234">
        <v>0.23</v>
      </c>
      <c r="CI234">
        <v>0.21</v>
      </c>
      <c r="CJ234">
        <v>0.16</v>
      </c>
      <c r="CK234">
        <v>0.19</v>
      </c>
      <c r="CL234">
        <v>5.69</v>
      </c>
      <c r="CM234">
        <v>-0.79</v>
      </c>
      <c r="CN234">
        <v>0.22</v>
      </c>
      <c r="CO234">
        <v>102727</v>
      </c>
      <c r="CP234">
        <v>3693</v>
      </c>
      <c r="CQ234" t="s">
        <v>1702</v>
      </c>
      <c r="CR234">
        <v>-28.07</v>
      </c>
      <c r="CS234">
        <v>11.14</v>
      </c>
      <c r="CT234">
        <v>3.55</v>
      </c>
      <c r="CU234">
        <v>-77.23</v>
      </c>
      <c r="CV234">
        <v>4.49</v>
      </c>
      <c r="CW234">
        <v>0.15</v>
      </c>
      <c r="CX234" t="s">
        <v>919</v>
      </c>
      <c r="CY234">
        <v>2.8</v>
      </c>
      <c r="CZ234">
        <v>0</v>
      </c>
      <c r="DA234">
        <v>0.73</v>
      </c>
      <c r="DB234">
        <v>0.93</v>
      </c>
      <c r="DC234">
        <v>-0.13</v>
      </c>
      <c r="DD234">
        <v>65.239999999999995</v>
      </c>
      <c r="DE234" t="s">
        <v>1703</v>
      </c>
      <c r="DF234">
        <v>11.75</v>
      </c>
      <c r="DG234">
        <v>2.34</v>
      </c>
      <c r="DH234">
        <v>1.54</v>
      </c>
      <c r="DI234">
        <v>0.2</v>
      </c>
      <c r="DJ234">
        <v>1204</v>
      </c>
      <c r="DK234">
        <v>713</v>
      </c>
      <c r="DL234" t="s">
        <v>120</v>
      </c>
      <c r="DM234" t="s">
        <v>120</v>
      </c>
      <c r="DN234" t="s">
        <v>120</v>
      </c>
    </row>
    <row r="235" spans="1:118">
      <c r="A235" t="str">
        <f>"000715"</f>
        <v>000715</v>
      </c>
      <c r="B235" t="s">
        <v>1704</v>
      </c>
      <c r="C235">
        <v>-1.21</v>
      </c>
      <c r="D235">
        <v>0.2</v>
      </c>
      <c r="E235">
        <v>0</v>
      </c>
      <c r="F235">
        <v>522</v>
      </c>
      <c r="G235" t="s">
        <v>1705</v>
      </c>
      <c r="H235">
        <v>2971.22</v>
      </c>
      <c r="I235">
        <v>6.73</v>
      </c>
      <c r="J235" t="s">
        <v>120</v>
      </c>
      <c r="K235" t="s">
        <v>1706</v>
      </c>
      <c r="L235">
        <v>1.45</v>
      </c>
      <c r="M235">
        <v>4.8899999999999997</v>
      </c>
      <c r="N235">
        <v>0.77</v>
      </c>
      <c r="O235">
        <v>1.01</v>
      </c>
      <c r="P235">
        <v>5</v>
      </c>
      <c r="Q235">
        <v>-1.41</v>
      </c>
      <c r="R235">
        <v>4.88</v>
      </c>
      <c r="S235">
        <v>4.95</v>
      </c>
      <c r="T235">
        <v>60386</v>
      </c>
      <c r="U235">
        <v>4.9000000000000004</v>
      </c>
      <c r="V235">
        <v>4.95</v>
      </c>
      <c r="W235">
        <v>18.440000000000001</v>
      </c>
      <c r="X235" t="s">
        <v>735</v>
      </c>
      <c r="Y235" t="s">
        <v>432</v>
      </c>
      <c r="Z235">
        <v>2.42</v>
      </c>
      <c r="AA235">
        <v>4.92</v>
      </c>
      <c r="AB235">
        <v>43067</v>
      </c>
      <c r="AC235">
        <v>17319</v>
      </c>
      <c r="AD235">
        <v>2.4900000000000002</v>
      </c>
      <c r="AE235">
        <v>68</v>
      </c>
      <c r="AF235">
        <v>3484</v>
      </c>
      <c r="AG235" t="s">
        <v>120</v>
      </c>
      <c r="AH235">
        <v>0.01</v>
      </c>
      <c r="AI235" t="s">
        <v>120</v>
      </c>
      <c r="AJ235">
        <v>4.1500000000000004</v>
      </c>
      <c r="AK235" t="s">
        <v>1707</v>
      </c>
      <c r="AL235">
        <v>0.7</v>
      </c>
      <c r="AM235">
        <v>967</v>
      </c>
      <c r="AN235">
        <v>62</v>
      </c>
      <c r="AO235">
        <v>1.5E-3</v>
      </c>
      <c r="AP235">
        <v>-1</v>
      </c>
      <c r="AQ235">
        <v>2.7</v>
      </c>
      <c r="AR235">
        <v>-1.21</v>
      </c>
      <c r="AS235">
        <v>6.31</v>
      </c>
      <c r="AT235">
        <v>7.01</v>
      </c>
      <c r="AU235">
        <v>-4.12</v>
      </c>
      <c r="AV235">
        <v>0</v>
      </c>
      <c r="AW235">
        <v>4.1399999999999997</v>
      </c>
      <c r="AX235">
        <v>35.090000000000003</v>
      </c>
      <c r="AY235">
        <v>12.63</v>
      </c>
      <c r="AZ235">
        <v>21.21</v>
      </c>
      <c r="BA235">
        <v>0.34</v>
      </c>
      <c r="BB235" t="s">
        <v>143</v>
      </c>
      <c r="BF235">
        <v>-0.6</v>
      </c>
      <c r="BG235">
        <v>-1.21</v>
      </c>
      <c r="BH235">
        <v>-2.2000000000000002</v>
      </c>
      <c r="BI235">
        <v>0.2</v>
      </c>
      <c r="BJ235">
        <v>20210902</v>
      </c>
      <c r="BK235">
        <v>19970508</v>
      </c>
      <c r="BL235">
        <v>4.16</v>
      </c>
      <c r="BM235" t="s">
        <v>120</v>
      </c>
      <c r="BN235" t="s">
        <v>120</v>
      </c>
      <c r="BO235">
        <v>25.21</v>
      </c>
      <c r="BP235">
        <v>4.8899999999999997</v>
      </c>
      <c r="BQ235">
        <v>15.98</v>
      </c>
      <c r="BR235">
        <v>0.01</v>
      </c>
      <c r="BS235">
        <v>36.590000000000003</v>
      </c>
      <c r="BT235">
        <v>14.21</v>
      </c>
      <c r="BU235">
        <v>6.87</v>
      </c>
      <c r="BV235">
        <v>1.94</v>
      </c>
      <c r="BW235">
        <v>7.74</v>
      </c>
      <c r="BX235">
        <v>4.58</v>
      </c>
      <c r="BY235">
        <v>0.56999999999999995</v>
      </c>
      <c r="BZ235">
        <v>0.01</v>
      </c>
      <c r="CA235">
        <v>0.03</v>
      </c>
      <c r="CB235">
        <v>1.8</v>
      </c>
      <c r="CC235">
        <v>4.49</v>
      </c>
      <c r="CD235">
        <v>2.1</v>
      </c>
      <c r="CE235">
        <v>0.73</v>
      </c>
      <c r="CF235">
        <v>-0.01</v>
      </c>
      <c r="CG235">
        <v>0.74</v>
      </c>
      <c r="CH235">
        <v>0.55000000000000004</v>
      </c>
      <c r="CI235">
        <v>0.55000000000000004</v>
      </c>
      <c r="CJ235">
        <v>-0.06</v>
      </c>
      <c r="CK235">
        <v>0.44</v>
      </c>
      <c r="CL235">
        <v>8.2799999999999994</v>
      </c>
      <c r="CM235">
        <v>0.73</v>
      </c>
      <c r="CN235">
        <v>-6.78</v>
      </c>
      <c r="CO235">
        <v>12400</v>
      </c>
      <c r="CP235">
        <v>11765</v>
      </c>
      <c r="CQ235" t="s">
        <v>498</v>
      </c>
      <c r="CR235">
        <v>609.52</v>
      </c>
      <c r="CS235">
        <v>11.34</v>
      </c>
      <c r="CT235">
        <v>1.27</v>
      </c>
      <c r="CU235">
        <v>27.67</v>
      </c>
      <c r="CV235">
        <v>4.53</v>
      </c>
      <c r="CW235">
        <v>1.01</v>
      </c>
      <c r="CX235" t="s">
        <v>986</v>
      </c>
      <c r="CY235">
        <v>3.84</v>
      </c>
      <c r="CZ235">
        <v>0</v>
      </c>
      <c r="DA235">
        <v>0.43</v>
      </c>
      <c r="DB235">
        <v>1.99</v>
      </c>
      <c r="DC235">
        <v>0.18</v>
      </c>
      <c r="DD235">
        <v>63.38</v>
      </c>
      <c r="DE235" t="s">
        <v>285</v>
      </c>
      <c r="DF235">
        <v>53.29</v>
      </c>
      <c r="DG235">
        <v>16.170000000000002</v>
      </c>
      <c r="DH235">
        <v>12.29</v>
      </c>
      <c r="DI235" t="s">
        <v>120</v>
      </c>
      <c r="DJ235">
        <v>1428</v>
      </c>
      <c r="DK235">
        <v>715</v>
      </c>
      <c r="DL235" t="s">
        <v>120</v>
      </c>
      <c r="DM235" t="s">
        <v>120</v>
      </c>
      <c r="DN235" t="s">
        <v>120</v>
      </c>
    </row>
    <row r="236" spans="1:118">
      <c r="A236" t="str">
        <f>"000716"</f>
        <v>000716</v>
      </c>
      <c r="B236" t="s">
        <v>1708</v>
      </c>
      <c r="C236">
        <v>-0.6</v>
      </c>
      <c r="D236">
        <v>0</v>
      </c>
      <c r="E236">
        <v>0.6</v>
      </c>
      <c r="F236">
        <v>4984</v>
      </c>
      <c r="G236" t="s">
        <v>1709</v>
      </c>
      <c r="H236">
        <v>4446.2700000000004</v>
      </c>
      <c r="I236">
        <v>31.6</v>
      </c>
      <c r="J236" t="s">
        <v>120</v>
      </c>
      <c r="K236" t="s">
        <v>1710</v>
      </c>
      <c r="L236">
        <v>1.91</v>
      </c>
      <c r="M236">
        <v>3.34</v>
      </c>
      <c r="N236">
        <v>0.92</v>
      </c>
      <c r="O236">
        <v>0.6</v>
      </c>
      <c r="P236">
        <v>3.38</v>
      </c>
      <c r="Q236">
        <v>-1.19</v>
      </c>
      <c r="R236">
        <v>3.32</v>
      </c>
      <c r="S236">
        <v>3.38</v>
      </c>
      <c r="T236">
        <v>132579</v>
      </c>
      <c r="U236">
        <v>3.34</v>
      </c>
      <c r="V236">
        <v>3.36</v>
      </c>
      <c r="W236">
        <v>104.88</v>
      </c>
      <c r="X236" t="s">
        <v>847</v>
      </c>
      <c r="Y236" t="s">
        <v>945</v>
      </c>
      <c r="Z236">
        <v>1.79</v>
      </c>
      <c r="AA236">
        <v>3.35</v>
      </c>
      <c r="AB236">
        <v>77256</v>
      </c>
      <c r="AC236">
        <v>55323</v>
      </c>
      <c r="AD236">
        <v>1.4</v>
      </c>
      <c r="AE236">
        <v>3501</v>
      </c>
      <c r="AF236">
        <v>229</v>
      </c>
      <c r="AG236" t="s">
        <v>120</v>
      </c>
      <c r="AH236">
        <v>0.02</v>
      </c>
      <c r="AI236" t="s">
        <v>120</v>
      </c>
      <c r="AJ236">
        <v>6.96</v>
      </c>
      <c r="AK236" t="s">
        <v>1711</v>
      </c>
      <c r="AL236">
        <v>1.32</v>
      </c>
      <c r="AM236">
        <v>1656</v>
      </c>
      <c r="AN236">
        <v>80</v>
      </c>
      <c r="AO236">
        <v>1.1999999999999999E-3</v>
      </c>
      <c r="AP236">
        <v>-1</v>
      </c>
      <c r="AQ236">
        <v>2.13</v>
      </c>
      <c r="AR236">
        <v>-1.18</v>
      </c>
      <c r="AS236">
        <v>6.04</v>
      </c>
      <c r="AT236">
        <v>-1.18</v>
      </c>
      <c r="AU236">
        <v>1.21</v>
      </c>
      <c r="AV236">
        <v>2</v>
      </c>
      <c r="AW236">
        <v>2.94</v>
      </c>
      <c r="AX236">
        <v>60.66</v>
      </c>
      <c r="AY236">
        <v>51.68</v>
      </c>
      <c r="AZ236">
        <v>274.38</v>
      </c>
      <c r="BA236">
        <v>0.28999999999999998</v>
      </c>
      <c r="BB236" t="s">
        <v>184</v>
      </c>
      <c r="BF236">
        <v>-0.19</v>
      </c>
      <c r="BG236">
        <v>-1.18</v>
      </c>
      <c r="BH236">
        <v>-1.18</v>
      </c>
      <c r="BI236">
        <v>0.6</v>
      </c>
      <c r="BJ236">
        <v>20210827</v>
      </c>
      <c r="BK236">
        <v>19970418</v>
      </c>
      <c r="BL236">
        <v>7.44</v>
      </c>
      <c r="BM236" t="s">
        <v>120</v>
      </c>
      <c r="BN236" t="s">
        <v>120</v>
      </c>
      <c r="BO236">
        <v>54.52</v>
      </c>
      <c r="BP236">
        <v>3.33</v>
      </c>
      <c r="BQ236">
        <v>27.38</v>
      </c>
      <c r="BR236">
        <v>0.53</v>
      </c>
      <c r="BS236">
        <v>48.8</v>
      </c>
      <c r="BT236">
        <v>24.87</v>
      </c>
      <c r="BU236">
        <v>10.53</v>
      </c>
      <c r="BV236">
        <v>3.6</v>
      </c>
      <c r="BW236">
        <v>21.91</v>
      </c>
      <c r="BX236">
        <v>2.37</v>
      </c>
      <c r="BY236">
        <v>6.98</v>
      </c>
      <c r="BZ236">
        <v>9.35</v>
      </c>
      <c r="CA236">
        <v>0.04</v>
      </c>
      <c r="CB236">
        <v>15.69</v>
      </c>
      <c r="CC236">
        <v>17.66</v>
      </c>
      <c r="CD236">
        <v>14.02</v>
      </c>
      <c r="CE236">
        <v>0.27</v>
      </c>
      <c r="CF236">
        <v>0</v>
      </c>
      <c r="CG236">
        <v>0.26</v>
      </c>
      <c r="CH236">
        <v>0.18</v>
      </c>
      <c r="CI236">
        <v>0.12</v>
      </c>
      <c r="CJ236">
        <v>-0.02</v>
      </c>
      <c r="CK236">
        <v>0.1</v>
      </c>
      <c r="CL236">
        <v>3.89</v>
      </c>
      <c r="CM236">
        <v>0.03</v>
      </c>
      <c r="CN236">
        <v>0.12</v>
      </c>
      <c r="CO236">
        <v>44389</v>
      </c>
      <c r="CP236">
        <v>10166</v>
      </c>
      <c r="CQ236" t="s">
        <v>1712</v>
      </c>
      <c r="CR236">
        <v>143.21</v>
      </c>
      <c r="CS236">
        <v>20.14</v>
      </c>
      <c r="CT236">
        <v>0.91</v>
      </c>
      <c r="CU236">
        <v>712.96</v>
      </c>
      <c r="CV236">
        <v>1.41</v>
      </c>
      <c r="CW236">
        <v>0</v>
      </c>
      <c r="CX236" t="s">
        <v>499</v>
      </c>
      <c r="CY236">
        <v>3.68</v>
      </c>
      <c r="CZ236">
        <v>0</v>
      </c>
      <c r="DA236">
        <v>2.11</v>
      </c>
      <c r="DB236">
        <v>0.52</v>
      </c>
      <c r="DC236">
        <v>0</v>
      </c>
      <c r="DD236">
        <v>50.22</v>
      </c>
      <c r="DE236" t="s">
        <v>1713</v>
      </c>
      <c r="DF236">
        <v>20.63</v>
      </c>
      <c r="DG236">
        <v>1.51</v>
      </c>
      <c r="DH236">
        <v>0.67</v>
      </c>
      <c r="DI236">
        <v>0.04</v>
      </c>
      <c r="DJ236">
        <v>2170</v>
      </c>
      <c r="DK236">
        <v>716</v>
      </c>
      <c r="DL236" t="s">
        <v>120</v>
      </c>
      <c r="DM236" t="s">
        <v>120</v>
      </c>
      <c r="DN236" t="s">
        <v>120</v>
      </c>
    </row>
    <row r="237" spans="1:118">
      <c r="A237" t="str">
        <f>"000717"</f>
        <v>000717</v>
      </c>
      <c r="B237" t="s">
        <v>1714</v>
      </c>
      <c r="C237">
        <v>-1.4</v>
      </c>
      <c r="D237">
        <v>-0.46</v>
      </c>
      <c r="E237">
        <v>2.64</v>
      </c>
      <c r="F237">
        <v>4429</v>
      </c>
      <c r="G237" t="s">
        <v>1715</v>
      </c>
      <c r="H237">
        <v>46576.01</v>
      </c>
      <c r="I237">
        <v>404.47</v>
      </c>
      <c r="J237" t="s">
        <v>120</v>
      </c>
      <c r="K237" t="s">
        <v>1716</v>
      </c>
      <c r="L237">
        <v>2.96</v>
      </c>
      <c r="M237">
        <v>6.35</v>
      </c>
      <c r="N237">
        <v>0.74</v>
      </c>
      <c r="O237">
        <v>3.88</v>
      </c>
      <c r="P237">
        <v>6.69</v>
      </c>
      <c r="Q237">
        <v>-2.02</v>
      </c>
      <c r="R237">
        <v>6.31</v>
      </c>
      <c r="S237">
        <v>6.61</v>
      </c>
      <c r="T237">
        <v>716645</v>
      </c>
      <c r="U237">
        <v>6.35</v>
      </c>
      <c r="V237">
        <v>6.44</v>
      </c>
      <c r="W237">
        <v>6.1</v>
      </c>
      <c r="X237" t="s">
        <v>1460</v>
      </c>
      <c r="Y237" t="s">
        <v>547</v>
      </c>
      <c r="Z237">
        <v>5.9</v>
      </c>
      <c r="AA237">
        <v>6.5</v>
      </c>
      <c r="AB237">
        <v>363057</v>
      </c>
      <c r="AC237">
        <v>353588</v>
      </c>
      <c r="AD237">
        <v>1.03</v>
      </c>
      <c r="AE237">
        <v>334</v>
      </c>
      <c r="AF237">
        <v>214</v>
      </c>
      <c r="AG237" t="s">
        <v>120</v>
      </c>
      <c r="AH237">
        <v>0.05</v>
      </c>
      <c r="AI237" t="s">
        <v>120</v>
      </c>
      <c r="AJ237">
        <v>24.2</v>
      </c>
      <c r="AK237" t="s">
        <v>1716</v>
      </c>
      <c r="AL237">
        <v>0.52</v>
      </c>
      <c r="AM237">
        <v>4281</v>
      </c>
      <c r="AN237">
        <v>167</v>
      </c>
      <c r="AO237">
        <v>6.9999999999999999E-4</v>
      </c>
      <c r="AP237">
        <v>-1</v>
      </c>
      <c r="AQ237">
        <v>0.47</v>
      </c>
      <c r="AR237">
        <v>-5.22</v>
      </c>
      <c r="AS237">
        <v>27.26</v>
      </c>
      <c r="AT237">
        <v>38.04</v>
      </c>
      <c r="AU237">
        <v>56.02</v>
      </c>
      <c r="AV237">
        <v>2</v>
      </c>
      <c r="AW237">
        <v>6.31</v>
      </c>
      <c r="AX237">
        <v>46.95</v>
      </c>
      <c r="AY237">
        <v>6.9</v>
      </c>
      <c r="AZ237">
        <v>8.3699999999999992</v>
      </c>
      <c r="BA237">
        <v>0.31</v>
      </c>
      <c r="BB237" t="s">
        <v>143</v>
      </c>
      <c r="BF237">
        <v>0.92</v>
      </c>
      <c r="BG237">
        <v>-3.93</v>
      </c>
      <c r="BH237">
        <v>-5.08</v>
      </c>
      <c r="BI237">
        <v>0.63</v>
      </c>
      <c r="BJ237">
        <v>20210826</v>
      </c>
      <c r="BK237">
        <v>19970508</v>
      </c>
      <c r="BL237">
        <v>24.2</v>
      </c>
      <c r="BM237" t="s">
        <v>120</v>
      </c>
      <c r="BN237" t="s">
        <v>120</v>
      </c>
      <c r="BO237">
        <v>219.03</v>
      </c>
      <c r="BP237">
        <v>6.34</v>
      </c>
      <c r="BQ237">
        <v>102.92</v>
      </c>
      <c r="BR237" t="s">
        <v>120</v>
      </c>
      <c r="BS237">
        <v>53.01</v>
      </c>
      <c r="BT237">
        <v>82.95</v>
      </c>
      <c r="BU237">
        <v>101.8</v>
      </c>
      <c r="BV237">
        <v>2.71</v>
      </c>
      <c r="BW237">
        <v>103.4</v>
      </c>
      <c r="BX237">
        <v>30.26</v>
      </c>
      <c r="BY237">
        <v>27.72</v>
      </c>
      <c r="BZ237">
        <v>0.61</v>
      </c>
      <c r="CA237" t="s">
        <v>120</v>
      </c>
      <c r="CB237">
        <v>31.75</v>
      </c>
      <c r="CC237">
        <v>208.37</v>
      </c>
      <c r="CD237">
        <v>186.85</v>
      </c>
      <c r="CE237">
        <v>15.15</v>
      </c>
      <c r="CF237">
        <v>0.01</v>
      </c>
      <c r="CG237">
        <v>15.15</v>
      </c>
      <c r="CH237">
        <v>12.59</v>
      </c>
      <c r="CI237">
        <v>12.59</v>
      </c>
      <c r="CJ237">
        <v>-0.09</v>
      </c>
      <c r="CK237">
        <v>12.56</v>
      </c>
      <c r="CL237">
        <v>37.29</v>
      </c>
      <c r="CM237">
        <v>24.19</v>
      </c>
      <c r="CN237">
        <v>13.8</v>
      </c>
      <c r="CO237">
        <v>92307</v>
      </c>
      <c r="CP237">
        <v>12307</v>
      </c>
      <c r="CQ237" t="s">
        <v>1717</v>
      </c>
      <c r="CR237">
        <v>46.09</v>
      </c>
      <c r="CS237">
        <v>42.46</v>
      </c>
      <c r="CT237">
        <v>1.49</v>
      </c>
      <c r="CU237">
        <v>6.35</v>
      </c>
      <c r="CV237">
        <v>0.74</v>
      </c>
      <c r="CW237">
        <v>3.11</v>
      </c>
      <c r="CX237" t="s">
        <v>948</v>
      </c>
      <c r="CY237">
        <v>4.25</v>
      </c>
      <c r="CZ237">
        <v>0</v>
      </c>
      <c r="DA237">
        <v>1.31</v>
      </c>
      <c r="DB237">
        <v>1.54</v>
      </c>
      <c r="DC237">
        <v>1</v>
      </c>
      <c r="DD237">
        <v>46.99</v>
      </c>
      <c r="DE237" t="s">
        <v>1718</v>
      </c>
      <c r="DF237">
        <v>10.33</v>
      </c>
      <c r="DG237">
        <v>7.27</v>
      </c>
      <c r="DH237">
        <v>6.04</v>
      </c>
      <c r="DI237">
        <v>4.25</v>
      </c>
      <c r="DJ237">
        <v>6058</v>
      </c>
      <c r="DK237">
        <v>717</v>
      </c>
      <c r="DL237">
        <v>20210912</v>
      </c>
      <c r="DM237">
        <v>6.52</v>
      </c>
      <c r="DN237">
        <v>-2.61</v>
      </c>
    </row>
    <row r="238" spans="1:118">
      <c r="A238" t="str">
        <f>"000718"</f>
        <v>000718</v>
      </c>
      <c r="B238" t="s">
        <v>1719</v>
      </c>
      <c r="C238">
        <v>-1.83</v>
      </c>
      <c r="D238">
        <v>-0.2</v>
      </c>
      <c r="E238">
        <v>-0.2</v>
      </c>
      <c r="F238">
        <v>13166</v>
      </c>
      <c r="G238" t="s">
        <v>1720</v>
      </c>
      <c r="H238">
        <v>19480.89</v>
      </c>
      <c r="I238">
        <v>43.74</v>
      </c>
      <c r="J238" t="s">
        <v>120</v>
      </c>
      <c r="K238" t="s">
        <v>1721</v>
      </c>
      <c r="L238">
        <v>1.73</v>
      </c>
      <c r="M238">
        <v>4.84</v>
      </c>
      <c r="N238">
        <v>0.9</v>
      </c>
      <c r="O238">
        <v>2.64</v>
      </c>
      <c r="P238">
        <v>5.0599999999999996</v>
      </c>
      <c r="Q238">
        <v>-1.83</v>
      </c>
      <c r="R238">
        <v>4.84</v>
      </c>
      <c r="S238">
        <v>4.92</v>
      </c>
      <c r="T238">
        <v>396026</v>
      </c>
      <c r="U238">
        <v>4.8499999999999996</v>
      </c>
      <c r="V238">
        <v>4.93</v>
      </c>
      <c r="W238">
        <v>11.8</v>
      </c>
      <c r="X238" t="s">
        <v>150</v>
      </c>
      <c r="Y238" t="s">
        <v>290</v>
      </c>
      <c r="Z238">
        <v>4.46</v>
      </c>
      <c r="AA238">
        <v>4.92</v>
      </c>
      <c r="AB238">
        <v>231623</v>
      </c>
      <c r="AC238">
        <v>164403</v>
      </c>
      <c r="AD238">
        <v>1.41</v>
      </c>
      <c r="AE238">
        <v>3318</v>
      </c>
      <c r="AF238">
        <v>497</v>
      </c>
      <c r="AG238" t="s">
        <v>120</v>
      </c>
      <c r="AH238">
        <v>0.01</v>
      </c>
      <c r="AI238" t="s">
        <v>120</v>
      </c>
      <c r="AJ238">
        <v>22.89</v>
      </c>
      <c r="AK238" t="s">
        <v>1722</v>
      </c>
      <c r="AL238">
        <v>0.09</v>
      </c>
      <c r="AM238">
        <v>3525</v>
      </c>
      <c r="AN238">
        <v>112</v>
      </c>
      <c r="AO238">
        <v>5.0000000000000001E-4</v>
      </c>
      <c r="AP238">
        <v>-3</v>
      </c>
      <c r="AQ238">
        <v>-2.76</v>
      </c>
      <c r="AR238">
        <v>-7.1</v>
      </c>
      <c r="AS238">
        <v>-12.95</v>
      </c>
      <c r="AT238">
        <v>-34.42</v>
      </c>
      <c r="AU238">
        <v>41.11</v>
      </c>
      <c r="AV238">
        <v>16</v>
      </c>
      <c r="AW238">
        <v>2.97</v>
      </c>
      <c r="AX238">
        <v>43.92</v>
      </c>
      <c r="AY238">
        <v>14.79</v>
      </c>
      <c r="AZ238">
        <v>14.41</v>
      </c>
      <c r="BA238">
        <v>1.05</v>
      </c>
      <c r="BB238" t="s">
        <v>1723</v>
      </c>
      <c r="BF238">
        <v>-0.22</v>
      </c>
      <c r="BG238">
        <v>-1.63</v>
      </c>
      <c r="BH238">
        <v>-4.3499999999999996</v>
      </c>
      <c r="BI238">
        <v>0</v>
      </c>
      <c r="BJ238">
        <v>20210826</v>
      </c>
      <c r="BK238">
        <v>19970408</v>
      </c>
      <c r="BL238">
        <v>30.35</v>
      </c>
      <c r="BM238" t="s">
        <v>120</v>
      </c>
      <c r="BN238" t="s">
        <v>120</v>
      </c>
      <c r="BO238">
        <v>155.86000000000001</v>
      </c>
      <c r="BP238">
        <v>4.84</v>
      </c>
      <c r="BQ238">
        <v>90.46</v>
      </c>
      <c r="BR238">
        <v>2.69</v>
      </c>
      <c r="BS238">
        <v>40.24</v>
      </c>
      <c r="BT238">
        <v>120.17</v>
      </c>
      <c r="BU238">
        <v>8.66</v>
      </c>
      <c r="BV238">
        <v>4.1900000000000004</v>
      </c>
      <c r="BW238">
        <v>52.6</v>
      </c>
      <c r="BX238">
        <v>6.91</v>
      </c>
      <c r="BY238">
        <v>96.48</v>
      </c>
      <c r="BZ238">
        <v>1.03</v>
      </c>
      <c r="CA238">
        <v>0.19</v>
      </c>
      <c r="CB238">
        <v>10.64</v>
      </c>
      <c r="CC238">
        <v>16.899999999999999</v>
      </c>
      <c r="CD238">
        <v>6.06</v>
      </c>
      <c r="CE238">
        <v>7.89</v>
      </c>
      <c r="CF238">
        <v>-0.04</v>
      </c>
      <c r="CG238">
        <v>7.91</v>
      </c>
      <c r="CH238">
        <v>6.16</v>
      </c>
      <c r="CI238">
        <v>6.23</v>
      </c>
      <c r="CJ238">
        <v>-0.09</v>
      </c>
      <c r="CK238">
        <v>6.2</v>
      </c>
      <c r="CL238">
        <v>51.07</v>
      </c>
      <c r="CM238">
        <v>0.57999999999999996</v>
      </c>
      <c r="CN238">
        <v>-0.39</v>
      </c>
      <c r="CO238">
        <v>125054</v>
      </c>
      <c r="CP238">
        <v>10658</v>
      </c>
      <c r="CQ238" t="s">
        <v>1724</v>
      </c>
      <c r="CR238">
        <v>-4.1100000000000003</v>
      </c>
      <c r="CS238">
        <v>-8.17</v>
      </c>
      <c r="CT238">
        <v>1.62</v>
      </c>
      <c r="CU238">
        <v>254.28</v>
      </c>
      <c r="CV238">
        <v>8.69</v>
      </c>
      <c r="CW238">
        <v>0</v>
      </c>
      <c r="CX238" t="s">
        <v>1725</v>
      </c>
      <c r="CY238">
        <v>2.98</v>
      </c>
      <c r="CZ238">
        <v>0</v>
      </c>
      <c r="DA238">
        <v>0.35</v>
      </c>
      <c r="DB238">
        <v>1.68</v>
      </c>
      <c r="DC238">
        <v>0.02</v>
      </c>
      <c r="DD238">
        <v>58.04</v>
      </c>
      <c r="DE238" t="s">
        <v>1726</v>
      </c>
      <c r="DF238">
        <v>64.150000000000006</v>
      </c>
      <c r="DG238">
        <v>46.69</v>
      </c>
      <c r="DH238">
        <v>36.83</v>
      </c>
      <c r="DI238" t="s">
        <v>120</v>
      </c>
      <c r="DJ238">
        <v>777</v>
      </c>
      <c r="DK238">
        <v>718</v>
      </c>
      <c r="DL238">
        <v>20210816</v>
      </c>
      <c r="DM238">
        <v>6.2</v>
      </c>
      <c r="DN238">
        <v>-21.94</v>
      </c>
    </row>
    <row r="239" spans="1:118">
      <c r="A239" t="str">
        <f>"000719"</f>
        <v>000719</v>
      </c>
      <c r="B239" t="s">
        <v>1727</v>
      </c>
      <c r="C239">
        <v>-1.43</v>
      </c>
      <c r="D239">
        <v>-0.56999999999999995</v>
      </c>
      <c r="E239">
        <v>0.43</v>
      </c>
      <c r="F239">
        <v>3014</v>
      </c>
      <c r="G239" t="s">
        <v>1728</v>
      </c>
      <c r="H239">
        <v>2667.36</v>
      </c>
      <c r="I239">
        <v>7.23</v>
      </c>
      <c r="J239" t="s">
        <v>120</v>
      </c>
      <c r="K239" t="s">
        <v>1729</v>
      </c>
      <c r="L239">
        <v>0.56999999999999995</v>
      </c>
      <c r="M239">
        <v>6.89</v>
      </c>
      <c r="N239">
        <v>0.99</v>
      </c>
      <c r="O239">
        <v>0.56999999999999995</v>
      </c>
      <c r="P239">
        <v>7.03</v>
      </c>
      <c r="Q239">
        <v>-1.43</v>
      </c>
      <c r="R239">
        <v>6.89</v>
      </c>
      <c r="S239">
        <v>7.02</v>
      </c>
      <c r="T239">
        <v>38320</v>
      </c>
      <c r="U239">
        <v>6.9</v>
      </c>
      <c r="V239">
        <v>6.99</v>
      </c>
      <c r="W239">
        <v>8</v>
      </c>
      <c r="X239" t="s">
        <v>1730</v>
      </c>
      <c r="Y239" t="s">
        <v>645</v>
      </c>
      <c r="Z239">
        <v>2</v>
      </c>
      <c r="AA239">
        <v>6.96</v>
      </c>
      <c r="AB239">
        <v>22457</v>
      </c>
      <c r="AC239">
        <v>15863</v>
      </c>
      <c r="AD239">
        <v>1.42</v>
      </c>
      <c r="AE239">
        <v>718</v>
      </c>
      <c r="AF239">
        <v>53</v>
      </c>
      <c r="AG239" t="s">
        <v>120</v>
      </c>
      <c r="AH239">
        <v>0</v>
      </c>
      <c r="AI239" t="s">
        <v>120</v>
      </c>
      <c r="AJ239">
        <v>6.67</v>
      </c>
      <c r="AK239" t="s">
        <v>1731</v>
      </c>
      <c r="AL239">
        <v>0.48</v>
      </c>
      <c r="AM239">
        <v>1192</v>
      </c>
      <c r="AN239">
        <v>32</v>
      </c>
      <c r="AO239">
        <v>5.0000000000000001E-4</v>
      </c>
      <c r="AP239">
        <v>-1</v>
      </c>
      <c r="AQ239">
        <v>0.14000000000000001</v>
      </c>
      <c r="AR239">
        <v>-1.86</v>
      </c>
      <c r="AS239">
        <v>3.14</v>
      </c>
      <c r="AT239">
        <v>4.55</v>
      </c>
      <c r="AU239">
        <v>5.83</v>
      </c>
      <c r="AV239">
        <v>0</v>
      </c>
      <c r="AW239">
        <v>1.64</v>
      </c>
      <c r="AX239">
        <v>22.87</v>
      </c>
      <c r="AY239">
        <v>7.44</v>
      </c>
      <c r="AZ239">
        <v>7.71</v>
      </c>
      <c r="BA239">
        <v>0.06</v>
      </c>
      <c r="BB239" t="s">
        <v>143</v>
      </c>
      <c r="BF239">
        <v>-0.42</v>
      </c>
      <c r="BG239">
        <v>-1.85</v>
      </c>
      <c r="BH239">
        <v>-1.99</v>
      </c>
      <c r="BI239">
        <v>0</v>
      </c>
      <c r="BJ239">
        <v>20210906</v>
      </c>
      <c r="BK239">
        <v>19970331</v>
      </c>
      <c r="BL239">
        <v>10.23</v>
      </c>
      <c r="BM239" t="s">
        <v>120</v>
      </c>
      <c r="BN239" t="s">
        <v>120</v>
      </c>
      <c r="BO239">
        <v>139.46</v>
      </c>
      <c r="BP239">
        <v>6.89</v>
      </c>
      <c r="BQ239">
        <v>90.53</v>
      </c>
      <c r="BR239">
        <v>0.46</v>
      </c>
      <c r="BS239">
        <v>34.76</v>
      </c>
      <c r="BT239">
        <v>78.36</v>
      </c>
      <c r="BU239">
        <v>14.73</v>
      </c>
      <c r="BV239">
        <v>11.86</v>
      </c>
      <c r="BW239">
        <v>43.51</v>
      </c>
      <c r="BX239">
        <v>33.880000000000003</v>
      </c>
      <c r="BY239">
        <v>12.16</v>
      </c>
      <c r="BZ239">
        <v>19.010000000000002</v>
      </c>
      <c r="CA239">
        <v>0.16</v>
      </c>
      <c r="CB239">
        <v>27.62</v>
      </c>
      <c r="CC239">
        <v>44.45</v>
      </c>
      <c r="CD239">
        <v>29.38</v>
      </c>
      <c r="CE239">
        <v>4.4800000000000004</v>
      </c>
      <c r="CF239">
        <v>0.16</v>
      </c>
      <c r="CG239">
        <v>4.5</v>
      </c>
      <c r="CH239">
        <v>4.3899999999999997</v>
      </c>
      <c r="CI239">
        <v>4.41</v>
      </c>
      <c r="CJ239">
        <v>-0.1</v>
      </c>
      <c r="CK239">
        <v>4.24</v>
      </c>
      <c r="CL239">
        <v>50.02</v>
      </c>
      <c r="CM239">
        <v>-4.0999999999999996</v>
      </c>
      <c r="CN239">
        <v>-12.86</v>
      </c>
      <c r="CO239">
        <v>17521</v>
      </c>
      <c r="CP239">
        <v>13354</v>
      </c>
      <c r="CQ239" t="s">
        <v>1732</v>
      </c>
      <c r="CR239">
        <v>8.11</v>
      </c>
      <c r="CS239">
        <v>13.15</v>
      </c>
      <c r="CT239">
        <v>0.78</v>
      </c>
      <c r="CU239">
        <v>-17.21</v>
      </c>
      <c r="CV239">
        <v>1.59</v>
      </c>
      <c r="CW239">
        <v>4.43</v>
      </c>
      <c r="CX239" t="s">
        <v>1462</v>
      </c>
      <c r="CY239">
        <v>8.85</v>
      </c>
      <c r="CZ239">
        <v>0</v>
      </c>
      <c r="DA239">
        <v>2.7</v>
      </c>
      <c r="DB239">
        <v>4.8899999999999997</v>
      </c>
      <c r="DC239">
        <v>-0.4</v>
      </c>
      <c r="DD239">
        <v>64.91</v>
      </c>
      <c r="DE239" t="s">
        <v>1733</v>
      </c>
      <c r="DF239">
        <v>33.9</v>
      </c>
      <c r="DG239">
        <v>10.08</v>
      </c>
      <c r="DH239">
        <v>9.92</v>
      </c>
      <c r="DI239">
        <v>0.1</v>
      </c>
      <c r="DJ239">
        <v>14172</v>
      </c>
      <c r="DK239">
        <v>719</v>
      </c>
      <c r="DL239" t="s">
        <v>120</v>
      </c>
      <c r="DM239" t="s">
        <v>120</v>
      </c>
      <c r="DN239" t="s">
        <v>120</v>
      </c>
    </row>
    <row r="240" spans="1:118">
      <c r="A240" t="str">
        <f>"000720"</f>
        <v>000720</v>
      </c>
      <c r="B240" t="s">
        <v>1734</v>
      </c>
      <c r="C240">
        <v>-1.39</v>
      </c>
      <c r="D240">
        <v>0</v>
      </c>
      <c r="E240">
        <v>0.8</v>
      </c>
      <c r="F240">
        <v>1123</v>
      </c>
      <c r="G240" t="s">
        <v>1735</v>
      </c>
      <c r="H240">
        <v>4646.1000000000004</v>
      </c>
      <c r="I240">
        <v>15.79</v>
      </c>
      <c r="J240" t="s">
        <v>120</v>
      </c>
      <c r="K240" t="s">
        <v>1736</v>
      </c>
      <c r="L240">
        <v>0.72</v>
      </c>
      <c r="M240">
        <v>4.95</v>
      </c>
      <c r="N240">
        <v>0.68</v>
      </c>
      <c r="O240">
        <v>1.99</v>
      </c>
      <c r="P240">
        <v>5.12</v>
      </c>
      <c r="Q240">
        <v>-1.79</v>
      </c>
      <c r="R240">
        <v>4.93</v>
      </c>
      <c r="S240">
        <v>5.0599999999999996</v>
      </c>
      <c r="T240">
        <v>92637</v>
      </c>
      <c r="U240">
        <v>4.96</v>
      </c>
      <c r="V240">
        <v>5.0199999999999996</v>
      </c>
      <c r="W240" t="s">
        <v>120</v>
      </c>
      <c r="X240" t="s">
        <v>150</v>
      </c>
      <c r="Y240" t="s">
        <v>638</v>
      </c>
      <c r="Z240">
        <v>3.78</v>
      </c>
      <c r="AA240">
        <v>5.0199999999999996</v>
      </c>
      <c r="AB240">
        <v>53667</v>
      </c>
      <c r="AC240">
        <v>38970</v>
      </c>
      <c r="AD240">
        <v>1.38</v>
      </c>
      <c r="AE240">
        <v>209</v>
      </c>
      <c r="AF240">
        <v>568</v>
      </c>
      <c r="AG240" t="s">
        <v>120</v>
      </c>
      <c r="AH240">
        <v>0</v>
      </c>
      <c r="AI240" t="s">
        <v>120</v>
      </c>
      <c r="AJ240">
        <v>12.9</v>
      </c>
      <c r="AK240" t="s">
        <v>1736</v>
      </c>
      <c r="AL240">
        <v>0.52</v>
      </c>
      <c r="AM240">
        <v>1924</v>
      </c>
      <c r="AN240">
        <v>48</v>
      </c>
      <c r="AO240">
        <v>4.0000000000000002E-4</v>
      </c>
      <c r="AP240">
        <v>-1</v>
      </c>
      <c r="AQ240">
        <v>1.01</v>
      </c>
      <c r="AR240">
        <v>-3.88</v>
      </c>
      <c r="AS240">
        <v>17.850000000000001</v>
      </c>
      <c r="AT240">
        <v>12.24</v>
      </c>
      <c r="AU240">
        <v>32.35</v>
      </c>
      <c r="AV240">
        <v>6</v>
      </c>
      <c r="AW240">
        <v>1.37</v>
      </c>
      <c r="AX240">
        <v>52.54</v>
      </c>
      <c r="AY240">
        <v>20.52</v>
      </c>
      <c r="AZ240">
        <v>23.21</v>
      </c>
      <c r="BA240">
        <v>0.14000000000000001</v>
      </c>
      <c r="BB240" t="s">
        <v>125</v>
      </c>
      <c r="BF240">
        <v>-0.09</v>
      </c>
      <c r="BG240">
        <v>-2.17</v>
      </c>
      <c r="BH240">
        <v>-3.32</v>
      </c>
      <c r="BI240">
        <v>0.41</v>
      </c>
      <c r="BJ240">
        <v>20210831</v>
      </c>
      <c r="BK240">
        <v>19970509</v>
      </c>
      <c r="BL240">
        <v>12.9</v>
      </c>
      <c r="BM240" t="s">
        <v>120</v>
      </c>
      <c r="BN240" t="s">
        <v>120</v>
      </c>
      <c r="BO240">
        <v>54.39</v>
      </c>
      <c r="BP240">
        <v>4.95</v>
      </c>
      <c r="BQ240">
        <v>27.43</v>
      </c>
      <c r="BR240">
        <v>0.96</v>
      </c>
      <c r="BS240">
        <v>47.8</v>
      </c>
      <c r="BT240">
        <v>49.55</v>
      </c>
      <c r="BU240">
        <v>0.66</v>
      </c>
      <c r="BV240">
        <v>0.09</v>
      </c>
      <c r="BW240">
        <v>23.52</v>
      </c>
      <c r="BX240">
        <v>4.0599999999999996</v>
      </c>
      <c r="BY240">
        <v>24.08</v>
      </c>
      <c r="BZ240">
        <v>18.899999999999999</v>
      </c>
      <c r="CA240">
        <v>0.08</v>
      </c>
      <c r="CB240">
        <v>6.86</v>
      </c>
      <c r="CC240">
        <v>15.77</v>
      </c>
      <c r="CD240">
        <v>15.44</v>
      </c>
      <c r="CE240">
        <v>-0.39</v>
      </c>
      <c r="CF240">
        <v>0.01</v>
      </c>
      <c r="CG240">
        <v>-0.34</v>
      </c>
      <c r="CH240">
        <v>-0.38</v>
      </c>
      <c r="CI240">
        <v>-0.39</v>
      </c>
      <c r="CJ240">
        <v>-7.0000000000000007E-2</v>
      </c>
      <c r="CK240">
        <v>-0.42</v>
      </c>
      <c r="CL240">
        <v>7.83</v>
      </c>
      <c r="CM240">
        <v>-7.37</v>
      </c>
      <c r="CN240">
        <v>-3.66</v>
      </c>
      <c r="CO240">
        <v>51821</v>
      </c>
      <c r="CP240">
        <v>13075</v>
      </c>
      <c r="CQ240" t="s">
        <v>1737</v>
      </c>
      <c r="CR240">
        <v>48.55</v>
      </c>
      <c r="CS240">
        <v>158.03</v>
      </c>
      <c r="CT240">
        <v>2.33</v>
      </c>
      <c r="CU240">
        <v>-8.66</v>
      </c>
      <c r="CV240">
        <v>4.05</v>
      </c>
      <c r="CW240">
        <v>0</v>
      </c>
      <c r="CX240" t="s">
        <v>479</v>
      </c>
      <c r="CY240">
        <v>2.13</v>
      </c>
      <c r="CZ240">
        <v>0</v>
      </c>
      <c r="DA240">
        <v>0.53</v>
      </c>
      <c r="DB240">
        <v>0.61</v>
      </c>
      <c r="DC240">
        <v>-0.56999999999999995</v>
      </c>
      <c r="DD240">
        <v>50.44</v>
      </c>
      <c r="DE240" t="s">
        <v>1738</v>
      </c>
      <c r="DF240">
        <v>2.09</v>
      </c>
      <c r="DG240">
        <v>-2.4500000000000002</v>
      </c>
      <c r="DH240">
        <v>-2.46</v>
      </c>
      <c r="DI240" t="s">
        <v>120</v>
      </c>
      <c r="DJ240">
        <v>884</v>
      </c>
      <c r="DK240">
        <v>720</v>
      </c>
      <c r="DL240" t="s">
        <v>120</v>
      </c>
      <c r="DM240" t="s">
        <v>120</v>
      </c>
      <c r="DN240" t="s">
        <v>120</v>
      </c>
    </row>
    <row r="241" spans="1:118">
      <c r="A241" t="str">
        <f>"000721"</f>
        <v>000721</v>
      </c>
      <c r="B241" t="s">
        <v>1739</v>
      </c>
      <c r="C241">
        <v>-1.68</v>
      </c>
      <c r="D241">
        <v>-0.23</v>
      </c>
      <c r="E241">
        <v>0</v>
      </c>
      <c r="F241">
        <v>2048</v>
      </c>
      <c r="G241" t="s">
        <v>1740</v>
      </c>
      <c r="H241">
        <v>4773.57</v>
      </c>
      <c r="I241">
        <v>44.41</v>
      </c>
      <c r="J241" t="s">
        <v>120</v>
      </c>
      <c r="K241" t="s">
        <v>1741</v>
      </c>
      <c r="L241">
        <v>2.64</v>
      </c>
      <c r="M241">
        <v>4.0999999999999996</v>
      </c>
      <c r="N241">
        <v>0.68</v>
      </c>
      <c r="O241">
        <v>0.96</v>
      </c>
      <c r="P241">
        <v>4.21</v>
      </c>
      <c r="Q241">
        <v>-1.68</v>
      </c>
      <c r="R241">
        <v>4.0999999999999996</v>
      </c>
      <c r="S241">
        <v>4.17</v>
      </c>
      <c r="T241">
        <v>115292</v>
      </c>
      <c r="U241">
        <v>4.1100000000000003</v>
      </c>
      <c r="V241">
        <v>4.17</v>
      </c>
      <c r="W241" t="s">
        <v>120</v>
      </c>
      <c r="X241" t="s">
        <v>793</v>
      </c>
      <c r="Y241" t="s">
        <v>890</v>
      </c>
      <c r="Z241">
        <v>2.64</v>
      </c>
      <c r="AA241">
        <v>4.1399999999999997</v>
      </c>
      <c r="AB241">
        <v>64817</v>
      </c>
      <c r="AC241">
        <v>50475</v>
      </c>
      <c r="AD241">
        <v>1.28</v>
      </c>
      <c r="AE241">
        <v>961</v>
      </c>
      <c r="AF241">
        <v>361</v>
      </c>
      <c r="AG241" t="s">
        <v>120</v>
      </c>
      <c r="AH241">
        <v>0.03</v>
      </c>
      <c r="AI241" t="s">
        <v>120</v>
      </c>
      <c r="AJ241">
        <v>4.3600000000000003</v>
      </c>
      <c r="AK241" t="s">
        <v>1742</v>
      </c>
      <c r="AL241">
        <v>0.24</v>
      </c>
      <c r="AM241">
        <v>1405</v>
      </c>
      <c r="AN241">
        <v>82</v>
      </c>
      <c r="AO241">
        <v>1.9E-3</v>
      </c>
      <c r="AP241">
        <v>-2</v>
      </c>
      <c r="AQ241">
        <v>-3.02</v>
      </c>
      <c r="AR241">
        <v>-1.67</v>
      </c>
      <c r="AS241">
        <v>2.5</v>
      </c>
      <c r="AT241">
        <v>-3.3</v>
      </c>
      <c r="AU241">
        <v>-4.21</v>
      </c>
      <c r="AV241">
        <v>0</v>
      </c>
      <c r="AW241">
        <v>3.53</v>
      </c>
      <c r="AX241">
        <v>65.459999999999994</v>
      </c>
      <c r="AY241">
        <v>120.91</v>
      </c>
      <c r="AZ241">
        <v>230.91</v>
      </c>
      <c r="BA241">
        <v>0.21</v>
      </c>
      <c r="BB241" t="s">
        <v>143</v>
      </c>
      <c r="BF241">
        <v>-0.71</v>
      </c>
      <c r="BG241">
        <v>-1.68</v>
      </c>
      <c r="BH241">
        <v>-2.61</v>
      </c>
      <c r="BI241">
        <v>0</v>
      </c>
      <c r="BJ241">
        <v>20210825</v>
      </c>
      <c r="BK241">
        <v>19970430</v>
      </c>
      <c r="BL241">
        <v>4.99</v>
      </c>
      <c r="BM241" t="s">
        <v>120</v>
      </c>
      <c r="BN241" t="s">
        <v>120</v>
      </c>
      <c r="BO241">
        <v>13.78</v>
      </c>
      <c r="BP241">
        <v>4.0999999999999996</v>
      </c>
      <c r="BQ241">
        <v>5.66</v>
      </c>
      <c r="BR241">
        <v>0.01</v>
      </c>
      <c r="BS241">
        <v>58.87</v>
      </c>
      <c r="BT241">
        <v>2.69</v>
      </c>
      <c r="BU241">
        <v>1.58</v>
      </c>
      <c r="BV241">
        <v>0.2</v>
      </c>
      <c r="BW241">
        <v>5.91</v>
      </c>
      <c r="BX241">
        <v>1.57</v>
      </c>
      <c r="BY241">
        <v>0.37</v>
      </c>
      <c r="BZ241">
        <v>0.28999999999999998</v>
      </c>
      <c r="CA241">
        <v>0.06</v>
      </c>
      <c r="CB241">
        <v>0.57999999999999996</v>
      </c>
      <c r="CC241">
        <v>2.5499999999999998</v>
      </c>
      <c r="CD241">
        <v>1.98</v>
      </c>
      <c r="CE241">
        <v>-0.62</v>
      </c>
      <c r="CF241">
        <v>0</v>
      </c>
      <c r="CG241">
        <v>-0.62</v>
      </c>
      <c r="CH241">
        <v>-0.63</v>
      </c>
      <c r="CI241">
        <v>-0.62</v>
      </c>
      <c r="CJ241">
        <v>-7.0000000000000007E-2</v>
      </c>
      <c r="CK241">
        <v>-0.65</v>
      </c>
      <c r="CL241">
        <v>-0.48</v>
      </c>
      <c r="CM241">
        <v>-0.13</v>
      </c>
      <c r="CN241">
        <v>-1.2</v>
      </c>
      <c r="CO241">
        <v>59185</v>
      </c>
      <c r="CP241">
        <v>5520</v>
      </c>
      <c r="CQ241" t="s">
        <v>1743</v>
      </c>
      <c r="CR241">
        <v>11.72</v>
      </c>
      <c r="CS241">
        <v>97.56</v>
      </c>
      <c r="CT241">
        <v>3.62</v>
      </c>
      <c r="CU241">
        <v>-160.15</v>
      </c>
      <c r="CV241">
        <v>8.02</v>
      </c>
      <c r="CW241">
        <v>0</v>
      </c>
      <c r="CX241" t="s">
        <v>1744</v>
      </c>
      <c r="CY241">
        <v>1.1299999999999999</v>
      </c>
      <c r="CZ241">
        <v>0</v>
      </c>
      <c r="DA241">
        <v>0.12</v>
      </c>
      <c r="DB241">
        <v>-0.1</v>
      </c>
      <c r="DC241">
        <v>-0.03</v>
      </c>
      <c r="DD241">
        <v>41.04</v>
      </c>
      <c r="DE241" t="s">
        <v>1745</v>
      </c>
      <c r="DF241">
        <v>22.22</v>
      </c>
      <c r="DG241">
        <v>-24.41</v>
      </c>
      <c r="DH241">
        <v>-24.22</v>
      </c>
      <c r="DI241" t="s">
        <v>120</v>
      </c>
      <c r="DJ241">
        <v>3338</v>
      </c>
      <c r="DK241">
        <v>721</v>
      </c>
      <c r="DL241" t="s">
        <v>120</v>
      </c>
      <c r="DM241" t="s">
        <v>120</v>
      </c>
      <c r="DN241" t="s">
        <v>120</v>
      </c>
    </row>
    <row r="242" spans="1:118">
      <c r="A242" t="str">
        <f>"000722"</f>
        <v>000722</v>
      </c>
      <c r="B242" t="s">
        <v>1746</v>
      </c>
      <c r="C242">
        <v>-1.75</v>
      </c>
      <c r="D242">
        <v>-0.4</v>
      </c>
      <c r="E242">
        <v>-0.13</v>
      </c>
      <c r="F242">
        <v>2460</v>
      </c>
      <c r="G242" t="s">
        <v>1747</v>
      </c>
      <c r="H242">
        <v>8354.1299999999992</v>
      </c>
      <c r="I242">
        <v>183.74</v>
      </c>
      <c r="J242" t="s">
        <v>120</v>
      </c>
      <c r="K242" t="s">
        <v>1748</v>
      </c>
      <c r="L242">
        <v>2.44</v>
      </c>
      <c r="M242">
        <v>7.28</v>
      </c>
      <c r="N242">
        <v>0.61</v>
      </c>
      <c r="O242">
        <v>2.4300000000000002</v>
      </c>
      <c r="P242">
        <v>7.59</v>
      </c>
      <c r="Q242">
        <v>-1.89</v>
      </c>
      <c r="R242">
        <v>7.27</v>
      </c>
      <c r="S242">
        <v>7.4</v>
      </c>
      <c r="T242">
        <v>113116</v>
      </c>
      <c r="U242">
        <v>7.29</v>
      </c>
      <c r="V242">
        <v>7.41</v>
      </c>
      <c r="W242">
        <v>32.229999999999997</v>
      </c>
      <c r="X242" t="s">
        <v>1287</v>
      </c>
      <c r="Y242" t="s">
        <v>594</v>
      </c>
      <c r="Z242">
        <v>4.32</v>
      </c>
      <c r="AA242">
        <v>7.39</v>
      </c>
      <c r="AB242">
        <v>65312</v>
      </c>
      <c r="AC242">
        <v>47804</v>
      </c>
      <c r="AD242">
        <v>1.37</v>
      </c>
      <c r="AE242">
        <v>3247</v>
      </c>
      <c r="AF242">
        <v>70</v>
      </c>
      <c r="AG242" t="s">
        <v>120</v>
      </c>
      <c r="AH242">
        <v>0.11</v>
      </c>
      <c r="AI242" t="s">
        <v>120</v>
      </c>
      <c r="AJ242">
        <v>4.6399999999999997</v>
      </c>
      <c r="AK242" t="s">
        <v>1748</v>
      </c>
      <c r="AL242">
        <v>0.16</v>
      </c>
      <c r="AM242">
        <v>2141</v>
      </c>
      <c r="AN242">
        <v>53</v>
      </c>
      <c r="AO242">
        <v>1.1000000000000001E-3</v>
      </c>
      <c r="AP242">
        <v>-1</v>
      </c>
      <c r="AQ242">
        <v>2.92</v>
      </c>
      <c r="AR242">
        <v>-2.93</v>
      </c>
      <c r="AS242">
        <v>14.83</v>
      </c>
      <c r="AT242">
        <v>-0.41</v>
      </c>
      <c r="AU242">
        <v>5.97</v>
      </c>
      <c r="AV242">
        <v>7</v>
      </c>
      <c r="AW242">
        <v>5.17</v>
      </c>
      <c r="AX242">
        <v>47.15</v>
      </c>
      <c r="AY242">
        <v>45.58</v>
      </c>
      <c r="AZ242">
        <v>35.14</v>
      </c>
      <c r="BA242">
        <v>0.6</v>
      </c>
      <c r="BB242" t="s">
        <v>143</v>
      </c>
      <c r="BF242">
        <v>-0.33</v>
      </c>
      <c r="BG242">
        <v>-1.62</v>
      </c>
      <c r="BH242">
        <v>-4.08</v>
      </c>
      <c r="BI242">
        <v>0.14000000000000001</v>
      </c>
      <c r="BJ242">
        <v>20210901</v>
      </c>
      <c r="BK242">
        <v>19970522</v>
      </c>
      <c r="BL242">
        <v>4.6399999999999997</v>
      </c>
      <c r="BM242" t="s">
        <v>120</v>
      </c>
      <c r="BN242" t="s">
        <v>120</v>
      </c>
      <c r="BO242">
        <v>33.18</v>
      </c>
      <c r="BP242">
        <v>7.28</v>
      </c>
      <c r="BQ242">
        <v>30.48</v>
      </c>
      <c r="BR242">
        <v>0.43</v>
      </c>
      <c r="BS242">
        <v>6.84</v>
      </c>
      <c r="BT242">
        <v>13.83</v>
      </c>
      <c r="BU242">
        <v>13.71</v>
      </c>
      <c r="BV242">
        <v>0.13</v>
      </c>
      <c r="BW242">
        <v>1.4</v>
      </c>
      <c r="BX242">
        <v>4.24</v>
      </c>
      <c r="BY242">
        <v>0.65</v>
      </c>
      <c r="BZ242">
        <v>0.33</v>
      </c>
      <c r="CA242" t="s">
        <v>120</v>
      </c>
      <c r="CB242">
        <v>21.35</v>
      </c>
      <c r="CC242">
        <v>1.78</v>
      </c>
      <c r="CD242">
        <v>1.1100000000000001</v>
      </c>
      <c r="CE242">
        <v>0.65</v>
      </c>
      <c r="CF242">
        <v>0.18</v>
      </c>
      <c r="CG242">
        <v>0.65</v>
      </c>
      <c r="CH242">
        <v>0.52</v>
      </c>
      <c r="CI242">
        <v>0.52</v>
      </c>
      <c r="CJ242">
        <v>-0.13</v>
      </c>
      <c r="CK242">
        <v>0.5</v>
      </c>
      <c r="CL242">
        <v>3.86</v>
      </c>
      <c r="CM242">
        <v>-0.28999999999999998</v>
      </c>
      <c r="CN242">
        <v>-0.55000000000000004</v>
      </c>
      <c r="CO242">
        <v>40251</v>
      </c>
      <c r="CP242">
        <v>5437</v>
      </c>
      <c r="CQ242" t="s">
        <v>1749</v>
      </c>
      <c r="CR242">
        <v>-29.95</v>
      </c>
      <c r="CS242">
        <v>34.11</v>
      </c>
      <c r="CT242">
        <v>1.1100000000000001</v>
      </c>
      <c r="CU242">
        <v>-115.49</v>
      </c>
      <c r="CV242">
        <v>18.95</v>
      </c>
      <c r="CW242">
        <v>1.35</v>
      </c>
      <c r="CX242" t="s">
        <v>1147</v>
      </c>
      <c r="CY242">
        <v>6.57</v>
      </c>
      <c r="CZ242">
        <v>0</v>
      </c>
      <c r="DA242">
        <v>4.5999999999999996</v>
      </c>
      <c r="DB242">
        <v>0.83</v>
      </c>
      <c r="DC242">
        <v>-0.06</v>
      </c>
      <c r="DD242">
        <v>91.86</v>
      </c>
      <c r="DE242" t="s">
        <v>1750</v>
      </c>
      <c r="DF242">
        <v>37.549999999999997</v>
      </c>
      <c r="DG242">
        <v>36.69</v>
      </c>
      <c r="DH242">
        <v>29.41</v>
      </c>
      <c r="DI242">
        <v>0.04</v>
      </c>
      <c r="DJ242">
        <v>295</v>
      </c>
      <c r="DK242">
        <v>722</v>
      </c>
      <c r="DL242" t="s">
        <v>120</v>
      </c>
      <c r="DM242" t="s">
        <v>120</v>
      </c>
      <c r="DN242" t="s">
        <v>120</v>
      </c>
    </row>
    <row r="243" spans="1:118">
      <c r="A243" t="str">
        <f>"000723"</f>
        <v>000723</v>
      </c>
      <c r="B243" t="s">
        <v>1751</v>
      </c>
      <c r="C243">
        <v>-1.69</v>
      </c>
      <c r="D243">
        <v>-0.38</v>
      </c>
      <c r="E243">
        <v>2.15</v>
      </c>
      <c r="F243">
        <v>28881</v>
      </c>
      <c r="G243" t="s">
        <v>1752</v>
      </c>
      <c r="H243">
        <v>340651.9</v>
      </c>
      <c r="I243">
        <v>2405.9699999999998</v>
      </c>
      <c r="J243" t="s">
        <v>120</v>
      </c>
      <c r="K243" t="s">
        <v>1753</v>
      </c>
      <c r="L243">
        <v>6.41</v>
      </c>
      <c r="M243">
        <v>12.8</v>
      </c>
      <c r="N243">
        <v>0.93</v>
      </c>
      <c r="O243">
        <v>6.37</v>
      </c>
      <c r="P243">
        <v>13.85</v>
      </c>
      <c r="Q243">
        <v>-1.69</v>
      </c>
      <c r="R243">
        <v>12.8</v>
      </c>
      <c r="S243">
        <v>13.3</v>
      </c>
      <c r="T243">
        <v>2546756</v>
      </c>
      <c r="U243">
        <v>12.81</v>
      </c>
      <c r="V243">
        <v>13.02</v>
      </c>
      <c r="W243">
        <v>21.88</v>
      </c>
      <c r="X243" t="s">
        <v>1754</v>
      </c>
      <c r="Y243" t="s">
        <v>667</v>
      </c>
      <c r="Z243">
        <v>8.06</v>
      </c>
      <c r="AA243">
        <v>13.38</v>
      </c>
      <c r="AB243">
        <v>1236556</v>
      </c>
      <c r="AC243">
        <v>1310200</v>
      </c>
      <c r="AD243">
        <v>0.94</v>
      </c>
      <c r="AE243">
        <v>9722</v>
      </c>
      <c r="AF243">
        <v>439</v>
      </c>
      <c r="AG243" t="s">
        <v>120</v>
      </c>
      <c r="AH243">
        <v>0.09</v>
      </c>
      <c r="AI243" t="s">
        <v>120</v>
      </c>
      <c r="AJ243">
        <v>39.700000000000003</v>
      </c>
      <c r="AK243" t="s">
        <v>1755</v>
      </c>
      <c r="AL243">
        <v>0.22</v>
      </c>
      <c r="AM243">
        <v>4739</v>
      </c>
      <c r="AN243">
        <v>537</v>
      </c>
      <c r="AO243">
        <v>1.4E-3</v>
      </c>
      <c r="AP243">
        <v>-1</v>
      </c>
      <c r="AQ243">
        <v>1.0900000000000001</v>
      </c>
      <c r="AR243">
        <v>-4.34</v>
      </c>
      <c r="AS243">
        <v>1.43</v>
      </c>
      <c r="AT243">
        <v>83.64</v>
      </c>
      <c r="AU243">
        <v>91.62</v>
      </c>
      <c r="AV243">
        <v>10</v>
      </c>
      <c r="AW243">
        <v>12.64</v>
      </c>
      <c r="AX243">
        <v>47.17</v>
      </c>
      <c r="AY243">
        <v>29.4</v>
      </c>
      <c r="AZ243">
        <v>78.92</v>
      </c>
      <c r="BA243">
        <v>0.88</v>
      </c>
      <c r="BB243" t="s">
        <v>143</v>
      </c>
      <c r="BF243">
        <v>2.73</v>
      </c>
      <c r="BG243">
        <v>-3.76</v>
      </c>
      <c r="BH243">
        <v>-7.58</v>
      </c>
      <c r="BI243">
        <v>0</v>
      </c>
      <c r="BJ243">
        <v>20210827</v>
      </c>
      <c r="BK243">
        <v>19970515</v>
      </c>
      <c r="BL243">
        <v>42.7</v>
      </c>
      <c r="BM243" t="s">
        <v>120</v>
      </c>
      <c r="BN243" t="s">
        <v>120</v>
      </c>
      <c r="BO243">
        <v>272.94</v>
      </c>
      <c r="BP243">
        <v>12.8</v>
      </c>
      <c r="BQ243">
        <v>110.81</v>
      </c>
      <c r="BR243">
        <v>16.38</v>
      </c>
      <c r="BS243">
        <v>53.4</v>
      </c>
      <c r="BT243">
        <v>57.75</v>
      </c>
      <c r="BU243">
        <v>132.80000000000001</v>
      </c>
      <c r="BV243">
        <v>38.89</v>
      </c>
      <c r="BW243">
        <v>124.94</v>
      </c>
      <c r="BX243">
        <v>16.850000000000001</v>
      </c>
      <c r="BY243">
        <v>9.1</v>
      </c>
      <c r="BZ243">
        <v>13.12</v>
      </c>
      <c r="CA243" t="s">
        <v>120</v>
      </c>
      <c r="CB243">
        <v>11.12</v>
      </c>
      <c r="CC243">
        <v>88.93</v>
      </c>
      <c r="CD243">
        <v>59.64</v>
      </c>
      <c r="CE243">
        <v>19.97</v>
      </c>
      <c r="CF243">
        <v>0.08</v>
      </c>
      <c r="CG243">
        <v>19.8</v>
      </c>
      <c r="CH243">
        <v>15.33</v>
      </c>
      <c r="CI243">
        <v>12.49</v>
      </c>
      <c r="CJ243">
        <v>-0.22</v>
      </c>
      <c r="CK243">
        <v>13.9</v>
      </c>
      <c r="CL243">
        <v>53.65</v>
      </c>
      <c r="CM243">
        <v>28.2</v>
      </c>
      <c r="CN243">
        <v>-3.51</v>
      </c>
      <c r="CO243">
        <v>268777</v>
      </c>
      <c r="CP243">
        <v>7494</v>
      </c>
      <c r="CQ243" t="s">
        <v>1756</v>
      </c>
      <c r="CR243">
        <v>1909.35</v>
      </c>
      <c r="CS243">
        <v>69.55</v>
      </c>
      <c r="CT243">
        <v>4.9400000000000004</v>
      </c>
      <c r="CU243">
        <v>19.39</v>
      </c>
      <c r="CV243">
        <v>6.15</v>
      </c>
      <c r="CW243">
        <v>0</v>
      </c>
      <c r="CX243" t="s">
        <v>293</v>
      </c>
      <c r="CY243">
        <v>2.59</v>
      </c>
      <c r="CZ243">
        <v>2.59</v>
      </c>
      <c r="DA243">
        <v>0.26</v>
      </c>
      <c r="DB243">
        <v>1.26</v>
      </c>
      <c r="DC243">
        <v>0.66</v>
      </c>
      <c r="DD243">
        <v>40.6</v>
      </c>
      <c r="DE243" t="s">
        <v>1757</v>
      </c>
      <c r="DF243">
        <v>32.93</v>
      </c>
      <c r="DG243">
        <v>22.45</v>
      </c>
      <c r="DH243">
        <v>14.04</v>
      </c>
      <c r="DI243">
        <v>0.83</v>
      </c>
      <c r="DJ243">
        <v>4106</v>
      </c>
      <c r="DK243">
        <v>723</v>
      </c>
      <c r="DL243">
        <v>20210720</v>
      </c>
      <c r="DM243">
        <v>8.65</v>
      </c>
      <c r="DN243">
        <v>47.98</v>
      </c>
    </row>
    <row r="244" spans="1:118">
      <c r="A244" t="str">
        <f>"000725"</f>
        <v>000725</v>
      </c>
      <c r="B244" t="s">
        <v>1758</v>
      </c>
      <c r="C244">
        <v>0.71</v>
      </c>
      <c r="D244">
        <v>0</v>
      </c>
      <c r="E244">
        <v>-0.18</v>
      </c>
      <c r="F244">
        <v>96837</v>
      </c>
      <c r="G244" t="s">
        <v>1759</v>
      </c>
      <c r="H244">
        <v>335098.77</v>
      </c>
      <c r="I244">
        <v>1401.48</v>
      </c>
      <c r="J244" t="s">
        <v>120</v>
      </c>
      <c r="K244" t="s">
        <v>1760</v>
      </c>
      <c r="L244">
        <v>1.76</v>
      </c>
      <c r="M244">
        <v>5.7</v>
      </c>
      <c r="N244">
        <v>1.1299999999999999</v>
      </c>
      <c r="O244">
        <v>1.59</v>
      </c>
      <c r="P244">
        <v>5.75</v>
      </c>
      <c r="Q244">
        <v>-1.06</v>
      </c>
      <c r="R244">
        <v>5.6</v>
      </c>
      <c r="S244">
        <v>5.65</v>
      </c>
      <c r="T244">
        <v>5914310</v>
      </c>
      <c r="U244">
        <v>5.71</v>
      </c>
      <c r="V244">
        <v>5.66</v>
      </c>
      <c r="W244">
        <v>8.59</v>
      </c>
      <c r="X244" t="s">
        <v>229</v>
      </c>
      <c r="Y244" t="s">
        <v>158</v>
      </c>
      <c r="Z244">
        <v>2.65</v>
      </c>
      <c r="AA244">
        <v>5.67</v>
      </c>
      <c r="AB244">
        <v>2510798</v>
      </c>
      <c r="AC244">
        <v>3403511</v>
      </c>
      <c r="AD244">
        <v>0.74</v>
      </c>
      <c r="AE244">
        <v>34538</v>
      </c>
      <c r="AF244">
        <v>21111</v>
      </c>
      <c r="AG244" t="s">
        <v>120</v>
      </c>
      <c r="AH244">
        <v>0.01</v>
      </c>
      <c r="AI244" t="s">
        <v>120</v>
      </c>
      <c r="AJ244">
        <v>335.37</v>
      </c>
      <c r="AK244" t="s">
        <v>1761</v>
      </c>
      <c r="AL244">
        <v>2.62</v>
      </c>
      <c r="AM244">
        <v>4742</v>
      </c>
      <c r="AN244">
        <v>1247</v>
      </c>
      <c r="AO244">
        <v>4.0000000000000002E-4</v>
      </c>
      <c r="AP244">
        <v>1</v>
      </c>
      <c r="AQ244">
        <v>-0.88</v>
      </c>
      <c r="AR244">
        <v>-2.0699999999999998</v>
      </c>
      <c r="AS244">
        <v>-1.39</v>
      </c>
      <c r="AT244">
        <v>-10.79</v>
      </c>
      <c r="AU244">
        <v>-3.39</v>
      </c>
      <c r="AV244">
        <v>0</v>
      </c>
      <c r="AW244">
        <v>2.16</v>
      </c>
      <c r="AX244">
        <v>71.23</v>
      </c>
      <c r="AY244">
        <v>13.06</v>
      </c>
      <c r="AZ244">
        <v>43.22</v>
      </c>
      <c r="BA244">
        <v>0.32</v>
      </c>
      <c r="BB244" t="s">
        <v>143</v>
      </c>
      <c r="BF244">
        <v>0.1</v>
      </c>
      <c r="BG244">
        <v>0.88</v>
      </c>
      <c r="BH244">
        <v>-0.87</v>
      </c>
      <c r="BI244">
        <v>1.79</v>
      </c>
      <c r="BJ244">
        <v>20210913</v>
      </c>
      <c r="BK244">
        <v>20010112</v>
      </c>
      <c r="BL244">
        <v>384.49</v>
      </c>
      <c r="BM244">
        <v>9.36</v>
      </c>
      <c r="BN244" t="s">
        <v>120</v>
      </c>
      <c r="BO244">
        <v>4354.76</v>
      </c>
      <c r="BP244">
        <v>5.7</v>
      </c>
      <c r="BQ244">
        <v>1119.46</v>
      </c>
      <c r="BR244">
        <v>739.49</v>
      </c>
      <c r="BS244">
        <v>57.31</v>
      </c>
      <c r="BT244">
        <v>1418.32</v>
      </c>
      <c r="BU244">
        <v>2244.83</v>
      </c>
      <c r="BV244">
        <v>113.51</v>
      </c>
      <c r="BW244">
        <v>1032.52</v>
      </c>
      <c r="BX244">
        <v>713.89</v>
      </c>
      <c r="BY244">
        <v>235.64</v>
      </c>
      <c r="BZ244">
        <v>361.06</v>
      </c>
      <c r="CA244">
        <v>2.15</v>
      </c>
      <c r="CB244">
        <v>370.62</v>
      </c>
      <c r="CC244">
        <v>1072.8499999999999</v>
      </c>
      <c r="CD244">
        <v>737.46</v>
      </c>
      <c r="CE244">
        <v>186.66</v>
      </c>
      <c r="CF244">
        <v>0.26</v>
      </c>
      <c r="CG244">
        <v>186.92</v>
      </c>
      <c r="CH244">
        <v>164.32</v>
      </c>
      <c r="CI244">
        <v>127.62</v>
      </c>
      <c r="CJ244">
        <v>0.04</v>
      </c>
      <c r="CK244">
        <v>116.62</v>
      </c>
      <c r="CL244">
        <v>245.68</v>
      </c>
      <c r="CM244">
        <v>327.45</v>
      </c>
      <c r="CN244">
        <v>-12.03</v>
      </c>
      <c r="CO244">
        <v>1448425</v>
      </c>
      <c r="CP244">
        <v>19554</v>
      </c>
      <c r="CQ244" t="s">
        <v>1615</v>
      </c>
      <c r="CR244">
        <v>1023.96</v>
      </c>
      <c r="CS244">
        <v>76.260000000000005</v>
      </c>
      <c r="CT244">
        <v>2.0299999999999998</v>
      </c>
      <c r="CU244">
        <v>6.69</v>
      </c>
      <c r="CV244">
        <v>2.04</v>
      </c>
      <c r="CW244">
        <v>1.6</v>
      </c>
      <c r="CX244" t="s">
        <v>472</v>
      </c>
      <c r="CY244">
        <v>2.81</v>
      </c>
      <c r="CZ244">
        <v>2.81</v>
      </c>
      <c r="DA244">
        <v>0.96</v>
      </c>
      <c r="DB244">
        <v>0.64</v>
      </c>
      <c r="DC244">
        <v>0.85</v>
      </c>
      <c r="DD244">
        <v>25.71</v>
      </c>
      <c r="DE244" t="s">
        <v>1762</v>
      </c>
      <c r="DF244">
        <v>31.26</v>
      </c>
      <c r="DG244">
        <v>17.399999999999999</v>
      </c>
      <c r="DH244">
        <v>11.9</v>
      </c>
      <c r="DI244">
        <v>50.03</v>
      </c>
      <c r="DJ244">
        <v>76459</v>
      </c>
      <c r="DK244">
        <v>725</v>
      </c>
      <c r="DL244" t="s">
        <v>120</v>
      </c>
      <c r="DM244" t="s">
        <v>120</v>
      </c>
      <c r="DN244" t="s">
        <v>120</v>
      </c>
    </row>
    <row r="245" spans="1:118">
      <c r="A245" t="str">
        <f>"000726"</f>
        <v>000726</v>
      </c>
      <c r="B245" t="s">
        <v>1763</v>
      </c>
      <c r="C245">
        <v>-0.16</v>
      </c>
      <c r="D245">
        <v>-0.15</v>
      </c>
      <c r="E245">
        <v>0</v>
      </c>
      <c r="F245">
        <v>582</v>
      </c>
      <c r="G245" t="s">
        <v>1764</v>
      </c>
      <c r="H245">
        <v>4284.57</v>
      </c>
      <c r="I245">
        <v>9.68</v>
      </c>
      <c r="J245" t="s">
        <v>120</v>
      </c>
      <c r="K245" t="s">
        <v>1765</v>
      </c>
      <c r="L245">
        <v>1.25</v>
      </c>
      <c r="M245">
        <v>6.08</v>
      </c>
      <c r="N245">
        <v>1.06</v>
      </c>
      <c r="O245">
        <v>1.64</v>
      </c>
      <c r="P245">
        <v>6.19</v>
      </c>
      <c r="Q245">
        <v>-0.66</v>
      </c>
      <c r="R245">
        <v>6.05</v>
      </c>
      <c r="S245">
        <v>6.09</v>
      </c>
      <c r="T245">
        <v>69943</v>
      </c>
      <c r="U245">
        <v>6.09</v>
      </c>
      <c r="V245">
        <v>6.09</v>
      </c>
      <c r="W245">
        <v>17.48</v>
      </c>
      <c r="X245" t="s">
        <v>1766</v>
      </c>
      <c r="Y245" t="s">
        <v>638</v>
      </c>
      <c r="Z245">
        <v>2.2999999999999998</v>
      </c>
      <c r="AA245">
        <v>6.13</v>
      </c>
      <c r="AB245">
        <v>31163</v>
      </c>
      <c r="AC245">
        <v>38780</v>
      </c>
      <c r="AD245">
        <v>0.8</v>
      </c>
      <c r="AE245">
        <v>30</v>
      </c>
      <c r="AF245">
        <v>365</v>
      </c>
      <c r="AG245" t="s">
        <v>120</v>
      </c>
      <c r="AH245">
        <v>0</v>
      </c>
      <c r="AI245" t="s">
        <v>120</v>
      </c>
      <c r="AJ245">
        <v>5.61</v>
      </c>
      <c r="AK245" t="s">
        <v>1051</v>
      </c>
      <c r="AL245">
        <v>1.75</v>
      </c>
      <c r="AM245">
        <v>1775</v>
      </c>
      <c r="AN245">
        <v>39</v>
      </c>
      <c r="AO245">
        <v>6.9999999999999999E-4</v>
      </c>
      <c r="AP245">
        <v>-1</v>
      </c>
      <c r="AQ245">
        <v>1</v>
      </c>
      <c r="AR245">
        <v>0.17</v>
      </c>
      <c r="AS245">
        <v>11.56</v>
      </c>
      <c r="AT245">
        <v>1.33</v>
      </c>
      <c r="AU245">
        <v>-8.16</v>
      </c>
      <c r="AV245">
        <v>0</v>
      </c>
      <c r="AW245">
        <v>1.66</v>
      </c>
      <c r="AX245">
        <v>47.7</v>
      </c>
      <c r="AY245">
        <v>50.37</v>
      </c>
      <c r="AZ245">
        <v>55.23</v>
      </c>
      <c r="BA245">
        <v>0.34</v>
      </c>
      <c r="BB245" t="s">
        <v>184</v>
      </c>
      <c r="BF245">
        <v>0.59</v>
      </c>
      <c r="BG245">
        <v>-0.16</v>
      </c>
      <c r="BH245">
        <v>-1.78</v>
      </c>
      <c r="BI245">
        <v>0.5</v>
      </c>
      <c r="BJ245">
        <v>20210915</v>
      </c>
      <c r="BK245">
        <v>20001225</v>
      </c>
      <c r="BL245">
        <v>8.82</v>
      </c>
      <c r="BM245">
        <v>2.96</v>
      </c>
      <c r="BN245" t="s">
        <v>120</v>
      </c>
      <c r="BO245">
        <v>124.01</v>
      </c>
      <c r="BP245">
        <v>6.08</v>
      </c>
      <c r="BQ245">
        <v>78.680000000000007</v>
      </c>
      <c r="BR245">
        <v>3.94</v>
      </c>
      <c r="BS245">
        <v>33.369999999999997</v>
      </c>
      <c r="BT245">
        <v>52.06</v>
      </c>
      <c r="BU245">
        <v>56.44</v>
      </c>
      <c r="BV245">
        <v>3.68</v>
      </c>
      <c r="BW245">
        <v>17.68</v>
      </c>
      <c r="BX245">
        <v>20.399999999999999</v>
      </c>
      <c r="BY245">
        <v>20.79</v>
      </c>
      <c r="BZ245">
        <v>4.67</v>
      </c>
      <c r="CA245" t="s">
        <v>120</v>
      </c>
      <c r="CB245">
        <v>3.18</v>
      </c>
      <c r="CC245">
        <v>22.2</v>
      </c>
      <c r="CD245">
        <v>18.11</v>
      </c>
      <c r="CE245">
        <v>1.67</v>
      </c>
      <c r="CF245">
        <v>0.28999999999999998</v>
      </c>
      <c r="CG245">
        <v>1.66</v>
      </c>
      <c r="CH245">
        <v>1.43</v>
      </c>
      <c r="CI245">
        <v>1.53</v>
      </c>
      <c r="CJ245">
        <v>-0.01</v>
      </c>
      <c r="CK245">
        <v>0.54</v>
      </c>
      <c r="CL245">
        <v>54.56</v>
      </c>
      <c r="CM245">
        <v>1.83</v>
      </c>
      <c r="CN245">
        <v>6.38</v>
      </c>
      <c r="CO245">
        <v>58740</v>
      </c>
      <c r="CP245">
        <v>12209</v>
      </c>
      <c r="CQ245" t="s">
        <v>1767</v>
      </c>
      <c r="CR245">
        <v>6.51</v>
      </c>
      <c r="CS245">
        <v>-2.91</v>
      </c>
      <c r="CT245">
        <v>0.69</v>
      </c>
      <c r="CU245">
        <v>29.36</v>
      </c>
      <c r="CV245">
        <v>2.42</v>
      </c>
      <c r="CW245">
        <v>0.82</v>
      </c>
      <c r="CX245" t="s">
        <v>1193</v>
      </c>
      <c r="CY245">
        <v>8.84</v>
      </c>
      <c r="CZ245">
        <v>8.84</v>
      </c>
      <c r="DA245">
        <v>0.36</v>
      </c>
      <c r="DB245">
        <v>6.18</v>
      </c>
      <c r="DC245">
        <v>0.21</v>
      </c>
      <c r="DD245">
        <v>63.45</v>
      </c>
      <c r="DE245" t="s">
        <v>1768</v>
      </c>
      <c r="DF245">
        <v>18.420000000000002</v>
      </c>
      <c r="DG245">
        <v>7.52</v>
      </c>
      <c r="DH245">
        <v>6.91</v>
      </c>
      <c r="DI245">
        <v>1.31</v>
      </c>
      <c r="DJ245">
        <v>22583</v>
      </c>
      <c r="DK245">
        <v>726</v>
      </c>
      <c r="DL245" t="s">
        <v>120</v>
      </c>
      <c r="DM245" t="s">
        <v>120</v>
      </c>
      <c r="DN245" t="s">
        <v>120</v>
      </c>
    </row>
    <row r="246" spans="1:118">
      <c r="A246" t="str">
        <f>"000727"</f>
        <v>000727</v>
      </c>
      <c r="B246" t="s">
        <v>1769</v>
      </c>
      <c r="C246">
        <v>-1.53</v>
      </c>
      <c r="D246">
        <v>0.39</v>
      </c>
      <c r="E246">
        <v>0</v>
      </c>
      <c r="F246">
        <v>4516</v>
      </c>
      <c r="G246" t="s">
        <v>1770</v>
      </c>
      <c r="H246">
        <v>12629.26</v>
      </c>
      <c r="I246">
        <v>27.85</v>
      </c>
      <c r="J246" t="s">
        <v>120</v>
      </c>
      <c r="K246" t="s">
        <v>1771</v>
      </c>
      <c r="L246">
        <v>1.42</v>
      </c>
      <c r="M246">
        <v>2.58</v>
      </c>
      <c r="N246">
        <v>1.03</v>
      </c>
      <c r="O246">
        <v>1.1499999999999999</v>
      </c>
      <c r="P246">
        <v>2.65</v>
      </c>
      <c r="Q246">
        <v>-2.29</v>
      </c>
      <c r="R246">
        <v>2.56</v>
      </c>
      <c r="S246">
        <v>2.62</v>
      </c>
      <c r="T246">
        <v>485886</v>
      </c>
      <c r="U246">
        <v>2.58</v>
      </c>
      <c r="V246">
        <v>2.62</v>
      </c>
      <c r="W246">
        <v>14.32</v>
      </c>
      <c r="X246" t="s">
        <v>229</v>
      </c>
      <c r="Y246" t="s">
        <v>319</v>
      </c>
      <c r="Z246">
        <v>3.44</v>
      </c>
      <c r="AA246">
        <v>2.6</v>
      </c>
      <c r="AB246">
        <v>270100</v>
      </c>
      <c r="AC246">
        <v>215786</v>
      </c>
      <c r="AD246">
        <v>1.25</v>
      </c>
      <c r="AE246">
        <v>1398</v>
      </c>
      <c r="AF246">
        <v>4572</v>
      </c>
      <c r="AG246" t="s">
        <v>120</v>
      </c>
      <c r="AH246">
        <v>0</v>
      </c>
      <c r="AI246" t="s">
        <v>120</v>
      </c>
      <c r="AJ246">
        <v>34.19</v>
      </c>
      <c r="AK246" t="s">
        <v>1772</v>
      </c>
      <c r="AL246">
        <v>0.39</v>
      </c>
      <c r="AM246">
        <v>2739</v>
      </c>
      <c r="AN246">
        <v>177</v>
      </c>
      <c r="AO246">
        <v>5.0000000000000001E-4</v>
      </c>
      <c r="AP246">
        <v>-1</v>
      </c>
      <c r="AQ246">
        <v>1.1599999999999999</v>
      </c>
      <c r="AR246">
        <v>-3.37</v>
      </c>
      <c r="AS246">
        <v>2.38</v>
      </c>
      <c r="AT246">
        <v>-2.64</v>
      </c>
      <c r="AU246">
        <v>9.33</v>
      </c>
      <c r="AV246">
        <v>11</v>
      </c>
      <c r="AW246">
        <v>2.11</v>
      </c>
      <c r="AX246">
        <v>50.81</v>
      </c>
      <c r="AY246">
        <v>7.09</v>
      </c>
      <c r="AZ246">
        <v>15.91</v>
      </c>
      <c r="BA246">
        <v>0.05</v>
      </c>
      <c r="BB246" t="s">
        <v>143</v>
      </c>
      <c r="BF246">
        <v>-0.79</v>
      </c>
      <c r="BG246">
        <v>-1.53</v>
      </c>
      <c r="BH246">
        <v>-2.64</v>
      </c>
      <c r="BI246">
        <v>0.78</v>
      </c>
      <c r="BJ246">
        <v>20210831</v>
      </c>
      <c r="BK246">
        <v>19970520</v>
      </c>
      <c r="BL246">
        <v>45.3</v>
      </c>
      <c r="BM246" t="s">
        <v>120</v>
      </c>
      <c r="BN246" t="s">
        <v>120</v>
      </c>
      <c r="BO246">
        <v>390.53</v>
      </c>
      <c r="BP246">
        <v>2.57</v>
      </c>
      <c r="BQ246">
        <v>19.53</v>
      </c>
      <c r="BR246">
        <v>50.7</v>
      </c>
      <c r="BS246">
        <v>82.02</v>
      </c>
      <c r="BT246">
        <v>298.51</v>
      </c>
      <c r="BU246">
        <v>32.17</v>
      </c>
      <c r="BV246">
        <v>24.53</v>
      </c>
      <c r="BW246">
        <v>259.72000000000003</v>
      </c>
      <c r="BX246">
        <v>28.17</v>
      </c>
      <c r="BY246">
        <v>129.91</v>
      </c>
      <c r="BZ246">
        <v>93.33</v>
      </c>
      <c r="CA246">
        <v>0.08</v>
      </c>
      <c r="CB246">
        <v>40.86</v>
      </c>
      <c r="CC246">
        <v>329.7</v>
      </c>
      <c r="CD246">
        <v>286.67</v>
      </c>
      <c r="CE246">
        <v>11.91</v>
      </c>
      <c r="CF246">
        <v>1.44</v>
      </c>
      <c r="CG246">
        <v>11.63</v>
      </c>
      <c r="CH246">
        <v>9.31</v>
      </c>
      <c r="CI246">
        <v>4.08</v>
      </c>
      <c r="CJ246">
        <v>-0.04</v>
      </c>
      <c r="CK246">
        <v>3.11</v>
      </c>
      <c r="CL246">
        <v>-60.74</v>
      </c>
      <c r="CM246">
        <v>-26.46</v>
      </c>
      <c r="CN246">
        <v>-26.96</v>
      </c>
      <c r="CO246">
        <v>95033</v>
      </c>
      <c r="CP246">
        <v>24218</v>
      </c>
      <c r="CQ246" t="s">
        <v>1112</v>
      </c>
      <c r="CR246">
        <v>178.29</v>
      </c>
      <c r="CS246">
        <v>15.45</v>
      </c>
      <c r="CT246">
        <v>5.98</v>
      </c>
      <c r="CU246">
        <v>-4.42</v>
      </c>
      <c r="CV246">
        <v>0.35</v>
      </c>
      <c r="CW246">
        <v>0</v>
      </c>
      <c r="CX246" t="s">
        <v>329</v>
      </c>
      <c r="CY246">
        <v>0.43</v>
      </c>
      <c r="CZ246">
        <v>0</v>
      </c>
      <c r="DA246">
        <v>0.9</v>
      </c>
      <c r="DB246">
        <v>-1.34</v>
      </c>
      <c r="DC246">
        <v>-0.57999999999999996</v>
      </c>
      <c r="DD246">
        <v>5</v>
      </c>
      <c r="DE246" t="s">
        <v>1773</v>
      </c>
      <c r="DF246">
        <v>13.05</v>
      </c>
      <c r="DG246">
        <v>3.61</v>
      </c>
      <c r="DH246">
        <v>1.24</v>
      </c>
      <c r="DI246">
        <v>6.78</v>
      </c>
      <c r="DJ246">
        <v>22689</v>
      </c>
      <c r="DK246">
        <v>727</v>
      </c>
      <c r="DL246" t="s">
        <v>120</v>
      </c>
      <c r="DM246" t="s">
        <v>120</v>
      </c>
      <c r="DN246" t="s">
        <v>120</v>
      </c>
    </row>
    <row r="247" spans="1:118">
      <c r="A247" t="str">
        <f>"000728"</f>
        <v>000728</v>
      </c>
      <c r="B247" t="s">
        <v>1774</v>
      </c>
      <c r="C247">
        <v>-2.56</v>
      </c>
      <c r="D247">
        <v>0</v>
      </c>
      <c r="E247">
        <v>-0.37</v>
      </c>
      <c r="F247">
        <v>10133</v>
      </c>
      <c r="G247" t="s">
        <v>1775</v>
      </c>
      <c r="H247">
        <v>40631</v>
      </c>
      <c r="I247">
        <v>275.07</v>
      </c>
      <c r="J247" t="s">
        <v>120</v>
      </c>
      <c r="K247" t="s">
        <v>1776</v>
      </c>
      <c r="L247">
        <v>1.17</v>
      </c>
      <c r="M247">
        <v>7.98</v>
      </c>
      <c r="N247">
        <v>0.86</v>
      </c>
      <c r="O247">
        <v>0.73</v>
      </c>
      <c r="P247">
        <v>8.25</v>
      </c>
      <c r="Q247">
        <v>-2.69</v>
      </c>
      <c r="R247">
        <v>7.97</v>
      </c>
      <c r="S247">
        <v>8.16</v>
      </c>
      <c r="T247">
        <v>501711</v>
      </c>
      <c r="U247">
        <v>7.99</v>
      </c>
      <c r="V247">
        <v>8.19</v>
      </c>
      <c r="W247">
        <v>20.58</v>
      </c>
      <c r="X247" t="s">
        <v>616</v>
      </c>
      <c r="Y247" t="s">
        <v>570</v>
      </c>
      <c r="Z247">
        <v>3.42</v>
      </c>
      <c r="AA247">
        <v>8.1</v>
      </c>
      <c r="AB247">
        <v>264846</v>
      </c>
      <c r="AC247">
        <v>236865</v>
      </c>
      <c r="AD247">
        <v>1.1200000000000001</v>
      </c>
      <c r="AE247">
        <v>2165</v>
      </c>
      <c r="AF247">
        <v>110</v>
      </c>
      <c r="AG247" t="s">
        <v>120</v>
      </c>
      <c r="AH247">
        <v>0.01</v>
      </c>
      <c r="AI247" t="s">
        <v>120</v>
      </c>
      <c r="AJ247">
        <v>42.91</v>
      </c>
      <c r="AK247" t="s">
        <v>1777</v>
      </c>
      <c r="AL247">
        <v>-0.65</v>
      </c>
      <c r="AM247">
        <v>3955</v>
      </c>
      <c r="AN247">
        <v>127</v>
      </c>
      <c r="AO247">
        <v>2.9999999999999997E-4</v>
      </c>
      <c r="AP247">
        <v>-1</v>
      </c>
      <c r="AQ247">
        <v>0.99</v>
      </c>
      <c r="AR247">
        <v>-5.67</v>
      </c>
      <c r="AS247">
        <v>5.55</v>
      </c>
      <c r="AT247">
        <v>1.65</v>
      </c>
      <c r="AU247">
        <v>-9.93</v>
      </c>
      <c r="AV247">
        <v>1</v>
      </c>
      <c r="AW247">
        <v>1.88</v>
      </c>
      <c r="AX247">
        <v>61.15</v>
      </c>
      <c r="AY247">
        <v>22.36</v>
      </c>
      <c r="AZ247">
        <v>26.09</v>
      </c>
      <c r="BA247">
        <v>0.47</v>
      </c>
      <c r="BB247" t="s">
        <v>143</v>
      </c>
      <c r="BF247">
        <v>-1.1200000000000001</v>
      </c>
      <c r="BG247">
        <v>-2.21</v>
      </c>
      <c r="BH247">
        <v>-3.27</v>
      </c>
      <c r="BI247">
        <v>0.13</v>
      </c>
      <c r="BJ247">
        <v>20210915</v>
      </c>
      <c r="BK247">
        <v>19970616</v>
      </c>
      <c r="BL247">
        <v>43.64</v>
      </c>
      <c r="BM247" t="s">
        <v>120</v>
      </c>
      <c r="BN247" t="s">
        <v>120</v>
      </c>
      <c r="BO247">
        <v>1006.13</v>
      </c>
      <c r="BP247">
        <v>7.98</v>
      </c>
      <c r="BQ247">
        <v>313.45999999999998</v>
      </c>
      <c r="BR247">
        <v>0.13</v>
      </c>
      <c r="BS247">
        <v>68.83</v>
      </c>
      <c r="BT247">
        <v>0</v>
      </c>
      <c r="BU247">
        <v>12.6</v>
      </c>
      <c r="BV247">
        <v>0.82</v>
      </c>
      <c r="BW247">
        <v>0</v>
      </c>
      <c r="BX247">
        <v>218.11</v>
      </c>
      <c r="BY247">
        <v>0</v>
      </c>
      <c r="BZ247">
        <v>0</v>
      </c>
      <c r="CA247" t="s">
        <v>120</v>
      </c>
      <c r="CB247">
        <v>170.09</v>
      </c>
      <c r="CC247">
        <v>22.75</v>
      </c>
      <c r="CD247">
        <v>0</v>
      </c>
      <c r="CE247">
        <v>10.7</v>
      </c>
      <c r="CF247">
        <v>3.87</v>
      </c>
      <c r="CG247">
        <v>10.69</v>
      </c>
      <c r="CH247">
        <v>8.4700000000000006</v>
      </c>
      <c r="CI247">
        <v>8.4600000000000009</v>
      </c>
      <c r="CJ247">
        <v>-0.21</v>
      </c>
      <c r="CK247">
        <v>8.3800000000000008</v>
      </c>
      <c r="CL247">
        <v>54.64</v>
      </c>
      <c r="CM247">
        <v>-6.9</v>
      </c>
      <c r="CN247">
        <v>13.35</v>
      </c>
      <c r="CO247">
        <v>108291</v>
      </c>
      <c r="CP247">
        <v>24643</v>
      </c>
      <c r="CQ247" t="s">
        <v>1778</v>
      </c>
      <c r="CR247">
        <v>36.99</v>
      </c>
      <c r="CS247">
        <v>7.58</v>
      </c>
      <c r="CT247">
        <v>1.1100000000000001</v>
      </c>
      <c r="CU247">
        <v>-50.43</v>
      </c>
      <c r="CV247">
        <v>15.3</v>
      </c>
      <c r="CW247">
        <v>2.44</v>
      </c>
      <c r="CX247" t="s">
        <v>442</v>
      </c>
      <c r="CY247">
        <v>7.18</v>
      </c>
      <c r="CZ247">
        <v>0</v>
      </c>
      <c r="DA247">
        <v>3.9</v>
      </c>
      <c r="DB247">
        <v>1.25</v>
      </c>
      <c r="DC247">
        <v>-0.16</v>
      </c>
      <c r="DD247">
        <v>31.15</v>
      </c>
      <c r="DE247" t="s">
        <v>1779</v>
      </c>
      <c r="DF247" t="s">
        <v>120</v>
      </c>
      <c r="DG247">
        <v>47.01</v>
      </c>
      <c r="DH247">
        <v>37.19</v>
      </c>
      <c r="DI247" t="s">
        <v>120</v>
      </c>
      <c r="DJ247">
        <v>3529</v>
      </c>
      <c r="DK247">
        <v>728</v>
      </c>
      <c r="DL247" t="s">
        <v>120</v>
      </c>
      <c r="DM247" t="s">
        <v>120</v>
      </c>
      <c r="DN247" t="s">
        <v>120</v>
      </c>
    </row>
    <row r="248" spans="1:118">
      <c r="A248" t="str">
        <f>"000729"</f>
        <v>000729</v>
      </c>
      <c r="B248" t="s">
        <v>1780</v>
      </c>
      <c r="C248">
        <v>-2.1</v>
      </c>
      <c r="D248">
        <v>-0.45</v>
      </c>
      <c r="E248">
        <v>0</v>
      </c>
      <c r="F248">
        <v>10657</v>
      </c>
      <c r="G248" t="s">
        <v>1781</v>
      </c>
      <c r="H248">
        <v>10906.11</v>
      </c>
      <c r="I248">
        <v>42.28</v>
      </c>
      <c r="J248" t="s">
        <v>120</v>
      </c>
      <c r="K248" t="s">
        <v>1782</v>
      </c>
      <c r="L248">
        <v>0.65</v>
      </c>
      <c r="M248">
        <v>6.54</v>
      </c>
      <c r="N248">
        <v>1.1200000000000001</v>
      </c>
      <c r="O248">
        <v>0.9</v>
      </c>
      <c r="P248">
        <v>6.74</v>
      </c>
      <c r="Q248">
        <v>-2.1</v>
      </c>
      <c r="R248">
        <v>6.54</v>
      </c>
      <c r="S248">
        <v>6.68</v>
      </c>
      <c r="T248">
        <v>164254</v>
      </c>
      <c r="U248">
        <v>6.56</v>
      </c>
      <c r="V248">
        <v>6.68</v>
      </c>
      <c r="W248">
        <v>31.96</v>
      </c>
      <c r="X248" t="s">
        <v>1783</v>
      </c>
      <c r="Y248" t="s">
        <v>158</v>
      </c>
      <c r="Z248">
        <v>2.99</v>
      </c>
      <c r="AA248">
        <v>6.64</v>
      </c>
      <c r="AB248">
        <v>97932</v>
      </c>
      <c r="AC248">
        <v>66322</v>
      </c>
      <c r="AD248">
        <v>1.48</v>
      </c>
      <c r="AE248">
        <v>125</v>
      </c>
      <c r="AF248">
        <v>130</v>
      </c>
      <c r="AG248" t="s">
        <v>120</v>
      </c>
      <c r="AH248">
        <v>0.01</v>
      </c>
      <c r="AI248" t="s">
        <v>120</v>
      </c>
      <c r="AJ248">
        <v>25.1</v>
      </c>
      <c r="AK248" t="s">
        <v>1784</v>
      </c>
      <c r="AL248">
        <v>-0.18</v>
      </c>
      <c r="AM248">
        <v>2849</v>
      </c>
      <c r="AN248">
        <v>58</v>
      </c>
      <c r="AO248">
        <v>2.0000000000000001E-4</v>
      </c>
      <c r="AP248">
        <v>-4</v>
      </c>
      <c r="AQ248">
        <v>-0.15</v>
      </c>
      <c r="AR248">
        <v>-5.08</v>
      </c>
      <c r="AS248">
        <v>3.15</v>
      </c>
      <c r="AT248">
        <v>-9.89</v>
      </c>
      <c r="AU248">
        <v>-23.04</v>
      </c>
      <c r="AV248">
        <v>0</v>
      </c>
      <c r="AW248">
        <v>1.43</v>
      </c>
      <c r="AX248">
        <v>40.729999999999997</v>
      </c>
      <c r="AY248">
        <v>87.15</v>
      </c>
      <c r="AZ248">
        <v>95.63</v>
      </c>
      <c r="BA248">
        <v>0.42</v>
      </c>
      <c r="BB248" t="s">
        <v>143</v>
      </c>
      <c r="BF248">
        <v>-0.6</v>
      </c>
      <c r="BG248">
        <v>-2.1</v>
      </c>
      <c r="BH248">
        <v>-2.97</v>
      </c>
      <c r="BI248">
        <v>0</v>
      </c>
      <c r="BJ248">
        <v>20210913</v>
      </c>
      <c r="BK248">
        <v>19970716</v>
      </c>
      <c r="BL248">
        <v>28.19</v>
      </c>
      <c r="BM248" t="s">
        <v>120</v>
      </c>
      <c r="BN248" t="s">
        <v>120</v>
      </c>
      <c r="BO248">
        <v>200.43</v>
      </c>
      <c r="BP248">
        <v>6.54</v>
      </c>
      <c r="BQ248">
        <v>135.32</v>
      </c>
      <c r="BR248">
        <v>5.79</v>
      </c>
      <c r="BS248">
        <v>29.6</v>
      </c>
      <c r="BT248">
        <v>97.66</v>
      </c>
      <c r="BU248">
        <v>86.36</v>
      </c>
      <c r="BV248">
        <v>8.91</v>
      </c>
      <c r="BW248">
        <v>58.2</v>
      </c>
      <c r="BX248">
        <v>50.76</v>
      </c>
      <c r="BY248">
        <v>37.96</v>
      </c>
      <c r="BZ248">
        <v>4.72</v>
      </c>
      <c r="CA248" t="s">
        <v>120</v>
      </c>
      <c r="CB248">
        <v>45.97</v>
      </c>
      <c r="CC248">
        <v>63.17</v>
      </c>
      <c r="CD248">
        <v>37.69</v>
      </c>
      <c r="CE248">
        <v>4.5999999999999996</v>
      </c>
      <c r="CF248">
        <v>0</v>
      </c>
      <c r="CG248">
        <v>4.62</v>
      </c>
      <c r="CH248">
        <v>3.6</v>
      </c>
      <c r="CI248">
        <v>2.88</v>
      </c>
      <c r="CJ248">
        <v>-0.14000000000000001</v>
      </c>
      <c r="CK248">
        <v>2.69</v>
      </c>
      <c r="CL248">
        <v>39.869999999999997</v>
      </c>
      <c r="CM248">
        <v>16.79</v>
      </c>
      <c r="CN248">
        <v>0.61</v>
      </c>
      <c r="CO248">
        <v>101895</v>
      </c>
      <c r="CP248">
        <v>11267</v>
      </c>
      <c r="CQ248" t="s">
        <v>1785</v>
      </c>
      <c r="CR248">
        <v>7.12</v>
      </c>
      <c r="CS248">
        <v>13.51</v>
      </c>
      <c r="CT248">
        <v>1.36</v>
      </c>
      <c r="CU248">
        <v>10.98</v>
      </c>
      <c r="CV248">
        <v>2.92</v>
      </c>
      <c r="CW248">
        <v>0.33</v>
      </c>
      <c r="CX248" t="s">
        <v>513</v>
      </c>
      <c r="CY248">
        <v>4.8</v>
      </c>
      <c r="CZ248">
        <v>0</v>
      </c>
      <c r="DA248">
        <v>1.63</v>
      </c>
      <c r="DB248">
        <v>1.41</v>
      </c>
      <c r="DC248">
        <v>0.6</v>
      </c>
      <c r="DD248">
        <v>67.52</v>
      </c>
      <c r="DE248" t="s">
        <v>1786</v>
      </c>
      <c r="DF248">
        <v>40.33</v>
      </c>
      <c r="DG248">
        <v>7.28</v>
      </c>
      <c r="DH248">
        <v>4.57</v>
      </c>
      <c r="DI248">
        <v>1.62</v>
      </c>
      <c r="DJ248">
        <v>27984</v>
      </c>
      <c r="DK248">
        <v>729</v>
      </c>
      <c r="DL248" t="s">
        <v>120</v>
      </c>
      <c r="DM248" t="s">
        <v>120</v>
      </c>
      <c r="DN248" t="s">
        <v>120</v>
      </c>
    </row>
    <row r="249" spans="1:118">
      <c r="A249" t="str">
        <f>"000731"</f>
        <v>000731</v>
      </c>
      <c r="B249" t="s">
        <v>1787</v>
      </c>
      <c r="C249">
        <v>10.02</v>
      </c>
      <c r="D249">
        <v>0</v>
      </c>
      <c r="E249">
        <v>2.12</v>
      </c>
      <c r="F249">
        <v>1211</v>
      </c>
      <c r="G249" t="s">
        <v>1788</v>
      </c>
      <c r="H249">
        <v>160853.18</v>
      </c>
      <c r="I249">
        <v>1833.97</v>
      </c>
      <c r="J249">
        <v>2049.66</v>
      </c>
      <c r="K249" t="s">
        <v>1789</v>
      </c>
      <c r="L249">
        <v>24.2</v>
      </c>
      <c r="M249">
        <v>11.42</v>
      </c>
      <c r="N249">
        <v>1.42</v>
      </c>
      <c r="O249">
        <v>10.02</v>
      </c>
      <c r="P249">
        <v>11.42</v>
      </c>
      <c r="Q249">
        <v>2.12</v>
      </c>
      <c r="R249">
        <v>10.6</v>
      </c>
      <c r="S249">
        <v>10.6</v>
      </c>
      <c r="T249">
        <v>1431425</v>
      </c>
      <c r="U249" t="s">
        <v>120</v>
      </c>
      <c r="V249">
        <v>10.38</v>
      </c>
      <c r="W249">
        <v>16.21</v>
      </c>
      <c r="X249" t="s">
        <v>690</v>
      </c>
      <c r="Y249" t="s">
        <v>578</v>
      </c>
      <c r="Z249">
        <v>7.9</v>
      </c>
      <c r="AA249">
        <v>11.24</v>
      </c>
      <c r="AB249">
        <v>795317</v>
      </c>
      <c r="AC249">
        <v>636108</v>
      </c>
      <c r="AD249">
        <v>1.25</v>
      </c>
      <c r="AE249">
        <v>17948</v>
      </c>
      <c r="AF249">
        <v>0</v>
      </c>
      <c r="AG249" t="s">
        <v>120</v>
      </c>
      <c r="AH249">
        <v>0.33</v>
      </c>
      <c r="AI249">
        <v>0.01</v>
      </c>
      <c r="AJ249">
        <v>5.91</v>
      </c>
      <c r="AK249" t="s">
        <v>1789</v>
      </c>
      <c r="AL249">
        <v>11.93</v>
      </c>
      <c r="AM249">
        <v>3471</v>
      </c>
      <c r="AN249">
        <v>412</v>
      </c>
      <c r="AO249">
        <v>7.0000000000000001E-3</v>
      </c>
      <c r="AP249">
        <v>1</v>
      </c>
      <c r="AQ249">
        <v>-3.35</v>
      </c>
      <c r="AR249">
        <v>13.64</v>
      </c>
      <c r="AS249">
        <v>77.88</v>
      </c>
      <c r="AT249">
        <v>107.25</v>
      </c>
      <c r="AU249">
        <v>123.92</v>
      </c>
      <c r="AV249">
        <v>1</v>
      </c>
      <c r="AW249">
        <v>27.56</v>
      </c>
      <c r="AX249">
        <v>87.82</v>
      </c>
      <c r="AY249">
        <v>22.61</v>
      </c>
      <c r="AZ249">
        <v>59.2</v>
      </c>
      <c r="BA249">
        <v>0.65</v>
      </c>
      <c r="BB249" t="s">
        <v>143</v>
      </c>
      <c r="BF249">
        <v>8.26</v>
      </c>
      <c r="BG249">
        <v>7.74</v>
      </c>
      <c r="BH249">
        <v>0</v>
      </c>
      <c r="BI249">
        <v>7.74</v>
      </c>
      <c r="BJ249">
        <v>20210901</v>
      </c>
      <c r="BK249">
        <v>19970617</v>
      </c>
      <c r="BL249">
        <v>5.91</v>
      </c>
      <c r="BM249" t="s">
        <v>120</v>
      </c>
      <c r="BN249" t="s">
        <v>120</v>
      </c>
      <c r="BO249">
        <v>39.840000000000003</v>
      </c>
      <c r="BP249">
        <v>11.42</v>
      </c>
      <c r="BQ249">
        <v>30.57</v>
      </c>
      <c r="BR249">
        <v>1.03</v>
      </c>
      <c r="BS249">
        <v>20.67</v>
      </c>
      <c r="BT249">
        <v>17.649999999999999</v>
      </c>
      <c r="BU249">
        <v>19.190000000000001</v>
      </c>
      <c r="BV249">
        <v>1.95</v>
      </c>
      <c r="BW249">
        <v>4.92</v>
      </c>
      <c r="BX249">
        <v>6.4</v>
      </c>
      <c r="BY249">
        <v>2.52</v>
      </c>
      <c r="BZ249">
        <v>0.95</v>
      </c>
      <c r="CA249">
        <v>0</v>
      </c>
      <c r="CB249">
        <v>6.4</v>
      </c>
      <c r="CC249">
        <v>17.78</v>
      </c>
      <c r="CD249">
        <v>13.38</v>
      </c>
      <c r="CE249">
        <v>2.5</v>
      </c>
      <c r="CF249">
        <v>0.12</v>
      </c>
      <c r="CG249">
        <v>2.5</v>
      </c>
      <c r="CH249">
        <v>2.17</v>
      </c>
      <c r="CI249">
        <v>2.08</v>
      </c>
      <c r="CJ249">
        <v>1.04</v>
      </c>
      <c r="CK249">
        <v>1.95</v>
      </c>
      <c r="CL249">
        <v>14.25</v>
      </c>
      <c r="CM249">
        <v>2.81</v>
      </c>
      <c r="CN249">
        <v>0.46</v>
      </c>
      <c r="CO249">
        <v>42002</v>
      </c>
      <c r="CP249">
        <v>12367</v>
      </c>
      <c r="CQ249" t="s">
        <v>1790</v>
      </c>
      <c r="CR249">
        <v>413.33</v>
      </c>
      <c r="CS249">
        <v>28.41</v>
      </c>
      <c r="CT249">
        <v>2.21</v>
      </c>
      <c r="CU249">
        <v>24.06</v>
      </c>
      <c r="CV249">
        <v>3.8</v>
      </c>
      <c r="CW249">
        <v>0</v>
      </c>
      <c r="CX249" t="s">
        <v>1791</v>
      </c>
      <c r="CY249">
        <v>5.17</v>
      </c>
      <c r="CZ249">
        <v>0</v>
      </c>
      <c r="DA249">
        <v>1.08</v>
      </c>
      <c r="DB249">
        <v>2.41</v>
      </c>
      <c r="DC249">
        <v>0.47</v>
      </c>
      <c r="DD249">
        <v>76.739999999999995</v>
      </c>
      <c r="DE249" t="s">
        <v>1792</v>
      </c>
      <c r="DF249">
        <v>24.76</v>
      </c>
      <c r="DG249">
        <v>14.07</v>
      </c>
      <c r="DH249">
        <v>11.72</v>
      </c>
      <c r="DI249">
        <v>0.04</v>
      </c>
      <c r="DJ249">
        <v>2370</v>
      </c>
      <c r="DK249">
        <v>731</v>
      </c>
      <c r="DL249">
        <v>20210913</v>
      </c>
      <c r="DM249">
        <v>10.050000000000001</v>
      </c>
      <c r="DN249">
        <v>13.63</v>
      </c>
    </row>
    <row r="250" spans="1:118">
      <c r="A250" t="str">
        <f>"000732"</f>
        <v>000732</v>
      </c>
      <c r="B250" t="s">
        <v>1793</v>
      </c>
      <c r="C250">
        <v>-4.57</v>
      </c>
      <c r="D250">
        <v>-0.47</v>
      </c>
      <c r="E250">
        <v>0.46</v>
      </c>
      <c r="F250">
        <v>5421</v>
      </c>
      <c r="G250" t="s">
        <v>727</v>
      </c>
      <c r="H250">
        <v>6680.98</v>
      </c>
      <c r="I250">
        <v>36.92</v>
      </c>
      <c r="J250" t="s">
        <v>120</v>
      </c>
      <c r="K250" t="s">
        <v>1794</v>
      </c>
      <c r="L250">
        <v>1.25</v>
      </c>
      <c r="M250">
        <v>2.09</v>
      </c>
      <c r="N250">
        <v>1.18</v>
      </c>
      <c r="O250">
        <v>1.83</v>
      </c>
      <c r="P250">
        <v>2.23</v>
      </c>
      <c r="Q250">
        <v>-5.0199999999999996</v>
      </c>
      <c r="R250">
        <v>2.08</v>
      </c>
      <c r="S250">
        <v>2.2000000000000002</v>
      </c>
      <c r="T250">
        <v>310552</v>
      </c>
      <c r="U250">
        <v>2.1</v>
      </c>
      <c r="V250">
        <v>2.19</v>
      </c>
      <c r="W250" t="s">
        <v>120</v>
      </c>
      <c r="X250" t="s">
        <v>150</v>
      </c>
      <c r="Y250" t="s">
        <v>937</v>
      </c>
      <c r="Z250">
        <v>6.85</v>
      </c>
      <c r="AA250">
        <v>2.15</v>
      </c>
      <c r="AB250">
        <v>176701</v>
      </c>
      <c r="AC250">
        <v>133851</v>
      </c>
      <c r="AD250">
        <v>1.32</v>
      </c>
      <c r="AE250">
        <v>2554</v>
      </c>
      <c r="AF250">
        <v>390</v>
      </c>
      <c r="AG250" t="s">
        <v>120</v>
      </c>
      <c r="AH250">
        <v>0.02</v>
      </c>
      <c r="AI250" t="s">
        <v>120</v>
      </c>
      <c r="AJ250">
        <v>24.86</v>
      </c>
      <c r="AK250" t="s">
        <v>1795</v>
      </c>
      <c r="AL250">
        <v>-2.65</v>
      </c>
      <c r="AM250">
        <v>2469</v>
      </c>
      <c r="AN250">
        <v>126</v>
      </c>
      <c r="AO250">
        <v>5.0000000000000001E-4</v>
      </c>
      <c r="AP250">
        <v>-3</v>
      </c>
      <c r="AQ250">
        <v>-0.9</v>
      </c>
      <c r="AR250">
        <v>-8.33</v>
      </c>
      <c r="AS250">
        <v>1.46</v>
      </c>
      <c r="AT250">
        <v>-9.1300000000000008</v>
      </c>
      <c r="AU250">
        <v>-36.090000000000003</v>
      </c>
      <c r="AV250">
        <v>3</v>
      </c>
      <c r="AW250">
        <v>3.19</v>
      </c>
      <c r="AX250">
        <v>39.15</v>
      </c>
      <c r="AY250" t="s">
        <v>120</v>
      </c>
      <c r="AZ250" t="s">
        <v>120</v>
      </c>
      <c r="BA250">
        <v>0.12</v>
      </c>
      <c r="BB250" t="s">
        <v>143</v>
      </c>
      <c r="BF250">
        <v>-1.77</v>
      </c>
      <c r="BG250">
        <v>-5</v>
      </c>
      <c r="BH250">
        <v>-6.28</v>
      </c>
      <c r="BI250">
        <v>0.48</v>
      </c>
      <c r="BJ250">
        <v>20210914</v>
      </c>
      <c r="BK250">
        <v>19970704</v>
      </c>
      <c r="BL250">
        <v>24.89</v>
      </c>
      <c r="BM250" t="s">
        <v>120</v>
      </c>
      <c r="BN250" t="s">
        <v>120</v>
      </c>
      <c r="BO250">
        <v>2207.67</v>
      </c>
      <c r="BP250">
        <v>2.09</v>
      </c>
      <c r="BQ250">
        <v>132.91999999999999</v>
      </c>
      <c r="BR250">
        <v>47.85</v>
      </c>
      <c r="BS250">
        <v>91.81</v>
      </c>
      <c r="BT250">
        <v>1730.35</v>
      </c>
      <c r="BU250">
        <v>33.659999999999997</v>
      </c>
      <c r="BV250">
        <v>26.15</v>
      </c>
      <c r="BW250">
        <v>1695.19</v>
      </c>
      <c r="BX250">
        <v>22.48</v>
      </c>
      <c r="BY250">
        <v>1570.84</v>
      </c>
      <c r="BZ250">
        <v>7.84</v>
      </c>
      <c r="CA250">
        <v>3.19</v>
      </c>
      <c r="CB250">
        <v>22.13</v>
      </c>
      <c r="CC250">
        <v>6.62</v>
      </c>
      <c r="CD250">
        <v>4.05</v>
      </c>
      <c r="CE250">
        <v>-8.58</v>
      </c>
      <c r="CF250">
        <v>0.13</v>
      </c>
      <c r="CG250">
        <v>-8.85</v>
      </c>
      <c r="CH250">
        <v>-8.9700000000000006</v>
      </c>
      <c r="CI250">
        <v>-8.5299999999999994</v>
      </c>
      <c r="CJ250">
        <v>-0.1</v>
      </c>
      <c r="CK250">
        <v>-8.2899999999999991</v>
      </c>
      <c r="CL250">
        <v>30.26</v>
      </c>
      <c r="CM250">
        <v>-8.99</v>
      </c>
      <c r="CN250">
        <v>-6.46</v>
      </c>
      <c r="CO250">
        <v>47088</v>
      </c>
      <c r="CP250">
        <v>20693</v>
      </c>
      <c r="CQ250" t="s">
        <v>1796</v>
      </c>
      <c r="CR250">
        <v>46.08</v>
      </c>
      <c r="CS250">
        <v>-73.11</v>
      </c>
      <c r="CT250">
        <v>0.39</v>
      </c>
      <c r="CU250">
        <v>-5.78</v>
      </c>
      <c r="CV250">
        <v>7.85</v>
      </c>
      <c r="CW250">
        <v>0</v>
      </c>
      <c r="CX250" t="s">
        <v>1797</v>
      </c>
      <c r="CY250">
        <v>5.34</v>
      </c>
      <c r="CZ250">
        <v>0</v>
      </c>
      <c r="DA250">
        <v>0.89</v>
      </c>
      <c r="DB250">
        <v>1.22</v>
      </c>
      <c r="DC250">
        <v>-0.36</v>
      </c>
      <c r="DD250">
        <v>6.02</v>
      </c>
      <c r="DE250" t="s">
        <v>1798</v>
      </c>
      <c r="DF250">
        <v>38.770000000000003</v>
      </c>
      <c r="DG250">
        <v>-129.58000000000001</v>
      </c>
      <c r="DH250">
        <v>-128.75</v>
      </c>
      <c r="DI250" t="s">
        <v>120</v>
      </c>
      <c r="DJ250">
        <v>6096</v>
      </c>
      <c r="DK250">
        <v>732</v>
      </c>
      <c r="DL250" t="s">
        <v>120</v>
      </c>
      <c r="DM250" t="s">
        <v>120</v>
      </c>
      <c r="DN250" t="s">
        <v>120</v>
      </c>
    </row>
    <row r="251" spans="1:118">
      <c r="A251" t="str">
        <f>"000733"</f>
        <v>000733</v>
      </c>
      <c r="B251" t="s">
        <v>1799</v>
      </c>
      <c r="C251">
        <v>-3.26</v>
      </c>
      <c r="D251">
        <v>0.97</v>
      </c>
      <c r="E251">
        <v>0.22</v>
      </c>
      <c r="F251">
        <v>623</v>
      </c>
      <c r="G251" t="s">
        <v>1800</v>
      </c>
      <c r="H251">
        <v>113092.34</v>
      </c>
      <c r="I251">
        <v>126.38</v>
      </c>
      <c r="J251" t="s">
        <v>120</v>
      </c>
      <c r="K251" t="s">
        <v>1801</v>
      </c>
      <c r="L251">
        <v>2.5099999999999998</v>
      </c>
      <c r="M251">
        <v>88.4</v>
      </c>
      <c r="N251">
        <v>1.32</v>
      </c>
      <c r="O251">
        <v>0.22</v>
      </c>
      <c r="P251">
        <v>91.58</v>
      </c>
      <c r="Q251">
        <v>-6.93</v>
      </c>
      <c r="R251">
        <v>85.05</v>
      </c>
      <c r="S251">
        <v>91.58</v>
      </c>
      <c r="T251">
        <v>129465</v>
      </c>
      <c r="U251">
        <v>88.4</v>
      </c>
      <c r="V251">
        <v>91.38</v>
      </c>
      <c r="W251">
        <v>44.15</v>
      </c>
      <c r="X251" t="s">
        <v>229</v>
      </c>
      <c r="Y251" t="s">
        <v>1021</v>
      </c>
      <c r="Z251">
        <v>7.15</v>
      </c>
      <c r="AA251">
        <v>87.35</v>
      </c>
      <c r="AB251">
        <v>61964</v>
      </c>
      <c r="AC251">
        <v>67501</v>
      </c>
      <c r="AD251">
        <v>0.92</v>
      </c>
      <c r="AE251">
        <v>99</v>
      </c>
      <c r="AF251">
        <v>15</v>
      </c>
      <c r="AG251" t="s">
        <v>120</v>
      </c>
      <c r="AH251">
        <v>0</v>
      </c>
      <c r="AI251" t="s">
        <v>120</v>
      </c>
      <c r="AJ251">
        <v>5.15</v>
      </c>
      <c r="AK251" t="s">
        <v>1801</v>
      </c>
      <c r="AL251">
        <v>-1.35</v>
      </c>
      <c r="AM251">
        <v>4511</v>
      </c>
      <c r="AN251">
        <v>29</v>
      </c>
      <c r="AO251">
        <v>5.9999999999999995E-4</v>
      </c>
      <c r="AP251">
        <v>-1</v>
      </c>
      <c r="AQ251">
        <v>1.1000000000000001</v>
      </c>
      <c r="AR251">
        <v>-5.18</v>
      </c>
      <c r="AS251">
        <v>-5.85</v>
      </c>
      <c r="AT251">
        <v>50.83</v>
      </c>
      <c r="AU251">
        <v>50.59</v>
      </c>
      <c r="AV251">
        <v>5</v>
      </c>
      <c r="AW251">
        <v>3.75</v>
      </c>
      <c r="AX251">
        <v>67.06</v>
      </c>
      <c r="AY251">
        <v>53.13</v>
      </c>
      <c r="AZ251">
        <v>77.680000000000007</v>
      </c>
      <c r="BA251">
        <v>0.85</v>
      </c>
      <c r="BB251" t="s">
        <v>143</v>
      </c>
      <c r="BF251">
        <v>-4.41</v>
      </c>
      <c r="BG251">
        <v>-3.47</v>
      </c>
      <c r="BH251">
        <v>-3.47</v>
      </c>
      <c r="BI251">
        <v>3.94</v>
      </c>
      <c r="BJ251">
        <v>20210901</v>
      </c>
      <c r="BK251">
        <v>19970703</v>
      </c>
      <c r="BL251">
        <v>5.15</v>
      </c>
      <c r="BM251" t="s">
        <v>120</v>
      </c>
      <c r="BN251" t="s">
        <v>120</v>
      </c>
      <c r="BO251">
        <v>101.32</v>
      </c>
      <c r="BP251">
        <v>88</v>
      </c>
      <c r="BQ251">
        <v>64.17</v>
      </c>
      <c r="BR251">
        <v>0.04</v>
      </c>
      <c r="BS251">
        <v>36.630000000000003</v>
      </c>
      <c r="BT251">
        <v>71.39</v>
      </c>
      <c r="BU251">
        <v>13.47</v>
      </c>
      <c r="BV251">
        <v>1.68</v>
      </c>
      <c r="BW251">
        <v>26.65</v>
      </c>
      <c r="BX251">
        <v>11.22</v>
      </c>
      <c r="BY251">
        <v>13.37</v>
      </c>
      <c r="BZ251">
        <v>26.01</v>
      </c>
      <c r="CA251" t="s">
        <v>120</v>
      </c>
      <c r="CB251">
        <v>29.15</v>
      </c>
      <c r="CC251">
        <v>28.17</v>
      </c>
      <c r="CD251">
        <v>12.21</v>
      </c>
      <c r="CE251">
        <v>6.21</v>
      </c>
      <c r="CF251">
        <v>0.12</v>
      </c>
      <c r="CG251">
        <v>6.22</v>
      </c>
      <c r="CH251">
        <v>5.18</v>
      </c>
      <c r="CI251">
        <v>5.15</v>
      </c>
      <c r="CJ251">
        <v>-2.98</v>
      </c>
      <c r="CK251">
        <v>4.93</v>
      </c>
      <c r="CL251">
        <v>26.21</v>
      </c>
      <c r="CM251">
        <v>4.59</v>
      </c>
      <c r="CN251">
        <v>1.98</v>
      </c>
      <c r="CO251">
        <v>32140</v>
      </c>
      <c r="CP251">
        <v>10742</v>
      </c>
      <c r="CQ251" t="s">
        <v>1802</v>
      </c>
      <c r="CR251">
        <v>118.79</v>
      </c>
      <c r="CS251">
        <v>39.1</v>
      </c>
      <c r="CT251">
        <v>7.09</v>
      </c>
      <c r="CU251">
        <v>99.09</v>
      </c>
      <c r="CV251">
        <v>16.16</v>
      </c>
      <c r="CW251">
        <v>0.16</v>
      </c>
      <c r="CX251" t="s">
        <v>1803</v>
      </c>
      <c r="CY251">
        <v>12.46</v>
      </c>
      <c r="CZ251">
        <v>0</v>
      </c>
      <c r="DA251">
        <v>5.66</v>
      </c>
      <c r="DB251">
        <v>5.09</v>
      </c>
      <c r="DC251">
        <v>0.89</v>
      </c>
      <c r="DD251">
        <v>63.33</v>
      </c>
      <c r="DE251" t="s">
        <v>1804</v>
      </c>
      <c r="DF251">
        <v>56.64</v>
      </c>
      <c r="DG251">
        <v>22.06</v>
      </c>
      <c r="DH251">
        <v>18.3</v>
      </c>
      <c r="DI251">
        <v>1.75</v>
      </c>
      <c r="DJ251">
        <v>6937</v>
      </c>
      <c r="DK251">
        <v>733</v>
      </c>
      <c r="DL251">
        <v>20210822</v>
      </c>
      <c r="DM251">
        <v>98.16</v>
      </c>
      <c r="DN251">
        <v>-9.94</v>
      </c>
    </row>
    <row r="252" spans="1:118">
      <c r="A252" t="str">
        <f>"000735"</f>
        <v>000735</v>
      </c>
      <c r="B252" t="s">
        <v>1805</v>
      </c>
      <c r="C252">
        <v>1.3</v>
      </c>
      <c r="D252">
        <v>0</v>
      </c>
      <c r="E252">
        <v>-0.28999999999999998</v>
      </c>
      <c r="F252">
        <v>2102</v>
      </c>
      <c r="G252" t="s">
        <v>1806</v>
      </c>
      <c r="H252">
        <v>17322.759999999998</v>
      </c>
      <c r="I252">
        <v>32.799999999999997</v>
      </c>
      <c r="J252" t="s">
        <v>120</v>
      </c>
      <c r="K252" t="s">
        <v>1807</v>
      </c>
      <c r="L252">
        <v>2.13</v>
      </c>
      <c r="M252">
        <v>7.03</v>
      </c>
      <c r="N252">
        <v>1.84</v>
      </c>
      <c r="O252">
        <v>3.17</v>
      </c>
      <c r="P252">
        <v>7.16</v>
      </c>
      <c r="Q252">
        <v>-0.43</v>
      </c>
      <c r="R252">
        <v>6.91</v>
      </c>
      <c r="S252">
        <v>6.92</v>
      </c>
      <c r="T252">
        <v>245448</v>
      </c>
      <c r="U252">
        <v>7.03</v>
      </c>
      <c r="V252">
        <v>6.94</v>
      </c>
      <c r="W252">
        <v>127.24</v>
      </c>
      <c r="X252" t="s">
        <v>447</v>
      </c>
      <c r="Y252" t="s">
        <v>835</v>
      </c>
      <c r="Z252">
        <v>3.6</v>
      </c>
      <c r="AA252">
        <v>7.06</v>
      </c>
      <c r="AB252">
        <v>102153</v>
      </c>
      <c r="AC252">
        <v>143295</v>
      </c>
      <c r="AD252">
        <v>0.71</v>
      </c>
      <c r="AE252">
        <v>335</v>
      </c>
      <c r="AF252">
        <v>432</v>
      </c>
      <c r="AG252" t="s">
        <v>120</v>
      </c>
      <c r="AH252">
        <v>0.01</v>
      </c>
      <c r="AI252" t="s">
        <v>120</v>
      </c>
      <c r="AJ252">
        <v>11.51</v>
      </c>
      <c r="AK252" t="s">
        <v>943</v>
      </c>
      <c r="AL252">
        <v>3.21</v>
      </c>
      <c r="AM252">
        <v>3005</v>
      </c>
      <c r="AN252">
        <v>82</v>
      </c>
      <c r="AO252">
        <v>6.9999999999999999E-4</v>
      </c>
      <c r="AP252">
        <v>1</v>
      </c>
      <c r="AQ252">
        <v>-0.43</v>
      </c>
      <c r="AR252">
        <v>-1.1299999999999999</v>
      </c>
      <c r="AS252">
        <v>0.14000000000000001</v>
      </c>
      <c r="AT252">
        <v>-10.44</v>
      </c>
      <c r="AU252">
        <v>-21.63</v>
      </c>
      <c r="AV252">
        <v>1</v>
      </c>
      <c r="AW252">
        <v>2.71</v>
      </c>
      <c r="AX252">
        <v>78.52</v>
      </c>
      <c r="AY252">
        <v>120.79</v>
      </c>
      <c r="AZ252">
        <v>78.290000000000006</v>
      </c>
      <c r="BA252">
        <v>0.34</v>
      </c>
      <c r="BB252" t="s">
        <v>143</v>
      </c>
      <c r="BF252">
        <v>1.69</v>
      </c>
      <c r="BG252">
        <v>1.59</v>
      </c>
      <c r="BH252">
        <v>-1.82</v>
      </c>
      <c r="BI252">
        <v>1.74</v>
      </c>
      <c r="BJ252">
        <v>20210914</v>
      </c>
      <c r="BK252">
        <v>19970611</v>
      </c>
      <c r="BL252">
        <v>11.52</v>
      </c>
      <c r="BM252" t="s">
        <v>120</v>
      </c>
      <c r="BN252" t="s">
        <v>120</v>
      </c>
      <c r="BO252">
        <v>94.73</v>
      </c>
      <c r="BP252">
        <v>7.02</v>
      </c>
      <c r="BQ252">
        <v>42.25</v>
      </c>
      <c r="BR252">
        <v>5.26</v>
      </c>
      <c r="BS252">
        <v>49.84</v>
      </c>
      <c r="BT252">
        <v>25.77</v>
      </c>
      <c r="BU252">
        <v>30.06</v>
      </c>
      <c r="BV252">
        <v>5.51</v>
      </c>
      <c r="BW252">
        <v>25.32</v>
      </c>
      <c r="BX252">
        <v>6.1</v>
      </c>
      <c r="BY252">
        <v>17.649999999999999</v>
      </c>
      <c r="BZ252">
        <v>0.35</v>
      </c>
      <c r="CA252">
        <v>0.12</v>
      </c>
      <c r="CB252">
        <v>16.079999999999998</v>
      </c>
      <c r="CC252">
        <v>9.5399999999999991</v>
      </c>
      <c r="CD252">
        <v>7.63</v>
      </c>
      <c r="CE252">
        <v>0.31</v>
      </c>
      <c r="CF252">
        <v>0.25</v>
      </c>
      <c r="CG252">
        <v>0.24</v>
      </c>
      <c r="CH252">
        <v>0.34</v>
      </c>
      <c r="CI252">
        <v>0.32</v>
      </c>
      <c r="CJ252">
        <v>0.09</v>
      </c>
      <c r="CK252">
        <v>0.28000000000000003</v>
      </c>
      <c r="CL252">
        <v>11.41</v>
      </c>
      <c r="CM252">
        <v>4.67</v>
      </c>
      <c r="CN252">
        <v>3.87</v>
      </c>
      <c r="CO252">
        <v>137400</v>
      </c>
      <c r="CP252">
        <v>6580</v>
      </c>
      <c r="CQ252" t="s">
        <v>1096</v>
      </c>
      <c r="CR252">
        <v>-53.03</v>
      </c>
      <c r="CS252">
        <v>-19.77</v>
      </c>
      <c r="CT252">
        <v>1.92</v>
      </c>
      <c r="CU252">
        <v>17.34</v>
      </c>
      <c r="CV252">
        <v>8.49</v>
      </c>
      <c r="CW252">
        <v>0</v>
      </c>
      <c r="CX252" t="s">
        <v>1808</v>
      </c>
      <c r="CY252">
        <v>3.67</v>
      </c>
      <c r="CZ252">
        <v>0</v>
      </c>
      <c r="DA252">
        <v>1.4</v>
      </c>
      <c r="DB252">
        <v>0.99</v>
      </c>
      <c r="DC252">
        <v>0.41</v>
      </c>
      <c r="DD252">
        <v>44.6</v>
      </c>
      <c r="DE252" t="s">
        <v>521</v>
      </c>
      <c r="DF252">
        <v>20.02</v>
      </c>
      <c r="DG252">
        <v>3.27</v>
      </c>
      <c r="DH252">
        <v>3.33</v>
      </c>
      <c r="DI252">
        <v>0.03</v>
      </c>
      <c r="DJ252">
        <v>2750</v>
      </c>
      <c r="DK252">
        <v>735</v>
      </c>
      <c r="DL252" t="s">
        <v>120</v>
      </c>
      <c r="DM252" t="s">
        <v>120</v>
      </c>
      <c r="DN252" t="s">
        <v>120</v>
      </c>
    </row>
    <row r="253" spans="1:118">
      <c r="A253" t="str">
        <f>"000736"</f>
        <v>000736</v>
      </c>
      <c r="B253" t="s">
        <v>1809</v>
      </c>
      <c r="C253">
        <v>-2.13</v>
      </c>
      <c r="D253">
        <v>0</v>
      </c>
      <c r="E253">
        <v>-0.33</v>
      </c>
      <c r="F253">
        <v>106</v>
      </c>
      <c r="G253" t="s">
        <v>1810</v>
      </c>
      <c r="H253">
        <v>975.55</v>
      </c>
      <c r="I253">
        <v>1.4</v>
      </c>
      <c r="J253" t="s">
        <v>120</v>
      </c>
      <c r="K253" t="s">
        <v>1811</v>
      </c>
      <c r="L253">
        <v>0.23</v>
      </c>
      <c r="M253">
        <v>5.98</v>
      </c>
      <c r="N253">
        <v>1.19</v>
      </c>
      <c r="O253">
        <v>2.4500000000000002</v>
      </c>
      <c r="P253">
        <v>6.26</v>
      </c>
      <c r="Q253">
        <v>-2.29</v>
      </c>
      <c r="R253">
        <v>5.97</v>
      </c>
      <c r="S253">
        <v>6.09</v>
      </c>
      <c r="T253">
        <v>15958</v>
      </c>
      <c r="U253">
        <v>5.99</v>
      </c>
      <c r="V253">
        <v>6.11</v>
      </c>
      <c r="W253">
        <v>12.87</v>
      </c>
      <c r="X253" t="s">
        <v>132</v>
      </c>
      <c r="Y253" t="s">
        <v>883</v>
      </c>
      <c r="Z253">
        <v>4.75</v>
      </c>
      <c r="AA253">
        <v>6.11</v>
      </c>
      <c r="AB253">
        <v>9959</v>
      </c>
      <c r="AC253">
        <v>5999</v>
      </c>
      <c r="AD253">
        <v>1.66</v>
      </c>
      <c r="AE253">
        <v>26</v>
      </c>
      <c r="AF253">
        <v>8</v>
      </c>
      <c r="AG253" t="s">
        <v>120</v>
      </c>
      <c r="AH253">
        <v>0</v>
      </c>
      <c r="AI253" t="s">
        <v>120</v>
      </c>
      <c r="AJ253">
        <v>6.95</v>
      </c>
      <c r="AK253" t="s">
        <v>1811</v>
      </c>
      <c r="AL253">
        <v>-0.21</v>
      </c>
      <c r="AM253">
        <v>586</v>
      </c>
      <c r="AN253">
        <v>27</v>
      </c>
      <c r="AO253">
        <v>4.0000000000000002E-4</v>
      </c>
      <c r="AP253">
        <v>-3</v>
      </c>
      <c r="AQ253">
        <v>-0.65</v>
      </c>
      <c r="AR253">
        <v>-5.38</v>
      </c>
      <c r="AS253">
        <v>-2.76</v>
      </c>
      <c r="AT253">
        <v>-3.7</v>
      </c>
      <c r="AU253">
        <v>-9.8000000000000007</v>
      </c>
      <c r="AV253">
        <v>1</v>
      </c>
      <c r="AW253">
        <v>0.79</v>
      </c>
      <c r="AX253">
        <v>28.93</v>
      </c>
      <c r="AY253">
        <v>11.06</v>
      </c>
      <c r="AZ253">
        <v>12.23</v>
      </c>
      <c r="BA253">
        <v>0.31</v>
      </c>
      <c r="BB253" t="s">
        <v>240</v>
      </c>
      <c r="BF253">
        <v>0.05</v>
      </c>
      <c r="BG253">
        <v>-1.81</v>
      </c>
      <c r="BH253">
        <v>-4.47</v>
      </c>
      <c r="BI253">
        <v>0.17</v>
      </c>
      <c r="BJ253">
        <v>20210903</v>
      </c>
      <c r="BK253">
        <v>19970425</v>
      </c>
      <c r="BL253">
        <v>6.95</v>
      </c>
      <c r="BM253" t="s">
        <v>120</v>
      </c>
      <c r="BN253" t="s">
        <v>120</v>
      </c>
      <c r="BO253">
        <v>1369.09</v>
      </c>
      <c r="BP253">
        <v>5.97</v>
      </c>
      <c r="BQ253">
        <v>31.88</v>
      </c>
      <c r="BR253">
        <v>133.91</v>
      </c>
      <c r="BS253">
        <v>87.89</v>
      </c>
      <c r="BT253">
        <v>1302.8399999999999</v>
      </c>
      <c r="BU253">
        <v>1.04</v>
      </c>
      <c r="BV253">
        <v>0.08</v>
      </c>
      <c r="BW253">
        <v>637.01</v>
      </c>
      <c r="BX253">
        <v>183.4</v>
      </c>
      <c r="BY253">
        <v>946.62</v>
      </c>
      <c r="BZ253">
        <v>0.33</v>
      </c>
      <c r="CA253">
        <v>0.01</v>
      </c>
      <c r="CB253">
        <v>1.31</v>
      </c>
      <c r="CC253">
        <v>49.49</v>
      </c>
      <c r="CD253">
        <v>39.35</v>
      </c>
      <c r="CE253">
        <v>5.75</v>
      </c>
      <c r="CF253">
        <v>6.77</v>
      </c>
      <c r="CG253">
        <v>5.82</v>
      </c>
      <c r="CH253">
        <v>2.71</v>
      </c>
      <c r="CI253">
        <v>1.62</v>
      </c>
      <c r="CJ253">
        <v>-0.13</v>
      </c>
      <c r="CK253">
        <v>-3.52</v>
      </c>
      <c r="CL253">
        <v>22.93</v>
      </c>
      <c r="CM253">
        <v>-115.72</v>
      </c>
      <c r="CN253">
        <v>55.46</v>
      </c>
      <c r="CO253">
        <v>9200</v>
      </c>
      <c r="CP253">
        <v>21869</v>
      </c>
      <c r="CQ253" t="s">
        <v>1812</v>
      </c>
      <c r="CR253">
        <v>29.54</v>
      </c>
      <c r="CS253">
        <v>-17.54</v>
      </c>
      <c r="CT253">
        <v>1.3</v>
      </c>
      <c r="CU253">
        <v>-0.36</v>
      </c>
      <c r="CV253">
        <v>0.84</v>
      </c>
      <c r="CW253">
        <v>0.82</v>
      </c>
      <c r="CX253" t="s">
        <v>694</v>
      </c>
      <c r="CY253">
        <v>4.58</v>
      </c>
      <c r="CZ253">
        <v>0</v>
      </c>
      <c r="DA253">
        <v>0.19</v>
      </c>
      <c r="DB253">
        <v>3.3</v>
      </c>
      <c r="DC253">
        <v>-16.64</v>
      </c>
      <c r="DD253">
        <v>2.33</v>
      </c>
      <c r="DE253" t="s">
        <v>1813</v>
      </c>
      <c r="DF253">
        <v>20.49</v>
      </c>
      <c r="DG253">
        <v>11.61</v>
      </c>
      <c r="DH253">
        <v>3.27</v>
      </c>
      <c r="DI253" t="s">
        <v>120</v>
      </c>
      <c r="DJ253">
        <v>1369</v>
      </c>
      <c r="DK253">
        <v>736</v>
      </c>
      <c r="DL253" t="s">
        <v>120</v>
      </c>
      <c r="DM253" t="s">
        <v>120</v>
      </c>
      <c r="DN253" t="s">
        <v>120</v>
      </c>
    </row>
    <row r="254" spans="1:118">
      <c r="A254" t="str">
        <f>"000737"</f>
        <v>000737</v>
      </c>
      <c r="B254" t="s">
        <v>1814</v>
      </c>
      <c r="C254">
        <v>0.55000000000000004</v>
      </c>
      <c r="D254">
        <v>0</v>
      </c>
      <c r="E254">
        <v>-0.74</v>
      </c>
      <c r="F254">
        <v>2000</v>
      </c>
      <c r="G254" t="s">
        <v>1815</v>
      </c>
      <c r="H254">
        <v>30448.080000000002</v>
      </c>
      <c r="I254">
        <v>168.07</v>
      </c>
      <c r="J254" t="s">
        <v>120</v>
      </c>
      <c r="K254" t="s">
        <v>1816</v>
      </c>
      <c r="L254">
        <v>4.9800000000000004</v>
      </c>
      <c r="M254">
        <v>10.9</v>
      </c>
      <c r="N254">
        <v>1.1200000000000001</v>
      </c>
      <c r="O254">
        <v>7.56</v>
      </c>
      <c r="P254">
        <v>11.66</v>
      </c>
      <c r="Q254">
        <v>-1.2</v>
      </c>
      <c r="R254">
        <v>10.71</v>
      </c>
      <c r="S254">
        <v>10.76</v>
      </c>
      <c r="T254">
        <v>273427</v>
      </c>
      <c r="U254">
        <v>10.91</v>
      </c>
      <c r="V254">
        <v>10.84</v>
      </c>
      <c r="W254">
        <v>303.52</v>
      </c>
      <c r="X254" t="s">
        <v>1817</v>
      </c>
      <c r="Y254" t="s">
        <v>667</v>
      </c>
      <c r="Z254">
        <v>8.76</v>
      </c>
      <c r="AA254">
        <v>11.14</v>
      </c>
      <c r="AB254">
        <v>142582</v>
      </c>
      <c r="AC254">
        <v>130845</v>
      </c>
      <c r="AD254">
        <v>1.0900000000000001</v>
      </c>
      <c r="AE254">
        <v>128</v>
      </c>
      <c r="AF254">
        <v>826</v>
      </c>
      <c r="AG254" t="s">
        <v>120</v>
      </c>
      <c r="AH254">
        <v>0.04</v>
      </c>
      <c r="AI254" t="s">
        <v>120</v>
      </c>
      <c r="AJ254">
        <v>5.49</v>
      </c>
      <c r="AK254" t="s">
        <v>1816</v>
      </c>
      <c r="AL254">
        <v>2.4700000000000002</v>
      </c>
      <c r="AM254">
        <v>3750</v>
      </c>
      <c r="AN254">
        <v>73</v>
      </c>
      <c r="AO254">
        <v>1.2999999999999999E-3</v>
      </c>
      <c r="AP254">
        <v>2</v>
      </c>
      <c r="AQ254">
        <v>4.84</v>
      </c>
      <c r="AR254">
        <v>1.21</v>
      </c>
      <c r="AS254">
        <v>44.95</v>
      </c>
      <c r="AT254">
        <v>31.48</v>
      </c>
      <c r="AU254">
        <v>120.64</v>
      </c>
      <c r="AV254">
        <v>12</v>
      </c>
      <c r="AW254">
        <v>7.3</v>
      </c>
      <c r="AX254">
        <v>68.209999999999994</v>
      </c>
      <c r="AY254">
        <v>804.34</v>
      </c>
      <c r="AZ254">
        <v>65.099999999999994</v>
      </c>
      <c r="BA254">
        <v>0.14000000000000001</v>
      </c>
      <c r="BB254" t="s">
        <v>700</v>
      </c>
      <c r="BF254">
        <v>2.73</v>
      </c>
      <c r="BG254">
        <v>1.3</v>
      </c>
      <c r="BH254">
        <v>-6.52</v>
      </c>
      <c r="BI254">
        <v>1.77</v>
      </c>
      <c r="BJ254">
        <v>20210818</v>
      </c>
      <c r="BK254">
        <v>19970428</v>
      </c>
      <c r="BL254">
        <v>5.49</v>
      </c>
      <c r="BM254" t="s">
        <v>120</v>
      </c>
      <c r="BN254" t="s">
        <v>120</v>
      </c>
      <c r="BO254">
        <v>11.87</v>
      </c>
      <c r="BP254">
        <v>10.9</v>
      </c>
      <c r="BQ254">
        <v>5.14</v>
      </c>
      <c r="BR254">
        <v>0.11</v>
      </c>
      <c r="BS254">
        <v>55.75</v>
      </c>
      <c r="BT254">
        <v>4.78</v>
      </c>
      <c r="BU254">
        <v>4.21</v>
      </c>
      <c r="BV254">
        <v>0.82</v>
      </c>
      <c r="BW254">
        <v>6.27</v>
      </c>
      <c r="BX254">
        <v>2.11</v>
      </c>
      <c r="BY254">
        <v>1.23</v>
      </c>
      <c r="BZ254">
        <v>0.93</v>
      </c>
      <c r="CA254" t="s">
        <v>120</v>
      </c>
      <c r="CB254">
        <v>9.93</v>
      </c>
      <c r="CC254">
        <v>5.57</v>
      </c>
      <c r="CD254">
        <v>4.25</v>
      </c>
      <c r="CE254">
        <v>0.14000000000000001</v>
      </c>
      <c r="CF254">
        <v>0.01</v>
      </c>
      <c r="CG254">
        <v>0.13</v>
      </c>
      <c r="CH254">
        <v>0.1</v>
      </c>
      <c r="CI254">
        <v>0.1</v>
      </c>
      <c r="CJ254">
        <v>0.06</v>
      </c>
      <c r="CK254">
        <v>0.1</v>
      </c>
      <c r="CL254">
        <v>-11.95</v>
      </c>
      <c r="CM254">
        <v>0.28999999999999998</v>
      </c>
      <c r="CN254">
        <v>0.19</v>
      </c>
      <c r="CO254">
        <v>32390</v>
      </c>
      <c r="CP254">
        <v>11556</v>
      </c>
      <c r="CQ254" t="s">
        <v>1818</v>
      </c>
      <c r="CR254">
        <v>-89.5</v>
      </c>
      <c r="CS254">
        <v>3.15</v>
      </c>
      <c r="CT254">
        <v>11.63</v>
      </c>
      <c r="CU254">
        <v>205.82</v>
      </c>
      <c r="CV254">
        <v>10.74</v>
      </c>
      <c r="CW254">
        <v>0</v>
      </c>
      <c r="CX254" t="s">
        <v>1819</v>
      </c>
      <c r="CY254">
        <v>0.94</v>
      </c>
      <c r="CZ254">
        <v>0</v>
      </c>
      <c r="DA254">
        <v>1.81</v>
      </c>
      <c r="DB254">
        <v>-2.1800000000000002</v>
      </c>
      <c r="DC254">
        <v>0.05</v>
      </c>
      <c r="DD254">
        <v>43.34</v>
      </c>
      <c r="DE254" t="s">
        <v>1820</v>
      </c>
      <c r="DF254">
        <v>23.74</v>
      </c>
      <c r="DG254">
        <v>2.57</v>
      </c>
      <c r="DH254">
        <v>1.77</v>
      </c>
      <c r="DI254">
        <v>0.02</v>
      </c>
      <c r="DJ254">
        <v>1138</v>
      </c>
      <c r="DK254">
        <v>737</v>
      </c>
      <c r="DL254" t="s">
        <v>120</v>
      </c>
      <c r="DM254" t="s">
        <v>120</v>
      </c>
      <c r="DN254" t="s">
        <v>120</v>
      </c>
    </row>
    <row r="255" spans="1:118">
      <c r="A255" t="str">
        <f>"000738"</f>
        <v>000738</v>
      </c>
      <c r="B255" t="s">
        <v>1821</v>
      </c>
      <c r="C255">
        <v>-0.11</v>
      </c>
      <c r="D255">
        <v>0.15</v>
      </c>
      <c r="E255">
        <v>-0.37</v>
      </c>
      <c r="F255">
        <v>2944</v>
      </c>
      <c r="G255" t="s">
        <v>1822</v>
      </c>
      <c r="H255">
        <v>100557.52</v>
      </c>
      <c r="I255">
        <v>421.91</v>
      </c>
      <c r="J255" t="s">
        <v>120</v>
      </c>
      <c r="K255" t="s">
        <v>1823</v>
      </c>
      <c r="L255">
        <v>3.2</v>
      </c>
      <c r="M255">
        <v>27.29</v>
      </c>
      <c r="N255">
        <v>1.18</v>
      </c>
      <c r="O255">
        <v>2.75</v>
      </c>
      <c r="P255">
        <v>28.07</v>
      </c>
      <c r="Q255">
        <v>-2.0099999999999998</v>
      </c>
      <c r="R255">
        <v>26.77</v>
      </c>
      <c r="S255">
        <v>27.22</v>
      </c>
      <c r="T255">
        <v>366239</v>
      </c>
      <c r="U255">
        <v>27.3</v>
      </c>
      <c r="V255">
        <v>27.32</v>
      </c>
      <c r="W255">
        <v>52.77</v>
      </c>
      <c r="X255" t="s">
        <v>1621</v>
      </c>
      <c r="Y255" t="s">
        <v>319</v>
      </c>
      <c r="Z255">
        <v>4.76</v>
      </c>
      <c r="AA255">
        <v>27.46</v>
      </c>
      <c r="AB255">
        <v>178306</v>
      </c>
      <c r="AC255">
        <v>187933</v>
      </c>
      <c r="AD255">
        <v>0.95</v>
      </c>
      <c r="AE255">
        <v>740</v>
      </c>
      <c r="AF255">
        <v>76</v>
      </c>
      <c r="AG255" t="s">
        <v>120</v>
      </c>
      <c r="AH255">
        <v>0.03</v>
      </c>
      <c r="AI255" t="s">
        <v>120</v>
      </c>
      <c r="AJ255">
        <v>11.46</v>
      </c>
      <c r="AK255" t="s">
        <v>1824</v>
      </c>
      <c r="AL255">
        <v>1.8</v>
      </c>
      <c r="AM255">
        <v>4450</v>
      </c>
      <c r="AN255">
        <v>82</v>
      </c>
      <c r="AO255">
        <v>6.9999999999999999E-4</v>
      </c>
      <c r="AP255">
        <v>-1</v>
      </c>
      <c r="AQ255">
        <v>5.12</v>
      </c>
      <c r="AR255">
        <v>3.06</v>
      </c>
      <c r="AS255">
        <v>10.62</v>
      </c>
      <c r="AT255">
        <v>28.27</v>
      </c>
      <c r="AU255">
        <v>19.25</v>
      </c>
      <c r="AV255">
        <v>3</v>
      </c>
      <c r="AW255">
        <v>6.57</v>
      </c>
      <c r="AX255">
        <v>48.67</v>
      </c>
      <c r="AY255">
        <v>72.78</v>
      </c>
      <c r="AZ255">
        <v>85.15</v>
      </c>
      <c r="BA255">
        <v>0.92</v>
      </c>
      <c r="BB255" t="s">
        <v>751</v>
      </c>
      <c r="BF255">
        <v>0.5</v>
      </c>
      <c r="BG255">
        <v>0.26</v>
      </c>
      <c r="BH255">
        <v>-2.78</v>
      </c>
      <c r="BI255">
        <v>1.94</v>
      </c>
      <c r="BJ255">
        <v>20210908</v>
      </c>
      <c r="BK255">
        <v>19970626</v>
      </c>
      <c r="BL255">
        <v>11.46</v>
      </c>
      <c r="BM255" t="s">
        <v>120</v>
      </c>
      <c r="BN255" t="s">
        <v>120</v>
      </c>
      <c r="BO255">
        <v>99.62</v>
      </c>
      <c r="BP255">
        <v>27.29</v>
      </c>
      <c r="BQ255">
        <v>62.53</v>
      </c>
      <c r="BR255">
        <v>4.5</v>
      </c>
      <c r="BS255">
        <v>32.72</v>
      </c>
      <c r="BT255">
        <v>66.290000000000006</v>
      </c>
      <c r="BU255">
        <v>21.72</v>
      </c>
      <c r="BV255">
        <v>5.3</v>
      </c>
      <c r="BW255">
        <v>24.6</v>
      </c>
      <c r="BX255">
        <v>19.04</v>
      </c>
      <c r="BY255">
        <v>9.7899999999999991</v>
      </c>
      <c r="BZ255">
        <v>20.99</v>
      </c>
      <c r="CA255" t="s">
        <v>120</v>
      </c>
      <c r="CB255">
        <v>27.58</v>
      </c>
      <c r="CC255">
        <v>20.239999999999998</v>
      </c>
      <c r="CD255">
        <v>13.03</v>
      </c>
      <c r="CE255">
        <v>3.78</v>
      </c>
      <c r="CF255">
        <v>0</v>
      </c>
      <c r="CG255">
        <v>3.79</v>
      </c>
      <c r="CH255">
        <v>3.16</v>
      </c>
      <c r="CI255">
        <v>2.96</v>
      </c>
      <c r="CJ255">
        <v>-0.03</v>
      </c>
      <c r="CK255">
        <v>2.82</v>
      </c>
      <c r="CL255">
        <v>22.25</v>
      </c>
      <c r="CM255">
        <v>3.19</v>
      </c>
      <c r="CN255">
        <v>0.95</v>
      </c>
      <c r="CO255">
        <v>91602</v>
      </c>
      <c r="CP255">
        <v>6087</v>
      </c>
      <c r="CQ255" t="s">
        <v>1825</v>
      </c>
      <c r="CR255">
        <v>26.71</v>
      </c>
      <c r="CS255">
        <v>25</v>
      </c>
      <c r="CT255">
        <v>5</v>
      </c>
      <c r="CU255">
        <v>98.12</v>
      </c>
      <c r="CV255">
        <v>15.45</v>
      </c>
      <c r="CW255">
        <v>0.16</v>
      </c>
      <c r="CX255" t="s">
        <v>1826</v>
      </c>
      <c r="CY255">
        <v>5.46</v>
      </c>
      <c r="CZ255">
        <v>0</v>
      </c>
      <c r="DA255">
        <v>2.41</v>
      </c>
      <c r="DB255">
        <v>1.94</v>
      </c>
      <c r="DC255">
        <v>0.28000000000000003</v>
      </c>
      <c r="DD255">
        <v>62.77</v>
      </c>
      <c r="DE255" t="s">
        <v>1827</v>
      </c>
      <c r="DF255">
        <v>35.630000000000003</v>
      </c>
      <c r="DG255">
        <v>18.690000000000001</v>
      </c>
      <c r="DH255">
        <v>14.64</v>
      </c>
      <c r="DI255">
        <v>1.26</v>
      </c>
      <c r="DJ255">
        <v>7369</v>
      </c>
      <c r="DK255">
        <v>738</v>
      </c>
      <c r="DL255" t="s">
        <v>120</v>
      </c>
      <c r="DM255" t="s">
        <v>120</v>
      </c>
      <c r="DN255" t="s">
        <v>120</v>
      </c>
    </row>
    <row r="256" spans="1:118">
      <c r="A256" t="str">
        <f>"000739"</f>
        <v>000739</v>
      </c>
      <c r="B256" t="s">
        <v>1828</v>
      </c>
      <c r="C256">
        <v>3.52</v>
      </c>
      <c r="D256">
        <v>-0.02</v>
      </c>
      <c r="E256">
        <v>-1.84</v>
      </c>
      <c r="F256">
        <v>1346</v>
      </c>
      <c r="G256" t="s">
        <v>1829</v>
      </c>
      <c r="H256">
        <v>61373.59</v>
      </c>
      <c r="I256">
        <v>570.16</v>
      </c>
      <c r="J256" t="s">
        <v>120</v>
      </c>
      <c r="K256" t="s">
        <v>1830</v>
      </c>
      <c r="L256">
        <v>1.37</v>
      </c>
      <c r="M256">
        <v>38.25</v>
      </c>
      <c r="N256">
        <v>1.44</v>
      </c>
      <c r="O256">
        <v>5.55</v>
      </c>
      <c r="P256">
        <v>39</v>
      </c>
      <c r="Q256">
        <v>-2.0299999999999998</v>
      </c>
      <c r="R256">
        <v>36.200000000000003</v>
      </c>
      <c r="S256">
        <v>36.270000000000003</v>
      </c>
      <c r="T256">
        <v>161385</v>
      </c>
      <c r="U256">
        <v>38.26</v>
      </c>
      <c r="V256">
        <v>36.950000000000003</v>
      </c>
      <c r="W256">
        <v>40.729999999999997</v>
      </c>
      <c r="X256" t="s">
        <v>569</v>
      </c>
      <c r="Y256" t="s">
        <v>585</v>
      </c>
      <c r="Z256">
        <v>7.58</v>
      </c>
      <c r="AA256">
        <v>38.03</v>
      </c>
      <c r="AB256">
        <v>74577</v>
      </c>
      <c r="AC256">
        <v>86808</v>
      </c>
      <c r="AD256">
        <v>0.86</v>
      </c>
      <c r="AE256">
        <v>3</v>
      </c>
      <c r="AF256">
        <v>146</v>
      </c>
      <c r="AG256" t="s">
        <v>120</v>
      </c>
      <c r="AH256">
        <v>0.03</v>
      </c>
      <c r="AI256" t="s">
        <v>120</v>
      </c>
      <c r="AJ256">
        <v>11.78</v>
      </c>
      <c r="AK256" t="s">
        <v>1831</v>
      </c>
      <c r="AL256">
        <v>5.43</v>
      </c>
      <c r="AM256">
        <v>4258</v>
      </c>
      <c r="AN256">
        <v>38</v>
      </c>
      <c r="AO256">
        <v>2.9999999999999997E-4</v>
      </c>
      <c r="AP256">
        <v>4</v>
      </c>
      <c r="AQ256">
        <v>7.26</v>
      </c>
      <c r="AR256">
        <v>13.03</v>
      </c>
      <c r="AS256">
        <v>14.24</v>
      </c>
      <c r="AT256">
        <v>50.35</v>
      </c>
      <c r="AU256">
        <v>66.03</v>
      </c>
      <c r="AV256">
        <v>5</v>
      </c>
      <c r="AW256">
        <v>2.75</v>
      </c>
      <c r="AX256">
        <v>49.77</v>
      </c>
      <c r="AY256">
        <v>46.29</v>
      </c>
      <c r="AZ256">
        <v>53.32</v>
      </c>
      <c r="BA256">
        <v>0.85</v>
      </c>
      <c r="BB256" t="s">
        <v>751</v>
      </c>
      <c r="BF256">
        <v>2.92</v>
      </c>
      <c r="BG256">
        <v>5.46</v>
      </c>
      <c r="BH256">
        <v>-1.92</v>
      </c>
      <c r="BI256">
        <v>5.66</v>
      </c>
      <c r="BJ256">
        <v>20210819</v>
      </c>
      <c r="BK256">
        <v>19970509</v>
      </c>
      <c r="BL256">
        <v>11.79</v>
      </c>
      <c r="BM256" t="s">
        <v>120</v>
      </c>
      <c r="BN256" t="s">
        <v>120</v>
      </c>
      <c r="BO256">
        <v>84.36</v>
      </c>
      <c r="BP256">
        <v>38.25</v>
      </c>
      <c r="BQ256">
        <v>46.58</v>
      </c>
      <c r="BR256" t="s">
        <v>120</v>
      </c>
      <c r="BS256">
        <v>44.79</v>
      </c>
      <c r="BT256">
        <v>56.57</v>
      </c>
      <c r="BU256">
        <v>17.61</v>
      </c>
      <c r="BV256">
        <v>3.34</v>
      </c>
      <c r="BW256">
        <v>34.89</v>
      </c>
      <c r="BX256">
        <v>26.43</v>
      </c>
      <c r="BY256">
        <v>10</v>
      </c>
      <c r="BZ256">
        <v>13.17</v>
      </c>
      <c r="CA256" t="s">
        <v>120</v>
      </c>
      <c r="CB256">
        <v>4.38</v>
      </c>
      <c r="CC256">
        <v>42.77</v>
      </c>
      <c r="CD256">
        <v>29.78</v>
      </c>
      <c r="CE256">
        <v>6.49</v>
      </c>
      <c r="CF256">
        <v>0.42</v>
      </c>
      <c r="CG256">
        <v>6.47</v>
      </c>
      <c r="CH256">
        <v>5.53</v>
      </c>
      <c r="CI256">
        <v>5.53</v>
      </c>
      <c r="CJ256">
        <v>1.3</v>
      </c>
      <c r="CK256">
        <v>5.03</v>
      </c>
      <c r="CL256">
        <v>28.76</v>
      </c>
      <c r="CM256">
        <v>3.23</v>
      </c>
      <c r="CN256">
        <v>0.39</v>
      </c>
      <c r="CO256">
        <v>29479</v>
      </c>
      <c r="CP256">
        <v>19899</v>
      </c>
      <c r="CQ256" t="s">
        <v>1832</v>
      </c>
      <c r="CR256">
        <v>28.86</v>
      </c>
      <c r="CS256">
        <v>7.15</v>
      </c>
      <c r="CT256">
        <v>9.68</v>
      </c>
      <c r="CU256">
        <v>139.49</v>
      </c>
      <c r="CV256">
        <v>10.54</v>
      </c>
      <c r="CW256">
        <v>0.66</v>
      </c>
      <c r="CX256" t="s">
        <v>1071</v>
      </c>
      <c r="CY256">
        <v>3.95</v>
      </c>
      <c r="CZ256">
        <v>0</v>
      </c>
      <c r="DA256">
        <v>0.37</v>
      </c>
      <c r="DB256">
        <v>2.44</v>
      </c>
      <c r="DC256">
        <v>0.27</v>
      </c>
      <c r="DD256">
        <v>55.21</v>
      </c>
      <c r="DE256" t="s">
        <v>1833</v>
      </c>
      <c r="DF256">
        <v>30.38</v>
      </c>
      <c r="DG256">
        <v>15.17</v>
      </c>
      <c r="DH256">
        <v>12.94</v>
      </c>
      <c r="DI256">
        <v>2.0499999999999998</v>
      </c>
      <c r="DJ256">
        <v>5868</v>
      </c>
      <c r="DK256">
        <v>739</v>
      </c>
      <c r="DL256" t="s">
        <v>120</v>
      </c>
      <c r="DM256" t="s">
        <v>120</v>
      </c>
      <c r="DN256" t="s">
        <v>120</v>
      </c>
    </row>
    <row r="257" spans="1:118">
      <c r="A257" t="str">
        <f>"000750"</f>
        <v>000750</v>
      </c>
      <c r="B257" t="s">
        <v>1834</v>
      </c>
      <c r="C257">
        <v>-2.4900000000000002</v>
      </c>
      <c r="D257">
        <v>0</v>
      </c>
      <c r="E257">
        <v>0.91</v>
      </c>
      <c r="F257">
        <v>7612</v>
      </c>
      <c r="G257" t="s">
        <v>1835</v>
      </c>
      <c r="H257">
        <v>41670.410000000003</v>
      </c>
      <c r="I257">
        <v>724.33</v>
      </c>
      <c r="J257" t="s">
        <v>120</v>
      </c>
      <c r="K257" t="s">
        <v>1836</v>
      </c>
      <c r="L257">
        <v>1.75</v>
      </c>
      <c r="M257">
        <v>4.3</v>
      </c>
      <c r="N257">
        <v>0.88</v>
      </c>
      <c r="O257">
        <v>1.1299999999999999</v>
      </c>
      <c r="P257">
        <v>4.46</v>
      </c>
      <c r="Q257">
        <v>-2.95</v>
      </c>
      <c r="R257">
        <v>4.28</v>
      </c>
      <c r="S257">
        <v>4.45</v>
      </c>
      <c r="T257">
        <v>954064</v>
      </c>
      <c r="U257">
        <v>4.3099999999999996</v>
      </c>
      <c r="V257">
        <v>4.41</v>
      </c>
      <c r="W257">
        <v>25.47</v>
      </c>
      <c r="X257" t="s">
        <v>616</v>
      </c>
      <c r="Y257" t="s">
        <v>945</v>
      </c>
      <c r="Z257">
        <v>4.08</v>
      </c>
      <c r="AA257">
        <v>4.37</v>
      </c>
      <c r="AB257">
        <v>538301</v>
      </c>
      <c r="AC257">
        <v>415763</v>
      </c>
      <c r="AD257">
        <v>1.29</v>
      </c>
      <c r="AE257">
        <v>8872</v>
      </c>
      <c r="AF257">
        <v>858</v>
      </c>
      <c r="AG257" t="s">
        <v>120</v>
      </c>
      <c r="AH257">
        <v>0.05</v>
      </c>
      <c r="AI257" t="s">
        <v>120</v>
      </c>
      <c r="AJ257">
        <v>54.45</v>
      </c>
      <c r="AK257" t="s">
        <v>1836</v>
      </c>
      <c r="AL257">
        <v>-0.57999999999999996</v>
      </c>
      <c r="AM257">
        <v>4240</v>
      </c>
      <c r="AN257">
        <v>225</v>
      </c>
      <c r="AO257">
        <v>4.0000000000000002E-4</v>
      </c>
      <c r="AP257">
        <v>-1</v>
      </c>
      <c r="AQ257">
        <v>3.04</v>
      </c>
      <c r="AR257">
        <v>-2.72</v>
      </c>
      <c r="AS257">
        <v>4.62</v>
      </c>
      <c r="AT257">
        <v>1.42</v>
      </c>
      <c r="AU257">
        <v>-25.09</v>
      </c>
      <c r="AV257">
        <v>1</v>
      </c>
      <c r="AW257">
        <v>2.82</v>
      </c>
      <c r="AX257">
        <v>62.19</v>
      </c>
      <c r="AY257">
        <v>41.36</v>
      </c>
      <c r="AZ257">
        <v>33.1</v>
      </c>
      <c r="BA257">
        <v>0.35</v>
      </c>
      <c r="BB257" t="s">
        <v>184</v>
      </c>
      <c r="BF257">
        <v>-0.96</v>
      </c>
      <c r="BG257">
        <v>-3.37</v>
      </c>
      <c r="BH257">
        <v>-3.59</v>
      </c>
      <c r="BI257">
        <v>0.47</v>
      </c>
      <c r="BJ257">
        <v>20210821</v>
      </c>
      <c r="BK257">
        <v>19970709</v>
      </c>
      <c r="BL257">
        <v>54.45</v>
      </c>
      <c r="BM257" t="s">
        <v>120</v>
      </c>
      <c r="BN257" t="s">
        <v>120</v>
      </c>
      <c r="BO257">
        <v>822.13</v>
      </c>
      <c r="BP257">
        <v>4.3</v>
      </c>
      <c r="BQ257">
        <v>182.41</v>
      </c>
      <c r="BR257">
        <v>5.84</v>
      </c>
      <c r="BS257">
        <v>77.099999999999994</v>
      </c>
      <c r="BT257">
        <v>0</v>
      </c>
      <c r="BU257">
        <v>13.97</v>
      </c>
      <c r="BV257">
        <v>1.31</v>
      </c>
      <c r="BW257">
        <v>0</v>
      </c>
      <c r="BX257">
        <v>180.62</v>
      </c>
      <c r="BY257">
        <v>0</v>
      </c>
      <c r="BZ257">
        <v>0</v>
      </c>
      <c r="CA257" t="s">
        <v>120</v>
      </c>
      <c r="CB257">
        <v>89.9</v>
      </c>
      <c r="CC257">
        <v>26.38</v>
      </c>
      <c r="CD257">
        <v>0</v>
      </c>
      <c r="CE257">
        <v>6.97</v>
      </c>
      <c r="CF257">
        <v>7.53</v>
      </c>
      <c r="CG257">
        <v>6.96</v>
      </c>
      <c r="CH257">
        <v>5.32</v>
      </c>
      <c r="CI257">
        <v>4.5999999999999996</v>
      </c>
      <c r="CJ257">
        <v>-0.11</v>
      </c>
      <c r="CK257">
        <v>4.59</v>
      </c>
      <c r="CL257">
        <v>14.41</v>
      </c>
      <c r="CM257">
        <v>-173.22</v>
      </c>
      <c r="CN257">
        <v>24.61</v>
      </c>
      <c r="CO257">
        <v>196596</v>
      </c>
      <c r="CP257">
        <v>17223</v>
      </c>
      <c r="CQ257" t="s">
        <v>965</v>
      </c>
      <c r="CR257">
        <v>-23.97</v>
      </c>
      <c r="CS257">
        <v>7.8</v>
      </c>
      <c r="CT257">
        <v>1.28</v>
      </c>
      <c r="CU257">
        <v>-1.35</v>
      </c>
      <c r="CV257">
        <v>8.8800000000000008</v>
      </c>
      <c r="CW257">
        <v>2.72</v>
      </c>
      <c r="CX257" t="s">
        <v>535</v>
      </c>
      <c r="CY257">
        <v>3.35</v>
      </c>
      <c r="CZ257">
        <v>0</v>
      </c>
      <c r="DA257">
        <v>1.65</v>
      </c>
      <c r="DB257">
        <v>0.26</v>
      </c>
      <c r="DC257">
        <v>-3.18</v>
      </c>
      <c r="DD257">
        <v>22.19</v>
      </c>
      <c r="DE257" t="s">
        <v>1837</v>
      </c>
      <c r="DF257" t="s">
        <v>120</v>
      </c>
      <c r="DG257">
        <v>26.42</v>
      </c>
      <c r="DH257">
        <v>17.43</v>
      </c>
      <c r="DI257" t="s">
        <v>120</v>
      </c>
      <c r="DJ257">
        <v>3879</v>
      </c>
      <c r="DK257">
        <v>750</v>
      </c>
      <c r="DL257" t="s">
        <v>120</v>
      </c>
      <c r="DM257" t="s">
        <v>120</v>
      </c>
      <c r="DN257" t="s">
        <v>120</v>
      </c>
    </row>
    <row r="258" spans="1:118">
      <c r="A258" t="str">
        <f>"000751"</f>
        <v>000751</v>
      </c>
      <c r="B258" t="s">
        <v>1838</v>
      </c>
      <c r="C258">
        <v>-3.31</v>
      </c>
      <c r="D258">
        <v>0.2</v>
      </c>
      <c r="E258">
        <v>0</v>
      </c>
      <c r="F258">
        <v>6491</v>
      </c>
      <c r="G258" t="s">
        <v>1839</v>
      </c>
      <c r="H258">
        <v>40018.47</v>
      </c>
      <c r="I258">
        <v>284.04000000000002</v>
      </c>
      <c r="J258" t="s">
        <v>120</v>
      </c>
      <c r="K258" t="s">
        <v>1840</v>
      </c>
      <c r="L258">
        <v>5.56</v>
      </c>
      <c r="M258">
        <v>4.97</v>
      </c>
      <c r="N258">
        <v>0.77</v>
      </c>
      <c r="O258">
        <v>2.14</v>
      </c>
      <c r="P258">
        <v>5.25</v>
      </c>
      <c r="Q258">
        <v>-3.7</v>
      </c>
      <c r="R258">
        <v>4.95</v>
      </c>
      <c r="S258">
        <v>5.14</v>
      </c>
      <c r="T258">
        <v>783470</v>
      </c>
      <c r="U258">
        <v>4.97</v>
      </c>
      <c r="V258">
        <v>5.14</v>
      </c>
      <c r="W258">
        <v>35.5</v>
      </c>
      <c r="X258" t="s">
        <v>439</v>
      </c>
      <c r="Y258" t="s">
        <v>432</v>
      </c>
      <c r="Z258">
        <v>5.84</v>
      </c>
      <c r="AA258">
        <v>5.1100000000000003</v>
      </c>
      <c r="AB258">
        <v>427130</v>
      </c>
      <c r="AC258">
        <v>356339</v>
      </c>
      <c r="AD258">
        <v>1.2</v>
      </c>
      <c r="AE258">
        <v>2260</v>
      </c>
      <c r="AF258">
        <v>489</v>
      </c>
      <c r="AG258" t="s">
        <v>120</v>
      </c>
      <c r="AH258">
        <v>0.05</v>
      </c>
      <c r="AI258" t="s">
        <v>120</v>
      </c>
      <c r="AJ258">
        <v>14.1</v>
      </c>
      <c r="AK258" t="s">
        <v>1840</v>
      </c>
      <c r="AL258">
        <v>-1.39</v>
      </c>
      <c r="AM258">
        <v>4211</v>
      </c>
      <c r="AN258">
        <v>186</v>
      </c>
      <c r="AO258">
        <v>1.2999999999999999E-3</v>
      </c>
      <c r="AP258">
        <v>-1</v>
      </c>
      <c r="AQ258">
        <v>3.42</v>
      </c>
      <c r="AR258">
        <v>-6.05</v>
      </c>
      <c r="AS258">
        <v>24.56</v>
      </c>
      <c r="AT258">
        <v>52.92</v>
      </c>
      <c r="AU258">
        <v>40</v>
      </c>
      <c r="AV258">
        <v>6</v>
      </c>
      <c r="AW258">
        <v>7.27</v>
      </c>
      <c r="AX258">
        <v>76.41</v>
      </c>
      <c r="AY258">
        <v>25.91</v>
      </c>
      <c r="AZ258">
        <v>30.99</v>
      </c>
      <c r="BA258">
        <v>0</v>
      </c>
      <c r="BB258" t="s">
        <v>168</v>
      </c>
      <c r="BF258">
        <v>-0.63</v>
      </c>
      <c r="BG258">
        <v>-3.31</v>
      </c>
      <c r="BH258">
        <v>-5.33</v>
      </c>
      <c r="BI258">
        <v>0.4</v>
      </c>
      <c r="BJ258">
        <v>20210826</v>
      </c>
      <c r="BK258">
        <v>19970626</v>
      </c>
      <c r="BL258">
        <v>14.1</v>
      </c>
      <c r="BM258" t="s">
        <v>120</v>
      </c>
      <c r="BN258" t="s">
        <v>120</v>
      </c>
      <c r="BO258">
        <v>57.18</v>
      </c>
      <c r="BP258">
        <v>4.96</v>
      </c>
      <c r="BQ258">
        <v>29.64</v>
      </c>
      <c r="BR258" t="s">
        <v>120</v>
      </c>
      <c r="BS258">
        <v>48.16</v>
      </c>
      <c r="BT258">
        <v>35.729999999999997</v>
      </c>
      <c r="BU258">
        <v>11.16</v>
      </c>
      <c r="BV258">
        <v>8.86</v>
      </c>
      <c r="BW258">
        <v>25.36</v>
      </c>
      <c r="BX258">
        <v>6.52</v>
      </c>
      <c r="BY258">
        <v>20.97</v>
      </c>
      <c r="BZ258">
        <v>2.44</v>
      </c>
      <c r="CA258" t="s">
        <v>120</v>
      </c>
      <c r="CB258">
        <v>13.16</v>
      </c>
      <c r="CC258">
        <v>41.77</v>
      </c>
      <c r="CD258">
        <v>38.520000000000003</v>
      </c>
      <c r="CE258">
        <v>0.99</v>
      </c>
      <c r="CF258">
        <v>0</v>
      </c>
      <c r="CG258">
        <v>0.99</v>
      </c>
      <c r="CH258">
        <v>0.99</v>
      </c>
      <c r="CI258">
        <v>0.99</v>
      </c>
      <c r="CJ258">
        <v>-0.17</v>
      </c>
      <c r="CK258">
        <v>0.86</v>
      </c>
      <c r="CL258">
        <v>-1.33</v>
      </c>
      <c r="CM258">
        <v>-0.87</v>
      </c>
      <c r="CN258">
        <v>-0.08</v>
      </c>
      <c r="CO258">
        <v>145711</v>
      </c>
      <c r="CP258">
        <v>7393</v>
      </c>
      <c r="CQ258" t="s">
        <v>1702</v>
      </c>
      <c r="CR258">
        <v>86.86</v>
      </c>
      <c r="CS258">
        <v>42.94</v>
      </c>
      <c r="CT258">
        <v>2.36</v>
      </c>
      <c r="CU258">
        <v>-80.67</v>
      </c>
      <c r="CV258">
        <v>1.68</v>
      </c>
      <c r="CW258">
        <v>0</v>
      </c>
      <c r="CX258" t="s">
        <v>679</v>
      </c>
      <c r="CY258">
        <v>2.1</v>
      </c>
      <c r="CZ258">
        <v>0</v>
      </c>
      <c r="DA258">
        <v>0.93</v>
      </c>
      <c r="DB258">
        <v>-0.09</v>
      </c>
      <c r="DC258">
        <v>-0.06</v>
      </c>
      <c r="DD258">
        <v>51.84</v>
      </c>
      <c r="DE258" t="s">
        <v>1841</v>
      </c>
      <c r="DF258">
        <v>7.79</v>
      </c>
      <c r="DG258">
        <v>2.38</v>
      </c>
      <c r="DH258">
        <v>2.36</v>
      </c>
      <c r="DI258">
        <v>0.02</v>
      </c>
      <c r="DJ258">
        <v>5829</v>
      </c>
      <c r="DK258">
        <v>751</v>
      </c>
      <c r="DL258">
        <v>20210817</v>
      </c>
      <c r="DM258">
        <v>4.24</v>
      </c>
      <c r="DN258">
        <v>17.22</v>
      </c>
    </row>
    <row r="259" spans="1:118">
      <c r="A259" t="str">
        <f>"000753"</f>
        <v>000753</v>
      </c>
      <c r="B259" t="s">
        <v>1842</v>
      </c>
      <c r="C259">
        <v>-0.72</v>
      </c>
      <c r="D259">
        <v>0</v>
      </c>
      <c r="E259">
        <v>0.36</v>
      </c>
      <c r="F259">
        <v>782</v>
      </c>
      <c r="G259" t="s">
        <v>1843</v>
      </c>
      <c r="H259">
        <v>1975.45</v>
      </c>
      <c r="I259">
        <v>24.05</v>
      </c>
      <c r="J259" t="s">
        <v>120</v>
      </c>
      <c r="K259" t="s">
        <v>1844</v>
      </c>
      <c r="L259">
        <v>0.71</v>
      </c>
      <c r="M259">
        <v>2.76</v>
      </c>
      <c r="N259">
        <v>1.1499999999999999</v>
      </c>
      <c r="O259">
        <v>2.52</v>
      </c>
      <c r="P259">
        <v>2.85</v>
      </c>
      <c r="Q259">
        <v>-0.72</v>
      </c>
      <c r="R259">
        <v>2.76</v>
      </c>
      <c r="S259">
        <v>2.79</v>
      </c>
      <c r="T259">
        <v>70448</v>
      </c>
      <c r="U259">
        <v>2.77</v>
      </c>
      <c r="V259">
        <v>2.78</v>
      </c>
      <c r="W259">
        <v>20.59</v>
      </c>
      <c r="X259" t="s">
        <v>253</v>
      </c>
      <c r="Y259" t="s">
        <v>937</v>
      </c>
      <c r="Z259">
        <v>3.24</v>
      </c>
      <c r="AA259">
        <v>2.8</v>
      </c>
      <c r="AB259">
        <v>35425</v>
      </c>
      <c r="AC259">
        <v>35023</v>
      </c>
      <c r="AD259">
        <v>1.01</v>
      </c>
      <c r="AE259">
        <v>1975</v>
      </c>
      <c r="AF259">
        <v>484</v>
      </c>
      <c r="AG259" t="s">
        <v>120</v>
      </c>
      <c r="AH259">
        <v>0.01</v>
      </c>
      <c r="AI259" t="s">
        <v>120</v>
      </c>
      <c r="AJ259">
        <v>9.91</v>
      </c>
      <c r="AK259" t="s">
        <v>1844</v>
      </c>
      <c r="AL259">
        <v>1.19</v>
      </c>
      <c r="AM259">
        <v>912</v>
      </c>
      <c r="AN259">
        <v>77</v>
      </c>
      <c r="AO259">
        <v>8.0000000000000004E-4</v>
      </c>
      <c r="AP259">
        <v>-1</v>
      </c>
      <c r="AQ259">
        <v>1.0900000000000001</v>
      </c>
      <c r="AR259">
        <v>-2.13</v>
      </c>
      <c r="AS259">
        <v>6.15</v>
      </c>
      <c r="AT259">
        <v>2.98</v>
      </c>
      <c r="AU259">
        <v>-4.16</v>
      </c>
      <c r="AV259">
        <v>0</v>
      </c>
      <c r="AW259">
        <v>1.1299999999999999</v>
      </c>
      <c r="AX259">
        <v>62.67</v>
      </c>
      <c r="AY259">
        <v>19.75</v>
      </c>
      <c r="AZ259">
        <v>20.67</v>
      </c>
      <c r="BA259">
        <v>0.34</v>
      </c>
      <c r="BB259" t="s">
        <v>143</v>
      </c>
      <c r="BF259">
        <v>0.87</v>
      </c>
      <c r="BG259">
        <v>-1.08</v>
      </c>
      <c r="BH259">
        <v>-3.16</v>
      </c>
      <c r="BI259">
        <v>0</v>
      </c>
      <c r="BJ259">
        <v>20210821</v>
      </c>
      <c r="BK259">
        <v>19970626</v>
      </c>
      <c r="BL259">
        <v>9.91</v>
      </c>
      <c r="BM259" t="s">
        <v>120</v>
      </c>
      <c r="BN259" t="s">
        <v>120</v>
      </c>
      <c r="BO259">
        <v>73.86</v>
      </c>
      <c r="BP259">
        <v>2.76</v>
      </c>
      <c r="BQ259">
        <v>24.92</v>
      </c>
      <c r="BR259">
        <v>1.1100000000000001</v>
      </c>
      <c r="BS259">
        <v>64.760000000000005</v>
      </c>
      <c r="BT259">
        <v>30.55</v>
      </c>
      <c r="BU259">
        <v>5.68</v>
      </c>
      <c r="BV259">
        <v>8.26</v>
      </c>
      <c r="BW259">
        <v>27.56</v>
      </c>
      <c r="BX259">
        <v>5.49</v>
      </c>
      <c r="BY259">
        <v>14.48</v>
      </c>
      <c r="BZ259">
        <v>4.6100000000000003</v>
      </c>
      <c r="CA259" t="s">
        <v>120</v>
      </c>
      <c r="CB259">
        <v>6.33</v>
      </c>
      <c r="CC259">
        <v>12.23</v>
      </c>
      <c r="CD259">
        <v>9.69</v>
      </c>
      <c r="CE259">
        <v>0.9</v>
      </c>
      <c r="CF259">
        <v>0.19</v>
      </c>
      <c r="CG259">
        <v>0.91</v>
      </c>
      <c r="CH259">
        <v>0.66</v>
      </c>
      <c r="CI259">
        <v>0.66</v>
      </c>
      <c r="CJ259">
        <v>-0.02</v>
      </c>
      <c r="CK259">
        <v>0.48</v>
      </c>
      <c r="CL259">
        <v>7.81</v>
      </c>
      <c r="CM259">
        <v>-4.54</v>
      </c>
      <c r="CN259">
        <v>-3.61</v>
      </c>
      <c r="CO259">
        <v>56205</v>
      </c>
      <c r="CP259">
        <v>11054</v>
      </c>
      <c r="CQ259" t="s">
        <v>856</v>
      </c>
      <c r="CR259">
        <v>10.35</v>
      </c>
      <c r="CS259">
        <v>2.2000000000000002</v>
      </c>
      <c r="CT259">
        <v>1.1000000000000001</v>
      </c>
      <c r="CU259">
        <v>-6.02</v>
      </c>
      <c r="CV259">
        <v>2.2400000000000002</v>
      </c>
      <c r="CW259">
        <v>1.08</v>
      </c>
      <c r="CX259" t="s">
        <v>1845</v>
      </c>
      <c r="CY259">
        <v>2.5099999999999998</v>
      </c>
      <c r="CZ259">
        <v>0</v>
      </c>
      <c r="DA259">
        <v>0.64</v>
      </c>
      <c r="DB259">
        <v>0.79</v>
      </c>
      <c r="DC259">
        <v>-0.46</v>
      </c>
      <c r="DD259">
        <v>33.74</v>
      </c>
      <c r="DE259" t="s">
        <v>1846</v>
      </c>
      <c r="DF259">
        <v>20.77</v>
      </c>
      <c r="DG259">
        <v>7.37</v>
      </c>
      <c r="DH259">
        <v>5.43</v>
      </c>
      <c r="DI259" t="s">
        <v>120</v>
      </c>
      <c r="DJ259">
        <v>1722</v>
      </c>
      <c r="DK259">
        <v>753</v>
      </c>
      <c r="DL259" t="s">
        <v>120</v>
      </c>
      <c r="DM259" t="s">
        <v>120</v>
      </c>
      <c r="DN259" t="s">
        <v>120</v>
      </c>
    </row>
    <row r="260" spans="1:118">
      <c r="A260" t="str">
        <f>"000755"</f>
        <v>000755</v>
      </c>
      <c r="B260" t="s">
        <v>1847</v>
      </c>
      <c r="C260">
        <v>1.76</v>
      </c>
      <c r="D260">
        <v>0</v>
      </c>
      <c r="E260">
        <v>-0.25</v>
      </c>
      <c r="F260">
        <v>1867</v>
      </c>
      <c r="G260" t="s">
        <v>1848</v>
      </c>
      <c r="H260">
        <v>3468.91</v>
      </c>
      <c r="I260">
        <v>9.23</v>
      </c>
      <c r="J260" t="s">
        <v>120</v>
      </c>
      <c r="K260" t="s">
        <v>1849</v>
      </c>
      <c r="L260">
        <v>1.81</v>
      </c>
      <c r="M260">
        <v>4.04</v>
      </c>
      <c r="N260">
        <v>0.93</v>
      </c>
      <c r="O260">
        <v>4.79</v>
      </c>
      <c r="P260">
        <v>4.16</v>
      </c>
      <c r="Q260">
        <v>-0.25</v>
      </c>
      <c r="R260">
        <v>3.96</v>
      </c>
      <c r="S260">
        <v>3.96</v>
      </c>
      <c r="T260">
        <v>84842</v>
      </c>
      <c r="U260">
        <v>4.05</v>
      </c>
      <c r="V260">
        <v>3.97</v>
      </c>
      <c r="W260">
        <v>25.33</v>
      </c>
      <c r="X260" t="s">
        <v>800</v>
      </c>
      <c r="Y260" t="s">
        <v>667</v>
      </c>
      <c r="Z260">
        <v>5.04</v>
      </c>
      <c r="AA260">
        <v>4.09</v>
      </c>
      <c r="AB260">
        <v>39673</v>
      </c>
      <c r="AC260">
        <v>45169</v>
      </c>
      <c r="AD260">
        <v>0.88</v>
      </c>
      <c r="AE260">
        <v>163</v>
      </c>
      <c r="AF260">
        <v>302</v>
      </c>
      <c r="AG260" t="s">
        <v>120</v>
      </c>
      <c r="AH260">
        <v>0.01</v>
      </c>
      <c r="AI260" t="s">
        <v>120</v>
      </c>
      <c r="AJ260">
        <v>4.6900000000000004</v>
      </c>
      <c r="AK260" t="s">
        <v>1850</v>
      </c>
      <c r="AL260">
        <v>3.68</v>
      </c>
      <c r="AM260">
        <v>1635</v>
      </c>
      <c r="AN260">
        <v>52</v>
      </c>
      <c r="AO260">
        <v>1.1000000000000001E-3</v>
      </c>
      <c r="AP260">
        <v>2</v>
      </c>
      <c r="AQ260">
        <v>1.28</v>
      </c>
      <c r="AR260">
        <v>0</v>
      </c>
      <c r="AS260">
        <v>16.760000000000002</v>
      </c>
      <c r="AT260">
        <v>18.82</v>
      </c>
      <c r="AU260">
        <v>16.760000000000002</v>
      </c>
      <c r="AV260">
        <v>0</v>
      </c>
      <c r="AW260">
        <v>2.75</v>
      </c>
      <c r="AX260">
        <v>23.23</v>
      </c>
      <c r="AY260">
        <v>26.09</v>
      </c>
      <c r="AZ260" t="s">
        <v>120</v>
      </c>
      <c r="BA260">
        <v>0.16</v>
      </c>
      <c r="BB260" t="s">
        <v>184</v>
      </c>
      <c r="BF260">
        <v>2.99</v>
      </c>
      <c r="BG260">
        <v>2.02</v>
      </c>
      <c r="BH260">
        <v>-2.88</v>
      </c>
      <c r="BI260">
        <v>2.02</v>
      </c>
      <c r="BJ260">
        <v>20210827</v>
      </c>
      <c r="BK260">
        <v>19970627</v>
      </c>
      <c r="BL260">
        <v>13.27</v>
      </c>
      <c r="BM260" t="s">
        <v>120</v>
      </c>
      <c r="BN260" t="s">
        <v>120</v>
      </c>
      <c r="BO260">
        <v>79.790000000000006</v>
      </c>
      <c r="BP260">
        <v>4.04</v>
      </c>
      <c r="BQ260">
        <v>12.71</v>
      </c>
      <c r="BR260" t="s">
        <v>120</v>
      </c>
      <c r="BS260">
        <v>84.07</v>
      </c>
      <c r="BT260">
        <v>4.47</v>
      </c>
      <c r="BU260">
        <v>0.1</v>
      </c>
      <c r="BV260">
        <v>74.94</v>
      </c>
      <c r="BW260">
        <v>19.88</v>
      </c>
      <c r="BX260">
        <v>3.16</v>
      </c>
      <c r="BY260">
        <v>0.01</v>
      </c>
      <c r="BZ260">
        <v>1.2</v>
      </c>
      <c r="CA260">
        <v>0.01</v>
      </c>
      <c r="CB260">
        <v>12.95</v>
      </c>
      <c r="CC260">
        <v>4.28</v>
      </c>
      <c r="CD260">
        <v>1.64</v>
      </c>
      <c r="CE260">
        <v>1.27</v>
      </c>
      <c r="CF260">
        <v>0</v>
      </c>
      <c r="CG260">
        <v>1.24</v>
      </c>
      <c r="CH260">
        <v>1.06</v>
      </c>
      <c r="CI260">
        <v>1.06</v>
      </c>
      <c r="CJ260">
        <v>7.0000000000000007E-2</v>
      </c>
      <c r="CK260">
        <v>1.0900000000000001</v>
      </c>
      <c r="CL260">
        <v>-6.54</v>
      </c>
      <c r="CM260">
        <v>2.66</v>
      </c>
      <c r="CN260">
        <v>-0.02</v>
      </c>
      <c r="CO260">
        <v>34469</v>
      </c>
      <c r="CP260">
        <v>8940</v>
      </c>
      <c r="CQ260" t="s">
        <v>918</v>
      </c>
      <c r="CR260">
        <v>172.19</v>
      </c>
      <c r="CS260">
        <v>162.5</v>
      </c>
      <c r="CT260">
        <v>1.49</v>
      </c>
      <c r="CU260">
        <v>20.12</v>
      </c>
      <c r="CV260">
        <v>12.52</v>
      </c>
      <c r="CW260">
        <v>0</v>
      </c>
      <c r="CX260" t="s">
        <v>694</v>
      </c>
      <c r="CY260">
        <v>2.71</v>
      </c>
      <c r="CZ260">
        <v>2.71</v>
      </c>
      <c r="DA260">
        <v>0.98</v>
      </c>
      <c r="DB260">
        <v>-0.49</v>
      </c>
      <c r="DC260">
        <v>0.2</v>
      </c>
      <c r="DD260">
        <v>15.93</v>
      </c>
      <c r="DE260" t="s">
        <v>1851</v>
      </c>
      <c r="DF260">
        <v>61.62</v>
      </c>
      <c r="DG260">
        <v>29.58</v>
      </c>
      <c r="DH260">
        <v>24.7</v>
      </c>
      <c r="DI260" t="s">
        <v>120</v>
      </c>
      <c r="DJ260">
        <v>397</v>
      </c>
      <c r="DK260">
        <v>755</v>
      </c>
      <c r="DL260" t="s">
        <v>120</v>
      </c>
      <c r="DM260" t="s">
        <v>120</v>
      </c>
      <c r="DN260" t="s">
        <v>120</v>
      </c>
    </row>
    <row r="261" spans="1:118">
      <c r="A261" t="str">
        <f>"000756"</f>
        <v>000756</v>
      </c>
      <c r="B261" t="s">
        <v>1852</v>
      </c>
      <c r="C261">
        <v>-0.73</v>
      </c>
      <c r="D261">
        <v>-0.11</v>
      </c>
      <c r="E261">
        <v>-0.49</v>
      </c>
      <c r="F261">
        <v>78</v>
      </c>
      <c r="G261" t="s">
        <v>1853</v>
      </c>
      <c r="H261">
        <v>1506.08</v>
      </c>
      <c r="I261">
        <v>2.2799999999999998</v>
      </c>
      <c r="J261" t="s">
        <v>120</v>
      </c>
      <c r="K261" t="s">
        <v>1854</v>
      </c>
      <c r="L261">
        <v>0.43</v>
      </c>
      <c r="M261">
        <v>8.1199999999999992</v>
      </c>
      <c r="N261">
        <v>0.98</v>
      </c>
      <c r="O261">
        <v>1.22</v>
      </c>
      <c r="P261">
        <v>8.2799999999999994</v>
      </c>
      <c r="Q261">
        <v>-0.98</v>
      </c>
      <c r="R261">
        <v>8.1</v>
      </c>
      <c r="S261">
        <v>8.14</v>
      </c>
      <c r="T261">
        <v>18394</v>
      </c>
      <c r="U261">
        <v>8.1300000000000008</v>
      </c>
      <c r="V261">
        <v>8.18</v>
      </c>
      <c r="W261">
        <v>12.73</v>
      </c>
      <c r="X261" t="s">
        <v>569</v>
      </c>
      <c r="Y261" t="s">
        <v>638</v>
      </c>
      <c r="Z261">
        <v>2.2000000000000002</v>
      </c>
      <c r="AA261">
        <v>8.19</v>
      </c>
      <c r="AB261">
        <v>10837</v>
      </c>
      <c r="AC261">
        <v>7557</v>
      </c>
      <c r="AD261">
        <v>1.43</v>
      </c>
      <c r="AE261">
        <v>179</v>
      </c>
      <c r="AF261">
        <v>7</v>
      </c>
      <c r="AG261" t="s">
        <v>120</v>
      </c>
      <c r="AH261">
        <v>0</v>
      </c>
      <c r="AI261" t="s">
        <v>120</v>
      </c>
      <c r="AJ261">
        <v>4.32</v>
      </c>
      <c r="AK261" t="s">
        <v>904</v>
      </c>
      <c r="AL261">
        <v>1.18</v>
      </c>
      <c r="AM261">
        <v>1363</v>
      </c>
      <c r="AN261">
        <v>13</v>
      </c>
      <c r="AO261">
        <v>2.9999999999999997E-4</v>
      </c>
      <c r="AP261">
        <v>-3</v>
      </c>
      <c r="AQ261">
        <v>-0.37</v>
      </c>
      <c r="AR261">
        <v>-2.17</v>
      </c>
      <c r="AS261">
        <v>2.0099999999999998</v>
      </c>
      <c r="AT261">
        <v>-4.0199999999999996</v>
      </c>
      <c r="AU261">
        <v>-12.03</v>
      </c>
      <c r="AV261">
        <v>1</v>
      </c>
      <c r="AW261">
        <v>0.83</v>
      </c>
      <c r="AX261">
        <v>51.52</v>
      </c>
      <c r="AY261">
        <v>14.55</v>
      </c>
      <c r="AZ261">
        <v>15.8</v>
      </c>
      <c r="BA261">
        <v>0.25</v>
      </c>
      <c r="BB261" t="s">
        <v>143</v>
      </c>
      <c r="BF261">
        <v>0.09</v>
      </c>
      <c r="BG261">
        <v>-0.25</v>
      </c>
      <c r="BH261">
        <v>-1.93</v>
      </c>
      <c r="BI261">
        <v>0.25</v>
      </c>
      <c r="BJ261">
        <v>20210830</v>
      </c>
      <c r="BK261">
        <v>19970806</v>
      </c>
      <c r="BL261">
        <v>6.27</v>
      </c>
      <c r="BM261" t="s">
        <v>120</v>
      </c>
      <c r="BN261">
        <v>1.95</v>
      </c>
      <c r="BO261">
        <v>72.72</v>
      </c>
      <c r="BP261">
        <v>8.1199999999999992</v>
      </c>
      <c r="BQ261">
        <v>33.299999999999997</v>
      </c>
      <c r="BR261">
        <v>1.94</v>
      </c>
      <c r="BS261">
        <v>51.53</v>
      </c>
      <c r="BT261">
        <v>28.48</v>
      </c>
      <c r="BU261">
        <v>30.32</v>
      </c>
      <c r="BV261">
        <v>4.54</v>
      </c>
      <c r="BW261">
        <v>25.07</v>
      </c>
      <c r="BX261">
        <v>9.49</v>
      </c>
      <c r="BY261">
        <v>8.44</v>
      </c>
      <c r="BZ261">
        <v>8.24</v>
      </c>
      <c r="CA261" t="s">
        <v>120</v>
      </c>
      <c r="CB261">
        <v>6.75</v>
      </c>
      <c r="CC261">
        <v>35.51</v>
      </c>
      <c r="CD261">
        <v>25.11</v>
      </c>
      <c r="CE261">
        <v>2.63</v>
      </c>
      <c r="CF261">
        <v>7.0000000000000007E-2</v>
      </c>
      <c r="CG261">
        <v>2.6</v>
      </c>
      <c r="CH261">
        <v>2.09</v>
      </c>
      <c r="CI261">
        <v>2</v>
      </c>
      <c r="CJ261">
        <v>-0.06</v>
      </c>
      <c r="CK261">
        <v>1.86</v>
      </c>
      <c r="CL261">
        <v>15.83</v>
      </c>
      <c r="CM261">
        <v>1.65</v>
      </c>
      <c r="CN261">
        <v>1</v>
      </c>
      <c r="CO261">
        <v>32152</v>
      </c>
      <c r="CP261">
        <v>6928</v>
      </c>
      <c r="CQ261" t="s">
        <v>1855</v>
      </c>
      <c r="CR261">
        <v>16.12</v>
      </c>
      <c r="CS261">
        <v>8.07</v>
      </c>
      <c r="CT261">
        <v>1.53</v>
      </c>
      <c r="CU261">
        <v>30.86</v>
      </c>
      <c r="CV261">
        <v>1.43</v>
      </c>
      <c r="CW261">
        <v>1.83</v>
      </c>
      <c r="CX261" t="s">
        <v>966</v>
      </c>
      <c r="CY261">
        <v>5.31</v>
      </c>
      <c r="CZ261">
        <v>0</v>
      </c>
      <c r="DA261">
        <v>1.08</v>
      </c>
      <c r="DB261">
        <v>2.52</v>
      </c>
      <c r="DC261">
        <v>0.26</v>
      </c>
      <c r="DD261">
        <v>45.8</v>
      </c>
      <c r="DE261" t="s">
        <v>1856</v>
      </c>
      <c r="DF261">
        <v>29.29</v>
      </c>
      <c r="DG261">
        <v>7.41</v>
      </c>
      <c r="DH261">
        <v>5.63</v>
      </c>
      <c r="DI261">
        <v>1.7</v>
      </c>
      <c r="DJ261">
        <v>6365</v>
      </c>
      <c r="DK261">
        <v>756</v>
      </c>
      <c r="DL261" t="s">
        <v>120</v>
      </c>
      <c r="DM261" t="s">
        <v>120</v>
      </c>
      <c r="DN261" t="s">
        <v>120</v>
      </c>
    </row>
    <row r="262" spans="1:118">
      <c r="A262" t="str">
        <f>"000757"</f>
        <v>000757</v>
      </c>
      <c r="B262" t="s">
        <v>1857</v>
      </c>
      <c r="C262">
        <v>-0.48</v>
      </c>
      <c r="D262">
        <v>-0.23</v>
      </c>
      <c r="E262">
        <v>-0.48</v>
      </c>
      <c r="F262">
        <v>1343</v>
      </c>
      <c r="G262" t="s">
        <v>1858</v>
      </c>
      <c r="H262">
        <v>5454.6</v>
      </c>
      <c r="I262">
        <v>13.99</v>
      </c>
      <c r="J262" t="s">
        <v>120</v>
      </c>
      <c r="K262" t="s">
        <v>1859</v>
      </c>
      <c r="L262">
        <v>2.5499999999999998</v>
      </c>
      <c r="M262">
        <v>4.1399999999999997</v>
      </c>
      <c r="N262">
        <v>1.1000000000000001</v>
      </c>
      <c r="O262">
        <v>2.16</v>
      </c>
      <c r="P262">
        <v>4.25</v>
      </c>
      <c r="Q262">
        <v>-0.72</v>
      </c>
      <c r="R262">
        <v>4.13</v>
      </c>
      <c r="S262">
        <v>4.1399999999999997</v>
      </c>
      <c r="T262">
        <v>130262</v>
      </c>
      <c r="U262">
        <v>4.1500000000000004</v>
      </c>
      <c r="V262">
        <v>4.16</v>
      </c>
      <c r="W262">
        <v>29.96</v>
      </c>
      <c r="X262" t="s">
        <v>289</v>
      </c>
      <c r="Y262" t="s">
        <v>578</v>
      </c>
      <c r="Z262">
        <v>2.88</v>
      </c>
      <c r="AA262">
        <v>4.1900000000000004</v>
      </c>
      <c r="AB262">
        <v>62970</v>
      </c>
      <c r="AC262">
        <v>67292</v>
      </c>
      <c r="AD262">
        <v>0.94</v>
      </c>
      <c r="AE262">
        <v>306</v>
      </c>
      <c r="AF262">
        <v>396</v>
      </c>
      <c r="AG262" t="s">
        <v>120</v>
      </c>
      <c r="AH262">
        <v>0.01</v>
      </c>
      <c r="AI262" t="s">
        <v>120</v>
      </c>
      <c r="AJ262">
        <v>5.1100000000000003</v>
      </c>
      <c r="AK262" t="s">
        <v>1860</v>
      </c>
      <c r="AL262">
        <v>1.43</v>
      </c>
      <c r="AM262">
        <v>1493</v>
      </c>
      <c r="AN262">
        <v>87</v>
      </c>
      <c r="AO262">
        <v>1.6999999999999999E-3</v>
      </c>
      <c r="AP262">
        <v>-2</v>
      </c>
      <c r="AQ262">
        <v>-0.48</v>
      </c>
      <c r="AR262">
        <v>0.73</v>
      </c>
      <c r="AS262">
        <v>7.25</v>
      </c>
      <c r="AT262">
        <v>-1.2</v>
      </c>
      <c r="AU262">
        <v>-7.59</v>
      </c>
      <c r="AV262">
        <v>1</v>
      </c>
      <c r="AW262">
        <v>4.28</v>
      </c>
      <c r="AX262">
        <v>45.73</v>
      </c>
      <c r="AY262">
        <v>23.07</v>
      </c>
      <c r="AZ262">
        <v>52.43</v>
      </c>
      <c r="BA262">
        <v>0.28999999999999998</v>
      </c>
      <c r="BB262" t="s">
        <v>125</v>
      </c>
      <c r="BF262">
        <v>0.66</v>
      </c>
      <c r="BG262">
        <v>0</v>
      </c>
      <c r="BH262">
        <v>-2.59</v>
      </c>
      <c r="BI262">
        <v>0.24</v>
      </c>
      <c r="BJ262">
        <v>20210913</v>
      </c>
      <c r="BK262">
        <v>19970627</v>
      </c>
      <c r="BL262">
        <v>6.65</v>
      </c>
      <c r="BM262" t="s">
        <v>120</v>
      </c>
      <c r="BN262" t="s">
        <v>120</v>
      </c>
      <c r="BO262">
        <v>27.82</v>
      </c>
      <c r="BP262">
        <v>4.1399999999999997</v>
      </c>
      <c r="BQ262">
        <v>17.47</v>
      </c>
      <c r="BR262">
        <v>0.01</v>
      </c>
      <c r="BS262">
        <v>37.159999999999997</v>
      </c>
      <c r="BT262">
        <v>17.89</v>
      </c>
      <c r="BU262">
        <v>6.67</v>
      </c>
      <c r="BV262">
        <v>0.32</v>
      </c>
      <c r="BW262">
        <v>9.51</v>
      </c>
      <c r="BX262">
        <v>4.7300000000000004</v>
      </c>
      <c r="BY262">
        <v>4.96</v>
      </c>
      <c r="BZ262">
        <v>1.78</v>
      </c>
      <c r="CA262" t="s">
        <v>120</v>
      </c>
      <c r="CB262">
        <v>13.61</v>
      </c>
      <c r="CC262">
        <v>21.58</v>
      </c>
      <c r="CD262">
        <v>19.059999999999999</v>
      </c>
      <c r="CE262">
        <v>0.59</v>
      </c>
      <c r="CF262">
        <v>0.01</v>
      </c>
      <c r="CG262">
        <v>0.59</v>
      </c>
      <c r="CH262">
        <v>0.46</v>
      </c>
      <c r="CI262">
        <v>0.46</v>
      </c>
      <c r="CJ262">
        <v>-0.02</v>
      </c>
      <c r="CK262">
        <v>0.4</v>
      </c>
      <c r="CL262">
        <v>-3.47</v>
      </c>
      <c r="CM262">
        <v>-0.08</v>
      </c>
      <c r="CN262">
        <v>-0.93</v>
      </c>
      <c r="CO262">
        <v>29181</v>
      </c>
      <c r="CP262">
        <v>10418</v>
      </c>
      <c r="CQ262" t="s">
        <v>223</v>
      </c>
      <c r="CR262">
        <v>316.89</v>
      </c>
      <c r="CS262">
        <v>41.79</v>
      </c>
      <c r="CT262">
        <v>1.58</v>
      </c>
      <c r="CU262">
        <v>-337.03</v>
      </c>
      <c r="CV262">
        <v>1.28</v>
      </c>
      <c r="CW262">
        <v>0</v>
      </c>
      <c r="CX262" t="s">
        <v>679</v>
      </c>
      <c r="CY262">
        <v>2.63</v>
      </c>
      <c r="CZ262">
        <v>0</v>
      </c>
      <c r="DA262">
        <v>2.0499999999999998</v>
      </c>
      <c r="DB262">
        <v>-0.52</v>
      </c>
      <c r="DC262">
        <v>-0.01</v>
      </c>
      <c r="DD262">
        <v>62.79</v>
      </c>
      <c r="DE262" t="s">
        <v>1861</v>
      </c>
      <c r="DF262">
        <v>11.7</v>
      </c>
      <c r="DG262">
        <v>2.74</v>
      </c>
      <c r="DH262">
        <v>2.13</v>
      </c>
      <c r="DI262">
        <v>0.09</v>
      </c>
      <c r="DJ262">
        <v>2341</v>
      </c>
      <c r="DK262">
        <v>757</v>
      </c>
      <c r="DL262" t="s">
        <v>120</v>
      </c>
      <c r="DM262" t="s">
        <v>120</v>
      </c>
      <c r="DN262" t="s">
        <v>120</v>
      </c>
    </row>
    <row r="263" spans="1:118">
      <c r="A263" t="str">
        <f>"000758"</f>
        <v>000758</v>
      </c>
      <c r="B263" t="s">
        <v>1862</v>
      </c>
      <c r="C263">
        <v>-4.96</v>
      </c>
      <c r="D263">
        <v>0.15</v>
      </c>
      <c r="E263">
        <v>1.27</v>
      </c>
      <c r="F263">
        <v>10124</v>
      </c>
      <c r="G263" t="s">
        <v>1863</v>
      </c>
      <c r="H263">
        <v>83099.03</v>
      </c>
      <c r="I263">
        <v>324.82</v>
      </c>
      <c r="J263" t="s">
        <v>120</v>
      </c>
      <c r="K263" t="s">
        <v>1864</v>
      </c>
      <c r="L263">
        <v>6.04</v>
      </c>
      <c r="M263">
        <v>6.71</v>
      </c>
      <c r="N263">
        <v>0.95</v>
      </c>
      <c r="O263">
        <v>3.82</v>
      </c>
      <c r="P263">
        <v>7.33</v>
      </c>
      <c r="Q263">
        <v>-5.52</v>
      </c>
      <c r="R263">
        <v>6.67</v>
      </c>
      <c r="S263">
        <v>7.15</v>
      </c>
      <c r="T263">
        <v>1189216</v>
      </c>
      <c r="U263">
        <v>6.72</v>
      </c>
      <c r="V263">
        <v>7.06</v>
      </c>
      <c r="W263">
        <v>51.42</v>
      </c>
      <c r="X263" t="s">
        <v>439</v>
      </c>
      <c r="Y263" t="s">
        <v>158</v>
      </c>
      <c r="Z263">
        <v>9.35</v>
      </c>
      <c r="AA263">
        <v>6.99</v>
      </c>
      <c r="AB263">
        <v>660610</v>
      </c>
      <c r="AC263">
        <v>528606</v>
      </c>
      <c r="AD263">
        <v>1.25</v>
      </c>
      <c r="AE263">
        <v>2638</v>
      </c>
      <c r="AF263">
        <v>892</v>
      </c>
      <c r="AG263" t="s">
        <v>120</v>
      </c>
      <c r="AH263">
        <v>0.03</v>
      </c>
      <c r="AI263" t="s">
        <v>120</v>
      </c>
      <c r="AJ263">
        <v>19.690000000000001</v>
      </c>
      <c r="AK263" t="s">
        <v>1865</v>
      </c>
      <c r="AL263">
        <v>-3.04</v>
      </c>
      <c r="AM263">
        <v>4463</v>
      </c>
      <c r="AN263">
        <v>266</v>
      </c>
      <c r="AO263">
        <v>1.4E-3</v>
      </c>
      <c r="AP263">
        <v>-1</v>
      </c>
      <c r="AQ263">
        <v>0.86</v>
      </c>
      <c r="AR263">
        <v>-10.29</v>
      </c>
      <c r="AS263">
        <v>13.54</v>
      </c>
      <c r="AT263">
        <v>39.21</v>
      </c>
      <c r="AU263">
        <v>32.090000000000003</v>
      </c>
      <c r="AV263">
        <v>4</v>
      </c>
      <c r="AW263">
        <v>9.11</v>
      </c>
      <c r="AX263">
        <v>66.25</v>
      </c>
      <c r="AY263">
        <v>197.89</v>
      </c>
      <c r="AZ263">
        <v>645.22</v>
      </c>
      <c r="BA263">
        <v>0.18</v>
      </c>
      <c r="BB263" t="s">
        <v>240</v>
      </c>
      <c r="BF263">
        <v>-1.02</v>
      </c>
      <c r="BG263">
        <v>-6.15</v>
      </c>
      <c r="BH263">
        <v>-8.4600000000000009</v>
      </c>
      <c r="BI263">
        <v>0.6</v>
      </c>
      <c r="BJ263">
        <v>20210830</v>
      </c>
      <c r="BK263">
        <v>19970416</v>
      </c>
      <c r="BL263">
        <v>19.690000000000001</v>
      </c>
      <c r="BM263" t="s">
        <v>120</v>
      </c>
      <c r="BN263" t="s">
        <v>120</v>
      </c>
      <c r="BO263">
        <v>200.06</v>
      </c>
      <c r="BP263">
        <v>6.71</v>
      </c>
      <c r="BQ263">
        <v>46.77</v>
      </c>
      <c r="BR263">
        <v>38.33</v>
      </c>
      <c r="BS263">
        <v>57.46</v>
      </c>
      <c r="BT263">
        <v>97.4</v>
      </c>
      <c r="BU263">
        <v>20.16</v>
      </c>
      <c r="BV263">
        <v>30.47</v>
      </c>
      <c r="BW263">
        <v>54.63</v>
      </c>
      <c r="BX263">
        <v>39.51</v>
      </c>
      <c r="BY263">
        <v>14.14</v>
      </c>
      <c r="BZ263">
        <v>8.3800000000000008</v>
      </c>
      <c r="CA263" t="s">
        <v>120</v>
      </c>
      <c r="CB263">
        <v>9.39</v>
      </c>
      <c r="CC263">
        <v>34.47</v>
      </c>
      <c r="CD263">
        <v>28.62</v>
      </c>
      <c r="CE263">
        <v>3.49</v>
      </c>
      <c r="CF263">
        <v>0.08</v>
      </c>
      <c r="CG263">
        <v>3.48</v>
      </c>
      <c r="CH263">
        <v>2.71</v>
      </c>
      <c r="CI263">
        <v>1.29</v>
      </c>
      <c r="CJ263">
        <v>-0.35</v>
      </c>
      <c r="CK263">
        <v>1.26</v>
      </c>
      <c r="CL263">
        <v>18.68</v>
      </c>
      <c r="CM263">
        <v>24.38</v>
      </c>
      <c r="CN263">
        <v>8.25</v>
      </c>
      <c r="CO263">
        <v>116224</v>
      </c>
      <c r="CP263">
        <v>11226</v>
      </c>
      <c r="CQ263" t="s">
        <v>1866</v>
      </c>
      <c r="CR263">
        <v>61.05</v>
      </c>
      <c r="CS263">
        <v>7.23</v>
      </c>
      <c r="CT263">
        <v>2.83</v>
      </c>
      <c r="CU263">
        <v>5.42</v>
      </c>
      <c r="CV263">
        <v>3.83</v>
      </c>
      <c r="CW263">
        <v>0</v>
      </c>
      <c r="CX263" t="s">
        <v>1867</v>
      </c>
      <c r="CY263">
        <v>2.37</v>
      </c>
      <c r="CZ263">
        <v>0</v>
      </c>
      <c r="DA263">
        <v>0.48</v>
      </c>
      <c r="DB263">
        <v>0.95</v>
      </c>
      <c r="DC263">
        <v>1.24</v>
      </c>
      <c r="DD263">
        <v>23.38</v>
      </c>
      <c r="DE263" t="s">
        <v>1868</v>
      </c>
      <c r="DF263">
        <v>16.97</v>
      </c>
      <c r="DG263">
        <v>10.119999999999999</v>
      </c>
      <c r="DH263">
        <v>3.73</v>
      </c>
      <c r="DI263">
        <v>0.08</v>
      </c>
      <c r="DJ263">
        <v>5064</v>
      </c>
      <c r="DK263">
        <v>758</v>
      </c>
      <c r="DL263">
        <v>20210810</v>
      </c>
      <c r="DM263">
        <v>6.42</v>
      </c>
      <c r="DN263">
        <v>4.5199999999999996</v>
      </c>
    </row>
    <row r="264" spans="1:118">
      <c r="A264" t="str">
        <f>"000759"</f>
        <v>000759</v>
      </c>
      <c r="B264" t="s">
        <v>1869</v>
      </c>
      <c r="C264">
        <v>0.59</v>
      </c>
      <c r="D264">
        <v>-0.19</v>
      </c>
      <c r="E264">
        <v>0.4</v>
      </c>
      <c r="F264">
        <v>82</v>
      </c>
      <c r="G264" t="s">
        <v>1870</v>
      </c>
      <c r="H264">
        <v>1036.8900000000001</v>
      </c>
      <c r="I264">
        <v>9.4</v>
      </c>
      <c r="J264" t="s">
        <v>120</v>
      </c>
      <c r="K264" t="s">
        <v>1871</v>
      </c>
      <c r="L264">
        <v>0.3</v>
      </c>
      <c r="M264">
        <v>5.09</v>
      </c>
      <c r="N264">
        <v>1.21</v>
      </c>
      <c r="O264">
        <v>1.78</v>
      </c>
      <c r="P264">
        <v>5.15</v>
      </c>
      <c r="Q264">
        <v>-0.2</v>
      </c>
      <c r="R264">
        <v>5.05</v>
      </c>
      <c r="S264">
        <v>5.08</v>
      </c>
      <c r="T264">
        <v>20303</v>
      </c>
      <c r="U264">
        <v>5.09</v>
      </c>
      <c r="V264">
        <v>5.0599999999999996</v>
      </c>
      <c r="W264">
        <v>224.47</v>
      </c>
      <c r="X264" t="s">
        <v>1872</v>
      </c>
      <c r="Y264" t="s">
        <v>763</v>
      </c>
      <c r="Z264">
        <v>1.98</v>
      </c>
      <c r="AA264">
        <v>5.1100000000000003</v>
      </c>
      <c r="AB264">
        <v>10129</v>
      </c>
      <c r="AC264">
        <v>10174</v>
      </c>
      <c r="AD264">
        <v>1</v>
      </c>
      <c r="AE264">
        <v>20</v>
      </c>
      <c r="AF264">
        <v>78</v>
      </c>
      <c r="AG264" t="s">
        <v>120</v>
      </c>
      <c r="AH264">
        <v>0.01</v>
      </c>
      <c r="AI264" t="s">
        <v>120</v>
      </c>
      <c r="AJ264">
        <v>6.81</v>
      </c>
      <c r="AK264" t="s">
        <v>1873</v>
      </c>
      <c r="AL264">
        <v>2.5099999999999998</v>
      </c>
      <c r="AM264">
        <v>610</v>
      </c>
      <c r="AN264">
        <v>33</v>
      </c>
      <c r="AO264">
        <v>5.0000000000000001E-4</v>
      </c>
      <c r="AP264">
        <v>2</v>
      </c>
      <c r="AQ264">
        <v>0.2</v>
      </c>
      <c r="AR264">
        <v>-0.19</v>
      </c>
      <c r="AS264">
        <v>4.74</v>
      </c>
      <c r="AT264">
        <v>-2.87</v>
      </c>
      <c r="AU264">
        <v>-16.97</v>
      </c>
      <c r="AV264">
        <v>0</v>
      </c>
      <c r="AW264">
        <v>0.99</v>
      </c>
      <c r="AX264">
        <v>30.14</v>
      </c>
      <c r="AY264">
        <v>27.92</v>
      </c>
      <c r="AZ264">
        <v>79.89</v>
      </c>
      <c r="BA264">
        <v>0.33</v>
      </c>
      <c r="BB264" t="s">
        <v>143</v>
      </c>
      <c r="BF264">
        <v>0.93</v>
      </c>
      <c r="BG264">
        <v>0.2</v>
      </c>
      <c r="BH264">
        <v>-1.17</v>
      </c>
      <c r="BI264">
        <v>0.79</v>
      </c>
      <c r="BJ264">
        <v>20210903</v>
      </c>
      <c r="BK264">
        <v>19970519</v>
      </c>
      <c r="BL264">
        <v>6.81</v>
      </c>
      <c r="BM264" t="s">
        <v>120</v>
      </c>
      <c r="BN264" t="s">
        <v>120</v>
      </c>
      <c r="BO264">
        <v>121.61</v>
      </c>
      <c r="BP264">
        <v>5.08</v>
      </c>
      <c r="BQ264">
        <v>31.07</v>
      </c>
      <c r="BR264">
        <v>0.55000000000000004</v>
      </c>
      <c r="BS264">
        <v>74</v>
      </c>
      <c r="BT264">
        <v>34.24</v>
      </c>
      <c r="BU264">
        <v>44.04</v>
      </c>
      <c r="BV264">
        <v>3.58</v>
      </c>
      <c r="BW264">
        <v>66.38</v>
      </c>
      <c r="BX264">
        <v>15.6</v>
      </c>
      <c r="BY264">
        <v>14.4</v>
      </c>
      <c r="BZ264">
        <v>1.73</v>
      </c>
      <c r="CA264">
        <v>0.01</v>
      </c>
      <c r="CB264">
        <v>10.08</v>
      </c>
      <c r="CC264">
        <v>63.34</v>
      </c>
      <c r="CD264">
        <v>47.48</v>
      </c>
      <c r="CE264">
        <v>0.28999999999999998</v>
      </c>
      <c r="CF264">
        <v>-0.15</v>
      </c>
      <c r="CG264">
        <v>0.26</v>
      </c>
      <c r="CH264">
        <v>0.13</v>
      </c>
      <c r="CI264">
        <v>0.08</v>
      </c>
      <c r="CJ264">
        <v>0.03</v>
      </c>
      <c r="CK264">
        <v>-0.32</v>
      </c>
      <c r="CL264">
        <v>11.46</v>
      </c>
      <c r="CM264">
        <v>5.31</v>
      </c>
      <c r="CN264">
        <v>2.14</v>
      </c>
      <c r="CO264">
        <v>21490</v>
      </c>
      <c r="CP264">
        <v>9551</v>
      </c>
      <c r="CQ264" t="s">
        <v>1874</v>
      </c>
      <c r="CR264">
        <v>110.64</v>
      </c>
      <c r="CS264">
        <v>-10.4</v>
      </c>
      <c r="CT264">
        <v>1.1200000000000001</v>
      </c>
      <c r="CU264">
        <v>6.53</v>
      </c>
      <c r="CV264">
        <v>0.55000000000000004</v>
      </c>
      <c r="CW264">
        <v>0.95</v>
      </c>
      <c r="CX264" t="s">
        <v>178</v>
      </c>
      <c r="CY264">
        <v>4.5599999999999996</v>
      </c>
      <c r="CZ264">
        <v>0</v>
      </c>
      <c r="DA264">
        <v>1.48</v>
      </c>
      <c r="DB264">
        <v>1.68</v>
      </c>
      <c r="DC264">
        <v>0.78</v>
      </c>
      <c r="DD264">
        <v>25.55</v>
      </c>
      <c r="DE264" t="s">
        <v>1875</v>
      </c>
      <c r="DF264">
        <v>25.05</v>
      </c>
      <c r="DG264">
        <v>0.45</v>
      </c>
      <c r="DH264">
        <v>0.12</v>
      </c>
      <c r="DI264">
        <v>0.06</v>
      </c>
      <c r="DJ264">
        <v>20625</v>
      </c>
      <c r="DK264">
        <v>759</v>
      </c>
      <c r="DL264" t="s">
        <v>120</v>
      </c>
      <c r="DM264" t="s">
        <v>120</v>
      </c>
      <c r="DN264" t="s">
        <v>120</v>
      </c>
    </row>
    <row r="265" spans="1:118">
      <c r="A265" t="str">
        <f>"000761"</f>
        <v>000761</v>
      </c>
      <c r="B265" t="s">
        <v>1876</v>
      </c>
      <c r="C265">
        <v>-1.95</v>
      </c>
      <c r="D265">
        <v>-0.9</v>
      </c>
      <c r="E265">
        <v>2.7</v>
      </c>
      <c r="F265">
        <v>5822</v>
      </c>
      <c r="G265" t="s">
        <v>1877</v>
      </c>
      <c r="H265">
        <v>44696.22</v>
      </c>
      <c r="I265">
        <v>275.11</v>
      </c>
      <c r="J265" t="s">
        <v>120</v>
      </c>
      <c r="K265" t="s">
        <v>1878</v>
      </c>
      <c r="L265">
        <v>1.9</v>
      </c>
      <c r="M265">
        <v>6.53</v>
      </c>
      <c r="N265">
        <v>0.9</v>
      </c>
      <c r="O265">
        <v>4.6500000000000004</v>
      </c>
      <c r="P265">
        <v>6.97</v>
      </c>
      <c r="Q265">
        <v>-3.9</v>
      </c>
      <c r="R265">
        <v>6.4</v>
      </c>
      <c r="S265">
        <v>6.84</v>
      </c>
      <c r="T265">
        <v>661816</v>
      </c>
      <c r="U265">
        <v>6.56</v>
      </c>
      <c r="V265">
        <v>6.66</v>
      </c>
      <c r="W265">
        <v>5.74</v>
      </c>
      <c r="X265" t="s">
        <v>1460</v>
      </c>
      <c r="Y265" t="s">
        <v>432</v>
      </c>
      <c r="Z265">
        <v>8.56</v>
      </c>
      <c r="AA265">
        <v>6.75</v>
      </c>
      <c r="AB265">
        <v>298309</v>
      </c>
      <c r="AC265">
        <v>363507</v>
      </c>
      <c r="AD265">
        <v>0.82</v>
      </c>
      <c r="AE265">
        <v>2719</v>
      </c>
      <c r="AF265">
        <v>35</v>
      </c>
      <c r="AG265" t="s">
        <v>120</v>
      </c>
      <c r="AH265">
        <v>0.04</v>
      </c>
      <c r="AI265" t="s">
        <v>120</v>
      </c>
      <c r="AJ265">
        <v>34.85</v>
      </c>
      <c r="AK265" t="s">
        <v>1879</v>
      </c>
      <c r="AL265">
        <v>-0.04</v>
      </c>
      <c r="AM265">
        <v>4447</v>
      </c>
      <c r="AN265">
        <v>149</v>
      </c>
      <c r="AO265">
        <v>4.0000000000000002E-4</v>
      </c>
      <c r="AP265">
        <v>-3</v>
      </c>
      <c r="AQ265">
        <v>-1.77</v>
      </c>
      <c r="AR265">
        <v>-7.38</v>
      </c>
      <c r="AS265">
        <v>29.83</v>
      </c>
      <c r="AT265">
        <v>50.11</v>
      </c>
      <c r="AU265">
        <v>104.7</v>
      </c>
      <c r="AV265">
        <v>11</v>
      </c>
      <c r="AW265">
        <v>6.15</v>
      </c>
      <c r="AX265">
        <v>27.68</v>
      </c>
      <c r="AY265">
        <v>11.07</v>
      </c>
      <c r="AZ265">
        <v>67.34</v>
      </c>
      <c r="BA265">
        <v>0.45</v>
      </c>
      <c r="BB265" t="s">
        <v>143</v>
      </c>
      <c r="BF265">
        <v>1.4</v>
      </c>
      <c r="BG265">
        <v>-4.53</v>
      </c>
      <c r="BH265">
        <v>-6.31</v>
      </c>
      <c r="BI265">
        <v>2.0299999999999998</v>
      </c>
      <c r="BJ265">
        <v>20210913</v>
      </c>
      <c r="BK265">
        <v>19980115</v>
      </c>
      <c r="BL265">
        <v>38.85</v>
      </c>
      <c r="BM265">
        <v>4</v>
      </c>
      <c r="BN265" t="s">
        <v>120</v>
      </c>
      <c r="BO265">
        <v>647.52</v>
      </c>
      <c r="BP265">
        <v>6.53</v>
      </c>
      <c r="BQ265">
        <v>232.47</v>
      </c>
      <c r="BR265">
        <v>5.47</v>
      </c>
      <c r="BS265">
        <v>63.25</v>
      </c>
      <c r="BT265">
        <v>328.69</v>
      </c>
      <c r="BU265">
        <v>251.37</v>
      </c>
      <c r="BV265">
        <v>2.62</v>
      </c>
      <c r="BW265">
        <v>273.36</v>
      </c>
      <c r="BX265">
        <v>95.11</v>
      </c>
      <c r="BY265">
        <v>86.63</v>
      </c>
      <c r="BZ265">
        <v>2.2599999999999998</v>
      </c>
      <c r="CA265" t="s">
        <v>120</v>
      </c>
      <c r="CB265">
        <v>123.82</v>
      </c>
      <c r="CC265">
        <v>385.88</v>
      </c>
      <c r="CD265">
        <v>345.93</v>
      </c>
      <c r="CE265">
        <v>29.9</v>
      </c>
      <c r="CF265">
        <v>0.02</v>
      </c>
      <c r="CG265">
        <v>29.7</v>
      </c>
      <c r="CH265">
        <v>22.23</v>
      </c>
      <c r="CI265">
        <v>22.09</v>
      </c>
      <c r="CJ265">
        <v>-0.13</v>
      </c>
      <c r="CK265">
        <v>21.99</v>
      </c>
      <c r="CL265">
        <v>48.62</v>
      </c>
      <c r="CM265">
        <v>15.25</v>
      </c>
      <c r="CN265">
        <v>-47.56</v>
      </c>
      <c r="CO265">
        <v>58435</v>
      </c>
      <c r="CP265">
        <v>25250</v>
      </c>
      <c r="CQ265" t="s">
        <v>1880</v>
      </c>
      <c r="CR265">
        <v>767.41</v>
      </c>
      <c r="CS265">
        <v>73.94</v>
      </c>
      <c r="CT265">
        <v>1.1499999999999999</v>
      </c>
      <c r="CU265">
        <v>16.64</v>
      </c>
      <c r="CV265">
        <v>0.66</v>
      </c>
      <c r="CW265">
        <v>7.66</v>
      </c>
      <c r="CX265" t="s">
        <v>1881</v>
      </c>
      <c r="CY265">
        <v>5.69</v>
      </c>
      <c r="CZ265">
        <v>5.69</v>
      </c>
      <c r="DA265">
        <v>3.19</v>
      </c>
      <c r="DB265">
        <v>1.25</v>
      </c>
      <c r="DC265">
        <v>0.39</v>
      </c>
      <c r="DD265">
        <v>35.9</v>
      </c>
      <c r="DE265" t="s">
        <v>1882</v>
      </c>
      <c r="DF265">
        <v>10.35</v>
      </c>
      <c r="DG265">
        <v>7.75</v>
      </c>
      <c r="DH265">
        <v>5.72</v>
      </c>
      <c r="DI265">
        <v>0.23</v>
      </c>
      <c r="DJ265">
        <v>16745</v>
      </c>
      <c r="DK265">
        <v>761</v>
      </c>
      <c r="DL265" t="s">
        <v>120</v>
      </c>
      <c r="DM265" t="s">
        <v>120</v>
      </c>
      <c r="DN265" t="s">
        <v>120</v>
      </c>
    </row>
    <row r="266" spans="1:118">
      <c r="A266" t="str">
        <f>"000762"</f>
        <v>000762</v>
      </c>
      <c r="B266" t="s">
        <v>1883</v>
      </c>
      <c r="C266">
        <v>-9.99</v>
      </c>
      <c r="D266">
        <v>0</v>
      </c>
      <c r="E266">
        <v>-0.94</v>
      </c>
      <c r="F266">
        <v>663</v>
      </c>
      <c r="G266" t="s">
        <v>1884</v>
      </c>
      <c r="H266">
        <v>411110.72</v>
      </c>
      <c r="I266">
        <v>2775.24</v>
      </c>
      <c r="J266">
        <v>23046.22</v>
      </c>
      <c r="K266" t="s">
        <v>1885</v>
      </c>
      <c r="L266">
        <v>10.73</v>
      </c>
      <c r="M266">
        <v>70.87</v>
      </c>
      <c r="N266">
        <v>0.87</v>
      </c>
      <c r="O266">
        <v>-0.3</v>
      </c>
      <c r="P266">
        <v>78.5</v>
      </c>
      <c r="Q266">
        <v>-9.99</v>
      </c>
      <c r="R266">
        <v>70.87</v>
      </c>
      <c r="S266">
        <v>78</v>
      </c>
      <c r="T266">
        <v>558703</v>
      </c>
      <c r="U266">
        <v>70.87</v>
      </c>
      <c r="V266">
        <v>78.739999999999995</v>
      </c>
      <c r="W266">
        <v>434.1</v>
      </c>
      <c r="X266" t="s">
        <v>1390</v>
      </c>
      <c r="Y266" t="s">
        <v>1886</v>
      </c>
      <c r="Z266">
        <v>9.69</v>
      </c>
      <c r="AA266">
        <v>73.58</v>
      </c>
      <c r="AB266">
        <v>285778</v>
      </c>
      <c r="AC266">
        <v>272925</v>
      </c>
      <c r="AD266">
        <v>1.05</v>
      </c>
      <c r="AE266">
        <v>0</v>
      </c>
      <c r="AF266">
        <v>32519</v>
      </c>
      <c r="AG266" t="s">
        <v>120</v>
      </c>
      <c r="AH266">
        <v>0.09</v>
      </c>
      <c r="AI266">
        <v>0.06</v>
      </c>
      <c r="AJ266">
        <v>5.21</v>
      </c>
      <c r="AK266" t="s">
        <v>1887</v>
      </c>
      <c r="AL266">
        <v>-8.08</v>
      </c>
      <c r="AM266">
        <v>4598</v>
      </c>
      <c r="AN266">
        <v>122</v>
      </c>
      <c r="AO266">
        <v>2.3E-3</v>
      </c>
      <c r="AP266">
        <v>-2</v>
      </c>
      <c r="AQ266">
        <v>-2.65</v>
      </c>
      <c r="AR266">
        <v>-11.38</v>
      </c>
      <c r="AS266">
        <v>15.9</v>
      </c>
      <c r="AT266">
        <v>202.87</v>
      </c>
      <c r="AU266">
        <v>446</v>
      </c>
      <c r="AV266">
        <v>19</v>
      </c>
      <c r="AW266">
        <v>13.8</v>
      </c>
      <c r="AX266">
        <v>77.73</v>
      </c>
      <c r="AY266">
        <v>1571.66</v>
      </c>
      <c r="AZ266" t="s">
        <v>120</v>
      </c>
      <c r="BA266">
        <v>0.82</v>
      </c>
      <c r="BB266" t="s">
        <v>143</v>
      </c>
      <c r="BF266">
        <v>-6.55</v>
      </c>
      <c r="BG266">
        <v>-9.14</v>
      </c>
      <c r="BH266">
        <v>-9.7200000000000006</v>
      </c>
      <c r="BI266">
        <v>0</v>
      </c>
      <c r="BJ266">
        <v>20210827</v>
      </c>
      <c r="BK266">
        <v>19970708</v>
      </c>
      <c r="BL266">
        <v>5.21</v>
      </c>
      <c r="BM266" t="s">
        <v>120</v>
      </c>
      <c r="BN266" t="s">
        <v>120</v>
      </c>
      <c r="BO266">
        <v>27.57</v>
      </c>
      <c r="BP266" t="s">
        <v>120</v>
      </c>
      <c r="BQ266">
        <v>20.59</v>
      </c>
      <c r="BR266">
        <v>4.0199999999999996</v>
      </c>
      <c r="BS266">
        <v>10.73</v>
      </c>
      <c r="BT266">
        <v>13.93</v>
      </c>
      <c r="BU266">
        <v>3.84</v>
      </c>
      <c r="BV266">
        <v>3.08</v>
      </c>
      <c r="BW266">
        <v>2.4500000000000002</v>
      </c>
      <c r="BX266">
        <v>11.42</v>
      </c>
      <c r="BY266">
        <v>1.71</v>
      </c>
      <c r="BZ266">
        <v>0</v>
      </c>
      <c r="CA266" t="s">
        <v>120</v>
      </c>
      <c r="CB266">
        <v>15.88</v>
      </c>
      <c r="CC266">
        <v>2.2599999999999998</v>
      </c>
      <c r="CD266">
        <v>1.51</v>
      </c>
      <c r="CE266">
        <v>0.5</v>
      </c>
      <c r="CF266">
        <v>0.14000000000000001</v>
      </c>
      <c r="CG266">
        <v>0.49</v>
      </c>
      <c r="CH266">
        <v>0.49</v>
      </c>
      <c r="CI266">
        <v>0.43</v>
      </c>
      <c r="CJ266">
        <v>-7.87</v>
      </c>
      <c r="CK266">
        <v>0.43</v>
      </c>
      <c r="CL266">
        <v>-1.06</v>
      </c>
      <c r="CM266">
        <v>1.64</v>
      </c>
      <c r="CN266">
        <v>1.35</v>
      </c>
      <c r="CO266">
        <v>82760</v>
      </c>
      <c r="CP266">
        <v>4891</v>
      </c>
      <c r="CQ266" t="s">
        <v>1888</v>
      </c>
      <c r="CR266">
        <v>232.46</v>
      </c>
      <c r="CS266">
        <v>59.74</v>
      </c>
      <c r="CT266">
        <v>17.920000000000002</v>
      </c>
      <c r="CU266">
        <v>225.19</v>
      </c>
      <c r="CV266">
        <v>163.03</v>
      </c>
      <c r="CW266">
        <v>0</v>
      </c>
      <c r="CX266" t="s">
        <v>1889</v>
      </c>
      <c r="CY266">
        <v>3.95</v>
      </c>
      <c r="CZ266">
        <v>0</v>
      </c>
      <c r="DA266">
        <v>3.05</v>
      </c>
      <c r="DB266">
        <v>-0.2</v>
      </c>
      <c r="DC266">
        <v>0.31</v>
      </c>
      <c r="DD266">
        <v>74.69</v>
      </c>
      <c r="DE266" t="s">
        <v>1890</v>
      </c>
      <c r="DF266">
        <v>33.479999999999997</v>
      </c>
      <c r="DG266">
        <v>21.89</v>
      </c>
      <c r="DH266">
        <v>18.78</v>
      </c>
      <c r="DI266">
        <v>0.01</v>
      </c>
      <c r="DJ266">
        <v>606</v>
      </c>
      <c r="DK266">
        <v>762</v>
      </c>
      <c r="DL266">
        <v>20210706</v>
      </c>
      <c r="DM266">
        <v>30.52</v>
      </c>
      <c r="DN266">
        <v>132.21</v>
      </c>
    </row>
    <row r="267" spans="1:118">
      <c r="A267" t="str">
        <f>"000766"</f>
        <v>000766</v>
      </c>
      <c r="B267" t="s">
        <v>1891</v>
      </c>
      <c r="C267">
        <v>-2.71</v>
      </c>
      <c r="D267">
        <v>0</v>
      </c>
      <c r="E267">
        <v>0</v>
      </c>
      <c r="F267">
        <v>464</v>
      </c>
      <c r="G267" t="s">
        <v>1892</v>
      </c>
      <c r="H267">
        <v>2391.21</v>
      </c>
      <c r="I267">
        <v>6.38</v>
      </c>
      <c r="J267" t="s">
        <v>120</v>
      </c>
      <c r="K267" t="s">
        <v>1893</v>
      </c>
      <c r="L267">
        <v>0.77</v>
      </c>
      <c r="M267">
        <v>4.3099999999999996</v>
      </c>
      <c r="N267">
        <v>0.96</v>
      </c>
      <c r="O267">
        <v>0.9</v>
      </c>
      <c r="P267">
        <v>4.47</v>
      </c>
      <c r="Q267">
        <v>-2.93</v>
      </c>
      <c r="R267">
        <v>4.3</v>
      </c>
      <c r="S267">
        <v>4.43</v>
      </c>
      <c r="T267">
        <v>54658</v>
      </c>
      <c r="U267">
        <v>4.3099999999999996</v>
      </c>
      <c r="V267">
        <v>4.43</v>
      </c>
      <c r="W267">
        <v>90.72</v>
      </c>
      <c r="X267" t="s">
        <v>569</v>
      </c>
      <c r="Y267" t="s">
        <v>290</v>
      </c>
      <c r="Z267">
        <v>3.84</v>
      </c>
      <c r="AA267">
        <v>4.37</v>
      </c>
      <c r="AB267">
        <v>31893</v>
      </c>
      <c r="AC267">
        <v>22765</v>
      </c>
      <c r="AD267">
        <v>1.4</v>
      </c>
      <c r="AE267">
        <v>646</v>
      </c>
      <c r="AF267">
        <v>135</v>
      </c>
      <c r="AG267" t="s">
        <v>120</v>
      </c>
      <c r="AH267">
        <v>0</v>
      </c>
      <c r="AI267" t="s">
        <v>120</v>
      </c>
      <c r="AJ267">
        <v>7.07</v>
      </c>
      <c r="AK267" t="s">
        <v>1894</v>
      </c>
      <c r="AL267">
        <v>-0.8</v>
      </c>
      <c r="AM267">
        <v>1524</v>
      </c>
      <c r="AN267">
        <v>36</v>
      </c>
      <c r="AO267">
        <v>5.0000000000000001E-4</v>
      </c>
      <c r="AP267">
        <v>-3</v>
      </c>
      <c r="AQ267">
        <v>-0.67</v>
      </c>
      <c r="AR267">
        <v>-4.01</v>
      </c>
      <c r="AS267">
        <v>-9.83</v>
      </c>
      <c r="AT267">
        <v>-6.31</v>
      </c>
      <c r="AU267">
        <v>32.21</v>
      </c>
      <c r="AV267">
        <v>8</v>
      </c>
      <c r="AW267">
        <v>1.1200000000000001</v>
      </c>
      <c r="AX267">
        <v>50.46</v>
      </c>
      <c r="AY267" t="s">
        <v>120</v>
      </c>
      <c r="AZ267" t="s">
        <v>120</v>
      </c>
      <c r="BA267">
        <v>0.49</v>
      </c>
      <c r="BB267" t="s">
        <v>143</v>
      </c>
      <c r="BF267">
        <v>-1.24</v>
      </c>
      <c r="BG267">
        <v>-2.71</v>
      </c>
      <c r="BH267">
        <v>-3.58</v>
      </c>
      <c r="BI267">
        <v>0.23</v>
      </c>
      <c r="BJ267">
        <v>20210821</v>
      </c>
      <c r="BK267">
        <v>19970430</v>
      </c>
      <c r="BL267">
        <v>9.66</v>
      </c>
      <c r="BM267" t="s">
        <v>120</v>
      </c>
      <c r="BN267" t="s">
        <v>120</v>
      </c>
      <c r="BO267">
        <v>48.5</v>
      </c>
      <c r="BP267">
        <v>4.3</v>
      </c>
      <c r="BQ267">
        <v>22.94</v>
      </c>
      <c r="BR267">
        <v>0.33</v>
      </c>
      <c r="BS267">
        <v>52.01</v>
      </c>
      <c r="BT267">
        <v>13.42</v>
      </c>
      <c r="BU267">
        <v>8.2899999999999991</v>
      </c>
      <c r="BV267">
        <v>2.41</v>
      </c>
      <c r="BW267">
        <v>6.43</v>
      </c>
      <c r="BX267">
        <v>3.84</v>
      </c>
      <c r="BY267">
        <v>4.09</v>
      </c>
      <c r="BZ267">
        <v>4.0999999999999996</v>
      </c>
      <c r="CA267" t="s">
        <v>120</v>
      </c>
      <c r="CB267">
        <v>36.42</v>
      </c>
      <c r="CC267">
        <v>7.85</v>
      </c>
      <c r="CD267">
        <v>1.91</v>
      </c>
      <c r="CE267">
        <v>0.44</v>
      </c>
      <c r="CF267">
        <v>0.12</v>
      </c>
      <c r="CG267">
        <v>0.43</v>
      </c>
      <c r="CH267">
        <v>0.22</v>
      </c>
      <c r="CI267">
        <v>0.23</v>
      </c>
      <c r="CJ267">
        <v>-0.12</v>
      </c>
      <c r="CK267">
        <v>0.16</v>
      </c>
      <c r="CL267">
        <v>-24.23</v>
      </c>
      <c r="CM267">
        <v>0.1</v>
      </c>
      <c r="CN267">
        <v>-1.26</v>
      </c>
      <c r="CO267">
        <v>41201</v>
      </c>
      <c r="CP267">
        <v>11837</v>
      </c>
      <c r="CQ267" t="s">
        <v>1895</v>
      </c>
      <c r="CR267">
        <v>131.26</v>
      </c>
      <c r="CS267">
        <v>74.95</v>
      </c>
      <c r="CT267">
        <v>1.82</v>
      </c>
      <c r="CU267">
        <v>427.52</v>
      </c>
      <c r="CV267">
        <v>5.31</v>
      </c>
      <c r="CW267">
        <v>0</v>
      </c>
      <c r="CX267" t="s">
        <v>1896</v>
      </c>
      <c r="CY267">
        <v>2.37</v>
      </c>
      <c r="CZ267">
        <v>0</v>
      </c>
      <c r="DA267">
        <v>3.77</v>
      </c>
      <c r="DB267">
        <v>-2.5099999999999998</v>
      </c>
      <c r="DC267">
        <v>0.01</v>
      </c>
      <c r="DD267">
        <v>47.31</v>
      </c>
      <c r="DE267" t="s">
        <v>1302</v>
      </c>
      <c r="DF267">
        <v>75.650000000000006</v>
      </c>
      <c r="DG267">
        <v>5.63</v>
      </c>
      <c r="DH267">
        <v>2.93</v>
      </c>
      <c r="DI267">
        <v>0.08</v>
      </c>
      <c r="DJ267">
        <v>1990</v>
      </c>
      <c r="DK267">
        <v>766</v>
      </c>
      <c r="DL267" t="s">
        <v>120</v>
      </c>
      <c r="DM267" t="s">
        <v>120</v>
      </c>
      <c r="DN267" t="s">
        <v>120</v>
      </c>
    </row>
    <row r="268" spans="1:118">
      <c r="A268" t="str">
        <f>"000767"</f>
        <v>000767</v>
      </c>
      <c r="B268" t="s">
        <v>1897</v>
      </c>
      <c r="C268">
        <v>-5.42</v>
      </c>
      <c r="D268">
        <v>0</v>
      </c>
      <c r="E268">
        <v>0.81</v>
      </c>
      <c r="F268">
        <v>27719</v>
      </c>
      <c r="G268" t="s">
        <v>1898</v>
      </c>
      <c r="H268">
        <v>50187.16</v>
      </c>
      <c r="I268">
        <v>1040.74</v>
      </c>
      <c r="J268" t="s">
        <v>120</v>
      </c>
      <c r="K268" t="s">
        <v>1899</v>
      </c>
      <c r="L268">
        <v>4.8</v>
      </c>
      <c r="M268">
        <v>3.49</v>
      </c>
      <c r="N268">
        <v>2.02</v>
      </c>
      <c r="O268">
        <v>1.9</v>
      </c>
      <c r="P268">
        <v>3.76</v>
      </c>
      <c r="Q268">
        <v>-5.69</v>
      </c>
      <c r="R268">
        <v>3.48</v>
      </c>
      <c r="S268">
        <v>3.72</v>
      </c>
      <c r="T268">
        <v>1396906</v>
      </c>
      <c r="U268">
        <v>3.5</v>
      </c>
      <c r="V268">
        <v>3.69</v>
      </c>
      <c r="W268">
        <v>404.16</v>
      </c>
      <c r="X268" t="s">
        <v>268</v>
      </c>
      <c r="Y268" t="s">
        <v>667</v>
      </c>
      <c r="Z268">
        <v>7.59</v>
      </c>
      <c r="AA268">
        <v>3.59</v>
      </c>
      <c r="AB268">
        <v>714311</v>
      </c>
      <c r="AC268">
        <v>682595</v>
      </c>
      <c r="AD268">
        <v>1.05</v>
      </c>
      <c r="AE268">
        <v>2739</v>
      </c>
      <c r="AF268">
        <v>1356</v>
      </c>
      <c r="AG268" t="s">
        <v>120</v>
      </c>
      <c r="AH268">
        <v>0.17</v>
      </c>
      <c r="AI268" t="s">
        <v>120</v>
      </c>
      <c r="AJ268">
        <v>29.12</v>
      </c>
      <c r="AK268" t="s">
        <v>1900</v>
      </c>
      <c r="AL268">
        <v>-3.51</v>
      </c>
      <c r="AM268">
        <v>4081</v>
      </c>
      <c r="AN268">
        <v>342</v>
      </c>
      <c r="AO268">
        <v>1.1999999999999999E-3</v>
      </c>
      <c r="AP268">
        <v>-1</v>
      </c>
      <c r="AQ268">
        <v>10.15</v>
      </c>
      <c r="AR268">
        <v>1.1599999999999999</v>
      </c>
      <c r="AS268">
        <v>19.52</v>
      </c>
      <c r="AT268">
        <v>9.4</v>
      </c>
      <c r="AU268">
        <v>-12.53</v>
      </c>
      <c r="AV268">
        <v>13</v>
      </c>
      <c r="AW268">
        <v>8.6300000000000008</v>
      </c>
      <c r="AX268">
        <v>52.62</v>
      </c>
      <c r="AY268">
        <v>91.65</v>
      </c>
      <c r="AZ268">
        <v>50.23</v>
      </c>
      <c r="BA268">
        <v>0.3</v>
      </c>
      <c r="BB268" t="s">
        <v>168</v>
      </c>
      <c r="BF268">
        <v>-2.64</v>
      </c>
      <c r="BG268">
        <v>-6.18</v>
      </c>
      <c r="BH268">
        <v>-7.18</v>
      </c>
      <c r="BI268">
        <v>0.28999999999999998</v>
      </c>
      <c r="BJ268">
        <v>20210821</v>
      </c>
      <c r="BK268">
        <v>19970609</v>
      </c>
      <c r="BL268">
        <v>30.77</v>
      </c>
      <c r="BM268" t="s">
        <v>120</v>
      </c>
      <c r="BN268" t="s">
        <v>120</v>
      </c>
      <c r="BO268">
        <v>590.46</v>
      </c>
      <c r="BP268">
        <v>3.49</v>
      </c>
      <c r="BQ268">
        <v>85.49</v>
      </c>
      <c r="BR268">
        <v>3.52</v>
      </c>
      <c r="BS268">
        <v>84.92</v>
      </c>
      <c r="BT268">
        <v>154.69999999999999</v>
      </c>
      <c r="BU268">
        <v>157.57</v>
      </c>
      <c r="BV268">
        <v>13.74</v>
      </c>
      <c r="BW268">
        <v>282.18</v>
      </c>
      <c r="BX268">
        <v>55.19</v>
      </c>
      <c r="BY268">
        <v>12.16</v>
      </c>
      <c r="BZ268">
        <v>62.16</v>
      </c>
      <c r="CA268" t="s">
        <v>120</v>
      </c>
      <c r="CB268">
        <v>43.84</v>
      </c>
      <c r="CC268">
        <v>58.99</v>
      </c>
      <c r="CD268">
        <v>49.83</v>
      </c>
      <c r="CE268">
        <v>0.02</v>
      </c>
      <c r="CF268">
        <v>0.59</v>
      </c>
      <c r="CG268">
        <v>0.32</v>
      </c>
      <c r="CH268">
        <v>-0.19</v>
      </c>
      <c r="CI268">
        <v>0.13</v>
      </c>
      <c r="CJ268">
        <v>-0.2</v>
      </c>
      <c r="CK268">
        <v>-0.17</v>
      </c>
      <c r="CL268">
        <v>1.51</v>
      </c>
      <c r="CM268">
        <v>4.17</v>
      </c>
      <c r="CN268">
        <v>3.23</v>
      </c>
      <c r="CO268">
        <v>148905</v>
      </c>
      <c r="CP268">
        <v>10874</v>
      </c>
      <c r="CQ268" t="s">
        <v>1901</v>
      </c>
      <c r="CR268">
        <v>-88.49</v>
      </c>
      <c r="CS268">
        <v>9.91</v>
      </c>
      <c r="CT268">
        <v>1.37</v>
      </c>
      <c r="CU268">
        <v>25.78</v>
      </c>
      <c r="CV268">
        <v>1.82</v>
      </c>
      <c r="CW268">
        <v>0</v>
      </c>
      <c r="CX268" t="s">
        <v>1902</v>
      </c>
      <c r="CY268">
        <v>2.5499999999999998</v>
      </c>
      <c r="CZ268">
        <v>2.5499999999999998</v>
      </c>
      <c r="DA268">
        <v>1.42</v>
      </c>
      <c r="DB268">
        <v>0.05</v>
      </c>
      <c r="DC268">
        <v>0.14000000000000001</v>
      </c>
      <c r="DD268">
        <v>14.48</v>
      </c>
      <c r="DE268" t="s">
        <v>1098</v>
      </c>
      <c r="DF268">
        <v>15.52</v>
      </c>
      <c r="DG268">
        <v>0.03</v>
      </c>
      <c r="DH268">
        <v>0.23</v>
      </c>
      <c r="DI268" t="s">
        <v>120</v>
      </c>
      <c r="DJ268">
        <v>8048</v>
      </c>
      <c r="DK268">
        <v>767</v>
      </c>
      <c r="DL268" t="s">
        <v>120</v>
      </c>
      <c r="DM268" t="s">
        <v>120</v>
      </c>
      <c r="DN268" t="s">
        <v>120</v>
      </c>
    </row>
    <row r="269" spans="1:118">
      <c r="A269" t="str">
        <f>"000768"</f>
        <v>000768</v>
      </c>
      <c r="B269" t="s">
        <v>1903</v>
      </c>
      <c r="C269">
        <v>-3.06</v>
      </c>
      <c r="D269">
        <v>0</v>
      </c>
      <c r="E269">
        <v>-0.44</v>
      </c>
      <c r="F269">
        <v>7201</v>
      </c>
      <c r="G269" t="s">
        <v>1904</v>
      </c>
      <c r="H269">
        <v>161731.68</v>
      </c>
      <c r="I269">
        <v>651.16999999999996</v>
      </c>
      <c r="J269" t="s">
        <v>120</v>
      </c>
      <c r="K269" t="s">
        <v>1905</v>
      </c>
      <c r="L269">
        <v>1.74</v>
      </c>
      <c r="M269">
        <v>32.99</v>
      </c>
      <c r="N269">
        <v>0.61</v>
      </c>
      <c r="O269">
        <v>1.0900000000000001</v>
      </c>
      <c r="P269">
        <v>34.4</v>
      </c>
      <c r="Q269">
        <v>-3.26</v>
      </c>
      <c r="R269">
        <v>32.92</v>
      </c>
      <c r="S269">
        <v>33.880000000000003</v>
      </c>
      <c r="T269">
        <v>482079</v>
      </c>
      <c r="U269">
        <v>33</v>
      </c>
      <c r="V269">
        <v>34.03</v>
      </c>
      <c r="W269">
        <v>136</v>
      </c>
      <c r="X269" t="s">
        <v>1621</v>
      </c>
      <c r="Y269" t="s">
        <v>890</v>
      </c>
      <c r="Z269">
        <v>4.3499999999999996</v>
      </c>
      <c r="AA269">
        <v>33.549999999999997</v>
      </c>
      <c r="AB269">
        <v>256828</v>
      </c>
      <c r="AC269">
        <v>225251</v>
      </c>
      <c r="AD269">
        <v>1.1399999999999999</v>
      </c>
      <c r="AE269">
        <v>1457</v>
      </c>
      <c r="AF269">
        <v>381</v>
      </c>
      <c r="AG269" t="s">
        <v>120</v>
      </c>
      <c r="AH269">
        <v>0.02</v>
      </c>
      <c r="AI269" t="s">
        <v>120</v>
      </c>
      <c r="AJ269">
        <v>27.69</v>
      </c>
      <c r="AK269" t="s">
        <v>1906</v>
      </c>
      <c r="AL269">
        <v>-1.1399999999999999</v>
      </c>
      <c r="AM269">
        <v>4626</v>
      </c>
      <c r="AN269">
        <v>104</v>
      </c>
      <c r="AO269">
        <v>4.0000000000000002E-4</v>
      </c>
      <c r="AP269">
        <v>-1</v>
      </c>
      <c r="AQ269">
        <v>1.1299999999999999</v>
      </c>
      <c r="AR269">
        <v>-2.82</v>
      </c>
      <c r="AS269">
        <v>2.35</v>
      </c>
      <c r="AT269">
        <v>26.4</v>
      </c>
      <c r="AU269">
        <v>-9.85</v>
      </c>
      <c r="AV269">
        <v>5</v>
      </c>
      <c r="AW269">
        <v>3.86</v>
      </c>
      <c r="AX269">
        <v>45.08</v>
      </c>
      <c r="AY269">
        <v>123.97</v>
      </c>
      <c r="AZ269">
        <v>121.2</v>
      </c>
      <c r="BA269">
        <v>1.01</v>
      </c>
      <c r="BB269" t="s">
        <v>143</v>
      </c>
      <c r="BF269">
        <v>-1.41</v>
      </c>
      <c r="BG269">
        <v>-2.63</v>
      </c>
      <c r="BH269">
        <v>-4.0999999999999996</v>
      </c>
      <c r="BI269">
        <v>0.21</v>
      </c>
      <c r="BJ269">
        <v>20210913</v>
      </c>
      <c r="BK269">
        <v>19970626</v>
      </c>
      <c r="BL269">
        <v>27.69</v>
      </c>
      <c r="BM269" t="s">
        <v>120</v>
      </c>
      <c r="BN269" t="s">
        <v>120</v>
      </c>
      <c r="BO269">
        <v>600.58000000000004</v>
      </c>
      <c r="BP269">
        <v>32.99</v>
      </c>
      <c r="BQ269">
        <v>154.34</v>
      </c>
      <c r="BR269" t="s">
        <v>120</v>
      </c>
      <c r="BS269">
        <v>74.3</v>
      </c>
      <c r="BT269">
        <v>451.51</v>
      </c>
      <c r="BU269">
        <v>78.75</v>
      </c>
      <c r="BV269">
        <v>18.14</v>
      </c>
      <c r="BW269">
        <v>401.13</v>
      </c>
      <c r="BX269">
        <v>53.49</v>
      </c>
      <c r="BY269">
        <v>236.75</v>
      </c>
      <c r="BZ269">
        <v>115.01</v>
      </c>
      <c r="CA269" t="s">
        <v>120</v>
      </c>
      <c r="CB269">
        <v>83.31</v>
      </c>
      <c r="CC269">
        <v>150.51</v>
      </c>
      <c r="CD269">
        <v>140.79</v>
      </c>
      <c r="CE269">
        <v>4.1100000000000003</v>
      </c>
      <c r="CF269">
        <v>0.4</v>
      </c>
      <c r="CG269">
        <v>4.1399999999999997</v>
      </c>
      <c r="CH269">
        <v>3.36</v>
      </c>
      <c r="CI269">
        <v>3.36</v>
      </c>
      <c r="CJ269">
        <v>-1.04</v>
      </c>
      <c r="CK269">
        <v>2.8</v>
      </c>
      <c r="CL269">
        <v>25.27</v>
      </c>
      <c r="CM269">
        <v>-137.4</v>
      </c>
      <c r="CN269">
        <v>-80.489999999999995</v>
      </c>
      <c r="CO269">
        <v>203150</v>
      </c>
      <c r="CP269">
        <v>6144</v>
      </c>
      <c r="CQ269" t="s">
        <v>1907</v>
      </c>
      <c r="CR269">
        <v>-4.92</v>
      </c>
      <c r="CS269">
        <v>15.41</v>
      </c>
      <c r="CT269">
        <v>5.92</v>
      </c>
      <c r="CU269">
        <v>-6.65</v>
      </c>
      <c r="CV269">
        <v>6.07</v>
      </c>
      <c r="CW269">
        <v>0.25</v>
      </c>
      <c r="CX269" t="s">
        <v>1908</v>
      </c>
      <c r="CY269">
        <v>5.57</v>
      </c>
      <c r="CZ269">
        <v>0</v>
      </c>
      <c r="DA269">
        <v>3.01</v>
      </c>
      <c r="DB269">
        <v>0.91</v>
      </c>
      <c r="DC269">
        <v>-4.96</v>
      </c>
      <c r="DD269">
        <v>25.7</v>
      </c>
      <c r="DE269" t="s">
        <v>1909</v>
      </c>
      <c r="DF269">
        <v>6.45</v>
      </c>
      <c r="DG269">
        <v>2.73</v>
      </c>
      <c r="DH269">
        <v>2.23</v>
      </c>
      <c r="DI269">
        <v>0.55000000000000004</v>
      </c>
      <c r="DJ269">
        <v>25330</v>
      </c>
      <c r="DK269">
        <v>768</v>
      </c>
      <c r="DL269">
        <v>20210909</v>
      </c>
      <c r="DM269">
        <v>32.729999999999997</v>
      </c>
      <c r="DN269">
        <v>0.79</v>
      </c>
    </row>
    <row r="270" spans="1:118">
      <c r="A270" t="str">
        <f>"000776"</f>
        <v>000776</v>
      </c>
      <c r="B270" t="s">
        <v>1910</v>
      </c>
      <c r="C270">
        <v>-4.99</v>
      </c>
      <c r="D270">
        <v>0</v>
      </c>
      <c r="E270">
        <v>-0.46</v>
      </c>
      <c r="F270">
        <v>25835</v>
      </c>
      <c r="G270" t="s">
        <v>1911</v>
      </c>
      <c r="H270">
        <v>362506.28</v>
      </c>
      <c r="I270">
        <v>883.45</v>
      </c>
      <c r="J270" t="s">
        <v>120</v>
      </c>
      <c r="K270" t="s">
        <v>1912</v>
      </c>
      <c r="L270">
        <v>2.66</v>
      </c>
      <c r="M270">
        <v>22.67</v>
      </c>
      <c r="N270">
        <v>1.02</v>
      </c>
      <c r="O270">
        <v>0</v>
      </c>
      <c r="P270">
        <v>23.86</v>
      </c>
      <c r="Q270">
        <v>-6.08</v>
      </c>
      <c r="R270">
        <v>22.41</v>
      </c>
      <c r="S270">
        <v>23.75</v>
      </c>
      <c r="T270">
        <v>1572942</v>
      </c>
      <c r="U270">
        <v>22.67</v>
      </c>
      <c r="V270">
        <v>23.86</v>
      </c>
      <c r="W270">
        <v>14.67</v>
      </c>
      <c r="X270" t="s">
        <v>616</v>
      </c>
      <c r="Y270" t="s">
        <v>547</v>
      </c>
      <c r="Z270">
        <v>6.08</v>
      </c>
      <c r="AA270">
        <v>23.05</v>
      </c>
      <c r="AB270">
        <v>769018</v>
      </c>
      <c r="AC270">
        <v>803924</v>
      </c>
      <c r="AD270">
        <v>0.96</v>
      </c>
      <c r="AE270">
        <v>1648</v>
      </c>
      <c r="AF270">
        <v>172</v>
      </c>
      <c r="AG270" t="s">
        <v>120</v>
      </c>
      <c r="AH270">
        <v>0.01</v>
      </c>
      <c r="AI270" t="s">
        <v>120</v>
      </c>
      <c r="AJ270">
        <v>59.19</v>
      </c>
      <c r="AK270" t="s">
        <v>1912</v>
      </c>
      <c r="AL270">
        <v>-3.07</v>
      </c>
      <c r="AM270">
        <v>4743</v>
      </c>
      <c r="AN270">
        <v>332</v>
      </c>
      <c r="AO270">
        <v>5.9999999999999995E-4</v>
      </c>
      <c r="AP270">
        <v>-3</v>
      </c>
      <c r="AQ270">
        <v>-1.73</v>
      </c>
      <c r="AR270">
        <v>-9.32</v>
      </c>
      <c r="AS270">
        <v>11.73</v>
      </c>
      <c r="AT270">
        <v>53.8</v>
      </c>
      <c r="AU270">
        <v>43.21</v>
      </c>
      <c r="AV270">
        <v>4</v>
      </c>
      <c r="AW270">
        <v>5.76</v>
      </c>
      <c r="AX270">
        <v>46.12</v>
      </c>
      <c r="AY270">
        <v>17.87</v>
      </c>
      <c r="AZ270">
        <v>18.11</v>
      </c>
      <c r="BA270">
        <v>0.92</v>
      </c>
      <c r="BB270" t="s">
        <v>125</v>
      </c>
      <c r="BF270">
        <v>-3.41</v>
      </c>
      <c r="BG270">
        <v>-4.55</v>
      </c>
      <c r="BH270">
        <v>-4.99</v>
      </c>
      <c r="BI270">
        <v>1.1599999999999999</v>
      </c>
      <c r="BJ270">
        <v>20210830</v>
      </c>
      <c r="BK270">
        <v>19970611</v>
      </c>
      <c r="BL270">
        <v>76.209999999999994</v>
      </c>
      <c r="BM270" t="s">
        <v>120</v>
      </c>
      <c r="BN270">
        <v>17.02</v>
      </c>
      <c r="BO270">
        <v>5056.5200000000004</v>
      </c>
      <c r="BP270">
        <v>22.66</v>
      </c>
      <c r="BQ270">
        <v>1002.43</v>
      </c>
      <c r="BR270">
        <v>40.450000000000003</v>
      </c>
      <c r="BS270">
        <v>79.38</v>
      </c>
      <c r="BT270">
        <v>0</v>
      </c>
      <c r="BU270">
        <v>29.46</v>
      </c>
      <c r="BV270">
        <v>14.11</v>
      </c>
      <c r="BW270">
        <v>0</v>
      </c>
      <c r="BX270">
        <v>1211.5999999999999</v>
      </c>
      <c r="BY270">
        <v>0</v>
      </c>
      <c r="BZ270">
        <v>0</v>
      </c>
      <c r="CA270" t="s">
        <v>120</v>
      </c>
      <c r="CB270">
        <v>312.44</v>
      </c>
      <c r="CC270">
        <v>180.07</v>
      </c>
      <c r="CD270">
        <v>0</v>
      </c>
      <c r="CE270">
        <v>82.5</v>
      </c>
      <c r="CF270">
        <v>41.1</v>
      </c>
      <c r="CG270">
        <v>82.19</v>
      </c>
      <c r="CH270">
        <v>64.77</v>
      </c>
      <c r="CI270">
        <v>58.88</v>
      </c>
      <c r="CJ270">
        <v>-1.19</v>
      </c>
      <c r="CK270">
        <v>54.18</v>
      </c>
      <c r="CL270">
        <v>361.72</v>
      </c>
      <c r="CM270">
        <v>-57</v>
      </c>
      <c r="CN270">
        <v>159.63999999999999</v>
      </c>
      <c r="CO270">
        <v>211806</v>
      </c>
      <c r="CP270">
        <v>12890</v>
      </c>
      <c r="CQ270" t="s">
        <v>1913</v>
      </c>
      <c r="CR270">
        <v>2.38</v>
      </c>
      <c r="CS270">
        <v>26.76</v>
      </c>
      <c r="CT270">
        <v>1.72</v>
      </c>
      <c r="CU270">
        <v>-30.31</v>
      </c>
      <c r="CV270">
        <v>9.59</v>
      </c>
      <c r="CW270">
        <v>1.46</v>
      </c>
      <c r="CX270" t="s">
        <v>1914</v>
      </c>
      <c r="CY270">
        <v>13.15</v>
      </c>
      <c r="CZ270">
        <v>0</v>
      </c>
      <c r="DA270">
        <v>4.0999999999999996</v>
      </c>
      <c r="DB270">
        <v>4.75</v>
      </c>
      <c r="DC270">
        <v>-0.75</v>
      </c>
      <c r="DD270">
        <v>19.82</v>
      </c>
      <c r="DE270" t="s">
        <v>1915</v>
      </c>
      <c r="DF270" t="s">
        <v>120</v>
      </c>
      <c r="DG270">
        <v>45.81</v>
      </c>
      <c r="DH270">
        <v>32.700000000000003</v>
      </c>
      <c r="DI270" t="s">
        <v>120</v>
      </c>
      <c r="DJ270">
        <v>12814</v>
      </c>
      <c r="DK270">
        <v>776</v>
      </c>
      <c r="DL270">
        <v>20210818</v>
      </c>
      <c r="DM270">
        <v>19.89</v>
      </c>
      <c r="DN270">
        <v>13.98</v>
      </c>
    </row>
    <row r="271" spans="1:118">
      <c r="A271" t="str">
        <f>"000777"</f>
        <v>000777</v>
      </c>
      <c r="B271" t="s">
        <v>1916</v>
      </c>
      <c r="C271">
        <v>-1.87</v>
      </c>
      <c r="D271">
        <v>0</v>
      </c>
      <c r="E271">
        <v>0.39</v>
      </c>
      <c r="F271">
        <v>862</v>
      </c>
      <c r="G271" t="s">
        <v>1917</v>
      </c>
      <c r="H271">
        <v>19758.2</v>
      </c>
      <c r="I271">
        <v>59.62</v>
      </c>
      <c r="J271" t="s">
        <v>120</v>
      </c>
      <c r="K271" t="s">
        <v>1918</v>
      </c>
      <c r="L271">
        <v>3.99</v>
      </c>
      <c r="M271">
        <v>12.56</v>
      </c>
      <c r="N271">
        <v>1.04</v>
      </c>
      <c r="O271">
        <v>3.52</v>
      </c>
      <c r="P271">
        <v>13.25</v>
      </c>
      <c r="Q271">
        <v>-2.34</v>
      </c>
      <c r="R271">
        <v>12.5</v>
      </c>
      <c r="S271">
        <v>12.85</v>
      </c>
      <c r="T271">
        <v>152823</v>
      </c>
      <c r="U271">
        <v>12.57</v>
      </c>
      <c r="V271">
        <v>12.8</v>
      </c>
      <c r="W271">
        <v>132.30000000000001</v>
      </c>
      <c r="X271" t="s">
        <v>959</v>
      </c>
      <c r="Y271" t="s">
        <v>319</v>
      </c>
      <c r="Z271">
        <v>5.86</v>
      </c>
      <c r="AA271">
        <v>12.93</v>
      </c>
      <c r="AB271">
        <v>80838</v>
      </c>
      <c r="AC271">
        <v>71985</v>
      </c>
      <c r="AD271">
        <v>1.1200000000000001</v>
      </c>
      <c r="AE271">
        <v>56</v>
      </c>
      <c r="AF271">
        <v>40</v>
      </c>
      <c r="AG271" t="s">
        <v>120</v>
      </c>
      <c r="AH271">
        <v>0.02</v>
      </c>
      <c r="AI271" t="s">
        <v>120</v>
      </c>
      <c r="AJ271">
        <v>3.83</v>
      </c>
      <c r="AK271" t="s">
        <v>1919</v>
      </c>
      <c r="AL271">
        <v>0.04</v>
      </c>
      <c r="AM271">
        <v>3186</v>
      </c>
      <c r="AN271">
        <v>48</v>
      </c>
      <c r="AO271">
        <v>1.2999999999999999E-3</v>
      </c>
      <c r="AP271">
        <v>-1</v>
      </c>
      <c r="AQ271">
        <v>0.87</v>
      </c>
      <c r="AR271">
        <v>-5.42</v>
      </c>
      <c r="AS271">
        <v>11.35</v>
      </c>
      <c r="AT271">
        <v>6.55</v>
      </c>
      <c r="AU271">
        <v>-4.25</v>
      </c>
      <c r="AV271">
        <v>0</v>
      </c>
      <c r="AW271">
        <v>5.48</v>
      </c>
      <c r="AX271">
        <v>72.150000000000006</v>
      </c>
      <c r="AY271">
        <v>49.63</v>
      </c>
      <c r="AZ271">
        <v>47.29</v>
      </c>
      <c r="BA271">
        <v>0.45</v>
      </c>
      <c r="BB271" t="s">
        <v>143</v>
      </c>
      <c r="BF271">
        <v>1.01</v>
      </c>
      <c r="BG271">
        <v>-2.2599999999999998</v>
      </c>
      <c r="BH271">
        <v>-5.21</v>
      </c>
      <c r="BI271">
        <v>0.48</v>
      </c>
      <c r="BJ271">
        <v>20210827</v>
      </c>
      <c r="BK271">
        <v>19970710</v>
      </c>
      <c r="BL271">
        <v>3.87</v>
      </c>
      <c r="BM271" t="s">
        <v>120</v>
      </c>
      <c r="BN271" t="s">
        <v>120</v>
      </c>
      <c r="BO271">
        <v>27.53</v>
      </c>
      <c r="BP271">
        <v>12.56</v>
      </c>
      <c r="BQ271">
        <v>15.72</v>
      </c>
      <c r="BR271" t="s">
        <v>120</v>
      </c>
      <c r="BS271">
        <v>42.89</v>
      </c>
      <c r="BT271">
        <v>17.63</v>
      </c>
      <c r="BU271">
        <v>2.17</v>
      </c>
      <c r="BV271">
        <v>0.49</v>
      </c>
      <c r="BW271">
        <v>11.19</v>
      </c>
      <c r="BX271">
        <v>1.1399999999999999</v>
      </c>
      <c r="BY271">
        <v>5.09</v>
      </c>
      <c r="BZ271">
        <v>8.8800000000000008</v>
      </c>
      <c r="CA271">
        <v>0.12</v>
      </c>
      <c r="CB271">
        <v>2.78</v>
      </c>
      <c r="CC271">
        <v>7.47</v>
      </c>
      <c r="CD271">
        <v>6.14</v>
      </c>
      <c r="CE271">
        <v>0.15</v>
      </c>
      <c r="CF271">
        <v>0.38</v>
      </c>
      <c r="CG271">
        <v>0.17</v>
      </c>
      <c r="CH271">
        <v>0.18</v>
      </c>
      <c r="CI271">
        <v>0.18</v>
      </c>
      <c r="CJ271">
        <v>-0.24</v>
      </c>
      <c r="CK271">
        <v>0.12</v>
      </c>
      <c r="CL271">
        <v>7.25</v>
      </c>
      <c r="CM271">
        <v>-1.24</v>
      </c>
      <c r="CN271">
        <v>-0.12</v>
      </c>
      <c r="CO271">
        <v>65276</v>
      </c>
      <c r="CP271">
        <v>4273</v>
      </c>
      <c r="CQ271" t="s">
        <v>1920</v>
      </c>
      <c r="CR271">
        <v>-21.15</v>
      </c>
      <c r="CS271">
        <v>55.15</v>
      </c>
      <c r="CT271">
        <v>3.09</v>
      </c>
      <c r="CU271">
        <v>-39.1</v>
      </c>
      <c r="CV271">
        <v>6.5</v>
      </c>
      <c r="CW271">
        <v>0.64</v>
      </c>
      <c r="CX271" t="s">
        <v>1248</v>
      </c>
      <c r="CY271">
        <v>4.07</v>
      </c>
      <c r="CZ271">
        <v>0</v>
      </c>
      <c r="DA271">
        <v>0.72</v>
      </c>
      <c r="DB271">
        <v>1.88</v>
      </c>
      <c r="DC271">
        <v>-0.32</v>
      </c>
      <c r="DD271">
        <v>57.11</v>
      </c>
      <c r="DE271" t="s">
        <v>1921</v>
      </c>
      <c r="DF271">
        <v>17.899999999999999</v>
      </c>
      <c r="DG271">
        <v>2.02</v>
      </c>
      <c r="DH271">
        <v>2.46</v>
      </c>
      <c r="DI271">
        <v>0.34</v>
      </c>
      <c r="DJ271">
        <v>1156</v>
      </c>
      <c r="DK271">
        <v>777</v>
      </c>
      <c r="DL271" t="s">
        <v>120</v>
      </c>
      <c r="DM271" t="s">
        <v>120</v>
      </c>
      <c r="DN271" t="s">
        <v>120</v>
      </c>
    </row>
    <row r="272" spans="1:118">
      <c r="A272" t="str">
        <f>"000778"</f>
        <v>000778</v>
      </c>
      <c r="B272" t="s">
        <v>1922</v>
      </c>
      <c r="C272">
        <v>-1.05</v>
      </c>
      <c r="D272">
        <v>0</v>
      </c>
      <c r="E272">
        <v>1.27</v>
      </c>
      <c r="F272">
        <v>4250</v>
      </c>
      <c r="G272" t="s">
        <v>1923</v>
      </c>
      <c r="H272">
        <v>33910.910000000003</v>
      </c>
      <c r="I272">
        <v>330</v>
      </c>
      <c r="J272" t="s">
        <v>120</v>
      </c>
      <c r="K272" t="s">
        <v>1924</v>
      </c>
      <c r="L272">
        <v>1.82</v>
      </c>
      <c r="M272">
        <v>4.6900000000000004</v>
      </c>
      <c r="N272">
        <v>0.77</v>
      </c>
      <c r="O272">
        <v>3.38</v>
      </c>
      <c r="P272">
        <v>4.9000000000000004</v>
      </c>
      <c r="Q272">
        <v>-1.27</v>
      </c>
      <c r="R272">
        <v>4.68</v>
      </c>
      <c r="S272">
        <v>4.8</v>
      </c>
      <c r="T272">
        <v>707321</v>
      </c>
      <c r="U272">
        <v>4.7</v>
      </c>
      <c r="V272">
        <v>4.74</v>
      </c>
      <c r="W272">
        <v>7.03</v>
      </c>
      <c r="X272" t="s">
        <v>1925</v>
      </c>
      <c r="Y272" t="s">
        <v>602</v>
      </c>
      <c r="Z272">
        <v>4.6399999999999997</v>
      </c>
      <c r="AA272">
        <v>4.79</v>
      </c>
      <c r="AB272">
        <v>388118</v>
      </c>
      <c r="AC272">
        <v>319203</v>
      </c>
      <c r="AD272">
        <v>1.22</v>
      </c>
      <c r="AE272">
        <v>2035</v>
      </c>
      <c r="AF272">
        <v>1797</v>
      </c>
      <c r="AG272" t="s">
        <v>120</v>
      </c>
      <c r="AH272">
        <v>0.03</v>
      </c>
      <c r="AI272" t="s">
        <v>120</v>
      </c>
      <c r="AJ272">
        <v>38.85</v>
      </c>
      <c r="AK272" t="s">
        <v>1926</v>
      </c>
      <c r="AL272">
        <v>0.86</v>
      </c>
      <c r="AM272">
        <v>3798</v>
      </c>
      <c r="AN272">
        <v>186</v>
      </c>
      <c r="AO272">
        <v>5.0000000000000001E-4</v>
      </c>
      <c r="AP272">
        <v>-1</v>
      </c>
      <c r="AQ272">
        <v>2.6</v>
      </c>
      <c r="AR272">
        <v>-2.9</v>
      </c>
      <c r="AS272">
        <v>15.52</v>
      </c>
      <c r="AT272">
        <v>25.4</v>
      </c>
      <c r="AU272">
        <v>32.86</v>
      </c>
      <c r="AV272">
        <v>1</v>
      </c>
      <c r="AW272">
        <v>3.09</v>
      </c>
      <c r="AX272">
        <v>57.39</v>
      </c>
      <c r="AY272">
        <v>8.32</v>
      </c>
      <c r="AZ272">
        <v>10.44</v>
      </c>
      <c r="BA272">
        <v>0.21</v>
      </c>
      <c r="BB272" t="s">
        <v>143</v>
      </c>
      <c r="BF272">
        <v>1.1399999999999999</v>
      </c>
      <c r="BG272">
        <v>-2.29</v>
      </c>
      <c r="BH272">
        <v>-4.29</v>
      </c>
      <c r="BI272">
        <v>0.21</v>
      </c>
      <c r="BJ272">
        <v>20210827</v>
      </c>
      <c r="BK272">
        <v>19970606</v>
      </c>
      <c r="BL272">
        <v>39.909999999999997</v>
      </c>
      <c r="BM272" t="s">
        <v>120</v>
      </c>
      <c r="BN272" t="s">
        <v>120</v>
      </c>
      <c r="BO272">
        <v>510.38</v>
      </c>
      <c r="BP272">
        <v>4.6900000000000004</v>
      </c>
      <c r="BQ272">
        <v>228.42</v>
      </c>
      <c r="BR272">
        <v>25.98</v>
      </c>
      <c r="BS272">
        <v>50.15</v>
      </c>
      <c r="BT272">
        <v>238.85</v>
      </c>
      <c r="BU272">
        <v>167.49</v>
      </c>
      <c r="BV272">
        <v>20.16</v>
      </c>
      <c r="BW272">
        <v>195.24</v>
      </c>
      <c r="BX272">
        <v>84.84</v>
      </c>
      <c r="BY272">
        <v>47.82</v>
      </c>
      <c r="BZ272">
        <v>20.52</v>
      </c>
      <c r="CA272">
        <v>0.01</v>
      </c>
      <c r="CB272">
        <v>85.12</v>
      </c>
      <c r="CC272">
        <v>286.20999999999998</v>
      </c>
      <c r="CD272">
        <v>253.61</v>
      </c>
      <c r="CE272">
        <v>21.06</v>
      </c>
      <c r="CF272">
        <v>1.73</v>
      </c>
      <c r="CG272">
        <v>20.57</v>
      </c>
      <c r="CH272">
        <v>15.27</v>
      </c>
      <c r="CI272">
        <v>13.32</v>
      </c>
      <c r="CJ272">
        <v>-0.05</v>
      </c>
      <c r="CK272">
        <v>12.79</v>
      </c>
      <c r="CL272">
        <v>98.05</v>
      </c>
      <c r="CM272">
        <v>8.43</v>
      </c>
      <c r="CN272">
        <v>-18.260000000000002</v>
      </c>
      <c r="CO272">
        <v>146114</v>
      </c>
      <c r="CP272">
        <v>15675</v>
      </c>
      <c r="CQ272" t="s">
        <v>1927</v>
      </c>
      <c r="CR272">
        <v>53.03</v>
      </c>
      <c r="CS272">
        <v>44.49</v>
      </c>
      <c r="CT272">
        <v>0.82</v>
      </c>
      <c r="CU272">
        <v>22.22</v>
      </c>
      <c r="CV272">
        <v>0.65</v>
      </c>
      <c r="CW272">
        <v>3.16</v>
      </c>
      <c r="CX272" t="s">
        <v>1928</v>
      </c>
      <c r="CY272">
        <v>5.72</v>
      </c>
      <c r="CZ272">
        <v>0</v>
      </c>
      <c r="DA272">
        <v>2.13</v>
      </c>
      <c r="DB272">
        <v>2.46</v>
      </c>
      <c r="DC272">
        <v>0.21</v>
      </c>
      <c r="DD272">
        <v>44.75</v>
      </c>
      <c r="DE272" t="s">
        <v>1929</v>
      </c>
      <c r="DF272">
        <v>11.39</v>
      </c>
      <c r="DG272">
        <v>7.36</v>
      </c>
      <c r="DH272">
        <v>4.6500000000000004</v>
      </c>
      <c r="DI272">
        <v>1.88</v>
      </c>
      <c r="DJ272">
        <v>15837</v>
      </c>
      <c r="DK272">
        <v>778</v>
      </c>
      <c r="DL272">
        <v>20210829</v>
      </c>
      <c r="DM272">
        <v>4.33</v>
      </c>
      <c r="DN272">
        <v>8.31</v>
      </c>
    </row>
    <row r="273" spans="1:118">
      <c r="A273" t="str">
        <f>"000779"</f>
        <v>000779</v>
      </c>
      <c r="B273" t="s">
        <v>1930</v>
      </c>
      <c r="C273">
        <v>-1.1399999999999999</v>
      </c>
      <c r="D273">
        <v>0</v>
      </c>
      <c r="E273">
        <v>0</v>
      </c>
      <c r="F273">
        <v>78</v>
      </c>
      <c r="G273" t="s">
        <v>1931</v>
      </c>
      <c r="H273">
        <v>1067.26</v>
      </c>
      <c r="I273">
        <v>0.7</v>
      </c>
      <c r="J273" t="s">
        <v>120</v>
      </c>
      <c r="K273" t="s">
        <v>1932</v>
      </c>
      <c r="L273">
        <v>0.7</v>
      </c>
      <c r="M273">
        <v>8.67</v>
      </c>
      <c r="N273">
        <v>0.56000000000000005</v>
      </c>
      <c r="O273">
        <v>1.1399999999999999</v>
      </c>
      <c r="P273">
        <v>8.8699999999999992</v>
      </c>
      <c r="Q273">
        <v>-1.25</v>
      </c>
      <c r="R273">
        <v>8.66</v>
      </c>
      <c r="S273">
        <v>8.77</v>
      </c>
      <c r="T273">
        <v>12180</v>
      </c>
      <c r="U273">
        <v>8.68</v>
      </c>
      <c r="V273">
        <v>8.77</v>
      </c>
      <c r="W273">
        <v>12.34</v>
      </c>
      <c r="X273" t="s">
        <v>175</v>
      </c>
      <c r="Y273" t="s">
        <v>1082</v>
      </c>
      <c r="Z273">
        <v>2.39</v>
      </c>
      <c r="AA273">
        <v>8.76</v>
      </c>
      <c r="AB273">
        <v>7774</v>
      </c>
      <c r="AC273">
        <v>4406</v>
      </c>
      <c r="AD273">
        <v>1.76</v>
      </c>
      <c r="AE273">
        <v>33</v>
      </c>
      <c r="AF273">
        <v>16</v>
      </c>
      <c r="AG273" t="s">
        <v>120</v>
      </c>
      <c r="AH273">
        <v>0</v>
      </c>
      <c r="AI273" t="s">
        <v>120</v>
      </c>
      <c r="AJ273">
        <v>1.75</v>
      </c>
      <c r="AK273" t="s">
        <v>1026</v>
      </c>
      <c r="AL273">
        <v>0.77</v>
      </c>
      <c r="AM273">
        <v>583</v>
      </c>
      <c r="AN273">
        <v>21</v>
      </c>
      <c r="AO273">
        <v>1.1999999999999999E-3</v>
      </c>
      <c r="AP273">
        <v>-1</v>
      </c>
      <c r="AQ273">
        <v>0.56999999999999995</v>
      </c>
      <c r="AR273">
        <v>-3.67</v>
      </c>
      <c r="AS273">
        <v>-0.23</v>
      </c>
      <c r="AT273">
        <v>-6.06</v>
      </c>
      <c r="AU273">
        <v>-7.07</v>
      </c>
      <c r="AV273">
        <v>1</v>
      </c>
      <c r="AW273">
        <v>1.04</v>
      </c>
      <c r="AX273">
        <v>30.65</v>
      </c>
      <c r="AY273">
        <v>10.5</v>
      </c>
      <c r="AZ273">
        <v>10.85</v>
      </c>
      <c r="BA273">
        <v>0.41</v>
      </c>
      <c r="BB273" t="s">
        <v>143</v>
      </c>
      <c r="BF273">
        <v>-0.09</v>
      </c>
      <c r="BG273">
        <v>-1.1399999999999999</v>
      </c>
      <c r="BH273">
        <v>-2.25</v>
      </c>
      <c r="BI273">
        <v>0.12</v>
      </c>
      <c r="BJ273">
        <v>20210821</v>
      </c>
      <c r="BK273">
        <v>19970528</v>
      </c>
      <c r="BL273">
        <v>3.8</v>
      </c>
      <c r="BM273" t="s">
        <v>120</v>
      </c>
      <c r="BN273" t="s">
        <v>120</v>
      </c>
      <c r="BO273">
        <v>35.380000000000003</v>
      </c>
      <c r="BP273">
        <v>8.67</v>
      </c>
      <c r="BQ273">
        <v>22.15</v>
      </c>
      <c r="BR273">
        <v>0.1</v>
      </c>
      <c r="BS273">
        <v>37.1</v>
      </c>
      <c r="BT273">
        <v>21.47</v>
      </c>
      <c r="BU273">
        <v>6.36</v>
      </c>
      <c r="BV273">
        <v>1.87</v>
      </c>
      <c r="BW273">
        <v>11.63</v>
      </c>
      <c r="BX273">
        <v>8.8000000000000007</v>
      </c>
      <c r="BY273">
        <v>2.14</v>
      </c>
      <c r="BZ273">
        <v>8.82</v>
      </c>
      <c r="CA273">
        <v>0.01</v>
      </c>
      <c r="CB273">
        <v>10.54</v>
      </c>
      <c r="CC273">
        <v>10.28</v>
      </c>
      <c r="CD273">
        <v>7.08</v>
      </c>
      <c r="CE273">
        <v>1.56</v>
      </c>
      <c r="CF273">
        <v>0.03</v>
      </c>
      <c r="CG273">
        <v>1.58</v>
      </c>
      <c r="CH273">
        <v>1.33</v>
      </c>
      <c r="CI273">
        <v>1.34</v>
      </c>
      <c r="CJ273">
        <v>-0.1</v>
      </c>
      <c r="CK273">
        <v>1.31</v>
      </c>
      <c r="CL273">
        <v>7.92</v>
      </c>
      <c r="CM273">
        <v>-4.2699999999999996</v>
      </c>
      <c r="CN273">
        <v>-6.35</v>
      </c>
      <c r="CO273">
        <v>14671</v>
      </c>
      <c r="CP273">
        <v>7945</v>
      </c>
      <c r="CQ273" t="s">
        <v>1933</v>
      </c>
      <c r="CR273">
        <v>8.2799999999999994</v>
      </c>
      <c r="CS273">
        <v>0.28999999999999998</v>
      </c>
      <c r="CT273">
        <v>1.49</v>
      </c>
      <c r="CU273">
        <v>-7.72</v>
      </c>
      <c r="CV273">
        <v>3.21</v>
      </c>
      <c r="CW273">
        <v>2.2799999999999998</v>
      </c>
      <c r="CX273" t="s">
        <v>472</v>
      </c>
      <c r="CY273">
        <v>5.82</v>
      </c>
      <c r="CZ273">
        <v>0</v>
      </c>
      <c r="DA273">
        <v>2.77</v>
      </c>
      <c r="DB273">
        <v>2.08</v>
      </c>
      <c r="DC273">
        <v>-1.1200000000000001</v>
      </c>
      <c r="DD273">
        <v>62.62</v>
      </c>
      <c r="DE273" t="s">
        <v>1934</v>
      </c>
      <c r="DF273">
        <v>31.16</v>
      </c>
      <c r="DG273">
        <v>15.15</v>
      </c>
      <c r="DH273">
        <v>12.99</v>
      </c>
      <c r="DI273">
        <v>0.12</v>
      </c>
      <c r="DJ273">
        <v>4236</v>
      </c>
      <c r="DK273">
        <v>779</v>
      </c>
      <c r="DL273" t="s">
        <v>120</v>
      </c>
      <c r="DM273" t="s">
        <v>120</v>
      </c>
      <c r="DN273" t="s">
        <v>120</v>
      </c>
    </row>
    <row r="274" spans="1:118">
      <c r="A274" t="str">
        <f>"000782"</f>
        <v>000782</v>
      </c>
      <c r="B274" t="s">
        <v>1935</v>
      </c>
      <c r="C274">
        <v>0.51</v>
      </c>
      <c r="D274">
        <v>0</v>
      </c>
      <c r="E274">
        <v>0</v>
      </c>
      <c r="F274">
        <v>3165</v>
      </c>
      <c r="G274" t="s">
        <v>1936</v>
      </c>
      <c r="H274">
        <v>14388.56</v>
      </c>
      <c r="I274">
        <v>126.53</v>
      </c>
      <c r="J274" t="s">
        <v>120</v>
      </c>
      <c r="K274" t="s">
        <v>1937</v>
      </c>
      <c r="L274">
        <v>4.5599999999999996</v>
      </c>
      <c r="M274">
        <v>5.94</v>
      </c>
      <c r="N274">
        <v>0.93</v>
      </c>
      <c r="O274">
        <v>3.89</v>
      </c>
      <c r="P274">
        <v>6.14</v>
      </c>
      <c r="Q274">
        <v>-1.02</v>
      </c>
      <c r="R274">
        <v>5.85</v>
      </c>
      <c r="S274">
        <v>5.91</v>
      </c>
      <c r="T274">
        <v>240932</v>
      </c>
      <c r="U274">
        <v>5.94</v>
      </c>
      <c r="V274">
        <v>5.91</v>
      </c>
      <c r="W274">
        <v>34.369999999999997</v>
      </c>
      <c r="X274" t="s">
        <v>623</v>
      </c>
      <c r="Y274" t="s">
        <v>547</v>
      </c>
      <c r="Z274">
        <v>4.91</v>
      </c>
      <c r="AA274">
        <v>5.97</v>
      </c>
      <c r="AB274">
        <v>119804</v>
      </c>
      <c r="AC274">
        <v>121128</v>
      </c>
      <c r="AD274">
        <v>0.99</v>
      </c>
      <c r="AE274">
        <v>748</v>
      </c>
      <c r="AF274">
        <v>194</v>
      </c>
      <c r="AG274" t="s">
        <v>120</v>
      </c>
      <c r="AH274">
        <v>0.06</v>
      </c>
      <c r="AI274" t="s">
        <v>120</v>
      </c>
      <c r="AJ274">
        <v>5.28</v>
      </c>
      <c r="AK274" t="s">
        <v>1937</v>
      </c>
      <c r="AL274">
        <v>2.42</v>
      </c>
      <c r="AM274">
        <v>3034</v>
      </c>
      <c r="AN274">
        <v>79</v>
      </c>
      <c r="AO274">
        <v>1.5E-3</v>
      </c>
      <c r="AP274">
        <v>4</v>
      </c>
      <c r="AQ274">
        <v>0.51</v>
      </c>
      <c r="AR274">
        <v>2.77</v>
      </c>
      <c r="AS274">
        <v>32</v>
      </c>
      <c r="AT274">
        <v>72.17</v>
      </c>
      <c r="AU274">
        <v>85.63</v>
      </c>
      <c r="AV274">
        <v>9</v>
      </c>
      <c r="AW274">
        <v>6.32</v>
      </c>
      <c r="AX274">
        <v>72.17</v>
      </c>
      <c r="AY274">
        <v>24.84</v>
      </c>
      <c r="AZ274">
        <v>81.91</v>
      </c>
      <c r="BA274">
        <v>0.19</v>
      </c>
      <c r="BB274" t="s">
        <v>184</v>
      </c>
      <c r="BF274">
        <v>1.05</v>
      </c>
      <c r="BG274">
        <v>0.51</v>
      </c>
      <c r="BH274">
        <v>-3.26</v>
      </c>
      <c r="BI274">
        <v>1.54</v>
      </c>
      <c r="BJ274">
        <v>20210902</v>
      </c>
      <c r="BK274">
        <v>19970619</v>
      </c>
      <c r="BL274">
        <v>5.28</v>
      </c>
      <c r="BM274" t="s">
        <v>120</v>
      </c>
      <c r="BN274" t="s">
        <v>120</v>
      </c>
      <c r="BO274">
        <v>32.93</v>
      </c>
      <c r="BP274">
        <v>5.93</v>
      </c>
      <c r="BQ274">
        <v>14.75</v>
      </c>
      <c r="BR274" t="s">
        <v>120</v>
      </c>
      <c r="BS274">
        <v>55.2</v>
      </c>
      <c r="BT274">
        <v>19.850000000000001</v>
      </c>
      <c r="BU274">
        <v>6.93</v>
      </c>
      <c r="BV274">
        <v>0.43</v>
      </c>
      <c r="BW274">
        <v>15.26</v>
      </c>
      <c r="BX274">
        <v>5.52</v>
      </c>
      <c r="BY274">
        <v>4.7699999999999996</v>
      </c>
      <c r="BZ274">
        <v>2.48</v>
      </c>
      <c r="CA274" t="s">
        <v>120</v>
      </c>
      <c r="CB274">
        <v>6.28</v>
      </c>
      <c r="CC274">
        <v>15.49</v>
      </c>
      <c r="CD274">
        <v>13.71</v>
      </c>
      <c r="CE274">
        <v>0.52</v>
      </c>
      <c r="CF274">
        <v>0.01</v>
      </c>
      <c r="CG274">
        <v>0.53</v>
      </c>
      <c r="CH274">
        <v>0.46</v>
      </c>
      <c r="CI274">
        <v>0.46</v>
      </c>
      <c r="CJ274">
        <v>0.03</v>
      </c>
      <c r="CK274">
        <v>0.45</v>
      </c>
      <c r="CL274">
        <v>2.31</v>
      </c>
      <c r="CM274">
        <v>-1.41</v>
      </c>
      <c r="CN274">
        <v>-0.85</v>
      </c>
      <c r="CO274">
        <v>37479</v>
      </c>
      <c r="CP274">
        <v>10169</v>
      </c>
      <c r="CQ274" t="s">
        <v>992</v>
      </c>
      <c r="CR274">
        <v>208.9</v>
      </c>
      <c r="CS274">
        <v>50.1</v>
      </c>
      <c r="CT274">
        <v>2.13</v>
      </c>
      <c r="CU274">
        <v>-22.23</v>
      </c>
      <c r="CV274">
        <v>2.0299999999999998</v>
      </c>
      <c r="CW274">
        <v>0.34</v>
      </c>
      <c r="CX274" t="s">
        <v>329</v>
      </c>
      <c r="CY274">
        <v>2.79</v>
      </c>
      <c r="CZ274">
        <v>0</v>
      </c>
      <c r="DA274">
        <v>1.19</v>
      </c>
      <c r="DB274">
        <v>0.44</v>
      </c>
      <c r="DC274">
        <v>-0.27</v>
      </c>
      <c r="DD274">
        <v>44.8</v>
      </c>
      <c r="DE274" t="s">
        <v>1938</v>
      </c>
      <c r="DF274">
        <v>11.47</v>
      </c>
      <c r="DG274">
        <v>3.38</v>
      </c>
      <c r="DH274">
        <v>2.95</v>
      </c>
      <c r="DI274">
        <v>0.03</v>
      </c>
      <c r="DJ274">
        <v>2571</v>
      </c>
      <c r="DK274">
        <v>782</v>
      </c>
      <c r="DL274">
        <v>20210809</v>
      </c>
      <c r="DM274">
        <v>4.79</v>
      </c>
      <c r="DN274">
        <v>24.01</v>
      </c>
    </row>
    <row r="275" spans="1:118">
      <c r="A275" t="str">
        <f>"000783"</f>
        <v>000783</v>
      </c>
      <c r="B275" t="s">
        <v>1939</v>
      </c>
      <c r="C275">
        <v>-0.5</v>
      </c>
      <c r="D275">
        <v>0.13</v>
      </c>
      <c r="E275">
        <v>0.38</v>
      </c>
      <c r="F275">
        <v>7291</v>
      </c>
      <c r="G275" t="s">
        <v>1940</v>
      </c>
      <c r="H275">
        <v>48627.03</v>
      </c>
      <c r="I275">
        <v>416.08</v>
      </c>
      <c r="J275" t="s">
        <v>120</v>
      </c>
      <c r="K275" t="s">
        <v>1941</v>
      </c>
      <c r="L275">
        <v>1.1000000000000001</v>
      </c>
      <c r="M275">
        <v>7.95</v>
      </c>
      <c r="N275">
        <v>0.41</v>
      </c>
      <c r="O275">
        <v>1</v>
      </c>
      <c r="P275">
        <v>8.07</v>
      </c>
      <c r="Q275">
        <v>-1.38</v>
      </c>
      <c r="R275">
        <v>7.88</v>
      </c>
      <c r="S275">
        <v>8.02</v>
      </c>
      <c r="T275">
        <v>609904</v>
      </c>
      <c r="U275">
        <v>7.95</v>
      </c>
      <c r="V275">
        <v>7.99</v>
      </c>
      <c r="W275">
        <v>15.43</v>
      </c>
      <c r="X275" t="s">
        <v>616</v>
      </c>
      <c r="Y275" t="s">
        <v>763</v>
      </c>
      <c r="Z275">
        <v>2.38</v>
      </c>
      <c r="AA275">
        <v>7.97</v>
      </c>
      <c r="AB275">
        <v>312021</v>
      </c>
      <c r="AC275">
        <v>297883</v>
      </c>
      <c r="AD275">
        <v>1.05</v>
      </c>
      <c r="AE275">
        <v>280</v>
      </c>
      <c r="AF275">
        <v>340</v>
      </c>
      <c r="AG275" t="s">
        <v>120</v>
      </c>
      <c r="AH275">
        <v>0.01</v>
      </c>
      <c r="AI275" t="s">
        <v>120</v>
      </c>
      <c r="AJ275">
        <v>55.3</v>
      </c>
      <c r="AK275" t="s">
        <v>1941</v>
      </c>
      <c r="AL275">
        <v>1.41</v>
      </c>
      <c r="AM275">
        <v>3947</v>
      </c>
      <c r="AN275">
        <v>155</v>
      </c>
      <c r="AO275">
        <v>2.9999999999999997E-4</v>
      </c>
      <c r="AP275">
        <v>-1</v>
      </c>
      <c r="AQ275">
        <v>0.25</v>
      </c>
      <c r="AR275">
        <v>-4.79</v>
      </c>
      <c r="AS275">
        <v>6.85</v>
      </c>
      <c r="AT275">
        <v>11.66</v>
      </c>
      <c r="AU275">
        <v>-3.63</v>
      </c>
      <c r="AV275">
        <v>0</v>
      </c>
      <c r="AW275">
        <v>1.59</v>
      </c>
      <c r="AX275">
        <v>69.510000000000005</v>
      </c>
      <c r="AY275">
        <v>17.2</v>
      </c>
      <c r="AZ275">
        <v>21.19</v>
      </c>
      <c r="BA275">
        <v>0.4</v>
      </c>
      <c r="BB275" t="s">
        <v>143</v>
      </c>
      <c r="BF275">
        <v>-0.21</v>
      </c>
      <c r="BG275">
        <v>-0.87</v>
      </c>
      <c r="BH275">
        <v>-1.49</v>
      </c>
      <c r="BI275">
        <v>0.89</v>
      </c>
      <c r="BJ275">
        <v>20210901</v>
      </c>
      <c r="BK275">
        <v>19970731</v>
      </c>
      <c r="BL275">
        <v>55.3</v>
      </c>
      <c r="BM275" t="s">
        <v>120</v>
      </c>
      <c r="BN275" t="s">
        <v>120</v>
      </c>
      <c r="BO275">
        <v>1601.28</v>
      </c>
      <c r="BP275">
        <v>7.94</v>
      </c>
      <c r="BQ275">
        <v>297.18</v>
      </c>
      <c r="BR275">
        <v>1.68</v>
      </c>
      <c r="BS275">
        <v>81.34</v>
      </c>
      <c r="BT275">
        <v>0</v>
      </c>
      <c r="BU275">
        <v>2.4900000000000002</v>
      </c>
      <c r="BV275">
        <v>0.86</v>
      </c>
      <c r="BW275">
        <v>0</v>
      </c>
      <c r="BX275">
        <v>384.2</v>
      </c>
      <c r="BY275">
        <v>0</v>
      </c>
      <c r="BZ275">
        <v>0</v>
      </c>
      <c r="CA275" t="s">
        <v>120</v>
      </c>
      <c r="CB275">
        <v>104.53</v>
      </c>
      <c r="CC275">
        <v>42.64</v>
      </c>
      <c r="CD275">
        <v>0</v>
      </c>
      <c r="CE275">
        <v>18.89</v>
      </c>
      <c r="CF275">
        <v>8.9700000000000006</v>
      </c>
      <c r="CG275">
        <v>18.920000000000002</v>
      </c>
      <c r="CH275">
        <v>14.27</v>
      </c>
      <c r="CI275">
        <v>14.24</v>
      </c>
      <c r="CJ275">
        <v>-0.04</v>
      </c>
      <c r="CK275">
        <v>13.8</v>
      </c>
      <c r="CL275">
        <v>62.26</v>
      </c>
      <c r="CM275">
        <v>-13.03</v>
      </c>
      <c r="CN275">
        <v>41.36</v>
      </c>
      <c r="CO275">
        <v>183124</v>
      </c>
      <c r="CP275">
        <v>20992</v>
      </c>
      <c r="CQ275" t="s">
        <v>1942</v>
      </c>
      <c r="CR275">
        <v>51.27</v>
      </c>
      <c r="CS275">
        <v>28.1</v>
      </c>
      <c r="CT275">
        <v>1.53</v>
      </c>
      <c r="CU275">
        <v>-33.74</v>
      </c>
      <c r="CV275">
        <v>10.31</v>
      </c>
      <c r="CW275">
        <v>1.88</v>
      </c>
      <c r="CX275" t="s">
        <v>670</v>
      </c>
      <c r="CY275">
        <v>5.21</v>
      </c>
      <c r="CZ275">
        <v>5.21</v>
      </c>
      <c r="DA275">
        <v>1.89</v>
      </c>
      <c r="DB275">
        <v>1.1299999999999999</v>
      </c>
      <c r="DC275">
        <v>-0.24</v>
      </c>
      <c r="DD275">
        <v>18.559999999999999</v>
      </c>
      <c r="DE275" t="s">
        <v>1943</v>
      </c>
      <c r="DF275" t="s">
        <v>120</v>
      </c>
      <c r="DG275">
        <v>44.3</v>
      </c>
      <c r="DH275">
        <v>33.4</v>
      </c>
      <c r="DI275" t="s">
        <v>120</v>
      </c>
      <c r="DJ275">
        <v>6286</v>
      </c>
      <c r="DK275">
        <v>783</v>
      </c>
      <c r="DL275" t="s">
        <v>120</v>
      </c>
      <c r="DM275" t="s">
        <v>120</v>
      </c>
      <c r="DN275" t="s">
        <v>120</v>
      </c>
    </row>
    <row r="276" spans="1:118">
      <c r="A276" t="str">
        <f>"000785"</f>
        <v>000785</v>
      </c>
      <c r="B276" t="s">
        <v>1944</v>
      </c>
      <c r="C276">
        <v>-0.9</v>
      </c>
      <c r="D276">
        <v>-1.42</v>
      </c>
      <c r="E276">
        <v>1.08</v>
      </c>
      <c r="F276">
        <v>29058</v>
      </c>
      <c r="G276" t="s">
        <v>1945</v>
      </c>
      <c r="H276">
        <v>7490.22</v>
      </c>
      <c r="I276">
        <v>36.76</v>
      </c>
      <c r="J276" t="s">
        <v>120</v>
      </c>
      <c r="K276" t="s">
        <v>1945</v>
      </c>
      <c r="L276">
        <v>1.75</v>
      </c>
      <c r="M276">
        <v>5.52</v>
      </c>
      <c r="N276">
        <v>1.46</v>
      </c>
      <c r="O276">
        <v>2.69</v>
      </c>
      <c r="P276">
        <v>5.72</v>
      </c>
      <c r="Q276">
        <v>-0.9</v>
      </c>
      <c r="R276">
        <v>5.52</v>
      </c>
      <c r="S276">
        <v>5.63</v>
      </c>
      <c r="T276">
        <v>133365</v>
      </c>
      <c r="U276">
        <v>5.55</v>
      </c>
      <c r="V276">
        <v>5.57</v>
      </c>
      <c r="W276">
        <v>16.059999999999999</v>
      </c>
      <c r="X276" t="s">
        <v>735</v>
      </c>
      <c r="Y276" t="s">
        <v>763</v>
      </c>
      <c r="Z276">
        <v>3.59</v>
      </c>
      <c r="AA276">
        <v>5.62</v>
      </c>
      <c r="AB276">
        <v>66701</v>
      </c>
      <c r="AC276">
        <v>66664</v>
      </c>
      <c r="AD276">
        <v>1</v>
      </c>
      <c r="AE276">
        <v>4407</v>
      </c>
      <c r="AF276">
        <v>3966</v>
      </c>
      <c r="AG276" t="s">
        <v>120</v>
      </c>
      <c r="AH276">
        <v>0.01</v>
      </c>
      <c r="AI276" t="s">
        <v>120</v>
      </c>
      <c r="AJ276">
        <v>7.6</v>
      </c>
      <c r="AK276" t="s">
        <v>1946</v>
      </c>
      <c r="AL276">
        <v>1.02</v>
      </c>
      <c r="AM276">
        <v>2237</v>
      </c>
      <c r="AN276">
        <v>60</v>
      </c>
      <c r="AO276">
        <v>8.0000000000000004E-4</v>
      </c>
      <c r="AP276">
        <v>-1</v>
      </c>
      <c r="AQ276">
        <v>0.36</v>
      </c>
      <c r="AR276">
        <v>-2.4700000000000002</v>
      </c>
      <c r="AS276">
        <v>5.95</v>
      </c>
      <c r="AT276">
        <v>-9.33</v>
      </c>
      <c r="AU276">
        <v>-33.799999999999997</v>
      </c>
      <c r="AV276">
        <v>1</v>
      </c>
      <c r="AW276">
        <v>1.75</v>
      </c>
      <c r="AX276">
        <v>11.64</v>
      </c>
      <c r="AY276">
        <v>17.54</v>
      </c>
      <c r="AZ276">
        <v>26.69</v>
      </c>
      <c r="BA276">
        <v>0.25</v>
      </c>
      <c r="BB276" t="s">
        <v>143</v>
      </c>
      <c r="BF276">
        <v>0.83</v>
      </c>
      <c r="BG276">
        <v>-1.95</v>
      </c>
      <c r="BH276">
        <v>-3.5</v>
      </c>
      <c r="BI276">
        <v>0</v>
      </c>
      <c r="BJ276">
        <v>20210827</v>
      </c>
      <c r="BK276">
        <v>19970711</v>
      </c>
      <c r="BL276">
        <v>65.290000000000006</v>
      </c>
      <c r="BM276" t="s">
        <v>120</v>
      </c>
      <c r="BN276" t="s">
        <v>120</v>
      </c>
      <c r="BO276">
        <v>542.44000000000005</v>
      </c>
      <c r="BP276">
        <v>5.52</v>
      </c>
      <c r="BQ276">
        <v>165.04</v>
      </c>
      <c r="BR276">
        <v>8.99</v>
      </c>
      <c r="BS276">
        <v>67.92</v>
      </c>
      <c r="BT276">
        <v>98.5</v>
      </c>
      <c r="BU276">
        <v>25.96</v>
      </c>
      <c r="BV276">
        <v>6.84</v>
      </c>
      <c r="BW276">
        <v>94.74</v>
      </c>
      <c r="BX276">
        <v>70.09</v>
      </c>
      <c r="BY276">
        <v>2.5499999999999998</v>
      </c>
      <c r="BZ276">
        <v>9.02</v>
      </c>
      <c r="CA276">
        <v>13.02</v>
      </c>
      <c r="CB276">
        <v>83.49</v>
      </c>
      <c r="CC276">
        <v>66.040000000000006</v>
      </c>
      <c r="CD276">
        <v>37</v>
      </c>
      <c r="CE276">
        <v>15.31</v>
      </c>
      <c r="CF276">
        <v>-0.37</v>
      </c>
      <c r="CG276">
        <v>15.29</v>
      </c>
      <c r="CH276">
        <v>11.45</v>
      </c>
      <c r="CI276">
        <v>11.22</v>
      </c>
      <c r="CJ276">
        <v>-0.05</v>
      </c>
      <c r="CK276">
        <v>10.97</v>
      </c>
      <c r="CL276">
        <v>14.22</v>
      </c>
      <c r="CM276">
        <v>32.36</v>
      </c>
      <c r="CN276">
        <v>-5.01</v>
      </c>
      <c r="CO276">
        <v>29145</v>
      </c>
      <c r="CP276">
        <v>26087</v>
      </c>
      <c r="CQ276" t="s">
        <v>1947</v>
      </c>
      <c r="CR276">
        <v>172.42</v>
      </c>
      <c r="CS276">
        <v>67.489999999999995</v>
      </c>
      <c r="CT276">
        <v>2.1800000000000002</v>
      </c>
      <c r="CU276">
        <v>11.14</v>
      </c>
      <c r="CV276">
        <v>5.46</v>
      </c>
      <c r="CW276">
        <v>0.93</v>
      </c>
      <c r="CX276" t="s">
        <v>1193</v>
      </c>
      <c r="CY276">
        <v>2.5299999999999998</v>
      </c>
      <c r="CZ276">
        <v>0</v>
      </c>
      <c r="DA276">
        <v>1.28</v>
      </c>
      <c r="DB276">
        <v>0.22</v>
      </c>
      <c r="DC276">
        <v>0.5</v>
      </c>
      <c r="DD276">
        <v>30.42</v>
      </c>
      <c r="DE276" t="s">
        <v>1948</v>
      </c>
      <c r="DF276">
        <v>43.96</v>
      </c>
      <c r="DG276">
        <v>23.18</v>
      </c>
      <c r="DH276">
        <v>17</v>
      </c>
      <c r="DI276">
        <v>0.02</v>
      </c>
      <c r="DJ276">
        <v>11239</v>
      </c>
      <c r="DK276">
        <v>785</v>
      </c>
      <c r="DL276" t="s">
        <v>120</v>
      </c>
      <c r="DM276" t="s">
        <v>120</v>
      </c>
      <c r="DN276" t="s">
        <v>120</v>
      </c>
    </row>
    <row r="277" spans="1:118">
      <c r="A277" t="str">
        <f>"000786"</f>
        <v>000786</v>
      </c>
      <c r="B277" t="s">
        <v>1949</v>
      </c>
      <c r="C277">
        <v>-4.28</v>
      </c>
      <c r="D277">
        <v>0</v>
      </c>
      <c r="E277">
        <v>-0.81</v>
      </c>
      <c r="F277">
        <v>2965</v>
      </c>
      <c r="G277" t="s">
        <v>1950</v>
      </c>
      <c r="H277">
        <v>81941.72</v>
      </c>
      <c r="I277">
        <v>453.88</v>
      </c>
      <c r="J277" t="s">
        <v>120</v>
      </c>
      <c r="K277" t="s">
        <v>1951</v>
      </c>
      <c r="L277">
        <v>1.5</v>
      </c>
      <c r="M277">
        <v>31.97</v>
      </c>
      <c r="N277">
        <v>1.4</v>
      </c>
      <c r="O277">
        <v>0.6</v>
      </c>
      <c r="P277">
        <v>33.6</v>
      </c>
      <c r="Q277">
        <v>-5.09</v>
      </c>
      <c r="R277">
        <v>31.7</v>
      </c>
      <c r="S277">
        <v>33.130000000000003</v>
      </c>
      <c r="T277">
        <v>252990</v>
      </c>
      <c r="U277">
        <v>31.97</v>
      </c>
      <c r="V277">
        <v>33.4</v>
      </c>
      <c r="W277">
        <v>14.7</v>
      </c>
      <c r="X277" t="s">
        <v>247</v>
      </c>
      <c r="Y277" t="s">
        <v>158</v>
      </c>
      <c r="Z277">
        <v>5.69</v>
      </c>
      <c r="AA277">
        <v>32.39</v>
      </c>
      <c r="AB277">
        <v>131294</v>
      </c>
      <c r="AC277">
        <v>121696</v>
      </c>
      <c r="AD277">
        <v>1.08</v>
      </c>
      <c r="AE277">
        <v>132</v>
      </c>
      <c r="AF277">
        <v>431</v>
      </c>
      <c r="AG277" t="s">
        <v>120</v>
      </c>
      <c r="AH277">
        <v>0.02</v>
      </c>
      <c r="AI277" t="s">
        <v>120</v>
      </c>
      <c r="AJ277">
        <v>16.899999999999999</v>
      </c>
      <c r="AK277" t="s">
        <v>1951</v>
      </c>
      <c r="AL277">
        <v>-2.37</v>
      </c>
      <c r="AM277">
        <v>4521</v>
      </c>
      <c r="AN277">
        <v>56</v>
      </c>
      <c r="AO277">
        <v>2.9999999999999997E-4</v>
      </c>
      <c r="AP277">
        <v>-3</v>
      </c>
      <c r="AQ277">
        <v>-5.89</v>
      </c>
      <c r="AR277">
        <v>-15.33</v>
      </c>
      <c r="AS277">
        <v>-12.89</v>
      </c>
      <c r="AT277">
        <v>-23.7</v>
      </c>
      <c r="AU277">
        <v>-19.059999999999999</v>
      </c>
      <c r="AV277">
        <v>2</v>
      </c>
      <c r="AW277">
        <v>2.96</v>
      </c>
      <c r="AX277">
        <v>50.64</v>
      </c>
      <c r="AY277">
        <v>14.87</v>
      </c>
      <c r="AZ277">
        <v>19.73</v>
      </c>
      <c r="BA277">
        <v>1.21</v>
      </c>
      <c r="BB277" t="s">
        <v>240</v>
      </c>
      <c r="BF277">
        <v>-3.03</v>
      </c>
      <c r="BG277">
        <v>-3.5</v>
      </c>
      <c r="BH277">
        <v>-4.8499999999999996</v>
      </c>
      <c r="BI277">
        <v>0.85</v>
      </c>
      <c r="BJ277">
        <v>20210903</v>
      </c>
      <c r="BK277">
        <v>19970606</v>
      </c>
      <c r="BL277">
        <v>16.899999999999999</v>
      </c>
      <c r="BM277" t="s">
        <v>120</v>
      </c>
      <c r="BN277" t="s">
        <v>120</v>
      </c>
      <c r="BO277">
        <v>251.44</v>
      </c>
      <c r="BP277">
        <v>31.96</v>
      </c>
      <c r="BQ277">
        <v>172.78</v>
      </c>
      <c r="BR277">
        <v>5.28</v>
      </c>
      <c r="BS277">
        <v>29.18</v>
      </c>
      <c r="BT277">
        <v>84.79</v>
      </c>
      <c r="BU277">
        <v>108.89</v>
      </c>
      <c r="BV277">
        <v>22.59</v>
      </c>
      <c r="BW277">
        <v>68.069999999999993</v>
      </c>
      <c r="BX277">
        <v>11.88</v>
      </c>
      <c r="BY277">
        <v>23.22</v>
      </c>
      <c r="BZ277">
        <v>31.78</v>
      </c>
      <c r="CA277" t="s">
        <v>120</v>
      </c>
      <c r="CB277">
        <v>28.38</v>
      </c>
      <c r="CC277">
        <v>101.25</v>
      </c>
      <c r="CD277">
        <v>67.02</v>
      </c>
      <c r="CE277">
        <v>19.989999999999998</v>
      </c>
      <c r="CF277">
        <v>0.05</v>
      </c>
      <c r="CG277">
        <v>20.22</v>
      </c>
      <c r="CH277">
        <v>18.649999999999999</v>
      </c>
      <c r="CI277">
        <v>18.37</v>
      </c>
      <c r="CJ277">
        <v>-1.43</v>
      </c>
      <c r="CK277">
        <v>17.87</v>
      </c>
      <c r="CL277">
        <v>120.13</v>
      </c>
      <c r="CM277">
        <v>10.86</v>
      </c>
      <c r="CN277">
        <v>5.84</v>
      </c>
      <c r="CO277">
        <v>70000</v>
      </c>
      <c r="CP277">
        <v>12221</v>
      </c>
      <c r="CQ277" t="s">
        <v>1952</v>
      </c>
      <c r="CR277">
        <v>103.41</v>
      </c>
      <c r="CS277">
        <v>45.81</v>
      </c>
      <c r="CT277">
        <v>3.13</v>
      </c>
      <c r="CU277">
        <v>49.76</v>
      </c>
      <c r="CV277">
        <v>5.33</v>
      </c>
      <c r="CW277">
        <v>1.65</v>
      </c>
      <c r="CX277" t="s">
        <v>1953</v>
      </c>
      <c r="CY277">
        <v>10.23</v>
      </c>
      <c r="CZ277">
        <v>0</v>
      </c>
      <c r="DA277">
        <v>1.68</v>
      </c>
      <c r="DB277">
        <v>7.11</v>
      </c>
      <c r="DC277">
        <v>0.64</v>
      </c>
      <c r="DD277">
        <v>68.72</v>
      </c>
      <c r="DE277" t="s">
        <v>1954</v>
      </c>
      <c r="DF277">
        <v>33.81</v>
      </c>
      <c r="DG277">
        <v>19.75</v>
      </c>
      <c r="DH277">
        <v>18.149999999999999</v>
      </c>
      <c r="DI277">
        <v>4.28</v>
      </c>
      <c r="DJ277">
        <v>12966</v>
      </c>
      <c r="DK277">
        <v>786</v>
      </c>
      <c r="DL277" t="s">
        <v>120</v>
      </c>
      <c r="DM277" t="s">
        <v>120</v>
      </c>
      <c r="DN277" t="s">
        <v>120</v>
      </c>
    </row>
    <row r="278" spans="1:118">
      <c r="A278" t="str">
        <f>"000788"</f>
        <v>000788</v>
      </c>
      <c r="B278" t="s">
        <v>1955</v>
      </c>
      <c r="C278">
        <v>-0.28999999999999998</v>
      </c>
      <c r="D278">
        <v>-0.14000000000000001</v>
      </c>
      <c r="E278">
        <v>0.28999999999999998</v>
      </c>
      <c r="F278">
        <v>420</v>
      </c>
      <c r="G278" t="s">
        <v>1956</v>
      </c>
      <c r="H278">
        <v>3371.9</v>
      </c>
      <c r="I278">
        <v>3.43</v>
      </c>
      <c r="J278" t="s">
        <v>120</v>
      </c>
      <c r="K278" t="s">
        <v>1957</v>
      </c>
      <c r="L278">
        <v>0.82</v>
      </c>
      <c r="M278">
        <v>6.82</v>
      </c>
      <c r="N278">
        <v>0.78</v>
      </c>
      <c r="O278">
        <v>1.32</v>
      </c>
      <c r="P278">
        <v>6.93</v>
      </c>
      <c r="Q278">
        <v>-0.44</v>
      </c>
      <c r="R278">
        <v>6.81</v>
      </c>
      <c r="S278">
        <v>6.86</v>
      </c>
      <c r="T278">
        <v>49124</v>
      </c>
      <c r="U278">
        <v>6.83</v>
      </c>
      <c r="V278">
        <v>6.84</v>
      </c>
      <c r="W278">
        <v>61.74</v>
      </c>
      <c r="X278" t="s">
        <v>569</v>
      </c>
      <c r="Y278" t="s">
        <v>883</v>
      </c>
      <c r="Z278">
        <v>1.75</v>
      </c>
      <c r="AA278">
        <v>6.86</v>
      </c>
      <c r="AB278">
        <v>23900</v>
      </c>
      <c r="AC278">
        <v>25224</v>
      </c>
      <c r="AD278">
        <v>0.95</v>
      </c>
      <c r="AE278">
        <v>749</v>
      </c>
      <c r="AF278">
        <v>423</v>
      </c>
      <c r="AG278" t="s">
        <v>120</v>
      </c>
      <c r="AH278">
        <v>0</v>
      </c>
      <c r="AI278" t="s">
        <v>120</v>
      </c>
      <c r="AJ278">
        <v>5.96</v>
      </c>
      <c r="AK278" t="s">
        <v>1957</v>
      </c>
      <c r="AL278">
        <v>1.62</v>
      </c>
      <c r="AM278">
        <v>1266</v>
      </c>
      <c r="AN278">
        <v>39</v>
      </c>
      <c r="AO278">
        <v>6.9999999999999999E-4</v>
      </c>
      <c r="AP278">
        <v>-5</v>
      </c>
      <c r="AQ278">
        <v>-1.58</v>
      </c>
      <c r="AR278">
        <v>-3.4</v>
      </c>
      <c r="AS278">
        <v>-5.28</v>
      </c>
      <c r="AT278">
        <v>0.88</v>
      </c>
      <c r="AU278">
        <v>11.07</v>
      </c>
      <c r="AV278">
        <v>1</v>
      </c>
      <c r="AW278">
        <v>1.4</v>
      </c>
      <c r="AX278">
        <v>59.07</v>
      </c>
      <c r="AY278">
        <v>81.86</v>
      </c>
      <c r="AZ278">
        <v>104.04</v>
      </c>
      <c r="BA278">
        <v>0.12</v>
      </c>
      <c r="BB278" t="s">
        <v>1723</v>
      </c>
      <c r="BF278">
        <v>0.35</v>
      </c>
      <c r="BG278">
        <v>-0.57999999999999996</v>
      </c>
      <c r="BH278">
        <v>-1.59</v>
      </c>
      <c r="BI278">
        <v>0.15</v>
      </c>
      <c r="BJ278">
        <v>20210827</v>
      </c>
      <c r="BK278">
        <v>19970616</v>
      </c>
      <c r="BL278">
        <v>5.96</v>
      </c>
      <c r="BM278" t="s">
        <v>120</v>
      </c>
      <c r="BN278" t="s">
        <v>120</v>
      </c>
      <c r="BO278">
        <v>23.12</v>
      </c>
      <c r="BP278">
        <v>6.82</v>
      </c>
      <c r="BQ278">
        <v>13.3</v>
      </c>
      <c r="BR278">
        <v>-0.06</v>
      </c>
      <c r="BS278">
        <v>42.72</v>
      </c>
      <c r="BT278">
        <v>20.27</v>
      </c>
      <c r="BU278">
        <v>1.34</v>
      </c>
      <c r="BV278">
        <v>0.28999999999999998</v>
      </c>
      <c r="BW278">
        <v>9.65</v>
      </c>
      <c r="BX278">
        <v>4.12</v>
      </c>
      <c r="BY278">
        <v>1.42</v>
      </c>
      <c r="BZ278">
        <v>12.3</v>
      </c>
      <c r="CA278" t="s">
        <v>120</v>
      </c>
      <c r="CB278">
        <v>1.99</v>
      </c>
      <c r="CC278">
        <v>11.04</v>
      </c>
      <c r="CD278">
        <v>6.16</v>
      </c>
      <c r="CE278">
        <v>0.45</v>
      </c>
      <c r="CF278">
        <v>0</v>
      </c>
      <c r="CG278">
        <v>0.45</v>
      </c>
      <c r="CH278">
        <v>0.33</v>
      </c>
      <c r="CI278">
        <v>0.33</v>
      </c>
      <c r="CJ278">
        <v>-0.02</v>
      </c>
      <c r="CK278">
        <v>0.33</v>
      </c>
      <c r="CL278">
        <v>4.82</v>
      </c>
      <c r="CM278">
        <v>-0.3</v>
      </c>
      <c r="CN278">
        <v>-0.62</v>
      </c>
      <c r="CO278">
        <v>37937</v>
      </c>
      <c r="CP278">
        <v>9281</v>
      </c>
      <c r="CQ278" t="s">
        <v>380</v>
      </c>
      <c r="CR278">
        <v>47.61</v>
      </c>
      <c r="CS278">
        <v>33.409999999999997</v>
      </c>
      <c r="CT278">
        <v>3.06</v>
      </c>
      <c r="CU278">
        <v>-133.81</v>
      </c>
      <c r="CV278">
        <v>3.68</v>
      </c>
      <c r="CW278">
        <v>0</v>
      </c>
      <c r="CX278" t="s">
        <v>1958</v>
      </c>
      <c r="CY278">
        <v>2.23</v>
      </c>
      <c r="CZ278">
        <v>0</v>
      </c>
      <c r="DA278">
        <v>0.33</v>
      </c>
      <c r="DB278">
        <v>0.81</v>
      </c>
      <c r="DC278">
        <v>-0.05</v>
      </c>
      <c r="DD278">
        <v>57.52</v>
      </c>
      <c r="DE278" t="s">
        <v>1959</v>
      </c>
      <c r="DF278">
        <v>44.18</v>
      </c>
      <c r="DG278">
        <v>4.03</v>
      </c>
      <c r="DH278">
        <v>2.98</v>
      </c>
      <c r="DI278">
        <v>0.18</v>
      </c>
      <c r="DJ278">
        <v>787</v>
      </c>
      <c r="DK278">
        <v>788</v>
      </c>
      <c r="DL278" t="s">
        <v>120</v>
      </c>
      <c r="DM278" t="s">
        <v>120</v>
      </c>
      <c r="DN278" t="s">
        <v>120</v>
      </c>
    </row>
    <row r="279" spans="1:118">
      <c r="A279" t="str">
        <f>"000789"</f>
        <v>000789</v>
      </c>
      <c r="B279" t="s">
        <v>1960</v>
      </c>
      <c r="C279">
        <v>3.51</v>
      </c>
      <c r="D279">
        <v>0</v>
      </c>
      <c r="E279">
        <v>0.34</v>
      </c>
      <c r="F279">
        <v>4749</v>
      </c>
      <c r="G279" t="s">
        <v>1961</v>
      </c>
      <c r="H279">
        <v>76438.19</v>
      </c>
      <c r="I279">
        <v>143.37</v>
      </c>
      <c r="J279" t="s">
        <v>120</v>
      </c>
      <c r="K279" t="s">
        <v>1962</v>
      </c>
      <c r="L279">
        <v>6.32</v>
      </c>
      <c r="M279">
        <v>15.06</v>
      </c>
      <c r="N279">
        <v>0.89</v>
      </c>
      <c r="O279">
        <v>7.77</v>
      </c>
      <c r="P279">
        <v>15.68</v>
      </c>
      <c r="Q279">
        <v>0.14000000000000001</v>
      </c>
      <c r="R279">
        <v>14.57</v>
      </c>
      <c r="S279">
        <v>14.6</v>
      </c>
      <c r="T279">
        <v>503849</v>
      </c>
      <c r="U279">
        <v>15.06</v>
      </c>
      <c r="V279">
        <v>14.55</v>
      </c>
      <c r="W279">
        <v>7.26</v>
      </c>
      <c r="X279" t="s">
        <v>653</v>
      </c>
      <c r="Y279" t="s">
        <v>676</v>
      </c>
      <c r="Z279">
        <v>7.63</v>
      </c>
      <c r="AA279">
        <v>15.17</v>
      </c>
      <c r="AB279">
        <v>221671</v>
      </c>
      <c r="AC279">
        <v>282178</v>
      </c>
      <c r="AD279">
        <v>0.79</v>
      </c>
      <c r="AE279">
        <v>766</v>
      </c>
      <c r="AF279">
        <v>671</v>
      </c>
      <c r="AG279" t="s">
        <v>120</v>
      </c>
      <c r="AH279">
        <v>0.02</v>
      </c>
      <c r="AI279" t="s">
        <v>120</v>
      </c>
      <c r="AJ279">
        <v>7.97</v>
      </c>
      <c r="AK279" t="s">
        <v>1962</v>
      </c>
      <c r="AL279">
        <v>5.42</v>
      </c>
      <c r="AM279">
        <v>4435</v>
      </c>
      <c r="AN279">
        <v>114</v>
      </c>
      <c r="AO279">
        <v>1.4E-3</v>
      </c>
      <c r="AP279">
        <v>2</v>
      </c>
      <c r="AQ279">
        <v>7.0000000000000007E-2</v>
      </c>
      <c r="AR279">
        <v>3.23</v>
      </c>
      <c r="AS279">
        <v>31.07</v>
      </c>
      <c r="AT279">
        <v>30.28</v>
      </c>
      <c r="AU279">
        <v>19.53</v>
      </c>
      <c r="AV279">
        <v>0</v>
      </c>
      <c r="AW279">
        <v>12.03</v>
      </c>
      <c r="AX279">
        <v>52.52</v>
      </c>
      <c r="AY279">
        <v>7.12</v>
      </c>
      <c r="AZ279">
        <v>7.84</v>
      </c>
      <c r="BA279">
        <v>0.6</v>
      </c>
      <c r="BB279" t="s">
        <v>143</v>
      </c>
      <c r="BF279">
        <v>4.2699999999999996</v>
      </c>
      <c r="BG279">
        <v>3.15</v>
      </c>
      <c r="BH279">
        <v>-3.95</v>
      </c>
      <c r="BI279">
        <v>3.36</v>
      </c>
      <c r="BJ279">
        <v>20210824</v>
      </c>
      <c r="BK279">
        <v>19970923</v>
      </c>
      <c r="BL279">
        <v>7.97</v>
      </c>
      <c r="BM279" t="s">
        <v>120</v>
      </c>
      <c r="BN279" t="s">
        <v>120</v>
      </c>
      <c r="BO279">
        <v>159.1</v>
      </c>
      <c r="BP279">
        <v>15.05</v>
      </c>
      <c r="BQ279">
        <v>66.680000000000007</v>
      </c>
      <c r="BR279">
        <v>30.62</v>
      </c>
      <c r="BS279">
        <v>38.85</v>
      </c>
      <c r="BT279">
        <v>60.23</v>
      </c>
      <c r="BU279">
        <v>55.51</v>
      </c>
      <c r="BV279">
        <v>16.27</v>
      </c>
      <c r="BW279">
        <v>40.43</v>
      </c>
      <c r="BX279">
        <v>34.130000000000003</v>
      </c>
      <c r="BY279">
        <v>10.24</v>
      </c>
      <c r="BZ279">
        <v>8.83</v>
      </c>
      <c r="CA279" t="s">
        <v>120</v>
      </c>
      <c r="CB279">
        <v>0.54</v>
      </c>
      <c r="CC279">
        <v>59.5</v>
      </c>
      <c r="CD279">
        <v>42.64</v>
      </c>
      <c r="CE279">
        <v>14.69</v>
      </c>
      <c r="CF279">
        <v>2.54</v>
      </c>
      <c r="CG279">
        <v>14.66</v>
      </c>
      <c r="CH279">
        <v>11.34</v>
      </c>
      <c r="CI279">
        <v>8.27</v>
      </c>
      <c r="CJ279">
        <v>0.51</v>
      </c>
      <c r="CK279">
        <v>7.47</v>
      </c>
      <c r="CL279">
        <v>47.71</v>
      </c>
      <c r="CM279">
        <v>2.41</v>
      </c>
      <c r="CN279">
        <v>-4.68</v>
      </c>
      <c r="CO279">
        <v>69003</v>
      </c>
      <c r="CP279">
        <v>6070</v>
      </c>
      <c r="CQ279" t="s">
        <v>1963</v>
      </c>
      <c r="CR279">
        <v>21.81</v>
      </c>
      <c r="CS279">
        <v>11.56</v>
      </c>
      <c r="CT279">
        <v>1.84</v>
      </c>
      <c r="CU279">
        <v>49.83</v>
      </c>
      <c r="CV279">
        <v>2.02</v>
      </c>
      <c r="CW279">
        <v>4.8099999999999996</v>
      </c>
      <c r="CX279" t="s">
        <v>1964</v>
      </c>
      <c r="CY279">
        <v>8.17</v>
      </c>
      <c r="CZ279">
        <v>8.17</v>
      </c>
      <c r="DA279">
        <v>7.0000000000000007E-2</v>
      </c>
      <c r="DB279">
        <v>5.98</v>
      </c>
      <c r="DC279">
        <v>0.3</v>
      </c>
      <c r="DD279">
        <v>41.91</v>
      </c>
      <c r="DE279" t="s">
        <v>1965</v>
      </c>
      <c r="DF279">
        <v>28.33</v>
      </c>
      <c r="DG279">
        <v>24.68</v>
      </c>
      <c r="DH279">
        <v>13.91</v>
      </c>
      <c r="DI279">
        <v>0.35</v>
      </c>
      <c r="DJ279">
        <v>6596</v>
      </c>
      <c r="DK279">
        <v>789</v>
      </c>
      <c r="DL279" t="s">
        <v>120</v>
      </c>
      <c r="DM279" t="s">
        <v>120</v>
      </c>
      <c r="DN279" t="s">
        <v>120</v>
      </c>
    </row>
    <row r="280" spans="1:118">
      <c r="A280" t="str">
        <f>"000790"</f>
        <v>000790</v>
      </c>
      <c r="B280" t="s">
        <v>1966</v>
      </c>
      <c r="C280">
        <v>-1.34</v>
      </c>
      <c r="D280">
        <v>0.19</v>
      </c>
      <c r="E280">
        <v>0</v>
      </c>
      <c r="F280">
        <v>516</v>
      </c>
      <c r="G280" t="s">
        <v>1967</v>
      </c>
      <c r="H280">
        <v>4763.07</v>
      </c>
      <c r="I280">
        <v>1.88</v>
      </c>
      <c r="J280" t="s">
        <v>120</v>
      </c>
      <c r="K280" t="s">
        <v>1968</v>
      </c>
      <c r="L280">
        <v>1.48</v>
      </c>
      <c r="M280">
        <v>5.15</v>
      </c>
      <c r="N280">
        <v>1.05</v>
      </c>
      <c r="O280">
        <v>0.96</v>
      </c>
      <c r="P280">
        <v>5.27</v>
      </c>
      <c r="Q280">
        <v>-1.72</v>
      </c>
      <c r="R280">
        <v>5.13</v>
      </c>
      <c r="S280">
        <v>5.22</v>
      </c>
      <c r="T280">
        <v>91441</v>
      </c>
      <c r="U280">
        <v>5.15</v>
      </c>
      <c r="V280">
        <v>5.22</v>
      </c>
      <c r="W280">
        <v>58.41</v>
      </c>
      <c r="X280" t="s">
        <v>771</v>
      </c>
      <c r="Y280" t="s">
        <v>578</v>
      </c>
      <c r="Z280">
        <v>2.68</v>
      </c>
      <c r="AA280">
        <v>5.21</v>
      </c>
      <c r="AB280">
        <v>47935</v>
      </c>
      <c r="AC280">
        <v>43506</v>
      </c>
      <c r="AD280">
        <v>1.1000000000000001</v>
      </c>
      <c r="AE280">
        <v>571</v>
      </c>
      <c r="AF280">
        <v>635</v>
      </c>
      <c r="AG280" t="s">
        <v>120</v>
      </c>
      <c r="AH280">
        <v>0</v>
      </c>
      <c r="AI280" t="s">
        <v>120</v>
      </c>
      <c r="AJ280">
        <v>6.16</v>
      </c>
      <c r="AK280" t="s">
        <v>1968</v>
      </c>
      <c r="AL280">
        <v>0.56999999999999995</v>
      </c>
      <c r="AM280">
        <v>1567</v>
      </c>
      <c r="AN280">
        <v>58</v>
      </c>
      <c r="AO280">
        <v>8.9999999999999998E-4</v>
      </c>
      <c r="AP280">
        <v>-1</v>
      </c>
      <c r="AQ280">
        <v>0.97</v>
      </c>
      <c r="AR280">
        <v>-2.09</v>
      </c>
      <c r="AS280">
        <v>-2.64</v>
      </c>
      <c r="AT280">
        <v>-1.1499999999999999</v>
      </c>
      <c r="AU280">
        <v>17.32</v>
      </c>
      <c r="AV280">
        <v>7</v>
      </c>
      <c r="AW280">
        <v>1.81</v>
      </c>
      <c r="AX280">
        <v>81.92</v>
      </c>
      <c r="AY280">
        <v>76.38</v>
      </c>
      <c r="AZ280">
        <v>85.79</v>
      </c>
      <c r="BA280">
        <v>0.22</v>
      </c>
      <c r="BB280" t="s">
        <v>143</v>
      </c>
      <c r="BF280">
        <v>-0.21</v>
      </c>
      <c r="BG280">
        <v>-1.34</v>
      </c>
      <c r="BH280">
        <v>-2.2799999999999998</v>
      </c>
      <c r="BI280">
        <v>0.39</v>
      </c>
      <c r="BJ280">
        <v>20210830</v>
      </c>
      <c r="BK280">
        <v>19980327</v>
      </c>
      <c r="BL280">
        <v>6.16</v>
      </c>
      <c r="BM280" t="s">
        <v>120</v>
      </c>
      <c r="BN280" t="s">
        <v>120</v>
      </c>
      <c r="BO280">
        <v>11.78</v>
      </c>
      <c r="BP280">
        <v>5.14</v>
      </c>
      <c r="BQ280">
        <v>9.33</v>
      </c>
      <c r="BR280">
        <v>0.02</v>
      </c>
      <c r="BS280">
        <v>20.66</v>
      </c>
      <c r="BT280">
        <v>7.94</v>
      </c>
      <c r="BU280">
        <v>1.65</v>
      </c>
      <c r="BV280">
        <v>0.17</v>
      </c>
      <c r="BW280">
        <v>2.13</v>
      </c>
      <c r="BX280">
        <v>2.58</v>
      </c>
      <c r="BY280">
        <v>0.65</v>
      </c>
      <c r="BZ280">
        <v>2.39</v>
      </c>
      <c r="CA280" t="s">
        <v>120</v>
      </c>
      <c r="CB280">
        <v>0.4</v>
      </c>
      <c r="CC280">
        <v>3.35</v>
      </c>
      <c r="CD280">
        <v>1.56</v>
      </c>
      <c r="CE280">
        <v>0.32</v>
      </c>
      <c r="CF280">
        <v>0.01</v>
      </c>
      <c r="CG280">
        <v>0.32</v>
      </c>
      <c r="CH280">
        <v>0.27</v>
      </c>
      <c r="CI280">
        <v>0.27</v>
      </c>
      <c r="CJ280">
        <v>-7.0000000000000007E-2</v>
      </c>
      <c r="CK280">
        <v>0.32</v>
      </c>
      <c r="CL280">
        <v>1.6</v>
      </c>
      <c r="CM280">
        <v>-0.46</v>
      </c>
      <c r="CN280">
        <v>-1.47</v>
      </c>
      <c r="CO280">
        <v>48841</v>
      </c>
      <c r="CP280">
        <v>10338</v>
      </c>
      <c r="CQ280" t="s">
        <v>1545</v>
      </c>
      <c r="CR280">
        <v>20.48</v>
      </c>
      <c r="CS280">
        <v>7.25</v>
      </c>
      <c r="CT280">
        <v>3.4</v>
      </c>
      <c r="CU280">
        <v>-68.52</v>
      </c>
      <c r="CV280">
        <v>9.48</v>
      </c>
      <c r="CW280">
        <v>0.19</v>
      </c>
      <c r="CX280" t="s">
        <v>520</v>
      </c>
      <c r="CY280">
        <v>1.51</v>
      </c>
      <c r="CZ280">
        <v>0</v>
      </c>
      <c r="DA280">
        <v>0.06</v>
      </c>
      <c r="DB280">
        <v>0.26</v>
      </c>
      <c r="DC280">
        <v>-0.08</v>
      </c>
      <c r="DD280">
        <v>79.2</v>
      </c>
      <c r="DE280" t="s">
        <v>323</v>
      </c>
      <c r="DF280">
        <v>53.57</v>
      </c>
      <c r="DG280">
        <v>9.4499999999999993</v>
      </c>
      <c r="DH280">
        <v>8.11</v>
      </c>
      <c r="DI280">
        <v>0.1</v>
      </c>
      <c r="DJ280">
        <v>707</v>
      </c>
      <c r="DK280">
        <v>790</v>
      </c>
      <c r="DL280" t="s">
        <v>120</v>
      </c>
      <c r="DM280" t="s">
        <v>120</v>
      </c>
      <c r="DN280" t="s">
        <v>120</v>
      </c>
    </row>
    <row r="281" spans="1:118">
      <c r="A281" t="str">
        <f>"000791"</f>
        <v>000791</v>
      </c>
      <c r="B281" t="s">
        <v>1969</v>
      </c>
      <c r="C281">
        <v>-5.2</v>
      </c>
      <c r="D281">
        <v>0</v>
      </c>
      <c r="E281">
        <v>0.81</v>
      </c>
      <c r="F281">
        <v>6025</v>
      </c>
      <c r="G281" t="s">
        <v>1970</v>
      </c>
      <c r="H281">
        <v>35468.42</v>
      </c>
      <c r="I281">
        <v>131.19</v>
      </c>
      <c r="J281" t="s">
        <v>120</v>
      </c>
      <c r="K281" t="s">
        <v>1971</v>
      </c>
      <c r="L281">
        <v>4.37</v>
      </c>
      <c r="M281">
        <v>5.83</v>
      </c>
      <c r="N281">
        <v>0.67</v>
      </c>
      <c r="O281">
        <v>1.79</v>
      </c>
      <c r="P281">
        <v>6.26</v>
      </c>
      <c r="Q281">
        <v>-5.37</v>
      </c>
      <c r="R281">
        <v>5.82</v>
      </c>
      <c r="S281">
        <v>6.2</v>
      </c>
      <c r="T281">
        <v>594455</v>
      </c>
      <c r="U281">
        <v>5.83</v>
      </c>
      <c r="V281">
        <v>6.15</v>
      </c>
      <c r="W281">
        <v>26.94</v>
      </c>
      <c r="X281" t="s">
        <v>1287</v>
      </c>
      <c r="Y281" t="s">
        <v>1082</v>
      </c>
      <c r="Z281">
        <v>7.15</v>
      </c>
      <c r="AA281">
        <v>5.97</v>
      </c>
      <c r="AB281">
        <v>349290</v>
      </c>
      <c r="AC281">
        <v>245165</v>
      </c>
      <c r="AD281">
        <v>1.42</v>
      </c>
      <c r="AE281">
        <v>951</v>
      </c>
      <c r="AF281">
        <v>2048</v>
      </c>
      <c r="AG281" t="s">
        <v>120</v>
      </c>
      <c r="AH281">
        <v>0.04</v>
      </c>
      <c r="AI281" t="s">
        <v>120</v>
      </c>
      <c r="AJ281">
        <v>13.6</v>
      </c>
      <c r="AK281" t="s">
        <v>1971</v>
      </c>
      <c r="AL281">
        <v>-3.29</v>
      </c>
      <c r="AM281">
        <v>3974</v>
      </c>
      <c r="AN281">
        <v>150</v>
      </c>
      <c r="AO281">
        <v>1.1000000000000001E-3</v>
      </c>
      <c r="AP281">
        <v>-1</v>
      </c>
      <c r="AQ281">
        <v>4.95</v>
      </c>
      <c r="AR281">
        <v>-3.48</v>
      </c>
      <c r="AS281">
        <v>31.9</v>
      </c>
      <c r="AT281">
        <v>32.5</v>
      </c>
      <c r="AU281">
        <v>34.64</v>
      </c>
      <c r="AV281">
        <v>8</v>
      </c>
      <c r="AW281">
        <v>11.67</v>
      </c>
      <c r="AX281">
        <v>37.450000000000003</v>
      </c>
      <c r="AY281">
        <v>21.13</v>
      </c>
      <c r="AZ281">
        <v>18.91</v>
      </c>
      <c r="BA281">
        <v>0.25</v>
      </c>
      <c r="BB281" t="s">
        <v>184</v>
      </c>
      <c r="BF281">
        <v>-2.98</v>
      </c>
      <c r="BG281">
        <v>-5.97</v>
      </c>
      <c r="BH281">
        <v>-6.87</v>
      </c>
      <c r="BI281">
        <v>0.17</v>
      </c>
      <c r="BJ281">
        <v>20210902</v>
      </c>
      <c r="BK281">
        <v>19971014</v>
      </c>
      <c r="BL281">
        <v>13.6</v>
      </c>
      <c r="BM281" t="s">
        <v>120</v>
      </c>
      <c r="BN281" t="s">
        <v>120</v>
      </c>
      <c r="BO281">
        <v>182.27</v>
      </c>
      <c r="BP281">
        <v>5.82</v>
      </c>
      <c r="BQ281">
        <v>66.97</v>
      </c>
      <c r="BR281">
        <v>12.44</v>
      </c>
      <c r="BS281">
        <v>56.43</v>
      </c>
      <c r="BT281">
        <v>25.84</v>
      </c>
      <c r="BU281">
        <v>132.34</v>
      </c>
      <c r="BV281">
        <v>2.0299999999999998</v>
      </c>
      <c r="BW281">
        <v>11.44</v>
      </c>
      <c r="BX281">
        <v>8.19</v>
      </c>
      <c r="BY281">
        <v>7.0000000000000007E-2</v>
      </c>
      <c r="BZ281">
        <v>14.45</v>
      </c>
      <c r="CA281">
        <v>0</v>
      </c>
      <c r="CB281">
        <v>35.47</v>
      </c>
      <c r="CC281">
        <v>9.2899999999999991</v>
      </c>
      <c r="CD281">
        <v>5.53</v>
      </c>
      <c r="CE281">
        <v>2.0099999999999998</v>
      </c>
      <c r="CF281">
        <v>0.67</v>
      </c>
      <c r="CG281">
        <v>2.0099999999999998</v>
      </c>
      <c r="CH281">
        <v>1.72</v>
      </c>
      <c r="CI281">
        <v>1.47</v>
      </c>
      <c r="CJ281">
        <v>-0.32</v>
      </c>
      <c r="CK281">
        <v>1.44</v>
      </c>
      <c r="CL281">
        <v>16.059999999999999</v>
      </c>
      <c r="CM281">
        <v>5.69</v>
      </c>
      <c r="CN281">
        <v>-6.29</v>
      </c>
      <c r="CO281">
        <v>48849</v>
      </c>
      <c r="CP281">
        <v>10424</v>
      </c>
      <c r="CQ281" t="s">
        <v>1972</v>
      </c>
      <c r="CR281">
        <v>-23.99</v>
      </c>
      <c r="CS281">
        <v>-1.49</v>
      </c>
      <c r="CT281">
        <v>1.18</v>
      </c>
      <c r="CU281">
        <v>13.92</v>
      </c>
      <c r="CV281">
        <v>8.5399999999999991</v>
      </c>
      <c r="CW281">
        <v>2.11</v>
      </c>
      <c r="CX281" t="s">
        <v>1973</v>
      </c>
      <c r="CY281">
        <v>4.93</v>
      </c>
      <c r="CZ281">
        <v>0</v>
      </c>
      <c r="DA281">
        <v>2.61</v>
      </c>
      <c r="DB281">
        <v>1.18</v>
      </c>
      <c r="DC281">
        <v>0.42</v>
      </c>
      <c r="DD281">
        <v>36.74</v>
      </c>
      <c r="DE281" t="s">
        <v>1974</v>
      </c>
      <c r="DF281">
        <v>40.5</v>
      </c>
      <c r="DG281">
        <v>21.68</v>
      </c>
      <c r="DH281">
        <v>15.84</v>
      </c>
      <c r="DI281" t="s">
        <v>120</v>
      </c>
      <c r="DJ281">
        <v>1935</v>
      </c>
      <c r="DK281">
        <v>791</v>
      </c>
      <c r="DL281">
        <v>20210906</v>
      </c>
      <c r="DM281">
        <v>6.08</v>
      </c>
      <c r="DN281">
        <v>-4.1100000000000003</v>
      </c>
    </row>
    <row r="282" spans="1:118">
      <c r="A282" t="str">
        <f>"000792"</f>
        <v>000792</v>
      </c>
      <c r="B282" t="s">
        <v>1975</v>
      </c>
      <c r="C282">
        <v>-10.01</v>
      </c>
      <c r="D282">
        <v>0</v>
      </c>
      <c r="E282">
        <v>-1.25</v>
      </c>
      <c r="F282">
        <v>7680</v>
      </c>
      <c r="G282" t="s">
        <v>1976</v>
      </c>
      <c r="H282">
        <v>822949.2</v>
      </c>
      <c r="I282">
        <v>4331.24</v>
      </c>
      <c r="J282">
        <v>1646.66</v>
      </c>
      <c r="K282" t="s">
        <v>1977</v>
      </c>
      <c r="L282">
        <v>4.22</v>
      </c>
      <c r="M282">
        <v>34.630000000000003</v>
      </c>
      <c r="N282">
        <v>1.51</v>
      </c>
      <c r="O282">
        <v>-1.25</v>
      </c>
      <c r="P282">
        <v>38</v>
      </c>
      <c r="Q282">
        <v>-10.01</v>
      </c>
      <c r="R282">
        <v>34.630000000000003</v>
      </c>
      <c r="S282">
        <v>38</v>
      </c>
      <c r="T282">
        <v>2288468</v>
      </c>
      <c r="U282">
        <v>34.630000000000003</v>
      </c>
      <c r="V282">
        <v>38.479999999999997</v>
      </c>
      <c r="W282">
        <v>44.49</v>
      </c>
      <c r="X282" t="s">
        <v>868</v>
      </c>
      <c r="Y282" t="s">
        <v>691</v>
      </c>
      <c r="Z282">
        <v>8.76</v>
      </c>
      <c r="AA282">
        <v>35.96</v>
      </c>
      <c r="AB282">
        <v>1215048</v>
      </c>
      <c r="AC282">
        <v>1073420</v>
      </c>
      <c r="AD282">
        <v>1.1299999999999999</v>
      </c>
      <c r="AE282">
        <v>0</v>
      </c>
      <c r="AF282">
        <v>4755</v>
      </c>
      <c r="AG282" t="s">
        <v>120</v>
      </c>
      <c r="AH282">
        <v>0.05</v>
      </c>
      <c r="AI282">
        <v>0</v>
      </c>
      <c r="AJ282">
        <v>54.29</v>
      </c>
      <c r="AK282" t="s">
        <v>1978</v>
      </c>
      <c r="AL282">
        <v>-8.09</v>
      </c>
      <c r="AM282">
        <v>4743</v>
      </c>
      <c r="AN282">
        <v>482</v>
      </c>
      <c r="AO282">
        <v>8.9999999999999998E-4</v>
      </c>
      <c r="AP282">
        <v>-1</v>
      </c>
      <c r="AQ282">
        <v>2.15</v>
      </c>
      <c r="AR282">
        <v>-9.1300000000000008</v>
      </c>
      <c r="AS282">
        <v>-8.2100000000000009</v>
      </c>
      <c r="AT282">
        <v>291.74</v>
      </c>
      <c r="AU282">
        <v>291.74</v>
      </c>
      <c r="AV282">
        <v>2</v>
      </c>
      <c r="AW282">
        <v>9.7799999999999994</v>
      </c>
      <c r="AX282">
        <v>43.05</v>
      </c>
      <c r="AY282">
        <v>75.430000000000007</v>
      </c>
      <c r="AZ282">
        <v>102.5</v>
      </c>
      <c r="BA282">
        <v>6.61</v>
      </c>
      <c r="BB282" t="s">
        <v>168</v>
      </c>
      <c r="BF282">
        <v>-6.55</v>
      </c>
      <c r="BG282">
        <v>-8.8699999999999992</v>
      </c>
      <c r="BH282">
        <v>-8.8699999999999992</v>
      </c>
      <c r="BI282">
        <v>0</v>
      </c>
      <c r="BJ282">
        <v>20210830</v>
      </c>
      <c r="BK282">
        <v>19970904</v>
      </c>
      <c r="BL282">
        <v>54.33</v>
      </c>
      <c r="BM282" t="s">
        <v>120</v>
      </c>
      <c r="BN282" t="s">
        <v>120</v>
      </c>
      <c r="BO282">
        <v>223.76</v>
      </c>
      <c r="BP282" t="s">
        <v>120</v>
      </c>
      <c r="BQ282">
        <v>62.54</v>
      </c>
      <c r="BR282">
        <v>16.399999999999999</v>
      </c>
      <c r="BS282">
        <v>64.72</v>
      </c>
      <c r="BT282">
        <v>96.27</v>
      </c>
      <c r="BU282">
        <v>74.66</v>
      </c>
      <c r="BV282">
        <v>10.63</v>
      </c>
      <c r="BW282">
        <v>48.01</v>
      </c>
      <c r="BX282">
        <v>42.34</v>
      </c>
      <c r="BY282">
        <v>12.87</v>
      </c>
      <c r="BZ282">
        <v>9.44</v>
      </c>
      <c r="CA282">
        <v>0.02</v>
      </c>
      <c r="CB282">
        <v>396.03</v>
      </c>
      <c r="CC282">
        <v>61.62</v>
      </c>
      <c r="CD282">
        <v>25.81</v>
      </c>
      <c r="CE282">
        <v>27.22</v>
      </c>
      <c r="CF282">
        <v>0.03</v>
      </c>
      <c r="CG282">
        <v>27.28</v>
      </c>
      <c r="CH282">
        <v>23</v>
      </c>
      <c r="CI282">
        <v>21.14</v>
      </c>
      <c r="CJ282">
        <v>-3.85</v>
      </c>
      <c r="CK282">
        <v>21.02</v>
      </c>
      <c r="CL282">
        <v>-409.13</v>
      </c>
      <c r="CM282">
        <v>27.08</v>
      </c>
      <c r="CN282">
        <v>21.08</v>
      </c>
      <c r="CO282">
        <v>59163</v>
      </c>
      <c r="CP282">
        <v>39531</v>
      </c>
      <c r="CQ282" t="s">
        <v>1979</v>
      </c>
      <c r="CR282">
        <v>52.97</v>
      </c>
      <c r="CS282">
        <v>-36</v>
      </c>
      <c r="CT282">
        <v>30.08</v>
      </c>
      <c r="CU282">
        <v>69.489999999999995</v>
      </c>
      <c r="CV282">
        <v>30.53</v>
      </c>
      <c r="CW282">
        <v>0</v>
      </c>
      <c r="CX282" t="s">
        <v>1980</v>
      </c>
      <c r="CY282">
        <v>1.1499999999999999</v>
      </c>
      <c r="CZ282">
        <v>0</v>
      </c>
      <c r="DA282">
        <v>7.29</v>
      </c>
      <c r="DB282">
        <v>-7.53</v>
      </c>
      <c r="DC282">
        <v>0.5</v>
      </c>
      <c r="DD282">
        <v>27.95</v>
      </c>
      <c r="DE282" t="s">
        <v>1981</v>
      </c>
      <c r="DF282">
        <v>58.12</v>
      </c>
      <c r="DG282">
        <v>44.17</v>
      </c>
      <c r="DH282">
        <v>34.31</v>
      </c>
      <c r="DI282">
        <v>0.24</v>
      </c>
      <c r="DJ282">
        <v>6337</v>
      </c>
      <c r="DK282">
        <v>792</v>
      </c>
      <c r="DL282">
        <v>20210914</v>
      </c>
      <c r="DM282">
        <v>38.28</v>
      </c>
      <c r="DN282">
        <v>-9.5299999999999994</v>
      </c>
    </row>
    <row r="283" spans="1:118">
      <c r="A283" t="str">
        <f>"000793"</f>
        <v>000793</v>
      </c>
      <c r="B283" t="s">
        <v>1982</v>
      </c>
      <c r="C283">
        <v>-1.54</v>
      </c>
      <c r="D283">
        <v>0</v>
      </c>
      <c r="E283">
        <v>0</v>
      </c>
      <c r="F283">
        <v>6383</v>
      </c>
      <c r="G283" t="s">
        <v>1983</v>
      </c>
      <c r="H283">
        <v>9938</v>
      </c>
      <c r="I283">
        <v>25.27</v>
      </c>
      <c r="J283" t="s">
        <v>120</v>
      </c>
      <c r="K283" t="s">
        <v>1984</v>
      </c>
      <c r="L283">
        <v>1.95</v>
      </c>
      <c r="M283">
        <v>2.56</v>
      </c>
      <c r="N283">
        <v>0.63</v>
      </c>
      <c r="O283">
        <v>1.92</v>
      </c>
      <c r="P283">
        <v>2.65</v>
      </c>
      <c r="Q283">
        <v>-1.54</v>
      </c>
      <c r="R283">
        <v>2.56</v>
      </c>
      <c r="S283">
        <v>2.6</v>
      </c>
      <c r="T283">
        <v>381997</v>
      </c>
      <c r="U283">
        <v>2.57</v>
      </c>
      <c r="V283">
        <v>2.6</v>
      </c>
      <c r="W283" t="s">
        <v>120</v>
      </c>
      <c r="X283" t="s">
        <v>1730</v>
      </c>
      <c r="Y283" t="s">
        <v>835</v>
      </c>
      <c r="Z283">
        <v>3.46</v>
      </c>
      <c r="AA283">
        <v>2.6</v>
      </c>
      <c r="AB283">
        <v>211294</v>
      </c>
      <c r="AC283">
        <v>170703</v>
      </c>
      <c r="AD283">
        <v>1.24</v>
      </c>
      <c r="AE283">
        <v>2769</v>
      </c>
      <c r="AF283">
        <v>2719</v>
      </c>
      <c r="AG283" t="s">
        <v>120</v>
      </c>
      <c r="AH283">
        <v>0.01</v>
      </c>
      <c r="AI283" t="s">
        <v>120</v>
      </c>
      <c r="AJ283">
        <v>19.61</v>
      </c>
      <c r="AK283" t="s">
        <v>1985</v>
      </c>
      <c r="AL283">
        <v>0.38</v>
      </c>
      <c r="AM283">
        <v>2508</v>
      </c>
      <c r="AN283">
        <v>152</v>
      </c>
      <c r="AO283">
        <v>8.0000000000000004E-4</v>
      </c>
      <c r="AP283">
        <v>-1</v>
      </c>
      <c r="AQ283">
        <v>0.39</v>
      </c>
      <c r="AR283">
        <v>-4.12</v>
      </c>
      <c r="AS283">
        <v>7.12</v>
      </c>
      <c r="AT283">
        <v>-10.17</v>
      </c>
      <c r="AU283">
        <v>0.39</v>
      </c>
      <c r="AV283">
        <v>12</v>
      </c>
      <c r="AW283">
        <v>2.57</v>
      </c>
      <c r="AX283">
        <v>74.319999999999993</v>
      </c>
      <c r="AY283" t="s">
        <v>120</v>
      </c>
      <c r="AZ283" t="s">
        <v>120</v>
      </c>
      <c r="BA283">
        <v>0.2</v>
      </c>
      <c r="BB283" t="s">
        <v>143</v>
      </c>
      <c r="BF283">
        <v>0.06</v>
      </c>
      <c r="BG283">
        <v>-1.54</v>
      </c>
      <c r="BH283">
        <v>-3.4</v>
      </c>
      <c r="BI283">
        <v>0</v>
      </c>
      <c r="BJ283">
        <v>20210913</v>
      </c>
      <c r="BK283">
        <v>19970729</v>
      </c>
      <c r="BL283">
        <v>19.97</v>
      </c>
      <c r="BM283" t="s">
        <v>120</v>
      </c>
      <c r="BN283" t="s">
        <v>120</v>
      </c>
      <c r="BO283">
        <v>75.36</v>
      </c>
      <c r="BP283">
        <v>2.56</v>
      </c>
      <c r="BQ283">
        <v>27.43</v>
      </c>
      <c r="BR283">
        <v>5.66</v>
      </c>
      <c r="BS283">
        <v>56.08</v>
      </c>
      <c r="BT283">
        <v>30.3</v>
      </c>
      <c r="BU283">
        <v>2.8</v>
      </c>
      <c r="BV283">
        <v>1.21</v>
      </c>
      <c r="BW283">
        <v>18.62</v>
      </c>
      <c r="BX283">
        <v>7.5</v>
      </c>
      <c r="BY283">
        <v>2.5</v>
      </c>
      <c r="BZ283">
        <v>6.72</v>
      </c>
      <c r="CA283">
        <v>0.09</v>
      </c>
      <c r="CB283">
        <v>37.369999999999997</v>
      </c>
      <c r="CC283">
        <v>5.44</v>
      </c>
      <c r="CD283">
        <v>4.0199999999999996</v>
      </c>
      <c r="CE283">
        <v>-0.48</v>
      </c>
      <c r="CF283">
        <v>0.66</v>
      </c>
      <c r="CG283">
        <v>-0.42</v>
      </c>
      <c r="CH283">
        <v>-0.55000000000000004</v>
      </c>
      <c r="CI283">
        <v>-0.78</v>
      </c>
      <c r="CJ283">
        <v>-0.04</v>
      </c>
      <c r="CK283">
        <v>-1.31</v>
      </c>
      <c r="CL283">
        <v>-33.9</v>
      </c>
      <c r="CM283">
        <v>0.2</v>
      </c>
      <c r="CN283">
        <v>0.92</v>
      </c>
      <c r="CO283">
        <v>98896</v>
      </c>
      <c r="CP283">
        <v>15010</v>
      </c>
      <c r="CQ283" t="s">
        <v>1986</v>
      </c>
      <c r="CR283">
        <v>51.93</v>
      </c>
      <c r="CS283">
        <v>-64.989999999999995</v>
      </c>
      <c r="CT283">
        <v>1.86</v>
      </c>
      <c r="CU283">
        <v>261.83</v>
      </c>
      <c r="CV283">
        <v>9.4</v>
      </c>
      <c r="CW283">
        <v>0</v>
      </c>
      <c r="CX283" t="s">
        <v>1118</v>
      </c>
      <c r="CY283">
        <v>1.37</v>
      </c>
      <c r="CZ283">
        <v>0</v>
      </c>
      <c r="DA283">
        <v>1.87</v>
      </c>
      <c r="DB283">
        <v>-1.7</v>
      </c>
      <c r="DC283">
        <v>0.01</v>
      </c>
      <c r="DD283">
        <v>36.409999999999997</v>
      </c>
      <c r="DE283" t="s">
        <v>1987</v>
      </c>
      <c r="DF283">
        <v>26.15</v>
      </c>
      <c r="DG283">
        <v>-8.8699999999999992</v>
      </c>
      <c r="DH283">
        <v>-14.26</v>
      </c>
      <c r="DI283">
        <v>0.22</v>
      </c>
      <c r="DJ283">
        <v>652</v>
      </c>
      <c r="DK283">
        <v>793</v>
      </c>
      <c r="DL283" t="s">
        <v>120</v>
      </c>
      <c r="DM283" t="s">
        <v>120</v>
      </c>
      <c r="DN283" t="s">
        <v>120</v>
      </c>
    </row>
    <row r="284" spans="1:118">
      <c r="A284" t="str">
        <f>"000795"</f>
        <v>000795</v>
      </c>
      <c r="B284" t="s">
        <v>1988</v>
      </c>
      <c r="C284">
        <v>-3.72</v>
      </c>
      <c r="D284">
        <v>0</v>
      </c>
      <c r="E284">
        <v>0.31</v>
      </c>
      <c r="F284">
        <v>4362</v>
      </c>
      <c r="G284" t="s">
        <v>1989</v>
      </c>
      <c r="H284">
        <v>36912.199999999997</v>
      </c>
      <c r="I284">
        <v>75.83</v>
      </c>
      <c r="J284" t="s">
        <v>120</v>
      </c>
      <c r="K284" t="s">
        <v>1990</v>
      </c>
      <c r="L284">
        <v>5.12</v>
      </c>
      <c r="M284">
        <v>6.21</v>
      </c>
      <c r="N284">
        <v>1.19</v>
      </c>
      <c r="O284">
        <v>3.26</v>
      </c>
      <c r="P284">
        <v>6.66</v>
      </c>
      <c r="Q284">
        <v>-4.34</v>
      </c>
      <c r="R284">
        <v>6.17</v>
      </c>
      <c r="S284">
        <v>6.47</v>
      </c>
      <c r="T284">
        <v>579191</v>
      </c>
      <c r="U284">
        <v>6.21</v>
      </c>
      <c r="V284">
        <v>6.45</v>
      </c>
      <c r="W284">
        <v>40.299999999999997</v>
      </c>
      <c r="X284" t="s">
        <v>1991</v>
      </c>
      <c r="Y284" t="s">
        <v>667</v>
      </c>
      <c r="Z284">
        <v>7.6</v>
      </c>
      <c r="AA284">
        <v>6.37</v>
      </c>
      <c r="AB284">
        <v>327977</v>
      </c>
      <c r="AC284">
        <v>251214</v>
      </c>
      <c r="AD284">
        <v>1.31</v>
      </c>
      <c r="AE284">
        <v>1156</v>
      </c>
      <c r="AF284">
        <v>1682</v>
      </c>
      <c r="AG284" t="s">
        <v>120</v>
      </c>
      <c r="AH284">
        <v>0.02</v>
      </c>
      <c r="AI284" t="s">
        <v>120</v>
      </c>
      <c r="AJ284">
        <v>11.31</v>
      </c>
      <c r="AK284" t="s">
        <v>1992</v>
      </c>
      <c r="AL284">
        <v>-1.81</v>
      </c>
      <c r="AM284">
        <v>3833</v>
      </c>
      <c r="AN284">
        <v>151</v>
      </c>
      <c r="AO284">
        <v>1.2999999999999999E-3</v>
      </c>
      <c r="AP284">
        <v>-1</v>
      </c>
      <c r="AQ284">
        <v>0.78</v>
      </c>
      <c r="AR284">
        <v>-1.1200000000000001</v>
      </c>
      <c r="AS284">
        <v>6.89</v>
      </c>
      <c r="AT284">
        <v>22.25</v>
      </c>
      <c r="AU284">
        <v>13.53</v>
      </c>
      <c r="AV284">
        <v>1</v>
      </c>
      <c r="AW284">
        <v>10.19</v>
      </c>
      <c r="AX284">
        <v>50.16</v>
      </c>
      <c r="AY284">
        <v>61.54</v>
      </c>
      <c r="AZ284">
        <v>71.61</v>
      </c>
      <c r="BA284">
        <v>0.44</v>
      </c>
      <c r="BB284" t="s">
        <v>751</v>
      </c>
      <c r="BF284">
        <v>-1.19</v>
      </c>
      <c r="BG284">
        <v>-4.0199999999999996</v>
      </c>
      <c r="BH284">
        <v>-6.76</v>
      </c>
      <c r="BI284">
        <v>0.65</v>
      </c>
      <c r="BJ284">
        <v>20210821</v>
      </c>
      <c r="BK284">
        <v>19970808</v>
      </c>
      <c r="BL284">
        <v>11.34</v>
      </c>
      <c r="BM284" t="s">
        <v>120</v>
      </c>
      <c r="BN284" t="s">
        <v>120</v>
      </c>
      <c r="BO284">
        <v>42.87</v>
      </c>
      <c r="BP284">
        <v>6.2</v>
      </c>
      <c r="BQ284">
        <v>24.27</v>
      </c>
      <c r="BR284">
        <v>0.82</v>
      </c>
      <c r="BS284">
        <v>41.46</v>
      </c>
      <c r="BT284">
        <v>32.590000000000003</v>
      </c>
      <c r="BU284">
        <v>6.92</v>
      </c>
      <c r="BV284">
        <v>1.34</v>
      </c>
      <c r="BW284">
        <v>17.100000000000001</v>
      </c>
      <c r="BX284">
        <v>7.76</v>
      </c>
      <c r="BY284">
        <v>9.27</v>
      </c>
      <c r="BZ284">
        <v>9.44</v>
      </c>
      <c r="CA284" t="s">
        <v>120</v>
      </c>
      <c r="CB284">
        <v>9.92</v>
      </c>
      <c r="CC284">
        <v>16.309999999999999</v>
      </c>
      <c r="CD284">
        <v>13.36</v>
      </c>
      <c r="CE284">
        <v>0.91</v>
      </c>
      <c r="CF284">
        <v>0.11</v>
      </c>
      <c r="CG284">
        <v>0.91</v>
      </c>
      <c r="CH284">
        <v>0.83</v>
      </c>
      <c r="CI284">
        <v>0.87</v>
      </c>
      <c r="CJ284">
        <v>-0.24</v>
      </c>
      <c r="CK284">
        <v>0.78</v>
      </c>
      <c r="CL284">
        <v>2.5299999999999998</v>
      </c>
      <c r="CM284">
        <v>0.2</v>
      </c>
      <c r="CN284">
        <v>-0.04</v>
      </c>
      <c r="CO284">
        <v>84228</v>
      </c>
      <c r="CP284">
        <v>6751</v>
      </c>
      <c r="CQ284" t="s">
        <v>1993</v>
      </c>
      <c r="CR284">
        <v>23.63</v>
      </c>
      <c r="CS284">
        <v>52.12</v>
      </c>
      <c r="CT284">
        <v>2.9</v>
      </c>
      <c r="CU284">
        <v>344.07</v>
      </c>
      <c r="CV284">
        <v>4.32</v>
      </c>
      <c r="CW284">
        <v>0</v>
      </c>
      <c r="CX284" t="s">
        <v>535</v>
      </c>
      <c r="CY284">
        <v>2.14</v>
      </c>
      <c r="CZ284">
        <v>0</v>
      </c>
      <c r="DA284">
        <v>0.88</v>
      </c>
      <c r="DB284">
        <v>0.22</v>
      </c>
      <c r="DC284">
        <v>0.02</v>
      </c>
      <c r="DD284">
        <v>56.63</v>
      </c>
      <c r="DE284" t="s">
        <v>1060</v>
      </c>
      <c r="DF284">
        <v>18.079999999999998</v>
      </c>
      <c r="DG284">
        <v>5.55</v>
      </c>
      <c r="DH284">
        <v>5.35</v>
      </c>
      <c r="DI284">
        <v>0.84</v>
      </c>
      <c r="DJ284">
        <v>3910</v>
      </c>
      <c r="DK284">
        <v>795</v>
      </c>
      <c r="DL284" t="s">
        <v>120</v>
      </c>
      <c r="DM284" t="s">
        <v>120</v>
      </c>
      <c r="DN284" t="s">
        <v>120</v>
      </c>
    </row>
    <row r="285" spans="1:118">
      <c r="A285" t="str">
        <f>"000796"</f>
        <v>000796</v>
      </c>
      <c r="B285" t="s">
        <v>1994</v>
      </c>
      <c r="C285">
        <v>1.33</v>
      </c>
      <c r="D285">
        <v>0.53</v>
      </c>
      <c r="E285">
        <v>-1.07</v>
      </c>
      <c r="F285">
        <v>1240</v>
      </c>
      <c r="G285" t="s">
        <v>1995</v>
      </c>
      <c r="H285">
        <v>4853</v>
      </c>
      <c r="I285">
        <v>38.44</v>
      </c>
      <c r="J285" t="s">
        <v>120</v>
      </c>
      <c r="K285" t="s">
        <v>1996</v>
      </c>
      <c r="L285">
        <v>0.8</v>
      </c>
      <c r="M285">
        <v>7.6</v>
      </c>
      <c r="N285">
        <v>0.54</v>
      </c>
      <c r="O285">
        <v>2.4</v>
      </c>
      <c r="P285">
        <v>7.68</v>
      </c>
      <c r="Q285">
        <v>-1.07</v>
      </c>
      <c r="R285">
        <v>7.42</v>
      </c>
      <c r="S285">
        <v>7.42</v>
      </c>
      <c r="T285">
        <v>64088</v>
      </c>
      <c r="U285">
        <v>7.6</v>
      </c>
      <c r="V285">
        <v>7.5</v>
      </c>
      <c r="W285" t="s">
        <v>120</v>
      </c>
      <c r="X285" t="s">
        <v>1317</v>
      </c>
      <c r="Y285" t="s">
        <v>835</v>
      </c>
      <c r="Z285">
        <v>3.47</v>
      </c>
      <c r="AA285">
        <v>7.57</v>
      </c>
      <c r="AB285">
        <v>32737</v>
      </c>
      <c r="AC285">
        <v>31351</v>
      </c>
      <c r="AD285">
        <v>1.04</v>
      </c>
      <c r="AE285">
        <v>298</v>
      </c>
      <c r="AF285">
        <v>774</v>
      </c>
      <c r="AG285" t="s">
        <v>120</v>
      </c>
      <c r="AH285">
        <v>0.01</v>
      </c>
      <c r="AI285" t="s">
        <v>120</v>
      </c>
      <c r="AJ285">
        <v>8.0299999999999994</v>
      </c>
      <c r="AK285" t="s">
        <v>1997</v>
      </c>
      <c r="AL285">
        <v>3.25</v>
      </c>
      <c r="AM285">
        <v>1667</v>
      </c>
      <c r="AN285">
        <v>38</v>
      </c>
      <c r="AO285">
        <v>5.0000000000000001E-4</v>
      </c>
      <c r="AP285">
        <v>1</v>
      </c>
      <c r="AQ285">
        <v>-0.66</v>
      </c>
      <c r="AR285">
        <v>-0.65</v>
      </c>
      <c r="AS285">
        <v>7.8</v>
      </c>
      <c r="AT285">
        <v>-12.74</v>
      </c>
      <c r="AU285">
        <v>-43.11</v>
      </c>
      <c r="AV285">
        <v>4</v>
      </c>
      <c r="AW285">
        <v>1.78</v>
      </c>
      <c r="AX285">
        <v>44.87</v>
      </c>
      <c r="AY285" t="s">
        <v>120</v>
      </c>
      <c r="AZ285" t="s">
        <v>120</v>
      </c>
      <c r="BA285">
        <v>0.67</v>
      </c>
      <c r="BB285" t="s">
        <v>240</v>
      </c>
      <c r="BF285">
        <v>0.97</v>
      </c>
      <c r="BG285">
        <v>2.4300000000000002</v>
      </c>
      <c r="BH285">
        <v>-1.04</v>
      </c>
      <c r="BI285">
        <v>2.4300000000000002</v>
      </c>
      <c r="BJ285">
        <v>20210827</v>
      </c>
      <c r="BK285">
        <v>19970703</v>
      </c>
      <c r="BL285">
        <v>8.0299999999999994</v>
      </c>
      <c r="BM285" t="s">
        <v>120</v>
      </c>
      <c r="BN285" t="s">
        <v>120</v>
      </c>
      <c r="BO285">
        <v>42.62</v>
      </c>
      <c r="BP285">
        <v>7.59</v>
      </c>
      <c r="BQ285">
        <v>7.71</v>
      </c>
      <c r="BR285">
        <v>3.54</v>
      </c>
      <c r="BS285">
        <v>73.599999999999994</v>
      </c>
      <c r="BT285">
        <v>20.190000000000001</v>
      </c>
      <c r="BU285">
        <v>2.6</v>
      </c>
      <c r="BV285">
        <v>1.01</v>
      </c>
      <c r="BW285">
        <v>23.1</v>
      </c>
      <c r="BX285">
        <v>3.71</v>
      </c>
      <c r="BY285">
        <v>0.52</v>
      </c>
      <c r="BZ285">
        <v>6.41</v>
      </c>
      <c r="CA285" t="s">
        <v>120</v>
      </c>
      <c r="CB285">
        <v>6.39</v>
      </c>
      <c r="CC285">
        <v>5.75</v>
      </c>
      <c r="CD285">
        <v>4.54</v>
      </c>
      <c r="CE285">
        <v>-1.87</v>
      </c>
      <c r="CF285">
        <v>0.17</v>
      </c>
      <c r="CG285">
        <v>-1.74</v>
      </c>
      <c r="CH285">
        <v>-1.68</v>
      </c>
      <c r="CI285">
        <v>-1.69</v>
      </c>
      <c r="CJ285">
        <v>0.1</v>
      </c>
      <c r="CK285">
        <v>-2.13</v>
      </c>
      <c r="CL285">
        <v>0.2</v>
      </c>
      <c r="CM285">
        <v>-0.45</v>
      </c>
      <c r="CN285">
        <v>-3.31</v>
      </c>
      <c r="CO285">
        <v>63636</v>
      </c>
      <c r="CP285">
        <v>5662</v>
      </c>
      <c r="CQ285" t="s">
        <v>160</v>
      </c>
      <c r="CR285">
        <v>-43.74</v>
      </c>
      <c r="CS285">
        <v>-35.33</v>
      </c>
      <c r="CT285">
        <v>7.92</v>
      </c>
      <c r="CU285">
        <v>-135.88999999999999</v>
      </c>
      <c r="CV285">
        <v>10.61</v>
      </c>
      <c r="CW285">
        <v>0</v>
      </c>
      <c r="CX285" t="s">
        <v>313</v>
      </c>
      <c r="CY285">
        <v>0.96</v>
      </c>
      <c r="CZ285">
        <v>0</v>
      </c>
      <c r="DA285">
        <v>0.8</v>
      </c>
      <c r="DB285">
        <v>0.02</v>
      </c>
      <c r="DC285">
        <v>-0.06</v>
      </c>
      <c r="DD285">
        <v>18.09</v>
      </c>
      <c r="DE285" t="s">
        <v>1998</v>
      </c>
      <c r="DF285">
        <v>21.04</v>
      </c>
      <c r="DG285">
        <v>-32.47</v>
      </c>
      <c r="DH285">
        <v>-29.43</v>
      </c>
      <c r="DI285">
        <v>7.0000000000000007E-2</v>
      </c>
      <c r="DJ285">
        <v>4270</v>
      </c>
      <c r="DK285">
        <v>796</v>
      </c>
      <c r="DL285" t="s">
        <v>120</v>
      </c>
      <c r="DM285" t="s">
        <v>120</v>
      </c>
      <c r="DN285" t="s">
        <v>120</v>
      </c>
    </row>
    <row r="286" spans="1:118">
      <c r="A286" t="str">
        <f>"000797"</f>
        <v>000797</v>
      </c>
      <c r="B286" t="s">
        <v>1999</v>
      </c>
      <c r="C286">
        <v>-1.02</v>
      </c>
      <c r="D286">
        <v>0.34</v>
      </c>
      <c r="E286">
        <v>0.34</v>
      </c>
      <c r="F286">
        <v>1018</v>
      </c>
      <c r="G286" t="s">
        <v>2000</v>
      </c>
      <c r="H286">
        <v>4685.3</v>
      </c>
      <c r="I286">
        <v>4.6900000000000004</v>
      </c>
      <c r="J286" t="s">
        <v>120</v>
      </c>
      <c r="K286" t="s">
        <v>2001</v>
      </c>
      <c r="L286">
        <v>1.01</v>
      </c>
      <c r="M286">
        <v>2.91</v>
      </c>
      <c r="N286">
        <v>1.45</v>
      </c>
      <c r="O286">
        <v>3.06</v>
      </c>
      <c r="P286">
        <v>3.03</v>
      </c>
      <c r="Q286">
        <v>-1.36</v>
      </c>
      <c r="R286">
        <v>2.9</v>
      </c>
      <c r="S286">
        <v>2.95</v>
      </c>
      <c r="T286">
        <v>158329</v>
      </c>
      <c r="U286">
        <v>2.91</v>
      </c>
      <c r="V286">
        <v>2.94</v>
      </c>
      <c r="W286">
        <v>70.56</v>
      </c>
      <c r="X286" t="s">
        <v>132</v>
      </c>
      <c r="Y286" t="s">
        <v>937</v>
      </c>
      <c r="Z286">
        <v>4.42</v>
      </c>
      <c r="AA286">
        <v>2.96</v>
      </c>
      <c r="AB286">
        <v>85068</v>
      </c>
      <c r="AC286">
        <v>73261</v>
      </c>
      <c r="AD286">
        <v>1.1599999999999999</v>
      </c>
      <c r="AE286">
        <v>1407</v>
      </c>
      <c r="AF286">
        <v>1107</v>
      </c>
      <c r="AG286" t="s">
        <v>120</v>
      </c>
      <c r="AH286">
        <v>0</v>
      </c>
      <c r="AI286" t="s">
        <v>120</v>
      </c>
      <c r="AJ286">
        <v>15.66</v>
      </c>
      <c r="AK286" t="s">
        <v>2002</v>
      </c>
      <c r="AL286">
        <v>0.89</v>
      </c>
      <c r="AM286">
        <v>1409</v>
      </c>
      <c r="AN286">
        <v>112</v>
      </c>
      <c r="AO286">
        <v>6.9999999999999999E-4</v>
      </c>
      <c r="AP286">
        <v>-1</v>
      </c>
      <c r="AQ286">
        <v>0</v>
      </c>
      <c r="AR286">
        <v>-4.28</v>
      </c>
      <c r="AS286">
        <v>3.93</v>
      </c>
      <c r="AT286">
        <v>-3.96</v>
      </c>
      <c r="AU286">
        <v>-6.43</v>
      </c>
      <c r="AV286">
        <v>1</v>
      </c>
      <c r="AW286">
        <v>2.2200000000000002</v>
      </c>
      <c r="AX286">
        <v>45.45</v>
      </c>
      <c r="AY286">
        <v>12.3</v>
      </c>
      <c r="AZ286">
        <v>16.12</v>
      </c>
      <c r="BA286">
        <v>0.2</v>
      </c>
      <c r="BB286" t="s">
        <v>143</v>
      </c>
      <c r="BF286">
        <v>0.65</v>
      </c>
      <c r="BG286">
        <v>-1.36</v>
      </c>
      <c r="BH286">
        <v>-3.96</v>
      </c>
      <c r="BI286">
        <v>0.34</v>
      </c>
      <c r="BJ286">
        <v>20210826</v>
      </c>
      <c r="BK286">
        <v>19970715</v>
      </c>
      <c r="BL286">
        <v>15.71</v>
      </c>
      <c r="BM286" t="s">
        <v>120</v>
      </c>
      <c r="BN286" t="s">
        <v>120</v>
      </c>
      <c r="BO286">
        <v>236.57</v>
      </c>
      <c r="BP286">
        <v>2.9</v>
      </c>
      <c r="BQ286">
        <v>52.87</v>
      </c>
      <c r="BR286">
        <v>5.97</v>
      </c>
      <c r="BS286">
        <v>75.13</v>
      </c>
      <c r="BT286">
        <v>218.75</v>
      </c>
      <c r="BU286">
        <v>6.63</v>
      </c>
      <c r="BV286">
        <v>1.41</v>
      </c>
      <c r="BW286">
        <v>137.63</v>
      </c>
      <c r="BX286">
        <v>26.92</v>
      </c>
      <c r="BY286">
        <v>150.02000000000001</v>
      </c>
      <c r="BZ286">
        <v>10.94</v>
      </c>
      <c r="CA286">
        <v>0.1</v>
      </c>
      <c r="CB286">
        <v>22.36</v>
      </c>
      <c r="CC286">
        <v>28.64</v>
      </c>
      <c r="CD286">
        <v>21.97</v>
      </c>
      <c r="CE286">
        <v>1.68</v>
      </c>
      <c r="CF286">
        <v>0.7</v>
      </c>
      <c r="CG286">
        <v>1.57</v>
      </c>
      <c r="CH286">
        <v>0.86</v>
      </c>
      <c r="CI286">
        <v>0.32</v>
      </c>
      <c r="CJ286">
        <v>-0.03</v>
      </c>
      <c r="CK286">
        <v>0.18</v>
      </c>
      <c r="CL286">
        <v>12.65</v>
      </c>
      <c r="CM286">
        <v>-0.77</v>
      </c>
      <c r="CN286">
        <v>-3.45</v>
      </c>
      <c r="CO286">
        <v>28357</v>
      </c>
      <c r="CP286">
        <v>25181</v>
      </c>
      <c r="CQ286" t="s">
        <v>2003</v>
      </c>
      <c r="CR286">
        <v>157.22</v>
      </c>
      <c r="CS286">
        <v>193.8</v>
      </c>
      <c r="CT286">
        <v>0.86</v>
      </c>
      <c r="CU286">
        <v>-59.16</v>
      </c>
      <c r="CV286">
        <v>1.6</v>
      </c>
      <c r="CW286">
        <v>2.04</v>
      </c>
      <c r="CX286" t="s">
        <v>499</v>
      </c>
      <c r="CY286">
        <v>3.37</v>
      </c>
      <c r="CZ286">
        <v>0</v>
      </c>
      <c r="DA286">
        <v>1.42</v>
      </c>
      <c r="DB286">
        <v>0.81</v>
      </c>
      <c r="DC286">
        <v>-0.05</v>
      </c>
      <c r="DD286">
        <v>22.35</v>
      </c>
      <c r="DE286" t="s">
        <v>2004</v>
      </c>
      <c r="DF286">
        <v>23.3</v>
      </c>
      <c r="DG286">
        <v>5.88</v>
      </c>
      <c r="DH286">
        <v>1.1299999999999999</v>
      </c>
      <c r="DI286">
        <v>0</v>
      </c>
      <c r="DJ286">
        <v>6017</v>
      </c>
      <c r="DK286">
        <v>797</v>
      </c>
      <c r="DL286" t="s">
        <v>120</v>
      </c>
      <c r="DM286" t="s">
        <v>120</v>
      </c>
      <c r="DN286" t="s">
        <v>120</v>
      </c>
    </row>
    <row r="287" spans="1:118">
      <c r="A287" t="str">
        <f>"000798"</f>
        <v>000798</v>
      </c>
      <c r="B287" t="s">
        <v>2005</v>
      </c>
      <c r="C287">
        <v>5.0599999999999996</v>
      </c>
      <c r="D287">
        <v>0</v>
      </c>
      <c r="E287">
        <v>0</v>
      </c>
      <c r="F287">
        <v>3244</v>
      </c>
      <c r="G287" t="s">
        <v>2006</v>
      </c>
      <c r="H287">
        <v>15768.46</v>
      </c>
      <c r="I287">
        <v>25.64</v>
      </c>
      <c r="J287" t="s">
        <v>120</v>
      </c>
      <c r="K287" t="s">
        <v>2007</v>
      </c>
      <c r="L287">
        <v>6.14</v>
      </c>
      <c r="M287">
        <v>8.09</v>
      </c>
      <c r="N287">
        <v>3.46</v>
      </c>
      <c r="O287">
        <v>5.97</v>
      </c>
      <c r="P287">
        <v>8.16</v>
      </c>
      <c r="Q287">
        <v>-0.52</v>
      </c>
      <c r="R287">
        <v>7.66</v>
      </c>
      <c r="S287">
        <v>7.7</v>
      </c>
      <c r="T287">
        <v>195986</v>
      </c>
      <c r="U287">
        <v>8.09</v>
      </c>
      <c r="V287">
        <v>7.7</v>
      </c>
      <c r="W287">
        <v>292.45</v>
      </c>
      <c r="X287" t="s">
        <v>2008</v>
      </c>
      <c r="Y287" t="s">
        <v>158</v>
      </c>
      <c r="Z287">
        <v>6.49</v>
      </c>
      <c r="AA287">
        <v>8.0500000000000007</v>
      </c>
      <c r="AB287">
        <v>73137</v>
      </c>
      <c r="AC287">
        <v>122849</v>
      </c>
      <c r="AD287">
        <v>0.6</v>
      </c>
      <c r="AE287">
        <v>619</v>
      </c>
      <c r="AF287">
        <v>1421</v>
      </c>
      <c r="AG287" t="s">
        <v>120</v>
      </c>
      <c r="AH287">
        <v>0.03</v>
      </c>
      <c r="AI287" t="s">
        <v>120</v>
      </c>
      <c r="AJ287">
        <v>3.19</v>
      </c>
      <c r="AK287" t="s">
        <v>2007</v>
      </c>
      <c r="AL287">
        <v>6.98</v>
      </c>
      <c r="AM287">
        <v>3352</v>
      </c>
      <c r="AN287">
        <v>58</v>
      </c>
      <c r="AO287">
        <v>1.8E-3</v>
      </c>
      <c r="AP287">
        <v>2</v>
      </c>
      <c r="AQ287">
        <v>0.39</v>
      </c>
      <c r="AR287">
        <v>3.59</v>
      </c>
      <c r="AS287">
        <v>10.07</v>
      </c>
      <c r="AT287">
        <v>3.32</v>
      </c>
      <c r="AU287">
        <v>-29.84</v>
      </c>
      <c r="AV287">
        <v>21</v>
      </c>
      <c r="AW287">
        <v>15.03</v>
      </c>
      <c r="AX287">
        <v>40.81</v>
      </c>
      <c r="AY287" t="s">
        <v>120</v>
      </c>
      <c r="AZ287" t="s">
        <v>120</v>
      </c>
      <c r="BA287">
        <v>0.46</v>
      </c>
      <c r="BB287" t="s">
        <v>143</v>
      </c>
      <c r="BF287">
        <v>4.49</v>
      </c>
      <c r="BG287">
        <v>5.0599999999999996</v>
      </c>
      <c r="BH287">
        <v>-0.86</v>
      </c>
      <c r="BI287">
        <v>5.61</v>
      </c>
      <c r="BJ287">
        <v>20210821</v>
      </c>
      <c r="BK287">
        <v>19980212</v>
      </c>
      <c r="BL287">
        <v>3.19</v>
      </c>
      <c r="BM287" t="s">
        <v>120</v>
      </c>
      <c r="BN287" t="s">
        <v>120</v>
      </c>
      <c r="BO287">
        <v>11.41</v>
      </c>
      <c r="BP287">
        <v>8.08</v>
      </c>
      <c r="BQ287">
        <v>6.12</v>
      </c>
      <c r="BR287">
        <v>0.4</v>
      </c>
      <c r="BS287">
        <v>42.82</v>
      </c>
      <c r="BT287">
        <v>3.53</v>
      </c>
      <c r="BU287">
        <v>4.13</v>
      </c>
      <c r="BV287">
        <v>0.13</v>
      </c>
      <c r="BW287">
        <v>3.87</v>
      </c>
      <c r="BX287">
        <v>1.1000000000000001</v>
      </c>
      <c r="BY287">
        <v>1.97</v>
      </c>
      <c r="BZ287">
        <v>0.28999999999999998</v>
      </c>
      <c r="CA287">
        <v>0.01</v>
      </c>
      <c r="CB287">
        <v>4.41</v>
      </c>
      <c r="CC287">
        <v>2.0099999999999998</v>
      </c>
      <c r="CD287">
        <v>2.15</v>
      </c>
      <c r="CE287">
        <v>0.01</v>
      </c>
      <c r="CF287">
        <v>0.01</v>
      </c>
      <c r="CG287">
        <v>0.03</v>
      </c>
      <c r="CH287">
        <v>0.03</v>
      </c>
      <c r="CI287">
        <v>0.04</v>
      </c>
      <c r="CJ287">
        <v>0.39</v>
      </c>
      <c r="CK287">
        <v>0.03</v>
      </c>
      <c r="CL287">
        <v>-1.95</v>
      </c>
      <c r="CM287">
        <v>0.48</v>
      </c>
      <c r="CN287">
        <v>0.38</v>
      </c>
      <c r="CO287">
        <v>36048</v>
      </c>
      <c r="CP287">
        <v>3617</v>
      </c>
      <c r="CQ287" t="s">
        <v>2009</v>
      </c>
      <c r="CR287">
        <v>110.28</v>
      </c>
      <c r="CS287">
        <v>31.89</v>
      </c>
      <c r="CT287">
        <v>4.22</v>
      </c>
      <c r="CU287">
        <v>54.13</v>
      </c>
      <c r="CV287">
        <v>12.83</v>
      </c>
      <c r="CW287">
        <v>0</v>
      </c>
      <c r="CX287" t="s">
        <v>979</v>
      </c>
      <c r="CY287">
        <v>1.92</v>
      </c>
      <c r="CZ287">
        <v>0</v>
      </c>
      <c r="DA287">
        <v>1.38</v>
      </c>
      <c r="DB287">
        <v>-0.61</v>
      </c>
      <c r="DC287">
        <v>0.15</v>
      </c>
      <c r="DD287">
        <v>53.67</v>
      </c>
      <c r="DE287" t="s">
        <v>2010</v>
      </c>
      <c r="DF287">
        <v>-6.75</v>
      </c>
      <c r="DG287">
        <v>0.52</v>
      </c>
      <c r="DH287">
        <v>2.19</v>
      </c>
      <c r="DI287">
        <v>0</v>
      </c>
      <c r="DJ287">
        <v>1315</v>
      </c>
      <c r="DK287">
        <v>798</v>
      </c>
      <c r="DL287" t="s">
        <v>120</v>
      </c>
      <c r="DM287" t="s">
        <v>120</v>
      </c>
      <c r="DN287" t="s">
        <v>120</v>
      </c>
    </row>
    <row r="288" spans="1:118">
      <c r="A288" t="str">
        <f>"000799"</f>
        <v>000799</v>
      </c>
      <c r="B288" t="s">
        <v>2011</v>
      </c>
      <c r="C288">
        <v>-0.84</v>
      </c>
      <c r="D288">
        <v>0</v>
      </c>
      <c r="E288">
        <v>-0.04</v>
      </c>
      <c r="F288">
        <v>747</v>
      </c>
      <c r="G288" t="s">
        <v>2012</v>
      </c>
      <c r="H288">
        <v>140837.26999999999</v>
      </c>
      <c r="I288">
        <v>788.22</v>
      </c>
      <c r="J288" t="s">
        <v>120</v>
      </c>
      <c r="K288" t="s">
        <v>2013</v>
      </c>
      <c r="L288">
        <v>1.85</v>
      </c>
      <c r="M288">
        <v>231.33</v>
      </c>
      <c r="N288">
        <v>0.87</v>
      </c>
      <c r="O288">
        <v>2.31</v>
      </c>
      <c r="P288">
        <v>238.7</v>
      </c>
      <c r="Q288">
        <v>-1.17</v>
      </c>
      <c r="R288">
        <v>230.58</v>
      </c>
      <c r="S288">
        <v>233.2</v>
      </c>
      <c r="T288">
        <v>60183</v>
      </c>
      <c r="U288">
        <v>231.34</v>
      </c>
      <c r="V288">
        <v>233.3</v>
      </c>
      <c r="W288">
        <v>73.650000000000006</v>
      </c>
      <c r="X288" t="s">
        <v>1165</v>
      </c>
      <c r="Y288" t="s">
        <v>594</v>
      </c>
      <c r="Z288">
        <v>3.48</v>
      </c>
      <c r="AA288">
        <v>234.02</v>
      </c>
      <c r="AB288">
        <v>28902</v>
      </c>
      <c r="AC288">
        <v>31281</v>
      </c>
      <c r="AD288">
        <v>0.92</v>
      </c>
      <c r="AE288">
        <v>76</v>
      </c>
      <c r="AF288">
        <v>11</v>
      </c>
      <c r="AG288" t="s">
        <v>120</v>
      </c>
      <c r="AH288">
        <v>0.02</v>
      </c>
      <c r="AI288" t="s">
        <v>120</v>
      </c>
      <c r="AJ288">
        <v>3.25</v>
      </c>
      <c r="AK288" t="s">
        <v>2013</v>
      </c>
      <c r="AL288">
        <v>1.07</v>
      </c>
      <c r="AM288">
        <v>4389</v>
      </c>
      <c r="AN288">
        <v>14</v>
      </c>
      <c r="AO288">
        <v>4.0000000000000002E-4</v>
      </c>
      <c r="AP288">
        <v>-4</v>
      </c>
      <c r="AQ288">
        <v>-1.1200000000000001</v>
      </c>
      <c r="AR288">
        <v>-2.41</v>
      </c>
      <c r="AS288">
        <v>10.61</v>
      </c>
      <c r="AT288">
        <v>-6.88</v>
      </c>
      <c r="AU288">
        <v>48.48</v>
      </c>
      <c r="AV288">
        <v>8</v>
      </c>
      <c r="AW288">
        <v>2.68</v>
      </c>
      <c r="AX288">
        <v>69</v>
      </c>
      <c r="AY288">
        <v>92.74</v>
      </c>
      <c r="AZ288">
        <v>154.19999999999999</v>
      </c>
      <c r="BA288">
        <v>1.87</v>
      </c>
      <c r="BB288" t="s">
        <v>143</v>
      </c>
      <c r="BF288">
        <v>0.31</v>
      </c>
      <c r="BG288">
        <v>-0.8</v>
      </c>
      <c r="BH288">
        <v>-3.09</v>
      </c>
      <c r="BI288">
        <v>0.33</v>
      </c>
      <c r="BJ288">
        <v>20210827</v>
      </c>
      <c r="BK288">
        <v>19970718</v>
      </c>
      <c r="BL288">
        <v>3.25</v>
      </c>
      <c r="BM288" t="s">
        <v>120</v>
      </c>
      <c r="BN288" t="s">
        <v>120</v>
      </c>
      <c r="BO288">
        <v>51.27</v>
      </c>
      <c r="BP288">
        <v>231.33</v>
      </c>
      <c r="BQ288">
        <v>31.4</v>
      </c>
      <c r="BR288" t="s">
        <v>120</v>
      </c>
      <c r="BS288">
        <v>38.75</v>
      </c>
      <c r="BT288">
        <v>43.55</v>
      </c>
      <c r="BU288">
        <v>3.92</v>
      </c>
      <c r="BV288">
        <v>1.92</v>
      </c>
      <c r="BW288">
        <v>19.670000000000002</v>
      </c>
      <c r="BX288">
        <v>27.88</v>
      </c>
      <c r="BY288">
        <v>10.91</v>
      </c>
      <c r="BZ288">
        <v>0</v>
      </c>
      <c r="CA288">
        <v>0</v>
      </c>
      <c r="CB288">
        <v>11.61</v>
      </c>
      <c r="CC288">
        <v>17.14</v>
      </c>
      <c r="CD288">
        <v>3.39</v>
      </c>
      <c r="CE288">
        <v>6.82</v>
      </c>
      <c r="CF288">
        <v>0</v>
      </c>
      <c r="CG288">
        <v>6.84</v>
      </c>
      <c r="CH288">
        <v>5.0999999999999996</v>
      </c>
      <c r="CI288">
        <v>5.0999999999999996</v>
      </c>
      <c r="CJ288">
        <v>-1.97</v>
      </c>
      <c r="CK288">
        <v>5.08</v>
      </c>
      <c r="CL288">
        <v>14.2</v>
      </c>
      <c r="CM288">
        <v>6.79</v>
      </c>
      <c r="CN288">
        <v>6.31</v>
      </c>
      <c r="CO288">
        <v>83542</v>
      </c>
      <c r="CP288">
        <v>2684</v>
      </c>
      <c r="CQ288" t="s">
        <v>2014</v>
      </c>
      <c r="CR288">
        <v>176.55</v>
      </c>
      <c r="CS288">
        <v>137.31</v>
      </c>
      <c r="CT288">
        <v>23.94</v>
      </c>
      <c r="CU288">
        <v>110.65</v>
      </c>
      <c r="CV288">
        <v>43.86</v>
      </c>
      <c r="CW288">
        <v>0.3</v>
      </c>
      <c r="CX288" t="s">
        <v>2015</v>
      </c>
      <c r="CY288">
        <v>9.66</v>
      </c>
      <c r="CZ288">
        <v>0</v>
      </c>
      <c r="DA288">
        <v>3.57</v>
      </c>
      <c r="DB288">
        <v>4.37</v>
      </c>
      <c r="DC288">
        <v>2.09</v>
      </c>
      <c r="DD288">
        <v>61.25</v>
      </c>
      <c r="DE288" t="s">
        <v>2016</v>
      </c>
      <c r="DF288">
        <v>80.239999999999995</v>
      </c>
      <c r="DG288">
        <v>39.82</v>
      </c>
      <c r="DH288">
        <v>29.78</v>
      </c>
      <c r="DI288">
        <v>0.05</v>
      </c>
      <c r="DJ288">
        <v>1700</v>
      </c>
      <c r="DK288">
        <v>799</v>
      </c>
      <c r="DL288" t="s">
        <v>120</v>
      </c>
      <c r="DM288" t="s">
        <v>120</v>
      </c>
      <c r="DN288" t="s">
        <v>120</v>
      </c>
    </row>
    <row r="289" spans="1:118">
      <c r="A289" t="str">
        <f>"000800"</f>
        <v>000800</v>
      </c>
      <c r="B289" t="s">
        <v>2017</v>
      </c>
      <c r="C289">
        <v>-2.7</v>
      </c>
      <c r="D289">
        <v>-0.08</v>
      </c>
      <c r="E289">
        <v>-0.17</v>
      </c>
      <c r="F289">
        <v>6236</v>
      </c>
      <c r="G289" t="s">
        <v>2018</v>
      </c>
      <c r="H289">
        <v>33547.339999999997</v>
      </c>
      <c r="I289">
        <v>167.61</v>
      </c>
      <c r="J289" t="s">
        <v>120</v>
      </c>
      <c r="K289" t="s">
        <v>2018</v>
      </c>
      <c r="L289">
        <v>3.86</v>
      </c>
      <c r="M289">
        <v>11.19</v>
      </c>
      <c r="N289">
        <v>0.56000000000000005</v>
      </c>
      <c r="O289">
        <v>0.87</v>
      </c>
      <c r="P289">
        <v>11.6</v>
      </c>
      <c r="Q289">
        <v>-2.7</v>
      </c>
      <c r="R289">
        <v>11.19</v>
      </c>
      <c r="S289">
        <v>11.48</v>
      </c>
      <c r="T289">
        <v>295431</v>
      </c>
      <c r="U289">
        <v>11.2</v>
      </c>
      <c r="V289">
        <v>11.5</v>
      </c>
      <c r="W289">
        <v>7.96</v>
      </c>
      <c r="X289" t="s">
        <v>1068</v>
      </c>
      <c r="Y289" t="s">
        <v>290</v>
      </c>
      <c r="Z289">
        <v>3.57</v>
      </c>
      <c r="AA289">
        <v>11.36</v>
      </c>
      <c r="AB289">
        <v>169169</v>
      </c>
      <c r="AC289">
        <v>126262</v>
      </c>
      <c r="AD289">
        <v>1.34</v>
      </c>
      <c r="AE289">
        <v>1503</v>
      </c>
      <c r="AF289">
        <v>450</v>
      </c>
      <c r="AG289" t="s">
        <v>120</v>
      </c>
      <c r="AH289">
        <v>0.02</v>
      </c>
      <c r="AI289" t="s">
        <v>120</v>
      </c>
      <c r="AJ289">
        <v>7.65</v>
      </c>
      <c r="AK289" t="s">
        <v>2019</v>
      </c>
      <c r="AL289">
        <v>-0.78</v>
      </c>
      <c r="AM289">
        <v>3782</v>
      </c>
      <c r="AN289">
        <v>78</v>
      </c>
      <c r="AO289">
        <v>1E-3</v>
      </c>
      <c r="AP289">
        <v>-3</v>
      </c>
      <c r="AQ289">
        <v>-1.1200000000000001</v>
      </c>
      <c r="AR289">
        <v>-7.6</v>
      </c>
      <c r="AS289">
        <v>0.72</v>
      </c>
      <c r="AT289">
        <v>7.08</v>
      </c>
      <c r="AU289">
        <v>0.09</v>
      </c>
      <c r="AV289">
        <v>1</v>
      </c>
      <c r="AW289">
        <v>3.86</v>
      </c>
      <c r="AX289">
        <v>16.440000000000001</v>
      </c>
      <c r="AY289">
        <v>14.11</v>
      </c>
      <c r="AZ289">
        <v>20.02</v>
      </c>
      <c r="BA289">
        <v>0.32</v>
      </c>
      <c r="BB289" t="s">
        <v>240</v>
      </c>
      <c r="BF289">
        <v>-1.26</v>
      </c>
      <c r="BG289">
        <v>-2.5299999999999998</v>
      </c>
      <c r="BH289">
        <v>-3.53</v>
      </c>
      <c r="BI289">
        <v>0</v>
      </c>
      <c r="BJ289">
        <v>20210913</v>
      </c>
      <c r="BK289">
        <v>19970618</v>
      </c>
      <c r="BL289">
        <v>46.51</v>
      </c>
      <c r="BM289" t="s">
        <v>120</v>
      </c>
      <c r="BN289" t="s">
        <v>120</v>
      </c>
      <c r="BO289">
        <v>1030.28</v>
      </c>
      <c r="BP289">
        <v>11.19</v>
      </c>
      <c r="BQ289">
        <v>255.93</v>
      </c>
      <c r="BR289" t="s">
        <v>120</v>
      </c>
      <c r="BS289">
        <v>75.16</v>
      </c>
      <c r="BT289">
        <v>841.95</v>
      </c>
      <c r="BU289">
        <v>75.64</v>
      </c>
      <c r="BV289">
        <v>27.27</v>
      </c>
      <c r="BW289">
        <v>721.94</v>
      </c>
      <c r="BX289">
        <v>337.73</v>
      </c>
      <c r="BY289">
        <v>58.99</v>
      </c>
      <c r="BZ289">
        <v>22.78</v>
      </c>
      <c r="CA289">
        <v>0</v>
      </c>
      <c r="CB289">
        <v>103.92</v>
      </c>
      <c r="CC289">
        <v>786</v>
      </c>
      <c r="CD289">
        <v>718.61</v>
      </c>
      <c r="CE289">
        <v>37.049999999999997</v>
      </c>
      <c r="CF289">
        <v>3.87</v>
      </c>
      <c r="CG289">
        <v>37.21</v>
      </c>
      <c r="CH289">
        <v>32.69</v>
      </c>
      <c r="CI289">
        <v>32.69</v>
      </c>
      <c r="CJ289">
        <v>-0.31</v>
      </c>
      <c r="CK289">
        <v>31.56</v>
      </c>
      <c r="CL289">
        <v>81.5</v>
      </c>
      <c r="CM289">
        <v>155.26</v>
      </c>
      <c r="CN289">
        <v>151.38</v>
      </c>
      <c r="CO289">
        <v>79037</v>
      </c>
      <c r="CP289">
        <v>9673</v>
      </c>
      <c r="CQ289" t="s">
        <v>2020</v>
      </c>
      <c r="CR289">
        <v>52.06</v>
      </c>
      <c r="CS289">
        <v>13.77</v>
      </c>
      <c r="CT289">
        <v>2.0299999999999998</v>
      </c>
      <c r="CU289">
        <v>3.35</v>
      </c>
      <c r="CV289">
        <v>0.66</v>
      </c>
      <c r="CW289">
        <v>4.3499999999999996</v>
      </c>
      <c r="CX289" t="s">
        <v>2021</v>
      </c>
      <c r="CY289">
        <v>5.5</v>
      </c>
      <c r="CZ289">
        <v>0</v>
      </c>
      <c r="DA289">
        <v>2.23</v>
      </c>
      <c r="DB289">
        <v>1.75</v>
      </c>
      <c r="DC289">
        <v>3.34</v>
      </c>
      <c r="DD289">
        <v>24.84</v>
      </c>
      <c r="DE289" t="s">
        <v>2022</v>
      </c>
      <c r="DF289">
        <v>8.57</v>
      </c>
      <c r="DG289">
        <v>4.71</v>
      </c>
      <c r="DH289">
        <v>4.16</v>
      </c>
      <c r="DI289">
        <v>12.37</v>
      </c>
      <c r="DJ289">
        <v>21077</v>
      </c>
      <c r="DK289">
        <v>800</v>
      </c>
      <c r="DL289" t="s">
        <v>120</v>
      </c>
      <c r="DM289" t="s">
        <v>120</v>
      </c>
      <c r="DN289" t="s">
        <v>120</v>
      </c>
    </row>
    <row r="290" spans="1:118">
      <c r="A290" t="str">
        <f>"000801"</f>
        <v>000801</v>
      </c>
      <c r="B290" t="s">
        <v>2023</v>
      </c>
      <c r="C290">
        <v>-1.32</v>
      </c>
      <c r="D290">
        <v>0</v>
      </c>
      <c r="E290">
        <v>0.26</v>
      </c>
      <c r="F290">
        <v>2444</v>
      </c>
      <c r="G290" t="s">
        <v>2024</v>
      </c>
      <c r="H290">
        <v>9183.33</v>
      </c>
      <c r="I290">
        <v>14.67</v>
      </c>
      <c r="J290" t="s">
        <v>120</v>
      </c>
      <c r="K290" t="s">
        <v>2025</v>
      </c>
      <c r="L290">
        <v>1.2</v>
      </c>
      <c r="M290">
        <v>7.48</v>
      </c>
      <c r="N290">
        <v>0.8</v>
      </c>
      <c r="O290">
        <v>1.98</v>
      </c>
      <c r="P290">
        <v>7.73</v>
      </c>
      <c r="Q290">
        <v>-2.77</v>
      </c>
      <c r="R290">
        <v>7.37</v>
      </c>
      <c r="S290">
        <v>7.6</v>
      </c>
      <c r="T290">
        <v>122258</v>
      </c>
      <c r="U290">
        <v>7.48</v>
      </c>
      <c r="V290">
        <v>7.58</v>
      </c>
      <c r="W290">
        <v>51.86</v>
      </c>
      <c r="X290" t="s">
        <v>462</v>
      </c>
      <c r="Y290" t="s">
        <v>578</v>
      </c>
      <c r="Z290">
        <v>4.75</v>
      </c>
      <c r="AA290">
        <v>7.51</v>
      </c>
      <c r="AB290">
        <v>65922</v>
      </c>
      <c r="AC290">
        <v>56336</v>
      </c>
      <c r="AD290">
        <v>1.17</v>
      </c>
      <c r="AE290">
        <v>113</v>
      </c>
      <c r="AF290">
        <v>899</v>
      </c>
      <c r="AG290" t="s">
        <v>120</v>
      </c>
      <c r="AH290">
        <v>0</v>
      </c>
      <c r="AI290" t="s">
        <v>120</v>
      </c>
      <c r="AJ290">
        <v>10.23</v>
      </c>
      <c r="AK290" t="s">
        <v>2025</v>
      </c>
      <c r="AL290">
        <v>0.59</v>
      </c>
      <c r="AM290">
        <v>2431</v>
      </c>
      <c r="AN290">
        <v>50</v>
      </c>
      <c r="AO290">
        <v>5.0000000000000001E-4</v>
      </c>
      <c r="AP290">
        <v>-1</v>
      </c>
      <c r="AQ290">
        <v>1.07</v>
      </c>
      <c r="AR290">
        <v>-4.0999999999999996</v>
      </c>
      <c r="AS290">
        <v>-2.99</v>
      </c>
      <c r="AT290">
        <v>14.73</v>
      </c>
      <c r="AU290">
        <v>21.35</v>
      </c>
      <c r="AV290">
        <v>0</v>
      </c>
      <c r="AW290">
        <v>2.35</v>
      </c>
      <c r="AX290">
        <v>50.82</v>
      </c>
      <c r="AY290">
        <v>58.11</v>
      </c>
      <c r="AZ290">
        <v>100.96</v>
      </c>
      <c r="BA290">
        <v>0.74</v>
      </c>
      <c r="BB290" t="s">
        <v>143</v>
      </c>
      <c r="BF290">
        <v>-0.9</v>
      </c>
      <c r="BG290">
        <v>-1.58</v>
      </c>
      <c r="BH290">
        <v>-3.23</v>
      </c>
      <c r="BI290">
        <v>1.49</v>
      </c>
      <c r="BJ290">
        <v>20210827</v>
      </c>
      <c r="BK290">
        <v>19980506</v>
      </c>
      <c r="BL290">
        <v>10.23</v>
      </c>
      <c r="BM290" t="s">
        <v>120</v>
      </c>
      <c r="BN290" t="s">
        <v>120</v>
      </c>
      <c r="BO290">
        <v>51.77</v>
      </c>
      <c r="BP290">
        <v>7.47</v>
      </c>
      <c r="BQ290">
        <v>26.36</v>
      </c>
      <c r="BR290">
        <v>2.17</v>
      </c>
      <c r="BS290">
        <v>44.89</v>
      </c>
      <c r="BT290">
        <v>46.65</v>
      </c>
      <c r="BU290">
        <v>2.68</v>
      </c>
      <c r="BV290">
        <v>0.3</v>
      </c>
      <c r="BW290">
        <v>21.48</v>
      </c>
      <c r="BX290">
        <v>9.1</v>
      </c>
      <c r="BY290">
        <v>8.27</v>
      </c>
      <c r="BZ290">
        <v>19.63</v>
      </c>
      <c r="CA290" t="s">
        <v>120</v>
      </c>
      <c r="CB290">
        <v>3</v>
      </c>
      <c r="CC290">
        <v>16.07</v>
      </c>
      <c r="CD290">
        <v>12.63</v>
      </c>
      <c r="CE290">
        <v>0.96</v>
      </c>
      <c r="CF290">
        <v>7.0000000000000007E-2</v>
      </c>
      <c r="CG290">
        <v>0.96</v>
      </c>
      <c r="CH290">
        <v>0.88</v>
      </c>
      <c r="CI290">
        <v>0.74</v>
      </c>
      <c r="CJ290">
        <v>-0.1</v>
      </c>
      <c r="CK290">
        <v>0.5</v>
      </c>
      <c r="CL290">
        <v>12.27</v>
      </c>
      <c r="CM290">
        <v>-0.39</v>
      </c>
      <c r="CN290">
        <v>-1.76</v>
      </c>
      <c r="CO290">
        <v>37951</v>
      </c>
      <c r="CP290">
        <v>13697</v>
      </c>
      <c r="CQ290" t="s">
        <v>2026</v>
      </c>
      <c r="CR290">
        <v>330.49</v>
      </c>
      <c r="CS290">
        <v>-4.49</v>
      </c>
      <c r="CT290">
        <v>2.9</v>
      </c>
      <c r="CU290">
        <v>-198.37</v>
      </c>
      <c r="CV290">
        <v>4.76</v>
      </c>
      <c r="CW290">
        <v>0.34</v>
      </c>
      <c r="CX290" t="s">
        <v>2027</v>
      </c>
      <c r="CY290">
        <v>2.58</v>
      </c>
      <c r="CZ290">
        <v>0</v>
      </c>
      <c r="DA290">
        <v>0.28999999999999998</v>
      </c>
      <c r="DB290">
        <v>1.2</v>
      </c>
      <c r="DC290">
        <v>-0.04</v>
      </c>
      <c r="DD290">
        <v>50.92</v>
      </c>
      <c r="DE290" t="s">
        <v>2028</v>
      </c>
      <c r="DF290">
        <v>21.38</v>
      </c>
      <c r="DG290">
        <v>5.97</v>
      </c>
      <c r="DH290">
        <v>4.59</v>
      </c>
      <c r="DI290">
        <v>1.52</v>
      </c>
      <c r="DJ290">
        <v>2951</v>
      </c>
      <c r="DK290">
        <v>801</v>
      </c>
      <c r="DL290" t="s">
        <v>120</v>
      </c>
      <c r="DM290" t="s">
        <v>120</v>
      </c>
      <c r="DN290" t="s">
        <v>120</v>
      </c>
    </row>
    <row r="291" spans="1:118">
      <c r="A291" t="str">
        <f>"000803"</f>
        <v>000803</v>
      </c>
      <c r="B291" t="s">
        <v>2029</v>
      </c>
      <c r="C291">
        <v>3.32</v>
      </c>
      <c r="D291">
        <v>0.06</v>
      </c>
      <c r="E291">
        <v>0</v>
      </c>
      <c r="F291">
        <v>707</v>
      </c>
      <c r="G291" t="s">
        <v>726</v>
      </c>
      <c r="H291">
        <v>10644.1</v>
      </c>
      <c r="I291">
        <v>11.15</v>
      </c>
      <c r="J291" t="s">
        <v>120</v>
      </c>
      <c r="K291" t="s">
        <v>2030</v>
      </c>
      <c r="L291">
        <v>4.1100000000000003</v>
      </c>
      <c r="M291">
        <v>17.72</v>
      </c>
      <c r="N291">
        <v>2.58</v>
      </c>
      <c r="O291">
        <v>4.66</v>
      </c>
      <c r="P291">
        <v>17.95</v>
      </c>
      <c r="Q291">
        <v>-0.47</v>
      </c>
      <c r="R291">
        <v>17.07</v>
      </c>
      <c r="S291">
        <v>17.149999999999999</v>
      </c>
      <c r="T291">
        <v>60772</v>
      </c>
      <c r="U291">
        <v>17.73</v>
      </c>
      <c r="V291">
        <v>17.149999999999999</v>
      </c>
      <c r="W291">
        <v>153.52000000000001</v>
      </c>
      <c r="X291" t="s">
        <v>318</v>
      </c>
      <c r="Y291" t="s">
        <v>578</v>
      </c>
      <c r="Z291">
        <v>5.13</v>
      </c>
      <c r="AA291">
        <v>17.510000000000002</v>
      </c>
      <c r="AB291">
        <v>25414</v>
      </c>
      <c r="AC291">
        <v>35358</v>
      </c>
      <c r="AD291">
        <v>0.72</v>
      </c>
      <c r="AE291">
        <v>174</v>
      </c>
      <c r="AF291">
        <v>161</v>
      </c>
      <c r="AG291" t="s">
        <v>120</v>
      </c>
      <c r="AH291">
        <v>0.01</v>
      </c>
      <c r="AI291" t="s">
        <v>120</v>
      </c>
      <c r="AJ291">
        <v>1.48</v>
      </c>
      <c r="AK291" t="s">
        <v>2031</v>
      </c>
      <c r="AL291">
        <v>5.24</v>
      </c>
      <c r="AM291">
        <v>2023</v>
      </c>
      <c r="AN291">
        <v>30</v>
      </c>
      <c r="AO291">
        <v>2E-3</v>
      </c>
      <c r="AP291">
        <v>2</v>
      </c>
      <c r="AQ291">
        <v>3</v>
      </c>
      <c r="AR291">
        <v>5.35</v>
      </c>
      <c r="AS291">
        <v>19.329999999999998</v>
      </c>
      <c r="AT291">
        <v>13.74</v>
      </c>
      <c r="AU291">
        <v>32.340000000000003</v>
      </c>
      <c r="AV291">
        <v>8</v>
      </c>
      <c r="AW291">
        <v>6.83</v>
      </c>
      <c r="AX291">
        <v>36.630000000000003</v>
      </c>
      <c r="AY291">
        <v>73.709999999999994</v>
      </c>
      <c r="AZ291">
        <v>92.31</v>
      </c>
      <c r="BA291">
        <v>0.11</v>
      </c>
      <c r="BB291" t="s">
        <v>143</v>
      </c>
      <c r="BF291">
        <v>2.13</v>
      </c>
      <c r="BG291">
        <v>3.32</v>
      </c>
      <c r="BH291">
        <v>-1.28</v>
      </c>
      <c r="BI291">
        <v>3.81</v>
      </c>
      <c r="BJ291">
        <v>20210828</v>
      </c>
      <c r="BK291">
        <v>19980303</v>
      </c>
      <c r="BL291">
        <v>2.4300000000000002</v>
      </c>
      <c r="BM291" t="s">
        <v>120</v>
      </c>
      <c r="BN291" t="s">
        <v>120</v>
      </c>
      <c r="BO291">
        <v>19.63</v>
      </c>
      <c r="BP291">
        <v>17.72</v>
      </c>
      <c r="BQ291">
        <v>6.26</v>
      </c>
      <c r="BR291">
        <v>0.36</v>
      </c>
      <c r="BS291">
        <v>66.28</v>
      </c>
      <c r="BT291">
        <v>4.4400000000000004</v>
      </c>
      <c r="BU291">
        <v>3.8</v>
      </c>
      <c r="BV291">
        <v>3.82</v>
      </c>
      <c r="BW291">
        <v>6.62</v>
      </c>
      <c r="BX291">
        <v>1.52</v>
      </c>
      <c r="BY291">
        <v>0.21</v>
      </c>
      <c r="BZ291">
        <v>1.21</v>
      </c>
      <c r="CA291">
        <v>0.01</v>
      </c>
      <c r="CB291">
        <v>6.78</v>
      </c>
      <c r="CC291">
        <v>2.72</v>
      </c>
      <c r="CD291">
        <v>1.78</v>
      </c>
      <c r="CE291">
        <v>0.17</v>
      </c>
      <c r="CF291">
        <v>-0.01</v>
      </c>
      <c r="CG291">
        <v>0.17</v>
      </c>
      <c r="CH291">
        <v>0.18</v>
      </c>
      <c r="CI291">
        <v>0.14000000000000001</v>
      </c>
      <c r="CJ291">
        <v>0.56999999999999995</v>
      </c>
      <c r="CK291">
        <v>0.13</v>
      </c>
      <c r="CL291">
        <v>-2.0699999999999998</v>
      </c>
      <c r="CM291">
        <v>-0.47</v>
      </c>
      <c r="CN291">
        <v>0.69</v>
      </c>
      <c r="CO291">
        <v>9000</v>
      </c>
      <c r="CP291">
        <v>9885</v>
      </c>
      <c r="CQ291" t="s">
        <v>2032</v>
      </c>
      <c r="CR291">
        <v>432.66</v>
      </c>
      <c r="CS291">
        <v>718.78</v>
      </c>
      <c r="CT291">
        <v>5.41</v>
      </c>
      <c r="CU291">
        <v>-91.76</v>
      </c>
      <c r="CV291">
        <v>15.84</v>
      </c>
      <c r="CW291">
        <v>0</v>
      </c>
      <c r="CX291" t="s">
        <v>679</v>
      </c>
      <c r="CY291">
        <v>3.28</v>
      </c>
      <c r="CZ291">
        <v>3.28</v>
      </c>
      <c r="DA291">
        <v>2.79</v>
      </c>
      <c r="DB291">
        <v>-0.85</v>
      </c>
      <c r="DC291">
        <v>-0.19</v>
      </c>
      <c r="DD291">
        <v>31.88</v>
      </c>
      <c r="DE291" t="s">
        <v>2033</v>
      </c>
      <c r="DF291">
        <v>34.56</v>
      </c>
      <c r="DG291">
        <v>6.31</v>
      </c>
      <c r="DH291">
        <v>5.16</v>
      </c>
      <c r="DI291">
        <v>0.04</v>
      </c>
      <c r="DJ291">
        <v>425</v>
      </c>
      <c r="DK291">
        <v>803</v>
      </c>
      <c r="DL291" t="s">
        <v>120</v>
      </c>
      <c r="DM291" t="s">
        <v>120</v>
      </c>
      <c r="DN291" t="s">
        <v>120</v>
      </c>
    </row>
    <row r="292" spans="1:118">
      <c r="A292" t="str">
        <f>"000807"</f>
        <v>000807</v>
      </c>
      <c r="B292" t="s">
        <v>2034</v>
      </c>
      <c r="C292">
        <v>1.63</v>
      </c>
      <c r="D292">
        <v>0</v>
      </c>
      <c r="E292">
        <v>3.44</v>
      </c>
      <c r="F292">
        <v>13898</v>
      </c>
      <c r="G292" t="s">
        <v>2035</v>
      </c>
      <c r="H292">
        <v>265991.28999999998</v>
      </c>
      <c r="I292">
        <v>1849.71</v>
      </c>
      <c r="J292" t="s">
        <v>120</v>
      </c>
      <c r="K292" t="s">
        <v>2036</v>
      </c>
      <c r="L292">
        <v>4.17</v>
      </c>
      <c r="M292">
        <v>22.45</v>
      </c>
      <c r="N292">
        <v>0.73</v>
      </c>
      <c r="O292">
        <v>6.75</v>
      </c>
      <c r="P292">
        <v>23.58</v>
      </c>
      <c r="Q292">
        <v>-0.41</v>
      </c>
      <c r="R292">
        <v>22</v>
      </c>
      <c r="S292">
        <v>22.85</v>
      </c>
      <c r="T292">
        <v>1172669</v>
      </c>
      <c r="U292">
        <v>22.46</v>
      </c>
      <c r="V292">
        <v>22.09</v>
      </c>
      <c r="W292">
        <v>17.57</v>
      </c>
      <c r="X292" t="s">
        <v>1325</v>
      </c>
      <c r="Y292" t="s">
        <v>1006</v>
      </c>
      <c r="Z292">
        <v>7.15</v>
      </c>
      <c r="AA292">
        <v>22.68</v>
      </c>
      <c r="AB292">
        <v>597336</v>
      </c>
      <c r="AC292">
        <v>575333</v>
      </c>
      <c r="AD292">
        <v>1.04</v>
      </c>
      <c r="AE292">
        <v>285</v>
      </c>
      <c r="AF292">
        <v>211</v>
      </c>
      <c r="AG292" t="s">
        <v>120</v>
      </c>
      <c r="AH292">
        <v>0.05</v>
      </c>
      <c r="AI292" t="s">
        <v>120</v>
      </c>
      <c r="AJ292">
        <v>28.14</v>
      </c>
      <c r="AK292" t="s">
        <v>2037</v>
      </c>
      <c r="AL292">
        <v>3.54</v>
      </c>
      <c r="AM292">
        <v>4728</v>
      </c>
      <c r="AN292">
        <v>248</v>
      </c>
      <c r="AO292">
        <v>8.9999999999999998E-4</v>
      </c>
      <c r="AP292">
        <v>1</v>
      </c>
      <c r="AQ292">
        <v>-0.5</v>
      </c>
      <c r="AR292">
        <v>1.86</v>
      </c>
      <c r="AS292">
        <v>48.88</v>
      </c>
      <c r="AT292">
        <v>89.77</v>
      </c>
      <c r="AU292">
        <v>198.14</v>
      </c>
      <c r="AV292">
        <v>10</v>
      </c>
      <c r="AW292">
        <v>6.88</v>
      </c>
      <c r="AX292">
        <v>54.48</v>
      </c>
      <c r="AY292">
        <v>26</v>
      </c>
      <c r="AZ292">
        <v>76.56</v>
      </c>
      <c r="BA292">
        <v>0.65</v>
      </c>
      <c r="BB292" t="s">
        <v>184</v>
      </c>
      <c r="BF292">
        <v>2.68</v>
      </c>
      <c r="BG292">
        <v>-1.75</v>
      </c>
      <c r="BH292">
        <v>-4.79</v>
      </c>
      <c r="BI292">
        <v>2.0499999999999998</v>
      </c>
      <c r="BJ292">
        <v>20210824</v>
      </c>
      <c r="BK292">
        <v>19980408</v>
      </c>
      <c r="BL292">
        <v>31.28</v>
      </c>
      <c r="BM292" t="s">
        <v>120</v>
      </c>
      <c r="BN292" t="s">
        <v>120</v>
      </c>
      <c r="BO292">
        <v>403.03</v>
      </c>
      <c r="BP292">
        <v>22.45</v>
      </c>
      <c r="BQ292">
        <v>138.5</v>
      </c>
      <c r="BR292">
        <v>23.92</v>
      </c>
      <c r="BS292">
        <v>59.7</v>
      </c>
      <c r="BT292">
        <v>59.97</v>
      </c>
      <c r="BU292">
        <v>270.26</v>
      </c>
      <c r="BV292">
        <v>28.36</v>
      </c>
      <c r="BW292">
        <v>162.4</v>
      </c>
      <c r="BX292">
        <v>14.18</v>
      </c>
      <c r="BY292">
        <v>34.82</v>
      </c>
      <c r="BZ292">
        <v>1.81</v>
      </c>
      <c r="CA292" t="s">
        <v>120</v>
      </c>
      <c r="CB292">
        <v>80.3</v>
      </c>
      <c r="CC292">
        <v>218.3</v>
      </c>
      <c r="CD292">
        <v>170.2</v>
      </c>
      <c r="CE292">
        <v>27.64</v>
      </c>
      <c r="CF292">
        <v>-0.08</v>
      </c>
      <c r="CG292">
        <v>27.65</v>
      </c>
      <c r="CH292">
        <v>24.26</v>
      </c>
      <c r="CI292">
        <v>19.98</v>
      </c>
      <c r="CJ292">
        <v>0.36</v>
      </c>
      <c r="CK292">
        <v>19.88</v>
      </c>
      <c r="CL292">
        <v>22.97</v>
      </c>
      <c r="CM292">
        <v>41.42</v>
      </c>
      <c r="CN292">
        <v>2.34</v>
      </c>
      <c r="CO292">
        <v>122690</v>
      </c>
      <c r="CP292">
        <v>13891</v>
      </c>
      <c r="CQ292" t="s">
        <v>2038</v>
      </c>
      <c r="CR292">
        <v>721.48</v>
      </c>
      <c r="CS292">
        <v>80.89</v>
      </c>
      <c r="CT292">
        <v>5.07</v>
      </c>
      <c r="CU292">
        <v>16.95</v>
      </c>
      <c r="CV292">
        <v>3.22</v>
      </c>
      <c r="CW292">
        <v>0</v>
      </c>
      <c r="CX292" t="s">
        <v>2039</v>
      </c>
      <c r="CY292">
        <v>4.43</v>
      </c>
      <c r="CZ292">
        <v>0</v>
      </c>
      <c r="DA292">
        <v>2.57</v>
      </c>
      <c r="DB292">
        <v>0.73</v>
      </c>
      <c r="DC292">
        <v>1.32</v>
      </c>
      <c r="DD292">
        <v>34.369999999999997</v>
      </c>
      <c r="DE292" t="s">
        <v>2040</v>
      </c>
      <c r="DF292">
        <v>22.03</v>
      </c>
      <c r="DG292">
        <v>12.66</v>
      </c>
      <c r="DH292">
        <v>9.15</v>
      </c>
      <c r="DI292">
        <v>0.23</v>
      </c>
      <c r="DJ292">
        <v>12281</v>
      </c>
      <c r="DK292">
        <v>807</v>
      </c>
      <c r="DL292">
        <v>20210908</v>
      </c>
      <c r="DM292">
        <v>18.899999999999999</v>
      </c>
      <c r="DN292">
        <v>18.78</v>
      </c>
    </row>
    <row r="293" spans="1:118">
      <c r="A293" t="str">
        <f>"000809"</f>
        <v>000809</v>
      </c>
      <c r="B293" t="s">
        <v>2041</v>
      </c>
      <c r="C293">
        <v>-2.0499999999999998</v>
      </c>
      <c r="D293">
        <v>0.42</v>
      </c>
      <c r="E293">
        <v>-0.82</v>
      </c>
      <c r="F293">
        <v>1912</v>
      </c>
      <c r="G293" t="s">
        <v>2042</v>
      </c>
      <c r="H293">
        <v>4169.2700000000004</v>
      </c>
      <c r="I293">
        <v>2.42</v>
      </c>
      <c r="J293" t="s">
        <v>120</v>
      </c>
      <c r="K293" t="s">
        <v>2043</v>
      </c>
      <c r="L293">
        <v>2.0499999999999998</v>
      </c>
      <c r="M293">
        <v>2.39</v>
      </c>
      <c r="N293">
        <v>1.42</v>
      </c>
      <c r="O293">
        <v>3.69</v>
      </c>
      <c r="P293">
        <v>2.5299999999999998</v>
      </c>
      <c r="Q293">
        <v>-2.46</v>
      </c>
      <c r="R293">
        <v>2.38</v>
      </c>
      <c r="S293">
        <v>2.42</v>
      </c>
      <c r="T293">
        <v>169460</v>
      </c>
      <c r="U293">
        <v>2.39</v>
      </c>
      <c r="V293">
        <v>2.44</v>
      </c>
      <c r="W293" t="s">
        <v>120</v>
      </c>
      <c r="X293" t="s">
        <v>150</v>
      </c>
      <c r="Y293" t="s">
        <v>432</v>
      </c>
      <c r="Z293">
        <v>6.15</v>
      </c>
      <c r="AA293">
        <v>2.46</v>
      </c>
      <c r="AB293">
        <v>93191</v>
      </c>
      <c r="AC293">
        <v>76269</v>
      </c>
      <c r="AD293">
        <v>1.22</v>
      </c>
      <c r="AE293">
        <v>1506</v>
      </c>
      <c r="AF293">
        <v>2635</v>
      </c>
      <c r="AG293" t="s">
        <v>120</v>
      </c>
      <c r="AH293">
        <v>0</v>
      </c>
      <c r="AI293" t="s">
        <v>120</v>
      </c>
      <c r="AJ293">
        <v>8.25</v>
      </c>
      <c r="AK293" t="s">
        <v>2043</v>
      </c>
      <c r="AL293">
        <v>-0.14000000000000001</v>
      </c>
      <c r="AM293">
        <v>1504</v>
      </c>
      <c r="AN293">
        <v>113</v>
      </c>
      <c r="AO293">
        <v>1.4E-3</v>
      </c>
      <c r="AP293">
        <v>-1</v>
      </c>
      <c r="AQ293">
        <v>2.09</v>
      </c>
      <c r="AR293">
        <v>0</v>
      </c>
      <c r="AS293">
        <v>23.83</v>
      </c>
      <c r="AT293">
        <v>20.100000000000001</v>
      </c>
      <c r="AU293">
        <v>21.94</v>
      </c>
      <c r="AV293">
        <v>3</v>
      </c>
      <c r="AW293">
        <v>3.13</v>
      </c>
      <c r="AX293">
        <v>65.709999999999994</v>
      </c>
      <c r="AY293" t="s">
        <v>120</v>
      </c>
      <c r="AZ293" t="s">
        <v>120</v>
      </c>
      <c r="BA293">
        <v>0</v>
      </c>
      <c r="BB293" t="s">
        <v>168</v>
      </c>
      <c r="BF293">
        <v>0.83</v>
      </c>
      <c r="BG293">
        <v>-1.24</v>
      </c>
      <c r="BH293">
        <v>-5.53</v>
      </c>
      <c r="BI293">
        <v>0.42</v>
      </c>
      <c r="BJ293">
        <v>20210821</v>
      </c>
      <c r="BK293">
        <v>19980616</v>
      </c>
      <c r="BL293">
        <v>8.25</v>
      </c>
      <c r="BM293" t="s">
        <v>120</v>
      </c>
      <c r="BN293" t="s">
        <v>120</v>
      </c>
      <c r="BO293">
        <v>45.19</v>
      </c>
      <c r="BP293">
        <v>2.38</v>
      </c>
      <c r="BQ293">
        <v>30.02</v>
      </c>
      <c r="BR293" t="s">
        <v>120</v>
      </c>
      <c r="BS293">
        <v>33.57</v>
      </c>
      <c r="BT293">
        <v>42.31</v>
      </c>
      <c r="BU293">
        <v>1.67</v>
      </c>
      <c r="BV293">
        <v>0.25</v>
      </c>
      <c r="BW293">
        <v>7.68</v>
      </c>
      <c r="BX293">
        <v>0.59</v>
      </c>
      <c r="BY293">
        <v>41.4</v>
      </c>
      <c r="BZ293">
        <v>0.1</v>
      </c>
      <c r="CA293">
        <v>0.19</v>
      </c>
      <c r="CB293">
        <v>0.32</v>
      </c>
      <c r="CC293">
        <v>0.1</v>
      </c>
      <c r="CD293">
        <v>0.13</v>
      </c>
      <c r="CE293">
        <v>-0.54</v>
      </c>
      <c r="CF293">
        <v>0</v>
      </c>
      <c r="CG293">
        <v>-0.54</v>
      </c>
      <c r="CH293">
        <v>-0.54</v>
      </c>
      <c r="CI293">
        <v>-0.54</v>
      </c>
      <c r="CJ293">
        <v>-0.05</v>
      </c>
      <c r="CK293">
        <v>-0.59</v>
      </c>
      <c r="CL293">
        <v>19.489999999999998</v>
      </c>
      <c r="CM293">
        <v>-0.38</v>
      </c>
      <c r="CN293">
        <v>-0.64</v>
      </c>
      <c r="CO293">
        <v>24551</v>
      </c>
      <c r="CP293">
        <v>22074</v>
      </c>
      <c r="CQ293" t="s">
        <v>610</v>
      </c>
      <c r="CR293">
        <v>-13.14</v>
      </c>
      <c r="CS293">
        <v>-17.14</v>
      </c>
      <c r="CT293">
        <v>0.66</v>
      </c>
      <c r="CU293">
        <v>-51.25</v>
      </c>
      <c r="CV293">
        <v>196.56</v>
      </c>
      <c r="CW293">
        <v>0</v>
      </c>
      <c r="CX293" t="s">
        <v>2044</v>
      </c>
      <c r="CY293">
        <v>3.64</v>
      </c>
      <c r="CZ293">
        <v>0</v>
      </c>
      <c r="DA293">
        <v>0.04</v>
      </c>
      <c r="DB293">
        <v>2.36</v>
      </c>
      <c r="DC293">
        <v>-0.05</v>
      </c>
      <c r="DD293">
        <v>66.430000000000007</v>
      </c>
      <c r="DE293" t="s">
        <v>2045</v>
      </c>
      <c r="DF293">
        <v>-24.9</v>
      </c>
      <c r="DG293">
        <v>-536.37</v>
      </c>
      <c r="DH293">
        <v>-536.34</v>
      </c>
      <c r="DI293" t="s">
        <v>120</v>
      </c>
      <c r="DJ293">
        <v>157</v>
      </c>
      <c r="DK293">
        <v>809</v>
      </c>
      <c r="DL293" t="s">
        <v>120</v>
      </c>
      <c r="DM293" t="s">
        <v>120</v>
      </c>
      <c r="DN293" t="s">
        <v>120</v>
      </c>
    </row>
    <row r="294" spans="1:118">
      <c r="A294" t="str">
        <f>"000810"</f>
        <v>000810</v>
      </c>
      <c r="B294" t="s">
        <v>2046</v>
      </c>
      <c r="C294">
        <v>-2.0699999999999998</v>
      </c>
      <c r="D294">
        <v>0</v>
      </c>
      <c r="E294">
        <v>0.24</v>
      </c>
      <c r="F294">
        <v>1543</v>
      </c>
      <c r="G294" t="s">
        <v>2047</v>
      </c>
      <c r="H294">
        <v>5051.67</v>
      </c>
      <c r="I294">
        <v>6.74</v>
      </c>
      <c r="J294" t="s">
        <v>120</v>
      </c>
      <c r="K294" t="s">
        <v>2048</v>
      </c>
      <c r="L294">
        <v>0.61</v>
      </c>
      <c r="M294">
        <v>8.0299999999999994</v>
      </c>
      <c r="N294">
        <v>0.69</v>
      </c>
      <c r="O294">
        <v>1.22</v>
      </c>
      <c r="P294">
        <v>8.3000000000000007</v>
      </c>
      <c r="Q294">
        <v>-2.2000000000000002</v>
      </c>
      <c r="R294">
        <v>8.02</v>
      </c>
      <c r="S294">
        <v>8.2200000000000006</v>
      </c>
      <c r="T294">
        <v>62085</v>
      </c>
      <c r="U294">
        <v>8.0399999999999991</v>
      </c>
      <c r="V294">
        <v>8.1999999999999993</v>
      </c>
      <c r="W294">
        <v>15.02</v>
      </c>
      <c r="X294" t="s">
        <v>205</v>
      </c>
      <c r="Y294" t="s">
        <v>578</v>
      </c>
      <c r="Z294">
        <v>3.41</v>
      </c>
      <c r="AA294">
        <v>8.14</v>
      </c>
      <c r="AB294">
        <v>39438</v>
      </c>
      <c r="AC294">
        <v>22647</v>
      </c>
      <c r="AD294">
        <v>1.74</v>
      </c>
      <c r="AE294">
        <v>17</v>
      </c>
      <c r="AF294">
        <v>56</v>
      </c>
      <c r="AG294" t="s">
        <v>120</v>
      </c>
      <c r="AH294">
        <v>0</v>
      </c>
      <c r="AI294" t="s">
        <v>120</v>
      </c>
      <c r="AJ294">
        <v>10.25</v>
      </c>
      <c r="AK294" t="s">
        <v>2049</v>
      </c>
      <c r="AL294">
        <v>-0.16</v>
      </c>
      <c r="AM294">
        <v>2060</v>
      </c>
      <c r="AN294">
        <v>30</v>
      </c>
      <c r="AO294">
        <v>2.9999999999999997E-4</v>
      </c>
      <c r="AP294">
        <v>-3</v>
      </c>
      <c r="AQ294">
        <v>-0.49</v>
      </c>
      <c r="AR294">
        <v>-4.9800000000000004</v>
      </c>
      <c r="AS294">
        <v>4.5599999999999996</v>
      </c>
      <c r="AT294">
        <v>-10.38</v>
      </c>
      <c r="AU294">
        <v>1.78</v>
      </c>
      <c r="AV294">
        <v>0</v>
      </c>
      <c r="AW294">
        <v>1.48</v>
      </c>
      <c r="AX294">
        <v>39.54</v>
      </c>
      <c r="AY294">
        <v>17.82</v>
      </c>
      <c r="AZ294">
        <v>22.72</v>
      </c>
      <c r="BA294">
        <v>0.41</v>
      </c>
      <c r="BB294" t="s">
        <v>143</v>
      </c>
      <c r="BF294">
        <v>-0.77</v>
      </c>
      <c r="BG294">
        <v>-2.31</v>
      </c>
      <c r="BH294">
        <v>-3.25</v>
      </c>
      <c r="BI294">
        <v>0.12</v>
      </c>
      <c r="BJ294">
        <v>20210825</v>
      </c>
      <c r="BK294">
        <v>19980602</v>
      </c>
      <c r="BL294">
        <v>10.63</v>
      </c>
      <c r="BM294" t="s">
        <v>120</v>
      </c>
      <c r="BN294" t="s">
        <v>120</v>
      </c>
      <c r="BO294">
        <v>103.87</v>
      </c>
      <c r="BP294">
        <v>8.0299999999999994</v>
      </c>
      <c r="BQ294">
        <v>43.85</v>
      </c>
      <c r="BR294">
        <v>0.44</v>
      </c>
      <c r="BS294">
        <v>57.36</v>
      </c>
      <c r="BT294">
        <v>88.76</v>
      </c>
      <c r="BU294">
        <v>7.41</v>
      </c>
      <c r="BV294">
        <v>1.64</v>
      </c>
      <c r="BW294">
        <v>48.55</v>
      </c>
      <c r="BX294">
        <v>29.67</v>
      </c>
      <c r="BY294">
        <v>17.97</v>
      </c>
      <c r="BZ294">
        <v>31.86</v>
      </c>
      <c r="CA294">
        <v>0.01</v>
      </c>
      <c r="CB294">
        <v>5.21</v>
      </c>
      <c r="CC294">
        <v>45.75</v>
      </c>
      <c r="CD294">
        <v>38.229999999999997</v>
      </c>
      <c r="CE294">
        <v>2.85</v>
      </c>
      <c r="CF294">
        <v>0.95</v>
      </c>
      <c r="CG294">
        <v>2.9</v>
      </c>
      <c r="CH294">
        <v>2.86</v>
      </c>
      <c r="CI294">
        <v>2.84</v>
      </c>
      <c r="CJ294">
        <v>-0.17</v>
      </c>
      <c r="CK294">
        <v>1.51</v>
      </c>
      <c r="CL294">
        <v>24.89</v>
      </c>
      <c r="CM294">
        <v>-1.35</v>
      </c>
      <c r="CN294">
        <v>-4.59</v>
      </c>
      <c r="CO294">
        <v>50347</v>
      </c>
      <c r="CP294">
        <v>8351</v>
      </c>
      <c r="CQ294" t="s">
        <v>2050</v>
      </c>
      <c r="CR294">
        <v>59.09</v>
      </c>
      <c r="CS294">
        <v>23.37</v>
      </c>
      <c r="CT294">
        <v>2.0099999999999998</v>
      </c>
      <c r="CU294">
        <v>-63.33</v>
      </c>
      <c r="CV294">
        <v>1.87</v>
      </c>
      <c r="CW294">
        <v>1.22</v>
      </c>
      <c r="CX294" t="s">
        <v>2051</v>
      </c>
      <c r="CY294">
        <v>4</v>
      </c>
      <c r="CZ294">
        <v>4</v>
      </c>
      <c r="DA294">
        <v>0.49</v>
      </c>
      <c r="DB294">
        <v>2.34</v>
      </c>
      <c r="DC294">
        <v>-0.13</v>
      </c>
      <c r="DD294">
        <v>42.22</v>
      </c>
      <c r="DE294" t="s">
        <v>2052</v>
      </c>
      <c r="DF294">
        <v>16.45</v>
      </c>
      <c r="DG294">
        <v>6.23</v>
      </c>
      <c r="DH294">
        <v>6.21</v>
      </c>
      <c r="DI294">
        <v>2.63</v>
      </c>
      <c r="DJ294">
        <v>6658</v>
      </c>
      <c r="DK294">
        <v>810</v>
      </c>
      <c r="DL294" t="s">
        <v>120</v>
      </c>
      <c r="DM294" t="s">
        <v>120</v>
      </c>
      <c r="DN294" t="s">
        <v>120</v>
      </c>
    </row>
    <row r="295" spans="1:118">
      <c r="A295" t="str">
        <f>"000811"</f>
        <v>000811</v>
      </c>
      <c r="B295" t="s">
        <v>2053</v>
      </c>
      <c r="C295">
        <v>-4.9800000000000004</v>
      </c>
      <c r="D295">
        <v>0</v>
      </c>
      <c r="E295">
        <v>0.08</v>
      </c>
      <c r="F295">
        <v>996</v>
      </c>
      <c r="G295" t="s">
        <v>2054</v>
      </c>
      <c r="H295">
        <v>29058.639999999999</v>
      </c>
      <c r="I295">
        <v>193.38</v>
      </c>
      <c r="J295" t="s">
        <v>120</v>
      </c>
      <c r="K295" t="s">
        <v>2055</v>
      </c>
      <c r="L295">
        <v>3.26</v>
      </c>
      <c r="M295">
        <v>11.65</v>
      </c>
      <c r="N295">
        <v>1.1200000000000001</v>
      </c>
      <c r="O295">
        <v>1.47</v>
      </c>
      <c r="P295">
        <v>12.44</v>
      </c>
      <c r="Q295">
        <v>-6.2</v>
      </c>
      <c r="R295">
        <v>11.5</v>
      </c>
      <c r="S295">
        <v>12.27</v>
      </c>
      <c r="T295">
        <v>243212</v>
      </c>
      <c r="U295">
        <v>11.66</v>
      </c>
      <c r="V295">
        <v>12.26</v>
      </c>
      <c r="W295">
        <v>33.19</v>
      </c>
      <c r="X295" t="s">
        <v>593</v>
      </c>
      <c r="Y295" t="s">
        <v>638</v>
      </c>
      <c r="Z295">
        <v>7.67</v>
      </c>
      <c r="AA295">
        <v>11.95</v>
      </c>
      <c r="AB295">
        <v>144630</v>
      </c>
      <c r="AC295">
        <v>98582</v>
      </c>
      <c r="AD295">
        <v>1.47</v>
      </c>
      <c r="AE295">
        <v>406</v>
      </c>
      <c r="AF295">
        <v>428</v>
      </c>
      <c r="AG295" t="s">
        <v>120</v>
      </c>
      <c r="AH295">
        <v>0.04</v>
      </c>
      <c r="AI295" t="s">
        <v>120</v>
      </c>
      <c r="AJ295">
        <v>7.46</v>
      </c>
      <c r="AK295" t="s">
        <v>2055</v>
      </c>
      <c r="AL295">
        <v>-3.06</v>
      </c>
      <c r="AM295">
        <v>3984</v>
      </c>
      <c r="AN295">
        <v>61</v>
      </c>
      <c r="AO295">
        <v>8.0000000000000004E-4</v>
      </c>
      <c r="AP295">
        <v>-1</v>
      </c>
      <c r="AQ295">
        <v>3.29</v>
      </c>
      <c r="AR295">
        <v>3.2</v>
      </c>
      <c r="AS295">
        <v>-6.8</v>
      </c>
      <c r="AT295">
        <v>19.48</v>
      </c>
      <c r="AU295">
        <v>34.06</v>
      </c>
      <c r="AV295">
        <v>5</v>
      </c>
      <c r="AW295">
        <v>5.68</v>
      </c>
      <c r="AX295">
        <v>57.37</v>
      </c>
      <c r="AY295">
        <v>35.92</v>
      </c>
      <c r="AZ295">
        <v>41.09</v>
      </c>
      <c r="BA295">
        <v>1.03</v>
      </c>
      <c r="BB295" t="s">
        <v>143</v>
      </c>
      <c r="BF295">
        <v>-2.5499999999999998</v>
      </c>
      <c r="BG295">
        <v>-5.05</v>
      </c>
      <c r="BH295">
        <v>-6.35</v>
      </c>
      <c r="BI295">
        <v>1.3</v>
      </c>
      <c r="BJ295">
        <v>20210830</v>
      </c>
      <c r="BK295">
        <v>19980528</v>
      </c>
      <c r="BL295">
        <v>7.46</v>
      </c>
      <c r="BM295" t="s">
        <v>120</v>
      </c>
      <c r="BN295" t="s">
        <v>120</v>
      </c>
      <c r="BO295">
        <v>84.33</v>
      </c>
      <c r="BP295">
        <v>11.65</v>
      </c>
      <c r="BQ295">
        <v>44.94</v>
      </c>
      <c r="BR295">
        <v>1.8</v>
      </c>
      <c r="BS295">
        <v>44.57</v>
      </c>
      <c r="BT295">
        <v>46.36</v>
      </c>
      <c r="BU295">
        <v>9.3699999999999992</v>
      </c>
      <c r="BV295">
        <v>1.75</v>
      </c>
      <c r="BW295">
        <v>33.770000000000003</v>
      </c>
      <c r="BX295">
        <v>10.49</v>
      </c>
      <c r="BY295">
        <v>8.65</v>
      </c>
      <c r="BZ295">
        <v>12.1</v>
      </c>
      <c r="CA295" t="s">
        <v>120</v>
      </c>
      <c r="CB295">
        <v>4.6399999999999997</v>
      </c>
      <c r="CC295">
        <v>23.51</v>
      </c>
      <c r="CD295">
        <v>18.54</v>
      </c>
      <c r="CE295">
        <v>1.52</v>
      </c>
      <c r="CF295">
        <v>0.32</v>
      </c>
      <c r="CG295">
        <v>1.52</v>
      </c>
      <c r="CH295">
        <v>1.27</v>
      </c>
      <c r="CI295">
        <v>1.31</v>
      </c>
      <c r="CJ295">
        <v>-0.61</v>
      </c>
      <c r="CK295">
        <v>0.99</v>
      </c>
      <c r="CL295">
        <v>26.27</v>
      </c>
      <c r="CM295">
        <v>-1.98</v>
      </c>
      <c r="CN295">
        <v>-4.01</v>
      </c>
      <c r="CO295">
        <v>30679</v>
      </c>
      <c r="CP295">
        <v>13948</v>
      </c>
      <c r="CQ295" t="s">
        <v>2056</v>
      </c>
      <c r="CR295">
        <v>32.4</v>
      </c>
      <c r="CS295">
        <v>46.62</v>
      </c>
      <c r="CT295">
        <v>1.93</v>
      </c>
      <c r="CU295">
        <v>-43.99</v>
      </c>
      <c r="CV295">
        <v>3.7</v>
      </c>
      <c r="CW295">
        <v>0.41</v>
      </c>
      <c r="CX295" t="s">
        <v>242</v>
      </c>
      <c r="CY295">
        <v>6.03</v>
      </c>
      <c r="CZ295">
        <v>0</v>
      </c>
      <c r="DA295">
        <v>0.62</v>
      </c>
      <c r="DB295">
        <v>3.52</v>
      </c>
      <c r="DC295">
        <v>-0.26</v>
      </c>
      <c r="DD295">
        <v>53.3</v>
      </c>
      <c r="DE295" t="s">
        <v>323</v>
      </c>
      <c r="DF295">
        <v>21.15</v>
      </c>
      <c r="DG295">
        <v>6.47</v>
      </c>
      <c r="DH295">
        <v>5.57</v>
      </c>
      <c r="DI295">
        <v>0.77</v>
      </c>
      <c r="DJ295">
        <v>1403</v>
      </c>
      <c r="DK295">
        <v>811</v>
      </c>
      <c r="DL295" t="s">
        <v>120</v>
      </c>
      <c r="DM295" t="s">
        <v>120</v>
      </c>
      <c r="DN295" t="s">
        <v>120</v>
      </c>
    </row>
    <row r="296" spans="1:118">
      <c r="A296" t="str">
        <f>"000812"</f>
        <v>000812</v>
      </c>
      <c r="B296" t="s">
        <v>2057</v>
      </c>
      <c r="C296">
        <v>-1.1200000000000001</v>
      </c>
      <c r="D296">
        <v>0</v>
      </c>
      <c r="E296">
        <v>-0.56000000000000005</v>
      </c>
      <c r="F296">
        <v>1533</v>
      </c>
      <c r="G296" t="s">
        <v>2058</v>
      </c>
      <c r="H296">
        <v>6187.69</v>
      </c>
      <c r="I296">
        <v>66.03</v>
      </c>
      <c r="J296" t="s">
        <v>120</v>
      </c>
      <c r="K296" t="s">
        <v>2059</v>
      </c>
      <c r="L296">
        <v>2.2599999999999998</v>
      </c>
      <c r="M296">
        <v>3.53</v>
      </c>
      <c r="N296">
        <v>0.99</v>
      </c>
      <c r="O296">
        <v>1.4</v>
      </c>
      <c r="P296">
        <v>3.62</v>
      </c>
      <c r="Q296">
        <v>-1.4</v>
      </c>
      <c r="R296">
        <v>3.52</v>
      </c>
      <c r="S296">
        <v>3.55</v>
      </c>
      <c r="T296">
        <v>173301</v>
      </c>
      <c r="U296">
        <v>3.54</v>
      </c>
      <c r="V296">
        <v>3.57</v>
      </c>
      <c r="W296">
        <v>91.4</v>
      </c>
      <c r="X296" t="s">
        <v>339</v>
      </c>
      <c r="Y296" t="s">
        <v>890</v>
      </c>
      <c r="Z296">
        <v>2.8</v>
      </c>
      <c r="AA296">
        <v>3.57</v>
      </c>
      <c r="AB296">
        <v>87796</v>
      </c>
      <c r="AC296">
        <v>85505</v>
      </c>
      <c r="AD296">
        <v>1.03</v>
      </c>
      <c r="AE296">
        <v>504</v>
      </c>
      <c r="AF296">
        <v>1650</v>
      </c>
      <c r="AG296" t="s">
        <v>120</v>
      </c>
      <c r="AH296">
        <v>0.03</v>
      </c>
      <c r="AI296" t="s">
        <v>120</v>
      </c>
      <c r="AJ296">
        <v>7.68</v>
      </c>
      <c r="AK296" t="s">
        <v>2060</v>
      </c>
      <c r="AL296">
        <v>0.79</v>
      </c>
      <c r="AM296">
        <v>1681</v>
      </c>
      <c r="AN296">
        <v>103</v>
      </c>
      <c r="AO296">
        <v>1.2999999999999999E-3</v>
      </c>
      <c r="AP296">
        <v>-1</v>
      </c>
      <c r="AQ296">
        <v>1.71</v>
      </c>
      <c r="AR296">
        <v>-1.67</v>
      </c>
      <c r="AS296">
        <v>4.74</v>
      </c>
      <c r="AT296">
        <v>2.91</v>
      </c>
      <c r="AU296">
        <v>-2.48</v>
      </c>
      <c r="AV296">
        <v>11</v>
      </c>
      <c r="AW296">
        <v>3.08</v>
      </c>
      <c r="AX296">
        <v>73.28</v>
      </c>
      <c r="AY296">
        <v>103.41</v>
      </c>
      <c r="AZ296">
        <v>114.58</v>
      </c>
      <c r="BA296">
        <v>0.45</v>
      </c>
      <c r="BB296" t="s">
        <v>168</v>
      </c>
      <c r="BF296">
        <v>0.01</v>
      </c>
      <c r="BG296">
        <v>-0.56000000000000005</v>
      </c>
      <c r="BH296">
        <v>-2.4900000000000002</v>
      </c>
      <c r="BI296">
        <v>0.28000000000000003</v>
      </c>
      <c r="BJ296">
        <v>20210812</v>
      </c>
      <c r="BK296">
        <v>19980623</v>
      </c>
      <c r="BL296">
        <v>7.69</v>
      </c>
      <c r="BM296" t="s">
        <v>120</v>
      </c>
      <c r="BN296" t="s">
        <v>120</v>
      </c>
      <c r="BO296">
        <v>35.81</v>
      </c>
      <c r="BP296">
        <v>3.53</v>
      </c>
      <c r="BQ296">
        <v>16.329999999999998</v>
      </c>
      <c r="BR296">
        <v>0.48</v>
      </c>
      <c r="BS296">
        <v>53.06</v>
      </c>
      <c r="BT296">
        <v>10.65</v>
      </c>
      <c r="BU296">
        <v>10.54</v>
      </c>
      <c r="BV296">
        <v>1.06</v>
      </c>
      <c r="BW296">
        <v>14.11</v>
      </c>
      <c r="BX296">
        <v>2.68</v>
      </c>
      <c r="BY296">
        <v>4.1100000000000003</v>
      </c>
      <c r="BZ296">
        <v>2.06</v>
      </c>
      <c r="CA296" t="s">
        <v>120</v>
      </c>
      <c r="CB296">
        <v>1.93</v>
      </c>
      <c r="CC296">
        <v>5.68</v>
      </c>
      <c r="CD296">
        <v>4.07</v>
      </c>
      <c r="CE296">
        <v>0.23</v>
      </c>
      <c r="CF296">
        <v>-0.01</v>
      </c>
      <c r="CG296">
        <v>0.23</v>
      </c>
      <c r="CH296">
        <v>0.16</v>
      </c>
      <c r="CI296">
        <v>0.15</v>
      </c>
      <c r="CJ296">
        <v>-0.04</v>
      </c>
      <c r="CK296">
        <v>0.1</v>
      </c>
      <c r="CL296">
        <v>3.97</v>
      </c>
      <c r="CM296">
        <v>-1.56</v>
      </c>
      <c r="CN296">
        <v>0.09</v>
      </c>
      <c r="CO296">
        <v>50957</v>
      </c>
      <c r="CP296">
        <v>11055</v>
      </c>
      <c r="CQ296" t="s">
        <v>2061</v>
      </c>
      <c r="CR296">
        <v>21.11</v>
      </c>
      <c r="CS296">
        <v>34.06</v>
      </c>
      <c r="CT296">
        <v>1.66</v>
      </c>
      <c r="CU296">
        <v>-17.36</v>
      </c>
      <c r="CV296">
        <v>4.7699999999999996</v>
      </c>
      <c r="CW296">
        <v>0</v>
      </c>
      <c r="CX296" t="s">
        <v>753</v>
      </c>
      <c r="CY296">
        <v>2.12</v>
      </c>
      <c r="CZ296">
        <v>0</v>
      </c>
      <c r="DA296">
        <v>0.25</v>
      </c>
      <c r="DB296">
        <v>0.52</v>
      </c>
      <c r="DC296">
        <v>-0.2</v>
      </c>
      <c r="DD296">
        <v>45.62</v>
      </c>
      <c r="DE296" t="s">
        <v>2062</v>
      </c>
      <c r="DF296">
        <v>28.36</v>
      </c>
      <c r="DG296">
        <v>4</v>
      </c>
      <c r="DH296">
        <v>2.61</v>
      </c>
      <c r="DI296">
        <v>0.22</v>
      </c>
      <c r="DJ296">
        <v>1739</v>
      </c>
      <c r="DK296">
        <v>812</v>
      </c>
      <c r="DL296" t="s">
        <v>120</v>
      </c>
      <c r="DM296" t="s">
        <v>120</v>
      </c>
      <c r="DN296" t="s">
        <v>120</v>
      </c>
    </row>
    <row r="297" spans="1:118">
      <c r="A297" t="str">
        <f>"000813"</f>
        <v>000813</v>
      </c>
      <c r="B297" t="s">
        <v>2063</v>
      </c>
      <c r="C297">
        <v>-1.62</v>
      </c>
      <c r="D297">
        <v>0</v>
      </c>
      <c r="E297">
        <v>-0.69</v>
      </c>
      <c r="F297">
        <v>2558</v>
      </c>
      <c r="G297" t="s">
        <v>2064</v>
      </c>
      <c r="H297">
        <v>7272.84</v>
      </c>
      <c r="I297">
        <v>10.41</v>
      </c>
      <c r="J297" t="s">
        <v>120</v>
      </c>
      <c r="K297" t="s">
        <v>2065</v>
      </c>
      <c r="L297">
        <v>0.76</v>
      </c>
      <c r="M297">
        <v>4.26</v>
      </c>
      <c r="N297">
        <v>0.64</v>
      </c>
      <c r="O297">
        <v>1.1499999999999999</v>
      </c>
      <c r="P297">
        <v>4.38</v>
      </c>
      <c r="Q297">
        <v>-1.85</v>
      </c>
      <c r="R297">
        <v>4.25</v>
      </c>
      <c r="S297">
        <v>4.3</v>
      </c>
      <c r="T297">
        <v>168628</v>
      </c>
      <c r="U297">
        <v>4.2699999999999996</v>
      </c>
      <c r="V297">
        <v>4.33</v>
      </c>
      <c r="W297">
        <v>46.54</v>
      </c>
      <c r="X297" t="s">
        <v>569</v>
      </c>
      <c r="Y297" t="s">
        <v>609</v>
      </c>
      <c r="Z297">
        <v>3</v>
      </c>
      <c r="AA297">
        <v>4.3099999999999996</v>
      </c>
      <c r="AB297">
        <v>87720</v>
      </c>
      <c r="AC297">
        <v>80908</v>
      </c>
      <c r="AD297">
        <v>1.08</v>
      </c>
      <c r="AE297">
        <v>1794</v>
      </c>
      <c r="AF297">
        <v>300</v>
      </c>
      <c r="AG297" t="s">
        <v>120</v>
      </c>
      <c r="AH297">
        <v>0</v>
      </c>
      <c r="AI297" t="s">
        <v>120</v>
      </c>
      <c r="AJ297">
        <v>22.2</v>
      </c>
      <c r="AK297" t="s">
        <v>2066</v>
      </c>
      <c r="AL297">
        <v>0.3</v>
      </c>
      <c r="AM297">
        <v>2245</v>
      </c>
      <c r="AN297">
        <v>75</v>
      </c>
      <c r="AO297">
        <v>2.9999999999999997E-4</v>
      </c>
      <c r="AP297">
        <v>-1</v>
      </c>
      <c r="AQ297">
        <v>0.46</v>
      </c>
      <c r="AR297">
        <v>-3.63</v>
      </c>
      <c r="AS297">
        <v>-3.62</v>
      </c>
      <c r="AT297">
        <v>-4.0599999999999996</v>
      </c>
      <c r="AU297">
        <v>0.95</v>
      </c>
      <c r="AV297">
        <v>6</v>
      </c>
      <c r="AW297">
        <v>2.0499999999999998</v>
      </c>
      <c r="AX297">
        <v>36.619999999999997</v>
      </c>
      <c r="AY297">
        <v>47.41</v>
      </c>
      <c r="AZ297">
        <v>34.11</v>
      </c>
      <c r="BA297">
        <v>0.17</v>
      </c>
      <c r="BB297" t="s">
        <v>143</v>
      </c>
      <c r="BF297">
        <v>-0.39</v>
      </c>
      <c r="BG297">
        <v>-0.93</v>
      </c>
      <c r="BH297">
        <v>-2.74</v>
      </c>
      <c r="BI297">
        <v>0.24</v>
      </c>
      <c r="BJ297">
        <v>20210828</v>
      </c>
      <c r="BK297">
        <v>19980519</v>
      </c>
      <c r="BL297">
        <v>22.41</v>
      </c>
      <c r="BM297" t="s">
        <v>120</v>
      </c>
      <c r="BN297" t="s">
        <v>120</v>
      </c>
      <c r="BO297">
        <v>60.65</v>
      </c>
      <c r="BP297">
        <v>4.26</v>
      </c>
      <c r="BQ297">
        <v>55.31</v>
      </c>
      <c r="BR297">
        <v>0.43</v>
      </c>
      <c r="BS297">
        <v>8.1</v>
      </c>
      <c r="BT297">
        <v>33.22</v>
      </c>
      <c r="BU297">
        <v>5.08</v>
      </c>
      <c r="BV297">
        <v>1.86</v>
      </c>
      <c r="BW297">
        <v>4.54</v>
      </c>
      <c r="BX297">
        <v>12.24</v>
      </c>
      <c r="BY297">
        <v>2.8</v>
      </c>
      <c r="BZ297">
        <v>3.94</v>
      </c>
      <c r="CA297" t="s">
        <v>120</v>
      </c>
      <c r="CB297">
        <v>5.64</v>
      </c>
      <c r="CC297">
        <v>3.92</v>
      </c>
      <c r="CD297">
        <v>1.23</v>
      </c>
      <c r="CE297">
        <v>1.1299999999999999</v>
      </c>
      <c r="CF297">
        <v>7.0000000000000007E-2</v>
      </c>
      <c r="CG297">
        <v>1.1299999999999999</v>
      </c>
      <c r="CH297">
        <v>0.9</v>
      </c>
      <c r="CI297">
        <v>1.03</v>
      </c>
      <c r="CJ297">
        <v>-7.0000000000000007E-2</v>
      </c>
      <c r="CK297">
        <v>0.91</v>
      </c>
      <c r="CL297">
        <v>40.549999999999997</v>
      </c>
      <c r="CM297">
        <v>1.57</v>
      </c>
      <c r="CN297">
        <v>-5.94</v>
      </c>
      <c r="CO297">
        <v>52666</v>
      </c>
      <c r="CP297">
        <v>15586</v>
      </c>
      <c r="CQ297" t="s">
        <v>2067</v>
      </c>
      <c r="CR297">
        <v>-43.77</v>
      </c>
      <c r="CS297">
        <v>-45.17</v>
      </c>
      <c r="CT297">
        <v>1.73</v>
      </c>
      <c r="CU297">
        <v>60.85</v>
      </c>
      <c r="CV297">
        <v>24.37</v>
      </c>
      <c r="CW297">
        <v>4.8499999999999996</v>
      </c>
      <c r="CX297" t="s">
        <v>2068</v>
      </c>
      <c r="CY297">
        <v>2.4700000000000002</v>
      </c>
      <c r="CZ297">
        <v>0</v>
      </c>
      <c r="DA297">
        <v>0.25</v>
      </c>
      <c r="DB297">
        <v>1.81</v>
      </c>
      <c r="DC297">
        <v>7.0000000000000007E-2</v>
      </c>
      <c r="DD297">
        <v>91.19</v>
      </c>
      <c r="DE297" t="s">
        <v>2069</v>
      </c>
      <c r="DF297">
        <v>68.53</v>
      </c>
      <c r="DG297">
        <v>28.83</v>
      </c>
      <c r="DH297">
        <v>26.18</v>
      </c>
      <c r="DI297">
        <v>0.34</v>
      </c>
      <c r="DJ297">
        <v>1132</v>
      </c>
      <c r="DK297">
        <v>813</v>
      </c>
      <c r="DL297" t="s">
        <v>120</v>
      </c>
      <c r="DM297" t="s">
        <v>120</v>
      </c>
      <c r="DN297" t="s">
        <v>120</v>
      </c>
    </row>
    <row r="298" spans="1:118">
      <c r="A298" t="str">
        <f>"000815"</f>
        <v>000815</v>
      </c>
      <c r="B298" t="s">
        <v>2070</v>
      </c>
      <c r="C298">
        <v>-1.45</v>
      </c>
      <c r="D298">
        <v>0</v>
      </c>
      <c r="E298">
        <v>-1.02</v>
      </c>
      <c r="F298">
        <v>3042</v>
      </c>
      <c r="G298" t="s">
        <v>2071</v>
      </c>
      <c r="H298">
        <v>16224.65</v>
      </c>
      <c r="I298">
        <v>130.53</v>
      </c>
      <c r="J298" t="s">
        <v>120</v>
      </c>
      <c r="K298" t="s">
        <v>2072</v>
      </c>
      <c r="L298">
        <v>3.4</v>
      </c>
      <c r="M298">
        <v>6.79</v>
      </c>
      <c r="N298">
        <v>0.6</v>
      </c>
      <c r="O298">
        <v>2.0299999999999998</v>
      </c>
      <c r="P298">
        <v>7.03</v>
      </c>
      <c r="Q298">
        <v>-2.0299999999999998</v>
      </c>
      <c r="R298">
        <v>6.75</v>
      </c>
      <c r="S298">
        <v>6.82</v>
      </c>
      <c r="T298">
        <v>236651</v>
      </c>
      <c r="U298">
        <v>6.79</v>
      </c>
      <c r="V298">
        <v>6.89</v>
      </c>
      <c r="W298">
        <v>113.19</v>
      </c>
      <c r="X298" t="s">
        <v>814</v>
      </c>
      <c r="Y298" t="s">
        <v>1110</v>
      </c>
      <c r="Z298">
        <v>4.0599999999999996</v>
      </c>
      <c r="AA298">
        <v>6.86</v>
      </c>
      <c r="AB298">
        <v>131816</v>
      </c>
      <c r="AC298">
        <v>104835</v>
      </c>
      <c r="AD298">
        <v>1.26</v>
      </c>
      <c r="AE298">
        <v>275</v>
      </c>
      <c r="AF298">
        <v>8</v>
      </c>
      <c r="AG298" t="s">
        <v>120</v>
      </c>
      <c r="AH298">
        <v>0.05</v>
      </c>
      <c r="AI298" t="s">
        <v>120</v>
      </c>
      <c r="AJ298">
        <v>6.95</v>
      </c>
      <c r="AK298" t="s">
        <v>2072</v>
      </c>
      <c r="AL298">
        <v>0.46</v>
      </c>
      <c r="AM298">
        <v>3138</v>
      </c>
      <c r="AN298">
        <v>75</v>
      </c>
      <c r="AO298">
        <v>1.1000000000000001E-3</v>
      </c>
      <c r="AP298">
        <v>-2</v>
      </c>
      <c r="AQ298">
        <v>-3.09</v>
      </c>
      <c r="AR298">
        <v>-1.45</v>
      </c>
      <c r="AS298">
        <v>31.34</v>
      </c>
      <c r="AT298">
        <v>32.1</v>
      </c>
      <c r="AU298">
        <v>26.92</v>
      </c>
      <c r="AV298">
        <v>7</v>
      </c>
      <c r="AW298">
        <v>6.56</v>
      </c>
      <c r="AX298">
        <v>51.88</v>
      </c>
      <c r="AY298">
        <v>79.900000000000006</v>
      </c>
      <c r="AZ298">
        <v>98.7</v>
      </c>
      <c r="BA298">
        <v>0.26</v>
      </c>
      <c r="BB298" t="s">
        <v>341</v>
      </c>
      <c r="BF298">
        <v>-0.49</v>
      </c>
      <c r="BG298">
        <v>-0.44</v>
      </c>
      <c r="BH298">
        <v>-3.41</v>
      </c>
      <c r="BI298">
        <v>0.59</v>
      </c>
      <c r="BJ298">
        <v>20210827</v>
      </c>
      <c r="BK298">
        <v>19980609</v>
      </c>
      <c r="BL298">
        <v>6.95</v>
      </c>
      <c r="BM298" t="s">
        <v>120</v>
      </c>
      <c r="BN298" t="s">
        <v>120</v>
      </c>
      <c r="BO298">
        <v>31.31</v>
      </c>
      <c r="BP298">
        <v>6.78</v>
      </c>
      <c r="BQ298">
        <v>21.54</v>
      </c>
      <c r="BR298">
        <v>0.33</v>
      </c>
      <c r="BS298">
        <v>30.13</v>
      </c>
      <c r="BT298">
        <v>16.96</v>
      </c>
      <c r="BU298">
        <v>8.5500000000000007</v>
      </c>
      <c r="BV298">
        <v>0.22</v>
      </c>
      <c r="BW298">
        <v>7.2</v>
      </c>
      <c r="BX298">
        <v>0.54</v>
      </c>
      <c r="BY298">
        <v>6.57</v>
      </c>
      <c r="BZ298">
        <v>2.1800000000000002</v>
      </c>
      <c r="CA298" t="s">
        <v>120</v>
      </c>
      <c r="CB298">
        <v>19.579999999999998</v>
      </c>
      <c r="CC298">
        <v>5.54</v>
      </c>
      <c r="CD298">
        <v>4.87</v>
      </c>
      <c r="CE298">
        <v>0.21</v>
      </c>
      <c r="CF298">
        <v>0.06</v>
      </c>
      <c r="CG298">
        <v>0.22</v>
      </c>
      <c r="CH298">
        <v>0.21</v>
      </c>
      <c r="CI298">
        <v>0.21</v>
      </c>
      <c r="CJ298">
        <v>-0.1</v>
      </c>
      <c r="CK298">
        <v>0.09</v>
      </c>
      <c r="CL298">
        <v>-5.68</v>
      </c>
      <c r="CM298">
        <v>-0.4</v>
      </c>
      <c r="CN298">
        <v>-0.7</v>
      </c>
      <c r="CO298">
        <v>32629</v>
      </c>
      <c r="CP298">
        <v>11054</v>
      </c>
      <c r="CQ298" t="s">
        <v>2073</v>
      </c>
      <c r="CR298">
        <v>121.15</v>
      </c>
      <c r="CS298">
        <v>10.78</v>
      </c>
      <c r="CT298">
        <v>2.19</v>
      </c>
      <c r="CU298">
        <v>-117.78</v>
      </c>
      <c r="CV298">
        <v>8.52</v>
      </c>
      <c r="CW298">
        <v>0</v>
      </c>
      <c r="CX298" t="s">
        <v>2074</v>
      </c>
      <c r="CY298">
        <v>3.1</v>
      </c>
      <c r="CZ298">
        <v>0</v>
      </c>
      <c r="DA298">
        <v>2.82</v>
      </c>
      <c r="DB298">
        <v>-0.82</v>
      </c>
      <c r="DC298">
        <v>-0.06</v>
      </c>
      <c r="DD298">
        <v>68.81</v>
      </c>
      <c r="DE298" t="s">
        <v>2075</v>
      </c>
      <c r="DF298">
        <v>12.08</v>
      </c>
      <c r="DG298">
        <v>3.82</v>
      </c>
      <c r="DH298">
        <v>3.76</v>
      </c>
      <c r="DI298">
        <v>0.1</v>
      </c>
      <c r="DJ298">
        <v>1153</v>
      </c>
      <c r="DK298">
        <v>815</v>
      </c>
      <c r="DL298">
        <v>20210830</v>
      </c>
      <c r="DM298">
        <v>6.56</v>
      </c>
      <c r="DN298">
        <v>3.51</v>
      </c>
    </row>
    <row r="299" spans="1:118">
      <c r="A299" t="str">
        <f>"000816"</f>
        <v>000816</v>
      </c>
      <c r="B299" t="s">
        <v>2076</v>
      </c>
      <c r="C299">
        <v>-9.09</v>
      </c>
      <c r="D299">
        <v>-0.25</v>
      </c>
      <c r="E299">
        <v>-1.91</v>
      </c>
      <c r="F299">
        <v>21201</v>
      </c>
      <c r="G299" t="s">
        <v>2077</v>
      </c>
      <c r="H299">
        <v>90653.14</v>
      </c>
      <c r="I299">
        <v>1996</v>
      </c>
      <c r="J299" t="s">
        <v>120</v>
      </c>
      <c r="K299" t="s">
        <v>2078</v>
      </c>
      <c r="L299">
        <v>17.07</v>
      </c>
      <c r="M299">
        <v>3.8</v>
      </c>
      <c r="N299">
        <v>1.1599999999999999</v>
      </c>
      <c r="O299">
        <v>0.48</v>
      </c>
      <c r="P299">
        <v>4.2</v>
      </c>
      <c r="Q299">
        <v>-10.050000000000001</v>
      </c>
      <c r="R299">
        <v>3.76</v>
      </c>
      <c r="S299">
        <v>4.0999999999999996</v>
      </c>
      <c r="T299">
        <v>2283963</v>
      </c>
      <c r="U299">
        <v>3.81</v>
      </c>
      <c r="V299">
        <v>4.18</v>
      </c>
      <c r="W299">
        <v>89.37</v>
      </c>
      <c r="X299" t="s">
        <v>2079</v>
      </c>
      <c r="Y299" t="s">
        <v>319</v>
      </c>
      <c r="Z299">
        <v>10.53</v>
      </c>
      <c r="AA299">
        <v>3.97</v>
      </c>
      <c r="AB299">
        <v>1259154</v>
      </c>
      <c r="AC299">
        <v>1024809</v>
      </c>
      <c r="AD299">
        <v>1.23</v>
      </c>
      <c r="AE299">
        <v>4928</v>
      </c>
      <c r="AF299">
        <v>2237</v>
      </c>
      <c r="AG299" t="s">
        <v>120</v>
      </c>
      <c r="AH299">
        <v>0.46</v>
      </c>
      <c r="AI299" t="s">
        <v>120</v>
      </c>
      <c r="AJ299">
        <v>13.38</v>
      </c>
      <c r="AK299" t="s">
        <v>2080</v>
      </c>
      <c r="AL299">
        <v>-7.18</v>
      </c>
      <c r="AM299">
        <v>4629</v>
      </c>
      <c r="AN299">
        <v>493</v>
      </c>
      <c r="AO299">
        <v>3.7000000000000002E-3</v>
      </c>
      <c r="AP299">
        <v>-3</v>
      </c>
      <c r="AQ299">
        <v>-0.24</v>
      </c>
      <c r="AR299">
        <v>-14.03</v>
      </c>
      <c r="AS299">
        <v>31.49</v>
      </c>
      <c r="AT299">
        <v>34.75</v>
      </c>
      <c r="AU299">
        <v>-3.8</v>
      </c>
      <c r="AV299">
        <v>26</v>
      </c>
      <c r="AW299">
        <v>21.74</v>
      </c>
      <c r="AX299">
        <v>73.75</v>
      </c>
      <c r="AY299">
        <v>95.5</v>
      </c>
      <c r="AZ299">
        <v>108.08</v>
      </c>
      <c r="BA299">
        <v>0.31</v>
      </c>
      <c r="BB299" t="s">
        <v>341</v>
      </c>
      <c r="BF299">
        <v>-5.05</v>
      </c>
      <c r="BG299">
        <v>-7.32</v>
      </c>
      <c r="BH299">
        <v>-9.52</v>
      </c>
      <c r="BI299">
        <v>1.06</v>
      </c>
      <c r="BJ299">
        <v>20210803</v>
      </c>
      <c r="BK299">
        <v>19970818</v>
      </c>
      <c r="BL299">
        <v>14.25</v>
      </c>
      <c r="BM299" t="s">
        <v>120</v>
      </c>
      <c r="BN299" t="s">
        <v>120</v>
      </c>
      <c r="BO299">
        <v>39.47</v>
      </c>
      <c r="BP299">
        <v>3.8</v>
      </c>
      <c r="BQ299">
        <v>21.25</v>
      </c>
      <c r="BR299">
        <v>3.5</v>
      </c>
      <c r="BS299">
        <v>37.29</v>
      </c>
      <c r="BT299">
        <v>17.78</v>
      </c>
      <c r="BU299">
        <v>6.77</v>
      </c>
      <c r="BV299">
        <v>7.41</v>
      </c>
      <c r="BW299">
        <v>14.08</v>
      </c>
      <c r="BX299">
        <v>5.43</v>
      </c>
      <c r="BY299">
        <v>2.2999999999999998</v>
      </c>
      <c r="BZ299">
        <v>2.8</v>
      </c>
      <c r="CA299" t="s">
        <v>120</v>
      </c>
      <c r="CB299">
        <v>12.94</v>
      </c>
      <c r="CC299">
        <v>12.92</v>
      </c>
      <c r="CD299">
        <v>11.83</v>
      </c>
      <c r="CE299">
        <v>0.41</v>
      </c>
      <c r="CF299">
        <v>0.05</v>
      </c>
      <c r="CG299">
        <v>0.4</v>
      </c>
      <c r="CH299">
        <v>0.34</v>
      </c>
      <c r="CI299">
        <v>0.3</v>
      </c>
      <c r="CJ299">
        <v>-0.38</v>
      </c>
      <c r="CK299">
        <v>0.25</v>
      </c>
      <c r="CL299">
        <v>-7.11</v>
      </c>
      <c r="CM299">
        <v>-1.07</v>
      </c>
      <c r="CN299">
        <v>-0.94</v>
      </c>
      <c r="CO299">
        <v>156726</v>
      </c>
      <c r="CP299">
        <v>6703</v>
      </c>
      <c r="CQ299" t="s">
        <v>2081</v>
      </c>
      <c r="CR299">
        <v>31.52</v>
      </c>
      <c r="CS299">
        <v>148.31</v>
      </c>
      <c r="CT299">
        <v>2.5499999999999998</v>
      </c>
      <c r="CU299">
        <v>-50.61</v>
      </c>
      <c r="CV299">
        <v>4.1900000000000004</v>
      </c>
      <c r="CW299">
        <v>0</v>
      </c>
      <c r="CX299" t="s">
        <v>1016</v>
      </c>
      <c r="CY299">
        <v>1.49</v>
      </c>
      <c r="CZ299">
        <v>0</v>
      </c>
      <c r="DA299">
        <v>0.91</v>
      </c>
      <c r="DB299">
        <v>-0.5</v>
      </c>
      <c r="DC299">
        <v>-0.08</v>
      </c>
      <c r="DD299">
        <v>53.83</v>
      </c>
      <c r="DE299" t="s">
        <v>1242</v>
      </c>
      <c r="DF299">
        <v>8.41</v>
      </c>
      <c r="DG299">
        <v>3.21</v>
      </c>
      <c r="DH299">
        <v>2.34</v>
      </c>
      <c r="DI299">
        <v>0.03</v>
      </c>
      <c r="DJ299">
        <v>1758</v>
      </c>
      <c r="DK299">
        <v>816</v>
      </c>
      <c r="DL299">
        <v>20210908</v>
      </c>
      <c r="DM299">
        <v>3.32</v>
      </c>
      <c r="DN299">
        <v>14.46</v>
      </c>
    </row>
    <row r="300" spans="1:118">
      <c r="A300" t="str">
        <f>"000818"</f>
        <v>000818</v>
      </c>
      <c r="B300" t="s">
        <v>2082</v>
      </c>
      <c r="C300">
        <v>-3.06</v>
      </c>
      <c r="D300">
        <v>-0.44</v>
      </c>
      <c r="E300">
        <v>0.22</v>
      </c>
      <c r="F300">
        <v>1330</v>
      </c>
      <c r="G300" t="s">
        <v>2083</v>
      </c>
      <c r="H300">
        <v>35388.99</v>
      </c>
      <c r="I300">
        <v>193.7</v>
      </c>
      <c r="J300" t="s">
        <v>120</v>
      </c>
      <c r="K300" t="s">
        <v>2084</v>
      </c>
      <c r="L300">
        <v>1.65</v>
      </c>
      <c r="M300">
        <v>31.02</v>
      </c>
      <c r="N300">
        <v>1.0900000000000001</v>
      </c>
      <c r="O300">
        <v>1.47</v>
      </c>
      <c r="P300">
        <v>32.47</v>
      </c>
      <c r="Q300">
        <v>-3.13</v>
      </c>
      <c r="R300">
        <v>31</v>
      </c>
      <c r="S300">
        <v>32.07</v>
      </c>
      <c r="T300">
        <v>111522</v>
      </c>
      <c r="U300">
        <v>31.02</v>
      </c>
      <c r="V300">
        <v>32</v>
      </c>
      <c r="W300">
        <v>25.99</v>
      </c>
      <c r="X300" t="s">
        <v>868</v>
      </c>
      <c r="Y300" t="s">
        <v>432</v>
      </c>
      <c r="Z300">
        <v>4.59</v>
      </c>
      <c r="AA300">
        <v>31.73</v>
      </c>
      <c r="AB300">
        <v>67793</v>
      </c>
      <c r="AC300">
        <v>43729</v>
      </c>
      <c r="AD300">
        <v>1.55</v>
      </c>
      <c r="AE300">
        <v>66</v>
      </c>
      <c r="AF300">
        <v>166</v>
      </c>
      <c r="AG300" t="s">
        <v>120</v>
      </c>
      <c r="AH300">
        <v>0.01</v>
      </c>
      <c r="AI300" t="s">
        <v>120</v>
      </c>
      <c r="AJ300">
        <v>6.76</v>
      </c>
      <c r="AK300" t="s">
        <v>2085</v>
      </c>
      <c r="AL300">
        <v>-1.1499999999999999</v>
      </c>
      <c r="AM300">
        <v>3529</v>
      </c>
      <c r="AN300">
        <v>32</v>
      </c>
      <c r="AO300">
        <v>5.0000000000000001E-4</v>
      </c>
      <c r="AP300">
        <v>-1</v>
      </c>
      <c r="AQ300">
        <v>1.17</v>
      </c>
      <c r="AR300">
        <v>-2.2999999999999998</v>
      </c>
      <c r="AS300">
        <v>-3.9</v>
      </c>
      <c r="AT300">
        <v>9.1300000000000008</v>
      </c>
      <c r="AU300">
        <v>49.26</v>
      </c>
      <c r="AV300">
        <v>4</v>
      </c>
      <c r="AW300">
        <v>2.27</v>
      </c>
      <c r="AX300">
        <v>72.069999999999993</v>
      </c>
      <c r="AY300">
        <v>39.35</v>
      </c>
      <c r="AZ300">
        <v>92.83</v>
      </c>
      <c r="BA300">
        <v>1.1499999999999999</v>
      </c>
      <c r="BB300" t="s">
        <v>143</v>
      </c>
      <c r="BF300">
        <v>-0.84</v>
      </c>
      <c r="BG300">
        <v>-3.27</v>
      </c>
      <c r="BH300">
        <v>-4.47</v>
      </c>
      <c r="BI300">
        <v>0.06</v>
      </c>
      <c r="BJ300">
        <v>20210819</v>
      </c>
      <c r="BK300">
        <v>19971017</v>
      </c>
      <c r="BL300">
        <v>6.83</v>
      </c>
      <c r="BM300" t="s">
        <v>120</v>
      </c>
      <c r="BN300" t="s">
        <v>120</v>
      </c>
      <c r="BO300">
        <v>48.57</v>
      </c>
      <c r="BP300">
        <v>31.01</v>
      </c>
      <c r="BQ300">
        <v>31.97</v>
      </c>
      <c r="BR300">
        <v>2.67</v>
      </c>
      <c r="BS300">
        <v>28.69</v>
      </c>
      <c r="BT300">
        <v>18.600000000000001</v>
      </c>
      <c r="BU300">
        <v>11.56</v>
      </c>
      <c r="BV300">
        <v>5.99</v>
      </c>
      <c r="BW300">
        <v>12.32</v>
      </c>
      <c r="BX300">
        <v>3.2</v>
      </c>
      <c r="BY300">
        <v>4.8099999999999996</v>
      </c>
      <c r="BZ300">
        <v>5.56</v>
      </c>
      <c r="CA300" t="s">
        <v>120</v>
      </c>
      <c r="CB300">
        <v>8.7100000000000009</v>
      </c>
      <c r="CC300">
        <v>22.93</v>
      </c>
      <c r="CD300">
        <v>16.09</v>
      </c>
      <c r="CE300">
        <v>4.5599999999999996</v>
      </c>
      <c r="CF300">
        <v>0.01</v>
      </c>
      <c r="CG300">
        <v>4.5599999999999996</v>
      </c>
      <c r="CH300">
        <v>3.95</v>
      </c>
      <c r="CI300">
        <v>4.07</v>
      </c>
      <c r="CJ300">
        <v>-0.98</v>
      </c>
      <c r="CK300">
        <v>4</v>
      </c>
      <c r="CL300">
        <v>15.16</v>
      </c>
      <c r="CM300">
        <v>2.19</v>
      </c>
      <c r="CN300">
        <v>-0.9</v>
      </c>
      <c r="CO300">
        <v>42268</v>
      </c>
      <c r="CP300">
        <v>11639</v>
      </c>
      <c r="CQ300" t="s">
        <v>2086</v>
      </c>
      <c r="CR300">
        <v>371.54</v>
      </c>
      <c r="CS300">
        <v>51.09</v>
      </c>
      <c r="CT300">
        <v>6.62</v>
      </c>
      <c r="CU300">
        <v>96.62</v>
      </c>
      <c r="CV300">
        <v>9.23</v>
      </c>
      <c r="CW300">
        <v>0.78</v>
      </c>
      <c r="CX300" t="s">
        <v>817</v>
      </c>
      <c r="CY300">
        <v>4.68</v>
      </c>
      <c r="CZ300">
        <v>0</v>
      </c>
      <c r="DA300">
        <v>1.28</v>
      </c>
      <c r="DB300">
        <v>2.2200000000000002</v>
      </c>
      <c r="DC300">
        <v>0.32</v>
      </c>
      <c r="DD300">
        <v>65.81</v>
      </c>
      <c r="DE300" t="s">
        <v>2087</v>
      </c>
      <c r="DF300">
        <v>29.82</v>
      </c>
      <c r="DG300">
        <v>19.89</v>
      </c>
      <c r="DH300">
        <v>17.77</v>
      </c>
      <c r="DI300">
        <v>0.67</v>
      </c>
      <c r="DJ300">
        <v>4327</v>
      </c>
      <c r="DK300">
        <v>818</v>
      </c>
      <c r="DL300" t="s">
        <v>120</v>
      </c>
      <c r="DM300" t="s">
        <v>120</v>
      </c>
      <c r="DN300" t="s">
        <v>120</v>
      </c>
    </row>
    <row r="301" spans="1:118">
      <c r="A301" t="str">
        <f>"000819"</f>
        <v>000819</v>
      </c>
      <c r="B301" t="s">
        <v>2088</v>
      </c>
      <c r="C301">
        <v>0.26</v>
      </c>
      <c r="D301">
        <v>-0.12</v>
      </c>
      <c r="E301">
        <v>2.1800000000000002</v>
      </c>
      <c r="F301">
        <v>981</v>
      </c>
      <c r="G301" t="s">
        <v>2089</v>
      </c>
      <c r="H301">
        <v>10346.17</v>
      </c>
      <c r="I301">
        <v>102.53</v>
      </c>
      <c r="J301" t="s">
        <v>120</v>
      </c>
      <c r="K301" t="s">
        <v>2090</v>
      </c>
      <c r="L301">
        <v>4.33</v>
      </c>
      <c r="M301">
        <v>7.82</v>
      </c>
      <c r="N301">
        <v>1.82</v>
      </c>
      <c r="O301">
        <v>4.87</v>
      </c>
      <c r="P301">
        <v>8.18</v>
      </c>
      <c r="Q301">
        <v>-0.26</v>
      </c>
      <c r="R301">
        <v>7.78</v>
      </c>
      <c r="S301">
        <v>7.97</v>
      </c>
      <c r="T301">
        <v>129628</v>
      </c>
      <c r="U301">
        <v>7.82</v>
      </c>
      <c r="V301">
        <v>7.8</v>
      </c>
      <c r="W301">
        <v>97.4</v>
      </c>
      <c r="X301" t="s">
        <v>431</v>
      </c>
      <c r="Y301" t="s">
        <v>594</v>
      </c>
      <c r="Z301">
        <v>5.13</v>
      </c>
      <c r="AA301">
        <v>7.98</v>
      </c>
      <c r="AB301">
        <v>65639</v>
      </c>
      <c r="AC301">
        <v>63989</v>
      </c>
      <c r="AD301">
        <v>1.03</v>
      </c>
      <c r="AE301">
        <v>246</v>
      </c>
      <c r="AF301">
        <v>586</v>
      </c>
      <c r="AG301" t="s">
        <v>120</v>
      </c>
      <c r="AH301">
        <v>7.0000000000000007E-2</v>
      </c>
      <c r="AI301" t="s">
        <v>120</v>
      </c>
      <c r="AJ301">
        <v>2.99</v>
      </c>
      <c r="AK301" t="s">
        <v>2090</v>
      </c>
      <c r="AL301">
        <v>2.17</v>
      </c>
      <c r="AM301">
        <v>2721</v>
      </c>
      <c r="AN301">
        <v>48</v>
      </c>
      <c r="AO301">
        <v>1.6000000000000001E-3</v>
      </c>
      <c r="AP301">
        <v>4</v>
      </c>
      <c r="AQ301">
        <v>4.42</v>
      </c>
      <c r="AR301">
        <v>4.97</v>
      </c>
      <c r="AS301">
        <v>13.33</v>
      </c>
      <c r="AT301">
        <v>24.13</v>
      </c>
      <c r="AU301">
        <v>15.33</v>
      </c>
      <c r="AV301">
        <v>0</v>
      </c>
      <c r="AW301">
        <v>7.04</v>
      </c>
      <c r="AX301">
        <v>61.52</v>
      </c>
      <c r="AY301">
        <v>45.58</v>
      </c>
      <c r="AZ301">
        <v>85.97</v>
      </c>
      <c r="BA301">
        <v>0.27</v>
      </c>
      <c r="BB301" t="s">
        <v>700</v>
      </c>
      <c r="BF301">
        <v>2.33</v>
      </c>
      <c r="BG301">
        <v>-1.88</v>
      </c>
      <c r="BH301">
        <v>-4.4000000000000004</v>
      </c>
      <c r="BI301">
        <v>0.51</v>
      </c>
      <c r="BJ301">
        <v>20210817</v>
      </c>
      <c r="BK301">
        <v>19970625</v>
      </c>
      <c r="BL301">
        <v>2.99</v>
      </c>
      <c r="BM301" t="s">
        <v>120</v>
      </c>
      <c r="BN301" t="s">
        <v>120</v>
      </c>
      <c r="BO301">
        <v>9.93</v>
      </c>
      <c r="BP301">
        <v>7.81</v>
      </c>
      <c r="BQ301">
        <v>8.5399999999999991</v>
      </c>
      <c r="BR301">
        <v>0.24</v>
      </c>
      <c r="BS301">
        <v>11.54</v>
      </c>
      <c r="BT301">
        <v>5.27</v>
      </c>
      <c r="BU301">
        <v>1.36</v>
      </c>
      <c r="BV301">
        <v>0.55000000000000004</v>
      </c>
      <c r="BW301">
        <v>1.05</v>
      </c>
      <c r="BX301">
        <v>2.23</v>
      </c>
      <c r="BY301">
        <v>0.63</v>
      </c>
      <c r="BZ301">
        <v>0.23</v>
      </c>
      <c r="CA301">
        <v>0.01</v>
      </c>
      <c r="CB301">
        <v>0.7</v>
      </c>
      <c r="CC301">
        <v>6.75</v>
      </c>
      <c r="CD301">
        <v>6.12</v>
      </c>
      <c r="CE301">
        <v>0.18</v>
      </c>
      <c r="CF301">
        <v>0.01</v>
      </c>
      <c r="CG301">
        <v>0.19</v>
      </c>
      <c r="CH301">
        <v>0.14000000000000001</v>
      </c>
      <c r="CI301">
        <v>0.12</v>
      </c>
      <c r="CJ301">
        <v>0.02</v>
      </c>
      <c r="CK301">
        <v>0.12</v>
      </c>
      <c r="CL301">
        <v>2.97</v>
      </c>
      <c r="CM301">
        <v>-0.45</v>
      </c>
      <c r="CN301">
        <v>-0.49</v>
      </c>
      <c r="CO301">
        <v>27645</v>
      </c>
      <c r="CP301">
        <v>6657</v>
      </c>
      <c r="CQ301" t="s">
        <v>2091</v>
      </c>
      <c r="CR301">
        <v>199.74</v>
      </c>
      <c r="CS301">
        <v>7.34</v>
      </c>
      <c r="CT301">
        <v>2.74</v>
      </c>
      <c r="CU301">
        <v>-52.39</v>
      </c>
      <c r="CV301">
        <v>3.47</v>
      </c>
      <c r="CW301">
        <v>0.13</v>
      </c>
      <c r="CX301" t="s">
        <v>145</v>
      </c>
      <c r="CY301">
        <v>2.86</v>
      </c>
      <c r="CZ301">
        <v>0</v>
      </c>
      <c r="DA301">
        <v>0.24</v>
      </c>
      <c r="DB301">
        <v>0.99</v>
      </c>
      <c r="DC301">
        <v>-0.15</v>
      </c>
      <c r="DD301">
        <v>86.01</v>
      </c>
      <c r="DE301" t="s">
        <v>2092</v>
      </c>
      <c r="DF301">
        <v>9.36</v>
      </c>
      <c r="DG301">
        <v>2.71</v>
      </c>
      <c r="DH301">
        <v>1.78</v>
      </c>
      <c r="DI301">
        <v>0.02</v>
      </c>
      <c r="DJ301">
        <v>630</v>
      </c>
      <c r="DK301">
        <v>819</v>
      </c>
      <c r="DL301" t="s">
        <v>120</v>
      </c>
      <c r="DM301" t="s">
        <v>120</v>
      </c>
      <c r="DN301" t="s">
        <v>120</v>
      </c>
    </row>
    <row r="302" spans="1:118">
      <c r="A302" t="str">
        <f>"000821"</f>
        <v>000821</v>
      </c>
      <c r="B302" t="s">
        <v>2093</v>
      </c>
      <c r="C302">
        <v>-9.35</v>
      </c>
      <c r="D302">
        <v>-0.05</v>
      </c>
      <c r="E302">
        <v>-0.54</v>
      </c>
      <c r="F302">
        <v>3332</v>
      </c>
      <c r="G302" t="s">
        <v>2094</v>
      </c>
      <c r="H302">
        <v>85374.38</v>
      </c>
      <c r="I302">
        <v>498.95</v>
      </c>
      <c r="J302" t="s">
        <v>120</v>
      </c>
      <c r="K302" t="s">
        <v>2095</v>
      </c>
      <c r="L302">
        <v>10.210000000000001</v>
      </c>
      <c r="M302">
        <v>16.86</v>
      </c>
      <c r="N302">
        <v>1.0900000000000001</v>
      </c>
      <c r="O302">
        <v>-0.22</v>
      </c>
      <c r="P302">
        <v>18.559999999999999</v>
      </c>
      <c r="Q302">
        <v>-10</v>
      </c>
      <c r="R302">
        <v>16.739999999999998</v>
      </c>
      <c r="S302">
        <v>18.5</v>
      </c>
      <c r="T302">
        <v>486487</v>
      </c>
      <c r="U302">
        <v>16.86</v>
      </c>
      <c r="V302">
        <v>18.600000000000001</v>
      </c>
      <c r="W302">
        <v>46.97</v>
      </c>
      <c r="X302" t="s">
        <v>348</v>
      </c>
      <c r="Y302" t="s">
        <v>763</v>
      </c>
      <c r="Z302">
        <v>9.7799999999999994</v>
      </c>
      <c r="AA302">
        <v>17.55</v>
      </c>
      <c r="AB302">
        <v>271617</v>
      </c>
      <c r="AC302">
        <v>214870</v>
      </c>
      <c r="AD302">
        <v>1.26</v>
      </c>
      <c r="AE302">
        <v>497</v>
      </c>
      <c r="AF302">
        <v>1279</v>
      </c>
      <c r="AG302" t="s">
        <v>120</v>
      </c>
      <c r="AH302">
        <v>0.08</v>
      </c>
      <c r="AI302" t="s">
        <v>120</v>
      </c>
      <c r="AJ302">
        <v>4.76</v>
      </c>
      <c r="AK302" t="s">
        <v>1203</v>
      </c>
      <c r="AL302">
        <v>-7.44</v>
      </c>
      <c r="AM302">
        <v>4546</v>
      </c>
      <c r="AN302">
        <v>107</v>
      </c>
      <c r="AO302">
        <v>2.2000000000000001E-3</v>
      </c>
      <c r="AP302">
        <v>-1</v>
      </c>
      <c r="AQ302">
        <v>5.44</v>
      </c>
      <c r="AR302">
        <v>3.5</v>
      </c>
      <c r="AS302">
        <v>33.49</v>
      </c>
      <c r="AT302">
        <v>97.65</v>
      </c>
      <c r="AU302">
        <v>62.58</v>
      </c>
      <c r="AV302">
        <v>10</v>
      </c>
      <c r="AW302">
        <v>15.33</v>
      </c>
      <c r="AX302">
        <v>50.94</v>
      </c>
      <c r="AY302">
        <v>100.46</v>
      </c>
      <c r="AZ302">
        <v>191.94</v>
      </c>
      <c r="BA302">
        <v>0.64</v>
      </c>
      <c r="BB302" t="s">
        <v>751</v>
      </c>
      <c r="BF302">
        <v>-5.65</v>
      </c>
      <c r="BG302">
        <v>-8.86</v>
      </c>
      <c r="BH302">
        <v>-9.16</v>
      </c>
      <c r="BI302">
        <v>0.72</v>
      </c>
      <c r="BJ302">
        <v>20210902</v>
      </c>
      <c r="BK302">
        <v>19980626</v>
      </c>
      <c r="BL302">
        <v>6.23</v>
      </c>
      <c r="BM302" t="s">
        <v>120</v>
      </c>
      <c r="BN302" t="s">
        <v>120</v>
      </c>
      <c r="BO302">
        <v>73.349999999999994</v>
      </c>
      <c r="BP302">
        <v>16.850000000000001</v>
      </c>
      <c r="BQ302">
        <v>29.76</v>
      </c>
      <c r="BR302">
        <v>1.05</v>
      </c>
      <c r="BS302">
        <v>58</v>
      </c>
      <c r="BT302">
        <v>57.54</v>
      </c>
      <c r="BU302">
        <v>3.63</v>
      </c>
      <c r="BV302">
        <v>1.69</v>
      </c>
      <c r="BW302">
        <v>40.380000000000003</v>
      </c>
      <c r="BX302">
        <v>11.31</v>
      </c>
      <c r="BY302">
        <v>23.57</v>
      </c>
      <c r="BZ302">
        <v>11.5</v>
      </c>
      <c r="CA302" t="s">
        <v>120</v>
      </c>
      <c r="CB302">
        <v>20.53</v>
      </c>
      <c r="CC302">
        <v>19.55</v>
      </c>
      <c r="CD302">
        <v>15.52</v>
      </c>
      <c r="CE302">
        <v>1.25</v>
      </c>
      <c r="CF302">
        <v>0.03</v>
      </c>
      <c r="CG302">
        <v>1.24</v>
      </c>
      <c r="CH302">
        <v>1.1100000000000001</v>
      </c>
      <c r="CI302">
        <v>1.1200000000000001</v>
      </c>
      <c r="CJ302">
        <v>-1.74</v>
      </c>
      <c r="CK302">
        <v>1.08</v>
      </c>
      <c r="CL302">
        <v>1.9</v>
      </c>
      <c r="CM302">
        <v>-0.5</v>
      </c>
      <c r="CN302">
        <v>4.26</v>
      </c>
      <c r="CO302">
        <v>64000</v>
      </c>
      <c r="CP302">
        <v>4958</v>
      </c>
      <c r="CQ302" t="s">
        <v>2096</v>
      </c>
      <c r="CR302">
        <v>96.71</v>
      </c>
      <c r="CS302">
        <v>54.15</v>
      </c>
      <c r="CT302">
        <v>3.53</v>
      </c>
      <c r="CU302">
        <v>-209.91</v>
      </c>
      <c r="CV302">
        <v>5.37</v>
      </c>
      <c r="CW302">
        <v>0</v>
      </c>
      <c r="CX302" t="s">
        <v>2097</v>
      </c>
      <c r="CY302">
        <v>4.78</v>
      </c>
      <c r="CZ302">
        <v>0</v>
      </c>
      <c r="DA302">
        <v>3.3</v>
      </c>
      <c r="DB302">
        <v>0.3</v>
      </c>
      <c r="DC302">
        <v>-0.08</v>
      </c>
      <c r="DD302">
        <v>40.58</v>
      </c>
      <c r="DE302" t="s">
        <v>2098</v>
      </c>
      <c r="DF302">
        <v>20.62</v>
      </c>
      <c r="DG302">
        <v>6.39</v>
      </c>
      <c r="DH302">
        <v>5.72</v>
      </c>
      <c r="DI302">
        <v>0.85</v>
      </c>
      <c r="DJ302">
        <v>3472</v>
      </c>
      <c r="DK302">
        <v>821</v>
      </c>
      <c r="DL302" t="s">
        <v>120</v>
      </c>
      <c r="DM302" t="s">
        <v>120</v>
      </c>
      <c r="DN302" t="s">
        <v>120</v>
      </c>
    </row>
    <row r="303" spans="1:118">
      <c r="A303" t="str">
        <f>"000822"</f>
        <v>000822</v>
      </c>
      <c r="B303" t="s">
        <v>2099</v>
      </c>
      <c r="C303">
        <v>-1.1499999999999999</v>
      </c>
      <c r="D303">
        <v>0</v>
      </c>
      <c r="E303">
        <v>0.95</v>
      </c>
      <c r="F303">
        <v>3019</v>
      </c>
      <c r="G303" t="s">
        <v>2100</v>
      </c>
      <c r="H303">
        <v>67134.37</v>
      </c>
      <c r="I303">
        <v>449.4</v>
      </c>
      <c r="J303" t="s">
        <v>120</v>
      </c>
      <c r="K303" t="s">
        <v>2101</v>
      </c>
      <c r="L303">
        <v>5</v>
      </c>
      <c r="M303">
        <v>14.64</v>
      </c>
      <c r="N303">
        <v>0.78</v>
      </c>
      <c r="O303">
        <v>4.66</v>
      </c>
      <c r="P303">
        <v>15.5</v>
      </c>
      <c r="Q303">
        <v>-2.0299999999999998</v>
      </c>
      <c r="R303">
        <v>14.51</v>
      </c>
      <c r="S303">
        <v>14.95</v>
      </c>
      <c r="T303">
        <v>447596</v>
      </c>
      <c r="U303">
        <v>14.65</v>
      </c>
      <c r="V303">
        <v>14.81</v>
      </c>
      <c r="W303">
        <v>25.97</v>
      </c>
      <c r="X303" t="s">
        <v>868</v>
      </c>
      <c r="Y303" t="s">
        <v>638</v>
      </c>
      <c r="Z303">
        <v>6.68</v>
      </c>
      <c r="AA303">
        <v>15</v>
      </c>
      <c r="AB303">
        <v>261950</v>
      </c>
      <c r="AC303">
        <v>185646</v>
      </c>
      <c r="AD303">
        <v>1.41</v>
      </c>
      <c r="AE303">
        <v>403</v>
      </c>
      <c r="AF303">
        <v>379</v>
      </c>
      <c r="AG303" t="s">
        <v>120</v>
      </c>
      <c r="AH303">
        <v>0.06</v>
      </c>
      <c r="AI303" t="s">
        <v>120</v>
      </c>
      <c r="AJ303">
        <v>8.9499999999999993</v>
      </c>
      <c r="AK303" t="s">
        <v>2101</v>
      </c>
      <c r="AL303">
        <v>0.77</v>
      </c>
      <c r="AM303">
        <v>4458</v>
      </c>
      <c r="AN303">
        <v>100</v>
      </c>
      <c r="AO303">
        <v>1.1000000000000001E-3</v>
      </c>
      <c r="AP303">
        <v>-2</v>
      </c>
      <c r="AQ303">
        <v>-3.71</v>
      </c>
      <c r="AR303">
        <v>-3.37</v>
      </c>
      <c r="AS303">
        <v>29.9</v>
      </c>
      <c r="AT303">
        <v>117.53</v>
      </c>
      <c r="AU303">
        <v>280.26</v>
      </c>
      <c r="AV303">
        <v>13</v>
      </c>
      <c r="AW303">
        <v>8.3800000000000008</v>
      </c>
      <c r="AX303">
        <v>59.66</v>
      </c>
      <c r="AY303">
        <v>98.61</v>
      </c>
      <c r="AZ303" t="s">
        <v>120</v>
      </c>
      <c r="BA303">
        <v>0.87</v>
      </c>
      <c r="BB303" t="s">
        <v>125</v>
      </c>
      <c r="BF303">
        <v>1.28</v>
      </c>
      <c r="BG303">
        <v>-2.0699999999999998</v>
      </c>
      <c r="BH303">
        <v>-5.55</v>
      </c>
      <c r="BI303">
        <v>0.9</v>
      </c>
      <c r="BJ303">
        <v>20210806</v>
      </c>
      <c r="BK303">
        <v>19980703</v>
      </c>
      <c r="BL303">
        <v>8.9499999999999993</v>
      </c>
      <c r="BM303" t="s">
        <v>120</v>
      </c>
      <c r="BN303" t="s">
        <v>120</v>
      </c>
      <c r="BO303">
        <v>45.29</v>
      </c>
      <c r="BP303">
        <v>14.64</v>
      </c>
      <c r="BQ303">
        <v>33</v>
      </c>
      <c r="BR303">
        <v>-0.28999999999999998</v>
      </c>
      <c r="BS303">
        <v>27.78</v>
      </c>
      <c r="BT303">
        <v>22.3</v>
      </c>
      <c r="BU303">
        <v>19.89</v>
      </c>
      <c r="BV303">
        <v>0.97</v>
      </c>
      <c r="BW303">
        <v>11.42</v>
      </c>
      <c r="BX303">
        <v>4.13</v>
      </c>
      <c r="BY303">
        <v>3.67</v>
      </c>
      <c r="BZ303">
        <v>1.77</v>
      </c>
      <c r="CA303">
        <v>0.09</v>
      </c>
      <c r="CB303">
        <v>15.28</v>
      </c>
      <c r="CC303">
        <v>25.21</v>
      </c>
      <c r="CD303">
        <v>20.12</v>
      </c>
      <c r="CE303">
        <v>3.41</v>
      </c>
      <c r="CF303">
        <v>0.04</v>
      </c>
      <c r="CG303">
        <v>3.41</v>
      </c>
      <c r="CH303">
        <v>2.5299999999999998</v>
      </c>
      <c r="CI303">
        <v>2.52</v>
      </c>
      <c r="CJ303">
        <v>-0.17</v>
      </c>
      <c r="CK303">
        <v>2.4900000000000002</v>
      </c>
      <c r="CL303">
        <v>4.7</v>
      </c>
      <c r="CM303">
        <v>1.1000000000000001</v>
      </c>
      <c r="CN303">
        <v>0.59</v>
      </c>
      <c r="CO303">
        <v>52070</v>
      </c>
      <c r="CP303">
        <v>10256</v>
      </c>
      <c r="CQ303" t="s">
        <v>2102</v>
      </c>
      <c r="CR303">
        <v>287.77</v>
      </c>
      <c r="CS303">
        <v>46.39</v>
      </c>
      <c r="CT303">
        <v>3.97</v>
      </c>
      <c r="CU303">
        <v>118.74</v>
      </c>
      <c r="CV303">
        <v>5.2</v>
      </c>
      <c r="CW303">
        <v>0.74</v>
      </c>
      <c r="CX303" t="s">
        <v>1054</v>
      </c>
      <c r="CY303">
        <v>3.69</v>
      </c>
      <c r="CZ303">
        <v>0</v>
      </c>
      <c r="DA303">
        <v>1.71</v>
      </c>
      <c r="DB303">
        <v>0.52</v>
      </c>
      <c r="DC303">
        <v>0.12</v>
      </c>
      <c r="DD303">
        <v>72.87</v>
      </c>
      <c r="DE303" t="s">
        <v>2103</v>
      </c>
      <c r="DF303">
        <v>20.22</v>
      </c>
      <c r="DG303">
        <v>13.53</v>
      </c>
      <c r="DH303">
        <v>10.01</v>
      </c>
      <c r="DI303" t="s">
        <v>120</v>
      </c>
      <c r="DJ303">
        <v>4494</v>
      </c>
      <c r="DK303">
        <v>822</v>
      </c>
      <c r="DL303">
        <v>20210715</v>
      </c>
      <c r="DM303">
        <v>8.6300000000000008</v>
      </c>
      <c r="DN303">
        <v>70.92</v>
      </c>
    </row>
    <row r="304" spans="1:118">
      <c r="A304" t="str">
        <f>"000823"</f>
        <v>000823</v>
      </c>
      <c r="B304" t="s">
        <v>2104</v>
      </c>
      <c r="C304">
        <v>-1.73</v>
      </c>
      <c r="D304">
        <v>0</v>
      </c>
      <c r="E304">
        <v>-0.17</v>
      </c>
      <c r="F304">
        <v>584</v>
      </c>
      <c r="G304" t="s">
        <v>2105</v>
      </c>
      <c r="H304">
        <v>12276.89</v>
      </c>
      <c r="I304">
        <v>72.709999999999994</v>
      </c>
      <c r="J304" t="s">
        <v>120</v>
      </c>
      <c r="K304" t="s">
        <v>2106</v>
      </c>
      <c r="L304">
        <v>1.98</v>
      </c>
      <c r="M304">
        <v>11.38</v>
      </c>
      <c r="N304">
        <v>0.93</v>
      </c>
      <c r="O304">
        <v>1.47</v>
      </c>
      <c r="P304">
        <v>11.75</v>
      </c>
      <c r="Q304">
        <v>-1.99</v>
      </c>
      <c r="R304">
        <v>11.35</v>
      </c>
      <c r="S304">
        <v>11.56</v>
      </c>
      <c r="T304">
        <v>106105</v>
      </c>
      <c r="U304">
        <v>11.39</v>
      </c>
      <c r="V304">
        <v>11.58</v>
      </c>
      <c r="W304">
        <v>17.940000000000001</v>
      </c>
      <c r="X304" t="s">
        <v>229</v>
      </c>
      <c r="Y304" t="s">
        <v>547</v>
      </c>
      <c r="Z304">
        <v>3.45</v>
      </c>
      <c r="AA304">
        <v>11.57</v>
      </c>
      <c r="AB304">
        <v>59766</v>
      </c>
      <c r="AC304">
        <v>46339</v>
      </c>
      <c r="AD304">
        <v>1.29</v>
      </c>
      <c r="AE304">
        <v>876</v>
      </c>
      <c r="AF304">
        <v>78</v>
      </c>
      <c r="AG304" t="s">
        <v>120</v>
      </c>
      <c r="AH304">
        <v>0.02</v>
      </c>
      <c r="AI304" t="s">
        <v>120</v>
      </c>
      <c r="AJ304">
        <v>5.37</v>
      </c>
      <c r="AK304" t="s">
        <v>2107</v>
      </c>
      <c r="AL304">
        <v>0.19</v>
      </c>
      <c r="AM304">
        <v>2498</v>
      </c>
      <c r="AN304">
        <v>42</v>
      </c>
      <c r="AO304">
        <v>8.0000000000000004E-4</v>
      </c>
      <c r="AP304">
        <v>-3</v>
      </c>
      <c r="AQ304">
        <v>-0.94</v>
      </c>
      <c r="AR304">
        <v>-4.45</v>
      </c>
      <c r="AS304">
        <v>-0.87</v>
      </c>
      <c r="AT304">
        <v>2.4300000000000002</v>
      </c>
      <c r="AU304">
        <v>0.36</v>
      </c>
      <c r="AV304">
        <v>0</v>
      </c>
      <c r="AW304">
        <v>2.84</v>
      </c>
      <c r="AX304">
        <v>69.680000000000007</v>
      </c>
      <c r="AY304">
        <v>17.77</v>
      </c>
      <c r="AZ304">
        <v>20.059999999999999</v>
      </c>
      <c r="BA304">
        <v>0.57999999999999996</v>
      </c>
      <c r="BB304" t="s">
        <v>125</v>
      </c>
      <c r="BF304">
        <v>-0.08</v>
      </c>
      <c r="BG304">
        <v>-1.56</v>
      </c>
      <c r="BH304">
        <v>-3.15</v>
      </c>
      <c r="BI304">
        <v>0.26</v>
      </c>
      <c r="BJ304">
        <v>20210830</v>
      </c>
      <c r="BK304">
        <v>19971008</v>
      </c>
      <c r="BL304">
        <v>5.37</v>
      </c>
      <c r="BM304" t="s">
        <v>120</v>
      </c>
      <c r="BN304" t="s">
        <v>120</v>
      </c>
      <c r="BO304">
        <v>73.63</v>
      </c>
      <c r="BP304">
        <v>11.38</v>
      </c>
      <c r="BQ304">
        <v>39.840000000000003</v>
      </c>
      <c r="BR304">
        <v>5.19</v>
      </c>
      <c r="BS304">
        <v>38.840000000000003</v>
      </c>
      <c r="BT304">
        <v>47.29</v>
      </c>
      <c r="BU304">
        <v>18.7</v>
      </c>
      <c r="BV304">
        <v>1.06</v>
      </c>
      <c r="BW304">
        <v>22.5</v>
      </c>
      <c r="BX304">
        <v>14.96</v>
      </c>
      <c r="BY304">
        <v>10.81</v>
      </c>
      <c r="BZ304">
        <v>18.04</v>
      </c>
      <c r="CA304" t="s">
        <v>120</v>
      </c>
      <c r="CB304">
        <v>14.25</v>
      </c>
      <c r="CC304">
        <v>31.94</v>
      </c>
      <c r="CD304">
        <v>25.34</v>
      </c>
      <c r="CE304">
        <v>2.46</v>
      </c>
      <c r="CF304">
        <v>0.04</v>
      </c>
      <c r="CG304">
        <v>2.4500000000000002</v>
      </c>
      <c r="CH304">
        <v>2.0299999999999998</v>
      </c>
      <c r="CI304">
        <v>1.7</v>
      </c>
      <c r="CJ304">
        <v>-0.2</v>
      </c>
      <c r="CK304">
        <v>1.65</v>
      </c>
      <c r="CL304">
        <v>16.25</v>
      </c>
      <c r="CM304">
        <v>2.4700000000000002</v>
      </c>
      <c r="CN304">
        <v>-1.48</v>
      </c>
      <c r="CO304">
        <v>55980</v>
      </c>
      <c r="CP304">
        <v>6684</v>
      </c>
      <c r="CQ304" t="s">
        <v>2108</v>
      </c>
      <c r="CR304">
        <v>30.72</v>
      </c>
      <c r="CS304">
        <v>39.04</v>
      </c>
      <c r="CT304">
        <v>1.58</v>
      </c>
      <c r="CU304">
        <v>24.72</v>
      </c>
      <c r="CV304">
        <v>1.91</v>
      </c>
      <c r="CW304">
        <v>1.1200000000000001</v>
      </c>
      <c r="CX304" t="s">
        <v>2109</v>
      </c>
      <c r="CY304">
        <v>7.19</v>
      </c>
      <c r="CZ304">
        <v>7.19</v>
      </c>
      <c r="DA304">
        <v>2.65</v>
      </c>
      <c r="DB304">
        <v>3.03</v>
      </c>
      <c r="DC304">
        <v>0.46</v>
      </c>
      <c r="DD304">
        <v>54.11</v>
      </c>
      <c r="DE304" t="s">
        <v>2110</v>
      </c>
      <c r="DF304">
        <v>20.65</v>
      </c>
      <c r="DG304">
        <v>7.71</v>
      </c>
      <c r="DH304">
        <v>5.33</v>
      </c>
      <c r="DI304">
        <v>1.39</v>
      </c>
      <c r="DJ304">
        <v>7056</v>
      </c>
      <c r="DK304">
        <v>823</v>
      </c>
      <c r="DL304" t="s">
        <v>120</v>
      </c>
      <c r="DM304" t="s">
        <v>120</v>
      </c>
      <c r="DN304" t="s">
        <v>120</v>
      </c>
    </row>
    <row r="305" spans="1:118">
      <c r="A305" t="str">
        <f>"000825"</f>
        <v>000825</v>
      </c>
      <c r="B305" t="s">
        <v>2111</v>
      </c>
      <c r="C305">
        <v>8.42</v>
      </c>
      <c r="D305">
        <v>1.48</v>
      </c>
      <c r="E305">
        <v>5.92</v>
      </c>
      <c r="F305">
        <v>55920</v>
      </c>
      <c r="G305" t="s">
        <v>2112</v>
      </c>
      <c r="H305">
        <v>363325.71</v>
      </c>
      <c r="I305">
        <v>7410.2</v>
      </c>
      <c r="J305" t="s">
        <v>120</v>
      </c>
      <c r="K305" t="s">
        <v>2113</v>
      </c>
      <c r="L305">
        <v>4.93</v>
      </c>
      <c r="M305">
        <v>13</v>
      </c>
      <c r="N305">
        <v>1.3</v>
      </c>
      <c r="O305">
        <v>10.01</v>
      </c>
      <c r="P305">
        <v>13.19</v>
      </c>
      <c r="Q305">
        <v>4.34</v>
      </c>
      <c r="R305">
        <v>12.51</v>
      </c>
      <c r="S305">
        <v>12.7</v>
      </c>
      <c r="T305">
        <v>2810551</v>
      </c>
      <c r="U305">
        <v>13</v>
      </c>
      <c r="V305">
        <v>11.99</v>
      </c>
      <c r="W305">
        <v>7.82</v>
      </c>
      <c r="X305" t="s">
        <v>1667</v>
      </c>
      <c r="Y305" t="s">
        <v>667</v>
      </c>
      <c r="Z305">
        <v>5.67</v>
      </c>
      <c r="AA305">
        <v>12.93</v>
      </c>
      <c r="AB305">
        <v>1668689</v>
      </c>
      <c r="AC305">
        <v>1141862</v>
      </c>
      <c r="AD305">
        <v>1.46</v>
      </c>
      <c r="AE305">
        <v>1</v>
      </c>
      <c r="AF305">
        <v>403</v>
      </c>
      <c r="AG305" t="s">
        <v>120</v>
      </c>
      <c r="AH305">
        <v>0.28000000000000003</v>
      </c>
      <c r="AI305" t="s">
        <v>120</v>
      </c>
      <c r="AJ305">
        <v>56.96</v>
      </c>
      <c r="AK305" t="s">
        <v>2114</v>
      </c>
      <c r="AL305">
        <v>10.34</v>
      </c>
      <c r="AM305">
        <v>4643</v>
      </c>
      <c r="AN305">
        <v>605</v>
      </c>
      <c r="AO305">
        <v>1.1000000000000001E-3</v>
      </c>
      <c r="AP305">
        <v>1</v>
      </c>
      <c r="AQ305">
        <v>-0.57999999999999996</v>
      </c>
      <c r="AR305">
        <v>0</v>
      </c>
      <c r="AS305">
        <v>52.58</v>
      </c>
      <c r="AT305">
        <v>76.16</v>
      </c>
      <c r="AU305">
        <v>276.05</v>
      </c>
      <c r="AV305">
        <v>9</v>
      </c>
      <c r="AW305">
        <v>13.45</v>
      </c>
      <c r="AX305">
        <v>36.69</v>
      </c>
      <c r="AY305">
        <v>11.62</v>
      </c>
      <c r="AZ305">
        <v>39.36</v>
      </c>
      <c r="BA305">
        <v>0.71</v>
      </c>
      <c r="BB305" t="s">
        <v>143</v>
      </c>
      <c r="BF305">
        <v>7.82</v>
      </c>
      <c r="BG305">
        <v>2.36</v>
      </c>
      <c r="BH305">
        <v>-1.44</v>
      </c>
      <c r="BI305">
        <v>3.92</v>
      </c>
      <c r="BJ305">
        <v>20210821</v>
      </c>
      <c r="BK305">
        <v>19981021</v>
      </c>
      <c r="BL305">
        <v>56.96</v>
      </c>
      <c r="BM305" t="s">
        <v>120</v>
      </c>
      <c r="BN305" t="s">
        <v>120</v>
      </c>
      <c r="BO305">
        <v>728.62</v>
      </c>
      <c r="BP305">
        <v>12.99</v>
      </c>
      <c r="BQ305">
        <v>368.4</v>
      </c>
      <c r="BR305">
        <v>5.28</v>
      </c>
      <c r="BS305">
        <v>48.71</v>
      </c>
      <c r="BT305">
        <v>258.10000000000002</v>
      </c>
      <c r="BU305">
        <v>405.83</v>
      </c>
      <c r="BV305">
        <v>2.13</v>
      </c>
      <c r="BW305">
        <v>282.7</v>
      </c>
      <c r="BX305">
        <v>125.11</v>
      </c>
      <c r="BY305">
        <v>90.06</v>
      </c>
      <c r="BZ305">
        <v>9.11</v>
      </c>
      <c r="CA305">
        <v>0.01</v>
      </c>
      <c r="CB305">
        <v>65.239999999999995</v>
      </c>
      <c r="CC305">
        <v>473.14</v>
      </c>
      <c r="CD305">
        <v>385.85</v>
      </c>
      <c r="CE305">
        <v>53.46</v>
      </c>
      <c r="CF305">
        <v>0.94</v>
      </c>
      <c r="CG305">
        <v>53.05</v>
      </c>
      <c r="CH305">
        <v>47.32</v>
      </c>
      <c r="CI305">
        <v>47.35</v>
      </c>
      <c r="CJ305">
        <v>1.01</v>
      </c>
      <c r="CK305">
        <v>47.37</v>
      </c>
      <c r="CL305">
        <v>215.72</v>
      </c>
      <c r="CM305">
        <v>83.35</v>
      </c>
      <c r="CN305">
        <v>28.44</v>
      </c>
      <c r="CO305">
        <v>149186</v>
      </c>
      <c r="CP305">
        <v>14007</v>
      </c>
      <c r="CQ305" t="s">
        <v>2115</v>
      </c>
      <c r="CR305">
        <v>702.5</v>
      </c>
      <c r="CS305">
        <v>43.93</v>
      </c>
      <c r="CT305">
        <v>2.0099999999999998</v>
      </c>
      <c r="CU305">
        <v>8.8800000000000008</v>
      </c>
      <c r="CV305">
        <v>1.57</v>
      </c>
      <c r="CW305">
        <v>1.28</v>
      </c>
      <c r="CX305" t="s">
        <v>655</v>
      </c>
      <c r="CY305">
        <v>6.47</v>
      </c>
      <c r="CZ305">
        <v>0</v>
      </c>
      <c r="DA305">
        <v>1.1499999999999999</v>
      </c>
      <c r="DB305">
        <v>3.79</v>
      </c>
      <c r="DC305">
        <v>1.46</v>
      </c>
      <c r="DD305">
        <v>50.56</v>
      </c>
      <c r="DE305" t="s">
        <v>2116</v>
      </c>
      <c r="DF305">
        <v>18.45</v>
      </c>
      <c r="DG305">
        <v>11.3</v>
      </c>
      <c r="DH305">
        <v>10.01</v>
      </c>
      <c r="DI305">
        <v>15.85</v>
      </c>
      <c r="DJ305">
        <v>18786</v>
      </c>
      <c r="DK305">
        <v>825</v>
      </c>
      <c r="DL305">
        <v>20210508</v>
      </c>
      <c r="DM305">
        <v>7.67</v>
      </c>
      <c r="DN305">
        <v>71.489999999999995</v>
      </c>
    </row>
    <row r="306" spans="1:118">
      <c r="A306" t="str">
        <f>"000826"</f>
        <v>000826</v>
      </c>
      <c r="B306" t="s">
        <v>2117</v>
      </c>
      <c r="C306">
        <v>-1.93</v>
      </c>
      <c r="D306">
        <v>-0.57999999999999996</v>
      </c>
      <c r="E306">
        <v>0.57999999999999996</v>
      </c>
      <c r="F306">
        <v>4802</v>
      </c>
      <c r="G306" t="s">
        <v>2118</v>
      </c>
      <c r="H306">
        <v>6547.27</v>
      </c>
      <c r="I306">
        <v>49.97</v>
      </c>
      <c r="J306" t="s">
        <v>120</v>
      </c>
      <c r="K306" t="s">
        <v>2119</v>
      </c>
      <c r="L306">
        <v>0.88</v>
      </c>
      <c r="M306">
        <v>5.07</v>
      </c>
      <c r="N306">
        <v>1.17</v>
      </c>
      <c r="O306">
        <v>2.13</v>
      </c>
      <c r="P306">
        <v>5.28</v>
      </c>
      <c r="Q306">
        <v>-1.93</v>
      </c>
      <c r="R306">
        <v>5.07</v>
      </c>
      <c r="S306">
        <v>5.2</v>
      </c>
      <c r="T306">
        <v>126243</v>
      </c>
      <c r="U306">
        <v>5.09</v>
      </c>
      <c r="V306">
        <v>5.17</v>
      </c>
      <c r="W306" t="s">
        <v>120</v>
      </c>
      <c r="X306" t="s">
        <v>318</v>
      </c>
      <c r="Y306" t="s">
        <v>763</v>
      </c>
      <c r="Z306">
        <v>4.0599999999999996</v>
      </c>
      <c r="AA306">
        <v>5.19</v>
      </c>
      <c r="AB306">
        <v>68753</v>
      </c>
      <c r="AC306">
        <v>57490</v>
      </c>
      <c r="AD306">
        <v>1.2</v>
      </c>
      <c r="AE306">
        <v>329</v>
      </c>
      <c r="AF306">
        <v>38</v>
      </c>
      <c r="AG306" t="s">
        <v>120</v>
      </c>
      <c r="AH306">
        <v>0.01</v>
      </c>
      <c r="AI306" t="s">
        <v>120</v>
      </c>
      <c r="AJ306">
        <v>14.27</v>
      </c>
      <c r="AK306" t="s">
        <v>2120</v>
      </c>
      <c r="AL306">
        <v>-0.02</v>
      </c>
      <c r="AM306">
        <v>2227</v>
      </c>
      <c r="AN306">
        <v>57</v>
      </c>
      <c r="AO306">
        <v>4.0000000000000002E-4</v>
      </c>
      <c r="AP306">
        <v>-1</v>
      </c>
      <c r="AQ306">
        <v>0.19</v>
      </c>
      <c r="AR306">
        <v>-4.16</v>
      </c>
      <c r="AS306">
        <v>7.87</v>
      </c>
      <c r="AT306">
        <v>-8.65</v>
      </c>
      <c r="AU306">
        <v>-25</v>
      </c>
      <c r="AV306">
        <v>0</v>
      </c>
      <c r="AW306">
        <v>1.65</v>
      </c>
      <c r="AX306">
        <v>53.64</v>
      </c>
      <c r="AY306" t="s">
        <v>120</v>
      </c>
      <c r="AZ306" t="s">
        <v>120</v>
      </c>
      <c r="BA306">
        <v>0.3</v>
      </c>
      <c r="BB306" t="s">
        <v>143</v>
      </c>
      <c r="BF306">
        <v>0.31</v>
      </c>
      <c r="BG306">
        <v>-2.5</v>
      </c>
      <c r="BH306">
        <v>-3.98</v>
      </c>
      <c r="BI306">
        <v>0</v>
      </c>
      <c r="BJ306">
        <v>20210913</v>
      </c>
      <c r="BK306">
        <v>19980225</v>
      </c>
      <c r="BL306">
        <v>14.31</v>
      </c>
      <c r="BM306" t="s">
        <v>120</v>
      </c>
      <c r="BN306" t="s">
        <v>120</v>
      </c>
      <c r="BO306">
        <v>384.79</v>
      </c>
      <c r="BP306">
        <v>5.07</v>
      </c>
      <c r="BQ306">
        <v>96.83</v>
      </c>
      <c r="BR306">
        <v>27.74</v>
      </c>
      <c r="BS306">
        <v>67.63</v>
      </c>
      <c r="BT306">
        <v>147.93</v>
      </c>
      <c r="BU306">
        <v>29.57</v>
      </c>
      <c r="BV306">
        <v>154.15</v>
      </c>
      <c r="BW306">
        <v>178.84</v>
      </c>
      <c r="BX306">
        <v>17.41</v>
      </c>
      <c r="BY306">
        <v>8.11</v>
      </c>
      <c r="BZ306">
        <v>53.27</v>
      </c>
      <c r="CA306">
        <v>0.01</v>
      </c>
      <c r="CB306">
        <v>68.260000000000005</v>
      </c>
      <c r="CC306">
        <v>38.64</v>
      </c>
      <c r="CD306">
        <v>32.94</v>
      </c>
      <c r="CE306">
        <v>-39.119999999999997</v>
      </c>
      <c r="CF306">
        <v>-0.42</v>
      </c>
      <c r="CG306">
        <v>-39.43</v>
      </c>
      <c r="CH306">
        <v>-39.56</v>
      </c>
      <c r="CI306">
        <v>-38.979999999999997</v>
      </c>
      <c r="CJ306">
        <v>-0.1</v>
      </c>
      <c r="CK306">
        <v>-38.979999999999997</v>
      </c>
      <c r="CL306">
        <v>-5.84</v>
      </c>
      <c r="CM306">
        <v>2.89</v>
      </c>
      <c r="CN306">
        <v>-0.38</v>
      </c>
      <c r="CO306">
        <v>51387</v>
      </c>
      <c r="CP306">
        <v>14933</v>
      </c>
      <c r="CQ306" t="s">
        <v>2121</v>
      </c>
      <c r="CR306">
        <v>-2258.35</v>
      </c>
      <c r="CS306">
        <v>-9.16</v>
      </c>
      <c r="CT306">
        <v>0.89</v>
      </c>
      <c r="CU306">
        <v>25.11</v>
      </c>
      <c r="CV306">
        <v>1.88</v>
      </c>
      <c r="CW306">
        <v>0</v>
      </c>
      <c r="CX306" t="s">
        <v>2122</v>
      </c>
      <c r="CY306">
        <v>5.72</v>
      </c>
      <c r="CZ306">
        <v>5.72</v>
      </c>
      <c r="DA306">
        <v>4.7699999999999996</v>
      </c>
      <c r="DB306">
        <v>-0.41</v>
      </c>
      <c r="DC306">
        <v>0.2</v>
      </c>
      <c r="DD306">
        <v>25.16</v>
      </c>
      <c r="DE306" t="s">
        <v>2123</v>
      </c>
      <c r="DF306">
        <v>14.76</v>
      </c>
      <c r="DG306">
        <v>-101.25</v>
      </c>
      <c r="DH306">
        <v>-100.87</v>
      </c>
      <c r="DI306">
        <v>0.65</v>
      </c>
      <c r="DJ306">
        <v>80946</v>
      </c>
      <c r="DK306">
        <v>826</v>
      </c>
      <c r="DL306" t="s">
        <v>120</v>
      </c>
      <c r="DM306" t="s">
        <v>120</v>
      </c>
      <c r="DN306" t="s">
        <v>120</v>
      </c>
    </row>
    <row r="307" spans="1:118">
      <c r="A307" t="str">
        <f>"000828"</f>
        <v>000828</v>
      </c>
      <c r="B307" t="s">
        <v>2124</v>
      </c>
      <c r="C307">
        <v>-1.22</v>
      </c>
      <c r="D307">
        <v>0.71</v>
      </c>
      <c r="E307">
        <v>0</v>
      </c>
      <c r="F307">
        <v>4645</v>
      </c>
      <c r="G307" t="s">
        <v>2125</v>
      </c>
      <c r="H307">
        <v>11211.77</v>
      </c>
      <c r="I307">
        <v>34.07</v>
      </c>
      <c r="J307" t="s">
        <v>120</v>
      </c>
      <c r="K307" t="s">
        <v>2126</v>
      </c>
      <c r="L307">
        <v>0.94</v>
      </c>
      <c r="M307">
        <v>11.37</v>
      </c>
      <c r="N307">
        <v>0.92</v>
      </c>
      <c r="O307">
        <v>1.22</v>
      </c>
      <c r="P307">
        <v>11.65</v>
      </c>
      <c r="Q307">
        <v>-2.4300000000000002</v>
      </c>
      <c r="R307">
        <v>11.23</v>
      </c>
      <c r="S307">
        <v>11.51</v>
      </c>
      <c r="T307">
        <v>98161</v>
      </c>
      <c r="U307">
        <v>11.37</v>
      </c>
      <c r="V307">
        <v>11.51</v>
      </c>
      <c r="W307">
        <v>11.7</v>
      </c>
      <c r="X307" t="s">
        <v>800</v>
      </c>
      <c r="Y307" t="s">
        <v>547</v>
      </c>
      <c r="Z307">
        <v>3.65</v>
      </c>
      <c r="AA307">
        <v>11.42</v>
      </c>
      <c r="AB307">
        <v>53965</v>
      </c>
      <c r="AC307">
        <v>44196</v>
      </c>
      <c r="AD307">
        <v>1.22</v>
      </c>
      <c r="AE307">
        <v>37</v>
      </c>
      <c r="AF307">
        <v>618</v>
      </c>
      <c r="AG307" t="s">
        <v>120</v>
      </c>
      <c r="AH307">
        <v>0.01</v>
      </c>
      <c r="AI307" t="s">
        <v>120</v>
      </c>
      <c r="AJ307">
        <v>10.4</v>
      </c>
      <c r="AK307" t="s">
        <v>2126</v>
      </c>
      <c r="AL307">
        <v>0.7</v>
      </c>
      <c r="AM307">
        <v>2228</v>
      </c>
      <c r="AN307">
        <v>44</v>
      </c>
      <c r="AO307">
        <v>4.0000000000000002E-4</v>
      </c>
      <c r="AP307">
        <v>-3</v>
      </c>
      <c r="AQ307">
        <v>-0.52</v>
      </c>
      <c r="AR307">
        <v>-2.74</v>
      </c>
      <c r="AS307">
        <v>1.43</v>
      </c>
      <c r="AT307">
        <v>-0.18</v>
      </c>
      <c r="AU307">
        <v>15.78</v>
      </c>
      <c r="AV307">
        <v>3</v>
      </c>
      <c r="AW307">
        <v>3.13</v>
      </c>
      <c r="AX307">
        <v>30.17</v>
      </c>
      <c r="AY307">
        <v>10.9</v>
      </c>
      <c r="AZ307">
        <v>13.11</v>
      </c>
      <c r="BA307">
        <v>0.75</v>
      </c>
      <c r="BB307" t="s">
        <v>125</v>
      </c>
      <c r="BF307">
        <v>-0.77</v>
      </c>
      <c r="BG307">
        <v>-1.22</v>
      </c>
      <c r="BH307">
        <v>-2.4</v>
      </c>
      <c r="BI307">
        <v>1.25</v>
      </c>
      <c r="BJ307">
        <v>20210906</v>
      </c>
      <c r="BK307">
        <v>19970617</v>
      </c>
      <c r="BL307">
        <v>10.4</v>
      </c>
      <c r="BM307" t="s">
        <v>120</v>
      </c>
      <c r="BN307" t="s">
        <v>120</v>
      </c>
      <c r="BO307">
        <v>153.56</v>
      </c>
      <c r="BP307">
        <v>11.3</v>
      </c>
      <c r="BQ307">
        <v>80.78</v>
      </c>
      <c r="BR307">
        <v>20.5</v>
      </c>
      <c r="BS307">
        <v>34.049999999999997</v>
      </c>
      <c r="BT307">
        <v>46.23</v>
      </c>
      <c r="BU307">
        <v>11.14</v>
      </c>
      <c r="BV307">
        <v>37.97</v>
      </c>
      <c r="BW307">
        <v>34.159999999999997</v>
      </c>
      <c r="BX307">
        <v>38.64</v>
      </c>
      <c r="BY307">
        <v>0</v>
      </c>
      <c r="BZ307">
        <v>0.39</v>
      </c>
      <c r="CA307">
        <v>0.01</v>
      </c>
      <c r="CB307">
        <v>11.38</v>
      </c>
      <c r="CC307">
        <v>7.19</v>
      </c>
      <c r="CD307">
        <v>2.06</v>
      </c>
      <c r="CE307">
        <v>6.29</v>
      </c>
      <c r="CF307">
        <v>1.42</v>
      </c>
      <c r="CG307">
        <v>6.3</v>
      </c>
      <c r="CH307">
        <v>5.08</v>
      </c>
      <c r="CI307">
        <v>5.05</v>
      </c>
      <c r="CJ307">
        <v>-0.14000000000000001</v>
      </c>
      <c r="CK307">
        <v>5.14</v>
      </c>
      <c r="CL307">
        <v>49.39</v>
      </c>
      <c r="CM307">
        <v>6.31</v>
      </c>
      <c r="CN307">
        <v>-6.04</v>
      </c>
      <c r="CO307">
        <v>36374</v>
      </c>
      <c r="CP307">
        <v>8624</v>
      </c>
      <c r="CQ307" t="s">
        <v>2127</v>
      </c>
      <c r="CR307">
        <v>57.85</v>
      </c>
      <c r="CS307">
        <v>70.91</v>
      </c>
      <c r="CT307">
        <v>1.46</v>
      </c>
      <c r="CU307">
        <v>18.739999999999998</v>
      </c>
      <c r="CV307">
        <v>16.45</v>
      </c>
      <c r="CW307">
        <v>2.17</v>
      </c>
      <c r="CX307" t="s">
        <v>2128</v>
      </c>
      <c r="CY307">
        <v>7.77</v>
      </c>
      <c r="CZ307">
        <v>0</v>
      </c>
      <c r="DA307">
        <v>1.0900000000000001</v>
      </c>
      <c r="DB307">
        <v>4.75</v>
      </c>
      <c r="DC307">
        <v>0.61</v>
      </c>
      <c r="DD307">
        <v>52.6</v>
      </c>
      <c r="DE307" t="s">
        <v>2129</v>
      </c>
      <c r="DF307">
        <v>71.39</v>
      </c>
      <c r="DG307">
        <v>87.58</v>
      </c>
      <c r="DH307">
        <v>70.319999999999993</v>
      </c>
      <c r="DI307" t="s">
        <v>120</v>
      </c>
      <c r="DJ307">
        <v>874</v>
      </c>
      <c r="DK307">
        <v>828</v>
      </c>
      <c r="DL307" t="s">
        <v>120</v>
      </c>
      <c r="DM307" t="s">
        <v>120</v>
      </c>
      <c r="DN307" t="s">
        <v>120</v>
      </c>
    </row>
    <row r="308" spans="1:118">
      <c r="A308" t="str">
        <f>"000829"</f>
        <v>000829</v>
      </c>
      <c r="B308" t="s">
        <v>2130</v>
      </c>
      <c r="C308">
        <v>-9.99</v>
      </c>
      <c r="D308">
        <v>0</v>
      </c>
      <c r="E308">
        <v>-8.16</v>
      </c>
      <c r="F308">
        <v>394</v>
      </c>
      <c r="G308" t="s">
        <v>2131</v>
      </c>
      <c r="H308">
        <v>166324.79999999999</v>
      </c>
      <c r="I308">
        <v>15430.8</v>
      </c>
      <c r="J308">
        <v>24629.51</v>
      </c>
      <c r="K308" t="s">
        <v>2132</v>
      </c>
      <c r="L308">
        <v>8.8800000000000008</v>
      </c>
      <c r="M308">
        <v>17.649999999999999</v>
      </c>
      <c r="N308">
        <v>2.85</v>
      </c>
      <c r="O308">
        <v>-2.86</v>
      </c>
      <c r="P308">
        <v>19.05</v>
      </c>
      <c r="Q308">
        <v>-9.99</v>
      </c>
      <c r="R308">
        <v>17.649999999999999</v>
      </c>
      <c r="S308">
        <v>18.010000000000002</v>
      </c>
      <c r="T308">
        <v>909125</v>
      </c>
      <c r="U308">
        <v>17.649999999999999</v>
      </c>
      <c r="V308">
        <v>19.61</v>
      </c>
      <c r="W308">
        <v>104.03</v>
      </c>
      <c r="X308" t="s">
        <v>221</v>
      </c>
      <c r="Y308" t="s">
        <v>676</v>
      </c>
      <c r="Z308">
        <v>7.14</v>
      </c>
      <c r="AA308">
        <v>18.3</v>
      </c>
      <c r="AB308">
        <v>442630</v>
      </c>
      <c r="AC308">
        <v>466495</v>
      </c>
      <c r="AD308">
        <v>0.95</v>
      </c>
      <c r="AE308">
        <v>0</v>
      </c>
      <c r="AF308">
        <v>139544</v>
      </c>
      <c r="AG308" t="s">
        <v>120</v>
      </c>
      <c r="AH308">
        <v>1.5</v>
      </c>
      <c r="AI308">
        <v>0.15</v>
      </c>
      <c r="AJ308">
        <v>10.24</v>
      </c>
      <c r="AK308" t="s">
        <v>2133</v>
      </c>
      <c r="AL308">
        <v>-8.08</v>
      </c>
      <c r="AM308">
        <v>3942</v>
      </c>
      <c r="AN308">
        <v>231</v>
      </c>
      <c r="AO308">
        <v>2.3E-3</v>
      </c>
      <c r="AP308">
        <v>-5</v>
      </c>
      <c r="AQ308">
        <v>-10</v>
      </c>
      <c r="AR308">
        <v>-27.1</v>
      </c>
      <c r="AS308">
        <v>-2.91</v>
      </c>
      <c r="AT308">
        <v>131.03</v>
      </c>
      <c r="AU308">
        <v>169.67</v>
      </c>
      <c r="AV308">
        <v>16</v>
      </c>
      <c r="AW308">
        <v>15.89</v>
      </c>
      <c r="AX308">
        <v>55.81</v>
      </c>
      <c r="AY308">
        <v>100.43</v>
      </c>
      <c r="AZ308">
        <v>108.02</v>
      </c>
      <c r="BA308">
        <v>0.69</v>
      </c>
      <c r="BB308" t="s">
        <v>143</v>
      </c>
      <c r="BF308">
        <v>-6.71</v>
      </c>
      <c r="BG308">
        <v>-2</v>
      </c>
      <c r="BH308">
        <v>-7.35</v>
      </c>
      <c r="BI308">
        <v>0</v>
      </c>
      <c r="BJ308">
        <v>20210803</v>
      </c>
      <c r="BK308">
        <v>19971202</v>
      </c>
      <c r="BL308">
        <v>10.25</v>
      </c>
      <c r="BM308" t="s">
        <v>120</v>
      </c>
      <c r="BN308" t="s">
        <v>120</v>
      </c>
      <c r="BO308">
        <v>133.33000000000001</v>
      </c>
      <c r="BP308" t="s">
        <v>120</v>
      </c>
      <c r="BQ308">
        <v>25.03</v>
      </c>
      <c r="BR308">
        <v>0.45</v>
      </c>
      <c r="BS308">
        <v>80.89</v>
      </c>
      <c r="BT308">
        <v>89.8</v>
      </c>
      <c r="BU308">
        <v>1.1000000000000001</v>
      </c>
      <c r="BV308">
        <v>12.81</v>
      </c>
      <c r="BW308">
        <v>103.31</v>
      </c>
      <c r="BX308">
        <v>39.270000000000003</v>
      </c>
      <c r="BY308">
        <v>18.18</v>
      </c>
      <c r="BZ308">
        <v>10.71</v>
      </c>
      <c r="CA308" t="s">
        <v>120</v>
      </c>
      <c r="CB308">
        <v>3.45</v>
      </c>
      <c r="CC308">
        <v>375.56</v>
      </c>
      <c r="CD308">
        <v>365.34</v>
      </c>
      <c r="CE308">
        <v>0.96</v>
      </c>
      <c r="CF308">
        <v>0.01</v>
      </c>
      <c r="CG308">
        <v>0.97</v>
      </c>
      <c r="CH308">
        <v>0.85</v>
      </c>
      <c r="CI308">
        <v>0.87</v>
      </c>
      <c r="CJ308">
        <v>-1.96</v>
      </c>
      <c r="CK308">
        <v>0.77</v>
      </c>
      <c r="CL308">
        <v>9.99</v>
      </c>
      <c r="CM308">
        <v>-10.02</v>
      </c>
      <c r="CN308">
        <v>-1.36</v>
      </c>
      <c r="CO308">
        <v>62998</v>
      </c>
      <c r="CP308">
        <v>9082</v>
      </c>
      <c r="CQ308" t="s">
        <v>2134</v>
      </c>
      <c r="CR308">
        <v>19.3</v>
      </c>
      <c r="CS308">
        <v>26.64</v>
      </c>
      <c r="CT308">
        <v>7.23</v>
      </c>
      <c r="CU308">
        <v>-18.05</v>
      </c>
      <c r="CV308">
        <v>0.48</v>
      </c>
      <c r="CW308">
        <v>0.28000000000000003</v>
      </c>
      <c r="CX308" t="s">
        <v>329</v>
      </c>
      <c r="CY308">
        <v>2.44</v>
      </c>
      <c r="CZ308">
        <v>0</v>
      </c>
      <c r="DA308">
        <v>0.34</v>
      </c>
      <c r="DB308">
        <v>0.97</v>
      </c>
      <c r="DC308">
        <v>-0.98</v>
      </c>
      <c r="DD308">
        <v>18.77</v>
      </c>
      <c r="DE308" t="s">
        <v>2135</v>
      </c>
      <c r="DF308">
        <v>2.72</v>
      </c>
      <c r="DG308">
        <v>0.26</v>
      </c>
      <c r="DH308">
        <v>0.23</v>
      </c>
      <c r="DI308">
        <v>0.38</v>
      </c>
      <c r="DJ308">
        <v>3249</v>
      </c>
      <c r="DK308">
        <v>829</v>
      </c>
      <c r="DL308">
        <v>20210803</v>
      </c>
      <c r="DM308">
        <v>10.16</v>
      </c>
      <c r="DN308">
        <v>73.72</v>
      </c>
    </row>
    <row r="309" spans="1:118">
      <c r="A309" t="str">
        <f>"000830"</f>
        <v>000830</v>
      </c>
      <c r="B309" t="s">
        <v>2136</v>
      </c>
      <c r="C309">
        <v>-0.38</v>
      </c>
      <c r="D309">
        <v>0.17</v>
      </c>
      <c r="E309">
        <v>1.59</v>
      </c>
      <c r="F309">
        <v>5826</v>
      </c>
      <c r="G309" t="s">
        <v>2137</v>
      </c>
      <c r="H309">
        <v>228448.74</v>
      </c>
      <c r="I309">
        <v>1535.95</v>
      </c>
      <c r="J309" t="s">
        <v>120</v>
      </c>
      <c r="K309" t="s">
        <v>2138</v>
      </c>
      <c r="L309">
        <v>6.4</v>
      </c>
      <c r="M309">
        <v>23.86</v>
      </c>
      <c r="N309">
        <v>0.92</v>
      </c>
      <c r="O309">
        <v>6.05</v>
      </c>
      <c r="P309">
        <v>25.4</v>
      </c>
      <c r="Q309">
        <v>-2.71</v>
      </c>
      <c r="R309">
        <v>23.3</v>
      </c>
      <c r="S309">
        <v>24.33</v>
      </c>
      <c r="T309">
        <v>937587</v>
      </c>
      <c r="U309">
        <v>23.86</v>
      </c>
      <c r="V309">
        <v>23.95</v>
      </c>
      <c r="W309">
        <v>8.6300000000000008</v>
      </c>
      <c r="X309" t="s">
        <v>690</v>
      </c>
      <c r="Y309" t="s">
        <v>638</v>
      </c>
      <c r="Z309">
        <v>8.77</v>
      </c>
      <c r="AA309">
        <v>24.37</v>
      </c>
      <c r="AB309">
        <v>461456</v>
      </c>
      <c r="AC309">
        <v>476131</v>
      </c>
      <c r="AD309">
        <v>0.97</v>
      </c>
      <c r="AE309">
        <v>20</v>
      </c>
      <c r="AF309">
        <v>6325</v>
      </c>
      <c r="AG309" t="s">
        <v>120</v>
      </c>
      <c r="AH309">
        <v>0.06</v>
      </c>
      <c r="AI309" t="s">
        <v>120</v>
      </c>
      <c r="AJ309">
        <v>14.64</v>
      </c>
      <c r="AK309" t="s">
        <v>2139</v>
      </c>
      <c r="AL309">
        <v>1.54</v>
      </c>
      <c r="AM309">
        <v>4689</v>
      </c>
      <c r="AN309">
        <v>200</v>
      </c>
      <c r="AO309">
        <v>1.4E-3</v>
      </c>
      <c r="AP309">
        <v>-1</v>
      </c>
      <c r="AQ309">
        <v>2.2200000000000002</v>
      </c>
      <c r="AR309">
        <v>-4.5599999999999996</v>
      </c>
      <c r="AS309">
        <v>29.67</v>
      </c>
      <c r="AT309">
        <v>33.450000000000003</v>
      </c>
      <c r="AU309">
        <v>94.3</v>
      </c>
      <c r="AV309">
        <v>7</v>
      </c>
      <c r="AW309">
        <v>9.65</v>
      </c>
      <c r="AX309">
        <v>51.03</v>
      </c>
      <c r="AY309">
        <v>14.12</v>
      </c>
      <c r="AZ309">
        <v>55.29</v>
      </c>
      <c r="BA309">
        <v>0.75</v>
      </c>
      <c r="BB309" t="s">
        <v>143</v>
      </c>
      <c r="BF309">
        <v>1.74</v>
      </c>
      <c r="BG309">
        <v>-1.93</v>
      </c>
      <c r="BH309">
        <v>-6.06</v>
      </c>
      <c r="BI309">
        <v>2.4</v>
      </c>
      <c r="BJ309">
        <v>20210729</v>
      </c>
      <c r="BK309">
        <v>19980807</v>
      </c>
      <c r="BL309">
        <v>19.04</v>
      </c>
      <c r="BM309" t="s">
        <v>120</v>
      </c>
      <c r="BN309" t="s">
        <v>120</v>
      </c>
      <c r="BO309">
        <v>324.27</v>
      </c>
      <c r="BP309">
        <v>23.85</v>
      </c>
      <c r="BQ309">
        <v>159.53</v>
      </c>
      <c r="BR309">
        <v>1.26</v>
      </c>
      <c r="BS309">
        <v>50.41</v>
      </c>
      <c r="BT309">
        <v>36.89</v>
      </c>
      <c r="BU309">
        <v>219.18</v>
      </c>
      <c r="BV309">
        <v>19.329999999999998</v>
      </c>
      <c r="BW309">
        <v>124.73</v>
      </c>
      <c r="BX309">
        <v>3.47</v>
      </c>
      <c r="BY309">
        <v>19.16</v>
      </c>
      <c r="BZ309">
        <v>0.52</v>
      </c>
      <c r="CA309" t="s">
        <v>120</v>
      </c>
      <c r="CB309">
        <v>47.87</v>
      </c>
      <c r="CC309">
        <v>144.71</v>
      </c>
      <c r="CD309">
        <v>98.6</v>
      </c>
      <c r="CE309">
        <v>34.32</v>
      </c>
      <c r="CF309">
        <v>0.02</v>
      </c>
      <c r="CG309">
        <v>34.32</v>
      </c>
      <c r="CH309">
        <v>26.33</v>
      </c>
      <c r="CI309">
        <v>26.32</v>
      </c>
      <c r="CJ309">
        <v>-0.09</v>
      </c>
      <c r="CK309">
        <v>26.02</v>
      </c>
      <c r="CL309">
        <v>84.32</v>
      </c>
      <c r="CM309">
        <v>46.28</v>
      </c>
      <c r="CN309">
        <v>0.22</v>
      </c>
      <c r="CO309">
        <v>110002</v>
      </c>
      <c r="CP309">
        <v>8835</v>
      </c>
      <c r="CQ309" t="s">
        <v>2140</v>
      </c>
      <c r="CR309">
        <v>1064.17</v>
      </c>
      <c r="CS309">
        <v>94.73</v>
      </c>
      <c r="CT309">
        <v>2.85</v>
      </c>
      <c r="CU309">
        <v>9.82</v>
      </c>
      <c r="CV309">
        <v>3.14</v>
      </c>
      <c r="CW309">
        <v>2.09</v>
      </c>
      <c r="CX309" t="s">
        <v>2141</v>
      </c>
      <c r="CY309">
        <v>8.3800000000000008</v>
      </c>
      <c r="CZ309">
        <v>0</v>
      </c>
      <c r="DA309">
        <v>2.5099999999999998</v>
      </c>
      <c r="DB309">
        <v>4.43</v>
      </c>
      <c r="DC309">
        <v>2.4300000000000002</v>
      </c>
      <c r="DD309">
        <v>49.2</v>
      </c>
      <c r="DE309" t="s">
        <v>2142</v>
      </c>
      <c r="DF309">
        <v>31.86</v>
      </c>
      <c r="DG309">
        <v>23.71</v>
      </c>
      <c r="DH309">
        <v>18.190000000000001</v>
      </c>
      <c r="DI309">
        <v>6.23</v>
      </c>
      <c r="DJ309">
        <v>12511</v>
      </c>
      <c r="DK309">
        <v>830</v>
      </c>
      <c r="DL309" t="s">
        <v>120</v>
      </c>
      <c r="DM309" t="s">
        <v>120</v>
      </c>
      <c r="DN309" t="s">
        <v>120</v>
      </c>
    </row>
    <row r="310" spans="1:118">
      <c r="A310" t="str">
        <f>"000831"</f>
        <v>000831</v>
      </c>
      <c r="B310" t="s">
        <v>2143</v>
      </c>
      <c r="C310">
        <v>-5.4</v>
      </c>
      <c r="D310">
        <v>-0.01</v>
      </c>
      <c r="E310">
        <v>0.02</v>
      </c>
      <c r="F310">
        <v>7957</v>
      </c>
      <c r="G310" t="s">
        <v>2144</v>
      </c>
      <c r="H310">
        <v>214602.06</v>
      </c>
      <c r="I310">
        <v>573.04</v>
      </c>
      <c r="J310" t="s">
        <v>120</v>
      </c>
      <c r="K310" t="s">
        <v>2145</v>
      </c>
      <c r="L310">
        <v>4.91</v>
      </c>
      <c r="M310">
        <v>43.29</v>
      </c>
      <c r="N310">
        <v>0.68</v>
      </c>
      <c r="O310">
        <v>1.35</v>
      </c>
      <c r="P310">
        <v>46.38</v>
      </c>
      <c r="Q310">
        <v>-6.03</v>
      </c>
      <c r="R310">
        <v>43</v>
      </c>
      <c r="S310">
        <v>45.77</v>
      </c>
      <c r="T310">
        <v>481160</v>
      </c>
      <c r="U310">
        <v>43.29</v>
      </c>
      <c r="V310">
        <v>45.76</v>
      </c>
      <c r="W310">
        <v>125.33</v>
      </c>
      <c r="X310" t="s">
        <v>1390</v>
      </c>
      <c r="Y310" t="s">
        <v>667</v>
      </c>
      <c r="Z310">
        <v>7.39</v>
      </c>
      <c r="AA310">
        <v>44.6</v>
      </c>
      <c r="AB310">
        <v>242548</v>
      </c>
      <c r="AC310">
        <v>238612</v>
      </c>
      <c r="AD310">
        <v>1.02</v>
      </c>
      <c r="AE310">
        <v>103</v>
      </c>
      <c r="AF310">
        <v>206</v>
      </c>
      <c r="AG310" t="s">
        <v>120</v>
      </c>
      <c r="AH310">
        <v>0.02</v>
      </c>
      <c r="AI310" t="s">
        <v>120</v>
      </c>
      <c r="AJ310">
        <v>9.81</v>
      </c>
      <c r="AK310" t="s">
        <v>2145</v>
      </c>
      <c r="AL310">
        <v>-3.48</v>
      </c>
      <c r="AM310">
        <v>4716</v>
      </c>
      <c r="AN310">
        <v>102</v>
      </c>
      <c r="AO310">
        <v>1E-3</v>
      </c>
      <c r="AP310">
        <v>-3</v>
      </c>
      <c r="AQ310">
        <v>-4.6100000000000003</v>
      </c>
      <c r="AR310">
        <v>-12.6</v>
      </c>
      <c r="AS310">
        <v>-10.94</v>
      </c>
      <c r="AT310">
        <v>119.19</v>
      </c>
      <c r="AU310">
        <v>218.78</v>
      </c>
      <c r="AV310">
        <v>11</v>
      </c>
      <c r="AW310">
        <v>8.19</v>
      </c>
      <c r="AX310">
        <v>59.92</v>
      </c>
      <c r="AY310">
        <v>155.16</v>
      </c>
      <c r="AZ310">
        <v>160.88999999999999</v>
      </c>
      <c r="BA310">
        <v>0.9</v>
      </c>
      <c r="BB310" t="s">
        <v>143</v>
      </c>
      <c r="BF310">
        <v>-2.5299999999999998</v>
      </c>
      <c r="BG310">
        <v>-5.42</v>
      </c>
      <c r="BH310">
        <v>-6.66</v>
      </c>
      <c r="BI310">
        <v>0.67</v>
      </c>
      <c r="BJ310">
        <v>20210913</v>
      </c>
      <c r="BK310">
        <v>19980911</v>
      </c>
      <c r="BL310">
        <v>9.81</v>
      </c>
      <c r="BM310" t="s">
        <v>120</v>
      </c>
      <c r="BN310" t="s">
        <v>120</v>
      </c>
      <c r="BO310">
        <v>34.369999999999997</v>
      </c>
      <c r="BP310">
        <v>43.28</v>
      </c>
      <c r="BQ310">
        <v>26.33</v>
      </c>
      <c r="BR310">
        <v>0.97</v>
      </c>
      <c r="BS310">
        <v>20.59</v>
      </c>
      <c r="BT310">
        <v>29.58</v>
      </c>
      <c r="BU310">
        <v>0.78</v>
      </c>
      <c r="BV310">
        <v>7.0000000000000007E-2</v>
      </c>
      <c r="BW310">
        <v>6.97</v>
      </c>
      <c r="BX310">
        <v>1.1200000000000001</v>
      </c>
      <c r="BY310">
        <v>21.17</v>
      </c>
      <c r="BZ310">
        <v>2.5299999999999998</v>
      </c>
      <c r="CA310" t="s">
        <v>120</v>
      </c>
      <c r="CB310">
        <v>7.4</v>
      </c>
      <c r="CC310">
        <v>15.74</v>
      </c>
      <c r="CD310">
        <v>12.69</v>
      </c>
      <c r="CE310">
        <v>2.0699999999999998</v>
      </c>
      <c r="CF310">
        <v>0</v>
      </c>
      <c r="CG310">
        <v>2.0699999999999998</v>
      </c>
      <c r="CH310">
        <v>1.76</v>
      </c>
      <c r="CI310">
        <v>1.69</v>
      </c>
      <c r="CJ310">
        <v>-2.4700000000000002</v>
      </c>
      <c r="CK310">
        <v>1.66</v>
      </c>
      <c r="CL310">
        <v>6.92</v>
      </c>
      <c r="CM310">
        <v>-4</v>
      </c>
      <c r="CN310">
        <v>-1.88</v>
      </c>
      <c r="CO310">
        <v>201695</v>
      </c>
      <c r="CP310">
        <v>2914</v>
      </c>
      <c r="CQ310" t="s">
        <v>2146</v>
      </c>
      <c r="CR310">
        <v>6.47</v>
      </c>
      <c r="CS310">
        <v>126.53</v>
      </c>
      <c r="CT310">
        <v>16.13</v>
      </c>
      <c r="CU310">
        <v>-106.24</v>
      </c>
      <c r="CV310">
        <v>26.98</v>
      </c>
      <c r="CW310">
        <v>0.11</v>
      </c>
      <c r="CX310" t="s">
        <v>1186</v>
      </c>
      <c r="CY310">
        <v>2.68</v>
      </c>
      <c r="CZ310">
        <v>0</v>
      </c>
      <c r="DA310">
        <v>0.75</v>
      </c>
      <c r="DB310">
        <v>0.71</v>
      </c>
      <c r="DC310">
        <v>-0.41</v>
      </c>
      <c r="DD310">
        <v>76.599999999999994</v>
      </c>
      <c r="DE310" t="s">
        <v>949</v>
      </c>
      <c r="DF310">
        <v>19.39</v>
      </c>
      <c r="DG310">
        <v>13.13</v>
      </c>
      <c r="DH310">
        <v>10.76</v>
      </c>
      <c r="DI310">
        <v>0.08</v>
      </c>
      <c r="DJ310">
        <v>365</v>
      </c>
      <c r="DK310">
        <v>831</v>
      </c>
      <c r="DL310">
        <v>20210623</v>
      </c>
      <c r="DM310">
        <v>18.809999999999999</v>
      </c>
      <c r="DN310">
        <v>130.41</v>
      </c>
    </row>
    <row r="311" spans="1:118">
      <c r="A311" t="str">
        <f>"000833"</f>
        <v>000833</v>
      </c>
      <c r="B311" t="s">
        <v>2147</v>
      </c>
      <c r="C311">
        <v>-1.32</v>
      </c>
      <c r="D311">
        <v>-0.32</v>
      </c>
      <c r="E311">
        <v>-0.22</v>
      </c>
      <c r="F311">
        <v>2615</v>
      </c>
      <c r="G311" t="s">
        <v>2148</v>
      </c>
      <c r="H311">
        <v>26899.19</v>
      </c>
      <c r="I311">
        <v>222.15</v>
      </c>
      <c r="J311" t="s">
        <v>120</v>
      </c>
      <c r="K311" t="s">
        <v>2149</v>
      </c>
      <c r="L311">
        <v>7.73</v>
      </c>
      <c r="M311">
        <v>8.9600000000000009</v>
      </c>
      <c r="N311">
        <v>0.73</v>
      </c>
      <c r="O311">
        <v>4.63</v>
      </c>
      <c r="P311">
        <v>9.5</v>
      </c>
      <c r="Q311">
        <v>-1.76</v>
      </c>
      <c r="R311">
        <v>8.92</v>
      </c>
      <c r="S311">
        <v>9.06</v>
      </c>
      <c r="T311">
        <v>292281</v>
      </c>
      <c r="U311">
        <v>8.9700000000000006</v>
      </c>
      <c r="V311">
        <v>9.08</v>
      </c>
      <c r="W311">
        <v>43.81</v>
      </c>
      <c r="X311" t="s">
        <v>847</v>
      </c>
      <c r="Y311" t="s">
        <v>945</v>
      </c>
      <c r="Z311">
        <v>6.39</v>
      </c>
      <c r="AA311">
        <v>9.1999999999999993</v>
      </c>
      <c r="AB311">
        <v>138962</v>
      </c>
      <c r="AC311">
        <v>153319</v>
      </c>
      <c r="AD311">
        <v>0.91</v>
      </c>
      <c r="AE311">
        <v>84</v>
      </c>
      <c r="AF311">
        <v>202</v>
      </c>
      <c r="AG311" t="s">
        <v>120</v>
      </c>
      <c r="AH311">
        <v>0.08</v>
      </c>
      <c r="AI311" t="s">
        <v>120</v>
      </c>
      <c r="AJ311">
        <v>3.78</v>
      </c>
      <c r="AK311" t="s">
        <v>2150</v>
      </c>
      <c r="AL311">
        <v>0.59</v>
      </c>
      <c r="AM311">
        <v>3806</v>
      </c>
      <c r="AN311">
        <v>77</v>
      </c>
      <c r="AO311">
        <v>2E-3</v>
      </c>
      <c r="AP311">
        <v>-5</v>
      </c>
      <c r="AQ311">
        <v>-2.4700000000000002</v>
      </c>
      <c r="AR311">
        <v>-4.17</v>
      </c>
      <c r="AS311">
        <v>28.55</v>
      </c>
      <c r="AT311">
        <v>95.85</v>
      </c>
      <c r="AU311">
        <v>98.89</v>
      </c>
      <c r="AV311">
        <v>5</v>
      </c>
      <c r="AW311">
        <v>9.67</v>
      </c>
      <c r="AX311">
        <v>45.23</v>
      </c>
      <c r="AY311">
        <v>36.799999999999997</v>
      </c>
      <c r="AZ311">
        <v>96.73</v>
      </c>
      <c r="BA311">
        <v>0.13</v>
      </c>
      <c r="BB311" t="s">
        <v>143</v>
      </c>
      <c r="BF311">
        <v>1.36</v>
      </c>
      <c r="BG311">
        <v>-1.1000000000000001</v>
      </c>
      <c r="BH311">
        <v>-5.68</v>
      </c>
      <c r="BI311">
        <v>0.45</v>
      </c>
      <c r="BJ311">
        <v>20210830</v>
      </c>
      <c r="BK311">
        <v>19981111</v>
      </c>
      <c r="BL311">
        <v>6.68</v>
      </c>
      <c r="BM311" t="s">
        <v>120</v>
      </c>
      <c r="BN311" t="s">
        <v>120</v>
      </c>
      <c r="BO311">
        <v>51.42</v>
      </c>
      <c r="BP311">
        <v>8.9600000000000009</v>
      </c>
      <c r="BQ311">
        <v>29.13</v>
      </c>
      <c r="BR311">
        <v>0.05</v>
      </c>
      <c r="BS311">
        <v>43.26</v>
      </c>
      <c r="BT311">
        <v>26.29</v>
      </c>
      <c r="BU311">
        <v>13.07</v>
      </c>
      <c r="BV311">
        <v>8.52</v>
      </c>
      <c r="BW311">
        <v>19.54</v>
      </c>
      <c r="BX311">
        <v>10.61</v>
      </c>
      <c r="BY311">
        <v>8.1199999999999992</v>
      </c>
      <c r="BZ311">
        <v>0.15</v>
      </c>
      <c r="CA311" t="s">
        <v>120</v>
      </c>
      <c r="CB311">
        <v>13.86</v>
      </c>
      <c r="CC311">
        <v>14.99</v>
      </c>
      <c r="CD311">
        <v>12.71</v>
      </c>
      <c r="CE311">
        <v>1.0900000000000001</v>
      </c>
      <c r="CF311">
        <v>0.03</v>
      </c>
      <c r="CG311">
        <v>1.1000000000000001</v>
      </c>
      <c r="CH311">
        <v>0.81</v>
      </c>
      <c r="CI311">
        <v>0.68</v>
      </c>
      <c r="CJ311">
        <v>-0.12</v>
      </c>
      <c r="CK311">
        <v>0.62</v>
      </c>
      <c r="CL311">
        <v>7.72</v>
      </c>
      <c r="CM311">
        <v>0.75</v>
      </c>
      <c r="CN311">
        <v>-0.92</v>
      </c>
      <c r="CO311">
        <v>37855</v>
      </c>
      <c r="CP311">
        <v>7985</v>
      </c>
      <c r="CQ311" t="s">
        <v>1180</v>
      </c>
      <c r="CR311">
        <v>302.16000000000003</v>
      </c>
      <c r="CS311">
        <v>-26.94</v>
      </c>
      <c r="CT311">
        <v>2.06</v>
      </c>
      <c r="CU311">
        <v>80.11</v>
      </c>
      <c r="CV311">
        <v>4</v>
      </c>
      <c r="CW311">
        <v>0.17</v>
      </c>
      <c r="CX311" t="s">
        <v>513</v>
      </c>
      <c r="CY311">
        <v>4.3600000000000003</v>
      </c>
      <c r="CZ311">
        <v>0</v>
      </c>
      <c r="DA311">
        <v>2.0699999999999998</v>
      </c>
      <c r="DB311">
        <v>1.1599999999999999</v>
      </c>
      <c r="DC311">
        <v>0.11</v>
      </c>
      <c r="DD311">
        <v>56.64</v>
      </c>
      <c r="DE311" t="s">
        <v>2151</v>
      </c>
      <c r="DF311">
        <v>15.15</v>
      </c>
      <c r="DG311">
        <v>7.3</v>
      </c>
      <c r="DH311">
        <v>4.5599999999999996</v>
      </c>
      <c r="DI311">
        <v>0.15</v>
      </c>
      <c r="DJ311">
        <v>3484</v>
      </c>
      <c r="DK311">
        <v>833</v>
      </c>
      <c r="DL311" t="s">
        <v>120</v>
      </c>
      <c r="DM311" t="s">
        <v>120</v>
      </c>
      <c r="DN311" t="s">
        <v>120</v>
      </c>
    </row>
    <row r="312" spans="1:118">
      <c r="A312" t="str">
        <f>"000836"</f>
        <v>000836</v>
      </c>
      <c r="B312" t="s">
        <v>2152</v>
      </c>
      <c r="C312">
        <v>-2.3199999999999998</v>
      </c>
      <c r="D312">
        <v>0</v>
      </c>
      <c r="E312">
        <v>0</v>
      </c>
      <c r="F312">
        <v>878</v>
      </c>
      <c r="G312" t="s">
        <v>2153</v>
      </c>
      <c r="H312">
        <v>5625.48</v>
      </c>
      <c r="I312">
        <v>25.85</v>
      </c>
      <c r="J312" t="s">
        <v>120</v>
      </c>
      <c r="K312" t="s">
        <v>2154</v>
      </c>
      <c r="L312">
        <v>1.82</v>
      </c>
      <c r="M312">
        <v>2.5299999999999998</v>
      </c>
      <c r="N312">
        <v>0.72</v>
      </c>
      <c r="O312">
        <v>0.77</v>
      </c>
      <c r="P312">
        <v>2.61</v>
      </c>
      <c r="Q312">
        <v>-2.3199999999999998</v>
      </c>
      <c r="R312">
        <v>2.5299999999999998</v>
      </c>
      <c r="S312">
        <v>2.59</v>
      </c>
      <c r="T312">
        <v>219324</v>
      </c>
      <c r="U312">
        <v>2.54</v>
      </c>
      <c r="V312">
        <v>2.59</v>
      </c>
      <c r="W312" t="s">
        <v>120</v>
      </c>
      <c r="X312" t="s">
        <v>462</v>
      </c>
      <c r="Y312" t="s">
        <v>997</v>
      </c>
      <c r="Z312">
        <v>3.09</v>
      </c>
      <c r="AA312">
        <v>2.56</v>
      </c>
      <c r="AB312">
        <v>124165</v>
      </c>
      <c r="AC312">
        <v>95159</v>
      </c>
      <c r="AD312">
        <v>1.3</v>
      </c>
      <c r="AE312">
        <v>1488</v>
      </c>
      <c r="AF312">
        <v>3890</v>
      </c>
      <c r="AG312" t="s">
        <v>120</v>
      </c>
      <c r="AH312">
        <v>0.01</v>
      </c>
      <c r="AI312" t="s">
        <v>120</v>
      </c>
      <c r="AJ312">
        <v>12.08</v>
      </c>
      <c r="AK312" t="s">
        <v>2154</v>
      </c>
      <c r="AL312">
        <v>-0.4</v>
      </c>
      <c r="AM312">
        <v>1962</v>
      </c>
      <c r="AN312">
        <v>112</v>
      </c>
      <c r="AO312">
        <v>8.9999999999999998E-4</v>
      </c>
      <c r="AP312">
        <v>-1</v>
      </c>
      <c r="AQ312">
        <v>2.78</v>
      </c>
      <c r="AR312">
        <v>-0.79</v>
      </c>
      <c r="AS312">
        <v>-8.33</v>
      </c>
      <c r="AT312">
        <v>2.84</v>
      </c>
      <c r="AU312">
        <v>-11.54</v>
      </c>
      <c r="AV312">
        <v>3</v>
      </c>
      <c r="AW312">
        <v>2.2400000000000002</v>
      </c>
      <c r="AX312">
        <v>80.849999999999994</v>
      </c>
      <c r="AY312" t="s">
        <v>120</v>
      </c>
      <c r="AZ312">
        <v>265.26</v>
      </c>
      <c r="BA312">
        <v>0.43</v>
      </c>
      <c r="BB312" t="s">
        <v>168</v>
      </c>
      <c r="BF312">
        <v>-0.97</v>
      </c>
      <c r="BG312">
        <v>-2.3199999999999998</v>
      </c>
      <c r="BH312">
        <v>-3.07</v>
      </c>
      <c r="BI312">
        <v>0</v>
      </c>
      <c r="BJ312">
        <v>20210901</v>
      </c>
      <c r="BK312">
        <v>19970929</v>
      </c>
      <c r="BL312">
        <v>12.08</v>
      </c>
      <c r="BM312" t="s">
        <v>120</v>
      </c>
      <c r="BN312" t="s">
        <v>120</v>
      </c>
      <c r="BO312">
        <v>25.69</v>
      </c>
      <c r="BP312">
        <v>2.5299999999999998</v>
      </c>
      <c r="BQ312">
        <v>12.64</v>
      </c>
      <c r="BR312">
        <v>0.55000000000000004</v>
      </c>
      <c r="BS312">
        <v>48.66</v>
      </c>
      <c r="BT312">
        <v>13.5</v>
      </c>
      <c r="BU312">
        <v>7.12</v>
      </c>
      <c r="BV312">
        <v>0.79</v>
      </c>
      <c r="BW312">
        <v>10.029999999999999</v>
      </c>
      <c r="BX312">
        <v>0.76</v>
      </c>
      <c r="BY312">
        <v>4.24</v>
      </c>
      <c r="BZ312">
        <v>7.55</v>
      </c>
      <c r="CA312" t="s">
        <v>120</v>
      </c>
      <c r="CB312">
        <v>1.83</v>
      </c>
      <c r="CC312">
        <v>5.12</v>
      </c>
      <c r="CD312">
        <v>4.7300000000000004</v>
      </c>
      <c r="CE312">
        <v>-0.49</v>
      </c>
      <c r="CF312">
        <v>0</v>
      </c>
      <c r="CG312">
        <v>-0.48</v>
      </c>
      <c r="CH312">
        <v>-0.49</v>
      </c>
      <c r="CI312">
        <v>-0.5</v>
      </c>
      <c r="CJ312">
        <v>-0.06</v>
      </c>
      <c r="CK312">
        <v>-0.53</v>
      </c>
      <c r="CL312">
        <v>-1.34</v>
      </c>
      <c r="CM312">
        <v>-1.6</v>
      </c>
      <c r="CN312">
        <v>-2.37</v>
      </c>
      <c r="CO312">
        <v>53169</v>
      </c>
      <c r="CP312">
        <v>18376</v>
      </c>
      <c r="CQ312" t="s">
        <v>2155</v>
      </c>
      <c r="CR312">
        <v>-1876.45</v>
      </c>
      <c r="CS312">
        <v>9.83</v>
      </c>
      <c r="CT312">
        <v>2.42</v>
      </c>
      <c r="CU312">
        <v>-19.100000000000001</v>
      </c>
      <c r="CV312">
        <v>5.97</v>
      </c>
      <c r="CW312">
        <v>0</v>
      </c>
      <c r="CX312" t="s">
        <v>2156</v>
      </c>
      <c r="CY312">
        <v>1.05</v>
      </c>
      <c r="CZ312">
        <v>0</v>
      </c>
      <c r="DA312">
        <v>0.15</v>
      </c>
      <c r="DB312">
        <v>-0.11</v>
      </c>
      <c r="DC312">
        <v>-0.13</v>
      </c>
      <c r="DD312">
        <v>49.22</v>
      </c>
      <c r="DE312" t="s">
        <v>2157</v>
      </c>
      <c r="DF312">
        <v>7.69</v>
      </c>
      <c r="DG312">
        <v>-9.56</v>
      </c>
      <c r="DH312">
        <v>-9.67</v>
      </c>
      <c r="DI312">
        <v>0.28000000000000003</v>
      </c>
      <c r="DJ312">
        <v>847</v>
      </c>
      <c r="DK312">
        <v>836</v>
      </c>
      <c r="DL312" t="s">
        <v>120</v>
      </c>
      <c r="DM312" t="s">
        <v>120</v>
      </c>
      <c r="DN312" t="s">
        <v>120</v>
      </c>
    </row>
    <row r="313" spans="1:118">
      <c r="A313" t="str">
        <f>"000837"</f>
        <v>000837</v>
      </c>
      <c r="B313" t="s">
        <v>2158</v>
      </c>
      <c r="C313">
        <v>0.15</v>
      </c>
      <c r="D313">
        <v>0</v>
      </c>
      <c r="E313">
        <v>-1.62</v>
      </c>
      <c r="F313">
        <v>5488</v>
      </c>
      <c r="G313" t="s">
        <v>2159</v>
      </c>
      <c r="H313">
        <v>83067.75</v>
      </c>
      <c r="I313">
        <v>384.94</v>
      </c>
      <c r="J313" t="s">
        <v>120</v>
      </c>
      <c r="K313" t="s">
        <v>2160</v>
      </c>
      <c r="L313">
        <v>8.7200000000000006</v>
      </c>
      <c r="M313">
        <v>13.62</v>
      </c>
      <c r="N313">
        <v>1.1000000000000001</v>
      </c>
      <c r="O313">
        <v>4.41</v>
      </c>
      <c r="P313">
        <v>14.2</v>
      </c>
      <c r="Q313">
        <v>-2.5</v>
      </c>
      <c r="R313">
        <v>13.26</v>
      </c>
      <c r="S313">
        <v>13.38</v>
      </c>
      <c r="T313">
        <v>604100</v>
      </c>
      <c r="U313">
        <v>13.62</v>
      </c>
      <c r="V313">
        <v>13.6</v>
      </c>
      <c r="W313">
        <v>29.6</v>
      </c>
      <c r="X313" t="s">
        <v>2161</v>
      </c>
      <c r="Y313" t="s">
        <v>890</v>
      </c>
      <c r="Z313">
        <v>6.91</v>
      </c>
      <c r="AA313">
        <v>13.75</v>
      </c>
      <c r="AB313">
        <v>294990</v>
      </c>
      <c r="AC313">
        <v>309110</v>
      </c>
      <c r="AD313">
        <v>0.95</v>
      </c>
      <c r="AE313">
        <v>228</v>
      </c>
      <c r="AF313">
        <v>282</v>
      </c>
      <c r="AG313" t="s">
        <v>120</v>
      </c>
      <c r="AH313">
        <v>0.06</v>
      </c>
      <c r="AI313" t="s">
        <v>120</v>
      </c>
      <c r="AJ313">
        <v>6.93</v>
      </c>
      <c r="AK313" t="s">
        <v>2162</v>
      </c>
      <c r="AL313">
        <v>2.06</v>
      </c>
      <c r="AM313">
        <v>4649</v>
      </c>
      <c r="AN313">
        <v>130</v>
      </c>
      <c r="AO313">
        <v>1.9E-3</v>
      </c>
      <c r="AP313">
        <v>1</v>
      </c>
      <c r="AQ313">
        <v>-1.31</v>
      </c>
      <c r="AR313">
        <v>7.07</v>
      </c>
      <c r="AS313">
        <v>52.52</v>
      </c>
      <c r="AT313">
        <v>83.31</v>
      </c>
      <c r="AU313">
        <v>96.26</v>
      </c>
      <c r="AV313">
        <v>8</v>
      </c>
      <c r="AW313">
        <v>12.55</v>
      </c>
      <c r="AX313">
        <v>53.53</v>
      </c>
      <c r="AY313">
        <v>39.909999999999997</v>
      </c>
      <c r="AZ313">
        <v>80.010000000000005</v>
      </c>
      <c r="BA313">
        <v>0.44</v>
      </c>
      <c r="BB313" t="s">
        <v>143</v>
      </c>
      <c r="BF313">
        <v>1.1100000000000001</v>
      </c>
      <c r="BG313">
        <v>1.79</v>
      </c>
      <c r="BH313">
        <v>-4.08</v>
      </c>
      <c r="BI313">
        <v>2.71</v>
      </c>
      <c r="BJ313">
        <v>20210907</v>
      </c>
      <c r="BK313">
        <v>19980928</v>
      </c>
      <c r="BL313">
        <v>8.99</v>
      </c>
      <c r="BM313" t="s">
        <v>120</v>
      </c>
      <c r="BN313" t="s">
        <v>120</v>
      </c>
      <c r="BO313">
        <v>71.25</v>
      </c>
      <c r="BP313">
        <v>13.61</v>
      </c>
      <c r="BQ313">
        <v>23.67</v>
      </c>
      <c r="BR313">
        <v>6.34</v>
      </c>
      <c r="BS313">
        <v>57.88</v>
      </c>
      <c r="BT313">
        <v>39.28</v>
      </c>
      <c r="BU313">
        <v>24.76</v>
      </c>
      <c r="BV313">
        <v>3.49</v>
      </c>
      <c r="BW313">
        <v>35.01</v>
      </c>
      <c r="BX313">
        <v>5.36</v>
      </c>
      <c r="BY313">
        <v>15.17</v>
      </c>
      <c r="BZ313">
        <v>9.09</v>
      </c>
      <c r="CA313">
        <v>0.01</v>
      </c>
      <c r="CB313">
        <v>12.53</v>
      </c>
      <c r="CC313">
        <v>29.89</v>
      </c>
      <c r="CD313">
        <v>24.07</v>
      </c>
      <c r="CE313">
        <v>2.56</v>
      </c>
      <c r="CF313">
        <v>0.65</v>
      </c>
      <c r="CG313">
        <v>2.54</v>
      </c>
      <c r="CH313">
        <v>2.35</v>
      </c>
      <c r="CI313">
        <v>2.0699999999999998</v>
      </c>
      <c r="CJ313">
        <v>0.02</v>
      </c>
      <c r="CK313">
        <v>1.24</v>
      </c>
      <c r="CL313">
        <v>3.36</v>
      </c>
      <c r="CM313">
        <v>1.22</v>
      </c>
      <c r="CN313">
        <v>-2.2599999999999998</v>
      </c>
      <c r="CO313">
        <v>41725</v>
      </c>
      <c r="CP313">
        <v>11538</v>
      </c>
      <c r="CQ313" t="s">
        <v>2163</v>
      </c>
      <c r="CR313">
        <v>287.89</v>
      </c>
      <c r="CS313">
        <v>64.53</v>
      </c>
      <c r="CT313">
        <v>3.99</v>
      </c>
      <c r="CU313">
        <v>100.77</v>
      </c>
      <c r="CV313">
        <v>4.0999999999999996</v>
      </c>
      <c r="CW313">
        <v>0</v>
      </c>
      <c r="CX313" t="s">
        <v>1340</v>
      </c>
      <c r="CY313">
        <v>3.41</v>
      </c>
      <c r="CZ313">
        <v>3.41</v>
      </c>
      <c r="DA313">
        <v>1.39</v>
      </c>
      <c r="DB313">
        <v>0.37</v>
      </c>
      <c r="DC313">
        <v>0.14000000000000001</v>
      </c>
      <c r="DD313">
        <v>33.22</v>
      </c>
      <c r="DE313" t="s">
        <v>2164</v>
      </c>
      <c r="DF313">
        <v>19.489999999999998</v>
      </c>
      <c r="DG313">
        <v>8.56</v>
      </c>
      <c r="DH313">
        <v>6.92</v>
      </c>
      <c r="DI313">
        <v>0.74</v>
      </c>
      <c r="DJ313">
        <v>9959</v>
      </c>
      <c r="DK313">
        <v>837</v>
      </c>
      <c r="DL313">
        <v>20210825</v>
      </c>
      <c r="DM313">
        <v>11.3</v>
      </c>
      <c r="DN313">
        <v>20.53</v>
      </c>
    </row>
    <row r="314" spans="1:118">
      <c r="A314" t="str">
        <f>"000838"</f>
        <v>000838</v>
      </c>
      <c r="B314" t="s">
        <v>2165</v>
      </c>
      <c r="C314">
        <v>-3.49</v>
      </c>
      <c r="D314">
        <v>0</v>
      </c>
      <c r="E314">
        <v>0</v>
      </c>
      <c r="F314">
        <v>816</v>
      </c>
      <c r="G314" t="s">
        <v>2166</v>
      </c>
      <c r="H314">
        <v>2644.66</v>
      </c>
      <c r="I314">
        <v>4.66</v>
      </c>
      <c r="J314" t="s">
        <v>120</v>
      </c>
      <c r="K314" t="s">
        <v>2167</v>
      </c>
      <c r="L314">
        <v>1.01</v>
      </c>
      <c r="M314">
        <v>3.04</v>
      </c>
      <c r="N314">
        <v>0.88</v>
      </c>
      <c r="O314">
        <v>0.32</v>
      </c>
      <c r="P314">
        <v>3.16</v>
      </c>
      <c r="Q314">
        <v>-3.81</v>
      </c>
      <c r="R314">
        <v>3.03</v>
      </c>
      <c r="S314">
        <v>3.15</v>
      </c>
      <c r="T314">
        <v>85798</v>
      </c>
      <c r="U314">
        <v>3.05</v>
      </c>
      <c r="V314">
        <v>3.15</v>
      </c>
      <c r="W314">
        <v>562.41999999999996</v>
      </c>
      <c r="X314" t="s">
        <v>150</v>
      </c>
      <c r="Y314" t="s">
        <v>883</v>
      </c>
      <c r="Z314">
        <v>4.13</v>
      </c>
      <c r="AA314">
        <v>3.08</v>
      </c>
      <c r="AB314">
        <v>53498</v>
      </c>
      <c r="AC314">
        <v>32300</v>
      </c>
      <c r="AD314">
        <v>1.66</v>
      </c>
      <c r="AE314">
        <v>573</v>
      </c>
      <c r="AF314">
        <v>278</v>
      </c>
      <c r="AG314" t="s">
        <v>120</v>
      </c>
      <c r="AH314">
        <v>0</v>
      </c>
      <c r="AI314" t="s">
        <v>120</v>
      </c>
      <c r="AJ314">
        <v>8.4600000000000009</v>
      </c>
      <c r="AK314" t="s">
        <v>2168</v>
      </c>
      <c r="AL314">
        <v>-1.58</v>
      </c>
      <c r="AM314">
        <v>1204</v>
      </c>
      <c r="AN314">
        <v>71</v>
      </c>
      <c r="AO314">
        <v>8.0000000000000004E-4</v>
      </c>
      <c r="AP314">
        <v>-1</v>
      </c>
      <c r="AQ314">
        <v>1.61</v>
      </c>
      <c r="AR314">
        <v>-5.6</v>
      </c>
      <c r="AS314">
        <v>15.59</v>
      </c>
      <c r="AT314">
        <v>8.19</v>
      </c>
      <c r="AU314">
        <v>12.63</v>
      </c>
      <c r="AV314">
        <v>7</v>
      </c>
      <c r="AW314">
        <v>2.04</v>
      </c>
      <c r="AX314">
        <v>38.270000000000003</v>
      </c>
      <c r="AY314">
        <v>36.619999999999997</v>
      </c>
      <c r="AZ314">
        <v>29.9</v>
      </c>
      <c r="BA314">
        <v>0.54</v>
      </c>
      <c r="BB314" t="s">
        <v>143</v>
      </c>
      <c r="BF314">
        <v>-2.14</v>
      </c>
      <c r="BG314">
        <v>-3.49</v>
      </c>
      <c r="BH314">
        <v>-3.8</v>
      </c>
      <c r="BI314">
        <v>0.33</v>
      </c>
      <c r="BJ314">
        <v>20210827</v>
      </c>
      <c r="BK314">
        <v>19970626</v>
      </c>
      <c r="BL314">
        <v>11</v>
      </c>
      <c r="BM314" t="s">
        <v>120</v>
      </c>
      <c r="BN314" t="s">
        <v>120</v>
      </c>
      <c r="BO314">
        <v>169.41</v>
      </c>
      <c r="BP314">
        <v>3.04</v>
      </c>
      <c r="BQ314">
        <v>19.48</v>
      </c>
      <c r="BR314">
        <v>9.3800000000000008</v>
      </c>
      <c r="BS314">
        <v>82.97</v>
      </c>
      <c r="BT314">
        <v>164.56</v>
      </c>
      <c r="BU314">
        <v>1.55</v>
      </c>
      <c r="BV314">
        <v>0.87</v>
      </c>
      <c r="BW314">
        <v>121.69</v>
      </c>
      <c r="BX314">
        <v>21.98</v>
      </c>
      <c r="BY314">
        <v>115.02</v>
      </c>
      <c r="BZ314">
        <v>0.36</v>
      </c>
      <c r="CA314">
        <v>0.96</v>
      </c>
      <c r="CB314">
        <v>2.57</v>
      </c>
      <c r="CC314">
        <v>21.45</v>
      </c>
      <c r="CD314">
        <v>18.73</v>
      </c>
      <c r="CE314">
        <v>0.8</v>
      </c>
      <c r="CF314">
        <v>0</v>
      </c>
      <c r="CG314">
        <v>0.78</v>
      </c>
      <c r="CH314">
        <v>0.57999999999999996</v>
      </c>
      <c r="CI314">
        <v>0.03</v>
      </c>
      <c r="CJ314">
        <v>-0.11</v>
      </c>
      <c r="CK314">
        <v>0.01</v>
      </c>
      <c r="CL314">
        <v>5.49</v>
      </c>
      <c r="CM314">
        <v>15.39</v>
      </c>
      <c r="CN314">
        <v>-5.56</v>
      </c>
      <c r="CO314">
        <v>50861</v>
      </c>
      <c r="CP314">
        <v>8281</v>
      </c>
      <c r="CQ314" t="s">
        <v>2169</v>
      </c>
      <c r="CR314">
        <v>-87.73</v>
      </c>
      <c r="CS314">
        <v>37.58</v>
      </c>
      <c r="CT314">
        <v>1.72</v>
      </c>
      <c r="CU314">
        <v>2.17</v>
      </c>
      <c r="CV314">
        <v>1.56</v>
      </c>
      <c r="CW314">
        <v>0.67</v>
      </c>
      <c r="CX314" t="s">
        <v>1097</v>
      </c>
      <c r="CY314">
        <v>1.77</v>
      </c>
      <c r="CZ314">
        <v>0</v>
      </c>
      <c r="DA314">
        <v>0.23</v>
      </c>
      <c r="DB314">
        <v>0.5</v>
      </c>
      <c r="DC314">
        <v>1.4</v>
      </c>
      <c r="DD314">
        <v>11.5</v>
      </c>
      <c r="DE314" t="s">
        <v>2170</v>
      </c>
      <c r="DF314">
        <v>12.71</v>
      </c>
      <c r="DG314">
        <v>3.72</v>
      </c>
      <c r="DH314">
        <v>0.14000000000000001</v>
      </c>
      <c r="DI314">
        <v>0</v>
      </c>
      <c r="DJ314">
        <v>579</v>
      </c>
      <c r="DK314">
        <v>838</v>
      </c>
      <c r="DL314" t="s">
        <v>120</v>
      </c>
      <c r="DM314" t="s">
        <v>120</v>
      </c>
      <c r="DN314" t="s">
        <v>120</v>
      </c>
    </row>
    <row r="315" spans="1:118">
      <c r="A315" t="str">
        <f>"000839"</f>
        <v>000839</v>
      </c>
      <c r="B315" t="s">
        <v>2171</v>
      </c>
      <c r="C315">
        <v>-2.66</v>
      </c>
      <c r="D315">
        <v>0.69</v>
      </c>
      <c r="E315">
        <v>0</v>
      </c>
      <c r="F315">
        <v>12555</v>
      </c>
      <c r="G315" t="s">
        <v>2172</v>
      </c>
      <c r="H315">
        <v>17424.61</v>
      </c>
      <c r="I315">
        <v>34.799999999999997</v>
      </c>
      <c r="J315" t="s">
        <v>120</v>
      </c>
      <c r="K315" t="s">
        <v>2173</v>
      </c>
      <c r="L315">
        <v>1.5</v>
      </c>
      <c r="M315">
        <v>2.93</v>
      </c>
      <c r="N315">
        <v>1.02</v>
      </c>
      <c r="O315">
        <v>1.66</v>
      </c>
      <c r="P315">
        <v>3.06</v>
      </c>
      <c r="Q315">
        <v>-3.65</v>
      </c>
      <c r="R315">
        <v>2.9</v>
      </c>
      <c r="S315">
        <v>3.01</v>
      </c>
      <c r="T315">
        <v>586845</v>
      </c>
      <c r="U315">
        <v>2.93</v>
      </c>
      <c r="V315">
        <v>3.01</v>
      </c>
      <c r="W315" t="s">
        <v>120</v>
      </c>
      <c r="X315" t="s">
        <v>166</v>
      </c>
      <c r="Y315" t="s">
        <v>158</v>
      </c>
      <c r="Z315">
        <v>5.32</v>
      </c>
      <c r="AA315">
        <v>2.97</v>
      </c>
      <c r="AB315">
        <v>363196</v>
      </c>
      <c r="AC315">
        <v>223649</v>
      </c>
      <c r="AD315">
        <v>1.62</v>
      </c>
      <c r="AE315">
        <v>3016</v>
      </c>
      <c r="AF315">
        <v>8363</v>
      </c>
      <c r="AG315" t="s">
        <v>120</v>
      </c>
      <c r="AH315">
        <v>0</v>
      </c>
      <c r="AI315" t="s">
        <v>120</v>
      </c>
      <c r="AJ315">
        <v>39.200000000000003</v>
      </c>
      <c r="AK315" t="s">
        <v>2173</v>
      </c>
      <c r="AL315">
        <v>-0.74</v>
      </c>
      <c r="AM315">
        <v>3227</v>
      </c>
      <c r="AN315">
        <v>182</v>
      </c>
      <c r="AO315">
        <v>5.0000000000000001E-4</v>
      </c>
      <c r="AP315">
        <v>-1</v>
      </c>
      <c r="AQ315">
        <v>2.73</v>
      </c>
      <c r="AR315">
        <v>-3.3</v>
      </c>
      <c r="AS315">
        <v>11.84</v>
      </c>
      <c r="AT315">
        <v>40.19</v>
      </c>
      <c r="AU315">
        <v>24.15</v>
      </c>
      <c r="AV315">
        <v>4</v>
      </c>
      <c r="AW315">
        <v>2.36</v>
      </c>
      <c r="AX315">
        <v>63.56</v>
      </c>
      <c r="AY315" t="s">
        <v>120</v>
      </c>
      <c r="AZ315" t="s">
        <v>120</v>
      </c>
      <c r="BA315">
        <v>0.09</v>
      </c>
      <c r="BB315" t="s">
        <v>143</v>
      </c>
      <c r="BF315">
        <v>-1.36</v>
      </c>
      <c r="BG315">
        <v>-2.66</v>
      </c>
      <c r="BH315">
        <v>-4.25</v>
      </c>
      <c r="BI315">
        <v>1.03</v>
      </c>
      <c r="BJ315">
        <v>20210907</v>
      </c>
      <c r="BK315">
        <v>19971031</v>
      </c>
      <c r="BL315">
        <v>39.200000000000003</v>
      </c>
      <c r="BM315" t="s">
        <v>120</v>
      </c>
      <c r="BN315" t="s">
        <v>120</v>
      </c>
      <c r="BO315">
        <v>114.5</v>
      </c>
      <c r="BP315">
        <v>2.92</v>
      </c>
      <c r="BQ315">
        <v>49.86</v>
      </c>
      <c r="BR315">
        <v>-3.95</v>
      </c>
      <c r="BS315">
        <v>59.91</v>
      </c>
      <c r="BT315">
        <v>49.35</v>
      </c>
      <c r="BU315">
        <v>2.31</v>
      </c>
      <c r="BV315">
        <v>6.2</v>
      </c>
      <c r="BW315">
        <v>64</v>
      </c>
      <c r="BX315">
        <v>6.53</v>
      </c>
      <c r="BY315">
        <v>25.74</v>
      </c>
      <c r="BZ315">
        <v>10.01</v>
      </c>
      <c r="CA315">
        <v>0</v>
      </c>
      <c r="CB315">
        <v>19.96</v>
      </c>
      <c r="CC315">
        <v>12.41</v>
      </c>
      <c r="CD315">
        <v>11.06</v>
      </c>
      <c r="CE315">
        <v>-2.12</v>
      </c>
      <c r="CF315">
        <v>-1.1200000000000001</v>
      </c>
      <c r="CG315">
        <v>-2.4300000000000002</v>
      </c>
      <c r="CH315">
        <v>-2.59</v>
      </c>
      <c r="CI315">
        <v>-2.4</v>
      </c>
      <c r="CJ315">
        <v>-0.08</v>
      </c>
      <c r="CK315">
        <v>-1.4</v>
      </c>
      <c r="CL315">
        <v>-5.92</v>
      </c>
      <c r="CM315">
        <v>-1.39</v>
      </c>
      <c r="CN315">
        <v>-4.41</v>
      </c>
      <c r="CO315">
        <v>175566</v>
      </c>
      <c r="CP315">
        <v>14190</v>
      </c>
      <c r="CQ315" t="s">
        <v>2174</v>
      </c>
      <c r="CR315">
        <v>-43.71</v>
      </c>
      <c r="CS315">
        <v>-16.170000000000002</v>
      </c>
      <c r="CT315">
        <v>2.2999999999999998</v>
      </c>
      <c r="CU315">
        <v>-82.73</v>
      </c>
      <c r="CV315">
        <v>9.26</v>
      </c>
      <c r="CW315">
        <v>0</v>
      </c>
      <c r="CX315" t="s">
        <v>2175</v>
      </c>
      <c r="CY315">
        <v>1.27</v>
      </c>
      <c r="CZ315">
        <v>0</v>
      </c>
      <c r="DA315">
        <v>0.51</v>
      </c>
      <c r="DB315">
        <v>-0.15</v>
      </c>
      <c r="DC315">
        <v>-0.04</v>
      </c>
      <c r="DD315">
        <v>43.55</v>
      </c>
      <c r="DE315" t="s">
        <v>2176</v>
      </c>
      <c r="DF315">
        <v>10.82</v>
      </c>
      <c r="DG315">
        <v>-17.12</v>
      </c>
      <c r="DH315">
        <v>-19.350000000000001</v>
      </c>
      <c r="DI315">
        <v>0.36</v>
      </c>
      <c r="DJ315">
        <v>22670</v>
      </c>
      <c r="DK315">
        <v>839</v>
      </c>
      <c r="DL315" t="s">
        <v>120</v>
      </c>
      <c r="DM315" t="s">
        <v>120</v>
      </c>
      <c r="DN315" t="s">
        <v>120</v>
      </c>
    </row>
    <row r="316" spans="1:118">
      <c r="A316" t="str">
        <f>"000848"</f>
        <v>000848</v>
      </c>
      <c r="B316" t="s">
        <v>2177</v>
      </c>
      <c r="C316">
        <v>-7.5</v>
      </c>
      <c r="D316">
        <v>-0.7</v>
      </c>
      <c r="E316">
        <v>-0.41</v>
      </c>
      <c r="F316">
        <v>8352</v>
      </c>
      <c r="G316" t="s">
        <v>2178</v>
      </c>
      <c r="H316">
        <v>59683.67</v>
      </c>
      <c r="I316">
        <v>115.62</v>
      </c>
      <c r="J316" t="s">
        <v>120</v>
      </c>
      <c r="K316" t="s">
        <v>2179</v>
      </c>
      <c r="L316">
        <v>4.7699999999999996</v>
      </c>
      <c r="M316">
        <v>11.22</v>
      </c>
      <c r="N316">
        <v>1.63</v>
      </c>
      <c r="O316">
        <v>0.99</v>
      </c>
      <c r="P316">
        <v>12.25</v>
      </c>
      <c r="Q316">
        <v>-7.5</v>
      </c>
      <c r="R316">
        <v>11.22</v>
      </c>
      <c r="S316">
        <v>12.08</v>
      </c>
      <c r="T316">
        <v>513225</v>
      </c>
      <c r="U316">
        <v>11.25</v>
      </c>
      <c r="V316">
        <v>12.13</v>
      </c>
      <c r="W316">
        <v>21.3</v>
      </c>
      <c r="X316" t="s">
        <v>2180</v>
      </c>
      <c r="Y316" t="s">
        <v>602</v>
      </c>
      <c r="Z316">
        <v>8.49</v>
      </c>
      <c r="AA316">
        <v>11.63</v>
      </c>
      <c r="AB316">
        <v>267312</v>
      </c>
      <c r="AC316">
        <v>245913</v>
      </c>
      <c r="AD316">
        <v>1.0900000000000001</v>
      </c>
      <c r="AE316">
        <v>219</v>
      </c>
      <c r="AF316">
        <v>5</v>
      </c>
      <c r="AG316" t="s">
        <v>120</v>
      </c>
      <c r="AH316">
        <v>0.01</v>
      </c>
      <c r="AI316" t="s">
        <v>120</v>
      </c>
      <c r="AJ316">
        <v>10.76</v>
      </c>
      <c r="AK316" t="s">
        <v>2179</v>
      </c>
      <c r="AL316">
        <v>-5.59</v>
      </c>
      <c r="AM316">
        <v>4488</v>
      </c>
      <c r="AN316">
        <v>114</v>
      </c>
      <c r="AO316">
        <v>1.1000000000000001E-3</v>
      </c>
      <c r="AP316">
        <v>-7</v>
      </c>
      <c r="AQ316">
        <v>-2.1</v>
      </c>
      <c r="AR316">
        <v>-11.79</v>
      </c>
      <c r="AS316">
        <v>-10.24</v>
      </c>
      <c r="AT316">
        <v>2.93</v>
      </c>
      <c r="AU316">
        <v>64.040000000000006</v>
      </c>
      <c r="AV316">
        <v>13</v>
      </c>
      <c r="AW316">
        <v>8.0399999999999991</v>
      </c>
      <c r="AX316">
        <v>59.31</v>
      </c>
      <c r="AY316">
        <v>25.48</v>
      </c>
      <c r="AZ316">
        <v>30.21</v>
      </c>
      <c r="BA316">
        <v>1.75</v>
      </c>
      <c r="BB316" t="s">
        <v>143</v>
      </c>
      <c r="BF316">
        <v>-4.13</v>
      </c>
      <c r="BG316">
        <v>-7.12</v>
      </c>
      <c r="BH316">
        <v>-8.41</v>
      </c>
      <c r="BI316">
        <v>0</v>
      </c>
      <c r="BJ316">
        <v>20210901</v>
      </c>
      <c r="BK316">
        <v>19971113</v>
      </c>
      <c r="BL316">
        <v>10.76</v>
      </c>
      <c r="BM316" t="s">
        <v>120</v>
      </c>
      <c r="BN316" t="s">
        <v>120</v>
      </c>
      <c r="BO316">
        <v>26.28</v>
      </c>
      <c r="BP316">
        <v>11.22</v>
      </c>
      <c r="BQ316">
        <v>20.71</v>
      </c>
      <c r="BR316">
        <v>0.36</v>
      </c>
      <c r="BS316">
        <v>19.809999999999999</v>
      </c>
      <c r="BT316">
        <v>20.95</v>
      </c>
      <c r="BU316">
        <v>2.08</v>
      </c>
      <c r="BV316">
        <v>2.92</v>
      </c>
      <c r="BW316">
        <v>4.68</v>
      </c>
      <c r="BX316">
        <v>20.3</v>
      </c>
      <c r="BY316">
        <v>0.53</v>
      </c>
      <c r="BZ316">
        <v>0</v>
      </c>
      <c r="CA316" t="s">
        <v>120</v>
      </c>
      <c r="CB316">
        <v>0.17</v>
      </c>
      <c r="CC316">
        <v>13.6</v>
      </c>
      <c r="CD316">
        <v>6.71</v>
      </c>
      <c r="CE316">
        <v>3.81</v>
      </c>
      <c r="CF316">
        <v>0.01</v>
      </c>
      <c r="CG316">
        <v>3.8</v>
      </c>
      <c r="CH316">
        <v>2.83</v>
      </c>
      <c r="CI316">
        <v>2.84</v>
      </c>
      <c r="CJ316">
        <v>-0.91</v>
      </c>
      <c r="CK316">
        <v>2.84</v>
      </c>
      <c r="CL316">
        <v>6.66</v>
      </c>
      <c r="CM316">
        <v>1.05</v>
      </c>
      <c r="CN316">
        <v>-3.11</v>
      </c>
      <c r="CO316">
        <v>49424</v>
      </c>
      <c r="CP316">
        <v>12918</v>
      </c>
      <c r="CQ316" t="s">
        <v>2181</v>
      </c>
      <c r="CR316">
        <v>39.520000000000003</v>
      </c>
      <c r="CS316">
        <v>36.44</v>
      </c>
      <c r="CT316">
        <v>5.83</v>
      </c>
      <c r="CU316">
        <v>115.44</v>
      </c>
      <c r="CV316">
        <v>8.8800000000000008</v>
      </c>
      <c r="CW316">
        <v>2.09</v>
      </c>
      <c r="CX316" t="s">
        <v>1233</v>
      </c>
      <c r="CY316">
        <v>1.92</v>
      </c>
      <c r="CZ316">
        <v>0</v>
      </c>
      <c r="DA316">
        <v>0.02</v>
      </c>
      <c r="DB316">
        <v>0.62</v>
      </c>
      <c r="DC316">
        <v>0.1</v>
      </c>
      <c r="DD316">
        <v>78.81</v>
      </c>
      <c r="DE316" t="s">
        <v>2182</v>
      </c>
      <c r="DF316">
        <v>50.66</v>
      </c>
      <c r="DG316">
        <v>27.99</v>
      </c>
      <c r="DH316">
        <v>20.85</v>
      </c>
      <c r="DI316">
        <v>0.1</v>
      </c>
      <c r="DJ316">
        <v>1070</v>
      </c>
      <c r="DK316">
        <v>848</v>
      </c>
      <c r="DL316">
        <v>20210623</v>
      </c>
      <c r="DM316">
        <v>10.68</v>
      </c>
      <c r="DN316">
        <v>5.0599999999999996</v>
      </c>
    </row>
    <row r="317" spans="1:118">
      <c r="A317" t="str">
        <f>"000850"</f>
        <v>000850</v>
      </c>
      <c r="B317" t="s">
        <v>2183</v>
      </c>
      <c r="C317">
        <v>-0.49</v>
      </c>
      <c r="D317">
        <v>0</v>
      </c>
      <c r="E317">
        <v>0.25</v>
      </c>
      <c r="F317">
        <v>498</v>
      </c>
      <c r="G317" t="s">
        <v>728</v>
      </c>
      <c r="H317">
        <v>3328.63</v>
      </c>
      <c r="I317">
        <v>11.04</v>
      </c>
      <c r="J317" t="s">
        <v>120</v>
      </c>
      <c r="K317" t="s">
        <v>2184</v>
      </c>
      <c r="L317">
        <v>0.87</v>
      </c>
      <c r="M317">
        <v>4.03</v>
      </c>
      <c r="N317">
        <v>0.63</v>
      </c>
      <c r="O317">
        <v>1.73</v>
      </c>
      <c r="P317">
        <v>4.12</v>
      </c>
      <c r="Q317">
        <v>-1.23</v>
      </c>
      <c r="R317">
        <v>4</v>
      </c>
      <c r="S317">
        <v>4.0599999999999996</v>
      </c>
      <c r="T317">
        <v>82020</v>
      </c>
      <c r="U317">
        <v>4.03</v>
      </c>
      <c r="V317">
        <v>4.05</v>
      </c>
      <c r="W317">
        <v>13.02</v>
      </c>
      <c r="X317" t="s">
        <v>1766</v>
      </c>
      <c r="Y317" t="s">
        <v>570</v>
      </c>
      <c r="Z317">
        <v>2.96</v>
      </c>
      <c r="AA317">
        <v>4.0599999999999996</v>
      </c>
      <c r="AB317">
        <v>44619</v>
      </c>
      <c r="AC317">
        <v>37401</v>
      </c>
      <c r="AD317">
        <v>1.19</v>
      </c>
      <c r="AE317">
        <v>520</v>
      </c>
      <c r="AF317">
        <v>792</v>
      </c>
      <c r="AG317" t="s">
        <v>120</v>
      </c>
      <c r="AH317">
        <v>0.01</v>
      </c>
      <c r="AI317" t="s">
        <v>120</v>
      </c>
      <c r="AJ317">
        <v>9.43</v>
      </c>
      <c r="AK317" t="s">
        <v>2185</v>
      </c>
      <c r="AL317">
        <v>1.42</v>
      </c>
      <c r="AM317">
        <v>1545</v>
      </c>
      <c r="AN317">
        <v>53</v>
      </c>
      <c r="AO317">
        <v>5.9999999999999995E-4</v>
      </c>
      <c r="AP317">
        <v>-1</v>
      </c>
      <c r="AQ317">
        <v>0.5</v>
      </c>
      <c r="AR317">
        <v>-2.89</v>
      </c>
      <c r="AS317">
        <v>13.52</v>
      </c>
      <c r="AT317">
        <v>11.02</v>
      </c>
      <c r="AU317">
        <v>3.86</v>
      </c>
      <c r="AV317">
        <v>1</v>
      </c>
      <c r="AW317">
        <v>1.62</v>
      </c>
      <c r="AX317">
        <v>53.57</v>
      </c>
      <c r="AY317">
        <v>14.82</v>
      </c>
      <c r="AZ317">
        <v>17.2</v>
      </c>
      <c r="BA317">
        <v>0.2</v>
      </c>
      <c r="BB317" t="s">
        <v>143</v>
      </c>
      <c r="BF317">
        <v>0.21</v>
      </c>
      <c r="BG317">
        <v>-0.74</v>
      </c>
      <c r="BH317">
        <v>-2.1800000000000002</v>
      </c>
      <c r="BI317">
        <v>0.75</v>
      </c>
      <c r="BJ317">
        <v>20210831</v>
      </c>
      <c r="BK317">
        <v>19981007</v>
      </c>
      <c r="BL317">
        <v>9.44</v>
      </c>
      <c r="BM317" t="s">
        <v>120</v>
      </c>
      <c r="BN317" t="s">
        <v>120</v>
      </c>
      <c r="BO317">
        <v>71.48</v>
      </c>
      <c r="BP317">
        <v>4.0199999999999996</v>
      </c>
      <c r="BQ317">
        <v>43.96</v>
      </c>
      <c r="BR317">
        <v>0.83</v>
      </c>
      <c r="BS317">
        <v>37.340000000000003</v>
      </c>
      <c r="BT317">
        <v>33.08</v>
      </c>
      <c r="BU317">
        <v>21.71</v>
      </c>
      <c r="BV317">
        <v>3.67</v>
      </c>
      <c r="BW317">
        <v>16.87</v>
      </c>
      <c r="BX317">
        <v>4.79</v>
      </c>
      <c r="BY317">
        <v>6.08</v>
      </c>
      <c r="BZ317">
        <v>3.07</v>
      </c>
      <c r="CA317" t="s">
        <v>120</v>
      </c>
      <c r="CB317">
        <v>0.33</v>
      </c>
      <c r="CC317">
        <v>16.64</v>
      </c>
      <c r="CD317">
        <v>13.41</v>
      </c>
      <c r="CE317">
        <v>1.77</v>
      </c>
      <c r="CF317">
        <v>0.51</v>
      </c>
      <c r="CG317">
        <v>1.77</v>
      </c>
      <c r="CH317">
        <v>1.44</v>
      </c>
      <c r="CI317">
        <v>1.46</v>
      </c>
      <c r="CJ317">
        <v>-0.02</v>
      </c>
      <c r="CK317">
        <v>1.1399999999999999</v>
      </c>
      <c r="CL317">
        <v>29.76</v>
      </c>
      <c r="CM317">
        <v>1.21</v>
      </c>
      <c r="CN317">
        <v>-0.48</v>
      </c>
      <c r="CO317">
        <v>38773</v>
      </c>
      <c r="CP317">
        <v>13038</v>
      </c>
      <c r="CQ317" t="s">
        <v>2186</v>
      </c>
      <c r="CR317">
        <v>32.33</v>
      </c>
      <c r="CS317">
        <v>2.25</v>
      </c>
      <c r="CT317">
        <v>0.87</v>
      </c>
      <c r="CU317">
        <v>31.36</v>
      </c>
      <c r="CV317">
        <v>2.29</v>
      </c>
      <c r="CW317">
        <v>1.23</v>
      </c>
      <c r="CX317" t="s">
        <v>1091</v>
      </c>
      <c r="CY317">
        <v>4.66</v>
      </c>
      <c r="CZ317">
        <v>0</v>
      </c>
      <c r="DA317">
        <v>0.03</v>
      </c>
      <c r="DB317">
        <v>3.15</v>
      </c>
      <c r="DC317">
        <v>0.13</v>
      </c>
      <c r="DD317">
        <v>61.5</v>
      </c>
      <c r="DE317" t="s">
        <v>2187</v>
      </c>
      <c r="DF317">
        <v>19.41</v>
      </c>
      <c r="DG317">
        <v>10.66</v>
      </c>
      <c r="DH317">
        <v>8.7799999999999994</v>
      </c>
      <c r="DI317">
        <v>0.59</v>
      </c>
      <c r="DJ317">
        <v>4762</v>
      </c>
      <c r="DK317">
        <v>850</v>
      </c>
      <c r="DL317" t="s">
        <v>120</v>
      </c>
      <c r="DM317" t="s">
        <v>120</v>
      </c>
      <c r="DN317" t="s">
        <v>120</v>
      </c>
    </row>
    <row r="318" spans="1:118">
      <c r="A318" t="str">
        <f>"000851"</f>
        <v>000851</v>
      </c>
      <c r="B318" t="s">
        <v>2188</v>
      </c>
      <c r="C318">
        <v>-1.92</v>
      </c>
      <c r="D318">
        <v>-0.15</v>
      </c>
      <c r="E318">
        <v>0</v>
      </c>
      <c r="F318">
        <v>753</v>
      </c>
      <c r="G318" t="s">
        <v>2189</v>
      </c>
      <c r="H318">
        <v>5794.89</v>
      </c>
      <c r="I318">
        <v>14.29</v>
      </c>
      <c r="J318" t="s">
        <v>120</v>
      </c>
      <c r="K318" t="s">
        <v>2190</v>
      </c>
      <c r="L318">
        <v>1.07</v>
      </c>
      <c r="M318">
        <v>6.12</v>
      </c>
      <c r="N318">
        <v>0.74</v>
      </c>
      <c r="O318">
        <v>0.16</v>
      </c>
      <c r="P318">
        <v>6.25</v>
      </c>
      <c r="Q318">
        <v>-2.4</v>
      </c>
      <c r="R318">
        <v>6.09</v>
      </c>
      <c r="S318">
        <v>6.24</v>
      </c>
      <c r="T318">
        <v>93944</v>
      </c>
      <c r="U318">
        <v>6.13</v>
      </c>
      <c r="V318">
        <v>6.24</v>
      </c>
      <c r="W318">
        <v>467.68</v>
      </c>
      <c r="X318" t="s">
        <v>462</v>
      </c>
      <c r="Y318" t="s">
        <v>1021</v>
      </c>
      <c r="Z318">
        <v>2.56</v>
      </c>
      <c r="AA318">
        <v>6.17</v>
      </c>
      <c r="AB318">
        <v>58804</v>
      </c>
      <c r="AC318">
        <v>35140</v>
      </c>
      <c r="AD318">
        <v>1.67</v>
      </c>
      <c r="AE318">
        <v>354</v>
      </c>
      <c r="AF318">
        <v>1822</v>
      </c>
      <c r="AG318" t="s">
        <v>120</v>
      </c>
      <c r="AH318">
        <v>0</v>
      </c>
      <c r="AI318" t="s">
        <v>120</v>
      </c>
      <c r="AJ318">
        <v>8.7899999999999991</v>
      </c>
      <c r="AK318" t="s">
        <v>2191</v>
      </c>
      <c r="AL318">
        <v>-0.01</v>
      </c>
      <c r="AM318">
        <v>1969</v>
      </c>
      <c r="AN318">
        <v>48</v>
      </c>
      <c r="AO318">
        <v>5.0000000000000001E-4</v>
      </c>
      <c r="AP318">
        <v>-1</v>
      </c>
      <c r="AQ318">
        <v>0.32</v>
      </c>
      <c r="AR318">
        <v>-1.1399999999999999</v>
      </c>
      <c r="AS318">
        <v>2.85</v>
      </c>
      <c r="AT318">
        <v>-4.67</v>
      </c>
      <c r="AU318">
        <v>-17.739999999999998</v>
      </c>
      <c r="AV318">
        <v>3</v>
      </c>
      <c r="AW318">
        <v>1.23</v>
      </c>
      <c r="AX318">
        <v>66.88</v>
      </c>
      <c r="AY318" t="s">
        <v>120</v>
      </c>
      <c r="AZ318" t="s">
        <v>120</v>
      </c>
      <c r="BA318">
        <v>0.72</v>
      </c>
      <c r="BB318" t="s">
        <v>143</v>
      </c>
      <c r="BF318">
        <v>-1.1499999999999999</v>
      </c>
      <c r="BG318">
        <v>-1.92</v>
      </c>
      <c r="BH318">
        <v>-2.08</v>
      </c>
      <c r="BI318">
        <v>0.49</v>
      </c>
      <c r="BJ318">
        <v>20210902</v>
      </c>
      <c r="BK318">
        <v>19980609</v>
      </c>
      <c r="BL318">
        <v>11.4</v>
      </c>
      <c r="BM318" t="s">
        <v>120</v>
      </c>
      <c r="BN318" t="s">
        <v>120</v>
      </c>
      <c r="BO318">
        <v>110.02</v>
      </c>
      <c r="BP318">
        <v>6.12</v>
      </c>
      <c r="BQ318">
        <v>44.15</v>
      </c>
      <c r="BR318">
        <v>5.29</v>
      </c>
      <c r="BS318">
        <v>55.06</v>
      </c>
      <c r="BT318">
        <v>84.33</v>
      </c>
      <c r="BU318">
        <v>1.85</v>
      </c>
      <c r="BV318">
        <v>4.5</v>
      </c>
      <c r="BW318">
        <v>55.96</v>
      </c>
      <c r="BX318">
        <v>15.33</v>
      </c>
      <c r="BY318">
        <v>15.65</v>
      </c>
      <c r="BZ318">
        <v>29.69</v>
      </c>
      <c r="CA318">
        <v>0</v>
      </c>
      <c r="CB318">
        <v>29.22</v>
      </c>
      <c r="CC318">
        <v>32.5</v>
      </c>
      <c r="CD318">
        <v>29.94</v>
      </c>
      <c r="CE318">
        <v>0.05</v>
      </c>
      <c r="CF318">
        <v>-0.13</v>
      </c>
      <c r="CG318">
        <v>0.16</v>
      </c>
      <c r="CH318">
        <v>0.15</v>
      </c>
      <c r="CI318">
        <v>7.0000000000000007E-2</v>
      </c>
      <c r="CJ318">
        <v>-0.12</v>
      </c>
      <c r="CK318">
        <v>-0.04</v>
      </c>
      <c r="CL318">
        <v>3.64</v>
      </c>
      <c r="CM318">
        <v>-4.37</v>
      </c>
      <c r="CN318">
        <v>5.59</v>
      </c>
      <c r="CO318">
        <v>63000</v>
      </c>
      <c r="CP318">
        <v>12102</v>
      </c>
      <c r="CQ318" t="s">
        <v>965</v>
      </c>
      <c r="CR318">
        <v>109.01</v>
      </c>
      <c r="CS318">
        <v>22.96</v>
      </c>
      <c r="CT318">
        <v>1.58</v>
      </c>
      <c r="CU318">
        <v>-15.98</v>
      </c>
      <c r="CV318">
        <v>2.15</v>
      </c>
      <c r="CW318">
        <v>0</v>
      </c>
      <c r="CX318" t="s">
        <v>178</v>
      </c>
      <c r="CY318">
        <v>3.87</v>
      </c>
      <c r="CZ318">
        <v>0</v>
      </c>
      <c r="DA318">
        <v>2.56</v>
      </c>
      <c r="DB318">
        <v>0.32</v>
      </c>
      <c r="DC318">
        <v>-0.38</v>
      </c>
      <c r="DD318">
        <v>40.130000000000003</v>
      </c>
      <c r="DE318" t="s">
        <v>2192</v>
      </c>
      <c r="DF318">
        <v>7.9</v>
      </c>
      <c r="DG318">
        <v>0.14000000000000001</v>
      </c>
      <c r="DH318">
        <v>0.23</v>
      </c>
      <c r="DI318">
        <v>0.49</v>
      </c>
      <c r="DJ318">
        <v>1173</v>
      </c>
      <c r="DK318">
        <v>851</v>
      </c>
      <c r="DL318" t="s">
        <v>120</v>
      </c>
      <c r="DM318" t="s">
        <v>120</v>
      </c>
      <c r="DN318" t="s">
        <v>120</v>
      </c>
    </row>
    <row r="319" spans="1:118">
      <c r="A319" t="str">
        <f>"000852"</f>
        <v>000852</v>
      </c>
      <c r="B319" t="s">
        <v>2193</v>
      </c>
      <c r="C319">
        <v>2.08</v>
      </c>
      <c r="D319">
        <v>0</v>
      </c>
      <c r="E319">
        <v>2.78</v>
      </c>
      <c r="F319">
        <v>6644</v>
      </c>
      <c r="G319" t="s">
        <v>2194</v>
      </c>
      <c r="H319">
        <v>61679.08</v>
      </c>
      <c r="I319">
        <v>1258.3699999999999</v>
      </c>
      <c r="J319" t="s">
        <v>120</v>
      </c>
      <c r="K319" t="s">
        <v>2195</v>
      </c>
      <c r="L319">
        <v>10.7</v>
      </c>
      <c r="M319">
        <v>7.35</v>
      </c>
      <c r="N319">
        <v>0.95</v>
      </c>
      <c r="O319">
        <v>8.89</v>
      </c>
      <c r="P319">
        <v>7.84</v>
      </c>
      <c r="Q319">
        <v>-1.25</v>
      </c>
      <c r="R319">
        <v>7.11</v>
      </c>
      <c r="S319">
        <v>7.4</v>
      </c>
      <c r="T319">
        <v>831884</v>
      </c>
      <c r="U319">
        <v>7.35</v>
      </c>
      <c r="V319">
        <v>7.2</v>
      </c>
      <c r="W319">
        <v>130.94999999999999</v>
      </c>
      <c r="X319" t="s">
        <v>2196</v>
      </c>
      <c r="Y319" t="s">
        <v>763</v>
      </c>
      <c r="Z319">
        <v>10.14</v>
      </c>
      <c r="AA319">
        <v>7.41</v>
      </c>
      <c r="AB319">
        <v>432737</v>
      </c>
      <c r="AC319">
        <v>399147</v>
      </c>
      <c r="AD319">
        <v>1.08</v>
      </c>
      <c r="AE319">
        <v>1997</v>
      </c>
      <c r="AF319">
        <v>2495</v>
      </c>
      <c r="AG319" t="s">
        <v>120</v>
      </c>
      <c r="AH319">
        <v>0.53</v>
      </c>
      <c r="AI319" t="s">
        <v>120</v>
      </c>
      <c r="AJ319">
        <v>7.78</v>
      </c>
      <c r="AK319" t="s">
        <v>2195</v>
      </c>
      <c r="AL319">
        <v>4</v>
      </c>
      <c r="AM319">
        <v>4260</v>
      </c>
      <c r="AN319">
        <v>195</v>
      </c>
      <c r="AO319">
        <v>2.5000000000000001E-3</v>
      </c>
      <c r="AP319">
        <v>3</v>
      </c>
      <c r="AQ319">
        <v>1.41</v>
      </c>
      <c r="AR319">
        <v>5.3</v>
      </c>
      <c r="AS319">
        <v>54.74</v>
      </c>
      <c r="AT319">
        <v>47.59</v>
      </c>
      <c r="AU319">
        <v>63.33</v>
      </c>
      <c r="AV319">
        <v>6</v>
      </c>
      <c r="AW319">
        <v>25.93</v>
      </c>
      <c r="AX319">
        <v>41.26</v>
      </c>
      <c r="AY319">
        <v>201.14</v>
      </c>
      <c r="AZ319">
        <v>786.2</v>
      </c>
      <c r="BA319">
        <v>0.71</v>
      </c>
      <c r="BB319" t="s">
        <v>341</v>
      </c>
      <c r="BF319">
        <v>2.98</v>
      </c>
      <c r="BG319">
        <v>-0.68</v>
      </c>
      <c r="BH319">
        <v>-6.25</v>
      </c>
      <c r="BI319">
        <v>3.38</v>
      </c>
      <c r="BJ319">
        <v>20210907</v>
      </c>
      <c r="BK319">
        <v>19981126</v>
      </c>
      <c r="BL319">
        <v>7.78</v>
      </c>
      <c r="BM319" t="s">
        <v>120</v>
      </c>
      <c r="BN319" t="s">
        <v>120</v>
      </c>
      <c r="BO319">
        <v>85.05</v>
      </c>
      <c r="BP319">
        <v>7.34</v>
      </c>
      <c r="BQ319">
        <v>18.37</v>
      </c>
      <c r="BR319">
        <v>1.46</v>
      </c>
      <c r="BS319">
        <v>76.69</v>
      </c>
      <c r="BT319">
        <v>70.47</v>
      </c>
      <c r="BU319">
        <v>11.63</v>
      </c>
      <c r="BV319">
        <v>0.87</v>
      </c>
      <c r="BW319">
        <v>64.459999999999994</v>
      </c>
      <c r="BX319">
        <v>1.22</v>
      </c>
      <c r="BY319">
        <v>37.729999999999997</v>
      </c>
      <c r="BZ319">
        <v>22.83</v>
      </c>
      <c r="CA319" t="s">
        <v>120</v>
      </c>
      <c r="CB319">
        <v>8.11</v>
      </c>
      <c r="CC319">
        <v>31.51</v>
      </c>
      <c r="CD319">
        <v>27.07</v>
      </c>
      <c r="CE319">
        <v>0.28999999999999998</v>
      </c>
      <c r="CF319">
        <v>-0.03</v>
      </c>
      <c r="CG319">
        <v>0.28999999999999998</v>
      </c>
      <c r="CH319">
        <v>0.28000000000000003</v>
      </c>
      <c r="CI319">
        <v>0.22</v>
      </c>
      <c r="CJ319">
        <v>0.15</v>
      </c>
      <c r="CK319">
        <v>0.08</v>
      </c>
      <c r="CL319">
        <v>0.4</v>
      </c>
      <c r="CM319">
        <v>1</v>
      </c>
      <c r="CN319">
        <v>0.28000000000000003</v>
      </c>
      <c r="CO319">
        <v>31561</v>
      </c>
      <c r="CP319">
        <v>10166</v>
      </c>
      <c r="CQ319" t="s">
        <v>737</v>
      </c>
      <c r="CR319">
        <v>1867.87</v>
      </c>
      <c r="CS319">
        <v>1.76</v>
      </c>
      <c r="CT319">
        <v>3.11</v>
      </c>
      <c r="CU319">
        <v>57.07</v>
      </c>
      <c r="CV319">
        <v>1.81</v>
      </c>
      <c r="CW319">
        <v>0</v>
      </c>
      <c r="CX319" t="s">
        <v>1808</v>
      </c>
      <c r="CY319">
        <v>2.36</v>
      </c>
      <c r="CZ319">
        <v>0</v>
      </c>
      <c r="DA319">
        <v>1.04</v>
      </c>
      <c r="DB319">
        <v>0.05</v>
      </c>
      <c r="DC319">
        <v>0.13</v>
      </c>
      <c r="DD319">
        <v>21.59</v>
      </c>
      <c r="DE319" t="s">
        <v>2197</v>
      </c>
      <c r="DF319">
        <v>14.1</v>
      </c>
      <c r="DG319">
        <v>0.92</v>
      </c>
      <c r="DH319">
        <v>0.69</v>
      </c>
      <c r="DI319">
        <v>0.84</v>
      </c>
      <c r="DJ319">
        <v>5212</v>
      </c>
      <c r="DK319">
        <v>852</v>
      </c>
      <c r="DL319">
        <v>20210908</v>
      </c>
      <c r="DM319">
        <v>7.03</v>
      </c>
      <c r="DN319">
        <v>4.55</v>
      </c>
    </row>
    <row r="320" spans="1:118">
      <c r="A320" t="str">
        <f>"000856"</f>
        <v>000856</v>
      </c>
      <c r="B320" t="s">
        <v>2198</v>
      </c>
      <c r="C320">
        <v>-1.59</v>
      </c>
      <c r="D320">
        <v>0</v>
      </c>
      <c r="E320">
        <v>2.39</v>
      </c>
      <c r="F320">
        <v>413</v>
      </c>
      <c r="G320" t="s">
        <v>1600</v>
      </c>
      <c r="H320">
        <v>3821.96</v>
      </c>
      <c r="I320">
        <v>49.42</v>
      </c>
      <c r="J320" t="s">
        <v>120</v>
      </c>
      <c r="K320" t="s">
        <v>2199</v>
      </c>
      <c r="L320">
        <v>2.2200000000000002</v>
      </c>
      <c r="M320">
        <v>7.41</v>
      </c>
      <c r="N320">
        <v>0.95</v>
      </c>
      <c r="O320">
        <v>2.66</v>
      </c>
      <c r="P320">
        <v>7.73</v>
      </c>
      <c r="Q320">
        <v>-1.99</v>
      </c>
      <c r="R320">
        <v>7.38</v>
      </c>
      <c r="S320">
        <v>7.71</v>
      </c>
      <c r="T320">
        <v>50485</v>
      </c>
      <c r="U320">
        <v>7.41</v>
      </c>
      <c r="V320">
        <v>7.53</v>
      </c>
      <c r="W320">
        <v>54.36</v>
      </c>
      <c r="X320" t="s">
        <v>959</v>
      </c>
      <c r="Y320" t="s">
        <v>602</v>
      </c>
      <c r="Z320">
        <v>4.6500000000000004</v>
      </c>
      <c r="AA320">
        <v>7.57</v>
      </c>
      <c r="AB320">
        <v>28136</v>
      </c>
      <c r="AC320">
        <v>22349</v>
      </c>
      <c r="AD320">
        <v>1.26</v>
      </c>
      <c r="AE320">
        <v>213</v>
      </c>
      <c r="AF320">
        <v>361</v>
      </c>
      <c r="AG320" t="s">
        <v>120</v>
      </c>
      <c r="AH320">
        <v>0.04</v>
      </c>
      <c r="AI320" t="s">
        <v>120</v>
      </c>
      <c r="AJ320">
        <v>2.27</v>
      </c>
      <c r="AK320" t="s">
        <v>2199</v>
      </c>
      <c r="AL320">
        <v>0.32</v>
      </c>
      <c r="AM320">
        <v>1955</v>
      </c>
      <c r="AN320">
        <v>26</v>
      </c>
      <c r="AO320">
        <v>1.1000000000000001E-3</v>
      </c>
      <c r="AP320">
        <v>-1</v>
      </c>
      <c r="AQ320">
        <v>0.67</v>
      </c>
      <c r="AR320">
        <v>-3.26</v>
      </c>
      <c r="AS320">
        <v>3.35</v>
      </c>
      <c r="AT320">
        <v>7.23</v>
      </c>
      <c r="AU320">
        <v>2.2000000000000002</v>
      </c>
      <c r="AV320">
        <v>1</v>
      </c>
      <c r="AW320">
        <v>3.18</v>
      </c>
      <c r="AX320">
        <v>70</v>
      </c>
      <c r="AY320">
        <v>108.27</v>
      </c>
      <c r="AZ320">
        <v>381.48</v>
      </c>
      <c r="BA320">
        <v>0.47</v>
      </c>
      <c r="BB320" t="s">
        <v>143</v>
      </c>
      <c r="BF320">
        <v>0.54</v>
      </c>
      <c r="BG320">
        <v>-3.89</v>
      </c>
      <c r="BH320">
        <v>-4.1399999999999997</v>
      </c>
      <c r="BI320">
        <v>0.41</v>
      </c>
      <c r="BJ320">
        <v>20210812</v>
      </c>
      <c r="BK320">
        <v>19980813</v>
      </c>
      <c r="BL320">
        <v>2.27</v>
      </c>
      <c r="BM320" t="s">
        <v>120</v>
      </c>
      <c r="BN320" t="s">
        <v>120</v>
      </c>
      <c r="BO320">
        <v>23.02</v>
      </c>
      <c r="BP320">
        <v>7.4</v>
      </c>
      <c r="BQ320">
        <v>3.61</v>
      </c>
      <c r="BR320">
        <v>0.87</v>
      </c>
      <c r="BS320">
        <v>80.569999999999993</v>
      </c>
      <c r="BT320">
        <v>16.899999999999999</v>
      </c>
      <c r="BU320">
        <v>4.09</v>
      </c>
      <c r="BV320">
        <v>0.93</v>
      </c>
      <c r="BW320">
        <v>18.46</v>
      </c>
      <c r="BX320">
        <v>2.33</v>
      </c>
      <c r="BY320">
        <v>1.53</v>
      </c>
      <c r="BZ320">
        <v>7.74</v>
      </c>
      <c r="CA320" t="s">
        <v>120</v>
      </c>
      <c r="CB320">
        <v>3.89</v>
      </c>
      <c r="CC320">
        <v>19.38</v>
      </c>
      <c r="CD320">
        <v>18.3</v>
      </c>
      <c r="CE320">
        <v>0.09</v>
      </c>
      <c r="CF320">
        <v>0</v>
      </c>
      <c r="CG320">
        <v>0.17</v>
      </c>
      <c r="CH320">
        <v>0.08</v>
      </c>
      <c r="CI320">
        <v>0.15</v>
      </c>
      <c r="CJ320">
        <v>-0.12</v>
      </c>
      <c r="CK320">
        <v>0.11</v>
      </c>
      <c r="CL320">
        <v>-2.91</v>
      </c>
      <c r="CM320">
        <v>-0.27</v>
      </c>
      <c r="CN320">
        <v>-0.51</v>
      </c>
      <c r="CO320">
        <v>31016</v>
      </c>
      <c r="CP320">
        <v>5123</v>
      </c>
      <c r="CQ320" t="s">
        <v>1349</v>
      </c>
      <c r="CR320">
        <v>271.5</v>
      </c>
      <c r="CS320">
        <v>30.62</v>
      </c>
      <c r="CT320">
        <v>4.66</v>
      </c>
      <c r="CU320">
        <v>-63.1</v>
      </c>
      <c r="CV320">
        <v>0.87</v>
      </c>
      <c r="CW320">
        <v>0</v>
      </c>
      <c r="CX320" t="s">
        <v>2200</v>
      </c>
      <c r="CY320">
        <v>1.59</v>
      </c>
      <c r="CZ320">
        <v>0</v>
      </c>
      <c r="DA320">
        <v>1.71</v>
      </c>
      <c r="DB320">
        <v>-1.28</v>
      </c>
      <c r="DC320">
        <v>-0.12</v>
      </c>
      <c r="DD320">
        <v>15.67</v>
      </c>
      <c r="DE320" t="s">
        <v>967</v>
      </c>
      <c r="DF320">
        <v>5.59</v>
      </c>
      <c r="DG320">
        <v>0.46</v>
      </c>
      <c r="DH320">
        <v>0.8</v>
      </c>
      <c r="DI320">
        <v>0.16</v>
      </c>
      <c r="DJ320">
        <v>1699</v>
      </c>
      <c r="DK320">
        <v>856</v>
      </c>
      <c r="DL320" t="s">
        <v>120</v>
      </c>
      <c r="DM320" t="s">
        <v>120</v>
      </c>
      <c r="DN320" t="s">
        <v>120</v>
      </c>
    </row>
    <row r="321" spans="1:118">
      <c r="A321" t="str">
        <f>"000858"</f>
        <v>000858</v>
      </c>
      <c r="B321" t="s">
        <v>2201</v>
      </c>
      <c r="C321">
        <v>-0.76</v>
      </c>
      <c r="D321">
        <v>0</v>
      </c>
      <c r="E321">
        <v>-1.26</v>
      </c>
      <c r="F321">
        <v>3989</v>
      </c>
      <c r="G321" t="s">
        <v>2202</v>
      </c>
      <c r="H321">
        <v>659028.77</v>
      </c>
      <c r="I321">
        <v>5168.5200000000004</v>
      </c>
      <c r="J321" t="s">
        <v>120</v>
      </c>
      <c r="K321" t="s">
        <v>2203</v>
      </c>
      <c r="L321">
        <v>0.86</v>
      </c>
      <c r="M321">
        <v>197</v>
      </c>
      <c r="N321">
        <v>1.22</v>
      </c>
      <c r="O321">
        <v>0.54</v>
      </c>
      <c r="P321">
        <v>199.58</v>
      </c>
      <c r="Q321">
        <v>-3.06</v>
      </c>
      <c r="R321">
        <v>192.43</v>
      </c>
      <c r="S321">
        <v>196</v>
      </c>
      <c r="T321">
        <v>335387</v>
      </c>
      <c r="U321">
        <v>197.01</v>
      </c>
      <c r="V321">
        <v>198.5</v>
      </c>
      <c r="W321">
        <v>28.96</v>
      </c>
      <c r="X321" t="s">
        <v>1165</v>
      </c>
      <c r="Y321" t="s">
        <v>578</v>
      </c>
      <c r="Z321">
        <v>3.6</v>
      </c>
      <c r="AA321">
        <v>196.5</v>
      </c>
      <c r="AB321">
        <v>163690</v>
      </c>
      <c r="AC321">
        <v>171697</v>
      </c>
      <c r="AD321">
        <v>0.95</v>
      </c>
      <c r="AE321">
        <v>477</v>
      </c>
      <c r="AF321">
        <v>1</v>
      </c>
      <c r="AG321" t="s">
        <v>120</v>
      </c>
      <c r="AH321">
        <v>0.02</v>
      </c>
      <c r="AI321" t="s">
        <v>120</v>
      </c>
      <c r="AJ321">
        <v>38.82</v>
      </c>
      <c r="AK321" t="s">
        <v>2204</v>
      </c>
      <c r="AL321">
        <v>1.1599999999999999</v>
      </c>
      <c r="AM321">
        <v>4738</v>
      </c>
      <c r="AN321">
        <v>71</v>
      </c>
      <c r="AO321">
        <v>2.0000000000000001E-4</v>
      </c>
      <c r="AP321">
        <v>-4</v>
      </c>
      <c r="AQ321">
        <v>-3.51</v>
      </c>
      <c r="AR321">
        <v>-5.19</v>
      </c>
      <c r="AS321">
        <v>-11.52</v>
      </c>
      <c r="AT321">
        <v>-32.1</v>
      </c>
      <c r="AU321">
        <v>-31.9</v>
      </c>
      <c r="AV321">
        <v>0</v>
      </c>
      <c r="AW321">
        <v>1.91</v>
      </c>
      <c r="AX321">
        <v>45.17</v>
      </c>
      <c r="AY321">
        <v>34.549999999999997</v>
      </c>
      <c r="AZ321">
        <v>38.61</v>
      </c>
      <c r="BA321">
        <v>1.55</v>
      </c>
      <c r="BB321" t="s">
        <v>125</v>
      </c>
      <c r="BF321">
        <v>-1.01</v>
      </c>
      <c r="BG321">
        <v>0.51</v>
      </c>
      <c r="BH321">
        <v>-1.29</v>
      </c>
      <c r="BI321">
        <v>2.37</v>
      </c>
      <c r="BJ321">
        <v>20210830</v>
      </c>
      <c r="BK321">
        <v>19980427</v>
      </c>
      <c r="BL321">
        <v>38.82</v>
      </c>
      <c r="BM321" t="s">
        <v>120</v>
      </c>
      <c r="BN321" t="s">
        <v>120</v>
      </c>
      <c r="BO321">
        <v>1245.94</v>
      </c>
      <c r="BP321">
        <v>197</v>
      </c>
      <c r="BQ321">
        <v>888.92</v>
      </c>
      <c r="BR321">
        <v>18.52</v>
      </c>
      <c r="BS321">
        <v>27.17</v>
      </c>
      <c r="BT321">
        <v>1118.73</v>
      </c>
      <c r="BU321">
        <v>56.94</v>
      </c>
      <c r="BV321">
        <v>4.33</v>
      </c>
      <c r="BW321">
        <v>326.89</v>
      </c>
      <c r="BX321">
        <v>766.48</v>
      </c>
      <c r="BY321">
        <v>132.38999999999999</v>
      </c>
      <c r="BZ321">
        <v>1.34</v>
      </c>
      <c r="CA321">
        <v>0.13</v>
      </c>
      <c r="CB321">
        <v>26.83</v>
      </c>
      <c r="CC321">
        <v>367.52</v>
      </c>
      <c r="CD321">
        <v>92.04</v>
      </c>
      <c r="CE321">
        <v>183</v>
      </c>
      <c r="CF321">
        <v>0.16</v>
      </c>
      <c r="CG321">
        <v>182.75</v>
      </c>
      <c r="CH321">
        <v>138.43</v>
      </c>
      <c r="CI321">
        <v>132</v>
      </c>
      <c r="CJ321">
        <v>-1.5</v>
      </c>
      <c r="CK321">
        <v>131.34</v>
      </c>
      <c r="CL321">
        <v>626.29</v>
      </c>
      <c r="CM321">
        <v>87.07</v>
      </c>
      <c r="CN321">
        <v>79.19</v>
      </c>
      <c r="CO321">
        <v>417034</v>
      </c>
      <c r="CP321">
        <v>4204</v>
      </c>
      <c r="CQ321" t="s">
        <v>2205</v>
      </c>
      <c r="CR321">
        <v>21.6</v>
      </c>
      <c r="CS321">
        <v>19.45</v>
      </c>
      <c r="CT321">
        <v>8.6</v>
      </c>
      <c r="CU321">
        <v>87.82</v>
      </c>
      <c r="CV321">
        <v>20.81</v>
      </c>
      <c r="CW321">
        <v>1.3</v>
      </c>
      <c r="CX321" t="s">
        <v>2206</v>
      </c>
      <c r="CY321">
        <v>22.9</v>
      </c>
      <c r="CZ321">
        <v>0</v>
      </c>
      <c r="DA321">
        <v>0.69</v>
      </c>
      <c r="DB321">
        <v>16.13</v>
      </c>
      <c r="DC321">
        <v>2.2400000000000002</v>
      </c>
      <c r="DD321">
        <v>71.349999999999994</v>
      </c>
      <c r="DE321" t="s">
        <v>2207</v>
      </c>
      <c r="DF321">
        <v>74.959999999999994</v>
      </c>
      <c r="DG321">
        <v>49.79</v>
      </c>
      <c r="DH321">
        <v>35.92</v>
      </c>
      <c r="DI321">
        <v>0.78</v>
      </c>
      <c r="DJ321">
        <v>25882</v>
      </c>
      <c r="DK321">
        <v>858</v>
      </c>
      <c r="DL321" t="s">
        <v>120</v>
      </c>
      <c r="DM321" t="s">
        <v>120</v>
      </c>
      <c r="DN321" t="s">
        <v>120</v>
      </c>
    </row>
    <row r="322" spans="1:118">
      <c r="A322" t="str">
        <f>"000859"</f>
        <v>000859</v>
      </c>
      <c r="B322" t="s">
        <v>2208</v>
      </c>
      <c r="C322">
        <v>-1.08</v>
      </c>
      <c r="D322">
        <v>-0.26</v>
      </c>
      <c r="E322">
        <v>0.54</v>
      </c>
      <c r="F322">
        <v>3678</v>
      </c>
      <c r="G322" t="s">
        <v>2209</v>
      </c>
      <c r="H322">
        <v>20540.95</v>
      </c>
      <c r="I322">
        <v>90.5</v>
      </c>
      <c r="J322" t="s">
        <v>120</v>
      </c>
      <c r="K322" t="s">
        <v>2210</v>
      </c>
      <c r="L322">
        <v>3.32</v>
      </c>
      <c r="M322">
        <v>7.31</v>
      </c>
      <c r="N322">
        <v>1.1000000000000001</v>
      </c>
      <c r="O322">
        <v>2.0299999999999998</v>
      </c>
      <c r="P322">
        <v>7.54</v>
      </c>
      <c r="Q322">
        <v>-1.76</v>
      </c>
      <c r="R322">
        <v>7.26</v>
      </c>
      <c r="S322">
        <v>7.43</v>
      </c>
      <c r="T322">
        <v>278671</v>
      </c>
      <c r="U322">
        <v>7.32</v>
      </c>
      <c r="V322">
        <v>7.39</v>
      </c>
      <c r="W322">
        <v>19.59</v>
      </c>
      <c r="X322" t="s">
        <v>2211</v>
      </c>
      <c r="Y322" t="s">
        <v>570</v>
      </c>
      <c r="Z322">
        <v>3.79</v>
      </c>
      <c r="AA322">
        <v>7.37</v>
      </c>
      <c r="AB322">
        <v>157194</v>
      </c>
      <c r="AC322">
        <v>121477</v>
      </c>
      <c r="AD322">
        <v>1.29</v>
      </c>
      <c r="AE322">
        <v>678</v>
      </c>
      <c r="AF322">
        <v>1737</v>
      </c>
      <c r="AG322" t="s">
        <v>120</v>
      </c>
      <c r="AH322">
        <v>0.02</v>
      </c>
      <c r="AI322" t="s">
        <v>120</v>
      </c>
      <c r="AJ322">
        <v>8.4</v>
      </c>
      <c r="AK322" t="s">
        <v>2212</v>
      </c>
      <c r="AL322">
        <v>0.83</v>
      </c>
      <c r="AM322">
        <v>3235</v>
      </c>
      <c r="AN322">
        <v>86</v>
      </c>
      <c r="AO322">
        <v>1E-3</v>
      </c>
      <c r="AP322">
        <v>-1</v>
      </c>
      <c r="AQ322">
        <v>3.21</v>
      </c>
      <c r="AR322">
        <v>0.68</v>
      </c>
      <c r="AS322">
        <v>15.66</v>
      </c>
      <c r="AT322">
        <v>29.84</v>
      </c>
      <c r="AU322">
        <v>44.18</v>
      </c>
      <c r="AV322">
        <v>2</v>
      </c>
      <c r="AW322">
        <v>4.3899999999999997</v>
      </c>
      <c r="AX322">
        <v>70.87</v>
      </c>
      <c r="AY322">
        <v>26.19</v>
      </c>
      <c r="AZ322">
        <v>57.69</v>
      </c>
      <c r="BA322">
        <v>0.64</v>
      </c>
      <c r="BB322" t="s">
        <v>168</v>
      </c>
      <c r="BF322">
        <v>-0.26</v>
      </c>
      <c r="BG322">
        <v>-1.62</v>
      </c>
      <c r="BH322">
        <v>-3.05</v>
      </c>
      <c r="BI322">
        <v>0.69</v>
      </c>
      <c r="BJ322">
        <v>20210820</v>
      </c>
      <c r="BK322">
        <v>19981119</v>
      </c>
      <c r="BL322">
        <v>8.9600000000000009</v>
      </c>
      <c r="BM322" t="s">
        <v>120</v>
      </c>
      <c r="BN322" t="s">
        <v>120</v>
      </c>
      <c r="BO322">
        <v>31</v>
      </c>
      <c r="BP322">
        <v>7.31</v>
      </c>
      <c r="BQ322">
        <v>25.81</v>
      </c>
      <c r="BR322">
        <v>-0.01</v>
      </c>
      <c r="BS322">
        <v>16.78</v>
      </c>
      <c r="BT322">
        <v>14.77</v>
      </c>
      <c r="BU322">
        <v>9.92</v>
      </c>
      <c r="BV322">
        <v>1.1599999999999999</v>
      </c>
      <c r="BW322">
        <v>4.0199999999999996</v>
      </c>
      <c r="BX322">
        <v>8.2899999999999991</v>
      </c>
      <c r="BY322">
        <v>1.63</v>
      </c>
      <c r="BZ322">
        <v>2.2999999999999998</v>
      </c>
      <c r="CA322" t="s">
        <v>120</v>
      </c>
      <c r="CB322">
        <v>11.28</v>
      </c>
      <c r="CC322">
        <v>9.0500000000000007</v>
      </c>
      <c r="CD322">
        <v>7.39</v>
      </c>
      <c r="CE322">
        <v>1.9</v>
      </c>
      <c r="CF322">
        <v>0</v>
      </c>
      <c r="CG322">
        <v>1.9</v>
      </c>
      <c r="CH322">
        <v>1.65</v>
      </c>
      <c r="CI322">
        <v>1.67</v>
      </c>
      <c r="CJ322">
        <v>-0.08</v>
      </c>
      <c r="CK322">
        <v>0.89</v>
      </c>
      <c r="CL322">
        <v>4.6399999999999997</v>
      </c>
      <c r="CM322">
        <v>1.03</v>
      </c>
      <c r="CN322">
        <v>-3.65</v>
      </c>
      <c r="CO322">
        <v>49455</v>
      </c>
      <c r="CP322">
        <v>12840</v>
      </c>
      <c r="CQ322" t="s">
        <v>2213</v>
      </c>
      <c r="CR322">
        <v>474.37</v>
      </c>
      <c r="CS322">
        <v>57.37</v>
      </c>
      <c r="CT322">
        <v>2.54</v>
      </c>
      <c r="CU322">
        <v>63.35</v>
      </c>
      <c r="CV322">
        <v>7.23</v>
      </c>
      <c r="CW322">
        <v>0.41</v>
      </c>
      <c r="CX322" t="s">
        <v>442</v>
      </c>
      <c r="CY322">
        <v>2.88</v>
      </c>
      <c r="CZ322">
        <v>0</v>
      </c>
      <c r="DA322">
        <v>1.26</v>
      </c>
      <c r="DB322">
        <v>0.52</v>
      </c>
      <c r="DC322">
        <v>0.12</v>
      </c>
      <c r="DD322">
        <v>83.25</v>
      </c>
      <c r="DE322" t="s">
        <v>2052</v>
      </c>
      <c r="DF322">
        <v>18.43</v>
      </c>
      <c r="DG322">
        <v>20.98</v>
      </c>
      <c r="DH322">
        <v>18.46</v>
      </c>
      <c r="DI322">
        <v>0.27</v>
      </c>
      <c r="DJ322">
        <v>1151</v>
      </c>
      <c r="DK322">
        <v>859</v>
      </c>
      <c r="DL322" t="s">
        <v>120</v>
      </c>
      <c r="DM322" t="s">
        <v>120</v>
      </c>
      <c r="DN322" t="s">
        <v>120</v>
      </c>
    </row>
    <row r="323" spans="1:118">
      <c r="A323" t="str">
        <f>"000860"</f>
        <v>000860</v>
      </c>
      <c r="B323" t="s">
        <v>2214</v>
      </c>
      <c r="C323">
        <v>2.2000000000000002</v>
      </c>
      <c r="D323">
        <v>0.06</v>
      </c>
      <c r="E323">
        <v>0</v>
      </c>
      <c r="F323">
        <v>2623</v>
      </c>
      <c r="G323" t="s">
        <v>2215</v>
      </c>
      <c r="H323">
        <v>36418.39</v>
      </c>
      <c r="I323">
        <v>21</v>
      </c>
      <c r="J323" t="s">
        <v>120</v>
      </c>
      <c r="K323" t="s">
        <v>2216</v>
      </c>
      <c r="L323">
        <v>1.5</v>
      </c>
      <c r="M323">
        <v>33.020000000000003</v>
      </c>
      <c r="N323">
        <v>1.08</v>
      </c>
      <c r="O323">
        <v>2.69</v>
      </c>
      <c r="P323">
        <v>33.18</v>
      </c>
      <c r="Q323">
        <v>-0.65</v>
      </c>
      <c r="R323">
        <v>32.1</v>
      </c>
      <c r="S323">
        <v>32.31</v>
      </c>
      <c r="T323">
        <v>111180</v>
      </c>
      <c r="U323">
        <v>33.020000000000003</v>
      </c>
      <c r="V323">
        <v>32.31</v>
      </c>
      <c r="W323">
        <v>25.74</v>
      </c>
      <c r="X323" t="s">
        <v>1165</v>
      </c>
      <c r="Y323" t="s">
        <v>158</v>
      </c>
      <c r="Z323">
        <v>3.34</v>
      </c>
      <c r="AA323">
        <v>32.76</v>
      </c>
      <c r="AB323">
        <v>51698</v>
      </c>
      <c r="AC323">
        <v>59482</v>
      </c>
      <c r="AD323">
        <v>0.87</v>
      </c>
      <c r="AE323">
        <v>255</v>
      </c>
      <c r="AF323">
        <v>23</v>
      </c>
      <c r="AG323" t="s">
        <v>120</v>
      </c>
      <c r="AH323">
        <v>0</v>
      </c>
      <c r="AI323" t="s">
        <v>120</v>
      </c>
      <c r="AJ323">
        <v>7.42</v>
      </c>
      <c r="AK323" t="s">
        <v>2216</v>
      </c>
      <c r="AL323">
        <v>4.1100000000000003</v>
      </c>
      <c r="AM323">
        <v>3953</v>
      </c>
      <c r="AN323">
        <v>28</v>
      </c>
      <c r="AO323">
        <v>4.0000000000000002E-4</v>
      </c>
      <c r="AP323">
        <v>1</v>
      </c>
      <c r="AQ323">
        <v>-0.57999999999999996</v>
      </c>
      <c r="AR323">
        <v>-0.33</v>
      </c>
      <c r="AS323">
        <v>1.47</v>
      </c>
      <c r="AT323">
        <v>-20.68</v>
      </c>
      <c r="AU323">
        <v>-54.42</v>
      </c>
      <c r="AV323">
        <v>0</v>
      </c>
      <c r="AW323">
        <v>2.4</v>
      </c>
      <c r="AX323">
        <v>62.49</v>
      </c>
      <c r="AY323">
        <v>69.02</v>
      </c>
      <c r="AZ323">
        <v>57.06</v>
      </c>
      <c r="BA323">
        <v>1.34</v>
      </c>
      <c r="BB323" t="s">
        <v>143</v>
      </c>
      <c r="BF323">
        <v>1.38</v>
      </c>
      <c r="BG323">
        <v>2.2000000000000002</v>
      </c>
      <c r="BH323">
        <v>-0.48</v>
      </c>
      <c r="BI323">
        <v>2.87</v>
      </c>
      <c r="BJ323">
        <v>20210826</v>
      </c>
      <c r="BK323">
        <v>19981104</v>
      </c>
      <c r="BL323">
        <v>7.42</v>
      </c>
      <c r="BM323" t="s">
        <v>120</v>
      </c>
      <c r="BN323" t="s">
        <v>120</v>
      </c>
      <c r="BO323">
        <v>192.8</v>
      </c>
      <c r="BP323">
        <v>33.01</v>
      </c>
      <c r="BQ323">
        <v>81.430000000000007</v>
      </c>
      <c r="BR323">
        <v>0.33</v>
      </c>
      <c r="BS323">
        <v>57.59</v>
      </c>
      <c r="BT323">
        <v>148.84</v>
      </c>
      <c r="BU323">
        <v>29.02</v>
      </c>
      <c r="BV323">
        <v>7.12</v>
      </c>
      <c r="BW323">
        <v>79.540000000000006</v>
      </c>
      <c r="BX323">
        <v>69.760000000000005</v>
      </c>
      <c r="BY323">
        <v>67.75</v>
      </c>
      <c r="BZ323">
        <v>0.53</v>
      </c>
      <c r="CA323">
        <v>0.49</v>
      </c>
      <c r="CB323">
        <v>26.27</v>
      </c>
      <c r="CC323">
        <v>91.91</v>
      </c>
      <c r="CD323">
        <v>66.680000000000007</v>
      </c>
      <c r="CE323">
        <v>6.77</v>
      </c>
      <c r="CF323">
        <v>0</v>
      </c>
      <c r="CG323">
        <v>6.77</v>
      </c>
      <c r="CH323">
        <v>4.83</v>
      </c>
      <c r="CI323">
        <v>4.76</v>
      </c>
      <c r="CJ323">
        <v>0.71</v>
      </c>
      <c r="CK323">
        <v>4.76</v>
      </c>
      <c r="CL323">
        <v>39.94</v>
      </c>
      <c r="CM323">
        <v>-14.68</v>
      </c>
      <c r="CN323">
        <v>-18.43</v>
      </c>
      <c r="CO323">
        <v>97257</v>
      </c>
      <c r="CP323">
        <v>4766</v>
      </c>
      <c r="CQ323" t="s">
        <v>2217</v>
      </c>
      <c r="CR323">
        <v>-13.27</v>
      </c>
      <c r="CS323">
        <v>-3.46</v>
      </c>
      <c r="CT323">
        <v>3.01</v>
      </c>
      <c r="CU323">
        <v>-16.68</v>
      </c>
      <c r="CV323">
        <v>2.66</v>
      </c>
      <c r="CW323">
        <v>0.31</v>
      </c>
      <c r="CX323" t="s">
        <v>2218</v>
      </c>
      <c r="CY323">
        <v>10.98</v>
      </c>
      <c r="CZ323">
        <v>0</v>
      </c>
      <c r="DA323">
        <v>3.54</v>
      </c>
      <c r="DB323">
        <v>5.38</v>
      </c>
      <c r="DC323">
        <v>-1.98</v>
      </c>
      <c r="DD323">
        <v>42.24</v>
      </c>
      <c r="DE323" t="s">
        <v>2219</v>
      </c>
      <c r="DF323">
        <v>27.46</v>
      </c>
      <c r="DG323">
        <v>7.37</v>
      </c>
      <c r="DH323">
        <v>5.18</v>
      </c>
      <c r="DI323">
        <v>0.14000000000000001</v>
      </c>
      <c r="DJ323">
        <v>4842</v>
      </c>
      <c r="DK323">
        <v>860</v>
      </c>
      <c r="DL323" t="s">
        <v>120</v>
      </c>
      <c r="DM323" t="s">
        <v>120</v>
      </c>
      <c r="DN323" t="s">
        <v>120</v>
      </c>
    </row>
    <row r="324" spans="1:118">
      <c r="A324" t="str">
        <f>"000861"</f>
        <v>000861</v>
      </c>
      <c r="B324" t="s">
        <v>2220</v>
      </c>
      <c r="C324">
        <v>-3.54</v>
      </c>
      <c r="D324">
        <v>-0.45</v>
      </c>
      <c r="E324">
        <v>-0.44</v>
      </c>
      <c r="F324">
        <v>2319</v>
      </c>
      <c r="G324" t="s">
        <v>2221</v>
      </c>
      <c r="H324">
        <v>6998.19</v>
      </c>
      <c r="I324">
        <v>118.51</v>
      </c>
      <c r="J324" t="s">
        <v>120</v>
      </c>
      <c r="K324" t="s">
        <v>2222</v>
      </c>
      <c r="L324">
        <v>1.45</v>
      </c>
      <c r="M324">
        <v>2.1800000000000002</v>
      </c>
      <c r="N324">
        <v>0.82</v>
      </c>
      <c r="O324">
        <v>0.88</v>
      </c>
      <c r="P324">
        <v>2.2799999999999998</v>
      </c>
      <c r="Q324">
        <v>-3.54</v>
      </c>
      <c r="R324">
        <v>2.1800000000000002</v>
      </c>
      <c r="S324">
        <v>2.25</v>
      </c>
      <c r="T324">
        <v>314771</v>
      </c>
      <c r="U324">
        <v>2.19</v>
      </c>
      <c r="V324">
        <v>2.2599999999999998</v>
      </c>
      <c r="W324">
        <v>45.72</v>
      </c>
      <c r="X324" t="s">
        <v>221</v>
      </c>
      <c r="Y324" t="s">
        <v>547</v>
      </c>
      <c r="Z324">
        <v>4.42</v>
      </c>
      <c r="AA324">
        <v>2.2200000000000002</v>
      </c>
      <c r="AB324">
        <v>184349</v>
      </c>
      <c r="AC324">
        <v>130422</v>
      </c>
      <c r="AD324">
        <v>1.41</v>
      </c>
      <c r="AE324">
        <v>5895</v>
      </c>
      <c r="AF324">
        <v>2364</v>
      </c>
      <c r="AG324" t="s">
        <v>120</v>
      </c>
      <c r="AH324">
        <v>0.04</v>
      </c>
      <c r="AI324" t="s">
        <v>120</v>
      </c>
      <c r="AJ324">
        <v>21.68</v>
      </c>
      <c r="AK324" t="s">
        <v>2223</v>
      </c>
      <c r="AL324">
        <v>-1.63</v>
      </c>
      <c r="AM324">
        <v>2088</v>
      </c>
      <c r="AN324">
        <v>151</v>
      </c>
      <c r="AO324">
        <v>6.9999999999999999E-4</v>
      </c>
      <c r="AP324">
        <v>-1</v>
      </c>
      <c r="AQ324">
        <v>1.35</v>
      </c>
      <c r="AR324">
        <v>-4.8</v>
      </c>
      <c r="AS324">
        <v>8.4600000000000009</v>
      </c>
      <c r="AT324">
        <v>5.32</v>
      </c>
      <c r="AU324">
        <v>-24.57</v>
      </c>
      <c r="AV324">
        <v>2</v>
      </c>
      <c r="AW324">
        <v>2.5099999999999998</v>
      </c>
      <c r="AX324">
        <v>53.95</v>
      </c>
      <c r="AY324">
        <v>557.24</v>
      </c>
      <c r="AZ324">
        <v>164.86</v>
      </c>
      <c r="BA324">
        <v>0.2</v>
      </c>
      <c r="BB324" t="s">
        <v>184</v>
      </c>
      <c r="BF324">
        <v>-1.63</v>
      </c>
      <c r="BG324">
        <v>-3.11</v>
      </c>
      <c r="BH324">
        <v>-4.3899999999999997</v>
      </c>
      <c r="BI324">
        <v>0</v>
      </c>
      <c r="BJ324">
        <v>20210831</v>
      </c>
      <c r="BK324">
        <v>19981028</v>
      </c>
      <c r="BL324">
        <v>23.26</v>
      </c>
      <c r="BM324" t="s">
        <v>120</v>
      </c>
      <c r="BN324" t="s">
        <v>120</v>
      </c>
      <c r="BO324">
        <v>110.05</v>
      </c>
      <c r="BP324">
        <v>2.1800000000000002</v>
      </c>
      <c r="BQ324">
        <v>37.93</v>
      </c>
      <c r="BR324">
        <v>1.93</v>
      </c>
      <c r="BS324">
        <v>63.78</v>
      </c>
      <c r="BT324">
        <v>36.69</v>
      </c>
      <c r="BU324">
        <v>0.79</v>
      </c>
      <c r="BV324">
        <v>0.18</v>
      </c>
      <c r="BW324">
        <v>30.58</v>
      </c>
      <c r="BX324">
        <v>1.42</v>
      </c>
      <c r="BY324">
        <v>28.28</v>
      </c>
      <c r="BZ324">
        <v>1.23</v>
      </c>
      <c r="CA324">
        <v>0.04</v>
      </c>
      <c r="CB324">
        <v>3.87</v>
      </c>
      <c r="CC324">
        <v>5.74</v>
      </c>
      <c r="CD324">
        <v>2.91</v>
      </c>
      <c r="CE324">
        <v>0.78</v>
      </c>
      <c r="CF324">
        <v>7.0000000000000007E-2</v>
      </c>
      <c r="CG324">
        <v>0.78</v>
      </c>
      <c r="CH324">
        <v>0.57999999999999996</v>
      </c>
      <c r="CI324">
        <v>0.55000000000000004</v>
      </c>
      <c r="CJ324">
        <v>-0.08</v>
      </c>
      <c r="CK324">
        <v>0.34</v>
      </c>
      <c r="CL324">
        <v>9.39</v>
      </c>
      <c r="CM324">
        <v>1.59</v>
      </c>
      <c r="CN324">
        <v>-0.36</v>
      </c>
      <c r="CO324">
        <v>76574</v>
      </c>
      <c r="CP324">
        <v>16385</v>
      </c>
      <c r="CQ324" t="s">
        <v>2224</v>
      </c>
      <c r="CR324">
        <v>-28.82</v>
      </c>
      <c r="CS324">
        <v>-20.010000000000002</v>
      </c>
      <c r="CT324">
        <v>1.38</v>
      </c>
      <c r="CU324">
        <v>31.98</v>
      </c>
      <c r="CV324">
        <v>8.83</v>
      </c>
      <c r="CW324">
        <v>0.44</v>
      </c>
      <c r="CX324" t="s">
        <v>2074</v>
      </c>
      <c r="CY324">
        <v>1.58</v>
      </c>
      <c r="CZ324">
        <v>1.58</v>
      </c>
      <c r="DA324">
        <v>0.17</v>
      </c>
      <c r="DB324">
        <v>0.4</v>
      </c>
      <c r="DC324">
        <v>7.0000000000000007E-2</v>
      </c>
      <c r="DD324">
        <v>34.47</v>
      </c>
      <c r="DE324" t="s">
        <v>536</v>
      </c>
      <c r="DF324">
        <v>49.29</v>
      </c>
      <c r="DG324">
        <v>13.51</v>
      </c>
      <c r="DH324">
        <v>9.66</v>
      </c>
      <c r="DI324" t="s">
        <v>120</v>
      </c>
      <c r="DJ324">
        <v>1126</v>
      </c>
      <c r="DK324">
        <v>861</v>
      </c>
      <c r="DL324" t="s">
        <v>120</v>
      </c>
      <c r="DM324" t="s">
        <v>120</v>
      </c>
      <c r="DN324" t="s">
        <v>120</v>
      </c>
    </row>
    <row r="325" spans="1:118">
      <c r="A325" t="str">
        <f>"000862"</f>
        <v>000862</v>
      </c>
      <c r="B325" t="s">
        <v>2225</v>
      </c>
      <c r="C325">
        <v>-3.76</v>
      </c>
      <c r="D325">
        <v>0</v>
      </c>
      <c r="E325">
        <v>0</v>
      </c>
      <c r="F325">
        <v>3303</v>
      </c>
      <c r="G325" t="s">
        <v>2226</v>
      </c>
      <c r="H325">
        <v>34820.83</v>
      </c>
      <c r="I325">
        <v>397.53</v>
      </c>
      <c r="J325" t="s">
        <v>120</v>
      </c>
      <c r="K325" t="s">
        <v>2227</v>
      </c>
      <c r="L325">
        <v>9.5</v>
      </c>
      <c r="M325">
        <v>7.17</v>
      </c>
      <c r="N325">
        <v>0.57999999999999996</v>
      </c>
      <c r="O325">
        <v>0.81</v>
      </c>
      <c r="P325">
        <v>7.51</v>
      </c>
      <c r="Q325">
        <v>-4.3</v>
      </c>
      <c r="R325">
        <v>7.13</v>
      </c>
      <c r="S325">
        <v>7.45</v>
      </c>
      <c r="T325">
        <v>476432</v>
      </c>
      <c r="U325">
        <v>7.18</v>
      </c>
      <c r="V325">
        <v>7.45</v>
      </c>
      <c r="W325">
        <v>23.51</v>
      </c>
      <c r="X325" t="s">
        <v>356</v>
      </c>
      <c r="Y325" t="s">
        <v>1110</v>
      </c>
      <c r="Z325">
        <v>5.0999999999999996</v>
      </c>
      <c r="AA325">
        <v>7.31</v>
      </c>
      <c r="AB325">
        <v>272194</v>
      </c>
      <c r="AC325">
        <v>204238</v>
      </c>
      <c r="AD325">
        <v>1.33</v>
      </c>
      <c r="AE325">
        <v>949</v>
      </c>
      <c r="AF325">
        <v>1084</v>
      </c>
      <c r="AG325" t="s">
        <v>120</v>
      </c>
      <c r="AH325">
        <v>0.13</v>
      </c>
      <c r="AI325" t="s">
        <v>120</v>
      </c>
      <c r="AJ325">
        <v>5.01</v>
      </c>
      <c r="AK325" t="s">
        <v>2228</v>
      </c>
      <c r="AL325">
        <v>-1.84</v>
      </c>
      <c r="AM325">
        <v>3833</v>
      </c>
      <c r="AN325">
        <v>124</v>
      </c>
      <c r="AO325">
        <v>2.5000000000000001E-3</v>
      </c>
      <c r="AP325">
        <v>-1</v>
      </c>
      <c r="AQ325">
        <v>5.82</v>
      </c>
      <c r="AR325">
        <v>-0.69</v>
      </c>
      <c r="AS325">
        <v>20.3</v>
      </c>
      <c r="AT325">
        <v>21.74</v>
      </c>
      <c r="AU325">
        <v>57.59</v>
      </c>
      <c r="AV325">
        <v>12</v>
      </c>
      <c r="AW325">
        <v>11.29</v>
      </c>
      <c r="AX325">
        <v>59.77</v>
      </c>
      <c r="AY325">
        <v>45.21</v>
      </c>
      <c r="AZ325">
        <v>153.37</v>
      </c>
      <c r="BA325">
        <v>0.8</v>
      </c>
      <c r="BB325" t="s">
        <v>143</v>
      </c>
      <c r="BF325">
        <v>-1.9</v>
      </c>
      <c r="BG325">
        <v>-3.76</v>
      </c>
      <c r="BH325">
        <v>-4.53</v>
      </c>
      <c r="BI325">
        <v>0.56000000000000005</v>
      </c>
      <c r="BJ325">
        <v>20210824</v>
      </c>
      <c r="BK325">
        <v>19980915</v>
      </c>
      <c r="BL325">
        <v>7.06</v>
      </c>
      <c r="BM325" t="s">
        <v>120</v>
      </c>
      <c r="BN325" t="s">
        <v>120</v>
      </c>
      <c r="BO325">
        <v>87.58</v>
      </c>
      <c r="BP325">
        <v>7.17</v>
      </c>
      <c r="BQ325">
        <v>27.64</v>
      </c>
      <c r="BR325">
        <v>0.32</v>
      </c>
      <c r="BS325">
        <v>68.069999999999993</v>
      </c>
      <c r="BT325">
        <v>21.6</v>
      </c>
      <c r="BU325">
        <v>59.51</v>
      </c>
      <c r="BV325">
        <v>1</v>
      </c>
      <c r="BW325">
        <v>23.64</v>
      </c>
      <c r="BX325">
        <v>0.4</v>
      </c>
      <c r="BY325">
        <v>0.63</v>
      </c>
      <c r="BZ325">
        <v>19.39</v>
      </c>
      <c r="CA325" t="s">
        <v>120</v>
      </c>
      <c r="CB325">
        <v>26.82</v>
      </c>
      <c r="CC325">
        <v>6.17</v>
      </c>
      <c r="CD325">
        <v>3.62</v>
      </c>
      <c r="CE325">
        <v>1.19</v>
      </c>
      <c r="CF325">
        <v>0.01</v>
      </c>
      <c r="CG325">
        <v>1.1599999999999999</v>
      </c>
      <c r="CH325">
        <v>1.1000000000000001</v>
      </c>
      <c r="CI325">
        <v>1.08</v>
      </c>
      <c r="CJ325">
        <v>-0.28000000000000003</v>
      </c>
      <c r="CK325">
        <v>1.06</v>
      </c>
      <c r="CL325">
        <v>-6.46</v>
      </c>
      <c r="CM325">
        <v>2.2400000000000002</v>
      </c>
      <c r="CN325">
        <v>-1.44</v>
      </c>
      <c r="CO325">
        <v>65896</v>
      </c>
      <c r="CP325">
        <v>6404</v>
      </c>
      <c r="CQ325" t="s">
        <v>2229</v>
      </c>
      <c r="CR325">
        <v>320.17</v>
      </c>
      <c r="CS325">
        <v>3.69</v>
      </c>
      <c r="CT325">
        <v>1.83</v>
      </c>
      <c r="CU325">
        <v>22.58</v>
      </c>
      <c r="CV325">
        <v>8.1999999999999993</v>
      </c>
      <c r="CW325">
        <v>0</v>
      </c>
      <c r="CX325" t="s">
        <v>2230</v>
      </c>
      <c r="CY325">
        <v>3.91</v>
      </c>
      <c r="CZ325">
        <v>0</v>
      </c>
      <c r="DA325">
        <v>3.8</v>
      </c>
      <c r="DB325">
        <v>-0.92</v>
      </c>
      <c r="DC325">
        <v>0.32</v>
      </c>
      <c r="DD325">
        <v>31.56</v>
      </c>
      <c r="DE325" t="s">
        <v>2231</v>
      </c>
      <c r="DF325">
        <v>41.34</v>
      </c>
      <c r="DG325">
        <v>19.25</v>
      </c>
      <c r="DH325">
        <v>17.440000000000001</v>
      </c>
      <c r="DI325" t="s">
        <v>120</v>
      </c>
      <c r="DJ325">
        <v>594</v>
      </c>
      <c r="DK325">
        <v>862</v>
      </c>
      <c r="DL325">
        <v>20210908</v>
      </c>
      <c r="DM325">
        <v>8.2200000000000006</v>
      </c>
      <c r="DN325">
        <v>-12.77</v>
      </c>
    </row>
    <row r="326" spans="1:118">
      <c r="A326" t="str">
        <f>"000863"</f>
        <v>000863</v>
      </c>
      <c r="B326" t="s">
        <v>2232</v>
      </c>
      <c r="C326">
        <v>-2.91</v>
      </c>
      <c r="D326">
        <v>-0.59</v>
      </c>
      <c r="E326">
        <v>0.57999999999999996</v>
      </c>
      <c r="F326">
        <v>3161</v>
      </c>
      <c r="G326" t="s">
        <v>2233</v>
      </c>
      <c r="H326">
        <v>2151.54</v>
      </c>
      <c r="I326">
        <v>0.24</v>
      </c>
      <c r="J326" t="s">
        <v>120</v>
      </c>
      <c r="K326" t="s">
        <v>2234</v>
      </c>
      <c r="L326">
        <v>0.53</v>
      </c>
      <c r="M326">
        <v>3.34</v>
      </c>
      <c r="N326">
        <v>0.71</v>
      </c>
      <c r="O326">
        <v>0.87</v>
      </c>
      <c r="P326">
        <v>3.47</v>
      </c>
      <c r="Q326">
        <v>-2.91</v>
      </c>
      <c r="R326">
        <v>3.34</v>
      </c>
      <c r="S326">
        <v>3.46</v>
      </c>
      <c r="T326">
        <v>63326</v>
      </c>
      <c r="U326">
        <v>3.35</v>
      </c>
      <c r="V326">
        <v>3.44</v>
      </c>
      <c r="W326">
        <v>10.210000000000001</v>
      </c>
      <c r="X326" t="s">
        <v>150</v>
      </c>
      <c r="Y326" t="s">
        <v>1510</v>
      </c>
      <c r="Z326">
        <v>3.78</v>
      </c>
      <c r="AA326">
        <v>3.4</v>
      </c>
      <c r="AB326">
        <v>37036</v>
      </c>
      <c r="AC326">
        <v>26290</v>
      </c>
      <c r="AD326">
        <v>1.41</v>
      </c>
      <c r="AE326">
        <v>1017</v>
      </c>
      <c r="AF326">
        <v>3</v>
      </c>
      <c r="AG326" t="s">
        <v>120</v>
      </c>
      <c r="AH326">
        <v>0</v>
      </c>
      <c r="AI326" t="s">
        <v>120</v>
      </c>
      <c r="AJ326">
        <v>11.9</v>
      </c>
      <c r="AK326" t="s">
        <v>2235</v>
      </c>
      <c r="AL326">
        <v>-0.99</v>
      </c>
      <c r="AM326">
        <v>1454</v>
      </c>
      <c r="AN326">
        <v>44</v>
      </c>
      <c r="AO326">
        <v>4.0000000000000002E-4</v>
      </c>
      <c r="AP326">
        <v>-1</v>
      </c>
      <c r="AQ326">
        <v>0.28999999999999998</v>
      </c>
      <c r="AR326">
        <v>-3.75</v>
      </c>
      <c r="AS326">
        <v>7.39</v>
      </c>
      <c r="AT326">
        <v>-1.76</v>
      </c>
      <c r="AU326">
        <v>-19.52</v>
      </c>
      <c r="AV326">
        <v>0</v>
      </c>
      <c r="AW326">
        <v>1.0900000000000001</v>
      </c>
      <c r="AX326">
        <v>47.51</v>
      </c>
      <c r="AY326">
        <v>9.9</v>
      </c>
      <c r="AZ326">
        <v>14.06</v>
      </c>
      <c r="BA326">
        <v>0.09</v>
      </c>
      <c r="BB326" t="s">
        <v>143</v>
      </c>
      <c r="BF326">
        <v>-1.23</v>
      </c>
      <c r="BG326">
        <v>-3.47</v>
      </c>
      <c r="BH326">
        <v>-3.75</v>
      </c>
      <c r="BI326">
        <v>0</v>
      </c>
      <c r="BJ326">
        <v>20210813</v>
      </c>
      <c r="BK326">
        <v>19970925</v>
      </c>
      <c r="BL326">
        <v>12.25</v>
      </c>
      <c r="BM326" t="s">
        <v>120</v>
      </c>
      <c r="BN326" t="s">
        <v>120</v>
      </c>
      <c r="BO326">
        <v>77.040000000000006</v>
      </c>
      <c r="BP326">
        <v>3.34</v>
      </c>
      <c r="BQ326">
        <v>46.44</v>
      </c>
      <c r="BR326">
        <v>-2.92</v>
      </c>
      <c r="BS326">
        <v>43.51</v>
      </c>
      <c r="BT326">
        <v>62.14</v>
      </c>
      <c r="BU326">
        <v>0.59</v>
      </c>
      <c r="BV326">
        <v>1.48</v>
      </c>
      <c r="BW326">
        <v>19.78</v>
      </c>
      <c r="BX326">
        <v>14.44</v>
      </c>
      <c r="BY326">
        <v>34.659999999999997</v>
      </c>
      <c r="BZ326">
        <v>0.83</v>
      </c>
      <c r="CA326">
        <v>2.65</v>
      </c>
      <c r="CB326">
        <v>26.78</v>
      </c>
      <c r="CC326">
        <v>26.2</v>
      </c>
      <c r="CD326">
        <v>21.82</v>
      </c>
      <c r="CE326">
        <v>2.38</v>
      </c>
      <c r="CF326">
        <v>0.05</v>
      </c>
      <c r="CG326">
        <v>2.41</v>
      </c>
      <c r="CH326">
        <v>1.5</v>
      </c>
      <c r="CI326">
        <v>2</v>
      </c>
      <c r="CJ326">
        <v>-0.1</v>
      </c>
      <c r="CK326">
        <v>1.91</v>
      </c>
      <c r="CL326">
        <v>11.38</v>
      </c>
      <c r="CM326">
        <v>1.87</v>
      </c>
      <c r="CN326">
        <v>-0.11</v>
      </c>
      <c r="CO326">
        <v>21198</v>
      </c>
      <c r="CP326">
        <v>27458</v>
      </c>
      <c r="CQ326" t="s">
        <v>2236</v>
      </c>
      <c r="CR326">
        <v>169.19</v>
      </c>
      <c r="CS326">
        <v>430.04</v>
      </c>
      <c r="CT326">
        <v>0.88</v>
      </c>
      <c r="CU326">
        <v>21.84</v>
      </c>
      <c r="CV326">
        <v>1.56</v>
      </c>
      <c r="CW326">
        <v>11.21</v>
      </c>
      <c r="CX326" t="s">
        <v>1193</v>
      </c>
      <c r="CY326">
        <v>3.79</v>
      </c>
      <c r="CZ326">
        <v>0</v>
      </c>
      <c r="DA326">
        <v>2.19</v>
      </c>
      <c r="DB326">
        <v>0.93</v>
      </c>
      <c r="DC326">
        <v>0.15</v>
      </c>
      <c r="DD326">
        <v>60.28</v>
      </c>
      <c r="DE326" t="s">
        <v>2237</v>
      </c>
      <c r="DF326">
        <v>16.7</v>
      </c>
      <c r="DG326">
        <v>9.07</v>
      </c>
      <c r="DH326">
        <v>7.65</v>
      </c>
      <c r="DI326" t="s">
        <v>120</v>
      </c>
      <c r="DJ326">
        <v>500</v>
      </c>
      <c r="DK326">
        <v>863</v>
      </c>
      <c r="DL326" t="s">
        <v>120</v>
      </c>
      <c r="DM326" t="s">
        <v>120</v>
      </c>
      <c r="DN326" t="s">
        <v>120</v>
      </c>
    </row>
    <row r="327" spans="1:118">
      <c r="A327" t="str">
        <f>"000868"</f>
        <v>000868</v>
      </c>
      <c r="B327" t="s">
        <v>2238</v>
      </c>
      <c r="C327">
        <v>-1.47</v>
      </c>
      <c r="D327">
        <v>0</v>
      </c>
      <c r="E327">
        <v>0</v>
      </c>
      <c r="F327">
        <v>1003</v>
      </c>
      <c r="G327" t="s">
        <v>2239</v>
      </c>
      <c r="H327">
        <v>5499.51</v>
      </c>
      <c r="I327">
        <v>10.83</v>
      </c>
      <c r="J327" t="s">
        <v>120</v>
      </c>
      <c r="K327" t="s">
        <v>2240</v>
      </c>
      <c r="L327">
        <v>1.86</v>
      </c>
      <c r="M327">
        <v>4.01</v>
      </c>
      <c r="N327">
        <v>1.07</v>
      </c>
      <c r="O327">
        <v>0.49</v>
      </c>
      <c r="P327">
        <v>4.09</v>
      </c>
      <c r="Q327">
        <v>-1.72</v>
      </c>
      <c r="R327">
        <v>4</v>
      </c>
      <c r="S327">
        <v>4.07</v>
      </c>
      <c r="T327">
        <v>136033</v>
      </c>
      <c r="U327">
        <v>4.0199999999999996</v>
      </c>
      <c r="V327">
        <v>4.07</v>
      </c>
      <c r="W327" t="s">
        <v>120</v>
      </c>
      <c r="X327" t="s">
        <v>1068</v>
      </c>
      <c r="Y327" t="s">
        <v>570</v>
      </c>
      <c r="Z327">
        <v>2.21</v>
      </c>
      <c r="AA327">
        <v>4.04</v>
      </c>
      <c r="AB327">
        <v>90145</v>
      </c>
      <c r="AC327">
        <v>45888</v>
      </c>
      <c r="AD327">
        <v>1.96</v>
      </c>
      <c r="AE327">
        <v>4245</v>
      </c>
      <c r="AF327">
        <v>1698</v>
      </c>
      <c r="AG327" t="s">
        <v>120</v>
      </c>
      <c r="AH327">
        <v>0.01</v>
      </c>
      <c r="AI327" t="s">
        <v>120</v>
      </c>
      <c r="AJ327">
        <v>7.33</v>
      </c>
      <c r="AK327" t="s">
        <v>2240</v>
      </c>
      <c r="AL327">
        <v>0.44</v>
      </c>
      <c r="AM327">
        <v>1539</v>
      </c>
      <c r="AN327">
        <v>88</v>
      </c>
      <c r="AO327">
        <v>1.1999999999999999E-3</v>
      </c>
      <c r="AP327">
        <v>-1</v>
      </c>
      <c r="AQ327">
        <v>0.25</v>
      </c>
      <c r="AR327">
        <v>-1.95</v>
      </c>
      <c r="AS327">
        <v>-9.07</v>
      </c>
      <c r="AT327">
        <v>-8.0299999999999994</v>
      </c>
      <c r="AU327">
        <v>-1.96</v>
      </c>
      <c r="AV327">
        <v>12</v>
      </c>
      <c r="AW327">
        <v>3.07</v>
      </c>
      <c r="AX327">
        <v>60.5</v>
      </c>
      <c r="AY327">
        <v>37.97</v>
      </c>
      <c r="AZ327">
        <v>29.97</v>
      </c>
      <c r="BA327">
        <v>0.49</v>
      </c>
      <c r="BB327" t="s">
        <v>134</v>
      </c>
      <c r="BF327">
        <v>-0.67</v>
      </c>
      <c r="BG327">
        <v>-1.47</v>
      </c>
      <c r="BH327">
        <v>-1.96</v>
      </c>
      <c r="BI327">
        <v>0.25</v>
      </c>
      <c r="BJ327">
        <v>20210817</v>
      </c>
      <c r="BK327">
        <v>19970725</v>
      </c>
      <c r="BL327">
        <v>7.33</v>
      </c>
      <c r="BM327" t="s">
        <v>120</v>
      </c>
      <c r="BN327" t="s">
        <v>120</v>
      </c>
      <c r="BO327">
        <v>41.86</v>
      </c>
      <c r="BP327">
        <v>4.01</v>
      </c>
      <c r="BQ327">
        <v>4.6399999999999997</v>
      </c>
      <c r="BR327">
        <v>0.72</v>
      </c>
      <c r="BS327">
        <v>87.19</v>
      </c>
      <c r="BT327">
        <v>28.01</v>
      </c>
      <c r="BU327">
        <v>7.11</v>
      </c>
      <c r="BV327">
        <v>1.81</v>
      </c>
      <c r="BW327">
        <v>31.8</v>
      </c>
      <c r="BX327">
        <v>7.77</v>
      </c>
      <c r="BY327">
        <v>1.35</v>
      </c>
      <c r="BZ327">
        <v>10.61</v>
      </c>
      <c r="CA327" t="s">
        <v>120</v>
      </c>
      <c r="CB327">
        <v>5.3</v>
      </c>
      <c r="CC327">
        <v>7.16</v>
      </c>
      <c r="CD327">
        <v>6.94</v>
      </c>
      <c r="CE327">
        <v>-0.88</v>
      </c>
      <c r="CF327">
        <v>0.02</v>
      </c>
      <c r="CG327">
        <v>-0.88</v>
      </c>
      <c r="CH327">
        <v>-0.76</v>
      </c>
      <c r="CI327">
        <v>-0.65</v>
      </c>
      <c r="CJ327">
        <v>-0.06</v>
      </c>
      <c r="CK327">
        <v>-0.77</v>
      </c>
      <c r="CL327">
        <v>-8.69</v>
      </c>
      <c r="CM327">
        <v>-4.72</v>
      </c>
      <c r="CN327">
        <v>-3.8</v>
      </c>
      <c r="CO327">
        <v>50582</v>
      </c>
      <c r="CP327">
        <v>8771</v>
      </c>
      <c r="CQ327" t="s">
        <v>2241</v>
      </c>
      <c r="CR327">
        <v>-47.47</v>
      </c>
      <c r="CS327">
        <v>-15.08</v>
      </c>
      <c r="CT327">
        <v>6.33</v>
      </c>
      <c r="CU327">
        <v>-6.23</v>
      </c>
      <c r="CV327">
        <v>4.1100000000000003</v>
      </c>
      <c r="CW327">
        <v>0</v>
      </c>
      <c r="CX327" t="s">
        <v>2242</v>
      </c>
      <c r="CY327">
        <v>0.63</v>
      </c>
      <c r="CZ327">
        <v>0</v>
      </c>
      <c r="DA327">
        <v>0.72</v>
      </c>
      <c r="DB327">
        <v>-1.19</v>
      </c>
      <c r="DC327">
        <v>-0.64</v>
      </c>
      <c r="DD327">
        <v>11.09</v>
      </c>
      <c r="DE327" t="s">
        <v>2243</v>
      </c>
      <c r="DF327">
        <v>3.05</v>
      </c>
      <c r="DG327">
        <v>-12.28</v>
      </c>
      <c r="DH327">
        <v>-9.1</v>
      </c>
      <c r="DI327">
        <v>0.39</v>
      </c>
      <c r="DJ327">
        <v>2381</v>
      </c>
      <c r="DK327">
        <v>868</v>
      </c>
      <c r="DL327" t="s">
        <v>120</v>
      </c>
      <c r="DM327" t="s">
        <v>120</v>
      </c>
      <c r="DN327" t="s">
        <v>120</v>
      </c>
    </row>
    <row r="328" spans="1:118">
      <c r="A328" t="str">
        <f>"000869"</f>
        <v>000869</v>
      </c>
      <c r="B328" t="s">
        <v>2244</v>
      </c>
      <c r="C328">
        <v>0.16</v>
      </c>
      <c r="D328">
        <v>-0.05</v>
      </c>
      <c r="E328">
        <v>0.06</v>
      </c>
      <c r="F328">
        <v>584</v>
      </c>
      <c r="G328" t="s">
        <v>2245</v>
      </c>
      <c r="H328">
        <v>6842.91</v>
      </c>
      <c r="I328">
        <v>8.41</v>
      </c>
      <c r="J328" t="s">
        <v>120</v>
      </c>
      <c r="K328" t="s">
        <v>2246</v>
      </c>
      <c r="L328">
        <v>0.48</v>
      </c>
      <c r="M328">
        <v>31.16</v>
      </c>
      <c r="N328">
        <v>0.84</v>
      </c>
      <c r="O328">
        <v>1.86</v>
      </c>
      <c r="P328">
        <v>31.69</v>
      </c>
      <c r="Q328">
        <v>-0.35</v>
      </c>
      <c r="R328">
        <v>31</v>
      </c>
      <c r="S328">
        <v>31.13</v>
      </c>
      <c r="T328">
        <v>21845</v>
      </c>
      <c r="U328">
        <v>31.17</v>
      </c>
      <c r="V328">
        <v>31.11</v>
      </c>
      <c r="W328">
        <v>28.72</v>
      </c>
      <c r="X328" t="s">
        <v>2247</v>
      </c>
      <c r="Y328" t="s">
        <v>638</v>
      </c>
      <c r="Z328">
        <v>2.2200000000000002</v>
      </c>
      <c r="AA328">
        <v>31.33</v>
      </c>
      <c r="AB328">
        <v>12038</v>
      </c>
      <c r="AC328">
        <v>9807</v>
      </c>
      <c r="AD328">
        <v>1.23</v>
      </c>
      <c r="AE328">
        <v>484</v>
      </c>
      <c r="AF328">
        <v>3</v>
      </c>
      <c r="AG328" t="s">
        <v>120</v>
      </c>
      <c r="AH328">
        <v>0</v>
      </c>
      <c r="AI328" t="s">
        <v>120</v>
      </c>
      <c r="AJ328">
        <v>4.53</v>
      </c>
      <c r="AK328" t="s">
        <v>2248</v>
      </c>
      <c r="AL328">
        <v>2.0699999999999998</v>
      </c>
      <c r="AM328">
        <v>2044</v>
      </c>
      <c r="AN328">
        <v>11</v>
      </c>
      <c r="AO328">
        <v>2.0000000000000001E-4</v>
      </c>
      <c r="AP328">
        <v>1</v>
      </c>
      <c r="AQ328">
        <v>-0.77</v>
      </c>
      <c r="AR328">
        <v>-2.11</v>
      </c>
      <c r="AS328">
        <v>-1.79</v>
      </c>
      <c r="AT328">
        <v>-15.6</v>
      </c>
      <c r="AU328">
        <v>-27.87</v>
      </c>
      <c r="AV328">
        <v>3</v>
      </c>
      <c r="AW328">
        <v>2.02</v>
      </c>
      <c r="AX328">
        <v>15.75</v>
      </c>
      <c r="AY328">
        <v>40.69</v>
      </c>
      <c r="AZ328">
        <v>45.29</v>
      </c>
      <c r="BA328">
        <v>0.8</v>
      </c>
      <c r="BB328" t="s">
        <v>143</v>
      </c>
      <c r="BF328">
        <v>0.69</v>
      </c>
      <c r="BG328">
        <v>0.1</v>
      </c>
      <c r="BH328">
        <v>-1.67</v>
      </c>
      <c r="BI328">
        <v>0.52</v>
      </c>
      <c r="BJ328">
        <v>20210902</v>
      </c>
      <c r="BK328">
        <v>20001026</v>
      </c>
      <c r="BL328">
        <v>6.85</v>
      </c>
      <c r="BM328">
        <v>2.3199999999999998</v>
      </c>
      <c r="BN328" t="s">
        <v>120</v>
      </c>
      <c r="BO328">
        <v>133.69</v>
      </c>
      <c r="BP328">
        <v>31.16</v>
      </c>
      <c r="BQ328">
        <v>103.33</v>
      </c>
      <c r="BR328">
        <v>2.41</v>
      </c>
      <c r="BS328">
        <v>20.91</v>
      </c>
      <c r="BT328">
        <v>51.94</v>
      </c>
      <c r="BU328">
        <v>56.75</v>
      </c>
      <c r="BV328">
        <v>6.52</v>
      </c>
      <c r="BW328">
        <v>23.57</v>
      </c>
      <c r="BX328">
        <v>15.14</v>
      </c>
      <c r="BY328">
        <v>29.21</v>
      </c>
      <c r="BZ328">
        <v>1.69</v>
      </c>
      <c r="CA328" t="s">
        <v>120</v>
      </c>
      <c r="CB328">
        <v>5.25</v>
      </c>
      <c r="CC328">
        <v>18.739999999999998</v>
      </c>
      <c r="CD328">
        <v>7.62</v>
      </c>
      <c r="CE328">
        <v>5.07</v>
      </c>
      <c r="CF328">
        <v>-0.02</v>
      </c>
      <c r="CG328">
        <v>5.09</v>
      </c>
      <c r="CH328">
        <v>3.72</v>
      </c>
      <c r="CI328">
        <v>3.72</v>
      </c>
      <c r="CJ328">
        <v>0.05</v>
      </c>
      <c r="CK328">
        <v>3.54</v>
      </c>
      <c r="CL328">
        <v>88.01</v>
      </c>
      <c r="CM328">
        <v>4.5599999999999996</v>
      </c>
      <c r="CN328">
        <v>3.4</v>
      </c>
      <c r="CO328">
        <v>49333</v>
      </c>
      <c r="CP328">
        <v>6892</v>
      </c>
      <c r="CQ328" t="s">
        <v>2249</v>
      </c>
      <c r="CR328">
        <v>16.690000000000001</v>
      </c>
      <c r="CS328">
        <v>32.14</v>
      </c>
      <c r="CT328">
        <v>2.0699999999999998</v>
      </c>
      <c r="CU328">
        <v>46.85</v>
      </c>
      <c r="CV328">
        <v>11.39</v>
      </c>
      <c r="CW328">
        <v>1.29</v>
      </c>
      <c r="CX328" t="s">
        <v>263</v>
      </c>
      <c r="CY328">
        <v>15.07</v>
      </c>
      <c r="CZ328">
        <v>0</v>
      </c>
      <c r="DA328">
        <v>0.77</v>
      </c>
      <c r="DB328">
        <v>12.84</v>
      </c>
      <c r="DC328">
        <v>0.67</v>
      </c>
      <c r="DD328">
        <v>77.290000000000006</v>
      </c>
      <c r="DE328" t="s">
        <v>1060</v>
      </c>
      <c r="DF328">
        <v>59.37</v>
      </c>
      <c r="DG328">
        <v>27.05</v>
      </c>
      <c r="DH328">
        <v>19.84</v>
      </c>
      <c r="DI328">
        <v>0.02</v>
      </c>
      <c r="DJ328">
        <v>2560</v>
      </c>
      <c r="DK328">
        <v>869</v>
      </c>
      <c r="DL328" t="s">
        <v>120</v>
      </c>
      <c r="DM328" t="s">
        <v>120</v>
      </c>
      <c r="DN328" t="s">
        <v>120</v>
      </c>
    </row>
    <row r="329" spans="1:118">
      <c r="A329" t="str">
        <f>"000875"</f>
        <v>000875</v>
      </c>
      <c r="B329" t="s">
        <v>2250</v>
      </c>
      <c r="C329" t="s">
        <v>120</v>
      </c>
      <c r="D329" t="s">
        <v>120</v>
      </c>
      <c r="E329" t="s">
        <v>120</v>
      </c>
      <c r="F329">
        <v>0</v>
      </c>
      <c r="G329" t="s">
        <v>2251</v>
      </c>
      <c r="H329">
        <v>0</v>
      </c>
      <c r="I329">
        <v>0</v>
      </c>
      <c r="J329" t="s">
        <v>120</v>
      </c>
      <c r="K329" t="s">
        <v>2252</v>
      </c>
      <c r="L329" t="s">
        <v>120</v>
      </c>
      <c r="M329">
        <v>7.43</v>
      </c>
      <c r="N329">
        <v>0</v>
      </c>
      <c r="O329" t="s">
        <v>120</v>
      </c>
      <c r="P329" t="s">
        <v>120</v>
      </c>
      <c r="Q329" t="s">
        <v>120</v>
      </c>
      <c r="R329" t="s">
        <v>120</v>
      </c>
      <c r="S329" t="s">
        <v>120</v>
      </c>
      <c r="T329">
        <v>0</v>
      </c>
      <c r="U329" t="s">
        <v>120</v>
      </c>
      <c r="V329">
        <v>7.43</v>
      </c>
      <c r="W329">
        <v>14.73</v>
      </c>
      <c r="X329" t="s">
        <v>268</v>
      </c>
      <c r="Y329" t="s">
        <v>290</v>
      </c>
      <c r="Z329">
        <v>0</v>
      </c>
      <c r="AA329">
        <v>7.43</v>
      </c>
      <c r="AB329">
        <v>0</v>
      </c>
      <c r="AC329">
        <v>0</v>
      </c>
      <c r="AD329" t="s">
        <v>120</v>
      </c>
      <c r="AE329">
        <v>0</v>
      </c>
      <c r="AF329">
        <v>0</v>
      </c>
      <c r="AG329" t="s">
        <v>120</v>
      </c>
      <c r="AH329">
        <v>0</v>
      </c>
      <c r="AI329" t="s">
        <v>120</v>
      </c>
      <c r="AJ329">
        <v>21.46</v>
      </c>
      <c r="AK329" t="s">
        <v>2253</v>
      </c>
      <c r="AL329">
        <v>1.91</v>
      </c>
      <c r="AM329">
        <v>0</v>
      </c>
      <c r="AN329" t="s">
        <v>120</v>
      </c>
      <c r="AO329" t="s">
        <v>120</v>
      </c>
      <c r="AP329">
        <v>1</v>
      </c>
      <c r="AQ329">
        <v>3.77</v>
      </c>
      <c r="AR329">
        <v>0.68</v>
      </c>
      <c r="AS329">
        <v>21.6</v>
      </c>
      <c r="AT329">
        <v>36.83</v>
      </c>
      <c r="AU329">
        <v>74</v>
      </c>
      <c r="AV329">
        <v>5</v>
      </c>
      <c r="AW329" t="s">
        <v>120</v>
      </c>
      <c r="AX329">
        <v>55.26</v>
      </c>
      <c r="AY329">
        <v>28.85</v>
      </c>
      <c r="AZ329">
        <v>43.36</v>
      </c>
      <c r="BA329">
        <v>0.33</v>
      </c>
      <c r="BB329" t="s">
        <v>184</v>
      </c>
      <c r="BF329">
        <v>0</v>
      </c>
      <c r="BG329" t="s">
        <v>120</v>
      </c>
      <c r="BH329" t="s">
        <v>120</v>
      </c>
      <c r="BI329" t="s">
        <v>120</v>
      </c>
      <c r="BJ329">
        <v>20210913</v>
      </c>
      <c r="BK329">
        <v>20020926</v>
      </c>
      <c r="BL329">
        <v>27.9</v>
      </c>
      <c r="BM329" t="s">
        <v>120</v>
      </c>
      <c r="BN329" t="s">
        <v>120</v>
      </c>
      <c r="BO329">
        <v>598.05999999999995</v>
      </c>
      <c r="BQ329">
        <v>107.1</v>
      </c>
      <c r="BR329">
        <v>34.369999999999997</v>
      </c>
      <c r="BS329">
        <v>76.349999999999994</v>
      </c>
      <c r="BT329">
        <v>97.87</v>
      </c>
      <c r="BU329">
        <v>415.62</v>
      </c>
      <c r="BV329">
        <v>6.61</v>
      </c>
      <c r="BW329">
        <v>151.37</v>
      </c>
      <c r="BX329">
        <v>5.22</v>
      </c>
      <c r="BY329">
        <v>1.1299999999999999</v>
      </c>
      <c r="BZ329">
        <v>81.38</v>
      </c>
      <c r="CA329" t="s">
        <v>120</v>
      </c>
      <c r="CB329">
        <v>70.540000000000006</v>
      </c>
      <c r="CC329">
        <v>63.03</v>
      </c>
      <c r="CD329">
        <v>44.76</v>
      </c>
      <c r="CE329">
        <v>9.83</v>
      </c>
      <c r="CF329">
        <v>0.34</v>
      </c>
      <c r="CG329">
        <v>10.09</v>
      </c>
      <c r="CH329">
        <v>8.9700000000000006</v>
      </c>
      <c r="CI329">
        <v>7.04</v>
      </c>
      <c r="CJ329" t="s">
        <v>120</v>
      </c>
      <c r="CK329">
        <v>6.8</v>
      </c>
      <c r="CL329">
        <v>7.67</v>
      </c>
      <c r="CM329">
        <v>16.66</v>
      </c>
      <c r="CN329">
        <v>0.2</v>
      </c>
      <c r="CO329">
        <v>172890</v>
      </c>
      <c r="CP329">
        <v>8918</v>
      </c>
      <c r="CQ329" t="s">
        <v>2254</v>
      </c>
      <c r="CR329">
        <v>51.96</v>
      </c>
      <c r="CS329">
        <v>36.869999999999997</v>
      </c>
      <c r="CT329">
        <v>1.94</v>
      </c>
      <c r="CU329">
        <v>12.45</v>
      </c>
      <c r="CV329">
        <v>3.29</v>
      </c>
      <c r="CW329">
        <v>0</v>
      </c>
      <c r="CX329" t="s">
        <v>293</v>
      </c>
      <c r="CY329">
        <v>3.84</v>
      </c>
      <c r="CZ329">
        <v>0</v>
      </c>
      <c r="DA329">
        <v>2.5299999999999998</v>
      </c>
      <c r="DB329">
        <v>0.27</v>
      </c>
      <c r="DC329">
        <v>0.6</v>
      </c>
      <c r="DD329">
        <v>17.91</v>
      </c>
      <c r="DE329" t="s">
        <v>2255</v>
      </c>
      <c r="DF329">
        <v>29</v>
      </c>
      <c r="DG329">
        <v>15.59</v>
      </c>
      <c r="DH329">
        <v>11.16</v>
      </c>
      <c r="DI329">
        <v>0.03</v>
      </c>
      <c r="DJ329">
        <v>4653</v>
      </c>
      <c r="DK329">
        <v>875</v>
      </c>
      <c r="DL329" t="s">
        <v>120</v>
      </c>
      <c r="DM329" t="s">
        <v>120</v>
      </c>
      <c r="DN329" t="s">
        <v>120</v>
      </c>
    </row>
    <row r="330" spans="1:118">
      <c r="A330" t="str">
        <f>"000876"</f>
        <v>000876</v>
      </c>
      <c r="B330" t="s">
        <v>2256</v>
      </c>
      <c r="C330">
        <v>9.9700000000000006</v>
      </c>
      <c r="D330">
        <v>0</v>
      </c>
      <c r="E330">
        <v>0</v>
      </c>
      <c r="F330">
        <v>4215</v>
      </c>
      <c r="G330" t="s">
        <v>2257</v>
      </c>
      <c r="H330">
        <v>159365.13</v>
      </c>
      <c r="I330">
        <v>111.07</v>
      </c>
      <c r="J330">
        <v>19166.84</v>
      </c>
      <c r="K330" t="s">
        <v>2258</v>
      </c>
      <c r="L330">
        <v>2.95</v>
      </c>
      <c r="M330">
        <v>12.79</v>
      </c>
      <c r="N330">
        <v>3.11</v>
      </c>
      <c r="O330">
        <v>9.9700000000000006</v>
      </c>
      <c r="P330">
        <v>12.79</v>
      </c>
      <c r="Q330">
        <v>-0.43</v>
      </c>
      <c r="R330">
        <v>11.58</v>
      </c>
      <c r="S330">
        <v>11.63</v>
      </c>
      <c r="T330">
        <v>1277549</v>
      </c>
      <c r="U330" t="s">
        <v>120</v>
      </c>
      <c r="V330">
        <v>11.63</v>
      </c>
      <c r="W330" t="s">
        <v>120</v>
      </c>
      <c r="X330" t="s">
        <v>386</v>
      </c>
      <c r="Y330" t="s">
        <v>578</v>
      </c>
      <c r="Z330">
        <v>10.4</v>
      </c>
      <c r="AA330">
        <v>12.47</v>
      </c>
      <c r="AB330">
        <v>695280</v>
      </c>
      <c r="AC330">
        <v>582269</v>
      </c>
      <c r="AD330">
        <v>1.19</v>
      </c>
      <c r="AE330">
        <v>149858</v>
      </c>
      <c r="AF330">
        <v>0</v>
      </c>
      <c r="AG330" t="s">
        <v>120</v>
      </c>
      <c r="AH330">
        <v>0</v>
      </c>
      <c r="AI330">
        <v>0.12</v>
      </c>
      <c r="AJ330">
        <v>43.26</v>
      </c>
      <c r="AK330" t="s">
        <v>2259</v>
      </c>
      <c r="AL330">
        <v>11.89</v>
      </c>
      <c r="AM330">
        <v>4596</v>
      </c>
      <c r="AN330">
        <v>278</v>
      </c>
      <c r="AO330">
        <v>5.9999999999999995E-4</v>
      </c>
      <c r="AP330">
        <v>1</v>
      </c>
      <c r="AQ330">
        <v>-0.09</v>
      </c>
      <c r="AR330">
        <v>6.05</v>
      </c>
      <c r="AS330">
        <v>9.1300000000000008</v>
      </c>
      <c r="AT330">
        <v>-8.91</v>
      </c>
      <c r="AU330">
        <v>-42.9</v>
      </c>
      <c r="AV330">
        <v>2</v>
      </c>
      <c r="AW330">
        <v>6.25</v>
      </c>
      <c r="AX330">
        <v>45.37</v>
      </c>
      <c r="AY330" t="s">
        <v>120</v>
      </c>
      <c r="AZ330">
        <v>10.6</v>
      </c>
      <c r="BA330">
        <v>0.64</v>
      </c>
      <c r="BB330" t="s">
        <v>143</v>
      </c>
      <c r="BF330">
        <v>7.26</v>
      </c>
      <c r="BG330">
        <v>9.9700000000000006</v>
      </c>
      <c r="BH330">
        <v>0</v>
      </c>
      <c r="BI330">
        <v>10.45</v>
      </c>
      <c r="BJ330">
        <v>20210902</v>
      </c>
      <c r="BK330">
        <v>19980311</v>
      </c>
      <c r="BL330">
        <v>45.05</v>
      </c>
      <c r="BM330" t="s">
        <v>120</v>
      </c>
      <c r="BN330" t="s">
        <v>120</v>
      </c>
      <c r="BO330">
        <v>1323.88</v>
      </c>
      <c r="BP330">
        <v>12.79</v>
      </c>
      <c r="BQ330">
        <v>371.95</v>
      </c>
      <c r="BR330">
        <v>118.78</v>
      </c>
      <c r="BS330">
        <v>62.93</v>
      </c>
      <c r="BT330">
        <v>384.51</v>
      </c>
      <c r="BU330">
        <v>325.37</v>
      </c>
      <c r="BV330">
        <v>17.420000000000002</v>
      </c>
      <c r="BW330">
        <v>405.81</v>
      </c>
      <c r="BX330">
        <v>116.75</v>
      </c>
      <c r="BY330">
        <v>196.55</v>
      </c>
      <c r="BZ330">
        <v>15.05</v>
      </c>
      <c r="CA330" t="s">
        <v>120</v>
      </c>
      <c r="CB330">
        <v>97.56</v>
      </c>
      <c r="CC330">
        <v>615.19000000000005</v>
      </c>
      <c r="CD330">
        <v>591.80999999999995</v>
      </c>
      <c r="CE330">
        <v>-14.22</v>
      </c>
      <c r="CF330">
        <v>11.77</v>
      </c>
      <c r="CG330">
        <v>-27</v>
      </c>
      <c r="CH330">
        <v>-29.55</v>
      </c>
      <c r="CI330">
        <v>-34.15</v>
      </c>
      <c r="CJ330">
        <v>1.1599999999999999</v>
      </c>
      <c r="CK330">
        <v>-23.05</v>
      </c>
      <c r="CL330">
        <v>177.45</v>
      </c>
      <c r="CM330">
        <v>-45.97</v>
      </c>
      <c r="CN330">
        <v>28.6</v>
      </c>
      <c r="CO330">
        <v>256000</v>
      </c>
      <c r="CP330">
        <v>7984</v>
      </c>
      <c r="CQ330" t="s">
        <v>2260</v>
      </c>
      <c r="CR330">
        <v>-207.94</v>
      </c>
      <c r="CS330">
        <v>37.64</v>
      </c>
      <c r="CT330">
        <v>1.72</v>
      </c>
      <c r="CU330">
        <v>-12.54</v>
      </c>
      <c r="CV330">
        <v>0.94</v>
      </c>
      <c r="CW330">
        <v>0</v>
      </c>
      <c r="CX330" t="s">
        <v>2261</v>
      </c>
      <c r="CY330">
        <v>7.42</v>
      </c>
      <c r="CZ330">
        <v>7.42</v>
      </c>
      <c r="DA330">
        <v>2.17</v>
      </c>
      <c r="DB330">
        <v>3.94</v>
      </c>
      <c r="DC330">
        <v>-1.02</v>
      </c>
      <c r="DD330">
        <v>28.1</v>
      </c>
      <c r="DE330" t="s">
        <v>2262</v>
      </c>
      <c r="DF330">
        <v>3.8</v>
      </c>
      <c r="DG330">
        <v>-2.31</v>
      </c>
      <c r="DH330">
        <v>-5.55</v>
      </c>
      <c r="DI330">
        <v>1.47</v>
      </c>
      <c r="DJ330">
        <v>95993</v>
      </c>
      <c r="DK330">
        <v>876</v>
      </c>
      <c r="DL330" t="s">
        <v>120</v>
      </c>
      <c r="DM330" t="s">
        <v>120</v>
      </c>
      <c r="DN330" t="s">
        <v>120</v>
      </c>
    </row>
    <row r="331" spans="1:118">
      <c r="A331" t="str">
        <f>"000877"</f>
        <v>000877</v>
      </c>
      <c r="B331" t="s">
        <v>2263</v>
      </c>
      <c r="C331">
        <v>-0.37</v>
      </c>
      <c r="D331">
        <v>0.12</v>
      </c>
      <c r="E331">
        <v>0</v>
      </c>
      <c r="F331">
        <v>2859</v>
      </c>
      <c r="G331" t="s">
        <v>2264</v>
      </c>
      <c r="H331">
        <v>67814.75</v>
      </c>
      <c r="I331">
        <v>169.5</v>
      </c>
      <c r="J331" t="s">
        <v>120</v>
      </c>
      <c r="K331" t="s">
        <v>2265</v>
      </c>
      <c r="L331">
        <v>4.68</v>
      </c>
      <c r="M331">
        <v>16.16</v>
      </c>
      <c r="N331">
        <v>0.63</v>
      </c>
      <c r="O331">
        <v>3.7</v>
      </c>
      <c r="P331">
        <v>16.82</v>
      </c>
      <c r="Q331">
        <v>-0.86</v>
      </c>
      <c r="R331">
        <v>16.079999999999998</v>
      </c>
      <c r="S331">
        <v>16.22</v>
      </c>
      <c r="T331">
        <v>412066</v>
      </c>
      <c r="U331">
        <v>16.16</v>
      </c>
      <c r="V331">
        <v>16.22</v>
      </c>
      <c r="W331">
        <v>11.29</v>
      </c>
      <c r="X331" t="s">
        <v>653</v>
      </c>
      <c r="Y331" t="s">
        <v>609</v>
      </c>
      <c r="Z331">
        <v>4.5599999999999996</v>
      </c>
      <c r="AA331">
        <v>16.46</v>
      </c>
      <c r="AB331">
        <v>222128</v>
      </c>
      <c r="AC331">
        <v>189938</v>
      </c>
      <c r="AD331">
        <v>1.17</v>
      </c>
      <c r="AE331">
        <v>67</v>
      </c>
      <c r="AF331">
        <v>178</v>
      </c>
      <c r="AG331" t="s">
        <v>120</v>
      </c>
      <c r="AH331">
        <v>0.02</v>
      </c>
      <c r="AI331" t="s">
        <v>120</v>
      </c>
      <c r="AJ331">
        <v>8.8000000000000007</v>
      </c>
      <c r="AK331" t="s">
        <v>2266</v>
      </c>
      <c r="AL331">
        <v>1.54</v>
      </c>
      <c r="AM331">
        <v>4358</v>
      </c>
      <c r="AN331">
        <v>95</v>
      </c>
      <c r="AO331">
        <v>1.1000000000000001E-3</v>
      </c>
      <c r="AP331">
        <v>-3</v>
      </c>
      <c r="AQ331">
        <v>-1.82</v>
      </c>
      <c r="AR331">
        <v>-6.75</v>
      </c>
      <c r="AS331">
        <v>10.84</v>
      </c>
      <c r="AT331">
        <v>20.69</v>
      </c>
      <c r="AU331">
        <v>10.53</v>
      </c>
      <c r="AV331">
        <v>5</v>
      </c>
      <c r="AW331">
        <v>7.26</v>
      </c>
      <c r="AX331">
        <v>54.13</v>
      </c>
      <c r="AY331">
        <v>10.7</v>
      </c>
      <c r="AZ331">
        <v>11.22</v>
      </c>
      <c r="BA331">
        <v>0.1</v>
      </c>
      <c r="BB331" t="s">
        <v>240</v>
      </c>
      <c r="BF331">
        <v>1.46</v>
      </c>
      <c r="BG331">
        <v>-0.37</v>
      </c>
      <c r="BH331">
        <v>-3.92</v>
      </c>
      <c r="BI331">
        <v>0.5</v>
      </c>
      <c r="BJ331">
        <v>20210821</v>
      </c>
      <c r="BK331">
        <v>19990107</v>
      </c>
      <c r="BL331">
        <v>10.49</v>
      </c>
      <c r="BM331" t="s">
        <v>120</v>
      </c>
      <c r="BN331" t="s">
        <v>120</v>
      </c>
      <c r="BO331">
        <v>155.97</v>
      </c>
      <c r="BP331">
        <v>16.149999999999999</v>
      </c>
      <c r="BQ331">
        <v>108.79</v>
      </c>
      <c r="BR331">
        <v>6.99</v>
      </c>
      <c r="BS331">
        <v>25.76</v>
      </c>
      <c r="BT331">
        <v>40.6</v>
      </c>
      <c r="BU331">
        <v>98.23</v>
      </c>
      <c r="BV331">
        <v>6.17</v>
      </c>
      <c r="BW331">
        <v>36.520000000000003</v>
      </c>
      <c r="BX331">
        <v>14.57</v>
      </c>
      <c r="BY331">
        <v>5.8</v>
      </c>
      <c r="BZ331">
        <v>6.59</v>
      </c>
      <c r="CA331" t="s">
        <v>120</v>
      </c>
      <c r="CB331">
        <v>40.76</v>
      </c>
      <c r="CC331">
        <v>41.29</v>
      </c>
      <c r="CD331">
        <v>27.12</v>
      </c>
      <c r="CE331">
        <v>10.62</v>
      </c>
      <c r="CF331">
        <v>-0.01</v>
      </c>
      <c r="CG331">
        <v>10.59</v>
      </c>
      <c r="CH331">
        <v>8.5399999999999991</v>
      </c>
      <c r="CI331">
        <v>7.51</v>
      </c>
      <c r="CJ331">
        <v>-0.06</v>
      </c>
      <c r="CK331">
        <v>7.46</v>
      </c>
      <c r="CL331">
        <v>51.6</v>
      </c>
      <c r="CM331">
        <v>11.68</v>
      </c>
      <c r="CN331">
        <v>3.94</v>
      </c>
      <c r="CO331">
        <v>112045</v>
      </c>
      <c r="CP331">
        <v>5067</v>
      </c>
      <c r="CQ331" t="s">
        <v>2267</v>
      </c>
      <c r="CR331">
        <v>10.96</v>
      </c>
      <c r="CS331">
        <v>14.79</v>
      </c>
      <c r="CT331">
        <v>1.56</v>
      </c>
      <c r="CU331">
        <v>14.51</v>
      </c>
      <c r="CV331">
        <v>4.0999999999999996</v>
      </c>
      <c r="CW331">
        <v>2.96</v>
      </c>
      <c r="CX331" t="s">
        <v>2268</v>
      </c>
      <c r="CY331">
        <v>10.37</v>
      </c>
      <c r="CZ331">
        <v>0</v>
      </c>
      <c r="DA331">
        <v>3.89</v>
      </c>
      <c r="DB331">
        <v>4.92</v>
      </c>
      <c r="DC331">
        <v>1.1100000000000001</v>
      </c>
      <c r="DD331">
        <v>69.75</v>
      </c>
      <c r="DE331" t="s">
        <v>2269</v>
      </c>
      <c r="DF331">
        <v>34.32</v>
      </c>
      <c r="DG331">
        <v>25.72</v>
      </c>
      <c r="DH331">
        <v>18.18</v>
      </c>
      <c r="DI331">
        <v>0.35</v>
      </c>
      <c r="DJ331">
        <v>6369</v>
      </c>
      <c r="DK331">
        <v>877</v>
      </c>
      <c r="DL331" t="s">
        <v>120</v>
      </c>
      <c r="DM331" t="s">
        <v>120</v>
      </c>
      <c r="DN331" t="s">
        <v>120</v>
      </c>
    </row>
    <row r="332" spans="1:118">
      <c r="A332" t="str">
        <f>"000878"</f>
        <v>000878</v>
      </c>
      <c r="B332" t="s">
        <v>2270</v>
      </c>
      <c r="C332">
        <v>-4.6900000000000004</v>
      </c>
      <c r="D332">
        <v>-0.05</v>
      </c>
      <c r="E332">
        <v>1.02</v>
      </c>
      <c r="F332">
        <v>10827</v>
      </c>
      <c r="G332" t="s">
        <v>2271</v>
      </c>
      <c r="H332">
        <v>118961.07</v>
      </c>
      <c r="I332">
        <v>637.96</v>
      </c>
      <c r="J332" t="s">
        <v>120</v>
      </c>
      <c r="K332" t="s">
        <v>2272</v>
      </c>
      <c r="L332">
        <v>4.12</v>
      </c>
      <c r="M332">
        <v>16.87</v>
      </c>
      <c r="N332">
        <v>0.76</v>
      </c>
      <c r="O332">
        <v>3.56</v>
      </c>
      <c r="P332">
        <v>18.329999999999998</v>
      </c>
      <c r="Q332">
        <v>-4.6900000000000004</v>
      </c>
      <c r="R332">
        <v>16.87</v>
      </c>
      <c r="S332">
        <v>17.88</v>
      </c>
      <c r="T332">
        <v>676552</v>
      </c>
      <c r="U332">
        <v>16.88</v>
      </c>
      <c r="V332">
        <v>17.7</v>
      </c>
      <c r="W332">
        <v>56.8</v>
      </c>
      <c r="X332" t="s">
        <v>1398</v>
      </c>
      <c r="Y332" t="s">
        <v>1006</v>
      </c>
      <c r="Z332">
        <v>8.25</v>
      </c>
      <c r="AA332">
        <v>17.579999999999998</v>
      </c>
      <c r="AB332">
        <v>369553</v>
      </c>
      <c r="AC332">
        <v>306999</v>
      </c>
      <c r="AD332">
        <v>1.2</v>
      </c>
      <c r="AE332">
        <v>107</v>
      </c>
      <c r="AF332">
        <v>589</v>
      </c>
      <c r="AG332" t="s">
        <v>120</v>
      </c>
      <c r="AH332">
        <v>0.04</v>
      </c>
      <c r="AI332" t="s">
        <v>120</v>
      </c>
      <c r="AJ332">
        <v>16.420000000000002</v>
      </c>
      <c r="AK332" t="s">
        <v>2273</v>
      </c>
      <c r="AL332">
        <v>-2.78</v>
      </c>
      <c r="AM332">
        <v>4565</v>
      </c>
      <c r="AN332">
        <v>148</v>
      </c>
      <c r="AO332">
        <v>8.9999999999999998E-4</v>
      </c>
      <c r="AP332">
        <v>-3</v>
      </c>
      <c r="AQ332">
        <v>-0.62</v>
      </c>
      <c r="AR332">
        <v>-10.7</v>
      </c>
      <c r="AS332">
        <v>27.71</v>
      </c>
      <c r="AT332">
        <v>29.17</v>
      </c>
      <c r="AU332">
        <v>17.39</v>
      </c>
      <c r="AV332">
        <v>5</v>
      </c>
      <c r="AW332">
        <v>6.74</v>
      </c>
      <c r="AX332">
        <v>59.09</v>
      </c>
      <c r="AY332">
        <v>86.17</v>
      </c>
      <c r="AZ332">
        <v>79.25</v>
      </c>
      <c r="BA332">
        <v>0.26</v>
      </c>
      <c r="BB332" t="s">
        <v>125</v>
      </c>
      <c r="BF332">
        <v>-0.66</v>
      </c>
      <c r="BG332">
        <v>-5.65</v>
      </c>
      <c r="BH332">
        <v>-7.97</v>
      </c>
      <c r="BI332">
        <v>0</v>
      </c>
      <c r="BJ332">
        <v>20210915</v>
      </c>
      <c r="BK332">
        <v>19980602</v>
      </c>
      <c r="BL332">
        <v>17</v>
      </c>
      <c r="BM332" t="s">
        <v>120</v>
      </c>
      <c r="BN332" t="s">
        <v>120</v>
      </c>
      <c r="BO332">
        <v>465.33</v>
      </c>
      <c r="BP332">
        <v>16.87</v>
      </c>
      <c r="BQ332">
        <v>87.5</v>
      </c>
      <c r="BR332">
        <v>39.909999999999997</v>
      </c>
      <c r="BS332">
        <v>72.62</v>
      </c>
      <c r="BT332">
        <v>267.16000000000003</v>
      </c>
      <c r="BU332">
        <v>153.61000000000001</v>
      </c>
      <c r="BV332">
        <v>16.82</v>
      </c>
      <c r="BW332">
        <v>207.49</v>
      </c>
      <c r="BX332">
        <v>21.38</v>
      </c>
      <c r="BY332">
        <v>151.22999999999999</v>
      </c>
      <c r="BZ332">
        <v>2.23</v>
      </c>
      <c r="CA332" t="s">
        <v>120</v>
      </c>
      <c r="CB332">
        <v>57.6</v>
      </c>
      <c r="CC332">
        <v>593.24</v>
      </c>
      <c r="CD332">
        <v>567.49</v>
      </c>
      <c r="CE332">
        <v>9.06</v>
      </c>
      <c r="CF332">
        <v>0.27</v>
      </c>
      <c r="CG332">
        <v>9.09</v>
      </c>
      <c r="CH332">
        <v>6.88</v>
      </c>
      <c r="CI332">
        <v>2.52</v>
      </c>
      <c r="CJ332">
        <v>-0.83</v>
      </c>
      <c r="CK332">
        <v>2.62</v>
      </c>
      <c r="CL332">
        <v>7.42</v>
      </c>
      <c r="CM332">
        <v>-17.8</v>
      </c>
      <c r="CN332">
        <v>1.32</v>
      </c>
      <c r="CO332">
        <v>131146</v>
      </c>
      <c r="CP332">
        <v>7659</v>
      </c>
      <c r="CQ332" t="s">
        <v>2274</v>
      </c>
      <c r="CR332">
        <v>-10.78</v>
      </c>
      <c r="CS332">
        <v>47.16</v>
      </c>
      <c r="CT332">
        <v>3.28</v>
      </c>
      <c r="CU332">
        <v>-16.100000000000001</v>
      </c>
      <c r="CV332">
        <v>0.48</v>
      </c>
      <c r="CW332">
        <v>0.56000000000000005</v>
      </c>
      <c r="CX332" t="s">
        <v>2275</v>
      </c>
      <c r="CY332">
        <v>5.15</v>
      </c>
      <c r="CZ332">
        <v>0</v>
      </c>
      <c r="DA332">
        <v>3.39</v>
      </c>
      <c r="DB332">
        <v>0.44</v>
      </c>
      <c r="DC332">
        <v>-1.05</v>
      </c>
      <c r="DD332">
        <v>18.8</v>
      </c>
      <c r="DE332" t="s">
        <v>2276</v>
      </c>
      <c r="DF332">
        <v>4.34</v>
      </c>
      <c r="DG332">
        <v>1.53</v>
      </c>
      <c r="DH332">
        <v>0.43</v>
      </c>
      <c r="DI332">
        <v>1</v>
      </c>
      <c r="DJ332">
        <v>11187</v>
      </c>
      <c r="DK332">
        <v>878</v>
      </c>
      <c r="DL332">
        <v>20210824</v>
      </c>
      <c r="DM332">
        <v>14.91</v>
      </c>
      <c r="DN332">
        <v>13.15</v>
      </c>
    </row>
    <row r="333" spans="1:118">
      <c r="A333" t="str">
        <f>"000880"</f>
        <v>000880</v>
      </c>
      <c r="B333" t="s">
        <v>2277</v>
      </c>
      <c r="C333">
        <v>0.12</v>
      </c>
      <c r="D333">
        <v>0</v>
      </c>
      <c r="E333">
        <v>0.71</v>
      </c>
      <c r="F333">
        <v>624</v>
      </c>
      <c r="G333" t="s">
        <v>2278</v>
      </c>
      <c r="H333">
        <v>3523.89</v>
      </c>
      <c r="I333">
        <v>17.98</v>
      </c>
      <c r="J333" t="s">
        <v>120</v>
      </c>
      <c r="K333" t="s">
        <v>2278</v>
      </c>
      <c r="L333">
        <v>2.57</v>
      </c>
      <c r="M333">
        <v>8.43</v>
      </c>
      <c r="N333">
        <v>1.28</v>
      </c>
      <c r="O333">
        <v>1.78</v>
      </c>
      <c r="P333">
        <v>8.57</v>
      </c>
      <c r="Q333">
        <v>-1.43</v>
      </c>
      <c r="R333">
        <v>8.3000000000000007</v>
      </c>
      <c r="S333">
        <v>8.48</v>
      </c>
      <c r="T333">
        <v>41598</v>
      </c>
      <c r="U333">
        <v>8.4499999999999993</v>
      </c>
      <c r="V333">
        <v>8.42</v>
      </c>
      <c r="W333">
        <v>17.87</v>
      </c>
      <c r="X333" t="s">
        <v>959</v>
      </c>
      <c r="Y333" t="s">
        <v>638</v>
      </c>
      <c r="Z333">
        <v>3.21</v>
      </c>
      <c r="AA333">
        <v>8.4700000000000006</v>
      </c>
      <c r="AB333">
        <v>21799</v>
      </c>
      <c r="AC333">
        <v>19799</v>
      </c>
      <c r="AD333">
        <v>1.1000000000000001</v>
      </c>
      <c r="AE333">
        <v>337</v>
      </c>
      <c r="AF333">
        <v>20</v>
      </c>
      <c r="AG333" t="s">
        <v>120</v>
      </c>
      <c r="AH333">
        <v>0.01</v>
      </c>
      <c r="AI333" t="s">
        <v>120</v>
      </c>
      <c r="AJ333">
        <v>1.62</v>
      </c>
      <c r="AK333" t="s">
        <v>2279</v>
      </c>
      <c r="AL333">
        <v>2.0299999999999998</v>
      </c>
      <c r="AM333">
        <v>1954</v>
      </c>
      <c r="AN333">
        <v>21</v>
      </c>
      <c r="AO333">
        <v>1.2999999999999999E-3</v>
      </c>
      <c r="AP333">
        <v>2</v>
      </c>
      <c r="AQ333">
        <v>3.06</v>
      </c>
      <c r="AR333">
        <v>-1.17</v>
      </c>
      <c r="AS333">
        <v>13.45</v>
      </c>
      <c r="AT333">
        <v>7.8</v>
      </c>
      <c r="AU333">
        <v>10.56</v>
      </c>
      <c r="AV333">
        <v>2</v>
      </c>
      <c r="AW333">
        <v>2.57</v>
      </c>
      <c r="AX333">
        <v>48.94</v>
      </c>
      <c r="AY333">
        <v>21.3</v>
      </c>
      <c r="AZ333">
        <v>25.43</v>
      </c>
      <c r="BA333">
        <v>0.42</v>
      </c>
      <c r="BB333" t="s">
        <v>184</v>
      </c>
      <c r="BF333">
        <v>0.61</v>
      </c>
      <c r="BG333">
        <v>-0.59</v>
      </c>
      <c r="BH333">
        <v>-1.63</v>
      </c>
      <c r="BI333">
        <v>1.57</v>
      </c>
      <c r="BJ333">
        <v>20210831</v>
      </c>
      <c r="BK333">
        <v>19980402</v>
      </c>
      <c r="BL333">
        <v>3.31</v>
      </c>
      <c r="BM333" t="s">
        <v>120</v>
      </c>
      <c r="BN333" t="s">
        <v>120</v>
      </c>
      <c r="BO333">
        <v>47.05</v>
      </c>
      <c r="BP333">
        <v>8.43</v>
      </c>
      <c r="BQ333">
        <v>16.3</v>
      </c>
      <c r="BR333" t="s">
        <v>120</v>
      </c>
      <c r="BS333">
        <v>65.349999999999994</v>
      </c>
      <c r="BT333">
        <v>26.04</v>
      </c>
      <c r="BU333">
        <v>10.25</v>
      </c>
      <c r="BV333">
        <v>1.87</v>
      </c>
      <c r="BW333">
        <v>27.24</v>
      </c>
      <c r="BX333">
        <v>14.4</v>
      </c>
      <c r="BY333">
        <v>4.3899999999999997</v>
      </c>
      <c r="BZ333">
        <v>2.9</v>
      </c>
      <c r="CA333" t="s">
        <v>120</v>
      </c>
      <c r="CB333">
        <v>5.6</v>
      </c>
      <c r="CC333">
        <v>18.7</v>
      </c>
      <c r="CD333">
        <v>15.9</v>
      </c>
      <c r="CE333">
        <v>0.92</v>
      </c>
      <c r="CF333">
        <v>0.42</v>
      </c>
      <c r="CG333">
        <v>0.92</v>
      </c>
      <c r="CH333">
        <v>0.78</v>
      </c>
      <c r="CI333">
        <v>0.78</v>
      </c>
      <c r="CJ333">
        <v>0.01</v>
      </c>
      <c r="CK333">
        <v>0.63</v>
      </c>
      <c r="CL333">
        <v>6.36</v>
      </c>
      <c r="CM333">
        <v>1.29</v>
      </c>
      <c r="CN333">
        <v>1.03</v>
      </c>
      <c r="CO333">
        <v>19057</v>
      </c>
      <c r="CP333">
        <v>8509</v>
      </c>
      <c r="CQ333" t="s">
        <v>1414</v>
      </c>
      <c r="CR333">
        <v>37.46</v>
      </c>
      <c r="CS333">
        <v>23.73</v>
      </c>
      <c r="CT333">
        <v>1.71</v>
      </c>
      <c r="CU333">
        <v>21.6</v>
      </c>
      <c r="CV333">
        <v>1.49</v>
      </c>
      <c r="CW333">
        <v>0.49</v>
      </c>
      <c r="CX333" t="s">
        <v>626</v>
      </c>
      <c r="CY333">
        <v>4.92</v>
      </c>
      <c r="CZ333">
        <v>0</v>
      </c>
      <c r="DA333">
        <v>1.69</v>
      </c>
      <c r="DB333">
        <v>1.92</v>
      </c>
      <c r="DC333">
        <v>0.39</v>
      </c>
      <c r="DD333">
        <v>34.65</v>
      </c>
      <c r="DE333" t="s">
        <v>1943</v>
      </c>
      <c r="DF333">
        <v>14.95</v>
      </c>
      <c r="DG333">
        <v>4.93</v>
      </c>
      <c r="DH333">
        <v>4.18</v>
      </c>
      <c r="DI333">
        <v>1.36</v>
      </c>
      <c r="DJ333">
        <v>2905</v>
      </c>
      <c r="DK333">
        <v>880</v>
      </c>
      <c r="DL333" t="s">
        <v>120</v>
      </c>
      <c r="DM333" t="s">
        <v>120</v>
      </c>
      <c r="DN333" t="s">
        <v>120</v>
      </c>
    </row>
    <row r="334" spans="1:118">
      <c r="A334" t="str">
        <f>"000881"</f>
        <v>000881</v>
      </c>
      <c r="B334" t="s">
        <v>2280</v>
      </c>
      <c r="C334">
        <v>0</v>
      </c>
      <c r="D334">
        <v>-0.08</v>
      </c>
      <c r="E334">
        <v>-0.66</v>
      </c>
      <c r="F334">
        <v>3395</v>
      </c>
      <c r="G334" t="s">
        <v>155</v>
      </c>
      <c r="H334">
        <v>29862.07</v>
      </c>
      <c r="I334">
        <v>130.94</v>
      </c>
      <c r="J334" t="s">
        <v>120</v>
      </c>
      <c r="K334" t="s">
        <v>2281</v>
      </c>
      <c r="L334">
        <v>3.85</v>
      </c>
      <c r="M334">
        <v>10.57</v>
      </c>
      <c r="N334">
        <v>1.63</v>
      </c>
      <c r="O334">
        <v>3.12</v>
      </c>
      <c r="P334">
        <v>10.9</v>
      </c>
      <c r="Q334">
        <v>-1.51</v>
      </c>
      <c r="R334">
        <v>10.41</v>
      </c>
      <c r="S334">
        <v>10.5</v>
      </c>
      <c r="T334">
        <v>280564</v>
      </c>
      <c r="U334">
        <v>10.57</v>
      </c>
      <c r="V334">
        <v>10.57</v>
      </c>
      <c r="W334">
        <v>38.61</v>
      </c>
      <c r="X334" t="s">
        <v>166</v>
      </c>
      <c r="Y334" t="s">
        <v>432</v>
      </c>
      <c r="Z334">
        <v>4.6399999999999997</v>
      </c>
      <c r="AA334">
        <v>10.64</v>
      </c>
      <c r="AB334">
        <v>135068</v>
      </c>
      <c r="AC334">
        <v>145496</v>
      </c>
      <c r="AD334">
        <v>0.93</v>
      </c>
      <c r="AE334">
        <v>375</v>
      </c>
      <c r="AF334">
        <v>80</v>
      </c>
      <c r="AG334" t="s">
        <v>120</v>
      </c>
      <c r="AH334">
        <v>0.03</v>
      </c>
      <c r="AI334" t="s">
        <v>120</v>
      </c>
      <c r="AJ334">
        <v>7.29</v>
      </c>
      <c r="AK334" t="s">
        <v>2282</v>
      </c>
      <c r="AL334">
        <v>1.91</v>
      </c>
      <c r="AM334">
        <v>3783</v>
      </c>
      <c r="AN334">
        <v>74</v>
      </c>
      <c r="AO334">
        <v>1E-3</v>
      </c>
      <c r="AP334">
        <v>0</v>
      </c>
      <c r="AQ334">
        <v>3.42</v>
      </c>
      <c r="AR334">
        <v>-0.56999999999999995</v>
      </c>
      <c r="AS334">
        <v>8.86</v>
      </c>
      <c r="AT334">
        <v>-2.2799999999999998</v>
      </c>
      <c r="AU334">
        <v>-3.62</v>
      </c>
      <c r="AV334">
        <v>4</v>
      </c>
      <c r="AW334">
        <v>7.58</v>
      </c>
      <c r="AX334">
        <v>39.17</v>
      </c>
      <c r="AY334">
        <v>49.6</v>
      </c>
      <c r="AZ334">
        <v>36.86</v>
      </c>
      <c r="BA334">
        <v>0.52</v>
      </c>
      <c r="BB334" t="s">
        <v>184</v>
      </c>
      <c r="BF334">
        <v>0.7</v>
      </c>
      <c r="BG334">
        <v>0.67</v>
      </c>
      <c r="BH334">
        <v>-3.03</v>
      </c>
      <c r="BI334">
        <v>1.54</v>
      </c>
      <c r="BJ334">
        <v>20210903</v>
      </c>
      <c r="BK334">
        <v>19980902</v>
      </c>
      <c r="BL334">
        <v>9.4499999999999993</v>
      </c>
      <c r="BM334" t="s">
        <v>120</v>
      </c>
      <c r="BN334" t="s">
        <v>120</v>
      </c>
      <c r="BO334">
        <v>127.79</v>
      </c>
      <c r="BP334">
        <v>10.56</v>
      </c>
      <c r="BQ334">
        <v>60.73</v>
      </c>
      <c r="BR334">
        <v>4.95</v>
      </c>
      <c r="BS334">
        <v>48.6</v>
      </c>
      <c r="BT334">
        <v>80.37</v>
      </c>
      <c r="BU334">
        <v>27.34</v>
      </c>
      <c r="BV334">
        <v>9.86</v>
      </c>
      <c r="BW334">
        <v>43.4</v>
      </c>
      <c r="BX334">
        <v>16.86</v>
      </c>
      <c r="BY334">
        <v>17.66</v>
      </c>
      <c r="BZ334">
        <v>23.67</v>
      </c>
      <c r="CA334" t="s">
        <v>120</v>
      </c>
      <c r="CB334">
        <v>32.229999999999997</v>
      </c>
      <c r="CC334">
        <v>33.340000000000003</v>
      </c>
      <c r="CD334">
        <v>26.11</v>
      </c>
      <c r="CE334">
        <v>2.2200000000000002</v>
      </c>
      <c r="CF334">
        <v>0.08</v>
      </c>
      <c r="CG334">
        <v>2.19</v>
      </c>
      <c r="CH334">
        <v>1.89</v>
      </c>
      <c r="CI334">
        <v>1.29</v>
      </c>
      <c r="CJ334">
        <v>0</v>
      </c>
      <c r="CK334">
        <v>0.49</v>
      </c>
      <c r="CL334">
        <v>18.190000000000001</v>
      </c>
      <c r="CM334">
        <v>-2.1</v>
      </c>
      <c r="CN334">
        <v>-1.46</v>
      </c>
      <c r="CO334">
        <v>37000</v>
      </c>
      <c r="CP334">
        <v>10010</v>
      </c>
      <c r="CQ334" t="s">
        <v>2283</v>
      </c>
      <c r="CR334">
        <v>-34.99</v>
      </c>
      <c r="CS334">
        <v>12.4</v>
      </c>
      <c r="CT334">
        <v>1.65</v>
      </c>
      <c r="CU334">
        <v>-47.49</v>
      </c>
      <c r="CV334">
        <v>3</v>
      </c>
      <c r="CW334">
        <v>0.31</v>
      </c>
      <c r="CX334" t="s">
        <v>2284</v>
      </c>
      <c r="CY334">
        <v>6.42</v>
      </c>
      <c r="CZ334">
        <v>0</v>
      </c>
      <c r="DA334">
        <v>3.41</v>
      </c>
      <c r="DB334">
        <v>1.92</v>
      </c>
      <c r="DC334">
        <v>-0.22</v>
      </c>
      <c r="DD334">
        <v>47.52</v>
      </c>
      <c r="DE334" t="s">
        <v>1786</v>
      </c>
      <c r="DF334">
        <v>21.68</v>
      </c>
      <c r="DG334">
        <v>6.67</v>
      </c>
      <c r="DH334">
        <v>3.88</v>
      </c>
      <c r="DI334">
        <v>1.0900000000000001</v>
      </c>
      <c r="DJ334">
        <v>4469</v>
      </c>
      <c r="DK334">
        <v>881</v>
      </c>
      <c r="DL334" t="s">
        <v>120</v>
      </c>
      <c r="DM334" t="s">
        <v>120</v>
      </c>
      <c r="DN334" t="s">
        <v>120</v>
      </c>
    </row>
    <row r="335" spans="1:118">
      <c r="A335" t="str">
        <f>"000882"</f>
        <v>000882</v>
      </c>
      <c r="B335" t="s">
        <v>2285</v>
      </c>
      <c r="C335">
        <v>-1.46</v>
      </c>
      <c r="D335">
        <v>-0.48</v>
      </c>
      <c r="E335">
        <v>0</v>
      </c>
      <c r="F335">
        <v>2357</v>
      </c>
      <c r="G335" t="s">
        <v>2286</v>
      </c>
      <c r="H335">
        <v>5156.92</v>
      </c>
      <c r="I335">
        <v>68.8</v>
      </c>
      <c r="J335" t="s">
        <v>120</v>
      </c>
      <c r="K335" t="s">
        <v>2287</v>
      </c>
      <c r="L335">
        <v>0.91</v>
      </c>
      <c r="M335">
        <v>2.0299999999999998</v>
      </c>
      <c r="N335">
        <v>0.67</v>
      </c>
      <c r="O335">
        <v>2.91</v>
      </c>
      <c r="P335">
        <v>2.12</v>
      </c>
      <c r="Q335">
        <v>-1.46</v>
      </c>
      <c r="R335">
        <v>2.0299999999999998</v>
      </c>
      <c r="S335">
        <v>2.06</v>
      </c>
      <c r="T335">
        <v>249023</v>
      </c>
      <c r="U335">
        <v>2.04</v>
      </c>
      <c r="V335">
        <v>2.06</v>
      </c>
      <c r="W335">
        <v>330.33</v>
      </c>
      <c r="X335" t="s">
        <v>221</v>
      </c>
      <c r="Y335" t="s">
        <v>158</v>
      </c>
      <c r="Z335">
        <v>4.37</v>
      </c>
      <c r="AA335">
        <v>2.0699999999999998</v>
      </c>
      <c r="AB335">
        <v>144904</v>
      </c>
      <c r="AC335">
        <v>104119</v>
      </c>
      <c r="AD335">
        <v>1.39</v>
      </c>
      <c r="AE335">
        <v>7542</v>
      </c>
      <c r="AF335">
        <v>3983</v>
      </c>
      <c r="AG335" t="s">
        <v>120</v>
      </c>
      <c r="AH335">
        <v>0.02</v>
      </c>
      <c r="AI335" t="s">
        <v>120</v>
      </c>
      <c r="AJ335">
        <v>27.37</v>
      </c>
      <c r="AK335" t="s">
        <v>2287</v>
      </c>
      <c r="AL335">
        <v>0.46</v>
      </c>
      <c r="AM335">
        <v>1774</v>
      </c>
      <c r="AN335">
        <v>140</v>
      </c>
      <c r="AO335">
        <v>5.0000000000000001E-4</v>
      </c>
      <c r="AP335">
        <v>-1</v>
      </c>
      <c r="AQ335">
        <v>0.49</v>
      </c>
      <c r="AR335">
        <v>-3.79</v>
      </c>
      <c r="AS335">
        <v>10.93</v>
      </c>
      <c r="AT335">
        <v>14.88</v>
      </c>
      <c r="AU335">
        <v>8.73</v>
      </c>
      <c r="AV335">
        <v>0</v>
      </c>
      <c r="AW335">
        <v>1.39</v>
      </c>
      <c r="AX335">
        <v>65.290000000000006</v>
      </c>
      <c r="AY335">
        <v>256.49</v>
      </c>
      <c r="AZ335">
        <v>245.46</v>
      </c>
      <c r="BA335">
        <v>0</v>
      </c>
      <c r="BB335" t="s">
        <v>184</v>
      </c>
      <c r="BF335">
        <v>0.53</v>
      </c>
      <c r="BG335">
        <v>-1.46</v>
      </c>
      <c r="BH335">
        <v>-4.25</v>
      </c>
      <c r="BI335">
        <v>0</v>
      </c>
      <c r="BJ335">
        <v>20210830</v>
      </c>
      <c r="BK335">
        <v>19980616</v>
      </c>
      <c r="BL335">
        <v>27.37</v>
      </c>
      <c r="BM335" t="s">
        <v>120</v>
      </c>
      <c r="BN335" t="s">
        <v>120</v>
      </c>
      <c r="BO335">
        <v>131.79</v>
      </c>
      <c r="BP335">
        <v>2.0299999999999998</v>
      </c>
      <c r="BQ335">
        <v>72.92</v>
      </c>
      <c r="BR335">
        <v>-0.33</v>
      </c>
      <c r="BS335">
        <v>44.92</v>
      </c>
      <c r="BT335">
        <v>23.56</v>
      </c>
      <c r="BU335">
        <v>0.33</v>
      </c>
      <c r="BV335">
        <v>4.43</v>
      </c>
      <c r="BW335">
        <v>22.84</v>
      </c>
      <c r="BX335">
        <v>7.74</v>
      </c>
      <c r="BY335">
        <v>7.8</v>
      </c>
      <c r="BZ335">
        <v>0.25</v>
      </c>
      <c r="CA335">
        <v>0.51</v>
      </c>
      <c r="CB335">
        <v>46.54</v>
      </c>
      <c r="CC335">
        <v>5.23</v>
      </c>
      <c r="CD335">
        <v>2.29</v>
      </c>
      <c r="CE335">
        <v>-0.06</v>
      </c>
      <c r="CF335">
        <v>0.64</v>
      </c>
      <c r="CG335">
        <v>0.04</v>
      </c>
      <c r="CH335">
        <v>0.09</v>
      </c>
      <c r="CI335">
        <v>0.08</v>
      </c>
      <c r="CJ335">
        <v>-0.03</v>
      </c>
      <c r="CK335">
        <v>-0.28000000000000003</v>
      </c>
      <c r="CL335">
        <v>-3.29</v>
      </c>
      <c r="CM335">
        <v>2.5</v>
      </c>
      <c r="CN335">
        <v>-3.04</v>
      </c>
      <c r="CO335">
        <v>101572</v>
      </c>
      <c r="CP335">
        <v>17596</v>
      </c>
      <c r="CQ335" t="s">
        <v>2224</v>
      </c>
      <c r="CR335">
        <v>-10.51</v>
      </c>
      <c r="CS335">
        <v>39.9</v>
      </c>
      <c r="CT335">
        <v>0.76</v>
      </c>
      <c r="CU335">
        <v>22.23</v>
      </c>
      <c r="CV335">
        <v>10.63</v>
      </c>
      <c r="CW335">
        <v>0.15</v>
      </c>
      <c r="CX335" t="s">
        <v>1097</v>
      </c>
      <c r="CY335">
        <v>2.66</v>
      </c>
      <c r="CZ335">
        <v>0</v>
      </c>
      <c r="DA335">
        <v>1.7</v>
      </c>
      <c r="DB335">
        <v>-0.12</v>
      </c>
      <c r="DC335">
        <v>0.09</v>
      </c>
      <c r="DD335">
        <v>55.33</v>
      </c>
      <c r="DE335" t="s">
        <v>2288</v>
      </c>
      <c r="DF335">
        <v>56.19</v>
      </c>
      <c r="DG335">
        <v>-1.2</v>
      </c>
      <c r="DH335">
        <v>1.61</v>
      </c>
      <c r="DI335" t="s">
        <v>120</v>
      </c>
      <c r="DJ335">
        <v>1192</v>
      </c>
      <c r="DK335">
        <v>882</v>
      </c>
      <c r="DL335" t="s">
        <v>120</v>
      </c>
      <c r="DM335" t="s">
        <v>120</v>
      </c>
      <c r="DN335" t="s">
        <v>120</v>
      </c>
    </row>
    <row r="336" spans="1:118">
      <c r="A336" t="str">
        <f>"000883"</f>
        <v>000883</v>
      </c>
      <c r="B336" t="s">
        <v>2289</v>
      </c>
      <c r="C336">
        <v>-1.55</v>
      </c>
      <c r="D336">
        <v>-0.19</v>
      </c>
      <c r="E336">
        <v>-0.19</v>
      </c>
      <c r="F336">
        <v>11642</v>
      </c>
      <c r="G336" t="s">
        <v>2290</v>
      </c>
      <c r="H336">
        <v>40752.42</v>
      </c>
      <c r="I336">
        <v>157.53</v>
      </c>
      <c r="J336" t="s">
        <v>120</v>
      </c>
      <c r="K336" t="s">
        <v>2291</v>
      </c>
      <c r="L336">
        <v>1.21</v>
      </c>
      <c r="M336">
        <v>5.09</v>
      </c>
      <c r="N336">
        <v>0.72</v>
      </c>
      <c r="O336">
        <v>2.9</v>
      </c>
      <c r="P336">
        <v>5.32</v>
      </c>
      <c r="Q336">
        <v>-1.74</v>
      </c>
      <c r="R336">
        <v>5.08</v>
      </c>
      <c r="S336">
        <v>5.16</v>
      </c>
      <c r="T336">
        <v>785858</v>
      </c>
      <c r="U336">
        <v>5.0999999999999996</v>
      </c>
      <c r="V336">
        <v>5.17</v>
      </c>
      <c r="W336">
        <v>10.119999999999999</v>
      </c>
      <c r="X336" t="s">
        <v>268</v>
      </c>
      <c r="Y336" t="s">
        <v>763</v>
      </c>
      <c r="Z336">
        <v>4.6399999999999997</v>
      </c>
      <c r="AA336">
        <v>5.19</v>
      </c>
      <c r="AB336">
        <v>389830</v>
      </c>
      <c r="AC336">
        <v>396028</v>
      </c>
      <c r="AD336">
        <v>0.98</v>
      </c>
      <c r="AE336">
        <v>3158</v>
      </c>
      <c r="AF336">
        <v>1779</v>
      </c>
      <c r="AG336" t="s">
        <v>120</v>
      </c>
      <c r="AH336">
        <v>0.02</v>
      </c>
      <c r="AI336" t="s">
        <v>120</v>
      </c>
      <c r="AJ336">
        <v>65.06</v>
      </c>
      <c r="AK336" t="s">
        <v>2292</v>
      </c>
      <c r="AL336">
        <v>0.37</v>
      </c>
      <c r="AM336">
        <v>4072</v>
      </c>
      <c r="AN336">
        <v>193</v>
      </c>
      <c r="AO336">
        <v>2.9999999999999997E-4</v>
      </c>
      <c r="AP336">
        <v>-1</v>
      </c>
      <c r="AQ336">
        <v>1.97</v>
      </c>
      <c r="AR336">
        <v>-2.86</v>
      </c>
      <c r="AS336">
        <v>18.920000000000002</v>
      </c>
      <c r="AT336">
        <v>8.76</v>
      </c>
      <c r="AU336">
        <v>35.369999999999997</v>
      </c>
      <c r="AV336">
        <v>6</v>
      </c>
      <c r="AW336">
        <v>4.26</v>
      </c>
      <c r="AX336">
        <v>28.36</v>
      </c>
      <c r="AY336">
        <v>11.84</v>
      </c>
      <c r="AZ336">
        <v>13.69</v>
      </c>
      <c r="BA336">
        <v>0.26</v>
      </c>
      <c r="BB336" t="s">
        <v>143</v>
      </c>
      <c r="BF336">
        <v>0.3</v>
      </c>
      <c r="BG336">
        <v>-1.36</v>
      </c>
      <c r="BH336">
        <v>-4.32</v>
      </c>
      <c r="BI336">
        <v>0.2</v>
      </c>
      <c r="BJ336">
        <v>20210827</v>
      </c>
      <c r="BK336">
        <v>19980519</v>
      </c>
      <c r="BL336">
        <v>65.069999999999993</v>
      </c>
      <c r="BM336" t="s">
        <v>120</v>
      </c>
      <c r="BN336" t="s">
        <v>120</v>
      </c>
      <c r="BO336">
        <v>661.42</v>
      </c>
      <c r="BP336">
        <v>5.09</v>
      </c>
      <c r="BQ336">
        <v>296.66000000000003</v>
      </c>
      <c r="BR336">
        <v>63.46</v>
      </c>
      <c r="BS336">
        <v>45.55</v>
      </c>
      <c r="BT336">
        <v>106.16</v>
      </c>
      <c r="BU336">
        <v>412.34</v>
      </c>
      <c r="BV336">
        <v>14.54</v>
      </c>
      <c r="BW336">
        <v>118.37</v>
      </c>
      <c r="BX336">
        <v>30.02</v>
      </c>
      <c r="BY336">
        <v>6.2</v>
      </c>
      <c r="BZ336">
        <v>34.42</v>
      </c>
      <c r="CA336">
        <v>0.02</v>
      </c>
      <c r="CB336">
        <v>105.82</v>
      </c>
      <c r="CC336">
        <v>105.11</v>
      </c>
      <c r="CD336">
        <v>80.16</v>
      </c>
      <c r="CE336">
        <v>21.29</v>
      </c>
      <c r="CF336">
        <v>2.3199999999999998</v>
      </c>
      <c r="CG336">
        <v>22.42</v>
      </c>
      <c r="CH336">
        <v>18.02</v>
      </c>
      <c r="CI336">
        <v>16.36</v>
      </c>
      <c r="CJ336">
        <v>-0.08</v>
      </c>
      <c r="CK336">
        <v>15.36</v>
      </c>
      <c r="CL336">
        <v>114.42</v>
      </c>
      <c r="CM336">
        <v>29.67</v>
      </c>
      <c r="CN336">
        <v>19.82</v>
      </c>
      <c r="CO336">
        <v>142482</v>
      </c>
      <c r="CP336">
        <v>12954</v>
      </c>
      <c r="CQ336" t="s">
        <v>418</v>
      </c>
      <c r="CR336">
        <v>30.8</v>
      </c>
      <c r="CS336">
        <v>32.14</v>
      </c>
      <c r="CT336">
        <v>1.1200000000000001</v>
      </c>
      <c r="CU336">
        <v>11.16</v>
      </c>
      <c r="CV336">
        <v>3.15</v>
      </c>
      <c r="CW336">
        <v>2.3199999999999998</v>
      </c>
      <c r="CX336" t="s">
        <v>863</v>
      </c>
      <c r="CY336">
        <v>4.5599999999999996</v>
      </c>
      <c r="CZ336">
        <v>0</v>
      </c>
      <c r="DA336">
        <v>1.63</v>
      </c>
      <c r="DB336">
        <v>1.76</v>
      </c>
      <c r="DC336">
        <v>0.46</v>
      </c>
      <c r="DD336">
        <v>44.85</v>
      </c>
      <c r="DE336" t="s">
        <v>2293</v>
      </c>
      <c r="DF336">
        <v>23.74</v>
      </c>
      <c r="DG336">
        <v>20.260000000000002</v>
      </c>
      <c r="DH336">
        <v>15.57</v>
      </c>
      <c r="DI336" t="s">
        <v>120</v>
      </c>
      <c r="DJ336">
        <v>4063</v>
      </c>
      <c r="DK336">
        <v>883</v>
      </c>
      <c r="DL336" t="s">
        <v>120</v>
      </c>
      <c r="DM336" t="s">
        <v>120</v>
      </c>
      <c r="DN336" t="s">
        <v>120</v>
      </c>
    </row>
    <row r="337" spans="1:118">
      <c r="A337" t="str">
        <f>"000885"</f>
        <v>000885</v>
      </c>
      <c r="B337" t="s">
        <v>2294</v>
      </c>
      <c r="C337">
        <v>-1.01</v>
      </c>
      <c r="D337">
        <v>0.1</v>
      </c>
      <c r="E337">
        <v>-0.4</v>
      </c>
      <c r="F337">
        <v>574</v>
      </c>
      <c r="G337" t="s">
        <v>2295</v>
      </c>
      <c r="H337">
        <v>9468.42</v>
      </c>
      <c r="I337">
        <v>12.31</v>
      </c>
      <c r="J337" t="s">
        <v>120</v>
      </c>
      <c r="K337" t="s">
        <v>2296</v>
      </c>
      <c r="L337">
        <v>1.49</v>
      </c>
      <c r="M337">
        <v>9.7899999999999991</v>
      </c>
      <c r="N337">
        <v>0.82</v>
      </c>
      <c r="O337">
        <v>1.92</v>
      </c>
      <c r="P337">
        <v>10.08</v>
      </c>
      <c r="Q337">
        <v>-1.21</v>
      </c>
      <c r="R337">
        <v>9.77</v>
      </c>
      <c r="S337">
        <v>9.85</v>
      </c>
      <c r="T337">
        <v>95372</v>
      </c>
      <c r="U337">
        <v>9.7899999999999991</v>
      </c>
      <c r="V337">
        <v>9.89</v>
      </c>
      <c r="W337">
        <v>6.73</v>
      </c>
      <c r="X337" t="s">
        <v>800</v>
      </c>
      <c r="Y337" t="s">
        <v>645</v>
      </c>
      <c r="Z337">
        <v>3.13</v>
      </c>
      <c r="AA337">
        <v>9.93</v>
      </c>
      <c r="AB337">
        <v>49649</v>
      </c>
      <c r="AC337">
        <v>45723</v>
      </c>
      <c r="AD337">
        <v>1.0900000000000001</v>
      </c>
      <c r="AE337">
        <v>416</v>
      </c>
      <c r="AF337">
        <v>464</v>
      </c>
      <c r="AG337" t="s">
        <v>120</v>
      </c>
      <c r="AH337">
        <v>0.01</v>
      </c>
      <c r="AI337" t="s">
        <v>120</v>
      </c>
      <c r="AJ337">
        <v>6.42</v>
      </c>
      <c r="AK337" t="s">
        <v>2296</v>
      </c>
      <c r="AL337">
        <v>0.9</v>
      </c>
      <c r="AM337">
        <v>2330</v>
      </c>
      <c r="AN337">
        <v>41</v>
      </c>
      <c r="AO337">
        <v>5.9999999999999995E-4</v>
      </c>
      <c r="AP337">
        <v>-3</v>
      </c>
      <c r="AQ337">
        <v>-0.3</v>
      </c>
      <c r="AR337">
        <v>-3.26</v>
      </c>
      <c r="AS337">
        <v>5.05</v>
      </c>
      <c r="AT337">
        <v>2.4700000000000002</v>
      </c>
      <c r="AU337">
        <v>-15.34</v>
      </c>
      <c r="AV337">
        <v>0</v>
      </c>
      <c r="AW337">
        <v>4.3899999999999997</v>
      </c>
      <c r="AX337">
        <v>33.81</v>
      </c>
      <c r="AY337">
        <v>6.05</v>
      </c>
      <c r="AZ337">
        <v>10.34</v>
      </c>
      <c r="BA337">
        <v>0.26</v>
      </c>
      <c r="BB337" t="s">
        <v>143</v>
      </c>
      <c r="BF337">
        <v>0.38</v>
      </c>
      <c r="BG337">
        <v>-0.61</v>
      </c>
      <c r="BH337">
        <v>-2.88</v>
      </c>
      <c r="BI337">
        <v>0.2</v>
      </c>
      <c r="BJ337">
        <v>20210910</v>
      </c>
      <c r="BK337">
        <v>19990319</v>
      </c>
      <c r="BL337">
        <v>6.42</v>
      </c>
      <c r="BM337" t="s">
        <v>120</v>
      </c>
      <c r="BN337" t="s">
        <v>120</v>
      </c>
      <c r="BO337">
        <v>162.61000000000001</v>
      </c>
      <c r="BP337">
        <v>9.7799999999999994</v>
      </c>
      <c r="BQ337">
        <v>51.03</v>
      </c>
      <c r="BR337">
        <v>6.29</v>
      </c>
      <c r="BS337">
        <v>64.75</v>
      </c>
      <c r="BT337">
        <v>40.1</v>
      </c>
      <c r="BU337">
        <v>55.84</v>
      </c>
      <c r="BV337">
        <v>22.4</v>
      </c>
      <c r="BW337">
        <v>40.68</v>
      </c>
      <c r="BX337">
        <v>20.07</v>
      </c>
      <c r="BY337">
        <v>0.23</v>
      </c>
      <c r="BZ337">
        <v>3.13</v>
      </c>
      <c r="CA337">
        <v>0.05</v>
      </c>
      <c r="CB337">
        <v>10.57</v>
      </c>
      <c r="CC337">
        <v>21.62</v>
      </c>
      <c r="CD337">
        <v>13.02</v>
      </c>
      <c r="CE337">
        <v>6.43</v>
      </c>
      <c r="CF337">
        <v>0.18</v>
      </c>
      <c r="CG337">
        <v>6.44</v>
      </c>
      <c r="CH337">
        <v>4.8499999999999996</v>
      </c>
      <c r="CI337">
        <v>4.67</v>
      </c>
      <c r="CJ337">
        <v>-0.1</v>
      </c>
      <c r="CK337">
        <v>4.51</v>
      </c>
      <c r="CL337">
        <v>28.51</v>
      </c>
      <c r="CM337">
        <v>5.98</v>
      </c>
      <c r="CN337">
        <v>1.5</v>
      </c>
      <c r="CO337">
        <v>28977</v>
      </c>
      <c r="CP337">
        <v>7492</v>
      </c>
      <c r="CQ337" t="s">
        <v>2003</v>
      </c>
      <c r="CR337">
        <v>1353.38</v>
      </c>
      <c r="CS337">
        <v>199.93</v>
      </c>
      <c r="CT337">
        <v>1.23</v>
      </c>
      <c r="CU337">
        <v>10.51</v>
      </c>
      <c r="CV337">
        <v>2.91</v>
      </c>
      <c r="CW337">
        <v>0.97</v>
      </c>
      <c r="CX337" t="s">
        <v>2297</v>
      </c>
      <c r="CY337">
        <v>7.95</v>
      </c>
      <c r="CZ337">
        <v>0</v>
      </c>
      <c r="DA337">
        <v>1.65</v>
      </c>
      <c r="DB337">
        <v>4.4400000000000004</v>
      </c>
      <c r="DC337">
        <v>0.93</v>
      </c>
      <c r="DD337">
        <v>31.38</v>
      </c>
      <c r="DE337" t="s">
        <v>352</v>
      </c>
      <c r="DF337">
        <v>39.799999999999997</v>
      </c>
      <c r="DG337">
        <v>29.76</v>
      </c>
      <c r="DH337">
        <v>21.61</v>
      </c>
      <c r="DI337">
        <v>0.01</v>
      </c>
      <c r="DJ337">
        <v>1943</v>
      </c>
      <c r="DK337">
        <v>885</v>
      </c>
      <c r="DL337" t="s">
        <v>120</v>
      </c>
      <c r="DM337" t="s">
        <v>120</v>
      </c>
      <c r="DN337" t="s">
        <v>120</v>
      </c>
    </row>
    <row r="338" spans="1:118">
      <c r="A338" t="str">
        <f>"000886"</f>
        <v>000886</v>
      </c>
      <c r="B338" t="s">
        <v>2298</v>
      </c>
      <c r="C338">
        <v>-1.84</v>
      </c>
      <c r="D338">
        <v>-0.22</v>
      </c>
      <c r="E338">
        <v>-0.46</v>
      </c>
      <c r="F338">
        <v>985</v>
      </c>
      <c r="G338" t="s">
        <v>2299</v>
      </c>
      <c r="H338">
        <v>3972.58</v>
      </c>
      <c r="I338">
        <v>1.86</v>
      </c>
      <c r="J338" t="s">
        <v>120</v>
      </c>
      <c r="K338" t="s">
        <v>1811</v>
      </c>
      <c r="L338">
        <v>0.94</v>
      </c>
      <c r="M338">
        <v>4.2699999999999996</v>
      </c>
      <c r="N338">
        <v>1.29</v>
      </c>
      <c r="O338">
        <v>2.0699999999999998</v>
      </c>
      <c r="P338">
        <v>4.4400000000000004</v>
      </c>
      <c r="Q338">
        <v>-1.84</v>
      </c>
      <c r="R338">
        <v>4.2699999999999996</v>
      </c>
      <c r="S338">
        <v>4.33</v>
      </c>
      <c r="T338">
        <v>91394</v>
      </c>
      <c r="U338">
        <v>4.28</v>
      </c>
      <c r="V338">
        <v>4.3499999999999996</v>
      </c>
      <c r="W338">
        <v>41.23</v>
      </c>
      <c r="X338" t="s">
        <v>800</v>
      </c>
      <c r="Y338" t="s">
        <v>835</v>
      </c>
      <c r="Z338">
        <v>3.91</v>
      </c>
      <c r="AA338">
        <v>4.3499999999999996</v>
      </c>
      <c r="AB338">
        <v>58201</v>
      </c>
      <c r="AC338">
        <v>33193</v>
      </c>
      <c r="AD338">
        <v>1.75</v>
      </c>
      <c r="AE338">
        <v>519</v>
      </c>
      <c r="AF338">
        <v>110</v>
      </c>
      <c r="AG338" t="s">
        <v>120</v>
      </c>
      <c r="AH338">
        <v>0</v>
      </c>
      <c r="AI338" t="s">
        <v>120</v>
      </c>
      <c r="AJ338">
        <v>9.74</v>
      </c>
      <c r="AK338" t="s">
        <v>2300</v>
      </c>
      <c r="AL338">
        <v>7.0000000000000007E-2</v>
      </c>
      <c r="AM338">
        <v>1340</v>
      </c>
      <c r="AN338">
        <v>68</v>
      </c>
      <c r="AO338">
        <v>6.9999999999999999E-4</v>
      </c>
      <c r="AP338">
        <v>-1</v>
      </c>
      <c r="AQ338">
        <v>0.69</v>
      </c>
      <c r="AR338">
        <v>-3.4</v>
      </c>
      <c r="AS338">
        <v>5.17</v>
      </c>
      <c r="AT338">
        <v>-5.32</v>
      </c>
      <c r="AU338">
        <v>-11.6</v>
      </c>
      <c r="AV338">
        <v>0</v>
      </c>
      <c r="AW338">
        <v>1.27</v>
      </c>
      <c r="AX338">
        <v>72.59</v>
      </c>
      <c r="AY338">
        <v>34.729999999999997</v>
      </c>
      <c r="AZ338">
        <v>46.37</v>
      </c>
      <c r="BA338">
        <v>0.27</v>
      </c>
      <c r="BB338" t="s">
        <v>143</v>
      </c>
      <c r="BF338">
        <v>-0.08</v>
      </c>
      <c r="BG338">
        <v>-1.39</v>
      </c>
      <c r="BH338">
        <v>-3.83</v>
      </c>
      <c r="BI338">
        <v>0</v>
      </c>
      <c r="BJ338">
        <v>20210908</v>
      </c>
      <c r="BK338">
        <v>19980123</v>
      </c>
      <c r="BL338">
        <v>9.89</v>
      </c>
      <c r="BM338" t="s">
        <v>120</v>
      </c>
      <c r="BN338" t="s">
        <v>120</v>
      </c>
      <c r="BO338">
        <v>32.22</v>
      </c>
      <c r="BP338">
        <v>4.2699999999999996</v>
      </c>
      <c r="BQ338">
        <v>28.27</v>
      </c>
      <c r="BR338" t="s">
        <v>120</v>
      </c>
      <c r="BS338">
        <v>12.28</v>
      </c>
      <c r="BT338">
        <v>20.16</v>
      </c>
      <c r="BU338">
        <v>0.81</v>
      </c>
      <c r="BV338">
        <v>0.92</v>
      </c>
      <c r="BW338">
        <v>3.49</v>
      </c>
      <c r="BX338">
        <v>8.59</v>
      </c>
      <c r="BY338">
        <v>4.0999999999999996</v>
      </c>
      <c r="BZ338">
        <v>0.08</v>
      </c>
      <c r="CA338">
        <v>0.01</v>
      </c>
      <c r="CB338">
        <v>9.58</v>
      </c>
      <c r="CC338">
        <v>0.33</v>
      </c>
      <c r="CD338">
        <v>0.13</v>
      </c>
      <c r="CE338">
        <v>0.73</v>
      </c>
      <c r="CF338">
        <v>0.81</v>
      </c>
      <c r="CG338">
        <v>0.7</v>
      </c>
      <c r="CH338">
        <v>0.51</v>
      </c>
      <c r="CI338">
        <v>0.51</v>
      </c>
      <c r="CJ338">
        <v>-0.08</v>
      </c>
      <c r="CK338">
        <v>-0.08</v>
      </c>
      <c r="CL338">
        <v>4.97</v>
      </c>
      <c r="CM338">
        <v>-0.88</v>
      </c>
      <c r="CN338">
        <v>-3.49</v>
      </c>
      <c r="CO338">
        <v>70852</v>
      </c>
      <c r="CP338">
        <v>10130</v>
      </c>
      <c r="CQ338" t="s">
        <v>2301</v>
      </c>
      <c r="CR338">
        <v>154.72</v>
      </c>
      <c r="CS338">
        <v>61.8</v>
      </c>
      <c r="CT338">
        <v>1.49</v>
      </c>
      <c r="CU338">
        <v>-48.16</v>
      </c>
      <c r="CV338">
        <v>126.37</v>
      </c>
      <c r="CW338">
        <v>1.1499999999999999</v>
      </c>
      <c r="CX338" t="s">
        <v>1248</v>
      </c>
      <c r="CY338">
        <v>2.86</v>
      </c>
      <c r="CZ338">
        <v>0</v>
      </c>
      <c r="DA338">
        <v>0.97</v>
      </c>
      <c r="DB338">
        <v>0.5</v>
      </c>
      <c r="DC338">
        <v>-0.09</v>
      </c>
      <c r="DD338">
        <v>87.72</v>
      </c>
      <c r="DE338" t="s">
        <v>2302</v>
      </c>
      <c r="DF338">
        <v>61.78</v>
      </c>
      <c r="DG338">
        <v>219.66</v>
      </c>
      <c r="DH338">
        <v>153.22999999999999</v>
      </c>
      <c r="DI338" t="s">
        <v>120</v>
      </c>
      <c r="DJ338">
        <v>499</v>
      </c>
      <c r="DK338">
        <v>886</v>
      </c>
      <c r="DL338" t="s">
        <v>120</v>
      </c>
      <c r="DM338" t="s">
        <v>120</v>
      </c>
      <c r="DN338" t="s">
        <v>120</v>
      </c>
    </row>
    <row r="339" spans="1:118">
      <c r="A339" t="str">
        <f>"000887"</f>
        <v>000887</v>
      </c>
      <c r="B339" t="s">
        <v>2303</v>
      </c>
      <c r="C339">
        <v>-4.6500000000000004</v>
      </c>
      <c r="D339">
        <v>-0.05</v>
      </c>
      <c r="E339">
        <v>-0.12</v>
      </c>
      <c r="F339">
        <v>4182</v>
      </c>
      <c r="G339" t="s">
        <v>2304</v>
      </c>
      <c r="H339">
        <v>60651.83</v>
      </c>
      <c r="I339">
        <v>134.44</v>
      </c>
      <c r="J339" t="s">
        <v>120</v>
      </c>
      <c r="K339" t="s">
        <v>2305</v>
      </c>
      <c r="L339">
        <v>2.94</v>
      </c>
      <c r="M339">
        <v>16.39</v>
      </c>
      <c r="N339">
        <v>1.46</v>
      </c>
      <c r="O339">
        <v>2.68</v>
      </c>
      <c r="P339">
        <v>17.649999999999999</v>
      </c>
      <c r="Q339">
        <v>-5.24</v>
      </c>
      <c r="R339">
        <v>16.29</v>
      </c>
      <c r="S339">
        <v>17.170000000000002</v>
      </c>
      <c r="T339">
        <v>358649</v>
      </c>
      <c r="U339">
        <v>16.399999999999999</v>
      </c>
      <c r="V339">
        <v>17.190000000000001</v>
      </c>
      <c r="W339">
        <v>16.920000000000002</v>
      </c>
      <c r="X339" t="s">
        <v>2306</v>
      </c>
      <c r="Y339" t="s">
        <v>570</v>
      </c>
      <c r="Z339">
        <v>7.91</v>
      </c>
      <c r="AA339">
        <v>16.91</v>
      </c>
      <c r="AB339">
        <v>197893</v>
      </c>
      <c r="AC339">
        <v>160756</v>
      </c>
      <c r="AD339">
        <v>1.23</v>
      </c>
      <c r="AE339">
        <v>194</v>
      </c>
      <c r="AF339">
        <v>334</v>
      </c>
      <c r="AG339" t="s">
        <v>120</v>
      </c>
      <c r="AH339">
        <v>0.01</v>
      </c>
      <c r="AI339" t="s">
        <v>120</v>
      </c>
      <c r="AJ339">
        <v>12.18</v>
      </c>
      <c r="AK339" t="s">
        <v>2307</v>
      </c>
      <c r="AL339">
        <v>-2.74</v>
      </c>
      <c r="AM339">
        <v>4604</v>
      </c>
      <c r="AN339">
        <v>78</v>
      </c>
      <c r="AO339">
        <v>5.9999999999999995E-4</v>
      </c>
      <c r="AP339">
        <v>-1</v>
      </c>
      <c r="AQ339">
        <v>1.42</v>
      </c>
      <c r="AR339">
        <v>-3.01</v>
      </c>
      <c r="AS339">
        <v>10.08</v>
      </c>
      <c r="AT339">
        <v>38.43</v>
      </c>
      <c r="AU339">
        <v>42.4</v>
      </c>
      <c r="AV339">
        <v>4</v>
      </c>
      <c r="AW339">
        <v>5.23</v>
      </c>
      <c r="AX339">
        <v>56.15</v>
      </c>
      <c r="AY339">
        <v>21.81</v>
      </c>
      <c r="AZ339">
        <v>42.61</v>
      </c>
      <c r="BA339">
        <v>1.19</v>
      </c>
      <c r="BB339" t="s">
        <v>143</v>
      </c>
      <c r="BF339">
        <v>-1.62</v>
      </c>
      <c r="BG339">
        <v>-4.54</v>
      </c>
      <c r="BH339">
        <v>-7.14</v>
      </c>
      <c r="BI339">
        <v>0.61</v>
      </c>
      <c r="BJ339">
        <v>20210831</v>
      </c>
      <c r="BK339">
        <v>19981203</v>
      </c>
      <c r="BL339">
        <v>12.21</v>
      </c>
      <c r="BM339" t="s">
        <v>120</v>
      </c>
      <c r="BN339" t="s">
        <v>120</v>
      </c>
      <c r="BO339">
        <v>187.84</v>
      </c>
      <c r="BP339">
        <v>16.39</v>
      </c>
      <c r="BQ339">
        <v>92.15</v>
      </c>
      <c r="BR339">
        <v>0.05</v>
      </c>
      <c r="BS339">
        <v>50.92</v>
      </c>
      <c r="BT339">
        <v>101.63</v>
      </c>
      <c r="BU339">
        <v>38.14</v>
      </c>
      <c r="BV339">
        <v>6.61</v>
      </c>
      <c r="BW339">
        <v>50.6</v>
      </c>
      <c r="BX339">
        <v>24.45</v>
      </c>
      <c r="BY339">
        <v>22.75</v>
      </c>
      <c r="BZ339">
        <v>27.54</v>
      </c>
      <c r="CA339" t="s">
        <v>120</v>
      </c>
      <c r="CB339">
        <v>23.18</v>
      </c>
      <c r="CC339">
        <v>63.83</v>
      </c>
      <c r="CD339">
        <v>48.11</v>
      </c>
      <c r="CE339">
        <v>7.13</v>
      </c>
      <c r="CF339">
        <v>1.5</v>
      </c>
      <c r="CG339">
        <v>7.14</v>
      </c>
      <c r="CH339">
        <v>5.86</v>
      </c>
      <c r="CI339">
        <v>5.91</v>
      </c>
      <c r="CJ339">
        <v>-0.8</v>
      </c>
      <c r="CK339">
        <v>4.4000000000000004</v>
      </c>
      <c r="CL339">
        <v>51.29</v>
      </c>
      <c r="CM339">
        <v>6.45</v>
      </c>
      <c r="CN339">
        <v>5.03</v>
      </c>
      <c r="CO339">
        <v>49144</v>
      </c>
      <c r="CP339">
        <v>13950</v>
      </c>
      <c r="CQ339" t="s">
        <v>2308</v>
      </c>
      <c r="CR339">
        <v>387.28</v>
      </c>
      <c r="CS339">
        <v>34.5</v>
      </c>
      <c r="CT339">
        <v>2.2200000000000002</v>
      </c>
      <c r="CU339">
        <v>31.03</v>
      </c>
      <c r="CV339">
        <v>3.13</v>
      </c>
      <c r="CW339">
        <v>1.1499999999999999</v>
      </c>
      <c r="CX339" t="s">
        <v>780</v>
      </c>
      <c r="CY339">
        <v>7.38</v>
      </c>
      <c r="CZ339">
        <v>7.38</v>
      </c>
      <c r="DA339">
        <v>1.9</v>
      </c>
      <c r="DB339">
        <v>4.2</v>
      </c>
      <c r="DC339">
        <v>0.53</v>
      </c>
      <c r="DD339">
        <v>49.06</v>
      </c>
      <c r="DE339" t="s">
        <v>1443</v>
      </c>
      <c r="DF339">
        <v>24.63</v>
      </c>
      <c r="DG339">
        <v>11.17</v>
      </c>
      <c r="DH339">
        <v>9.26</v>
      </c>
      <c r="DI339">
        <v>2.83</v>
      </c>
      <c r="DJ339">
        <v>19749</v>
      </c>
      <c r="DK339">
        <v>887</v>
      </c>
      <c r="DL339" t="s">
        <v>120</v>
      </c>
      <c r="DM339" t="s">
        <v>120</v>
      </c>
      <c r="DN339" t="s">
        <v>120</v>
      </c>
    </row>
    <row r="340" spans="1:118">
      <c r="A340" t="str">
        <f>"000888"</f>
        <v>000888</v>
      </c>
      <c r="B340" t="s">
        <v>2309</v>
      </c>
      <c r="C340">
        <v>2.62</v>
      </c>
      <c r="D340">
        <v>0.15</v>
      </c>
      <c r="E340">
        <v>0.31</v>
      </c>
      <c r="F340">
        <v>1763</v>
      </c>
      <c r="G340" t="s">
        <v>1859</v>
      </c>
      <c r="H340">
        <v>13354.63</v>
      </c>
      <c r="I340">
        <v>75.53</v>
      </c>
      <c r="J340" t="s">
        <v>120</v>
      </c>
      <c r="K340" t="s">
        <v>1150</v>
      </c>
      <c r="L340">
        <v>3.81</v>
      </c>
      <c r="M340">
        <v>6.65</v>
      </c>
      <c r="N340">
        <v>1.17</v>
      </c>
      <c r="O340">
        <v>4.9400000000000004</v>
      </c>
      <c r="P340">
        <v>6.8</v>
      </c>
      <c r="Q340">
        <v>0</v>
      </c>
      <c r="R340">
        <v>6.48</v>
      </c>
      <c r="S340">
        <v>6.5</v>
      </c>
      <c r="T340">
        <v>200931</v>
      </c>
      <c r="U340">
        <v>6.65</v>
      </c>
      <c r="V340">
        <v>6.48</v>
      </c>
      <c r="W340">
        <v>50.52</v>
      </c>
      <c r="X340" t="s">
        <v>489</v>
      </c>
      <c r="Y340" t="s">
        <v>578</v>
      </c>
      <c r="Z340">
        <v>4.9400000000000004</v>
      </c>
      <c r="AA340">
        <v>6.65</v>
      </c>
      <c r="AB340">
        <v>86764</v>
      </c>
      <c r="AC340">
        <v>114167</v>
      </c>
      <c r="AD340">
        <v>0.76</v>
      </c>
      <c r="AE340">
        <v>1068</v>
      </c>
      <c r="AF340">
        <v>404</v>
      </c>
      <c r="AG340" t="s">
        <v>120</v>
      </c>
      <c r="AH340">
        <v>0.04</v>
      </c>
      <c r="AI340" t="s">
        <v>120</v>
      </c>
      <c r="AJ340">
        <v>5.27</v>
      </c>
      <c r="AK340" t="s">
        <v>1150</v>
      </c>
      <c r="AL340">
        <v>4.54</v>
      </c>
      <c r="AM340">
        <v>2813</v>
      </c>
      <c r="AN340">
        <v>71</v>
      </c>
      <c r="AO340">
        <v>1.4E-3</v>
      </c>
      <c r="AP340">
        <v>1</v>
      </c>
      <c r="AQ340">
        <v>-0.46</v>
      </c>
      <c r="AR340">
        <v>2.94</v>
      </c>
      <c r="AS340">
        <v>11.2</v>
      </c>
      <c r="AT340">
        <v>4.8899999999999997</v>
      </c>
      <c r="AU340">
        <v>10.83</v>
      </c>
      <c r="AV340">
        <v>0</v>
      </c>
      <c r="AW340">
        <v>6.31</v>
      </c>
      <c r="AX340">
        <v>60.4</v>
      </c>
      <c r="AY340">
        <v>27.12</v>
      </c>
      <c r="AZ340" t="s">
        <v>120</v>
      </c>
      <c r="BA340">
        <v>0.26</v>
      </c>
      <c r="BB340" t="s">
        <v>240</v>
      </c>
      <c r="BF340">
        <v>2.57</v>
      </c>
      <c r="BG340">
        <v>2.31</v>
      </c>
      <c r="BH340">
        <v>-2.21</v>
      </c>
      <c r="BI340">
        <v>2.62</v>
      </c>
      <c r="BJ340">
        <v>20210813</v>
      </c>
      <c r="BK340">
        <v>19971021</v>
      </c>
      <c r="BL340">
        <v>5.27</v>
      </c>
      <c r="BM340" t="s">
        <v>120</v>
      </c>
      <c r="BN340" t="s">
        <v>120</v>
      </c>
      <c r="BO340">
        <v>35.14</v>
      </c>
      <c r="BP340">
        <v>6.64</v>
      </c>
      <c r="BQ340">
        <v>24.56</v>
      </c>
      <c r="BR340">
        <v>1.04</v>
      </c>
      <c r="BS340">
        <v>27.14</v>
      </c>
      <c r="BT340">
        <v>13.21</v>
      </c>
      <c r="BU340">
        <v>16.309999999999999</v>
      </c>
      <c r="BV340">
        <v>4.32</v>
      </c>
      <c r="BW340">
        <v>3.19</v>
      </c>
      <c r="BX340">
        <v>8.7100000000000009</v>
      </c>
      <c r="BY340">
        <v>0.36</v>
      </c>
      <c r="BZ340">
        <v>0.56999999999999995</v>
      </c>
      <c r="CA340">
        <v>0.21</v>
      </c>
      <c r="CB340">
        <v>4.05</v>
      </c>
      <c r="CC340">
        <v>3.46</v>
      </c>
      <c r="CD340">
        <v>2.12</v>
      </c>
      <c r="CE340">
        <v>0.24</v>
      </c>
      <c r="CF340">
        <v>-0.01</v>
      </c>
      <c r="CG340">
        <v>0.23</v>
      </c>
      <c r="CH340">
        <v>0.13</v>
      </c>
      <c r="CI340">
        <v>0.35</v>
      </c>
      <c r="CJ340">
        <v>0.17</v>
      </c>
      <c r="CK340">
        <v>0.33</v>
      </c>
      <c r="CL340">
        <v>12.88</v>
      </c>
      <c r="CM340">
        <v>0.68</v>
      </c>
      <c r="CN340">
        <v>-0.26</v>
      </c>
      <c r="CO340">
        <v>38307</v>
      </c>
      <c r="CP340">
        <v>8308</v>
      </c>
      <c r="CQ340" t="s">
        <v>2310</v>
      </c>
      <c r="CR340">
        <v>126.73</v>
      </c>
      <c r="CS340">
        <v>112.99</v>
      </c>
      <c r="CT340">
        <v>1.43</v>
      </c>
      <c r="CU340">
        <v>51.19</v>
      </c>
      <c r="CV340">
        <v>10.130000000000001</v>
      </c>
      <c r="CW340">
        <v>0</v>
      </c>
      <c r="CX340" t="s">
        <v>2311</v>
      </c>
      <c r="CY340">
        <v>4.66</v>
      </c>
      <c r="CZ340">
        <v>0</v>
      </c>
      <c r="DA340">
        <v>0.77</v>
      </c>
      <c r="DB340">
        <v>2.4500000000000002</v>
      </c>
      <c r="DC340">
        <v>0.13</v>
      </c>
      <c r="DD340">
        <v>69.91</v>
      </c>
      <c r="DE340" t="s">
        <v>2092</v>
      </c>
      <c r="DF340">
        <v>38.68</v>
      </c>
      <c r="DG340">
        <v>6.81</v>
      </c>
      <c r="DH340">
        <v>10.029999999999999</v>
      </c>
      <c r="DI340" t="s">
        <v>120</v>
      </c>
      <c r="DJ340">
        <v>2040</v>
      </c>
      <c r="DK340">
        <v>888</v>
      </c>
      <c r="DL340" t="s">
        <v>120</v>
      </c>
      <c r="DM340" t="s">
        <v>120</v>
      </c>
      <c r="DN340" t="s">
        <v>120</v>
      </c>
    </row>
    <row r="341" spans="1:118">
      <c r="A341" t="str">
        <f>"000889"</f>
        <v>000889</v>
      </c>
      <c r="B341" t="s">
        <v>2312</v>
      </c>
      <c r="C341">
        <v>-2.71</v>
      </c>
      <c r="D341">
        <v>-0.3</v>
      </c>
      <c r="E341">
        <v>0.9</v>
      </c>
      <c r="F341">
        <v>2930</v>
      </c>
      <c r="G341" t="s">
        <v>2313</v>
      </c>
      <c r="H341">
        <v>5249.58</v>
      </c>
      <c r="I341">
        <v>26.67</v>
      </c>
      <c r="J341" t="s">
        <v>120</v>
      </c>
      <c r="K341" t="s">
        <v>2314</v>
      </c>
      <c r="L341">
        <v>1.84</v>
      </c>
      <c r="M341">
        <v>3.23</v>
      </c>
      <c r="N341">
        <v>1.08</v>
      </c>
      <c r="O341">
        <v>0.9</v>
      </c>
      <c r="P341">
        <v>3.35</v>
      </c>
      <c r="Q341">
        <v>-3.01</v>
      </c>
      <c r="R341">
        <v>3.22</v>
      </c>
      <c r="S341">
        <v>3.35</v>
      </c>
      <c r="T341">
        <v>159977</v>
      </c>
      <c r="U341">
        <v>3.24</v>
      </c>
      <c r="V341">
        <v>3.32</v>
      </c>
      <c r="W341" t="s">
        <v>120</v>
      </c>
      <c r="X341" t="s">
        <v>462</v>
      </c>
      <c r="Y341" t="s">
        <v>602</v>
      </c>
      <c r="Z341">
        <v>3.92</v>
      </c>
      <c r="AA341">
        <v>3.28</v>
      </c>
      <c r="AB341">
        <v>96627</v>
      </c>
      <c r="AC341">
        <v>63350</v>
      </c>
      <c r="AD341">
        <v>1.53</v>
      </c>
      <c r="AE341">
        <v>3221</v>
      </c>
      <c r="AF341">
        <v>1457</v>
      </c>
      <c r="AG341" t="s">
        <v>120</v>
      </c>
      <c r="AH341">
        <v>0.02</v>
      </c>
      <c r="AI341" t="s">
        <v>120</v>
      </c>
      <c r="AJ341">
        <v>8.6999999999999993</v>
      </c>
      <c r="AK341" t="s">
        <v>2315</v>
      </c>
      <c r="AL341">
        <v>-0.8</v>
      </c>
      <c r="AM341">
        <v>1825</v>
      </c>
      <c r="AN341">
        <v>88</v>
      </c>
      <c r="AO341">
        <v>1E-3</v>
      </c>
      <c r="AP341">
        <v>-1</v>
      </c>
      <c r="AQ341">
        <v>0.3</v>
      </c>
      <c r="AR341">
        <v>-4.4400000000000004</v>
      </c>
      <c r="AS341">
        <v>-4.4400000000000004</v>
      </c>
      <c r="AT341">
        <v>-21.22</v>
      </c>
      <c r="AU341">
        <v>-38.82</v>
      </c>
      <c r="AV341">
        <v>3</v>
      </c>
      <c r="AW341">
        <v>3.16</v>
      </c>
      <c r="AX341">
        <v>54.14</v>
      </c>
      <c r="AY341" t="s">
        <v>120</v>
      </c>
      <c r="AZ341">
        <v>154.13999999999999</v>
      </c>
      <c r="BA341">
        <v>0.57999999999999996</v>
      </c>
      <c r="BB341" t="s">
        <v>143</v>
      </c>
      <c r="BF341">
        <v>-1.1599999999999999</v>
      </c>
      <c r="BG341">
        <v>-3.58</v>
      </c>
      <c r="BH341">
        <v>-3.58</v>
      </c>
      <c r="BI341">
        <v>0.31</v>
      </c>
      <c r="BJ341">
        <v>20210827</v>
      </c>
      <c r="BK341">
        <v>19971218</v>
      </c>
      <c r="BL341">
        <v>9.36</v>
      </c>
      <c r="BM341" t="s">
        <v>120</v>
      </c>
      <c r="BN341" t="s">
        <v>120</v>
      </c>
      <c r="BO341">
        <v>35.08</v>
      </c>
      <c r="BP341">
        <v>3.23</v>
      </c>
      <c r="BQ341">
        <v>23.08</v>
      </c>
      <c r="BR341">
        <v>0.01</v>
      </c>
      <c r="BS341">
        <v>34.18</v>
      </c>
      <c r="BT341">
        <v>15.6</v>
      </c>
      <c r="BU341">
        <v>0.74</v>
      </c>
      <c r="BV341">
        <v>0.5</v>
      </c>
      <c r="BW341">
        <v>11.78</v>
      </c>
      <c r="BX341">
        <v>2.87</v>
      </c>
      <c r="BY341">
        <v>0.48</v>
      </c>
      <c r="BZ341">
        <v>9.8800000000000008</v>
      </c>
      <c r="CA341" t="s">
        <v>120</v>
      </c>
      <c r="CB341">
        <v>15.02</v>
      </c>
      <c r="CC341">
        <v>11.29</v>
      </c>
      <c r="CD341">
        <v>10.36</v>
      </c>
      <c r="CE341">
        <v>-0.28999999999999998</v>
      </c>
      <c r="CF341">
        <v>0.01</v>
      </c>
      <c r="CG341">
        <v>-0.28999999999999998</v>
      </c>
      <c r="CH341">
        <v>-0.35</v>
      </c>
      <c r="CI341">
        <v>-0.35</v>
      </c>
      <c r="CJ341">
        <v>-0.09</v>
      </c>
      <c r="CK341">
        <v>-0.46</v>
      </c>
      <c r="CL341">
        <v>-2.2000000000000002</v>
      </c>
      <c r="CM341">
        <v>-3.45</v>
      </c>
      <c r="CN341">
        <v>-4.51</v>
      </c>
      <c r="CO341">
        <v>45079</v>
      </c>
      <c r="CP341">
        <v>11246</v>
      </c>
      <c r="CQ341" t="s">
        <v>2316</v>
      </c>
      <c r="CR341">
        <v>-371.81</v>
      </c>
      <c r="CS341">
        <v>0.78</v>
      </c>
      <c r="CT341">
        <v>1.31</v>
      </c>
      <c r="CU341">
        <v>-8.7799999999999994</v>
      </c>
      <c r="CV341">
        <v>2.68</v>
      </c>
      <c r="CW341">
        <v>0</v>
      </c>
      <c r="CX341" t="s">
        <v>2317</v>
      </c>
      <c r="CY341">
        <v>2.46</v>
      </c>
      <c r="CZ341">
        <v>0</v>
      </c>
      <c r="DA341">
        <v>1.6</v>
      </c>
      <c r="DB341">
        <v>-0.24</v>
      </c>
      <c r="DC341">
        <v>-0.37</v>
      </c>
      <c r="DD341">
        <v>65.790000000000006</v>
      </c>
      <c r="DE341" t="s">
        <v>2318</v>
      </c>
      <c r="DF341">
        <v>8.23</v>
      </c>
      <c r="DG341">
        <v>-2.5499999999999998</v>
      </c>
      <c r="DH341">
        <v>-3.09</v>
      </c>
      <c r="DI341">
        <v>0.39</v>
      </c>
      <c r="DJ341">
        <v>4613</v>
      </c>
      <c r="DK341">
        <v>889</v>
      </c>
      <c r="DL341" t="s">
        <v>120</v>
      </c>
      <c r="DM341" t="s">
        <v>120</v>
      </c>
      <c r="DN341" t="s">
        <v>120</v>
      </c>
    </row>
    <row r="342" spans="1:118">
      <c r="A342" t="str">
        <f>"000890"</f>
        <v>000890</v>
      </c>
      <c r="B342" t="s">
        <v>2319</v>
      </c>
      <c r="C342">
        <v>-0.2</v>
      </c>
      <c r="D342">
        <v>0.2</v>
      </c>
      <c r="E342">
        <v>1.4</v>
      </c>
      <c r="F342">
        <v>53</v>
      </c>
      <c r="G342" t="s">
        <v>1810</v>
      </c>
      <c r="H342">
        <v>1296.3699999999999</v>
      </c>
      <c r="I342">
        <v>9.06</v>
      </c>
      <c r="J342" t="s">
        <v>120</v>
      </c>
      <c r="K342" t="s">
        <v>2320</v>
      </c>
      <c r="L342">
        <v>0.68</v>
      </c>
      <c r="M342">
        <v>4.9800000000000004</v>
      </c>
      <c r="N342">
        <v>1.23</v>
      </c>
      <c r="O342">
        <v>2.81</v>
      </c>
      <c r="P342">
        <v>5.13</v>
      </c>
      <c r="Q342">
        <v>-0.4</v>
      </c>
      <c r="R342">
        <v>4.97</v>
      </c>
      <c r="S342">
        <v>5.0599999999999996</v>
      </c>
      <c r="T342">
        <v>25760</v>
      </c>
      <c r="U342">
        <v>4.9800000000000004</v>
      </c>
      <c r="V342">
        <v>4.99</v>
      </c>
      <c r="W342" t="s">
        <v>120</v>
      </c>
      <c r="X342" t="s">
        <v>1925</v>
      </c>
      <c r="Y342" t="s">
        <v>319</v>
      </c>
      <c r="Z342">
        <v>3.21</v>
      </c>
      <c r="AA342">
        <v>5.03</v>
      </c>
      <c r="AB342">
        <v>14899</v>
      </c>
      <c r="AC342">
        <v>10861</v>
      </c>
      <c r="AD342">
        <v>1.37</v>
      </c>
      <c r="AE342">
        <v>252</v>
      </c>
      <c r="AF342">
        <v>211</v>
      </c>
      <c r="AG342" t="s">
        <v>120</v>
      </c>
      <c r="AH342">
        <v>0.01</v>
      </c>
      <c r="AI342" t="s">
        <v>120</v>
      </c>
      <c r="AJ342">
        <v>3.8</v>
      </c>
      <c r="AK342" t="s">
        <v>369</v>
      </c>
      <c r="AL342">
        <v>1.71</v>
      </c>
      <c r="AM342">
        <v>817</v>
      </c>
      <c r="AN342">
        <v>32</v>
      </c>
      <c r="AO342">
        <v>8.0000000000000004E-4</v>
      </c>
      <c r="AP342">
        <v>-3</v>
      </c>
      <c r="AQ342">
        <v>-0.99</v>
      </c>
      <c r="AR342">
        <v>-2.73</v>
      </c>
      <c r="AS342">
        <v>-1.78</v>
      </c>
      <c r="AT342">
        <v>-20.7</v>
      </c>
      <c r="AU342">
        <v>74.739999999999995</v>
      </c>
      <c r="AV342">
        <v>25</v>
      </c>
      <c r="AW342">
        <v>1.07</v>
      </c>
      <c r="AX342">
        <v>57.6</v>
      </c>
      <c r="AY342" t="s">
        <v>120</v>
      </c>
      <c r="AZ342">
        <v>131.19999999999999</v>
      </c>
      <c r="BA342">
        <v>0.54</v>
      </c>
      <c r="BB342" t="s">
        <v>143</v>
      </c>
      <c r="BF342">
        <v>0.85</v>
      </c>
      <c r="BG342">
        <v>-1.58</v>
      </c>
      <c r="BH342">
        <v>-2.92</v>
      </c>
      <c r="BI342">
        <v>0.2</v>
      </c>
      <c r="BJ342">
        <v>20210915</v>
      </c>
      <c r="BK342">
        <v>19990119</v>
      </c>
      <c r="BL342">
        <v>4.2</v>
      </c>
      <c r="BM342" t="s">
        <v>120</v>
      </c>
      <c r="BN342" t="s">
        <v>120</v>
      </c>
      <c r="BO342">
        <v>20.62</v>
      </c>
      <c r="BP342">
        <v>4.97</v>
      </c>
      <c r="BQ342">
        <v>0</v>
      </c>
      <c r="BR342">
        <v>1.45</v>
      </c>
      <c r="BS342">
        <v>92.97</v>
      </c>
      <c r="BT342">
        <v>8.5</v>
      </c>
      <c r="BU342">
        <v>4.4800000000000004</v>
      </c>
      <c r="BV342">
        <v>1.45</v>
      </c>
      <c r="BW342">
        <v>16.91</v>
      </c>
      <c r="BX342">
        <v>2.75</v>
      </c>
      <c r="BY342">
        <v>2.41</v>
      </c>
      <c r="BZ342">
        <v>2.39</v>
      </c>
      <c r="CA342" t="s">
        <v>120</v>
      </c>
      <c r="CB342">
        <v>1.54</v>
      </c>
      <c r="CC342">
        <v>2.23</v>
      </c>
      <c r="CD342">
        <v>2.17</v>
      </c>
      <c r="CE342">
        <v>-0.16</v>
      </c>
      <c r="CF342">
        <v>0.06</v>
      </c>
      <c r="CG342">
        <v>-0.16</v>
      </c>
      <c r="CH342">
        <v>-0.16</v>
      </c>
      <c r="CI342">
        <v>-0.16</v>
      </c>
      <c r="CJ342">
        <v>-0.01</v>
      </c>
      <c r="CK342">
        <v>-0.2</v>
      </c>
      <c r="CL342">
        <v>-6.55</v>
      </c>
      <c r="CM342">
        <v>-0.64</v>
      </c>
      <c r="CN342">
        <v>-0.76</v>
      </c>
      <c r="CO342">
        <v>23135</v>
      </c>
      <c r="CP342">
        <v>10445</v>
      </c>
      <c r="CQ342" t="s">
        <v>2321</v>
      </c>
      <c r="CR342">
        <v>-254.61</v>
      </c>
      <c r="CS342">
        <v>-9.6199999999999992</v>
      </c>
      <c r="CT342">
        <v>8844.75</v>
      </c>
      <c r="CU342">
        <v>-32.840000000000003</v>
      </c>
      <c r="CV342">
        <v>9.36</v>
      </c>
      <c r="CW342">
        <v>0</v>
      </c>
      <c r="CX342" t="s">
        <v>1255</v>
      </c>
      <c r="CY342">
        <v>0</v>
      </c>
      <c r="CZ342">
        <v>0</v>
      </c>
      <c r="DA342">
        <v>0.37</v>
      </c>
      <c r="DB342">
        <v>-1.56</v>
      </c>
      <c r="DC342">
        <v>-0.15</v>
      </c>
      <c r="DD342">
        <v>0.01</v>
      </c>
      <c r="DE342" t="s">
        <v>2322</v>
      </c>
      <c r="DF342">
        <v>2.68</v>
      </c>
      <c r="DG342">
        <v>-7.35</v>
      </c>
      <c r="DH342">
        <v>-7.34</v>
      </c>
      <c r="DI342" t="s">
        <v>120</v>
      </c>
      <c r="DJ342">
        <v>348</v>
      </c>
      <c r="DK342">
        <v>890</v>
      </c>
      <c r="DL342" t="s">
        <v>120</v>
      </c>
      <c r="DM342" t="s">
        <v>120</v>
      </c>
      <c r="DN342" t="s">
        <v>120</v>
      </c>
    </row>
    <row r="343" spans="1:118">
      <c r="A343" t="str">
        <f>"000892"</f>
        <v>000892</v>
      </c>
      <c r="B343" t="s">
        <v>2323</v>
      </c>
      <c r="C343">
        <v>-2.72</v>
      </c>
      <c r="D343">
        <v>-0.34</v>
      </c>
      <c r="E343">
        <v>0.34</v>
      </c>
      <c r="F343">
        <v>3471</v>
      </c>
      <c r="G343" t="s">
        <v>2324</v>
      </c>
      <c r="H343">
        <v>2284.98</v>
      </c>
      <c r="I343">
        <v>19.88</v>
      </c>
      <c r="J343" t="s">
        <v>120</v>
      </c>
      <c r="K343" t="s">
        <v>1354</v>
      </c>
      <c r="L343">
        <v>1.46</v>
      </c>
      <c r="M343">
        <v>2.86</v>
      </c>
      <c r="N343">
        <v>0.79</v>
      </c>
      <c r="O343">
        <v>1.36</v>
      </c>
      <c r="P343">
        <v>2.98</v>
      </c>
      <c r="Q343">
        <v>-2.72</v>
      </c>
      <c r="R343">
        <v>2.86</v>
      </c>
      <c r="S343">
        <v>2.95</v>
      </c>
      <c r="T343">
        <v>78321</v>
      </c>
      <c r="U343">
        <v>2.87</v>
      </c>
      <c r="V343">
        <v>2.94</v>
      </c>
      <c r="W343">
        <v>123.59</v>
      </c>
      <c r="X343" t="s">
        <v>584</v>
      </c>
      <c r="Y343" t="s">
        <v>883</v>
      </c>
      <c r="Z343">
        <v>4.08</v>
      </c>
      <c r="AA343">
        <v>2.92</v>
      </c>
      <c r="AB343">
        <v>49134</v>
      </c>
      <c r="AC343">
        <v>29187</v>
      </c>
      <c r="AD343">
        <v>1.68</v>
      </c>
      <c r="AE343">
        <v>209</v>
      </c>
      <c r="AF343">
        <v>175</v>
      </c>
      <c r="AG343" t="s">
        <v>120</v>
      </c>
      <c r="AH343">
        <v>0.01</v>
      </c>
      <c r="AI343" t="s">
        <v>120</v>
      </c>
      <c r="AJ343">
        <v>5.35</v>
      </c>
      <c r="AK343" t="s">
        <v>2325</v>
      </c>
      <c r="AL343">
        <v>-0.81</v>
      </c>
      <c r="AM343">
        <v>1460</v>
      </c>
      <c r="AN343">
        <v>54</v>
      </c>
      <c r="AO343">
        <v>1E-3</v>
      </c>
      <c r="AP343">
        <v>-1</v>
      </c>
      <c r="AQ343">
        <v>0.68</v>
      </c>
      <c r="AR343">
        <v>-4.3499999999999996</v>
      </c>
      <c r="AS343">
        <v>7.11</v>
      </c>
      <c r="AT343">
        <v>-4.99</v>
      </c>
      <c r="AU343">
        <v>9.57</v>
      </c>
      <c r="AV343">
        <v>9</v>
      </c>
      <c r="AW343">
        <v>1.61</v>
      </c>
      <c r="AX343">
        <v>49.58</v>
      </c>
      <c r="AY343" t="s">
        <v>120</v>
      </c>
      <c r="AZ343" t="s">
        <v>120</v>
      </c>
      <c r="BA343">
        <v>0.41</v>
      </c>
      <c r="BB343" t="s">
        <v>143</v>
      </c>
      <c r="BF343">
        <v>-0.77</v>
      </c>
      <c r="BG343">
        <v>-3.05</v>
      </c>
      <c r="BH343">
        <v>-4.03</v>
      </c>
      <c r="BI343">
        <v>0</v>
      </c>
      <c r="BJ343">
        <v>20210913</v>
      </c>
      <c r="BK343">
        <v>19990115</v>
      </c>
      <c r="BL343">
        <v>9.81</v>
      </c>
      <c r="BM343" t="s">
        <v>120</v>
      </c>
      <c r="BN343" t="s">
        <v>120</v>
      </c>
      <c r="BO343">
        <v>28.7</v>
      </c>
      <c r="BP343">
        <v>2.86</v>
      </c>
      <c r="BQ343">
        <v>18.809999999999999</v>
      </c>
      <c r="BR343">
        <v>-0.01</v>
      </c>
      <c r="BS343">
        <v>34.51</v>
      </c>
      <c r="BT343">
        <v>25.7</v>
      </c>
      <c r="BU343">
        <v>0.28999999999999998</v>
      </c>
      <c r="BV343">
        <v>0.02</v>
      </c>
      <c r="BW343">
        <v>9.11</v>
      </c>
      <c r="BX343">
        <v>7.19</v>
      </c>
      <c r="BY343">
        <v>13.16</v>
      </c>
      <c r="BZ343">
        <v>1.55</v>
      </c>
      <c r="CA343">
        <v>0.83</v>
      </c>
      <c r="CB343">
        <v>11.33</v>
      </c>
      <c r="CC343">
        <v>0.62</v>
      </c>
      <c r="CD343">
        <v>0.22</v>
      </c>
      <c r="CE343">
        <v>0.1</v>
      </c>
      <c r="CF343">
        <v>0</v>
      </c>
      <c r="CG343">
        <v>0.11</v>
      </c>
      <c r="CH343">
        <v>0.11</v>
      </c>
      <c r="CI343">
        <v>0.11</v>
      </c>
      <c r="CJ343">
        <v>-0.08</v>
      </c>
      <c r="CK343">
        <v>0.1</v>
      </c>
      <c r="CL343">
        <v>-2.64</v>
      </c>
      <c r="CM343">
        <v>-0.56000000000000005</v>
      </c>
      <c r="CN343">
        <v>-0.89</v>
      </c>
      <c r="CO343">
        <v>27899</v>
      </c>
      <c r="CP343">
        <v>17434</v>
      </c>
      <c r="CQ343" t="s">
        <v>2326</v>
      </c>
      <c r="CR343">
        <v>109.21</v>
      </c>
      <c r="CS343">
        <v>143.29</v>
      </c>
      <c r="CT343">
        <v>1.49</v>
      </c>
      <c r="CU343">
        <v>-50.27</v>
      </c>
      <c r="CV343">
        <v>45.51</v>
      </c>
      <c r="CW343">
        <v>0</v>
      </c>
      <c r="CX343" t="s">
        <v>2327</v>
      </c>
      <c r="CY343">
        <v>1.92</v>
      </c>
      <c r="CZ343">
        <v>0</v>
      </c>
      <c r="DA343">
        <v>1.1499999999999999</v>
      </c>
      <c r="DB343">
        <v>-0.27</v>
      </c>
      <c r="DC343">
        <v>-0.06</v>
      </c>
      <c r="DD343">
        <v>65.540000000000006</v>
      </c>
      <c r="DE343" t="s">
        <v>2328</v>
      </c>
      <c r="DF343">
        <v>63.8</v>
      </c>
      <c r="DG343">
        <v>15.78</v>
      </c>
      <c r="DH343">
        <v>18.41</v>
      </c>
      <c r="DI343" t="s">
        <v>120</v>
      </c>
      <c r="DJ343">
        <v>125</v>
      </c>
      <c r="DK343">
        <v>892</v>
      </c>
      <c r="DL343" t="s">
        <v>120</v>
      </c>
      <c r="DM343" t="s">
        <v>120</v>
      </c>
      <c r="DN343" t="s">
        <v>120</v>
      </c>
    </row>
    <row r="344" spans="1:118">
      <c r="A344" t="str">
        <f>"000893"</f>
        <v>000893</v>
      </c>
      <c r="B344" t="s">
        <v>2329</v>
      </c>
      <c r="C344">
        <v>1.08</v>
      </c>
      <c r="D344">
        <v>-0.04</v>
      </c>
      <c r="E344">
        <v>0</v>
      </c>
      <c r="F344">
        <v>1422</v>
      </c>
      <c r="G344" t="s">
        <v>2330</v>
      </c>
      <c r="H344">
        <v>32670.51</v>
      </c>
      <c r="I344">
        <v>59.83</v>
      </c>
      <c r="J344" t="s">
        <v>120</v>
      </c>
      <c r="K344" t="s">
        <v>2331</v>
      </c>
      <c r="L344">
        <v>3.92</v>
      </c>
      <c r="M344">
        <v>20.64</v>
      </c>
      <c r="N344">
        <v>0.94</v>
      </c>
      <c r="O344">
        <v>3.23</v>
      </c>
      <c r="P344">
        <v>21.08</v>
      </c>
      <c r="Q344">
        <v>-0.98</v>
      </c>
      <c r="R344">
        <v>20.22</v>
      </c>
      <c r="S344">
        <v>20.420000000000002</v>
      </c>
      <c r="T344">
        <v>158100</v>
      </c>
      <c r="U344">
        <v>20.64</v>
      </c>
      <c r="V344">
        <v>20.420000000000002</v>
      </c>
      <c r="W344">
        <v>15.42</v>
      </c>
      <c r="X344" t="s">
        <v>690</v>
      </c>
      <c r="Y344" t="s">
        <v>547</v>
      </c>
      <c r="Z344">
        <v>4.21</v>
      </c>
      <c r="AA344">
        <v>20.66</v>
      </c>
      <c r="AB344">
        <v>85722</v>
      </c>
      <c r="AC344">
        <v>72378</v>
      </c>
      <c r="AD344">
        <v>1.18</v>
      </c>
      <c r="AE344">
        <v>97</v>
      </c>
      <c r="AF344">
        <v>193</v>
      </c>
      <c r="AG344" t="s">
        <v>120</v>
      </c>
      <c r="AH344">
        <v>0.01</v>
      </c>
      <c r="AI344" t="s">
        <v>120</v>
      </c>
      <c r="AJ344">
        <v>4.03</v>
      </c>
      <c r="AK344" t="s">
        <v>2332</v>
      </c>
      <c r="AL344">
        <v>2.99</v>
      </c>
      <c r="AM344">
        <v>3794</v>
      </c>
      <c r="AN344">
        <v>42</v>
      </c>
      <c r="AO344">
        <v>1E-3</v>
      </c>
      <c r="AP344">
        <v>1</v>
      </c>
      <c r="AQ344">
        <v>-2.02</v>
      </c>
      <c r="AR344">
        <v>-2.93</v>
      </c>
      <c r="AS344">
        <v>9.7899999999999991</v>
      </c>
      <c r="AT344">
        <v>29.81</v>
      </c>
      <c r="AU344">
        <v>146</v>
      </c>
      <c r="AV344">
        <v>6</v>
      </c>
      <c r="AW344">
        <v>6.45</v>
      </c>
      <c r="AX344">
        <v>32.380000000000003</v>
      </c>
      <c r="AY344">
        <v>27.8</v>
      </c>
      <c r="AZ344">
        <v>259.26</v>
      </c>
      <c r="BA344">
        <v>0.61</v>
      </c>
      <c r="BB344" t="s">
        <v>143</v>
      </c>
      <c r="BF344">
        <v>1.2</v>
      </c>
      <c r="BG344">
        <v>1.08</v>
      </c>
      <c r="BH344">
        <v>-2.09</v>
      </c>
      <c r="BI344">
        <v>2.08</v>
      </c>
      <c r="BJ344">
        <v>20210831</v>
      </c>
      <c r="BK344">
        <v>19981224</v>
      </c>
      <c r="BL344">
        <v>7.57</v>
      </c>
      <c r="BM344" t="s">
        <v>120</v>
      </c>
      <c r="BN344" t="s">
        <v>120</v>
      </c>
      <c r="BO344">
        <v>52.36</v>
      </c>
      <c r="BP344">
        <v>20.63</v>
      </c>
      <c r="BQ344">
        <v>42.21</v>
      </c>
      <c r="BR344">
        <v>2.89</v>
      </c>
      <c r="BS344">
        <v>13.88</v>
      </c>
      <c r="BT344">
        <v>9.3800000000000008</v>
      </c>
      <c r="BU344">
        <v>8.01</v>
      </c>
      <c r="BV344">
        <v>27.49</v>
      </c>
      <c r="BW344">
        <v>5.95</v>
      </c>
      <c r="BX344">
        <v>1.68</v>
      </c>
      <c r="BY344">
        <v>0.61</v>
      </c>
      <c r="BZ344">
        <v>0.01</v>
      </c>
      <c r="CA344" t="s">
        <v>120</v>
      </c>
      <c r="CB344">
        <v>37.65</v>
      </c>
      <c r="CC344">
        <v>2.29</v>
      </c>
      <c r="CD344">
        <v>1.2</v>
      </c>
      <c r="CE344">
        <v>0.46</v>
      </c>
      <c r="CF344">
        <v>0</v>
      </c>
      <c r="CG344">
        <v>6.58</v>
      </c>
      <c r="CH344">
        <v>5.12</v>
      </c>
      <c r="CI344">
        <v>5.07</v>
      </c>
      <c r="CJ344">
        <v>0.22</v>
      </c>
      <c r="CK344">
        <v>0.3</v>
      </c>
      <c r="CL344">
        <v>-3.33</v>
      </c>
      <c r="CM344">
        <v>0.77</v>
      </c>
      <c r="CN344">
        <v>-1.73</v>
      </c>
      <c r="CO344">
        <v>20795</v>
      </c>
      <c r="CP344">
        <v>11786</v>
      </c>
      <c r="CQ344" t="s">
        <v>2333</v>
      </c>
      <c r="CR344">
        <v>4791.41</v>
      </c>
      <c r="CS344">
        <v>32.04</v>
      </c>
      <c r="CT344">
        <v>3.7</v>
      </c>
      <c r="CU344">
        <v>203.41</v>
      </c>
      <c r="CV344">
        <v>68.099999999999994</v>
      </c>
      <c r="CW344">
        <v>0</v>
      </c>
      <c r="CX344" t="s">
        <v>2334</v>
      </c>
      <c r="CY344">
        <v>5.58</v>
      </c>
      <c r="CZ344">
        <v>0</v>
      </c>
      <c r="DA344">
        <v>4.97</v>
      </c>
      <c r="DB344">
        <v>-0.44</v>
      </c>
      <c r="DC344">
        <v>0.1</v>
      </c>
      <c r="DD344">
        <v>80.61</v>
      </c>
      <c r="DE344" t="s">
        <v>2335</v>
      </c>
      <c r="DF344">
        <v>47.48</v>
      </c>
      <c r="DG344">
        <v>20.190000000000001</v>
      </c>
      <c r="DH344">
        <v>220.86</v>
      </c>
      <c r="DI344" t="s">
        <v>120</v>
      </c>
      <c r="DJ344">
        <v>636</v>
      </c>
      <c r="DK344">
        <v>893</v>
      </c>
      <c r="DL344">
        <v>20210705</v>
      </c>
      <c r="DM344">
        <v>18.88</v>
      </c>
      <c r="DN344">
        <v>9.32</v>
      </c>
    </row>
    <row r="345" spans="1:118">
      <c r="A345" t="str">
        <f>"000895"</f>
        <v>000895</v>
      </c>
      <c r="B345" t="s">
        <v>2336</v>
      </c>
      <c r="C345">
        <v>3.43</v>
      </c>
      <c r="D345">
        <v>-0.11</v>
      </c>
      <c r="E345">
        <v>0</v>
      </c>
      <c r="F345">
        <v>3590</v>
      </c>
      <c r="G345" t="s">
        <v>2337</v>
      </c>
      <c r="H345">
        <v>76274.559999999998</v>
      </c>
      <c r="I345">
        <v>188.82</v>
      </c>
      <c r="J345" t="s">
        <v>120</v>
      </c>
      <c r="K345" t="s">
        <v>2338</v>
      </c>
      <c r="L345">
        <v>2</v>
      </c>
      <c r="M345">
        <v>25.63</v>
      </c>
      <c r="N345">
        <v>2.0499999999999998</v>
      </c>
      <c r="O345">
        <v>5.93</v>
      </c>
      <c r="P345">
        <v>26.25</v>
      </c>
      <c r="Q345">
        <v>0</v>
      </c>
      <c r="R345">
        <v>24.78</v>
      </c>
      <c r="S345">
        <v>24.78</v>
      </c>
      <c r="T345">
        <v>297181</v>
      </c>
      <c r="U345">
        <v>25.63</v>
      </c>
      <c r="V345">
        <v>24.78</v>
      </c>
      <c r="W345">
        <v>17.5</v>
      </c>
      <c r="X345" t="s">
        <v>847</v>
      </c>
      <c r="Y345" t="s">
        <v>645</v>
      </c>
      <c r="Z345">
        <v>5.93</v>
      </c>
      <c r="AA345">
        <v>25.67</v>
      </c>
      <c r="AB345">
        <v>127642</v>
      </c>
      <c r="AC345">
        <v>169539</v>
      </c>
      <c r="AD345">
        <v>0.75</v>
      </c>
      <c r="AE345">
        <v>107</v>
      </c>
      <c r="AF345">
        <v>872</v>
      </c>
      <c r="AG345" t="s">
        <v>120</v>
      </c>
      <c r="AH345">
        <v>0.01</v>
      </c>
      <c r="AI345" t="s">
        <v>120</v>
      </c>
      <c r="AJ345">
        <v>14.89</v>
      </c>
      <c r="AK345" t="s">
        <v>2339</v>
      </c>
      <c r="AL345">
        <v>5.34</v>
      </c>
      <c r="AM345">
        <v>4563</v>
      </c>
      <c r="AN345">
        <v>65</v>
      </c>
      <c r="AO345">
        <v>4.0000000000000002E-4</v>
      </c>
      <c r="AP345">
        <v>1</v>
      </c>
      <c r="AQ345">
        <v>-1.31</v>
      </c>
      <c r="AR345">
        <v>0.75</v>
      </c>
      <c r="AS345">
        <v>2.6</v>
      </c>
      <c r="AT345">
        <v>-19.63</v>
      </c>
      <c r="AU345">
        <v>-43.37</v>
      </c>
      <c r="AV345">
        <v>1</v>
      </c>
      <c r="AW345">
        <v>2.89</v>
      </c>
      <c r="AX345">
        <v>29.65</v>
      </c>
      <c r="AY345">
        <v>14.93</v>
      </c>
      <c r="AZ345">
        <v>13.72</v>
      </c>
      <c r="BA345">
        <v>0.28999999999999998</v>
      </c>
      <c r="BB345" t="s">
        <v>143</v>
      </c>
      <c r="BF345">
        <v>3.58</v>
      </c>
      <c r="BG345">
        <v>3.43</v>
      </c>
      <c r="BH345">
        <v>-2.36</v>
      </c>
      <c r="BI345">
        <v>3.43</v>
      </c>
      <c r="BJ345">
        <v>20210912</v>
      </c>
      <c r="BK345">
        <v>19981210</v>
      </c>
      <c r="BL345">
        <v>34.65</v>
      </c>
      <c r="BM345" t="s">
        <v>120</v>
      </c>
      <c r="BN345" t="s">
        <v>120</v>
      </c>
      <c r="BO345">
        <v>318.19</v>
      </c>
      <c r="BP345">
        <v>25.62</v>
      </c>
      <c r="BQ345">
        <v>204.8</v>
      </c>
      <c r="BR345">
        <v>3.69</v>
      </c>
      <c r="BS345">
        <v>34.479999999999997</v>
      </c>
      <c r="BT345">
        <v>181.57</v>
      </c>
      <c r="BU345">
        <v>99.61</v>
      </c>
      <c r="BV345">
        <v>10.28</v>
      </c>
      <c r="BW345">
        <v>101.79</v>
      </c>
      <c r="BX345">
        <v>52.04</v>
      </c>
      <c r="BY345">
        <v>77.58</v>
      </c>
      <c r="BZ345">
        <v>2.31</v>
      </c>
      <c r="CA345" t="s">
        <v>120</v>
      </c>
      <c r="CB345">
        <v>80.72</v>
      </c>
      <c r="CC345">
        <v>348.42</v>
      </c>
      <c r="CD345">
        <v>291.81</v>
      </c>
      <c r="CE345">
        <v>31.41</v>
      </c>
      <c r="CF345">
        <v>1.06</v>
      </c>
      <c r="CG345">
        <v>31.42</v>
      </c>
      <c r="CH345">
        <v>25.53</v>
      </c>
      <c r="CI345">
        <v>25.37</v>
      </c>
      <c r="CJ345">
        <v>0.85</v>
      </c>
      <c r="CK345">
        <v>23.05</v>
      </c>
      <c r="CL345">
        <v>70.010000000000005</v>
      </c>
      <c r="CM345">
        <v>12.75</v>
      </c>
      <c r="CN345">
        <v>-31.71</v>
      </c>
      <c r="CO345">
        <v>406115</v>
      </c>
      <c r="CP345">
        <v>2530</v>
      </c>
      <c r="CQ345" t="s">
        <v>2340</v>
      </c>
      <c r="CR345">
        <v>-16.57</v>
      </c>
      <c r="CS345">
        <v>-4.1399999999999997</v>
      </c>
      <c r="CT345">
        <v>4.34</v>
      </c>
      <c r="CU345">
        <v>69.64</v>
      </c>
      <c r="CV345">
        <v>2.5499999999999998</v>
      </c>
      <c r="CW345">
        <v>6.78</v>
      </c>
      <c r="CX345" t="s">
        <v>2341</v>
      </c>
      <c r="CY345">
        <v>5.91</v>
      </c>
      <c r="CZ345">
        <v>0</v>
      </c>
      <c r="DA345">
        <v>2.33</v>
      </c>
      <c r="DB345">
        <v>2.02</v>
      </c>
      <c r="DC345">
        <v>0.37</v>
      </c>
      <c r="DD345">
        <v>64.36</v>
      </c>
      <c r="DE345" t="s">
        <v>2342</v>
      </c>
      <c r="DF345">
        <v>16.25</v>
      </c>
      <c r="DG345">
        <v>9.02</v>
      </c>
      <c r="DH345">
        <v>7.28</v>
      </c>
      <c r="DI345">
        <v>0.47</v>
      </c>
      <c r="DJ345">
        <v>44833</v>
      </c>
      <c r="DK345">
        <v>895</v>
      </c>
      <c r="DL345" t="s">
        <v>120</v>
      </c>
      <c r="DM345" t="s">
        <v>120</v>
      </c>
      <c r="DN345" t="s">
        <v>120</v>
      </c>
    </row>
    <row r="346" spans="1:118">
      <c r="A346" t="str">
        <f>"000897"</f>
        <v>000897</v>
      </c>
      <c r="B346" t="s">
        <v>2343</v>
      </c>
      <c r="C346">
        <v>-0.48</v>
      </c>
      <c r="D346">
        <v>0</v>
      </c>
      <c r="E346">
        <v>0</v>
      </c>
      <c r="F346">
        <v>705</v>
      </c>
      <c r="G346" t="s">
        <v>2344</v>
      </c>
      <c r="H346">
        <v>2655.28</v>
      </c>
      <c r="I346">
        <v>13.98</v>
      </c>
      <c r="J346" t="s">
        <v>120</v>
      </c>
      <c r="K346" t="s">
        <v>2345</v>
      </c>
      <c r="L346">
        <v>0.78</v>
      </c>
      <c r="M346">
        <v>2.08</v>
      </c>
      <c r="N346">
        <v>0.95</v>
      </c>
      <c r="O346">
        <v>1.91</v>
      </c>
      <c r="P346">
        <v>2.13</v>
      </c>
      <c r="Q346">
        <v>-0.48</v>
      </c>
      <c r="R346">
        <v>2.08</v>
      </c>
      <c r="S346">
        <v>2.09</v>
      </c>
      <c r="T346">
        <v>126364</v>
      </c>
      <c r="U346">
        <v>2.09</v>
      </c>
      <c r="V346">
        <v>2.09</v>
      </c>
      <c r="W346">
        <v>53.46</v>
      </c>
      <c r="X346" t="s">
        <v>150</v>
      </c>
      <c r="Y346" t="s">
        <v>997</v>
      </c>
      <c r="Z346">
        <v>2.39</v>
      </c>
      <c r="AA346">
        <v>2.1</v>
      </c>
      <c r="AB346">
        <v>64947</v>
      </c>
      <c r="AC346">
        <v>61417</v>
      </c>
      <c r="AD346">
        <v>1.06</v>
      </c>
      <c r="AE346">
        <v>1419</v>
      </c>
      <c r="AF346">
        <v>1149</v>
      </c>
      <c r="AG346" t="s">
        <v>120</v>
      </c>
      <c r="AH346">
        <v>0.01</v>
      </c>
      <c r="AI346" t="s">
        <v>120</v>
      </c>
      <c r="AJ346">
        <v>16.170000000000002</v>
      </c>
      <c r="AK346" t="s">
        <v>2345</v>
      </c>
      <c r="AL346">
        <v>1.44</v>
      </c>
      <c r="AM346">
        <v>1156</v>
      </c>
      <c r="AN346">
        <v>109</v>
      </c>
      <c r="AO346">
        <v>6.9999999999999999E-4</v>
      </c>
      <c r="AP346">
        <v>-1</v>
      </c>
      <c r="AQ346">
        <v>0.97</v>
      </c>
      <c r="AR346">
        <v>-1.42</v>
      </c>
      <c r="AS346">
        <v>6.67</v>
      </c>
      <c r="AT346">
        <v>-1.42</v>
      </c>
      <c r="AU346">
        <v>-16.46</v>
      </c>
      <c r="AV346">
        <v>0</v>
      </c>
      <c r="AW346">
        <v>1.01</v>
      </c>
      <c r="AX346">
        <v>77.069999999999993</v>
      </c>
      <c r="AY346">
        <v>50.23</v>
      </c>
      <c r="AZ346">
        <v>16.8</v>
      </c>
      <c r="BA346">
        <v>0.34</v>
      </c>
      <c r="BB346" t="s">
        <v>143</v>
      </c>
      <c r="BF346">
        <v>0.54</v>
      </c>
      <c r="BG346">
        <v>-0.48</v>
      </c>
      <c r="BH346">
        <v>-2.35</v>
      </c>
      <c r="BI346">
        <v>0</v>
      </c>
      <c r="BJ346">
        <v>20210828</v>
      </c>
      <c r="BK346">
        <v>19990422</v>
      </c>
      <c r="BL346">
        <v>16.170000000000002</v>
      </c>
      <c r="BM346" t="s">
        <v>120</v>
      </c>
      <c r="BN346" t="s">
        <v>120</v>
      </c>
      <c r="BO346">
        <v>74.989999999999995</v>
      </c>
      <c r="BP346">
        <v>2.08</v>
      </c>
      <c r="BQ346">
        <v>14.55</v>
      </c>
      <c r="BR346">
        <v>1</v>
      </c>
      <c r="BS346">
        <v>79.260000000000005</v>
      </c>
      <c r="BT346">
        <v>69.930000000000007</v>
      </c>
      <c r="BU346">
        <v>0.06</v>
      </c>
      <c r="BV346">
        <v>0.01</v>
      </c>
      <c r="BW346">
        <v>59.37</v>
      </c>
      <c r="BX346">
        <v>10.42</v>
      </c>
      <c r="BY346">
        <v>50.21</v>
      </c>
      <c r="BZ346">
        <v>0.8</v>
      </c>
      <c r="CA346">
        <v>0</v>
      </c>
      <c r="CB346">
        <v>3.1</v>
      </c>
      <c r="CC346">
        <v>4.2300000000000004</v>
      </c>
      <c r="CD346">
        <v>2.5499999999999998</v>
      </c>
      <c r="CE346">
        <v>0.5</v>
      </c>
      <c r="CF346">
        <v>0</v>
      </c>
      <c r="CG346">
        <v>0.47</v>
      </c>
      <c r="CH346">
        <v>0.3</v>
      </c>
      <c r="CI346">
        <v>0.31</v>
      </c>
      <c r="CJ346">
        <v>-0.01</v>
      </c>
      <c r="CK346">
        <v>0.27</v>
      </c>
      <c r="CL346">
        <v>-5.37</v>
      </c>
      <c r="CM346">
        <v>4.6399999999999997</v>
      </c>
      <c r="CN346">
        <v>4.3600000000000003</v>
      </c>
      <c r="CO346">
        <v>104456</v>
      </c>
      <c r="CP346">
        <v>11933</v>
      </c>
      <c r="CQ346" t="s">
        <v>2346</v>
      </c>
      <c r="CR346">
        <v>-80.98</v>
      </c>
      <c r="CS346">
        <v>-47.5</v>
      </c>
      <c r="CT346">
        <v>2.31</v>
      </c>
      <c r="CU346">
        <v>7.25</v>
      </c>
      <c r="CV346">
        <v>7.96</v>
      </c>
      <c r="CW346">
        <v>0</v>
      </c>
      <c r="CX346" t="s">
        <v>753</v>
      </c>
      <c r="CY346">
        <v>0.9</v>
      </c>
      <c r="CZ346">
        <v>0</v>
      </c>
      <c r="DA346">
        <v>0.19</v>
      </c>
      <c r="DB346">
        <v>-0.33</v>
      </c>
      <c r="DC346">
        <v>0.28999999999999998</v>
      </c>
      <c r="DD346">
        <v>19.399999999999999</v>
      </c>
      <c r="DE346" t="s">
        <v>2347</v>
      </c>
      <c r="DF346">
        <v>39.76</v>
      </c>
      <c r="DG346">
        <v>11.9</v>
      </c>
      <c r="DH346">
        <v>7.44</v>
      </c>
      <c r="DI346" t="s">
        <v>120</v>
      </c>
      <c r="DJ346">
        <v>586</v>
      </c>
      <c r="DK346">
        <v>897</v>
      </c>
      <c r="DL346" t="s">
        <v>120</v>
      </c>
      <c r="DM346" t="s">
        <v>120</v>
      </c>
      <c r="DN346" t="s">
        <v>120</v>
      </c>
    </row>
    <row r="347" spans="1:118">
      <c r="A347" t="str">
        <f>"000898"</f>
        <v>000898</v>
      </c>
      <c r="B347" t="s">
        <v>2348</v>
      </c>
      <c r="C347">
        <v>-1.66</v>
      </c>
      <c r="D347">
        <v>-0.16</v>
      </c>
      <c r="E347">
        <v>2.16</v>
      </c>
      <c r="F347">
        <v>10520</v>
      </c>
      <c r="G347" t="s">
        <v>2349</v>
      </c>
      <c r="H347">
        <v>87115.18</v>
      </c>
      <c r="I347">
        <v>427.9</v>
      </c>
      <c r="J347" t="s">
        <v>120</v>
      </c>
      <c r="K347" t="s">
        <v>2350</v>
      </c>
      <c r="L347">
        <v>1.8</v>
      </c>
      <c r="M347">
        <v>5.91</v>
      </c>
      <c r="N347">
        <v>0.81</v>
      </c>
      <c r="O347">
        <v>3.83</v>
      </c>
      <c r="P347">
        <v>6.24</v>
      </c>
      <c r="Q347">
        <v>-2.16</v>
      </c>
      <c r="R347">
        <v>5.88</v>
      </c>
      <c r="S347">
        <v>6.14</v>
      </c>
      <c r="T347">
        <v>1426922</v>
      </c>
      <c r="U347">
        <v>5.92</v>
      </c>
      <c r="V347">
        <v>6.01</v>
      </c>
      <c r="W347">
        <v>5.36</v>
      </c>
      <c r="X347" t="s">
        <v>1460</v>
      </c>
      <c r="Y347" t="s">
        <v>432</v>
      </c>
      <c r="Z347">
        <v>5.99</v>
      </c>
      <c r="AA347">
        <v>6.11</v>
      </c>
      <c r="AB347">
        <v>706385</v>
      </c>
      <c r="AC347">
        <v>720537</v>
      </c>
      <c r="AD347">
        <v>0.98</v>
      </c>
      <c r="AE347">
        <v>901</v>
      </c>
      <c r="AF347">
        <v>1734</v>
      </c>
      <c r="AG347" t="s">
        <v>120</v>
      </c>
      <c r="AH347">
        <v>0.03</v>
      </c>
      <c r="AI347" t="s">
        <v>120</v>
      </c>
      <c r="AJ347">
        <v>79.41</v>
      </c>
      <c r="AK347" t="s">
        <v>2351</v>
      </c>
      <c r="AL347">
        <v>0.25</v>
      </c>
      <c r="AM347">
        <v>4597</v>
      </c>
      <c r="AN347">
        <v>310</v>
      </c>
      <c r="AO347">
        <v>4.0000000000000002E-4</v>
      </c>
      <c r="AP347">
        <v>-3</v>
      </c>
      <c r="AQ347">
        <v>-0.66</v>
      </c>
      <c r="AR347">
        <v>-8.3699999999999992</v>
      </c>
      <c r="AS347">
        <v>18.920000000000002</v>
      </c>
      <c r="AT347">
        <v>36.81</v>
      </c>
      <c r="AU347">
        <v>99.94</v>
      </c>
      <c r="AV347">
        <v>6</v>
      </c>
      <c r="AW347">
        <v>6.86</v>
      </c>
      <c r="AX347">
        <v>26.02</v>
      </c>
      <c r="AY347">
        <v>8.49</v>
      </c>
      <c r="AZ347">
        <v>28.58</v>
      </c>
      <c r="BA347">
        <v>0.5</v>
      </c>
      <c r="BB347" t="s">
        <v>143</v>
      </c>
      <c r="BF347">
        <v>1.58</v>
      </c>
      <c r="BG347">
        <v>-3.75</v>
      </c>
      <c r="BH347">
        <v>-5.29</v>
      </c>
      <c r="BI347">
        <v>0.51</v>
      </c>
      <c r="BJ347">
        <v>20210830</v>
      </c>
      <c r="BK347">
        <v>19971225</v>
      </c>
      <c r="BL347">
        <v>94.05</v>
      </c>
      <c r="BM347" t="s">
        <v>120</v>
      </c>
      <c r="BN347">
        <v>14.12</v>
      </c>
      <c r="BO347">
        <v>913.01</v>
      </c>
      <c r="BP347">
        <v>5.91</v>
      </c>
      <c r="BQ347">
        <v>578.20000000000005</v>
      </c>
      <c r="BR347">
        <v>5.1100000000000003</v>
      </c>
      <c r="BS347">
        <v>36.11</v>
      </c>
      <c r="BT347">
        <v>270.85000000000002</v>
      </c>
      <c r="BU347">
        <v>490.08</v>
      </c>
      <c r="BV347">
        <v>59.01</v>
      </c>
      <c r="BW347">
        <v>253.99</v>
      </c>
      <c r="BX347">
        <v>71.91</v>
      </c>
      <c r="BY347">
        <v>121.96</v>
      </c>
      <c r="BZ347">
        <v>26.19</v>
      </c>
      <c r="CA347" t="s">
        <v>120</v>
      </c>
      <c r="CB347">
        <v>334.23</v>
      </c>
      <c r="CC347">
        <v>725.51</v>
      </c>
      <c r="CD347">
        <v>638.27</v>
      </c>
      <c r="CE347">
        <v>66.91</v>
      </c>
      <c r="CF347">
        <v>2.06</v>
      </c>
      <c r="CG347">
        <v>66.69</v>
      </c>
      <c r="CH347">
        <v>52</v>
      </c>
      <c r="CI347">
        <v>51.83</v>
      </c>
      <c r="CJ347">
        <v>-0.1</v>
      </c>
      <c r="CK347">
        <v>52.6</v>
      </c>
      <c r="CL347">
        <v>111.91</v>
      </c>
      <c r="CM347">
        <v>86.39</v>
      </c>
      <c r="CN347">
        <v>18.62</v>
      </c>
      <c r="CO347">
        <v>107404</v>
      </c>
      <c r="CP347">
        <v>19367</v>
      </c>
      <c r="CQ347" t="s">
        <v>2352</v>
      </c>
      <c r="CR347">
        <v>936.6</v>
      </c>
      <c r="CS347">
        <v>62.49</v>
      </c>
      <c r="CT347">
        <v>0.96</v>
      </c>
      <c r="CU347">
        <v>6.43</v>
      </c>
      <c r="CV347">
        <v>0.77</v>
      </c>
      <c r="CW347">
        <v>1.19</v>
      </c>
      <c r="CX347" t="s">
        <v>1581</v>
      </c>
      <c r="CY347">
        <v>6.15</v>
      </c>
      <c r="CZ347">
        <v>6.15</v>
      </c>
      <c r="DA347">
        <v>3.55</v>
      </c>
      <c r="DB347">
        <v>1.19</v>
      </c>
      <c r="DC347">
        <v>0.92</v>
      </c>
      <c r="DD347">
        <v>63.33</v>
      </c>
      <c r="DE347" t="s">
        <v>2353</v>
      </c>
      <c r="DF347">
        <v>12.02</v>
      </c>
      <c r="DG347">
        <v>9.2200000000000006</v>
      </c>
      <c r="DH347">
        <v>7.14</v>
      </c>
      <c r="DI347">
        <v>2.91</v>
      </c>
      <c r="DJ347">
        <v>30734</v>
      </c>
      <c r="DK347">
        <v>898</v>
      </c>
      <c r="DL347" t="s">
        <v>120</v>
      </c>
      <c r="DM347" t="s">
        <v>120</v>
      </c>
      <c r="DN347" t="s">
        <v>120</v>
      </c>
    </row>
    <row r="348" spans="1:118">
      <c r="A348" t="str">
        <f>"000899"</f>
        <v>000899</v>
      </c>
      <c r="B348" t="s">
        <v>2354</v>
      </c>
      <c r="C348">
        <v>-1.46</v>
      </c>
      <c r="D348">
        <v>0.19</v>
      </c>
      <c r="E348">
        <v>0.55000000000000004</v>
      </c>
      <c r="F348">
        <v>1276</v>
      </c>
      <c r="G348" t="s">
        <v>2355</v>
      </c>
      <c r="H348">
        <v>5717.03</v>
      </c>
      <c r="I348">
        <v>40.46</v>
      </c>
      <c r="J348" t="s">
        <v>120</v>
      </c>
      <c r="K348" t="s">
        <v>2356</v>
      </c>
      <c r="L348">
        <v>1.06</v>
      </c>
      <c r="M348">
        <v>5.41</v>
      </c>
      <c r="N348">
        <v>0.86</v>
      </c>
      <c r="O348">
        <v>2.73</v>
      </c>
      <c r="P348">
        <v>5.64</v>
      </c>
      <c r="Q348">
        <v>-1.82</v>
      </c>
      <c r="R348">
        <v>5.39</v>
      </c>
      <c r="S348">
        <v>5.52</v>
      </c>
      <c r="T348">
        <v>103383</v>
      </c>
      <c r="U348">
        <v>5.41</v>
      </c>
      <c r="V348">
        <v>5.49</v>
      </c>
      <c r="W348">
        <v>34.56</v>
      </c>
      <c r="X348" t="s">
        <v>268</v>
      </c>
      <c r="Y348" t="s">
        <v>676</v>
      </c>
      <c r="Z348">
        <v>4.55</v>
      </c>
      <c r="AA348">
        <v>5.53</v>
      </c>
      <c r="AB348">
        <v>51808</v>
      </c>
      <c r="AC348">
        <v>51575</v>
      </c>
      <c r="AD348">
        <v>1</v>
      </c>
      <c r="AE348">
        <v>631</v>
      </c>
      <c r="AF348">
        <v>171</v>
      </c>
      <c r="AG348" t="s">
        <v>120</v>
      </c>
      <c r="AH348">
        <v>0.03</v>
      </c>
      <c r="AI348" t="s">
        <v>120</v>
      </c>
      <c r="AJ348">
        <v>9.76</v>
      </c>
      <c r="AK348" t="s">
        <v>2356</v>
      </c>
      <c r="AL348">
        <v>0.46</v>
      </c>
      <c r="AM348">
        <v>2135</v>
      </c>
      <c r="AN348">
        <v>48</v>
      </c>
      <c r="AO348">
        <v>5.0000000000000001E-4</v>
      </c>
      <c r="AP348">
        <v>-1</v>
      </c>
      <c r="AQ348">
        <v>2.4300000000000002</v>
      </c>
      <c r="AR348">
        <v>-2.16</v>
      </c>
      <c r="AS348">
        <v>15.11</v>
      </c>
      <c r="AT348">
        <v>3.83</v>
      </c>
      <c r="AU348">
        <v>-22.71</v>
      </c>
      <c r="AV348">
        <v>11</v>
      </c>
      <c r="AW348">
        <v>3.99</v>
      </c>
      <c r="AX348">
        <v>26.56</v>
      </c>
      <c r="AY348">
        <v>23.37</v>
      </c>
      <c r="AZ348">
        <v>16.95</v>
      </c>
      <c r="BA348">
        <v>0.26</v>
      </c>
      <c r="BB348" t="s">
        <v>341</v>
      </c>
      <c r="BF348">
        <v>0.73</v>
      </c>
      <c r="BG348">
        <v>-1.99</v>
      </c>
      <c r="BH348">
        <v>-4.08</v>
      </c>
      <c r="BI348">
        <v>0.37</v>
      </c>
      <c r="BJ348">
        <v>20210824</v>
      </c>
      <c r="BK348">
        <v>19971126</v>
      </c>
      <c r="BL348">
        <v>9.76</v>
      </c>
      <c r="BM348" t="s">
        <v>120</v>
      </c>
      <c r="BN348" t="s">
        <v>120</v>
      </c>
      <c r="BO348">
        <v>88.07</v>
      </c>
      <c r="BP348">
        <v>5.4</v>
      </c>
      <c r="BQ348">
        <v>49.81</v>
      </c>
      <c r="BR348">
        <v>0.34</v>
      </c>
      <c r="BS348">
        <v>43.06</v>
      </c>
      <c r="BT348">
        <v>16.760000000000002</v>
      </c>
      <c r="BU348">
        <v>28.37</v>
      </c>
      <c r="BV348">
        <v>0.4</v>
      </c>
      <c r="BW348">
        <v>21.07</v>
      </c>
      <c r="BX348">
        <v>6.37</v>
      </c>
      <c r="BY348">
        <v>1.91</v>
      </c>
      <c r="BZ348">
        <v>2.69</v>
      </c>
      <c r="CA348" t="s">
        <v>120</v>
      </c>
      <c r="CB348">
        <v>24.34</v>
      </c>
      <c r="CC348">
        <v>13.74</v>
      </c>
      <c r="CD348">
        <v>12.25</v>
      </c>
      <c r="CE348">
        <v>0.79</v>
      </c>
      <c r="CF348">
        <v>0.55000000000000004</v>
      </c>
      <c r="CG348">
        <v>0.8</v>
      </c>
      <c r="CH348">
        <v>0.76</v>
      </c>
      <c r="CI348">
        <v>0.76</v>
      </c>
      <c r="CJ348">
        <v>-0.08</v>
      </c>
      <c r="CK348">
        <v>0.75</v>
      </c>
      <c r="CL348">
        <v>11.77</v>
      </c>
      <c r="CM348">
        <v>1.67</v>
      </c>
      <c r="CN348">
        <v>1.08</v>
      </c>
      <c r="CO348">
        <v>43309</v>
      </c>
      <c r="CP348">
        <v>5984</v>
      </c>
      <c r="CQ348" t="s">
        <v>1117</v>
      </c>
      <c r="CR348">
        <v>-53.19</v>
      </c>
      <c r="CS348">
        <v>18.63</v>
      </c>
      <c r="CT348">
        <v>1.06</v>
      </c>
      <c r="CU348">
        <v>31.7</v>
      </c>
      <c r="CV348">
        <v>3.84</v>
      </c>
      <c r="CW348">
        <v>1.82</v>
      </c>
      <c r="CX348" t="s">
        <v>2357</v>
      </c>
      <c r="CY348">
        <v>5.0999999999999996</v>
      </c>
      <c r="CZ348">
        <v>0</v>
      </c>
      <c r="DA348">
        <v>2.4900000000000002</v>
      </c>
      <c r="DB348">
        <v>1.21</v>
      </c>
      <c r="DC348">
        <v>0.17</v>
      </c>
      <c r="DD348">
        <v>56.55</v>
      </c>
      <c r="DE348" t="s">
        <v>2358</v>
      </c>
      <c r="DF348">
        <v>10.85</v>
      </c>
      <c r="DG348">
        <v>5.73</v>
      </c>
      <c r="DH348">
        <v>5.56</v>
      </c>
      <c r="DI348">
        <v>0.27</v>
      </c>
      <c r="DJ348">
        <v>753</v>
      </c>
      <c r="DK348">
        <v>899</v>
      </c>
      <c r="DL348" t="s">
        <v>120</v>
      </c>
      <c r="DM348" t="s">
        <v>120</v>
      </c>
      <c r="DN348" t="s">
        <v>120</v>
      </c>
    </row>
    <row r="349" spans="1:118">
      <c r="A349" t="str">
        <f>"000900"</f>
        <v>000900</v>
      </c>
      <c r="B349" t="s">
        <v>2359</v>
      </c>
      <c r="C349">
        <v>0.23</v>
      </c>
      <c r="D349">
        <v>0</v>
      </c>
      <c r="E349">
        <v>0</v>
      </c>
      <c r="F349">
        <v>738</v>
      </c>
      <c r="G349" t="s">
        <v>2360</v>
      </c>
      <c r="H349">
        <v>5854.4</v>
      </c>
      <c r="I349">
        <v>23.63</v>
      </c>
      <c r="J349" t="s">
        <v>120</v>
      </c>
      <c r="K349" t="s">
        <v>2361</v>
      </c>
      <c r="L349">
        <v>0.87</v>
      </c>
      <c r="M349">
        <v>4.41</v>
      </c>
      <c r="N349">
        <v>1.18</v>
      </c>
      <c r="O349">
        <v>2.5</v>
      </c>
      <c r="P349">
        <v>4.51</v>
      </c>
      <c r="Q349">
        <v>-0.68</v>
      </c>
      <c r="R349">
        <v>4.37</v>
      </c>
      <c r="S349">
        <v>4.4000000000000004</v>
      </c>
      <c r="T349">
        <v>131800</v>
      </c>
      <c r="U349">
        <v>4.41</v>
      </c>
      <c r="V349">
        <v>4.4000000000000004</v>
      </c>
      <c r="W349">
        <v>7.19</v>
      </c>
      <c r="X349" t="s">
        <v>800</v>
      </c>
      <c r="Y349" t="s">
        <v>594</v>
      </c>
      <c r="Z349">
        <v>3.18</v>
      </c>
      <c r="AA349">
        <v>4.4400000000000004</v>
      </c>
      <c r="AB349">
        <v>60127</v>
      </c>
      <c r="AC349">
        <v>71673</v>
      </c>
      <c r="AD349">
        <v>0.84</v>
      </c>
      <c r="AE349">
        <v>709</v>
      </c>
      <c r="AF349">
        <v>28</v>
      </c>
      <c r="AG349" t="s">
        <v>120</v>
      </c>
      <c r="AH349">
        <v>0.01</v>
      </c>
      <c r="AI349" t="s">
        <v>120</v>
      </c>
      <c r="AJ349">
        <v>15.17</v>
      </c>
      <c r="AK349" t="s">
        <v>2362</v>
      </c>
      <c r="AL349">
        <v>2.14</v>
      </c>
      <c r="AM349">
        <v>1731</v>
      </c>
      <c r="AN349">
        <v>76</v>
      </c>
      <c r="AO349">
        <v>5.0000000000000001E-4</v>
      </c>
      <c r="AP349">
        <v>2</v>
      </c>
      <c r="AQ349">
        <v>0.69</v>
      </c>
      <c r="AR349">
        <v>-2.4300000000000002</v>
      </c>
      <c r="AS349">
        <v>10.25</v>
      </c>
      <c r="AT349">
        <v>8.36</v>
      </c>
      <c r="AU349">
        <v>7.82</v>
      </c>
      <c r="AV349">
        <v>0</v>
      </c>
      <c r="AW349">
        <v>1.54</v>
      </c>
      <c r="AX349">
        <v>56.57</v>
      </c>
      <c r="AY349">
        <v>7.94</v>
      </c>
      <c r="AZ349">
        <v>12.72</v>
      </c>
      <c r="BA349">
        <v>0.18</v>
      </c>
      <c r="BB349" t="s">
        <v>143</v>
      </c>
      <c r="BF349">
        <v>0.95</v>
      </c>
      <c r="BG349">
        <v>0.23</v>
      </c>
      <c r="BH349">
        <v>-2.2200000000000002</v>
      </c>
      <c r="BI349">
        <v>0.92</v>
      </c>
      <c r="BJ349">
        <v>20210821</v>
      </c>
      <c r="BK349">
        <v>19990128</v>
      </c>
      <c r="BL349">
        <v>15.18</v>
      </c>
      <c r="BM349" t="s">
        <v>120</v>
      </c>
      <c r="BN349" t="s">
        <v>120</v>
      </c>
      <c r="BO349">
        <v>457.87</v>
      </c>
      <c r="BP349">
        <v>4.4000000000000004</v>
      </c>
      <c r="BQ349">
        <v>110.69</v>
      </c>
      <c r="BR349">
        <v>7.75</v>
      </c>
      <c r="BS349">
        <v>74.13</v>
      </c>
      <c r="BT349">
        <v>83.22</v>
      </c>
      <c r="BU349">
        <v>18.13</v>
      </c>
      <c r="BV349">
        <v>233.4</v>
      </c>
      <c r="BW349">
        <v>166.83</v>
      </c>
      <c r="BX349">
        <v>38.46</v>
      </c>
      <c r="BY349">
        <v>11</v>
      </c>
      <c r="BZ349">
        <v>4.24</v>
      </c>
      <c r="CA349">
        <v>0.13</v>
      </c>
      <c r="CB349">
        <v>4.46</v>
      </c>
      <c r="CC349">
        <v>85.56</v>
      </c>
      <c r="CD349">
        <v>75.47</v>
      </c>
      <c r="CE349">
        <v>5.8</v>
      </c>
      <c r="CF349">
        <v>2.39</v>
      </c>
      <c r="CG349">
        <v>5.81</v>
      </c>
      <c r="CH349">
        <v>4.66</v>
      </c>
      <c r="CI349">
        <v>4.66</v>
      </c>
      <c r="CJ349">
        <v>0.01</v>
      </c>
      <c r="CK349">
        <v>4.5599999999999996</v>
      </c>
      <c r="CL349">
        <v>72.69</v>
      </c>
      <c r="CM349">
        <v>8.75</v>
      </c>
      <c r="CN349">
        <v>-17.96</v>
      </c>
      <c r="CO349">
        <v>50202</v>
      </c>
      <c r="CP349">
        <v>17103</v>
      </c>
      <c r="CQ349" t="s">
        <v>2363</v>
      </c>
      <c r="CR349">
        <v>210.49</v>
      </c>
      <c r="CS349">
        <v>51.37</v>
      </c>
      <c r="CT349">
        <v>0.63</v>
      </c>
      <c r="CU349">
        <v>7.65</v>
      </c>
      <c r="CV349">
        <v>0.78</v>
      </c>
      <c r="CW349">
        <v>3.64</v>
      </c>
      <c r="CX349" t="s">
        <v>2364</v>
      </c>
      <c r="CY349">
        <v>6.96</v>
      </c>
      <c r="CZ349">
        <v>6.96</v>
      </c>
      <c r="DA349">
        <v>0.28999999999999998</v>
      </c>
      <c r="DB349">
        <v>4.79</v>
      </c>
      <c r="DC349">
        <v>0.57999999999999996</v>
      </c>
      <c r="DD349">
        <v>24.17</v>
      </c>
      <c r="DE349" t="s">
        <v>2365</v>
      </c>
      <c r="DF349">
        <v>11.79</v>
      </c>
      <c r="DG349">
        <v>6.78</v>
      </c>
      <c r="DH349">
        <v>5.44</v>
      </c>
      <c r="DI349">
        <v>0.05</v>
      </c>
      <c r="DJ349">
        <v>3885</v>
      </c>
      <c r="DK349">
        <v>900</v>
      </c>
      <c r="DL349" t="s">
        <v>120</v>
      </c>
      <c r="DM349" t="s">
        <v>120</v>
      </c>
      <c r="DN349" t="s">
        <v>120</v>
      </c>
    </row>
    <row r="350" spans="1:118">
      <c r="A350" t="str">
        <f>"000901"</f>
        <v>000901</v>
      </c>
      <c r="B350" t="s">
        <v>2366</v>
      </c>
      <c r="C350">
        <v>-1.85</v>
      </c>
      <c r="D350">
        <v>-0.1</v>
      </c>
      <c r="E350">
        <v>-0.22</v>
      </c>
      <c r="F350">
        <v>802</v>
      </c>
      <c r="G350" t="s">
        <v>2367</v>
      </c>
      <c r="H350">
        <v>11827.03</v>
      </c>
      <c r="I350">
        <v>15.06</v>
      </c>
      <c r="J350" t="s">
        <v>120</v>
      </c>
      <c r="K350" t="s">
        <v>2368</v>
      </c>
      <c r="L350">
        <v>1.63</v>
      </c>
      <c r="M350">
        <v>9.0299999999999994</v>
      </c>
      <c r="N350">
        <v>0.79</v>
      </c>
      <c r="O350">
        <v>0.87</v>
      </c>
      <c r="P350">
        <v>9.2799999999999994</v>
      </c>
      <c r="Q350">
        <v>-2.17</v>
      </c>
      <c r="R350">
        <v>9</v>
      </c>
      <c r="S350">
        <v>9.18</v>
      </c>
      <c r="T350">
        <v>129718</v>
      </c>
      <c r="U350">
        <v>9.0399999999999991</v>
      </c>
      <c r="V350">
        <v>9.1999999999999993</v>
      </c>
      <c r="W350">
        <v>151.77000000000001</v>
      </c>
      <c r="X350" t="s">
        <v>289</v>
      </c>
      <c r="Y350" t="s">
        <v>1686</v>
      </c>
      <c r="Z350">
        <v>3.04</v>
      </c>
      <c r="AA350">
        <v>9.1199999999999992</v>
      </c>
      <c r="AB350">
        <v>77262</v>
      </c>
      <c r="AC350">
        <v>52456</v>
      </c>
      <c r="AD350">
        <v>1.47</v>
      </c>
      <c r="AE350">
        <v>14</v>
      </c>
      <c r="AF350">
        <v>15</v>
      </c>
      <c r="AG350" t="s">
        <v>120</v>
      </c>
      <c r="AH350">
        <v>0</v>
      </c>
      <c r="AI350" t="s">
        <v>120</v>
      </c>
      <c r="AJ350">
        <v>7.98</v>
      </c>
      <c r="AK350" t="s">
        <v>2368</v>
      </c>
      <c r="AL350">
        <v>7.0000000000000007E-2</v>
      </c>
      <c r="AM350">
        <v>2750</v>
      </c>
      <c r="AN350">
        <v>47</v>
      </c>
      <c r="AO350">
        <v>5.9999999999999995E-4</v>
      </c>
      <c r="AP350">
        <v>-1</v>
      </c>
      <c r="AQ350">
        <v>0.55000000000000004</v>
      </c>
      <c r="AR350">
        <v>-2.9</v>
      </c>
      <c r="AS350">
        <v>-4.74</v>
      </c>
      <c r="AT350">
        <v>1.58</v>
      </c>
      <c r="AU350">
        <v>-10.15</v>
      </c>
      <c r="AV350">
        <v>2</v>
      </c>
      <c r="AW350">
        <v>2.4900000000000002</v>
      </c>
      <c r="AX350">
        <v>65.36</v>
      </c>
      <c r="AY350" t="s">
        <v>120</v>
      </c>
      <c r="AZ350" t="s">
        <v>120</v>
      </c>
      <c r="BA350">
        <v>0.61</v>
      </c>
      <c r="BB350" t="s">
        <v>143</v>
      </c>
      <c r="BF350">
        <v>-0.9</v>
      </c>
      <c r="BG350">
        <v>-1.63</v>
      </c>
      <c r="BH350">
        <v>-2.69</v>
      </c>
      <c r="BI350">
        <v>0.33</v>
      </c>
      <c r="BJ350">
        <v>20210831</v>
      </c>
      <c r="BK350">
        <v>19990401</v>
      </c>
      <c r="BL350">
        <v>7.98</v>
      </c>
      <c r="BM350" t="s">
        <v>120</v>
      </c>
      <c r="BN350" t="s">
        <v>120</v>
      </c>
      <c r="BO350">
        <v>75.88</v>
      </c>
      <c r="BP350">
        <v>9.0299999999999994</v>
      </c>
      <c r="BQ350">
        <v>43.03</v>
      </c>
      <c r="BR350">
        <v>1.89</v>
      </c>
      <c r="BS350">
        <v>40.81</v>
      </c>
      <c r="BT350">
        <v>44.66</v>
      </c>
      <c r="BU350">
        <v>10.07</v>
      </c>
      <c r="BV350">
        <v>1.92</v>
      </c>
      <c r="BW350">
        <v>18.3</v>
      </c>
      <c r="BX350">
        <v>10.210000000000001</v>
      </c>
      <c r="BY350">
        <v>12.64</v>
      </c>
      <c r="BZ350">
        <v>11.59</v>
      </c>
      <c r="CA350">
        <v>0.04</v>
      </c>
      <c r="CB350">
        <v>30.7</v>
      </c>
      <c r="CC350">
        <v>29.24</v>
      </c>
      <c r="CD350">
        <v>24.05</v>
      </c>
      <c r="CE350">
        <v>0.28000000000000003</v>
      </c>
      <c r="CF350">
        <v>0.12</v>
      </c>
      <c r="CG350">
        <v>0.28999999999999998</v>
      </c>
      <c r="CH350">
        <v>0.25</v>
      </c>
      <c r="CI350">
        <v>0.24</v>
      </c>
      <c r="CJ350">
        <v>-0.17</v>
      </c>
      <c r="CK350">
        <v>0.16</v>
      </c>
      <c r="CL350">
        <v>3.06</v>
      </c>
      <c r="CM350">
        <v>-1.73</v>
      </c>
      <c r="CN350">
        <v>-1.86</v>
      </c>
      <c r="CO350">
        <v>92796</v>
      </c>
      <c r="CP350">
        <v>5622</v>
      </c>
      <c r="CQ350" t="s">
        <v>729</v>
      </c>
      <c r="CR350">
        <v>122.62</v>
      </c>
      <c r="CS350">
        <v>27.77</v>
      </c>
      <c r="CT350">
        <v>1.68</v>
      </c>
      <c r="CU350">
        <v>-41.55</v>
      </c>
      <c r="CV350">
        <v>2.46</v>
      </c>
      <c r="CW350">
        <v>0</v>
      </c>
      <c r="CX350" t="s">
        <v>2074</v>
      </c>
      <c r="CY350">
        <v>5.39</v>
      </c>
      <c r="CZ350">
        <v>0</v>
      </c>
      <c r="DA350">
        <v>3.85</v>
      </c>
      <c r="DB350">
        <v>0.38</v>
      </c>
      <c r="DC350">
        <v>-0.22</v>
      </c>
      <c r="DD350">
        <v>56.7</v>
      </c>
      <c r="DE350" t="s">
        <v>2369</v>
      </c>
      <c r="DF350">
        <v>17.75</v>
      </c>
      <c r="DG350">
        <v>0.95</v>
      </c>
      <c r="DH350">
        <v>0.81</v>
      </c>
      <c r="DI350">
        <v>1.4</v>
      </c>
      <c r="DJ350">
        <v>6326</v>
      </c>
      <c r="DK350">
        <v>901</v>
      </c>
      <c r="DL350" t="s">
        <v>120</v>
      </c>
      <c r="DM350" t="s">
        <v>120</v>
      </c>
      <c r="DN350" t="s">
        <v>120</v>
      </c>
    </row>
    <row r="351" spans="1:118">
      <c r="A351" t="str">
        <f>"000902"</f>
        <v>000902</v>
      </c>
      <c r="B351" t="s">
        <v>2370</v>
      </c>
      <c r="C351">
        <v>-6.05</v>
      </c>
      <c r="D351">
        <v>-0.43</v>
      </c>
      <c r="E351">
        <v>1.63</v>
      </c>
      <c r="F351">
        <v>4632</v>
      </c>
      <c r="G351" t="s">
        <v>2371</v>
      </c>
      <c r="H351">
        <v>138403.26</v>
      </c>
      <c r="I351">
        <v>1542.43</v>
      </c>
      <c r="J351" t="s">
        <v>120</v>
      </c>
      <c r="K351" t="s">
        <v>2372</v>
      </c>
      <c r="L351">
        <v>4.97</v>
      </c>
      <c r="M351">
        <v>22.5</v>
      </c>
      <c r="N351">
        <v>1.1399999999999999</v>
      </c>
      <c r="O351">
        <v>3.22</v>
      </c>
      <c r="P351">
        <v>24.72</v>
      </c>
      <c r="Q351">
        <v>-6.89</v>
      </c>
      <c r="R351">
        <v>22.3</v>
      </c>
      <c r="S351">
        <v>24.34</v>
      </c>
      <c r="T351">
        <v>589766</v>
      </c>
      <c r="U351">
        <v>22.51</v>
      </c>
      <c r="V351">
        <v>23.95</v>
      </c>
      <c r="W351">
        <v>20.93</v>
      </c>
      <c r="X351" t="s">
        <v>690</v>
      </c>
      <c r="Y351" t="s">
        <v>763</v>
      </c>
      <c r="Z351">
        <v>10.1</v>
      </c>
      <c r="AA351">
        <v>23.47</v>
      </c>
      <c r="AB351">
        <v>321882</v>
      </c>
      <c r="AC351">
        <v>267884</v>
      </c>
      <c r="AD351">
        <v>1.2</v>
      </c>
      <c r="AE351">
        <v>1288</v>
      </c>
      <c r="AF351">
        <v>15</v>
      </c>
      <c r="AG351" t="s">
        <v>120</v>
      </c>
      <c r="AH351">
        <v>0.1</v>
      </c>
      <c r="AI351" t="s">
        <v>120</v>
      </c>
      <c r="AJ351">
        <v>11.86</v>
      </c>
      <c r="AK351" t="s">
        <v>2373</v>
      </c>
      <c r="AL351">
        <v>-4.1399999999999997</v>
      </c>
      <c r="AM351">
        <v>4554</v>
      </c>
      <c r="AN351">
        <v>130</v>
      </c>
      <c r="AO351">
        <v>1.1000000000000001E-3</v>
      </c>
      <c r="AP351">
        <v>-1</v>
      </c>
      <c r="AQ351">
        <v>5.14</v>
      </c>
      <c r="AR351">
        <v>-2.6</v>
      </c>
      <c r="AS351">
        <v>18.86</v>
      </c>
      <c r="AT351">
        <v>46.01</v>
      </c>
      <c r="AU351">
        <v>42.4</v>
      </c>
      <c r="AV351">
        <v>3</v>
      </c>
      <c r="AW351">
        <v>9.68</v>
      </c>
      <c r="AX351">
        <v>46.72</v>
      </c>
      <c r="AY351">
        <v>27.11</v>
      </c>
      <c r="AZ351">
        <v>32.72</v>
      </c>
      <c r="BA351">
        <v>0.92</v>
      </c>
      <c r="BB351" t="s">
        <v>700</v>
      </c>
      <c r="BF351">
        <v>-2.0099999999999998</v>
      </c>
      <c r="BG351">
        <v>-7.56</v>
      </c>
      <c r="BH351">
        <v>-8.98</v>
      </c>
      <c r="BI351">
        <v>0.9</v>
      </c>
      <c r="BJ351">
        <v>20210818</v>
      </c>
      <c r="BK351">
        <v>19990408</v>
      </c>
      <c r="BL351">
        <v>13.05</v>
      </c>
      <c r="BM351" t="s">
        <v>120</v>
      </c>
      <c r="BN351" t="s">
        <v>120</v>
      </c>
      <c r="BO351">
        <v>125.63</v>
      </c>
      <c r="BP351">
        <v>22.5</v>
      </c>
      <c r="BQ351">
        <v>74.83</v>
      </c>
      <c r="BR351">
        <v>2.1</v>
      </c>
      <c r="BS351">
        <v>38.76</v>
      </c>
      <c r="BT351">
        <v>69.819999999999993</v>
      </c>
      <c r="BU351">
        <v>37.86</v>
      </c>
      <c r="BV351">
        <v>8.2899999999999991</v>
      </c>
      <c r="BW351">
        <v>37.119999999999997</v>
      </c>
      <c r="BX351">
        <v>30.59</v>
      </c>
      <c r="BY351">
        <v>14.65</v>
      </c>
      <c r="BZ351">
        <v>3.38</v>
      </c>
      <c r="CA351" t="s">
        <v>120</v>
      </c>
      <c r="CB351">
        <v>5.99</v>
      </c>
      <c r="CC351">
        <v>67.040000000000006</v>
      </c>
      <c r="CD351">
        <v>53.84</v>
      </c>
      <c r="CE351">
        <v>8.86</v>
      </c>
      <c r="CF351">
        <v>0.24</v>
      </c>
      <c r="CG351">
        <v>8.86</v>
      </c>
      <c r="CH351">
        <v>7.17</v>
      </c>
      <c r="CI351">
        <v>7.01</v>
      </c>
      <c r="CJ351">
        <v>-1.45</v>
      </c>
      <c r="CK351">
        <v>6.93</v>
      </c>
      <c r="CL351">
        <v>54.11</v>
      </c>
      <c r="CM351">
        <v>12.87</v>
      </c>
      <c r="CN351">
        <v>5.23</v>
      </c>
      <c r="CO351">
        <v>30506</v>
      </c>
      <c r="CP351">
        <v>19979</v>
      </c>
      <c r="CQ351" t="s">
        <v>2374</v>
      </c>
      <c r="CR351">
        <v>39.29</v>
      </c>
      <c r="CS351">
        <v>24.64</v>
      </c>
      <c r="CT351">
        <v>3.98</v>
      </c>
      <c r="CU351">
        <v>22.81</v>
      </c>
      <c r="CV351">
        <v>4.38</v>
      </c>
      <c r="CW351">
        <v>0.8</v>
      </c>
      <c r="CX351" t="s">
        <v>1426</v>
      </c>
      <c r="CY351">
        <v>5.66</v>
      </c>
      <c r="CZ351">
        <v>5.66</v>
      </c>
      <c r="DA351">
        <v>0.46</v>
      </c>
      <c r="DB351">
        <v>4.1500000000000004</v>
      </c>
      <c r="DC351">
        <v>0.99</v>
      </c>
      <c r="DD351">
        <v>59.56</v>
      </c>
      <c r="DE351" t="s">
        <v>2375</v>
      </c>
      <c r="DF351">
        <v>19.690000000000001</v>
      </c>
      <c r="DG351">
        <v>13.21</v>
      </c>
      <c r="DH351">
        <v>10.46</v>
      </c>
      <c r="DI351">
        <v>0.31</v>
      </c>
      <c r="DJ351">
        <v>7262</v>
      </c>
      <c r="DK351">
        <v>902</v>
      </c>
      <c r="DL351" t="s">
        <v>120</v>
      </c>
      <c r="DM351" t="s">
        <v>120</v>
      </c>
      <c r="DN351" t="s">
        <v>120</v>
      </c>
    </row>
    <row r="352" spans="1:118">
      <c r="A352" t="str">
        <f>"000903"</f>
        <v>000903</v>
      </c>
      <c r="B352" t="s">
        <v>2376</v>
      </c>
      <c r="C352">
        <v>-2.77</v>
      </c>
      <c r="D352">
        <v>0</v>
      </c>
      <c r="E352">
        <v>-0.5</v>
      </c>
      <c r="F352">
        <v>5491</v>
      </c>
      <c r="G352" t="s">
        <v>2377</v>
      </c>
      <c r="H352">
        <v>17350.939999999999</v>
      </c>
      <c r="I352">
        <v>27.66</v>
      </c>
      <c r="J352" t="s">
        <v>120</v>
      </c>
      <c r="K352" t="s">
        <v>2378</v>
      </c>
      <c r="L352">
        <v>2.2400000000000002</v>
      </c>
      <c r="M352">
        <v>3.86</v>
      </c>
      <c r="N352">
        <v>0.91</v>
      </c>
      <c r="O352">
        <v>1.76</v>
      </c>
      <c r="P352">
        <v>4.04</v>
      </c>
      <c r="Q352">
        <v>-3.02</v>
      </c>
      <c r="R352">
        <v>3.85</v>
      </c>
      <c r="S352">
        <v>3.95</v>
      </c>
      <c r="T352">
        <v>440487</v>
      </c>
      <c r="U352">
        <v>3.86</v>
      </c>
      <c r="V352">
        <v>3.97</v>
      </c>
      <c r="W352">
        <v>22.9</v>
      </c>
      <c r="X352" t="s">
        <v>959</v>
      </c>
      <c r="Y352" t="s">
        <v>1006</v>
      </c>
      <c r="Z352">
        <v>4.79</v>
      </c>
      <c r="AA352">
        <v>3.94</v>
      </c>
      <c r="AB352">
        <v>235157</v>
      </c>
      <c r="AC352">
        <v>205330</v>
      </c>
      <c r="AD352">
        <v>1.1499999999999999</v>
      </c>
      <c r="AE352">
        <v>11434</v>
      </c>
      <c r="AF352">
        <v>2040</v>
      </c>
      <c r="AG352" t="s">
        <v>120</v>
      </c>
      <c r="AH352">
        <v>0.01</v>
      </c>
      <c r="AI352" t="s">
        <v>120</v>
      </c>
      <c r="AJ352">
        <v>19.71</v>
      </c>
      <c r="AK352" t="s">
        <v>2378</v>
      </c>
      <c r="AL352">
        <v>-0.86</v>
      </c>
      <c r="AM352">
        <v>2962</v>
      </c>
      <c r="AN352">
        <v>149</v>
      </c>
      <c r="AO352">
        <v>8.0000000000000004E-4</v>
      </c>
      <c r="AP352">
        <v>-1</v>
      </c>
      <c r="AQ352">
        <v>1.28</v>
      </c>
      <c r="AR352">
        <v>-3.5</v>
      </c>
      <c r="AS352">
        <v>2.39</v>
      </c>
      <c r="AT352">
        <v>-2.9</v>
      </c>
      <c r="AU352">
        <v>-11.37</v>
      </c>
      <c r="AV352">
        <v>2</v>
      </c>
      <c r="AW352">
        <v>3.34</v>
      </c>
      <c r="AX352">
        <v>67.010000000000005</v>
      </c>
      <c r="AY352">
        <v>34.1</v>
      </c>
      <c r="AZ352">
        <v>34.58</v>
      </c>
      <c r="BA352">
        <v>0.71</v>
      </c>
      <c r="BB352" t="s">
        <v>184</v>
      </c>
      <c r="BF352">
        <v>-0.78</v>
      </c>
      <c r="BG352">
        <v>-2.2799999999999998</v>
      </c>
      <c r="BH352">
        <v>-4.46</v>
      </c>
      <c r="BI352">
        <v>0.26</v>
      </c>
      <c r="BJ352">
        <v>20210821</v>
      </c>
      <c r="BK352">
        <v>19990415</v>
      </c>
      <c r="BL352">
        <v>19.71</v>
      </c>
      <c r="BM352" t="s">
        <v>120</v>
      </c>
      <c r="BN352" t="s">
        <v>120</v>
      </c>
      <c r="BO352">
        <v>152.16</v>
      </c>
      <c r="BP352">
        <v>3.85</v>
      </c>
      <c r="BQ352">
        <v>58.63</v>
      </c>
      <c r="BR352">
        <v>0.18</v>
      </c>
      <c r="BS352">
        <v>61.35</v>
      </c>
      <c r="BT352">
        <v>87.44</v>
      </c>
      <c r="BU352">
        <v>31.52</v>
      </c>
      <c r="BV352">
        <v>10.18</v>
      </c>
      <c r="BW352">
        <v>86.04</v>
      </c>
      <c r="BX352">
        <v>22.97</v>
      </c>
      <c r="BY352">
        <v>17.899999999999999</v>
      </c>
      <c r="BZ352">
        <v>25.65</v>
      </c>
      <c r="CA352" t="s">
        <v>120</v>
      </c>
      <c r="CB352">
        <v>23.43</v>
      </c>
      <c r="CC352">
        <v>48.54</v>
      </c>
      <c r="CD352">
        <v>43.42</v>
      </c>
      <c r="CE352">
        <v>1.76</v>
      </c>
      <c r="CF352">
        <v>0.18</v>
      </c>
      <c r="CG352">
        <v>1.77</v>
      </c>
      <c r="CH352">
        <v>1.67</v>
      </c>
      <c r="CI352">
        <v>1.66</v>
      </c>
      <c r="CJ352">
        <v>-0.11</v>
      </c>
      <c r="CK352">
        <v>0.99</v>
      </c>
      <c r="CL352">
        <v>13.13</v>
      </c>
      <c r="CM352">
        <v>3.26</v>
      </c>
      <c r="CN352">
        <v>0.26</v>
      </c>
      <c r="CO352">
        <v>81865</v>
      </c>
      <c r="CP352">
        <v>16132</v>
      </c>
      <c r="CQ352" t="s">
        <v>185</v>
      </c>
      <c r="CR352">
        <v>1.96</v>
      </c>
      <c r="CS352">
        <v>10.130000000000001</v>
      </c>
      <c r="CT352">
        <v>1.3</v>
      </c>
      <c r="CU352">
        <v>23.32</v>
      </c>
      <c r="CV352">
        <v>1.57</v>
      </c>
      <c r="CW352">
        <v>0.86</v>
      </c>
      <c r="CX352" t="s">
        <v>329</v>
      </c>
      <c r="CY352">
        <v>2.97</v>
      </c>
      <c r="CZ352">
        <v>0</v>
      </c>
      <c r="DA352">
        <v>1.19</v>
      </c>
      <c r="DB352">
        <v>0.67</v>
      </c>
      <c r="DC352">
        <v>0.17</v>
      </c>
      <c r="DD352">
        <v>38.53</v>
      </c>
      <c r="DE352" t="s">
        <v>2379</v>
      </c>
      <c r="DF352">
        <v>10.55</v>
      </c>
      <c r="DG352">
        <v>3.63</v>
      </c>
      <c r="DH352">
        <v>3.42</v>
      </c>
      <c r="DI352">
        <v>1.36</v>
      </c>
      <c r="DJ352">
        <v>2635</v>
      </c>
      <c r="DK352">
        <v>903</v>
      </c>
      <c r="DL352" t="s">
        <v>120</v>
      </c>
      <c r="DM352" t="s">
        <v>120</v>
      </c>
      <c r="DN352" t="s">
        <v>120</v>
      </c>
    </row>
    <row r="353" spans="1:118">
      <c r="A353" t="str">
        <f>"000905"</f>
        <v>000905</v>
      </c>
      <c r="B353" t="s">
        <v>2380</v>
      </c>
      <c r="C353">
        <v>-1.28</v>
      </c>
      <c r="D353">
        <v>0</v>
      </c>
      <c r="E353">
        <v>-0.14000000000000001</v>
      </c>
      <c r="F353">
        <v>479</v>
      </c>
      <c r="G353" t="s">
        <v>2381</v>
      </c>
      <c r="H353">
        <v>5057.55</v>
      </c>
      <c r="I353">
        <v>7.01</v>
      </c>
      <c r="J353" t="s">
        <v>120</v>
      </c>
      <c r="K353" t="s">
        <v>2382</v>
      </c>
      <c r="L353">
        <v>1.35</v>
      </c>
      <c r="M353">
        <v>6.93</v>
      </c>
      <c r="N353">
        <v>0.84</v>
      </c>
      <c r="O353">
        <v>2.56</v>
      </c>
      <c r="P353">
        <v>7.2</v>
      </c>
      <c r="Q353">
        <v>-1.71</v>
      </c>
      <c r="R353">
        <v>6.9</v>
      </c>
      <c r="S353">
        <v>7.01</v>
      </c>
      <c r="T353">
        <v>71770</v>
      </c>
      <c r="U353">
        <v>6.93</v>
      </c>
      <c r="V353">
        <v>7.02</v>
      </c>
      <c r="W353">
        <v>16.760000000000002</v>
      </c>
      <c r="X353" t="s">
        <v>511</v>
      </c>
      <c r="Y353" t="s">
        <v>937</v>
      </c>
      <c r="Z353">
        <v>4.2699999999999996</v>
      </c>
      <c r="AA353">
        <v>7.05</v>
      </c>
      <c r="AB353">
        <v>38411</v>
      </c>
      <c r="AC353">
        <v>33359</v>
      </c>
      <c r="AD353">
        <v>1.1499999999999999</v>
      </c>
      <c r="AE353">
        <v>363</v>
      </c>
      <c r="AF353">
        <v>198</v>
      </c>
      <c r="AG353" t="s">
        <v>120</v>
      </c>
      <c r="AH353">
        <v>0</v>
      </c>
      <c r="AI353" t="s">
        <v>120</v>
      </c>
      <c r="AJ353">
        <v>5.31</v>
      </c>
      <c r="AK353" t="s">
        <v>2383</v>
      </c>
      <c r="AL353">
        <v>0.63</v>
      </c>
      <c r="AM353">
        <v>1916</v>
      </c>
      <c r="AN353">
        <v>37</v>
      </c>
      <c r="AO353">
        <v>6.9999999999999999E-4</v>
      </c>
      <c r="AP353">
        <v>-1</v>
      </c>
      <c r="AQ353">
        <v>0.28999999999999998</v>
      </c>
      <c r="AR353">
        <v>-3.75</v>
      </c>
      <c r="AS353">
        <v>7.11</v>
      </c>
      <c r="AT353">
        <v>2.52</v>
      </c>
      <c r="AU353">
        <v>-3.11</v>
      </c>
      <c r="AV353">
        <v>1</v>
      </c>
      <c r="AW353">
        <v>1.43</v>
      </c>
      <c r="AX353">
        <v>80.25</v>
      </c>
      <c r="AY353">
        <v>20.399999999999999</v>
      </c>
      <c r="AZ353">
        <v>32.729999999999997</v>
      </c>
      <c r="BA353">
        <v>0.19</v>
      </c>
      <c r="BB353" t="s">
        <v>143</v>
      </c>
      <c r="BF353">
        <v>0.38</v>
      </c>
      <c r="BG353">
        <v>-1.1399999999999999</v>
      </c>
      <c r="BH353">
        <v>-3.75</v>
      </c>
      <c r="BI353">
        <v>0.43</v>
      </c>
      <c r="BJ353">
        <v>20210818</v>
      </c>
      <c r="BK353">
        <v>19990429</v>
      </c>
      <c r="BL353">
        <v>6.25</v>
      </c>
      <c r="BM353" t="s">
        <v>120</v>
      </c>
      <c r="BN353" t="s">
        <v>120</v>
      </c>
      <c r="BO353">
        <v>119.85</v>
      </c>
      <c r="BP353">
        <v>6.92</v>
      </c>
      <c r="BQ353">
        <v>36.159999999999997</v>
      </c>
      <c r="BR353">
        <v>11.2</v>
      </c>
      <c r="BS353">
        <v>60.48</v>
      </c>
      <c r="BT353">
        <v>56.98</v>
      </c>
      <c r="BU353">
        <v>38.049999999999997</v>
      </c>
      <c r="BV353">
        <v>9.7899999999999991</v>
      </c>
      <c r="BW353">
        <v>61.72</v>
      </c>
      <c r="BX353">
        <v>10.43</v>
      </c>
      <c r="BY353">
        <v>19.41</v>
      </c>
      <c r="BZ353">
        <v>16.47</v>
      </c>
      <c r="CA353">
        <v>0</v>
      </c>
      <c r="CB353">
        <v>5.0599999999999996</v>
      </c>
      <c r="CC353">
        <v>113.6</v>
      </c>
      <c r="CD353">
        <v>110.06</v>
      </c>
      <c r="CE353">
        <v>1.97</v>
      </c>
      <c r="CF353">
        <v>0.14000000000000001</v>
      </c>
      <c r="CG353">
        <v>2.1</v>
      </c>
      <c r="CH353">
        <v>1.54</v>
      </c>
      <c r="CI353">
        <v>1.29</v>
      </c>
      <c r="CJ353">
        <v>-0.09</v>
      </c>
      <c r="CK353">
        <v>1.03</v>
      </c>
      <c r="CL353">
        <v>22.48</v>
      </c>
      <c r="CM353">
        <v>-2.86</v>
      </c>
      <c r="CN353">
        <v>4.1399999999999997</v>
      </c>
      <c r="CO353">
        <v>44218</v>
      </c>
      <c r="CP353">
        <v>11347</v>
      </c>
      <c r="CQ353" t="s">
        <v>2384</v>
      </c>
      <c r="CR353">
        <v>168.35</v>
      </c>
      <c r="CS353">
        <v>70.180000000000007</v>
      </c>
      <c r="CT353">
        <v>1.2</v>
      </c>
      <c r="CU353">
        <v>-15.16</v>
      </c>
      <c r="CV353">
        <v>0.38</v>
      </c>
      <c r="CW353">
        <v>0.26</v>
      </c>
      <c r="CX353" t="s">
        <v>2385</v>
      </c>
      <c r="CY353">
        <v>5.78</v>
      </c>
      <c r="CZ353">
        <v>0</v>
      </c>
      <c r="DA353">
        <v>0.81</v>
      </c>
      <c r="DB353">
        <v>3.6</v>
      </c>
      <c r="DC353">
        <v>-0.46</v>
      </c>
      <c r="DD353">
        <v>30.17</v>
      </c>
      <c r="DE353" t="s">
        <v>2386</v>
      </c>
      <c r="DF353">
        <v>3.12</v>
      </c>
      <c r="DG353">
        <v>1.73</v>
      </c>
      <c r="DH353">
        <v>1.1399999999999999</v>
      </c>
      <c r="DI353">
        <v>0</v>
      </c>
      <c r="DJ353">
        <v>4627</v>
      </c>
      <c r="DK353">
        <v>905</v>
      </c>
      <c r="DL353" t="s">
        <v>120</v>
      </c>
      <c r="DM353" t="s">
        <v>120</v>
      </c>
      <c r="DN353" t="s">
        <v>120</v>
      </c>
    </row>
    <row r="354" spans="1:118">
      <c r="A354" t="str">
        <f>"000906"</f>
        <v>000906</v>
      </c>
      <c r="B354" t="s">
        <v>2387</v>
      </c>
      <c r="C354">
        <v>-2.4500000000000002</v>
      </c>
      <c r="D354">
        <v>0.09</v>
      </c>
      <c r="E354">
        <v>0.17</v>
      </c>
      <c r="F354">
        <v>334</v>
      </c>
      <c r="G354" t="s">
        <v>924</v>
      </c>
      <c r="H354">
        <v>5012.99</v>
      </c>
      <c r="I354">
        <v>12.09</v>
      </c>
      <c r="J354" t="s">
        <v>120</v>
      </c>
      <c r="K354" t="s">
        <v>2388</v>
      </c>
      <c r="L354">
        <v>0.64</v>
      </c>
      <c r="M354">
        <v>11.54</v>
      </c>
      <c r="N354">
        <v>0.89</v>
      </c>
      <c r="O354">
        <v>1.18</v>
      </c>
      <c r="P354">
        <v>11.97</v>
      </c>
      <c r="Q354">
        <v>-2.54</v>
      </c>
      <c r="R354">
        <v>11.53</v>
      </c>
      <c r="S354">
        <v>11.85</v>
      </c>
      <c r="T354">
        <v>42688</v>
      </c>
      <c r="U354">
        <v>11.54</v>
      </c>
      <c r="V354">
        <v>11.83</v>
      </c>
      <c r="W354">
        <v>10.84</v>
      </c>
      <c r="X354" t="s">
        <v>454</v>
      </c>
      <c r="Y354" t="s">
        <v>585</v>
      </c>
      <c r="Z354">
        <v>3.72</v>
      </c>
      <c r="AA354">
        <v>11.74</v>
      </c>
      <c r="AB354">
        <v>24845</v>
      </c>
      <c r="AC354">
        <v>17843</v>
      </c>
      <c r="AD354">
        <v>1.39</v>
      </c>
      <c r="AE354">
        <v>365</v>
      </c>
      <c r="AF354">
        <v>23</v>
      </c>
      <c r="AG354" t="s">
        <v>120</v>
      </c>
      <c r="AH354">
        <v>0</v>
      </c>
      <c r="AI354" t="s">
        <v>120</v>
      </c>
      <c r="AJ354">
        <v>6.65</v>
      </c>
      <c r="AK354" t="s">
        <v>2389</v>
      </c>
      <c r="AL354">
        <v>-0.54</v>
      </c>
      <c r="AM354">
        <v>1671</v>
      </c>
      <c r="AN354">
        <v>26</v>
      </c>
      <c r="AO354">
        <v>4.0000000000000002E-4</v>
      </c>
      <c r="AP354">
        <v>-1</v>
      </c>
      <c r="AQ354">
        <v>0.25</v>
      </c>
      <c r="AR354">
        <v>-4.55</v>
      </c>
      <c r="AS354">
        <v>10.96</v>
      </c>
      <c r="AT354">
        <v>-10.89</v>
      </c>
      <c r="AU354">
        <v>80.87</v>
      </c>
      <c r="AV354">
        <v>0</v>
      </c>
      <c r="AW354">
        <v>1.34</v>
      </c>
      <c r="AX354">
        <v>47.38</v>
      </c>
      <c r="AY354">
        <v>11.09</v>
      </c>
      <c r="AZ354">
        <v>14.37</v>
      </c>
      <c r="BA354">
        <v>1.1000000000000001</v>
      </c>
      <c r="BB354" t="s">
        <v>143</v>
      </c>
      <c r="BF354">
        <v>-0.73</v>
      </c>
      <c r="BG354">
        <v>-2.62</v>
      </c>
      <c r="BH354">
        <v>-3.59</v>
      </c>
      <c r="BI354">
        <v>0.09</v>
      </c>
      <c r="BJ354">
        <v>20210901</v>
      </c>
      <c r="BK354">
        <v>19990707</v>
      </c>
      <c r="BL354">
        <v>6.74</v>
      </c>
      <c r="BM354" t="s">
        <v>120</v>
      </c>
      <c r="BN354" t="s">
        <v>120</v>
      </c>
      <c r="BO354">
        <v>322.56</v>
      </c>
      <c r="BP354">
        <v>11.53</v>
      </c>
      <c r="BQ354">
        <v>40.25</v>
      </c>
      <c r="BR354">
        <v>13.89</v>
      </c>
      <c r="BS354">
        <v>83.22</v>
      </c>
      <c r="BT354">
        <v>302.77999999999997</v>
      </c>
      <c r="BU354">
        <v>4.2300000000000004</v>
      </c>
      <c r="BV354">
        <v>3.65</v>
      </c>
      <c r="BW354">
        <v>265.8</v>
      </c>
      <c r="BX354">
        <v>44.26</v>
      </c>
      <c r="BY354">
        <v>95.78</v>
      </c>
      <c r="BZ354">
        <v>80.73</v>
      </c>
      <c r="CA354" t="s">
        <v>120</v>
      </c>
      <c r="CB354">
        <v>6.77</v>
      </c>
      <c r="CC354">
        <v>861.73</v>
      </c>
      <c r="CD354">
        <v>849.31</v>
      </c>
      <c r="CE354">
        <v>5.4</v>
      </c>
      <c r="CF354">
        <v>1.1000000000000001</v>
      </c>
      <c r="CG354">
        <v>5.54</v>
      </c>
      <c r="CH354">
        <v>4.24</v>
      </c>
      <c r="CI354">
        <v>3.59</v>
      </c>
      <c r="CJ354">
        <v>-0.28999999999999998</v>
      </c>
      <c r="CK354">
        <v>2.9</v>
      </c>
      <c r="CL354">
        <v>15.46</v>
      </c>
      <c r="CM354">
        <v>-69.42</v>
      </c>
      <c r="CN354">
        <v>1.79</v>
      </c>
      <c r="CO354">
        <v>15807</v>
      </c>
      <c r="CP354">
        <v>20210</v>
      </c>
      <c r="CQ354" t="s">
        <v>2390</v>
      </c>
      <c r="CR354">
        <v>84.26</v>
      </c>
      <c r="CS354">
        <v>89.89</v>
      </c>
      <c r="CT354">
        <v>2.57</v>
      </c>
      <c r="CU354">
        <v>-1.1200000000000001</v>
      </c>
      <c r="CV354">
        <v>0.09</v>
      </c>
      <c r="CW354">
        <v>2.54</v>
      </c>
      <c r="CX354" t="s">
        <v>2391</v>
      </c>
      <c r="CY354">
        <v>4.49</v>
      </c>
      <c r="CZ354">
        <v>4.49</v>
      </c>
      <c r="DA354">
        <v>1</v>
      </c>
      <c r="DB354">
        <v>2.29</v>
      </c>
      <c r="DC354">
        <v>-10.3</v>
      </c>
      <c r="DD354">
        <v>12.48</v>
      </c>
      <c r="DE354" t="s">
        <v>2392</v>
      </c>
      <c r="DF354">
        <v>1.44</v>
      </c>
      <c r="DG354">
        <v>0.63</v>
      </c>
      <c r="DH354">
        <v>0.42</v>
      </c>
      <c r="DI354">
        <v>0.01</v>
      </c>
      <c r="DJ354">
        <v>1865</v>
      </c>
      <c r="DK354">
        <v>906</v>
      </c>
      <c r="DL354" t="s">
        <v>120</v>
      </c>
      <c r="DM354" t="s">
        <v>120</v>
      </c>
      <c r="DN354" t="s">
        <v>120</v>
      </c>
    </row>
    <row r="355" spans="1:118">
      <c r="A355" t="str">
        <f>"000908"</f>
        <v>000908</v>
      </c>
      <c r="B355" t="s">
        <v>2393</v>
      </c>
      <c r="C355">
        <v>-0.24</v>
      </c>
      <c r="D355">
        <v>0</v>
      </c>
      <c r="E355">
        <v>-0.24</v>
      </c>
      <c r="F355">
        <v>1811</v>
      </c>
      <c r="G355" t="s">
        <v>2394</v>
      </c>
      <c r="H355">
        <v>5557.05</v>
      </c>
      <c r="I355">
        <v>12.72</v>
      </c>
      <c r="J355" t="s">
        <v>120</v>
      </c>
      <c r="K355" t="s">
        <v>2395</v>
      </c>
      <c r="L355">
        <v>1.78</v>
      </c>
      <c r="M355">
        <v>4.09</v>
      </c>
      <c r="N355">
        <v>0.93</v>
      </c>
      <c r="O355">
        <v>1.95</v>
      </c>
      <c r="P355">
        <v>4.18</v>
      </c>
      <c r="Q355">
        <v>-0.49</v>
      </c>
      <c r="R355">
        <v>4.08</v>
      </c>
      <c r="S355">
        <v>4.09</v>
      </c>
      <c r="T355">
        <v>134654</v>
      </c>
      <c r="U355">
        <v>4.09</v>
      </c>
      <c r="V355">
        <v>4.0999999999999996</v>
      </c>
      <c r="W355">
        <v>21.47</v>
      </c>
      <c r="X355" t="s">
        <v>569</v>
      </c>
      <c r="Y355" t="s">
        <v>594</v>
      </c>
      <c r="Z355">
        <v>2.44</v>
      </c>
      <c r="AA355">
        <v>4.13</v>
      </c>
      <c r="AB355">
        <v>68250</v>
      </c>
      <c r="AC355">
        <v>66404</v>
      </c>
      <c r="AD355">
        <v>1.03</v>
      </c>
      <c r="AE355">
        <v>2413</v>
      </c>
      <c r="AF355">
        <v>286</v>
      </c>
      <c r="AG355" t="s">
        <v>120</v>
      </c>
      <c r="AH355">
        <v>0.01</v>
      </c>
      <c r="AI355" t="s">
        <v>120</v>
      </c>
      <c r="AJ355">
        <v>7.58</v>
      </c>
      <c r="AK355" t="s">
        <v>2396</v>
      </c>
      <c r="AL355">
        <v>1.67</v>
      </c>
      <c r="AM355">
        <v>2132</v>
      </c>
      <c r="AN355">
        <v>63</v>
      </c>
      <c r="AO355">
        <v>8.0000000000000004E-4</v>
      </c>
      <c r="AP355">
        <v>-3</v>
      </c>
      <c r="AQ355">
        <v>-0.97</v>
      </c>
      <c r="AR355">
        <v>-2.62</v>
      </c>
      <c r="AS355">
        <v>-1.68</v>
      </c>
      <c r="AT355">
        <v>-14.79</v>
      </c>
      <c r="AU355">
        <v>-9.91</v>
      </c>
      <c r="AV355">
        <v>14</v>
      </c>
      <c r="AW355">
        <v>2.2599999999999998</v>
      </c>
      <c r="AX355">
        <v>67.75</v>
      </c>
      <c r="AY355" t="s">
        <v>120</v>
      </c>
      <c r="AZ355" t="s">
        <v>120</v>
      </c>
      <c r="BA355">
        <v>0.27</v>
      </c>
      <c r="BB355" t="s">
        <v>143</v>
      </c>
      <c r="BF355">
        <v>0.66</v>
      </c>
      <c r="BG355">
        <v>0</v>
      </c>
      <c r="BH355">
        <v>-2.15</v>
      </c>
      <c r="BI355">
        <v>0.25</v>
      </c>
      <c r="BJ355">
        <v>20210901</v>
      </c>
      <c r="BK355">
        <v>19990203</v>
      </c>
      <c r="BL355">
        <v>8.8000000000000007</v>
      </c>
      <c r="BM355" t="s">
        <v>120</v>
      </c>
      <c r="BN355" t="s">
        <v>120</v>
      </c>
      <c r="BO355">
        <v>25.13</v>
      </c>
      <c r="BP355">
        <v>4.08</v>
      </c>
      <c r="BQ355">
        <v>6.04</v>
      </c>
      <c r="BR355">
        <v>0.98</v>
      </c>
      <c r="BS355">
        <v>72.08</v>
      </c>
      <c r="BT355">
        <v>8.84</v>
      </c>
      <c r="BU355">
        <v>8.98</v>
      </c>
      <c r="BV355">
        <v>1.05</v>
      </c>
      <c r="BW355">
        <v>16.5</v>
      </c>
      <c r="BX355">
        <v>1.05</v>
      </c>
      <c r="BY355">
        <v>2.1</v>
      </c>
      <c r="BZ355">
        <v>3.61</v>
      </c>
      <c r="CA355" t="s">
        <v>120</v>
      </c>
      <c r="CB355">
        <v>6.48</v>
      </c>
      <c r="CC355">
        <v>3.14</v>
      </c>
      <c r="CD355">
        <v>1.06</v>
      </c>
      <c r="CE355">
        <v>0.94</v>
      </c>
      <c r="CF355">
        <v>1.49</v>
      </c>
      <c r="CG355">
        <v>0.85</v>
      </c>
      <c r="CH355">
        <v>0.85</v>
      </c>
      <c r="CI355">
        <v>0.84</v>
      </c>
      <c r="CJ355">
        <v>-0.01</v>
      </c>
      <c r="CK355">
        <v>-0.69</v>
      </c>
      <c r="CL355">
        <v>-5.73</v>
      </c>
      <c r="CM355">
        <v>0.42</v>
      </c>
      <c r="CN355">
        <v>-0.55000000000000004</v>
      </c>
      <c r="CO355">
        <v>100908</v>
      </c>
      <c r="CP355">
        <v>5907</v>
      </c>
      <c r="CQ355" t="s">
        <v>2397</v>
      </c>
      <c r="CR355">
        <v>-39.53</v>
      </c>
      <c r="CS355">
        <v>-44.49</v>
      </c>
      <c r="CT355">
        <v>5.96</v>
      </c>
      <c r="CU355">
        <v>85.56</v>
      </c>
      <c r="CV355">
        <v>11.48</v>
      </c>
      <c r="CW355">
        <v>0</v>
      </c>
      <c r="CX355" t="s">
        <v>2398</v>
      </c>
      <c r="CY355">
        <v>0.69</v>
      </c>
      <c r="CZ355">
        <v>0</v>
      </c>
      <c r="DA355">
        <v>0.74</v>
      </c>
      <c r="DB355">
        <v>-0.65</v>
      </c>
      <c r="DC355">
        <v>0.05</v>
      </c>
      <c r="DD355">
        <v>24.03</v>
      </c>
      <c r="DE355" t="s">
        <v>2399</v>
      </c>
      <c r="DF355">
        <v>66.09</v>
      </c>
      <c r="DG355">
        <v>29.92</v>
      </c>
      <c r="DH355">
        <v>26.72</v>
      </c>
      <c r="DI355">
        <v>0.16</v>
      </c>
      <c r="DJ355">
        <v>2220</v>
      </c>
      <c r="DK355">
        <v>908</v>
      </c>
      <c r="DL355" t="s">
        <v>120</v>
      </c>
      <c r="DM355" t="s">
        <v>120</v>
      </c>
      <c r="DN355" t="s">
        <v>120</v>
      </c>
    </row>
    <row r="356" spans="1:118">
      <c r="A356" t="str">
        <f>"000909"</f>
        <v>000909</v>
      </c>
      <c r="B356" t="s">
        <v>2400</v>
      </c>
      <c r="C356">
        <v>-0.42</v>
      </c>
      <c r="D356">
        <v>-0.27</v>
      </c>
      <c r="E356">
        <v>0.14000000000000001</v>
      </c>
      <c r="F356">
        <v>421</v>
      </c>
      <c r="G356" t="s">
        <v>2401</v>
      </c>
      <c r="H356">
        <v>2203.5300000000002</v>
      </c>
      <c r="I356">
        <v>2.14</v>
      </c>
      <c r="J356" t="s">
        <v>120</v>
      </c>
      <c r="K356" t="s">
        <v>2402</v>
      </c>
      <c r="L356">
        <v>0.79</v>
      </c>
      <c r="M356">
        <v>7.09</v>
      </c>
      <c r="N356">
        <v>0.91</v>
      </c>
      <c r="O356">
        <v>1.83</v>
      </c>
      <c r="P356">
        <v>7.25</v>
      </c>
      <c r="Q356">
        <v>-0.7</v>
      </c>
      <c r="R356">
        <v>7.07</v>
      </c>
      <c r="S356">
        <v>7.13</v>
      </c>
      <c r="T356">
        <v>30751</v>
      </c>
      <c r="U356">
        <v>7.1</v>
      </c>
      <c r="V356">
        <v>7.12</v>
      </c>
      <c r="W356">
        <v>53.32</v>
      </c>
      <c r="X356" t="s">
        <v>166</v>
      </c>
      <c r="Y356" t="s">
        <v>585</v>
      </c>
      <c r="Z356">
        <v>2.5299999999999998</v>
      </c>
      <c r="AA356">
        <v>7.17</v>
      </c>
      <c r="AB356">
        <v>14577</v>
      </c>
      <c r="AC356">
        <v>16174</v>
      </c>
      <c r="AD356">
        <v>0.9</v>
      </c>
      <c r="AE356">
        <v>10</v>
      </c>
      <c r="AF356">
        <v>10</v>
      </c>
      <c r="AG356" t="s">
        <v>120</v>
      </c>
      <c r="AH356">
        <v>0</v>
      </c>
      <c r="AI356" t="s">
        <v>120</v>
      </c>
      <c r="AJ356">
        <v>3.87</v>
      </c>
      <c r="AK356" t="s">
        <v>2403</v>
      </c>
      <c r="AL356">
        <v>1.49</v>
      </c>
      <c r="AM356">
        <v>1103</v>
      </c>
      <c r="AN356">
        <v>28</v>
      </c>
      <c r="AO356">
        <v>6.9999999999999999E-4</v>
      </c>
      <c r="AP356">
        <v>-1</v>
      </c>
      <c r="AQ356">
        <v>1.1399999999999999</v>
      </c>
      <c r="AR356">
        <v>-2.4700000000000002</v>
      </c>
      <c r="AS356">
        <v>3.35</v>
      </c>
      <c r="AT356">
        <v>-2.67</v>
      </c>
      <c r="AU356">
        <v>-12.95</v>
      </c>
      <c r="AV356">
        <v>1</v>
      </c>
      <c r="AW356">
        <v>1.25</v>
      </c>
      <c r="AX356">
        <v>54.17</v>
      </c>
      <c r="AY356">
        <v>66.88</v>
      </c>
      <c r="AZ356">
        <v>75.08</v>
      </c>
      <c r="BA356">
        <v>0.14000000000000001</v>
      </c>
      <c r="BB356" t="s">
        <v>143</v>
      </c>
      <c r="BF356">
        <v>0.64</v>
      </c>
      <c r="BG356">
        <v>-0.56000000000000005</v>
      </c>
      <c r="BH356">
        <v>-2.21</v>
      </c>
      <c r="BI356">
        <v>0.28000000000000003</v>
      </c>
      <c r="BJ356">
        <v>20210831</v>
      </c>
      <c r="BK356">
        <v>19990507</v>
      </c>
      <c r="BL356">
        <v>4.54</v>
      </c>
      <c r="BM356" t="s">
        <v>120</v>
      </c>
      <c r="BN356" t="s">
        <v>120</v>
      </c>
      <c r="BO356">
        <v>43.66</v>
      </c>
      <c r="BP356">
        <v>7.09</v>
      </c>
      <c r="BQ356">
        <v>18.21</v>
      </c>
      <c r="BR356">
        <v>1.73</v>
      </c>
      <c r="BS356">
        <v>54.33</v>
      </c>
      <c r="BT356">
        <v>27.75</v>
      </c>
      <c r="BU356">
        <v>0.14000000000000001</v>
      </c>
      <c r="BV356">
        <v>0.02</v>
      </c>
      <c r="BW356">
        <v>14.51</v>
      </c>
      <c r="BX356">
        <v>4.25</v>
      </c>
      <c r="BY356">
        <v>11.21</v>
      </c>
      <c r="BZ356">
        <v>3.41</v>
      </c>
      <c r="CA356">
        <v>0.34</v>
      </c>
      <c r="CB356">
        <v>9.9700000000000006</v>
      </c>
      <c r="CC356">
        <v>9.82</v>
      </c>
      <c r="CD356">
        <v>7.96</v>
      </c>
      <c r="CE356">
        <v>0.99</v>
      </c>
      <c r="CF356">
        <v>-0.03</v>
      </c>
      <c r="CG356">
        <v>1</v>
      </c>
      <c r="CH356">
        <v>0.68</v>
      </c>
      <c r="CI356">
        <v>0.3</v>
      </c>
      <c r="CJ356">
        <v>-0.03</v>
      </c>
      <c r="CK356">
        <v>0.26</v>
      </c>
      <c r="CL356">
        <v>3.64</v>
      </c>
      <c r="CM356">
        <v>-0.44</v>
      </c>
      <c r="CN356">
        <v>-1.05</v>
      </c>
      <c r="CO356">
        <v>27639</v>
      </c>
      <c r="CP356">
        <v>8894</v>
      </c>
      <c r="CQ356" t="s">
        <v>2404</v>
      </c>
      <c r="CR356">
        <v>21.18</v>
      </c>
      <c r="CS356">
        <v>129.96</v>
      </c>
      <c r="CT356">
        <v>1.77</v>
      </c>
      <c r="CU356">
        <v>-72.91</v>
      </c>
      <c r="CV356">
        <v>3.28</v>
      </c>
      <c r="CW356">
        <v>0.49</v>
      </c>
      <c r="CX356" t="s">
        <v>679</v>
      </c>
      <c r="CY356">
        <v>4.01</v>
      </c>
      <c r="CZ356">
        <v>0</v>
      </c>
      <c r="DA356">
        <v>2.2000000000000002</v>
      </c>
      <c r="DB356">
        <v>0.8</v>
      </c>
      <c r="DC356">
        <v>-0.1</v>
      </c>
      <c r="DD356">
        <v>41.7</v>
      </c>
      <c r="DE356" t="s">
        <v>2405</v>
      </c>
      <c r="DF356">
        <v>18.98</v>
      </c>
      <c r="DG356">
        <v>10.029999999999999</v>
      </c>
      <c r="DH356">
        <v>3.07</v>
      </c>
      <c r="DI356">
        <v>0.11</v>
      </c>
      <c r="DJ356">
        <v>553</v>
      </c>
      <c r="DK356">
        <v>909</v>
      </c>
      <c r="DL356" t="s">
        <v>120</v>
      </c>
      <c r="DM356" t="s">
        <v>120</v>
      </c>
      <c r="DN356" t="s">
        <v>120</v>
      </c>
    </row>
    <row r="357" spans="1:118">
      <c r="A357" t="str">
        <f>"000910"</f>
        <v>000910</v>
      </c>
      <c r="B357" t="s">
        <v>2406</v>
      </c>
      <c r="C357">
        <v>-1.56</v>
      </c>
      <c r="D357">
        <v>-7.0000000000000007E-2</v>
      </c>
      <c r="E357">
        <v>0.08</v>
      </c>
      <c r="F357">
        <v>443</v>
      </c>
      <c r="G357" t="s">
        <v>2407</v>
      </c>
      <c r="H357">
        <v>7363.94</v>
      </c>
      <c r="I357">
        <v>11.28</v>
      </c>
      <c r="J357" t="s">
        <v>120</v>
      </c>
      <c r="K357" t="s">
        <v>2408</v>
      </c>
      <c r="L357">
        <v>1.06</v>
      </c>
      <c r="M357">
        <v>12.61</v>
      </c>
      <c r="N357">
        <v>0.98</v>
      </c>
      <c r="O357">
        <v>0.94</v>
      </c>
      <c r="P357">
        <v>12.93</v>
      </c>
      <c r="Q357">
        <v>-1.64</v>
      </c>
      <c r="R357">
        <v>12.6</v>
      </c>
      <c r="S357">
        <v>12.82</v>
      </c>
      <c r="T357">
        <v>57881</v>
      </c>
      <c r="U357">
        <v>12.62</v>
      </c>
      <c r="V357">
        <v>12.81</v>
      </c>
      <c r="W357">
        <v>11.44</v>
      </c>
      <c r="X357" t="s">
        <v>2409</v>
      </c>
      <c r="Y357" t="s">
        <v>319</v>
      </c>
      <c r="Z357">
        <v>2.58</v>
      </c>
      <c r="AA357">
        <v>12.72</v>
      </c>
      <c r="AB357">
        <v>33848</v>
      </c>
      <c r="AC357">
        <v>24033</v>
      </c>
      <c r="AD357">
        <v>1.41</v>
      </c>
      <c r="AE357">
        <v>1309</v>
      </c>
      <c r="AF357">
        <v>947</v>
      </c>
      <c r="AG357" t="s">
        <v>120</v>
      </c>
      <c r="AH357">
        <v>0</v>
      </c>
      <c r="AI357" t="s">
        <v>120</v>
      </c>
      <c r="AJ357">
        <v>5.47</v>
      </c>
      <c r="AK357" t="s">
        <v>2410</v>
      </c>
      <c r="AL357">
        <v>0.35</v>
      </c>
      <c r="AM357">
        <v>2154</v>
      </c>
      <c r="AN357">
        <v>27</v>
      </c>
      <c r="AO357">
        <v>5.0000000000000001E-4</v>
      </c>
      <c r="AP357">
        <v>-4</v>
      </c>
      <c r="AQ357">
        <v>-1.84</v>
      </c>
      <c r="AR357">
        <v>-6.87</v>
      </c>
      <c r="AS357">
        <v>-0.4</v>
      </c>
      <c r="AT357">
        <v>5.08</v>
      </c>
      <c r="AU357">
        <v>-8.6199999999999992</v>
      </c>
      <c r="AV357">
        <v>0</v>
      </c>
      <c r="AW357">
        <v>1.98</v>
      </c>
      <c r="AX357">
        <v>53.51</v>
      </c>
      <c r="AY357">
        <v>9.1199999999999992</v>
      </c>
      <c r="AZ357">
        <v>11.21</v>
      </c>
      <c r="BA357">
        <v>0.63</v>
      </c>
      <c r="BB357" t="s">
        <v>2411</v>
      </c>
      <c r="BF357">
        <v>-0.68</v>
      </c>
      <c r="BG357">
        <v>-1.64</v>
      </c>
      <c r="BH357">
        <v>-2.4700000000000002</v>
      </c>
      <c r="BI357">
        <v>0.08</v>
      </c>
      <c r="BJ357">
        <v>20210827</v>
      </c>
      <c r="BK357">
        <v>19990630</v>
      </c>
      <c r="BL357">
        <v>5.47</v>
      </c>
      <c r="BM357" t="s">
        <v>120</v>
      </c>
      <c r="BN357" t="s">
        <v>120</v>
      </c>
      <c r="BO357">
        <v>91.8</v>
      </c>
      <c r="BP357">
        <v>12.61</v>
      </c>
      <c r="BQ357">
        <v>58.15</v>
      </c>
      <c r="BR357">
        <v>1.7</v>
      </c>
      <c r="BS357">
        <v>34.81</v>
      </c>
      <c r="BT357">
        <v>64.19</v>
      </c>
      <c r="BU357">
        <v>18.100000000000001</v>
      </c>
      <c r="BV357">
        <v>4.58</v>
      </c>
      <c r="BW357">
        <v>30</v>
      </c>
      <c r="BX357">
        <v>18.690000000000001</v>
      </c>
      <c r="BY357">
        <v>25.04</v>
      </c>
      <c r="BZ357">
        <v>14.77</v>
      </c>
      <c r="CA357" t="s">
        <v>120</v>
      </c>
      <c r="CB357">
        <v>2.38</v>
      </c>
      <c r="CC357">
        <v>35.630000000000003</v>
      </c>
      <c r="CD357">
        <v>25.25</v>
      </c>
      <c r="CE357">
        <v>3.73</v>
      </c>
      <c r="CF357">
        <v>0.21</v>
      </c>
      <c r="CG357">
        <v>3.72</v>
      </c>
      <c r="CH357">
        <v>3.07</v>
      </c>
      <c r="CI357">
        <v>3.02</v>
      </c>
      <c r="CJ357">
        <v>-0.2</v>
      </c>
      <c r="CK357">
        <v>2.72</v>
      </c>
      <c r="CL357">
        <v>47.19</v>
      </c>
      <c r="CM357">
        <v>1.53</v>
      </c>
      <c r="CN357">
        <v>-1.1200000000000001</v>
      </c>
      <c r="CO357">
        <v>27470</v>
      </c>
      <c r="CP357">
        <v>10664</v>
      </c>
      <c r="CQ357" t="s">
        <v>2412</v>
      </c>
      <c r="CR357">
        <v>90.44</v>
      </c>
      <c r="CS357">
        <v>40.270000000000003</v>
      </c>
      <c r="CT357">
        <v>1.19</v>
      </c>
      <c r="CU357">
        <v>45.22</v>
      </c>
      <c r="CV357">
        <v>1.94</v>
      </c>
      <c r="CW357">
        <v>1.25</v>
      </c>
      <c r="CX357" t="s">
        <v>1581</v>
      </c>
      <c r="CY357">
        <v>10.62</v>
      </c>
      <c r="CZ357">
        <v>0</v>
      </c>
      <c r="DA357">
        <v>0.43</v>
      </c>
      <c r="DB357">
        <v>8.6199999999999992</v>
      </c>
      <c r="DC357">
        <v>0.28000000000000003</v>
      </c>
      <c r="DD357">
        <v>63.35</v>
      </c>
      <c r="DE357" t="s">
        <v>2413</v>
      </c>
      <c r="DF357">
        <v>29.15</v>
      </c>
      <c r="DG357">
        <v>10.47</v>
      </c>
      <c r="DH357">
        <v>8.4700000000000006</v>
      </c>
      <c r="DI357">
        <v>0.66</v>
      </c>
      <c r="DJ357">
        <v>6762</v>
      </c>
      <c r="DK357">
        <v>910</v>
      </c>
      <c r="DL357" t="s">
        <v>120</v>
      </c>
      <c r="DM357" t="s">
        <v>120</v>
      </c>
      <c r="DN357" t="s">
        <v>120</v>
      </c>
    </row>
    <row r="358" spans="1:118">
      <c r="A358" t="str">
        <f>"000911"</f>
        <v>000911</v>
      </c>
      <c r="B358" t="s">
        <v>2414</v>
      </c>
      <c r="C358">
        <v>-0.08</v>
      </c>
      <c r="D358">
        <v>-7.0000000000000007E-2</v>
      </c>
      <c r="E358">
        <v>2.8</v>
      </c>
      <c r="F358">
        <v>2363</v>
      </c>
      <c r="G358" t="s">
        <v>2415</v>
      </c>
      <c r="H358">
        <v>20717.560000000001</v>
      </c>
      <c r="I358">
        <v>429.54</v>
      </c>
      <c r="J358" t="s">
        <v>120</v>
      </c>
      <c r="K358" t="s">
        <v>2416</v>
      </c>
      <c r="L358">
        <v>5.31</v>
      </c>
      <c r="M358">
        <v>11.77</v>
      </c>
      <c r="N358">
        <v>1.22</v>
      </c>
      <c r="O358">
        <v>5.09</v>
      </c>
      <c r="P358">
        <v>12.38</v>
      </c>
      <c r="Q358">
        <v>-1.19</v>
      </c>
      <c r="R358">
        <v>11.64</v>
      </c>
      <c r="S358">
        <v>12.11</v>
      </c>
      <c r="T358">
        <v>172193</v>
      </c>
      <c r="U358">
        <v>11.78</v>
      </c>
      <c r="V358">
        <v>11.78</v>
      </c>
      <c r="W358">
        <v>375.98</v>
      </c>
      <c r="X358" t="s">
        <v>847</v>
      </c>
      <c r="Y358" t="s">
        <v>945</v>
      </c>
      <c r="Z358">
        <v>6.28</v>
      </c>
      <c r="AA358">
        <v>12.03</v>
      </c>
      <c r="AB358">
        <v>95101</v>
      </c>
      <c r="AC358">
        <v>77092</v>
      </c>
      <c r="AD358">
        <v>1.23</v>
      </c>
      <c r="AE358">
        <v>158</v>
      </c>
      <c r="AF358">
        <v>138</v>
      </c>
      <c r="AG358" t="s">
        <v>120</v>
      </c>
      <c r="AH358">
        <v>0.21</v>
      </c>
      <c r="AI358" t="s">
        <v>120</v>
      </c>
      <c r="AJ358">
        <v>3.24</v>
      </c>
      <c r="AK358" t="s">
        <v>2416</v>
      </c>
      <c r="AL358">
        <v>1.83</v>
      </c>
      <c r="AM358">
        <v>3160</v>
      </c>
      <c r="AN358">
        <v>54</v>
      </c>
      <c r="AO358">
        <v>1.6999999999999999E-3</v>
      </c>
      <c r="AP358">
        <v>-5</v>
      </c>
      <c r="AQ358">
        <v>-1.42</v>
      </c>
      <c r="AR358">
        <v>-5.84</v>
      </c>
      <c r="AS358">
        <v>2.61</v>
      </c>
      <c r="AT358">
        <v>20.84</v>
      </c>
      <c r="AU358">
        <v>53.46</v>
      </c>
      <c r="AV358">
        <v>7</v>
      </c>
      <c r="AW358">
        <v>10.06</v>
      </c>
      <c r="AX358">
        <v>52.8</v>
      </c>
      <c r="AY358">
        <v>436.1</v>
      </c>
      <c r="AZ358">
        <v>87.06</v>
      </c>
      <c r="BA358">
        <v>0</v>
      </c>
      <c r="BB358" t="s">
        <v>143</v>
      </c>
      <c r="BF358">
        <v>2.14</v>
      </c>
      <c r="BG358">
        <v>-2.81</v>
      </c>
      <c r="BH358">
        <v>-4.93</v>
      </c>
      <c r="BI358">
        <v>1.1200000000000001</v>
      </c>
      <c r="BJ358">
        <v>20210901</v>
      </c>
      <c r="BK358">
        <v>19990527</v>
      </c>
      <c r="BL358">
        <v>3.24</v>
      </c>
      <c r="BM358" t="s">
        <v>120</v>
      </c>
      <c r="BN358" t="s">
        <v>120</v>
      </c>
      <c r="BO358">
        <v>54.73</v>
      </c>
      <c r="BP358">
        <v>11.77</v>
      </c>
      <c r="BQ358">
        <v>1.27</v>
      </c>
      <c r="BR358">
        <v>1.32</v>
      </c>
      <c r="BS358">
        <v>95.28</v>
      </c>
      <c r="BT358">
        <v>24.79</v>
      </c>
      <c r="BU358">
        <v>17</v>
      </c>
      <c r="BV358">
        <v>4.6399999999999997</v>
      </c>
      <c r="BW358">
        <v>45.38</v>
      </c>
      <c r="BX358">
        <v>6.44</v>
      </c>
      <c r="BY358">
        <v>4.2699999999999996</v>
      </c>
      <c r="BZ358">
        <v>4.54</v>
      </c>
      <c r="CA358">
        <v>0.03</v>
      </c>
      <c r="CB358">
        <v>14.48</v>
      </c>
      <c r="CC358">
        <v>19.79</v>
      </c>
      <c r="CD358">
        <v>18.02</v>
      </c>
      <c r="CE358">
        <v>0.13</v>
      </c>
      <c r="CF358">
        <v>0</v>
      </c>
      <c r="CG358">
        <v>0.13</v>
      </c>
      <c r="CH358">
        <v>0.04</v>
      </c>
      <c r="CI358">
        <v>0.05</v>
      </c>
      <c r="CJ358">
        <v>-0.01</v>
      </c>
      <c r="CK358">
        <v>-0.45</v>
      </c>
      <c r="CL358">
        <v>-17.96</v>
      </c>
      <c r="CM358">
        <v>-5.6</v>
      </c>
      <c r="CN358">
        <v>-2.6</v>
      </c>
      <c r="CO358">
        <v>35000</v>
      </c>
      <c r="CP358">
        <v>4889</v>
      </c>
      <c r="CQ358" t="s">
        <v>498</v>
      </c>
      <c r="CR358">
        <v>-87.37</v>
      </c>
      <c r="CS358">
        <v>-13.98</v>
      </c>
      <c r="CT358">
        <v>30.05</v>
      </c>
      <c r="CU358">
        <v>-6.81</v>
      </c>
      <c r="CV358">
        <v>1.93</v>
      </c>
      <c r="CW358">
        <v>0</v>
      </c>
      <c r="CX358" t="s">
        <v>499</v>
      </c>
      <c r="CY358">
        <v>0.39</v>
      </c>
      <c r="CZ358">
        <v>0</v>
      </c>
      <c r="DA358">
        <v>4.47</v>
      </c>
      <c r="DB358">
        <v>-5.54</v>
      </c>
      <c r="DC358">
        <v>-1.73</v>
      </c>
      <c r="DD358">
        <v>2.3199999999999998</v>
      </c>
      <c r="DE358" t="s">
        <v>2417</v>
      </c>
      <c r="DF358">
        <v>8.93</v>
      </c>
      <c r="DG358">
        <v>0.67</v>
      </c>
      <c r="DH358">
        <v>0.26</v>
      </c>
      <c r="DI358">
        <v>0.02</v>
      </c>
      <c r="DJ358">
        <v>3941</v>
      </c>
      <c r="DK358">
        <v>911</v>
      </c>
      <c r="DL358" t="s">
        <v>120</v>
      </c>
      <c r="DM358" t="s">
        <v>120</v>
      </c>
      <c r="DN358" t="s">
        <v>120</v>
      </c>
    </row>
    <row r="359" spans="1:118">
      <c r="A359" t="str">
        <f>"000912"</f>
        <v>000912</v>
      </c>
      <c r="B359" t="s">
        <v>2418</v>
      </c>
      <c r="C359">
        <v>9.98</v>
      </c>
      <c r="D359">
        <v>0</v>
      </c>
      <c r="E359">
        <v>4.3</v>
      </c>
      <c r="F359">
        <v>1197</v>
      </c>
      <c r="G359" t="s">
        <v>2419</v>
      </c>
      <c r="H359">
        <v>61847.53</v>
      </c>
      <c r="I359">
        <v>1291.32</v>
      </c>
      <c r="J359">
        <v>705.47</v>
      </c>
      <c r="K359" t="s">
        <v>2420</v>
      </c>
      <c r="L359">
        <v>5.6</v>
      </c>
      <c r="M359">
        <v>7.16</v>
      </c>
      <c r="N359">
        <v>1.83</v>
      </c>
      <c r="O359">
        <v>9.98</v>
      </c>
      <c r="P359">
        <v>7.16</v>
      </c>
      <c r="Q359">
        <v>4.1500000000000004</v>
      </c>
      <c r="R359">
        <v>6.78</v>
      </c>
      <c r="S359">
        <v>6.79</v>
      </c>
      <c r="T359">
        <v>877427</v>
      </c>
      <c r="U359" t="s">
        <v>120</v>
      </c>
      <c r="V359">
        <v>6.51</v>
      </c>
      <c r="W359">
        <v>18.170000000000002</v>
      </c>
      <c r="X359" t="s">
        <v>690</v>
      </c>
      <c r="Y359" t="s">
        <v>578</v>
      </c>
      <c r="Z359">
        <v>5.84</v>
      </c>
      <c r="AA359">
        <v>7.05</v>
      </c>
      <c r="AB359">
        <v>511516</v>
      </c>
      <c r="AC359">
        <v>365911</v>
      </c>
      <c r="AD359">
        <v>1.4</v>
      </c>
      <c r="AE359">
        <v>9853</v>
      </c>
      <c r="AF359">
        <v>0</v>
      </c>
      <c r="AG359" t="s">
        <v>120</v>
      </c>
      <c r="AH359">
        <v>0.28999999999999998</v>
      </c>
      <c r="AI359">
        <v>0.01</v>
      </c>
      <c r="AJ359">
        <v>15.68</v>
      </c>
      <c r="AK359" t="s">
        <v>2420</v>
      </c>
      <c r="AL359">
        <v>11.9</v>
      </c>
      <c r="AM359">
        <v>3483</v>
      </c>
      <c r="AN359">
        <v>252</v>
      </c>
      <c r="AO359">
        <v>1.6000000000000001E-3</v>
      </c>
      <c r="AP359">
        <v>2</v>
      </c>
      <c r="AQ359">
        <v>3.66</v>
      </c>
      <c r="AR359">
        <v>7.5</v>
      </c>
      <c r="AS359">
        <v>48.85</v>
      </c>
      <c r="AT359">
        <v>67.680000000000007</v>
      </c>
      <c r="AU359">
        <v>79.900000000000006</v>
      </c>
      <c r="AV359">
        <v>1</v>
      </c>
      <c r="AW359">
        <v>13.57</v>
      </c>
      <c r="AX359">
        <v>41.24</v>
      </c>
      <c r="AY359">
        <v>17.62</v>
      </c>
      <c r="AZ359">
        <v>26.8</v>
      </c>
      <c r="BA359">
        <v>0.77</v>
      </c>
      <c r="BB359" t="s">
        <v>184</v>
      </c>
      <c r="BF359">
        <v>8.2799999999999994</v>
      </c>
      <c r="BG359">
        <v>5.45</v>
      </c>
      <c r="BH359">
        <v>0</v>
      </c>
      <c r="BI359">
        <v>5.6</v>
      </c>
      <c r="BJ359">
        <v>20210902</v>
      </c>
      <c r="BK359">
        <v>19990603</v>
      </c>
      <c r="BL359">
        <v>15.68</v>
      </c>
      <c r="BM359" t="s">
        <v>120</v>
      </c>
      <c r="BN359" t="s">
        <v>120</v>
      </c>
      <c r="BO359">
        <v>93.66</v>
      </c>
      <c r="BP359">
        <v>7.16</v>
      </c>
      <c r="BQ359">
        <v>57.31</v>
      </c>
      <c r="BR359">
        <v>-0.04</v>
      </c>
      <c r="BS359">
        <v>38.85</v>
      </c>
      <c r="BT359">
        <v>44.84</v>
      </c>
      <c r="BU359">
        <v>39.200000000000003</v>
      </c>
      <c r="BV359">
        <v>1.37</v>
      </c>
      <c r="BW359">
        <v>27.86</v>
      </c>
      <c r="BX359">
        <v>31.12</v>
      </c>
      <c r="BY359">
        <v>4.01</v>
      </c>
      <c r="BZ359">
        <v>1.45</v>
      </c>
      <c r="CA359" t="s">
        <v>120</v>
      </c>
      <c r="CB359">
        <v>57.73</v>
      </c>
      <c r="CC359">
        <v>31.85</v>
      </c>
      <c r="CD359">
        <v>25.82</v>
      </c>
      <c r="CE359">
        <v>3.19</v>
      </c>
      <c r="CF359">
        <v>-0.22</v>
      </c>
      <c r="CG359">
        <v>3.17</v>
      </c>
      <c r="CH359">
        <v>3.08</v>
      </c>
      <c r="CI359">
        <v>3.09</v>
      </c>
      <c r="CJ359">
        <v>0.65</v>
      </c>
      <c r="CK359">
        <v>2.82</v>
      </c>
      <c r="CL359">
        <v>-20.94</v>
      </c>
      <c r="CM359">
        <v>2.5299999999999998</v>
      </c>
      <c r="CN359">
        <v>2.76</v>
      </c>
      <c r="CO359">
        <v>41971</v>
      </c>
      <c r="CP359">
        <v>15408</v>
      </c>
      <c r="CQ359" t="s">
        <v>2421</v>
      </c>
      <c r="CR359">
        <v>179.85</v>
      </c>
      <c r="CS359">
        <v>12.62</v>
      </c>
      <c r="CT359">
        <v>1.96</v>
      </c>
      <c r="CU359">
        <v>44.4</v>
      </c>
      <c r="CV359">
        <v>3.52</v>
      </c>
      <c r="CW359">
        <v>0</v>
      </c>
      <c r="CX359" t="s">
        <v>2422</v>
      </c>
      <c r="CY359">
        <v>3.66</v>
      </c>
      <c r="CZ359">
        <v>0</v>
      </c>
      <c r="DA359">
        <v>3.68</v>
      </c>
      <c r="DB359">
        <v>-1.34</v>
      </c>
      <c r="DC359">
        <v>0.16</v>
      </c>
      <c r="DD359">
        <v>61.19</v>
      </c>
      <c r="DE359" t="s">
        <v>2423</v>
      </c>
      <c r="DF359">
        <v>18.93</v>
      </c>
      <c r="DG359">
        <v>10.029999999999999</v>
      </c>
      <c r="DH359">
        <v>9.6999999999999993</v>
      </c>
      <c r="DI359">
        <v>0.11</v>
      </c>
      <c r="DJ359">
        <v>2987</v>
      </c>
      <c r="DK359">
        <v>912</v>
      </c>
      <c r="DL359" t="s">
        <v>120</v>
      </c>
      <c r="DM359" t="s">
        <v>120</v>
      </c>
      <c r="DN359" t="s">
        <v>120</v>
      </c>
    </row>
    <row r="360" spans="1:118">
      <c r="A360" t="str">
        <f>"000913"</f>
        <v>000913</v>
      </c>
      <c r="B360" t="s">
        <v>2424</v>
      </c>
      <c r="C360">
        <v>-3.5</v>
      </c>
      <c r="D360">
        <v>0.63</v>
      </c>
      <c r="E360">
        <v>-1.28</v>
      </c>
      <c r="F360">
        <v>904</v>
      </c>
      <c r="G360" t="s">
        <v>2425</v>
      </c>
      <c r="H360">
        <v>11360.08</v>
      </c>
      <c r="I360">
        <v>270.11</v>
      </c>
      <c r="J360" t="s">
        <v>120</v>
      </c>
      <c r="K360" t="s">
        <v>2426</v>
      </c>
      <c r="L360">
        <v>1.74</v>
      </c>
      <c r="M360">
        <v>14.35</v>
      </c>
      <c r="N360">
        <v>1.19</v>
      </c>
      <c r="O360">
        <v>0.27</v>
      </c>
      <c r="P360">
        <v>14.91</v>
      </c>
      <c r="Q360">
        <v>-4.37</v>
      </c>
      <c r="R360">
        <v>14.22</v>
      </c>
      <c r="S360">
        <v>14.68</v>
      </c>
      <c r="T360">
        <v>78868</v>
      </c>
      <c r="U360">
        <v>14.36</v>
      </c>
      <c r="V360">
        <v>14.87</v>
      </c>
      <c r="W360">
        <v>19.02</v>
      </c>
      <c r="X360" t="s">
        <v>2427</v>
      </c>
      <c r="Y360" t="s">
        <v>585</v>
      </c>
      <c r="Z360">
        <v>4.6399999999999997</v>
      </c>
      <c r="AA360">
        <v>14.4</v>
      </c>
      <c r="AB360">
        <v>48667</v>
      </c>
      <c r="AC360">
        <v>30201</v>
      </c>
      <c r="AD360">
        <v>1.61</v>
      </c>
      <c r="AE360">
        <v>88</v>
      </c>
      <c r="AF360">
        <v>29</v>
      </c>
      <c r="AG360" t="s">
        <v>120</v>
      </c>
      <c r="AH360">
        <v>7.0000000000000007E-2</v>
      </c>
      <c r="AI360" t="s">
        <v>120</v>
      </c>
      <c r="AJ360">
        <v>4.54</v>
      </c>
      <c r="AK360" t="s">
        <v>2426</v>
      </c>
      <c r="AL360">
        <v>-1.58</v>
      </c>
      <c r="AM360">
        <v>2849</v>
      </c>
      <c r="AN360">
        <v>28</v>
      </c>
      <c r="AO360">
        <v>5.9999999999999995E-4</v>
      </c>
      <c r="AP360">
        <v>-1</v>
      </c>
      <c r="AQ360">
        <v>1.92</v>
      </c>
      <c r="AR360">
        <v>-2.58</v>
      </c>
      <c r="AS360">
        <v>2.4300000000000002</v>
      </c>
      <c r="AT360">
        <v>-25.41</v>
      </c>
      <c r="AU360">
        <v>-43.92</v>
      </c>
      <c r="AV360">
        <v>1</v>
      </c>
      <c r="AW360">
        <v>2.97</v>
      </c>
      <c r="AX360">
        <v>58.55</v>
      </c>
      <c r="AY360">
        <v>23.58</v>
      </c>
      <c r="AZ360">
        <v>28.16</v>
      </c>
      <c r="BA360">
        <v>0.82</v>
      </c>
      <c r="BB360" t="s">
        <v>143</v>
      </c>
      <c r="BF360">
        <v>-3.13</v>
      </c>
      <c r="BG360">
        <v>-2.25</v>
      </c>
      <c r="BH360">
        <v>-3.76</v>
      </c>
      <c r="BI360">
        <v>0.91</v>
      </c>
      <c r="BJ360">
        <v>20210914</v>
      </c>
      <c r="BK360">
        <v>19990514</v>
      </c>
      <c r="BL360">
        <v>4.54</v>
      </c>
      <c r="BM360" t="s">
        <v>120</v>
      </c>
      <c r="BN360" t="s">
        <v>120</v>
      </c>
      <c r="BO360">
        <v>50.8</v>
      </c>
      <c r="BP360">
        <v>14.35</v>
      </c>
      <c r="BQ360">
        <v>29.18</v>
      </c>
      <c r="BR360">
        <v>-0.21</v>
      </c>
      <c r="BS360">
        <v>42.99</v>
      </c>
      <c r="BT360">
        <v>34.909999999999997</v>
      </c>
      <c r="BU360">
        <v>6.85</v>
      </c>
      <c r="BV360">
        <v>1.2</v>
      </c>
      <c r="BW360">
        <v>20.16</v>
      </c>
      <c r="BX360">
        <v>17.25</v>
      </c>
      <c r="BY360">
        <v>9.85</v>
      </c>
      <c r="BZ360">
        <v>3.8</v>
      </c>
      <c r="CA360" t="s">
        <v>120</v>
      </c>
      <c r="CB360">
        <v>13.78</v>
      </c>
      <c r="CC360">
        <v>21.31</v>
      </c>
      <c r="CD360">
        <v>15.48</v>
      </c>
      <c r="CE360">
        <v>1.1299999999999999</v>
      </c>
      <c r="CF360">
        <v>2.42</v>
      </c>
      <c r="CG360">
        <v>1.1499999999999999</v>
      </c>
      <c r="CH360">
        <v>1.05</v>
      </c>
      <c r="CI360">
        <v>1.71</v>
      </c>
      <c r="CJ360">
        <v>-0.52</v>
      </c>
      <c r="CK360">
        <v>1.18</v>
      </c>
      <c r="CL360">
        <v>7.81</v>
      </c>
      <c r="CM360">
        <v>2.58</v>
      </c>
      <c r="CN360">
        <v>5.7</v>
      </c>
      <c r="CO360">
        <v>26193</v>
      </c>
      <c r="CP360">
        <v>10139</v>
      </c>
      <c r="CQ360" t="s">
        <v>2428</v>
      </c>
      <c r="CR360">
        <v>37.28</v>
      </c>
      <c r="CS360">
        <v>40.72</v>
      </c>
      <c r="CT360">
        <v>2.23</v>
      </c>
      <c r="CU360">
        <v>25.22</v>
      </c>
      <c r="CV360">
        <v>3.05</v>
      </c>
      <c r="CW360">
        <v>0</v>
      </c>
      <c r="CX360" t="s">
        <v>2429</v>
      </c>
      <c r="CY360">
        <v>6.43</v>
      </c>
      <c r="CZ360">
        <v>0</v>
      </c>
      <c r="DA360">
        <v>3.04</v>
      </c>
      <c r="DB360">
        <v>1.72</v>
      </c>
      <c r="DC360">
        <v>0.56999999999999995</v>
      </c>
      <c r="DD360">
        <v>57.44</v>
      </c>
      <c r="DE360" t="s">
        <v>2430</v>
      </c>
      <c r="DF360">
        <v>27.35</v>
      </c>
      <c r="DG360">
        <v>5.28</v>
      </c>
      <c r="DH360">
        <v>8.0299999999999994</v>
      </c>
      <c r="DI360">
        <v>0.96</v>
      </c>
      <c r="DJ360">
        <v>4144</v>
      </c>
      <c r="DK360">
        <v>913</v>
      </c>
      <c r="DL360" t="s">
        <v>120</v>
      </c>
      <c r="DM360" t="s">
        <v>120</v>
      </c>
      <c r="DN360" t="s">
        <v>120</v>
      </c>
    </row>
    <row r="361" spans="1:118">
      <c r="A361" t="str">
        <f>"000915"</f>
        <v>000915</v>
      </c>
      <c r="B361" t="s">
        <v>2431</v>
      </c>
      <c r="C361">
        <v>-2.79</v>
      </c>
      <c r="D361">
        <v>0</v>
      </c>
      <c r="E361">
        <v>0.25</v>
      </c>
      <c r="F361">
        <v>197</v>
      </c>
      <c r="G361" t="s">
        <v>2432</v>
      </c>
      <c r="H361">
        <v>7748.95</v>
      </c>
      <c r="I361">
        <v>9.7899999999999991</v>
      </c>
      <c r="J361" t="s">
        <v>120</v>
      </c>
      <c r="K361" t="s">
        <v>2433</v>
      </c>
      <c r="L361">
        <v>1.21</v>
      </c>
      <c r="M361">
        <v>27.13</v>
      </c>
      <c r="N361">
        <v>0.91</v>
      </c>
      <c r="O361">
        <v>0.61</v>
      </c>
      <c r="P361">
        <v>28.08</v>
      </c>
      <c r="Q361">
        <v>-2.97</v>
      </c>
      <c r="R361">
        <v>27.08</v>
      </c>
      <c r="S361">
        <v>27.98</v>
      </c>
      <c r="T361">
        <v>28230</v>
      </c>
      <c r="U361">
        <v>27.14</v>
      </c>
      <c r="V361">
        <v>27.91</v>
      </c>
      <c r="W361">
        <v>13.87</v>
      </c>
      <c r="X361" t="s">
        <v>569</v>
      </c>
      <c r="Y361" t="s">
        <v>638</v>
      </c>
      <c r="Z361">
        <v>3.58</v>
      </c>
      <c r="AA361">
        <v>27.45</v>
      </c>
      <c r="AB361">
        <v>15664</v>
      </c>
      <c r="AC361">
        <v>12566</v>
      </c>
      <c r="AD361">
        <v>1.25</v>
      </c>
      <c r="AE361">
        <v>18</v>
      </c>
      <c r="AF361">
        <v>52</v>
      </c>
      <c r="AG361" t="s">
        <v>120</v>
      </c>
      <c r="AH361">
        <v>0</v>
      </c>
      <c r="AI361" t="s">
        <v>120</v>
      </c>
      <c r="AJ361">
        <v>2.34</v>
      </c>
      <c r="AK361" t="s">
        <v>2434</v>
      </c>
      <c r="AL361">
        <v>-0.88</v>
      </c>
      <c r="AM361">
        <v>2294</v>
      </c>
      <c r="AN361">
        <v>12</v>
      </c>
      <c r="AO361">
        <v>5.0000000000000001E-4</v>
      </c>
      <c r="AP361">
        <v>-3</v>
      </c>
      <c r="AQ361">
        <v>-0.25</v>
      </c>
      <c r="AR361">
        <v>-5.8</v>
      </c>
      <c r="AS361">
        <v>-22.28</v>
      </c>
      <c r="AT361">
        <v>5.32</v>
      </c>
      <c r="AU361">
        <v>17.75</v>
      </c>
      <c r="AV361">
        <v>3</v>
      </c>
      <c r="AW361">
        <v>1.55</v>
      </c>
      <c r="AX361">
        <v>77.930000000000007</v>
      </c>
      <c r="AY361">
        <v>16.989999999999998</v>
      </c>
      <c r="AZ361">
        <v>22.49</v>
      </c>
      <c r="BA361">
        <v>1.02</v>
      </c>
      <c r="BB361" t="s">
        <v>143</v>
      </c>
      <c r="BF361">
        <v>-1.65</v>
      </c>
      <c r="BG361">
        <v>-3.04</v>
      </c>
      <c r="BH361">
        <v>-3.38</v>
      </c>
      <c r="BI361">
        <v>0.18</v>
      </c>
      <c r="BJ361">
        <v>20210910</v>
      </c>
      <c r="BK361">
        <v>19990609</v>
      </c>
      <c r="BL361">
        <v>2.34</v>
      </c>
      <c r="BM361" t="s">
        <v>120</v>
      </c>
      <c r="BN361" t="s">
        <v>120</v>
      </c>
      <c r="BO361">
        <v>38.46</v>
      </c>
      <c r="BP361">
        <v>27.13</v>
      </c>
      <c r="BQ361">
        <v>21</v>
      </c>
      <c r="BR361">
        <v>11.75</v>
      </c>
      <c r="BS361">
        <v>14.85</v>
      </c>
      <c r="BT361">
        <v>24.41</v>
      </c>
      <c r="BU361">
        <v>8.82</v>
      </c>
      <c r="BV361">
        <v>1.54</v>
      </c>
      <c r="BW361">
        <v>4.8</v>
      </c>
      <c r="BX361">
        <v>9.17</v>
      </c>
      <c r="BY361">
        <v>1.62</v>
      </c>
      <c r="BZ361">
        <v>2.34</v>
      </c>
      <c r="CA361">
        <v>0.02</v>
      </c>
      <c r="CB361">
        <v>0.63</v>
      </c>
      <c r="CC361">
        <v>10.11</v>
      </c>
      <c r="CD361">
        <v>2.97</v>
      </c>
      <c r="CE361">
        <v>4.91</v>
      </c>
      <c r="CF361">
        <v>0.02</v>
      </c>
      <c r="CG361">
        <v>4.92</v>
      </c>
      <c r="CH361">
        <v>4.22</v>
      </c>
      <c r="CI361">
        <v>2.29</v>
      </c>
      <c r="CJ361">
        <v>-0.78</v>
      </c>
      <c r="CK361">
        <v>2.21</v>
      </c>
      <c r="CL361">
        <v>17.010000000000002</v>
      </c>
      <c r="CM361">
        <v>3.38</v>
      </c>
      <c r="CN361">
        <v>-5.74</v>
      </c>
      <c r="CO361">
        <v>20235</v>
      </c>
      <c r="CP361">
        <v>9024</v>
      </c>
      <c r="CQ361" t="s">
        <v>2435</v>
      </c>
      <c r="CR361">
        <v>69.8</v>
      </c>
      <c r="CS361">
        <v>21.45</v>
      </c>
      <c r="CT361">
        <v>3.03</v>
      </c>
      <c r="CU361">
        <v>18.82</v>
      </c>
      <c r="CV361">
        <v>6.29</v>
      </c>
      <c r="CW361">
        <v>1.25</v>
      </c>
      <c r="CX361" t="s">
        <v>2436</v>
      </c>
      <c r="CY361">
        <v>8.9600000000000009</v>
      </c>
      <c r="CZ361">
        <v>0</v>
      </c>
      <c r="DA361">
        <v>0.27</v>
      </c>
      <c r="DB361">
        <v>7.26</v>
      </c>
      <c r="DC361">
        <v>1.44</v>
      </c>
      <c r="DD361">
        <v>54.59</v>
      </c>
      <c r="DE361" t="s">
        <v>2437</v>
      </c>
      <c r="DF361">
        <v>70.67</v>
      </c>
      <c r="DG361">
        <v>48.54</v>
      </c>
      <c r="DH361">
        <v>22.67</v>
      </c>
      <c r="DI361">
        <v>0.26</v>
      </c>
      <c r="DJ361">
        <v>3066</v>
      </c>
      <c r="DK361">
        <v>915</v>
      </c>
      <c r="DL361" t="s">
        <v>120</v>
      </c>
      <c r="DM361" t="s">
        <v>120</v>
      </c>
      <c r="DN361" t="s">
        <v>120</v>
      </c>
    </row>
    <row r="362" spans="1:118">
      <c r="A362" t="str">
        <f>"000917"</f>
        <v>000917</v>
      </c>
      <c r="B362" t="s">
        <v>2438</v>
      </c>
      <c r="C362">
        <v>-1.97</v>
      </c>
      <c r="D362">
        <v>0</v>
      </c>
      <c r="E362">
        <v>0.15</v>
      </c>
      <c r="F362">
        <v>1421</v>
      </c>
      <c r="G362" t="s">
        <v>2439</v>
      </c>
      <c r="H362">
        <v>13930.39</v>
      </c>
      <c r="I362">
        <v>22.57</v>
      </c>
      <c r="J362" t="s">
        <v>120</v>
      </c>
      <c r="K362" t="s">
        <v>2440</v>
      </c>
      <c r="L362">
        <v>1.5</v>
      </c>
      <c r="M362">
        <v>6.48</v>
      </c>
      <c r="N362">
        <v>0.7</v>
      </c>
      <c r="O362">
        <v>0.91</v>
      </c>
      <c r="P362">
        <v>6.67</v>
      </c>
      <c r="Q362">
        <v>-2.57</v>
      </c>
      <c r="R362">
        <v>6.44</v>
      </c>
      <c r="S362">
        <v>6.62</v>
      </c>
      <c r="T362">
        <v>212642</v>
      </c>
      <c r="U362">
        <v>6.49</v>
      </c>
      <c r="V362">
        <v>6.61</v>
      </c>
      <c r="W362">
        <v>9.75</v>
      </c>
      <c r="X362" t="s">
        <v>584</v>
      </c>
      <c r="Y362" t="s">
        <v>594</v>
      </c>
      <c r="Z362">
        <v>3.48</v>
      </c>
      <c r="AA362">
        <v>6.55</v>
      </c>
      <c r="AB362">
        <v>122828</v>
      </c>
      <c r="AC362">
        <v>89814</v>
      </c>
      <c r="AD362">
        <v>1.37</v>
      </c>
      <c r="AE362">
        <v>278</v>
      </c>
      <c r="AF362">
        <v>950</v>
      </c>
      <c r="AG362" t="s">
        <v>120</v>
      </c>
      <c r="AH362">
        <v>0</v>
      </c>
      <c r="AI362" t="s">
        <v>120</v>
      </c>
      <c r="AJ362">
        <v>14.17</v>
      </c>
      <c r="AK362" t="s">
        <v>2441</v>
      </c>
      <c r="AL362">
        <v>-0.05</v>
      </c>
      <c r="AM362">
        <v>3334</v>
      </c>
      <c r="AN362">
        <v>64</v>
      </c>
      <c r="AO362">
        <v>5.0000000000000001E-4</v>
      </c>
      <c r="AP362">
        <v>-1</v>
      </c>
      <c r="AQ362">
        <v>2.0099999999999998</v>
      </c>
      <c r="AR362">
        <v>-2.11</v>
      </c>
      <c r="AS362">
        <v>3.51</v>
      </c>
      <c r="AT362">
        <v>28.57</v>
      </c>
      <c r="AU362">
        <v>33.61</v>
      </c>
      <c r="AV362">
        <v>2</v>
      </c>
      <c r="AW362">
        <v>1.8</v>
      </c>
      <c r="AX362">
        <v>83.32</v>
      </c>
      <c r="AY362" t="s">
        <v>120</v>
      </c>
      <c r="AZ362" t="s">
        <v>120</v>
      </c>
      <c r="BA362">
        <v>0.48</v>
      </c>
      <c r="BB362" t="s">
        <v>143</v>
      </c>
      <c r="BF362">
        <v>-0.89</v>
      </c>
      <c r="BG362">
        <v>-2.11</v>
      </c>
      <c r="BH362">
        <v>-2.85</v>
      </c>
      <c r="BI362">
        <v>0.62</v>
      </c>
      <c r="BJ362">
        <v>20210828</v>
      </c>
      <c r="BK362">
        <v>19990325</v>
      </c>
      <c r="BL362">
        <v>14.18</v>
      </c>
      <c r="BM362" t="s">
        <v>120</v>
      </c>
      <c r="BN362" t="s">
        <v>120</v>
      </c>
      <c r="BO362">
        <v>195.76</v>
      </c>
      <c r="BP362">
        <v>6.48</v>
      </c>
      <c r="BQ362">
        <v>105.26</v>
      </c>
      <c r="BR362">
        <v>13.83</v>
      </c>
      <c r="BS362">
        <v>39.17</v>
      </c>
      <c r="BT362">
        <v>64.91</v>
      </c>
      <c r="BU362">
        <v>11.58</v>
      </c>
      <c r="BV362">
        <v>0.6</v>
      </c>
      <c r="BW362">
        <v>45.77</v>
      </c>
      <c r="BX362">
        <v>19.600000000000001</v>
      </c>
      <c r="BY362">
        <v>11.86</v>
      </c>
      <c r="BZ362">
        <v>5.62</v>
      </c>
      <c r="CA362" t="s">
        <v>120</v>
      </c>
      <c r="CB362">
        <v>64.3</v>
      </c>
      <c r="CC362">
        <v>21.83</v>
      </c>
      <c r="CD362">
        <v>16.37</v>
      </c>
      <c r="CE362">
        <v>8.18</v>
      </c>
      <c r="CF362">
        <v>8.3000000000000007</v>
      </c>
      <c r="CG362">
        <v>8.1999999999999993</v>
      </c>
      <c r="CH362">
        <v>7.22</v>
      </c>
      <c r="CI362">
        <v>4.71</v>
      </c>
      <c r="CJ362">
        <v>-0.13</v>
      </c>
      <c r="CK362">
        <v>4.55</v>
      </c>
      <c r="CL362">
        <v>12.04</v>
      </c>
      <c r="CM362">
        <v>2.31</v>
      </c>
      <c r="CN362">
        <v>-4.83</v>
      </c>
      <c r="CO362">
        <v>85759</v>
      </c>
      <c r="CP362">
        <v>13773</v>
      </c>
      <c r="CQ362" t="s">
        <v>2442</v>
      </c>
      <c r="CR362">
        <v>276.23</v>
      </c>
      <c r="CS362">
        <v>-11.17</v>
      </c>
      <c r="CT362">
        <v>0.87</v>
      </c>
      <c r="CU362">
        <v>39.72</v>
      </c>
      <c r="CV362">
        <v>4.21</v>
      </c>
      <c r="CW362">
        <v>0</v>
      </c>
      <c r="CX362" t="s">
        <v>2443</v>
      </c>
      <c r="CY362">
        <v>7.43</v>
      </c>
      <c r="CZ362">
        <v>0</v>
      </c>
      <c r="DA362">
        <v>4.54</v>
      </c>
      <c r="DB362">
        <v>0.85</v>
      </c>
      <c r="DC362">
        <v>0.16</v>
      </c>
      <c r="DD362">
        <v>53.77</v>
      </c>
      <c r="DE362" t="s">
        <v>2444</v>
      </c>
      <c r="DF362">
        <v>24.99</v>
      </c>
      <c r="DG362">
        <v>37.47</v>
      </c>
      <c r="DH362">
        <v>21.57</v>
      </c>
      <c r="DI362">
        <v>0.43</v>
      </c>
      <c r="DJ362">
        <v>2115</v>
      </c>
      <c r="DK362">
        <v>917</v>
      </c>
      <c r="DL362" t="s">
        <v>120</v>
      </c>
      <c r="DM362" t="s">
        <v>120</v>
      </c>
      <c r="DN362" t="s">
        <v>120</v>
      </c>
    </row>
    <row r="363" spans="1:118">
      <c r="A363" t="str">
        <f>"000918"</f>
        <v>000918</v>
      </c>
      <c r="B363" t="s">
        <v>2445</v>
      </c>
      <c r="C363">
        <v>-2.94</v>
      </c>
      <c r="D363">
        <v>0.28000000000000003</v>
      </c>
      <c r="E363">
        <v>0</v>
      </c>
      <c r="F363">
        <v>2712</v>
      </c>
      <c r="G363" t="s">
        <v>2446</v>
      </c>
      <c r="H363">
        <v>8356.3700000000008</v>
      </c>
      <c r="I363">
        <v>35.75</v>
      </c>
      <c r="J363" t="s">
        <v>120</v>
      </c>
      <c r="K363" t="s">
        <v>2447</v>
      </c>
      <c r="L363">
        <v>1.25</v>
      </c>
      <c r="M363">
        <v>3.63</v>
      </c>
      <c r="N363">
        <v>0.94</v>
      </c>
      <c r="O363">
        <v>1.07</v>
      </c>
      <c r="P363">
        <v>3.78</v>
      </c>
      <c r="Q363">
        <v>-3.48</v>
      </c>
      <c r="R363">
        <v>3.61</v>
      </c>
      <c r="S363">
        <v>3.74</v>
      </c>
      <c r="T363">
        <v>226397</v>
      </c>
      <c r="U363">
        <v>3.64</v>
      </c>
      <c r="V363">
        <v>3.74</v>
      </c>
      <c r="W363" t="s">
        <v>120</v>
      </c>
      <c r="X363" t="s">
        <v>132</v>
      </c>
      <c r="Y363" t="s">
        <v>585</v>
      </c>
      <c r="Z363">
        <v>4.55</v>
      </c>
      <c r="AA363">
        <v>3.69</v>
      </c>
      <c r="AB363">
        <v>127173</v>
      </c>
      <c r="AC363">
        <v>99224</v>
      </c>
      <c r="AD363">
        <v>1.28</v>
      </c>
      <c r="AE363">
        <v>251</v>
      </c>
      <c r="AF363">
        <v>1241</v>
      </c>
      <c r="AG363" t="s">
        <v>120</v>
      </c>
      <c r="AH363">
        <v>0.01</v>
      </c>
      <c r="AI363" t="s">
        <v>120</v>
      </c>
      <c r="AJ363">
        <v>18.04</v>
      </c>
      <c r="AK363" t="s">
        <v>2447</v>
      </c>
      <c r="AL363">
        <v>-1.03</v>
      </c>
      <c r="AM363">
        <v>2171</v>
      </c>
      <c r="AN363">
        <v>104</v>
      </c>
      <c r="AO363">
        <v>5.9999999999999995E-4</v>
      </c>
      <c r="AP363">
        <v>-6</v>
      </c>
      <c r="AQ363">
        <v>-3.36</v>
      </c>
      <c r="AR363">
        <v>-9.93</v>
      </c>
      <c r="AS363">
        <v>-2.94</v>
      </c>
      <c r="AT363">
        <v>-21.94</v>
      </c>
      <c r="AU363">
        <v>-0.82</v>
      </c>
      <c r="AV363">
        <v>15</v>
      </c>
      <c r="AW363">
        <v>3.5</v>
      </c>
      <c r="AX363">
        <v>35.82</v>
      </c>
      <c r="AY363" t="s">
        <v>120</v>
      </c>
      <c r="AZ363" t="s">
        <v>120</v>
      </c>
      <c r="BA363">
        <v>0.86</v>
      </c>
      <c r="BB363" t="s">
        <v>143</v>
      </c>
      <c r="BF363">
        <v>-1.31</v>
      </c>
      <c r="BG363">
        <v>-2.94</v>
      </c>
      <c r="BH363">
        <v>-3.97</v>
      </c>
      <c r="BI363">
        <v>0.55000000000000004</v>
      </c>
      <c r="BJ363">
        <v>20210830</v>
      </c>
      <c r="BK363">
        <v>19990720</v>
      </c>
      <c r="BL363">
        <v>18.04</v>
      </c>
      <c r="BM363" t="s">
        <v>120</v>
      </c>
      <c r="BN363" t="s">
        <v>120</v>
      </c>
      <c r="BO363">
        <v>137.02000000000001</v>
      </c>
      <c r="BP363">
        <v>3.63</v>
      </c>
      <c r="BQ363">
        <v>18.53</v>
      </c>
      <c r="BR363">
        <v>0.38</v>
      </c>
      <c r="BS363">
        <v>86.2</v>
      </c>
      <c r="BT363">
        <v>78.03</v>
      </c>
      <c r="BU363">
        <v>1.39</v>
      </c>
      <c r="BV363">
        <v>0.02</v>
      </c>
      <c r="BW363">
        <v>86.99</v>
      </c>
      <c r="BX363">
        <v>0.38</v>
      </c>
      <c r="BY363">
        <v>58.85</v>
      </c>
      <c r="BZ363">
        <v>2.1</v>
      </c>
      <c r="CA363">
        <v>0.34</v>
      </c>
      <c r="CB363">
        <v>-8.91</v>
      </c>
      <c r="CC363">
        <v>6.83</v>
      </c>
      <c r="CD363">
        <v>6.18</v>
      </c>
      <c r="CE363">
        <v>-3.38</v>
      </c>
      <c r="CF363">
        <v>-0.42</v>
      </c>
      <c r="CG363">
        <v>-4.45</v>
      </c>
      <c r="CH363">
        <v>-4.4000000000000004</v>
      </c>
      <c r="CI363">
        <v>-4.2699999999999996</v>
      </c>
      <c r="CJ363">
        <v>-0.11</v>
      </c>
      <c r="CK363">
        <v>-2.78</v>
      </c>
      <c r="CL363">
        <v>-0.09</v>
      </c>
      <c r="CM363">
        <v>2.5299999999999998</v>
      </c>
      <c r="CN363">
        <v>-1.86</v>
      </c>
      <c r="CO363">
        <v>44173</v>
      </c>
      <c r="CP363">
        <v>14630</v>
      </c>
      <c r="CQ363" t="s">
        <v>2448</v>
      </c>
      <c r="CR363">
        <v>30.22</v>
      </c>
      <c r="CS363">
        <v>116.59</v>
      </c>
      <c r="CT363">
        <v>3.53</v>
      </c>
      <c r="CU363">
        <v>25.84</v>
      </c>
      <c r="CV363">
        <v>9.59</v>
      </c>
      <c r="CW363">
        <v>0</v>
      </c>
      <c r="CX363" t="s">
        <v>2449</v>
      </c>
      <c r="CY363">
        <v>1.03</v>
      </c>
      <c r="CZ363">
        <v>0</v>
      </c>
      <c r="DA363">
        <v>-0.49</v>
      </c>
      <c r="DB363">
        <v>0</v>
      </c>
      <c r="DC363">
        <v>0.14000000000000001</v>
      </c>
      <c r="DD363">
        <v>13.52</v>
      </c>
      <c r="DE363" t="s">
        <v>2450</v>
      </c>
      <c r="DF363">
        <v>9.58</v>
      </c>
      <c r="DG363">
        <v>-49.52</v>
      </c>
      <c r="DH363">
        <v>-62.55</v>
      </c>
      <c r="DI363" t="s">
        <v>120</v>
      </c>
      <c r="DJ363">
        <v>2877</v>
      </c>
      <c r="DK363">
        <v>918</v>
      </c>
      <c r="DL363" t="s">
        <v>120</v>
      </c>
      <c r="DM363" t="s">
        <v>120</v>
      </c>
      <c r="DN363" t="s">
        <v>120</v>
      </c>
    </row>
    <row r="364" spans="1:118">
      <c r="A364" t="str">
        <f>"000919"</f>
        <v>000919</v>
      </c>
      <c r="B364" t="s">
        <v>2451</v>
      </c>
      <c r="C364">
        <v>-0.71</v>
      </c>
      <c r="D364">
        <v>0.14000000000000001</v>
      </c>
      <c r="E364">
        <v>-0.42</v>
      </c>
      <c r="F364">
        <v>312</v>
      </c>
      <c r="G364" t="s">
        <v>2452</v>
      </c>
      <c r="H364">
        <v>3174.33</v>
      </c>
      <c r="I364">
        <v>3.18</v>
      </c>
      <c r="J364" t="s">
        <v>120</v>
      </c>
      <c r="K364" t="s">
        <v>2453</v>
      </c>
      <c r="L364">
        <v>0.89</v>
      </c>
      <c r="M364">
        <v>7.04</v>
      </c>
      <c r="N364">
        <v>0.74</v>
      </c>
      <c r="O364">
        <v>1.41</v>
      </c>
      <c r="P364">
        <v>7.19</v>
      </c>
      <c r="Q364">
        <v>-0.99</v>
      </c>
      <c r="R364">
        <v>7.02</v>
      </c>
      <c r="S364">
        <v>7.06</v>
      </c>
      <c r="T364">
        <v>44738</v>
      </c>
      <c r="U364">
        <v>7.05</v>
      </c>
      <c r="V364">
        <v>7.09</v>
      </c>
      <c r="W364">
        <v>23.36</v>
      </c>
      <c r="X364" t="s">
        <v>569</v>
      </c>
      <c r="Y364" t="s">
        <v>319</v>
      </c>
      <c r="Z364">
        <v>2.4</v>
      </c>
      <c r="AA364">
        <v>7.1</v>
      </c>
      <c r="AB364">
        <v>25300</v>
      </c>
      <c r="AC364">
        <v>19438</v>
      </c>
      <c r="AD364">
        <v>1.3</v>
      </c>
      <c r="AE364">
        <v>400</v>
      </c>
      <c r="AF364">
        <v>565</v>
      </c>
      <c r="AG364" t="s">
        <v>120</v>
      </c>
      <c r="AH364">
        <v>0</v>
      </c>
      <c r="AI364" t="s">
        <v>120</v>
      </c>
      <c r="AJ364">
        <v>5.03</v>
      </c>
      <c r="AK364" t="s">
        <v>2454</v>
      </c>
      <c r="AL364">
        <v>1.21</v>
      </c>
      <c r="AM364">
        <v>1763</v>
      </c>
      <c r="AN364">
        <v>25</v>
      </c>
      <c r="AO364">
        <v>5.0000000000000001E-4</v>
      </c>
      <c r="AP364">
        <v>-1</v>
      </c>
      <c r="AQ364">
        <v>0</v>
      </c>
      <c r="AR364">
        <v>-2.4900000000000002</v>
      </c>
      <c r="AS364">
        <v>5.07</v>
      </c>
      <c r="AT364">
        <v>0</v>
      </c>
      <c r="AU364">
        <v>-7.25</v>
      </c>
      <c r="AV364">
        <v>3</v>
      </c>
      <c r="AW364">
        <v>1.63</v>
      </c>
      <c r="AX364">
        <v>54.61</v>
      </c>
      <c r="AY364">
        <v>30.61</v>
      </c>
      <c r="AZ364">
        <v>54.86</v>
      </c>
      <c r="BA364">
        <v>0.53</v>
      </c>
      <c r="BB364" t="s">
        <v>143</v>
      </c>
      <c r="BF364">
        <v>0.08</v>
      </c>
      <c r="BG364">
        <v>-0.28000000000000003</v>
      </c>
      <c r="BH364">
        <v>-2.09</v>
      </c>
      <c r="BI364">
        <v>0.28000000000000003</v>
      </c>
      <c r="BJ364">
        <v>20210903</v>
      </c>
      <c r="BK364">
        <v>19991118</v>
      </c>
      <c r="BL364">
        <v>5.04</v>
      </c>
      <c r="BM364" t="s">
        <v>120</v>
      </c>
      <c r="BN364" t="s">
        <v>120</v>
      </c>
      <c r="BO364">
        <v>44.22</v>
      </c>
      <c r="BP364">
        <v>7.04</v>
      </c>
      <c r="BQ364">
        <v>28.83</v>
      </c>
      <c r="BR364">
        <v>5.92</v>
      </c>
      <c r="BS364">
        <v>21.4</v>
      </c>
      <c r="BT364">
        <v>21.8</v>
      </c>
      <c r="BU364">
        <v>12.63</v>
      </c>
      <c r="BV364">
        <v>1.45</v>
      </c>
      <c r="BW364">
        <v>8.9700000000000006</v>
      </c>
      <c r="BX364">
        <v>10.78</v>
      </c>
      <c r="BY364">
        <v>2.73</v>
      </c>
      <c r="BZ364">
        <v>3.66</v>
      </c>
      <c r="CA364">
        <v>0.02</v>
      </c>
      <c r="CB364">
        <v>4.62</v>
      </c>
      <c r="CC364">
        <v>14.22</v>
      </c>
      <c r="CD364">
        <v>10.92</v>
      </c>
      <c r="CE364">
        <v>1.22</v>
      </c>
      <c r="CF364">
        <v>0.1</v>
      </c>
      <c r="CG364">
        <v>1.21</v>
      </c>
      <c r="CH364">
        <v>0.94</v>
      </c>
      <c r="CI364">
        <v>0.76</v>
      </c>
      <c r="CJ364">
        <v>-0.05</v>
      </c>
      <c r="CK364">
        <v>0.85</v>
      </c>
      <c r="CL364">
        <v>15.34</v>
      </c>
      <c r="CM364">
        <v>1.65</v>
      </c>
      <c r="CN364">
        <v>-2.35</v>
      </c>
      <c r="CO364">
        <v>35658</v>
      </c>
      <c r="CP364">
        <v>7719</v>
      </c>
      <c r="CQ364" t="s">
        <v>2455</v>
      </c>
      <c r="CR364">
        <v>211.64</v>
      </c>
      <c r="CS364">
        <v>24.41</v>
      </c>
      <c r="CT364">
        <v>1.23</v>
      </c>
      <c r="CU364">
        <v>21.51</v>
      </c>
      <c r="CV364">
        <v>2.4900000000000002</v>
      </c>
      <c r="CW364">
        <v>1.41</v>
      </c>
      <c r="CX364" t="s">
        <v>2456</v>
      </c>
      <c r="CY364">
        <v>5.72</v>
      </c>
      <c r="CZ364">
        <v>0</v>
      </c>
      <c r="DA364">
        <v>0.92</v>
      </c>
      <c r="DB364">
        <v>3.04</v>
      </c>
      <c r="DC364">
        <v>0.33</v>
      </c>
      <c r="DD364">
        <v>65.2</v>
      </c>
      <c r="DE364" t="s">
        <v>1861</v>
      </c>
      <c r="DF364">
        <v>23.24</v>
      </c>
      <c r="DG364">
        <v>8.56</v>
      </c>
      <c r="DH364">
        <v>5.34</v>
      </c>
      <c r="DI364">
        <v>0.23</v>
      </c>
      <c r="DJ364">
        <v>4728</v>
      </c>
      <c r="DK364">
        <v>919</v>
      </c>
      <c r="DL364" t="s">
        <v>120</v>
      </c>
      <c r="DM364" t="s">
        <v>120</v>
      </c>
      <c r="DN364" t="s">
        <v>120</v>
      </c>
    </row>
    <row r="365" spans="1:118">
      <c r="A365" t="str">
        <f>"000920"</f>
        <v>000920</v>
      </c>
      <c r="B365" t="s">
        <v>2457</v>
      </c>
      <c r="C365">
        <v>1.45</v>
      </c>
      <c r="D365">
        <v>0.09</v>
      </c>
      <c r="E365">
        <v>1.54</v>
      </c>
      <c r="F365">
        <v>5284</v>
      </c>
      <c r="G365" t="s">
        <v>2458</v>
      </c>
      <c r="H365">
        <v>31285.98</v>
      </c>
      <c r="I365">
        <v>288</v>
      </c>
      <c r="J365" t="s">
        <v>120</v>
      </c>
      <c r="K365" t="s">
        <v>2459</v>
      </c>
      <c r="L365">
        <v>6.61</v>
      </c>
      <c r="M365">
        <v>11.21</v>
      </c>
      <c r="N365">
        <v>1.49</v>
      </c>
      <c r="O365">
        <v>6.15</v>
      </c>
      <c r="P365">
        <v>11.73</v>
      </c>
      <c r="Q365">
        <v>-1.99</v>
      </c>
      <c r="R365">
        <v>10.83</v>
      </c>
      <c r="S365">
        <v>11.22</v>
      </c>
      <c r="T365">
        <v>278702</v>
      </c>
      <c r="U365">
        <v>11.22</v>
      </c>
      <c r="V365">
        <v>11.05</v>
      </c>
      <c r="W365">
        <v>39.729999999999997</v>
      </c>
      <c r="X365" t="s">
        <v>318</v>
      </c>
      <c r="Y365" t="s">
        <v>1021</v>
      </c>
      <c r="Z365">
        <v>8.14</v>
      </c>
      <c r="AA365">
        <v>11.23</v>
      </c>
      <c r="AB365">
        <v>130578</v>
      </c>
      <c r="AC365">
        <v>148124</v>
      </c>
      <c r="AD365">
        <v>0.88</v>
      </c>
      <c r="AE365">
        <v>199</v>
      </c>
      <c r="AF365">
        <v>638</v>
      </c>
      <c r="AG365" t="s">
        <v>120</v>
      </c>
      <c r="AH365">
        <v>0.11</v>
      </c>
      <c r="AI365" t="s">
        <v>120</v>
      </c>
      <c r="AJ365">
        <v>4.22</v>
      </c>
      <c r="AK365" t="s">
        <v>2460</v>
      </c>
      <c r="AL365">
        <v>3.36</v>
      </c>
      <c r="AM365">
        <v>3615</v>
      </c>
      <c r="AN365">
        <v>77</v>
      </c>
      <c r="AO365">
        <v>1.8E-3</v>
      </c>
      <c r="AP365">
        <v>4</v>
      </c>
      <c r="AQ365">
        <v>5.34</v>
      </c>
      <c r="AR365">
        <v>8.1999999999999993</v>
      </c>
      <c r="AS365">
        <v>25.25</v>
      </c>
      <c r="AT365">
        <v>47.5</v>
      </c>
      <c r="AU365">
        <v>56.52</v>
      </c>
      <c r="AV365">
        <v>8</v>
      </c>
      <c r="AW365">
        <v>12.12</v>
      </c>
      <c r="AX365">
        <v>54.48</v>
      </c>
      <c r="AY365">
        <v>33.83</v>
      </c>
      <c r="AZ365">
        <v>44.01</v>
      </c>
      <c r="BA365">
        <v>1.27</v>
      </c>
      <c r="BB365" t="s">
        <v>751</v>
      </c>
      <c r="BF365">
        <v>1.59</v>
      </c>
      <c r="BG365">
        <v>-0.09</v>
      </c>
      <c r="BH365">
        <v>-4.43</v>
      </c>
      <c r="BI365">
        <v>3.51</v>
      </c>
      <c r="BJ365">
        <v>20210901</v>
      </c>
      <c r="BK365">
        <v>19990616</v>
      </c>
      <c r="BL365">
        <v>4.22</v>
      </c>
      <c r="BM365" t="s">
        <v>120</v>
      </c>
      <c r="BN365" t="s">
        <v>120</v>
      </c>
      <c r="BO365">
        <v>24.78</v>
      </c>
      <c r="BP365">
        <v>11.21</v>
      </c>
      <c r="BQ365">
        <v>12.43</v>
      </c>
      <c r="BR365">
        <v>1.74</v>
      </c>
      <c r="BS365">
        <v>42.8</v>
      </c>
      <c r="BT365">
        <v>9.81</v>
      </c>
      <c r="BU365">
        <v>5.6</v>
      </c>
      <c r="BV365">
        <v>2.4</v>
      </c>
      <c r="BW365">
        <v>4.8600000000000003</v>
      </c>
      <c r="BX365">
        <v>5.41</v>
      </c>
      <c r="BY365">
        <v>1.66</v>
      </c>
      <c r="BZ365">
        <v>1.1000000000000001</v>
      </c>
      <c r="CA365" t="s">
        <v>120</v>
      </c>
      <c r="CB365">
        <v>0</v>
      </c>
      <c r="CC365">
        <v>6.85</v>
      </c>
      <c r="CD365">
        <v>4.25</v>
      </c>
      <c r="CE365">
        <v>0.78</v>
      </c>
      <c r="CF365">
        <v>0.03</v>
      </c>
      <c r="CG365">
        <v>0.8</v>
      </c>
      <c r="CH365">
        <v>0.65</v>
      </c>
      <c r="CI365">
        <v>0.6</v>
      </c>
      <c r="CJ365">
        <v>0.16</v>
      </c>
      <c r="CK365">
        <v>0.5</v>
      </c>
      <c r="CL365">
        <v>7.01</v>
      </c>
      <c r="CM365">
        <v>1.41</v>
      </c>
      <c r="CN365">
        <v>0.54</v>
      </c>
      <c r="CO365">
        <v>38169</v>
      </c>
      <c r="CP365">
        <v>6024</v>
      </c>
      <c r="CQ365" t="s">
        <v>2461</v>
      </c>
      <c r="CR365">
        <v>115.28</v>
      </c>
      <c r="CS365">
        <v>50.92</v>
      </c>
      <c r="CT365">
        <v>3.8</v>
      </c>
      <c r="CU365">
        <v>33.47</v>
      </c>
      <c r="CV365">
        <v>6.9</v>
      </c>
      <c r="CW365">
        <v>0.8</v>
      </c>
      <c r="CX365" t="s">
        <v>300</v>
      </c>
      <c r="CY365">
        <v>2.95</v>
      </c>
      <c r="CZ365">
        <v>0</v>
      </c>
      <c r="DA365">
        <v>0</v>
      </c>
      <c r="DB365">
        <v>1.66</v>
      </c>
      <c r="DC365">
        <v>0.33</v>
      </c>
      <c r="DD365">
        <v>50.19</v>
      </c>
      <c r="DE365" t="s">
        <v>1943</v>
      </c>
      <c r="DF365">
        <v>37.92</v>
      </c>
      <c r="DG365">
        <v>11.39</v>
      </c>
      <c r="DH365">
        <v>8.69</v>
      </c>
      <c r="DI365">
        <v>0.37</v>
      </c>
      <c r="DJ365">
        <v>1357</v>
      </c>
      <c r="DK365">
        <v>920</v>
      </c>
      <c r="DL365" t="s">
        <v>120</v>
      </c>
      <c r="DM365" t="s">
        <v>120</v>
      </c>
      <c r="DN365" t="s">
        <v>120</v>
      </c>
    </row>
    <row r="366" spans="1:118">
      <c r="A366" t="str">
        <f>"000921"</f>
        <v>000921</v>
      </c>
      <c r="B366" t="s">
        <v>2462</v>
      </c>
      <c r="C366">
        <v>-5.66</v>
      </c>
      <c r="D366">
        <v>-0.93</v>
      </c>
      <c r="E366">
        <v>7.0000000000000007E-2</v>
      </c>
      <c r="F366">
        <v>5813</v>
      </c>
      <c r="G366" t="s">
        <v>2463</v>
      </c>
      <c r="H366">
        <v>11218.28</v>
      </c>
      <c r="I366">
        <v>2.2799999999999998</v>
      </c>
      <c r="J366" t="s">
        <v>120</v>
      </c>
      <c r="K366" t="s">
        <v>2464</v>
      </c>
      <c r="L366">
        <v>0.96</v>
      </c>
      <c r="M366">
        <v>12.66</v>
      </c>
      <c r="N366">
        <v>1.67</v>
      </c>
      <c r="O366">
        <v>7.0000000000000007E-2</v>
      </c>
      <c r="P366">
        <v>13.43</v>
      </c>
      <c r="Q366">
        <v>-5.66</v>
      </c>
      <c r="R366">
        <v>12.66</v>
      </c>
      <c r="S366">
        <v>13.43</v>
      </c>
      <c r="T366">
        <v>86480</v>
      </c>
      <c r="U366">
        <v>12.66</v>
      </c>
      <c r="V366">
        <v>13.42</v>
      </c>
      <c r="W366">
        <v>14.02</v>
      </c>
      <c r="X366" t="s">
        <v>205</v>
      </c>
      <c r="Y366" t="s">
        <v>547</v>
      </c>
      <c r="Z366">
        <v>5.74</v>
      </c>
      <c r="AA366">
        <v>12.97</v>
      </c>
      <c r="AB366">
        <v>47590</v>
      </c>
      <c r="AC366">
        <v>38890</v>
      </c>
      <c r="AD366">
        <v>1.22</v>
      </c>
      <c r="AE366">
        <v>161</v>
      </c>
      <c r="AF366">
        <v>580</v>
      </c>
      <c r="AG366" t="s">
        <v>120</v>
      </c>
      <c r="AH366">
        <v>0</v>
      </c>
      <c r="AI366" t="s">
        <v>120</v>
      </c>
      <c r="AJ366">
        <v>9.02</v>
      </c>
      <c r="AK366" t="s">
        <v>2465</v>
      </c>
      <c r="AL366">
        <v>-3.75</v>
      </c>
      <c r="AM366">
        <v>2605</v>
      </c>
      <c r="AN366">
        <v>33</v>
      </c>
      <c r="AO366">
        <v>4.0000000000000002E-4</v>
      </c>
      <c r="AP366">
        <v>-5</v>
      </c>
      <c r="AQ366">
        <v>-0.96</v>
      </c>
      <c r="AR366">
        <v>-8.86</v>
      </c>
      <c r="AS366">
        <v>-8.39</v>
      </c>
      <c r="AT366">
        <v>-12.46</v>
      </c>
      <c r="AU366">
        <v>-9.9700000000000006</v>
      </c>
      <c r="AV366">
        <v>3</v>
      </c>
      <c r="AW366">
        <v>2.2400000000000002</v>
      </c>
      <c r="AX366">
        <v>42.67</v>
      </c>
      <c r="AY366">
        <v>10.82</v>
      </c>
      <c r="AZ366">
        <v>11.58</v>
      </c>
      <c r="BA366">
        <v>0.91</v>
      </c>
      <c r="BB366" t="s">
        <v>240</v>
      </c>
      <c r="BF366">
        <v>-3.34</v>
      </c>
      <c r="BG366">
        <v>-5.73</v>
      </c>
      <c r="BH366">
        <v>-5.73</v>
      </c>
      <c r="BI366">
        <v>0</v>
      </c>
      <c r="BJ366">
        <v>20210831</v>
      </c>
      <c r="BK366">
        <v>19990713</v>
      </c>
      <c r="BL366">
        <v>13.63</v>
      </c>
      <c r="BM366" t="s">
        <v>120</v>
      </c>
      <c r="BN366">
        <v>4.5999999999999996</v>
      </c>
      <c r="BO366">
        <v>553.87</v>
      </c>
      <c r="BP366">
        <v>12.65</v>
      </c>
      <c r="BQ366">
        <v>99.33</v>
      </c>
      <c r="BR366">
        <v>45.79</v>
      </c>
      <c r="BS366">
        <v>73.8</v>
      </c>
      <c r="BT366">
        <v>404.76</v>
      </c>
      <c r="BU366">
        <v>51.17</v>
      </c>
      <c r="BV366">
        <v>16.79</v>
      </c>
      <c r="BW366">
        <v>388.27</v>
      </c>
      <c r="BX366">
        <v>98.09</v>
      </c>
      <c r="BY366">
        <v>62.77</v>
      </c>
      <c r="BZ366">
        <v>99.67</v>
      </c>
      <c r="CA366" t="s">
        <v>120</v>
      </c>
      <c r="CB366">
        <v>20.62</v>
      </c>
      <c r="CC366">
        <v>324.24</v>
      </c>
      <c r="CD366">
        <v>256.35000000000002</v>
      </c>
      <c r="CE366">
        <v>16.07</v>
      </c>
      <c r="CF366">
        <v>1.37</v>
      </c>
      <c r="CG366">
        <v>16.78</v>
      </c>
      <c r="CH366">
        <v>13.31</v>
      </c>
      <c r="CI366">
        <v>6.15</v>
      </c>
      <c r="CJ366">
        <v>-0.76</v>
      </c>
      <c r="CK366">
        <v>4.55</v>
      </c>
      <c r="CL366">
        <v>57.67</v>
      </c>
      <c r="CM366">
        <v>20.85</v>
      </c>
      <c r="CN366">
        <v>22.15</v>
      </c>
      <c r="CO366">
        <v>29284</v>
      </c>
      <c r="CP366">
        <v>13160</v>
      </c>
      <c r="CQ366" t="s">
        <v>2466</v>
      </c>
      <c r="CR366">
        <v>22.27</v>
      </c>
      <c r="CS366">
        <v>53.76</v>
      </c>
      <c r="CT366">
        <v>1.74</v>
      </c>
      <c r="CU366">
        <v>8.2799999999999994</v>
      </c>
      <c r="CV366">
        <v>0.53</v>
      </c>
      <c r="CW366">
        <v>2.59</v>
      </c>
      <c r="CX366" t="s">
        <v>1520</v>
      </c>
      <c r="CY366">
        <v>7.29</v>
      </c>
      <c r="CZ366">
        <v>0</v>
      </c>
      <c r="DA366">
        <v>1.51</v>
      </c>
      <c r="DB366">
        <v>4.2300000000000004</v>
      </c>
      <c r="DC366">
        <v>1.53</v>
      </c>
      <c r="DD366">
        <v>17.93</v>
      </c>
      <c r="DE366" t="s">
        <v>2467</v>
      </c>
      <c r="DF366">
        <v>20.94</v>
      </c>
      <c r="DG366">
        <v>4.96</v>
      </c>
      <c r="DH366">
        <v>1.9</v>
      </c>
      <c r="DI366">
        <v>8.36</v>
      </c>
      <c r="DJ366">
        <v>39499</v>
      </c>
      <c r="DK366">
        <v>921</v>
      </c>
      <c r="DL366" t="s">
        <v>120</v>
      </c>
      <c r="DM366" t="s">
        <v>120</v>
      </c>
      <c r="DN366" t="s">
        <v>120</v>
      </c>
    </row>
    <row r="367" spans="1:118">
      <c r="A367" t="str">
        <f>"000922"</f>
        <v>000922</v>
      </c>
      <c r="B367" t="s">
        <v>2468</v>
      </c>
      <c r="C367">
        <v>-2.0099999999999998</v>
      </c>
      <c r="D367">
        <v>0.09</v>
      </c>
      <c r="E367">
        <v>0</v>
      </c>
      <c r="F367">
        <v>5013</v>
      </c>
      <c r="G367" t="s">
        <v>2469</v>
      </c>
      <c r="H367">
        <v>25081.23</v>
      </c>
      <c r="I367">
        <v>100.34</v>
      </c>
      <c r="J367" t="s">
        <v>120</v>
      </c>
      <c r="K367" t="s">
        <v>2470</v>
      </c>
      <c r="L367">
        <v>4.01</v>
      </c>
      <c r="M367">
        <v>10.71</v>
      </c>
      <c r="N367">
        <v>0.81</v>
      </c>
      <c r="O367">
        <v>1.37</v>
      </c>
      <c r="P367">
        <v>11.08</v>
      </c>
      <c r="Q367">
        <v>-3.93</v>
      </c>
      <c r="R367">
        <v>10.5</v>
      </c>
      <c r="S367">
        <v>10.93</v>
      </c>
      <c r="T367">
        <v>233610</v>
      </c>
      <c r="U367">
        <v>10.72</v>
      </c>
      <c r="V367">
        <v>10.93</v>
      </c>
      <c r="W367">
        <v>23.5</v>
      </c>
      <c r="X367" t="s">
        <v>394</v>
      </c>
      <c r="Y367" t="s">
        <v>1686</v>
      </c>
      <c r="Z367">
        <v>5.31</v>
      </c>
      <c r="AA367">
        <v>10.74</v>
      </c>
      <c r="AB367">
        <v>145974</v>
      </c>
      <c r="AC367">
        <v>87636</v>
      </c>
      <c r="AD367">
        <v>1.67</v>
      </c>
      <c r="AE367">
        <v>992</v>
      </c>
      <c r="AF367">
        <v>498</v>
      </c>
      <c r="AG367" t="s">
        <v>120</v>
      </c>
      <c r="AH367">
        <v>0.02</v>
      </c>
      <c r="AI367" t="s">
        <v>120</v>
      </c>
      <c r="AJ367">
        <v>5.82</v>
      </c>
      <c r="AK367" t="s">
        <v>2471</v>
      </c>
      <c r="AL367">
        <v>-0.1</v>
      </c>
      <c r="AM367">
        <v>3156</v>
      </c>
      <c r="AN367">
        <v>74</v>
      </c>
      <c r="AO367">
        <v>1.2999999999999999E-3</v>
      </c>
      <c r="AP367">
        <v>-1</v>
      </c>
      <c r="AQ367">
        <v>1.86</v>
      </c>
      <c r="AR367">
        <v>3.67</v>
      </c>
      <c r="AS367">
        <v>44.15</v>
      </c>
      <c r="AT367">
        <v>54.1</v>
      </c>
      <c r="AU367">
        <v>32.06</v>
      </c>
      <c r="AV367">
        <v>7</v>
      </c>
      <c r="AW367">
        <v>6.34</v>
      </c>
      <c r="AX367">
        <v>61.52</v>
      </c>
      <c r="AY367">
        <v>18.149999999999999</v>
      </c>
      <c r="AZ367">
        <v>16.059999999999999</v>
      </c>
      <c r="BA367">
        <v>0.37</v>
      </c>
      <c r="BB367" t="s">
        <v>168</v>
      </c>
      <c r="BF367">
        <v>-1.77</v>
      </c>
      <c r="BG367">
        <v>-2.0099999999999998</v>
      </c>
      <c r="BH367">
        <v>-3.34</v>
      </c>
      <c r="BI367">
        <v>2</v>
      </c>
      <c r="BJ367">
        <v>20210914</v>
      </c>
      <c r="BK367">
        <v>19990618</v>
      </c>
      <c r="BL367">
        <v>5.99</v>
      </c>
      <c r="BM367" t="s">
        <v>120</v>
      </c>
      <c r="BN367" t="s">
        <v>120</v>
      </c>
      <c r="BO367">
        <v>49.32</v>
      </c>
      <c r="BP367">
        <v>10.71</v>
      </c>
      <c r="BQ367">
        <v>26.03</v>
      </c>
      <c r="BR367" t="s">
        <v>120</v>
      </c>
      <c r="BS367">
        <v>47.22</v>
      </c>
      <c r="BT367">
        <v>41.18</v>
      </c>
      <c r="BU367">
        <v>5.88</v>
      </c>
      <c r="BV367">
        <v>1.51</v>
      </c>
      <c r="BW367">
        <v>21.78</v>
      </c>
      <c r="BX367">
        <v>6.5</v>
      </c>
      <c r="BY367">
        <v>9.67</v>
      </c>
      <c r="BZ367">
        <v>7.75</v>
      </c>
      <c r="CA367" t="s">
        <v>120</v>
      </c>
      <c r="CB367">
        <v>11.41</v>
      </c>
      <c r="CC367">
        <v>14.33</v>
      </c>
      <c r="CD367">
        <v>10.65</v>
      </c>
      <c r="CE367">
        <v>1.52</v>
      </c>
      <c r="CF367">
        <v>0.13</v>
      </c>
      <c r="CG367">
        <v>1.58</v>
      </c>
      <c r="CH367">
        <v>1.37</v>
      </c>
      <c r="CI367">
        <v>1.37</v>
      </c>
      <c r="CJ367">
        <v>-0.22</v>
      </c>
      <c r="CK367">
        <v>1.19</v>
      </c>
      <c r="CL367">
        <v>7.1</v>
      </c>
      <c r="CM367">
        <v>-1</v>
      </c>
      <c r="CN367">
        <v>-3.31</v>
      </c>
      <c r="CO367">
        <v>30534</v>
      </c>
      <c r="CP367">
        <v>12073</v>
      </c>
      <c r="CQ367" t="s">
        <v>2472</v>
      </c>
      <c r="CR367">
        <v>-25.63</v>
      </c>
      <c r="CS367">
        <v>19.850000000000001</v>
      </c>
      <c r="CT367">
        <v>2.4700000000000002</v>
      </c>
      <c r="CU367">
        <v>-63.99</v>
      </c>
      <c r="CV367">
        <v>4.4800000000000004</v>
      </c>
      <c r="CW367">
        <v>1.46</v>
      </c>
      <c r="CX367" t="s">
        <v>2473</v>
      </c>
      <c r="CY367">
        <v>4.34</v>
      </c>
      <c r="CZ367">
        <v>0</v>
      </c>
      <c r="DA367">
        <v>1.9</v>
      </c>
      <c r="DB367">
        <v>1.19</v>
      </c>
      <c r="DC367">
        <v>-0.17</v>
      </c>
      <c r="DD367">
        <v>52.78</v>
      </c>
      <c r="DE367" t="s">
        <v>2474</v>
      </c>
      <c r="DF367">
        <v>25.66</v>
      </c>
      <c r="DG367">
        <v>10.59</v>
      </c>
      <c r="DH367">
        <v>9.5299999999999994</v>
      </c>
      <c r="DI367">
        <v>0.06</v>
      </c>
      <c r="DJ367">
        <v>1874</v>
      </c>
      <c r="DK367">
        <v>922</v>
      </c>
      <c r="DL367" t="s">
        <v>120</v>
      </c>
      <c r="DM367" t="s">
        <v>120</v>
      </c>
      <c r="DN367" t="s">
        <v>120</v>
      </c>
    </row>
    <row r="368" spans="1:118">
      <c r="A368" t="str">
        <f>"000923"</f>
        <v>000923</v>
      </c>
      <c r="B368" t="s">
        <v>2475</v>
      </c>
      <c r="C368">
        <v>-1.63</v>
      </c>
      <c r="D368">
        <v>0.1</v>
      </c>
      <c r="E368">
        <v>0.89</v>
      </c>
      <c r="F368">
        <v>1585</v>
      </c>
      <c r="G368" t="s">
        <v>2476</v>
      </c>
      <c r="H368">
        <v>36491.839999999997</v>
      </c>
      <c r="I368">
        <v>319.27999999999997</v>
      </c>
      <c r="J368" t="s">
        <v>120</v>
      </c>
      <c r="K368" t="s">
        <v>2477</v>
      </c>
      <c r="L368">
        <v>2.85</v>
      </c>
      <c r="M368">
        <v>19.97</v>
      </c>
      <c r="N368">
        <v>0.69</v>
      </c>
      <c r="O368">
        <v>2.81</v>
      </c>
      <c r="P368">
        <v>20.87</v>
      </c>
      <c r="Q368">
        <v>-2.17</v>
      </c>
      <c r="R368">
        <v>19.86</v>
      </c>
      <c r="S368">
        <v>20.48</v>
      </c>
      <c r="T368">
        <v>178686</v>
      </c>
      <c r="U368">
        <v>19.98</v>
      </c>
      <c r="V368">
        <v>20.3</v>
      </c>
      <c r="W368">
        <v>6.3</v>
      </c>
      <c r="X368" t="s">
        <v>1460</v>
      </c>
      <c r="Y368" t="s">
        <v>602</v>
      </c>
      <c r="Z368">
        <v>4.9800000000000004</v>
      </c>
      <c r="AA368">
        <v>20.420000000000002</v>
      </c>
      <c r="AB368">
        <v>91590</v>
      </c>
      <c r="AC368">
        <v>87096</v>
      </c>
      <c r="AD368">
        <v>1.05</v>
      </c>
      <c r="AE368">
        <v>99</v>
      </c>
      <c r="AF368">
        <v>54</v>
      </c>
      <c r="AG368" t="s">
        <v>120</v>
      </c>
      <c r="AH368">
        <v>0.05</v>
      </c>
      <c r="AI368" t="s">
        <v>120</v>
      </c>
      <c r="AJ368">
        <v>6.28</v>
      </c>
      <c r="AK368" t="s">
        <v>2478</v>
      </c>
      <c r="AL368">
        <v>0.28999999999999998</v>
      </c>
      <c r="AM368">
        <v>3583</v>
      </c>
      <c r="AN368">
        <v>50</v>
      </c>
      <c r="AO368">
        <v>8.0000000000000004E-4</v>
      </c>
      <c r="AP368">
        <v>-1</v>
      </c>
      <c r="AQ368">
        <v>0.64</v>
      </c>
      <c r="AR368">
        <v>-7.29</v>
      </c>
      <c r="AS368">
        <v>17.61</v>
      </c>
      <c r="AT368">
        <v>2.62</v>
      </c>
      <c r="AU368">
        <v>-19.440000000000001</v>
      </c>
      <c r="AV368">
        <v>11</v>
      </c>
      <c r="AW368">
        <v>5.6</v>
      </c>
      <c r="AX368">
        <v>48.9</v>
      </c>
      <c r="AY368">
        <v>7.66</v>
      </c>
      <c r="AZ368">
        <v>13.64</v>
      </c>
      <c r="BA368">
        <v>0.38</v>
      </c>
      <c r="BB368" t="s">
        <v>143</v>
      </c>
      <c r="BF368">
        <v>0.6</v>
      </c>
      <c r="BG368">
        <v>-2.4900000000000002</v>
      </c>
      <c r="BH368">
        <v>-4.3099999999999996</v>
      </c>
      <c r="BI368">
        <v>0.55000000000000004</v>
      </c>
      <c r="BJ368">
        <v>20210915</v>
      </c>
      <c r="BK368">
        <v>19990714</v>
      </c>
      <c r="BL368">
        <v>6.53</v>
      </c>
      <c r="BM368" t="s">
        <v>120</v>
      </c>
      <c r="BN368" t="s">
        <v>120</v>
      </c>
      <c r="BO368">
        <v>152.61000000000001</v>
      </c>
      <c r="BP368">
        <v>19.97</v>
      </c>
      <c r="BQ368">
        <v>84.68</v>
      </c>
      <c r="BR368">
        <v>29.52</v>
      </c>
      <c r="BS368">
        <v>25.17</v>
      </c>
      <c r="BT368">
        <v>69.209999999999994</v>
      </c>
      <c r="BU368">
        <v>5.59</v>
      </c>
      <c r="BV368">
        <v>6.93</v>
      </c>
      <c r="BW368">
        <v>12.31</v>
      </c>
      <c r="BX368">
        <v>44.98</v>
      </c>
      <c r="BY368">
        <v>5.9</v>
      </c>
      <c r="BZ368">
        <v>17.5</v>
      </c>
      <c r="CA368">
        <v>0.06</v>
      </c>
      <c r="CB368">
        <v>47.48</v>
      </c>
      <c r="CC368">
        <v>42.12</v>
      </c>
      <c r="CD368">
        <v>10.73</v>
      </c>
      <c r="CE368">
        <v>22.63</v>
      </c>
      <c r="CF368">
        <v>0.05</v>
      </c>
      <c r="CG368">
        <v>22.63</v>
      </c>
      <c r="CH368">
        <v>16.350000000000001</v>
      </c>
      <c r="CI368">
        <v>10.34</v>
      </c>
      <c r="CJ368">
        <v>-0.33</v>
      </c>
      <c r="CK368">
        <v>10.34</v>
      </c>
      <c r="CL368">
        <v>39.82</v>
      </c>
      <c r="CM368">
        <v>19.32</v>
      </c>
      <c r="CN368">
        <v>12.3</v>
      </c>
      <c r="CO368">
        <v>38112</v>
      </c>
      <c r="CP368">
        <v>8374</v>
      </c>
      <c r="CQ368" t="s">
        <v>2479</v>
      </c>
      <c r="CR368">
        <v>274.7</v>
      </c>
      <c r="CS368">
        <v>60.53</v>
      </c>
      <c r="CT368">
        <v>1.54</v>
      </c>
      <c r="CU368">
        <v>6.75</v>
      </c>
      <c r="CV368">
        <v>3.1</v>
      </c>
      <c r="CW368">
        <v>0.49</v>
      </c>
      <c r="CX368" t="s">
        <v>2480</v>
      </c>
      <c r="CY368">
        <v>12.97</v>
      </c>
      <c r="CZ368">
        <v>0</v>
      </c>
      <c r="DA368">
        <v>7.27</v>
      </c>
      <c r="DB368">
        <v>6.1</v>
      </c>
      <c r="DC368">
        <v>2.96</v>
      </c>
      <c r="DD368">
        <v>55.48</v>
      </c>
      <c r="DE368" t="s">
        <v>2481</v>
      </c>
      <c r="DF368">
        <v>74.53</v>
      </c>
      <c r="DG368">
        <v>53.74</v>
      </c>
      <c r="DH368">
        <v>24.54</v>
      </c>
      <c r="DI368" t="s">
        <v>120</v>
      </c>
      <c r="DJ368">
        <v>3923</v>
      </c>
      <c r="DK368">
        <v>923</v>
      </c>
      <c r="DL368" t="s">
        <v>120</v>
      </c>
      <c r="DM368" t="s">
        <v>120</v>
      </c>
      <c r="DN368" t="s">
        <v>120</v>
      </c>
    </row>
    <row r="369" spans="1:118">
      <c r="A369" t="str">
        <f>"000925"</f>
        <v>000925</v>
      </c>
      <c r="B369" t="s">
        <v>2482</v>
      </c>
      <c r="C369">
        <v>-1.52</v>
      </c>
      <c r="D369">
        <v>0</v>
      </c>
      <c r="E369">
        <v>0.32</v>
      </c>
      <c r="F369">
        <v>1298</v>
      </c>
      <c r="G369" t="s">
        <v>2483</v>
      </c>
      <c r="H369">
        <v>7505.39</v>
      </c>
      <c r="I369">
        <v>29.94</v>
      </c>
      <c r="J369" t="s">
        <v>120</v>
      </c>
      <c r="K369" t="s">
        <v>2484</v>
      </c>
      <c r="L369">
        <v>1.55</v>
      </c>
      <c r="M369">
        <v>9.1</v>
      </c>
      <c r="N369">
        <v>0.57999999999999996</v>
      </c>
      <c r="O369">
        <v>1.41</v>
      </c>
      <c r="P369">
        <v>9.3699999999999992</v>
      </c>
      <c r="Q369">
        <v>-1.73</v>
      </c>
      <c r="R369">
        <v>9.08</v>
      </c>
      <c r="S369">
        <v>9.27</v>
      </c>
      <c r="T369">
        <v>81534</v>
      </c>
      <c r="U369">
        <v>9.1</v>
      </c>
      <c r="V369">
        <v>9.24</v>
      </c>
      <c r="W369">
        <v>37.89</v>
      </c>
      <c r="X369" t="s">
        <v>675</v>
      </c>
      <c r="Y369" t="s">
        <v>585</v>
      </c>
      <c r="Z369">
        <v>3.14</v>
      </c>
      <c r="AA369">
        <v>9.2100000000000009</v>
      </c>
      <c r="AB369">
        <v>52337</v>
      </c>
      <c r="AC369">
        <v>29197</v>
      </c>
      <c r="AD369">
        <v>1.79</v>
      </c>
      <c r="AE369">
        <v>172</v>
      </c>
      <c r="AF369">
        <v>15</v>
      </c>
      <c r="AG369" t="s">
        <v>120</v>
      </c>
      <c r="AH369">
        <v>0.01</v>
      </c>
      <c r="AI369" t="s">
        <v>120</v>
      </c>
      <c r="AJ369">
        <v>5.24</v>
      </c>
      <c r="AK369" t="s">
        <v>2485</v>
      </c>
      <c r="AL369">
        <v>0.4</v>
      </c>
      <c r="AM369">
        <v>1884</v>
      </c>
      <c r="AN369">
        <v>43</v>
      </c>
      <c r="AO369">
        <v>8.0000000000000004E-4</v>
      </c>
      <c r="AP369">
        <v>-1</v>
      </c>
      <c r="AQ369">
        <v>1.32</v>
      </c>
      <c r="AR369">
        <v>-5</v>
      </c>
      <c r="AS369">
        <v>9.9</v>
      </c>
      <c r="AT369">
        <v>19.420000000000002</v>
      </c>
      <c r="AU369">
        <v>42.64</v>
      </c>
      <c r="AV369">
        <v>3</v>
      </c>
      <c r="AW369">
        <v>1.78</v>
      </c>
      <c r="AX369">
        <v>82.18</v>
      </c>
      <c r="AY369">
        <v>25.54</v>
      </c>
      <c r="AZ369">
        <v>91.28</v>
      </c>
      <c r="BA369">
        <v>0.55000000000000004</v>
      </c>
      <c r="BB369" t="s">
        <v>143</v>
      </c>
      <c r="BF369">
        <v>-0.38</v>
      </c>
      <c r="BG369">
        <v>-1.83</v>
      </c>
      <c r="BH369">
        <v>-2.88</v>
      </c>
      <c r="BI369">
        <v>0.22</v>
      </c>
      <c r="BJ369">
        <v>20210824</v>
      </c>
      <c r="BK369">
        <v>19990611</v>
      </c>
      <c r="BL369">
        <v>5.57</v>
      </c>
      <c r="BM369" t="s">
        <v>120</v>
      </c>
      <c r="BN369" t="s">
        <v>120</v>
      </c>
      <c r="BO369">
        <v>68.27</v>
      </c>
      <c r="BP369">
        <v>9.09</v>
      </c>
      <c r="BQ369">
        <v>25.12</v>
      </c>
      <c r="BR369">
        <v>0.86</v>
      </c>
      <c r="BS369">
        <v>61.94</v>
      </c>
      <c r="BT369">
        <v>39.630000000000003</v>
      </c>
      <c r="BU369">
        <v>4.1500000000000004</v>
      </c>
      <c r="BV369">
        <v>5.34</v>
      </c>
      <c r="BW369">
        <v>32.96</v>
      </c>
      <c r="BX369">
        <v>6.55</v>
      </c>
      <c r="BY369">
        <v>2.72</v>
      </c>
      <c r="BZ369">
        <v>11.42</v>
      </c>
      <c r="CA369" t="s">
        <v>120</v>
      </c>
      <c r="CB369">
        <v>18.53</v>
      </c>
      <c r="CC369">
        <v>12.36</v>
      </c>
      <c r="CD369">
        <v>8.23</v>
      </c>
      <c r="CE369">
        <v>0.79</v>
      </c>
      <c r="CF369">
        <v>0.06</v>
      </c>
      <c r="CG369">
        <v>0.79</v>
      </c>
      <c r="CH369">
        <v>0.65</v>
      </c>
      <c r="CI369">
        <v>0.67</v>
      </c>
      <c r="CJ369">
        <v>-0.14000000000000001</v>
      </c>
      <c r="CK369">
        <v>0.59</v>
      </c>
      <c r="CL369">
        <v>1.66</v>
      </c>
      <c r="CM369">
        <v>-5.77</v>
      </c>
      <c r="CN369">
        <v>-0.55000000000000004</v>
      </c>
      <c r="CO369">
        <v>29236</v>
      </c>
      <c r="CP369">
        <v>15669</v>
      </c>
      <c r="CQ369" t="s">
        <v>2486</v>
      </c>
      <c r="CR369">
        <v>185.5</v>
      </c>
      <c r="CS369">
        <v>-0.05</v>
      </c>
      <c r="CT369">
        <v>1.97</v>
      </c>
      <c r="CU369">
        <v>-8.7899999999999991</v>
      </c>
      <c r="CV369">
        <v>4.1100000000000003</v>
      </c>
      <c r="CW369">
        <v>0</v>
      </c>
      <c r="CX369" t="s">
        <v>850</v>
      </c>
      <c r="CY369">
        <v>4.6100000000000003</v>
      </c>
      <c r="CZ369">
        <v>4.6100000000000003</v>
      </c>
      <c r="DA369">
        <v>3.32</v>
      </c>
      <c r="DB369">
        <v>0.3</v>
      </c>
      <c r="DC369">
        <v>-1.04</v>
      </c>
      <c r="DD369">
        <v>36.799999999999997</v>
      </c>
      <c r="DE369" t="s">
        <v>2487</v>
      </c>
      <c r="DF369">
        <v>33.380000000000003</v>
      </c>
      <c r="DG369">
        <v>6.37</v>
      </c>
      <c r="DH369">
        <v>5.42</v>
      </c>
      <c r="DI369">
        <v>0.94</v>
      </c>
      <c r="DJ369">
        <v>1469</v>
      </c>
      <c r="DK369">
        <v>925</v>
      </c>
      <c r="DL369" t="s">
        <v>120</v>
      </c>
      <c r="DM369" t="s">
        <v>120</v>
      </c>
      <c r="DN369" t="s">
        <v>120</v>
      </c>
    </row>
    <row r="370" spans="1:118">
      <c r="A370" t="str">
        <f>"000926"</f>
        <v>000926</v>
      </c>
      <c r="B370" t="s">
        <v>2488</v>
      </c>
      <c r="C370">
        <v>-1.1200000000000001</v>
      </c>
      <c r="D370">
        <v>0.23</v>
      </c>
      <c r="E370">
        <v>1.1200000000000001</v>
      </c>
      <c r="F370">
        <v>486</v>
      </c>
      <c r="G370" t="s">
        <v>2489</v>
      </c>
      <c r="H370">
        <v>3298.35</v>
      </c>
      <c r="I370">
        <v>77.42</v>
      </c>
      <c r="J370" t="s">
        <v>120</v>
      </c>
      <c r="K370" t="s">
        <v>2490</v>
      </c>
      <c r="L370">
        <v>0.78</v>
      </c>
      <c r="M370">
        <v>4.43</v>
      </c>
      <c r="N370">
        <v>0.9</v>
      </c>
      <c r="O370">
        <v>1.1200000000000001</v>
      </c>
      <c r="P370">
        <v>4.53</v>
      </c>
      <c r="Q370">
        <v>-1.56</v>
      </c>
      <c r="R370">
        <v>4.41</v>
      </c>
      <c r="S370">
        <v>4.53</v>
      </c>
      <c r="T370">
        <v>73749</v>
      </c>
      <c r="U370">
        <v>4.43</v>
      </c>
      <c r="V370">
        <v>4.4800000000000004</v>
      </c>
      <c r="W370">
        <v>17.579999999999998</v>
      </c>
      <c r="X370" t="s">
        <v>150</v>
      </c>
      <c r="Y370" t="s">
        <v>763</v>
      </c>
      <c r="Z370">
        <v>2.68</v>
      </c>
      <c r="AA370">
        <v>4.47</v>
      </c>
      <c r="AB370">
        <v>46787</v>
      </c>
      <c r="AC370">
        <v>26962</v>
      </c>
      <c r="AD370">
        <v>1.74</v>
      </c>
      <c r="AE370">
        <v>970</v>
      </c>
      <c r="AF370">
        <v>280</v>
      </c>
      <c r="AG370" t="s">
        <v>120</v>
      </c>
      <c r="AH370">
        <v>0.02</v>
      </c>
      <c r="AI370" t="s">
        <v>120</v>
      </c>
      <c r="AJ370">
        <v>9.4700000000000006</v>
      </c>
      <c r="AK370" t="s">
        <v>2491</v>
      </c>
      <c r="AL370">
        <v>0.8</v>
      </c>
      <c r="AM370">
        <v>1654</v>
      </c>
      <c r="AN370">
        <v>45</v>
      </c>
      <c r="AO370">
        <v>5.0000000000000001E-4</v>
      </c>
      <c r="AP370">
        <v>-1</v>
      </c>
      <c r="AQ370">
        <v>1.1299999999999999</v>
      </c>
      <c r="AR370">
        <v>-3.06</v>
      </c>
      <c r="AS370">
        <v>7.26</v>
      </c>
      <c r="AT370">
        <v>1.1399999999999999</v>
      </c>
      <c r="AU370">
        <v>-11.04</v>
      </c>
      <c r="AV370">
        <v>0</v>
      </c>
      <c r="AW370">
        <v>1.05</v>
      </c>
      <c r="AX370">
        <v>72.739999999999995</v>
      </c>
      <c r="AY370">
        <v>21.47</v>
      </c>
      <c r="AZ370">
        <v>14.07</v>
      </c>
      <c r="BA370">
        <v>0.19</v>
      </c>
      <c r="BB370" t="s">
        <v>143</v>
      </c>
      <c r="BF370">
        <v>-0.17</v>
      </c>
      <c r="BG370">
        <v>-2.21</v>
      </c>
      <c r="BH370">
        <v>-2.21</v>
      </c>
      <c r="BI370">
        <v>0.45</v>
      </c>
      <c r="BJ370">
        <v>20210830</v>
      </c>
      <c r="BK370">
        <v>19990618</v>
      </c>
      <c r="BL370">
        <v>9.6199999999999992</v>
      </c>
      <c r="BM370" t="s">
        <v>120</v>
      </c>
      <c r="BN370" t="s">
        <v>120</v>
      </c>
      <c r="BO370">
        <v>522.54</v>
      </c>
      <c r="BP370">
        <v>4.42</v>
      </c>
      <c r="BQ370">
        <v>111.6</v>
      </c>
      <c r="BR370">
        <v>10.96</v>
      </c>
      <c r="BS370">
        <v>76.55</v>
      </c>
      <c r="BT370">
        <v>418.91</v>
      </c>
      <c r="BU370">
        <v>6.07</v>
      </c>
      <c r="BV370">
        <v>0.55000000000000004</v>
      </c>
      <c r="BW370">
        <v>317.62</v>
      </c>
      <c r="BX370">
        <v>40.43</v>
      </c>
      <c r="BY370">
        <v>310.16000000000003</v>
      </c>
      <c r="BZ370">
        <v>4.5999999999999996</v>
      </c>
      <c r="CA370">
        <v>0.26</v>
      </c>
      <c r="CB370">
        <v>24.77</v>
      </c>
      <c r="CC370">
        <v>31.96</v>
      </c>
      <c r="CD370">
        <v>24.44</v>
      </c>
      <c r="CE370">
        <v>2.4</v>
      </c>
      <c r="CF370">
        <v>0.19</v>
      </c>
      <c r="CG370">
        <v>2.2400000000000002</v>
      </c>
      <c r="CH370">
        <v>1.54</v>
      </c>
      <c r="CI370">
        <v>1.21</v>
      </c>
      <c r="CJ370">
        <v>-0.05</v>
      </c>
      <c r="CK370">
        <v>0.3</v>
      </c>
      <c r="CL370">
        <v>66.930000000000007</v>
      </c>
      <c r="CM370">
        <v>32.97</v>
      </c>
      <c r="CN370">
        <v>-10.23</v>
      </c>
      <c r="CO370">
        <v>38810</v>
      </c>
      <c r="CP370">
        <v>18039</v>
      </c>
      <c r="CQ370" t="s">
        <v>2492</v>
      </c>
      <c r="CR370">
        <v>-46.55</v>
      </c>
      <c r="CS370">
        <v>0.87</v>
      </c>
      <c r="CT370">
        <v>0.38</v>
      </c>
      <c r="CU370">
        <v>1.29</v>
      </c>
      <c r="CV370">
        <v>1.33</v>
      </c>
      <c r="CW370">
        <v>1.08</v>
      </c>
      <c r="CX370" t="s">
        <v>986</v>
      </c>
      <c r="CY370">
        <v>11.6</v>
      </c>
      <c r="CZ370">
        <v>0</v>
      </c>
      <c r="DA370">
        <v>2.57</v>
      </c>
      <c r="DB370">
        <v>6.95</v>
      </c>
      <c r="DC370">
        <v>3.43</v>
      </c>
      <c r="DD370">
        <v>21.36</v>
      </c>
      <c r="DE370" t="s">
        <v>2493</v>
      </c>
      <c r="DF370">
        <v>23.52</v>
      </c>
      <c r="DG370">
        <v>7.52</v>
      </c>
      <c r="DH370">
        <v>3.79</v>
      </c>
      <c r="DI370">
        <v>0.28999999999999998</v>
      </c>
      <c r="DJ370">
        <v>3478</v>
      </c>
      <c r="DK370">
        <v>926</v>
      </c>
      <c r="DL370" t="s">
        <v>120</v>
      </c>
      <c r="DM370" t="s">
        <v>120</v>
      </c>
      <c r="DN370" t="s">
        <v>120</v>
      </c>
    </row>
    <row r="371" spans="1:118">
      <c r="A371" t="str">
        <f>"000927"</f>
        <v>000927</v>
      </c>
      <c r="B371" t="s">
        <v>2494</v>
      </c>
      <c r="C371">
        <v>-1.08</v>
      </c>
      <c r="D371">
        <v>0</v>
      </c>
      <c r="E371">
        <v>1.08</v>
      </c>
      <c r="F371">
        <v>1485</v>
      </c>
      <c r="G371" t="s">
        <v>2495</v>
      </c>
      <c r="H371">
        <v>8449.8700000000008</v>
      </c>
      <c r="I371">
        <v>84.11</v>
      </c>
      <c r="J371" t="s">
        <v>120</v>
      </c>
      <c r="K371" t="s">
        <v>2496</v>
      </c>
      <c r="L371">
        <v>1.1499999999999999</v>
      </c>
      <c r="M371">
        <v>3.66</v>
      </c>
      <c r="N371">
        <v>0.59</v>
      </c>
      <c r="O371">
        <v>3.51</v>
      </c>
      <c r="P371">
        <v>3.83</v>
      </c>
      <c r="Q371">
        <v>-1.35</v>
      </c>
      <c r="R371">
        <v>3.65</v>
      </c>
      <c r="S371">
        <v>3.74</v>
      </c>
      <c r="T371">
        <v>226163</v>
      </c>
      <c r="U371">
        <v>3.67</v>
      </c>
      <c r="V371">
        <v>3.7</v>
      </c>
      <c r="W371">
        <v>19.25</v>
      </c>
      <c r="X371" t="s">
        <v>454</v>
      </c>
      <c r="Y371" t="s">
        <v>997</v>
      </c>
      <c r="Z371">
        <v>4.8600000000000003</v>
      </c>
      <c r="AA371">
        <v>3.74</v>
      </c>
      <c r="AB371">
        <v>124944</v>
      </c>
      <c r="AC371">
        <v>101219</v>
      </c>
      <c r="AD371">
        <v>1.23</v>
      </c>
      <c r="AE371">
        <v>2822</v>
      </c>
      <c r="AF371">
        <v>1965</v>
      </c>
      <c r="AG371" t="s">
        <v>120</v>
      </c>
      <c r="AH371">
        <v>0.01</v>
      </c>
      <c r="AI371" t="s">
        <v>120</v>
      </c>
      <c r="AJ371">
        <v>19.59</v>
      </c>
      <c r="AK371" t="s">
        <v>2497</v>
      </c>
      <c r="AL371">
        <v>0.83</v>
      </c>
      <c r="AM371">
        <v>2218</v>
      </c>
      <c r="AN371">
        <v>102</v>
      </c>
      <c r="AO371">
        <v>5.0000000000000001E-4</v>
      </c>
      <c r="AP371">
        <v>-1</v>
      </c>
      <c r="AQ371">
        <v>0.54</v>
      </c>
      <c r="AR371">
        <v>-5.43</v>
      </c>
      <c r="AS371">
        <v>8.2899999999999991</v>
      </c>
      <c r="AT371">
        <v>-6.16</v>
      </c>
      <c r="AU371">
        <v>-37.119999999999997</v>
      </c>
      <c r="AV371">
        <v>8</v>
      </c>
      <c r="AW371">
        <v>1.37</v>
      </c>
      <c r="AX371">
        <v>27.25</v>
      </c>
      <c r="AY371">
        <v>20.350000000000001</v>
      </c>
      <c r="AZ371">
        <v>23.86</v>
      </c>
      <c r="BA371">
        <v>0</v>
      </c>
      <c r="BB371" t="s">
        <v>143</v>
      </c>
      <c r="BF371">
        <v>0.98</v>
      </c>
      <c r="BG371">
        <v>-2.14</v>
      </c>
      <c r="BH371">
        <v>-4.4400000000000004</v>
      </c>
      <c r="BI371">
        <v>0.27</v>
      </c>
      <c r="BJ371">
        <v>20210828</v>
      </c>
      <c r="BK371">
        <v>19990727</v>
      </c>
      <c r="BL371">
        <v>60.5</v>
      </c>
      <c r="BM371" t="s">
        <v>120</v>
      </c>
      <c r="BN371" t="s">
        <v>120</v>
      </c>
      <c r="BO371">
        <v>309.70999999999998</v>
      </c>
      <c r="BP371">
        <v>3.66</v>
      </c>
      <c r="BQ371">
        <v>73.099999999999994</v>
      </c>
      <c r="BR371">
        <v>8.02</v>
      </c>
      <c r="BS371">
        <v>73.81</v>
      </c>
      <c r="BT371">
        <v>269.55</v>
      </c>
      <c r="BU371">
        <v>10.59</v>
      </c>
      <c r="BV371">
        <v>7.14</v>
      </c>
      <c r="BW371">
        <v>219.96</v>
      </c>
      <c r="BX371">
        <v>70.92</v>
      </c>
      <c r="BY371">
        <v>31.68</v>
      </c>
      <c r="BZ371">
        <v>105.88</v>
      </c>
      <c r="CA371" t="s">
        <v>120</v>
      </c>
      <c r="CB371">
        <v>0</v>
      </c>
      <c r="CC371">
        <v>281.06</v>
      </c>
      <c r="CD371">
        <v>267.01</v>
      </c>
      <c r="CE371">
        <v>7.71</v>
      </c>
      <c r="CF371">
        <v>-0.11</v>
      </c>
      <c r="CG371">
        <v>7.77</v>
      </c>
      <c r="CH371">
        <v>6.18</v>
      </c>
      <c r="CI371">
        <v>5.75</v>
      </c>
      <c r="CJ371">
        <v>-0.04</v>
      </c>
      <c r="CK371">
        <v>5.68</v>
      </c>
      <c r="CL371">
        <v>6.22</v>
      </c>
      <c r="CM371">
        <v>-13.19</v>
      </c>
      <c r="CN371">
        <v>-16.57</v>
      </c>
      <c r="CO371">
        <v>49044</v>
      </c>
      <c r="CP371">
        <v>33620</v>
      </c>
      <c r="CQ371" t="s">
        <v>2498</v>
      </c>
      <c r="CR371">
        <v>39.19</v>
      </c>
      <c r="CS371">
        <v>32.31</v>
      </c>
      <c r="CT371">
        <v>3.03</v>
      </c>
      <c r="CU371">
        <v>-16.79</v>
      </c>
      <c r="CV371">
        <v>0.79</v>
      </c>
      <c r="CW371">
        <v>0</v>
      </c>
      <c r="CX371" t="s">
        <v>2398</v>
      </c>
      <c r="CY371">
        <v>1.21</v>
      </c>
      <c r="CZ371">
        <v>0</v>
      </c>
      <c r="DA371">
        <v>0</v>
      </c>
      <c r="DB371">
        <v>0.1</v>
      </c>
      <c r="DC371">
        <v>-0.22</v>
      </c>
      <c r="DD371">
        <v>23.6</v>
      </c>
      <c r="DE371" t="s">
        <v>2499</v>
      </c>
      <c r="DF371">
        <v>5</v>
      </c>
      <c r="DG371">
        <v>2.74</v>
      </c>
      <c r="DH371">
        <v>2.0499999999999998</v>
      </c>
      <c r="DI371">
        <v>0.11</v>
      </c>
      <c r="DJ371">
        <v>4060</v>
      </c>
      <c r="DK371">
        <v>927</v>
      </c>
      <c r="DL371" t="s">
        <v>120</v>
      </c>
      <c r="DM371" t="s">
        <v>120</v>
      </c>
      <c r="DN371" t="s">
        <v>120</v>
      </c>
    </row>
    <row r="372" spans="1:118">
      <c r="A372" t="str">
        <f>"000928"</f>
        <v>000928</v>
      </c>
      <c r="B372" t="s">
        <v>2500</v>
      </c>
      <c r="C372">
        <v>-4.92</v>
      </c>
      <c r="D372">
        <v>0.28999999999999998</v>
      </c>
      <c r="E372">
        <v>0</v>
      </c>
      <c r="F372">
        <v>8971</v>
      </c>
      <c r="G372" t="s">
        <v>2501</v>
      </c>
      <c r="H372">
        <v>34994.6</v>
      </c>
      <c r="I372">
        <v>121.43</v>
      </c>
      <c r="J372" t="s">
        <v>120</v>
      </c>
      <c r="K372" t="s">
        <v>2502</v>
      </c>
      <c r="L372">
        <v>2.66</v>
      </c>
      <c r="M372">
        <v>10.25</v>
      </c>
      <c r="N372">
        <v>0.7</v>
      </c>
      <c r="O372">
        <v>1.48</v>
      </c>
      <c r="P372">
        <v>10.94</v>
      </c>
      <c r="Q372">
        <v>-5.38</v>
      </c>
      <c r="R372">
        <v>10.199999999999999</v>
      </c>
      <c r="S372">
        <v>10.78</v>
      </c>
      <c r="T372">
        <v>334585</v>
      </c>
      <c r="U372">
        <v>10.25</v>
      </c>
      <c r="V372">
        <v>10.78</v>
      </c>
      <c r="W372">
        <v>17.559999999999999</v>
      </c>
      <c r="X372" t="s">
        <v>175</v>
      </c>
      <c r="Y372" t="s">
        <v>290</v>
      </c>
      <c r="Z372">
        <v>6.86</v>
      </c>
      <c r="AA372">
        <v>10.46</v>
      </c>
      <c r="AB372">
        <v>187693</v>
      </c>
      <c r="AC372">
        <v>146892</v>
      </c>
      <c r="AD372">
        <v>1.28</v>
      </c>
      <c r="AE372">
        <v>12</v>
      </c>
      <c r="AF372">
        <v>516</v>
      </c>
      <c r="AG372" t="s">
        <v>120</v>
      </c>
      <c r="AH372">
        <v>0.02</v>
      </c>
      <c r="AI372" t="s">
        <v>120</v>
      </c>
      <c r="AJ372">
        <v>12.57</v>
      </c>
      <c r="AK372" t="s">
        <v>2503</v>
      </c>
      <c r="AL372">
        <v>-3</v>
      </c>
      <c r="AM372">
        <v>4217</v>
      </c>
      <c r="AN372">
        <v>79</v>
      </c>
      <c r="AO372">
        <v>5.9999999999999995E-4</v>
      </c>
      <c r="AP372">
        <v>-3</v>
      </c>
      <c r="AQ372">
        <v>-0.92</v>
      </c>
      <c r="AR372">
        <v>-11.87</v>
      </c>
      <c r="AS372">
        <v>11.05</v>
      </c>
      <c r="AT372">
        <v>3.75</v>
      </c>
      <c r="AU372">
        <v>138.04</v>
      </c>
      <c r="AV372">
        <v>14</v>
      </c>
      <c r="AW372">
        <v>5.86</v>
      </c>
      <c r="AX372">
        <v>45.4</v>
      </c>
      <c r="AY372">
        <v>18.09</v>
      </c>
      <c r="AZ372">
        <v>22.5</v>
      </c>
      <c r="BA372">
        <v>0.83</v>
      </c>
      <c r="BB372" t="s">
        <v>143</v>
      </c>
      <c r="BF372">
        <v>-2.98</v>
      </c>
      <c r="BG372">
        <v>-4.92</v>
      </c>
      <c r="BH372">
        <v>-6.31</v>
      </c>
      <c r="BI372">
        <v>0.49</v>
      </c>
      <c r="BJ372">
        <v>20210825</v>
      </c>
      <c r="BK372">
        <v>19990312</v>
      </c>
      <c r="BL372">
        <v>12.57</v>
      </c>
      <c r="BM372" t="s">
        <v>120</v>
      </c>
      <c r="BN372" t="s">
        <v>120</v>
      </c>
      <c r="BO372">
        <v>210.9</v>
      </c>
      <c r="BP372">
        <v>10.24</v>
      </c>
      <c r="BQ372">
        <v>59.04</v>
      </c>
      <c r="BR372">
        <v>1.18</v>
      </c>
      <c r="BS372">
        <v>71.45</v>
      </c>
      <c r="BT372">
        <v>165.36</v>
      </c>
      <c r="BU372">
        <v>1.97</v>
      </c>
      <c r="BV372">
        <v>1.62</v>
      </c>
      <c r="BW372">
        <v>136.13</v>
      </c>
      <c r="BX372">
        <v>48.96</v>
      </c>
      <c r="BY372">
        <v>19.86</v>
      </c>
      <c r="BZ372">
        <v>52.97</v>
      </c>
      <c r="CA372">
        <v>0.03</v>
      </c>
      <c r="CB372">
        <v>17.78</v>
      </c>
      <c r="CC372">
        <v>64.98</v>
      </c>
      <c r="CD372">
        <v>59.94</v>
      </c>
      <c r="CE372">
        <v>4.82</v>
      </c>
      <c r="CF372">
        <v>1.26</v>
      </c>
      <c r="CG372">
        <v>4.82</v>
      </c>
      <c r="CH372">
        <v>3.72</v>
      </c>
      <c r="CI372">
        <v>3.67</v>
      </c>
      <c r="CJ372">
        <v>-0.53</v>
      </c>
      <c r="CK372">
        <v>1.31</v>
      </c>
      <c r="CL372">
        <v>25.86</v>
      </c>
      <c r="CM372">
        <v>-13.39</v>
      </c>
      <c r="CN372">
        <v>-1.4</v>
      </c>
      <c r="CO372">
        <v>78165</v>
      </c>
      <c r="CP372">
        <v>7299</v>
      </c>
      <c r="CQ372" t="s">
        <v>1380</v>
      </c>
      <c r="CR372">
        <v>66.930000000000007</v>
      </c>
      <c r="CS372">
        <v>7.93</v>
      </c>
      <c r="CT372">
        <v>2.21</v>
      </c>
      <c r="CU372">
        <v>-9.6199999999999992</v>
      </c>
      <c r="CV372">
        <v>1.98</v>
      </c>
      <c r="CW372">
        <v>2.2599999999999998</v>
      </c>
      <c r="CX372" t="s">
        <v>2504</v>
      </c>
      <c r="CY372">
        <v>4.6399999999999997</v>
      </c>
      <c r="CZ372">
        <v>4.6399999999999997</v>
      </c>
      <c r="DA372">
        <v>1.41</v>
      </c>
      <c r="DB372">
        <v>2.06</v>
      </c>
      <c r="DC372">
        <v>-1.07</v>
      </c>
      <c r="DD372">
        <v>27.99</v>
      </c>
      <c r="DE372" t="s">
        <v>2505</v>
      </c>
      <c r="DF372">
        <v>7.75</v>
      </c>
      <c r="DG372">
        <v>7.42</v>
      </c>
      <c r="DH372">
        <v>5.64</v>
      </c>
      <c r="DI372">
        <v>0.96</v>
      </c>
      <c r="DJ372">
        <v>1944</v>
      </c>
      <c r="DK372">
        <v>928</v>
      </c>
      <c r="DL372">
        <v>20210713</v>
      </c>
      <c r="DM372">
        <v>10.34</v>
      </c>
      <c r="DN372">
        <v>-0.87</v>
      </c>
    </row>
    <row r="373" spans="1:118">
      <c r="A373" t="str">
        <f>"000929"</f>
        <v>000929</v>
      </c>
      <c r="B373" t="s">
        <v>2506</v>
      </c>
      <c r="C373">
        <v>1.32</v>
      </c>
      <c r="D373">
        <v>0</v>
      </c>
      <c r="E373">
        <v>-0.24</v>
      </c>
      <c r="F373">
        <v>466</v>
      </c>
      <c r="G373" t="s">
        <v>2507</v>
      </c>
      <c r="H373">
        <v>5817.91</v>
      </c>
      <c r="I373">
        <v>10.62</v>
      </c>
      <c r="J373" t="s">
        <v>120</v>
      </c>
      <c r="K373" t="s">
        <v>2508</v>
      </c>
      <c r="L373">
        <v>3.7</v>
      </c>
      <c r="M373">
        <v>8.43</v>
      </c>
      <c r="N373">
        <v>1.1299999999999999</v>
      </c>
      <c r="O373">
        <v>3.37</v>
      </c>
      <c r="P373">
        <v>8.6</v>
      </c>
      <c r="Q373">
        <v>-0.84</v>
      </c>
      <c r="R373">
        <v>8.25</v>
      </c>
      <c r="S373">
        <v>8.3000000000000007</v>
      </c>
      <c r="T373">
        <v>68816</v>
      </c>
      <c r="U373">
        <v>8.44</v>
      </c>
      <c r="V373">
        <v>8.32</v>
      </c>
      <c r="W373">
        <v>650.61</v>
      </c>
      <c r="X373" t="s">
        <v>1783</v>
      </c>
      <c r="Y373" t="s">
        <v>1082</v>
      </c>
      <c r="Z373">
        <v>4.21</v>
      </c>
      <c r="AA373">
        <v>8.4499999999999993</v>
      </c>
      <c r="AB373">
        <v>30355</v>
      </c>
      <c r="AC373">
        <v>38461</v>
      </c>
      <c r="AD373">
        <v>0.79</v>
      </c>
      <c r="AE373">
        <v>121</v>
      </c>
      <c r="AF373">
        <v>434</v>
      </c>
      <c r="AG373" t="s">
        <v>120</v>
      </c>
      <c r="AH373">
        <v>0.01</v>
      </c>
      <c r="AI373" t="s">
        <v>120</v>
      </c>
      <c r="AJ373">
        <v>1.86</v>
      </c>
      <c r="AK373" t="s">
        <v>2508</v>
      </c>
      <c r="AL373">
        <v>3.24</v>
      </c>
      <c r="AM373">
        <v>2132</v>
      </c>
      <c r="AN373">
        <v>32</v>
      </c>
      <c r="AO373">
        <v>1.6999999999999999E-3</v>
      </c>
      <c r="AP373">
        <v>1</v>
      </c>
      <c r="AQ373">
        <v>-0.36</v>
      </c>
      <c r="AR373">
        <v>1.82</v>
      </c>
      <c r="AS373">
        <v>-2.3199999999999998</v>
      </c>
      <c r="AT373">
        <v>-18.149999999999999</v>
      </c>
      <c r="AU373">
        <v>-18.63</v>
      </c>
      <c r="AV373">
        <v>12</v>
      </c>
      <c r="AW373">
        <v>5.04</v>
      </c>
      <c r="AX373">
        <v>73.5</v>
      </c>
      <c r="AY373" t="s">
        <v>120</v>
      </c>
      <c r="AZ373" t="s">
        <v>120</v>
      </c>
      <c r="BA373">
        <v>1.49</v>
      </c>
      <c r="BB373" t="s">
        <v>143</v>
      </c>
      <c r="BF373">
        <v>1.61</v>
      </c>
      <c r="BG373">
        <v>1.57</v>
      </c>
      <c r="BH373">
        <v>-1.98</v>
      </c>
      <c r="BI373">
        <v>2.1800000000000002</v>
      </c>
      <c r="BJ373">
        <v>20210824</v>
      </c>
      <c r="BK373">
        <v>19990623</v>
      </c>
      <c r="BL373">
        <v>1.86</v>
      </c>
      <c r="BM373" t="s">
        <v>120</v>
      </c>
      <c r="BN373" t="s">
        <v>120</v>
      </c>
      <c r="BO373">
        <v>15.17</v>
      </c>
      <c r="BP373">
        <v>8.43</v>
      </c>
      <c r="BQ373">
        <v>6.53</v>
      </c>
      <c r="BR373">
        <v>3.84</v>
      </c>
      <c r="BS373">
        <v>31.66</v>
      </c>
      <c r="BT373">
        <v>12.24</v>
      </c>
      <c r="BU373">
        <v>1.82</v>
      </c>
      <c r="BV373">
        <v>0.54</v>
      </c>
      <c r="BW373">
        <v>4.76</v>
      </c>
      <c r="BX373">
        <v>6.48</v>
      </c>
      <c r="BY373">
        <v>3.48</v>
      </c>
      <c r="BZ373">
        <v>0.06</v>
      </c>
      <c r="CA373" t="s">
        <v>120</v>
      </c>
      <c r="CB373">
        <v>1.93</v>
      </c>
      <c r="CC373">
        <v>1.86</v>
      </c>
      <c r="CD373">
        <v>1.4</v>
      </c>
      <c r="CE373">
        <v>0</v>
      </c>
      <c r="CF373">
        <v>0.1</v>
      </c>
      <c r="CG373">
        <v>0</v>
      </c>
      <c r="CH373">
        <v>-0.03</v>
      </c>
      <c r="CI373">
        <v>0.01</v>
      </c>
      <c r="CJ373">
        <v>0.11</v>
      </c>
      <c r="CK373">
        <v>-0.04</v>
      </c>
      <c r="CL373">
        <v>2.5</v>
      </c>
      <c r="CM373">
        <v>-1.7</v>
      </c>
      <c r="CN373">
        <v>0.42</v>
      </c>
      <c r="CO373">
        <v>35836</v>
      </c>
      <c r="CP373">
        <v>3810</v>
      </c>
      <c r="CQ373" t="s">
        <v>2509</v>
      </c>
      <c r="CR373">
        <v>112.06</v>
      </c>
      <c r="CS373">
        <v>13.07</v>
      </c>
      <c r="CT373">
        <v>2.4</v>
      </c>
      <c r="CU373">
        <v>-9.2200000000000006</v>
      </c>
      <c r="CV373">
        <v>8.43</v>
      </c>
      <c r="CW373">
        <v>0</v>
      </c>
      <c r="CX373" t="s">
        <v>2510</v>
      </c>
      <c r="CY373">
        <v>3.51</v>
      </c>
      <c r="CZ373">
        <v>0</v>
      </c>
      <c r="DA373">
        <v>1.04</v>
      </c>
      <c r="DB373">
        <v>1.35</v>
      </c>
      <c r="DC373">
        <v>-0.91</v>
      </c>
      <c r="DD373">
        <v>43.01</v>
      </c>
      <c r="DE373" t="s">
        <v>2511</v>
      </c>
      <c r="DF373">
        <v>24.48</v>
      </c>
      <c r="DG373">
        <v>-0.21</v>
      </c>
      <c r="DH373">
        <v>0.65</v>
      </c>
      <c r="DI373">
        <v>0.01</v>
      </c>
      <c r="DJ373">
        <v>1148</v>
      </c>
      <c r="DK373">
        <v>929</v>
      </c>
      <c r="DL373" t="s">
        <v>120</v>
      </c>
      <c r="DM373" t="s">
        <v>120</v>
      </c>
      <c r="DN373" t="s">
        <v>120</v>
      </c>
    </row>
    <row r="374" spans="1:118">
      <c r="A374" t="str">
        <f>"000930"</f>
        <v>000930</v>
      </c>
      <c r="B374" t="s">
        <v>2512</v>
      </c>
      <c r="C374">
        <v>-0.1</v>
      </c>
      <c r="D374">
        <v>-0.09</v>
      </c>
      <c r="E374">
        <v>1.17</v>
      </c>
      <c r="F374">
        <v>16624</v>
      </c>
      <c r="G374" t="s">
        <v>2513</v>
      </c>
      <c r="H374">
        <v>108429.05</v>
      </c>
      <c r="I374">
        <v>400.99</v>
      </c>
      <c r="J374" t="s">
        <v>120</v>
      </c>
      <c r="K374" t="s">
        <v>2514</v>
      </c>
      <c r="L374">
        <v>10.65</v>
      </c>
      <c r="M374">
        <v>10.28</v>
      </c>
      <c r="N374">
        <v>2.27</v>
      </c>
      <c r="O374">
        <v>6.9</v>
      </c>
      <c r="P374">
        <v>11</v>
      </c>
      <c r="Q374">
        <v>-0.49</v>
      </c>
      <c r="R374">
        <v>10.24</v>
      </c>
      <c r="S374">
        <v>10.41</v>
      </c>
      <c r="T374">
        <v>1026698</v>
      </c>
      <c r="U374">
        <v>10.29</v>
      </c>
      <c r="V374">
        <v>10.29</v>
      </c>
      <c r="W374">
        <v>13.58</v>
      </c>
      <c r="X374" t="s">
        <v>447</v>
      </c>
      <c r="Y374" t="s">
        <v>570</v>
      </c>
      <c r="Z374">
        <v>7.39</v>
      </c>
      <c r="AA374">
        <v>10.56</v>
      </c>
      <c r="AB374">
        <v>515440</v>
      </c>
      <c r="AC374">
        <v>511258</v>
      </c>
      <c r="AD374">
        <v>1.01</v>
      </c>
      <c r="AE374">
        <v>380</v>
      </c>
      <c r="AF374">
        <v>788</v>
      </c>
      <c r="AG374" t="s">
        <v>120</v>
      </c>
      <c r="AH374">
        <v>0.05</v>
      </c>
      <c r="AI374" t="s">
        <v>120</v>
      </c>
      <c r="AJ374">
        <v>9.64</v>
      </c>
      <c r="AK374" t="s">
        <v>2515</v>
      </c>
      <c r="AL374">
        <v>1.82</v>
      </c>
      <c r="AM374">
        <v>4587</v>
      </c>
      <c r="AN374">
        <v>224</v>
      </c>
      <c r="AO374">
        <v>2.3E-3</v>
      </c>
      <c r="AP374">
        <v>-1</v>
      </c>
      <c r="AQ374">
        <v>4.57</v>
      </c>
      <c r="AR374">
        <v>1.78</v>
      </c>
      <c r="AS374">
        <v>18.43</v>
      </c>
      <c r="AT374">
        <v>11.98</v>
      </c>
      <c r="AU374">
        <v>23.04</v>
      </c>
      <c r="AV374">
        <v>2</v>
      </c>
      <c r="AW374">
        <v>12.64</v>
      </c>
      <c r="AX374">
        <v>43.54</v>
      </c>
      <c r="AY374">
        <v>20.56</v>
      </c>
      <c r="AZ374">
        <v>32.369999999999997</v>
      </c>
      <c r="BA374">
        <v>0.32</v>
      </c>
      <c r="BB374" t="s">
        <v>184</v>
      </c>
      <c r="BF374">
        <v>2.63</v>
      </c>
      <c r="BG374">
        <v>-1.25</v>
      </c>
      <c r="BH374">
        <v>-6.55</v>
      </c>
      <c r="BI374">
        <v>0.39</v>
      </c>
      <c r="BJ374">
        <v>20210831</v>
      </c>
      <c r="BK374">
        <v>19990712</v>
      </c>
      <c r="BL374">
        <v>18.66</v>
      </c>
      <c r="BM374" t="s">
        <v>120</v>
      </c>
      <c r="BN374" t="s">
        <v>120</v>
      </c>
      <c r="BO374">
        <v>207.5</v>
      </c>
      <c r="BP374">
        <v>10.28</v>
      </c>
      <c r="BQ374">
        <v>109.81</v>
      </c>
      <c r="BR374">
        <v>4.25</v>
      </c>
      <c r="BS374">
        <v>45.03</v>
      </c>
      <c r="BT374">
        <v>100.32</v>
      </c>
      <c r="BU374">
        <v>78.31</v>
      </c>
      <c r="BV374">
        <v>6.77</v>
      </c>
      <c r="BW374">
        <v>87.52</v>
      </c>
      <c r="BX374">
        <v>11.13</v>
      </c>
      <c r="BY374">
        <v>65.09</v>
      </c>
      <c r="BZ374">
        <v>9.08</v>
      </c>
      <c r="CA374" t="s">
        <v>120</v>
      </c>
      <c r="CB374">
        <v>61.32</v>
      </c>
      <c r="CC374">
        <v>119.97</v>
      </c>
      <c r="CD374">
        <v>104.08</v>
      </c>
      <c r="CE374">
        <v>9.59</v>
      </c>
      <c r="CF374">
        <v>0.35</v>
      </c>
      <c r="CG374">
        <v>9.6199999999999992</v>
      </c>
      <c r="CH374">
        <v>7.22</v>
      </c>
      <c r="CI374">
        <v>7.06</v>
      </c>
      <c r="CJ374">
        <v>-0.01</v>
      </c>
      <c r="CK374">
        <v>6.61</v>
      </c>
      <c r="CL374">
        <v>21.96</v>
      </c>
      <c r="CM374">
        <v>20.69</v>
      </c>
      <c r="CN374">
        <v>4.62</v>
      </c>
      <c r="CO374">
        <v>136602</v>
      </c>
      <c r="CP374">
        <v>5947</v>
      </c>
      <c r="CQ374" t="s">
        <v>2516</v>
      </c>
      <c r="CR374">
        <v>93.19</v>
      </c>
      <c r="CS374">
        <v>28.91</v>
      </c>
      <c r="CT374">
        <v>1.75</v>
      </c>
      <c r="CU374">
        <v>9.27</v>
      </c>
      <c r="CV374">
        <v>1.6</v>
      </c>
      <c r="CW374">
        <v>0.63</v>
      </c>
      <c r="CX374" t="s">
        <v>2429</v>
      </c>
      <c r="CY374">
        <v>5.89</v>
      </c>
      <c r="CZ374">
        <v>0</v>
      </c>
      <c r="DA374">
        <v>3.29</v>
      </c>
      <c r="DB374">
        <v>1.18</v>
      </c>
      <c r="DC374">
        <v>1.1100000000000001</v>
      </c>
      <c r="DD374">
        <v>52.92</v>
      </c>
      <c r="DE374" t="s">
        <v>949</v>
      </c>
      <c r="DF374">
        <v>13.25</v>
      </c>
      <c r="DG374">
        <v>7.99</v>
      </c>
      <c r="DH374">
        <v>5.88</v>
      </c>
      <c r="DI374">
        <v>0.94</v>
      </c>
      <c r="DJ374">
        <v>9565</v>
      </c>
      <c r="DK374">
        <v>930</v>
      </c>
      <c r="DL374" t="s">
        <v>120</v>
      </c>
      <c r="DM374" t="s">
        <v>120</v>
      </c>
      <c r="DN374" t="s">
        <v>120</v>
      </c>
    </row>
    <row r="375" spans="1:118">
      <c r="A375" t="str">
        <f>"000931"</f>
        <v>000931</v>
      </c>
      <c r="B375" t="s">
        <v>2517</v>
      </c>
      <c r="C375">
        <v>4.04</v>
      </c>
      <c r="D375">
        <v>0</v>
      </c>
      <c r="E375">
        <v>-0.76</v>
      </c>
      <c r="F375">
        <v>10131</v>
      </c>
      <c r="G375" t="s">
        <v>2518</v>
      </c>
      <c r="H375">
        <v>44392.79</v>
      </c>
      <c r="I375">
        <v>56.9</v>
      </c>
      <c r="J375" t="s">
        <v>120</v>
      </c>
      <c r="K375" t="s">
        <v>497</v>
      </c>
      <c r="L375">
        <v>7.31</v>
      </c>
      <c r="M375">
        <v>8.25</v>
      </c>
      <c r="N375">
        <v>1.26</v>
      </c>
      <c r="O375">
        <v>5.04</v>
      </c>
      <c r="P375">
        <v>8.33</v>
      </c>
      <c r="Q375">
        <v>-1.77</v>
      </c>
      <c r="R375">
        <v>7.79</v>
      </c>
      <c r="S375">
        <v>7.87</v>
      </c>
      <c r="T375">
        <v>545383</v>
      </c>
      <c r="U375">
        <v>8.25</v>
      </c>
      <c r="V375">
        <v>7.93</v>
      </c>
      <c r="W375">
        <v>203.82</v>
      </c>
      <c r="X375" t="s">
        <v>666</v>
      </c>
      <c r="Y375" t="s">
        <v>158</v>
      </c>
      <c r="Z375">
        <v>6.81</v>
      </c>
      <c r="AA375">
        <v>8.14</v>
      </c>
      <c r="AB375">
        <v>250560</v>
      </c>
      <c r="AC375">
        <v>294823</v>
      </c>
      <c r="AD375">
        <v>0.85</v>
      </c>
      <c r="AE375">
        <v>2436</v>
      </c>
      <c r="AF375">
        <v>2787</v>
      </c>
      <c r="AG375" t="s">
        <v>120</v>
      </c>
      <c r="AH375">
        <v>0.02</v>
      </c>
      <c r="AI375" t="s">
        <v>120</v>
      </c>
      <c r="AJ375">
        <v>7.46</v>
      </c>
      <c r="AK375" t="s">
        <v>2519</v>
      </c>
      <c r="AL375">
        <v>5.95</v>
      </c>
      <c r="AM375">
        <v>4166</v>
      </c>
      <c r="AN375">
        <v>131</v>
      </c>
      <c r="AO375">
        <v>1.8E-3</v>
      </c>
      <c r="AP375">
        <v>2</v>
      </c>
      <c r="AQ375">
        <v>0.38</v>
      </c>
      <c r="AR375">
        <v>4.17</v>
      </c>
      <c r="AS375">
        <v>34.81</v>
      </c>
      <c r="AT375">
        <v>19.73</v>
      </c>
      <c r="AU375">
        <v>19.73</v>
      </c>
      <c r="AV375">
        <v>4</v>
      </c>
      <c r="AW375">
        <v>11.39</v>
      </c>
      <c r="AX375">
        <v>63.59</v>
      </c>
      <c r="AY375">
        <v>209.16</v>
      </c>
      <c r="AZ375">
        <v>234.82</v>
      </c>
      <c r="BA375">
        <v>0.56000000000000005</v>
      </c>
      <c r="BB375" t="s">
        <v>341</v>
      </c>
      <c r="BF375">
        <v>2.65</v>
      </c>
      <c r="BG375">
        <v>4.83</v>
      </c>
      <c r="BH375">
        <v>-0.96</v>
      </c>
      <c r="BI375">
        <v>5.91</v>
      </c>
      <c r="BJ375">
        <v>20210826</v>
      </c>
      <c r="BK375">
        <v>19990712</v>
      </c>
      <c r="BL375">
        <v>7.53</v>
      </c>
      <c r="BM375" t="s">
        <v>120</v>
      </c>
      <c r="BN375" t="s">
        <v>120</v>
      </c>
      <c r="BO375">
        <v>33.869999999999997</v>
      </c>
      <c r="BP375">
        <v>8.24</v>
      </c>
      <c r="BQ375">
        <v>17.149999999999999</v>
      </c>
      <c r="BR375">
        <v>2.36</v>
      </c>
      <c r="BS375">
        <v>42.41</v>
      </c>
      <c r="BT375">
        <v>18.579999999999998</v>
      </c>
      <c r="BU375">
        <v>8.7100000000000009</v>
      </c>
      <c r="BV375">
        <v>1.59</v>
      </c>
      <c r="BW375">
        <v>12.25</v>
      </c>
      <c r="BX375">
        <v>1.1599999999999999</v>
      </c>
      <c r="BY375">
        <v>4.4800000000000004</v>
      </c>
      <c r="BZ375">
        <v>9.5</v>
      </c>
      <c r="CA375">
        <v>0.03</v>
      </c>
      <c r="CB375">
        <v>15.76</v>
      </c>
      <c r="CC375">
        <v>9.52</v>
      </c>
      <c r="CD375">
        <v>4.42</v>
      </c>
      <c r="CE375">
        <v>0.4</v>
      </c>
      <c r="CF375">
        <v>0.01</v>
      </c>
      <c r="CG375">
        <v>0.41</v>
      </c>
      <c r="CH375">
        <v>0.32</v>
      </c>
      <c r="CI375">
        <v>0.15</v>
      </c>
      <c r="CJ375">
        <v>0.32</v>
      </c>
      <c r="CK375">
        <v>0.11</v>
      </c>
      <c r="CL375">
        <v>-6.7</v>
      </c>
      <c r="CM375">
        <v>0.55000000000000004</v>
      </c>
      <c r="CN375">
        <v>-0.9</v>
      </c>
      <c r="CO375">
        <v>80079</v>
      </c>
      <c r="CP375">
        <v>5981</v>
      </c>
      <c r="CQ375" t="s">
        <v>2520</v>
      </c>
      <c r="CR375">
        <v>25.74</v>
      </c>
      <c r="CS375">
        <v>24.4</v>
      </c>
      <c r="CT375">
        <v>3.62</v>
      </c>
      <c r="CU375">
        <v>113.13</v>
      </c>
      <c r="CV375">
        <v>6.53</v>
      </c>
      <c r="CW375">
        <v>0</v>
      </c>
      <c r="CX375" t="s">
        <v>499</v>
      </c>
      <c r="CY375">
        <v>2.2799999999999998</v>
      </c>
      <c r="CZ375">
        <v>0</v>
      </c>
      <c r="DA375">
        <v>2.09</v>
      </c>
      <c r="DB375">
        <v>-0.89</v>
      </c>
      <c r="DC375">
        <v>7.0000000000000007E-2</v>
      </c>
      <c r="DD375">
        <v>50.63</v>
      </c>
      <c r="DE375" t="s">
        <v>2521</v>
      </c>
      <c r="DF375">
        <v>53.51</v>
      </c>
      <c r="DG375">
        <v>4.1500000000000004</v>
      </c>
      <c r="DH375">
        <v>1.6</v>
      </c>
      <c r="DI375">
        <v>0.21</v>
      </c>
      <c r="DJ375">
        <v>2306</v>
      </c>
      <c r="DK375">
        <v>931</v>
      </c>
      <c r="DL375">
        <v>20210906</v>
      </c>
      <c r="DM375">
        <v>8.59</v>
      </c>
      <c r="DN375">
        <v>-3.96</v>
      </c>
    </row>
    <row r="376" spans="1:118">
      <c r="A376" t="str">
        <f>"000932"</f>
        <v>000932</v>
      </c>
      <c r="B376" t="s">
        <v>2522</v>
      </c>
      <c r="C376">
        <v>-0.12</v>
      </c>
      <c r="D376">
        <v>0.24</v>
      </c>
      <c r="E376">
        <v>1.79</v>
      </c>
      <c r="F376">
        <v>23383</v>
      </c>
      <c r="G376" t="s">
        <v>2523</v>
      </c>
      <c r="H376">
        <v>153622.75</v>
      </c>
      <c r="I376">
        <v>1165.6099999999999</v>
      </c>
      <c r="J376" t="s">
        <v>120</v>
      </c>
      <c r="K376" t="s">
        <v>2524</v>
      </c>
      <c r="L376">
        <v>3.17</v>
      </c>
      <c r="M376">
        <v>8.35</v>
      </c>
      <c r="N376">
        <v>0.69</v>
      </c>
      <c r="O376">
        <v>3.59</v>
      </c>
      <c r="P376">
        <v>8.66</v>
      </c>
      <c r="Q376">
        <v>-0.72</v>
      </c>
      <c r="R376">
        <v>8.3000000000000007</v>
      </c>
      <c r="S376">
        <v>8.51</v>
      </c>
      <c r="T376">
        <v>1809796</v>
      </c>
      <c r="U376">
        <v>8.36</v>
      </c>
      <c r="V376">
        <v>8.36</v>
      </c>
      <c r="W376">
        <v>5.17</v>
      </c>
      <c r="X376" t="s">
        <v>1460</v>
      </c>
      <c r="Y376" t="s">
        <v>594</v>
      </c>
      <c r="Z376">
        <v>4.3099999999999996</v>
      </c>
      <c r="AA376">
        <v>8.49</v>
      </c>
      <c r="AB376">
        <v>990350</v>
      </c>
      <c r="AC376">
        <v>819446</v>
      </c>
      <c r="AD376">
        <v>1.21</v>
      </c>
      <c r="AE376">
        <v>1484</v>
      </c>
      <c r="AF376">
        <v>2552</v>
      </c>
      <c r="AG376" t="s">
        <v>120</v>
      </c>
      <c r="AH376">
        <v>0.04</v>
      </c>
      <c r="AI376" t="s">
        <v>120</v>
      </c>
      <c r="AJ376">
        <v>57.18</v>
      </c>
      <c r="AK376" t="s">
        <v>2525</v>
      </c>
      <c r="AL376">
        <v>1.79</v>
      </c>
      <c r="AM376">
        <v>4635</v>
      </c>
      <c r="AN376">
        <v>390</v>
      </c>
      <c r="AO376">
        <v>6.9999999999999999E-4</v>
      </c>
      <c r="AP376">
        <v>-3</v>
      </c>
      <c r="AQ376">
        <v>-0.59</v>
      </c>
      <c r="AR376">
        <v>-6.07</v>
      </c>
      <c r="AS376">
        <v>13.29</v>
      </c>
      <c r="AT376">
        <v>32.96</v>
      </c>
      <c r="AU376">
        <v>82.71</v>
      </c>
      <c r="AV376">
        <v>6</v>
      </c>
      <c r="AW376">
        <v>5.76</v>
      </c>
      <c r="AX376">
        <v>45.5</v>
      </c>
      <c r="AY376">
        <v>6.46</v>
      </c>
      <c r="AZ376">
        <v>9.0299999999999994</v>
      </c>
      <c r="BA376">
        <v>0.47</v>
      </c>
      <c r="BB376" t="s">
        <v>143</v>
      </c>
      <c r="BF376">
        <v>1.54</v>
      </c>
      <c r="BG376">
        <v>-1.88</v>
      </c>
      <c r="BH376">
        <v>-3.58</v>
      </c>
      <c r="BI376">
        <v>0.6</v>
      </c>
      <c r="BJ376">
        <v>20210828</v>
      </c>
      <c r="BK376">
        <v>19990803</v>
      </c>
      <c r="BL376">
        <v>69.09</v>
      </c>
      <c r="BM376" t="s">
        <v>120</v>
      </c>
      <c r="BN376" t="s">
        <v>120</v>
      </c>
      <c r="BO376">
        <v>1055.1199999999999</v>
      </c>
      <c r="BP376">
        <v>8.35</v>
      </c>
      <c r="BQ376">
        <v>399.4</v>
      </c>
      <c r="BR376">
        <v>50.37</v>
      </c>
      <c r="BS376">
        <v>57.37</v>
      </c>
      <c r="BT376">
        <v>523.96</v>
      </c>
      <c r="BU376">
        <v>410.62</v>
      </c>
      <c r="BV376">
        <v>45.63</v>
      </c>
      <c r="BW376">
        <v>563.11</v>
      </c>
      <c r="BX376">
        <v>70.98</v>
      </c>
      <c r="BY376">
        <v>132.91999999999999</v>
      </c>
      <c r="BZ376">
        <v>44.14</v>
      </c>
      <c r="CA376" t="s">
        <v>120</v>
      </c>
      <c r="CB376">
        <v>125.23</v>
      </c>
      <c r="CC376">
        <v>848.46</v>
      </c>
      <c r="CD376">
        <v>734.68</v>
      </c>
      <c r="CE376">
        <v>69.400000000000006</v>
      </c>
      <c r="CF376">
        <v>0.44</v>
      </c>
      <c r="CG376">
        <v>69.31</v>
      </c>
      <c r="CH376">
        <v>59.52</v>
      </c>
      <c r="CI376">
        <v>55.75</v>
      </c>
      <c r="CJ376">
        <v>-0.01</v>
      </c>
      <c r="CK376">
        <v>55.57</v>
      </c>
      <c r="CL376">
        <v>194.61</v>
      </c>
      <c r="CM376">
        <v>30.5</v>
      </c>
      <c r="CN376">
        <v>-6.18</v>
      </c>
      <c r="CO376">
        <v>107663</v>
      </c>
      <c r="CP376">
        <v>29195</v>
      </c>
      <c r="CQ376" t="s">
        <v>2526</v>
      </c>
      <c r="CR376">
        <v>84.39</v>
      </c>
      <c r="CS376">
        <v>62.97</v>
      </c>
      <c r="CT376">
        <v>1.39</v>
      </c>
      <c r="CU376">
        <v>18.920000000000002</v>
      </c>
      <c r="CV376">
        <v>0.68</v>
      </c>
      <c r="CW376">
        <v>2.23</v>
      </c>
      <c r="CX376" t="s">
        <v>397</v>
      </c>
      <c r="CY376">
        <v>6.03</v>
      </c>
      <c r="CZ376">
        <v>6.03</v>
      </c>
      <c r="DA376">
        <v>1.81</v>
      </c>
      <c r="DB376">
        <v>2.82</v>
      </c>
      <c r="DC376">
        <v>0.44</v>
      </c>
      <c r="DD376">
        <v>37.85</v>
      </c>
      <c r="DE376" t="s">
        <v>2527</v>
      </c>
      <c r="DF376">
        <v>13.41</v>
      </c>
      <c r="DG376">
        <v>8.18</v>
      </c>
      <c r="DH376">
        <v>6.57</v>
      </c>
      <c r="DI376">
        <v>26.44</v>
      </c>
      <c r="DJ376">
        <v>23628</v>
      </c>
      <c r="DK376">
        <v>932</v>
      </c>
      <c r="DL376" t="s">
        <v>120</v>
      </c>
      <c r="DM376" t="s">
        <v>120</v>
      </c>
      <c r="DN376" t="s">
        <v>120</v>
      </c>
    </row>
    <row r="377" spans="1:118">
      <c r="A377" t="str">
        <f>"000933"</f>
        <v>000933</v>
      </c>
      <c r="B377" t="s">
        <v>2528</v>
      </c>
      <c r="C377">
        <v>0.72</v>
      </c>
      <c r="D377">
        <v>0.42</v>
      </c>
      <c r="E377">
        <v>2.58</v>
      </c>
      <c r="F377">
        <v>8378</v>
      </c>
      <c r="G377" t="s">
        <v>2529</v>
      </c>
      <c r="H377">
        <v>203663.87</v>
      </c>
      <c r="I377">
        <v>828.89</v>
      </c>
      <c r="J377" t="s">
        <v>120</v>
      </c>
      <c r="K377" t="s">
        <v>2530</v>
      </c>
      <c r="L377">
        <v>5.32</v>
      </c>
      <c r="M377">
        <v>16.77</v>
      </c>
      <c r="N377">
        <v>0.78</v>
      </c>
      <c r="O377">
        <v>7.75</v>
      </c>
      <c r="P377">
        <v>17.940000000000001</v>
      </c>
      <c r="Q377">
        <v>-0.18</v>
      </c>
      <c r="R377">
        <v>16.62</v>
      </c>
      <c r="S377">
        <v>17.079999999999998</v>
      </c>
      <c r="T377">
        <v>1188064</v>
      </c>
      <c r="U377">
        <v>16.77</v>
      </c>
      <c r="V377">
        <v>16.649999999999999</v>
      </c>
      <c r="W377">
        <v>12.9</v>
      </c>
      <c r="X377" t="s">
        <v>1325</v>
      </c>
      <c r="Y377" t="s">
        <v>645</v>
      </c>
      <c r="Z377">
        <v>7.93</v>
      </c>
      <c r="AA377">
        <v>17.14</v>
      </c>
      <c r="AB377">
        <v>579584</v>
      </c>
      <c r="AC377">
        <v>608480</v>
      </c>
      <c r="AD377">
        <v>0.95</v>
      </c>
      <c r="AE377">
        <v>275</v>
      </c>
      <c r="AF377">
        <v>897</v>
      </c>
      <c r="AG377" t="s">
        <v>120</v>
      </c>
      <c r="AH377">
        <v>0.03</v>
      </c>
      <c r="AI377" t="s">
        <v>120</v>
      </c>
      <c r="AJ377">
        <v>22.31</v>
      </c>
      <c r="AK377" t="s">
        <v>2531</v>
      </c>
      <c r="AL377">
        <v>2.63</v>
      </c>
      <c r="AM377">
        <v>4717</v>
      </c>
      <c r="AN377">
        <v>252</v>
      </c>
      <c r="AO377">
        <v>1.1000000000000001E-3</v>
      </c>
      <c r="AP377">
        <v>1</v>
      </c>
      <c r="AQ377">
        <v>-1.19</v>
      </c>
      <c r="AR377">
        <v>-3.95</v>
      </c>
      <c r="AS377">
        <v>32.26</v>
      </c>
      <c r="AT377">
        <v>69.91</v>
      </c>
      <c r="AU377">
        <v>112.81</v>
      </c>
      <c r="AV377">
        <v>11</v>
      </c>
      <c r="AW377">
        <v>8.2899999999999991</v>
      </c>
      <c r="AX377">
        <v>63.66</v>
      </c>
      <c r="AY377">
        <v>23.22</v>
      </c>
      <c r="AZ377">
        <v>104.6</v>
      </c>
      <c r="BA377">
        <v>0.21</v>
      </c>
      <c r="BB377" t="s">
        <v>184</v>
      </c>
      <c r="BF377">
        <v>2.96</v>
      </c>
      <c r="BG377">
        <v>-1.81</v>
      </c>
      <c r="BH377">
        <v>-6.52</v>
      </c>
      <c r="BI377">
        <v>0.9</v>
      </c>
      <c r="BJ377">
        <v>20210914</v>
      </c>
      <c r="BK377">
        <v>19990831</v>
      </c>
      <c r="BL377">
        <v>22.51</v>
      </c>
      <c r="BM377" t="s">
        <v>120</v>
      </c>
      <c r="BN377" t="s">
        <v>120</v>
      </c>
      <c r="BO377">
        <v>593.03</v>
      </c>
      <c r="BP377">
        <v>16.760000000000002</v>
      </c>
      <c r="BQ377">
        <v>82.1</v>
      </c>
      <c r="BR377">
        <v>61.42</v>
      </c>
      <c r="BS377">
        <v>75.8</v>
      </c>
      <c r="BT377">
        <v>179.86</v>
      </c>
      <c r="BU377">
        <v>189.44</v>
      </c>
      <c r="BV377">
        <v>58.57</v>
      </c>
      <c r="BW377">
        <v>372.09</v>
      </c>
      <c r="BX377">
        <v>115.1</v>
      </c>
      <c r="BY377">
        <v>21.52</v>
      </c>
      <c r="BZ377">
        <v>6.17</v>
      </c>
      <c r="CA377">
        <v>0.01</v>
      </c>
      <c r="CB377">
        <v>32.47</v>
      </c>
      <c r="CC377">
        <v>155.11000000000001</v>
      </c>
      <c r="CD377">
        <v>107.58</v>
      </c>
      <c r="CE377">
        <v>26.32</v>
      </c>
      <c r="CF377">
        <v>0.86</v>
      </c>
      <c r="CG377">
        <v>25.91</v>
      </c>
      <c r="CH377">
        <v>19.29</v>
      </c>
      <c r="CI377">
        <v>14.63</v>
      </c>
      <c r="CJ377">
        <v>0.12</v>
      </c>
      <c r="CK377">
        <v>13.87</v>
      </c>
      <c r="CL377">
        <v>17.82</v>
      </c>
      <c r="CM377">
        <v>65.19</v>
      </c>
      <c r="CN377">
        <v>-27.54</v>
      </c>
      <c r="CO377">
        <v>82000</v>
      </c>
      <c r="CP377">
        <v>17475</v>
      </c>
      <c r="CQ377" t="s">
        <v>2532</v>
      </c>
      <c r="CR377">
        <v>606.21</v>
      </c>
      <c r="CS377">
        <v>85.74</v>
      </c>
      <c r="CT377">
        <v>4.5599999999999996</v>
      </c>
      <c r="CU377">
        <v>5.79</v>
      </c>
      <c r="CV377">
        <v>2.4300000000000002</v>
      </c>
      <c r="CW377">
        <v>0.6</v>
      </c>
      <c r="CX377" t="s">
        <v>2533</v>
      </c>
      <c r="CY377">
        <v>3.68</v>
      </c>
      <c r="CZ377">
        <v>3.68</v>
      </c>
      <c r="DA377">
        <v>1.44</v>
      </c>
      <c r="DB377">
        <v>0.79</v>
      </c>
      <c r="DC377">
        <v>2.9</v>
      </c>
      <c r="DD377">
        <v>13.84</v>
      </c>
      <c r="DE377" t="s">
        <v>2534</v>
      </c>
      <c r="DF377">
        <v>30.64</v>
      </c>
      <c r="DG377">
        <v>16.97</v>
      </c>
      <c r="DH377">
        <v>9.43</v>
      </c>
      <c r="DI377">
        <v>0.65</v>
      </c>
      <c r="DJ377">
        <v>26286</v>
      </c>
      <c r="DK377">
        <v>933</v>
      </c>
      <c r="DL377">
        <v>20210818</v>
      </c>
      <c r="DM377">
        <v>13.79</v>
      </c>
      <c r="DN377">
        <v>21.61</v>
      </c>
    </row>
    <row r="378" spans="1:118">
      <c r="A378" t="str">
        <f>"000935"</f>
        <v>000935</v>
      </c>
      <c r="B378" t="s">
        <v>2535</v>
      </c>
      <c r="C378">
        <v>1.39</v>
      </c>
      <c r="D378">
        <v>0</v>
      </c>
      <c r="E378">
        <v>1.1499999999999999</v>
      </c>
      <c r="F378">
        <v>2924</v>
      </c>
      <c r="G378" t="s">
        <v>2536</v>
      </c>
      <c r="H378">
        <v>55788.82</v>
      </c>
      <c r="I378">
        <v>380.6</v>
      </c>
      <c r="J378" t="s">
        <v>120</v>
      </c>
      <c r="K378" t="s">
        <v>2537</v>
      </c>
      <c r="L378">
        <v>3.29</v>
      </c>
      <c r="M378">
        <v>21.95</v>
      </c>
      <c r="N378">
        <v>0.86</v>
      </c>
      <c r="O378">
        <v>5.96</v>
      </c>
      <c r="P378">
        <v>22.94</v>
      </c>
      <c r="Q378">
        <v>-0.23</v>
      </c>
      <c r="R378">
        <v>21.6</v>
      </c>
      <c r="S378">
        <v>21.9</v>
      </c>
      <c r="T378">
        <v>250972</v>
      </c>
      <c r="U378">
        <v>21.96</v>
      </c>
      <c r="V378">
        <v>21.65</v>
      </c>
      <c r="W378">
        <v>18.260000000000002</v>
      </c>
      <c r="X378" t="s">
        <v>653</v>
      </c>
      <c r="Y378" t="s">
        <v>578</v>
      </c>
      <c r="Z378">
        <v>6.19</v>
      </c>
      <c r="AA378">
        <v>22.23</v>
      </c>
      <c r="AB378">
        <v>135360</v>
      </c>
      <c r="AC378">
        <v>115612</v>
      </c>
      <c r="AD378">
        <v>1.17</v>
      </c>
      <c r="AE378">
        <v>628</v>
      </c>
      <c r="AF378">
        <v>68</v>
      </c>
      <c r="AG378" t="s">
        <v>120</v>
      </c>
      <c r="AH378">
        <v>7.0000000000000007E-2</v>
      </c>
      <c r="AI378" t="s">
        <v>120</v>
      </c>
      <c r="AJ378">
        <v>7.63</v>
      </c>
      <c r="AK378" t="s">
        <v>2537</v>
      </c>
      <c r="AL378">
        <v>3.3</v>
      </c>
      <c r="AM378">
        <v>4146</v>
      </c>
      <c r="AN378">
        <v>61</v>
      </c>
      <c r="AO378">
        <v>8.0000000000000004E-4</v>
      </c>
      <c r="AP378">
        <v>2</v>
      </c>
      <c r="AQ378">
        <v>0.09</v>
      </c>
      <c r="AR378">
        <v>-0.63</v>
      </c>
      <c r="AS378">
        <v>6.14</v>
      </c>
      <c r="AT378">
        <v>72.430000000000007</v>
      </c>
      <c r="AU378">
        <v>73.8</v>
      </c>
      <c r="AV378">
        <v>10</v>
      </c>
      <c r="AW378">
        <v>10.63</v>
      </c>
      <c r="AX378">
        <v>30.93</v>
      </c>
      <c r="AY378">
        <v>17.149999999999999</v>
      </c>
      <c r="AZ378">
        <v>18.600000000000001</v>
      </c>
      <c r="BA378">
        <v>0.6</v>
      </c>
      <c r="BB378" t="s">
        <v>143</v>
      </c>
      <c r="BF378">
        <v>2.67</v>
      </c>
      <c r="BG378">
        <v>0.23</v>
      </c>
      <c r="BH378">
        <v>-4.32</v>
      </c>
      <c r="BI378">
        <v>1.62</v>
      </c>
      <c r="BJ378">
        <v>20210830</v>
      </c>
      <c r="BK378">
        <v>19990824</v>
      </c>
      <c r="BL378">
        <v>7.63</v>
      </c>
      <c r="BM378" t="s">
        <v>120</v>
      </c>
      <c r="BN378" t="s">
        <v>120</v>
      </c>
      <c r="BO378">
        <v>59.16</v>
      </c>
      <c r="BP378">
        <v>21.95</v>
      </c>
      <c r="BQ378">
        <v>53.82</v>
      </c>
      <c r="BR378">
        <v>0.21</v>
      </c>
      <c r="BS378">
        <v>8.68</v>
      </c>
      <c r="BT378">
        <v>15.87</v>
      </c>
      <c r="BU378">
        <v>6.7</v>
      </c>
      <c r="BV378">
        <v>0.48</v>
      </c>
      <c r="BW378">
        <v>3.82</v>
      </c>
      <c r="BX378">
        <v>9.8699999999999992</v>
      </c>
      <c r="BY378">
        <v>0.51</v>
      </c>
      <c r="BZ378">
        <v>0.04</v>
      </c>
      <c r="CA378" t="s">
        <v>120</v>
      </c>
      <c r="CB378">
        <v>10.51</v>
      </c>
      <c r="CC378">
        <v>5.42</v>
      </c>
      <c r="CD378">
        <v>2.73</v>
      </c>
      <c r="CE378">
        <v>5.26</v>
      </c>
      <c r="CF378">
        <v>0.76</v>
      </c>
      <c r="CG378">
        <v>5.26</v>
      </c>
      <c r="CH378">
        <v>4.57</v>
      </c>
      <c r="CI378">
        <v>4.59</v>
      </c>
      <c r="CJ378">
        <v>0.3</v>
      </c>
      <c r="CK378">
        <v>4.51</v>
      </c>
      <c r="CL378">
        <v>33.020000000000003</v>
      </c>
      <c r="CM378">
        <v>1.81</v>
      </c>
      <c r="CN378">
        <v>-4.25</v>
      </c>
      <c r="CO378">
        <v>42542</v>
      </c>
      <c r="CP378">
        <v>5551</v>
      </c>
      <c r="CQ378" t="s">
        <v>2538</v>
      </c>
      <c r="CR378">
        <v>19.579999999999998</v>
      </c>
      <c r="CS378">
        <v>-34.659999999999997</v>
      </c>
      <c r="CT378">
        <v>3.11</v>
      </c>
      <c r="CU378">
        <v>92.64</v>
      </c>
      <c r="CV378">
        <v>30.9</v>
      </c>
      <c r="CW378">
        <v>0.97</v>
      </c>
      <c r="CX378" t="s">
        <v>817</v>
      </c>
      <c r="CY378">
        <v>7.05</v>
      </c>
      <c r="CZ378">
        <v>0</v>
      </c>
      <c r="DA378">
        <v>1.38</v>
      </c>
      <c r="DB378">
        <v>4.33</v>
      </c>
      <c r="DC378">
        <v>0.24</v>
      </c>
      <c r="DD378">
        <v>90.97</v>
      </c>
      <c r="DE378" t="s">
        <v>1657</v>
      </c>
      <c r="DF378">
        <v>49.65</v>
      </c>
      <c r="DG378">
        <v>96.94</v>
      </c>
      <c r="DH378">
        <v>84.59</v>
      </c>
      <c r="DI378">
        <v>0.01</v>
      </c>
      <c r="DJ378">
        <v>382</v>
      </c>
      <c r="DK378">
        <v>935</v>
      </c>
      <c r="DL378" t="s">
        <v>120</v>
      </c>
      <c r="DM378" t="s">
        <v>120</v>
      </c>
      <c r="DN378" t="s">
        <v>120</v>
      </c>
    </row>
    <row r="379" spans="1:118">
      <c r="A379" t="str">
        <f>"000936"</f>
        <v>000936</v>
      </c>
      <c r="B379" t="s">
        <v>2539</v>
      </c>
      <c r="C379">
        <v>-1.1599999999999999</v>
      </c>
      <c r="D379">
        <v>0</v>
      </c>
      <c r="E379">
        <v>-0.39</v>
      </c>
      <c r="F379">
        <v>2026</v>
      </c>
      <c r="G379" t="s">
        <v>2540</v>
      </c>
      <c r="H379">
        <v>22927.3</v>
      </c>
      <c r="I379">
        <v>88.14</v>
      </c>
      <c r="J379" t="s">
        <v>120</v>
      </c>
      <c r="K379" t="s">
        <v>2541</v>
      </c>
      <c r="L379">
        <v>3.33</v>
      </c>
      <c r="M379">
        <v>7.69</v>
      </c>
      <c r="N379">
        <v>1.1599999999999999</v>
      </c>
      <c r="O379">
        <v>2.57</v>
      </c>
      <c r="P379">
        <v>7.98</v>
      </c>
      <c r="Q379">
        <v>-1.8</v>
      </c>
      <c r="R379">
        <v>7.64</v>
      </c>
      <c r="S379">
        <v>7.75</v>
      </c>
      <c r="T379">
        <v>294643</v>
      </c>
      <c r="U379">
        <v>7.69</v>
      </c>
      <c r="V379">
        <v>7.78</v>
      </c>
      <c r="W379">
        <v>8.68</v>
      </c>
      <c r="X379" t="s">
        <v>623</v>
      </c>
      <c r="Y379" t="s">
        <v>319</v>
      </c>
      <c r="Z379">
        <v>4.37</v>
      </c>
      <c r="AA379">
        <v>7.78</v>
      </c>
      <c r="AB379">
        <v>156039</v>
      </c>
      <c r="AC379">
        <v>138604</v>
      </c>
      <c r="AD379">
        <v>1.1299999999999999</v>
      </c>
      <c r="AE379">
        <v>640</v>
      </c>
      <c r="AF379">
        <v>705</v>
      </c>
      <c r="AG379" t="s">
        <v>120</v>
      </c>
      <c r="AH379">
        <v>0.02</v>
      </c>
      <c r="AI379" t="s">
        <v>120</v>
      </c>
      <c r="AJ379">
        <v>8.86</v>
      </c>
      <c r="AK379" t="s">
        <v>2542</v>
      </c>
      <c r="AL379">
        <v>0.76</v>
      </c>
      <c r="AM379">
        <v>3420</v>
      </c>
      <c r="AN379">
        <v>86</v>
      </c>
      <c r="AO379">
        <v>1E-3</v>
      </c>
      <c r="AP379">
        <v>-1</v>
      </c>
      <c r="AQ379">
        <v>3.87</v>
      </c>
      <c r="AR379">
        <v>1.18</v>
      </c>
      <c r="AS379">
        <v>11.77</v>
      </c>
      <c r="AT379">
        <v>11.94</v>
      </c>
      <c r="AU379">
        <v>-1.29</v>
      </c>
      <c r="AV379">
        <v>3</v>
      </c>
      <c r="AW379">
        <v>5.6</v>
      </c>
      <c r="AX379">
        <v>59.38</v>
      </c>
      <c r="AY379">
        <v>36.03</v>
      </c>
      <c r="AZ379" t="s">
        <v>120</v>
      </c>
      <c r="BA379">
        <v>0.59</v>
      </c>
      <c r="BB379" t="s">
        <v>700</v>
      </c>
      <c r="BF379">
        <v>0.02</v>
      </c>
      <c r="BG379">
        <v>-0.77</v>
      </c>
      <c r="BH379">
        <v>-3.63</v>
      </c>
      <c r="BI379">
        <v>0.65</v>
      </c>
      <c r="BJ379">
        <v>20210906</v>
      </c>
      <c r="BK379">
        <v>19990810</v>
      </c>
      <c r="BL379">
        <v>8.86</v>
      </c>
      <c r="BM379" t="s">
        <v>120</v>
      </c>
      <c r="BN379" t="s">
        <v>120</v>
      </c>
      <c r="BO379">
        <v>80.62</v>
      </c>
      <c r="BP379">
        <v>7.68</v>
      </c>
      <c r="BQ379">
        <v>50.53</v>
      </c>
      <c r="BR379">
        <v>1.1100000000000001</v>
      </c>
      <c r="BS379">
        <v>35.950000000000003</v>
      </c>
      <c r="BT379">
        <v>30.56</v>
      </c>
      <c r="BU379">
        <v>4.38</v>
      </c>
      <c r="BV379">
        <v>0.19</v>
      </c>
      <c r="BW379">
        <v>24.98</v>
      </c>
      <c r="BX379">
        <v>11.25</v>
      </c>
      <c r="BY379">
        <v>1.97</v>
      </c>
      <c r="BZ379">
        <v>1.64</v>
      </c>
      <c r="CA379">
        <v>0.03</v>
      </c>
      <c r="CB379">
        <v>4.95</v>
      </c>
      <c r="CC379">
        <v>12.1</v>
      </c>
      <c r="CD379">
        <v>10.28</v>
      </c>
      <c r="CE379">
        <v>5.1100000000000003</v>
      </c>
      <c r="CF379">
        <v>1.79</v>
      </c>
      <c r="CG379">
        <v>5.1100000000000003</v>
      </c>
      <c r="CH379">
        <v>4.05</v>
      </c>
      <c r="CI379">
        <v>3.93</v>
      </c>
      <c r="CJ379">
        <v>-0.09</v>
      </c>
      <c r="CK379">
        <v>3.92</v>
      </c>
      <c r="CL379">
        <v>32.97</v>
      </c>
      <c r="CM379">
        <v>0.23</v>
      </c>
      <c r="CN379">
        <v>-0.69</v>
      </c>
      <c r="CO379">
        <v>61759</v>
      </c>
      <c r="CP379">
        <v>8519</v>
      </c>
      <c r="CQ379" t="s">
        <v>2543</v>
      </c>
      <c r="CR379">
        <v>398.42</v>
      </c>
      <c r="CS379">
        <v>-0.79</v>
      </c>
      <c r="CT379">
        <v>1.35</v>
      </c>
      <c r="CU379">
        <v>302.27</v>
      </c>
      <c r="CV379">
        <v>5.63</v>
      </c>
      <c r="CW379">
        <v>0.64</v>
      </c>
      <c r="CX379" t="s">
        <v>194</v>
      </c>
      <c r="CY379">
        <v>5.7</v>
      </c>
      <c r="CZ379">
        <v>0</v>
      </c>
      <c r="DA379">
        <v>0.56000000000000005</v>
      </c>
      <c r="DB379">
        <v>3.72</v>
      </c>
      <c r="DC379">
        <v>0.03</v>
      </c>
      <c r="DD379">
        <v>62.68</v>
      </c>
      <c r="DE379" t="s">
        <v>2544</v>
      </c>
      <c r="DF379">
        <v>15.04</v>
      </c>
      <c r="DG379">
        <v>42.25</v>
      </c>
      <c r="DH379">
        <v>32.44</v>
      </c>
      <c r="DI379">
        <v>0.05</v>
      </c>
      <c r="DJ379">
        <v>851</v>
      </c>
      <c r="DK379">
        <v>936</v>
      </c>
      <c r="DL379" t="s">
        <v>120</v>
      </c>
      <c r="DM379" t="s">
        <v>120</v>
      </c>
      <c r="DN379" t="s">
        <v>120</v>
      </c>
    </row>
    <row r="380" spans="1:118">
      <c r="A380" t="str">
        <f>"000937"</f>
        <v>000937</v>
      </c>
      <c r="B380" t="s">
        <v>2545</v>
      </c>
      <c r="C380">
        <v>10</v>
      </c>
      <c r="D380">
        <v>0</v>
      </c>
      <c r="E380">
        <v>4.1900000000000004</v>
      </c>
      <c r="F380">
        <v>1186</v>
      </c>
      <c r="G380" t="s">
        <v>2546</v>
      </c>
      <c r="H380">
        <v>253123.78</v>
      </c>
      <c r="I380">
        <v>17079.349999999999</v>
      </c>
      <c r="J380">
        <v>10971.37</v>
      </c>
      <c r="K380" t="s">
        <v>2547</v>
      </c>
      <c r="L380">
        <v>8.68</v>
      </c>
      <c r="M380">
        <v>10.23</v>
      </c>
      <c r="N380">
        <v>2.13</v>
      </c>
      <c r="O380">
        <v>10</v>
      </c>
      <c r="P380">
        <v>10.23</v>
      </c>
      <c r="Q380">
        <v>2.37</v>
      </c>
      <c r="R380">
        <v>9.52</v>
      </c>
      <c r="S380">
        <v>9.69</v>
      </c>
      <c r="T380">
        <v>2523914</v>
      </c>
      <c r="U380" t="s">
        <v>120</v>
      </c>
      <c r="V380">
        <v>9.3000000000000007</v>
      </c>
      <c r="W380">
        <v>27.4</v>
      </c>
      <c r="X380" t="s">
        <v>1081</v>
      </c>
      <c r="Y380" t="s">
        <v>602</v>
      </c>
      <c r="Z380">
        <v>7.63</v>
      </c>
      <c r="AA380">
        <v>10.029999999999999</v>
      </c>
      <c r="AB380">
        <v>1611538</v>
      </c>
      <c r="AC380">
        <v>912376</v>
      </c>
      <c r="AD380">
        <v>1.77</v>
      </c>
      <c r="AE380">
        <v>107247</v>
      </c>
      <c r="AF380">
        <v>0</v>
      </c>
      <c r="AG380" t="s">
        <v>120</v>
      </c>
      <c r="AH380">
        <v>1.76</v>
      </c>
      <c r="AI380">
        <v>0.04</v>
      </c>
      <c r="AJ380">
        <v>29.07</v>
      </c>
      <c r="AK380" t="s">
        <v>2548</v>
      </c>
      <c r="AL380">
        <v>11.91</v>
      </c>
      <c r="AM380">
        <v>3781</v>
      </c>
      <c r="AN380">
        <v>668</v>
      </c>
      <c r="AO380">
        <v>2.3E-3</v>
      </c>
      <c r="AP380">
        <v>9</v>
      </c>
      <c r="AQ380">
        <v>8.14</v>
      </c>
      <c r="AR380">
        <v>30.81</v>
      </c>
      <c r="AS380">
        <v>146.51</v>
      </c>
      <c r="AT380">
        <v>179.51</v>
      </c>
      <c r="AU380">
        <v>172.07</v>
      </c>
      <c r="AV380">
        <v>7</v>
      </c>
      <c r="AW380">
        <v>25.14</v>
      </c>
      <c r="AX380">
        <v>28.41</v>
      </c>
      <c r="AY380">
        <v>37.299999999999997</v>
      </c>
      <c r="AZ380">
        <v>41.84</v>
      </c>
      <c r="BA380">
        <v>0</v>
      </c>
      <c r="BB380" t="s">
        <v>184</v>
      </c>
      <c r="BF380">
        <v>7.84</v>
      </c>
      <c r="BG380">
        <v>5.57</v>
      </c>
      <c r="BH380">
        <v>0</v>
      </c>
      <c r="BI380">
        <v>7.46</v>
      </c>
      <c r="BJ380">
        <v>20210907</v>
      </c>
      <c r="BK380">
        <v>19990909</v>
      </c>
      <c r="BL380">
        <v>35.340000000000003</v>
      </c>
      <c r="BM380" t="s">
        <v>120</v>
      </c>
      <c r="BN380" t="s">
        <v>120</v>
      </c>
      <c r="BO380">
        <v>504.24</v>
      </c>
      <c r="BP380">
        <v>10.23</v>
      </c>
      <c r="BQ380">
        <v>190.31</v>
      </c>
      <c r="BR380">
        <v>34.36</v>
      </c>
      <c r="BS380">
        <v>55.44</v>
      </c>
      <c r="BT380">
        <v>180.32</v>
      </c>
      <c r="BU380">
        <v>154.82</v>
      </c>
      <c r="BV380">
        <v>59.51</v>
      </c>
      <c r="BW380">
        <v>239.82</v>
      </c>
      <c r="BX380">
        <v>135.03</v>
      </c>
      <c r="BY380">
        <v>8.76</v>
      </c>
      <c r="BZ380">
        <v>18.29</v>
      </c>
      <c r="CA380">
        <v>0.23</v>
      </c>
      <c r="CB380">
        <v>41.98</v>
      </c>
      <c r="CC380">
        <v>129.68</v>
      </c>
      <c r="CD380">
        <v>100.33</v>
      </c>
      <c r="CE380">
        <v>13.49</v>
      </c>
      <c r="CF380">
        <v>0.56999999999999995</v>
      </c>
      <c r="CG380">
        <v>12.89</v>
      </c>
      <c r="CH380">
        <v>9.52</v>
      </c>
      <c r="CI380">
        <v>6.6</v>
      </c>
      <c r="CJ380">
        <v>0.93</v>
      </c>
      <c r="CK380">
        <v>4.9400000000000004</v>
      </c>
      <c r="CL380">
        <v>91.84</v>
      </c>
      <c r="CM380">
        <v>5.23</v>
      </c>
      <c r="CN380">
        <v>-12.53</v>
      </c>
      <c r="CO380">
        <v>75722</v>
      </c>
      <c r="CP380">
        <v>13258</v>
      </c>
      <c r="CQ380" t="s">
        <v>2549</v>
      </c>
      <c r="CR380">
        <v>16.95</v>
      </c>
      <c r="CS380">
        <v>21.82</v>
      </c>
      <c r="CT380">
        <v>1.9</v>
      </c>
      <c r="CU380">
        <v>69.08</v>
      </c>
      <c r="CV380">
        <v>2.79</v>
      </c>
      <c r="CW380">
        <v>4.3</v>
      </c>
      <c r="CX380" t="s">
        <v>1160</v>
      </c>
      <c r="CY380">
        <v>5.39</v>
      </c>
      <c r="CZ380">
        <v>0</v>
      </c>
      <c r="DA380">
        <v>1.19</v>
      </c>
      <c r="DB380">
        <v>2.6</v>
      </c>
      <c r="DC380">
        <v>0.15</v>
      </c>
      <c r="DD380">
        <v>37.74</v>
      </c>
      <c r="DE380" t="s">
        <v>2135</v>
      </c>
      <c r="DF380">
        <v>22.64</v>
      </c>
      <c r="DG380">
        <v>10.4</v>
      </c>
      <c r="DH380">
        <v>5.09</v>
      </c>
      <c r="DI380">
        <v>1.05</v>
      </c>
      <c r="DJ380">
        <v>38063</v>
      </c>
      <c r="DK380">
        <v>937</v>
      </c>
      <c r="DL380">
        <v>20210909</v>
      </c>
      <c r="DM380">
        <v>6.46</v>
      </c>
      <c r="DN380">
        <v>58.36</v>
      </c>
    </row>
    <row r="381" spans="1:118">
      <c r="A381" t="str">
        <f>"000938"</f>
        <v>000938</v>
      </c>
      <c r="B381" t="s">
        <v>2550</v>
      </c>
      <c r="C381">
        <v>2.75</v>
      </c>
      <c r="D381">
        <v>-0.51</v>
      </c>
      <c r="E381">
        <v>-0.04</v>
      </c>
      <c r="F381">
        <v>5016</v>
      </c>
      <c r="G381" t="s">
        <v>2551</v>
      </c>
      <c r="H381">
        <v>84259.03</v>
      </c>
      <c r="I381">
        <v>128.97999999999999</v>
      </c>
      <c r="J381" t="s">
        <v>120</v>
      </c>
      <c r="K381" t="s">
        <v>2552</v>
      </c>
      <c r="L381">
        <v>1.2</v>
      </c>
      <c r="M381">
        <v>24.67</v>
      </c>
      <c r="N381">
        <v>1.17</v>
      </c>
      <c r="O381">
        <v>3.96</v>
      </c>
      <c r="P381">
        <v>24.96</v>
      </c>
      <c r="Q381">
        <v>-0.54</v>
      </c>
      <c r="R381">
        <v>23.88</v>
      </c>
      <c r="S381">
        <v>24</v>
      </c>
      <c r="T381">
        <v>343126</v>
      </c>
      <c r="U381">
        <v>24.7</v>
      </c>
      <c r="V381">
        <v>24.01</v>
      </c>
      <c r="W381">
        <v>38.090000000000003</v>
      </c>
      <c r="X381" t="s">
        <v>141</v>
      </c>
      <c r="Y381" t="s">
        <v>158</v>
      </c>
      <c r="Z381">
        <v>4.5</v>
      </c>
      <c r="AA381">
        <v>24.56</v>
      </c>
      <c r="AB381">
        <v>132374</v>
      </c>
      <c r="AC381">
        <v>210752</v>
      </c>
      <c r="AD381">
        <v>0.63</v>
      </c>
      <c r="AE381">
        <v>509</v>
      </c>
      <c r="AF381">
        <v>31</v>
      </c>
      <c r="AG381" t="s">
        <v>120</v>
      </c>
      <c r="AH381">
        <v>0</v>
      </c>
      <c r="AI381" t="s">
        <v>120</v>
      </c>
      <c r="AJ381">
        <v>28.6</v>
      </c>
      <c r="AK381" t="s">
        <v>2552</v>
      </c>
      <c r="AL381">
        <v>4.66</v>
      </c>
      <c r="AM381">
        <v>4288</v>
      </c>
      <c r="AN381">
        <v>80</v>
      </c>
      <c r="AO381">
        <v>2.9999999999999997E-4</v>
      </c>
      <c r="AP381">
        <v>1</v>
      </c>
      <c r="AQ381">
        <v>-0.54</v>
      </c>
      <c r="AR381">
        <v>-0.44</v>
      </c>
      <c r="AS381">
        <v>-1.4</v>
      </c>
      <c r="AT381">
        <v>17.420000000000002</v>
      </c>
      <c r="AU381">
        <v>21.23</v>
      </c>
      <c r="AV381">
        <v>4</v>
      </c>
      <c r="AW381">
        <v>2.8</v>
      </c>
      <c r="AX381">
        <v>42.84</v>
      </c>
      <c r="AY381">
        <v>34.97</v>
      </c>
      <c r="AZ381">
        <v>36.24</v>
      </c>
      <c r="BA381">
        <v>0.87</v>
      </c>
      <c r="BB381" t="s">
        <v>143</v>
      </c>
      <c r="BF381">
        <v>2.2799999999999998</v>
      </c>
      <c r="BG381">
        <v>2.79</v>
      </c>
      <c r="BH381">
        <v>-1.1599999999999999</v>
      </c>
      <c r="BI381">
        <v>3.31</v>
      </c>
      <c r="BJ381">
        <v>20210901</v>
      </c>
      <c r="BK381">
        <v>19991104</v>
      </c>
      <c r="BL381">
        <v>28.6</v>
      </c>
      <c r="BM381" t="s">
        <v>120</v>
      </c>
      <c r="BN381" t="s">
        <v>120</v>
      </c>
      <c r="BO381">
        <v>582.75</v>
      </c>
      <c r="BP381">
        <v>24.67</v>
      </c>
      <c r="BQ381">
        <v>287.70999999999998</v>
      </c>
      <c r="BR381">
        <v>56.82</v>
      </c>
      <c r="BS381">
        <v>40.880000000000003</v>
      </c>
      <c r="BT381">
        <v>354.57</v>
      </c>
      <c r="BU381">
        <v>8.98</v>
      </c>
      <c r="BV381">
        <v>39.32</v>
      </c>
      <c r="BW381">
        <v>215.5</v>
      </c>
      <c r="BX381">
        <v>67.849999999999994</v>
      </c>
      <c r="BY381">
        <v>111.23</v>
      </c>
      <c r="BZ381">
        <v>102.91</v>
      </c>
      <c r="CA381">
        <v>0.01</v>
      </c>
      <c r="CB381">
        <v>178.34</v>
      </c>
      <c r="CC381">
        <v>307.5</v>
      </c>
      <c r="CD381">
        <v>248.56</v>
      </c>
      <c r="CE381">
        <v>19.239999999999998</v>
      </c>
      <c r="CF381">
        <v>-0.23</v>
      </c>
      <c r="CG381">
        <v>19.8</v>
      </c>
      <c r="CH381">
        <v>16.46</v>
      </c>
      <c r="CI381">
        <v>9.26</v>
      </c>
      <c r="CJ381">
        <v>0.66</v>
      </c>
      <c r="CK381">
        <v>6.92</v>
      </c>
      <c r="CL381">
        <v>78.75</v>
      </c>
      <c r="CM381">
        <v>-17.5</v>
      </c>
      <c r="CN381">
        <v>-22.21</v>
      </c>
      <c r="CO381">
        <v>151984</v>
      </c>
      <c r="CP381">
        <v>8062</v>
      </c>
      <c r="CQ381" t="s">
        <v>2553</v>
      </c>
      <c r="CR381">
        <v>8.08</v>
      </c>
      <c r="CS381">
        <v>20.11</v>
      </c>
      <c r="CT381">
        <v>2.4500000000000002</v>
      </c>
      <c r="CU381">
        <v>-40.32</v>
      </c>
      <c r="CV381">
        <v>2.29</v>
      </c>
      <c r="CW381">
        <v>0.42</v>
      </c>
      <c r="CX381" t="s">
        <v>966</v>
      </c>
      <c r="CY381">
        <v>10.06</v>
      </c>
      <c r="CZ381">
        <v>0</v>
      </c>
      <c r="DA381">
        <v>6.24</v>
      </c>
      <c r="DB381">
        <v>2.75</v>
      </c>
      <c r="DC381">
        <v>-0.61</v>
      </c>
      <c r="DD381">
        <v>49.37</v>
      </c>
      <c r="DE381" t="s">
        <v>2554</v>
      </c>
      <c r="DF381">
        <v>19.170000000000002</v>
      </c>
      <c r="DG381">
        <v>6.26</v>
      </c>
      <c r="DH381">
        <v>3.01</v>
      </c>
      <c r="DI381">
        <v>18.93</v>
      </c>
      <c r="DJ381">
        <v>15497</v>
      </c>
      <c r="DK381">
        <v>938</v>
      </c>
      <c r="DL381" t="s">
        <v>120</v>
      </c>
      <c r="DM381" t="s">
        <v>120</v>
      </c>
      <c r="DN381" t="s">
        <v>120</v>
      </c>
    </row>
    <row r="382" spans="1:118">
      <c r="A382" t="str">
        <f>"000948"</f>
        <v>000948</v>
      </c>
      <c r="B382" t="s">
        <v>2555</v>
      </c>
      <c r="C382">
        <v>-4.5199999999999996</v>
      </c>
      <c r="D382">
        <v>0</v>
      </c>
      <c r="E382">
        <v>-0.89</v>
      </c>
      <c r="F382">
        <v>658</v>
      </c>
      <c r="G382" t="s">
        <v>2556</v>
      </c>
      <c r="H382">
        <v>11489.43</v>
      </c>
      <c r="I382">
        <v>29.84</v>
      </c>
      <c r="J382" t="s">
        <v>120</v>
      </c>
      <c r="K382" t="s">
        <v>2557</v>
      </c>
      <c r="L382">
        <v>2.62</v>
      </c>
      <c r="M382">
        <v>12.89</v>
      </c>
      <c r="N382">
        <v>0.88</v>
      </c>
      <c r="O382">
        <v>-0.44</v>
      </c>
      <c r="P382">
        <v>13.44</v>
      </c>
      <c r="Q382">
        <v>-4.74</v>
      </c>
      <c r="R382">
        <v>12.86</v>
      </c>
      <c r="S382">
        <v>13.38</v>
      </c>
      <c r="T382">
        <v>87496</v>
      </c>
      <c r="U382">
        <v>12.89</v>
      </c>
      <c r="V382">
        <v>13.5</v>
      </c>
      <c r="W382">
        <v>234.89</v>
      </c>
      <c r="X382" t="s">
        <v>141</v>
      </c>
      <c r="Y382" t="s">
        <v>1006</v>
      </c>
      <c r="Z382">
        <v>4.3</v>
      </c>
      <c r="AA382">
        <v>13.13</v>
      </c>
      <c r="AB382">
        <v>57363</v>
      </c>
      <c r="AC382">
        <v>30133</v>
      </c>
      <c r="AD382">
        <v>1.9</v>
      </c>
      <c r="AE382">
        <v>466</v>
      </c>
      <c r="AF382">
        <v>230</v>
      </c>
      <c r="AG382" t="s">
        <v>120</v>
      </c>
      <c r="AH382">
        <v>0.01</v>
      </c>
      <c r="AI382" t="s">
        <v>120</v>
      </c>
      <c r="AJ382">
        <v>3.35</v>
      </c>
      <c r="AK382" t="s">
        <v>2558</v>
      </c>
      <c r="AL382">
        <v>-2.6</v>
      </c>
      <c r="AM382">
        <v>2418</v>
      </c>
      <c r="AN382">
        <v>36</v>
      </c>
      <c r="AO382">
        <v>1.1000000000000001E-3</v>
      </c>
      <c r="AP382">
        <v>-1</v>
      </c>
      <c r="AQ382">
        <v>1.73</v>
      </c>
      <c r="AR382">
        <v>-5.01</v>
      </c>
      <c r="AS382">
        <v>5.31</v>
      </c>
      <c r="AT382">
        <v>0.39</v>
      </c>
      <c r="AU382">
        <v>29.03</v>
      </c>
      <c r="AV382">
        <v>4</v>
      </c>
      <c r="AW382">
        <v>4</v>
      </c>
      <c r="AX382">
        <v>57.35</v>
      </c>
      <c r="AY382">
        <v>41.86</v>
      </c>
      <c r="AZ382">
        <v>54.17</v>
      </c>
      <c r="BA382">
        <v>0.56999999999999995</v>
      </c>
      <c r="BB382" t="s">
        <v>143</v>
      </c>
      <c r="BF382">
        <v>-2.73</v>
      </c>
      <c r="BG382">
        <v>-3.66</v>
      </c>
      <c r="BH382">
        <v>-4.09</v>
      </c>
      <c r="BI382">
        <v>0.23</v>
      </c>
      <c r="BJ382">
        <v>20210910</v>
      </c>
      <c r="BK382">
        <v>19991014</v>
      </c>
      <c r="BL382">
        <v>3.81</v>
      </c>
      <c r="BM382" t="s">
        <v>120</v>
      </c>
      <c r="BN382" t="s">
        <v>120</v>
      </c>
      <c r="BO382">
        <v>46.32</v>
      </c>
      <c r="BP382">
        <v>12.88</v>
      </c>
      <c r="BQ382">
        <v>22.78</v>
      </c>
      <c r="BR382">
        <v>1.02</v>
      </c>
      <c r="BS382">
        <v>48.62</v>
      </c>
      <c r="BT382">
        <v>38.380000000000003</v>
      </c>
      <c r="BU382">
        <v>2.2000000000000002</v>
      </c>
      <c r="BV382">
        <v>1.27</v>
      </c>
      <c r="BW382">
        <v>22.22</v>
      </c>
      <c r="BX382">
        <v>9.41</v>
      </c>
      <c r="BY382">
        <v>15.49</v>
      </c>
      <c r="BZ382">
        <v>9.61</v>
      </c>
      <c r="CA382">
        <v>0</v>
      </c>
      <c r="CB382">
        <v>13.06</v>
      </c>
      <c r="CC382">
        <v>21.04</v>
      </c>
      <c r="CD382">
        <v>17.809999999999999</v>
      </c>
      <c r="CE382">
        <v>0.12</v>
      </c>
      <c r="CF382">
        <v>0.04</v>
      </c>
      <c r="CG382">
        <v>0.12</v>
      </c>
      <c r="CH382">
        <v>0.14000000000000001</v>
      </c>
      <c r="CI382">
        <v>0.1</v>
      </c>
      <c r="CJ382">
        <v>-0.61</v>
      </c>
      <c r="CK382">
        <v>0.09</v>
      </c>
      <c r="CL382">
        <v>5.01</v>
      </c>
      <c r="CM382">
        <v>-9.2899999999999991</v>
      </c>
      <c r="CN382">
        <v>-7.1</v>
      </c>
      <c r="CO382">
        <v>37029</v>
      </c>
      <c r="CP382">
        <v>5904</v>
      </c>
      <c r="CQ382" t="s">
        <v>2108</v>
      </c>
      <c r="CR382">
        <v>159.9</v>
      </c>
      <c r="CS382">
        <v>24.65</v>
      </c>
      <c r="CT382">
        <v>2.16</v>
      </c>
      <c r="CU382">
        <v>-5.29</v>
      </c>
      <c r="CV382">
        <v>2.33</v>
      </c>
      <c r="CW382">
        <v>0.37</v>
      </c>
      <c r="CX382" t="s">
        <v>2559</v>
      </c>
      <c r="CY382">
        <v>5.98</v>
      </c>
      <c r="CZ382">
        <v>0</v>
      </c>
      <c r="DA382">
        <v>3.43</v>
      </c>
      <c r="DB382">
        <v>1.32</v>
      </c>
      <c r="DC382">
        <v>-2.44</v>
      </c>
      <c r="DD382">
        <v>49.18</v>
      </c>
      <c r="DE382" t="s">
        <v>2560</v>
      </c>
      <c r="DF382">
        <v>15.37</v>
      </c>
      <c r="DG382">
        <v>0.56000000000000005</v>
      </c>
      <c r="DH382">
        <v>0.5</v>
      </c>
      <c r="DI382">
        <v>1.52</v>
      </c>
      <c r="DJ382">
        <v>6454</v>
      </c>
      <c r="DK382">
        <v>948</v>
      </c>
      <c r="DL382" t="s">
        <v>120</v>
      </c>
      <c r="DM382" t="s">
        <v>120</v>
      </c>
      <c r="DN382" t="s">
        <v>120</v>
      </c>
    </row>
    <row r="383" spans="1:118">
      <c r="A383" t="str">
        <f>"000949"</f>
        <v>000949</v>
      </c>
      <c r="B383" t="s">
        <v>2561</v>
      </c>
      <c r="C383">
        <v>-3.6</v>
      </c>
      <c r="D383">
        <v>0.13</v>
      </c>
      <c r="E383">
        <v>0.77</v>
      </c>
      <c r="F383">
        <v>5029</v>
      </c>
      <c r="G383" t="s">
        <v>2562</v>
      </c>
      <c r="H383">
        <v>57978.080000000002</v>
      </c>
      <c r="I383">
        <v>299.97000000000003</v>
      </c>
      <c r="J383" t="s">
        <v>120</v>
      </c>
      <c r="K383" t="s">
        <v>2563</v>
      </c>
      <c r="L383">
        <v>5.95</v>
      </c>
      <c r="M383">
        <v>7.49</v>
      </c>
      <c r="N383">
        <v>1.28</v>
      </c>
      <c r="O383">
        <v>3.22</v>
      </c>
      <c r="P383">
        <v>8.02</v>
      </c>
      <c r="Q383">
        <v>-3.86</v>
      </c>
      <c r="R383">
        <v>7.47</v>
      </c>
      <c r="S383">
        <v>7.83</v>
      </c>
      <c r="T383">
        <v>748515</v>
      </c>
      <c r="U383">
        <v>7.49</v>
      </c>
      <c r="V383">
        <v>7.77</v>
      </c>
      <c r="W383">
        <v>7.45</v>
      </c>
      <c r="X383" t="s">
        <v>623</v>
      </c>
      <c r="Y383" t="s">
        <v>645</v>
      </c>
      <c r="Z383">
        <v>7.08</v>
      </c>
      <c r="AA383">
        <v>7.75</v>
      </c>
      <c r="AB383">
        <v>398657</v>
      </c>
      <c r="AC383">
        <v>349858</v>
      </c>
      <c r="AD383">
        <v>1.1399999999999999</v>
      </c>
      <c r="AE383">
        <v>1382</v>
      </c>
      <c r="AF383">
        <v>1485</v>
      </c>
      <c r="AG383" t="s">
        <v>120</v>
      </c>
      <c r="AH383">
        <v>0.06</v>
      </c>
      <c r="AI383" t="s">
        <v>120</v>
      </c>
      <c r="AJ383">
        <v>12.57</v>
      </c>
      <c r="AK383" t="s">
        <v>2564</v>
      </c>
      <c r="AL383">
        <v>-1.69</v>
      </c>
      <c r="AM383">
        <v>4310</v>
      </c>
      <c r="AN383">
        <v>174</v>
      </c>
      <c r="AO383">
        <v>1.4E-3</v>
      </c>
      <c r="AP383">
        <v>-1</v>
      </c>
      <c r="AQ383">
        <v>2.5099999999999998</v>
      </c>
      <c r="AR383">
        <v>-1.06</v>
      </c>
      <c r="AS383">
        <v>10.47</v>
      </c>
      <c r="AT383">
        <v>2.88</v>
      </c>
      <c r="AU383">
        <v>129.05000000000001</v>
      </c>
      <c r="AV383">
        <v>10</v>
      </c>
      <c r="AW383">
        <v>11.45</v>
      </c>
      <c r="AX383">
        <v>44.56</v>
      </c>
      <c r="AY383">
        <v>14.38</v>
      </c>
      <c r="AZ383">
        <v>136.35</v>
      </c>
      <c r="BA383">
        <v>0.79</v>
      </c>
      <c r="BB383" t="s">
        <v>143</v>
      </c>
      <c r="BF383">
        <v>-0.31</v>
      </c>
      <c r="BG383">
        <v>-4.34</v>
      </c>
      <c r="BH383">
        <v>-6.61</v>
      </c>
      <c r="BI383">
        <v>0.27</v>
      </c>
      <c r="BJ383">
        <v>20210811</v>
      </c>
      <c r="BK383">
        <v>19991021</v>
      </c>
      <c r="BL383">
        <v>14.67</v>
      </c>
      <c r="BM383" t="s">
        <v>120</v>
      </c>
      <c r="BN383" t="s">
        <v>120</v>
      </c>
      <c r="BO383">
        <v>109.84</v>
      </c>
      <c r="BP383">
        <v>7.48</v>
      </c>
      <c r="BQ383">
        <v>55.75</v>
      </c>
      <c r="BR383">
        <v>0.01</v>
      </c>
      <c r="BS383">
        <v>49.23</v>
      </c>
      <c r="BT383">
        <v>47.61</v>
      </c>
      <c r="BU383">
        <v>47.32</v>
      </c>
      <c r="BV383">
        <v>1.39</v>
      </c>
      <c r="BW383">
        <v>30.41</v>
      </c>
      <c r="BX383">
        <v>21.74</v>
      </c>
      <c r="BY383">
        <v>13.93</v>
      </c>
      <c r="BZ383">
        <v>6.92</v>
      </c>
      <c r="CA383">
        <v>1.4</v>
      </c>
      <c r="CB383">
        <v>24.86</v>
      </c>
      <c r="CC383">
        <v>41.23</v>
      </c>
      <c r="CD383">
        <v>27.21</v>
      </c>
      <c r="CE383">
        <v>9.84</v>
      </c>
      <c r="CF383">
        <v>-0.03</v>
      </c>
      <c r="CG383">
        <v>9.7799999999999994</v>
      </c>
      <c r="CH383">
        <v>7.38</v>
      </c>
      <c r="CI383">
        <v>7.38</v>
      </c>
      <c r="CJ383">
        <v>-0.28000000000000003</v>
      </c>
      <c r="CK383">
        <v>7.34</v>
      </c>
      <c r="CL383">
        <v>13.8</v>
      </c>
      <c r="CM383">
        <v>9.33</v>
      </c>
      <c r="CN383">
        <v>10.89</v>
      </c>
      <c r="CO383">
        <v>53777</v>
      </c>
      <c r="CP383">
        <v>12154</v>
      </c>
      <c r="CQ383" t="s">
        <v>2565</v>
      </c>
      <c r="CR383">
        <v>2491.34</v>
      </c>
      <c r="CS383">
        <v>124.18</v>
      </c>
      <c r="CT383">
        <v>1.97</v>
      </c>
      <c r="CU383">
        <v>11.78</v>
      </c>
      <c r="CV383">
        <v>2.66</v>
      </c>
      <c r="CW383">
        <v>0.11</v>
      </c>
      <c r="CX383" t="s">
        <v>597</v>
      </c>
      <c r="CY383">
        <v>3.8</v>
      </c>
      <c r="CZ383">
        <v>0</v>
      </c>
      <c r="DA383">
        <v>1.7</v>
      </c>
      <c r="DB383">
        <v>0.94</v>
      </c>
      <c r="DC383">
        <v>0.64</v>
      </c>
      <c r="DD383">
        <v>50.76</v>
      </c>
      <c r="DE383" t="s">
        <v>2566</v>
      </c>
      <c r="DF383">
        <v>33.99</v>
      </c>
      <c r="DG383">
        <v>23.87</v>
      </c>
      <c r="DH383">
        <v>17.89</v>
      </c>
      <c r="DI383">
        <v>0.52</v>
      </c>
      <c r="DJ383">
        <v>8786</v>
      </c>
      <c r="DK383">
        <v>949</v>
      </c>
      <c r="DL383" t="s">
        <v>120</v>
      </c>
      <c r="DM383" t="s">
        <v>120</v>
      </c>
      <c r="DN383" t="s">
        <v>120</v>
      </c>
    </row>
    <row r="384" spans="1:118">
      <c r="A384" t="str">
        <f>"000950"</f>
        <v>000950</v>
      </c>
      <c r="B384" t="s">
        <v>2567</v>
      </c>
      <c r="C384">
        <v>0.2</v>
      </c>
      <c r="D384">
        <v>0</v>
      </c>
      <c r="E384">
        <v>-0.39</v>
      </c>
      <c r="F384">
        <v>489</v>
      </c>
      <c r="G384" t="s">
        <v>2568</v>
      </c>
      <c r="H384">
        <v>3852.98</v>
      </c>
      <c r="I384">
        <v>41.54</v>
      </c>
      <c r="J384" t="s">
        <v>120</v>
      </c>
      <c r="K384" t="s">
        <v>2569</v>
      </c>
      <c r="L384">
        <v>0.44</v>
      </c>
      <c r="M384">
        <v>5.09</v>
      </c>
      <c r="N384">
        <v>0.96</v>
      </c>
      <c r="O384">
        <v>1.18</v>
      </c>
      <c r="P384">
        <v>5.14</v>
      </c>
      <c r="Q384">
        <v>-0.39</v>
      </c>
      <c r="R384">
        <v>5.0599999999999996</v>
      </c>
      <c r="S384">
        <v>5.0599999999999996</v>
      </c>
      <c r="T384">
        <v>75457</v>
      </c>
      <c r="U384">
        <v>5.09</v>
      </c>
      <c r="V384">
        <v>5.08</v>
      </c>
      <c r="W384">
        <v>10.130000000000001</v>
      </c>
      <c r="X384" t="s">
        <v>274</v>
      </c>
      <c r="Y384" t="s">
        <v>883</v>
      </c>
      <c r="Z384">
        <v>1.57</v>
      </c>
      <c r="AA384">
        <v>5.1100000000000003</v>
      </c>
      <c r="AB384">
        <v>40828</v>
      </c>
      <c r="AC384">
        <v>34629</v>
      </c>
      <c r="AD384">
        <v>1.18</v>
      </c>
      <c r="AE384">
        <v>969</v>
      </c>
      <c r="AF384">
        <v>144</v>
      </c>
      <c r="AG384" t="s">
        <v>120</v>
      </c>
      <c r="AH384">
        <v>0.02</v>
      </c>
      <c r="AI384" t="s">
        <v>120</v>
      </c>
      <c r="AJ384">
        <v>17.28</v>
      </c>
      <c r="AK384" t="s">
        <v>2570</v>
      </c>
      <c r="AL384">
        <v>2.11</v>
      </c>
      <c r="AM384">
        <v>1612</v>
      </c>
      <c r="AN384">
        <v>47</v>
      </c>
      <c r="AO384">
        <v>2.9999999999999997E-4</v>
      </c>
      <c r="AP384">
        <v>2</v>
      </c>
      <c r="AQ384">
        <v>0.4</v>
      </c>
      <c r="AR384">
        <v>-1.1599999999999999</v>
      </c>
      <c r="AS384">
        <v>3.03</v>
      </c>
      <c r="AT384">
        <v>1.19</v>
      </c>
      <c r="AU384">
        <v>-2.12</v>
      </c>
      <c r="AV384">
        <v>2</v>
      </c>
      <c r="AW384">
        <v>1.69</v>
      </c>
      <c r="AX384">
        <v>25.65</v>
      </c>
      <c r="AY384">
        <v>8.66</v>
      </c>
      <c r="AZ384">
        <v>10.01</v>
      </c>
      <c r="BA384">
        <v>0.17</v>
      </c>
      <c r="BB384" t="s">
        <v>143</v>
      </c>
      <c r="BF384">
        <v>0.52</v>
      </c>
      <c r="BG384">
        <v>0.59</v>
      </c>
      <c r="BH384">
        <v>-0.97</v>
      </c>
      <c r="BI384">
        <v>0.59</v>
      </c>
      <c r="BJ384">
        <v>20210907</v>
      </c>
      <c r="BK384">
        <v>19990916</v>
      </c>
      <c r="BL384">
        <v>17.43</v>
      </c>
      <c r="BM384" t="s">
        <v>120</v>
      </c>
      <c r="BN384" t="s">
        <v>120</v>
      </c>
      <c r="BO384">
        <v>469.32</v>
      </c>
      <c r="BP384">
        <v>5.08</v>
      </c>
      <c r="BQ384">
        <v>92.76</v>
      </c>
      <c r="BR384">
        <v>18.22</v>
      </c>
      <c r="BS384">
        <v>76.349999999999994</v>
      </c>
      <c r="BT384">
        <v>389.56</v>
      </c>
      <c r="BU384">
        <v>14.6</v>
      </c>
      <c r="BV384">
        <v>2.5099999999999998</v>
      </c>
      <c r="BW384">
        <v>295.79000000000002</v>
      </c>
      <c r="BX384">
        <v>32.54</v>
      </c>
      <c r="BY384">
        <v>59.27</v>
      </c>
      <c r="BZ384">
        <v>266.83999999999997</v>
      </c>
      <c r="CA384" t="s">
        <v>120</v>
      </c>
      <c r="CB384">
        <v>23.98</v>
      </c>
      <c r="CC384">
        <v>301.11</v>
      </c>
      <c r="CD384">
        <v>274.43</v>
      </c>
      <c r="CE384">
        <v>6.73</v>
      </c>
      <c r="CF384">
        <v>1.44</v>
      </c>
      <c r="CG384">
        <v>6.93</v>
      </c>
      <c r="CH384">
        <v>5.74</v>
      </c>
      <c r="CI384">
        <v>4.38</v>
      </c>
      <c r="CJ384">
        <v>0.01</v>
      </c>
      <c r="CK384">
        <v>3.59</v>
      </c>
      <c r="CL384">
        <v>50.98</v>
      </c>
      <c r="CM384">
        <v>-27.23</v>
      </c>
      <c r="CN384">
        <v>-13.07</v>
      </c>
      <c r="CO384">
        <v>39196</v>
      </c>
      <c r="CP384">
        <v>11409</v>
      </c>
      <c r="CQ384" t="s">
        <v>448</v>
      </c>
      <c r="CR384">
        <v>46.07</v>
      </c>
      <c r="CS384">
        <v>76.45</v>
      </c>
      <c r="CT384">
        <v>0.96</v>
      </c>
      <c r="CU384">
        <v>-3.26</v>
      </c>
      <c r="CV384">
        <v>0.28999999999999998</v>
      </c>
      <c r="CW384">
        <v>0.79</v>
      </c>
      <c r="CX384" t="s">
        <v>863</v>
      </c>
      <c r="CY384">
        <v>5.32</v>
      </c>
      <c r="CZ384">
        <v>0</v>
      </c>
      <c r="DA384">
        <v>1.38</v>
      </c>
      <c r="DB384">
        <v>2.92</v>
      </c>
      <c r="DC384">
        <v>-1.56</v>
      </c>
      <c r="DD384">
        <v>19.760000000000002</v>
      </c>
      <c r="DE384" t="s">
        <v>2571</v>
      </c>
      <c r="DF384">
        <v>8.86</v>
      </c>
      <c r="DG384">
        <v>2.2400000000000002</v>
      </c>
      <c r="DH384">
        <v>1.45</v>
      </c>
      <c r="DI384">
        <v>0.03</v>
      </c>
      <c r="DJ384">
        <v>12498</v>
      </c>
      <c r="DK384">
        <v>950</v>
      </c>
      <c r="DL384" t="s">
        <v>120</v>
      </c>
      <c r="DM384" t="s">
        <v>120</v>
      </c>
      <c r="DN384" t="s">
        <v>120</v>
      </c>
    </row>
    <row r="385" spans="1:118">
      <c r="A385" t="str">
        <f>"000951"</f>
        <v>000951</v>
      </c>
      <c r="B385" t="s">
        <v>2572</v>
      </c>
      <c r="C385">
        <v>-9.94</v>
      </c>
      <c r="D385">
        <v>0</v>
      </c>
      <c r="E385">
        <v>-0.78</v>
      </c>
      <c r="F385">
        <v>1220</v>
      </c>
      <c r="G385" t="s">
        <v>2573</v>
      </c>
      <c r="H385">
        <v>79057.5</v>
      </c>
      <c r="I385">
        <v>135.9</v>
      </c>
      <c r="J385" t="s">
        <v>120</v>
      </c>
      <c r="K385" t="s">
        <v>2574</v>
      </c>
      <c r="L385">
        <v>3.99</v>
      </c>
      <c r="M385">
        <v>23.1</v>
      </c>
      <c r="N385">
        <v>2.93</v>
      </c>
      <c r="O385">
        <v>-0.78</v>
      </c>
      <c r="P385">
        <v>25.45</v>
      </c>
      <c r="Q385">
        <v>-9.98</v>
      </c>
      <c r="R385">
        <v>23.09</v>
      </c>
      <c r="S385">
        <v>25.45</v>
      </c>
      <c r="T385">
        <v>334764</v>
      </c>
      <c r="U385">
        <v>23.1</v>
      </c>
      <c r="V385">
        <v>25.65</v>
      </c>
      <c r="W385">
        <v>9.58</v>
      </c>
      <c r="X385" t="s">
        <v>1068</v>
      </c>
      <c r="Y385" t="s">
        <v>638</v>
      </c>
      <c r="Z385">
        <v>9.1999999999999993</v>
      </c>
      <c r="AA385">
        <v>23.62</v>
      </c>
      <c r="AB385">
        <v>165982</v>
      </c>
      <c r="AC385">
        <v>168782</v>
      </c>
      <c r="AD385">
        <v>0.98</v>
      </c>
      <c r="AE385">
        <v>1104</v>
      </c>
      <c r="AF385">
        <v>9150</v>
      </c>
      <c r="AG385" t="s">
        <v>120</v>
      </c>
      <c r="AH385">
        <v>0.02</v>
      </c>
      <c r="AI385" t="s">
        <v>120</v>
      </c>
      <c r="AJ385">
        <v>8.39</v>
      </c>
      <c r="AK385" t="s">
        <v>2575</v>
      </c>
      <c r="AL385">
        <v>-8.0299999999999994</v>
      </c>
      <c r="AM385">
        <v>3923</v>
      </c>
      <c r="AN385">
        <v>85</v>
      </c>
      <c r="AO385">
        <v>1E-3</v>
      </c>
      <c r="AP385">
        <v>-1</v>
      </c>
      <c r="AQ385">
        <v>1.46</v>
      </c>
      <c r="AR385">
        <v>-11.93</v>
      </c>
      <c r="AS385">
        <v>-13.38</v>
      </c>
      <c r="AT385">
        <v>-16.579999999999998</v>
      </c>
      <c r="AU385">
        <v>-24.95</v>
      </c>
      <c r="AV385">
        <v>5</v>
      </c>
      <c r="AW385">
        <v>9.4499999999999993</v>
      </c>
      <c r="AX385">
        <v>42.19</v>
      </c>
      <c r="AY385">
        <v>9.9499999999999993</v>
      </c>
      <c r="AZ385">
        <v>11.45</v>
      </c>
      <c r="BA385">
        <v>1.34</v>
      </c>
      <c r="BB385" t="s">
        <v>143</v>
      </c>
      <c r="BF385">
        <v>-7.93</v>
      </c>
      <c r="BG385">
        <v>-9.23</v>
      </c>
      <c r="BH385">
        <v>-9.23</v>
      </c>
      <c r="BI385">
        <v>0.04</v>
      </c>
      <c r="BJ385">
        <v>20210915</v>
      </c>
      <c r="BK385">
        <v>19991125</v>
      </c>
      <c r="BL385">
        <v>8.39</v>
      </c>
      <c r="BM385" t="s">
        <v>120</v>
      </c>
      <c r="BN385" t="s">
        <v>120</v>
      </c>
      <c r="BO385">
        <v>435.95</v>
      </c>
      <c r="BP385">
        <v>23.09</v>
      </c>
      <c r="BQ385">
        <v>138.32</v>
      </c>
      <c r="BR385">
        <v>9.1300000000000008</v>
      </c>
      <c r="BS385">
        <v>66.180000000000007</v>
      </c>
      <c r="BT385">
        <v>384.63</v>
      </c>
      <c r="BU385">
        <v>22</v>
      </c>
      <c r="BV385">
        <v>8.8699999999999992</v>
      </c>
      <c r="BW385">
        <v>284.41000000000003</v>
      </c>
      <c r="BX385">
        <v>97.4</v>
      </c>
      <c r="BY385">
        <v>57.06</v>
      </c>
      <c r="BZ385">
        <v>55.29</v>
      </c>
      <c r="CA385" t="s">
        <v>120</v>
      </c>
      <c r="CB385">
        <v>52.66</v>
      </c>
      <c r="CC385">
        <v>400.06</v>
      </c>
      <c r="CD385">
        <v>368.24</v>
      </c>
      <c r="CE385">
        <v>18.940000000000001</v>
      </c>
      <c r="CF385">
        <v>0</v>
      </c>
      <c r="CG385">
        <v>19.260000000000002</v>
      </c>
      <c r="CH385">
        <v>15</v>
      </c>
      <c r="CI385">
        <v>10.119999999999999</v>
      </c>
      <c r="CJ385">
        <v>-2.5499999999999998</v>
      </c>
      <c r="CK385">
        <v>9.6199999999999992</v>
      </c>
      <c r="CL385">
        <v>70.459999999999994</v>
      </c>
      <c r="CM385">
        <v>15.59</v>
      </c>
      <c r="CN385">
        <v>62.66</v>
      </c>
      <c r="CO385">
        <v>38534</v>
      </c>
      <c r="CP385">
        <v>9189</v>
      </c>
      <c r="CQ385" t="s">
        <v>2576</v>
      </c>
      <c r="CR385">
        <v>38.979999999999997</v>
      </c>
      <c r="CS385">
        <v>50.31</v>
      </c>
      <c r="CT385">
        <v>1.4</v>
      </c>
      <c r="CU385">
        <v>12.43</v>
      </c>
      <c r="CV385">
        <v>0.48</v>
      </c>
      <c r="CW385">
        <v>2.65</v>
      </c>
      <c r="CX385" t="s">
        <v>1526</v>
      </c>
      <c r="CY385">
        <v>16.48</v>
      </c>
      <c r="CZ385">
        <v>0</v>
      </c>
      <c r="DA385">
        <v>6.27</v>
      </c>
      <c r="DB385">
        <v>8.4</v>
      </c>
      <c r="DC385">
        <v>1.86</v>
      </c>
      <c r="DD385">
        <v>31.73</v>
      </c>
      <c r="DE385" t="s">
        <v>2577</v>
      </c>
      <c r="DF385">
        <v>7.95</v>
      </c>
      <c r="DG385">
        <v>4.74</v>
      </c>
      <c r="DH385">
        <v>2.5299999999999998</v>
      </c>
      <c r="DI385">
        <v>3.25</v>
      </c>
      <c r="DJ385">
        <v>6957</v>
      </c>
      <c r="DK385">
        <v>951</v>
      </c>
      <c r="DL385" t="s">
        <v>120</v>
      </c>
      <c r="DM385" t="s">
        <v>120</v>
      </c>
      <c r="DN385" t="s">
        <v>120</v>
      </c>
    </row>
    <row r="386" spans="1:118">
      <c r="A386" t="str">
        <f>"000952"</f>
        <v>000952</v>
      </c>
      <c r="B386" t="s">
        <v>2578</v>
      </c>
      <c r="C386">
        <v>0.24</v>
      </c>
      <c r="D386">
        <v>0.12</v>
      </c>
      <c r="E386">
        <v>0.61</v>
      </c>
      <c r="F386">
        <v>125</v>
      </c>
      <c r="G386" t="s">
        <v>2579</v>
      </c>
      <c r="H386">
        <v>3123.84</v>
      </c>
      <c r="I386">
        <v>9.6300000000000008</v>
      </c>
      <c r="J386" t="s">
        <v>120</v>
      </c>
      <c r="K386" t="s">
        <v>2580</v>
      </c>
      <c r="L386">
        <v>1.23</v>
      </c>
      <c r="M386">
        <v>8.1999999999999993</v>
      </c>
      <c r="N386">
        <v>1.07</v>
      </c>
      <c r="O386">
        <v>1.96</v>
      </c>
      <c r="P386">
        <v>8.34</v>
      </c>
      <c r="Q386">
        <v>-0.49</v>
      </c>
      <c r="R386">
        <v>8.14</v>
      </c>
      <c r="S386">
        <v>8.23</v>
      </c>
      <c r="T386">
        <v>37915</v>
      </c>
      <c r="U386">
        <v>8.1999999999999993</v>
      </c>
      <c r="V386">
        <v>8.18</v>
      </c>
      <c r="W386">
        <v>23.82</v>
      </c>
      <c r="X386" t="s">
        <v>569</v>
      </c>
      <c r="Y386" t="s">
        <v>763</v>
      </c>
      <c r="Z386">
        <v>2.44</v>
      </c>
      <c r="AA386">
        <v>8.24</v>
      </c>
      <c r="AB386">
        <v>17572</v>
      </c>
      <c r="AC386">
        <v>20343</v>
      </c>
      <c r="AD386">
        <v>0.86</v>
      </c>
      <c r="AE386">
        <v>108</v>
      </c>
      <c r="AF386">
        <v>40</v>
      </c>
      <c r="AG386" t="s">
        <v>120</v>
      </c>
      <c r="AH386">
        <v>0</v>
      </c>
      <c r="AI386" t="s">
        <v>120</v>
      </c>
      <c r="AJ386">
        <v>3.09</v>
      </c>
      <c r="AK386" t="s">
        <v>2581</v>
      </c>
      <c r="AL386">
        <v>2.16</v>
      </c>
      <c r="AM386">
        <v>914</v>
      </c>
      <c r="AN386">
        <v>41</v>
      </c>
      <c r="AO386">
        <v>1.2999999999999999E-3</v>
      </c>
      <c r="AP386">
        <v>2</v>
      </c>
      <c r="AQ386">
        <v>0.49</v>
      </c>
      <c r="AR386">
        <v>-0.97</v>
      </c>
      <c r="AS386">
        <v>5</v>
      </c>
      <c r="AT386">
        <v>5.27</v>
      </c>
      <c r="AU386">
        <v>10.66</v>
      </c>
      <c r="AV386">
        <v>0</v>
      </c>
      <c r="AW386">
        <v>1.46</v>
      </c>
      <c r="AX386">
        <v>74.75</v>
      </c>
      <c r="AY386">
        <v>24.59</v>
      </c>
      <c r="AZ386">
        <v>38.020000000000003</v>
      </c>
      <c r="BA386">
        <v>0.3</v>
      </c>
      <c r="BB386" t="s">
        <v>125</v>
      </c>
      <c r="BF386">
        <v>0.72</v>
      </c>
      <c r="BG386">
        <v>-0.36</v>
      </c>
      <c r="BH386">
        <v>-1.68</v>
      </c>
      <c r="BI386">
        <v>0.74</v>
      </c>
      <c r="BJ386">
        <v>20210819</v>
      </c>
      <c r="BK386">
        <v>19991112</v>
      </c>
      <c r="BL386">
        <v>3.47</v>
      </c>
      <c r="BM386" t="s">
        <v>120</v>
      </c>
      <c r="BN386" t="s">
        <v>120</v>
      </c>
      <c r="BO386">
        <v>21.7</v>
      </c>
      <c r="BP386">
        <v>8.19</v>
      </c>
      <c r="BQ386">
        <v>14.12</v>
      </c>
      <c r="BR386">
        <v>-0.09</v>
      </c>
      <c r="BS386">
        <v>35.36</v>
      </c>
      <c r="BT386">
        <v>8.77</v>
      </c>
      <c r="BU386">
        <v>8.41</v>
      </c>
      <c r="BV386">
        <v>1.6</v>
      </c>
      <c r="BW386">
        <v>6.87</v>
      </c>
      <c r="BX386">
        <v>4.75</v>
      </c>
      <c r="BY386">
        <v>2.36</v>
      </c>
      <c r="BZ386">
        <v>1.1299999999999999</v>
      </c>
      <c r="CA386" t="s">
        <v>120</v>
      </c>
      <c r="CB386">
        <v>3.81</v>
      </c>
      <c r="CC386">
        <v>3.23</v>
      </c>
      <c r="CD386">
        <v>2.02</v>
      </c>
      <c r="CE386">
        <v>0.66</v>
      </c>
      <c r="CF386">
        <v>0.19</v>
      </c>
      <c r="CG386">
        <v>0.66</v>
      </c>
      <c r="CH386">
        <v>0.57999999999999996</v>
      </c>
      <c r="CI386">
        <v>0.6</v>
      </c>
      <c r="CJ386">
        <v>0.02</v>
      </c>
      <c r="CK386">
        <v>0.33</v>
      </c>
      <c r="CL386">
        <v>5.93</v>
      </c>
      <c r="CM386">
        <v>0.48</v>
      </c>
      <c r="CN386">
        <v>1.25</v>
      </c>
      <c r="CO386">
        <v>30477</v>
      </c>
      <c r="CP386">
        <v>8511</v>
      </c>
      <c r="CQ386" t="s">
        <v>1333</v>
      </c>
      <c r="CR386">
        <v>215.2</v>
      </c>
      <c r="CS386">
        <v>-5.15</v>
      </c>
      <c r="CT386">
        <v>2.0099999999999998</v>
      </c>
      <c r="CU386">
        <v>59.51</v>
      </c>
      <c r="CV386">
        <v>8.8000000000000007</v>
      </c>
      <c r="CW386">
        <v>0.73</v>
      </c>
      <c r="CX386" t="s">
        <v>1193</v>
      </c>
      <c r="CY386">
        <v>4.07</v>
      </c>
      <c r="CZ386">
        <v>0</v>
      </c>
      <c r="DA386">
        <v>1.1000000000000001</v>
      </c>
      <c r="DB386">
        <v>1.71</v>
      </c>
      <c r="DC386">
        <v>0.14000000000000001</v>
      </c>
      <c r="DD386">
        <v>65.069999999999993</v>
      </c>
      <c r="DE386" t="s">
        <v>2582</v>
      </c>
      <c r="DF386">
        <v>37.65</v>
      </c>
      <c r="DG386">
        <v>20.420000000000002</v>
      </c>
      <c r="DH386">
        <v>18.47</v>
      </c>
      <c r="DI386">
        <v>0.19</v>
      </c>
      <c r="DJ386">
        <v>1302</v>
      </c>
      <c r="DK386">
        <v>952</v>
      </c>
      <c r="DL386" t="s">
        <v>120</v>
      </c>
      <c r="DM386" t="s">
        <v>120</v>
      </c>
      <c r="DN386" t="s">
        <v>120</v>
      </c>
    </row>
    <row r="387" spans="1:118">
      <c r="A387" t="str">
        <f>"000953"</f>
        <v>000953</v>
      </c>
      <c r="B387" t="s">
        <v>2583</v>
      </c>
      <c r="C387">
        <v>0.98</v>
      </c>
      <c r="D387">
        <v>-0.38</v>
      </c>
      <c r="E387">
        <v>0.98</v>
      </c>
      <c r="F387">
        <v>239</v>
      </c>
      <c r="G387" t="s">
        <v>2584</v>
      </c>
      <c r="H387">
        <v>2684.32</v>
      </c>
      <c r="I387">
        <v>11.15</v>
      </c>
      <c r="J387" t="s">
        <v>120</v>
      </c>
      <c r="K387" t="s">
        <v>791</v>
      </c>
      <c r="L387">
        <v>1.6</v>
      </c>
      <c r="M387">
        <v>5.14</v>
      </c>
      <c r="N387">
        <v>1.01</v>
      </c>
      <c r="O387">
        <v>5.89</v>
      </c>
      <c r="P387">
        <v>5.39</v>
      </c>
      <c r="Q387">
        <v>0.59</v>
      </c>
      <c r="R387">
        <v>5.12</v>
      </c>
      <c r="S387">
        <v>5.14</v>
      </c>
      <c r="T387">
        <v>51140</v>
      </c>
      <c r="U387">
        <v>5.15</v>
      </c>
      <c r="V387">
        <v>5.09</v>
      </c>
      <c r="W387">
        <v>329.38</v>
      </c>
      <c r="X387" t="s">
        <v>569</v>
      </c>
      <c r="Y387" t="s">
        <v>945</v>
      </c>
      <c r="Z387">
        <v>5.3</v>
      </c>
      <c r="AA387">
        <v>5.25</v>
      </c>
      <c r="AB387">
        <v>23717</v>
      </c>
      <c r="AC387">
        <v>27423</v>
      </c>
      <c r="AD387">
        <v>0.86</v>
      </c>
      <c r="AE387">
        <v>132</v>
      </c>
      <c r="AF387">
        <v>73</v>
      </c>
      <c r="AG387" t="s">
        <v>120</v>
      </c>
      <c r="AH387">
        <v>0.01</v>
      </c>
      <c r="AI387" t="s">
        <v>120</v>
      </c>
      <c r="AJ387">
        <v>3.2</v>
      </c>
      <c r="AK387" t="s">
        <v>2585</v>
      </c>
      <c r="AL387">
        <v>2.9</v>
      </c>
      <c r="AM387">
        <v>1118</v>
      </c>
      <c r="AN387">
        <v>46</v>
      </c>
      <c r="AO387">
        <v>1.4E-3</v>
      </c>
      <c r="AP387">
        <v>2</v>
      </c>
      <c r="AQ387">
        <v>1.6</v>
      </c>
      <c r="AR387">
        <v>0.39</v>
      </c>
      <c r="AS387">
        <v>12.72</v>
      </c>
      <c r="AT387">
        <v>3.21</v>
      </c>
      <c r="AU387">
        <v>20.65</v>
      </c>
      <c r="AV387">
        <v>3</v>
      </c>
      <c r="AW387">
        <v>3</v>
      </c>
      <c r="AX387">
        <v>46.5</v>
      </c>
      <c r="AY387" t="s">
        <v>120</v>
      </c>
      <c r="AZ387">
        <v>60.23</v>
      </c>
      <c r="BA387">
        <v>0.67</v>
      </c>
      <c r="BB387" t="s">
        <v>143</v>
      </c>
      <c r="BF387">
        <v>3.12</v>
      </c>
      <c r="BG387">
        <v>0</v>
      </c>
      <c r="BH387">
        <v>-4.6399999999999997</v>
      </c>
      <c r="BI387">
        <v>0.39</v>
      </c>
      <c r="BJ387">
        <v>20210826</v>
      </c>
      <c r="BK387">
        <v>19991202</v>
      </c>
      <c r="BL387">
        <v>3.66</v>
      </c>
      <c r="BM387" t="s">
        <v>120</v>
      </c>
      <c r="BN387" t="s">
        <v>120</v>
      </c>
      <c r="BO387">
        <v>3.82</v>
      </c>
      <c r="BP387">
        <v>5.14</v>
      </c>
      <c r="BQ387">
        <v>1.7</v>
      </c>
      <c r="BR387">
        <v>0.16</v>
      </c>
      <c r="BS387">
        <v>51.4</v>
      </c>
      <c r="BT387">
        <v>1.37</v>
      </c>
      <c r="BU387">
        <v>1.22</v>
      </c>
      <c r="BV387">
        <v>0.28999999999999998</v>
      </c>
      <c r="BW387">
        <v>1.72</v>
      </c>
      <c r="BX387">
        <v>0.81</v>
      </c>
      <c r="BY387">
        <v>0.31</v>
      </c>
      <c r="BZ387">
        <v>0.09</v>
      </c>
      <c r="CA387" t="s">
        <v>120</v>
      </c>
      <c r="CB387">
        <v>5.05</v>
      </c>
      <c r="CC387">
        <v>0.93</v>
      </c>
      <c r="CD387">
        <v>0.72</v>
      </c>
      <c r="CE387">
        <v>0.04</v>
      </c>
      <c r="CF387">
        <v>0</v>
      </c>
      <c r="CG387">
        <v>0.04</v>
      </c>
      <c r="CH387">
        <v>0.03</v>
      </c>
      <c r="CI387">
        <v>0.03</v>
      </c>
      <c r="CJ387">
        <v>0.05</v>
      </c>
      <c r="CK387">
        <v>0.02</v>
      </c>
      <c r="CL387">
        <v>-7.14</v>
      </c>
      <c r="CM387">
        <v>7.0000000000000007E-2</v>
      </c>
      <c r="CN387">
        <v>0.26</v>
      </c>
      <c r="CO387">
        <v>16315</v>
      </c>
      <c r="CP387">
        <v>10435</v>
      </c>
      <c r="CQ387" t="s">
        <v>2586</v>
      </c>
      <c r="CR387">
        <v>-93.73</v>
      </c>
      <c r="CS387">
        <v>-50.91</v>
      </c>
      <c r="CT387">
        <v>11.08</v>
      </c>
      <c r="CU387">
        <v>255.14</v>
      </c>
      <c r="CV387">
        <v>20.170000000000002</v>
      </c>
      <c r="CW387">
        <v>0</v>
      </c>
      <c r="CX387" t="s">
        <v>2587</v>
      </c>
      <c r="CY387">
        <v>0.46</v>
      </c>
      <c r="CZ387">
        <v>0</v>
      </c>
      <c r="DA387">
        <v>1.38</v>
      </c>
      <c r="DB387">
        <v>-1.95</v>
      </c>
      <c r="DC387">
        <v>0.02</v>
      </c>
      <c r="DD387">
        <v>44.43</v>
      </c>
      <c r="DE387" t="s">
        <v>1249</v>
      </c>
      <c r="DF387">
        <v>22.72</v>
      </c>
      <c r="DG387">
        <v>4.47</v>
      </c>
      <c r="DH387">
        <v>3.06</v>
      </c>
      <c r="DI387">
        <v>0.04</v>
      </c>
      <c r="DJ387">
        <v>188</v>
      </c>
      <c r="DK387">
        <v>953</v>
      </c>
      <c r="DL387" t="s">
        <v>120</v>
      </c>
      <c r="DM387" t="s">
        <v>120</v>
      </c>
      <c r="DN387" t="s">
        <v>120</v>
      </c>
    </row>
    <row r="388" spans="1:118">
      <c r="A388" t="str">
        <f>"000955"</f>
        <v>000955</v>
      </c>
      <c r="B388" t="s">
        <v>2588</v>
      </c>
      <c r="C388">
        <v>-1.88</v>
      </c>
      <c r="D388">
        <v>-0.41</v>
      </c>
      <c r="E388">
        <v>0.83</v>
      </c>
      <c r="F388">
        <v>500</v>
      </c>
      <c r="G388" t="s">
        <v>2589</v>
      </c>
      <c r="H388">
        <v>3712.58</v>
      </c>
      <c r="I388">
        <v>66.599999999999994</v>
      </c>
      <c r="J388" t="s">
        <v>120</v>
      </c>
      <c r="K388" t="s">
        <v>384</v>
      </c>
      <c r="L388">
        <v>1.44</v>
      </c>
      <c r="M388">
        <v>4.71</v>
      </c>
      <c r="N388">
        <v>0.55000000000000004</v>
      </c>
      <c r="O388">
        <v>1.67</v>
      </c>
      <c r="P388">
        <v>4.88</v>
      </c>
      <c r="Q388">
        <v>-2.08</v>
      </c>
      <c r="R388">
        <v>4.7</v>
      </c>
      <c r="S388">
        <v>4.84</v>
      </c>
      <c r="T388">
        <v>77467</v>
      </c>
      <c r="U388">
        <v>4.72</v>
      </c>
      <c r="V388">
        <v>4.8</v>
      </c>
      <c r="W388">
        <v>233.71</v>
      </c>
      <c r="X388" t="s">
        <v>1766</v>
      </c>
      <c r="Y388" t="s">
        <v>835</v>
      </c>
      <c r="Z388">
        <v>3.75</v>
      </c>
      <c r="AA388">
        <v>4.79</v>
      </c>
      <c r="AB388">
        <v>43770</v>
      </c>
      <c r="AC388">
        <v>33697</v>
      </c>
      <c r="AD388">
        <v>1.3</v>
      </c>
      <c r="AE388">
        <v>157</v>
      </c>
      <c r="AF388">
        <v>246</v>
      </c>
      <c r="AG388" t="s">
        <v>120</v>
      </c>
      <c r="AH388">
        <v>0.03</v>
      </c>
      <c r="AI388" t="s">
        <v>120</v>
      </c>
      <c r="AJ388">
        <v>5.38</v>
      </c>
      <c r="AK388" t="s">
        <v>2590</v>
      </c>
      <c r="AL388">
        <v>0.04</v>
      </c>
      <c r="AM388">
        <v>1599</v>
      </c>
      <c r="AN388">
        <v>48</v>
      </c>
      <c r="AO388">
        <v>8.9999999999999998E-4</v>
      </c>
      <c r="AP388">
        <v>-1</v>
      </c>
      <c r="AQ388">
        <v>0</v>
      </c>
      <c r="AR388">
        <v>-5.61</v>
      </c>
      <c r="AS388">
        <v>3.51</v>
      </c>
      <c r="AT388">
        <v>-15.29</v>
      </c>
      <c r="AU388">
        <v>-41.27</v>
      </c>
      <c r="AV388">
        <v>3</v>
      </c>
      <c r="AW388">
        <v>1.78</v>
      </c>
      <c r="AX388">
        <v>80.790000000000006</v>
      </c>
      <c r="AY388">
        <v>77.180000000000007</v>
      </c>
      <c r="AZ388">
        <v>13.6</v>
      </c>
      <c r="BA388">
        <v>0.63</v>
      </c>
      <c r="BB388" t="s">
        <v>143</v>
      </c>
      <c r="BF388">
        <v>-0.16</v>
      </c>
      <c r="BG388">
        <v>-2.69</v>
      </c>
      <c r="BH388">
        <v>-3.48</v>
      </c>
      <c r="BI388">
        <v>0.21</v>
      </c>
      <c r="BJ388">
        <v>20210827</v>
      </c>
      <c r="BK388">
        <v>19991209</v>
      </c>
      <c r="BL388">
        <v>5.38</v>
      </c>
      <c r="BM388" t="s">
        <v>120</v>
      </c>
      <c r="BN388" t="s">
        <v>120</v>
      </c>
      <c r="BO388">
        <v>12.54</v>
      </c>
      <c r="BP388">
        <v>4.71</v>
      </c>
      <c r="BQ388">
        <v>8.09</v>
      </c>
      <c r="BR388">
        <v>1.04</v>
      </c>
      <c r="BS388">
        <v>27.21</v>
      </c>
      <c r="BT388">
        <v>5.61</v>
      </c>
      <c r="BU388">
        <v>4.04</v>
      </c>
      <c r="BV388">
        <v>0.88</v>
      </c>
      <c r="BW388">
        <v>1.66</v>
      </c>
      <c r="BX388">
        <v>0.57999999999999996</v>
      </c>
      <c r="BY388">
        <v>1.53</v>
      </c>
      <c r="BZ388">
        <v>1.36</v>
      </c>
      <c r="CA388" t="s">
        <v>120</v>
      </c>
      <c r="CB388">
        <v>4.9000000000000004</v>
      </c>
      <c r="CC388">
        <v>5.0199999999999996</v>
      </c>
      <c r="CD388">
        <v>4.28</v>
      </c>
      <c r="CE388">
        <v>0.12</v>
      </c>
      <c r="CF388">
        <v>0</v>
      </c>
      <c r="CG388">
        <v>0.11</v>
      </c>
      <c r="CH388">
        <v>7.0000000000000007E-2</v>
      </c>
      <c r="CI388">
        <v>0.05</v>
      </c>
      <c r="CJ388">
        <v>-0.09</v>
      </c>
      <c r="CK388">
        <v>0.03</v>
      </c>
      <c r="CL388">
        <v>-2.19</v>
      </c>
      <c r="CM388">
        <v>-0.51</v>
      </c>
      <c r="CN388">
        <v>-2.98</v>
      </c>
      <c r="CO388">
        <v>61134</v>
      </c>
      <c r="CP388">
        <v>7115</v>
      </c>
      <c r="CQ388" t="s">
        <v>2591</v>
      </c>
      <c r="CR388">
        <v>-96.65</v>
      </c>
      <c r="CS388">
        <v>-36.25</v>
      </c>
      <c r="CT388">
        <v>3.13</v>
      </c>
      <c r="CU388">
        <v>-50.14</v>
      </c>
      <c r="CV388">
        <v>5.05</v>
      </c>
      <c r="CW388">
        <v>0</v>
      </c>
      <c r="CX388" t="s">
        <v>178</v>
      </c>
      <c r="CY388">
        <v>1.5</v>
      </c>
      <c r="CZ388">
        <v>0</v>
      </c>
      <c r="DA388">
        <v>0.91</v>
      </c>
      <c r="DB388">
        <v>-0.41</v>
      </c>
      <c r="DC388">
        <v>-0.09</v>
      </c>
      <c r="DD388">
        <v>64.53</v>
      </c>
      <c r="DE388" t="s">
        <v>2592</v>
      </c>
      <c r="DF388">
        <v>14.69</v>
      </c>
      <c r="DG388">
        <v>2.29</v>
      </c>
      <c r="DH388">
        <v>1.08</v>
      </c>
      <c r="DI388">
        <v>0.13</v>
      </c>
      <c r="DJ388">
        <v>960</v>
      </c>
      <c r="DK388">
        <v>955</v>
      </c>
      <c r="DL388" t="s">
        <v>120</v>
      </c>
      <c r="DM388" t="s">
        <v>120</v>
      </c>
      <c r="DN388" t="s">
        <v>120</v>
      </c>
    </row>
    <row r="389" spans="1:118">
      <c r="A389" t="str">
        <f>"000957"</f>
        <v>000957</v>
      </c>
      <c r="B389" t="s">
        <v>2593</v>
      </c>
      <c r="C389">
        <v>-2.8</v>
      </c>
      <c r="D389">
        <v>-0.18</v>
      </c>
      <c r="E389">
        <v>0.19</v>
      </c>
      <c r="F389">
        <v>587</v>
      </c>
      <c r="G389" t="s">
        <v>2594</v>
      </c>
      <c r="H389">
        <v>2069.7800000000002</v>
      </c>
      <c r="I389">
        <v>3.87</v>
      </c>
      <c r="J389" t="s">
        <v>120</v>
      </c>
      <c r="K389" t="s">
        <v>2595</v>
      </c>
      <c r="L389">
        <v>0.66</v>
      </c>
      <c r="M389">
        <v>5.21</v>
      </c>
      <c r="N389">
        <v>0.9</v>
      </c>
      <c r="O389">
        <v>0.56000000000000005</v>
      </c>
      <c r="P389">
        <v>5.39</v>
      </c>
      <c r="Q389">
        <v>-3.17</v>
      </c>
      <c r="R389">
        <v>5.19</v>
      </c>
      <c r="S389">
        <v>5.37</v>
      </c>
      <c r="T389">
        <v>39201</v>
      </c>
      <c r="U389">
        <v>5.22</v>
      </c>
      <c r="V389">
        <v>5.36</v>
      </c>
      <c r="W389" t="s">
        <v>120</v>
      </c>
      <c r="X389" t="s">
        <v>1068</v>
      </c>
      <c r="Y389" t="s">
        <v>638</v>
      </c>
      <c r="Z389">
        <v>3.73</v>
      </c>
      <c r="AA389">
        <v>5.28</v>
      </c>
      <c r="AB389">
        <v>27740</v>
      </c>
      <c r="AC389">
        <v>11461</v>
      </c>
      <c r="AD389">
        <v>2.42</v>
      </c>
      <c r="AE389">
        <v>241</v>
      </c>
      <c r="AF389">
        <v>265</v>
      </c>
      <c r="AG389" t="s">
        <v>120</v>
      </c>
      <c r="AH389">
        <v>0</v>
      </c>
      <c r="AI389" t="s">
        <v>120</v>
      </c>
      <c r="AJ389">
        <v>5.93</v>
      </c>
      <c r="AK389" t="s">
        <v>2595</v>
      </c>
      <c r="AL389">
        <v>-0.88</v>
      </c>
      <c r="AM389">
        <v>1290</v>
      </c>
      <c r="AN389">
        <v>30</v>
      </c>
      <c r="AO389">
        <v>5.0000000000000001E-4</v>
      </c>
      <c r="AP389">
        <v>-1</v>
      </c>
      <c r="AQ389">
        <v>0</v>
      </c>
      <c r="AR389">
        <v>-5.0999999999999996</v>
      </c>
      <c r="AS389">
        <v>-4.58</v>
      </c>
      <c r="AT389">
        <v>-15.97</v>
      </c>
      <c r="AU389">
        <v>-40.32</v>
      </c>
      <c r="AV389">
        <v>2</v>
      </c>
      <c r="AW389">
        <v>1.1000000000000001</v>
      </c>
      <c r="AX389">
        <v>59.97</v>
      </c>
      <c r="AY389" t="s">
        <v>120</v>
      </c>
      <c r="AZ389">
        <v>135.1</v>
      </c>
      <c r="BA389">
        <v>0.47</v>
      </c>
      <c r="BB389" t="s">
        <v>134</v>
      </c>
      <c r="BF389">
        <v>-1.49</v>
      </c>
      <c r="BG389">
        <v>-2.98</v>
      </c>
      <c r="BH389">
        <v>-3.34</v>
      </c>
      <c r="BI389">
        <v>0.39</v>
      </c>
      <c r="BJ389">
        <v>20210826</v>
      </c>
      <c r="BK389">
        <v>20000113</v>
      </c>
      <c r="BL389">
        <v>5.93</v>
      </c>
      <c r="BM389" t="s">
        <v>120</v>
      </c>
      <c r="BN389" t="s">
        <v>120</v>
      </c>
      <c r="BO389">
        <v>92.21</v>
      </c>
      <c r="BP389">
        <v>5.21</v>
      </c>
      <c r="BQ389">
        <v>26.26</v>
      </c>
      <c r="BR389" t="s">
        <v>120</v>
      </c>
      <c r="BS389">
        <v>71.52</v>
      </c>
      <c r="BT389">
        <v>73.58</v>
      </c>
      <c r="BU389">
        <v>10.64</v>
      </c>
      <c r="BV389">
        <v>4.95</v>
      </c>
      <c r="BW389">
        <v>55.7</v>
      </c>
      <c r="BX389">
        <v>10.4</v>
      </c>
      <c r="BY389">
        <v>7.04</v>
      </c>
      <c r="BZ389">
        <v>25.84</v>
      </c>
      <c r="CA389" t="s">
        <v>120</v>
      </c>
      <c r="CB389">
        <v>4.78</v>
      </c>
      <c r="CC389">
        <v>13.47</v>
      </c>
      <c r="CD389">
        <v>12.37</v>
      </c>
      <c r="CE389">
        <v>-1.99</v>
      </c>
      <c r="CF389">
        <v>0</v>
      </c>
      <c r="CG389">
        <v>-1.88</v>
      </c>
      <c r="CH389">
        <v>-1.49</v>
      </c>
      <c r="CI389">
        <v>-1.49</v>
      </c>
      <c r="CJ389">
        <v>-0.15</v>
      </c>
      <c r="CK389">
        <v>-1.88</v>
      </c>
      <c r="CL389">
        <v>12.66</v>
      </c>
      <c r="CM389">
        <v>-1.07</v>
      </c>
      <c r="CN389">
        <v>-0.48</v>
      </c>
      <c r="CO389">
        <v>49508</v>
      </c>
      <c r="CP389">
        <v>7182</v>
      </c>
      <c r="CQ389" t="s">
        <v>2596</v>
      </c>
      <c r="CR389">
        <v>-952.95</v>
      </c>
      <c r="CS389">
        <v>-42.71</v>
      </c>
      <c r="CT389">
        <v>1.18</v>
      </c>
      <c r="CU389">
        <v>-28.8</v>
      </c>
      <c r="CV389">
        <v>2.29</v>
      </c>
      <c r="CW389">
        <v>0</v>
      </c>
      <c r="CX389" t="s">
        <v>2597</v>
      </c>
      <c r="CY389">
        <v>4.43</v>
      </c>
      <c r="CZ389">
        <v>0</v>
      </c>
      <c r="DA389">
        <v>0.81</v>
      </c>
      <c r="DB389">
        <v>2.14</v>
      </c>
      <c r="DC389">
        <v>-0.18</v>
      </c>
      <c r="DD389">
        <v>28.48</v>
      </c>
      <c r="DE389" t="s">
        <v>2598</v>
      </c>
      <c r="DF389">
        <v>8.2100000000000009</v>
      </c>
      <c r="DG389">
        <v>-14.76</v>
      </c>
      <c r="DH389">
        <v>-11.08</v>
      </c>
      <c r="DI389">
        <v>0.95</v>
      </c>
      <c r="DJ389">
        <v>4583</v>
      </c>
      <c r="DK389">
        <v>957</v>
      </c>
      <c r="DL389" t="s">
        <v>120</v>
      </c>
      <c r="DM389" t="s">
        <v>120</v>
      </c>
      <c r="DN389" t="s">
        <v>120</v>
      </c>
    </row>
    <row r="390" spans="1:118">
      <c r="A390" t="str">
        <f>"000958"</f>
        <v>000958</v>
      </c>
      <c r="B390" t="s">
        <v>2599</v>
      </c>
      <c r="C390">
        <v>-3.78</v>
      </c>
      <c r="D390">
        <v>0.39</v>
      </c>
      <c r="E390">
        <v>0.95</v>
      </c>
      <c r="F390">
        <v>2479</v>
      </c>
      <c r="G390" t="s">
        <v>2600</v>
      </c>
      <c r="H390">
        <v>24915.71</v>
      </c>
      <c r="I390">
        <v>295.89</v>
      </c>
      <c r="J390" t="s">
        <v>120</v>
      </c>
      <c r="K390" t="s">
        <v>2601</v>
      </c>
      <c r="L390">
        <v>4.37</v>
      </c>
      <c r="M390">
        <v>5.09</v>
      </c>
      <c r="N390">
        <v>1.29</v>
      </c>
      <c r="O390">
        <v>1.32</v>
      </c>
      <c r="P390">
        <v>5.36</v>
      </c>
      <c r="Q390">
        <v>-4.54</v>
      </c>
      <c r="R390">
        <v>5.05</v>
      </c>
      <c r="S390">
        <v>5.34</v>
      </c>
      <c r="T390">
        <v>481478</v>
      </c>
      <c r="U390">
        <v>5.0999999999999996</v>
      </c>
      <c r="V390">
        <v>5.29</v>
      </c>
      <c r="W390">
        <v>17.97</v>
      </c>
      <c r="X390" t="s">
        <v>721</v>
      </c>
      <c r="Y390" t="s">
        <v>602</v>
      </c>
      <c r="Z390">
        <v>5.86</v>
      </c>
      <c r="AA390">
        <v>5.17</v>
      </c>
      <c r="AB390">
        <v>274806</v>
      </c>
      <c r="AC390">
        <v>206672</v>
      </c>
      <c r="AD390">
        <v>1.33</v>
      </c>
      <c r="AE390">
        <v>1287</v>
      </c>
      <c r="AF390">
        <v>1265</v>
      </c>
      <c r="AG390" t="s">
        <v>120</v>
      </c>
      <c r="AH390">
        <v>0.08</v>
      </c>
      <c r="AI390" t="s">
        <v>120</v>
      </c>
      <c r="AJ390">
        <v>11.02</v>
      </c>
      <c r="AK390" t="s">
        <v>2602</v>
      </c>
      <c r="AL390">
        <v>-1.87</v>
      </c>
      <c r="AM390">
        <v>3823</v>
      </c>
      <c r="AN390">
        <v>126</v>
      </c>
      <c r="AO390">
        <v>1.1000000000000001E-3</v>
      </c>
      <c r="AP390">
        <v>-1</v>
      </c>
      <c r="AQ390">
        <v>7.52</v>
      </c>
      <c r="AR390">
        <v>0.8</v>
      </c>
      <c r="AS390">
        <v>18.37</v>
      </c>
      <c r="AT390">
        <v>21.78</v>
      </c>
      <c r="AU390">
        <v>7.38</v>
      </c>
      <c r="AV390">
        <v>2</v>
      </c>
      <c r="AW390">
        <v>7.24</v>
      </c>
      <c r="AX390">
        <v>12.35</v>
      </c>
      <c r="AY390">
        <v>20.78</v>
      </c>
      <c r="AZ390">
        <v>22.41</v>
      </c>
      <c r="BA390">
        <v>0.35</v>
      </c>
      <c r="BB390" t="s">
        <v>168</v>
      </c>
      <c r="BF390">
        <v>-2.1800000000000002</v>
      </c>
      <c r="BG390">
        <v>-4.68</v>
      </c>
      <c r="BH390">
        <v>-5.04</v>
      </c>
      <c r="BI390">
        <v>0.79</v>
      </c>
      <c r="BJ390">
        <v>20210827</v>
      </c>
      <c r="BK390">
        <v>19991223</v>
      </c>
      <c r="BL390">
        <v>53.83</v>
      </c>
      <c r="BM390" t="s">
        <v>120</v>
      </c>
      <c r="BN390" t="s">
        <v>120</v>
      </c>
      <c r="BO390">
        <v>458.35</v>
      </c>
      <c r="BP390">
        <v>5.09</v>
      </c>
      <c r="BQ390">
        <v>174.31</v>
      </c>
      <c r="BR390">
        <v>85.75</v>
      </c>
      <c r="BS390">
        <v>43.26</v>
      </c>
      <c r="BT390">
        <v>258.01</v>
      </c>
      <c r="BU390">
        <v>105.22</v>
      </c>
      <c r="BV390">
        <v>1.5</v>
      </c>
      <c r="BW390">
        <v>98.92</v>
      </c>
      <c r="BX390">
        <v>27.82</v>
      </c>
      <c r="BY390">
        <v>6.56</v>
      </c>
      <c r="BZ390">
        <v>23.36</v>
      </c>
      <c r="CA390">
        <v>0.28000000000000003</v>
      </c>
      <c r="CB390">
        <v>63.66</v>
      </c>
      <c r="CC390">
        <v>38.49</v>
      </c>
      <c r="CD390">
        <v>31.47</v>
      </c>
      <c r="CE390">
        <v>20.5</v>
      </c>
      <c r="CF390">
        <v>3.53</v>
      </c>
      <c r="CG390">
        <v>20.57</v>
      </c>
      <c r="CH390">
        <v>16.25</v>
      </c>
      <c r="CI390">
        <v>7.62</v>
      </c>
      <c r="CJ390">
        <v>-0.2</v>
      </c>
      <c r="CK390">
        <v>7.52</v>
      </c>
      <c r="CL390">
        <v>50.87</v>
      </c>
      <c r="CM390">
        <v>-50.89</v>
      </c>
      <c r="CN390">
        <v>-80.88</v>
      </c>
      <c r="CO390">
        <v>63217</v>
      </c>
      <c r="CP390">
        <v>10519</v>
      </c>
      <c r="CQ390" t="s">
        <v>2603</v>
      </c>
      <c r="CR390">
        <v>14.99</v>
      </c>
      <c r="CS390">
        <v>-4.01</v>
      </c>
      <c r="CT390">
        <v>1.57</v>
      </c>
      <c r="CU390">
        <v>-5.38</v>
      </c>
      <c r="CV390">
        <v>7.12</v>
      </c>
      <c r="CW390">
        <v>2.27</v>
      </c>
      <c r="CX390" t="s">
        <v>2604</v>
      </c>
      <c r="CY390">
        <v>3.24</v>
      </c>
      <c r="CZ390">
        <v>0</v>
      </c>
      <c r="DA390">
        <v>1.18</v>
      </c>
      <c r="DB390">
        <v>0.95</v>
      </c>
      <c r="DC390">
        <v>-0.95</v>
      </c>
      <c r="DD390">
        <v>38.03</v>
      </c>
      <c r="DE390" t="s">
        <v>864</v>
      </c>
      <c r="DF390">
        <v>18.239999999999998</v>
      </c>
      <c r="DG390">
        <v>53.25</v>
      </c>
      <c r="DH390">
        <v>19.809999999999999</v>
      </c>
      <c r="DI390">
        <v>0.01</v>
      </c>
      <c r="DJ390">
        <v>2836</v>
      </c>
      <c r="DK390">
        <v>958</v>
      </c>
      <c r="DL390" t="s">
        <v>120</v>
      </c>
      <c r="DM390" t="s">
        <v>120</v>
      </c>
      <c r="DN390" t="s">
        <v>120</v>
      </c>
    </row>
    <row r="391" spans="1:118">
      <c r="A391" t="str">
        <f>"000959"</f>
        <v>000959</v>
      </c>
      <c r="B391" t="s">
        <v>2605</v>
      </c>
      <c r="C391">
        <v>1.35</v>
      </c>
      <c r="D391">
        <v>-0.1</v>
      </c>
      <c r="E391">
        <v>2.02</v>
      </c>
      <c r="F391">
        <v>6987</v>
      </c>
      <c r="G391" t="s">
        <v>2606</v>
      </c>
      <c r="H391">
        <v>83826.92</v>
      </c>
      <c r="I391">
        <v>394.09</v>
      </c>
      <c r="J391" t="s">
        <v>120</v>
      </c>
      <c r="K391" t="s">
        <v>2607</v>
      </c>
      <c r="L391">
        <v>1.79</v>
      </c>
      <c r="M391">
        <v>9.01</v>
      </c>
      <c r="N391">
        <v>1.43</v>
      </c>
      <c r="O391">
        <v>9.11</v>
      </c>
      <c r="P391">
        <v>9.6999999999999993</v>
      </c>
      <c r="Q391">
        <v>0.67</v>
      </c>
      <c r="R391">
        <v>8.9499999999999993</v>
      </c>
      <c r="S391">
        <v>9.07</v>
      </c>
      <c r="T391">
        <v>904827</v>
      </c>
      <c r="U391">
        <v>9.02</v>
      </c>
      <c r="V391">
        <v>8.89</v>
      </c>
      <c r="W391">
        <v>8.77</v>
      </c>
      <c r="X391" t="s">
        <v>1460</v>
      </c>
      <c r="Y391" t="s">
        <v>158</v>
      </c>
      <c r="Z391">
        <v>8.44</v>
      </c>
      <c r="AA391">
        <v>9.26</v>
      </c>
      <c r="AB391">
        <v>424346</v>
      </c>
      <c r="AC391">
        <v>480481</v>
      </c>
      <c r="AD391">
        <v>0.88</v>
      </c>
      <c r="AE391">
        <v>204</v>
      </c>
      <c r="AF391">
        <v>354</v>
      </c>
      <c r="AG391" t="s">
        <v>120</v>
      </c>
      <c r="AH391">
        <v>0.04</v>
      </c>
      <c r="AI391" t="s">
        <v>120</v>
      </c>
      <c r="AJ391">
        <v>50.57</v>
      </c>
      <c r="AK391" t="s">
        <v>2608</v>
      </c>
      <c r="AL391">
        <v>3.26</v>
      </c>
      <c r="AM391">
        <v>4366</v>
      </c>
      <c r="AN391">
        <v>207</v>
      </c>
      <c r="AO391">
        <v>4.0000000000000002E-4</v>
      </c>
      <c r="AP391">
        <v>1</v>
      </c>
      <c r="AQ391">
        <v>-4.72</v>
      </c>
      <c r="AR391">
        <v>-0.78</v>
      </c>
      <c r="AS391">
        <v>23.42</v>
      </c>
      <c r="AT391">
        <v>65.319999999999993</v>
      </c>
      <c r="AU391">
        <v>135.24</v>
      </c>
      <c r="AV391">
        <v>8</v>
      </c>
      <c r="AW391">
        <v>8.3000000000000007</v>
      </c>
      <c r="AX391">
        <v>16.309999999999999</v>
      </c>
      <c r="AY391">
        <v>12.65</v>
      </c>
      <c r="AZ391">
        <v>33.270000000000003</v>
      </c>
      <c r="BA391">
        <v>1.06</v>
      </c>
      <c r="BB391" t="s">
        <v>125</v>
      </c>
      <c r="BF391">
        <v>4.21</v>
      </c>
      <c r="BG391">
        <v>-0.66</v>
      </c>
      <c r="BH391">
        <v>-7.11</v>
      </c>
      <c r="BI391">
        <v>0.67</v>
      </c>
      <c r="BJ391">
        <v>20210821</v>
      </c>
      <c r="BK391">
        <v>19991216</v>
      </c>
      <c r="BL391">
        <v>66.849999999999994</v>
      </c>
      <c r="BM391" t="s">
        <v>120</v>
      </c>
      <c r="BN391" t="s">
        <v>120</v>
      </c>
      <c r="BO391">
        <v>1526.61</v>
      </c>
      <c r="BP391">
        <v>9.01</v>
      </c>
      <c r="BQ391">
        <v>387.87</v>
      </c>
      <c r="BR391">
        <v>52.02</v>
      </c>
      <c r="BS391">
        <v>71.19</v>
      </c>
      <c r="BT391">
        <v>406.6</v>
      </c>
      <c r="BU391">
        <v>974.23</v>
      </c>
      <c r="BV391">
        <v>40.11</v>
      </c>
      <c r="BW391">
        <v>856.64</v>
      </c>
      <c r="BX391">
        <v>90.34</v>
      </c>
      <c r="BY391">
        <v>120.37</v>
      </c>
      <c r="BZ391">
        <v>19.670000000000002</v>
      </c>
      <c r="CA391" t="s">
        <v>120</v>
      </c>
      <c r="CB391">
        <v>247.79</v>
      </c>
      <c r="CC391">
        <v>633.78</v>
      </c>
      <c r="CD391">
        <v>557.66999999999996</v>
      </c>
      <c r="CE391">
        <v>49.1</v>
      </c>
      <c r="CF391">
        <v>1.74</v>
      </c>
      <c r="CG391">
        <v>49.05</v>
      </c>
      <c r="CH391">
        <v>41.66</v>
      </c>
      <c r="CI391">
        <v>34.33</v>
      </c>
      <c r="CJ391">
        <v>0.12</v>
      </c>
      <c r="CK391">
        <v>34.19</v>
      </c>
      <c r="CL391">
        <v>52.99</v>
      </c>
      <c r="CM391">
        <v>48.3</v>
      </c>
      <c r="CN391">
        <v>27.93</v>
      </c>
      <c r="CO391">
        <v>85143</v>
      </c>
      <c r="CP391">
        <v>12809</v>
      </c>
      <c r="CQ391" t="s">
        <v>2609</v>
      </c>
      <c r="CR391">
        <v>556.25</v>
      </c>
      <c r="CS391">
        <v>88.14</v>
      </c>
      <c r="CT391">
        <v>1.55</v>
      </c>
      <c r="CU391">
        <v>12.47</v>
      </c>
      <c r="CV391">
        <v>0.95</v>
      </c>
      <c r="CW391">
        <v>1.1200000000000001</v>
      </c>
      <c r="CX391" t="s">
        <v>817</v>
      </c>
      <c r="CY391">
        <v>5.8</v>
      </c>
      <c r="CZ391">
        <v>0</v>
      </c>
      <c r="DA391">
        <v>3.71</v>
      </c>
      <c r="DB391">
        <v>0.79</v>
      </c>
      <c r="DC391">
        <v>0.72</v>
      </c>
      <c r="DD391">
        <v>25.41</v>
      </c>
      <c r="DE391" t="s">
        <v>879</v>
      </c>
      <c r="DF391">
        <v>12.01</v>
      </c>
      <c r="DG391">
        <v>7.75</v>
      </c>
      <c r="DH391">
        <v>5.42</v>
      </c>
      <c r="DI391">
        <v>3.17</v>
      </c>
      <c r="DJ391">
        <v>18166</v>
      </c>
      <c r="DK391">
        <v>959</v>
      </c>
      <c r="DL391">
        <v>20210913</v>
      </c>
      <c r="DM391">
        <v>9.08</v>
      </c>
      <c r="DN391">
        <v>-0.77</v>
      </c>
    </row>
    <row r="392" spans="1:118">
      <c r="A392" t="str">
        <f>"000960"</f>
        <v>000960</v>
      </c>
      <c r="B392" t="s">
        <v>2610</v>
      </c>
      <c r="C392">
        <v>-0.09</v>
      </c>
      <c r="D392">
        <v>0.09</v>
      </c>
      <c r="E392">
        <v>3.43</v>
      </c>
      <c r="F392">
        <v>7863</v>
      </c>
      <c r="G392" t="s">
        <v>2611</v>
      </c>
      <c r="H392">
        <v>212251.98</v>
      </c>
      <c r="I392">
        <v>2328.89</v>
      </c>
      <c r="J392" t="s">
        <v>120</v>
      </c>
      <c r="K392" t="s">
        <v>2612</v>
      </c>
      <c r="L392">
        <v>5.54</v>
      </c>
      <c r="M392">
        <v>22.42</v>
      </c>
      <c r="N392">
        <v>0.83</v>
      </c>
      <c r="O392">
        <v>5.93</v>
      </c>
      <c r="P392">
        <v>23.77</v>
      </c>
      <c r="Q392">
        <v>-0.98</v>
      </c>
      <c r="R392">
        <v>22.22</v>
      </c>
      <c r="S392">
        <v>23.21</v>
      </c>
      <c r="T392">
        <v>925023</v>
      </c>
      <c r="U392">
        <v>22.43</v>
      </c>
      <c r="V392">
        <v>22.44</v>
      </c>
      <c r="W392">
        <v>19.489999999999998</v>
      </c>
      <c r="X392" t="s">
        <v>1390</v>
      </c>
      <c r="Y392" t="s">
        <v>1006</v>
      </c>
      <c r="Z392">
        <v>6.91</v>
      </c>
      <c r="AA392">
        <v>22.95</v>
      </c>
      <c r="AB392">
        <v>488144</v>
      </c>
      <c r="AC392">
        <v>436879</v>
      </c>
      <c r="AD392">
        <v>1.1200000000000001</v>
      </c>
      <c r="AE392">
        <v>441</v>
      </c>
      <c r="AF392">
        <v>263</v>
      </c>
      <c r="AG392" t="s">
        <v>120</v>
      </c>
      <c r="AH392">
        <v>0.11</v>
      </c>
      <c r="AI392" t="s">
        <v>120</v>
      </c>
      <c r="AJ392">
        <v>16.690000000000001</v>
      </c>
      <c r="AK392" t="s">
        <v>2612</v>
      </c>
      <c r="AL392">
        <v>1.82</v>
      </c>
      <c r="AM392">
        <v>4676</v>
      </c>
      <c r="AN392">
        <v>198</v>
      </c>
      <c r="AO392">
        <v>1.1999999999999999E-3</v>
      </c>
      <c r="AP392">
        <v>-1</v>
      </c>
      <c r="AQ392">
        <v>1.17</v>
      </c>
      <c r="AR392">
        <v>-7.24</v>
      </c>
      <c r="AS392">
        <v>30.73</v>
      </c>
      <c r="AT392">
        <v>43.35</v>
      </c>
      <c r="AU392">
        <v>100.18</v>
      </c>
      <c r="AV392">
        <v>5</v>
      </c>
      <c r="AW392">
        <v>10.08</v>
      </c>
      <c r="AX392">
        <v>54.99</v>
      </c>
      <c r="AY392">
        <v>25.86</v>
      </c>
      <c r="AZ392">
        <v>54.24</v>
      </c>
      <c r="BA392">
        <v>0.3</v>
      </c>
      <c r="BB392" t="s">
        <v>143</v>
      </c>
      <c r="BF392">
        <v>2.25</v>
      </c>
      <c r="BG392">
        <v>-3.4</v>
      </c>
      <c r="BH392">
        <v>-5.68</v>
      </c>
      <c r="BI392">
        <v>0.9</v>
      </c>
      <c r="BJ392">
        <v>20210913</v>
      </c>
      <c r="BK392">
        <v>20000221</v>
      </c>
      <c r="BL392">
        <v>16.690000000000001</v>
      </c>
      <c r="BM392" t="s">
        <v>120</v>
      </c>
      <c r="BN392" t="s">
        <v>120</v>
      </c>
      <c r="BO392">
        <v>402.12</v>
      </c>
      <c r="BP392">
        <v>22.42</v>
      </c>
      <c r="BQ392">
        <v>139.61000000000001</v>
      </c>
      <c r="BR392">
        <v>15.33</v>
      </c>
      <c r="BS392">
        <v>61.47</v>
      </c>
      <c r="BT392">
        <v>141.13</v>
      </c>
      <c r="BU392">
        <v>162.9</v>
      </c>
      <c r="BV392">
        <v>40.35</v>
      </c>
      <c r="BW392">
        <v>151.82</v>
      </c>
      <c r="BX392">
        <v>46.26</v>
      </c>
      <c r="BY392">
        <v>54.09</v>
      </c>
      <c r="BZ392">
        <v>11</v>
      </c>
      <c r="CA392" t="s">
        <v>120</v>
      </c>
      <c r="CB392">
        <v>87.12</v>
      </c>
      <c r="CC392">
        <v>294.58</v>
      </c>
      <c r="CD392">
        <v>269.61</v>
      </c>
      <c r="CE392">
        <v>12.53</v>
      </c>
      <c r="CF392">
        <v>-0.41</v>
      </c>
      <c r="CG392">
        <v>12.47</v>
      </c>
      <c r="CH392">
        <v>10.14</v>
      </c>
      <c r="CI392">
        <v>9.6</v>
      </c>
      <c r="CJ392">
        <v>-0.02</v>
      </c>
      <c r="CK392">
        <v>9.5299999999999994</v>
      </c>
      <c r="CL392">
        <v>34.22</v>
      </c>
      <c r="CM392">
        <v>-1.39</v>
      </c>
      <c r="CN392">
        <v>0.48</v>
      </c>
      <c r="CO392">
        <v>106360</v>
      </c>
      <c r="CP392">
        <v>8628</v>
      </c>
      <c r="CQ392" t="s">
        <v>2613</v>
      </c>
      <c r="CR392">
        <v>375.11</v>
      </c>
      <c r="CS392">
        <v>30.91</v>
      </c>
      <c r="CT392">
        <v>2.68</v>
      </c>
      <c r="CU392">
        <v>-269.75</v>
      </c>
      <c r="CV392">
        <v>1.27</v>
      </c>
      <c r="CW392">
        <v>0</v>
      </c>
      <c r="CX392" t="s">
        <v>2614</v>
      </c>
      <c r="CY392">
        <v>8.3699999999999992</v>
      </c>
      <c r="CZ392">
        <v>0</v>
      </c>
      <c r="DA392">
        <v>5.22</v>
      </c>
      <c r="DB392">
        <v>2.0499999999999998</v>
      </c>
      <c r="DC392">
        <v>-0.08</v>
      </c>
      <c r="DD392">
        <v>34.72</v>
      </c>
      <c r="DE392" t="s">
        <v>1726</v>
      </c>
      <c r="DF392">
        <v>8.48</v>
      </c>
      <c r="DG392">
        <v>4.25</v>
      </c>
      <c r="DH392">
        <v>3.26</v>
      </c>
      <c r="DI392">
        <v>0.51</v>
      </c>
      <c r="DJ392">
        <v>15379</v>
      </c>
      <c r="DK392">
        <v>960</v>
      </c>
      <c r="DL392">
        <v>20210830</v>
      </c>
      <c r="DM392">
        <v>21.71</v>
      </c>
      <c r="DN392">
        <v>3.27</v>
      </c>
    </row>
    <row r="393" spans="1:118">
      <c r="A393" t="str">
        <f>"000961"</f>
        <v>000961</v>
      </c>
      <c r="B393" t="s">
        <v>2615</v>
      </c>
      <c r="C393">
        <v>-3.05</v>
      </c>
      <c r="D393">
        <v>0</v>
      </c>
      <c r="E393">
        <v>0.22</v>
      </c>
      <c r="F393">
        <v>6185</v>
      </c>
      <c r="G393" t="s">
        <v>2616</v>
      </c>
      <c r="H393">
        <v>26400.92</v>
      </c>
      <c r="I393">
        <v>224.53</v>
      </c>
      <c r="J393" t="s">
        <v>120</v>
      </c>
      <c r="K393" t="s">
        <v>2617</v>
      </c>
      <c r="L393">
        <v>1.53</v>
      </c>
      <c r="M393">
        <v>4.45</v>
      </c>
      <c r="N393">
        <v>1.08</v>
      </c>
      <c r="O393">
        <v>0.65</v>
      </c>
      <c r="P393">
        <v>4.62</v>
      </c>
      <c r="Q393">
        <v>-3.05</v>
      </c>
      <c r="R393">
        <v>4.45</v>
      </c>
      <c r="S393">
        <v>4.5999999999999996</v>
      </c>
      <c r="T393">
        <v>583974</v>
      </c>
      <c r="U393">
        <v>4.46</v>
      </c>
      <c r="V393">
        <v>4.59</v>
      </c>
      <c r="W393">
        <v>4.87</v>
      </c>
      <c r="X393" t="s">
        <v>175</v>
      </c>
      <c r="Y393" t="s">
        <v>319</v>
      </c>
      <c r="Z393">
        <v>3.7</v>
      </c>
      <c r="AA393">
        <v>4.5199999999999996</v>
      </c>
      <c r="AB393">
        <v>366980</v>
      </c>
      <c r="AC393">
        <v>216994</v>
      </c>
      <c r="AD393">
        <v>1.69</v>
      </c>
      <c r="AE393">
        <v>12745</v>
      </c>
      <c r="AF393">
        <v>875</v>
      </c>
      <c r="AG393" t="s">
        <v>120</v>
      </c>
      <c r="AH393">
        <v>0.03</v>
      </c>
      <c r="AI393" t="s">
        <v>120</v>
      </c>
      <c r="AJ393">
        <v>38.15</v>
      </c>
      <c r="AK393" t="s">
        <v>2618</v>
      </c>
      <c r="AL393">
        <v>-1.1399999999999999</v>
      </c>
      <c r="AM393">
        <v>4030</v>
      </c>
      <c r="AN393">
        <v>145</v>
      </c>
      <c r="AO393">
        <v>4.0000000000000002E-4</v>
      </c>
      <c r="AP393">
        <v>-3</v>
      </c>
      <c r="AQ393">
        <v>-3.57</v>
      </c>
      <c r="AR393">
        <v>-11</v>
      </c>
      <c r="AS393">
        <v>-12.41</v>
      </c>
      <c r="AT393">
        <v>-17.96</v>
      </c>
      <c r="AU393">
        <v>-46.22</v>
      </c>
      <c r="AV393">
        <v>0</v>
      </c>
      <c r="AW393">
        <v>3.32</v>
      </c>
      <c r="AX393">
        <v>45.91</v>
      </c>
      <c r="AY393">
        <v>2.59</v>
      </c>
      <c r="AZ393">
        <v>2.48</v>
      </c>
      <c r="BA393">
        <v>0.34</v>
      </c>
      <c r="BB393" t="s">
        <v>240</v>
      </c>
      <c r="BF393">
        <v>-1.51</v>
      </c>
      <c r="BG393">
        <v>-3.26</v>
      </c>
      <c r="BH393">
        <v>-3.68</v>
      </c>
      <c r="BI393">
        <v>0</v>
      </c>
      <c r="BJ393">
        <v>20210904</v>
      </c>
      <c r="BK393">
        <v>20000301</v>
      </c>
      <c r="BL393">
        <v>38.270000000000003</v>
      </c>
      <c r="BM393" t="s">
        <v>120</v>
      </c>
      <c r="BN393" t="s">
        <v>120</v>
      </c>
      <c r="BO393">
        <v>3729.85</v>
      </c>
      <c r="BP393">
        <v>4.45</v>
      </c>
      <c r="BQ393">
        <v>284.77999999999997</v>
      </c>
      <c r="BR393">
        <v>237.75</v>
      </c>
      <c r="BS393">
        <v>85.99</v>
      </c>
      <c r="BT393">
        <v>3080.01</v>
      </c>
      <c r="BU393">
        <v>31.68</v>
      </c>
      <c r="BV393">
        <v>6.18</v>
      </c>
      <c r="BW393">
        <v>2625.49</v>
      </c>
      <c r="BX393">
        <v>269.73</v>
      </c>
      <c r="BY393">
        <v>1981.92</v>
      </c>
      <c r="BZ393">
        <v>53.85</v>
      </c>
      <c r="CA393">
        <v>0.24</v>
      </c>
      <c r="CB393">
        <v>33.380000000000003</v>
      </c>
      <c r="CC393">
        <v>384.82</v>
      </c>
      <c r="CD393">
        <v>322.05</v>
      </c>
      <c r="CE393">
        <v>27.12</v>
      </c>
      <c r="CF393">
        <v>6.78</v>
      </c>
      <c r="CG393">
        <v>26.53</v>
      </c>
      <c r="CH393">
        <v>20.28</v>
      </c>
      <c r="CI393">
        <v>17.48</v>
      </c>
      <c r="CJ393">
        <v>-0.14000000000000001</v>
      </c>
      <c r="CK393">
        <v>16.559999999999999</v>
      </c>
      <c r="CL393">
        <v>189.34</v>
      </c>
      <c r="CM393">
        <v>24.12</v>
      </c>
      <c r="CN393">
        <v>-28.7</v>
      </c>
      <c r="CO393">
        <v>68736</v>
      </c>
      <c r="CP393">
        <v>25557</v>
      </c>
      <c r="CQ393" t="s">
        <v>2619</v>
      </c>
      <c r="CR393">
        <v>-14.72</v>
      </c>
      <c r="CS393">
        <v>29.6</v>
      </c>
      <c r="CT393">
        <v>0.6</v>
      </c>
      <c r="CU393">
        <v>7.06</v>
      </c>
      <c r="CV393">
        <v>0.44</v>
      </c>
      <c r="CW393">
        <v>12.11</v>
      </c>
      <c r="CX393" t="s">
        <v>1631</v>
      </c>
      <c r="CY393">
        <v>7.44</v>
      </c>
      <c r="CZ393">
        <v>0</v>
      </c>
      <c r="DA393">
        <v>0.87</v>
      </c>
      <c r="DB393">
        <v>4.95</v>
      </c>
      <c r="DC393">
        <v>0.63</v>
      </c>
      <c r="DD393">
        <v>7.64</v>
      </c>
      <c r="DE393" t="s">
        <v>2620</v>
      </c>
      <c r="DF393">
        <v>16.309999999999999</v>
      </c>
      <c r="DG393">
        <v>7.05</v>
      </c>
      <c r="DH393">
        <v>4.54</v>
      </c>
      <c r="DI393">
        <v>0.2</v>
      </c>
      <c r="DJ393">
        <v>46615</v>
      </c>
      <c r="DK393">
        <v>961</v>
      </c>
      <c r="DL393" t="s">
        <v>120</v>
      </c>
      <c r="DM393" t="s">
        <v>120</v>
      </c>
      <c r="DN393" t="s">
        <v>120</v>
      </c>
    </row>
    <row r="394" spans="1:118">
      <c r="A394" t="str">
        <f>"000962"</f>
        <v>000962</v>
      </c>
      <c r="B394" t="s">
        <v>2621</v>
      </c>
      <c r="C394">
        <v>-4.83</v>
      </c>
      <c r="D394">
        <v>0</v>
      </c>
      <c r="E394">
        <v>-3.47</v>
      </c>
      <c r="F394">
        <v>678</v>
      </c>
      <c r="G394" t="s">
        <v>2622</v>
      </c>
      <c r="H394">
        <v>26107.48</v>
      </c>
      <c r="I394">
        <v>101.71</v>
      </c>
      <c r="J394" t="s">
        <v>120</v>
      </c>
      <c r="K394" t="s">
        <v>2623</v>
      </c>
      <c r="L394">
        <v>3.77</v>
      </c>
      <c r="M394">
        <v>15.38</v>
      </c>
      <c r="N394">
        <v>0.83</v>
      </c>
      <c r="O394">
        <v>0.06</v>
      </c>
      <c r="P394">
        <v>16.170000000000002</v>
      </c>
      <c r="Q394">
        <v>-5.32</v>
      </c>
      <c r="R394">
        <v>15.3</v>
      </c>
      <c r="S394">
        <v>15.6</v>
      </c>
      <c r="T394">
        <v>166205</v>
      </c>
      <c r="U394">
        <v>15.38</v>
      </c>
      <c r="V394">
        <v>16.16</v>
      </c>
      <c r="W394">
        <v>51.62</v>
      </c>
      <c r="X394" t="s">
        <v>1390</v>
      </c>
      <c r="Y394" t="s">
        <v>1110</v>
      </c>
      <c r="Z394">
        <v>5.38</v>
      </c>
      <c r="AA394">
        <v>15.71</v>
      </c>
      <c r="AB394">
        <v>97927</v>
      </c>
      <c r="AC394">
        <v>68278</v>
      </c>
      <c r="AD394">
        <v>1.43</v>
      </c>
      <c r="AE394">
        <v>844</v>
      </c>
      <c r="AF394">
        <v>191</v>
      </c>
      <c r="AG394" t="s">
        <v>120</v>
      </c>
      <c r="AH394">
        <v>0.03</v>
      </c>
      <c r="AI394" t="s">
        <v>120</v>
      </c>
      <c r="AJ394">
        <v>4.41</v>
      </c>
      <c r="AK394" t="s">
        <v>2623</v>
      </c>
      <c r="AL394">
        <v>-2.91</v>
      </c>
      <c r="AM394">
        <v>3702</v>
      </c>
      <c r="AN394">
        <v>45</v>
      </c>
      <c r="AO394">
        <v>1E-3</v>
      </c>
      <c r="AP394">
        <v>-1</v>
      </c>
      <c r="AQ394">
        <v>5.83</v>
      </c>
      <c r="AR394">
        <v>-5.7</v>
      </c>
      <c r="AS394">
        <v>1.32</v>
      </c>
      <c r="AT394">
        <v>61.04</v>
      </c>
      <c r="AU394">
        <v>74.38</v>
      </c>
      <c r="AV394">
        <v>8</v>
      </c>
      <c r="AW394">
        <v>6.96</v>
      </c>
      <c r="AX394">
        <v>54.2</v>
      </c>
      <c r="AY394">
        <v>72.069999999999993</v>
      </c>
      <c r="AZ394">
        <v>144.46</v>
      </c>
      <c r="BA394">
        <v>1.35</v>
      </c>
      <c r="BB394" t="s">
        <v>168</v>
      </c>
      <c r="BF394">
        <v>-2.8</v>
      </c>
      <c r="BG394">
        <v>-1.41</v>
      </c>
      <c r="BH394">
        <v>-4.8899999999999997</v>
      </c>
      <c r="BI394">
        <v>0.52</v>
      </c>
      <c r="BJ394">
        <v>20210907</v>
      </c>
      <c r="BK394">
        <v>20000120</v>
      </c>
      <c r="BL394">
        <v>4.41</v>
      </c>
      <c r="BM394" t="s">
        <v>120</v>
      </c>
      <c r="BN394" t="s">
        <v>120</v>
      </c>
      <c r="BO394">
        <v>15.68</v>
      </c>
      <c r="BP394">
        <v>15.37</v>
      </c>
      <c r="BQ394">
        <v>12.8</v>
      </c>
      <c r="BR394">
        <v>0.06</v>
      </c>
      <c r="BS394">
        <v>18.02</v>
      </c>
      <c r="BT394">
        <v>6.22</v>
      </c>
      <c r="BU394">
        <v>2.84</v>
      </c>
      <c r="BV394">
        <v>0.6</v>
      </c>
      <c r="BW394">
        <v>2.13</v>
      </c>
      <c r="BX394">
        <v>0.8</v>
      </c>
      <c r="BY394">
        <v>2.3199999999999998</v>
      </c>
      <c r="BZ394">
        <v>1.64</v>
      </c>
      <c r="CA394" t="s">
        <v>120</v>
      </c>
      <c r="CB394">
        <v>11.98</v>
      </c>
      <c r="CC394">
        <v>4.0599999999999996</v>
      </c>
      <c r="CD394">
        <v>3.05</v>
      </c>
      <c r="CE394">
        <v>0.66</v>
      </c>
      <c r="CF394">
        <v>0.34</v>
      </c>
      <c r="CG394">
        <v>0.66</v>
      </c>
      <c r="CH394">
        <v>0.66</v>
      </c>
      <c r="CI394">
        <v>0.66</v>
      </c>
      <c r="CJ394">
        <v>-0.78</v>
      </c>
      <c r="CK394">
        <v>0.63</v>
      </c>
      <c r="CL394">
        <v>-5.98</v>
      </c>
      <c r="CM394">
        <v>0.77</v>
      </c>
      <c r="CN394">
        <v>-0.2</v>
      </c>
      <c r="CO394">
        <v>37991</v>
      </c>
      <c r="CP394">
        <v>6289</v>
      </c>
      <c r="CQ394" t="s">
        <v>241</v>
      </c>
      <c r="CR394">
        <v>306.92</v>
      </c>
      <c r="CS394">
        <v>60.08</v>
      </c>
      <c r="CT394">
        <v>5.3</v>
      </c>
      <c r="CU394">
        <v>88.34</v>
      </c>
      <c r="CV394">
        <v>16.690000000000001</v>
      </c>
      <c r="CW394">
        <v>0</v>
      </c>
      <c r="CX394" t="s">
        <v>2275</v>
      </c>
      <c r="CY394">
        <v>2.9</v>
      </c>
      <c r="CZ394">
        <v>0</v>
      </c>
      <c r="DA394">
        <v>2.72</v>
      </c>
      <c r="DB394">
        <v>-1.36</v>
      </c>
      <c r="DC394">
        <v>0.17</v>
      </c>
      <c r="DD394">
        <v>81.61</v>
      </c>
      <c r="DE394" t="s">
        <v>2624</v>
      </c>
      <c r="DF394">
        <v>24.81</v>
      </c>
      <c r="DG394">
        <v>16.3</v>
      </c>
      <c r="DH394">
        <v>16.170000000000002</v>
      </c>
      <c r="DI394">
        <v>0.14000000000000001</v>
      </c>
      <c r="DJ394">
        <v>1154</v>
      </c>
      <c r="DK394">
        <v>962</v>
      </c>
      <c r="DL394">
        <v>20210603</v>
      </c>
      <c r="DM394">
        <v>10.84</v>
      </c>
      <c r="DN394">
        <v>41.88</v>
      </c>
    </row>
    <row r="395" spans="1:118">
      <c r="A395" t="str">
        <f>"000963"</f>
        <v>000963</v>
      </c>
      <c r="B395" t="s">
        <v>2625</v>
      </c>
      <c r="C395">
        <v>-0.37</v>
      </c>
      <c r="D395">
        <v>-0.02</v>
      </c>
      <c r="E395">
        <v>0</v>
      </c>
      <c r="F395">
        <v>1997</v>
      </c>
      <c r="G395" t="s">
        <v>2626</v>
      </c>
      <c r="H395">
        <v>49619.71</v>
      </c>
      <c r="I395">
        <v>223.01</v>
      </c>
      <c r="J395" t="s">
        <v>120</v>
      </c>
      <c r="K395" t="s">
        <v>2627</v>
      </c>
      <c r="L395">
        <v>0.96</v>
      </c>
      <c r="M395">
        <v>29.35</v>
      </c>
      <c r="N395">
        <v>0.85</v>
      </c>
      <c r="O395">
        <v>1.93</v>
      </c>
      <c r="P395">
        <v>30.03</v>
      </c>
      <c r="Q395">
        <v>-0.78</v>
      </c>
      <c r="R395">
        <v>29.23</v>
      </c>
      <c r="S395">
        <v>29.46</v>
      </c>
      <c r="T395">
        <v>167516</v>
      </c>
      <c r="U395">
        <v>29.35</v>
      </c>
      <c r="V395">
        <v>29.46</v>
      </c>
      <c r="W395">
        <v>19.75</v>
      </c>
      <c r="X395" t="s">
        <v>569</v>
      </c>
      <c r="Y395" t="s">
        <v>585</v>
      </c>
      <c r="Z395">
        <v>2.72</v>
      </c>
      <c r="AA395">
        <v>29.62</v>
      </c>
      <c r="AB395">
        <v>81566</v>
      </c>
      <c r="AC395">
        <v>85950</v>
      </c>
      <c r="AD395">
        <v>0.95</v>
      </c>
      <c r="AE395">
        <v>258</v>
      </c>
      <c r="AF395">
        <v>113</v>
      </c>
      <c r="AG395" t="s">
        <v>120</v>
      </c>
      <c r="AH395">
        <v>0.01</v>
      </c>
      <c r="AI395" t="s">
        <v>120</v>
      </c>
      <c r="AJ395">
        <v>17.5</v>
      </c>
      <c r="AK395" t="s">
        <v>2628</v>
      </c>
      <c r="AL395">
        <v>1.54</v>
      </c>
      <c r="AM395">
        <v>4256</v>
      </c>
      <c r="AN395">
        <v>39</v>
      </c>
      <c r="AO395">
        <v>2.0000000000000001E-4</v>
      </c>
      <c r="AP395">
        <v>-8</v>
      </c>
      <c r="AQ395">
        <v>-3.19</v>
      </c>
      <c r="AR395">
        <v>-4.09</v>
      </c>
      <c r="AS395">
        <v>-24.72</v>
      </c>
      <c r="AT395">
        <v>-34.659999999999997</v>
      </c>
      <c r="AU395">
        <v>11.47</v>
      </c>
      <c r="AV395">
        <v>9</v>
      </c>
      <c r="AW395">
        <v>2.2799999999999998</v>
      </c>
      <c r="AX395">
        <v>41.99</v>
      </c>
      <c r="AY395">
        <v>21.58</v>
      </c>
      <c r="AZ395">
        <v>18.28</v>
      </c>
      <c r="BA395">
        <v>1.06</v>
      </c>
      <c r="BB395" t="s">
        <v>240</v>
      </c>
      <c r="BF395">
        <v>0.55000000000000004</v>
      </c>
      <c r="BG395">
        <v>-0.37</v>
      </c>
      <c r="BH395">
        <v>-2.2599999999999998</v>
      </c>
      <c r="BI395">
        <v>0.41</v>
      </c>
      <c r="BJ395">
        <v>20210810</v>
      </c>
      <c r="BK395">
        <v>20000127</v>
      </c>
      <c r="BL395">
        <v>17.5</v>
      </c>
      <c r="BM395" t="s">
        <v>120</v>
      </c>
      <c r="BN395" t="s">
        <v>120</v>
      </c>
      <c r="BO395">
        <v>261.08</v>
      </c>
      <c r="BP395">
        <v>29.34</v>
      </c>
      <c r="BQ395">
        <v>155.66999999999999</v>
      </c>
      <c r="BR395">
        <v>6.21</v>
      </c>
      <c r="BS395">
        <v>38</v>
      </c>
      <c r="BT395">
        <v>151.74</v>
      </c>
      <c r="BU395">
        <v>26.69</v>
      </c>
      <c r="BV395">
        <v>16.46</v>
      </c>
      <c r="BW395">
        <v>89.95</v>
      </c>
      <c r="BX395">
        <v>32.69</v>
      </c>
      <c r="BY395">
        <v>41.3</v>
      </c>
      <c r="BZ395">
        <v>68.709999999999994</v>
      </c>
      <c r="CA395">
        <v>0.02</v>
      </c>
      <c r="CB395">
        <v>21.58</v>
      </c>
      <c r="CC395">
        <v>171.79</v>
      </c>
      <c r="CD395">
        <v>115.89</v>
      </c>
      <c r="CE395">
        <v>15.89</v>
      </c>
      <c r="CF395">
        <v>-0.54</v>
      </c>
      <c r="CG395">
        <v>15.83</v>
      </c>
      <c r="CH395">
        <v>13.43</v>
      </c>
      <c r="CI395">
        <v>13</v>
      </c>
      <c r="CJ395">
        <v>-0.11</v>
      </c>
      <c r="CK395">
        <v>11.94</v>
      </c>
      <c r="CL395">
        <v>107.53</v>
      </c>
      <c r="CM395">
        <v>17.39</v>
      </c>
      <c r="CN395">
        <v>0.75</v>
      </c>
      <c r="CO395">
        <v>194208</v>
      </c>
      <c r="CP395">
        <v>3784</v>
      </c>
      <c r="CQ395" t="s">
        <v>2629</v>
      </c>
      <c r="CR395">
        <v>-24.89</v>
      </c>
      <c r="CS395">
        <v>3.11</v>
      </c>
      <c r="CT395">
        <v>3.3</v>
      </c>
      <c r="CU395">
        <v>29.54</v>
      </c>
      <c r="CV395">
        <v>2.99</v>
      </c>
      <c r="CW395">
        <v>0.78</v>
      </c>
      <c r="CX395" t="s">
        <v>2630</v>
      </c>
      <c r="CY395">
        <v>8.9</v>
      </c>
      <c r="CZ395">
        <v>0</v>
      </c>
      <c r="DA395">
        <v>1.23</v>
      </c>
      <c r="DB395">
        <v>6.15</v>
      </c>
      <c r="DC395">
        <v>0.99</v>
      </c>
      <c r="DD395">
        <v>59.63</v>
      </c>
      <c r="DE395" t="s">
        <v>2631</v>
      </c>
      <c r="DF395">
        <v>32.54</v>
      </c>
      <c r="DG395">
        <v>9.25</v>
      </c>
      <c r="DH395">
        <v>7.57</v>
      </c>
      <c r="DI395">
        <v>4.38</v>
      </c>
      <c r="DJ395">
        <v>11359</v>
      </c>
      <c r="DK395">
        <v>963</v>
      </c>
      <c r="DL395" t="s">
        <v>120</v>
      </c>
      <c r="DM395" t="s">
        <v>120</v>
      </c>
      <c r="DN395" t="s">
        <v>120</v>
      </c>
    </row>
    <row r="396" spans="1:118">
      <c r="A396" t="str">
        <f>"000965"</f>
        <v>000965</v>
      </c>
      <c r="B396" t="s">
        <v>2632</v>
      </c>
      <c r="C396">
        <v>-3.2</v>
      </c>
      <c r="D396">
        <v>-0.81</v>
      </c>
      <c r="E396">
        <v>0</v>
      </c>
      <c r="F396">
        <v>4772</v>
      </c>
      <c r="G396" t="s">
        <v>2633</v>
      </c>
      <c r="H396">
        <v>1478.18</v>
      </c>
      <c r="I396">
        <v>2</v>
      </c>
      <c r="J396" t="s">
        <v>120</v>
      </c>
      <c r="K396" t="s">
        <v>2634</v>
      </c>
      <c r="L396">
        <v>0.54</v>
      </c>
      <c r="M396">
        <v>2.42</v>
      </c>
      <c r="N396">
        <v>0.92</v>
      </c>
      <c r="O396">
        <v>0.8</v>
      </c>
      <c r="P396">
        <v>2.52</v>
      </c>
      <c r="Q396">
        <v>-3.2</v>
      </c>
      <c r="R396">
        <v>2.42</v>
      </c>
      <c r="S396">
        <v>2.5</v>
      </c>
      <c r="T396">
        <v>59602</v>
      </c>
      <c r="U396">
        <v>2.44</v>
      </c>
      <c r="V396">
        <v>2.5</v>
      </c>
      <c r="W396" t="s">
        <v>120</v>
      </c>
      <c r="X396" t="s">
        <v>150</v>
      </c>
      <c r="Y396" t="s">
        <v>997</v>
      </c>
      <c r="Z396">
        <v>4</v>
      </c>
      <c r="AA396">
        <v>2.48</v>
      </c>
      <c r="AB396">
        <v>36285</v>
      </c>
      <c r="AC396">
        <v>23317</v>
      </c>
      <c r="AD396">
        <v>1.56</v>
      </c>
      <c r="AE396">
        <v>1649</v>
      </c>
      <c r="AF396">
        <v>3</v>
      </c>
      <c r="AG396" t="s">
        <v>120</v>
      </c>
      <c r="AH396">
        <v>0</v>
      </c>
      <c r="AI396" t="s">
        <v>120</v>
      </c>
      <c r="AJ396">
        <v>11.1</v>
      </c>
      <c r="AK396" t="s">
        <v>2634</v>
      </c>
      <c r="AL396">
        <v>-1.29</v>
      </c>
      <c r="AM396">
        <v>784</v>
      </c>
      <c r="AN396">
        <v>76</v>
      </c>
      <c r="AO396">
        <v>6.9999999999999999E-4</v>
      </c>
      <c r="AP396">
        <v>-1</v>
      </c>
      <c r="AQ396">
        <v>0.4</v>
      </c>
      <c r="AR396">
        <v>-5.47</v>
      </c>
      <c r="AS396">
        <v>4.3099999999999996</v>
      </c>
      <c r="AT396">
        <v>-8.68</v>
      </c>
      <c r="AU396">
        <v>-31.64</v>
      </c>
      <c r="AV396">
        <v>0</v>
      </c>
      <c r="AW396">
        <v>1.1100000000000001</v>
      </c>
      <c r="AX396">
        <v>48.55</v>
      </c>
      <c r="AY396" t="s">
        <v>120</v>
      </c>
      <c r="AZ396">
        <v>29.12</v>
      </c>
      <c r="BA396">
        <v>0.33</v>
      </c>
      <c r="BB396" t="s">
        <v>143</v>
      </c>
      <c r="BF396">
        <v>-0.8</v>
      </c>
      <c r="BG396">
        <v>-3.2</v>
      </c>
      <c r="BH396">
        <v>-3.97</v>
      </c>
      <c r="BI396">
        <v>0</v>
      </c>
      <c r="BJ396">
        <v>20210826</v>
      </c>
      <c r="BK396">
        <v>20000406</v>
      </c>
      <c r="BL396">
        <v>11.1</v>
      </c>
      <c r="BM396" t="s">
        <v>120</v>
      </c>
      <c r="BN396" t="s">
        <v>120</v>
      </c>
      <c r="BO396">
        <v>124.97</v>
      </c>
      <c r="BP396">
        <v>2.42</v>
      </c>
      <c r="BQ396">
        <v>52.77</v>
      </c>
      <c r="BR396">
        <v>0.09</v>
      </c>
      <c r="BS396">
        <v>57.7</v>
      </c>
      <c r="BT396">
        <v>106.83</v>
      </c>
      <c r="BU396">
        <v>0.36</v>
      </c>
      <c r="BV396">
        <v>0.04</v>
      </c>
      <c r="BW396">
        <v>67.569999999999993</v>
      </c>
      <c r="BX396">
        <v>6.48</v>
      </c>
      <c r="BY396">
        <v>99.19</v>
      </c>
      <c r="BZ396">
        <v>0.1</v>
      </c>
      <c r="CA396">
        <v>0.06</v>
      </c>
      <c r="CB396">
        <v>23.15</v>
      </c>
      <c r="CC396">
        <v>1.05</v>
      </c>
      <c r="CD396">
        <v>0.64</v>
      </c>
      <c r="CE396">
        <v>-1.03</v>
      </c>
      <c r="CF396">
        <v>-0.14000000000000001</v>
      </c>
      <c r="CG396">
        <v>-1.03</v>
      </c>
      <c r="CH396">
        <v>-0.99</v>
      </c>
      <c r="CI396">
        <v>-1</v>
      </c>
      <c r="CJ396">
        <v>-0.08</v>
      </c>
      <c r="CK396">
        <v>-1</v>
      </c>
      <c r="CL396">
        <v>16.13</v>
      </c>
      <c r="CM396">
        <v>0.61</v>
      </c>
      <c r="CN396">
        <v>2.33</v>
      </c>
      <c r="CO396">
        <v>39963</v>
      </c>
      <c r="CP396">
        <v>13483</v>
      </c>
      <c r="CQ396" t="s">
        <v>2635</v>
      </c>
      <c r="CR396">
        <v>-227.27</v>
      </c>
      <c r="CS396">
        <v>-78.55</v>
      </c>
      <c r="CT396">
        <v>0.51</v>
      </c>
      <c r="CU396">
        <v>43.69</v>
      </c>
      <c r="CV396">
        <v>25.64</v>
      </c>
      <c r="CW396">
        <v>0</v>
      </c>
      <c r="CX396" t="s">
        <v>2242</v>
      </c>
      <c r="CY396">
        <v>4.75</v>
      </c>
      <c r="CZ396">
        <v>0</v>
      </c>
      <c r="DA396">
        <v>2.09</v>
      </c>
      <c r="DB396">
        <v>1.45</v>
      </c>
      <c r="DC396">
        <v>0.06</v>
      </c>
      <c r="DD396">
        <v>42.23</v>
      </c>
      <c r="DE396" t="s">
        <v>2636</v>
      </c>
      <c r="DF396">
        <v>39.32</v>
      </c>
      <c r="DG396">
        <v>-98.13</v>
      </c>
      <c r="DH396">
        <v>-95.59</v>
      </c>
      <c r="DI396" t="s">
        <v>120</v>
      </c>
      <c r="DJ396">
        <v>115</v>
      </c>
      <c r="DK396">
        <v>965</v>
      </c>
      <c r="DL396" t="s">
        <v>120</v>
      </c>
      <c r="DM396" t="s">
        <v>120</v>
      </c>
      <c r="DN396" t="s">
        <v>120</v>
      </c>
    </row>
    <row r="397" spans="1:118">
      <c r="A397" t="str">
        <f>"000966"</f>
        <v>000966</v>
      </c>
      <c r="B397" t="s">
        <v>2637</v>
      </c>
      <c r="C397">
        <v>-5.59</v>
      </c>
      <c r="D397">
        <v>0</v>
      </c>
      <c r="E397">
        <v>-0.77</v>
      </c>
      <c r="F397">
        <v>5057</v>
      </c>
      <c r="G397" t="s">
        <v>2638</v>
      </c>
      <c r="H397">
        <v>43192.42</v>
      </c>
      <c r="I397">
        <v>81.180000000000007</v>
      </c>
      <c r="J397" t="s">
        <v>120</v>
      </c>
      <c r="K397" t="s">
        <v>2639</v>
      </c>
      <c r="L397">
        <v>4.41</v>
      </c>
      <c r="M397">
        <v>8.61</v>
      </c>
      <c r="N397">
        <v>0.71</v>
      </c>
      <c r="O397">
        <v>-0.44</v>
      </c>
      <c r="P397">
        <v>9.08</v>
      </c>
      <c r="Q397">
        <v>-5.7</v>
      </c>
      <c r="R397">
        <v>8.6</v>
      </c>
      <c r="S397">
        <v>9.0500000000000007</v>
      </c>
      <c r="T397">
        <v>488438</v>
      </c>
      <c r="U397">
        <v>8.61</v>
      </c>
      <c r="V397">
        <v>9.1199999999999992</v>
      </c>
      <c r="W397">
        <v>42.51</v>
      </c>
      <c r="X397" t="s">
        <v>268</v>
      </c>
      <c r="Y397" t="s">
        <v>763</v>
      </c>
      <c r="Z397">
        <v>5.26</v>
      </c>
      <c r="AA397">
        <v>8.84</v>
      </c>
      <c r="AB397">
        <v>286717</v>
      </c>
      <c r="AC397">
        <v>201721</v>
      </c>
      <c r="AD397">
        <v>1.42</v>
      </c>
      <c r="AE397">
        <v>6808</v>
      </c>
      <c r="AF397">
        <v>989</v>
      </c>
      <c r="AG397" t="s">
        <v>120</v>
      </c>
      <c r="AH397">
        <v>0.02</v>
      </c>
      <c r="AI397" t="s">
        <v>120</v>
      </c>
      <c r="AJ397">
        <v>11.08</v>
      </c>
      <c r="AK397" t="s">
        <v>2640</v>
      </c>
      <c r="AL397">
        <v>-3.68</v>
      </c>
      <c r="AM397">
        <v>4434</v>
      </c>
      <c r="AN397">
        <v>110</v>
      </c>
      <c r="AO397">
        <v>1E-3</v>
      </c>
      <c r="AP397">
        <v>-1</v>
      </c>
      <c r="AQ397">
        <v>0.33</v>
      </c>
      <c r="AR397">
        <v>-6.51</v>
      </c>
      <c r="AS397">
        <v>-3.36</v>
      </c>
      <c r="AT397">
        <v>-27.59</v>
      </c>
      <c r="AU397">
        <v>116.87</v>
      </c>
      <c r="AV397">
        <v>22</v>
      </c>
      <c r="AW397">
        <v>8.89</v>
      </c>
      <c r="AX397">
        <v>21.56</v>
      </c>
      <c r="AY397">
        <v>63.63</v>
      </c>
      <c r="AZ397">
        <v>65.650000000000006</v>
      </c>
      <c r="BA397">
        <v>0.64</v>
      </c>
      <c r="BB397" t="s">
        <v>125</v>
      </c>
      <c r="BF397">
        <v>-3.04</v>
      </c>
      <c r="BG397">
        <v>-4.8600000000000003</v>
      </c>
      <c r="BH397">
        <v>-5.18</v>
      </c>
      <c r="BI397">
        <v>0.12</v>
      </c>
      <c r="BJ397">
        <v>20210914</v>
      </c>
      <c r="BK397">
        <v>20000316</v>
      </c>
      <c r="BL397">
        <v>25.5</v>
      </c>
      <c r="BM397" t="s">
        <v>120</v>
      </c>
      <c r="BN397" t="s">
        <v>120</v>
      </c>
      <c r="BO397">
        <v>209.35</v>
      </c>
      <c r="BP397">
        <v>8.6</v>
      </c>
      <c r="BQ397">
        <v>86.06</v>
      </c>
      <c r="BR397">
        <v>1.04</v>
      </c>
      <c r="BS397">
        <v>58.4</v>
      </c>
      <c r="BT397">
        <v>25.81</v>
      </c>
      <c r="BU397">
        <v>145.83000000000001</v>
      </c>
      <c r="BV397">
        <v>4.68</v>
      </c>
      <c r="BW397">
        <v>78.709999999999994</v>
      </c>
      <c r="BX397">
        <v>1.36</v>
      </c>
      <c r="BY397">
        <v>4.45</v>
      </c>
      <c r="BZ397">
        <v>15.23</v>
      </c>
      <c r="CA397">
        <v>0</v>
      </c>
      <c r="CB397">
        <v>22.82</v>
      </c>
      <c r="CC397">
        <v>59.3</v>
      </c>
      <c r="CD397">
        <v>53.23</v>
      </c>
      <c r="CE397">
        <v>3.48</v>
      </c>
      <c r="CF397">
        <v>0.2</v>
      </c>
      <c r="CG397">
        <v>3.75</v>
      </c>
      <c r="CH397">
        <v>2.6</v>
      </c>
      <c r="CI397">
        <v>2.58</v>
      </c>
      <c r="CJ397">
        <v>-0.51</v>
      </c>
      <c r="CK397">
        <v>1.61</v>
      </c>
      <c r="CL397">
        <v>35.299999999999997</v>
      </c>
      <c r="CM397">
        <v>4.09</v>
      </c>
      <c r="CN397">
        <v>-0.3</v>
      </c>
      <c r="CO397">
        <v>160489</v>
      </c>
      <c r="CP397">
        <v>3425</v>
      </c>
      <c r="CQ397" t="s">
        <v>2641</v>
      </c>
      <c r="CR397">
        <v>4.54</v>
      </c>
      <c r="CS397">
        <v>37.619999999999997</v>
      </c>
      <c r="CT397">
        <v>2.5499999999999998</v>
      </c>
      <c r="CU397">
        <v>53.65</v>
      </c>
      <c r="CV397">
        <v>3.7</v>
      </c>
      <c r="CW397">
        <v>0.55000000000000004</v>
      </c>
      <c r="CX397" t="s">
        <v>2642</v>
      </c>
      <c r="CY397">
        <v>3.38</v>
      </c>
      <c r="CZ397">
        <v>0</v>
      </c>
      <c r="DA397">
        <v>0.9</v>
      </c>
      <c r="DB397">
        <v>1.38</v>
      </c>
      <c r="DC397">
        <v>0.16</v>
      </c>
      <c r="DD397">
        <v>41.11</v>
      </c>
      <c r="DE397" t="s">
        <v>2643</v>
      </c>
      <c r="DF397">
        <v>10.23</v>
      </c>
      <c r="DG397">
        <v>5.87</v>
      </c>
      <c r="DH397">
        <v>4.3499999999999996</v>
      </c>
      <c r="DI397">
        <v>0</v>
      </c>
      <c r="DJ397">
        <v>3063</v>
      </c>
      <c r="DK397">
        <v>966</v>
      </c>
      <c r="DL397" t="s">
        <v>120</v>
      </c>
      <c r="DM397" t="s">
        <v>120</v>
      </c>
      <c r="DN397" t="s">
        <v>120</v>
      </c>
    </row>
    <row r="398" spans="1:118">
      <c r="A398" t="str">
        <f>"000967"</f>
        <v>000967</v>
      </c>
      <c r="B398" t="s">
        <v>2644</v>
      </c>
      <c r="C398">
        <v>-1.07</v>
      </c>
      <c r="D398">
        <v>0</v>
      </c>
      <c r="E398">
        <v>0.61</v>
      </c>
      <c r="F398">
        <v>732</v>
      </c>
      <c r="G398" t="s">
        <v>2645</v>
      </c>
      <c r="H398">
        <v>4992.41</v>
      </c>
      <c r="I398">
        <v>13.7</v>
      </c>
      <c r="J398" t="s">
        <v>120</v>
      </c>
      <c r="K398" t="s">
        <v>2646</v>
      </c>
      <c r="L398">
        <v>0.38</v>
      </c>
      <c r="M398">
        <v>6.47</v>
      </c>
      <c r="N398">
        <v>0.55000000000000004</v>
      </c>
      <c r="O398">
        <v>2.29</v>
      </c>
      <c r="P398">
        <v>6.69</v>
      </c>
      <c r="Q398">
        <v>-1.53</v>
      </c>
      <c r="R398">
        <v>6.44</v>
      </c>
      <c r="S398">
        <v>6.58</v>
      </c>
      <c r="T398">
        <v>76075</v>
      </c>
      <c r="U398">
        <v>6.47</v>
      </c>
      <c r="V398">
        <v>6.54</v>
      </c>
      <c r="W398">
        <v>27.55</v>
      </c>
      <c r="X398" t="s">
        <v>318</v>
      </c>
      <c r="Y398" t="s">
        <v>585</v>
      </c>
      <c r="Z398">
        <v>3.82</v>
      </c>
      <c r="AA398">
        <v>6.56</v>
      </c>
      <c r="AB398">
        <v>40535</v>
      </c>
      <c r="AC398">
        <v>35540</v>
      </c>
      <c r="AD398">
        <v>1.1399999999999999</v>
      </c>
      <c r="AE398">
        <v>411</v>
      </c>
      <c r="AF398">
        <v>1123</v>
      </c>
      <c r="AG398" t="s">
        <v>120</v>
      </c>
      <c r="AH398">
        <v>0</v>
      </c>
      <c r="AI398" t="s">
        <v>120</v>
      </c>
      <c r="AJ398">
        <v>20.23</v>
      </c>
      <c r="AK398" t="s">
        <v>2647</v>
      </c>
      <c r="AL398">
        <v>0.84</v>
      </c>
      <c r="AM398">
        <v>2197</v>
      </c>
      <c r="AN398">
        <v>35</v>
      </c>
      <c r="AO398">
        <v>2.0000000000000001E-4</v>
      </c>
      <c r="AP398">
        <v>-1</v>
      </c>
      <c r="AQ398">
        <v>0</v>
      </c>
      <c r="AR398">
        <v>-4.71</v>
      </c>
      <c r="AS398">
        <v>2.86</v>
      </c>
      <c r="AT398">
        <v>-5.27</v>
      </c>
      <c r="AU398">
        <v>-19.32</v>
      </c>
      <c r="AV398">
        <v>0</v>
      </c>
      <c r="AW398">
        <v>0.85</v>
      </c>
      <c r="AX398">
        <v>28.16</v>
      </c>
      <c r="AY398">
        <v>16.8</v>
      </c>
      <c r="AZ398">
        <v>14.92</v>
      </c>
      <c r="BA398">
        <v>0.21</v>
      </c>
      <c r="BB398" t="s">
        <v>143</v>
      </c>
      <c r="BF398">
        <v>0.34</v>
      </c>
      <c r="BG398">
        <v>-1.67</v>
      </c>
      <c r="BH398">
        <v>-3.29</v>
      </c>
      <c r="BI398">
        <v>0.47</v>
      </c>
      <c r="BJ398">
        <v>20210821</v>
      </c>
      <c r="BK398">
        <v>20000330</v>
      </c>
      <c r="BL398">
        <v>31.63</v>
      </c>
      <c r="BM398" t="s">
        <v>120</v>
      </c>
      <c r="BN398" t="s">
        <v>120</v>
      </c>
      <c r="BO398">
        <v>282.26</v>
      </c>
      <c r="BP398">
        <v>6.46</v>
      </c>
      <c r="BQ398">
        <v>164.8</v>
      </c>
      <c r="BR398">
        <v>3.17</v>
      </c>
      <c r="BS398">
        <v>40.49</v>
      </c>
      <c r="BT398">
        <v>133.03</v>
      </c>
      <c r="BU398">
        <v>15.3</v>
      </c>
      <c r="BV398">
        <v>30.75</v>
      </c>
      <c r="BW398">
        <v>85.84</v>
      </c>
      <c r="BX398">
        <v>36.71</v>
      </c>
      <c r="BY398">
        <v>12.04</v>
      </c>
      <c r="BZ398">
        <v>50.95</v>
      </c>
      <c r="CA398" t="s">
        <v>120</v>
      </c>
      <c r="CB398">
        <v>97.15</v>
      </c>
      <c r="CC398">
        <v>54.48</v>
      </c>
      <c r="CD398">
        <v>41.83</v>
      </c>
      <c r="CE398">
        <v>4.28</v>
      </c>
      <c r="CF398">
        <v>-0.83</v>
      </c>
      <c r="CG398">
        <v>4.25</v>
      </c>
      <c r="CH398">
        <v>4.05</v>
      </c>
      <c r="CI398">
        <v>3.71</v>
      </c>
      <c r="CJ398">
        <v>-7.0000000000000007E-2</v>
      </c>
      <c r="CK398">
        <v>4.3499999999999996</v>
      </c>
      <c r="CL398">
        <v>35.15</v>
      </c>
      <c r="CM398">
        <v>-14.15</v>
      </c>
      <c r="CN398">
        <v>-22.9</v>
      </c>
      <c r="CO398">
        <v>38393</v>
      </c>
      <c r="CP398">
        <v>23200</v>
      </c>
      <c r="CQ398" t="s">
        <v>2648</v>
      </c>
      <c r="CR398">
        <v>-29.49</v>
      </c>
      <c r="CS398">
        <v>-3.06</v>
      </c>
      <c r="CT398">
        <v>1.26</v>
      </c>
      <c r="CU398">
        <v>-14.46</v>
      </c>
      <c r="CV398">
        <v>3.76</v>
      </c>
      <c r="CW398">
        <v>1.8</v>
      </c>
      <c r="CX398" t="s">
        <v>850</v>
      </c>
      <c r="CY398">
        <v>5.13</v>
      </c>
      <c r="CZ398">
        <v>5.13</v>
      </c>
      <c r="DA398">
        <v>3.07</v>
      </c>
      <c r="DB398">
        <v>1.1100000000000001</v>
      </c>
      <c r="DC398">
        <v>-0.45</v>
      </c>
      <c r="DD398">
        <v>58.38</v>
      </c>
      <c r="DE398" t="s">
        <v>2649</v>
      </c>
      <c r="DF398">
        <v>23.21</v>
      </c>
      <c r="DG398">
        <v>7.85</v>
      </c>
      <c r="DH398">
        <v>6.82</v>
      </c>
      <c r="DI398">
        <v>1.31</v>
      </c>
      <c r="DJ398">
        <v>8725</v>
      </c>
      <c r="DK398">
        <v>967</v>
      </c>
      <c r="DL398" t="s">
        <v>120</v>
      </c>
      <c r="DM398" t="s">
        <v>120</v>
      </c>
      <c r="DN398" t="s">
        <v>120</v>
      </c>
    </row>
    <row r="399" spans="1:118">
      <c r="A399" t="str">
        <f>"000968"</f>
        <v>000968</v>
      </c>
      <c r="B399" t="s">
        <v>2650</v>
      </c>
      <c r="C399">
        <v>-1.82</v>
      </c>
      <c r="D399">
        <v>0.08</v>
      </c>
      <c r="E399">
        <v>3.18</v>
      </c>
      <c r="F399">
        <v>7547</v>
      </c>
      <c r="G399" t="s">
        <v>2651</v>
      </c>
      <c r="H399">
        <v>67224.7</v>
      </c>
      <c r="I399">
        <v>1779.37</v>
      </c>
      <c r="J399" t="s">
        <v>120</v>
      </c>
      <c r="K399" t="s">
        <v>2652</v>
      </c>
      <c r="L399">
        <v>5.17</v>
      </c>
      <c r="M399">
        <v>12.95</v>
      </c>
      <c r="N399">
        <v>0.89</v>
      </c>
      <c r="O399">
        <v>6.14</v>
      </c>
      <c r="P399">
        <v>14</v>
      </c>
      <c r="Q399">
        <v>-2.12</v>
      </c>
      <c r="R399">
        <v>12.91</v>
      </c>
      <c r="S399">
        <v>13.61</v>
      </c>
      <c r="T399">
        <v>499763</v>
      </c>
      <c r="U399">
        <v>12.96</v>
      </c>
      <c r="V399">
        <v>13.19</v>
      </c>
      <c r="W399">
        <v>37.01</v>
      </c>
      <c r="X399" t="s">
        <v>1081</v>
      </c>
      <c r="Y399" t="s">
        <v>667</v>
      </c>
      <c r="Z399">
        <v>8.26</v>
      </c>
      <c r="AA399">
        <v>13.45</v>
      </c>
      <c r="AB399">
        <v>244259</v>
      </c>
      <c r="AC399">
        <v>255504</v>
      </c>
      <c r="AD399">
        <v>0.96</v>
      </c>
      <c r="AE399">
        <v>99</v>
      </c>
      <c r="AF399">
        <v>1353</v>
      </c>
      <c r="AG399" t="s">
        <v>120</v>
      </c>
      <c r="AH399">
        <v>0.37</v>
      </c>
      <c r="AI399" t="s">
        <v>120</v>
      </c>
      <c r="AJ399">
        <v>9.68</v>
      </c>
      <c r="AK399" t="s">
        <v>2652</v>
      </c>
      <c r="AL399">
        <v>0.09</v>
      </c>
      <c r="AM399">
        <v>4434</v>
      </c>
      <c r="AN399">
        <v>113</v>
      </c>
      <c r="AO399">
        <v>1.1999999999999999E-3</v>
      </c>
      <c r="AP399">
        <v>-1</v>
      </c>
      <c r="AQ399">
        <v>1.46</v>
      </c>
      <c r="AR399">
        <v>-2.71</v>
      </c>
      <c r="AS399">
        <v>95.03</v>
      </c>
      <c r="AT399">
        <v>92.99</v>
      </c>
      <c r="AU399">
        <v>60.67</v>
      </c>
      <c r="AV399">
        <v>6</v>
      </c>
      <c r="AW399">
        <v>14.07</v>
      </c>
      <c r="AX399">
        <v>36.700000000000003</v>
      </c>
      <c r="AY399">
        <v>146.54</v>
      </c>
      <c r="AZ399">
        <v>102.2</v>
      </c>
      <c r="BA399">
        <v>0.69</v>
      </c>
      <c r="BB399" t="s">
        <v>184</v>
      </c>
      <c r="BF399">
        <v>1.98</v>
      </c>
      <c r="BG399">
        <v>-4.8499999999999996</v>
      </c>
      <c r="BH399">
        <v>-7.5</v>
      </c>
      <c r="BI399">
        <v>0.31</v>
      </c>
      <c r="BJ399">
        <v>20210819</v>
      </c>
      <c r="BK399">
        <v>20000622</v>
      </c>
      <c r="BL399">
        <v>9.68</v>
      </c>
      <c r="BM399" t="s">
        <v>120</v>
      </c>
      <c r="BN399" t="s">
        <v>120</v>
      </c>
      <c r="BO399">
        <v>108.55</v>
      </c>
      <c r="BP399">
        <v>12.95</v>
      </c>
      <c r="BQ399">
        <v>45.79</v>
      </c>
      <c r="BR399">
        <v>0.05</v>
      </c>
      <c r="BS399">
        <v>57.77</v>
      </c>
      <c r="BT399">
        <v>38.04</v>
      </c>
      <c r="BU399">
        <v>40.11</v>
      </c>
      <c r="BV399">
        <v>0.68</v>
      </c>
      <c r="BW399">
        <v>33.06</v>
      </c>
      <c r="BX399">
        <v>19.010000000000002</v>
      </c>
      <c r="BY399">
        <v>0.32</v>
      </c>
      <c r="BZ399">
        <v>15.11</v>
      </c>
      <c r="CA399" t="s">
        <v>120</v>
      </c>
      <c r="CB399">
        <v>9.76</v>
      </c>
      <c r="CC399">
        <v>8.83</v>
      </c>
      <c r="CD399">
        <v>5.94</v>
      </c>
      <c r="CE399">
        <v>1.7</v>
      </c>
      <c r="CF399">
        <v>0</v>
      </c>
      <c r="CG399">
        <v>1.7</v>
      </c>
      <c r="CH399">
        <v>1.3</v>
      </c>
      <c r="CI399">
        <v>1.69</v>
      </c>
      <c r="CJ399">
        <v>-0.24</v>
      </c>
      <c r="CK399">
        <v>1.66</v>
      </c>
      <c r="CL399">
        <v>21.93</v>
      </c>
      <c r="CM399">
        <v>0.69</v>
      </c>
      <c r="CN399">
        <v>-0.56000000000000005</v>
      </c>
      <c r="CO399">
        <v>29630</v>
      </c>
      <c r="CP399">
        <v>11984</v>
      </c>
      <c r="CQ399" t="s">
        <v>2653</v>
      </c>
      <c r="CR399">
        <v>-18.25</v>
      </c>
      <c r="CS399">
        <v>24.62</v>
      </c>
      <c r="CT399">
        <v>2.74</v>
      </c>
      <c r="CU399">
        <v>182.17</v>
      </c>
      <c r="CV399">
        <v>14.2</v>
      </c>
      <c r="CW399">
        <v>0.38</v>
      </c>
      <c r="CX399" t="s">
        <v>1193</v>
      </c>
      <c r="CY399">
        <v>4.7300000000000004</v>
      </c>
      <c r="CZ399">
        <v>0</v>
      </c>
      <c r="DA399">
        <v>1.01</v>
      </c>
      <c r="DB399">
        <v>2.27</v>
      </c>
      <c r="DC399">
        <v>7.0000000000000007E-2</v>
      </c>
      <c r="DD399">
        <v>42.18</v>
      </c>
      <c r="DE399" t="s">
        <v>2654</v>
      </c>
      <c r="DF399">
        <v>32.72</v>
      </c>
      <c r="DG399">
        <v>19.239999999999998</v>
      </c>
      <c r="DH399">
        <v>19.18</v>
      </c>
      <c r="DI399">
        <v>0.04</v>
      </c>
      <c r="DJ399">
        <v>2068</v>
      </c>
      <c r="DK399">
        <v>968</v>
      </c>
      <c r="DL399">
        <v>20210913</v>
      </c>
      <c r="DM399">
        <v>13.31</v>
      </c>
      <c r="DN399">
        <v>-2.7</v>
      </c>
    </row>
    <row r="400" spans="1:118">
      <c r="A400" t="str">
        <f>"000969"</f>
        <v>000969</v>
      </c>
      <c r="B400" t="s">
        <v>2655</v>
      </c>
      <c r="C400">
        <v>-6.19</v>
      </c>
      <c r="D400">
        <v>0.1</v>
      </c>
      <c r="E400">
        <v>-0.28999999999999998</v>
      </c>
      <c r="F400">
        <v>3101</v>
      </c>
      <c r="G400" t="s">
        <v>2656</v>
      </c>
      <c r="H400">
        <v>47071.4</v>
      </c>
      <c r="I400">
        <v>40.799999999999997</v>
      </c>
      <c r="J400" t="s">
        <v>120</v>
      </c>
      <c r="K400" t="s">
        <v>2657</v>
      </c>
      <c r="L400">
        <v>4.75</v>
      </c>
      <c r="M400">
        <v>9.5500000000000007</v>
      </c>
      <c r="N400">
        <v>1.32</v>
      </c>
      <c r="O400">
        <v>1.57</v>
      </c>
      <c r="P400">
        <v>10.34</v>
      </c>
      <c r="Q400">
        <v>-6.48</v>
      </c>
      <c r="R400">
        <v>9.52</v>
      </c>
      <c r="S400">
        <v>10.15</v>
      </c>
      <c r="T400">
        <v>475444</v>
      </c>
      <c r="U400">
        <v>9.5500000000000007</v>
      </c>
      <c r="V400">
        <v>10.18</v>
      </c>
      <c r="W400">
        <v>40.39</v>
      </c>
      <c r="X400" t="s">
        <v>1925</v>
      </c>
      <c r="Y400" t="s">
        <v>158</v>
      </c>
      <c r="Z400">
        <v>8.06</v>
      </c>
      <c r="AA400">
        <v>9.9</v>
      </c>
      <c r="AB400">
        <v>238806</v>
      </c>
      <c r="AC400">
        <v>236638</v>
      </c>
      <c r="AD400">
        <v>1.01</v>
      </c>
      <c r="AE400">
        <v>1810</v>
      </c>
      <c r="AF400">
        <v>903</v>
      </c>
      <c r="AG400" t="s">
        <v>120</v>
      </c>
      <c r="AH400">
        <v>0.01</v>
      </c>
      <c r="AI400" t="s">
        <v>120</v>
      </c>
      <c r="AJ400">
        <v>10.01</v>
      </c>
      <c r="AK400" t="s">
        <v>2658</v>
      </c>
      <c r="AL400">
        <v>-4.2699999999999996</v>
      </c>
      <c r="AM400">
        <v>4238</v>
      </c>
      <c r="AN400">
        <v>112</v>
      </c>
      <c r="AO400">
        <v>1.1000000000000001E-3</v>
      </c>
      <c r="AP400">
        <v>-1</v>
      </c>
      <c r="AQ400">
        <v>0.89</v>
      </c>
      <c r="AR400">
        <v>-6.28</v>
      </c>
      <c r="AS400">
        <v>-8.7899999999999991</v>
      </c>
      <c r="AT400">
        <v>13.16</v>
      </c>
      <c r="AU400">
        <v>44.69</v>
      </c>
      <c r="AV400">
        <v>3</v>
      </c>
      <c r="AW400">
        <v>7.47</v>
      </c>
      <c r="AX400">
        <v>62.01</v>
      </c>
      <c r="AY400">
        <v>59.84</v>
      </c>
      <c r="AZ400">
        <v>100.96</v>
      </c>
      <c r="BA400">
        <v>0.76</v>
      </c>
      <c r="BB400" t="s">
        <v>143</v>
      </c>
      <c r="BF400">
        <v>-2.75</v>
      </c>
      <c r="BG400">
        <v>-5.91</v>
      </c>
      <c r="BH400">
        <v>-7.64</v>
      </c>
      <c r="BI400">
        <v>0.32</v>
      </c>
      <c r="BJ400">
        <v>20210913</v>
      </c>
      <c r="BK400">
        <v>20000529</v>
      </c>
      <c r="BL400">
        <v>10.26</v>
      </c>
      <c r="BM400" t="s">
        <v>120</v>
      </c>
      <c r="BN400" t="s">
        <v>120</v>
      </c>
      <c r="BO400">
        <v>94.92</v>
      </c>
      <c r="BP400">
        <v>9.5399999999999991</v>
      </c>
      <c r="BQ400">
        <v>47.03</v>
      </c>
      <c r="BR400">
        <v>10.73</v>
      </c>
      <c r="BS400">
        <v>39.14</v>
      </c>
      <c r="BT400">
        <v>50.57</v>
      </c>
      <c r="BU400">
        <v>28.96</v>
      </c>
      <c r="BV400">
        <v>4.16</v>
      </c>
      <c r="BW400">
        <v>31.03</v>
      </c>
      <c r="BX400">
        <v>12.38</v>
      </c>
      <c r="BY400">
        <v>17.829999999999998</v>
      </c>
      <c r="BZ400">
        <v>12.4</v>
      </c>
      <c r="CA400" t="s">
        <v>120</v>
      </c>
      <c r="CB400">
        <v>27.74</v>
      </c>
      <c r="CC400">
        <v>31</v>
      </c>
      <c r="CD400">
        <v>25.15</v>
      </c>
      <c r="CE400">
        <v>1.95</v>
      </c>
      <c r="CF400">
        <v>0.01</v>
      </c>
      <c r="CG400">
        <v>1.94</v>
      </c>
      <c r="CH400">
        <v>1.72</v>
      </c>
      <c r="CI400">
        <v>1.21</v>
      </c>
      <c r="CJ400">
        <v>-0.63</v>
      </c>
      <c r="CK400">
        <v>1.1299999999999999</v>
      </c>
      <c r="CL400">
        <v>5.78</v>
      </c>
      <c r="CM400">
        <v>-0.93</v>
      </c>
      <c r="CN400">
        <v>-3.89</v>
      </c>
      <c r="CO400">
        <v>79848</v>
      </c>
      <c r="CP400">
        <v>7968</v>
      </c>
      <c r="CQ400" t="s">
        <v>2108</v>
      </c>
      <c r="CR400">
        <v>141.63</v>
      </c>
      <c r="CS400">
        <v>31.61</v>
      </c>
      <c r="CT400">
        <v>2.08</v>
      </c>
      <c r="CU400">
        <v>-105.46</v>
      </c>
      <c r="CV400">
        <v>3.16</v>
      </c>
      <c r="CW400">
        <v>0.2</v>
      </c>
      <c r="CX400" t="s">
        <v>2659</v>
      </c>
      <c r="CY400">
        <v>4.58</v>
      </c>
      <c r="CZ400">
        <v>0</v>
      </c>
      <c r="DA400">
        <v>2.7</v>
      </c>
      <c r="DB400">
        <v>0.56000000000000005</v>
      </c>
      <c r="DC400">
        <v>-0.09</v>
      </c>
      <c r="DD400">
        <v>49.55</v>
      </c>
      <c r="DE400" t="s">
        <v>2660</v>
      </c>
      <c r="DF400">
        <v>18.87</v>
      </c>
      <c r="DG400">
        <v>6.28</v>
      </c>
      <c r="DH400">
        <v>3.91</v>
      </c>
      <c r="DI400">
        <v>1.54</v>
      </c>
      <c r="DJ400">
        <v>5715</v>
      </c>
      <c r="DK400">
        <v>969</v>
      </c>
      <c r="DL400" t="s">
        <v>120</v>
      </c>
      <c r="DM400" t="s">
        <v>120</v>
      </c>
      <c r="DN400" t="s">
        <v>120</v>
      </c>
    </row>
    <row r="401" spans="1:118">
      <c r="A401" t="str">
        <f>"000970"</f>
        <v>000970</v>
      </c>
      <c r="B401" t="s">
        <v>2661</v>
      </c>
      <c r="C401">
        <v>-6.55</v>
      </c>
      <c r="D401">
        <v>-0.22</v>
      </c>
      <c r="E401">
        <v>1.97</v>
      </c>
      <c r="F401">
        <v>10021</v>
      </c>
      <c r="G401" t="s">
        <v>2662</v>
      </c>
      <c r="H401">
        <v>125757.41</v>
      </c>
      <c r="I401">
        <v>1576.96</v>
      </c>
      <c r="J401" t="s">
        <v>120</v>
      </c>
      <c r="K401" t="s">
        <v>2663</v>
      </c>
      <c r="L401">
        <v>8.9</v>
      </c>
      <c r="M401">
        <v>12.83</v>
      </c>
      <c r="N401">
        <v>1.05</v>
      </c>
      <c r="O401">
        <v>2.77</v>
      </c>
      <c r="P401">
        <v>14.11</v>
      </c>
      <c r="Q401">
        <v>-6.77</v>
      </c>
      <c r="R401">
        <v>12.8</v>
      </c>
      <c r="S401">
        <v>14</v>
      </c>
      <c r="T401">
        <v>947559</v>
      </c>
      <c r="U401">
        <v>12.83</v>
      </c>
      <c r="V401">
        <v>13.73</v>
      </c>
      <c r="W401">
        <v>59.2</v>
      </c>
      <c r="X401" t="s">
        <v>229</v>
      </c>
      <c r="Y401" t="s">
        <v>158</v>
      </c>
      <c r="Z401">
        <v>9.5399999999999991</v>
      </c>
      <c r="AA401">
        <v>13.27</v>
      </c>
      <c r="AB401">
        <v>564917</v>
      </c>
      <c r="AC401">
        <v>382641</v>
      </c>
      <c r="AD401">
        <v>1.48</v>
      </c>
      <c r="AE401">
        <v>440</v>
      </c>
      <c r="AF401">
        <v>644</v>
      </c>
      <c r="AG401" t="s">
        <v>120</v>
      </c>
      <c r="AH401">
        <v>0.14000000000000001</v>
      </c>
      <c r="AI401" t="s">
        <v>120</v>
      </c>
      <c r="AJ401">
        <v>10.65</v>
      </c>
      <c r="AK401" t="s">
        <v>2663</v>
      </c>
      <c r="AL401">
        <v>-4.6399999999999997</v>
      </c>
      <c r="AM401">
        <v>4678</v>
      </c>
      <c r="AN401">
        <v>203</v>
      </c>
      <c r="AO401">
        <v>1.9E-3</v>
      </c>
      <c r="AP401">
        <v>-2</v>
      </c>
      <c r="AQ401">
        <v>-1.01</v>
      </c>
      <c r="AR401">
        <v>1.74</v>
      </c>
      <c r="AS401">
        <v>8.64</v>
      </c>
      <c r="AT401">
        <v>34.770000000000003</v>
      </c>
      <c r="AU401">
        <v>36.49</v>
      </c>
      <c r="AV401">
        <v>3</v>
      </c>
      <c r="AW401">
        <v>11.72</v>
      </c>
      <c r="AX401">
        <v>75.89</v>
      </c>
      <c r="AY401">
        <v>66.59</v>
      </c>
      <c r="AZ401">
        <v>113.09</v>
      </c>
      <c r="BA401">
        <v>0.5</v>
      </c>
      <c r="BB401" t="s">
        <v>143</v>
      </c>
      <c r="BF401">
        <v>-3.34</v>
      </c>
      <c r="BG401">
        <v>-8.36</v>
      </c>
      <c r="BH401">
        <v>-9.07</v>
      </c>
      <c r="BI401">
        <v>0.23</v>
      </c>
      <c r="BJ401">
        <v>20210913</v>
      </c>
      <c r="BK401">
        <v>20000420</v>
      </c>
      <c r="BL401">
        <v>10.65</v>
      </c>
      <c r="BM401" t="s">
        <v>120</v>
      </c>
      <c r="BN401" t="s">
        <v>120</v>
      </c>
      <c r="BO401">
        <v>79.94</v>
      </c>
      <c r="BP401">
        <v>12.82</v>
      </c>
      <c r="BQ401">
        <v>47.02</v>
      </c>
      <c r="BR401">
        <v>8.68</v>
      </c>
      <c r="BS401">
        <v>30.32</v>
      </c>
      <c r="BT401">
        <v>59.8</v>
      </c>
      <c r="BU401">
        <v>10.61</v>
      </c>
      <c r="BV401">
        <v>1.44</v>
      </c>
      <c r="BW401">
        <v>22.67</v>
      </c>
      <c r="BX401">
        <v>18.37</v>
      </c>
      <c r="BY401">
        <v>21.84</v>
      </c>
      <c r="BZ401">
        <v>17.760000000000002</v>
      </c>
      <c r="CA401" t="s">
        <v>120</v>
      </c>
      <c r="CB401">
        <v>4.32</v>
      </c>
      <c r="CC401">
        <v>27.93</v>
      </c>
      <c r="CD401">
        <v>23.65</v>
      </c>
      <c r="CE401">
        <v>1.72</v>
      </c>
      <c r="CF401">
        <v>-7.0000000000000007E-2</v>
      </c>
      <c r="CG401">
        <v>1.86</v>
      </c>
      <c r="CH401">
        <v>1.41</v>
      </c>
      <c r="CI401">
        <v>1.1499999999999999</v>
      </c>
      <c r="CJ401">
        <v>-0.9</v>
      </c>
      <c r="CK401">
        <v>0.93</v>
      </c>
      <c r="CL401">
        <v>29.3</v>
      </c>
      <c r="CM401">
        <v>-0.28999999999999998</v>
      </c>
      <c r="CN401">
        <v>1.07</v>
      </c>
      <c r="CO401">
        <v>95217</v>
      </c>
      <c r="CP401">
        <v>8490</v>
      </c>
      <c r="CQ401" t="s">
        <v>2664</v>
      </c>
      <c r="CR401">
        <v>359.26</v>
      </c>
      <c r="CS401">
        <v>68.180000000000007</v>
      </c>
      <c r="CT401">
        <v>2.91</v>
      </c>
      <c r="CU401">
        <v>-477.64</v>
      </c>
      <c r="CV401">
        <v>4.8899999999999997</v>
      </c>
      <c r="CW401">
        <v>0.36</v>
      </c>
      <c r="CX401" t="s">
        <v>1973</v>
      </c>
      <c r="CY401">
        <v>4.41</v>
      </c>
      <c r="CZ401">
        <v>0</v>
      </c>
      <c r="DA401">
        <v>0.41</v>
      </c>
      <c r="DB401">
        <v>2.75</v>
      </c>
      <c r="DC401">
        <v>-0.03</v>
      </c>
      <c r="DD401">
        <v>58.83</v>
      </c>
      <c r="DE401" t="s">
        <v>2665</v>
      </c>
      <c r="DF401">
        <v>15.34</v>
      </c>
      <c r="DG401">
        <v>6.14</v>
      </c>
      <c r="DH401">
        <v>4.13</v>
      </c>
      <c r="DI401">
        <v>0.56000000000000005</v>
      </c>
      <c r="DJ401">
        <v>5338</v>
      </c>
      <c r="DK401">
        <v>970</v>
      </c>
      <c r="DL401">
        <v>20210914</v>
      </c>
      <c r="DM401">
        <v>13.87</v>
      </c>
      <c r="DN401">
        <v>-7.5</v>
      </c>
    </row>
    <row r="402" spans="1:118">
      <c r="A402" t="str">
        <f>"000973"</f>
        <v>000973</v>
      </c>
      <c r="B402" t="s">
        <v>2666</v>
      </c>
      <c r="C402">
        <v>-3.46</v>
      </c>
      <c r="D402">
        <v>0</v>
      </c>
      <c r="E402">
        <v>0.35</v>
      </c>
      <c r="F402">
        <v>3756</v>
      </c>
      <c r="G402" t="s">
        <v>2667</v>
      </c>
      <c r="H402">
        <v>30634.87</v>
      </c>
      <c r="I402">
        <v>504.46</v>
      </c>
      <c r="J402" t="s">
        <v>120</v>
      </c>
      <c r="K402" t="s">
        <v>2668</v>
      </c>
      <c r="L402">
        <v>5.57</v>
      </c>
      <c r="M402">
        <v>5.58</v>
      </c>
      <c r="N402">
        <v>1.03</v>
      </c>
      <c r="O402">
        <v>1.21</v>
      </c>
      <c r="P402">
        <v>5.85</v>
      </c>
      <c r="Q402">
        <v>-3.98</v>
      </c>
      <c r="R402">
        <v>5.55</v>
      </c>
      <c r="S402">
        <v>5.8</v>
      </c>
      <c r="T402">
        <v>538646</v>
      </c>
      <c r="U402">
        <v>5.58</v>
      </c>
      <c r="V402">
        <v>5.78</v>
      </c>
      <c r="W402">
        <v>40.51</v>
      </c>
      <c r="X402" t="s">
        <v>2211</v>
      </c>
      <c r="Y402" t="s">
        <v>547</v>
      </c>
      <c r="Z402">
        <v>5.19</v>
      </c>
      <c r="AA402">
        <v>5.69</v>
      </c>
      <c r="AB402">
        <v>313300</v>
      </c>
      <c r="AC402">
        <v>225346</v>
      </c>
      <c r="AD402">
        <v>1.39</v>
      </c>
      <c r="AE402">
        <v>981</v>
      </c>
      <c r="AF402">
        <v>64</v>
      </c>
      <c r="AG402" t="s">
        <v>120</v>
      </c>
      <c r="AH402">
        <v>0.12</v>
      </c>
      <c r="AI402" t="s">
        <v>120</v>
      </c>
      <c r="AJ402">
        <v>9.67</v>
      </c>
      <c r="AK402" t="s">
        <v>2668</v>
      </c>
      <c r="AL402">
        <v>-1.55</v>
      </c>
      <c r="AM402">
        <v>3889</v>
      </c>
      <c r="AN402">
        <v>139</v>
      </c>
      <c r="AO402">
        <v>1.4E-3</v>
      </c>
      <c r="AP402">
        <v>-1</v>
      </c>
      <c r="AQ402">
        <v>4.1399999999999997</v>
      </c>
      <c r="AR402">
        <v>-3.64</v>
      </c>
      <c r="AS402">
        <v>14.11</v>
      </c>
      <c r="AT402">
        <v>31.6</v>
      </c>
      <c r="AU402">
        <v>20.78</v>
      </c>
      <c r="AV402">
        <v>1</v>
      </c>
      <c r="AW402">
        <v>7.6</v>
      </c>
      <c r="AX402">
        <v>73.25</v>
      </c>
      <c r="AY402">
        <v>52.14</v>
      </c>
      <c r="AZ402">
        <v>79.14</v>
      </c>
      <c r="BA402">
        <v>0.62</v>
      </c>
      <c r="BB402" t="s">
        <v>700</v>
      </c>
      <c r="BF402">
        <v>-1.6</v>
      </c>
      <c r="BG402">
        <v>-3.79</v>
      </c>
      <c r="BH402">
        <v>-4.62</v>
      </c>
      <c r="BI402">
        <v>0.54</v>
      </c>
      <c r="BJ402">
        <v>20210907</v>
      </c>
      <c r="BK402">
        <v>20000525</v>
      </c>
      <c r="BL402">
        <v>9.67</v>
      </c>
      <c r="BM402" t="s">
        <v>120</v>
      </c>
      <c r="BN402" t="s">
        <v>120</v>
      </c>
      <c r="BO402">
        <v>39.28</v>
      </c>
      <c r="BP402">
        <v>5.57</v>
      </c>
      <c r="BQ402">
        <v>24.28</v>
      </c>
      <c r="BR402">
        <v>2.99</v>
      </c>
      <c r="BS402">
        <v>30.59</v>
      </c>
      <c r="BT402">
        <v>14.28</v>
      </c>
      <c r="BU402">
        <v>12.69</v>
      </c>
      <c r="BV402">
        <v>2.2400000000000002</v>
      </c>
      <c r="BW402">
        <v>6.78</v>
      </c>
      <c r="BX402">
        <v>3.6</v>
      </c>
      <c r="BY402">
        <v>4.6500000000000004</v>
      </c>
      <c r="BZ402">
        <v>2.52</v>
      </c>
      <c r="CA402" t="s">
        <v>120</v>
      </c>
      <c r="CB402">
        <v>3.26</v>
      </c>
      <c r="CC402">
        <v>11.76</v>
      </c>
      <c r="CD402">
        <v>9.0299999999999994</v>
      </c>
      <c r="CE402">
        <v>0.87</v>
      </c>
      <c r="CF402">
        <v>0.19</v>
      </c>
      <c r="CG402">
        <v>0.87</v>
      </c>
      <c r="CH402">
        <v>0.79</v>
      </c>
      <c r="CI402">
        <v>0.67</v>
      </c>
      <c r="CJ402">
        <v>-0.2</v>
      </c>
      <c r="CK402">
        <v>0.6</v>
      </c>
      <c r="CL402">
        <v>9.0299999999999994</v>
      </c>
      <c r="CM402">
        <v>1.02</v>
      </c>
      <c r="CN402">
        <v>-0.55000000000000004</v>
      </c>
      <c r="CO402">
        <v>75713</v>
      </c>
      <c r="CP402">
        <v>9359</v>
      </c>
      <c r="CQ402" t="s">
        <v>701</v>
      </c>
      <c r="CR402">
        <v>121.83</v>
      </c>
      <c r="CS402">
        <v>14.42</v>
      </c>
      <c r="CT402">
        <v>2.2200000000000002</v>
      </c>
      <c r="CU402">
        <v>52.86</v>
      </c>
      <c r="CV402">
        <v>4.59</v>
      </c>
      <c r="CW402">
        <v>0.52</v>
      </c>
      <c r="CX402" t="s">
        <v>2669</v>
      </c>
      <c r="CY402">
        <v>2.5099999999999998</v>
      </c>
      <c r="CZ402">
        <v>0</v>
      </c>
      <c r="DA402">
        <v>0.34</v>
      </c>
      <c r="DB402">
        <v>0.93</v>
      </c>
      <c r="DC402">
        <v>0.11</v>
      </c>
      <c r="DD402">
        <v>61.81</v>
      </c>
      <c r="DE402" t="s">
        <v>746</v>
      </c>
      <c r="DF402">
        <v>23.22</v>
      </c>
      <c r="DG402">
        <v>7.38</v>
      </c>
      <c r="DH402">
        <v>5.66</v>
      </c>
      <c r="DI402">
        <v>0.57999999999999996</v>
      </c>
      <c r="DJ402">
        <v>3302</v>
      </c>
      <c r="DK402">
        <v>973</v>
      </c>
      <c r="DL402" t="s">
        <v>120</v>
      </c>
      <c r="DM402" t="s">
        <v>120</v>
      </c>
      <c r="DN402" t="s">
        <v>120</v>
      </c>
    </row>
    <row r="403" spans="1:118">
      <c r="A403" t="str">
        <f>"000975"</f>
        <v>000975</v>
      </c>
      <c r="B403" t="s">
        <v>2670</v>
      </c>
      <c r="C403">
        <v>-2.69</v>
      </c>
      <c r="D403">
        <v>-0.19</v>
      </c>
      <c r="E403">
        <v>-0.3</v>
      </c>
      <c r="F403">
        <v>5385</v>
      </c>
      <c r="G403" t="s">
        <v>2671</v>
      </c>
      <c r="H403">
        <v>46208.87</v>
      </c>
      <c r="I403">
        <v>525.27</v>
      </c>
      <c r="J403" t="s">
        <v>120</v>
      </c>
      <c r="K403" t="s">
        <v>2672</v>
      </c>
      <c r="L403">
        <v>1.9</v>
      </c>
      <c r="M403">
        <v>9.75</v>
      </c>
      <c r="N403">
        <v>0.64</v>
      </c>
      <c r="O403">
        <v>1.7</v>
      </c>
      <c r="P403">
        <v>10.19</v>
      </c>
      <c r="Q403">
        <v>-2.89</v>
      </c>
      <c r="R403">
        <v>9.73</v>
      </c>
      <c r="S403">
        <v>9.99</v>
      </c>
      <c r="T403">
        <v>466208</v>
      </c>
      <c r="U403">
        <v>9.75</v>
      </c>
      <c r="V403">
        <v>10.02</v>
      </c>
      <c r="W403">
        <v>20.329999999999998</v>
      </c>
      <c r="X403" t="s">
        <v>855</v>
      </c>
      <c r="Y403" t="s">
        <v>785</v>
      </c>
      <c r="Z403">
        <v>4.59</v>
      </c>
      <c r="AA403">
        <v>9.91</v>
      </c>
      <c r="AB403">
        <v>262622</v>
      </c>
      <c r="AC403">
        <v>203586</v>
      </c>
      <c r="AD403">
        <v>1.29</v>
      </c>
      <c r="AE403">
        <v>403</v>
      </c>
      <c r="AF403">
        <v>56</v>
      </c>
      <c r="AG403" t="s">
        <v>120</v>
      </c>
      <c r="AH403">
        <v>0.03</v>
      </c>
      <c r="AI403" t="s">
        <v>120</v>
      </c>
      <c r="AJ403">
        <v>24.48</v>
      </c>
      <c r="AK403" t="s">
        <v>2673</v>
      </c>
      <c r="AL403">
        <v>-0.78</v>
      </c>
      <c r="AM403">
        <v>4142</v>
      </c>
      <c r="AN403">
        <v>113</v>
      </c>
      <c r="AO403">
        <v>5.0000000000000001E-4</v>
      </c>
      <c r="AP403">
        <v>-1</v>
      </c>
      <c r="AQ403">
        <v>2.66</v>
      </c>
      <c r="AR403">
        <v>-4.13</v>
      </c>
      <c r="AS403">
        <v>9.19</v>
      </c>
      <c r="AT403">
        <v>-1.81</v>
      </c>
      <c r="AU403">
        <v>16.63</v>
      </c>
      <c r="AV403">
        <v>3</v>
      </c>
      <c r="AW403">
        <v>2.98</v>
      </c>
      <c r="AX403">
        <v>56.42</v>
      </c>
      <c r="AY403">
        <v>21.43</v>
      </c>
      <c r="AZ403">
        <v>22.39</v>
      </c>
      <c r="BA403">
        <v>0.19</v>
      </c>
      <c r="BB403" t="s">
        <v>143</v>
      </c>
      <c r="BF403">
        <v>-1.08</v>
      </c>
      <c r="BG403">
        <v>-2.4</v>
      </c>
      <c r="BH403">
        <v>-4.32</v>
      </c>
      <c r="BI403">
        <v>0.21</v>
      </c>
      <c r="BJ403">
        <v>20210914</v>
      </c>
      <c r="BK403">
        <v>20000608</v>
      </c>
      <c r="BL403">
        <v>27.77</v>
      </c>
      <c r="BM403" t="s">
        <v>120</v>
      </c>
      <c r="BN403" t="s">
        <v>120</v>
      </c>
      <c r="BO403">
        <v>134.28</v>
      </c>
      <c r="BP403">
        <v>9.74</v>
      </c>
      <c r="BQ403">
        <v>98.68</v>
      </c>
      <c r="BR403">
        <v>11.82</v>
      </c>
      <c r="BS403">
        <v>17.7</v>
      </c>
      <c r="BT403">
        <v>43.95</v>
      </c>
      <c r="BU403">
        <v>26.61</v>
      </c>
      <c r="BV403">
        <v>53.34</v>
      </c>
      <c r="BW403">
        <v>15.91</v>
      </c>
      <c r="BX403">
        <v>20.11</v>
      </c>
      <c r="BY403">
        <v>9.31</v>
      </c>
      <c r="BZ403">
        <v>0.27</v>
      </c>
      <c r="CA403">
        <v>0.02</v>
      </c>
      <c r="CB403">
        <v>44.31</v>
      </c>
      <c r="CC403">
        <v>34.869999999999997</v>
      </c>
      <c r="CD403">
        <v>23.44</v>
      </c>
      <c r="CE403">
        <v>9.6999999999999993</v>
      </c>
      <c r="CF403">
        <v>0.46</v>
      </c>
      <c r="CG403">
        <v>9.66</v>
      </c>
      <c r="CH403">
        <v>7.4</v>
      </c>
      <c r="CI403">
        <v>6.66</v>
      </c>
      <c r="CJ403">
        <v>-0.27</v>
      </c>
      <c r="CK403">
        <v>6.33</v>
      </c>
      <c r="CL403">
        <v>22.16</v>
      </c>
      <c r="CM403">
        <v>7.73</v>
      </c>
      <c r="CN403">
        <v>14.7</v>
      </c>
      <c r="CO403">
        <v>59271</v>
      </c>
      <c r="CP403">
        <v>26432</v>
      </c>
      <c r="CQ403" t="s">
        <v>2674</v>
      </c>
      <c r="CR403">
        <v>9.16</v>
      </c>
      <c r="CS403">
        <v>-8.2799999999999994</v>
      </c>
      <c r="CT403">
        <v>2.74</v>
      </c>
      <c r="CU403">
        <v>35.03</v>
      </c>
      <c r="CV403">
        <v>7.76</v>
      </c>
      <c r="CW403">
        <v>2.5</v>
      </c>
      <c r="CX403" t="s">
        <v>626</v>
      </c>
      <c r="CY403">
        <v>3.55</v>
      </c>
      <c r="CZ403">
        <v>0</v>
      </c>
      <c r="DA403">
        <v>1.6</v>
      </c>
      <c r="DB403">
        <v>0.8</v>
      </c>
      <c r="DC403">
        <v>0.28000000000000003</v>
      </c>
      <c r="DD403">
        <v>73.489999999999995</v>
      </c>
      <c r="DE403" t="s">
        <v>687</v>
      </c>
      <c r="DF403">
        <v>32.78</v>
      </c>
      <c r="DG403">
        <v>27.8</v>
      </c>
      <c r="DH403">
        <v>19.100000000000001</v>
      </c>
      <c r="DI403" t="s">
        <v>120</v>
      </c>
      <c r="DJ403">
        <v>1566</v>
      </c>
      <c r="DK403">
        <v>975</v>
      </c>
      <c r="DL403" t="s">
        <v>120</v>
      </c>
      <c r="DM403" t="s">
        <v>120</v>
      </c>
      <c r="DN403" t="s">
        <v>120</v>
      </c>
    </row>
    <row r="404" spans="1:118">
      <c r="A404" t="str">
        <f>"000976"</f>
        <v>000976</v>
      </c>
      <c r="B404" t="s">
        <v>2675</v>
      </c>
      <c r="C404">
        <v>-1.07</v>
      </c>
      <c r="D404">
        <v>0</v>
      </c>
      <c r="E404">
        <v>0.36</v>
      </c>
      <c r="F404">
        <v>569</v>
      </c>
      <c r="G404" t="s">
        <v>2676</v>
      </c>
      <c r="H404">
        <v>12295.76</v>
      </c>
      <c r="I404">
        <v>23.08</v>
      </c>
      <c r="J404" t="s">
        <v>120</v>
      </c>
      <c r="K404" t="s">
        <v>2677</v>
      </c>
      <c r="L404">
        <v>1.37</v>
      </c>
      <c r="M404">
        <v>5.55</v>
      </c>
      <c r="N404">
        <v>1.29</v>
      </c>
      <c r="O404">
        <v>2.3199999999999998</v>
      </c>
      <c r="P404">
        <v>5.74</v>
      </c>
      <c r="Q404">
        <v>-1.43</v>
      </c>
      <c r="R404">
        <v>5.53</v>
      </c>
      <c r="S404">
        <v>5.63</v>
      </c>
      <c r="T404">
        <v>217793</v>
      </c>
      <c r="U404">
        <v>5.55</v>
      </c>
      <c r="V404">
        <v>5.61</v>
      </c>
      <c r="W404">
        <v>18.899999999999999</v>
      </c>
      <c r="X404" t="s">
        <v>157</v>
      </c>
      <c r="Y404" t="s">
        <v>547</v>
      </c>
      <c r="Z404">
        <v>3.74</v>
      </c>
      <c r="AA404">
        <v>5.65</v>
      </c>
      <c r="AB404">
        <v>103232</v>
      </c>
      <c r="AC404">
        <v>114561</v>
      </c>
      <c r="AD404">
        <v>0.9</v>
      </c>
      <c r="AE404">
        <v>268</v>
      </c>
      <c r="AF404">
        <v>722</v>
      </c>
      <c r="AG404" t="s">
        <v>120</v>
      </c>
      <c r="AH404">
        <v>0</v>
      </c>
      <c r="AI404" t="s">
        <v>120</v>
      </c>
      <c r="AJ404">
        <v>15.95</v>
      </c>
      <c r="AK404" t="s">
        <v>2678</v>
      </c>
      <c r="AL404">
        <v>0.84</v>
      </c>
      <c r="AM404">
        <v>2530</v>
      </c>
      <c r="AN404">
        <v>86</v>
      </c>
      <c r="AO404">
        <v>5.0000000000000001E-4</v>
      </c>
      <c r="AP404">
        <v>-4</v>
      </c>
      <c r="AQ404">
        <v>-0.18</v>
      </c>
      <c r="AR404">
        <v>-3.65</v>
      </c>
      <c r="AS404">
        <v>3.35</v>
      </c>
      <c r="AT404">
        <v>-1.92</v>
      </c>
      <c r="AU404">
        <v>5.34</v>
      </c>
      <c r="AV404">
        <v>1</v>
      </c>
      <c r="AW404">
        <v>1.95</v>
      </c>
      <c r="AX404">
        <v>69.95</v>
      </c>
      <c r="AY404">
        <v>17.54</v>
      </c>
      <c r="AZ404">
        <v>19.98</v>
      </c>
      <c r="BA404">
        <v>0.6</v>
      </c>
      <c r="BB404" t="s">
        <v>143</v>
      </c>
      <c r="BF404">
        <v>0.64</v>
      </c>
      <c r="BG404">
        <v>-1.42</v>
      </c>
      <c r="BH404">
        <v>-3.31</v>
      </c>
      <c r="BI404">
        <v>0.36</v>
      </c>
      <c r="BJ404">
        <v>20210901</v>
      </c>
      <c r="BK404">
        <v>20000601</v>
      </c>
      <c r="BL404">
        <v>15.96</v>
      </c>
      <c r="BM404" t="s">
        <v>120</v>
      </c>
      <c r="BN404" t="s">
        <v>120</v>
      </c>
      <c r="BO404">
        <v>74.489999999999995</v>
      </c>
      <c r="BP404">
        <v>5.54</v>
      </c>
      <c r="BQ404">
        <v>50.91</v>
      </c>
      <c r="BR404">
        <v>3.03</v>
      </c>
      <c r="BS404">
        <v>27.58</v>
      </c>
      <c r="BT404">
        <v>36.18</v>
      </c>
      <c r="BU404">
        <v>1.9</v>
      </c>
      <c r="BV404">
        <v>1.01</v>
      </c>
      <c r="BW404">
        <v>9.8000000000000007</v>
      </c>
      <c r="BX404">
        <v>7.12</v>
      </c>
      <c r="BY404">
        <v>4.79</v>
      </c>
      <c r="BZ404">
        <v>13.62</v>
      </c>
      <c r="CA404" t="s">
        <v>120</v>
      </c>
      <c r="CB404">
        <v>27.07</v>
      </c>
      <c r="CC404">
        <v>11.34</v>
      </c>
      <c r="CD404">
        <v>6.76</v>
      </c>
      <c r="CE404">
        <v>3.05</v>
      </c>
      <c r="CF404">
        <v>0</v>
      </c>
      <c r="CG404">
        <v>3.05</v>
      </c>
      <c r="CH404">
        <v>2.74</v>
      </c>
      <c r="CI404">
        <v>2.34</v>
      </c>
      <c r="CJ404">
        <v>-0.06</v>
      </c>
      <c r="CK404">
        <v>2.2999999999999998</v>
      </c>
      <c r="CL404">
        <v>8.1199999999999992</v>
      </c>
      <c r="CM404">
        <v>-1.28</v>
      </c>
      <c r="CN404">
        <v>-2.74</v>
      </c>
      <c r="CO404">
        <v>35781</v>
      </c>
      <c r="CP404">
        <v>31195</v>
      </c>
      <c r="CQ404" t="s">
        <v>2679</v>
      </c>
      <c r="CR404">
        <v>36.369999999999997</v>
      </c>
      <c r="CS404">
        <v>35.950000000000003</v>
      </c>
      <c r="CT404">
        <v>1.74</v>
      </c>
      <c r="CU404">
        <v>-69.45</v>
      </c>
      <c r="CV404">
        <v>7.81</v>
      </c>
      <c r="CW404">
        <v>0.56000000000000005</v>
      </c>
      <c r="CX404" t="s">
        <v>373</v>
      </c>
      <c r="CY404">
        <v>3.19</v>
      </c>
      <c r="CZ404">
        <v>0</v>
      </c>
      <c r="DA404">
        <v>1.7</v>
      </c>
      <c r="DB404">
        <v>0.51</v>
      </c>
      <c r="DC404">
        <v>-0.08</v>
      </c>
      <c r="DD404">
        <v>68.349999999999994</v>
      </c>
      <c r="DE404" t="s">
        <v>2680</v>
      </c>
      <c r="DF404">
        <v>40.369999999999997</v>
      </c>
      <c r="DG404">
        <v>26.91</v>
      </c>
      <c r="DH404">
        <v>20.66</v>
      </c>
      <c r="DI404">
        <v>0.43</v>
      </c>
      <c r="DJ404">
        <v>876</v>
      </c>
      <c r="DK404">
        <v>976</v>
      </c>
      <c r="DL404" t="s">
        <v>120</v>
      </c>
      <c r="DM404" t="s">
        <v>120</v>
      </c>
      <c r="DN404" t="s">
        <v>120</v>
      </c>
    </row>
    <row r="405" spans="1:118">
      <c r="A405" t="str">
        <f>"000977"</f>
        <v>000977</v>
      </c>
      <c r="B405" t="s">
        <v>2681</v>
      </c>
      <c r="C405">
        <v>-2.0099999999999998</v>
      </c>
      <c r="D405">
        <v>-0.3</v>
      </c>
      <c r="E405">
        <v>-0.27</v>
      </c>
      <c r="F405">
        <v>4761</v>
      </c>
      <c r="G405" t="s">
        <v>2682</v>
      </c>
      <c r="H405">
        <v>54876.26</v>
      </c>
      <c r="I405">
        <v>95.7</v>
      </c>
      <c r="J405" t="s">
        <v>120</v>
      </c>
      <c r="K405" t="s">
        <v>2683</v>
      </c>
      <c r="L405">
        <v>1.28</v>
      </c>
      <c r="M405">
        <v>29.2</v>
      </c>
      <c r="N405">
        <v>0.67</v>
      </c>
      <c r="O405">
        <v>0.37</v>
      </c>
      <c r="P405">
        <v>29.91</v>
      </c>
      <c r="Q405">
        <v>-2.0099999999999998</v>
      </c>
      <c r="R405">
        <v>29.2</v>
      </c>
      <c r="S405">
        <v>29.72</v>
      </c>
      <c r="T405">
        <v>185756</v>
      </c>
      <c r="U405">
        <v>29.23</v>
      </c>
      <c r="V405">
        <v>29.8</v>
      </c>
      <c r="W405">
        <v>26.43</v>
      </c>
      <c r="X405" t="s">
        <v>238</v>
      </c>
      <c r="Y405" t="s">
        <v>638</v>
      </c>
      <c r="Z405">
        <v>2.38</v>
      </c>
      <c r="AA405">
        <v>29.54</v>
      </c>
      <c r="AB405">
        <v>101991</v>
      </c>
      <c r="AC405">
        <v>83765</v>
      </c>
      <c r="AD405">
        <v>1.22</v>
      </c>
      <c r="AE405">
        <v>1122</v>
      </c>
      <c r="AF405">
        <v>15</v>
      </c>
      <c r="AG405" t="s">
        <v>120</v>
      </c>
      <c r="AH405">
        <v>0</v>
      </c>
      <c r="AI405" t="s">
        <v>120</v>
      </c>
      <c r="AJ405">
        <v>14.53</v>
      </c>
      <c r="AK405" t="s">
        <v>2684</v>
      </c>
      <c r="AL405">
        <v>-0.1</v>
      </c>
      <c r="AM405">
        <v>4210</v>
      </c>
      <c r="AN405">
        <v>44</v>
      </c>
      <c r="AO405">
        <v>2.9999999999999997E-4</v>
      </c>
      <c r="AP405">
        <v>-1</v>
      </c>
      <c r="AQ405">
        <v>0.24</v>
      </c>
      <c r="AR405">
        <v>-2.89</v>
      </c>
      <c r="AS405">
        <v>-3.5</v>
      </c>
      <c r="AT405">
        <v>3.51</v>
      </c>
      <c r="AU405">
        <v>9.08</v>
      </c>
      <c r="AV405">
        <v>4</v>
      </c>
      <c r="AW405">
        <v>2.0099999999999998</v>
      </c>
      <c r="AX405">
        <v>63.43</v>
      </c>
      <c r="AY405">
        <v>23.24</v>
      </c>
      <c r="AZ405">
        <v>29.54</v>
      </c>
      <c r="BA405">
        <v>0.67</v>
      </c>
      <c r="BB405" t="s">
        <v>143</v>
      </c>
      <c r="BF405">
        <v>-0.87</v>
      </c>
      <c r="BG405">
        <v>-1.75</v>
      </c>
      <c r="BH405">
        <v>-2.37</v>
      </c>
      <c r="BI405">
        <v>0</v>
      </c>
      <c r="BJ405">
        <v>20210913</v>
      </c>
      <c r="BK405">
        <v>20000608</v>
      </c>
      <c r="BL405">
        <v>14.54</v>
      </c>
      <c r="BM405" t="s">
        <v>120</v>
      </c>
      <c r="BN405" t="s">
        <v>120</v>
      </c>
      <c r="BO405">
        <v>349.96</v>
      </c>
      <c r="BP405">
        <v>29.2</v>
      </c>
      <c r="BQ405">
        <v>151.25</v>
      </c>
      <c r="BR405">
        <v>3.8</v>
      </c>
      <c r="BS405">
        <v>55.69</v>
      </c>
      <c r="BT405">
        <v>325.06</v>
      </c>
      <c r="BU405">
        <v>10.43</v>
      </c>
      <c r="BV405">
        <v>4.7699999999999996</v>
      </c>
      <c r="BW405">
        <v>176.49</v>
      </c>
      <c r="BX405">
        <v>59.26</v>
      </c>
      <c r="BY405">
        <v>122.85</v>
      </c>
      <c r="BZ405">
        <v>96.21</v>
      </c>
      <c r="CA405" t="s">
        <v>120</v>
      </c>
      <c r="CB405">
        <v>65.8</v>
      </c>
      <c r="CC405">
        <v>285.55</v>
      </c>
      <c r="CD405">
        <v>247.33</v>
      </c>
      <c r="CE405">
        <v>9.1999999999999993</v>
      </c>
      <c r="CF405">
        <v>0.84</v>
      </c>
      <c r="CG405">
        <v>9.24</v>
      </c>
      <c r="CH405">
        <v>8.0299999999999994</v>
      </c>
      <c r="CI405">
        <v>8.0299999999999994</v>
      </c>
      <c r="CJ405">
        <v>-0.6</v>
      </c>
      <c r="CK405">
        <v>7.06</v>
      </c>
      <c r="CL405">
        <v>47.02</v>
      </c>
      <c r="CM405">
        <v>-23.76</v>
      </c>
      <c r="CN405">
        <v>-40.36</v>
      </c>
      <c r="CO405">
        <v>222000</v>
      </c>
      <c r="CP405">
        <v>4153</v>
      </c>
      <c r="CQ405" t="s">
        <v>2685</v>
      </c>
      <c r="CR405">
        <v>97.99</v>
      </c>
      <c r="CS405">
        <v>-5.72</v>
      </c>
      <c r="CT405">
        <v>3.23</v>
      </c>
      <c r="CU405">
        <v>-17.87</v>
      </c>
      <c r="CV405">
        <v>1.49</v>
      </c>
      <c r="CW405">
        <v>0.37</v>
      </c>
      <c r="CX405" t="s">
        <v>2686</v>
      </c>
      <c r="CY405">
        <v>9.0299999999999994</v>
      </c>
      <c r="CZ405">
        <v>9.0299999999999994</v>
      </c>
      <c r="DA405">
        <v>4.53</v>
      </c>
      <c r="DB405">
        <v>3.23</v>
      </c>
      <c r="DC405">
        <v>-1.63</v>
      </c>
      <c r="DD405">
        <v>43.22</v>
      </c>
      <c r="DE405" t="s">
        <v>2687</v>
      </c>
      <c r="DF405">
        <v>13.39</v>
      </c>
      <c r="DG405">
        <v>3.22</v>
      </c>
      <c r="DH405">
        <v>2.81</v>
      </c>
      <c r="DI405">
        <v>15.12</v>
      </c>
      <c r="DJ405">
        <v>7131</v>
      </c>
      <c r="DK405">
        <v>977</v>
      </c>
      <c r="DL405" t="s">
        <v>120</v>
      </c>
      <c r="DM405" t="s">
        <v>120</v>
      </c>
      <c r="DN405" t="s">
        <v>120</v>
      </c>
    </row>
    <row r="406" spans="1:118">
      <c r="A406" t="str">
        <f>"000978"</f>
        <v>000978</v>
      </c>
      <c r="B406" t="s">
        <v>2688</v>
      </c>
      <c r="C406">
        <v>0.69</v>
      </c>
      <c r="D406">
        <v>-0.16</v>
      </c>
      <c r="E406">
        <v>-0.34</v>
      </c>
      <c r="F406">
        <v>1802</v>
      </c>
      <c r="G406" t="s">
        <v>2689</v>
      </c>
      <c r="H406">
        <v>8736.26</v>
      </c>
      <c r="I406">
        <v>72.37</v>
      </c>
      <c r="J406" t="s">
        <v>120</v>
      </c>
      <c r="K406" t="s">
        <v>2690</v>
      </c>
      <c r="L406">
        <v>4.1500000000000004</v>
      </c>
      <c r="M406">
        <v>5.84</v>
      </c>
      <c r="N406">
        <v>0.63</v>
      </c>
      <c r="O406">
        <v>2.76</v>
      </c>
      <c r="P406">
        <v>5.96</v>
      </c>
      <c r="Q406">
        <v>-1.72</v>
      </c>
      <c r="R406">
        <v>5.7</v>
      </c>
      <c r="S406">
        <v>5.78</v>
      </c>
      <c r="T406">
        <v>149601</v>
      </c>
      <c r="U406">
        <v>5.85</v>
      </c>
      <c r="V406">
        <v>5.8</v>
      </c>
      <c r="W406" t="s">
        <v>120</v>
      </c>
      <c r="X406" t="s">
        <v>489</v>
      </c>
      <c r="Y406" t="s">
        <v>945</v>
      </c>
      <c r="Z406">
        <v>4.4800000000000004</v>
      </c>
      <c r="AA406">
        <v>5.84</v>
      </c>
      <c r="AB406">
        <v>70595</v>
      </c>
      <c r="AC406">
        <v>79006</v>
      </c>
      <c r="AD406">
        <v>0.89</v>
      </c>
      <c r="AE406">
        <v>1048</v>
      </c>
      <c r="AF406">
        <v>1359</v>
      </c>
      <c r="AG406" t="s">
        <v>120</v>
      </c>
      <c r="AH406">
        <v>0.05</v>
      </c>
      <c r="AI406" t="s">
        <v>120</v>
      </c>
      <c r="AJ406">
        <v>3.6</v>
      </c>
      <c r="AK406" t="s">
        <v>2690</v>
      </c>
      <c r="AL406">
        <v>2.6</v>
      </c>
      <c r="AM406">
        <v>2606</v>
      </c>
      <c r="AN406">
        <v>57</v>
      </c>
      <c r="AO406">
        <v>1.6000000000000001E-3</v>
      </c>
      <c r="AP406">
        <v>2</v>
      </c>
      <c r="AQ406">
        <v>0.87</v>
      </c>
      <c r="AR406">
        <v>-3.47</v>
      </c>
      <c r="AS406">
        <v>15.87</v>
      </c>
      <c r="AT406">
        <v>-4.26</v>
      </c>
      <c r="AU406">
        <v>28.92</v>
      </c>
      <c r="AV406">
        <v>5</v>
      </c>
      <c r="AW406">
        <v>6.33</v>
      </c>
      <c r="AX406">
        <v>65.63</v>
      </c>
      <c r="AY406" t="s">
        <v>120</v>
      </c>
      <c r="AZ406" t="s">
        <v>120</v>
      </c>
      <c r="BA406">
        <v>0.43</v>
      </c>
      <c r="BB406" t="s">
        <v>143</v>
      </c>
      <c r="BF406">
        <v>0.68</v>
      </c>
      <c r="BG406">
        <v>1.04</v>
      </c>
      <c r="BH406">
        <v>-2.0099999999999998</v>
      </c>
      <c r="BI406">
        <v>2.46</v>
      </c>
      <c r="BJ406">
        <v>20210910</v>
      </c>
      <c r="BK406">
        <v>20000518</v>
      </c>
      <c r="BL406">
        <v>3.6</v>
      </c>
      <c r="BM406" t="s">
        <v>120</v>
      </c>
      <c r="BN406" t="s">
        <v>120</v>
      </c>
      <c r="BO406">
        <v>26.26</v>
      </c>
      <c r="BP406">
        <v>5.84</v>
      </c>
      <c r="BQ406">
        <v>12.53</v>
      </c>
      <c r="BR406">
        <v>0.3</v>
      </c>
      <c r="BS406">
        <v>51.15</v>
      </c>
      <c r="BT406">
        <v>2.75</v>
      </c>
      <c r="BU406">
        <v>8.74</v>
      </c>
      <c r="BV406">
        <v>3.83</v>
      </c>
      <c r="BW406">
        <v>5.07</v>
      </c>
      <c r="BX406">
        <v>0.61</v>
      </c>
      <c r="BY406">
        <v>0.05</v>
      </c>
      <c r="BZ406">
        <v>0.87</v>
      </c>
      <c r="CA406" t="s">
        <v>120</v>
      </c>
      <c r="CB406">
        <v>9.7100000000000009</v>
      </c>
      <c r="CC406">
        <v>1.38</v>
      </c>
      <c r="CD406">
        <v>1.29</v>
      </c>
      <c r="CE406">
        <v>-0.69</v>
      </c>
      <c r="CF406">
        <v>0.1</v>
      </c>
      <c r="CG406">
        <v>-0.69</v>
      </c>
      <c r="CH406">
        <v>-0.71</v>
      </c>
      <c r="CI406">
        <v>-0.64</v>
      </c>
      <c r="CJ406">
        <v>0.04</v>
      </c>
      <c r="CK406">
        <v>-0.68</v>
      </c>
      <c r="CL406">
        <v>-1.71</v>
      </c>
      <c r="CM406">
        <v>-0.34</v>
      </c>
      <c r="CN406">
        <v>0.15</v>
      </c>
      <c r="CO406">
        <v>40772</v>
      </c>
      <c r="CP406">
        <v>5796</v>
      </c>
      <c r="CQ406" t="s">
        <v>715</v>
      </c>
      <c r="CR406">
        <v>42.98</v>
      </c>
      <c r="CS406">
        <v>44.15</v>
      </c>
      <c r="CT406">
        <v>1.68</v>
      </c>
      <c r="CU406">
        <v>-61.68</v>
      </c>
      <c r="CV406">
        <v>15.27</v>
      </c>
      <c r="CW406">
        <v>0</v>
      </c>
      <c r="CX406" t="s">
        <v>2691</v>
      </c>
      <c r="CY406">
        <v>3.48</v>
      </c>
      <c r="CZ406">
        <v>0</v>
      </c>
      <c r="DA406">
        <v>2.7</v>
      </c>
      <c r="DB406">
        <v>-0.47</v>
      </c>
      <c r="DC406">
        <v>-0.09</v>
      </c>
      <c r="DD406">
        <v>47.71</v>
      </c>
      <c r="DE406" t="s">
        <v>2692</v>
      </c>
      <c r="DF406">
        <v>6.48</v>
      </c>
      <c r="DG406">
        <v>-49.9</v>
      </c>
      <c r="DH406">
        <v>-46.2</v>
      </c>
      <c r="DI406" t="s">
        <v>120</v>
      </c>
      <c r="DJ406">
        <v>2331</v>
      </c>
      <c r="DK406">
        <v>978</v>
      </c>
      <c r="DL406" t="s">
        <v>120</v>
      </c>
      <c r="DM406" t="s">
        <v>120</v>
      </c>
      <c r="DN406" t="s">
        <v>120</v>
      </c>
    </row>
    <row r="407" spans="1:118">
      <c r="A407" t="str">
        <f>"000982"</f>
        <v>000982</v>
      </c>
      <c r="B407" t="s">
        <v>2693</v>
      </c>
      <c r="C407">
        <v>-6.86</v>
      </c>
      <c r="D407">
        <v>0</v>
      </c>
      <c r="E407">
        <v>0.72</v>
      </c>
      <c r="F407">
        <v>26876</v>
      </c>
      <c r="G407" t="s">
        <v>2694</v>
      </c>
      <c r="H407">
        <v>51063.519999999997</v>
      </c>
      <c r="I407">
        <v>329.86</v>
      </c>
      <c r="J407" t="s">
        <v>120</v>
      </c>
      <c r="K407" t="s">
        <v>2695</v>
      </c>
      <c r="L407">
        <v>4.53</v>
      </c>
      <c r="M407">
        <v>2.58</v>
      </c>
      <c r="N407">
        <v>0.78</v>
      </c>
      <c r="O407">
        <v>1.08</v>
      </c>
      <c r="P407">
        <v>2.8</v>
      </c>
      <c r="Q407">
        <v>-6.86</v>
      </c>
      <c r="R407">
        <v>2.58</v>
      </c>
      <c r="S407">
        <v>2.79</v>
      </c>
      <c r="T407">
        <v>1911026</v>
      </c>
      <c r="U407">
        <v>2.59</v>
      </c>
      <c r="V407">
        <v>2.77</v>
      </c>
      <c r="W407">
        <v>230.72</v>
      </c>
      <c r="X407" t="s">
        <v>1766</v>
      </c>
      <c r="Y407" t="s">
        <v>1110</v>
      </c>
      <c r="Z407">
        <v>7.94</v>
      </c>
      <c r="AA407">
        <v>2.67</v>
      </c>
      <c r="AB407">
        <v>1157351</v>
      </c>
      <c r="AC407">
        <v>753675</v>
      </c>
      <c r="AD407">
        <v>1.54</v>
      </c>
      <c r="AE407">
        <v>9533</v>
      </c>
      <c r="AF407">
        <v>6958</v>
      </c>
      <c r="AG407" t="s">
        <v>120</v>
      </c>
      <c r="AH407">
        <v>0.04</v>
      </c>
      <c r="AI407" t="s">
        <v>120</v>
      </c>
      <c r="AJ407">
        <v>42.19</v>
      </c>
      <c r="AK407" t="s">
        <v>2696</v>
      </c>
      <c r="AL407">
        <v>-4.95</v>
      </c>
      <c r="AM407">
        <v>4330</v>
      </c>
      <c r="AN407">
        <v>441</v>
      </c>
      <c r="AO407">
        <v>1E-3</v>
      </c>
      <c r="AP407">
        <v>-1</v>
      </c>
      <c r="AQ407">
        <v>0.36</v>
      </c>
      <c r="AR407">
        <v>-9.48</v>
      </c>
      <c r="AS407">
        <v>16.21</v>
      </c>
      <c r="AT407">
        <v>-7.53</v>
      </c>
      <c r="AU407">
        <v>143.4</v>
      </c>
      <c r="AV407">
        <v>14</v>
      </c>
      <c r="AW407">
        <v>7.18</v>
      </c>
      <c r="AX407">
        <v>62.44</v>
      </c>
      <c r="AY407">
        <v>238.94</v>
      </c>
      <c r="AZ407">
        <v>357.57</v>
      </c>
      <c r="BA407">
        <v>0.73</v>
      </c>
      <c r="BB407" t="s">
        <v>143</v>
      </c>
      <c r="BF407">
        <v>-3.54</v>
      </c>
      <c r="BG407">
        <v>-7.53</v>
      </c>
      <c r="BH407">
        <v>-7.86</v>
      </c>
      <c r="BI407">
        <v>0</v>
      </c>
      <c r="BJ407">
        <v>20210906</v>
      </c>
      <c r="BK407">
        <v>20000706</v>
      </c>
      <c r="BL407">
        <v>42.62</v>
      </c>
      <c r="BM407" t="s">
        <v>120</v>
      </c>
      <c r="BN407" t="s">
        <v>120</v>
      </c>
      <c r="BO407">
        <v>12.25</v>
      </c>
      <c r="BP407">
        <v>2.58</v>
      </c>
      <c r="BQ407">
        <v>11.01</v>
      </c>
      <c r="BR407">
        <v>0.02</v>
      </c>
      <c r="BS407">
        <v>9.9</v>
      </c>
      <c r="BT407">
        <v>11.2</v>
      </c>
      <c r="BU407">
        <v>0.28000000000000003</v>
      </c>
      <c r="BV407">
        <v>0.03</v>
      </c>
      <c r="BW407">
        <v>0.96</v>
      </c>
      <c r="BX407">
        <v>2.5299999999999998</v>
      </c>
      <c r="BY407">
        <v>1.57</v>
      </c>
      <c r="BZ407">
        <v>0.52</v>
      </c>
      <c r="CA407" t="s">
        <v>120</v>
      </c>
      <c r="CB407">
        <v>44.64</v>
      </c>
      <c r="CC407">
        <v>1.82</v>
      </c>
      <c r="CD407">
        <v>1.53</v>
      </c>
      <c r="CE407">
        <v>0.25</v>
      </c>
      <c r="CF407">
        <v>0.02</v>
      </c>
      <c r="CG407">
        <v>0.25</v>
      </c>
      <c r="CH407">
        <v>0.24</v>
      </c>
      <c r="CI407">
        <v>0.24</v>
      </c>
      <c r="CJ407">
        <v>-0.19</v>
      </c>
      <c r="CK407">
        <v>0.16</v>
      </c>
      <c r="CL407">
        <v>-75.87</v>
      </c>
      <c r="CM407">
        <v>0.28000000000000003</v>
      </c>
      <c r="CN407">
        <v>-6.21</v>
      </c>
      <c r="CO407">
        <v>108779</v>
      </c>
      <c r="CP407">
        <v>24462</v>
      </c>
      <c r="CQ407" t="s">
        <v>2404</v>
      </c>
      <c r="CR407">
        <v>220.44</v>
      </c>
      <c r="CS407">
        <v>347.92</v>
      </c>
      <c r="CT407">
        <v>9.98</v>
      </c>
      <c r="CU407">
        <v>386.2</v>
      </c>
      <c r="CV407">
        <v>60.38</v>
      </c>
      <c r="CW407">
        <v>0</v>
      </c>
      <c r="CX407" t="s">
        <v>2510</v>
      </c>
      <c r="CY407">
        <v>0.26</v>
      </c>
      <c r="CZ407">
        <v>0</v>
      </c>
      <c r="DA407">
        <v>1.05</v>
      </c>
      <c r="DB407">
        <v>-1.78</v>
      </c>
      <c r="DC407">
        <v>0.01</v>
      </c>
      <c r="DD407">
        <v>89.92</v>
      </c>
      <c r="DE407" t="s">
        <v>2347</v>
      </c>
      <c r="DF407">
        <v>16.2</v>
      </c>
      <c r="DG407">
        <v>13.87</v>
      </c>
      <c r="DH407">
        <v>13.08</v>
      </c>
      <c r="DI407">
        <v>0</v>
      </c>
      <c r="DJ407">
        <v>33</v>
      </c>
      <c r="DK407">
        <v>982</v>
      </c>
      <c r="DL407" t="s">
        <v>120</v>
      </c>
      <c r="DM407" t="s">
        <v>120</v>
      </c>
      <c r="DN407" t="s">
        <v>120</v>
      </c>
    </row>
    <row r="408" spans="1:118">
      <c r="A408" t="str">
        <f>"000983"</f>
        <v>000983</v>
      </c>
      <c r="B408" t="s">
        <v>2697</v>
      </c>
      <c r="C408">
        <v>-3.06</v>
      </c>
      <c r="D408">
        <v>-0.06</v>
      </c>
      <c r="E408">
        <v>3.35</v>
      </c>
      <c r="F408">
        <v>19643</v>
      </c>
      <c r="G408" t="s">
        <v>2698</v>
      </c>
      <c r="H408">
        <v>219908.99</v>
      </c>
      <c r="I408">
        <v>2798.9</v>
      </c>
      <c r="J408" t="s">
        <v>120</v>
      </c>
      <c r="K408" t="s">
        <v>2699</v>
      </c>
      <c r="L408">
        <v>3.8</v>
      </c>
      <c r="M408">
        <v>13.6</v>
      </c>
      <c r="N408">
        <v>0.79</v>
      </c>
      <c r="O408">
        <v>3.85</v>
      </c>
      <c r="P408">
        <v>14.57</v>
      </c>
      <c r="Q408">
        <v>-3.71</v>
      </c>
      <c r="R408">
        <v>13.51</v>
      </c>
      <c r="S408">
        <v>14.5</v>
      </c>
      <c r="T408">
        <v>1558137</v>
      </c>
      <c r="U408">
        <v>13.61</v>
      </c>
      <c r="V408">
        <v>14.03</v>
      </c>
      <c r="W408">
        <v>14.33</v>
      </c>
      <c r="X408" t="s">
        <v>1081</v>
      </c>
      <c r="Y408" t="s">
        <v>667</v>
      </c>
      <c r="Z408">
        <v>7.56</v>
      </c>
      <c r="AA408">
        <v>14.11</v>
      </c>
      <c r="AB408">
        <v>812428</v>
      </c>
      <c r="AC408">
        <v>745709</v>
      </c>
      <c r="AD408">
        <v>1.0900000000000001</v>
      </c>
      <c r="AE408">
        <v>263</v>
      </c>
      <c r="AF408">
        <v>412</v>
      </c>
      <c r="AG408" t="s">
        <v>120</v>
      </c>
      <c r="AH408">
        <v>0.1</v>
      </c>
      <c r="AI408" t="s">
        <v>120</v>
      </c>
      <c r="AJ408">
        <v>40.97</v>
      </c>
      <c r="AK408" t="s">
        <v>2699</v>
      </c>
      <c r="AL408">
        <v>-1.1499999999999999</v>
      </c>
      <c r="AM408">
        <v>4725</v>
      </c>
      <c r="AN408">
        <v>330</v>
      </c>
      <c r="AO408">
        <v>8.0000000000000004E-4</v>
      </c>
      <c r="AP408">
        <v>-3</v>
      </c>
      <c r="AQ408">
        <v>-2.0299999999999998</v>
      </c>
      <c r="AR408">
        <v>-12.26</v>
      </c>
      <c r="AS408">
        <v>56.14</v>
      </c>
      <c r="AT408">
        <v>56.69</v>
      </c>
      <c r="AU408">
        <v>145.49</v>
      </c>
      <c r="AV408">
        <v>9</v>
      </c>
      <c r="AW408">
        <v>8.34</v>
      </c>
      <c r="AX408">
        <v>45.6</v>
      </c>
      <c r="AY408">
        <v>21.36</v>
      </c>
      <c r="AZ408">
        <v>29.38</v>
      </c>
      <c r="BA408">
        <v>0.33</v>
      </c>
      <c r="BB408" t="s">
        <v>143</v>
      </c>
      <c r="BF408">
        <v>0.6</v>
      </c>
      <c r="BG408">
        <v>-6.21</v>
      </c>
      <c r="BH408">
        <v>-6.66</v>
      </c>
      <c r="BI408">
        <v>0.67</v>
      </c>
      <c r="BJ408">
        <v>20210914</v>
      </c>
      <c r="BK408">
        <v>20000726</v>
      </c>
      <c r="BL408">
        <v>40.97</v>
      </c>
      <c r="BM408" t="s">
        <v>120</v>
      </c>
      <c r="BN408" t="s">
        <v>120</v>
      </c>
      <c r="BO408">
        <v>696.66</v>
      </c>
      <c r="BP408">
        <v>13.6</v>
      </c>
      <c r="BQ408">
        <v>210.43</v>
      </c>
      <c r="BR408">
        <v>32.5</v>
      </c>
      <c r="BS408">
        <v>65.13</v>
      </c>
      <c r="BT408">
        <v>152.28</v>
      </c>
      <c r="BU408">
        <v>324.95999999999998</v>
      </c>
      <c r="BV408">
        <v>123.33</v>
      </c>
      <c r="BW408">
        <v>268.61</v>
      </c>
      <c r="BX408">
        <v>48.29</v>
      </c>
      <c r="BY408">
        <v>23.09</v>
      </c>
      <c r="BZ408">
        <v>26.82</v>
      </c>
      <c r="CA408" t="s">
        <v>120</v>
      </c>
      <c r="CB408">
        <v>3.45</v>
      </c>
      <c r="CC408">
        <v>192.27</v>
      </c>
      <c r="CD408">
        <v>136.22999999999999</v>
      </c>
      <c r="CE408">
        <v>28.94</v>
      </c>
      <c r="CF408">
        <v>0.69</v>
      </c>
      <c r="CG408">
        <v>29.02</v>
      </c>
      <c r="CH408">
        <v>21.43</v>
      </c>
      <c r="CI408">
        <v>19.440000000000001</v>
      </c>
      <c r="CJ408">
        <v>-0.43</v>
      </c>
      <c r="CK408">
        <v>19.329999999999998</v>
      </c>
      <c r="CL408">
        <v>152.97999999999999</v>
      </c>
      <c r="CM408">
        <v>38.450000000000003</v>
      </c>
      <c r="CN408">
        <v>5.34</v>
      </c>
      <c r="CO408">
        <v>153039</v>
      </c>
      <c r="CP408">
        <v>12207</v>
      </c>
      <c r="CQ408" t="s">
        <v>2700</v>
      </c>
      <c r="CR408">
        <v>60.66</v>
      </c>
      <c r="CS408">
        <v>23.37</v>
      </c>
      <c r="CT408">
        <v>2.65</v>
      </c>
      <c r="CU408">
        <v>14.49</v>
      </c>
      <c r="CV408">
        <v>2.9</v>
      </c>
      <c r="CW408">
        <v>0.71</v>
      </c>
      <c r="CX408" t="s">
        <v>2701</v>
      </c>
      <c r="CY408">
        <v>5.14</v>
      </c>
      <c r="CZ408">
        <v>0</v>
      </c>
      <c r="DA408">
        <v>0.08</v>
      </c>
      <c r="DB408">
        <v>3.73</v>
      </c>
      <c r="DC408">
        <v>0.94</v>
      </c>
      <c r="DD408">
        <v>30.21</v>
      </c>
      <c r="DE408" t="s">
        <v>2702</v>
      </c>
      <c r="DF408">
        <v>29.14</v>
      </c>
      <c r="DG408">
        <v>15.05</v>
      </c>
      <c r="DH408">
        <v>10.11</v>
      </c>
      <c r="DI408">
        <v>1.65</v>
      </c>
      <c r="DJ408">
        <v>33152</v>
      </c>
      <c r="DK408">
        <v>983</v>
      </c>
      <c r="DL408">
        <v>20210601</v>
      </c>
      <c r="DM408">
        <v>7.45</v>
      </c>
      <c r="DN408">
        <v>83.89</v>
      </c>
    </row>
    <row r="409" spans="1:118">
      <c r="A409" t="str">
        <f>"000985"</f>
        <v>000985</v>
      </c>
      <c r="B409" t="s">
        <v>2703</v>
      </c>
      <c r="C409">
        <v>-1.57</v>
      </c>
      <c r="D409">
        <v>-0.44</v>
      </c>
      <c r="E409">
        <v>1.87</v>
      </c>
      <c r="F409">
        <v>146</v>
      </c>
      <c r="G409" t="s">
        <v>2704</v>
      </c>
      <c r="H409">
        <v>3643.9</v>
      </c>
      <c r="I409">
        <v>65.66</v>
      </c>
      <c r="J409" t="s">
        <v>120</v>
      </c>
      <c r="K409" t="s">
        <v>2705</v>
      </c>
      <c r="L409">
        <v>2.09</v>
      </c>
      <c r="M409">
        <v>13.19</v>
      </c>
      <c r="N409">
        <v>0.92</v>
      </c>
      <c r="O409">
        <v>1.94</v>
      </c>
      <c r="P409">
        <v>13.66</v>
      </c>
      <c r="Q409">
        <v>-1.79</v>
      </c>
      <c r="R409">
        <v>13.16</v>
      </c>
      <c r="S409">
        <v>13.65</v>
      </c>
      <c r="T409">
        <v>27140</v>
      </c>
      <c r="U409">
        <v>13.24</v>
      </c>
      <c r="V409">
        <v>13.4</v>
      </c>
      <c r="W409">
        <v>190.5</v>
      </c>
      <c r="X409" t="s">
        <v>868</v>
      </c>
      <c r="Y409" t="s">
        <v>1686</v>
      </c>
      <c r="Z409">
        <v>3.73</v>
      </c>
      <c r="AA409">
        <v>13.43</v>
      </c>
      <c r="AB409">
        <v>13311</v>
      </c>
      <c r="AC409">
        <v>13829</v>
      </c>
      <c r="AD409">
        <v>0.96</v>
      </c>
      <c r="AE409">
        <v>14</v>
      </c>
      <c r="AF409">
        <v>16</v>
      </c>
      <c r="AG409" t="s">
        <v>120</v>
      </c>
      <c r="AH409">
        <v>0.1</v>
      </c>
      <c r="AI409" t="s">
        <v>120</v>
      </c>
      <c r="AJ409">
        <v>1.3</v>
      </c>
      <c r="AK409" t="s">
        <v>2705</v>
      </c>
      <c r="AL409">
        <v>0.35</v>
      </c>
      <c r="AM409">
        <v>1574</v>
      </c>
      <c r="AN409">
        <v>17</v>
      </c>
      <c r="AO409">
        <v>1.2999999999999999E-3</v>
      </c>
      <c r="AP409">
        <v>-1</v>
      </c>
      <c r="AQ409">
        <v>2.6</v>
      </c>
      <c r="AR409">
        <v>-0.76</v>
      </c>
      <c r="AS409">
        <v>13.71</v>
      </c>
      <c r="AT409">
        <v>8.65</v>
      </c>
      <c r="AU409">
        <v>4.4000000000000004</v>
      </c>
      <c r="AV409">
        <v>2</v>
      </c>
      <c r="AW409">
        <v>5.74</v>
      </c>
      <c r="AX409">
        <v>36.5</v>
      </c>
      <c r="AY409">
        <v>86.92</v>
      </c>
      <c r="AZ409">
        <v>143.22</v>
      </c>
      <c r="BA409">
        <v>0.19</v>
      </c>
      <c r="BB409" t="s">
        <v>168</v>
      </c>
      <c r="BF409">
        <v>0.2</v>
      </c>
      <c r="BG409">
        <v>-3.37</v>
      </c>
      <c r="BH409">
        <v>-3.44</v>
      </c>
      <c r="BI409">
        <v>0.23</v>
      </c>
      <c r="BJ409">
        <v>20210828</v>
      </c>
      <c r="BK409">
        <v>20000726</v>
      </c>
      <c r="BL409">
        <v>1.3</v>
      </c>
      <c r="BM409" t="s">
        <v>120</v>
      </c>
      <c r="BN409" t="s">
        <v>120</v>
      </c>
      <c r="BO409">
        <v>7.22</v>
      </c>
      <c r="BP409">
        <v>13.19</v>
      </c>
      <c r="BQ409">
        <v>5.82</v>
      </c>
      <c r="BR409" t="s">
        <v>120</v>
      </c>
      <c r="BS409">
        <v>19.399999999999999</v>
      </c>
      <c r="BT409">
        <v>3.35</v>
      </c>
      <c r="BU409">
        <v>3.33</v>
      </c>
      <c r="BV409">
        <v>0.09</v>
      </c>
      <c r="BW409">
        <v>0.87</v>
      </c>
      <c r="BX409">
        <v>2.4500000000000002</v>
      </c>
      <c r="BY409">
        <v>0.85</v>
      </c>
      <c r="BZ409">
        <v>0</v>
      </c>
      <c r="CA409" t="s">
        <v>120</v>
      </c>
      <c r="CB409">
        <v>2.59</v>
      </c>
      <c r="CC409">
        <v>9.99</v>
      </c>
      <c r="CD409">
        <v>9.34</v>
      </c>
      <c r="CE409">
        <v>0.06</v>
      </c>
      <c r="CF409">
        <v>0</v>
      </c>
      <c r="CG409">
        <v>0.05</v>
      </c>
      <c r="CH409">
        <v>0.04</v>
      </c>
      <c r="CI409">
        <v>0.04</v>
      </c>
      <c r="CJ409">
        <v>-0.21</v>
      </c>
      <c r="CK409">
        <v>0.04</v>
      </c>
      <c r="CL409">
        <v>0.95</v>
      </c>
      <c r="CM409">
        <v>0.35</v>
      </c>
      <c r="CN409">
        <v>0.25</v>
      </c>
      <c r="CO409">
        <v>10549</v>
      </c>
      <c r="CP409">
        <v>4486</v>
      </c>
      <c r="CQ409" t="s">
        <v>2706</v>
      </c>
      <c r="CR409">
        <v>233.25</v>
      </c>
      <c r="CS409">
        <v>14.69</v>
      </c>
      <c r="CT409">
        <v>2.94</v>
      </c>
      <c r="CU409">
        <v>48.34</v>
      </c>
      <c r="CV409">
        <v>1.71</v>
      </c>
      <c r="CW409">
        <v>0.34</v>
      </c>
      <c r="CX409" t="s">
        <v>145</v>
      </c>
      <c r="CY409">
        <v>4.49</v>
      </c>
      <c r="CZ409">
        <v>0</v>
      </c>
      <c r="DA409">
        <v>2</v>
      </c>
      <c r="DB409">
        <v>0.74</v>
      </c>
      <c r="DC409">
        <v>0.27</v>
      </c>
      <c r="DD409">
        <v>80.599999999999994</v>
      </c>
      <c r="DE409" t="s">
        <v>927</v>
      </c>
      <c r="DF409">
        <v>6.46</v>
      </c>
      <c r="DG409">
        <v>0.56999999999999995</v>
      </c>
      <c r="DH409">
        <v>0.45</v>
      </c>
      <c r="DI409">
        <v>0.04</v>
      </c>
      <c r="DJ409">
        <v>596</v>
      </c>
      <c r="DK409">
        <v>985</v>
      </c>
      <c r="DL409" t="s">
        <v>120</v>
      </c>
      <c r="DM409" t="s">
        <v>120</v>
      </c>
      <c r="DN409" t="s">
        <v>120</v>
      </c>
    </row>
    <row r="410" spans="1:118">
      <c r="A410" t="str">
        <f>"000987"</f>
        <v>000987</v>
      </c>
      <c r="B410" t="s">
        <v>2707</v>
      </c>
      <c r="C410">
        <v>-1.93</v>
      </c>
      <c r="D410">
        <v>-0.11</v>
      </c>
      <c r="E410">
        <v>0.11</v>
      </c>
      <c r="F410">
        <v>777</v>
      </c>
      <c r="G410" t="s">
        <v>2708</v>
      </c>
      <c r="H410">
        <v>18382.560000000001</v>
      </c>
      <c r="I410">
        <v>36.08</v>
      </c>
      <c r="J410" t="s">
        <v>120</v>
      </c>
      <c r="K410" t="s">
        <v>2709</v>
      </c>
      <c r="L410">
        <v>0.57999999999999996</v>
      </c>
      <c r="M410">
        <v>8.6199999999999992</v>
      </c>
      <c r="N410">
        <v>0.94</v>
      </c>
      <c r="O410">
        <v>1.25</v>
      </c>
      <c r="P410">
        <v>8.9</v>
      </c>
      <c r="Q410">
        <v>-2.0499999999999998</v>
      </c>
      <c r="R410">
        <v>8.61</v>
      </c>
      <c r="S410">
        <v>8.8000000000000007</v>
      </c>
      <c r="T410">
        <v>209584</v>
      </c>
      <c r="U410">
        <v>8.6300000000000008</v>
      </c>
      <c r="V410">
        <v>8.7899999999999991</v>
      </c>
      <c r="W410">
        <v>12.85</v>
      </c>
      <c r="X410" t="s">
        <v>721</v>
      </c>
      <c r="Y410" t="s">
        <v>547</v>
      </c>
      <c r="Z410">
        <v>3.3</v>
      </c>
      <c r="AA410">
        <v>8.77</v>
      </c>
      <c r="AB410">
        <v>111443</v>
      </c>
      <c r="AC410">
        <v>98141</v>
      </c>
      <c r="AD410">
        <v>1.1399999999999999</v>
      </c>
      <c r="AE410">
        <v>647</v>
      </c>
      <c r="AF410">
        <v>17</v>
      </c>
      <c r="AG410" t="s">
        <v>120</v>
      </c>
      <c r="AH410">
        <v>0.01</v>
      </c>
      <c r="AI410" t="s">
        <v>120</v>
      </c>
      <c r="AJ410">
        <v>36.01</v>
      </c>
      <c r="AK410" t="s">
        <v>2710</v>
      </c>
      <c r="AL410">
        <v>-0.02</v>
      </c>
      <c r="AM410">
        <v>3063</v>
      </c>
      <c r="AN410">
        <v>68</v>
      </c>
      <c r="AO410">
        <v>2.0000000000000001E-4</v>
      </c>
      <c r="AP410">
        <v>-1</v>
      </c>
      <c r="AQ410">
        <v>0.34</v>
      </c>
      <c r="AR410">
        <v>-4.33</v>
      </c>
      <c r="AS410">
        <v>1.28</v>
      </c>
      <c r="AT410">
        <v>-6.23</v>
      </c>
      <c r="AU410">
        <v>-18.68</v>
      </c>
      <c r="AV410">
        <v>1</v>
      </c>
      <c r="AW410">
        <v>2.63</v>
      </c>
      <c r="AX410">
        <v>21.47</v>
      </c>
      <c r="AY410">
        <v>17.91</v>
      </c>
      <c r="AZ410">
        <v>7.08</v>
      </c>
      <c r="BA410">
        <v>0.63</v>
      </c>
      <c r="BB410" t="s">
        <v>143</v>
      </c>
      <c r="BF410">
        <v>-0.22</v>
      </c>
      <c r="BG410">
        <v>-2.0499999999999998</v>
      </c>
      <c r="BH410">
        <v>-3.15</v>
      </c>
      <c r="BI410">
        <v>0.12</v>
      </c>
      <c r="BJ410">
        <v>20210824</v>
      </c>
      <c r="BK410">
        <v>20000718</v>
      </c>
      <c r="BL410">
        <v>37.159999999999997</v>
      </c>
      <c r="BM410" t="s">
        <v>120</v>
      </c>
      <c r="BN410" t="s">
        <v>120</v>
      </c>
      <c r="BO410">
        <v>1417.19</v>
      </c>
      <c r="BP410">
        <v>8.6199999999999992</v>
      </c>
      <c r="BQ410">
        <v>238.65</v>
      </c>
      <c r="BR410">
        <v>89.46</v>
      </c>
      <c r="BS410">
        <v>76.849999999999994</v>
      </c>
      <c r="BT410">
        <v>772.74</v>
      </c>
      <c r="BU410">
        <v>0.77</v>
      </c>
      <c r="BV410">
        <v>0.33</v>
      </c>
      <c r="BW410">
        <v>552.80999999999995</v>
      </c>
      <c r="BX410">
        <v>134.44</v>
      </c>
      <c r="BY410">
        <v>8.6199999999999992</v>
      </c>
      <c r="BZ410">
        <v>0.91</v>
      </c>
      <c r="CA410">
        <v>35.35</v>
      </c>
      <c r="CB410">
        <v>144.62</v>
      </c>
      <c r="CC410">
        <v>0</v>
      </c>
      <c r="CD410">
        <v>23.09</v>
      </c>
      <c r="CE410">
        <v>21.52</v>
      </c>
      <c r="CF410">
        <v>9.56</v>
      </c>
      <c r="CG410">
        <v>21.67</v>
      </c>
      <c r="CH410">
        <v>17.04</v>
      </c>
      <c r="CI410">
        <v>12.47</v>
      </c>
      <c r="CJ410">
        <v>-0.17</v>
      </c>
      <c r="CK410">
        <v>12.33</v>
      </c>
      <c r="CL410">
        <v>56.93</v>
      </c>
      <c r="CM410">
        <v>-50.49</v>
      </c>
      <c r="CN410">
        <v>51.21</v>
      </c>
      <c r="CO410">
        <v>87580</v>
      </c>
      <c r="CP410">
        <v>9112</v>
      </c>
      <c r="CQ410" t="s">
        <v>2711</v>
      </c>
      <c r="CR410">
        <v>-69.12</v>
      </c>
      <c r="CS410">
        <v>0</v>
      </c>
      <c r="CT410">
        <v>1.34</v>
      </c>
      <c r="CU410">
        <v>-6.34</v>
      </c>
      <c r="CV410">
        <v>0</v>
      </c>
      <c r="CW410">
        <v>2.11</v>
      </c>
      <c r="CX410" t="s">
        <v>2712</v>
      </c>
      <c r="CY410">
        <v>6.42</v>
      </c>
      <c r="CZ410">
        <v>0</v>
      </c>
      <c r="DA410">
        <v>3.89</v>
      </c>
      <c r="DB410">
        <v>1.53</v>
      </c>
      <c r="DC410">
        <v>-1.36</v>
      </c>
      <c r="DD410">
        <v>16.84</v>
      </c>
      <c r="DE410" t="s">
        <v>2713</v>
      </c>
      <c r="DF410" t="s">
        <v>120</v>
      </c>
      <c r="DG410" t="s">
        <v>120</v>
      </c>
      <c r="DH410" t="s">
        <v>120</v>
      </c>
      <c r="DI410">
        <v>0.02</v>
      </c>
      <c r="DJ410">
        <v>936</v>
      </c>
      <c r="DK410">
        <v>987</v>
      </c>
      <c r="DL410" t="s">
        <v>120</v>
      </c>
      <c r="DM410" t="s">
        <v>120</v>
      </c>
      <c r="DN410" t="s">
        <v>120</v>
      </c>
    </row>
    <row r="411" spans="1:118">
      <c r="A411" t="str">
        <f>"000988"</f>
        <v>000988</v>
      </c>
      <c r="B411" t="s">
        <v>2714</v>
      </c>
      <c r="C411">
        <v>-4.62</v>
      </c>
      <c r="D411">
        <v>-0.26</v>
      </c>
      <c r="E411">
        <v>7.0000000000000007E-2</v>
      </c>
      <c r="F411">
        <v>2715</v>
      </c>
      <c r="G411" t="s">
        <v>2715</v>
      </c>
      <c r="H411">
        <v>38120.629999999997</v>
      </c>
      <c r="I411">
        <v>162.1</v>
      </c>
      <c r="J411" t="s">
        <v>120</v>
      </c>
      <c r="K411" t="s">
        <v>2716</v>
      </c>
      <c r="L411">
        <v>1.43</v>
      </c>
      <c r="M411">
        <v>26.01</v>
      </c>
      <c r="N411">
        <v>1.26</v>
      </c>
      <c r="O411">
        <v>7.0000000000000007E-2</v>
      </c>
      <c r="P411">
        <v>27.29</v>
      </c>
      <c r="Q411">
        <v>-4.62</v>
      </c>
      <c r="R411">
        <v>26.01</v>
      </c>
      <c r="S411">
        <v>27.29</v>
      </c>
      <c r="T411">
        <v>143754</v>
      </c>
      <c r="U411">
        <v>26.02</v>
      </c>
      <c r="V411">
        <v>27.27</v>
      </c>
      <c r="W411">
        <v>37.450000000000003</v>
      </c>
      <c r="X411" t="s">
        <v>2717</v>
      </c>
      <c r="Y411" t="s">
        <v>763</v>
      </c>
      <c r="Z411">
        <v>4.6900000000000004</v>
      </c>
      <c r="AA411">
        <v>26.52</v>
      </c>
      <c r="AB411">
        <v>91727</v>
      </c>
      <c r="AC411">
        <v>52027</v>
      </c>
      <c r="AD411">
        <v>1.76</v>
      </c>
      <c r="AE411">
        <v>896</v>
      </c>
      <c r="AF411">
        <v>10</v>
      </c>
      <c r="AG411" t="s">
        <v>120</v>
      </c>
      <c r="AH411">
        <v>0.01</v>
      </c>
      <c r="AI411" t="s">
        <v>120</v>
      </c>
      <c r="AJ411">
        <v>10.050000000000001</v>
      </c>
      <c r="AK411" t="s">
        <v>2718</v>
      </c>
      <c r="AL411">
        <v>-2.71</v>
      </c>
      <c r="AM411">
        <v>3597</v>
      </c>
      <c r="AN411">
        <v>40</v>
      </c>
      <c r="AO411">
        <v>4.0000000000000002E-4</v>
      </c>
      <c r="AP411">
        <v>-2</v>
      </c>
      <c r="AQ411">
        <v>-0.76</v>
      </c>
      <c r="AR411">
        <v>-3.45</v>
      </c>
      <c r="AS411">
        <v>-6.27</v>
      </c>
      <c r="AT411">
        <v>9.4700000000000006</v>
      </c>
      <c r="AU411">
        <v>12.45</v>
      </c>
      <c r="AV411">
        <v>0</v>
      </c>
      <c r="AW411">
        <v>1.77</v>
      </c>
      <c r="AX411">
        <v>80.95</v>
      </c>
      <c r="AY411">
        <v>49.14</v>
      </c>
      <c r="AZ411">
        <v>49.81</v>
      </c>
      <c r="BA411">
        <v>0.6</v>
      </c>
      <c r="BB411" t="s">
        <v>143</v>
      </c>
      <c r="BF411">
        <v>-2.76</v>
      </c>
      <c r="BG411">
        <v>-4.6900000000000004</v>
      </c>
      <c r="BH411">
        <v>-4.6900000000000004</v>
      </c>
      <c r="BI411">
        <v>0</v>
      </c>
      <c r="BJ411">
        <v>20210803</v>
      </c>
      <c r="BK411">
        <v>20000608</v>
      </c>
      <c r="BL411">
        <v>10.06</v>
      </c>
      <c r="BM411" t="s">
        <v>120</v>
      </c>
      <c r="BN411" t="s">
        <v>120</v>
      </c>
      <c r="BO411">
        <v>125.02</v>
      </c>
      <c r="BP411">
        <v>26.01</v>
      </c>
      <c r="BQ411">
        <v>69.290000000000006</v>
      </c>
      <c r="BR411">
        <v>0.48</v>
      </c>
      <c r="BS411">
        <v>44.19</v>
      </c>
      <c r="BT411">
        <v>98.33</v>
      </c>
      <c r="BU411">
        <v>14.86</v>
      </c>
      <c r="BV411">
        <v>2.63</v>
      </c>
      <c r="BW411">
        <v>40.26</v>
      </c>
      <c r="BX411">
        <v>35.97</v>
      </c>
      <c r="BY411">
        <v>20.329999999999998</v>
      </c>
      <c r="BZ411">
        <v>24.96</v>
      </c>
      <c r="CA411" t="s">
        <v>120</v>
      </c>
      <c r="CB411">
        <v>26.15</v>
      </c>
      <c r="CC411">
        <v>46.39</v>
      </c>
      <c r="CD411">
        <v>37.9</v>
      </c>
      <c r="CE411">
        <v>3.83</v>
      </c>
      <c r="CF411">
        <v>0.01</v>
      </c>
      <c r="CG411">
        <v>3.85</v>
      </c>
      <c r="CH411">
        <v>3.45</v>
      </c>
      <c r="CI411">
        <v>3.49</v>
      </c>
      <c r="CJ411">
        <v>-1.26</v>
      </c>
      <c r="CK411">
        <v>3.1</v>
      </c>
      <c r="CL411">
        <v>31.54</v>
      </c>
      <c r="CM411">
        <v>-1.98</v>
      </c>
      <c r="CN411">
        <v>2.94</v>
      </c>
      <c r="CO411">
        <v>61186</v>
      </c>
      <c r="CP411">
        <v>13303</v>
      </c>
      <c r="CQ411" t="s">
        <v>2719</v>
      </c>
      <c r="CR411">
        <v>2.21</v>
      </c>
      <c r="CS411">
        <v>69.040000000000006</v>
      </c>
      <c r="CT411">
        <v>3.77</v>
      </c>
      <c r="CU411">
        <v>-131.99</v>
      </c>
      <c r="CV411">
        <v>5.64</v>
      </c>
      <c r="CW411">
        <v>0.22</v>
      </c>
      <c r="CX411" t="s">
        <v>269</v>
      </c>
      <c r="CY411">
        <v>6.89</v>
      </c>
      <c r="CZ411">
        <v>0</v>
      </c>
      <c r="DA411">
        <v>2.6</v>
      </c>
      <c r="DB411">
        <v>3.14</v>
      </c>
      <c r="DC411">
        <v>-0.2</v>
      </c>
      <c r="DD411">
        <v>55.42</v>
      </c>
      <c r="DE411" t="s">
        <v>2720</v>
      </c>
      <c r="DF411">
        <v>18.29</v>
      </c>
      <c r="DG411">
        <v>8.25</v>
      </c>
      <c r="DH411">
        <v>7.53</v>
      </c>
      <c r="DI411">
        <v>1.58</v>
      </c>
      <c r="DJ411">
        <v>7352</v>
      </c>
      <c r="DK411">
        <v>988</v>
      </c>
      <c r="DL411" t="s">
        <v>120</v>
      </c>
      <c r="DM411" t="s">
        <v>120</v>
      </c>
      <c r="DN411" t="s">
        <v>120</v>
      </c>
    </row>
    <row r="412" spans="1:118">
      <c r="A412" t="str">
        <f>"000989"</f>
        <v>000989</v>
      </c>
      <c r="B412" t="s">
        <v>2721</v>
      </c>
      <c r="C412">
        <v>-1.78</v>
      </c>
      <c r="D412">
        <v>0</v>
      </c>
      <c r="E412">
        <v>0.22</v>
      </c>
      <c r="F412">
        <v>739</v>
      </c>
      <c r="G412" t="s">
        <v>2722</v>
      </c>
      <c r="H412">
        <v>13097.53</v>
      </c>
      <c r="I412">
        <v>64.459999999999994</v>
      </c>
      <c r="J412" t="s">
        <v>120</v>
      </c>
      <c r="K412" t="s">
        <v>2723</v>
      </c>
      <c r="L412">
        <v>2.4</v>
      </c>
      <c r="M412">
        <v>8.81</v>
      </c>
      <c r="N412">
        <v>1.02</v>
      </c>
      <c r="O412">
        <v>0.78</v>
      </c>
      <c r="P412">
        <v>9.0399999999999991</v>
      </c>
      <c r="Q412">
        <v>-2.34</v>
      </c>
      <c r="R412">
        <v>8.76</v>
      </c>
      <c r="S412">
        <v>8.99</v>
      </c>
      <c r="T412">
        <v>147202</v>
      </c>
      <c r="U412">
        <v>8.81</v>
      </c>
      <c r="V412">
        <v>8.9700000000000006</v>
      </c>
      <c r="W412">
        <v>17.440000000000001</v>
      </c>
      <c r="X412" t="s">
        <v>771</v>
      </c>
      <c r="Y412" t="s">
        <v>594</v>
      </c>
      <c r="Z412">
        <v>3.12</v>
      </c>
      <c r="AA412">
        <v>8.9</v>
      </c>
      <c r="AB412">
        <v>88651</v>
      </c>
      <c r="AC412">
        <v>58551</v>
      </c>
      <c r="AD412">
        <v>1.51</v>
      </c>
      <c r="AE412">
        <v>642</v>
      </c>
      <c r="AF412">
        <v>658</v>
      </c>
      <c r="AG412" t="s">
        <v>120</v>
      </c>
      <c r="AH412">
        <v>0.02</v>
      </c>
      <c r="AI412" t="s">
        <v>120</v>
      </c>
      <c r="AJ412">
        <v>6.15</v>
      </c>
      <c r="AK412" t="s">
        <v>2724</v>
      </c>
      <c r="AL412">
        <v>0.13</v>
      </c>
      <c r="AM412">
        <v>2852</v>
      </c>
      <c r="AN412">
        <v>52</v>
      </c>
      <c r="AO412">
        <v>8.0000000000000004E-4</v>
      </c>
      <c r="AP412">
        <v>-3</v>
      </c>
      <c r="AQ412">
        <v>-4.0599999999999996</v>
      </c>
      <c r="AR412">
        <v>-7.17</v>
      </c>
      <c r="AS412">
        <v>-4.8600000000000003</v>
      </c>
      <c r="AT412">
        <v>2.8</v>
      </c>
      <c r="AU412">
        <v>17.940000000000001</v>
      </c>
      <c r="AV412">
        <v>0</v>
      </c>
      <c r="AW412">
        <v>4.08</v>
      </c>
      <c r="AX412">
        <v>41.46</v>
      </c>
      <c r="AY412">
        <v>26.46</v>
      </c>
      <c r="AZ412">
        <v>28.64</v>
      </c>
      <c r="BA412">
        <v>0.64</v>
      </c>
      <c r="BB412" t="s">
        <v>2725</v>
      </c>
      <c r="BF412">
        <v>-0.81</v>
      </c>
      <c r="BG412">
        <v>-2</v>
      </c>
      <c r="BH412">
        <v>-2.54</v>
      </c>
      <c r="BI412">
        <v>0.56999999999999995</v>
      </c>
      <c r="BJ412">
        <v>20210814</v>
      </c>
      <c r="BK412">
        <v>20000628</v>
      </c>
      <c r="BL412">
        <v>8.69</v>
      </c>
      <c r="BM412" t="s">
        <v>120</v>
      </c>
      <c r="BN412" t="s">
        <v>120</v>
      </c>
      <c r="BO412">
        <v>52.55</v>
      </c>
      <c r="BP412">
        <v>8.8000000000000007</v>
      </c>
      <c r="BQ412">
        <v>38.97</v>
      </c>
      <c r="BR412">
        <v>0.02</v>
      </c>
      <c r="BS412">
        <v>25.79</v>
      </c>
      <c r="BT412">
        <v>27.94</v>
      </c>
      <c r="BU412">
        <v>10.51</v>
      </c>
      <c r="BV412">
        <v>3.19</v>
      </c>
      <c r="BW412">
        <v>11.8</v>
      </c>
      <c r="BX412">
        <v>3.76</v>
      </c>
      <c r="BY412">
        <v>6.61</v>
      </c>
      <c r="BZ412">
        <v>5.87</v>
      </c>
      <c r="CA412" t="s">
        <v>120</v>
      </c>
      <c r="CB412">
        <v>16.649999999999999</v>
      </c>
      <c r="CC412">
        <v>20.78</v>
      </c>
      <c r="CD412">
        <v>8.0500000000000007</v>
      </c>
      <c r="CE412">
        <v>2.72</v>
      </c>
      <c r="CF412">
        <v>-0.28999999999999998</v>
      </c>
      <c r="CG412">
        <v>2.72</v>
      </c>
      <c r="CH412">
        <v>2.1800000000000002</v>
      </c>
      <c r="CI412">
        <v>2.2000000000000002</v>
      </c>
      <c r="CJ412">
        <v>-0.16</v>
      </c>
      <c r="CK412">
        <v>1.94</v>
      </c>
      <c r="CL412">
        <v>10.79</v>
      </c>
      <c r="CM412">
        <v>2.4900000000000002</v>
      </c>
      <c r="CN412">
        <v>-4.18</v>
      </c>
      <c r="CO412">
        <v>41563</v>
      </c>
      <c r="CP412">
        <v>8672</v>
      </c>
      <c r="CQ412" t="s">
        <v>2726</v>
      </c>
      <c r="CR412">
        <v>11.38</v>
      </c>
      <c r="CS412">
        <v>13.39</v>
      </c>
      <c r="CT412">
        <v>1.97</v>
      </c>
      <c r="CU412">
        <v>30.72</v>
      </c>
      <c r="CV412">
        <v>3.69</v>
      </c>
      <c r="CW412">
        <v>4.3899999999999997</v>
      </c>
      <c r="CX412" t="s">
        <v>670</v>
      </c>
      <c r="CY412">
        <v>4.4800000000000004</v>
      </c>
      <c r="CZ412">
        <v>0</v>
      </c>
      <c r="DA412">
        <v>1.92</v>
      </c>
      <c r="DB412">
        <v>1.24</v>
      </c>
      <c r="DC412">
        <v>0.28999999999999998</v>
      </c>
      <c r="DD412">
        <v>74.16</v>
      </c>
      <c r="DE412" t="s">
        <v>2727</v>
      </c>
      <c r="DF412">
        <v>61.27</v>
      </c>
      <c r="DG412">
        <v>13.08</v>
      </c>
      <c r="DH412">
        <v>10.56</v>
      </c>
      <c r="DI412">
        <v>0.5</v>
      </c>
      <c r="DJ412">
        <v>4552</v>
      </c>
      <c r="DK412">
        <v>989</v>
      </c>
      <c r="DL412" t="s">
        <v>120</v>
      </c>
      <c r="DM412" t="s">
        <v>120</v>
      </c>
      <c r="DN412" t="s">
        <v>120</v>
      </c>
    </row>
    <row r="413" spans="1:118">
      <c r="A413" t="str">
        <f>"000990"</f>
        <v>000990</v>
      </c>
      <c r="B413" t="s">
        <v>2728</v>
      </c>
      <c r="C413">
        <v>3.36</v>
      </c>
      <c r="D413">
        <v>-0.16</v>
      </c>
      <c r="E413">
        <v>1.04</v>
      </c>
      <c r="F413">
        <v>1915</v>
      </c>
      <c r="G413" t="s">
        <v>2729</v>
      </c>
      <c r="H413">
        <v>66540.63</v>
      </c>
      <c r="I413">
        <v>301.70999999999998</v>
      </c>
      <c r="J413" t="s">
        <v>120</v>
      </c>
      <c r="K413" t="s">
        <v>2730</v>
      </c>
      <c r="L413">
        <v>2.92</v>
      </c>
      <c r="M413">
        <v>17.850000000000001</v>
      </c>
      <c r="N413">
        <v>2.41</v>
      </c>
      <c r="O413">
        <v>9.9</v>
      </c>
      <c r="P413">
        <v>18.98</v>
      </c>
      <c r="Q413">
        <v>0.64</v>
      </c>
      <c r="R413">
        <v>17.38</v>
      </c>
      <c r="S413">
        <v>17.45</v>
      </c>
      <c r="T413">
        <v>365501</v>
      </c>
      <c r="U413">
        <v>17.850000000000001</v>
      </c>
      <c r="V413">
        <v>17.27</v>
      </c>
      <c r="W413">
        <v>15.14</v>
      </c>
      <c r="X413" t="s">
        <v>868</v>
      </c>
      <c r="Y413" t="s">
        <v>676</v>
      </c>
      <c r="Z413">
        <v>9.26</v>
      </c>
      <c r="AA413">
        <v>18.21</v>
      </c>
      <c r="AB413">
        <v>172547</v>
      </c>
      <c r="AC413">
        <v>192954</v>
      </c>
      <c r="AD413">
        <v>0.89</v>
      </c>
      <c r="AE413">
        <v>5</v>
      </c>
      <c r="AF413">
        <v>296</v>
      </c>
      <c r="AG413" t="s">
        <v>120</v>
      </c>
      <c r="AH413">
        <v>0.03</v>
      </c>
      <c r="AI413" t="s">
        <v>120</v>
      </c>
      <c r="AJ413">
        <v>12.53</v>
      </c>
      <c r="AK413" t="s">
        <v>2730</v>
      </c>
      <c r="AL413">
        <v>5.27</v>
      </c>
      <c r="AM413">
        <v>4383</v>
      </c>
      <c r="AN413">
        <v>83</v>
      </c>
      <c r="AO413">
        <v>6.9999999999999999E-4</v>
      </c>
      <c r="AP413">
        <v>2</v>
      </c>
      <c r="AQ413">
        <v>1.17</v>
      </c>
      <c r="AR413">
        <v>2.94</v>
      </c>
      <c r="AS413">
        <v>3.18</v>
      </c>
      <c r="AT413">
        <v>41.78</v>
      </c>
      <c r="AU413">
        <v>50.51</v>
      </c>
      <c r="AV413">
        <v>2</v>
      </c>
      <c r="AW413">
        <v>6.98</v>
      </c>
      <c r="AX413">
        <v>41.79</v>
      </c>
      <c r="AY413">
        <v>16.64</v>
      </c>
      <c r="AZ413">
        <v>60.94</v>
      </c>
      <c r="BA413">
        <v>0.24</v>
      </c>
      <c r="BB413" t="s">
        <v>231</v>
      </c>
      <c r="BF413">
        <v>5.42</v>
      </c>
      <c r="BG413">
        <v>2.29</v>
      </c>
      <c r="BH413">
        <v>-5.95</v>
      </c>
      <c r="BI413">
        <v>2.7</v>
      </c>
      <c r="BJ413">
        <v>20210813</v>
      </c>
      <c r="BK413">
        <v>20000706</v>
      </c>
      <c r="BL413">
        <v>12.53</v>
      </c>
      <c r="BM413" t="s">
        <v>120</v>
      </c>
      <c r="BN413" t="s">
        <v>120</v>
      </c>
      <c r="BO413">
        <v>250</v>
      </c>
      <c r="BP413">
        <v>17.84</v>
      </c>
      <c r="BQ413">
        <v>173.09</v>
      </c>
      <c r="BR413">
        <v>8.17</v>
      </c>
      <c r="BS413">
        <v>27.5</v>
      </c>
      <c r="BT413">
        <v>65.81</v>
      </c>
      <c r="BU413">
        <v>56.64</v>
      </c>
      <c r="BV413">
        <v>5.45</v>
      </c>
      <c r="BW413">
        <v>44.35</v>
      </c>
      <c r="BX413">
        <v>24.27</v>
      </c>
      <c r="BY413">
        <v>9.31</v>
      </c>
      <c r="BZ413">
        <v>11.64</v>
      </c>
      <c r="CA413">
        <v>7.0000000000000007E-2</v>
      </c>
      <c r="CB413">
        <v>129.83000000000001</v>
      </c>
      <c r="CC413">
        <v>64.02</v>
      </c>
      <c r="CD413">
        <v>47.82</v>
      </c>
      <c r="CE413">
        <v>8.9600000000000009</v>
      </c>
      <c r="CF413">
        <v>0.06</v>
      </c>
      <c r="CG413">
        <v>8.9700000000000006</v>
      </c>
      <c r="CH413">
        <v>7.49</v>
      </c>
      <c r="CI413">
        <v>7.39</v>
      </c>
      <c r="CJ413">
        <v>0.57999999999999996</v>
      </c>
      <c r="CK413">
        <v>7.29</v>
      </c>
      <c r="CL413">
        <v>32.619999999999997</v>
      </c>
      <c r="CM413">
        <v>9.16</v>
      </c>
      <c r="CN413">
        <v>8.8800000000000008</v>
      </c>
      <c r="CO413">
        <v>27793</v>
      </c>
      <c r="CP413">
        <v>18841</v>
      </c>
      <c r="CQ413" t="s">
        <v>2731</v>
      </c>
      <c r="CR413">
        <v>458.15</v>
      </c>
      <c r="CS413">
        <v>60.86</v>
      </c>
      <c r="CT413">
        <v>1.29</v>
      </c>
      <c r="CU413">
        <v>24.42</v>
      </c>
      <c r="CV413">
        <v>3.49</v>
      </c>
      <c r="CW413">
        <v>0</v>
      </c>
      <c r="CX413" t="s">
        <v>1656</v>
      </c>
      <c r="CY413">
        <v>13.81</v>
      </c>
      <c r="CZ413">
        <v>0</v>
      </c>
      <c r="DA413">
        <v>10.36</v>
      </c>
      <c r="DB413">
        <v>2.6</v>
      </c>
      <c r="DC413">
        <v>0.73</v>
      </c>
      <c r="DD413">
        <v>69.239999999999995</v>
      </c>
      <c r="DE413" t="s">
        <v>2110</v>
      </c>
      <c r="DF413">
        <v>25.31</v>
      </c>
      <c r="DG413">
        <v>14</v>
      </c>
      <c r="DH413">
        <v>11.54</v>
      </c>
      <c r="DI413">
        <v>1.55</v>
      </c>
      <c r="DJ413">
        <v>4469</v>
      </c>
      <c r="DK413">
        <v>990</v>
      </c>
      <c r="DL413" t="s">
        <v>120</v>
      </c>
      <c r="DM413" t="s">
        <v>120</v>
      </c>
      <c r="DN413" t="s">
        <v>120</v>
      </c>
    </row>
    <row r="414" spans="1:118">
      <c r="A414" t="str">
        <f>"000993"</f>
        <v>000993</v>
      </c>
      <c r="B414" t="s">
        <v>2732</v>
      </c>
      <c r="C414">
        <v>-3.69</v>
      </c>
      <c r="D414">
        <v>-0.28999999999999998</v>
      </c>
      <c r="E414">
        <v>0.57999999999999996</v>
      </c>
      <c r="F414">
        <v>3613</v>
      </c>
      <c r="G414" t="s">
        <v>422</v>
      </c>
      <c r="H414">
        <v>25672.58</v>
      </c>
      <c r="I414">
        <v>101.32</v>
      </c>
      <c r="J414" t="s">
        <v>120</v>
      </c>
      <c r="K414" t="s">
        <v>2733</v>
      </c>
      <c r="L414">
        <v>5.73</v>
      </c>
      <c r="M414">
        <v>9.92</v>
      </c>
      <c r="N414">
        <v>0.97</v>
      </c>
      <c r="O414">
        <v>1.36</v>
      </c>
      <c r="P414">
        <v>10.44</v>
      </c>
      <c r="Q414">
        <v>-3.69</v>
      </c>
      <c r="R414">
        <v>9.92</v>
      </c>
      <c r="S414">
        <v>10.36</v>
      </c>
      <c r="T414">
        <v>252136</v>
      </c>
      <c r="U414">
        <v>9.93</v>
      </c>
      <c r="V414">
        <v>10.3</v>
      </c>
      <c r="W414">
        <v>34.119999999999997</v>
      </c>
      <c r="X414" t="s">
        <v>1287</v>
      </c>
      <c r="Y414" t="s">
        <v>937</v>
      </c>
      <c r="Z414">
        <v>5.05</v>
      </c>
      <c r="AA414">
        <v>10.18</v>
      </c>
      <c r="AB414">
        <v>144672</v>
      </c>
      <c r="AC414">
        <v>107464</v>
      </c>
      <c r="AD414">
        <v>1.35</v>
      </c>
      <c r="AE414">
        <v>651</v>
      </c>
      <c r="AF414">
        <v>30</v>
      </c>
      <c r="AG414" t="s">
        <v>120</v>
      </c>
      <c r="AH414">
        <v>0.06</v>
      </c>
      <c r="AI414" t="s">
        <v>120</v>
      </c>
      <c r="AJ414">
        <v>4.4000000000000004</v>
      </c>
      <c r="AK414" t="s">
        <v>2734</v>
      </c>
      <c r="AL414">
        <v>-1.78</v>
      </c>
      <c r="AM414">
        <v>3750</v>
      </c>
      <c r="AN414">
        <v>67</v>
      </c>
      <c r="AO414">
        <v>1.5E-3</v>
      </c>
      <c r="AP414">
        <v>-1</v>
      </c>
      <c r="AQ414">
        <v>5.42</v>
      </c>
      <c r="AR414">
        <v>-1.39</v>
      </c>
      <c r="AS414">
        <v>14.16</v>
      </c>
      <c r="AT414">
        <v>-1.39</v>
      </c>
      <c r="AU414">
        <v>22.78</v>
      </c>
      <c r="AV414">
        <v>15</v>
      </c>
      <c r="AW414">
        <v>14.45</v>
      </c>
      <c r="AX414">
        <v>38.11</v>
      </c>
      <c r="AY414" t="s">
        <v>120</v>
      </c>
      <c r="AZ414" t="s">
        <v>120</v>
      </c>
      <c r="BA414">
        <v>0.43</v>
      </c>
      <c r="BB414" t="s">
        <v>143</v>
      </c>
      <c r="BF414">
        <v>-1.1499999999999999</v>
      </c>
      <c r="BG414">
        <v>-4.25</v>
      </c>
      <c r="BH414">
        <v>-4.9800000000000004</v>
      </c>
      <c r="BI414">
        <v>0</v>
      </c>
      <c r="BJ414">
        <v>20210907</v>
      </c>
      <c r="BK414">
        <v>20000731</v>
      </c>
      <c r="BL414">
        <v>4.58</v>
      </c>
      <c r="BM414" t="s">
        <v>120</v>
      </c>
      <c r="BN414" t="s">
        <v>120</v>
      </c>
      <c r="BO414">
        <v>43.24</v>
      </c>
      <c r="BP414">
        <v>9.92</v>
      </c>
      <c r="BQ414">
        <v>19.78</v>
      </c>
      <c r="BR414">
        <v>0.54</v>
      </c>
      <c r="BS414">
        <v>53</v>
      </c>
      <c r="BT414">
        <v>16.25</v>
      </c>
      <c r="BU414">
        <v>19.45</v>
      </c>
      <c r="BV414">
        <v>0.96</v>
      </c>
      <c r="BW414">
        <v>14.67</v>
      </c>
      <c r="BX414">
        <v>3.25</v>
      </c>
      <c r="BY414">
        <v>8.8699999999999992</v>
      </c>
      <c r="BZ414">
        <v>2.63</v>
      </c>
      <c r="CA414" t="s">
        <v>120</v>
      </c>
      <c r="CB414">
        <v>16.489999999999998</v>
      </c>
      <c r="CC414">
        <v>2.4700000000000002</v>
      </c>
      <c r="CD414">
        <v>1.38</v>
      </c>
      <c r="CE414">
        <v>0.7</v>
      </c>
      <c r="CF414">
        <v>0.3</v>
      </c>
      <c r="CG414">
        <v>0.71</v>
      </c>
      <c r="CH414">
        <v>0.65</v>
      </c>
      <c r="CI414">
        <v>0.67</v>
      </c>
      <c r="CJ414">
        <v>-0.38</v>
      </c>
      <c r="CK414">
        <v>0.35</v>
      </c>
      <c r="CL414">
        <v>-1.55</v>
      </c>
      <c r="CM414">
        <v>1.31</v>
      </c>
      <c r="CN414">
        <v>-0.75</v>
      </c>
      <c r="CO414">
        <v>44896</v>
      </c>
      <c r="CP414">
        <v>3887</v>
      </c>
      <c r="CQ414" t="s">
        <v>2735</v>
      </c>
      <c r="CR414">
        <v>444.98</v>
      </c>
      <c r="CS414">
        <v>18.66</v>
      </c>
      <c r="CT414">
        <v>2.2999999999999998</v>
      </c>
      <c r="CU414">
        <v>34.619999999999997</v>
      </c>
      <c r="CV414">
        <v>18.420000000000002</v>
      </c>
      <c r="CW414">
        <v>0</v>
      </c>
      <c r="CX414" t="s">
        <v>2736</v>
      </c>
      <c r="CY414">
        <v>4.32</v>
      </c>
      <c r="CZ414">
        <v>0</v>
      </c>
      <c r="DA414">
        <v>3.6</v>
      </c>
      <c r="DB414">
        <v>-0.34</v>
      </c>
      <c r="DC414">
        <v>0.28999999999999998</v>
      </c>
      <c r="DD414">
        <v>45.74</v>
      </c>
      <c r="DE414" t="s">
        <v>2737</v>
      </c>
      <c r="DF414">
        <v>43.86</v>
      </c>
      <c r="DG414">
        <v>28.43</v>
      </c>
      <c r="DH414">
        <v>26.99</v>
      </c>
      <c r="DI414" t="s">
        <v>120</v>
      </c>
      <c r="DJ414">
        <v>1769</v>
      </c>
      <c r="DK414">
        <v>993</v>
      </c>
      <c r="DL414" t="s">
        <v>120</v>
      </c>
      <c r="DM414" t="s">
        <v>120</v>
      </c>
      <c r="DN414" t="s">
        <v>120</v>
      </c>
    </row>
    <row r="415" spans="1:118">
      <c r="A415" t="str">
        <f>"000995"</f>
        <v>000995</v>
      </c>
      <c r="B415" t="s">
        <v>2738</v>
      </c>
      <c r="C415">
        <v>0.24</v>
      </c>
      <c r="D415">
        <v>-0.02</v>
      </c>
      <c r="E415">
        <v>-1.4</v>
      </c>
      <c r="F415">
        <v>2298</v>
      </c>
      <c r="G415" t="s">
        <v>2739</v>
      </c>
      <c r="H415">
        <v>74808.92</v>
      </c>
      <c r="I415">
        <v>301.74</v>
      </c>
      <c r="J415" t="s">
        <v>120</v>
      </c>
      <c r="K415" t="s">
        <v>2740</v>
      </c>
      <c r="L415">
        <v>14.58</v>
      </c>
      <c r="M415">
        <v>28.67</v>
      </c>
      <c r="N415">
        <v>1.03</v>
      </c>
      <c r="O415">
        <v>4.72</v>
      </c>
      <c r="P415">
        <v>29.95</v>
      </c>
      <c r="Q415">
        <v>-2.8</v>
      </c>
      <c r="R415">
        <v>27.8</v>
      </c>
      <c r="S415">
        <v>28.2</v>
      </c>
      <c r="T415">
        <v>258573</v>
      </c>
      <c r="U415">
        <v>28.68</v>
      </c>
      <c r="V415">
        <v>28.6</v>
      </c>
      <c r="W415" t="s">
        <v>120</v>
      </c>
      <c r="X415" t="s">
        <v>1165</v>
      </c>
      <c r="Y415" t="s">
        <v>1082</v>
      </c>
      <c r="Z415">
        <v>7.52</v>
      </c>
      <c r="AA415">
        <v>28.93</v>
      </c>
      <c r="AB415">
        <v>128234</v>
      </c>
      <c r="AC415">
        <v>130339</v>
      </c>
      <c r="AD415">
        <v>0.98</v>
      </c>
      <c r="AE415">
        <v>26</v>
      </c>
      <c r="AF415">
        <v>407</v>
      </c>
      <c r="AG415" t="s">
        <v>120</v>
      </c>
      <c r="AH415">
        <v>0.1</v>
      </c>
      <c r="AI415" t="s">
        <v>120</v>
      </c>
      <c r="AJ415">
        <v>1.77</v>
      </c>
      <c r="AK415" t="s">
        <v>2740</v>
      </c>
      <c r="AL415">
        <v>2.16</v>
      </c>
      <c r="AM415">
        <v>4486</v>
      </c>
      <c r="AN415">
        <v>58</v>
      </c>
      <c r="AO415">
        <v>3.2000000000000002E-3</v>
      </c>
      <c r="AP415">
        <v>1</v>
      </c>
      <c r="AQ415">
        <v>-3.31</v>
      </c>
      <c r="AR415">
        <v>-0.69</v>
      </c>
      <c r="AS415">
        <v>5.83</v>
      </c>
      <c r="AT415">
        <v>-1.07</v>
      </c>
      <c r="AU415">
        <v>-10.119999999999999</v>
      </c>
      <c r="AV415">
        <v>22</v>
      </c>
      <c r="AW415">
        <v>24.09</v>
      </c>
      <c r="AX415">
        <v>60.51</v>
      </c>
      <c r="AY415">
        <v>275.88</v>
      </c>
      <c r="AZ415">
        <v>151.53</v>
      </c>
      <c r="BA415">
        <v>1.73</v>
      </c>
      <c r="BB415" t="s">
        <v>125</v>
      </c>
      <c r="BF415">
        <v>1.1599999999999999</v>
      </c>
      <c r="BG415">
        <v>1.67</v>
      </c>
      <c r="BH415">
        <v>-4.2699999999999996</v>
      </c>
      <c r="BI415">
        <v>3.13</v>
      </c>
      <c r="BJ415">
        <v>20210828</v>
      </c>
      <c r="BK415">
        <v>20000807</v>
      </c>
      <c r="BL415">
        <v>1.77</v>
      </c>
      <c r="BM415" t="s">
        <v>120</v>
      </c>
      <c r="BN415" t="s">
        <v>120</v>
      </c>
      <c r="BO415">
        <v>4.54</v>
      </c>
      <c r="BP415">
        <v>28.67</v>
      </c>
      <c r="BQ415">
        <v>1.23</v>
      </c>
      <c r="BR415" t="s">
        <v>120</v>
      </c>
      <c r="BS415">
        <v>72.91</v>
      </c>
      <c r="BT415">
        <v>1.85</v>
      </c>
      <c r="BU415">
        <v>0.93</v>
      </c>
      <c r="BV415">
        <v>1.59</v>
      </c>
      <c r="BW415">
        <v>2.64</v>
      </c>
      <c r="BX415">
        <v>0.02</v>
      </c>
      <c r="BY415">
        <v>1.31</v>
      </c>
      <c r="BZ415">
        <v>0.04</v>
      </c>
      <c r="CA415" t="s">
        <v>120</v>
      </c>
      <c r="CB415">
        <v>5.48</v>
      </c>
      <c r="CC415">
        <v>0.25</v>
      </c>
      <c r="CD415">
        <v>0.1</v>
      </c>
      <c r="CE415">
        <v>-0.13</v>
      </c>
      <c r="CF415">
        <v>0</v>
      </c>
      <c r="CG415">
        <v>-0.12</v>
      </c>
      <c r="CH415">
        <v>-0.12</v>
      </c>
      <c r="CI415">
        <v>-0.12</v>
      </c>
      <c r="CJ415">
        <v>7.0000000000000007E-2</v>
      </c>
      <c r="CK415">
        <v>-0.13</v>
      </c>
      <c r="CL415">
        <v>-6.08</v>
      </c>
      <c r="CM415">
        <v>-0.14000000000000001</v>
      </c>
      <c r="CN415">
        <v>-0.04</v>
      </c>
      <c r="CO415">
        <v>72230</v>
      </c>
      <c r="CP415">
        <v>1486</v>
      </c>
      <c r="CQ415" t="s">
        <v>2741</v>
      </c>
      <c r="CR415">
        <v>-500</v>
      </c>
      <c r="CS415">
        <v>-35.82</v>
      </c>
      <c r="CT415">
        <v>41.36</v>
      </c>
      <c r="CU415">
        <v>-368.83</v>
      </c>
      <c r="CV415">
        <v>201.44</v>
      </c>
      <c r="CW415">
        <v>0</v>
      </c>
      <c r="CX415" t="s">
        <v>809</v>
      </c>
      <c r="CY415">
        <v>0.69</v>
      </c>
      <c r="CZ415">
        <v>0</v>
      </c>
      <c r="DA415">
        <v>3.09</v>
      </c>
      <c r="DB415">
        <v>-3.43</v>
      </c>
      <c r="DC415">
        <v>-0.08</v>
      </c>
      <c r="DD415">
        <v>27.09</v>
      </c>
      <c r="DE415" t="s">
        <v>2742</v>
      </c>
      <c r="DF415">
        <v>59.78</v>
      </c>
      <c r="DG415">
        <v>-50.08</v>
      </c>
      <c r="DH415">
        <v>-47.82</v>
      </c>
      <c r="DI415" t="s">
        <v>120</v>
      </c>
      <c r="DJ415">
        <v>388</v>
      </c>
      <c r="DK415">
        <v>995</v>
      </c>
      <c r="DL415">
        <v>20210809</v>
      </c>
      <c r="DM415">
        <v>27.35</v>
      </c>
      <c r="DN415">
        <v>4.83</v>
      </c>
    </row>
    <row r="416" spans="1:118">
      <c r="A416" t="str">
        <f>"000996"</f>
        <v>000996</v>
      </c>
      <c r="B416" t="s">
        <v>2743</v>
      </c>
      <c r="C416">
        <v>-2.1</v>
      </c>
      <c r="D416">
        <v>0</v>
      </c>
      <c r="E416">
        <v>-0.11</v>
      </c>
      <c r="F416">
        <v>554</v>
      </c>
      <c r="G416" t="s">
        <v>2744</v>
      </c>
      <c r="H416">
        <v>4585.67</v>
      </c>
      <c r="I416">
        <v>28.15</v>
      </c>
      <c r="J416" t="s">
        <v>120</v>
      </c>
      <c r="K416" t="s">
        <v>1634</v>
      </c>
      <c r="L416">
        <v>1.48</v>
      </c>
      <c r="M416">
        <v>8.8699999999999992</v>
      </c>
      <c r="N416">
        <v>0.61</v>
      </c>
      <c r="O416">
        <v>0.88</v>
      </c>
      <c r="P416">
        <v>9.14</v>
      </c>
      <c r="Q416">
        <v>-2.3199999999999998</v>
      </c>
      <c r="R416">
        <v>8.85</v>
      </c>
      <c r="S416">
        <v>9.0500000000000007</v>
      </c>
      <c r="T416">
        <v>50984</v>
      </c>
      <c r="U416">
        <v>8.8800000000000008</v>
      </c>
      <c r="V416">
        <v>9.06</v>
      </c>
      <c r="W416">
        <v>614.46</v>
      </c>
      <c r="X416" t="s">
        <v>253</v>
      </c>
      <c r="Y416" t="s">
        <v>158</v>
      </c>
      <c r="Z416">
        <v>3.2</v>
      </c>
      <c r="AA416">
        <v>8.99</v>
      </c>
      <c r="AB416">
        <v>30963</v>
      </c>
      <c r="AC416">
        <v>20021</v>
      </c>
      <c r="AD416">
        <v>1.55</v>
      </c>
      <c r="AE416">
        <v>478</v>
      </c>
      <c r="AF416">
        <v>155</v>
      </c>
      <c r="AG416" t="s">
        <v>120</v>
      </c>
      <c r="AH416">
        <v>0.01</v>
      </c>
      <c r="AI416" t="s">
        <v>120</v>
      </c>
      <c r="AJ416">
        <v>3.45</v>
      </c>
      <c r="AK416" t="s">
        <v>1634</v>
      </c>
      <c r="AL416">
        <v>-0.18</v>
      </c>
      <c r="AM416">
        <v>1535</v>
      </c>
      <c r="AN416">
        <v>33</v>
      </c>
      <c r="AO416">
        <v>1E-3</v>
      </c>
      <c r="AP416">
        <v>-1</v>
      </c>
      <c r="AQ416">
        <v>0.44</v>
      </c>
      <c r="AR416">
        <v>-4.21</v>
      </c>
      <c r="AS416">
        <v>0.79</v>
      </c>
      <c r="AT416">
        <v>-5.44</v>
      </c>
      <c r="AU416">
        <v>1.96</v>
      </c>
      <c r="AV416">
        <v>7</v>
      </c>
      <c r="AW416">
        <v>1.83</v>
      </c>
      <c r="AX416">
        <v>80.56</v>
      </c>
      <c r="AY416">
        <v>697.03</v>
      </c>
      <c r="AZ416">
        <v>513.89</v>
      </c>
      <c r="BA416">
        <v>0.53</v>
      </c>
      <c r="BB416" t="s">
        <v>143</v>
      </c>
      <c r="BF416">
        <v>-0.73</v>
      </c>
      <c r="BG416">
        <v>-1.99</v>
      </c>
      <c r="BH416">
        <v>-2.95</v>
      </c>
      <c r="BI416">
        <v>0.23</v>
      </c>
      <c r="BJ416">
        <v>20210831</v>
      </c>
      <c r="BK416">
        <v>20000718</v>
      </c>
      <c r="BL416">
        <v>3.45</v>
      </c>
      <c r="BM416" t="s">
        <v>120</v>
      </c>
      <c r="BN416" t="s">
        <v>120</v>
      </c>
      <c r="BO416">
        <v>6.94</v>
      </c>
      <c r="BP416">
        <v>8.8699999999999992</v>
      </c>
      <c r="BQ416">
        <v>4.83</v>
      </c>
      <c r="BR416" t="s">
        <v>120</v>
      </c>
      <c r="BS416">
        <v>30.34</v>
      </c>
      <c r="BT416">
        <v>0.5</v>
      </c>
      <c r="BU416">
        <v>0.02</v>
      </c>
      <c r="BV416">
        <v>0</v>
      </c>
      <c r="BW416">
        <v>1.51</v>
      </c>
      <c r="BX416">
        <v>0.01</v>
      </c>
      <c r="BY416">
        <v>0.16</v>
      </c>
      <c r="BZ416">
        <v>0.01</v>
      </c>
      <c r="CA416" t="s">
        <v>120</v>
      </c>
      <c r="CB416">
        <v>0.35</v>
      </c>
      <c r="CC416">
        <v>0.16</v>
      </c>
      <c r="CD416">
        <v>0.14000000000000001</v>
      </c>
      <c r="CE416">
        <v>0.02</v>
      </c>
      <c r="CF416">
        <v>0.09</v>
      </c>
      <c r="CG416">
        <v>0.02</v>
      </c>
      <c r="CH416">
        <v>0.02</v>
      </c>
      <c r="CI416">
        <v>0.02</v>
      </c>
      <c r="CJ416">
        <v>-0.19</v>
      </c>
      <c r="CK416">
        <v>0.02</v>
      </c>
      <c r="CL416">
        <v>1.04</v>
      </c>
      <c r="CM416">
        <v>-0.04</v>
      </c>
      <c r="CN416">
        <v>-0.04</v>
      </c>
      <c r="CO416">
        <v>38493</v>
      </c>
      <c r="CP416">
        <v>7220</v>
      </c>
      <c r="CQ416" t="s">
        <v>572</v>
      </c>
      <c r="CR416">
        <v>-39.090000000000003</v>
      </c>
      <c r="CS416">
        <v>-9.32</v>
      </c>
      <c r="CT416">
        <v>6.33</v>
      </c>
      <c r="CU416">
        <v>-839.36</v>
      </c>
      <c r="CV416">
        <v>192.28</v>
      </c>
      <c r="CW416">
        <v>0</v>
      </c>
      <c r="CX416" t="s">
        <v>2745</v>
      </c>
      <c r="CY416">
        <v>1.4</v>
      </c>
      <c r="CZ416">
        <v>0</v>
      </c>
      <c r="DA416">
        <v>0.1</v>
      </c>
      <c r="DB416">
        <v>0.3</v>
      </c>
      <c r="DC416">
        <v>-0.01</v>
      </c>
      <c r="DD416">
        <v>69.66</v>
      </c>
      <c r="DE416" t="s">
        <v>2746</v>
      </c>
      <c r="DF416">
        <v>15.01</v>
      </c>
      <c r="DG416">
        <v>14.88</v>
      </c>
      <c r="DH416">
        <v>15.65</v>
      </c>
      <c r="DI416" t="s">
        <v>120</v>
      </c>
      <c r="DJ416">
        <v>67</v>
      </c>
      <c r="DK416">
        <v>996</v>
      </c>
      <c r="DL416" t="s">
        <v>120</v>
      </c>
      <c r="DM416" t="s">
        <v>120</v>
      </c>
      <c r="DN416" t="s">
        <v>120</v>
      </c>
    </row>
    <row r="417" spans="1:118">
      <c r="A417" t="str">
        <f>"000997"</f>
        <v>000997</v>
      </c>
      <c r="B417" t="s">
        <v>2747</v>
      </c>
      <c r="C417">
        <v>-0.94</v>
      </c>
      <c r="D417">
        <v>0</v>
      </c>
      <c r="E417">
        <v>0.31</v>
      </c>
      <c r="F417">
        <v>2691</v>
      </c>
      <c r="G417" t="s">
        <v>2748</v>
      </c>
      <c r="H417">
        <v>21739.79</v>
      </c>
      <c r="I417">
        <v>70.62</v>
      </c>
      <c r="J417" t="s">
        <v>120</v>
      </c>
      <c r="K417" t="s">
        <v>2749</v>
      </c>
      <c r="L417">
        <v>1.33</v>
      </c>
      <c r="M417">
        <v>15.85</v>
      </c>
      <c r="N417">
        <v>0.73</v>
      </c>
      <c r="O417">
        <v>0.81</v>
      </c>
      <c r="P417">
        <v>16.13</v>
      </c>
      <c r="Q417">
        <v>-2</v>
      </c>
      <c r="R417">
        <v>15.68</v>
      </c>
      <c r="S417">
        <v>16.05</v>
      </c>
      <c r="T417">
        <v>136605</v>
      </c>
      <c r="U417">
        <v>15.86</v>
      </c>
      <c r="V417">
        <v>16</v>
      </c>
      <c r="W417">
        <v>26.11</v>
      </c>
      <c r="X417" t="s">
        <v>141</v>
      </c>
      <c r="Y417" t="s">
        <v>937</v>
      </c>
      <c r="Z417">
        <v>2.81</v>
      </c>
      <c r="AA417">
        <v>15.91</v>
      </c>
      <c r="AB417">
        <v>74594</v>
      </c>
      <c r="AC417">
        <v>62011</v>
      </c>
      <c r="AD417">
        <v>1.2</v>
      </c>
      <c r="AE417">
        <v>1202</v>
      </c>
      <c r="AF417">
        <v>161</v>
      </c>
      <c r="AG417" t="s">
        <v>120</v>
      </c>
      <c r="AH417">
        <v>0.01</v>
      </c>
      <c r="AI417" t="s">
        <v>120</v>
      </c>
      <c r="AJ417">
        <v>10.26</v>
      </c>
      <c r="AK417" t="s">
        <v>2750</v>
      </c>
      <c r="AL417">
        <v>0.98</v>
      </c>
      <c r="AM417">
        <v>3222</v>
      </c>
      <c r="AN417">
        <v>42</v>
      </c>
      <c r="AO417">
        <v>4.0000000000000002E-4</v>
      </c>
      <c r="AP417">
        <v>-2</v>
      </c>
      <c r="AQ417">
        <v>-4.6500000000000004</v>
      </c>
      <c r="AR417">
        <v>-4.12</v>
      </c>
      <c r="AS417">
        <v>2.06</v>
      </c>
      <c r="AT417">
        <v>-5.75</v>
      </c>
      <c r="AU417">
        <v>6.18</v>
      </c>
      <c r="AV417">
        <v>1</v>
      </c>
      <c r="AW417">
        <v>1.9</v>
      </c>
      <c r="AX417">
        <v>69.48</v>
      </c>
      <c r="AY417">
        <v>30.86</v>
      </c>
      <c r="AZ417">
        <v>36.33</v>
      </c>
      <c r="BA417">
        <v>0.73</v>
      </c>
      <c r="BB417" t="s">
        <v>143</v>
      </c>
      <c r="BF417">
        <v>-0.54</v>
      </c>
      <c r="BG417">
        <v>-1.25</v>
      </c>
      <c r="BH417">
        <v>-1.74</v>
      </c>
      <c r="BI417">
        <v>1.08</v>
      </c>
      <c r="BJ417">
        <v>20210913</v>
      </c>
      <c r="BK417">
        <v>20000807</v>
      </c>
      <c r="BL417">
        <v>10.32</v>
      </c>
      <c r="BM417" t="s">
        <v>120</v>
      </c>
      <c r="BN417" t="s">
        <v>120</v>
      </c>
      <c r="BO417">
        <v>109.74</v>
      </c>
      <c r="BP417">
        <v>15.85</v>
      </c>
      <c r="BQ417">
        <v>58.73</v>
      </c>
      <c r="BR417">
        <v>2.17</v>
      </c>
      <c r="BS417">
        <v>44.51</v>
      </c>
      <c r="BT417">
        <v>73.84</v>
      </c>
      <c r="BU417">
        <v>4.47</v>
      </c>
      <c r="BV417">
        <v>1.48</v>
      </c>
      <c r="BW417">
        <v>46.5</v>
      </c>
      <c r="BX417">
        <v>37.47</v>
      </c>
      <c r="BY417">
        <v>10.35</v>
      </c>
      <c r="BZ417">
        <v>11.62</v>
      </c>
      <c r="CA417" t="s">
        <v>120</v>
      </c>
      <c r="CB417">
        <v>17.87</v>
      </c>
      <c r="CC417">
        <v>32.630000000000003</v>
      </c>
      <c r="CD417">
        <v>24.81</v>
      </c>
      <c r="CE417">
        <v>3.57</v>
      </c>
      <c r="CF417">
        <v>-0.01</v>
      </c>
      <c r="CG417">
        <v>3.54</v>
      </c>
      <c r="CH417">
        <v>3.31</v>
      </c>
      <c r="CI417">
        <v>3.13</v>
      </c>
      <c r="CJ417">
        <v>-0.15</v>
      </c>
      <c r="CK417">
        <v>2.2999999999999998</v>
      </c>
      <c r="CL417">
        <v>30.61</v>
      </c>
      <c r="CM417">
        <v>4.58</v>
      </c>
      <c r="CN417">
        <v>-4.9000000000000004</v>
      </c>
      <c r="CO417">
        <v>79923</v>
      </c>
      <c r="CP417">
        <v>8972</v>
      </c>
      <c r="CQ417" t="s">
        <v>2751</v>
      </c>
      <c r="CR417">
        <v>34.659999999999997</v>
      </c>
      <c r="CS417">
        <v>18.98</v>
      </c>
      <c r="CT417">
        <v>2.79</v>
      </c>
      <c r="CU417">
        <v>35.71</v>
      </c>
      <c r="CV417">
        <v>5.01</v>
      </c>
      <c r="CW417">
        <v>2.16</v>
      </c>
      <c r="CX417" t="s">
        <v>2752</v>
      </c>
      <c r="CY417">
        <v>5.69</v>
      </c>
      <c r="CZ417">
        <v>0</v>
      </c>
      <c r="DA417">
        <v>1.73</v>
      </c>
      <c r="DB417">
        <v>2.97</v>
      </c>
      <c r="DC417">
        <v>0.44</v>
      </c>
      <c r="DD417">
        <v>53.51</v>
      </c>
      <c r="DE417" t="s">
        <v>2753</v>
      </c>
      <c r="DF417">
        <v>23.94</v>
      </c>
      <c r="DG417">
        <v>10.93</v>
      </c>
      <c r="DH417">
        <v>9.6</v>
      </c>
      <c r="DI417">
        <v>3.01</v>
      </c>
      <c r="DJ417">
        <v>6570</v>
      </c>
      <c r="DK417">
        <v>997</v>
      </c>
      <c r="DL417" t="s">
        <v>120</v>
      </c>
      <c r="DM417" t="s">
        <v>120</v>
      </c>
      <c r="DN417" t="s">
        <v>120</v>
      </c>
    </row>
    <row r="418" spans="1:118">
      <c r="A418" t="str">
        <f>"000998"</f>
        <v>000998</v>
      </c>
      <c r="B418" t="s">
        <v>2754</v>
      </c>
      <c r="C418">
        <v>0.88</v>
      </c>
      <c r="D418">
        <v>0.09</v>
      </c>
      <c r="E418">
        <v>0.31</v>
      </c>
      <c r="F418">
        <v>3998</v>
      </c>
      <c r="G418" t="s">
        <v>2755</v>
      </c>
      <c r="H418">
        <v>147279.82</v>
      </c>
      <c r="I418">
        <v>515.91</v>
      </c>
      <c r="J418" t="s">
        <v>120</v>
      </c>
      <c r="K418" t="s">
        <v>2756</v>
      </c>
      <c r="L418">
        <v>5.94</v>
      </c>
      <c r="M418">
        <v>23.03</v>
      </c>
      <c r="N418">
        <v>1.31</v>
      </c>
      <c r="O418">
        <v>5.56</v>
      </c>
      <c r="P418">
        <v>24.1</v>
      </c>
      <c r="Q418">
        <v>-0.92</v>
      </c>
      <c r="R418">
        <v>22.62</v>
      </c>
      <c r="S418">
        <v>22.9</v>
      </c>
      <c r="T418">
        <v>631034</v>
      </c>
      <c r="U418">
        <v>23.04</v>
      </c>
      <c r="V418">
        <v>22.83</v>
      </c>
      <c r="W418" t="s">
        <v>120</v>
      </c>
      <c r="X418" t="s">
        <v>1700</v>
      </c>
      <c r="Y418" t="s">
        <v>594</v>
      </c>
      <c r="Z418">
        <v>6.48</v>
      </c>
      <c r="AA418">
        <v>23.34</v>
      </c>
      <c r="AB418">
        <v>313881</v>
      </c>
      <c r="AC418">
        <v>317153</v>
      </c>
      <c r="AD418">
        <v>0.99</v>
      </c>
      <c r="AE418">
        <v>920</v>
      </c>
      <c r="AF418">
        <v>59</v>
      </c>
      <c r="AG418" t="s">
        <v>120</v>
      </c>
      <c r="AH418">
        <v>0.02</v>
      </c>
      <c r="AI418" t="s">
        <v>120</v>
      </c>
      <c r="AJ418">
        <v>10.62</v>
      </c>
      <c r="AK418" t="s">
        <v>2757</v>
      </c>
      <c r="AL418">
        <v>2.79</v>
      </c>
      <c r="AM418">
        <v>4655</v>
      </c>
      <c r="AN418">
        <v>136</v>
      </c>
      <c r="AO418">
        <v>1.2999999999999999E-3</v>
      </c>
      <c r="AP418">
        <v>2</v>
      </c>
      <c r="AQ418">
        <v>4.58</v>
      </c>
      <c r="AR418">
        <v>1.18</v>
      </c>
      <c r="AS418">
        <v>17.739999999999998</v>
      </c>
      <c r="AT418">
        <v>44.38</v>
      </c>
      <c r="AU418">
        <v>16.25</v>
      </c>
      <c r="AV418">
        <v>3</v>
      </c>
      <c r="AW418">
        <v>6.74</v>
      </c>
      <c r="AX418">
        <v>71.13</v>
      </c>
      <c r="AY418">
        <v>227.12</v>
      </c>
      <c r="AZ418">
        <v>259.41000000000003</v>
      </c>
      <c r="BA418">
        <v>0.39</v>
      </c>
      <c r="BB418" t="s">
        <v>143</v>
      </c>
      <c r="BF418">
        <v>2.23</v>
      </c>
      <c r="BG418">
        <v>0.56999999999999995</v>
      </c>
      <c r="BH418">
        <v>-4.4400000000000004</v>
      </c>
      <c r="BI418">
        <v>1.81</v>
      </c>
      <c r="BJ418">
        <v>20210830</v>
      </c>
      <c r="BK418">
        <v>20001211</v>
      </c>
      <c r="BL418">
        <v>13.17</v>
      </c>
      <c r="BM418" t="s">
        <v>120</v>
      </c>
      <c r="BN418" t="s">
        <v>120</v>
      </c>
      <c r="BO418">
        <v>136.88</v>
      </c>
      <c r="BP418">
        <v>23.03</v>
      </c>
      <c r="BQ418">
        <v>56.33</v>
      </c>
      <c r="BR418">
        <v>7.9</v>
      </c>
      <c r="BS418">
        <v>53.07</v>
      </c>
      <c r="BT418">
        <v>58.15</v>
      </c>
      <c r="BU418">
        <v>13.83</v>
      </c>
      <c r="BV418">
        <v>11.5</v>
      </c>
      <c r="BW418">
        <v>44.09</v>
      </c>
      <c r="BX418">
        <v>10.62</v>
      </c>
      <c r="BY418">
        <v>22.3</v>
      </c>
      <c r="BZ418">
        <v>9.26</v>
      </c>
      <c r="CA418" t="s">
        <v>120</v>
      </c>
      <c r="CB418">
        <v>32.25</v>
      </c>
      <c r="CC418">
        <v>11.2</v>
      </c>
      <c r="CD418">
        <v>6.62</v>
      </c>
      <c r="CE418">
        <v>-0.04</v>
      </c>
      <c r="CF418">
        <v>-0.18</v>
      </c>
      <c r="CG418">
        <v>-0.05</v>
      </c>
      <c r="CH418">
        <v>-0.14000000000000001</v>
      </c>
      <c r="CI418">
        <v>-0.56999999999999995</v>
      </c>
      <c r="CJ418">
        <v>0.2</v>
      </c>
      <c r="CK418">
        <v>-0.98</v>
      </c>
      <c r="CL418">
        <v>22.13</v>
      </c>
      <c r="CM418">
        <v>-2.6</v>
      </c>
      <c r="CN418">
        <v>-5.71</v>
      </c>
      <c r="CO418">
        <v>169914</v>
      </c>
      <c r="CP418">
        <v>5513</v>
      </c>
      <c r="CQ418" t="s">
        <v>2758</v>
      </c>
      <c r="CR418">
        <v>22.39</v>
      </c>
      <c r="CS418">
        <v>-1.06</v>
      </c>
      <c r="CT418">
        <v>5.38</v>
      </c>
      <c r="CU418">
        <v>-116.61</v>
      </c>
      <c r="CV418">
        <v>27.08</v>
      </c>
      <c r="CW418">
        <v>0</v>
      </c>
      <c r="CX418" t="s">
        <v>1255</v>
      </c>
      <c r="CY418">
        <v>4.28</v>
      </c>
      <c r="CZ418">
        <v>0</v>
      </c>
      <c r="DA418">
        <v>2.4500000000000002</v>
      </c>
      <c r="DB418">
        <v>1.68</v>
      </c>
      <c r="DC418">
        <v>-0.2</v>
      </c>
      <c r="DD418">
        <v>41.15</v>
      </c>
      <c r="DE418" t="s">
        <v>2759</v>
      </c>
      <c r="DF418">
        <v>40.869999999999997</v>
      </c>
      <c r="DG418">
        <v>-0.34</v>
      </c>
      <c r="DH418">
        <v>-5.0999999999999996</v>
      </c>
      <c r="DI418">
        <v>0.76</v>
      </c>
      <c r="DJ418">
        <v>2763</v>
      </c>
      <c r="DK418">
        <v>998</v>
      </c>
      <c r="DL418" t="s">
        <v>120</v>
      </c>
      <c r="DM418" t="s">
        <v>120</v>
      </c>
      <c r="DN418" t="s">
        <v>120</v>
      </c>
    </row>
    <row r="419" spans="1:118">
      <c r="A419" t="str">
        <f>"000999"</f>
        <v>000999</v>
      </c>
      <c r="B419" t="s">
        <v>2760</v>
      </c>
      <c r="C419">
        <v>0.04</v>
      </c>
      <c r="D419">
        <v>-0.06</v>
      </c>
      <c r="E419">
        <v>0.36</v>
      </c>
      <c r="F419">
        <v>2711</v>
      </c>
      <c r="G419" t="s">
        <v>2761</v>
      </c>
      <c r="H419">
        <v>17383.43</v>
      </c>
      <c r="I419">
        <v>42.4</v>
      </c>
      <c r="J419" t="s">
        <v>120</v>
      </c>
      <c r="K419" t="s">
        <v>2762</v>
      </c>
      <c r="L419">
        <v>0.64</v>
      </c>
      <c r="M419">
        <v>27.62</v>
      </c>
      <c r="N419">
        <v>1.1000000000000001</v>
      </c>
      <c r="O419">
        <v>2.57</v>
      </c>
      <c r="P419">
        <v>28.32</v>
      </c>
      <c r="Q419">
        <v>-0.11</v>
      </c>
      <c r="R419">
        <v>27.58</v>
      </c>
      <c r="S419">
        <v>27.71</v>
      </c>
      <c r="T419">
        <v>62242</v>
      </c>
      <c r="U419">
        <v>27.63</v>
      </c>
      <c r="V419">
        <v>27.61</v>
      </c>
      <c r="W419">
        <v>9.9</v>
      </c>
      <c r="X419" t="s">
        <v>771</v>
      </c>
      <c r="Y419" t="s">
        <v>123</v>
      </c>
      <c r="Z419">
        <v>2.68</v>
      </c>
      <c r="AA419">
        <v>27.93</v>
      </c>
      <c r="AB419">
        <v>29693</v>
      </c>
      <c r="AC419">
        <v>32549</v>
      </c>
      <c r="AD419">
        <v>0.91</v>
      </c>
      <c r="AE419">
        <v>3</v>
      </c>
      <c r="AF419">
        <v>5</v>
      </c>
      <c r="AG419" t="s">
        <v>120</v>
      </c>
      <c r="AH419">
        <v>0</v>
      </c>
      <c r="AI419" t="s">
        <v>120</v>
      </c>
      <c r="AJ419">
        <v>9.7799999999999994</v>
      </c>
      <c r="AK419" t="s">
        <v>2763</v>
      </c>
      <c r="AL419">
        <v>1.95</v>
      </c>
      <c r="AM419">
        <v>3566</v>
      </c>
      <c r="AN419">
        <v>17</v>
      </c>
      <c r="AO419">
        <v>2.0000000000000001E-4</v>
      </c>
      <c r="AP419">
        <v>1</v>
      </c>
      <c r="AQ419">
        <v>-1.1100000000000001</v>
      </c>
      <c r="AR419">
        <v>-2.12</v>
      </c>
      <c r="AS419">
        <v>13.61</v>
      </c>
      <c r="AT419">
        <v>8.66</v>
      </c>
      <c r="AU419">
        <v>13.01</v>
      </c>
      <c r="AV419">
        <v>0</v>
      </c>
      <c r="AW419">
        <v>1.75</v>
      </c>
      <c r="AX419">
        <v>36.35</v>
      </c>
      <c r="AY419">
        <v>14.17</v>
      </c>
      <c r="AZ419">
        <v>16.920000000000002</v>
      </c>
      <c r="BA419">
        <v>0.51</v>
      </c>
      <c r="BB419" t="s">
        <v>143</v>
      </c>
      <c r="BF419">
        <v>1.1499999999999999</v>
      </c>
      <c r="BG419">
        <v>-0.32</v>
      </c>
      <c r="BH419">
        <v>-2.4700000000000002</v>
      </c>
      <c r="BI419">
        <v>0.15</v>
      </c>
      <c r="BJ419">
        <v>20210914</v>
      </c>
      <c r="BK419">
        <v>20000309</v>
      </c>
      <c r="BL419">
        <v>9.7899999999999991</v>
      </c>
      <c r="BM419" t="s">
        <v>120</v>
      </c>
      <c r="BN419" t="s">
        <v>120</v>
      </c>
      <c r="BO419">
        <v>226.72</v>
      </c>
      <c r="BP419">
        <v>27.62</v>
      </c>
      <c r="BQ419">
        <v>145.96</v>
      </c>
      <c r="BR419">
        <v>3.98</v>
      </c>
      <c r="BS419">
        <v>33.869999999999997</v>
      </c>
      <c r="BT419">
        <v>112.07</v>
      </c>
      <c r="BU419">
        <v>36.29</v>
      </c>
      <c r="BV419">
        <v>21.83</v>
      </c>
      <c r="BW419">
        <v>68.95</v>
      </c>
      <c r="BX419">
        <v>34.46</v>
      </c>
      <c r="BY419">
        <v>20.13</v>
      </c>
      <c r="BZ419">
        <v>28.88</v>
      </c>
      <c r="CA419" t="s">
        <v>120</v>
      </c>
      <c r="CB419">
        <v>16.36</v>
      </c>
      <c r="CC419">
        <v>77.569999999999993</v>
      </c>
      <c r="CD419">
        <v>30.82</v>
      </c>
      <c r="CE419">
        <v>17.36</v>
      </c>
      <c r="CF419">
        <v>0.09</v>
      </c>
      <c r="CG419">
        <v>17.29</v>
      </c>
      <c r="CH419">
        <v>13.78</v>
      </c>
      <c r="CI419">
        <v>13.65</v>
      </c>
      <c r="CJ419">
        <v>0.01</v>
      </c>
      <c r="CK419">
        <v>12.65</v>
      </c>
      <c r="CL419">
        <v>114.5</v>
      </c>
      <c r="CM419">
        <v>10.55</v>
      </c>
      <c r="CN419">
        <v>-2.35</v>
      </c>
      <c r="CO419">
        <v>40104</v>
      </c>
      <c r="CP419">
        <v>8873</v>
      </c>
      <c r="CQ419" t="s">
        <v>2764</v>
      </c>
      <c r="CR419">
        <v>29.44</v>
      </c>
      <c r="CS419">
        <v>31.95</v>
      </c>
      <c r="CT419">
        <v>1.85</v>
      </c>
      <c r="CU419">
        <v>25.64</v>
      </c>
      <c r="CV419">
        <v>3.49</v>
      </c>
      <c r="CW419">
        <v>1.81</v>
      </c>
      <c r="CX419" t="s">
        <v>2765</v>
      </c>
      <c r="CY419">
        <v>14.91</v>
      </c>
      <c r="CZ419">
        <v>0</v>
      </c>
      <c r="DA419">
        <v>1.67</v>
      </c>
      <c r="DB419">
        <v>11.7</v>
      </c>
      <c r="DC419">
        <v>1.08</v>
      </c>
      <c r="DD419">
        <v>64.38</v>
      </c>
      <c r="DE419" t="s">
        <v>2766</v>
      </c>
      <c r="DF419">
        <v>60.27</v>
      </c>
      <c r="DG419">
        <v>22.38</v>
      </c>
      <c r="DH419">
        <v>17.600000000000001</v>
      </c>
      <c r="DI419">
        <v>2.36</v>
      </c>
      <c r="DJ419">
        <v>15087</v>
      </c>
      <c r="DK419">
        <v>999</v>
      </c>
      <c r="DL419" t="s">
        <v>120</v>
      </c>
      <c r="DM419" t="s">
        <v>120</v>
      </c>
      <c r="DN419" t="s">
        <v>120</v>
      </c>
    </row>
    <row r="420" spans="1:118">
      <c r="A420" t="str">
        <f>"001201"</f>
        <v>001201</v>
      </c>
      <c r="B420" t="s">
        <v>2767</v>
      </c>
      <c r="C420">
        <v>5.03</v>
      </c>
      <c r="D420">
        <v>0</v>
      </c>
      <c r="E420">
        <v>0</v>
      </c>
      <c r="F420">
        <v>550</v>
      </c>
      <c r="G420" t="s">
        <v>2768</v>
      </c>
      <c r="H420">
        <v>14143.09</v>
      </c>
      <c r="I420">
        <v>14.44</v>
      </c>
      <c r="J420" t="s">
        <v>120</v>
      </c>
      <c r="K420" t="s">
        <v>2768</v>
      </c>
      <c r="L420">
        <v>8.7100000000000009</v>
      </c>
      <c r="M420">
        <v>36.979999999999997</v>
      </c>
      <c r="N420">
        <v>5.03</v>
      </c>
      <c r="O420">
        <v>6.7</v>
      </c>
      <c r="P420">
        <v>37.57</v>
      </c>
      <c r="Q420">
        <v>0</v>
      </c>
      <c r="R420">
        <v>35.21</v>
      </c>
      <c r="S420">
        <v>35.21</v>
      </c>
      <c r="T420">
        <v>38638</v>
      </c>
      <c r="U420">
        <v>36.979999999999997</v>
      </c>
      <c r="V420">
        <v>35.21</v>
      </c>
      <c r="W420">
        <v>14.15</v>
      </c>
      <c r="X420" t="s">
        <v>447</v>
      </c>
      <c r="Y420" t="s">
        <v>547</v>
      </c>
      <c r="Z420">
        <v>6.7</v>
      </c>
      <c r="AA420">
        <v>36.6</v>
      </c>
      <c r="AB420">
        <v>15361</v>
      </c>
      <c r="AC420">
        <v>23277</v>
      </c>
      <c r="AD420">
        <v>0.66</v>
      </c>
      <c r="AE420">
        <v>15</v>
      </c>
      <c r="AF420">
        <v>109</v>
      </c>
      <c r="AG420" t="s">
        <v>120</v>
      </c>
      <c r="AH420">
        <v>0.01</v>
      </c>
      <c r="AI420" t="s">
        <v>120</v>
      </c>
      <c r="AJ420">
        <v>0.44</v>
      </c>
      <c r="AK420" t="s">
        <v>2769</v>
      </c>
      <c r="AL420">
        <v>6.94</v>
      </c>
      <c r="AM420">
        <v>2624</v>
      </c>
      <c r="AN420">
        <v>15</v>
      </c>
      <c r="AO420">
        <v>3.3E-3</v>
      </c>
      <c r="AP420">
        <v>1</v>
      </c>
      <c r="AQ420">
        <v>-0.68</v>
      </c>
      <c r="AR420">
        <v>3.81</v>
      </c>
      <c r="AS420">
        <v>3.29</v>
      </c>
      <c r="AT420">
        <v>-12.8</v>
      </c>
      <c r="AU420">
        <v>-17.010000000000002</v>
      </c>
      <c r="AV420">
        <v>0</v>
      </c>
      <c r="AW420">
        <v>8.7100000000000009</v>
      </c>
      <c r="AX420">
        <v>25</v>
      </c>
      <c r="AY420">
        <v>10.58</v>
      </c>
      <c r="AZ420">
        <v>9.17</v>
      </c>
      <c r="BA420">
        <v>0.46</v>
      </c>
      <c r="BB420" t="s">
        <v>143</v>
      </c>
      <c r="BF420">
        <v>3.96</v>
      </c>
      <c r="BG420">
        <v>5.03</v>
      </c>
      <c r="BH420">
        <v>-1.57</v>
      </c>
      <c r="BI420">
        <v>5.03</v>
      </c>
      <c r="BJ420">
        <v>20210826</v>
      </c>
      <c r="BK420">
        <v>20210428</v>
      </c>
      <c r="BL420">
        <v>1.77</v>
      </c>
      <c r="BM420" t="s">
        <v>120</v>
      </c>
      <c r="BN420" t="s">
        <v>120</v>
      </c>
      <c r="BO420">
        <v>35.83</v>
      </c>
      <c r="BP420">
        <v>36.97</v>
      </c>
      <c r="BQ420">
        <v>31.18</v>
      </c>
      <c r="BR420" t="s">
        <v>120</v>
      </c>
      <c r="BS420">
        <v>12.99</v>
      </c>
      <c r="BT420">
        <v>20.92</v>
      </c>
      <c r="BU420">
        <v>6.66</v>
      </c>
      <c r="BV420">
        <v>0.04</v>
      </c>
      <c r="BW420">
        <v>2.91</v>
      </c>
      <c r="BX420">
        <v>8.98</v>
      </c>
      <c r="BY420">
        <v>2.08</v>
      </c>
      <c r="BZ420">
        <v>0.06</v>
      </c>
      <c r="CA420">
        <v>0</v>
      </c>
      <c r="CB420">
        <v>19.02</v>
      </c>
      <c r="CC420">
        <v>6.55</v>
      </c>
      <c r="CD420">
        <v>3.36</v>
      </c>
      <c r="CE420">
        <v>2.41</v>
      </c>
      <c r="CF420">
        <v>0.24</v>
      </c>
      <c r="CG420">
        <v>2.37</v>
      </c>
      <c r="CH420">
        <v>2.3199999999999998</v>
      </c>
      <c r="CI420">
        <v>2.3199999999999998</v>
      </c>
      <c r="CJ420">
        <v>1.77</v>
      </c>
      <c r="CK420">
        <v>2.31</v>
      </c>
      <c r="CL420">
        <v>9.91</v>
      </c>
      <c r="CM420">
        <v>1.87</v>
      </c>
      <c r="CN420">
        <v>4.3</v>
      </c>
      <c r="CO420">
        <v>40120</v>
      </c>
      <c r="CP420">
        <v>1105</v>
      </c>
      <c r="CQ420" t="s">
        <v>2770</v>
      </c>
      <c r="CR420">
        <v>0</v>
      </c>
      <c r="CS420">
        <v>0</v>
      </c>
      <c r="CT420">
        <v>2.1</v>
      </c>
      <c r="CU420">
        <v>35.01</v>
      </c>
      <c r="CV420">
        <v>10.02</v>
      </c>
      <c r="CW420">
        <v>2.0299999999999998</v>
      </c>
      <c r="CX420" t="s">
        <v>2771</v>
      </c>
      <c r="CY420">
        <v>17.579999999999998</v>
      </c>
      <c r="CZ420">
        <v>0</v>
      </c>
      <c r="DA420">
        <v>10.73</v>
      </c>
      <c r="DB420">
        <v>5.59</v>
      </c>
      <c r="DC420">
        <v>1.06</v>
      </c>
      <c r="DD420">
        <v>87.01</v>
      </c>
      <c r="DE420" t="s">
        <v>2772</v>
      </c>
      <c r="DF420">
        <v>48.68</v>
      </c>
      <c r="DG420">
        <v>36.770000000000003</v>
      </c>
      <c r="DH420">
        <v>35.4</v>
      </c>
      <c r="DI420">
        <v>0.04</v>
      </c>
      <c r="DJ420">
        <v>837</v>
      </c>
      <c r="DK420">
        <v>1201</v>
      </c>
      <c r="DL420" t="s">
        <v>120</v>
      </c>
      <c r="DM420" t="s">
        <v>120</v>
      </c>
      <c r="DN420" t="s">
        <v>120</v>
      </c>
    </row>
    <row r="421" spans="1:118">
      <c r="A421" t="str">
        <f>"001202"</f>
        <v>001202</v>
      </c>
      <c r="B421" t="s">
        <v>2773</v>
      </c>
      <c r="C421">
        <v>-0.41</v>
      </c>
      <c r="D421">
        <v>0.12</v>
      </c>
      <c r="E421">
        <v>0</v>
      </c>
      <c r="F421">
        <v>170</v>
      </c>
      <c r="G421" t="s">
        <v>2774</v>
      </c>
      <c r="H421">
        <v>1702.28</v>
      </c>
      <c r="I421">
        <v>12.45</v>
      </c>
      <c r="J421" t="s">
        <v>120</v>
      </c>
      <c r="K421" t="s">
        <v>2774</v>
      </c>
      <c r="L421">
        <v>3.09</v>
      </c>
      <c r="M421">
        <v>16.98</v>
      </c>
      <c r="N421">
        <v>0.96</v>
      </c>
      <c r="O421">
        <v>1.41</v>
      </c>
      <c r="P421">
        <v>17.29</v>
      </c>
      <c r="Q421">
        <v>-0.53</v>
      </c>
      <c r="R421">
        <v>16.96</v>
      </c>
      <c r="S421">
        <v>17.05</v>
      </c>
      <c r="T421">
        <v>9949</v>
      </c>
      <c r="U421">
        <v>16.989999999999998</v>
      </c>
      <c r="V421">
        <v>17.05</v>
      </c>
      <c r="W421">
        <v>41.69</v>
      </c>
      <c r="X421" t="s">
        <v>2775</v>
      </c>
      <c r="Y421" t="s">
        <v>547</v>
      </c>
      <c r="Z421">
        <v>1.94</v>
      </c>
      <c r="AA421">
        <v>17.11</v>
      </c>
      <c r="AB421">
        <v>5545</v>
      </c>
      <c r="AC421">
        <v>4404</v>
      </c>
      <c r="AD421">
        <v>1.26</v>
      </c>
      <c r="AE421">
        <v>87</v>
      </c>
      <c r="AF421">
        <v>46</v>
      </c>
      <c r="AG421" t="s">
        <v>120</v>
      </c>
      <c r="AH421">
        <v>0.02</v>
      </c>
      <c r="AI421" t="s">
        <v>120</v>
      </c>
      <c r="AJ421">
        <v>0.32</v>
      </c>
      <c r="AK421" t="s">
        <v>2776</v>
      </c>
      <c r="AL421">
        <v>1.5</v>
      </c>
      <c r="AM421">
        <v>804</v>
      </c>
      <c r="AN421">
        <v>12</v>
      </c>
      <c r="AO421">
        <v>3.8E-3</v>
      </c>
      <c r="AP421">
        <v>-3</v>
      </c>
      <c r="AQ421">
        <v>-0.06</v>
      </c>
      <c r="AR421">
        <v>-2.4700000000000002</v>
      </c>
      <c r="AS421">
        <v>-5.14</v>
      </c>
      <c r="AT421">
        <v>-14.89</v>
      </c>
      <c r="AU421">
        <v>12.53</v>
      </c>
      <c r="AV421">
        <v>1</v>
      </c>
      <c r="AW421">
        <v>3.09</v>
      </c>
      <c r="AX421">
        <v>25.03</v>
      </c>
      <c r="AY421">
        <v>27.73</v>
      </c>
      <c r="AZ421">
        <v>24.33</v>
      </c>
      <c r="BA421">
        <v>0.3</v>
      </c>
      <c r="BB421" t="s">
        <v>143</v>
      </c>
      <c r="BF421">
        <v>0.35</v>
      </c>
      <c r="BG421">
        <v>-0.41</v>
      </c>
      <c r="BH421">
        <v>-1.79</v>
      </c>
      <c r="BI421">
        <v>0.12</v>
      </c>
      <c r="BJ421">
        <v>20210901</v>
      </c>
      <c r="BK421">
        <v>20210429</v>
      </c>
      <c r="BL421">
        <v>1.29</v>
      </c>
      <c r="BM421" t="s">
        <v>120</v>
      </c>
      <c r="BN421" t="s">
        <v>120</v>
      </c>
      <c r="BO421">
        <v>8.26</v>
      </c>
      <c r="BP421">
        <v>16.98</v>
      </c>
      <c r="BQ421">
        <v>7.12</v>
      </c>
      <c r="BR421" t="s">
        <v>120</v>
      </c>
      <c r="BS421">
        <v>13.82</v>
      </c>
      <c r="BT421">
        <v>4.71</v>
      </c>
      <c r="BU421">
        <v>0.61</v>
      </c>
      <c r="BV421">
        <v>1.0900000000000001</v>
      </c>
      <c r="BW421">
        <v>0.26</v>
      </c>
      <c r="BX421">
        <v>3.67</v>
      </c>
      <c r="BY421">
        <v>0.12</v>
      </c>
      <c r="BZ421">
        <v>0.64</v>
      </c>
      <c r="CA421" t="s">
        <v>120</v>
      </c>
      <c r="CB421">
        <v>4.0599999999999996</v>
      </c>
      <c r="CC421">
        <v>3.04</v>
      </c>
      <c r="CD421">
        <v>2.46</v>
      </c>
      <c r="CE421">
        <v>0.35</v>
      </c>
      <c r="CF421">
        <v>0</v>
      </c>
      <c r="CG421">
        <v>0.35</v>
      </c>
      <c r="CH421">
        <v>0.26</v>
      </c>
      <c r="CI421">
        <v>0.26</v>
      </c>
      <c r="CJ421">
        <v>-7.0000000000000007E-2</v>
      </c>
      <c r="CK421">
        <v>0.24</v>
      </c>
      <c r="CL421">
        <v>1.6</v>
      </c>
      <c r="CM421">
        <v>0.12</v>
      </c>
      <c r="CN421">
        <v>2.88</v>
      </c>
      <c r="CO421">
        <v>19660</v>
      </c>
      <c r="CP421">
        <v>1640</v>
      </c>
      <c r="CQ421" t="s">
        <v>2777</v>
      </c>
      <c r="CR421">
        <v>0</v>
      </c>
      <c r="CS421">
        <v>0</v>
      </c>
      <c r="CT421">
        <v>3.07</v>
      </c>
      <c r="CU421">
        <v>181.44</v>
      </c>
      <c r="CV421">
        <v>7.19</v>
      </c>
      <c r="CW421">
        <v>0</v>
      </c>
      <c r="CX421" t="s">
        <v>626</v>
      </c>
      <c r="CY421">
        <v>5.53</v>
      </c>
      <c r="CZ421">
        <v>0</v>
      </c>
      <c r="DA421">
        <v>3.15</v>
      </c>
      <c r="DB421">
        <v>1.24</v>
      </c>
      <c r="DC421">
        <v>0.09</v>
      </c>
      <c r="DD421">
        <v>86.18</v>
      </c>
      <c r="DE421" t="s">
        <v>2778</v>
      </c>
      <c r="DF421">
        <v>19.28</v>
      </c>
      <c r="DG421">
        <v>11.65</v>
      </c>
      <c r="DH421">
        <v>8.6199999999999992</v>
      </c>
      <c r="DI421">
        <v>0.01</v>
      </c>
      <c r="DJ421">
        <v>292</v>
      </c>
      <c r="DK421">
        <v>1202</v>
      </c>
      <c r="DL421" t="s">
        <v>120</v>
      </c>
      <c r="DM421" t="s">
        <v>120</v>
      </c>
      <c r="DN421" t="s">
        <v>120</v>
      </c>
    </row>
    <row r="422" spans="1:118">
      <c r="A422" t="str">
        <f>"001203"</f>
        <v>001203</v>
      </c>
      <c r="B422" t="s">
        <v>2779</v>
      </c>
      <c r="C422">
        <v>-4.13</v>
      </c>
      <c r="D422">
        <v>-0.1</v>
      </c>
      <c r="E422">
        <v>-0.32</v>
      </c>
      <c r="F422">
        <v>1519</v>
      </c>
      <c r="G422" t="s">
        <v>2780</v>
      </c>
      <c r="H422">
        <v>29914.66</v>
      </c>
      <c r="I422">
        <v>165.05</v>
      </c>
      <c r="J422" t="s">
        <v>120</v>
      </c>
      <c r="K422" t="s">
        <v>2780</v>
      </c>
      <c r="L422">
        <v>7.37</v>
      </c>
      <c r="M422">
        <v>18.100000000000001</v>
      </c>
      <c r="N422">
        <v>0.83</v>
      </c>
      <c r="O422">
        <v>0.9</v>
      </c>
      <c r="P422">
        <v>19.05</v>
      </c>
      <c r="Q422">
        <v>-4.13</v>
      </c>
      <c r="R422">
        <v>18.100000000000001</v>
      </c>
      <c r="S422">
        <v>18.82</v>
      </c>
      <c r="T422">
        <v>161436</v>
      </c>
      <c r="U422">
        <v>18.11</v>
      </c>
      <c r="V422">
        <v>18.88</v>
      </c>
      <c r="W422">
        <v>15.33</v>
      </c>
      <c r="X422" t="s">
        <v>1460</v>
      </c>
      <c r="Y422" t="s">
        <v>785</v>
      </c>
      <c r="Z422">
        <v>5.03</v>
      </c>
      <c r="AA422">
        <v>18.53</v>
      </c>
      <c r="AB422">
        <v>95395</v>
      </c>
      <c r="AC422">
        <v>66041</v>
      </c>
      <c r="AD422">
        <v>1.44</v>
      </c>
      <c r="AE422">
        <v>2047</v>
      </c>
      <c r="AF422">
        <v>221</v>
      </c>
      <c r="AG422" t="s">
        <v>120</v>
      </c>
      <c r="AH422">
        <v>0.04</v>
      </c>
      <c r="AI422" t="s">
        <v>120</v>
      </c>
      <c r="AJ422">
        <v>2.19</v>
      </c>
      <c r="AK422" t="s">
        <v>2781</v>
      </c>
      <c r="AL422">
        <v>-2.2200000000000002</v>
      </c>
      <c r="AM422">
        <v>3859</v>
      </c>
      <c r="AN422">
        <v>42</v>
      </c>
      <c r="AO422">
        <v>1.9E-3</v>
      </c>
      <c r="AP422">
        <v>-1</v>
      </c>
      <c r="AQ422">
        <v>0.32</v>
      </c>
      <c r="AR422">
        <v>-8.9499999999999993</v>
      </c>
      <c r="AS422">
        <v>-2.5299999999999998</v>
      </c>
      <c r="AT422">
        <v>-15.69</v>
      </c>
      <c r="AU422">
        <v>101.55</v>
      </c>
      <c r="AV422">
        <v>3</v>
      </c>
      <c r="AW422">
        <v>7.37</v>
      </c>
      <c r="AX422">
        <v>14.52</v>
      </c>
      <c r="AY422">
        <v>20.63</v>
      </c>
      <c r="AZ422">
        <v>48.33</v>
      </c>
      <c r="BA422">
        <v>0.54</v>
      </c>
      <c r="BB422" t="s">
        <v>143</v>
      </c>
      <c r="BF422">
        <v>-1.85</v>
      </c>
      <c r="BG422">
        <v>-3.83</v>
      </c>
      <c r="BH422">
        <v>-4.99</v>
      </c>
      <c r="BI422">
        <v>0</v>
      </c>
      <c r="BJ422">
        <v>20210820</v>
      </c>
      <c r="BK422">
        <v>20210510</v>
      </c>
      <c r="BL422">
        <v>15.08</v>
      </c>
      <c r="BM422" t="s">
        <v>120</v>
      </c>
      <c r="BN422" t="s">
        <v>120</v>
      </c>
      <c r="BO422">
        <v>95.81</v>
      </c>
      <c r="BP422">
        <v>18.100000000000001</v>
      </c>
      <c r="BQ422">
        <v>49.54</v>
      </c>
      <c r="BR422" t="s">
        <v>120</v>
      </c>
      <c r="BS422">
        <v>48.29</v>
      </c>
      <c r="BT422">
        <v>30.83</v>
      </c>
      <c r="BU422">
        <v>32.130000000000003</v>
      </c>
      <c r="BV422">
        <v>28.65</v>
      </c>
      <c r="BW422">
        <v>31.09</v>
      </c>
      <c r="BX422">
        <v>24.65</v>
      </c>
      <c r="BY422">
        <v>2.81</v>
      </c>
      <c r="BZ422">
        <v>2.29</v>
      </c>
      <c r="CA422" t="s">
        <v>120</v>
      </c>
      <c r="CB422">
        <v>16.75</v>
      </c>
      <c r="CC422">
        <v>22.94</v>
      </c>
      <c r="CD422">
        <v>8.18</v>
      </c>
      <c r="CE422">
        <v>10.56</v>
      </c>
      <c r="CF422">
        <v>0</v>
      </c>
      <c r="CG422">
        <v>10.52</v>
      </c>
      <c r="CH422">
        <v>8.9</v>
      </c>
      <c r="CI422">
        <v>8.9</v>
      </c>
      <c r="CJ422">
        <v>-0.78</v>
      </c>
      <c r="CK422">
        <v>8.86</v>
      </c>
      <c r="CL422">
        <v>14.07</v>
      </c>
      <c r="CM422">
        <v>11.34</v>
      </c>
      <c r="CN422">
        <v>18.239999999999998</v>
      </c>
      <c r="CO422">
        <v>98839</v>
      </c>
      <c r="CP422">
        <v>2215</v>
      </c>
      <c r="CQ422" t="s">
        <v>2782</v>
      </c>
      <c r="CR422">
        <v>0</v>
      </c>
      <c r="CS422">
        <v>0</v>
      </c>
      <c r="CT422">
        <v>5.51</v>
      </c>
      <c r="CU422">
        <v>24.08</v>
      </c>
      <c r="CV422">
        <v>11.9</v>
      </c>
      <c r="CW422">
        <v>2.12</v>
      </c>
      <c r="CX422" t="s">
        <v>2783</v>
      </c>
      <c r="CY422">
        <v>3.29</v>
      </c>
      <c r="CZ422">
        <v>0</v>
      </c>
      <c r="DA422">
        <v>1.1100000000000001</v>
      </c>
      <c r="DB422">
        <v>0.93</v>
      </c>
      <c r="DC422">
        <v>0.75</v>
      </c>
      <c r="DD422">
        <v>51.71</v>
      </c>
      <c r="DE422" t="s">
        <v>2784</v>
      </c>
      <c r="DF422">
        <v>64.36</v>
      </c>
      <c r="DG422">
        <v>46.05</v>
      </c>
      <c r="DH422">
        <v>38.799999999999997</v>
      </c>
      <c r="DI422">
        <v>0.56999999999999995</v>
      </c>
      <c r="DJ422">
        <v>2732</v>
      </c>
      <c r="DK422">
        <v>1203</v>
      </c>
      <c r="DL422" t="s">
        <v>120</v>
      </c>
      <c r="DM422" t="s">
        <v>120</v>
      </c>
      <c r="DN422" t="s">
        <v>120</v>
      </c>
    </row>
    <row r="423" spans="1:118">
      <c r="A423" t="str">
        <f>"001205"</f>
        <v>001205</v>
      </c>
      <c r="B423" t="s">
        <v>2785</v>
      </c>
      <c r="C423">
        <v>-3.27</v>
      </c>
      <c r="D423">
        <v>0</v>
      </c>
      <c r="E423">
        <v>-0.9</v>
      </c>
      <c r="F423">
        <v>155</v>
      </c>
      <c r="G423" t="s">
        <v>2786</v>
      </c>
      <c r="H423">
        <v>5216.6499999999996</v>
      </c>
      <c r="I423">
        <v>79.510000000000005</v>
      </c>
      <c r="J423" t="s">
        <v>120</v>
      </c>
      <c r="K423" t="s">
        <v>2786</v>
      </c>
      <c r="L423">
        <v>7.21</v>
      </c>
      <c r="M423">
        <v>23.66</v>
      </c>
      <c r="N423">
        <v>0.67</v>
      </c>
      <c r="O423">
        <v>1.31</v>
      </c>
      <c r="P423">
        <v>24.78</v>
      </c>
      <c r="Q423">
        <v>-3.84</v>
      </c>
      <c r="R423">
        <v>23.52</v>
      </c>
      <c r="S423">
        <v>24.24</v>
      </c>
      <c r="T423">
        <v>21673</v>
      </c>
      <c r="U423">
        <v>23.69</v>
      </c>
      <c r="V423">
        <v>24.46</v>
      </c>
      <c r="W423">
        <v>22.64</v>
      </c>
      <c r="X423" t="s">
        <v>917</v>
      </c>
      <c r="Y423" t="s">
        <v>319</v>
      </c>
      <c r="Z423">
        <v>5.15</v>
      </c>
      <c r="AA423">
        <v>24.07</v>
      </c>
      <c r="AB423">
        <v>13753</v>
      </c>
      <c r="AC423">
        <v>7920</v>
      </c>
      <c r="AD423">
        <v>1.74</v>
      </c>
      <c r="AE423">
        <v>134</v>
      </c>
      <c r="AF423">
        <v>18</v>
      </c>
      <c r="AG423" t="s">
        <v>120</v>
      </c>
      <c r="AH423">
        <v>0.11</v>
      </c>
      <c r="AI423" t="s">
        <v>120</v>
      </c>
      <c r="AJ423">
        <v>0.3</v>
      </c>
      <c r="AK423" t="s">
        <v>2787</v>
      </c>
      <c r="AL423">
        <v>-1.36</v>
      </c>
      <c r="AM423">
        <v>2058</v>
      </c>
      <c r="AN423">
        <v>11</v>
      </c>
      <c r="AO423">
        <v>3.5000000000000001E-3</v>
      </c>
      <c r="AP423">
        <v>-3</v>
      </c>
      <c r="AQ423">
        <v>-0.08</v>
      </c>
      <c r="AR423">
        <v>-7.86</v>
      </c>
      <c r="AS423">
        <v>-6.67</v>
      </c>
      <c r="AT423">
        <v>-17.850000000000001</v>
      </c>
      <c r="AU423">
        <v>43.22</v>
      </c>
      <c r="AV423">
        <v>2</v>
      </c>
      <c r="AW423">
        <v>7.21</v>
      </c>
      <c r="AX423">
        <v>25</v>
      </c>
      <c r="AY423">
        <v>22.75</v>
      </c>
      <c r="AZ423">
        <v>26.31</v>
      </c>
      <c r="BA423">
        <v>0.97</v>
      </c>
      <c r="BB423" t="s">
        <v>125</v>
      </c>
      <c r="BF423">
        <v>-1.6</v>
      </c>
      <c r="BG423">
        <v>-2.39</v>
      </c>
      <c r="BH423">
        <v>-4.5199999999999996</v>
      </c>
      <c r="BI423">
        <v>0.6</v>
      </c>
      <c r="BJ423">
        <v>20210915</v>
      </c>
      <c r="BK423">
        <v>20210513</v>
      </c>
      <c r="BL423">
        <v>1.2</v>
      </c>
      <c r="BM423" t="s">
        <v>120</v>
      </c>
      <c r="BN423" t="s">
        <v>120</v>
      </c>
      <c r="BO423">
        <v>15.43</v>
      </c>
      <c r="BP423">
        <v>23.66</v>
      </c>
      <c r="BQ423">
        <v>12.44</v>
      </c>
      <c r="BR423" t="s">
        <v>120</v>
      </c>
      <c r="BS423">
        <v>19.38</v>
      </c>
      <c r="BT423">
        <v>5.88</v>
      </c>
      <c r="BU423">
        <v>7.54</v>
      </c>
      <c r="BV423">
        <v>0</v>
      </c>
      <c r="BW423">
        <v>1.68</v>
      </c>
      <c r="BX423">
        <v>1.44</v>
      </c>
      <c r="BY423">
        <v>0.28000000000000003</v>
      </c>
      <c r="BZ423">
        <v>0.65</v>
      </c>
      <c r="CA423" t="s">
        <v>120</v>
      </c>
      <c r="CB423">
        <v>7.53</v>
      </c>
      <c r="CC423">
        <v>2.85</v>
      </c>
      <c r="CD423">
        <v>1.76</v>
      </c>
      <c r="CE423">
        <v>0.72</v>
      </c>
      <c r="CF423">
        <v>0</v>
      </c>
      <c r="CG423">
        <v>0.73</v>
      </c>
      <c r="CH423">
        <v>0.63</v>
      </c>
      <c r="CI423">
        <v>0.63</v>
      </c>
      <c r="CJ423">
        <v>-0.8</v>
      </c>
      <c r="CK423">
        <v>0.62</v>
      </c>
      <c r="CL423">
        <v>3.4</v>
      </c>
      <c r="CM423">
        <v>1.22</v>
      </c>
      <c r="CN423">
        <v>1.19</v>
      </c>
      <c r="CO423">
        <v>18776</v>
      </c>
      <c r="CP423">
        <v>1601</v>
      </c>
      <c r="CQ423" t="s">
        <v>1901</v>
      </c>
      <c r="CR423">
        <v>0</v>
      </c>
      <c r="CS423">
        <v>0</v>
      </c>
      <c r="CT423">
        <v>2.29</v>
      </c>
      <c r="CU423">
        <v>23.37</v>
      </c>
      <c r="CV423">
        <v>9.98</v>
      </c>
      <c r="CW423">
        <v>0</v>
      </c>
      <c r="CX423" t="s">
        <v>2533</v>
      </c>
      <c r="CY423">
        <v>10.34</v>
      </c>
      <c r="CZ423">
        <v>0</v>
      </c>
      <c r="DA423">
        <v>6.26</v>
      </c>
      <c r="DB423">
        <v>2.83</v>
      </c>
      <c r="DC423">
        <v>1.01</v>
      </c>
      <c r="DD423">
        <v>80.62</v>
      </c>
      <c r="DE423" t="s">
        <v>710</v>
      </c>
      <c r="DF423">
        <v>38.229999999999997</v>
      </c>
      <c r="DG423">
        <v>25.28</v>
      </c>
      <c r="DH423">
        <v>22.04</v>
      </c>
      <c r="DI423">
        <v>0.11</v>
      </c>
      <c r="DJ423">
        <v>430</v>
      </c>
      <c r="DK423">
        <v>1205</v>
      </c>
      <c r="DL423" t="s">
        <v>120</v>
      </c>
      <c r="DM423" t="s">
        <v>120</v>
      </c>
      <c r="DN423" t="s">
        <v>120</v>
      </c>
    </row>
    <row r="424" spans="1:118">
      <c r="A424" t="str">
        <f>"001206"</f>
        <v>001206</v>
      </c>
      <c r="B424" t="s">
        <v>2788</v>
      </c>
      <c r="C424">
        <v>0.17</v>
      </c>
      <c r="D424">
        <v>0.02</v>
      </c>
      <c r="E424">
        <v>0.02</v>
      </c>
      <c r="F424">
        <v>99</v>
      </c>
      <c r="G424" t="s">
        <v>2789</v>
      </c>
      <c r="H424">
        <v>5525.08</v>
      </c>
      <c r="I424">
        <v>13.03</v>
      </c>
      <c r="J424" t="s">
        <v>120</v>
      </c>
      <c r="K424" t="s">
        <v>2789</v>
      </c>
      <c r="L424">
        <v>4.79</v>
      </c>
      <c r="M424">
        <v>48.34</v>
      </c>
      <c r="N424">
        <v>1.38</v>
      </c>
      <c r="O424">
        <v>2.82</v>
      </c>
      <c r="P424">
        <v>49.62</v>
      </c>
      <c r="Q424">
        <v>-0.21</v>
      </c>
      <c r="R424">
        <v>48.16</v>
      </c>
      <c r="S424">
        <v>48.27</v>
      </c>
      <c r="T424">
        <v>11298</v>
      </c>
      <c r="U424">
        <v>48.4</v>
      </c>
      <c r="V424">
        <v>48.26</v>
      </c>
      <c r="W424">
        <v>37.78</v>
      </c>
      <c r="X424" t="s">
        <v>814</v>
      </c>
      <c r="Y424" t="s">
        <v>997</v>
      </c>
      <c r="Z424">
        <v>3.03</v>
      </c>
      <c r="AA424">
        <v>48.9</v>
      </c>
      <c r="AB424">
        <v>5562</v>
      </c>
      <c r="AC424">
        <v>5736</v>
      </c>
      <c r="AD424">
        <v>0.97</v>
      </c>
      <c r="AE424">
        <v>55</v>
      </c>
      <c r="AF424">
        <v>4</v>
      </c>
      <c r="AG424" t="s">
        <v>120</v>
      </c>
      <c r="AH424">
        <v>0.01</v>
      </c>
      <c r="AI424" t="s">
        <v>120</v>
      </c>
      <c r="AJ424">
        <v>0.24</v>
      </c>
      <c r="AK424" t="s">
        <v>2790</v>
      </c>
      <c r="AL424">
        <v>2.08</v>
      </c>
      <c r="AM424">
        <v>1367</v>
      </c>
      <c r="AN424">
        <v>8</v>
      </c>
      <c r="AO424">
        <v>3.5000000000000001E-3</v>
      </c>
      <c r="AP424">
        <v>2</v>
      </c>
      <c r="AQ424">
        <v>1.24</v>
      </c>
      <c r="AR424">
        <v>0.88</v>
      </c>
      <c r="AS424">
        <v>-12.12</v>
      </c>
      <c r="AT424">
        <v>-26.87</v>
      </c>
      <c r="AU424">
        <v>8.39</v>
      </c>
      <c r="AV424">
        <v>2</v>
      </c>
      <c r="AW424">
        <v>4.79</v>
      </c>
      <c r="AX424">
        <v>25</v>
      </c>
      <c r="AY424">
        <v>31.7</v>
      </c>
      <c r="AZ424">
        <v>23.41</v>
      </c>
      <c r="BA424">
        <v>0.81</v>
      </c>
      <c r="BB424" t="s">
        <v>143</v>
      </c>
      <c r="BF424">
        <v>1.33</v>
      </c>
      <c r="BG424">
        <v>0.15</v>
      </c>
      <c r="BH424">
        <v>-2.58</v>
      </c>
      <c r="BI424">
        <v>0.37</v>
      </c>
      <c r="BJ424">
        <v>20210827</v>
      </c>
      <c r="BK424">
        <v>20210518</v>
      </c>
      <c r="BL424">
        <v>0.94</v>
      </c>
      <c r="BM424" t="s">
        <v>120</v>
      </c>
      <c r="BN424" t="s">
        <v>120</v>
      </c>
      <c r="BO424">
        <v>19.010000000000002</v>
      </c>
      <c r="BP424">
        <v>48.34</v>
      </c>
      <c r="BQ424">
        <v>17.47</v>
      </c>
      <c r="BR424" t="s">
        <v>120</v>
      </c>
      <c r="BS424">
        <v>8.09</v>
      </c>
      <c r="BT424">
        <v>12.76</v>
      </c>
      <c r="BU424">
        <v>2.02</v>
      </c>
      <c r="BV424">
        <v>0.51</v>
      </c>
      <c r="BW424">
        <v>1.38</v>
      </c>
      <c r="BX424">
        <v>9.4499999999999993</v>
      </c>
      <c r="BY424">
        <v>1.2</v>
      </c>
      <c r="BZ424">
        <v>1.75</v>
      </c>
      <c r="CA424" t="s">
        <v>120</v>
      </c>
      <c r="CB424">
        <v>12.19</v>
      </c>
      <c r="CC424">
        <v>5.73</v>
      </c>
      <c r="CD424">
        <v>4.62</v>
      </c>
      <c r="CE424">
        <v>0.8</v>
      </c>
      <c r="CF424">
        <v>0.01</v>
      </c>
      <c r="CG424">
        <v>0.79</v>
      </c>
      <c r="CH424">
        <v>0.6</v>
      </c>
      <c r="CI424">
        <v>0.6</v>
      </c>
      <c r="CJ424">
        <v>0.08</v>
      </c>
      <c r="CK424">
        <v>0.6</v>
      </c>
      <c r="CL424">
        <v>4.04</v>
      </c>
      <c r="CM424">
        <v>0.55000000000000004</v>
      </c>
      <c r="CN424">
        <v>8.91</v>
      </c>
      <c r="CO424">
        <v>19936</v>
      </c>
      <c r="CP424">
        <v>1183</v>
      </c>
      <c r="CQ424" t="s">
        <v>2791</v>
      </c>
      <c r="CR424">
        <v>0</v>
      </c>
      <c r="CS424">
        <v>0</v>
      </c>
      <c r="CT424">
        <v>2.61</v>
      </c>
      <c r="CU424">
        <v>83.02</v>
      </c>
      <c r="CV424">
        <v>7.96</v>
      </c>
      <c r="CW424">
        <v>1.66</v>
      </c>
      <c r="CX424" t="s">
        <v>2792</v>
      </c>
      <c r="CY424">
        <v>18.52</v>
      </c>
      <c r="CZ424">
        <v>0</v>
      </c>
      <c r="DA424">
        <v>12.92</v>
      </c>
      <c r="DB424">
        <v>4.28</v>
      </c>
      <c r="DC424">
        <v>0.57999999999999996</v>
      </c>
      <c r="DD424">
        <v>91.91</v>
      </c>
      <c r="DE424" t="s">
        <v>285</v>
      </c>
      <c r="DF424">
        <v>19.41</v>
      </c>
      <c r="DG424">
        <v>13.9</v>
      </c>
      <c r="DH424">
        <v>10.53</v>
      </c>
      <c r="DI424">
        <v>0.04</v>
      </c>
      <c r="DJ424">
        <v>1138</v>
      </c>
      <c r="DK424">
        <v>1206</v>
      </c>
      <c r="DL424" t="s">
        <v>120</v>
      </c>
      <c r="DM424" t="s">
        <v>120</v>
      </c>
      <c r="DN424" t="s">
        <v>120</v>
      </c>
    </row>
    <row r="425" spans="1:118">
      <c r="A425" t="str">
        <f>"001207"</f>
        <v>001207</v>
      </c>
      <c r="B425" t="s">
        <v>2793</v>
      </c>
      <c r="C425">
        <v>1.04</v>
      </c>
      <c r="D425">
        <v>-0.03</v>
      </c>
      <c r="E425">
        <v>-0.88</v>
      </c>
      <c r="F425">
        <v>679</v>
      </c>
      <c r="G425" t="s">
        <v>2794</v>
      </c>
      <c r="H425">
        <v>10905.16</v>
      </c>
      <c r="I425">
        <v>31.57</v>
      </c>
      <c r="J425" t="s">
        <v>120</v>
      </c>
      <c r="K425" t="s">
        <v>2794</v>
      </c>
      <c r="L425">
        <v>9.84</v>
      </c>
      <c r="M425">
        <v>24.2</v>
      </c>
      <c r="N425">
        <v>0.88</v>
      </c>
      <c r="O425">
        <v>2.8</v>
      </c>
      <c r="P425">
        <v>24.62</v>
      </c>
      <c r="Q425">
        <v>-0.88</v>
      </c>
      <c r="R425">
        <v>23.74</v>
      </c>
      <c r="S425">
        <v>23.74</v>
      </c>
      <c r="T425">
        <v>44772</v>
      </c>
      <c r="U425">
        <v>24.2</v>
      </c>
      <c r="V425">
        <v>23.95</v>
      </c>
      <c r="W425">
        <v>23.5</v>
      </c>
      <c r="X425" t="s">
        <v>868</v>
      </c>
      <c r="Y425" t="s">
        <v>638</v>
      </c>
      <c r="Z425">
        <v>3.67</v>
      </c>
      <c r="AA425">
        <v>24.36</v>
      </c>
      <c r="AB425">
        <v>22018</v>
      </c>
      <c r="AC425">
        <v>22754</v>
      </c>
      <c r="AD425">
        <v>0.97</v>
      </c>
      <c r="AE425">
        <v>4</v>
      </c>
      <c r="AF425">
        <v>266</v>
      </c>
      <c r="AG425" t="s">
        <v>120</v>
      </c>
      <c r="AH425">
        <v>0.03</v>
      </c>
      <c r="AI425" t="s">
        <v>120</v>
      </c>
      <c r="AJ425">
        <v>0.46</v>
      </c>
      <c r="AK425" t="s">
        <v>2795</v>
      </c>
      <c r="AL425">
        <v>2.96</v>
      </c>
      <c r="AM425">
        <v>2553</v>
      </c>
      <c r="AN425">
        <v>18</v>
      </c>
      <c r="AO425">
        <v>3.8999999999999998E-3</v>
      </c>
      <c r="AP425">
        <v>2</v>
      </c>
      <c r="AQ425">
        <v>1.4</v>
      </c>
      <c r="AR425">
        <v>-0.49</v>
      </c>
      <c r="AS425">
        <v>-16.55</v>
      </c>
      <c r="AT425">
        <v>7.04</v>
      </c>
      <c r="AU425">
        <v>69.58</v>
      </c>
      <c r="AV425">
        <v>4</v>
      </c>
      <c r="AW425">
        <v>9.84</v>
      </c>
      <c r="AX425">
        <v>25</v>
      </c>
      <c r="AY425">
        <v>24.14</v>
      </c>
      <c r="AZ425">
        <v>36.81</v>
      </c>
      <c r="BA425">
        <v>0.22</v>
      </c>
      <c r="BB425" t="s">
        <v>143</v>
      </c>
      <c r="BF425">
        <v>1.7</v>
      </c>
      <c r="BG425">
        <v>1.94</v>
      </c>
      <c r="BH425">
        <v>-1.71</v>
      </c>
      <c r="BI425">
        <v>1.94</v>
      </c>
      <c r="BJ425">
        <v>20210821</v>
      </c>
      <c r="BK425">
        <v>20210623</v>
      </c>
      <c r="BL425">
        <v>1.82</v>
      </c>
      <c r="BM425" t="s">
        <v>120</v>
      </c>
      <c r="BN425" t="s">
        <v>120</v>
      </c>
      <c r="BO425">
        <v>17.850000000000001</v>
      </c>
      <c r="BP425">
        <v>24.19</v>
      </c>
      <c r="BQ425">
        <v>12.44</v>
      </c>
      <c r="BR425">
        <v>0.11</v>
      </c>
      <c r="BS425">
        <v>29.69</v>
      </c>
      <c r="BT425">
        <v>11.83</v>
      </c>
      <c r="BU425">
        <v>3.71</v>
      </c>
      <c r="BV425">
        <v>0.95</v>
      </c>
      <c r="BW425">
        <v>5.23</v>
      </c>
      <c r="BX425">
        <v>6.95</v>
      </c>
      <c r="BY425">
        <v>1.03</v>
      </c>
      <c r="BZ425">
        <v>2.33</v>
      </c>
      <c r="CA425" t="s">
        <v>120</v>
      </c>
      <c r="CB425">
        <v>7.36</v>
      </c>
      <c r="CC425">
        <v>6.89</v>
      </c>
      <c r="CD425">
        <v>5.28</v>
      </c>
      <c r="CE425">
        <v>1.1100000000000001</v>
      </c>
      <c r="CF425">
        <v>0</v>
      </c>
      <c r="CG425">
        <v>1.1100000000000001</v>
      </c>
      <c r="CH425">
        <v>0.95</v>
      </c>
      <c r="CI425">
        <v>0.94</v>
      </c>
      <c r="CJ425">
        <v>0.25</v>
      </c>
      <c r="CK425">
        <v>0.86</v>
      </c>
      <c r="CL425">
        <v>3.12</v>
      </c>
      <c r="CM425">
        <v>0.06</v>
      </c>
      <c r="CN425">
        <v>4.82</v>
      </c>
      <c r="CO425">
        <v>33333</v>
      </c>
      <c r="CP425">
        <v>1365</v>
      </c>
      <c r="CQ425" t="s">
        <v>2796</v>
      </c>
      <c r="CR425">
        <v>0</v>
      </c>
      <c r="CS425">
        <v>0</v>
      </c>
      <c r="CT425">
        <v>3.54</v>
      </c>
      <c r="CU425">
        <v>743.1</v>
      </c>
      <c r="CV425">
        <v>6.39</v>
      </c>
      <c r="CW425">
        <v>0</v>
      </c>
      <c r="CX425" t="s">
        <v>2797</v>
      </c>
      <c r="CY425">
        <v>6.84</v>
      </c>
      <c r="CZ425">
        <v>0</v>
      </c>
      <c r="DA425">
        <v>4.04</v>
      </c>
      <c r="DB425">
        <v>1.72</v>
      </c>
      <c r="DC425">
        <v>0.03</v>
      </c>
      <c r="DD425">
        <v>69.7</v>
      </c>
      <c r="DE425" t="s">
        <v>2798</v>
      </c>
      <c r="DF425">
        <v>23.43</v>
      </c>
      <c r="DG425">
        <v>16.14</v>
      </c>
      <c r="DH425">
        <v>13.6</v>
      </c>
      <c r="DI425">
        <v>0.28000000000000003</v>
      </c>
      <c r="DJ425">
        <v>556</v>
      </c>
      <c r="DK425">
        <v>1207</v>
      </c>
      <c r="DL425">
        <v>20210630</v>
      </c>
      <c r="DM425">
        <v>33.11</v>
      </c>
      <c r="DN425">
        <v>-26.91</v>
      </c>
    </row>
    <row r="426" spans="1:118">
      <c r="A426" t="str">
        <f>"001208"</f>
        <v>001208</v>
      </c>
      <c r="B426" t="s">
        <v>2799</v>
      </c>
      <c r="C426">
        <v>-1.94</v>
      </c>
      <c r="D426">
        <v>0</v>
      </c>
      <c r="E426">
        <v>-0.49</v>
      </c>
      <c r="F426">
        <v>1977</v>
      </c>
      <c r="G426" t="s">
        <v>2800</v>
      </c>
      <c r="H426">
        <v>34639.25</v>
      </c>
      <c r="I426">
        <v>189.26</v>
      </c>
      <c r="J426" t="s">
        <v>120</v>
      </c>
      <c r="K426" t="s">
        <v>2800</v>
      </c>
      <c r="L426">
        <v>15.84</v>
      </c>
      <c r="M426">
        <v>16.16</v>
      </c>
      <c r="N426">
        <v>0.68</v>
      </c>
      <c r="O426">
        <v>1.46</v>
      </c>
      <c r="P426">
        <v>16.72</v>
      </c>
      <c r="Q426">
        <v>-2.61</v>
      </c>
      <c r="R426">
        <v>16.05</v>
      </c>
      <c r="S426">
        <v>16.399999999999999</v>
      </c>
      <c r="T426">
        <v>211610</v>
      </c>
      <c r="U426">
        <v>16.170000000000002</v>
      </c>
      <c r="V426">
        <v>16.48</v>
      </c>
      <c r="W426">
        <v>64.94</v>
      </c>
      <c r="X426" t="s">
        <v>394</v>
      </c>
      <c r="Y426" t="s">
        <v>594</v>
      </c>
      <c r="Z426">
        <v>4.07</v>
      </c>
      <c r="AA426">
        <v>16.37</v>
      </c>
      <c r="AB426">
        <v>112873</v>
      </c>
      <c r="AC426">
        <v>98737</v>
      </c>
      <c r="AD426">
        <v>1.1399999999999999</v>
      </c>
      <c r="AE426">
        <v>1720</v>
      </c>
      <c r="AF426">
        <v>362</v>
      </c>
      <c r="AG426" t="s">
        <v>120</v>
      </c>
      <c r="AH426">
        <v>0.09</v>
      </c>
      <c r="AI426" t="s">
        <v>120</v>
      </c>
      <c r="AJ426">
        <v>1.34</v>
      </c>
      <c r="AK426" t="s">
        <v>2801</v>
      </c>
      <c r="AL426">
        <v>-0.03</v>
      </c>
      <c r="AM426">
        <v>4334</v>
      </c>
      <c r="AN426">
        <v>49</v>
      </c>
      <c r="AO426">
        <v>3.7000000000000002E-3</v>
      </c>
      <c r="AP426">
        <v>-2</v>
      </c>
      <c r="AQ426">
        <v>-3</v>
      </c>
      <c r="AR426">
        <v>-2.06</v>
      </c>
      <c r="AS426">
        <v>-25.08</v>
      </c>
      <c r="AT426">
        <v>206.06</v>
      </c>
      <c r="AU426">
        <v>340.33</v>
      </c>
      <c r="AV426">
        <v>12</v>
      </c>
      <c r="AW426">
        <v>15.84</v>
      </c>
      <c r="AX426">
        <v>25</v>
      </c>
      <c r="AY426">
        <v>63.13</v>
      </c>
      <c r="AZ426">
        <v>94.07</v>
      </c>
      <c r="BA426">
        <v>0</v>
      </c>
      <c r="BB426" t="s">
        <v>143</v>
      </c>
      <c r="BF426">
        <v>-0.67</v>
      </c>
      <c r="BG426">
        <v>-1.46</v>
      </c>
      <c r="BH426">
        <v>-3.35</v>
      </c>
      <c r="BI426">
        <v>0.69</v>
      </c>
      <c r="BJ426">
        <v>20210820</v>
      </c>
      <c r="BK426">
        <v>20210624</v>
      </c>
      <c r="BL426">
        <v>5.34</v>
      </c>
      <c r="BM426" t="s">
        <v>120</v>
      </c>
      <c r="BN426" t="s">
        <v>120</v>
      </c>
      <c r="BO426">
        <v>24.58</v>
      </c>
      <c r="BP426">
        <v>16.16</v>
      </c>
      <c r="BQ426">
        <v>13.71</v>
      </c>
      <c r="BR426" t="s">
        <v>120</v>
      </c>
      <c r="BS426">
        <v>44.22</v>
      </c>
      <c r="BT426">
        <v>21.61</v>
      </c>
      <c r="BU426">
        <v>1.62</v>
      </c>
      <c r="BV426">
        <v>0.52</v>
      </c>
      <c r="BW426">
        <v>10.039999999999999</v>
      </c>
      <c r="BX426">
        <v>6.65</v>
      </c>
      <c r="BY426">
        <v>4.26</v>
      </c>
      <c r="BZ426">
        <v>7.41</v>
      </c>
      <c r="CA426" t="s">
        <v>120</v>
      </c>
      <c r="CB426">
        <v>4.26</v>
      </c>
      <c r="CC426">
        <v>10.199999999999999</v>
      </c>
      <c r="CD426">
        <v>7.91</v>
      </c>
      <c r="CE426">
        <v>0.76</v>
      </c>
      <c r="CF426">
        <v>0</v>
      </c>
      <c r="CG426">
        <v>0.77</v>
      </c>
      <c r="CH426">
        <v>0.66</v>
      </c>
      <c r="CI426">
        <v>0.66</v>
      </c>
      <c r="CJ426">
        <v>-0.32</v>
      </c>
      <c r="CK426">
        <v>0.61</v>
      </c>
      <c r="CL426">
        <v>3.56</v>
      </c>
      <c r="CM426">
        <v>-3.96</v>
      </c>
      <c r="CN426">
        <v>2.81</v>
      </c>
      <c r="CO426">
        <v>249463</v>
      </c>
      <c r="CP426">
        <v>536</v>
      </c>
      <c r="CQ426" t="s">
        <v>2802</v>
      </c>
      <c r="CR426">
        <v>0</v>
      </c>
      <c r="CS426">
        <v>0</v>
      </c>
      <c r="CT426">
        <v>6.3</v>
      </c>
      <c r="CU426">
        <v>-21.83</v>
      </c>
      <c r="CV426">
        <v>8.4700000000000006</v>
      </c>
      <c r="CW426">
        <v>0.61</v>
      </c>
      <c r="CX426" t="s">
        <v>1193</v>
      </c>
      <c r="CY426">
        <v>2.57</v>
      </c>
      <c r="CZ426">
        <v>0</v>
      </c>
      <c r="DA426">
        <v>0.8</v>
      </c>
      <c r="DB426">
        <v>0.67</v>
      </c>
      <c r="DC426">
        <v>-0.74</v>
      </c>
      <c r="DD426">
        <v>55.78</v>
      </c>
      <c r="DE426" t="s">
        <v>2803</v>
      </c>
      <c r="DF426">
        <v>22.41</v>
      </c>
      <c r="DG426">
        <v>7.44</v>
      </c>
      <c r="DH426">
        <v>6.52</v>
      </c>
      <c r="DI426">
        <v>0.33</v>
      </c>
      <c r="DJ426">
        <v>592</v>
      </c>
      <c r="DK426">
        <v>1208</v>
      </c>
      <c r="DL426">
        <v>20210907</v>
      </c>
      <c r="DM426">
        <v>16.93</v>
      </c>
      <c r="DN426">
        <v>-4.55</v>
      </c>
    </row>
    <row r="427" spans="1:118">
      <c r="A427" t="str">
        <f>"001209"</f>
        <v>001209</v>
      </c>
      <c r="B427" t="s">
        <v>2804</v>
      </c>
      <c r="C427">
        <v>-1.23</v>
      </c>
      <c r="D427">
        <v>-0.03</v>
      </c>
      <c r="E427">
        <v>-0.11</v>
      </c>
      <c r="F427">
        <v>204</v>
      </c>
      <c r="G427" t="s">
        <v>2805</v>
      </c>
      <c r="H427">
        <v>1998.31</v>
      </c>
      <c r="I427">
        <v>13.84</v>
      </c>
      <c r="J427" t="s">
        <v>120</v>
      </c>
      <c r="K427" t="s">
        <v>2805</v>
      </c>
      <c r="L427">
        <v>3.08</v>
      </c>
      <c r="M427">
        <v>27.37</v>
      </c>
      <c r="N427">
        <v>0.84</v>
      </c>
      <c r="O427">
        <v>0.43</v>
      </c>
      <c r="P427">
        <v>27.83</v>
      </c>
      <c r="Q427">
        <v>-1.23</v>
      </c>
      <c r="R427">
        <v>27.37</v>
      </c>
      <c r="S427">
        <v>27.68</v>
      </c>
      <c r="T427">
        <v>7237</v>
      </c>
      <c r="U427">
        <v>27.38</v>
      </c>
      <c r="V427">
        <v>27.71</v>
      </c>
      <c r="W427">
        <v>23.9</v>
      </c>
      <c r="X427" t="s">
        <v>2806</v>
      </c>
      <c r="Y427" t="s">
        <v>547</v>
      </c>
      <c r="Z427">
        <v>1.66</v>
      </c>
      <c r="AA427">
        <v>27.61</v>
      </c>
      <c r="AB427">
        <v>4401</v>
      </c>
      <c r="AC427">
        <v>2836</v>
      </c>
      <c r="AD427">
        <v>1.55</v>
      </c>
      <c r="AE427">
        <v>60</v>
      </c>
      <c r="AF427">
        <v>53</v>
      </c>
      <c r="AG427" t="s">
        <v>120</v>
      </c>
      <c r="AH427">
        <v>0.02</v>
      </c>
      <c r="AI427" t="s">
        <v>120</v>
      </c>
      <c r="AJ427">
        <v>0.23</v>
      </c>
      <c r="AK427" t="s">
        <v>2807</v>
      </c>
      <c r="AL427">
        <v>0.69</v>
      </c>
      <c r="AM427">
        <v>798</v>
      </c>
      <c r="AN427">
        <v>9</v>
      </c>
      <c r="AO427">
        <v>3.8999999999999998E-3</v>
      </c>
      <c r="AP427">
        <v>-3</v>
      </c>
      <c r="AQ427">
        <v>-1.04</v>
      </c>
      <c r="AR427">
        <v>-3.5</v>
      </c>
      <c r="AS427">
        <v>-12.13</v>
      </c>
      <c r="AT427">
        <v>-8.4</v>
      </c>
      <c r="AU427">
        <v>-8.4</v>
      </c>
      <c r="AV427">
        <v>0</v>
      </c>
      <c r="AW427">
        <v>3.08</v>
      </c>
      <c r="AX427">
        <v>25</v>
      </c>
      <c r="AY427">
        <v>19.45</v>
      </c>
      <c r="AZ427">
        <v>19.47</v>
      </c>
      <c r="BA427">
        <v>0</v>
      </c>
      <c r="BB427" t="s">
        <v>125</v>
      </c>
      <c r="BF427">
        <v>-0.35</v>
      </c>
      <c r="BG427">
        <v>-1.1200000000000001</v>
      </c>
      <c r="BH427">
        <v>-1.65</v>
      </c>
      <c r="BI427">
        <v>0</v>
      </c>
      <c r="BJ427">
        <v>20210831</v>
      </c>
      <c r="BK427">
        <v>20210723</v>
      </c>
      <c r="BL427">
        <v>0.94</v>
      </c>
      <c r="BM427" t="s">
        <v>120</v>
      </c>
      <c r="BN427" t="s">
        <v>120</v>
      </c>
      <c r="BO427">
        <v>8.3800000000000008</v>
      </c>
      <c r="BP427">
        <v>27.37</v>
      </c>
      <c r="BQ427">
        <v>6.06</v>
      </c>
      <c r="BR427" t="s">
        <v>120</v>
      </c>
      <c r="BS427">
        <v>27.67</v>
      </c>
      <c r="BT427">
        <v>5.98</v>
      </c>
      <c r="BU427">
        <v>0.97</v>
      </c>
      <c r="BV427">
        <v>0.53</v>
      </c>
      <c r="BW427">
        <v>1.99</v>
      </c>
      <c r="BX427">
        <v>1.71</v>
      </c>
      <c r="BY427">
        <v>3.17</v>
      </c>
      <c r="BZ427">
        <v>0.5</v>
      </c>
      <c r="CA427" t="s">
        <v>120</v>
      </c>
      <c r="CB427">
        <v>1.7</v>
      </c>
      <c r="CC427">
        <v>5.17</v>
      </c>
      <c r="CD427">
        <v>3.03</v>
      </c>
      <c r="CE427">
        <v>0.65</v>
      </c>
      <c r="CF427">
        <v>0.02</v>
      </c>
      <c r="CG427">
        <v>0.66</v>
      </c>
      <c r="CH427">
        <v>0.54</v>
      </c>
      <c r="CI427">
        <v>0.54</v>
      </c>
      <c r="CJ427">
        <v>-0.34</v>
      </c>
      <c r="CK427">
        <v>0.51</v>
      </c>
      <c r="CL427">
        <v>3.47</v>
      </c>
      <c r="CM427">
        <v>-0.42</v>
      </c>
      <c r="CN427">
        <v>-0.69</v>
      </c>
      <c r="CO427">
        <v>54582</v>
      </c>
      <c r="CP427">
        <v>430</v>
      </c>
      <c r="CQ427" t="s">
        <v>2808</v>
      </c>
      <c r="CR427">
        <v>0</v>
      </c>
      <c r="CS427">
        <v>0</v>
      </c>
      <c r="CT427">
        <v>2.06</v>
      </c>
      <c r="CU427">
        <v>-61.12</v>
      </c>
      <c r="CV427">
        <v>4.9800000000000004</v>
      </c>
      <c r="CW427">
        <v>0</v>
      </c>
      <c r="CX427" t="s">
        <v>2809</v>
      </c>
      <c r="CY427">
        <v>13.27</v>
      </c>
      <c r="CZ427">
        <v>13.27</v>
      </c>
      <c r="DA427">
        <v>1.81</v>
      </c>
      <c r="DB427">
        <v>3.69</v>
      </c>
      <c r="DC427">
        <v>-0.45</v>
      </c>
      <c r="DD427">
        <v>72.33</v>
      </c>
      <c r="DE427" t="s">
        <v>2810</v>
      </c>
      <c r="DF427">
        <v>41.35</v>
      </c>
      <c r="DG427">
        <v>12.64</v>
      </c>
      <c r="DH427">
        <v>10.41</v>
      </c>
      <c r="DI427">
        <v>0.12</v>
      </c>
      <c r="DJ427">
        <v>1764</v>
      </c>
      <c r="DK427">
        <v>1209</v>
      </c>
      <c r="DL427" t="s">
        <v>120</v>
      </c>
      <c r="DM427" t="s">
        <v>120</v>
      </c>
      <c r="DN427" t="s">
        <v>120</v>
      </c>
    </row>
    <row r="428" spans="1:118">
      <c r="A428" t="str">
        <f>"001210"</f>
        <v>001210</v>
      </c>
      <c r="B428" t="s">
        <v>2811</v>
      </c>
      <c r="C428">
        <v>-1.27</v>
      </c>
      <c r="D428">
        <v>0.03</v>
      </c>
      <c r="E428">
        <v>-0.69</v>
      </c>
      <c r="F428">
        <v>206</v>
      </c>
      <c r="G428" t="s">
        <v>2812</v>
      </c>
      <c r="H428">
        <v>3783.32</v>
      </c>
      <c r="I428">
        <v>44.56</v>
      </c>
      <c r="J428" t="s">
        <v>120</v>
      </c>
      <c r="K428" t="s">
        <v>2812</v>
      </c>
      <c r="L428">
        <v>4.82</v>
      </c>
      <c r="M428">
        <v>34.340000000000003</v>
      </c>
      <c r="N428">
        <v>0.57999999999999996</v>
      </c>
      <c r="O428">
        <v>0.86</v>
      </c>
      <c r="P428">
        <v>35.08</v>
      </c>
      <c r="Q428">
        <v>-1.35</v>
      </c>
      <c r="R428">
        <v>34.31</v>
      </c>
      <c r="S428">
        <v>34.54</v>
      </c>
      <c r="T428">
        <v>10929</v>
      </c>
      <c r="U428">
        <v>34.340000000000003</v>
      </c>
      <c r="V428">
        <v>34.78</v>
      </c>
      <c r="W428">
        <v>17.32</v>
      </c>
      <c r="X428" t="s">
        <v>684</v>
      </c>
      <c r="Y428" t="s">
        <v>158</v>
      </c>
      <c r="Z428">
        <v>2.21</v>
      </c>
      <c r="AA428">
        <v>34.619999999999997</v>
      </c>
      <c r="AB428">
        <v>6756</v>
      </c>
      <c r="AC428">
        <v>4173</v>
      </c>
      <c r="AD428">
        <v>1.62</v>
      </c>
      <c r="AE428">
        <v>5</v>
      </c>
      <c r="AF428">
        <v>30</v>
      </c>
      <c r="AG428" t="s">
        <v>120</v>
      </c>
      <c r="AH428">
        <v>0.06</v>
      </c>
      <c r="AI428" t="s">
        <v>120</v>
      </c>
      <c r="AJ428">
        <v>0.23</v>
      </c>
      <c r="AK428" t="s">
        <v>2813</v>
      </c>
      <c r="AL428">
        <v>0.65</v>
      </c>
      <c r="AM428">
        <v>1350</v>
      </c>
      <c r="AN428">
        <v>8</v>
      </c>
      <c r="AO428">
        <v>3.5999999999999999E-3</v>
      </c>
      <c r="AP428">
        <v>-1</v>
      </c>
      <c r="AQ428">
        <v>0.38</v>
      </c>
      <c r="AR428">
        <v>-3.43</v>
      </c>
      <c r="AS428">
        <v>-11.39</v>
      </c>
      <c r="AT428">
        <v>22.6</v>
      </c>
      <c r="AU428">
        <v>22.6</v>
      </c>
      <c r="AV428">
        <v>1</v>
      </c>
      <c r="AW428">
        <v>4.82</v>
      </c>
      <c r="AX428">
        <v>25</v>
      </c>
      <c r="AY428">
        <v>24.77</v>
      </c>
      <c r="AZ428">
        <v>24.78</v>
      </c>
      <c r="BA428">
        <v>0</v>
      </c>
      <c r="BB428" t="s">
        <v>240</v>
      </c>
      <c r="BF428">
        <v>-0.47</v>
      </c>
      <c r="BG428">
        <v>-0.57999999999999996</v>
      </c>
      <c r="BH428">
        <v>-2.11</v>
      </c>
      <c r="BI428">
        <v>0.09</v>
      </c>
      <c r="BJ428">
        <v>20210830</v>
      </c>
      <c r="BK428">
        <v>20210729</v>
      </c>
      <c r="BL428">
        <v>0.91</v>
      </c>
      <c r="BM428" t="s">
        <v>120</v>
      </c>
      <c r="BN428" t="s">
        <v>120</v>
      </c>
      <c r="BO428">
        <v>9.1</v>
      </c>
      <c r="BP428">
        <v>34.33</v>
      </c>
      <c r="BQ428">
        <v>6.14</v>
      </c>
      <c r="BR428">
        <v>0.28000000000000003</v>
      </c>
      <c r="BS428">
        <v>29.42</v>
      </c>
      <c r="BT428">
        <v>4.55</v>
      </c>
      <c r="BU428">
        <v>2.33</v>
      </c>
      <c r="BV428">
        <v>0.42</v>
      </c>
      <c r="BW428">
        <v>1.54</v>
      </c>
      <c r="BX428">
        <v>1.96</v>
      </c>
      <c r="BY428">
        <v>0.15</v>
      </c>
      <c r="BZ428">
        <v>1.82</v>
      </c>
      <c r="CA428" t="s">
        <v>120</v>
      </c>
      <c r="CB428">
        <v>1.02</v>
      </c>
      <c r="CC428">
        <v>4.51</v>
      </c>
      <c r="CD428">
        <v>3.27</v>
      </c>
      <c r="CE428">
        <v>1.1000000000000001</v>
      </c>
      <c r="CF428">
        <v>-0.01</v>
      </c>
      <c r="CG428">
        <v>1.1200000000000001</v>
      </c>
      <c r="CH428">
        <v>0.94</v>
      </c>
      <c r="CI428">
        <v>0.9</v>
      </c>
      <c r="CJ428">
        <v>-0.44</v>
      </c>
      <c r="CK428">
        <v>0.8</v>
      </c>
      <c r="CL428">
        <v>4.0999999999999996</v>
      </c>
      <c r="CM428">
        <v>-1.28</v>
      </c>
      <c r="CN428">
        <v>-2</v>
      </c>
      <c r="CO428">
        <v>53293</v>
      </c>
      <c r="CP428">
        <v>426</v>
      </c>
      <c r="CQ428" t="s">
        <v>2814</v>
      </c>
      <c r="CR428">
        <v>0</v>
      </c>
      <c r="CS428">
        <v>0</v>
      </c>
      <c r="CT428">
        <v>2.64</v>
      </c>
      <c r="CU428">
        <v>-24.28</v>
      </c>
      <c r="CV428">
        <v>6.91</v>
      </c>
      <c r="CW428">
        <v>0</v>
      </c>
      <c r="CX428" t="s">
        <v>2815</v>
      </c>
      <c r="CY428">
        <v>12.99</v>
      </c>
      <c r="CZ428">
        <v>12.99</v>
      </c>
      <c r="DA428">
        <v>1.1299999999999999</v>
      </c>
      <c r="DB428">
        <v>4.51</v>
      </c>
      <c r="DC428">
        <v>-1.41</v>
      </c>
      <c r="DD428">
        <v>67.48</v>
      </c>
      <c r="DE428" t="s">
        <v>2816</v>
      </c>
      <c r="DF428">
        <v>27.45</v>
      </c>
      <c r="DG428">
        <v>24.38</v>
      </c>
      <c r="DH428">
        <v>19.940000000000001</v>
      </c>
      <c r="DI428">
        <v>0.08</v>
      </c>
      <c r="DJ428">
        <v>696</v>
      </c>
      <c r="DK428">
        <v>1210</v>
      </c>
      <c r="DL428" t="s">
        <v>120</v>
      </c>
      <c r="DM428" t="s">
        <v>120</v>
      </c>
      <c r="DN428" t="s">
        <v>120</v>
      </c>
    </row>
    <row r="429" spans="1:118">
      <c r="A429" t="str">
        <f>"001211"</f>
        <v>001211</v>
      </c>
      <c r="B429" t="s">
        <v>2817</v>
      </c>
      <c r="C429">
        <v>-3.24</v>
      </c>
      <c r="D429">
        <v>-0.08</v>
      </c>
      <c r="E429">
        <v>-0.62</v>
      </c>
      <c r="F429">
        <v>232</v>
      </c>
      <c r="G429" t="s">
        <v>2818</v>
      </c>
      <c r="H429">
        <v>3876.56</v>
      </c>
      <c r="I429">
        <v>40.43</v>
      </c>
      <c r="J429" t="s">
        <v>120</v>
      </c>
      <c r="K429" t="s">
        <v>2818</v>
      </c>
      <c r="L429">
        <v>6.5</v>
      </c>
      <c r="M429">
        <v>32.53</v>
      </c>
      <c r="N429">
        <v>1</v>
      </c>
      <c r="O429">
        <v>0.21</v>
      </c>
      <c r="P429">
        <v>33.69</v>
      </c>
      <c r="Q429">
        <v>-3.27</v>
      </c>
      <c r="R429">
        <v>32.520000000000003</v>
      </c>
      <c r="S429">
        <v>33.409999999999997</v>
      </c>
      <c r="T429">
        <v>11703</v>
      </c>
      <c r="U429">
        <v>32.53</v>
      </c>
      <c r="V429">
        <v>33.619999999999997</v>
      </c>
      <c r="W429">
        <v>53.42</v>
      </c>
      <c r="X429" t="s">
        <v>2409</v>
      </c>
      <c r="Y429" t="s">
        <v>585</v>
      </c>
      <c r="Z429">
        <v>3.48</v>
      </c>
      <c r="AA429">
        <v>33.119999999999997</v>
      </c>
      <c r="AB429">
        <v>8299</v>
      </c>
      <c r="AC429">
        <v>3404</v>
      </c>
      <c r="AD429">
        <v>2.44</v>
      </c>
      <c r="AE429">
        <v>19</v>
      </c>
      <c r="AF429">
        <v>18</v>
      </c>
      <c r="AG429" t="s">
        <v>120</v>
      </c>
      <c r="AH429">
        <v>7.0000000000000007E-2</v>
      </c>
      <c r="AI429" t="s">
        <v>120</v>
      </c>
      <c r="AJ429">
        <v>0.18</v>
      </c>
      <c r="AK429" t="s">
        <v>2819</v>
      </c>
      <c r="AL429">
        <v>-1.33</v>
      </c>
      <c r="AM429">
        <v>1132</v>
      </c>
      <c r="AN429">
        <v>10</v>
      </c>
      <c r="AO429">
        <v>5.7000000000000002E-3</v>
      </c>
      <c r="AP429">
        <v>-3</v>
      </c>
      <c r="AQ429">
        <v>-0.09</v>
      </c>
      <c r="AR429">
        <v>-3.36</v>
      </c>
      <c r="AS429">
        <v>-11.29</v>
      </c>
      <c r="AT429">
        <v>23.22</v>
      </c>
      <c r="AU429">
        <v>23.22</v>
      </c>
      <c r="AV429">
        <v>0</v>
      </c>
      <c r="AW429">
        <v>6.5</v>
      </c>
      <c r="AX429">
        <v>25</v>
      </c>
      <c r="AY429">
        <v>26.01</v>
      </c>
      <c r="AZ429">
        <v>26.97</v>
      </c>
      <c r="BA429">
        <v>0</v>
      </c>
      <c r="BB429" t="s">
        <v>143</v>
      </c>
      <c r="BF429">
        <v>-1.47</v>
      </c>
      <c r="BG429">
        <v>-2.63</v>
      </c>
      <c r="BH429">
        <v>-3.44</v>
      </c>
      <c r="BI429">
        <v>0.03</v>
      </c>
      <c r="BJ429">
        <v>20210902</v>
      </c>
      <c r="BK429">
        <v>20210805</v>
      </c>
      <c r="BL429">
        <v>0.72</v>
      </c>
      <c r="BM429" t="s">
        <v>120</v>
      </c>
      <c r="BN429" t="s">
        <v>120</v>
      </c>
      <c r="BO429">
        <v>8.48</v>
      </c>
      <c r="BP429">
        <v>32.520000000000003</v>
      </c>
      <c r="BQ429">
        <v>4.99</v>
      </c>
      <c r="BR429" t="s">
        <v>120</v>
      </c>
      <c r="BS429">
        <v>41.18</v>
      </c>
      <c r="BT429">
        <v>4.37</v>
      </c>
      <c r="BU429">
        <v>2.7</v>
      </c>
      <c r="BV429">
        <v>0.4</v>
      </c>
      <c r="BW429">
        <v>2.93</v>
      </c>
      <c r="BX429">
        <v>0.32</v>
      </c>
      <c r="BY429">
        <v>1.64</v>
      </c>
      <c r="BZ429">
        <v>1.83</v>
      </c>
      <c r="CA429" t="s">
        <v>120</v>
      </c>
      <c r="CB429">
        <v>0.93</v>
      </c>
      <c r="CC429">
        <v>3.83</v>
      </c>
      <c r="CD429">
        <v>2.38</v>
      </c>
      <c r="CE429">
        <v>0.25</v>
      </c>
      <c r="CF429">
        <v>0</v>
      </c>
      <c r="CG429">
        <v>0.26</v>
      </c>
      <c r="CH429">
        <v>0.22</v>
      </c>
      <c r="CI429">
        <v>0.22</v>
      </c>
      <c r="CJ429">
        <v>-1.0900000000000001</v>
      </c>
      <c r="CK429">
        <v>0.21</v>
      </c>
      <c r="CL429">
        <v>3.46</v>
      </c>
      <c r="CM429">
        <v>-0.19</v>
      </c>
      <c r="CN429">
        <v>-0.4</v>
      </c>
      <c r="CO429">
        <v>15123</v>
      </c>
      <c r="CP429">
        <v>1190</v>
      </c>
      <c r="CQ429" t="s">
        <v>954</v>
      </c>
      <c r="CR429">
        <v>0</v>
      </c>
      <c r="CS429">
        <v>0</v>
      </c>
      <c r="CT429">
        <v>2.5499999999999998</v>
      </c>
      <c r="CU429">
        <v>-124.88</v>
      </c>
      <c r="CV429">
        <v>6.11</v>
      </c>
      <c r="CW429">
        <v>1.49</v>
      </c>
      <c r="CX429" t="s">
        <v>803</v>
      </c>
      <c r="CY429">
        <v>12.74</v>
      </c>
      <c r="CZ429">
        <v>12.74</v>
      </c>
      <c r="DA429">
        <v>1.3</v>
      </c>
      <c r="DB429">
        <v>4.8</v>
      </c>
      <c r="DC429">
        <v>-0.26</v>
      </c>
      <c r="DD429">
        <v>58.82</v>
      </c>
      <c r="DE429" t="s">
        <v>2820</v>
      </c>
      <c r="DF429">
        <v>37.909999999999997</v>
      </c>
      <c r="DG429">
        <v>6.43</v>
      </c>
      <c r="DH429">
        <v>5.72</v>
      </c>
      <c r="DI429">
        <v>0.15</v>
      </c>
      <c r="DJ429">
        <v>1268</v>
      </c>
      <c r="DK429">
        <v>1211</v>
      </c>
      <c r="DL429" t="s">
        <v>120</v>
      </c>
      <c r="DM429" t="s">
        <v>120</v>
      </c>
      <c r="DN429" t="s">
        <v>120</v>
      </c>
    </row>
    <row r="430" spans="1:118">
      <c r="A430" t="str">
        <f>"001212"</f>
        <v>001212</v>
      </c>
      <c r="B430" t="s">
        <v>2821</v>
      </c>
      <c r="C430">
        <v>-3.07</v>
      </c>
      <c r="D430">
        <v>0</v>
      </c>
      <c r="E430">
        <v>-1.32</v>
      </c>
      <c r="F430">
        <v>285</v>
      </c>
      <c r="G430" t="s">
        <v>2822</v>
      </c>
      <c r="H430">
        <v>8211.9599999999991</v>
      </c>
      <c r="I430">
        <v>294.08</v>
      </c>
      <c r="J430" t="s">
        <v>120</v>
      </c>
      <c r="K430" t="s">
        <v>2822</v>
      </c>
      <c r="L430">
        <v>10.41</v>
      </c>
      <c r="M430">
        <v>34.39</v>
      </c>
      <c r="N430">
        <v>1.1599999999999999</v>
      </c>
      <c r="O430">
        <v>-0.93</v>
      </c>
      <c r="P430">
        <v>35.15</v>
      </c>
      <c r="Q430">
        <v>-3.21</v>
      </c>
      <c r="R430">
        <v>34.340000000000003</v>
      </c>
      <c r="S430">
        <v>35.01</v>
      </c>
      <c r="T430">
        <v>23602</v>
      </c>
      <c r="U430">
        <v>34.39</v>
      </c>
      <c r="V430">
        <v>35.479999999999997</v>
      </c>
      <c r="W430">
        <v>24.9</v>
      </c>
      <c r="X430" t="s">
        <v>247</v>
      </c>
      <c r="Y430" t="s">
        <v>547</v>
      </c>
      <c r="Z430">
        <v>2.2799999999999998</v>
      </c>
      <c r="AA430">
        <v>34.79</v>
      </c>
      <c r="AB430">
        <v>14910</v>
      </c>
      <c r="AC430">
        <v>8692</v>
      </c>
      <c r="AD430">
        <v>1.72</v>
      </c>
      <c r="AE430">
        <v>2</v>
      </c>
      <c r="AF430">
        <v>50</v>
      </c>
      <c r="AG430" t="s">
        <v>120</v>
      </c>
      <c r="AH430">
        <v>0.37</v>
      </c>
      <c r="AI430" t="s">
        <v>120</v>
      </c>
      <c r="AJ430">
        <v>0.23</v>
      </c>
      <c r="AK430" t="s">
        <v>2823</v>
      </c>
      <c r="AL430">
        <v>-1.1599999999999999</v>
      </c>
      <c r="AM430">
        <v>1988</v>
      </c>
      <c r="AN430">
        <v>12</v>
      </c>
      <c r="AO430">
        <v>5.1999999999999998E-3</v>
      </c>
      <c r="AP430">
        <v>-2</v>
      </c>
      <c r="AQ430">
        <v>-1.66</v>
      </c>
      <c r="AR430">
        <v>-2.5499999999999998</v>
      </c>
      <c r="AS430">
        <v>8.59</v>
      </c>
      <c r="AT430">
        <v>8.59</v>
      </c>
      <c r="AU430">
        <v>8.59</v>
      </c>
      <c r="AV430">
        <v>1</v>
      </c>
      <c r="AW430">
        <v>10.41</v>
      </c>
      <c r="AX430">
        <v>25</v>
      </c>
      <c r="AY430">
        <v>21.85</v>
      </c>
      <c r="AZ430">
        <v>23.56</v>
      </c>
      <c r="BA430">
        <v>0</v>
      </c>
      <c r="BB430" t="s">
        <v>143</v>
      </c>
      <c r="BF430">
        <v>-1.94</v>
      </c>
      <c r="BG430">
        <v>-1.77</v>
      </c>
      <c r="BH430">
        <v>-2.16</v>
      </c>
      <c r="BI430">
        <v>0.15</v>
      </c>
      <c r="BJ430">
        <v>20210830</v>
      </c>
      <c r="BK430">
        <v>20210823</v>
      </c>
      <c r="BL430">
        <v>0.91</v>
      </c>
      <c r="BM430" t="s">
        <v>120</v>
      </c>
      <c r="BN430" t="s">
        <v>120</v>
      </c>
      <c r="BO430">
        <v>8.6300000000000008</v>
      </c>
      <c r="BP430">
        <v>34.380000000000003</v>
      </c>
      <c r="BQ430">
        <v>6.74</v>
      </c>
      <c r="BR430" t="s">
        <v>120</v>
      </c>
      <c r="BS430">
        <v>21.87</v>
      </c>
      <c r="BT430">
        <v>4.8499999999999996</v>
      </c>
      <c r="BU430">
        <v>2.13</v>
      </c>
      <c r="BV430">
        <v>0.87</v>
      </c>
      <c r="BW430">
        <v>1.39</v>
      </c>
      <c r="BX430">
        <v>2.42</v>
      </c>
      <c r="BY430">
        <v>1.2</v>
      </c>
      <c r="BZ430">
        <v>0.68</v>
      </c>
      <c r="CA430" t="s">
        <v>120</v>
      </c>
      <c r="CB430">
        <v>3.33</v>
      </c>
      <c r="CC430">
        <v>3.15</v>
      </c>
      <c r="CD430">
        <v>2.15</v>
      </c>
      <c r="CE430">
        <v>0.74</v>
      </c>
      <c r="CF430">
        <v>0</v>
      </c>
      <c r="CG430">
        <v>0.74</v>
      </c>
      <c r="CH430">
        <v>0.63</v>
      </c>
      <c r="CI430">
        <v>0.63</v>
      </c>
      <c r="CJ430">
        <v>-1.0900000000000001</v>
      </c>
      <c r="CK430">
        <v>0.6</v>
      </c>
      <c r="CL430">
        <v>2.39</v>
      </c>
      <c r="CM430">
        <v>0.96</v>
      </c>
      <c r="CN430">
        <v>0.46</v>
      </c>
      <c r="CO430">
        <v>53609</v>
      </c>
      <c r="CP430">
        <v>423</v>
      </c>
      <c r="CQ430" t="s">
        <v>2824</v>
      </c>
      <c r="CR430">
        <v>0</v>
      </c>
      <c r="CS430">
        <v>0</v>
      </c>
      <c r="CT430">
        <v>2.39</v>
      </c>
      <c r="CU430">
        <v>32.47</v>
      </c>
      <c r="CV430">
        <v>9.9</v>
      </c>
      <c r="CW430">
        <v>0</v>
      </c>
      <c r="CX430" t="s">
        <v>2825</v>
      </c>
      <c r="CY430">
        <v>14.38</v>
      </c>
      <c r="CZ430">
        <v>14.38</v>
      </c>
      <c r="DA430">
        <v>3.67</v>
      </c>
      <c r="DB430">
        <v>2.64</v>
      </c>
      <c r="DC430">
        <v>1.06</v>
      </c>
      <c r="DD430">
        <v>78.13</v>
      </c>
      <c r="DE430" t="s">
        <v>2826</v>
      </c>
      <c r="DF430">
        <v>31.75</v>
      </c>
      <c r="DG430">
        <v>23.43</v>
      </c>
      <c r="DH430">
        <v>19.88</v>
      </c>
      <c r="DI430">
        <v>0.11</v>
      </c>
      <c r="DJ430">
        <v>969</v>
      </c>
      <c r="DK430">
        <v>1212</v>
      </c>
      <c r="DL430">
        <v>20210826</v>
      </c>
      <c r="DM430">
        <v>40.98</v>
      </c>
      <c r="DN430">
        <v>-16.079999999999998</v>
      </c>
    </row>
    <row r="431" spans="1:118">
      <c r="A431" t="str">
        <f>"001213"</f>
        <v>001213</v>
      </c>
      <c r="B431" t="s">
        <v>2827</v>
      </c>
      <c r="C431">
        <v>-10</v>
      </c>
      <c r="D431">
        <v>0</v>
      </c>
      <c r="E431">
        <v>-10</v>
      </c>
      <c r="F431">
        <v>450</v>
      </c>
      <c r="G431" t="s">
        <v>2828</v>
      </c>
      <c r="H431">
        <v>21562.37</v>
      </c>
      <c r="I431">
        <v>7441.08</v>
      </c>
      <c r="J431">
        <v>48446.3</v>
      </c>
      <c r="K431" t="s">
        <v>2828</v>
      </c>
      <c r="L431">
        <v>6.34</v>
      </c>
      <c r="M431">
        <v>7.65</v>
      </c>
      <c r="N431">
        <v>0.25</v>
      </c>
      <c r="O431">
        <v>-10</v>
      </c>
      <c r="P431">
        <v>7.65</v>
      </c>
      <c r="Q431">
        <v>-10</v>
      </c>
      <c r="R431">
        <v>7.65</v>
      </c>
      <c r="S431">
        <v>7.65</v>
      </c>
      <c r="T431">
        <v>281861</v>
      </c>
      <c r="U431">
        <v>7.65</v>
      </c>
      <c r="V431">
        <v>8.5</v>
      </c>
      <c r="W431">
        <v>88.46</v>
      </c>
      <c r="X431" t="s">
        <v>2775</v>
      </c>
      <c r="Y431" t="s">
        <v>158</v>
      </c>
      <c r="Z431">
        <v>0</v>
      </c>
      <c r="AA431">
        <v>7.65</v>
      </c>
      <c r="AB431">
        <v>48860</v>
      </c>
      <c r="AC431">
        <v>233001</v>
      </c>
      <c r="AD431">
        <v>0.21</v>
      </c>
      <c r="AE431">
        <v>0</v>
      </c>
      <c r="AF431">
        <v>633285</v>
      </c>
      <c r="AG431" t="s">
        <v>120</v>
      </c>
      <c r="AH431">
        <v>2.19</v>
      </c>
      <c r="AI431">
        <v>2.25</v>
      </c>
      <c r="AJ431">
        <v>4.4400000000000004</v>
      </c>
      <c r="AK431" t="s">
        <v>2829</v>
      </c>
      <c r="AL431">
        <v>-8.09</v>
      </c>
      <c r="AM431">
        <v>3382</v>
      </c>
      <c r="AN431">
        <v>83</v>
      </c>
      <c r="AO431">
        <v>1.9E-3</v>
      </c>
      <c r="AP431">
        <v>-1</v>
      </c>
      <c r="AQ431">
        <v>1.8</v>
      </c>
      <c r="AR431">
        <v>0.79</v>
      </c>
      <c r="AS431">
        <v>93.19</v>
      </c>
      <c r="AT431">
        <v>93.19</v>
      </c>
      <c r="AU431">
        <v>93.19</v>
      </c>
      <c r="AV431">
        <v>2</v>
      </c>
      <c r="AW431">
        <v>6.34</v>
      </c>
      <c r="AX431">
        <v>10</v>
      </c>
      <c r="AY431">
        <v>99.81</v>
      </c>
      <c r="AZ431">
        <v>107.03</v>
      </c>
      <c r="BA431">
        <v>0</v>
      </c>
      <c r="BB431" t="s">
        <v>143</v>
      </c>
      <c r="BF431">
        <v>-10</v>
      </c>
      <c r="BG431">
        <v>0</v>
      </c>
      <c r="BH431">
        <v>0</v>
      </c>
      <c r="BI431">
        <v>0</v>
      </c>
      <c r="BJ431">
        <v>20210907</v>
      </c>
      <c r="BK431">
        <v>20210908</v>
      </c>
      <c r="BL431">
        <v>44.44</v>
      </c>
      <c r="BM431" t="s">
        <v>120</v>
      </c>
      <c r="BN431" t="s">
        <v>120</v>
      </c>
      <c r="BO431">
        <v>175.64</v>
      </c>
      <c r="BP431" t="s">
        <v>120</v>
      </c>
      <c r="BQ431">
        <v>160.59</v>
      </c>
      <c r="BR431" t="s">
        <v>120</v>
      </c>
      <c r="BS431">
        <v>8.57</v>
      </c>
      <c r="BT431">
        <v>63.94</v>
      </c>
      <c r="BU431">
        <v>98.37</v>
      </c>
      <c r="BV431">
        <v>2.91</v>
      </c>
      <c r="BW431">
        <v>11.84</v>
      </c>
      <c r="BX431">
        <v>36.200000000000003</v>
      </c>
      <c r="BY431">
        <v>0.43</v>
      </c>
      <c r="BZ431">
        <v>20.170000000000002</v>
      </c>
      <c r="CA431">
        <v>0</v>
      </c>
      <c r="CB431">
        <v>104.26</v>
      </c>
      <c r="CC431">
        <v>44.07</v>
      </c>
      <c r="CD431">
        <v>40.98</v>
      </c>
      <c r="CE431">
        <v>2.54</v>
      </c>
      <c r="CF431">
        <v>0.15</v>
      </c>
      <c r="CG431">
        <v>2.6</v>
      </c>
      <c r="CH431">
        <v>1.92</v>
      </c>
      <c r="CI431">
        <v>1.92</v>
      </c>
      <c r="CJ431">
        <v>-0.85</v>
      </c>
      <c r="CK431">
        <v>1.87</v>
      </c>
      <c r="CL431">
        <v>11.44</v>
      </c>
      <c r="CM431">
        <v>2.11</v>
      </c>
      <c r="CN431">
        <v>1.62</v>
      </c>
      <c r="CO431">
        <v>805637</v>
      </c>
      <c r="CP431">
        <v>552</v>
      </c>
      <c r="CQ431" t="s">
        <v>2830</v>
      </c>
      <c r="CR431">
        <v>0</v>
      </c>
      <c r="CS431">
        <v>0</v>
      </c>
      <c r="CT431">
        <v>1.91</v>
      </c>
      <c r="CU431">
        <v>160.91999999999999</v>
      </c>
      <c r="CV431">
        <v>7.71</v>
      </c>
      <c r="CW431">
        <v>0</v>
      </c>
      <c r="CX431" t="s">
        <v>2831</v>
      </c>
      <c r="CY431">
        <v>4</v>
      </c>
      <c r="CZ431">
        <v>4</v>
      </c>
      <c r="DA431">
        <v>2.35</v>
      </c>
      <c r="DB431">
        <v>0.26</v>
      </c>
      <c r="DC431">
        <v>0.05</v>
      </c>
      <c r="DD431">
        <v>91.43</v>
      </c>
      <c r="DE431" t="s">
        <v>2832</v>
      </c>
      <c r="DF431">
        <v>7.01</v>
      </c>
      <c r="DG431">
        <v>5.75</v>
      </c>
      <c r="DH431">
        <v>4.3600000000000003</v>
      </c>
      <c r="DI431" t="s">
        <v>120</v>
      </c>
      <c r="DJ431">
        <v>3386</v>
      </c>
      <c r="DK431">
        <v>1213</v>
      </c>
      <c r="DL431">
        <v>20210913</v>
      </c>
      <c r="DM431">
        <v>7.59</v>
      </c>
      <c r="DN431">
        <v>0.79</v>
      </c>
    </row>
    <row r="432" spans="1:118">
      <c r="A432" t="str">
        <f>"001217"</f>
        <v>001217</v>
      </c>
      <c r="B432" t="s">
        <v>2833</v>
      </c>
      <c r="C432" t="s">
        <v>120</v>
      </c>
      <c r="D432" t="s">
        <v>120</v>
      </c>
      <c r="E432" t="s">
        <v>120</v>
      </c>
      <c r="F432">
        <v>0</v>
      </c>
      <c r="G432" t="s">
        <v>120</v>
      </c>
      <c r="H432">
        <v>0</v>
      </c>
      <c r="I432">
        <v>0</v>
      </c>
      <c r="J432" t="s">
        <v>120</v>
      </c>
      <c r="K432" t="s">
        <v>120</v>
      </c>
      <c r="L432" t="s">
        <v>120</v>
      </c>
      <c r="M432">
        <v>10.46</v>
      </c>
      <c r="N432" t="s">
        <v>120</v>
      </c>
      <c r="O432" t="s">
        <v>120</v>
      </c>
      <c r="P432" t="s">
        <v>120</v>
      </c>
      <c r="Q432" t="s">
        <v>120</v>
      </c>
      <c r="R432" t="s">
        <v>120</v>
      </c>
      <c r="S432" t="s">
        <v>120</v>
      </c>
      <c r="T432">
        <v>0</v>
      </c>
      <c r="U432" t="s">
        <v>120</v>
      </c>
      <c r="V432">
        <v>10.46</v>
      </c>
      <c r="W432" t="s">
        <v>120</v>
      </c>
      <c r="X432" t="s">
        <v>868</v>
      </c>
      <c r="Y432" t="s">
        <v>570</v>
      </c>
      <c r="Z432">
        <v>0</v>
      </c>
      <c r="AA432">
        <v>10.46</v>
      </c>
      <c r="AB432">
        <v>0</v>
      </c>
      <c r="AC432">
        <v>0</v>
      </c>
      <c r="AD432" t="s">
        <v>120</v>
      </c>
      <c r="AE432">
        <v>0</v>
      </c>
      <c r="AF432">
        <v>0</v>
      </c>
      <c r="AG432" t="s">
        <v>120</v>
      </c>
      <c r="AH432" t="s">
        <v>120</v>
      </c>
      <c r="AI432" t="s">
        <v>120</v>
      </c>
      <c r="AJ432" t="s">
        <v>120</v>
      </c>
      <c r="AK432" t="s">
        <v>120</v>
      </c>
      <c r="AL432">
        <v>1.91</v>
      </c>
      <c r="AM432">
        <v>0</v>
      </c>
      <c r="AN432" t="s">
        <v>120</v>
      </c>
      <c r="AO432" t="s">
        <v>120</v>
      </c>
      <c r="AP432" t="s">
        <v>120</v>
      </c>
      <c r="AQ432" t="s">
        <v>120</v>
      </c>
      <c r="AR432" t="s">
        <v>120</v>
      </c>
      <c r="AS432" t="s">
        <v>120</v>
      </c>
      <c r="AT432" t="s">
        <v>120</v>
      </c>
      <c r="AU432" t="s">
        <v>120</v>
      </c>
      <c r="AV432">
        <v>0</v>
      </c>
      <c r="AW432" t="s">
        <v>120</v>
      </c>
      <c r="AX432" t="s">
        <v>120</v>
      </c>
      <c r="AY432" t="s">
        <v>120</v>
      </c>
      <c r="AZ432" t="s">
        <v>120</v>
      </c>
      <c r="BA432" t="s">
        <v>120</v>
      </c>
      <c r="BB432" t="s">
        <v>143</v>
      </c>
      <c r="BF432">
        <v>0</v>
      </c>
      <c r="BG432" t="s">
        <v>120</v>
      </c>
      <c r="BH432" t="s">
        <v>120</v>
      </c>
      <c r="BI432" t="s">
        <v>120</v>
      </c>
      <c r="BJ432">
        <v>20210908</v>
      </c>
      <c r="BK432" t="s">
        <v>120</v>
      </c>
      <c r="BL432" t="s">
        <v>120</v>
      </c>
      <c r="BM432" t="s">
        <v>120</v>
      </c>
      <c r="BN432" t="s">
        <v>120</v>
      </c>
      <c r="BO432">
        <v>12.45</v>
      </c>
      <c r="BP432" t="s">
        <v>120</v>
      </c>
      <c r="BQ432">
        <v>9.6</v>
      </c>
      <c r="BR432" t="s">
        <v>120</v>
      </c>
      <c r="BS432">
        <v>22.83</v>
      </c>
      <c r="BT432">
        <v>4.6500000000000004</v>
      </c>
      <c r="BU432">
        <v>4.97</v>
      </c>
      <c r="BV432">
        <v>0.54</v>
      </c>
      <c r="BW432">
        <v>2.4</v>
      </c>
      <c r="BX432">
        <v>0.46</v>
      </c>
      <c r="BY432">
        <v>1.41</v>
      </c>
      <c r="BZ432">
        <v>0.61</v>
      </c>
      <c r="CA432" t="s">
        <v>120</v>
      </c>
      <c r="CB432">
        <v>1.71</v>
      </c>
      <c r="CC432">
        <v>7.84</v>
      </c>
      <c r="CD432">
        <v>5.21</v>
      </c>
      <c r="CE432">
        <v>2.08</v>
      </c>
      <c r="CF432">
        <v>0</v>
      </c>
      <c r="CG432">
        <v>2.1</v>
      </c>
      <c r="CH432">
        <v>1.82</v>
      </c>
      <c r="CI432">
        <v>1.82</v>
      </c>
      <c r="CJ432" t="s">
        <v>120</v>
      </c>
      <c r="CK432">
        <v>1.76</v>
      </c>
      <c r="CL432">
        <v>4.67</v>
      </c>
      <c r="CM432">
        <v>0.5</v>
      </c>
      <c r="CN432">
        <v>-0.19</v>
      </c>
      <c r="CO432">
        <v>0</v>
      </c>
      <c r="CP432" t="s">
        <v>120</v>
      </c>
      <c r="CQ432" t="s">
        <v>120</v>
      </c>
      <c r="CR432">
        <v>0</v>
      </c>
      <c r="CS432">
        <v>0</v>
      </c>
      <c r="CT432" t="s">
        <v>120</v>
      </c>
      <c r="CU432">
        <v>0</v>
      </c>
      <c r="CV432">
        <v>0</v>
      </c>
      <c r="CW432">
        <v>0</v>
      </c>
      <c r="CX432" t="s">
        <v>2834</v>
      </c>
      <c r="CY432" t="s">
        <v>120</v>
      </c>
      <c r="CZ432">
        <v>0</v>
      </c>
      <c r="DA432" t="s">
        <v>120</v>
      </c>
      <c r="DB432" t="s">
        <v>120</v>
      </c>
      <c r="DC432" t="s">
        <v>120</v>
      </c>
      <c r="DD432">
        <v>77.17</v>
      </c>
      <c r="DE432" t="s">
        <v>2835</v>
      </c>
      <c r="DF432">
        <v>33.61</v>
      </c>
      <c r="DG432">
        <v>26.49</v>
      </c>
      <c r="DH432">
        <v>23.16</v>
      </c>
      <c r="DI432">
        <v>0.26</v>
      </c>
      <c r="DJ432">
        <v>907</v>
      </c>
      <c r="DK432">
        <v>1217</v>
      </c>
      <c r="DL432" t="s">
        <v>120</v>
      </c>
      <c r="DM432" t="s">
        <v>120</v>
      </c>
      <c r="DN432" t="s">
        <v>120</v>
      </c>
    </row>
    <row r="433" spans="1:118">
      <c r="A433" t="str">
        <f>"001696"</f>
        <v>001696</v>
      </c>
      <c r="B433" t="s">
        <v>2836</v>
      </c>
      <c r="C433">
        <v>0.14000000000000001</v>
      </c>
      <c r="D433">
        <v>0.14000000000000001</v>
      </c>
      <c r="E433">
        <v>0</v>
      </c>
      <c r="F433">
        <v>946</v>
      </c>
      <c r="G433" t="s">
        <v>2837</v>
      </c>
      <c r="H433">
        <v>9782.32</v>
      </c>
      <c r="I433">
        <v>77.33</v>
      </c>
      <c r="J433" t="s">
        <v>120</v>
      </c>
      <c r="K433" t="s">
        <v>2838</v>
      </c>
      <c r="L433">
        <v>1.54</v>
      </c>
      <c r="M433">
        <v>7.19</v>
      </c>
      <c r="N433">
        <v>0.95</v>
      </c>
      <c r="O433">
        <v>2.09</v>
      </c>
      <c r="P433">
        <v>7.33</v>
      </c>
      <c r="Q433">
        <v>-0.42</v>
      </c>
      <c r="R433">
        <v>7.15</v>
      </c>
      <c r="S433">
        <v>7.18</v>
      </c>
      <c r="T433">
        <v>135361</v>
      </c>
      <c r="U433">
        <v>7.19</v>
      </c>
      <c r="V433">
        <v>7.18</v>
      </c>
      <c r="W433">
        <v>16.12</v>
      </c>
      <c r="X433" t="s">
        <v>2427</v>
      </c>
      <c r="Y433" t="s">
        <v>883</v>
      </c>
      <c r="Z433">
        <v>2.5099999999999998</v>
      </c>
      <c r="AA433">
        <v>7.23</v>
      </c>
      <c r="AB433">
        <v>74855</v>
      </c>
      <c r="AC433">
        <v>60506</v>
      </c>
      <c r="AD433">
        <v>1.24</v>
      </c>
      <c r="AE433">
        <v>143</v>
      </c>
      <c r="AF433">
        <v>623</v>
      </c>
      <c r="AG433" t="s">
        <v>120</v>
      </c>
      <c r="AH433">
        <v>0.02</v>
      </c>
      <c r="AI433" t="s">
        <v>120</v>
      </c>
      <c r="AJ433">
        <v>8.7899999999999991</v>
      </c>
      <c r="AK433" t="s">
        <v>2839</v>
      </c>
      <c r="AL433">
        <v>2.0499999999999998</v>
      </c>
      <c r="AM433">
        <v>1995</v>
      </c>
      <c r="AN433">
        <v>68</v>
      </c>
      <c r="AO433">
        <v>8.0000000000000004E-4</v>
      </c>
      <c r="AP433">
        <v>1</v>
      </c>
      <c r="AQ433">
        <v>-0.83</v>
      </c>
      <c r="AR433">
        <v>-3.62</v>
      </c>
      <c r="AS433">
        <v>-8.75</v>
      </c>
      <c r="AT433">
        <v>-9.56</v>
      </c>
      <c r="AU433">
        <v>-2.97</v>
      </c>
      <c r="AV433">
        <v>2</v>
      </c>
      <c r="AW433">
        <v>2.04</v>
      </c>
      <c r="AX433">
        <v>58.01</v>
      </c>
      <c r="AY433">
        <v>16.21</v>
      </c>
      <c r="AZ433">
        <v>13.99</v>
      </c>
      <c r="BA433">
        <v>0.55000000000000004</v>
      </c>
      <c r="BB433" t="s">
        <v>134</v>
      </c>
      <c r="BF433">
        <v>0.65</v>
      </c>
      <c r="BG433">
        <v>0.14000000000000001</v>
      </c>
      <c r="BH433">
        <v>-1.91</v>
      </c>
      <c r="BI433">
        <v>0.56000000000000005</v>
      </c>
      <c r="BJ433">
        <v>20210827</v>
      </c>
      <c r="BK433">
        <v>19970306</v>
      </c>
      <c r="BL433">
        <v>11.45</v>
      </c>
      <c r="BM433" t="s">
        <v>120</v>
      </c>
      <c r="BN433" t="s">
        <v>120</v>
      </c>
      <c r="BO433">
        <v>99.19</v>
      </c>
      <c r="BP433">
        <v>7.18</v>
      </c>
      <c r="BQ433">
        <v>44.02</v>
      </c>
      <c r="BR433">
        <v>4.68</v>
      </c>
      <c r="BS433">
        <v>50.9</v>
      </c>
      <c r="BT433">
        <v>58.36</v>
      </c>
      <c r="BU433">
        <v>8.25</v>
      </c>
      <c r="BV433">
        <v>1.63</v>
      </c>
      <c r="BW433">
        <v>35.450000000000003</v>
      </c>
      <c r="BX433">
        <v>15.67</v>
      </c>
      <c r="BY433">
        <v>8.84</v>
      </c>
      <c r="BZ433">
        <v>17.8</v>
      </c>
      <c r="CA433">
        <v>0.12</v>
      </c>
      <c r="CB433">
        <v>5.59</v>
      </c>
      <c r="CC433">
        <v>46.26</v>
      </c>
      <c r="CD433">
        <v>40.43</v>
      </c>
      <c r="CE433">
        <v>3.06</v>
      </c>
      <c r="CF433">
        <v>0.48</v>
      </c>
      <c r="CG433">
        <v>3.07</v>
      </c>
      <c r="CH433">
        <v>2.77</v>
      </c>
      <c r="CI433">
        <v>2.5499999999999998</v>
      </c>
      <c r="CJ433">
        <v>0.01</v>
      </c>
      <c r="CK433">
        <v>2.14</v>
      </c>
      <c r="CL433">
        <v>22.51</v>
      </c>
      <c r="CM433">
        <v>7.0000000000000007E-2</v>
      </c>
      <c r="CN433">
        <v>-3.42</v>
      </c>
      <c r="CO433">
        <v>79074</v>
      </c>
      <c r="CP433">
        <v>8401</v>
      </c>
      <c r="CQ433" t="s">
        <v>992</v>
      </c>
      <c r="CR433">
        <v>-23.97</v>
      </c>
      <c r="CS433">
        <v>36.159999999999997</v>
      </c>
      <c r="CT433">
        <v>1.87</v>
      </c>
      <c r="CU433">
        <v>1099.3599999999999</v>
      </c>
      <c r="CV433">
        <v>1.78</v>
      </c>
      <c r="CW433">
        <v>4.18</v>
      </c>
      <c r="CX433" t="s">
        <v>2840</v>
      </c>
      <c r="CY433">
        <v>3.84</v>
      </c>
      <c r="CZ433">
        <v>0</v>
      </c>
      <c r="DA433">
        <v>0.49</v>
      </c>
      <c r="DB433">
        <v>1.97</v>
      </c>
      <c r="DC433">
        <v>0.01</v>
      </c>
      <c r="DD433">
        <v>44.38</v>
      </c>
      <c r="DE433" t="s">
        <v>2841</v>
      </c>
      <c r="DF433">
        <v>12.59</v>
      </c>
      <c r="DG433">
        <v>6.62</v>
      </c>
      <c r="DH433">
        <v>5.52</v>
      </c>
      <c r="DI433">
        <v>0.91</v>
      </c>
      <c r="DJ433">
        <v>7754</v>
      </c>
      <c r="DK433">
        <v>1696</v>
      </c>
      <c r="DL433" t="s">
        <v>120</v>
      </c>
      <c r="DM433" t="s">
        <v>120</v>
      </c>
      <c r="DN433" t="s">
        <v>120</v>
      </c>
    </row>
    <row r="434" spans="1:118">
      <c r="A434" t="str">
        <f>"001872"</f>
        <v>001872</v>
      </c>
      <c r="B434" t="s">
        <v>2842</v>
      </c>
      <c r="C434">
        <v>0.89</v>
      </c>
      <c r="D434">
        <v>1.92</v>
      </c>
      <c r="E434">
        <v>0.56000000000000005</v>
      </c>
      <c r="F434">
        <v>2464</v>
      </c>
      <c r="G434" t="s">
        <v>2843</v>
      </c>
      <c r="H434">
        <v>6546.77</v>
      </c>
      <c r="I434">
        <v>41.89</v>
      </c>
      <c r="J434" t="s">
        <v>120</v>
      </c>
      <c r="K434" t="s">
        <v>2844</v>
      </c>
      <c r="L434">
        <v>0.61</v>
      </c>
      <c r="M434">
        <v>18.04</v>
      </c>
      <c r="N434">
        <v>0.69</v>
      </c>
      <c r="O434">
        <v>2.57</v>
      </c>
      <c r="P434">
        <v>18.34</v>
      </c>
      <c r="Q434">
        <v>-1.17</v>
      </c>
      <c r="R434">
        <v>17.670000000000002</v>
      </c>
      <c r="S434">
        <v>17.98</v>
      </c>
      <c r="T434">
        <v>36486</v>
      </c>
      <c r="U434">
        <v>18.04</v>
      </c>
      <c r="V434">
        <v>17.88</v>
      </c>
      <c r="W434">
        <v>10.34</v>
      </c>
      <c r="X434" t="s">
        <v>511</v>
      </c>
      <c r="Y434" t="s">
        <v>123</v>
      </c>
      <c r="Z434">
        <v>3.75</v>
      </c>
      <c r="AA434">
        <v>17.940000000000001</v>
      </c>
      <c r="AB434">
        <v>19480</v>
      </c>
      <c r="AC434">
        <v>17006</v>
      </c>
      <c r="AD434">
        <v>1.1499999999999999</v>
      </c>
      <c r="AE434">
        <v>3</v>
      </c>
      <c r="AF434">
        <v>90</v>
      </c>
      <c r="AG434" t="s">
        <v>120</v>
      </c>
      <c r="AH434">
        <v>0.01</v>
      </c>
      <c r="AI434" t="s">
        <v>120</v>
      </c>
      <c r="AJ434">
        <v>5.94</v>
      </c>
      <c r="AK434" t="s">
        <v>2845</v>
      </c>
      <c r="AL434">
        <v>2.81</v>
      </c>
      <c r="AM434">
        <v>2265</v>
      </c>
      <c r="AN434">
        <v>16</v>
      </c>
      <c r="AO434">
        <v>2.9999999999999997E-4</v>
      </c>
      <c r="AP434">
        <v>1</v>
      </c>
      <c r="AQ434">
        <v>-0.61</v>
      </c>
      <c r="AR434">
        <v>-1.42</v>
      </c>
      <c r="AS434">
        <v>18.53</v>
      </c>
      <c r="AT434">
        <v>7.44</v>
      </c>
      <c r="AU434">
        <v>16.09</v>
      </c>
      <c r="AV434">
        <v>0</v>
      </c>
      <c r="AW434">
        <v>1.64</v>
      </c>
      <c r="AX434">
        <v>11.6</v>
      </c>
      <c r="AY434">
        <v>11.05</v>
      </c>
      <c r="AZ434">
        <v>16.64</v>
      </c>
      <c r="BA434">
        <v>0.33</v>
      </c>
      <c r="BB434" t="s">
        <v>143</v>
      </c>
      <c r="BF434">
        <v>0.35</v>
      </c>
      <c r="BG434">
        <v>0.33</v>
      </c>
      <c r="BH434">
        <v>-1.64</v>
      </c>
      <c r="BI434">
        <v>2.09</v>
      </c>
      <c r="BJ434">
        <v>20210913</v>
      </c>
      <c r="BK434">
        <v>19930505</v>
      </c>
      <c r="BL434">
        <v>19.22</v>
      </c>
      <c r="BM434">
        <v>1.8</v>
      </c>
      <c r="BN434" t="s">
        <v>120</v>
      </c>
      <c r="BO434">
        <v>1687.01</v>
      </c>
      <c r="BP434">
        <v>18.03</v>
      </c>
      <c r="BQ434">
        <v>381.43</v>
      </c>
      <c r="BR434">
        <v>701.33</v>
      </c>
      <c r="BS434">
        <v>35.82</v>
      </c>
      <c r="BT434">
        <v>186.41</v>
      </c>
      <c r="BU434">
        <v>306.64</v>
      </c>
      <c r="BV434">
        <v>185.08</v>
      </c>
      <c r="BW434">
        <v>236.29</v>
      </c>
      <c r="BX434">
        <v>93.79</v>
      </c>
      <c r="BY434">
        <v>2.1</v>
      </c>
      <c r="BZ434">
        <v>18.53</v>
      </c>
      <c r="CA434">
        <v>0.21</v>
      </c>
      <c r="CB434">
        <v>229.56</v>
      </c>
      <c r="CC434">
        <v>73.400000000000006</v>
      </c>
      <c r="CD434">
        <v>41.98</v>
      </c>
      <c r="CE434">
        <v>48.93</v>
      </c>
      <c r="CF434">
        <v>36.1</v>
      </c>
      <c r="CG434">
        <v>49.08</v>
      </c>
      <c r="CH434">
        <v>42.64</v>
      </c>
      <c r="CI434">
        <v>16.77</v>
      </c>
      <c r="CJ434">
        <v>0.16</v>
      </c>
      <c r="CK434">
        <v>16.45</v>
      </c>
      <c r="CL434">
        <v>132.76</v>
      </c>
      <c r="CM434">
        <v>29.35</v>
      </c>
      <c r="CN434">
        <v>-25.25</v>
      </c>
      <c r="CO434">
        <v>30929</v>
      </c>
      <c r="CP434">
        <v>13025</v>
      </c>
      <c r="CQ434" t="s">
        <v>2846</v>
      </c>
      <c r="CR434">
        <v>165.23</v>
      </c>
      <c r="CS434">
        <v>23.1</v>
      </c>
      <c r="CT434">
        <v>0.91</v>
      </c>
      <c r="CU434">
        <v>11.82</v>
      </c>
      <c r="CV434">
        <v>4.72</v>
      </c>
      <c r="CW434">
        <v>2.13</v>
      </c>
      <c r="CX434" t="s">
        <v>2847</v>
      </c>
      <c r="CY434">
        <v>19.84</v>
      </c>
      <c r="CZ434">
        <v>0</v>
      </c>
      <c r="DA434">
        <v>11.94</v>
      </c>
      <c r="DB434">
        <v>6.91</v>
      </c>
      <c r="DC434">
        <v>1.53</v>
      </c>
      <c r="DD434">
        <v>22.61</v>
      </c>
      <c r="DE434" t="s">
        <v>1194</v>
      </c>
      <c r="DF434">
        <v>42.8</v>
      </c>
      <c r="DG434">
        <v>66.66</v>
      </c>
      <c r="DH434">
        <v>22.85</v>
      </c>
      <c r="DI434">
        <v>0.98</v>
      </c>
      <c r="DJ434">
        <v>15619</v>
      </c>
      <c r="DK434">
        <v>1872</v>
      </c>
      <c r="DL434" t="s">
        <v>120</v>
      </c>
      <c r="DM434" t="s">
        <v>120</v>
      </c>
      <c r="DN434" t="s">
        <v>120</v>
      </c>
    </row>
    <row r="435" spans="1:118">
      <c r="A435" t="str">
        <f>"001896"</f>
        <v>001896</v>
      </c>
      <c r="B435" t="s">
        <v>2848</v>
      </c>
      <c r="C435">
        <v>-4.03</v>
      </c>
      <c r="D435">
        <v>-0.09</v>
      </c>
      <c r="E435">
        <v>2.82</v>
      </c>
      <c r="F435">
        <v>18188</v>
      </c>
      <c r="G435" t="s">
        <v>2849</v>
      </c>
      <c r="H435">
        <v>221976.08</v>
      </c>
      <c r="I435">
        <v>5761.07</v>
      </c>
      <c r="J435" t="s">
        <v>120</v>
      </c>
      <c r="K435" t="s">
        <v>2850</v>
      </c>
      <c r="L435">
        <v>19.32</v>
      </c>
      <c r="M435">
        <v>9.5299999999999994</v>
      </c>
      <c r="N435">
        <v>3.83</v>
      </c>
      <c r="O435">
        <v>5.64</v>
      </c>
      <c r="P435">
        <v>10.49</v>
      </c>
      <c r="Q435">
        <v>-9.26</v>
      </c>
      <c r="R435">
        <v>9.01</v>
      </c>
      <c r="S435">
        <v>10.210000000000001</v>
      </c>
      <c r="T435">
        <v>2223118</v>
      </c>
      <c r="U435">
        <v>9.5399999999999991</v>
      </c>
      <c r="V435">
        <v>9.93</v>
      </c>
      <c r="W435" t="s">
        <v>120</v>
      </c>
      <c r="X435" t="s">
        <v>268</v>
      </c>
      <c r="Y435" t="s">
        <v>645</v>
      </c>
      <c r="Z435">
        <v>14.9</v>
      </c>
      <c r="AA435">
        <v>9.98</v>
      </c>
      <c r="AB435">
        <v>1063501</v>
      </c>
      <c r="AC435">
        <v>1159617</v>
      </c>
      <c r="AD435">
        <v>0.92</v>
      </c>
      <c r="AE435">
        <v>4464</v>
      </c>
      <c r="AF435">
        <v>1756</v>
      </c>
      <c r="AG435" t="s">
        <v>120</v>
      </c>
      <c r="AH435">
        <v>1.37</v>
      </c>
      <c r="AI435" t="s">
        <v>120</v>
      </c>
      <c r="AJ435">
        <v>11.51</v>
      </c>
      <c r="AK435" t="s">
        <v>2850</v>
      </c>
      <c r="AL435">
        <v>-2.11</v>
      </c>
      <c r="AM435">
        <v>4710</v>
      </c>
      <c r="AN435">
        <v>472</v>
      </c>
      <c r="AO435">
        <v>4.1000000000000003E-3</v>
      </c>
      <c r="AP435">
        <v>-1</v>
      </c>
      <c r="AQ435">
        <v>9.9700000000000006</v>
      </c>
      <c r="AR435">
        <v>16.079999999999998</v>
      </c>
      <c r="AS435">
        <v>42.45</v>
      </c>
      <c r="AT435">
        <v>4.1500000000000004</v>
      </c>
      <c r="AU435">
        <v>-1.03</v>
      </c>
      <c r="AV435">
        <v>29</v>
      </c>
      <c r="AW435">
        <v>53.97</v>
      </c>
      <c r="AX435">
        <v>35.799999999999997</v>
      </c>
      <c r="AY435">
        <v>485.13</v>
      </c>
      <c r="AZ435">
        <v>39.200000000000003</v>
      </c>
      <c r="BA435">
        <v>0.13</v>
      </c>
      <c r="BB435" t="s">
        <v>341</v>
      </c>
      <c r="BF435">
        <v>0.55000000000000004</v>
      </c>
      <c r="BG435">
        <v>-6.66</v>
      </c>
      <c r="BH435">
        <v>-9.15</v>
      </c>
      <c r="BI435">
        <v>5.77</v>
      </c>
      <c r="BJ435">
        <v>20210828</v>
      </c>
      <c r="BK435">
        <v>19980122</v>
      </c>
      <c r="BL435">
        <v>11.51</v>
      </c>
      <c r="BM435" t="s">
        <v>120</v>
      </c>
      <c r="BN435" t="s">
        <v>120</v>
      </c>
      <c r="BO435">
        <v>225.14</v>
      </c>
      <c r="BP435">
        <v>9.5299999999999994</v>
      </c>
      <c r="BQ435">
        <v>60.28</v>
      </c>
      <c r="BR435">
        <v>7.5</v>
      </c>
      <c r="BS435">
        <v>69.900000000000006</v>
      </c>
      <c r="BT435">
        <v>44.44</v>
      </c>
      <c r="BU435">
        <v>147.52000000000001</v>
      </c>
      <c r="BV435">
        <v>5.81</v>
      </c>
      <c r="BW435">
        <v>62.12</v>
      </c>
      <c r="BX435">
        <v>13.17</v>
      </c>
      <c r="BY435">
        <v>5.68</v>
      </c>
      <c r="BZ435">
        <v>17.61</v>
      </c>
      <c r="CA435">
        <v>0</v>
      </c>
      <c r="CB435">
        <v>50.01</v>
      </c>
      <c r="CC435">
        <v>49.79</v>
      </c>
      <c r="CD435">
        <v>46.97</v>
      </c>
      <c r="CE435">
        <v>-1.04</v>
      </c>
      <c r="CF435">
        <v>-0.14000000000000001</v>
      </c>
      <c r="CG435">
        <v>-0.99</v>
      </c>
      <c r="CH435">
        <v>-0.92</v>
      </c>
      <c r="CI435">
        <v>-0.71</v>
      </c>
      <c r="CJ435">
        <v>-0.4</v>
      </c>
      <c r="CK435">
        <v>-0.85</v>
      </c>
      <c r="CL435">
        <v>-3.23</v>
      </c>
      <c r="CM435">
        <v>7.23</v>
      </c>
      <c r="CN435">
        <v>1.3</v>
      </c>
      <c r="CO435">
        <v>91830</v>
      </c>
      <c r="CP435">
        <v>4485</v>
      </c>
      <c r="CQ435" t="s">
        <v>2851</v>
      </c>
      <c r="CR435">
        <v>-136.4</v>
      </c>
      <c r="CS435">
        <v>34.049999999999997</v>
      </c>
      <c r="CT435">
        <v>1.82</v>
      </c>
      <c r="CU435">
        <v>15.17</v>
      </c>
      <c r="CV435">
        <v>2.2000000000000002</v>
      </c>
      <c r="CW435">
        <v>0</v>
      </c>
      <c r="CX435" t="s">
        <v>2852</v>
      </c>
      <c r="CY435">
        <v>5.24</v>
      </c>
      <c r="CZ435">
        <v>0</v>
      </c>
      <c r="DA435">
        <v>4.3499999999999996</v>
      </c>
      <c r="DB435">
        <v>-0.28000000000000003</v>
      </c>
      <c r="DC435">
        <v>0.63</v>
      </c>
      <c r="DD435">
        <v>26.77</v>
      </c>
      <c r="DE435" t="s">
        <v>2853</v>
      </c>
      <c r="DF435">
        <v>5.65</v>
      </c>
      <c r="DG435">
        <v>-2.08</v>
      </c>
      <c r="DH435">
        <v>-1.44</v>
      </c>
      <c r="DI435" t="s">
        <v>120</v>
      </c>
      <c r="DJ435">
        <v>2409</v>
      </c>
      <c r="DK435">
        <v>1896</v>
      </c>
      <c r="DL435">
        <v>20210913</v>
      </c>
      <c r="DM435">
        <v>8.2100000000000009</v>
      </c>
      <c r="DN435">
        <v>16.079999999999998</v>
      </c>
    </row>
    <row r="436" spans="1:118">
      <c r="A436" t="str">
        <f>"001914"</f>
        <v>001914</v>
      </c>
      <c r="B436" t="s">
        <v>2854</v>
      </c>
      <c r="C436">
        <v>-2.4500000000000002</v>
      </c>
      <c r="D436">
        <v>-0.15</v>
      </c>
      <c r="E436">
        <v>0</v>
      </c>
      <c r="F436">
        <v>1641</v>
      </c>
      <c r="G436" t="s">
        <v>1529</v>
      </c>
      <c r="H436">
        <v>6127.12</v>
      </c>
      <c r="I436">
        <v>13.72</v>
      </c>
      <c r="J436" t="s">
        <v>120</v>
      </c>
      <c r="K436" t="s">
        <v>2855</v>
      </c>
      <c r="L436">
        <v>0.71</v>
      </c>
      <c r="M436">
        <v>12.75</v>
      </c>
      <c r="N436">
        <v>0.79</v>
      </c>
      <c r="O436">
        <v>0.61</v>
      </c>
      <c r="P436">
        <v>13.15</v>
      </c>
      <c r="Q436">
        <v>-2.52</v>
      </c>
      <c r="R436">
        <v>12.74</v>
      </c>
      <c r="S436">
        <v>13.07</v>
      </c>
      <c r="T436">
        <v>47523</v>
      </c>
      <c r="U436">
        <v>12.75</v>
      </c>
      <c r="V436">
        <v>13.07</v>
      </c>
      <c r="W436">
        <v>27.25</v>
      </c>
      <c r="X436" t="s">
        <v>416</v>
      </c>
      <c r="Y436" t="s">
        <v>123</v>
      </c>
      <c r="Z436">
        <v>3.14</v>
      </c>
      <c r="AA436">
        <v>12.89</v>
      </c>
      <c r="AB436">
        <v>27426</v>
      </c>
      <c r="AC436">
        <v>20097</v>
      </c>
      <c r="AD436">
        <v>1.36</v>
      </c>
      <c r="AE436">
        <v>174</v>
      </c>
      <c r="AF436">
        <v>831</v>
      </c>
      <c r="AG436" t="s">
        <v>120</v>
      </c>
      <c r="AH436">
        <v>0</v>
      </c>
      <c r="AI436" t="s">
        <v>120</v>
      </c>
      <c r="AJ436">
        <v>6.67</v>
      </c>
      <c r="AK436" t="s">
        <v>2856</v>
      </c>
      <c r="AL436">
        <v>-0.53</v>
      </c>
      <c r="AM436">
        <v>2398</v>
      </c>
      <c r="AN436">
        <v>20</v>
      </c>
      <c r="AO436">
        <v>2.9999999999999997E-4</v>
      </c>
      <c r="AP436">
        <v>-3</v>
      </c>
      <c r="AQ436">
        <v>-2.3199999999999998</v>
      </c>
      <c r="AR436">
        <v>-7.88</v>
      </c>
      <c r="AS436">
        <v>0.63</v>
      </c>
      <c r="AT436">
        <v>-27.23</v>
      </c>
      <c r="AU436">
        <v>-40.43</v>
      </c>
      <c r="AV436">
        <v>1</v>
      </c>
      <c r="AW436">
        <v>1.19</v>
      </c>
      <c r="AX436">
        <v>37.51</v>
      </c>
      <c r="AY436">
        <v>27.47</v>
      </c>
      <c r="AZ436">
        <v>31.85</v>
      </c>
      <c r="BA436">
        <v>0.73</v>
      </c>
      <c r="BB436" t="s">
        <v>143</v>
      </c>
      <c r="BF436">
        <v>-1.35</v>
      </c>
      <c r="BG436">
        <v>-2.4500000000000002</v>
      </c>
      <c r="BH436">
        <v>-3.04</v>
      </c>
      <c r="BI436">
        <v>0.08</v>
      </c>
      <c r="BJ436">
        <v>20210910</v>
      </c>
      <c r="BK436">
        <v>19940928</v>
      </c>
      <c r="BL436">
        <v>10.6</v>
      </c>
      <c r="BM436" t="s">
        <v>120</v>
      </c>
      <c r="BN436" t="s">
        <v>120</v>
      </c>
      <c r="BO436">
        <v>163.6</v>
      </c>
      <c r="BP436">
        <v>12.74</v>
      </c>
      <c r="BQ436">
        <v>84.06</v>
      </c>
      <c r="BR436">
        <v>-0.56999999999999995</v>
      </c>
      <c r="BS436">
        <v>48.97</v>
      </c>
      <c r="BT436">
        <v>58.68</v>
      </c>
      <c r="BU436">
        <v>5.68</v>
      </c>
      <c r="BV436">
        <v>0.22</v>
      </c>
      <c r="BW436">
        <v>47.22</v>
      </c>
      <c r="BX436">
        <v>15.68</v>
      </c>
      <c r="BY436">
        <v>15.1</v>
      </c>
      <c r="BZ436">
        <v>18.89</v>
      </c>
      <c r="CA436" t="s">
        <v>120</v>
      </c>
      <c r="CB436">
        <v>30.78</v>
      </c>
      <c r="CC436">
        <v>47.79</v>
      </c>
      <c r="CD436">
        <v>41.32</v>
      </c>
      <c r="CE436">
        <v>3.62</v>
      </c>
      <c r="CF436">
        <v>0.03</v>
      </c>
      <c r="CG436">
        <v>3.64</v>
      </c>
      <c r="CH436">
        <v>2.1</v>
      </c>
      <c r="CI436">
        <v>2.48</v>
      </c>
      <c r="CJ436">
        <v>-0.32</v>
      </c>
      <c r="CK436">
        <v>2.2400000000000002</v>
      </c>
      <c r="CL436">
        <v>38.28</v>
      </c>
      <c r="CM436">
        <v>-4.3899999999999997</v>
      </c>
      <c r="CN436">
        <v>-7.37</v>
      </c>
      <c r="CO436">
        <v>21072</v>
      </c>
      <c r="CP436">
        <v>18875</v>
      </c>
      <c r="CQ436" t="s">
        <v>2857</v>
      </c>
      <c r="CR436">
        <v>38.85</v>
      </c>
      <c r="CS436">
        <v>23.56</v>
      </c>
      <c r="CT436">
        <v>1.61</v>
      </c>
      <c r="CU436">
        <v>-30.81</v>
      </c>
      <c r="CV436">
        <v>2.83</v>
      </c>
      <c r="CW436">
        <v>0.99</v>
      </c>
      <c r="CX436" t="s">
        <v>2858</v>
      </c>
      <c r="CY436">
        <v>7.93</v>
      </c>
      <c r="CZ436">
        <v>0</v>
      </c>
      <c r="DA436">
        <v>2.9</v>
      </c>
      <c r="DB436">
        <v>3.61</v>
      </c>
      <c r="DC436">
        <v>-0.41</v>
      </c>
      <c r="DD436">
        <v>51.38</v>
      </c>
      <c r="DE436" t="s">
        <v>2859</v>
      </c>
      <c r="DF436">
        <v>13.54</v>
      </c>
      <c r="DG436">
        <v>7.58</v>
      </c>
      <c r="DH436">
        <v>5.19</v>
      </c>
      <c r="DI436">
        <v>0.1</v>
      </c>
      <c r="DJ436">
        <v>39888</v>
      </c>
      <c r="DK436">
        <v>1914</v>
      </c>
      <c r="DL436" t="s">
        <v>120</v>
      </c>
      <c r="DM436" t="s">
        <v>120</v>
      </c>
      <c r="DN436" t="s">
        <v>120</v>
      </c>
    </row>
    <row r="437" spans="1:118">
      <c r="A437" t="str">
        <f>"001965"</f>
        <v>001965</v>
      </c>
      <c r="B437" t="s">
        <v>2860</v>
      </c>
      <c r="C437">
        <v>0.68</v>
      </c>
      <c r="D437">
        <v>0.14000000000000001</v>
      </c>
      <c r="E437">
        <v>0</v>
      </c>
      <c r="F437">
        <v>764</v>
      </c>
      <c r="G437" t="s">
        <v>2861</v>
      </c>
      <c r="H437">
        <v>5099.1000000000004</v>
      </c>
      <c r="I437">
        <v>16.68</v>
      </c>
      <c r="J437" t="s">
        <v>120</v>
      </c>
      <c r="K437" t="s">
        <v>2862</v>
      </c>
      <c r="L437">
        <v>0.35</v>
      </c>
      <c r="M437">
        <v>7.4</v>
      </c>
      <c r="N437">
        <v>0.76</v>
      </c>
      <c r="O437">
        <v>2.31</v>
      </c>
      <c r="P437">
        <v>7.52</v>
      </c>
      <c r="Q437">
        <v>-0.54</v>
      </c>
      <c r="R437">
        <v>7.31</v>
      </c>
      <c r="S437">
        <v>7.35</v>
      </c>
      <c r="T437">
        <v>68538</v>
      </c>
      <c r="U437">
        <v>7.41</v>
      </c>
      <c r="V437">
        <v>7.35</v>
      </c>
      <c r="W437">
        <v>8.3699999999999992</v>
      </c>
      <c r="X437" t="s">
        <v>800</v>
      </c>
      <c r="Y437" t="s">
        <v>997</v>
      </c>
      <c r="Z437">
        <v>2.86</v>
      </c>
      <c r="AA437">
        <v>7.44</v>
      </c>
      <c r="AB437">
        <v>31312</v>
      </c>
      <c r="AC437">
        <v>37226</v>
      </c>
      <c r="AD437">
        <v>0.84</v>
      </c>
      <c r="AE437">
        <v>96</v>
      </c>
      <c r="AF437">
        <v>7</v>
      </c>
      <c r="AG437" t="s">
        <v>120</v>
      </c>
      <c r="AH437">
        <v>0</v>
      </c>
      <c r="AI437" t="s">
        <v>120</v>
      </c>
      <c r="AJ437">
        <v>19.329999999999998</v>
      </c>
      <c r="AK437" t="s">
        <v>2863</v>
      </c>
      <c r="AL437">
        <v>2.59</v>
      </c>
      <c r="AM437">
        <v>2541</v>
      </c>
      <c r="AN437">
        <v>27</v>
      </c>
      <c r="AO437">
        <v>1E-4</v>
      </c>
      <c r="AP437">
        <v>1</v>
      </c>
      <c r="AQ437">
        <v>-1.08</v>
      </c>
      <c r="AR437">
        <v>-4.4000000000000004</v>
      </c>
      <c r="AS437">
        <v>3.93</v>
      </c>
      <c r="AT437">
        <v>-1.37</v>
      </c>
      <c r="AU437">
        <v>10.23</v>
      </c>
      <c r="AV437">
        <v>0</v>
      </c>
      <c r="AW437">
        <v>0.85</v>
      </c>
      <c r="AX437">
        <v>13.01</v>
      </c>
      <c r="AY437">
        <v>8.74</v>
      </c>
      <c r="AZ437">
        <v>20.43</v>
      </c>
      <c r="BA437">
        <v>0</v>
      </c>
      <c r="BB437" t="s">
        <v>240</v>
      </c>
      <c r="BF437">
        <v>1.22</v>
      </c>
      <c r="BG437">
        <v>0.68</v>
      </c>
      <c r="BH437">
        <v>-1.6</v>
      </c>
      <c r="BI437">
        <v>1.23</v>
      </c>
      <c r="BJ437">
        <v>20210830</v>
      </c>
      <c r="BK437">
        <v>20171225</v>
      </c>
      <c r="BL437">
        <v>61.78</v>
      </c>
      <c r="BM437" t="s">
        <v>120</v>
      </c>
      <c r="BN437" t="s">
        <v>120</v>
      </c>
      <c r="BO437">
        <v>973.46</v>
      </c>
      <c r="BP437">
        <v>7.4</v>
      </c>
      <c r="BQ437">
        <v>564.41999999999996</v>
      </c>
      <c r="BR437">
        <v>48.07</v>
      </c>
      <c r="BS437">
        <v>37.08</v>
      </c>
      <c r="BT437">
        <v>127.98</v>
      </c>
      <c r="BU437">
        <v>12.58</v>
      </c>
      <c r="BV437">
        <v>384.17</v>
      </c>
      <c r="BW437">
        <v>108.96</v>
      </c>
      <c r="BX437">
        <v>76.52</v>
      </c>
      <c r="BY437">
        <v>3.65</v>
      </c>
      <c r="BZ437">
        <v>14.44</v>
      </c>
      <c r="CA437">
        <v>0.09</v>
      </c>
      <c r="CB437">
        <v>288.69</v>
      </c>
      <c r="CC437">
        <v>38.86</v>
      </c>
      <c r="CD437">
        <v>20.440000000000001</v>
      </c>
      <c r="CE437">
        <v>31.74</v>
      </c>
      <c r="CF437">
        <v>20.22</v>
      </c>
      <c r="CG437">
        <v>32.840000000000003</v>
      </c>
      <c r="CH437">
        <v>30.61</v>
      </c>
      <c r="CI437">
        <v>27.32</v>
      </c>
      <c r="CJ437">
        <v>0.05</v>
      </c>
      <c r="CK437">
        <v>26.43</v>
      </c>
      <c r="CL437">
        <v>145.16999999999999</v>
      </c>
      <c r="CM437">
        <v>18.27</v>
      </c>
      <c r="CN437">
        <v>8.51</v>
      </c>
      <c r="CO437">
        <v>35589</v>
      </c>
      <c r="CP437">
        <v>22578</v>
      </c>
      <c r="CQ437" t="s">
        <v>2864</v>
      </c>
      <c r="CR437">
        <v>1232.95</v>
      </c>
      <c r="CS437">
        <v>66.16</v>
      </c>
      <c r="CT437">
        <v>0.91</v>
      </c>
      <c r="CU437">
        <v>25.02</v>
      </c>
      <c r="CV437">
        <v>11.77</v>
      </c>
      <c r="CW437">
        <v>2.41</v>
      </c>
      <c r="CX437" t="s">
        <v>1327</v>
      </c>
      <c r="CY437">
        <v>8.1300000000000008</v>
      </c>
      <c r="CZ437">
        <v>8.1300000000000008</v>
      </c>
      <c r="DA437">
        <v>4.67</v>
      </c>
      <c r="DB437">
        <v>2.35</v>
      </c>
      <c r="DC437">
        <v>0.3</v>
      </c>
      <c r="DD437">
        <v>57.98</v>
      </c>
      <c r="DE437" t="s">
        <v>2865</v>
      </c>
      <c r="DF437">
        <v>47.39</v>
      </c>
      <c r="DG437">
        <v>81.680000000000007</v>
      </c>
      <c r="DH437">
        <v>70.31</v>
      </c>
      <c r="DI437">
        <v>0.7</v>
      </c>
      <c r="DJ437">
        <v>5428</v>
      </c>
      <c r="DK437">
        <v>1965</v>
      </c>
      <c r="DL437" t="s">
        <v>120</v>
      </c>
      <c r="DM437" t="s">
        <v>120</v>
      </c>
      <c r="DN437" t="s">
        <v>120</v>
      </c>
    </row>
    <row r="438" spans="1:118">
      <c r="A438" t="str">
        <f>"001979"</f>
        <v>001979</v>
      </c>
      <c r="B438" t="s">
        <v>2866</v>
      </c>
      <c r="C438">
        <v>-1.77</v>
      </c>
      <c r="D438">
        <v>0.19</v>
      </c>
      <c r="E438">
        <v>-0.56000000000000005</v>
      </c>
      <c r="F438">
        <v>4175</v>
      </c>
      <c r="G438" t="s">
        <v>2867</v>
      </c>
      <c r="H438">
        <v>32205.22</v>
      </c>
      <c r="I438">
        <v>235.26</v>
      </c>
      <c r="J438" t="s">
        <v>120</v>
      </c>
      <c r="K438" t="s">
        <v>2868</v>
      </c>
      <c r="L438">
        <v>0.38</v>
      </c>
      <c r="M438">
        <v>10.52</v>
      </c>
      <c r="N438">
        <v>0.83</v>
      </c>
      <c r="O438">
        <v>0.75</v>
      </c>
      <c r="P438">
        <v>10.79</v>
      </c>
      <c r="Q438">
        <v>-2.15</v>
      </c>
      <c r="R438">
        <v>10.48</v>
      </c>
      <c r="S438">
        <v>10.65</v>
      </c>
      <c r="T438">
        <v>303571</v>
      </c>
      <c r="U438">
        <v>10.52</v>
      </c>
      <c r="V438">
        <v>10.71</v>
      </c>
      <c r="W438">
        <v>9.8000000000000007</v>
      </c>
      <c r="X438" t="s">
        <v>132</v>
      </c>
      <c r="Y438" t="s">
        <v>123</v>
      </c>
      <c r="Z438">
        <v>2.89</v>
      </c>
      <c r="AA438">
        <v>10.61</v>
      </c>
      <c r="AB438">
        <v>165355</v>
      </c>
      <c r="AC438">
        <v>138216</v>
      </c>
      <c r="AD438">
        <v>1.2</v>
      </c>
      <c r="AE438">
        <v>718</v>
      </c>
      <c r="AF438">
        <v>803</v>
      </c>
      <c r="AG438" t="s">
        <v>120</v>
      </c>
      <c r="AH438">
        <v>0.01</v>
      </c>
      <c r="AI438" t="s">
        <v>120</v>
      </c>
      <c r="AJ438">
        <v>79.22</v>
      </c>
      <c r="AK438" t="s">
        <v>2869</v>
      </c>
      <c r="AL438">
        <v>0.14000000000000001</v>
      </c>
      <c r="AM438">
        <v>3892</v>
      </c>
      <c r="AN438">
        <v>78</v>
      </c>
      <c r="AO438">
        <v>1E-4</v>
      </c>
      <c r="AP438">
        <v>-1</v>
      </c>
      <c r="AQ438">
        <v>3.38</v>
      </c>
      <c r="AR438">
        <v>-2.0499999999999998</v>
      </c>
      <c r="AS438">
        <v>5.31</v>
      </c>
      <c r="AT438">
        <v>2.14</v>
      </c>
      <c r="AU438">
        <v>-16.84</v>
      </c>
      <c r="AV438">
        <v>0</v>
      </c>
      <c r="AW438">
        <v>1.04</v>
      </c>
      <c r="AX438">
        <v>36.659999999999997</v>
      </c>
      <c r="AY438">
        <v>5.44</v>
      </c>
      <c r="AZ438">
        <v>6.93</v>
      </c>
      <c r="BA438">
        <v>0.12</v>
      </c>
      <c r="BB438" t="s">
        <v>184</v>
      </c>
      <c r="BF438">
        <v>-0.94</v>
      </c>
      <c r="BG438">
        <v>-1.22</v>
      </c>
      <c r="BH438">
        <v>-2.5</v>
      </c>
      <c r="BI438">
        <v>0.38</v>
      </c>
      <c r="BJ438">
        <v>20210824</v>
      </c>
      <c r="BK438">
        <v>20151230</v>
      </c>
      <c r="BL438">
        <v>79.23</v>
      </c>
      <c r="BM438" t="s">
        <v>120</v>
      </c>
      <c r="BN438" t="s">
        <v>120</v>
      </c>
      <c r="BO438">
        <v>8296.64</v>
      </c>
      <c r="BP438">
        <v>10.51</v>
      </c>
      <c r="BQ438">
        <v>1073.3399999999999</v>
      </c>
      <c r="BR438">
        <v>1586.64</v>
      </c>
      <c r="BS438">
        <v>67.94</v>
      </c>
      <c r="BT438">
        <v>6562.42</v>
      </c>
      <c r="BU438">
        <v>42.43</v>
      </c>
      <c r="BV438">
        <v>5.61</v>
      </c>
      <c r="BW438">
        <v>4273.12</v>
      </c>
      <c r="BX438">
        <v>841.61</v>
      </c>
      <c r="BY438">
        <v>4200.3599999999997</v>
      </c>
      <c r="BZ438">
        <v>40.4</v>
      </c>
      <c r="CA438">
        <v>1.1299999999999999</v>
      </c>
      <c r="CB438">
        <v>140.87</v>
      </c>
      <c r="CC438">
        <v>446.57</v>
      </c>
      <c r="CD438">
        <v>331.36</v>
      </c>
      <c r="CE438">
        <v>84.89</v>
      </c>
      <c r="CF438">
        <v>26.06</v>
      </c>
      <c r="CG438">
        <v>85.09</v>
      </c>
      <c r="CH438">
        <v>58.26</v>
      </c>
      <c r="CI438">
        <v>42.51</v>
      </c>
      <c r="CJ438">
        <v>-0.19</v>
      </c>
      <c r="CK438">
        <v>28.04</v>
      </c>
      <c r="CL438">
        <v>565.84</v>
      </c>
      <c r="CM438">
        <v>27.74</v>
      </c>
      <c r="CN438">
        <v>-50.28</v>
      </c>
      <c r="CO438">
        <v>93481</v>
      </c>
      <c r="CP438">
        <v>31076</v>
      </c>
      <c r="CQ438" t="s">
        <v>2870</v>
      </c>
      <c r="CR438">
        <v>365.32</v>
      </c>
      <c r="CS438">
        <v>83.62</v>
      </c>
      <c r="CT438">
        <v>1.05</v>
      </c>
      <c r="CU438">
        <v>30.05</v>
      </c>
      <c r="CV438">
        <v>1.87</v>
      </c>
      <c r="CW438">
        <v>5.84</v>
      </c>
      <c r="CX438" t="s">
        <v>1071</v>
      </c>
      <c r="CY438">
        <v>10.01</v>
      </c>
      <c r="CZ438">
        <v>10.01</v>
      </c>
      <c r="DA438">
        <v>1.78</v>
      </c>
      <c r="DB438">
        <v>7.14</v>
      </c>
      <c r="DC438">
        <v>0.35</v>
      </c>
      <c r="DD438">
        <v>12.94</v>
      </c>
      <c r="DE438" t="s">
        <v>2871</v>
      </c>
      <c r="DF438">
        <v>25.8</v>
      </c>
      <c r="DG438">
        <v>19.010000000000002</v>
      </c>
      <c r="DH438">
        <v>9.52</v>
      </c>
      <c r="DI438">
        <v>0.44</v>
      </c>
      <c r="DJ438">
        <v>48465</v>
      </c>
      <c r="DK438">
        <v>1979</v>
      </c>
      <c r="DL438" t="s">
        <v>120</v>
      </c>
      <c r="DM438" t="s">
        <v>120</v>
      </c>
      <c r="DN438" t="s">
        <v>120</v>
      </c>
    </row>
    <row r="439" spans="1:118">
      <c r="A439" t="str">
        <f>"002001"</f>
        <v>002001</v>
      </c>
      <c r="B439" t="s">
        <v>2872</v>
      </c>
      <c r="C439">
        <v>3.14</v>
      </c>
      <c r="D439">
        <v>0.03</v>
      </c>
      <c r="E439">
        <v>1.1499999999999999</v>
      </c>
      <c r="F439">
        <v>4409</v>
      </c>
      <c r="G439" t="s">
        <v>2873</v>
      </c>
      <c r="H439">
        <v>163022.6</v>
      </c>
      <c r="I439">
        <v>265.75</v>
      </c>
      <c r="J439" t="s">
        <v>120</v>
      </c>
      <c r="K439" t="s">
        <v>2874</v>
      </c>
      <c r="L439">
        <v>2.08</v>
      </c>
      <c r="M439">
        <v>30.53</v>
      </c>
      <c r="N439">
        <v>2.69</v>
      </c>
      <c r="O439">
        <v>5.24</v>
      </c>
      <c r="P439">
        <v>31.15</v>
      </c>
      <c r="Q439">
        <v>0.68</v>
      </c>
      <c r="R439">
        <v>29.8</v>
      </c>
      <c r="S439">
        <v>29.94</v>
      </c>
      <c r="T439">
        <v>531166</v>
      </c>
      <c r="U439">
        <v>30.53</v>
      </c>
      <c r="V439">
        <v>29.6</v>
      </c>
      <c r="W439">
        <v>16.34</v>
      </c>
      <c r="X439" t="s">
        <v>569</v>
      </c>
      <c r="Y439" t="s">
        <v>585</v>
      </c>
      <c r="Z439">
        <v>4.5599999999999996</v>
      </c>
      <c r="AA439">
        <v>30.69</v>
      </c>
      <c r="AB439">
        <v>221180</v>
      </c>
      <c r="AC439">
        <v>309986</v>
      </c>
      <c r="AD439">
        <v>0.71</v>
      </c>
      <c r="AE439">
        <v>768</v>
      </c>
      <c r="AF439">
        <v>2508</v>
      </c>
      <c r="AG439" t="s">
        <v>120</v>
      </c>
      <c r="AH439">
        <v>0.01</v>
      </c>
      <c r="AI439" t="s">
        <v>120</v>
      </c>
      <c r="AJ439">
        <v>25.48</v>
      </c>
      <c r="AK439" t="s">
        <v>2875</v>
      </c>
      <c r="AL439">
        <v>5.0599999999999996</v>
      </c>
      <c r="AM439">
        <v>4669</v>
      </c>
      <c r="AN439">
        <v>114</v>
      </c>
      <c r="AO439">
        <v>4.0000000000000002E-4</v>
      </c>
      <c r="AP439">
        <v>1</v>
      </c>
      <c r="AQ439">
        <v>-0.84</v>
      </c>
      <c r="AR439">
        <v>3.88</v>
      </c>
      <c r="AS439">
        <v>6.04</v>
      </c>
      <c r="AT439">
        <v>3.35</v>
      </c>
      <c r="AU439">
        <v>11.08</v>
      </c>
      <c r="AV439">
        <v>1</v>
      </c>
      <c r="AW439">
        <v>4.0999999999999996</v>
      </c>
      <c r="AX439">
        <v>50.27</v>
      </c>
      <c r="AY439">
        <v>20.28</v>
      </c>
      <c r="AZ439">
        <v>21.42</v>
      </c>
      <c r="BA439">
        <v>0.51</v>
      </c>
      <c r="BB439" t="s">
        <v>143</v>
      </c>
      <c r="BF439">
        <v>3.69</v>
      </c>
      <c r="BG439">
        <v>1.97</v>
      </c>
      <c r="BH439">
        <v>-1.99</v>
      </c>
      <c r="BI439">
        <v>2.4500000000000002</v>
      </c>
      <c r="BJ439">
        <v>20210821</v>
      </c>
      <c r="BK439">
        <v>20040625</v>
      </c>
      <c r="BL439">
        <v>25.78</v>
      </c>
      <c r="BM439" t="s">
        <v>120</v>
      </c>
      <c r="BN439" t="s">
        <v>120</v>
      </c>
      <c r="BO439">
        <v>336.48</v>
      </c>
      <c r="BP439">
        <v>30.52</v>
      </c>
      <c r="BQ439">
        <v>202.31</v>
      </c>
      <c r="BR439">
        <v>0.6</v>
      </c>
      <c r="BS439">
        <v>39.700000000000003</v>
      </c>
      <c r="BT439">
        <v>153.69999999999999</v>
      </c>
      <c r="BU439">
        <v>137.53</v>
      </c>
      <c r="BV439">
        <v>13.99</v>
      </c>
      <c r="BW439">
        <v>65.459999999999994</v>
      </c>
      <c r="BX439">
        <v>64.13</v>
      </c>
      <c r="BY439">
        <v>35.229999999999997</v>
      </c>
      <c r="BZ439">
        <v>25.03</v>
      </c>
      <c r="CA439" t="s">
        <v>120</v>
      </c>
      <c r="CB439">
        <v>41.31</v>
      </c>
      <c r="CC439">
        <v>72.540000000000006</v>
      </c>
      <c r="CD439">
        <v>37.549999999999997</v>
      </c>
      <c r="CE439">
        <v>28.03</v>
      </c>
      <c r="CF439">
        <v>0.45</v>
      </c>
      <c r="CG439">
        <v>28.12</v>
      </c>
      <c r="CH439">
        <v>24.17</v>
      </c>
      <c r="CI439">
        <v>24.08</v>
      </c>
      <c r="CJ439">
        <v>0.93</v>
      </c>
      <c r="CK439">
        <v>22.79</v>
      </c>
      <c r="CL439">
        <v>124.2</v>
      </c>
      <c r="CM439">
        <v>22.71</v>
      </c>
      <c r="CN439">
        <v>15.56</v>
      </c>
      <c r="CO439">
        <v>91300</v>
      </c>
      <c r="CP439">
        <v>14197</v>
      </c>
      <c r="CQ439" t="s">
        <v>2876</v>
      </c>
      <c r="CR439">
        <v>9.0299999999999994</v>
      </c>
      <c r="CS439">
        <v>36.79</v>
      </c>
      <c r="CT439">
        <v>3.89</v>
      </c>
      <c r="CU439">
        <v>34.659999999999997</v>
      </c>
      <c r="CV439">
        <v>10.85</v>
      </c>
      <c r="CW439">
        <v>1.97</v>
      </c>
      <c r="CX439" t="s">
        <v>2877</v>
      </c>
      <c r="CY439">
        <v>7.85</v>
      </c>
      <c r="CZ439">
        <v>0</v>
      </c>
      <c r="DA439">
        <v>1.6</v>
      </c>
      <c r="DB439">
        <v>4.82</v>
      </c>
      <c r="DC439">
        <v>0.88</v>
      </c>
      <c r="DD439">
        <v>60.13</v>
      </c>
      <c r="DE439" t="s">
        <v>2878</v>
      </c>
      <c r="DF439">
        <v>48.23</v>
      </c>
      <c r="DG439">
        <v>38.64</v>
      </c>
      <c r="DH439">
        <v>33.200000000000003</v>
      </c>
      <c r="DI439">
        <v>3.52</v>
      </c>
      <c r="DJ439">
        <v>10100</v>
      </c>
      <c r="DK439">
        <v>2001</v>
      </c>
      <c r="DL439" t="s">
        <v>120</v>
      </c>
      <c r="DM439" t="s">
        <v>120</v>
      </c>
      <c r="DN439" t="s">
        <v>120</v>
      </c>
    </row>
    <row r="440" spans="1:118">
      <c r="A440" t="str">
        <f>"002002"</f>
        <v>002002</v>
      </c>
      <c r="B440" t="s">
        <v>2879</v>
      </c>
      <c r="C440">
        <v>-1.56</v>
      </c>
      <c r="D440">
        <v>0.16</v>
      </c>
      <c r="E440">
        <v>1.87</v>
      </c>
      <c r="F440">
        <v>14041</v>
      </c>
      <c r="G440" t="s">
        <v>2880</v>
      </c>
      <c r="H440">
        <v>169895.14</v>
      </c>
      <c r="I440">
        <v>719.46</v>
      </c>
      <c r="J440" t="s">
        <v>120</v>
      </c>
      <c r="K440" t="s">
        <v>2881</v>
      </c>
      <c r="L440">
        <v>8.57</v>
      </c>
      <c r="M440">
        <v>6.33</v>
      </c>
      <c r="N440">
        <v>1.1499999999999999</v>
      </c>
      <c r="O440">
        <v>6.84</v>
      </c>
      <c r="P440">
        <v>6.87</v>
      </c>
      <c r="Q440">
        <v>-1.87</v>
      </c>
      <c r="R440">
        <v>6.31</v>
      </c>
      <c r="S440">
        <v>6.55</v>
      </c>
      <c r="T440">
        <v>2575276</v>
      </c>
      <c r="U440">
        <v>6.34</v>
      </c>
      <c r="V440">
        <v>6.43</v>
      </c>
      <c r="W440">
        <v>12.04</v>
      </c>
      <c r="X440" t="s">
        <v>868</v>
      </c>
      <c r="Y440" t="s">
        <v>319</v>
      </c>
      <c r="Z440">
        <v>8.7100000000000009</v>
      </c>
      <c r="AA440">
        <v>6.6</v>
      </c>
      <c r="AB440">
        <v>1350945</v>
      </c>
      <c r="AC440">
        <v>1224331</v>
      </c>
      <c r="AD440">
        <v>1.1000000000000001</v>
      </c>
      <c r="AE440">
        <v>1548</v>
      </c>
      <c r="AF440">
        <v>2610</v>
      </c>
      <c r="AG440" t="s">
        <v>120</v>
      </c>
      <c r="AH440">
        <v>0.05</v>
      </c>
      <c r="AI440" t="s">
        <v>120</v>
      </c>
      <c r="AJ440">
        <v>30.05</v>
      </c>
      <c r="AK440" t="s">
        <v>2882</v>
      </c>
      <c r="AL440">
        <v>0.36</v>
      </c>
      <c r="AM440">
        <v>4678</v>
      </c>
      <c r="AN440">
        <v>551</v>
      </c>
      <c r="AO440">
        <v>1.8E-3</v>
      </c>
      <c r="AP440">
        <v>-1</v>
      </c>
      <c r="AQ440">
        <v>1.74</v>
      </c>
      <c r="AR440">
        <v>-4.24</v>
      </c>
      <c r="AS440">
        <v>10.86</v>
      </c>
      <c r="AT440">
        <v>59.84</v>
      </c>
      <c r="AU440">
        <v>111.67</v>
      </c>
      <c r="AV440">
        <v>6</v>
      </c>
      <c r="AW440">
        <v>10.64</v>
      </c>
      <c r="AX440">
        <v>80.41</v>
      </c>
      <c r="AY440">
        <v>15.2</v>
      </c>
      <c r="AZ440">
        <v>23.78</v>
      </c>
      <c r="BA440">
        <v>0.92</v>
      </c>
      <c r="BB440" t="s">
        <v>143</v>
      </c>
      <c r="BF440">
        <v>2.6</v>
      </c>
      <c r="BG440">
        <v>-3.36</v>
      </c>
      <c r="BH440">
        <v>-7.86</v>
      </c>
      <c r="BI440">
        <v>0.32</v>
      </c>
      <c r="BJ440">
        <v>20210818</v>
      </c>
      <c r="BK440">
        <v>20040625</v>
      </c>
      <c r="BL440">
        <v>30.09</v>
      </c>
      <c r="BM440" t="s">
        <v>120</v>
      </c>
      <c r="BN440" t="s">
        <v>120</v>
      </c>
      <c r="BO440">
        <v>182.13</v>
      </c>
      <c r="BP440">
        <v>6.33</v>
      </c>
      <c r="BQ440">
        <v>96.07</v>
      </c>
      <c r="BR440">
        <v>0.71</v>
      </c>
      <c r="BS440">
        <v>46.86</v>
      </c>
      <c r="BT440">
        <v>53.41</v>
      </c>
      <c r="BU440">
        <v>98.5</v>
      </c>
      <c r="BV440">
        <v>4.07</v>
      </c>
      <c r="BW440">
        <v>61.01</v>
      </c>
      <c r="BX440">
        <v>0.74</v>
      </c>
      <c r="BY440">
        <v>7.89</v>
      </c>
      <c r="BZ440">
        <v>23.68</v>
      </c>
      <c r="CA440">
        <v>0</v>
      </c>
      <c r="CB440">
        <v>26.3</v>
      </c>
      <c r="CC440">
        <v>35.270000000000003</v>
      </c>
      <c r="CD440">
        <v>21.3</v>
      </c>
      <c r="CE440">
        <v>9.9</v>
      </c>
      <c r="CF440">
        <v>0</v>
      </c>
      <c r="CG440">
        <v>9.93</v>
      </c>
      <c r="CH440">
        <v>8.01</v>
      </c>
      <c r="CI440">
        <v>7.91</v>
      </c>
      <c r="CJ440">
        <v>-0.1</v>
      </c>
      <c r="CK440">
        <v>7.77</v>
      </c>
      <c r="CL440">
        <v>36.4</v>
      </c>
      <c r="CM440">
        <v>0.08</v>
      </c>
      <c r="CN440">
        <v>-0.75</v>
      </c>
      <c r="CO440">
        <v>127253</v>
      </c>
      <c r="CP440">
        <v>19015</v>
      </c>
      <c r="CQ440" t="s">
        <v>2883</v>
      </c>
      <c r="CR440">
        <v>138.38999999999999</v>
      </c>
      <c r="CS440">
        <v>34.72</v>
      </c>
      <c r="CT440">
        <v>2.02</v>
      </c>
      <c r="CU440">
        <v>2250.4499999999998</v>
      </c>
      <c r="CV440">
        <v>5.4</v>
      </c>
      <c r="CW440">
        <v>0.15</v>
      </c>
      <c r="CX440" t="s">
        <v>2884</v>
      </c>
      <c r="CY440">
        <v>3.13</v>
      </c>
      <c r="CZ440">
        <v>3.13</v>
      </c>
      <c r="DA440">
        <v>0.87</v>
      </c>
      <c r="DB440">
        <v>1.21</v>
      </c>
      <c r="DC440">
        <v>0</v>
      </c>
      <c r="DD440">
        <v>52.75</v>
      </c>
      <c r="DE440" t="s">
        <v>2885</v>
      </c>
      <c r="DF440">
        <v>39.6</v>
      </c>
      <c r="DG440">
        <v>28.07</v>
      </c>
      <c r="DH440">
        <v>22.44</v>
      </c>
      <c r="DI440">
        <v>0.28000000000000003</v>
      </c>
      <c r="DJ440">
        <v>4951</v>
      </c>
      <c r="DK440">
        <v>2002</v>
      </c>
      <c r="DL440" t="s">
        <v>120</v>
      </c>
      <c r="DM440" t="s">
        <v>120</v>
      </c>
      <c r="DN440" t="s">
        <v>120</v>
      </c>
    </row>
    <row r="441" spans="1:118">
      <c r="A441" t="str">
        <f>"002003"</f>
        <v>002003</v>
      </c>
      <c r="B441" t="s">
        <v>2886</v>
      </c>
      <c r="C441">
        <v>0.44</v>
      </c>
      <c r="D441">
        <v>0.11</v>
      </c>
      <c r="E441">
        <v>0.55000000000000004</v>
      </c>
      <c r="F441">
        <v>367</v>
      </c>
      <c r="G441" t="s">
        <v>1371</v>
      </c>
      <c r="H441">
        <v>5618.5</v>
      </c>
      <c r="I441">
        <v>18.97</v>
      </c>
      <c r="J441" t="s">
        <v>120</v>
      </c>
      <c r="K441" t="s">
        <v>2887</v>
      </c>
      <c r="L441">
        <v>0.93</v>
      </c>
      <c r="M441">
        <v>9.1999999999999993</v>
      </c>
      <c r="N441">
        <v>1.22</v>
      </c>
      <c r="O441">
        <v>3.71</v>
      </c>
      <c r="P441">
        <v>9.5</v>
      </c>
      <c r="Q441">
        <v>-0.33</v>
      </c>
      <c r="R441">
        <v>9.1300000000000008</v>
      </c>
      <c r="S441">
        <v>9.2100000000000009</v>
      </c>
      <c r="T441">
        <v>60227</v>
      </c>
      <c r="U441">
        <v>9.1999999999999993</v>
      </c>
      <c r="V441">
        <v>9.16</v>
      </c>
      <c r="W441">
        <v>15.08</v>
      </c>
      <c r="X441" t="s">
        <v>2806</v>
      </c>
      <c r="Y441" t="s">
        <v>585</v>
      </c>
      <c r="Z441">
        <v>4.04</v>
      </c>
      <c r="AA441">
        <v>9.33</v>
      </c>
      <c r="AB441">
        <v>25950</v>
      </c>
      <c r="AC441">
        <v>34277</v>
      </c>
      <c r="AD441">
        <v>0.76</v>
      </c>
      <c r="AE441">
        <v>112</v>
      </c>
      <c r="AF441">
        <v>236</v>
      </c>
      <c r="AG441" t="s">
        <v>120</v>
      </c>
      <c r="AH441">
        <v>0.01</v>
      </c>
      <c r="AI441" t="s">
        <v>120</v>
      </c>
      <c r="AJ441">
        <v>6.45</v>
      </c>
      <c r="AK441" t="s">
        <v>2888</v>
      </c>
      <c r="AL441">
        <v>2.35</v>
      </c>
      <c r="AM441">
        <v>2011</v>
      </c>
      <c r="AN441">
        <v>30</v>
      </c>
      <c r="AO441">
        <v>5.0000000000000001E-4</v>
      </c>
      <c r="AP441">
        <v>1</v>
      </c>
      <c r="AQ441">
        <v>-0.33</v>
      </c>
      <c r="AR441">
        <v>2.11</v>
      </c>
      <c r="AS441">
        <v>8.74</v>
      </c>
      <c r="AT441">
        <v>45.34</v>
      </c>
      <c r="AU441">
        <v>43.3</v>
      </c>
      <c r="AV441">
        <v>0</v>
      </c>
      <c r="AW441">
        <v>1.54</v>
      </c>
      <c r="AX441">
        <v>50.44</v>
      </c>
      <c r="AY441">
        <v>18.43</v>
      </c>
      <c r="AZ441">
        <v>17.93</v>
      </c>
      <c r="BA441">
        <v>0.34</v>
      </c>
      <c r="BB441" t="s">
        <v>240</v>
      </c>
      <c r="BF441">
        <v>1.84</v>
      </c>
      <c r="BG441">
        <v>-0.11</v>
      </c>
      <c r="BH441">
        <v>-3.16</v>
      </c>
      <c r="BI441">
        <v>0.77</v>
      </c>
      <c r="BJ441">
        <v>20210826</v>
      </c>
      <c r="BK441">
        <v>20040625</v>
      </c>
      <c r="BL441">
        <v>7.76</v>
      </c>
      <c r="BM441" t="s">
        <v>120</v>
      </c>
      <c r="BN441" t="s">
        <v>120</v>
      </c>
      <c r="BO441">
        <v>37.94</v>
      </c>
      <c r="BP441">
        <v>9.19</v>
      </c>
      <c r="BQ441">
        <v>24.61</v>
      </c>
      <c r="BR441">
        <v>0.7</v>
      </c>
      <c r="BS441">
        <v>33.29</v>
      </c>
      <c r="BT441">
        <v>18.45</v>
      </c>
      <c r="BU441">
        <v>11.8</v>
      </c>
      <c r="BV441">
        <v>3.11</v>
      </c>
      <c r="BW441">
        <v>11.69</v>
      </c>
      <c r="BX441">
        <v>5.62</v>
      </c>
      <c r="BY441">
        <v>5.38</v>
      </c>
      <c r="BZ441">
        <v>4.87</v>
      </c>
      <c r="CA441" t="s">
        <v>120</v>
      </c>
      <c r="CB441">
        <v>6.51</v>
      </c>
      <c r="CC441">
        <v>14.83</v>
      </c>
      <c r="CD441">
        <v>8.9499999999999993</v>
      </c>
      <c r="CE441">
        <v>2.76</v>
      </c>
      <c r="CF441">
        <v>7.0000000000000007E-2</v>
      </c>
      <c r="CG441">
        <v>2.72</v>
      </c>
      <c r="CH441">
        <v>2.34</v>
      </c>
      <c r="CI441">
        <v>2.37</v>
      </c>
      <c r="CJ441">
        <v>0.04</v>
      </c>
      <c r="CK441">
        <v>2.33</v>
      </c>
      <c r="CL441">
        <v>7.51</v>
      </c>
      <c r="CM441">
        <v>0.27</v>
      </c>
      <c r="CN441">
        <v>-1.07</v>
      </c>
      <c r="CO441">
        <v>23893</v>
      </c>
      <c r="CP441">
        <v>16380</v>
      </c>
      <c r="CQ441" t="s">
        <v>2889</v>
      </c>
      <c r="CR441">
        <v>-4.28</v>
      </c>
      <c r="CS441">
        <v>31.4</v>
      </c>
      <c r="CT441">
        <v>2.9</v>
      </c>
      <c r="CU441">
        <v>266.07</v>
      </c>
      <c r="CV441">
        <v>4.8099999999999996</v>
      </c>
      <c r="CW441">
        <v>4.37</v>
      </c>
      <c r="CX441" t="s">
        <v>1340</v>
      </c>
      <c r="CY441">
        <v>3.17</v>
      </c>
      <c r="CZ441">
        <v>0</v>
      </c>
      <c r="DA441">
        <v>0.84</v>
      </c>
      <c r="DB441">
        <v>0.97</v>
      </c>
      <c r="DC441">
        <v>0.03</v>
      </c>
      <c r="DD441">
        <v>64.86</v>
      </c>
      <c r="DE441" t="s">
        <v>1450</v>
      </c>
      <c r="DF441">
        <v>39.619999999999997</v>
      </c>
      <c r="DG441">
        <v>18.600000000000001</v>
      </c>
      <c r="DH441">
        <v>15.96</v>
      </c>
      <c r="DI441">
        <v>0.6</v>
      </c>
      <c r="DJ441">
        <v>7785</v>
      </c>
      <c r="DK441">
        <v>2003</v>
      </c>
      <c r="DL441" t="s">
        <v>120</v>
      </c>
      <c r="DM441" t="s">
        <v>120</v>
      </c>
      <c r="DN441" t="s">
        <v>120</v>
      </c>
    </row>
    <row r="442" spans="1:118">
      <c r="A442" t="str">
        <f>"002004"</f>
        <v>002004</v>
      </c>
      <c r="B442" t="s">
        <v>2890</v>
      </c>
      <c r="C442">
        <v>-4.83</v>
      </c>
      <c r="D442">
        <v>0.24</v>
      </c>
      <c r="E442">
        <v>-3.15</v>
      </c>
      <c r="F442">
        <v>16777</v>
      </c>
      <c r="G442" t="s">
        <v>2891</v>
      </c>
      <c r="H442">
        <v>130647.37</v>
      </c>
      <c r="I442">
        <v>1828.91</v>
      </c>
      <c r="J442" t="s">
        <v>120</v>
      </c>
      <c r="K442" t="s">
        <v>2892</v>
      </c>
      <c r="L442">
        <v>8.1999999999999993</v>
      </c>
      <c r="M442">
        <v>8.4700000000000006</v>
      </c>
      <c r="N442">
        <v>0.86</v>
      </c>
      <c r="O442">
        <v>1.46</v>
      </c>
      <c r="P442">
        <v>9.0299999999999994</v>
      </c>
      <c r="Q442">
        <v>-5.17</v>
      </c>
      <c r="R442">
        <v>8.44</v>
      </c>
      <c r="S442">
        <v>8.6199999999999992</v>
      </c>
      <c r="T442">
        <v>1502337</v>
      </c>
      <c r="U442">
        <v>8.48</v>
      </c>
      <c r="V442">
        <v>8.9</v>
      </c>
      <c r="W442">
        <v>23.75</v>
      </c>
      <c r="X442" t="s">
        <v>569</v>
      </c>
      <c r="Y442" t="s">
        <v>883</v>
      </c>
      <c r="Z442">
        <v>6.63</v>
      </c>
      <c r="AA442">
        <v>8.6999999999999993</v>
      </c>
      <c r="AB442">
        <v>743067</v>
      </c>
      <c r="AC442">
        <v>759270</v>
      </c>
      <c r="AD442">
        <v>0.98</v>
      </c>
      <c r="AE442">
        <v>2563</v>
      </c>
      <c r="AF442">
        <v>649</v>
      </c>
      <c r="AG442" t="s">
        <v>120</v>
      </c>
      <c r="AH442">
        <v>0.16</v>
      </c>
      <c r="AI442" t="s">
        <v>120</v>
      </c>
      <c r="AJ442">
        <v>18.309999999999999</v>
      </c>
      <c r="AK442" t="s">
        <v>2893</v>
      </c>
      <c r="AL442">
        <v>-2.92</v>
      </c>
      <c r="AM442">
        <v>4651</v>
      </c>
      <c r="AN442">
        <v>323</v>
      </c>
      <c r="AO442">
        <v>1.8E-3</v>
      </c>
      <c r="AP442">
        <v>-1</v>
      </c>
      <c r="AQ442">
        <v>1.25</v>
      </c>
      <c r="AR442">
        <v>-13.31</v>
      </c>
      <c r="AS442">
        <v>48.85</v>
      </c>
      <c r="AT442">
        <v>43.56</v>
      </c>
      <c r="AU442">
        <v>59.21</v>
      </c>
      <c r="AV442">
        <v>3</v>
      </c>
      <c r="AW442">
        <v>11.07</v>
      </c>
      <c r="AX442">
        <v>68.53</v>
      </c>
      <c r="AY442">
        <v>25.64</v>
      </c>
      <c r="AZ442">
        <v>27.04</v>
      </c>
      <c r="BA442">
        <v>0.56000000000000005</v>
      </c>
      <c r="BB442" t="s">
        <v>341</v>
      </c>
      <c r="BF442">
        <v>-2.29</v>
      </c>
      <c r="BG442">
        <v>-1.74</v>
      </c>
      <c r="BH442">
        <v>-6.2</v>
      </c>
      <c r="BI442">
        <v>0.36</v>
      </c>
      <c r="BJ442">
        <v>20210914</v>
      </c>
      <c r="BK442">
        <v>20040625</v>
      </c>
      <c r="BL442">
        <v>19.8</v>
      </c>
      <c r="BM442" t="s">
        <v>120</v>
      </c>
      <c r="BN442" t="s">
        <v>120</v>
      </c>
      <c r="BO442">
        <v>292.36</v>
      </c>
      <c r="BP442">
        <v>8.4700000000000006</v>
      </c>
      <c r="BQ442">
        <v>95.32</v>
      </c>
      <c r="BR442">
        <v>44.78</v>
      </c>
      <c r="BS442">
        <v>52.08</v>
      </c>
      <c r="BT442">
        <v>114.38</v>
      </c>
      <c r="BU442">
        <v>61.85</v>
      </c>
      <c r="BV442">
        <v>17.059999999999999</v>
      </c>
      <c r="BW442">
        <v>116.64</v>
      </c>
      <c r="BX442">
        <v>46.31</v>
      </c>
      <c r="BY442">
        <v>23.47</v>
      </c>
      <c r="BZ442">
        <v>19.2</v>
      </c>
      <c r="CA442">
        <v>0.55000000000000004</v>
      </c>
      <c r="CB442">
        <v>48.85</v>
      </c>
      <c r="CC442">
        <v>57.47</v>
      </c>
      <c r="CD442">
        <v>34.25</v>
      </c>
      <c r="CE442">
        <v>6.35</v>
      </c>
      <c r="CF442">
        <v>1.1399999999999999</v>
      </c>
      <c r="CG442">
        <v>6.24</v>
      </c>
      <c r="CH442">
        <v>4.92</v>
      </c>
      <c r="CI442">
        <v>3.53</v>
      </c>
      <c r="CJ442">
        <v>-0.43</v>
      </c>
      <c r="CK442">
        <v>3.37</v>
      </c>
      <c r="CL442">
        <v>23.82</v>
      </c>
      <c r="CM442">
        <v>5.62</v>
      </c>
      <c r="CN442">
        <v>2.36</v>
      </c>
      <c r="CO442">
        <v>95380</v>
      </c>
      <c r="CP442">
        <v>14225</v>
      </c>
      <c r="CQ442" t="s">
        <v>2894</v>
      </c>
      <c r="CR442">
        <v>11.22</v>
      </c>
      <c r="CS442">
        <v>10.99</v>
      </c>
      <c r="CT442">
        <v>1.76</v>
      </c>
      <c r="CU442">
        <v>29.83</v>
      </c>
      <c r="CV442">
        <v>2.92</v>
      </c>
      <c r="CW442">
        <v>2.4700000000000002</v>
      </c>
      <c r="CX442" t="s">
        <v>242</v>
      </c>
      <c r="CY442">
        <v>4.8099999999999996</v>
      </c>
      <c r="CZ442">
        <v>0</v>
      </c>
      <c r="DA442">
        <v>2.4700000000000002</v>
      </c>
      <c r="DB442">
        <v>1.2</v>
      </c>
      <c r="DC442">
        <v>0.28000000000000003</v>
      </c>
      <c r="DD442">
        <v>32.6</v>
      </c>
      <c r="DE442" t="s">
        <v>2654</v>
      </c>
      <c r="DF442">
        <v>40.409999999999997</v>
      </c>
      <c r="DG442">
        <v>11.05</v>
      </c>
      <c r="DH442">
        <v>6.14</v>
      </c>
      <c r="DI442">
        <v>1.64</v>
      </c>
      <c r="DJ442">
        <v>12461</v>
      </c>
      <c r="DK442">
        <v>2004</v>
      </c>
      <c r="DL442">
        <v>20210912</v>
      </c>
      <c r="DM442">
        <v>8.8800000000000008</v>
      </c>
      <c r="DN442">
        <v>-4.62</v>
      </c>
    </row>
    <row r="443" spans="1:118">
      <c r="A443" t="str">
        <f>"002006"</f>
        <v>002006</v>
      </c>
      <c r="B443" t="s">
        <v>2895</v>
      </c>
      <c r="C443">
        <v>-5.5</v>
      </c>
      <c r="D443">
        <v>-0.14000000000000001</v>
      </c>
      <c r="E443">
        <v>-2.39</v>
      </c>
      <c r="F443">
        <v>4870</v>
      </c>
      <c r="G443" t="s">
        <v>2896</v>
      </c>
      <c r="H443">
        <v>46384.35</v>
      </c>
      <c r="I443">
        <v>453.48</v>
      </c>
      <c r="J443" t="s">
        <v>120</v>
      </c>
      <c r="K443" t="s">
        <v>2897</v>
      </c>
      <c r="L443">
        <v>4.8</v>
      </c>
      <c r="M443">
        <v>20.6</v>
      </c>
      <c r="N443">
        <v>0.74</v>
      </c>
      <c r="O443">
        <v>1.7</v>
      </c>
      <c r="P443">
        <v>22.17</v>
      </c>
      <c r="Q443">
        <v>-5.5</v>
      </c>
      <c r="R443">
        <v>20.6</v>
      </c>
      <c r="S443">
        <v>21.28</v>
      </c>
      <c r="T443">
        <v>218535</v>
      </c>
      <c r="U443">
        <v>20.6</v>
      </c>
      <c r="V443">
        <v>21.8</v>
      </c>
      <c r="W443">
        <v>70.08</v>
      </c>
      <c r="X443" t="s">
        <v>675</v>
      </c>
      <c r="Y443" t="s">
        <v>585</v>
      </c>
      <c r="Z443">
        <v>7.2</v>
      </c>
      <c r="AA443">
        <v>21.23</v>
      </c>
      <c r="AB443">
        <v>125569</v>
      </c>
      <c r="AC443">
        <v>92966</v>
      </c>
      <c r="AD443">
        <v>1.35</v>
      </c>
      <c r="AE443">
        <v>57</v>
      </c>
      <c r="AF443">
        <v>2300</v>
      </c>
      <c r="AG443" t="s">
        <v>120</v>
      </c>
      <c r="AH443">
        <v>0.08</v>
      </c>
      <c r="AI443" t="s">
        <v>120</v>
      </c>
      <c r="AJ443">
        <v>4.55</v>
      </c>
      <c r="AK443" t="s">
        <v>2897</v>
      </c>
      <c r="AL443">
        <v>-3.59</v>
      </c>
      <c r="AM443">
        <v>4129</v>
      </c>
      <c r="AN443">
        <v>53</v>
      </c>
      <c r="AO443">
        <v>1.1999999999999999E-3</v>
      </c>
      <c r="AP443">
        <v>-1</v>
      </c>
      <c r="AQ443">
        <v>1.77</v>
      </c>
      <c r="AR443">
        <v>0.04</v>
      </c>
      <c r="AS443">
        <v>31.55</v>
      </c>
      <c r="AT443">
        <v>145.22999999999999</v>
      </c>
      <c r="AU443">
        <v>273.19</v>
      </c>
      <c r="AV443">
        <v>16</v>
      </c>
      <c r="AW443">
        <v>7.73</v>
      </c>
      <c r="AX443">
        <v>62.07</v>
      </c>
      <c r="AY443">
        <v>112.99</v>
      </c>
      <c r="AZ443">
        <v>350.1</v>
      </c>
      <c r="BA443">
        <v>0.95</v>
      </c>
      <c r="BB443" t="s">
        <v>184</v>
      </c>
      <c r="BF443">
        <v>-2.64</v>
      </c>
      <c r="BG443">
        <v>-3.2</v>
      </c>
      <c r="BH443">
        <v>-7.08</v>
      </c>
      <c r="BI443">
        <v>0</v>
      </c>
      <c r="BJ443">
        <v>20210902</v>
      </c>
      <c r="BK443">
        <v>20040625</v>
      </c>
      <c r="BL443">
        <v>4.55</v>
      </c>
      <c r="BM443" t="s">
        <v>120</v>
      </c>
      <c r="BN443" t="s">
        <v>120</v>
      </c>
      <c r="BO443">
        <v>22.19</v>
      </c>
      <c r="BP443">
        <v>20.59</v>
      </c>
      <c r="BQ443">
        <v>10.1</v>
      </c>
      <c r="BR443">
        <v>0.26</v>
      </c>
      <c r="BS443">
        <v>53.34</v>
      </c>
      <c r="BT443">
        <v>17.329999999999998</v>
      </c>
      <c r="BU443">
        <v>3.92</v>
      </c>
      <c r="BV443">
        <v>0.38</v>
      </c>
      <c r="BW443">
        <v>11.6</v>
      </c>
      <c r="BX443">
        <v>2.92</v>
      </c>
      <c r="BY443">
        <v>4.6399999999999997</v>
      </c>
      <c r="BZ443">
        <v>2.14</v>
      </c>
      <c r="CA443">
        <v>0.06</v>
      </c>
      <c r="CB443">
        <v>2.72</v>
      </c>
      <c r="CC443">
        <v>8.42</v>
      </c>
      <c r="CD443">
        <v>6.72</v>
      </c>
      <c r="CE443">
        <v>0.67</v>
      </c>
      <c r="CF443">
        <v>0.01</v>
      </c>
      <c r="CG443">
        <v>0.67</v>
      </c>
      <c r="CH443">
        <v>0.67</v>
      </c>
      <c r="CI443">
        <v>0.67</v>
      </c>
      <c r="CJ443">
        <v>-1.2</v>
      </c>
      <c r="CK443">
        <v>0.53</v>
      </c>
      <c r="CL443">
        <v>1.69</v>
      </c>
      <c r="CM443">
        <v>-0.47</v>
      </c>
      <c r="CN443">
        <v>-0.52</v>
      </c>
      <c r="CO443">
        <v>49662</v>
      </c>
      <c r="CP443">
        <v>5689</v>
      </c>
      <c r="CQ443" t="s">
        <v>2898</v>
      </c>
      <c r="CR443">
        <v>800.41</v>
      </c>
      <c r="CS443">
        <v>84.21</v>
      </c>
      <c r="CT443">
        <v>9.2899999999999991</v>
      </c>
      <c r="CU443">
        <v>-198.8</v>
      </c>
      <c r="CV443">
        <v>11.13</v>
      </c>
      <c r="CW443">
        <v>0</v>
      </c>
      <c r="CX443" t="s">
        <v>373</v>
      </c>
      <c r="CY443">
        <v>2.2200000000000002</v>
      </c>
      <c r="CZ443">
        <v>0</v>
      </c>
      <c r="DA443">
        <v>0.6</v>
      </c>
      <c r="DB443">
        <v>0.37</v>
      </c>
      <c r="DC443">
        <v>-0.1</v>
      </c>
      <c r="DD443">
        <v>45.5</v>
      </c>
      <c r="DE443" t="s">
        <v>1521</v>
      </c>
      <c r="DF443">
        <v>20.22</v>
      </c>
      <c r="DG443">
        <v>7.93</v>
      </c>
      <c r="DH443">
        <v>7.94</v>
      </c>
      <c r="DI443">
        <v>0.39</v>
      </c>
      <c r="DJ443">
        <v>1181</v>
      </c>
      <c r="DK443">
        <v>2006</v>
      </c>
      <c r="DL443">
        <v>20210809</v>
      </c>
      <c r="DM443">
        <v>14.58</v>
      </c>
      <c r="DN443">
        <v>41.29</v>
      </c>
    </row>
    <row r="444" spans="1:118">
      <c r="A444" t="str">
        <f>"002007"</f>
        <v>002007</v>
      </c>
      <c r="B444" t="s">
        <v>2899</v>
      </c>
      <c r="C444">
        <v>-0.04</v>
      </c>
      <c r="D444">
        <v>0</v>
      </c>
      <c r="E444">
        <v>0.22</v>
      </c>
      <c r="F444">
        <v>2127</v>
      </c>
      <c r="G444" t="s">
        <v>2900</v>
      </c>
      <c r="H444">
        <v>49649.91</v>
      </c>
      <c r="I444">
        <v>106.94</v>
      </c>
      <c r="J444" t="s">
        <v>120</v>
      </c>
      <c r="K444" t="s">
        <v>2901</v>
      </c>
      <c r="L444">
        <v>1.1299999999999999</v>
      </c>
      <c r="M444">
        <v>27.78</v>
      </c>
      <c r="N444">
        <v>1.01</v>
      </c>
      <c r="O444">
        <v>1.66</v>
      </c>
      <c r="P444">
        <v>28.25</v>
      </c>
      <c r="Q444">
        <v>-0.68</v>
      </c>
      <c r="R444">
        <v>27.6</v>
      </c>
      <c r="S444">
        <v>27.85</v>
      </c>
      <c r="T444">
        <v>177991</v>
      </c>
      <c r="U444">
        <v>27.79</v>
      </c>
      <c r="V444">
        <v>27.79</v>
      </c>
      <c r="W444">
        <v>55.42</v>
      </c>
      <c r="X444" t="s">
        <v>666</v>
      </c>
      <c r="Y444" t="s">
        <v>645</v>
      </c>
      <c r="Z444">
        <v>2.34</v>
      </c>
      <c r="AA444">
        <v>27.89</v>
      </c>
      <c r="AB444">
        <v>73693</v>
      </c>
      <c r="AC444">
        <v>104298</v>
      </c>
      <c r="AD444">
        <v>0.71</v>
      </c>
      <c r="AE444">
        <v>71</v>
      </c>
      <c r="AF444">
        <v>264</v>
      </c>
      <c r="AG444" t="s">
        <v>120</v>
      </c>
      <c r="AH444">
        <v>0</v>
      </c>
      <c r="AI444" t="s">
        <v>120</v>
      </c>
      <c r="AJ444">
        <v>15.71</v>
      </c>
      <c r="AK444" t="s">
        <v>2902</v>
      </c>
      <c r="AL444">
        <v>1.88</v>
      </c>
      <c r="AM444">
        <v>4302</v>
      </c>
      <c r="AN444">
        <v>41</v>
      </c>
      <c r="AO444">
        <v>2.9999999999999997E-4</v>
      </c>
      <c r="AP444">
        <v>-8</v>
      </c>
      <c r="AQ444">
        <v>-3.51</v>
      </c>
      <c r="AR444">
        <v>-4.4000000000000004</v>
      </c>
      <c r="AS444">
        <v>-23.68</v>
      </c>
      <c r="AT444">
        <v>-23.35</v>
      </c>
      <c r="AU444">
        <v>-33.76</v>
      </c>
      <c r="AV444">
        <v>0</v>
      </c>
      <c r="AW444">
        <v>1.83</v>
      </c>
      <c r="AX444">
        <v>53.44</v>
      </c>
      <c r="AY444">
        <v>32.53</v>
      </c>
      <c r="AZ444">
        <v>31.43</v>
      </c>
      <c r="BA444">
        <v>0.62</v>
      </c>
      <c r="BB444" t="s">
        <v>134</v>
      </c>
      <c r="BF444">
        <v>0.38</v>
      </c>
      <c r="BG444">
        <v>-0.25</v>
      </c>
      <c r="BH444">
        <v>-1.66</v>
      </c>
      <c r="BI444">
        <v>0.65</v>
      </c>
      <c r="BJ444">
        <v>20210914</v>
      </c>
      <c r="BK444">
        <v>20040625</v>
      </c>
      <c r="BL444">
        <v>18.239999999999998</v>
      </c>
      <c r="BM444" t="s">
        <v>120</v>
      </c>
      <c r="BN444" t="s">
        <v>120</v>
      </c>
      <c r="BO444">
        <v>95.34</v>
      </c>
      <c r="BP444">
        <v>27.78</v>
      </c>
      <c r="BQ444">
        <v>74.94</v>
      </c>
      <c r="BR444">
        <v>5.64</v>
      </c>
      <c r="BS444">
        <v>15.48</v>
      </c>
      <c r="BT444">
        <v>67.72</v>
      </c>
      <c r="BU444">
        <v>14.4</v>
      </c>
      <c r="BV444">
        <v>1.93</v>
      </c>
      <c r="BW444">
        <v>14.04</v>
      </c>
      <c r="BX444">
        <v>12.51</v>
      </c>
      <c r="BY444">
        <v>15.05</v>
      </c>
      <c r="BZ444">
        <v>10.78</v>
      </c>
      <c r="CA444" t="s">
        <v>120</v>
      </c>
      <c r="CB444">
        <v>1.04</v>
      </c>
      <c r="CC444">
        <v>12.89</v>
      </c>
      <c r="CD444">
        <v>5.17</v>
      </c>
      <c r="CE444">
        <v>5.34</v>
      </c>
      <c r="CF444">
        <v>0.11</v>
      </c>
      <c r="CG444">
        <v>5.31</v>
      </c>
      <c r="CH444">
        <v>4.5</v>
      </c>
      <c r="CI444">
        <v>4.57</v>
      </c>
      <c r="CJ444">
        <v>-0.01</v>
      </c>
      <c r="CK444">
        <v>3.96</v>
      </c>
      <c r="CL444">
        <v>50.38</v>
      </c>
      <c r="CM444">
        <v>7.41</v>
      </c>
      <c r="CN444">
        <v>2.4700000000000002</v>
      </c>
      <c r="CO444">
        <v>210000</v>
      </c>
      <c r="CP444">
        <v>4642</v>
      </c>
      <c r="CQ444" t="s">
        <v>2903</v>
      </c>
      <c r="CR444">
        <v>-10.64</v>
      </c>
      <c r="CS444">
        <v>-7.06</v>
      </c>
      <c r="CT444">
        <v>6.76</v>
      </c>
      <c r="CU444">
        <v>68.400000000000006</v>
      </c>
      <c r="CV444">
        <v>39.33</v>
      </c>
      <c r="CW444">
        <v>1.08</v>
      </c>
      <c r="CX444" t="s">
        <v>863</v>
      </c>
      <c r="CY444">
        <v>4.1100000000000003</v>
      </c>
      <c r="CZ444">
        <v>0</v>
      </c>
      <c r="DA444">
        <v>0.06</v>
      </c>
      <c r="DB444">
        <v>2.76</v>
      </c>
      <c r="DC444">
        <v>0.41</v>
      </c>
      <c r="DD444">
        <v>78.599999999999994</v>
      </c>
      <c r="DE444" t="s">
        <v>2904</v>
      </c>
      <c r="DF444">
        <v>59.89</v>
      </c>
      <c r="DG444">
        <v>41.44</v>
      </c>
      <c r="DH444">
        <v>35.49</v>
      </c>
      <c r="DI444">
        <v>1.23</v>
      </c>
      <c r="DJ444">
        <v>2887</v>
      </c>
      <c r="DK444">
        <v>2007</v>
      </c>
      <c r="DL444" t="s">
        <v>120</v>
      </c>
      <c r="DM444" t="s">
        <v>120</v>
      </c>
      <c r="DN444" t="s">
        <v>120</v>
      </c>
    </row>
    <row r="445" spans="1:118">
      <c r="A445" t="str">
        <f>"002008"</f>
        <v>002008</v>
      </c>
      <c r="B445" t="s">
        <v>2905</v>
      </c>
      <c r="C445">
        <v>-3.13</v>
      </c>
      <c r="D445">
        <v>-0.24</v>
      </c>
      <c r="E445">
        <v>0.19</v>
      </c>
      <c r="F445">
        <v>4671</v>
      </c>
      <c r="G445" t="s">
        <v>2906</v>
      </c>
      <c r="H445">
        <v>77977.63</v>
      </c>
      <c r="I445">
        <v>494.86</v>
      </c>
      <c r="J445" t="s">
        <v>120</v>
      </c>
      <c r="K445" t="s">
        <v>2907</v>
      </c>
      <c r="L445">
        <v>1.9</v>
      </c>
      <c r="M445">
        <v>40.51</v>
      </c>
      <c r="N445">
        <v>0.8</v>
      </c>
      <c r="O445">
        <v>1.77</v>
      </c>
      <c r="P445">
        <v>42.56</v>
      </c>
      <c r="Q445">
        <v>-3.16</v>
      </c>
      <c r="R445">
        <v>40.5</v>
      </c>
      <c r="S445">
        <v>41.9</v>
      </c>
      <c r="T445">
        <v>188928</v>
      </c>
      <c r="U445">
        <v>40.520000000000003</v>
      </c>
      <c r="V445">
        <v>41.82</v>
      </c>
      <c r="W445">
        <v>24.33</v>
      </c>
      <c r="X445" t="s">
        <v>2717</v>
      </c>
      <c r="Y445" t="s">
        <v>123</v>
      </c>
      <c r="Z445">
        <v>4.93</v>
      </c>
      <c r="AA445">
        <v>41.27</v>
      </c>
      <c r="AB445">
        <v>110424</v>
      </c>
      <c r="AC445">
        <v>78504</v>
      </c>
      <c r="AD445">
        <v>1.41</v>
      </c>
      <c r="AE445">
        <v>773</v>
      </c>
      <c r="AF445">
        <v>56</v>
      </c>
      <c r="AG445" t="s">
        <v>120</v>
      </c>
      <c r="AH445">
        <v>0.01</v>
      </c>
      <c r="AI445" t="s">
        <v>120</v>
      </c>
      <c r="AJ445">
        <v>9.94</v>
      </c>
      <c r="AK445" t="s">
        <v>2908</v>
      </c>
      <c r="AL445">
        <v>-1.22</v>
      </c>
      <c r="AM445">
        <v>4347</v>
      </c>
      <c r="AN445">
        <v>43</v>
      </c>
      <c r="AO445">
        <v>4.0000000000000002E-4</v>
      </c>
      <c r="AP445">
        <v>-1</v>
      </c>
      <c r="AQ445">
        <v>0.63</v>
      </c>
      <c r="AR445">
        <v>-4</v>
      </c>
      <c r="AS445">
        <v>1.45</v>
      </c>
      <c r="AT445">
        <v>5.69</v>
      </c>
      <c r="AU445">
        <v>-4.8</v>
      </c>
      <c r="AV445">
        <v>3</v>
      </c>
      <c r="AW445">
        <v>2.34</v>
      </c>
      <c r="AX445">
        <v>75.73</v>
      </c>
      <c r="AY445">
        <v>35.880000000000003</v>
      </c>
      <c r="AZ445">
        <v>45.59</v>
      </c>
      <c r="BA445">
        <v>0.5</v>
      </c>
      <c r="BB445" t="s">
        <v>143</v>
      </c>
      <c r="BF445">
        <v>-1.31</v>
      </c>
      <c r="BG445">
        <v>-3.32</v>
      </c>
      <c r="BH445">
        <v>-4.82</v>
      </c>
      <c r="BI445">
        <v>0.02</v>
      </c>
      <c r="BJ445">
        <v>20210821</v>
      </c>
      <c r="BK445">
        <v>20040625</v>
      </c>
      <c r="BL445">
        <v>10.67</v>
      </c>
      <c r="BM445" t="s">
        <v>120</v>
      </c>
      <c r="BN445" t="s">
        <v>120</v>
      </c>
      <c r="BO445">
        <v>250.99</v>
      </c>
      <c r="BP445">
        <v>40.51</v>
      </c>
      <c r="BQ445">
        <v>105.74</v>
      </c>
      <c r="BR445">
        <v>4.4400000000000004</v>
      </c>
      <c r="BS445">
        <v>56.11</v>
      </c>
      <c r="BT445">
        <v>176.47</v>
      </c>
      <c r="BU445">
        <v>35.39</v>
      </c>
      <c r="BV445">
        <v>10.97</v>
      </c>
      <c r="BW445">
        <v>110.64</v>
      </c>
      <c r="BX445">
        <v>46.7</v>
      </c>
      <c r="BY445">
        <v>52.77</v>
      </c>
      <c r="BZ445">
        <v>51.49</v>
      </c>
      <c r="CA445">
        <v>0.01</v>
      </c>
      <c r="CB445">
        <v>10.6</v>
      </c>
      <c r="CC445">
        <v>74.86</v>
      </c>
      <c r="CD445">
        <v>46.57</v>
      </c>
      <c r="CE445">
        <v>9.98</v>
      </c>
      <c r="CF445">
        <v>0.3</v>
      </c>
      <c r="CG445">
        <v>10.01</v>
      </c>
      <c r="CH445">
        <v>9.2200000000000006</v>
      </c>
      <c r="CI445">
        <v>8.8800000000000008</v>
      </c>
      <c r="CJ445">
        <v>-1.31</v>
      </c>
      <c r="CK445">
        <v>7.68</v>
      </c>
      <c r="CL445">
        <v>76.75</v>
      </c>
      <c r="CM445">
        <v>2.4300000000000002</v>
      </c>
      <c r="CN445">
        <v>-10.56</v>
      </c>
      <c r="CO445">
        <v>152001</v>
      </c>
      <c r="CP445">
        <v>5317</v>
      </c>
      <c r="CQ445" t="s">
        <v>2909</v>
      </c>
      <c r="CR445">
        <v>42.5</v>
      </c>
      <c r="CS445">
        <v>45.08</v>
      </c>
      <c r="CT445">
        <v>4.32</v>
      </c>
      <c r="CU445">
        <v>177.6</v>
      </c>
      <c r="CV445">
        <v>5.77</v>
      </c>
      <c r="CW445">
        <v>0.47</v>
      </c>
      <c r="CX445" t="s">
        <v>1362</v>
      </c>
      <c r="CY445">
        <v>9.39</v>
      </c>
      <c r="CZ445">
        <v>9.39</v>
      </c>
      <c r="DA445">
        <v>0.99</v>
      </c>
      <c r="DB445">
        <v>7.19</v>
      </c>
      <c r="DC445">
        <v>0.23</v>
      </c>
      <c r="DD445">
        <v>42.13</v>
      </c>
      <c r="DE445" t="s">
        <v>2910</v>
      </c>
      <c r="DF445">
        <v>37.79</v>
      </c>
      <c r="DG445">
        <v>13.33</v>
      </c>
      <c r="DH445">
        <v>11.87</v>
      </c>
      <c r="DI445">
        <v>6.12</v>
      </c>
      <c r="DJ445">
        <v>14174</v>
      </c>
      <c r="DK445">
        <v>2008</v>
      </c>
      <c r="DL445" t="s">
        <v>120</v>
      </c>
      <c r="DM445" t="s">
        <v>120</v>
      </c>
      <c r="DN445" t="s">
        <v>120</v>
      </c>
    </row>
    <row r="446" spans="1:118">
      <c r="A446" t="str">
        <f>"002009"</f>
        <v>002009</v>
      </c>
      <c r="B446" t="s">
        <v>2911</v>
      </c>
      <c r="C446">
        <v>-7.29</v>
      </c>
      <c r="D446">
        <v>0.06</v>
      </c>
      <c r="E446">
        <v>-1.29</v>
      </c>
      <c r="F446">
        <v>2006</v>
      </c>
      <c r="G446" t="s">
        <v>2912</v>
      </c>
      <c r="H446">
        <v>44986.22</v>
      </c>
      <c r="I446">
        <v>377.87</v>
      </c>
      <c r="J446" t="s">
        <v>120</v>
      </c>
      <c r="K446" t="s">
        <v>2913</v>
      </c>
      <c r="L446">
        <v>7.09</v>
      </c>
      <c r="M446">
        <v>16.53</v>
      </c>
      <c r="N446">
        <v>0.94</v>
      </c>
      <c r="O446">
        <v>0.17</v>
      </c>
      <c r="P446">
        <v>17.86</v>
      </c>
      <c r="Q446">
        <v>-7.46</v>
      </c>
      <c r="R446">
        <v>16.5</v>
      </c>
      <c r="S446">
        <v>17.600000000000001</v>
      </c>
      <c r="T446">
        <v>262427</v>
      </c>
      <c r="U446">
        <v>16.54</v>
      </c>
      <c r="V446">
        <v>17.829999999999998</v>
      </c>
      <c r="W446">
        <v>39.340000000000003</v>
      </c>
      <c r="X446" t="s">
        <v>593</v>
      </c>
      <c r="Y446" t="s">
        <v>319</v>
      </c>
      <c r="Z446">
        <v>7.63</v>
      </c>
      <c r="AA446">
        <v>17.14</v>
      </c>
      <c r="AB446">
        <v>151513</v>
      </c>
      <c r="AC446">
        <v>110914</v>
      </c>
      <c r="AD446">
        <v>1.37</v>
      </c>
      <c r="AE446">
        <v>177</v>
      </c>
      <c r="AF446">
        <v>366</v>
      </c>
      <c r="AG446" t="s">
        <v>120</v>
      </c>
      <c r="AH446">
        <v>0.08</v>
      </c>
      <c r="AI446" t="s">
        <v>120</v>
      </c>
      <c r="AJ446">
        <v>3.7</v>
      </c>
      <c r="AK446" t="s">
        <v>2914</v>
      </c>
      <c r="AL446">
        <v>-5.38</v>
      </c>
      <c r="AM446">
        <v>4205</v>
      </c>
      <c r="AN446">
        <v>62</v>
      </c>
      <c r="AO446">
        <v>1.6999999999999999E-3</v>
      </c>
      <c r="AP446">
        <v>-1</v>
      </c>
      <c r="AQ446">
        <v>2.5299999999999998</v>
      </c>
      <c r="AR446">
        <v>1.78</v>
      </c>
      <c r="AS446">
        <v>-1.49</v>
      </c>
      <c r="AT446">
        <v>55.06</v>
      </c>
      <c r="AU446">
        <v>63.97</v>
      </c>
      <c r="AV446">
        <v>6</v>
      </c>
      <c r="AW446">
        <v>10.039999999999999</v>
      </c>
      <c r="AX446">
        <v>70.53</v>
      </c>
      <c r="AY446">
        <v>51.79</v>
      </c>
      <c r="AZ446">
        <v>108.22</v>
      </c>
      <c r="BA446">
        <v>1.4</v>
      </c>
      <c r="BB446" t="s">
        <v>143</v>
      </c>
      <c r="BF446">
        <v>-3.86</v>
      </c>
      <c r="BG446">
        <v>-6.08</v>
      </c>
      <c r="BH446">
        <v>-7.45</v>
      </c>
      <c r="BI446">
        <v>0.18</v>
      </c>
      <c r="BJ446">
        <v>20210817</v>
      </c>
      <c r="BK446">
        <v>20040629</v>
      </c>
      <c r="BL446">
        <v>3.71</v>
      </c>
      <c r="BM446" t="s">
        <v>120</v>
      </c>
      <c r="BN446" t="s">
        <v>120</v>
      </c>
      <c r="BO446">
        <v>58.91</v>
      </c>
      <c r="BP446">
        <v>16.53</v>
      </c>
      <c r="BQ446">
        <v>19.89</v>
      </c>
      <c r="BR446">
        <v>1.44</v>
      </c>
      <c r="BS446">
        <v>63.8</v>
      </c>
      <c r="BT446">
        <v>41.25</v>
      </c>
      <c r="BU446">
        <v>7.12</v>
      </c>
      <c r="BV446">
        <v>3.34</v>
      </c>
      <c r="BW446">
        <v>34.340000000000003</v>
      </c>
      <c r="BX446">
        <v>8.5399999999999991</v>
      </c>
      <c r="BY446">
        <v>10.17</v>
      </c>
      <c r="BZ446">
        <v>8.8000000000000007</v>
      </c>
      <c r="CA446" t="s">
        <v>120</v>
      </c>
      <c r="CB446">
        <v>6.59</v>
      </c>
      <c r="CC446">
        <v>18.510000000000002</v>
      </c>
      <c r="CD446">
        <v>14.72</v>
      </c>
      <c r="CE446">
        <v>1.0900000000000001</v>
      </c>
      <c r="CF446">
        <v>0.01</v>
      </c>
      <c r="CG446">
        <v>1.02</v>
      </c>
      <c r="CH446">
        <v>0.79</v>
      </c>
      <c r="CI446">
        <v>0.78</v>
      </c>
      <c r="CJ446">
        <v>-1.3</v>
      </c>
      <c r="CK446">
        <v>0.65</v>
      </c>
      <c r="CL446">
        <v>8.58</v>
      </c>
      <c r="CM446">
        <v>-0.22</v>
      </c>
      <c r="CN446">
        <v>-0.67</v>
      </c>
      <c r="CO446">
        <v>47211</v>
      </c>
      <c r="CP446">
        <v>5535</v>
      </c>
      <c r="CQ446" t="s">
        <v>2915</v>
      </c>
      <c r="CR446">
        <v>587.23</v>
      </c>
      <c r="CS446">
        <v>17.86</v>
      </c>
      <c r="CT446">
        <v>3.08</v>
      </c>
      <c r="CU446">
        <v>-277.22000000000003</v>
      </c>
      <c r="CV446">
        <v>3.31</v>
      </c>
      <c r="CW446">
        <v>0.27</v>
      </c>
      <c r="CX446" t="s">
        <v>2097</v>
      </c>
      <c r="CY446">
        <v>5.37</v>
      </c>
      <c r="CZ446">
        <v>0</v>
      </c>
      <c r="DA446">
        <v>1.78</v>
      </c>
      <c r="DB446">
        <v>2.3199999999999998</v>
      </c>
      <c r="DC446">
        <v>-0.06</v>
      </c>
      <c r="DD446">
        <v>33.76</v>
      </c>
      <c r="DE446" t="s">
        <v>2916</v>
      </c>
      <c r="DF446">
        <v>20.49</v>
      </c>
      <c r="DG446">
        <v>5.91</v>
      </c>
      <c r="DH446">
        <v>4.21</v>
      </c>
      <c r="DI446">
        <v>0.8</v>
      </c>
      <c r="DJ446">
        <v>2943</v>
      </c>
      <c r="DK446">
        <v>2009</v>
      </c>
      <c r="DL446">
        <v>20210811</v>
      </c>
      <c r="DM446">
        <v>16.97</v>
      </c>
      <c r="DN446">
        <v>-2.59</v>
      </c>
    </row>
    <row r="447" spans="1:118">
      <c r="A447" t="str">
        <f>"002010"</f>
        <v>002010</v>
      </c>
      <c r="B447" t="s">
        <v>2917</v>
      </c>
      <c r="C447">
        <v>0.44</v>
      </c>
      <c r="D447">
        <v>0.33</v>
      </c>
      <c r="E447">
        <v>0.11</v>
      </c>
      <c r="F447">
        <v>8176</v>
      </c>
      <c r="G447" t="s">
        <v>2918</v>
      </c>
      <c r="H447">
        <v>31034.92</v>
      </c>
      <c r="I447">
        <v>138.41</v>
      </c>
      <c r="J447" t="s">
        <v>120</v>
      </c>
      <c r="K447" t="s">
        <v>2919</v>
      </c>
      <c r="L447">
        <v>1.1499999999999999</v>
      </c>
      <c r="M447">
        <v>9.19</v>
      </c>
      <c r="N447">
        <v>0.5</v>
      </c>
      <c r="O447">
        <v>3.06</v>
      </c>
      <c r="P447">
        <v>9.43</v>
      </c>
      <c r="Q447">
        <v>-1.2</v>
      </c>
      <c r="R447">
        <v>9.0399999999999991</v>
      </c>
      <c r="S447">
        <v>9.16</v>
      </c>
      <c r="T447">
        <v>338040</v>
      </c>
      <c r="U447">
        <v>9.19</v>
      </c>
      <c r="V447">
        <v>9.15</v>
      </c>
      <c r="W447">
        <v>25.83</v>
      </c>
      <c r="X447" t="s">
        <v>2775</v>
      </c>
      <c r="Y447" t="s">
        <v>585</v>
      </c>
      <c r="Z447">
        <v>4.26</v>
      </c>
      <c r="AA447">
        <v>9.18</v>
      </c>
      <c r="AB447">
        <v>168235</v>
      </c>
      <c r="AC447">
        <v>169805</v>
      </c>
      <c r="AD447">
        <v>0.99</v>
      </c>
      <c r="AE447">
        <v>39</v>
      </c>
      <c r="AF447">
        <v>6665</v>
      </c>
      <c r="AG447" t="s">
        <v>120</v>
      </c>
      <c r="AH447">
        <v>0.01</v>
      </c>
      <c r="AI447" t="s">
        <v>120</v>
      </c>
      <c r="AJ447">
        <v>29.38</v>
      </c>
      <c r="AK447" t="s">
        <v>2920</v>
      </c>
      <c r="AL447">
        <v>2.35</v>
      </c>
      <c r="AM447">
        <v>3418</v>
      </c>
      <c r="AN447">
        <v>99</v>
      </c>
      <c r="AO447">
        <v>2.9999999999999997E-4</v>
      </c>
      <c r="AP447">
        <v>2</v>
      </c>
      <c r="AQ447">
        <v>2.46</v>
      </c>
      <c r="AR447">
        <v>1.99</v>
      </c>
      <c r="AS447">
        <v>22.21</v>
      </c>
      <c r="AT447">
        <v>-0.11</v>
      </c>
      <c r="AU447">
        <v>99.35</v>
      </c>
      <c r="AV447">
        <v>4</v>
      </c>
      <c r="AW447">
        <v>2.96</v>
      </c>
      <c r="AX447">
        <v>37.200000000000003</v>
      </c>
      <c r="AY447">
        <v>17.75</v>
      </c>
      <c r="AZ447">
        <v>18.47</v>
      </c>
      <c r="BA447">
        <v>0.33</v>
      </c>
      <c r="BB447" t="s">
        <v>184</v>
      </c>
      <c r="BF447">
        <v>0.34</v>
      </c>
      <c r="BG447">
        <v>0.33</v>
      </c>
      <c r="BH447">
        <v>-2.5499999999999998</v>
      </c>
      <c r="BI447">
        <v>1.66</v>
      </c>
      <c r="BJ447">
        <v>20210831</v>
      </c>
      <c r="BK447">
        <v>20040629</v>
      </c>
      <c r="BL447">
        <v>30.71</v>
      </c>
      <c r="BM447" t="s">
        <v>120</v>
      </c>
      <c r="BN447" t="s">
        <v>120</v>
      </c>
      <c r="BO447">
        <v>367.14</v>
      </c>
      <c r="BP447">
        <v>9.18</v>
      </c>
      <c r="BQ447">
        <v>151.68</v>
      </c>
      <c r="BR447">
        <v>11.78</v>
      </c>
      <c r="BS447">
        <v>55.48</v>
      </c>
      <c r="BT447">
        <v>140.35</v>
      </c>
      <c r="BU447">
        <v>15.59</v>
      </c>
      <c r="BV447">
        <v>12.19</v>
      </c>
      <c r="BW447">
        <v>108.97</v>
      </c>
      <c r="BX447">
        <v>45.3</v>
      </c>
      <c r="BY447">
        <v>15.74</v>
      </c>
      <c r="BZ447">
        <v>19.89</v>
      </c>
      <c r="CA447">
        <v>2.4500000000000002</v>
      </c>
      <c r="CB447">
        <v>63.12</v>
      </c>
      <c r="CC447">
        <v>159.47999999999999</v>
      </c>
      <c r="CD447">
        <v>143.06</v>
      </c>
      <c r="CE447">
        <v>6.92</v>
      </c>
      <c r="CF447">
        <v>0.3</v>
      </c>
      <c r="CG447">
        <v>6.92</v>
      </c>
      <c r="CH447">
        <v>5.68</v>
      </c>
      <c r="CI447">
        <v>5.46</v>
      </c>
      <c r="CJ447">
        <v>0.04</v>
      </c>
      <c r="CK447">
        <v>5.2</v>
      </c>
      <c r="CL447">
        <v>52.15</v>
      </c>
      <c r="CM447">
        <v>2.89</v>
      </c>
      <c r="CN447">
        <v>-6.45</v>
      </c>
      <c r="CO447">
        <v>40726</v>
      </c>
      <c r="CP447">
        <v>28055</v>
      </c>
      <c r="CQ447" t="s">
        <v>2921</v>
      </c>
      <c r="CR447">
        <v>12.76</v>
      </c>
      <c r="CS447">
        <v>83.08</v>
      </c>
      <c r="CT447">
        <v>1.86</v>
      </c>
      <c r="CU447">
        <v>97.57</v>
      </c>
      <c r="CV447">
        <v>1.77</v>
      </c>
      <c r="CW447">
        <v>1.18</v>
      </c>
      <c r="CX447" t="s">
        <v>1193</v>
      </c>
      <c r="CY447">
        <v>4.9400000000000004</v>
      </c>
      <c r="CZ447">
        <v>0</v>
      </c>
      <c r="DA447">
        <v>2.0499999999999998</v>
      </c>
      <c r="DB447">
        <v>1.7</v>
      </c>
      <c r="DC447">
        <v>0.09</v>
      </c>
      <c r="DD447">
        <v>41.31</v>
      </c>
      <c r="DE447" t="s">
        <v>1060</v>
      </c>
      <c r="DF447">
        <v>10.3</v>
      </c>
      <c r="DG447">
        <v>4.34</v>
      </c>
      <c r="DH447">
        <v>3.43</v>
      </c>
      <c r="DI447">
        <v>1.89</v>
      </c>
      <c r="DJ447">
        <v>5189</v>
      </c>
      <c r="DK447">
        <v>2010</v>
      </c>
      <c r="DL447" t="s">
        <v>120</v>
      </c>
      <c r="DM447" t="s">
        <v>120</v>
      </c>
      <c r="DN447" t="s">
        <v>120</v>
      </c>
    </row>
    <row r="448" spans="1:118">
      <c r="A448" t="str">
        <f>"002011"</f>
        <v>002011</v>
      </c>
      <c r="B448" t="s">
        <v>2922</v>
      </c>
      <c r="C448">
        <v>-4.68</v>
      </c>
      <c r="D448">
        <v>0</v>
      </c>
      <c r="E448">
        <v>-0.67</v>
      </c>
      <c r="F448">
        <v>1245</v>
      </c>
      <c r="G448" t="s">
        <v>2923</v>
      </c>
      <c r="H448">
        <v>13838.69</v>
      </c>
      <c r="I448">
        <v>60.7</v>
      </c>
      <c r="J448" t="s">
        <v>120</v>
      </c>
      <c r="K448" t="s">
        <v>2924</v>
      </c>
      <c r="L448">
        <v>2.0699999999999998</v>
      </c>
      <c r="M448">
        <v>7.13</v>
      </c>
      <c r="N448">
        <v>0.93</v>
      </c>
      <c r="O448">
        <v>0.8</v>
      </c>
      <c r="P448">
        <v>7.54</v>
      </c>
      <c r="Q448">
        <v>-5.08</v>
      </c>
      <c r="R448">
        <v>7.1</v>
      </c>
      <c r="S448">
        <v>7.43</v>
      </c>
      <c r="T448">
        <v>189942</v>
      </c>
      <c r="U448">
        <v>7.14</v>
      </c>
      <c r="V448">
        <v>7.48</v>
      </c>
      <c r="W448">
        <v>12.63</v>
      </c>
      <c r="X448" t="s">
        <v>593</v>
      </c>
      <c r="Y448" t="s">
        <v>585</v>
      </c>
      <c r="Z448">
        <v>5.88</v>
      </c>
      <c r="AA448">
        <v>7.29</v>
      </c>
      <c r="AB448">
        <v>121013</v>
      </c>
      <c r="AC448">
        <v>68929</v>
      </c>
      <c r="AD448">
        <v>1.76</v>
      </c>
      <c r="AE448">
        <v>2269</v>
      </c>
      <c r="AF448">
        <v>284</v>
      </c>
      <c r="AG448" t="s">
        <v>120</v>
      </c>
      <c r="AH448">
        <v>0.02</v>
      </c>
      <c r="AI448" t="s">
        <v>120</v>
      </c>
      <c r="AJ448">
        <v>9.16</v>
      </c>
      <c r="AK448" t="s">
        <v>2925</v>
      </c>
      <c r="AL448">
        <v>-2.77</v>
      </c>
      <c r="AM448">
        <v>3039</v>
      </c>
      <c r="AN448">
        <v>63</v>
      </c>
      <c r="AO448">
        <v>6.9999999999999999E-4</v>
      </c>
      <c r="AP448">
        <v>-1</v>
      </c>
      <c r="AQ448">
        <v>5.65</v>
      </c>
      <c r="AR448">
        <v>-4.8</v>
      </c>
      <c r="AS448">
        <v>18.440000000000001</v>
      </c>
      <c r="AT448">
        <v>33.770000000000003</v>
      </c>
      <c r="AU448">
        <v>80.510000000000005</v>
      </c>
      <c r="AV448">
        <v>3</v>
      </c>
      <c r="AW448">
        <v>3.68</v>
      </c>
      <c r="AX448">
        <v>56.22</v>
      </c>
      <c r="AY448" t="s">
        <v>120</v>
      </c>
      <c r="AZ448" t="s">
        <v>120</v>
      </c>
      <c r="BA448">
        <v>0.81</v>
      </c>
      <c r="BB448" t="s">
        <v>143</v>
      </c>
      <c r="BF448">
        <v>-2.6</v>
      </c>
      <c r="BG448">
        <v>-4.04</v>
      </c>
      <c r="BH448">
        <v>-5.44</v>
      </c>
      <c r="BI448">
        <v>0.42</v>
      </c>
      <c r="BJ448">
        <v>20210821</v>
      </c>
      <c r="BK448">
        <v>20040705</v>
      </c>
      <c r="BL448">
        <v>9.17</v>
      </c>
      <c r="BM448" t="s">
        <v>120</v>
      </c>
      <c r="BN448" t="s">
        <v>120</v>
      </c>
      <c r="BO448">
        <v>78.180000000000007</v>
      </c>
      <c r="BP448">
        <v>7.13</v>
      </c>
      <c r="BQ448">
        <v>16.02</v>
      </c>
      <c r="BR448">
        <v>-0.94</v>
      </c>
      <c r="BS448">
        <v>80.72</v>
      </c>
      <c r="BT448">
        <v>61.12</v>
      </c>
      <c r="BU448">
        <v>9.25</v>
      </c>
      <c r="BV448">
        <v>2.0099999999999998</v>
      </c>
      <c r="BW448">
        <v>61.85</v>
      </c>
      <c r="BX448">
        <v>9.31</v>
      </c>
      <c r="BY448">
        <v>13.01</v>
      </c>
      <c r="BZ448">
        <v>10.71</v>
      </c>
      <c r="CA448" t="s">
        <v>120</v>
      </c>
      <c r="CB448">
        <v>21.17</v>
      </c>
      <c r="CC448">
        <v>50.36</v>
      </c>
      <c r="CD448">
        <v>42.33</v>
      </c>
      <c r="CE448">
        <v>2.77</v>
      </c>
      <c r="CF448">
        <v>0.22</v>
      </c>
      <c r="CG448">
        <v>2.96</v>
      </c>
      <c r="CH448">
        <v>2.5499999999999998</v>
      </c>
      <c r="CI448">
        <v>2.59</v>
      </c>
      <c r="CJ448">
        <v>-0.35</v>
      </c>
      <c r="CK448">
        <v>2.36</v>
      </c>
      <c r="CL448">
        <v>-15.86</v>
      </c>
      <c r="CM448">
        <v>1.55</v>
      </c>
      <c r="CN448">
        <v>-5.51</v>
      </c>
      <c r="CO448">
        <v>50167</v>
      </c>
      <c r="CP448">
        <v>10280</v>
      </c>
      <c r="CQ448" t="s">
        <v>2003</v>
      </c>
      <c r="CR448">
        <v>331.66</v>
      </c>
      <c r="CS448">
        <v>55.3</v>
      </c>
      <c r="CT448">
        <v>4.08</v>
      </c>
      <c r="CU448">
        <v>42.09</v>
      </c>
      <c r="CV448">
        <v>1.3</v>
      </c>
      <c r="CW448">
        <v>0</v>
      </c>
      <c r="CX448" t="s">
        <v>1054</v>
      </c>
      <c r="CY448">
        <v>1.75</v>
      </c>
      <c r="CZ448">
        <v>0</v>
      </c>
      <c r="DA448">
        <v>2.31</v>
      </c>
      <c r="DB448">
        <v>-1.73</v>
      </c>
      <c r="DC448">
        <v>0.17</v>
      </c>
      <c r="DD448">
        <v>20.49</v>
      </c>
      <c r="DE448" t="s">
        <v>2926</v>
      </c>
      <c r="DF448">
        <v>15.95</v>
      </c>
      <c r="DG448">
        <v>5.5</v>
      </c>
      <c r="DH448">
        <v>5.14</v>
      </c>
      <c r="DI448">
        <v>1.5</v>
      </c>
      <c r="DJ448">
        <v>11284</v>
      </c>
      <c r="DK448">
        <v>2011</v>
      </c>
      <c r="DL448" t="s">
        <v>120</v>
      </c>
      <c r="DM448" t="s">
        <v>120</v>
      </c>
      <c r="DN448" t="s">
        <v>120</v>
      </c>
    </row>
    <row r="449" spans="1:118">
      <c r="A449" t="str">
        <f>"002012"</f>
        <v>002012</v>
      </c>
      <c r="B449" t="s">
        <v>2927</v>
      </c>
      <c r="C449">
        <v>-2.98</v>
      </c>
      <c r="D449">
        <v>0</v>
      </c>
      <c r="E449">
        <v>1.04</v>
      </c>
      <c r="F449">
        <v>1636</v>
      </c>
      <c r="G449" t="s">
        <v>2568</v>
      </c>
      <c r="H449">
        <v>13807.1</v>
      </c>
      <c r="I449">
        <v>126.85</v>
      </c>
      <c r="J449" t="s">
        <v>120</v>
      </c>
      <c r="K449" t="s">
        <v>2928</v>
      </c>
      <c r="L449">
        <v>4.45</v>
      </c>
      <c r="M449">
        <v>6.51</v>
      </c>
      <c r="N449">
        <v>0.9</v>
      </c>
      <c r="O449">
        <v>1.64</v>
      </c>
      <c r="P449">
        <v>6.82</v>
      </c>
      <c r="Q449">
        <v>-3.28</v>
      </c>
      <c r="R449">
        <v>6.49</v>
      </c>
      <c r="S449">
        <v>6.78</v>
      </c>
      <c r="T449">
        <v>207714</v>
      </c>
      <c r="U449">
        <v>6.51</v>
      </c>
      <c r="V449">
        <v>6.71</v>
      </c>
      <c r="W449">
        <v>32.880000000000003</v>
      </c>
      <c r="X449" t="s">
        <v>814</v>
      </c>
      <c r="Y449" t="s">
        <v>585</v>
      </c>
      <c r="Z449">
        <v>4.92</v>
      </c>
      <c r="AA449">
        <v>6.65</v>
      </c>
      <c r="AB449">
        <v>124803</v>
      </c>
      <c r="AC449">
        <v>82911</v>
      </c>
      <c r="AD449">
        <v>1.51</v>
      </c>
      <c r="AE449">
        <v>1633</v>
      </c>
      <c r="AF449">
        <v>238</v>
      </c>
      <c r="AG449" t="s">
        <v>120</v>
      </c>
      <c r="AH449">
        <v>0.05</v>
      </c>
      <c r="AI449" t="s">
        <v>120</v>
      </c>
      <c r="AJ449">
        <v>4.67</v>
      </c>
      <c r="AK449" t="s">
        <v>2929</v>
      </c>
      <c r="AL449">
        <v>-1.07</v>
      </c>
      <c r="AM449">
        <v>2835</v>
      </c>
      <c r="AN449">
        <v>73</v>
      </c>
      <c r="AO449">
        <v>1.6000000000000001E-3</v>
      </c>
      <c r="AP449">
        <v>-1</v>
      </c>
      <c r="AQ449">
        <v>4.03</v>
      </c>
      <c r="AR449">
        <v>-0.61</v>
      </c>
      <c r="AS449">
        <v>6.72</v>
      </c>
      <c r="AT449">
        <v>17.72</v>
      </c>
      <c r="AU449">
        <v>21.44</v>
      </c>
      <c r="AV449">
        <v>1</v>
      </c>
      <c r="AW449">
        <v>5.94</v>
      </c>
      <c r="AX449">
        <v>74.77</v>
      </c>
      <c r="AY449">
        <v>30.53</v>
      </c>
      <c r="AZ449">
        <v>33.89</v>
      </c>
      <c r="BA449">
        <v>0.54</v>
      </c>
      <c r="BB449" t="s">
        <v>751</v>
      </c>
      <c r="BF449">
        <v>-0.94</v>
      </c>
      <c r="BG449">
        <v>-3.98</v>
      </c>
      <c r="BH449">
        <v>-4.55</v>
      </c>
      <c r="BI449">
        <v>0.31</v>
      </c>
      <c r="BJ449">
        <v>20210913</v>
      </c>
      <c r="BK449">
        <v>20040705</v>
      </c>
      <c r="BL449">
        <v>4.68</v>
      </c>
      <c r="BM449" t="s">
        <v>120</v>
      </c>
      <c r="BN449" t="s">
        <v>120</v>
      </c>
      <c r="BO449">
        <v>24.01</v>
      </c>
      <c r="BP449">
        <v>6.5</v>
      </c>
      <c r="BQ449">
        <v>14.12</v>
      </c>
      <c r="BR449">
        <v>2.5099999999999998</v>
      </c>
      <c r="BS449">
        <v>30.73</v>
      </c>
      <c r="BT449">
        <v>17.48</v>
      </c>
      <c r="BU449">
        <v>3.49</v>
      </c>
      <c r="BV449">
        <v>0.37</v>
      </c>
      <c r="BW449">
        <v>6.8</v>
      </c>
      <c r="BX449">
        <v>3.96</v>
      </c>
      <c r="BY449">
        <v>4.1399999999999997</v>
      </c>
      <c r="BZ449">
        <v>3.68</v>
      </c>
      <c r="CA449">
        <v>0.16</v>
      </c>
      <c r="CB449">
        <v>2.8</v>
      </c>
      <c r="CC449">
        <v>9.99</v>
      </c>
      <c r="CD449">
        <v>7.6</v>
      </c>
      <c r="CE449">
        <v>0.89</v>
      </c>
      <c r="CF449">
        <v>0.09</v>
      </c>
      <c r="CG449">
        <v>0.89</v>
      </c>
      <c r="CH449">
        <v>0.73</v>
      </c>
      <c r="CI449">
        <v>0.46</v>
      </c>
      <c r="CJ449">
        <v>-0.2</v>
      </c>
      <c r="CK449">
        <v>0.37</v>
      </c>
      <c r="CL449">
        <v>5.89</v>
      </c>
      <c r="CM449">
        <v>-0.22</v>
      </c>
      <c r="CN449">
        <v>0.4</v>
      </c>
      <c r="CO449">
        <v>38165</v>
      </c>
      <c r="CP449">
        <v>9161</v>
      </c>
      <c r="CQ449" t="s">
        <v>1289</v>
      </c>
      <c r="CR449">
        <v>28.28</v>
      </c>
      <c r="CS449">
        <v>64.180000000000007</v>
      </c>
      <c r="CT449">
        <v>2.16</v>
      </c>
      <c r="CU449">
        <v>-141.08000000000001</v>
      </c>
      <c r="CV449">
        <v>3.05</v>
      </c>
      <c r="CW449">
        <v>0.14000000000000001</v>
      </c>
      <c r="CX449" t="s">
        <v>411</v>
      </c>
      <c r="CY449">
        <v>3.02</v>
      </c>
      <c r="CZ449">
        <v>0</v>
      </c>
      <c r="DA449">
        <v>0.6</v>
      </c>
      <c r="DB449">
        <v>1.26</v>
      </c>
      <c r="DC449">
        <v>-0.05</v>
      </c>
      <c r="DD449">
        <v>58.81</v>
      </c>
      <c r="DE449" t="s">
        <v>2930</v>
      </c>
      <c r="DF449">
        <v>23.95</v>
      </c>
      <c r="DG449">
        <v>8.8699999999999992</v>
      </c>
      <c r="DH449">
        <v>4.63</v>
      </c>
      <c r="DI449">
        <v>0.56999999999999995</v>
      </c>
      <c r="DJ449">
        <v>1160</v>
      </c>
      <c r="DK449">
        <v>2012</v>
      </c>
      <c r="DL449" t="s">
        <v>120</v>
      </c>
      <c r="DM449" t="s">
        <v>120</v>
      </c>
      <c r="DN449" t="s">
        <v>120</v>
      </c>
    </row>
    <row r="450" spans="1:118">
      <c r="A450" t="str">
        <f>"002013"</f>
        <v>002013</v>
      </c>
      <c r="B450" t="s">
        <v>2931</v>
      </c>
      <c r="C450">
        <v>0.28999999999999998</v>
      </c>
      <c r="D450">
        <v>0.22</v>
      </c>
      <c r="E450">
        <v>0.72</v>
      </c>
      <c r="F450">
        <v>7443</v>
      </c>
      <c r="G450" t="s">
        <v>2932</v>
      </c>
      <c r="H450">
        <v>71607.27</v>
      </c>
      <c r="I450">
        <v>283.77999999999997</v>
      </c>
      <c r="J450" t="s">
        <v>120</v>
      </c>
      <c r="K450" t="s">
        <v>2933</v>
      </c>
      <c r="L450">
        <v>1.31</v>
      </c>
      <c r="M450">
        <v>13.94</v>
      </c>
      <c r="N450">
        <v>0.91</v>
      </c>
      <c r="O450">
        <v>3.74</v>
      </c>
      <c r="P450">
        <v>14.42</v>
      </c>
      <c r="Q450">
        <v>-7.0000000000000007E-2</v>
      </c>
      <c r="R450">
        <v>13.89</v>
      </c>
      <c r="S450">
        <v>14</v>
      </c>
      <c r="T450">
        <v>507991</v>
      </c>
      <c r="U450">
        <v>13.94</v>
      </c>
      <c r="V450">
        <v>13.9</v>
      </c>
      <c r="W450">
        <v>51.21</v>
      </c>
      <c r="X450" t="s">
        <v>1621</v>
      </c>
      <c r="Y450" t="s">
        <v>763</v>
      </c>
      <c r="Z450">
        <v>3.81</v>
      </c>
      <c r="AA450">
        <v>14.1</v>
      </c>
      <c r="AB450">
        <v>271531</v>
      </c>
      <c r="AC450">
        <v>236460</v>
      </c>
      <c r="AD450">
        <v>1.1499999999999999</v>
      </c>
      <c r="AE450">
        <v>25</v>
      </c>
      <c r="AF450">
        <v>125</v>
      </c>
      <c r="AG450" t="s">
        <v>120</v>
      </c>
      <c r="AH450">
        <v>0.01</v>
      </c>
      <c r="AI450" t="s">
        <v>120</v>
      </c>
      <c r="AJ450">
        <v>38.85</v>
      </c>
      <c r="AK450" t="s">
        <v>2933</v>
      </c>
      <c r="AL450">
        <v>2.2000000000000002</v>
      </c>
      <c r="AM450">
        <v>4596</v>
      </c>
      <c r="AN450">
        <v>111</v>
      </c>
      <c r="AO450">
        <v>2.9999999999999997E-4</v>
      </c>
      <c r="AP450">
        <v>2</v>
      </c>
      <c r="AQ450">
        <v>0.14000000000000001</v>
      </c>
      <c r="AR450">
        <v>-2.38</v>
      </c>
      <c r="AS450">
        <v>21.75</v>
      </c>
      <c r="AT450">
        <v>34.82</v>
      </c>
      <c r="AU450">
        <v>22.6</v>
      </c>
      <c r="AV450">
        <v>4</v>
      </c>
      <c r="AW450">
        <v>2.71</v>
      </c>
      <c r="AX450">
        <v>48.26</v>
      </c>
      <c r="AY450">
        <v>42.91</v>
      </c>
      <c r="AZ450">
        <v>50.25</v>
      </c>
      <c r="BA450">
        <v>0.66</v>
      </c>
      <c r="BB450" t="s">
        <v>240</v>
      </c>
      <c r="BF450">
        <v>1.41</v>
      </c>
      <c r="BG450">
        <v>-0.43</v>
      </c>
      <c r="BH450">
        <v>-3.33</v>
      </c>
      <c r="BI450">
        <v>0.36</v>
      </c>
      <c r="BJ450">
        <v>20210912</v>
      </c>
      <c r="BK450">
        <v>20040705</v>
      </c>
      <c r="BL450">
        <v>38.85</v>
      </c>
      <c r="BM450" t="s">
        <v>120</v>
      </c>
      <c r="BN450" t="s">
        <v>120</v>
      </c>
      <c r="BO450">
        <v>352.22</v>
      </c>
      <c r="BP450">
        <v>13.93</v>
      </c>
      <c r="BQ450">
        <v>131.82</v>
      </c>
      <c r="BR450">
        <v>31.2</v>
      </c>
      <c r="BS450">
        <v>53.71</v>
      </c>
      <c r="BT450">
        <v>245.45</v>
      </c>
      <c r="BU450">
        <v>52.61</v>
      </c>
      <c r="BV450">
        <v>10.94</v>
      </c>
      <c r="BW450">
        <v>135.01</v>
      </c>
      <c r="BX450">
        <v>81.81</v>
      </c>
      <c r="BY450">
        <v>53.11</v>
      </c>
      <c r="BZ450">
        <v>88.68</v>
      </c>
      <c r="CA450">
        <v>1.23</v>
      </c>
      <c r="CB450">
        <v>27.37</v>
      </c>
      <c r="CC450">
        <v>78.62</v>
      </c>
      <c r="CD450">
        <v>62.69</v>
      </c>
      <c r="CE450">
        <v>6.59</v>
      </c>
      <c r="CF450">
        <v>0.04</v>
      </c>
      <c r="CG450">
        <v>6.61</v>
      </c>
      <c r="CH450">
        <v>5.6</v>
      </c>
      <c r="CI450">
        <v>5.29</v>
      </c>
      <c r="CJ450">
        <v>0.04</v>
      </c>
      <c r="CK450">
        <v>4.88</v>
      </c>
      <c r="CL450">
        <v>55.22</v>
      </c>
      <c r="CM450">
        <v>54.05</v>
      </c>
      <c r="CN450">
        <v>31.83</v>
      </c>
      <c r="CO450">
        <v>88303</v>
      </c>
      <c r="CP450">
        <v>21234</v>
      </c>
      <c r="CQ450" t="s">
        <v>2934</v>
      </c>
      <c r="CR450">
        <v>53.21</v>
      </c>
      <c r="CS450">
        <v>50.97</v>
      </c>
      <c r="CT450">
        <v>4.1100000000000003</v>
      </c>
      <c r="CU450">
        <v>10.02</v>
      </c>
      <c r="CV450">
        <v>6.89</v>
      </c>
      <c r="CW450">
        <v>0.56999999999999995</v>
      </c>
      <c r="CX450" t="s">
        <v>300</v>
      </c>
      <c r="CY450">
        <v>3.39</v>
      </c>
      <c r="CZ450">
        <v>0</v>
      </c>
      <c r="DA450">
        <v>0.7</v>
      </c>
      <c r="DB450">
        <v>1.42</v>
      </c>
      <c r="DC450">
        <v>1.39</v>
      </c>
      <c r="DD450">
        <v>37.43</v>
      </c>
      <c r="DE450" t="s">
        <v>2935</v>
      </c>
      <c r="DF450">
        <v>20.27</v>
      </c>
      <c r="DG450">
        <v>8.3800000000000008</v>
      </c>
      <c r="DH450">
        <v>6.73</v>
      </c>
      <c r="DI450">
        <v>3.08</v>
      </c>
      <c r="DJ450">
        <v>29554</v>
      </c>
      <c r="DK450">
        <v>2013</v>
      </c>
      <c r="DL450">
        <v>20210831</v>
      </c>
      <c r="DM450">
        <v>14</v>
      </c>
      <c r="DN450">
        <v>-0.43</v>
      </c>
    </row>
    <row r="451" spans="1:118">
      <c r="A451" t="str">
        <f>"002014"</f>
        <v>002014</v>
      </c>
      <c r="B451" t="s">
        <v>2936</v>
      </c>
      <c r="C451">
        <v>0.36</v>
      </c>
      <c r="D451">
        <v>0</v>
      </c>
      <c r="E451">
        <v>0</v>
      </c>
      <c r="F451">
        <v>116</v>
      </c>
      <c r="G451" t="s">
        <v>2937</v>
      </c>
      <c r="H451">
        <v>2149.62</v>
      </c>
      <c r="I451">
        <v>5.36</v>
      </c>
      <c r="J451" t="s">
        <v>120</v>
      </c>
      <c r="K451" t="s">
        <v>2938</v>
      </c>
      <c r="L451">
        <v>0.51</v>
      </c>
      <c r="M451">
        <v>8.27</v>
      </c>
      <c r="N451">
        <v>1.45</v>
      </c>
      <c r="O451">
        <v>2.91</v>
      </c>
      <c r="P451">
        <v>8.48</v>
      </c>
      <c r="Q451">
        <v>-0.24</v>
      </c>
      <c r="R451">
        <v>8.2200000000000006</v>
      </c>
      <c r="S451">
        <v>8.24</v>
      </c>
      <c r="T451">
        <v>25715</v>
      </c>
      <c r="U451">
        <v>8.2799999999999994</v>
      </c>
      <c r="V451">
        <v>8.24</v>
      </c>
      <c r="W451">
        <v>16.829999999999998</v>
      </c>
      <c r="X451" t="s">
        <v>2211</v>
      </c>
      <c r="Y451" t="s">
        <v>570</v>
      </c>
      <c r="Z451">
        <v>3.16</v>
      </c>
      <c r="AA451">
        <v>8.36</v>
      </c>
      <c r="AB451">
        <v>10952</v>
      </c>
      <c r="AC451">
        <v>14763</v>
      </c>
      <c r="AD451">
        <v>0.74</v>
      </c>
      <c r="AE451">
        <v>179</v>
      </c>
      <c r="AF451">
        <v>152</v>
      </c>
      <c r="AG451" t="s">
        <v>120</v>
      </c>
      <c r="AH451">
        <v>0</v>
      </c>
      <c r="AI451" t="s">
        <v>120</v>
      </c>
      <c r="AJ451">
        <v>5.0199999999999996</v>
      </c>
      <c r="AK451" t="s">
        <v>2939</v>
      </c>
      <c r="AL451">
        <v>2.2799999999999998</v>
      </c>
      <c r="AM451">
        <v>1248</v>
      </c>
      <c r="AN451">
        <v>21</v>
      </c>
      <c r="AO451">
        <v>4.0000000000000002E-4</v>
      </c>
      <c r="AP451">
        <v>2</v>
      </c>
      <c r="AQ451">
        <v>0.73</v>
      </c>
      <c r="AR451">
        <v>0.48</v>
      </c>
      <c r="AS451">
        <v>7.82</v>
      </c>
      <c r="AT451">
        <v>-4.6100000000000003</v>
      </c>
      <c r="AU451">
        <v>-11.17</v>
      </c>
      <c r="AV451">
        <v>0</v>
      </c>
      <c r="AW451">
        <v>1.4</v>
      </c>
      <c r="AX451">
        <v>35.68</v>
      </c>
      <c r="AY451">
        <v>13.91</v>
      </c>
      <c r="AZ451">
        <v>13.98</v>
      </c>
      <c r="BA451">
        <v>0.25</v>
      </c>
      <c r="BB451" t="s">
        <v>184</v>
      </c>
      <c r="BF451">
        <v>1.45</v>
      </c>
      <c r="BG451">
        <v>0.36</v>
      </c>
      <c r="BH451">
        <v>-2.48</v>
      </c>
      <c r="BI451">
        <v>0.61</v>
      </c>
      <c r="BJ451">
        <v>20210809</v>
      </c>
      <c r="BK451">
        <v>20040708</v>
      </c>
      <c r="BL451">
        <v>5.14</v>
      </c>
      <c r="BM451" t="s">
        <v>120</v>
      </c>
      <c r="BN451" t="s">
        <v>120</v>
      </c>
      <c r="BO451">
        <v>26.55</v>
      </c>
      <c r="BP451">
        <v>8.27</v>
      </c>
      <c r="BQ451">
        <v>18.829999999999998</v>
      </c>
      <c r="BR451">
        <v>0.4</v>
      </c>
      <c r="BS451">
        <v>27.59</v>
      </c>
      <c r="BT451">
        <v>16.010000000000002</v>
      </c>
      <c r="BU451">
        <v>8.26</v>
      </c>
      <c r="BV451">
        <v>0.78</v>
      </c>
      <c r="BW451">
        <v>6.84</v>
      </c>
      <c r="BX451">
        <v>6.64</v>
      </c>
      <c r="BY451">
        <v>2.2999999999999998</v>
      </c>
      <c r="BZ451">
        <v>4.7</v>
      </c>
      <c r="CA451" t="s">
        <v>120</v>
      </c>
      <c r="CB451">
        <v>4.97</v>
      </c>
      <c r="CC451">
        <v>13.77</v>
      </c>
      <c r="CD451">
        <v>10.85</v>
      </c>
      <c r="CE451">
        <v>1.49</v>
      </c>
      <c r="CF451">
        <v>0</v>
      </c>
      <c r="CG451">
        <v>1.5</v>
      </c>
      <c r="CH451">
        <v>1.28</v>
      </c>
      <c r="CI451">
        <v>1.26</v>
      </c>
      <c r="CJ451">
        <v>0.03</v>
      </c>
      <c r="CK451">
        <v>1.19</v>
      </c>
      <c r="CL451">
        <v>7.27</v>
      </c>
      <c r="CM451">
        <v>0.83</v>
      </c>
      <c r="CN451">
        <v>-1.2</v>
      </c>
      <c r="CO451">
        <v>17495</v>
      </c>
      <c r="CP451">
        <v>10484</v>
      </c>
      <c r="CQ451" t="s">
        <v>2940</v>
      </c>
      <c r="CR451">
        <v>1.2</v>
      </c>
      <c r="CS451">
        <v>10.72</v>
      </c>
      <c r="CT451">
        <v>2.2599999999999998</v>
      </c>
      <c r="CU451">
        <v>51.14</v>
      </c>
      <c r="CV451">
        <v>3.09</v>
      </c>
      <c r="CW451">
        <v>6.03</v>
      </c>
      <c r="CX451" t="s">
        <v>863</v>
      </c>
      <c r="CY451">
        <v>3.66</v>
      </c>
      <c r="CZ451">
        <v>0</v>
      </c>
      <c r="DA451">
        <v>0.97</v>
      </c>
      <c r="DB451">
        <v>1.41</v>
      </c>
      <c r="DC451">
        <v>0.16</v>
      </c>
      <c r="DD451">
        <v>70.92</v>
      </c>
      <c r="DE451" t="s">
        <v>2941</v>
      </c>
      <c r="DF451">
        <v>21.17</v>
      </c>
      <c r="DG451">
        <v>10.81</v>
      </c>
      <c r="DH451">
        <v>9.17</v>
      </c>
      <c r="DI451">
        <v>0.59</v>
      </c>
      <c r="DJ451">
        <v>2148</v>
      </c>
      <c r="DK451">
        <v>2014</v>
      </c>
      <c r="DL451" t="s">
        <v>120</v>
      </c>
      <c r="DM451" t="s">
        <v>120</v>
      </c>
      <c r="DN451" t="s">
        <v>120</v>
      </c>
    </row>
    <row r="452" spans="1:118">
      <c r="A452" t="str">
        <f>"002015"</f>
        <v>002015</v>
      </c>
      <c r="B452" t="s">
        <v>2942</v>
      </c>
      <c r="C452">
        <v>-6.13</v>
      </c>
      <c r="D452">
        <v>0</v>
      </c>
      <c r="E452">
        <v>-0.33</v>
      </c>
      <c r="F452">
        <v>1862</v>
      </c>
      <c r="G452" t="s">
        <v>2943</v>
      </c>
      <c r="H452">
        <v>42779.72</v>
      </c>
      <c r="I452">
        <v>263.57</v>
      </c>
      <c r="J452" t="s">
        <v>120</v>
      </c>
      <c r="K452" t="s">
        <v>2944</v>
      </c>
      <c r="L452">
        <v>5.77</v>
      </c>
      <c r="M452">
        <v>14.08</v>
      </c>
      <c r="N452">
        <v>1.17</v>
      </c>
      <c r="O452">
        <v>0</v>
      </c>
      <c r="P452">
        <v>15</v>
      </c>
      <c r="Q452">
        <v>-7.33</v>
      </c>
      <c r="R452">
        <v>13.9</v>
      </c>
      <c r="S452">
        <v>14.95</v>
      </c>
      <c r="T452">
        <v>295916</v>
      </c>
      <c r="U452">
        <v>14.09</v>
      </c>
      <c r="V452">
        <v>15</v>
      </c>
      <c r="W452">
        <v>19.100000000000001</v>
      </c>
      <c r="X452" t="s">
        <v>356</v>
      </c>
      <c r="Y452" t="s">
        <v>319</v>
      </c>
      <c r="Z452">
        <v>7.33</v>
      </c>
      <c r="AA452">
        <v>14.46</v>
      </c>
      <c r="AB452">
        <v>173694</v>
      </c>
      <c r="AC452">
        <v>122222</v>
      </c>
      <c r="AD452">
        <v>1.42</v>
      </c>
      <c r="AE452">
        <v>75</v>
      </c>
      <c r="AF452">
        <v>323</v>
      </c>
      <c r="AG452" t="s">
        <v>120</v>
      </c>
      <c r="AH452">
        <v>0.04</v>
      </c>
      <c r="AI452" t="s">
        <v>120</v>
      </c>
      <c r="AJ452">
        <v>5.13</v>
      </c>
      <c r="AK452" t="s">
        <v>2945</v>
      </c>
      <c r="AL452">
        <v>-4.22</v>
      </c>
      <c r="AM452">
        <v>4213</v>
      </c>
      <c r="AN452">
        <v>70</v>
      </c>
      <c r="AO452">
        <v>1.4E-3</v>
      </c>
      <c r="AP452">
        <v>-1</v>
      </c>
      <c r="AQ452">
        <v>5.26</v>
      </c>
      <c r="AR452">
        <v>-1.27</v>
      </c>
      <c r="AS452">
        <v>14.94</v>
      </c>
      <c r="AT452">
        <v>52.88</v>
      </c>
      <c r="AU452">
        <v>131.58000000000001</v>
      </c>
      <c r="AV452">
        <v>6</v>
      </c>
      <c r="AW452">
        <v>6.93</v>
      </c>
      <c r="AX452">
        <v>31.55</v>
      </c>
      <c r="AY452">
        <v>21.37</v>
      </c>
      <c r="AZ452">
        <v>25.3</v>
      </c>
      <c r="BA452">
        <v>0.61</v>
      </c>
      <c r="BB452" t="s">
        <v>168</v>
      </c>
      <c r="BF452">
        <v>-3.62</v>
      </c>
      <c r="BG452">
        <v>-5.82</v>
      </c>
      <c r="BH452">
        <v>-6.13</v>
      </c>
      <c r="BI452">
        <v>1.29</v>
      </c>
      <c r="BJ452">
        <v>20210819</v>
      </c>
      <c r="BK452">
        <v>20040708</v>
      </c>
      <c r="BL452">
        <v>13.52</v>
      </c>
      <c r="BM452" t="s">
        <v>120</v>
      </c>
      <c r="BN452" t="s">
        <v>120</v>
      </c>
      <c r="BO452">
        <v>285.61</v>
      </c>
      <c r="BP452">
        <v>14.08</v>
      </c>
      <c r="BQ452">
        <v>59.81</v>
      </c>
      <c r="BR452">
        <v>26.58</v>
      </c>
      <c r="BS452">
        <v>69.75</v>
      </c>
      <c r="BT452">
        <v>67.680000000000007</v>
      </c>
      <c r="BU452">
        <v>131.86000000000001</v>
      </c>
      <c r="BV452">
        <v>18.38</v>
      </c>
      <c r="BW452">
        <v>79.680000000000007</v>
      </c>
      <c r="BX452">
        <v>29.16</v>
      </c>
      <c r="BY452">
        <v>2.61</v>
      </c>
      <c r="BZ452">
        <v>20.98</v>
      </c>
      <c r="CA452" t="s">
        <v>120</v>
      </c>
      <c r="CB452">
        <v>37.51</v>
      </c>
      <c r="CC452">
        <v>60.74</v>
      </c>
      <c r="CD452">
        <v>45.8</v>
      </c>
      <c r="CE452">
        <v>8.4600000000000009</v>
      </c>
      <c r="CF452">
        <v>1.06</v>
      </c>
      <c r="CG452">
        <v>8.39</v>
      </c>
      <c r="CH452">
        <v>6.97</v>
      </c>
      <c r="CI452">
        <v>4.9800000000000004</v>
      </c>
      <c r="CJ452">
        <v>-0.92</v>
      </c>
      <c r="CK452">
        <v>4.38</v>
      </c>
      <c r="CL452">
        <v>7.75</v>
      </c>
      <c r="CM452">
        <v>12.19</v>
      </c>
      <c r="CN452">
        <v>-0.52</v>
      </c>
      <c r="CO452">
        <v>31419</v>
      </c>
      <c r="CP452">
        <v>13582</v>
      </c>
      <c r="CQ452" t="s">
        <v>2946</v>
      </c>
      <c r="CR452">
        <v>42.14</v>
      </c>
      <c r="CS452">
        <v>14.09</v>
      </c>
      <c r="CT452">
        <v>3.18</v>
      </c>
      <c r="CU452">
        <v>15.62</v>
      </c>
      <c r="CV452">
        <v>3.14</v>
      </c>
      <c r="CW452">
        <v>1</v>
      </c>
      <c r="CX452" t="s">
        <v>2947</v>
      </c>
      <c r="CY452">
        <v>4.42</v>
      </c>
      <c r="CZ452">
        <v>0</v>
      </c>
      <c r="DA452">
        <v>2.77</v>
      </c>
      <c r="DB452">
        <v>0.56999999999999995</v>
      </c>
      <c r="DC452">
        <v>0.9</v>
      </c>
      <c r="DD452">
        <v>20.94</v>
      </c>
      <c r="DE452" t="s">
        <v>2948</v>
      </c>
      <c r="DF452">
        <v>24.6</v>
      </c>
      <c r="DG452">
        <v>13.93</v>
      </c>
      <c r="DH452">
        <v>8.2100000000000009</v>
      </c>
      <c r="DI452">
        <v>0.06</v>
      </c>
      <c r="DJ452">
        <v>2987</v>
      </c>
      <c r="DK452">
        <v>2015</v>
      </c>
      <c r="DL452" t="s">
        <v>120</v>
      </c>
      <c r="DM452" t="s">
        <v>120</v>
      </c>
      <c r="DN452" t="s">
        <v>120</v>
      </c>
    </row>
    <row r="453" spans="1:118">
      <c r="A453" t="str">
        <f>"002016"</f>
        <v>002016</v>
      </c>
      <c r="B453" t="s">
        <v>2949</v>
      </c>
      <c r="C453">
        <v>-1.22</v>
      </c>
      <c r="D453">
        <v>-0.17</v>
      </c>
      <c r="E453">
        <v>0</v>
      </c>
      <c r="F453">
        <v>98</v>
      </c>
      <c r="G453" t="s">
        <v>2950</v>
      </c>
      <c r="H453">
        <v>1174.03</v>
      </c>
      <c r="I453">
        <v>0.06</v>
      </c>
      <c r="J453" t="s">
        <v>120</v>
      </c>
      <c r="K453" t="s">
        <v>2951</v>
      </c>
      <c r="L453">
        <v>0.3</v>
      </c>
      <c r="M453">
        <v>5.65</v>
      </c>
      <c r="N453">
        <v>0.78</v>
      </c>
      <c r="O453">
        <v>0.35</v>
      </c>
      <c r="P453">
        <v>5.74</v>
      </c>
      <c r="Q453">
        <v>-1.4</v>
      </c>
      <c r="R453">
        <v>5.64</v>
      </c>
      <c r="S453">
        <v>5.72</v>
      </c>
      <c r="T453">
        <v>20666</v>
      </c>
      <c r="U453">
        <v>5.66</v>
      </c>
      <c r="V453">
        <v>5.72</v>
      </c>
      <c r="W453">
        <v>9.5</v>
      </c>
      <c r="X453" t="s">
        <v>150</v>
      </c>
      <c r="Y453" t="s">
        <v>547</v>
      </c>
      <c r="Z453">
        <v>1.75</v>
      </c>
      <c r="AA453">
        <v>5.68</v>
      </c>
      <c r="AB453">
        <v>14292</v>
      </c>
      <c r="AC453">
        <v>6374</v>
      </c>
      <c r="AD453">
        <v>2.2400000000000002</v>
      </c>
      <c r="AE453">
        <v>1172</v>
      </c>
      <c r="AF453">
        <v>266</v>
      </c>
      <c r="AG453" t="s">
        <v>120</v>
      </c>
      <c r="AH453">
        <v>0</v>
      </c>
      <c r="AI453" t="s">
        <v>120</v>
      </c>
      <c r="AJ453">
        <v>6.87</v>
      </c>
      <c r="AK453" t="s">
        <v>2952</v>
      </c>
      <c r="AL453">
        <v>0.69</v>
      </c>
      <c r="AM453">
        <v>526</v>
      </c>
      <c r="AN453">
        <v>39</v>
      </c>
      <c r="AO453">
        <v>5.9999999999999995E-4</v>
      </c>
      <c r="AP453">
        <v>-3</v>
      </c>
      <c r="AQ453">
        <v>-0.17</v>
      </c>
      <c r="AR453">
        <v>-3.09</v>
      </c>
      <c r="AS453">
        <v>-4.88</v>
      </c>
      <c r="AT453">
        <v>-11.16</v>
      </c>
      <c r="AU453">
        <v>-15.92</v>
      </c>
      <c r="AV453">
        <v>0</v>
      </c>
      <c r="AW453">
        <v>0.99</v>
      </c>
      <c r="AX453">
        <v>25.91</v>
      </c>
      <c r="AY453">
        <v>6.84</v>
      </c>
      <c r="AZ453">
        <v>5.55</v>
      </c>
      <c r="BA453">
        <v>0.28000000000000003</v>
      </c>
      <c r="BB453" t="s">
        <v>143</v>
      </c>
      <c r="BF453">
        <v>-0.68</v>
      </c>
      <c r="BG453">
        <v>-1.22</v>
      </c>
      <c r="BH453">
        <v>-1.57</v>
      </c>
      <c r="BI453">
        <v>0.18</v>
      </c>
      <c r="BJ453">
        <v>20210830</v>
      </c>
      <c r="BK453">
        <v>20040708</v>
      </c>
      <c r="BL453">
        <v>8.09</v>
      </c>
      <c r="BM453" t="s">
        <v>120</v>
      </c>
      <c r="BN453" t="s">
        <v>120</v>
      </c>
      <c r="BO453">
        <v>74.08</v>
      </c>
      <c r="BP453">
        <v>5.65</v>
      </c>
      <c r="BQ453">
        <v>42.99</v>
      </c>
      <c r="BR453">
        <v>-0.09</v>
      </c>
      <c r="BS453">
        <v>42.08</v>
      </c>
      <c r="BT453">
        <v>64.91</v>
      </c>
      <c r="BU453">
        <v>1.08</v>
      </c>
      <c r="BV453">
        <v>0.03</v>
      </c>
      <c r="BW453">
        <v>31.17</v>
      </c>
      <c r="BX453">
        <v>18.670000000000002</v>
      </c>
      <c r="BY453">
        <v>35.630000000000003</v>
      </c>
      <c r="BZ453">
        <v>0.18</v>
      </c>
      <c r="CA453" t="s">
        <v>120</v>
      </c>
      <c r="CB453">
        <v>1.35</v>
      </c>
      <c r="CC453">
        <v>6.6</v>
      </c>
      <c r="CD453">
        <v>2.15</v>
      </c>
      <c r="CE453">
        <v>2.9</v>
      </c>
      <c r="CF453">
        <v>0.09</v>
      </c>
      <c r="CG453">
        <v>2.9</v>
      </c>
      <c r="CH453">
        <v>2.41</v>
      </c>
      <c r="CI453">
        <v>2.41</v>
      </c>
      <c r="CJ453">
        <v>-7.0000000000000007E-2</v>
      </c>
      <c r="CK453">
        <v>2.29</v>
      </c>
      <c r="CL453">
        <v>29.47</v>
      </c>
      <c r="CM453">
        <v>-2.7</v>
      </c>
      <c r="CN453">
        <v>-0.22</v>
      </c>
      <c r="CO453">
        <v>19365</v>
      </c>
      <c r="CP453">
        <v>10827</v>
      </c>
      <c r="CQ453" t="s">
        <v>2953</v>
      </c>
      <c r="CR453">
        <v>-39.590000000000003</v>
      </c>
      <c r="CS453">
        <v>-42.03</v>
      </c>
      <c r="CT453">
        <v>1.06</v>
      </c>
      <c r="CU453">
        <v>-16.95</v>
      </c>
      <c r="CV453">
        <v>6.93</v>
      </c>
      <c r="CW453">
        <v>1.75</v>
      </c>
      <c r="CX453" t="s">
        <v>2954</v>
      </c>
      <c r="CY453">
        <v>5.31</v>
      </c>
      <c r="CZ453">
        <v>0</v>
      </c>
      <c r="DA453">
        <v>0.17</v>
      </c>
      <c r="DB453">
        <v>3.64</v>
      </c>
      <c r="DC453">
        <v>-0.33</v>
      </c>
      <c r="DD453">
        <v>58.03</v>
      </c>
      <c r="DE453" t="s">
        <v>2955</v>
      </c>
      <c r="DF453">
        <v>67.34</v>
      </c>
      <c r="DG453">
        <v>43.95</v>
      </c>
      <c r="DH453">
        <v>36.479999999999997</v>
      </c>
      <c r="DI453" t="s">
        <v>120</v>
      </c>
      <c r="DJ453">
        <v>886</v>
      </c>
      <c r="DK453">
        <v>2016</v>
      </c>
      <c r="DL453" t="s">
        <v>120</v>
      </c>
      <c r="DM453" t="s">
        <v>120</v>
      </c>
      <c r="DN453" t="s">
        <v>120</v>
      </c>
    </row>
    <row r="454" spans="1:118">
      <c r="A454" t="str">
        <f>"002017"</f>
        <v>002017</v>
      </c>
      <c r="B454" t="s">
        <v>2956</v>
      </c>
      <c r="C454">
        <v>-2.5099999999999998</v>
      </c>
      <c r="D454">
        <v>0</v>
      </c>
      <c r="E454">
        <v>0.1</v>
      </c>
      <c r="F454">
        <v>793</v>
      </c>
      <c r="G454" t="s">
        <v>1496</v>
      </c>
      <c r="H454">
        <v>5608.94</v>
      </c>
      <c r="I454">
        <v>21.94</v>
      </c>
      <c r="J454" t="s">
        <v>120</v>
      </c>
      <c r="K454" t="s">
        <v>2957</v>
      </c>
      <c r="L454">
        <v>1.23</v>
      </c>
      <c r="M454">
        <v>10.08</v>
      </c>
      <c r="N454">
        <v>1.08</v>
      </c>
      <c r="O454">
        <v>0.77</v>
      </c>
      <c r="P454">
        <v>10.42</v>
      </c>
      <c r="Q454">
        <v>-2.8</v>
      </c>
      <c r="R454">
        <v>10.050000000000001</v>
      </c>
      <c r="S454">
        <v>10.35</v>
      </c>
      <c r="T454">
        <v>54909</v>
      </c>
      <c r="U454">
        <v>10.09</v>
      </c>
      <c r="V454">
        <v>10.34</v>
      </c>
      <c r="W454">
        <v>96.51</v>
      </c>
      <c r="X454" t="s">
        <v>462</v>
      </c>
      <c r="Y454" t="s">
        <v>547</v>
      </c>
      <c r="Z454">
        <v>3.58</v>
      </c>
      <c r="AA454">
        <v>10.220000000000001</v>
      </c>
      <c r="AB454">
        <v>35348</v>
      </c>
      <c r="AC454">
        <v>19561</v>
      </c>
      <c r="AD454">
        <v>1.81</v>
      </c>
      <c r="AE454">
        <v>790</v>
      </c>
      <c r="AF454">
        <v>61</v>
      </c>
      <c r="AG454" t="s">
        <v>120</v>
      </c>
      <c r="AH454">
        <v>0.01</v>
      </c>
      <c r="AI454" t="s">
        <v>120</v>
      </c>
      <c r="AJ454">
        <v>4.45</v>
      </c>
      <c r="AK454" t="s">
        <v>2958</v>
      </c>
      <c r="AL454">
        <v>-0.6</v>
      </c>
      <c r="AM454">
        <v>2066</v>
      </c>
      <c r="AN454">
        <v>27</v>
      </c>
      <c r="AO454">
        <v>5.9999999999999995E-4</v>
      </c>
      <c r="AP454">
        <v>-3</v>
      </c>
      <c r="AQ454">
        <v>-0.48</v>
      </c>
      <c r="AR454">
        <v>-3.17</v>
      </c>
      <c r="AS454">
        <v>-1.95</v>
      </c>
      <c r="AT454">
        <v>-15.44</v>
      </c>
      <c r="AU454">
        <v>10.65</v>
      </c>
      <c r="AV454">
        <v>5</v>
      </c>
      <c r="AW454">
        <v>2.21</v>
      </c>
      <c r="AX454">
        <v>55.53</v>
      </c>
      <c r="AY454">
        <v>96.97</v>
      </c>
      <c r="AZ454">
        <v>130.19</v>
      </c>
      <c r="BA454">
        <v>0.54</v>
      </c>
      <c r="BB454" t="s">
        <v>143</v>
      </c>
      <c r="BF454">
        <v>-1.21</v>
      </c>
      <c r="BG454">
        <v>-2.61</v>
      </c>
      <c r="BH454">
        <v>-3.26</v>
      </c>
      <c r="BI454">
        <v>0.3</v>
      </c>
      <c r="BJ454">
        <v>20210821</v>
      </c>
      <c r="BK454">
        <v>20040713</v>
      </c>
      <c r="BL454">
        <v>4.46</v>
      </c>
      <c r="BM454" t="s">
        <v>120</v>
      </c>
      <c r="BN454" t="s">
        <v>120</v>
      </c>
      <c r="BO454">
        <v>22.49</v>
      </c>
      <c r="BP454">
        <v>10.08</v>
      </c>
      <c r="BQ454">
        <v>14.23</v>
      </c>
      <c r="BR454">
        <v>7.0000000000000007E-2</v>
      </c>
      <c r="BS454">
        <v>36.450000000000003</v>
      </c>
      <c r="BT454">
        <v>19.350000000000001</v>
      </c>
      <c r="BU454">
        <v>1.8</v>
      </c>
      <c r="BV454">
        <v>0.04</v>
      </c>
      <c r="BW454">
        <v>7.48</v>
      </c>
      <c r="BX454">
        <v>14.03</v>
      </c>
      <c r="BY454">
        <v>3.29</v>
      </c>
      <c r="BZ454">
        <v>1.44</v>
      </c>
      <c r="CA454" t="s">
        <v>120</v>
      </c>
      <c r="CB454">
        <v>5.08</v>
      </c>
      <c r="CC454">
        <v>5.3</v>
      </c>
      <c r="CD454">
        <v>3.85</v>
      </c>
      <c r="CE454">
        <v>0.28000000000000003</v>
      </c>
      <c r="CF454">
        <v>-0.02</v>
      </c>
      <c r="CG454">
        <v>0.28000000000000003</v>
      </c>
      <c r="CH454">
        <v>0.25</v>
      </c>
      <c r="CI454">
        <v>0.23</v>
      </c>
      <c r="CJ454">
        <v>-0.26</v>
      </c>
      <c r="CK454">
        <v>0.23</v>
      </c>
      <c r="CL454">
        <v>3.84</v>
      </c>
      <c r="CM454">
        <v>1.37</v>
      </c>
      <c r="CN454">
        <v>1.55</v>
      </c>
      <c r="CO454">
        <v>59938</v>
      </c>
      <c r="CP454">
        <v>4136</v>
      </c>
      <c r="CQ454" t="s">
        <v>2959</v>
      </c>
      <c r="CR454">
        <v>108.81</v>
      </c>
      <c r="CS454">
        <v>25.33</v>
      </c>
      <c r="CT454">
        <v>3.16</v>
      </c>
      <c r="CU454">
        <v>32.82</v>
      </c>
      <c r="CV454">
        <v>8.5</v>
      </c>
      <c r="CW454">
        <v>0.28999999999999998</v>
      </c>
      <c r="CX454" t="s">
        <v>2960</v>
      </c>
      <c r="CY454">
        <v>3.19</v>
      </c>
      <c r="CZ454">
        <v>0</v>
      </c>
      <c r="DA454">
        <v>1.1399999999999999</v>
      </c>
      <c r="DB454">
        <v>0.86</v>
      </c>
      <c r="DC454">
        <v>0.31</v>
      </c>
      <c r="DD454">
        <v>63.26</v>
      </c>
      <c r="DE454" t="s">
        <v>2961</v>
      </c>
      <c r="DF454">
        <v>27.34</v>
      </c>
      <c r="DG454">
        <v>5.35</v>
      </c>
      <c r="DH454">
        <v>4.4000000000000004</v>
      </c>
      <c r="DI454">
        <v>0.46</v>
      </c>
      <c r="DJ454">
        <v>1631</v>
      </c>
      <c r="DK454">
        <v>2017</v>
      </c>
      <c r="DL454" t="s">
        <v>120</v>
      </c>
      <c r="DM454" t="s">
        <v>120</v>
      </c>
      <c r="DN454" t="s">
        <v>120</v>
      </c>
    </row>
    <row r="455" spans="1:118">
      <c r="A455" t="str">
        <f>"002019"</f>
        <v>002019</v>
      </c>
      <c r="B455" t="s">
        <v>2962</v>
      </c>
      <c r="C455">
        <v>1.0900000000000001</v>
      </c>
      <c r="D455">
        <v>-0.28999999999999998</v>
      </c>
      <c r="E455">
        <v>0.79</v>
      </c>
      <c r="F455">
        <v>1281</v>
      </c>
      <c r="G455" t="s">
        <v>2963</v>
      </c>
      <c r="H455">
        <v>19161.810000000001</v>
      </c>
      <c r="I455">
        <v>71.5</v>
      </c>
      <c r="J455" t="s">
        <v>120</v>
      </c>
      <c r="K455" t="s">
        <v>2964</v>
      </c>
      <c r="L455">
        <v>1.34</v>
      </c>
      <c r="M455">
        <v>16.64</v>
      </c>
      <c r="N455">
        <v>1.1100000000000001</v>
      </c>
      <c r="O455">
        <v>3.04</v>
      </c>
      <c r="P455">
        <v>16.96</v>
      </c>
      <c r="Q455">
        <v>-0.36</v>
      </c>
      <c r="R455">
        <v>16.399999999999999</v>
      </c>
      <c r="S455">
        <v>16.59</v>
      </c>
      <c r="T455">
        <v>114323</v>
      </c>
      <c r="U455">
        <v>16.66</v>
      </c>
      <c r="V455">
        <v>16.46</v>
      </c>
      <c r="W455">
        <v>48.17</v>
      </c>
      <c r="X455" t="s">
        <v>569</v>
      </c>
      <c r="Y455" t="s">
        <v>585</v>
      </c>
      <c r="Z455">
        <v>3.4</v>
      </c>
      <c r="AA455">
        <v>16.760000000000002</v>
      </c>
      <c r="AB455">
        <v>56742</v>
      </c>
      <c r="AC455">
        <v>57581</v>
      </c>
      <c r="AD455">
        <v>0.99</v>
      </c>
      <c r="AE455">
        <v>452</v>
      </c>
      <c r="AF455">
        <v>58</v>
      </c>
      <c r="AG455" t="s">
        <v>120</v>
      </c>
      <c r="AH455">
        <v>0.01</v>
      </c>
      <c r="AI455" t="s">
        <v>120</v>
      </c>
      <c r="AJ455">
        <v>8.52</v>
      </c>
      <c r="AK455" t="s">
        <v>2965</v>
      </c>
      <c r="AL455">
        <v>3.01</v>
      </c>
      <c r="AM455">
        <v>2826</v>
      </c>
      <c r="AN455">
        <v>40</v>
      </c>
      <c r="AO455">
        <v>5.0000000000000001E-4</v>
      </c>
      <c r="AP455">
        <v>1</v>
      </c>
      <c r="AQ455">
        <v>-1.1399999999999999</v>
      </c>
      <c r="AR455">
        <v>-3.14</v>
      </c>
      <c r="AS455">
        <v>6.94</v>
      </c>
      <c r="AT455">
        <v>-4.37</v>
      </c>
      <c r="AU455">
        <v>-11.87</v>
      </c>
      <c r="AV455">
        <v>2</v>
      </c>
      <c r="AW455">
        <v>1.63</v>
      </c>
      <c r="AX455">
        <v>56.96</v>
      </c>
      <c r="AY455">
        <v>43.86</v>
      </c>
      <c r="AZ455">
        <v>20.98</v>
      </c>
      <c r="BA455">
        <v>0.27</v>
      </c>
      <c r="BB455" t="s">
        <v>143</v>
      </c>
      <c r="BF455">
        <v>1.83</v>
      </c>
      <c r="BG455">
        <v>0.3</v>
      </c>
      <c r="BH455">
        <v>-1.89</v>
      </c>
      <c r="BI455">
        <v>1.46</v>
      </c>
      <c r="BJ455">
        <v>20210913</v>
      </c>
      <c r="BK455">
        <v>20040713</v>
      </c>
      <c r="BL455">
        <v>12.34</v>
      </c>
      <c r="BM455" t="s">
        <v>120</v>
      </c>
      <c r="BN455" t="s">
        <v>120</v>
      </c>
      <c r="BO455">
        <v>120.22</v>
      </c>
      <c r="BP455">
        <v>16.64</v>
      </c>
      <c r="BQ455">
        <v>86.24</v>
      </c>
      <c r="BR455">
        <v>2.4300000000000002</v>
      </c>
      <c r="BS455">
        <v>26.24</v>
      </c>
      <c r="BT455">
        <v>36.520000000000003</v>
      </c>
      <c r="BU455">
        <v>10.06</v>
      </c>
      <c r="BV455">
        <v>7.08</v>
      </c>
      <c r="BW455">
        <v>21.98</v>
      </c>
      <c r="BX455">
        <v>14.4</v>
      </c>
      <c r="BY455">
        <v>6.32</v>
      </c>
      <c r="BZ455">
        <v>11.04</v>
      </c>
      <c r="CA455" t="s">
        <v>120</v>
      </c>
      <c r="CB455">
        <v>30.83</v>
      </c>
      <c r="CC455">
        <v>23.77</v>
      </c>
      <c r="CD455">
        <v>14.26</v>
      </c>
      <c r="CE455">
        <v>2.14</v>
      </c>
      <c r="CF455">
        <v>-0.06</v>
      </c>
      <c r="CG455">
        <v>2.31</v>
      </c>
      <c r="CH455">
        <v>1.82</v>
      </c>
      <c r="CI455">
        <v>2.13</v>
      </c>
      <c r="CJ455">
        <v>0.18</v>
      </c>
      <c r="CK455">
        <v>1.84</v>
      </c>
      <c r="CL455">
        <v>44.97</v>
      </c>
      <c r="CM455">
        <v>2.2599999999999998</v>
      </c>
      <c r="CN455">
        <v>0.22</v>
      </c>
      <c r="CO455">
        <v>53686</v>
      </c>
      <c r="CP455">
        <v>13094</v>
      </c>
      <c r="CQ455" t="s">
        <v>2966</v>
      </c>
      <c r="CR455">
        <v>-70.33</v>
      </c>
      <c r="CS455">
        <v>-15.41</v>
      </c>
      <c r="CT455">
        <v>2.38</v>
      </c>
      <c r="CU455">
        <v>90.82</v>
      </c>
      <c r="CV455">
        <v>8.64</v>
      </c>
      <c r="CW455">
        <v>0.3</v>
      </c>
      <c r="CX455" t="s">
        <v>1193</v>
      </c>
      <c r="CY455">
        <v>6.99</v>
      </c>
      <c r="CZ455">
        <v>0</v>
      </c>
      <c r="DA455">
        <v>2.5</v>
      </c>
      <c r="DB455">
        <v>3.64</v>
      </c>
      <c r="DC455">
        <v>0.18</v>
      </c>
      <c r="DD455">
        <v>71.73</v>
      </c>
      <c r="DE455" t="s">
        <v>427</v>
      </c>
      <c r="DF455">
        <v>40.01</v>
      </c>
      <c r="DG455">
        <v>9.02</v>
      </c>
      <c r="DH455">
        <v>8.9700000000000006</v>
      </c>
      <c r="DI455">
        <v>0.94</v>
      </c>
      <c r="DJ455">
        <v>4123</v>
      </c>
      <c r="DK455">
        <v>2019</v>
      </c>
      <c r="DL455" t="s">
        <v>120</v>
      </c>
      <c r="DM455" t="s">
        <v>120</v>
      </c>
      <c r="DN455" t="s">
        <v>120</v>
      </c>
    </row>
    <row r="456" spans="1:118">
      <c r="A456" t="str">
        <f>"002020"</f>
        <v>002020</v>
      </c>
      <c r="B456" t="s">
        <v>2967</v>
      </c>
      <c r="C456">
        <v>-0.36</v>
      </c>
      <c r="D456">
        <v>0</v>
      </c>
      <c r="E456">
        <v>-0.12</v>
      </c>
      <c r="F456">
        <v>856</v>
      </c>
      <c r="G456" t="s">
        <v>2968</v>
      </c>
      <c r="H456">
        <v>4509.72</v>
      </c>
      <c r="I456">
        <v>32.46</v>
      </c>
      <c r="J456" t="s">
        <v>120</v>
      </c>
      <c r="K456" t="s">
        <v>2969</v>
      </c>
      <c r="L456">
        <v>0.77</v>
      </c>
      <c r="M456">
        <v>8.26</v>
      </c>
      <c r="N456">
        <v>0.59</v>
      </c>
      <c r="O456">
        <v>1.93</v>
      </c>
      <c r="P456">
        <v>8.4499999999999993</v>
      </c>
      <c r="Q456">
        <v>-0.36</v>
      </c>
      <c r="R456">
        <v>8.26</v>
      </c>
      <c r="S456">
        <v>8.2799999999999994</v>
      </c>
      <c r="T456">
        <v>54038</v>
      </c>
      <c r="U456">
        <v>8.26</v>
      </c>
      <c r="V456">
        <v>8.2899999999999991</v>
      </c>
      <c r="W456">
        <v>13.81</v>
      </c>
      <c r="X456" t="s">
        <v>569</v>
      </c>
      <c r="Y456" t="s">
        <v>585</v>
      </c>
      <c r="Z456">
        <v>2.29</v>
      </c>
      <c r="AA456">
        <v>8.35</v>
      </c>
      <c r="AB456">
        <v>27971</v>
      </c>
      <c r="AC456">
        <v>26067</v>
      </c>
      <c r="AD456">
        <v>1.07</v>
      </c>
      <c r="AE456">
        <v>467</v>
      </c>
      <c r="AF456">
        <v>54</v>
      </c>
      <c r="AG456" t="s">
        <v>120</v>
      </c>
      <c r="AH456">
        <v>0.01</v>
      </c>
      <c r="AI456" t="s">
        <v>120</v>
      </c>
      <c r="AJ456">
        <v>7.01</v>
      </c>
      <c r="AK456" t="s">
        <v>2970</v>
      </c>
      <c r="AL456">
        <v>1.55</v>
      </c>
      <c r="AM456">
        <v>1734</v>
      </c>
      <c r="AN456">
        <v>31</v>
      </c>
      <c r="AO456">
        <v>4.0000000000000002E-4</v>
      </c>
      <c r="AP456">
        <v>-5</v>
      </c>
      <c r="AQ456">
        <v>-0.6</v>
      </c>
      <c r="AR456">
        <v>-2.94</v>
      </c>
      <c r="AS456">
        <v>6.17</v>
      </c>
      <c r="AT456">
        <v>-1.67</v>
      </c>
      <c r="AU456">
        <v>3.35</v>
      </c>
      <c r="AV456">
        <v>0</v>
      </c>
      <c r="AW456">
        <v>0.92</v>
      </c>
      <c r="AX456">
        <v>65.010000000000005</v>
      </c>
      <c r="AY456">
        <v>10.74</v>
      </c>
      <c r="AZ456">
        <v>11.49</v>
      </c>
      <c r="BA456">
        <v>0.55000000000000004</v>
      </c>
      <c r="BB456" t="s">
        <v>143</v>
      </c>
      <c r="BF456">
        <v>0.67</v>
      </c>
      <c r="BG456">
        <v>-0.24</v>
      </c>
      <c r="BH456">
        <v>-2.25</v>
      </c>
      <c r="BI456">
        <v>0</v>
      </c>
      <c r="BJ456">
        <v>20210909</v>
      </c>
      <c r="BK456">
        <v>20040715</v>
      </c>
      <c r="BL456">
        <v>9.0500000000000007</v>
      </c>
      <c r="BM456" t="s">
        <v>120</v>
      </c>
      <c r="BN456" t="s">
        <v>120</v>
      </c>
      <c r="BO456">
        <v>55.08</v>
      </c>
      <c r="BP456">
        <v>8.25</v>
      </c>
      <c r="BQ456">
        <v>39.770000000000003</v>
      </c>
      <c r="BR456">
        <v>0.19</v>
      </c>
      <c r="BS456">
        <v>27.45</v>
      </c>
      <c r="BT456">
        <v>26.63</v>
      </c>
      <c r="BU456">
        <v>9.06</v>
      </c>
      <c r="BV456">
        <v>1.46</v>
      </c>
      <c r="BW456">
        <v>13.14</v>
      </c>
      <c r="BX456">
        <v>8.24</v>
      </c>
      <c r="BY456">
        <v>5.52</v>
      </c>
      <c r="BZ456">
        <v>4.6500000000000004</v>
      </c>
      <c r="CA456" t="s">
        <v>120</v>
      </c>
      <c r="CB456">
        <v>17.649999999999999</v>
      </c>
      <c r="CC456">
        <v>16.600000000000001</v>
      </c>
      <c r="CD456">
        <v>7.41</v>
      </c>
      <c r="CE456">
        <v>3.02</v>
      </c>
      <c r="CF456">
        <v>0.13</v>
      </c>
      <c r="CG456">
        <v>3.03</v>
      </c>
      <c r="CH456">
        <v>2.71</v>
      </c>
      <c r="CI456">
        <v>2.71</v>
      </c>
      <c r="CJ456">
        <v>-0.03</v>
      </c>
      <c r="CK456">
        <v>2.29</v>
      </c>
      <c r="CL456">
        <v>15.94</v>
      </c>
      <c r="CM456">
        <v>0.69</v>
      </c>
      <c r="CN456">
        <v>-0.66</v>
      </c>
      <c r="CO456">
        <v>42000</v>
      </c>
      <c r="CP456">
        <v>14014</v>
      </c>
      <c r="CQ456" t="s">
        <v>2971</v>
      </c>
      <c r="CR456">
        <v>20.37</v>
      </c>
      <c r="CS456">
        <v>1.18</v>
      </c>
      <c r="CT456">
        <v>1.74</v>
      </c>
      <c r="CU456">
        <v>108.98</v>
      </c>
      <c r="CV456">
        <v>4.51</v>
      </c>
      <c r="CW456">
        <v>3.08</v>
      </c>
      <c r="CX456" t="s">
        <v>1574</v>
      </c>
      <c r="CY456">
        <v>4.75</v>
      </c>
      <c r="CZ456">
        <v>4.75</v>
      </c>
      <c r="DA456">
        <v>1.95</v>
      </c>
      <c r="DB456">
        <v>1.76</v>
      </c>
      <c r="DC456">
        <v>0.08</v>
      </c>
      <c r="DD456">
        <v>72.209999999999994</v>
      </c>
      <c r="DE456" t="s">
        <v>2972</v>
      </c>
      <c r="DF456">
        <v>55.34</v>
      </c>
      <c r="DG456">
        <v>18.170000000000002</v>
      </c>
      <c r="DH456">
        <v>16.309999999999999</v>
      </c>
      <c r="DI456">
        <v>1.55</v>
      </c>
      <c r="DJ456">
        <v>3266</v>
      </c>
      <c r="DK456">
        <v>2020</v>
      </c>
      <c r="DL456" t="s">
        <v>120</v>
      </c>
      <c r="DM456" t="s">
        <v>120</v>
      </c>
      <c r="DN456" t="s">
        <v>120</v>
      </c>
    </row>
    <row r="457" spans="1:118">
      <c r="A457" t="str">
        <f>"002022"</f>
        <v>002022</v>
      </c>
      <c r="B457" t="s">
        <v>2973</v>
      </c>
      <c r="C457">
        <v>-0.51</v>
      </c>
      <c r="D457">
        <v>0</v>
      </c>
      <c r="E457">
        <v>0</v>
      </c>
      <c r="F457">
        <v>240</v>
      </c>
      <c r="G457" t="s">
        <v>2974</v>
      </c>
      <c r="H457">
        <v>7524.49</v>
      </c>
      <c r="I457">
        <v>32.04</v>
      </c>
      <c r="J457" t="s">
        <v>120</v>
      </c>
      <c r="K457" t="s">
        <v>2975</v>
      </c>
      <c r="L457">
        <v>1.06</v>
      </c>
      <c r="M457">
        <v>13.74</v>
      </c>
      <c r="N457">
        <v>0.56999999999999995</v>
      </c>
      <c r="O457">
        <v>1.01</v>
      </c>
      <c r="P457">
        <v>13.95</v>
      </c>
      <c r="Q457">
        <v>-0.8</v>
      </c>
      <c r="R457">
        <v>13.7</v>
      </c>
      <c r="S457">
        <v>13.81</v>
      </c>
      <c r="T457">
        <v>54432</v>
      </c>
      <c r="U457">
        <v>13.74</v>
      </c>
      <c r="V457">
        <v>13.81</v>
      </c>
      <c r="W457">
        <v>7.38</v>
      </c>
      <c r="X457" t="s">
        <v>555</v>
      </c>
      <c r="Y457" t="s">
        <v>1510</v>
      </c>
      <c r="Z457">
        <v>1.81</v>
      </c>
      <c r="AA457">
        <v>13.82</v>
      </c>
      <c r="AB457">
        <v>30282</v>
      </c>
      <c r="AC457">
        <v>24150</v>
      </c>
      <c r="AD457">
        <v>1.25</v>
      </c>
      <c r="AE457">
        <v>256</v>
      </c>
      <c r="AF457">
        <v>16</v>
      </c>
      <c r="AG457" t="s">
        <v>120</v>
      </c>
      <c r="AH457">
        <v>0.01</v>
      </c>
      <c r="AI457" t="s">
        <v>120</v>
      </c>
      <c r="AJ457">
        <v>5.14</v>
      </c>
      <c r="AK457" t="s">
        <v>2976</v>
      </c>
      <c r="AL457">
        <v>1.41</v>
      </c>
      <c r="AM457">
        <v>2025</v>
      </c>
      <c r="AN457">
        <v>27</v>
      </c>
      <c r="AO457">
        <v>5.0000000000000001E-4</v>
      </c>
      <c r="AP457">
        <v>-1</v>
      </c>
      <c r="AQ457">
        <v>0.22</v>
      </c>
      <c r="AR457">
        <v>-3.24</v>
      </c>
      <c r="AS457">
        <v>2.23</v>
      </c>
      <c r="AT457">
        <v>-19.600000000000001</v>
      </c>
      <c r="AU457">
        <v>-9.7200000000000006</v>
      </c>
      <c r="AV457">
        <v>2</v>
      </c>
      <c r="AW457">
        <v>1.3</v>
      </c>
      <c r="AX457">
        <v>81.25</v>
      </c>
      <c r="AY457">
        <v>7.39</v>
      </c>
      <c r="AZ457">
        <v>10.52</v>
      </c>
      <c r="BA457">
        <v>0.57999999999999996</v>
      </c>
      <c r="BB457" t="s">
        <v>125</v>
      </c>
      <c r="BF457">
        <v>0.1</v>
      </c>
      <c r="BG457">
        <v>-0.51</v>
      </c>
      <c r="BH457">
        <v>-1.51</v>
      </c>
      <c r="BI457">
        <v>0.28999999999999998</v>
      </c>
      <c r="BJ457">
        <v>20210826</v>
      </c>
      <c r="BK457">
        <v>20040721</v>
      </c>
      <c r="BL457">
        <v>5.15</v>
      </c>
      <c r="BM457" t="s">
        <v>120</v>
      </c>
      <c r="BN457" t="s">
        <v>120</v>
      </c>
      <c r="BO457">
        <v>60.65</v>
      </c>
      <c r="BP457">
        <v>13.73</v>
      </c>
      <c r="BQ457">
        <v>35.11</v>
      </c>
      <c r="BR457">
        <v>10.199999999999999</v>
      </c>
      <c r="BS457">
        <v>25.3</v>
      </c>
      <c r="BT457">
        <v>40.229999999999997</v>
      </c>
      <c r="BU457">
        <v>4.3</v>
      </c>
      <c r="BV457">
        <v>2.91</v>
      </c>
      <c r="BW457">
        <v>7.99</v>
      </c>
      <c r="BX457">
        <v>20.84</v>
      </c>
      <c r="BY457">
        <v>8.8699999999999992</v>
      </c>
      <c r="BZ457">
        <v>8.32</v>
      </c>
      <c r="CA457" t="s">
        <v>120</v>
      </c>
      <c r="CB457">
        <v>3.02</v>
      </c>
      <c r="CC457">
        <v>24</v>
      </c>
      <c r="CD457">
        <v>9.98</v>
      </c>
      <c r="CE457">
        <v>8.9600000000000009</v>
      </c>
      <c r="CF457">
        <v>0.04</v>
      </c>
      <c r="CG457">
        <v>8.9600000000000009</v>
      </c>
      <c r="CH457">
        <v>7.41</v>
      </c>
      <c r="CI457">
        <v>4.79</v>
      </c>
      <c r="CJ457">
        <v>-7.0000000000000007E-2</v>
      </c>
      <c r="CK457">
        <v>4.7300000000000004</v>
      </c>
      <c r="CL457">
        <v>23.14</v>
      </c>
      <c r="CM457">
        <v>4.54</v>
      </c>
      <c r="CN457">
        <v>-0.63</v>
      </c>
      <c r="CO457">
        <v>61322</v>
      </c>
      <c r="CP457">
        <v>6820</v>
      </c>
      <c r="CQ457" t="s">
        <v>372</v>
      </c>
      <c r="CR457">
        <v>148.63999999999999</v>
      </c>
      <c r="CS457">
        <v>64.349999999999994</v>
      </c>
      <c r="CT457">
        <v>2.1</v>
      </c>
      <c r="CU457">
        <v>15.57</v>
      </c>
      <c r="CV457">
        <v>2.95</v>
      </c>
      <c r="CW457">
        <v>1.45</v>
      </c>
      <c r="CX457" t="s">
        <v>2877</v>
      </c>
      <c r="CY457">
        <v>6.54</v>
      </c>
      <c r="CZ457">
        <v>6.54</v>
      </c>
      <c r="DA457">
        <v>0.59</v>
      </c>
      <c r="DB457">
        <v>4.49</v>
      </c>
      <c r="DC457">
        <v>0.88</v>
      </c>
      <c r="DD457">
        <v>57.89</v>
      </c>
      <c r="DE457" t="s">
        <v>2977</v>
      </c>
      <c r="DF457">
        <v>58.43</v>
      </c>
      <c r="DG457">
        <v>37.35</v>
      </c>
      <c r="DH457">
        <v>19.96</v>
      </c>
      <c r="DI457">
        <v>0.52</v>
      </c>
      <c r="DJ457">
        <v>1922</v>
      </c>
      <c r="DK457">
        <v>2022</v>
      </c>
      <c r="DL457" t="s">
        <v>120</v>
      </c>
      <c r="DM457" t="s">
        <v>120</v>
      </c>
      <c r="DN457" t="s">
        <v>120</v>
      </c>
    </row>
    <row r="458" spans="1:118">
      <c r="A458" t="str">
        <f>"002023"</f>
        <v>002023</v>
      </c>
      <c r="B458" t="s">
        <v>2978</v>
      </c>
      <c r="C458">
        <v>-5.39</v>
      </c>
      <c r="D458">
        <v>0</v>
      </c>
      <c r="E458">
        <v>-0.27</v>
      </c>
      <c r="F458">
        <v>3066</v>
      </c>
      <c r="G458" t="s">
        <v>2979</v>
      </c>
      <c r="H458">
        <v>39820.25</v>
      </c>
      <c r="I458">
        <v>75.05</v>
      </c>
      <c r="J458" t="s">
        <v>120</v>
      </c>
      <c r="K458" t="s">
        <v>2980</v>
      </c>
      <c r="L458">
        <v>3.99</v>
      </c>
      <c r="M458">
        <v>14.23</v>
      </c>
      <c r="N458">
        <v>0.96</v>
      </c>
      <c r="O458">
        <v>-7.0000000000000007E-2</v>
      </c>
      <c r="P458">
        <v>15.03</v>
      </c>
      <c r="Q458">
        <v>-5.45</v>
      </c>
      <c r="R458">
        <v>14.22</v>
      </c>
      <c r="S458">
        <v>15</v>
      </c>
      <c r="T458">
        <v>272859</v>
      </c>
      <c r="U458">
        <v>14.24</v>
      </c>
      <c r="V458">
        <v>15.04</v>
      </c>
      <c r="W458">
        <v>7.91</v>
      </c>
      <c r="X458" t="s">
        <v>1621</v>
      </c>
      <c r="Y458" t="s">
        <v>578</v>
      </c>
      <c r="Z458">
        <v>5.39</v>
      </c>
      <c r="AA458">
        <v>14.59</v>
      </c>
      <c r="AB458">
        <v>162166</v>
      </c>
      <c r="AC458">
        <v>110693</v>
      </c>
      <c r="AD458">
        <v>1.47</v>
      </c>
      <c r="AE458">
        <v>163</v>
      </c>
      <c r="AF458">
        <v>137</v>
      </c>
      <c r="AG458" t="s">
        <v>120</v>
      </c>
      <c r="AH458">
        <v>0.01</v>
      </c>
      <c r="AI458" t="s">
        <v>120</v>
      </c>
      <c r="AJ458">
        <v>6.84</v>
      </c>
      <c r="AK458" t="s">
        <v>2981</v>
      </c>
      <c r="AL458">
        <v>-3.47</v>
      </c>
      <c r="AM458">
        <v>4353</v>
      </c>
      <c r="AN458">
        <v>63</v>
      </c>
      <c r="AO458">
        <v>8.9999999999999998E-4</v>
      </c>
      <c r="AP458">
        <v>-1</v>
      </c>
      <c r="AQ458">
        <v>0.94</v>
      </c>
      <c r="AR458">
        <v>-6.32</v>
      </c>
      <c r="AS458">
        <v>-5.57</v>
      </c>
      <c r="AT458">
        <v>2.2999999999999998</v>
      </c>
      <c r="AU458">
        <v>-12.92</v>
      </c>
      <c r="AV458">
        <v>4</v>
      </c>
      <c r="AW458">
        <v>4.6900000000000004</v>
      </c>
      <c r="AX458">
        <v>76.94</v>
      </c>
      <c r="AY458">
        <v>15.13</v>
      </c>
      <c r="AZ458">
        <v>359.01</v>
      </c>
      <c r="BA458">
        <v>0.86</v>
      </c>
      <c r="BB458" t="s">
        <v>143</v>
      </c>
      <c r="BF458">
        <v>-2.97</v>
      </c>
      <c r="BG458">
        <v>-5.13</v>
      </c>
      <c r="BH458">
        <v>-5.32</v>
      </c>
      <c r="BI458">
        <v>7.0000000000000007E-2</v>
      </c>
      <c r="BJ458">
        <v>20210804</v>
      </c>
      <c r="BK458">
        <v>20040721</v>
      </c>
      <c r="BL458">
        <v>7.57</v>
      </c>
      <c r="BM458" t="s">
        <v>120</v>
      </c>
      <c r="BN458" t="s">
        <v>120</v>
      </c>
      <c r="BO458">
        <v>69.760000000000005</v>
      </c>
      <c r="BP458">
        <v>14.23</v>
      </c>
      <c r="BQ458">
        <v>39.57</v>
      </c>
      <c r="BR458">
        <v>-0.06</v>
      </c>
      <c r="BS458">
        <v>43.38</v>
      </c>
      <c r="BT458">
        <v>18.98</v>
      </c>
      <c r="BU458">
        <v>25.59</v>
      </c>
      <c r="BV458">
        <v>3.25</v>
      </c>
      <c r="BW458">
        <v>9.83</v>
      </c>
      <c r="BX458">
        <v>3.64</v>
      </c>
      <c r="BY458">
        <v>2.89</v>
      </c>
      <c r="BZ458">
        <v>6.94</v>
      </c>
      <c r="CA458" t="s">
        <v>120</v>
      </c>
      <c r="CB458">
        <v>18.84</v>
      </c>
      <c r="CC458">
        <v>3.92</v>
      </c>
      <c r="CD458">
        <v>2.29</v>
      </c>
      <c r="CE458">
        <v>7.98</v>
      </c>
      <c r="CF458">
        <v>7.98</v>
      </c>
      <c r="CG458">
        <v>7.96</v>
      </c>
      <c r="CH458">
        <v>6.74</v>
      </c>
      <c r="CI458">
        <v>6.8</v>
      </c>
      <c r="CJ458">
        <v>-0.81</v>
      </c>
      <c r="CK458">
        <v>0.27</v>
      </c>
      <c r="CL458">
        <v>13.88</v>
      </c>
      <c r="CM458">
        <v>1.2</v>
      </c>
      <c r="CN458">
        <v>-3.28</v>
      </c>
      <c r="CO458">
        <v>114686</v>
      </c>
      <c r="CP458">
        <v>5077</v>
      </c>
      <c r="CQ458" t="s">
        <v>2982</v>
      </c>
      <c r="CR458">
        <v>1793.73</v>
      </c>
      <c r="CS458">
        <v>-4.43</v>
      </c>
      <c r="CT458">
        <v>2.72</v>
      </c>
      <c r="CU458">
        <v>89.62</v>
      </c>
      <c r="CV458">
        <v>27.47</v>
      </c>
      <c r="CW458">
        <v>0</v>
      </c>
      <c r="CX458" t="s">
        <v>2983</v>
      </c>
      <c r="CY458">
        <v>5.23</v>
      </c>
      <c r="CZ458">
        <v>0</v>
      </c>
      <c r="DA458">
        <v>2.4900000000000002</v>
      </c>
      <c r="DB458">
        <v>1.83</v>
      </c>
      <c r="DC458">
        <v>0.16</v>
      </c>
      <c r="DD458">
        <v>56.72</v>
      </c>
      <c r="DE458" t="s">
        <v>2984</v>
      </c>
      <c r="DF458">
        <v>41.54</v>
      </c>
      <c r="DG458">
        <v>203.46</v>
      </c>
      <c r="DH458">
        <v>173.55</v>
      </c>
      <c r="DI458">
        <v>0.2</v>
      </c>
      <c r="DJ458">
        <v>1254</v>
      </c>
      <c r="DK458">
        <v>2023</v>
      </c>
      <c r="DL458">
        <v>20210621</v>
      </c>
      <c r="DM458">
        <v>14.69</v>
      </c>
      <c r="DN458">
        <v>-3.13</v>
      </c>
    </row>
    <row r="459" spans="1:118">
      <c r="A459" t="str">
        <f>"002024"</f>
        <v>002024</v>
      </c>
      <c r="B459" t="s">
        <v>2985</v>
      </c>
      <c r="C459">
        <v>0</v>
      </c>
      <c r="D459">
        <v>0.19</v>
      </c>
      <c r="E459">
        <v>-0.19</v>
      </c>
      <c r="F459">
        <v>5787</v>
      </c>
      <c r="G459" t="s">
        <v>2986</v>
      </c>
      <c r="H459">
        <v>14241.64</v>
      </c>
      <c r="I459">
        <v>40.659999999999997</v>
      </c>
      <c r="J459" t="s">
        <v>120</v>
      </c>
      <c r="K459" t="s">
        <v>2987</v>
      </c>
      <c r="L459">
        <v>0.36</v>
      </c>
      <c r="M459">
        <v>5.29</v>
      </c>
      <c r="N459">
        <v>0.94</v>
      </c>
      <c r="O459">
        <v>0.95</v>
      </c>
      <c r="P459">
        <v>5.34</v>
      </c>
      <c r="Q459">
        <v>-0.95</v>
      </c>
      <c r="R459">
        <v>5.24</v>
      </c>
      <c r="S459">
        <v>5.28</v>
      </c>
      <c r="T459">
        <v>269721</v>
      </c>
      <c r="U459">
        <v>5.29</v>
      </c>
      <c r="V459">
        <v>5.29</v>
      </c>
      <c r="W459" t="s">
        <v>120</v>
      </c>
      <c r="X459" t="s">
        <v>2988</v>
      </c>
      <c r="Y459" t="s">
        <v>319</v>
      </c>
      <c r="Z459">
        <v>1.89</v>
      </c>
      <c r="AA459">
        <v>5.28</v>
      </c>
      <c r="AB459">
        <v>147875</v>
      </c>
      <c r="AC459">
        <v>121846</v>
      </c>
      <c r="AD459">
        <v>1.21</v>
      </c>
      <c r="AE459">
        <v>1011</v>
      </c>
      <c r="AF459">
        <v>2706</v>
      </c>
      <c r="AG459" t="s">
        <v>120</v>
      </c>
      <c r="AH459">
        <v>0</v>
      </c>
      <c r="AI459" t="s">
        <v>120</v>
      </c>
      <c r="AJ459">
        <v>75.89</v>
      </c>
      <c r="AK459" t="s">
        <v>2989</v>
      </c>
      <c r="AL459">
        <v>1.91</v>
      </c>
      <c r="AM459">
        <v>3133</v>
      </c>
      <c r="AN459">
        <v>86</v>
      </c>
      <c r="AO459">
        <v>1E-4</v>
      </c>
      <c r="AP459">
        <v>0</v>
      </c>
      <c r="AQ459">
        <v>-0.56000000000000005</v>
      </c>
      <c r="AR459">
        <v>-2.76</v>
      </c>
      <c r="AS459">
        <v>-2.58</v>
      </c>
      <c r="AT459">
        <v>-5.37</v>
      </c>
      <c r="AU459">
        <v>-31.39</v>
      </c>
      <c r="AV459">
        <v>3</v>
      </c>
      <c r="AW459">
        <v>0.86</v>
      </c>
      <c r="AX459">
        <v>33.619999999999997</v>
      </c>
      <c r="AY459" t="s">
        <v>120</v>
      </c>
      <c r="AZ459" t="s">
        <v>120</v>
      </c>
      <c r="BA459">
        <v>0.83</v>
      </c>
      <c r="BB459" t="s">
        <v>143</v>
      </c>
      <c r="BF459">
        <v>-0.19</v>
      </c>
      <c r="BG459">
        <v>0.19</v>
      </c>
      <c r="BH459">
        <v>-0.94</v>
      </c>
      <c r="BI459">
        <v>0.95</v>
      </c>
      <c r="BJ459">
        <v>20210831</v>
      </c>
      <c r="BK459">
        <v>20040721</v>
      </c>
      <c r="BL459">
        <v>93.1</v>
      </c>
      <c r="BM459" t="s">
        <v>120</v>
      </c>
      <c r="BN459" t="s">
        <v>120</v>
      </c>
      <c r="BO459">
        <v>2157.2600000000002</v>
      </c>
      <c r="BP459">
        <v>5.28</v>
      </c>
      <c r="BQ459">
        <v>732.99</v>
      </c>
      <c r="BR459">
        <v>-3.41</v>
      </c>
      <c r="BS459">
        <v>66.180000000000007</v>
      </c>
      <c r="BT459">
        <v>832.62</v>
      </c>
      <c r="BU459">
        <v>137.99</v>
      </c>
      <c r="BV459">
        <v>125.39</v>
      </c>
      <c r="BW459">
        <v>1027.56</v>
      </c>
      <c r="BX459">
        <v>190.46</v>
      </c>
      <c r="BY459">
        <v>119.27</v>
      </c>
      <c r="BZ459">
        <v>65.3</v>
      </c>
      <c r="CA459">
        <v>3.05</v>
      </c>
      <c r="CB459">
        <v>331.03</v>
      </c>
      <c r="CC459">
        <v>936.06</v>
      </c>
      <c r="CD459">
        <v>834.24</v>
      </c>
      <c r="CE459">
        <v>-48.23</v>
      </c>
      <c r="CF459">
        <v>28.61</v>
      </c>
      <c r="CG459">
        <v>-48.56</v>
      </c>
      <c r="CH459">
        <v>-37.479999999999997</v>
      </c>
      <c r="CI459">
        <v>-34.520000000000003</v>
      </c>
      <c r="CJ459">
        <v>0</v>
      </c>
      <c r="CK459">
        <v>-50.24</v>
      </c>
      <c r="CL459">
        <v>325.23</v>
      </c>
      <c r="CM459">
        <v>14.58</v>
      </c>
      <c r="CN459">
        <v>-38.340000000000003</v>
      </c>
      <c r="CO459">
        <v>310125</v>
      </c>
      <c r="CP459">
        <v>10092</v>
      </c>
      <c r="CQ459" t="s">
        <v>2990</v>
      </c>
      <c r="CR459">
        <v>-1972.06</v>
      </c>
      <c r="CS459">
        <v>-20.96</v>
      </c>
      <c r="CT459">
        <v>0.67</v>
      </c>
      <c r="CU459">
        <v>33.770000000000003</v>
      </c>
      <c r="CV459">
        <v>0.53</v>
      </c>
      <c r="CW459">
        <v>0</v>
      </c>
      <c r="CX459" t="s">
        <v>2991</v>
      </c>
      <c r="CY459">
        <v>7.87</v>
      </c>
      <c r="CZ459">
        <v>0</v>
      </c>
      <c r="DA459">
        <v>3.56</v>
      </c>
      <c r="DB459">
        <v>3.49</v>
      </c>
      <c r="DC459">
        <v>0.16</v>
      </c>
      <c r="DD459">
        <v>33.979999999999997</v>
      </c>
      <c r="DE459" t="s">
        <v>2992</v>
      </c>
      <c r="DF459">
        <v>10.88</v>
      </c>
      <c r="DG459">
        <v>-5.15</v>
      </c>
      <c r="DH459">
        <v>-3.69</v>
      </c>
      <c r="DI459">
        <v>11.82</v>
      </c>
      <c r="DJ459">
        <v>45598</v>
      </c>
      <c r="DK459">
        <v>2024</v>
      </c>
      <c r="DL459" t="s">
        <v>120</v>
      </c>
      <c r="DM459" t="s">
        <v>120</v>
      </c>
      <c r="DN459" t="s">
        <v>120</v>
      </c>
    </row>
    <row r="460" spans="1:118">
      <c r="A460" t="str">
        <f>"002025"</f>
        <v>002025</v>
      </c>
      <c r="B460" t="s">
        <v>2993</v>
      </c>
      <c r="C460">
        <v>0.12</v>
      </c>
      <c r="D460">
        <v>0.02</v>
      </c>
      <c r="E460">
        <v>1.21</v>
      </c>
      <c r="F460">
        <v>113</v>
      </c>
      <c r="G460" t="s">
        <v>2994</v>
      </c>
      <c r="H460">
        <v>23906.31</v>
      </c>
      <c r="I460">
        <v>143</v>
      </c>
      <c r="J460" t="s">
        <v>120</v>
      </c>
      <c r="K460" t="s">
        <v>2995</v>
      </c>
      <c r="L460">
        <v>0.86</v>
      </c>
      <c r="M460">
        <v>64.3</v>
      </c>
      <c r="N460">
        <v>0.99</v>
      </c>
      <c r="O460">
        <v>3.24</v>
      </c>
      <c r="P460">
        <v>66.3</v>
      </c>
      <c r="Q460">
        <v>-0.17</v>
      </c>
      <c r="R460">
        <v>64.11</v>
      </c>
      <c r="S460">
        <v>65</v>
      </c>
      <c r="T460">
        <v>36757</v>
      </c>
      <c r="U460">
        <v>64.319999999999993</v>
      </c>
      <c r="V460">
        <v>64.22</v>
      </c>
      <c r="W460">
        <v>57.04</v>
      </c>
      <c r="X460" t="s">
        <v>229</v>
      </c>
      <c r="Y460" t="s">
        <v>1021</v>
      </c>
      <c r="Z460">
        <v>3.41</v>
      </c>
      <c r="AA460">
        <v>65.040000000000006</v>
      </c>
      <c r="AB460">
        <v>15211</v>
      </c>
      <c r="AC460">
        <v>21546</v>
      </c>
      <c r="AD460">
        <v>0.71</v>
      </c>
      <c r="AE460">
        <v>72</v>
      </c>
      <c r="AF460">
        <v>328</v>
      </c>
      <c r="AG460" t="s">
        <v>120</v>
      </c>
      <c r="AH460">
        <v>0.01</v>
      </c>
      <c r="AI460" t="s">
        <v>120</v>
      </c>
      <c r="AJ460">
        <v>4.29</v>
      </c>
      <c r="AK460" t="s">
        <v>2996</v>
      </c>
      <c r="AL460">
        <v>2.04</v>
      </c>
      <c r="AM460">
        <v>3491</v>
      </c>
      <c r="AN460">
        <v>11</v>
      </c>
      <c r="AO460">
        <v>2.0000000000000001E-4</v>
      </c>
      <c r="AP460">
        <v>3</v>
      </c>
      <c r="AQ460">
        <v>1.94</v>
      </c>
      <c r="AR460">
        <v>2.99</v>
      </c>
      <c r="AS460">
        <v>-5.09</v>
      </c>
      <c r="AT460">
        <v>25.64</v>
      </c>
      <c r="AU460">
        <v>-1.05</v>
      </c>
      <c r="AV460">
        <v>1</v>
      </c>
      <c r="AW460">
        <v>1.57</v>
      </c>
      <c r="AX460">
        <v>51.63</v>
      </c>
      <c r="AY460">
        <v>57.69</v>
      </c>
      <c r="AZ460">
        <v>67.040000000000006</v>
      </c>
      <c r="BA460">
        <v>0.92</v>
      </c>
      <c r="BB460" t="s">
        <v>168</v>
      </c>
      <c r="BF460">
        <v>1.27</v>
      </c>
      <c r="BG460">
        <v>-1.08</v>
      </c>
      <c r="BH460">
        <v>-3.02</v>
      </c>
      <c r="BI460">
        <v>0.3</v>
      </c>
      <c r="BJ460">
        <v>20210914</v>
      </c>
      <c r="BK460">
        <v>20040726</v>
      </c>
      <c r="BL460">
        <v>4.53</v>
      </c>
      <c r="BM460" t="s">
        <v>120</v>
      </c>
      <c r="BN460" t="s">
        <v>120</v>
      </c>
      <c r="BO460">
        <v>72.209999999999994</v>
      </c>
      <c r="BP460">
        <v>64.3</v>
      </c>
      <c r="BQ460">
        <v>35.840000000000003</v>
      </c>
      <c r="BR460">
        <v>7.45</v>
      </c>
      <c r="BS460">
        <v>40.049999999999997</v>
      </c>
      <c r="BT460">
        <v>63.7</v>
      </c>
      <c r="BU460">
        <v>6.23</v>
      </c>
      <c r="BV460">
        <v>0.91</v>
      </c>
      <c r="BW460">
        <v>27.89</v>
      </c>
      <c r="BX460">
        <v>2.85</v>
      </c>
      <c r="BY460">
        <v>8.8800000000000008</v>
      </c>
      <c r="BZ460">
        <v>31.45</v>
      </c>
      <c r="CA460">
        <v>0</v>
      </c>
      <c r="CB460">
        <v>4.82</v>
      </c>
      <c r="CC460">
        <v>23.42</v>
      </c>
      <c r="CD460">
        <v>15.39</v>
      </c>
      <c r="CE460">
        <v>3.21</v>
      </c>
      <c r="CF460">
        <v>0</v>
      </c>
      <c r="CG460">
        <v>3.24</v>
      </c>
      <c r="CH460">
        <v>2.9</v>
      </c>
      <c r="CI460">
        <v>2.5499999999999998</v>
      </c>
      <c r="CJ460">
        <v>0.08</v>
      </c>
      <c r="CK460">
        <v>2.4900000000000002</v>
      </c>
      <c r="CL460">
        <v>20.56</v>
      </c>
      <c r="CM460">
        <v>-3.46</v>
      </c>
      <c r="CN460">
        <v>-5.23</v>
      </c>
      <c r="CO460">
        <v>23347</v>
      </c>
      <c r="CP460">
        <v>10011</v>
      </c>
      <c r="CQ460" t="s">
        <v>2997</v>
      </c>
      <c r="CR460">
        <v>38.04</v>
      </c>
      <c r="CS460">
        <v>24.66</v>
      </c>
      <c r="CT460">
        <v>7.7</v>
      </c>
      <c r="CU460">
        <v>-84.24</v>
      </c>
      <c r="CV460">
        <v>12.43</v>
      </c>
      <c r="CW460">
        <v>0.3</v>
      </c>
      <c r="CX460" t="s">
        <v>597</v>
      </c>
      <c r="CY460">
        <v>8.35</v>
      </c>
      <c r="CZ460">
        <v>8.35</v>
      </c>
      <c r="DA460">
        <v>1.07</v>
      </c>
      <c r="DB460">
        <v>4.54</v>
      </c>
      <c r="DC460">
        <v>-0.76</v>
      </c>
      <c r="DD460">
        <v>49.63</v>
      </c>
      <c r="DE460" t="s">
        <v>2998</v>
      </c>
      <c r="DF460">
        <v>34.28</v>
      </c>
      <c r="DG460">
        <v>13.71</v>
      </c>
      <c r="DH460">
        <v>10.9</v>
      </c>
      <c r="DI460">
        <v>1.78</v>
      </c>
      <c r="DJ460">
        <v>4782</v>
      </c>
      <c r="DK460">
        <v>2025</v>
      </c>
      <c r="DL460" t="s">
        <v>120</v>
      </c>
      <c r="DM460" t="s">
        <v>120</v>
      </c>
      <c r="DN460" t="s">
        <v>120</v>
      </c>
    </row>
    <row r="461" spans="1:118">
      <c r="A461" t="str">
        <f>"002026"</f>
        <v>002026</v>
      </c>
      <c r="B461" t="s">
        <v>2999</v>
      </c>
      <c r="C461">
        <v>-10.02</v>
      </c>
      <c r="D461">
        <v>0</v>
      </c>
      <c r="E461">
        <v>-0.75</v>
      </c>
      <c r="F461">
        <v>751</v>
      </c>
      <c r="G461" t="s">
        <v>3000</v>
      </c>
      <c r="H461">
        <v>62477.53</v>
      </c>
      <c r="I461">
        <v>150.58000000000001</v>
      </c>
      <c r="J461">
        <v>1113.3900000000001</v>
      </c>
      <c r="K461" t="s">
        <v>3001</v>
      </c>
      <c r="L461">
        <v>9.8699999999999992</v>
      </c>
      <c r="M461">
        <v>14.37</v>
      </c>
      <c r="N461">
        <v>1.6</v>
      </c>
      <c r="O461">
        <v>0.19</v>
      </c>
      <c r="P461">
        <v>16</v>
      </c>
      <c r="Q461">
        <v>-10.02</v>
      </c>
      <c r="R461">
        <v>14.37</v>
      </c>
      <c r="S461">
        <v>15.85</v>
      </c>
      <c r="T461">
        <v>417692</v>
      </c>
      <c r="U461">
        <v>14.37</v>
      </c>
      <c r="V461">
        <v>15.97</v>
      </c>
      <c r="W461">
        <v>17.07</v>
      </c>
      <c r="X461" t="s">
        <v>959</v>
      </c>
      <c r="Y461" t="s">
        <v>638</v>
      </c>
      <c r="Z461">
        <v>10.210000000000001</v>
      </c>
      <c r="AA461">
        <v>14.96</v>
      </c>
      <c r="AB461">
        <v>237391</v>
      </c>
      <c r="AC461">
        <v>180301</v>
      </c>
      <c r="AD461">
        <v>1.32</v>
      </c>
      <c r="AE461">
        <v>0</v>
      </c>
      <c r="AF461">
        <v>7748</v>
      </c>
      <c r="AG461" t="s">
        <v>120</v>
      </c>
      <c r="AH461">
        <v>0.04</v>
      </c>
      <c r="AI461">
        <v>0.02</v>
      </c>
      <c r="AJ461">
        <v>4.2300000000000004</v>
      </c>
      <c r="AK461" t="s">
        <v>3002</v>
      </c>
      <c r="AL461">
        <v>-8.11</v>
      </c>
      <c r="AM461">
        <v>4232</v>
      </c>
      <c r="AN461">
        <v>99</v>
      </c>
      <c r="AO461">
        <v>2.3E-3</v>
      </c>
      <c r="AP461">
        <v>-2</v>
      </c>
      <c r="AQ461">
        <v>-0.99</v>
      </c>
      <c r="AR461">
        <v>-6.38</v>
      </c>
      <c r="AS461">
        <v>12.44</v>
      </c>
      <c r="AT461">
        <v>25.06</v>
      </c>
      <c r="AU461">
        <v>27.17</v>
      </c>
      <c r="AV461">
        <v>6</v>
      </c>
      <c r="AW461">
        <v>16.36</v>
      </c>
      <c r="AX461">
        <v>60.31</v>
      </c>
      <c r="AY461">
        <v>19.32</v>
      </c>
      <c r="AZ461">
        <v>26.57</v>
      </c>
      <c r="BA461">
        <v>0.92</v>
      </c>
      <c r="BB461" t="s">
        <v>143</v>
      </c>
      <c r="BF461">
        <v>-6.34</v>
      </c>
      <c r="BG461">
        <v>-9.34</v>
      </c>
      <c r="BH461">
        <v>-10.19</v>
      </c>
      <c r="BI461">
        <v>0</v>
      </c>
      <c r="BJ461">
        <v>20210824</v>
      </c>
      <c r="BK461">
        <v>20040727</v>
      </c>
      <c r="BL461">
        <v>4.2300000000000004</v>
      </c>
      <c r="BM461" t="s">
        <v>120</v>
      </c>
      <c r="BN461" t="s">
        <v>120</v>
      </c>
      <c r="BO461">
        <v>38.049999999999997</v>
      </c>
      <c r="BP461" t="s">
        <v>120</v>
      </c>
      <c r="BQ461">
        <v>27.15</v>
      </c>
      <c r="BR461">
        <v>0.05</v>
      </c>
      <c r="BS461">
        <v>28.52</v>
      </c>
      <c r="BT461">
        <v>26.57</v>
      </c>
      <c r="BU461">
        <v>5.0199999999999996</v>
      </c>
      <c r="BV461">
        <v>1.33</v>
      </c>
      <c r="BW461">
        <v>8.36</v>
      </c>
      <c r="BX461">
        <v>11.6</v>
      </c>
      <c r="BY461">
        <v>5.88</v>
      </c>
      <c r="BZ461">
        <v>6.68</v>
      </c>
      <c r="CA461">
        <v>0.01</v>
      </c>
      <c r="CB461">
        <v>12.79</v>
      </c>
      <c r="CC461">
        <v>13.91</v>
      </c>
      <c r="CD461">
        <v>10.56</v>
      </c>
      <c r="CE461">
        <v>2.1</v>
      </c>
      <c r="CF461">
        <v>0.22</v>
      </c>
      <c r="CG461">
        <v>2.1</v>
      </c>
      <c r="CH461">
        <v>1.79</v>
      </c>
      <c r="CI461">
        <v>1.78</v>
      </c>
      <c r="CJ461">
        <v>-1.6</v>
      </c>
      <c r="CK461">
        <v>1.66</v>
      </c>
      <c r="CL461">
        <v>8.7100000000000009</v>
      </c>
      <c r="CM461">
        <v>0.74</v>
      </c>
      <c r="CN461">
        <v>0.53</v>
      </c>
      <c r="CO461">
        <v>26077</v>
      </c>
      <c r="CP461">
        <v>9789</v>
      </c>
      <c r="CQ461" t="s">
        <v>3003</v>
      </c>
      <c r="CR461">
        <v>115.31</v>
      </c>
      <c r="CS461">
        <v>76.489999999999995</v>
      </c>
      <c r="CT461">
        <v>2.2400000000000002</v>
      </c>
      <c r="CU461">
        <v>81.760000000000005</v>
      </c>
      <c r="CV461">
        <v>4.37</v>
      </c>
      <c r="CW461">
        <v>0.63</v>
      </c>
      <c r="CX461" t="s">
        <v>1327</v>
      </c>
      <c r="CY461">
        <v>6.41</v>
      </c>
      <c r="CZ461">
        <v>0</v>
      </c>
      <c r="DA461">
        <v>3.02</v>
      </c>
      <c r="DB461">
        <v>2.06</v>
      </c>
      <c r="DC461">
        <v>0.18</v>
      </c>
      <c r="DD461">
        <v>71.34</v>
      </c>
      <c r="DE461" t="s">
        <v>3004</v>
      </c>
      <c r="DF461">
        <v>24.08</v>
      </c>
      <c r="DG461">
        <v>15.1</v>
      </c>
      <c r="DH461">
        <v>12.8</v>
      </c>
      <c r="DI461">
        <v>0.75</v>
      </c>
      <c r="DJ461">
        <v>2957</v>
      </c>
      <c r="DK461">
        <v>2026</v>
      </c>
      <c r="DL461" t="s">
        <v>120</v>
      </c>
      <c r="DM461" t="s">
        <v>120</v>
      </c>
      <c r="DN461" t="s">
        <v>120</v>
      </c>
    </row>
    <row r="462" spans="1:118">
      <c r="A462" t="str">
        <f>"002027"</f>
        <v>002027</v>
      </c>
      <c r="B462" t="s">
        <v>3005</v>
      </c>
      <c r="C462">
        <v>-0.28000000000000003</v>
      </c>
      <c r="D462">
        <v>-0.27</v>
      </c>
      <c r="E462">
        <v>0.14000000000000001</v>
      </c>
      <c r="F462">
        <v>44708</v>
      </c>
      <c r="G462" t="s">
        <v>3006</v>
      </c>
      <c r="H462">
        <v>76078.17</v>
      </c>
      <c r="I462">
        <v>244.08</v>
      </c>
      <c r="J462" t="s">
        <v>120</v>
      </c>
      <c r="K462" t="s">
        <v>3007</v>
      </c>
      <c r="L462">
        <v>0.72</v>
      </c>
      <c r="M462">
        <v>7.17</v>
      </c>
      <c r="N462">
        <v>0.8</v>
      </c>
      <c r="O462">
        <v>1.39</v>
      </c>
      <c r="P462">
        <v>7.29</v>
      </c>
      <c r="Q462">
        <v>-0.42</v>
      </c>
      <c r="R462">
        <v>7.16</v>
      </c>
      <c r="S462">
        <v>7.2</v>
      </c>
      <c r="T462">
        <v>1053759</v>
      </c>
      <c r="U462">
        <v>7.17</v>
      </c>
      <c r="V462">
        <v>7.19</v>
      </c>
      <c r="W462">
        <v>18.14</v>
      </c>
      <c r="X462" t="s">
        <v>584</v>
      </c>
      <c r="Y462" t="s">
        <v>547</v>
      </c>
      <c r="Z462">
        <v>1.81</v>
      </c>
      <c r="AA462">
        <v>7.22</v>
      </c>
      <c r="AB462">
        <v>437955</v>
      </c>
      <c r="AC462">
        <v>615804</v>
      </c>
      <c r="AD462">
        <v>0.71</v>
      </c>
      <c r="AE462">
        <v>9120</v>
      </c>
      <c r="AF462">
        <v>1301</v>
      </c>
      <c r="AG462" t="s">
        <v>120</v>
      </c>
      <c r="AH462">
        <v>0</v>
      </c>
      <c r="AI462" t="s">
        <v>120</v>
      </c>
      <c r="AJ462">
        <v>146.78</v>
      </c>
      <c r="AK462" t="s">
        <v>3007</v>
      </c>
      <c r="AL462">
        <v>1.64</v>
      </c>
      <c r="AM462">
        <v>4506</v>
      </c>
      <c r="AN462">
        <v>234</v>
      </c>
      <c r="AO462">
        <v>2.0000000000000001E-4</v>
      </c>
      <c r="AP462">
        <v>-4</v>
      </c>
      <c r="AQ462">
        <v>-0.83</v>
      </c>
      <c r="AR462">
        <v>-2.97</v>
      </c>
      <c r="AS462">
        <v>-3.24</v>
      </c>
      <c r="AT462">
        <v>-18.850000000000001</v>
      </c>
      <c r="AU462">
        <v>-26.5</v>
      </c>
      <c r="AV462">
        <v>1</v>
      </c>
      <c r="AW462">
        <v>1.06</v>
      </c>
      <c r="AX462">
        <v>67.92</v>
      </c>
      <c r="AY462">
        <v>17.36</v>
      </c>
      <c r="AZ462">
        <v>26.36</v>
      </c>
      <c r="BA462">
        <v>1.42</v>
      </c>
      <c r="BB462" t="s">
        <v>125</v>
      </c>
      <c r="BF462">
        <v>0.41</v>
      </c>
      <c r="BG462">
        <v>-0.42</v>
      </c>
      <c r="BH462">
        <v>-1.65</v>
      </c>
      <c r="BI462">
        <v>0.14000000000000001</v>
      </c>
      <c r="BJ462">
        <v>20210826</v>
      </c>
      <c r="BK462">
        <v>20040804</v>
      </c>
      <c r="BL462">
        <v>146.78</v>
      </c>
      <c r="BM462" t="s">
        <v>120</v>
      </c>
      <c r="BN462" t="s">
        <v>120</v>
      </c>
      <c r="BO462">
        <v>264.66000000000003</v>
      </c>
      <c r="BP462">
        <v>7.16</v>
      </c>
      <c r="BQ462">
        <v>184.21</v>
      </c>
      <c r="BR462">
        <v>2.68</v>
      </c>
      <c r="BS462">
        <v>29.39</v>
      </c>
      <c r="BT462">
        <v>125.05</v>
      </c>
      <c r="BU462">
        <v>9.56</v>
      </c>
      <c r="BV462">
        <v>0.18</v>
      </c>
      <c r="BW462">
        <v>67.349999999999994</v>
      </c>
      <c r="BX462">
        <v>55.53</v>
      </c>
      <c r="BY462">
        <v>0.16</v>
      </c>
      <c r="BZ462">
        <v>32.9</v>
      </c>
      <c r="CA462" t="s">
        <v>120</v>
      </c>
      <c r="CB462">
        <v>4.1900000000000004</v>
      </c>
      <c r="CC462">
        <v>73.27</v>
      </c>
      <c r="CD462">
        <v>25</v>
      </c>
      <c r="CE462">
        <v>36.619999999999997</v>
      </c>
      <c r="CF462">
        <v>2.4</v>
      </c>
      <c r="CG462">
        <v>36.6</v>
      </c>
      <c r="CH462">
        <v>29.15</v>
      </c>
      <c r="CI462">
        <v>29</v>
      </c>
      <c r="CJ462">
        <v>-0.02</v>
      </c>
      <c r="CK462">
        <v>25.92</v>
      </c>
      <c r="CL462">
        <v>188.45</v>
      </c>
      <c r="CM462">
        <v>40.36</v>
      </c>
      <c r="CN462">
        <v>8.8800000000000008</v>
      </c>
      <c r="CO462">
        <v>209901</v>
      </c>
      <c r="CP462">
        <v>47493</v>
      </c>
      <c r="CQ462" t="s">
        <v>3008</v>
      </c>
      <c r="CR462">
        <v>252.23</v>
      </c>
      <c r="CS462">
        <v>58.9</v>
      </c>
      <c r="CT462">
        <v>5.71</v>
      </c>
      <c r="CU462">
        <v>26.07</v>
      </c>
      <c r="CV462">
        <v>14.36</v>
      </c>
      <c r="CW462">
        <v>4.42</v>
      </c>
      <c r="CX462" t="s">
        <v>492</v>
      </c>
      <c r="CY462">
        <v>1.26</v>
      </c>
      <c r="CZ462">
        <v>0</v>
      </c>
      <c r="DA462">
        <v>0.03</v>
      </c>
      <c r="DB462">
        <v>1.28</v>
      </c>
      <c r="DC462">
        <v>0.28000000000000003</v>
      </c>
      <c r="DD462">
        <v>69.599999999999994</v>
      </c>
      <c r="DE462" t="s">
        <v>3009</v>
      </c>
      <c r="DF462">
        <v>65.88</v>
      </c>
      <c r="DG462">
        <v>49.99</v>
      </c>
      <c r="DH462">
        <v>39.58</v>
      </c>
      <c r="DI462">
        <v>0.49</v>
      </c>
      <c r="DJ462">
        <v>6779</v>
      </c>
      <c r="DK462">
        <v>2027</v>
      </c>
      <c r="DL462" t="s">
        <v>120</v>
      </c>
      <c r="DM462" t="s">
        <v>120</v>
      </c>
      <c r="DN462" t="s">
        <v>120</v>
      </c>
    </row>
    <row r="463" spans="1:118">
      <c r="A463" t="str">
        <f>"002028"</f>
        <v>002028</v>
      </c>
      <c r="B463" t="s">
        <v>3010</v>
      </c>
      <c r="C463">
        <v>-3.97</v>
      </c>
      <c r="D463">
        <v>0.05</v>
      </c>
      <c r="E463">
        <v>-1.77</v>
      </c>
      <c r="F463">
        <v>1655</v>
      </c>
      <c r="G463" t="s">
        <v>3011</v>
      </c>
      <c r="H463">
        <v>46645.33</v>
      </c>
      <c r="I463">
        <v>183.14</v>
      </c>
      <c r="J463" t="s">
        <v>120</v>
      </c>
      <c r="K463" t="s">
        <v>3012</v>
      </c>
      <c r="L463">
        <v>2.0499999999999998</v>
      </c>
      <c r="M463">
        <v>37.93</v>
      </c>
      <c r="N463">
        <v>0.79</v>
      </c>
      <c r="O463">
        <v>0.15</v>
      </c>
      <c r="P463">
        <v>39.56</v>
      </c>
      <c r="Q463">
        <v>-4.1500000000000004</v>
      </c>
      <c r="R463">
        <v>37.86</v>
      </c>
      <c r="S463">
        <v>38.799999999999997</v>
      </c>
      <c r="T463">
        <v>121009</v>
      </c>
      <c r="U463">
        <v>37.93</v>
      </c>
      <c r="V463">
        <v>39.5</v>
      </c>
      <c r="W463">
        <v>25.41</v>
      </c>
      <c r="X463" t="s">
        <v>394</v>
      </c>
      <c r="Y463" t="s">
        <v>1510</v>
      </c>
      <c r="Z463">
        <v>4.3</v>
      </c>
      <c r="AA463">
        <v>38.549999999999997</v>
      </c>
      <c r="AB463">
        <v>67258</v>
      </c>
      <c r="AC463">
        <v>53751</v>
      </c>
      <c r="AD463">
        <v>1.25</v>
      </c>
      <c r="AE463">
        <v>49</v>
      </c>
      <c r="AF463">
        <v>17</v>
      </c>
      <c r="AG463" t="s">
        <v>120</v>
      </c>
      <c r="AH463">
        <v>0.01</v>
      </c>
      <c r="AI463" t="s">
        <v>120</v>
      </c>
      <c r="AJ463">
        <v>5.9</v>
      </c>
      <c r="AK463" t="s">
        <v>3013</v>
      </c>
      <c r="AL463">
        <v>-2.06</v>
      </c>
      <c r="AM463">
        <v>3780</v>
      </c>
      <c r="AN463">
        <v>32</v>
      </c>
      <c r="AO463">
        <v>5.0000000000000001E-4</v>
      </c>
      <c r="AP463">
        <v>-1</v>
      </c>
      <c r="AQ463">
        <v>6.15</v>
      </c>
      <c r="AR463">
        <v>1.28</v>
      </c>
      <c r="AS463">
        <v>27.92</v>
      </c>
      <c r="AT463">
        <v>32.72</v>
      </c>
      <c r="AU463">
        <v>90.98</v>
      </c>
      <c r="AV463">
        <v>2</v>
      </c>
      <c r="AW463">
        <v>2.27</v>
      </c>
      <c r="AX463">
        <v>69.91</v>
      </c>
      <c r="AY463">
        <v>28.94</v>
      </c>
      <c r="AZ463">
        <v>32.299999999999997</v>
      </c>
      <c r="BA463">
        <v>0.41</v>
      </c>
      <c r="BB463" t="s">
        <v>168</v>
      </c>
      <c r="BF463">
        <v>-2.41</v>
      </c>
      <c r="BG463">
        <v>-2.2400000000000002</v>
      </c>
      <c r="BH463">
        <v>-4.12</v>
      </c>
      <c r="BI463">
        <v>0.18</v>
      </c>
      <c r="BJ463">
        <v>20210814</v>
      </c>
      <c r="BK463">
        <v>20040805</v>
      </c>
      <c r="BL463">
        <v>7.63</v>
      </c>
      <c r="BM463" t="s">
        <v>120</v>
      </c>
      <c r="BN463" t="s">
        <v>120</v>
      </c>
      <c r="BO463">
        <v>112.01</v>
      </c>
      <c r="BP463">
        <v>37.92</v>
      </c>
      <c r="BQ463">
        <v>69.59</v>
      </c>
      <c r="BR463">
        <v>2.02</v>
      </c>
      <c r="BS463">
        <v>36.07</v>
      </c>
      <c r="BT463">
        <v>79.36</v>
      </c>
      <c r="BU463">
        <v>4.93</v>
      </c>
      <c r="BV463">
        <v>2.75</v>
      </c>
      <c r="BW463">
        <v>38.61</v>
      </c>
      <c r="BX463">
        <v>11.23</v>
      </c>
      <c r="BY463">
        <v>20.72</v>
      </c>
      <c r="BZ463">
        <v>26.18</v>
      </c>
      <c r="CA463" t="s">
        <v>120</v>
      </c>
      <c r="CB463">
        <v>1.48</v>
      </c>
      <c r="CC463">
        <v>38.4</v>
      </c>
      <c r="CD463">
        <v>26.44</v>
      </c>
      <c r="CE463">
        <v>6.99</v>
      </c>
      <c r="CF463">
        <v>0.03</v>
      </c>
      <c r="CG463">
        <v>7</v>
      </c>
      <c r="CH463">
        <v>6.07</v>
      </c>
      <c r="CI463">
        <v>5.7</v>
      </c>
      <c r="CJ463">
        <v>-1.57</v>
      </c>
      <c r="CK463">
        <v>5.43</v>
      </c>
      <c r="CL463">
        <v>51.4</v>
      </c>
      <c r="CM463">
        <v>-4.79</v>
      </c>
      <c r="CN463">
        <v>-11.13</v>
      </c>
      <c r="CO463">
        <v>36201</v>
      </c>
      <c r="CP463">
        <v>14738</v>
      </c>
      <c r="CQ463" t="s">
        <v>3014</v>
      </c>
      <c r="CR463">
        <v>23.54</v>
      </c>
      <c r="CS463">
        <v>31.01</v>
      </c>
      <c r="CT463">
        <v>4.16</v>
      </c>
      <c r="CU463">
        <v>-60.42</v>
      </c>
      <c r="CV463">
        <v>7.54</v>
      </c>
      <c r="CW463">
        <v>0.51</v>
      </c>
      <c r="CX463" t="s">
        <v>3015</v>
      </c>
      <c r="CY463">
        <v>9.1199999999999992</v>
      </c>
      <c r="CZ463">
        <v>0</v>
      </c>
      <c r="DA463">
        <v>0.19</v>
      </c>
      <c r="DB463">
        <v>6.73</v>
      </c>
      <c r="DC463">
        <v>-0.63</v>
      </c>
      <c r="DD463">
        <v>62.13</v>
      </c>
      <c r="DE463" t="s">
        <v>3016</v>
      </c>
      <c r="DF463">
        <v>31.14</v>
      </c>
      <c r="DG463">
        <v>18.2</v>
      </c>
      <c r="DH463">
        <v>14.83</v>
      </c>
      <c r="DI463">
        <v>1.95</v>
      </c>
      <c r="DJ463">
        <v>5602</v>
      </c>
      <c r="DK463">
        <v>2028</v>
      </c>
      <c r="DL463" t="s">
        <v>120</v>
      </c>
      <c r="DM463" t="s">
        <v>120</v>
      </c>
      <c r="DN463" t="s">
        <v>120</v>
      </c>
    </row>
    <row r="464" spans="1:118">
      <c r="A464" t="str">
        <f>"002029"</f>
        <v>002029</v>
      </c>
      <c r="B464" t="s">
        <v>3017</v>
      </c>
      <c r="C464">
        <v>0.8</v>
      </c>
      <c r="D464">
        <v>0.16</v>
      </c>
      <c r="E464">
        <v>1.1100000000000001</v>
      </c>
      <c r="F464">
        <v>595</v>
      </c>
      <c r="G464" t="s">
        <v>2240</v>
      </c>
      <c r="H464">
        <v>3997.63</v>
      </c>
      <c r="I464">
        <v>47.69</v>
      </c>
      <c r="J464" t="s">
        <v>120</v>
      </c>
      <c r="K464" t="s">
        <v>3018</v>
      </c>
      <c r="L464">
        <v>0.87</v>
      </c>
      <c r="M464">
        <v>6.33</v>
      </c>
      <c r="N464">
        <v>1.17</v>
      </c>
      <c r="O464">
        <v>3.03</v>
      </c>
      <c r="P464">
        <v>6.47</v>
      </c>
      <c r="Q464">
        <v>-0.48</v>
      </c>
      <c r="R464">
        <v>6.25</v>
      </c>
      <c r="S464">
        <v>6.35</v>
      </c>
      <c r="T464">
        <v>62724</v>
      </c>
      <c r="U464">
        <v>6.33</v>
      </c>
      <c r="V464">
        <v>6.28</v>
      </c>
      <c r="W464">
        <v>28.92</v>
      </c>
      <c r="X464" t="s">
        <v>2806</v>
      </c>
      <c r="Y464" t="s">
        <v>937</v>
      </c>
      <c r="Z464">
        <v>3.5</v>
      </c>
      <c r="AA464">
        <v>6.37</v>
      </c>
      <c r="AB464">
        <v>27428</v>
      </c>
      <c r="AC464">
        <v>35296</v>
      </c>
      <c r="AD464">
        <v>0.78</v>
      </c>
      <c r="AE464">
        <v>106</v>
      </c>
      <c r="AF464">
        <v>57</v>
      </c>
      <c r="AG464" t="s">
        <v>120</v>
      </c>
      <c r="AH464">
        <v>0.02</v>
      </c>
      <c r="AI464" t="s">
        <v>120</v>
      </c>
      <c r="AJ464">
        <v>7.24</v>
      </c>
      <c r="AK464" t="s">
        <v>3019</v>
      </c>
      <c r="AL464">
        <v>2.71</v>
      </c>
      <c r="AM464">
        <v>1553</v>
      </c>
      <c r="AN464">
        <v>40</v>
      </c>
      <c r="AO464">
        <v>5.9999999999999995E-4</v>
      </c>
      <c r="AP464">
        <v>2</v>
      </c>
      <c r="AQ464">
        <v>0.48</v>
      </c>
      <c r="AR464">
        <v>-1.0900000000000001</v>
      </c>
      <c r="AS464">
        <v>4.1100000000000003</v>
      </c>
      <c r="AT464">
        <v>2.2599999999999998</v>
      </c>
      <c r="AU464">
        <v>22.91</v>
      </c>
      <c r="AV464">
        <v>0</v>
      </c>
      <c r="AW464">
        <v>1.35</v>
      </c>
      <c r="AX464">
        <v>61.48</v>
      </c>
      <c r="AY464">
        <v>17.75</v>
      </c>
      <c r="AZ464">
        <v>22.71</v>
      </c>
      <c r="BA464">
        <v>0.33</v>
      </c>
      <c r="BB464" t="s">
        <v>143</v>
      </c>
      <c r="BF464">
        <v>1.49</v>
      </c>
      <c r="BG464">
        <v>-0.31</v>
      </c>
      <c r="BH464">
        <v>-2.16</v>
      </c>
      <c r="BI464">
        <v>1.28</v>
      </c>
      <c r="BJ464">
        <v>20210821</v>
      </c>
      <c r="BK464">
        <v>20040806</v>
      </c>
      <c r="BL464">
        <v>7.56</v>
      </c>
      <c r="BM464" t="s">
        <v>120</v>
      </c>
      <c r="BN464" t="s">
        <v>120</v>
      </c>
      <c r="BO464">
        <v>94.79</v>
      </c>
      <c r="BP464">
        <v>6.32</v>
      </c>
      <c r="BQ464">
        <v>58.75</v>
      </c>
      <c r="BR464">
        <v>0.98</v>
      </c>
      <c r="BS464">
        <v>36.99</v>
      </c>
      <c r="BT464">
        <v>37.11</v>
      </c>
      <c r="BU464">
        <v>3.55</v>
      </c>
      <c r="BV464">
        <v>3.54</v>
      </c>
      <c r="BW464">
        <v>34.020000000000003</v>
      </c>
      <c r="BX464">
        <v>11.59</v>
      </c>
      <c r="BY464">
        <v>9.76</v>
      </c>
      <c r="BZ464">
        <v>2.58</v>
      </c>
      <c r="CA464">
        <v>0.05</v>
      </c>
      <c r="CB464">
        <v>18.920000000000002</v>
      </c>
      <c r="CC464">
        <v>15.42</v>
      </c>
      <c r="CD464">
        <v>8.93</v>
      </c>
      <c r="CE464">
        <v>1.1100000000000001</v>
      </c>
      <c r="CF464">
        <v>0.11</v>
      </c>
      <c r="CG464">
        <v>1.1200000000000001</v>
      </c>
      <c r="CH464">
        <v>1.01</v>
      </c>
      <c r="CI464">
        <v>0.83</v>
      </c>
      <c r="CJ464">
        <v>0.05</v>
      </c>
      <c r="CK464">
        <v>0.82</v>
      </c>
      <c r="CL464">
        <v>27.07</v>
      </c>
      <c r="CM464">
        <v>0.23</v>
      </c>
      <c r="CN464">
        <v>-0.47</v>
      </c>
      <c r="CO464">
        <v>33483</v>
      </c>
      <c r="CP464">
        <v>13875</v>
      </c>
      <c r="CQ464" t="s">
        <v>3020</v>
      </c>
      <c r="CR464">
        <v>241.15</v>
      </c>
      <c r="CS464">
        <v>13.88</v>
      </c>
      <c r="CT464">
        <v>0.81</v>
      </c>
      <c r="CU464">
        <v>207.87</v>
      </c>
      <c r="CV464">
        <v>3.1</v>
      </c>
      <c r="CW464">
        <v>1.49</v>
      </c>
      <c r="CX464" t="s">
        <v>1147</v>
      </c>
      <c r="CY464">
        <v>7.77</v>
      </c>
      <c r="CZ464">
        <v>0</v>
      </c>
      <c r="DA464">
        <v>2.5</v>
      </c>
      <c r="DB464">
        <v>3.58</v>
      </c>
      <c r="DC464">
        <v>0.03</v>
      </c>
      <c r="DD464">
        <v>61.98</v>
      </c>
      <c r="DE464" t="s">
        <v>2092</v>
      </c>
      <c r="DF464">
        <v>42.09</v>
      </c>
      <c r="DG464">
        <v>7.17</v>
      </c>
      <c r="DH464">
        <v>5.36</v>
      </c>
      <c r="DI464">
        <v>0.35</v>
      </c>
      <c r="DJ464">
        <v>2561</v>
      </c>
      <c r="DK464">
        <v>2029</v>
      </c>
      <c r="DL464" t="s">
        <v>120</v>
      </c>
      <c r="DM464" t="s">
        <v>120</v>
      </c>
      <c r="DN464" t="s">
        <v>120</v>
      </c>
    </row>
    <row r="465" spans="1:118">
      <c r="A465" t="str">
        <f>"002030"</f>
        <v>002030</v>
      </c>
      <c r="B465" t="s">
        <v>3021</v>
      </c>
      <c r="C465">
        <v>-3.25</v>
      </c>
      <c r="D465">
        <v>0</v>
      </c>
      <c r="E465">
        <v>-0.25</v>
      </c>
      <c r="F465">
        <v>3393</v>
      </c>
      <c r="G465" t="s">
        <v>3022</v>
      </c>
      <c r="H465">
        <v>46132.6</v>
      </c>
      <c r="I465">
        <v>277.74</v>
      </c>
      <c r="J465" t="s">
        <v>120</v>
      </c>
      <c r="K465" t="s">
        <v>3023</v>
      </c>
      <c r="L465">
        <v>1.73</v>
      </c>
      <c r="M465">
        <v>19.079999999999998</v>
      </c>
      <c r="N465">
        <v>0.83</v>
      </c>
      <c r="O465">
        <v>-0.2</v>
      </c>
      <c r="P465">
        <v>19.68</v>
      </c>
      <c r="Q465">
        <v>-3.3</v>
      </c>
      <c r="R465">
        <v>19.07</v>
      </c>
      <c r="S465">
        <v>19.670000000000002</v>
      </c>
      <c r="T465">
        <v>237768</v>
      </c>
      <c r="U465">
        <v>19.09</v>
      </c>
      <c r="V465">
        <v>19.72</v>
      </c>
      <c r="W465">
        <v>8.3800000000000008</v>
      </c>
      <c r="X465" t="s">
        <v>666</v>
      </c>
      <c r="Y465" t="s">
        <v>547</v>
      </c>
      <c r="Z465">
        <v>3.09</v>
      </c>
      <c r="AA465">
        <v>19.399999999999999</v>
      </c>
      <c r="AB465">
        <v>140636</v>
      </c>
      <c r="AC465">
        <v>97132</v>
      </c>
      <c r="AD465">
        <v>1.45</v>
      </c>
      <c r="AE465">
        <v>549</v>
      </c>
      <c r="AF465">
        <v>366</v>
      </c>
      <c r="AG465" t="s">
        <v>120</v>
      </c>
      <c r="AH465">
        <v>0.02</v>
      </c>
      <c r="AI465" t="s">
        <v>120</v>
      </c>
      <c r="AJ465">
        <v>13.71</v>
      </c>
      <c r="AK465" t="s">
        <v>3024</v>
      </c>
      <c r="AL465">
        <v>-1.33</v>
      </c>
      <c r="AM465">
        <v>4082</v>
      </c>
      <c r="AN465">
        <v>58</v>
      </c>
      <c r="AO465">
        <v>4.0000000000000002E-4</v>
      </c>
      <c r="AP465">
        <v>-2</v>
      </c>
      <c r="AQ465">
        <v>-2.33</v>
      </c>
      <c r="AR465">
        <v>-4.74</v>
      </c>
      <c r="AS465">
        <v>-3.58</v>
      </c>
      <c r="AT465">
        <v>-10.039999999999999</v>
      </c>
      <c r="AU465">
        <v>-9.5399999999999991</v>
      </c>
      <c r="AV465">
        <v>4</v>
      </c>
      <c r="AW465">
        <v>2.56</v>
      </c>
      <c r="AX465">
        <v>66.069999999999993</v>
      </c>
      <c r="AY465">
        <v>8.4700000000000006</v>
      </c>
      <c r="AZ465">
        <v>11.3</v>
      </c>
      <c r="BA465">
        <v>0.82</v>
      </c>
      <c r="BB465" t="s">
        <v>143</v>
      </c>
      <c r="BF465">
        <v>-1.61</v>
      </c>
      <c r="BG465">
        <v>-3</v>
      </c>
      <c r="BH465">
        <v>-3.05</v>
      </c>
      <c r="BI465">
        <v>0.05</v>
      </c>
      <c r="BJ465">
        <v>20210902</v>
      </c>
      <c r="BK465">
        <v>20040809</v>
      </c>
      <c r="BL465">
        <v>14.03</v>
      </c>
      <c r="BM465" t="s">
        <v>120</v>
      </c>
      <c r="BN465" t="s">
        <v>120</v>
      </c>
      <c r="BO465">
        <v>77.72</v>
      </c>
      <c r="BP465">
        <v>19.079999999999998</v>
      </c>
      <c r="BQ465">
        <v>53.82</v>
      </c>
      <c r="BR465">
        <v>2.4300000000000002</v>
      </c>
      <c r="BS465">
        <v>27.63</v>
      </c>
      <c r="BT465">
        <v>51.53</v>
      </c>
      <c r="BU465">
        <v>4.42</v>
      </c>
      <c r="BV465">
        <v>1.02</v>
      </c>
      <c r="BW465">
        <v>19.440000000000001</v>
      </c>
      <c r="BX465">
        <v>18.23</v>
      </c>
      <c r="BY465">
        <v>4.6500000000000004</v>
      </c>
      <c r="BZ465">
        <v>19.309999999999999</v>
      </c>
      <c r="CA465" t="s">
        <v>120</v>
      </c>
      <c r="CB465">
        <v>6.72</v>
      </c>
      <c r="CC465">
        <v>34.83</v>
      </c>
      <c r="CD465">
        <v>8.9600000000000009</v>
      </c>
      <c r="CE465">
        <v>18.579999999999998</v>
      </c>
      <c r="CF465">
        <v>1.03</v>
      </c>
      <c r="CG465">
        <v>18.57</v>
      </c>
      <c r="CH465">
        <v>16.059999999999999</v>
      </c>
      <c r="CI465">
        <v>15.98</v>
      </c>
      <c r="CJ465">
        <v>-0.64</v>
      </c>
      <c r="CK465">
        <v>15.5</v>
      </c>
      <c r="CL465">
        <v>29.49</v>
      </c>
      <c r="CM465">
        <v>10.83</v>
      </c>
      <c r="CN465">
        <v>9.52</v>
      </c>
      <c r="CO465">
        <v>220000</v>
      </c>
      <c r="CP465">
        <v>4215</v>
      </c>
      <c r="CQ465" t="s">
        <v>3025</v>
      </c>
      <c r="CR465">
        <v>105.25</v>
      </c>
      <c r="CS465">
        <v>63.31</v>
      </c>
      <c r="CT465">
        <v>4.9800000000000004</v>
      </c>
      <c r="CU465">
        <v>24.72</v>
      </c>
      <c r="CV465">
        <v>7.69</v>
      </c>
      <c r="CW465">
        <v>1.74</v>
      </c>
      <c r="CX465" t="s">
        <v>3026</v>
      </c>
      <c r="CY465">
        <v>3.83</v>
      </c>
      <c r="CZ465">
        <v>0</v>
      </c>
      <c r="DA465">
        <v>0.48</v>
      </c>
      <c r="DB465">
        <v>2.1</v>
      </c>
      <c r="DC465">
        <v>0.77</v>
      </c>
      <c r="DD465">
        <v>69.25</v>
      </c>
      <c r="DE465" t="s">
        <v>3027</v>
      </c>
      <c r="DF465">
        <v>74.28</v>
      </c>
      <c r="DG465">
        <v>53.35</v>
      </c>
      <c r="DH465">
        <v>45.88</v>
      </c>
      <c r="DI465">
        <v>1.83</v>
      </c>
      <c r="DJ465">
        <v>1573</v>
      </c>
      <c r="DK465">
        <v>2030</v>
      </c>
      <c r="DL465" t="s">
        <v>120</v>
      </c>
      <c r="DM465" t="s">
        <v>120</v>
      </c>
      <c r="DN465" t="s">
        <v>120</v>
      </c>
    </row>
    <row r="466" spans="1:118">
      <c r="A466" t="str">
        <f>"002031"</f>
        <v>002031</v>
      </c>
      <c r="B466" t="s">
        <v>3028</v>
      </c>
      <c r="C466">
        <v>1.38</v>
      </c>
      <c r="D466">
        <v>0.46</v>
      </c>
      <c r="E466">
        <v>0</v>
      </c>
      <c r="F466">
        <v>2098</v>
      </c>
      <c r="G466" t="s">
        <v>3029</v>
      </c>
      <c r="H466">
        <v>16332.42</v>
      </c>
      <c r="I466">
        <v>55.47</v>
      </c>
      <c r="J466" t="s">
        <v>120</v>
      </c>
      <c r="K466" t="s">
        <v>3030</v>
      </c>
      <c r="L466">
        <v>3.94</v>
      </c>
      <c r="M466">
        <v>2.2000000000000002</v>
      </c>
      <c r="N466">
        <v>1.69</v>
      </c>
      <c r="O466">
        <v>4.6100000000000003</v>
      </c>
      <c r="P466">
        <v>2.27</v>
      </c>
      <c r="Q466">
        <v>-0.46</v>
      </c>
      <c r="R466">
        <v>2.16</v>
      </c>
      <c r="S466">
        <v>2.17</v>
      </c>
      <c r="T466">
        <v>733029</v>
      </c>
      <c r="U466">
        <v>2.2000000000000002</v>
      </c>
      <c r="V466">
        <v>2.17</v>
      </c>
      <c r="W466">
        <v>981.2</v>
      </c>
      <c r="X466" t="s">
        <v>289</v>
      </c>
      <c r="Y466" t="s">
        <v>547</v>
      </c>
      <c r="Z466">
        <v>5.07</v>
      </c>
      <c r="AA466">
        <v>2.23</v>
      </c>
      <c r="AB466">
        <v>281390</v>
      </c>
      <c r="AC466">
        <v>451639</v>
      </c>
      <c r="AD466">
        <v>0.62</v>
      </c>
      <c r="AE466">
        <v>6343</v>
      </c>
      <c r="AF466">
        <v>247</v>
      </c>
      <c r="AG466" t="s">
        <v>120</v>
      </c>
      <c r="AH466">
        <v>0.02</v>
      </c>
      <c r="AI466" t="s">
        <v>120</v>
      </c>
      <c r="AJ466">
        <v>18.61</v>
      </c>
      <c r="AK466" t="s">
        <v>3031</v>
      </c>
      <c r="AL466">
        <v>3.3</v>
      </c>
      <c r="AM466">
        <v>2774</v>
      </c>
      <c r="AN466">
        <v>264</v>
      </c>
      <c r="AO466">
        <v>1.4E-3</v>
      </c>
      <c r="AP466">
        <v>2</v>
      </c>
      <c r="AQ466">
        <v>2.36</v>
      </c>
      <c r="AR466">
        <v>0.45</v>
      </c>
      <c r="AS466">
        <v>1.38</v>
      </c>
      <c r="AT466">
        <v>21.55</v>
      </c>
      <c r="AU466">
        <v>11.12</v>
      </c>
      <c r="AV466">
        <v>1</v>
      </c>
      <c r="AW466">
        <v>4.54</v>
      </c>
      <c r="AX466">
        <v>73.459999999999994</v>
      </c>
      <c r="AY466" t="s">
        <v>120</v>
      </c>
      <c r="AZ466" t="s">
        <v>120</v>
      </c>
      <c r="BA466">
        <v>0.4</v>
      </c>
      <c r="BB466" t="s">
        <v>143</v>
      </c>
      <c r="BF466">
        <v>2.68</v>
      </c>
      <c r="BG466">
        <v>1.38</v>
      </c>
      <c r="BH466">
        <v>-3.08</v>
      </c>
      <c r="BI466">
        <v>1.85</v>
      </c>
      <c r="BJ466">
        <v>20210826</v>
      </c>
      <c r="BK466">
        <v>20040816</v>
      </c>
      <c r="BL466">
        <v>21.99</v>
      </c>
      <c r="BM466" t="s">
        <v>120</v>
      </c>
      <c r="BN466" t="s">
        <v>120</v>
      </c>
      <c r="BO466">
        <v>58.84</v>
      </c>
      <c r="BP466">
        <v>2.19</v>
      </c>
      <c r="BQ466">
        <v>29.04</v>
      </c>
      <c r="BR466">
        <v>5.18</v>
      </c>
      <c r="BS466">
        <v>41.82</v>
      </c>
      <c r="BT466">
        <v>37.57</v>
      </c>
      <c r="BU466">
        <v>10.79</v>
      </c>
      <c r="BV466">
        <v>2.15</v>
      </c>
      <c r="BW466">
        <v>20.059999999999999</v>
      </c>
      <c r="BX466">
        <v>1.79</v>
      </c>
      <c r="BY466">
        <v>7.01</v>
      </c>
      <c r="BZ466">
        <v>3.88</v>
      </c>
      <c r="CA466">
        <v>0.75</v>
      </c>
      <c r="CB466">
        <v>0.4</v>
      </c>
      <c r="CC466">
        <v>11.24</v>
      </c>
      <c r="CD466">
        <v>9.43</v>
      </c>
      <c r="CE466">
        <v>0.41</v>
      </c>
      <c r="CF466">
        <v>0.01</v>
      </c>
      <c r="CG466">
        <v>0.41</v>
      </c>
      <c r="CH466">
        <v>0.3</v>
      </c>
      <c r="CI466">
        <v>0.02</v>
      </c>
      <c r="CJ466">
        <v>0.03</v>
      </c>
      <c r="CK466">
        <v>-7.0000000000000007E-2</v>
      </c>
      <c r="CL466">
        <v>5.18</v>
      </c>
      <c r="CM466">
        <v>1.74</v>
      </c>
      <c r="CN466">
        <v>-0.92</v>
      </c>
      <c r="CO466">
        <v>97084</v>
      </c>
      <c r="CP466">
        <v>16642</v>
      </c>
      <c r="CQ466" t="s">
        <v>3032</v>
      </c>
      <c r="CR466">
        <v>-38</v>
      </c>
      <c r="CS466">
        <v>93.7</v>
      </c>
      <c r="CT466">
        <v>1.67</v>
      </c>
      <c r="CU466">
        <v>27.87</v>
      </c>
      <c r="CV466">
        <v>4.3</v>
      </c>
      <c r="CW466">
        <v>0</v>
      </c>
      <c r="CX466" t="s">
        <v>1415</v>
      </c>
      <c r="CY466">
        <v>1.32</v>
      </c>
      <c r="CZ466">
        <v>0</v>
      </c>
      <c r="DA466">
        <v>0.02</v>
      </c>
      <c r="DB466">
        <v>0.24</v>
      </c>
      <c r="DC466">
        <v>0.08</v>
      </c>
      <c r="DD466">
        <v>49.36</v>
      </c>
      <c r="DE466" t="s">
        <v>3033</v>
      </c>
      <c r="DF466">
        <v>16.07</v>
      </c>
      <c r="DG466">
        <v>3.67</v>
      </c>
      <c r="DH466">
        <v>0.22</v>
      </c>
      <c r="DI466">
        <v>0.3</v>
      </c>
      <c r="DJ466">
        <v>2202</v>
      </c>
      <c r="DK466">
        <v>2031</v>
      </c>
      <c r="DL466" t="s">
        <v>120</v>
      </c>
      <c r="DM466" t="s">
        <v>120</v>
      </c>
      <c r="DN466" t="s">
        <v>120</v>
      </c>
    </row>
    <row r="467" spans="1:118">
      <c r="A467" t="str">
        <f>"002032"</f>
        <v>002032</v>
      </c>
      <c r="B467" t="s">
        <v>3034</v>
      </c>
      <c r="C467">
        <v>-0.48</v>
      </c>
      <c r="D467">
        <v>-0.41</v>
      </c>
      <c r="E467">
        <v>-0.7</v>
      </c>
      <c r="F467">
        <v>532</v>
      </c>
      <c r="G467" t="s">
        <v>3035</v>
      </c>
      <c r="H467">
        <v>11644.77</v>
      </c>
      <c r="I467">
        <v>56.05</v>
      </c>
      <c r="J467" t="s">
        <v>120</v>
      </c>
      <c r="K467" t="s">
        <v>3036</v>
      </c>
      <c r="L467">
        <v>0.43</v>
      </c>
      <c r="M467">
        <v>45.18</v>
      </c>
      <c r="N467">
        <v>1.41</v>
      </c>
      <c r="O467">
        <v>1.1000000000000001</v>
      </c>
      <c r="P467">
        <v>45.9</v>
      </c>
      <c r="Q467">
        <v>-1.92</v>
      </c>
      <c r="R467">
        <v>44.53</v>
      </c>
      <c r="S467">
        <v>45.08</v>
      </c>
      <c r="T467">
        <v>25728</v>
      </c>
      <c r="U467">
        <v>45.3</v>
      </c>
      <c r="V467">
        <v>45.4</v>
      </c>
      <c r="W467">
        <v>21.21</v>
      </c>
      <c r="X467" t="s">
        <v>205</v>
      </c>
      <c r="Y467" t="s">
        <v>585</v>
      </c>
      <c r="Z467">
        <v>3.02</v>
      </c>
      <c r="AA467">
        <v>45.26</v>
      </c>
      <c r="AB467">
        <v>13477</v>
      </c>
      <c r="AC467">
        <v>12251</v>
      </c>
      <c r="AD467">
        <v>1.1000000000000001</v>
      </c>
      <c r="AE467">
        <v>21</v>
      </c>
      <c r="AF467">
        <v>2</v>
      </c>
      <c r="AG467" t="s">
        <v>120</v>
      </c>
      <c r="AH467">
        <v>0.01</v>
      </c>
      <c r="AI467" t="s">
        <v>120</v>
      </c>
      <c r="AJ467">
        <v>6.04</v>
      </c>
      <c r="AK467" t="s">
        <v>3037</v>
      </c>
      <c r="AL467">
        <v>1.43</v>
      </c>
      <c r="AM467">
        <v>2811</v>
      </c>
      <c r="AN467">
        <v>9</v>
      </c>
      <c r="AO467">
        <v>2.0000000000000001E-4</v>
      </c>
      <c r="AP467">
        <v>-4</v>
      </c>
      <c r="AQ467">
        <v>-4.0199999999999996</v>
      </c>
      <c r="AR467">
        <v>-6.56</v>
      </c>
      <c r="AS467">
        <v>-13.18</v>
      </c>
      <c r="AT467">
        <v>-31.8</v>
      </c>
      <c r="AU467">
        <v>-41.1</v>
      </c>
      <c r="AV467">
        <v>0</v>
      </c>
      <c r="AW467">
        <v>1.79</v>
      </c>
      <c r="AX467">
        <v>17.7</v>
      </c>
      <c r="AY467">
        <v>18.04</v>
      </c>
      <c r="AZ467">
        <v>19.989999999999998</v>
      </c>
      <c r="BA467">
        <v>0.79</v>
      </c>
      <c r="BB467" t="s">
        <v>240</v>
      </c>
      <c r="BF467">
        <v>-0.31</v>
      </c>
      <c r="BG467">
        <v>0.22</v>
      </c>
      <c r="BH467">
        <v>-1.57</v>
      </c>
      <c r="BI467">
        <v>1.46</v>
      </c>
      <c r="BJ467">
        <v>20210914</v>
      </c>
      <c r="BK467">
        <v>20040817</v>
      </c>
      <c r="BL467">
        <v>8.1300000000000008</v>
      </c>
      <c r="BM467" t="s">
        <v>120</v>
      </c>
      <c r="BN467" t="s">
        <v>120</v>
      </c>
      <c r="BO467">
        <v>118.79</v>
      </c>
      <c r="BP467">
        <v>45.18</v>
      </c>
      <c r="BQ467">
        <v>67.64</v>
      </c>
      <c r="BR467">
        <v>0.34</v>
      </c>
      <c r="BS467">
        <v>42.77</v>
      </c>
      <c r="BT467">
        <v>94.65</v>
      </c>
      <c r="BU467">
        <v>11.83</v>
      </c>
      <c r="BV467">
        <v>4.5599999999999996</v>
      </c>
      <c r="BW467">
        <v>48.35</v>
      </c>
      <c r="BX467">
        <v>15.02</v>
      </c>
      <c r="BY467">
        <v>19.670000000000002</v>
      </c>
      <c r="BZ467">
        <v>26.68</v>
      </c>
      <c r="CA467" t="s">
        <v>120</v>
      </c>
      <c r="CB467">
        <v>1.17</v>
      </c>
      <c r="CC467">
        <v>104.34</v>
      </c>
      <c r="CD467">
        <v>77.260000000000005</v>
      </c>
      <c r="CE467">
        <v>11.17</v>
      </c>
      <c r="CF467">
        <v>0.53</v>
      </c>
      <c r="CG467">
        <v>11.15</v>
      </c>
      <c r="CH467">
        <v>8.64</v>
      </c>
      <c r="CI467">
        <v>8.66</v>
      </c>
      <c r="CJ467">
        <v>-0.22</v>
      </c>
      <c r="CK467">
        <v>8.6</v>
      </c>
      <c r="CL467">
        <v>60.2</v>
      </c>
      <c r="CM467">
        <v>3</v>
      </c>
      <c r="CN467">
        <v>-6.51</v>
      </c>
      <c r="CO467">
        <v>20259</v>
      </c>
      <c r="CP467">
        <v>7100</v>
      </c>
      <c r="CQ467" t="s">
        <v>3038</v>
      </c>
      <c r="CR467">
        <v>29.87</v>
      </c>
      <c r="CS467">
        <v>27.44</v>
      </c>
      <c r="CT467">
        <v>5.43</v>
      </c>
      <c r="CU467">
        <v>122.24</v>
      </c>
      <c r="CV467">
        <v>3.52</v>
      </c>
      <c r="CW467">
        <v>2.84</v>
      </c>
      <c r="CX467" t="s">
        <v>3039</v>
      </c>
      <c r="CY467">
        <v>8.32</v>
      </c>
      <c r="CZ467">
        <v>0</v>
      </c>
      <c r="DA467">
        <v>0.14000000000000001</v>
      </c>
      <c r="DB467">
        <v>7.41</v>
      </c>
      <c r="DC467">
        <v>0.37</v>
      </c>
      <c r="DD467">
        <v>56.94</v>
      </c>
      <c r="DE467" t="s">
        <v>3040</v>
      </c>
      <c r="DF467">
        <v>25.95</v>
      </c>
      <c r="DG467">
        <v>10.71</v>
      </c>
      <c r="DH467">
        <v>8.3000000000000007</v>
      </c>
      <c r="DI467">
        <v>1.92</v>
      </c>
      <c r="DJ467">
        <v>12048</v>
      </c>
      <c r="DK467">
        <v>2032</v>
      </c>
      <c r="DL467" t="s">
        <v>120</v>
      </c>
      <c r="DM467" t="s">
        <v>120</v>
      </c>
      <c r="DN467" t="s">
        <v>120</v>
      </c>
    </row>
    <row r="468" spans="1:118">
      <c r="A468" t="str">
        <f>"002033"</f>
        <v>002033</v>
      </c>
      <c r="B468" t="s">
        <v>3041</v>
      </c>
      <c r="C468">
        <v>-0.17</v>
      </c>
      <c r="D468">
        <v>0.17</v>
      </c>
      <c r="E468">
        <v>0</v>
      </c>
      <c r="F468">
        <v>272</v>
      </c>
      <c r="G468" t="s">
        <v>3042</v>
      </c>
      <c r="H468">
        <v>4596.6400000000003</v>
      </c>
      <c r="I468">
        <v>2.42</v>
      </c>
      <c r="J468" t="s">
        <v>120</v>
      </c>
      <c r="K468" t="s">
        <v>3043</v>
      </c>
      <c r="L468">
        <v>1.38</v>
      </c>
      <c r="M468">
        <v>6.04</v>
      </c>
      <c r="N468">
        <v>0.66</v>
      </c>
      <c r="O468">
        <v>1.82</v>
      </c>
      <c r="P468">
        <v>6.16</v>
      </c>
      <c r="Q468">
        <v>-0.66</v>
      </c>
      <c r="R468">
        <v>6.01</v>
      </c>
      <c r="S468">
        <v>6.05</v>
      </c>
      <c r="T468">
        <v>75589</v>
      </c>
      <c r="U468">
        <v>6.04</v>
      </c>
      <c r="V468">
        <v>6.05</v>
      </c>
      <c r="W468">
        <v>165.03</v>
      </c>
      <c r="X468" t="s">
        <v>489</v>
      </c>
      <c r="Y468" t="s">
        <v>1006</v>
      </c>
      <c r="Z468">
        <v>2.48</v>
      </c>
      <c r="AA468">
        <v>6.08</v>
      </c>
      <c r="AB468">
        <v>44777</v>
      </c>
      <c r="AC468">
        <v>30812</v>
      </c>
      <c r="AD468">
        <v>1.45</v>
      </c>
      <c r="AE468">
        <v>1202</v>
      </c>
      <c r="AF468">
        <v>1397</v>
      </c>
      <c r="AG468" t="s">
        <v>120</v>
      </c>
      <c r="AH468">
        <v>0</v>
      </c>
      <c r="AI468" t="s">
        <v>120</v>
      </c>
      <c r="AJ468">
        <v>5.49</v>
      </c>
      <c r="AK468" t="s">
        <v>3043</v>
      </c>
      <c r="AL468">
        <v>1.75</v>
      </c>
      <c r="AM468">
        <v>1675</v>
      </c>
      <c r="AN468">
        <v>45</v>
      </c>
      <c r="AO468">
        <v>8.0000000000000004E-4</v>
      </c>
      <c r="AP468">
        <v>-5</v>
      </c>
      <c r="AQ468">
        <v>-0.49</v>
      </c>
      <c r="AR468">
        <v>-1.63</v>
      </c>
      <c r="AS468">
        <v>2.5499999999999998</v>
      </c>
      <c r="AT468">
        <v>-3.36</v>
      </c>
      <c r="AU468">
        <v>-2.58</v>
      </c>
      <c r="AV468">
        <v>0</v>
      </c>
      <c r="AW468">
        <v>2.5</v>
      </c>
      <c r="AX468">
        <v>55</v>
      </c>
      <c r="AY468">
        <v>31.76</v>
      </c>
      <c r="AZ468">
        <v>47.16</v>
      </c>
      <c r="BA468">
        <v>0.11</v>
      </c>
      <c r="BB468" t="s">
        <v>143</v>
      </c>
      <c r="BF468">
        <v>0.51</v>
      </c>
      <c r="BG468">
        <v>-0.17</v>
      </c>
      <c r="BH468">
        <v>-1.95</v>
      </c>
      <c r="BI468">
        <v>0.5</v>
      </c>
      <c r="BJ468">
        <v>20210817</v>
      </c>
      <c r="BK468">
        <v>20040825</v>
      </c>
      <c r="BL468">
        <v>5.49</v>
      </c>
      <c r="BM468" t="s">
        <v>120</v>
      </c>
      <c r="BN468" t="s">
        <v>120</v>
      </c>
      <c r="BO468">
        <v>27.86</v>
      </c>
      <c r="BP468">
        <v>6.03</v>
      </c>
      <c r="BQ468">
        <v>24.6</v>
      </c>
      <c r="BR468">
        <v>1.1100000000000001</v>
      </c>
      <c r="BS468">
        <v>7.74</v>
      </c>
      <c r="BT468">
        <v>9.02</v>
      </c>
      <c r="BU468">
        <v>11.12</v>
      </c>
      <c r="BV468">
        <v>2.63</v>
      </c>
      <c r="BW468">
        <v>2.02</v>
      </c>
      <c r="BX468">
        <v>7.83</v>
      </c>
      <c r="BY468">
        <v>0.14000000000000001</v>
      </c>
      <c r="BZ468">
        <v>0.12</v>
      </c>
      <c r="CA468">
        <v>0</v>
      </c>
      <c r="CB468">
        <v>5.58</v>
      </c>
      <c r="CC468">
        <v>2.02</v>
      </c>
      <c r="CD468">
        <v>0.83</v>
      </c>
      <c r="CE468">
        <v>0.28999999999999998</v>
      </c>
      <c r="CF468">
        <v>0.01</v>
      </c>
      <c r="CG468">
        <v>0.25</v>
      </c>
      <c r="CH468">
        <v>0.14000000000000001</v>
      </c>
      <c r="CI468">
        <v>0.1</v>
      </c>
      <c r="CJ468">
        <v>-0.01</v>
      </c>
      <c r="CK468">
        <v>0.11</v>
      </c>
      <c r="CL468">
        <v>11.24</v>
      </c>
      <c r="CM468">
        <v>0.01</v>
      </c>
      <c r="CN468">
        <v>-1.44</v>
      </c>
      <c r="CO468">
        <v>40569</v>
      </c>
      <c r="CP468">
        <v>7449</v>
      </c>
      <c r="CQ468" t="s">
        <v>3044</v>
      </c>
      <c r="CR468">
        <v>141.69</v>
      </c>
      <c r="CS468">
        <v>113.81</v>
      </c>
      <c r="CT468">
        <v>1.35</v>
      </c>
      <c r="CU468">
        <v>6594.32</v>
      </c>
      <c r="CV468">
        <v>16.399999999999999</v>
      </c>
      <c r="CW468">
        <v>3.31</v>
      </c>
      <c r="CX468" t="s">
        <v>1819</v>
      </c>
      <c r="CY468">
        <v>4.4800000000000004</v>
      </c>
      <c r="CZ468">
        <v>0</v>
      </c>
      <c r="DA468">
        <v>1.02</v>
      </c>
      <c r="DB468">
        <v>2.0499999999999998</v>
      </c>
      <c r="DC468">
        <v>0</v>
      </c>
      <c r="DD468">
        <v>88.28</v>
      </c>
      <c r="DE468" t="s">
        <v>500</v>
      </c>
      <c r="DF468">
        <v>58.99</v>
      </c>
      <c r="DG468">
        <v>14.34</v>
      </c>
      <c r="DH468">
        <v>4.97</v>
      </c>
      <c r="DI468" t="s">
        <v>120</v>
      </c>
      <c r="DJ468">
        <v>1646</v>
      </c>
      <c r="DK468">
        <v>2033</v>
      </c>
      <c r="DL468" t="s">
        <v>120</v>
      </c>
      <c r="DM468" t="s">
        <v>120</v>
      </c>
      <c r="DN468" t="s">
        <v>120</v>
      </c>
    </row>
    <row r="469" spans="1:118">
      <c r="A469" t="str">
        <f>"002034"</f>
        <v>002034</v>
      </c>
      <c r="B469" t="s">
        <v>3045</v>
      </c>
      <c r="C469">
        <v>-1.03</v>
      </c>
      <c r="D469">
        <v>-0.32</v>
      </c>
      <c r="E469">
        <v>0.05</v>
      </c>
      <c r="F469">
        <v>329</v>
      </c>
      <c r="G469" t="s">
        <v>3046</v>
      </c>
      <c r="H469">
        <v>9153.8700000000008</v>
      </c>
      <c r="I469">
        <v>7.17</v>
      </c>
      <c r="J469" t="s">
        <v>120</v>
      </c>
      <c r="K469" t="s">
        <v>3047</v>
      </c>
      <c r="L469">
        <v>1.18</v>
      </c>
      <c r="M469">
        <v>18.18</v>
      </c>
      <c r="N469">
        <v>0.95</v>
      </c>
      <c r="O469">
        <v>3.32</v>
      </c>
      <c r="P469">
        <v>18.98</v>
      </c>
      <c r="Q469">
        <v>-1.58</v>
      </c>
      <c r="R469">
        <v>18.079999999999998</v>
      </c>
      <c r="S469">
        <v>18.38</v>
      </c>
      <c r="T469">
        <v>49347</v>
      </c>
      <c r="U469">
        <v>18.239999999999998</v>
      </c>
      <c r="V469">
        <v>18.37</v>
      </c>
      <c r="W469">
        <v>11.54</v>
      </c>
      <c r="X469" t="s">
        <v>318</v>
      </c>
      <c r="Y469" t="s">
        <v>585</v>
      </c>
      <c r="Z469">
        <v>4.9000000000000004</v>
      </c>
      <c r="AA469">
        <v>18.55</v>
      </c>
      <c r="AB469">
        <v>24787</v>
      </c>
      <c r="AC469">
        <v>24560</v>
      </c>
      <c r="AD469">
        <v>1.01</v>
      </c>
      <c r="AE469">
        <v>18</v>
      </c>
      <c r="AF469">
        <v>16</v>
      </c>
      <c r="AG469" t="s">
        <v>120</v>
      </c>
      <c r="AH469">
        <v>0</v>
      </c>
      <c r="AI469" t="s">
        <v>120</v>
      </c>
      <c r="AJ469">
        <v>4.18</v>
      </c>
      <c r="AK469" t="s">
        <v>3048</v>
      </c>
      <c r="AL469">
        <v>0.88</v>
      </c>
      <c r="AM469">
        <v>2752</v>
      </c>
      <c r="AN469">
        <v>18</v>
      </c>
      <c r="AO469">
        <v>4.0000000000000002E-4</v>
      </c>
      <c r="AP469">
        <v>-1</v>
      </c>
      <c r="AQ469">
        <v>1.05</v>
      </c>
      <c r="AR469">
        <v>-3.14</v>
      </c>
      <c r="AS469">
        <v>4.3</v>
      </c>
      <c r="AT469">
        <v>11.26</v>
      </c>
      <c r="AU469">
        <v>17.899999999999999</v>
      </c>
      <c r="AV469">
        <v>0</v>
      </c>
      <c r="AW469">
        <v>2.59</v>
      </c>
      <c r="AX469">
        <v>45.16</v>
      </c>
      <c r="AY469">
        <v>12.39</v>
      </c>
      <c r="AZ469">
        <v>14.82</v>
      </c>
      <c r="BA469">
        <v>0.15</v>
      </c>
      <c r="BB469" t="s">
        <v>240</v>
      </c>
      <c r="BF469">
        <v>0.98</v>
      </c>
      <c r="BG469">
        <v>-1.0900000000000001</v>
      </c>
      <c r="BH469">
        <v>-4.21</v>
      </c>
      <c r="BI469">
        <v>0.55000000000000004</v>
      </c>
      <c r="BJ469">
        <v>20210901</v>
      </c>
      <c r="BK469">
        <v>20040826</v>
      </c>
      <c r="BL469">
        <v>4.21</v>
      </c>
      <c r="BM469" t="s">
        <v>120</v>
      </c>
      <c r="BN469" t="s">
        <v>120</v>
      </c>
      <c r="BO469">
        <v>122.81</v>
      </c>
      <c r="BP469">
        <v>18.170000000000002</v>
      </c>
      <c r="BQ469">
        <v>48.86</v>
      </c>
      <c r="BR469">
        <v>0.26</v>
      </c>
      <c r="BS469">
        <v>60</v>
      </c>
      <c r="BT469">
        <v>19.899999999999999</v>
      </c>
      <c r="BU469">
        <v>36.450000000000003</v>
      </c>
      <c r="BV469">
        <v>53.65</v>
      </c>
      <c r="BW469">
        <v>18.87</v>
      </c>
      <c r="BX469">
        <v>9.8000000000000007</v>
      </c>
      <c r="BY469">
        <v>0.1</v>
      </c>
      <c r="BZ469">
        <v>5.99</v>
      </c>
      <c r="CA469">
        <v>0.01</v>
      </c>
      <c r="CB469">
        <v>25.39</v>
      </c>
      <c r="CC469">
        <v>11.14</v>
      </c>
      <c r="CD469">
        <v>5.64</v>
      </c>
      <c r="CE469">
        <v>3.58</v>
      </c>
      <c r="CF469">
        <v>0</v>
      </c>
      <c r="CG469">
        <v>3.59</v>
      </c>
      <c r="CH469">
        <v>3.31</v>
      </c>
      <c r="CI469">
        <v>3.32</v>
      </c>
      <c r="CJ469">
        <v>-0.19</v>
      </c>
      <c r="CK469">
        <v>3.27</v>
      </c>
      <c r="CL469">
        <v>16.84</v>
      </c>
      <c r="CM469">
        <v>4.7699999999999996</v>
      </c>
      <c r="CN469">
        <v>-9.85</v>
      </c>
      <c r="CO469">
        <v>17000</v>
      </c>
      <c r="CP469">
        <v>11195</v>
      </c>
      <c r="CQ469" t="s">
        <v>3049</v>
      </c>
      <c r="CR469">
        <v>44.66</v>
      </c>
      <c r="CS469">
        <v>51.1</v>
      </c>
      <c r="CT469">
        <v>1.62</v>
      </c>
      <c r="CU469">
        <v>16.07</v>
      </c>
      <c r="CV469">
        <v>6.88</v>
      </c>
      <c r="CW469">
        <v>2.72</v>
      </c>
      <c r="CX469" t="s">
        <v>3050</v>
      </c>
      <c r="CY469">
        <v>11.19</v>
      </c>
      <c r="CZ469">
        <v>11.19</v>
      </c>
      <c r="DA469">
        <v>6.03</v>
      </c>
      <c r="DB469">
        <v>4</v>
      </c>
      <c r="DC469">
        <v>1.1299999999999999</v>
      </c>
      <c r="DD469">
        <v>39.79</v>
      </c>
      <c r="DE469" t="s">
        <v>3051</v>
      </c>
      <c r="DF469">
        <v>49.4</v>
      </c>
      <c r="DG469">
        <v>32.19</v>
      </c>
      <c r="DH469">
        <v>29.79</v>
      </c>
      <c r="DI469">
        <v>0.21</v>
      </c>
      <c r="DJ469">
        <v>1901</v>
      </c>
      <c r="DK469">
        <v>2034</v>
      </c>
      <c r="DL469" t="s">
        <v>120</v>
      </c>
      <c r="DM469" t="s">
        <v>120</v>
      </c>
      <c r="DN469" t="s">
        <v>120</v>
      </c>
    </row>
    <row r="470" spans="1:118">
      <c r="A470" t="str">
        <f>"002035"</f>
        <v>002035</v>
      </c>
      <c r="B470" t="s">
        <v>3052</v>
      </c>
      <c r="C470">
        <v>-1.5</v>
      </c>
      <c r="D470">
        <v>-0.13</v>
      </c>
      <c r="E470">
        <v>-0.27</v>
      </c>
      <c r="F470">
        <v>1646</v>
      </c>
      <c r="G470" t="s">
        <v>3053</v>
      </c>
      <c r="H470">
        <v>8377.1</v>
      </c>
      <c r="I470">
        <v>47.8</v>
      </c>
      <c r="J470" t="s">
        <v>120</v>
      </c>
      <c r="K470" t="s">
        <v>3054</v>
      </c>
      <c r="L470">
        <v>1.46</v>
      </c>
      <c r="M470">
        <v>7.23</v>
      </c>
      <c r="N470">
        <v>0.68</v>
      </c>
      <c r="O470">
        <v>1.0900000000000001</v>
      </c>
      <c r="P470">
        <v>7.42</v>
      </c>
      <c r="Q470">
        <v>-1.63</v>
      </c>
      <c r="R470">
        <v>7.22</v>
      </c>
      <c r="S470">
        <v>7.32</v>
      </c>
      <c r="T470">
        <v>114585</v>
      </c>
      <c r="U470">
        <v>7.24</v>
      </c>
      <c r="V470">
        <v>7.34</v>
      </c>
      <c r="W470">
        <v>13.13</v>
      </c>
      <c r="X470" t="s">
        <v>205</v>
      </c>
      <c r="Y470" t="s">
        <v>547</v>
      </c>
      <c r="Z470">
        <v>2.72</v>
      </c>
      <c r="AA470">
        <v>7.31</v>
      </c>
      <c r="AB470">
        <v>63690</v>
      </c>
      <c r="AC470">
        <v>50895</v>
      </c>
      <c r="AD470">
        <v>1.25</v>
      </c>
      <c r="AE470">
        <v>133</v>
      </c>
      <c r="AF470">
        <v>3234</v>
      </c>
      <c r="AG470" t="s">
        <v>120</v>
      </c>
      <c r="AH470">
        <v>0.01</v>
      </c>
      <c r="AI470" t="s">
        <v>120</v>
      </c>
      <c r="AJ470">
        <v>7.83</v>
      </c>
      <c r="AK470" t="s">
        <v>3055</v>
      </c>
      <c r="AL470">
        <v>0.42</v>
      </c>
      <c r="AM470">
        <v>2730</v>
      </c>
      <c r="AN470">
        <v>42</v>
      </c>
      <c r="AO470">
        <v>5.0000000000000001E-4</v>
      </c>
      <c r="AP470">
        <v>-3</v>
      </c>
      <c r="AQ470">
        <v>-0.41</v>
      </c>
      <c r="AR470">
        <v>-5.37</v>
      </c>
      <c r="AS470">
        <v>-1.5</v>
      </c>
      <c r="AT470">
        <v>-1.64</v>
      </c>
      <c r="AU470">
        <v>-16.71</v>
      </c>
      <c r="AV470">
        <v>2</v>
      </c>
      <c r="AW470">
        <v>1.83</v>
      </c>
      <c r="AX470">
        <v>72.22</v>
      </c>
      <c r="AY470">
        <v>13.22</v>
      </c>
      <c r="AZ470">
        <v>15.64</v>
      </c>
      <c r="BA470">
        <v>0.46</v>
      </c>
      <c r="BB470" t="s">
        <v>143</v>
      </c>
      <c r="BF470">
        <v>-0.4</v>
      </c>
      <c r="BG470">
        <v>-1.23</v>
      </c>
      <c r="BH470">
        <v>-2.56</v>
      </c>
      <c r="BI470">
        <v>0.14000000000000001</v>
      </c>
      <c r="BJ470">
        <v>20210914</v>
      </c>
      <c r="BK470">
        <v>20040901</v>
      </c>
      <c r="BL470">
        <v>8.69</v>
      </c>
      <c r="BM470" t="s">
        <v>120</v>
      </c>
      <c r="BN470" t="s">
        <v>120</v>
      </c>
      <c r="BO470">
        <v>62.91</v>
      </c>
      <c r="BP470">
        <v>7.23</v>
      </c>
      <c r="BQ470">
        <v>32.729999999999997</v>
      </c>
      <c r="BR470">
        <v>0.91</v>
      </c>
      <c r="BS470">
        <v>46.52</v>
      </c>
      <c r="BT470">
        <v>45.86</v>
      </c>
      <c r="BU470">
        <v>7.4</v>
      </c>
      <c r="BV470">
        <v>1.96</v>
      </c>
      <c r="BW470">
        <v>28.69</v>
      </c>
      <c r="BX470">
        <v>12.41</v>
      </c>
      <c r="BY470">
        <v>8.6300000000000008</v>
      </c>
      <c r="BZ470">
        <v>8.07</v>
      </c>
      <c r="CA470" t="s">
        <v>120</v>
      </c>
      <c r="CB470">
        <v>0.81</v>
      </c>
      <c r="CC470">
        <v>26.59</v>
      </c>
      <c r="CD470">
        <v>15.18</v>
      </c>
      <c r="CE470">
        <v>2.9</v>
      </c>
      <c r="CF470">
        <v>0.16</v>
      </c>
      <c r="CG470">
        <v>2.92</v>
      </c>
      <c r="CH470">
        <v>2.44</v>
      </c>
      <c r="CI470">
        <v>2.39</v>
      </c>
      <c r="CJ470">
        <v>-0.11</v>
      </c>
      <c r="CK470">
        <v>2.27</v>
      </c>
      <c r="CL470">
        <v>21.38</v>
      </c>
      <c r="CM470">
        <v>0.7</v>
      </c>
      <c r="CN470">
        <v>3.15</v>
      </c>
      <c r="CO470">
        <v>50797</v>
      </c>
      <c r="CP470">
        <v>12358</v>
      </c>
      <c r="CQ470" t="s">
        <v>3056</v>
      </c>
      <c r="CR470">
        <v>45.42</v>
      </c>
      <c r="CS470">
        <v>59.46</v>
      </c>
      <c r="CT470">
        <v>1.92</v>
      </c>
      <c r="CU470">
        <v>90.29</v>
      </c>
      <c r="CV470">
        <v>2.36</v>
      </c>
      <c r="CW470">
        <v>1.99</v>
      </c>
      <c r="CX470" t="s">
        <v>3057</v>
      </c>
      <c r="CY470">
        <v>3.77</v>
      </c>
      <c r="CZ470">
        <v>0</v>
      </c>
      <c r="DA470">
        <v>0.09</v>
      </c>
      <c r="DB470">
        <v>2.46</v>
      </c>
      <c r="DC470">
        <v>0.08</v>
      </c>
      <c r="DD470">
        <v>52.03</v>
      </c>
      <c r="DE470" t="s">
        <v>3058</v>
      </c>
      <c r="DF470">
        <v>42.92</v>
      </c>
      <c r="DG470">
        <v>10.91</v>
      </c>
      <c r="DH470">
        <v>9</v>
      </c>
      <c r="DI470">
        <v>1.37</v>
      </c>
      <c r="DJ470">
        <v>4720</v>
      </c>
      <c r="DK470">
        <v>2035</v>
      </c>
      <c r="DL470" t="s">
        <v>120</v>
      </c>
      <c r="DM470" t="s">
        <v>120</v>
      </c>
      <c r="DN470" t="s">
        <v>120</v>
      </c>
    </row>
    <row r="471" spans="1:118">
      <c r="A471" t="str">
        <f>"002036"</f>
        <v>002036</v>
      </c>
      <c r="B471" t="s">
        <v>3059</v>
      </c>
      <c r="C471">
        <v>-5.92</v>
      </c>
      <c r="D471">
        <v>-0.05</v>
      </c>
      <c r="E471">
        <v>-0.89</v>
      </c>
      <c r="F471">
        <v>1996</v>
      </c>
      <c r="G471" t="s">
        <v>3060</v>
      </c>
      <c r="H471">
        <v>51043.93</v>
      </c>
      <c r="I471">
        <v>437.51</v>
      </c>
      <c r="J471" t="s">
        <v>120</v>
      </c>
      <c r="K471" t="s">
        <v>3061</v>
      </c>
      <c r="L471">
        <v>3</v>
      </c>
      <c r="M471">
        <v>15.9</v>
      </c>
      <c r="N471">
        <v>1.03</v>
      </c>
      <c r="O471">
        <v>-0.41</v>
      </c>
      <c r="P471">
        <v>16.829999999999998</v>
      </c>
      <c r="Q471">
        <v>-5.92</v>
      </c>
      <c r="R471">
        <v>15.9</v>
      </c>
      <c r="S471">
        <v>16.75</v>
      </c>
      <c r="T471">
        <v>313952</v>
      </c>
      <c r="U471">
        <v>15.91</v>
      </c>
      <c r="V471">
        <v>16.899999999999999</v>
      </c>
      <c r="W471">
        <v>86.74</v>
      </c>
      <c r="X471" t="s">
        <v>229</v>
      </c>
      <c r="Y471" t="s">
        <v>676</v>
      </c>
      <c r="Z471">
        <v>5.5</v>
      </c>
      <c r="AA471">
        <v>16.260000000000002</v>
      </c>
      <c r="AB471">
        <v>192691</v>
      </c>
      <c r="AC471">
        <v>121261</v>
      </c>
      <c r="AD471">
        <v>1.59</v>
      </c>
      <c r="AE471">
        <v>1930</v>
      </c>
      <c r="AF471">
        <v>588</v>
      </c>
      <c r="AG471" t="s">
        <v>120</v>
      </c>
      <c r="AH471">
        <v>0.03</v>
      </c>
      <c r="AI471" t="s">
        <v>120</v>
      </c>
      <c r="AJ471">
        <v>10.46</v>
      </c>
      <c r="AK471" t="s">
        <v>3062</v>
      </c>
      <c r="AL471">
        <v>-4</v>
      </c>
      <c r="AM471">
        <v>4076</v>
      </c>
      <c r="AN471">
        <v>77</v>
      </c>
      <c r="AO471">
        <v>6.9999999999999999E-4</v>
      </c>
      <c r="AP471">
        <v>-1</v>
      </c>
      <c r="AQ471">
        <v>5.69</v>
      </c>
      <c r="AR471">
        <v>-0.93</v>
      </c>
      <c r="AS471">
        <v>-7.23</v>
      </c>
      <c r="AT471">
        <v>25.99</v>
      </c>
      <c r="AU471">
        <v>54</v>
      </c>
      <c r="AV471">
        <v>3</v>
      </c>
      <c r="AW471">
        <v>3.66</v>
      </c>
      <c r="AX471">
        <v>80.77</v>
      </c>
      <c r="AY471">
        <v>102.85</v>
      </c>
      <c r="AZ471">
        <v>109.27</v>
      </c>
      <c r="BA471">
        <v>1.44</v>
      </c>
      <c r="BB471" t="s">
        <v>168</v>
      </c>
      <c r="BF471">
        <v>-3.8</v>
      </c>
      <c r="BG471">
        <v>-5.07</v>
      </c>
      <c r="BH471">
        <v>-5.53</v>
      </c>
      <c r="BI471">
        <v>0</v>
      </c>
      <c r="BJ471">
        <v>20210913</v>
      </c>
      <c r="BK471">
        <v>20040903</v>
      </c>
      <c r="BL471">
        <v>10.63</v>
      </c>
      <c r="BM471" t="s">
        <v>120</v>
      </c>
      <c r="BN471" t="s">
        <v>120</v>
      </c>
      <c r="BO471">
        <v>120.69</v>
      </c>
      <c r="BP471">
        <v>15.9</v>
      </c>
      <c r="BQ471">
        <v>38.35</v>
      </c>
      <c r="BR471">
        <v>3.32</v>
      </c>
      <c r="BS471">
        <v>65.47</v>
      </c>
      <c r="BT471">
        <v>68.52</v>
      </c>
      <c r="BU471">
        <v>24.74</v>
      </c>
      <c r="BV471">
        <v>2.19</v>
      </c>
      <c r="BW471">
        <v>58.36</v>
      </c>
      <c r="BX471">
        <v>19.47</v>
      </c>
      <c r="BY471">
        <v>20.49</v>
      </c>
      <c r="BZ471">
        <v>18.670000000000002</v>
      </c>
      <c r="CA471" t="s">
        <v>120</v>
      </c>
      <c r="CB471">
        <v>12.33</v>
      </c>
      <c r="CC471">
        <v>48.11</v>
      </c>
      <c r="CD471">
        <v>44.01</v>
      </c>
      <c r="CE471">
        <v>1.03</v>
      </c>
      <c r="CF471">
        <v>0.19</v>
      </c>
      <c r="CG471">
        <v>1</v>
      </c>
      <c r="CH471">
        <v>0.85</v>
      </c>
      <c r="CI471">
        <v>0.97</v>
      </c>
      <c r="CJ471">
        <v>-1</v>
      </c>
      <c r="CK471">
        <v>0.67</v>
      </c>
      <c r="CL471">
        <v>13.91</v>
      </c>
      <c r="CM471">
        <v>0.01</v>
      </c>
      <c r="CN471">
        <v>-1.36</v>
      </c>
      <c r="CO471">
        <v>61606</v>
      </c>
      <c r="CP471">
        <v>13934</v>
      </c>
      <c r="CQ471" t="s">
        <v>3063</v>
      </c>
      <c r="CR471">
        <v>11.78</v>
      </c>
      <c r="CS471">
        <v>91.92</v>
      </c>
      <c r="CT471">
        <v>4.46</v>
      </c>
      <c r="CU471">
        <v>17994.55</v>
      </c>
      <c r="CV471">
        <v>3.51</v>
      </c>
      <c r="CW471">
        <v>0.09</v>
      </c>
      <c r="CX471" t="s">
        <v>329</v>
      </c>
      <c r="CY471">
        <v>3.56</v>
      </c>
      <c r="CZ471">
        <v>3.56</v>
      </c>
      <c r="DA471">
        <v>1.1599999999999999</v>
      </c>
      <c r="DB471">
        <v>1.31</v>
      </c>
      <c r="DC471">
        <v>0</v>
      </c>
      <c r="DD471">
        <v>31.78</v>
      </c>
      <c r="DE471" t="s">
        <v>3064</v>
      </c>
      <c r="DF471">
        <v>8.52</v>
      </c>
      <c r="DG471">
        <v>2.14</v>
      </c>
      <c r="DH471">
        <v>2.0299999999999998</v>
      </c>
      <c r="DI471">
        <v>1.17</v>
      </c>
      <c r="DJ471">
        <v>8008</v>
      </c>
      <c r="DK471">
        <v>2036</v>
      </c>
      <c r="DL471" t="s">
        <v>120</v>
      </c>
      <c r="DM471" t="s">
        <v>120</v>
      </c>
      <c r="DN471" t="s">
        <v>120</v>
      </c>
    </row>
    <row r="472" spans="1:118">
      <c r="A472" t="str">
        <f>"002037"</f>
        <v>002037</v>
      </c>
      <c r="B472" t="s">
        <v>3065</v>
      </c>
      <c r="C472">
        <v>-3.07</v>
      </c>
      <c r="D472">
        <v>0</v>
      </c>
      <c r="E472">
        <v>2.0499999999999998</v>
      </c>
      <c r="F472">
        <v>1421</v>
      </c>
      <c r="G472" t="s">
        <v>3066</v>
      </c>
      <c r="H472">
        <v>10978.24</v>
      </c>
      <c r="I472">
        <v>313.86</v>
      </c>
      <c r="J472" t="s">
        <v>120</v>
      </c>
      <c r="K472" t="s">
        <v>3067</v>
      </c>
      <c r="L472">
        <v>4.3600000000000003</v>
      </c>
      <c r="M472">
        <v>7.57</v>
      </c>
      <c r="N472">
        <v>1.86</v>
      </c>
      <c r="O472">
        <v>2.0499999999999998</v>
      </c>
      <c r="P472">
        <v>7.97</v>
      </c>
      <c r="Q472">
        <v>-3.97</v>
      </c>
      <c r="R472">
        <v>7.5</v>
      </c>
      <c r="S472">
        <v>7.97</v>
      </c>
      <c r="T472">
        <v>142603</v>
      </c>
      <c r="U472">
        <v>7.57</v>
      </c>
      <c r="V472">
        <v>7.81</v>
      </c>
      <c r="W472">
        <v>51.71</v>
      </c>
      <c r="X472" t="s">
        <v>868</v>
      </c>
      <c r="Y472" t="s">
        <v>1021</v>
      </c>
      <c r="Z472">
        <v>6.02</v>
      </c>
      <c r="AA472">
        <v>7.7</v>
      </c>
      <c r="AB472">
        <v>86570</v>
      </c>
      <c r="AC472">
        <v>56033</v>
      </c>
      <c r="AD472">
        <v>1.54</v>
      </c>
      <c r="AE472">
        <v>199</v>
      </c>
      <c r="AF472">
        <v>112</v>
      </c>
      <c r="AG472" t="s">
        <v>120</v>
      </c>
      <c r="AH472">
        <v>0.17</v>
      </c>
      <c r="AI472" t="s">
        <v>120</v>
      </c>
      <c r="AJ472">
        <v>3.27</v>
      </c>
      <c r="AK472" t="s">
        <v>798</v>
      </c>
      <c r="AL472">
        <v>-1.1599999999999999</v>
      </c>
      <c r="AM472">
        <v>2543</v>
      </c>
      <c r="AN472">
        <v>56</v>
      </c>
      <c r="AO472">
        <v>1.6999999999999999E-3</v>
      </c>
      <c r="AP472">
        <v>-1</v>
      </c>
      <c r="AQ472">
        <v>10</v>
      </c>
      <c r="AR472">
        <v>3.27</v>
      </c>
      <c r="AS472">
        <v>17.73</v>
      </c>
      <c r="AT472">
        <v>27.05</v>
      </c>
      <c r="AU472">
        <v>17.04</v>
      </c>
      <c r="AV472">
        <v>1</v>
      </c>
      <c r="AW472">
        <v>6.22</v>
      </c>
      <c r="AX472">
        <v>46.99</v>
      </c>
      <c r="AY472">
        <v>23.78</v>
      </c>
      <c r="AZ472">
        <v>30.25</v>
      </c>
      <c r="BA472">
        <v>0.13</v>
      </c>
      <c r="BB472" t="s">
        <v>168</v>
      </c>
      <c r="BF472">
        <v>-1.43</v>
      </c>
      <c r="BG472">
        <v>-5.0199999999999996</v>
      </c>
      <c r="BH472">
        <v>-5.0199999999999996</v>
      </c>
      <c r="BI472">
        <v>0.93</v>
      </c>
      <c r="BJ472">
        <v>20210827</v>
      </c>
      <c r="BK472">
        <v>20040908</v>
      </c>
      <c r="BL472">
        <v>4.88</v>
      </c>
      <c r="BM472" t="s">
        <v>120</v>
      </c>
      <c r="BN472" t="s">
        <v>120</v>
      </c>
      <c r="BO472">
        <v>157.76</v>
      </c>
      <c r="BP472">
        <v>7.56</v>
      </c>
      <c r="BQ472">
        <v>34.83</v>
      </c>
      <c r="BR472">
        <v>10.43</v>
      </c>
      <c r="BS472">
        <v>71.31</v>
      </c>
      <c r="BT472">
        <v>111.19</v>
      </c>
      <c r="BU472">
        <v>18.59</v>
      </c>
      <c r="BV472">
        <v>4.9800000000000004</v>
      </c>
      <c r="BW472">
        <v>89.39</v>
      </c>
      <c r="BX472">
        <v>12.58</v>
      </c>
      <c r="BY472">
        <v>3.98</v>
      </c>
      <c r="BZ472">
        <v>66.02</v>
      </c>
      <c r="CA472">
        <v>0.03</v>
      </c>
      <c r="CB472">
        <v>12.71</v>
      </c>
      <c r="CC472">
        <v>25.96</v>
      </c>
      <c r="CD472">
        <v>19.89</v>
      </c>
      <c r="CE472">
        <v>0.68</v>
      </c>
      <c r="CF472">
        <v>0.02</v>
      </c>
      <c r="CG472">
        <v>0.69</v>
      </c>
      <c r="CH472">
        <v>0.52</v>
      </c>
      <c r="CI472">
        <v>0.36</v>
      </c>
      <c r="CJ472">
        <v>-0.24</v>
      </c>
      <c r="CK472">
        <v>0.35</v>
      </c>
      <c r="CL472">
        <v>14.67</v>
      </c>
      <c r="CM472">
        <v>0.68</v>
      </c>
      <c r="CN472">
        <v>-2.19</v>
      </c>
      <c r="CO472">
        <v>16489</v>
      </c>
      <c r="CP472">
        <v>13898</v>
      </c>
      <c r="CQ472" t="s">
        <v>3068</v>
      </c>
      <c r="CR472">
        <v>2370.2800000000002</v>
      </c>
      <c r="CS472">
        <v>28.95</v>
      </c>
      <c r="CT472">
        <v>1.06</v>
      </c>
      <c r="CU472">
        <v>54.66</v>
      </c>
      <c r="CV472">
        <v>1.42</v>
      </c>
      <c r="CW472">
        <v>0.67</v>
      </c>
      <c r="CX472" t="s">
        <v>679</v>
      </c>
      <c r="CY472">
        <v>7.14</v>
      </c>
      <c r="CZ472">
        <v>0</v>
      </c>
      <c r="DA472">
        <v>2.61</v>
      </c>
      <c r="DB472">
        <v>3.01</v>
      </c>
      <c r="DC472">
        <v>0.14000000000000001</v>
      </c>
      <c r="DD472">
        <v>22.08</v>
      </c>
      <c r="DE472" t="s">
        <v>3069</v>
      </c>
      <c r="DF472">
        <v>23.39</v>
      </c>
      <c r="DG472">
        <v>2.6</v>
      </c>
      <c r="DH472">
        <v>1.38</v>
      </c>
      <c r="DI472">
        <v>0.38</v>
      </c>
      <c r="DJ472">
        <v>7854</v>
      </c>
      <c r="DK472">
        <v>2037</v>
      </c>
      <c r="DL472" t="s">
        <v>120</v>
      </c>
      <c r="DM472" t="s">
        <v>120</v>
      </c>
      <c r="DN472" t="s">
        <v>120</v>
      </c>
    </row>
    <row r="473" spans="1:118">
      <c r="A473" t="str">
        <f>"002038"</f>
        <v>002038</v>
      </c>
      <c r="B473" t="s">
        <v>3070</v>
      </c>
      <c r="C473">
        <v>0.39</v>
      </c>
      <c r="D473">
        <v>0.79</v>
      </c>
      <c r="E473">
        <v>0.79</v>
      </c>
      <c r="F473">
        <v>3366</v>
      </c>
      <c r="G473" t="s">
        <v>3071</v>
      </c>
      <c r="H473">
        <v>7484.37</v>
      </c>
      <c r="I473">
        <v>55.1</v>
      </c>
      <c r="J473" t="s">
        <v>120</v>
      </c>
      <c r="K473" t="s">
        <v>1080</v>
      </c>
      <c r="L473">
        <v>0.86</v>
      </c>
      <c r="M473">
        <v>10.220000000000001</v>
      </c>
      <c r="N473">
        <v>0.72</v>
      </c>
      <c r="O473">
        <v>1.96</v>
      </c>
      <c r="P473">
        <v>10.38</v>
      </c>
      <c r="Q473">
        <v>-1.08</v>
      </c>
      <c r="R473">
        <v>10.07</v>
      </c>
      <c r="S473">
        <v>10.26</v>
      </c>
      <c r="T473">
        <v>73134</v>
      </c>
      <c r="U473">
        <v>10.220000000000001</v>
      </c>
      <c r="V473">
        <v>10.18</v>
      </c>
      <c r="W473">
        <v>17.41</v>
      </c>
      <c r="X473" t="s">
        <v>666</v>
      </c>
      <c r="Y473" t="s">
        <v>158</v>
      </c>
      <c r="Z473">
        <v>3.05</v>
      </c>
      <c r="AA473">
        <v>10.23</v>
      </c>
      <c r="AB473">
        <v>37988</v>
      </c>
      <c r="AC473">
        <v>35146</v>
      </c>
      <c r="AD473">
        <v>1.08</v>
      </c>
      <c r="AE473">
        <v>13</v>
      </c>
      <c r="AF473">
        <v>888</v>
      </c>
      <c r="AG473" t="s">
        <v>120</v>
      </c>
      <c r="AH473">
        <v>0.01</v>
      </c>
      <c r="AI473" t="s">
        <v>120</v>
      </c>
      <c r="AJ473">
        <v>8.51</v>
      </c>
      <c r="AK473" t="s">
        <v>2918</v>
      </c>
      <c r="AL473">
        <v>2.31</v>
      </c>
      <c r="AM473">
        <v>2375</v>
      </c>
      <c r="AN473">
        <v>31</v>
      </c>
      <c r="AO473">
        <v>4.0000000000000002E-4</v>
      </c>
      <c r="AP473">
        <v>2</v>
      </c>
      <c r="AQ473">
        <v>0.1</v>
      </c>
      <c r="AR473">
        <v>-2.94</v>
      </c>
      <c r="AS473">
        <v>9.42</v>
      </c>
      <c r="AT473">
        <v>1.29</v>
      </c>
      <c r="AU473">
        <v>2.2000000000000002</v>
      </c>
      <c r="AV473">
        <v>1</v>
      </c>
      <c r="AW473">
        <v>1.18</v>
      </c>
      <c r="AX473">
        <v>60.22</v>
      </c>
      <c r="AY473">
        <v>22.28</v>
      </c>
      <c r="AZ473">
        <v>28.68</v>
      </c>
      <c r="BA473">
        <v>0.61</v>
      </c>
      <c r="BB473" t="s">
        <v>143</v>
      </c>
      <c r="BF473">
        <v>0.53</v>
      </c>
      <c r="BG473">
        <v>-0.39</v>
      </c>
      <c r="BH473">
        <v>-1.54</v>
      </c>
      <c r="BI473">
        <v>1.49</v>
      </c>
      <c r="BJ473">
        <v>20210910</v>
      </c>
      <c r="BK473">
        <v>20040909</v>
      </c>
      <c r="BL473">
        <v>10.27</v>
      </c>
      <c r="BM473" t="s">
        <v>120</v>
      </c>
      <c r="BN473" t="s">
        <v>120</v>
      </c>
      <c r="BO473">
        <v>57.13</v>
      </c>
      <c r="BP473">
        <v>10.210000000000001</v>
      </c>
      <c r="BQ473">
        <v>52.73</v>
      </c>
      <c r="BR473">
        <v>0.16</v>
      </c>
      <c r="BS473">
        <v>7.43</v>
      </c>
      <c r="BT473">
        <v>23.66</v>
      </c>
      <c r="BU473">
        <v>4.97</v>
      </c>
      <c r="BV473">
        <v>4.37</v>
      </c>
      <c r="BW473">
        <v>3.2</v>
      </c>
      <c r="BX473">
        <v>8.23</v>
      </c>
      <c r="BY473">
        <v>1.3</v>
      </c>
      <c r="BZ473">
        <v>3.83</v>
      </c>
      <c r="CA473">
        <v>0.02</v>
      </c>
      <c r="CB473">
        <v>0.18</v>
      </c>
      <c r="CC473">
        <v>6.25</v>
      </c>
      <c r="CD473">
        <v>0.98</v>
      </c>
      <c r="CE473">
        <v>3.35</v>
      </c>
      <c r="CF473">
        <v>0.53</v>
      </c>
      <c r="CG473">
        <v>3.35</v>
      </c>
      <c r="CH473">
        <v>2.98</v>
      </c>
      <c r="CI473">
        <v>3.02</v>
      </c>
      <c r="CJ473">
        <v>0.04</v>
      </c>
      <c r="CK473">
        <v>1.49</v>
      </c>
      <c r="CL473">
        <v>36.1</v>
      </c>
      <c r="CM473">
        <v>1.97</v>
      </c>
      <c r="CN473">
        <v>1.6</v>
      </c>
      <c r="CO473">
        <v>57868</v>
      </c>
      <c r="CP473">
        <v>10691</v>
      </c>
      <c r="CQ473" t="s">
        <v>3072</v>
      </c>
      <c r="CR473">
        <v>53.24</v>
      </c>
      <c r="CS473">
        <v>16.260000000000002</v>
      </c>
      <c r="CT473">
        <v>1.99</v>
      </c>
      <c r="CU473">
        <v>53.43</v>
      </c>
      <c r="CV473">
        <v>16.809999999999999</v>
      </c>
      <c r="CW473">
        <v>0.98</v>
      </c>
      <c r="CX473" t="s">
        <v>3073</v>
      </c>
      <c r="CY473">
        <v>5.13</v>
      </c>
      <c r="CZ473">
        <v>0</v>
      </c>
      <c r="DA473">
        <v>0.02</v>
      </c>
      <c r="DB473">
        <v>3.51</v>
      </c>
      <c r="DC473">
        <v>0.19</v>
      </c>
      <c r="DD473">
        <v>92.29</v>
      </c>
      <c r="DE473" t="s">
        <v>3074</v>
      </c>
      <c r="DF473">
        <v>84.35</v>
      </c>
      <c r="DG473">
        <v>53.71</v>
      </c>
      <c r="DH473">
        <v>48.28</v>
      </c>
      <c r="DI473">
        <v>1.06</v>
      </c>
      <c r="DJ473">
        <v>757</v>
      </c>
      <c r="DK473">
        <v>2038</v>
      </c>
      <c r="DL473" t="s">
        <v>120</v>
      </c>
      <c r="DM473" t="s">
        <v>120</v>
      </c>
      <c r="DN473" t="s">
        <v>120</v>
      </c>
    </row>
    <row r="474" spans="1:118">
      <c r="A474" t="str">
        <f>"002039"</f>
        <v>002039</v>
      </c>
      <c r="B474" t="s">
        <v>3075</v>
      </c>
      <c r="C474">
        <v>-2.4</v>
      </c>
      <c r="D474">
        <v>-0.27</v>
      </c>
      <c r="E474">
        <v>-0.99</v>
      </c>
      <c r="F474">
        <v>1052</v>
      </c>
      <c r="G474" t="s">
        <v>3076</v>
      </c>
      <c r="H474">
        <v>24409.71</v>
      </c>
      <c r="I474">
        <v>63.29</v>
      </c>
      <c r="J474" t="s">
        <v>120</v>
      </c>
      <c r="K474" t="s">
        <v>3077</v>
      </c>
      <c r="L474">
        <v>3.56</v>
      </c>
      <c r="M474">
        <v>21.59</v>
      </c>
      <c r="N474">
        <v>0.75</v>
      </c>
      <c r="O474">
        <v>5.1100000000000003</v>
      </c>
      <c r="P474">
        <v>23.25</v>
      </c>
      <c r="Q474">
        <v>-4.5199999999999996</v>
      </c>
      <c r="R474">
        <v>21.12</v>
      </c>
      <c r="S474">
        <v>21.9</v>
      </c>
      <c r="T474">
        <v>108853</v>
      </c>
      <c r="U474">
        <v>21.59</v>
      </c>
      <c r="V474">
        <v>22.12</v>
      </c>
      <c r="W474">
        <v>29.15</v>
      </c>
      <c r="X474" t="s">
        <v>1287</v>
      </c>
      <c r="Y474" t="s">
        <v>1021</v>
      </c>
      <c r="Z474">
        <v>9.6300000000000008</v>
      </c>
      <c r="AA474">
        <v>22.42</v>
      </c>
      <c r="AB474">
        <v>53922</v>
      </c>
      <c r="AC474">
        <v>54931</v>
      </c>
      <c r="AD474">
        <v>0.98</v>
      </c>
      <c r="AE474">
        <v>95</v>
      </c>
      <c r="AF474">
        <v>369</v>
      </c>
      <c r="AG474" t="s">
        <v>120</v>
      </c>
      <c r="AH474">
        <v>0.02</v>
      </c>
      <c r="AI474" t="s">
        <v>120</v>
      </c>
      <c r="AJ474">
        <v>3.05</v>
      </c>
      <c r="AK474" t="s">
        <v>3078</v>
      </c>
      <c r="AL474">
        <v>-0.48</v>
      </c>
      <c r="AM474">
        <v>3363</v>
      </c>
      <c r="AN474">
        <v>32</v>
      </c>
      <c r="AO474">
        <v>1.1000000000000001E-3</v>
      </c>
      <c r="AP474">
        <v>-1</v>
      </c>
      <c r="AQ474">
        <v>1.19</v>
      </c>
      <c r="AR474">
        <v>-1.82</v>
      </c>
      <c r="AS474">
        <v>58.75</v>
      </c>
      <c r="AT474">
        <v>49.1</v>
      </c>
      <c r="AU474">
        <v>43.46</v>
      </c>
      <c r="AV474">
        <v>4</v>
      </c>
      <c r="AW474">
        <v>5.78</v>
      </c>
      <c r="AX474">
        <v>61.71</v>
      </c>
      <c r="AY474">
        <v>17.03</v>
      </c>
      <c r="AZ474">
        <v>15.23</v>
      </c>
      <c r="BA474">
        <v>0.56000000000000005</v>
      </c>
      <c r="BB474" t="s">
        <v>184</v>
      </c>
      <c r="BF474">
        <v>1.38</v>
      </c>
      <c r="BG474">
        <v>-1.42</v>
      </c>
      <c r="BH474">
        <v>-7.14</v>
      </c>
      <c r="BI474">
        <v>2.23</v>
      </c>
      <c r="BJ474">
        <v>20210826</v>
      </c>
      <c r="BK474">
        <v>20050303</v>
      </c>
      <c r="BL474">
        <v>3.05</v>
      </c>
      <c r="BM474" t="s">
        <v>120</v>
      </c>
      <c r="BN474" t="s">
        <v>120</v>
      </c>
      <c r="BO474">
        <v>179.67</v>
      </c>
      <c r="BP474">
        <v>21.58</v>
      </c>
      <c r="BQ474">
        <v>31.83</v>
      </c>
      <c r="BR474">
        <v>24.57</v>
      </c>
      <c r="BS474">
        <v>68.61</v>
      </c>
      <c r="BT474">
        <v>13.38</v>
      </c>
      <c r="BU474">
        <v>158.97999999999999</v>
      </c>
      <c r="BV474">
        <v>0.32</v>
      </c>
      <c r="BW474">
        <v>38.4</v>
      </c>
      <c r="BX474">
        <v>8.93</v>
      </c>
      <c r="BY474">
        <v>0</v>
      </c>
      <c r="BZ474">
        <v>2.13</v>
      </c>
      <c r="CA474" t="s">
        <v>120</v>
      </c>
      <c r="CB474">
        <v>11.44</v>
      </c>
      <c r="CC474">
        <v>8.76</v>
      </c>
      <c r="CD474">
        <v>3.99</v>
      </c>
      <c r="CE474">
        <v>2.2400000000000002</v>
      </c>
      <c r="CF474">
        <v>-0.02</v>
      </c>
      <c r="CG474">
        <v>2.2400000000000002</v>
      </c>
      <c r="CH474">
        <v>1.91</v>
      </c>
      <c r="CI474">
        <v>1.1299999999999999</v>
      </c>
      <c r="CJ474">
        <v>-0.53</v>
      </c>
      <c r="CK474">
        <v>1.1299999999999999</v>
      </c>
      <c r="CL474">
        <v>14.92</v>
      </c>
      <c r="CM474">
        <v>5.74</v>
      </c>
      <c r="CN474">
        <v>7.3</v>
      </c>
      <c r="CO474">
        <v>18856</v>
      </c>
      <c r="CP474">
        <v>9994</v>
      </c>
      <c r="CQ474" t="s">
        <v>3079</v>
      </c>
      <c r="CR474">
        <v>-29.35</v>
      </c>
      <c r="CS474">
        <v>-13.02</v>
      </c>
      <c r="CT474">
        <v>2.0699999999999998</v>
      </c>
      <c r="CU474">
        <v>11.48</v>
      </c>
      <c r="CV474">
        <v>7.53</v>
      </c>
      <c r="CW474">
        <v>1.63</v>
      </c>
      <c r="CX474" t="s">
        <v>709</v>
      </c>
      <c r="CY474">
        <v>10.42</v>
      </c>
      <c r="CZ474">
        <v>0</v>
      </c>
      <c r="DA474">
        <v>3.75</v>
      </c>
      <c r="DB474">
        <v>4.8899999999999997</v>
      </c>
      <c r="DC474">
        <v>1.88</v>
      </c>
      <c r="DD474">
        <v>17.71</v>
      </c>
      <c r="DE474" t="s">
        <v>3080</v>
      </c>
      <c r="DF474">
        <v>54.45</v>
      </c>
      <c r="DG474">
        <v>25.55</v>
      </c>
      <c r="DH474">
        <v>12.91</v>
      </c>
      <c r="DI474" t="s">
        <v>120</v>
      </c>
      <c r="DJ474">
        <v>703</v>
      </c>
      <c r="DK474">
        <v>2039</v>
      </c>
      <c r="DL474">
        <v>20210913</v>
      </c>
      <c r="DM474">
        <v>21.99</v>
      </c>
      <c r="DN474">
        <v>-1.82</v>
      </c>
    </row>
    <row r="475" spans="1:118">
      <c r="A475" t="str">
        <f>"002040"</f>
        <v>002040</v>
      </c>
      <c r="B475" t="s">
        <v>3081</v>
      </c>
      <c r="C475">
        <v>-1.57</v>
      </c>
      <c r="D475">
        <v>0.16</v>
      </c>
      <c r="E475">
        <v>0</v>
      </c>
      <c r="F475">
        <v>217</v>
      </c>
      <c r="G475" t="s">
        <v>3082</v>
      </c>
      <c r="H475">
        <v>3213.38</v>
      </c>
      <c r="I475">
        <v>4.5199999999999996</v>
      </c>
      <c r="J475" t="s">
        <v>120</v>
      </c>
      <c r="K475" t="s">
        <v>3083</v>
      </c>
      <c r="L475">
        <v>1.04</v>
      </c>
      <c r="M475">
        <v>6.27</v>
      </c>
      <c r="N475">
        <v>0.67</v>
      </c>
      <c r="O475">
        <v>1.88</v>
      </c>
      <c r="P475">
        <v>6.49</v>
      </c>
      <c r="Q475">
        <v>-1.73</v>
      </c>
      <c r="R475">
        <v>6.26</v>
      </c>
      <c r="S475">
        <v>6.37</v>
      </c>
      <c r="T475">
        <v>50344</v>
      </c>
      <c r="U475">
        <v>6.28</v>
      </c>
      <c r="V475">
        <v>6.37</v>
      </c>
      <c r="W475">
        <v>22.19</v>
      </c>
      <c r="X475" t="s">
        <v>511</v>
      </c>
      <c r="Y475" t="s">
        <v>319</v>
      </c>
      <c r="Z475">
        <v>3.61</v>
      </c>
      <c r="AA475">
        <v>6.38</v>
      </c>
      <c r="AB475">
        <v>28539</v>
      </c>
      <c r="AC475">
        <v>21805</v>
      </c>
      <c r="AD475">
        <v>1.31</v>
      </c>
      <c r="AE475">
        <v>135</v>
      </c>
      <c r="AF475">
        <v>54</v>
      </c>
      <c r="AG475" t="s">
        <v>120</v>
      </c>
      <c r="AH475">
        <v>0</v>
      </c>
      <c r="AI475" t="s">
        <v>120</v>
      </c>
      <c r="AJ475">
        <v>4.84</v>
      </c>
      <c r="AK475" t="s">
        <v>3083</v>
      </c>
      <c r="AL475">
        <v>0.34</v>
      </c>
      <c r="AM475">
        <v>1300</v>
      </c>
      <c r="AN475">
        <v>39</v>
      </c>
      <c r="AO475">
        <v>8.0000000000000004E-4</v>
      </c>
      <c r="AP475">
        <v>-1</v>
      </c>
      <c r="AQ475">
        <v>0.16</v>
      </c>
      <c r="AR475">
        <v>-3.24</v>
      </c>
      <c r="AS475">
        <v>7.37</v>
      </c>
      <c r="AT475">
        <v>4.59</v>
      </c>
      <c r="AU475">
        <v>-5.78</v>
      </c>
      <c r="AV475">
        <v>2</v>
      </c>
      <c r="AW475">
        <v>3.22</v>
      </c>
      <c r="AX475">
        <v>32.31</v>
      </c>
      <c r="AY475">
        <v>22.87</v>
      </c>
      <c r="AZ475">
        <v>23.93</v>
      </c>
      <c r="BA475">
        <v>0.23</v>
      </c>
      <c r="BB475" t="s">
        <v>143</v>
      </c>
      <c r="BF475">
        <v>0.2</v>
      </c>
      <c r="BG475">
        <v>-1.57</v>
      </c>
      <c r="BH475">
        <v>-3.39</v>
      </c>
      <c r="BI475">
        <v>0.16</v>
      </c>
      <c r="BJ475">
        <v>20210827</v>
      </c>
      <c r="BK475">
        <v>20050325</v>
      </c>
      <c r="BL475">
        <v>4.84</v>
      </c>
      <c r="BM475" t="s">
        <v>120</v>
      </c>
      <c r="BN475" t="s">
        <v>120</v>
      </c>
      <c r="BO475">
        <v>46.83</v>
      </c>
      <c r="BP475">
        <v>6.27</v>
      </c>
      <c r="BQ475">
        <v>28.38</v>
      </c>
      <c r="BR475">
        <v>6.45</v>
      </c>
      <c r="BS475">
        <v>25.64</v>
      </c>
      <c r="BT475">
        <v>6.47</v>
      </c>
      <c r="BU475">
        <v>22.01</v>
      </c>
      <c r="BV475">
        <v>11.21</v>
      </c>
      <c r="BW475">
        <v>6.33</v>
      </c>
      <c r="BX475">
        <v>4.3499999999999996</v>
      </c>
      <c r="BY475">
        <v>0.05</v>
      </c>
      <c r="BZ475">
        <v>0.93</v>
      </c>
      <c r="CA475" t="s">
        <v>120</v>
      </c>
      <c r="CB475">
        <v>15.39</v>
      </c>
      <c r="CC475">
        <v>3.91</v>
      </c>
      <c r="CD475">
        <v>2.0099999999999998</v>
      </c>
      <c r="CE475">
        <v>1.1100000000000001</v>
      </c>
      <c r="CF475">
        <v>0.09</v>
      </c>
      <c r="CG475">
        <v>1.1100000000000001</v>
      </c>
      <c r="CH475">
        <v>0.85</v>
      </c>
      <c r="CI475">
        <v>0.68</v>
      </c>
      <c r="CJ475">
        <v>-0.1</v>
      </c>
      <c r="CK475">
        <v>0.65</v>
      </c>
      <c r="CL475">
        <v>7.17</v>
      </c>
      <c r="CM475">
        <v>1.56</v>
      </c>
      <c r="CN475">
        <v>-0.36</v>
      </c>
      <c r="CO475">
        <v>25810</v>
      </c>
      <c r="CP475">
        <v>6058</v>
      </c>
      <c r="CQ475" t="s">
        <v>1349</v>
      </c>
      <c r="CR475">
        <v>9.6</v>
      </c>
      <c r="CS475">
        <v>10.88</v>
      </c>
      <c r="CT475">
        <v>1.07</v>
      </c>
      <c r="CU475">
        <v>19.47</v>
      </c>
      <c r="CV475">
        <v>7.76</v>
      </c>
      <c r="CW475">
        <v>0.71</v>
      </c>
      <c r="CX475" t="s">
        <v>3084</v>
      </c>
      <c r="CY475">
        <v>5.86</v>
      </c>
      <c r="CZ475">
        <v>0</v>
      </c>
      <c r="DA475">
        <v>3.18</v>
      </c>
      <c r="DB475">
        <v>1.48</v>
      </c>
      <c r="DC475">
        <v>0.32</v>
      </c>
      <c r="DD475">
        <v>60.59</v>
      </c>
      <c r="DE475" t="s">
        <v>3085</v>
      </c>
      <c r="DF475">
        <v>48.7</v>
      </c>
      <c r="DG475">
        <v>28.45</v>
      </c>
      <c r="DH475">
        <v>17.48</v>
      </c>
      <c r="DI475" t="s">
        <v>120</v>
      </c>
      <c r="DJ475">
        <v>1058</v>
      </c>
      <c r="DK475">
        <v>2040</v>
      </c>
      <c r="DL475" t="s">
        <v>120</v>
      </c>
      <c r="DM475" t="s">
        <v>120</v>
      </c>
      <c r="DN475" t="s">
        <v>120</v>
      </c>
    </row>
    <row r="476" spans="1:118">
      <c r="A476" t="str">
        <f>"002041"</f>
        <v>002041</v>
      </c>
      <c r="B476" t="s">
        <v>3086</v>
      </c>
      <c r="C476">
        <v>6.07</v>
      </c>
      <c r="D476">
        <v>-0.04</v>
      </c>
      <c r="E476">
        <v>-0.05</v>
      </c>
      <c r="F476">
        <v>5136</v>
      </c>
      <c r="G476" t="s">
        <v>3087</v>
      </c>
      <c r="H476">
        <v>101810.97</v>
      </c>
      <c r="I476">
        <v>187.39</v>
      </c>
      <c r="J476" t="s">
        <v>120</v>
      </c>
      <c r="K476" t="s">
        <v>3088</v>
      </c>
      <c r="L476">
        <v>5.34</v>
      </c>
      <c r="M476">
        <v>21.83</v>
      </c>
      <c r="N476">
        <v>1.58</v>
      </c>
      <c r="O476">
        <v>10.01</v>
      </c>
      <c r="P476">
        <v>22.64</v>
      </c>
      <c r="Q476">
        <v>-1.17</v>
      </c>
      <c r="R476">
        <v>20.34</v>
      </c>
      <c r="S476">
        <v>20.57</v>
      </c>
      <c r="T476">
        <v>469523</v>
      </c>
      <c r="U476">
        <v>21.84</v>
      </c>
      <c r="V476">
        <v>20.58</v>
      </c>
      <c r="W476">
        <v>91.36</v>
      </c>
      <c r="X476" t="s">
        <v>1700</v>
      </c>
      <c r="Y476" t="s">
        <v>638</v>
      </c>
      <c r="Z476">
        <v>11.18</v>
      </c>
      <c r="AA476">
        <v>21.68</v>
      </c>
      <c r="AB476">
        <v>217960</v>
      </c>
      <c r="AC476">
        <v>251563</v>
      </c>
      <c r="AD476">
        <v>0.87</v>
      </c>
      <c r="AE476">
        <v>295</v>
      </c>
      <c r="AF476">
        <v>605</v>
      </c>
      <c r="AG476" t="s">
        <v>120</v>
      </c>
      <c r="AH476">
        <v>0.03</v>
      </c>
      <c r="AI476" t="s">
        <v>120</v>
      </c>
      <c r="AJ476">
        <v>8.8000000000000007</v>
      </c>
      <c r="AK476" t="s">
        <v>3088</v>
      </c>
      <c r="AL476">
        <v>7.99</v>
      </c>
      <c r="AM476">
        <v>4611</v>
      </c>
      <c r="AN476">
        <v>102</v>
      </c>
      <c r="AO476">
        <v>1.1999999999999999E-3</v>
      </c>
      <c r="AP476">
        <v>2</v>
      </c>
      <c r="AQ476">
        <v>4.84</v>
      </c>
      <c r="AR476">
        <v>8.7200000000000006</v>
      </c>
      <c r="AS476">
        <v>24.03</v>
      </c>
      <c r="AT476">
        <v>44.66</v>
      </c>
      <c r="AU476">
        <v>-2.04</v>
      </c>
      <c r="AV476">
        <v>1</v>
      </c>
      <c r="AW476">
        <v>13.52</v>
      </c>
      <c r="AX476">
        <v>39.46</v>
      </c>
      <c r="AY476">
        <v>120.91</v>
      </c>
      <c r="AZ476">
        <v>177.63</v>
      </c>
      <c r="BA476">
        <v>0.46</v>
      </c>
      <c r="BB476" t="s">
        <v>168</v>
      </c>
      <c r="BF476">
        <v>5.36</v>
      </c>
      <c r="BG476">
        <v>6.13</v>
      </c>
      <c r="BH476">
        <v>-3.58</v>
      </c>
      <c r="BI476">
        <v>7.33</v>
      </c>
      <c r="BJ476">
        <v>20210826</v>
      </c>
      <c r="BK476">
        <v>20050418</v>
      </c>
      <c r="BL476">
        <v>8.8000000000000007</v>
      </c>
      <c r="BM476" t="s">
        <v>120</v>
      </c>
      <c r="BN476" t="s">
        <v>120</v>
      </c>
      <c r="BO476">
        <v>36.81</v>
      </c>
      <c r="BP476">
        <v>21.83</v>
      </c>
      <c r="BQ476">
        <v>29.63</v>
      </c>
      <c r="BR476">
        <v>2.2799999999999998</v>
      </c>
      <c r="BS476">
        <v>13.29</v>
      </c>
      <c r="BT476">
        <v>29.61</v>
      </c>
      <c r="BU476">
        <v>5.27</v>
      </c>
      <c r="BV476">
        <v>0.83</v>
      </c>
      <c r="BW476">
        <v>4.76</v>
      </c>
      <c r="BX476">
        <v>11.56</v>
      </c>
      <c r="BY476">
        <v>2.36</v>
      </c>
      <c r="BZ476">
        <v>0.97</v>
      </c>
      <c r="CA476" t="s">
        <v>120</v>
      </c>
      <c r="CB476">
        <v>0.28999999999999998</v>
      </c>
      <c r="CC476">
        <v>4.1399999999999997</v>
      </c>
      <c r="CD476">
        <v>2.48</v>
      </c>
      <c r="CE476">
        <v>0.88</v>
      </c>
      <c r="CF476">
        <v>0.11</v>
      </c>
      <c r="CG476">
        <v>0.88</v>
      </c>
      <c r="CH476">
        <v>0.88</v>
      </c>
      <c r="CI476">
        <v>1.05</v>
      </c>
      <c r="CJ476">
        <v>1.25</v>
      </c>
      <c r="CK476">
        <v>0.8</v>
      </c>
      <c r="CL476">
        <v>17.43</v>
      </c>
      <c r="CM476">
        <v>-0.28999999999999998</v>
      </c>
      <c r="CN476">
        <v>2.37</v>
      </c>
      <c r="CO476">
        <v>80510</v>
      </c>
      <c r="CP476">
        <v>4313</v>
      </c>
      <c r="CQ476" t="s">
        <v>3089</v>
      </c>
      <c r="CR476">
        <v>83.47</v>
      </c>
      <c r="CS476">
        <v>22.4</v>
      </c>
      <c r="CT476">
        <v>6.48</v>
      </c>
      <c r="CU476">
        <v>-657</v>
      </c>
      <c r="CV476">
        <v>46.37</v>
      </c>
      <c r="CW476">
        <v>0.17</v>
      </c>
      <c r="CX476" t="s">
        <v>788</v>
      </c>
      <c r="CY476">
        <v>3.37</v>
      </c>
      <c r="CZ476">
        <v>0</v>
      </c>
      <c r="DA476">
        <v>0.03</v>
      </c>
      <c r="DB476">
        <v>1.98</v>
      </c>
      <c r="DC476">
        <v>-0.03</v>
      </c>
      <c r="DD476">
        <v>80.510000000000005</v>
      </c>
      <c r="DE476" t="s">
        <v>3080</v>
      </c>
      <c r="DF476">
        <v>40.130000000000003</v>
      </c>
      <c r="DG476">
        <v>21.29</v>
      </c>
      <c r="DH476">
        <v>25.38</v>
      </c>
      <c r="DI476">
        <v>0.28999999999999998</v>
      </c>
      <c r="DJ476">
        <v>723</v>
      </c>
      <c r="DK476">
        <v>2041</v>
      </c>
      <c r="DL476" t="s">
        <v>120</v>
      </c>
      <c r="DM476" t="s">
        <v>120</v>
      </c>
      <c r="DN476" t="s">
        <v>120</v>
      </c>
    </row>
    <row r="477" spans="1:118">
      <c r="A477" t="str">
        <f>"002042"</f>
        <v>002042</v>
      </c>
      <c r="B477" t="s">
        <v>3090</v>
      </c>
      <c r="C477">
        <v>-3.17</v>
      </c>
      <c r="D477">
        <v>0.78</v>
      </c>
      <c r="E477">
        <v>0</v>
      </c>
      <c r="F477">
        <v>2757</v>
      </c>
      <c r="G477" t="s">
        <v>3091</v>
      </c>
      <c r="H477">
        <v>15934.34</v>
      </c>
      <c r="I477">
        <v>77.599999999999994</v>
      </c>
      <c r="J477" t="s">
        <v>120</v>
      </c>
      <c r="K477" t="s">
        <v>3092</v>
      </c>
      <c r="L477">
        <v>1.99</v>
      </c>
      <c r="M477">
        <v>5.2</v>
      </c>
      <c r="N477">
        <v>0.93</v>
      </c>
      <c r="O477">
        <v>1.68</v>
      </c>
      <c r="P477">
        <v>5.46</v>
      </c>
      <c r="Q477">
        <v>-5.03</v>
      </c>
      <c r="R477">
        <v>5.0999999999999996</v>
      </c>
      <c r="S477">
        <v>5.37</v>
      </c>
      <c r="T477">
        <v>302031</v>
      </c>
      <c r="U477">
        <v>5.2</v>
      </c>
      <c r="V477">
        <v>5.37</v>
      </c>
      <c r="W477">
        <v>13.1</v>
      </c>
      <c r="X477" t="s">
        <v>1766</v>
      </c>
      <c r="Y477" t="s">
        <v>570</v>
      </c>
      <c r="Z477">
        <v>6.7</v>
      </c>
      <c r="AA477">
        <v>5.28</v>
      </c>
      <c r="AB477">
        <v>157158</v>
      </c>
      <c r="AC477">
        <v>144873</v>
      </c>
      <c r="AD477">
        <v>1.08</v>
      </c>
      <c r="AE477">
        <v>201</v>
      </c>
      <c r="AF477">
        <v>650</v>
      </c>
      <c r="AG477" t="s">
        <v>120</v>
      </c>
      <c r="AH477">
        <v>0.02</v>
      </c>
      <c r="AI477" t="s">
        <v>120</v>
      </c>
      <c r="AJ477">
        <v>15.18</v>
      </c>
      <c r="AK477" t="s">
        <v>3093</v>
      </c>
      <c r="AL477">
        <v>-1.25</v>
      </c>
      <c r="AM477">
        <v>3201</v>
      </c>
      <c r="AN477">
        <v>94</v>
      </c>
      <c r="AO477">
        <v>5.9999999999999995E-4</v>
      </c>
      <c r="AP477">
        <v>-1</v>
      </c>
      <c r="AQ477">
        <v>1.32</v>
      </c>
      <c r="AR477">
        <v>-4.2300000000000004</v>
      </c>
      <c r="AS477">
        <v>6.78</v>
      </c>
      <c r="AT477">
        <v>5.91</v>
      </c>
      <c r="AU477">
        <v>16.850000000000001</v>
      </c>
      <c r="AV477">
        <v>1</v>
      </c>
      <c r="AW477">
        <v>3.75</v>
      </c>
      <c r="AX477">
        <v>53.01</v>
      </c>
      <c r="AY477">
        <v>174.1</v>
      </c>
      <c r="AZ477" t="s">
        <v>120</v>
      </c>
      <c r="BA477">
        <v>0.19</v>
      </c>
      <c r="BB477" t="s">
        <v>143</v>
      </c>
      <c r="BF477">
        <v>-1.76</v>
      </c>
      <c r="BG477">
        <v>-3.17</v>
      </c>
      <c r="BH477">
        <v>-4.76</v>
      </c>
      <c r="BI477">
        <v>1.96</v>
      </c>
      <c r="BJ477">
        <v>20210827</v>
      </c>
      <c r="BK477">
        <v>20050427</v>
      </c>
      <c r="BL477">
        <v>15.19</v>
      </c>
      <c r="BM477" t="s">
        <v>120</v>
      </c>
      <c r="BN477" t="s">
        <v>120</v>
      </c>
      <c r="BO477">
        <v>164.19</v>
      </c>
      <c r="BP477">
        <v>5.19</v>
      </c>
      <c r="BQ477">
        <v>58.65</v>
      </c>
      <c r="BR477">
        <v>3.48</v>
      </c>
      <c r="BS477">
        <v>62.16</v>
      </c>
      <c r="BT477">
        <v>95.18</v>
      </c>
      <c r="BU477">
        <v>47.1</v>
      </c>
      <c r="BV477">
        <v>8.75</v>
      </c>
      <c r="BW477">
        <v>92.68</v>
      </c>
      <c r="BX477">
        <v>21.2</v>
      </c>
      <c r="BY477">
        <v>43.55</v>
      </c>
      <c r="BZ477">
        <v>10.96</v>
      </c>
      <c r="CA477">
        <v>0.09</v>
      </c>
      <c r="CB477">
        <v>24.08</v>
      </c>
      <c r="CC477">
        <v>85.55</v>
      </c>
      <c r="CD477">
        <v>78.819999999999993</v>
      </c>
      <c r="CE477">
        <v>3.31</v>
      </c>
      <c r="CF477">
        <v>0.17</v>
      </c>
      <c r="CG477">
        <v>3.27</v>
      </c>
      <c r="CH477">
        <v>3.14</v>
      </c>
      <c r="CI477">
        <v>3.02</v>
      </c>
      <c r="CJ477">
        <v>-0.17</v>
      </c>
      <c r="CK477">
        <v>2.1800000000000002</v>
      </c>
      <c r="CL477">
        <v>23.96</v>
      </c>
      <c r="CM477">
        <v>17.850000000000001</v>
      </c>
      <c r="CN477">
        <v>-7.15</v>
      </c>
      <c r="CO477">
        <v>14754</v>
      </c>
      <c r="CP477">
        <v>54592</v>
      </c>
      <c r="CQ477" t="s">
        <v>3094</v>
      </c>
      <c r="CR477">
        <v>259.22000000000003</v>
      </c>
      <c r="CS477">
        <v>53.98</v>
      </c>
      <c r="CT477">
        <v>1.35</v>
      </c>
      <c r="CU477">
        <v>4.43</v>
      </c>
      <c r="CV477">
        <v>0.92</v>
      </c>
      <c r="CW477">
        <v>0</v>
      </c>
      <c r="CX477" t="s">
        <v>492</v>
      </c>
      <c r="CY477">
        <v>3.86</v>
      </c>
      <c r="CZ477">
        <v>0</v>
      </c>
      <c r="DA477">
        <v>1.59</v>
      </c>
      <c r="DB477">
        <v>1.58</v>
      </c>
      <c r="DC477">
        <v>1.17</v>
      </c>
      <c r="DD477">
        <v>35.72</v>
      </c>
      <c r="DE477" t="s">
        <v>3095</v>
      </c>
      <c r="DF477">
        <v>7.87</v>
      </c>
      <c r="DG477">
        <v>3.87</v>
      </c>
      <c r="DH477">
        <v>3.53</v>
      </c>
      <c r="DI477">
        <v>0.56999999999999995</v>
      </c>
      <c r="DJ477">
        <v>15906</v>
      </c>
      <c r="DK477">
        <v>2042</v>
      </c>
      <c r="DL477" t="s">
        <v>120</v>
      </c>
      <c r="DM477" t="s">
        <v>120</v>
      </c>
      <c r="DN477" t="s">
        <v>120</v>
      </c>
    </row>
    <row r="478" spans="1:118">
      <c r="A478" t="str">
        <f>"002043"</f>
        <v>002043</v>
      </c>
      <c r="B478" t="s">
        <v>3096</v>
      </c>
      <c r="C478">
        <v>-5.19</v>
      </c>
      <c r="D478">
        <v>0</v>
      </c>
      <c r="E478">
        <v>-0.19</v>
      </c>
      <c r="F478">
        <v>2536</v>
      </c>
      <c r="G478" t="s">
        <v>3097</v>
      </c>
      <c r="H478">
        <v>24662.560000000001</v>
      </c>
      <c r="I478">
        <v>116.96</v>
      </c>
      <c r="J478" t="s">
        <v>120</v>
      </c>
      <c r="K478" t="s">
        <v>3098</v>
      </c>
      <c r="L478">
        <v>3.31</v>
      </c>
      <c r="M478">
        <v>10.24</v>
      </c>
      <c r="N478">
        <v>2</v>
      </c>
      <c r="O478">
        <v>5.28</v>
      </c>
      <c r="P478">
        <v>11.37</v>
      </c>
      <c r="Q478">
        <v>-5.56</v>
      </c>
      <c r="R478">
        <v>10.199999999999999</v>
      </c>
      <c r="S478">
        <v>10.78</v>
      </c>
      <c r="T478">
        <v>229596</v>
      </c>
      <c r="U478">
        <v>10.25</v>
      </c>
      <c r="V478">
        <v>10.8</v>
      </c>
      <c r="W478">
        <v>12.14</v>
      </c>
      <c r="X478" t="s">
        <v>247</v>
      </c>
      <c r="Y478" t="s">
        <v>585</v>
      </c>
      <c r="Z478">
        <v>10.83</v>
      </c>
      <c r="AA478">
        <v>10.74</v>
      </c>
      <c r="AB478">
        <v>128195</v>
      </c>
      <c r="AC478">
        <v>101401</v>
      </c>
      <c r="AD478">
        <v>1.26</v>
      </c>
      <c r="AE478">
        <v>471</v>
      </c>
      <c r="AF478">
        <v>189</v>
      </c>
      <c r="AG478" t="s">
        <v>120</v>
      </c>
      <c r="AH478">
        <v>0.03</v>
      </c>
      <c r="AI478" t="s">
        <v>120</v>
      </c>
      <c r="AJ478">
        <v>6.93</v>
      </c>
      <c r="AK478" t="s">
        <v>3099</v>
      </c>
      <c r="AL478">
        <v>-3.27</v>
      </c>
      <c r="AM478">
        <v>4040</v>
      </c>
      <c r="AN478">
        <v>57</v>
      </c>
      <c r="AO478">
        <v>8.0000000000000004E-4</v>
      </c>
      <c r="AP478">
        <v>-3</v>
      </c>
      <c r="AQ478">
        <v>-2.17</v>
      </c>
      <c r="AR478">
        <v>-8.81</v>
      </c>
      <c r="AS478">
        <v>-5.36</v>
      </c>
      <c r="AT478">
        <v>6</v>
      </c>
      <c r="AU478">
        <v>16.760000000000002</v>
      </c>
      <c r="AV478">
        <v>1</v>
      </c>
      <c r="AW478">
        <v>5.56</v>
      </c>
      <c r="AX478">
        <v>55.54</v>
      </c>
      <c r="AY478">
        <v>11.93</v>
      </c>
      <c r="AZ478">
        <v>19.95</v>
      </c>
      <c r="BA478">
        <v>0.42</v>
      </c>
      <c r="BB478" t="s">
        <v>125</v>
      </c>
      <c r="BF478">
        <v>-0.54</v>
      </c>
      <c r="BG478">
        <v>-5.01</v>
      </c>
      <c r="BH478">
        <v>-9.94</v>
      </c>
      <c r="BI478">
        <v>0.39</v>
      </c>
      <c r="BJ478">
        <v>20210818</v>
      </c>
      <c r="BK478">
        <v>20050510</v>
      </c>
      <c r="BL478">
        <v>7.44</v>
      </c>
      <c r="BM478" t="s">
        <v>120</v>
      </c>
      <c r="BN478" t="s">
        <v>120</v>
      </c>
      <c r="BO478">
        <v>54.82</v>
      </c>
      <c r="BP478">
        <v>10.24</v>
      </c>
      <c r="BQ478">
        <v>17.48</v>
      </c>
      <c r="BR478">
        <v>2.2000000000000002</v>
      </c>
      <c r="BS478">
        <v>64.11</v>
      </c>
      <c r="BT478">
        <v>34.1</v>
      </c>
      <c r="BU478">
        <v>4.4800000000000004</v>
      </c>
      <c r="BV478">
        <v>1.05</v>
      </c>
      <c r="BW478">
        <v>32.49</v>
      </c>
      <c r="BX478">
        <v>9.5299999999999994</v>
      </c>
      <c r="BY478">
        <v>9.27</v>
      </c>
      <c r="BZ478">
        <v>8.44</v>
      </c>
      <c r="CA478" t="s">
        <v>120</v>
      </c>
      <c r="CB478">
        <v>1.31</v>
      </c>
      <c r="CC478">
        <v>38.299999999999997</v>
      </c>
      <c r="CD478">
        <v>31.63</v>
      </c>
      <c r="CE478">
        <v>4.1500000000000004</v>
      </c>
      <c r="CF478">
        <v>0.3</v>
      </c>
      <c r="CG478">
        <v>4.22</v>
      </c>
      <c r="CH478">
        <v>3.26</v>
      </c>
      <c r="CI478">
        <v>3.14</v>
      </c>
      <c r="CJ478">
        <v>-0.56000000000000005</v>
      </c>
      <c r="CK478">
        <v>2.44</v>
      </c>
      <c r="CL478">
        <v>12.01</v>
      </c>
      <c r="CM478">
        <v>1.74</v>
      </c>
      <c r="CN478">
        <v>2.31</v>
      </c>
      <c r="CO478">
        <v>53608</v>
      </c>
      <c r="CP478">
        <v>7708</v>
      </c>
      <c r="CQ478" t="s">
        <v>3100</v>
      </c>
      <c r="CR478">
        <v>632.65</v>
      </c>
      <c r="CS478">
        <v>95.16</v>
      </c>
      <c r="CT478">
        <v>4.54</v>
      </c>
      <c r="CU478">
        <v>43.66</v>
      </c>
      <c r="CV478">
        <v>1.99</v>
      </c>
      <c r="CW478">
        <v>1.82</v>
      </c>
      <c r="CX478" t="s">
        <v>1327</v>
      </c>
      <c r="CY478">
        <v>2.2599999999999998</v>
      </c>
      <c r="CZ478">
        <v>2.2599999999999998</v>
      </c>
      <c r="DA478">
        <v>0.18</v>
      </c>
      <c r="DB478">
        <v>1.61</v>
      </c>
      <c r="DC478">
        <v>0.23</v>
      </c>
      <c r="DD478">
        <v>31.88</v>
      </c>
      <c r="DE478" t="s">
        <v>3101</v>
      </c>
      <c r="DF478">
        <v>17.399999999999999</v>
      </c>
      <c r="DG478">
        <v>10.83</v>
      </c>
      <c r="DH478">
        <v>8.19</v>
      </c>
      <c r="DI478">
        <v>0.3</v>
      </c>
      <c r="DJ478">
        <v>3806</v>
      </c>
      <c r="DK478">
        <v>2043</v>
      </c>
      <c r="DL478" t="s">
        <v>120</v>
      </c>
      <c r="DM478" t="s">
        <v>120</v>
      </c>
      <c r="DN478" t="s">
        <v>120</v>
      </c>
    </row>
    <row r="479" spans="1:118">
      <c r="A479" t="str">
        <f>"002044"</f>
        <v>002044</v>
      </c>
      <c r="B479" t="s">
        <v>3102</v>
      </c>
      <c r="C479">
        <v>2.2999999999999998</v>
      </c>
      <c r="D479">
        <v>-0.11</v>
      </c>
      <c r="E479">
        <v>-0.51</v>
      </c>
      <c r="F479">
        <v>6489</v>
      </c>
      <c r="G479" t="s">
        <v>1775</v>
      </c>
      <c r="H479">
        <v>51145.46</v>
      </c>
      <c r="I479">
        <v>76.78</v>
      </c>
      <c r="J479" t="s">
        <v>120</v>
      </c>
      <c r="K479" t="s">
        <v>3103</v>
      </c>
      <c r="L479">
        <v>1.67</v>
      </c>
      <c r="M479">
        <v>8.01</v>
      </c>
      <c r="N479">
        <v>0.86</v>
      </c>
      <c r="O479">
        <v>3.96</v>
      </c>
      <c r="P479">
        <v>8.14</v>
      </c>
      <c r="Q479">
        <v>-0.89</v>
      </c>
      <c r="R479">
        <v>7.76</v>
      </c>
      <c r="S479">
        <v>7.79</v>
      </c>
      <c r="T479">
        <v>641574</v>
      </c>
      <c r="U479">
        <v>8.01</v>
      </c>
      <c r="V479">
        <v>7.83</v>
      </c>
      <c r="W479" t="s">
        <v>120</v>
      </c>
      <c r="X479" t="s">
        <v>555</v>
      </c>
      <c r="Y479" t="s">
        <v>319</v>
      </c>
      <c r="Z479">
        <v>4.8499999999999996</v>
      </c>
      <c r="AA479">
        <v>7.97</v>
      </c>
      <c r="AB479">
        <v>283449</v>
      </c>
      <c r="AC479">
        <v>358125</v>
      </c>
      <c r="AD479">
        <v>0.79</v>
      </c>
      <c r="AE479">
        <v>2927</v>
      </c>
      <c r="AF479">
        <v>610</v>
      </c>
      <c r="AG479" t="s">
        <v>120</v>
      </c>
      <c r="AH479">
        <v>0</v>
      </c>
      <c r="AI479" t="s">
        <v>120</v>
      </c>
      <c r="AJ479">
        <v>38.380000000000003</v>
      </c>
      <c r="AK479" t="s">
        <v>3104</v>
      </c>
      <c r="AL479">
        <v>4.21</v>
      </c>
      <c r="AM479">
        <v>4426</v>
      </c>
      <c r="AN479">
        <v>145</v>
      </c>
      <c r="AO479">
        <v>4.0000000000000002E-4</v>
      </c>
      <c r="AP479">
        <v>1</v>
      </c>
      <c r="AQ479">
        <v>-0.25</v>
      </c>
      <c r="AR479">
        <v>-1.71</v>
      </c>
      <c r="AS479">
        <v>6.66</v>
      </c>
      <c r="AT479">
        <v>-9.5</v>
      </c>
      <c r="AU479">
        <v>-29.3</v>
      </c>
      <c r="AV479">
        <v>3</v>
      </c>
      <c r="AW479">
        <v>2.41</v>
      </c>
      <c r="AX479">
        <v>67.92</v>
      </c>
      <c r="AY479">
        <v>33.46</v>
      </c>
      <c r="AZ479">
        <v>55.33</v>
      </c>
      <c r="BA479">
        <v>0.7</v>
      </c>
      <c r="BB479" t="s">
        <v>143</v>
      </c>
      <c r="BF479">
        <v>1.81</v>
      </c>
      <c r="BG479">
        <v>2.82</v>
      </c>
      <c r="BH479">
        <v>-1.6</v>
      </c>
      <c r="BI479">
        <v>3.22</v>
      </c>
      <c r="BJ479">
        <v>20210902</v>
      </c>
      <c r="BK479">
        <v>20050518</v>
      </c>
      <c r="BL479">
        <v>39.14</v>
      </c>
      <c r="BM479" t="s">
        <v>120</v>
      </c>
      <c r="BN479" t="s">
        <v>120</v>
      </c>
      <c r="BO479">
        <v>185.95</v>
      </c>
      <c r="BP479">
        <v>8</v>
      </c>
      <c r="BQ479">
        <v>75.45</v>
      </c>
      <c r="BR479">
        <v>6.61</v>
      </c>
      <c r="BS479">
        <v>55.87</v>
      </c>
      <c r="BT479">
        <v>52.43</v>
      </c>
      <c r="BU479">
        <v>22.37</v>
      </c>
      <c r="BV479">
        <v>1.6</v>
      </c>
      <c r="BW479">
        <v>67.87</v>
      </c>
      <c r="BX479">
        <v>12.31</v>
      </c>
      <c r="BY479">
        <v>1.25</v>
      </c>
      <c r="BZ479">
        <v>26.68</v>
      </c>
      <c r="CA479" t="s">
        <v>120</v>
      </c>
      <c r="CB479">
        <v>25.83</v>
      </c>
      <c r="CC479">
        <v>33.770000000000003</v>
      </c>
      <c r="CD479">
        <v>24.08</v>
      </c>
      <c r="CE479">
        <v>-4.28</v>
      </c>
      <c r="CF479">
        <v>0.15</v>
      </c>
      <c r="CG479">
        <v>-4.3899999999999997</v>
      </c>
      <c r="CH479">
        <v>-4.51</v>
      </c>
      <c r="CI479">
        <v>-4.28</v>
      </c>
      <c r="CJ479">
        <v>0.18</v>
      </c>
      <c r="CK479">
        <v>-3.76</v>
      </c>
      <c r="CL479">
        <v>12.52</v>
      </c>
      <c r="CM479">
        <v>-2.89</v>
      </c>
      <c r="CN479">
        <v>-22.79</v>
      </c>
      <c r="CO479">
        <v>238953</v>
      </c>
      <c r="CP479">
        <v>11127</v>
      </c>
      <c r="CQ479" t="s">
        <v>3105</v>
      </c>
      <c r="CR479">
        <v>45.83</v>
      </c>
      <c r="CS479">
        <v>85.25</v>
      </c>
      <c r="CT479">
        <v>4.16</v>
      </c>
      <c r="CU479">
        <v>-108.37</v>
      </c>
      <c r="CV479">
        <v>9.2799999999999994</v>
      </c>
      <c r="CW479">
        <v>0</v>
      </c>
      <c r="CX479" t="s">
        <v>3106</v>
      </c>
      <c r="CY479">
        <v>1.93</v>
      </c>
      <c r="CZ479">
        <v>0</v>
      </c>
      <c r="DA479">
        <v>0.66</v>
      </c>
      <c r="DB479">
        <v>0.32</v>
      </c>
      <c r="DC479">
        <v>-7.0000000000000007E-2</v>
      </c>
      <c r="DD479">
        <v>40.58</v>
      </c>
      <c r="DE479" t="s">
        <v>3107</v>
      </c>
      <c r="DF479">
        <v>28.69</v>
      </c>
      <c r="DG479">
        <v>-12.68</v>
      </c>
      <c r="DH479">
        <v>-12.67</v>
      </c>
      <c r="DI479">
        <v>0.25</v>
      </c>
      <c r="DJ479">
        <v>34950</v>
      </c>
      <c r="DK479">
        <v>2044</v>
      </c>
      <c r="DL479" t="s">
        <v>120</v>
      </c>
      <c r="DM479" t="s">
        <v>120</v>
      </c>
      <c r="DN479" t="s">
        <v>120</v>
      </c>
    </row>
    <row r="480" spans="1:118">
      <c r="A480" t="str">
        <f>"002045"</f>
        <v>002045</v>
      </c>
      <c r="B480" t="s">
        <v>3108</v>
      </c>
      <c r="C480">
        <v>-3.47</v>
      </c>
      <c r="D480">
        <v>0.16</v>
      </c>
      <c r="E480">
        <v>0.68</v>
      </c>
      <c r="F480">
        <v>3682</v>
      </c>
      <c r="G480" t="s">
        <v>3109</v>
      </c>
      <c r="H480">
        <v>24335.68</v>
      </c>
      <c r="I480">
        <v>53.85</v>
      </c>
      <c r="J480" t="s">
        <v>120</v>
      </c>
      <c r="K480" t="s">
        <v>3110</v>
      </c>
      <c r="L480">
        <v>4.0599999999999996</v>
      </c>
      <c r="M480">
        <v>12.78</v>
      </c>
      <c r="N480">
        <v>0.84</v>
      </c>
      <c r="O480">
        <v>0.68</v>
      </c>
      <c r="P480">
        <v>13.33</v>
      </c>
      <c r="Q480">
        <v>-5.74</v>
      </c>
      <c r="R480">
        <v>12.48</v>
      </c>
      <c r="S480">
        <v>13.33</v>
      </c>
      <c r="T480">
        <v>189956</v>
      </c>
      <c r="U480">
        <v>12.78</v>
      </c>
      <c r="V480">
        <v>13.24</v>
      </c>
      <c r="W480">
        <v>27.91</v>
      </c>
      <c r="X480" t="s">
        <v>229</v>
      </c>
      <c r="Y480" t="s">
        <v>547</v>
      </c>
      <c r="Z480">
        <v>6.42</v>
      </c>
      <c r="AA480">
        <v>12.81</v>
      </c>
      <c r="AB480">
        <v>115140</v>
      </c>
      <c r="AC480">
        <v>74816</v>
      </c>
      <c r="AD480">
        <v>1.54</v>
      </c>
      <c r="AE480">
        <v>221</v>
      </c>
      <c r="AF480">
        <v>809</v>
      </c>
      <c r="AG480" t="s">
        <v>120</v>
      </c>
      <c r="AH480">
        <v>0.01</v>
      </c>
      <c r="AI480" t="s">
        <v>120</v>
      </c>
      <c r="AJ480">
        <v>4.68</v>
      </c>
      <c r="AK480" t="s">
        <v>3111</v>
      </c>
      <c r="AL480">
        <v>-1.56</v>
      </c>
      <c r="AM480">
        <v>3188</v>
      </c>
      <c r="AN480">
        <v>60</v>
      </c>
      <c r="AO480">
        <v>1.2999999999999999E-3</v>
      </c>
      <c r="AP480">
        <v>-1</v>
      </c>
      <c r="AQ480">
        <v>0.23</v>
      </c>
      <c r="AR480">
        <v>-6.78</v>
      </c>
      <c r="AS480">
        <v>5.71</v>
      </c>
      <c r="AT480">
        <v>4.07</v>
      </c>
      <c r="AU480">
        <v>46.55</v>
      </c>
      <c r="AV480">
        <v>7</v>
      </c>
      <c r="AW480">
        <v>5.8</v>
      </c>
      <c r="AX480">
        <v>69.86</v>
      </c>
      <c r="AY480">
        <v>24.14</v>
      </c>
      <c r="AZ480">
        <v>33.22</v>
      </c>
      <c r="BA480">
        <v>1.27</v>
      </c>
      <c r="BB480" t="s">
        <v>143</v>
      </c>
      <c r="BF480">
        <v>-3.24</v>
      </c>
      <c r="BG480">
        <v>-4.13</v>
      </c>
      <c r="BH480">
        <v>-4.13</v>
      </c>
      <c r="BI480">
        <v>2.4</v>
      </c>
      <c r="BJ480">
        <v>20210825</v>
      </c>
      <c r="BK480">
        <v>20050523</v>
      </c>
      <c r="BL480">
        <v>4.68</v>
      </c>
      <c r="BM480" t="s">
        <v>120</v>
      </c>
      <c r="BN480" t="s">
        <v>120</v>
      </c>
      <c r="BO480">
        <v>45.85</v>
      </c>
      <c r="BP480">
        <v>12.77</v>
      </c>
      <c r="BQ480">
        <v>20.76</v>
      </c>
      <c r="BR480">
        <v>0.02</v>
      </c>
      <c r="BS480">
        <v>54.69</v>
      </c>
      <c r="BT480">
        <v>30.04</v>
      </c>
      <c r="BU480">
        <v>7.23</v>
      </c>
      <c r="BV480">
        <v>1.52</v>
      </c>
      <c r="BW480">
        <v>22.72</v>
      </c>
      <c r="BX480">
        <v>7.74</v>
      </c>
      <c r="BY480">
        <v>8.34</v>
      </c>
      <c r="BZ480">
        <v>10.65</v>
      </c>
      <c r="CA480" t="s">
        <v>120</v>
      </c>
      <c r="CB480">
        <v>8.2899999999999991</v>
      </c>
      <c r="CC480">
        <v>21.86</v>
      </c>
      <c r="CD480">
        <v>18.87</v>
      </c>
      <c r="CE480">
        <v>1.0900000000000001</v>
      </c>
      <c r="CF480">
        <v>0.01</v>
      </c>
      <c r="CG480">
        <v>1.1200000000000001</v>
      </c>
      <c r="CH480">
        <v>1.07</v>
      </c>
      <c r="CI480">
        <v>1.07</v>
      </c>
      <c r="CJ480">
        <v>-0.46</v>
      </c>
      <c r="CK480">
        <v>0.88</v>
      </c>
      <c r="CL480">
        <v>7.81</v>
      </c>
      <c r="CM480">
        <v>-1.28</v>
      </c>
      <c r="CN480">
        <v>0.99</v>
      </c>
      <c r="CO480">
        <v>31319</v>
      </c>
      <c r="CP480">
        <v>10448</v>
      </c>
      <c r="CQ480" t="s">
        <v>3112</v>
      </c>
      <c r="CR480">
        <v>189.65</v>
      </c>
      <c r="CS480">
        <v>54.44</v>
      </c>
      <c r="CT480">
        <v>2.88</v>
      </c>
      <c r="CU480">
        <v>-46.76</v>
      </c>
      <c r="CV480">
        <v>2.74</v>
      </c>
      <c r="CW480">
        <v>0</v>
      </c>
      <c r="CX480" t="s">
        <v>626</v>
      </c>
      <c r="CY480">
        <v>4.43</v>
      </c>
      <c r="CZ480">
        <v>0</v>
      </c>
      <c r="DA480">
        <v>1.77</v>
      </c>
      <c r="DB480">
        <v>1.67</v>
      </c>
      <c r="DC480">
        <v>-0.27</v>
      </c>
      <c r="DD480">
        <v>45.27</v>
      </c>
      <c r="DE480" t="s">
        <v>278</v>
      </c>
      <c r="DF480">
        <v>13.68</v>
      </c>
      <c r="DG480">
        <v>4.99</v>
      </c>
      <c r="DH480">
        <v>4.9000000000000004</v>
      </c>
      <c r="DI480">
        <v>1.07</v>
      </c>
      <c r="DJ480">
        <v>3452</v>
      </c>
      <c r="DK480">
        <v>2045</v>
      </c>
      <c r="DL480" t="s">
        <v>120</v>
      </c>
      <c r="DM480" t="s">
        <v>120</v>
      </c>
      <c r="DN480" t="s">
        <v>120</v>
      </c>
    </row>
    <row r="481" spans="1:118">
      <c r="A481" t="str">
        <f>"002046"</f>
        <v>002046</v>
      </c>
      <c r="B481" t="s">
        <v>3113</v>
      </c>
      <c r="C481">
        <v>9.98</v>
      </c>
      <c r="D481">
        <v>0</v>
      </c>
      <c r="E481">
        <v>2.2000000000000002</v>
      </c>
      <c r="F481">
        <v>1139</v>
      </c>
      <c r="G481" t="s">
        <v>3114</v>
      </c>
      <c r="H481">
        <v>58137</v>
      </c>
      <c r="I481">
        <v>1309.49</v>
      </c>
      <c r="J481">
        <v>2339.9699999999998</v>
      </c>
      <c r="K481" t="s">
        <v>3115</v>
      </c>
      <c r="L481">
        <v>8.23</v>
      </c>
      <c r="M481">
        <v>13.99</v>
      </c>
      <c r="N481">
        <v>2.25</v>
      </c>
      <c r="O481">
        <v>9.98</v>
      </c>
      <c r="P481">
        <v>13.99</v>
      </c>
      <c r="Q481">
        <v>1.49</v>
      </c>
      <c r="R481">
        <v>12.91</v>
      </c>
      <c r="S481">
        <v>13</v>
      </c>
      <c r="T481">
        <v>431533</v>
      </c>
      <c r="U481" t="s">
        <v>120</v>
      </c>
      <c r="V481">
        <v>12.72</v>
      </c>
      <c r="W481">
        <v>29.07</v>
      </c>
      <c r="X481" t="s">
        <v>959</v>
      </c>
      <c r="Y481" t="s">
        <v>645</v>
      </c>
      <c r="Z481">
        <v>8.49</v>
      </c>
      <c r="AA481">
        <v>13.47</v>
      </c>
      <c r="AB481">
        <v>209451</v>
      </c>
      <c r="AC481">
        <v>222082</v>
      </c>
      <c r="AD481">
        <v>0.94</v>
      </c>
      <c r="AE481">
        <v>16726</v>
      </c>
      <c r="AF481">
        <v>0</v>
      </c>
      <c r="AG481" t="s">
        <v>120</v>
      </c>
      <c r="AH481">
        <v>0.48</v>
      </c>
      <c r="AI481">
        <v>0.04</v>
      </c>
      <c r="AJ481">
        <v>5.24</v>
      </c>
      <c r="AK481" t="s">
        <v>3115</v>
      </c>
      <c r="AL481">
        <v>11.9</v>
      </c>
      <c r="AM481">
        <v>3000</v>
      </c>
      <c r="AN481">
        <v>144</v>
      </c>
      <c r="AO481">
        <v>2.7000000000000001E-3</v>
      </c>
      <c r="AP481">
        <v>3</v>
      </c>
      <c r="AQ481">
        <v>10.029999999999999</v>
      </c>
      <c r="AR481">
        <v>25.24</v>
      </c>
      <c r="AS481">
        <v>37.29</v>
      </c>
      <c r="AT481">
        <v>57.99</v>
      </c>
      <c r="AU481">
        <v>39.549999999999997</v>
      </c>
      <c r="AV481">
        <v>7</v>
      </c>
      <c r="AW481">
        <v>20.61</v>
      </c>
      <c r="AX481">
        <v>39.92</v>
      </c>
      <c r="AY481">
        <v>40.35</v>
      </c>
      <c r="AZ481">
        <v>107.1</v>
      </c>
      <c r="BA481">
        <v>0.75</v>
      </c>
      <c r="BB481" t="s">
        <v>168</v>
      </c>
      <c r="BF481">
        <v>5.91</v>
      </c>
      <c r="BG481">
        <v>7.62</v>
      </c>
      <c r="BH481">
        <v>0</v>
      </c>
      <c r="BI481">
        <v>8.3699999999999992</v>
      </c>
      <c r="BJ481">
        <v>20210913</v>
      </c>
      <c r="BK481">
        <v>20050526</v>
      </c>
      <c r="BL481">
        <v>5.24</v>
      </c>
      <c r="BM481" t="s">
        <v>120</v>
      </c>
      <c r="BN481" t="s">
        <v>120</v>
      </c>
      <c r="BO481">
        <v>48.98</v>
      </c>
      <c r="BP481">
        <v>13.99</v>
      </c>
      <c r="BQ481">
        <v>28.78</v>
      </c>
      <c r="BR481">
        <v>1.27</v>
      </c>
      <c r="BS481">
        <v>38.65</v>
      </c>
      <c r="BT481">
        <v>26.1</v>
      </c>
      <c r="BU481">
        <v>11.02</v>
      </c>
      <c r="BV481">
        <v>3.89</v>
      </c>
      <c r="BW481">
        <v>13.18</v>
      </c>
      <c r="BX481">
        <v>4.58</v>
      </c>
      <c r="BY481">
        <v>5.26</v>
      </c>
      <c r="BZ481">
        <v>8.65</v>
      </c>
      <c r="CA481" t="s">
        <v>120</v>
      </c>
      <c r="CB481">
        <v>15.37</v>
      </c>
      <c r="CC481">
        <v>16.68</v>
      </c>
      <c r="CD481">
        <v>12.87</v>
      </c>
      <c r="CE481">
        <v>1.64</v>
      </c>
      <c r="CF481">
        <v>-0.05</v>
      </c>
      <c r="CG481">
        <v>1.62</v>
      </c>
      <c r="CH481">
        <v>1.27</v>
      </c>
      <c r="CI481">
        <v>1.26</v>
      </c>
      <c r="CJ481">
        <v>1.27</v>
      </c>
      <c r="CK481">
        <v>1.0900000000000001</v>
      </c>
      <c r="CL481">
        <v>7.04</v>
      </c>
      <c r="CM481">
        <v>-0.03</v>
      </c>
      <c r="CN481">
        <v>-2.33</v>
      </c>
      <c r="CO481">
        <v>34233</v>
      </c>
      <c r="CP481">
        <v>6115</v>
      </c>
      <c r="CQ481" t="s">
        <v>3116</v>
      </c>
      <c r="CR481">
        <v>444.52</v>
      </c>
      <c r="CS481">
        <v>62.62</v>
      </c>
      <c r="CT481">
        <v>2.5499999999999998</v>
      </c>
      <c r="CU481">
        <v>-2569.7600000000002</v>
      </c>
      <c r="CV481">
        <v>4.4000000000000004</v>
      </c>
      <c r="CW481">
        <v>0.35</v>
      </c>
      <c r="CX481" t="s">
        <v>3117</v>
      </c>
      <c r="CY481">
        <v>5.49</v>
      </c>
      <c r="CZ481">
        <v>0</v>
      </c>
      <c r="DA481">
        <v>2.93</v>
      </c>
      <c r="DB481">
        <v>1.34</v>
      </c>
      <c r="DC481">
        <v>-0.01</v>
      </c>
      <c r="DD481">
        <v>58.76</v>
      </c>
      <c r="DE481" t="s">
        <v>3118</v>
      </c>
      <c r="DF481">
        <v>22.84</v>
      </c>
      <c r="DG481">
        <v>9.85</v>
      </c>
      <c r="DH481">
        <v>7.57</v>
      </c>
      <c r="DI481">
        <v>0.53</v>
      </c>
      <c r="DJ481">
        <v>1747</v>
      </c>
      <c r="DK481">
        <v>2046</v>
      </c>
      <c r="DL481" t="s">
        <v>120</v>
      </c>
      <c r="DM481" t="s">
        <v>120</v>
      </c>
      <c r="DN481" t="s">
        <v>120</v>
      </c>
    </row>
    <row r="482" spans="1:118">
      <c r="A482" t="str">
        <f>"002047"</f>
        <v>002047</v>
      </c>
      <c r="B482" t="s">
        <v>3119</v>
      </c>
      <c r="C482">
        <v>-3.03</v>
      </c>
      <c r="D482">
        <v>-0.3</v>
      </c>
      <c r="E482">
        <v>0.61</v>
      </c>
      <c r="F482">
        <v>1089</v>
      </c>
      <c r="G482" t="s">
        <v>3120</v>
      </c>
      <c r="H482">
        <v>5257.93</v>
      </c>
      <c r="I482">
        <v>73.97</v>
      </c>
      <c r="J482" t="s">
        <v>120</v>
      </c>
      <c r="K482" t="s">
        <v>3121</v>
      </c>
      <c r="L482">
        <v>1.21</v>
      </c>
      <c r="M482">
        <v>3.2</v>
      </c>
      <c r="N482">
        <v>0.9</v>
      </c>
      <c r="O482">
        <v>1.52</v>
      </c>
      <c r="P482">
        <v>3.35</v>
      </c>
      <c r="Q482">
        <v>-3.64</v>
      </c>
      <c r="R482">
        <v>3.18</v>
      </c>
      <c r="S482">
        <v>3.32</v>
      </c>
      <c r="T482">
        <v>162055</v>
      </c>
      <c r="U482">
        <v>3.21</v>
      </c>
      <c r="V482">
        <v>3.3</v>
      </c>
      <c r="W482">
        <v>35.39</v>
      </c>
      <c r="X482" t="s">
        <v>3122</v>
      </c>
      <c r="Y482" t="s">
        <v>123</v>
      </c>
      <c r="Z482">
        <v>5.15</v>
      </c>
      <c r="AA482">
        <v>3.24</v>
      </c>
      <c r="AB482">
        <v>102123</v>
      </c>
      <c r="AC482">
        <v>59932</v>
      </c>
      <c r="AD482">
        <v>1.7</v>
      </c>
      <c r="AE482">
        <v>391</v>
      </c>
      <c r="AF482">
        <v>1716</v>
      </c>
      <c r="AG482" t="s">
        <v>120</v>
      </c>
      <c r="AH482">
        <v>0.03</v>
      </c>
      <c r="AI482" t="s">
        <v>120</v>
      </c>
      <c r="AJ482">
        <v>13.36</v>
      </c>
      <c r="AK482" t="s">
        <v>3123</v>
      </c>
      <c r="AL482">
        <v>-1.1200000000000001</v>
      </c>
      <c r="AM482">
        <v>1714</v>
      </c>
      <c r="AN482">
        <v>95</v>
      </c>
      <c r="AO482">
        <v>6.9999999999999999E-4</v>
      </c>
      <c r="AP482">
        <v>-1</v>
      </c>
      <c r="AQ482">
        <v>2.48</v>
      </c>
      <c r="AR482">
        <v>-3.33</v>
      </c>
      <c r="AS482">
        <v>7.38</v>
      </c>
      <c r="AT482">
        <v>-10.11</v>
      </c>
      <c r="AU482">
        <v>-10.11</v>
      </c>
      <c r="AV482">
        <v>1</v>
      </c>
      <c r="AW482">
        <v>2.0299999999999998</v>
      </c>
      <c r="AX482">
        <v>59.39</v>
      </c>
      <c r="AY482">
        <v>66.930000000000007</v>
      </c>
      <c r="AZ482">
        <v>39.89</v>
      </c>
      <c r="BA482">
        <v>0.48</v>
      </c>
      <c r="BB482" t="s">
        <v>184</v>
      </c>
      <c r="BF482">
        <v>-1.68</v>
      </c>
      <c r="BG482">
        <v>-3.61</v>
      </c>
      <c r="BH482">
        <v>-4.4800000000000004</v>
      </c>
      <c r="BI482">
        <v>0.63</v>
      </c>
      <c r="BJ482">
        <v>20210901</v>
      </c>
      <c r="BK482">
        <v>20050531</v>
      </c>
      <c r="BL482">
        <v>13.41</v>
      </c>
      <c r="BM482" t="s">
        <v>120</v>
      </c>
      <c r="BN482" t="s">
        <v>120</v>
      </c>
      <c r="BO482">
        <v>127.49</v>
      </c>
      <c r="BP482">
        <v>3.2</v>
      </c>
      <c r="BQ482">
        <v>42.36</v>
      </c>
      <c r="BR482">
        <v>0.37</v>
      </c>
      <c r="BS482">
        <v>66.48</v>
      </c>
      <c r="BT482">
        <v>120.8</v>
      </c>
      <c r="BU482">
        <v>0.67</v>
      </c>
      <c r="BV482">
        <v>2.37</v>
      </c>
      <c r="BW482">
        <v>83.72</v>
      </c>
      <c r="BX482">
        <v>19.59</v>
      </c>
      <c r="BY482">
        <v>0.52</v>
      </c>
      <c r="BZ482">
        <v>27.62</v>
      </c>
      <c r="CA482" t="s">
        <v>120</v>
      </c>
      <c r="CB482">
        <v>17.2</v>
      </c>
      <c r="CC482">
        <v>23.88</v>
      </c>
      <c r="CD482">
        <v>20.13</v>
      </c>
      <c r="CE482">
        <v>0.37</v>
      </c>
      <c r="CF482">
        <v>0.01</v>
      </c>
      <c r="CG482">
        <v>0.68</v>
      </c>
      <c r="CH482">
        <v>0.6</v>
      </c>
      <c r="CI482">
        <v>0.61</v>
      </c>
      <c r="CJ482">
        <v>-0.1</v>
      </c>
      <c r="CK482">
        <v>0.3</v>
      </c>
      <c r="CL482">
        <v>19.88</v>
      </c>
      <c r="CM482">
        <v>2.12</v>
      </c>
      <c r="CN482">
        <v>0.65</v>
      </c>
      <c r="CO482">
        <v>42984</v>
      </c>
      <c r="CP482">
        <v>18531</v>
      </c>
      <c r="CQ482" t="s">
        <v>3124</v>
      </c>
      <c r="CR482">
        <v>-42.51</v>
      </c>
      <c r="CS482">
        <v>-12.5</v>
      </c>
      <c r="CT482">
        <v>1.01</v>
      </c>
      <c r="CU482">
        <v>20.28</v>
      </c>
      <c r="CV482">
        <v>1.8</v>
      </c>
      <c r="CW482">
        <v>0.3</v>
      </c>
      <c r="CX482" t="s">
        <v>1248</v>
      </c>
      <c r="CY482">
        <v>3.16</v>
      </c>
      <c r="CZ482">
        <v>0</v>
      </c>
      <c r="DA482">
        <v>1.28</v>
      </c>
      <c r="DB482">
        <v>1.48</v>
      </c>
      <c r="DC482">
        <v>0.16</v>
      </c>
      <c r="DD482">
        <v>33.229999999999997</v>
      </c>
      <c r="DE482" t="s">
        <v>1242</v>
      </c>
      <c r="DF482">
        <v>15.71</v>
      </c>
      <c r="DG482">
        <v>1.56</v>
      </c>
      <c r="DH482">
        <v>2.54</v>
      </c>
      <c r="DI482">
        <v>0.78</v>
      </c>
      <c r="DJ482">
        <v>2129</v>
      </c>
      <c r="DK482">
        <v>2047</v>
      </c>
      <c r="DL482" t="s">
        <v>120</v>
      </c>
      <c r="DM482" t="s">
        <v>120</v>
      </c>
      <c r="DN482" t="s">
        <v>120</v>
      </c>
    </row>
    <row r="483" spans="1:118">
      <c r="A483" t="str">
        <f>"002048"</f>
        <v>002048</v>
      </c>
      <c r="B483" t="s">
        <v>3125</v>
      </c>
      <c r="C483">
        <v>-2.37</v>
      </c>
      <c r="D483">
        <v>0</v>
      </c>
      <c r="E483">
        <v>0</v>
      </c>
      <c r="F483">
        <v>1135</v>
      </c>
      <c r="G483" t="s">
        <v>3126</v>
      </c>
      <c r="H483">
        <v>32641.65</v>
      </c>
      <c r="I483">
        <v>46.5</v>
      </c>
      <c r="J483" t="s">
        <v>120</v>
      </c>
      <c r="K483" t="s">
        <v>3127</v>
      </c>
      <c r="L483">
        <v>2.5299999999999998</v>
      </c>
      <c r="M483">
        <v>22.7</v>
      </c>
      <c r="N483">
        <v>0.86</v>
      </c>
      <c r="O483">
        <v>2.75</v>
      </c>
      <c r="P483">
        <v>23.89</v>
      </c>
      <c r="Q483">
        <v>-3.23</v>
      </c>
      <c r="R483">
        <v>22.5</v>
      </c>
      <c r="S483">
        <v>23.25</v>
      </c>
      <c r="T483">
        <v>141154</v>
      </c>
      <c r="U483">
        <v>22.7</v>
      </c>
      <c r="V483">
        <v>23.25</v>
      </c>
      <c r="W483">
        <v>10.97</v>
      </c>
      <c r="X483" t="s">
        <v>289</v>
      </c>
      <c r="Y483" t="s">
        <v>585</v>
      </c>
      <c r="Z483">
        <v>5.98</v>
      </c>
      <c r="AA483">
        <v>23.12</v>
      </c>
      <c r="AB483">
        <v>78824</v>
      </c>
      <c r="AC483">
        <v>62330</v>
      </c>
      <c r="AD483">
        <v>1.26</v>
      </c>
      <c r="AE483">
        <v>103</v>
      </c>
      <c r="AF483">
        <v>1090</v>
      </c>
      <c r="AG483" t="s">
        <v>120</v>
      </c>
      <c r="AH483">
        <v>0</v>
      </c>
      <c r="AI483" t="s">
        <v>120</v>
      </c>
      <c r="AJ483">
        <v>5.58</v>
      </c>
      <c r="AK483" t="s">
        <v>3128</v>
      </c>
      <c r="AL483">
        <v>-0.45</v>
      </c>
      <c r="AM483">
        <v>3598</v>
      </c>
      <c r="AN483">
        <v>39</v>
      </c>
      <c r="AO483">
        <v>6.9999999999999999E-4</v>
      </c>
      <c r="AP483">
        <v>-1</v>
      </c>
      <c r="AQ483">
        <v>1.53</v>
      </c>
      <c r="AR483">
        <v>-2.58</v>
      </c>
      <c r="AS483">
        <v>15.11</v>
      </c>
      <c r="AT483">
        <v>26.67</v>
      </c>
      <c r="AU483">
        <v>50.63</v>
      </c>
      <c r="AV483">
        <v>3</v>
      </c>
      <c r="AW483">
        <v>3.16</v>
      </c>
      <c r="AX483">
        <v>71.25</v>
      </c>
      <c r="AY483">
        <v>12.4</v>
      </c>
      <c r="AZ483">
        <v>17.14</v>
      </c>
      <c r="BA483">
        <v>0.82</v>
      </c>
      <c r="BB483" t="s">
        <v>184</v>
      </c>
      <c r="BF483">
        <v>-0.54</v>
      </c>
      <c r="BG483">
        <v>-2.37</v>
      </c>
      <c r="BH483">
        <v>-4.9800000000000004</v>
      </c>
      <c r="BI483">
        <v>0.89</v>
      </c>
      <c r="BJ483">
        <v>20210826</v>
      </c>
      <c r="BK483">
        <v>20050603</v>
      </c>
      <c r="BL483">
        <v>6.26</v>
      </c>
      <c r="BM483" t="s">
        <v>120</v>
      </c>
      <c r="BN483" t="s">
        <v>120</v>
      </c>
      <c r="BO483">
        <v>192.87</v>
      </c>
      <c r="BP483">
        <v>22.68</v>
      </c>
      <c r="BQ483">
        <v>104.41</v>
      </c>
      <c r="BR483">
        <v>11.91</v>
      </c>
      <c r="BS483">
        <v>39.69</v>
      </c>
      <c r="BT483">
        <v>105.16</v>
      </c>
      <c r="BU483">
        <v>32.36</v>
      </c>
      <c r="BV483">
        <v>4.17</v>
      </c>
      <c r="BW483">
        <v>62.03</v>
      </c>
      <c r="BX483">
        <v>33.43</v>
      </c>
      <c r="BY483">
        <v>22.54</v>
      </c>
      <c r="BZ483">
        <v>34.08</v>
      </c>
      <c r="CA483" t="s">
        <v>120</v>
      </c>
      <c r="CB483">
        <v>26.43</v>
      </c>
      <c r="CC483">
        <v>85</v>
      </c>
      <c r="CD483">
        <v>69.37</v>
      </c>
      <c r="CE483">
        <v>9.06</v>
      </c>
      <c r="CF483">
        <v>1.75</v>
      </c>
      <c r="CG483">
        <v>9.0399999999999991</v>
      </c>
      <c r="CH483">
        <v>7.81</v>
      </c>
      <c r="CI483">
        <v>6.48</v>
      </c>
      <c r="CJ483">
        <v>-0.55000000000000004</v>
      </c>
      <c r="CK483">
        <v>6.29</v>
      </c>
      <c r="CL483">
        <v>60.33</v>
      </c>
      <c r="CM483">
        <v>6.78</v>
      </c>
      <c r="CN483">
        <v>1.01</v>
      </c>
      <c r="CO483">
        <v>35141</v>
      </c>
      <c r="CP483">
        <v>12698</v>
      </c>
      <c r="CQ483" t="s">
        <v>3129</v>
      </c>
      <c r="CR483">
        <v>100.35</v>
      </c>
      <c r="CS483">
        <v>23.38</v>
      </c>
      <c r="CT483">
        <v>1.36</v>
      </c>
      <c r="CU483">
        <v>20.96</v>
      </c>
      <c r="CV483">
        <v>1.67</v>
      </c>
      <c r="CW483">
        <v>2.15</v>
      </c>
      <c r="CX483" t="s">
        <v>3130</v>
      </c>
      <c r="CY483">
        <v>16.670000000000002</v>
      </c>
      <c r="CZ483">
        <v>0</v>
      </c>
      <c r="DA483">
        <v>4.22</v>
      </c>
      <c r="DB483">
        <v>9.6300000000000008</v>
      </c>
      <c r="DC483">
        <v>1.08</v>
      </c>
      <c r="DD483">
        <v>54.13</v>
      </c>
      <c r="DE483" t="s">
        <v>2467</v>
      </c>
      <c r="DF483">
        <v>18.39</v>
      </c>
      <c r="DG483">
        <v>10.66</v>
      </c>
      <c r="DH483">
        <v>7.62</v>
      </c>
      <c r="DI483">
        <v>2.66</v>
      </c>
      <c r="DJ483">
        <v>15449</v>
      </c>
      <c r="DK483">
        <v>2048</v>
      </c>
      <c r="DL483" t="s">
        <v>120</v>
      </c>
      <c r="DM483" t="s">
        <v>120</v>
      </c>
      <c r="DN483" t="s">
        <v>120</v>
      </c>
    </row>
    <row r="484" spans="1:118">
      <c r="A484" t="str">
        <f>"002049"</f>
        <v>002049</v>
      </c>
      <c r="B484" t="s">
        <v>3131</v>
      </c>
      <c r="C484">
        <v>-5.61</v>
      </c>
      <c r="D484">
        <v>0.12</v>
      </c>
      <c r="E484">
        <v>-2.21</v>
      </c>
      <c r="F484">
        <v>1627</v>
      </c>
      <c r="G484" t="s">
        <v>3132</v>
      </c>
      <c r="H484">
        <v>214107.78</v>
      </c>
      <c r="I484">
        <v>1156.68</v>
      </c>
      <c r="J484" t="s">
        <v>120</v>
      </c>
      <c r="K484" t="s">
        <v>3133</v>
      </c>
      <c r="L484">
        <v>1.78</v>
      </c>
      <c r="M484">
        <v>196.9</v>
      </c>
      <c r="N484">
        <v>0.84</v>
      </c>
      <c r="O484">
        <v>-1.77</v>
      </c>
      <c r="P484">
        <v>204.9</v>
      </c>
      <c r="Q484">
        <v>-7.63</v>
      </c>
      <c r="R484">
        <v>192.68</v>
      </c>
      <c r="S484">
        <v>204</v>
      </c>
      <c r="T484">
        <v>108265</v>
      </c>
      <c r="U484">
        <v>196.92</v>
      </c>
      <c r="V484">
        <v>208.6</v>
      </c>
      <c r="W484">
        <v>68.23</v>
      </c>
      <c r="X484" t="s">
        <v>229</v>
      </c>
      <c r="Y484" t="s">
        <v>602</v>
      </c>
      <c r="Z484">
        <v>5.86</v>
      </c>
      <c r="AA484">
        <v>197.76</v>
      </c>
      <c r="AB484">
        <v>62123</v>
      </c>
      <c r="AC484">
        <v>46142</v>
      </c>
      <c r="AD484">
        <v>1.35</v>
      </c>
      <c r="AE484">
        <v>12</v>
      </c>
      <c r="AF484">
        <v>26</v>
      </c>
      <c r="AG484" t="s">
        <v>120</v>
      </c>
      <c r="AH484">
        <v>0.01</v>
      </c>
      <c r="AI484" t="s">
        <v>120</v>
      </c>
      <c r="AJ484">
        <v>6.07</v>
      </c>
      <c r="AK484" t="s">
        <v>3133</v>
      </c>
      <c r="AL484">
        <v>-3.7</v>
      </c>
      <c r="AM484">
        <v>4572</v>
      </c>
      <c r="AN484">
        <v>24</v>
      </c>
      <c r="AO484">
        <v>4.0000000000000002E-4</v>
      </c>
      <c r="AP484">
        <v>-1</v>
      </c>
      <c r="AQ484">
        <v>4.09</v>
      </c>
      <c r="AR484">
        <v>-2.06</v>
      </c>
      <c r="AS484">
        <v>0.3</v>
      </c>
      <c r="AT484">
        <v>33.31</v>
      </c>
      <c r="AU484">
        <v>47.3</v>
      </c>
      <c r="AV484">
        <v>3</v>
      </c>
      <c r="AW484">
        <v>2.64</v>
      </c>
      <c r="AX484">
        <v>67.61</v>
      </c>
      <c r="AY484">
        <v>98.89</v>
      </c>
      <c r="AZ484">
        <v>156.97</v>
      </c>
      <c r="BA484">
        <v>0.66</v>
      </c>
      <c r="BB484" t="s">
        <v>168</v>
      </c>
      <c r="BF484">
        <v>-5.19</v>
      </c>
      <c r="BG484">
        <v>-3.48</v>
      </c>
      <c r="BH484">
        <v>-3.9</v>
      </c>
      <c r="BI484">
        <v>2.19</v>
      </c>
      <c r="BJ484">
        <v>20210915</v>
      </c>
      <c r="BK484">
        <v>20050606</v>
      </c>
      <c r="BL484">
        <v>6.07</v>
      </c>
      <c r="BM484" t="s">
        <v>120</v>
      </c>
      <c r="BN484" t="s">
        <v>120</v>
      </c>
      <c r="BO484">
        <v>100.69</v>
      </c>
      <c r="BP484">
        <v>196.9</v>
      </c>
      <c r="BQ484">
        <v>61.66</v>
      </c>
      <c r="BR484">
        <v>0.14000000000000001</v>
      </c>
      <c r="BS484">
        <v>38.619999999999997</v>
      </c>
      <c r="BT484">
        <v>73.95</v>
      </c>
      <c r="BU484">
        <v>2.41</v>
      </c>
      <c r="BV484">
        <v>2.68</v>
      </c>
      <c r="BW484">
        <v>22.28</v>
      </c>
      <c r="BX484">
        <v>25.79</v>
      </c>
      <c r="BY484">
        <v>10.3</v>
      </c>
      <c r="BZ484">
        <v>26.27</v>
      </c>
      <c r="CA484">
        <v>0</v>
      </c>
      <c r="CB484">
        <v>8.84</v>
      </c>
      <c r="CC484">
        <v>22.92</v>
      </c>
      <c r="CD484">
        <v>9.85</v>
      </c>
      <c r="CE484">
        <v>9.84</v>
      </c>
      <c r="CF484">
        <v>0.85</v>
      </c>
      <c r="CG484">
        <v>9.84</v>
      </c>
      <c r="CH484">
        <v>8.84</v>
      </c>
      <c r="CI484">
        <v>8.76</v>
      </c>
      <c r="CJ484">
        <v>-11.7</v>
      </c>
      <c r="CK484">
        <v>8.02</v>
      </c>
      <c r="CL484">
        <v>43.79</v>
      </c>
      <c r="CM484">
        <v>1.81</v>
      </c>
      <c r="CN484">
        <v>12.02</v>
      </c>
      <c r="CO484">
        <v>64068</v>
      </c>
      <c r="CP484">
        <v>6403</v>
      </c>
      <c r="CQ484" t="s">
        <v>3134</v>
      </c>
      <c r="CR484">
        <v>117.84</v>
      </c>
      <c r="CS484">
        <v>56.54</v>
      </c>
      <c r="CT484">
        <v>19.95</v>
      </c>
      <c r="CU484">
        <v>660.15</v>
      </c>
      <c r="CV484">
        <v>52.12</v>
      </c>
      <c r="CW484">
        <v>0.06</v>
      </c>
      <c r="CX484" t="s">
        <v>3135</v>
      </c>
      <c r="CY484">
        <v>9.8699999999999992</v>
      </c>
      <c r="CZ484">
        <v>9.8699999999999992</v>
      </c>
      <c r="DA484">
        <v>1.46</v>
      </c>
      <c r="DB484">
        <v>7.22</v>
      </c>
      <c r="DC484">
        <v>0.3</v>
      </c>
      <c r="DD484">
        <v>61.23</v>
      </c>
      <c r="DE484" t="s">
        <v>1527</v>
      </c>
      <c r="DF484">
        <v>57.02</v>
      </c>
      <c r="DG484">
        <v>42.92</v>
      </c>
      <c r="DH484">
        <v>38.19</v>
      </c>
      <c r="DI484">
        <v>2.04</v>
      </c>
      <c r="DJ484">
        <v>1899</v>
      </c>
      <c r="DK484">
        <v>2049</v>
      </c>
      <c r="DL484">
        <v>20210701</v>
      </c>
      <c r="DM484">
        <v>156.6</v>
      </c>
      <c r="DN484">
        <v>25.73</v>
      </c>
    </row>
    <row r="485" spans="1:118">
      <c r="A485" t="str">
        <f>"002050"</f>
        <v>002050</v>
      </c>
      <c r="B485" t="s">
        <v>3136</v>
      </c>
      <c r="C485">
        <v>-1.22</v>
      </c>
      <c r="D485">
        <v>0.35</v>
      </c>
      <c r="E485">
        <v>-0.09</v>
      </c>
      <c r="F485">
        <v>1981</v>
      </c>
      <c r="G485" t="s">
        <v>3137</v>
      </c>
      <c r="H485">
        <v>76218.740000000005</v>
      </c>
      <c r="I485">
        <v>220.02</v>
      </c>
      <c r="J485" t="s">
        <v>120</v>
      </c>
      <c r="K485" t="s">
        <v>3138</v>
      </c>
      <c r="L485">
        <v>0.95</v>
      </c>
      <c r="M485">
        <v>22.75</v>
      </c>
      <c r="N485">
        <v>1.1100000000000001</v>
      </c>
      <c r="O485">
        <v>2.2599999999999998</v>
      </c>
      <c r="P485">
        <v>23.55</v>
      </c>
      <c r="Q485">
        <v>-2.4300000000000002</v>
      </c>
      <c r="R485">
        <v>22.47</v>
      </c>
      <c r="S485">
        <v>23.01</v>
      </c>
      <c r="T485">
        <v>335021</v>
      </c>
      <c r="U485">
        <v>22.75</v>
      </c>
      <c r="V485">
        <v>23.03</v>
      </c>
      <c r="W485">
        <v>49.59</v>
      </c>
      <c r="X485" t="s">
        <v>959</v>
      </c>
      <c r="Y485" t="s">
        <v>585</v>
      </c>
      <c r="Z485">
        <v>4.6900000000000004</v>
      </c>
      <c r="AA485">
        <v>22.75</v>
      </c>
      <c r="AB485">
        <v>170624</v>
      </c>
      <c r="AC485">
        <v>164397</v>
      </c>
      <c r="AD485">
        <v>1.04</v>
      </c>
      <c r="AE485">
        <v>4</v>
      </c>
      <c r="AF485">
        <v>176</v>
      </c>
      <c r="AG485" t="s">
        <v>120</v>
      </c>
      <c r="AH485">
        <v>0.01</v>
      </c>
      <c r="AI485" t="s">
        <v>120</v>
      </c>
      <c r="AJ485">
        <v>35.35</v>
      </c>
      <c r="AK485" t="s">
        <v>3139</v>
      </c>
      <c r="AL485">
        <v>0.7</v>
      </c>
      <c r="AM485">
        <v>4219</v>
      </c>
      <c r="AN485">
        <v>79</v>
      </c>
      <c r="AO485">
        <v>2.0000000000000001E-4</v>
      </c>
      <c r="AP485">
        <v>-7</v>
      </c>
      <c r="AQ485">
        <v>-4.04</v>
      </c>
      <c r="AR485">
        <v>-5.44</v>
      </c>
      <c r="AS485">
        <v>-5.72</v>
      </c>
      <c r="AT485">
        <v>-0.61</v>
      </c>
      <c r="AU485">
        <v>-6.76</v>
      </c>
      <c r="AV485">
        <v>2</v>
      </c>
      <c r="AW485">
        <v>1.93</v>
      </c>
      <c r="AX485">
        <v>48.3</v>
      </c>
      <c r="AY485">
        <v>50.36</v>
      </c>
      <c r="AZ485">
        <v>56.57</v>
      </c>
      <c r="BA485">
        <v>0.71</v>
      </c>
      <c r="BB485" t="s">
        <v>1723</v>
      </c>
      <c r="BF485">
        <v>-1.21</v>
      </c>
      <c r="BG485">
        <v>-1.1299999999999999</v>
      </c>
      <c r="BH485">
        <v>-3.4</v>
      </c>
      <c r="BI485">
        <v>1.25</v>
      </c>
      <c r="BJ485">
        <v>20210812</v>
      </c>
      <c r="BK485">
        <v>20050607</v>
      </c>
      <c r="BL485">
        <v>35.92</v>
      </c>
      <c r="BM485" t="s">
        <v>120</v>
      </c>
      <c r="BN485" t="s">
        <v>120</v>
      </c>
      <c r="BO485">
        <v>210.07</v>
      </c>
      <c r="BP485">
        <v>22.73</v>
      </c>
      <c r="BQ485">
        <v>104.44</v>
      </c>
      <c r="BR485">
        <v>1.01</v>
      </c>
      <c r="BS485">
        <v>49.81</v>
      </c>
      <c r="BT485">
        <v>148.87</v>
      </c>
      <c r="BU485">
        <v>39.659999999999997</v>
      </c>
      <c r="BV485">
        <v>6.43</v>
      </c>
      <c r="BW485">
        <v>65.069999999999993</v>
      </c>
      <c r="BX485">
        <v>63.02</v>
      </c>
      <c r="BY485">
        <v>29.18</v>
      </c>
      <c r="BZ485">
        <v>31.01</v>
      </c>
      <c r="CA485">
        <v>0.1</v>
      </c>
      <c r="CB485">
        <v>3.36</v>
      </c>
      <c r="CC485">
        <v>76.739999999999995</v>
      </c>
      <c r="CD485">
        <v>56.02</v>
      </c>
      <c r="CE485">
        <v>10.08</v>
      </c>
      <c r="CF485">
        <v>0.97</v>
      </c>
      <c r="CG485">
        <v>10.07</v>
      </c>
      <c r="CH485">
        <v>8.36</v>
      </c>
      <c r="CI485">
        <v>8.24</v>
      </c>
      <c r="CJ485">
        <v>-0.28000000000000003</v>
      </c>
      <c r="CK485">
        <v>7.2</v>
      </c>
      <c r="CL485">
        <v>58.19</v>
      </c>
      <c r="CM485">
        <v>8.25</v>
      </c>
      <c r="CN485">
        <v>28.12</v>
      </c>
      <c r="CO485">
        <v>77721</v>
      </c>
      <c r="CP485">
        <v>22320</v>
      </c>
      <c r="CQ485" t="s">
        <v>3140</v>
      </c>
      <c r="CR485">
        <v>28.03</v>
      </c>
      <c r="CS485">
        <v>44.3</v>
      </c>
      <c r="CT485">
        <v>8.14</v>
      </c>
      <c r="CU485">
        <v>99.02</v>
      </c>
      <c r="CV485">
        <v>10.65</v>
      </c>
      <c r="CW485">
        <v>1.08</v>
      </c>
      <c r="CX485" t="s">
        <v>694</v>
      </c>
      <c r="CY485">
        <v>2.79</v>
      </c>
      <c r="CZ485">
        <v>2.79</v>
      </c>
      <c r="DA485">
        <v>0.09</v>
      </c>
      <c r="DB485">
        <v>1.62</v>
      </c>
      <c r="DC485">
        <v>0.23</v>
      </c>
      <c r="DD485">
        <v>49.72</v>
      </c>
      <c r="DE485" t="s">
        <v>3141</v>
      </c>
      <c r="DF485">
        <v>27</v>
      </c>
      <c r="DG485">
        <v>13.14</v>
      </c>
      <c r="DH485">
        <v>10.74</v>
      </c>
      <c r="DI485">
        <v>3.52</v>
      </c>
      <c r="DJ485">
        <v>13073</v>
      </c>
      <c r="DK485">
        <v>2050</v>
      </c>
      <c r="DL485" t="s">
        <v>120</v>
      </c>
      <c r="DM485" t="s">
        <v>120</v>
      </c>
      <c r="DN485" t="s">
        <v>120</v>
      </c>
    </row>
    <row r="486" spans="1:118">
      <c r="A486" t="str">
        <f>"002051"</f>
        <v>002051</v>
      </c>
      <c r="B486" t="s">
        <v>3142</v>
      </c>
      <c r="C486">
        <v>-0.79</v>
      </c>
      <c r="D486">
        <v>0.13</v>
      </c>
      <c r="E486">
        <v>0.13</v>
      </c>
      <c r="F486">
        <v>1514</v>
      </c>
      <c r="G486" t="s">
        <v>3143</v>
      </c>
      <c r="H486">
        <v>8022.57</v>
      </c>
      <c r="I486">
        <v>29.75</v>
      </c>
      <c r="J486" t="s">
        <v>120</v>
      </c>
      <c r="K486" t="s">
        <v>3144</v>
      </c>
      <c r="L486">
        <v>0.94</v>
      </c>
      <c r="M486">
        <v>7.52</v>
      </c>
      <c r="N486">
        <v>0.69</v>
      </c>
      <c r="O486">
        <v>3.17</v>
      </c>
      <c r="P486">
        <v>7.82</v>
      </c>
      <c r="Q486">
        <v>-0.92</v>
      </c>
      <c r="R486">
        <v>7.51</v>
      </c>
      <c r="S486">
        <v>7.59</v>
      </c>
      <c r="T486">
        <v>104384</v>
      </c>
      <c r="U486">
        <v>7.52</v>
      </c>
      <c r="V486">
        <v>7.58</v>
      </c>
      <c r="W486">
        <v>28.23</v>
      </c>
      <c r="X486" t="s">
        <v>175</v>
      </c>
      <c r="Y486" t="s">
        <v>158</v>
      </c>
      <c r="Z486">
        <v>4.09</v>
      </c>
      <c r="AA486">
        <v>7.69</v>
      </c>
      <c r="AB486">
        <v>52280</v>
      </c>
      <c r="AC486">
        <v>52104</v>
      </c>
      <c r="AD486">
        <v>1</v>
      </c>
      <c r="AE486">
        <v>2318</v>
      </c>
      <c r="AF486">
        <v>358</v>
      </c>
      <c r="AG486" t="s">
        <v>120</v>
      </c>
      <c r="AH486">
        <v>0.01</v>
      </c>
      <c r="AI486" t="s">
        <v>120</v>
      </c>
      <c r="AJ486">
        <v>11.12</v>
      </c>
      <c r="AK486" t="s">
        <v>3145</v>
      </c>
      <c r="AL486">
        <v>1.1200000000000001</v>
      </c>
      <c r="AM486">
        <v>2372</v>
      </c>
      <c r="AN486">
        <v>44</v>
      </c>
      <c r="AO486">
        <v>4.0000000000000002E-4</v>
      </c>
      <c r="AP486">
        <v>-3</v>
      </c>
      <c r="AQ486">
        <v>-0.26</v>
      </c>
      <c r="AR486">
        <v>-3.34</v>
      </c>
      <c r="AS486">
        <v>9.4600000000000009</v>
      </c>
      <c r="AT486">
        <v>17.87</v>
      </c>
      <c r="AU486">
        <v>6.06</v>
      </c>
      <c r="AV486">
        <v>0</v>
      </c>
      <c r="AW486">
        <v>2.3199999999999998</v>
      </c>
      <c r="AX486">
        <v>36.33</v>
      </c>
      <c r="AY486" t="s">
        <v>120</v>
      </c>
      <c r="AZ486" t="s">
        <v>120</v>
      </c>
      <c r="BA486">
        <v>0.27</v>
      </c>
      <c r="BB486" t="s">
        <v>143</v>
      </c>
      <c r="BF486">
        <v>1.39</v>
      </c>
      <c r="BG486">
        <v>-0.92</v>
      </c>
      <c r="BH486">
        <v>-3.84</v>
      </c>
      <c r="BI486">
        <v>0.13</v>
      </c>
      <c r="BJ486">
        <v>20210821</v>
      </c>
      <c r="BK486">
        <v>20060619</v>
      </c>
      <c r="BL486">
        <v>12.37</v>
      </c>
      <c r="BM486" t="s">
        <v>120</v>
      </c>
      <c r="BN486" t="s">
        <v>120</v>
      </c>
      <c r="BO486">
        <v>213.34</v>
      </c>
      <c r="BP486">
        <v>7.51</v>
      </c>
      <c r="BQ486">
        <v>106.25</v>
      </c>
      <c r="BR486">
        <v>1.28</v>
      </c>
      <c r="BS486">
        <v>49.6</v>
      </c>
      <c r="BT486">
        <v>173.87</v>
      </c>
      <c r="BU486">
        <v>12.79</v>
      </c>
      <c r="BV486">
        <v>3.9</v>
      </c>
      <c r="BW486">
        <v>96.98</v>
      </c>
      <c r="BX486">
        <v>62.69</v>
      </c>
      <c r="BY486">
        <v>40.79</v>
      </c>
      <c r="BZ486">
        <v>46.17</v>
      </c>
      <c r="CA486" t="s">
        <v>120</v>
      </c>
      <c r="CB486">
        <v>23.54</v>
      </c>
      <c r="CC486">
        <v>40.700000000000003</v>
      </c>
      <c r="CD486">
        <v>34.54</v>
      </c>
      <c r="CE486">
        <v>1.69</v>
      </c>
      <c r="CF486">
        <v>0.86</v>
      </c>
      <c r="CG486">
        <v>1.72</v>
      </c>
      <c r="CH486">
        <v>1.56</v>
      </c>
      <c r="CI486">
        <v>1.65</v>
      </c>
      <c r="CJ486">
        <v>-0.06</v>
      </c>
      <c r="CK486">
        <v>0.73</v>
      </c>
      <c r="CL486">
        <v>61.43</v>
      </c>
      <c r="CM486">
        <v>-10.15</v>
      </c>
      <c r="CN486">
        <v>-17.25</v>
      </c>
      <c r="CO486">
        <v>40671</v>
      </c>
      <c r="CP486">
        <v>11055</v>
      </c>
      <c r="CQ486" t="s">
        <v>3146</v>
      </c>
      <c r="CR486">
        <v>94.09</v>
      </c>
      <c r="CS486">
        <v>15.43</v>
      </c>
      <c r="CT486">
        <v>0.88</v>
      </c>
      <c r="CU486">
        <v>-9.17</v>
      </c>
      <c r="CV486">
        <v>2.29</v>
      </c>
      <c r="CW486">
        <v>0</v>
      </c>
      <c r="CX486" t="s">
        <v>986</v>
      </c>
      <c r="CY486">
        <v>8.59</v>
      </c>
      <c r="CZ486">
        <v>0</v>
      </c>
      <c r="DA486">
        <v>1.9</v>
      </c>
      <c r="DB486">
        <v>4.96</v>
      </c>
      <c r="DC486">
        <v>-0.82</v>
      </c>
      <c r="DD486">
        <v>49.8</v>
      </c>
      <c r="DE486" t="s">
        <v>774</v>
      </c>
      <c r="DF486">
        <v>15.13</v>
      </c>
      <c r="DG486">
        <v>4.16</v>
      </c>
      <c r="DH486">
        <v>4.05</v>
      </c>
      <c r="DI486">
        <v>1.17</v>
      </c>
      <c r="DJ486">
        <v>5775</v>
      </c>
      <c r="DK486">
        <v>2051</v>
      </c>
      <c r="DL486" t="s">
        <v>120</v>
      </c>
      <c r="DM486" t="s">
        <v>120</v>
      </c>
      <c r="DN486" t="s">
        <v>120</v>
      </c>
    </row>
    <row r="487" spans="1:118">
      <c r="A487" t="str">
        <f>"002053"</f>
        <v>002053</v>
      </c>
      <c r="B487" t="s">
        <v>3147</v>
      </c>
      <c r="C487">
        <v>-1.21</v>
      </c>
      <c r="D487">
        <v>0</v>
      </c>
      <c r="E487">
        <v>0.09</v>
      </c>
      <c r="F487">
        <v>963</v>
      </c>
      <c r="G487" t="s">
        <v>3148</v>
      </c>
      <c r="H487">
        <v>10249.11</v>
      </c>
      <c r="I487">
        <v>11.44</v>
      </c>
      <c r="J487" t="s">
        <v>120</v>
      </c>
      <c r="K487" t="s">
        <v>2861</v>
      </c>
      <c r="L487">
        <v>1.68</v>
      </c>
      <c r="M487">
        <v>10.65</v>
      </c>
      <c r="N487">
        <v>0.81</v>
      </c>
      <c r="O487">
        <v>4.82</v>
      </c>
      <c r="P487">
        <v>11.3</v>
      </c>
      <c r="Q487">
        <v>-1.48</v>
      </c>
      <c r="R487">
        <v>10.62</v>
      </c>
      <c r="S487">
        <v>10.79</v>
      </c>
      <c r="T487">
        <v>93835</v>
      </c>
      <c r="U487">
        <v>10.65</v>
      </c>
      <c r="V487">
        <v>10.78</v>
      </c>
      <c r="W487">
        <v>31.67</v>
      </c>
      <c r="X487" t="s">
        <v>847</v>
      </c>
      <c r="Y487" t="s">
        <v>1006</v>
      </c>
      <c r="Z487">
        <v>6.31</v>
      </c>
      <c r="AA487">
        <v>10.92</v>
      </c>
      <c r="AB487">
        <v>48464</v>
      </c>
      <c r="AC487">
        <v>45371</v>
      </c>
      <c r="AD487">
        <v>1.07</v>
      </c>
      <c r="AE487">
        <v>55</v>
      </c>
      <c r="AF487">
        <v>166</v>
      </c>
      <c r="AG487" t="s">
        <v>120</v>
      </c>
      <c r="AH487">
        <v>0.01</v>
      </c>
      <c r="AI487" t="s">
        <v>120</v>
      </c>
      <c r="AJ487">
        <v>5.58</v>
      </c>
      <c r="AK487" t="s">
        <v>3149</v>
      </c>
      <c r="AL487">
        <v>0.71</v>
      </c>
      <c r="AM487">
        <v>2676</v>
      </c>
      <c r="AN487">
        <v>35</v>
      </c>
      <c r="AO487">
        <v>5.9999999999999995E-4</v>
      </c>
      <c r="AP487">
        <v>-1</v>
      </c>
      <c r="AQ487">
        <v>2.08</v>
      </c>
      <c r="AR487">
        <v>-3.28</v>
      </c>
      <c r="AS487">
        <v>24.71</v>
      </c>
      <c r="AT487">
        <v>33.630000000000003</v>
      </c>
      <c r="AU487">
        <v>43.14</v>
      </c>
      <c r="AV487">
        <v>5</v>
      </c>
      <c r="AW487">
        <v>5.59</v>
      </c>
      <c r="AX487">
        <v>22.07</v>
      </c>
      <c r="AY487">
        <v>47.51</v>
      </c>
      <c r="AZ487">
        <v>35.43</v>
      </c>
      <c r="BA487">
        <v>0.43</v>
      </c>
      <c r="BB487" t="s">
        <v>143</v>
      </c>
      <c r="BF487">
        <v>1.32</v>
      </c>
      <c r="BG487">
        <v>-1.3</v>
      </c>
      <c r="BH487">
        <v>-5.75</v>
      </c>
      <c r="BI487">
        <v>0.28000000000000003</v>
      </c>
      <c r="BJ487">
        <v>20210913</v>
      </c>
      <c r="BK487">
        <v>20060627</v>
      </c>
      <c r="BL487">
        <v>7.61</v>
      </c>
      <c r="BM487" t="s">
        <v>120</v>
      </c>
      <c r="BN487" t="s">
        <v>120</v>
      </c>
      <c r="BO487">
        <v>96.53</v>
      </c>
      <c r="BP487">
        <v>10.64</v>
      </c>
      <c r="BQ487">
        <v>42.91</v>
      </c>
      <c r="BR487">
        <v>12.05</v>
      </c>
      <c r="BS487">
        <v>43.06</v>
      </c>
      <c r="BT487">
        <v>26.58</v>
      </c>
      <c r="BU487">
        <v>39.61</v>
      </c>
      <c r="BV487">
        <v>2.4300000000000002</v>
      </c>
      <c r="BW487">
        <v>16.54</v>
      </c>
      <c r="BX487">
        <v>10.07</v>
      </c>
      <c r="BY487">
        <v>0.97</v>
      </c>
      <c r="BZ487">
        <v>10.06</v>
      </c>
      <c r="CA487" t="s">
        <v>120</v>
      </c>
      <c r="CB487">
        <v>20.87</v>
      </c>
      <c r="CC487">
        <v>10.58</v>
      </c>
      <c r="CD487">
        <v>6.31</v>
      </c>
      <c r="CE487">
        <v>1.75</v>
      </c>
      <c r="CF487">
        <v>0.15</v>
      </c>
      <c r="CG487">
        <v>1.74</v>
      </c>
      <c r="CH487">
        <v>1.38</v>
      </c>
      <c r="CI487">
        <v>1.28</v>
      </c>
      <c r="CJ487">
        <v>-0.13</v>
      </c>
      <c r="CK487">
        <v>1.23</v>
      </c>
      <c r="CL487">
        <v>12.67</v>
      </c>
      <c r="CM487">
        <v>1.0900000000000001</v>
      </c>
      <c r="CN487">
        <v>-3.74</v>
      </c>
      <c r="CO487">
        <v>20520</v>
      </c>
      <c r="CP487">
        <v>8184</v>
      </c>
      <c r="CQ487" t="s">
        <v>3150</v>
      </c>
      <c r="CR487">
        <v>-31.51</v>
      </c>
      <c r="CS487">
        <v>4.25</v>
      </c>
      <c r="CT487">
        <v>1.89</v>
      </c>
      <c r="CU487">
        <v>74.45</v>
      </c>
      <c r="CV487">
        <v>7.66</v>
      </c>
      <c r="CW487">
        <v>0</v>
      </c>
      <c r="CX487" t="s">
        <v>3151</v>
      </c>
      <c r="CY487">
        <v>5.64</v>
      </c>
      <c r="CZ487">
        <v>0</v>
      </c>
      <c r="DA487">
        <v>2.74</v>
      </c>
      <c r="DB487">
        <v>1.67</v>
      </c>
      <c r="DC487">
        <v>0.14000000000000001</v>
      </c>
      <c r="DD487">
        <v>44.46</v>
      </c>
      <c r="DE487" t="s">
        <v>3152</v>
      </c>
      <c r="DF487">
        <v>40.369999999999997</v>
      </c>
      <c r="DG487">
        <v>16.54</v>
      </c>
      <c r="DH487">
        <v>12.1</v>
      </c>
      <c r="DI487">
        <v>0.01</v>
      </c>
      <c r="DJ487">
        <v>2558</v>
      </c>
      <c r="DK487">
        <v>2053</v>
      </c>
      <c r="DL487">
        <v>20210909</v>
      </c>
      <c r="DM487">
        <v>11.12</v>
      </c>
      <c r="DN487">
        <v>-4.2300000000000004</v>
      </c>
    </row>
    <row r="488" spans="1:118">
      <c r="A488" t="str">
        <f>"002054"</f>
        <v>002054</v>
      </c>
      <c r="B488" t="s">
        <v>3153</v>
      </c>
      <c r="C488">
        <v>-1.04</v>
      </c>
      <c r="D488">
        <v>0</v>
      </c>
      <c r="E488">
        <v>0.09</v>
      </c>
      <c r="F488">
        <v>932</v>
      </c>
      <c r="G488" t="s">
        <v>3154</v>
      </c>
      <c r="H488">
        <v>12472.53</v>
      </c>
      <c r="I488">
        <v>32.799999999999997</v>
      </c>
      <c r="J488" t="s">
        <v>120</v>
      </c>
      <c r="K488" t="s">
        <v>3155</v>
      </c>
      <c r="L488">
        <v>3.21</v>
      </c>
      <c r="M488">
        <v>10.46</v>
      </c>
      <c r="N488">
        <v>1.2</v>
      </c>
      <c r="O488">
        <v>4.54</v>
      </c>
      <c r="P488">
        <v>11.05</v>
      </c>
      <c r="Q488">
        <v>-2.37</v>
      </c>
      <c r="R488">
        <v>10.32</v>
      </c>
      <c r="S488">
        <v>10.58</v>
      </c>
      <c r="T488">
        <v>116816</v>
      </c>
      <c r="U488">
        <v>10.46</v>
      </c>
      <c r="V488">
        <v>10.57</v>
      </c>
      <c r="W488">
        <v>40.89</v>
      </c>
      <c r="X488" t="s">
        <v>868</v>
      </c>
      <c r="Y488" t="s">
        <v>547</v>
      </c>
      <c r="Z488">
        <v>6.91</v>
      </c>
      <c r="AA488">
        <v>10.68</v>
      </c>
      <c r="AB488">
        <v>60050</v>
      </c>
      <c r="AC488">
        <v>56766</v>
      </c>
      <c r="AD488">
        <v>1.06</v>
      </c>
      <c r="AE488">
        <v>149</v>
      </c>
      <c r="AF488">
        <v>157</v>
      </c>
      <c r="AG488" t="s">
        <v>120</v>
      </c>
      <c r="AH488">
        <v>0.01</v>
      </c>
      <c r="AI488" t="s">
        <v>120</v>
      </c>
      <c r="AJ488">
        <v>3.64</v>
      </c>
      <c r="AK488" t="s">
        <v>3156</v>
      </c>
      <c r="AL488">
        <v>0.87</v>
      </c>
      <c r="AM488">
        <v>2656</v>
      </c>
      <c r="AN488">
        <v>44</v>
      </c>
      <c r="AO488">
        <v>1.1999999999999999E-3</v>
      </c>
      <c r="AP488">
        <v>-1</v>
      </c>
      <c r="AQ488">
        <v>2.2200000000000002</v>
      </c>
      <c r="AR488">
        <v>-2.42</v>
      </c>
      <c r="AS488">
        <v>9.3000000000000007</v>
      </c>
      <c r="AT488">
        <v>-1.78</v>
      </c>
      <c r="AU488">
        <v>29.46</v>
      </c>
      <c r="AV488">
        <v>4</v>
      </c>
      <c r="AW488">
        <v>4.25</v>
      </c>
      <c r="AX488">
        <v>57.06</v>
      </c>
      <c r="AY488">
        <v>39.54</v>
      </c>
      <c r="AZ488">
        <v>43.78</v>
      </c>
      <c r="BA488">
        <v>0.6</v>
      </c>
      <c r="BB488" t="s">
        <v>184</v>
      </c>
      <c r="BF488">
        <v>1.01</v>
      </c>
      <c r="BG488">
        <v>-1.1299999999999999</v>
      </c>
      <c r="BH488">
        <v>-5.34</v>
      </c>
      <c r="BI488">
        <v>1.36</v>
      </c>
      <c r="BJ488">
        <v>20210827</v>
      </c>
      <c r="BK488">
        <v>20060725</v>
      </c>
      <c r="BL488">
        <v>4.82</v>
      </c>
      <c r="BM488" t="s">
        <v>120</v>
      </c>
      <c r="BN488" t="s">
        <v>120</v>
      </c>
      <c r="BO488">
        <v>53.94</v>
      </c>
      <c r="BP488">
        <v>10.45</v>
      </c>
      <c r="BQ488">
        <v>22.4</v>
      </c>
      <c r="BR488">
        <v>5.84</v>
      </c>
      <c r="BS488">
        <v>47.65</v>
      </c>
      <c r="BT488">
        <v>25.23</v>
      </c>
      <c r="BU488">
        <v>3.87</v>
      </c>
      <c r="BV488">
        <v>2.21</v>
      </c>
      <c r="BW488">
        <v>11.69</v>
      </c>
      <c r="BX488">
        <v>11.35</v>
      </c>
      <c r="BY488">
        <v>2.23</v>
      </c>
      <c r="BZ488">
        <v>6.02</v>
      </c>
      <c r="CA488" t="s">
        <v>120</v>
      </c>
      <c r="CB488">
        <v>4.07</v>
      </c>
      <c r="CC488">
        <v>9.4600000000000009</v>
      </c>
      <c r="CD488">
        <v>5.94</v>
      </c>
      <c r="CE488">
        <v>0.97</v>
      </c>
      <c r="CF488">
        <v>0.21</v>
      </c>
      <c r="CG488">
        <v>0.95</v>
      </c>
      <c r="CH488">
        <v>0.78</v>
      </c>
      <c r="CI488">
        <v>0.62</v>
      </c>
      <c r="CJ488">
        <v>-0.11</v>
      </c>
      <c r="CK488">
        <v>0.61</v>
      </c>
      <c r="CL488">
        <v>13.04</v>
      </c>
      <c r="CM488">
        <v>0.61</v>
      </c>
      <c r="CN488">
        <v>6.37</v>
      </c>
      <c r="CO488">
        <v>17768</v>
      </c>
      <c r="CP488">
        <v>15483</v>
      </c>
      <c r="CQ488" t="s">
        <v>3157</v>
      </c>
      <c r="CR488">
        <v>25.4</v>
      </c>
      <c r="CS488">
        <v>57.58</v>
      </c>
      <c r="CT488">
        <v>2.25</v>
      </c>
      <c r="CU488">
        <v>82.24</v>
      </c>
      <c r="CV488">
        <v>5.33</v>
      </c>
      <c r="CW488">
        <v>0.66</v>
      </c>
      <c r="CX488" t="s">
        <v>986</v>
      </c>
      <c r="CY488">
        <v>4.6500000000000004</v>
      </c>
      <c r="CZ488">
        <v>0</v>
      </c>
      <c r="DA488">
        <v>0.84</v>
      </c>
      <c r="DB488">
        <v>2.7</v>
      </c>
      <c r="DC488">
        <v>0.13</v>
      </c>
      <c r="DD488">
        <v>41.53</v>
      </c>
      <c r="DE488" t="s">
        <v>1868</v>
      </c>
      <c r="DF488">
        <v>37.229999999999997</v>
      </c>
      <c r="DG488">
        <v>10.3</v>
      </c>
      <c r="DH488">
        <v>6.52</v>
      </c>
      <c r="DI488">
        <v>0.51</v>
      </c>
      <c r="DJ488">
        <v>1660</v>
      </c>
      <c r="DK488">
        <v>2054</v>
      </c>
      <c r="DL488" t="s">
        <v>120</v>
      </c>
      <c r="DM488" t="s">
        <v>120</v>
      </c>
      <c r="DN488" t="s">
        <v>120</v>
      </c>
    </row>
    <row r="489" spans="1:118">
      <c r="A489" t="str">
        <f>"002055"</f>
        <v>002055</v>
      </c>
      <c r="B489" t="s">
        <v>3158</v>
      </c>
      <c r="C489">
        <v>-1.43</v>
      </c>
      <c r="D489">
        <v>0.1</v>
      </c>
      <c r="E489">
        <v>0</v>
      </c>
      <c r="F489">
        <v>367</v>
      </c>
      <c r="G489" t="s">
        <v>3159</v>
      </c>
      <c r="H489">
        <v>5213.05</v>
      </c>
      <c r="I489">
        <v>5.88</v>
      </c>
      <c r="J489" t="s">
        <v>120</v>
      </c>
      <c r="K489" t="s">
        <v>3160</v>
      </c>
      <c r="L489">
        <v>1.17</v>
      </c>
      <c r="M489">
        <v>10.35</v>
      </c>
      <c r="N489">
        <v>0.86</v>
      </c>
      <c r="O489">
        <v>1.43</v>
      </c>
      <c r="P489">
        <v>10.65</v>
      </c>
      <c r="Q489">
        <v>-2</v>
      </c>
      <c r="R489">
        <v>10.29</v>
      </c>
      <c r="S489">
        <v>10.5</v>
      </c>
      <c r="T489">
        <v>49879</v>
      </c>
      <c r="U489">
        <v>10.35</v>
      </c>
      <c r="V489">
        <v>10.5</v>
      </c>
      <c r="W489">
        <v>119.31</v>
      </c>
      <c r="X489" t="s">
        <v>229</v>
      </c>
      <c r="Y489" t="s">
        <v>123</v>
      </c>
      <c r="Z489">
        <v>3.43</v>
      </c>
      <c r="AA489">
        <v>10.45</v>
      </c>
      <c r="AB489">
        <v>30361</v>
      </c>
      <c r="AC489">
        <v>19518</v>
      </c>
      <c r="AD489">
        <v>1.56</v>
      </c>
      <c r="AE489">
        <v>119</v>
      </c>
      <c r="AF489">
        <v>124</v>
      </c>
      <c r="AG489" t="s">
        <v>120</v>
      </c>
      <c r="AH489">
        <v>0</v>
      </c>
      <c r="AI489" t="s">
        <v>120</v>
      </c>
      <c r="AJ489">
        <v>4.2699999999999996</v>
      </c>
      <c r="AK489" t="s">
        <v>3161</v>
      </c>
      <c r="AL489">
        <v>0.49</v>
      </c>
      <c r="AM489">
        <v>1560</v>
      </c>
      <c r="AN489">
        <v>32</v>
      </c>
      <c r="AO489">
        <v>6.9999999999999999E-4</v>
      </c>
      <c r="AP489">
        <v>-3</v>
      </c>
      <c r="AQ489">
        <v>-0.38</v>
      </c>
      <c r="AR489">
        <v>-3.63</v>
      </c>
      <c r="AS489">
        <v>-1.24</v>
      </c>
      <c r="AT489">
        <v>-11.92</v>
      </c>
      <c r="AU489">
        <v>-21.65</v>
      </c>
      <c r="AV489">
        <v>3</v>
      </c>
      <c r="AW489">
        <v>1.66</v>
      </c>
      <c r="AX489">
        <v>64.02</v>
      </c>
      <c r="AY489" t="s">
        <v>120</v>
      </c>
      <c r="AZ489">
        <v>41.78</v>
      </c>
      <c r="BA489">
        <v>0.96</v>
      </c>
      <c r="BB489" t="s">
        <v>143</v>
      </c>
      <c r="BF489">
        <v>-0.46</v>
      </c>
      <c r="BG489">
        <v>-1.43</v>
      </c>
      <c r="BH489">
        <v>-2.82</v>
      </c>
      <c r="BI489">
        <v>0.57999999999999996</v>
      </c>
      <c r="BJ489">
        <v>20210903</v>
      </c>
      <c r="BK489">
        <v>20060725</v>
      </c>
      <c r="BL489">
        <v>4.6900000000000004</v>
      </c>
      <c r="BM489" t="s">
        <v>120</v>
      </c>
      <c r="BN489" t="s">
        <v>120</v>
      </c>
      <c r="BO489">
        <v>93.83</v>
      </c>
      <c r="BP489">
        <v>10.34</v>
      </c>
      <c r="BQ489">
        <v>19.86</v>
      </c>
      <c r="BR489">
        <v>5.17</v>
      </c>
      <c r="BS489">
        <v>73.33</v>
      </c>
      <c r="BT489">
        <v>54.31</v>
      </c>
      <c r="BU489">
        <v>12.28</v>
      </c>
      <c r="BV489">
        <v>6.64</v>
      </c>
      <c r="BW489">
        <v>50.89</v>
      </c>
      <c r="BX489">
        <v>5.08</v>
      </c>
      <c r="BY489">
        <v>16.920000000000002</v>
      </c>
      <c r="BZ489">
        <v>16.260000000000002</v>
      </c>
      <c r="CA489" t="s">
        <v>120</v>
      </c>
      <c r="CB489">
        <v>9.49</v>
      </c>
      <c r="CC489">
        <v>37.299999999999997</v>
      </c>
      <c r="CD489">
        <v>31.66</v>
      </c>
      <c r="CE489">
        <v>0.3</v>
      </c>
      <c r="CF489">
        <v>-0.03</v>
      </c>
      <c r="CG489">
        <v>0.16</v>
      </c>
      <c r="CH489">
        <v>0.02</v>
      </c>
      <c r="CI489">
        <v>0.2</v>
      </c>
      <c r="CJ489">
        <v>-0.15</v>
      </c>
      <c r="CK489">
        <v>0.12</v>
      </c>
      <c r="CL489">
        <v>5.35</v>
      </c>
      <c r="CM489">
        <v>-6.09</v>
      </c>
      <c r="CN489">
        <v>0.12</v>
      </c>
      <c r="CO489">
        <v>49881</v>
      </c>
      <c r="CP489">
        <v>6018</v>
      </c>
      <c r="CQ489" t="s">
        <v>185</v>
      </c>
      <c r="CR489">
        <v>-88.13</v>
      </c>
      <c r="CS489">
        <v>22.09</v>
      </c>
      <c r="CT489">
        <v>2.44</v>
      </c>
      <c r="CU489">
        <v>-7.97</v>
      </c>
      <c r="CV489">
        <v>1.3</v>
      </c>
      <c r="CW489">
        <v>0</v>
      </c>
      <c r="CX489" t="s">
        <v>145</v>
      </c>
      <c r="CY489">
        <v>4.2300000000000004</v>
      </c>
      <c r="CZ489">
        <v>0</v>
      </c>
      <c r="DA489">
        <v>2.02</v>
      </c>
      <c r="DB489">
        <v>1.1399999999999999</v>
      </c>
      <c r="DC489">
        <v>-1.3</v>
      </c>
      <c r="DD489">
        <v>21.16</v>
      </c>
      <c r="DE489" t="s">
        <v>3069</v>
      </c>
      <c r="DF489">
        <v>15.12</v>
      </c>
      <c r="DG489">
        <v>0.8</v>
      </c>
      <c r="DH489">
        <v>0.55000000000000004</v>
      </c>
      <c r="DI489">
        <v>1.46</v>
      </c>
      <c r="DJ489">
        <v>11056</v>
      </c>
      <c r="DK489">
        <v>2055</v>
      </c>
      <c r="DL489" t="s">
        <v>120</v>
      </c>
      <c r="DM489" t="s">
        <v>120</v>
      </c>
      <c r="DN489" t="s">
        <v>120</v>
      </c>
    </row>
    <row r="490" spans="1:118">
      <c r="A490" t="str">
        <f>"002056"</f>
        <v>002056</v>
      </c>
      <c r="B490" t="s">
        <v>3162</v>
      </c>
      <c r="C490">
        <v>-3.98</v>
      </c>
      <c r="D490">
        <v>-0.12</v>
      </c>
      <c r="E490">
        <v>-0.32</v>
      </c>
      <c r="F490">
        <v>7111</v>
      </c>
      <c r="G490" t="s">
        <v>3163</v>
      </c>
      <c r="H490">
        <v>66107.81</v>
      </c>
      <c r="I490">
        <v>60.4</v>
      </c>
      <c r="J490" t="s">
        <v>120</v>
      </c>
      <c r="K490" t="s">
        <v>3164</v>
      </c>
      <c r="L490">
        <v>2.63</v>
      </c>
      <c r="M490">
        <v>15.19</v>
      </c>
      <c r="N490">
        <v>1.02</v>
      </c>
      <c r="O490">
        <v>2.4</v>
      </c>
      <c r="P490">
        <v>16.2</v>
      </c>
      <c r="Q490">
        <v>-3.98</v>
      </c>
      <c r="R490">
        <v>15.19</v>
      </c>
      <c r="S490">
        <v>15.77</v>
      </c>
      <c r="T490">
        <v>421512</v>
      </c>
      <c r="U490">
        <v>15.19</v>
      </c>
      <c r="V490">
        <v>15.82</v>
      </c>
      <c r="W490">
        <v>22.62</v>
      </c>
      <c r="X490" t="s">
        <v>229</v>
      </c>
      <c r="Y490" t="s">
        <v>585</v>
      </c>
      <c r="Z490">
        <v>6.38</v>
      </c>
      <c r="AA490">
        <v>15.68</v>
      </c>
      <c r="AB490">
        <v>222057</v>
      </c>
      <c r="AC490">
        <v>199455</v>
      </c>
      <c r="AD490">
        <v>1.1100000000000001</v>
      </c>
      <c r="AE490">
        <v>809</v>
      </c>
      <c r="AF490">
        <v>2360</v>
      </c>
      <c r="AG490" t="s">
        <v>120</v>
      </c>
      <c r="AH490">
        <v>0</v>
      </c>
      <c r="AI490" t="s">
        <v>120</v>
      </c>
      <c r="AJ490">
        <v>16.04</v>
      </c>
      <c r="AK490" t="s">
        <v>3165</v>
      </c>
      <c r="AL490">
        <v>-2.0699999999999998</v>
      </c>
      <c r="AM490">
        <v>4416</v>
      </c>
      <c r="AN490">
        <v>95</v>
      </c>
      <c r="AO490">
        <v>5.9999999999999995E-4</v>
      </c>
      <c r="AP490">
        <v>-2</v>
      </c>
      <c r="AQ490">
        <v>-1.1299999999999999</v>
      </c>
      <c r="AR490">
        <v>-4.29</v>
      </c>
      <c r="AS490">
        <v>3.82</v>
      </c>
      <c r="AT490">
        <v>18.760000000000002</v>
      </c>
      <c r="AU490">
        <v>1.45</v>
      </c>
      <c r="AV490">
        <v>1</v>
      </c>
      <c r="AW490">
        <v>5.44</v>
      </c>
      <c r="AX490">
        <v>47.59</v>
      </c>
      <c r="AY490">
        <v>21.16</v>
      </c>
      <c r="AZ490">
        <v>25.39</v>
      </c>
      <c r="BA490">
        <v>0.52</v>
      </c>
      <c r="BB490" t="s">
        <v>143</v>
      </c>
      <c r="BF490">
        <v>-0.86</v>
      </c>
      <c r="BG490">
        <v>-3.68</v>
      </c>
      <c r="BH490">
        <v>-6.23</v>
      </c>
      <c r="BI490">
        <v>0</v>
      </c>
      <c r="BJ490">
        <v>20210819</v>
      </c>
      <c r="BK490">
        <v>20060802</v>
      </c>
      <c r="BL490">
        <v>16.27</v>
      </c>
      <c r="BM490" t="s">
        <v>120</v>
      </c>
      <c r="BN490" t="s">
        <v>120</v>
      </c>
      <c r="BO490">
        <v>114.28</v>
      </c>
      <c r="BP490">
        <v>15.18</v>
      </c>
      <c r="BQ490">
        <v>61.66</v>
      </c>
      <c r="BR490">
        <v>0.42</v>
      </c>
      <c r="BS490">
        <v>45.68</v>
      </c>
      <c r="BT490">
        <v>77.16</v>
      </c>
      <c r="BU490">
        <v>25.66</v>
      </c>
      <c r="BV490">
        <v>3.52</v>
      </c>
      <c r="BW490">
        <v>48.61</v>
      </c>
      <c r="BX490">
        <v>37.69</v>
      </c>
      <c r="BY490">
        <v>13.63</v>
      </c>
      <c r="BZ490">
        <v>19.079999999999998</v>
      </c>
      <c r="CA490" t="s">
        <v>120</v>
      </c>
      <c r="CB490">
        <v>0</v>
      </c>
      <c r="CC490">
        <v>56.91</v>
      </c>
      <c r="CD490">
        <v>45.86</v>
      </c>
      <c r="CE490">
        <v>6.15</v>
      </c>
      <c r="CF490">
        <v>0.26</v>
      </c>
      <c r="CG490">
        <v>6.01</v>
      </c>
      <c r="CH490">
        <v>5.47</v>
      </c>
      <c r="CI490">
        <v>5.46</v>
      </c>
      <c r="CJ490">
        <v>-0.63</v>
      </c>
      <c r="CK490">
        <v>4.79</v>
      </c>
      <c r="CL490">
        <v>39.35</v>
      </c>
      <c r="CM490">
        <v>5.87</v>
      </c>
      <c r="CN490">
        <v>0.63</v>
      </c>
      <c r="CO490">
        <v>94339</v>
      </c>
      <c r="CP490">
        <v>8206</v>
      </c>
      <c r="CQ490" t="s">
        <v>3166</v>
      </c>
      <c r="CR490">
        <v>58.9</v>
      </c>
      <c r="CS490">
        <v>79.36</v>
      </c>
      <c r="CT490">
        <v>4.01</v>
      </c>
      <c r="CU490">
        <v>42.12</v>
      </c>
      <c r="CV490">
        <v>4.34</v>
      </c>
      <c r="CW490">
        <v>1.38</v>
      </c>
      <c r="CX490" t="s">
        <v>2712</v>
      </c>
      <c r="CY490">
        <v>3.79</v>
      </c>
      <c r="CZ490">
        <v>0</v>
      </c>
      <c r="DA490">
        <v>0</v>
      </c>
      <c r="DB490">
        <v>2.42</v>
      </c>
      <c r="DC490">
        <v>0.36</v>
      </c>
      <c r="DD490">
        <v>53.96</v>
      </c>
      <c r="DE490" t="s">
        <v>3167</v>
      </c>
      <c r="DF490">
        <v>19.420000000000002</v>
      </c>
      <c r="DG490">
        <v>10.81</v>
      </c>
      <c r="DH490">
        <v>9.6</v>
      </c>
      <c r="DI490">
        <v>2.9</v>
      </c>
      <c r="DJ490">
        <v>14468</v>
      </c>
      <c r="DK490">
        <v>2056</v>
      </c>
      <c r="DL490" t="s">
        <v>120</v>
      </c>
      <c r="DM490" t="s">
        <v>120</v>
      </c>
      <c r="DN490" t="s">
        <v>120</v>
      </c>
    </row>
    <row r="491" spans="1:118">
      <c r="A491" t="str">
        <f>"002057"</f>
        <v>002057</v>
      </c>
      <c r="B491" t="s">
        <v>3168</v>
      </c>
      <c r="C491">
        <v>2.5499999999999998</v>
      </c>
      <c r="D491">
        <v>0.63</v>
      </c>
      <c r="E491">
        <v>3.94</v>
      </c>
      <c r="F491">
        <v>10563</v>
      </c>
      <c r="G491" t="s">
        <v>3169</v>
      </c>
      <c r="H491">
        <v>106366.84</v>
      </c>
      <c r="I491">
        <v>1181.97</v>
      </c>
      <c r="J491" t="s">
        <v>120</v>
      </c>
      <c r="K491" t="s">
        <v>3170</v>
      </c>
      <c r="L491">
        <v>18.600000000000001</v>
      </c>
      <c r="M491">
        <v>9.64</v>
      </c>
      <c r="N491">
        <v>2.75</v>
      </c>
      <c r="O491">
        <v>10</v>
      </c>
      <c r="P491">
        <v>10.34</v>
      </c>
      <c r="Q491">
        <v>1.38</v>
      </c>
      <c r="R491">
        <v>9.5299999999999994</v>
      </c>
      <c r="S491">
        <v>9.77</v>
      </c>
      <c r="T491">
        <v>1069964</v>
      </c>
      <c r="U491">
        <v>9.65</v>
      </c>
      <c r="V491">
        <v>9.4</v>
      </c>
      <c r="W491">
        <v>34.409999999999997</v>
      </c>
      <c r="X491" t="s">
        <v>229</v>
      </c>
      <c r="Y491" t="s">
        <v>570</v>
      </c>
      <c r="Z491">
        <v>8.6199999999999992</v>
      </c>
      <c r="AA491">
        <v>9.94</v>
      </c>
      <c r="AB491">
        <v>554516</v>
      </c>
      <c r="AC491">
        <v>515448</v>
      </c>
      <c r="AD491">
        <v>1.08</v>
      </c>
      <c r="AE491">
        <v>4868</v>
      </c>
      <c r="AF491">
        <v>203</v>
      </c>
      <c r="AG491" t="s">
        <v>120</v>
      </c>
      <c r="AH491">
        <v>0.36</v>
      </c>
      <c r="AI491" t="s">
        <v>120</v>
      </c>
      <c r="AJ491">
        <v>5.75</v>
      </c>
      <c r="AK491" t="s">
        <v>3171</v>
      </c>
      <c r="AL491">
        <v>4.47</v>
      </c>
      <c r="AM491">
        <v>4524</v>
      </c>
      <c r="AN491">
        <v>237</v>
      </c>
      <c r="AO491">
        <v>4.1000000000000003E-3</v>
      </c>
      <c r="AP491">
        <v>4</v>
      </c>
      <c r="AQ491">
        <v>3.18</v>
      </c>
      <c r="AR491">
        <v>10.54</v>
      </c>
      <c r="AS491">
        <v>20.350000000000001</v>
      </c>
      <c r="AT491">
        <v>40.119999999999997</v>
      </c>
      <c r="AU491">
        <v>36.93</v>
      </c>
      <c r="AV491">
        <v>1</v>
      </c>
      <c r="AW491">
        <v>31.94</v>
      </c>
      <c r="AX491">
        <v>44.9</v>
      </c>
      <c r="AY491">
        <v>34.590000000000003</v>
      </c>
      <c r="AZ491">
        <v>40.56</v>
      </c>
      <c r="BA491">
        <v>0.63</v>
      </c>
      <c r="BB491" t="s">
        <v>184</v>
      </c>
      <c r="BF491">
        <v>5.76</v>
      </c>
      <c r="BG491">
        <v>-1.33</v>
      </c>
      <c r="BH491">
        <v>-6.77</v>
      </c>
      <c r="BI491">
        <v>1.1499999999999999</v>
      </c>
      <c r="BJ491">
        <v>20210827</v>
      </c>
      <c r="BK491">
        <v>20060802</v>
      </c>
      <c r="BL491">
        <v>7.46</v>
      </c>
      <c r="BM491" t="s">
        <v>120</v>
      </c>
      <c r="BN491" t="s">
        <v>120</v>
      </c>
      <c r="BO491">
        <v>42.62</v>
      </c>
      <c r="BP491">
        <v>9.64</v>
      </c>
      <c r="BQ491">
        <v>28.17</v>
      </c>
      <c r="BR491">
        <v>0.68</v>
      </c>
      <c r="BS491">
        <v>32.31</v>
      </c>
      <c r="BT491">
        <v>29.29</v>
      </c>
      <c r="BU491">
        <v>6.97</v>
      </c>
      <c r="BV491">
        <v>1.76</v>
      </c>
      <c r="BW491">
        <v>11.81</v>
      </c>
      <c r="BX491">
        <v>9.81</v>
      </c>
      <c r="BY491">
        <v>2.97</v>
      </c>
      <c r="BZ491">
        <v>8.24</v>
      </c>
      <c r="CA491" t="s">
        <v>120</v>
      </c>
      <c r="CB491">
        <v>13.99</v>
      </c>
      <c r="CC491">
        <v>11.42</v>
      </c>
      <c r="CD491">
        <v>8.86</v>
      </c>
      <c r="CE491">
        <v>1.22</v>
      </c>
      <c r="CF491">
        <v>0.12</v>
      </c>
      <c r="CG491">
        <v>1.33</v>
      </c>
      <c r="CH491">
        <v>1.1499999999999999</v>
      </c>
      <c r="CI491">
        <v>1.05</v>
      </c>
      <c r="CJ491">
        <v>0.24</v>
      </c>
      <c r="CK491">
        <v>0.69</v>
      </c>
      <c r="CL491">
        <v>5.94</v>
      </c>
      <c r="CM491">
        <v>-0.54</v>
      </c>
      <c r="CN491">
        <v>3.79</v>
      </c>
      <c r="CO491">
        <v>44197</v>
      </c>
      <c r="CP491">
        <v>7580</v>
      </c>
      <c r="CQ491" t="s">
        <v>1630</v>
      </c>
      <c r="CR491">
        <v>39.99</v>
      </c>
      <c r="CS491">
        <v>72.08</v>
      </c>
      <c r="CT491">
        <v>2.5499999999999998</v>
      </c>
      <c r="CU491">
        <v>-132.41</v>
      </c>
      <c r="CV491">
        <v>6.3</v>
      </c>
      <c r="CW491">
        <v>1.06</v>
      </c>
      <c r="CX491" t="s">
        <v>1091</v>
      </c>
      <c r="CY491">
        <v>3.78</v>
      </c>
      <c r="CZ491">
        <v>0</v>
      </c>
      <c r="DA491">
        <v>1.88</v>
      </c>
      <c r="DB491">
        <v>0.8</v>
      </c>
      <c r="DC491">
        <v>-7.0000000000000007E-2</v>
      </c>
      <c r="DD491">
        <v>66.099999999999994</v>
      </c>
      <c r="DE491" t="s">
        <v>3172</v>
      </c>
      <c r="DF491">
        <v>22.41</v>
      </c>
      <c r="DG491">
        <v>10.68</v>
      </c>
      <c r="DH491">
        <v>9.15</v>
      </c>
      <c r="DI491">
        <v>0.59</v>
      </c>
      <c r="DJ491">
        <v>988</v>
      </c>
      <c r="DK491">
        <v>2057</v>
      </c>
      <c r="DL491" t="s">
        <v>120</v>
      </c>
      <c r="DM491" t="s">
        <v>120</v>
      </c>
      <c r="DN491" t="s">
        <v>120</v>
      </c>
    </row>
    <row r="492" spans="1:118">
      <c r="A492" t="str">
        <f>"002059"</f>
        <v>002059</v>
      </c>
      <c r="B492" t="s">
        <v>3173</v>
      </c>
      <c r="C492">
        <v>0.2</v>
      </c>
      <c r="D492">
        <v>-0.38</v>
      </c>
      <c r="E492">
        <v>0.59</v>
      </c>
      <c r="F492">
        <v>565</v>
      </c>
      <c r="G492" t="s">
        <v>3174</v>
      </c>
      <c r="H492">
        <v>3577.24</v>
      </c>
      <c r="I492">
        <v>37.22</v>
      </c>
      <c r="J492" t="s">
        <v>120</v>
      </c>
      <c r="K492" t="s">
        <v>495</v>
      </c>
      <c r="L492">
        <v>0.95</v>
      </c>
      <c r="M492">
        <v>5.0999999999999996</v>
      </c>
      <c r="N492">
        <v>0.65</v>
      </c>
      <c r="O492">
        <v>2.16</v>
      </c>
      <c r="P492">
        <v>5.2</v>
      </c>
      <c r="Q492">
        <v>-0.59</v>
      </c>
      <c r="R492">
        <v>5.0599999999999996</v>
      </c>
      <c r="S492">
        <v>5.12</v>
      </c>
      <c r="T492">
        <v>69771</v>
      </c>
      <c r="U492">
        <v>5.1100000000000003</v>
      </c>
      <c r="V492">
        <v>5.09</v>
      </c>
      <c r="W492">
        <v>253.58</v>
      </c>
      <c r="X492" t="s">
        <v>489</v>
      </c>
      <c r="Y492" t="s">
        <v>1006</v>
      </c>
      <c r="Z492">
        <v>2.75</v>
      </c>
      <c r="AA492">
        <v>5.13</v>
      </c>
      <c r="AB492">
        <v>35491</v>
      </c>
      <c r="AC492">
        <v>34280</v>
      </c>
      <c r="AD492">
        <v>1.04</v>
      </c>
      <c r="AE492">
        <v>1306</v>
      </c>
      <c r="AF492">
        <v>135</v>
      </c>
      <c r="AG492" t="s">
        <v>120</v>
      </c>
      <c r="AH492">
        <v>0.02</v>
      </c>
      <c r="AI492" t="s">
        <v>120</v>
      </c>
      <c r="AJ492">
        <v>7.31</v>
      </c>
      <c r="AK492" t="s">
        <v>3175</v>
      </c>
      <c r="AL492">
        <v>2.11</v>
      </c>
      <c r="AM492">
        <v>1782</v>
      </c>
      <c r="AN492">
        <v>39</v>
      </c>
      <c r="AO492">
        <v>5.0000000000000001E-4</v>
      </c>
      <c r="AP492">
        <v>1</v>
      </c>
      <c r="AQ492">
        <v>-1.17</v>
      </c>
      <c r="AR492">
        <v>-1.1599999999999999</v>
      </c>
      <c r="AS492">
        <v>2.61</v>
      </c>
      <c r="AT492">
        <v>-7.34</v>
      </c>
      <c r="AU492">
        <v>8.19</v>
      </c>
      <c r="AV492">
        <v>0</v>
      </c>
      <c r="AW492">
        <v>2.12</v>
      </c>
      <c r="AX492">
        <v>32.47</v>
      </c>
      <c r="AY492">
        <v>30.59</v>
      </c>
      <c r="AZ492">
        <v>32.340000000000003</v>
      </c>
      <c r="BA492">
        <v>0.1</v>
      </c>
      <c r="BB492" t="s">
        <v>2411</v>
      </c>
      <c r="BF492">
        <v>0.73</v>
      </c>
      <c r="BG492">
        <v>-0.39</v>
      </c>
      <c r="BH492">
        <v>-1.92</v>
      </c>
      <c r="BI492">
        <v>0.79</v>
      </c>
      <c r="BJ492">
        <v>20210826</v>
      </c>
      <c r="BK492">
        <v>20060810</v>
      </c>
      <c r="BL492">
        <v>10.119999999999999</v>
      </c>
      <c r="BM492" t="s">
        <v>120</v>
      </c>
      <c r="BN492" t="s">
        <v>120</v>
      </c>
      <c r="BO492">
        <v>50.57</v>
      </c>
      <c r="BP492">
        <v>5.0999999999999996</v>
      </c>
      <c r="BQ492">
        <v>24.41</v>
      </c>
      <c r="BR492">
        <v>1.1000000000000001</v>
      </c>
      <c r="BS492">
        <v>49.55</v>
      </c>
      <c r="BT492">
        <v>21.65</v>
      </c>
      <c r="BU492">
        <v>10.81</v>
      </c>
      <c r="BV492">
        <v>4.1399999999999997</v>
      </c>
      <c r="BW492">
        <v>16.600000000000001</v>
      </c>
      <c r="BX492">
        <v>11.47</v>
      </c>
      <c r="BY492">
        <v>0.56000000000000005</v>
      </c>
      <c r="BZ492">
        <v>6.54</v>
      </c>
      <c r="CA492">
        <v>0.25</v>
      </c>
      <c r="CB492">
        <v>0.86</v>
      </c>
      <c r="CC492">
        <v>6.36</v>
      </c>
      <c r="CD492">
        <v>5.0599999999999996</v>
      </c>
      <c r="CE492">
        <v>0.02</v>
      </c>
      <c r="CF492">
        <v>-0.05</v>
      </c>
      <c r="CG492">
        <v>0.03</v>
      </c>
      <c r="CH492">
        <v>-0.09</v>
      </c>
      <c r="CI492">
        <v>0.1</v>
      </c>
      <c r="CJ492">
        <v>0.01</v>
      </c>
      <c r="CK492">
        <v>0.03</v>
      </c>
      <c r="CL492">
        <v>11.72</v>
      </c>
      <c r="CM492">
        <v>4.2300000000000004</v>
      </c>
      <c r="CN492">
        <v>-1.39</v>
      </c>
      <c r="CO492">
        <v>43723</v>
      </c>
      <c r="CP492">
        <v>7519</v>
      </c>
      <c r="CQ492" t="s">
        <v>3176</v>
      </c>
      <c r="CR492">
        <v>863.38</v>
      </c>
      <c r="CS492">
        <v>51.58</v>
      </c>
      <c r="CT492">
        <v>2.12</v>
      </c>
      <c r="CU492">
        <v>12.2</v>
      </c>
      <c r="CV492">
        <v>8.1199999999999992</v>
      </c>
      <c r="CW492">
        <v>0.31</v>
      </c>
      <c r="CX492" t="s">
        <v>178</v>
      </c>
      <c r="CY492">
        <v>2.41</v>
      </c>
      <c r="CZ492">
        <v>0</v>
      </c>
      <c r="DA492">
        <v>0.09</v>
      </c>
      <c r="DB492">
        <v>1.1599999999999999</v>
      </c>
      <c r="DC492">
        <v>0.42</v>
      </c>
      <c r="DD492">
        <v>48.27</v>
      </c>
      <c r="DE492" t="s">
        <v>146</v>
      </c>
      <c r="DF492">
        <v>20.399999999999999</v>
      </c>
      <c r="DG492">
        <v>0.28999999999999998</v>
      </c>
      <c r="DH492">
        <v>1.6</v>
      </c>
      <c r="DI492">
        <v>0.19</v>
      </c>
      <c r="DJ492">
        <v>3178</v>
      </c>
      <c r="DK492">
        <v>2059</v>
      </c>
      <c r="DL492" t="s">
        <v>120</v>
      </c>
      <c r="DM492" t="s">
        <v>120</v>
      </c>
      <c r="DN492" t="s">
        <v>120</v>
      </c>
    </row>
    <row r="493" spans="1:118">
      <c r="A493" t="str">
        <f>"002060"</f>
        <v>002060</v>
      </c>
      <c r="B493" t="s">
        <v>3177</v>
      </c>
      <c r="C493">
        <v>-0.4</v>
      </c>
      <c r="D493">
        <v>0</v>
      </c>
      <c r="E493">
        <v>1.38</v>
      </c>
      <c r="F493">
        <v>4147</v>
      </c>
      <c r="G493" t="s">
        <v>3178</v>
      </c>
      <c r="H493">
        <v>31139.040000000001</v>
      </c>
      <c r="I493">
        <v>183.65</v>
      </c>
      <c r="J493" t="s">
        <v>120</v>
      </c>
      <c r="K493" t="s">
        <v>3179</v>
      </c>
      <c r="L493">
        <v>5.0999999999999996</v>
      </c>
      <c r="M493">
        <v>5.04</v>
      </c>
      <c r="N493">
        <v>0.6</v>
      </c>
      <c r="O493">
        <v>1.98</v>
      </c>
      <c r="P493">
        <v>5.16</v>
      </c>
      <c r="Q493">
        <v>-1.19</v>
      </c>
      <c r="R493">
        <v>5</v>
      </c>
      <c r="S493">
        <v>5.13</v>
      </c>
      <c r="T493">
        <v>612625</v>
      </c>
      <c r="U493">
        <v>5.04</v>
      </c>
      <c r="V493">
        <v>5.0599999999999996</v>
      </c>
      <c r="W493">
        <v>19.05</v>
      </c>
      <c r="X493" t="s">
        <v>175</v>
      </c>
      <c r="Y493" t="s">
        <v>547</v>
      </c>
      <c r="Z493">
        <v>3.16</v>
      </c>
      <c r="AA493">
        <v>5.08</v>
      </c>
      <c r="AB493">
        <v>298882</v>
      </c>
      <c r="AC493">
        <v>313742</v>
      </c>
      <c r="AD493">
        <v>0.95</v>
      </c>
      <c r="AE493">
        <v>2326</v>
      </c>
      <c r="AF493">
        <v>605</v>
      </c>
      <c r="AG493" t="s">
        <v>120</v>
      </c>
      <c r="AH493">
        <v>0.05</v>
      </c>
      <c r="AI493" t="s">
        <v>120</v>
      </c>
      <c r="AJ493">
        <v>12.02</v>
      </c>
      <c r="AK493" t="s">
        <v>3180</v>
      </c>
      <c r="AL493">
        <v>1.52</v>
      </c>
      <c r="AM493">
        <v>4030</v>
      </c>
      <c r="AN493">
        <v>152</v>
      </c>
      <c r="AO493">
        <v>1.2999999999999999E-3</v>
      </c>
      <c r="AP493">
        <v>-1</v>
      </c>
      <c r="AQ493">
        <v>2.4300000000000002</v>
      </c>
      <c r="AR493">
        <v>-0.79</v>
      </c>
      <c r="AS493">
        <v>9.57</v>
      </c>
      <c r="AT493">
        <v>37.700000000000003</v>
      </c>
      <c r="AU493">
        <v>55.31</v>
      </c>
      <c r="AV493">
        <v>5</v>
      </c>
      <c r="AW493">
        <v>8.1300000000000008</v>
      </c>
      <c r="AX493">
        <v>62.65</v>
      </c>
      <c r="AY493">
        <v>19.32</v>
      </c>
      <c r="AZ493">
        <v>23.08</v>
      </c>
      <c r="BA493">
        <v>0.4</v>
      </c>
      <c r="BB493" t="s">
        <v>184</v>
      </c>
      <c r="BF493">
        <v>0.45</v>
      </c>
      <c r="BG493">
        <v>-1.75</v>
      </c>
      <c r="BH493">
        <v>-2.33</v>
      </c>
      <c r="BI493">
        <v>0.8</v>
      </c>
      <c r="BJ493">
        <v>20210913</v>
      </c>
      <c r="BK493">
        <v>20060810</v>
      </c>
      <c r="BL493">
        <v>12.02</v>
      </c>
      <c r="BM493" t="s">
        <v>120</v>
      </c>
      <c r="BN493" t="s">
        <v>120</v>
      </c>
      <c r="BO493">
        <v>308.06</v>
      </c>
      <c r="BP493">
        <v>5.03</v>
      </c>
      <c r="BQ493">
        <v>37.39</v>
      </c>
      <c r="BR493">
        <v>1.84</v>
      </c>
      <c r="BS493">
        <v>87.26</v>
      </c>
      <c r="BT493">
        <v>140</v>
      </c>
      <c r="BU493">
        <v>95.54</v>
      </c>
      <c r="BV493">
        <v>9.66</v>
      </c>
      <c r="BW493">
        <v>167.82</v>
      </c>
      <c r="BX493">
        <v>21.31</v>
      </c>
      <c r="BY493">
        <v>7.62</v>
      </c>
      <c r="BZ493">
        <v>64.739999999999995</v>
      </c>
      <c r="CA493">
        <v>0.09</v>
      </c>
      <c r="CB493">
        <v>6.47</v>
      </c>
      <c r="CC493">
        <v>68.03</v>
      </c>
      <c r="CD493">
        <v>60.21</v>
      </c>
      <c r="CE493">
        <v>2.16</v>
      </c>
      <c r="CF493">
        <v>0</v>
      </c>
      <c r="CG493">
        <v>2.15</v>
      </c>
      <c r="CH493">
        <v>1.72</v>
      </c>
      <c r="CI493">
        <v>1.59</v>
      </c>
      <c r="CJ493">
        <v>-0.02</v>
      </c>
      <c r="CK493">
        <v>1.55</v>
      </c>
      <c r="CL493">
        <v>13.64</v>
      </c>
      <c r="CM493">
        <v>-4.29</v>
      </c>
      <c r="CN493">
        <v>-7.64</v>
      </c>
      <c r="CO493">
        <v>69146</v>
      </c>
      <c r="CP493">
        <v>10893</v>
      </c>
      <c r="CQ493" t="s">
        <v>1146</v>
      </c>
      <c r="CR493">
        <v>47.63</v>
      </c>
      <c r="CS493">
        <v>19.16</v>
      </c>
      <c r="CT493">
        <v>1.76</v>
      </c>
      <c r="CU493">
        <v>-14.13</v>
      </c>
      <c r="CV493">
        <v>0.89</v>
      </c>
      <c r="CW493">
        <v>1.28</v>
      </c>
      <c r="CX493" t="s">
        <v>1663</v>
      </c>
      <c r="CY493">
        <v>2.86</v>
      </c>
      <c r="CZ493">
        <v>2.86</v>
      </c>
      <c r="DA493">
        <v>0.54</v>
      </c>
      <c r="DB493">
        <v>1.1299999999999999</v>
      </c>
      <c r="DC493">
        <v>-0.36</v>
      </c>
      <c r="DD493">
        <v>12.14</v>
      </c>
      <c r="DE493" t="s">
        <v>3181</v>
      </c>
      <c r="DF493">
        <v>11.49</v>
      </c>
      <c r="DG493">
        <v>3.17</v>
      </c>
      <c r="DH493">
        <v>2.34</v>
      </c>
      <c r="DI493">
        <v>0.46</v>
      </c>
      <c r="DJ493">
        <v>4137</v>
      </c>
      <c r="DK493">
        <v>2060</v>
      </c>
      <c r="DL493">
        <v>20210817</v>
      </c>
      <c r="DM493">
        <v>4.1500000000000004</v>
      </c>
      <c r="DN493">
        <v>21.45</v>
      </c>
    </row>
    <row r="494" spans="1:118">
      <c r="A494" t="str">
        <f>"002061"</f>
        <v>002061</v>
      </c>
      <c r="B494" t="s">
        <v>3182</v>
      </c>
      <c r="C494">
        <v>-0.71</v>
      </c>
      <c r="D494">
        <v>0</v>
      </c>
      <c r="E494">
        <v>0</v>
      </c>
      <c r="F494">
        <v>732</v>
      </c>
      <c r="G494" t="s">
        <v>3183</v>
      </c>
      <c r="H494">
        <v>7972.2</v>
      </c>
      <c r="I494">
        <v>17.29</v>
      </c>
      <c r="J494" t="s">
        <v>120</v>
      </c>
      <c r="K494" t="s">
        <v>3184</v>
      </c>
      <c r="L494">
        <v>1.01</v>
      </c>
      <c r="M494">
        <v>5.61</v>
      </c>
      <c r="N494">
        <v>0.92</v>
      </c>
      <c r="O494">
        <v>4.07</v>
      </c>
      <c r="P494">
        <v>5.88</v>
      </c>
      <c r="Q494">
        <v>-0.88</v>
      </c>
      <c r="R494">
        <v>5.6</v>
      </c>
      <c r="S494">
        <v>5.65</v>
      </c>
      <c r="T494">
        <v>138824</v>
      </c>
      <c r="U494">
        <v>5.61</v>
      </c>
      <c r="V494">
        <v>5.65</v>
      </c>
      <c r="W494">
        <v>10.44</v>
      </c>
      <c r="X494" t="s">
        <v>175</v>
      </c>
      <c r="Y494" t="s">
        <v>585</v>
      </c>
      <c r="Z494">
        <v>4.96</v>
      </c>
      <c r="AA494">
        <v>5.74</v>
      </c>
      <c r="AB494">
        <v>72704</v>
      </c>
      <c r="AC494">
        <v>66120</v>
      </c>
      <c r="AD494">
        <v>1.1000000000000001</v>
      </c>
      <c r="AE494">
        <v>568</v>
      </c>
      <c r="AF494">
        <v>84</v>
      </c>
      <c r="AG494" t="s">
        <v>120</v>
      </c>
      <c r="AH494">
        <v>0.01</v>
      </c>
      <c r="AI494" t="s">
        <v>120</v>
      </c>
      <c r="AJ494">
        <v>13.76</v>
      </c>
      <c r="AK494" t="s">
        <v>3184</v>
      </c>
      <c r="AL494">
        <v>1.21</v>
      </c>
      <c r="AM494">
        <v>2268</v>
      </c>
      <c r="AN494">
        <v>61</v>
      </c>
      <c r="AO494">
        <v>4.0000000000000002E-4</v>
      </c>
      <c r="AP494">
        <v>-1</v>
      </c>
      <c r="AQ494">
        <v>1.07</v>
      </c>
      <c r="AR494">
        <v>-2.61</v>
      </c>
      <c r="AS494">
        <v>9.57</v>
      </c>
      <c r="AT494">
        <v>6.25</v>
      </c>
      <c r="AU494">
        <v>10.65</v>
      </c>
      <c r="AV494">
        <v>0</v>
      </c>
      <c r="AW494">
        <v>2.36</v>
      </c>
      <c r="AX494">
        <v>42.85</v>
      </c>
      <c r="AY494">
        <v>7.11</v>
      </c>
      <c r="AZ494">
        <v>7.79</v>
      </c>
      <c r="BA494">
        <v>0.09</v>
      </c>
      <c r="BB494" t="s">
        <v>143</v>
      </c>
      <c r="BF494">
        <v>1.64</v>
      </c>
      <c r="BG494">
        <v>-0.71</v>
      </c>
      <c r="BH494">
        <v>-4.59</v>
      </c>
      <c r="BI494">
        <v>0.18</v>
      </c>
      <c r="BJ494">
        <v>20210914</v>
      </c>
      <c r="BK494">
        <v>20060816</v>
      </c>
      <c r="BL494">
        <v>13.76</v>
      </c>
      <c r="BM494" t="s">
        <v>120</v>
      </c>
      <c r="BN494" t="s">
        <v>120</v>
      </c>
      <c r="BO494">
        <v>432.84</v>
      </c>
      <c r="BP494">
        <v>5.6</v>
      </c>
      <c r="BQ494">
        <v>90.14</v>
      </c>
      <c r="BR494">
        <v>9.64</v>
      </c>
      <c r="BS494">
        <v>76.95</v>
      </c>
      <c r="BT494">
        <v>310.19</v>
      </c>
      <c r="BU494">
        <v>33.479999999999997</v>
      </c>
      <c r="BV494">
        <v>6.08</v>
      </c>
      <c r="BW494">
        <v>276.38</v>
      </c>
      <c r="BX494">
        <v>66.52</v>
      </c>
      <c r="BY494">
        <v>17.05</v>
      </c>
      <c r="BZ494">
        <v>34.35</v>
      </c>
      <c r="CA494" t="s">
        <v>120</v>
      </c>
      <c r="CB494">
        <v>29.8</v>
      </c>
      <c r="CC494">
        <v>174.99</v>
      </c>
      <c r="CD494">
        <v>161.11000000000001</v>
      </c>
      <c r="CE494">
        <v>5.6</v>
      </c>
      <c r="CF494">
        <v>0.54</v>
      </c>
      <c r="CG494">
        <v>5.61</v>
      </c>
      <c r="CH494">
        <v>3.83</v>
      </c>
      <c r="CI494">
        <v>3.7</v>
      </c>
      <c r="CJ494">
        <v>-0.04</v>
      </c>
      <c r="CK494">
        <v>3.56</v>
      </c>
      <c r="CL494">
        <v>41.72</v>
      </c>
      <c r="CM494">
        <v>-34.43</v>
      </c>
      <c r="CN494">
        <v>-21.41</v>
      </c>
      <c r="CO494">
        <v>31289</v>
      </c>
      <c r="CP494">
        <v>18840</v>
      </c>
      <c r="CQ494" t="s">
        <v>3185</v>
      </c>
      <c r="CR494">
        <v>35.04</v>
      </c>
      <c r="CS494">
        <v>30.9</v>
      </c>
      <c r="CT494">
        <v>0.87</v>
      </c>
      <c r="CU494">
        <v>-2.2400000000000002</v>
      </c>
      <c r="CV494">
        <v>0.44</v>
      </c>
      <c r="CW494">
        <v>2.12</v>
      </c>
      <c r="CX494" t="s">
        <v>1233</v>
      </c>
      <c r="CY494">
        <v>6.44</v>
      </c>
      <c r="CZ494">
        <v>6.44</v>
      </c>
      <c r="DA494">
        <v>2.17</v>
      </c>
      <c r="DB494">
        <v>3.03</v>
      </c>
      <c r="DC494">
        <v>-2.5</v>
      </c>
      <c r="DD494">
        <v>20.82</v>
      </c>
      <c r="DE494" t="s">
        <v>1587</v>
      </c>
      <c r="DF494">
        <v>7.94</v>
      </c>
      <c r="DG494">
        <v>3.2</v>
      </c>
      <c r="DH494">
        <v>2.11</v>
      </c>
      <c r="DI494">
        <v>4.3600000000000003</v>
      </c>
      <c r="DJ494">
        <v>7034</v>
      </c>
      <c r="DK494">
        <v>2061</v>
      </c>
      <c r="DL494" t="s">
        <v>120</v>
      </c>
      <c r="DM494" t="s">
        <v>120</v>
      </c>
      <c r="DN494" t="s">
        <v>120</v>
      </c>
    </row>
    <row r="495" spans="1:118">
      <c r="A495" t="str">
        <f>"002062"</f>
        <v>002062</v>
      </c>
      <c r="B495" t="s">
        <v>3186</v>
      </c>
      <c r="C495">
        <v>-2.2799999999999998</v>
      </c>
      <c r="D495">
        <v>0</v>
      </c>
      <c r="E495">
        <v>-0.46</v>
      </c>
      <c r="F495">
        <v>1226</v>
      </c>
      <c r="G495" t="s">
        <v>3187</v>
      </c>
      <c r="H495">
        <v>4805.1000000000004</v>
      </c>
      <c r="I495">
        <v>68.83</v>
      </c>
      <c r="J495" t="s">
        <v>120</v>
      </c>
      <c r="K495" t="s">
        <v>3188</v>
      </c>
      <c r="L495">
        <v>1.1399999999999999</v>
      </c>
      <c r="M495">
        <v>4.29</v>
      </c>
      <c r="N495">
        <v>0.77</v>
      </c>
      <c r="O495">
        <v>0.91</v>
      </c>
      <c r="P495">
        <v>4.43</v>
      </c>
      <c r="Q495">
        <v>-2.2799999999999998</v>
      </c>
      <c r="R495">
        <v>4.29</v>
      </c>
      <c r="S495">
        <v>4.37</v>
      </c>
      <c r="T495">
        <v>110344</v>
      </c>
      <c r="U495">
        <v>4.3</v>
      </c>
      <c r="V495">
        <v>4.3899999999999997</v>
      </c>
      <c r="W495">
        <v>13.53</v>
      </c>
      <c r="X495" t="s">
        <v>175</v>
      </c>
      <c r="Y495" t="s">
        <v>585</v>
      </c>
      <c r="Z495">
        <v>3.19</v>
      </c>
      <c r="AA495">
        <v>4.3499999999999996</v>
      </c>
      <c r="AB495">
        <v>69810</v>
      </c>
      <c r="AC495">
        <v>40534</v>
      </c>
      <c r="AD495">
        <v>1.72</v>
      </c>
      <c r="AE495">
        <v>499</v>
      </c>
      <c r="AF495">
        <v>2898</v>
      </c>
      <c r="AG495" t="s">
        <v>120</v>
      </c>
      <c r="AH495">
        <v>0.03</v>
      </c>
      <c r="AI495" t="s">
        <v>120</v>
      </c>
      <c r="AJ495">
        <v>9.69</v>
      </c>
      <c r="AK495" t="s">
        <v>3189</v>
      </c>
      <c r="AL495">
        <v>-0.36</v>
      </c>
      <c r="AM495">
        <v>1611</v>
      </c>
      <c r="AN495">
        <v>68</v>
      </c>
      <c r="AO495">
        <v>6.9999999999999999E-4</v>
      </c>
      <c r="AP495">
        <v>-3</v>
      </c>
      <c r="AQ495">
        <v>-0.9</v>
      </c>
      <c r="AR495">
        <v>-3.38</v>
      </c>
      <c r="AS495">
        <v>5.67</v>
      </c>
      <c r="AT495">
        <v>0.47</v>
      </c>
      <c r="AU495">
        <v>7.25</v>
      </c>
      <c r="AV495">
        <v>1</v>
      </c>
      <c r="AW495">
        <v>2.2200000000000002</v>
      </c>
      <c r="AX495">
        <v>45.04</v>
      </c>
      <c r="AY495">
        <v>11.25</v>
      </c>
      <c r="AZ495">
        <v>11.69</v>
      </c>
      <c r="BA495">
        <v>0.12</v>
      </c>
      <c r="BB495" t="s">
        <v>143</v>
      </c>
      <c r="BF495">
        <v>-0.81</v>
      </c>
      <c r="BG495">
        <v>-1.83</v>
      </c>
      <c r="BH495">
        <v>-3.16</v>
      </c>
      <c r="BI495">
        <v>0</v>
      </c>
      <c r="BJ495">
        <v>20210821</v>
      </c>
      <c r="BK495">
        <v>20060816</v>
      </c>
      <c r="BL495">
        <v>11.03</v>
      </c>
      <c r="BM495" t="s">
        <v>120</v>
      </c>
      <c r="BN495" t="s">
        <v>120</v>
      </c>
      <c r="BO495">
        <v>167.4</v>
      </c>
      <c r="BP495">
        <v>4.29</v>
      </c>
      <c r="BQ495">
        <v>36.18</v>
      </c>
      <c r="BR495">
        <v>2.2200000000000002</v>
      </c>
      <c r="BS495">
        <v>77.06</v>
      </c>
      <c r="BT495">
        <v>132.27000000000001</v>
      </c>
      <c r="BU495">
        <v>11.04</v>
      </c>
      <c r="BV495">
        <v>0.71</v>
      </c>
      <c r="BW495">
        <v>113.55</v>
      </c>
      <c r="BX495">
        <v>27.18</v>
      </c>
      <c r="BY495">
        <v>35.159999999999997</v>
      </c>
      <c r="BZ495">
        <v>9.0299999999999994</v>
      </c>
      <c r="CA495" t="s">
        <v>120</v>
      </c>
      <c r="CB495">
        <v>0</v>
      </c>
      <c r="CC495">
        <v>45.82</v>
      </c>
      <c r="CD495">
        <v>40.450000000000003</v>
      </c>
      <c r="CE495">
        <v>1.94</v>
      </c>
      <c r="CF495">
        <v>7.0000000000000007E-2</v>
      </c>
      <c r="CG495">
        <v>2.06</v>
      </c>
      <c r="CH495">
        <v>1.68</v>
      </c>
      <c r="CI495">
        <v>1.75</v>
      </c>
      <c r="CJ495">
        <v>-0.1</v>
      </c>
      <c r="CK495">
        <v>1.68</v>
      </c>
      <c r="CL495">
        <v>20.59</v>
      </c>
      <c r="CM495">
        <v>0.44</v>
      </c>
      <c r="CN495">
        <v>-1.1399999999999999</v>
      </c>
      <c r="CO495">
        <v>38385</v>
      </c>
      <c r="CP495">
        <v>12935</v>
      </c>
      <c r="CQ495" t="s">
        <v>3190</v>
      </c>
      <c r="CR495">
        <v>10.15</v>
      </c>
      <c r="CS495">
        <v>6.07</v>
      </c>
      <c r="CT495">
        <v>1.31</v>
      </c>
      <c r="CU495">
        <v>107.16</v>
      </c>
      <c r="CV495">
        <v>1.03</v>
      </c>
      <c r="CW495">
        <v>2.73</v>
      </c>
      <c r="CX495" t="s">
        <v>1091</v>
      </c>
      <c r="CY495">
        <v>3.28</v>
      </c>
      <c r="CZ495">
        <v>0</v>
      </c>
      <c r="DA495">
        <v>0</v>
      </c>
      <c r="DB495">
        <v>1.87</v>
      </c>
      <c r="DC495">
        <v>0.04</v>
      </c>
      <c r="DD495">
        <v>21.61</v>
      </c>
      <c r="DE495" t="s">
        <v>1072</v>
      </c>
      <c r="DF495">
        <v>11.73</v>
      </c>
      <c r="DG495">
        <v>4.24</v>
      </c>
      <c r="DH495">
        <v>3.81</v>
      </c>
      <c r="DI495">
        <v>1.57</v>
      </c>
      <c r="DJ495">
        <v>2049</v>
      </c>
      <c r="DK495">
        <v>2062</v>
      </c>
      <c r="DL495" t="s">
        <v>120</v>
      </c>
      <c r="DM495" t="s">
        <v>120</v>
      </c>
      <c r="DN495" t="s">
        <v>120</v>
      </c>
    </row>
    <row r="496" spans="1:118">
      <c r="A496" t="str">
        <f>"002063"</f>
        <v>002063</v>
      </c>
      <c r="B496" t="s">
        <v>3191</v>
      </c>
      <c r="C496">
        <v>-0.27</v>
      </c>
      <c r="D496">
        <v>0.94</v>
      </c>
      <c r="E496">
        <v>-0.27</v>
      </c>
      <c r="F496">
        <v>17966</v>
      </c>
      <c r="G496" t="s">
        <v>3192</v>
      </c>
      <c r="H496">
        <v>19717.02</v>
      </c>
      <c r="I496">
        <v>23.94</v>
      </c>
      <c r="J496" t="s">
        <v>120</v>
      </c>
      <c r="K496" t="s">
        <v>3193</v>
      </c>
      <c r="L496">
        <v>2.15</v>
      </c>
      <c r="M496">
        <v>7.5</v>
      </c>
      <c r="N496">
        <v>1.02</v>
      </c>
      <c r="O496">
        <v>1.99</v>
      </c>
      <c r="P496">
        <v>7.67</v>
      </c>
      <c r="Q496">
        <v>-1.33</v>
      </c>
      <c r="R496">
        <v>7.42</v>
      </c>
      <c r="S496">
        <v>7.5</v>
      </c>
      <c r="T496">
        <v>261417</v>
      </c>
      <c r="U496">
        <v>7.51</v>
      </c>
      <c r="V496">
        <v>7.52</v>
      </c>
      <c r="W496">
        <v>59.08</v>
      </c>
      <c r="X496" t="s">
        <v>141</v>
      </c>
      <c r="Y496" t="s">
        <v>547</v>
      </c>
      <c r="Z496">
        <v>3.32</v>
      </c>
      <c r="AA496">
        <v>7.54</v>
      </c>
      <c r="AB496">
        <v>140768</v>
      </c>
      <c r="AC496">
        <v>120649</v>
      </c>
      <c r="AD496">
        <v>1.17</v>
      </c>
      <c r="AE496">
        <v>5925</v>
      </c>
      <c r="AF496">
        <v>191</v>
      </c>
      <c r="AG496" t="s">
        <v>120</v>
      </c>
      <c r="AH496">
        <v>0</v>
      </c>
      <c r="AI496" t="s">
        <v>120</v>
      </c>
      <c r="AJ496">
        <v>12.18</v>
      </c>
      <c r="AK496" t="s">
        <v>3194</v>
      </c>
      <c r="AL496">
        <v>1.65</v>
      </c>
      <c r="AM496">
        <v>3159</v>
      </c>
      <c r="AN496">
        <v>83</v>
      </c>
      <c r="AO496">
        <v>6.9999999999999999E-4</v>
      </c>
      <c r="AP496">
        <v>-2</v>
      </c>
      <c r="AQ496">
        <v>-0.13</v>
      </c>
      <c r="AR496">
        <v>-0.4</v>
      </c>
      <c r="AS496">
        <v>6.39</v>
      </c>
      <c r="AT496">
        <v>-5.36</v>
      </c>
      <c r="AU496">
        <v>5.14</v>
      </c>
      <c r="AV496">
        <v>1</v>
      </c>
      <c r="AW496">
        <v>2.82</v>
      </c>
      <c r="AX496">
        <v>70.150000000000006</v>
      </c>
      <c r="AY496">
        <v>37.549999999999997</v>
      </c>
      <c r="AZ496">
        <v>37.840000000000003</v>
      </c>
      <c r="BA496">
        <v>0.71</v>
      </c>
      <c r="BB496" t="s">
        <v>143</v>
      </c>
      <c r="BF496">
        <v>0.3</v>
      </c>
      <c r="BG496">
        <v>0</v>
      </c>
      <c r="BH496">
        <v>-2.2200000000000002</v>
      </c>
      <c r="BI496">
        <v>1.08</v>
      </c>
      <c r="BJ496">
        <v>20210826</v>
      </c>
      <c r="BK496">
        <v>20060823</v>
      </c>
      <c r="BL496">
        <v>13.23</v>
      </c>
      <c r="BM496" t="s">
        <v>120</v>
      </c>
      <c r="BN496" t="s">
        <v>120</v>
      </c>
      <c r="BO496">
        <v>30.8</v>
      </c>
      <c r="BP496">
        <v>7.5</v>
      </c>
      <c r="BQ496">
        <v>26.74</v>
      </c>
      <c r="BR496">
        <v>1.2</v>
      </c>
      <c r="BS496">
        <v>9.3000000000000007</v>
      </c>
      <c r="BT496">
        <v>22.5</v>
      </c>
      <c r="BU496">
        <v>1.66</v>
      </c>
      <c r="BV496">
        <v>1.24</v>
      </c>
      <c r="BW496">
        <v>2.62</v>
      </c>
      <c r="BX496">
        <v>3.64</v>
      </c>
      <c r="BY496">
        <v>0.7</v>
      </c>
      <c r="BZ496">
        <v>9.48</v>
      </c>
      <c r="CA496" t="s">
        <v>120</v>
      </c>
      <c r="CB496">
        <v>0.62</v>
      </c>
      <c r="CC496">
        <v>7.52</v>
      </c>
      <c r="CD496">
        <v>2.62</v>
      </c>
      <c r="CE496">
        <v>0.92</v>
      </c>
      <c r="CF496">
        <v>0.04</v>
      </c>
      <c r="CG496">
        <v>0.92</v>
      </c>
      <c r="CH496">
        <v>0.85</v>
      </c>
      <c r="CI496">
        <v>0.84</v>
      </c>
      <c r="CJ496">
        <v>-0.02</v>
      </c>
      <c r="CK496">
        <v>0.79</v>
      </c>
      <c r="CL496">
        <v>10.57</v>
      </c>
      <c r="CM496">
        <v>-5.32</v>
      </c>
      <c r="CN496">
        <v>1.26</v>
      </c>
      <c r="CO496">
        <v>73130</v>
      </c>
      <c r="CP496">
        <v>12691</v>
      </c>
      <c r="CQ496" t="s">
        <v>3195</v>
      </c>
      <c r="CR496">
        <v>2.5499999999999998</v>
      </c>
      <c r="CS496">
        <v>15.88</v>
      </c>
      <c r="CT496">
        <v>3.71</v>
      </c>
      <c r="CU496">
        <v>-18.649999999999999</v>
      </c>
      <c r="CV496">
        <v>13.2</v>
      </c>
      <c r="CW496">
        <v>0.55000000000000004</v>
      </c>
      <c r="CX496" t="s">
        <v>3196</v>
      </c>
      <c r="CY496">
        <v>2.02</v>
      </c>
      <c r="CZ496">
        <v>0</v>
      </c>
      <c r="DA496">
        <v>0.05</v>
      </c>
      <c r="DB496">
        <v>0.8</v>
      </c>
      <c r="DC496">
        <v>-0.4</v>
      </c>
      <c r="DD496">
        <v>86.79</v>
      </c>
      <c r="DE496" t="s">
        <v>3197</v>
      </c>
      <c r="DF496">
        <v>65.14</v>
      </c>
      <c r="DG496">
        <v>12.25</v>
      </c>
      <c r="DH496">
        <v>11.17</v>
      </c>
      <c r="DI496">
        <v>2.0099999999999998</v>
      </c>
      <c r="DJ496">
        <v>4923</v>
      </c>
      <c r="DK496">
        <v>2063</v>
      </c>
      <c r="DL496" t="s">
        <v>120</v>
      </c>
      <c r="DM496" t="s">
        <v>120</v>
      </c>
      <c r="DN496" t="s">
        <v>120</v>
      </c>
    </row>
    <row r="497" spans="1:118">
      <c r="A497" t="str">
        <f>"002064"</f>
        <v>002064</v>
      </c>
      <c r="B497" t="s">
        <v>3198</v>
      </c>
      <c r="C497">
        <v>0.68</v>
      </c>
      <c r="D497">
        <v>0.27</v>
      </c>
      <c r="E497">
        <v>0.62</v>
      </c>
      <c r="F497">
        <v>6636</v>
      </c>
      <c r="G497" t="s">
        <v>3199</v>
      </c>
      <c r="H497">
        <v>97722.01</v>
      </c>
      <c r="I497">
        <v>276.01</v>
      </c>
      <c r="J497" t="s">
        <v>120</v>
      </c>
      <c r="K497" t="s">
        <v>3200</v>
      </c>
      <c r="L497">
        <v>3.37</v>
      </c>
      <c r="M497">
        <v>14.71</v>
      </c>
      <c r="N497">
        <v>1.36</v>
      </c>
      <c r="O497">
        <v>3.9</v>
      </c>
      <c r="P497">
        <v>15.18</v>
      </c>
      <c r="Q497">
        <v>-0.89</v>
      </c>
      <c r="R497">
        <v>14.48</v>
      </c>
      <c r="S497">
        <v>14.7</v>
      </c>
      <c r="T497">
        <v>659241</v>
      </c>
      <c r="U497">
        <v>14.72</v>
      </c>
      <c r="V497">
        <v>14.61</v>
      </c>
      <c r="W497">
        <v>8.85</v>
      </c>
      <c r="X497" t="s">
        <v>623</v>
      </c>
      <c r="Y497" t="s">
        <v>585</v>
      </c>
      <c r="Z497">
        <v>4.79</v>
      </c>
      <c r="AA497">
        <v>14.82</v>
      </c>
      <c r="AB497">
        <v>319359</v>
      </c>
      <c r="AC497">
        <v>339882</v>
      </c>
      <c r="AD497">
        <v>0.94</v>
      </c>
      <c r="AE497">
        <v>1087</v>
      </c>
      <c r="AF497">
        <v>532</v>
      </c>
      <c r="AG497" t="s">
        <v>120</v>
      </c>
      <c r="AH497">
        <v>0.01</v>
      </c>
      <c r="AI497" t="s">
        <v>120</v>
      </c>
      <c r="AJ497">
        <v>19.54</v>
      </c>
      <c r="AK497" t="s">
        <v>3201</v>
      </c>
      <c r="AL497">
        <v>2.6</v>
      </c>
      <c r="AM497">
        <v>4453</v>
      </c>
      <c r="AN497">
        <v>148</v>
      </c>
      <c r="AO497">
        <v>8.0000000000000004E-4</v>
      </c>
      <c r="AP497">
        <v>2</v>
      </c>
      <c r="AQ497">
        <v>1.39</v>
      </c>
      <c r="AR497">
        <v>0.61</v>
      </c>
      <c r="AS497">
        <v>20.57</v>
      </c>
      <c r="AT497">
        <v>16.649999999999999</v>
      </c>
      <c r="AU497">
        <v>47.25</v>
      </c>
      <c r="AV497">
        <v>2</v>
      </c>
      <c r="AW497">
        <v>4.93</v>
      </c>
      <c r="AX497">
        <v>28.86</v>
      </c>
      <c r="AY497">
        <v>12.39</v>
      </c>
      <c r="AZ497">
        <v>29.7</v>
      </c>
      <c r="BA497">
        <v>0.63</v>
      </c>
      <c r="BB497" t="s">
        <v>168</v>
      </c>
      <c r="BF497">
        <v>1.46</v>
      </c>
      <c r="BG497">
        <v>7.0000000000000007E-2</v>
      </c>
      <c r="BH497">
        <v>-3.1</v>
      </c>
      <c r="BI497">
        <v>1.59</v>
      </c>
      <c r="BJ497">
        <v>20210828</v>
      </c>
      <c r="BK497">
        <v>20060823</v>
      </c>
      <c r="BL497">
        <v>46.34</v>
      </c>
      <c r="BM497" t="s">
        <v>120</v>
      </c>
      <c r="BN497" t="s">
        <v>120</v>
      </c>
      <c r="BO497">
        <v>234.44</v>
      </c>
      <c r="BP497">
        <v>14.71</v>
      </c>
      <c r="BQ497">
        <v>149.55000000000001</v>
      </c>
      <c r="BR497">
        <v>0.03</v>
      </c>
      <c r="BS497">
        <v>36.200000000000003</v>
      </c>
      <c r="BT497">
        <v>139.91</v>
      </c>
      <c r="BU497">
        <v>69.900000000000006</v>
      </c>
      <c r="BV497">
        <v>5.9</v>
      </c>
      <c r="BW497">
        <v>65.16</v>
      </c>
      <c r="BX497">
        <v>48.44</v>
      </c>
      <c r="BY497">
        <v>25.14</v>
      </c>
      <c r="BZ497">
        <v>23.62</v>
      </c>
      <c r="CA497" t="s">
        <v>120</v>
      </c>
      <c r="CB497">
        <v>14.56</v>
      </c>
      <c r="CC497">
        <v>128.94999999999999</v>
      </c>
      <c r="CD497">
        <v>77.06</v>
      </c>
      <c r="CE497">
        <v>44.72</v>
      </c>
      <c r="CF497">
        <v>0.36</v>
      </c>
      <c r="CG497">
        <v>44.53</v>
      </c>
      <c r="CH497">
        <v>38.51</v>
      </c>
      <c r="CI497">
        <v>38.51</v>
      </c>
      <c r="CJ497">
        <v>0.1</v>
      </c>
      <c r="CK497">
        <v>38.28</v>
      </c>
      <c r="CL497">
        <v>85.46</v>
      </c>
      <c r="CM497">
        <v>18.36</v>
      </c>
      <c r="CN497">
        <v>4.45</v>
      </c>
      <c r="CO497">
        <v>73101</v>
      </c>
      <c r="CP497">
        <v>18295</v>
      </c>
      <c r="CQ497" t="s">
        <v>3202</v>
      </c>
      <c r="CR497">
        <v>479.01</v>
      </c>
      <c r="CS497">
        <v>111.45</v>
      </c>
      <c r="CT497">
        <v>4.5599999999999996</v>
      </c>
      <c r="CU497">
        <v>37.119999999999997</v>
      </c>
      <c r="CV497">
        <v>5.29</v>
      </c>
      <c r="CW497">
        <v>0.68</v>
      </c>
      <c r="CX497" t="s">
        <v>655</v>
      </c>
      <c r="CY497">
        <v>3.23</v>
      </c>
      <c r="CZ497">
        <v>0</v>
      </c>
      <c r="DA497">
        <v>0.31</v>
      </c>
      <c r="DB497">
        <v>1.84</v>
      </c>
      <c r="DC497">
        <v>0.4</v>
      </c>
      <c r="DD497">
        <v>63.79</v>
      </c>
      <c r="DE497" t="s">
        <v>3203</v>
      </c>
      <c r="DF497">
        <v>40.24</v>
      </c>
      <c r="DG497">
        <v>34.68</v>
      </c>
      <c r="DH497">
        <v>29.86</v>
      </c>
      <c r="DI497">
        <v>4.0999999999999996</v>
      </c>
      <c r="DJ497">
        <v>6522</v>
      </c>
      <c r="DK497">
        <v>2064</v>
      </c>
      <c r="DL497" t="s">
        <v>120</v>
      </c>
      <c r="DM497" t="s">
        <v>120</v>
      </c>
      <c r="DN497" t="s">
        <v>120</v>
      </c>
    </row>
    <row r="498" spans="1:118">
      <c r="A498" t="str">
        <f>"002065"</f>
        <v>002065</v>
      </c>
      <c r="B498" t="s">
        <v>3204</v>
      </c>
      <c r="C498">
        <v>-1.53</v>
      </c>
      <c r="D498">
        <v>0</v>
      </c>
      <c r="E498">
        <v>-0.51</v>
      </c>
      <c r="F498">
        <v>8495</v>
      </c>
      <c r="G498" t="s">
        <v>888</v>
      </c>
      <c r="H498">
        <v>29246.48</v>
      </c>
      <c r="I498">
        <v>156.38</v>
      </c>
      <c r="J498" t="s">
        <v>120</v>
      </c>
      <c r="K498" t="s">
        <v>3205</v>
      </c>
      <c r="L498">
        <v>1.33</v>
      </c>
      <c r="M498">
        <v>7.7</v>
      </c>
      <c r="N498">
        <v>0.91</v>
      </c>
      <c r="O498">
        <v>1.66</v>
      </c>
      <c r="P498">
        <v>7.95</v>
      </c>
      <c r="Q498">
        <v>-1.79</v>
      </c>
      <c r="R498">
        <v>7.68</v>
      </c>
      <c r="S498">
        <v>7.78</v>
      </c>
      <c r="T498">
        <v>375065</v>
      </c>
      <c r="U498">
        <v>7.7</v>
      </c>
      <c r="V498">
        <v>7.82</v>
      </c>
      <c r="W498">
        <v>26.46</v>
      </c>
      <c r="X498" t="s">
        <v>141</v>
      </c>
      <c r="Y498" t="s">
        <v>158</v>
      </c>
      <c r="Z498">
        <v>3.45</v>
      </c>
      <c r="AA498">
        <v>7.8</v>
      </c>
      <c r="AB498">
        <v>202081</v>
      </c>
      <c r="AC498">
        <v>172984</v>
      </c>
      <c r="AD498">
        <v>1.17</v>
      </c>
      <c r="AE498">
        <v>2670</v>
      </c>
      <c r="AF498">
        <v>256</v>
      </c>
      <c r="AG498" t="s">
        <v>120</v>
      </c>
      <c r="AH498">
        <v>0.01</v>
      </c>
      <c r="AI498" t="s">
        <v>120</v>
      </c>
      <c r="AJ498">
        <v>28.14</v>
      </c>
      <c r="AK498" t="s">
        <v>3206</v>
      </c>
      <c r="AL498">
        <v>0.38</v>
      </c>
      <c r="AM498">
        <v>3840</v>
      </c>
      <c r="AN498">
        <v>98</v>
      </c>
      <c r="AO498">
        <v>2.9999999999999997E-4</v>
      </c>
      <c r="AP498">
        <v>-2</v>
      </c>
      <c r="AQ498">
        <v>-3.46</v>
      </c>
      <c r="AR498">
        <v>-2.54</v>
      </c>
      <c r="AS498">
        <v>9.2200000000000006</v>
      </c>
      <c r="AT498">
        <v>-2.04</v>
      </c>
      <c r="AU498">
        <v>-6.66</v>
      </c>
      <c r="AV498">
        <v>0</v>
      </c>
      <c r="AW498">
        <v>2.1</v>
      </c>
      <c r="AX498">
        <v>57.37</v>
      </c>
      <c r="AY498">
        <v>40.450000000000003</v>
      </c>
      <c r="AZ498">
        <v>44.27</v>
      </c>
      <c r="BA498">
        <v>0.34</v>
      </c>
      <c r="BB498" t="s">
        <v>143</v>
      </c>
      <c r="BF498">
        <v>-0.28000000000000003</v>
      </c>
      <c r="BG498">
        <v>-1.03</v>
      </c>
      <c r="BH498">
        <v>-3.14</v>
      </c>
      <c r="BI498">
        <v>0.26</v>
      </c>
      <c r="BJ498">
        <v>20210827</v>
      </c>
      <c r="BK498">
        <v>20060823</v>
      </c>
      <c r="BL498">
        <v>31.15</v>
      </c>
      <c r="BM498" t="s">
        <v>120</v>
      </c>
      <c r="BN498" t="s">
        <v>120</v>
      </c>
      <c r="BO498">
        <v>205.18</v>
      </c>
      <c r="BP498">
        <v>7.69</v>
      </c>
      <c r="BQ498">
        <v>103.67</v>
      </c>
      <c r="BR498">
        <v>1.07</v>
      </c>
      <c r="BS498">
        <v>48.95</v>
      </c>
      <c r="BT498">
        <v>177.56</v>
      </c>
      <c r="BU498">
        <v>2.58</v>
      </c>
      <c r="BV498">
        <v>1.63</v>
      </c>
      <c r="BW498">
        <v>98.28</v>
      </c>
      <c r="BX498">
        <v>12.44</v>
      </c>
      <c r="BY498">
        <v>70.97</v>
      </c>
      <c r="BZ498">
        <v>68.98</v>
      </c>
      <c r="CA498" t="s">
        <v>120</v>
      </c>
      <c r="CB498">
        <v>21.57</v>
      </c>
      <c r="CC498">
        <v>45.18</v>
      </c>
      <c r="CD498">
        <v>30.18</v>
      </c>
      <c r="CE498">
        <v>4.7300000000000004</v>
      </c>
      <c r="CF498">
        <v>-7.0000000000000007E-2</v>
      </c>
      <c r="CG498">
        <v>4.7300000000000004</v>
      </c>
      <c r="CH498">
        <v>4.38</v>
      </c>
      <c r="CI498">
        <v>4.53</v>
      </c>
      <c r="CJ498">
        <v>-0.12</v>
      </c>
      <c r="CK498">
        <v>4.4800000000000004</v>
      </c>
      <c r="CL498">
        <v>43.59</v>
      </c>
      <c r="CM498">
        <v>-12.06</v>
      </c>
      <c r="CN498">
        <v>-12.47</v>
      </c>
      <c r="CO498">
        <v>161577</v>
      </c>
      <c r="CP498">
        <v>11063</v>
      </c>
      <c r="CQ498" t="s">
        <v>836</v>
      </c>
      <c r="CR498">
        <v>12.94</v>
      </c>
      <c r="CS498">
        <v>24.12</v>
      </c>
      <c r="CT498">
        <v>2.31</v>
      </c>
      <c r="CU498">
        <v>-19.899999999999999</v>
      </c>
      <c r="CV498">
        <v>5.31</v>
      </c>
      <c r="CW498">
        <v>0.64</v>
      </c>
      <c r="CX498" t="s">
        <v>2736</v>
      </c>
      <c r="CY498">
        <v>3.33</v>
      </c>
      <c r="CZ498">
        <v>0</v>
      </c>
      <c r="DA498">
        <v>0.69</v>
      </c>
      <c r="DB498">
        <v>1.4</v>
      </c>
      <c r="DC498">
        <v>-0.39</v>
      </c>
      <c r="DD498">
        <v>50.53</v>
      </c>
      <c r="DE498" t="s">
        <v>864</v>
      </c>
      <c r="DF498">
        <v>33.200000000000003</v>
      </c>
      <c r="DG498">
        <v>10.46</v>
      </c>
      <c r="DH498">
        <v>10.029999999999999</v>
      </c>
      <c r="DI498">
        <v>4.57</v>
      </c>
      <c r="DJ498">
        <v>10202</v>
      </c>
      <c r="DK498">
        <v>2065</v>
      </c>
      <c r="DL498" t="s">
        <v>120</v>
      </c>
      <c r="DM498" t="s">
        <v>120</v>
      </c>
      <c r="DN498" t="s">
        <v>120</v>
      </c>
    </row>
    <row r="499" spans="1:118">
      <c r="A499" t="str">
        <f>"002066"</f>
        <v>002066</v>
      </c>
      <c r="B499" t="s">
        <v>3207</v>
      </c>
      <c r="C499">
        <v>-1.66</v>
      </c>
      <c r="D499">
        <v>0.19</v>
      </c>
      <c r="E499">
        <v>-0.18</v>
      </c>
      <c r="F499">
        <v>211</v>
      </c>
      <c r="G499" t="s">
        <v>3208</v>
      </c>
      <c r="H499">
        <v>4442.7299999999996</v>
      </c>
      <c r="I499">
        <v>7.68</v>
      </c>
      <c r="J499" t="s">
        <v>120</v>
      </c>
      <c r="K499" t="s">
        <v>3209</v>
      </c>
      <c r="L499">
        <v>1.78</v>
      </c>
      <c r="M499">
        <v>10.66</v>
      </c>
      <c r="N499">
        <v>0.71</v>
      </c>
      <c r="O499">
        <v>1.01</v>
      </c>
      <c r="P499">
        <v>10.95</v>
      </c>
      <c r="Q499">
        <v>-1.94</v>
      </c>
      <c r="R499">
        <v>10.63</v>
      </c>
      <c r="S499">
        <v>10.82</v>
      </c>
      <c r="T499">
        <v>41164</v>
      </c>
      <c r="U499">
        <v>10.66</v>
      </c>
      <c r="V499">
        <v>10.84</v>
      </c>
      <c r="W499">
        <v>53.1</v>
      </c>
      <c r="X499" t="s">
        <v>247</v>
      </c>
      <c r="Y499" t="s">
        <v>158</v>
      </c>
      <c r="Z499">
        <v>2.95</v>
      </c>
      <c r="AA499">
        <v>10.79</v>
      </c>
      <c r="AB499">
        <v>21849</v>
      </c>
      <c r="AC499">
        <v>19315</v>
      </c>
      <c r="AD499">
        <v>1.1299999999999999</v>
      </c>
      <c r="AE499">
        <v>107</v>
      </c>
      <c r="AF499">
        <v>11</v>
      </c>
      <c r="AG499" t="s">
        <v>120</v>
      </c>
      <c r="AH499">
        <v>0.01</v>
      </c>
      <c r="AI499" t="s">
        <v>120</v>
      </c>
      <c r="AJ499">
        <v>2.31</v>
      </c>
      <c r="AK499" t="s">
        <v>3209</v>
      </c>
      <c r="AL499">
        <v>0.25</v>
      </c>
      <c r="AM499">
        <v>1712</v>
      </c>
      <c r="AN499">
        <v>24</v>
      </c>
      <c r="AO499">
        <v>1E-3</v>
      </c>
      <c r="AP499">
        <v>-1</v>
      </c>
      <c r="AQ499">
        <v>1.5</v>
      </c>
      <c r="AR499">
        <v>-0.92</v>
      </c>
      <c r="AS499">
        <v>7.56</v>
      </c>
      <c r="AT499">
        <v>9.56</v>
      </c>
      <c r="AU499">
        <v>21.13</v>
      </c>
      <c r="AV499">
        <v>2</v>
      </c>
      <c r="AW499">
        <v>2.98</v>
      </c>
      <c r="AX499">
        <v>59.87</v>
      </c>
      <c r="AY499">
        <v>52.53</v>
      </c>
      <c r="AZ499">
        <v>90.27</v>
      </c>
      <c r="BA499">
        <v>0.45</v>
      </c>
      <c r="BB499" t="s">
        <v>184</v>
      </c>
      <c r="BF499">
        <v>-0.44</v>
      </c>
      <c r="BG499">
        <v>-1.48</v>
      </c>
      <c r="BH499">
        <v>-2.65</v>
      </c>
      <c r="BI499">
        <v>0.28000000000000003</v>
      </c>
      <c r="BJ499">
        <v>20210825</v>
      </c>
      <c r="BK499">
        <v>20060823</v>
      </c>
      <c r="BL499">
        <v>2.31</v>
      </c>
      <c r="BM499" t="s">
        <v>120</v>
      </c>
      <c r="BN499" t="s">
        <v>120</v>
      </c>
      <c r="BO499">
        <v>41.68</v>
      </c>
      <c r="BP499">
        <v>10.65</v>
      </c>
      <c r="BQ499">
        <v>5.04</v>
      </c>
      <c r="BR499">
        <v>6.37</v>
      </c>
      <c r="BS499">
        <v>72.64</v>
      </c>
      <c r="BT499">
        <v>29.11</v>
      </c>
      <c r="BU499">
        <v>9.1999999999999993</v>
      </c>
      <c r="BV499">
        <v>2.64</v>
      </c>
      <c r="BW499">
        <v>29.74</v>
      </c>
      <c r="BX499">
        <v>2.83</v>
      </c>
      <c r="BY499">
        <v>9.26</v>
      </c>
      <c r="BZ499">
        <v>7.32</v>
      </c>
      <c r="CA499" t="s">
        <v>120</v>
      </c>
      <c r="CB499">
        <v>1.63</v>
      </c>
      <c r="CC499">
        <v>23.43</v>
      </c>
      <c r="CD499">
        <v>19.34</v>
      </c>
      <c r="CE499">
        <v>0.79</v>
      </c>
      <c r="CF499">
        <v>0</v>
      </c>
      <c r="CG499">
        <v>0.79</v>
      </c>
      <c r="CH499">
        <v>0.65</v>
      </c>
      <c r="CI499">
        <v>0.23</v>
      </c>
      <c r="CJ499">
        <v>-0.18</v>
      </c>
      <c r="CK499">
        <v>0.19</v>
      </c>
      <c r="CL499">
        <v>0.86</v>
      </c>
      <c r="CM499">
        <v>0.61</v>
      </c>
      <c r="CN499">
        <v>0.31</v>
      </c>
      <c r="CO499">
        <v>19766</v>
      </c>
      <c r="CP499">
        <v>6997</v>
      </c>
      <c r="CQ499" t="s">
        <v>1029</v>
      </c>
      <c r="CR499">
        <v>612.51</v>
      </c>
      <c r="CS499">
        <v>18.63</v>
      </c>
      <c r="CT499">
        <v>4.8899999999999997</v>
      </c>
      <c r="CU499">
        <v>40.68</v>
      </c>
      <c r="CV499">
        <v>1.05</v>
      </c>
      <c r="CW499">
        <v>0</v>
      </c>
      <c r="CX499" t="s">
        <v>411</v>
      </c>
      <c r="CY499">
        <v>2.1800000000000002</v>
      </c>
      <c r="CZ499">
        <v>0</v>
      </c>
      <c r="DA499">
        <v>0.71</v>
      </c>
      <c r="DB499">
        <v>0.37</v>
      </c>
      <c r="DC499">
        <v>0.26</v>
      </c>
      <c r="DD499">
        <v>12.08</v>
      </c>
      <c r="DE499" t="s">
        <v>2680</v>
      </c>
      <c r="DF499">
        <v>17.47</v>
      </c>
      <c r="DG499">
        <v>3.35</v>
      </c>
      <c r="DH499">
        <v>0.99</v>
      </c>
      <c r="DI499">
        <v>0.75</v>
      </c>
      <c r="DJ499">
        <v>2862</v>
      </c>
      <c r="DK499">
        <v>2066</v>
      </c>
      <c r="DL499" t="s">
        <v>120</v>
      </c>
      <c r="DM499" t="s">
        <v>120</v>
      </c>
      <c r="DN499" t="s">
        <v>120</v>
      </c>
    </row>
    <row r="500" spans="1:118">
      <c r="A500" t="str">
        <f>"002067"</f>
        <v>002067</v>
      </c>
      <c r="B500" t="s">
        <v>3210</v>
      </c>
      <c r="C500">
        <v>1.17</v>
      </c>
      <c r="D500">
        <v>0</v>
      </c>
      <c r="E500">
        <v>0</v>
      </c>
      <c r="F500">
        <v>3532</v>
      </c>
      <c r="G500" t="s">
        <v>3211</v>
      </c>
      <c r="H500">
        <v>23898.89</v>
      </c>
      <c r="I500">
        <v>55</v>
      </c>
      <c r="J500" t="s">
        <v>120</v>
      </c>
      <c r="K500" t="s">
        <v>2957</v>
      </c>
      <c r="L500">
        <v>5.27</v>
      </c>
      <c r="M500">
        <v>4.33</v>
      </c>
      <c r="N500">
        <v>1.18</v>
      </c>
      <c r="O500">
        <v>4.21</v>
      </c>
      <c r="P500">
        <v>4.46</v>
      </c>
      <c r="Q500">
        <v>-0.47</v>
      </c>
      <c r="R500">
        <v>4.26</v>
      </c>
      <c r="S500">
        <v>4.28</v>
      </c>
      <c r="T500">
        <v>546683</v>
      </c>
      <c r="U500">
        <v>4.34</v>
      </c>
      <c r="V500">
        <v>4.28</v>
      </c>
      <c r="W500">
        <v>9.6</v>
      </c>
      <c r="X500" t="s">
        <v>814</v>
      </c>
      <c r="Y500" t="s">
        <v>585</v>
      </c>
      <c r="Z500">
        <v>4.67</v>
      </c>
      <c r="AA500">
        <v>4.37</v>
      </c>
      <c r="AB500">
        <v>265070</v>
      </c>
      <c r="AC500">
        <v>281613</v>
      </c>
      <c r="AD500">
        <v>0.94</v>
      </c>
      <c r="AE500">
        <v>561</v>
      </c>
      <c r="AF500">
        <v>715</v>
      </c>
      <c r="AG500" t="s">
        <v>120</v>
      </c>
      <c r="AH500">
        <v>0.01</v>
      </c>
      <c r="AI500" t="s">
        <v>120</v>
      </c>
      <c r="AJ500">
        <v>10.37</v>
      </c>
      <c r="AK500" t="s">
        <v>3212</v>
      </c>
      <c r="AL500">
        <v>3.08</v>
      </c>
      <c r="AM500">
        <v>3700</v>
      </c>
      <c r="AN500">
        <v>148</v>
      </c>
      <c r="AO500">
        <v>1.4E-3</v>
      </c>
      <c r="AP500">
        <v>2</v>
      </c>
      <c r="AQ500">
        <v>2.64</v>
      </c>
      <c r="AR500">
        <v>2.85</v>
      </c>
      <c r="AS500">
        <v>19.61</v>
      </c>
      <c r="AT500">
        <v>16.09</v>
      </c>
      <c r="AU500">
        <v>23.36</v>
      </c>
      <c r="AV500">
        <v>1</v>
      </c>
      <c r="AW500">
        <v>5.51</v>
      </c>
      <c r="AX500">
        <v>84.49</v>
      </c>
      <c r="AY500">
        <v>10.8</v>
      </c>
      <c r="AZ500">
        <v>16.11</v>
      </c>
      <c r="BA500">
        <v>0.28000000000000003</v>
      </c>
      <c r="BB500" t="s">
        <v>168</v>
      </c>
      <c r="BF500">
        <v>2.14</v>
      </c>
      <c r="BG500">
        <v>1.17</v>
      </c>
      <c r="BH500">
        <v>-2.91</v>
      </c>
      <c r="BI500">
        <v>1.64</v>
      </c>
      <c r="BJ500">
        <v>20210831</v>
      </c>
      <c r="BK500">
        <v>20060915</v>
      </c>
      <c r="BL500">
        <v>11.74</v>
      </c>
      <c r="BM500" t="s">
        <v>120</v>
      </c>
      <c r="BN500" t="s">
        <v>120</v>
      </c>
      <c r="BO500">
        <v>74.59</v>
      </c>
      <c r="BP500">
        <v>4.33</v>
      </c>
      <c r="BQ500">
        <v>51.91</v>
      </c>
      <c r="BR500">
        <v>1.71</v>
      </c>
      <c r="BS500">
        <v>28.1</v>
      </c>
      <c r="BT500">
        <v>34.86</v>
      </c>
      <c r="BU500">
        <v>22.61</v>
      </c>
      <c r="BV500">
        <v>5.47</v>
      </c>
      <c r="BW500">
        <v>10.44</v>
      </c>
      <c r="BX500">
        <v>14.94</v>
      </c>
      <c r="BY500">
        <v>6.02</v>
      </c>
      <c r="BZ500">
        <v>4.7300000000000004</v>
      </c>
      <c r="CA500" t="s">
        <v>120</v>
      </c>
      <c r="CB500">
        <v>18</v>
      </c>
      <c r="CC500">
        <v>28.38</v>
      </c>
      <c r="CD500">
        <v>23.43</v>
      </c>
      <c r="CE500">
        <v>3.19</v>
      </c>
      <c r="CF500">
        <v>0.08</v>
      </c>
      <c r="CG500">
        <v>3.2</v>
      </c>
      <c r="CH500">
        <v>2.82</v>
      </c>
      <c r="CI500">
        <v>2.65</v>
      </c>
      <c r="CJ500">
        <v>0.05</v>
      </c>
      <c r="CK500">
        <v>2.63</v>
      </c>
      <c r="CL500">
        <v>19.600000000000001</v>
      </c>
      <c r="CM500">
        <v>1.42</v>
      </c>
      <c r="CN500">
        <v>-0.75</v>
      </c>
      <c r="CO500">
        <v>80000</v>
      </c>
      <c r="CP500">
        <v>12403</v>
      </c>
      <c r="CQ500" t="s">
        <v>1920</v>
      </c>
      <c r="CR500">
        <v>137.96</v>
      </c>
      <c r="CS500">
        <v>32.76</v>
      </c>
      <c r="CT500">
        <v>1</v>
      </c>
      <c r="CU500">
        <v>35.86</v>
      </c>
      <c r="CV500">
        <v>1.79</v>
      </c>
      <c r="CW500">
        <v>0</v>
      </c>
      <c r="CX500" t="s">
        <v>694</v>
      </c>
      <c r="CY500">
        <v>4.32</v>
      </c>
      <c r="CZ500">
        <v>4.32</v>
      </c>
      <c r="DA500">
        <v>1.53</v>
      </c>
      <c r="DB500">
        <v>1.67</v>
      </c>
      <c r="DC500">
        <v>0.12</v>
      </c>
      <c r="DD500">
        <v>69.599999999999994</v>
      </c>
      <c r="DE500" t="s">
        <v>3213</v>
      </c>
      <c r="DF500">
        <v>17.43</v>
      </c>
      <c r="DG500">
        <v>11.26</v>
      </c>
      <c r="DH500">
        <v>9.33</v>
      </c>
      <c r="DI500">
        <v>0.96</v>
      </c>
      <c r="DJ500">
        <v>1956</v>
      </c>
      <c r="DK500">
        <v>2067</v>
      </c>
      <c r="DL500" t="s">
        <v>120</v>
      </c>
      <c r="DM500" t="s">
        <v>120</v>
      </c>
      <c r="DN500" t="s">
        <v>120</v>
      </c>
    </row>
    <row r="501" spans="1:118">
      <c r="A501" t="str">
        <f>"002068"</f>
        <v>002068</v>
      </c>
      <c r="B501" t="s">
        <v>3214</v>
      </c>
      <c r="C501">
        <v>-2.39</v>
      </c>
      <c r="D501">
        <v>0.11</v>
      </c>
      <c r="E501">
        <v>1.41</v>
      </c>
      <c r="F501">
        <v>4722</v>
      </c>
      <c r="G501" t="s">
        <v>3215</v>
      </c>
      <c r="H501">
        <v>53029.81</v>
      </c>
      <c r="I501">
        <v>278.60000000000002</v>
      </c>
      <c r="J501" t="s">
        <v>120</v>
      </c>
      <c r="K501" t="s">
        <v>3216</v>
      </c>
      <c r="L501">
        <v>7.91</v>
      </c>
      <c r="M501">
        <v>8.9700000000000006</v>
      </c>
      <c r="N501">
        <v>0.81</v>
      </c>
      <c r="O501">
        <v>3.16</v>
      </c>
      <c r="P501">
        <v>9.48</v>
      </c>
      <c r="Q501">
        <v>-2.83</v>
      </c>
      <c r="R501">
        <v>8.93</v>
      </c>
      <c r="S501">
        <v>9.32</v>
      </c>
      <c r="T501">
        <v>575286</v>
      </c>
      <c r="U501">
        <v>8.98</v>
      </c>
      <c r="V501">
        <v>9.19</v>
      </c>
      <c r="W501">
        <v>7.26</v>
      </c>
      <c r="X501" t="s">
        <v>868</v>
      </c>
      <c r="Y501" t="s">
        <v>676</v>
      </c>
      <c r="Z501">
        <v>5.98</v>
      </c>
      <c r="AA501">
        <v>9.2200000000000006</v>
      </c>
      <c r="AB501">
        <v>318029</v>
      </c>
      <c r="AC501">
        <v>257257</v>
      </c>
      <c r="AD501">
        <v>1.24</v>
      </c>
      <c r="AE501">
        <v>229</v>
      </c>
      <c r="AF501">
        <v>190</v>
      </c>
      <c r="AG501" t="s">
        <v>120</v>
      </c>
      <c r="AH501">
        <v>0.09</v>
      </c>
      <c r="AI501" t="s">
        <v>120</v>
      </c>
      <c r="AJ501">
        <v>7.27</v>
      </c>
      <c r="AK501" t="s">
        <v>3217</v>
      </c>
      <c r="AL501">
        <v>-0.48</v>
      </c>
      <c r="AM501">
        <v>3881</v>
      </c>
      <c r="AN501">
        <v>148</v>
      </c>
      <c r="AO501">
        <v>2E-3</v>
      </c>
      <c r="AP501">
        <v>-1</v>
      </c>
      <c r="AQ501">
        <v>3.84</v>
      </c>
      <c r="AR501">
        <v>-1</v>
      </c>
      <c r="AS501">
        <v>17.25</v>
      </c>
      <c r="AT501">
        <v>17.25</v>
      </c>
      <c r="AU501">
        <v>47.29</v>
      </c>
      <c r="AV501">
        <v>2</v>
      </c>
      <c r="AW501">
        <v>16.62</v>
      </c>
      <c r="AX501">
        <v>46.49</v>
      </c>
      <c r="AY501">
        <v>10.93</v>
      </c>
      <c r="AZ501">
        <v>70.56</v>
      </c>
      <c r="BA501">
        <v>0.48</v>
      </c>
      <c r="BB501" t="s">
        <v>184</v>
      </c>
      <c r="BF501">
        <v>0.3</v>
      </c>
      <c r="BG501">
        <v>-3.76</v>
      </c>
      <c r="BH501">
        <v>-5.38</v>
      </c>
      <c r="BI501">
        <v>0.45</v>
      </c>
      <c r="BJ501">
        <v>20210827</v>
      </c>
      <c r="BK501">
        <v>20060915</v>
      </c>
      <c r="BL501">
        <v>7.45</v>
      </c>
      <c r="BM501" t="s">
        <v>120</v>
      </c>
      <c r="BN501" t="s">
        <v>120</v>
      </c>
      <c r="BO501">
        <v>73.61</v>
      </c>
      <c r="BP501">
        <v>8.9700000000000006</v>
      </c>
      <c r="BQ501">
        <v>33.9</v>
      </c>
      <c r="BR501">
        <v>1.19</v>
      </c>
      <c r="BS501">
        <v>52.33</v>
      </c>
      <c r="BT501">
        <v>40.130000000000003</v>
      </c>
      <c r="BU501">
        <v>28.91</v>
      </c>
      <c r="BV501">
        <v>2.2400000000000002</v>
      </c>
      <c r="BW501">
        <v>30.67</v>
      </c>
      <c r="BX501">
        <v>4.59</v>
      </c>
      <c r="BY501">
        <v>8.33</v>
      </c>
      <c r="BZ501">
        <v>16.73</v>
      </c>
      <c r="CA501" t="s">
        <v>120</v>
      </c>
      <c r="CB501">
        <v>14.49</v>
      </c>
      <c r="CC501">
        <v>39.590000000000003</v>
      </c>
      <c r="CD501">
        <v>31.99</v>
      </c>
      <c r="CE501">
        <v>5.35</v>
      </c>
      <c r="CF501">
        <v>-0.06</v>
      </c>
      <c r="CG501">
        <v>5.36</v>
      </c>
      <c r="CH501">
        <v>4.8899999999999997</v>
      </c>
      <c r="CI501">
        <v>4.5999999999999996</v>
      </c>
      <c r="CJ501">
        <v>-0.22</v>
      </c>
      <c r="CK501">
        <v>4.54</v>
      </c>
      <c r="CL501">
        <v>10.54</v>
      </c>
      <c r="CM501">
        <v>1.92</v>
      </c>
      <c r="CN501">
        <v>1.87</v>
      </c>
      <c r="CO501">
        <v>40091</v>
      </c>
      <c r="CP501">
        <v>8636</v>
      </c>
      <c r="CQ501" t="s">
        <v>3218</v>
      </c>
      <c r="CR501">
        <v>766.25</v>
      </c>
      <c r="CS501">
        <v>79.59</v>
      </c>
      <c r="CT501">
        <v>1.97</v>
      </c>
      <c r="CU501">
        <v>34.74</v>
      </c>
      <c r="CV501">
        <v>1.69</v>
      </c>
      <c r="CW501">
        <v>2.72</v>
      </c>
      <c r="CX501" t="s">
        <v>3219</v>
      </c>
      <c r="CY501">
        <v>4.55</v>
      </c>
      <c r="CZ501">
        <v>0</v>
      </c>
      <c r="DA501">
        <v>1.94</v>
      </c>
      <c r="DB501">
        <v>1.42</v>
      </c>
      <c r="DC501">
        <v>0.26</v>
      </c>
      <c r="DD501">
        <v>46.05</v>
      </c>
      <c r="DE501" t="s">
        <v>3220</v>
      </c>
      <c r="DF501">
        <v>19.2</v>
      </c>
      <c r="DG501">
        <v>13.51</v>
      </c>
      <c r="DH501">
        <v>11.62</v>
      </c>
      <c r="DI501">
        <v>0.02</v>
      </c>
      <c r="DJ501">
        <v>4159</v>
      </c>
      <c r="DK501">
        <v>2068</v>
      </c>
      <c r="DL501" t="s">
        <v>120</v>
      </c>
      <c r="DM501" t="s">
        <v>120</v>
      </c>
      <c r="DN501" t="s">
        <v>120</v>
      </c>
    </row>
    <row r="502" spans="1:118">
      <c r="A502" t="str">
        <f>"002069"</f>
        <v>002069</v>
      </c>
      <c r="B502" t="s">
        <v>3221</v>
      </c>
      <c r="C502">
        <v>2.2599999999999998</v>
      </c>
      <c r="D502">
        <v>0.32</v>
      </c>
      <c r="E502">
        <v>0.32</v>
      </c>
      <c r="F502">
        <v>884</v>
      </c>
      <c r="G502" t="s">
        <v>3222</v>
      </c>
      <c r="H502">
        <v>6228.74</v>
      </c>
      <c r="I502">
        <v>5.07</v>
      </c>
      <c r="J502" t="s">
        <v>120</v>
      </c>
      <c r="K502" t="s">
        <v>3223</v>
      </c>
      <c r="L502">
        <v>2.83</v>
      </c>
      <c r="M502">
        <v>3.17</v>
      </c>
      <c r="N502">
        <v>2.4900000000000002</v>
      </c>
      <c r="O502">
        <v>4.84</v>
      </c>
      <c r="P502">
        <v>3.25</v>
      </c>
      <c r="Q502">
        <v>0.32</v>
      </c>
      <c r="R502">
        <v>3.11</v>
      </c>
      <c r="S502">
        <v>3.11</v>
      </c>
      <c r="T502">
        <v>195047</v>
      </c>
      <c r="U502">
        <v>3.17</v>
      </c>
      <c r="V502">
        <v>3.1</v>
      </c>
      <c r="W502" t="s">
        <v>120</v>
      </c>
      <c r="X502" t="s">
        <v>2008</v>
      </c>
      <c r="Y502" t="s">
        <v>432</v>
      </c>
      <c r="Z502">
        <v>4.5199999999999996</v>
      </c>
      <c r="AA502">
        <v>3.19</v>
      </c>
      <c r="AB502">
        <v>76948</v>
      </c>
      <c r="AC502">
        <v>118099</v>
      </c>
      <c r="AD502">
        <v>0.65</v>
      </c>
      <c r="AE502">
        <v>1291</v>
      </c>
      <c r="AF502">
        <v>177</v>
      </c>
      <c r="AG502" t="s">
        <v>120</v>
      </c>
      <c r="AH502">
        <v>0.01</v>
      </c>
      <c r="AI502" t="s">
        <v>120</v>
      </c>
      <c r="AJ502">
        <v>6.89</v>
      </c>
      <c r="AK502" t="s">
        <v>3224</v>
      </c>
      <c r="AL502">
        <v>4.17</v>
      </c>
      <c r="AM502">
        <v>1949</v>
      </c>
      <c r="AN502">
        <v>100</v>
      </c>
      <c r="AO502">
        <v>1.5E-3</v>
      </c>
      <c r="AP502">
        <v>2</v>
      </c>
      <c r="AQ502">
        <v>0.32</v>
      </c>
      <c r="AR502">
        <v>1.27</v>
      </c>
      <c r="AS502">
        <v>9.31</v>
      </c>
      <c r="AT502">
        <v>-7.85</v>
      </c>
      <c r="AU502">
        <v>-19.75</v>
      </c>
      <c r="AV502">
        <v>7</v>
      </c>
      <c r="AW502">
        <v>6.23</v>
      </c>
      <c r="AX502">
        <v>44</v>
      </c>
      <c r="AY502" t="s">
        <v>120</v>
      </c>
      <c r="AZ502">
        <v>148.44999999999999</v>
      </c>
      <c r="BA502">
        <v>0.39</v>
      </c>
      <c r="BB502" t="s">
        <v>143</v>
      </c>
      <c r="BF502">
        <v>3.01</v>
      </c>
      <c r="BG502">
        <v>1.93</v>
      </c>
      <c r="BH502">
        <v>-2.46</v>
      </c>
      <c r="BI502">
        <v>1.93</v>
      </c>
      <c r="BJ502">
        <v>20210828</v>
      </c>
      <c r="BK502">
        <v>20060928</v>
      </c>
      <c r="BL502">
        <v>7.11</v>
      </c>
      <c r="BM502" t="s">
        <v>120</v>
      </c>
      <c r="BN502" t="s">
        <v>120</v>
      </c>
      <c r="BO502">
        <v>26.14</v>
      </c>
      <c r="BP502">
        <v>3.16</v>
      </c>
      <c r="BQ502">
        <v>-0.32</v>
      </c>
      <c r="BR502">
        <v>0.61</v>
      </c>
      <c r="BS502">
        <v>98.92</v>
      </c>
      <c r="BT502">
        <v>15.99</v>
      </c>
      <c r="BU502">
        <v>5.94</v>
      </c>
      <c r="BV502">
        <v>2.0099999999999998</v>
      </c>
      <c r="BW502">
        <v>22.45</v>
      </c>
      <c r="BX502">
        <v>6.54</v>
      </c>
      <c r="BY502">
        <v>5.64</v>
      </c>
      <c r="BZ502">
        <v>2.71</v>
      </c>
      <c r="CA502">
        <v>0.04</v>
      </c>
      <c r="CB502">
        <v>9.85</v>
      </c>
      <c r="CC502">
        <v>10.54</v>
      </c>
      <c r="CD502">
        <v>8.86</v>
      </c>
      <c r="CE502">
        <v>-0.06</v>
      </c>
      <c r="CF502">
        <v>0</v>
      </c>
      <c r="CG502">
        <v>-0.22</v>
      </c>
      <c r="CH502">
        <v>-0.23</v>
      </c>
      <c r="CI502">
        <v>-0.39</v>
      </c>
      <c r="CJ502">
        <v>7.0000000000000007E-2</v>
      </c>
      <c r="CK502">
        <v>-0.27</v>
      </c>
      <c r="CL502">
        <v>-19.579999999999998</v>
      </c>
      <c r="CM502">
        <v>1.82</v>
      </c>
      <c r="CN502">
        <v>0.76</v>
      </c>
      <c r="CO502">
        <v>48941</v>
      </c>
      <c r="CP502">
        <v>6394</v>
      </c>
      <c r="CQ502" t="s">
        <v>3225</v>
      </c>
      <c r="CR502">
        <v>-198.58</v>
      </c>
      <c r="CS502">
        <v>3.65</v>
      </c>
      <c r="CT502">
        <v>-69.67</v>
      </c>
      <c r="CU502">
        <v>12.38</v>
      </c>
      <c r="CV502">
        <v>2.14</v>
      </c>
      <c r="CW502">
        <v>0</v>
      </c>
      <c r="CX502" t="s">
        <v>3226</v>
      </c>
      <c r="CY502">
        <v>-0.05</v>
      </c>
      <c r="CZ502">
        <v>0</v>
      </c>
      <c r="DA502">
        <v>1.38</v>
      </c>
      <c r="DB502">
        <v>-2.75</v>
      </c>
      <c r="DC502">
        <v>0.26</v>
      </c>
      <c r="DD502">
        <v>-1.24</v>
      </c>
      <c r="DE502" t="s">
        <v>120</v>
      </c>
      <c r="DF502">
        <v>15.9</v>
      </c>
      <c r="DG502">
        <v>-0.61</v>
      </c>
      <c r="DH502">
        <v>-3.74</v>
      </c>
      <c r="DI502">
        <v>0.08</v>
      </c>
      <c r="DJ502">
        <v>1899</v>
      </c>
      <c r="DK502">
        <v>2069</v>
      </c>
      <c r="DL502" t="s">
        <v>120</v>
      </c>
      <c r="DM502" t="s">
        <v>120</v>
      </c>
      <c r="DN502" t="s">
        <v>120</v>
      </c>
    </row>
    <row r="503" spans="1:118">
      <c r="A503" t="str">
        <f>"002073"</f>
        <v>002073</v>
      </c>
      <c r="B503" t="s">
        <v>3227</v>
      </c>
      <c r="C503">
        <v>-1.48</v>
      </c>
      <c r="D503">
        <v>-0.16</v>
      </c>
      <c r="E503">
        <v>1.64</v>
      </c>
      <c r="F503">
        <v>3210</v>
      </c>
      <c r="G503" t="s">
        <v>3228</v>
      </c>
      <c r="H503">
        <v>13540.1</v>
      </c>
      <c r="I503">
        <v>180.46</v>
      </c>
      <c r="J503" t="s">
        <v>120</v>
      </c>
      <c r="K503" t="s">
        <v>3229</v>
      </c>
      <c r="L503">
        <v>2.39</v>
      </c>
      <c r="M503">
        <v>5.99</v>
      </c>
      <c r="N503">
        <v>1.23</v>
      </c>
      <c r="O503">
        <v>1.64</v>
      </c>
      <c r="P503">
        <v>6.18</v>
      </c>
      <c r="Q503">
        <v>-1.64</v>
      </c>
      <c r="R503">
        <v>5.98</v>
      </c>
      <c r="S503">
        <v>6.18</v>
      </c>
      <c r="T503">
        <v>222875</v>
      </c>
      <c r="U503">
        <v>6</v>
      </c>
      <c r="V503">
        <v>6.08</v>
      </c>
      <c r="W503">
        <v>82.9</v>
      </c>
      <c r="X503" t="s">
        <v>141</v>
      </c>
      <c r="Y503" t="s">
        <v>638</v>
      </c>
      <c r="Z503">
        <v>3.29</v>
      </c>
      <c r="AA503">
        <v>6.08</v>
      </c>
      <c r="AB503">
        <v>124446</v>
      </c>
      <c r="AC503">
        <v>98429</v>
      </c>
      <c r="AD503">
        <v>1.26</v>
      </c>
      <c r="AE503">
        <v>1190</v>
      </c>
      <c r="AF503">
        <v>676</v>
      </c>
      <c r="AG503" t="s">
        <v>120</v>
      </c>
      <c r="AH503">
        <v>0.04</v>
      </c>
      <c r="AI503" t="s">
        <v>120</v>
      </c>
      <c r="AJ503">
        <v>9.34</v>
      </c>
      <c r="AK503" t="s">
        <v>3230</v>
      </c>
      <c r="AL503">
        <v>0.43</v>
      </c>
      <c r="AM503">
        <v>2764</v>
      </c>
      <c r="AN503">
        <v>81</v>
      </c>
      <c r="AO503">
        <v>8.9999999999999998E-4</v>
      </c>
      <c r="AP503">
        <v>-1</v>
      </c>
      <c r="AQ503">
        <v>3.93</v>
      </c>
      <c r="AR503">
        <v>3.63</v>
      </c>
      <c r="AS503">
        <v>16.989999999999998</v>
      </c>
      <c r="AT503">
        <v>21.26</v>
      </c>
      <c r="AU503">
        <v>27.99</v>
      </c>
      <c r="AV503">
        <v>1</v>
      </c>
      <c r="AW503">
        <v>2.83</v>
      </c>
      <c r="AX503">
        <v>84.44</v>
      </c>
      <c r="AY503">
        <v>46.07</v>
      </c>
      <c r="AZ503">
        <v>59.7</v>
      </c>
      <c r="BA503">
        <v>0.45</v>
      </c>
      <c r="BB503" t="s">
        <v>168</v>
      </c>
      <c r="BF503">
        <v>-0.08</v>
      </c>
      <c r="BG503">
        <v>-3.07</v>
      </c>
      <c r="BH503">
        <v>-3.07</v>
      </c>
      <c r="BI503">
        <v>0.17</v>
      </c>
      <c r="BJ503">
        <v>20210915</v>
      </c>
      <c r="BK503">
        <v>20061018</v>
      </c>
      <c r="BL503">
        <v>9.34</v>
      </c>
      <c r="BM503" t="s">
        <v>120</v>
      </c>
      <c r="BN503" t="s">
        <v>120</v>
      </c>
      <c r="BO503">
        <v>97.73</v>
      </c>
      <c r="BP503">
        <v>5.99</v>
      </c>
      <c r="BQ503">
        <v>43.02</v>
      </c>
      <c r="BR503">
        <v>2.73</v>
      </c>
      <c r="BS503">
        <v>53.18</v>
      </c>
      <c r="BT503">
        <v>73.28</v>
      </c>
      <c r="BU503">
        <v>12.26</v>
      </c>
      <c r="BV503">
        <v>3.58</v>
      </c>
      <c r="BW503">
        <v>46.86</v>
      </c>
      <c r="BX503">
        <v>12.54</v>
      </c>
      <c r="BY503">
        <v>29.22</v>
      </c>
      <c r="BZ503">
        <v>8.98</v>
      </c>
      <c r="CA503" t="s">
        <v>120</v>
      </c>
      <c r="CB503">
        <v>18.5</v>
      </c>
      <c r="CC503">
        <v>18.579999999999998</v>
      </c>
      <c r="CD503">
        <v>15.15</v>
      </c>
      <c r="CE503">
        <v>0.41</v>
      </c>
      <c r="CF503">
        <v>0.11</v>
      </c>
      <c r="CG503">
        <v>0.39</v>
      </c>
      <c r="CH503">
        <v>0.25</v>
      </c>
      <c r="CI503">
        <v>0.34</v>
      </c>
      <c r="CJ503">
        <v>-0.09</v>
      </c>
      <c r="CK503">
        <v>0.24</v>
      </c>
      <c r="CL503">
        <v>11.89</v>
      </c>
      <c r="CM503">
        <v>0.76</v>
      </c>
      <c r="CN503">
        <v>-4.7300000000000004</v>
      </c>
      <c r="CO503">
        <v>40000</v>
      </c>
      <c r="CP503">
        <v>19716</v>
      </c>
      <c r="CQ503" t="s">
        <v>3231</v>
      </c>
      <c r="CR503">
        <v>503.55</v>
      </c>
      <c r="CS503">
        <v>55.18</v>
      </c>
      <c r="CT503">
        <v>1.3</v>
      </c>
      <c r="CU503">
        <v>73.81</v>
      </c>
      <c r="CV503">
        <v>3.01</v>
      </c>
      <c r="CW503">
        <v>0</v>
      </c>
      <c r="CX503" t="s">
        <v>145</v>
      </c>
      <c r="CY503">
        <v>4.6100000000000003</v>
      </c>
      <c r="CZ503">
        <v>0</v>
      </c>
      <c r="DA503">
        <v>1.98</v>
      </c>
      <c r="DB503">
        <v>1.27</v>
      </c>
      <c r="DC503">
        <v>0.08</v>
      </c>
      <c r="DD503">
        <v>44.02</v>
      </c>
      <c r="DE503" t="s">
        <v>307</v>
      </c>
      <c r="DF503">
        <v>18.45</v>
      </c>
      <c r="DG503">
        <v>2.2200000000000002</v>
      </c>
      <c r="DH503">
        <v>1.82</v>
      </c>
      <c r="DI503">
        <v>0.82</v>
      </c>
      <c r="DJ503">
        <v>2610</v>
      </c>
      <c r="DK503">
        <v>2073</v>
      </c>
      <c r="DL503" t="s">
        <v>120</v>
      </c>
      <c r="DM503" t="s">
        <v>120</v>
      </c>
      <c r="DN503" t="s">
        <v>120</v>
      </c>
    </row>
    <row r="504" spans="1:118">
      <c r="A504" t="str">
        <f>"002074"</f>
        <v>002074</v>
      </c>
      <c r="B504" t="s">
        <v>3232</v>
      </c>
      <c r="C504">
        <v>-7.69</v>
      </c>
      <c r="D504">
        <v>0.02</v>
      </c>
      <c r="E504">
        <v>0.16</v>
      </c>
      <c r="F504">
        <v>4472</v>
      </c>
      <c r="G504" t="s">
        <v>3233</v>
      </c>
      <c r="H504">
        <v>343313.86</v>
      </c>
      <c r="I504">
        <v>2097.71</v>
      </c>
      <c r="J504" t="s">
        <v>120</v>
      </c>
      <c r="K504" t="s">
        <v>3234</v>
      </c>
      <c r="L504">
        <v>5.29</v>
      </c>
      <c r="M504">
        <v>53.51</v>
      </c>
      <c r="N504">
        <v>1.1200000000000001</v>
      </c>
      <c r="O504">
        <v>0.19</v>
      </c>
      <c r="P504">
        <v>58.08</v>
      </c>
      <c r="Q504">
        <v>-8.56</v>
      </c>
      <c r="R504">
        <v>53.01</v>
      </c>
      <c r="S504">
        <v>58.06</v>
      </c>
      <c r="T504">
        <v>623826</v>
      </c>
      <c r="U504">
        <v>53.52</v>
      </c>
      <c r="V504">
        <v>57.97</v>
      </c>
      <c r="W504">
        <v>711.23</v>
      </c>
      <c r="X504" t="s">
        <v>394</v>
      </c>
      <c r="Y504" t="s">
        <v>570</v>
      </c>
      <c r="Z504">
        <v>8.75</v>
      </c>
      <c r="AA504">
        <v>55.03</v>
      </c>
      <c r="AB504">
        <v>369170</v>
      </c>
      <c r="AC504">
        <v>254656</v>
      </c>
      <c r="AD504">
        <v>1.45</v>
      </c>
      <c r="AE504">
        <v>7</v>
      </c>
      <c r="AF504">
        <v>12</v>
      </c>
      <c r="AG504" t="s">
        <v>120</v>
      </c>
      <c r="AH504">
        <v>0.04</v>
      </c>
      <c r="AI504" t="s">
        <v>120</v>
      </c>
      <c r="AJ504">
        <v>11.79</v>
      </c>
      <c r="AK504" t="s">
        <v>3235</v>
      </c>
      <c r="AL504">
        <v>-5.78</v>
      </c>
      <c r="AM504">
        <v>4672</v>
      </c>
      <c r="AN504">
        <v>134</v>
      </c>
      <c r="AO504">
        <v>1.1000000000000001E-3</v>
      </c>
      <c r="AP504">
        <v>-1</v>
      </c>
      <c r="AQ504">
        <v>2.04</v>
      </c>
      <c r="AR504">
        <v>-4.74</v>
      </c>
      <c r="AS504">
        <v>0.66</v>
      </c>
      <c r="AT504">
        <v>41.9</v>
      </c>
      <c r="AU504">
        <v>36.79</v>
      </c>
      <c r="AV504">
        <v>7</v>
      </c>
      <c r="AW504">
        <v>6.78</v>
      </c>
      <c r="AX504">
        <v>71.900000000000006</v>
      </c>
      <c r="AY504">
        <v>459.06</v>
      </c>
      <c r="AZ504">
        <v>495.97</v>
      </c>
      <c r="BA504">
        <v>1.55</v>
      </c>
      <c r="BB504" t="s">
        <v>143</v>
      </c>
      <c r="BF504">
        <v>-5.07</v>
      </c>
      <c r="BG504">
        <v>-7.84</v>
      </c>
      <c r="BH504">
        <v>-7.87</v>
      </c>
      <c r="BI504">
        <v>0.94</v>
      </c>
      <c r="BJ504">
        <v>20210914</v>
      </c>
      <c r="BK504">
        <v>20061018</v>
      </c>
      <c r="BL504">
        <v>12.81</v>
      </c>
      <c r="BM504" t="s">
        <v>120</v>
      </c>
      <c r="BN504" t="s">
        <v>120</v>
      </c>
      <c r="BO504">
        <v>295.73</v>
      </c>
      <c r="BP504">
        <v>53.51</v>
      </c>
      <c r="BQ504">
        <v>111.81</v>
      </c>
      <c r="BR504">
        <v>2.44</v>
      </c>
      <c r="BS504">
        <v>61.37</v>
      </c>
      <c r="BT504">
        <v>160.43</v>
      </c>
      <c r="BU504">
        <v>69.16</v>
      </c>
      <c r="BV504">
        <v>12.78</v>
      </c>
      <c r="BW504">
        <v>132.86000000000001</v>
      </c>
      <c r="BX504">
        <v>29.46</v>
      </c>
      <c r="BY504">
        <v>39.51</v>
      </c>
      <c r="BZ504">
        <v>69.53</v>
      </c>
      <c r="CA504" t="s">
        <v>120</v>
      </c>
      <c r="CB504">
        <v>62.28</v>
      </c>
      <c r="CC504">
        <v>35.51</v>
      </c>
      <c r="CD504">
        <v>28.45</v>
      </c>
      <c r="CE504">
        <v>0.57999999999999996</v>
      </c>
      <c r="CF504">
        <v>0.28000000000000003</v>
      </c>
      <c r="CG504">
        <v>0.66</v>
      </c>
      <c r="CH504">
        <v>0.55000000000000004</v>
      </c>
      <c r="CI504">
        <v>0.48</v>
      </c>
      <c r="CJ504">
        <v>-4.46</v>
      </c>
      <c r="CK504">
        <v>-1.1299999999999999</v>
      </c>
      <c r="CL504">
        <v>33.479999999999997</v>
      </c>
      <c r="CM504">
        <v>0.86</v>
      </c>
      <c r="CN504">
        <v>-5.25</v>
      </c>
      <c r="CO504">
        <v>133131</v>
      </c>
      <c r="CP504">
        <v>6916</v>
      </c>
      <c r="CQ504" t="s">
        <v>3236</v>
      </c>
      <c r="CR504">
        <v>33.299999999999997</v>
      </c>
      <c r="CS504">
        <v>46.63</v>
      </c>
      <c r="CT504">
        <v>6.13</v>
      </c>
      <c r="CU504">
        <v>795.71</v>
      </c>
      <c r="CV504">
        <v>19.3</v>
      </c>
      <c r="CW504">
        <v>0</v>
      </c>
      <c r="CX504" t="s">
        <v>145</v>
      </c>
      <c r="CY504">
        <v>8.73</v>
      </c>
      <c r="CZ504">
        <v>0</v>
      </c>
      <c r="DA504">
        <v>4.8600000000000003</v>
      </c>
      <c r="DB504">
        <v>2.61</v>
      </c>
      <c r="DC504">
        <v>7.0000000000000007E-2</v>
      </c>
      <c r="DD504">
        <v>37.81</v>
      </c>
      <c r="DE504" t="s">
        <v>1713</v>
      </c>
      <c r="DF504">
        <v>19.88</v>
      </c>
      <c r="DG504">
        <v>1.63</v>
      </c>
      <c r="DH504">
        <v>1.36</v>
      </c>
      <c r="DI504">
        <v>2.4900000000000002</v>
      </c>
      <c r="DJ504">
        <v>7817</v>
      </c>
      <c r="DK504">
        <v>2074</v>
      </c>
      <c r="DL504">
        <v>20210707</v>
      </c>
      <c r="DM504">
        <v>47.3</v>
      </c>
      <c r="DN504">
        <v>13.13</v>
      </c>
    </row>
    <row r="505" spans="1:118">
      <c r="A505" t="str">
        <f>"002075"</f>
        <v>002075</v>
      </c>
      <c r="B505" t="s">
        <v>3237</v>
      </c>
      <c r="C505">
        <v>-0.77</v>
      </c>
      <c r="D505">
        <v>0</v>
      </c>
      <c r="E505">
        <v>1.03</v>
      </c>
      <c r="F505">
        <v>6267</v>
      </c>
      <c r="G505" t="s">
        <v>3238</v>
      </c>
      <c r="H505">
        <v>61734.46</v>
      </c>
      <c r="I505">
        <v>239.49</v>
      </c>
      <c r="J505" t="s">
        <v>120</v>
      </c>
      <c r="K505" t="s">
        <v>3239</v>
      </c>
      <c r="L505">
        <v>3.54</v>
      </c>
      <c r="M505">
        <v>7.72</v>
      </c>
      <c r="N505">
        <v>0.61</v>
      </c>
      <c r="O505">
        <v>3.73</v>
      </c>
      <c r="P505">
        <v>8.07</v>
      </c>
      <c r="Q505">
        <v>-0.9</v>
      </c>
      <c r="R505">
        <v>7.71</v>
      </c>
      <c r="S505">
        <v>7.86</v>
      </c>
      <c r="T505">
        <v>782230</v>
      </c>
      <c r="U505">
        <v>7.73</v>
      </c>
      <c r="V505">
        <v>7.78</v>
      </c>
      <c r="W505">
        <v>15.6</v>
      </c>
      <c r="X505" t="s">
        <v>1667</v>
      </c>
      <c r="Y505" t="s">
        <v>319</v>
      </c>
      <c r="Z505">
        <v>4.63</v>
      </c>
      <c r="AA505">
        <v>7.89</v>
      </c>
      <c r="AB505">
        <v>380387</v>
      </c>
      <c r="AC505">
        <v>401843</v>
      </c>
      <c r="AD505">
        <v>0.95</v>
      </c>
      <c r="AE505">
        <v>564</v>
      </c>
      <c r="AF505">
        <v>1400</v>
      </c>
      <c r="AG505" t="s">
        <v>120</v>
      </c>
      <c r="AH505">
        <v>0.02</v>
      </c>
      <c r="AI505" t="s">
        <v>120</v>
      </c>
      <c r="AJ505">
        <v>22.07</v>
      </c>
      <c r="AK505" t="s">
        <v>3239</v>
      </c>
      <c r="AL505">
        <v>1.1399999999999999</v>
      </c>
      <c r="AM505">
        <v>4231</v>
      </c>
      <c r="AN505">
        <v>185</v>
      </c>
      <c r="AO505">
        <v>8.0000000000000004E-4</v>
      </c>
      <c r="AP505">
        <v>-5</v>
      </c>
      <c r="AQ505">
        <v>-0.26</v>
      </c>
      <c r="AR505">
        <v>-7.66</v>
      </c>
      <c r="AS505">
        <v>11.4</v>
      </c>
      <c r="AT505">
        <v>-36.67</v>
      </c>
      <c r="AU505">
        <v>-28.98</v>
      </c>
      <c r="AV505">
        <v>4</v>
      </c>
      <c r="AW505">
        <v>5.19</v>
      </c>
      <c r="AX505">
        <v>68.36</v>
      </c>
      <c r="AY505">
        <v>18.2</v>
      </c>
      <c r="AZ505">
        <v>26.43</v>
      </c>
      <c r="BA505">
        <v>0</v>
      </c>
      <c r="BB505" t="s">
        <v>143</v>
      </c>
      <c r="BF505">
        <v>1.44</v>
      </c>
      <c r="BG505">
        <v>-1.78</v>
      </c>
      <c r="BH505">
        <v>-4.34</v>
      </c>
      <c r="BI505">
        <v>0.13</v>
      </c>
      <c r="BJ505">
        <v>20210810</v>
      </c>
      <c r="BK505">
        <v>20061025</v>
      </c>
      <c r="BL505">
        <v>22.07</v>
      </c>
      <c r="BM505" t="s">
        <v>120</v>
      </c>
      <c r="BN505" t="s">
        <v>120</v>
      </c>
      <c r="BO505">
        <v>140.09</v>
      </c>
      <c r="BP505">
        <v>7.72</v>
      </c>
      <c r="BQ505">
        <v>55.55</v>
      </c>
      <c r="BR505">
        <v>30.36</v>
      </c>
      <c r="BS505">
        <v>38.68</v>
      </c>
      <c r="BT505">
        <v>86.79</v>
      </c>
      <c r="BU505">
        <v>39.340000000000003</v>
      </c>
      <c r="BV505">
        <v>3.51</v>
      </c>
      <c r="BW505">
        <v>52.09</v>
      </c>
      <c r="BX505">
        <v>4.5199999999999996</v>
      </c>
      <c r="BY505">
        <v>23.12</v>
      </c>
      <c r="BZ505">
        <v>0.26</v>
      </c>
      <c r="CA505" t="s">
        <v>120</v>
      </c>
      <c r="CB505">
        <v>-6.09</v>
      </c>
      <c r="CC505">
        <v>92.83</v>
      </c>
      <c r="CD505">
        <v>77.14</v>
      </c>
      <c r="CE505">
        <v>14.11</v>
      </c>
      <c r="CF505">
        <v>0.69</v>
      </c>
      <c r="CG505">
        <v>14.1</v>
      </c>
      <c r="CH505">
        <v>10.64</v>
      </c>
      <c r="CI505">
        <v>5.46</v>
      </c>
      <c r="CJ505">
        <v>-0.06</v>
      </c>
      <c r="CK505">
        <v>4.7300000000000004</v>
      </c>
      <c r="CL505">
        <v>39.200000000000003</v>
      </c>
      <c r="CM505">
        <v>8.57</v>
      </c>
      <c r="CN505">
        <v>2.31</v>
      </c>
      <c r="CO505">
        <v>58492</v>
      </c>
      <c r="CP505">
        <v>25791</v>
      </c>
      <c r="CQ505" t="s">
        <v>3240</v>
      </c>
      <c r="CR505">
        <v>116.45</v>
      </c>
      <c r="CS505">
        <v>43.31</v>
      </c>
      <c r="CT505">
        <v>3.07</v>
      </c>
      <c r="CU505">
        <v>19.89</v>
      </c>
      <c r="CV505">
        <v>1.84</v>
      </c>
      <c r="CW505">
        <v>1.28</v>
      </c>
      <c r="CX505" t="s">
        <v>863</v>
      </c>
      <c r="CY505">
        <v>2.52</v>
      </c>
      <c r="CZ505">
        <v>0</v>
      </c>
      <c r="DA505">
        <v>-0.28000000000000003</v>
      </c>
      <c r="DB505">
        <v>1.78</v>
      </c>
      <c r="DC505">
        <v>0.39</v>
      </c>
      <c r="DD505">
        <v>39.65</v>
      </c>
      <c r="DE505" t="s">
        <v>3241</v>
      </c>
      <c r="DF505">
        <v>16.899999999999999</v>
      </c>
      <c r="DG505">
        <v>15.2</v>
      </c>
      <c r="DH505">
        <v>5.88</v>
      </c>
      <c r="DI505">
        <v>0.78</v>
      </c>
      <c r="DJ505">
        <v>4284</v>
      </c>
      <c r="DK505">
        <v>2075</v>
      </c>
      <c r="DL505" t="s">
        <v>120</v>
      </c>
      <c r="DM505" t="s">
        <v>120</v>
      </c>
      <c r="DN505" t="s">
        <v>120</v>
      </c>
    </row>
    <row r="506" spans="1:118">
      <c r="A506" t="str">
        <f>"002077"</f>
        <v>002077</v>
      </c>
      <c r="B506" t="s">
        <v>3242</v>
      </c>
      <c r="C506">
        <v>-3.07</v>
      </c>
      <c r="D506">
        <v>-0.11</v>
      </c>
      <c r="E506">
        <v>-0.35</v>
      </c>
      <c r="F506">
        <v>2711</v>
      </c>
      <c r="G506" t="s">
        <v>3243</v>
      </c>
      <c r="H506">
        <v>21992.31</v>
      </c>
      <c r="I506">
        <v>82.98</v>
      </c>
      <c r="J506" t="s">
        <v>120</v>
      </c>
      <c r="K506" t="s">
        <v>3244</v>
      </c>
      <c r="L506">
        <v>4.78</v>
      </c>
      <c r="M506">
        <v>8.2200000000000006</v>
      </c>
      <c r="N506">
        <v>0.99</v>
      </c>
      <c r="O506">
        <v>4.4800000000000004</v>
      </c>
      <c r="P506">
        <v>8.86</v>
      </c>
      <c r="Q506">
        <v>-3.07</v>
      </c>
      <c r="R506">
        <v>8.2200000000000006</v>
      </c>
      <c r="S506">
        <v>8.4499999999999993</v>
      </c>
      <c r="T506">
        <v>260088</v>
      </c>
      <c r="U506">
        <v>8.23</v>
      </c>
      <c r="V506">
        <v>8.48</v>
      </c>
      <c r="W506">
        <v>24.8</v>
      </c>
      <c r="X506" t="s">
        <v>3245</v>
      </c>
      <c r="Y506" t="s">
        <v>319</v>
      </c>
      <c r="Z506">
        <v>7.55</v>
      </c>
      <c r="AA506">
        <v>8.4600000000000009</v>
      </c>
      <c r="AB506">
        <v>160586</v>
      </c>
      <c r="AC506">
        <v>99502</v>
      </c>
      <c r="AD506">
        <v>1.61</v>
      </c>
      <c r="AE506">
        <v>1796</v>
      </c>
      <c r="AF506">
        <v>3916</v>
      </c>
      <c r="AG506" t="s">
        <v>120</v>
      </c>
      <c r="AH506">
        <v>0.04</v>
      </c>
      <c r="AI506" t="s">
        <v>120</v>
      </c>
      <c r="AJ506">
        <v>5.44</v>
      </c>
      <c r="AK506" t="s">
        <v>3246</v>
      </c>
      <c r="AL506">
        <v>-1.1499999999999999</v>
      </c>
      <c r="AM506">
        <v>3461</v>
      </c>
      <c r="AN506">
        <v>75</v>
      </c>
      <c r="AO506">
        <v>1.4E-3</v>
      </c>
      <c r="AP506">
        <v>-5</v>
      </c>
      <c r="AQ506">
        <v>-1.28</v>
      </c>
      <c r="AR506">
        <v>-5.51</v>
      </c>
      <c r="AS506">
        <v>6.47</v>
      </c>
      <c r="AT506">
        <v>8.16</v>
      </c>
      <c r="AU506">
        <v>24.17</v>
      </c>
      <c r="AV506">
        <v>5</v>
      </c>
      <c r="AW506">
        <v>10.64</v>
      </c>
      <c r="AX506">
        <v>42.13</v>
      </c>
      <c r="AY506">
        <v>30.35</v>
      </c>
      <c r="AZ506">
        <v>50.28</v>
      </c>
      <c r="BA506">
        <v>0.47</v>
      </c>
      <c r="BB506" t="s">
        <v>143</v>
      </c>
      <c r="BF506">
        <v>-0.28999999999999998</v>
      </c>
      <c r="BG506">
        <v>-2.72</v>
      </c>
      <c r="BH506">
        <v>-7.22</v>
      </c>
      <c r="BI506">
        <v>0</v>
      </c>
      <c r="BJ506">
        <v>20210827</v>
      </c>
      <c r="BK506">
        <v>20061116</v>
      </c>
      <c r="BL506">
        <v>5.8</v>
      </c>
      <c r="BM506" t="s">
        <v>120</v>
      </c>
      <c r="BN506" t="s">
        <v>120</v>
      </c>
      <c r="BO506">
        <v>46.14</v>
      </c>
      <c r="BP506">
        <v>8.2200000000000006</v>
      </c>
      <c r="BQ506">
        <v>30.71</v>
      </c>
      <c r="BR506">
        <v>1.48</v>
      </c>
      <c r="BS506">
        <v>30.24</v>
      </c>
      <c r="BT506">
        <v>13.27</v>
      </c>
      <c r="BU506">
        <v>8.02</v>
      </c>
      <c r="BV506">
        <v>0.52</v>
      </c>
      <c r="BW506">
        <v>9.84</v>
      </c>
      <c r="BX506">
        <v>5.72</v>
      </c>
      <c r="BY506">
        <v>2.39</v>
      </c>
      <c r="BZ506">
        <v>2.15</v>
      </c>
      <c r="CA506">
        <v>0.05</v>
      </c>
      <c r="CB506">
        <v>28.87</v>
      </c>
      <c r="CC506">
        <v>2.85</v>
      </c>
      <c r="CD506">
        <v>1.84</v>
      </c>
      <c r="CE506">
        <v>1.36</v>
      </c>
      <c r="CF506">
        <v>0.49</v>
      </c>
      <c r="CG506">
        <v>1.34</v>
      </c>
      <c r="CH506">
        <v>1.1000000000000001</v>
      </c>
      <c r="CI506">
        <v>0.96</v>
      </c>
      <c r="CJ506">
        <v>-0.26</v>
      </c>
      <c r="CK506">
        <v>0.37</v>
      </c>
      <c r="CL506">
        <v>-5.0599999999999996</v>
      </c>
      <c r="CM506">
        <v>1.89</v>
      </c>
      <c r="CN506">
        <v>0.82</v>
      </c>
      <c r="CO506">
        <v>33875</v>
      </c>
      <c r="CP506">
        <v>7218</v>
      </c>
      <c r="CQ506" t="s">
        <v>3124</v>
      </c>
      <c r="CR506">
        <v>201.67</v>
      </c>
      <c r="CS506">
        <v>-25.98</v>
      </c>
      <c r="CT506">
        <v>1.55</v>
      </c>
      <c r="CU506">
        <v>25.24</v>
      </c>
      <c r="CV506">
        <v>16.73</v>
      </c>
      <c r="CW506">
        <v>0</v>
      </c>
      <c r="CX506" t="s">
        <v>1193</v>
      </c>
      <c r="CY506">
        <v>5.29</v>
      </c>
      <c r="CZ506">
        <v>0</v>
      </c>
      <c r="DA506">
        <v>4.9800000000000004</v>
      </c>
      <c r="DB506">
        <v>-0.87</v>
      </c>
      <c r="DC506">
        <v>0.33</v>
      </c>
      <c r="DD506">
        <v>66.56</v>
      </c>
      <c r="DE506" t="s">
        <v>3247</v>
      </c>
      <c r="DF506">
        <v>35.659999999999997</v>
      </c>
      <c r="DG506">
        <v>47.65</v>
      </c>
      <c r="DH506">
        <v>33.72</v>
      </c>
      <c r="DI506">
        <v>0.2</v>
      </c>
      <c r="DJ506">
        <v>857</v>
      </c>
      <c r="DK506">
        <v>2077</v>
      </c>
      <c r="DL506" t="s">
        <v>120</v>
      </c>
      <c r="DM506" t="s">
        <v>120</v>
      </c>
      <c r="DN506" t="s">
        <v>120</v>
      </c>
    </row>
    <row r="507" spans="1:118">
      <c r="A507" t="str">
        <f>"002078"</f>
        <v>002078</v>
      </c>
      <c r="B507" t="s">
        <v>3248</v>
      </c>
      <c r="C507">
        <v>-1.23</v>
      </c>
      <c r="D507">
        <v>-0.3</v>
      </c>
      <c r="E507">
        <v>-0.61</v>
      </c>
      <c r="F507">
        <v>5355</v>
      </c>
      <c r="G507" t="s">
        <v>3249</v>
      </c>
      <c r="H507">
        <v>57563.63</v>
      </c>
      <c r="I507">
        <v>157.72999999999999</v>
      </c>
      <c r="J507" t="s">
        <v>120</v>
      </c>
      <c r="K507" t="s">
        <v>3250</v>
      </c>
      <c r="L507">
        <v>1.69</v>
      </c>
      <c r="M507">
        <v>12.87</v>
      </c>
      <c r="N507">
        <v>0.77</v>
      </c>
      <c r="O507">
        <v>2.92</v>
      </c>
      <c r="P507">
        <v>13.41</v>
      </c>
      <c r="Q507">
        <v>-2.0699999999999998</v>
      </c>
      <c r="R507">
        <v>12.76</v>
      </c>
      <c r="S507">
        <v>12.95</v>
      </c>
      <c r="T507">
        <v>441000</v>
      </c>
      <c r="U507">
        <v>12.88</v>
      </c>
      <c r="V507">
        <v>13.03</v>
      </c>
      <c r="W507">
        <v>7.75</v>
      </c>
      <c r="X507" t="s">
        <v>814</v>
      </c>
      <c r="Y507" t="s">
        <v>638</v>
      </c>
      <c r="Z507">
        <v>4.99</v>
      </c>
      <c r="AA507">
        <v>13.05</v>
      </c>
      <c r="AB507">
        <v>226996</v>
      </c>
      <c r="AC507">
        <v>214004</v>
      </c>
      <c r="AD507">
        <v>1.06</v>
      </c>
      <c r="AE507">
        <v>241</v>
      </c>
      <c r="AF507">
        <v>1245</v>
      </c>
      <c r="AG507" t="s">
        <v>120</v>
      </c>
      <c r="AH507">
        <v>0.01</v>
      </c>
      <c r="AI507" t="s">
        <v>120</v>
      </c>
      <c r="AJ507">
        <v>26.13</v>
      </c>
      <c r="AK507" t="s">
        <v>3251</v>
      </c>
      <c r="AL507">
        <v>0.69</v>
      </c>
      <c r="AM507">
        <v>4418</v>
      </c>
      <c r="AN507">
        <v>100</v>
      </c>
      <c r="AO507">
        <v>4.0000000000000002E-4</v>
      </c>
      <c r="AP507">
        <v>-4</v>
      </c>
      <c r="AQ507">
        <v>-0.08</v>
      </c>
      <c r="AR507">
        <v>-4.8099999999999996</v>
      </c>
      <c r="AS507">
        <v>10.85</v>
      </c>
      <c r="AT507">
        <v>-5.57</v>
      </c>
      <c r="AU507">
        <v>-10.19</v>
      </c>
      <c r="AV507">
        <v>1</v>
      </c>
      <c r="AW507">
        <v>3.2</v>
      </c>
      <c r="AX507">
        <v>51.26</v>
      </c>
      <c r="AY507">
        <v>10.78</v>
      </c>
      <c r="AZ507">
        <v>17.93</v>
      </c>
      <c r="BA507">
        <v>0.8</v>
      </c>
      <c r="BB507" t="s">
        <v>143</v>
      </c>
      <c r="BF507">
        <v>0.18</v>
      </c>
      <c r="BG507">
        <v>-0.62</v>
      </c>
      <c r="BH507">
        <v>-4.03</v>
      </c>
      <c r="BI507">
        <v>0.86</v>
      </c>
      <c r="BJ507">
        <v>20210831</v>
      </c>
      <c r="BK507">
        <v>20061116</v>
      </c>
      <c r="BL507">
        <v>26.87</v>
      </c>
      <c r="BM507" t="s">
        <v>120</v>
      </c>
      <c r="BN507" t="s">
        <v>120</v>
      </c>
      <c r="BO507">
        <v>413.61</v>
      </c>
      <c r="BP507">
        <v>12.87</v>
      </c>
      <c r="BQ507">
        <v>182.68</v>
      </c>
      <c r="BR507">
        <v>0.77</v>
      </c>
      <c r="BS507">
        <v>55.65</v>
      </c>
      <c r="BT507">
        <v>120</v>
      </c>
      <c r="BU507">
        <v>212.72</v>
      </c>
      <c r="BV507">
        <v>12.05</v>
      </c>
      <c r="BW507">
        <v>162.87</v>
      </c>
      <c r="BX507">
        <v>34.299999999999997</v>
      </c>
      <c r="BY507">
        <v>36.35</v>
      </c>
      <c r="BZ507">
        <v>27.43</v>
      </c>
      <c r="CA507" t="s">
        <v>120</v>
      </c>
      <c r="CB507">
        <v>18.5</v>
      </c>
      <c r="CC507">
        <v>158.13</v>
      </c>
      <c r="CD507">
        <v>122.13</v>
      </c>
      <c r="CE507">
        <v>26.72</v>
      </c>
      <c r="CF507">
        <v>0.23</v>
      </c>
      <c r="CG507">
        <v>27.04</v>
      </c>
      <c r="CH507">
        <v>22.38</v>
      </c>
      <c r="CI507">
        <v>22.32</v>
      </c>
      <c r="CJ507">
        <v>-0.16</v>
      </c>
      <c r="CK507">
        <v>21.93</v>
      </c>
      <c r="CL507">
        <v>128.22</v>
      </c>
      <c r="CM507">
        <v>26.63</v>
      </c>
      <c r="CN507">
        <v>0.28000000000000003</v>
      </c>
      <c r="CO507">
        <v>87300</v>
      </c>
      <c r="CP507">
        <v>15779</v>
      </c>
      <c r="CQ507" t="s">
        <v>3252</v>
      </c>
      <c r="CR507">
        <v>138.29</v>
      </c>
      <c r="CS507">
        <v>51.64</v>
      </c>
      <c r="CT507">
        <v>1.87</v>
      </c>
      <c r="CU507">
        <v>12.99</v>
      </c>
      <c r="CV507">
        <v>2.19</v>
      </c>
      <c r="CW507">
        <v>0.75</v>
      </c>
      <c r="CX507" t="s">
        <v>3253</v>
      </c>
      <c r="CY507">
        <v>6.89</v>
      </c>
      <c r="CZ507">
        <v>6.89</v>
      </c>
      <c r="DA507">
        <v>0.69</v>
      </c>
      <c r="DB507">
        <v>4.7699999999999996</v>
      </c>
      <c r="DC507">
        <v>0.99</v>
      </c>
      <c r="DD507">
        <v>44.17</v>
      </c>
      <c r="DE507" t="s">
        <v>3254</v>
      </c>
      <c r="DF507">
        <v>22.76</v>
      </c>
      <c r="DG507">
        <v>16.899999999999999</v>
      </c>
      <c r="DH507">
        <v>14.11</v>
      </c>
      <c r="DI507">
        <v>1.83</v>
      </c>
      <c r="DJ507">
        <v>11202</v>
      </c>
      <c r="DK507">
        <v>2078</v>
      </c>
      <c r="DL507" t="s">
        <v>120</v>
      </c>
      <c r="DM507" t="s">
        <v>120</v>
      </c>
      <c r="DN507" t="s">
        <v>120</v>
      </c>
    </row>
    <row r="508" spans="1:118">
      <c r="A508" t="str">
        <f>"002079"</f>
        <v>002079</v>
      </c>
      <c r="B508" t="s">
        <v>3255</v>
      </c>
      <c r="C508">
        <v>-4.2300000000000004</v>
      </c>
      <c r="D508">
        <v>0</v>
      </c>
      <c r="E508">
        <v>-0.06</v>
      </c>
      <c r="F508">
        <v>6665</v>
      </c>
      <c r="G508" t="s">
        <v>3256</v>
      </c>
      <c r="H508">
        <v>79005.55</v>
      </c>
      <c r="I508">
        <v>189.88</v>
      </c>
      <c r="J508" t="s">
        <v>120</v>
      </c>
      <c r="K508" t="s">
        <v>3257</v>
      </c>
      <c r="L508">
        <v>6.3</v>
      </c>
      <c r="M508">
        <v>16.77</v>
      </c>
      <c r="N508">
        <v>0.68</v>
      </c>
      <c r="O508">
        <v>2.68</v>
      </c>
      <c r="P508">
        <v>17.98</v>
      </c>
      <c r="Q508">
        <v>-4.28</v>
      </c>
      <c r="R508">
        <v>16.760000000000002</v>
      </c>
      <c r="S508">
        <v>17.5</v>
      </c>
      <c r="T508">
        <v>457815</v>
      </c>
      <c r="U508">
        <v>16.78</v>
      </c>
      <c r="V508">
        <v>17.510000000000002</v>
      </c>
      <c r="W508">
        <v>58.93</v>
      </c>
      <c r="X508" t="s">
        <v>3245</v>
      </c>
      <c r="Y508" t="s">
        <v>319</v>
      </c>
      <c r="Z508">
        <v>6.97</v>
      </c>
      <c r="AA508">
        <v>17.260000000000002</v>
      </c>
      <c r="AB508">
        <v>257600</v>
      </c>
      <c r="AC508">
        <v>200215</v>
      </c>
      <c r="AD508">
        <v>1.29</v>
      </c>
      <c r="AE508">
        <v>1543</v>
      </c>
      <c r="AF508">
        <v>71</v>
      </c>
      <c r="AG508" t="s">
        <v>120</v>
      </c>
      <c r="AH508">
        <v>0.02</v>
      </c>
      <c r="AI508" t="s">
        <v>120</v>
      </c>
      <c r="AJ508">
        <v>7.27</v>
      </c>
      <c r="AK508" t="s">
        <v>3258</v>
      </c>
      <c r="AL508">
        <v>-2.31</v>
      </c>
      <c r="AM508">
        <v>4515</v>
      </c>
      <c r="AN508">
        <v>101</v>
      </c>
      <c r="AO508">
        <v>1.4E-3</v>
      </c>
      <c r="AP508">
        <v>-2</v>
      </c>
      <c r="AQ508">
        <v>-1.63</v>
      </c>
      <c r="AR508">
        <v>-4.67</v>
      </c>
      <c r="AS508">
        <v>28.61</v>
      </c>
      <c r="AT508">
        <v>38.36</v>
      </c>
      <c r="AU508">
        <v>63.45</v>
      </c>
      <c r="AV508">
        <v>4</v>
      </c>
      <c r="AW508">
        <v>9.16</v>
      </c>
      <c r="AX508">
        <v>61.84</v>
      </c>
      <c r="AY508">
        <v>89.09</v>
      </c>
      <c r="AZ508">
        <v>156.52000000000001</v>
      </c>
      <c r="BA508">
        <v>0.65</v>
      </c>
      <c r="BB508" t="s">
        <v>240</v>
      </c>
      <c r="BF508">
        <v>-1.44</v>
      </c>
      <c r="BG508">
        <v>-4.17</v>
      </c>
      <c r="BH508">
        <v>-6.73</v>
      </c>
      <c r="BI508">
        <v>0.06</v>
      </c>
      <c r="BJ508">
        <v>20210914</v>
      </c>
      <c r="BK508">
        <v>20061116</v>
      </c>
      <c r="BL508">
        <v>8.08</v>
      </c>
      <c r="BM508" t="s">
        <v>120</v>
      </c>
      <c r="BN508" t="s">
        <v>120</v>
      </c>
      <c r="BO508">
        <v>27.94</v>
      </c>
      <c r="BP508">
        <v>16.77</v>
      </c>
      <c r="BQ508">
        <v>22.88</v>
      </c>
      <c r="BR508">
        <v>0.09</v>
      </c>
      <c r="BS508">
        <v>17.809999999999999</v>
      </c>
      <c r="BT508">
        <v>20.25</v>
      </c>
      <c r="BU508">
        <v>4.8600000000000003</v>
      </c>
      <c r="BV508">
        <v>0.19</v>
      </c>
      <c r="BW508">
        <v>4.6900000000000004</v>
      </c>
      <c r="BX508">
        <v>6.06</v>
      </c>
      <c r="BY508">
        <v>2.73</v>
      </c>
      <c r="BZ508">
        <v>5.68</v>
      </c>
      <c r="CA508">
        <v>0.01</v>
      </c>
      <c r="CB508">
        <v>6.65</v>
      </c>
      <c r="CC508">
        <v>12.08</v>
      </c>
      <c r="CD508">
        <v>9.74</v>
      </c>
      <c r="CE508">
        <v>1.37</v>
      </c>
      <c r="CF508">
        <v>0.09</v>
      </c>
      <c r="CG508">
        <v>1.34</v>
      </c>
      <c r="CH508">
        <v>1.1599999999999999</v>
      </c>
      <c r="CI508">
        <v>1.1499999999999999</v>
      </c>
      <c r="CJ508">
        <v>-0.74</v>
      </c>
      <c r="CK508">
        <v>1</v>
      </c>
      <c r="CL508">
        <v>6.8</v>
      </c>
      <c r="CM508">
        <v>0.18</v>
      </c>
      <c r="CN508">
        <v>1.6</v>
      </c>
      <c r="CO508">
        <v>105704</v>
      </c>
      <c r="CP508">
        <v>4727</v>
      </c>
      <c r="CQ508" t="s">
        <v>3259</v>
      </c>
      <c r="CR508">
        <v>146.91999999999999</v>
      </c>
      <c r="CS508">
        <v>67.31</v>
      </c>
      <c r="CT508">
        <v>5.92</v>
      </c>
      <c r="CU508">
        <v>751.79</v>
      </c>
      <c r="CV508">
        <v>11.22</v>
      </c>
      <c r="CW508">
        <v>0.22</v>
      </c>
      <c r="CX508" t="s">
        <v>373</v>
      </c>
      <c r="CY508">
        <v>2.83</v>
      </c>
      <c r="CZ508">
        <v>0</v>
      </c>
      <c r="DA508">
        <v>0.82</v>
      </c>
      <c r="DB508">
        <v>0.84</v>
      </c>
      <c r="DC508">
        <v>0.02</v>
      </c>
      <c r="DD508">
        <v>81.87</v>
      </c>
      <c r="DE508" t="s">
        <v>3260</v>
      </c>
      <c r="DF508">
        <v>19.329999999999998</v>
      </c>
      <c r="DG508">
        <v>11.32</v>
      </c>
      <c r="DH508">
        <v>9.52</v>
      </c>
      <c r="DI508">
        <v>0.49</v>
      </c>
      <c r="DJ508">
        <v>1571</v>
      </c>
      <c r="DK508">
        <v>2079</v>
      </c>
      <c r="DL508">
        <v>20210910</v>
      </c>
      <c r="DM508">
        <v>18.3</v>
      </c>
      <c r="DN508">
        <v>-8.36</v>
      </c>
    </row>
    <row r="509" spans="1:118">
      <c r="A509" t="str">
        <f>"002080"</f>
        <v>002080</v>
      </c>
      <c r="B509" t="s">
        <v>3261</v>
      </c>
      <c r="C509">
        <v>2.37</v>
      </c>
      <c r="D509">
        <v>0.02</v>
      </c>
      <c r="E509">
        <v>3.61</v>
      </c>
      <c r="F509">
        <v>7123</v>
      </c>
      <c r="G509" t="s">
        <v>3262</v>
      </c>
      <c r="H509">
        <v>371615.61</v>
      </c>
      <c r="I509">
        <v>5649.9</v>
      </c>
      <c r="J509" t="s">
        <v>120</v>
      </c>
      <c r="K509" t="s">
        <v>3263</v>
      </c>
      <c r="L509">
        <v>5.26</v>
      </c>
      <c r="M509">
        <v>41.98</v>
      </c>
      <c r="N509">
        <v>2.2200000000000002</v>
      </c>
      <c r="O509">
        <v>8.27</v>
      </c>
      <c r="P509">
        <v>44.4</v>
      </c>
      <c r="Q509">
        <v>-1.34</v>
      </c>
      <c r="R509">
        <v>40.46</v>
      </c>
      <c r="S509">
        <v>42.49</v>
      </c>
      <c r="T509">
        <v>883298</v>
      </c>
      <c r="U509">
        <v>41.98</v>
      </c>
      <c r="V509">
        <v>41.01</v>
      </c>
      <c r="W509">
        <v>19.07</v>
      </c>
      <c r="X509" t="s">
        <v>623</v>
      </c>
      <c r="Y509" t="s">
        <v>319</v>
      </c>
      <c r="Z509">
        <v>9.61</v>
      </c>
      <c r="AA509">
        <v>42.07</v>
      </c>
      <c r="AB509">
        <v>419403</v>
      </c>
      <c r="AC509">
        <v>463895</v>
      </c>
      <c r="AD509">
        <v>0.9</v>
      </c>
      <c r="AE509">
        <v>60</v>
      </c>
      <c r="AF509">
        <v>873</v>
      </c>
      <c r="AG509" t="s">
        <v>120</v>
      </c>
      <c r="AH509">
        <v>0.2</v>
      </c>
      <c r="AI509" t="s">
        <v>120</v>
      </c>
      <c r="AJ509">
        <v>16.78</v>
      </c>
      <c r="AK509" t="s">
        <v>3263</v>
      </c>
      <c r="AL509">
        <v>4.28</v>
      </c>
      <c r="AM509">
        <v>4736</v>
      </c>
      <c r="AN509">
        <v>187</v>
      </c>
      <c r="AO509">
        <v>1.1000000000000001E-3</v>
      </c>
      <c r="AP509">
        <v>4</v>
      </c>
      <c r="AQ509">
        <v>10.01</v>
      </c>
      <c r="AR509">
        <v>18.559999999999999</v>
      </c>
      <c r="AS509">
        <v>48.97</v>
      </c>
      <c r="AT509">
        <v>71.28</v>
      </c>
      <c r="AU509">
        <v>76.540000000000006</v>
      </c>
      <c r="AV509">
        <v>5</v>
      </c>
      <c r="AW509">
        <v>13.24</v>
      </c>
      <c r="AX509">
        <v>39.76</v>
      </c>
      <c r="AY509">
        <v>23.02</v>
      </c>
      <c r="AZ509">
        <v>33.54</v>
      </c>
      <c r="BA509">
        <v>0.7</v>
      </c>
      <c r="BB509" t="s">
        <v>700</v>
      </c>
      <c r="BF509">
        <v>2.59</v>
      </c>
      <c r="BG509">
        <v>-1.2</v>
      </c>
      <c r="BH509">
        <v>-5.45</v>
      </c>
      <c r="BI509">
        <v>3.76</v>
      </c>
      <c r="BJ509">
        <v>20210818</v>
      </c>
      <c r="BK509">
        <v>20061120</v>
      </c>
      <c r="BL509">
        <v>16.78</v>
      </c>
      <c r="BM509" t="s">
        <v>120</v>
      </c>
      <c r="BN509" t="s">
        <v>120</v>
      </c>
      <c r="BO509">
        <v>362.51</v>
      </c>
      <c r="BP509">
        <v>41.97</v>
      </c>
      <c r="BQ509">
        <v>127.65</v>
      </c>
      <c r="BR509">
        <v>11.4</v>
      </c>
      <c r="BS509">
        <v>61.64</v>
      </c>
      <c r="BT509">
        <v>142.13999999999999</v>
      </c>
      <c r="BU509">
        <v>157.47</v>
      </c>
      <c r="BV509">
        <v>12.8</v>
      </c>
      <c r="BW509">
        <v>129.16</v>
      </c>
      <c r="BX509">
        <v>19.66</v>
      </c>
      <c r="BY509">
        <v>26.79</v>
      </c>
      <c r="BZ509">
        <v>47.39</v>
      </c>
      <c r="CA509" t="s">
        <v>120</v>
      </c>
      <c r="CB509">
        <v>45.67</v>
      </c>
      <c r="CC509">
        <v>93.59</v>
      </c>
      <c r="CD509">
        <v>62.49</v>
      </c>
      <c r="CE509">
        <v>22.19</v>
      </c>
      <c r="CF509">
        <v>0.1</v>
      </c>
      <c r="CG509">
        <v>22.47</v>
      </c>
      <c r="CH509">
        <v>19.079999999999998</v>
      </c>
      <c r="CI509">
        <v>18.47</v>
      </c>
      <c r="CJ509">
        <v>0.97</v>
      </c>
      <c r="CK509">
        <v>15.76</v>
      </c>
      <c r="CL509">
        <v>61.49</v>
      </c>
      <c r="CM509">
        <v>10.61</v>
      </c>
      <c r="CN509">
        <v>-9.06</v>
      </c>
      <c r="CO509">
        <v>45795</v>
      </c>
      <c r="CP509">
        <v>14570</v>
      </c>
      <c r="CQ509" t="s">
        <v>3264</v>
      </c>
      <c r="CR509">
        <v>103.19</v>
      </c>
      <c r="CS509">
        <v>22.76</v>
      </c>
      <c r="CT509">
        <v>5.52</v>
      </c>
      <c r="CU509">
        <v>66.41</v>
      </c>
      <c r="CV509">
        <v>7.53</v>
      </c>
      <c r="CW509">
        <v>0.98</v>
      </c>
      <c r="CX509" t="s">
        <v>3265</v>
      </c>
      <c r="CY509">
        <v>7.61</v>
      </c>
      <c r="CZ509">
        <v>0</v>
      </c>
      <c r="DA509">
        <v>2.72</v>
      </c>
      <c r="DB509">
        <v>3.66</v>
      </c>
      <c r="DC509">
        <v>0.63</v>
      </c>
      <c r="DD509">
        <v>35.21</v>
      </c>
      <c r="DE509" t="s">
        <v>3266</v>
      </c>
      <c r="DF509">
        <v>33.24</v>
      </c>
      <c r="DG509">
        <v>23.71</v>
      </c>
      <c r="DH509">
        <v>19.73</v>
      </c>
      <c r="DI509">
        <v>4.72</v>
      </c>
      <c r="DJ509">
        <v>17219</v>
      </c>
      <c r="DK509">
        <v>2080</v>
      </c>
      <c r="DL509" t="s">
        <v>120</v>
      </c>
      <c r="DM509" t="s">
        <v>120</v>
      </c>
      <c r="DN509" t="s">
        <v>120</v>
      </c>
    </row>
    <row r="510" spans="1:118">
      <c r="A510" t="str">
        <f>"002081"</f>
        <v>002081</v>
      </c>
      <c r="B510" t="s">
        <v>3267</v>
      </c>
      <c r="C510">
        <v>-2.1800000000000002</v>
      </c>
      <c r="D510">
        <v>-0.14000000000000001</v>
      </c>
      <c r="E510">
        <v>-0.15</v>
      </c>
      <c r="F510">
        <v>2816</v>
      </c>
      <c r="G510" t="s">
        <v>3268</v>
      </c>
      <c r="H510">
        <v>21411.43</v>
      </c>
      <c r="I510">
        <v>75.61</v>
      </c>
      <c r="J510" t="s">
        <v>120</v>
      </c>
      <c r="K510" t="s">
        <v>3269</v>
      </c>
      <c r="L510">
        <v>1.19</v>
      </c>
      <c r="M510">
        <v>6.74</v>
      </c>
      <c r="N510">
        <v>0.79</v>
      </c>
      <c r="O510">
        <v>0.44</v>
      </c>
      <c r="P510">
        <v>6.92</v>
      </c>
      <c r="Q510">
        <v>-2.1800000000000002</v>
      </c>
      <c r="R510">
        <v>6.74</v>
      </c>
      <c r="S510">
        <v>6.88</v>
      </c>
      <c r="T510">
        <v>314018</v>
      </c>
      <c r="U510">
        <v>6.75</v>
      </c>
      <c r="V510">
        <v>6.89</v>
      </c>
      <c r="W510">
        <v>8.4</v>
      </c>
      <c r="X510" t="s">
        <v>3122</v>
      </c>
      <c r="Y510" t="s">
        <v>319</v>
      </c>
      <c r="Z510">
        <v>2.61</v>
      </c>
      <c r="AA510">
        <v>6.82</v>
      </c>
      <c r="AB510">
        <v>190179</v>
      </c>
      <c r="AC510">
        <v>123839</v>
      </c>
      <c r="AD510">
        <v>1.54</v>
      </c>
      <c r="AE510">
        <v>2985</v>
      </c>
      <c r="AF510">
        <v>1378</v>
      </c>
      <c r="AG510" t="s">
        <v>120</v>
      </c>
      <c r="AH510">
        <v>0.01</v>
      </c>
      <c r="AI510" t="s">
        <v>120</v>
      </c>
      <c r="AJ510">
        <v>26.38</v>
      </c>
      <c r="AK510" t="s">
        <v>3270</v>
      </c>
      <c r="AL510">
        <v>-0.26</v>
      </c>
      <c r="AM510">
        <v>3397</v>
      </c>
      <c r="AN510">
        <v>92</v>
      </c>
      <c r="AO510">
        <v>4.0000000000000002E-4</v>
      </c>
      <c r="AP510">
        <v>-5</v>
      </c>
      <c r="AQ510">
        <v>-1.1499999999999999</v>
      </c>
      <c r="AR510">
        <v>-6.78</v>
      </c>
      <c r="AS510">
        <v>-4.53</v>
      </c>
      <c r="AT510">
        <v>-16.68</v>
      </c>
      <c r="AU510">
        <v>-26.66</v>
      </c>
      <c r="AV510">
        <v>1</v>
      </c>
      <c r="AW510">
        <v>2.35</v>
      </c>
      <c r="AX510">
        <v>50</v>
      </c>
      <c r="AY510">
        <v>7.54</v>
      </c>
      <c r="AZ510">
        <v>7.75</v>
      </c>
      <c r="BA510">
        <v>0.25</v>
      </c>
      <c r="BB510" t="s">
        <v>240</v>
      </c>
      <c r="BF510">
        <v>-1.04</v>
      </c>
      <c r="BG510">
        <v>-2.0299999999999998</v>
      </c>
      <c r="BH510">
        <v>-2.6</v>
      </c>
      <c r="BI510">
        <v>0</v>
      </c>
      <c r="BJ510">
        <v>20210903</v>
      </c>
      <c r="BK510">
        <v>20061120</v>
      </c>
      <c r="BL510">
        <v>26.71</v>
      </c>
      <c r="BM510" t="s">
        <v>120</v>
      </c>
      <c r="BN510" t="s">
        <v>120</v>
      </c>
      <c r="BO510">
        <v>434.59</v>
      </c>
      <c r="BP510">
        <v>6.74</v>
      </c>
      <c r="BQ510">
        <v>172.03</v>
      </c>
      <c r="BR510">
        <v>2.79</v>
      </c>
      <c r="BS510">
        <v>59.77</v>
      </c>
      <c r="BT510">
        <v>390.15</v>
      </c>
      <c r="BU510">
        <v>8.66</v>
      </c>
      <c r="BV510">
        <v>0.86</v>
      </c>
      <c r="BW510">
        <v>250.54</v>
      </c>
      <c r="BX510">
        <v>81.599999999999994</v>
      </c>
      <c r="BY510">
        <v>0.56999999999999995</v>
      </c>
      <c r="BZ510">
        <v>140.54</v>
      </c>
      <c r="CA510" t="s">
        <v>120</v>
      </c>
      <c r="CB510">
        <v>2.64</v>
      </c>
      <c r="CC510">
        <v>136.69999999999999</v>
      </c>
      <c r="CD510">
        <v>113.09</v>
      </c>
      <c r="CE510">
        <v>12.99</v>
      </c>
      <c r="CF510">
        <v>0.19</v>
      </c>
      <c r="CG510">
        <v>12.99</v>
      </c>
      <c r="CH510">
        <v>11</v>
      </c>
      <c r="CI510">
        <v>10.72</v>
      </c>
      <c r="CJ510">
        <v>-0.15</v>
      </c>
      <c r="CK510">
        <v>10.41</v>
      </c>
      <c r="CL510">
        <v>132.44</v>
      </c>
      <c r="CM510">
        <v>-4.37</v>
      </c>
      <c r="CN510">
        <v>17.91</v>
      </c>
      <c r="CO510">
        <v>86000</v>
      </c>
      <c r="CP510">
        <v>15530</v>
      </c>
      <c r="CQ510" t="s">
        <v>3271</v>
      </c>
      <c r="CR510">
        <v>6.54</v>
      </c>
      <c r="CS510">
        <v>3.44</v>
      </c>
      <c r="CT510">
        <v>1.05</v>
      </c>
      <c r="CU510">
        <v>-41.24</v>
      </c>
      <c r="CV510">
        <v>1.32</v>
      </c>
      <c r="CW510">
        <v>2.89</v>
      </c>
      <c r="CX510" t="s">
        <v>3272</v>
      </c>
      <c r="CY510">
        <v>6.44</v>
      </c>
      <c r="CZ510">
        <v>0</v>
      </c>
      <c r="DA510">
        <v>0.1</v>
      </c>
      <c r="DB510">
        <v>4.96</v>
      </c>
      <c r="DC510">
        <v>-0.16</v>
      </c>
      <c r="DD510">
        <v>39.58</v>
      </c>
      <c r="DE510" t="s">
        <v>3273</v>
      </c>
      <c r="DF510">
        <v>17.27</v>
      </c>
      <c r="DG510">
        <v>9.5</v>
      </c>
      <c r="DH510">
        <v>7.84</v>
      </c>
      <c r="DI510">
        <v>5.0599999999999996</v>
      </c>
      <c r="DJ510">
        <v>15106</v>
      </c>
      <c r="DK510">
        <v>2081</v>
      </c>
      <c r="DL510" t="s">
        <v>120</v>
      </c>
      <c r="DM510" t="s">
        <v>120</v>
      </c>
      <c r="DN510" t="s">
        <v>120</v>
      </c>
    </row>
    <row r="511" spans="1:118">
      <c r="A511" t="str">
        <f>"002082"</f>
        <v>002082</v>
      </c>
      <c r="B511" t="s">
        <v>3274</v>
      </c>
      <c r="C511">
        <v>-1.1299999999999999</v>
      </c>
      <c r="D511">
        <v>0.1</v>
      </c>
      <c r="E511">
        <v>-0.09</v>
      </c>
      <c r="F511">
        <v>107</v>
      </c>
      <c r="G511" t="s">
        <v>1707</v>
      </c>
      <c r="H511">
        <v>2277.21</v>
      </c>
      <c r="I511">
        <v>0</v>
      </c>
      <c r="J511" t="s">
        <v>120</v>
      </c>
      <c r="K511" t="s">
        <v>3275</v>
      </c>
      <c r="L511">
        <v>0.9</v>
      </c>
      <c r="M511">
        <v>10.53</v>
      </c>
      <c r="N511">
        <v>0.99</v>
      </c>
      <c r="O511">
        <v>1.88</v>
      </c>
      <c r="P511">
        <v>10.85</v>
      </c>
      <c r="Q511">
        <v>-1.41</v>
      </c>
      <c r="R511">
        <v>10.5</v>
      </c>
      <c r="S511">
        <v>10.64</v>
      </c>
      <c r="T511">
        <v>21426</v>
      </c>
      <c r="U511">
        <v>10.53</v>
      </c>
      <c r="V511">
        <v>10.65</v>
      </c>
      <c r="W511">
        <v>29</v>
      </c>
      <c r="X511" t="s">
        <v>771</v>
      </c>
      <c r="Y511" t="s">
        <v>585</v>
      </c>
      <c r="Z511">
        <v>3.29</v>
      </c>
      <c r="AA511">
        <v>10.63</v>
      </c>
      <c r="AB511">
        <v>12900</v>
      </c>
      <c r="AC511">
        <v>8526</v>
      </c>
      <c r="AD511">
        <v>1.51</v>
      </c>
      <c r="AE511">
        <v>203</v>
      </c>
      <c r="AF511">
        <v>109</v>
      </c>
      <c r="AG511" t="s">
        <v>120</v>
      </c>
      <c r="AH511">
        <v>0</v>
      </c>
      <c r="AI511" t="s">
        <v>120</v>
      </c>
      <c r="AJ511">
        <v>2.38</v>
      </c>
      <c r="AK511" t="s">
        <v>3276</v>
      </c>
      <c r="AL511">
        <v>0.79</v>
      </c>
      <c r="AM511">
        <v>976</v>
      </c>
      <c r="AN511">
        <v>22</v>
      </c>
      <c r="AO511">
        <v>8.9999999999999998E-4</v>
      </c>
      <c r="AP511">
        <v>-1</v>
      </c>
      <c r="AQ511">
        <v>0.38</v>
      </c>
      <c r="AR511">
        <v>-4.6100000000000003</v>
      </c>
      <c r="AS511">
        <v>0.47</v>
      </c>
      <c r="AT511">
        <v>-14.11</v>
      </c>
      <c r="AU511">
        <v>-22</v>
      </c>
      <c r="AV511">
        <v>2</v>
      </c>
      <c r="AW511">
        <v>1.1100000000000001</v>
      </c>
      <c r="AX511">
        <v>31.23</v>
      </c>
      <c r="AY511">
        <v>23.8</v>
      </c>
      <c r="AZ511">
        <v>23.11</v>
      </c>
      <c r="BA511">
        <v>0.37</v>
      </c>
      <c r="BB511" t="s">
        <v>125</v>
      </c>
      <c r="BF511">
        <v>-0.2</v>
      </c>
      <c r="BG511">
        <v>-1.03</v>
      </c>
      <c r="BH511">
        <v>-2.95</v>
      </c>
      <c r="BI511">
        <v>0.28999999999999998</v>
      </c>
      <c r="BJ511">
        <v>20210826</v>
      </c>
      <c r="BK511">
        <v>20061120</v>
      </c>
      <c r="BL511">
        <v>6.18</v>
      </c>
      <c r="BM511" t="s">
        <v>120</v>
      </c>
      <c r="BN511" t="s">
        <v>120</v>
      </c>
      <c r="BO511">
        <v>40.47</v>
      </c>
      <c r="BP511">
        <v>10.52</v>
      </c>
      <c r="BQ511">
        <v>25.47</v>
      </c>
      <c r="BR511">
        <v>1.88</v>
      </c>
      <c r="BS511">
        <v>32.42</v>
      </c>
      <c r="BT511">
        <v>21.99</v>
      </c>
      <c r="BU511">
        <v>5.0999999999999996</v>
      </c>
      <c r="BV511">
        <v>3.99</v>
      </c>
      <c r="BW511">
        <v>9.5399999999999991</v>
      </c>
      <c r="BX511">
        <v>1.85</v>
      </c>
      <c r="BY511">
        <v>2.8</v>
      </c>
      <c r="BZ511">
        <v>9.16</v>
      </c>
      <c r="CA511" t="s">
        <v>120</v>
      </c>
      <c r="CB511">
        <v>3.04</v>
      </c>
      <c r="CC511">
        <v>9.2899999999999991</v>
      </c>
      <c r="CD511">
        <v>5.0999999999999996</v>
      </c>
      <c r="CE511">
        <v>2.88</v>
      </c>
      <c r="CF511">
        <v>2.08</v>
      </c>
      <c r="CG511">
        <v>2.9</v>
      </c>
      <c r="CH511">
        <v>1.1100000000000001</v>
      </c>
      <c r="CI511">
        <v>1.1200000000000001</v>
      </c>
      <c r="CJ511">
        <v>-0.12</v>
      </c>
      <c r="CK511">
        <v>0.9</v>
      </c>
      <c r="CL511">
        <v>15.87</v>
      </c>
      <c r="CM511">
        <v>-1.2</v>
      </c>
      <c r="CN511">
        <v>-3.38</v>
      </c>
      <c r="CO511">
        <v>20801</v>
      </c>
      <c r="CP511">
        <v>9281</v>
      </c>
      <c r="CQ511" t="s">
        <v>3277</v>
      </c>
      <c r="CR511">
        <v>-6.9</v>
      </c>
      <c r="CS511">
        <v>-86.13</v>
      </c>
      <c r="CT511">
        <v>2.56</v>
      </c>
      <c r="CU511">
        <v>-54.39</v>
      </c>
      <c r="CV511">
        <v>7.01</v>
      </c>
      <c r="CW511">
        <v>1.87</v>
      </c>
      <c r="CX511" t="s">
        <v>242</v>
      </c>
      <c r="CY511">
        <v>4.12</v>
      </c>
      <c r="CZ511">
        <v>0</v>
      </c>
      <c r="DA511">
        <v>0.49</v>
      </c>
      <c r="DB511">
        <v>2.57</v>
      </c>
      <c r="DC511">
        <v>-0.19</v>
      </c>
      <c r="DD511">
        <v>62.94</v>
      </c>
      <c r="DE511" t="s">
        <v>831</v>
      </c>
      <c r="DF511">
        <v>45.03</v>
      </c>
      <c r="DG511">
        <v>30.99</v>
      </c>
      <c r="DH511">
        <v>12.09</v>
      </c>
      <c r="DI511">
        <v>0.33</v>
      </c>
      <c r="DJ511">
        <v>2744</v>
      </c>
      <c r="DK511">
        <v>2082</v>
      </c>
      <c r="DL511" t="s">
        <v>120</v>
      </c>
      <c r="DM511" t="s">
        <v>120</v>
      </c>
      <c r="DN511" t="s">
        <v>120</v>
      </c>
    </row>
    <row r="512" spans="1:118">
      <c r="A512" t="str">
        <f>"002083"</f>
        <v>002083</v>
      </c>
      <c r="B512" t="s">
        <v>3278</v>
      </c>
      <c r="C512">
        <v>-1.18</v>
      </c>
      <c r="D512">
        <v>0</v>
      </c>
      <c r="E512">
        <v>0.94</v>
      </c>
      <c r="F512">
        <v>1175</v>
      </c>
      <c r="G512" t="s">
        <v>3279</v>
      </c>
      <c r="H512">
        <v>3774.48</v>
      </c>
      <c r="I512">
        <v>72.16</v>
      </c>
      <c r="J512" t="s">
        <v>120</v>
      </c>
      <c r="K512" t="s">
        <v>3280</v>
      </c>
      <c r="L512">
        <v>0.99</v>
      </c>
      <c r="M512">
        <v>4.1900000000000004</v>
      </c>
      <c r="N512">
        <v>1.02</v>
      </c>
      <c r="O512">
        <v>0.94</v>
      </c>
      <c r="P512">
        <v>4.28</v>
      </c>
      <c r="Q512">
        <v>-1.65</v>
      </c>
      <c r="R512">
        <v>4.17</v>
      </c>
      <c r="S512">
        <v>4.28</v>
      </c>
      <c r="T512">
        <v>89287</v>
      </c>
      <c r="U512">
        <v>4.2</v>
      </c>
      <c r="V512">
        <v>4.24</v>
      </c>
      <c r="W512">
        <v>11.44</v>
      </c>
      <c r="X512" t="s">
        <v>1766</v>
      </c>
      <c r="Y512" t="s">
        <v>638</v>
      </c>
      <c r="Z512">
        <v>2.59</v>
      </c>
      <c r="AA512">
        <v>4.2300000000000004</v>
      </c>
      <c r="AB512">
        <v>57757</v>
      </c>
      <c r="AC512">
        <v>31530</v>
      </c>
      <c r="AD512">
        <v>1.83</v>
      </c>
      <c r="AE512">
        <v>637</v>
      </c>
      <c r="AF512">
        <v>143</v>
      </c>
      <c r="AG512" t="s">
        <v>120</v>
      </c>
      <c r="AH512">
        <v>0.03</v>
      </c>
      <c r="AI512" t="s">
        <v>120</v>
      </c>
      <c r="AJ512">
        <v>9.0500000000000007</v>
      </c>
      <c r="AK512" t="s">
        <v>3281</v>
      </c>
      <c r="AL512">
        <v>0.73</v>
      </c>
      <c r="AM512">
        <v>1754</v>
      </c>
      <c r="AN512">
        <v>51</v>
      </c>
      <c r="AO512">
        <v>5.9999999999999995E-4</v>
      </c>
      <c r="AP512">
        <v>-1</v>
      </c>
      <c r="AQ512">
        <v>0.71</v>
      </c>
      <c r="AR512">
        <v>-3.02</v>
      </c>
      <c r="AS512">
        <v>5.0199999999999996</v>
      </c>
      <c r="AT512">
        <v>-3.01</v>
      </c>
      <c r="AU512">
        <v>-4.9800000000000004</v>
      </c>
      <c r="AV512">
        <v>0</v>
      </c>
      <c r="AW512">
        <v>1.41</v>
      </c>
      <c r="AX512">
        <v>69.62</v>
      </c>
      <c r="AY512">
        <v>15.71</v>
      </c>
      <c r="AZ512">
        <v>17.239999999999998</v>
      </c>
      <c r="BA512">
        <v>0.21</v>
      </c>
      <c r="BB512" t="s">
        <v>143</v>
      </c>
      <c r="BF512">
        <v>-0.3</v>
      </c>
      <c r="BG512">
        <v>-2.1</v>
      </c>
      <c r="BH512">
        <v>-2.1</v>
      </c>
      <c r="BI512">
        <v>0.48</v>
      </c>
      <c r="BJ512">
        <v>20210810</v>
      </c>
      <c r="BK512">
        <v>20061124</v>
      </c>
      <c r="BL512">
        <v>9.08</v>
      </c>
      <c r="BM512" t="s">
        <v>120</v>
      </c>
      <c r="BN512" t="s">
        <v>120</v>
      </c>
      <c r="BO512">
        <v>74.180000000000007</v>
      </c>
      <c r="BP512">
        <v>4.1900000000000004</v>
      </c>
      <c r="BQ512">
        <v>36.92</v>
      </c>
      <c r="BR512">
        <v>0.05</v>
      </c>
      <c r="BS512">
        <v>50.16</v>
      </c>
      <c r="BT512">
        <v>33.93</v>
      </c>
      <c r="BU512">
        <v>26.42</v>
      </c>
      <c r="BV512">
        <v>7.32</v>
      </c>
      <c r="BW512">
        <v>24.61</v>
      </c>
      <c r="BX512">
        <v>7.54</v>
      </c>
      <c r="BY512">
        <v>11.47</v>
      </c>
      <c r="BZ512">
        <v>5.61</v>
      </c>
      <c r="CA512" t="s">
        <v>120</v>
      </c>
      <c r="CB512">
        <v>13.95</v>
      </c>
      <c r="CC512">
        <v>24.51</v>
      </c>
      <c r="CD512">
        <v>20.059999999999999</v>
      </c>
      <c r="CE512">
        <v>2.16</v>
      </c>
      <c r="CF512">
        <v>0.1</v>
      </c>
      <c r="CG512">
        <v>2.16</v>
      </c>
      <c r="CH512">
        <v>1.66</v>
      </c>
      <c r="CI512">
        <v>1.66</v>
      </c>
      <c r="CJ512">
        <v>-0.05</v>
      </c>
      <c r="CK512">
        <v>1.35</v>
      </c>
      <c r="CL512">
        <v>14.39</v>
      </c>
      <c r="CM512">
        <v>3.29</v>
      </c>
      <c r="CN512">
        <v>-2.93</v>
      </c>
      <c r="CO512">
        <v>57347</v>
      </c>
      <c r="CP512">
        <v>11023</v>
      </c>
      <c r="CQ512" t="s">
        <v>3282</v>
      </c>
      <c r="CR512">
        <v>14.98</v>
      </c>
      <c r="CS512">
        <v>21.09</v>
      </c>
      <c r="CT512">
        <v>1.03</v>
      </c>
      <c r="CU512">
        <v>11.58</v>
      </c>
      <c r="CV512">
        <v>1.55</v>
      </c>
      <c r="CW512">
        <v>0</v>
      </c>
      <c r="CX512" t="s">
        <v>442</v>
      </c>
      <c r="CY512">
        <v>4.07</v>
      </c>
      <c r="CZ512">
        <v>0</v>
      </c>
      <c r="DA512">
        <v>1.54</v>
      </c>
      <c r="DB512">
        <v>1.58</v>
      </c>
      <c r="DC512">
        <v>0.36</v>
      </c>
      <c r="DD512">
        <v>49.77</v>
      </c>
      <c r="DE512" t="s">
        <v>3283</v>
      </c>
      <c r="DF512">
        <v>18.16</v>
      </c>
      <c r="DG512">
        <v>8.82</v>
      </c>
      <c r="DH512">
        <v>6.78</v>
      </c>
      <c r="DI512">
        <v>0.09</v>
      </c>
      <c r="DJ512">
        <v>13336</v>
      </c>
      <c r="DK512">
        <v>2083</v>
      </c>
      <c r="DL512" t="s">
        <v>120</v>
      </c>
      <c r="DM512" t="s">
        <v>120</v>
      </c>
      <c r="DN512" t="s">
        <v>120</v>
      </c>
    </row>
    <row r="513" spans="1:118">
      <c r="A513" t="str">
        <f>"002084"</f>
        <v>002084</v>
      </c>
      <c r="B513" t="s">
        <v>3284</v>
      </c>
      <c r="C513">
        <v>-0.88</v>
      </c>
      <c r="D513">
        <v>-0.17</v>
      </c>
      <c r="E513">
        <v>0</v>
      </c>
      <c r="F513">
        <v>1384</v>
      </c>
      <c r="G513" t="s">
        <v>3285</v>
      </c>
      <c r="H513">
        <v>6378.71</v>
      </c>
      <c r="I513">
        <v>18.22</v>
      </c>
      <c r="J513" t="s">
        <v>120</v>
      </c>
      <c r="K513" t="s">
        <v>3286</v>
      </c>
      <c r="L513">
        <v>1.85</v>
      </c>
      <c r="M513">
        <v>5.63</v>
      </c>
      <c r="N513">
        <v>1.36</v>
      </c>
      <c r="O513">
        <v>3.52</v>
      </c>
      <c r="P513">
        <v>5.88</v>
      </c>
      <c r="Q513">
        <v>-0.88</v>
      </c>
      <c r="R513">
        <v>5.63</v>
      </c>
      <c r="S513">
        <v>5.68</v>
      </c>
      <c r="T513">
        <v>111511</v>
      </c>
      <c r="U513">
        <v>5.64</v>
      </c>
      <c r="V513">
        <v>5.68</v>
      </c>
      <c r="W513">
        <v>20.76</v>
      </c>
      <c r="X513" t="s">
        <v>2409</v>
      </c>
      <c r="Y513" t="s">
        <v>547</v>
      </c>
      <c r="Z513">
        <v>4.4000000000000004</v>
      </c>
      <c r="AA513">
        <v>5.72</v>
      </c>
      <c r="AB513">
        <v>57180</v>
      </c>
      <c r="AC513">
        <v>54331</v>
      </c>
      <c r="AD513">
        <v>1.05</v>
      </c>
      <c r="AE513">
        <v>610</v>
      </c>
      <c r="AF513">
        <v>23</v>
      </c>
      <c r="AG513" t="s">
        <v>120</v>
      </c>
      <c r="AH513">
        <v>0.01</v>
      </c>
      <c r="AI513" t="s">
        <v>120</v>
      </c>
      <c r="AJ513">
        <v>6.02</v>
      </c>
      <c r="AK513" t="s">
        <v>1012</v>
      </c>
      <c r="AL513">
        <v>1.03</v>
      </c>
      <c r="AM513">
        <v>2071</v>
      </c>
      <c r="AN513">
        <v>54</v>
      </c>
      <c r="AO513">
        <v>8.9999999999999998E-4</v>
      </c>
      <c r="AP513">
        <v>-3</v>
      </c>
      <c r="AQ513">
        <v>-0.87</v>
      </c>
      <c r="AR513">
        <v>-4.09</v>
      </c>
      <c r="AS513">
        <v>-0.53</v>
      </c>
      <c r="AT513">
        <v>6.03</v>
      </c>
      <c r="AU513">
        <v>-12.03</v>
      </c>
      <c r="AV513">
        <v>2</v>
      </c>
      <c r="AW513">
        <v>3.09</v>
      </c>
      <c r="AX513">
        <v>59.36</v>
      </c>
      <c r="AY513">
        <v>17.84</v>
      </c>
      <c r="AZ513">
        <v>22.68</v>
      </c>
      <c r="BA513">
        <v>0.42</v>
      </c>
      <c r="BB513" t="s">
        <v>240</v>
      </c>
      <c r="BF513">
        <v>0.71</v>
      </c>
      <c r="BG513">
        <v>-0.88</v>
      </c>
      <c r="BH513">
        <v>-4.25</v>
      </c>
      <c r="BI513">
        <v>0</v>
      </c>
      <c r="BJ513">
        <v>20210913</v>
      </c>
      <c r="BK513">
        <v>20061124</v>
      </c>
      <c r="BL513">
        <v>6.08</v>
      </c>
      <c r="BM513" t="s">
        <v>120</v>
      </c>
      <c r="BN513" t="s">
        <v>120</v>
      </c>
      <c r="BO513">
        <v>45.01</v>
      </c>
      <c r="BP513">
        <v>5.63</v>
      </c>
      <c r="BQ513">
        <v>18.34</v>
      </c>
      <c r="BR513">
        <v>2.75</v>
      </c>
      <c r="BS513">
        <v>53.15</v>
      </c>
      <c r="BT513">
        <v>31.3</v>
      </c>
      <c r="BU513">
        <v>6.36</v>
      </c>
      <c r="BV513">
        <v>1.4</v>
      </c>
      <c r="BW513">
        <v>20.28</v>
      </c>
      <c r="BX513">
        <v>6.33</v>
      </c>
      <c r="BY513">
        <v>10.95</v>
      </c>
      <c r="BZ513">
        <v>9.26</v>
      </c>
      <c r="CA513" t="s">
        <v>120</v>
      </c>
      <c r="CB513">
        <v>5.15</v>
      </c>
      <c r="CC513">
        <v>19.829999999999998</v>
      </c>
      <c r="CD513">
        <v>15.25</v>
      </c>
      <c r="CE513">
        <v>0.92</v>
      </c>
      <c r="CF513">
        <v>-0.02</v>
      </c>
      <c r="CG513">
        <v>0.9</v>
      </c>
      <c r="CH513">
        <v>0.83</v>
      </c>
      <c r="CI513">
        <v>0.82</v>
      </c>
      <c r="CJ513">
        <v>-0.05</v>
      </c>
      <c r="CK513">
        <v>0.66</v>
      </c>
      <c r="CL513">
        <v>7.68</v>
      </c>
      <c r="CM513">
        <v>0.65</v>
      </c>
      <c r="CN513">
        <v>0.72</v>
      </c>
      <c r="CO513">
        <v>31835</v>
      </c>
      <c r="CP513">
        <v>11333</v>
      </c>
      <c r="CQ513" t="s">
        <v>3287</v>
      </c>
      <c r="CR513">
        <v>100.44</v>
      </c>
      <c r="CS513">
        <v>50.17</v>
      </c>
      <c r="CT513">
        <v>1.87</v>
      </c>
      <c r="CU513">
        <v>52.53</v>
      </c>
      <c r="CV513">
        <v>1.73</v>
      </c>
      <c r="CW513">
        <v>0</v>
      </c>
      <c r="CX513" t="s">
        <v>300</v>
      </c>
      <c r="CY513">
        <v>3.02</v>
      </c>
      <c r="CZ513">
        <v>3.02</v>
      </c>
      <c r="DA513">
        <v>0.85</v>
      </c>
      <c r="DB513">
        <v>1.26</v>
      </c>
      <c r="DC513">
        <v>0.11</v>
      </c>
      <c r="DD513">
        <v>40.729999999999997</v>
      </c>
      <c r="DE513" t="s">
        <v>3283</v>
      </c>
      <c r="DF513">
        <v>23.1</v>
      </c>
      <c r="DG513">
        <v>4.62</v>
      </c>
      <c r="DH513">
        <v>4.16</v>
      </c>
      <c r="DI513">
        <v>0.61</v>
      </c>
      <c r="DJ513">
        <v>5577</v>
      </c>
      <c r="DK513">
        <v>2084</v>
      </c>
      <c r="DL513" t="s">
        <v>120</v>
      </c>
      <c r="DM513" t="s">
        <v>120</v>
      </c>
      <c r="DN513" t="s">
        <v>120</v>
      </c>
    </row>
    <row r="514" spans="1:118">
      <c r="A514" t="str">
        <f>"002085"</f>
        <v>002085</v>
      </c>
      <c r="B514" t="s">
        <v>3288</v>
      </c>
      <c r="C514">
        <v>0.51</v>
      </c>
      <c r="D514">
        <v>-0.49</v>
      </c>
      <c r="E514">
        <v>-0.17</v>
      </c>
      <c r="F514">
        <v>11988</v>
      </c>
      <c r="G514" t="s">
        <v>3289</v>
      </c>
      <c r="H514">
        <v>34444.410000000003</v>
      </c>
      <c r="I514">
        <v>28.58</v>
      </c>
      <c r="J514" t="s">
        <v>120</v>
      </c>
      <c r="K514" t="s">
        <v>3290</v>
      </c>
      <c r="L514">
        <v>2.63</v>
      </c>
      <c r="M514">
        <v>5.92</v>
      </c>
      <c r="N514">
        <v>1.78</v>
      </c>
      <c r="O514">
        <v>4.24</v>
      </c>
      <c r="P514">
        <v>6.14</v>
      </c>
      <c r="Q514">
        <v>-1.19</v>
      </c>
      <c r="R514">
        <v>5.82</v>
      </c>
      <c r="S514">
        <v>5.88</v>
      </c>
      <c r="T514">
        <v>574741</v>
      </c>
      <c r="U514">
        <v>5.93</v>
      </c>
      <c r="V514">
        <v>5.89</v>
      </c>
      <c r="W514">
        <v>27.77</v>
      </c>
      <c r="X514" t="s">
        <v>289</v>
      </c>
      <c r="Y514" t="s">
        <v>585</v>
      </c>
      <c r="Z514">
        <v>5.43</v>
      </c>
      <c r="AA514">
        <v>5.99</v>
      </c>
      <c r="AB514">
        <v>301972</v>
      </c>
      <c r="AC514">
        <v>272769</v>
      </c>
      <c r="AD514">
        <v>1.1100000000000001</v>
      </c>
      <c r="AE514">
        <v>7255</v>
      </c>
      <c r="AF514">
        <v>363</v>
      </c>
      <c r="AG514" t="s">
        <v>120</v>
      </c>
      <c r="AH514">
        <v>0</v>
      </c>
      <c r="AI514" t="s">
        <v>120</v>
      </c>
      <c r="AJ514">
        <v>21.87</v>
      </c>
      <c r="AK514" t="s">
        <v>3290</v>
      </c>
      <c r="AL514">
        <v>2.42</v>
      </c>
      <c r="AM514">
        <v>3742</v>
      </c>
      <c r="AN514">
        <v>154</v>
      </c>
      <c r="AO514">
        <v>6.9999999999999999E-4</v>
      </c>
      <c r="AP514">
        <v>2</v>
      </c>
      <c r="AQ514">
        <v>5.18</v>
      </c>
      <c r="AR514">
        <v>2.78</v>
      </c>
      <c r="AS514">
        <v>14.51</v>
      </c>
      <c r="AT514">
        <v>4.04</v>
      </c>
      <c r="AU514">
        <v>-8.36</v>
      </c>
      <c r="AV514">
        <v>0</v>
      </c>
      <c r="AW514">
        <v>4.91</v>
      </c>
      <c r="AX514">
        <v>53.57</v>
      </c>
      <c r="AY514">
        <v>23.58</v>
      </c>
      <c r="AZ514">
        <v>22.76</v>
      </c>
      <c r="BA514">
        <v>0.33</v>
      </c>
      <c r="BB514" t="s">
        <v>168</v>
      </c>
      <c r="BF514">
        <v>1.75</v>
      </c>
      <c r="BG514">
        <v>0.68</v>
      </c>
      <c r="BH514">
        <v>-3.58</v>
      </c>
      <c r="BI514">
        <v>1.72</v>
      </c>
      <c r="BJ514">
        <v>20210912</v>
      </c>
      <c r="BK514">
        <v>20061128</v>
      </c>
      <c r="BL514">
        <v>21.87</v>
      </c>
      <c r="BM514" t="s">
        <v>120</v>
      </c>
      <c r="BN514" t="s">
        <v>120</v>
      </c>
      <c r="BO514">
        <v>160.87</v>
      </c>
      <c r="BP514">
        <v>5.92</v>
      </c>
      <c r="BQ514">
        <v>53.78</v>
      </c>
      <c r="BR514">
        <v>21.84</v>
      </c>
      <c r="BS514">
        <v>52.99</v>
      </c>
      <c r="BT514">
        <v>72.8</v>
      </c>
      <c r="BU514">
        <v>47.23</v>
      </c>
      <c r="BV514">
        <v>16.89</v>
      </c>
      <c r="BW514">
        <v>66.900000000000006</v>
      </c>
      <c r="BX514">
        <v>15.89</v>
      </c>
      <c r="BY514">
        <v>26.2</v>
      </c>
      <c r="BZ514">
        <v>22.12</v>
      </c>
      <c r="CA514" t="s">
        <v>120</v>
      </c>
      <c r="CB514">
        <v>0</v>
      </c>
      <c r="CC514">
        <v>55.47</v>
      </c>
      <c r="CD514">
        <v>45.55</v>
      </c>
      <c r="CE514">
        <v>3.25</v>
      </c>
      <c r="CF514">
        <v>0.04</v>
      </c>
      <c r="CG514">
        <v>3.71</v>
      </c>
      <c r="CH514">
        <v>3.03</v>
      </c>
      <c r="CI514">
        <v>2.33</v>
      </c>
      <c r="CJ514">
        <v>0.03</v>
      </c>
      <c r="CK514">
        <v>1.66</v>
      </c>
      <c r="CL514">
        <v>39.659999999999997</v>
      </c>
      <c r="CM514">
        <v>3.35</v>
      </c>
      <c r="CN514">
        <v>-1.06</v>
      </c>
      <c r="CO514">
        <v>48581</v>
      </c>
      <c r="CP514">
        <v>24112</v>
      </c>
      <c r="CQ514" t="s">
        <v>3291</v>
      </c>
      <c r="CR514">
        <v>-7.71</v>
      </c>
      <c r="CS514">
        <v>25.44</v>
      </c>
      <c r="CT514">
        <v>2.41</v>
      </c>
      <c r="CU514">
        <v>38.659999999999997</v>
      </c>
      <c r="CV514">
        <v>2.33</v>
      </c>
      <c r="CW514">
        <v>1.61</v>
      </c>
      <c r="CX514" t="s">
        <v>1147</v>
      </c>
      <c r="CY514">
        <v>2.46</v>
      </c>
      <c r="CZ514">
        <v>0</v>
      </c>
      <c r="DA514">
        <v>0</v>
      </c>
      <c r="DB514">
        <v>1.81</v>
      </c>
      <c r="DC514">
        <v>0.15</v>
      </c>
      <c r="DD514">
        <v>33.43</v>
      </c>
      <c r="DE514" t="s">
        <v>1227</v>
      </c>
      <c r="DF514">
        <v>17.88</v>
      </c>
      <c r="DG514">
        <v>5.87</v>
      </c>
      <c r="DH514">
        <v>4.2</v>
      </c>
      <c r="DI514">
        <v>1.77</v>
      </c>
      <c r="DJ514">
        <v>11806</v>
      </c>
      <c r="DK514">
        <v>2085</v>
      </c>
      <c r="DL514" t="s">
        <v>120</v>
      </c>
      <c r="DM514" t="s">
        <v>120</v>
      </c>
      <c r="DN514" t="s">
        <v>120</v>
      </c>
    </row>
    <row r="515" spans="1:118">
      <c r="A515" t="str">
        <f>"002087"</f>
        <v>002087</v>
      </c>
      <c r="B515" t="s">
        <v>3292</v>
      </c>
      <c r="C515">
        <v>-0.28999999999999998</v>
      </c>
      <c r="D515">
        <v>0</v>
      </c>
      <c r="E515">
        <v>0.28999999999999998</v>
      </c>
      <c r="F515">
        <v>855</v>
      </c>
      <c r="G515" t="s">
        <v>2058</v>
      </c>
      <c r="H515">
        <v>4155.78</v>
      </c>
      <c r="I515">
        <v>25.06</v>
      </c>
      <c r="J515" t="s">
        <v>120</v>
      </c>
      <c r="K515" t="s">
        <v>677</v>
      </c>
      <c r="L515">
        <v>1.45</v>
      </c>
      <c r="M515">
        <v>3.49</v>
      </c>
      <c r="N515">
        <v>0.81</v>
      </c>
      <c r="O515">
        <v>2</v>
      </c>
      <c r="P515">
        <v>3.57</v>
      </c>
      <c r="Q515">
        <v>-0.86</v>
      </c>
      <c r="R515">
        <v>3.47</v>
      </c>
      <c r="S515">
        <v>3.51</v>
      </c>
      <c r="T515">
        <v>117864</v>
      </c>
      <c r="U515">
        <v>3.49</v>
      </c>
      <c r="V515">
        <v>3.5</v>
      </c>
      <c r="W515">
        <v>22.1</v>
      </c>
      <c r="X515" t="s">
        <v>1766</v>
      </c>
      <c r="Y515" t="s">
        <v>645</v>
      </c>
      <c r="Z515">
        <v>2.86</v>
      </c>
      <c r="AA515">
        <v>3.53</v>
      </c>
      <c r="AB515">
        <v>60404</v>
      </c>
      <c r="AC515">
        <v>57460</v>
      </c>
      <c r="AD515">
        <v>1.05</v>
      </c>
      <c r="AE515">
        <v>5955</v>
      </c>
      <c r="AF515">
        <v>1871</v>
      </c>
      <c r="AG515" t="s">
        <v>120</v>
      </c>
      <c r="AH515">
        <v>0.01</v>
      </c>
      <c r="AI515" t="s">
        <v>120</v>
      </c>
      <c r="AJ515">
        <v>8.16</v>
      </c>
      <c r="AK515" t="s">
        <v>3293</v>
      </c>
      <c r="AL515">
        <v>1.63</v>
      </c>
      <c r="AM515">
        <v>1602</v>
      </c>
      <c r="AN515">
        <v>74</v>
      </c>
      <c r="AO515">
        <v>8.9999999999999998E-4</v>
      </c>
      <c r="AP515">
        <v>-1</v>
      </c>
      <c r="AQ515">
        <v>0.56999999999999995</v>
      </c>
      <c r="AR515">
        <v>-2.52</v>
      </c>
      <c r="AS515">
        <v>6.18</v>
      </c>
      <c r="AT515">
        <v>3.04</v>
      </c>
      <c r="AU515">
        <v>-17.440000000000001</v>
      </c>
      <c r="AV515">
        <v>1</v>
      </c>
      <c r="AW515">
        <v>2.0699999999999998</v>
      </c>
      <c r="AX515">
        <v>69.790000000000006</v>
      </c>
      <c r="AY515">
        <v>23.44</v>
      </c>
      <c r="AZ515">
        <v>16.600000000000001</v>
      </c>
      <c r="BA515">
        <v>0.04</v>
      </c>
      <c r="BB515" t="s">
        <v>143</v>
      </c>
      <c r="BF515">
        <v>0.74</v>
      </c>
      <c r="BG515">
        <v>-0.56999999999999995</v>
      </c>
      <c r="BH515">
        <v>-2.2400000000000002</v>
      </c>
      <c r="BI515">
        <v>0.57999999999999996</v>
      </c>
      <c r="BJ515">
        <v>20210830</v>
      </c>
      <c r="BK515">
        <v>20061130</v>
      </c>
      <c r="BL515">
        <v>8.17</v>
      </c>
      <c r="BM515" t="s">
        <v>120</v>
      </c>
      <c r="BN515" t="s">
        <v>120</v>
      </c>
      <c r="BO515">
        <v>93.85</v>
      </c>
      <c r="BP515">
        <v>3.48</v>
      </c>
      <c r="BQ515">
        <v>43.18</v>
      </c>
      <c r="BR515">
        <v>0.86</v>
      </c>
      <c r="BS515">
        <v>53.07</v>
      </c>
      <c r="BT515">
        <v>58.03</v>
      </c>
      <c r="BU515">
        <v>26.24</v>
      </c>
      <c r="BV515">
        <v>7.8</v>
      </c>
      <c r="BW515">
        <v>41.23</v>
      </c>
      <c r="BX515">
        <v>8.58</v>
      </c>
      <c r="BY515">
        <v>25.83</v>
      </c>
      <c r="BZ515">
        <v>8.27</v>
      </c>
      <c r="CA515" t="s">
        <v>120</v>
      </c>
      <c r="CB515">
        <v>13.46</v>
      </c>
      <c r="CC515">
        <v>25.16</v>
      </c>
      <c r="CD515">
        <v>22.24</v>
      </c>
      <c r="CE515">
        <v>0.78</v>
      </c>
      <c r="CF515">
        <v>0</v>
      </c>
      <c r="CG515">
        <v>0.77</v>
      </c>
      <c r="CH515">
        <v>0.65</v>
      </c>
      <c r="CI515">
        <v>0.65</v>
      </c>
      <c r="CJ515">
        <v>-0.01</v>
      </c>
      <c r="CK515">
        <v>0.59</v>
      </c>
      <c r="CL515">
        <v>19.64</v>
      </c>
      <c r="CM515">
        <v>10.039999999999999</v>
      </c>
      <c r="CN515">
        <v>-0.5</v>
      </c>
      <c r="CO515">
        <v>53068</v>
      </c>
      <c r="CP515">
        <v>10741</v>
      </c>
      <c r="CQ515" t="s">
        <v>3294</v>
      </c>
      <c r="CR515">
        <v>-43.79</v>
      </c>
      <c r="CS515">
        <v>4.29</v>
      </c>
      <c r="CT515">
        <v>0.66</v>
      </c>
      <c r="CU515">
        <v>2.84</v>
      </c>
      <c r="CV515">
        <v>1.1299999999999999</v>
      </c>
      <c r="CW515">
        <v>0.66</v>
      </c>
      <c r="CX515" t="s">
        <v>3295</v>
      </c>
      <c r="CY515">
        <v>5.29</v>
      </c>
      <c r="CZ515">
        <v>0</v>
      </c>
      <c r="DA515">
        <v>1.65</v>
      </c>
      <c r="DB515">
        <v>2.4</v>
      </c>
      <c r="DC515">
        <v>1.23</v>
      </c>
      <c r="DD515">
        <v>46.01</v>
      </c>
      <c r="DE515" t="s">
        <v>3296</v>
      </c>
      <c r="DF515">
        <v>11.61</v>
      </c>
      <c r="DG515">
        <v>3.1</v>
      </c>
      <c r="DH515">
        <v>2.56</v>
      </c>
      <c r="DI515">
        <v>0.59</v>
      </c>
      <c r="DJ515">
        <v>8948</v>
      </c>
      <c r="DK515">
        <v>2087</v>
      </c>
      <c r="DL515" t="s">
        <v>120</v>
      </c>
      <c r="DM515" t="s">
        <v>120</v>
      </c>
      <c r="DN515" t="s">
        <v>120</v>
      </c>
    </row>
    <row r="516" spans="1:118">
      <c r="A516" t="str">
        <f>"002088"</f>
        <v>002088</v>
      </c>
      <c r="B516" t="s">
        <v>3297</v>
      </c>
      <c r="C516">
        <v>4.75</v>
      </c>
      <c r="D516">
        <v>0.16</v>
      </c>
      <c r="E516">
        <v>-0.39</v>
      </c>
      <c r="F516">
        <v>833</v>
      </c>
      <c r="G516" t="s">
        <v>3298</v>
      </c>
      <c r="H516">
        <v>26735.52</v>
      </c>
      <c r="I516">
        <v>185.93</v>
      </c>
      <c r="J516" t="s">
        <v>120</v>
      </c>
      <c r="K516" t="s">
        <v>395</v>
      </c>
      <c r="L516">
        <v>2.64</v>
      </c>
      <c r="M516">
        <v>31.95</v>
      </c>
      <c r="N516">
        <v>1.88</v>
      </c>
      <c r="O516">
        <v>6.66</v>
      </c>
      <c r="P516">
        <v>32.53</v>
      </c>
      <c r="Q516">
        <v>-2.0299999999999998</v>
      </c>
      <c r="R516">
        <v>29.88</v>
      </c>
      <c r="S516">
        <v>30.38</v>
      </c>
      <c r="T516">
        <v>84760</v>
      </c>
      <c r="U516">
        <v>31.98</v>
      </c>
      <c r="V516">
        <v>30.5</v>
      </c>
      <c r="W516">
        <v>22.38</v>
      </c>
      <c r="X516" t="s">
        <v>1991</v>
      </c>
      <c r="Y516" t="s">
        <v>638</v>
      </c>
      <c r="Z516">
        <v>8.69</v>
      </c>
      <c r="AA516">
        <v>31.54</v>
      </c>
      <c r="AB516">
        <v>41278</v>
      </c>
      <c r="AC516">
        <v>43482</v>
      </c>
      <c r="AD516">
        <v>0.95</v>
      </c>
      <c r="AE516">
        <v>15</v>
      </c>
      <c r="AF516">
        <v>10</v>
      </c>
      <c r="AG516" t="s">
        <v>120</v>
      </c>
      <c r="AH516">
        <v>0.03</v>
      </c>
      <c r="AI516" t="s">
        <v>120</v>
      </c>
      <c r="AJ516">
        <v>3.21</v>
      </c>
      <c r="AK516" t="s">
        <v>3299</v>
      </c>
      <c r="AL516">
        <v>6.67</v>
      </c>
      <c r="AM516">
        <v>3371</v>
      </c>
      <c r="AN516">
        <v>25</v>
      </c>
      <c r="AO516">
        <v>8.0000000000000004E-4</v>
      </c>
      <c r="AP516">
        <v>6</v>
      </c>
      <c r="AQ516">
        <v>5.5</v>
      </c>
      <c r="AR516">
        <v>11.17</v>
      </c>
      <c r="AS516">
        <v>28.63</v>
      </c>
      <c r="AT516">
        <v>48.47</v>
      </c>
      <c r="AU516">
        <v>212.01</v>
      </c>
      <c r="AV516">
        <v>6</v>
      </c>
      <c r="AW516">
        <v>4.0999999999999996</v>
      </c>
      <c r="AX516">
        <v>57.15</v>
      </c>
      <c r="AY516">
        <v>21.65</v>
      </c>
      <c r="AZ516">
        <v>29.79</v>
      </c>
      <c r="BA516">
        <v>0.68</v>
      </c>
      <c r="BB516" t="s">
        <v>700</v>
      </c>
      <c r="BF516">
        <v>3.42</v>
      </c>
      <c r="BG516">
        <v>5.17</v>
      </c>
      <c r="BH516">
        <v>-1.78</v>
      </c>
      <c r="BI516">
        <v>6.93</v>
      </c>
      <c r="BJ516">
        <v>20210909</v>
      </c>
      <c r="BK516">
        <v>20061130</v>
      </c>
      <c r="BL516">
        <v>3.62</v>
      </c>
      <c r="BM516" t="s">
        <v>120</v>
      </c>
      <c r="BN516" t="s">
        <v>120</v>
      </c>
      <c r="BO516">
        <v>34.51</v>
      </c>
      <c r="BP516">
        <v>31.95</v>
      </c>
      <c r="BQ516">
        <v>23.43</v>
      </c>
      <c r="BR516" t="s">
        <v>120</v>
      </c>
      <c r="BS516">
        <v>32.119999999999997</v>
      </c>
      <c r="BT516">
        <v>23.86</v>
      </c>
      <c r="BU516">
        <v>7.3</v>
      </c>
      <c r="BV516">
        <v>1.28</v>
      </c>
      <c r="BW516">
        <v>10.220000000000001</v>
      </c>
      <c r="BX516">
        <v>4.74</v>
      </c>
      <c r="BY516">
        <v>3.8</v>
      </c>
      <c r="BZ516">
        <v>7.56</v>
      </c>
      <c r="CA516" t="s">
        <v>120</v>
      </c>
      <c r="CB516">
        <v>5.82</v>
      </c>
      <c r="CC516">
        <v>14.48</v>
      </c>
      <c r="CD516">
        <v>9.25</v>
      </c>
      <c r="CE516">
        <v>2.82</v>
      </c>
      <c r="CF516">
        <v>0</v>
      </c>
      <c r="CG516">
        <v>2.92</v>
      </c>
      <c r="CH516">
        <v>2.58</v>
      </c>
      <c r="CI516">
        <v>2.58</v>
      </c>
      <c r="CJ516">
        <v>1.45</v>
      </c>
      <c r="CK516">
        <v>2.4900000000000002</v>
      </c>
      <c r="CL516">
        <v>11.78</v>
      </c>
      <c r="CM516">
        <v>2.67</v>
      </c>
      <c r="CN516">
        <v>-1.03</v>
      </c>
      <c r="CO516">
        <v>11926</v>
      </c>
      <c r="CP516">
        <v>17332</v>
      </c>
      <c r="CQ516" t="s">
        <v>3300</v>
      </c>
      <c r="CR516">
        <v>117.28</v>
      </c>
      <c r="CS516">
        <v>63.21</v>
      </c>
      <c r="CT516">
        <v>4.93</v>
      </c>
      <c r="CU516">
        <v>43.32</v>
      </c>
      <c r="CV516">
        <v>7.98</v>
      </c>
      <c r="CW516">
        <v>2.79</v>
      </c>
      <c r="CX516" t="s">
        <v>3301</v>
      </c>
      <c r="CY516">
        <v>6.48</v>
      </c>
      <c r="CZ516">
        <v>0</v>
      </c>
      <c r="DA516">
        <v>1.61</v>
      </c>
      <c r="DB516">
        <v>3.26</v>
      </c>
      <c r="DC516">
        <v>0.74</v>
      </c>
      <c r="DD516">
        <v>67.88</v>
      </c>
      <c r="DE516" t="s">
        <v>3302</v>
      </c>
      <c r="DF516">
        <v>36.090000000000003</v>
      </c>
      <c r="DG516">
        <v>19.48</v>
      </c>
      <c r="DH516">
        <v>17.829999999999998</v>
      </c>
      <c r="DI516">
        <v>0.7</v>
      </c>
      <c r="DJ516">
        <v>2554</v>
      </c>
      <c r="DK516">
        <v>2088</v>
      </c>
      <c r="DL516">
        <v>20210916</v>
      </c>
      <c r="DM516">
        <v>31.31</v>
      </c>
      <c r="DN516">
        <v>2.04</v>
      </c>
    </row>
    <row r="517" spans="1:118">
      <c r="A517" t="str">
        <f>"002090"</f>
        <v>002090</v>
      </c>
      <c r="B517" t="s">
        <v>3303</v>
      </c>
      <c r="C517">
        <v>-3.53</v>
      </c>
      <c r="D517">
        <v>0</v>
      </c>
      <c r="E517">
        <v>0</v>
      </c>
      <c r="F517">
        <v>467</v>
      </c>
      <c r="G517" t="s">
        <v>3304</v>
      </c>
      <c r="H517">
        <v>4375.6000000000004</v>
      </c>
      <c r="I517">
        <v>11.66</v>
      </c>
      <c r="J517" t="s">
        <v>120</v>
      </c>
      <c r="K517" t="s">
        <v>3305</v>
      </c>
      <c r="L517">
        <v>1.1599999999999999</v>
      </c>
      <c r="M517">
        <v>9.3000000000000007</v>
      </c>
      <c r="N517">
        <v>0.96</v>
      </c>
      <c r="O517">
        <v>1.35</v>
      </c>
      <c r="P517">
        <v>9.77</v>
      </c>
      <c r="Q517">
        <v>-4.05</v>
      </c>
      <c r="R517">
        <v>9.25</v>
      </c>
      <c r="S517">
        <v>9.64</v>
      </c>
      <c r="T517">
        <v>46310</v>
      </c>
      <c r="U517">
        <v>9.3000000000000007</v>
      </c>
      <c r="V517">
        <v>9.64</v>
      </c>
      <c r="W517">
        <v>45.88</v>
      </c>
      <c r="X517" t="s">
        <v>141</v>
      </c>
      <c r="Y517" t="s">
        <v>319</v>
      </c>
      <c r="Z517">
        <v>5.39</v>
      </c>
      <c r="AA517">
        <v>9.4499999999999993</v>
      </c>
      <c r="AB517">
        <v>29401</v>
      </c>
      <c r="AC517">
        <v>16909</v>
      </c>
      <c r="AD517">
        <v>1.74</v>
      </c>
      <c r="AE517">
        <v>203</v>
      </c>
      <c r="AF517">
        <v>43</v>
      </c>
      <c r="AG517" t="s">
        <v>120</v>
      </c>
      <c r="AH517">
        <v>0</v>
      </c>
      <c r="AI517" t="s">
        <v>120</v>
      </c>
      <c r="AJ517">
        <v>3.99</v>
      </c>
      <c r="AK517" t="s">
        <v>3306</v>
      </c>
      <c r="AL517">
        <v>-1.61</v>
      </c>
      <c r="AM517">
        <v>1529</v>
      </c>
      <c r="AN517">
        <v>30</v>
      </c>
      <c r="AO517">
        <v>8.0000000000000004E-4</v>
      </c>
      <c r="AP517">
        <v>-1</v>
      </c>
      <c r="AQ517">
        <v>4.33</v>
      </c>
      <c r="AR517">
        <v>-1.37</v>
      </c>
      <c r="AS517">
        <v>-0.22</v>
      </c>
      <c r="AT517">
        <v>4.7300000000000004</v>
      </c>
      <c r="AU517">
        <v>14.96</v>
      </c>
      <c r="AV517">
        <v>2</v>
      </c>
      <c r="AW517">
        <v>1.91</v>
      </c>
      <c r="AX517">
        <v>59.86</v>
      </c>
      <c r="AY517">
        <v>44.43</v>
      </c>
      <c r="AZ517">
        <v>59.9</v>
      </c>
      <c r="BA517">
        <v>0.05</v>
      </c>
      <c r="BB517" t="s">
        <v>143</v>
      </c>
      <c r="BF517">
        <v>-1.99</v>
      </c>
      <c r="BG517">
        <v>-3.53</v>
      </c>
      <c r="BH517">
        <v>-4.8099999999999996</v>
      </c>
      <c r="BI517">
        <v>0.54</v>
      </c>
      <c r="BJ517">
        <v>20210910</v>
      </c>
      <c r="BK517">
        <v>20061208</v>
      </c>
      <c r="BL517">
        <v>4.04</v>
      </c>
      <c r="BM517" t="s">
        <v>120</v>
      </c>
      <c r="BN517" t="s">
        <v>120</v>
      </c>
      <c r="BO517">
        <v>24.2</v>
      </c>
      <c r="BP517">
        <v>9.2899999999999991</v>
      </c>
      <c r="BQ517">
        <v>11.51</v>
      </c>
      <c r="BR517">
        <v>0.57999999999999996</v>
      </c>
      <c r="BS517">
        <v>50.05</v>
      </c>
      <c r="BT517">
        <v>19.43</v>
      </c>
      <c r="BU517">
        <v>2.0699999999999998</v>
      </c>
      <c r="BV517">
        <v>0.31</v>
      </c>
      <c r="BW517">
        <v>11.98</v>
      </c>
      <c r="BX517">
        <v>3.76</v>
      </c>
      <c r="BY517">
        <v>2.5299999999999998</v>
      </c>
      <c r="BZ517">
        <v>8.25</v>
      </c>
      <c r="CA517" t="s">
        <v>120</v>
      </c>
      <c r="CB517">
        <v>0.78</v>
      </c>
      <c r="CC517">
        <v>7.38</v>
      </c>
      <c r="CD517">
        <v>5.56</v>
      </c>
      <c r="CE517">
        <v>0.46</v>
      </c>
      <c r="CF517">
        <v>0.28999999999999998</v>
      </c>
      <c r="CG517">
        <v>0.46</v>
      </c>
      <c r="CH517">
        <v>0.44</v>
      </c>
      <c r="CI517">
        <v>0.41</v>
      </c>
      <c r="CJ517">
        <v>-0.34</v>
      </c>
      <c r="CK517">
        <v>0.13</v>
      </c>
      <c r="CL517">
        <v>7.67</v>
      </c>
      <c r="CM517">
        <v>-2.06</v>
      </c>
      <c r="CN517">
        <v>-1.83</v>
      </c>
      <c r="CO517">
        <v>21518</v>
      </c>
      <c r="CP517">
        <v>11246</v>
      </c>
      <c r="CQ517" t="s">
        <v>3307</v>
      </c>
      <c r="CR517">
        <v>123.59</v>
      </c>
      <c r="CS517">
        <v>11.86</v>
      </c>
      <c r="CT517">
        <v>3.27</v>
      </c>
      <c r="CU517">
        <v>-18.21</v>
      </c>
      <c r="CV517">
        <v>5.0999999999999996</v>
      </c>
      <c r="CW517">
        <v>0.98</v>
      </c>
      <c r="CX517" t="s">
        <v>411</v>
      </c>
      <c r="CY517">
        <v>2.85</v>
      </c>
      <c r="CZ517">
        <v>0</v>
      </c>
      <c r="DA517">
        <v>0.19</v>
      </c>
      <c r="DB517">
        <v>1.9</v>
      </c>
      <c r="DC517">
        <v>-0.51</v>
      </c>
      <c r="DD517">
        <v>47.57</v>
      </c>
      <c r="DE517" t="s">
        <v>3308</v>
      </c>
      <c r="DF517">
        <v>24.66</v>
      </c>
      <c r="DG517">
        <v>6.22</v>
      </c>
      <c r="DH517">
        <v>5.55</v>
      </c>
      <c r="DI517">
        <v>0.66</v>
      </c>
      <c r="DJ517">
        <v>1184</v>
      </c>
      <c r="DK517">
        <v>2090</v>
      </c>
      <c r="DL517" t="s">
        <v>120</v>
      </c>
      <c r="DM517" t="s">
        <v>120</v>
      </c>
      <c r="DN517" t="s">
        <v>120</v>
      </c>
    </row>
    <row r="518" spans="1:118">
      <c r="A518" t="str">
        <f>"002091"</f>
        <v>002091</v>
      </c>
      <c r="B518" t="s">
        <v>3309</v>
      </c>
      <c r="C518">
        <v>-10.02</v>
      </c>
      <c r="D518">
        <v>0</v>
      </c>
      <c r="E518">
        <v>1.65</v>
      </c>
      <c r="F518">
        <v>1849</v>
      </c>
      <c r="G518" t="s">
        <v>3310</v>
      </c>
      <c r="H518">
        <v>191124.07</v>
      </c>
      <c r="I518">
        <v>2426.73</v>
      </c>
      <c r="J518">
        <v>4462.05</v>
      </c>
      <c r="K518" t="s">
        <v>3311</v>
      </c>
      <c r="L518">
        <v>7.83</v>
      </c>
      <c r="M518">
        <v>15.27</v>
      </c>
      <c r="N518">
        <v>1.53</v>
      </c>
      <c r="O518">
        <v>2.5299999999999998</v>
      </c>
      <c r="P518">
        <v>17.399999999999999</v>
      </c>
      <c r="Q518">
        <v>-10.02</v>
      </c>
      <c r="R518">
        <v>15.27</v>
      </c>
      <c r="S518">
        <v>17.25</v>
      </c>
      <c r="T518">
        <v>1184153</v>
      </c>
      <c r="U518">
        <v>15.27</v>
      </c>
      <c r="V518">
        <v>16.97</v>
      </c>
      <c r="W518">
        <v>32.21</v>
      </c>
      <c r="X518" t="s">
        <v>562</v>
      </c>
      <c r="Y518" t="s">
        <v>319</v>
      </c>
      <c r="Z518">
        <v>12.55</v>
      </c>
      <c r="AA518">
        <v>16.14</v>
      </c>
      <c r="AB518">
        <v>635011</v>
      </c>
      <c r="AC518">
        <v>549142</v>
      </c>
      <c r="AD518">
        <v>1.1599999999999999</v>
      </c>
      <c r="AE518">
        <v>0</v>
      </c>
      <c r="AF518">
        <v>29221</v>
      </c>
      <c r="AG518" t="s">
        <v>120</v>
      </c>
      <c r="AH518">
        <v>0.17</v>
      </c>
      <c r="AI518">
        <v>0.02</v>
      </c>
      <c r="AJ518">
        <v>15.13</v>
      </c>
      <c r="AK518" t="s">
        <v>3312</v>
      </c>
      <c r="AL518">
        <v>-8.1</v>
      </c>
      <c r="AM518">
        <v>4673</v>
      </c>
      <c r="AN518">
        <v>253</v>
      </c>
      <c r="AO518">
        <v>1.6999999999999999E-3</v>
      </c>
      <c r="AP518">
        <v>-1</v>
      </c>
      <c r="AQ518">
        <v>9.98</v>
      </c>
      <c r="AR518">
        <v>1.8</v>
      </c>
      <c r="AS518">
        <v>25.79</v>
      </c>
      <c r="AT518">
        <v>84.42</v>
      </c>
      <c r="AU518">
        <v>118.77</v>
      </c>
      <c r="AV518">
        <v>7</v>
      </c>
      <c r="AW518">
        <v>13.96</v>
      </c>
      <c r="AX518">
        <v>54.24</v>
      </c>
      <c r="AY518">
        <v>26.01</v>
      </c>
      <c r="AZ518">
        <v>27.14</v>
      </c>
      <c r="BA518">
        <v>1.69</v>
      </c>
      <c r="BB518" t="s">
        <v>700</v>
      </c>
      <c r="BF518">
        <v>-4.8899999999999997</v>
      </c>
      <c r="BG518">
        <v>-11.48</v>
      </c>
      <c r="BH518">
        <v>-12.24</v>
      </c>
      <c r="BI518">
        <v>0</v>
      </c>
      <c r="BJ518">
        <v>20210825</v>
      </c>
      <c r="BK518">
        <v>20061208</v>
      </c>
      <c r="BL518">
        <v>15.64</v>
      </c>
      <c r="BM518" t="s">
        <v>120</v>
      </c>
      <c r="BN518" t="s">
        <v>120</v>
      </c>
      <c r="BO518">
        <v>241.06</v>
      </c>
      <c r="BP518" t="s">
        <v>120</v>
      </c>
      <c r="BQ518">
        <v>92.13</v>
      </c>
      <c r="BR518">
        <v>26.64</v>
      </c>
      <c r="BS518">
        <v>50.73</v>
      </c>
      <c r="BT518">
        <v>189.14</v>
      </c>
      <c r="BU518">
        <v>20.420000000000002</v>
      </c>
      <c r="BV518">
        <v>10.039999999999999</v>
      </c>
      <c r="BW518">
        <v>111.7</v>
      </c>
      <c r="BX518">
        <v>65.150000000000006</v>
      </c>
      <c r="BY518">
        <v>22.62</v>
      </c>
      <c r="BZ518">
        <v>50.49</v>
      </c>
      <c r="CA518">
        <v>0</v>
      </c>
      <c r="CB518">
        <v>34.17</v>
      </c>
      <c r="CC518">
        <v>145.96</v>
      </c>
      <c r="CD518">
        <v>124.92</v>
      </c>
      <c r="CE518">
        <v>7.15</v>
      </c>
      <c r="CF518">
        <v>0.52</v>
      </c>
      <c r="CG518">
        <v>7.11</v>
      </c>
      <c r="CH518">
        <v>5.46</v>
      </c>
      <c r="CI518">
        <v>3.71</v>
      </c>
      <c r="CJ518">
        <v>-1.7</v>
      </c>
      <c r="CK518">
        <v>3.49</v>
      </c>
      <c r="CL518">
        <v>38.26</v>
      </c>
      <c r="CM518">
        <v>-21.36</v>
      </c>
      <c r="CN518">
        <v>-26.25</v>
      </c>
      <c r="CO518">
        <v>47818</v>
      </c>
      <c r="CP518">
        <v>17734</v>
      </c>
      <c r="CQ518" t="s">
        <v>3313</v>
      </c>
      <c r="CR518">
        <v>12.88</v>
      </c>
      <c r="CS518">
        <v>16.3</v>
      </c>
      <c r="CT518">
        <v>2.59</v>
      </c>
      <c r="CU518">
        <v>-11.18</v>
      </c>
      <c r="CV518">
        <v>1.64</v>
      </c>
      <c r="CW518">
        <v>1.47</v>
      </c>
      <c r="CX518" t="s">
        <v>626</v>
      </c>
      <c r="CY518">
        <v>5.89</v>
      </c>
      <c r="CZ518">
        <v>0</v>
      </c>
      <c r="DA518">
        <v>2.19</v>
      </c>
      <c r="DB518">
        <v>2.4500000000000002</v>
      </c>
      <c r="DC518">
        <v>-1.37</v>
      </c>
      <c r="DD518">
        <v>38.22</v>
      </c>
      <c r="DE518" t="s">
        <v>1363</v>
      </c>
      <c r="DF518">
        <v>14.42</v>
      </c>
      <c r="DG518">
        <v>4.9000000000000004</v>
      </c>
      <c r="DH518">
        <v>2.54</v>
      </c>
      <c r="DI518">
        <v>0.46</v>
      </c>
      <c r="DJ518">
        <v>13844</v>
      </c>
      <c r="DK518">
        <v>2091</v>
      </c>
      <c r="DL518">
        <v>20210908</v>
      </c>
      <c r="DM518">
        <v>14.95</v>
      </c>
      <c r="DN518">
        <v>2.14</v>
      </c>
    </row>
    <row r="519" spans="1:118">
      <c r="A519" t="str">
        <f>"002092"</f>
        <v>002092</v>
      </c>
      <c r="B519" t="s">
        <v>3314</v>
      </c>
      <c r="C519">
        <v>1.91</v>
      </c>
      <c r="D519">
        <v>0.75</v>
      </c>
      <c r="E519">
        <v>4.7</v>
      </c>
      <c r="F519">
        <v>11248</v>
      </c>
      <c r="G519" t="s">
        <v>3315</v>
      </c>
      <c r="H519">
        <v>392836.6</v>
      </c>
      <c r="I519">
        <v>3212.16</v>
      </c>
      <c r="J519" t="s">
        <v>120</v>
      </c>
      <c r="K519" t="s">
        <v>3316</v>
      </c>
      <c r="L519">
        <v>10</v>
      </c>
      <c r="M519">
        <v>17.57</v>
      </c>
      <c r="N519">
        <v>1.41</v>
      </c>
      <c r="O519">
        <v>9.98</v>
      </c>
      <c r="P519">
        <v>18.96</v>
      </c>
      <c r="Q519">
        <v>0</v>
      </c>
      <c r="R519">
        <v>17.239999999999998</v>
      </c>
      <c r="S519">
        <v>18.05</v>
      </c>
      <c r="T519">
        <v>2145909</v>
      </c>
      <c r="U519">
        <v>17.57</v>
      </c>
      <c r="V519">
        <v>17.239999999999998</v>
      </c>
      <c r="W519">
        <v>13.06</v>
      </c>
      <c r="X519" t="s">
        <v>868</v>
      </c>
      <c r="Y519" t="s">
        <v>609</v>
      </c>
      <c r="Z519">
        <v>9.98</v>
      </c>
      <c r="AA519">
        <v>18.309999999999999</v>
      </c>
      <c r="AB519">
        <v>1142965</v>
      </c>
      <c r="AC519">
        <v>1002944</v>
      </c>
      <c r="AD519">
        <v>1.1399999999999999</v>
      </c>
      <c r="AE519">
        <v>210</v>
      </c>
      <c r="AF519">
        <v>133</v>
      </c>
      <c r="AG519" t="s">
        <v>120</v>
      </c>
      <c r="AH519">
        <v>0.13</v>
      </c>
      <c r="AI519" t="s">
        <v>120</v>
      </c>
      <c r="AJ519">
        <v>21.46</v>
      </c>
      <c r="AK519" t="s">
        <v>3317</v>
      </c>
      <c r="AL519">
        <v>3.83</v>
      </c>
      <c r="AM519">
        <v>4678</v>
      </c>
      <c r="AN519">
        <v>459</v>
      </c>
      <c r="AO519">
        <v>2.0999999999999999E-3</v>
      </c>
      <c r="AP519">
        <v>2</v>
      </c>
      <c r="AQ519">
        <v>0.76</v>
      </c>
      <c r="AR519">
        <v>-2.5</v>
      </c>
      <c r="AS519">
        <v>60.17</v>
      </c>
      <c r="AT519">
        <v>78.2</v>
      </c>
      <c r="AU519">
        <v>186.15</v>
      </c>
      <c r="AV519">
        <v>8</v>
      </c>
      <c r="AW519">
        <v>15.17</v>
      </c>
      <c r="AX519">
        <v>54.91</v>
      </c>
      <c r="AY519">
        <v>20.61</v>
      </c>
      <c r="AZ519">
        <v>304.23</v>
      </c>
      <c r="BA519">
        <v>0.7</v>
      </c>
      <c r="BB519" t="s">
        <v>143</v>
      </c>
      <c r="BF519">
        <v>6.19</v>
      </c>
      <c r="BG519">
        <v>-2.66</v>
      </c>
      <c r="BH519">
        <v>-7.33</v>
      </c>
      <c r="BI519">
        <v>1.91</v>
      </c>
      <c r="BJ519">
        <v>20210913</v>
      </c>
      <c r="BK519">
        <v>20061208</v>
      </c>
      <c r="BL519">
        <v>25.76</v>
      </c>
      <c r="BM519" t="s">
        <v>120</v>
      </c>
      <c r="BN519" t="s">
        <v>120</v>
      </c>
      <c r="BO519">
        <v>635.25</v>
      </c>
      <c r="BP519">
        <v>17.559999999999999</v>
      </c>
      <c r="BQ519">
        <v>205.78</v>
      </c>
      <c r="BR519">
        <v>25.76</v>
      </c>
      <c r="BS519">
        <v>63.55</v>
      </c>
      <c r="BT519">
        <v>195.44</v>
      </c>
      <c r="BU519">
        <v>273.7</v>
      </c>
      <c r="BV519">
        <v>7.62</v>
      </c>
      <c r="BW519">
        <v>286.35000000000002</v>
      </c>
      <c r="BX519">
        <v>32.07</v>
      </c>
      <c r="BY519">
        <v>26.18</v>
      </c>
      <c r="BZ519">
        <v>31.58</v>
      </c>
      <c r="CA519">
        <v>0.01</v>
      </c>
      <c r="CB519">
        <v>93.61</v>
      </c>
      <c r="CC519">
        <v>307.16000000000003</v>
      </c>
      <c r="CD519">
        <v>264.36</v>
      </c>
      <c r="CE519">
        <v>22.96</v>
      </c>
      <c r="CF519">
        <v>1.38</v>
      </c>
      <c r="CG519">
        <v>22.9</v>
      </c>
      <c r="CH519">
        <v>19.690000000000001</v>
      </c>
      <c r="CI519">
        <v>17.329999999999998</v>
      </c>
      <c r="CJ519">
        <v>0.33</v>
      </c>
      <c r="CK519">
        <v>17.23</v>
      </c>
      <c r="CL519">
        <v>82.64</v>
      </c>
      <c r="CM519">
        <v>15.6</v>
      </c>
      <c r="CN519">
        <v>-13.48</v>
      </c>
      <c r="CO519">
        <v>90216</v>
      </c>
      <c r="CP519">
        <v>15677</v>
      </c>
      <c r="CQ519" t="s">
        <v>3318</v>
      </c>
      <c r="CR519">
        <v>728.82</v>
      </c>
      <c r="CS519">
        <v>-26.07</v>
      </c>
      <c r="CT519">
        <v>1.83</v>
      </c>
      <c r="CU519">
        <v>29</v>
      </c>
      <c r="CV519">
        <v>1.47</v>
      </c>
      <c r="CW519">
        <v>0.05</v>
      </c>
      <c r="CX519" t="s">
        <v>2792</v>
      </c>
      <c r="CY519">
        <v>9.59</v>
      </c>
      <c r="CZ519">
        <v>9.59</v>
      </c>
      <c r="DA519">
        <v>3.63</v>
      </c>
      <c r="DB519">
        <v>3.21</v>
      </c>
      <c r="DC519">
        <v>0.61</v>
      </c>
      <c r="DD519">
        <v>32.39</v>
      </c>
      <c r="DE519" t="s">
        <v>3319</v>
      </c>
      <c r="DF519">
        <v>13.93</v>
      </c>
      <c r="DG519">
        <v>7.47</v>
      </c>
      <c r="DH519">
        <v>5.64</v>
      </c>
      <c r="DI519">
        <v>0.2</v>
      </c>
      <c r="DJ519">
        <v>18933</v>
      </c>
      <c r="DK519">
        <v>2092</v>
      </c>
      <c r="DL519">
        <v>20210830</v>
      </c>
      <c r="DM519">
        <v>12.93</v>
      </c>
      <c r="DN519">
        <v>35.89</v>
      </c>
    </row>
    <row r="520" spans="1:118">
      <c r="A520" t="str">
        <f>"002093"</f>
        <v>002093</v>
      </c>
      <c r="B520" t="s">
        <v>3320</v>
      </c>
      <c r="C520">
        <v>-1.51</v>
      </c>
      <c r="D520">
        <v>-0.16</v>
      </c>
      <c r="E520">
        <v>0.17</v>
      </c>
      <c r="F520">
        <v>579</v>
      </c>
      <c r="G520" t="s">
        <v>1172</v>
      </c>
      <c r="H520">
        <v>3856.92</v>
      </c>
      <c r="I520">
        <v>47</v>
      </c>
      <c r="J520" t="s">
        <v>120</v>
      </c>
      <c r="K520" t="s">
        <v>3321</v>
      </c>
      <c r="L520">
        <v>0.65</v>
      </c>
      <c r="M520">
        <v>5.88</v>
      </c>
      <c r="N520">
        <v>0.8</v>
      </c>
      <c r="O520">
        <v>1.34</v>
      </c>
      <c r="P520">
        <v>6.05</v>
      </c>
      <c r="Q520">
        <v>-1.68</v>
      </c>
      <c r="R520">
        <v>5.87</v>
      </c>
      <c r="S520">
        <v>5.98</v>
      </c>
      <c r="T520">
        <v>64781</v>
      </c>
      <c r="U520">
        <v>5.89</v>
      </c>
      <c r="V520">
        <v>5.97</v>
      </c>
      <c r="W520">
        <v>78.55</v>
      </c>
      <c r="X520" t="s">
        <v>3322</v>
      </c>
      <c r="Y520" t="s">
        <v>937</v>
      </c>
      <c r="Z520">
        <v>3.02</v>
      </c>
      <c r="AA520">
        <v>5.95</v>
      </c>
      <c r="AB520">
        <v>41177</v>
      </c>
      <c r="AC520">
        <v>23604</v>
      </c>
      <c r="AD520">
        <v>1.74</v>
      </c>
      <c r="AE520">
        <v>863</v>
      </c>
      <c r="AF520">
        <v>923</v>
      </c>
      <c r="AG520" t="s">
        <v>120</v>
      </c>
      <c r="AH520">
        <v>0.02</v>
      </c>
      <c r="AI520" t="s">
        <v>120</v>
      </c>
      <c r="AJ520">
        <v>10.039999999999999</v>
      </c>
      <c r="AK520" t="s">
        <v>3323</v>
      </c>
      <c r="AL520">
        <v>0.41</v>
      </c>
      <c r="AM520">
        <v>1367</v>
      </c>
      <c r="AN520">
        <v>47</v>
      </c>
      <c r="AO520">
        <v>5.0000000000000001E-4</v>
      </c>
      <c r="AP520">
        <v>-1</v>
      </c>
      <c r="AQ520">
        <v>0.67</v>
      </c>
      <c r="AR520">
        <v>-2.0099999999999998</v>
      </c>
      <c r="AS520">
        <v>-3.29</v>
      </c>
      <c r="AT520">
        <v>-8.1300000000000008</v>
      </c>
      <c r="AU520">
        <v>-19.23</v>
      </c>
      <c r="AV520">
        <v>1</v>
      </c>
      <c r="AW520">
        <v>1.43</v>
      </c>
      <c r="AX520">
        <v>45</v>
      </c>
      <c r="AY520">
        <v>94.9</v>
      </c>
      <c r="AZ520">
        <v>74.38</v>
      </c>
      <c r="BA520">
        <v>0.53</v>
      </c>
      <c r="BB520" t="s">
        <v>1103</v>
      </c>
      <c r="BF520">
        <v>-0.27</v>
      </c>
      <c r="BG520">
        <v>-1.67</v>
      </c>
      <c r="BH520">
        <v>-2.81</v>
      </c>
      <c r="BI520">
        <v>0.17</v>
      </c>
      <c r="BJ520">
        <v>20210821</v>
      </c>
      <c r="BK520">
        <v>20061215</v>
      </c>
      <c r="BL520">
        <v>10.08</v>
      </c>
      <c r="BM520" t="s">
        <v>120</v>
      </c>
      <c r="BN520" t="s">
        <v>120</v>
      </c>
      <c r="BO520">
        <v>40.08</v>
      </c>
      <c r="BP520">
        <v>5.88</v>
      </c>
      <c r="BQ520">
        <v>34.35</v>
      </c>
      <c r="BR520">
        <v>-0.17</v>
      </c>
      <c r="BS520">
        <v>14.74</v>
      </c>
      <c r="BT520">
        <v>23.61</v>
      </c>
      <c r="BU520">
        <v>7.05</v>
      </c>
      <c r="BV520">
        <v>1.24</v>
      </c>
      <c r="BW520">
        <v>4.57</v>
      </c>
      <c r="BX520">
        <v>0.74</v>
      </c>
      <c r="BY520">
        <v>14.34</v>
      </c>
      <c r="BZ520">
        <v>1.94</v>
      </c>
      <c r="CA520" t="s">
        <v>120</v>
      </c>
      <c r="CB520">
        <v>14.14</v>
      </c>
      <c r="CC520">
        <v>2.17</v>
      </c>
      <c r="CD520">
        <v>0.68</v>
      </c>
      <c r="CE520">
        <v>0.42</v>
      </c>
      <c r="CF520">
        <v>0.16</v>
      </c>
      <c r="CG520">
        <v>0.43</v>
      </c>
      <c r="CH520">
        <v>0.38</v>
      </c>
      <c r="CI520">
        <v>0.38</v>
      </c>
      <c r="CJ520">
        <v>-0.09</v>
      </c>
      <c r="CK520">
        <v>0.37</v>
      </c>
      <c r="CL520">
        <v>8.85</v>
      </c>
      <c r="CM520">
        <v>-1.31</v>
      </c>
      <c r="CN520">
        <v>-2.48</v>
      </c>
      <c r="CO520">
        <v>63684</v>
      </c>
      <c r="CP520">
        <v>7119</v>
      </c>
      <c r="CQ520" t="s">
        <v>1993</v>
      </c>
      <c r="CR520">
        <v>-31.68</v>
      </c>
      <c r="CS520">
        <v>6.67</v>
      </c>
      <c r="CT520">
        <v>1.72</v>
      </c>
      <c r="CU520">
        <v>-45.35</v>
      </c>
      <c r="CV520">
        <v>27.31</v>
      </c>
      <c r="CW520">
        <v>0.17</v>
      </c>
      <c r="CX520" t="s">
        <v>1540</v>
      </c>
      <c r="CY520">
        <v>3.41</v>
      </c>
      <c r="CZ520">
        <v>0</v>
      </c>
      <c r="DA520">
        <v>1.4</v>
      </c>
      <c r="DB520">
        <v>0.88</v>
      </c>
      <c r="DC520">
        <v>-0.13</v>
      </c>
      <c r="DD520">
        <v>85.7</v>
      </c>
      <c r="DE520" t="s">
        <v>3324</v>
      </c>
      <c r="DF520">
        <v>68.64</v>
      </c>
      <c r="DG520">
        <v>19.579999999999998</v>
      </c>
      <c r="DH520">
        <v>17.38</v>
      </c>
      <c r="DI520">
        <v>0.15</v>
      </c>
      <c r="DJ520">
        <v>943</v>
      </c>
      <c r="DK520">
        <v>2093</v>
      </c>
      <c r="DL520" t="s">
        <v>120</v>
      </c>
      <c r="DM520" t="s">
        <v>120</v>
      </c>
      <c r="DN520" t="s">
        <v>120</v>
      </c>
    </row>
    <row r="521" spans="1:118">
      <c r="A521" t="str">
        <f>"002094"</f>
        <v>002094</v>
      </c>
      <c r="B521" t="s">
        <v>3325</v>
      </c>
      <c r="C521">
        <v>0.69</v>
      </c>
      <c r="D521">
        <v>-0.22</v>
      </c>
      <c r="E521">
        <v>-0.23</v>
      </c>
      <c r="F521">
        <v>1791</v>
      </c>
      <c r="G521" t="s">
        <v>3326</v>
      </c>
      <c r="H521">
        <v>10724.03</v>
      </c>
      <c r="I521">
        <v>20.77</v>
      </c>
      <c r="J521" t="s">
        <v>120</v>
      </c>
      <c r="K521" t="s">
        <v>3327</v>
      </c>
      <c r="L521">
        <v>3.5</v>
      </c>
      <c r="M521">
        <v>4.3499999999999996</v>
      </c>
      <c r="N521">
        <v>1.52</v>
      </c>
      <c r="O521">
        <v>6.02</v>
      </c>
      <c r="P521">
        <v>4.58</v>
      </c>
      <c r="Q521">
        <v>-0.23</v>
      </c>
      <c r="R521">
        <v>4.3099999999999996</v>
      </c>
      <c r="S521">
        <v>4.3099999999999996</v>
      </c>
      <c r="T521">
        <v>241844</v>
      </c>
      <c r="U521">
        <v>4.3600000000000003</v>
      </c>
      <c r="V521">
        <v>4.32</v>
      </c>
      <c r="W521">
        <v>47.53</v>
      </c>
      <c r="X521" t="s">
        <v>1817</v>
      </c>
      <c r="Y521" t="s">
        <v>638</v>
      </c>
      <c r="Z521">
        <v>6.25</v>
      </c>
      <c r="AA521">
        <v>4.43</v>
      </c>
      <c r="AB521">
        <v>115516</v>
      </c>
      <c r="AC521">
        <v>126328</v>
      </c>
      <c r="AD521">
        <v>0.91</v>
      </c>
      <c r="AE521">
        <v>621</v>
      </c>
      <c r="AF521">
        <v>1295</v>
      </c>
      <c r="AG521" t="s">
        <v>120</v>
      </c>
      <c r="AH521">
        <v>0.01</v>
      </c>
      <c r="AI521" t="s">
        <v>120</v>
      </c>
      <c r="AJ521">
        <v>6.9</v>
      </c>
      <c r="AK521" t="s">
        <v>3328</v>
      </c>
      <c r="AL521">
        <v>2.61</v>
      </c>
      <c r="AM521">
        <v>2769</v>
      </c>
      <c r="AN521">
        <v>87</v>
      </c>
      <c r="AO521">
        <v>1.2999999999999999E-3</v>
      </c>
      <c r="AP521">
        <v>2</v>
      </c>
      <c r="AQ521">
        <v>0.93</v>
      </c>
      <c r="AR521">
        <v>-0.46</v>
      </c>
      <c r="AS521">
        <v>-13.69</v>
      </c>
      <c r="AT521">
        <v>9.02</v>
      </c>
      <c r="AU521">
        <v>16.309999999999999</v>
      </c>
      <c r="AV521">
        <v>5</v>
      </c>
      <c r="AW521">
        <v>4.8899999999999997</v>
      </c>
      <c r="AX521">
        <v>71.61</v>
      </c>
      <c r="AY521" t="s">
        <v>120</v>
      </c>
      <c r="AZ521" t="s">
        <v>120</v>
      </c>
      <c r="BA521">
        <v>0.52</v>
      </c>
      <c r="BB521" t="s">
        <v>143</v>
      </c>
      <c r="BF521">
        <v>2.65</v>
      </c>
      <c r="BG521">
        <v>0.93</v>
      </c>
      <c r="BH521">
        <v>-5.0199999999999996</v>
      </c>
      <c r="BI521">
        <v>0.93</v>
      </c>
      <c r="BJ521">
        <v>20210902</v>
      </c>
      <c r="BK521">
        <v>20061215</v>
      </c>
      <c r="BL521">
        <v>6.91</v>
      </c>
      <c r="BM521" t="s">
        <v>120</v>
      </c>
      <c r="BN521" t="s">
        <v>120</v>
      </c>
      <c r="BO521">
        <v>49.09</v>
      </c>
      <c r="BP521">
        <v>4.3499999999999996</v>
      </c>
      <c r="BQ521">
        <v>24.79</v>
      </c>
      <c r="BR521">
        <v>2.93</v>
      </c>
      <c r="BS521">
        <v>43.52</v>
      </c>
      <c r="BT521">
        <v>36.06</v>
      </c>
      <c r="BU521">
        <v>2.11</v>
      </c>
      <c r="BV521">
        <v>0.81</v>
      </c>
      <c r="BW521">
        <v>21.04</v>
      </c>
      <c r="BX521">
        <v>10.130000000000001</v>
      </c>
      <c r="BY521">
        <v>7.39</v>
      </c>
      <c r="BZ521">
        <v>6.23</v>
      </c>
      <c r="CA521">
        <v>0.04</v>
      </c>
      <c r="CB521">
        <v>11.18</v>
      </c>
      <c r="CC521">
        <v>18.41</v>
      </c>
      <c r="CD521">
        <v>16.11</v>
      </c>
      <c r="CE521">
        <v>0.4</v>
      </c>
      <c r="CF521">
        <v>0.57999999999999996</v>
      </c>
      <c r="CG521">
        <v>0.41</v>
      </c>
      <c r="CH521">
        <v>0.27</v>
      </c>
      <c r="CI521">
        <v>0.32</v>
      </c>
      <c r="CJ521">
        <v>0.03</v>
      </c>
      <c r="CK521">
        <v>0.28999999999999998</v>
      </c>
      <c r="CL521">
        <v>5.17</v>
      </c>
      <c r="CM521">
        <v>-5.0199999999999996</v>
      </c>
      <c r="CN521">
        <v>-5.75</v>
      </c>
      <c r="CO521">
        <v>29266</v>
      </c>
      <c r="CP521">
        <v>16905</v>
      </c>
      <c r="CQ521" t="s">
        <v>1927</v>
      </c>
      <c r="CR521">
        <v>184.82</v>
      </c>
      <c r="CS521">
        <v>-6.03</v>
      </c>
      <c r="CT521">
        <v>1.21</v>
      </c>
      <c r="CU521">
        <v>-5.99</v>
      </c>
      <c r="CV521">
        <v>1.63</v>
      </c>
      <c r="CW521">
        <v>0</v>
      </c>
      <c r="CX521" t="s">
        <v>2068</v>
      </c>
      <c r="CY521">
        <v>3.59</v>
      </c>
      <c r="CZ521">
        <v>0</v>
      </c>
      <c r="DA521">
        <v>1.62</v>
      </c>
      <c r="DB521">
        <v>0.75</v>
      </c>
      <c r="DC521">
        <v>-0.73</v>
      </c>
      <c r="DD521">
        <v>50.51</v>
      </c>
      <c r="DE521" t="s">
        <v>3329</v>
      </c>
      <c r="DF521">
        <v>12.52</v>
      </c>
      <c r="DG521">
        <v>2.2000000000000002</v>
      </c>
      <c r="DH521">
        <v>1.72</v>
      </c>
      <c r="DI521">
        <v>0.15</v>
      </c>
      <c r="DJ521">
        <v>2799</v>
      </c>
      <c r="DK521">
        <v>2094</v>
      </c>
      <c r="DL521" t="s">
        <v>120</v>
      </c>
      <c r="DM521" t="s">
        <v>120</v>
      </c>
      <c r="DN521" t="s">
        <v>120</v>
      </c>
    </row>
    <row r="522" spans="1:118">
      <c r="A522" t="str">
        <f>"002095"</f>
        <v>002095</v>
      </c>
      <c r="B522" t="s">
        <v>3330</v>
      </c>
      <c r="C522">
        <v>0.15</v>
      </c>
      <c r="D522">
        <v>0</v>
      </c>
      <c r="E522">
        <v>-0.52</v>
      </c>
      <c r="F522">
        <v>76</v>
      </c>
      <c r="G522" t="s">
        <v>3331</v>
      </c>
      <c r="H522">
        <v>2039.12</v>
      </c>
      <c r="I522">
        <v>4.12</v>
      </c>
      <c r="J522" t="s">
        <v>120</v>
      </c>
      <c r="K522" t="s">
        <v>3332</v>
      </c>
      <c r="L522">
        <v>0.6</v>
      </c>
      <c r="M522">
        <v>13.38</v>
      </c>
      <c r="N522">
        <v>0.7</v>
      </c>
      <c r="O522">
        <v>2.77</v>
      </c>
      <c r="P522">
        <v>13.73</v>
      </c>
      <c r="Q522">
        <v>-0.52</v>
      </c>
      <c r="R522">
        <v>13.29</v>
      </c>
      <c r="S522">
        <v>13.29</v>
      </c>
      <c r="T522">
        <v>15112</v>
      </c>
      <c r="U522">
        <v>13.39</v>
      </c>
      <c r="V522">
        <v>13.36</v>
      </c>
      <c r="W522">
        <v>148.02000000000001</v>
      </c>
      <c r="X522" t="s">
        <v>1531</v>
      </c>
      <c r="Y522" t="s">
        <v>585</v>
      </c>
      <c r="Z522">
        <v>3.29</v>
      </c>
      <c r="AA522">
        <v>13.49</v>
      </c>
      <c r="AB522">
        <v>8340</v>
      </c>
      <c r="AC522">
        <v>6772</v>
      </c>
      <c r="AD522">
        <v>1.23</v>
      </c>
      <c r="AE522">
        <v>179</v>
      </c>
      <c r="AF522">
        <v>4</v>
      </c>
      <c r="AG522" t="s">
        <v>120</v>
      </c>
      <c r="AH522">
        <v>0</v>
      </c>
      <c r="AI522" t="s">
        <v>120</v>
      </c>
      <c r="AJ522">
        <v>2.52</v>
      </c>
      <c r="AK522" t="s">
        <v>3143</v>
      </c>
      <c r="AL522">
        <v>2.06</v>
      </c>
      <c r="AM522">
        <v>898</v>
      </c>
      <c r="AN522">
        <v>17</v>
      </c>
      <c r="AO522">
        <v>6.9999999999999999E-4</v>
      </c>
      <c r="AP522">
        <v>1</v>
      </c>
      <c r="AQ522">
        <v>-1.98</v>
      </c>
      <c r="AR522">
        <v>-3.39</v>
      </c>
      <c r="AS522">
        <v>6.19</v>
      </c>
      <c r="AT522">
        <v>-6.17</v>
      </c>
      <c r="AU522">
        <v>-8.16</v>
      </c>
      <c r="AV522">
        <v>2</v>
      </c>
      <c r="AW522">
        <v>1.23</v>
      </c>
      <c r="AX522">
        <v>48.55</v>
      </c>
      <c r="AY522">
        <v>96.25</v>
      </c>
      <c r="AZ522">
        <v>91.28</v>
      </c>
      <c r="BA522">
        <v>0.61</v>
      </c>
      <c r="BB522" t="s">
        <v>143</v>
      </c>
      <c r="BF522">
        <v>1</v>
      </c>
      <c r="BG522">
        <v>0.68</v>
      </c>
      <c r="BH522">
        <v>-2.5499999999999998</v>
      </c>
      <c r="BI522">
        <v>0.68</v>
      </c>
      <c r="BJ522">
        <v>20210831</v>
      </c>
      <c r="BK522">
        <v>20061215</v>
      </c>
      <c r="BL522">
        <v>2.5299999999999998</v>
      </c>
      <c r="BM522" t="s">
        <v>120</v>
      </c>
      <c r="BN522" t="s">
        <v>120</v>
      </c>
      <c r="BO522">
        <v>15.68</v>
      </c>
      <c r="BP522">
        <v>13.38</v>
      </c>
      <c r="BQ522">
        <v>9.23</v>
      </c>
      <c r="BR522">
        <v>2.59</v>
      </c>
      <c r="BS522">
        <v>24.64</v>
      </c>
      <c r="BT522">
        <v>14.06</v>
      </c>
      <c r="BU522">
        <v>0.59</v>
      </c>
      <c r="BV522">
        <v>0</v>
      </c>
      <c r="BW522">
        <v>3.67</v>
      </c>
      <c r="BX522">
        <v>8.18</v>
      </c>
      <c r="BY522">
        <v>0.08</v>
      </c>
      <c r="BZ522">
        <v>0.24</v>
      </c>
      <c r="CA522" t="s">
        <v>120</v>
      </c>
      <c r="CB522">
        <v>3.4</v>
      </c>
      <c r="CC522">
        <v>2.85</v>
      </c>
      <c r="CD522">
        <v>2.33</v>
      </c>
      <c r="CE522">
        <v>0.18</v>
      </c>
      <c r="CF522">
        <v>0</v>
      </c>
      <c r="CG522">
        <v>0.18</v>
      </c>
      <c r="CH522">
        <v>0.14000000000000001</v>
      </c>
      <c r="CI522">
        <v>0.11</v>
      </c>
      <c r="CJ522">
        <v>0.02</v>
      </c>
      <c r="CK522">
        <v>0.09</v>
      </c>
      <c r="CL522">
        <v>2.77</v>
      </c>
      <c r="CM522">
        <v>-0.57999999999999996</v>
      </c>
      <c r="CN522">
        <v>-0.36</v>
      </c>
      <c r="CO522">
        <v>33418</v>
      </c>
      <c r="CP522">
        <v>3672</v>
      </c>
      <c r="CQ522" t="s">
        <v>3333</v>
      </c>
      <c r="CR522">
        <v>-14.32</v>
      </c>
      <c r="CS522">
        <v>90.94</v>
      </c>
      <c r="CT522">
        <v>3.66</v>
      </c>
      <c r="CU522">
        <v>-58.51</v>
      </c>
      <c r="CV522">
        <v>11.88</v>
      </c>
      <c r="CW522">
        <v>0.37</v>
      </c>
      <c r="CX522" t="s">
        <v>1248</v>
      </c>
      <c r="CY522">
        <v>3.65</v>
      </c>
      <c r="CZ522">
        <v>0</v>
      </c>
      <c r="DA522">
        <v>1.35</v>
      </c>
      <c r="DB522">
        <v>1.1000000000000001</v>
      </c>
      <c r="DC522">
        <v>-0.23</v>
      </c>
      <c r="DD522">
        <v>58.85</v>
      </c>
      <c r="DE522" t="s">
        <v>3334</v>
      </c>
      <c r="DF522">
        <v>18.309999999999999</v>
      </c>
      <c r="DG522">
        <v>6.18</v>
      </c>
      <c r="DH522">
        <v>4.01</v>
      </c>
      <c r="DI522">
        <v>0.06</v>
      </c>
      <c r="DJ522">
        <v>546</v>
      </c>
      <c r="DK522">
        <v>2095</v>
      </c>
      <c r="DL522" t="s">
        <v>120</v>
      </c>
      <c r="DM522" t="s">
        <v>120</v>
      </c>
      <c r="DN522" t="s">
        <v>120</v>
      </c>
    </row>
    <row r="523" spans="1:118">
      <c r="A523" t="str">
        <f>"002096"</f>
        <v>002096</v>
      </c>
      <c r="B523" t="s">
        <v>3335</v>
      </c>
      <c r="C523">
        <v>-1.24</v>
      </c>
      <c r="D523">
        <v>0</v>
      </c>
      <c r="E523">
        <v>0.34</v>
      </c>
      <c r="F523">
        <v>849</v>
      </c>
      <c r="G523" t="s">
        <v>3336</v>
      </c>
      <c r="H523">
        <v>6314.99</v>
      </c>
      <c r="I523">
        <v>57.01</v>
      </c>
      <c r="J523" t="s">
        <v>120</v>
      </c>
      <c r="K523" t="s">
        <v>3337</v>
      </c>
      <c r="L523">
        <v>1.94</v>
      </c>
      <c r="M523">
        <v>8.74</v>
      </c>
      <c r="N523">
        <v>0.93</v>
      </c>
      <c r="O523">
        <v>0.9</v>
      </c>
      <c r="P523">
        <v>8.93</v>
      </c>
      <c r="Q523">
        <v>-2.15</v>
      </c>
      <c r="R523">
        <v>8.66</v>
      </c>
      <c r="S523">
        <v>8.8800000000000008</v>
      </c>
      <c r="T523">
        <v>71824</v>
      </c>
      <c r="U523">
        <v>8.74</v>
      </c>
      <c r="V523">
        <v>8.85</v>
      </c>
      <c r="W523">
        <v>78.72</v>
      </c>
      <c r="X523" t="s">
        <v>868</v>
      </c>
      <c r="Y523" t="s">
        <v>594</v>
      </c>
      <c r="Z523">
        <v>3.05</v>
      </c>
      <c r="AA523">
        <v>8.7899999999999991</v>
      </c>
      <c r="AB523">
        <v>44385</v>
      </c>
      <c r="AC523">
        <v>27439</v>
      </c>
      <c r="AD523">
        <v>1.62</v>
      </c>
      <c r="AE523">
        <v>124</v>
      </c>
      <c r="AF523">
        <v>371</v>
      </c>
      <c r="AG523" t="s">
        <v>120</v>
      </c>
      <c r="AH523">
        <v>0.05</v>
      </c>
      <c r="AI523" t="s">
        <v>120</v>
      </c>
      <c r="AJ523">
        <v>3.71</v>
      </c>
      <c r="AK523" t="s">
        <v>3338</v>
      </c>
      <c r="AL523">
        <v>0.67</v>
      </c>
      <c r="AM523">
        <v>2293</v>
      </c>
      <c r="AN523">
        <v>31</v>
      </c>
      <c r="AO523">
        <v>8.0000000000000004E-4</v>
      </c>
      <c r="AP523">
        <v>-1</v>
      </c>
      <c r="AQ523">
        <v>6.63</v>
      </c>
      <c r="AR523">
        <v>3.93</v>
      </c>
      <c r="AS523">
        <v>18.27</v>
      </c>
      <c r="AT523">
        <v>10.91</v>
      </c>
      <c r="AU523">
        <v>20.22</v>
      </c>
      <c r="AV523">
        <v>13</v>
      </c>
      <c r="AW523">
        <v>5.53</v>
      </c>
      <c r="AX523">
        <v>34.96</v>
      </c>
      <c r="AY523">
        <v>135.6</v>
      </c>
      <c r="AZ523">
        <v>163.31</v>
      </c>
      <c r="BA523">
        <v>0.49</v>
      </c>
      <c r="BB523" t="s">
        <v>168</v>
      </c>
      <c r="BF523">
        <v>-0.65</v>
      </c>
      <c r="BG523">
        <v>-1.58</v>
      </c>
      <c r="BH523">
        <v>-2.13</v>
      </c>
      <c r="BI523">
        <v>0.92</v>
      </c>
      <c r="BJ523">
        <v>20210821</v>
      </c>
      <c r="BK523">
        <v>20061222</v>
      </c>
      <c r="BL523">
        <v>3.71</v>
      </c>
      <c r="BM523" t="s">
        <v>120</v>
      </c>
      <c r="BN523" t="s">
        <v>120</v>
      </c>
      <c r="BO523">
        <v>38.1</v>
      </c>
      <c r="BP523">
        <v>8.73</v>
      </c>
      <c r="BQ523">
        <v>20.51</v>
      </c>
      <c r="BR523">
        <v>0.45</v>
      </c>
      <c r="BS523">
        <v>44.99</v>
      </c>
      <c r="BT523">
        <v>15.22</v>
      </c>
      <c r="BU523">
        <v>11.02</v>
      </c>
      <c r="BV523">
        <v>3.64</v>
      </c>
      <c r="BW523">
        <v>14.35</v>
      </c>
      <c r="BX523">
        <v>5.09</v>
      </c>
      <c r="BY523">
        <v>2.52</v>
      </c>
      <c r="BZ523">
        <v>4.43</v>
      </c>
      <c r="CA523" t="s">
        <v>120</v>
      </c>
      <c r="CB523">
        <v>5.55</v>
      </c>
      <c r="CC523">
        <v>8.56</v>
      </c>
      <c r="CD523">
        <v>5.75</v>
      </c>
      <c r="CE523">
        <v>0.27</v>
      </c>
      <c r="CF523">
        <v>0.05</v>
      </c>
      <c r="CG523">
        <v>0.25</v>
      </c>
      <c r="CH523">
        <v>0.21</v>
      </c>
      <c r="CI523">
        <v>0.21</v>
      </c>
      <c r="CJ523">
        <v>-0.11</v>
      </c>
      <c r="CK523">
        <v>0.14000000000000001</v>
      </c>
      <c r="CL523">
        <v>9.94</v>
      </c>
      <c r="CM523">
        <v>0.12</v>
      </c>
      <c r="CN523">
        <v>-1.92</v>
      </c>
      <c r="CO523">
        <v>22161</v>
      </c>
      <c r="CP523">
        <v>5858</v>
      </c>
      <c r="CQ523" t="s">
        <v>3339</v>
      </c>
      <c r="CR523">
        <v>24.92</v>
      </c>
      <c r="CS523">
        <v>-7.66</v>
      </c>
      <c r="CT523">
        <v>1.58</v>
      </c>
      <c r="CU523">
        <v>268.77</v>
      </c>
      <c r="CV523">
        <v>3.79</v>
      </c>
      <c r="CW523">
        <v>0.23</v>
      </c>
      <c r="CX523" t="s">
        <v>3340</v>
      </c>
      <c r="CY523">
        <v>5.52</v>
      </c>
      <c r="CZ523">
        <v>0</v>
      </c>
      <c r="DA523">
        <v>1.5</v>
      </c>
      <c r="DB523">
        <v>2.68</v>
      </c>
      <c r="DC523">
        <v>0.03</v>
      </c>
      <c r="DD523">
        <v>53.82</v>
      </c>
      <c r="DE523" t="s">
        <v>3341</v>
      </c>
      <c r="DF523">
        <v>32.909999999999997</v>
      </c>
      <c r="DG523">
        <v>3.11</v>
      </c>
      <c r="DH523">
        <v>2.41</v>
      </c>
      <c r="DI523">
        <v>0.35</v>
      </c>
      <c r="DJ523">
        <v>5080</v>
      </c>
      <c r="DK523">
        <v>2096</v>
      </c>
      <c r="DL523" t="s">
        <v>120</v>
      </c>
      <c r="DM523" t="s">
        <v>120</v>
      </c>
      <c r="DN523" t="s">
        <v>120</v>
      </c>
    </row>
    <row r="524" spans="1:118">
      <c r="A524" t="str">
        <f>"002097"</f>
        <v>002097</v>
      </c>
      <c r="B524" t="s">
        <v>3342</v>
      </c>
      <c r="C524">
        <v>-5.52</v>
      </c>
      <c r="D524">
        <v>-0.08</v>
      </c>
      <c r="E524">
        <v>-1.04</v>
      </c>
      <c r="F524">
        <v>3698</v>
      </c>
      <c r="G524" t="s">
        <v>3343</v>
      </c>
      <c r="H524">
        <v>42898.8</v>
      </c>
      <c r="I524">
        <v>485.18</v>
      </c>
      <c r="J524" t="s">
        <v>120</v>
      </c>
      <c r="K524" t="s">
        <v>3344</v>
      </c>
      <c r="L524">
        <v>3.91</v>
      </c>
      <c r="M524">
        <v>10.95</v>
      </c>
      <c r="N524">
        <v>0.97</v>
      </c>
      <c r="O524">
        <v>-0.78</v>
      </c>
      <c r="P524">
        <v>11.5</v>
      </c>
      <c r="Q524">
        <v>-5.52</v>
      </c>
      <c r="R524">
        <v>10.95</v>
      </c>
      <c r="S524">
        <v>11.47</v>
      </c>
      <c r="T524">
        <v>381328</v>
      </c>
      <c r="U524">
        <v>10.96</v>
      </c>
      <c r="V524">
        <v>11.59</v>
      </c>
      <c r="W524">
        <v>11.2</v>
      </c>
      <c r="X524" t="s">
        <v>593</v>
      </c>
      <c r="Y524" t="s">
        <v>594</v>
      </c>
      <c r="Z524">
        <v>4.75</v>
      </c>
      <c r="AA524">
        <v>11.25</v>
      </c>
      <c r="AB524">
        <v>227997</v>
      </c>
      <c r="AC524">
        <v>153331</v>
      </c>
      <c r="AD524">
        <v>1.49</v>
      </c>
      <c r="AE524">
        <v>124</v>
      </c>
      <c r="AF524">
        <v>1332</v>
      </c>
      <c r="AG524" t="s">
        <v>120</v>
      </c>
      <c r="AH524">
        <v>0.06</v>
      </c>
      <c r="AI524" t="s">
        <v>120</v>
      </c>
      <c r="AJ524">
        <v>9.74</v>
      </c>
      <c r="AK524" t="s">
        <v>3345</v>
      </c>
      <c r="AL524">
        <v>-3.61</v>
      </c>
      <c r="AM524">
        <v>4060</v>
      </c>
      <c r="AN524">
        <v>94</v>
      </c>
      <c r="AO524">
        <v>1E-3</v>
      </c>
      <c r="AP524">
        <v>-1</v>
      </c>
      <c r="AQ524">
        <v>5.56</v>
      </c>
      <c r="AR524">
        <v>1.3</v>
      </c>
      <c r="AS524">
        <v>7.25</v>
      </c>
      <c r="AT524">
        <v>29.12</v>
      </c>
      <c r="AU524">
        <v>39.340000000000003</v>
      </c>
      <c r="AV524">
        <v>3</v>
      </c>
      <c r="AW524">
        <v>5.71</v>
      </c>
      <c r="AX524">
        <v>61.38</v>
      </c>
      <c r="AY524">
        <v>18.059999999999999</v>
      </c>
      <c r="AZ524">
        <v>22.31</v>
      </c>
      <c r="BA524">
        <v>0.62</v>
      </c>
      <c r="BB524" t="s">
        <v>143</v>
      </c>
      <c r="BF524">
        <v>-2.94</v>
      </c>
      <c r="BG524">
        <v>-4.53</v>
      </c>
      <c r="BH524">
        <v>-4.78</v>
      </c>
      <c r="BI524">
        <v>0</v>
      </c>
      <c r="BJ524">
        <v>20210908</v>
      </c>
      <c r="BK524">
        <v>20061222</v>
      </c>
      <c r="BL524">
        <v>10.87</v>
      </c>
      <c r="BM524" t="s">
        <v>120</v>
      </c>
      <c r="BN524" t="s">
        <v>120</v>
      </c>
      <c r="BO524">
        <v>192.05</v>
      </c>
      <c r="BP524">
        <v>10.95</v>
      </c>
      <c r="BQ524">
        <v>57.51</v>
      </c>
      <c r="BR524">
        <v>1.67</v>
      </c>
      <c r="BS524">
        <v>69.180000000000007</v>
      </c>
      <c r="BT524">
        <v>125.96</v>
      </c>
      <c r="BU524">
        <v>43.88</v>
      </c>
      <c r="BV524">
        <v>7.4</v>
      </c>
      <c r="BW524">
        <v>94.66</v>
      </c>
      <c r="BX524">
        <v>28.12</v>
      </c>
      <c r="BY524">
        <v>30.17</v>
      </c>
      <c r="BZ524">
        <v>47.56</v>
      </c>
      <c r="CA524" t="s">
        <v>120</v>
      </c>
      <c r="CB524">
        <v>23.65</v>
      </c>
      <c r="CC524">
        <v>68.87</v>
      </c>
      <c r="CD524">
        <v>51.91</v>
      </c>
      <c r="CE524">
        <v>6.39</v>
      </c>
      <c r="CF524">
        <v>-0.27</v>
      </c>
      <c r="CG524">
        <v>6.44</v>
      </c>
      <c r="CH524">
        <v>5.33</v>
      </c>
      <c r="CI524">
        <v>5.32</v>
      </c>
      <c r="CJ524">
        <v>-0.64</v>
      </c>
      <c r="CK524">
        <v>4.6399999999999997</v>
      </c>
      <c r="CL524">
        <v>22.09</v>
      </c>
      <c r="CM524">
        <v>6.11</v>
      </c>
      <c r="CN524">
        <v>-4.55</v>
      </c>
      <c r="CO524">
        <v>78167</v>
      </c>
      <c r="CP524">
        <v>8538</v>
      </c>
      <c r="CQ524" t="s">
        <v>3346</v>
      </c>
      <c r="CR524">
        <v>33.36</v>
      </c>
      <c r="CS524">
        <v>57.24</v>
      </c>
      <c r="CT524">
        <v>2.0699999999999998</v>
      </c>
      <c r="CU524">
        <v>19.489999999999998</v>
      </c>
      <c r="CV524">
        <v>1.73</v>
      </c>
      <c r="CW524">
        <v>0.86</v>
      </c>
      <c r="CX524" t="s">
        <v>3347</v>
      </c>
      <c r="CY524">
        <v>5.29</v>
      </c>
      <c r="CZ524">
        <v>0</v>
      </c>
      <c r="DA524">
        <v>2.1800000000000002</v>
      </c>
      <c r="DB524">
        <v>2.0299999999999998</v>
      </c>
      <c r="DC524">
        <v>0.56000000000000005</v>
      </c>
      <c r="DD524">
        <v>29.95</v>
      </c>
      <c r="DE524" t="s">
        <v>2702</v>
      </c>
      <c r="DF524">
        <v>24.63</v>
      </c>
      <c r="DG524">
        <v>9.2799999999999994</v>
      </c>
      <c r="DH524">
        <v>7.72</v>
      </c>
      <c r="DI524">
        <v>1.49</v>
      </c>
      <c r="DJ524">
        <v>5706</v>
      </c>
      <c r="DK524">
        <v>2097</v>
      </c>
      <c r="DL524" t="s">
        <v>120</v>
      </c>
      <c r="DM524" t="s">
        <v>120</v>
      </c>
      <c r="DN524" t="s">
        <v>120</v>
      </c>
    </row>
    <row r="525" spans="1:118">
      <c r="A525" t="str">
        <f>"002098"</f>
        <v>002098</v>
      </c>
      <c r="B525" t="s">
        <v>3348</v>
      </c>
      <c r="C525">
        <v>-1.36</v>
      </c>
      <c r="D525">
        <v>-0.14000000000000001</v>
      </c>
      <c r="E525">
        <v>0.15</v>
      </c>
      <c r="F525">
        <v>653</v>
      </c>
      <c r="G525" t="s">
        <v>3349</v>
      </c>
      <c r="H525">
        <v>1932.16</v>
      </c>
      <c r="I525">
        <v>0.99</v>
      </c>
      <c r="J525" t="s">
        <v>120</v>
      </c>
      <c r="K525" t="s">
        <v>3350</v>
      </c>
      <c r="L525">
        <v>0.82</v>
      </c>
      <c r="M525">
        <v>6.51</v>
      </c>
      <c r="N525">
        <v>0.64</v>
      </c>
      <c r="O525">
        <v>1.67</v>
      </c>
      <c r="P525">
        <v>6.71</v>
      </c>
      <c r="Q525">
        <v>-1.52</v>
      </c>
      <c r="R525">
        <v>6.5</v>
      </c>
      <c r="S525">
        <v>6.61</v>
      </c>
      <c r="T525">
        <v>29354</v>
      </c>
      <c r="U525">
        <v>6.51</v>
      </c>
      <c r="V525">
        <v>6.6</v>
      </c>
      <c r="W525">
        <v>15.96</v>
      </c>
      <c r="X525" t="s">
        <v>2806</v>
      </c>
      <c r="Y525" t="s">
        <v>937</v>
      </c>
      <c r="Z525">
        <v>3.18</v>
      </c>
      <c r="AA525">
        <v>6.58</v>
      </c>
      <c r="AB525">
        <v>17030</v>
      </c>
      <c r="AC525">
        <v>12324</v>
      </c>
      <c r="AD525">
        <v>1.38</v>
      </c>
      <c r="AE525">
        <v>505</v>
      </c>
      <c r="AF525">
        <v>6432</v>
      </c>
      <c r="AG525" t="s">
        <v>120</v>
      </c>
      <c r="AH525">
        <v>0</v>
      </c>
      <c r="AI525" t="s">
        <v>120</v>
      </c>
      <c r="AJ525">
        <v>3.58</v>
      </c>
      <c r="AK525" t="s">
        <v>3350</v>
      </c>
      <c r="AL525">
        <v>0.55000000000000004</v>
      </c>
      <c r="AM525">
        <v>1031</v>
      </c>
      <c r="AN525">
        <v>28</v>
      </c>
      <c r="AO525">
        <v>8.0000000000000004E-4</v>
      </c>
      <c r="AP525">
        <v>-1</v>
      </c>
      <c r="AQ525">
        <v>1.23</v>
      </c>
      <c r="AR525">
        <v>-3.7</v>
      </c>
      <c r="AS525">
        <v>-5.52</v>
      </c>
      <c r="AT525">
        <v>12.82</v>
      </c>
      <c r="AU525">
        <v>14.62</v>
      </c>
      <c r="AV525">
        <v>3</v>
      </c>
      <c r="AW525">
        <v>2</v>
      </c>
      <c r="AX525">
        <v>41.01</v>
      </c>
      <c r="AY525">
        <v>9.98</v>
      </c>
      <c r="AZ525">
        <v>11.79</v>
      </c>
      <c r="BA525">
        <v>0.35</v>
      </c>
      <c r="BB525" t="s">
        <v>143</v>
      </c>
      <c r="BF525">
        <v>-0.27</v>
      </c>
      <c r="BG525">
        <v>-1.51</v>
      </c>
      <c r="BH525">
        <v>-2.98</v>
      </c>
      <c r="BI525">
        <v>0.15</v>
      </c>
      <c r="BJ525">
        <v>20210830</v>
      </c>
      <c r="BK525">
        <v>20061222</v>
      </c>
      <c r="BL525">
        <v>3.58</v>
      </c>
      <c r="BM525" t="s">
        <v>120</v>
      </c>
      <c r="BN525" t="s">
        <v>120</v>
      </c>
      <c r="BO525">
        <v>21.7</v>
      </c>
      <c r="BP525">
        <v>6.5</v>
      </c>
      <c r="BQ525">
        <v>8.92</v>
      </c>
      <c r="BR525">
        <v>0.91</v>
      </c>
      <c r="BS525">
        <v>54.7</v>
      </c>
      <c r="BT525">
        <v>10.92</v>
      </c>
      <c r="BU525">
        <v>5.84</v>
      </c>
      <c r="BV525">
        <v>0.97</v>
      </c>
      <c r="BW525">
        <v>10.58</v>
      </c>
      <c r="BX525">
        <v>2.78</v>
      </c>
      <c r="BY525">
        <v>3.27</v>
      </c>
      <c r="BZ525">
        <v>4.24</v>
      </c>
      <c r="CA525">
        <v>0.04</v>
      </c>
      <c r="CB525">
        <v>3.13</v>
      </c>
      <c r="CC525">
        <v>9.73</v>
      </c>
      <c r="CD525">
        <v>6.08</v>
      </c>
      <c r="CE525">
        <v>0.85</v>
      </c>
      <c r="CF525">
        <v>0.01</v>
      </c>
      <c r="CG525">
        <v>0.83</v>
      </c>
      <c r="CH525">
        <v>0.76</v>
      </c>
      <c r="CI525">
        <v>0.73</v>
      </c>
      <c r="CJ525">
        <v>-0.09</v>
      </c>
      <c r="CK525">
        <v>0.68</v>
      </c>
      <c r="CL525">
        <v>1.52</v>
      </c>
      <c r="CM525">
        <v>-0.23</v>
      </c>
      <c r="CN525">
        <v>-1.42</v>
      </c>
      <c r="CO525">
        <v>19858</v>
      </c>
      <c r="CP525">
        <v>7393</v>
      </c>
      <c r="CQ525" t="s">
        <v>3351</v>
      </c>
      <c r="CR525">
        <v>98.97</v>
      </c>
      <c r="CS525">
        <v>30.23</v>
      </c>
      <c r="CT525">
        <v>2.61</v>
      </c>
      <c r="CU525">
        <v>-99.6</v>
      </c>
      <c r="CV525">
        <v>2.4</v>
      </c>
      <c r="CW525">
        <v>0</v>
      </c>
      <c r="CX525" t="s">
        <v>573</v>
      </c>
      <c r="CY525">
        <v>2.4900000000000002</v>
      </c>
      <c r="CZ525">
        <v>0</v>
      </c>
      <c r="DA525">
        <v>0.87</v>
      </c>
      <c r="DB525">
        <v>0.42</v>
      </c>
      <c r="DC525">
        <v>-7.0000000000000007E-2</v>
      </c>
      <c r="DD525">
        <v>41.09</v>
      </c>
      <c r="DE525" t="s">
        <v>3352</v>
      </c>
      <c r="DF525">
        <v>37.47</v>
      </c>
      <c r="DG525">
        <v>8.76</v>
      </c>
      <c r="DH525">
        <v>7.51</v>
      </c>
      <c r="DI525">
        <v>0.42</v>
      </c>
      <c r="DJ525">
        <v>4165</v>
      </c>
      <c r="DK525">
        <v>2098</v>
      </c>
      <c r="DL525" t="s">
        <v>120</v>
      </c>
      <c r="DM525" t="s">
        <v>120</v>
      </c>
      <c r="DN525" t="s">
        <v>120</v>
      </c>
    </row>
    <row r="526" spans="1:118">
      <c r="A526" t="str">
        <f>"002099"</f>
        <v>002099</v>
      </c>
      <c r="B526" t="s">
        <v>3353</v>
      </c>
      <c r="C526">
        <v>-0.65</v>
      </c>
      <c r="D526">
        <v>0.93</v>
      </c>
      <c r="E526">
        <v>0</v>
      </c>
      <c r="F526">
        <v>3502</v>
      </c>
      <c r="G526" t="s">
        <v>3354</v>
      </c>
      <c r="H526">
        <v>9688.44</v>
      </c>
      <c r="I526">
        <v>6.89</v>
      </c>
      <c r="J526" t="s">
        <v>120</v>
      </c>
      <c r="K526" t="s">
        <v>3355</v>
      </c>
      <c r="L526">
        <v>0.79</v>
      </c>
      <c r="M526">
        <v>7.6</v>
      </c>
      <c r="N526">
        <v>1.0900000000000001</v>
      </c>
      <c r="O526">
        <v>0.52</v>
      </c>
      <c r="P526">
        <v>7.69</v>
      </c>
      <c r="Q526">
        <v>-2.48</v>
      </c>
      <c r="R526">
        <v>7.46</v>
      </c>
      <c r="S526">
        <v>7.65</v>
      </c>
      <c r="T526">
        <v>127823</v>
      </c>
      <c r="U526">
        <v>7.6</v>
      </c>
      <c r="V526">
        <v>7.65</v>
      </c>
      <c r="W526">
        <v>101.66</v>
      </c>
      <c r="X526" t="s">
        <v>569</v>
      </c>
      <c r="Y526" t="s">
        <v>585</v>
      </c>
      <c r="Z526">
        <v>3.01</v>
      </c>
      <c r="AA526">
        <v>7.58</v>
      </c>
      <c r="AB526">
        <v>72825</v>
      </c>
      <c r="AC526">
        <v>54998</v>
      </c>
      <c r="AD526">
        <v>1.32</v>
      </c>
      <c r="AE526">
        <v>1</v>
      </c>
      <c r="AF526">
        <v>1204</v>
      </c>
      <c r="AG526" t="s">
        <v>120</v>
      </c>
      <c r="AH526">
        <v>0</v>
      </c>
      <c r="AI526" t="s">
        <v>120</v>
      </c>
      <c r="AJ526">
        <v>16.09</v>
      </c>
      <c r="AK526" t="s">
        <v>3356</v>
      </c>
      <c r="AL526">
        <v>1.26</v>
      </c>
      <c r="AM526">
        <v>2007</v>
      </c>
      <c r="AN526">
        <v>64</v>
      </c>
      <c r="AO526">
        <v>4.0000000000000002E-4</v>
      </c>
      <c r="AP526">
        <v>-6</v>
      </c>
      <c r="AQ526">
        <v>-1.54</v>
      </c>
      <c r="AR526">
        <v>-2.56</v>
      </c>
      <c r="AS526">
        <v>-14.6</v>
      </c>
      <c r="AT526">
        <v>-3.55</v>
      </c>
      <c r="AU526">
        <v>-10.38</v>
      </c>
      <c r="AV526">
        <v>1</v>
      </c>
      <c r="AW526">
        <v>1.37</v>
      </c>
      <c r="AX526">
        <v>57.83</v>
      </c>
      <c r="AY526">
        <v>108.03</v>
      </c>
      <c r="AZ526">
        <v>38.729999999999997</v>
      </c>
      <c r="BA526">
        <v>0.27</v>
      </c>
      <c r="BB526" t="s">
        <v>125</v>
      </c>
      <c r="BF526">
        <v>-0.92</v>
      </c>
      <c r="BG526">
        <v>-0.65</v>
      </c>
      <c r="BH526">
        <v>-1.17</v>
      </c>
      <c r="BI526">
        <v>1.88</v>
      </c>
      <c r="BJ526">
        <v>20210902</v>
      </c>
      <c r="BK526">
        <v>20061226</v>
      </c>
      <c r="BL526">
        <v>16.190000000000001</v>
      </c>
      <c r="BM526" t="s">
        <v>120</v>
      </c>
      <c r="BN526" t="s">
        <v>120</v>
      </c>
      <c r="BO526">
        <v>77.150000000000006</v>
      </c>
      <c r="BP526">
        <v>7.57</v>
      </c>
      <c r="BQ526">
        <v>59.93</v>
      </c>
      <c r="BR526">
        <v>-0.01</v>
      </c>
      <c r="BS526">
        <v>22.33</v>
      </c>
      <c r="BT526">
        <v>36.25</v>
      </c>
      <c r="BU526">
        <v>20.07</v>
      </c>
      <c r="BV526">
        <v>5.0199999999999996</v>
      </c>
      <c r="BW526">
        <v>15.67</v>
      </c>
      <c r="BX526">
        <v>22.08</v>
      </c>
      <c r="BY526">
        <v>7.63</v>
      </c>
      <c r="BZ526">
        <v>4.76</v>
      </c>
      <c r="CA526" t="s">
        <v>120</v>
      </c>
      <c r="CB526">
        <v>27.56</v>
      </c>
      <c r="CC526">
        <v>11.89</v>
      </c>
      <c r="CD526">
        <v>7.27</v>
      </c>
      <c r="CE526">
        <v>0.72</v>
      </c>
      <c r="CF526">
        <v>0</v>
      </c>
      <c r="CG526">
        <v>0.73</v>
      </c>
      <c r="CH526">
        <v>0.6</v>
      </c>
      <c r="CI526">
        <v>0.61</v>
      </c>
      <c r="CJ526">
        <v>-0.05</v>
      </c>
      <c r="CK526">
        <v>0.38</v>
      </c>
      <c r="CL526">
        <v>13.91</v>
      </c>
      <c r="CM526">
        <v>1.74</v>
      </c>
      <c r="CN526">
        <v>2.23</v>
      </c>
      <c r="CO526">
        <v>34249</v>
      </c>
      <c r="CP526">
        <v>27334</v>
      </c>
      <c r="CQ526" t="s">
        <v>3357</v>
      </c>
      <c r="CR526">
        <v>-77.22</v>
      </c>
      <c r="CS526">
        <v>-9.1</v>
      </c>
      <c r="CT526">
        <v>2.0499999999999998</v>
      </c>
      <c r="CU526">
        <v>70.73</v>
      </c>
      <c r="CV526">
        <v>10.35</v>
      </c>
      <c r="CW526">
        <v>0.26</v>
      </c>
      <c r="CX526" t="s">
        <v>145</v>
      </c>
      <c r="CY526">
        <v>3.7</v>
      </c>
      <c r="CZ526">
        <v>0</v>
      </c>
      <c r="DA526">
        <v>1.7</v>
      </c>
      <c r="DB526">
        <v>0.86</v>
      </c>
      <c r="DC526">
        <v>0.11</v>
      </c>
      <c r="DD526">
        <v>77.680000000000007</v>
      </c>
      <c r="DE526" t="s">
        <v>3341</v>
      </c>
      <c r="DF526">
        <v>38.840000000000003</v>
      </c>
      <c r="DG526">
        <v>6.08</v>
      </c>
      <c r="DH526">
        <v>5.09</v>
      </c>
      <c r="DI526">
        <v>0.82</v>
      </c>
      <c r="DJ526">
        <v>3282</v>
      </c>
      <c r="DK526">
        <v>2099</v>
      </c>
      <c r="DL526" t="s">
        <v>120</v>
      </c>
      <c r="DM526" t="s">
        <v>120</v>
      </c>
      <c r="DN526" t="s">
        <v>120</v>
      </c>
    </row>
    <row r="527" spans="1:118">
      <c r="A527" t="str">
        <f>"002100"</f>
        <v>002100</v>
      </c>
      <c r="B527" t="s">
        <v>3358</v>
      </c>
      <c r="C527">
        <v>10.039999999999999</v>
      </c>
      <c r="D527">
        <v>0</v>
      </c>
      <c r="E527">
        <v>0.65</v>
      </c>
      <c r="F527">
        <v>1506</v>
      </c>
      <c r="G527" t="s">
        <v>3359</v>
      </c>
      <c r="H527">
        <v>59895.79</v>
      </c>
      <c r="I527">
        <v>54.12</v>
      </c>
      <c r="J527">
        <v>1121</v>
      </c>
      <c r="K527" t="s">
        <v>3360</v>
      </c>
      <c r="L527">
        <v>6.72</v>
      </c>
      <c r="M527">
        <v>8.44</v>
      </c>
      <c r="N527">
        <v>6.58</v>
      </c>
      <c r="O527">
        <v>10.039999999999999</v>
      </c>
      <c r="P527">
        <v>8.44</v>
      </c>
      <c r="Q527">
        <v>0.13</v>
      </c>
      <c r="R527">
        <v>7.68</v>
      </c>
      <c r="S527">
        <v>7.72</v>
      </c>
      <c r="T527">
        <v>723490</v>
      </c>
      <c r="U527" t="s">
        <v>120</v>
      </c>
      <c r="V527">
        <v>7.67</v>
      </c>
      <c r="W527">
        <v>18.82</v>
      </c>
      <c r="X527" t="s">
        <v>386</v>
      </c>
      <c r="Y527" t="s">
        <v>609</v>
      </c>
      <c r="Z527">
        <v>9.91</v>
      </c>
      <c r="AA527">
        <v>8.2799999999999994</v>
      </c>
      <c r="AB527">
        <v>342589</v>
      </c>
      <c r="AC527">
        <v>380901</v>
      </c>
      <c r="AD527">
        <v>0.9</v>
      </c>
      <c r="AE527">
        <v>13282</v>
      </c>
      <c r="AF527">
        <v>0</v>
      </c>
      <c r="AG527" t="s">
        <v>120</v>
      </c>
      <c r="AH527">
        <v>0.01</v>
      </c>
      <c r="AI527">
        <v>0.02</v>
      </c>
      <c r="AJ527">
        <v>10.76</v>
      </c>
      <c r="AK527" t="s">
        <v>3360</v>
      </c>
      <c r="AL527">
        <v>11.95</v>
      </c>
      <c r="AM527">
        <v>4101</v>
      </c>
      <c r="AN527">
        <v>176</v>
      </c>
      <c r="AO527">
        <v>1.6000000000000001E-3</v>
      </c>
      <c r="AP527">
        <v>2</v>
      </c>
      <c r="AQ527">
        <v>0.66</v>
      </c>
      <c r="AR527">
        <v>7.8</v>
      </c>
      <c r="AS527">
        <v>12.83</v>
      </c>
      <c r="AT527">
        <v>-2.2000000000000002</v>
      </c>
      <c r="AU527">
        <v>-16.68</v>
      </c>
      <c r="AV527">
        <v>2</v>
      </c>
      <c r="AW527">
        <v>10.94</v>
      </c>
      <c r="AX527">
        <v>61.42</v>
      </c>
      <c r="AY527">
        <v>7.32</v>
      </c>
      <c r="AZ527">
        <v>4.8</v>
      </c>
      <c r="BA527">
        <v>0.73</v>
      </c>
      <c r="BB527" t="s">
        <v>143</v>
      </c>
      <c r="BF527">
        <v>7.94</v>
      </c>
      <c r="BG527">
        <v>9.33</v>
      </c>
      <c r="BH527">
        <v>0</v>
      </c>
      <c r="BI527">
        <v>9.9</v>
      </c>
      <c r="BJ527">
        <v>20210914</v>
      </c>
      <c r="BK527">
        <v>20061226</v>
      </c>
      <c r="BL527">
        <v>10.76</v>
      </c>
      <c r="BM527" t="s">
        <v>120</v>
      </c>
      <c r="BN527" t="s">
        <v>120</v>
      </c>
      <c r="BO527">
        <v>142.88999999999999</v>
      </c>
      <c r="BP527">
        <v>8.44</v>
      </c>
      <c r="BQ527">
        <v>60.39</v>
      </c>
      <c r="BR527">
        <v>7.24</v>
      </c>
      <c r="BS527">
        <v>52.67</v>
      </c>
      <c r="BT527">
        <v>84.85</v>
      </c>
      <c r="BU527">
        <v>38.25</v>
      </c>
      <c r="BV527">
        <v>2.5</v>
      </c>
      <c r="BW527">
        <v>51.48</v>
      </c>
      <c r="BX527">
        <v>17.82</v>
      </c>
      <c r="BY527">
        <v>47.79</v>
      </c>
      <c r="BZ527">
        <v>4.5999999999999996</v>
      </c>
      <c r="CA527" t="s">
        <v>120</v>
      </c>
      <c r="CB527">
        <v>15.15</v>
      </c>
      <c r="CC527">
        <v>79.17</v>
      </c>
      <c r="CD527">
        <v>64.81</v>
      </c>
      <c r="CE527">
        <v>3.55</v>
      </c>
      <c r="CF527">
        <v>0.23</v>
      </c>
      <c r="CG527">
        <v>3.41</v>
      </c>
      <c r="CH527">
        <v>3.05</v>
      </c>
      <c r="CI527">
        <v>2.41</v>
      </c>
      <c r="CJ527">
        <v>0.77</v>
      </c>
      <c r="CK527">
        <v>2.64</v>
      </c>
      <c r="CL527">
        <v>31.98</v>
      </c>
      <c r="CM527">
        <v>29.07</v>
      </c>
      <c r="CN527">
        <v>-3.55</v>
      </c>
      <c r="CO527">
        <v>91935</v>
      </c>
      <c r="CP527">
        <v>7190</v>
      </c>
      <c r="CQ527" t="s">
        <v>1035</v>
      </c>
      <c r="CR527">
        <v>-71.05</v>
      </c>
      <c r="CS527">
        <v>68.319999999999993</v>
      </c>
      <c r="CT527">
        <v>1.51</v>
      </c>
      <c r="CU527">
        <v>3.12</v>
      </c>
      <c r="CV527">
        <v>1.1499999999999999</v>
      </c>
      <c r="CW527">
        <v>5.99</v>
      </c>
      <c r="CX527" t="s">
        <v>3361</v>
      </c>
      <c r="CY527">
        <v>5.61</v>
      </c>
      <c r="CZ527">
        <v>5.61</v>
      </c>
      <c r="DA527">
        <v>1.41</v>
      </c>
      <c r="DB527">
        <v>2.97</v>
      </c>
      <c r="DC527">
        <v>2.7</v>
      </c>
      <c r="DD527">
        <v>42.26</v>
      </c>
      <c r="DE527" t="s">
        <v>2417</v>
      </c>
      <c r="DF527">
        <v>18.13</v>
      </c>
      <c r="DG527">
        <v>4.4800000000000004</v>
      </c>
      <c r="DH527">
        <v>3.05</v>
      </c>
      <c r="DI527">
        <v>0.63</v>
      </c>
      <c r="DJ527">
        <v>3324</v>
      </c>
      <c r="DK527">
        <v>2100</v>
      </c>
      <c r="DL527">
        <v>20210916</v>
      </c>
      <c r="DM527">
        <v>8.43</v>
      </c>
      <c r="DN527">
        <v>0.12</v>
      </c>
    </row>
    <row r="528" spans="1:118">
      <c r="A528" t="str">
        <f>"002101"</f>
        <v>002101</v>
      </c>
      <c r="B528" t="s">
        <v>3362</v>
      </c>
      <c r="C528">
        <v>-1.48</v>
      </c>
      <c r="D528">
        <v>0</v>
      </c>
      <c r="E528">
        <v>0</v>
      </c>
      <c r="F528">
        <v>436</v>
      </c>
      <c r="G528" t="s">
        <v>3363</v>
      </c>
      <c r="H528">
        <v>5323.86</v>
      </c>
      <c r="I528">
        <v>1.21</v>
      </c>
      <c r="J528" t="s">
        <v>120</v>
      </c>
      <c r="K528" t="s">
        <v>3364</v>
      </c>
      <c r="L528">
        <v>1.25</v>
      </c>
      <c r="M528">
        <v>7.97</v>
      </c>
      <c r="N528">
        <v>1.03</v>
      </c>
      <c r="O528">
        <v>2.2200000000000002</v>
      </c>
      <c r="P528">
        <v>8.27</v>
      </c>
      <c r="Q528">
        <v>-1.85</v>
      </c>
      <c r="R528">
        <v>7.94</v>
      </c>
      <c r="S528">
        <v>8.09</v>
      </c>
      <c r="T528">
        <v>65971</v>
      </c>
      <c r="U528">
        <v>7.98</v>
      </c>
      <c r="V528">
        <v>8.09</v>
      </c>
      <c r="W528">
        <v>16</v>
      </c>
      <c r="X528" t="s">
        <v>289</v>
      </c>
      <c r="Y528" t="s">
        <v>547</v>
      </c>
      <c r="Z528">
        <v>4.08</v>
      </c>
      <c r="AA528">
        <v>8.07</v>
      </c>
      <c r="AB528">
        <v>42308</v>
      </c>
      <c r="AC528">
        <v>23663</v>
      </c>
      <c r="AD528">
        <v>1.79</v>
      </c>
      <c r="AE528">
        <v>52</v>
      </c>
      <c r="AF528">
        <v>79</v>
      </c>
      <c r="AG528" t="s">
        <v>120</v>
      </c>
      <c r="AH528">
        <v>0</v>
      </c>
      <c r="AI528" t="s">
        <v>120</v>
      </c>
      <c r="AJ528">
        <v>5.29</v>
      </c>
      <c r="AK528" t="s">
        <v>3364</v>
      </c>
      <c r="AL528">
        <v>0.43</v>
      </c>
      <c r="AM528">
        <v>1792</v>
      </c>
      <c r="AN528">
        <v>37</v>
      </c>
      <c r="AO528">
        <v>6.9999999999999999E-4</v>
      </c>
      <c r="AP528">
        <v>-1</v>
      </c>
      <c r="AQ528">
        <v>0.12</v>
      </c>
      <c r="AR528">
        <v>-3.52</v>
      </c>
      <c r="AS528">
        <v>-2.4500000000000002</v>
      </c>
      <c r="AT528">
        <v>-5.12</v>
      </c>
      <c r="AU528">
        <v>17.55</v>
      </c>
      <c r="AV528">
        <v>3</v>
      </c>
      <c r="AW528">
        <v>2.81</v>
      </c>
      <c r="AX528">
        <v>44.45</v>
      </c>
      <c r="AY528">
        <v>14.64</v>
      </c>
      <c r="AZ528">
        <v>27.48</v>
      </c>
      <c r="BA528">
        <v>0.56000000000000005</v>
      </c>
      <c r="BB528" t="s">
        <v>143</v>
      </c>
      <c r="BF528">
        <v>-0.25</v>
      </c>
      <c r="BG528">
        <v>-1.48</v>
      </c>
      <c r="BH528">
        <v>-3.63</v>
      </c>
      <c r="BI528">
        <v>0.38</v>
      </c>
      <c r="BJ528">
        <v>20210826</v>
      </c>
      <c r="BK528">
        <v>20061229</v>
      </c>
      <c r="BL528">
        <v>5.29</v>
      </c>
      <c r="BM528" t="s">
        <v>120</v>
      </c>
      <c r="BN528" t="s">
        <v>120</v>
      </c>
      <c r="BO528">
        <v>76.319999999999993</v>
      </c>
      <c r="BP528">
        <v>7.97</v>
      </c>
      <c r="BQ528">
        <v>46.06</v>
      </c>
      <c r="BR528">
        <v>2.97</v>
      </c>
      <c r="BS528">
        <v>35.76</v>
      </c>
      <c r="BT528">
        <v>32.11</v>
      </c>
      <c r="BU528">
        <v>24.8</v>
      </c>
      <c r="BV528">
        <v>3.3</v>
      </c>
      <c r="BW528">
        <v>23.45</v>
      </c>
      <c r="BX528">
        <v>5.29</v>
      </c>
      <c r="BY528">
        <v>8.83</v>
      </c>
      <c r="BZ528">
        <v>12.54</v>
      </c>
      <c r="CA528">
        <v>0</v>
      </c>
      <c r="CB528">
        <v>27.75</v>
      </c>
      <c r="CC528">
        <v>29.67</v>
      </c>
      <c r="CD528">
        <v>23.19</v>
      </c>
      <c r="CE528">
        <v>1.83</v>
      </c>
      <c r="CF528">
        <v>0.03</v>
      </c>
      <c r="CG528">
        <v>1.8</v>
      </c>
      <c r="CH528">
        <v>1.53</v>
      </c>
      <c r="CI528">
        <v>1.32</v>
      </c>
      <c r="CJ528">
        <v>-0.12</v>
      </c>
      <c r="CK528">
        <v>1.24</v>
      </c>
      <c r="CL528">
        <v>11.53</v>
      </c>
      <c r="CM528">
        <v>3.33</v>
      </c>
      <c r="CN528">
        <v>0.53</v>
      </c>
      <c r="CO528">
        <v>26704</v>
      </c>
      <c r="CP528">
        <v>8804</v>
      </c>
      <c r="CQ528" t="s">
        <v>3365</v>
      </c>
      <c r="CR528">
        <v>2785.91</v>
      </c>
      <c r="CS528">
        <v>36.99</v>
      </c>
      <c r="CT528">
        <v>0.92</v>
      </c>
      <c r="CU528">
        <v>12.64</v>
      </c>
      <c r="CV528">
        <v>1.42</v>
      </c>
      <c r="CW528">
        <v>1.86</v>
      </c>
      <c r="CX528" t="s">
        <v>863</v>
      </c>
      <c r="CY528">
        <v>8.7100000000000009</v>
      </c>
      <c r="CZ528">
        <v>8.7100000000000009</v>
      </c>
      <c r="DA528">
        <v>5.25</v>
      </c>
      <c r="DB528">
        <v>2.1800000000000002</v>
      </c>
      <c r="DC528">
        <v>0.63</v>
      </c>
      <c r="DD528">
        <v>60.35</v>
      </c>
      <c r="DE528" t="s">
        <v>3366</v>
      </c>
      <c r="DF528">
        <v>21.85</v>
      </c>
      <c r="DG528">
        <v>6.16</v>
      </c>
      <c r="DH528">
        <v>4.4400000000000004</v>
      </c>
      <c r="DI528">
        <v>1.19</v>
      </c>
      <c r="DJ528">
        <v>7422</v>
      </c>
      <c r="DK528">
        <v>2101</v>
      </c>
      <c r="DL528" t="s">
        <v>120</v>
      </c>
      <c r="DM528" t="s">
        <v>120</v>
      </c>
      <c r="DN528" t="s">
        <v>120</v>
      </c>
    </row>
    <row r="529" spans="1:118">
      <c r="A529" t="str">
        <f>"002103"</f>
        <v>002103</v>
      </c>
      <c r="B529" t="s">
        <v>3367</v>
      </c>
      <c r="C529">
        <v>-1.31</v>
      </c>
      <c r="D529">
        <v>0.22</v>
      </c>
      <c r="E529">
        <v>0</v>
      </c>
      <c r="F529">
        <v>769</v>
      </c>
      <c r="G529" t="s">
        <v>3368</v>
      </c>
      <c r="H529">
        <v>3579.79</v>
      </c>
      <c r="I529">
        <v>8.31</v>
      </c>
      <c r="J529" t="s">
        <v>120</v>
      </c>
      <c r="K529" t="s">
        <v>3369</v>
      </c>
      <c r="L529">
        <v>1.87</v>
      </c>
      <c r="M529">
        <v>4.53</v>
      </c>
      <c r="N529">
        <v>0.83</v>
      </c>
      <c r="O529">
        <v>0.65</v>
      </c>
      <c r="P529">
        <v>4.62</v>
      </c>
      <c r="Q529">
        <v>-2.4</v>
      </c>
      <c r="R529">
        <v>4.4800000000000004</v>
      </c>
      <c r="S529">
        <v>4.59</v>
      </c>
      <c r="T529">
        <v>78666</v>
      </c>
      <c r="U529">
        <v>4.53</v>
      </c>
      <c r="V529">
        <v>4.59</v>
      </c>
      <c r="W529">
        <v>83.15</v>
      </c>
      <c r="X529" t="s">
        <v>213</v>
      </c>
      <c r="Y529" t="s">
        <v>585</v>
      </c>
      <c r="Z529">
        <v>3.05</v>
      </c>
      <c r="AA529">
        <v>4.55</v>
      </c>
      <c r="AB529">
        <v>50094</v>
      </c>
      <c r="AC529">
        <v>28572</v>
      </c>
      <c r="AD529">
        <v>1.75</v>
      </c>
      <c r="AE529">
        <v>380</v>
      </c>
      <c r="AF529">
        <v>650</v>
      </c>
      <c r="AG529" t="s">
        <v>120</v>
      </c>
      <c r="AH529">
        <v>0.01</v>
      </c>
      <c r="AI529" t="s">
        <v>120</v>
      </c>
      <c r="AJ529">
        <v>4.21</v>
      </c>
      <c r="AK529" t="s">
        <v>3370</v>
      </c>
      <c r="AL529">
        <v>0.61</v>
      </c>
      <c r="AM529">
        <v>1182</v>
      </c>
      <c r="AN529">
        <v>67</v>
      </c>
      <c r="AO529">
        <v>1.6000000000000001E-3</v>
      </c>
      <c r="AP529">
        <v>-1</v>
      </c>
      <c r="AQ529">
        <v>2</v>
      </c>
      <c r="AR529">
        <v>-0.66</v>
      </c>
      <c r="AS529">
        <v>6.08</v>
      </c>
      <c r="AT529">
        <v>2.96</v>
      </c>
      <c r="AU529">
        <v>3.9</v>
      </c>
      <c r="AV529">
        <v>7</v>
      </c>
      <c r="AW529">
        <v>3.11</v>
      </c>
      <c r="AX529">
        <v>47.37</v>
      </c>
      <c r="AY529" t="s">
        <v>120</v>
      </c>
      <c r="AZ529" t="s">
        <v>120</v>
      </c>
      <c r="BA529">
        <v>0.1</v>
      </c>
      <c r="BB529" t="s">
        <v>143</v>
      </c>
      <c r="BF529">
        <v>-0.86</v>
      </c>
      <c r="BG529">
        <v>-1.31</v>
      </c>
      <c r="BH529">
        <v>-1.95</v>
      </c>
      <c r="BI529">
        <v>1.1200000000000001</v>
      </c>
      <c r="BJ529">
        <v>20210901</v>
      </c>
      <c r="BK529">
        <v>20070110</v>
      </c>
      <c r="BL529">
        <v>5.34</v>
      </c>
      <c r="BM529" t="s">
        <v>120</v>
      </c>
      <c r="BN529" t="s">
        <v>120</v>
      </c>
      <c r="BO529">
        <v>16.04</v>
      </c>
      <c r="BP529">
        <v>4.5199999999999996</v>
      </c>
      <c r="BQ529">
        <v>8.02</v>
      </c>
      <c r="BR529">
        <v>0</v>
      </c>
      <c r="BS529">
        <v>49.99</v>
      </c>
      <c r="BT529">
        <v>10.77</v>
      </c>
      <c r="BU529">
        <v>3.42</v>
      </c>
      <c r="BV529">
        <v>0.88</v>
      </c>
      <c r="BW529">
        <v>6.88</v>
      </c>
      <c r="BX529">
        <v>1.05</v>
      </c>
      <c r="BY529">
        <v>2</v>
      </c>
      <c r="BZ529">
        <v>4.88</v>
      </c>
      <c r="CA529" t="s">
        <v>120</v>
      </c>
      <c r="CB529">
        <v>6.76</v>
      </c>
      <c r="CC529">
        <v>14.33</v>
      </c>
      <c r="CD529">
        <v>12.61</v>
      </c>
      <c r="CE529">
        <v>0.11</v>
      </c>
      <c r="CF529">
        <v>0.02</v>
      </c>
      <c r="CG529">
        <v>0.15</v>
      </c>
      <c r="CH529">
        <v>0.15</v>
      </c>
      <c r="CI529">
        <v>0.15</v>
      </c>
      <c r="CJ529">
        <v>-0.06</v>
      </c>
      <c r="CK529">
        <v>0.06</v>
      </c>
      <c r="CL529">
        <v>-4.68</v>
      </c>
      <c r="CM529">
        <v>-0.49</v>
      </c>
      <c r="CN529">
        <v>0.01</v>
      </c>
      <c r="CO529">
        <v>35190</v>
      </c>
      <c r="CP529">
        <v>7192</v>
      </c>
      <c r="CQ529" t="s">
        <v>2635</v>
      </c>
      <c r="CR529">
        <v>208.47</v>
      </c>
      <c r="CS529">
        <v>31.85</v>
      </c>
      <c r="CT529">
        <v>3.02</v>
      </c>
      <c r="CU529">
        <v>-49.35</v>
      </c>
      <c r="CV529">
        <v>1.69</v>
      </c>
      <c r="CW529">
        <v>0</v>
      </c>
      <c r="CX529" t="s">
        <v>2074</v>
      </c>
      <c r="CY529">
        <v>1.5</v>
      </c>
      <c r="CZ529">
        <v>0</v>
      </c>
      <c r="DA529">
        <v>1.27</v>
      </c>
      <c r="DB529">
        <v>-0.88</v>
      </c>
      <c r="DC529">
        <v>-0.09</v>
      </c>
      <c r="DD529">
        <v>50.01</v>
      </c>
      <c r="DE529" t="s">
        <v>2302</v>
      </c>
      <c r="DF529">
        <v>12.01</v>
      </c>
      <c r="DG529">
        <v>0.75</v>
      </c>
      <c r="DH529">
        <v>1.02</v>
      </c>
      <c r="DI529">
        <v>0.08</v>
      </c>
      <c r="DJ529">
        <v>2595</v>
      </c>
      <c r="DK529">
        <v>2103</v>
      </c>
      <c r="DL529" t="s">
        <v>120</v>
      </c>
      <c r="DM529" t="s">
        <v>120</v>
      </c>
      <c r="DN529" t="s">
        <v>120</v>
      </c>
    </row>
    <row r="530" spans="1:118">
      <c r="A530" t="str">
        <f>"002104"</f>
        <v>002104</v>
      </c>
      <c r="B530" t="s">
        <v>3371</v>
      </c>
      <c r="C530">
        <v>-2.6</v>
      </c>
      <c r="D530">
        <v>-0.16</v>
      </c>
      <c r="E530">
        <v>-0.16</v>
      </c>
      <c r="F530">
        <v>1790</v>
      </c>
      <c r="G530" t="s">
        <v>3183</v>
      </c>
      <c r="H530">
        <v>6367.08</v>
      </c>
      <c r="I530">
        <v>35.67</v>
      </c>
      <c r="J530" t="s">
        <v>120</v>
      </c>
      <c r="K530" t="s">
        <v>3372</v>
      </c>
      <c r="L530">
        <v>1.78</v>
      </c>
      <c r="M530">
        <v>5.99</v>
      </c>
      <c r="N530">
        <v>0.74</v>
      </c>
      <c r="O530">
        <v>0.65</v>
      </c>
      <c r="P530">
        <v>6.19</v>
      </c>
      <c r="Q530">
        <v>-2.6</v>
      </c>
      <c r="R530">
        <v>5.99</v>
      </c>
      <c r="S530">
        <v>6.14</v>
      </c>
      <c r="T530">
        <v>104783</v>
      </c>
      <c r="U530">
        <v>6</v>
      </c>
      <c r="V530">
        <v>6.15</v>
      </c>
      <c r="W530">
        <v>143.9</v>
      </c>
      <c r="X530" t="s">
        <v>229</v>
      </c>
      <c r="Y530" t="s">
        <v>319</v>
      </c>
      <c r="Z530">
        <v>3.25</v>
      </c>
      <c r="AA530">
        <v>6.08</v>
      </c>
      <c r="AB530">
        <v>67078</v>
      </c>
      <c r="AC530">
        <v>37705</v>
      </c>
      <c r="AD530">
        <v>1.78</v>
      </c>
      <c r="AE530">
        <v>873</v>
      </c>
      <c r="AF530">
        <v>417</v>
      </c>
      <c r="AG530" t="s">
        <v>120</v>
      </c>
      <c r="AH530">
        <v>0.01</v>
      </c>
      <c r="AI530" t="s">
        <v>120</v>
      </c>
      <c r="AJ530">
        <v>5.88</v>
      </c>
      <c r="AK530" t="s">
        <v>3373</v>
      </c>
      <c r="AL530">
        <v>-0.69</v>
      </c>
      <c r="AM530">
        <v>1956</v>
      </c>
      <c r="AN530">
        <v>54</v>
      </c>
      <c r="AO530">
        <v>8.9999999999999998E-4</v>
      </c>
      <c r="AP530">
        <v>-1</v>
      </c>
      <c r="AQ530">
        <v>0.49</v>
      </c>
      <c r="AR530">
        <v>-4</v>
      </c>
      <c r="AS530">
        <v>11.34</v>
      </c>
      <c r="AT530">
        <v>1.19</v>
      </c>
      <c r="AU530">
        <v>-14.06</v>
      </c>
      <c r="AV530">
        <v>3</v>
      </c>
      <c r="AW530">
        <v>1.9</v>
      </c>
      <c r="AX530">
        <v>79.22</v>
      </c>
      <c r="AY530" t="s">
        <v>120</v>
      </c>
      <c r="AZ530">
        <v>2485.5300000000002</v>
      </c>
      <c r="BA530">
        <v>0.52</v>
      </c>
      <c r="BB530" t="s">
        <v>143</v>
      </c>
      <c r="BF530">
        <v>-1.2</v>
      </c>
      <c r="BG530">
        <v>-2.44</v>
      </c>
      <c r="BH530">
        <v>-3.23</v>
      </c>
      <c r="BI530">
        <v>0</v>
      </c>
      <c r="BJ530">
        <v>20210827</v>
      </c>
      <c r="BK530">
        <v>20070110</v>
      </c>
      <c r="BL530">
        <v>6.97</v>
      </c>
      <c r="BM530" t="s">
        <v>120</v>
      </c>
      <c r="BN530" t="s">
        <v>120</v>
      </c>
      <c r="BO530">
        <v>22.66</v>
      </c>
      <c r="BP530">
        <v>5.99</v>
      </c>
      <c r="BQ530">
        <v>19.48</v>
      </c>
      <c r="BR530" t="s">
        <v>120</v>
      </c>
      <c r="BS530">
        <v>14.03</v>
      </c>
      <c r="BT530">
        <v>16.600000000000001</v>
      </c>
      <c r="BU530">
        <v>3</v>
      </c>
      <c r="BV530">
        <v>0.42</v>
      </c>
      <c r="BW530">
        <v>2.8</v>
      </c>
      <c r="BX530">
        <v>1.25</v>
      </c>
      <c r="BY530">
        <v>2.61</v>
      </c>
      <c r="BZ530">
        <v>2.56</v>
      </c>
      <c r="CA530" t="s">
        <v>120</v>
      </c>
      <c r="CB530">
        <v>0.06</v>
      </c>
      <c r="CC530">
        <v>4.21</v>
      </c>
      <c r="CD530">
        <v>3.18</v>
      </c>
      <c r="CE530">
        <v>0.09</v>
      </c>
      <c r="CF530">
        <v>0.12</v>
      </c>
      <c r="CG530">
        <v>0.09</v>
      </c>
      <c r="CH530">
        <v>0.15</v>
      </c>
      <c r="CI530">
        <v>0.15</v>
      </c>
      <c r="CJ530">
        <v>-0.16</v>
      </c>
      <c r="CK530">
        <v>-0.02</v>
      </c>
      <c r="CL530">
        <v>10.38</v>
      </c>
      <c r="CM530">
        <v>-1.45</v>
      </c>
      <c r="CN530">
        <v>-3.41</v>
      </c>
      <c r="CO530">
        <v>71928</v>
      </c>
      <c r="CP530">
        <v>7676</v>
      </c>
      <c r="CQ530" t="s">
        <v>3374</v>
      </c>
      <c r="CR530">
        <v>-41.65</v>
      </c>
      <c r="CS530">
        <v>-7.44</v>
      </c>
      <c r="CT530">
        <v>2.14</v>
      </c>
      <c r="CU530">
        <v>-28.71</v>
      </c>
      <c r="CV530">
        <v>9.93</v>
      </c>
      <c r="CW530">
        <v>3.5</v>
      </c>
      <c r="CX530" t="s">
        <v>1016</v>
      </c>
      <c r="CY530">
        <v>2.8</v>
      </c>
      <c r="CZ530">
        <v>0</v>
      </c>
      <c r="DA530">
        <v>0.01</v>
      </c>
      <c r="DB530">
        <v>1.49</v>
      </c>
      <c r="DC530">
        <v>-0.21</v>
      </c>
      <c r="DD530">
        <v>85.97</v>
      </c>
      <c r="DE530" t="s">
        <v>1037</v>
      </c>
      <c r="DF530">
        <v>24.27</v>
      </c>
      <c r="DG530">
        <v>2.12</v>
      </c>
      <c r="DH530">
        <v>3.45</v>
      </c>
      <c r="DI530">
        <v>0.48</v>
      </c>
      <c r="DJ530">
        <v>1325</v>
      </c>
      <c r="DK530">
        <v>2104</v>
      </c>
      <c r="DL530" t="s">
        <v>120</v>
      </c>
      <c r="DM530" t="s">
        <v>120</v>
      </c>
      <c r="DN530" t="s">
        <v>120</v>
      </c>
    </row>
    <row r="531" spans="1:118">
      <c r="A531" t="str">
        <f>"002105"</f>
        <v>002105</v>
      </c>
      <c r="B531" t="s">
        <v>3375</v>
      </c>
      <c r="C531">
        <v>-3.49</v>
      </c>
      <c r="D531">
        <v>0</v>
      </c>
      <c r="E531">
        <v>-0.11</v>
      </c>
      <c r="F531">
        <v>457</v>
      </c>
      <c r="G531" t="s">
        <v>3376</v>
      </c>
      <c r="H531">
        <v>6784.1</v>
      </c>
      <c r="I531">
        <v>77.12</v>
      </c>
      <c r="J531" t="s">
        <v>120</v>
      </c>
      <c r="K531" t="s">
        <v>3377</v>
      </c>
      <c r="L531">
        <v>1.99</v>
      </c>
      <c r="M531">
        <v>9.1199999999999992</v>
      </c>
      <c r="N531">
        <v>1.02</v>
      </c>
      <c r="O531">
        <v>0.11</v>
      </c>
      <c r="P531">
        <v>9.4600000000000009</v>
      </c>
      <c r="Q531">
        <v>-3.81</v>
      </c>
      <c r="R531">
        <v>9.09</v>
      </c>
      <c r="S531">
        <v>9.44</v>
      </c>
      <c r="T531">
        <v>73203</v>
      </c>
      <c r="U531">
        <v>9.1199999999999992</v>
      </c>
      <c r="V531">
        <v>9.4499999999999993</v>
      </c>
      <c r="W531">
        <v>13.43</v>
      </c>
      <c r="X531" t="s">
        <v>213</v>
      </c>
      <c r="Y531" t="s">
        <v>123</v>
      </c>
      <c r="Z531">
        <v>3.92</v>
      </c>
      <c r="AA531">
        <v>9.27</v>
      </c>
      <c r="AB531">
        <v>43247</v>
      </c>
      <c r="AC531">
        <v>29956</v>
      </c>
      <c r="AD531">
        <v>1.44</v>
      </c>
      <c r="AE531">
        <v>642</v>
      </c>
      <c r="AF531">
        <v>65</v>
      </c>
      <c r="AG531" t="s">
        <v>120</v>
      </c>
      <c r="AH531">
        <v>0.04</v>
      </c>
      <c r="AI531" t="s">
        <v>120</v>
      </c>
      <c r="AJ531">
        <v>3.69</v>
      </c>
      <c r="AK531" t="s">
        <v>3377</v>
      </c>
      <c r="AL531">
        <v>-1.58</v>
      </c>
      <c r="AM531">
        <v>1937</v>
      </c>
      <c r="AN531">
        <v>38</v>
      </c>
      <c r="AO531">
        <v>1E-3</v>
      </c>
      <c r="AP531">
        <v>-1</v>
      </c>
      <c r="AQ531">
        <v>4.3</v>
      </c>
      <c r="AR531">
        <v>2.2400000000000002</v>
      </c>
      <c r="AS531">
        <v>8.57</v>
      </c>
      <c r="AT531">
        <v>21.12</v>
      </c>
      <c r="AU531">
        <v>28.99</v>
      </c>
      <c r="AV531">
        <v>3</v>
      </c>
      <c r="AW531">
        <v>3.79</v>
      </c>
      <c r="AX531">
        <v>52.39</v>
      </c>
      <c r="AY531">
        <v>14.22</v>
      </c>
      <c r="AZ531">
        <v>21.08</v>
      </c>
      <c r="BA531">
        <v>0.48</v>
      </c>
      <c r="BB531" t="s">
        <v>700</v>
      </c>
      <c r="BF531">
        <v>-1.93</v>
      </c>
      <c r="BG531">
        <v>-3.39</v>
      </c>
      <c r="BH531">
        <v>-3.59</v>
      </c>
      <c r="BI531">
        <v>0.33</v>
      </c>
      <c r="BJ531">
        <v>20210914</v>
      </c>
      <c r="BK531">
        <v>20070112</v>
      </c>
      <c r="BL531">
        <v>3.69</v>
      </c>
      <c r="BM531" t="s">
        <v>120</v>
      </c>
      <c r="BN531" t="s">
        <v>120</v>
      </c>
      <c r="BO531">
        <v>21.6</v>
      </c>
      <c r="BP531">
        <v>9.11</v>
      </c>
      <c r="BQ531">
        <v>7.06</v>
      </c>
      <c r="BR531">
        <v>0.77</v>
      </c>
      <c r="BS531">
        <v>63.75</v>
      </c>
      <c r="BT531">
        <v>15.57</v>
      </c>
      <c r="BU531">
        <v>4.0999999999999996</v>
      </c>
      <c r="BV531">
        <v>0.73</v>
      </c>
      <c r="BW531">
        <v>12.5</v>
      </c>
      <c r="BX531">
        <v>3.83</v>
      </c>
      <c r="BY531">
        <v>3.67</v>
      </c>
      <c r="BZ531">
        <v>6.88</v>
      </c>
      <c r="CA531">
        <v>7.0000000000000007E-2</v>
      </c>
      <c r="CB531">
        <v>0.52</v>
      </c>
      <c r="CC531">
        <v>12.7</v>
      </c>
      <c r="CD531">
        <v>9.9499999999999993</v>
      </c>
      <c r="CE531">
        <v>1.53</v>
      </c>
      <c r="CF531">
        <v>-0.01</v>
      </c>
      <c r="CG531">
        <v>1.63</v>
      </c>
      <c r="CH531">
        <v>1.4</v>
      </c>
      <c r="CI531">
        <v>1.25</v>
      </c>
      <c r="CJ531">
        <v>-0.33</v>
      </c>
      <c r="CK531">
        <v>1.1499999999999999</v>
      </c>
      <c r="CL531">
        <v>2.2400000000000002</v>
      </c>
      <c r="CM531">
        <v>0.12</v>
      </c>
      <c r="CN531">
        <v>0.05</v>
      </c>
      <c r="CO531">
        <v>22047</v>
      </c>
      <c r="CP531">
        <v>8756</v>
      </c>
      <c r="CQ531" t="s">
        <v>2492</v>
      </c>
      <c r="CR531">
        <v>175.38</v>
      </c>
      <c r="CS531">
        <v>85.54</v>
      </c>
      <c r="CT531">
        <v>4.76</v>
      </c>
      <c r="CU531">
        <v>271.11</v>
      </c>
      <c r="CV531">
        <v>2.65</v>
      </c>
      <c r="CW531">
        <v>2.09</v>
      </c>
      <c r="CX531" t="s">
        <v>1574</v>
      </c>
      <c r="CY531">
        <v>1.92</v>
      </c>
      <c r="CZ531">
        <v>0</v>
      </c>
      <c r="DA531">
        <v>0.14000000000000001</v>
      </c>
      <c r="DB531">
        <v>0.61</v>
      </c>
      <c r="DC531">
        <v>0.03</v>
      </c>
      <c r="DD531">
        <v>32.69</v>
      </c>
      <c r="DE531" t="s">
        <v>3378</v>
      </c>
      <c r="DF531">
        <v>21.67</v>
      </c>
      <c r="DG531">
        <v>12.08</v>
      </c>
      <c r="DH531">
        <v>9.85</v>
      </c>
      <c r="DI531">
        <v>0.33</v>
      </c>
      <c r="DJ531">
        <v>3496</v>
      </c>
      <c r="DK531">
        <v>2105</v>
      </c>
      <c r="DL531">
        <v>20210804</v>
      </c>
      <c r="DM531">
        <v>8.65</v>
      </c>
      <c r="DN531">
        <v>5.43</v>
      </c>
    </row>
    <row r="532" spans="1:118">
      <c r="A532" t="str">
        <f>"002106"</f>
        <v>002106</v>
      </c>
      <c r="B532" t="s">
        <v>3379</v>
      </c>
      <c r="C532">
        <v>-1.1200000000000001</v>
      </c>
      <c r="D532">
        <v>-0.08</v>
      </c>
      <c r="E532">
        <v>0.09</v>
      </c>
      <c r="F532">
        <v>1081</v>
      </c>
      <c r="G532" t="s">
        <v>1850</v>
      </c>
      <c r="H532">
        <v>14884.86</v>
      </c>
      <c r="I532">
        <v>23.84</v>
      </c>
      <c r="J532" t="s">
        <v>120</v>
      </c>
      <c r="K532" t="s">
        <v>3380</v>
      </c>
      <c r="L532">
        <v>1.96</v>
      </c>
      <c r="M532">
        <v>10.61</v>
      </c>
      <c r="N532">
        <v>0.86</v>
      </c>
      <c r="O532">
        <v>2.0499999999999998</v>
      </c>
      <c r="P532">
        <v>10.95</v>
      </c>
      <c r="Q532">
        <v>-1.21</v>
      </c>
      <c r="R532">
        <v>10.6</v>
      </c>
      <c r="S532">
        <v>10.74</v>
      </c>
      <c r="T532">
        <v>138125</v>
      </c>
      <c r="U532">
        <v>10.62</v>
      </c>
      <c r="V532">
        <v>10.73</v>
      </c>
      <c r="W532">
        <v>12.75</v>
      </c>
      <c r="X532" t="s">
        <v>229</v>
      </c>
      <c r="Y532" t="s">
        <v>123</v>
      </c>
      <c r="Z532">
        <v>3.26</v>
      </c>
      <c r="AA532">
        <v>10.78</v>
      </c>
      <c r="AB532">
        <v>76830</v>
      </c>
      <c r="AC532">
        <v>61295</v>
      </c>
      <c r="AD532">
        <v>1.25</v>
      </c>
      <c r="AE532">
        <v>387</v>
      </c>
      <c r="AF532">
        <v>619</v>
      </c>
      <c r="AG532" t="s">
        <v>120</v>
      </c>
      <c r="AH532">
        <v>0</v>
      </c>
      <c r="AI532" t="s">
        <v>120</v>
      </c>
      <c r="AJ532">
        <v>7.04</v>
      </c>
      <c r="AK532" t="s">
        <v>3381</v>
      </c>
      <c r="AL532">
        <v>0.8</v>
      </c>
      <c r="AM532">
        <v>3052</v>
      </c>
      <c r="AN532">
        <v>45</v>
      </c>
      <c r="AO532">
        <v>5.9999999999999995E-4</v>
      </c>
      <c r="AP532">
        <v>-1</v>
      </c>
      <c r="AQ532">
        <v>0.75</v>
      </c>
      <c r="AR532">
        <v>-2.93</v>
      </c>
      <c r="AS532">
        <v>8.48</v>
      </c>
      <c r="AT532">
        <v>-5.69</v>
      </c>
      <c r="AU532">
        <v>-6.02</v>
      </c>
      <c r="AV532">
        <v>0</v>
      </c>
      <c r="AW532">
        <v>2.73</v>
      </c>
      <c r="AX532">
        <v>71.56</v>
      </c>
      <c r="AY532">
        <v>15.16</v>
      </c>
      <c r="AZ532">
        <v>17.29</v>
      </c>
      <c r="BA532">
        <v>0.67</v>
      </c>
      <c r="BB532" t="s">
        <v>143</v>
      </c>
      <c r="BF532">
        <v>0.43</v>
      </c>
      <c r="BG532">
        <v>-1.21</v>
      </c>
      <c r="BH532">
        <v>-3.11</v>
      </c>
      <c r="BI532">
        <v>0.09</v>
      </c>
      <c r="BJ532">
        <v>20210828</v>
      </c>
      <c r="BK532">
        <v>20070112</v>
      </c>
      <c r="BL532">
        <v>7.06</v>
      </c>
      <c r="BM532" t="s">
        <v>120</v>
      </c>
      <c r="BN532" t="s">
        <v>120</v>
      </c>
      <c r="BO532">
        <v>62.71</v>
      </c>
      <c r="BP532">
        <v>10.61</v>
      </c>
      <c r="BQ532">
        <v>46.04</v>
      </c>
      <c r="BR532">
        <v>0.05</v>
      </c>
      <c r="BS532">
        <v>26.51</v>
      </c>
      <c r="BT532">
        <v>49.35</v>
      </c>
      <c r="BU532">
        <v>9.68</v>
      </c>
      <c r="BV532">
        <v>0.91</v>
      </c>
      <c r="BW532">
        <v>15.07</v>
      </c>
      <c r="BX532">
        <v>22.25</v>
      </c>
      <c r="BY532">
        <v>7.68</v>
      </c>
      <c r="BZ532">
        <v>18.649999999999999</v>
      </c>
      <c r="CA532">
        <v>0.01</v>
      </c>
      <c r="CB532">
        <v>20.38</v>
      </c>
      <c r="CC532">
        <v>37.590000000000003</v>
      </c>
      <c r="CD532">
        <v>31.8</v>
      </c>
      <c r="CE532">
        <v>3.09</v>
      </c>
      <c r="CF532">
        <v>0.01</v>
      </c>
      <c r="CG532">
        <v>3.11</v>
      </c>
      <c r="CH532">
        <v>2.94</v>
      </c>
      <c r="CI532">
        <v>2.94</v>
      </c>
      <c r="CJ532">
        <v>-0.12</v>
      </c>
      <c r="CK532">
        <v>2.8</v>
      </c>
      <c r="CL532">
        <v>15.36</v>
      </c>
      <c r="CM532">
        <v>3.76</v>
      </c>
      <c r="CN532">
        <v>2.2599999999999998</v>
      </c>
      <c r="CO532">
        <v>67466</v>
      </c>
      <c r="CP532">
        <v>7486</v>
      </c>
      <c r="CQ532" t="s">
        <v>3382</v>
      </c>
      <c r="CR532">
        <v>26.45</v>
      </c>
      <c r="CS532">
        <v>35.909999999999997</v>
      </c>
      <c r="CT532">
        <v>1.63</v>
      </c>
      <c r="CU532">
        <v>19.920000000000002</v>
      </c>
      <c r="CV532">
        <v>1.99</v>
      </c>
      <c r="CW532">
        <v>1.4</v>
      </c>
      <c r="CX532" t="s">
        <v>3383</v>
      </c>
      <c r="CY532">
        <v>6.52</v>
      </c>
      <c r="CZ532">
        <v>0</v>
      </c>
      <c r="DA532">
        <v>2.89</v>
      </c>
      <c r="DB532">
        <v>2.1800000000000002</v>
      </c>
      <c r="DC532">
        <v>0.53</v>
      </c>
      <c r="DD532">
        <v>73.42</v>
      </c>
      <c r="DE532" t="s">
        <v>3384</v>
      </c>
      <c r="DF532">
        <v>15.41</v>
      </c>
      <c r="DG532">
        <v>8.23</v>
      </c>
      <c r="DH532">
        <v>7.81</v>
      </c>
      <c r="DI532">
        <v>1.39</v>
      </c>
      <c r="DJ532">
        <v>1454</v>
      </c>
      <c r="DK532">
        <v>2106</v>
      </c>
      <c r="DL532" t="s">
        <v>120</v>
      </c>
      <c r="DM532" t="s">
        <v>120</v>
      </c>
      <c r="DN532" t="s">
        <v>120</v>
      </c>
    </row>
    <row r="533" spans="1:118">
      <c r="A533" t="str">
        <f>"002107"</f>
        <v>002107</v>
      </c>
      <c r="B533" t="s">
        <v>3385</v>
      </c>
      <c r="C533">
        <v>0</v>
      </c>
      <c r="D533">
        <v>0</v>
      </c>
      <c r="E533">
        <v>0</v>
      </c>
      <c r="F533">
        <v>181</v>
      </c>
      <c r="G533" t="s">
        <v>3386</v>
      </c>
      <c r="H533">
        <v>1549.59</v>
      </c>
      <c r="I533">
        <v>2.5499999999999998</v>
      </c>
      <c r="J533" t="s">
        <v>120</v>
      </c>
      <c r="K533" t="s">
        <v>3387</v>
      </c>
      <c r="L533">
        <v>0.4</v>
      </c>
      <c r="M533">
        <v>6.89</v>
      </c>
      <c r="N533">
        <v>0.84</v>
      </c>
      <c r="O533">
        <v>0.87</v>
      </c>
      <c r="P533">
        <v>6.95</v>
      </c>
      <c r="Q533">
        <v>-0.28999999999999998</v>
      </c>
      <c r="R533">
        <v>6.87</v>
      </c>
      <c r="S533">
        <v>6.89</v>
      </c>
      <c r="T533">
        <v>22426</v>
      </c>
      <c r="U533">
        <v>6.9</v>
      </c>
      <c r="V533">
        <v>6.89</v>
      </c>
      <c r="W533">
        <v>19.53</v>
      </c>
      <c r="X533" t="s">
        <v>771</v>
      </c>
      <c r="Y533" t="s">
        <v>638</v>
      </c>
      <c r="Z533">
        <v>1.1599999999999999</v>
      </c>
      <c r="AA533">
        <v>6.91</v>
      </c>
      <c r="AB533">
        <v>11954</v>
      </c>
      <c r="AC533">
        <v>10472</v>
      </c>
      <c r="AD533">
        <v>1.1399999999999999</v>
      </c>
      <c r="AE533">
        <v>364</v>
      </c>
      <c r="AF533">
        <v>115</v>
      </c>
      <c r="AG533" t="s">
        <v>120</v>
      </c>
      <c r="AH533">
        <v>0</v>
      </c>
      <c r="AI533" t="s">
        <v>120</v>
      </c>
      <c r="AJ533">
        <v>5.64</v>
      </c>
      <c r="AK533" t="s">
        <v>3388</v>
      </c>
      <c r="AL533">
        <v>1.91</v>
      </c>
      <c r="AM533">
        <v>871</v>
      </c>
      <c r="AN533">
        <v>26</v>
      </c>
      <c r="AO533">
        <v>5.0000000000000001E-4</v>
      </c>
      <c r="AP533">
        <v>0</v>
      </c>
      <c r="AQ533">
        <v>0.15</v>
      </c>
      <c r="AR533">
        <v>-1</v>
      </c>
      <c r="AS533">
        <v>2.23</v>
      </c>
      <c r="AT533">
        <v>-7.64</v>
      </c>
      <c r="AU533">
        <v>-11.44</v>
      </c>
      <c r="AV533">
        <v>1</v>
      </c>
      <c r="AW533">
        <v>0.82</v>
      </c>
      <c r="AX533">
        <v>47.36</v>
      </c>
      <c r="AY533">
        <v>20.94</v>
      </c>
      <c r="AZ533">
        <v>22.23</v>
      </c>
      <c r="BA533">
        <v>0.25</v>
      </c>
      <c r="BB533" t="s">
        <v>143</v>
      </c>
      <c r="BF533">
        <v>0.28999999999999998</v>
      </c>
      <c r="BG533">
        <v>0</v>
      </c>
      <c r="BH533">
        <v>-0.86</v>
      </c>
      <c r="BI533">
        <v>0.28999999999999998</v>
      </c>
      <c r="BJ533">
        <v>20210824</v>
      </c>
      <c r="BK533">
        <v>20070124</v>
      </c>
      <c r="BL533">
        <v>5.77</v>
      </c>
      <c r="BM533" t="s">
        <v>120</v>
      </c>
      <c r="BN533" t="s">
        <v>120</v>
      </c>
      <c r="BO533">
        <v>12.36</v>
      </c>
      <c r="BP533">
        <v>6.89</v>
      </c>
      <c r="BQ533">
        <v>7.59</v>
      </c>
      <c r="BR533">
        <v>1.1000000000000001</v>
      </c>
      <c r="BS533">
        <v>29.67</v>
      </c>
      <c r="BT533">
        <v>6.68</v>
      </c>
      <c r="BU533">
        <v>4.59</v>
      </c>
      <c r="BV533">
        <v>0.56000000000000005</v>
      </c>
      <c r="BW533">
        <v>3.38</v>
      </c>
      <c r="BX533">
        <v>3.54</v>
      </c>
      <c r="BY533">
        <v>1.23</v>
      </c>
      <c r="BZ533">
        <v>1.24</v>
      </c>
      <c r="CA533" t="s">
        <v>120</v>
      </c>
      <c r="CB533">
        <v>0.02</v>
      </c>
      <c r="CC533">
        <v>5.15</v>
      </c>
      <c r="CD533">
        <v>1.06</v>
      </c>
      <c r="CE533">
        <v>1.2</v>
      </c>
      <c r="CF533">
        <v>0</v>
      </c>
      <c r="CG533">
        <v>1.2</v>
      </c>
      <c r="CH533">
        <v>1.01</v>
      </c>
      <c r="CI533">
        <v>1.02</v>
      </c>
      <c r="CJ533">
        <v>0</v>
      </c>
      <c r="CK533">
        <v>1.01</v>
      </c>
      <c r="CL533">
        <v>1.39</v>
      </c>
      <c r="CM533">
        <v>1.32</v>
      </c>
      <c r="CN533">
        <v>-1.37</v>
      </c>
      <c r="CO533">
        <v>45284</v>
      </c>
      <c r="CP533">
        <v>6037</v>
      </c>
      <c r="CQ533" t="s">
        <v>2174</v>
      </c>
      <c r="CR533">
        <v>12.21</v>
      </c>
      <c r="CS533">
        <v>6.49</v>
      </c>
      <c r="CT533">
        <v>5.24</v>
      </c>
      <c r="CU533">
        <v>30.04</v>
      </c>
      <c r="CV533">
        <v>7.72</v>
      </c>
      <c r="CW533">
        <v>3.77</v>
      </c>
      <c r="CX533" t="s">
        <v>242</v>
      </c>
      <c r="CY533">
        <v>1.32</v>
      </c>
      <c r="CZ533">
        <v>0</v>
      </c>
      <c r="DA533">
        <v>0</v>
      </c>
      <c r="DB533">
        <v>0.24</v>
      </c>
      <c r="DC533">
        <v>0.23</v>
      </c>
      <c r="DD533">
        <v>61.42</v>
      </c>
      <c r="DE533" t="s">
        <v>3389</v>
      </c>
      <c r="DF533">
        <v>79.510000000000005</v>
      </c>
      <c r="DG533">
        <v>23.37</v>
      </c>
      <c r="DH533">
        <v>19.760000000000002</v>
      </c>
      <c r="DI533">
        <v>0.28999999999999998</v>
      </c>
      <c r="DJ533">
        <v>1304</v>
      </c>
      <c r="DK533">
        <v>2107</v>
      </c>
      <c r="DL533" t="s">
        <v>120</v>
      </c>
      <c r="DM533" t="s">
        <v>120</v>
      </c>
      <c r="DN533" t="s">
        <v>120</v>
      </c>
    </row>
    <row r="534" spans="1:118">
      <c r="A534" t="str">
        <f>"002108"</f>
        <v>002108</v>
      </c>
      <c r="B534" t="s">
        <v>3390</v>
      </c>
      <c r="C534">
        <v>-3.15</v>
      </c>
      <c r="D534">
        <v>0</v>
      </c>
      <c r="E534">
        <v>0</v>
      </c>
      <c r="F534">
        <v>4617</v>
      </c>
      <c r="G534" t="s">
        <v>3391</v>
      </c>
      <c r="H534">
        <v>97860.98</v>
      </c>
      <c r="I534">
        <v>544.58000000000004</v>
      </c>
      <c r="J534" t="s">
        <v>120</v>
      </c>
      <c r="K534" t="s">
        <v>3392</v>
      </c>
      <c r="L534">
        <v>7.56</v>
      </c>
      <c r="M534">
        <v>8.92</v>
      </c>
      <c r="N534">
        <v>1.29</v>
      </c>
      <c r="O534">
        <v>3.15</v>
      </c>
      <c r="P534">
        <v>9.5</v>
      </c>
      <c r="Q534">
        <v>-4.5599999999999996</v>
      </c>
      <c r="R534">
        <v>8.7899999999999991</v>
      </c>
      <c r="S534">
        <v>9.2100000000000009</v>
      </c>
      <c r="T534">
        <v>1072163</v>
      </c>
      <c r="U534">
        <v>8.93</v>
      </c>
      <c r="V534">
        <v>9.2100000000000009</v>
      </c>
      <c r="W534">
        <v>27.18</v>
      </c>
      <c r="X534" t="s">
        <v>2211</v>
      </c>
      <c r="Y534" t="s">
        <v>602</v>
      </c>
      <c r="Z534">
        <v>7.71</v>
      </c>
      <c r="AA534">
        <v>9.1300000000000008</v>
      </c>
      <c r="AB534">
        <v>604801</v>
      </c>
      <c r="AC534">
        <v>467362</v>
      </c>
      <c r="AD534">
        <v>1.29</v>
      </c>
      <c r="AE534">
        <v>2075</v>
      </c>
      <c r="AF534">
        <v>262</v>
      </c>
      <c r="AG534" t="s">
        <v>120</v>
      </c>
      <c r="AH534">
        <v>7.0000000000000007E-2</v>
      </c>
      <c r="AI534" t="s">
        <v>120</v>
      </c>
      <c r="AJ534">
        <v>14.18</v>
      </c>
      <c r="AK534" t="s">
        <v>3392</v>
      </c>
      <c r="AL534">
        <v>-1.24</v>
      </c>
      <c r="AM534">
        <v>4597</v>
      </c>
      <c r="AN534">
        <v>233</v>
      </c>
      <c r="AO534">
        <v>1.6000000000000001E-3</v>
      </c>
      <c r="AP534">
        <v>-1</v>
      </c>
      <c r="AQ534">
        <v>0.66</v>
      </c>
      <c r="AR534">
        <v>7.22</v>
      </c>
      <c r="AS534">
        <v>-2.5099999999999998</v>
      </c>
      <c r="AT534">
        <v>70.88</v>
      </c>
      <c r="AU534">
        <v>68.94</v>
      </c>
      <c r="AV534">
        <v>9</v>
      </c>
      <c r="AW534">
        <v>11.82</v>
      </c>
      <c r="AX534">
        <v>63.96</v>
      </c>
      <c r="AY534">
        <v>30.36</v>
      </c>
      <c r="AZ534">
        <v>43.39</v>
      </c>
      <c r="BA534">
        <v>1.83</v>
      </c>
      <c r="BB534" t="s">
        <v>143</v>
      </c>
      <c r="BF534">
        <v>-0.9</v>
      </c>
      <c r="BG534">
        <v>-3.15</v>
      </c>
      <c r="BH534">
        <v>-6.11</v>
      </c>
      <c r="BI534">
        <v>1.48</v>
      </c>
      <c r="BJ534">
        <v>20210826</v>
      </c>
      <c r="BK534">
        <v>20070124</v>
      </c>
      <c r="BL534">
        <v>14.18</v>
      </c>
      <c r="BM534" t="s">
        <v>120</v>
      </c>
      <c r="BN534" t="s">
        <v>120</v>
      </c>
      <c r="BO534">
        <v>52.71</v>
      </c>
      <c r="BP534">
        <v>8.92</v>
      </c>
      <c r="BQ534">
        <v>35.78</v>
      </c>
      <c r="BR534">
        <v>0.93</v>
      </c>
      <c r="BS534">
        <v>30.34</v>
      </c>
      <c r="BT534">
        <v>22.78</v>
      </c>
      <c r="BU534">
        <v>13.81</v>
      </c>
      <c r="BV534">
        <v>2.23</v>
      </c>
      <c r="BW534">
        <v>13.37</v>
      </c>
      <c r="BX534">
        <v>3.26</v>
      </c>
      <c r="BY534">
        <v>5.53</v>
      </c>
      <c r="BZ534">
        <v>9.17</v>
      </c>
      <c r="CA534">
        <v>0.02</v>
      </c>
      <c r="CB534">
        <v>1.84</v>
      </c>
      <c r="CC534">
        <v>13.55</v>
      </c>
      <c r="CD534">
        <v>10.37</v>
      </c>
      <c r="CE534">
        <v>2.69</v>
      </c>
      <c r="CF534">
        <v>0.65</v>
      </c>
      <c r="CG534">
        <v>2.68</v>
      </c>
      <c r="CH534">
        <v>2.36</v>
      </c>
      <c r="CI534">
        <v>2.33</v>
      </c>
      <c r="CJ534">
        <v>-0.28999999999999998</v>
      </c>
      <c r="CK534">
        <v>2.2000000000000002</v>
      </c>
      <c r="CL534">
        <v>16.84</v>
      </c>
      <c r="CM534">
        <v>0.89</v>
      </c>
      <c r="CN534">
        <v>0.94</v>
      </c>
      <c r="CO534">
        <v>95385</v>
      </c>
      <c r="CP534">
        <v>9508</v>
      </c>
      <c r="CQ534" t="s">
        <v>3393</v>
      </c>
      <c r="CR534">
        <v>124.91</v>
      </c>
      <c r="CS534">
        <v>21.59</v>
      </c>
      <c r="CT534">
        <v>3.53</v>
      </c>
      <c r="CU534">
        <v>142.78</v>
      </c>
      <c r="CV534">
        <v>9.34</v>
      </c>
      <c r="CW534">
        <v>1.0900000000000001</v>
      </c>
      <c r="CX534" t="s">
        <v>3394</v>
      </c>
      <c r="CY534">
        <v>2.52</v>
      </c>
      <c r="CZ534">
        <v>0</v>
      </c>
      <c r="DA534">
        <v>0.13</v>
      </c>
      <c r="DB534">
        <v>1.19</v>
      </c>
      <c r="DC534">
        <v>0.06</v>
      </c>
      <c r="DD534">
        <v>67.900000000000006</v>
      </c>
      <c r="DE534" t="s">
        <v>3395</v>
      </c>
      <c r="DF534">
        <v>23.48</v>
      </c>
      <c r="DG534">
        <v>19.829999999999998</v>
      </c>
      <c r="DH534">
        <v>17.18</v>
      </c>
      <c r="DI534">
        <v>0.18</v>
      </c>
      <c r="DJ534">
        <v>2091</v>
      </c>
      <c r="DK534">
        <v>2108</v>
      </c>
      <c r="DL534">
        <v>20210806</v>
      </c>
      <c r="DM534">
        <v>10.26</v>
      </c>
      <c r="DN534">
        <v>-13.06</v>
      </c>
    </row>
    <row r="535" spans="1:118">
      <c r="A535" t="str">
        <f>"002109"</f>
        <v>002109</v>
      </c>
      <c r="B535" t="s">
        <v>3396</v>
      </c>
      <c r="C535">
        <v>3.92</v>
      </c>
      <c r="D535">
        <v>0</v>
      </c>
      <c r="E535">
        <v>8.11</v>
      </c>
      <c r="F535">
        <v>4548</v>
      </c>
      <c r="G535" t="s">
        <v>3397</v>
      </c>
      <c r="H535">
        <v>86090.63</v>
      </c>
      <c r="I535">
        <v>2070.48</v>
      </c>
      <c r="J535" t="s">
        <v>120</v>
      </c>
      <c r="K535" t="s">
        <v>3398</v>
      </c>
      <c r="L535">
        <v>10.52</v>
      </c>
      <c r="M535">
        <v>7.69</v>
      </c>
      <c r="N535">
        <v>3.03</v>
      </c>
      <c r="O535">
        <v>10</v>
      </c>
      <c r="P535">
        <v>8.14</v>
      </c>
      <c r="Q535">
        <v>0.14000000000000001</v>
      </c>
      <c r="R535">
        <v>7.41</v>
      </c>
      <c r="S535">
        <v>8</v>
      </c>
      <c r="T535">
        <v>1108066</v>
      </c>
      <c r="U535">
        <v>7.7</v>
      </c>
      <c r="V535">
        <v>7.4</v>
      </c>
      <c r="W535">
        <v>13.91</v>
      </c>
      <c r="X535" t="s">
        <v>868</v>
      </c>
      <c r="Y535" t="s">
        <v>890</v>
      </c>
      <c r="Z535">
        <v>9.86</v>
      </c>
      <c r="AA535">
        <v>7.77</v>
      </c>
      <c r="AB535">
        <v>725243</v>
      </c>
      <c r="AC535">
        <v>382823</v>
      </c>
      <c r="AD535">
        <v>1.89</v>
      </c>
      <c r="AE535">
        <v>61</v>
      </c>
      <c r="AF535">
        <v>2050</v>
      </c>
      <c r="AG535" t="s">
        <v>120</v>
      </c>
      <c r="AH535">
        <v>0.8</v>
      </c>
      <c r="AI535" t="s">
        <v>120</v>
      </c>
      <c r="AJ535">
        <v>10.53</v>
      </c>
      <c r="AK535" t="s">
        <v>3398</v>
      </c>
      <c r="AL535">
        <v>5.83</v>
      </c>
      <c r="AM535">
        <v>4022</v>
      </c>
      <c r="AN535">
        <v>276</v>
      </c>
      <c r="AO535">
        <v>2.5999999999999999E-3</v>
      </c>
      <c r="AP535">
        <v>2</v>
      </c>
      <c r="AQ535">
        <v>4.96</v>
      </c>
      <c r="AR535">
        <v>6.22</v>
      </c>
      <c r="AS535">
        <v>30.34</v>
      </c>
      <c r="AT535">
        <v>63.62</v>
      </c>
      <c r="AU535">
        <v>129.56</v>
      </c>
      <c r="AV535">
        <v>15</v>
      </c>
      <c r="AW535">
        <v>34.36</v>
      </c>
      <c r="AX535">
        <v>30.63</v>
      </c>
      <c r="AY535">
        <v>17.37</v>
      </c>
      <c r="AZ535">
        <v>36.43</v>
      </c>
      <c r="BA535">
        <v>0.92</v>
      </c>
      <c r="BB535" t="s">
        <v>184</v>
      </c>
      <c r="BF535">
        <v>4.99</v>
      </c>
      <c r="BG535">
        <v>-3.87</v>
      </c>
      <c r="BH535">
        <v>-5.53</v>
      </c>
      <c r="BI535">
        <v>3.78</v>
      </c>
      <c r="BJ535">
        <v>20210826</v>
      </c>
      <c r="BK535">
        <v>20070126</v>
      </c>
      <c r="BL535">
        <v>10.53</v>
      </c>
      <c r="BM535" t="s">
        <v>120</v>
      </c>
      <c r="BN535" t="s">
        <v>120</v>
      </c>
      <c r="BO535">
        <v>44.13</v>
      </c>
      <c r="BP535">
        <v>7.69</v>
      </c>
      <c r="BQ535">
        <v>42.15</v>
      </c>
      <c r="BR535" t="s">
        <v>120</v>
      </c>
      <c r="BS535">
        <v>4.4800000000000004</v>
      </c>
      <c r="BT535">
        <v>15.5</v>
      </c>
      <c r="BU535">
        <v>25.77</v>
      </c>
      <c r="BV535">
        <v>1.52</v>
      </c>
      <c r="BW535">
        <v>1.98</v>
      </c>
      <c r="BX535">
        <v>11.5</v>
      </c>
      <c r="BY535">
        <v>0.69</v>
      </c>
      <c r="BZ535">
        <v>1.38</v>
      </c>
      <c r="CA535" t="s">
        <v>120</v>
      </c>
      <c r="CB535">
        <v>22.31</v>
      </c>
      <c r="CC535">
        <v>13.86</v>
      </c>
      <c r="CD535">
        <v>9.75</v>
      </c>
      <c r="CE535">
        <v>3.42</v>
      </c>
      <c r="CF535">
        <v>0</v>
      </c>
      <c r="CG535">
        <v>3.41</v>
      </c>
      <c r="CH535">
        <v>2.91</v>
      </c>
      <c r="CI535">
        <v>2.91</v>
      </c>
      <c r="CJ535">
        <v>0.28999999999999998</v>
      </c>
      <c r="CK535">
        <v>2.91</v>
      </c>
      <c r="CL535">
        <v>7.55</v>
      </c>
      <c r="CM535">
        <v>3.38</v>
      </c>
      <c r="CN535">
        <v>1.31</v>
      </c>
      <c r="CO535">
        <v>40579</v>
      </c>
      <c r="CP535">
        <v>7948</v>
      </c>
      <c r="CQ535" t="s">
        <v>2516</v>
      </c>
      <c r="CR535">
        <v>415.5</v>
      </c>
      <c r="CS535">
        <v>59.04</v>
      </c>
      <c r="CT535">
        <v>1.92</v>
      </c>
      <c r="CU535">
        <v>23.97</v>
      </c>
      <c r="CV535">
        <v>5.84</v>
      </c>
      <c r="CW535">
        <v>0</v>
      </c>
      <c r="CX535" t="s">
        <v>3399</v>
      </c>
      <c r="CY535">
        <v>4</v>
      </c>
      <c r="CZ535">
        <v>0</v>
      </c>
      <c r="DA535">
        <v>2.12</v>
      </c>
      <c r="DB535">
        <v>0.72</v>
      </c>
      <c r="DC535">
        <v>0.32</v>
      </c>
      <c r="DD535">
        <v>95.52</v>
      </c>
      <c r="DE535" t="s">
        <v>3400</v>
      </c>
      <c r="DF535">
        <v>29.67</v>
      </c>
      <c r="DG535">
        <v>24.66</v>
      </c>
      <c r="DH535">
        <v>21</v>
      </c>
      <c r="DI535" t="s">
        <v>120</v>
      </c>
      <c r="DJ535">
        <v>1298</v>
      </c>
      <c r="DK535">
        <v>2109</v>
      </c>
      <c r="DL535">
        <v>20210712</v>
      </c>
      <c r="DM535">
        <v>5.9</v>
      </c>
      <c r="DN535">
        <v>30.34</v>
      </c>
    </row>
    <row r="536" spans="1:118">
      <c r="A536" t="str">
        <f>"002110"</f>
        <v>002110</v>
      </c>
      <c r="B536" t="s">
        <v>3401</v>
      </c>
      <c r="C536">
        <v>1.19</v>
      </c>
      <c r="D536">
        <v>0</v>
      </c>
      <c r="E536">
        <v>2.02</v>
      </c>
      <c r="F536">
        <v>6687</v>
      </c>
      <c r="G536" t="s">
        <v>3402</v>
      </c>
      <c r="H536">
        <v>64440.46</v>
      </c>
      <c r="I536">
        <v>257.52999999999997</v>
      </c>
      <c r="J536" t="s">
        <v>120</v>
      </c>
      <c r="K536" t="s">
        <v>3403</v>
      </c>
      <c r="L536">
        <v>2.35</v>
      </c>
      <c r="M536">
        <v>11.02</v>
      </c>
      <c r="N536">
        <v>0.86</v>
      </c>
      <c r="O536">
        <v>4.87</v>
      </c>
      <c r="P536">
        <v>11.42</v>
      </c>
      <c r="Q536">
        <v>0.83</v>
      </c>
      <c r="R536">
        <v>10.98</v>
      </c>
      <c r="S536">
        <v>11.11</v>
      </c>
      <c r="T536">
        <v>576416</v>
      </c>
      <c r="U536">
        <v>11.03</v>
      </c>
      <c r="V536">
        <v>10.89</v>
      </c>
      <c r="W536">
        <v>4.95</v>
      </c>
      <c r="X536" t="s">
        <v>1460</v>
      </c>
      <c r="Y536" t="s">
        <v>937</v>
      </c>
      <c r="Z536">
        <v>4.04</v>
      </c>
      <c r="AA536">
        <v>11.18</v>
      </c>
      <c r="AB536">
        <v>279828</v>
      </c>
      <c r="AC536">
        <v>296588</v>
      </c>
      <c r="AD536">
        <v>0.94</v>
      </c>
      <c r="AE536">
        <v>788</v>
      </c>
      <c r="AF536">
        <v>461</v>
      </c>
      <c r="AG536" t="s">
        <v>120</v>
      </c>
      <c r="AH536">
        <v>0.02</v>
      </c>
      <c r="AI536" t="s">
        <v>120</v>
      </c>
      <c r="AJ536">
        <v>24.52</v>
      </c>
      <c r="AK536" t="s">
        <v>3403</v>
      </c>
      <c r="AL536">
        <v>3.11</v>
      </c>
      <c r="AM536">
        <v>4515</v>
      </c>
      <c r="AN536">
        <v>128</v>
      </c>
      <c r="AO536">
        <v>5.0000000000000001E-4</v>
      </c>
      <c r="AP536">
        <v>1</v>
      </c>
      <c r="AQ536">
        <v>0</v>
      </c>
      <c r="AR536">
        <v>-2.31</v>
      </c>
      <c r="AS536">
        <v>22.85</v>
      </c>
      <c r="AT536">
        <v>64.48</v>
      </c>
      <c r="AU536">
        <v>75.48</v>
      </c>
      <c r="AV536">
        <v>2</v>
      </c>
      <c r="AW536">
        <v>5.55</v>
      </c>
      <c r="AX536">
        <v>42.38</v>
      </c>
      <c r="AY536">
        <v>6.5</v>
      </c>
      <c r="AZ536">
        <v>10.45</v>
      </c>
      <c r="BA536">
        <v>0.16</v>
      </c>
      <c r="BB536" t="s">
        <v>143</v>
      </c>
      <c r="BF536">
        <v>2.66</v>
      </c>
      <c r="BG536">
        <v>-0.81</v>
      </c>
      <c r="BH536">
        <v>-3.5</v>
      </c>
      <c r="BI536">
        <v>0.36</v>
      </c>
      <c r="BJ536">
        <v>20210913</v>
      </c>
      <c r="BK536">
        <v>20070126</v>
      </c>
      <c r="BL536">
        <v>24.52</v>
      </c>
      <c r="BM536" t="s">
        <v>120</v>
      </c>
      <c r="BN536" t="s">
        <v>120</v>
      </c>
      <c r="BO536">
        <v>481.58</v>
      </c>
      <c r="BP536">
        <v>11.02</v>
      </c>
      <c r="BQ536">
        <v>219.81</v>
      </c>
      <c r="BR536">
        <v>1.23</v>
      </c>
      <c r="BS536">
        <v>54.1</v>
      </c>
      <c r="BT536">
        <v>236.88</v>
      </c>
      <c r="BU536">
        <v>142.96</v>
      </c>
      <c r="BV536">
        <v>17.190000000000001</v>
      </c>
      <c r="BW536">
        <v>232.34</v>
      </c>
      <c r="BX536">
        <v>71.5</v>
      </c>
      <c r="BY536">
        <v>53.51</v>
      </c>
      <c r="BZ536">
        <v>0.24</v>
      </c>
      <c r="CA536" t="s">
        <v>120</v>
      </c>
      <c r="CB536">
        <v>39.89</v>
      </c>
      <c r="CC536">
        <v>310.82</v>
      </c>
      <c r="CD536">
        <v>263.52999999999997</v>
      </c>
      <c r="CE536">
        <v>36.159999999999997</v>
      </c>
      <c r="CF536">
        <v>0.47</v>
      </c>
      <c r="CG536">
        <v>36.479999999999997</v>
      </c>
      <c r="CH536">
        <v>27.39</v>
      </c>
      <c r="CI536">
        <v>27.29</v>
      </c>
      <c r="CJ536">
        <v>0.13</v>
      </c>
      <c r="CK536">
        <v>26.74</v>
      </c>
      <c r="CL536">
        <v>144.77000000000001</v>
      </c>
      <c r="CM536">
        <v>-7.43</v>
      </c>
      <c r="CN536">
        <v>-22.39</v>
      </c>
      <c r="CO536">
        <v>41055</v>
      </c>
      <c r="CP536">
        <v>25307</v>
      </c>
      <c r="CQ536" t="s">
        <v>1339</v>
      </c>
      <c r="CR536">
        <v>132.21</v>
      </c>
      <c r="CS536">
        <v>35.72</v>
      </c>
      <c r="CT536">
        <v>1.23</v>
      </c>
      <c r="CU536">
        <v>-36.36</v>
      </c>
      <c r="CV536">
        <v>0.87</v>
      </c>
      <c r="CW536">
        <v>4.09</v>
      </c>
      <c r="CX536" t="s">
        <v>3404</v>
      </c>
      <c r="CY536">
        <v>8.9700000000000006</v>
      </c>
      <c r="CZ536">
        <v>0</v>
      </c>
      <c r="DA536">
        <v>1.63</v>
      </c>
      <c r="DB536">
        <v>5.91</v>
      </c>
      <c r="DC536">
        <v>-0.3</v>
      </c>
      <c r="DD536">
        <v>45.64</v>
      </c>
      <c r="DE536" t="s">
        <v>3405</v>
      </c>
      <c r="DF536">
        <v>15.21</v>
      </c>
      <c r="DG536">
        <v>11.63</v>
      </c>
      <c r="DH536">
        <v>8.7799999999999994</v>
      </c>
      <c r="DI536">
        <v>5.99</v>
      </c>
      <c r="DJ536">
        <v>13920</v>
      </c>
      <c r="DK536">
        <v>2110</v>
      </c>
      <c r="DL536" t="s">
        <v>120</v>
      </c>
      <c r="DM536" t="s">
        <v>120</v>
      </c>
      <c r="DN536" t="s">
        <v>120</v>
      </c>
    </row>
    <row r="537" spans="1:118">
      <c r="A537" t="str">
        <f>"002111"</f>
        <v>002111</v>
      </c>
      <c r="B537" t="s">
        <v>3406</v>
      </c>
      <c r="C537">
        <v>-0.65</v>
      </c>
      <c r="D537">
        <v>-0.64</v>
      </c>
      <c r="E537">
        <v>-0.65</v>
      </c>
      <c r="F537">
        <v>3125</v>
      </c>
      <c r="G537" t="s">
        <v>3407</v>
      </c>
      <c r="H537">
        <v>8709.49</v>
      </c>
      <c r="I537">
        <v>18.3</v>
      </c>
      <c r="J537" t="s">
        <v>120</v>
      </c>
      <c r="K537" t="s">
        <v>3408</v>
      </c>
      <c r="L537">
        <v>1.32</v>
      </c>
      <c r="M537">
        <v>13.86</v>
      </c>
      <c r="N537">
        <v>0.55000000000000004</v>
      </c>
      <c r="O537">
        <v>1.43</v>
      </c>
      <c r="P537">
        <v>14.15</v>
      </c>
      <c r="Q537">
        <v>-1</v>
      </c>
      <c r="R537">
        <v>13.81</v>
      </c>
      <c r="S537">
        <v>13.86</v>
      </c>
      <c r="T537">
        <v>62223</v>
      </c>
      <c r="U537">
        <v>13.95</v>
      </c>
      <c r="V537">
        <v>13.95</v>
      </c>
      <c r="W537">
        <v>17.8</v>
      </c>
      <c r="X537" t="s">
        <v>1621</v>
      </c>
      <c r="Y537" t="s">
        <v>638</v>
      </c>
      <c r="Z537">
        <v>2.44</v>
      </c>
      <c r="AA537">
        <v>14</v>
      </c>
      <c r="AB537">
        <v>32687</v>
      </c>
      <c r="AC537">
        <v>29536</v>
      </c>
      <c r="AD537">
        <v>1.1100000000000001</v>
      </c>
      <c r="AE537">
        <v>348</v>
      </c>
      <c r="AF537">
        <v>775</v>
      </c>
      <c r="AG537" t="s">
        <v>120</v>
      </c>
      <c r="AH537">
        <v>0</v>
      </c>
      <c r="AI537" t="s">
        <v>120</v>
      </c>
      <c r="AJ537">
        <v>4.72</v>
      </c>
      <c r="AK537" t="s">
        <v>3409</v>
      </c>
      <c r="AL537">
        <v>1.27</v>
      </c>
      <c r="AM537">
        <v>2141</v>
      </c>
      <c r="AN537">
        <v>29</v>
      </c>
      <c r="AO537">
        <v>5.9999999999999995E-4</v>
      </c>
      <c r="AP537">
        <v>-1</v>
      </c>
      <c r="AQ537">
        <v>1.38</v>
      </c>
      <c r="AR537">
        <v>-3.21</v>
      </c>
      <c r="AS537">
        <v>-5.84</v>
      </c>
      <c r="AT537">
        <v>14.21</v>
      </c>
      <c r="AU537">
        <v>30.58</v>
      </c>
      <c r="AV537">
        <v>1</v>
      </c>
      <c r="AW537">
        <v>2.0099999999999998</v>
      </c>
      <c r="AX537">
        <v>57.83</v>
      </c>
      <c r="AY537">
        <v>16.12</v>
      </c>
      <c r="AZ537">
        <v>19.48</v>
      </c>
      <c r="BA537">
        <v>0.82</v>
      </c>
      <c r="BB537" t="s">
        <v>143</v>
      </c>
      <c r="BF537">
        <v>0.34</v>
      </c>
      <c r="BG537">
        <v>0</v>
      </c>
      <c r="BH537">
        <v>-2.0499999999999998</v>
      </c>
      <c r="BI537">
        <v>0.36</v>
      </c>
      <c r="BJ537">
        <v>20210910</v>
      </c>
      <c r="BK537">
        <v>20070126</v>
      </c>
      <c r="BL537">
        <v>5.35</v>
      </c>
      <c r="BM537" t="s">
        <v>120</v>
      </c>
      <c r="BN537" t="s">
        <v>120</v>
      </c>
      <c r="BO537">
        <v>54.51</v>
      </c>
      <c r="BP537">
        <v>13.86</v>
      </c>
      <c r="BQ537">
        <v>32.950000000000003</v>
      </c>
      <c r="BR537">
        <v>0.47</v>
      </c>
      <c r="BS537">
        <v>38.69</v>
      </c>
      <c r="BT537">
        <v>36.18</v>
      </c>
      <c r="BU537">
        <v>8.92</v>
      </c>
      <c r="BV537">
        <v>1.6</v>
      </c>
      <c r="BW537">
        <v>19.510000000000002</v>
      </c>
      <c r="BX537">
        <v>3.15</v>
      </c>
      <c r="BY537">
        <v>13.81</v>
      </c>
      <c r="BZ537">
        <v>14.44</v>
      </c>
      <c r="CA537" t="s">
        <v>120</v>
      </c>
      <c r="CB537">
        <v>13.53</v>
      </c>
      <c r="CC537">
        <v>14.3</v>
      </c>
      <c r="CD537">
        <v>9.32</v>
      </c>
      <c r="CE537">
        <v>2.41</v>
      </c>
      <c r="CF537">
        <v>0.06</v>
      </c>
      <c r="CG537">
        <v>2.41</v>
      </c>
      <c r="CH537">
        <v>2.09</v>
      </c>
      <c r="CI537">
        <v>2.08</v>
      </c>
      <c r="CJ537">
        <v>-0.09</v>
      </c>
      <c r="CK537">
        <v>1.95</v>
      </c>
      <c r="CL537">
        <v>13.93</v>
      </c>
      <c r="CM537">
        <v>-7.8</v>
      </c>
      <c r="CN537">
        <v>-4.09</v>
      </c>
      <c r="CO537">
        <v>29472</v>
      </c>
      <c r="CP537">
        <v>10488</v>
      </c>
      <c r="CQ537" t="s">
        <v>3410</v>
      </c>
      <c r="CR537">
        <v>62.01</v>
      </c>
      <c r="CS537">
        <v>34.619999999999997</v>
      </c>
      <c r="CT537">
        <v>2.25</v>
      </c>
      <c r="CU537">
        <v>-9.5</v>
      </c>
      <c r="CV537">
        <v>5.18</v>
      </c>
      <c r="CW537">
        <v>2.0499999999999998</v>
      </c>
      <c r="CX537" t="s">
        <v>3411</v>
      </c>
      <c r="CY537">
        <v>6.16</v>
      </c>
      <c r="CZ537">
        <v>0</v>
      </c>
      <c r="DA537">
        <v>2.5299999999999998</v>
      </c>
      <c r="DB537">
        <v>2.61</v>
      </c>
      <c r="DC537">
        <v>-1.46</v>
      </c>
      <c r="DD537">
        <v>60.45</v>
      </c>
      <c r="DE537" t="s">
        <v>1421</v>
      </c>
      <c r="DF537">
        <v>34.82</v>
      </c>
      <c r="DG537">
        <v>16.850000000000001</v>
      </c>
      <c r="DH537">
        <v>14.56</v>
      </c>
      <c r="DI537">
        <v>0.82</v>
      </c>
      <c r="DJ537">
        <v>2178</v>
      </c>
      <c r="DK537">
        <v>2111</v>
      </c>
      <c r="DL537" t="s">
        <v>120</v>
      </c>
      <c r="DM537" t="s">
        <v>120</v>
      </c>
      <c r="DN537" t="s">
        <v>120</v>
      </c>
    </row>
    <row r="538" spans="1:118">
      <c r="A538" t="str">
        <f>"002112"</f>
        <v>002112</v>
      </c>
      <c r="B538" t="s">
        <v>3412</v>
      </c>
      <c r="C538">
        <v>5.46</v>
      </c>
      <c r="D538">
        <v>1.68</v>
      </c>
      <c r="E538">
        <v>0.46</v>
      </c>
      <c r="F538">
        <v>8063</v>
      </c>
      <c r="G538" t="s">
        <v>3413</v>
      </c>
      <c r="H538">
        <v>21761.89</v>
      </c>
      <c r="I538">
        <v>219.1</v>
      </c>
      <c r="J538" t="s">
        <v>120</v>
      </c>
      <c r="K538" t="s">
        <v>3414</v>
      </c>
      <c r="L538">
        <v>12.51</v>
      </c>
      <c r="M538">
        <v>9.08</v>
      </c>
      <c r="N538">
        <v>1.54</v>
      </c>
      <c r="O538">
        <v>5.46</v>
      </c>
      <c r="P538">
        <v>9.08</v>
      </c>
      <c r="Q538">
        <v>-1.51</v>
      </c>
      <c r="R538">
        <v>8.48</v>
      </c>
      <c r="S538">
        <v>8.65</v>
      </c>
      <c r="T538">
        <v>248741</v>
      </c>
      <c r="U538">
        <v>9.08</v>
      </c>
      <c r="V538">
        <v>8.61</v>
      </c>
      <c r="W538">
        <v>154.19</v>
      </c>
      <c r="X538" t="s">
        <v>394</v>
      </c>
      <c r="Y538" t="s">
        <v>585</v>
      </c>
      <c r="Z538">
        <v>6.97</v>
      </c>
      <c r="AA538">
        <v>8.75</v>
      </c>
      <c r="AB538">
        <v>133716</v>
      </c>
      <c r="AC538">
        <v>115025</v>
      </c>
      <c r="AD538">
        <v>1.1599999999999999</v>
      </c>
      <c r="AE538">
        <v>51</v>
      </c>
      <c r="AF538">
        <v>159</v>
      </c>
      <c r="AG538" t="s">
        <v>120</v>
      </c>
      <c r="AH538">
        <v>0.2</v>
      </c>
      <c r="AI538" t="s">
        <v>120</v>
      </c>
      <c r="AJ538">
        <v>1.99</v>
      </c>
      <c r="AK538" t="s">
        <v>3415</v>
      </c>
      <c r="AL538">
        <v>7.37</v>
      </c>
      <c r="AM538">
        <v>3288</v>
      </c>
      <c r="AN538">
        <v>76</v>
      </c>
      <c r="AO538">
        <v>3.8E-3</v>
      </c>
      <c r="AP538">
        <v>3</v>
      </c>
      <c r="AQ538">
        <v>3.24</v>
      </c>
      <c r="AR538">
        <v>9.27</v>
      </c>
      <c r="AS538">
        <v>21.55</v>
      </c>
      <c r="AT538">
        <v>25.24</v>
      </c>
      <c r="AU538">
        <v>11.01</v>
      </c>
      <c r="AV538">
        <v>2</v>
      </c>
      <c r="AW538">
        <v>20.059999999999999</v>
      </c>
      <c r="AX538">
        <v>61.5</v>
      </c>
      <c r="AY538">
        <v>62.53</v>
      </c>
      <c r="AZ538">
        <v>54.72</v>
      </c>
      <c r="BA538">
        <v>0.52</v>
      </c>
      <c r="BB538" t="s">
        <v>341</v>
      </c>
      <c r="BF538">
        <v>1.61</v>
      </c>
      <c r="BG538">
        <v>4.97</v>
      </c>
      <c r="BH538">
        <v>0</v>
      </c>
      <c r="BI538">
        <v>7.08</v>
      </c>
      <c r="BJ538">
        <v>20210830</v>
      </c>
      <c r="BK538">
        <v>20070208</v>
      </c>
      <c r="BL538">
        <v>2.02</v>
      </c>
      <c r="BM538" t="s">
        <v>120</v>
      </c>
      <c r="BN538" t="s">
        <v>120</v>
      </c>
      <c r="BO538">
        <v>11.8</v>
      </c>
      <c r="BP538">
        <v>9.06</v>
      </c>
      <c r="BQ538">
        <v>4.03</v>
      </c>
      <c r="BR538" t="s">
        <v>120</v>
      </c>
      <c r="BS538">
        <v>65.83</v>
      </c>
      <c r="BT538">
        <v>8.66</v>
      </c>
      <c r="BU538">
        <v>1.68</v>
      </c>
      <c r="BV538">
        <v>0.38</v>
      </c>
      <c r="BW538">
        <v>7.31</v>
      </c>
      <c r="BX538">
        <v>0.59</v>
      </c>
      <c r="BY538">
        <v>2.95</v>
      </c>
      <c r="BZ538">
        <v>3.89</v>
      </c>
      <c r="CA538" t="s">
        <v>120</v>
      </c>
      <c r="CB538">
        <v>0.84</v>
      </c>
      <c r="CC538">
        <v>4.29</v>
      </c>
      <c r="CD538">
        <v>3.6</v>
      </c>
      <c r="CE538">
        <v>0.06</v>
      </c>
      <c r="CF538">
        <v>-0.01</v>
      </c>
      <c r="CG538">
        <v>0.06</v>
      </c>
      <c r="CH538">
        <v>0.06</v>
      </c>
      <c r="CI538">
        <v>0.06</v>
      </c>
      <c r="CJ538">
        <v>0.47</v>
      </c>
      <c r="CK538">
        <v>0.03</v>
      </c>
      <c r="CL538">
        <v>1.06</v>
      </c>
      <c r="CM538">
        <v>-0.46</v>
      </c>
      <c r="CN538">
        <v>0.05</v>
      </c>
      <c r="CO538">
        <v>17635</v>
      </c>
      <c r="CP538">
        <v>7031</v>
      </c>
      <c r="CQ538" t="s">
        <v>3287</v>
      </c>
      <c r="CR538">
        <v>-40.049999999999997</v>
      </c>
      <c r="CS538">
        <v>25.38</v>
      </c>
      <c r="CT538">
        <v>4.54</v>
      </c>
      <c r="CU538">
        <v>-40.049999999999997</v>
      </c>
      <c r="CV538">
        <v>4.2699999999999996</v>
      </c>
      <c r="CW538">
        <v>0</v>
      </c>
      <c r="CX538" t="s">
        <v>2074</v>
      </c>
      <c r="CY538">
        <v>2</v>
      </c>
      <c r="CZ538">
        <v>0</v>
      </c>
      <c r="DA538">
        <v>0.42</v>
      </c>
      <c r="DB538">
        <v>0.53</v>
      </c>
      <c r="DC538">
        <v>-0.23</v>
      </c>
      <c r="DD538">
        <v>34.17</v>
      </c>
      <c r="DE538" t="s">
        <v>3416</v>
      </c>
      <c r="DF538">
        <v>16.03</v>
      </c>
      <c r="DG538">
        <v>1.37</v>
      </c>
      <c r="DH538">
        <v>1.38</v>
      </c>
      <c r="DI538">
        <v>0.08</v>
      </c>
      <c r="DJ538">
        <v>689</v>
      </c>
      <c r="DK538">
        <v>2112</v>
      </c>
      <c r="DL538" t="s">
        <v>120</v>
      </c>
      <c r="DM538" t="s">
        <v>120</v>
      </c>
      <c r="DN538" t="s">
        <v>120</v>
      </c>
    </row>
    <row r="539" spans="1:118">
      <c r="A539" t="str">
        <f>"002114"</f>
        <v>002114</v>
      </c>
      <c r="B539" t="s">
        <v>3417</v>
      </c>
      <c r="C539">
        <v>-5.13</v>
      </c>
      <c r="D539">
        <v>0.49</v>
      </c>
      <c r="E539">
        <v>2.33</v>
      </c>
      <c r="F539">
        <v>5757</v>
      </c>
      <c r="G539" t="s">
        <v>3418</v>
      </c>
      <c r="H539">
        <v>65455.47</v>
      </c>
      <c r="I539">
        <v>1146.53</v>
      </c>
      <c r="J539" t="s">
        <v>120</v>
      </c>
      <c r="K539" t="s">
        <v>287</v>
      </c>
      <c r="L539">
        <v>18.97</v>
      </c>
      <c r="M539">
        <v>10.18</v>
      </c>
      <c r="N539">
        <v>1.87</v>
      </c>
      <c r="O539">
        <v>4.1900000000000004</v>
      </c>
      <c r="P539">
        <v>11.18</v>
      </c>
      <c r="Q539">
        <v>-5.78</v>
      </c>
      <c r="R539">
        <v>10.11</v>
      </c>
      <c r="S539">
        <v>10.98</v>
      </c>
      <c r="T539">
        <v>613555</v>
      </c>
      <c r="U539">
        <v>10.19</v>
      </c>
      <c r="V539">
        <v>10.73</v>
      </c>
      <c r="W539">
        <v>49.69</v>
      </c>
      <c r="X539" t="s">
        <v>439</v>
      </c>
      <c r="Y539" t="s">
        <v>1006</v>
      </c>
      <c r="Z539">
        <v>9.9700000000000006</v>
      </c>
      <c r="AA539">
        <v>10.67</v>
      </c>
      <c r="AB539">
        <v>322094</v>
      </c>
      <c r="AC539">
        <v>291461</v>
      </c>
      <c r="AD539">
        <v>1.1100000000000001</v>
      </c>
      <c r="AE539">
        <v>416</v>
      </c>
      <c r="AF539">
        <v>65</v>
      </c>
      <c r="AG539" t="s">
        <v>120</v>
      </c>
      <c r="AH539">
        <v>0.44</v>
      </c>
      <c r="AI539" t="s">
        <v>120</v>
      </c>
      <c r="AJ539">
        <v>3.23</v>
      </c>
      <c r="AK539" t="s">
        <v>287</v>
      </c>
      <c r="AL539">
        <v>-3.21</v>
      </c>
      <c r="AM539">
        <v>4409</v>
      </c>
      <c r="AN539">
        <v>139</v>
      </c>
      <c r="AO539">
        <v>4.3E-3</v>
      </c>
      <c r="AP539">
        <v>-1</v>
      </c>
      <c r="AQ539">
        <v>10.050000000000001</v>
      </c>
      <c r="AR539">
        <v>0.49</v>
      </c>
      <c r="AS539">
        <v>32.380000000000003</v>
      </c>
      <c r="AT539">
        <v>53.54</v>
      </c>
      <c r="AU539">
        <v>25.53</v>
      </c>
      <c r="AV539">
        <v>6</v>
      </c>
      <c r="AW539">
        <v>26.13</v>
      </c>
      <c r="AX539">
        <v>72.599999999999994</v>
      </c>
      <c r="AY539">
        <v>60.13</v>
      </c>
      <c r="AZ539" t="s">
        <v>120</v>
      </c>
      <c r="BA539">
        <v>0.25</v>
      </c>
      <c r="BB539" t="s">
        <v>751</v>
      </c>
      <c r="BF539">
        <v>-0.57999999999999996</v>
      </c>
      <c r="BG539">
        <v>-7.29</v>
      </c>
      <c r="BH539">
        <v>-8.94</v>
      </c>
      <c r="BI539">
        <v>0.69</v>
      </c>
      <c r="BJ539">
        <v>20210813</v>
      </c>
      <c r="BK539">
        <v>20070215</v>
      </c>
      <c r="BL539">
        <v>3.23</v>
      </c>
      <c r="BM539" t="s">
        <v>120</v>
      </c>
      <c r="BN539" t="s">
        <v>120</v>
      </c>
      <c r="BO539">
        <v>24.84</v>
      </c>
      <c r="BP539">
        <v>10.18</v>
      </c>
      <c r="BQ539">
        <v>14.74</v>
      </c>
      <c r="BR539">
        <v>0.42</v>
      </c>
      <c r="BS539">
        <v>38.94</v>
      </c>
      <c r="BT539">
        <v>7.76</v>
      </c>
      <c r="BU539">
        <v>6.58</v>
      </c>
      <c r="BV539">
        <v>8.68</v>
      </c>
      <c r="BW539">
        <v>8.6</v>
      </c>
      <c r="BX539">
        <v>3.78</v>
      </c>
      <c r="BY539">
        <v>2.84</v>
      </c>
      <c r="BZ539">
        <v>0.14000000000000001</v>
      </c>
      <c r="CA539" t="s">
        <v>120</v>
      </c>
      <c r="CB539">
        <v>14.95</v>
      </c>
      <c r="CC539">
        <v>9.94</v>
      </c>
      <c r="CD539">
        <v>8.7200000000000006</v>
      </c>
      <c r="CE539">
        <v>0.42</v>
      </c>
      <c r="CF539">
        <v>-0.04</v>
      </c>
      <c r="CG539">
        <v>0.42</v>
      </c>
      <c r="CH539">
        <v>0.35</v>
      </c>
      <c r="CI539">
        <v>0.33</v>
      </c>
      <c r="CJ539">
        <v>-0.55000000000000004</v>
      </c>
      <c r="CK539">
        <v>0.3</v>
      </c>
      <c r="CL539">
        <v>-3.92</v>
      </c>
      <c r="CM539">
        <v>0.17</v>
      </c>
      <c r="CN539">
        <v>0.2</v>
      </c>
      <c r="CO539">
        <v>34635</v>
      </c>
      <c r="CP539">
        <v>6779</v>
      </c>
      <c r="CQ539" t="s">
        <v>3419</v>
      </c>
      <c r="CR539">
        <v>121.81</v>
      </c>
      <c r="CS539">
        <v>88.5</v>
      </c>
      <c r="CT539">
        <v>2.23</v>
      </c>
      <c r="CU539">
        <v>193.82</v>
      </c>
      <c r="CV539">
        <v>3.31</v>
      </c>
      <c r="CW539">
        <v>0</v>
      </c>
      <c r="CX539" t="s">
        <v>411</v>
      </c>
      <c r="CY539">
        <v>4.5599999999999996</v>
      </c>
      <c r="CZ539">
        <v>0</v>
      </c>
      <c r="DA539">
        <v>4.62</v>
      </c>
      <c r="DB539">
        <v>-1.21</v>
      </c>
      <c r="DC539">
        <v>0.05</v>
      </c>
      <c r="DD539">
        <v>59.36</v>
      </c>
      <c r="DE539" t="s">
        <v>2649</v>
      </c>
      <c r="DF539">
        <v>12.24</v>
      </c>
      <c r="DG539">
        <v>4.26</v>
      </c>
      <c r="DH539">
        <v>3.33</v>
      </c>
      <c r="DI539">
        <v>0.02</v>
      </c>
      <c r="DJ539">
        <v>1696</v>
      </c>
      <c r="DK539">
        <v>2114</v>
      </c>
      <c r="DL539">
        <v>20210915</v>
      </c>
      <c r="DM539">
        <v>10.73</v>
      </c>
      <c r="DN539">
        <v>-5.13</v>
      </c>
    </row>
    <row r="540" spans="1:118">
      <c r="A540" t="str">
        <f>"002115"</f>
        <v>002115</v>
      </c>
      <c r="B540" t="s">
        <v>3420</v>
      </c>
      <c r="C540">
        <v>-1.27</v>
      </c>
      <c r="D540">
        <v>0</v>
      </c>
      <c r="E540">
        <v>0</v>
      </c>
      <c r="F540">
        <v>734</v>
      </c>
      <c r="G540" t="s">
        <v>3421</v>
      </c>
      <c r="H540">
        <v>4540.1000000000004</v>
      </c>
      <c r="I540">
        <v>10.78</v>
      </c>
      <c r="J540" t="s">
        <v>120</v>
      </c>
      <c r="K540" t="s">
        <v>3422</v>
      </c>
      <c r="L540">
        <v>1.42</v>
      </c>
      <c r="M540">
        <v>5.46</v>
      </c>
      <c r="N540">
        <v>0.72</v>
      </c>
      <c r="O540">
        <v>1.27</v>
      </c>
      <c r="P540">
        <v>5.6</v>
      </c>
      <c r="Q540">
        <v>-1.27</v>
      </c>
      <c r="R540">
        <v>5.46</v>
      </c>
      <c r="S540">
        <v>5.53</v>
      </c>
      <c r="T540">
        <v>82061</v>
      </c>
      <c r="U540">
        <v>5.47</v>
      </c>
      <c r="V540">
        <v>5.53</v>
      </c>
      <c r="W540">
        <v>55.51</v>
      </c>
      <c r="X540" t="s">
        <v>339</v>
      </c>
      <c r="Y540" t="s">
        <v>585</v>
      </c>
      <c r="Z540">
        <v>2.5299999999999998</v>
      </c>
      <c r="AA540">
        <v>5.53</v>
      </c>
      <c r="AB540">
        <v>45859</v>
      </c>
      <c r="AC540">
        <v>36202</v>
      </c>
      <c r="AD540">
        <v>1.27</v>
      </c>
      <c r="AE540">
        <v>1065</v>
      </c>
      <c r="AF540">
        <v>796</v>
      </c>
      <c r="AG540" t="s">
        <v>120</v>
      </c>
      <c r="AH540">
        <v>0</v>
      </c>
      <c r="AI540" t="s">
        <v>120</v>
      </c>
      <c r="AJ540">
        <v>5.77</v>
      </c>
      <c r="AK540" t="s">
        <v>155</v>
      </c>
      <c r="AL540">
        <v>0.65</v>
      </c>
      <c r="AM540">
        <v>1699</v>
      </c>
      <c r="AN540">
        <v>48</v>
      </c>
      <c r="AO540">
        <v>8.0000000000000004E-4</v>
      </c>
      <c r="AP540">
        <v>-1</v>
      </c>
      <c r="AQ540">
        <v>1.1000000000000001</v>
      </c>
      <c r="AR540">
        <v>-3.36</v>
      </c>
      <c r="AS540">
        <v>5.41</v>
      </c>
      <c r="AT540">
        <v>-5.54</v>
      </c>
      <c r="AU540">
        <v>-10.35</v>
      </c>
      <c r="AV540">
        <v>0</v>
      </c>
      <c r="AW540">
        <v>1.68</v>
      </c>
      <c r="AX540">
        <v>68.03</v>
      </c>
      <c r="AY540">
        <v>52.18</v>
      </c>
      <c r="AZ540">
        <v>225.6</v>
      </c>
      <c r="BA540">
        <v>0.67</v>
      </c>
      <c r="BB540" t="s">
        <v>143</v>
      </c>
      <c r="BF540">
        <v>0.05</v>
      </c>
      <c r="BG540">
        <v>-1.27</v>
      </c>
      <c r="BH540">
        <v>-2.5</v>
      </c>
      <c r="BI540">
        <v>0</v>
      </c>
      <c r="BJ540">
        <v>20210831</v>
      </c>
      <c r="BK540">
        <v>20070215</v>
      </c>
      <c r="BL540">
        <v>7.17</v>
      </c>
      <c r="BM540" t="s">
        <v>120</v>
      </c>
      <c r="BN540" t="s">
        <v>120</v>
      </c>
      <c r="BO540">
        <v>44.03</v>
      </c>
      <c r="BP540">
        <v>5.46</v>
      </c>
      <c r="BQ540">
        <v>25.35</v>
      </c>
      <c r="BR540">
        <v>0.59</v>
      </c>
      <c r="BS540">
        <v>41.09</v>
      </c>
      <c r="BT540">
        <v>22.16</v>
      </c>
      <c r="BU540">
        <v>5.91</v>
      </c>
      <c r="BV540">
        <v>0.79</v>
      </c>
      <c r="BW540">
        <v>16.68</v>
      </c>
      <c r="BX540">
        <v>5.72</v>
      </c>
      <c r="BY540">
        <v>3.55</v>
      </c>
      <c r="BZ540">
        <v>9.6</v>
      </c>
      <c r="CA540">
        <v>0.17</v>
      </c>
      <c r="CB540">
        <v>12.26</v>
      </c>
      <c r="CC540">
        <v>52.16</v>
      </c>
      <c r="CD540">
        <v>50.11</v>
      </c>
      <c r="CE540">
        <v>0.64</v>
      </c>
      <c r="CF540">
        <v>-0.01</v>
      </c>
      <c r="CG540">
        <v>0.57999999999999996</v>
      </c>
      <c r="CH540">
        <v>0.27</v>
      </c>
      <c r="CI540">
        <v>0.35</v>
      </c>
      <c r="CJ540">
        <v>-7.0000000000000007E-2</v>
      </c>
      <c r="CK540">
        <v>0.33</v>
      </c>
      <c r="CL540">
        <v>5.1100000000000003</v>
      </c>
      <c r="CM540">
        <v>-2.77</v>
      </c>
      <c r="CN540">
        <v>-4.18</v>
      </c>
      <c r="CO540">
        <v>66371</v>
      </c>
      <c r="CP540">
        <v>7349</v>
      </c>
      <c r="CQ540" t="s">
        <v>2782</v>
      </c>
      <c r="CR540">
        <v>252.31</v>
      </c>
      <c r="CS540">
        <v>32.85</v>
      </c>
      <c r="CT540">
        <v>1.54</v>
      </c>
      <c r="CU540">
        <v>-14.15</v>
      </c>
      <c r="CV540">
        <v>0.75</v>
      </c>
      <c r="CW540">
        <v>0</v>
      </c>
      <c r="CX540" t="s">
        <v>1603</v>
      </c>
      <c r="CY540">
        <v>3.54</v>
      </c>
      <c r="CZ540">
        <v>0</v>
      </c>
      <c r="DA540">
        <v>1.71</v>
      </c>
      <c r="DB540">
        <v>0.71</v>
      </c>
      <c r="DC540">
        <v>-0.39</v>
      </c>
      <c r="DD540">
        <v>57.57</v>
      </c>
      <c r="DE540" t="s">
        <v>3423</v>
      </c>
      <c r="DF540">
        <v>3.94</v>
      </c>
      <c r="DG540">
        <v>1.22</v>
      </c>
      <c r="DH540">
        <v>0.68</v>
      </c>
      <c r="DI540">
        <v>0.46</v>
      </c>
      <c r="DJ540">
        <v>1059</v>
      </c>
      <c r="DK540">
        <v>2115</v>
      </c>
      <c r="DL540" t="s">
        <v>120</v>
      </c>
      <c r="DM540" t="s">
        <v>120</v>
      </c>
      <c r="DN540" t="s">
        <v>120</v>
      </c>
    </row>
    <row r="541" spans="1:118">
      <c r="A541" t="str">
        <f>"002116"</f>
        <v>002116</v>
      </c>
      <c r="B541" t="s">
        <v>3424</v>
      </c>
      <c r="C541">
        <v>-0.28000000000000003</v>
      </c>
      <c r="D541">
        <v>0.14000000000000001</v>
      </c>
      <c r="E541">
        <v>-0.56999999999999995</v>
      </c>
      <c r="F541">
        <v>200</v>
      </c>
      <c r="G541" t="s">
        <v>3425</v>
      </c>
      <c r="H541">
        <v>2171.9299999999998</v>
      </c>
      <c r="I541">
        <v>0.7</v>
      </c>
      <c r="J541" t="s">
        <v>120</v>
      </c>
      <c r="K541" t="s">
        <v>3426</v>
      </c>
      <c r="L541">
        <v>0.73</v>
      </c>
      <c r="M541">
        <v>7.04</v>
      </c>
      <c r="N541">
        <v>0.87</v>
      </c>
      <c r="O541">
        <v>2.83</v>
      </c>
      <c r="P541">
        <v>7.26</v>
      </c>
      <c r="Q541">
        <v>-0.71</v>
      </c>
      <c r="R541">
        <v>7.01</v>
      </c>
      <c r="S541">
        <v>7.02</v>
      </c>
      <c r="T541">
        <v>30384</v>
      </c>
      <c r="U541">
        <v>7.04</v>
      </c>
      <c r="V541">
        <v>7.06</v>
      </c>
      <c r="W541">
        <v>17.34</v>
      </c>
      <c r="X541" t="s">
        <v>175</v>
      </c>
      <c r="Y541" t="s">
        <v>1510</v>
      </c>
      <c r="Z541">
        <v>3.54</v>
      </c>
      <c r="AA541">
        <v>7.15</v>
      </c>
      <c r="AB541">
        <v>14332</v>
      </c>
      <c r="AC541">
        <v>16052</v>
      </c>
      <c r="AD541">
        <v>0.89</v>
      </c>
      <c r="AE541">
        <v>347</v>
      </c>
      <c r="AF541">
        <v>40</v>
      </c>
      <c r="AG541" t="s">
        <v>120</v>
      </c>
      <c r="AH541">
        <v>0</v>
      </c>
      <c r="AI541" t="s">
        <v>120</v>
      </c>
      <c r="AJ541">
        <v>4.16</v>
      </c>
      <c r="AK541" t="s">
        <v>3427</v>
      </c>
      <c r="AL541">
        <v>1.63</v>
      </c>
      <c r="AM541">
        <v>1777</v>
      </c>
      <c r="AN541">
        <v>17</v>
      </c>
      <c r="AO541">
        <v>4.0000000000000002E-4</v>
      </c>
      <c r="AP541">
        <v>-3</v>
      </c>
      <c r="AQ541">
        <v>-0.14000000000000001</v>
      </c>
      <c r="AR541">
        <v>-1.1200000000000001</v>
      </c>
      <c r="AS541">
        <v>18.32</v>
      </c>
      <c r="AT541">
        <v>11.04</v>
      </c>
      <c r="AU541">
        <v>1.64</v>
      </c>
      <c r="AV541">
        <v>0</v>
      </c>
      <c r="AW541">
        <v>1.72</v>
      </c>
      <c r="AX541">
        <v>42.32</v>
      </c>
      <c r="AY541">
        <v>13.76</v>
      </c>
      <c r="AZ541">
        <v>46.18</v>
      </c>
      <c r="BA541">
        <v>0.28000000000000003</v>
      </c>
      <c r="BB541" t="s">
        <v>143</v>
      </c>
      <c r="BF541">
        <v>1.25</v>
      </c>
      <c r="BG541">
        <v>0.28000000000000003</v>
      </c>
      <c r="BH541">
        <v>-3.03</v>
      </c>
      <c r="BI541">
        <v>0.43</v>
      </c>
      <c r="BJ541">
        <v>20210827</v>
      </c>
      <c r="BK541">
        <v>20070215</v>
      </c>
      <c r="BL541">
        <v>4.18</v>
      </c>
      <c r="BM541" t="s">
        <v>120</v>
      </c>
      <c r="BN541" t="s">
        <v>120</v>
      </c>
      <c r="BO541">
        <v>47.24</v>
      </c>
      <c r="BP541">
        <v>7.03</v>
      </c>
      <c r="BQ541">
        <v>14.52</v>
      </c>
      <c r="BR541" t="s">
        <v>120</v>
      </c>
      <c r="BS541">
        <v>69.260000000000005</v>
      </c>
      <c r="BT541">
        <v>41.78</v>
      </c>
      <c r="BU541">
        <v>2.06</v>
      </c>
      <c r="BV541">
        <v>0.5</v>
      </c>
      <c r="BW541">
        <v>32.36</v>
      </c>
      <c r="BX541">
        <v>20.89</v>
      </c>
      <c r="BY541">
        <v>0.56000000000000005</v>
      </c>
      <c r="BZ541">
        <v>7.19</v>
      </c>
      <c r="CA541">
        <v>0.03</v>
      </c>
      <c r="CB541">
        <v>0.96</v>
      </c>
      <c r="CC541">
        <v>22.66</v>
      </c>
      <c r="CD541">
        <v>20.05</v>
      </c>
      <c r="CE541">
        <v>0.99</v>
      </c>
      <c r="CF541">
        <v>0.03</v>
      </c>
      <c r="CG541">
        <v>0.99</v>
      </c>
      <c r="CH541">
        <v>0.85</v>
      </c>
      <c r="CI541">
        <v>0.85</v>
      </c>
      <c r="CJ541">
        <v>-0.02</v>
      </c>
      <c r="CK541">
        <v>0.82</v>
      </c>
      <c r="CL541">
        <v>7.41</v>
      </c>
      <c r="CM541">
        <v>-0.38</v>
      </c>
      <c r="CN541">
        <v>-0.85</v>
      </c>
      <c r="CO541">
        <v>16148</v>
      </c>
      <c r="CP541">
        <v>10945</v>
      </c>
      <c r="CQ541" t="s">
        <v>3428</v>
      </c>
      <c r="CR541">
        <v>229.21</v>
      </c>
      <c r="CS541">
        <v>25.5</v>
      </c>
      <c r="CT541">
        <v>2.02</v>
      </c>
      <c r="CU541">
        <v>-78.209999999999994</v>
      </c>
      <c r="CV541">
        <v>1.3</v>
      </c>
      <c r="CW541">
        <v>1.19</v>
      </c>
      <c r="CX541" t="s">
        <v>492</v>
      </c>
      <c r="CY541">
        <v>3.48</v>
      </c>
      <c r="CZ541">
        <v>0</v>
      </c>
      <c r="DA541">
        <v>0.23</v>
      </c>
      <c r="DB541">
        <v>1.77</v>
      </c>
      <c r="DC541">
        <v>-0.09</v>
      </c>
      <c r="DD541">
        <v>30.74</v>
      </c>
      <c r="DE541" t="s">
        <v>2219</v>
      </c>
      <c r="DF541">
        <v>11.54</v>
      </c>
      <c r="DG541">
        <v>4.37</v>
      </c>
      <c r="DH541">
        <v>3.74</v>
      </c>
      <c r="DI541">
        <v>0.62</v>
      </c>
      <c r="DJ541">
        <v>4803</v>
      </c>
      <c r="DK541">
        <v>2116</v>
      </c>
      <c r="DL541" t="s">
        <v>120</v>
      </c>
      <c r="DM541" t="s">
        <v>120</v>
      </c>
      <c r="DN541" t="s">
        <v>120</v>
      </c>
    </row>
    <row r="542" spans="1:118">
      <c r="A542" t="str">
        <f>"002117"</f>
        <v>002117</v>
      </c>
      <c r="B542" t="s">
        <v>3429</v>
      </c>
      <c r="C542">
        <v>-0.13</v>
      </c>
      <c r="D542">
        <v>0</v>
      </c>
      <c r="E542">
        <v>0.25</v>
      </c>
      <c r="F542">
        <v>477</v>
      </c>
      <c r="G542" t="s">
        <v>707</v>
      </c>
      <c r="H542">
        <v>5808.1</v>
      </c>
      <c r="I542">
        <v>26.99</v>
      </c>
      <c r="J542" t="s">
        <v>120</v>
      </c>
      <c r="K542" t="s">
        <v>582</v>
      </c>
      <c r="L542">
        <v>1.31</v>
      </c>
      <c r="M542">
        <v>7.98</v>
      </c>
      <c r="N542">
        <v>1</v>
      </c>
      <c r="O542">
        <v>3.13</v>
      </c>
      <c r="P542">
        <v>8.24</v>
      </c>
      <c r="Q542">
        <v>-0.5</v>
      </c>
      <c r="R542">
        <v>7.95</v>
      </c>
      <c r="S542">
        <v>8.01</v>
      </c>
      <c r="T542">
        <v>71646</v>
      </c>
      <c r="U542">
        <v>7.99</v>
      </c>
      <c r="V542">
        <v>7.99</v>
      </c>
      <c r="W542">
        <v>24.16</v>
      </c>
      <c r="X542" t="s">
        <v>339</v>
      </c>
      <c r="Y542" t="s">
        <v>638</v>
      </c>
      <c r="Z542">
        <v>3.63</v>
      </c>
      <c r="AA542">
        <v>8.11</v>
      </c>
      <c r="AB542">
        <v>36855</v>
      </c>
      <c r="AC542">
        <v>34791</v>
      </c>
      <c r="AD542">
        <v>1.06</v>
      </c>
      <c r="AE542">
        <v>47</v>
      </c>
      <c r="AF542">
        <v>224</v>
      </c>
      <c r="AG542" t="s">
        <v>120</v>
      </c>
      <c r="AH542">
        <v>0.01</v>
      </c>
      <c r="AI542" t="s">
        <v>120</v>
      </c>
      <c r="AJ542">
        <v>5.45</v>
      </c>
      <c r="AK542" t="s">
        <v>3430</v>
      </c>
      <c r="AL542">
        <v>1.79</v>
      </c>
      <c r="AM542">
        <v>1952</v>
      </c>
      <c r="AN542">
        <v>37</v>
      </c>
      <c r="AO542">
        <v>6.9999999999999999E-4</v>
      </c>
      <c r="AP542">
        <v>-3</v>
      </c>
      <c r="AQ542">
        <v>-0.25</v>
      </c>
      <c r="AR542">
        <v>-2.33</v>
      </c>
      <c r="AS542">
        <v>9.61</v>
      </c>
      <c r="AT542">
        <v>-8.27</v>
      </c>
      <c r="AU542">
        <v>-3.85</v>
      </c>
      <c r="AV542">
        <v>1</v>
      </c>
      <c r="AW542">
        <v>1.9</v>
      </c>
      <c r="AX542">
        <v>69.180000000000007</v>
      </c>
      <c r="AY542">
        <v>24.28</v>
      </c>
      <c r="AZ542">
        <v>26.69</v>
      </c>
      <c r="BA542">
        <v>0.52</v>
      </c>
      <c r="BB542" t="s">
        <v>143</v>
      </c>
      <c r="BF542">
        <v>1.46</v>
      </c>
      <c r="BG542">
        <v>-0.37</v>
      </c>
      <c r="BH542">
        <v>-3.16</v>
      </c>
      <c r="BI542">
        <v>0.38</v>
      </c>
      <c r="BJ542">
        <v>20210915</v>
      </c>
      <c r="BK542">
        <v>20070302</v>
      </c>
      <c r="BL542">
        <v>5.46</v>
      </c>
      <c r="BM542" t="s">
        <v>120</v>
      </c>
      <c r="BN542" t="s">
        <v>120</v>
      </c>
      <c r="BO542">
        <v>20.32</v>
      </c>
      <c r="BP542">
        <v>7.98</v>
      </c>
      <c r="BQ542">
        <v>14.7</v>
      </c>
      <c r="BR542">
        <v>0.16</v>
      </c>
      <c r="BS542">
        <v>26.86</v>
      </c>
      <c r="BT542">
        <v>10.81</v>
      </c>
      <c r="BU542">
        <v>7.73</v>
      </c>
      <c r="BV542">
        <v>0.84</v>
      </c>
      <c r="BW542">
        <v>5.22</v>
      </c>
      <c r="BX542">
        <v>1.56</v>
      </c>
      <c r="BY542">
        <v>0.94</v>
      </c>
      <c r="BZ542">
        <v>2.5099999999999998</v>
      </c>
      <c r="CA542">
        <v>0.01</v>
      </c>
      <c r="CB542">
        <v>2.64</v>
      </c>
      <c r="CC542">
        <v>6.01</v>
      </c>
      <c r="CD542">
        <v>3.61</v>
      </c>
      <c r="CE542">
        <v>1.1200000000000001</v>
      </c>
      <c r="CF542">
        <v>0.04</v>
      </c>
      <c r="CG542">
        <v>1.1499999999999999</v>
      </c>
      <c r="CH542">
        <v>0.93</v>
      </c>
      <c r="CI542">
        <v>0.9</v>
      </c>
      <c r="CJ542">
        <v>-0.01</v>
      </c>
      <c r="CK542">
        <v>0.83</v>
      </c>
      <c r="CL542">
        <v>3.46</v>
      </c>
      <c r="CM542">
        <v>-0.67</v>
      </c>
      <c r="CN542">
        <v>-5.63</v>
      </c>
      <c r="CO542">
        <v>30418</v>
      </c>
      <c r="CP542">
        <v>12409</v>
      </c>
      <c r="CQ542" t="s">
        <v>3431</v>
      </c>
      <c r="CR542">
        <v>21.94</v>
      </c>
      <c r="CS542">
        <v>9.84</v>
      </c>
      <c r="CT542">
        <v>2.96</v>
      </c>
      <c r="CU542">
        <v>-65.37</v>
      </c>
      <c r="CV542">
        <v>7.25</v>
      </c>
      <c r="CW542">
        <v>5.01</v>
      </c>
      <c r="CX542" t="s">
        <v>1296</v>
      </c>
      <c r="CY542">
        <v>2.69</v>
      </c>
      <c r="CZ542">
        <v>0</v>
      </c>
      <c r="DA542">
        <v>0.48</v>
      </c>
      <c r="DB542">
        <v>0.63</v>
      </c>
      <c r="DC542">
        <v>-0.12</v>
      </c>
      <c r="DD542">
        <v>72.33</v>
      </c>
      <c r="DE542" t="s">
        <v>3432</v>
      </c>
      <c r="DF542">
        <v>39.909999999999997</v>
      </c>
      <c r="DG542">
        <v>18.57</v>
      </c>
      <c r="DH542">
        <v>14.99</v>
      </c>
      <c r="DI542">
        <v>0.39</v>
      </c>
      <c r="DJ542">
        <v>1606</v>
      </c>
      <c r="DK542">
        <v>2117</v>
      </c>
      <c r="DL542" t="s">
        <v>120</v>
      </c>
      <c r="DM542" t="s">
        <v>120</v>
      </c>
      <c r="DN542" t="s">
        <v>120</v>
      </c>
    </row>
    <row r="543" spans="1:118">
      <c r="A543" t="str">
        <f>"002118"</f>
        <v>002118</v>
      </c>
      <c r="B543" t="s">
        <v>3433</v>
      </c>
      <c r="C543">
        <v>-1.81</v>
      </c>
      <c r="D543">
        <v>0.37</v>
      </c>
      <c r="E543">
        <v>0</v>
      </c>
      <c r="F543">
        <v>3127</v>
      </c>
      <c r="G543" t="s">
        <v>3434</v>
      </c>
      <c r="H543">
        <v>6638.84</v>
      </c>
      <c r="I543">
        <v>59.4</v>
      </c>
      <c r="J543" t="s">
        <v>120</v>
      </c>
      <c r="K543" t="s">
        <v>3435</v>
      </c>
      <c r="L543">
        <v>1.89</v>
      </c>
      <c r="M543">
        <v>2.71</v>
      </c>
      <c r="N543">
        <v>0.67</v>
      </c>
      <c r="O543">
        <v>1.0900000000000001</v>
      </c>
      <c r="P543">
        <v>2.79</v>
      </c>
      <c r="Q543">
        <v>-2.54</v>
      </c>
      <c r="R543">
        <v>2.69</v>
      </c>
      <c r="S543">
        <v>2.76</v>
      </c>
      <c r="T543">
        <v>242639</v>
      </c>
      <c r="U543">
        <v>2.71</v>
      </c>
      <c r="V543">
        <v>2.76</v>
      </c>
      <c r="W543" t="s">
        <v>120</v>
      </c>
      <c r="X543" t="s">
        <v>771</v>
      </c>
      <c r="Y543" t="s">
        <v>290</v>
      </c>
      <c r="Z543">
        <v>3.62</v>
      </c>
      <c r="AA543">
        <v>2.74</v>
      </c>
      <c r="AB543">
        <v>129996</v>
      </c>
      <c r="AC543">
        <v>112643</v>
      </c>
      <c r="AD543">
        <v>1.1499999999999999</v>
      </c>
      <c r="AE543">
        <v>3446</v>
      </c>
      <c r="AF543">
        <v>486</v>
      </c>
      <c r="AG543" t="s">
        <v>120</v>
      </c>
      <c r="AH543">
        <v>0.02</v>
      </c>
      <c r="AI543" t="s">
        <v>120</v>
      </c>
      <c r="AJ543">
        <v>12.81</v>
      </c>
      <c r="AK543" t="s">
        <v>3435</v>
      </c>
      <c r="AL543">
        <v>0.1</v>
      </c>
      <c r="AM543">
        <v>2181</v>
      </c>
      <c r="AN543">
        <v>111</v>
      </c>
      <c r="AO543">
        <v>8.9999999999999998E-4</v>
      </c>
      <c r="AP543">
        <v>-2</v>
      </c>
      <c r="AQ543">
        <v>-0.72</v>
      </c>
      <c r="AR543">
        <v>-1.82</v>
      </c>
      <c r="AS543">
        <v>8.4</v>
      </c>
      <c r="AT543">
        <v>3.43</v>
      </c>
      <c r="AU543">
        <v>-15.84</v>
      </c>
      <c r="AV543">
        <v>6</v>
      </c>
      <c r="AW543">
        <v>2.73</v>
      </c>
      <c r="AX543">
        <v>69.510000000000005</v>
      </c>
      <c r="AY543" t="s">
        <v>120</v>
      </c>
      <c r="AZ543" t="s">
        <v>120</v>
      </c>
      <c r="BA543">
        <v>0.16</v>
      </c>
      <c r="BB543" t="s">
        <v>143</v>
      </c>
      <c r="BF543">
        <v>-0.87</v>
      </c>
      <c r="BG543">
        <v>-1.81</v>
      </c>
      <c r="BH543">
        <v>-2.87</v>
      </c>
      <c r="BI543">
        <v>0.74</v>
      </c>
      <c r="BJ543">
        <v>20210830</v>
      </c>
      <c r="BK543">
        <v>20070302</v>
      </c>
      <c r="BL543">
        <v>12.81</v>
      </c>
      <c r="BM543" t="s">
        <v>120</v>
      </c>
      <c r="BN543" t="s">
        <v>120</v>
      </c>
      <c r="BO543">
        <v>104.5</v>
      </c>
      <c r="BP543">
        <v>2.7</v>
      </c>
      <c r="BQ543">
        <v>35.33</v>
      </c>
      <c r="BR543">
        <v>0.03</v>
      </c>
      <c r="BS543">
        <v>66.16</v>
      </c>
      <c r="BT543">
        <v>80.41</v>
      </c>
      <c r="BU543">
        <v>12.81</v>
      </c>
      <c r="BV543">
        <v>3.95</v>
      </c>
      <c r="BW543">
        <v>55.73</v>
      </c>
      <c r="BX543">
        <v>0.11</v>
      </c>
      <c r="BY543">
        <v>68.39</v>
      </c>
      <c r="BZ543">
        <v>9.68</v>
      </c>
      <c r="CA543" t="s">
        <v>120</v>
      </c>
      <c r="CB543">
        <v>15.34</v>
      </c>
      <c r="CC543">
        <v>1.26</v>
      </c>
      <c r="CD543">
        <v>0.52</v>
      </c>
      <c r="CE543">
        <v>-2.1</v>
      </c>
      <c r="CF543">
        <v>0.01</v>
      </c>
      <c r="CG543">
        <v>-2.1</v>
      </c>
      <c r="CH543">
        <v>-2.06</v>
      </c>
      <c r="CI543">
        <v>-2.06</v>
      </c>
      <c r="CJ543">
        <v>-0.05</v>
      </c>
      <c r="CK543">
        <v>-2.1</v>
      </c>
      <c r="CL543">
        <v>6.17</v>
      </c>
      <c r="CM543">
        <v>-0.24</v>
      </c>
      <c r="CN543">
        <v>-0.03</v>
      </c>
      <c r="CO543">
        <v>87286</v>
      </c>
      <c r="CP543">
        <v>10199</v>
      </c>
      <c r="CQ543" t="s">
        <v>1319</v>
      </c>
      <c r="CR543">
        <v>3.75</v>
      </c>
      <c r="CS543">
        <v>6.8</v>
      </c>
      <c r="CT543">
        <v>0.98</v>
      </c>
      <c r="CU543">
        <v>-143.5</v>
      </c>
      <c r="CV543">
        <v>27.65</v>
      </c>
      <c r="CW543">
        <v>0</v>
      </c>
      <c r="CX543" t="s">
        <v>893</v>
      </c>
      <c r="CY543">
        <v>2.76</v>
      </c>
      <c r="CZ543">
        <v>0</v>
      </c>
      <c r="DA543">
        <v>1.2</v>
      </c>
      <c r="DB543">
        <v>0.48</v>
      </c>
      <c r="DC543">
        <v>-0.02</v>
      </c>
      <c r="DD543">
        <v>33.81</v>
      </c>
      <c r="DE543" t="s">
        <v>3436</v>
      </c>
      <c r="DF543">
        <v>58.57</v>
      </c>
      <c r="DG543">
        <v>-166.99</v>
      </c>
      <c r="DH543">
        <v>-163.98</v>
      </c>
      <c r="DI543">
        <v>0.02</v>
      </c>
      <c r="DJ543">
        <v>1096</v>
      </c>
      <c r="DK543">
        <v>2118</v>
      </c>
      <c r="DL543" t="s">
        <v>120</v>
      </c>
      <c r="DM543" t="s">
        <v>120</v>
      </c>
      <c r="DN543" t="s">
        <v>120</v>
      </c>
    </row>
    <row r="544" spans="1:118">
      <c r="A544" t="str">
        <f>"002119"</f>
        <v>002119</v>
      </c>
      <c r="B544" t="s">
        <v>3437</v>
      </c>
      <c r="C544">
        <v>-3.28</v>
      </c>
      <c r="D544">
        <v>0</v>
      </c>
      <c r="E544">
        <v>-0.19</v>
      </c>
      <c r="F544">
        <v>2167</v>
      </c>
      <c r="G544" t="s">
        <v>3438</v>
      </c>
      <c r="H544">
        <v>24032.74</v>
      </c>
      <c r="I544">
        <v>46.35</v>
      </c>
      <c r="J544" t="s">
        <v>120</v>
      </c>
      <c r="K544" t="s">
        <v>3439</v>
      </c>
      <c r="L544">
        <v>4.22</v>
      </c>
      <c r="M544">
        <v>15.33</v>
      </c>
      <c r="N544">
        <v>0.49</v>
      </c>
      <c r="O544">
        <v>0</v>
      </c>
      <c r="P544">
        <v>15.85</v>
      </c>
      <c r="Q544">
        <v>-3.72</v>
      </c>
      <c r="R544">
        <v>15.26</v>
      </c>
      <c r="S544">
        <v>15.82</v>
      </c>
      <c r="T544">
        <v>155092</v>
      </c>
      <c r="U544">
        <v>15.34</v>
      </c>
      <c r="V544">
        <v>15.85</v>
      </c>
      <c r="W544">
        <v>40.5</v>
      </c>
      <c r="X544" t="s">
        <v>3245</v>
      </c>
      <c r="Y544" t="s">
        <v>585</v>
      </c>
      <c r="Z544">
        <v>3.72</v>
      </c>
      <c r="AA544">
        <v>15.5</v>
      </c>
      <c r="AB544">
        <v>88713</v>
      </c>
      <c r="AC544">
        <v>66379</v>
      </c>
      <c r="AD544">
        <v>1.34</v>
      </c>
      <c r="AE544">
        <v>216</v>
      </c>
      <c r="AF544">
        <v>29</v>
      </c>
      <c r="AG544" t="s">
        <v>120</v>
      </c>
      <c r="AH544">
        <v>0.01</v>
      </c>
      <c r="AI544" t="s">
        <v>120</v>
      </c>
      <c r="AJ544">
        <v>3.68</v>
      </c>
      <c r="AK544" t="s">
        <v>3440</v>
      </c>
      <c r="AL544">
        <v>-1.37</v>
      </c>
      <c r="AM544">
        <v>3888</v>
      </c>
      <c r="AN544">
        <v>40</v>
      </c>
      <c r="AO544">
        <v>1.1000000000000001E-3</v>
      </c>
      <c r="AP544">
        <v>-4</v>
      </c>
      <c r="AQ544">
        <v>-0.38</v>
      </c>
      <c r="AR544">
        <v>-6.07</v>
      </c>
      <c r="AS544">
        <v>-14.83</v>
      </c>
      <c r="AT544">
        <v>25.93</v>
      </c>
      <c r="AU544">
        <v>49.35</v>
      </c>
      <c r="AV544">
        <v>9</v>
      </c>
      <c r="AW544">
        <v>6.39</v>
      </c>
      <c r="AX544">
        <v>64.69</v>
      </c>
      <c r="AY544">
        <v>55.54</v>
      </c>
      <c r="AZ544">
        <v>67.650000000000006</v>
      </c>
      <c r="BA544">
        <v>1.56</v>
      </c>
      <c r="BB544" t="s">
        <v>143</v>
      </c>
      <c r="BF544">
        <v>-2.23</v>
      </c>
      <c r="BG544">
        <v>-3.1</v>
      </c>
      <c r="BH544">
        <v>-3.28</v>
      </c>
      <c r="BI544">
        <v>0.46</v>
      </c>
      <c r="BJ544">
        <v>20210824</v>
      </c>
      <c r="BK544">
        <v>20070302</v>
      </c>
      <c r="BL544">
        <v>3.75</v>
      </c>
      <c r="BM544" t="s">
        <v>120</v>
      </c>
      <c r="BN544" t="s">
        <v>120</v>
      </c>
      <c r="BO544">
        <v>20.46</v>
      </c>
      <c r="BP544">
        <v>15.33</v>
      </c>
      <c r="BQ544">
        <v>10.32</v>
      </c>
      <c r="BR544" t="s">
        <v>120</v>
      </c>
      <c r="BS544">
        <v>49.53</v>
      </c>
      <c r="BT544">
        <v>12.25</v>
      </c>
      <c r="BU544">
        <v>6.13</v>
      </c>
      <c r="BV544">
        <v>0.72</v>
      </c>
      <c r="BW544">
        <v>8.31</v>
      </c>
      <c r="BX544">
        <v>1.58</v>
      </c>
      <c r="BY544">
        <v>3.64</v>
      </c>
      <c r="BZ544">
        <v>4.75</v>
      </c>
      <c r="CA544">
        <v>0.02</v>
      </c>
      <c r="CB544">
        <v>1.1200000000000001</v>
      </c>
      <c r="CC544">
        <v>10.56</v>
      </c>
      <c r="CD544">
        <v>8.68</v>
      </c>
      <c r="CE544">
        <v>0.82</v>
      </c>
      <c r="CF544">
        <v>-0.01</v>
      </c>
      <c r="CG544">
        <v>0.82</v>
      </c>
      <c r="CH544">
        <v>0.71</v>
      </c>
      <c r="CI544">
        <v>0.71</v>
      </c>
      <c r="CJ544">
        <v>-0.52</v>
      </c>
      <c r="CK544">
        <v>0.7</v>
      </c>
      <c r="CL544">
        <v>4.82</v>
      </c>
      <c r="CM544">
        <v>-0.14000000000000001</v>
      </c>
      <c r="CN544">
        <v>0.08</v>
      </c>
      <c r="CO544">
        <v>50802</v>
      </c>
      <c r="CP544">
        <v>4779</v>
      </c>
      <c r="CQ544" t="s">
        <v>2003</v>
      </c>
      <c r="CR544">
        <v>36.97</v>
      </c>
      <c r="CS544">
        <v>61.16</v>
      </c>
      <c r="CT544">
        <v>5.57</v>
      </c>
      <c r="CU544">
        <v>-398.73</v>
      </c>
      <c r="CV544">
        <v>5.45</v>
      </c>
      <c r="CW544">
        <v>0.16</v>
      </c>
      <c r="CX544" t="s">
        <v>442</v>
      </c>
      <c r="CY544">
        <v>2.75</v>
      </c>
      <c r="CZ544">
        <v>0</v>
      </c>
      <c r="DA544">
        <v>0.3</v>
      </c>
      <c r="DB544">
        <v>1.28</v>
      </c>
      <c r="DC544">
        <v>-0.04</v>
      </c>
      <c r="DD544">
        <v>50.47</v>
      </c>
      <c r="DE544" t="s">
        <v>1726</v>
      </c>
      <c r="DF544">
        <v>17.88</v>
      </c>
      <c r="DG544">
        <v>7.78</v>
      </c>
      <c r="DH544">
        <v>6.72</v>
      </c>
      <c r="DI544">
        <v>0.34</v>
      </c>
      <c r="DJ544">
        <v>922</v>
      </c>
      <c r="DK544">
        <v>2119</v>
      </c>
      <c r="DL544" t="s">
        <v>120</v>
      </c>
      <c r="DM544" t="s">
        <v>120</v>
      </c>
      <c r="DN544" t="s">
        <v>120</v>
      </c>
    </row>
    <row r="545" spans="1:118">
      <c r="A545" t="str">
        <f>"002120"</f>
        <v>002120</v>
      </c>
      <c r="B545" t="s">
        <v>3441</v>
      </c>
      <c r="C545">
        <v>-1.23</v>
      </c>
      <c r="D545">
        <v>-0.27</v>
      </c>
      <c r="E545">
        <v>2.23</v>
      </c>
      <c r="F545">
        <v>2375</v>
      </c>
      <c r="G545" t="s">
        <v>3442</v>
      </c>
      <c r="H545">
        <v>23318.94</v>
      </c>
      <c r="I545">
        <v>286.86</v>
      </c>
      <c r="J545" t="s">
        <v>120</v>
      </c>
      <c r="K545" t="s">
        <v>3443</v>
      </c>
      <c r="L545">
        <v>0.46</v>
      </c>
      <c r="M545">
        <v>17.71</v>
      </c>
      <c r="N545">
        <v>0.57999999999999996</v>
      </c>
      <c r="O545">
        <v>2.23</v>
      </c>
      <c r="P545">
        <v>18.329999999999998</v>
      </c>
      <c r="Q545">
        <v>-1.84</v>
      </c>
      <c r="R545">
        <v>17.600000000000001</v>
      </c>
      <c r="S545">
        <v>18.329999999999998</v>
      </c>
      <c r="T545">
        <v>130031</v>
      </c>
      <c r="U545">
        <v>17.75</v>
      </c>
      <c r="V545">
        <v>17.93</v>
      </c>
      <c r="W545">
        <v>57.58</v>
      </c>
      <c r="X545" t="s">
        <v>2775</v>
      </c>
      <c r="Y545" t="s">
        <v>585</v>
      </c>
      <c r="Z545">
        <v>4.07</v>
      </c>
      <c r="AA545">
        <v>17.93</v>
      </c>
      <c r="AB545">
        <v>66454</v>
      </c>
      <c r="AC545">
        <v>63577</v>
      </c>
      <c r="AD545">
        <v>1.05</v>
      </c>
      <c r="AE545">
        <v>0</v>
      </c>
      <c r="AF545">
        <v>61</v>
      </c>
      <c r="AG545" t="s">
        <v>120</v>
      </c>
      <c r="AH545">
        <v>0.01</v>
      </c>
      <c r="AI545" t="s">
        <v>120</v>
      </c>
      <c r="AJ545">
        <v>28.1</v>
      </c>
      <c r="AK545" t="s">
        <v>3444</v>
      </c>
      <c r="AL545">
        <v>0.69</v>
      </c>
      <c r="AM545">
        <v>3603</v>
      </c>
      <c r="AN545">
        <v>36</v>
      </c>
      <c r="AO545">
        <v>1E-4</v>
      </c>
      <c r="AP545">
        <v>-2</v>
      </c>
      <c r="AQ545">
        <v>-4.22</v>
      </c>
      <c r="AR545">
        <v>-4.63</v>
      </c>
      <c r="AS545">
        <v>23.84</v>
      </c>
      <c r="AT545">
        <v>37.17</v>
      </c>
      <c r="AU545">
        <v>13.15</v>
      </c>
      <c r="AV545">
        <v>5</v>
      </c>
      <c r="AW545">
        <v>1.1299999999999999</v>
      </c>
      <c r="AX545">
        <v>39.82</v>
      </c>
      <c r="AY545">
        <v>44.49</v>
      </c>
      <c r="AZ545">
        <v>37.06</v>
      </c>
      <c r="BA545">
        <v>0.76</v>
      </c>
      <c r="BB545" t="s">
        <v>125</v>
      </c>
      <c r="BF545">
        <v>0.02</v>
      </c>
      <c r="BG545">
        <v>-3.38</v>
      </c>
      <c r="BH545">
        <v>-3.38</v>
      </c>
      <c r="BI545">
        <v>0.63</v>
      </c>
      <c r="BJ545">
        <v>20210831</v>
      </c>
      <c r="BK545">
        <v>20070306</v>
      </c>
      <c r="BL545">
        <v>29.03</v>
      </c>
      <c r="BM545" t="s">
        <v>120</v>
      </c>
      <c r="BN545" t="s">
        <v>120</v>
      </c>
      <c r="BO545">
        <v>311.73</v>
      </c>
      <c r="BP545">
        <v>17.71</v>
      </c>
      <c r="BQ545">
        <v>149.07</v>
      </c>
      <c r="BR545">
        <v>0.84</v>
      </c>
      <c r="BS545">
        <v>51.91</v>
      </c>
      <c r="BT545">
        <v>111.59</v>
      </c>
      <c r="BU545">
        <v>101.34</v>
      </c>
      <c r="BV545">
        <v>30</v>
      </c>
      <c r="BW545">
        <v>96.31</v>
      </c>
      <c r="BX545">
        <v>40.65</v>
      </c>
      <c r="BY545">
        <v>1.32</v>
      </c>
      <c r="BZ545">
        <v>10.92</v>
      </c>
      <c r="CA545">
        <v>1.5</v>
      </c>
      <c r="CB545">
        <v>28.55</v>
      </c>
      <c r="CC545">
        <v>182.09</v>
      </c>
      <c r="CD545">
        <v>164.79</v>
      </c>
      <c r="CE545">
        <v>6.51</v>
      </c>
      <c r="CF545">
        <v>0.69</v>
      </c>
      <c r="CG545">
        <v>6.31</v>
      </c>
      <c r="CH545">
        <v>4.54</v>
      </c>
      <c r="CI545">
        <v>4.46</v>
      </c>
      <c r="CJ545">
        <v>-0.22</v>
      </c>
      <c r="CK545">
        <v>3.91</v>
      </c>
      <c r="CL545">
        <v>87.06</v>
      </c>
      <c r="CM545">
        <v>-0.5</v>
      </c>
      <c r="CN545">
        <v>1.05</v>
      </c>
      <c r="CO545">
        <v>69633</v>
      </c>
      <c r="CP545">
        <v>16599</v>
      </c>
      <c r="CQ545" t="s">
        <v>3445</v>
      </c>
      <c r="CR545">
        <v>-34.450000000000003</v>
      </c>
      <c r="CS545">
        <v>27.18</v>
      </c>
      <c r="CT545">
        <v>3.45</v>
      </c>
      <c r="CU545">
        <v>-1018.23</v>
      </c>
      <c r="CV545">
        <v>2.82</v>
      </c>
      <c r="CW545">
        <v>0.27</v>
      </c>
      <c r="CX545" t="s">
        <v>373</v>
      </c>
      <c r="CY545">
        <v>5.14</v>
      </c>
      <c r="CZ545">
        <v>0</v>
      </c>
      <c r="DA545">
        <v>0.98</v>
      </c>
      <c r="DB545">
        <v>3</v>
      </c>
      <c r="DC545">
        <v>-0.02</v>
      </c>
      <c r="DD545">
        <v>47.82</v>
      </c>
      <c r="DE545" t="s">
        <v>243</v>
      </c>
      <c r="DF545">
        <v>9.5</v>
      </c>
      <c r="DG545">
        <v>3.58</v>
      </c>
      <c r="DH545">
        <v>2.4500000000000002</v>
      </c>
      <c r="DI545">
        <v>1.61</v>
      </c>
      <c r="DJ545">
        <v>8646</v>
      </c>
      <c r="DK545">
        <v>2120</v>
      </c>
      <c r="DL545" t="s">
        <v>120</v>
      </c>
      <c r="DM545" t="s">
        <v>120</v>
      </c>
      <c r="DN545" t="s">
        <v>120</v>
      </c>
    </row>
    <row r="546" spans="1:118">
      <c r="A546" t="str">
        <f>"002121"</f>
        <v>002121</v>
      </c>
      <c r="B546" t="s">
        <v>3446</v>
      </c>
      <c r="C546">
        <v>3.55</v>
      </c>
      <c r="D546">
        <v>0.47</v>
      </c>
      <c r="E546">
        <v>-0.32</v>
      </c>
      <c r="F546">
        <v>9132</v>
      </c>
      <c r="G546" t="s">
        <v>3447</v>
      </c>
      <c r="H546">
        <v>28152.69</v>
      </c>
      <c r="I546">
        <v>67.86</v>
      </c>
      <c r="J546" t="s">
        <v>120</v>
      </c>
      <c r="K546" t="s">
        <v>3448</v>
      </c>
      <c r="L546">
        <v>4.45</v>
      </c>
      <c r="M546">
        <v>6.42</v>
      </c>
      <c r="N546">
        <v>1.73</v>
      </c>
      <c r="O546">
        <v>7.42</v>
      </c>
      <c r="P546">
        <v>6.66</v>
      </c>
      <c r="Q546">
        <v>-1.1299999999999999</v>
      </c>
      <c r="R546">
        <v>6.13</v>
      </c>
      <c r="S546">
        <v>6.18</v>
      </c>
      <c r="T546">
        <v>440180</v>
      </c>
      <c r="U546">
        <v>6.42</v>
      </c>
      <c r="V546">
        <v>6.2</v>
      </c>
      <c r="W546" t="s">
        <v>120</v>
      </c>
      <c r="X546" t="s">
        <v>2717</v>
      </c>
      <c r="Y546" t="s">
        <v>123</v>
      </c>
      <c r="Z546">
        <v>8.5500000000000007</v>
      </c>
      <c r="AA546">
        <v>6.4</v>
      </c>
      <c r="AB546">
        <v>218960</v>
      </c>
      <c r="AC546">
        <v>221220</v>
      </c>
      <c r="AD546">
        <v>0.99</v>
      </c>
      <c r="AE546">
        <v>695</v>
      </c>
      <c r="AF546">
        <v>436</v>
      </c>
      <c r="AG546" t="s">
        <v>120</v>
      </c>
      <c r="AH546">
        <v>0.02</v>
      </c>
      <c r="AI546" t="s">
        <v>120</v>
      </c>
      <c r="AJ546">
        <v>9.89</v>
      </c>
      <c r="AK546" t="s">
        <v>3449</v>
      </c>
      <c r="AL546">
        <v>5.46</v>
      </c>
      <c r="AM546">
        <v>3780</v>
      </c>
      <c r="AN546">
        <v>116</v>
      </c>
      <c r="AO546">
        <v>1.1999999999999999E-3</v>
      </c>
      <c r="AP546">
        <v>2</v>
      </c>
      <c r="AQ546">
        <v>3.33</v>
      </c>
      <c r="AR546">
        <v>4.9000000000000004</v>
      </c>
      <c r="AS546">
        <v>2.39</v>
      </c>
      <c r="AT546">
        <v>48.61</v>
      </c>
      <c r="AU546">
        <v>86.63</v>
      </c>
      <c r="AV546">
        <v>13</v>
      </c>
      <c r="AW546">
        <v>6.8</v>
      </c>
      <c r="AX546">
        <v>45.95</v>
      </c>
      <c r="AY546">
        <v>441.76</v>
      </c>
      <c r="AZ546">
        <v>47.11</v>
      </c>
      <c r="BA546">
        <v>0.34</v>
      </c>
      <c r="BB546" t="s">
        <v>143</v>
      </c>
      <c r="BF546">
        <v>3.16</v>
      </c>
      <c r="BG546">
        <v>3.88</v>
      </c>
      <c r="BH546">
        <v>-3.6</v>
      </c>
      <c r="BI546">
        <v>4.7300000000000004</v>
      </c>
      <c r="BJ546">
        <v>20210828</v>
      </c>
      <c r="BK546">
        <v>20070306</v>
      </c>
      <c r="BL546">
        <v>14.08</v>
      </c>
      <c r="BM546" t="s">
        <v>120</v>
      </c>
      <c r="BN546" t="s">
        <v>120</v>
      </c>
      <c r="BO546">
        <v>89.46</v>
      </c>
      <c r="BP546">
        <v>6.41</v>
      </c>
      <c r="BQ546">
        <v>12.76</v>
      </c>
      <c r="BR546">
        <v>1.99</v>
      </c>
      <c r="BS546">
        <v>83.51</v>
      </c>
      <c r="BT546">
        <v>40.15</v>
      </c>
      <c r="BU546">
        <v>11.82</v>
      </c>
      <c r="BV546">
        <v>5.1100000000000003</v>
      </c>
      <c r="BW546">
        <v>60.48</v>
      </c>
      <c r="BX546">
        <v>7.67</v>
      </c>
      <c r="BY546">
        <v>9.43</v>
      </c>
      <c r="BZ546">
        <v>15.35</v>
      </c>
      <c r="CA546" t="s">
        <v>120</v>
      </c>
      <c r="CB546">
        <v>19.32</v>
      </c>
      <c r="CC546">
        <v>13.71</v>
      </c>
      <c r="CD546">
        <v>9.67</v>
      </c>
      <c r="CE546">
        <v>-1.39</v>
      </c>
      <c r="CF546">
        <v>-0.44</v>
      </c>
      <c r="CG546">
        <v>-1.49</v>
      </c>
      <c r="CH546">
        <v>-1.64</v>
      </c>
      <c r="CI546">
        <v>-1.56</v>
      </c>
      <c r="CJ546">
        <v>0.22</v>
      </c>
      <c r="CK546">
        <v>-1.24</v>
      </c>
      <c r="CL546">
        <v>-22.01</v>
      </c>
      <c r="CM546">
        <v>1.1599999999999999</v>
      </c>
      <c r="CN546">
        <v>-1.93</v>
      </c>
      <c r="CO546">
        <v>48326</v>
      </c>
      <c r="CP546">
        <v>13392</v>
      </c>
      <c r="CQ546" t="s">
        <v>3450</v>
      </c>
      <c r="CR546">
        <v>-1756.57</v>
      </c>
      <c r="CS546">
        <v>-17.88</v>
      </c>
      <c r="CT546">
        <v>7.08</v>
      </c>
      <c r="CU546">
        <v>78.069999999999993</v>
      </c>
      <c r="CV546">
        <v>6.59</v>
      </c>
      <c r="CW546">
        <v>0</v>
      </c>
      <c r="CX546" t="s">
        <v>3451</v>
      </c>
      <c r="CY546">
        <v>0.91</v>
      </c>
      <c r="CZ546">
        <v>0</v>
      </c>
      <c r="DA546">
        <v>1.37</v>
      </c>
      <c r="DB546">
        <v>-1.56</v>
      </c>
      <c r="DC546">
        <v>0.08</v>
      </c>
      <c r="DD546">
        <v>14.27</v>
      </c>
      <c r="DE546" t="s">
        <v>3452</v>
      </c>
      <c r="DF546">
        <v>29.5</v>
      </c>
      <c r="DG546">
        <v>-10.11</v>
      </c>
      <c r="DH546">
        <v>-11.39</v>
      </c>
      <c r="DI546">
        <v>0.98</v>
      </c>
      <c r="DJ546">
        <v>3454</v>
      </c>
      <c r="DK546">
        <v>2121</v>
      </c>
      <c r="DL546" t="s">
        <v>120</v>
      </c>
      <c r="DM546" t="s">
        <v>120</v>
      </c>
      <c r="DN546" t="s">
        <v>120</v>
      </c>
    </row>
    <row r="547" spans="1:118">
      <c r="A547" t="str">
        <f>"002123"</f>
        <v>002123</v>
      </c>
      <c r="B547" t="s">
        <v>3453</v>
      </c>
      <c r="C547">
        <v>-1.88</v>
      </c>
      <c r="D547">
        <v>-0.1</v>
      </c>
      <c r="E547">
        <v>0.11</v>
      </c>
      <c r="F547">
        <v>3976</v>
      </c>
      <c r="G547" t="s">
        <v>1721</v>
      </c>
      <c r="H547">
        <v>26787.66</v>
      </c>
      <c r="I547">
        <v>145.91</v>
      </c>
      <c r="J547" t="s">
        <v>120</v>
      </c>
      <c r="K547" t="s">
        <v>3454</v>
      </c>
      <c r="L547">
        <v>2.23</v>
      </c>
      <c r="M547">
        <v>17.72</v>
      </c>
      <c r="N547">
        <v>0.69</v>
      </c>
      <c r="O547">
        <v>1.77</v>
      </c>
      <c r="P547">
        <v>18.38</v>
      </c>
      <c r="Q547">
        <v>-1.94</v>
      </c>
      <c r="R547">
        <v>17.71</v>
      </c>
      <c r="S547">
        <v>18.079999999999998</v>
      </c>
      <c r="T547">
        <v>148909</v>
      </c>
      <c r="U547">
        <v>17.73</v>
      </c>
      <c r="V547">
        <v>18.059999999999999</v>
      </c>
      <c r="W547">
        <v>77.33</v>
      </c>
      <c r="X547" t="s">
        <v>1531</v>
      </c>
      <c r="Y547" t="s">
        <v>432</v>
      </c>
      <c r="Z547">
        <v>3.71</v>
      </c>
      <c r="AA547">
        <v>17.989999999999998</v>
      </c>
      <c r="AB547">
        <v>81401</v>
      </c>
      <c r="AC547">
        <v>67508</v>
      </c>
      <c r="AD547">
        <v>1.21</v>
      </c>
      <c r="AE547">
        <v>531</v>
      </c>
      <c r="AF547">
        <v>120</v>
      </c>
      <c r="AG547" t="s">
        <v>120</v>
      </c>
      <c r="AH547">
        <v>0.01</v>
      </c>
      <c r="AI547" t="s">
        <v>120</v>
      </c>
      <c r="AJ547">
        <v>6.67</v>
      </c>
      <c r="AK547" t="s">
        <v>3455</v>
      </c>
      <c r="AL547">
        <v>0.03</v>
      </c>
      <c r="AM547">
        <v>3620</v>
      </c>
      <c r="AN547">
        <v>41</v>
      </c>
      <c r="AO547">
        <v>5.9999999999999995E-4</v>
      </c>
      <c r="AP547">
        <v>-2</v>
      </c>
      <c r="AQ547">
        <v>-5.0999999999999996</v>
      </c>
      <c r="AR547">
        <v>-3.65</v>
      </c>
      <c r="AS547">
        <v>-15.9</v>
      </c>
      <c r="AT547">
        <v>-0.06</v>
      </c>
      <c r="AU547">
        <v>24.52</v>
      </c>
      <c r="AV547">
        <v>5</v>
      </c>
      <c r="AW547">
        <v>2.38</v>
      </c>
      <c r="AX547">
        <v>77.98</v>
      </c>
      <c r="AY547">
        <v>88.91</v>
      </c>
      <c r="AZ547">
        <v>143.13</v>
      </c>
      <c r="BA547">
        <v>0.26</v>
      </c>
      <c r="BB547" t="s">
        <v>125</v>
      </c>
      <c r="BF547">
        <v>-0.39</v>
      </c>
      <c r="BG547">
        <v>-1.99</v>
      </c>
      <c r="BH547">
        <v>-3.59</v>
      </c>
      <c r="BI547">
        <v>0.06</v>
      </c>
      <c r="BJ547">
        <v>20210904</v>
      </c>
      <c r="BK547">
        <v>20070328</v>
      </c>
      <c r="BL547">
        <v>8.02</v>
      </c>
      <c r="BM547" t="s">
        <v>120</v>
      </c>
      <c r="BN547" t="s">
        <v>120</v>
      </c>
      <c r="BO547">
        <v>60.46</v>
      </c>
      <c r="BP547">
        <v>17.72</v>
      </c>
      <c r="BQ547">
        <v>43.95</v>
      </c>
      <c r="BR547">
        <v>0.05</v>
      </c>
      <c r="BS547">
        <v>27.21</v>
      </c>
      <c r="BT547">
        <v>26.64</v>
      </c>
      <c r="BU547">
        <v>1.65</v>
      </c>
      <c r="BV547">
        <v>2.5099999999999998</v>
      </c>
      <c r="BW547">
        <v>14.68</v>
      </c>
      <c r="BX547">
        <v>9.08</v>
      </c>
      <c r="BY547">
        <v>0</v>
      </c>
      <c r="BZ547">
        <v>10.99</v>
      </c>
      <c r="CA547" t="s">
        <v>120</v>
      </c>
      <c r="CB547">
        <v>25.55</v>
      </c>
      <c r="CC547">
        <v>13.87</v>
      </c>
      <c r="CD547">
        <v>11.57</v>
      </c>
      <c r="CE547">
        <v>0.98</v>
      </c>
      <c r="CF547">
        <v>0.09</v>
      </c>
      <c r="CG547">
        <v>0.98</v>
      </c>
      <c r="CH547">
        <v>0.87</v>
      </c>
      <c r="CI547">
        <v>0.92</v>
      </c>
      <c r="CJ547">
        <v>-0.34</v>
      </c>
      <c r="CK547">
        <v>0.73</v>
      </c>
      <c r="CL547">
        <v>12.16</v>
      </c>
      <c r="CM547">
        <v>-2.42</v>
      </c>
      <c r="CN547">
        <v>-2.5499999999999998</v>
      </c>
      <c r="CO547">
        <v>62800</v>
      </c>
      <c r="CP547">
        <v>9956</v>
      </c>
      <c r="CQ547" t="s">
        <v>3456</v>
      </c>
      <c r="CR547">
        <v>204.56</v>
      </c>
      <c r="CS547">
        <v>14.88</v>
      </c>
      <c r="CT547">
        <v>3.23</v>
      </c>
      <c r="CU547">
        <v>-58.77</v>
      </c>
      <c r="CV547">
        <v>10.25</v>
      </c>
      <c r="CW547">
        <v>0</v>
      </c>
      <c r="CX547" t="s">
        <v>1147</v>
      </c>
      <c r="CY547">
        <v>5.48</v>
      </c>
      <c r="CZ547">
        <v>0</v>
      </c>
      <c r="DA547">
        <v>3.19</v>
      </c>
      <c r="DB547">
        <v>1.52</v>
      </c>
      <c r="DC547">
        <v>-0.3</v>
      </c>
      <c r="DD547">
        <v>72.7</v>
      </c>
      <c r="DE547" t="s">
        <v>3457</v>
      </c>
      <c r="DF547">
        <v>16.57</v>
      </c>
      <c r="DG547">
        <v>7.1</v>
      </c>
      <c r="DH547">
        <v>6.63</v>
      </c>
      <c r="DI547">
        <v>0.51</v>
      </c>
      <c r="DJ547">
        <v>999</v>
      </c>
      <c r="DK547">
        <v>2123</v>
      </c>
      <c r="DL547" t="s">
        <v>120</v>
      </c>
      <c r="DM547" t="s">
        <v>120</v>
      </c>
      <c r="DN547" t="s">
        <v>120</v>
      </c>
    </row>
    <row r="548" spans="1:118">
      <c r="A548" t="str">
        <f>"002124"</f>
        <v>002124</v>
      </c>
      <c r="B548" t="s">
        <v>3458</v>
      </c>
      <c r="C548">
        <v>4.67</v>
      </c>
      <c r="D548">
        <v>0</v>
      </c>
      <c r="E548">
        <v>0.87</v>
      </c>
      <c r="F548">
        <v>6256</v>
      </c>
      <c r="G548" t="s">
        <v>3459</v>
      </c>
      <c r="H548">
        <v>44151.6</v>
      </c>
      <c r="I548">
        <v>67.099999999999994</v>
      </c>
      <c r="J548" t="s">
        <v>120</v>
      </c>
      <c r="K548" t="s">
        <v>3460</v>
      </c>
      <c r="L548">
        <v>4.78</v>
      </c>
      <c r="M548">
        <v>6.05</v>
      </c>
      <c r="N548">
        <v>2.75</v>
      </c>
      <c r="O548">
        <v>6.4</v>
      </c>
      <c r="P548">
        <v>6.15</v>
      </c>
      <c r="Q548">
        <v>-0.35</v>
      </c>
      <c r="R548">
        <v>5.76</v>
      </c>
      <c r="S548">
        <v>5.83</v>
      </c>
      <c r="T548">
        <v>734476</v>
      </c>
      <c r="U548">
        <v>6.06</v>
      </c>
      <c r="V548">
        <v>5.78</v>
      </c>
      <c r="W548" t="s">
        <v>120</v>
      </c>
      <c r="X548" t="s">
        <v>386</v>
      </c>
      <c r="Y548" t="s">
        <v>585</v>
      </c>
      <c r="Z548">
        <v>6.75</v>
      </c>
      <c r="AA548">
        <v>6.01</v>
      </c>
      <c r="AB548">
        <v>294533</v>
      </c>
      <c r="AC548">
        <v>439943</v>
      </c>
      <c r="AD548">
        <v>0.67</v>
      </c>
      <c r="AE548">
        <v>2304</v>
      </c>
      <c r="AF548">
        <v>5519</v>
      </c>
      <c r="AG548" t="s">
        <v>120</v>
      </c>
      <c r="AH548">
        <v>0.01</v>
      </c>
      <c r="AI548" t="s">
        <v>120</v>
      </c>
      <c r="AJ548">
        <v>15.38</v>
      </c>
      <c r="AK548" t="s">
        <v>3461</v>
      </c>
      <c r="AL548">
        <v>6.58</v>
      </c>
      <c r="AM548">
        <v>4302</v>
      </c>
      <c r="AN548">
        <v>171</v>
      </c>
      <c r="AO548">
        <v>1.1000000000000001E-3</v>
      </c>
      <c r="AP548">
        <v>2</v>
      </c>
      <c r="AQ548">
        <v>0.52</v>
      </c>
      <c r="AR548">
        <v>2.54</v>
      </c>
      <c r="AS548">
        <v>5.58</v>
      </c>
      <c r="AT548">
        <v>-8.19</v>
      </c>
      <c r="AU548">
        <v>-39.5</v>
      </c>
      <c r="AV548">
        <v>6</v>
      </c>
      <c r="AW548">
        <v>5.12</v>
      </c>
      <c r="AX548">
        <v>77.95</v>
      </c>
      <c r="AY548">
        <v>10.029999999999999</v>
      </c>
      <c r="AZ548">
        <v>3.28</v>
      </c>
      <c r="BA548">
        <v>0.56000000000000005</v>
      </c>
      <c r="BB548" t="s">
        <v>143</v>
      </c>
      <c r="BF548">
        <v>4</v>
      </c>
      <c r="BG548">
        <v>3.77</v>
      </c>
      <c r="BH548">
        <v>-1.63</v>
      </c>
      <c r="BI548">
        <v>5.03</v>
      </c>
      <c r="BJ548">
        <v>20210915</v>
      </c>
      <c r="BK548">
        <v>20070403</v>
      </c>
      <c r="BL548">
        <v>18.39</v>
      </c>
      <c r="BM548" t="s">
        <v>120</v>
      </c>
      <c r="BN548" t="s">
        <v>120</v>
      </c>
      <c r="BO548">
        <v>214.82</v>
      </c>
      <c r="BP548">
        <v>6.05</v>
      </c>
      <c r="BQ548">
        <v>71.97</v>
      </c>
      <c r="BR548">
        <v>0.62</v>
      </c>
      <c r="BS548">
        <v>66.209999999999994</v>
      </c>
      <c r="BT548">
        <v>69.12</v>
      </c>
      <c r="BU548">
        <v>61.94</v>
      </c>
      <c r="BV548">
        <v>1.32</v>
      </c>
      <c r="BW548">
        <v>95.25</v>
      </c>
      <c r="BX548">
        <v>20.77</v>
      </c>
      <c r="BY548">
        <v>38.9</v>
      </c>
      <c r="BZ548">
        <v>1.37</v>
      </c>
      <c r="CA548" t="s">
        <v>120</v>
      </c>
      <c r="CB548">
        <v>33.64</v>
      </c>
      <c r="CC548">
        <v>56.06</v>
      </c>
      <c r="CD548">
        <v>53.12</v>
      </c>
      <c r="CE548">
        <v>-4.5599999999999996</v>
      </c>
      <c r="CF548">
        <v>2.7</v>
      </c>
      <c r="CG548">
        <v>-6.27</v>
      </c>
      <c r="CH548">
        <v>-6.49</v>
      </c>
      <c r="CI548">
        <v>-6.51</v>
      </c>
      <c r="CJ548">
        <v>0.27</v>
      </c>
      <c r="CK548">
        <v>-7.84</v>
      </c>
      <c r="CL548">
        <v>17.53</v>
      </c>
      <c r="CM548">
        <v>-1.23</v>
      </c>
      <c r="CN548">
        <v>-1.1599999999999999</v>
      </c>
      <c r="CO548">
        <v>109344</v>
      </c>
      <c r="CP548">
        <v>13112</v>
      </c>
      <c r="CQ548" t="s">
        <v>3259</v>
      </c>
      <c r="CR548">
        <v>-142.38</v>
      </c>
      <c r="CS548">
        <v>21.6</v>
      </c>
      <c r="CT548">
        <v>1.55</v>
      </c>
      <c r="CU548">
        <v>-90.7</v>
      </c>
      <c r="CV548">
        <v>1.98</v>
      </c>
      <c r="CW548">
        <v>7.41</v>
      </c>
      <c r="CX548" t="s">
        <v>1649</v>
      </c>
      <c r="CY548">
        <v>3.91</v>
      </c>
      <c r="CZ548">
        <v>0</v>
      </c>
      <c r="DA548">
        <v>1.83</v>
      </c>
      <c r="DB548">
        <v>0.95</v>
      </c>
      <c r="DC548">
        <v>-7.0000000000000007E-2</v>
      </c>
      <c r="DD548">
        <v>33.5</v>
      </c>
      <c r="DE548" t="s">
        <v>3462</v>
      </c>
      <c r="DF548">
        <v>5.25</v>
      </c>
      <c r="DG548">
        <v>-8.1300000000000008</v>
      </c>
      <c r="DH548">
        <v>-11.6</v>
      </c>
      <c r="DI548">
        <v>0.49</v>
      </c>
      <c r="DJ548">
        <v>9437</v>
      </c>
      <c r="DK548">
        <v>2124</v>
      </c>
      <c r="DL548" t="s">
        <v>120</v>
      </c>
      <c r="DM548" t="s">
        <v>120</v>
      </c>
      <c r="DN548" t="s">
        <v>120</v>
      </c>
    </row>
    <row r="549" spans="1:118">
      <c r="A549" t="str">
        <f>"002125"</f>
        <v>002125</v>
      </c>
      <c r="B549" t="s">
        <v>3463</v>
      </c>
      <c r="C549">
        <v>-7.47</v>
      </c>
      <c r="D549">
        <v>-0.06</v>
      </c>
      <c r="E549">
        <v>2.72</v>
      </c>
      <c r="F549">
        <v>5706</v>
      </c>
      <c r="G549" t="s">
        <v>3464</v>
      </c>
      <c r="H549">
        <v>98124.23</v>
      </c>
      <c r="I549">
        <v>1091.02</v>
      </c>
      <c r="J549" t="s">
        <v>120</v>
      </c>
      <c r="K549" t="s">
        <v>3465</v>
      </c>
      <c r="L549">
        <v>11.74</v>
      </c>
      <c r="M549">
        <v>13.63</v>
      </c>
      <c r="N549">
        <v>0.82</v>
      </c>
      <c r="O549">
        <v>2.85</v>
      </c>
      <c r="P549">
        <v>15.15</v>
      </c>
      <c r="Q549">
        <v>-7.81</v>
      </c>
      <c r="R549">
        <v>13.58</v>
      </c>
      <c r="S549">
        <v>15.13</v>
      </c>
      <c r="T549">
        <v>696771</v>
      </c>
      <c r="U549">
        <v>13.63</v>
      </c>
      <c r="V549">
        <v>14.73</v>
      </c>
      <c r="W549">
        <v>85.45</v>
      </c>
      <c r="X549" t="s">
        <v>868</v>
      </c>
      <c r="Y549" t="s">
        <v>594</v>
      </c>
      <c r="Z549">
        <v>10.66</v>
      </c>
      <c r="AA549">
        <v>14.08</v>
      </c>
      <c r="AB549">
        <v>381882</v>
      </c>
      <c r="AC549">
        <v>314889</v>
      </c>
      <c r="AD549">
        <v>1.21</v>
      </c>
      <c r="AE549">
        <v>297</v>
      </c>
      <c r="AF549">
        <v>506</v>
      </c>
      <c r="AG549" t="s">
        <v>120</v>
      </c>
      <c r="AH549">
        <v>0.2</v>
      </c>
      <c r="AI549" t="s">
        <v>120</v>
      </c>
      <c r="AJ549">
        <v>5.93</v>
      </c>
      <c r="AK549" t="s">
        <v>3466</v>
      </c>
      <c r="AL549">
        <v>-5.55</v>
      </c>
      <c r="AM549">
        <v>4601</v>
      </c>
      <c r="AN549">
        <v>151</v>
      </c>
      <c r="AO549">
        <v>2.5999999999999999E-3</v>
      </c>
      <c r="AP549">
        <v>-1</v>
      </c>
      <c r="AQ549">
        <v>2.72</v>
      </c>
      <c r="AR549">
        <v>0.37</v>
      </c>
      <c r="AS549">
        <v>24.59</v>
      </c>
      <c r="AT549">
        <v>89.83</v>
      </c>
      <c r="AU549">
        <v>71.88</v>
      </c>
      <c r="AV549">
        <v>8</v>
      </c>
      <c r="AW549">
        <v>18.850000000000001</v>
      </c>
      <c r="AX549">
        <v>58.72</v>
      </c>
      <c r="AY549">
        <v>156.97999999999999</v>
      </c>
      <c r="AZ549">
        <v>366.51</v>
      </c>
      <c r="BA549">
        <v>0.73</v>
      </c>
      <c r="BB549" t="s">
        <v>184</v>
      </c>
      <c r="BF549">
        <v>-4.3899999999999997</v>
      </c>
      <c r="BG549">
        <v>-9.91</v>
      </c>
      <c r="BH549">
        <v>-10.029999999999999</v>
      </c>
      <c r="BI549">
        <v>0.37</v>
      </c>
      <c r="BJ549">
        <v>20210902</v>
      </c>
      <c r="BK549">
        <v>20070403</v>
      </c>
      <c r="BL549">
        <v>6.29</v>
      </c>
      <c r="BM549" t="s">
        <v>120</v>
      </c>
      <c r="BN549" t="s">
        <v>120</v>
      </c>
      <c r="BO549">
        <v>42.66</v>
      </c>
      <c r="BP549">
        <v>13.62</v>
      </c>
      <c r="BQ549">
        <v>18.07</v>
      </c>
      <c r="BR549">
        <v>0.48</v>
      </c>
      <c r="BS549">
        <v>56.52</v>
      </c>
      <c r="BT549">
        <v>15.77</v>
      </c>
      <c r="BU549">
        <v>17.329999999999998</v>
      </c>
      <c r="BV549">
        <v>2.1800000000000002</v>
      </c>
      <c r="BW549">
        <v>18.829999999999998</v>
      </c>
      <c r="BX549">
        <v>4.6900000000000004</v>
      </c>
      <c r="BY549">
        <v>5.17</v>
      </c>
      <c r="BZ549">
        <v>3.3</v>
      </c>
      <c r="CA549" t="s">
        <v>120</v>
      </c>
      <c r="CB549">
        <v>9.32</v>
      </c>
      <c r="CC549">
        <v>8.86</v>
      </c>
      <c r="CD549">
        <v>7.16</v>
      </c>
      <c r="CE549">
        <v>0.56999999999999995</v>
      </c>
      <c r="CF549">
        <v>0.17</v>
      </c>
      <c r="CG549">
        <v>0.56999999999999995</v>
      </c>
      <c r="CH549">
        <v>0.5</v>
      </c>
      <c r="CI549">
        <v>0.5</v>
      </c>
      <c r="CJ549">
        <v>-1.1000000000000001</v>
      </c>
      <c r="CK549">
        <v>0.48</v>
      </c>
      <c r="CL549">
        <v>2.21</v>
      </c>
      <c r="CM549">
        <v>0.32</v>
      </c>
      <c r="CN549">
        <v>2.56</v>
      </c>
      <c r="CO549">
        <v>44914</v>
      </c>
      <c r="CP549">
        <v>8230</v>
      </c>
      <c r="CQ549" t="s">
        <v>3467</v>
      </c>
      <c r="CR549">
        <v>205.49</v>
      </c>
      <c r="CS549">
        <v>60.47</v>
      </c>
      <c r="CT549">
        <v>4.75</v>
      </c>
      <c r="CU549">
        <v>269.26</v>
      </c>
      <c r="CV549">
        <v>9.69</v>
      </c>
      <c r="CW549">
        <v>0.14000000000000001</v>
      </c>
      <c r="CX549" t="s">
        <v>535</v>
      </c>
      <c r="CY549">
        <v>2.87</v>
      </c>
      <c r="CZ549">
        <v>0</v>
      </c>
      <c r="DA549">
        <v>1.48</v>
      </c>
      <c r="DB549">
        <v>0.35</v>
      </c>
      <c r="DC549">
        <v>0.05</v>
      </c>
      <c r="DD549">
        <v>42.36</v>
      </c>
      <c r="DE549" t="s">
        <v>3468</v>
      </c>
      <c r="DF549">
        <v>19.11</v>
      </c>
      <c r="DG549">
        <v>6.42</v>
      </c>
      <c r="DH549">
        <v>5.67</v>
      </c>
      <c r="DI549">
        <v>0.11</v>
      </c>
      <c r="DJ549">
        <v>1124</v>
      </c>
      <c r="DK549">
        <v>2125</v>
      </c>
      <c r="DL549" t="s">
        <v>120</v>
      </c>
      <c r="DM549" t="s">
        <v>120</v>
      </c>
      <c r="DN549" t="s">
        <v>120</v>
      </c>
    </row>
    <row r="550" spans="1:118">
      <c r="A550" t="str">
        <f>"002126"</f>
        <v>002126</v>
      </c>
      <c r="B550" t="s">
        <v>3469</v>
      </c>
      <c r="C550">
        <v>-2.1</v>
      </c>
      <c r="D550">
        <v>-0.08</v>
      </c>
      <c r="E550">
        <v>0</v>
      </c>
      <c r="F550">
        <v>834</v>
      </c>
      <c r="G550" t="s">
        <v>3470</v>
      </c>
      <c r="H550">
        <v>13209.56</v>
      </c>
      <c r="I550">
        <v>33.68</v>
      </c>
      <c r="J550" t="s">
        <v>120</v>
      </c>
      <c r="K550" t="s">
        <v>3471</v>
      </c>
      <c r="L550">
        <v>1.59</v>
      </c>
      <c r="M550">
        <v>10.74</v>
      </c>
      <c r="N550">
        <v>0.62</v>
      </c>
      <c r="O550">
        <v>0.82</v>
      </c>
      <c r="P550">
        <v>11.06</v>
      </c>
      <c r="Q550">
        <v>-2.1</v>
      </c>
      <c r="R550">
        <v>10.74</v>
      </c>
      <c r="S550">
        <v>10.97</v>
      </c>
      <c r="T550">
        <v>121427</v>
      </c>
      <c r="U550">
        <v>10.75</v>
      </c>
      <c r="V550">
        <v>10.97</v>
      </c>
      <c r="W550">
        <v>24.26</v>
      </c>
      <c r="X550" t="s">
        <v>289</v>
      </c>
      <c r="Y550" t="s">
        <v>585</v>
      </c>
      <c r="Z550">
        <v>2.92</v>
      </c>
      <c r="AA550">
        <v>10.88</v>
      </c>
      <c r="AB550">
        <v>71751</v>
      </c>
      <c r="AC550">
        <v>49676</v>
      </c>
      <c r="AD550">
        <v>1.44</v>
      </c>
      <c r="AE550">
        <v>1237</v>
      </c>
      <c r="AF550">
        <v>751</v>
      </c>
      <c r="AG550" t="s">
        <v>120</v>
      </c>
      <c r="AH550">
        <v>0</v>
      </c>
      <c r="AI550" t="s">
        <v>120</v>
      </c>
      <c r="AJ550">
        <v>7.62</v>
      </c>
      <c r="AK550" t="s">
        <v>3472</v>
      </c>
      <c r="AL550">
        <v>-0.18</v>
      </c>
      <c r="AM550">
        <v>2956</v>
      </c>
      <c r="AN550">
        <v>41</v>
      </c>
      <c r="AO550">
        <v>5.0000000000000001E-4</v>
      </c>
      <c r="AP550">
        <v>-4</v>
      </c>
      <c r="AQ550">
        <v>-1.17</v>
      </c>
      <c r="AR550">
        <v>-6.61</v>
      </c>
      <c r="AS550">
        <v>-3.07</v>
      </c>
      <c r="AT550">
        <v>0</v>
      </c>
      <c r="AU550">
        <v>-21.55</v>
      </c>
      <c r="AV550">
        <v>2</v>
      </c>
      <c r="AW550">
        <v>1.89</v>
      </c>
      <c r="AX550">
        <v>81.02</v>
      </c>
      <c r="AY550">
        <v>29.62</v>
      </c>
      <c r="AZ550">
        <v>27.02</v>
      </c>
      <c r="BA550">
        <v>0.52</v>
      </c>
      <c r="BB550" t="s">
        <v>240</v>
      </c>
      <c r="BF550">
        <v>-0.83</v>
      </c>
      <c r="BG550">
        <v>-2.1</v>
      </c>
      <c r="BH550">
        <v>-2.89</v>
      </c>
      <c r="BI550">
        <v>0</v>
      </c>
      <c r="BJ550">
        <v>20210830</v>
      </c>
      <c r="BK550">
        <v>20070418</v>
      </c>
      <c r="BL550">
        <v>7.92</v>
      </c>
      <c r="BM550" t="s">
        <v>120</v>
      </c>
      <c r="BN550" t="s">
        <v>120</v>
      </c>
      <c r="BO550">
        <v>115.56</v>
      </c>
      <c r="BP550">
        <v>10.74</v>
      </c>
      <c r="BQ550">
        <v>42.98</v>
      </c>
      <c r="BR550">
        <v>4.58</v>
      </c>
      <c r="BS550">
        <v>58.84</v>
      </c>
      <c r="BT550">
        <v>73.069999999999993</v>
      </c>
      <c r="BU550">
        <v>22.27</v>
      </c>
      <c r="BV550">
        <v>4.74</v>
      </c>
      <c r="BW550">
        <v>57.9</v>
      </c>
      <c r="BX550">
        <v>12.73</v>
      </c>
      <c r="BY550">
        <v>12.28</v>
      </c>
      <c r="BZ550">
        <v>24.93</v>
      </c>
      <c r="CA550" t="s">
        <v>120</v>
      </c>
      <c r="CB550">
        <v>9.93</v>
      </c>
      <c r="CC550">
        <v>40.54</v>
      </c>
      <c r="CD550">
        <v>31.99</v>
      </c>
      <c r="CE550">
        <v>2.2799999999999998</v>
      </c>
      <c r="CF550">
        <v>0.17</v>
      </c>
      <c r="CG550">
        <v>2.27</v>
      </c>
      <c r="CH550">
        <v>2.02</v>
      </c>
      <c r="CI550">
        <v>1.75</v>
      </c>
      <c r="CJ550">
        <v>-0.23</v>
      </c>
      <c r="CK550">
        <v>1.56</v>
      </c>
      <c r="CL550">
        <v>21.56</v>
      </c>
      <c r="CM550">
        <v>0.78</v>
      </c>
      <c r="CN550">
        <v>4.9000000000000004</v>
      </c>
      <c r="CO550">
        <v>39024</v>
      </c>
      <c r="CP550">
        <v>16444</v>
      </c>
      <c r="CQ550" t="s">
        <v>3473</v>
      </c>
      <c r="CR550">
        <v>-13.86</v>
      </c>
      <c r="CS550">
        <v>34.72</v>
      </c>
      <c r="CT550">
        <v>2.04</v>
      </c>
      <c r="CU550">
        <v>109.27</v>
      </c>
      <c r="CV550">
        <v>2.1</v>
      </c>
      <c r="CW550">
        <v>0.73</v>
      </c>
      <c r="CX550" t="s">
        <v>3361</v>
      </c>
      <c r="CY550">
        <v>5.27</v>
      </c>
      <c r="CZ550">
        <v>5.27</v>
      </c>
      <c r="DA550">
        <v>1.25</v>
      </c>
      <c r="DB550">
        <v>2.72</v>
      </c>
      <c r="DC550">
        <v>0.1</v>
      </c>
      <c r="DD550">
        <v>37.200000000000003</v>
      </c>
      <c r="DE550" t="s">
        <v>789</v>
      </c>
      <c r="DF550">
        <v>21.11</v>
      </c>
      <c r="DG550">
        <v>5.61</v>
      </c>
      <c r="DH550">
        <v>4.33</v>
      </c>
      <c r="DI550">
        <v>1.63</v>
      </c>
      <c r="DJ550">
        <v>7652</v>
      </c>
      <c r="DK550">
        <v>2126</v>
      </c>
      <c r="DL550" t="s">
        <v>120</v>
      </c>
      <c r="DM550" t="s">
        <v>120</v>
      </c>
      <c r="DN550" t="s">
        <v>120</v>
      </c>
    </row>
    <row r="551" spans="1:118">
      <c r="A551" t="str">
        <f>"002127"</f>
        <v>002127</v>
      </c>
      <c r="B551" t="s">
        <v>3474</v>
      </c>
      <c r="C551">
        <v>-2.4300000000000002</v>
      </c>
      <c r="D551">
        <v>-0.4</v>
      </c>
      <c r="E551">
        <v>-0.54</v>
      </c>
      <c r="F551">
        <v>11619</v>
      </c>
      <c r="G551" t="s">
        <v>3475</v>
      </c>
      <c r="H551">
        <v>43428.160000000003</v>
      </c>
      <c r="I551">
        <v>177.45</v>
      </c>
      <c r="J551" t="s">
        <v>120</v>
      </c>
      <c r="K551" t="s">
        <v>3476</v>
      </c>
      <c r="L551">
        <v>3.02</v>
      </c>
      <c r="M551">
        <v>7.22</v>
      </c>
      <c r="N551">
        <v>1.08</v>
      </c>
      <c r="O551">
        <v>1.76</v>
      </c>
      <c r="P551">
        <v>7.53</v>
      </c>
      <c r="Q551">
        <v>-2.57</v>
      </c>
      <c r="R551">
        <v>7.21</v>
      </c>
      <c r="S551">
        <v>7.36</v>
      </c>
      <c r="T551">
        <v>591367</v>
      </c>
      <c r="U551">
        <v>7.23</v>
      </c>
      <c r="V551">
        <v>7.4</v>
      </c>
      <c r="W551">
        <v>36.01</v>
      </c>
      <c r="X551" t="s">
        <v>1531</v>
      </c>
      <c r="Y551" t="s">
        <v>319</v>
      </c>
      <c r="Z551">
        <v>4.32</v>
      </c>
      <c r="AA551">
        <v>7.34</v>
      </c>
      <c r="AB551">
        <v>302060</v>
      </c>
      <c r="AC551">
        <v>289307</v>
      </c>
      <c r="AD551">
        <v>1.04</v>
      </c>
      <c r="AE551">
        <v>419</v>
      </c>
      <c r="AF551">
        <v>101</v>
      </c>
      <c r="AG551" t="s">
        <v>120</v>
      </c>
      <c r="AH551">
        <v>0.01</v>
      </c>
      <c r="AI551" t="s">
        <v>120</v>
      </c>
      <c r="AJ551">
        <v>19.59</v>
      </c>
      <c r="AK551" t="s">
        <v>3477</v>
      </c>
      <c r="AL551">
        <v>-0.52</v>
      </c>
      <c r="AM551">
        <v>4257</v>
      </c>
      <c r="AN551">
        <v>139</v>
      </c>
      <c r="AO551">
        <v>6.9999999999999999E-4</v>
      </c>
      <c r="AP551">
        <v>-3</v>
      </c>
      <c r="AQ551">
        <v>-5.85</v>
      </c>
      <c r="AR551">
        <v>-9.52</v>
      </c>
      <c r="AS551">
        <v>-20.22</v>
      </c>
      <c r="AT551">
        <v>-16.73</v>
      </c>
      <c r="AU551">
        <v>-46.57</v>
      </c>
      <c r="AV551">
        <v>6</v>
      </c>
      <c r="AW551">
        <v>3.52</v>
      </c>
      <c r="AX551">
        <v>68.53</v>
      </c>
      <c r="AY551">
        <v>18.100000000000001</v>
      </c>
      <c r="AZ551">
        <v>15.29</v>
      </c>
      <c r="BA551">
        <v>0.9</v>
      </c>
      <c r="BB551" t="s">
        <v>240</v>
      </c>
      <c r="BF551">
        <v>-0.76</v>
      </c>
      <c r="BG551">
        <v>-1.9</v>
      </c>
      <c r="BH551">
        <v>-4.12</v>
      </c>
      <c r="BI551">
        <v>0.14000000000000001</v>
      </c>
      <c r="BJ551">
        <v>20210830</v>
      </c>
      <c r="BK551">
        <v>20070418</v>
      </c>
      <c r="BL551">
        <v>24.55</v>
      </c>
      <c r="BM551" t="s">
        <v>120</v>
      </c>
      <c r="BN551" t="s">
        <v>120</v>
      </c>
      <c r="BO551">
        <v>51.98</v>
      </c>
      <c r="BP551">
        <v>7.22</v>
      </c>
      <c r="BQ551">
        <v>46.39</v>
      </c>
      <c r="BR551">
        <v>-0.02</v>
      </c>
      <c r="BS551">
        <v>10.8</v>
      </c>
      <c r="BT551">
        <v>36.5</v>
      </c>
      <c r="BU551">
        <v>7.0000000000000007E-2</v>
      </c>
      <c r="BV551">
        <v>5.6</v>
      </c>
      <c r="BW551">
        <v>5.08</v>
      </c>
      <c r="BX551">
        <v>17.98</v>
      </c>
      <c r="BY551">
        <v>0.03</v>
      </c>
      <c r="BZ551">
        <v>13.18</v>
      </c>
      <c r="CA551" t="s">
        <v>120</v>
      </c>
      <c r="CB551">
        <v>14.85</v>
      </c>
      <c r="CC551">
        <v>16.61</v>
      </c>
      <c r="CD551">
        <v>12.81</v>
      </c>
      <c r="CE551">
        <v>2.52</v>
      </c>
      <c r="CF551">
        <v>0.05</v>
      </c>
      <c r="CG551">
        <v>2.67</v>
      </c>
      <c r="CH551">
        <v>2.44</v>
      </c>
      <c r="CI551">
        <v>2.46</v>
      </c>
      <c r="CJ551">
        <v>-0.18</v>
      </c>
      <c r="CK551">
        <v>2.23</v>
      </c>
      <c r="CL551">
        <v>36.520000000000003</v>
      </c>
      <c r="CM551">
        <v>-2.65</v>
      </c>
      <c r="CN551">
        <v>-7.91</v>
      </c>
      <c r="CO551">
        <v>142735</v>
      </c>
      <c r="CP551">
        <v>11786</v>
      </c>
      <c r="CQ551" t="s">
        <v>1267</v>
      </c>
      <c r="CR551">
        <v>-42.85</v>
      </c>
      <c r="CS551">
        <v>2.15</v>
      </c>
      <c r="CT551">
        <v>3.82</v>
      </c>
      <c r="CU551">
        <v>-66.8</v>
      </c>
      <c r="CV551">
        <v>10.67</v>
      </c>
      <c r="CW551">
        <v>2.16</v>
      </c>
      <c r="CX551" t="s">
        <v>411</v>
      </c>
      <c r="CY551">
        <v>1.89</v>
      </c>
      <c r="CZ551">
        <v>0</v>
      </c>
      <c r="DA551">
        <v>0.61</v>
      </c>
      <c r="DB551">
        <v>1.49</v>
      </c>
      <c r="DC551">
        <v>-0.11</v>
      </c>
      <c r="DD551">
        <v>89.24</v>
      </c>
      <c r="DE551" t="s">
        <v>2687</v>
      </c>
      <c r="DF551">
        <v>22.91</v>
      </c>
      <c r="DG551">
        <v>15.17</v>
      </c>
      <c r="DH551">
        <v>14.81</v>
      </c>
      <c r="DI551">
        <v>0.2</v>
      </c>
      <c r="DJ551">
        <v>873</v>
      </c>
      <c r="DK551">
        <v>2127</v>
      </c>
      <c r="DL551" t="s">
        <v>120</v>
      </c>
      <c r="DM551" t="s">
        <v>120</v>
      </c>
      <c r="DN551" t="s">
        <v>120</v>
      </c>
    </row>
    <row r="552" spans="1:118">
      <c r="A552" t="str">
        <f>"002128"</f>
        <v>002128</v>
      </c>
      <c r="B552" t="s">
        <v>3478</v>
      </c>
      <c r="C552">
        <v>-2.0099999999999998</v>
      </c>
      <c r="D552">
        <v>-0.11</v>
      </c>
      <c r="E552">
        <v>4.5599999999999996</v>
      </c>
      <c r="F552">
        <v>7880</v>
      </c>
      <c r="G552" t="s">
        <v>3479</v>
      </c>
      <c r="H552">
        <v>121000.69</v>
      </c>
      <c r="I552">
        <v>1976.26</v>
      </c>
      <c r="J552" t="s">
        <v>120</v>
      </c>
      <c r="K552" t="s">
        <v>3480</v>
      </c>
      <c r="L552">
        <v>4.0599999999999996</v>
      </c>
      <c r="M552">
        <v>16.12</v>
      </c>
      <c r="N552">
        <v>1.08</v>
      </c>
      <c r="O552">
        <v>5.65</v>
      </c>
      <c r="P552">
        <v>17.38</v>
      </c>
      <c r="Q552">
        <v>-2.25</v>
      </c>
      <c r="R552">
        <v>16.079999999999998</v>
      </c>
      <c r="S552">
        <v>17.2</v>
      </c>
      <c r="T552">
        <v>717025</v>
      </c>
      <c r="U552">
        <v>16.13</v>
      </c>
      <c r="V552">
        <v>16.45</v>
      </c>
      <c r="W552">
        <v>8.4600000000000009</v>
      </c>
      <c r="X552" t="s">
        <v>1081</v>
      </c>
      <c r="Y552" t="s">
        <v>785</v>
      </c>
      <c r="Z552">
        <v>7.9</v>
      </c>
      <c r="AA552">
        <v>16.88</v>
      </c>
      <c r="AB552">
        <v>364492</v>
      </c>
      <c r="AC552">
        <v>352533</v>
      </c>
      <c r="AD552">
        <v>1.03</v>
      </c>
      <c r="AE552">
        <v>1558</v>
      </c>
      <c r="AF552">
        <v>135</v>
      </c>
      <c r="AG552" t="s">
        <v>120</v>
      </c>
      <c r="AH552">
        <v>0.16</v>
      </c>
      <c r="AI552" t="s">
        <v>120</v>
      </c>
      <c r="AJ552">
        <v>17.670000000000002</v>
      </c>
      <c r="AK552" t="s">
        <v>3481</v>
      </c>
      <c r="AL552">
        <v>-0.09</v>
      </c>
      <c r="AM552">
        <v>4512</v>
      </c>
      <c r="AN552">
        <v>159</v>
      </c>
      <c r="AO552">
        <v>8.9999999999999998E-4</v>
      </c>
      <c r="AP552">
        <v>-1</v>
      </c>
      <c r="AQ552">
        <v>3.01</v>
      </c>
      <c r="AR552">
        <v>-2.2999999999999998</v>
      </c>
      <c r="AS552">
        <v>44.57</v>
      </c>
      <c r="AT552">
        <v>49.95</v>
      </c>
      <c r="AU552">
        <v>52.94</v>
      </c>
      <c r="AV552">
        <v>0</v>
      </c>
      <c r="AW552">
        <v>9.94</v>
      </c>
      <c r="AX552">
        <v>37.53</v>
      </c>
      <c r="AY552">
        <v>12.7</v>
      </c>
      <c r="AZ552">
        <v>15.26</v>
      </c>
      <c r="BA552">
        <v>0</v>
      </c>
      <c r="BB552" t="s">
        <v>168</v>
      </c>
      <c r="BF552">
        <v>2.59</v>
      </c>
      <c r="BG552">
        <v>-6.28</v>
      </c>
      <c r="BH552">
        <v>-7.25</v>
      </c>
      <c r="BI552">
        <v>0.25</v>
      </c>
      <c r="BJ552">
        <v>20210827</v>
      </c>
      <c r="BK552">
        <v>20070418</v>
      </c>
      <c r="BL552">
        <v>19.22</v>
      </c>
      <c r="BM552" t="s">
        <v>120</v>
      </c>
      <c r="BN552" t="s">
        <v>120</v>
      </c>
      <c r="BO552">
        <v>367.2</v>
      </c>
      <c r="BP552">
        <v>16.12</v>
      </c>
      <c r="BQ552">
        <v>188.15</v>
      </c>
      <c r="BR552">
        <v>31.82</v>
      </c>
      <c r="BS552">
        <v>40.1</v>
      </c>
      <c r="BT552">
        <v>88.32</v>
      </c>
      <c r="BU552">
        <v>217.63</v>
      </c>
      <c r="BV552">
        <v>20.170000000000002</v>
      </c>
      <c r="BW552">
        <v>97.32</v>
      </c>
      <c r="BX552">
        <v>14.18</v>
      </c>
      <c r="BY552">
        <v>13.5</v>
      </c>
      <c r="BZ552">
        <v>27.15</v>
      </c>
      <c r="CA552">
        <v>0.01</v>
      </c>
      <c r="CB552">
        <v>27.13</v>
      </c>
      <c r="CC552">
        <v>115.72</v>
      </c>
      <c r="CD552">
        <v>73.17</v>
      </c>
      <c r="CE552">
        <v>30.53</v>
      </c>
      <c r="CF552">
        <v>0.46</v>
      </c>
      <c r="CG552">
        <v>29.54</v>
      </c>
      <c r="CH552">
        <v>24.74</v>
      </c>
      <c r="CI552">
        <v>18.309999999999999</v>
      </c>
      <c r="CJ552">
        <v>-0.33</v>
      </c>
      <c r="CK552">
        <v>18.899999999999999</v>
      </c>
      <c r="CL552">
        <v>129.37</v>
      </c>
      <c r="CM552">
        <v>21.41</v>
      </c>
      <c r="CN552">
        <v>3.67</v>
      </c>
      <c r="CO552">
        <v>51425</v>
      </c>
      <c r="CP552">
        <v>14023</v>
      </c>
      <c r="CQ552" t="s">
        <v>3482</v>
      </c>
      <c r="CR552">
        <v>29.58</v>
      </c>
      <c r="CS552">
        <v>19.260000000000002</v>
      </c>
      <c r="CT552">
        <v>1.65</v>
      </c>
      <c r="CU552">
        <v>14.47</v>
      </c>
      <c r="CV552">
        <v>2.68</v>
      </c>
      <c r="CW552">
        <v>2.4300000000000002</v>
      </c>
      <c r="CX552" t="s">
        <v>136</v>
      </c>
      <c r="CY552">
        <v>9.7899999999999991</v>
      </c>
      <c r="CZ552">
        <v>0</v>
      </c>
      <c r="DA552">
        <v>1.41</v>
      </c>
      <c r="DB552">
        <v>6.73</v>
      </c>
      <c r="DC552">
        <v>1.1100000000000001</v>
      </c>
      <c r="DD552">
        <v>51.24</v>
      </c>
      <c r="DE552" t="s">
        <v>3483</v>
      </c>
      <c r="DF552">
        <v>36.770000000000003</v>
      </c>
      <c r="DG552">
        <v>26.38</v>
      </c>
      <c r="DH552">
        <v>15.82</v>
      </c>
      <c r="DI552" t="s">
        <v>120</v>
      </c>
      <c r="DJ552">
        <v>7507</v>
      </c>
      <c r="DK552">
        <v>2128</v>
      </c>
      <c r="DL552">
        <v>20210913</v>
      </c>
      <c r="DM552">
        <v>16.600000000000001</v>
      </c>
      <c r="DN552">
        <v>-2.89</v>
      </c>
    </row>
    <row r="553" spans="1:118">
      <c r="A553" t="str">
        <f>"002129"</f>
        <v>002129</v>
      </c>
      <c r="B553" t="s">
        <v>3484</v>
      </c>
      <c r="C553">
        <v>-6.47</v>
      </c>
      <c r="D553">
        <v>0</v>
      </c>
      <c r="E553">
        <v>0.04</v>
      </c>
      <c r="F553">
        <v>11248</v>
      </c>
      <c r="G553" t="s">
        <v>3485</v>
      </c>
      <c r="H553">
        <v>321612.40999999997</v>
      </c>
      <c r="I553">
        <v>927.45</v>
      </c>
      <c r="J553" t="s">
        <v>120</v>
      </c>
      <c r="K553" t="s">
        <v>3486</v>
      </c>
      <c r="L553">
        <v>2.2599999999999998</v>
      </c>
      <c r="M553">
        <v>46</v>
      </c>
      <c r="N553">
        <v>1.34</v>
      </c>
      <c r="O553">
        <v>0.65</v>
      </c>
      <c r="P553">
        <v>49.5</v>
      </c>
      <c r="Q553">
        <v>-6.57</v>
      </c>
      <c r="R553">
        <v>45.95</v>
      </c>
      <c r="S553">
        <v>49.2</v>
      </c>
      <c r="T553">
        <v>683745</v>
      </c>
      <c r="U553">
        <v>46.01</v>
      </c>
      <c r="V553">
        <v>49.18</v>
      </c>
      <c r="W553">
        <v>47.13</v>
      </c>
      <c r="X553" t="s">
        <v>3245</v>
      </c>
      <c r="Y553" t="s">
        <v>997</v>
      </c>
      <c r="Z553">
        <v>7.22</v>
      </c>
      <c r="AA553">
        <v>47.04</v>
      </c>
      <c r="AB553">
        <v>369556</v>
      </c>
      <c r="AC553">
        <v>314189</v>
      </c>
      <c r="AD553">
        <v>1.18</v>
      </c>
      <c r="AE553">
        <v>197</v>
      </c>
      <c r="AF553">
        <v>117</v>
      </c>
      <c r="AG553" t="s">
        <v>120</v>
      </c>
      <c r="AH553">
        <v>0.01</v>
      </c>
      <c r="AI553" t="s">
        <v>120</v>
      </c>
      <c r="AJ553">
        <v>30.31</v>
      </c>
      <c r="AK553" t="s">
        <v>3487</v>
      </c>
      <c r="AL553">
        <v>-4.55</v>
      </c>
      <c r="AM553">
        <v>4721</v>
      </c>
      <c r="AN553">
        <v>145</v>
      </c>
      <c r="AO553">
        <v>5.0000000000000001E-4</v>
      </c>
      <c r="AP553">
        <v>-1</v>
      </c>
      <c r="AQ553">
        <v>5.09</v>
      </c>
      <c r="AR553">
        <v>-1.26</v>
      </c>
      <c r="AS553">
        <v>-1.31</v>
      </c>
      <c r="AT553">
        <v>27.81</v>
      </c>
      <c r="AU553">
        <v>80.819999999999993</v>
      </c>
      <c r="AV553">
        <v>4</v>
      </c>
      <c r="AW553">
        <v>3.21</v>
      </c>
      <c r="AX553">
        <v>70.150000000000006</v>
      </c>
      <c r="AY553">
        <v>73.45</v>
      </c>
      <c r="AZ553">
        <v>136.97</v>
      </c>
      <c r="BA553">
        <v>1.51</v>
      </c>
      <c r="BB553" t="s">
        <v>168</v>
      </c>
      <c r="BF553">
        <v>-4.3600000000000003</v>
      </c>
      <c r="BG553">
        <v>-6.5</v>
      </c>
      <c r="BH553">
        <v>-7.07</v>
      </c>
      <c r="BI553">
        <v>0.11</v>
      </c>
      <c r="BJ553">
        <v>20210813</v>
      </c>
      <c r="BK553">
        <v>20070420</v>
      </c>
      <c r="BL553">
        <v>30.33</v>
      </c>
      <c r="BM553" t="s">
        <v>120</v>
      </c>
      <c r="BN553" t="s">
        <v>120</v>
      </c>
      <c r="BO553">
        <v>660.39</v>
      </c>
      <c r="BP553">
        <v>46</v>
      </c>
      <c r="BQ553">
        <v>201.92</v>
      </c>
      <c r="BR553">
        <v>95.64</v>
      </c>
      <c r="BS553">
        <v>54.94</v>
      </c>
      <c r="BT553">
        <v>183.38</v>
      </c>
      <c r="BU553">
        <v>263.88</v>
      </c>
      <c r="BV553">
        <v>26.02</v>
      </c>
      <c r="BW553">
        <v>178.61</v>
      </c>
      <c r="BX553">
        <v>69.09</v>
      </c>
      <c r="BY553">
        <v>33.43</v>
      </c>
      <c r="BZ553">
        <v>24.56</v>
      </c>
      <c r="CA553" t="s">
        <v>120</v>
      </c>
      <c r="CB553">
        <v>124.05</v>
      </c>
      <c r="CC553">
        <v>176.44</v>
      </c>
      <c r="CD553">
        <v>140.06</v>
      </c>
      <c r="CE553">
        <v>21.01</v>
      </c>
      <c r="CF553">
        <v>4.37</v>
      </c>
      <c r="CG553">
        <v>21.06</v>
      </c>
      <c r="CH553">
        <v>18.86</v>
      </c>
      <c r="CI553">
        <v>14.8</v>
      </c>
      <c r="CJ553">
        <v>-3.18</v>
      </c>
      <c r="CK553">
        <v>13.02</v>
      </c>
      <c r="CL553">
        <v>49.31</v>
      </c>
      <c r="CM553">
        <v>21.25</v>
      </c>
      <c r="CN553">
        <v>5.81</v>
      </c>
      <c r="CO553">
        <v>144000</v>
      </c>
      <c r="CP553">
        <v>14774</v>
      </c>
      <c r="CQ553" t="s">
        <v>3488</v>
      </c>
      <c r="CR553">
        <v>174.92</v>
      </c>
      <c r="CS553">
        <v>104.12</v>
      </c>
      <c r="CT553">
        <v>6.91</v>
      </c>
      <c r="CU553">
        <v>65.64</v>
      </c>
      <c r="CV553">
        <v>7.91</v>
      </c>
      <c r="CW553">
        <v>0.12</v>
      </c>
      <c r="CX553" t="s">
        <v>3489</v>
      </c>
      <c r="CY553">
        <v>6.66</v>
      </c>
      <c r="CZ553">
        <v>0</v>
      </c>
      <c r="DA553">
        <v>4.09</v>
      </c>
      <c r="DB553">
        <v>1.63</v>
      </c>
      <c r="DC553">
        <v>0.7</v>
      </c>
      <c r="DD553">
        <v>30.58</v>
      </c>
      <c r="DE553" t="s">
        <v>3490</v>
      </c>
      <c r="DF553">
        <v>20.62</v>
      </c>
      <c r="DG553">
        <v>11.91</v>
      </c>
      <c r="DH553">
        <v>8.39</v>
      </c>
      <c r="DI553">
        <v>9.3800000000000008</v>
      </c>
      <c r="DJ553">
        <v>10258</v>
      </c>
      <c r="DK553">
        <v>2129</v>
      </c>
      <c r="DL553" t="s">
        <v>120</v>
      </c>
      <c r="DM553" t="s">
        <v>120</v>
      </c>
      <c r="DN553" t="s">
        <v>120</v>
      </c>
    </row>
    <row r="554" spans="1:118">
      <c r="A554" t="str">
        <f>"002130"</f>
        <v>002130</v>
      </c>
      <c r="B554" t="s">
        <v>3491</v>
      </c>
      <c r="C554">
        <v>-4.54</v>
      </c>
      <c r="D554">
        <v>0</v>
      </c>
      <c r="E554">
        <v>1</v>
      </c>
      <c r="F554">
        <v>3000</v>
      </c>
      <c r="G554" t="s">
        <v>3492</v>
      </c>
      <c r="H554">
        <v>50497.38</v>
      </c>
      <c r="I554">
        <v>376.25</v>
      </c>
      <c r="J554" t="s">
        <v>120</v>
      </c>
      <c r="K554" t="s">
        <v>2981</v>
      </c>
      <c r="L554">
        <v>4.57</v>
      </c>
      <c r="M554">
        <v>8.6300000000000008</v>
      </c>
      <c r="N554">
        <v>1.19</v>
      </c>
      <c r="O554">
        <v>1.55</v>
      </c>
      <c r="P554">
        <v>9.18</v>
      </c>
      <c r="Q554">
        <v>-4.87</v>
      </c>
      <c r="R554">
        <v>8.6</v>
      </c>
      <c r="S554">
        <v>9.1300000000000008</v>
      </c>
      <c r="T554">
        <v>569730</v>
      </c>
      <c r="U554">
        <v>8.64</v>
      </c>
      <c r="V554">
        <v>9.0399999999999991</v>
      </c>
      <c r="W554">
        <v>17.55</v>
      </c>
      <c r="X554" t="s">
        <v>394</v>
      </c>
      <c r="Y554" t="s">
        <v>123</v>
      </c>
      <c r="Z554">
        <v>6.42</v>
      </c>
      <c r="AA554">
        <v>8.86</v>
      </c>
      <c r="AB554">
        <v>349545</v>
      </c>
      <c r="AC554">
        <v>220185</v>
      </c>
      <c r="AD554">
        <v>1.59</v>
      </c>
      <c r="AE554">
        <v>522</v>
      </c>
      <c r="AF554">
        <v>199</v>
      </c>
      <c r="AG554" t="s">
        <v>120</v>
      </c>
      <c r="AH554">
        <v>0.04</v>
      </c>
      <c r="AI554" t="s">
        <v>120</v>
      </c>
      <c r="AJ554">
        <v>12.48</v>
      </c>
      <c r="AK554" t="s">
        <v>3493</v>
      </c>
      <c r="AL554">
        <v>-2.62</v>
      </c>
      <c r="AM554">
        <v>4118</v>
      </c>
      <c r="AN554">
        <v>138</v>
      </c>
      <c r="AO554">
        <v>1.1000000000000001E-3</v>
      </c>
      <c r="AP554">
        <v>-1</v>
      </c>
      <c r="AQ554">
        <v>6.23</v>
      </c>
      <c r="AR554">
        <v>-1.26</v>
      </c>
      <c r="AS554">
        <v>7.07</v>
      </c>
      <c r="AT554">
        <v>36.979999999999997</v>
      </c>
      <c r="AU554">
        <v>56.91</v>
      </c>
      <c r="AV554">
        <v>2</v>
      </c>
      <c r="AW554">
        <v>6.13</v>
      </c>
      <c r="AX554">
        <v>73.819999999999993</v>
      </c>
      <c r="AY554">
        <v>19.899999999999999</v>
      </c>
      <c r="AZ554">
        <v>28.78</v>
      </c>
      <c r="BA554">
        <v>0.37</v>
      </c>
      <c r="BB554" t="s">
        <v>143</v>
      </c>
      <c r="BF554">
        <v>-1.95</v>
      </c>
      <c r="BG554">
        <v>-5.48</v>
      </c>
      <c r="BH554">
        <v>-5.99</v>
      </c>
      <c r="BI554">
        <v>0.35</v>
      </c>
      <c r="BJ554">
        <v>20210803</v>
      </c>
      <c r="BK554">
        <v>20070420</v>
      </c>
      <c r="BL554">
        <v>12.6</v>
      </c>
      <c r="BM554" t="s">
        <v>120</v>
      </c>
      <c r="BN554" t="s">
        <v>120</v>
      </c>
      <c r="BO554">
        <v>74.569999999999993</v>
      </c>
      <c r="BP554">
        <v>8.6300000000000008</v>
      </c>
      <c r="BQ554">
        <v>35.47</v>
      </c>
      <c r="BR554">
        <v>3.04</v>
      </c>
      <c r="BS554">
        <v>48.35</v>
      </c>
      <c r="BT554">
        <v>35.74</v>
      </c>
      <c r="BU554">
        <v>22.25</v>
      </c>
      <c r="BV554">
        <v>2.1800000000000002</v>
      </c>
      <c r="BW554">
        <v>28.1</v>
      </c>
      <c r="BX554">
        <v>6.17</v>
      </c>
      <c r="BY554">
        <v>6.76</v>
      </c>
      <c r="BZ554">
        <v>17.04</v>
      </c>
      <c r="CA554" t="s">
        <v>120</v>
      </c>
      <c r="CB554">
        <v>2.33</v>
      </c>
      <c r="CC554">
        <v>25.36</v>
      </c>
      <c r="CD554">
        <v>15.96</v>
      </c>
      <c r="CE554">
        <v>3.69</v>
      </c>
      <c r="CF554">
        <v>0.04</v>
      </c>
      <c r="CG554">
        <v>3.69</v>
      </c>
      <c r="CH554">
        <v>3.28</v>
      </c>
      <c r="CI554">
        <v>3.1</v>
      </c>
      <c r="CJ554">
        <v>-0.41</v>
      </c>
      <c r="CK554">
        <v>2.92</v>
      </c>
      <c r="CL554">
        <v>20.100000000000001</v>
      </c>
      <c r="CM554">
        <v>2.25</v>
      </c>
      <c r="CN554">
        <v>-0.25</v>
      </c>
      <c r="CO554">
        <v>94750</v>
      </c>
      <c r="CP554">
        <v>9816</v>
      </c>
      <c r="CQ554" t="s">
        <v>3494</v>
      </c>
      <c r="CR554">
        <v>132.65</v>
      </c>
      <c r="CS554">
        <v>50.26</v>
      </c>
      <c r="CT554">
        <v>3.07</v>
      </c>
      <c r="CU554">
        <v>48.36</v>
      </c>
      <c r="CV554">
        <v>4.29</v>
      </c>
      <c r="CW554">
        <v>0.33</v>
      </c>
      <c r="CX554" t="s">
        <v>863</v>
      </c>
      <c r="CY554">
        <v>2.82</v>
      </c>
      <c r="CZ554">
        <v>0</v>
      </c>
      <c r="DA554">
        <v>0.19</v>
      </c>
      <c r="DB554">
        <v>1.6</v>
      </c>
      <c r="DC554">
        <v>0.18</v>
      </c>
      <c r="DD554">
        <v>47.57</v>
      </c>
      <c r="DE554" t="s">
        <v>3495</v>
      </c>
      <c r="DF554">
        <v>37.07</v>
      </c>
      <c r="DG554">
        <v>14.56</v>
      </c>
      <c r="DH554">
        <v>12.22</v>
      </c>
      <c r="DI554">
        <v>1.54</v>
      </c>
      <c r="DJ554">
        <v>5893</v>
      </c>
      <c r="DK554">
        <v>2130</v>
      </c>
      <c r="DL554" t="s">
        <v>120</v>
      </c>
      <c r="DM554" t="s">
        <v>120</v>
      </c>
      <c r="DN554" t="s">
        <v>120</v>
      </c>
    </row>
    <row r="555" spans="1:118">
      <c r="A555" t="str">
        <f>"002131"</f>
        <v>002131</v>
      </c>
      <c r="B555" t="s">
        <v>3496</v>
      </c>
      <c r="C555">
        <v>0</v>
      </c>
      <c r="D555">
        <v>0</v>
      </c>
      <c r="E555">
        <v>0</v>
      </c>
      <c r="F555">
        <v>13419</v>
      </c>
      <c r="G555" t="s">
        <v>3497</v>
      </c>
      <c r="H555">
        <v>53107</v>
      </c>
      <c r="I555">
        <v>229</v>
      </c>
      <c r="J555" t="s">
        <v>120</v>
      </c>
      <c r="K555" t="s">
        <v>3498</v>
      </c>
      <c r="L555">
        <v>3.17</v>
      </c>
      <c r="M555">
        <v>2.86</v>
      </c>
      <c r="N555">
        <v>0.73</v>
      </c>
      <c r="O555">
        <v>3.15</v>
      </c>
      <c r="P555">
        <v>2.95</v>
      </c>
      <c r="Q555">
        <v>-1.05</v>
      </c>
      <c r="R555">
        <v>2.83</v>
      </c>
      <c r="S555">
        <v>2.86</v>
      </c>
      <c r="T555">
        <v>1838858</v>
      </c>
      <c r="U555">
        <v>2.87</v>
      </c>
      <c r="V555">
        <v>2.86</v>
      </c>
      <c r="W555">
        <v>10.34</v>
      </c>
      <c r="X555" t="s">
        <v>1531</v>
      </c>
      <c r="Y555" t="s">
        <v>585</v>
      </c>
      <c r="Z555">
        <v>4.2</v>
      </c>
      <c r="AA555">
        <v>2.89</v>
      </c>
      <c r="AB555">
        <v>892550</v>
      </c>
      <c r="AC555">
        <v>946308</v>
      </c>
      <c r="AD555">
        <v>0.94</v>
      </c>
      <c r="AE555">
        <v>25306</v>
      </c>
      <c r="AF555">
        <v>16158</v>
      </c>
      <c r="AG555" t="s">
        <v>120</v>
      </c>
      <c r="AH555">
        <v>0.01</v>
      </c>
      <c r="AI555" t="s">
        <v>120</v>
      </c>
      <c r="AJ555">
        <v>58.03</v>
      </c>
      <c r="AK555" t="s">
        <v>3499</v>
      </c>
      <c r="AL555">
        <v>1.91</v>
      </c>
      <c r="AM555">
        <v>4240</v>
      </c>
      <c r="AN555">
        <v>434</v>
      </c>
      <c r="AO555">
        <v>6.9999999999999999E-4</v>
      </c>
      <c r="AP555">
        <v>0</v>
      </c>
      <c r="AQ555">
        <v>0</v>
      </c>
      <c r="AR555">
        <v>-3.7</v>
      </c>
      <c r="AS555">
        <v>22.22</v>
      </c>
      <c r="AT555">
        <v>21.19</v>
      </c>
      <c r="AU555">
        <v>-5.3</v>
      </c>
      <c r="AV555">
        <v>0</v>
      </c>
      <c r="AW555">
        <v>3.33</v>
      </c>
      <c r="AX555">
        <v>81.680000000000007</v>
      </c>
      <c r="AY555">
        <v>3.55</v>
      </c>
      <c r="AZ555">
        <v>4.05</v>
      </c>
      <c r="BA555">
        <v>0.28000000000000003</v>
      </c>
      <c r="BB555" t="s">
        <v>143</v>
      </c>
      <c r="BF555">
        <v>0.98</v>
      </c>
      <c r="BG555">
        <v>0</v>
      </c>
      <c r="BH555">
        <v>-3.05</v>
      </c>
      <c r="BI555">
        <v>1.06</v>
      </c>
      <c r="BJ555">
        <v>20210910</v>
      </c>
      <c r="BK555">
        <v>20070427</v>
      </c>
      <c r="BL555">
        <v>67.55</v>
      </c>
      <c r="BM555" t="s">
        <v>120</v>
      </c>
      <c r="BN555" t="s">
        <v>120</v>
      </c>
      <c r="BO555">
        <v>216.09</v>
      </c>
      <c r="BP555">
        <v>2.86</v>
      </c>
      <c r="BQ555">
        <v>137.75</v>
      </c>
      <c r="BR555">
        <v>0.38</v>
      </c>
      <c r="BS555">
        <v>36.08</v>
      </c>
      <c r="BT555">
        <v>95.44</v>
      </c>
      <c r="BU555">
        <v>8.3800000000000008</v>
      </c>
      <c r="BV555">
        <v>2.88</v>
      </c>
      <c r="BW555">
        <v>57.06</v>
      </c>
      <c r="BX555">
        <v>26.13</v>
      </c>
      <c r="BY555">
        <v>6.5</v>
      </c>
      <c r="BZ555">
        <v>51.75</v>
      </c>
      <c r="CA555" t="s">
        <v>120</v>
      </c>
      <c r="CB555">
        <v>13.16</v>
      </c>
      <c r="CC555">
        <v>91.59</v>
      </c>
      <c r="CD555">
        <v>85.16</v>
      </c>
      <c r="CE555">
        <v>12.2</v>
      </c>
      <c r="CF555">
        <v>-0.21</v>
      </c>
      <c r="CG555">
        <v>12.24</v>
      </c>
      <c r="CH555">
        <v>9.33</v>
      </c>
      <c r="CI555">
        <v>9.34</v>
      </c>
      <c r="CJ555">
        <v>0</v>
      </c>
      <c r="CK555">
        <v>1.42</v>
      </c>
      <c r="CL555">
        <v>55.53</v>
      </c>
      <c r="CM555">
        <v>-0.83</v>
      </c>
      <c r="CN555">
        <v>15.23</v>
      </c>
      <c r="CO555">
        <v>232378</v>
      </c>
      <c r="CP555">
        <v>23743</v>
      </c>
      <c r="CQ555" t="s">
        <v>3500</v>
      </c>
      <c r="CR555">
        <v>257.18</v>
      </c>
      <c r="CS555">
        <v>24.5</v>
      </c>
      <c r="CT555">
        <v>1.4</v>
      </c>
      <c r="CU555">
        <v>-231.89</v>
      </c>
      <c r="CV555">
        <v>2.11</v>
      </c>
      <c r="CW555">
        <v>0.35</v>
      </c>
      <c r="CX555" t="s">
        <v>300</v>
      </c>
      <c r="CY555">
        <v>2.04</v>
      </c>
      <c r="CZ555">
        <v>0</v>
      </c>
      <c r="DA555">
        <v>0.19</v>
      </c>
      <c r="DB555">
        <v>0.82</v>
      </c>
      <c r="DC555">
        <v>-0.01</v>
      </c>
      <c r="DD555">
        <v>63.75</v>
      </c>
      <c r="DE555" t="s">
        <v>3501</v>
      </c>
      <c r="DF555">
        <v>7.01</v>
      </c>
      <c r="DG555">
        <v>13.32</v>
      </c>
      <c r="DH555">
        <v>10.199999999999999</v>
      </c>
      <c r="DI555">
        <v>0.67</v>
      </c>
      <c r="DJ555">
        <v>5122</v>
      </c>
      <c r="DK555">
        <v>2131</v>
      </c>
      <c r="DL555" t="s">
        <v>120</v>
      </c>
      <c r="DM555" t="s">
        <v>120</v>
      </c>
      <c r="DN555" t="s">
        <v>120</v>
      </c>
    </row>
    <row r="556" spans="1:118">
      <c r="A556" t="str">
        <f>"002132"</f>
        <v>002132</v>
      </c>
      <c r="B556" t="s">
        <v>3502</v>
      </c>
      <c r="C556">
        <v>0.98</v>
      </c>
      <c r="D556">
        <v>0</v>
      </c>
      <c r="E556">
        <v>1.3</v>
      </c>
      <c r="F556">
        <v>9792</v>
      </c>
      <c r="G556" t="s">
        <v>3503</v>
      </c>
      <c r="H556">
        <v>99125.1</v>
      </c>
      <c r="I556">
        <v>679.94</v>
      </c>
      <c r="J556" t="s">
        <v>120</v>
      </c>
      <c r="K556" t="s">
        <v>3504</v>
      </c>
      <c r="L556">
        <v>12.3</v>
      </c>
      <c r="M556">
        <v>6.21</v>
      </c>
      <c r="N556">
        <v>1.29</v>
      </c>
      <c r="O556">
        <v>10.08</v>
      </c>
      <c r="P556">
        <v>6.77</v>
      </c>
      <c r="Q556">
        <v>0</v>
      </c>
      <c r="R556">
        <v>6.15</v>
      </c>
      <c r="S556">
        <v>6.23</v>
      </c>
      <c r="T556">
        <v>1541512</v>
      </c>
      <c r="U556">
        <v>6.22</v>
      </c>
      <c r="V556">
        <v>6.15</v>
      </c>
      <c r="W556">
        <v>38.229999999999997</v>
      </c>
      <c r="X556" t="s">
        <v>1925</v>
      </c>
      <c r="Y556" t="s">
        <v>645</v>
      </c>
      <c r="Z556">
        <v>10.08</v>
      </c>
      <c r="AA556">
        <v>6.43</v>
      </c>
      <c r="AB556">
        <v>804723</v>
      </c>
      <c r="AC556">
        <v>736789</v>
      </c>
      <c r="AD556">
        <v>1.0900000000000001</v>
      </c>
      <c r="AE556">
        <v>2824</v>
      </c>
      <c r="AF556">
        <v>1658</v>
      </c>
      <c r="AG556" t="s">
        <v>120</v>
      </c>
      <c r="AH556">
        <v>0.12</v>
      </c>
      <c r="AI556" t="s">
        <v>120</v>
      </c>
      <c r="AJ556">
        <v>12.54</v>
      </c>
      <c r="AK556" t="s">
        <v>3505</v>
      </c>
      <c r="AL556">
        <v>2.89</v>
      </c>
      <c r="AM556">
        <v>4464</v>
      </c>
      <c r="AN556">
        <v>345</v>
      </c>
      <c r="AO556">
        <v>2.8E-3</v>
      </c>
      <c r="AP556">
        <v>4</v>
      </c>
      <c r="AQ556">
        <v>5.31</v>
      </c>
      <c r="AR556">
        <v>7.25</v>
      </c>
      <c r="AS556">
        <v>43.09</v>
      </c>
      <c r="AT556">
        <v>69.67</v>
      </c>
      <c r="AU556">
        <v>89.33</v>
      </c>
      <c r="AV556">
        <v>12</v>
      </c>
      <c r="AW556">
        <v>17.12</v>
      </c>
      <c r="AX556">
        <v>71.66</v>
      </c>
      <c r="AY556">
        <v>42.96</v>
      </c>
      <c r="AZ556">
        <v>63.18</v>
      </c>
      <c r="BA556">
        <v>0.69</v>
      </c>
      <c r="BB556" t="s">
        <v>184</v>
      </c>
      <c r="BF556">
        <v>4.5599999999999996</v>
      </c>
      <c r="BG556">
        <v>-0.32</v>
      </c>
      <c r="BH556">
        <v>-8.27</v>
      </c>
      <c r="BI556">
        <v>0.98</v>
      </c>
      <c r="BJ556">
        <v>20210914</v>
      </c>
      <c r="BK556">
        <v>20070427</v>
      </c>
      <c r="BL556">
        <v>12.56</v>
      </c>
      <c r="BM556" t="s">
        <v>120</v>
      </c>
      <c r="BN556" t="s">
        <v>120</v>
      </c>
      <c r="BO556">
        <v>62.15</v>
      </c>
      <c r="BP556">
        <v>6.21</v>
      </c>
      <c r="BQ556">
        <v>28.94</v>
      </c>
      <c r="BR556">
        <v>0.95</v>
      </c>
      <c r="BS556">
        <v>51.9</v>
      </c>
      <c r="BT556">
        <v>27.67</v>
      </c>
      <c r="BU556">
        <v>14.63</v>
      </c>
      <c r="BV556">
        <v>1.77</v>
      </c>
      <c r="BW556">
        <v>29.56</v>
      </c>
      <c r="BX556">
        <v>7.12</v>
      </c>
      <c r="BY556">
        <v>4.28</v>
      </c>
      <c r="BZ556">
        <v>9.9499999999999993</v>
      </c>
      <c r="CA556" t="s">
        <v>120</v>
      </c>
      <c r="CB556">
        <v>11.9</v>
      </c>
      <c r="CC556">
        <v>17</v>
      </c>
      <c r="CD556">
        <v>14.32</v>
      </c>
      <c r="CE556">
        <v>1.1399999999999999</v>
      </c>
      <c r="CF556">
        <v>0</v>
      </c>
      <c r="CG556">
        <v>1.1399999999999999</v>
      </c>
      <c r="CH556">
        <v>1.02</v>
      </c>
      <c r="CI556">
        <v>1.02</v>
      </c>
      <c r="CJ556">
        <v>0.06</v>
      </c>
      <c r="CK556">
        <v>0.87</v>
      </c>
      <c r="CL556">
        <v>4.4400000000000004</v>
      </c>
      <c r="CM556">
        <v>4.6100000000000003</v>
      </c>
      <c r="CN556">
        <v>2.02</v>
      </c>
      <c r="CO556">
        <v>81600</v>
      </c>
      <c r="CP556">
        <v>11035</v>
      </c>
      <c r="CQ556" t="s">
        <v>3506</v>
      </c>
      <c r="CR556">
        <v>129.38999999999999</v>
      </c>
      <c r="CS556">
        <v>30.61</v>
      </c>
      <c r="CT556">
        <v>2.7</v>
      </c>
      <c r="CU556">
        <v>16.920000000000002</v>
      </c>
      <c r="CV556">
        <v>4.59</v>
      </c>
      <c r="CW556">
        <v>0.8</v>
      </c>
      <c r="CX556" t="s">
        <v>535</v>
      </c>
      <c r="CY556">
        <v>2.2999999999999998</v>
      </c>
      <c r="CZ556">
        <v>0</v>
      </c>
      <c r="DA556">
        <v>0.95</v>
      </c>
      <c r="DB556">
        <v>0.35</v>
      </c>
      <c r="DC556">
        <v>0.37</v>
      </c>
      <c r="DD556">
        <v>46.56</v>
      </c>
      <c r="DE556" t="s">
        <v>1556</v>
      </c>
      <c r="DF556">
        <v>15.74</v>
      </c>
      <c r="DG556">
        <v>6.7</v>
      </c>
      <c r="DH556">
        <v>6</v>
      </c>
      <c r="DI556">
        <v>0.51</v>
      </c>
      <c r="DJ556">
        <v>2982</v>
      </c>
      <c r="DK556">
        <v>2132</v>
      </c>
      <c r="DL556">
        <v>20210822</v>
      </c>
      <c r="DM556">
        <v>4.83</v>
      </c>
      <c r="DN556">
        <v>29.61</v>
      </c>
    </row>
    <row r="557" spans="1:118">
      <c r="A557" t="str">
        <f>"002133"</f>
        <v>002133</v>
      </c>
      <c r="B557" t="s">
        <v>3507</v>
      </c>
      <c r="C557">
        <v>-1.22</v>
      </c>
      <c r="D557">
        <v>-0.3</v>
      </c>
      <c r="E557">
        <v>0.31</v>
      </c>
      <c r="F557">
        <v>2144</v>
      </c>
      <c r="G557" t="s">
        <v>3508</v>
      </c>
      <c r="H557">
        <v>3148.03</v>
      </c>
      <c r="I557">
        <v>23.26</v>
      </c>
      <c r="J557" t="s">
        <v>120</v>
      </c>
      <c r="K557" t="s">
        <v>3509</v>
      </c>
      <c r="L557">
        <v>1.25</v>
      </c>
      <c r="M557">
        <v>3.23</v>
      </c>
      <c r="N557">
        <v>0.92</v>
      </c>
      <c r="O557">
        <v>1.53</v>
      </c>
      <c r="P557">
        <v>3.32</v>
      </c>
      <c r="Q557">
        <v>-1.22</v>
      </c>
      <c r="R557">
        <v>3.23</v>
      </c>
      <c r="S557">
        <v>3.28</v>
      </c>
      <c r="T557">
        <v>95996</v>
      </c>
      <c r="U557">
        <v>3.24</v>
      </c>
      <c r="V557">
        <v>3.27</v>
      </c>
      <c r="W557">
        <v>7.04</v>
      </c>
      <c r="X557" t="s">
        <v>132</v>
      </c>
      <c r="Y557" t="s">
        <v>585</v>
      </c>
      <c r="Z557">
        <v>2.75</v>
      </c>
      <c r="AA557">
        <v>3.28</v>
      </c>
      <c r="AB557">
        <v>49756</v>
      </c>
      <c r="AC557">
        <v>46240</v>
      </c>
      <c r="AD557">
        <v>1.08</v>
      </c>
      <c r="AE557">
        <v>925</v>
      </c>
      <c r="AF557">
        <v>36</v>
      </c>
      <c r="AG557" t="s">
        <v>120</v>
      </c>
      <c r="AH557">
        <v>0.01</v>
      </c>
      <c r="AI557" t="s">
        <v>120</v>
      </c>
      <c r="AJ557">
        <v>7.7</v>
      </c>
      <c r="AK557" t="s">
        <v>3510</v>
      </c>
      <c r="AL557">
        <v>0.69</v>
      </c>
      <c r="AM557">
        <v>1852</v>
      </c>
      <c r="AN557">
        <v>52</v>
      </c>
      <c r="AO557">
        <v>6.9999999999999999E-4</v>
      </c>
      <c r="AP557">
        <v>-1</v>
      </c>
      <c r="AQ557">
        <v>1.24</v>
      </c>
      <c r="AR557">
        <v>-2.71</v>
      </c>
      <c r="AS557">
        <v>12.15</v>
      </c>
      <c r="AT557">
        <v>12.94</v>
      </c>
      <c r="AU557">
        <v>8.02</v>
      </c>
      <c r="AV557">
        <v>1</v>
      </c>
      <c r="AW557">
        <v>1.91</v>
      </c>
      <c r="AX557">
        <v>65.02</v>
      </c>
      <c r="AY557">
        <v>6.01</v>
      </c>
      <c r="AZ557">
        <v>8.59</v>
      </c>
      <c r="BA557">
        <v>0.2</v>
      </c>
      <c r="BB557" t="s">
        <v>184</v>
      </c>
      <c r="BF557">
        <v>0.28999999999999998</v>
      </c>
      <c r="BG557">
        <v>-1.52</v>
      </c>
      <c r="BH557">
        <v>-2.71</v>
      </c>
      <c r="BI557">
        <v>0</v>
      </c>
      <c r="BJ557">
        <v>20210831</v>
      </c>
      <c r="BK557">
        <v>20070427</v>
      </c>
      <c r="BL557">
        <v>7.74</v>
      </c>
      <c r="BM557" t="s">
        <v>120</v>
      </c>
      <c r="BN557" t="s">
        <v>120</v>
      </c>
      <c r="BO557">
        <v>181.46</v>
      </c>
      <c r="BP557">
        <v>3.23</v>
      </c>
      <c r="BQ557">
        <v>37.549999999999997</v>
      </c>
      <c r="BR557">
        <v>7.3</v>
      </c>
      <c r="BS557">
        <v>75.28</v>
      </c>
      <c r="BT557">
        <v>159.61000000000001</v>
      </c>
      <c r="BU557">
        <v>0.31</v>
      </c>
      <c r="BV557">
        <v>0.1</v>
      </c>
      <c r="BW557">
        <v>107.9</v>
      </c>
      <c r="BX557">
        <v>21.3</v>
      </c>
      <c r="BY557">
        <v>126.18</v>
      </c>
      <c r="BZ557">
        <v>0.51</v>
      </c>
      <c r="CA557">
        <v>0.11</v>
      </c>
      <c r="CB557">
        <v>8.4700000000000006</v>
      </c>
      <c r="CC557">
        <v>34.119999999999997</v>
      </c>
      <c r="CD557">
        <v>31.06</v>
      </c>
      <c r="CE557">
        <v>2.04</v>
      </c>
      <c r="CF557">
        <v>1.0900000000000001</v>
      </c>
      <c r="CG557">
        <v>2.0299999999999998</v>
      </c>
      <c r="CH557">
        <v>1.75</v>
      </c>
      <c r="CI557">
        <v>1.77</v>
      </c>
      <c r="CJ557">
        <v>-0.04</v>
      </c>
      <c r="CK557">
        <v>1.6</v>
      </c>
      <c r="CL557">
        <v>18.920000000000002</v>
      </c>
      <c r="CM557">
        <v>7.95</v>
      </c>
      <c r="CN557">
        <v>4.76</v>
      </c>
      <c r="CO557">
        <v>36369</v>
      </c>
      <c r="CP557">
        <v>13841</v>
      </c>
      <c r="CQ557" t="s">
        <v>3511</v>
      </c>
      <c r="CR557">
        <v>248.08</v>
      </c>
      <c r="CS557">
        <v>97.5</v>
      </c>
      <c r="CT557">
        <v>0.67</v>
      </c>
      <c r="CU557">
        <v>3.15</v>
      </c>
      <c r="CV557">
        <v>0.73</v>
      </c>
      <c r="CW557">
        <v>2.4500000000000002</v>
      </c>
      <c r="CX557" t="s">
        <v>694</v>
      </c>
      <c r="CY557">
        <v>4.8499999999999996</v>
      </c>
      <c r="CZ557">
        <v>0</v>
      </c>
      <c r="DA557">
        <v>1.0900000000000001</v>
      </c>
      <c r="DB557">
        <v>2.44</v>
      </c>
      <c r="DC557">
        <v>1.03</v>
      </c>
      <c r="DD557">
        <v>20.7</v>
      </c>
      <c r="DE557" t="s">
        <v>3512</v>
      </c>
      <c r="DF557">
        <v>8.98</v>
      </c>
      <c r="DG557">
        <v>5.97</v>
      </c>
      <c r="DH557">
        <v>5.2</v>
      </c>
      <c r="DI557" t="s">
        <v>120</v>
      </c>
      <c r="DJ557">
        <v>395</v>
      </c>
      <c r="DK557">
        <v>2133</v>
      </c>
      <c r="DL557" t="s">
        <v>120</v>
      </c>
      <c r="DM557" t="s">
        <v>120</v>
      </c>
      <c r="DN557" t="s">
        <v>120</v>
      </c>
    </row>
    <row r="558" spans="1:118">
      <c r="A558" t="str">
        <f>"002134"</f>
        <v>002134</v>
      </c>
      <c r="B558" t="s">
        <v>3513</v>
      </c>
      <c r="C558">
        <v>-3.17</v>
      </c>
      <c r="D558">
        <v>0</v>
      </c>
      <c r="E558">
        <v>-0.34</v>
      </c>
      <c r="F558">
        <v>325</v>
      </c>
      <c r="G558" t="s">
        <v>3514</v>
      </c>
      <c r="H558">
        <v>2388.37</v>
      </c>
      <c r="I558">
        <v>0</v>
      </c>
      <c r="J558" t="s">
        <v>120</v>
      </c>
      <c r="K558" t="s">
        <v>1892</v>
      </c>
      <c r="L558">
        <v>1.1100000000000001</v>
      </c>
      <c r="M558">
        <v>8.5500000000000007</v>
      </c>
      <c r="N558">
        <v>1.1599999999999999</v>
      </c>
      <c r="O558">
        <v>1.1299999999999999</v>
      </c>
      <c r="P558">
        <v>8.93</v>
      </c>
      <c r="Q558">
        <v>-4.3</v>
      </c>
      <c r="R558">
        <v>8.4499999999999993</v>
      </c>
      <c r="S558">
        <v>8.8000000000000007</v>
      </c>
      <c r="T558">
        <v>27368</v>
      </c>
      <c r="U558">
        <v>8.56</v>
      </c>
      <c r="V558">
        <v>8.83</v>
      </c>
      <c r="W558">
        <v>130.13999999999999</v>
      </c>
      <c r="X558" t="s">
        <v>229</v>
      </c>
      <c r="Y558" t="s">
        <v>997</v>
      </c>
      <c r="Z558">
        <v>5.44</v>
      </c>
      <c r="AA558">
        <v>8.73</v>
      </c>
      <c r="AB558">
        <v>16617</v>
      </c>
      <c r="AC558">
        <v>10751</v>
      </c>
      <c r="AD558">
        <v>1.55</v>
      </c>
      <c r="AE558">
        <v>153</v>
      </c>
      <c r="AF558">
        <v>103</v>
      </c>
      <c r="AG558" t="s">
        <v>120</v>
      </c>
      <c r="AH558">
        <v>0</v>
      </c>
      <c r="AI558" t="s">
        <v>120</v>
      </c>
      <c r="AJ558">
        <v>2.46</v>
      </c>
      <c r="AK558" t="s">
        <v>1892</v>
      </c>
      <c r="AL558">
        <v>-1.26</v>
      </c>
      <c r="AM558">
        <v>846</v>
      </c>
      <c r="AN558">
        <v>32</v>
      </c>
      <c r="AO558">
        <v>1.2999999999999999E-3</v>
      </c>
      <c r="AP558">
        <v>-4</v>
      </c>
      <c r="AQ558">
        <v>-0.11</v>
      </c>
      <c r="AR558">
        <v>-3.82</v>
      </c>
      <c r="AS558">
        <v>2.0299999999999998</v>
      </c>
      <c r="AT558">
        <v>0.24</v>
      </c>
      <c r="AU558">
        <v>1.19</v>
      </c>
      <c r="AV558">
        <v>1</v>
      </c>
      <c r="AW558">
        <v>2.02</v>
      </c>
      <c r="AX558">
        <v>55.02</v>
      </c>
      <c r="AY558">
        <v>488.38</v>
      </c>
      <c r="AZ558">
        <v>333.91</v>
      </c>
      <c r="BA558">
        <v>0.36</v>
      </c>
      <c r="BB558" t="s">
        <v>143</v>
      </c>
      <c r="BF558">
        <v>-1.17</v>
      </c>
      <c r="BG558">
        <v>-2.84</v>
      </c>
      <c r="BH558">
        <v>-4.26</v>
      </c>
      <c r="BI558">
        <v>1.18</v>
      </c>
      <c r="BJ558">
        <v>20210807</v>
      </c>
      <c r="BK558">
        <v>20070516</v>
      </c>
      <c r="BL558">
        <v>2.46</v>
      </c>
      <c r="BM558" t="s">
        <v>120</v>
      </c>
      <c r="BN558" t="s">
        <v>120</v>
      </c>
      <c r="BO558">
        <v>6.96</v>
      </c>
      <c r="BP558">
        <v>8.5500000000000007</v>
      </c>
      <c r="BQ558">
        <v>4.0599999999999996</v>
      </c>
      <c r="BR558">
        <v>0</v>
      </c>
      <c r="BS558">
        <v>41.62</v>
      </c>
      <c r="BT558">
        <v>4.3099999999999996</v>
      </c>
      <c r="BU558">
        <v>1.59</v>
      </c>
      <c r="BV558">
        <v>0.1</v>
      </c>
      <c r="BW558">
        <v>2.8</v>
      </c>
      <c r="BX558">
        <v>1.17</v>
      </c>
      <c r="BY558">
        <v>0.84</v>
      </c>
      <c r="BZ558">
        <v>1.86</v>
      </c>
      <c r="CA558" t="s">
        <v>120</v>
      </c>
      <c r="CB558">
        <v>3.02</v>
      </c>
      <c r="CC558">
        <v>3.14</v>
      </c>
      <c r="CD558">
        <v>2.73</v>
      </c>
      <c r="CE558">
        <v>0.08</v>
      </c>
      <c r="CF558">
        <v>0</v>
      </c>
      <c r="CG558">
        <v>0.08</v>
      </c>
      <c r="CH558">
        <v>0.08</v>
      </c>
      <c r="CI558">
        <v>0.08</v>
      </c>
      <c r="CJ558">
        <v>-0.28000000000000003</v>
      </c>
      <c r="CK558">
        <v>0.06</v>
      </c>
      <c r="CL558">
        <v>-1.63</v>
      </c>
      <c r="CM558">
        <v>0.49</v>
      </c>
      <c r="CN558">
        <v>0.21</v>
      </c>
      <c r="CO558">
        <v>16324</v>
      </c>
      <c r="CP558">
        <v>8287</v>
      </c>
      <c r="CQ558" t="s">
        <v>3515</v>
      </c>
      <c r="CR558">
        <v>-20.3</v>
      </c>
      <c r="CS558">
        <v>46.86</v>
      </c>
      <c r="CT558">
        <v>5.17</v>
      </c>
      <c r="CU558">
        <v>43.27</v>
      </c>
      <c r="CV558">
        <v>6.69</v>
      </c>
      <c r="CW558">
        <v>0</v>
      </c>
      <c r="CX558" t="s">
        <v>2074</v>
      </c>
      <c r="CY558">
        <v>1.65</v>
      </c>
      <c r="CZ558">
        <v>0</v>
      </c>
      <c r="DA558">
        <v>1.23</v>
      </c>
      <c r="DB558">
        <v>-0.66</v>
      </c>
      <c r="DC558">
        <v>0.2</v>
      </c>
      <c r="DD558">
        <v>58.4</v>
      </c>
      <c r="DE558" t="s">
        <v>3516</v>
      </c>
      <c r="DF558">
        <v>13.15</v>
      </c>
      <c r="DG558">
        <v>2.56</v>
      </c>
      <c r="DH558">
        <v>2.57</v>
      </c>
      <c r="DI558">
        <v>0.1</v>
      </c>
      <c r="DJ558">
        <v>904</v>
      </c>
      <c r="DK558">
        <v>2134</v>
      </c>
      <c r="DL558" t="s">
        <v>120</v>
      </c>
      <c r="DM558" t="s">
        <v>120</v>
      </c>
      <c r="DN558" t="s">
        <v>120</v>
      </c>
    </row>
    <row r="559" spans="1:118">
      <c r="A559" t="str">
        <f>"002135"</f>
        <v>002135</v>
      </c>
      <c r="B559" t="s">
        <v>3517</v>
      </c>
      <c r="C559">
        <v>-7.12</v>
      </c>
      <c r="D559">
        <v>0</v>
      </c>
      <c r="E559">
        <v>-2.0699999999999998</v>
      </c>
      <c r="F559">
        <v>7726</v>
      </c>
      <c r="G559" t="s">
        <v>964</v>
      </c>
      <c r="H559">
        <v>93227.75</v>
      </c>
      <c r="I559">
        <v>1265.4100000000001</v>
      </c>
      <c r="J559" t="s">
        <v>120</v>
      </c>
      <c r="K559" t="s">
        <v>3518</v>
      </c>
      <c r="L559">
        <v>9.0299999999999994</v>
      </c>
      <c r="M559">
        <v>10.3</v>
      </c>
      <c r="N559">
        <v>1.27</v>
      </c>
      <c r="O559">
        <v>2.16</v>
      </c>
      <c r="P559">
        <v>11.33</v>
      </c>
      <c r="Q559">
        <v>-8.0299999999999994</v>
      </c>
      <c r="R559">
        <v>10.199999999999999</v>
      </c>
      <c r="S559">
        <v>10.86</v>
      </c>
      <c r="T559">
        <v>869502</v>
      </c>
      <c r="U559">
        <v>10.31</v>
      </c>
      <c r="V559">
        <v>11.09</v>
      </c>
      <c r="W559">
        <v>14.79</v>
      </c>
      <c r="X559" t="s">
        <v>175</v>
      </c>
      <c r="Y559" t="s">
        <v>585</v>
      </c>
      <c r="Z559">
        <v>10.19</v>
      </c>
      <c r="AA559">
        <v>10.72</v>
      </c>
      <c r="AB559">
        <v>454339</v>
      </c>
      <c r="AC559">
        <v>415163</v>
      </c>
      <c r="AD559">
        <v>1.0900000000000001</v>
      </c>
      <c r="AE559">
        <v>734</v>
      </c>
      <c r="AF559">
        <v>441</v>
      </c>
      <c r="AG559" t="s">
        <v>120</v>
      </c>
      <c r="AH559">
        <v>0.21</v>
      </c>
      <c r="AI559" t="s">
        <v>120</v>
      </c>
      <c r="AJ559">
        <v>9.6300000000000008</v>
      </c>
      <c r="AK559" t="s">
        <v>3519</v>
      </c>
      <c r="AL559">
        <v>-5.21</v>
      </c>
      <c r="AM559">
        <v>4656</v>
      </c>
      <c r="AN559">
        <v>187</v>
      </c>
      <c r="AO559">
        <v>1.9E-3</v>
      </c>
      <c r="AP559">
        <v>-2</v>
      </c>
      <c r="AQ559">
        <v>-0.18</v>
      </c>
      <c r="AR559">
        <v>-6.36</v>
      </c>
      <c r="AS559">
        <v>37.15</v>
      </c>
      <c r="AT559">
        <v>35</v>
      </c>
      <c r="AU559">
        <v>64.459999999999994</v>
      </c>
      <c r="AV559">
        <v>3</v>
      </c>
      <c r="AW559">
        <v>16.02</v>
      </c>
      <c r="AX559">
        <v>52.47</v>
      </c>
      <c r="AY559">
        <v>29.14</v>
      </c>
      <c r="AZ559">
        <v>42.36</v>
      </c>
      <c r="BA559">
        <v>0.16</v>
      </c>
      <c r="BB559" t="s">
        <v>143</v>
      </c>
      <c r="BF559">
        <v>-3.32</v>
      </c>
      <c r="BG559">
        <v>-5.16</v>
      </c>
      <c r="BH559">
        <v>-9.09</v>
      </c>
      <c r="BI559">
        <v>0.98</v>
      </c>
      <c r="BJ559">
        <v>20210912</v>
      </c>
      <c r="BK559">
        <v>20070530</v>
      </c>
      <c r="BL559">
        <v>10.34</v>
      </c>
      <c r="BM559" t="s">
        <v>120</v>
      </c>
      <c r="BN559" t="s">
        <v>120</v>
      </c>
      <c r="BO559">
        <v>145.97999999999999</v>
      </c>
      <c r="BP559">
        <v>10.3</v>
      </c>
      <c r="BQ559">
        <v>47.06</v>
      </c>
      <c r="BR559">
        <v>4.6900000000000004</v>
      </c>
      <c r="BS559">
        <v>64.55</v>
      </c>
      <c r="BT559">
        <v>106.02</v>
      </c>
      <c r="BU559">
        <v>17.149999999999999</v>
      </c>
      <c r="BV559">
        <v>11.96</v>
      </c>
      <c r="BW559">
        <v>89.47</v>
      </c>
      <c r="BX559">
        <v>10.79</v>
      </c>
      <c r="BY559">
        <v>16.28</v>
      </c>
      <c r="BZ559">
        <v>36.68</v>
      </c>
      <c r="CA559" t="s">
        <v>120</v>
      </c>
      <c r="CB559">
        <v>20.84</v>
      </c>
      <c r="CC559">
        <v>53.64</v>
      </c>
      <c r="CD559">
        <v>46.02</v>
      </c>
      <c r="CE559">
        <v>4.05</v>
      </c>
      <c r="CF559">
        <v>0.09</v>
      </c>
      <c r="CG559">
        <v>4.05</v>
      </c>
      <c r="CH559">
        <v>3.57</v>
      </c>
      <c r="CI559">
        <v>3.6</v>
      </c>
      <c r="CJ559">
        <v>-0.79</v>
      </c>
      <c r="CK559">
        <v>3.52</v>
      </c>
      <c r="CL559">
        <v>15.81</v>
      </c>
      <c r="CM559">
        <v>-5.3</v>
      </c>
      <c r="CN559">
        <v>-3.5</v>
      </c>
      <c r="CO559">
        <v>40800</v>
      </c>
      <c r="CP559">
        <v>13303</v>
      </c>
      <c r="CQ559" t="s">
        <v>3520</v>
      </c>
      <c r="CR559">
        <v>51.75</v>
      </c>
      <c r="CS559">
        <v>31.83</v>
      </c>
      <c r="CT559">
        <v>2.2599999999999998</v>
      </c>
      <c r="CU559">
        <v>-20.09</v>
      </c>
      <c r="CV559">
        <v>1.99</v>
      </c>
      <c r="CW559">
        <v>0.24</v>
      </c>
      <c r="CX559" t="s">
        <v>269</v>
      </c>
      <c r="CY559">
        <v>4.55</v>
      </c>
      <c r="CZ559">
        <v>0</v>
      </c>
      <c r="DA559">
        <v>2.0099999999999998</v>
      </c>
      <c r="DB559">
        <v>1.53</v>
      </c>
      <c r="DC559">
        <v>-0.51</v>
      </c>
      <c r="DD559">
        <v>32.24</v>
      </c>
      <c r="DE559" t="s">
        <v>3521</v>
      </c>
      <c r="DF559">
        <v>14.2</v>
      </c>
      <c r="DG559">
        <v>7.56</v>
      </c>
      <c r="DH559">
        <v>6.72</v>
      </c>
      <c r="DI559">
        <v>1.81</v>
      </c>
      <c r="DJ559">
        <v>5702</v>
      </c>
      <c r="DK559">
        <v>2135</v>
      </c>
      <c r="DL559">
        <v>20210902</v>
      </c>
      <c r="DM559">
        <v>13.09</v>
      </c>
      <c r="DN559">
        <v>-21.31</v>
      </c>
    </row>
    <row r="560" spans="1:118">
      <c r="A560" t="str">
        <f>"002136"</f>
        <v>002136</v>
      </c>
      <c r="B560" t="s">
        <v>3522</v>
      </c>
      <c r="C560">
        <v>2.4500000000000002</v>
      </c>
      <c r="D560">
        <v>0</v>
      </c>
      <c r="E560">
        <v>-1.17</v>
      </c>
      <c r="F560">
        <v>2564</v>
      </c>
      <c r="G560" t="s">
        <v>3523</v>
      </c>
      <c r="H560">
        <v>69955.679999999993</v>
      </c>
      <c r="I560">
        <v>406.09</v>
      </c>
      <c r="J560" t="s">
        <v>120</v>
      </c>
      <c r="K560" t="s">
        <v>3524</v>
      </c>
      <c r="L560">
        <v>12.08</v>
      </c>
      <c r="M560">
        <v>27.21</v>
      </c>
      <c r="N560">
        <v>1.26</v>
      </c>
      <c r="O560">
        <v>5.35</v>
      </c>
      <c r="P560">
        <v>27.98</v>
      </c>
      <c r="Q560">
        <v>-2.94</v>
      </c>
      <c r="R560">
        <v>25.78</v>
      </c>
      <c r="S560">
        <v>26.25</v>
      </c>
      <c r="T560">
        <v>258895</v>
      </c>
      <c r="U560">
        <v>27.22</v>
      </c>
      <c r="V560">
        <v>26.56</v>
      </c>
      <c r="W560">
        <v>33.99</v>
      </c>
      <c r="X560" t="s">
        <v>868</v>
      </c>
      <c r="Y560" t="s">
        <v>570</v>
      </c>
      <c r="Z560">
        <v>8.2799999999999994</v>
      </c>
      <c r="AA560">
        <v>27.02</v>
      </c>
      <c r="AB560">
        <v>113952</v>
      </c>
      <c r="AC560">
        <v>144943</v>
      </c>
      <c r="AD560">
        <v>0.79</v>
      </c>
      <c r="AE560">
        <v>69</v>
      </c>
      <c r="AF560">
        <v>45</v>
      </c>
      <c r="AG560" t="s">
        <v>120</v>
      </c>
      <c r="AH560">
        <v>0.11</v>
      </c>
      <c r="AI560" t="s">
        <v>120</v>
      </c>
      <c r="AJ560">
        <v>2.14</v>
      </c>
      <c r="AK560" t="s">
        <v>3525</v>
      </c>
      <c r="AL560">
        <v>4.3600000000000003</v>
      </c>
      <c r="AM560">
        <v>4202</v>
      </c>
      <c r="AN560">
        <v>62</v>
      </c>
      <c r="AO560">
        <v>2.8999999999999998E-3</v>
      </c>
      <c r="AP560">
        <v>6</v>
      </c>
      <c r="AQ560">
        <v>6.03</v>
      </c>
      <c r="AR560">
        <v>10.48</v>
      </c>
      <c r="AS560">
        <v>45.27</v>
      </c>
      <c r="AT560">
        <v>102.91</v>
      </c>
      <c r="AU560">
        <v>201.67</v>
      </c>
      <c r="AV560">
        <v>11</v>
      </c>
      <c r="AW560">
        <v>18.13</v>
      </c>
      <c r="AX560">
        <v>66.41</v>
      </c>
      <c r="AY560">
        <v>49.99</v>
      </c>
      <c r="AZ560">
        <v>87.71</v>
      </c>
      <c r="BA560">
        <v>1.3</v>
      </c>
      <c r="BB560" t="s">
        <v>700</v>
      </c>
      <c r="BF560">
        <v>1.74</v>
      </c>
      <c r="BG560">
        <v>3.66</v>
      </c>
      <c r="BH560">
        <v>-2.75</v>
      </c>
      <c r="BI560">
        <v>5.55</v>
      </c>
      <c r="BJ560">
        <v>20210901</v>
      </c>
      <c r="BK560">
        <v>20070530</v>
      </c>
      <c r="BL560">
        <v>2.15</v>
      </c>
      <c r="BM560" t="s">
        <v>120</v>
      </c>
      <c r="BN560" t="s">
        <v>120</v>
      </c>
      <c r="BO560">
        <v>12.81</v>
      </c>
      <c r="BP560">
        <v>27.21</v>
      </c>
      <c r="BQ560">
        <v>8.2200000000000006</v>
      </c>
      <c r="BR560">
        <v>0.49</v>
      </c>
      <c r="BS560">
        <v>31.97</v>
      </c>
      <c r="BT560">
        <v>6.89</v>
      </c>
      <c r="BU560">
        <v>5.1100000000000003</v>
      </c>
      <c r="BV560">
        <v>0.37</v>
      </c>
      <c r="BW560">
        <v>4.01</v>
      </c>
      <c r="BX560">
        <v>1.63</v>
      </c>
      <c r="BY560">
        <v>1.7</v>
      </c>
      <c r="BZ560">
        <v>1.88</v>
      </c>
      <c r="CA560" t="s">
        <v>120</v>
      </c>
      <c r="CB560">
        <v>3.5</v>
      </c>
      <c r="CC560">
        <v>9.1</v>
      </c>
      <c r="CD560">
        <v>7.47</v>
      </c>
      <c r="CE560">
        <v>1.04</v>
      </c>
      <c r="CF560">
        <v>0.01</v>
      </c>
      <c r="CG560">
        <v>1.04</v>
      </c>
      <c r="CH560">
        <v>0.91</v>
      </c>
      <c r="CI560">
        <v>0.86</v>
      </c>
      <c r="CJ560">
        <v>0.65</v>
      </c>
      <c r="CK560">
        <v>0.86</v>
      </c>
      <c r="CL560">
        <v>2.2200000000000002</v>
      </c>
      <c r="CM560">
        <v>0.13</v>
      </c>
      <c r="CN560">
        <v>0.26</v>
      </c>
      <c r="CO560">
        <v>28947</v>
      </c>
      <c r="CP560">
        <v>4933</v>
      </c>
      <c r="CQ560" t="s">
        <v>3526</v>
      </c>
      <c r="CR560">
        <v>132.99</v>
      </c>
      <c r="CS560">
        <v>88.11</v>
      </c>
      <c r="CT560">
        <v>7.11</v>
      </c>
      <c r="CU560">
        <v>451.22</v>
      </c>
      <c r="CV560">
        <v>6.43</v>
      </c>
      <c r="CW560">
        <v>0.38</v>
      </c>
      <c r="CX560" t="s">
        <v>3527</v>
      </c>
      <c r="CY560">
        <v>3.83</v>
      </c>
      <c r="CZ560">
        <v>0</v>
      </c>
      <c r="DA560">
        <v>1.63</v>
      </c>
      <c r="DB560">
        <v>1.03</v>
      </c>
      <c r="DC560">
        <v>0.06</v>
      </c>
      <c r="DD560">
        <v>64.2</v>
      </c>
      <c r="DE560" t="s">
        <v>3528</v>
      </c>
      <c r="DF560">
        <v>17.97</v>
      </c>
      <c r="DG560">
        <v>11.44</v>
      </c>
      <c r="DH560">
        <v>9.4600000000000009</v>
      </c>
      <c r="DI560">
        <v>0.28999999999999998</v>
      </c>
      <c r="DJ560">
        <v>632</v>
      </c>
      <c r="DK560">
        <v>2136</v>
      </c>
      <c r="DL560">
        <v>20210812</v>
      </c>
      <c r="DM560">
        <v>20.309999999999999</v>
      </c>
      <c r="DN560">
        <v>33.97</v>
      </c>
    </row>
    <row r="561" spans="1:118">
      <c r="A561" t="str">
        <f>"002137"</f>
        <v>002137</v>
      </c>
      <c r="B561" t="s">
        <v>3529</v>
      </c>
      <c r="C561">
        <v>0.84</v>
      </c>
      <c r="D561">
        <v>1.02</v>
      </c>
      <c r="E561">
        <v>1.01</v>
      </c>
      <c r="F561">
        <v>4799</v>
      </c>
      <c r="G561" t="s">
        <v>1039</v>
      </c>
      <c r="H561">
        <v>4430.6899999999996</v>
      </c>
      <c r="I561">
        <v>26.73</v>
      </c>
      <c r="J561" t="s">
        <v>120</v>
      </c>
      <c r="K561" t="s">
        <v>3530</v>
      </c>
      <c r="L561">
        <v>1.89</v>
      </c>
      <c r="M561">
        <v>5.97</v>
      </c>
      <c r="N561">
        <v>1.26</v>
      </c>
      <c r="O561">
        <v>2.87</v>
      </c>
      <c r="P561">
        <v>6.09</v>
      </c>
      <c r="Q561">
        <v>-0.34</v>
      </c>
      <c r="R561">
        <v>5.9</v>
      </c>
      <c r="S561">
        <v>5.98</v>
      </c>
      <c r="T561">
        <v>73855</v>
      </c>
      <c r="U561">
        <v>5.98</v>
      </c>
      <c r="V561">
        <v>5.92</v>
      </c>
      <c r="W561">
        <v>59.27</v>
      </c>
      <c r="X561" t="s">
        <v>462</v>
      </c>
      <c r="Y561" t="s">
        <v>123</v>
      </c>
      <c r="Z561">
        <v>3.21</v>
      </c>
      <c r="AA561">
        <v>6</v>
      </c>
      <c r="AB561">
        <v>37865</v>
      </c>
      <c r="AC561">
        <v>35990</v>
      </c>
      <c r="AD561">
        <v>1.05</v>
      </c>
      <c r="AE561">
        <v>1903</v>
      </c>
      <c r="AF561">
        <v>525</v>
      </c>
      <c r="AG561" t="s">
        <v>120</v>
      </c>
      <c r="AH561">
        <v>0.01</v>
      </c>
      <c r="AI561" t="s">
        <v>120</v>
      </c>
      <c r="AJ561">
        <v>3.91</v>
      </c>
      <c r="AK561" t="s">
        <v>3531</v>
      </c>
      <c r="AL561">
        <v>2.76</v>
      </c>
      <c r="AM561">
        <v>1473</v>
      </c>
      <c r="AN561">
        <v>50</v>
      </c>
      <c r="AO561">
        <v>1.2999999999999999E-3</v>
      </c>
      <c r="AP561">
        <v>2</v>
      </c>
      <c r="AQ561">
        <v>0.17</v>
      </c>
      <c r="AR561">
        <v>-1.1599999999999999</v>
      </c>
      <c r="AS561">
        <v>-1.65</v>
      </c>
      <c r="AT561">
        <v>-3.09</v>
      </c>
      <c r="AU561">
        <v>-4.0199999999999996</v>
      </c>
      <c r="AV561">
        <v>3</v>
      </c>
      <c r="AW561">
        <v>2.25</v>
      </c>
      <c r="AX561">
        <v>56.84</v>
      </c>
      <c r="AY561">
        <v>246.41</v>
      </c>
      <c r="AZ561">
        <v>121.62</v>
      </c>
      <c r="BA561">
        <v>0.39</v>
      </c>
      <c r="BB561" t="s">
        <v>143</v>
      </c>
      <c r="BF561">
        <v>1.34</v>
      </c>
      <c r="BG561">
        <v>-0.17</v>
      </c>
      <c r="BH561">
        <v>-1.97</v>
      </c>
      <c r="BI561">
        <v>1.19</v>
      </c>
      <c r="BJ561">
        <v>20210909</v>
      </c>
      <c r="BK561">
        <v>20070613</v>
      </c>
      <c r="BL561">
        <v>5.78</v>
      </c>
      <c r="BM561" t="s">
        <v>120</v>
      </c>
      <c r="BN561" t="s">
        <v>120</v>
      </c>
      <c r="BO561">
        <v>20.14</v>
      </c>
      <c r="BP561">
        <v>5.97</v>
      </c>
      <c r="BQ561">
        <v>14.81</v>
      </c>
      <c r="BR561">
        <v>0.62</v>
      </c>
      <c r="BS561">
        <v>23.44</v>
      </c>
      <c r="BT561">
        <v>10.23</v>
      </c>
      <c r="BU561">
        <v>0.74</v>
      </c>
      <c r="BV561">
        <v>0.39</v>
      </c>
      <c r="BW561">
        <v>4.16</v>
      </c>
      <c r="BX561">
        <v>1.63</v>
      </c>
      <c r="BY561">
        <v>1.26</v>
      </c>
      <c r="BZ561">
        <v>2.4900000000000002</v>
      </c>
      <c r="CA561" t="s">
        <v>120</v>
      </c>
      <c r="CB561">
        <v>9.0299999999999994</v>
      </c>
      <c r="CC561">
        <v>4.38</v>
      </c>
      <c r="CD561">
        <v>3.65</v>
      </c>
      <c r="CE561">
        <v>0.27</v>
      </c>
      <c r="CF561">
        <v>0.09</v>
      </c>
      <c r="CG561">
        <v>0.28000000000000003</v>
      </c>
      <c r="CH561">
        <v>0.27</v>
      </c>
      <c r="CI561">
        <v>0.28999999999999998</v>
      </c>
      <c r="CJ561">
        <v>0.05</v>
      </c>
      <c r="CK561">
        <v>0.18</v>
      </c>
      <c r="CL561">
        <v>-0.82</v>
      </c>
      <c r="CM561">
        <v>0.01</v>
      </c>
      <c r="CN561">
        <v>-0.35</v>
      </c>
      <c r="CO561">
        <v>46384</v>
      </c>
      <c r="CP561">
        <v>7077</v>
      </c>
      <c r="CQ561" t="s">
        <v>1282</v>
      </c>
      <c r="CR561">
        <v>-32.86</v>
      </c>
      <c r="CS561">
        <v>-13.2</v>
      </c>
      <c r="CT561">
        <v>2.33</v>
      </c>
      <c r="CU561">
        <v>5136.63</v>
      </c>
      <c r="CV561">
        <v>7.87</v>
      </c>
      <c r="CW561">
        <v>0</v>
      </c>
      <c r="CX561" t="s">
        <v>1248</v>
      </c>
      <c r="CY561">
        <v>2.56</v>
      </c>
      <c r="CZ561">
        <v>0</v>
      </c>
      <c r="DA561">
        <v>1.56</v>
      </c>
      <c r="DB561">
        <v>-0.14000000000000001</v>
      </c>
      <c r="DC561">
        <v>0</v>
      </c>
      <c r="DD561">
        <v>73.489999999999995</v>
      </c>
      <c r="DE561" t="s">
        <v>3532</v>
      </c>
      <c r="DF561">
        <v>16.760000000000002</v>
      </c>
      <c r="DG561">
        <v>6.23</v>
      </c>
      <c r="DH561">
        <v>6.64</v>
      </c>
      <c r="DI561">
        <v>0.24</v>
      </c>
      <c r="DJ561">
        <v>857</v>
      </c>
      <c r="DK561">
        <v>2137</v>
      </c>
      <c r="DL561" t="s">
        <v>120</v>
      </c>
      <c r="DM561" t="s">
        <v>120</v>
      </c>
      <c r="DN561" t="s">
        <v>120</v>
      </c>
    </row>
    <row r="562" spans="1:118">
      <c r="A562" t="str">
        <f>"002138"</f>
        <v>002138</v>
      </c>
      <c r="B562" t="s">
        <v>3533</v>
      </c>
      <c r="C562">
        <v>-2.57</v>
      </c>
      <c r="D562">
        <v>-0.14000000000000001</v>
      </c>
      <c r="E562">
        <v>-0.09</v>
      </c>
      <c r="F562">
        <v>1321</v>
      </c>
      <c r="G562" t="s">
        <v>3534</v>
      </c>
      <c r="H562">
        <v>31448.45</v>
      </c>
      <c r="I562">
        <v>45.13</v>
      </c>
      <c r="J562" t="s">
        <v>120</v>
      </c>
      <c r="K562" t="s">
        <v>3535</v>
      </c>
      <c r="L562">
        <v>1.34</v>
      </c>
      <c r="M562">
        <v>32.6</v>
      </c>
      <c r="N562">
        <v>0.69</v>
      </c>
      <c r="O562">
        <v>1.73</v>
      </c>
      <c r="P562">
        <v>34.04</v>
      </c>
      <c r="Q562">
        <v>-2.66</v>
      </c>
      <c r="R562">
        <v>32.57</v>
      </c>
      <c r="S562">
        <v>33.43</v>
      </c>
      <c r="T562">
        <v>95114</v>
      </c>
      <c r="U562">
        <v>32.630000000000003</v>
      </c>
      <c r="V562">
        <v>33.46</v>
      </c>
      <c r="W562">
        <v>31.99</v>
      </c>
      <c r="X562" t="s">
        <v>229</v>
      </c>
      <c r="Y562" t="s">
        <v>123</v>
      </c>
      <c r="Z562">
        <v>4.3899999999999997</v>
      </c>
      <c r="AA562">
        <v>33.06</v>
      </c>
      <c r="AB562">
        <v>54968</v>
      </c>
      <c r="AC562">
        <v>40146</v>
      </c>
      <c r="AD562">
        <v>1.37</v>
      </c>
      <c r="AE562">
        <v>64</v>
      </c>
      <c r="AF562">
        <v>5</v>
      </c>
      <c r="AG562" t="s">
        <v>120</v>
      </c>
      <c r="AH562">
        <v>0</v>
      </c>
      <c r="AI562" t="s">
        <v>120</v>
      </c>
      <c r="AJ562">
        <v>7.11</v>
      </c>
      <c r="AK562" t="s">
        <v>3536</v>
      </c>
      <c r="AL562">
        <v>-0.66</v>
      </c>
      <c r="AM562">
        <v>3683</v>
      </c>
      <c r="AN562">
        <v>26</v>
      </c>
      <c r="AO562">
        <v>4.0000000000000002E-4</v>
      </c>
      <c r="AP562">
        <v>-2</v>
      </c>
      <c r="AQ562">
        <v>-1.41</v>
      </c>
      <c r="AR562">
        <v>-3.66</v>
      </c>
      <c r="AS562">
        <v>-10.66</v>
      </c>
      <c r="AT562">
        <v>-12.29</v>
      </c>
      <c r="AU562">
        <v>34.04</v>
      </c>
      <c r="AV562">
        <v>1</v>
      </c>
      <c r="AW562">
        <v>1.54</v>
      </c>
      <c r="AX562">
        <v>76.48</v>
      </c>
      <c r="AY562">
        <v>35.630000000000003</v>
      </c>
      <c r="AZ562">
        <v>45.85</v>
      </c>
      <c r="BA562">
        <v>0.87</v>
      </c>
      <c r="BB562" t="s">
        <v>134</v>
      </c>
      <c r="BF562">
        <v>-1.18</v>
      </c>
      <c r="BG562">
        <v>-2.48</v>
      </c>
      <c r="BH562">
        <v>-4.2300000000000004</v>
      </c>
      <c r="BI562">
        <v>0.09</v>
      </c>
      <c r="BJ562">
        <v>20210728</v>
      </c>
      <c r="BK562">
        <v>20070613</v>
      </c>
      <c r="BL562">
        <v>8.06</v>
      </c>
      <c r="BM562" t="s">
        <v>120</v>
      </c>
      <c r="BN562" t="s">
        <v>120</v>
      </c>
      <c r="BO562">
        <v>88.37</v>
      </c>
      <c r="BP562">
        <v>32.6</v>
      </c>
      <c r="BQ562">
        <v>50.84</v>
      </c>
      <c r="BR562">
        <v>2.46</v>
      </c>
      <c r="BS562">
        <v>39.68</v>
      </c>
      <c r="BT562">
        <v>33.880000000000003</v>
      </c>
      <c r="BU562">
        <v>33.840000000000003</v>
      </c>
      <c r="BV562">
        <v>4.32</v>
      </c>
      <c r="BW562">
        <v>23.97</v>
      </c>
      <c r="BX562">
        <v>5.5</v>
      </c>
      <c r="BY562">
        <v>8.3000000000000007</v>
      </c>
      <c r="BZ562">
        <v>15.28</v>
      </c>
      <c r="CA562" t="s">
        <v>120</v>
      </c>
      <c r="CB562">
        <v>19.649999999999999</v>
      </c>
      <c r="CC562">
        <v>23.11</v>
      </c>
      <c r="CD562">
        <v>14.48</v>
      </c>
      <c r="CE562">
        <v>5.13</v>
      </c>
      <c r="CF562">
        <v>-0.02</v>
      </c>
      <c r="CG562">
        <v>5.1100000000000003</v>
      </c>
      <c r="CH562">
        <v>4.3499999999999996</v>
      </c>
      <c r="CI562">
        <v>4.1100000000000003</v>
      </c>
      <c r="CJ562">
        <v>-0.86</v>
      </c>
      <c r="CK562">
        <v>3.88</v>
      </c>
      <c r="CL562">
        <v>21.63</v>
      </c>
      <c r="CM562">
        <v>4.8600000000000003</v>
      </c>
      <c r="CN562">
        <v>2.3199999999999998</v>
      </c>
      <c r="CO562">
        <v>42709</v>
      </c>
      <c r="CP562">
        <v>14440</v>
      </c>
      <c r="CQ562" t="s">
        <v>3537</v>
      </c>
      <c r="CR562">
        <v>69.69</v>
      </c>
      <c r="CS562">
        <v>60.26</v>
      </c>
      <c r="CT562">
        <v>5.17</v>
      </c>
      <c r="CU562">
        <v>54.05</v>
      </c>
      <c r="CV562">
        <v>11.37</v>
      </c>
      <c r="CW562">
        <v>0.59</v>
      </c>
      <c r="CX562" t="s">
        <v>1001</v>
      </c>
      <c r="CY562">
        <v>6.31</v>
      </c>
      <c r="CZ562">
        <v>0</v>
      </c>
      <c r="DA562">
        <v>2.44</v>
      </c>
      <c r="DB562">
        <v>2.68</v>
      </c>
      <c r="DC562">
        <v>0.6</v>
      </c>
      <c r="DD562">
        <v>57.53</v>
      </c>
      <c r="DE562" t="s">
        <v>3538</v>
      </c>
      <c r="DF562">
        <v>37.36</v>
      </c>
      <c r="DG562">
        <v>22.21</v>
      </c>
      <c r="DH562">
        <v>17.78</v>
      </c>
      <c r="DI562">
        <v>1.51</v>
      </c>
      <c r="DJ562">
        <v>5944</v>
      </c>
      <c r="DK562">
        <v>2138</v>
      </c>
      <c r="DL562" t="s">
        <v>120</v>
      </c>
      <c r="DM562" t="s">
        <v>120</v>
      </c>
      <c r="DN562" t="s">
        <v>120</v>
      </c>
    </row>
    <row r="563" spans="1:118">
      <c r="A563" t="str">
        <f>"002139"</f>
        <v>002139</v>
      </c>
      <c r="B563" t="s">
        <v>3539</v>
      </c>
      <c r="C563">
        <v>-3.64</v>
      </c>
      <c r="D563">
        <v>0</v>
      </c>
      <c r="E563">
        <v>-0.22</v>
      </c>
      <c r="F563">
        <v>13085</v>
      </c>
      <c r="G563" t="s">
        <v>3540</v>
      </c>
      <c r="H563">
        <v>27791.17</v>
      </c>
      <c r="I563">
        <v>107</v>
      </c>
      <c r="J563" t="s">
        <v>120</v>
      </c>
      <c r="K563" t="s">
        <v>3541</v>
      </c>
      <c r="L563">
        <v>2.17</v>
      </c>
      <c r="M563">
        <v>13.23</v>
      </c>
      <c r="N563">
        <v>0.95</v>
      </c>
      <c r="O563">
        <v>0.51</v>
      </c>
      <c r="P563">
        <v>13.8</v>
      </c>
      <c r="Q563">
        <v>-3.64</v>
      </c>
      <c r="R563">
        <v>13.23</v>
      </c>
      <c r="S563">
        <v>13.7</v>
      </c>
      <c r="T563">
        <v>206323</v>
      </c>
      <c r="U563">
        <v>13.23</v>
      </c>
      <c r="V563">
        <v>13.73</v>
      </c>
      <c r="W563">
        <v>19.13</v>
      </c>
      <c r="X563" t="s">
        <v>229</v>
      </c>
      <c r="Y563" t="s">
        <v>123</v>
      </c>
      <c r="Z563">
        <v>4.1500000000000004</v>
      </c>
      <c r="AA563">
        <v>13.47</v>
      </c>
      <c r="AB563">
        <v>128481</v>
      </c>
      <c r="AC563">
        <v>77842</v>
      </c>
      <c r="AD563">
        <v>1.65</v>
      </c>
      <c r="AE563">
        <v>707</v>
      </c>
      <c r="AF563">
        <v>270</v>
      </c>
      <c r="AG563" t="s">
        <v>120</v>
      </c>
      <c r="AH563">
        <v>0.01</v>
      </c>
      <c r="AI563" t="s">
        <v>120</v>
      </c>
      <c r="AJ563">
        <v>9.51</v>
      </c>
      <c r="AK563" t="s">
        <v>3542</v>
      </c>
      <c r="AL563">
        <v>-1.73</v>
      </c>
      <c r="AM563">
        <v>3926</v>
      </c>
      <c r="AN563">
        <v>53</v>
      </c>
      <c r="AO563">
        <v>5.9999999999999995E-4</v>
      </c>
      <c r="AP563">
        <v>-2</v>
      </c>
      <c r="AQ563">
        <v>-1.58</v>
      </c>
      <c r="AR563">
        <v>-3.65</v>
      </c>
      <c r="AS563">
        <v>-11.33</v>
      </c>
      <c r="AT563">
        <v>-28.29</v>
      </c>
      <c r="AU563">
        <v>64.150000000000006</v>
      </c>
      <c r="AV563">
        <v>4</v>
      </c>
      <c r="AW563">
        <v>2.2999999999999998</v>
      </c>
      <c r="AX563">
        <v>72.53</v>
      </c>
      <c r="AY563">
        <v>22.58</v>
      </c>
      <c r="AZ563">
        <v>31.87</v>
      </c>
      <c r="BA563">
        <v>0.85</v>
      </c>
      <c r="BB563" t="s">
        <v>134</v>
      </c>
      <c r="BF563">
        <v>-1.9</v>
      </c>
      <c r="BG563">
        <v>-3.43</v>
      </c>
      <c r="BH563">
        <v>-4.13</v>
      </c>
      <c r="BI563">
        <v>0</v>
      </c>
      <c r="BJ563">
        <v>20210803</v>
      </c>
      <c r="BK563">
        <v>20070629</v>
      </c>
      <c r="BL563">
        <v>12.38</v>
      </c>
      <c r="BM563" t="s">
        <v>120</v>
      </c>
      <c r="BN563" t="s">
        <v>120</v>
      </c>
      <c r="BO563">
        <v>86.19</v>
      </c>
      <c r="BP563">
        <v>13.22</v>
      </c>
      <c r="BQ563">
        <v>49.24</v>
      </c>
      <c r="BR563">
        <v>0.94</v>
      </c>
      <c r="BS563">
        <v>41.78</v>
      </c>
      <c r="BT563">
        <v>60.66</v>
      </c>
      <c r="BU563">
        <v>11.65</v>
      </c>
      <c r="BV563">
        <v>3.67</v>
      </c>
      <c r="BW563">
        <v>33.35</v>
      </c>
      <c r="BX563">
        <v>12.9</v>
      </c>
      <c r="BY563">
        <v>18.760000000000002</v>
      </c>
      <c r="BZ563">
        <v>20.43</v>
      </c>
      <c r="CA563">
        <v>0</v>
      </c>
      <c r="CB563">
        <v>19.600000000000001</v>
      </c>
      <c r="CC563">
        <v>36.44</v>
      </c>
      <c r="CD563">
        <v>27.65</v>
      </c>
      <c r="CE563">
        <v>4.8499999999999996</v>
      </c>
      <c r="CF563">
        <v>0.24</v>
      </c>
      <c r="CG563">
        <v>4.82</v>
      </c>
      <c r="CH563">
        <v>4.3600000000000003</v>
      </c>
      <c r="CI563">
        <v>4.28</v>
      </c>
      <c r="CJ563">
        <v>-0.5</v>
      </c>
      <c r="CK563">
        <v>3.2</v>
      </c>
      <c r="CL563">
        <v>16.97</v>
      </c>
      <c r="CM563">
        <v>-2.2599999999999998</v>
      </c>
      <c r="CN563">
        <v>1.1399999999999999</v>
      </c>
      <c r="CO563">
        <v>72451</v>
      </c>
      <c r="CP563">
        <v>12396</v>
      </c>
      <c r="CQ563" t="s">
        <v>3543</v>
      </c>
      <c r="CR563">
        <v>104.96</v>
      </c>
      <c r="CS563">
        <v>82.44</v>
      </c>
      <c r="CT563">
        <v>3.33</v>
      </c>
      <c r="CU563">
        <v>-72.58</v>
      </c>
      <c r="CV563">
        <v>4.5</v>
      </c>
      <c r="CW563">
        <v>0.33</v>
      </c>
      <c r="CX563" t="s">
        <v>2429</v>
      </c>
      <c r="CY563">
        <v>3.98</v>
      </c>
      <c r="CZ563">
        <v>0</v>
      </c>
      <c r="DA563">
        <v>1.58</v>
      </c>
      <c r="DB563">
        <v>1.37</v>
      </c>
      <c r="DC563">
        <v>-0.18</v>
      </c>
      <c r="DD563">
        <v>57.13</v>
      </c>
      <c r="DE563" t="s">
        <v>3544</v>
      </c>
      <c r="DF563">
        <v>24.11</v>
      </c>
      <c r="DG563">
        <v>13.3</v>
      </c>
      <c r="DH563">
        <v>11.75</v>
      </c>
      <c r="DI563">
        <v>1.75</v>
      </c>
      <c r="DJ563">
        <v>6229</v>
      </c>
      <c r="DK563">
        <v>2139</v>
      </c>
      <c r="DL563" t="s">
        <v>120</v>
      </c>
      <c r="DM563" t="s">
        <v>120</v>
      </c>
      <c r="DN563" t="s">
        <v>120</v>
      </c>
    </row>
    <row r="564" spans="1:118">
      <c r="A564" t="str">
        <f>"002140"</f>
        <v>002140</v>
      </c>
      <c r="B564" t="s">
        <v>3545</v>
      </c>
      <c r="C564">
        <v>-7.24</v>
      </c>
      <c r="D564">
        <v>-0.06</v>
      </c>
      <c r="E564">
        <v>3.59</v>
      </c>
      <c r="F564">
        <v>3955</v>
      </c>
      <c r="G564" t="s">
        <v>3546</v>
      </c>
      <c r="H564">
        <v>83172.2</v>
      </c>
      <c r="I564">
        <v>1318.25</v>
      </c>
      <c r="J564" t="s">
        <v>120</v>
      </c>
      <c r="K564" t="s">
        <v>3547</v>
      </c>
      <c r="L564">
        <v>10.58</v>
      </c>
      <c r="M564">
        <v>13.7</v>
      </c>
      <c r="N564">
        <v>1.54</v>
      </c>
      <c r="O564">
        <v>6.97</v>
      </c>
      <c r="P564">
        <v>15.8</v>
      </c>
      <c r="Q564">
        <v>-7.24</v>
      </c>
      <c r="R564">
        <v>13.7</v>
      </c>
      <c r="S564">
        <v>15.3</v>
      </c>
      <c r="T564">
        <v>564237</v>
      </c>
      <c r="U564">
        <v>13.7</v>
      </c>
      <c r="V564">
        <v>14.77</v>
      </c>
      <c r="W564">
        <v>28</v>
      </c>
      <c r="X564" t="s">
        <v>175</v>
      </c>
      <c r="Y564" t="s">
        <v>570</v>
      </c>
      <c r="Z564">
        <v>14.22</v>
      </c>
      <c r="AA564">
        <v>14.74</v>
      </c>
      <c r="AB564">
        <v>299831</v>
      </c>
      <c r="AC564">
        <v>264406</v>
      </c>
      <c r="AD564">
        <v>1.1299999999999999</v>
      </c>
      <c r="AE564">
        <v>167</v>
      </c>
      <c r="AF564">
        <v>66</v>
      </c>
      <c r="AG564" t="s">
        <v>120</v>
      </c>
      <c r="AH564">
        <v>0.4</v>
      </c>
      <c r="AI564" t="s">
        <v>120</v>
      </c>
      <c r="AJ564">
        <v>5.33</v>
      </c>
      <c r="AK564" t="s">
        <v>3380</v>
      </c>
      <c r="AL564">
        <v>-5.33</v>
      </c>
      <c r="AM564">
        <v>4452</v>
      </c>
      <c r="AN564">
        <v>127</v>
      </c>
      <c r="AO564">
        <v>2.3999999999999998E-3</v>
      </c>
      <c r="AP564">
        <v>-1</v>
      </c>
      <c r="AQ564">
        <v>9.98</v>
      </c>
      <c r="AR564">
        <v>2.78</v>
      </c>
      <c r="AS564">
        <v>3.48</v>
      </c>
      <c r="AT564">
        <v>80.5</v>
      </c>
      <c r="AU564">
        <v>101.18</v>
      </c>
      <c r="AV564">
        <v>11</v>
      </c>
      <c r="AW564">
        <v>26.09</v>
      </c>
      <c r="AX564">
        <v>39.659999999999997</v>
      </c>
      <c r="AY564">
        <v>34.369999999999997</v>
      </c>
      <c r="AZ564">
        <v>40.659999999999997</v>
      </c>
      <c r="BA564">
        <v>0.62</v>
      </c>
      <c r="BB564" t="s">
        <v>700</v>
      </c>
      <c r="BF564">
        <v>-0.2</v>
      </c>
      <c r="BG564">
        <v>-10.46</v>
      </c>
      <c r="BH564">
        <v>-13.29</v>
      </c>
      <c r="BI564">
        <v>0</v>
      </c>
      <c r="BJ564">
        <v>20210831</v>
      </c>
      <c r="BK564">
        <v>20070712</v>
      </c>
      <c r="BL564">
        <v>5.45</v>
      </c>
      <c r="BM564" t="s">
        <v>120</v>
      </c>
      <c r="BN564" t="s">
        <v>120</v>
      </c>
      <c r="BO564">
        <v>83.4</v>
      </c>
      <c r="BP564">
        <v>13.69</v>
      </c>
      <c r="BQ564">
        <v>24.48</v>
      </c>
      <c r="BR564">
        <v>0.71</v>
      </c>
      <c r="BS564">
        <v>69.790000000000006</v>
      </c>
      <c r="BT564">
        <v>61.28</v>
      </c>
      <c r="BU564">
        <v>1.58</v>
      </c>
      <c r="BV564">
        <v>1.34</v>
      </c>
      <c r="BW564">
        <v>52.39</v>
      </c>
      <c r="BX564">
        <v>19.23</v>
      </c>
      <c r="BY564">
        <v>1.61</v>
      </c>
      <c r="BZ564">
        <v>6.8</v>
      </c>
      <c r="CA564" t="s">
        <v>120</v>
      </c>
      <c r="CB564">
        <v>1.3</v>
      </c>
      <c r="CC564">
        <v>22.06</v>
      </c>
      <c r="CD564">
        <v>19.79</v>
      </c>
      <c r="CE564">
        <v>1.55</v>
      </c>
      <c r="CF564">
        <v>0.22</v>
      </c>
      <c r="CG564">
        <v>1.55</v>
      </c>
      <c r="CH564">
        <v>1.35</v>
      </c>
      <c r="CI564">
        <v>1.33</v>
      </c>
      <c r="CJ564">
        <v>-1.07</v>
      </c>
      <c r="CK564">
        <v>1.31</v>
      </c>
      <c r="CL564">
        <v>15.91</v>
      </c>
      <c r="CM564">
        <v>2.0499999999999998</v>
      </c>
      <c r="CN564">
        <v>1.52</v>
      </c>
      <c r="CO564">
        <v>32900</v>
      </c>
      <c r="CP564">
        <v>6573</v>
      </c>
      <c r="CQ564" t="s">
        <v>3548</v>
      </c>
      <c r="CR564">
        <v>37.340000000000003</v>
      </c>
      <c r="CS564">
        <v>80.14</v>
      </c>
      <c r="CT564">
        <v>3.05</v>
      </c>
      <c r="CU564">
        <v>36.39</v>
      </c>
      <c r="CV564">
        <v>3.39</v>
      </c>
      <c r="CW564">
        <v>0.68</v>
      </c>
      <c r="CX564" t="s">
        <v>863</v>
      </c>
      <c r="CY564">
        <v>4.49</v>
      </c>
      <c r="CZ564">
        <v>0</v>
      </c>
      <c r="DA564">
        <v>0.24</v>
      </c>
      <c r="DB564">
        <v>2.92</v>
      </c>
      <c r="DC564">
        <v>0.38</v>
      </c>
      <c r="DD564">
        <v>29.36</v>
      </c>
      <c r="DE564" t="s">
        <v>3549</v>
      </c>
      <c r="DF564">
        <v>10.28</v>
      </c>
      <c r="DG564">
        <v>7.04</v>
      </c>
      <c r="DH564">
        <v>6.05</v>
      </c>
      <c r="DI564">
        <v>0.28000000000000003</v>
      </c>
      <c r="DJ564">
        <v>1287</v>
      </c>
      <c r="DK564">
        <v>2140</v>
      </c>
      <c r="DL564" t="s">
        <v>120</v>
      </c>
      <c r="DM564" t="s">
        <v>120</v>
      </c>
      <c r="DN564" t="s">
        <v>120</v>
      </c>
    </row>
    <row r="565" spans="1:118">
      <c r="A565" t="str">
        <f>"002141"</f>
        <v>002141</v>
      </c>
      <c r="B565" t="s">
        <v>3550</v>
      </c>
      <c r="C565">
        <v>10.039999999999999</v>
      </c>
      <c r="D565">
        <v>0.13</v>
      </c>
      <c r="E565">
        <v>-3.16</v>
      </c>
      <c r="F565">
        <v>7286</v>
      </c>
      <c r="G565" t="s">
        <v>3551</v>
      </c>
      <c r="H565">
        <v>65636.09</v>
      </c>
      <c r="I565">
        <v>280.26</v>
      </c>
      <c r="J565" t="s">
        <v>120</v>
      </c>
      <c r="K565" t="s">
        <v>3552</v>
      </c>
      <c r="L565">
        <v>7.7</v>
      </c>
      <c r="M565">
        <v>7.67</v>
      </c>
      <c r="N565">
        <v>1.96</v>
      </c>
      <c r="O565">
        <v>10.039999999999999</v>
      </c>
      <c r="P565">
        <v>7.67</v>
      </c>
      <c r="Q565">
        <v>-3.73</v>
      </c>
      <c r="R565">
        <v>6.71</v>
      </c>
      <c r="S565">
        <v>6.75</v>
      </c>
      <c r="T565">
        <v>874006</v>
      </c>
      <c r="U565">
        <v>7.67</v>
      </c>
      <c r="V565">
        <v>6.97</v>
      </c>
      <c r="W565">
        <v>492.07</v>
      </c>
      <c r="X565" t="s">
        <v>229</v>
      </c>
      <c r="Y565" t="s">
        <v>547</v>
      </c>
      <c r="Z565">
        <v>13.77</v>
      </c>
      <c r="AA565">
        <v>7.51</v>
      </c>
      <c r="AB565">
        <v>393893</v>
      </c>
      <c r="AC565">
        <v>480113</v>
      </c>
      <c r="AD565">
        <v>0.82</v>
      </c>
      <c r="AE565">
        <v>2602</v>
      </c>
      <c r="AF565">
        <v>9338</v>
      </c>
      <c r="AG565" t="s">
        <v>120</v>
      </c>
      <c r="AH565">
        <v>0.08</v>
      </c>
      <c r="AI565" t="s">
        <v>120</v>
      </c>
      <c r="AJ565">
        <v>11.35</v>
      </c>
      <c r="AK565" t="s">
        <v>3552</v>
      </c>
      <c r="AL565">
        <v>11.96</v>
      </c>
      <c r="AM565">
        <v>4318</v>
      </c>
      <c r="AN565">
        <v>202</v>
      </c>
      <c r="AO565">
        <v>1.8E-3</v>
      </c>
      <c r="AP565">
        <v>4</v>
      </c>
      <c r="AQ565">
        <v>6.74</v>
      </c>
      <c r="AR565">
        <v>29.12</v>
      </c>
      <c r="AS565">
        <v>51.88</v>
      </c>
      <c r="AT565">
        <v>86.62</v>
      </c>
      <c r="AU565">
        <v>195</v>
      </c>
      <c r="AV565">
        <v>11</v>
      </c>
      <c r="AW565">
        <v>17.21</v>
      </c>
      <c r="AX565">
        <v>44.76</v>
      </c>
      <c r="AY565" t="s">
        <v>120</v>
      </c>
      <c r="AZ565" t="s">
        <v>120</v>
      </c>
      <c r="BA565">
        <v>0.75</v>
      </c>
      <c r="BB565" t="s">
        <v>751</v>
      </c>
      <c r="BF565">
        <v>7.74</v>
      </c>
      <c r="BG565">
        <v>13.63</v>
      </c>
      <c r="BH565">
        <v>0</v>
      </c>
      <c r="BI565">
        <v>14.31</v>
      </c>
      <c r="BJ565">
        <v>20210814</v>
      </c>
      <c r="BK565">
        <v>20070720</v>
      </c>
      <c r="BL565">
        <v>11.35</v>
      </c>
      <c r="BM565" t="s">
        <v>120</v>
      </c>
      <c r="BN565" t="s">
        <v>120</v>
      </c>
      <c r="BO565">
        <v>15.35</v>
      </c>
      <c r="BP565">
        <v>7.66</v>
      </c>
      <c r="BQ565">
        <v>7.87</v>
      </c>
      <c r="BR565">
        <v>0.56999999999999995</v>
      </c>
      <c r="BS565">
        <v>44.98</v>
      </c>
      <c r="BT565">
        <v>8.2100000000000009</v>
      </c>
      <c r="BU565">
        <v>3.52</v>
      </c>
      <c r="BV565">
        <v>0.61</v>
      </c>
      <c r="BW565">
        <v>6.29</v>
      </c>
      <c r="BX565">
        <v>1.26</v>
      </c>
      <c r="BY565">
        <v>1.96</v>
      </c>
      <c r="BZ565">
        <v>2.54</v>
      </c>
      <c r="CA565" t="s">
        <v>120</v>
      </c>
      <c r="CB565">
        <v>0.87</v>
      </c>
      <c r="CC565">
        <v>7.28</v>
      </c>
      <c r="CD565">
        <v>6.3</v>
      </c>
      <c r="CE565">
        <v>0.09</v>
      </c>
      <c r="CF565">
        <v>-0.06</v>
      </c>
      <c r="CG565">
        <v>0.09</v>
      </c>
      <c r="CH565">
        <v>0.05</v>
      </c>
      <c r="CI565">
        <v>0.09</v>
      </c>
      <c r="CJ565">
        <v>0.7</v>
      </c>
      <c r="CK565">
        <v>0.04</v>
      </c>
      <c r="CL565">
        <v>-4.3899999999999997</v>
      </c>
      <c r="CM565">
        <v>-0.03</v>
      </c>
      <c r="CN565">
        <v>0.9</v>
      </c>
      <c r="CO565">
        <v>43824</v>
      </c>
      <c r="CP565">
        <v>11588</v>
      </c>
      <c r="CQ565" t="s">
        <v>3553</v>
      </c>
      <c r="CR565">
        <v>105.64</v>
      </c>
      <c r="CS565">
        <v>90</v>
      </c>
      <c r="CT565">
        <v>11.06</v>
      </c>
      <c r="CU565">
        <v>-2582.36</v>
      </c>
      <c r="CV565">
        <v>11.95</v>
      </c>
      <c r="CW565">
        <v>0</v>
      </c>
      <c r="CX565" t="s">
        <v>2587</v>
      </c>
      <c r="CY565">
        <v>0.69</v>
      </c>
      <c r="CZ565">
        <v>0</v>
      </c>
      <c r="DA565">
        <v>0.08</v>
      </c>
      <c r="DB565">
        <v>-0.39</v>
      </c>
      <c r="DC565">
        <v>0</v>
      </c>
      <c r="DD565">
        <v>51.28</v>
      </c>
      <c r="DE565" t="s">
        <v>3554</v>
      </c>
      <c r="DF565">
        <v>13.4</v>
      </c>
      <c r="DG565">
        <v>1.29</v>
      </c>
      <c r="DH565">
        <v>1.21</v>
      </c>
      <c r="DI565">
        <v>0.24</v>
      </c>
      <c r="DJ565">
        <v>870</v>
      </c>
      <c r="DK565">
        <v>2141</v>
      </c>
      <c r="DL565" t="s">
        <v>120</v>
      </c>
      <c r="DM565" t="s">
        <v>120</v>
      </c>
      <c r="DN565" t="s">
        <v>120</v>
      </c>
    </row>
    <row r="566" spans="1:118">
      <c r="A566" t="str">
        <f>"002142"</f>
        <v>002142</v>
      </c>
      <c r="B566" t="s">
        <v>3555</v>
      </c>
      <c r="C566">
        <v>-1.1499999999999999</v>
      </c>
      <c r="D566">
        <v>-0.46</v>
      </c>
      <c r="E566">
        <v>-0.26</v>
      </c>
      <c r="F566">
        <v>3646</v>
      </c>
      <c r="G566" t="s">
        <v>3556</v>
      </c>
      <c r="H566">
        <v>66977.53</v>
      </c>
      <c r="I566">
        <v>166.11</v>
      </c>
      <c r="J566" t="s">
        <v>120</v>
      </c>
      <c r="K566" t="s">
        <v>3557</v>
      </c>
      <c r="L566">
        <v>0.33</v>
      </c>
      <c r="M566">
        <v>33.6</v>
      </c>
      <c r="N566">
        <v>0.92</v>
      </c>
      <c r="O566">
        <v>1.47</v>
      </c>
      <c r="P566">
        <v>34.49</v>
      </c>
      <c r="Q566">
        <v>-1.41</v>
      </c>
      <c r="R566">
        <v>33.51</v>
      </c>
      <c r="S566">
        <v>33.9</v>
      </c>
      <c r="T566">
        <v>197370</v>
      </c>
      <c r="U566">
        <v>33.619999999999997</v>
      </c>
      <c r="V566">
        <v>33.99</v>
      </c>
      <c r="W566">
        <v>10.6</v>
      </c>
      <c r="X566" t="s">
        <v>122</v>
      </c>
      <c r="Y566" t="s">
        <v>585</v>
      </c>
      <c r="Z566">
        <v>2.88</v>
      </c>
      <c r="AA566">
        <v>33.93</v>
      </c>
      <c r="AB566">
        <v>103819</v>
      </c>
      <c r="AC566">
        <v>93551</v>
      </c>
      <c r="AD566">
        <v>1.1100000000000001</v>
      </c>
      <c r="AE566">
        <v>149</v>
      </c>
      <c r="AF566">
        <v>38</v>
      </c>
      <c r="AG566" t="s">
        <v>120</v>
      </c>
      <c r="AH566">
        <v>0</v>
      </c>
      <c r="AI566" t="s">
        <v>120</v>
      </c>
      <c r="AJ566">
        <v>59.28</v>
      </c>
      <c r="AK566" t="s">
        <v>3558</v>
      </c>
      <c r="AL566">
        <v>0.77</v>
      </c>
      <c r="AM566">
        <v>4426</v>
      </c>
      <c r="AN566">
        <v>45</v>
      </c>
      <c r="AO566">
        <v>1E-4</v>
      </c>
      <c r="AP566">
        <v>-4</v>
      </c>
      <c r="AQ566">
        <v>-1.99</v>
      </c>
      <c r="AR566">
        <v>-5.81</v>
      </c>
      <c r="AS566">
        <v>-4.68</v>
      </c>
      <c r="AT566">
        <v>-14.07</v>
      </c>
      <c r="AU566">
        <v>-3.56</v>
      </c>
      <c r="AV566">
        <v>1</v>
      </c>
      <c r="AW566">
        <v>0.64</v>
      </c>
      <c r="AX566">
        <v>51.6</v>
      </c>
      <c r="AY566">
        <v>12.21</v>
      </c>
      <c r="AZ566">
        <v>13.57</v>
      </c>
      <c r="BA566">
        <v>0.63</v>
      </c>
      <c r="BB566" t="s">
        <v>143</v>
      </c>
      <c r="BF566">
        <v>-0.16</v>
      </c>
      <c r="BG566">
        <v>-0.88</v>
      </c>
      <c r="BH566">
        <v>-2.58</v>
      </c>
      <c r="BI566">
        <v>0.27</v>
      </c>
      <c r="BJ566">
        <v>20210816</v>
      </c>
      <c r="BK566">
        <v>20070719</v>
      </c>
      <c r="BL566">
        <v>60.08</v>
      </c>
      <c r="BM566" t="s">
        <v>120</v>
      </c>
      <c r="BN566" t="s">
        <v>120</v>
      </c>
      <c r="BO566">
        <v>18337.21</v>
      </c>
      <c r="BP566">
        <v>33.6</v>
      </c>
      <c r="BQ566">
        <v>1288.6199999999999</v>
      </c>
      <c r="BR566">
        <v>5.53</v>
      </c>
      <c r="BS566">
        <v>92.94</v>
      </c>
      <c r="BT566">
        <v>0</v>
      </c>
      <c r="BU566">
        <v>73.23</v>
      </c>
      <c r="BV566">
        <v>11.15</v>
      </c>
      <c r="BW566">
        <v>0</v>
      </c>
      <c r="BX566">
        <v>1191.99</v>
      </c>
      <c r="BY566">
        <v>0</v>
      </c>
      <c r="BZ566">
        <v>0</v>
      </c>
      <c r="CA566" t="s">
        <v>120</v>
      </c>
      <c r="CB566">
        <v>264.02999999999997</v>
      </c>
      <c r="CC566">
        <v>250.19</v>
      </c>
      <c r="CD566">
        <v>0</v>
      </c>
      <c r="CE566">
        <v>98.67</v>
      </c>
      <c r="CF566">
        <v>51.16</v>
      </c>
      <c r="CG566">
        <v>98.85</v>
      </c>
      <c r="CH566">
        <v>95.59</v>
      </c>
      <c r="CI566">
        <v>95.19</v>
      </c>
      <c r="CJ566">
        <v>-0.39</v>
      </c>
      <c r="CK566">
        <v>94.98</v>
      </c>
      <c r="CL566">
        <v>543.6</v>
      </c>
      <c r="CM566">
        <v>63.32</v>
      </c>
      <c r="CN566">
        <v>-25.5</v>
      </c>
      <c r="CO566">
        <v>124635</v>
      </c>
      <c r="CP566">
        <v>24872</v>
      </c>
      <c r="CQ566" t="s">
        <v>3559</v>
      </c>
      <c r="CR566">
        <v>21.37</v>
      </c>
      <c r="CS566">
        <v>25.21</v>
      </c>
      <c r="CT566">
        <v>1.77</v>
      </c>
      <c r="CU566">
        <v>31.88</v>
      </c>
      <c r="CV566">
        <v>8.07</v>
      </c>
      <c r="CW566">
        <v>1.47</v>
      </c>
      <c r="CX566" t="s">
        <v>2480</v>
      </c>
      <c r="CY566">
        <v>18.98</v>
      </c>
      <c r="CZ566">
        <v>18.98</v>
      </c>
      <c r="DA566">
        <v>4.3899999999999997</v>
      </c>
      <c r="DB566">
        <v>9.0500000000000007</v>
      </c>
      <c r="DC566">
        <v>1.05</v>
      </c>
      <c r="DD566">
        <v>7.03</v>
      </c>
      <c r="DE566" t="s">
        <v>3560</v>
      </c>
      <c r="DF566" t="s">
        <v>120</v>
      </c>
      <c r="DG566">
        <v>39.44</v>
      </c>
      <c r="DH566">
        <v>38.049999999999997</v>
      </c>
      <c r="DI566" t="s">
        <v>120</v>
      </c>
      <c r="DJ566">
        <v>24291</v>
      </c>
      <c r="DK566">
        <v>2142</v>
      </c>
      <c r="DL566" t="s">
        <v>120</v>
      </c>
      <c r="DM566" t="s">
        <v>120</v>
      </c>
      <c r="DN566" t="s">
        <v>120</v>
      </c>
    </row>
    <row r="567" spans="1:118">
      <c r="A567" t="str">
        <f>"002144"</f>
        <v>002144</v>
      </c>
      <c r="B567" t="s">
        <v>3561</v>
      </c>
      <c r="C567">
        <v>-1.1499999999999999</v>
      </c>
      <c r="D567">
        <v>0</v>
      </c>
      <c r="E567">
        <v>0.1</v>
      </c>
      <c r="F567">
        <v>281</v>
      </c>
      <c r="G567" t="s">
        <v>3562</v>
      </c>
      <c r="H567">
        <v>4206.1899999999996</v>
      </c>
      <c r="I567">
        <v>4.3</v>
      </c>
      <c r="J567" t="s">
        <v>120</v>
      </c>
      <c r="K567" t="s">
        <v>3563</v>
      </c>
      <c r="L567">
        <v>2.89</v>
      </c>
      <c r="M567">
        <v>10.35</v>
      </c>
      <c r="N567">
        <v>1.08</v>
      </c>
      <c r="O567">
        <v>2.1</v>
      </c>
      <c r="P567">
        <v>10.69</v>
      </c>
      <c r="Q567">
        <v>-1.34</v>
      </c>
      <c r="R567">
        <v>10.33</v>
      </c>
      <c r="S567">
        <v>10.48</v>
      </c>
      <c r="T567">
        <v>40038</v>
      </c>
      <c r="U567">
        <v>10.35</v>
      </c>
      <c r="V567">
        <v>10.47</v>
      </c>
      <c r="W567">
        <v>11.84</v>
      </c>
      <c r="X567" t="s">
        <v>1766</v>
      </c>
      <c r="Y567" t="s">
        <v>585</v>
      </c>
      <c r="Z567">
        <v>3.44</v>
      </c>
      <c r="AA567">
        <v>10.51</v>
      </c>
      <c r="AB567">
        <v>19582</v>
      </c>
      <c r="AC567">
        <v>20456</v>
      </c>
      <c r="AD567">
        <v>0.96</v>
      </c>
      <c r="AE567">
        <v>131</v>
      </c>
      <c r="AF567">
        <v>133</v>
      </c>
      <c r="AG567" t="s">
        <v>120</v>
      </c>
      <c r="AH567">
        <v>0</v>
      </c>
      <c r="AI567" t="s">
        <v>120</v>
      </c>
      <c r="AJ567">
        <v>1.39</v>
      </c>
      <c r="AK567" t="s">
        <v>280</v>
      </c>
      <c r="AL567">
        <v>0.77</v>
      </c>
      <c r="AM567">
        <v>1941</v>
      </c>
      <c r="AN567">
        <v>21</v>
      </c>
      <c r="AO567">
        <v>1.5E-3</v>
      </c>
      <c r="AP567">
        <v>-1</v>
      </c>
      <c r="AQ567">
        <v>0.57999999999999996</v>
      </c>
      <c r="AR567">
        <v>-3.36</v>
      </c>
      <c r="AS567">
        <v>3.29</v>
      </c>
      <c r="AT567">
        <v>13.61</v>
      </c>
      <c r="AU567">
        <v>-17.850000000000001</v>
      </c>
      <c r="AV567">
        <v>1</v>
      </c>
      <c r="AW567">
        <v>3.11</v>
      </c>
      <c r="AX567">
        <v>72.819999999999993</v>
      </c>
      <c r="AY567">
        <v>17.3</v>
      </c>
      <c r="AZ567">
        <v>28.94</v>
      </c>
      <c r="BA567">
        <v>0.7</v>
      </c>
      <c r="BB567" t="s">
        <v>240</v>
      </c>
      <c r="BF567">
        <v>0.34</v>
      </c>
      <c r="BG567">
        <v>-1.24</v>
      </c>
      <c r="BH567">
        <v>-3.18</v>
      </c>
      <c r="BI567">
        <v>0.19</v>
      </c>
      <c r="BJ567">
        <v>20210818</v>
      </c>
      <c r="BK567">
        <v>20070803</v>
      </c>
      <c r="BL567">
        <v>1.77</v>
      </c>
      <c r="BM567" t="s">
        <v>120</v>
      </c>
      <c r="BN567" t="s">
        <v>120</v>
      </c>
      <c r="BO567">
        <v>20.170000000000002</v>
      </c>
      <c r="BP567">
        <v>10.34</v>
      </c>
      <c r="BQ567">
        <v>18.23</v>
      </c>
      <c r="BR567">
        <v>0.03</v>
      </c>
      <c r="BS567">
        <v>9.41</v>
      </c>
      <c r="BT567">
        <v>8.01</v>
      </c>
      <c r="BU567">
        <v>2.4300000000000002</v>
      </c>
      <c r="BV567">
        <v>0.35</v>
      </c>
      <c r="BW567">
        <v>1.58</v>
      </c>
      <c r="BX567">
        <v>5.05</v>
      </c>
      <c r="BY567">
        <v>0.85</v>
      </c>
      <c r="BZ567">
        <v>1.35</v>
      </c>
      <c r="CA567">
        <v>0</v>
      </c>
      <c r="CB567">
        <v>6.98</v>
      </c>
      <c r="CC567">
        <v>2.85</v>
      </c>
      <c r="CD567">
        <v>2.09</v>
      </c>
      <c r="CE567">
        <v>0.48</v>
      </c>
      <c r="CF567">
        <v>0.21</v>
      </c>
      <c r="CG567">
        <v>0.86</v>
      </c>
      <c r="CH567">
        <v>0.77</v>
      </c>
      <c r="CI567">
        <v>0.77</v>
      </c>
      <c r="CJ567">
        <v>-0.12</v>
      </c>
      <c r="CK567">
        <v>0.35</v>
      </c>
      <c r="CL567">
        <v>7.48</v>
      </c>
      <c r="CM567">
        <v>0.44</v>
      </c>
      <c r="CN567">
        <v>0.9</v>
      </c>
      <c r="CO567">
        <v>17432</v>
      </c>
      <c r="CP567">
        <v>7384</v>
      </c>
      <c r="CQ567" t="s">
        <v>2726</v>
      </c>
      <c r="CR567">
        <v>125.77</v>
      </c>
      <c r="CS567">
        <v>50.04</v>
      </c>
      <c r="CT567">
        <v>1</v>
      </c>
      <c r="CU567">
        <v>41.15</v>
      </c>
      <c r="CV567">
        <v>6.43</v>
      </c>
      <c r="CW567">
        <v>0.96</v>
      </c>
      <c r="CX567" t="s">
        <v>194</v>
      </c>
      <c r="CY567">
        <v>10.32</v>
      </c>
      <c r="CZ567">
        <v>0</v>
      </c>
      <c r="DA567">
        <v>3.95</v>
      </c>
      <c r="DB567">
        <v>4.2300000000000004</v>
      </c>
      <c r="DC567">
        <v>0.25</v>
      </c>
      <c r="DD567">
        <v>90.42</v>
      </c>
      <c r="DE567" t="s">
        <v>3564</v>
      </c>
      <c r="DF567">
        <v>26.46</v>
      </c>
      <c r="DG567">
        <v>16.850000000000001</v>
      </c>
      <c r="DH567">
        <v>27.15</v>
      </c>
      <c r="DI567">
        <v>0.14000000000000001</v>
      </c>
      <c r="DJ567">
        <v>560</v>
      </c>
      <c r="DK567">
        <v>2144</v>
      </c>
      <c r="DL567" t="s">
        <v>120</v>
      </c>
      <c r="DM567" t="s">
        <v>120</v>
      </c>
      <c r="DN567" t="s">
        <v>120</v>
      </c>
    </row>
    <row r="568" spans="1:118">
      <c r="A568" t="str">
        <f>"002145"</f>
        <v>002145</v>
      </c>
      <c r="B568" t="s">
        <v>3565</v>
      </c>
      <c r="C568">
        <v>-5.4</v>
      </c>
      <c r="D568">
        <v>-0.57999999999999996</v>
      </c>
      <c r="E568">
        <v>-0.77</v>
      </c>
      <c r="F568">
        <v>7654</v>
      </c>
      <c r="G568" t="s">
        <v>3566</v>
      </c>
      <c r="H568">
        <v>119561.72</v>
      </c>
      <c r="I568">
        <v>781.07</v>
      </c>
      <c r="J568" t="s">
        <v>120</v>
      </c>
      <c r="K568" t="s">
        <v>3567</v>
      </c>
      <c r="L568">
        <v>4.01</v>
      </c>
      <c r="M568">
        <v>18.399999999999999</v>
      </c>
      <c r="N568">
        <v>0.9</v>
      </c>
      <c r="O568">
        <v>-0.77</v>
      </c>
      <c r="P568">
        <v>19.3</v>
      </c>
      <c r="Q568">
        <v>-5.91</v>
      </c>
      <c r="R568">
        <v>18.3</v>
      </c>
      <c r="S568">
        <v>19.3</v>
      </c>
      <c r="T568">
        <v>637658</v>
      </c>
      <c r="U568">
        <v>18.420000000000002</v>
      </c>
      <c r="V568">
        <v>19.45</v>
      </c>
      <c r="W568">
        <v>28.77</v>
      </c>
      <c r="X568" t="s">
        <v>868</v>
      </c>
      <c r="Y568" t="s">
        <v>1082</v>
      </c>
      <c r="Z568">
        <v>5.14</v>
      </c>
      <c r="AA568">
        <v>18.75</v>
      </c>
      <c r="AB568">
        <v>372148</v>
      </c>
      <c r="AC568">
        <v>265510</v>
      </c>
      <c r="AD568">
        <v>1.4</v>
      </c>
      <c r="AE568">
        <v>2482</v>
      </c>
      <c r="AF568">
        <v>17</v>
      </c>
      <c r="AG568" t="s">
        <v>120</v>
      </c>
      <c r="AH568">
        <v>0.03</v>
      </c>
      <c r="AI568" t="s">
        <v>120</v>
      </c>
      <c r="AJ568">
        <v>15.91</v>
      </c>
      <c r="AK568" t="s">
        <v>3568</v>
      </c>
      <c r="AL568">
        <v>-3.48</v>
      </c>
      <c r="AM568">
        <v>4593</v>
      </c>
      <c r="AN568">
        <v>139</v>
      </c>
      <c r="AO568">
        <v>8.9999999999999998E-4</v>
      </c>
      <c r="AP568">
        <v>-1</v>
      </c>
      <c r="AQ568">
        <v>5.99</v>
      </c>
      <c r="AR568">
        <v>5.98</v>
      </c>
      <c r="AS568">
        <v>1.6</v>
      </c>
      <c r="AT568">
        <v>46.15</v>
      </c>
      <c r="AU568">
        <v>233.93</v>
      </c>
      <c r="AV568">
        <v>7</v>
      </c>
      <c r="AW568">
        <v>5.49</v>
      </c>
      <c r="AX568">
        <v>56.51</v>
      </c>
      <c r="AY568">
        <v>45.04</v>
      </c>
      <c r="AZ568">
        <v>84.06</v>
      </c>
      <c r="BA568">
        <v>1.05</v>
      </c>
      <c r="BB568" t="s">
        <v>751</v>
      </c>
      <c r="BF568">
        <v>-3.6</v>
      </c>
      <c r="BG568">
        <v>-4.66</v>
      </c>
      <c r="BH568">
        <v>-4.66</v>
      </c>
      <c r="BI568">
        <v>0.55000000000000004</v>
      </c>
      <c r="BJ568">
        <v>20210914</v>
      </c>
      <c r="BK568">
        <v>20070803</v>
      </c>
      <c r="BL568">
        <v>20.54</v>
      </c>
      <c r="BM568" t="s">
        <v>120</v>
      </c>
      <c r="BN568" t="s">
        <v>120</v>
      </c>
      <c r="BO568">
        <v>97.8</v>
      </c>
      <c r="BP568">
        <v>18.399999999999999</v>
      </c>
      <c r="BQ568">
        <v>64.010000000000005</v>
      </c>
      <c r="BR568" t="s">
        <v>120</v>
      </c>
      <c r="BS568">
        <v>34.54</v>
      </c>
      <c r="BT568">
        <v>62.38</v>
      </c>
      <c r="BU568">
        <v>26.19</v>
      </c>
      <c r="BV568">
        <v>2</v>
      </c>
      <c r="BW568">
        <v>32.1</v>
      </c>
      <c r="BX568">
        <v>28.21</v>
      </c>
      <c r="BY568">
        <v>5.49</v>
      </c>
      <c r="BZ568">
        <v>7.19</v>
      </c>
      <c r="CA568" t="s">
        <v>120</v>
      </c>
      <c r="CB568">
        <v>20.04</v>
      </c>
      <c r="CC568">
        <v>26.1</v>
      </c>
      <c r="CD568">
        <v>16.100000000000001</v>
      </c>
      <c r="CE568">
        <v>7.91</v>
      </c>
      <c r="CF568">
        <v>0.16</v>
      </c>
      <c r="CG568">
        <v>7.91</v>
      </c>
      <c r="CH568">
        <v>6.57</v>
      </c>
      <c r="CI568">
        <v>6.57</v>
      </c>
      <c r="CJ568">
        <v>-1.05</v>
      </c>
      <c r="CK568">
        <v>6.36</v>
      </c>
      <c r="CL568">
        <v>21.42</v>
      </c>
      <c r="CM568">
        <v>7.36</v>
      </c>
      <c r="CN568">
        <v>7.17</v>
      </c>
      <c r="CO568">
        <v>77758</v>
      </c>
      <c r="CP568">
        <v>14925</v>
      </c>
      <c r="CQ568" t="s">
        <v>3569</v>
      </c>
      <c r="CR568">
        <v>167.89</v>
      </c>
      <c r="CS568">
        <v>59.36</v>
      </c>
      <c r="CT568">
        <v>5.9</v>
      </c>
      <c r="CU568">
        <v>51.34</v>
      </c>
      <c r="CV568">
        <v>14.48</v>
      </c>
      <c r="CW568">
        <v>0.21</v>
      </c>
      <c r="CX568" t="s">
        <v>966</v>
      </c>
      <c r="CY568">
        <v>3.12</v>
      </c>
      <c r="CZ568">
        <v>0</v>
      </c>
      <c r="DA568">
        <v>0.98</v>
      </c>
      <c r="DB568">
        <v>1.04</v>
      </c>
      <c r="DC568">
        <v>0.36</v>
      </c>
      <c r="DD568">
        <v>65.459999999999994</v>
      </c>
      <c r="DE568" t="s">
        <v>3570</v>
      </c>
      <c r="DF568">
        <v>38.299999999999997</v>
      </c>
      <c r="DG568">
        <v>30.31</v>
      </c>
      <c r="DH568">
        <v>25.16</v>
      </c>
      <c r="DI568">
        <v>0.67</v>
      </c>
      <c r="DJ568">
        <v>2502</v>
      </c>
      <c r="DK568">
        <v>2145</v>
      </c>
      <c r="DL568">
        <v>20210720</v>
      </c>
      <c r="DM568">
        <v>17.190000000000001</v>
      </c>
      <c r="DN568">
        <v>7.04</v>
      </c>
    </row>
    <row r="569" spans="1:118">
      <c r="A569" t="str">
        <f>"002146"</f>
        <v>002146</v>
      </c>
      <c r="B569" t="s">
        <v>3571</v>
      </c>
      <c r="C569">
        <v>-2.65</v>
      </c>
      <c r="D569">
        <v>0.42</v>
      </c>
      <c r="E569">
        <v>0</v>
      </c>
      <c r="F569">
        <v>5806</v>
      </c>
      <c r="G569" t="s">
        <v>1971</v>
      </c>
      <c r="H569">
        <v>12732.31</v>
      </c>
      <c r="I569">
        <v>33.03</v>
      </c>
      <c r="J569" t="s">
        <v>120</v>
      </c>
      <c r="K569" t="s">
        <v>3572</v>
      </c>
      <c r="L569">
        <v>0.68</v>
      </c>
      <c r="M569">
        <v>4.7699999999999996</v>
      </c>
      <c r="N569">
        <v>0.99</v>
      </c>
      <c r="O569">
        <v>0.82</v>
      </c>
      <c r="P569">
        <v>4.9400000000000004</v>
      </c>
      <c r="Q569">
        <v>-3.06</v>
      </c>
      <c r="R569">
        <v>4.75</v>
      </c>
      <c r="S569">
        <v>4.9000000000000004</v>
      </c>
      <c r="T569">
        <v>262821</v>
      </c>
      <c r="U569">
        <v>4.7699999999999996</v>
      </c>
      <c r="V569">
        <v>4.9000000000000004</v>
      </c>
      <c r="W569">
        <v>4.09</v>
      </c>
      <c r="X569" t="s">
        <v>132</v>
      </c>
      <c r="Y569" t="s">
        <v>602</v>
      </c>
      <c r="Z569">
        <v>3.88</v>
      </c>
      <c r="AA569">
        <v>4.84</v>
      </c>
      <c r="AB569">
        <v>156027</v>
      </c>
      <c r="AC569">
        <v>106794</v>
      </c>
      <c r="AD569">
        <v>1.46</v>
      </c>
      <c r="AE569">
        <v>238</v>
      </c>
      <c r="AF569">
        <v>1169</v>
      </c>
      <c r="AG569" t="s">
        <v>120</v>
      </c>
      <c r="AH569">
        <v>0</v>
      </c>
      <c r="AI569" t="s">
        <v>120</v>
      </c>
      <c r="AJ569">
        <v>38.93</v>
      </c>
      <c r="AK569" t="s">
        <v>3573</v>
      </c>
      <c r="AL569">
        <v>-0.74</v>
      </c>
      <c r="AM569">
        <v>3171</v>
      </c>
      <c r="AN569">
        <v>83</v>
      </c>
      <c r="AO569">
        <v>2.0000000000000001E-4</v>
      </c>
      <c r="AP569">
        <v>-3</v>
      </c>
      <c r="AQ569">
        <v>-1.61</v>
      </c>
      <c r="AR569">
        <v>-7.56</v>
      </c>
      <c r="AS569">
        <v>-5.36</v>
      </c>
      <c r="AT569">
        <v>-11.67</v>
      </c>
      <c r="AU569">
        <v>-22.81</v>
      </c>
      <c r="AV569">
        <v>1</v>
      </c>
      <c r="AW569">
        <v>1.58</v>
      </c>
      <c r="AX569">
        <v>38.21</v>
      </c>
      <c r="AY569">
        <v>3.01</v>
      </c>
      <c r="AZ569">
        <v>2.84</v>
      </c>
      <c r="BA569">
        <v>0.23</v>
      </c>
      <c r="BB569" t="s">
        <v>143</v>
      </c>
      <c r="BF569">
        <v>-1.1299999999999999</v>
      </c>
      <c r="BG569">
        <v>-2.65</v>
      </c>
      <c r="BH569">
        <v>-3.44</v>
      </c>
      <c r="BI569">
        <v>0.42</v>
      </c>
      <c r="BJ569">
        <v>20210821</v>
      </c>
      <c r="BK569">
        <v>20070808</v>
      </c>
      <c r="BL569">
        <v>43.48</v>
      </c>
      <c r="BM569" t="s">
        <v>120</v>
      </c>
      <c r="BN569" t="s">
        <v>120</v>
      </c>
      <c r="BO569">
        <v>2935.53</v>
      </c>
      <c r="BP569">
        <v>4.76</v>
      </c>
      <c r="BQ569">
        <v>495.15</v>
      </c>
      <c r="BR569">
        <v>87.15</v>
      </c>
      <c r="BS569">
        <v>80.16</v>
      </c>
      <c r="BT569">
        <v>2689.8</v>
      </c>
      <c r="BU569">
        <v>65.319999999999993</v>
      </c>
      <c r="BV569">
        <v>12.67</v>
      </c>
      <c r="BW569">
        <v>1883.83</v>
      </c>
      <c r="BX569">
        <v>291.67</v>
      </c>
      <c r="BY569">
        <v>1895.21</v>
      </c>
      <c r="BZ569">
        <v>44.75</v>
      </c>
      <c r="CA569">
        <v>5.66</v>
      </c>
      <c r="CB569">
        <v>66.11</v>
      </c>
      <c r="CC569">
        <v>342.23</v>
      </c>
      <c r="CD569">
        <v>253.8</v>
      </c>
      <c r="CE569">
        <v>41.24</v>
      </c>
      <c r="CF569">
        <v>1.19</v>
      </c>
      <c r="CG569">
        <v>41.13</v>
      </c>
      <c r="CH569">
        <v>29.05</v>
      </c>
      <c r="CI569">
        <v>25.33</v>
      </c>
      <c r="CJ569">
        <v>-0.13</v>
      </c>
      <c r="CK569">
        <v>26.15</v>
      </c>
      <c r="CL569">
        <v>324.45</v>
      </c>
      <c r="CM569">
        <v>12.47</v>
      </c>
      <c r="CN569">
        <v>-16.850000000000001</v>
      </c>
      <c r="CO569">
        <v>90608</v>
      </c>
      <c r="CP569">
        <v>18338</v>
      </c>
      <c r="CQ569" t="s">
        <v>3574</v>
      </c>
      <c r="CR569">
        <v>-14.02</v>
      </c>
      <c r="CS569">
        <v>30.85</v>
      </c>
      <c r="CT569">
        <v>0.42</v>
      </c>
      <c r="CU569">
        <v>16.63</v>
      </c>
      <c r="CV569">
        <v>0.61</v>
      </c>
      <c r="CW569">
        <v>7.14</v>
      </c>
      <c r="CX569" t="s">
        <v>2614</v>
      </c>
      <c r="CY569">
        <v>11.39</v>
      </c>
      <c r="CZ569">
        <v>0</v>
      </c>
      <c r="DA569">
        <v>1.52</v>
      </c>
      <c r="DB569">
        <v>7.46</v>
      </c>
      <c r="DC569">
        <v>0.28999999999999998</v>
      </c>
      <c r="DD569">
        <v>16.87</v>
      </c>
      <c r="DE569" t="s">
        <v>3575</v>
      </c>
      <c r="DF569">
        <v>25.84</v>
      </c>
      <c r="DG569">
        <v>12.05</v>
      </c>
      <c r="DH569">
        <v>7.4</v>
      </c>
      <c r="DI569" t="s">
        <v>120</v>
      </c>
      <c r="DJ569">
        <v>24778</v>
      </c>
      <c r="DK569">
        <v>2146</v>
      </c>
      <c r="DL569" t="s">
        <v>120</v>
      </c>
      <c r="DM569" t="s">
        <v>120</v>
      </c>
      <c r="DN569" t="s">
        <v>120</v>
      </c>
    </row>
    <row r="570" spans="1:118">
      <c r="A570" t="str">
        <f>"002148"</f>
        <v>002148</v>
      </c>
      <c r="B570" t="s">
        <v>3576</v>
      </c>
      <c r="C570">
        <v>-1.84</v>
      </c>
      <c r="D570">
        <v>-0.61</v>
      </c>
      <c r="E570">
        <v>0.2</v>
      </c>
      <c r="F570">
        <v>1565</v>
      </c>
      <c r="G570" t="s">
        <v>3577</v>
      </c>
      <c r="H570">
        <v>6564.32</v>
      </c>
      <c r="I570">
        <v>21.22</v>
      </c>
      <c r="J570" t="s">
        <v>120</v>
      </c>
      <c r="K570" t="s">
        <v>3578</v>
      </c>
      <c r="L570">
        <v>2.91</v>
      </c>
      <c r="M570">
        <v>4.79</v>
      </c>
      <c r="N570">
        <v>1.1299999999999999</v>
      </c>
      <c r="O570">
        <v>2.46</v>
      </c>
      <c r="P570">
        <v>5</v>
      </c>
      <c r="Q570">
        <v>-1.84</v>
      </c>
      <c r="R570">
        <v>4.79</v>
      </c>
      <c r="S570">
        <v>4.8899999999999997</v>
      </c>
      <c r="T570">
        <v>133911</v>
      </c>
      <c r="U570">
        <v>4.8</v>
      </c>
      <c r="V570">
        <v>4.88</v>
      </c>
      <c r="W570">
        <v>37.71</v>
      </c>
      <c r="X570" t="s">
        <v>1531</v>
      </c>
      <c r="Y570" t="s">
        <v>158</v>
      </c>
      <c r="Z570">
        <v>4.3</v>
      </c>
      <c r="AA570">
        <v>4.9000000000000004</v>
      </c>
      <c r="AB570">
        <v>62000</v>
      </c>
      <c r="AC570">
        <v>71911</v>
      </c>
      <c r="AD570">
        <v>0.86</v>
      </c>
      <c r="AE570">
        <v>2093</v>
      </c>
      <c r="AF570">
        <v>93</v>
      </c>
      <c r="AG570" t="s">
        <v>120</v>
      </c>
      <c r="AH570">
        <v>0.01</v>
      </c>
      <c r="AI570" t="s">
        <v>120</v>
      </c>
      <c r="AJ570">
        <v>4.5999999999999996</v>
      </c>
      <c r="AK570" t="s">
        <v>3579</v>
      </c>
      <c r="AL570">
        <v>7.0000000000000007E-2</v>
      </c>
      <c r="AM570">
        <v>2215</v>
      </c>
      <c r="AN570">
        <v>60</v>
      </c>
      <c r="AO570">
        <v>1.2999999999999999E-3</v>
      </c>
      <c r="AP570">
        <v>-1</v>
      </c>
      <c r="AQ570">
        <v>0.83</v>
      </c>
      <c r="AR570">
        <v>-0.42</v>
      </c>
      <c r="AS570">
        <v>6.69</v>
      </c>
      <c r="AT570">
        <v>10.62</v>
      </c>
      <c r="AU570">
        <v>10.11</v>
      </c>
      <c r="AV570">
        <v>1</v>
      </c>
      <c r="AW570">
        <v>3.11</v>
      </c>
      <c r="AX570">
        <v>75.28</v>
      </c>
      <c r="AY570">
        <v>63.87</v>
      </c>
      <c r="AZ570">
        <v>179.39</v>
      </c>
      <c r="BA570">
        <v>0.85</v>
      </c>
      <c r="BB570" t="s">
        <v>143</v>
      </c>
      <c r="BF570">
        <v>0.45</v>
      </c>
      <c r="BG570">
        <v>-2.04</v>
      </c>
      <c r="BH570">
        <v>-4.2</v>
      </c>
      <c r="BI570">
        <v>0</v>
      </c>
      <c r="BJ570">
        <v>20210906</v>
      </c>
      <c r="BK570">
        <v>20070810</v>
      </c>
      <c r="BL570">
        <v>5.71</v>
      </c>
      <c r="BM570" t="s">
        <v>120</v>
      </c>
      <c r="BN570" t="s">
        <v>120</v>
      </c>
      <c r="BO570">
        <v>12.85</v>
      </c>
      <c r="BP570">
        <v>4.79</v>
      </c>
      <c r="BQ570">
        <v>11.55</v>
      </c>
      <c r="BR570">
        <v>0.02</v>
      </c>
      <c r="BS570">
        <v>9.92</v>
      </c>
      <c r="BT570">
        <v>6.61</v>
      </c>
      <c r="BU570">
        <v>1.88</v>
      </c>
      <c r="BV570">
        <v>0</v>
      </c>
      <c r="BW570">
        <v>1</v>
      </c>
      <c r="BX570">
        <v>0.83</v>
      </c>
      <c r="BY570">
        <v>0</v>
      </c>
      <c r="BZ570">
        <v>0.23</v>
      </c>
      <c r="CA570">
        <v>0.1</v>
      </c>
      <c r="CB570">
        <v>2.36</v>
      </c>
      <c r="CC570">
        <v>1.1000000000000001</v>
      </c>
      <c r="CD570">
        <v>0.64</v>
      </c>
      <c r="CE570">
        <v>0.37</v>
      </c>
      <c r="CF570">
        <v>0.18</v>
      </c>
      <c r="CG570">
        <v>0.44</v>
      </c>
      <c r="CH570">
        <v>0.4</v>
      </c>
      <c r="CI570">
        <v>0.36</v>
      </c>
      <c r="CJ570">
        <v>-0.09</v>
      </c>
      <c r="CK570">
        <v>0.05</v>
      </c>
      <c r="CL570">
        <v>3.72</v>
      </c>
      <c r="CM570">
        <v>0.22</v>
      </c>
      <c r="CN570">
        <v>-1.06</v>
      </c>
      <c r="CO570">
        <v>38400</v>
      </c>
      <c r="CP570">
        <v>11201</v>
      </c>
      <c r="CQ570" t="s">
        <v>1920</v>
      </c>
      <c r="CR570">
        <v>343.9</v>
      </c>
      <c r="CS570">
        <v>29.07</v>
      </c>
      <c r="CT570">
        <v>2.37</v>
      </c>
      <c r="CU570">
        <v>122.33</v>
      </c>
      <c r="CV570">
        <v>24.88</v>
      </c>
      <c r="CW570">
        <v>0.2</v>
      </c>
      <c r="CX570" t="s">
        <v>679</v>
      </c>
      <c r="CY570">
        <v>2.02</v>
      </c>
      <c r="CZ570">
        <v>0</v>
      </c>
      <c r="DA570">
        <v>0.41</v>
      </c>
      <c r="DB570">
        <v>0.65</v>
      </c>
      <c r="DC570">
        <v>0.04</v>
      </c>
      <c r="DD570">
        <v>89.91</v>
      </c>
      <c r="DE570" t="s">
        <v>3197</v>
      </c>
      <c r="DF570">
        <v>42.26</v>
      </c>
      <c r="DG570">
        <v>33.54</v>
      </c>
      <c r="DH570">
        <v>32.99</v>
      </c>
      <c r="DI570">
        <v>0.06</v>
      </c>
      <c r="DJ570">
        <v>175</v>
      </c>
      <c r="DK570">
        <v>2148</v>
      </c>
      <c r="DL570" t="s">
        <v>120</v>
      </c>
      <c r="DM570" t="s">
        <v>120</v>
      </c>
      <c r="DN570" t="s">
        <v>120</v>
      </c>
    </row>
    <row r="571" spans="1:118">
      <c r="A571" t="str">
        <f>"002149"</f>
        <v>002149</v>
      </c>
      <c r="B571" t="s">
        <v>3580</v>
      </c>
      <c r="C571">
        <v>-3.25</v>
      </c>
      <c r="D571">
        <v>-0.14000000000000001</v>
      </c>
      <c r="E571">
        <v>-0.6</v>
      </c>
      <c r="F571">
        <v>2444</v>
      </c>
      <c r="G571" t="s">
        <v>3581</v>
      </c>
      <c r="H571">
        <v>39924.01</v>
      </c>
      <c r="I571">
        <v>93.63</v>
      </c>
      <c r="J571" t="s">
        <v>120</v>
      </c>
      <c r="K571" t="s">
        <v>3582</v>
      </c>
      <c r="L571">
        <v>4.1100000000000003</v>
      </c>
      <c r="M571">
        <v>19.350000000000001</v>
      </c>
      <c r="N571">
        <v>0.66</v>
      </c>
      <c r="O571">
        <v>2.75</v>
      </c>
      <c r="P571">
        <v>20.55</v>
      </c>
      <c r="Q571">
        <v>-3.25</v>
      </c>
      <c r="R571">
        <v>19.350000000000001</v>
      </c>
      <c r="S571">
        <v>19.88</v>
      </c>
      <c r="T571">
        <v>200493</v>
      </c>
      <c r="U571">
        <v>19.36</v>
      </c>
      <c r="V571">
        <v>20</v>
      </c>
      <c r="W571">
        <v>65.680000000000007</v>
      </c>
      <c r="X571" t="s">
        <v>1390</v>
      </c>
      <c r="Y571" t="s">
        <v>890</v>
      </c>
      <c r="Z571">
        <v>6</v>
      </c>
      <c r="AA571">
        <v>19.91</v>
      </c>
      <c r="AB571">
        <v>107721</v>
      </c>
      <c r="AC571">
        <v>92772</v>
      </c>
      <c r="AD571">
        <v>1.1599999999999999</v>
      </c>
      <c r="AE571">
        <v>113</v>
      </c>
      <c r="AF571">
        <v>228</v>
      </c>
      <c r="AG571" t="s">
        <v>120</v>
      </c>
      <c r="AH571">
        <v>0.02</v>
      </c>
      <c r="AI571" t="s">
        <v>120</v>
      </c>
      <c r="AJ571">
        <v>4.88</v>
      </c>
      <c r="AK571" t="s">
        <v>3583</v>
      </c>
      <c r="AL571">
        <v>-1.34</v>
      </c>
      <c r="AM571">
        <v>4160</v>
      </c>
      <c r="AN571">
        <v>48</v>
      </c>
      <c r="AO571">
        <v>1E-3</v>
      </c>
      <c r="AP571">
        <v>-1</v>
      </c>
      <c r="AQ571">
        <v>2.56</v>
      </c>
      <c r="AR571">
        <v>-5.62</v>
      </c>
      <c r="AS571">
        <v>-8.4600000000000009</v>
      </c>
      <c r="AT571">
        <v>18.059999999999999</v>
      </c>
      <c r="AU571">
        <v>6.67</v>
      </c>
      <c r="AV571">
        <v>11</v>
      </c>
      <c r="AW571">
        <v>6.41</v>
      </c>
      <c r="AX571">
        <v>64.09</v>
      </c>
      <c r="AY571">
        <v>71.5</v>
      </c>
      <c r="AZ571">
        <v>122.96</v>
      </c>
      <c r="BA571">
        <v>1.1599999999999999</v>
      </c>
      <c r="BB571" t="s">
        <v>143</v>
      </c>
      <c r="BF571">
        <v>-0.44</v>
      </c>
      <c r="BG571">
        <v>-2.67</v>
      </c>
      <c r="BH571">
        <v>-5.84</v>
      </c>
      <c r="BI571">
        <v>0</v>
      </c>
      <c r="BJ571">
        <v>20210913</v>
      </c>
      <c r="BK571">
        <v>20070810</v>
      </c>
      <c r="BL571">
        <v>4.88</v>
      </c>
      <c r="BM571" t="s">
        <v>120</v>
      </c>
      <c r="BN571" t="s">
        <v>120</v>
      </c>
      <c r="BO571">
        <v>55.29</v>
      </c>
      <c r="BP571">
        <v>19.350000000000001</v>
      </c>
      <c r="BQ571">
        <v>25.64</v>
      </c>
      <c r="BR571">
        <v>4.01</v>
      </c>
      <c r="BS571">
        <v>46.39</v>
      </c>
      <c r="BT571">
        <v>35.49</v>
      </c>
      <c r="BU571">
        <v>12.43</v>
      </c>
      <c r="BV571">
        <v>2.56</v>
      </c>
      <c r="BW571">
        <v>20.13</v>
      </c>
      <c r="BX571">
        <v>4.45</v>
      </c>
      <c r="BY571">
        <v>16.170000000000002</v>
      </c>
      <c r="BZ571">
        <v>8.4700000000000006</v>
      </c>
      <c r="CA571" t="s">
        <v>120</v>
      </c>
      <c r="CB571">
        <v>19.18</v>
      </c>
      <c r="CC571">
        <v>11.57</v>
      </c>
      <c r="CD571">
        <v>9.11</v>
      </c>
      <c r="CE571">
        <v>1.04</v>
      </c>
      <c r="CF571">
        <v>7.0000000000000007E-2</v>
      </c>
      <c r="CG571">
        <v>1.03</v>
      </c>
      <c r="CH571">
        <v>0.89</v>
      </c>
      <c r="CI571">
        <v>0.72</v>
      </c>
      <c r="CJ571">
        <v>-0.65</v>
      </c>
      <c r="CK571">
        <v>0.65</v>
      </c>
      <c r="CL571">
        <v>1.04</v>
      </c>
      <c r="CM571">
        <v>-1.98</v>
      </c>
      <c r="CN571">
        <v>-6.76</v>
      </c>
      <c r="CO571">
        <v>71281</v>
      </c>
      <c r="CP571">
        <v>4390</v>
      </c>
      <c r="CQ571" t="s">
        <v>3584</v>
      </c>
      <c r="CR571">
        <v>387.09</v>
      </c>
      <c r="CS571">
        <v>27.35</v>
      </c>
      <c r="CT571">
        <v>3.69</v>
      </c>
      <c r="CU571">
        <v>-47.66</v>
      </c>
      <c r="CV571">
        <v>8.16</v>
      </c>
      <c r="CW571">
        <v>0.75</v>
      </c>
      <c r="CX571" t="s">
        <v>3585</v>
      </c>
      <c r="CY571">
        <v>5.25</v>
      </c>
      <c r="CZ571">
        <v>0</v>
      </c>
      <c r="DA571">
        <v>3.93</v>
      </c>
      <c r="DB571">
        <v>0.21</v>
      </c>
      <c r="DC571">
        <v>-0.41</v>
      </c>
      <c r="DD571">
        <v>46.37</v>
      </c>
      <c r="DE571" t="s">
        <v>3586</v>
      </c>
      <c r="DF571">
        <v>21.28</v>
      </c>
      <c r="DG571">
        <v>8.9600000000000009</v>
      </c>
      <c r="DH571">
        <v>6.22</v>
      </c>
      <c r="DI571">
        <v>0.45</v>
      </c>
      <c r="DJ571">
        <v>1562</v>
      </c>
      <c r="DK571">
        <v>2149</v>
      </c>
      <c r="DL571" t="s">
        <v>120</v>
      </c>
      <c r="DM571" t="s">
        <v>120</v>
      </c>
      <c r="DN571" t="s">
        <v>120</v>
      </c>
    </row>
    <row r="572" spans="1:118">
      <c r="A572" t="str">
        <f>"002150"</f>
        <v>002150</v>
      </c>
      <c r="B572" t="s">
        <v>3587</v>
      </c>
      <c r="C572">
        <v>-0.68</v>
      </c>
      <c r="D572">
        <v>0</v>
      </c>
      <c r="E572">
        <v>0</v>
      </c>
      <c r="F572">
        <v>298</v>
      </c>
      <c r="G572" t="s">
        <v>3588</v>
      </c>
      <c r="H572">
        <v>1389.18</v>
      </c>
      <c r="I572">
        <v>0</v>
      </c>
      <c r="J572" t="s">
        <v>120</v>
      </c>
      <c r="K572" t="s">
        <v>2000</v>
      </c>
      <c r="L572">
        <v>0.66</v>
      </c>
      <c r="M572">
        <v>5.85</v>
      </c>
      <c r="N572">
        <v>1.05</v>
      </c>
      <c r="O572">
        <v>1.36</v>
      </c>
      <c r="P572">
        <v>5.97</v>
      </c>
      <c r="Q572">
        <v>-0.85</v>
      </c>
      <c r="R572">
        <v>5.84</v>
      </c>
      <c r="S572">
        <v>5.89</v>
      </c>
      <c r="T572">
        <v>23457</v>
      </c>
      <c r="U572">
        <v>5.86</v>
      </c>
      <c r="V572">
        <v>5.89</v>
      </c>
      <c r="W572">
        <v>19.97</v>
      </c>
      <c r="X572" t="s">
        <v>959</v>
      </c>
      <c r="Y572" t="s">
        <v>319</v>
      </c>
      <c r="Z572">
        <v>2.21</v>
      </c>
      <c r="AA572">
        <v>5.92</v>
      </c>
      <c r="AB572">
        <v>10044</v>
      </c>
      <c r="AC572">
        <v>13413</v>
      </c>
      <c r="AD572">
        <v>0.75</v>
      </c>
      <c r="AE572">
        <v>77</v>
      </c>
      <c r="AF572">
        <v>10</v>
      </c>
      <c r="AG572" t="s">
        <v>120</v>
      </c>
      <c r="AH572">
        <v>0</v>
      </c>
      <c r="AI572" t="s">
        <v>120</v>
      </c>
      <c r="AJ572">
        <v>3.55</v>
      </c>
      <c r="AK572" t="s">
        <v>3589</v>
      </c>
      <c r="AL572">
        <v>1.23</v>
      </c>
      <c r="AM572">
        <v>865</v>
      </c>
      <c r="AN572">
        <v>27</v>
      </c>
      <c r="AO572">
        <v>8.0000000000000004E-4</v>
      </c>
      <c r="AP572">
        <v>-1</v>
      </c>
      <c r="AQ572">
        <v>1.38</v>
      </c>
      <c r="AR572">
        <v>-1.51</v>
      </c>
      <c r="AS572">
        <v>4.84</v>
      </c>
      <c r="AT572">
        <v>-2.1800000000000002</v>
      </c>
      <c r="AU572">
        <v>-6.25</v>
      </c>
      <c r="AV572">
        <v>0</v>
      </c>
      <c r="AW572">
        <v>1.46</v>
      </c>
      <c r="AX572">
        <v>45</v>
      </c>
      <c r="AY572">
        <v>18.12</v>
      </c>
      <c r="AZ572">
        <v>15.81</v>
      </c>
      <c r="BA572">
        <v>0.39</v>
      </c>
      <c r="BB572" t="s">
        <v>240</v>
      </c>
      <c r="BF572">
        <v>0.55000000000000004</v>
      </c>
      <c r="BG572">
        <v>-0.68</v>
      </c>
      <c r="BH572">
        <v>-2.0099999999999998</v>
      </c>
      <c r="BI572">
        <v>0.17</v>
      </c>
      <c r="BJ572">
        <v>20210906</v>
      </c>
      <c r="BK572">
        <v>20070810</v>
      </c>
      <c r="BL572">
        <v>3.57</v>
      </c>
      <c r="BM572" t="s">
        <v>120</v>
      </c>
      <c r="BN572" t="s">
        <v>120</v>
      </c>
      <c r="BO572">
        <v>19.190000000000001</v>
      </c>
      <c r="BP572">
        <v>5.85</v>
      </c>
      <c r="BQ572">
        <v>13.84</v>
      </c>
      <c r="BR572">
        <v>1.23</v>
      </c>
      <c r="BS572">
        <v>21.44</v>
      </c>
      <c r="BT572">
        <v>14</v>
      </c>
      <c r="BU572">
        <v>4.24</v>
      </c>
      <c r="BV572">
        <v>0.41</v>
      </c>
      <c r="BW572">
        <v>4.0599999999999996</v>
      </c>
      <c r="BX572">
        <v>5</v>
      </c>
      <c r="BY572">
        <v>2.84</v>
      </c>
      <c r="BZ572">
        <v>3.05</v>
      </c>
      <c r="CA572">
        <v>0</v>
      </c>
      <c r="CB572">
        <v>3.41</v>
      </c>
      <c r="CC572">
        <v>8.17</v>
      </c>
      <c r="CD572">
        <v>6.53</v>
      </c>
      <c r="CE572">
        <v>0.84</v>
      </c>
      <c r="CF572">
        <v>0.01</v>
      </c>
      <c r="CG572">
        <v>0.84</v>
      </c>
      <c r="CH572">
        <v>0.63</v>
      </c>
      <c r="CI572">
        <v>0.52</v>
      </c>
      <c r="CJ572">
        <v>-0.04</v>
      </c>
      <c r="CK572">
        <v>0.51</v>
      </c>
      <c r="CL572">
        <v>5.9</v>
      </c>
      <c r="CM572">
        <v>-1.1299999999999999</v>
      </c>
      <c r="CN572">
        <v>-3.71</v>
      </c>
      <c r="CO572">
        <v>14121</v>
      </c>
      <c r="CP572">
        <v>11361</v>
      </c>
      <c r="CQ572" t="s">
        <v>3590</v>
      </c>
      <c r="CR572">
        <v>-24.49</v>
      </c>
      <c r="CS572">
        <v>30.34</v>
      </c>
      <c r="CT572">
        <v>1.51</v>
      </c>
      <c r="CU572">
        <v>-18.489999999999998</v>
      </c>
      <c r="CV572">
        <v>2.5499999999999998</v>
      </c>
      <c r="CW572">
        <v>2.5499999999999998</v>
      </c>
      <c r="CX572" t="s">
        <v>373</v>
      </c>
      <c r="CY572">
        <v>3.88</v>
      </c>
      <c r="CZ572">
        <v>0</v>
      </c>
      <c r="DA572">
        <v>0.96</v>
      </c>
      <c r="DB572">
        <v>1.65</v>
      </c>
      <c r="DC572">
        <v>-0.32</v>
      </c>
      <c r="DD572">
        <v>72.13</v>
      </c>
      <c r="DE572" t="s">
        <v>3591</v>
      </c>
      <c r="DF572">
        <v>20.04</v>
      </c>
      <c r="DG572">
        <v>10.27</v>
      </c>
      <c r="DH572">
        <v>6.39</v>
      </c>
      <c r="DI572">
        <v>0.05</v>
      </c>
      <c r="DJ572">
        <v>1367</v>
      </c>
      <c r="DK572">
        <v>2150</v>
      </c>
      <c r="DL572" t="s">
        <v>120</v>
      </c>
      <c r="DM572" t="s">
        <v>120</v>
      </c>
      <c r="DN572" t="s">
        <v>120</v>
      </c>
    </row>
    <row r="573" spans="1:118">
      <c r="A573" t="str">
        <f>"002151"</f>
        <v>002151</v>
      </c>
      <c r="B573" t="s">
        <v>3592</v>
      </c>
      <c r="C573">
        <v>2.1</v>
      </c>
      <c r="D573">
        <v>0</v>
      </c>
      <c r="E573">
        <v>0.02</v>
      </c>
      <c r="F573">
        <v>1206</v>
      </c>
      <c r="G573" t="s">
        <v>3593</v>
      </c>
      <c r="H573">
        <v>64819.83</v>
      </c>
      <c r="I573">
        <v>80.959999999999994</v>
      </c>
      <c r="J573" t="s">
        <v>120</v>
      </c>
      <c r="K573" t="s">
        <v>3594</v>
      </c>
      <c r="L573">
        <v>3.71</v>
      </c>
      <c r="M573">
        <v>42.38</v>
      </c>
      <c r="N573">
        <v>2.08</v>
      </c>
      <c r="O573">
        <v>5.47</v>
      </c>
      <c r="P573">
        <v>43.78</v>
      </c>
      <c r="Q573">
        <v>-0.22</v>
      </c>
      <c r="R573">
        <v>41.42</v>
      </c>
      <c r="S573">
        <v>41.52</v>
      </c>
      <c r="T573">
        <v>151073</v>
      </c>
      <c r="U573">
        <v>42.38</v>
      </c>
      <c r="V573">
        <v>41.51</v>
      </c>
      <c r="W573">
        <v>96.66</v>
      </c>
      <c r="X573" t="s">
        <v>462</v>
      </c>
      <c r="Y573" t="s">
        <v>158</v>
      </c>
      <c r="Z573">
        <v>5.69</v>
      </c>
      <c r="AA573">
        <v>42.91</v>
      </c>
      <c r="AB573">
        <v>71710</v>
      </c>
      <c r="AC573">
        <v>79363</v>
      </c>
      <c r="AD573">
        <v>0.9</v>
      </c>
      <c r="AE573">
        <v>87</v>
      </c>
      <c r="AF573">
        <v>3</v>
      </c>
      <c r="AG573" t="s">
        <v>120</v>
      </c>
      <c r="AH573">
        <v>0.01</v>
      </c>
      <c r="AI573" t="s">
        <v>120</v>
      </c>
      <c r="AJ573">
        <v>4.08</v>
      </c>
      <c r="AK573" t="s">
        <v>3595</v>
      </c>
      <c r="AL573">
        <v>4.01</v>
      </c>
      <c r="AM573">
        <v>3909</v>
      </c>
      <c r="AN573">
        <v>39</v>
      </c>
      <c r="AO573">
        <v>8.9999999999999998E-4</v>
      </c>
      <c r="AP573">
        <v>2</v>
      </c>
      <c r="AQ573">
        <v>0.48</v>
      </c>
      <c r="AR573">
        <v>0.71</v>
      </c>
      <c r="AS573">
        <v>-6.21</v>
      </c>
      <c r="AT573">
        <v>-3.11</v>
      </c>
      <c r="AU573">
        <v>-16.75</v>
      </c>
      <c r="AV573">
        <v>1</v>
      </c>
      <c r="AW573">
        <v>4.6399999999999997</v>
      </c>
      <c r="AX573">
        <v>63.56</v>
      </c>
      <c r="AY573">
        <v>109.25</v>
      </c>
      <c r="AZ573">
        <v>145.08000000000001</v>
      </c>
      <c r="BA573">
        <v>0.17</v>
      </c>
      <c r="BB573" t="s">
        <v>143</v>
      </c>
      <c r="BF573">
        <v>3.36</v>
      </c>
      <c r="BG573">
        <v>2.0699999999999998</v>
      </c>
      <c r="BH573">
        <v>-3.2</v>
      </c>
      <c r="BI573">
        <v>2.3199999999999998</v>
      </c>
      <c r="BJ573">
        <v>20210830</v>
      </c>
      <c r="BK573">
        <v>20070813</v>
      </c>
      <c r="BL573">
        <v>5.12</v>
      </c>
      <c r="BM573" t="s">
        <v>120</v>
      </c>
      <c r="BN573" t="s">
        <v>120</v>
      </c>
      <c r="BO573">
        <v>71.290000000000006</v>
      </c>
      <c r="BP573">
        <v>42.37</v>
      </c>
      <c r="BQ573">
        <v>43.26</v>
      </c>
      <c r="BR573">
        <v>4.03</v>
      </c>
      <c r="BS573">
        <v>33.67</v>
      </c>
      <c r="BT573">
        <v>37.11</v>
      </c>
      <c r="BU573">
        <v>8.1</v>
      </c>
      <c r="BV573">
        <v>5.3</v>
      </c>
      <c r="BW573">
        <v>18.37</v>
      </c>
      <c r="BX573">
        <v>12.14</v>
      </c>
      <c r="BY573">
        <v>10.43</v>
      </c>
      <c r="BZ573">
        <v>9.5500000000000007</v>
      </c>
      <c r="CA573" t="s">
        <v>120</v>
      </c>
      <c r="CB573">
        <v>38.54</v>
      </c>
      <c r="CC573">
        <v>19.63</v>
      </c>
      <c r="CD573">
        <v>13.98</v>
      </c>
      <c r="CE573">
        <v>1.24</v>
      </c>
      <c r="CF573">
        <v>-0.01</v>
      </c>
      <c r="CG573">
        <v>1.25</v>
      </c>
      <c r="CH573">
        <v>1.04</v>
      </c>
      <c r="CI573">
        <v>1.1200000000000001</v>
      </c>
      <c r="CJ573">
        <v>0.87</v>
      </c>
      <c r="CK573">
        <v>0.89</v>
      </c>
      <c r="CL573">
        <v>-0.6</v>
      </c>
      <c r="CM573">
        <v>0.15</v>
      </c>
      <c r="CN573">
        <v>-3.95</v>
      </c>
      <c r="CO573">
        <v>141360</v>
      </c>
      <c r="CP573">
        <v>2303</v>
      </c>
      <c r="CQ573" t="s">
        <v>3596</v>
      </c>
      <c r="CR573">
        <v>74.83</v>
      </c>
      <c r="CS573">
        <v>22.43</v>
      </c>
      <c r="CT573">
        <v>4.97</v>
      </c>
      <c r="CU573">
        <v>1423.58</v>
      </c>
      <c r="CV573">
        <v>11.06</v>
      </c>
      <c r="CW573">
        <v>0</v>
      </c>
      <c r="CX573" t="s">
        <v>3361</v>
      </c>
      <c r="CY573">
        <v>8.52</v>
      </c>
      <c r="CZ573">
        <v>8.52</v>
      </c>
      <c r="DA573">
        <v>7.52</v>
      </c>
      <c r="DB573">
        <v>-0.12</v>
      </c>
      <c r="DC573">
        <v>0.03</v>
      </c>
      <c r="DD573">
        <v>60.69</v>
      </c>
      <c r="DE573" t="s">
        <v>3597</v>
      </c>
      <c r="DF573">
        <v>28.76</v>
      </c>
      <c r="DG573">
        <v>6.34</v>
      </c>
      <c r="DH573">
        <v>5.72</v>
      </c>
      <c r="DI573">
        <v>1.31</v>
      </c>
      <c r="DJ573">
        <v>5030</v>
      </c>
      <c r="DK573">
        <v>2151</v>
      </c>
      <c r="DL573" t="s">
        <v>120</v>
      </c>
      <c r="DM573" t="s">
        <v>120</v>
      </c>
      <c r="DN573" t="s">
        <v>120</v>
      </c>
    </row>
    <row r="574" spans="1:118">
      <c r="A574" t="str">
        <f>"002152"</f>
        <v>002152</v>
      </c>
      <c r="B574" t="s">
        <v>3598</v>
      </c>
      <c r="C574">
        <v>-2.21</v>
      </c>
      <c r="D574">
        <v>0</v>
      </c>
      <c r="E574">
        <v>-0.38</v>
      </c>
      <c r="F574">
        <v>1720</v>
      </c>
      <c r="G574" t="s">
        <v>3599</v>
      </c>
      <c r="H574">
        <v>20874.66</v>
      </c>
      <c r="I574">
        <v>76.59</v>
      </c>
      <c r="J574" t="s">
        <v>120</v>
      </c>
      <c r="K574" t="s">
        <v>3600</v>
      </c>
      <c r="L574">
        <v>0.84</v>
      </c>
      <c r="M574">
        <v>10.16</v>
      </c>
      <c r="N574">
        <v>0.85</v>
      </c>
      <c r="O574">
        <v>0.57999999999999996</v>
      </c>
      <c r="P574">
        <v>10.45</v>
      </c>
      <c r="Q574">
        <v>-2.41</v>
      </c>
      <c r="R574">
        <v>10.14</v>
      </c>
      <c r="S574">
        <v>10.35</v>
      </c>
      <c r="T574">
        <v>203338</v>
      </c>
      <c r="U574">
        <v>10.16</v>
      </c>
      <c r="V574">
        <v>10.39</v>
      </c>
      <c r="W574">
        <v>33.68</v>
      </c>
      <c r="X574" t="s">
        <v>238</v>
      </c>
      <c r="Y574" t="s">
        <v>547</v>
      </c>
      <c r="Z574">
        <v>2.98</v>
      </c>
      <c r="AA574">
        <v>10.27</v>
      </c>
      <c r="AB574">
        <v>124151</v>
      </c>
      <c r="AC574">
        <v>79187</v>
      </c>
      <c r="AD574">
        <v>1.57</v>
      </c>
      <c r="AE574">
        <v>2018</v>
      </c>
      <c r="AF574">
        <v>600</v>
      </c>
      <c r="AG574" t="s">
        <v>120</v>
      </c>
      <c r="AH574">
        <v>0.01</v>
      </c>
      <c r="AI574" t="s">
        <v>120</v>
      </c>
      <c r="AJ574">
        <v>24.08</v>
      </c>
      <c r="AK574" t="s">
        <v>3601</v>
      </c>
      <c r="AL574">
        <v>-0.3</v>
      </c>
      <c r="AM574">
        <v>3511</v>
      </c>
      <c r="AN574">
        <v>58</v>
      </c>
      <c r="AO574">
        <v>2.0000000000000001E-4</v>
      </c>
      <c r="AP574">
        <v>-3</v>
      </c>
      <c r="AQ574">
        <v>-1.1399999999999999</v>
      </c>
      <c r="AR574">
        <v>-5.4</v>
      </c>
      <c r="AS574">
        <v>-1.17</v>
      </c>
      <c r="AT574">
        <v>-16.03</v>
      </c>
      <c r="AU574">
        <v>-3.51</v>
      </c>
      <c r="AV574">
        <v>3</v>
      </c>
      <c r="AW574">
        <v>1.8</v>
      </c>
      <c r="AX574">
        <v>45.58</v>
      </c>
      <c r="AY574">
        <v>33.71</v>
      </c>
      <c r="AZ574">
        <v>36.840000000000003</v>
      </c>
      <c r="BA574">
        <v>0.55000000000000004</v>
      </c>
      <c r="BB574" t="s">
        <v>143</v>
      </c>
      <c r="BF574">
        <v>-1.19</v>
      </c>
      <c r="BG574">
        <v>-1.84</v>
      </c>
      <c r="BH574">
        <v>-2.78</v>
      </c>
      <c r="BI574">
        <v>0.2</v>
      </c>
      <c r="BJ574">
        <v>20210913</v>
      </c>
      <c r="BK574">
        <v>20070813</v>
      </c>
      <c r="BL574">
        <v>24.83</v>
      </c>
      <c r="BM574" t="s">
        <v>120</v>
      </c>
      <c r="BN574" t="s">
        <v>120</v>
      </c>
      <c r="BO574">
        <v>153.41</v>
      </c>
      <c r="BP574">
        <v>10.15</v>
      </c>
      <c r="BQ574">
        <v>105.76</v>
      </c>
      <c r="BR574">
        <v>10.38</v>
      </c>
      <c r="BS574">
        <v>24.29</v>
      </c>
      <c r="BT574">
        <v>106.32</v>
      </c>
      <c r="BU574">
        <v>15.51</v>
      </c>
      <c r="BV574">
        <v>2.13</v>
      </c>
      <c r="BW574">
        <v>36.28</v>
      </c>
      <c r="BX574">
        <v>57.51</v>
      </c>
      <c r="BY574">
        <v>16.649999999999999</v>
      </c>
      <c r="BZ574">
        <v>17.649999999999999</v>
      </c>
      <c r="CA574" t="s">
        <v>120</v>
      </c>
      <c r="CB574">
        <v>27.34</v>
      </c>
      <c r="CC574">
        <v>27.34</v>
      </c>
      <c r="CD574">
        <v>16.350000000000001</v>
      </c>
      <c r="CE574">
        <v>5.17</v>
      </c>
      <c r="CF574">
        <v>0.08</v>
      </c>
      <c r="CG574">
        <v>5.21</v>
      </c>
      <c r="CH574">
        <v>4.46</v>
      </c>
      <c r="CI574">
        <v>3.75</v>
      </c>
      <c r="CJ574">
        <v>-0.23</v>
      </c>
      <c r="CK574">
        <v>3.29</v>
      </c>
      <c r="CL574">
        <v>47.24</v>
      </c>
      <c r="CM574">
        <v>-4.18</v>
      </c>
      <c r="CN574">
        <v>-8.5500000000000007</v>
      </c>
      <c r="CO574">
        <v>118578</v>
      </c>
      <c r="CP574">
        <v>9546</v>
      </c>
      <c r="CQ574" t="s">
        <v>3602</v>
      </c>
      <c r="CR574">
        <v>21.04</v>
      </c>
      <c r="CS574">
        <v>10.51</v>
      </c>
      <c r="CT574">
        <v>2.39</v>
      </c>
      <c r="CU574">
        <v>-60.37</v>
      </c>
      <c r="CV574">
        <v>9.23</v>
      </c>
      <c r="CW574">
        <v>1.44</v>
      </c>
      <c r="CX574" t="s">
        <v>1091</v>
      </c>
      <c r="CY574">
        <v>4.26</v>
      </c>
      <c r="CZ574">
        <v>0</v>
      </c>
      <c r="DA574">
        <v>1.1000000000000001</v>
      </c>
      <c r="DB574">
        <v>1.9</v>
      </c>
      <c r="DC574">
        <v>-0.17</v>
      </c>
      <c r="DD574">
        <v>68.94</v>
      </c>
      <c r="DE574" t="s">
        <v>1130</v>
      </c>
      <c r="DF574">
        <v>40.200000000000003</v>
      </c>
      <c r="DG574">
        <v>18.93</v>
      </c>
      <c r="DH574">
        <v>13.7</v>
      </c>
      <c r="DI574">
        <v>2.23</v>
      </c>
      <c r="DJ574">
        <v>26438</v>
      </c>
      <c r="DK574">
        <v>2152</v>
      </c>
      <c r="DL574" t="s">
        <v>120</v>
      </c>
      <c r="DM574" t="s">
        <v>120</v>
      </c>
      <c r="DN574" t="s">
        <v>120</v>
      </c>
    </row>
    <row r="575" spans="1:118">
      <c r="A575" t="str">
        <f>"002153"</f>
        <v>002153</v>
      </c>
      <c r="B575" t="s">
        <v>3603</v>
      </c>
      <c r="C575">
        <v>1.2</v>
      </c>
      <c r="D575">
        <v>-0.27</v>
      </c>
      <c r="E575">
        <v>-0.17</v>
      </c>
      <c r="F575">
        <v>4813</v>
      </c>
      <c r="G575" t="s">
        <v>3604</v>
      </c>
      <c r="H575">
        <v>10825.9</v>
      </c>
      <c r="I575">
        <v>35.770000000000003</v>
      </c>
      <c r="J575" t="s">
        <v>120</v>
      </c>
      <c r="K575" t="s">
        <v>3605</v>
      </c>
      <c r="L575">
        <v>0.7</v>
      </c>
      <c r="M575">
        <v>17.690000000000001</v>
      </c>
      <c r="N575">
        <v>0.77</v>
      </c>
      <c r="O575">
        <v>1.66</v>
      </c>
      <c r="P575">
        <v>17.77</v>
      </c>
      <c r="Q575">
        <v>-1.95</v>
      </c>
      <c r="R575">
        <v>17.14</v>
      </c>
      <c r="S575">
        <v>17.45</v>
      </c>
      <c r="T575">
        <v>61727</v>
      </c>
      <c r="U575">
        <v>17.7</v>
      </c>
      <c r="V575">
        <v>17.48</v>
      </c>
      <c r="W575">
        <v>221.59</v>
      </c>
      <c r="X575" t="s">
        <v>141</v>
      </c>
      <c r="Y575" t="s">
        <v>158</v>
      </c>
      <c r="Z575">
        <v>3.6</v>
      </c>
      <c r="AA575">
        <v>17.54</v>
      </c>
      <c r="AB575">
        <v>28482</v>
      </c>
      <c r="AC575">
        <v>33245</v>
      </c>
      <c r="AD575">
        <v>0.86</v>
      </c>
      <c r="AE575">
        <v>78</v>
      </c>
      <c r="AF575">
        <v>218</v>
      </c>
      <c r="AG575" t="s">
        <v>120</v>
      </c>
      <c r="AH575">
        <v>0</v>
      </c>
      <c r="AI575" t="s">
        <v>120</v>
      </c>
      <c r="AJ575">
        <v>8.7899999999999991</v>
      </c>
      <c r="AK575" t="s">
        <v>3606</v>
      </c>
      <c r="AL575">
        <v>3.12</v>
      </c>
      <c r="AM575">
        <v>2621</v>
      </c>
      <c r="AN575">
        <v>24</v>
      </c>
      <c r="AO575">
        <v>2.9999999999999997E-4</v>
      </c>
      <c r="AP575">
        <v>1</v>
      </c>
      <c r="AQ575">
        <v>-2.02</v>
      </c>
      <c r="AR575">
        <v>-0.34</v>
      </c>
      <c r="AS575">
        <v>-2.91</v>
      </c>
      <c r="AT575">
        <v>-27.41</v>
      </c>
      <c r="AU575">
        <v>-20.239999999999998</v>
      </c>
      <c r="AV575">
        <v>2</v>
      </c>
      <c r="AW575">
        <v>1.45</v>
      </c>
      <c r="AX575">
        <v>28.34</v>
      </c>
      <c r="AY575" t="s">
        <v>120</v>
      </c>
      <c r="AZ575" t="s">
        <v>120</v>
      </c>
      <c r="BA575">
        <v>0.53</v>
      </c>
      <c r="BB575" t="s">
        <v>143</v>
      </c>
      <c r="BF575">
        <v>0.33</v>
      </c>
      <c r="BG575">
        <v>1.38</v>
      </c>
      <c r="BH575">
        <v>-0.45</v>
      </c>
      <c r="BI575">
        <v>3.21</v>
      </c>
      <c r="BJ575">
        <v>20210827</v>
      </c>
      <c r="BK575">
        <v>20070813</v>
      </c>
      <c r="BL575">
        <v>15</v>
      </c>
      <c r="BM575" t="s">
        <v>120</v>
      </c>
      <c r="BN575" t="s">
        <v>120</v>
      </c>
      <c r="BO575">
        <v>107.99</v>
      </c>
      <c r="BP575">
        <v>17.690000000000001</v>
      </c>
      <c r="BQ575">
        <v>86.47</v>
      </c>
      <c r="BR575">
        <v>6.84</v>
      </c>
      <c r="BS575">
        <v>13.59</v>
      </c>
      <c r="BT575">
        <v>64.459999999999994</v>
      </c>
      <c r="BU575">
        <v>2.91</v>
      </c>
      <c r="BV575">
        <v>9.0299999999999994</v>
      </c>
      <c r="BW575">
        <v>13.6</v>
      </c>
      <c r="BX575">
        <v>49.14</v>
      </c>
      <c r="BY575">
        <v>3.83</v>
      </c>
      <c r="BZ575">
        <v>6.31</v>
      </c>
      <c r="CA575" t="s">
        <v>120</v>
      </c>
      <c r="CB575">
        <v>39.770000000000003</v>
      </c>
      <c r="CC575">
        <v>13.9</v>
      </c>
      <c r="CD575">
        <v>7.97</v>
      </c>
      <c r="CE575">
        <v>0.77</v>
      </c>
      <c r="CF575">
        <v>-7.0000000000000007E-2</v>
      </c>
      <c r="CG575">
        <v>0.8</v>
      </c>
      <c r="CH575">
        <v>0.65</v>
      </c>
      <c r="CI575">
        <v>0.6</v>
      </c>
      <c r="CJ575">
        <v>0.21</v>
      </c>
      <c r="CK575">
        <v>0.56000000000000005</v>
      </c>
      <c r="CL575">
        <v>29.38</v>
      </c>
      <c r="CM575">
        <v>-1.37</v>
      </c>
      <c r="CN575">
        <v>-2.04</v>
      </c>
      <c r="CO575">
        <v>16725</v>
      </c>
      <c r="CP575">
        <v>25406</v>
      </c>
      <c r="CQ575" t="s">
        <v>3607</v>
      </c>
      <c r="CR575">
        <v>3.3</v>
      </c>
      <c r="CS575">
        <v>1.81</v>
      </c>
      <c r="CT575">
        <v>3.07</v>
      </c>
      <c r="CU575">
        <v>-194.23</v>
      </c>
      <c r="CV575">
        <v>19.079999999999998</v>
      </c>
      <c r="CW575">
        <v>0.16</v>
      </c>
      <c r="CX575" t="s">
        <v>145</v>
      </c>
      <c r="CY575">
        <v>5.77</v>
      </c>
      <c r="CZ575">
        <v>0</v>
      </c>
      <c r="DA575">
        <v>2.65</v>
      </c>
      <c r="DB575">
        <v>1.96</v>
      </c>
      <c r="DC575">
        <v>-0.09</v>
      </c>
      <c r="DD575">
        <v>80.069999999999993</v>
      </c>
      <c r="DE575" t="s">
        <v>3608</v>
      </c>
      <c r="DF575">
        <v>42.65</v>
      </c>
      <c r="DG575">
        <v>5.54</v>
      </c>
      <c r="DH575">
        <v>4.3</v>
      </c>
      <c r="DI575">
        <v>1.46</v>
      </c>
      <c r="DJ575">
        <v>5291</v>
      </c>
      <c r="DK575">
        <v>2153</v>
      </c>
      <c r="DL575" t="s">
        <v>120</v>
      </c>
      <c r="DM575" t="s">
        <v>120</v>
      </c>
      <c r="DN575" t="s">
        <v>120</v>
      </c>
    </row>
    <row r="576" spans="1:118">
      <c r="A576" t="str">
        <f>"002154"</f>
        <v>002154</v>
      </c>
      <c r="B576" t="s">
        <v>3609</v>
      </c>
      <c r="C576">
        <v>-2.6</v>
      </c>
      <c r="D576">
        <v>-0.17</v>
      </c>
      <c r="E576">
        <v>0.69</v>
      </c>
      <c r="F576">
        <v>1173</v>
      </c>
      <c r="G576" t="s">
        <v>3610</v>
      </c>
      <c r="H576">
        <v>19395.21</v>
      </c>
      <c r="I576">
        <v>59.16</v>
      </c>
      <c r="J576" t="s">
        <v>120</v>
      </c>
      <c r="K576" t="s">
        <v>3611</v>
      </c>
      <c r="L576">
        <v>3.09</v>
      </c>
      <c r="M576">
        <v>5.61</v>
      </c>
      <c r="N576">
        <v>1.77</v>
      </c>
      <c r="O576">
        <v>1.22</v>
      </c>
      <c r="P576">
        <v>5.83</v>
      </c>
      <c r="Q576">
        <v>-5.21</v>
      </c>
      <c r="R576">
        <v>5.46</v>
      </c>
      <c r="S576">
        <v>5.8</v>
      </c>
      <c r="T576">
        <v>344057</v>
      </c>
      <c r="U576">
        <v>5.61</v>
      </c>
      <c r="V576">
        <v>5.76</v>
      </c>
      <c r="W576">
        <v>13.04</v>
      </c>
      <c r="X576" t="s">
        <v>2806</v>
      </c>
      <c r="Y576" t="s">
        <v>585</v>
      </c>
      <c r="Z576">
        <v>6.42</v>
      </c>
      <c r="AA576">
        <v>5.64</v>
      </c>
      <c r="AB576">
        <v>208059</v>
      </c>
      <c r="AC576">
        <v>135998</v>
      </c>
      <c r="AD576">
        <v>1.53</v>
      </c>
      <c r="AE576">
        <v>813</v>
      </c>
      <c r="AF576">
        <v>386</v>
      </c>
      <c r="AG576" t="s">
        <v>120</v>
      </c>
      <c r="AH576">
        <v>0.01</v>
      </c>
      <c r="AI576" t="s">
        <v>120</v>
      </c>
      <c r="AJ576">
        <v>11.12</v>
      </c>
      <c r="AK576" t="s">
        <v>3612</v>
      </c>
      <c r="AL576">
        <v>-0.69</v>
      </c>
      <c r="AM576">
        <v>3198</v>
      </c>
      <c r="AN576">
        <v>108</v>
      </c>
      <c r="AO576">
        <v>1E-3</v>
      </c>
      <c r="AP576">
        <v>-3</v>
      </c>
      <c r="AQ576">
        <v>-2.64</v>
      </c>
      <c r="AR576">
        <v>-9.36</v>
      </c>
      <c r="AS576">
        <v>0.28000000000000003</v>
      </c>
      <c r="AT576">
        <v>1.34</v>
      </c>
      <c r="AU576">
        <v>76.02</v>
      </c>
      <c r="AV576">
        <v>7</v>
      </c>
      <c r="AW576">
        <v>3.84</v>
      </c>
      <c r="AX576">
        <v>73.540000000000006</v>
      </c>
      <c r="AY576">
        <v>14.04</v>
      </c>
      <c r="AZ576">
        <v>19.63</v>
      </c>
      <c r="BA576">
        <v>0.9</v>
      </c>
      <c r="BB576" t="s">
        <v>143</v>
      </c>
      <c r="BF576">
        <v>-2.13</v>
      </c>
      <c r="BG576">
        <v>-3.28</v>
      </c>
      <c r="BH576">
        <v>-3.77</v>
      </c>
      <c r="BI576">
        <v>2.75</v>
      </c>
      <c r="BJ576">
        <v>20210821</v>
      </c>
      <c r="BK576">
        <v>20070816</v>
      </c>
      <c r="BL576">
        <v>12.18</v>
      </c>
      <c r="BM576" t="s">
        <v>120</v>
      </c>
      <c r="BN576" t="s">
        <v>120</v>
      </c>
      <c r="BO576">
        <v>51.5</v>
      </c>
      <c r="BP576">
        <v>5.6</v>
      </c>
      <c r="BQ576">
        <v>34.18</v>
      </c>
      <c r="BR576">
        <v>0.9</v>
      </c>
      <c r="BS576">
        <v>31.9</v>
      </c>
      <c r="BT576">
        <v>30.25</v>
      </c>
      <c r="BU576">
        <v>4.66</v>
      </c>
      <c r="BV576">
        <v>2.2200000000000002</v>
      </c>
      <c r="BW576">
        <v>14.58</v>
      </c>
      <c r="BX576">
        <v>7.97</v>
      </c>
      <c r="BY576">
        <v>9.93</v>
      </c>
      <c r="BZ576">
        <v>5.71</v>
      </c>
      <c r="CA576">
        <v>0.06</v>
      </c>
      <c r="CB576">
        <v>2.87</v>
      </c>
      <c r="CC576">
        <v>19.75</v>
      </c>
      <c r="CD576">
        <v>6.53</v>
      </c>
      <c r="CE576">
        <v>3.32</v>
      </c>
      <c r="CF576">
        <v>0.08</v>
      </c>
      <c r="CG576">
        <v>3.3</v>
      </c>
      <c r="CH576">
        <v>2.62</v>
      </c>
      <c r="CI576">
        <v>2.62</v>
      </c>
      <c r="CJ576">
        <v>-0.15</v>
      </c>
      <c r="CK576">
        <v>2.25</v>
      </c>
      <c r="CL576">
        <v>16.940000000000001</v>
      </c>
      <c r="CM576">
        <v>1.0900000000000001</v>
      </c>
      <c r="CN576">
        <v>0.96</v>
      </c>
      <c r="CO576">
        <v>71517</v>
      </c>
      <c r="CP576">
        <v>12520</v>
      </c>
      <c r="CQ576" t="s">
        <v>3365</v>
      </c>
      <c r="CR576">
        <v>125.63</v>
      </c>
      <c r="CS576">
        <v>43.85</v>
      </c>
      <c r="CT576">
        <v>2</v>
      </c>
      <c r="CU576">
        <v>62.7</v>
      </c>
      <c r="CV576">
        <v>3.46</v>
      </c>
      <c r="CW576">
        <v>3.55</v>
      </c>
      <c r="CX576" t="s">
        <v>3361</v>
      </c>
      <c r="CY576">
        <v>2.81</v>
      </c>
      <c r="CZ576">
        <v>0</v>
      </c>
      <c r="DA576">
        <v>0.24</v>
      </c>
      <c r="DB576">
        <v>1.39</v>
      </c>
      <c r="DC576">
        <v>0.09</v>
      </c>
      <c r="DD576">
        <v>66.36</v>
      </c>
      <c r="DE576" t="s">
        <v>3613</v>
      </c>
      <c r="DF576">
        <v>66.94</v>
      </c>
      <c r="DG576">
        <v>16.829999999999998</v>
      </c>
      <c r="DH576">
        <v>13.26</v>
      </c>
      <c r="DI576">
        <v>0.3</v>
      </c>
      <c r="DJ576">
        <v>7255</v>
      </c>
      <c r="DK576">
        <v>2154</v>
      </c>
      <c r="DL576" t="s">
        <v>120</v>
      </c>
      <c r="DM576" t="s">
        <v>120</v>
      </c>
      <c r="DN576" t="s">
        <v>120</v>
      </c>
    </row>
    <row r="577" spans="1:118">
      <c r="A577" t="str">
        <f>"002155"</f>
        <v>002155</v>
      </c>
      <c r="B577" t="s">
        <v>3614</v>
      </c>
      <c r="C577">
        <v>-8.58</v>
      </c>
      <c r="D577">
        <v>0.14000000000000001</v>
      </c>
      <c r="E577">
        <v>0</v>
      </c>
      <c r="F577">
        <v>8845</v>
      </c>
      <c r="G577" t="s">
        <v>3615</v>
      </c>
      <c r="H577">
        <v>134539.66</v>
      </c>
      <c r="I577">
        <v>646.84</v>
      </c>
      <c r="J577" t="s">
        <v>120</v>
      </c>
      <c r="K577" t="s">
        <v>3616</v>
      </c>
      <c r="L577">
        <v>7.57</v>
      </c>
      <c r="M577">
        <v>14.07</v>
      </c>
      <c r="N577">
        <v>0.9</v>
      </c>
      <c r="O577">
        <v>2.5299999999999998</v>
      </c>
      <c r="P577">
        <v>15.78</v>
      </c>
      <c r="Q577">
        <v>-9.36</v>
      </c>
      <c r="R577">
        <v>13.95</v>
      </c>
      <c r="S577">
        <v>15.39</v>
      </c>
      <c r="T577">
        <v>909437</v>
      </c>
      <c r="U577">
        <v>14.08</v>
      </c>
      <c r="V577">
        <v>15.39</v>
      </c>
      <c r="W577">
        <v>46.62</v>
      </c>
      <c r="X577" t="s">
        <v>855</v>
      </c>
      <c r="Y577" t="s">
        <v>594</v>
      </c>
      <c r="Z577">
        <v>11.89</v>
      </c>
      <c r="AA577">
        <v>14.79</v>
      </c>
      <c r="AB577">
        <v>490733</v>
      </c>
      <c r="AC577">
        <v>418704</v>
      </c>
      <c r="AD577">
        <v>1.17</v>
      </c>
      <c r="AE577">
        <v>254</v>
      </c>
      <c r="AF577">
        <v>408</v>
      </c>
      <c r="AG577" t="s">
        <v>120</v>
      </c>
      <c r="AH577">
        <v>0.06</v>
      </c>
      <c r="AI577" t="s">
        <v>120</v>
      </c>
      <c r="AJ577">
        <v>12.02</v>
      </c>
      <c r="AK577" t="s">
        <v>3617</v>
      </c>
      <c r="AL577">
        <v>-6.66</v>
      </c>
      <c r="AM577">
        <v>4714</v>
      </c>
      <c r="AN577">
        <v>193</v>
      </c>
      <c r="AO577">
        <v>1.6000000000000001E-3</v>
      </c>
      <c r="AP577">
        <v>-3</v>
      </c>
      <c r="AQ577">
        <v>-3.27</v>
      </c>
      <c r="AR577">
        <v>-15.6</v>
      </c>
      <c r="AS577">
        <v>10.96</v>
      </c>
      <c r="AT577">
        <v>78.78</v>
      </c>
      <c r="AU577">
        <v>65.34</v>
      </c>
      <c r="AV577">
        <v>5</v>
      </c>
      <c r="AW577">
        <v>12.59</v>
      </c>
      <c r="AX577">
        <v>60.07</v>
      </c>
      <c r="AY577">
        <v>58.75</v>
      </c>
      <c r="AZ577">
        <v>82.12</v>
      </c>
      <c r="BA577">
        <v>0</v>
      </c>
      <c r="BB577" t="s">
        <v>143</v>
      </c>
      <c r="BF577">
        <v>-3.87</v>
      </c>
      <c r="BG577">
        <v>-8.58</v>
      </c>
      <c r="BH577">
        <v>-10.84</v>
      </c>
      <c r="BI577">
        <v>0.86</v>
      </c>
      <c r="BJ577">
        <v>20210817</v>
      </c>
      <c r="BK577">
        <v>20070816</v>
      </c>
      <c r="BL577">
        <v>12.02</v>
      </c>
      <c r="BM577" t="s">
        <v>120</v>
      </c>
      <c r="BN577" t="s">
        <v>120</v>
      </c>
      <c r="BO577">
        <v>70.069999999999993</v>
      </c>
      <c r="BP577">
        <v>14.07</v>
      </c>
      <c r="BQ577">
        <v>53.03</v>
      </c>
      <c r="BR577">
        <v>0.88</v>
      </c>
      <c r="BS577">
        <v>23.07</v>
      </c>
      <c r="BT577">
        <v>11.86</v>
      </c>
      <c r="BU577">
        <v>35.25</v>
      </c>
      <c r="BV577">
        <v>5.75</v>
      </c>
      <c r="BW577">
        <v>13.06</v>
      </c>
      <c r="BX577">
        <v>2.2799999999999998</v>
      </c>
      <c r="BY577">
        <v>4.8099999999999996</v>
      </c>
      <c r="BZ577">
        <v>1.96</v>
      </c>
      <c r="CA577">
        <v>0</v>
      </c>
      <c r="CB577">
        <v>12.91</v>
      </c>
      <c r="CC577">
        <v>86.41</v>
      </c>
      <c r="CD577">
        <v>79.540000000000006</v>
      </c>
      <c r="CE577">
        <v>2.14</v>
      </c>
      <c r="CF577">
        <v>-0.02</v>
      </c>
      <c r="CG577">
        <v>2.13</v>
      </c>
      <c r="CH577">
        <v>1.81</v>
      </c>
      <c r="CI577">
        <v>1.81</v>
      </c>
      <c r="CJ577">
        <v>-1.32</v>
      </c>
      <c r="CK577">
        <v>1.82</v>
      </c>
      <c r="CL577">
        <v>25.07</v>
      </c>
      <c r="CM577">
        <v>1.47</v>
      </c>
      <c r="CN577">
        <v>-2.0499999999999998</v>
      </c>
      <c r="CO577">
        <v>86371</v>
      </c>
      <c r="CP577">
        <v>8360</v>
      </c>
      <c r="CQ577" t="s">
        <v>3618</v>
      </c>
      <c r="CR577">
        <v>97.66</v>
      </c>
      <c r="CS577">
        <v>14.58</v>
      </c>
      <c r="CT577">
        <v>3.19</v>
      </c>
      <c r="CU577">
        <v>115.34</v>
      </c>
      <c r="CV577">
        <v>1.96</v>
      </c>
      <c r="CW577">
        <v>0</v>
      </c>
      <c r="CX577" t="s">
        <v>373</v>
      </c>
      <c r="CY577">
        <v>4.41</v>
      </c>
      <c r="CZ577">
        <v>0</v>
      </c>
      <c r="DA577">
        <v>1.07</v>
      </c>
      <c r="DB577">
        <v>2.09</v>
      </c>
      <c r="DC577">
        <v>0.12</v>
      </c>
      <c r="DD577">
        <v>75.680000000000007</v>
      </c>
      <c r="DE577" t="s">
        <v>367</v>
      </c>
      <c r="DF577">
        <v>7.94</v>
      </c>
      <c r="DG577">
        <v>2.4700000000000002</v>
      </c>
      <c r="DH577">
        <v>2.1</v>
      </c>
      <c r="DI577">
        <v>1.17</v>
      </c>
      <c r="DJ577">
        <v>5340</v>
      </c>
      <c r="DK577">
        <v>2155</v>
      </c>
      <c r="DL577">
        <v>20210913</v>
      </c>
      <c r="DM577">
        <v>16.3</v>
      </c>
      <c r="DN577">
        <v>-13.68</v>
      </c>
    </row>
    <row r="578" spans="1:118">
      <c r="A578" t="str">
        <f>"002156"</f>
        <v>002156</v>
      </c>
      <c r="B578" t="s">
        <v>3619</v>
      </c>
      <c r="C578">
        <v>-3.95</v>
      </c>
      <c r="D578">
        <v>-0.2</v>
      </c>
      <c r="E578">
        <v>-0.15</v>
      </c>
      <c r="F578">
        <v>5592</v>
      </c>
      <c r="G578" t="s">
        <v>3620</v>
      </c>
      <c r="H578">
        <v>51097.32</v>
      </c>
      <c r="I578">
        <v>96.97</v>
      </c>
      <c r="J578" t="s">
        <v>120</v>
      </c>
      <c r="K578" t="s">
        <v>3621</v>
      </c>
      <c r="L578">
        <v>1.99</v>
      </c>
      <c r="M578">
        <v>18.96</v>
      </c>
      <c r="N578">
        <v>1.07</v>
      </c>
      <c r="O578">
        <v>0.61</v>
      </c>
      <c r="P578">
        <v>19.86</v>
      </c>
      <c r="Q578">
        <v>-3.95</v>
      </c>
      <c r="R578">
        <v>18.96</v>
      </c>
      <c r="S578">
        <v>19.71</v>
      </c>
      <c r="T578">
        <v>263932</v>
      </c>
      <c r="U578">
        <v>18.97</v>
      </c>
      <c r="V578">
        <v>19.739999999999998</v>
      </c>
      <c r="W578">
        <v>31.43</v>
      </c>
      <c r="X578" t="s">
        <v>3245</v>
      </c>
      <c r="Y578" t="s">
        <v>319</v>
      </c>
      <c r="Z578">
        <v>4.5599999999999996</v>
      </c>
      <c r="AA578">
        <v>19.36</v>
      </c>
      <c r="AB578">
        <v>143297</v>
      </c>
      <c r="AC578">
        <v>120635</v>
      </c>
      <c r="AD578">
        <v>1.19</v>
      </c>
      <c r="AE578">
        <v>143</v>
      </c>
      <c r="AF578">
        <v>41</v>
      </c>
      <c r="AG578" t="s">
        <v>120</v>
      </c>
      <c r="AH578">
        <v>0.01</v>
      </c>
      <c r="AI578" t="s">
        <v>120</v>
      </c>
      <c r="AJ578">
        <v>13.29</v>
      </c>
      <c r="AK578" t="s">
        <v>3622</v>
      </c>
      <c r="AL578">
        <v>-2.04</v>
      </c>
      <c r="AM578">
        <v>4395</v>
      </c>
      <c r="AN578">
        <v>60</v>
      </c>
      <c r="AO578">
        <v>5.0000000000000001E-4</v>
      </c>
      <c r="AP578">
        <v>-4</v>
      </c>
      <c r="AQ578">
        <v>-1.1499999999999999</v>
      </c>
      <c r="AR578">
        <v>-6.32</v>
      </c>
      <c r="AS578">
        <v>-5.44</v>
      </c>
      <c r="AT578">
        <v>-13.42</v>
      </c>
      <c r="AU578">
        <v>-24.8</v>
      </c>
      <c r="AV578">
        <v>2</v>
      </c>
      <c r="AW578">
        <v>3.27</v>
      </c>
      <c r="AX578">
        <v>60.71</v>
      </c>
      <c r="AY578">
        <v>41.79</v>
      </c>
      <c r="AZ578">
        <v>77.52</v>
      </c>
      <c r="BA578">
        <v>0.61</v>
      </c>
      <c r="BB578" t="s">
        <v>1723</v>
      </c>
      <c r="BF578">
        <v>-1.92</v>
      </c>
      <c r="BG578">
        <v>-3.81</v>
      </c>
      <c r="BH578">
        <v>-4.53</v>
      </c>
      <c r="BI578">
        <v>0</v>
      </c>
      <c r="BJ578">
        <v>20210830</v>
      </c>
      <c r="BK578">
        <v>20070816</v>
      </c>
      <c r="BL578">
        <v>13.29</v>
      </c>
      <c r="BM578" t="s">
        <v>120</v>
      </c>
      <c r="BN578" t="s">
        <v>120</v>
      </c>
      <c r="BO578">
        <v>238.33</v>
      </c>
      <c r="BP578">
        <v>18.96</v>
      </c>
      <c r="BQ578">
        <v>98.98</v>
      </c>
      <c r="BR578">
        <v>5.85</v>
      </c>
      <c r="BS578">
        <v>56.01</v>
      </c>
      <c r="BT578">
        <v>96.85</v>
      </c>
      <c r="BU578">
        <v>96.2</v>
      </c>
      <c r="BV578">
        <v>3.36</v>
      </c>
      <c r="BW578">
        <v>80.2</v>
      </c>
      <c r="BX578">
        <v>53.01</v>
      </c>
      <c r="BY578">
        <v>16.72</v>
      </c>
      <c r="BZ578">
        <v>16.670000000000002</v>
      </c>
      <c r="CA578" t="s">
        <v>120</v>
      </c>
      <c r="CB578">
        <v>68.290000000000006</v>
      </c>
      <c r="CC578">
        <v>70.89</v>
      </c>
      <c r="CD578">
        <v>58.1</v>
      </c>
      <c r="CE578">
        <v>4</v>
      </c>
      <c r="CF578">
        <v>-0.02</v>
      </c>
      <c r="CG578">
        <v>4.05</v>
      </c>
      <c r="CH578">
        <v>4.12</v>
      </c>
      <c r="CI578">
        <v>4.01</v>
      </c>
      <c r="CJ578">
        <v>-0.78</v>
      </c>
      <c r="CK578">
        <v>3.63</v>
      </c>
      <c r="CL578">
        <v>16.71</v>
      </c>
      <c r="CM578">
        <v>21.39</v>
      </c>
      <c r="CN578">
        <v>12.01</v>
      </c>
      <c r="CO578">
        <v>202664</v>
      </c>
      <c r="CP578">
        <v>3982</v>
      </c>
      <c r="CQ578" t="s">
        <v>3623</v>
      </c>
      <c r="CR578">
        <v>259.67</v>
      </c>
      <c r="CS578">
        <v>51.82</v>
      </c>
      <c r="CT578">
        <v>2.5499999999999998</v>
      </c>
      <c r="CU578">
        <v>11.78</v>
      </c>
      <c r="CV578">
        <v>3.55</v>
      </c>
      <c r="CW578">
        <v>0.13</v>
      </c>
      <c r="CX578" t="s">
        <v>1340</v>
      </c>
      <c r="CY578">
        <v>7.45</v>
      </c>
      <c r="CZ578">
        <v>0</v>
      </c>
      <c r="DA578">
        <v>5.14</v>
      </c>
      <c r="DB578">
        <v>1.26</v>
      </c>
      <c r="DC578">
        <v>1.61</v>
      </c>
      <c r="DD578">
        <v>41.53</v>
      </c>
      <c r="DE578" t="s">
        <v>3624</v>
      </c>
      <c r="DF578">
        <v>18.05</v>
      </c>
      <c r="DG578">
        <v>5.64</v>
      </c>
      <c r="DH578">
        <v>5.65</v>
      </c>
      <c r="DI578">
        <v>5.18</v>
      </c>
      <c r="DJ578">
        <v>13594</v>
      </c>
      <c r="DK578">
        <v>2156</v>
      </c>
      <c r="DL578" t="s">
        <v>120</v>
      </c>
      <c r="DM578" t="s">
        <v>120</v>
      </c>
      <c r="DN578" t="s">
        <v>120</v>
      </c>
    </row>
    <row r="579" spans="1:118">
      <c r="A579" t="str">
        <f>"002157"</f>
        <v>002157</v>
      </c>
      <c r="B579" t="s">
        <v>3625</v>
      </c>
      <c r="C579">
        <v>6.5</v>
      </c>
      <c r="D579">
        <v>0</v>
      </c>
      <c r="E579">
        <v>0</v>
      </c>
      <c r="F579">
        <v>7547</v>
      </c>
      <c r="G579" t="s">
        <v>3626</v>
      </c>
      <c r="H579">
        <v>65368.43</v>
      </c>
      <c r="I579">
        <v>53.97</v>
      </c>
      <c r="J579" t="s">
        <v>120</v>
      </c>
      <c r="K579" t="s">
        <v>190</v>
      </c>
      <c r="L579">
        <v>3.18</v>
      </c>
      <c r="M579">
        <v>9.01</v>
      </c>
      <c r="N579">
        <v>2.93</v>
      </c>
      <c r="O579">
        <v>8.16</v>
      </c>
      <c r="P579">
        <v>9.15</v>
      </c>
      <c r="Q579">
        <v>-0.24</v>
      </c>
      <c r="R579">
        <v>8.44</v>
      </c>
      <c r="S579">
        <v>8.4600000000000009</v>
      </c>
      <c r="T579">
        <v>733374</v>
      </c>
      <c r="U579">
        <v>9.02</v>
      </c>
      <c r="V579">
        <v>8.4600000000000009</v>
      </c>
      <c r="W579" t="s">
        <v>120</v>
      </c>
      <c r="X579" t="s">
        <v>386</v>
      </c>
      <c r="Y579" t="s">
        <v>676</v>
      </c>
      <c r="Z579">
        <v>8.39</v>
      </c>
      <c r="AA579">
        <v>8.91</v>
      </c>
      <c r="AB579">
        <v>291354</v>
      </c>
      <c r="AC579">
        <v>442020</v>
      </c>
      <c r="AD579">
        <v>0.66</v>
      </c>
      <c r="AE579">
        <v>4145</v>
      </c>
      <c r="AF579">
        <v>1292</v>
      </c>
      <c r="AG579" t="s">
        <v>120</v>
      </c>
      <c r="AH579">
        <v>0</v>
      </c>
      <c r="AI579" t="s">
        <v>120</v>
      </c>
      <c r="AJ579">
        <v>23.07</v>
      </c>
      <c r="AK579" t="s">
        <v>3627</v>
      </c>
      <c r="AL579">
        <v>8.41</v>
      </c>
      <c r="AM579">
        <v>4461</v>
      </c>
      <c r="AN579">
        <v>164</v>
      </c>
      <c r="AO579">
        <v>6.9999999999999999E-4</v>
      </c>
      <c r="AP579">
        <v>1</v>
      </c>
      <c r="AQ579">
        <v>-1.28</v>
      </c>
      <c r="AR579">
        <v>1.93</v>
      </c>
      <c r="AS579">
        <v>-1.74</v>
      </c>
      <c r="AT579">
        <v>-18.690000000000001</v>
      </c>
      <c r="AU579">
        <v>-44.86</v>
      </c>
      <c r="AV579">
        <v>2</v>
      </c>
      <c r="AW579">
        <v>5.61</v>
      </c>
      <c r="AX579">
        <v>41.52</v>
      </c>
      <c r="AY579">
        <v>14.04</v>
      </c>
      <c r="AZ579">
        <v>4.6399999999999997</v>
      </c>
      <c r="BA579">
        <v>0.56999999999999995</v>
      </c>
      <c r="BB579" t="s">
        <v>134</v>
      </c>
      <c r="BF579">
        <v>5.36</v>
      </c>
      <c r="BG579">
        <v>6.5</v>
      </c>
      <c r="BH579">
        <v>-1.53</v>
      </c>
      <c r="BI579">
        <v>6.75</v>
      </c>
      <c r="BJ579">
        <v>20210915</v>
      </c>
      <c r="BK579">
        <v>20070817</v>
      </c>
      <c r="BL579">
        <v>31.49</v>
      </c>
      <c r="BM579" t="s">
        <v>120</v>
      </c>
      <c r="BN579" t="s">
        <v>120</v>
      </c>
      <c r="BO579">
        <v>681.13</v>
      </c>
      <c r="BP579">
        <v>9.01</v>
      </c>
      <c r="BQ579">
        <v>195.68</v>
      </c>
      <c r="BR579">
        <v>18.420000000000002</v>
      </c>
      <c r="BS579">
        <v>68.569999999999993</v>
      </c>
      <c r="BT579">
        <v>350.95</v>
      </c>
      <c r="BU579">
        <v>150.53</v>
      </c>
      <c r="BV579">
        <v>3.61</v>
      </c>
      <c r="BW579">
        <v>354.45</v>
      </c>
      <c r="BX579">
        <v>89.9</v>
      </c>
      <c r="BY579">
        <v>206.02</v>
      </c>
      <c r="BZ579">
        <v>3.07</v>
      </c>
      <c r="CA579" t="s">
        <v>120</v>
      </c>
      <c r="CB579">
        <v>117.42</v>
      </c>
      <c r="CC579">
        <v>266.79000000000002</v>
      </c>
      <c r="CD579">
        <v>238.77</v>
      </c>
      <c r="CE579">
        <v>-8.7100000000000009</v>
      </c>
      <c r="CF579">
        <v>0.71</v>
      </c>
      <c r="CG579">
        <v>-14.08</v>
      </c>
      <c r="CH579">
        <v>-14.2</v>
      </c>
      <c r="CI579">
        <v>-14.3</v>
      </c>
      <c r="CJ579">
        <v>0.55000000000000004</v>
      </c>
      <c r="CK579">
        <v>-8.94</v>
      </c>
      <c r="CL579">
        <v>49.02</v>
      </c>
      <c r="CM579">
        <v>-38.43</v>
      </c>
      <c r="CN579">
        <v>-75.239999999999995</v>
      </c>
      <c r="CO579">
        <v>148000</v>
      </c>
      <c r="CP579">
        <v>8834</v>
      </c>
      <c r="CQ579" t="s">
        <v>396</v>
      </c>
      <c r="CR579">
        <v>-159.16</v>
      </c>
      <c r="CS579">
        <v>61.2</v>
      </c>
      <c r="CT579">
        <v>1.47</v>
      </c>
      <c r="CU579">
        <v>-7.38</v>
      </c>
      <c r="CV579">
        <v>1.06</v>
      </c>
      <c r="CW579">
        <v>8.2100000000000009</v>
      </c>
      <c r="CX579" t="s">
        <v>3628</v>
      </c>
      <c r="CY579">
        <v>6.13</v>
      </c>
      <c r="CZ579">
        <v>6.13</v>
      </c>
      <c r="DA579">
        <v>3.73</v>
      </c>
      <c r="DB579">
        <v>1.56</v>
      </c>
      <c r="DC579">
        <v>-1.22</v>
      </c>
      <c r="DD579">
        <v>28.73</v>
      </c>
      <c r="DE579" t="s">
        <v>3629</v>
      </c>
      <c r="DF579">
        <v>10.5</v>
      </c>
      <c r="DG579">
        <v>-3.26</v>
      </c>
      <c r="DH579">
        <v>-5.36</v>
      </c>
      <c r="DI579">
        <v>2.97</v>
      </c>
      <c r="DJ579">
        <v>52322</v>
      </c>
      <c r="DK579">
        <v>2157</v>
      </c>
      <c r="DL579" t="s">
        <v>120</v>
      </c>
      <c r="DM579" t="s">
        <v>120</v>
      </c>
      <c r="DN579" t="s">
        <v>120</v>
      </c>
    </row>
    <row r="580" spans="1:118">
      <c r="A580" t="str">
        <f>"002158"</f>
        <v>002158</v>
      </c>
      <c r="B580" t="s">
        <v>3630</v>
      </c>
      <c r="C580">
        <v>-9.81</v>
      </c>
      <c r="D580">
        <v>0.04</v>
      </c>
      <c r="E580">
        <v>1.1100000000000001</v>
      </c>
      <c r="F580">
        <v>1410</v>
      </c>
      <c r="G580" t="s">
        <v>3631</v>
      </c>
      <c r="H580">
        <v>33384.800000000003</v>
      </c>
      <c r="I580">
        <v>82.68</v>
      </c>
      <c r="J580" t="s">
        <v>120</v>
      </c>
      <c r="K580" t="s">
        <v>3632</v>
      </c>
      <c r="L580">
        <v>2.56</v>
      </c>
      <c r="M580">
        <v>23.64</v>
      </c>
      <c r="N580">
        <v>1.95</v>
      </c>
      <c r="O580">
        <v>1.1100000000000001</v>
      </c>
      <c r="P580">
        <v>26.5</v>
      </c>
      <c r="Q580">
        <v>-9.92</v>
      </c>
      <c r="R580">
        <v>23.61</v>
      </c>
      <c r="S580">
        <v>26.5</v>
      </c>
      <c r="T580">
        <v>135926</v>
      </c>
      <c r="U580">
        <v>23.65</v>
      </c>
      <c r="V580">
        <v>26.21</v>
      </c>
      <c r="W580">
        <v>31.91</v>
      </c>
      <c r="X580" t="s">
        <v>593</v>
      </c>
      <c r="Y580" t="s">
        <v>1510</v>
      </c>
      <c r="Z580">
        <v>11.03</v>
      </c>
      <c r="AA580">
        <v>24.56</v>
      </c>
      <c r="AB580">
        <v>80927</v>
      </c>
      <c r="AC580">
        <v>54999</v>
      </c>
      <c r="AD580">
        <v>1.47</v>
      </c>
      <c r="AE580">
        <v>240</v>
      </c>
      <c r="AF580">
        <v>16</v>
      </c>
      <c r="AG580" t="s">
        <v>120</v>
      </c>
      <c r="AH580">
        <v>0.02</v>
      </c>
      <c r="AI580" t="s">
        <v>120</v>
      </c>
      <c r="AJ580">
        <v>5.31</v>
      </c>
      <c r="AK580" t="s">
        <v>3633</v>
      </c>
      <c r="AL580">
        <v>-7.89</v>
      </c>
      <c r="AM580">
        <v>3808</v>
      </c>
      <c r="AN580">
        <v>36</v>
      </c>
      <c r="AO580">
        <v>6.9999999999999999E-4</v>
      </c>
      <c r="AP580">
        <v>-1</v>
      </c>
      <c r="AQ580">
        <v>2.95</v>
      </c>
      <c r="AR580">
        <v>-8.26</v>
      </c>
      <c r="AS580">
        <v>8.0399999999999991</v>
      </c>
      <c r="AT580">
        <v>-5.03</v>
      </c>
      <c r="AU580">
        <v>60.27</v>
      </c>
      <c r="AV580">
        <v>6</v>
      </c>
      <c r="AW580">
        <v>6.68</v>
      </c>
      <c r="AX580">
        <v>38.04</v>
      </c>
      <c r="AY580">
        <v>31.57</v>
      </c>
      <c r="AZ580">
        <v>38.61</v>
      </c>
      <c r="BA580">
        <v>0.94</v>
      </c>
      <c r="BB580" t="s">
        <v>143</v>
      </c>
      <c r="BF580">
        <v>-6.29</v>
      </c>
      <c r="BG580">
        <v>-10.79</v>
      </c>
      <c r="BH580">
        <v>-10.79</v>
      </c>
      <c r="BI580">
        <v>0.13</v>
      </c>
      <c r="BJ580">
        <v>20210821</v>
      </c>
      <c r="BK580">
        <v>20070817</v>
      </c>
      <c r="BL580">
        <v>5.35</v>
      </c>
      <c r="BM580" t="s">
        <v>120</v>
      </c>
      <c r="BN580" t="s">
        <v>120</v>
      </c>
      <c r="BO580">
        <v>44.57</v>
      </c>
      <c r="BP580">
        <v>23.64</v>
      </c>
      <c r="BQ580">
        <v>23.24</v>
      </c>
      <c r="BR580">
        <v>0.16</v>
      </c>
      <c r="BS580">
        <v>47.51</v>
      </c>
      <c r="BT580">
        <v>31.32</v>
      </c>
      <c r="BU580">
        <v>7.81</v>
      </c>
      <c r="BV580">
        <v>1.21</v>
      </c>
      <c r="BW580">
        <v>18.28</v>
      </c>
      <c r="BX580">
        <v>9.2200000000000006</v>
      </c>
      <c r="BY580">
        <v>7.54</v>
      </c>
      <c r="BZ580">
        <v>3.96</v>
      </c>
      <c r="CA580">
        <v>0.01</v>
      </c>
      <c r="CB580">
        <v>4.43</v>
      </c>
      <c r="CC580">
        <v>13.28</v>
      </c>
      <c r="CD580">
        <v>8.6300000000000008</v>
      </c>
      <c r="CE580">
        <v>2.2799999999999998</v>
      </c>
      <c r="CF580">
        <v>0.14000000000000001</v>
      </c>
      <c r="CG580">
        <v>2.27</v>
      </c>
      <c r="CH580">
        <v>1.99</v>
      </c>
      <c r="CI580">
        <v>1.98</v>
      </c>
      <c r="CJ580">
        <v>-2.57</v>
      </c>
      <c r="CK580">
        <v>1.89</v>
      </c>
      <c r="CL580">
        <v>11.22</v>
      </c>
      <c r="CM580">
        <v>2.95</v>
      </c>
      <c r="CN580">
        <v>-0.44</v>
      </c>
      <c r="CO580">
        <v>21083</v>
      </c>
      <c r="CP580">
        <v>9651</v>
      </c>
      <c r="CQ580" t="s">
        <v>3634</v>
      </c>
      <c r="CR580">
        <v>69.09</v>
      </c>
      <c r="CS580">
        <v>51.36</v>
      </c>
      <c r="CT580">
        <v>5.44</v>
      </c>
      <c r="CU580">
        <v>42.8</v>
      </c>
      <c r="CV580">
        <v>9.52</v>
      </c>
      <c r="CW580">
        <v>1.26</v>
      </c>
      <c r="CX580" t="s">
        <v>709</v>
      </c>
      <c r="CY580">
        <v>4.34</v>
      </c>
      <c r="CZ580">
        <v>0</v>
      </c>
      <c r="DA580">
        <v>0.83</v>
      </c>
      <c r="DB580">
        <v>2.1</v>
      </c>
      <c r="DC580">
        <v>0.55000000000000004</v>
      </c>
      <c r="DD580">
        <v>52.14</v>
      </c>
      <c r="DE580" t="s">
        <v>1657</v>
      </c>
      <c r="DF580">
        <v>35.07</v>
      </c>
      <c r="DG580">
        <v>17.14</v>
      </c>
      <c r="DH580">
        <v>14.91</v>
      </c>
      <c r="DI580">
        <v>1.01</v>
      </c>
      <c r="DJ580">
        <v>1859</v>
      </c>
      <c r="DK580">
        <v>2158</v>
      </c>
      <c r="DL580" t="s">
        <v>120</v>
      </c>
      <c r="DM580" t="s">
        <v>120</v>
      </c>
      <c r="DN580" t="s">
        <v>120</v>
      </c>
    </row>
    <row r="581" spans="1:118">
      <c r="A581" t="str">
        <f>"002159"</f>
        <v>002159</v>
      </c>
      <c r="B581" t="s">
        <v>3635</v>
      </c>
      <c r="C581">
        <v>0.98</v>
      </c>
      <c r="D581">
        <v>0.16</v>
      </c>
      <c r="E581">
        <v>-1.95</v>
      </c>
      <c r="F581">
        <v>221</v>
      </c>
      <c r="G581" t="s">
        <v>3636</v>
      </c>
      <c r="H581">
        <v>4224.43</v>
      </c>
      <c r="I581">
        <v>15.3</v>
      </c>
      <c r="J581" t="s">
        <v>120</v>
      </c>
      <c r="K581" t="s">
        <v>3637</v>
      </c>
      <c r="L581">
        <v>2.48</v>
      </c>
      <c r="M581">
        <v>12.41</v>
      </c>
      <c r="N581">
        <v>1.37</v>
      </c>
      <c r="O581">
        <v>2.12</v>
      </c>
      <c r="P581">
        <v>12.55</v>
      </c>
      <c r="Q581">
        <v>-1.95</v>
      </c>
      <c r="R581">
        <v>12.05</v>
      </c>
      <c r="S581">
        <v>12.05</v>
      </c>
      <c r="T581">
        <v>34212</v>
      </c>
      <c r="U581">
        <v>12.41</v>
      </c>
      <c r="V581">
        <v>12.29</v>
      </c>
      <c r="W581">
        <v>215.54</v>
      </c>
      <c r="X581" t="s">
        <v>1317</v>
      </c>
      <c r="Y581" t="s">
        <v>763</v>
      </c>
      <c r="Z581">
        <v>4.07</v>
      </c>
      <c r="AA581">
        <v>12.35</v>
      </c>
      <c r="AB581">
        <v>13290</v>
      </c>
      <c r="AC581">
        <v>20922</v>
      </c>
      <c r="AD581">
        <v>0.64</v>
      </c>
      <c r="AE581">
        <v>55</v>
      </c>
      <c r="AF581">
        <v>16</v>
      </c>
      <c r="AG581" t="s">
        <v>120</v>
      </c>
      <c r="AH581">
        <v>0.01</v>
      </c>
      <c r="AI581" t="s">
        <v>120</v>
      </c>
      <c r="AJ581">
        <v>1.38</v>
      </c>
      <c r="AK581" t="s">
        <v>3638</v>
      </c>
      <c r="AL581">
        <v>2.89</v>
      </c>
      <c r="AM581">
        <v>1368</v>
      </c>
      <c r="AN581">
        <v>25</v>
      </c>
      <c r="AO581">
        <v>1.8E-3</v>
      </c>
      <c r="AP581">
        <v>1</v>
      </c>
      <c r="AQ581">
        <v>-1.92</v>
      </c>
      <c r="AR581">
        <v>-1.98</v>
      </c>
      <c r="AS581">
        <v>23.11</v>
      </c>
      <c r="AT581">
        <v>14.8</v>
      </c>
      <c r="AU581">
        <v>3.67</v>
      </c>
      <c r="AV581">
        <v>0</v>
      </c>
      <c r="AW581">
        <v>3.7</v>
      </c>
      <c r="AX581">
        <v>52.17</v>
      </c>
      <c r="AY581">
        <v>14.83</v>
      </c>
      <c r="AZ581">
        <v>76.400000000000006</v>
      </c>
      <c r="BA581">
        <v>0.54</v>
      </c>
      <c r="BB581" t="s">
        <v>240</v>
      </c>
      <c r="BF581">
        <v>0.47</v>
      </c>
      <c r="BG581">
        <v>2.99</v>
      </c>
      <c r="BH581">
        <v>-1.1200000000000001</v>
      </c>
      <c r="BI581">
        <v>2.99</v>
      </c>
      <c r="BJ581">
        <v>20210831</v>
      </c>
      <c r="BK581">
        <v>20070817</v>
      </c>
      <c r="BL581">
        <v>1.77</v>
      </c>
      <c r="BM581" t="s">
        <v>120</v>
      </c>
      <c r="BN581" t="s">
        <v>120</v>
      </c>
      <c r="BO581">
        <v>26.38</v>
      </c>
      <c r="BP581">
        <v>12.4</v>
      </c>
      <c r="BQ581">
        <v>14.2</v>
      </c>
      <c r="BR581">
        <v>0.52</v>
      </c>
      <c r="BS581">
        <v>44.19</v>
      </c>
      <c r="BT581">
        <v>5.28</v>
      </c>
      <c r="BU581">
        <v>12.76</v>
      </c>
      <c r="BV581">
        <v>1.1100000000000001</v>
      </c>
      <c r="BW581">
        <v>6.62</v>
      </c>
      <c r="BX581">
        <v>4.66</v>
      </c>
      <c r="BY581">
        <v>0.05</v>
      </c>
      <c r="BZ581">
        <v>0.11</v>
      </c>
      <c r="CA581">
        <v>0.01</v>
      </c>
      <c r="CB581">
        <v>7.7</v>
      </c>
      <c r="CC581">
        <v>2.5099999999999998</v>
      </c>
      <c r="CD581">
        <v>1.2</v>
      </c>
      <c r="CE581">
        <v>0.26</v>
      </c>
      <c r="CF581">
        <v>-0.02</v>
      </c>
      <c r="CG581">
        <v>0.27</v>
      </c>
      <c r="CH581">
        <v>0.09</v>
      </c>
      <c r="CI581">
        <v>0.05</v>
      </c>
      <c r="CJ581">
        <v>0.12</v>
      </c>
      <c r="CK581">
        <v>-0.02</v>
      </c>
      <c r="CL581">
        <v>3.24</v>
      </c>
      <c r="CM581">
        <v>0.76</v>
      </c>
      <c r="CN581">
        <v>-1.23</v>
      </c>
      <c r="CO581">
        <v>8602</v>
      </c>
      <c r="CP581">
        <v>10754</v>
      </c>
      <c r="CQ581" t="s">
        <v>3112</v>
      </c>
      <c r="CR581">
        <v>104.51</v>
      </c>
      <c r="CS581">
        <v>157.88</v>
      </c>
      <c r="CT581">
        <v>1.55</v>
      </c>
      <c r="CU581">
        <v>28.98</v>
      </c>
      <c r="CV581">
        <v>8.76</v>
      </c>
      <c r="CW581">
        <v>0</v>
      </c>
      <c r="CX581" t="s">
        <v>2074</v>
      </c>
      <c r="CY581">
        <v>8.01</v>
      </c>
      <c r="CZ581">
        <v>0</v>
      </c>
      <c r="DA581">
        <v>4.34</v>
      </c>
      <c r="DB581">
        <v>1.83</v>
      </c>
      <c r="DC581">
        <v>0.43</v>
      </c>
      <c r="DD581">
        <v>53.83</v>
      </c>
      <c r="DE581" t="s">
        <v>3639</v>
      </c>
      <c r="DF581">
        <v>52.36</v>
      </c>
      <c r="DG581">
        <v>10.46</v>
      </c>
      <c r="DH581">
        <v>2.0299999999999998</v>
      </c>
      <c r="DI581" t="s">
        <v>120</v>
      </c>
      <c r="DJ581">
        <v>1235</v>
      </c>
      <c r="DK581">
        <v>2159</v>
      </c>
      <c r="DL581" t="s">
        <v>120</v>
      </c>
      <c r="DM581" t="s">
        <v>120</v>
      </c>
      <c r="DN581" t="s">
        <v>120</v>
      </c>
    </row>
    <row r="582" spans="1:118">
      <c r="A582" t="str">
        <f>"002160"</f>
        <v>002160</v>
      </c>
      <c r="B582" t="s">
        <v>3640</v>
      </c>
      <c r="C582">
        <v>-3.53</v>
      </c>
      <c r="D582">
        <v>0</v>
      </c>
      <c r="E582">
        <v>1.41</v>
      </c>
      <c r="F582">
        <v>3034</v>
      </c>
      <c r="G582" t="s">
        <v>3641</v>
      </c>
      <c r="H582">
        <v>26124.26</v>
      </c>
      <c r="I582">
        <v>149.30000000000001</v>
      </c>
      <c r="J582" t="s">
        <v>120</v>
      </c>
      <c r="K582" t="s">
        <v>3642</v>
      </c>
      <c r="L582">
        <v>6.38</v>
      </c>
      <c r="M582">
        <v>5.46</v>
      </c>
      <c r="N582">
        <v>0.69</v>
      </c>
      <c r="O582">
        <v>2.2999999999999998</v>
      </c>
      <c r="P582">
        <v>5.79</v>
      </c>
      <c r="Q582">
        <v>-4.42</v>
      </c>
      <c r="R582">
        <v>5.41</v>
      </c>
      <c r="S582">
        <v>5.74</v>
      </c>
      <c r="T582">
        <v>464944</v>
      </c>
      <c r="U582">
        <v>5.47</v>
      </c>
      <c r="V582">
        <v>5.66</v>
      </c>
      <c r="W582">
        <v>34.21</v>
      </c>
      <c r="X582" t="s">
        <v>1325</v>
      </c>
      <c r="Y582" t="s">
        <v>319</v>
      </c>
      <c r="Z582">
        <v>6.71</v>
      </c>
      <c r="AA582">
        <v>5.62</v>
      </c>
      <c r="AB582">
        <v>241199</v>
      </c>
      <c r="AC582">
        <v>223745</v>
      </c>
      <c r="AD582">
        <v>1.08</v>
      </c>
      <c r="AE582">
        <v>390</v>
      </c>
      <c r="AF582">
        <v>735</v>
      </c>
      <c r="AG582" t="s">
        <v>120</v>
      </c>
      <c r="AH582">
        <v>0.05</v>
      </c>
      <c r="AI582" t="s">
        <v>120</v>
      </c>
      <c r="AJ582">
        <v>7.29</v>
      </c>
      <c r="AK582" t="s">
        <v>3643</v>
      </c>
      <c r="AL582">
        <v>-1.62</v>
      </c>
      <c r="AM582">
        <v>3887</v>
      </c>
      <c r="AN582">
        <v>120</v>
      </c>
      <c r="AO582">
        <v>1.6000000000000001E-3</v>
      </c>
      <c r="AP582">
        <v>-1</v>
      </c>
      <c r="AQ582">
        <v>2.72</v>
      </c>
      <c r="AR582">
        <v>-5.21</v>
      </c>
      <c r="AS582">
        <v>14.47</v>
      </c>
      <c r="AT582">
        <v>34.81</v>
      </c>
      <c r="AU582">
        <v>20</v>
      </c>
      <c r="AV582">
        <v>9</v>
      </c>
      <c r="AW582">
        <v>8.23</v>
      </c>
      <c r="AX582">
        <v>71.040000000000006</v>
      </c>
      <c r="AY582">
        <v>32.1</v>
      </c>
      <c r="AZ582">
        <v>203.28</v>
      </c>
      <c r="BA582">
        <v>0.35</v>
      </c>
      <c r="BB582" t="s">
        <v>240</v>
      </c>
      <c r="BF582">
        <v>-0.73</v>
      </c>
      <c r="BG582">
        <v>-4.88</v>
      </c>
      <c r="BH582">
        <v>-5.7</v>
      </c>
      <c r="BI582">
        <v>0.92</v>
      </c>
      <c r="BJ582">
        <v>20210806</v>
      </c>
      <c r="BK582">
        <v>20070821</v>
      </c>
      <c r="BL582">
        <v>7.96</v>
      </c>
      <c r="BM582" t="s">
        <v>120</v>
      </c>
      <c r="BN582" t="s">
        <v>120</v>
      </c>
      <c r="BO582">
        <v>69.98</v>
      </c>
      <c r="BP582">
        <v>5.46</v>
      </c>
      <c r="BQ582">
        <v>31.2</v>
      </c>
      <c r="BR582">
        <v>-0.01</v>
      </c>
      <c r="BS582">
        <v>55.42</v>
      </c>
      <c r="BT582">
        <v>42.62</v>
      </c>
      <c r="BU582">
        <v>16.559999999999999</v>
      </c>
      <c r="BV582">
        <v>1.6</v>
      </c>
      <c r="BW582">
        <v>34.03</v>
      </c>
      <c r="BX582">
        <v>7.09</v>
      </c>
      <c r="BY582">
        <v>16.22</v>
      </c>
      <c r="BZ582">
        <v>12.09</v>
      </c>
      <c r="CA582" t="s">
        <v>120</v>
      </c>
      <c r="CB582">
        <v>23.39</v>
      </c>
      <c r="CC582">
        <v>29.31</v>
      </c>
      <c r="CD582">
        <v>25.57</v>
      </c>
      <c r="CE582">
        <v>0.72</v>
      </c>
      <c r="CF582">
        <v>0</v>
      </c>
      <c r="CG582">
        <v>0.72</v>
      </c>
      <c r="CH582">
        <v>0.62</v>
      </c>
      <c r="CI582">
        <v>0.63</v>
      </c>
      <c r="CJ582">
        <v>-0.2</v>
      </c>
      <c r="CK582">
        <v>0.61</v>
      </c>
      <c r="CL582">
        <v>-0.78</v>
      </c>
      <c r="CM582">
        <v>0.12</v>
      </c>
      <c r="CN582">
        <v>0.78</v>
      </c>
      <c r="CO582">
        <v>66259</v>
      </c>
      <c r="CP582">
        <v>8530</v>
      </c>
      <c r="CQ582" t="s">
        <v>3644</v>
      </c>
      <c r="CR582">
        <v>216.15</v>
      </c>
      <c r="CS582">
        <v>71.16</v>
      </c>
      <c r="CT582">
        <v>1.39</v>
      </c>
      <c r="CU582">
        <v>348.42</v>
      </c>
      <c r="CV582">
        <v>1.48</v>
      </c>
      <c r="CW582">
        <v>0</v>
      </c>
      <c r="CX582" t="s">
        <v>535</v>
      </c>
      <c r="CY582">
        <v>3.92</v>
      </c>
      <c r="CZ582">
        <v>0</v>
      </c>
      <c r="DA582">
        <v>2.94</v>
      </c>
      <c r="DB582">
        <v>-0.1</v>
      </c>
      <c r="DC582">
        <v>0.02</v>
      </c>
      <c r="DD582">
        <v>44.58</v>
      </c>
      <c r="DE582" t="s">
        <v>412</v>
      </c>
      <c r="DF582">
        <v>12.77</v>
      </c>
      <c r="DG582">
        <v>2.44</v>
      </c>
      <c r="DH582">
        <v>2.17</v>
      </c>
      <c r="DI582">
        <v>1.22</v>
      </c>
      <c r="DJ582">
        <v>2243</v>
      </c>
      <c r="DK582">
        <v>2160</v>
      </c>
      <c r="DL582" t="s">
        <v>120</v>
      </c>
      <c r="DM582" t="s">
        <v>120</v>
      </c>
      <c r="DN582" t="s">
        <v>120</v>
      </c>
    </row>
    <row r="583" spans="1:118">
      <c r="A583" t="str">
        <f>"002161"</f>
        <v>002161</v>
      </c>
      <c r="B583" t="s">
        <v>3645</v>
      </c>
      <c r="C583">
        <v>-1.44</v>
      </c>
      <c r="D583">
        <v>-0.2</v>
      </c>
      <c r="E583">
        <v>0</v>
      </c>
      <c r="F583">
        <v>1550</v>
      </c>
      <c r="G583" t="s">
        <v>3646</v>
      </c>
      <c r="H583">
        <v>3085.25</v>
      </c>
      <c r="I583">
        <v>0.24</v>
      </c>
      <c r="J583" t="s">
        <v>120</v>
      </c>
      <c r="K583" t="s">
        <v>953</v>
      </c>
      <c r="L583">
        <v>0.89</v>
      </c>
      <c r="M583">
        <v>4.8</v>
      </c>
      <c r="N583">
        <v>0.63</v>
      </c>
      <c r="O583">
        <v>1.44</v>
      </c>
      <c r="P583">
        <v>4.9400000000000004</v>
      </c>
      <c r="Q583">
        <v>-1.44</v>
      </c>
      <c r="R583">
        <v>4.8</v>
      </c>
      <c r="S583">
        <v>4.87</v>
      </c>
      <c r="T583">
        <v>63492</v>
      </c>
      <c r="U583">
        <v>4.8</v>
      </c>
      <c r="V583">
        <v>4.87</v>
      </c>
      <c r="W583" t="s">
        <v>120</v>
      </c>
      <c r="X583" t="s">
        <v>462</v>
      </c>
      <c r="Y583" t="s">
        <v>123</v>
      </c>
      <c r="Z583">
        <v>2.87</v>
      </c>
      <c r="AA583">
        <v>4.8600000000000003</v>
      </c>
      <c r="AB583">
        <v>37480</v>
      </c>
      <c r="AC583">
        <v>26012</v>
      </c>
      <c r="AD583">
        <v>1.44</v>
      </c>
      <c r="AE583">
        <v>242</v>
      </c>
      <c r="AF583">
        <v>1435</v>
      </c>
      <c r="AG583" t="s">
        <v>120</v>
      </c>
      <c r="AH583">
        <v>0</v>
      </c>
      <c r="AI583" t="s">
        <v>120</v>
      </c>
      <c r="AJ583">
        <v>7.13</v>
      </c>
      <c r="AK583" t="s">
        <v>3647</v>
      </c>
      <c r="AL583">
        <v>0.48</v>
      </c>
      <c r="AM583">
        <v>1411</v>
      </c>
      <c r="AN583">
        <v>45</v>
      </c>
      <c r="AO583">
        <v>5.9999999999999995E-4</v>
      </c>
      <c r="AP583">
        <v>-1</v>
      </c>
      <c r="AQ583">
        <v>0.21</v>
      </c>
      <c r="AR583">
        <v>-2.63</v>
      </c>
      <c r="AS583">
        <v>4.3499999999999996</v>
      </c>
      <c r="AT583">
        <v>-14.44</v>
      </c>
      <c r="AU583">
        <v>-14.44</v>
      </c>
      <c r="AV583">
        <v>5</v>
      </c>
      <c r="AW583">
        <v>1.1499999999999999</v>
      </c>
      <c r="AX583">
        <v>74.849999999999994</v>
      </c>
      <c r="AY583" t="s">
        <v>120</v>
      </c>
      <c r="AZ583" t="s">
        <v>120</v>
      </c>
      <c r="BA583">
        <v>0.52</v>
      </c>
      <c r="BB583" t="s">
        <v>143</v>
      </c>
      <c r="BF583">
        <v>-0.22</v>
      </c>
      <c r="BG583">
        <v>-1.44</v>
      </c>
      <c r="BH583">
        <v>-2.83</v>
      </c>
      <c r="BI583">
        <v>0</v>
      </c>
      <c r="BJ583">
        <v>20210903</v>
      </c>
      <c r="BK583">
        <v>20070821</v>
      </c>
      <c r="BL583">
        <v>7.4</v>
      </c>
      <c r="BM583" t="s">
        <v>120</v>
      </c>
      <c r="BN583" t="s">
        <v>120</v>
      </c>
      <c r="BO583">
        <v>24.81</v>
      </c>
      <c r="BP583">
        <v>4.79</v>
      </c>
      <c r="BQ583">
        <v>14.01</v>
      </c>
      <c r="BR583">
        <v>-0.02</v>
      </c>
      <c r="BS583">
        <v>43.62</v>
      </c>
      <c r="BT583">
        <v>8.84</v>
      </c>
      <c r="BU583">
        <v>1.22</v>
      </c>
      <c r="BV583">
        <v>6.37</v>
      </c>
      <c r="BW583">
        <v>5.0199999999999996</v>
      </c>
      <c r="BX583">
        <v>1.64</v>
      </c>
      <c r="BY583">
        <v>1.85</v>
      </c>
      <c r="BZ583">
        <v>1.33</v>
      </c>
      <c r="CA583" t="s">
        <v>120</v>
      </c>
      <c r="CB583">
        <v>3.34</v>
      </c>
      <c r="CC583">
        <v>1.59</v>
      </c>
      <c r="CD583">
        <v>0.95</v>
      </c>
      <c r="CE583">
        <v>-1.36</v>
      </c>
      <c r="CF583">
        <v>-0.09</v>
      </c>
      <c r="CG583">
        <v>-1.35</v>
      </c>
      <c r="CH583">
        <v>-1.1200000000000001</v>
      </c>
      <c r="CI583">
        <v>-1.1100000000000001</v>
      </c>
      <c r="CJ583">
        <v>-7.0000000000000007E-2</v>
      </c>
      <c r="CK583">
        <v>-0.55000000000000004</v>
      </c>
      <c r="CL583">
        <v>2.58</v>
      </c>
      <c r="CM583">
        <v>0.6</v>
      </c>
      <c r="CN583">
        <v>-0.42</v>
      </c>
      <c r="CO583">
        <v>77180</v>
      </c>
      <c r="CP583">
        <v>7175</v>
      </c>
      <c r="CQ583" t="s">
        <v>3648</v>
      </c>
      <c r="CR583">
        <v>38.200000000000003</v>
      </c>
      <c r="CS583">
        <v>-20.059999999999999</v>
      </c>
      <c r="CT583">
        <v>2.5299999999999998</v>
      </c>
      <c r="CU583">
        <v>59.56</v>
      </c>
      <c r="CV583">
        <v>22.34</v>
      </c>
      <c r="CW583">
        <v>0</v>
      </c>
      <c r="CX583" t="s">
        <v>795</v>
      </c>
      <c r="CY583">
        <v>1.89</v>
      </c>
      <c r="CZ583">
        <v>0</v>
      </c>
      <c r="DA583">
        <v>0.45</v>
      </c>
      <c r="DB583">
        <v>0.35</v>
      </c>
      <c r="DC583">
        <v>0.08</v>
      </c>
      <c r="DD583">
        <v>56.46</v>
      </c>
      <c r="DE583" t="s">
        <v>3649</v>
      </c>
      <c r="DF583">
        <v>40.26</v>
      </c>
      <c r="DG583">
        <v>-85.85</v>
      </c>
      <c r="DH583">
        <v>-69.989999999999995</v>
      </c>
      <c r="DI583">
        <v>0.27</v>
      </c>
      <c r="DJ583">
        <v>704</v>
      </c>
      <c r="DK583">
        <v>2161</v>
      </c>
      <c r="DL583" t="s">
        <v>120</v>
      </c>
      <c r="DM583" t="s">
        <v>120</v>
      </c>
      <c r="DN583" t="s">
        <v>120</v>
      </c>
    </row>
    <row r="584" spans="1:118">
      <c r="A584" t="str">
        <f>"002162"</f>
        <v>002162</v>
      </c>
      <c r="B584" t="s">
        <v>3650</v>
      </c>
      <c r="C584">
        <v>2.33</v>
      </c>
      <c r="D584">
        <v>0</v>
      </c>
      <c r="E584">
        <v>0.21</v>
      </c>
      <c r="F584">
        <v>2625</v>
      </c>
      <c r="G584" t="s">
        <v>3651</v>
      </c>
      <c r="H584">
        <v>14558.93</v>
      </c>
      <c r="I584">
        <v>23.18</v>
      </c>
      <c r="J584" t="s">
        <v>120</v>
      </c>
      <c r="K584" t="s">
        <v>3652</v>
      </c>
      <c r="L584">
        <v>3.48</v>
      </c>
      <c r="M584">
        <v>4.83</v>
      </c>
      <c r="N584">
        <v>1.81</v>
      </c>
      <c r="O584">
        <v>6.78</v>
      </c>
      <c r="P584">
        <v>5.04</v>
      </c>
      <c r="Q584">
        <v>0</v>
      </c>
      <c r="R584">
        <v>4.72</v>
      </c>
      <c r="S584">
        <v>4.7300000000000004</v>
      </c>
      <c r="T584">
        <v>296875</v>
      </c>
      <c r="U584">
        <v>4.83</v>
      </c>
      <c r="V584">
        <v>4.72</v>
      </c>
      <c r="W584">
        <v>90.47</v>
      </c>
      <c r="X584" t="s">
        <v>3653</v>
      </c>
      <c r="Y584" t="s">
        <v>1510</v>
      </c>
      <c r="Z584">
        <v>6.78</v>
      </c>
      <c r="AA584">
        <v>4.9000000000000004</v>
      </c>
      <c r="AB584">
        <v>139754</v>
      </c>
      <c r="AC584">
        <v>157121</v>
      </c>
      <c r="AD584">
        <v>0.89</v>
      </c>
      <c r="AE584">
        <v>1273</v>
      </c>
      <c r="AF584">
        <v>771</v>
      </c>
      <c r="AG584" t="s">
        <v>120</v>
      </c>
      <c r="AH584">
        <v>0.01</v>
      </c>
      <c r="AI584" t="s">
        <v>120</v>
      </c>
      <c r="AJ584">
        <v>8.5299999999999994</v>
      </c>
      <c r="AK584" t="s">
        <v>3244</v>
      </c>
      <c r="AL584">
        <v>4.24</v>
      </c>
      <c r="AM584">
        <v>2976</v>
      </c>
      <c r="AN584">
        <v>100</v>
      </c>
      <c r="AO584">
        <v>1.1999999999999999E-3</v>
      </c>
      <c r="AP584">
        <v>2</v>
      </c>
      <c r="AQ584">
        <v>0.43</v>
      </c>
      <c r="AR584">
        <v>-0.2</v>
      </c>
      <c r="AS584">
        <v>10.029999999999999</v>
      </c>
      <c r="AT584">
        <v>-14.67</v>
      </c>
      <c r="AU584">
        <v>14.72</v>
      </c>
      <c r="AV584">
        <v>14</v>
      </c>
      <c r="AW584">
        <v>7.57</v>
      </c>
      <c r="AX584">
        <v>42.31</v>
      </c>
      <c r="AY584">
        <v>74.73</v>
      </c>
      <c r="AZ584">
        <v>76.459999999999994</v>
      </c>
      <c r="BA584">
        <v>0.74</v>
      </c>
      <c r="BB584" t="s">
        <v>143</v>
      </c>
      <c r="BF584">
        <v>3.9</v>
      </c>
      <c r="BG584">
        <v>2.11</v>
      </c>
      <c r="BH584">
        <v>-4.17</v>
      </c>
      <c r="BI584">
        <v>2.33</v>
      </c>
      <c r="BJ584">
        <v>20210913</v>
      </c>
      <c r="BK584">
        <v>20070823</v>
      </c>
      <c r="BL584">
        <v>9.27</v>
      </c>
      <c r="BM584" t="s">
        <v>120</v>
      </c>
      <c r="BN584" t="s">
        <v>120</v>
      </c>
      <c r="BO584">
        <v>26.27</v>
      </c>
      <c r="BP584">
        <v>4.82</v>
      </c>
      <c r="BQ584">
        <v>12.56</v>
      </c>
      <c r="BR584">
        <v>0.11</v>
      </c>
      <c r="BS584">
        <v>51.75</v>
      </c>
      <c r="BT584">
        <v>10.41</v>
      </c>
      <c r="BU584">
        <v>4.62</v>
      </c>
      <c r="BV584">
        <v>0.66</v>
      </c>
      <c r="BW584">
        <v>9.2200000000000006</v>
      </c>
      <c r="BX584">
        <v>2.57</v>
      </c>
      <c r="BY584">
        <v>3.37</v>
      </c>
      <c r="BZ584">
        <v>2.89</v>
      </c>
      <c r="CA584" t="s">
        <v>120</v>
      </c>
      <c r="CB584">
        <v>1.95</v>
      </c>
      <c r="CC584">
        <v>5.64</v>
      </c>
      <c r="CD584">
        <v>4.07</v>
      </c>
      <c r="CE584">
        <v>0.27</v>
      </c>
      <c r="CF584">
        <v>0.02</v>
      </c>
      <c r="CG584">
        <v>0.26</v>
      </c>
      <c r="CH584">
        <v>0.25</v>
      </c>
      <c r="CI584">
        <v>0.25</v>
      </c>
      <c r="CJ584">
        <v>0.11</v>
      </c>
      <c r="CK584">
        <v>0.12</v>
      </c>
      <c r="CL584">
        <v>-0.66</v>
      </c>
      <c r="CM584">
        <v>0.02</v>
      </c>
      <c r="CN584">
        <v>0.24</v>
      </c>
      <c r="CO584">
        <v>74127</v>
      </c>
      <c r="CP584">
        <v>5289</v>
      </c>
      <c r="CQ584" t="s">
        <v>2081</v>
      </c>
      <c r="CR584">
        <v>5.65</v>
      </c>
      <c r="CS584">
        <v>25.01</v>
      </c>
      <c r="CT584">
        <v>3.56</v>
      </c>
      <c r="CU584">
        <v>2945.82</v>
      </c>
      <c r="CV584">
        <v>7.94</v>
      </c>
      <c r="CW584">
        <v>0</v>
      </c>
      <c r="CX584" t="s">
        <v>2074</v>
      </c>
      <c r="CY584">
        <v>1.36</v>
      </c>
      <c r="CZ584">
        <v>0</v>
      </c>
      <c r="DA584">
        <v>0.21</v>
      </c>
      <c r="DB584">
        <v>-7.0000000000000007E-2</v>
      </c>
      <c r="DC584">
        <v>0</v>
      </c>
      <c r="DD584">
        <v>47.82</v>
      </c>
      <c r="DE584" t="s">
        <v>3654</v>
      </c>
      <c r="DF584">
        <v>27.82</v>
      </c>
      <c r="DG584">
        <v>4.71</v>
      </c>
      <c r="DH584">
        <v>4.3899999999999997</v>
      </c>
      <c r="DI584">
        <v>0.06</v>
      </c>
      <c r="DJ584">
        <v>881</v>
      </c>
      <c r="DK584">
        <v>2162</v>
      </c>
      <c r="DL584" t="s">
        <v>120</v>
      </c>
      <c r="DM584" t="s">
        <v>120</v>
      </c>
      <c r="DN584" t="s">
        <v>120</v>
      </c>
    </row>
    <row r="585" spans="1:118">
      <c r="A585" t="str">
        <f>"002163"</f>
        <v>002163</v>
      </c>
      <c r="B585" t="s">
        <v>3655</v>
      </c>
      <c r="C585">
        <v>-5.68</v>
      </c>
      <c r="D585">
        <v>0</v>
      </c>
      <c r="E585">
        <v>0.77</v>
      </c>
      <c r="F585">
        <v>1287</v>
      </c>
      <c r="G585" t="s">
        <v>3656</v>
      </c>
      <c r="H585">
        <v>29398.6</v>
      </c>
      <c r="I585">
        <v>35.71</v>
      </c>
      <c r="J585" t="s">
        <v>120</v>
      </c>
      <c r="K585" t="s">
        <v>3657</v>
      </c>
      <c r="L585">
        <v>2.4300000000000002</v>
      </c>
      <c r="M585">
        <v>14.79</v>
      </c>
      <c r="N585">
        <v>1.29</v>
      </c>
      <c r="O585">
        <v>1.72</v>
      </c>
      <c r="P585">
        <v>15.95</v>
      </c>
      <c r="Q585">
        <v>-7.53</v>
      </c>
      <c r="R585">
        <v>14.5</v>
      </c>
      <c r="S585">
        <v>15.8</v>
      </c>
      <c r="T585">
        <v>195141</v>
      </c>
      <c r="U585">
        <v>14.8</v>
      </c>
      <c r="V585">
        <v>15.68</v>
      </c>
      <c r="W585">
        <v>197.97</v>
      </c>
      <c r="X585" t="s">
        <v>3122</v>
      </c>
      <c r="Y585" t="s">
        <v>123</v>
      </c>
      <c r="Z585">
        <v>9.25</v>
      </c>
      <c r="AA585">
        <v>15.07</v>
      </c>
      <c r="AB585">
        <v>116397</v>
      </c>
      <c r="AC585">
        <v>78744</v>
      </c>
      <c r="AD585">
        <v>1.48</v>
      </c>
      <c r="AE585">
        <v>716</v>
      </c>
      <c r="AF585">
        <v>194</v>
      </c>
      <c r="AG585" t="s">
        <v>120</v>
      </c>
      <c r="AH585">
        <v>0</v>
      </c>
      <c r="AI585" t="s">
        <v>120</v>
      </c>
      <c r="AJ585">
        <v>8.0399999999999991</v>
      </c>
      <c r="AK585" t="s">
        <v>3657</v>
      </c>
      <c r="AL585">
        <v>-3.76</v>
      </c>
      <c r="AM585">
        <v>3677</v>
      </c>
      <c r="AN585">
        <v>53</v>
      </c>
      <c r="AO585">
        <v>6.9999999999999999E-4</v>
      </c>
      <c r="AP585">
        <v>-5</v>
      </c>
      <c r="AQ585">
        <v>-0.51</v>
      </c>
      <c r="AR585">
        <v>-7.97</v>
      </c>
      <c r="AS585">
        <v>6.78</v>
      </c>
      <c r="AT585">
        <v>-18.239999999999998</v>
      </c>
      <c r="AU585">
        <v>-29.33</v>
      </c>
      <c r="AV585">
        <v>4</v>
      </c>
      <c r="AW585">
        <v>3.33</v>
      </c>
      <c r="AX585">
        <v>72.88</v>
      </c>
      <c r="AY585">
        <v>84.62</v>
      </c>
      <c r="AZ585">
        <v>84.25</v>
      </c>
      <c r="BA585">
        <v>0.39</v>
      </c>
      <c r="BB585" t="s">
        <v>143</v>
      </c>
      <c r="BF585">
        <v>-3.92</v>
      </c>
      <c r="BG585">
        <v>-6.39</v>
      </c>
      <c r="BH585">
        <v>-7.27</v>
      </c>
      <c r="BI585">
        <v>2</v>
      </c>
      <c r="BJ585">
        <v>20210903</v>
      </c>
      <c r="BK585">
        <v>20070823</v>
      </c>
      <c r="BL585">
        <v>8.0399999999999991</v>
      </c>
      <c r="BM585" t="s">
        <v>120</v>
      </c>
      <c r="BN585" t="s">
        <v>120</v>
      </c>
      <c r="BO585">
        <v>55.56</v>
      </c>
      <c r="BP585">
        <v>14.79</v>
      </c>
      <c r="BQ585">
        <v>8.42</v>
      </c>
      <c r="BR585">
        <v>2.48</v>
      </c>
      <c r="BS585">
        <v>80.39</v>
      </c>
      <c r="BT585">
        <v>27.92</v>
      </c>
      <c r="BU585">
        <v>11.84</v>
      </c>
      <c r="BV585">
        <v>1.3</v>
      </c>
      <c r="BW585">
        <v>33.93</v>
      </c>
      <c r="BX585">
        <v>6.28</v>
      </c>
      <c r="BY585">
        <v>1.92</v>
      </c>
      <c r="BZ585">
        <v>9.23</v>
      </c>
      <c r="CA585">
        <v>0</v>
      </c>
      <c r="CB585">
        <v>4.45</v>
      </c>
      <c r="CC585">
        <v>16.59</v>
      </c>
      <c r="CD585">
        <v>13.98</v>
      </c>
      <c r="CE585">
        <v>0.78</v>
      </c>
      <c r="CF585">
        <v>0.04</v>
      </c>
      <c r="CG585">
        <v>0.77</v>
      </c>
      <c r="CH585">
        <v>0.54</v>
      </c>
      <c r="CI585">
        <v>0.3</v>
      </c>
      <c r="CJ585">
        <v>-0.89</v>
      </c>
      <c r="CK585">
        <v>-0.11</v>
      </c>
      <c r="CL585">
        <v>-4.7</v>
      </c>
      <c r="CM585">
        <v>-2.33</v>
      </c>
      <c r="CN585">
        <v>-2.5099999999999998</v>
      </c>
      <c r="CO585">
        <v>56141</v>
      </c>
      <c r="CP585">
        <v>10431</v>
      </c>
      <c r="CQ585" t="s">
        <v>3658</v>
      </c>
      <c r="CR585">
        <v>-2.1800000000000002</v>
      </c>
      <c r="CS585">
        <v>-8.4600000000000009</v>
      </c>
      <c r="CT585">
        <v>14.12</v>
      </c>
      <c r="CU585">
        <v>-51.08</v>
      </c>
      <c r="CV585">
        <v>7.16</v>
      </c>
      <c r="CW585">
        <v>0</v>
      </c>
      <c r="CX585" t="s">
        <v>145</v>
      </c>
      <c r="CY585">
        <v>1.05</v>
      </c>
      <c r="CZ585">
        <v>0</v>
      </c>
      <c r="DA585">
        <v>0.55000000000000004</v>
      </c>
      <c r="DB585">
        <v>-0.57999999999999996</v>
      </c>
      <c r="DC585">
        <v>-0.28999999999999998</v>
      </c>
      <c r="DD585">
        <v>15.15</v>
      </c>
      <c r="DE585" t="s">
        <v>2386</v>
      </c>
      <c r="DF585">
        <v>15.73</v>
      </c>
      <c r="DG585">
        <v>4.6900000000000004</v>
      </c>
      <c r="DH585">
        <v>1.81</v>
      </c>
      <c r="DI585">
        <v>0.61</v>
      </c>
      <c r="DJ585">
        <v>2942</v>
      </c>
      <c r="DK585">
        <v>2163</v>
      </c>
      <c r="DL585" t="s">
        <v>120</v>
      </c>
      <c r="DM585" t="s">
        <v>120</v>
      </c>
      <c r="DN585" t="s">
        <v>120</v>
      </c>
    </row>
    <row r="586" spans="1:118">
      <c r="A586" t="str">
        <f>"002164"</f>
        <v>002164</v>
      </c>
      <c r="B586" t="s">
        <v>3659</v>
      </c>
      <c r="C586">
        <v>-2.11</v>
      </c>
      <c r="D586">
        <v>0</v>
      </c>
      <c r="E586">
        <v>0</v>
      </c>
      <c r="F586">
        <v>733</v>
      </c>
      <c r="G586" t="s">
        <v>3660</v>
      </c>
      <c r="H586">
        <v>4456.71</v>
      </c>
      <c r="I586">
        <v>33.6</v>
      </c>
      <c r="J586" t="s">
        <v>120</v>
      </c>
      <c r="K586" t="s">
        <v>3661</v>
      </c>
      <c r="L586">
        <v>1.82</v>
      </c>
      <c r="M586">
        <v>5.0999999999999996</v>
      </c>
      <c r="N586">
        <v>0.65</v>
      </c>
      <c r="O586">
        <v>1.73</v>
      </c>
      <c r="P586">
        <v>5.3</v>
      </c>
      <c r="Q586">
        <v>-2.2999999999999998</v>
      </c>
      <c r="R586">
        <v>5.09</v>
      </c>
      <c r="S586">
        <v>5.21</v>
      </c>
      <c r="T586">
        <v>86122</v>
      </c>
      <c r="U586">
        <v>5.1100000000000003</v>
      </c>
      <c r="V586">
        <v>5.21</v>
      </c>
      <c r="W586" t="s">
        <v>120</v>
      </c>
      <c r="X586" t="s">
        <v>394</v>
      </c>
      <c r="Y586" t="s">
        <v>585</v>
      </c>
      <c r="Z586">
        <v>4.03</v>
      </c>
      <c r="AA586">
        <v>5.17</v>
      </c>
      <c r="AB586">
        <v>49547</v>
      </c>
      <c r="AC586">
        <v>36575</v>
      </c>
      <c r="AD586">
        <v>1.35</v>
      </c>
      <c r="AE586">
        <v>17</v>
      </c>
      <c r="AF586">
        <v>242</v>
      </c>
      <c r="AG586" t="s">
        <v>120</v>
      </c>
      <c r="AH586">
        <v>0.02</v>
      </c>
      <c r="AI586" t="s">
        <v>120</v>
      </c>
      <c r="AJ586">
        <v>4.74</v>
      </c>
      <c r="AK586" t="s">
        <v>3662</v>
      </c>
      <c r="AL586">
        <v>-0.2</v>
      </c>
      <c r="AM586">
        <v>1621</v>
      </c>
      <c r="AN586">
        <v>53</v>
      </c>
      <c r="AO586">
        <v>1.1000000000000001E-3</v>
      </c>
      <c r="AP586">
        <v>-1</v>
      </c>
      <c r="AQ586">
        <v>1.17</v>
      </c>
      <c r="AR586">
        <v>-5.55</v>
      </c>
      <c r="AS586">
        <v>4.51</v>
      </c>
      <c r="AT586">
        <v>-14.72</v>
      </c>
      <c r="AU586">
        <v>-15</v>
      </c>
      <c r="AV586">
        <v>8</v>
      </c>
      <c r="AW586">
        <v>2.89</v>
      </c>
      <c r="AX586">
        <v>56.01</v>
      </c>
      <c r="AY586">
        <v>20.16</v>
      </c>
      <c r="AZ586">
        <v>1.9</v>
      </c>
      <c r="BA586">
        <v>0.57999999999999996</v>
      </c>
      <c r="BB586" t="s">
        <v>143</v>
      </c>
      <c r="BF586">
        <v>-0.67</v>
      </c>
      <c r="BG586">
        <v>-2.11</v>
      </c>
      <c r="BH586">
        <v>-3.77</v>
      </c>
      <c r="BI586">
        <v>0.2</v>
      </c>
      <c r="BJ586">
        <v>20210901</v>
      </c>
      <c r="BK586">
        <v>20070823</v>
      </c>
      <c r="BL586">
        <v>5.32</v>
      </c>
      <c r="BM586" t="s">
        <v>120</v>
      </c>
      <c r="BN586" t="s">
        <v>120</v>
      </c>
      <c r="BO586">
        <v>19.87</v>
      </c>
      <c r="BP586">
        <v>5.0999999999999996</v>
      </c>
      <c r="BQ586">
        <v>4.24</v>
      </c>
      <c r="BR586">
        <v>0.03</v>
      </c>
      <c r="BS586">
        <v>78.52</v>
      </c>
      <c r="BT586">
        <v>9.26</v>
      </c>
      <c r="BU586">
        <v>4.88</v>
      </c>
      <c r="BV586">
        <v>1.51</v>
      </c>
      <c r="BW586">
        <v>8.4700000000000006</v>
      </c>
      <c r="BX586">
        <v>0.89</v>
      </c>
      <c r="BY586">
        <v>3.62</v>
      </c>
      <c r="BZ586">
        <v>3.36</v>
      </c>
      <c r="CA586">
        <v>0.05</v>
      </c>
      <c r="CB586">
        <v>10.81</v>
      </c>
      <c r="CC586">
        <v>7.84</v>
      </c>
      <c r="CD586">
        <v>5.71</v>
      </c>
      <c r="CE586">
        <v>1.1000000000000001</v>
      </c>
      <c r="CF586">
        <v>0.01</v>
      </c>
      <c r="CG586">
        <v>-1.88</v>
      </c>
      <c r="CH586">
        <v>-2.02</v>
      </c>
      <c r="CI586">
        <v>-2.02</v>
      </c>
      <c r="CJ586">
        <v>-0.11</v>
      </c>
      <c r="CK586">
        <v>0.88</v>
      </c>
      <c r="CL586">
        <v>-12.34</v>
      </c>
      <c r="CM586">
        <v>0.19</v>
      </c>
      <c r="CN586">
        <v>-0.36</v>
      </c>
      <c r="CO586">
        <v>51138</v>
      </c>
      <c r="CP586">
        <v>5829</v>
      </c>
      <c r="CQ586" t="s">
        <v>3663</v>
      </c>
      <c r="CR586">
        <v>-118.06</v>
      </c>
      <c r="CS586">
        <v>50.56</v>
      </c>
      <c r="CT586">
        <v>6.4</v>
      </c>
      <c r="CU586">
        <v>145.82</v>
      </c>
      <c r="CV586">
        <v>3.46</v>
      </c>
      <c r="CW586">
        <v>0</v>
      </c>
      <c r="CX586" t="s">
        <v>1350</v>
      </c>
      <c r="CY586">
        <v>0.8</v>
      </c>
      <c r="CZ586">
        <v>0</v>
      </c>
      <c r="DA586">
        <v>2.0299999999999998</v>
      </c>
      <c r="DB586">
        <v>-2.3199999999999998</v>
      </c>
      <c r="DC586">
        <v>0.03</v>
      </c>
      <c r="DD586">
        <v>21.35</v>
      </c>
      <c r="DE586" t="s">
        <v>3664</v>
      </c>
      <c r="DF586">
        <v>27.13</v>
      </c>
      <c r="DG586">
        <v>13.99</v>
      </c>
      <c r="DH586">
        <v>-25.81</v>
      </c>
      <c r="DI586">
        <v>0.31</v>
      </c>
      <c r="DJ586">
        <v>1548</v>
      </c>
      <c r="DK586">
        <v>2164</v>
      </c>
      <c r="DL586" t="s">
        <v>120</v>
      </c>
      <c r="DM586" t="s">
        <v>120</v>
      </c>
      <c r="DN586" t="s">
        <v>120</v>
      </c>
    </row>
    <row r="587" spans="1:118">
      <c r="A587" t="str">
        <f>"002165"</f>
        <v>002165</v>
      </c>
      <c r="B587" t="s">
        <v>3665</v>
      </c>
      <c r="C587">
        <v>10.06</v>
      </c>
      <c r="D587">
        <v>0</v>
      </c>
      <c r="E587">
        <v>10.06</v>
      </c>
      <c r="F587">
        <v>1278</v>
      </c>
      <c r="G587" t="s">
        <v>3666</v>
      </c>
      <c r="H587">
        <v>62349.01</v>
      </c>
      <c r="I587">
        <v>1762.67</v>
      </c>
      <c r="J587">
        <v>12836.74</v>
      </c>
      <c r="K587" t="s">
        <v>3667</v>
      </c>
      <c r="L587">
        <v>13.99</v>
      </c>
      <c r="M587">
        <v>7.55</v>
      </c>
      <c r="N587">
        <v>1.58</v>
      </c>
      <c r="O587">
        <v>10.06</v>
      </c>
      <c r="P587">
        <v>7.55</v>
      </c>
      <c r="Q587">
        <v>2.04</v>
      </c>
      <c r="R587">
        <v>7</v>
      </c>
      <c r="S587">
        <v>7.55</v>
      </c>
      <c r="T587">
        <v>831416</v>
      </c>
      <c r="U587" t="s">
        <v>120</v>
      </c>
      <c r="V587">
        <v>6.86</v>
      </c>
      <c r="W587">
        <v>86.93</v>
      </c>
      <c r="X587" t="s">
        <v>868</v>
      </c>
      <c r="Y587" t="s">
        <v>319</v>
      </c>
      <c r="Z587">
        <v>8.02</v>
      </c>
      <c r="AA587">
        <v>7.5</v>
      </c>
      <c r="AB587">
        <v>618639</v>
      </c>
      <c r="AC587">
        <v>212777</v>
      </c>
      <c r="AD587">
        <v>2.91</v>
      </c>
      <c r="AE587">
        <v>170023</v>
      </c>
      <c r="AF587">
        <v>0</v>
      </c>
      <c r="AG587" t="s">
        <v>120</v>
      </c>
      <c r="AH587">
        <v>0.55000000000000004</v>
      </c>
      <c r="AI587">
        <v>0.2</v>
      </c>
      <c r="AJ587">
        <v>5.94</v>
      </c>
      <c r="AK587" t="s">
        <v>3668</v>
      </c>
      <c r="AL587">
        <v>11.97</v>
      </c>
      <c r="AM587">
        <v>2220</v>
      </c>
      <c r="AN587">
        <v>375</v>
      </c>
      <c r="AO587">
        <v>6.3E-3</v>
      </c>
      <c r="AP587">
        <v>2</v>
      </c>
      <c r="AQ587">
        <v>9.94</v>
      </c>
      <c r="AR587">
        <v>17.239999999999998</v>
      </c>
      <c r="AS587">
        <v>54.4</v>
      </c>
      <c r="AT587">
        <v>60.3</v>
      </c>
      <c r="AU587">
        <v>33.630000000000003</v>
      </c>
      <c r="AV587">
        <v>5</v>
      </c>
      <c r="AW587">
        <v>19.55</v>
      </c>
      <c r="AX587">
        <v>57.85</v>
      </c>
      <c r="AY587">
        <v>50.29</v>
      </c>
      <c r="AZ587">
        <v>41.97</v>
      </c>
      <c r="BA587">
        <v>0.46</v>
      </c>
      <c r="BB587" t="s">
        <v>184</v>
      </c>
      <c r="BF587">
        <v>9.32</v>
      </c>
      <c r="BG587">
        <v>0</v>
      </c>
      <c r="BH587">
        <v>0</v>
      </c>
      <c r="BI587">
        <v>7.86</v>
      </c>
      <c r="BJ587">
        <v>20210903</v>
      </c>
      <c r="BK587">
        <v>20070913</v>
      </c>
      <c r="BL587">
        <v>7.35</v>
      </c>
      <c r="BM587" t="s">
        <v>120</v>
      </c>
      <c r="BN587" t="s">
        <v>120</v>
      </c>
      <c r="BO587">
        <v>49.14</v>
      </c>
      <c r="BP587">
        <v>7.55</v>
      </c>
      <c r="BQ587">
        <v>16.93</v>
      </c>
      <c r="BR587">
        <v>0.06</v>
      </c>
      <c r="BS587">
        <v>65.41</v>
      </c>
      <c r="BT587">
        <v>24.88</v>
      </c>
      <c r="BU587">
        <v>14.06</v>
      </c>
      <c r="BV587">
        <v>2.2400000000000002</v>
      </c>
      <c r="BW587">
        <v>25.87</v>
      </c>
      <c r="BX587">
        <v>5.74</v>
      </c>
      <c r="BY587">
        <v>4.17</v>
      </c>
      <c r="BZ587">
        <v>4.58</v>
      </c>
      <c r="CA587" t="s">
        <v>120</v>
      </c>
      <c r="CB587">
        <v>2.98</v>
      </c>
      <c r="CC587">
        <v>17.37</v>
      </c>
      <c r="CD587">
        <v>14.93</v>
      </c>
      <c r="CE587">
        <v>0.38</v>
      </c>
      <c r="CF587">
        <v>0</v>
      </c>
      <c r="CG587">
        <v>0.38</v>
      </c>
      <c r="CH587">
        <v>0.32</v>
      </c>
      <c r="CI587">
        <v>0.32</v>
      </c>
      <c r="CJ587">
        <v>0.69</v>
      </c>
      <c r="CK587">
        <v>0.24</v>
      </c>
      <c r="CL587">
        <v>6.97</v>
      </c>
      <c r="CM587">
        <v>-0.94</v>
      </c>
      <c r="CN587">
        <v>2.16</v>
      </c>
      <c r="CO587">
        <v>36000</v>
      </c>
      <c r="CP587">
        <v>11814</v>
      </c>
      <c r="CQ587" t="s">
        <v>2442</v>
      </c>
      <c r="CR587">
        <v>-38.39</v>
      </c>
      <c r="CS587">
        <v>79.22</v>
      </c>
      <c r="CT587">
        <v>2.68</v>
      </c>
      <c r="CU587">
        <v>-59.35</v>
      </c>
      <c r="CV587">
        <v>3.2</v>
      </c>
      <c r="CW587">
        <v>1.17</v>
      </c>
      <c r="CX587" t="s">
        <v>1248</v>
      </c>
      <c r="CY587">
        <v>2.81</v>
      </c>
      <c r="CZ587">
        <v>2.81</v>
      </c>
      <c r="DA587">
        <v>0.41</v>
      </c>
      <c r="DB587">
        <v>0.95</v>
      </c>
      <c r="DC587">
        <v>-0.13</v>
      </c>
      <c r="DD587">
        <v>34.46</v>
      </c>
      <c r="DE587" t="s">
        <v>3669</v>
      </c>
      <c r="DF587">
        <v>14.03</v>
      </c>
      <c r="DG587">
        <v>2.19</v>
      </c>
      <c r="DH587">
        <v>1.84</v>
      </c>
      <c r="DI587">
        <v>0.5</v>
      </c>
      <c r="DJ587">
        <v>1331</v>
      </c>
      <c r="DK587">
        <v>2165</v>
      </c>
      <c r="DL587" t="s">
        <v>120</v>
      </c>
      <c r="DM587" t="s">
        <v>120</v>
      </c>
      <c r="DN587" t="s">
        <v>120</v>
      </c>
    </row>
    <row r="588" spans="1:118">
      <c r="A588" t="str">
        <f>"002166"</f>
        <v>002166</v>
      </c>
      <c r="B588" t="s">
        <v>3670</v>
      </c>
      <c r="C588">
        <v>1.1000000000000001</v>
      </c>
      <c r="D588">
        <v>0.36</v>
      </c>
      <c r="E588">
        <v>-0.37</v>
      </c>
      <c r="F588">
        <v>1653</v>
      </c>
      <c r="G588" t="s">
        <v>142</v>
      </c>
      <c r="H588">
        <v>9876.2800000000007</v>
      </c>
      <c r="I588">
        <v>18.72</v>
      </c>
      <c r="J588" t="s">
        <v>120</v>
      </c>
      <c r="K588" t="s">
        <v>1983</v>
      </c>
      <c r="L588">
        <v>2.59</v>
      </c>
      <c r="M588">
        <v>8.26</v>
      </c>
      <c r="N588">
        <v>1.1499999999999999</v>
      </c>
      <c r="O588">
        <v>2.82</v>
      </c>
      <c r="P588">
        <v>8.4</v>
      </c>
      <c r="Q588">
        <v>-0.61</v>
      </c>
      <c r="R588">
        <v>8.1199999999999992</v>
      </c>
      <c r="S588">
        <v>8.14</v>
      </c>
      <c r="T588">
        <v>119058</v>
      </c>
      <c r="U588">
        <v>8.26</v>
      </c>
      <c r="V588">
        <v>8.17</v>
      </c>
      <c r="W588">
        <v>39.15</v>
      </c>
      <c r="X588" t="s">
        <v>771</v>
      </c>
      <c r="Y588" t="s">
        <v>945</v>
      </c>
      <c r="Z588">
        <v>3.43</v>
      </c>
      <c r="AA588">
        <v>8.3000000000000007</v>
      </c>
      <c r="AB588">
        <v>49487</v>
      </c>
      <c r="AC588">
        <v>69571</v>
      </c>
      <c r="AD588">
        <v>0.71</v>
      </c>
      <c r="AE588">
        <v>162</v>
      </c>
      <c r="AF588">
        <v>65</v>
      </c>
      <c r="AG588" t="s">
        <v>120</v>
      </c>
      <c r="AH588">
        <v>0.01</v>
      </c>
      <c r="AI588" t="s">
        <v>120</v>
      </c>
      <c r="AJ588">
        <v>4.5999999999999996</v>
      </c>
      <c r="AK588" t="s">
        <v>3671</v>
      </c>
      <c r="AL588">
        <v>3.02</v>
      </c>
      <c r="AM588">
        <v>2141</v>
      </c>
      <c r="AN588">
        <v>56</v>
      </c>
      <c r="AO588">
        <v>1.1999999999999999E-3</v>
      </c>
      <c r="AP588">
        <v>2</v>
      </c>
      <c r="AQ588">
        <v>0.37</v>
      </c>
      <c r="AR588">
        <v>0.13</v>
      </c>
      <c r="AS588">
        <v>0.73</v>
      </c>
      <c r="AT588">
        <v>8.26</v>
      </c>
      <c r="AU588">
        <v>-1.31</v>
      </c>
      <c r="AV588">
        <v>0</v>
      </c>
      <c r="AW588">
        <v>3.17</v>
      </c>
      <c r="AX588">
        <v>66.349999999999994</v>
      </c>
      <c r="AY588">
        <v>50.32</v>
      </c>
      <c r="AZ588">
        <v>53.7</v>
      </c>
      <c r="BA588">
        <v>0.27</v>
      </c>
      <c r="BB588" t="s">
        <v>125</v>
      </c>
      <c r="BF588">
        <v>1.53</v>
      </c>
      <c r="BG588">
        <v>1.47</v>
      </c>
      <c r="BH588">
        <v>-1.67</v>
      </c>
      <c r="BI588">
        <v>1.72</v>
      </c>
      <c r="BJ588">
        <v>20210830</v>
      </c>
      <c r="BK588">
        <v>20070913</v>
      </c>
      <c r="BL588">
        <v>5.65</v>
      </c>
      <c r="BM588" t="s">
        <v>120</v>
      </c>
      <c r="BN588" t="s">
        <v>120</v>
      </c>
      <c r="BO588">
        <v>28.82</v>
      </c>
      <c r="BP588">
        <v>8.23</v>
      </c>
      <c r="BQ588">
        <v>18.18</v>
      </c>
      <c r="BR588">
        <v>0.23</v>
      </c>
      <c r="BS588">
        <v>36.119999999999997</v>
      </c>
      <c r="BT588">
        <v>14.79</v>
      </c>
      <c r="BU588">
        <v>6.31</v>
      </c>
      <c r="BV588">
        <v>0.8</v>
      </c>
      <c r="BW588">
        <v>8.81</v>
      </c>
      <c r="BX588">
        <v>1.06</v>
      </c>
      <c r="BY588">
        <v>5.56</v>
      </c>
      <c r="BZ588">
        <v>1.73</v>
      </c>
      <c r="CA588" t="s">
        <v>120</v>
      </c>
      <c r="CB588">
        <v>6.04</v>
      </c>
      <c r="CC588">
        <v>4.53</v>
      </c>
      <c r="CD588">
        <v>3.26</v>
      </c>
      <c r="CE588">
        <v>0.77</v>
      </c>
      <c r="CF588">
        <v>0.05</v>
      </c>
      <c r="CG588">
        <v>0.77</v>
      </c>
      <c r="CH588">
        <v>0.64</v>
      </c>
      <c r="CI588">
        <v>0.6</v>
      </c>
      <c r="CJ588">
        <v>0.09</v>
      </c>
      <c r="CK588">
        <v>0.35</v>
      </c>
      <c r="CL588">
        <v>6.04</v>
      </c>
      <c r="CM588">
        <v>1.02</v>
      </c>
      <c r="CN588">
        <v>-0.69</v>
      </c>
      <c r="CO588">
        <v>54839</v>
      </c>
      <c r="CP588">
        <v>6839</v>
      </c>
      <c r="CQ588" t="s">
        <v>3672</v>
      </c>
      <c r="CR588">
        <v>10.75</v>
      </c>
      <c r="CS588">
        <v>61.36</v>
      </c>
      <c r="CT588">
        <v>2.57</v>
      </c>
      <c r="CU588">
        <v>45.59</v>
      </c>
      <c r="CV588">
        <v>10.31</v>
      </c>
      <c r="CW588">
        <v>0.61</v>
      </c>
      <c r="CX588" t="s">
        <v>1147</v>
      </c>
      <c r="CY588">
        <v>3.22</v>
      </c>
      <c r="CZ588">
        <v>0</v>
      </c>
      <c r="DA588">
        <v>1.07</v>
      </c>
      <c r="DB588">
        <v>1.07</v>
      </c>
      <c r="DC588">
        <v>0.18</v>
      </c>
      <c r="DD588">
        <v>63.07</v>
      </c>
      <c r="DE588" t="s">
        <v>2930</v>
      </c>
      <c r="DF588">
        <v>28.01</v>
      </c>
      <c r="DG588">
        <v>16.97</v>
      </c>
      <c r="DH588">
        <v>13.17</v>
      </c>
      <c r="DI588">
        <v>0.15</v>
      </c>
      <c r="DJ588">
        <v>685</v>
      </c>
      <c r="DK588">
        <v>2166</v>
      </c>
      <c r="DL588" t="s">
        <v>120</v>
      </c>
      <c r="DM588" t="s">
        <v>120</v>
      </c>
      <c r="DN588" t="s">
        <v>120</v>
      </c>
    </row>
    <row r="589" spans="1:118">
      <c r="A589" t="str">
        <f>"002167"</f>
        <v>002167</v>
      </c>
      <c r="B589" t="s">
        <v>3673</v>
      </c>
      <c r="C589">
        <v>-1.06</v>
      </c>
      <c r="D589">
        <v>-0.08</v>
      </c>
      <c r="E589">
        <v>2.65</v>
      </c>
      <c r="F589">
        <v>9473</v>
      </c>
      <c r="G589" t="s">
        <v>3674</v>
      </c>
      <c r="H589">
        <v>91349.39</v>
      </c>
      <c r="I589">
        <v>697.28</v>
      </c>
      <c r="J589" t="s">
        <v>120</v>
      </c>
      <c r="K589" t="s">
        <v>3675</v>
      </c>
      <c r="L589">
        <v>13.88</v>
      </c>
      <c r="M589">
        <v>11.18</v>
      </c>
      <c r="N589">
        <v>1.25</v>
      </c>
      <c r="O589">
        <v>6.02</v>
      </c>
      <c r="P589">
        <v>11.98</v>
      </c>
      <c r="Q589">
        <v>-1.06</v>
      </c>
      <c r="R589">
        <v>11.18</v>
      </c>
      <c r="S589">
        <v>11.6</v>
      </c>
      <c r="T589">
        <v>788055</v>
      </c>
      <c r="U589">
        <v>11.19</v>
      </c>
      <c r="V589">
        <v>11.3</v>
      </c>
      <c r="W589">
        <v>72.94</v>
      </c>
      <c r="X589" t="s">
        <v>1390</v>
      </c>
      <c r="Y589" t="s">
        <v>547</v>
      </c>
      <c r="Z589">
        <v>7.08</v>
      </c>
      <c r="AA589">
        <v>11.59</v>
      </c>
      <c r="AB589">
        <v>343188</v>
      </c>
      <c r="AC589">
        <v>444867</v>
      </c>
      <c r="AD589">
        <v>0.77</v>
      </c>
      <c r="AE589">
        <v>555</v>
      </c>
      <c r="AF589">
        <v>1292</v>
      </c>
      <c r="AG589" t="s">
        <v>120</v>
      </c>
      <c r="AH589">
        <v>0.13</v>
      </c>
      <c r="AI589" t="s">
        <v>120</v>
      </c>
      <c r="AJ589">
        <v>5.68</v>
      </c>
      <c r="AK589" t="s">
        <v>3676</v>
      </c>
      <c r="AL589">
        <v>0.85</v>
      </c>
      <c r="AM589">
        <v>4422</v>
      </c>
      <c r="AN589">
        <v>178</v>
      </c>
      <c r="AO589">
        <v>3.0999999999999999E-3</v>
      </c>
      <c r="AP589">
        <v>-1</v>
      </c>
      <c r="AQ589">
        <v>0.27</v>
      </c>
      <c r="AR589">
        <v>-0.17</v>
      </c>
      <c r="AS589">
        <v>13.73</v>
      </c>
      <c r="AT589">
        <v>52.94</v>
      </c>
      <c r="AU589">
        <v>81.790000000000006</v>
      </c>
      <c r="AV589">
        <v>4</v>
      </c>
      <c r="AW589">
        <v>17.36</v>
      </c>
      <c r="AX589">
        <v>58.84</v>
      </c>
      <c r="AY589" t="s">
        <v>120</v>
      </c>
      <c r="AZ589" t="s">
        <v>120</v>
      </c>
      <c r="BA589">
        <v>0.48</v>
      </c>
      <c r="BB589" t="s">
        <v>184</v>
      </c>
      <c r="BF589">
        <v>2.58</v>
      </c>
      <c r="BG589">
        <v>-3.62</v>
      </c>
      <c r="BH589">
        <v>-6.68</v>
      </c>
      <c r="BI589">
        <v>0</v>
      </c>
      <c r="BJ589">
        <v>20210807</v>
      </c>
      <c r="BK589">
        <v>20070913</v>
      </c>
      <c r="BL589">
        <v>7.71</v>
      </c>
      <c r="BM589" t="s">
        <v>120</v>
      </c>
      <c r="BN589" t="s">
        <v>120</v>
      </c>
      <c r="BO589">
        <v>19.27</v>
      </c>
      <c r="BP589">
        <v>11.18</v>
      </c>
      <c r="BQ589">
        <v>11.64</v>
      </c>
      <c r="BR589">
        <v>-0.49</v>
      </c>
      <c r="BS589">
        <v>42.15</v>
      </c>
      <c r="BT589">
        <v>5.85</v>
      </c>
      <c r="BU589">
        <v>6.33</v>
      </c>
      <c r="BV589">
        <v>5.16</v>
      </c>
      <c r="BW589">
        <v>7.62</v>
      </c>
      <c r="BX589">
        <v>0.44</v>
      </c>
      <c r="BY589">
        <v>3.55</v>
      </c>
      <c r="BZ589">
        <v>1.24</v>
      </c>
      <c r="CA589" t="s">
        <v>120</v>
      </c>
      <c r="CB589">
        <v>10.55</v>
      </c>
      <c r="CC589">
        <v>5.81</v>
      </c>
      <c r="CD589">
        <v>4.71</v>
      </c>
      <c r="CE589">
        <v>0.64</v>
      </c>
      <c r="CF589">
        <v>0.4</v>
      </c>
      <c r="CG589">
        <v>0.63</v>
      </c>
      <c r="CH589">
        <v>0.57999999999999996</v>
      </c>
      <c r="CI589">
        <v>0.59</v>
      </c>
      <c r="CJ589">
        <v>-0.12</v>
      </c>
      <c r="CK589">
        <v>0.28999999999999998</v>
      </c>
      <c r="CL589">
        <v>-4.3899999999999997</v>
      </c>
      <c r="CM589">
        <v>3.72</v>
      </c>
      <c r="CN589">
        <v>0.18</v>
      </c>
      <c r="CO589">
        <v>48520</v>
      </c>
      <c r="CP589">
        <v>9355</v>
      </c>
      <c r="CQ589" t="s">
        <v>3307</v>
      </c>
      <c r="CR589">
        <v>224.57</v>
      </c>
      <c r="CS589">
        <v>116.47</v>
      </c>
      <c r="CT589">
        <v>7.41</v>
      </c>
      <c r="CU589">
        <v>23.21</v>
      </c>
      <c r="CV589">
        <v>14.85</v>
      </c>
      <c r="CW589">
        <v>0</v>
      </c>
      <c r="CX589" t="s">
        <v>535</v>
      </c>
      <c r="CY589">
        <v>1.51</v>
      </c>
      <c r="CZ589">
        <v>0</v>
      </c>
      <c r="DA589">
        <v>1.37</v>
      </c>
      <c r="DB589">
        <v>-0.56999999999999995</v>
      </c>
      <c r="DC589">
        <v>0.48</v>
      </c>
      <c r="DD589">
        <v>60.38</v>
      </c>
      <c r="DE589" t="s">
        <v>3677</v>
      </c>
      <c r="DF589">
        <v>18.95</v>
      </c>
      <c r="DG589">
        <v>11.01</v>
      </c>
      <c r="DH589">
        <v>10.18</v>
      </c>
      <c r="DI589">
        <v>0.21</v>
      </c>
      <c r="DJ589">
        <v>1042</v>
      </c>
      <c r="DK589">
        <v>2167</v>
      </c>
      <c r="DL589">
        <v>20210622</v>
      </c>
      <c r="DM589">
        <v>7.3</v>
      </c>
      <c r="DN589">
        <v>53.15</v>
      </c>
    </row>
    <row r="590" spans="1:118">
      <c r="A590" t="str">
        <f>"002168"</f>
        <v>002168</v>
      </c>
      <c r="B590" t="s">
        <v>3678</v>
      </c>
      <c r="C590">
        <v>0.26</v>
      </c>
      <c r="D590">
        <v>-0.25</v>
      </c>
      <c r="E590">
        <v>0.26</v>
      </c>
      <c r="F590">
        <v>575</v>
      </c>
      <c r="G590" t="s">
        <v>3679</v>
      </c>
      <c r="H590">
        <v>4881.1000000000004</v>
      </c>
      <c r="I590">
        <v>20.95</v>
      </c>
      <c r="J590" t="s">
        <v>120</v>
      </c>
      <c r="K590" t="s">
        <v>2928</v>
      </c>
      <c r="L590">
        <v>1.6</v>
      </c>
      <c r="M590">
        <v>3.83</v>
      </c>
      <c r="N590">
        <v>1.02</v>
      </c>
      <c r="O590">
        <v>2.09</v>
      </c>
      <c r="P590">
        <v>3.9</v>
      </c>
      <c r="Q590">
        <v>-0.52</v>
      </c>
      <c r="R590">
        <v>3.8</v>
      </c>
      <c r="S590">
        <v>3.83</v>
      </c>
      <c r="T590">
        <v>127241</v>
      </c>
      <c r="U590">
        <v>3.84</v>
      </c>
      <c r="V590">
        <v>3.82</v>
      </c>
      <c r="W590" t="s">
        <v>120</v>
      </c>
      <c r="X590" t="s">
        <v>1531</v>
      </c>
      <c r="Y590" t="s">
        <v>123</v>
      </c>
      <c r="Z590">
        <v>2.62</v>
      </c>
      <c r="AA590">
        <v>3.84</v>
      </c>
      <c r="AB590">
        <v>68253</v>
      </c>
      <c r="AC590">
        <v>58988</v>
      </c>
      <c r="AD590">
        <v>1.1599999999999999</v>
      </c>
      <c r="AE590">
        <v>3731</v>
      </c>
      <c r="AF590">
        <v>1169</v>
      </c>
      <c r="AG590" t="s">
        <v>120</v>
      </c>
      <c r="AH590">
        <v>0.01</v>
      </c>
      <c r="AI590" t="s">
        <v>120</v>
      </c>
      <c r="AJ590">
        <v>7.93</v>
      </c>
      <c r="AK590" t="s">
        <v>3680</v>
      </c>
      <c r="AL590">
        <v>2.1800000000000002</v>
      </c>
      <c r="AM590">
        <v>1449</v>
      </c>
      <c r="AN590">
        <v>88</v>
      </c>
      <c r="AO590">
        <v>1.1000000000000001E-3</v>
      </c>
      <c r="AP590">
        <v>1</v>
      </c>
      <c r="AQ590">
        <v>-1.55</v>
      </c>
      <c r="AR590">
        <v>-4.49</v>
      </c>
      <c r="AS590">
        <v>-1.03</v>
      </c>
      <c r="AT590">
        <v>-17.82</v>
      </c>
      <c r="AU590">
        <v>-9.8800000000000008</v>
      </c>
      <c r="AV590">
        <v>16</v>
      </c>
      <c r="AW590">
        <v>1.86</v>
      </c>
      <c r="AX590">
        <v>85.11</v>
      </c>
      <c r="AY590" t="s">
        <v>120</v>
      </c>
      <c r="AZ590" t="s">
        <v>120</v>
      </c>
      <c r="BA590">
        <v>0.46</v>
      </c>
      <c r="BB590" t="s">
        <v>143</v>
      </c>
      <c r="BF590">
        <v>0.42</v>
      </c>
      <c r="BG590">
        <v>0</v>
      </c>
      <c r="BH590">
        <v>-1.79</v>
      </c>
      <c r="BI590">
        <v>0.79</v>
      </c>
      <c r="BJ590">
        <v>20210831</v>
      </c>
      <c r="BK590">
        <v>20070919</v>
      </c>
      <c r="BL590">
        <v>8.02</v>
      </c>
      <c r="BM590" t="s">
        <v>120</v>
      </c>
      <c r="BN590" t="s">
        <v>120</v>
      </c>
      <c r="BO590">
        <v>16.989999999999998</v>
      </c>
      <c r="BP590">
        <v>3.83</v>
      </c>
      <c r="BQ590">
        <v>7.57</v>
      </c>
      <c r="BR590">
        <v>1.21</v>
      </c>
      <c r="BS590">
        <v>48.33</v>
      </c>
      <c r="BT590">
        <v>7.34</v>
      </c>
      <c r="BU590">
        <v>1.55</v>
      </c>
      <c r="BV590">
        <v>0.11</v>
      </c>
      <c r="BW590">
        <v>4.5199999999999996</v>
      </c>
      <c r="BX590">
        <v>1.51</v>
      </c>
      <c r="BY590">
        <v>0.32</v>
      </c>
      <c r="BZ590">
        <v>0.91</v>
      </c>
      <c r="CA590">
        <v>0</v>
      </c>
      <c r="CB590">
        <v>2.2599999999999998</v>
      </c>
      <c r="CC590">
        <v>1.54</v>
      </c>
      <c r="CD590">
        <v>0.72</v>
      </c>
      <c r="CE590">
        <v>-0.99</v>
      </c>
      <c r="CF590">
        <v>0</v>
      </c>
      <c r="CG590">
        <v>-1.02</v>
      </c>
      <c r="CH590">
        <v>-0.83</v>
      </c>
      <c r="CI590">
        <v>-0.74</v>
      </c>
      <c r="CJ590">
        <v>0.01</v>
      </c>
      <c r="CK590">
        <v>-0.75</v>
      </c>
      <c r="CL590">
        <v>-2.61</v>
      </c>
      <c r="CM590">
        <v>1.74</v>
      </c>
      <c r="CN590">
        <v>0.67</v>
      </c>
      <c r="CO590">
        <v>61174</v>
      </c>
      <c r="CP590">
        <v>11157</v>
      </c>
      <c r="CQ590" t="s">
        <v>2851</v>
      </c>
      <c r="CR590">
        <v>-325.60000000000002</v>
      </c>
      <c r="CS590">
        <v>-69.930000000000007</v>
      </c>
      <c r="CT590">
        <v>4.0599999999999996</v>
      </c>
      <c r="CU590">
        <v>17.62</v>
      </c>
      <c r="CV590">
        <v>19.89</v>
      </c>
      <c r="CW590">
        <v>0</v>
      </c>
      <c r="CX590" t="s">
        <v>2242</v>
      </c>
      <c r="CY590">
        <v>0.94</v>
      </c>
      <c r="CZ590">
        <v>0</v>
      </c>
      <c r="DA590">
        <v>0.28000000000000003</v>
      </c>
      <c r="DB590">
        <v>-0.33</v>
      </c>
      <c r="DC590">
        <v>0.22</v>
      </c>
      <c r="DD590">
        <v>44.52</v>
      </c>
      <c r="DE590" t="s">
        <v>3681</v>
      </c>
      <c r="DF590">
        <v>53.37</v>
      </c>
      <c r="DG590">
        <v>-64.150000000000006</v>
      </c>
      <c r="DH590">
        <v>-48.16</v>
      </c>
      <c r="DI590">
        <v>0.2</v>
      </c>
      <c r="DJ590">
        <v>639</v>
      </c>
      <c r="DK590">
        <v>2168</v>
      </c>
      <c r="DL590" t="s">
        <v>120</v>
      </c>
      <c r="DM590" t="s">
        <v>120</v>
      </c>
      <c r="DN590" t="s">
        <v>120</v>
      </c>
    </row>
    <row r="591" spans="1:118">
      <c r="A591" t="str">
        <f>"002169"</f>
        <v>002169</v>
      </c>
      <c r="B591" t="s">
        <v>3682</v>
      </c>
      <c r="C591">
        <v>-5.42</v>
      </c>
      <c r="D591">
        <v>0</v>
      </c>
      <c r="E591">
        <v>0</v>
      </c>
      <c r="F591">
        <v>4774</v>
      </c>
      <c r="G591" t="s">
        <v>3683</v>
      </c>
      <c r="H591">
        <v>38943.050000000003</v>
      </c>
      <c r="I591">
        <v>117.48</v>
      </c>
      <c r="J591" t="s">
        <v>120</v>
      </c>
      <c r="K591" t="s">
        <v>3684</v>
      </c>
      <c r="L591">
        <v>4.3899999999999997</v>
      </c>
      <c r="M591">
        <v>11.35</v>
      </c>
      <c r="N591">
        <v>1</v>
      </c>
      <c r="O591">
        <v>0.25</v>
      </c>
      <c r="P591">
        <v>12.03</v>
      </c>
      <c r="Q591">
        <v>-5.5</v>
      </c>
      <c r="R591">
        <v>11.34</v>
      </c>
      <c r="S591">
        <v>12</v>
      </c>
      <c r="T591">
        <v>335012</v>
      </c>
      <c r="U591">
        <v>11.35</v>
      </c>
      <c r="V591">
        <v>12</v>
      </c>
      <c r="W591">
        <v>6.21</v>
      </c>
      <c r="X591" t="s">
        <v>394</v>
      </c>
      <c r="Y591" t="s">
        <v>547</v>
      </c>
      <c r="Z591">
        <v>5.75</v>
      </c>
      <c r="AA591">
        <v>11.62</v>
      </c>
      <c r="AB591">
        <v>194813</v>
      </c>
      <c r="AC591">
        <v>140199</v>
      </c>
      <c r="AD591">
        <v>1.39</v>
      </c>
      <c r="AE591">
        <v>648</v>
      </c>
      <c r="AF591">
        <v>116</v>
      </c>
      <c r="AG591" t="s">
        <v>120</v>
      </c>
      <c r="AH591">
        <v>0.02</v>
      </c>
      <c r="AI591" t="s">
        <v>120</v>
      </c>
      <c r="AJ591">
        <v>7.63</v>
      </c>
      <c r="AK591" t="s">
        <v>3685</v>
      </c>
      <c r="AL591">
        <v>-3.5</v>
      </c>
      <c r="AM591">
        <v>4061</v>
      </c>
      <c r="AN591">
        <v>82</v>
      </c>
      <c r="AO591">
        <v>1.1000000000000001E-3</v>
      </c>
      <c r="AP591">
        <v>-1</v>
      </c>
      <c r="AQ591">
        <v>1.69</v>
      </c>
      <c r="AR591">
        <v>-8.84</v>
      </c>
      <c r="AS591">
        <v>-13.36</v>
      </c>
      <c r="AT591">
        <v>-2.74</v>
      </c>
      <c r="AU591">
        <v>54</v>
      </c>
      <c r="AV591">
        <v>5</v>
      </c>
      <c r="AW591">
        <v>5.72</v>
      </c>
      <c r="AX591">
        <v>74.3</v>
      </c>
      <c r="AY591">
        <v>10.1</v>
      </c>
      <c r="AZ591">
        <v>39.43</v>
      </c>
      <c r="BA591">
        <v>0.86</v>
      </c>
      <c r="BB591" t="s">
        <v>143</v>
      </c>
      <c r="BF591">
        <v>-3.13</v>
      </c>
      <c r="BG591">
        <v>-5.42</v>
      </c>
      <c r="BH591">
        <v>-5.65</v>
      </c>
      <c r="BI591">
        <v>0.09</v>
      </c>
      <c r="BJ591">
        <v>20210830</v>
      </c>
      <c r="BK591">
        <v>20070919</v>
      </c>
      <c r="BL591">
        <v>7.88</v>
      </c>
      <c r="BM591" t="s">
        <v>120</v>
      </c>
      <c r="BN591" t="s">
        <v>120</v>
      </c>
      <c r="BO591">
        <v>64.44</v>
      </c>
      <c r="BP591">
        <v>11.34</v>
      </c>
      <c r="BQ591">
        <v>36.67</v>
      </c>
      <c r="BR591">
        <v>2.3199999999999998</v>
      </c>
      <c r="BS591">
        <v>39.49</v>
      </c>
      <c r="BT591">
        <v>27.82</v>
      </c>
      <c r="BU591">
        <v>12.16</v>
      </c>
      <c r="BV591">
        <v>5.89</v>
      </c>
      <c r="BW591">
        <v>19.52</v>
      </c>
      <c r="BX591">
        <v>3.34</v>
      </c>
      <c r="BY591">
        <v>6.29</v>
      </c>
      <c r="BZ591">
        <v>10.15</v>
      </c>
      <c r="CA591" t="s">
        <v>120</v>
      </c>
      <c r="CB591">
        <v>15.68</v>
      </c>
      <c r="CC591">
        <v>8.82</v>
      </c>
      <c r="CD591">
        <v>7.69</v>
      </c>
      <c r="CE591">
        <v>8.64</v>
      </c>
      <c r="CF591">
        <v>0.04</v>
      </c>
      <c r="CG591">
        <v>8.4499999999999993</v>
      </c>
      <c r="CH591">
        <v>7.09</v>
      </c>
      <c r="CI591">
        <v>7.2</v>
      </c>
      <c r="CJ591">
        <v>-0.65</v>
      </c>
      <c r="CK591">
        <v>-0.56000000000000005</v>
      </c>
      <c r="CL591">
        <v>13.4</v>
      </c>
      <c r="CM591">
        <v>-1.61</v>
      </c>
      <c r="CN591">
        <v>-1.42</v>
      </c>
      <c r="CO591">
        <v>82658</v>
      </c>
      <c r="CP591">
        <v>7081</v>
      </c>
      <c r="CQ591" t="s">
        <v>3025</v>
      </c>
      <c r="CR591">
        <v>2961.68</v>
      </c>
      <c r="CS591">
        <v>-2.23</v>
      </c>
      <c r="CT591">
        <v>2.44</v>
      </c>
      <c r="CU591">
        <v>-55.42</v>
      </c>
      <c r="CV591">
        <v>10.14</v>
      </c>
      <c r="CW591">
        <v>0.81</v>
      </c>
      <c r="CX591" t="s">
        <v>3686</v>
      </c>
      <c r="CY591">
        <v>4.66</v>
      </c>
      <c r="CZ591">
        <v>0</v>
      </c>
      <c r="DA591">
        <v>1.99</v>
      </c>
      <c r="DB591">
        <v>1.7</v>
      </c>
      <c r="DC591">
        <v>-0.2</v>
      </c>
      <c r="DD591">
        <v>56.9</v>
      </c>
      <c r="DE591" t="s">
        <v>3687</v>
      </c>
      <c r="DF591">
        <v>12.73</v>
      </c>
      <c r="DG591">
        <v>98.06</v>
      </c>
      <c r="DH591">
        <v>81.650000000000006</v>
      </c>
      <c r="DI591">
        <v>0.45</v>
      </c>
      <c r="DJ591">
        <v>1845</v>
      </c>
      <c r="DK591">
        <v>2169</v>
      </c>
      <c r="DL591" t="s">
        <v>120</v>
      </c>
      <c r="DM591" t="s">
        <v>120</v>
      </c>
      <c r="DN591" t="s">
        <v>120</v>
      </c>
    </row>
    <row r="592" spans="1:118">
      <c r="A592" t="str">
        <f>"002170"</f>
        <v>002170</v>
      </c>
      <c r="B592" t="s">
        <v>3688</v>
      </c>
      <c r="C592">
        <v>-4.5199999999999996</v>
      </c>
      <c r="D592">
        <v>0.14000000000000001</v>
      </c>
      <c r="E592">
        <v>0</v>
      </c>
      <c r="F592">
        <v>8404</v>
      </c>
      <c r="G592" t="s">
        <v>3689</v>
      </c>
      <c r="H592">
        <v>62437.84</v>
      </c>
      <c r="I592">
        <v>944.03</v>
      </c>
      <c r="J592" t="s">
        <v>120</v>
      </c>
      <c r="K592" t="s">
        <v>3690</v>
      </c>
      <c r="L592">
        <v>12.04</v>
      </c>
      <c r="M592">
        <v>7.4</v>
      </c>
      <c r="N592">
        <v>0.85</v>
      </c>
      <c r="O592">
        <v>0</v>
      </c>
      <c r="P592">
        <v>7.75</v>
      </c>
      <c r="Q592">
        <v>-6.58</v>
      </c>
      <c r="R592">
        <v>7.24</v>
      </c>
      <c r="S592">
        <v>7.75</v>
      </c>
      <c r="T592">
        <v>834601</v>
      </c>
      <c r="U592">
        <v>7.41</v>
      </c>
      <c r="V592">
        <v>7.75</v>
      </c>
      <c r="W592">
        <v>58.42</v>
      </c>
      <c r="X592" t="s">
        <v>690</v>
      </c>
      <c r="Y592" t="s">
        <v>123</v>
      </c>
      <c r="Z592">
        <v>6.58</v>
      </c>
      <c r="AA592">
        <v>7.48</v>
      </c>
      <c r="AB592">
        <v>453001</v>
      </c>
      <c r="AC592">
        <v>381600</v>
      </c>
      <c r="AD592">
        <v>1.19</v>
      </c>
      <c r="AE592">
        <v>584</v>
      </c>
      <c r="AF592">
        <v>1148</v>
      </c>
      <c r="AG592" t="s">
        <v>120</v>
      </c>
      <c r="AH592">
        <v>0.23</v>
      </c>
      <c r="AI592" t="s">
        <v>120</v>
      </c>
      <c r="AJ592">
        <v>6.93</v>
      </c>
      <c r="AK592" t="s">
        <v>3691</v>
      </c>
      <c r="AL592">
        <v>-2.6</v>
      </c>
      <c r="AM592">
        <v>4507</v>
      </c>
      <c r="AN592">
        <v>185</v>
      </c>
      <c r="AO592">
        <v>2.7000000000000001E-3</v>
      </c>
      <c r="AP592">
        <v>-1</v>
      </c>
      <c r="AQ592">
        <v>6.46</v>
      </c>
      <c r="AR592">
        <v>2.21</v>
      </c>
      <c r="AS592">
        <v>39.880000000000003</v>
      </c>
      <c r="AT592">
        <v>92.71</v>
      </c>
      <c r="AU592">
        <v>61.57</v>
      </c>
      <c r="AV592">
        <v>5</v>
      </c>
      <c r="AW592">
        <v>15.97</v>
      </c>
      <c r="AX592">
        <v>58.93</v>
      </c>
      <c r="AY592">
        <v>58.21</v>
      </c>
      <c r="AZ592">
        <v>88.82</v>
      </c>
      <c r="BA592">
        <v>0.13</v>
      </c>
      <c r="BB592" t="s">
        <v>184</v>
      </c>
      <c r="BF592">
        <v>-3.47</v>
      </c>
      <c r="BG592">
        <v>-4.5199999999999996</v>
      </c>
      <c r="BH592">
        <v>-4.5199999999999996</v>
      </c>
      <c r="BI592">
        <v>2.21</v>
      </c>
      <c r="BJ592">
        <v>20210906</v>
      </c>
      <c r="BK592">
        <v>20070919</v>
      </c>
      <c r="BL592">
        <v>8.8699999999999992</v>
      </c>
      <c r="BM592" t="s">
        <v>120</v>
      </c>
      <c r="BN592" t="s">
        <v>120</v>
      </c>
      <c r="BO592">
        <v>33.11</v>
      </c>
      <c r="BP592">
        <v>7.4</v>
      </c>
      <c r="BQ592">
        <v>20.39</v>
      </c>
      <c r="BR592">
        <v>0.08</v>
      </c>
      <c r="BS592">
        <v>38.18</v>
      </c>
      <c r="BT592">
        <v>9.33</v>
      </c>
      <c r="BU592">
        <v>11.31</v>
      </c>
      <c r="BV592">
        <v>8.16</v>
      </c>
      <c r="BW592">
        <v>11.79</v>
      </c>
      <c r="BX592">
        <v>3.25</v>
      </c>
      <c r="BY592">
        <v>4.0599999999999996</v>
      </c>
      <c r="BZ592">
        <v>0.6</v>
      </c>
      <c r="CA592" t="s">
        <v>120</v>
      </c>
      <c r="CB592">
        <v>4.93</v>
      </c>
      <c r="CC592">
        <v>11.63</v>
      </c>
      <c r="CD592">
        <v>9.6</v>
      </c>
      <c r="CE592">
        <v>0.57999999999999996</v>
      </c>
      <c r="CF592">
        <v>0.09</v>
      </c>
      <c r="CG592">
        <v>0.57999999999999996</v>
      </c>
      <c r="CH592">
        <v>0.56000000000000005</v>
      </c>
      <c r="CI592">
        <v>0.56000000000000005</v>
      </c>
      <c r="CJ592">
        <v>-0.35</v>
      </c>
      <c r="CK592">
        <v>0.54</v>
      </c>
      <c r="CL592">
        <v>5.46</v>
      </c>
      <c r="CM592">
        <v>0.39</v>
      </c>
      <c r="CN592">
        <v>0.66</v>
      </c>
      <c r="CO592">
        <v>58567</v>
      </c>
      <c r="CP592">
        <v>8924</v>
      </c>
      <c r="CQ592" t="s">
        <v>723</v>
      </c>
      <c r="CR592">
        <v>262.77999999999997</v>
      </c>
      <c r="CS592">
        <v>27.57</v>
      </c>
      <c r="CT592">
        <v>3.22</v>
      </c>
      <c r="CU592">
        <v>168.08</v>
      </c>
      <c r="CV592">
        <v>5.65</v>
      </c>
      <c r="CW592">
        <v>0.13</v>
      </c>
      <c r="CX592" t="s">
        <v>3196</v>
      </c>
      <c r="CY592">
        <v>2.2999999999999998</v>
      </c>
      <c r="CZ592">
        <v>0</v>
      </c>
      <c r="DA592">
        <v>0.56000000000000005</v>
      </c>
      <c r="DB592">
        <v>0.62</v>
      </c>
      <c r="DC592">
        <v>0.04</v>
      </c>
      <c r="DD592">
        <v>61.58</v>
      </c>
      <c r="DE592" t="s">
        <v>1868</v>
      </c>
      <c r="DF592">
        <v>17.420000000000002</v>
      </c>
      <c r="DG592">
        <v>5.0199999999999996</v>
      </c>
      <c r="DH592">
        <v>4.83</v>
      </c>
      <c r="DI592">
        <v>0.12</v>
      </c>
      <c r="DJ592">
        <v>2425</v>
      </c>
      <c r="DK592">
        <v>2170</v>
      </c>
      <c r="DL592">
        <v>20210726</v>
      </c>
      <c r="DM592">
        <v>5.23</v>
      </c>
      <c r="DN592">
        <v>41.49</v>
      </c>
    </row>
    <row r="593" spans="1:118">
      <c r="A593" t="str">
        <f>"002171"</f>
        <v>002171</v>
      </c>
      <c r="B593" t="s">
        <v>3692</v>
      </c>
      <c r="C593">
        <v>-6.71</v>
      </c>
      <c r="D593">
        <v>0.08</v>
      </c>
      <c r="E593">
        <v>-0.89</v>
      </c>
      <c r="F593">
        <v>4893</v>
      </c>
      <c r="G593" t="s">
        <v>3693</v>
      </c>
      <c r="H593">
        <v>68996.399999999994</v>
      </c>
      <c r="I593">
        <v>300.45</v>
      </c>
      <c r="J593" t="s">
        <v>120</v>
      </c>
      <c r="K593" t="s">
        <v>3694</v>
      </c>
      <c r="L593">
        <v>4.3</v>
      </c>
      <c r="M593">
        <v>12.52</v>
      </c>
      <c r="N593">
        <v>0.79</v>
      </c>
      <c r="O593">
        <v>-0.6</v>
      </c>
      <c r="P593">
        <v>13.34</v>
      </c>
      <c r="Q593">
        <v>-6.78</v>
      </c>
      <c r="R593">
        <v>12.51</v>
      </c>
      <c r="S593">
        <v>13.3</v>
      </c>
      <c r="T593">
        <v>534800</v>
      </c>
      <c r="U593">
        <v>12.52</v>
      </c>
      <c r="V593">
        <v>13.42</v>
      </c>
      <c r="W593">
        <v>32.35</v>
      </c>
      <c r="X593" t="s">
        <v>1398</v>
      </c>
      <c r="Y593" t="s">
        <v>570</v>
      </c>
      <c r="Z593">
        <v>6.18</v>
      </c>
      <c r="AA593">
        <v>12.9</v>
      </c>
      <c r="AB593">
        <v>296659</v>
      </c>
      <c r="AC593">
        <v>238141</v>
      </c>
      <c r="AD593">
        <v>1.25</v>
      </c>
      <c r="AE593">
        <v>1273</v>
      </c>
      <c r="AF593">
        <v>1536</v>
      </c>
      <c r="AG593" t="s">
        <v>120</v>
      </c>
      <c r="AH593">
        <v>0.03</v>
      </c>
      <c r="AI593" t="s">
        <v>120</v>
      </c>
      <c r="AJ593">
        <v>12.44</v>
      </c>
      <c r="AK593" t="s">
        <v>3695</v>
      </c>
      <c r="AL593">
        <v>-4.79</v>
      </c>
      <c r="AM593">
        <v>4444</v>
      </c>
      <c r="AN593">
        <v>120</v>
      </c>
      <c r="AO593">
        <v>1E-3</v>
      </c>
      <c r="AP593">
        <v>-1</v>
      </c>
      <c r="AQ593">
        <v>3.47</v>
      </c>
      <c r="AR593">
        <v>-6.78</v>
      </c>
      <c r="AS593">
        <v>25.83</v>
      </c>
      <c r="AT593">
        <v>38.96</v>
      </c>
      <c r="AU593">
        <v>48.34</v>
      </c>
      <c r="AV593">
        <v>1</v>
      </c>
      <c r="AW593">
        <v>7.37</v>
      </c>
      <c r="AX593">
        <v>54.39</v>
      </c>
      <c r="AY593">
        <v>37.979999999999997</v>
      </c>
      <c r="AZ593">
        <v>65.260000000000005</v>
      </c>
      <c r="BA593">
        <v>0.53</v>
      </c>
      <c r="BB593" t="s">
        <v>184</v>
      </c>
      <c r="BF593">
        <v>-3.86</v>
      </c>
      <c r="BG593">
        <v>-5.86</v>
      </c>
      <c r="BH593">
        <v>-6.15</v>
      </c>
      <c r="BI593">
        <v>0.08</v>
      </c>
      <c r="BJ593">
        <v>20210825</v>
      </c>
      <c r="BK593">
        <v>20070921</v>
      </c>
      <c r="BL593">
        <v>13.34</v>
      </c>
      <c r="BM593" t="s">
        <v>120</v>
      </c>
      <c r="BN593" t="s">
        <v>120</v>
      </c>
      <c r="BO593">
        <v>128.15</v>
      </c>
      <c r="BP593">
        <v>12.51</v>
      </c>
      <c r="BQ593">
        <v>58.34</v>
      </c>
      <c r="BR593">
        <v>1.62</v>
      </c>
      <c r="BS593">
        <v>53.21</v>
      </c>
      <c r="BT593">
        <v>84.45</v>
      </c>
      <c r="BU593">
        <v>20.75</v>
      </c>
      <c r="BV593">
        <v>4.43</v>
      </c>
      <c r="BW593">
        <v>48.47</v>
      </c>
      <c r="BX593">
        <v>16.87</v>
      </c>
      <c r="BY593">
        <v>22.91</v>
      </c>
      <c r="BZ593">
        <v>23.45</v>
      </c>
      <c r="CA593" t="s">
        <v>120</v>
      </c>
      <c r="CB593">
        <v>28.52</v>
      </c>
      <c r="CC593">
        <v>172.53</v>
      </c>
      <c r="CD593">
        <v>161.71</v>
      </c>
      <c r="CE593">
        <v>3.62</v>
      </c>
      <c r="CF593">
        <v>-0.32</v>
      </c>
      <c r="CG593">
        <v>3.37</v>
      </c>
      <c r="CH593">
        <v>2.75</v>
      </c>
      <c r="CI593">
        <v>2.58</v>
      </c>
      <c r="CJ593">
        <v>-0.9</v>
      </c>
      <c r="CK593">
        <v>1.74</v>
      </c>
      <c r="CL593">
        <v>16.86</v>
      </c>
      <c r="CM593">
        <v>-6.19</v>
      </c>
      <c r="CN593">
        <v>-0.06</v>
      </c>
      <c r="CO593">
        <v>54014</v>
      </c>
      <c r="CP593">
        <v>13430</v>
      </c>
      <c r="CQ593" t="s">
        <v>3696</v>
      </c>
      <c r="CR593">
        <v>322.44</v>
      </c>
      <c r="CS593">
        <v>83.66</v>
      </c>
      <c r="CT593">
        <v>2.96</v>
      </c>
      <c r="CU593">
        <v>-26.97</v>
      </c>
      <c r="CV593">
        <v>0.97</v>
      </c>
      <c r="CW593">
        <v>0.72</v>
      </c>
      <c r="CX593" t="s">
        <v>442</v>
      </c>
      <c r="CY593">
        <v>4.22</v>
      </c>
      <c r="CZ593">
        <v>4.22</v>
      </c>
      <c r="DA593">
        <v>2.14</v>
      </c>
      <c r="DB593">
        <v>1.26</v>
      </c>
      <c r="DC593">
        <v>-0.46</v>
      </c>
      <c r="DD593">
        <v>45.53</v>
      </c>
      <c r="DE593" t="s">
        <v>3697</v>
      </c>
      <c r="DF593">
        <v>6.27</v>
      </c>
      <c r="DG593">
        <v>2.1</v>
      </c>
      <c r="DH593">
        <v>1.5</v>
      </c>
      <c r="DI593">
        <v>5.82</v>
      </c>
      <c r="DJ593">
        <v>6422</v>
      </c>
      <c r="DK593">
        <v>2171</v>
      </c>
      <c r="DL593">
        <v>20210826</v>
      </c>
      <c r="DM593">
        <v>11.95</v>
      </c>
      <c r="DN593">
        <v>4.7699999999999996</v>
      </c>
    </row>
    <row r="594" spans="1:118">
      <c r="A594" t="str">
        <f>"002172"</f>
        <v>002172</v>
      </c>
      <c r="B594" t="s">
        <v>3698</v>
      </c>
      <c r="C594">
        <v>0.71</v>
      </c>
      <c r="D594">
        <v>0.24</v>
      </c>
      <c r="E594">
        <v>0.71</v>
      </c>
      <c r="F594">
        <v>3699</v>
      </c>
      <c r="G594" t="s">
        <v>3699</v>
      </c>
      <c r="H594">
        <v>9644.73</v>
      </c>
      <c r="I594">
        <v>37.229999999999997</v>
      </c>
      <c r="J594" t="s">
        <v>120</v>
      </c>
      <c r="K594" t="s">
        <v>3700</v>
      </c>
      <c r="L594">
        <v>2.89</v>
      </c>
      <c r="M594">
        <v>4.26</v>
      </c>
      <c r="N594">
        <v>1.3</v>
      </c>
      <c r="O594">
        <v>5.44</v>
      </c>
      <c r="P594">
        <v>4.46</v>
      </c>
      <c r="Q594">
        <v>0</v>
      </c>
      <c r="R594">
        <v>4.2300000000000004</v>
      </c>
      <c r="S594">
        <v>4.26</v>
      </c>
      <c r="T594">
        <v>223070</v>
      </c>
      <c r="U594">
        <v>4.26</v>
      </c>
      <c r="V594">
        <v>4.2300000000000004</v>
      </c>
      <c r="W594" t="s">
        <v>120</v>
      </c>
      <c r="X594" t="s">
        <v>623</v>
      </c>
      <c r="Y594" t="s">
        <v>319</v>
      </c>
      <c r="Z594">
        <v>5.44</v>
      </c>
      <c r="AA594">
        <v>4.32</v>
      </c>
      <c r="AB594">
        <v>114166</v>
      </c>
      <c r="AC594">
        <v>108904</v>
      </c>
      <c r="AD594">
        <v>1.05</v>
      </c>
      <c r="AE594">
        <v>1652</v>
      </c>
      <c r="AF594">
        <v>214</v>
      </c>
      <c r="AG594" t="s">
        <v>120</v>
      </c>
      <c r="AH594">
        <v>0.02</v>
      </c>
      <c r="AI594" t="s">
        <v>120</v>
      </c>
      <c r="AJ594">
        <v>7.73</v>
      </c>
      <c r="AK594" t="s">
        <v>3701</v>
      </c>
      <c r="AL594">
        <v>2.62</v>
      </c>
      <c r="AM594">
        <v>2459</v>
      </c>
      <c r="AN594">
        <v>91</v>
      </c>
      <c r="AO594">
        <v>1.1999999999999999E-3</v>
      </c>
      <c r="AP594">
        <v>2</v>
      </c>
      <c r="AQ594">
        <v>0.71</v>
      </c>
      <c r="AR594">
        <v>-1.4</v>
      </c>
      <c r="AS594">
        <v>-9.74</v>
      </c>
      <c r="AT594">
        <v>-16.79</v>
      </c>
      <c r="AU594">
        <v>42.47</v>
      </c>
      <c r="AV594">
        <v>20</v>
      </c>
      <c r="AW594">
        <v>4.29</v>
      </c>
      <c r="AX594">
        <v>67.040000000000006</v>
      </c>
      <c r="AY594" t="s">
        <v>120</v>
      </c>
      <c r="AZ594" t="s">
        <v>120</v>
      </c>
      <c r="BA594">
        <v>0.43</v>
      </c>
      <c r="BB594" t="s">
        <v>143</v>
      </c>
      <c r="BF594">
        <v>2.21</v>
      </c>
      <c r="BG594">
        <v>0</v>
      </c>
      <c r="BH594">
        <v>-4.4800000000000004</v>
      </c>
      <c r="BI594">
        <v>0.71</v>
      </c>
      <c r="BJ594">
        <v>20210831</v>
      </c>
      <c r="BK594">
        <v>20070921</v>
      </c>
      <c r="BL594">
        <v>7.76</v>
      </c>
      <c r="BM594" t="s">
        <v>120</v>
      </c>
      <c r="BN594" t="s">
        <v>120</v>
      </c>
      <c r="BO594">
        <v>55.69</v>
      </c>
      <c r="BP594">
        <v>4.25</v>
      </c>
      <c r="BQ594">
        <v>1.87</v>
      </c>
      <c r="BR594">
        <v>-0.05</v>
      </c>
      <c r="BS594">
        <v>96.73</v>
      </c>
      <c r="BT594">
        <v>29.15</v>
      </c>
      <c r="BU594">
        <v>22.17</v>
      </c>
      <c r="BV594">
        <v>1.37</v>
      </c>
      <c r="BW594">
        <v>47.05</v>
      </c>
      <c r="BX594">
        <v>15.16</v>
      </c>
      <c r="BY594">
        <v>2.4300000000000002</v>
      </c>
      <c r="BZ594">
        <v>3.82</v>
      </c>
      <c r="CA594">
        <v>4.0599999999999996</v>
      </c>
      <c r="CB594">
        <v>11.51</v>
      </c>
      <c r="CC594">
        <v>17.7</v>
      </c>
      <c r="CD594">
        <v>16.18</v>
      </c>
      <c r="CE594">
        <v>-8.0500000000000007</v>
      </c>
      <c r="CF594">
        <v>0</v>
      </c>
      <c r="CG594">
        <v>-8</v>
      </c>
      <c r="CH594">
        <v>-7.86</v>
      </c>
      <c r="CI594">
        <v>-7.65</v>
      </c>
      <c r="CJ594">
        <v>0.03</v>
      </c>
      <c r="CK594">
        <v>-8.0299999999999994</v>
      </c>
      <c r="CL594">
        <v>-17.34</v>
      </c>
      <c r="CM594">
        <v>0.47</v>
      </c>
      <c r="CN594">
        <v>0.56999999999999995</v>
      </c>
      <c r="CO594">
        <v>75878</v>
      </c>
      <c r="CP594">
        <v>6860</v>
      </c>
      <c r="CQ594" t="s">
        <v>3702</v>
      </c>
      <c r="CR594">
        <v>-605.71</v>
      </c>
      <c r="CS594">
        <v>31.33</v>
      </c>
      <c r="CT594">
        <v>17.670000000000002</v>
      </c>
      <c r="CU594">
        <v>70.88</v>
      </c>
      <c r="CV594">
        <v>1.87</v>
      </c>
      <c r="CW594">
        <v>0</v>
      </c>
      <c r="CX594" t="s">
        <v>3703</v>
      </c>
      <c r="CY594">
        <v>0.24</v>
      </c>
      <c r="CZ594">
        <v>0</v>
      </c>
      <c r="DA594">
        <v>1.48</v>
      </c>
      <c r="DB594">
        <v>-2.23</v>
      </c>
      <c r="DC594">
        <v>0.06</v>
      </c>
      <c r="DD594">
        <v>3.36</v>
      </c>
      <c r="DE594" t="s">
        <v>3704</v>
      </c>
      <c r="DF594">
        <v>8.56</v>
      </c>
      <c r="DG594">
        <v>-45.48</v>
      </c>
      <c r="DH594">
        <v>-43.23</v>
      </c>
      <c r="DI594" t="s">
        <v>120</v>
      </c>
      <c r="DJ594">
        <v>3742</v>
      </c>
      <c r="DK594">
        <v>2172</v>
      </c>
      <c r="DL594" t="s">
        <v>120</v>
      </c>
      <c r="DM594" t="s">
        <v>120</v>
      </c>
      <c r="DN594" t="s">
        <v>120</v>
      </c>
    </row>
    <row r="595" spans="1:118">
      <c r="A595" t="str">
        <f>"002173"</f>
        <v>002173</v>
      </c>
      <c r="B595" t="s">
        <v>3705</v>
      </c>
      <c r="C595">
        <v>-2.0299999999999998</v>
      </c>
      <c r="D595">
        <v>0</v>
      </c>
      <c r="E595">
        <v>0</v>
      </c>
      <c r="F595">
        <v>238</v>
      </c>
      <c r="G595" t="s">
        <v>3706</v>
      </c>
      <c r="H595">
        <v>1675.6</v>
      </c>
      <c r="I595">
        <v>0.26</v>
      </c>
      <c r="J595" t="s">
        <v>120</v>
      </c>
      <c r="K595" t="s">
        <v>3350</v>
      </c>
      <c r="L595">
        <v>0.7</v>
      </c>
      <c r="M595">
        <v>6.28</v>
      </c>
      <c r="N595">
        <v>1.4</v>
      </c>
      <c r="O595">
        <v>2.1800000000000002</v>
      </c>
      <c r="P595">
        <v>6.55</v>
      </c>
      <c r="Q595">
        <v>-2.96</v>
      </c>
      <c r="R595">
        <v>6.22</v>
      </c>
      <c r="S595">
        <v>6.41</v>
      </c>
      <c r="T595">
        <v>26166</v>
      </c>
      <c r="U595">
        <v>6.29</v>
      </c>
      <c r="V595">
        <v>6.41</v>
      </c>
      <c r="W595" t="s">
        <v>120</v>
      </c>
      <c r="X595" t="s">
        <v>555</v>
      </c>
      <c r="Y595" t="s">
        <v>585</v>
      </c>
      <c r="Z595">
        <v>5.15</v>
      </c>
      <c r="AA595">
        <v>6.4</v>
      </c>
      <c r="AB595">
        <v>12181</v>
      </c>
      <c r="AC595">
        <v>13985</v>
      </c>
      <c r="AD595">
        <v>0.87</v>
      </c>
      <c r="AE595">
        <v>47</v>
      </c>
      <c r="AF595">
        <v>38</v>
      </c>
      <c r="AG595" t="s">
        <v>120</v>
      </c>
      <c r="AH595">
        <v>0</v>
      </c>
      <c r="AI595" t="s">
        <v>120</v>
      </c>
      <c r="AJ595">
        <v>3.71</v>
      </c>
      <c r="AK595" t="s">
        <v>3707</v>
      </c>
      <c r="AL595">
        <v>-0.11</v>
      </c>
      <c r="AM595">
        <v>953</v>
      </c>
      <c r="AN595">
        <v>27</v>
      </c>
      <c r="AO595">
        <v>6.9999999999999999E-4</v>
      </c>
      <c r="AP595">
        <v>-3</v>
      </c>
      <c r="AQ595">
        <v>-0.62</v>
      </c>
      <c r="AR595">
        <v>-4.2699999999999996</v>
      </c>
      <c r="AS595">
        <v>-3.23</v>
      </c>
      <c r="AT595">
        <v>-4.5599999999999996</v>
      </c>
      <c r="AU595">
        <v>11.35</v>
      </c>
      <c r="AV595">
        <v>6</v>
      </c>
      <c r="AW595">
        <v>1.33</v>
      </c>
      <c r="AX595">
        <v>43.52</v>
      </c>
      <c r="AY595" t="s">
        <v>120</v>
      </c>
      <c r="AZ595" t="s">
        <v>120</v>
      </c>
      <c r="BA595">
        <v>0.57999999999999996</v>
      </c>
      <c r="BB595" t="s">
        <v>125</v>
      </c>
      <c r="BF595">
        <v>-0.1</v>
      </c>
      <c r="BG595">
        <v>-2.0299999999999998</v>
      </c>
      <c r="BH595">
        <v>-4.12</v>
      </c>
      <c r="BI595">
        <v>0.96</v>
      </c>
      <c r="BJ595">
        <v>20210830</v>
      </c>
      <c r="BK595">
        <v>20070925</v>
      </c>
      <c r="BL595">
        <v>4.54</v>
      </c>
      <c r="BM595" t="s">
        <v>120</v>
      </c>
      <c r="BN595" t="s">
        <v>120</v>
      </c>
      <c r="BO595">
        <v>25.91</v>
      </c>
      <c r="BP595">
        <v>6.28</v>
      </c>
      <c r="BQ595">
        <v>20.73</v>
      </c>
      <c r="BR595">
        <v>0.01</v>
      </c>
      <c r="BS595">
        <v>19.96</v>
      </c>
      <c r="BT595">
        <v>9.93</v>
      </c>
      <c r="BU595">
        <v>13.25</v>
      </c>
      <c r="BV595">
        <v>1.26</v>
      </c>
      <c r="BW595">
        <v>3.04</v>
      </c>
      <c r="BX595">
        <v>3.32</v>
      </c>
      <c r="BY595">
        <v>0.34</v>
      </c>
      <c r="BZ595">
        <v>0.92</v>
      </c>
      <c r="CA595">
        <v>0.23</v>
      </c>
      <c r="CB595">
        <v>27.44</v>
      </c>
      <c r="CC595">
        <v>3.68</v>
      </c>
      <c r="CD595">
        <v>3.41</v>
      </c>
      <c r="CE595">
        <v>-0.09</v>
      </c>
      <c r="CF595">
        <v>7.0000000000000007E-2</v>
      </c>
      <c r="CG595">
        <v>-0.19</v>
      </c>
      <c r="CH595">
        <v>-0.22</v>
      </c>
      <c r="CI595">
        <v>-0.22</v>
      </c>
      <c r="CJ595">
        <v>-0.13</v>
      </c>
      <c r="CK595">
        <v>-0.28000000000000003</v>
      </c>
      <c r="CL595">
        <v>-11.01</v>
      </c>
      <c r="CM595">
        <v>0.03</v>
      </c>
      <c r="CN595">
        <v>-0.14000000000000001</v>
      </c>
      <c r="CO595">
        <v>21589</v>
      </c>
      <c r="CP595">
        <v>9144</v>
      </c>
      <c r="CQ595" t="s">
        <v>3708</v>
      </c>
      <c r="CR595">
        <v>58.98</v>
      </c>
      <c r="CS595">
        <v>16.63</v>
      </c>
      <c r="CT595">
        <v>1.37</v>
      </c>
      <c r="CU595">
        <v>1069.8800000000001</v>
      </c>
      <c r="CV595">
        <v>7.74</v>
      </c>
      <c r="CW595">
        <v>0</v>
      </c>
      <c r="CX595" t="s">
        <v>161</v>
      </c>
      <c r="CY595">
        <v>4.57</v>
      </c>
      <c r="CZ595">
        <v>0</v>
      </c>
      <c r="DA595">
        <v>6.05</v>
      </c>
      <c r="DB595">
        <v>-2.4300000000000002</v>
      </c>
      <c r="DC595">
        <v>0.01</v>
      </c>
      <c r="DD595">
        <v>80</v>
      </c>
      <c r="DE595" t="s">
        <v>3709</v>
      </c>
      <c r="DF595">
        <v>7.4</v>
      </c>
      <c r="DG595">
        <v>-2.46</v>
      </c>
      <c r="DH595">
        <v>-5.96</v>
      </c>
      <c r="DI595" t="s">
        <v>120</v>
      </c>
      <c r="DJ595">
        <v>3251</v>
      </c>
      <c r="DK595">
        <v>2173</v>
      </c>
      <c r="DL595" t="s">
        <v>120</v>
      </c>
      <c r="DM595" t="s">
        <v>120</v>
      </c>
      <c r="DN595" t="s">
        <v>120</v>
      </c>
    </row>
    <row r="596" spans="1:118">
      <c r="A596" t="str">
        <f>"002174"</f>
        <v>002174</v>
      </c>
      <c r="B596" t="s">
        <v>3710</v>
      </c>
      <c r="C596">
        <v>-2.35</v>
      </c>
      <c r="D596">
        <v>0.24</v>
      </c>
      <c r="E596">
        <v>-0.7</v>
      </c>
      <c r="F596">
        <v>2951</v>
      </c>
      <c r="G596" t="s">
        <v>3711</v>
      </c>
      <c r="H596">
        <v>18562.830000000002</v>
      </c>
      <c r="I596">
        <v>55.96</v>
      </c>
      <c r="J596" t="s">
        <v>120</v>
      </c>
      <c r="K596" t="s">
        <v>3712</v>
      </c>
      <c r="L596">
        <v>1.83</v>
      </c>
      <c r="M596">
        <v>12.48</v>
      </c>
      <c r="N596">
        <v>0.75</v>
      </c>
      <c r="O596">
        <v>1.02</v>
      </c>
      <c r="P596">
        <v>12.91</v>
      </c>
      <c r="Q596">
        <v>-3.36</v>
      </c>
      <c r="R596">
        <v>12.35</v>
      </c>
      <c r="S596">
        <v>12.69</v>
      </c>
      <c r="T596">
        <v>147022</v>
      </c>
      <c r="U596">
        <v>12.48</v>
      </c>
      <c r="V596">
        <v>12.78</v>
      </c>
      <c r="W596">
        <v>21.74</v>
      </c>
      <c r="X596" t="s">
        <v>1531</v>
      </c>
      <c r="Y596" t="s">
        <v>937</v>
      </c>
      <c r="Z596">
        <v>4.38</v>
      </c>
      <c r="AA596">
        <v>12.63</v>
      </c>
      <c r="AB596">
        <v>85594</v>
      </c>
      <c r="AC596">
        <v>61428</v>
      </c>
      <c r="AD596">
        <v>1.39</v>
      </c>
      <c r="AE596">
        <v>55</v>
      </c>
      <c r="AF596">
        <v>30</v>
      </c>
      <c r="AG596" t="s">
        <v>120</v>
      </c>
      <c r="AH596">
        <v>0.01</v>
      </c>
      <c r="AI596" t="s">
        <v>120</v>
      </c>
      <c r="AJ596">
        <v>8.0299999999999994</v>
      </c>
      <c r="AK596" t="s">
        <v>3713</v>
      </c>
      <c r="AL596">
        <v>-0.43</v>
      </c>
      <c r="AM596">
        <v>3223</v>
      </c>
      <c r="AN596">
        <v>46</v>
      </c>
      <c r="AO596">
        <v>5.9999999999999995E-4</v>
      </c>
      <c r="AP596">
        <v>-3</v>
      </c>
      <c r="AQ596">
        <v>-0.47</v>
      </c>
      <c r="AR596">
        <v>-6.1</v>
      </c>
      <c r="AS596">
        <v>8.15</v>
      </c>
      <c r="AT596">
        <v>-31.77</v>
      </c>
      <c r="AU596">
        <v>-5.17</v>
      </c>
      <c r="AV596">
        <v>10</v>
      </c>
      <c r="AW596">
        <v>2.39</v>
      </c>
      <c r="AX596">
        <v>67.28</v>
      </c>
      <c r="AY596" t="s">
        <v>120</v>
      </c>
      <c r="AZ596" t="s">
        <v>120</v>
      </c>
      <c r="BA596">
        <v>0.56000000000000005</v>
      </c>
      <c r="BB596" t="s">
        <v>143</v>
      </c>
      <c r="BF596">
        <v>-1.21</v>
      </c>
      <c r="BG596">
        <v>-1.65</v>
      </c>
      <c r="BH596">
        <v>-3.33</v>
      </c>
      <c r="BI596">
        <v>1.05</v>
      </c>
      <c r="BJ596">
        <v>20210902</v>
      </c>
      <c r="BK596">
        <v>20070925</v>
      </c>
      <c r="BL596">
        <v>9.16</v>
      </c>
      <c r="BM596" t="s">
        <v>120</v>
      </c>
      <c r="BN596" t="s">
        <v>120</v>
      </c>
      <c r="BO596">
        <v>75.64</v>
      </c>
      <c r="BP596">
        <v>12.47</v>
      </c>
      <c r="BQ596">
        <v>52.47</v>
      </c>
      <c r="BR596">
        <v>-0.04</v>
      </c>
      <c r="BS596">
        <v>30.68</v>
      </c>
      <c r="BT596">
        <v>32.979999999999997</v>
      </c>
      <c r="BU596">
        <v>6.94</v>
      </c>
      <c r="BV596">
        <v>3.85</v>
      </c>
      <c r="BW596">
        <v>15.29</v>
      </c>
      <c r="BX596">
        <v>17.510000000000002</v>
      </c>
      <c r="BY596">
        <v>0</v>
      </c>
      <c r="BZ596">
        <v>5.3</v>
      </c>
      <c r="CA596">
        <v>0</v>
      </c>
      <c r="CB596">
        <v>11.94</v>
      </c>
      <c r="CC596">
        <v>17.670000000000002</v>
      </c>
      <c r="CD596">
        <v>11.01</v>
      </c>
      <c r="CE596">
        <v>2.66</v>
      </c>
      <c r="CF596">
        <v>1.06</v>
      </c>
      <c r="CG596">
        <v>2.64</v>
      </c>
      <c r="CH596">
        <v>2.62</v>
      </c>
      <c r="CI596">
        <v>2.63</v>
      </c>
      <c r="CJ596">
        <v>-0.3</v>
      </c>
      <c r="CK596">
        <v>0.99</v>
      </c>
      <c r="CL596">
        <v>33.869999999999997</v>
      </c>
      <c r="CM596">
        <v>1.44</v>
      </c>
      <c r="CN596">
        <v>3.79</v>
      </c>
      <c r="CO596">
        <v>79361</v>
      </c>
      <c r="CP596">
        <v>7765</v>
      </c>
      <c r="CQ596" t="s">
        <v>3714</v>
      </c>
      <c r="CR596">
        <v>-46.86</v>
      </c>
      <c r="CS596">
        <v>-29.79</v>
      </c>
      <c r="CT596">
        <v>2.23</v>
      </c>
      <c r="CU596">
        <v>79.59</v>
      </c>
      <c r="CV596">
        <v>6.47</v>
      </c>
      <c r="CW596">
        <v>0</v>
      </c>
      <c r="CX596" t="s">
        <v>293</v>
      </c>
      <c r="CY596">
        <v>5.6</v>
      </c>
      <c r="CZ596">
        <v>5.6</v>
      </c>
      <c r="DA596">
        <v>1.3</v>
      </c>
      <c r="DB596">
        <v>3.7</v>
      </c>
      <c r="DC596">
        <v>0.16</v>
      </c>
      <c r="DD596">
        <v>69.37</v>
      </c>
      <c r="DE596" t="s">
        <v>3715</v>
      </c>
      <c r="DF596">
        <v>37.72</v>
      </c>
      <c r="DG596">
        <v>15.07</v>
      </c>
      <c r="DH596">
        <v>14.88</v>
      </c>
      <c r="DI596">
        <v>2.2400000000000002</v>
      </c>
      <c r="DJ596">
        <v>2134</v>
      </c>
      <c r="DK596">
        <v>2174</v>
      </c>
      <c r="DL596" t="s">
        <v>120</v>
      </c>
      <c r="DM596" t="s">
        <v>120</v>
      </c>
      <c r="DN596" t="s">
        <v>120</v>
      </c>
    </row>
    <row r="597" spans="1:118">
      <c r="A597" t="str">
        <f>"002176"</f>
        <v>002176</v>
      </c>
      <c r="B597" t="s">
        <v>3716</v>
      </c>
      <c r="C597">
        <v>-6.27</v>
      </c>
      <c r="D597">
        <v>0</v>
      </c>
      <c r="E597">
        <v>0</v>
      </c>
      <c r="F597">
        <v>21203</v>
      </c>
      <c r="G597" t="s">
        <v>3717</v>
      </c>
      <c r="H597">
        <v>731772.65</v>
      </c>
      <c r="I597">
        <v>7066.5</v>
      </c>
      <c r="J597" t="s">
        <v>120</v>
      </c>
      <c r="K597" t="s">
        <v>3718</v>
      </c>
      <c r="L597">
        <v>14.69</v>
      </c>
      <c r="M597">
        <v>28.12</v>
      </c>
      <c r="N597">
        <v>1.1399999999999999</v>
      </c>
      <c r="O597">
        <v>3.97</v>
      </c>
      <c r="P597">
        <v>31.19</v>
      </c>
      <c r="Q597">
        <v>-8.17</v>
      </c>
      <c r="R597">
        <v>27.55</v>
      </c>
      <c r="S597">
        <v>30</v>
      </c>
      <c r="T597">
        <v>2505408</v>
      </c>
      <c r="U597">
        <v>28.13</v>
      </c>
      <c r="V597">
        <v>30</v>
      </c>
      <c r="W597">
        <v>132.32</v>
      </c>
      <c r="X597" t="s">
        <v>394</v>
      </c>
      <c r="Y597" t="s">
        <v>676</v>
      </c>
      <c r="Z597">
        <v>12.13</v>
      </c>
      <c r="AA597">
        <v>29.21</v>
      </c>
      <c r="AB597">
        <v>1266430</v>
      </c>
      <c r="AC597">
        <v>1238978</v>
      </c>
      <c r="AD597">
        <v>1.02</v>
      </c>
      <c r="AE597">
        <v>1683</v>
      </c>
      <c r="AF597">
        <v>905</v>
      </c>
      <c r="AG597" t="s">
        <v>120</v>
      </c>
      <c r="AH597">
        <v>0.17</v>
      </c>
      <c r="AI597" t="s">
        <v>120</v>
      </c>
      <c r="AJ597">
        <v>17.059999999999999</v>
      </c>
      <c r="AK597" t="s">
        <v>3719</v>
      </c>
      <c r="AL597">
        <v>-4.3499999999999996</v>
      </c>
      <c r="AM597">
        <v>4739</v>
      </c>
      <c r="AN597">
        <v>529</v>
      </c>
      <c r="AO597">
        <v>3.0999999999999999E-3</v>
      </c>
      <c r="AP597">
        <v>-2</v>
      </c>
      <c r="AQ597">
        <v>-1.83</v>
      </c>
      <c r="AR597">
        <v>-6.42</v>
      </c>
      <c r="AS597">
        <v>25.54</v>
      </c>
      <c r="AT597">
        <v>282.58</v>
      </c>
      <c r="AU597">
        <v>653.89</v>
      </c>
      <c r="AV597">
        <v>54</v>
      </c>
      <c r="AW597">
        <v>18.43</v>
      </c>
      <c r="AX597">
        <v>79.680000000000007</v>
      </c>
      <c r="AY597">
        <v>265.43</v>
      </c>
      <c r="AZ597">
        <v>3573.09</v>
      </c>
      <c r="BA597">
        <v>0.95</v>
      </c>
      <c r="BB597" t="s">
        <v>143</v>
      </c>
      <c r="BF597">
        <v>-2.64</v>
      </c>
      <c r="BG597">
        <v>-6.27</v>
      </c>
      <c r="BH597">
        <v>-9.84</v>
      </c>
      <c r="BI597">
        <v>2.0699999999999998</v>
      </c>
      <c r="BJ597">
        <v>20210816</v>
      </c>
      <c r="BK597">
        <v>20071012</v>
      </c>
      <c r="BL597">
        <v>17.059999999999999</v>
      </c>
      <c r="BM597" t="s">
        <v>120</v>
      </c>
      <c r="BN597" t="s">
        <v>120</v>
      </c>
      <c r="BO597">
        <v>50.94</v>
      </c>
      <c r="BP597">
        <v>28.12</v>
      </c>
      <c r="BQ597">
        <v>17.489999999999998</v>
      </c>
      <c r="BR597">
        <v>0.35</v>
      </c>
      <c r="BS597">
        <v>64.97</v>
      </c>
      <c r="BT597">
        <v>25.74</v>
      </c>
      <c r="BU597">
        <v>16.579999999999998</v>
      </c>
      <c r="BV597">
        <v>3.55</v>
      </c>
      <c r="BW597">
        <v>32.14</v>
      </c>
      <c r="BX597">
        <v>3.83</v>
      </c>
      <c r="BY597">
        <v>4.91</v>
      </c>
      <c r="BZ597">
        <v>6.03</v>
      </c>
      <c r="CA597" t="s">
        <v>120</v>
      </c>
      <c r="CB597">
        <v>37.950000000000003</v>
      </c>
      <c r="CC597">
        <v>13.65</v>
      </c>
      <c r="CD597">
        <v>10.35</v>
      </c>
      <c r="CE597">
        <v>1.97</v>
      </c>
      <c r="CF597">
        <v>0</v>
      </c>
      <c r="CG597">
        <v>2.14</v>
      </c>
      <c r="CH597">
        <v>1.82</v>
      </c>
      <c r="CI597">
        <v>1.81</v>
      </c>
      <c r="CJ597">
        <v>-1.88</v>
      </c>
      <c r="CK597">
        <v>1.58</v>
      </c>
      <c r="CL597">
        <v>-38.06</v>
      </c>
      <c r="CM597">
        <v>0.56999999999999995</v>
      </c>
      <c r="CN597">
        <v>-0.42</v>
      </c>
      <c r="CO597">
        <v>103964</v>
      </c>
      <c r="CP597">
        <v>13078</v>
      </c>
      <c r="CQ597" t="s">
        <v>3720</v>
      </c>
      <c r="CR597">
        <v>6442.28</v>
      </c>
      <c r="CS597">
        <v>50.02</v>
      </c>
      <c r="CT597">
        <v>27.43</v>
      </c>
      <c r="CU597">
        <v>836.99</v>
      </c>
      <c r="CV597">
        <v>35.159999999999997</v>
      </c>
      <c r="CW597">
        <v>0</v>
      </c>
      <c r="CX597" t="s">
        <v>3721</v>
      </c>
      <c r="CY597">
        <v>1.03</v>
      </c>
      <c r="CZ597">
        <v>0</v>
      </c>
      <c r="DA597">
        <v>2.2200000000000002</v>
      </c>
      <c r="DB597">
        <v>-2.23</v>
      </c>
      <c r="DC597">
        <v>0.03</v>
      </c>
      <c r="DD597">
        <v>34.340000000000003</v>
      </c>
      <c r="DE597" t="s">
        <v>3722</v>
      </c>
      <c r="DF597">
        <v>24.15</v>
      </c>
      <c r="DG597">
        <v>14.41</v>
      </c>
      <c r="DH597">
        <v>13.28</v>
      </c>
      <c r="DI597">
        <v>0.44</v>
      </c>
      <c r="DJ597">
        <v>2729</v>
      </c>
      <c r="DK597">
        <v>2176</v>
      </c>
      <c r="DL597">
        <v>20210705</v>
      </c>
      <c r="DM597">
        <v>10.24</v>
      </c>
      <c r="DN597">
        <v>174.61</v>
      </c>
    </row>
    <row r="598" spans="1:118">
      <c r="A598" t="str">
        <f>"002177"</f>
        <v>002177</v>
      </c>
      <c r="B598" t="s">
        <v>3723</v>
      </c>
      <c r="C598">
        <v>-2.64</v>
      </c>
      <c r="D598">
        <v>0</v>
      </c>
      <c r="E598">
        <v>-0.5</v>
      </c>
      <c r="F598">
        <v>4298</v>
      </c>
      <c r="G598" t="s">
        <v>3724</v>
      </c>
      <c r="H598">
        <v>12443.24</v>
      </c>
      <c r="I598">
        <v>52.88</v>
      </c>
      <c r="J598" t="s">
        <v>120</v>
      </c>
      <c r="K598" t="s">
        <v>3725</v>
      </c>
      <c r="L598">
        <v>2.74</v>
      </c>
      <c r="M598">
        <v>5.9</v>
      </c>
      <c r="N598">
        <v>0.67</v>
      </c>
      <c r="O598">
        <v>0</v>
      </c>
      <c r="P598">
        <v>6.06</v>
      </c>
      <c r="Q598">
        <v>-2.64</v>
      </c>
      <c r="R598">
        <v>5.9</v>
      </c>
      <c r="S598">
        <v>6.03</v>
      </c>
      <c r="T598">
        <v>208243</v>
      </c>
      <c r="U598">
        <v>5.91</v>
      </c>
      <c r="V598">
        <v>6.06</v>
      </c>
      <c r="W598" t="s">
        <v>120</v>
      </c>
      <c r="X598" t="s">
        <v>238</v>
      </c>
      <c r="Y598" t="s">
        <v>547</v>
      </c>
      <c r="Z598">
        <v>2.64</v>
      </c>
      <c r="AA598">
        <v>5.98</v>
      </c>
      <c r="AB598">
        <v>137084</v>
      </c>
      <c r="AC598">
        <v>71159</v>
      </c>
      <c r="AD598">
        <v>1.93</v>
      </c>
      <c r="AE598">
        <v>3319</v>
      </c>
      <c r="AF598">
        <v>1982</v>
      </c>
      <c r="AG598" t="s">
        <v>120</v>
      </c>
      <c r="AH598">
        <v>0.01</v>
      </c>
      <c r="AI598" t="s">
        <v>120</v>
      </c>
      <c r="AJ598">
        <v>7.61</v>
      </c>
      <c r="AK598" t="s">
        <v>3725</v>
      </c>
      <c r="AL598">
        <v>-0.73</v>
      </c>
      <c r="AM598">
        <v>2902</v>
      </c>
      <c r="AN598">
        <v>72</v>
      </c>
      <c r="AO598">
        <v>8.9999999999999998E-4</v>
      </c>
      <c r="AP598">
        <v>-1</v>
      </c>
      <c r="AQ598">
        <v>0.66</v>
      </c>
      <c r="AR598">
        <v>-4.54</v>
      </c>
      <c r="AS598">
        <v>-4.0599999999999996</v>
      </c>
      <c r="AT598">
        <v>-17.95</v>
      </c>
      <c r="AU598">
        <v>9.0500000000000007</v>
      </c>
      <c r="AV598">
        <v>13</v>
      </c>
      <c r="AW598">
        <v>3.3</v>
      </c>
      <c r="AX598">
        <v>82.92</v>
      </c>
      <c r="AY598">
        <v>204.98</v>
      </c>
      <c r="AZ598">
        <v>64.28</v>
      </c>
      <c r="BA598">
        <v>1.1499999999999999</v>
      </c>
      <c r="BB598" t="s">
        <v>143</v>
      </c>
      <c r="BF598">
        <v>-1.4</v>
      </c>
      <c r="BG598">
        <v>-2.16</v>
      </c>
      <c r="BH598">
        <v>-2.64</v>
      </c>
      <c r="BI598">
        <v>0</v>
      </c>
      <c r="BJ598">
        <v>20210804</v>
      </c>
      <c r="BK598">
        <v>20071101</v>
      </c>
      <c r="BL598">
        <v>7.61</v>
      </c>
      <c r="BM598" t="s">
        <v>120</v>
      </c>
      <c r="BN598" t="s">
        <v>120</v>
      </c>
      <c r="BO598">
        <v>19.12</v>
      </c>
      <c r="BP598">
        <v>5.9</v>
      </c>
      <c r="BQ598">
        <v>16.739999999999998</v>
      </c>
      <c r="BR598" t="s">
        <v>120</v>
      </c>
      <c r="BS598">
        <v>12.43</v>
      </c>
      <c r="BT598">
        <v>7.27</v>
      </c>
      <c r="BU598">
        <v>1.22</v>
      </c>
      <c r="BV598">
        <v>0.54</v>
      </c>
      <c r="BW598">
        <v>1.66</v>
      </c>
      <c r="BX598">
        <v>0.32</v>
      </c>
      <c r="BY598">
        <v>0.15</v>
      </c>
      <c r="BZ598">
        <v>0.26</v>
      </c>
      <c r="CA598" t="s">
        <v>120</v>
      </c>
      <c r="CB598">
        <v>0.3</v>
      </c>
      <c r="CC598">
        <v>0.42</v>
      </c>
      <c r="CD598">
        <v>0.2</v>
      </c>
      <c r="CE598">
        <v>-0.2</v>
      </c>
      <c r="CF598">
        <v>-0.01</v>
      </c>
      <c r="CG598">
        <v>-0.25</v>
      </c>
      <c r="CH598">
        <v>-0.23</v>
      </c>
      <c r="CI598">
        <v>-0.23</v>
      </c>
      <c r="CJ598">
        <v>-0.16</v>
      </c>
      <c r="CK598">
        <v>-0.04</v>
      </c>
      <c r="CL598">
        <v>7.97</v>
      </c>
      <c r="CM598">
        <v>-0.09</v>
      </c>
      <c r="CN598">
        <v>-0.88</v>
      </c>
      <c r="CO598">
        <v>139388</v>
      </c>
      <c r="CP598">
        <v>4528</v>
      </c>
      <c r="CQ598" t="s">
        <v>3726</v>
      </c>
      <c r="CR598">
        <v>-190.04</v>
      </c>
      <c r="CS598">
        <v>-62.36</v>
      </c>
      <c r="CT598">
        <v>2.68</v>
      </c>
      <c r="CU598">
        <v>-527.49</v>
      </c>
      <c r="CV598">
        <v>107.91</v>
      </c>
      <c r="CW598">
        <v>0.17</v>
      </c>
      <c r="CX598" t="s">
        <v>3727</v>
      </c>
      <c r="CY598">
        <v>2.2000000000000002</v>
      </c>
      <c r="CZ598">
        <v>0</v>
      </c>
      <c r="DA598">
        <v>0.04</v>
      </c>
      <c r="DB598">
        <v>1.05</v>
      </c>
      <c r="DC598">
        <v>-0.01</v>
      </c>
      <c r="DD598">
        <v>87.57</v>
      </c>
      <c r="DE598" t="s">
        <v>3728</v>
      </c>
      <c r="DF598">
        <v>52.34</v>
      </c>
      <c r="DG598">
        <v>-47.61</v>
      </c>
      <c r="DH598">
        <v>-56.07</v>
      </c>
      <c r="DI598">
        <v>7.0000000000000007E-2</v>
      </c>
      <c r="DJ598">
        <v>276</v>
      </c>
      <c r="DK598">
        <v>2177</v>
      </c>
      <c r="DL598" t="s">
        <v>120</v>
      </c>
      <c r="DM598" t="s">
        <v>120</v>
      </c>
      <c r="DN598" t="s">
        <v>120</v>
      </c>
    </row>
    <row r="599" spans="1:118">
      <c r="A599" t="str">
        <f>"002178"</f>
        <v>002178</v>
      </c>
      <c r="B599" t="s">
        <v>3729</v>
      </c>
      <c r="C599">
        <v>-1.8</v>
      </c>
      <c r="D599">
        <v>-0.51</v>
      </c>
      <c r="E599">
        <v>0</v>
      </c>
      <c r="F599">
        <v>2755</v>
      </c>
      <c r="G599" t="s">
        <v>3730</v>
      </c>
      <c r="H599">
        <v>8951.7099999999991</v>
      </c>
      <c r="I599">
        <v>90.25</v>
      </c>
      <c r="J599" t="s">
        <v>120</v>
      </c>
      <c r="K599" t="s">
        <v>3731</v>
      </c>
      <c r="L599">
        <v>3.23</v>
      </c>
      <c r="M599">
        <v>3.81</v>
      </c>
      <c r="N599">
        <v>1.07</v>
      </c>
      <c r="O599">
        <v>2.84</v>
      </c>
      <c r="P599">
        <v>3.99</v>
      </c>
      <c r="Q599">
        <v>-1.8</v>
      </c>
      <c r="R599">
        <v>3.81</v>
      </c>
      <c r="S599">
        <v>3.88</v>
      </c>
      <c r="T599">
        <v>229752</v>
      </c>
      <c r="U599">
        <v>3.82</v>
      </c>
      <c r="V599">
        <v>3.88</v>
      </c>
      <c r="W599" t="s">
        <v>120</v>
      </c>
      <c r="X599" t="s">
        <v>175</v>
      </c>
      <c r="Y599" t="s">
        <v>1510</v>
      </c>
      <c r="Z599">
        <v>4.6399999999999997</v>
      </c>
      <c r="AA599">
        <v>3.9</v>
      </c>
      <c r="AB599">
        <v>113891</v>
      </c>
      <c r="AC599">
        <v>115861</v>
      </c>
      <c r="AD599">
        <v>0.98</v>
      </c>
      <c r="AE599">
        <v>206</v>
      </c>
      <c r="AF599">
        <v>24</v>
      </c>
      <c r="AG599" t="s">
        <v>120</v>
      </c>
      <c r="AH599">
        <v>0.05</v>
      </c>
      <c r="AI599" t="s">
        <v>120</v>
      </c>
      <c r="AJ599">
        <v>7.11</v>
      </c>
      <c r="AK599" t="s">
        <v>2060</v>
      </c>
      <c r="AL599">
        <v>0.11</v>
      </c>
      <c r="AM599">
        <v>2424</v>
      </c>
      <c r="AN599">
        <v>95</v>
      </c>
      <c r="AO599">
        <v>1.2999999999999999E-3</v>
      </c>
      <c r="AP599">
        <v>-1</v>
      </c>
      <c r="AQ599">
        <v>6.3</v>
      </c>
      <c r="AR599">
        <v>0</v>
      </c>
      <c r="AS599">
        <v>11.08</v>
      </c>
      <c r="AT599">
        <v>-5.93</v>
      </c>
      <c r="AU599">
        <v>14.76</v>
      </c>
      <c r="AV599">
        <v>8</v>
      </c>
      <c r="AW599">
        <v>5.08</v>
      </c>
      <c r="AX599">
        <v>63.54</v>
      </c>
      <c r="AY599" t="s">
        <v>120</v>
      </c>
      <c r="AZ599" t="s">
        <v>120</v>
      </c>
      <c r="BA599">
        <v>0.5</v>
      </c>
      <c r="BB599" t="s">
        <v>184</v>
      </c>
      <c r="BF599">
        <v>0.42</v>
      </c>
      <c r="BG599">
        <v>-1.8</v>
      </c>
      <c r="BH599">
        <v>-4.51</v>
      </c>
      <c r="BI599">
        <v>0</v>
      </c>
      <c r="BJ599">
        <v>20210826</v>
      </c>
      <c r="BK599">
        <v>20071101</v>
      </c>
      <c r="BL599">
        <v>7.12</v>
      </c>
      <c r="BM599" t="s">
        <v>120</v>
      </c>
      <c r="BN599" t="s">
        <v>120</v>
      </c>
      <c r="BO599">
        <v>16.739999999999998</v>
      </c>
      <c r="BP599">
        <v>3.81</v>
      </c>
      <c r="BQ599">
        <v>5.58</v>
      </c>
      <c r="BR599">
        <v>1.6</v>
      </c>
      <c r="BS599">
        <v>57.1</v>
      </c>
      <c r="BT599">
        <v>11.93</v>
      </c>
      <c r="BU599">
        <v>1.01</v>
      </c>
      <c r="BV599">
        <v>0.46</v>
      </c>
      <c r="BW599">
        <v>9.08</v>
      </c>
      <c r="BX599">
        <v>2.85</v>
      </c>
      <c r="BY599">
        <v>0.65</v>
      </c>
      <c r="BZ599">
        <v>4.46</v>
      </c>
      <c r="CA599" t="s">
        <v>120</v>
      </c>
      <c r="CB599">
        <v>2.33</v>
      </c>
      <c r="CC599">
        <v>3.58</v>
      </c>
      <c r="CD599">
        <v>3.14</v>
      </c>
      <c r="CE599">
        <v>0.1</v>
      </c>
      <c r="CF599">
        <v>0.06</v>
      </c>
      <c r="CG599">
        <v>-7.0000000000000007E-2</v>
      </c>
      <c r="CH599">
        <v>-0.11</v>
      </c>
      <c r="CI599">
        <v>-7.0000000000000007E-2</v>
      </c>
      <c r="CJ599">
        <v>-7.0000000000000007E-2</v>
      </c>
      <c r="CK599">
        <v>-0.09</v>
      </c>
      <c r="CL599">
        <v>-4.17</v>
      </c>
      <c r="CM599">
        <v>-1.02</v>
      </c>
      <c r="CN599">
        <v>-0.7</v>
      </c>
      <c r="CO599">
        <v>63194</v>
      </c>
      <c r="CP599">
        <v>7160</v>
      </c>
      <c r="CQ599" t="s">
        <v>3732</v>
      </c>
      <c r="CR599">
        <v>53.1</v>
      </c>
      <c r="CS599">
        <v>31.98</v>
      </c>
      <c r="CT599">
        <v>4.8600000000000003</v>
      </c>
      <c r="CU599">
        <v>-26.68</v>
      </c>
      <c r="CV599">
        <v>7.57</v>
      </c>
      <c r="CW599">
        <v>0</v>
      </c>
      <c r="CX599" t="s">
        <v>1312</v>
      </c>
      <c r="CY599">
        <v>0.78</v>
      </c>
      <c r="CZ599">
        <v>0</v>
      </c>
      <c r="DA599">
        <v>0.33</v>
      </c>
      <c r="DB599">
        <v>-0.59</v>
      </c>
      <c r="DC599">
        <v>-0.14000000000000001</v>
      </c>
      <c r="DD599">
        <v>33.340000000000003</v>
      </c>
      <c r="DE599" t="s">
        <v>3733</v>
      </c>
      <c r="DF599">
        <v>12.43</v>
      </c>
      <c r="DG599">
        <v>2.79</v>
      </c>
      <c r="DH599">
        <v>-2.0699999999999998</v>
      </c>
      <c r="DI599">
        <v>0.27</v>
      </c>
      <c r="DJ599">
        <v>1025</v>
      </c>
      <c r="DK599">
        <v>2178</v>
      </c>
      <c r="DL599">
        <v>20210902</v>
      </c>
      <c r="DM599">
        <v>3.82</v>
      </c>
      <c r="DN599">
        <v>-0.26</v>
      </c>
    </row>
    <row r="600" spans="1:118">
      <c r="A600" t="str">
        <f>"002179"</f>
        <v>002179</v>
      </c>
      <c r="B600" t="s">
        <v>3734</v>
      </c>
      <c r="C600">
        <v>-1.34</v>
      </c>
      <c r="D600">
        <v>-0.04</v>
      </c>
      <c r="E600">
        <v>-0.52</v>
      </c>
      <c r="F600">
        <v>592</v>
      </c>
      <c r="G600" t="s">
        <v>3735</v>
      </c>
      <c r="H600">
        <v>86237.4</v>
      </c>
      <c r="I600">
        <v>165.97</v>
      </c>
      <c r="J600" t="s">
        <v>120</v>
      </c>
      <c r="K600" t="s">
        <v>3736</v>
      </c>
      <c r="L600">
        <v>0.96</v>
      </c>
      <c r="M600">
        <v>82.72</v>
      </c>
      <c r="N600">
        <v>0.9</v>
      </c>
      <c r="O600">
        <v>2.68</v>
      </c>
      <c r="P600">
        <v>86.09</v>
      </c>
      <c r="Q600">
        <v>-1.61</v>
      </c>
      <c r="R600">
        <v>82.49</v>
      </c>
      <c r="S600">
        <v>83.4</v>
      </c>
      <c r="T600">
        <v>102088</v>
      </c>
      <c r="U600">
        <v>82.73</v>
      </c>
      <c r="V600">
        <v>83.84</v>
      </c>
      <c r="W600">
        <v>40.840000000000003</v>
      </c>
      <c r="X600" t="s">
        <v>229</v>
      </c>
      <c r="Y600" t="s">
        <v>645</v>
      </c>
      <c r="Z600">
        <v>4.29</v>
      </c>
      <c r="AA600">
        <v>84.47</v>
      </c>
      <c r="AB600">
        <v>50896</v>
      </c>
      <c r="AC600">
        <v>51192</v>
      </c>
      <c r="AD600">
        <v>0.99</v>
      </c>
      <c r="AE600">
        <v>87</v>
      </c>
      <c r="AF600">
        <v>1</v>
      </c>
      <c r="AG600" t="s">
        <v>120</v>
      </c>
      <c r="AH600">
        <v>0</v>
      </c>
      <c r="AI600" t="s">
        <v>120</v>
      </c>
      <c r="AJ600">
        <v>10.68</v>
      </c>
      <c r="AK600" t="s">
        <v>3737</v>
      </c>
      <c r="AL600">
        <v>0.57999999999999996</v>
      </c>
      <c r="AM600">
        <v>4383</v>
      </c>
      <c r="AN600">
        <v>23</v>
      </c>
      <c r="AO600">
        <v>2.0000000000000001E-4</v>
      </c>
      <c r="AP600">
        <v>-1</v>
      </c>
      <c r="AQ600">
        <v>2.5299999999999998</v>
      </c>
      <c r="AR600">
        <v>-0.99</v>
      </c>
      <c r="AS600">
        <v>-11.87</v>
      </c>
      <c r="AT600">
        <v>5.78</v>
      </c>
      <c r="AU600">
        <v>6.2</v>
      </c>
      <c r="AV600">
        <v>1</v>
      </c>
      <c r="AW600">
        <v>1.97</v>
      </c>
      <c r="AX600">
        <v>47.14</v>
      </c>
      <c r="AY600">
        <v>48.79</v>
      </c>
      <c r="AZ600">
        <v>64.08</v>
      </c>
      <c r="BA600">
        <v>1.1299999999999999</v>
      </c>
      <c r="BB600" t="s">
        <v>2725</v>
      </c>
      <c r="BF600">
        <v>0.76</v>
      </c>
      <c r="BG600">
        <v>-0.82</v>
      </c>
      <c r="BH600">
        <v>-3.91</v>
      </c>
      <c r="BI600">
        <v>0.28000000000000003</v>
      </c>
      <c r="BJ600">
        <v>20210914</v>
      </c>
      <c r="BK600">
        <v>20071101</v>
      </c>
      <c r="BL600">
        <v>11</v>
      </c>
      <c r="BM600" t="s">
        <v>120</v>
      </c>
      <c r="BN600" t="s">
        <v>120</v>
      </c>
      <c r="BO600">
        <v>217.12</v>
      </c>
      <c r="BP600">
        <v>82.72</v>
      </c>
      <c r="BQ600">
        <v>105.66</v>
      </c>
      <c r="BR600">
        <v>8.8699999999999992</v>
      </c>
      <c r="BS600">
        <v>47.25</v>
      </c>
      <c r="BT600">
        <v>178.89</v>
      </c>
      <c r="BU600">
        <v>21.69</v>
      </c>
      <c r="BV600">
        <v>1.89</v>
      </c>
      <c r="BW600">
        <v>94.13</v>
      </c>
      <c r="BX600">
        <v>44.33</v>
      </c>
      <c r="BY600">
        <v>36.119999999999997</v>
      </c>
      <c r="BZ600">
        <v>64.03</v>
      </c>
      <c r="CA600" t="s">
        <v>120</v>
      </c>
      <c r="CB600">
        <v>30.61</v>
      </c>
      <c r="CC600">
        <v>66.63</v>
      </c>
      <c r="CD600">
        <v>40.770000000000003</v>
      </c>
      <c r="CE600">
        <v>13</v>
      </c>
      <c r="CF600">
        <v>0.56999999999999995</v>
      </c>
      <c r="CG600">
        <v>13.15</v>
      </c>
      <c r="CH600">
        <v>11.8</v>
      </c>
      <c r="CI600">
        <v>11.14</v>
      </c>
      <c r="CJ600">
        <v>-1.1200000000000001</v>
      </c>
      <c r="CK600">
        <v>10.92</v>
      </c>
      <c r="CL600">
        <v>54.88</v>
      </c>
      <c r="CM600">
        <v>4.38</v>
      </c>
      <c r="CN600">
        <v>-1.33</v>
      </c>
      <c r="CO600">
        <v>54711</v>
      </c>
      <c r="CP600">
        <v>9478</v>
      </c>
      <c r="CQ600" t="s">
        <v>3738</v>
      </c>
      <c r="CR600">
        <v>68.010000000000005</v>
      </c>
      <c r="CS600">
        <v>38.53</v>
      </c>
      <c r="CT600">
        <v>8.61</v>
      </c>
      <c r="CU600">
        <v>207.88</v>
      </c>
      <c r="CV600">
        <v>13.66</v>
      </c>
      <c r="CW600">
        <v>0.48</v>
      </c>
      <c r="CX600" t="s">
        <v>3739</v>
      </c>
      <c r="CY600">
        <v>9.61</v>
      </c>
      <c r="CZ600">
        <v>0</v>
      </c>
      <c r="DA600">
        <v>2.78</v>
      </c>
      <c r="DB600">
        <v>4.99</v>
      </c>
      <c r="DC600">
        <v>0.4</v>
      </c>
      <c r="DD600">
        <v>48.66</v>
      </c>
      <c r="DE600" t="s">
        <v>3740</v>
      </c>
      <c r="DF600">
        <v>38.81</v>
      </c>
      <c r="DG600">
        <v>19.510000000000002</v>
      </c>
      <c r="DH600">
        <v>16.72</v>
      </c>
      <c r="DI600">
        <v>5.81</v>
      </c>
      <c r="DJ600">
        <v>13289</v>
      </c>
      <c r="DK600">
        <v>2179</v>
      </c>
      <c r="DL600" t="s">
        <v>120</v>
      </c>
      <c r="DM600" t="s">
        <v>120</v>
      </c>
      <c r="DN600" t="s">
        <v>120</v>
      </c>
    </row>
    <row r="601" spans="1:118">
      <c r="A601" t="str">
        <f>"002180"</f>
        <v>002180</v>
      </c>
      <c r="B601" t="s">
        <v>3741</v>
      </c>
      <c r="C601">
        <v>2.54</v>
      </c>
      <c r="D601">
        <v>0.13</v>
      </c>
      <c r="E601">
        <v>0.13</v>
      </c>
      <c r="F601">
        <v>1470</v>
      </c>
      <c r="G601" t="s">
        <v>3742</v>
      </c>
      <c r="H601">
        <v>36599.730000000003</v>
      </c>
      <c r="I601">
        <v>276.55</v>
      </c>
      <c r="J601" t="s">
        <v>120</v>
      </c>
      <c r="K601" t="s">
        <v>3743</v>
      </c>
      <c r="L601">
        <v>0.92</v>
      </c>
      <c r="M601">
        <v>39.5</v>
      </c>
      <c r="N601">
        <v>1.1599999999999999</v>
      </c>
      <c r="O601">
        <v>3.25</v>
      </c>
      <c r="P601">
        <v>39.770000000000003</v>
      </c>
      <c r="Q601">
        <v>-0.88</v>
      </c>
      <c r="R601">
        <v>38.18</v>
      </c>
      <c r="S601">
        <v>38.57</v>
      </c>
      <c r="T601">
        <v>93219</v>
      </c>
      <c r="U601">
        <v>39.5</v>
      </c>
      <c r="V601">
        <v>38.520000000000003</v>
      </c>
      <c r="W601">
        <v>49.92</v>
      </c>
      <c r="X601" t="s">
        <v>238</v>
      </c>
      <c r="Y601" t="s">
        <v>547</v>
      </c>
      <c r="Z601">
        <v>4.13</v>
      </c>
      <c r="AA601">
        <v>39.26</v>
      </c>
      <c r="AB601">
        <v>34111</v>
      </c>
      <c r="AC601">
        <v>59108</v>
      </c>
      <c r="AD601">
        <v>0.57999999999999996</v>
      </c>
      <c r="AE601">
        <v>8</v>
      </c>
      <c r="AF601">
        <v>739</v>
      </c>
      <c r="AG601" t="s">
        <v>120</v>
      </c>
      <c r="AH601">
        <v>0.01</v>
      </c>
      <c r="AI601" t="s">
        <v>120</v>
      </c>
      <c r="AJ601">
        <v>10.09</v>
      </c>
      <c r="AK601" t="s">
        <v>3744</v>
      </c>
      <c r="AL601">
        <v>4.46</v>
      </c>
      <c r="AM601">
        <v>3304</v>
      </c>
      <c r="AN601">
        <v>28</v>
      </c>
      <c r="AO601">
        <v>2.9999999999999997E-4</v>
      </c>
      <c r="AP601">
        <v>2</v>
      </c>
      <c r="AQ601">
        <v>0.36</v>
      </c>
      <c r="AR601">
        <v>1.51</v>
      </c>
      <c r="AS601">
        <v>13.34</v>
      </c>
      <c r="AT601">
        <v>27.91</v>
      </c>
      <c r="AU601">
        <v>48.44</v>
      </c>
      <c r="AV601">
        <v>1</v>
      </c>
      <c r="AW601">
        <v>1.6</v>
      </c>
      <c r="AX601">
        <v>53.95</v>
      </c>
      <c r="AY601">
        <v>267.68</v>
      </c>
      <c r="AZ601">
        <v>471.54</v>
      </c>
      <c r="BA601">
        <v>0.83</v>
      </c>
      <c r="BB601" t="s">
        <v>143</v>
      </c>
      <c r="BF601">
        <v>1.93</v>
      </c>
      <c r="BG601">
        <v>2.41</v>
      </c>
      <c r="BH601">
        <v>-0.68</v>
      </c>
      <c r="BI601">
        <v>3.46</v>
      </c>
      <c r="BJ601">
        <v>20210819</v>
      </c>
      <c r="BK601">
        <v>20071113</v>
      </c>
      <c r="BL601">
        <v>10.77</v>
      </c>
      <c r="BM601" t="s">
        <v>120</v>
      </c>
      <c r="BN601" t="s">
        <v>120</v>
      </c>
      <c r="BO601">
        <v>377.4</v>
      </c>
      <c r="BP601">
        <v>39.49</v>
      </c>
      <c r="BQ601">
        <v>88.85</v>
      </c>
      <c r="BR601">
        <v>41.93</v>
      </c>
      <c r="BS601">
        <v>65.349999999999994</v>
      </c>
      <c r="BT601">
        <v>134.99</v>
      </c>
      <c r="BU601">
        <v>24.4</v>
      </c>
      <c r="BV601">
        <v>59.48</v>
      </c>
      <c r="BW601">
        <v>125.92</v>
      </c>
      <c r="BX601">
        <v>55.75</v>
      </c>
      <c r="BY601">
        <v>28.95</v>
      </c>
      <c r="BZ601">
        <v>26.98</v>
      </c>
      <c r="CA601">
        <v>0</v>
      </c>
      <c r="CB601">
        <v>42.93</v>
      </c>
      <c r="CC601">
        <v>99.07</v>
      </c>
      <c r="CD601">
        <v>64.739999999999995</v>
      </c>
      <c r="CE601">
        <v>6.92</v>
      </c>
      <c r="CF601">
        <v>0.24</v>
      </c>
      <c r="CG601">
        <v>7.59</v>
      </c>
      <c r="CH601">
        <v>5.66</v>
      </c>
      <c r="CI601">
        <v>4.26</v>
      </c>
      <c r="CJ601">
        <v>0.98</v>
      </c>
      <c r="CK601">
        <v>2.2799999999999998</v>
      </c>
      <c r="CL601">
        <v>34.83</v>
      </c>
      <c r="CM601">
        <v>4.6100000000000003</v>
      </c>
      <c r="CN601">
        <v>-8.8000000000000007</v>
      </c>
      <c r="CO601">
        <v>36245</v>
      </c>
      <c r="CP601">
        <v>16026</v>
      </c>
      <c r="CQ601" t="s">
        <v>3745</v>
      </c>
      <c r="CR601">
        <v>18.66</v>
      </c>
      <c r="CS601">
        <v>0.19</v>
      </c>
      <c r="CT601">
        <v>4.79</v>
      </c>
      <c r="CU601">
        <v>92.28</v>
      </c>
      <c r="CV601">
        <v>4.29</v>
      </c>
      <c r="CW601">
        <v>0.31</v>
      </c>
      <c r="CX601" t="s">
        <v>3527</v>
      </c>
      <c r="CY601">
        <v>8.25</v>
      </c>
      <c r="CZ601">
        <v>0</v>
      </c>
      <c r="DA601">
        <v>3.99</v>
      </c>
      <c r="DB601">
        <v>3.24</v>
      </c>
      <c r="DC601">
        <v>0.43</v>
      </c>
      <c r="DD601">
        <v>23.54</v>
      </c>
      <c r="DE601" t="s">
        <v>1943</v>
      </c>
      <c r="DF601">
        <v>34.65</v>
      </c>
      <c r="DG601">
        <v>6.98</v>
      </c>
      <c r="DH601">
        <v>4.3</v>
      </c>
      <c r="DI601">
        <v>6.13</v>
      </c>
      <c r="DJ601">
        <v>16886</v>
      </c>
      <c r="DK601">
        <v>2180</v>
      </c>
      <c r="DL601" t="s">
        <v>120</v>
      </c>
      <c r="DM601" t="s">
        <v>120</v>
      </c>
      <c r="DN601" t="s">
        <v>120</v>
      </c>
    </row>
    <row r="602" spans="1:118">
      <c r="A602" t="str">
        <f>"002181"</f>
        <v>002181</v>
      </c>
      <c r="B602" t="s">
        <v>3746</v>
      </c>
      <c r="C602">
        <v>-2.11</v>
      </c>
      <c r="D602">
        <v>-0.47</v>
      </c>
      <c r="E602">
        <v>-0.23</v>
      </c>
      <c r="F602">
        <v>7688</v>
      </c>
      <c r="G602" t="s">
        <v>3747</v>
      </c>
      <c r="H602">
        <v>2018.85</v>
      </c>
      <c r="I602">
        <v>0.34</v>
      </c>
      <c r="J602" t="s">
        <v>120</v>
      </c>
      <c r="K602" t="s">
        <v>3748</v>
      </c>
      <c r="L602">
        <v>0.42</v>
      </c>
      <c r="M602">
        <v>4.18</v>
      </c>
      <c r="N602">
        <v>0.83</v>
      </c>
      <c r="O602">
        <v>0.7</v>
      </c>
      <c r="P602">
        <v>4.3</v>
      </c>
      <c r="Q602">
        <v>-2.11</v>
      </c>
      <c r="R602">
        <v>4.18</v>
      </c>
      <c r="S602">
        <v>4.26</v>
      </c>
      <c r="T602">
        <v>47707</v>
      </c>
      <c r="U602">
        <v>4.1900000000000004</v>
      </c>
      <c r="V602">
        <v>4.2699999999999996</v>
      </c>
      <c r="W602">
        <v>63.02</v>
      </c>
      <c r="X602" t="s">
        <v>1730</v>
      </c>
      <c r="Y602" t="s">
        <v>547</v>
      </c>
      <c r="Z602">
        <v>2.81</v>
      </c>
      <c r="AA602">
        <v>4.2300000000000004</v>
      </c>
      <c r="AB602">
        <v>30340</v>
      </c>
      <c r="AC602">
        <v>17367</v>
      </c>
      <c r="AD602">
        <v>1.75</v>
      </c>
      <c r="AE602">
        <v>100</v>
      </c>
      <c r="AF602">
        <v>7</v>
      </c>
      <c r="AG602" t="s">
        <v>120</v>
      </c>
      <c r="AH602">
        <v>0</v>
      </c>
      <c r="AI602" t="s">
        <v>120</v>
      </c>
      <c r="AJ602">
        <v>11.34</v>
      </c>
      <c r="AK602" t="s">
        <v>3161</v>
      </c>
      <c r="AL602">
        <v>-0.19</v>
      </c>
      <c r="AM602">
        <v>991</v>
      </c>
      <c r="AN602">
        <v>48</v>
      </c>
      <c r="AO602">
        <v>4.0000000000000002E-4</v>
      </c>
      <c r="AP602">
        <v>-1</v>
      </c>
      <c r="AQ602">
        <v>0.95</v>
      </c>
      <c r="AR602">
        <v>-3.02</v>
      </c>
      <c r="AS602">
        <v>2.7</v>
      </c>
      <c r="AT602">
        <v>-3.02</v>
      </c>
      <c r="AU602">
        <v>-2.33</v>
      </c>
      <c r="AV602">
        <v>2</v>
      </c>
      <c r="AW602">
        <v>1.29</v>
      </c>
      <c r="AX602">
        <v>31.86</v>
      </c>
      <c r="AY602">
        <v>15.32</v>
      </c>
      <c r="AZ602">
        <v>15.81</v>
      </c>
      <c r="BA602">
        <v>0.14000000000000001</v>
      </c>
      <c r="BB602" t="s">
        <v>143</v>
      </c>
      <c r="BF602">
        <v>-0.9</v>
      </c>
      <c r="BG602">
        <v>-1.88</v>
      </c>
      <c r="BH602">
        <v>-2.79</v>
      </c>
      <c r="BI602">
        <v>0</v>
      </c>
      <c r="BJ602">
        <v>20210830</v>
      </c>
      <c r="BK602">
        <v>20071116</v>
      </c>
      <c r="BL602">
        <v>11.61</v>
      </c>
      <c r="BM602" t="s">
        <v>120</v>
      </c>
      <c r="BN602" t="s">
        <v>120</v>
      </c>
      <c r="BO602">
        <v>51.42</v>
      </c>
      <c r="BP602">
        <v>4.18</v>
      </c>
      <c r="BQ602">
        <v>42.35</v>
      </c>
      <c r="BR602">
        <v>0.05</v>
      </c>
      <c r="BS602">
        <v>17.559999999999999</v>
      </c>
      <c r="BT602">
        <v>15.87</v>
      </c>
      <c r="BU602">
        <v>1.0900000000000001</v>
      </c>
      <c r="BV602">
        <v>6.75</v>
      </c>
      <c r="BW602">
        <v>4.42</v>
      </c>
      <c r="BX602">
        <v>7.6</v>
      </c>
      <c r="BY602">
        <v>0.65</v>
      </c>
      <c r="BZ602">
        <v>1.24</v>
      </c>
      <c r="CA602">
        <v>0</v>
      </c>
      <c r="CB602">
        <v>13.4</v>
      </c>
      <c r="CC602">
        <v>2.33</v>
      </c>
      <c r="CD602">
        <v>1.41</v>
      </c>
      <c r="CE602">
        <v>0.43</v>
      </c>
      <c r="CF602">
        <v>0.16</v>
      </c>
      <c r="CG602">
        <v>0.39</v>
      </c>
      <c r="CH602">
        <v>0.38</v>
      </c>
      <c r="CI602">
        <v>0.39</v>
      </c>
      <c r="CJ602">
        <v>-0.09</v>
      </c>
      <c r="CK602">
        <v>0.38</v>
      </c>
      <c r="CL602">
        <v>13.81</v>
      </c>
      <c r="CM602">
        <v>-3.5</v>
      </c>
      <c r="CN602">
        <v>1.59</v>
      </c>
      <c r="CO602">
        <v>40002</v>
      </c>
      <c r="CP602">
        <v>9248</v>
      </c>
      <c r="CQ602" t="s">
        <v>954</v>
      </c>
      <c r="CR602">
        <v>35.840000000000003</v>
      </c>
      <c r="CS602">
        <v>-7.0000000000000007E-2</v>
      </c>
      <c r="CT602">
        <v>1.1499999999999999</v>
      </c>
      <c r="CU602">
        <v>-13.86</v>
      </c>
      <c r="CV602">
        <v>20.85</v>
      </c>
      <c r="CW602">
        <v>1.41</v>
      </c>
      <c r="CX602" t="s">
        <v>3749</v>
      </c>
      <c r="CY602">
        <v>3.65</v>
      </c>
      <c r="CZ602">
        <v>0</v>
      </c>
      <c r="DA602">
        <v>1.1499999999999999</v>
      </c>
      <c r="DB602">
        <v>1.19</v>
      </c>
      <c r="DC602">
        <v>-0.3</v>
      </c>
      <c r="DD602">
        <v>82.36</v>
      </c>
      <c r="DE602" t="s">
        <v>2062</v>
      </c>
      <c r="DF602">
        <v>39.4</v>
      </c>
      <c r="DG602">
        <v>18.43</v>
      </c>
      <c r="DH602">
        <v>16.54</v>
      </c>
      <c r="DI602">
        <v>0.02</v>
      </c>
      <c r="DJ602">
        <v>1814</v>
      </c>
      <c r="DK602">
        <v>2181</v>
      </c>
      <c r="DL602" t="s">
        <v>120</v>
      </c>
      <c r="DM602" t="s">
        <v>120</v>
      </c>
      <c r="DN602" t="s">
        <v>120</v>
      </c>
    </row>
    <row r="603" spans="1:118">
      <c r="A603" t="str">
        <f>"002182"</f>
        <v>002182</v>
      </c>
      <c r="B603" t="s">
        <v>3750</v>
      </c>
      <c r="C603">
        <v>6.87</v>
      </c>
      <c r="D603">
        <v>0.36</v>
      </c>
      <c r="E603">
        <v>5.43</v>
      </c>
      <c r="F603">
        <v>16749</v>
      </c>
      <c r="G603" t="s">
        <v>3751</v>
      </c>
      <c r="H603">
        <v>272756.58</v>
      </c>
      <c r="I603">
        <v>5264.98</v>
      </c>
      <c r="J603" t="s">
        <v>120</v>
      </c>
      <c r="K603" t="s">
        <v>3752</v>
      </c>
      <c r="L603">
        <v>19.22</v>
      </c>
      <c r="M603">
        <v>25.2</v>
      </c>
      <c r="N603">
        <v>1.63</v>
      </c>
      <c r="O603">
        <v>10.01</v>
      </c>
      <c r="P603">
        <v>25.94</v>
      </c>
      <c r="Q603">
        <v>4.88</v>
      </c>
      <c r="R603">
        <v>24.73</v>
      </c>
      <c r="S603">
        <v>24.86</v>
      </c>
      <c r="T603">
        <v>1071152</v>
      </c>
      <c r="U603">
        <v>25.21</v>
      </c>
      <c r="V603">
        <v>23.58</v>
      </c>
      <c r="W603">
        <v>57.25</v>
      </c>
      <c r="X603" t="s">
        <v>1390</v>
      </c>
      <c r="Y603" t="s">
        <v>319</v>
      </c>
      <c r="Z603">
        <v>5.13</v>
      </c>
      <c r="AA603">
        <v>25.46</v>
      </c>
      <c r="AB603">
        <v>575518</v>
      </c>
      <c r="AC603">
        <v>495634</v>
      </c>
      <c r="AD603">
        <v>1.1599999999999999</v>
      </c>
      <c r="AE603">
        <v>160</v>
      </c>
      <c r="AF603">
        <v>10</v>
      </c>
      <c r="AG603" t="s">
        <v>120</v>
      </c>
      <c r="AH603">
        <v>0.48</v>
      </c>
      <c r="AI603" t="s">
        <v>120</v>
      </c>
      <c r="AJ603">
        <v>5.57</v>
      </c>
      <c r="AK603" t="s">
        <v>3753</v>
      </c>
      <c r="AL603">
        <v>8.7799999999999994</v>
      </c>
      <c r="AM603">
        <v>4223</v>
      </c>
      <c r="AN603">
        <v>254</v>
      </c>
      <c r="AO603">
        <v>4.5999999999999999E-3</v>
      </c>
      <c r="AP603">
        <v>4</v>
      </c>
      <c r="AQ603">
        <v>9.98</v>
      </c>
      <c r="AR603">
        <v>20.51</v>
      </c>
      <c r="AS603">
        <v>84.21</v>
      </c>
      <c r="AT603">
        <v>98.43</v>
      </c>
      <c r="AU603">
        <v>92.08</v>
      </c>
      <c r="AV603">
        <v>3</v>
      </c>
      <c r="AW603">
        <v>24.48</v>
      </c>
      <c r="AX603">
        <v>67.69</v>
      </c>
      <c r="AY603">
        <v>52.74</v>
      </c>
      <c r="AZ603">
        <v>62.53</v>
      </c>
      <c r="BA603">
        <v>0.87</v>
      </c>
      <c r="BB603" t="s">
        <v>168</v>
      </c>
      <c r="BF603">
        <v>7.99</v>
      </c>
      <c r="BG603">
        <v>1.37</v>
      </c>
      <c r="BH603">
        <v>-2.85</v>
      </c>
      <c r="BI603">
        <v>1.9</v>
      </c>
      <c r="BJ603">
        <v>20210913</v>
      </c>
      <c r="BK603">
        <v>20071113</v>
      </c>
      <c r="BL603">
        <v>6.46</v>
      </c>
      <c r="BM603" t="s">
        <v>120</v>
      </c>
      <c r="BN603" t="s">
        <v>120</v>
      </c>
      <c r="BO603">
        <v>63.4</v>
      </c>
      <c r="BP603">
        <v>25.2</v>
      </c>
      <c r="BQ603">
        <v>28.96</v>
      </c>
      <c r="BR603">
        <v>0.78</v>
      </c>
      <c r="BS603">
        <v>53.08</v>
      </c>
      <c r="BT603">
        <v>34.5</v>
      </c>
      <c r="BU603">
        <v>14.77</v>
      </c>
      <c r="BV603">
        <v>2.17</v>
      </c>
      <c r="BW603">
        <v>32</v>
      </c>
      <c r="BX603">
        <v>2.86</v>
      </c>
      <c r="BY603">
        <v>10.199999999999999</v>
      </c>
      <c r="BZ603">
        <v>13.77</v>
      </c>
      <c r="CA603" t="s">
        <v>120</v>
      </c>
      <c r="CB603">
        <v>4.66</v>
      </c>
      <c r="CC603">
        <v>35.979999999999997</v>
      </c>
      <c r="CD603">
        <v>31.68</v>
      </c>
      <c r="CE603">
        <v>1.68</v>
      </c>
      <c r="CF603">
        <v>0.05</v>
      </c>
      <c r="CG603">
        <v>1.66</v>
      </c>
      <c r="CH603">
        <v>1.41</v>
      </c>
      <c r="CI603">
        <v>1.42</v>
      </c>
      <c r="CJ603">
        <v>1.62</v>
      </c>
      <c r="CK603">
        <v>1.1100000000000001</v>
      </c>
      <c r="CL603">
        <v>16.559999999999999</v>
      </c>
      <c r="CM603">
        <v>2.25</v>
      </c>
      <c r="CN603">
        <v>0.56000000000000005</v>
      </c>
      <c r="CO603">
        <v>59569</v>
      </c>
      <c r="CP603">
        <v>7345</v>
      </c>
      <c r="CQ603" t="s">
        <v>3754</v>
      </c>
      <c r="CR603">
        <v>46.68</v>
      </c>
      <c r="CS603">
        <v>42.7</v>
      </c>
      <c r="CT603">
        <v>5.62</v>
      </c>
      <c r="CU603">
        <v>72.37</v>
      </c>
      <c r="CV603">
        <v>4.53</v>
      </c>
      <c r="CW603">
        <v>0.42</v>
      </c>
      <c r="CX603" t="s">
        <v>3361</v>
      </c>
      <c r="CY603">
        <v>4.4800000000000004</v>
      </c>
      <c r="CZ603">
        <v>0</v>
      </c>
      <c r="DA603">
        <v>0.72</v>
      </c>
      <c r="DB603">
        <v>2.56</v>
      </c>
      <c r="DC603">
        <v>0.35</v>
      </c>
      <c r="DD603">
        <v>45.68</v>
      </c>
      <c r="DE603" t="s">
        <v>3755</v>
      </c>
      <c r="DF603">
        <v>11.95</v>
      </c>
      <c r="DG603">
        <v>4.66</v>
      </c>
      <c r="DH603">
        <v>3.95</v>
      </c>
      <c r="DI603">
        <v>1.37</v>
      </c>
      <c r="DJ603">
        <v>3636</v>
      </c>
      <c r="DK603">
        <v>2182</v>
      </c>
      <c r="DL603">
        <v>20210915</v>
      </c>
      <c r="DM603">
        <v>23.58</v>
      </c>
      <c r="DN603">
        <v>6.87</v>
      </c>
    </row>
    <row r="604" spans="1:118">
      <c r="A604" t="str">
        <f>"002183"</f>
        <v>002183</v>
      </c>
      <c r="B604" t="s">
        <v>3756</v>
      </c>
      <c r="C604">
        <v>-2.94</v>
      </c>
      <c r="D604">
        <v>0</v>
      </c>
      <c r="E604">
        <v>0.27</v>
      </c>
      <c r="F604">
        <v>14525</v>
      </c>
      <c r="G604" t="s">
        <v>3757</v>
      </c>
      <c r="H604">
        <v>64632.89</v>
      </c>
      <c r="I604">
        <v>124.82</v>
      </c>
      <c r="J604" t="s">
        <v>120</v>
      </c>
      <c r="K604" t="s">
        <v>3758</v>
      </c>
      <c r="L604">
        <v>4.0199999999999996</v>
      </c>
      <c r="M604">
        <v>7.27</v>
      </c>
      <c r="N604">
        <v>1.31</v>
      </c>
      <c r="O604">
        <v>4.8099999999999996</v>
      </c>
      <c r="P604">
        <v>7.85</v>
      </c>
      <c r="Q604">
        <v>-3.2</v>
      </c>
      <c r="R604">
        <v>7.25</v>
      </c>
      <c r="S604">
        <v>7.51</v>
      </c>
      <c r="T604">
        <v>852210</v>
      </c>
      <c r="U604">
        <v>7.27</v>
      </c>
      <c r="V604">
        <v>7.49</v>
      </c>
      <c r="W604">
        <v>36.69</v>
      </c>
      <c r="X604" t="s">
        <v>2775</v>
      </c>
      <c r="Y604" t="s">
        <v>123</v>
      </c>
      <c r="Z604">
        <v>8.01</v>
      </c>
      <c r="AA604">
        <v>7.58</v>
      </c>
      <c r="AB604">
        <v>416218</v>
      </c>
      <c r="AC604">
        <v>435992</v>
      </c>
      <c r="AD604">
        <v>0.95</v>
      </c>
      <c r="AE604">
        <v>1121</v>
      </c>
      <c r="AF604">
        <v>1699</v>
      </c>
      <c r="AG604" t="s">
        <v>120</v>
      </c>
      <c r="AH604">
        <v>0.01</v>
      </c>
      <c r="AI604" t="s">
        <v>120</v>
      </c>
      <c r="AJ604">
        <v>21.22</v>
      </c>
      <c r="AK604" t="s">
        <v>3759</v>
      </c>
      <c r="AL604">
        <v>-1.02</v>
      </c>
      <c r="AM604">
        <v>4455</v>
      </c>
      <c r="AN604">
        <v>191</v>
      </c>
      <c r="AO604">
        <v>8.9999999999999998E-4</v>
      </c>
      <c r="AP604">
        <v>-3</v>
      </c>
      <c r="AQ604">
        <v>-1.19</v>
      </c>
      <c r="AR604">
        <v>-4.22</v>
      </c>
      <c r="AS604">
        <v>10.65</v>
      </c>
      <c r="AT604">
        <v>24.91</v>
      </c>
      <c r="AU604">
        <v>67.510000000000005</v>
      </c>
      <c r="AV604">
        <v>1</v>
      </c>
      <c r="AW604">
        <v>6.29</v>
      </c>
      <c r="AX604">
        <v>52.16</v>
      </c>
      <c r="AY604">
        <v>60.78</v>
      </c>
      <c r="AZ604">
        <v>157.58000000000001</v>
      </c>
      <c r="BA604">
        <v>0.32</v>
      </c>
      <c r="BB604" t="s">
        <v>143</v>
      </c>
      <c r="BF604">
        <v>1.26</v>
      </c>
      <c r="BG604">
        <v>-3.2</v>
      </c>
      <c r="BH604">
        <v>-7.39</v>
      </c>
      <c r="BI604">
        <v>0.28000000000000003</v>
      </c>
      <c r="BJ604">
        <v>20210818</v>
      </c>
      <c r="BK604">
        <v>20071113</v>
      </c>
      <c r="BL604">
        <v>25.97</v>
      </c>
      <c r="BM604" t="s">
        <v>120</v>
      </c>
      <c r="BN604" t="s">
        <v>120</v>
      </c>
      <c r="BO604">
        <v>414.87</v>
      </c>
      <c r="BP604">
        <v>7.26</v>
      </c>
      <c r="BQ604">
        <v>61.62</v>
      </c>
      <c r="BR604">
        <v>19.39</v>
      </c>
      <c r="BS604">
        <v>80.47</v>
      </c>
      <c r="BT604">
        <v>324.02</v>
      </c>
      <c r="BU604">
        <v>13.67</v>
      </c>
      <c r="BV604">
        <v>11.52</v>
      </c>
      <c r="BW604">
        <v>298.45999999999998</v>
      </c>
      <c r="BX604">
        <v>87.29</v>
      </c>
      <c r="BY604">
        <v>58.7</v>
      </c>
      <c r="BZ604">
        <v>129.80000000000001</v>
      </c>
      <c r="CA604">
        <v>0.14000000000000001</v>
      </c>
      <c r="CB604">
        <v>12.96</v>
      </c>
      <c r="CC604">
        <v>360.97</v>
      </c>
      <c r="CD604">
        <v>339.13</v>
      </c>
      <c r="CE604">
        <v>2.64</v>
      </c>
      <c r="CF604">
        <v>1.67</v>
      </c>
      <c r="CG604">
        <v>2.64</v>
      </c>
      <c r="CH604">
        <v>2.15</v>
      </c>
      <c r="CI604">
        <v>2.57</v>
      </c>
      <c r="CJ604">
        <v>-0.22</v>
      </c>
      <c r="CK604">
        <v>2.56</v>
      </c>
      <c r="CL604">
        <v>19.96</v>
      </c>
      <c r="CM604">
        <v>14.28</v>
      </c>
      <c r="CN604">
        <v>2.02</v>
      </c>
      <c r="CO604">
        <v>84603</v>
      </c>
      <c r="CP604">
        <v>16011</v>
      </c>
      <c r="CQ604" t="s">
        <v>3760</v>
      </c>
      <c r="CR604">
        <v>323.91000000000003</v>
      </c>
      <c r="CS604">
        <v>25.62</v>
      </c>
      <c r="CT604">
        <v>2.5</v>
      </c>
      <c r="CU604">
        <v>13.22</v>
      </c>
      <c r="CV604">
        <v>0.52</v>
      </c>
      <c r="CW604">
        <v>0.22</v>
      </c>
      <c r="CX604" t="s">
        <v>850</v>
      </c>
      <c r="CY604">
        <v>2.9</v>
      </c>
      <c r="CZ604">
        <v>2.9</v>
      </c>
      <c r="DA604">
        <v>0.5</v>
      </c>
      <c r="DB604">
        <v>0.77</v>
      </c>
      <c r="DC604">
        <v>0.55000000000000004</v>
      </c>
      <c r="DD604">
        <v>14.85</v>
      </c>
      <c r="DE604" t="s">
        <v>3761</v>
      </c>
      <c r="DF604">
        <v>6.05</v>
      </c>
      <c r="DG604">
        <v>0.73</v>
      </c>
      <c r="DH604">
        <v>0.71</v>
      </c>
      <c r="DI604">
        <v>0.05</v>
      </c>
      <c r="DJ604">
        <v>11133</v>
      </c>
      <c r="DK604">
        <v>2183</v>
      </c>
      <c r="DL604" t="s">
        <v>120</v>
      </c>
      <c r="DM604" t="s">
        <v>120</v>
      </c>
      <c r="DN604" t="s">
        <v>120</v>
      </c>
    </row>
    <row r="605" spans="1:118">
      <c r="A605" t="str">
        <f>"002184"</f>
        <v>002184</v>
      </c>
      <c r="B605" t="s">
        <v>3762</v>
      </c>
      <c r="C605">
        <v>1.86</v>
      </c>
      <c r="D605">
        <v>0.27</v>
      </c>
      <c r="E605">
        <v>0</v>
      </c>
      <c r="F605">
        <v>5235</v>
      </c>
      <c r="G605" t="s">
        <v>3763</v>
      </c>
      <c r="H605">
        <v>56274.46</v>
      </c>
      <c r="I605">
        <v>1190.77</v>
      </c>
      <c r="J605" t="s">
        <v>120</v>
      </c>
      <c r="K605" t="s">
        <v>370</v>
      </c>
      <c r="L605">
        <v>13.46</v>
      </c>
      <c r="M605">
        <v>18.64</v>
      </c>
      <c r="N605">
        <v>1.26</v>
      </c>
      <c r="O605">
        <v>1.97</v>
      </c>
      <c r="P605">
        <v>18.66</v>
      </c>
      <c r="Q605">
        <v>-3.28</v>
      </c>
      <c r="R605">
        <v>17.7</v>
      </c>
      <c r="S605">
        <v>18.3</v>
      </c>
      <c r="T605">
        <v>309119</v>
      </c>
      <c r="U605">
        <v>18.649999999999999</v>
      </c>
      <c r="V605">
        <v>18.3</v>
      </c>
      <c r="W605">
        <v>56.04</v>
      </c>
      <c r="X605" t="s">
        <v>141</v>
      </c>
      <c r="Y605" t="s">
        <v>1510</v>
      </c>
      <c r="Z605">
        <v>5.25</v>
      </c>
      <c r="AA605">
        <v>18.2</v>
      </c>
      <c r="AB605">
        <v>161527</v>
      </c>
      <c r="AC605">
        <v>147592</v>
      </c>
      <c r="AD605">
        <v>1.0900000000000001</v>
      </c>
      <c r="AE605">
        <v>8</v>
      </c>
      <c r="AF605">
        <v>633</v>
      </c>
      <c r="AG605" t="s">
        <v>120</v>
      </c>
      <c r="AH605">
        <v>0.34</v>
      </c>
      <c r="AI605" t="s">
        <v>120</v>
      </c>
      <c r="AJ605">
        <v>2.2999999999999998</v>
      </c>
      <c r="AK605" t="s">
        <v>3764</v>
      </c>
      <c r="AL605">
        <v>3.77</v>
      </c>
      <c r="AM605">
        <v>4347</v>
      </c>
      <c r="AN605">
        <v>71</v>
      </c>
      <c r="AO605">
        <v>3.0999999999999999E-3</v>
      </c>
      <c r="AP605">
        <v>3</v>
      </c>
      <c r="AQ605">
        <v>4.1500000000000004</v>
      </c>
      <c r="AR605">
        <v>16.71</v>
      </c>
      <c r="AS605">
        <v>32.76</v>
      </c>
      <c r="AT605">
        <v>46.2</v>
      </c>
      <c r="AU605">
        <v>98.27</v>
      </c>
      <c r="AV605">
        <v>9</v>
      </c>
      <c r="AW605">
        <v>16.309999999999999</v>
      </c>
      <c r="AX605">
        <v>53.85</v>
      </c>
      <c r="AY605">
        <v>43.59</v>
      </c>
      <c r="AZ605">
        <v>50.7</v>
      </c>
      <c r="BA605">
        <v>0.98</v>
      </c>
      <c r="BB605" t="s">
        <v>184</v>
      </c>
      <c r="BF605">
        <v>-0.52</v>
      </c>
      <c r="BG605">
        <v>1.86</v>
      </c>
      <c r="BH605">
        <v>-0.11</v>
      </c>
      <c r="BI605">
        <v>5.31</v>
      </c>
      <c r="BJ605">
        <v>20210821</v>
      </c>
      <c r="BK605">
        <v>20071116</v>
      </c>
      <c r="BL605">
        <v>3.52</v>
      </c>
      <c r="BM605" t="s">
        <v>120</v>
      </c>
      <c r="BN605" t="s">
        <v>120</v>
      </c>
      <c r="BO605">
        <v>24.65</v>
      </c>
      <c r="BP605">
        <v>18.64</v>
      </c>
      <c r="BQ605">
        <v>11.13</v>
      </c>
      <c r="BR605">
        <v>2.06</v>
      </c>
      <c r="BS605">
        <v>46.49</v>
      </c>
      <c r="BT605">
        <v>18.87</v>
      </c>
      <c r="BU605">
        <v>2.2200000000000002</v>
      </c>
      <c r="BV605">
        <v>0.21</v>
      </c>
      <c r="BW605">
        <v>11.17</v>
      </c>
      <c r="BX605">
        <v>2.52</v>
      </c>
      <c r="BY605">
        <v>3.62</v>
      </c>
      <c r="BZ605">
        <v>7.09</v>
      </c>
      <c r="CA605" t="s">
        <v>120</v>
      </c>
      <c r="CB605">
        <v>4.37</v>
      </c>
      <c r="CC605">
        <v>11.43</v>
      </c>
      <c r="CD605">
        <v>9.2100000000000009</v>
      </c>
      <c r="CE605">
        <v>0.89</v>
      </c>
      <c r="CF605">
        <v>0.01</v>
      </c>
      <c r="CG605">
        <v>0.89</v>
      </c>
      <c r="CH605">
        <v>0.77</v>
      </c>
      <c r="CI605">
        <v>0.59</v>
      </c>
      <c r="CJ605">
        <v>0.34</v>
      </c>
      <c r="CK605">
        <v>0.49</v>
      </c>
      <c r="CL605">
        <v>2.41</v>
      </c>
      <c r="CM605">
        <v>0.5</v>
      </c>
      <c r="CN605">
        <v>-0.98</v>
      </c>
      <c r="CO605">
        <v>39863</v>
      </c>
      <c r="CP605">
        <v>4754</v>
      </c>
      <c r="CQ605" t="s">
        <v>3765</v>
      </c>
      <c r="CR605">
        <v>54.81</v>
      </c>
      <c r="CS605">
        <v>26.25</v>
      </c>
      <c r="CT605">
        <v>5.89</v>
      </c>
      <c r="CU605">
        <v>132</v>
      </c>
      <c r="CV605">
        <v>5.74</v>
      </c>
      <c r="CW605">
        <v>0.37</v>
      </c>
      <c r="CX605" t="s">
        <v>3766</v>
      </c>
      <c r="CY605">
        <v>3.16</v>
      </c>
      <c r="CZ605">
        <v>0</v>
      </c>
      <c r="DA605">
        <v>1.24</v>
      </c>
      <c r="DB605">
        <v>0.69</v>
      </c>
      <c r="DC605">
        <v>0.14000000000000001</v>
      </c>
      <c r="DD605">
        <v>45.16</v>
      </c>
      <c r="DE605" t="s">
        <v>3767</v>
      </c>
      <c r="DF605">
        <v>19.48</v>
      </c>
      <c r="DG605">
        <v>7.79</v>
      </c>
      <c r="DH605">
        <v>5.12</v>
      </c>
      <c r="DI605">
        <v>0.4</v>
      </c>
      <c r="DJ605">
        <v>978</v>
      </c>
      <c r="DK605">
        <v>2184</v>
      </c>
      <c r="DL605">
        <v>20210825</v>
      </c>
      <c r="DM605">
        <v>15.65</v>
      </c>
      <c r="DN605">
        <v>19.11</v>
      </c>
    </row>
    <row r="606" spans="1:118">
      <c r="A606" t="str">
        <f>"002185"</f>
        <v>002185</v>
      </c>
      <c r="B606" t="s">
        <v>3768</v>
      </c>
      <c r="C606">
        <v>-1.9</v>
      </c>
      <c r="D606">
        <v>0</v>
      </c>
      <c r="E606">
        <v>0.08</v>
      </c>
      <c r="F606">
        <v>6773</v>
      </c>
      <c r="G606" t="s">
        <v>3769</v>
      </c>
      <c r="H606">
        <v>50824.22</v>
      </c>
      <c r="I606">
        <v>113.92</v>
      </c>
      <c r="J606" t="s">
        <v>120</v>
      </c>
      <c r="K606" t="s">
        <v>3770</v>
      </c>
      <c r="L606">
        <v>1.49</v>
      </c>
      <c r="M606">
        <v>12.38</v>
      </c>
      <c r="N606">
        <v>0.71</v>
      </c>
      <c r="O606">
        <v>0.32</v>
      </c>
      <c r="P606">
        <v>12.66</v>
      </c>
      <c r="Q606">
        <v>-1.9</v>
      </c>
      <c r="R606">
        <v>12.38</v>
      </c>
      <c r="S606">
        <v>12.63</v>
      </c>
      <c r="T606">
        <v>406865</v>
      </c>
      <c r="U606">
        <v>12.39</v>
      </c>
      <c r="V606">
        <v>12.62</v>
      </c>
      <c r="W606">
        <v>27.68</v>
      </c>
      <c r="X606" t="s">
        <v>3245</v>
      </c>
      <c r="Y606" t="s">
        <v>1082</v>
      </c>
      <c r="Z606">
        <v>2.2200000000000002</v>
      </c>
      <c r="AA606">
        <v>12.49</v>
      </c>
      <c r="AB606">
        <v>244313</v>
      </c>
      <c r="AC606">
        <v>162552</v>
      </c>
      <c r="AD606">
        <v>1.5</v>
      </c>
      <c r="AE606">
        <v>4461</v>
      </c>
      <c r="AF606">
        <v>1061</v>
      </c>
      <c r="AG606" t="s">
        <v>120</v>
      </c>
      <c r="AH606">
        <v>0</v>
      </c>
      <c r="AI606" t="s">
        <v>120</v>
      </c>
      <c r="AJ606">
        <v>27.39</v>
      </c>
      <c r="AK606" t="s">
        <v>3771</v>
      </c>
      <c r="AL606">
        <v>0.01</v>
      </c>
      <c r="AM606">
        <v>4483</v>
      </c>
      <c r="AN606">
        <v>91</v>
      </c>
      <c r="AO606">
        <v>2.9999999999999997E-4</v>
      </c>
      <c r="AP606">
        <v>-4</v>
      </c>
      <c r="AQ606">
        <v>-1.1000000000000001</v>
      </c>
      <c r="AR606">
        <v>-4.25</v>
      </c>
      <c r="AS606">
        <v>-0.96</v>
      </c>
      <c r="AT606">
        <v>-10.68</v>
      </c>
      <c r="AU606">
        <v>-8.9600000000000009</v>
      </c>
      <c r="AV606">
        <v>1</v>
      </c>
      <c r="AW606">
        <v>1.99</v>
      </c>
      <c r="AX606">
        <v>74.55</v>
      </c>
      <c r="AY606">
        <v>33.01</v>
      </c>
      <c r="AZ606">
        <v>49.28</v>
      </c>
      <c r="BA606">
        <v>0.64</v>
      </c>
      <c r="BB606" t="s">
        <v>143</v>
      </c>
      <c r="BF606">
        <v>-1.02</v>
      </c>
      <c r="BG606">
        <v>-1.98</v>
      </c>
      <c r="BH606">
        <v>-2.21</v>
      </c>
      <c r="BI606">
        <v>0</v>
      </c>
      <c r="BJ606">
        <v>20210830</v>
      </c>
      <c r="BK606">
        <v>20071120</v>
      </c>
      <c r="BL606">
        <v>27.4</v>
      </c>
      <c r="BM606" t="s">
        <v>120</v>
      </c>
      <c r="BN606" t="s">
        <v>120</v>
      </c>
      <c r="BO606">
        <v>228.5</v>
      </c>
      <c r="BP606">
        <v>12.38</v>
      </c>
      <c r="BQ606">
        <v>91.87</v>
      </c>
      <c r="BR606">
        <v>28.35</v>
      </c>
      <c r="BS606">
        <v>47.39</v>
      </c>
      <c r="BT606">
        <v>70.489999999999995</v>
      </c>
      <c r="BU606">
        <v>124.75</v>
      </c>
      <c r="BV606">
        <v>4.78</v>
      </c>
      <c r="BW606">
        <v>73.73</v>
      </c>
      <c r="BX606">
        <v>32.06</v>
      </c>
      <c r="BY606">
        <v>16</v>
      </c>
      <c r="BZ606">
        <v>17.7</v>
      </c>
      <c r="CA606">
        <v>0.96</v>
      </c>
      <c r="CB606">
        <v>25.2</v>
      </c>
      <c r="CC606">
        <v>56.18</v>
      </c>
      <c r="CD606">
        <v>41.83</v>
      </c>
      <c r="CE606">
        <v>9</v>
      </c>
      <c r="CF606">
        <v>7.0000000000000007E-2</v>
      </c>
      <c r="CG606">
        <v>9.02</v>
      </c>
      <c r="CH606">
        <v>8</v>
      </c>
      <c r="CI606">
        <v>6.13</v>
      </c>
      <c r="CJ606">
        <v>-0.24</v>
      </c>
      <c r="CK606">
        <v>4.79</v>
      </c>
      <c r="CL606">
        <v>37.299999999999997</v>
      </c>
      <c r="CM606">
        <v>14.76</v>
      </c>
      <c r="CN606">
        <v>2.34</v>
      </c>
      <c r="CO606">
        <v>388736</v>
      </c>
      <c r="CP606">
        <v>5255</v>
      </c>
      <c r="CQ606" t="s">
        <v>3772</v>
      </c>
      <c r="CR606">
        <v>129.49</v>
      </c>
      <c r="CS606">
        <v>51.25</v>
      </c>
      <c r="CT606">
        <v>3.69</v>
      </c>
      <c r="CU606">
        <v>22.98</v>
      </c>
      <c r="CV606">
        <v>6.04</v>
      </c>
      <c r="CW606">
        <v>0.17</v>
      </c>
      <c r="CX606" t="s">
        <v>3773</v>
      </c>
      <c r="CY606">
        <v>3.35</v>
      </c>
      <c r="CZ606">
        <v>0</v>
      </c>
      <c r="DA606">
        <v>0.92</v>
      </c>
      <c r="DB606">
        <v>1.36</v>
      </c>
      <c r="DC606">
        <v>0.54</v>
      </c>
      <c r="DD606">
        <v>40.21</v>
      </c>
      <c r="DE606" t="s">
        <v>3774</v>
      </c>
      <c r="DF606">
        <v>25.54</v>
      </c>
      <c r="DG606">
        <v>16.02</v>
      </c>
      <c r="DH606">
        <v>10.9</v>
      </c>
      <c r="DI606">
        <v>3.16</v>
      </c>
      <c r="DJ606">
        <v>22415</v>
      </c>
      <c r="DK606">
        <v>2185</v>
      </c>
      <c r="DL606" t="s">
        <v>120</v>
      </c>
      <c r="DM606" t="s">
        <v>120</v>
      </c>
      <c r="DN606" t="s">
        <v>120</v>
      </c>
    </row>
    <row r="607" spans="1:118">
      <c r="A607" t="str">
        <f>"002186"</f>
        <v>002186</v>
      </c>
      <c r="B607" t="s">
        <v>3775</v>
      </c>
      <c r="C607">
        <v>0.7</v>
      </c>
      <c r="D607">
        <v>0.1</v>
      </c>
      <c r="E607">
        <v>0.4</v>
      </c>
      <c r="F607">
        <v>570</v>
      </c>
      <c r="G607" t="s">
        <v>1215</v>
      </c>
      <c r="H607">
        <v>2680.61</v>
      </c>
      <c r="I607">
        <v>2.4</v>
      </c>
      <c r="J607" t="s">
        <v>120</v>
      </c>
      <c r="K607" t="s">
        <v>3776</v>
      </c>
      <c r="L607">
        <v>0.87</v>
      </c>
      <c r="M607">
        <v>10.029999999999999</v>
      </c>
      <c r="N607">
        <v>0.78</v>
      </c>
      <c r="O607">
        <v>1.51</v>
      </c>
      <c r="P607">
        <v>10.11</v>
      </c>
      <c r="Q607">
        <v>-0.8</v>
      </c>
      <c r="R607">
        <v>9.8800000000000008</v>
      </c>
      <c r="S607">
        <v>10</v>
      </c>
      <c r="T607">
        <v>26794</v>
      </c>
      <c r="U607">
        <v>10.029999999999999</v>
      </c>
      <c r="V607">
        <v>9.9600000000000009</v>
      </c>
      <c r="W607" t="s">
        <v>120</v>
      </c>
      <c r="X607" t="s">
        <v>793</v>
      </c>
      <c r="Y607" t="s">
        <v>158</v>
      </c>
      <c r="Z607">
        <v>2.31</v>
      </c>
      <c r="AA607">
        <v>10</v>
      </c>
      <c r="AB607">
        <v>14536</v>
      </c>
      <c r="AC607">
        <v>12258</v>
      </c>
      <c r="AD607">
        <v>1.19</v>
      </c>
      <c r="AE607">
        <v>158</v>
      </c>
      <c r="AF607">
        <v>162</v>
      </c>
      <c r="AG607" t="s">
        <v>120</v>
      </c>
      <c r="AH607">
        <v>0</v>
      </c>
      <c r="AI607" t="s">
        <v>120</v>
      </c>
      <c r="AJ607">
        <v>3.08</v>
      </c>
      <c r="AK607" t="s">
        <v>3777</v>
      </c>
      <c r="AL607">
        <v>2.62</v>
      </c>
      <c r="AM607">
        <v>1224</v>
      </c>
      <c r="AN607">
        <v>22</v>
      </c>
      <c r="AO607">
        <v>6.9999999999999999E-4</v>
      </c>
      <c r="AP607">
        <v>2</v>
      </c>
      <c r="AQ607">
        <v>0.1</v>
      </c>
      <c r="AR607">
        <v>-0.3</v>
      </c>
      <c r="AS607">
        <v>8.1999999999999993</v>
      </c>
      <c r="AT607">
        <v>-1.96</v>
      </c>
      <c r="AU607">
        <v>-0.5</v>
      </c>
      <c r="AV607">
        <v>0</v>
      </c>
      <c r="AW607">
        <v>1.55</v>
      </c>
      <c r="AX607">
        <v>56.2</v>
      </c>
      <c r="AY607" t="s">
        <v>120</v>
      </c>
      <c r="AZ607" t="s">
        <v>120</v>
      </c>
      <c r="BA607">
        <v>0.22</v>
      </c>
      <c r="BB607" t="s">
        <v>143</v>
      </c>
      <c r="BF607">
        <v>0.45</v>
      </c>
      <c r="BG607">
        <v>0.3</v>
      </c>
      <c r="BH607">
        <v>-0.79</v>
      </c>
      <c r="BI607">
        <v>1.52</v>
      </c>
      <c r="BJ607">
        <v>20210830</v>
      </c>
      <c r="BK607">
        <v>20071120</v>
      </c>
      <c r="BL607">
        <v>3.08</v>
      </c>
      <c r="BM607" t="s">
        <v>120</v>
      </c>
      <c r="BN607" t="s">
        <v>120</v>
      </c>
      <c r="BO607">
        <v>18.739999999999998</v>
      </c>
      <c r="BP607">
        <v>10.02</v>
      </c>
      <c r="BQ607">
        <v>11.45</v>
      </c>
      <c r="BR607">
        <v>0.45</v>
      </c>
      <c r="BS607">
        <v>36.51</v>
      </c>
      <c r="BT607">
        <v>6.28</v>
      </c>
      <c r="BU607">
        <v>3.75</v>
      </c>
      <c r="BV607">
        <v>0.94</v>
      </c>
      <c r="BW607">
        <v>4.8499999999999996</v>
      </c>
      <c r="BX607">
        <v>2.99</v>
      </c>
      <c r="BY607">
        <v>0.48</v>
      </c>
      <c r="BZ607">
        <v>0.43</v>
      </c>
      <c r="CA607">
        <v>0.03</v>
      </c>
      <c r="CB607">
        <v>5.5</v>
      </c>
      <c r="CC607">
        <v>4.79</v>
      </c>
      <c r="CD607">
        <v>4.38</v>
      </c>
      <c r="CE607">
        <v>-0.52</v>
      </c>
      <c r="CF607">
        <v>0.15</v>
      </c>
      <c r="CG607">
        <v>-0.5</v>
      </c>
      <c r="CH607">
        <v>-0.49</v>
      </c>
      <c r="CI607">
        <v>-0.42</v>
      </c>
      <c r="CJ607">
        <v>7.0000000000000007E-2</v>
      </c>
      <c r="CK607">
        <v>-0.51</v>
      </c>
      <c r="CL607">
        <v>1.46</v>
      </c>
      <c r="CM607">
        <v>-0.25</v>
      </c>
      <c r="CN607">
        <v>0.75</v>
      </c>
      <c r="CO607">
        <v>23605</v>
      </c>
      <c r="CP607">
        <v>7344</v>
      </c>
      <c r="CQ607" t="s">
        <v>1785</v>
      </c>
      <c r="CR607">
        <v>71.400000000000006</v>
      </c>
      <c r="CS607">
        <v>53.37</v>
      </c>
      <c r="CT607">
        <v>2.7</v>
      </c>
      <c r="CU607">
        <v>-124.09</v>
      </c>
      <c r="CV607">
        <v>6.45</v>
      </c>
      <c r="CW607">
        <v>0</v>
      </c>
      <c r="CX607" t="s">
        <v>932</v>
      </c>
      <c r="CY607">
        <v>3.71</v>
      </c>
      <c r="CZ607">
        <v>0</v>
      </c>
      <c r="DA607">
        <v>1.78</v>
      </c>
      <c r="DB607">
        <v>0.47</v>
      </c>
      <c r="DC607">
        <v>-0.08</v>
      </c>
      <c r="DD607">
        <v>61.09</v>
      </c>
      <c r="DE607" t="s">
        <v>3778</v>
      </c>
      <c r="DF607">
        <v>8.74</v>
      </c>
      <c r="DG607">
        <v>-10.84</v>
      </c>
      <c r="DH607">
        <v>-8.85</v>
      </c>
      <c r="DI607">
        <v>0.01</v>
      </c>
      <c r="DJ607">
        <v>3584</v>
      </c>
      <c r="DK607">
        <v>2186</v>
      </c>
      <c r="DL607" t="s">
        <v>120</v>
      </c>
      <c r="DM607" t="s">
        <v>120</v>
      </c>
      <c r="DN607" t="s">
        <v>120</v>
      </c>
    </row>
    <row r="608" spans="1:118">
      <c r="A608" t="str">
        <f>"002187"</f>
        <v>002187</v>
      </c>
      <c r="B608" t="s">
        <v>3779</v>
      </c>
      <c r="C608">
        <v>-1.9</v>
      </c>
      <c r="D608">
        <v>-0.68</v>
      </c>
      <c r="E608">
        <v>-0.41</v>
      </c>
      <c r="F608">
        <v>1418</v>
      </c>
      <c r="G608" t="s">
        <v>3780</v>
      </c>
      <c r="H608">
        <v>1504.36</v>
      </c>
      <c r="I608">
        <v>1.47</v>
      </c>
      <c r="J608" t="s">
        <v>120</v>
      </c>
      <c r="K608" t="s">
        <v>1095</v>
      </c>
      <c r="L608">
        <v>0.6</v>
      </c>
      <c r="M608">
        <v>7.23</v>
      </c>
      <c r="N608">
        <v>1.02</v>
      </c>
      <c r="O608">
        <v>1.0900000000000001</v>
      </c>
      <c r="P608">
        <v>7.45</v>
      </c>
      <c r="Q608">
        <v>-1.9</v>
      </c>
      <c r="R608">
        <v>7.23</v>
      </c>
      <c r="S608">
        <v>7.34</v>
      </c>
      <c r="T608">
        <v>20512</v>
      </c>
      <c r="U608">
        <v>7.27</v>
      </c>
      <c r="V608">
        <v>7.37</v>
      </c>
      <c r="W608">
        <v>33.840000000000003</v>
      </c>
      <c r="X608" t="s">
        <v>735</v>
      </c>
      <c r="Y608" t="s">
        <v>547</v>
      </c>
      <c r="Z608">
        <v>2.99</v>
      </c>
      <c r="AA608">
        <v>7.33</v>
      </c>
      <c r="AB608">
        <v>10561</v>
      </c>
      <c r="AC608">
        <v>9951</v>
      </c>
      <c r="AD608">
        <v>1.06</v>
      </c>
      <c r="AE608">
        <v>46</v>
      </c>
      <c r="AF608">
        <v>30</v>
      </c>
      <c r="AG608" t="s">
        <v>120</v>
      </c>
      <c r="AH608">
        <v>0</v>
      </c>
      <c r="AI608" t="s">
        <v>120</v>
      </c>
      <c r="AJ608">
        <v>3.42</v>
      </c>
      <c r="AK608" t="s">
        <v>1504</v>
      </c>
      <c r="AL608">
        <v>0.01</v>
      </c>
      <c r="AM608">
        <v>658</v>
      </c>
      <c r="AN608">
        <v>31</v>
      </c>
      <c r="AO608">
        <v>8.9999999999999998E-4</v>
      </c>
      <c r="AP608">
        <v>-1</v>
      </c>
      <c r="AQ608">
        <v>0.41</v>
      </c>
      <c r="AR608">
        <v>-3.85</v>
      </c>
      <c r="AS608">
        <v>3.44</v>
      </c>
      <c r="AT608">
        <v>-9.2899999999999991</v>
      </c>
      <c r="AU608">
        <v>-11.4</v>
      </c>
      <c r="AV608">
        <v>1</v>
      </c>
      <c r="AW608">
        <v>1.37</v>
      </c>
      <c r="AX608">
        <v>24.18</v>
      </c>
      <c r="AY608">
        <v>29.14</v>
      </c>
      <c r="AZ608">
        <v>67.209999999999994</v>
      </c>
      <c r="BA608">
        <v>0.53</v>
      </c>
      <c r="BB608" t="s">
        <v>143</v>
      </c>
      <c r="BF608">
        <v>-0.49</v>
      </c>
      <c r="BG608">
        <v>-1.5</v>
      </c>
      <c r="BH608">
        <v>-2.95</v>
      </c>
      <c r="BI608">
        <v>0</v>
      </c>
      <c r="BJ608">
        <v>20210830</v>
      </c>
      <c r="BK608">
        <v>20071122</v>
      </c>
      <c r="BL608">
        <v>6.18</v>
      </c>
      <c r="BM608" t="s">
        <v>120</v>
      </c>
      <c r="BN608" t="s">
        <v>120</v>
      </c>
      <c r="BO608">
        <v>47.07</v>
      </c>
      <c r="BP608">
        <v>7.23</v>
      </c>
      <c r="BQ608">
        <v>26.85</v>
      </c>
      <c r="BR608">
        <v>0.2</v>
      </c>
      <c r="BS608">
        <v>42.53</v>
      </c>
      <c r="BT608">
        <v>19.739999999999998</v>
      </c>
      <c r="BU608">
        <v>9.49</v>
      </c>
      <c r="BV608">
        <v>0.42</v>
      </c>
      <c r="BW608">
        <v>13.2</v>
      </c>
      <c r="BX608">
        <v>14.14</v>
      </c>
      <c r="BY608">
        <v>2.1800000000000002</v>
      </c>
      <c r="BZ608">
        <v>0.34</v>
      </c>
      <c r="CA608" t="s">
        <v>120</v>
      </c>
      <c r="CB608">
        <v>9.15</v>
      </c>
      <c r="CC608">
        <v>17.79</v>
      </c>
      <c r="CD608">
        <v>13.04</v>
      </c>
      <c r="CE608">
        <v>0.89</v>
      </c>
      <c r="CF608">
        <v>0.05</v>
      </c>
      <c r="CG608">
        <v>0.89</v>
      </c>
      <c r="CH608">
        <v>0.66</v>
      </c>
      <c r="CI608">
        <v>0.66</v>
      </c>
      <c r="CJ608">
        <v>-0.14000000000000001</v>
      </c>
      <c r="CK608">
        <v>0.49</v>
      </c>
      <c r="CL608">
        <v>11.02</v>
      </c>
      <c r="CM608">
        <v>-0.53</v>
      </c>
      <c r="CN608">
        <v>-2.91</v>
      </c>
      <c r="CO608">
        <v>21040</v>
      </c>
      <c r="CP608">
        <v>7098</v>
      </c>
      <c r="CQ608" t="s">
        <v>3781</v>
      </c>
      <c r="CR608">
        <v>393.5</v>
      </c>
      <c r="CS608">
        <v>-18.2</v>
      </c>
      <c r="CT608">
        <v>0.92</v>
      </c>
      <c r="CU608">
        <v>-83.54</v>
      </c>
      <c r="CV608">
        <v>2.5099999999999998</v>
      </c>
      <c r="CW608">
        <v>0.38</v>
      </c>
      <c r="CX608" t="s">
        <v>442</v>
      </c>
      <c r="CY608">
        <v>7.84</v>
      </c>
      <c r="CZ608">
        <v>7.84</v>
      </c>
      <c r="DA608">
        <v>1.48</v>
      </c>
      <c r="DB608">
        <v>1.78</v>
      </c>
      <c r="DC608">
        <v>-0.09</v>
      </c>
      <c r="DD608">
        <v>57.05</v>
      </c>
      <c r="DE608" t="s">
        <v>3782</v>
      </c>
      <c r="DF608">
        <v>26.69</v>
      </c>
      <c r="DG608">
        <v>5</v>
      </c>
      <c r="DH608">
        <v>3.71</v>
      </c>
      <c r="DI608" t="s">
        <v>120</v>
      </c>
      <c r="DJ608">
        <v>2890</v>
      </c>
      <c r="DK608">
        <v>2187</v>
      </c>
      <c r="DL608" t="s">
        <v>120</v>
      </c>
      <c r="DM608" t="s">
        <v>120</v>
      </c>
      <c r="DN608" t="s">
        <v>120</v>
      </c>
    </row>
    <row r="609" spans="1:118">
      <c r="A609" t="str">
        <f>"002189"</f>
        <v>002189</v>
      </c>
      <c r="B609" t="s">
        <v>3783</v>
      </c>
      <c r="C609">
        <v>-6.19</v>
      </c>
      <c r="D609">
        <v>0</v>
      </c>
      <c r="E609">
        <v>-1.02</v>
      </c>
      <c r="F609">
        <v>1245</v>
      </c>
      <c r="G609" t="s">
        <v>3784</v>
      </c>
      <c r="H609">
        <v>14491.73</v>
      </c>
      <c r="I609">
        <v>120.94</v>
      </c>
      <c r="J609" t="s">
        <v>120</v>
      </c>
      <c r="K609" t="s">
        <v>3785</v>
      </c>
      <c r="L609">
        <v>3.45</v>
      </c>
      <c r="M609">
        <v>18.34</v>
      </c>
      <c r="N609">
        <v>1.23</v>
      </c>
      <c r="O609">
        <v>-0.97</v>
      </c>
      <c r="P609">
        <v>19.36</v>
      </c>
      <c r="Q609">
        <v>-6.39</v>
      </c>
      <c r="R609">
        <v>18.3</v>
      </c>
      <c r="S609">
        <v>19.350000000000001</v>
      </c>
      <c r="T609">
        <v>76861</v>
      </c>
      <c r="U609">
        <v>18.34</v>
      </c>
      <c r="V609">
        <v>19.55</v>
      </c>
      <c r="W609">
        <v>30.66</v>
      </c>
      <c r="X609" t="s">
        <v>229</v>
      </c>
      <c r="Y609" t="s">
        <v>645</v>
      </c>
      <c r="Z609">
        <v>5.42</v>
      </c>
      <c r="AA609">
        <v>18.850000000000001</v>
      </c>
      <c r="AB609">
        <v>48048</v>
      </c>
      <c r="AC609">
        <v>28813</v>
      </c>
      <c r="AD609">
        <v>1.67</v>
      </c>
      <c r="AE609">
        <v>80</v>
      </c>
      <c r="AF609">
        <v>101</v>
      </c>
      <c r="AG609" t="s">
        <v>120</v>
      </c>
      <c r="AH609">
        <v>0.04</v>
      </c>
      <c r="AI609" t="s">
        <v>120</v>
      </c>
      <c r="AJ609">
        <v>2.23</v>
      </c>
      <c r="AK609" t="s">
        <v>3786</v>
      </c>
      <c r="AL609">
        <v>-4.28</v>
      </c>
      <c r="AM609">
        <v>2536</v>
      </c>
      <c r="AN609">
        <v>30</v>
      </c>
      <c r="AO609">
        <v>1.4E-3</v>
      </c>
      <c r="AP609">
        <v>-1</v>
      </c>
      <c r="AQ609">
        <v>0.51</v>
      </c>
      <c r="AR609">
        <v>-4.18</v>
      </c>
      <c r="AS609">
        <v>0.55000000000000004</v>
      </c>
      <c r="AT609">
        <v>9.8000000000000007</v>
      </c>
      <c r="AU609">
        <v>-9.98</v>
      </c>
      <c r="AV609">
        <v>5</v>
      </c>
      <c r="AW609">
        <v>5.09</v>
      </c>
      <c r="AX609">
        <v>57.52</v>
      </c>
      <c r="AY609">
        <v>29.92</v>
      </c>
      <c r="AZ609">
        <v>34.869999999999997</v>
      </c>
      <c r="BA609">
        <v>0.64</v>
      </c>
      <c r="BB609" t="s">
        <v>143</v>
      </c>
      <c r="BF609">
        <v>-3.56</v>
      </c>
      <c r="BG609">
        <v>-5.22</v>
      </c>
      <c r="BH609">
        <v>-5.27</v>
      </c>
      <c r="BI609">
        <v>0.22</v>
      </c>
      <c r="BJ609">
        <v>20210908</v>
      </c>
      <c r="BK609">
        <v>20071203</v>
      </c>
      <c r="BL609">
        <v>2.62</v>
      </c>
      <c r="BM609" t="s">
        <v>120</v>
      </c>
      <c r="BN609" t="s">
        <v>120</v>
      </c>
      <c r="BO609">
        <v>38.880000000000003</v>
      </c>
      <c r="BP609">
        <v>18.329999999999998</v>
      </c>
      <c r="BQ609">
        <v>15.67</v>
      </c>
      <c r="BR609">
        <v>0.67</v>
      </c>
      <c r="BS609">
        <v>57.98</v>
      </c>
      <c r="BT609">
        <v>29.38</v>
      </c>
      <c r="BU609">
        <v>4.3499999999999996</v>
      </c>
      <c r="BV609">
        <v>0.6</v>
      </c>
      <c r="BW609">
        <v>22.25</v>
      </c>
      <c r="BX609">
        <v>7.04</v>
      </c>
      <c r="BY609">
        <v>5.55</v>
      </c>
      <c r="BZ609">
        <v>12.99</v>
      </c>
      <c r="CA609">
        <v>0</v>
      </c>
      <c r="CB609">
        <v>6.64</v>
      </c>
      <c r="CC609">
        <v>21.72</v>
      </c>
      <c r="CD609">
        <v>19.260000000000002</v>
      </c>
      <c r="CE609">
        <v>0.84</v>
      </c>
      <c r="CF609">
        <v>-0.03</v>
      </c>
      <c r="CG609">
        <v>0.84</v>
      </c>
      <c r="CH609">
        <v>0.82</v>
      </c>
      <c r="CI609">
        <v>0.78</v>
      </c>
      <c r="CJ609">
        <v>-1.21</v>
      </c>
      <c r="CK609">
        <v>0.66</v>
      </c>
      <c r="CL609">
        <v>6.02</v>
      </c>
      <c r="CM609">
        <v>-1.98</v>
      </c>
      <c r="CN609">
        <v>-1.95</v>
      </c>
      <c r="CO609">
        <v>27482</v>
      </c>
      <c r="CP609">
        <v>5492</v>
      </c>
      <c r="CQ609" t="s">
        <v>3787</v>
      </c>
      <c r="CR609">
        <v>44.98</v>
      </c>
      <c r="CS609">
        <v>28.81</v>
      </c>
      <c r="CT609">
        <v>3.07</v>
      </c>
      <c r="CU609">
        <v>-24.3</v>
      </c>
      <c r="CV609">
        <v>2.2200000000000002</v>
      </c>
      <c r="CW609">
        <v>1</v>
      </c>
      <c r="CX609" t="s">
        <v>1340</v>
      </c>
      <c r="CY609">
        <v>5.97</v>
      </c>
      <c r="CZ609">
        <v>0</v>
      </c>
      <c r="DA609">
        <v>2.5299999999999998</v>
      </c>
      <c r="DB609">
        <v>2.29</v>
      </c>
      <c r="DC609">
        <v>-0.75</v>
      </c>
      <c r="DD609">
        <v>40.29</v>
      </c>
      <c r="DE609" t="s">
        <v>3715</v>
      </c>
      <c r="DF609">
        <v>11.33</v>
      </c>
      <c r="DG609">
        <v>3.85</v>
      </c>
      <c r="DH609">
        <v>3.61</v>
      </c>
      <c r="DI609">
        <v>0.76</v>
      </c>
      <c r="DJ609">
        <v>3327</v>
      </c>
      <c r="DK609">
        <v>2189</v>
      </c>
      <c r="DL609" t="s">
        <v>120</v>
      </c>
      <c r="DM609" t="s">
        <v>120</v>
      </c>
      <c r="DN609" t="s">
        <v>120</v>
      </c>
    </row>
    <row r="610" spans="1:118">
      <c r="A610" t="str">
        <f>"002190"</f>
        <v>002190</v>
      </c>
      <c r="B610" t="s">
        <v>3788</v>
      </c>
      <c r="C610">
        <v>-2.5499999999999998</v>
      </c>
      <c r="D610">
        <v>0.26</v>
      </c>
      <c r="E610">
        <v>-0.51</v>
      </c>
      <c r="F610">
        <v>583</v>
      </c>
      <c r="G610" t="s">
        <v>3789</v>
      </c>
      <c r="H610">
        <v>10904.99</v>
      </c>
      <c r="I610">
        <v>10.1</v>
      </c>
      <c r="J610" t="s">
        <v>120</v>
      </c>
      <c r="K610" t="s">
        <v>3790</v>
      </c>
      <c r="L610">
        <v>1.1200000000000001</v>
      </c>
      <c r="M610">
        <v>26.73</v>
      </c>
      <c r="N610">
        <v>1.1299999999999999</v>
      </c>
      <c r="O610">
        <v>1.24</v>
      </c>
      <c r="P610">
        <v>27.77</v>
      </c>
      <c r="Q610">
        <v>-2.84</v>
      </c>
      <c r="R610">
        <v>26.65</v>
      </c>
      <c r="S610">
        <v>27.29</v>
      </c>
      <c r="T610">
        <v>40265</v>
      </c>
      <c r="U610">
        <v>26.73</v>
      </c>
      <c r="V610">
        <v>27.43</v>
      </c>
      <c r="W610">
        <v>543.82000000000005</v>
      </c>
      <c r="X610" t="s">
        <v>289</v>
      </c>
      <c r="Y610" t="s">
        <v>578</v>
      </c>
      <c r="Z610">
        <v>4.08</v>
      </c>
      <c r="AA610">
        <v>27.08</v>
      </c>
      <c r="AB610">
        <v>25055</v>
      </c>
      <c r="AC610">
        <v>15210</v>
      </c>
      <c r="AD610">
        <v>1.65</v>
      </c>
      <c r="AE610">
        <v>100</v>
      </c>
      <c r="AF610">
        <v>336</v>
      </c>
      <c r="AG610" t="s">
        <v>120</v>
      </c>
      <c r="AH610">
        <v>0</v>
      </c>
      <c r="AI610" t="s">
        <v>120</v>
      </c>
      <c r="AJ610">
        <v>3.59</v>
      </c>
      <c r="AK610" t="s">
        <v>3790</v>
      </c>
      <c r="AL610">
        <v>-0.64</v>
      </c>
      <c r="AM610">
        <v>2118</v>
      </c>
      <c r="AN610">
        <v>19</v>
      </c>
      <c r="AO610">
        <v>5.0000000000000001E-4</v>
      </c>
      <c r="AP610">
        <v>-1</v>
      </c>
      <c r="AQ610">
        <v>0.77</v>
      </c>
      <c r="AR610">
        <v>-2.87</v>
      </c>
      <c r="AS610">
        <v>-8.84</v>
      </c>
      <c r="AT610">
        <v>7.91</v>
      </c>
      <c r="AU610">
        <v>-9.3000000000000007</v>
      </c>
      <c r="AV610">
        <v>6</v>
      </c>
      <c r="AW610">
        <v>2.44</v>
      </c>
      <c r="AX610">
        <v>45.92</v>
      </c>
      <c r="AY610">
        <v>73.03</v>
      </c>
      <c r="AZ610">
        <v>82.77</v>
      </c>
      <c r="BA610">
        <v>1.1200000000000001</v>
      </c>
      <c r="BB610" t="s">
        <v>143</v>
      </c>
      <c r="BF610">
        <v>-1.26</v>
      </c>
      <c r="BG610">
        <v>-2.0499999999999998</v>
      </c>
      <c r="BH610">
        <v>-3.75</v>
      </c>
      <c r="BI610">
        <v>0.3</v>
      </c>
      <c r="BJ610">
        <v>20210913</v>
      </c>
      <c r="BK610">
        <v>20071203</v>
      </c>
      <c r="BL610">
        <v>3.59</v>
      </c>
      <c r="BM610" t="s">
        <v>120</v>
      </c>
      <c r="BN610" t="s">
        <v>120</v>
      </c>
      <c r="BO610">
        <v>35.42</v>
      </c>
      <c r="BP610">
        <v>26.7</v>
      </c>
      <c r="BQ610">
        <v>25.17</v>
      </c>
      <c r="BR610">
        <v>1.38</v>
      </c>
      <c r="BS610">
        <v>25.05</v>
      </c>
      <c r="BT610">
        <v>11.91</v>
      </c>
      <c r="BU610">
        <v>4.17</v>
      </c>
      <c r="BV610">
        <v>0.73</v>
      </c>
      <c r="BW610">
        <v>6.54</v>
      </c>
      <c r="BX610">
        <v>1.29</v>
      </c>
      <c r="BY610">
        <v>3.06</v>
      </c>
      <c r="BZ610">
        <v>3.95</v>
      </c>
      <c r="CA610">
        <v>0</v>
      </c>
      <c r="CB610">
        <v>12.92</v>
      </c>
      <c r="CC610">
        <v>4.88</v>
      </c>
      <c r="CD610">
        <v>4.07</v>
      </c>
      <c r="CE610">
        <v>0.27</v>
      </c>
      <c r="CF610">
        <v>0</v>
      </c>
      <c r="CG610">
        <v>0.27</v>
      </c>
      <c r="CH610">
        <v>0.2</v>
      </c>
      <c r="CI610">
        <v>0.09</v>
      </c>
      <c r="CJ610">
        <v>-0.7</v>
      </c>
      <c r="CK610">
        <v>0.06</v>
      </c>
      <c r="CL610">
        <v>7.13</v>
      </c>
      <c r="CM610">
        <v>-0.01</v>
      </c>
      <c r="CN610">
        <v>-0.48</v>
      </c>
      <c r="CO610">
        <v>37624</v>
      </c>
      <c r="CP610">
        <v>4378</v>
      </c>
      <c r="CQ610" t="s">
        <v>3791</v>
      </c>
      <c r="CR610">
        <v>225.25</v>
      </c>
      <c r="CS610">
        <v>48.57</v>
      </c>
      <c r="CT610">
        <v>3.81</v>
      </c>
      <c r="CU610">
        <v>-7135.61</v>
      </c>
      <c r="CV610">
        <v>19.63</v>
      </c>
      <c r="CW610">
        <v>0.36</v>
      </c>
      <c r="CX610" t="s">
        <v>233</v>
      </c>
      <c r="CY610">
        <v>7.02</v>
      </c>
      <c r="CZ610">
        <v>0</v>
      </c>
      <c r="DA610">
        <v>3.6</v>
      </c>
      <c r="DB610">
        <v>1.99</v>
      </c>
      <c r="DC610">
        <v>0</v>
      </c>
      <c r="DD610">
        <v>71.06</v>
      </c>
      <c r="DE610" t="s">
        <v>1644</v>
      </c>
      <c r="DF610">
        <v>16.57</v>
      </c>
      <c r="DG610">
        <v>5.47</v>
      </c>
      <c r="DH610">
        <v>1.81</v>
      </c>
      <c r="DI610">
        <v>0.24</v>
      </c>
      <c r="DJ610">
        <v>1109</v>
      </c>
      <c r="DK610">
        <v>2190</v>
      </c>
      <c r="DL610" t="s">
        <v>120</v>
      </c>
      <c r="DM610" t="s">
        <v>120</v>
      </c>
      <c r="DN610" t="s">
        <v>120</v>
      </c>
    </row>
    <row r="611" spans="1:118">
      <c r="A611" t="str">
        <f>"002191"</f>
        <v>002191</v>
      </c>
      <c r="B611" t="s">
        <v>3792</v>
      </c>
      <c r="C611">
        <v>-0.26</v>
      </c>
      <c r="D611">
        <v>-0.42</v>
      </c>
      <c r="E611">
        <v>0</v>
      </c>
      <c r="F611">
        <v>4372</v>
      </c>
      <c r="G611" t="s">
        <v>3793</v>
      </c>
      <c r="H611">
        <v>25444.94</v>
      </c>
      <c r="I611">
        <v>48.58</v>
      </c>
      <c r="J611" t="s">
        <v>120</v>
      </c>
      <c r="K611" t="s">
        <v>3794</v>
      </c>
      <c r="L611">
        <v>1.51</v>
      </c>
      <c r="M611">
        <v>11.51</v>
      </c>
      <c r="N611">
        <v>0.64</v>
      </c>
      <c r="O611">
        <v>3.12</v>
      </c>
      <c r="P611">
        <v>11.9</v>
      </c>
      <c r="Q611">
        <v>-0.26</v>
      </c>
      <c r="R611">
        <v>11.51</v>
      </c>
      <c r="S611">
        <v>11.54</v>
      </c>
      <c r="T611">
        <v>217270</v>
      </c>
      <c r="U611">
        <v>11.55</v>
      </c>
      <c r="V611">
        <v>11.54</v>
      </c>
      <c r="W611">
        <v>16.63</v>
      </c>
      <c r="X611" t="s">
        <v>339</v>
      </c>
      <c r="Y611" t="s">
        <v>123</v>
      </c>
      <c r="Z611">
        <v>3.38</v>
      </c>
      <c r="AA611">
        <v>11.71</v>
      </c>
      <c r="AB611">
        <v>115336</v>
      </c>
      <c r="AC611">
        <v>101934</v>
      </c>
      <c r="AD611">
        <v>1.1299999999999999</v>
      </c>
      <c r="AE611">
        <v>145</v>
      </c>
      <c r="AF611">
        <v>11</v>
      </c>
      <c r="AG611" t="s">
        <v>120</v>
      </c>
      <c r="AH611">
        <v>0</v>
      </c>
      <c r="AI611" t="s">
        <v>120</v>
      </c>
      <c r="AJ611">
        <v>14.43</v>
      </c>
      <c r="AK611" t="s">
        <v>3795</v>
      </c>
      <c r="AL611">
        <v>1.65</v>
      </c>
      <c r="AM611">
        <v>3592</v>
      </c>
      <c r="AN611">
        <v>60</v>
      </c>
      <c r="AO611">
        <v>4.0000000000000002E-4</v>
      </c>
      <c r="AP611">
        <v>-2</v>
      </c>
      <c r="AQ611">
        <v>-1.7</v>
      </c>
      <c r="AR611">
        <v>-1.46</v>
      </c>
      <c r="AS611">
        <v>22.32</v>
      </c>
      <c r="AT611">
        <v>10.56</v>
      </c>
      <c r="AU611">
        <v>29.61</v>
      </c>
      <c r="AV611">
        <v>2</v>
      </c>
      <c r="AW611">
        <v>2.5099999999999998</v>
      </c>
      <c r="AX611">
        <v>59.21</v>
      </c>
      <c r="AY611">
        <v>18.47</v>
      </c>
      <c r="AZ611">
        <v>20.53</v>
      </c>
      <c r="BA611">
        <v>0.68</v>
      </c>
      <c r="BB611" t="s">
        <v>143</v>
      </c>
      <c r="BF611">
        <v>1.48</v>
      </c>
      <c r="BG611">
        <v>-0.26</v>
      </c>
      <c r="BH611">
        <v>-3.28</v>
      </c>
      <c r="BI611">
        <v>0</v>
      </c>
      <c r="BJ611">
        <v>20210913</v>
      </c>
      <c r="BK611">
        <v>20071205</v>
      </c>
      <c r="BL611">
        <v>14.65</v>
      </c>
      <c r="BM611" t="s">
        <v>120</v>
      </c>
      <c r="BN611" t="s">
        <v>120</v>
      </c>
      <c r="BO611">
        <v>105.3</v>
      </c>
      <c r="BP611">
        <v>11.51</v>
      </c>
      <c r="BQ611">
        <v>73.19</v>
      </c>
      <c r="BR611">
        <v>2.34</v>
      </c>
      <c r="BS611">
        <v>28.27</v>
      </c>
      <c r="BT611">
        <v>52.3</v>
      </c>
      <c r="BU611">
        <v>16.88</v>
      </c>
      <c r="BV611">
        <v>2.77</v>
      </c>
      <c r="BW611">
        <v>28.68</v>
      </c>
      <c r="BX611">
        <v>20.7</v>
      </c>
      <c r="BY611">
        <v>7.95</v>
      </c>
      <c r="BZ611">
        <v>7.41</v>
      </c>
      <c r="CA611">
        <v>0.05</v>
      </c>
      <c r="CB611">
        <v>14.37</v>
      </c>
      <c r="CC611">
        <v>24.47</v>
      </c>
      <c r="CD611">
        <v>16.12</v>
      </c>
      <c r="CE611">
        <v>6.12</v>
      </c>
      <c r="CF611">
        <v>0.48</v>
      </c>
      <c r="CG611">
        <v>6.11</v>
      </c>
      <c r="CH611">
        <v>5.2</v>
      </c>
      <c r="CI611">
        <v>5.07</v>
      </c>
      <c r="CJ611">
        <v>-0.03</v>
      </c>
      <c r="CK611">
        <v>4.79</v>
      </c>
      <c r="CL611">
        <v>40.18</v>
      </c>
      <c r="CM611">
        <v>9.4499999999999993</v>
      </c>
      <c r="CN611">
        <v>1.68</v>
      </c>
      <c r="CO611">
        <v>48612</v>
      </c>
      <c r="CP611">
        <v>17842</v>
      </c>
      <c r="CQ611" t="s">
        <v>3796</v>
      </c>
      <c r="CR611">
        <v>22.02</v>
      </c>
      <c r="CS611">
        <v>27.64</v>
      </c>
      <c r="CT611">
        <v>2.2999999999999998</v>
      </c>
      <c r="CU611">
        <v>17.84</v>
      </c>
      <c r="CV611">
        <v>6.89</v>
      </c>
      <c r="CW611">
        <v>2.99</v>
      </c>
      <c r="CX611" t="s">
        <v>269</v>
      </c>
      <c r="CY611">
        <v>5</v>
      </c>
      <c r="CZ611">
        <v>0</v>
      </c>
      <c r="DA611">
        <v>0.98</v>
      </c>
      <c r="DB611">
        <v>2.74</v>
      </c>
      <c r="DC611">
        <v>0.65</v>
      </c>
      <c r="DD611">
        <v>69.510000000000005</v>
      </c>
      <c r="DE611" t="s">
        <v>3797</v>
      </c>
      <c r="DF611">
        <v>34.119999999999997</v>
      </c>
      <c r="DG611">
        <v>24.99</v>
      </c>
      <c r="DH611">
        <v>20.71</v>
      </c>
      <c r="DI611">
        <v>1.02</v>
      </c>
      <c r="DJ611">
        <v>5047</v>
      </c>
      <c r="DK611">
        <v>2191</v>
      </c>
      <c r="DL611" t="s">
        <v>120</v>
      </c>
      <c r="DM611" t="s">
        <v>120</v>
      </c>
      <c r="DN611" t="s">
        <v>120</v>
      </c>
    </row>
    <row r="612" spans="1:118">
      <c r="A612" t="str">
        <f>"002192"</f>
        <v>002192</v>
      </c>
      <c r="B612" t="s">
        <v>3798</v>
      </c>
      <c r="C612">
        <v>-10</v>
      </c>
      <c r="D612">
        <v>0</v>
      </c>
      <c r="E612">
        <v>-2.09</v>
      </c>
      <c r="F612">
        <v>135</v>
      </c>
      <c r="G612" t="s">
        <v>3799</v>
      </c>
      <c r="H612">
        <v>285530.64</v>
      </c>
      <c r="I612">
        <v>1742.16</v>
      </c>
      <c r="J612">
        <v>4350.1099999999997</v>
      </c>
      <c r="K612" t="s">
        <v>3800</v>
      </c>
      <c r="L612">
        <v>6.45</v>
      </c>
      <c r="M612">
        <v>164.59</v>
      </c>
      <c r="N612">
        <v>1.45</v>
      </c>
      <c r="O612">
        <v>1.0900000000000001</v>
      </c>
      <c r="P612">
        <v>184.88</v>
      </c>
      <c r="Q612">
        <v>-10</v>
      </c>
      <c r="R612">
        <v>164.59</v>
      </c>
      <c r="S612">
        <v>179.05</v>
      </c>
      <c r="T612">
        <v>167205</v>
      </c>
      <c r="U612">
        <v>164.59</v>
      </c>
      <c r="V612">
        <v>182.88</v>
      </c>
      <c r="W612">
        <v>1685.5</v>
      </c>
      <c r="X612" t="s">
        <v>1390</v>
      </c>
      <c r="Y612" t="s">
        <v>547</v>
      </c>
      <c r="Z612">
        <v>11.09</v>
      </c>
      <c r="AA612">
        <v>170.77</v>
      </c>
      <c r="AB612">
        <v>86115</v>
      </c>
      <c r="AC612">
        <v>81090</v>
      </c>
      <c r="AD612">
        <v>1.06</v>
      </c>
      <c r="AE612">
        <v>0</v>
      </c>
      <c r="AF612">
        <v>2643</v>
      </c>
      <c r="AG612" t="s">
        <v>120</v>
      </c>
      <c r="AH612">
        <v>0.05</v>
      </c>
      <c r="AI612">
        <v>0.02</v>
      </c>
      <c r="AJ612">
        <v>2.59</v>
      </c>
      <c r="AK612" t="s">
        <v>3801</v>
      </c>
      <c r="AL612">
        <v>-8.09</v>
      </c>
      <c r="AM612">
        <v>3894</v>
      </c>
      <c r="AN612">
        <v>43</v>
      </c>
      <c r="AO612">
        <v>1.6999999999999999E-3</v>
      </c>
      <c r="AP612">
        <v>-1</v>
      </c>
      <c r="AQ612">
        <v>1.6</v>
      </c>
      <c r="AR612">
        <v>-12.36</v>
      </c>
      <c r="AS612">
        <v>14.57</v>
      </c>
      <c r="AT612">
        <v>145.66</v>
      </c>
      <c r="AU612">
        <v>301.44</v>
      </c>
      <c r="AV612">
        <v>44</v>
      </c>
      <c r="AW612">
        <v>8.6</v>
      </c>
      <c r="AX612">
        <v>74.900000000000006</v>
      </c>
      <c r="AY612">
        <v>1529.19</v>
      </c>
      <c r="AZ612">
        <v>2256.41</v>
      </c>
      <c r="BA612">
        <v>1.38</v>
      </c>
      <c r="BB612" t="s">
        <v>143</v>
      </c>
      <c r="BF612">
        <v>-6.62</v>
      </c>
      <c r="BG612">
        <v>-8.08</v>
      </c>
      <c r="BH612">
        <v>-10.97</v>
      </c>
      <c r="BI612">
        <v>0</v>
      </c>
      <c r="BJ612">
        <v>20210902</v>
      </c>
      <c r="BK612">
        <v>20071205</v>
      </c>
      <c r="BL612">
        <v>2.6</v>
      </c>
      <c r="BM612" t="s">
        <v>120</v>
      </c>
      <c r="BN612" t="s">
        <v>120</v>
      </c>
      <c r="BO612">
        <v>10.9</v>
      </c>
      <c r="BP612" t="s">
        <v>120</v>
      </c>
      <c r="BQ612">
        <v>5.82</v>
      </c>
      <c r="BR612">
        <v>0.6</v>
      </c>
      <c r="BS612">
        <v>41.05</v>
      </c>
      <c r="BT612">
        <v>4.49</v>
      </c>
      <c r="BU612">
        <v>2.2000000000000002</v>
      </c>
      <c r="BV612">
        <v>2.4900000000000002</v>
      </c>
      <c r="BW612">
        <v>3.93</v>
      </c>
      <c r="BX612">
        <v>0.21</v>
      </c>
      <c r="BY612">
        <v>1.34</v>
      </c>
      <c r="BZ612">
        <v>2.2400000000000002</v>
      </c>
      <c r="CA612" t="s">
        <v>120</v>
      </c>
      <c r="CB612">
        <v>6.21</v>
      </c>
      <c r="CC612">
        <v>3.35</v>
      </c>
      <c r="CD612">
        <v>2.63</v>
      </c>
      <c r="CE612">
        <v>0.21</v>
      </c>
      <c r="CF612">
        <v>0</v>
      </c>
      <c r="CG612">
        <v>0.21</v>
      </c>
      <c r="CH612">
        <v>0.18</v>
      </c>
      <c r="CI612">
        <v>0.13</v>
      </c>
      <c r="CJ612">
        <v>-18.29</v>
      </c>
      <c r="CK612">
        <v>0.11</v>
      </c>
      <c r="CL612">
        <v>-3.16</v>
      </c>
      <c r="CM612">
        <v>-0.17</v>
      </c>
      <c r="CN612">
        <v>-0.13</v>
      </c>
      <c r="CO612">
        <v>27000</v>
      </c>
      <c r="CP612">
        <v>7203</v>
      </c>
      <c r="CQ612" t="s">
        <v>3802</v>
      </c>
      <c r="CR612">
        <v>374.87</v>
      </c>
      <c r="CS612">
        <v>176.01</v>
      </c>
      <c r="CT612">
        <v>73.44</v>
      </c>
      <c r="CU612">
        <v>-2548.5500000000002</v>
      </c>
      <c r="CV612">
        <v>127.51</v>
      </c>
      <c r="CW612">
        <v>0</v>
      </c>
      <c r="CX612" t="s">
        <v>1603</v>
      </c>
      <c r="CY612">
        <v>2.2400000000000002</v>
      </c>
      <c r="CZ612">
        <v>0</v>
      </c>
      <c r="DA612">
        <v>2.39</v>
      </c>
      <c r="DB612">
        <v>-1.22</v>
      </c>
      <c r="DC612">
        <v>-0.06</v>
      </c>
      <c r="DD612">
        <v>53.4</v>
      </c>
      <c r="DE612" t="s">
        <v>1909</v>
      </c>
      <c r="DF612">
        <v>21.67</v>
      </c>
      <c r="DG612">
        <v>6.15</v>
      </c>
      <c r="DH612">
        <v>3.78</v>
      </c>
      <c r="DI612">
        <v>0.12</v>
      </c>
      <c r="DJ612">
        <v>552</v>
      </c>
      <c r="DK612">
        <v>2192</v>
      </c>
      <c r="DL612" t="s">
        <v>120</v>
      </c>
      <c r="DM612" t="s">
        <v>120</v>
      </c>
      <c r="DN612" t="s">
        <v>120</v>
      </c>
    </row>
    <row r="613" spans="1:118">
      <c r="A613" t="str">
        <f>"002193"</f>
        <v>002193</v>
      </c>
      <c r="B613" t="s">
        <v>3803</v>
      </c>
      <c r="C613">
        <v>0.17</v>
      </c>
      <c r="D613">
        <v>0.17</v>
      </c>
      <c r="E613">
        <v>-0.35</v>
      </c>
      <c r="F613">
        <v>38</v>
      </c>
      <c r="G613" t="s">
        <v>3804</v>
      </c>
      <c r="H613">
        <v>777.88</v>
      </c>
      <c r="I613">
        <v>0</v>
      </c>
      <c r="J613" t="s">
        <v>120</v>
      </c>
      <c r="K613" t="s">
        <v>3805</v>
      </c>
      <c r="L613">
        <v>0.52</v>
      </c>
      <c r="M613">
        <v>5.74</v>
      </c>
      <c r="N613">
        <v>1.02</v>
      </c>
      <c r="O613">
        <v>1.57</v>
      </c>
      <c r="P613">
        <v>5.82</v>
      </c>
      <c r="Q613">
        <v>-0.35</v>
      </c>
      <c r="R613">
        <v>5.71</v>
      </c>
      <c r="S613">
        <v>5.71</v>
      </c>
      <c r="T613">
        <v>13487</v>
      </c>
      <c r="U613">
        <v>5.75</v>
      </c>
      <c r="V613">
        <v>5.73</v>
      </c>
      <c r="W613" t="s">
        <v>120</v>
      </c>
      <c r="X613" t="s">
        <v>1766</v>
      </c>
      <c r="Y613" t="s">
        <v>638</v>
      </c>
      <c r="Z613">
        <v>1.92</v>
      </c>
      <c r="AA613">
        <v>5.77</v>
      </c>
      <c r="AB613">
        <v>6386</v>
      </c>
      <c r="AC613">
        <v>7101</v>
      </c>
      <c r="AD613">
        <v>0.9</v>
      </c>
      <c r="AE613">
        <v>17</v>
      </c>
      <c r="AF613">
        <v>148</v>
      </c>
      <c r="AG613" t="s">
        <v>120</v>
      </c>
      <c r="AH613">
        <v>0</v>
      </c>
      <c r="AI613" t="s">
        <v>120</v>
      </c>
      <c r="AJ613">
        <v>2.61</v>
      </c>
      <c r="AK613" t="s">
        <v>3806</v>
      </c>
      <c r="AL613">
        <v>2.09</v>
      </c>
      <c r="AM613">
        <v>912</v>
      </c>
      <c r="AN613">
        <v>15</v>
      </c>
      <c r="AO613">
        <v>5.9999999999999995E-4</v>
      </c>
      <c r="AP613">
        <v>2</v>
      </c>
      <c r="AQ613">
        <v>1.06</v>
      </c>
      <c r="AR613">
        <v>-1.03</v>
      </c>
      <c r="AS613">
        <v>4.55</v>
      </c>
      <c r="AT613">
        <v>-6.82</v>
      </c>
      <c r="AU613">
        <v>-15.71</v>
      </c>
      <c r="AV613">
        <v>3</v>
      </c>
      <c r="AW613">
        <v>1.1000000000000001</v>
      </c>
      <c r="AX613">
        <v>46.84</v>
      </c>
      <c r="AY613" t="s">
        <v>120</v>
      </c>
      <c r="AZ613">
        <v>294.44</v>
      </c>
      <c r="BA613">
        <v>0.32</v>
      </c>
      <c r="BB613" t="s">
        <v>143</v>
      </c>
      <c r="BF613">
        <v>0.66</v>
      </c>
      <c r="BG613">
        <v>0.53</v>
      </c>
      <c r="BH613">
        <v>-1.37</v>
      </c>
      <c r="BI613">
        <v>0.53</v>
      </c>
      <c r="BJ613">
        <v>20210830</v>
      </c>
      <c r="BK613">
        <v>20071207</v>
      </c>
      <c r="BL613">
        <v>2.62</v>
      </c>
      <c r="BM613" t="s">
        <v>120</v>
      </c>
      <c r="BN613" t="s">
        <v>120</v>
      </c>
      <c r="BO613">
        <v>46.67</v>
      </c>
      <c r="BP613">
        <v>5.73</v>
      </c>
      <c r="BQ613">
        <v>26.12</v>
      </c>
      <c r="BR613">
        <v>1.1499999999999999</v>
      </c>
      <c r="BS613">
        <v>41.56</v>
      </c>
      <c r="BT613">
        <v>20.89</v>
      </c>
      <c r="BU613">
        <v>11.25</v>
      </c>
      <c r="BV613">
        <v>1.6</v>
      </c>
      <c r="BW613">
        <v>19.170000000000002</v>
      </c>
      <c r="BX613">
        <v>0.1</v>
      </c>
      <c r="BY613">
        <v>6.92</v>
      </c>
      <c r="BZ613">
        <v>10.57</v>
      </c>
      <c r="CA613" t="s">
        <v>120</v>
      </c>
      <c r="CB613">
        <v>15.96</v>
      </c>
      <c r="CC613">
        <v>2.61</v>
      </c>
      <c r="CD613">
        <v>1.73</v>
      </c>
      <c r="CE613">
        <v>-0.47</v>
      </c>
      <c r="CF613">
        <v>0</v>
      </c>
      <c r="CG613">
        <v>-0.45</v>
      </c>
      <c r="CH613">
        <v>-0.45</v>
      </c>
      <c r="CI613">
        <v>-0.45</v>
      </c>
      <c r="CJ613">
        <v>0.01</v>
      </c>
      <c r="CK613">
        <v>-0.51</v>
      </c>
      <c r="CL613">
        <v>6.54</v>
      </c>
      <c r="CM613">
        <v>-3.08</v>
      </c>
      <c r="CN613">
        <v>-4.05</v>
      </c>
      <c r="CO613">
        <v>14726</v>
      </c>
      <c r="CP613">
        <v>8325</v>
      </c>
      <c r="CQ613" t="s">
        <v>3807</v>
      </c>
      <c r="CR613">
        <v>-392.86</v>
      </c>
      <c r="CS613">
        <v>-46.65</v>
      </c>
      <c r="CT613">
        <v>0.57999999999999996</v>
      </c>
      <c r="CU613">
        <v>-4.88</v>
      </c>
      <c r="CV613">
        <v>5.76</v>
      </c>
      <c r="CW613">
        <v>0.17</v>
      </c>
      <c r="CX613" t="s">
        <v>1513</v>
      </c>
      <c r="CY613">
        <v>9.98</v>
      </c>
      <c r="CZ613">
        <v>0</v>
      </c>
      <c r="DA613">
        <v>6.1</v>
      </c>
      <c r="DB613">
        <v>2.5</v>
      </c>
      <c r="DC613">
        <v>-1.18</v>
      </c>
      <c r="DD613">
        <v>55.98</v>
      </c>
      <c r="DE613" t="s">
        <v>3808</v>
      </c>
      <c r="DF613">
        <v>33.82</v>
      </c>
      <c r="DG613">
        <v>-17.920000000000002</v>
      </c>
      <c r="DH613">
        <v>-17.16</v>
      </c>
      <c r="DI613">
        <v>0.14000000000000001</v>
      </c>
      <c r="DJ613">
        <v>2479</v>
      </c>
      <c r="DK613">
        <v>2193</v>
      </c>
      <c r="DL613" t="s">
        <v>120</v>
      </c>
      <c r="DM613" t="s">
        <v>120</v>
      </c>
      <c r="DN613" t="s">
        <v>120</v>
      </c>
    </row>
    <row r="614" spans="1:118">
      <c r="A614" t="str">
        <f>"002194"</f>
        <v>002194</v>
      </c>
      <c r="B614" t="s">
        <v>3809</v>
      </c>
      <c r="C614">
        <v>-1.27</v>
      </c>
      <c r="D614">
        <v>0</v>
      </c>
      <c r="E614">
        <v>0.24</v>
      </c>
      <c r="F614">
        <v>469</v>
      </c>
      <c r="G614" t="s">
        <v>3810</v>
      </c>
      <c r="H614">
        <v>6043.88</v>
      </c>
      <c r="I614">
        <v>16.72</v>
      </c>
      <c r="J614" t="s">
        <v>120</v>
      </c>
      <c r="K614" t="s">
        <v>3811</v>
      </c>
      <c r="L614">
        <v>0.76</v>
      </c>
      <c r="M614">
        <v>12.46</v>
      </c>
      <c r="N614">
        <v>0.7</v>
      </c>
      <c r="O614">
        <v>1.27</v>
      </c>
      <c r="P614">
        <v>12.78</v>
      </c>
      <c r="Q614">
        <v>-1.35</v>
      </c>
      <c r="R614">
        <v>12.45</v>
      </c>
      <c r="S614">
        <v>12.65</v>
      </c>
      <c r="T614">
        <v>48021</v>
      </c>
      <c r="U614">
        <v>12.47</v>
      </c>
      <c r="V614">
        <v>12.62</v>
      </c>
      <c r="W614">
        <v>32.840000000000003</v>
      </c>
      <c r="X614" t="s">
        <v>462</v>
      </c>
      <c r="Y614" t="s">
        <v>763</v>
      </c>
      <c r="Z614">
        <v>2.61</v>
      </c>
      <c r="AA614">
        <v>12.59</v>
      </c>
      <c r="AB614">
        <v>27955</v>
      </c>
      <c r="AC614">
        <v>20066</v>
      </c>
      <c r="AD614">
        <v>1.39</v>
      </c>
      <c r="AE614">
        <v>86</v>
      </c>
      <c r="AF614">
        <v>141</v>
      </c>
      <c r="AG614" t="s">
        <v>120</v>
      </c>
      <c r="AH614">
        <v>0</v>
      </c>
      <c r="AI614" t="s">
        <v>120</v>
      </c>
      <c r="AJ614">
        <v>6.36</v>
      </c>
      <c r="AK614" t="s">
        <v>1523</v>
      </c>
      <c r="AL614">
        <v>0.65</v>
      </c>
      <c r="AM614">
        <v>2000</v>
      </c>
      <c r="AN614">
        <v>24</v>
      </c>
      <c r="AO614">
        <v>4.0000000000000002E-4</v>
      </c>
      <c r="AP614">
        <v>-1</v>
      </c>
      <c r="AQ614">
        <v>0.16</v>
      </c>
      <c r="AR614">
        <v>-2.88</v>
      </c>
      <c r="AS614">
        <v>-9.58</v>
      </c>
      <c r="AT614">
        <v>-4.8099999999999996</v>
      </c>
      <c r="AU614">
        <v>-15.58</v>
      </c>
      <c r="AV614">
        <v>4</v>
      </c>
      <c r="AW614">
        <v>1.1100000000000001</v>
      </c>
      <c r="AX614">
        <v>63.66</v>
      </c>
      <c r="AY614">
        <v>35.65</v>
      </c>
      <c r="AZ614">
        <v>44.76</v>
      </c>
      <c r="BA614">
        <v>1.04</v>
      </c>
      <c r="BB614" t="s">
        <v>143</v>
      </c>
      <c r="BF614">
        <v>-0.27</v>
      </c>
      <c r="BG614">
        <v>-1.5</v>
      </c>
      <c r="BH614">
        <v>-2.5</v>
      </c>
      <c r="BI614">
        <v>0.08</v>
      </c>
      <c r="BJ614">
        <v>20210901</v>
      </c>
      <c r="BK614">
        <v>20071207</v>
      </c>
      <c r="BL614">
        <v>6.81</v>
      </c>
      <c r="BM614" t="s">
        <v>120</v>
      </c>
      <c r="BN614" t="s">
        <v>120</v>
      </c>
      <c r="BO614">
        <v>27.81</v>
      </c>
      <c r="BP614">
        <v>12.46</v>
      </c>
      <c r="BQ614">
        <v>21.71</v>
      </c>
      <c r="BR614" t="s">
        <v>120</v>
      </c>
      <c r="BS614">
        <v>21.94</v>
      </c>
      <c r="BT614">
        <v>21.03</v>
      </c>
      <c r="BU614">
        <v>3.31</v>
      </c>
      <c r="BV614">
        <v>0.82</v>
      </c>
      <c r="BW614">
        <v>5.49</v>
      </c>
      <c r="BX614">
        <v>11.92</v>
      </c>
      <c r="BY614">
        <v>3.53</v>
      </c>
      <c r="BZ614">
        <v>4.63</v>
      </c>
      <c r="CA614">
        <v>0.01</v>
      </c>
      <c r="CB614">
        <v>7.45</v>
      </c>
      <c r="CC614">
        <v>8.7200000000000006</v>
      </c>
      <c r="CD614">
        <v>6.38</v>
      </c>
      <c r="CE614">
        <v>1.35</v>
      </c>
      <c r="CF614">
        <v>-0.02</v>
      </c>
      <c r="CG614">
        <v>1.28</v>
      </c>
      <c r="CH614">
        <v>1.29</v>
      </c>
      <c r="CI614">
        <v>1.29</v>
      </c>
      <c r="CJ614">
        <v>-0.16</v>
      </c>
      <c r="CK614">
        <v>1.32</v>
      </c>
      <c r="CL614">
        <v>4.67</v>
      </c>
      <c r="CM614">
        <v>1.81</v>
      </c>
      <c r="CN614">
        <v>1.17</v>
      </c>
      <c r="CO614">
        <v>73379</v>
      </c>
      <c r="CP614">
        <v>5908</v>
      </c>
      <c r="CQ614" t="s">
        <v>3812</v>
      </c>
      <c r="CR614">
        <v>61.26</v>
      </c>
      <c r="CS614">
        <v>25.84</v>
      </c>
      <c r="CT614">
        <v>3.88</v>
      </c>
      <c r="CU614">
        <v>46.98</v>
      </c>
      <c r="CV614">
        <v>9.73</v>
      </c>
      <c r="CW614">
        <v>1.17</v>
      </c>
      <c r="CX614" t="s">
        <v>442</v>
      </c>
      <c r="CY614">
        <v>3.21</v>
      </c>
      <c r="CZ614">
        <v>3.21</v>
      </c>
      <c r="DA614">
        <v>1.0900000000000001</v>
      </c>
      <c r="DB614">
        <v>0.69</v>
      </c>
      <c r="DC614">
        <v>0.27</v>
      </c>
      <c r="DD614">
        <v>78.06</v>
      </c>
      <c r="DE614" t="s">
        <v>3813</v>
      </c>
      <c r="DF614">
        <v>26.84</v>
      </c>
      <c r="DG614">
        <v>15.47</v>
      </c>
      <c r="DH614">
        <v>14.82</v>
      </c>
      <c r="DI614">
        <v>0.46</v>
      </c>
      <c r="DJ614">
        <v>2929</v>
      </c>
      <c r="DK614">
        <v>2194</v>
      </c>
      <c r="DL614" t="s">
        <v>120</v>
      </c>
      <c r="DM614" t="s">
        <v>120</v>
      </c>
      <c r="DN614" t="s">
        <v>120</v>
      </c>
    </row>
    <row r="615" spans="1:118">
      <c r="A615" t="str">
        <f>"002195"</f>
        <v>002195</v>
      </c>
      <c r="B615" t="s">
        <v>3814</v>
      </c>
      <c r="C615">
        <v>-0.88</v>
      </c>
      <c r="D615">
        <v>0.9</v>
      </c>
      <c r="E615">
        <v>-0.44</v>
      </c>
      <c r="F615">
        <v>47410</v>
      </c>
      <c r="G615" t="s">
        <v>3815</v>
      </c>
      <c r="H615">
        <v>51120.81</v>
      </c>
      <c r="I615">
        <v>458.67</v>
      </c>
      <c r="J615" t="s">
        <v>120</v>
      </c>
      <c r="K615" t="s">
        <v>3816</v>
      </c>
      <c r="L615">
        <v>4.01</v>
      </c>
      <c r="M615">
        <v>2.25</v>
      </c>
      <c r="N615">
        <v>1.1299999999999999</v>
      </c>
      <c r="O615">
        <v>1.76</v>
      </c>
      <c r="P615">
        <v>2.31</v>
      </c>
      <c r="Q615">
        <v>-2.2000000000000002</v>
      </c>
      <c r="R615">
        <v>2.2200000000000002</v>
      </c>
      <c r="S615">
        <v>2.2599999999999998</v>
      </c>
      <c r="T615">
        <v>2260796</v>
      </c>
      <c r="U615">
        <v>2.25</v>
      </c>
      <c r="V615">
        <v>2.27</v>
      </c>
      <c r="W615">
        <v>29.12</v>
      </c>
      <c r="X615" t="s">
        <v>141</v>
      </c>
      <c r="Y615" t="s">
        <v>1510</v>
      </c>
      <c r="Z615">
        <v>3.96</v>
      </c>
      <c r="AA615">
        <v>2.2599999999999998</v>
      </c>
      <c r="AB615">
        <v>1225807</v>
      </c>
      <c r="AC615">
        <v>1034988</v>
      </c>
      <c r="AD615">
        <v>1.18</v>
      </c>
      <c r="AE615">
        <v>66</v>
      </c>
      <c r="AF615">
        <v>21987</v>
      </c>
      <c r="AG615" t="s">
        <v>120</v>
      </c>
      <c r="AH615">
        <v>0.04</v>
      </c>
      <c r="AI615" t="s">
        <v>120</v>
      </c>
      <c r="AJ615">
        <v>56.34</v>
      </c>
      <c r="AK615" t="s">
        <v>2503</v>
      </c>
      <c r="AL615">
        <v>1.03</v>
      </c>
      <c r="AM615">
        <v>4249</v>
      </c>
      <c r="AN615">
        <v>532</v>
      </c>
      <c r="AO615">
        <v>8.9999999999999998E-4</v>
      </c>
      <c r="AP615">
        <v>-1</v>
      </c>
      <c r="AQ615">
        <v>4.13</v>
      </c>
      <c r="AR615">
        <v>1.81</v>
      </c>
      <c r="AS615">
        <v>18.420000000000002</v>
      </c>
      <c r="AT615">
        <v>9.2200000000000006</v>
      </c>
      <c r="AU615">
        <v>-0.44</v>
      </c>
      <c r="AV615">
        <v>2</v>
      </c>
      <c r="AW615">
        <v>4.45</v>
      </c>
      <c r="AX615">
        <v>88.74</v>
      </c>
      <c r="AY615" t="s">
        <v>120</v>
      </c>
      <c r="AZ615" t="s">
        <v>120</v>
      </c>
      <c r="BA615">
        <v>0.32</v>
      </c>
      <c r="BB615" t="s">
        <v>184</v>
      </c>
      <c r="BF615">
        <v>-0.39</v>
      </c>
      <c r="BG615">
        <v>-0.44</v>
      </c>
      <c r="BH615">
        <v>-2.6</v>
      </c>
      <c r="BI615">
        <v>1.35</v>
      </c>
      <c r="BJ615">
        <v>20210826</v>
      </c>
      <c r="BK615">
        <v>20071212</v>
      </c>
      <c r="BL615">
        <v>57.25</v>
      </c>
      <c r="BM615" t="s">
        <v>120</v>
      </c>
      <c r="BN615" t="s">
        <v>120</v>
      </c>
      <c r="BO615">
        <v>98.9</v>
      </c>
      <c r="BP615">
        <v>2.2400000000000002</v>
      </c>
      <c r="BQ615">
        <v>91.06</v>
      </c>
      <c r="BR615">
        <v>0.1</v>
      </c>
      <c r="BS615">
        <v>7.83</v>
      </c>
      <c r="BT615">
        <v>68.88</v>
      </c>
      <c r="BU615">
        <v>0.78</v>
      </c>
      <c r="BV615">
        <v>0.01</v>
      </c>
      <c r="BW615">
        <v>6.29</v>
      </c>
      <c r="BX615">
        <v>24.51</v>
      </c>
      <c r="BY615">
        <v>0</v>
      </c>
      <c r="BZ615">
        <v>4.3600000000000003</v>
      </c>
      <c r="CA615" t="s">
        <v>120</v>
      </c>
      <c r="CB615">
        <v>3.92</v>
      </c>
      <c r="CC615">
        <v>5.01</v>
      </c>
      <c r="CD615">
        <v>2.19</v>
      </c>
      <c r="CE615">
        <v>2.5</v>
      </c>
      <c r="CF615">
        <v>0.82</v>
      </c>
      <c r="CG615">
        <v>2.4900000000000002</v>
      </c>
      <c r="CH615">
        <v>2.21</v>
      </c>
      <c r="CI615">
        <v>2.21</v>
      </c>
      <c r="CJ615">
        <v>-0.02</v>
      </c>
      <c r="CK615">
        <v>2.11</v>
      </c>
      <c r="CL615">
        <v>29.74</v>
      </c>
      <c r="CM615">
        <v>4.99</v>
      </c>
      <c r="CN615">
        <v>-3.04</v>
      </c>
      <c r="CO615">
        <v>254150</v>
      </c>
      <c r="CP615">
        <v>19990</v>
      </c>
      <c r="CQ615" t="s">
        <v>3044</v>
      </c>
      <c r="CR615">
        <v>5.6</v>
      </c>
      <c r="CS615">
        <v>-23.13</v>
      </c>
      <c r="CT615">
        <v>1.41</v>
      </c>
      <c r="CU615">
        <v>25.81</v>
      </c>
      <c r="CV615">
        <v>25.69</v>
      </c>
      <c r="CW615">
        <v>0</v>
      </c>
      <c r="CX615" t="s">
        <v>145</v>
      </c>
      <c r="CY615">
        <v>1.59</v>
      </c>
      <c r="CZ615">
        <v>0</v>
      </c>
      <c r="DA615">
        <v>7.0000000000000007E-2</v>
      </c>
      <c r="DB615">
        <v>0.52</v>
      </c>
      <c r="DC615">
        <v>0.09</v>
      </c>
      <c r="DD615">
        <v>92.07</v>
      </c>
      <c r="DE615" t="s">
        <v>3817</v>
      </c>
      <c r="DF615">
        <v>56.34</v>
      </c>
      <c r="DG615">
        <v>49.93</v>
      </c>
      <c r="DH615">
        <v>44.1</v>
      </c>
      <c r="DI615">
        <v>0.87</v>
      </c>
      <c r="DJ615">
        <v>628</v>
      </c>
      <c r="DK615">
        <v>2195</v>
      </c>
      <c r="DL615" t="s">
        <v>120</v>
      </c>
      <c r="DM615" t="s">
        <v>120</v>
      </c>
      <c r="DN615" t="s">
        <v>120</v>
      </c>
    </row>
    <row r="616" spans="1:118">
      <c r="A616" t="str">
        <f>"002196"</f>
        <v>002196</v>
      </c>
      <c r="B616" t="s">
        <v>3818</v>
      </c>
      <c r="C616">
        <v>-5.87</v>
      </c>
      <c r="D616">
        <v>0.1</v>
      </c>
      <c r="E616">
        <v>-0.28999999999999998</v>
      </c>
      <c r="F616">
        <v>3494</v>
      </c>
      <c r="G616" t="s">
        <v>3819</v>
      </c>
      <c r="H616">
        <v>22539.79</v>
      </c>
      <c r="I616">
        <v>12.85</v>
      </c>
      <c r="J616" t="s">
        <v>120</v>
      </c>
      <c r="K616" t="s">
        <v>3018</v>
      </c>
      <c r="L616">
        <v>4.8</v>
      </c>
      <c r="M616">
        <v>9.7799999999999994</v>
      </c>
      <c r="N616">
        <v>0.92</v>
      </c>
      <c r="O616">
        <v>-0.19</v>
      </c>
      <c r="P616">
        <v>10.37</v>
      </c>
      <c r="Q616">
        <v>-6.06</v>
      </c>
      <c r="R616">
        <v>9.76</v>
      </c>
      <c r="S616">
        <v>10.36</v>
      </c>
      <c r="T616">
        <v>224680</v>
      </c>
      <c r="U616">
        <v>9.7899999999999991</v>
      </c>
      <c r="V616">
        <v>10.39</v>
      </c>
      <c r="W616">
        <v>350.74</v>
      </c>
      <c r="X616" t="s">
        <v>3820</v>
      </c>
      <c r="Y616" t="s">
        <v>585</v>
      </c>
      <c r="Z616">
        <v>5.87</v>
      </c>
      <c r="AA616">
        <v>10.029999999999999</v>
      </c>
      <c r="AB616">
        <v>145513</v>
      </c>
      <c r="AC616">
        <v>79167</v>
      </c>
      <c r="AD616">
        <v>1.84</v>
      </c>
      <c r="AE616">
        <v>905</v>
      </c>
      <c r="AF616">
        <v>783</v>
      </c>
      <c r="AG616" t="s">
        <v>120</v>
      </c>
      <c r="AH616">
        <v>0</v>
      </c>
      <c r="AI616" t="s">
        <v>120</v>
      </c>
      <c r="AJ616">
        <v>4.68</v>
      </c>
      <c r="AK616" t="s">
        <v>3821</v>
      </c>
      <c r="AL616">
        <v>-3.96</v>
      </c>
      <c r="AM616">
        <v>3428</v>
      </c>
      <c r="AN616">
        <v>66</v>
      </c>
      <c r="AO616">
        <v>1.4E-3</v>
      </c>
      <c r="AP616">
        <v>-1</v>
      </c>
      <c r="AQ616">
        <v>0.57999999999999996</v>
      </c>
      <c r="AR616">
        <v>-3.17</v>
      </c>
      <c r="AS616">
        <v>5.16</v>
      </c>
      <c r="AT616">
        <v>20.59</v>
      </c>
      <c r="AU616">
        <v>29.71</v>
      </c>
      <c r="AV616">
        <v>13</v>
      </c>
      <c r="AW616">
        <v>5.48</v>
      </c>
      <c r="AX616">
        <v>82.1</v>
      </c>
      <c r="AY616" t="s">
        <v>120</v>
      </c>
      <c r="AZ616" t="s">
        <v>120</v>
      </c>
      <c r="BA616">
        <v>0.78</v>
      </c>
      <c r="BB616" t="s">
        <v>184</v>
      </c>
      <c r="BF616">
        <v>-3.45</v>
      </c>
      <c r="BG616">
        <v>-5.6</v>
      </c>
      <c r="BH616">
        <v>-5.69</v>
      </c>
      <c r="BI616">
        <v>0.2</v>
      </c>
      <c r="BJ616">
        <v>20210913</v>
      </c>
      <c r="BK616">
        <v>20071212</v>
      </c>
      <c r="BL616">
        <v>4.99</v>
      </c>
      <c r="BM616" t="s">
        <v>120</v>
      </c>
      <c r="BN616" t="s">
        <v>120</v>
      </c>
      <c r="BO616">
        <v>28.58</v>
      </c>
      <c r="BP616">
        <v>9.7799999999999994</v>
      </c>
      <c r="BQ616">
        <v>14.72</v>
      </c>
      <c r="BR616">
        <v>0.98</v>
      </c>
      <c r="BS616">
        <v>45.05</v>
      </c>
      <c r="BT616">
        <v>14.14</v>
      </c>
      <c r="BU616">
        <v>5.22</v>
      </c>
      <c r="BV616">
        <v>1.46</v>
      </c>
      <c r="BW616">
        <v>11.6</v>
      </c>
      <c r="BX616">
        <v>1.73</v>
      </c>
      <c r="BY616">
        <v>4.05</v>
      </c>
      <c r="BZ616">
        <v>4.42</v>
      </c>
      <c r="CA616" t="s">
        <v>120</v>
      </c>
      <c r="CB616">
        <v>18.11</v>
      </c>
      <c r="CC616">
        <v>8.7899999999999991</v>
      </c>
      <c r="CD616">
        <v>7.74</v>
      </c>
      <c r="CE616">
        <v>-0.18</v>
      </c>
      <c r="CF616">
        <v>0.06</v>
      </c>
      <c r="CG616">
        <v>-0.18</v>
      </c>
      <c r="CH616">
        <v>-0.19</v>
      </c>
      <c r="CI616">
        <v>7.0000000000000007E-2</v>
      </c>
      <c r="CJ616">
        <v>-0.61</v>
      </c>
      <c r="CK616">
        <v>0</v>
      </c>
      <c r="CL616">
        <v>-7.63</v>
      </c>
      <c r="CM616">
        <v>0.86</v>
      </c>
      <c r="CN616">
        <v>-0.12</v>
      </c>
      <c r="CO616">
        <v>36444</v>
      </c>
      <c r="CP616">
        <v>11251</v>
      </c>
      <c r="CQ616" t="s">
        <v>3822</v>
      </c>
      <c r="CR616">
        <v>125</v>
      </c>
      <c r="CS616">
        <v>108.89</v>
      </c>
      <c r="CT616">
        <v>3.32</v>
      </c>
      <c r="CU616">
        <v>56.6</v>
      </c>
      <c r="CV616">
        <v>5.56</v>
      </c>
      <c r="CW616">
        <v>0</v>
      </c>
      <c r="CX616" t="s">
        <v>178</v>
      </c>
      <c r="CY616">
        <v>2.95</v>
      </c>
      <c r="CZ616">
        <v>0</v>
      </c>
      <c r="DA616">
        <v>3.63</v>
      </c>
      <c r="DB616">
        <v>-1.53</v>
      </c>
      <c r="DC616">
        <v>0.17</v>
      </c>
      <c r="DD616">
        <v>51.51</v>
      </c>
      <c r="DE616" t="s">
        <v>3823</v>
      </c>
      <c r="DF616">
        <v>11.88</v>
      </c>
      <c r="DG616">
        <v>-2.0499999999999998</v>
      </c>
      <c r="DH616">
        <v>0.79</v>
      </c>
      <c r="DI616">
        <v>0.68</v>
      </c>
      <c r="DJ616">
        <v>2328</v>
      </c>
      <c r="DK616">
        <v>2196</v>
      </c>
      <c r="DL616" t="s">
        <v>120</v>
      </c>
      <c r="DM616" t="s">
        <v>120</v>
      </c>
      <c r="DN616" t="s">
        <v>120</v>
      </c>
    </row>
    <row r="617" spans="1:118">
      <c r="A617" t="str">
        <f>"002197"</f>
        <v>002197</v>
      </c>
      <c r="B617" t="s">
        <v>3824</v>
      </c>
      <c r="C617">
        <v>-0.94</v>
      </c>
      <c r="D617">
        <v>-0.13</v>
      </c>
      <c r="E617">
        <v>0</v>
      </c>
      <c r="F617">
        <v>384</v>
      </c>
      <c r="G617" t="s">
        <v>3825</v>
      </c>
      <c r="H617">
        <v>5824.09</v>
      </c>
      <c r="I617">
        <v>2.23</v>
      </c>
      <c r="J617" t="s">
        <v>120</v>
      </c>
      <c r="K617" t="s">
        <v>3826</v>
      </c>
      <c r="L617">
        <v>1.8</v>
      </c>
      <c r="M617">
        <v>7.35</v>
      </c>
      <c r="N617">
        <v>1</v>
      </c>
      <c r="O617">
        <v>1.89</v>
      </c>
      <c r="P617">
        <v>7.56</v>
      </c>
      <c r="Q617">
        <v>-1.62</v>
      </c>
      <c r="R617">
        <v>7.3</v>
      </c>
      <c r="S617">
        <v>7.42</v>
      </c>
      <c r="T617">
        <v>78282</v>
      </c>
      <c r="U617">
        <v>7.36</v>
      </c>
      <c r="V617">
        <v>7.42</v>
      </c>
      <c r="W617">
        <v>112.33</v>
      </c>
      <c r="X617" t="s">
        <v>2717</v>
      </c>
      <c r="Y617" t="s">
        <v>123</v>
      </c>
      <c r="Z617">
        <v>3.5</v>
      </c>
      <c r="AA617">
        <v>7.44</v>
      </c>
      <c r="AB617">
        <v>41027</v>
      </c>
      <c r="AC617">
        <v>37255</v>
      </c>
      <c r="AD617">
        <v>1.1000000000000001</v>
      </c>
      <c r="AE617">
        <v>353</v>
      </c>
      <c r="AF617">
        <v>152</v>
      </c>
      <c r="AG617" t="s">
        <v>120</v>
      </c>
      <c r="AH617">
        <v>0</v>
      </c>
      <c r="AI617" t="s">
        <v>120</v>
      </c>
      <c r="AJ617">
        <v>4.3499999999999996</v>
      </c>
      <c r="AK617" t="s">
        <v>2360</v>
      </c>
      <c r="AL617">
        <v>0.97</v>
      </c>
      <c r="AM617">
        <v>2133</v>
      </c>
      <c r="AN617">
        <v>37</v>
      </c>
      <c r="AO617">
        <v>8.0000000000000004E-4</v>
      </c>
      <c r="AP617">
        <v>-1</v>
      </c>
      <c r="AQ617">
        <v>0.68</v>
      </c>
      <c r="AR617">
        <v>-2.12</v>
      </c>
      <c r="AS617">
        <v>5.91</v>
      </c>
      <c r="AT617">
        <v>-2.9</v>
      </c>
      <c r="AU617">
        <v>-12.71</v>
      </c>
      <c r="AV617">
        <v>2</v>
      </c>
      <c r="AW617">
        <v>2.1800000000000002</v>
      </c>
      <c r="AX617">
        <v>69.72</v>
      </c>
      <c r="AY617">
        <v>161.13</v>
      </c>
      <c r="AZ617">
        <v>210.41</v>
      </c>
      <c r="BA617">
        <v>0.42</v>
      </c>
      <c r="BB617" t="s">
        <v>143</v>
      </c>
      <c r="BF617">
        <v>0.27</v>
      </c>
      <c r="BG617">
        <v>-0.94</v>
      </c>
      <c r="BH617">
        <v>-2.78</v>
      </c>
      <c r="BI617">
        <v>0.68</v>
      </c>
      <c r="BJ617">
        <v>20210830</v>
      </c>
      <c r="BK617">
        <v>20071218</v>
      </c>
      <c r="BL617">
        <v>5.15</v>
      </c>
      <c r="BM617" t="s">
        <v>120</v>
      </c>
      <c r="BN617" t="s">
        <v>120</v>
      </c>
      <c r="BO617">
        <v>66.36</v>
      </c>
      <c r="BP617">
        <v>7.35</v>
      </c>
      <c r="BQ617">
        <v>24.64</v>
      </c>
      <c r="BR617">
        <v>-0.02</v>
      </c>
      <c r="BS617">
        <v>62.91</v>
      </c>
      <c r="BT617">
        <v>26.83</v>
      </c>
      <c r="BU617">
        <v>17.850000000000001</v>
      </c>
      <c r="BV617">
        <v>3.6</v>
      </c>
      <c r="BW617">
        <v>19.43</v>
      </c>
      <c r="BX617">
        <v>6.15</v>
      </c>
      <c r="BY617">
        <v>1.5</v>
      </c>
      <c r="BZ617">
        <v>14.6</v>
      </c>
      <c r="CA617" t="s">
        <v>120</v>
      </c>
      <c r="CB617">
        <v>17.149999999999999</v>
      </c>
      <c r="CC617">
        <v>5.26</v>
      </c>
      <c r="CD617">
        <v>3.56</v>
      </c>
      <c r="CE617">
        <v>0.09</v>
      </c>
      <c r="CF617">
        <v>0.02</v>
      </c>
      <c r="CG617">
        <v>0.1</v>
      </c>
      <c r="CH617">
        <v>0.09</v>
      </c>
      <c r="CI617">
        <v>0.17</v>
      </c>
      <c r="CJ617">
        <v>-7.0000000000000007E-2</v>
      </c>
      <c r="CK617">
        <v>0.02</v>
      </c>
      <c r="CL617">
        <v>1.96</v>
      </c>
      <c r="CM617">
        <v>0.85</v>
      </c>
      <c r="CN617">
        <v>-0.23</v>
      </c>
      <c r="CO617">
        <v>59254</v>
      </c>
      <c r="CP617">
        <v>6061</v>
      </c>
      <c r="CQ617" t="s">
        <v>3827</v>
      </c>
      <c r="CR617">
        <v>49.18</v>
      </c>
      <c r="CS617">
        <v>7.93</v>
      </c>
      <c r="CT617">
        <v>1.54</v>
      </c>
      <c r="CU617">
        <v>44.61</v>
      </c>
      <c r="CV617">
        <v>7.19</v>
      </c>
      <c r="CW617">
        <v>0</v>
      </c>
      <c r="CX617" t="s">
        <v>2074</v>
      </c>
      <c r="CY617">
        <v>4.78</v>
      </c>
      <c r="CZ617">
        <v>0</v>
      </c>
      <c r="DA617">
        <v>3.33</v>
      </c>
      <c r="DB617">
        <v>0.38</v>
      </c>
      <c r="DC617">
        <v>0.16</v>
      </c>
      <c r="DD617">
        <v>37.130000000000003</v>
      </c>
      <c r="DE617" t="s">
        <v>1405</v>
      </c>
      <c r="DF617">
        <v>32.29</v>
      </c>
      <c r="DG617">
        <v>1.76</v>
      </c>
      <c r="DH617">
        <v>3.2</v>
      </c>
      <c r="DI617">
        <v>0.4</v>
      </c>
      <c r="DJ617">
        <v>1234</v>
      </c>
      <c r="DK617">
        <v>2197</v>
      </c>
      <c r="DL617" t="s">
        <v>120</v>
      </c>
      <c r="DM617" t="s">
        <v>120</v>
      </c>
      <c r="DN617" t="s">
        <v>120</v>
      </c>
    </row>
    <row r="618" spans="1:118">
      <c r="A618" t="str">
        <f>"002198"</f>
        <v>002198</v>
      </c>
      <c r="B618" t="s">
        <v>3828</v>
      </c>
      <c r="C618">
        <v>-2.76</v>
      </c>
      <c r="D618">
        <v>-0.26</v>
      </c>
      <c r="E618">
        <v>0</v>
      </c>
      <c r="F618">
        <v>323</v>
      </c>
      <c r="G618" t="s">
        <v>1844</v>
      </c>
      <c r="H618">
        <v>8108.12</v>
      </c>
      <c r="I618">
        <v>23.13</v>
      </c>
      <c r="J618" t="s">
        <v>120</v>
      </c>
      <c r="K618" t="s">
        <v>3829</v>
      </c>
      <c r="L618">
        <v>2.13</v>
      </c>
      <c r="M618">
        <v>7.4</v>
      </c>
      <c r="N618">
        <v>1.3</v>
      </c>
      <c r="O618">
        <v>0.39</v>
      </c>
      <c r="P618">
        <v>7.64</v>
      </c>
      <c r="Q618">
        <v>-3.02</v>
      </c>
      <c r="R618">
        <v>7.38</v>
      </c>
      <c r="S618">
        <v>7.61</v>
      </c>
      <c r="T618">
        <v>108263</v>
      </c>
      <c r="U618">
        <v>7.42</v>
      </c>
      <c r="V618">
        <v>7.61</v>
      </c>
      <c r="W618">
        <v>448.62</v>
      </c>
      <c r="X618" t="s">
        <v>771</v>
      </c>
      <c r="Y618" t="s">
        <v>547</v>
      </c>
      <c r="Z618">
        <v>3.42</v>
      </c>
      <c r="AA618">
        <v>7.49</v>
      </c>
      <c r="AB618">
        <v>60236</v>
      </c>
      <c r="AC618">
        <v>48027</v>
      </c>
      <c r="AD618">
        <v>1.25</v>
      </c>
      <c r="AE618">
        <v>79</v>
      </c>
      <c r="AF618">
        <v>116</v>
      </c>
      <c r="AG618" t="s">
        <v>120</v>
      </c>
      <c r="AH618">
        <v>0.01</v>
      </c>
      <c r="AI618" t="s">
        <v>120</v>
      </c>
      <c r="AJ618">
        <v>5.08</v>
      </c>
      <c r="AK618" t="s">
        <v>3829</v>
      </c>
      <c r="AL618">
        <v>-0.85</v>
      </c>
      <c r="AM618">
        <v>2015</v>
      </c>
      <c r="AN618">
        <v>54</v>
      </c>
      <c r="AO618">
        <v>1.1000000000000001E-3</v>
      </c>
      <c r="AP618">
        <v>-2</v>
      </c>
      <c r="AQ618">
        <v>-1.3</v>
      </c>
      <c r="AR618">
        <v>-3.28</v>
      </c>
      <c r="AS618">
        <v>-9.5399999999999991</v>
      </c>
      <c r="AT618">
        <v>-18.68</v>
      </c>
      <c r="AU618">
        <v>65.180000000000007</v>
      </c>
      <c r="AV618">
        <v>2</v>
      </c>
      <c r="AW618">
        <v>2.93</v>
      </c>
      <c r="AX618">
        <v>72.86</v>
      </c>
      <c r="AY618">
        <v>143.47999999999999</v>
      </c>
      <c r="AZ618">
        <v>194.68</v>
      </c>
      <c r="BA618">
        <v>0.57999999999999996</v>
      </c>
      <c r="BB618" t="s">
        <v>143</v>
      </c>
      <c r="BF618">
        <v>-1.59</v>
      </c>
      <c r="BG618">
        <v>-2.76</v>
      </c>
      <c r="BH618">
        <v>-3.14</v>
      </c>
      <c r="BI618">
        <v>0.27</v>
      </c>
      <c r="BJ618">
        <v>20210816</v>
      </c>
      <c r="BK618">
        <v>20071218</v>
      </c>
      <c r="BL618">
        <v>5.08</v>
      </c>
      <c r="BM618" t="s">
        <v>120</v>
      </c>
      <c r="BN618" t="s">
        <v>120</v>
      </c>
      <c r="BO618">
        <v>8.11</v>
      </c>
      <c r="BP618">
        <v>7.4</v>
      </c>
      <c r="BQ618">
        <v>6.87</v>
      </c>
      <c r="BR618" t="s">
        <v>120</v>
      </c>
      <c r="BS618">
        <v>15.29</v>
      </c>
      <c r="BT618">
        <v>4.57</v>
      </c>
      <c r="BU618">
        <v>2.34</v>
      </c>
      <c r="BV618">
        <v>0.61</v>
      </c>
      <c r="BW618">
        <v>0.89</v>
      </c>
      <c r="BX618">
        <v>1.95</v>
      </c>
      <c r="BY618">
        <v>0.83</v>
      </c>
      <c r="BZ618">
        <v>1.06</v>
      </c>
      <c r="CA618" t="s">
        <v>120</v>
      </c>
      <c r="CB618">
        <v>1.23</v>
      </c>
      <c r="CC618">
        <v>2.52</v>
      </c>
      <c r="CD618">
        <v>0.61</v>
      </c>
      <c r="CE618">
        <v>7.0000000000000007E-2</v>
      </c>
      <c r="CF618">
        <v>-0.04</v>
      </c>
      <c r="CG618">
        <v>7.0000000000000007E-2</v>
      </c>
      <c r="CH618">
        <v>0.04</v>
      </c>
      <c r="CI618">
        <v>0.04</v>
      </c>
      <c r="CJ618">
        <v>-0.21</v>
      </c>
      <c r="CK618">
        <v>0.04</v>
      </c>
      <c r="CL618">
        <v>0.28999999999999998</v>
      </c>
      <c r="CM618">
        <v>0.05</v>
      </c>
      <c r="CN618">
        <v>0.53</v>
      </c>
      <c r="CO618">
        <v>27747</v>
      </c>
      <c r="CP618">
        <v>13327</v>
      </c>
      <c r="CQ618" t="s">
        <v>3830</v>
      </c>
      <c r="CR618">
        <v>244.64</v>
      </c>
      <c r="CS618">
        <v>21.14</v>
      </c>
      <c r="CT618">
        <v>5.47</v>
      </c>
      <c r="CU618">
        <v>755.75</v>
      </c>
      <c r="CV618">
        <v>14.89</v>
      </c>
      <c r="CW618">
        <v>0</v>
      </c>
      <c r="CX618" t="s">
        <v>2587</v>
      </c>
      <c r="CY618">
        <v>1.35</v>
      </c>
      <c r="CZ618">
        <v>0</v>
      </c>
      <c r="DA618">
        <v>0.24</v>
      </c>
      <c r="DB618">
        <v>0.06</v>
      </c>
      <c r="DC618">
        <v>0.01</v>
      </c>
      <c r="DD618">
        <v>84.71</v>
      </c>
      <c r="DE618" t="s">
        <v>2004</v>
      </c>
      <c r="DF618">
        <v>75.97</v>
      </c>
      <c r="DG618">
        <v>2.94</v>
      </c>
      <c r="DH618">
        <v>1.66</v>
      </c>
      <c r="DI618">
        <v>0.04</v>
      </c>
      <c r="DJ618">
        <v>764</v>
      </c>
      <c r="DK618">
        <v>2198</v>
      </c>
      <c r="DL618" t="s">
        <v>120</v>
      </c>
      <c r="DM618" t="s">
        <v>120</v>
      </c>
      <c r="DN618" t="s">
        <v>120</v>
      </c>
    </row>
    <row r="619" spans="1:118">
      <c r="A619" t="str">
        <f>"002199"</f>
        <v>002199</v>
      </c>
      <c r="B619" t="s">
        <v>3831</v>
      </c>
      <c r="C619">
        <v>-3.11</v>
      </c>
      <c r="D619">
        <v>-0.11</v>
      </c>
      <c r="E619">
        <v>0.12</v>
      </c>
      <c r="F619">
        <v>566</v>
      </c>
      <c r="G619" t="s">
        <v>3832</v>
      </c>
      <c r="H619">
        <v>4625.2299999999996</v>
      </c>
      <c r="I619">
        <v>11.05</v>
      </c>
      <c r="J619" t="s">
        <v>120</v>
      </c>
      <c r="K619" t="s">
        <v>3833</v>
      </c>
      <c r="L619">
        <v>2.31</v>
      </c>
      <c r="M619">
        <v>8.1</v>
      </c>
      <c r="N619">
        <v>0.84</v>
      </c>
      <c r="O619">
        <v>0.84</v>
      </c>
      <c r="P619">
        <v>8.43</v>
      </c>
      <c r="Q619">
        <v>-3.35</v>
      </c>
      <c r="R619">
        <v>8.08</v>
      </c>
      <c r="S619">
        <v>8.3699999999999992</v>
      </c>
      <c r="T619">
        <v>56234</v>
      </c>
      <c r="U619">
        <v>8.11</v>
      </c>
      <c r="V619">
        <v>8.36</v>
      </c>
      <c r="W619">
        <v>46.16</v>
      </c>
      <c r="X619" t="s">
        <v>229</v>
      </c>
      <c r="Y619" t="s">
        <v>585</v>
      </c>
      <c r="Z619">
        <v>4.1900000000000004</v>
      </c>
      <c r="AA619">
        <v>8.23</v>
      </c>
      <c r="AB619">
        <v>32927</v>
      </c>
      <c r="AC619">
        <v>23307</v>
      </c>
      <c r="AD619">
        <v>1.41</v>
      </c>
      <c r="AE619">
        <v>169</v>
      </c>
      <c r="AF619">
        <v>104</v>
      </c>
      <c r="AG619" t="s">
        <v>120</v>
      </c>
      <c r="AH619">
        <v>0.01</v>
      </c>
      <c r="AI619" t="s">
        <v>120</v>
      </c>
      <c r="AJ619">
        <v>2.4300000000000002</v>
      </c>
      <c r="AK619" t="s">
        <v>3833</v>
      </c>
      <c r="AL619">
        <v>-1.2</v>
      </c>
      <c r="AM619">
        <v>1900</v>
      </c>
      <c r="AN619">
        <v>30</v>
      </c>
      <c r="AO619">
        <v>1.1999999999999999E-3</v>
      </c>
      <c r="AP619">
        <v>-1</v>
      </c>
      <c r="AQ619">
        <v>2.83</v>
      </c>
      <c r="AR619">
        <v>-1.69</v>
      </c>
      <c r="AS619">
        <v>4.6500000000000004</v>
      </c>
      <c r="AT619">
        <v>12.65</v>
      </c>
      <c r="AU619">
        <v>16.37</v>
      </c>
      <c r="AV619">
        <v>4</v>
      </c>
      <c r="AW619">
        <v>3.9</v>
      </c>
      <c r="AX619">
        <v>59.24</v>
      </c>
      <c r="AY619">
        <v>75.069999999999993</v>
      </c>
      <c r="AZ619">
        <v>255.18</v>
      </c>
      <c r="BA619">
        <v>0.85</v>
      </c>
      <c r="BB619" t="s">
        <v>143</v>
      </c>
      <c r="BF619">
        <v>-1.61</v>
      </c>
      <c r="BG619">
        <v>-3.23</v>
      </c>
      <c r="BH619">
        <v>-3.91</v>
      </c>
      <c r="BI619">
        <v>0.25</v>
      </c>
      <c r="BJ619">
        <v>20210901</v>
      </c>
      <c r="BK619">
        <v>20071221</v>
      </c>
      <c r="BL619">
        <v>2.4300000000000002</v>
      </c>
      <c r="BM619" t="s">
        <v>120</v>
      </c>
      <c r="BN619" t="s">
        <v>120</v>
      </c>
      <c r="BO619">
        <v>5.73</v>
      </c>
      <c r="BP619">
        <v>8.1</v>
      </c>
      <c r="BQ619">
        <v>4.26</v>
      </c>
      <c r="BR619" t="s">
        <v>120</v>
      </c>
      <c r="BS619">
        <v>25.71</v>
      </c>
      <c r="BT619">
        <v>3.14</v>
      </c>
      <c r="BU619">
        <v>2.0299999999999998</v>
      </c>
      <c r="BV619">
        <v>0.03</v>
      </c>
      <c r="BW619">
        <v>1.28</v>
      </c>
      <c r="BX619">
        <v>1.03</v>
      </c>
      <c r="BY619">
        <v>0.85</v>
      </c>
      <c r="BZ619">
        <v>0.84</v>
      </c>
      <c r="CA619" t="s">
        <v>120</v>
      </c>
      <c r="CB619">
        <v>5.16</v>
      </c>
      <c r="CC619">
        <v>1.57</v>
      </c>
      <c r="CD619">
        <v>1.21</v>
      </c>
      <c r="CE619">
        <v>0.21</v>
      </c>
      <c r="CF619">
        <v>0</v>
      </c>
      <c r="CG619">
        <v>0.21</v>
      </c>
      <c r="CH619">
        <v>0.21</v>
      </c>
      <c r="CI619">
        <v>0.21</v>
      </c>
      <c r="CJ619">
        <v>-0.26</v>
      </c>
      <c r="CK619">
        <v>0.17</v>
      </c>
      <c r="CL619">
        <v>-3.52</v>
      </c>
      <c r="CM619">
        <v>0.25</v>
      </c>
      <c r="CN619">
        <v>0</v>
      </c>
      <c r="CO619">
        <v>19220</v>
      </c>
      <c r="CP619">
        <v>7503</v>
      </c>
      <c r="CQ619" t="s">
        <v>1972</v>
      </c>
      <c r="CR619">
        <v>860.75</v>
      </c>
      <c r="CS619">
        <v>44.06</v>
      </c>
      <c r="CT619">
        <v>4.63</v>
      </c>
      <c r="CU619">
        <v>78.39</v>
      </c>
      <c r="CV619">
        <v>12.6</v>
      </c>
      <c r="CW619">
        <v>0</v>
      </c>
      <c r="CX619" t="s">
        <v>1681</v>
      </c>
      <c r="CY619">
        <v>1.75</v>
      </c>
      <c r="CZ619">
        <v>0</v>
      </c>
      <c r="DA619">
        <v>2.12</v>
      </c>
      <c r="DB619">
        <v>-1.45</v>
      </c>
      <c r="DC619">
        <v>0.1</v>
      </c>
      <c r="DD619">
        <v>74.290000000000006</v>
      </c>
      <c r="DE619" t="s">
        <v>3715</v>
      </c>
      <c r="DF619">
        <v>22.89</v>
      </c>
      <c r="DG619">
        <v>13.66</v>
      </c>
      <c r="DH619">
        <v>13.64</v>
      </c>
      <c r="DI619">
        <v>0.09</v>
      </c>
      <c r="DJ619">
        <v>684</v>
      </c>
      <c r="DK619">
        <v>2199</v>
      </c>
      <c r="DL619" t="s">
        <v>120</v>
      </c>
      <c r="DM619" t="s">
        <v>120</v>
      </c>
      <c r="DN619" t="s">
        <v>120</v>
      </c>
    </row>
    <row r="620" spans="1:118">
      <c r="A620" t="str">
        <f>"002201"</f>
        <v>002201</v>
      </c>
      <c r="B620" t="s">
        <v>3834</v>
      </c>
      <c r="C620">
        <v>-9.99</v>
      </c>
      <c r="D620">
        <v>0</v>
      </c>
      <c r="E620">
        <v>-9.99</v>
      </c>
      <c r="F620">
        <v>122</v>
      </c>
      <c r="G620" t="s">
        <v>3835</v>
      </c>
      <c r="H620">
        <v>28600.66</v>
      </c>
      <c r="I620">
        <v>3729.43</v>
      </c>
      <c r="J620">
        <v>11803.57</v>
      </c>
      <c r="K620" t="s">
        <v>3836</v>
      </c>
      <c r="L620">
        <v>2.4300000000000002</v>
      </c>
      <c r="M620">
        <v>25.31</v>
      </c>
      <c r="N620">
        <v>0.84</v>
      </c>
      <c r="O620">
        <v>-8.4600000000000009</v>
      </c>
      <c r="P620">
        <v>25.74</v>
      </c>
      <c r="Q620">
        <v>-9.99</v>
      </c>
      <c r="R620">
        <v>25.31</v>
      </c>
      <c r="S620">
        <v>25.31</v>
      </c>
      <c r="T620">
        <v>112835</v>
      </c>
      <c r="U620">
        <v>25.31</v>
      </c>
      <c r="V620">
        <v>28.12</v>
      </c>
      <c r="W620">
        <v>228.14</v>
      </c>
      <c r="X620" t="s">
        <v>191</v>
      </c>
      <c r="Y620" t="s">
        <v>319</v>
      </c>
      <c r="Z620">
        <v>1.53</v>
      </c>
      <c r="AA620">
        <v>25.35</v>
      </c>
      <c r="AB620">
        <v>34332</v>
      </c>
      <c r="AC620">
        <v>78503</v>
      </c>
      <c r="AD620">
        <v>0.44</v>
      </c>
      <c r="AE620">
        <v>0</v>
      </c>
      <c r="AF620">
        <v>46636</v>
      </c>
      <c r="AG620" t="s">
        <v>120</v>
      </c>
      <c r="AH620">
        <v>0.61</v>
      </c>
      <c r="AI620">
        <v>0.41</v>
      </c>
      <c r="AJ620">
        <v>4.6399999999999997</v>
      </c>
      <c r="AK620" t="s">
        <v>3837</v>
      </c>
      <c r="AL620">
        <v>-8.08</v>
      </c>
      <c r="AM620">
        <v>2037</v>
      </c>
      <c r="AN620">
        <v>55</v>
      </c>
      <c r="AO620">
        <v>1.1999999999999999E-3</v>
      </c>
      <c r="AP620">
        <v>-1</v>
      </c>
      <c r="AQ620">
        <v>0.21</v>
      </c>
      <c r="AR620">
        <v>-8.8699999999999992</v>
      </c>
      <c r="AS620">
        <v>-4.49</v>
      </c>
      <c r="AT620">
        <v>58.09</v>
      </c>
      <c r="AU620">
        <v>191.43</v>
      </c>
      <c r="AV620">
        <v>13</v>
      </c>
      <c r="AW620">
        <v>4.6399999999999997</v>
      </c>
      <c r="AX620">
        <v>52.27</v>
      </c>
      <c r="AY620">
        <v>257.39999999999998</v>
      </c>
      <c r="AZ620">
        <v>379.22</v>
      </c>
      <c r="BA620">
        <v>0</v>
      </c>
      <c r="BB620" t="s">
        <v>143</v>
      </c>
      <c r="BF620">
        <v>-9.86</v>
      </c>
      <c r="BG620">
        <v>0</v>
      </c>
      <c r="BH620">
        <v>-1.67</v>
      </c>
      <c r="BI620">
        <v>0</v>
      </c>
      <c r="BJ620">
        <v>20210830</v>
      </c>
      <c r="BK620">
        <v>20071226</v>
      </c>
      <c r="BL620">
        <v>4.6500000000000004</v>
      </c>
      <c r="BM620" t="s">
        <v>120</v>
      </c>
      <c r="BN620" t="s">
        <v>120</v>
      </c>
      <c r="BO620">
        <v>23.36</v>
      </c>
      <c r="BP620" t="s">
        <v>120</v>
      </c>
      <c r="BQ620">
        <v>9.99</v>
      </c>
      <c r="BR620" t="s">
        <v>120</v>
      </c>
      <c r="BS620">
        <v>57.25</v>
      </c>
      <c r="BT620">
        <v>8.82</v>
      </c>
      <c r="BU620">
        <v>11.14</v>
      </c>
      <c r="BV620">
        <v>0.75</v>
      </c>
      <c r="BW620">
        <v>11.39</v>
      </c>
      <c r="BX620">
        <v>1.7</v>
      </c>
      <c r="BY620">
        <v>2.76</v>
      </c>
      <c r="BZ620">
        <v>2.71</v>
      </c>
      <c r="CA620">
        <v>0</v>
      </c>
      <c r="CB620">
        <v>2.36</v>
      </c>
      <c r="CC620">
        <v>6.68</v>
      </c>
      <c r="CD620">
        <v>4.93</v>
      </c>
      <c r="CE620">
        <v>0.26</v>
      </c>
      <c r="CF620">
        <v>0.02</v>
      </c>
      <c r="CG620">
        <v>0.3</v>
      </c>
      <c r="CH620">
        <v>0.26</v>
      </c>
      <c r="CI620">
        <v>0.26</v>
      </c>
      <c r="CJ620">
        <v>-2.81</v>
      </c>
      <c r="CK620">
        <v>0.22</v>
      </c>
      <c r="CL620">
        <v>2.48</v>
      </c>
      <c r="CM620">
        <v>0.44</v>
      </c>
      <c r="CN620">
        <v>-0.98</v>
      </c>
      <c r="CO620">
        <v>34739</v>
      </c>
      <c r="CP620">
        <v>7004</v>
      </c>
      <c r="CQ620" t="s">
        <v>3838</v>
      </c>
      <c r="CR620">
        <v>172.26</v>
      </c>
      <c r="CS620">
        <v>38.630000000000003</v>
      </c>
      <c r="CT620">
        <v>11.8</v>
      </c>
      <c r="CU620">
        <v>269.08</v>
      </c>
      <c r="CV620">
        <v>17.63</v>
      </c>
      <c r="CW620">
        <v>0.03</v>
      </c>
      <c r="CX620" t="s">
        <v>1958</v>
      </c>
      <c r="CY620">
        <v>2.15</v>
      </c>
      <c r="CZ620">
        <v>0</v>
      </c>
      <c r="DA620">
        <v>0.51</v>
      </c>
      <c r="DB620">
        <v>0.53</v>
      </c>
      <c r="DC620">
        <v>0.09</v>
      </c>
      <c r="DD620">
        <v>42.75</v>
      </c>
      <c r="DE620" t="s">
        <v>3839</v>
      </c>
      <c r="DF620">
        <v>26.26</v>
      </c>
      <c r="DG620">
        <v>3.83</v>
      </c>
      <c r="DH620">
        <v>3.86</v>
      </c>
      <c r="DI620">
        <v>0.3</v>
      </c>
      <c r="DJ620">
        <v>2278</v>
      </c>
      <c r="DK620">
        <v>2201</v>
      </c>
      <c r="DL620" t="s">
        <v>120</v>
      </c>
      <c r="DM620" t="s">
        <v>120</v>
      </c>
      <c r="DN620" t="s">
        <v>120</v>
      </c>
    </row>
    <row r="621" spans="1:118">
      <c r="A621" t="str">
        <f>"002202"</f>
        <v>002202</v>
      </c>
      <c r="B621" t="s">
        <v>3840</v>
      </c>
      <c r="C621">
        <v>-3.54</v>
      </c>
      <c r="D621">
        <v>-0.48</v>
      </c>
      <c r="E621">
        <v>0.53</v>
      </c>
      <c r="F621">
        <v>44780</v>
      </c>
      <c r="G621" t="s">
        <v>3841</v>
      </c>
      <c r="H621">
        <v>584508.81000000006</v>
      </c>
      <c r="I621">
        <v>11390.5</v>
      </c>
      <c r="J621" t="s">
        <v>120</v>
      </c>
      <c r="K621" t="s">
        <v>3842</v>
      </c>
      <c r="L621">
        <v>9.23</v>
      </c>
      <c r="M621">
        <v>18.23</v>
      </c>
      <c r="N621">
        <v>1.4</v>
      </c>
      <c r="O621">
        <v>1.8</v>
      </c>
      <c r="P621">
        <v>19.239999999999998</v>
      </c>
      <c r="Q621">
        <v>-4.76</v>
      </c>
      <c r="R621">
        <v>18</v>
      </c>
      <c r="S621">
        <v>19</v>
      </c>
      <c r="T621">
        <v>3132998</v>
      </c>
      <c r="U621">
        <v>18.239999999999998</v>
      </c>
      <c r="V621">
        <v>18.899999999999999</v>
      </c>
      <c r="W621">
        <v>20.83</v>
      </c>
      <c r="X621" t="s">
        <v>394</v>
      </c>
      <c r="Y621" t="s">
        <v>609</v>
      </c>
      <c r="Z621">
        <v>6.56</v>
      </c>
      <c r="AA621">
        <v>18.66</v>
      </c>
      <c r="AB621">
        <v>1549487</v>
      </c>
      <c r="AC621">
        <v>1583511</v>
      </c>
      <c r="AD621">
        <v>0.98</v>
      </c>
      <c r="AE621">
        <v>1595</v>
      </c>
      <c r="AF621">
        <v>20</v>
      </c>
      <c r="AG621" t="s">
        <v>120</v>
      </c>
      <c r="AH621">
        <v>0.32</v>
      </c>
      <c r="AI621" t="s">
        <v>120</v>
      </c>
      <c r="AJ621">
        <v>33.94</v>
      </c>
      <c r="AK621" t="s">
        <v>3843</v>
      </c>
      <c r="AL621">
        <v>-1.63</v>
      </c>
      <c r="AM621">
        <v>4742</v>
      </c>
      <c r="AN621">
        <v>661</v>
      </c>
      <c r="AO621">
        <v>1.9E-3</v>
      </c>
      <c r="AP621">
        <v>-1</v>
      </c>
      <c r="AQ621">
        <v>10.01</v>
      </c>
      <c r="AR621">
        <v>8.19</v>
      </c>
      <c r="AS621">
        <v>40.450000000000003</v>
      </c>
      <c r="AT621">
        <v>50.29</v>
      </c>
      <c r="AU621">
        <v>30.21</v>
      </c>
      <c r="AV621">
        <v>6</v>
      </c>
      <c r="AW621">
        <v>16.79</v>
      </c>
      <c r="AX621">
        <v>54.07</v>
      </c>
      <c r="AY621">
        <v>22.58</v>
      </c>
      <c r="AZ621">
        <v>26.95</v>
      </c>
      <c r="BA621">
        <v>0.17</v>
      </c>
      <c r="BB621" t="s">
        <v>168</v>
      </c>
      <c r="BF621">
        <v>-1.29</v>
      </c>
      <c r="BG621">
        <v>-4.05</v>
      </c>
      <c r="BH621">
        <v>-5.25</v>
      </c>
      <c r="BI621">
        <v>1.28</v>
      </c>
      <c r="BJ621">
        <v>20210826</v>
      </c>
      <c r="BK621">
        <v>20071226</v>
      </c>
      <c r="BL621">
        <v>42.25</v>
      </c>
      <c r="BM621" t="s">
        <v>120</v>
      </c>
      <c r="BN621">
        <v>7.74</v>
      </c>
      <c r="BO621">
        <v>1116.17</v>
      </c>
      <c r="BP621">
        <v>18.23</v>
      </c>
      <c r="BQ621">
        <v>339.2</v>
      </c>
      <c r="BR621">
        <v>7.92</v>
      </c>
      <c r="BS621">
        <v>68.900000000000006</v>
      </c>
      <c r="BT621">
        <v>439.26</v>
      </c>
      <c r="BU621">
        <v>245.67</v>
      </c>
      <c r="BV621">
        <v>59.96</v>
      </c>
      <c r="BW621">
        <v>459.59</v>
      </c>
      <c r="BX621">
        <v>55.72</v>
      </c>
      <c r="BY621">
        <v>78.41</v>
      </c>
      <c r="BZ621">
        <v>208.49</v>
      </c>
      <c r="CA621">
        <v>0.09</v>
      </c>
      <c r="CB621">
        <v>121.15</v>
      </c>
      <c r="CC621">
        <v>179.04</v>
      </c>
      <c r="CD621">
        <v>128.94999999999999</v>
      </c>
      <c r="CE621">
        <v>23.44</v>
      </c>
      <c r="CF621">
        <v>9.2200000000000006</v>
      </c>
      <c r="CG621">
        <v>23.33</v>
      </c>
      <c r="CH621">
        <v>19</v>
      </c>
      <c r="CI621">
        <v>18.489999999999998</v>
      </c>
      <c r="CJ621">
        <v>-0.67</v>
      </c>
      <c r="CK621">
        <v>17.23</v>
      </c>
      <c r="CL621">
        <v>140.71</v>
      </c>
      <c r="CM621">
        <v>-40.89</v>
      </c>
      <c r="CN621">
        <v>-26.7</v>
      </c>
      <c r="CO621">
        <v>228542</v>
      </c>
      <c r="CP621">
        <v>8166</v>
      </c>
      <c r="CQ621" t="s">
        <v>3844</v>
      </c>
      <c r="CR621">
        <v>45</v>
      </c>
      <c r="CS621">
        <v>-7.83</v>
      </c>
      <c r="CT621">
        <v>2.41</v>
      </c>
      <c r="CU621">
        <v>-18.84</v>
      </c>
      <c r="CV621">
        <v>4.3</v>
      </c>
      <c r="CW621">
        <v>1.32</v>
      </c>
      <c r="CX621" t="s">
        <v>803</v>
      </c>
      <c r="CY621">
        <v>7.56</v>
      </c>
      <c r="CZ621">
        <v>7.56</v>
      </c>
      <c r="DA621">
        <v>2.87</v>
      </c>
      <c r="DB621">
        <v>3.33</v>
      </c>
      <c r="DC621">
        <v>-0.97</v>
      </c>
      <c r="DD621">
        <v>30.39</v>
      </c>
      <c r="DE621" t="s">
        <v>3549</v>
      </c>
      <c r="DF621">
        <v>27.98</v>
      </c>
      <c r="DG621">
        <v>13.09</v>
      </c>
      <c r="DH621">
        <v>10.32</v>
      </c>
      <c r="DI621">
        <v>5.13</v>
      </c>
      <c r="DJ621">
        <v>8956</v>
      </c>
      <c r="DK621">
        <v>2202</v>
      </c>
      <c r="DL621">
        <v>20210906</v>
      </c>
      <c r="DM621">
        <v>17.149999999999999</v>
      </c>
      <c r="DN621">
        <v>6.3</v>
      </c>
    </row>
    <row r="622" spans="1:118">
      <c r="A622" t="str">
        <f>"002203"</f>
        <v>002203</v>
      </c>
      <c r="B622" t="s">
        <v>3845</v>
      </c>
      <c r="C622">
        <v>1.65</v>
      </c>
      <c r="D622">
        <v>-0.55000000000000004</v>
      </c>
      <c r="E622">
        <v>0.5</v>
      </c>
      <c r="F622">
        <v>3975</v>
      </c>
      <c r="G622" t="s">
        <v>3790</v>
      </c>
      <c r="H622">
        <v>30360.9</v>
      </c>
      <c r="I622">
        <v>46.89</v>
      </c>
      <c r="J622" t="s">
        <v>120</v>
      </c>
      <c r="K622" t="s">
        <v>3846</v>
      </c>
      <c r="L622">
        <v>1.31</v>
      </c>
      <c r="M622">
        <v>12.32</v>
      </c>
      <c r="N622">
        <v>1.1200000000000001</v>
      </c>
      <c r="O622">
        <v>5.2</v>
      </c>
      <c r="P622">
        <v>12.75</v>
      </c>
      <c r="Q622">
        <v>0.5</v>
      </c>
      <c r="R622">
        <v>12.18</v>
      </c>
      <c r="S622">
        <v>12.18</v>
      </c>
      <c r="T622">
        <v>243730</v>
      </c>
      <c r="U622">
        <v>12.35</v>
      </c>
      <c r="V622">
        <v>12.12</v>
      </c>
      <c r="W622">
        <v>19.48</v>
      </c>
      <c r="X622" t="s">
        <v>1398</v>
      </c>
      <c r="Y622" t="s">
        <v>585</v>
      </c>
      <c r="Z622">
        <v>4.7</v>
      </c>
      <c r="AA622">
        <v>12.46</v>
      </c>
      <c r="AB622">
        <v>113239</v>
      </c>
      <c r="AC622">
        <v>130491</v>
      </c>
      <c r="AD622">
        <v>0.87</v>
      </c>
      <c r="AE622">
        <v>621</v>
      </c>
      <c r="AF622">
        <v>10</v>
      </c>
      <c r="AG622" t="s">
        <v>120</v>
      </c>
      <c r="AH622">
        <v>0</v>
      </c>
      <c r="AI622" t="s">
        <v>120</v>
      </c>
      <c r="AJ622">
        <v>18.62</v>
      </c>
      <c r="AK622" t="s">
        <v>3847</v>
      </c>
      <c r="AL622">
        <v>3.56</v>
      </c>
      <c r="AM622">
        <v>3766</v>
      </c>
      <c r="AN622">
        <v>65</v>
      </c>
      <c r="AO622">
        <v>2.9999999999999997E-4</v>
      </c>
      <c r="AP622">
        <v>2</v>
      </c>
      <c r="AQ622">
        <v>0.75</v>
      </c>
      <c r="AR622">
        <v>-1.36</v>
      </c>
      <c r="AS622">
        <v>11.3</v>
      </c>
      <c r="AT622">
        <v>18.57</v>
      </c>
      <c r="AU622">
        <v>68.42</v>
      </c>
      <c r="AV622">
        <v>0</v>
      </c>
      <c r="AW622">
        <v>3.13</v>
      </c>
      <c r="AX622">
        <v>39.57</v>
      </c>
      <c r="AY622">
        <v>25.46</v>
      </c>
      <c r="AZ622">
        <v>35.17</v>
      </c>
      <c r="BA622">
        <v>0.28000000000000003</v>
      </c>
      <c r="BB622" t="s">
        <v>143</v>
      </c>
      <c r="BF622">
        <v>2.78</v>
      </c>
      <c r="BG622">
        <v>1.1499999999999999</v>
      </c>
      <c r="BH622">
        <v>-3.37</v>
      </c>
      <c r="BI622">
        <v>1.1499999999999999</v>
      </c>
      <c r="BJ622">
        <v>20210831</v>
      </c>
      <c r="BK622">
        <v>20080116</v>
      </c>
      <c r="BL622">
        <v>19.670000000000002</v>
      </c>
      <c r="BM622" t="s">
        <v>120</v>
      </c>
      <c r="BN622" t="s">
        <v>120</v>
      </c>
      <c r="BO622">
        <v>304.01</v>
      </c>
      <c r="BP622">
        <v>12.32</v>
      </c>
      <c r="BQ622">
        <v>103.38</v>
      </c>
      <c r="BR622">
        <v>3.74</v>
      </c>
      <c r="BS622">
        <v>64.760000000000005</v>
      </c>
      <c r="BT622">
        <v>205.2</v>
      </c>
      <c r="BU622">
        <v>28.58</v>
      </c>
      <c r="BV622">
        <v>7.37</v>
      </c>
      <c r="BW622">
        <v>153.36000000000001</v>
      </c>
      <c r="BX622">
        <v>47.03</v>
      </c>
      <c r="BY622">
        <v>58.59</v>
      </c>
      <c r="BZ622">
        <v>56.64</v>
      </c>
      <c r="CA622" t="s">
        <v>120</v>
      </c>
      <c r="CB622">
        <v>24.74</v>
      </c>
      <c r="CC622">
        <v>331.05</v>
      </c>
      <c r="CD622">
        <v>318.10000000000002</v>
      </c>
      <c r="CE622">
        <v>7.23</v>
      </c>
      <c r="CF622">
        <v>1.24</v>
      </c>
      <c r="CG622">
        <v>7.75</v>
      </c>
      <c r="CH622">
        <v>6.33</v>
      </c>
      <c r="CI622">
        <v>6.22</v>
      </c>
      <c r="CJ622">
        <v>0.2</v>
      </c>
      <c r="CK622">
        <v>4.74</v>
      </c>
      <c r="CL622">
        <v>55.06</v>
      </c>
      <c r="CM622">
        <v>-23.61</v>
      </c>
      <c r="CN622">
        <v>1.65</v>
      </c>
      <c r="CO622">
        <v>18791</v>
      </c>
      <c r="CP622">
        <v>41419</v>
      </c>
      <c r="CQ622" t="s">
        <v>3848</v>
      </c>
      <c r="CR622">
        <v>71.099999999999994</v>
      </c>
      <c r="CS622">
        <v>41.79</v>
      </c>
      <c r="CT622">
        <v>2.5</v>
      </c>
      <c r="CU622">
        <v>-10.26</v>
      </c>
      <c r="CV622">
        <v>0.73</v>
      </c>
      <c r="CW622">
        <v>0.61</v>
      </c>
      <c r="CX622" t="s">
        <v>966</v>
      </c>
      <c r="CY622">
        <v>4.93</v>
      </c>
      <c r="CZ622">
        <v>4.93</v>
      </c>
      <c r="DA622">
        <v>1.26</v>
      </c>
      <c r="DB622">
        <v>2.8</v>
      </c>
      <c r="DC622">
        <v>-1.2</v>
      </c>
      <c r="DD622">
        <v>34.01</v>
      </c>
      <c r="DE622" t="s">
        <v>3849</v>
      </c>
      <c r="DF622">
        <v>3.91</v>
      </c>
      <c r="DG622">
        <v>2.1800000000000002</v>
      </c>
      <c r="DH622">
        <v>1.88</v>
      </c>
      <c r="DI622">
        <v>0.96</v>
      </c>
      <c r="DJ622">
        <v>8012</v>
      </c>
      <c r="DK622">
        <v>2203</v>
      </c>
      <c r="DL622" t="s">
        <v>120</v>
      </c>
      <c r="DM622" t="s">
        <v>120</v>
      </c>
      <c r="DN622" t="s">
        <v>120</v>
      </c>
    </row>
    <row r="623" spans="1:118">
      <c r="A623" t="str">
        <f>"002204"</f>
        <v>002204</v>
      </c>
      <c r="B623" t="s">
        <v>3850</v>
      </c>
      <c r="C623">
        <v>-3.22</v>
      </c>
      <c r="D623">
        <v>-0.23</v>
      </c>
      <c r="E623">
        <v>-0.46</v>
      </c>
      <c r="F623">
        <v>4222</v>
      </c>
      <c r="G623" t="s">
        <v>3851</v>
      </c>
      <c r="H623">
        <v>8038.15</v>
      </c>
      <c r="I623">
        <v>15.72</v>
      </c>
      <c r="J623" t="s">
        <v>120</v>
      </c>
      <c r="K623" t="s">
        <v>3852</v>
      </c>
      <c r="L623">
        <v>0.97</v>
      </c>
      <c r="M623">
        <v>4.21</v>
      </c>
      <c r="N623">
        <v>0.77</v>
      </c>
      <c r="O623">
        <v>0.69</v>
      </c>
      <c r="P623">
        <v>4.38</v>
      </c>
      <c r="Q623">
        <v>-3.22</v>
      </c>
      <c r="R623">
        <v>4.21</v>
      </c>
      <c r="S623">
        <v>4.33</v>
      </c>
      <c r="T623">
        <v>187524</v>
      </c>
      <c r="U623">
        <v>4.22</v>
      </c>
      <c r="V623">
        <v>4.3499999999999996</v>
      </c>
      <c r="W623">
        <v>69.67</v>
      </c>
      <c r="X623" t="s">
        <v>675</v>
      </c>
      <c r="Y623" t="s">
        <v>432</v>
      </c>
      <c r="Z623">
        <v>3.91</v>
      </c>
      <c r="AA623">
        <v>4.29</v>
      </c>
      <c r="AB623">
        <v>115604</v>
      </c>
      <c r="AC623">
        <v>71920</v>
      </c>
      <c r="AD623">
        <v>1.61</v>
      </c>
      <c r="AE623">
        <v>3461</v>
      </c>
      <c r="AF623">
        <v>6753</v>
      </c>
      <c r="AG623" t="s">
        <v>120</v>
      </c>
      <c r="AH623">
        <v>0</v>
      </c>
      <c r="AI623" t="s">
        <v>120</v>
      </c>
      <c r="AJ623">
        <v>19.309999999999999</v>
      </c>
      <c r="AK623" t="s">
        <v>3852</v>
      </c>
      <c r="AL623">
        <v>-1.3</v>
      </c>
      <c r="AM623">
        <v>2443</v>
      </c>
      <c r="AN623">
        <v>77</v>
      </c>
      <c r="AO623">
        <v>4.0000000000000002E-4</v>
      </c>
      <c r="AP623">
        <v>-1</v>
      </c>
      <c r="AQ623">
        <v>2.35</v>
      </c>
      <c r="AR623">
        <v>-2.78</v>
      </c>
      <c r="AS623">
        <v>7.67</v>
      </c>
      <c r="AT623">
        <v>17.600000000000001</v>
      </c>
      <c r="AU623">
        <v>5.65</v>
      </c>
      <c r="AV623">
        <v>1</v>
      </c>
      <c r="AW623">
        <v>2.57</v>
      </c>
      <c r="AX623">
        <v>37.82</v>
      </c>
      <c r="AY623">
        <v>81.209999999999994</v>
      </c>
      <c r="AZ623">
        <v>141.56</v>
      </c>
      <c r="BA623">
        <v>0.16</v>
      </c>
      <c r="BB623" t="s">
        <v>184</v>
      </c>
      <c r="BF623">
        <v>-1.46</v>
      </c>
      <c r="BG623">
        <v>-2.77</v>
      </c>
      <c r="BH623">
        <v>-3.88</v>
      </c>
      <c r="BI623">
        <v>0</v>
      </c>
      <c r="BJ623">
        <v>20210826</v>
      </c>
      <c r="BK623">
        <v>20080116</v>
      </c>
      <c r="BL623">
        <v>19.309999999999999</v>
      </c>
      <c r="BM623" t="s">
        <v>120</v>
      </c>
      <c r="BN623" t="s">
        <v>120</v>
      </c>
      <c r="BO623">
        <v>177.6</v>
      </c>
      <c r="BP623">
        <v>4.21</v>
      </c>
      <c r="BQ623">
        <v>65.92</v>
      </c>
      <c r="BR623">
        <v>-0.76</v>
      </c>
      <c r="BS623">
        <v>63.31</v>
      </c>
      <c r="BT623">
        <v>140.74</v>
      </c>
      <c r="BU623">
        <v>22.2</v>
      </c>
      <c r="BV623">
        <v>4.07</v>
      </c>
      <c r="BW623">
        <v>106.94</v>
      </c>
      <c r="BX623">
        <v>23.51</v>
      </c>
      <c r="BY623">
        <v>40.39</v>
      </c>
      <c r="BZ623">
        <v>31.98</v>
      </c>
      <c r="CA623" t="s">
        <v>120</v>
      </c>
      <c r="CB623">
        <v>24.21</v>
      </c>
      <c r="CC623">
        <v>41.61</v>
      </c>
      <c r="CD623">
        <v>32.89</v>
      </c>
      <c r="CE623">
        <v>0.93</v>
      </c>
      <c r="CF623">
        <v>0.02</v>
      </c>
      <c r="CG623">
        <v>0.84</v>
      </c>
      <c r="CH623">
        <v>0.51</v>
      </c>
      <c r="CI623">
        <v>0.57999999999999996</v>
      </c>
      <c r="CJ623">
        <v>-0.14000000000000001</v>
      </c>
      <c r="CK623">
        <v>0.27</v>
      </c>
      <c r="CL623">
        <v>19.78</v>
      </c>
      <c r="CM623">
        <v>6.19</v>
      </c>
      <c r="CN623">
        <v>3.61</v>
      </c>
      <c r="CO623">
        <v>54056</v>
      </c>
      <c r="CP623">
        <v>13514</v>
      </c>
      <c r="CQ623" t="s">
        <v>3853</v>
      </c>
      <c r="CR623">
        <v>309.45999999999998</v>
      </c>
      <c r="CS623">
        <v>14.46</v>
      </c>
      <c r="CT623">
        <v>1.23</v>
      </c>
      <c r="CU623">
        <v>13.13</v>
      </c>
      <c r="CV623">
        <v>1.95</v>
      </c>
      <c r="CW623">
        <v>0.8</v>
      </c>
      <c r="CX623" t="s">
        <v>2074</v>
      </c>
      <c r="CY623">
        <v>3.41</v>
      </c>
      <c r="CZ623">
        <v>0</v>
      </c>
      <c r="DA623">
        <v>1.25</v>
      </c>
      <c r="DB623">
        <v>1.02</v>
      </c>
      <c r="DC623">
        <v>0.32</v>
      </c>
      <c r="DD623">
        <v>37.119999999999997</v>
      </c>
      <c r="DE623" t="s">
        <v>2521</v>
      </c>
      <c r="DF623">
        <v>20.97</v>
      </c>
      <c r="DG623">
        <v>2.23</v>
      </c>
      <c r="DH623">
        <v>1.4</v>
      </c>
      <c r="DI623">
        <v>2.02</v>
      </c>
      <c r="DJ623">
        <v>5422</v>
      </c>
      <c r="DK623">
        <v>2204</v>
      </c>
      <c r="DL623" t="s">
        <v>120</v>
      </c>
      <c r="DM623" t="s">
        <v>120</v>
      </c>
      <c r="DN623" t="s">
        <v>120</v>
      </c>
    </row>
    <row r="624" spans="1:118">
      <c r="A624" t="str">
        <f>"002205"</f>
        <v>002205</v>
      </c>
      <c r="B624" t="s">
        <v>3854</v>
      </c>
      <c r="C624">
        <v>-1.63</v>
      </c>
      <c r="D624">
        <v>0</v>
      </c>
      <c r="E624">
        <v>0.63</v>
      </c>
      <c r="F624">
        <v>203</v>
      </c>
      <c r="G624" t="s">
        <v>3855</v>
      </c>
      <c r="H624">
        <v>2465.7199999999998</v>
      </c>
      <c r="I624">
        <v>9.5</v>
      </c>
      <c r="J624" t="s">
        <v>120</v>
      </c>
      <c r="K624" t="s">
        <v>3856</v>
      </c>
      <c r="L624">
        <v>1.67</v>
      </c>
      <c r="M624">
        <v>7.87</v>
      </c>
      <c r="N624">
        <v>0.65</v>
      </c>
      <c r="O624">
        <v>0.87</v>
      </c>
      <c r="P624">
        <v>8.07</v>
      </c>
      <c r="Q624">
        <v>-2.25</v>
      </c>
      <c r="R624">
        <v>7.82</v>
      </c>
      <c r="S624">
        <v>8.0500000000000007</v>
      </c>
      <c r="T624">
        <v>31051</v>
      </c>
      <c r="U624">
        <v>7.88</v>
      </c>
      <c r="V624">
        <v>8</v>
      </c>
      <c r="W624">
        <v>500.61</v>
      </c>
      <c r="X624" t="s">
        <v>247</v>
      </c>
      <c r="Y624" t="s">
        <v>609</v>
      </c>
      <c r="Z624">
        <v>3.13</v>
      </c>
      <c r="AA624">
        <v>7.94</v>
      </c>
      <c r="AB624">
        <v>16613</v>
      </c>
      <c r="AC624">
        <v>14438</v>
      </c>
      <c r="AD624">
        <v>1.1499999999999999</v>
      </c>
      <c r="AE624">
        <v>1</v>
      </c>
      <c r="AF624">
        <v>98</v>
      </c>
      <c r="AG624" t="s">
        <v>120</v>
      </c>
      <c r="AH624">
        <v>0.01</v>
      </c>
      <c r="AI624" t="s">
        <v>120</v>
      </c>
      <c r="AJ624">
        <v>1.86</v>
      </c>
      <c r="AK624" t="s">
        <v>3856</v>
      </c>
      <c r="AL624">
        <v>0.28999999999999998</v>
      </c>
      <c r="AM624">
        <v>1860</v>
      </c>
      <c r="AN624">
        <v>17</v>
      </c>
      <c r="AO624">
        <v>8.9999999999999998E-4</v>
      </c>
      <c r="AP624">
        <v>-1</v>
      </c>
      <c r="AQ624">
        <v>1.52</v>
      </c>
      <c r="AR624">
        <v>-1.38</v>
      </c>
      <c r="AS624">
        <v>6.93</v>
      </c>
      <c r="AT624">
        <v>7.66</v>
      </c>
      <c r="AU624">
        <v>6.21</v>
      </c>
      <c r="AV624">
        <v>2</v>
      </c>
      <c r="AW624">
        <v>2.39</v>
      </c>
      <c r="AX624">
        <v>69.790000000000006</v>
      </c>
      <c r="AY624">
        <v>31.71</v>
      </c>
      <c r="AZ624">
        <v>90.43</v>
      </c>
      <c r="BA624">
        <v>0.5</v>
      </c>
      <c r="BB624" t="s">
        <v>184</v>
      </c>
      <c r="BF624">
        <v>-0.74</v>
      </c>
      <c r="BG624">
        <v>-2.2400000000000002</v>
      </c>
      <c r="BH624">
        <v>-2.48</v>
      </c>
      <c r="BI624">
        <v>0.64</v>
      </c>
      <c r="BJ624">
        <v>20210907</v>
      </c>
      <c r="BK624">
        <v>20080123</v>
      </c>
      <c r="BL624">
        <v>1.86</v>
      </c>
      <c r="BM624" t="s">
        <v>120</v>
      </c>
      <c r="BN624" t="s">
        <v>120</v>
      </c>
      <c r="BO624">
        <v>38.18</v>
      </c>
      <c r="BP624">
        <v>7.87</v>
      </c>
      <c r="BQ624">
        <v>8.6300000000000008</v>
      </c>
      <c r="BR624">
        <v>1.76</v>
      </c>
      <c r="BS624">
        <v>72.8</v>
      </c>
      <c r="BT624">
        <v>9.69</v>
      </c>
      <c r="BU624">
        <v>5.28</v>
      </c>
      <c r="BV624">
        <v>2.04</v>
      </c>
      <c r="BW624">
        <v>16.71</v>
      </c>
      <c r="BX624">
        <v>0.92</v>
      </c>
      <c r="BY624">
        <v>2.79</v>
      </c>
      <c r="BZ624">
        <v>3.94</v>
      </c>
      <c r="CA624" t="s">
        <v>120</v>
      </c>
      <c r="CB624">
        <v>4.53</v>
      </c>
      <c r="CC624">
        <v>2.66</v>
      </c>
      <c r="CD624">
        <v>2.19</v>
      </c>
      <c r="CE624">
        <v>-0.01</v>
      </c>
      <c r="CF624">
        <v>0</v>
      </c>
      <c r="CG624">
        <v>0.04</v>
      </c>
      <c r="CH624">
        <v>0.04</v>
      </c>
      <c r="CI624">
        <v>0.01</v>
      </c>
      <c r="CJ624">
        <v>-0.13</v>
      </c>
      <c r="CK624">
        <v>-0.03</v>
      </c>
      <c r="CL624">
        <v>1.93</v>
      </c>
      <c r="CM624">
        <v>-0.27</v>
      </c>
      <c r="CN624">
        <v>-1.43</v>
      </c>
      <c r="CO624">
        <v>18433</v>
      </c>
      <c r="CP624">
        <v>7037</v>
      </c>
      <c r="CQ624" t="s">
        <v>3857</v>
      </c>
      <c r="CR624">
        <v>105.04</v>
      </c>
      <c r="CS624">
        <v>53.56</v>
      </c>
      <c r="CT624">
        <v>1.7</v>
      </c>
      <c r="CU624">
        <v>-54.55</v>
      </c>
      <c r="CV624">
        <v>5.51</v>
      </c>
      <c r="CW624">
        <v>0.12</v>
      </c>
      <c r="CX624" t="s">
        <v>2587</v>
      </c>
      <c r="CY624">
        <v>4.6399999999999997</v>
      </c>
      <c r="CZ624">
        <v>0</v>
      </c>
      <c r="DA624">
        <v>2.4300000000000002</v>
      </c>
      <c r="DB624">
        <v>1.04</v>
      </c>
      <c r="DC624">
        <v>-0.14000000000000001</v>
      </c>
      <c r="DD624">
        <v>22.6</v>
      </c>
      <c r="DE624" t="s">
        <v>2192</v>
      </c>
      <c r="DF624">
        <v>17.54</v>
      </c>
      <c r="DG624">
        <v>-0.41</v>
      </c>
      <c r="DH624">
        <v>0.55000000000000004</v>
      </c>
      <c r="DI624">
        <v>0.06</v>
      </c>
      <c r="DJ624">
        <v>1228</v>
      </c>
      <c r="DK624">
        <v>2205</v>
      </c>
      <c r="DL624" t="s">
        <v>120</v>
      </c>
      <c r="DM624" t="s">
        <v>120</v>
      </c>
      <c r="DN624" t="s">
        <v>120</v>
      </c>
    </row>
    <row r="625" spans="1:118">
      <c r="A625" t="str">
        <f>"002206"</f>
        <v>002206</v>
      </c>
      <c r="B625" t="s">
        <v>3858</v>
      </c>
      <c r="C625">
        <v>-2.54</v>
      </c>
      <c r="D625">
        <v>0</v>
      </c>
      <c r="E625">
        <v>2.23</v>
      </c>
      <c r="F625">
        <v>1838</v>
      </c>
      <c r="G625" t="s">
        <v>3859</v>
      </c>
      <c r="H625">
        <v>24887.98</v>
      </c>
      <c r="I625">
        <v>102.82</v>
      </c>
      <c r="J625" t="s">
        <v>120</v>
      </c>
      <c r="K625" t="s">
        <v>3860</v>
      </c>
      <c r="L625">
        <v>2.66</v>
      </c>
      <c r="M625">
        <v>9.61</v>
      </c>
      <c r="N625">
        <v>0.6</v>
      </c>
      <c r="O625">
        <v>2.23</v>
      </c>
      <c r="P625">
        <v>10.08</v>
      </c>
      <c r="Q625">
        <v>-3.45</v>
      </c>
      <c r="R625">
        <v>9.52</v>
      </c>
      <c r="S625">
        <v>10.08</v>
      </c>
      <c r="T625">
        <v>256573</v>
      </c>
      <c r="U625">
        <v>9.6199999999999992</v>
      </c>
      <c r="V625">
        <v>9.86</v>
      </c>
      <c r="W625">
        <v>20.149999999999999</v>
      </c>
      <c r="X625" t="s">
        <v>623</v>
      </c>
      <c r="Y625" t="s">
        <v>585</v>
      </c>
      <c r="Z625">
        <v>5.68</v>
      </c>
      <c r="AA625">
        <v>9.6999999999999993</v>
      </c>
      <c r="AB625">
        <v>121912</v>
      </c>
      <c r="AC625">
        <v>134661</v>
      </c>
      <c r="AD625">
        <v>0.91</v>
      </c>
      <c r="AE625">
        <v>96</v>
      </c>
      <c r="AF625">
        <v>413</v>
      </c>
      <c r="AG625" t="s">
        <v>120</v>
      </c>
      <c r="AH625">
        <v>0.01</v>
      </c>
      <c r="AI625" t="s">
        <v>120</v>
      </c>
      <c r="AJ625">
        <v>9.6300000000000008</v>
      </c>
      <c r="AK625" t="s">
        <v>3861</v>
      </c>
      <c r="AL625">
        <v>-0.62</v>
      </c>
      <c r="AM625">
        <v>4078</v>
      </c>
      <c r="AN625">
        <v>63</v>
      </c>
      <c r="AO625">
        <v>6.9999999999999999E-4</v>
      </c>
      <c r="AP625">
        <v>-6</v>
      </c>
      <c r="AQ625">
        <v>-0.2</v>
      </c>
      <c r="AR625">
        <v>-9.34</v>
      </c>
      <c r="AS625">
        <v>37.29</v>
      </c>
      <c r="AT625">
        <v>70.39</v>
      </c>
      <c r="AU625">
        <v>159.03</v>
      </c>
      <c r="AV625">
        <v>9</v>
      </c>
      <c r="AW625">
        <v>3.18</v>
      </c>
      <c r="AX625">
        <v>66.010000000000005</v>
      </c>
      <c r="AY625">
        <v>27.3</v>
      </c>
      <c r="AZ625">
        <v>47.93</v>
      </c>
      <c r="BA625">
        <v>0.85</v>
      </c>
      <c r="BB625" t="s">
        <v>143</v>
      </c>
      <c r="BF625">
        <v>-1.62</v>
      </c>
      <c r="BG625">
        <v>-4.66</v>
      </c>
      <c r="BH625">
        <v>-4.66</v>
      </c>
      <c r="BI625">
        <v>0.95</v>
      </c>
      <c r="BJ625">
        <v>20210913</v>
      </c>
      <c r="BK625">
        <v>20080123</v>
      </c>
      <c r="BL625">
        <v>12.23</v>
      </c>
      <c r="BM625" t="s">
        <v>120</v>
      </c>
      <c r="BN625" t="s">
        <v>120</v>
      </c>
      <c r="BO625">
        <v>67.430000000000007</v>
      </c>
      <c r="BP625">
        <v>9.61</v>
      </c>
      <c r="BQ625">
        <v>29.53</v>
      </c>
      <c r="BR625">
        <v>0.02</v>
      </c>
      <c r="BS625">
        <v>56.18</v>
      </c>
      <c r="BT625">
        <v>30.12</v>
      </c>
      <c r="BU625">
        <v>25.86</v>
      </c>
      <c r="BV625">
        <v>2.6</v>
      </c>
      <c r="BW625">
        <v>30.07</v>
      </c>
      <c r="BX625">
        <v>9.9700000000000006</v>
      </c>
      <c r="BY625">
        <v>9.27</v>
      </c>
      <c r="BZ625">
        <v>7.18</v>
      </c>
      <c r="CA625" t="s">
        <v>120</v>
      </c>
      <c r="CB625">
        <v>8.76</v>
      </c>
      <c r="CC625">
        <v>23.77</v>
      </c>
      <c r="CD625">
        <v>18.309999999999999</v>
      </c>
      <c r="CE625">
        <v>3.38</v>
      </c>
      <c r="CF625">
        <v>0.17</v>
      </c>
      <c r="CG625">
        <v>3.38</v>
      </c>
      <c r="CH625">
        <v>2.94</v>
      </c>
      <c r="CI625">
        <v>2.92</v>
      </c>
      <c r="CJ625">
        <v>-0.25</v>
      </c>
      <c r="CK625">
        <v>2.72</v>
      </c>
      <c r="CL625">
        <v>8.49</v>
      </c>
      <c r="CM625">
        <v>1</v>
      </c>
      <c r="CN625">
        <v>2.4700000000000002</v>
      </c>
      <c r="CO625">
        <v>21000</v>
      </c>
      <c r="CP625">
        <v>38442</v>
      </c>
      <c r="CQ625" t="s">
        <v>3862</v>
      </c>
      <c r="CR625">
        <v>187.59</v>
      </c>
      <c r="CS625">
        <v>48.04</v>
      </c>
      <c r="CT625">
        <v>3.98</v>
      </c>
      <c r="CU625">
        <v>118.03</v>
      </c>
      <c r="CV625">
        <v>4.9400000000000004</v>
      </c>
      <c r="CW625">
        <v>1.92</v>
      </c>
      <c r="CX625" t="s">
        <v>863</v>
      </c>
      <c r="CY625">
        <v>2.41</v>
      </c>
      <c r="CZ625">
        <v>0</v>
      </c>
      <c r="DA625">
        <v>0.72</v>
      </c>
      <c r="DB625">
        <v>0.69</v>
      </c>
      <c r="DC625">
        <v>0.08</v>
      </c>
      <c r="DD625">
        <v>43.79</v>
      </c>
      <c r="DE625" t="s">
        <v>3863</v>
      </c>
      <c r="DF625">
        <v>23</v>
      </c>
      <c r="DG625">
        <v>14.2</v>
      </c>
      <c r="DH625">
        <v>12.26</v>
      </c>
      <c r="DI625">
        <v>0.85</v>
      </c>
      <c r="DJ625">
        <v>2838</v>
      </c>
      <c r="DK625">
        <v>2206</v>
      </c>
      <c r="DL625">
        <v>20210831</v>
      </c>
      <c r="DM625">
        <v>8.6999999999999993</v>
      </c>
      <c r="DN625">
        <v>10.46</v>
      </c>
    </row>
    <row r="626" spans="1:118">
      <c r="A626" t="str">
        <f>"002207"</f>
        <v>002207</v>
      </c>
      <c r="B626" t="s">
        <v>3864</v>
      </c>
      <c r="C626">
        <v>-4.97</v>
      </c>
      <c r="D626">
        <v>-0.45</v>
      </c>
      <c r="E626">
        <v>0.28999999999999998</v>
      </c>
      <c r="F626">
        <v>2933</v>
      </c>
      <c r="G626" t="s">
        <v>3865</v>
      </c>
      <c r="H626">
        <v>9219.99</v>
      </c>
      <c r="I626">
        <v>94.05</v>
      </c>
      <c r="J626" t="s">
        <v>120</v>
      </c>
      <c r="K626" t="s">
        <v>3866</v>
      </c>
      <c r="L626">
        <v>5.79</v>
      </c>
      <c r="M626">
        <v>6.5</v>
      </c>
      <c r="N626">
        <v>0.83</v>
      </c>
      <c r="O626">
        <v>2.34</v>
      </c>
      <c r="P626">
        <v>7</v>
      </c>
      <c r="Q626">
        <v>-4.97</v>
      </c>
      <c r="R626">
        <v>6.5</v>
      </c>
      <c r="S626">
        <v>6.86</v>
      </c>
      <c r="T626">
        <v>137627</v>
      </c>
      <c r="U626">
        <v>6.5</v>
      </c>
      <c r="V626">
        <v>6.84</v>
      </c>
      <c r="W626" t="s">
        <v>120</v>
      </c>
      <c r="X626" t="s">
        <v>3867</v>
      </c>
      <c r="Y626" t="s">
        <v>609</v>
      </c>
      <c r="Z626">
        <v>7.31</v>
      </c>
      <c r="AA626">
        <v>6.7</v>
      </c>
      <c r="AB626">
        <v>79614</v>
      </c>
      <c r="AC626">
        <v>58013</v>
      </c>
      <c r="AD626">
        <v>1.37</v>
      </c>
      <c r="AE626">
        <v>16</v>
      </c>
      <c r="AF626">
        <v>90</v>
      </c>
      <c r="AG626" t="s">
        <v>120</v>
      </c>
      <c r="AH626">
        <v>0.08</v>
      </c>
      <c r="AI626" t="s">
        <v>120</v>
      </c>
      <c r="AJ626">
        <v>2.38</v>
      </c>
      <c r="AK626" t="s">
        <v>3868</v>
      </c>
      <c r="AL626">
        <v>-3.06</v>
      </c>
      <c r="AM626">
        <v>2734</v>
      </c>
      <c r="AN626">
        <v>50</v>
      </c>
      <c r="AO626">
        <v>2.0999999999999999E-3</v>
      </c>
      <c r="AP626">
        <v>-1</v>
      </c>
      <c r="AQ626">
        <v>2.2400000000000002</v>
      </c>
      <c r="AR626">
        <v>3.01</v>
      </c>
      <c r="AS626">
        <v>17.329999999999998</v>
      </c>
      <c r="AT626">
        <v>3.33</v>
      </c>
      <c r="AU626">
        <v>5.69</v>
      </c>
      <c r="AV626">
        <v>7</v>
      </c>
      <c r="AW626">
        <v>7.56</v>
      </c>
      <c r="AX626">
        <v>69.42</v>
      </c>
      <c r="AY626" t="s">
        <v>120</v>
      </c>
      <c r="AZ626" t="s">
        <v>120</v>
      </c>
      <c r="BA626">
        <v>0</v>
      </c>
      <c r="BB626" t="s">
        <v>168</v>
      </c>
      <c r="BF626">
        <v>-2.06</v>
      </c>
      <c r="BG626">
        <v>-5.25</v>
      </c>
      <c r="BH626">
        <v>-7.14</v>
      </c>
      <c r="BI626">
        <v>0</v>
      </c>
      <c r="BJ626">
        <v>20210901</v>
      </c>
      <c r="BK626">
        <v>20080128</v>
      </c>
      <c r="BL626">
        <v>2.62</v>
      </c>
      <c r="BM626" t="s">
        <v>120</v>
      </c>
      <c r="BN626" t="s">
        <v>120</v>
      </c>
      <c r="BO626">
        <v>3.29</v>
      </c>
      <c r="BP626">
        <v>6.49</v>
      </c>
      <c r="BQ626">
        <v>1.31</v>
      </c>
      <c r="BR626" t="s">
        <v>120</v>
      </c>
      <c r="BS626">
        <v>60.27</v>
      </c>
      <c r="BT626">
        <v>1.55</v>
      </c>
      <c r="BU626">
        <v>1.57</v>
      </c>
      <c r="BV626">
        <v>0.03</v>
      </c>
      <c r="BW626">
        <v>1.48</v>
      </c>
      <c r="BX626">
        <v>0.28999999999999998</v>
      </c>
      <c r="BY626">
        <v>0.01</v>
      </c>
      <c r="BZ626">
        <v>0.42</v>
      </c>
      <c r="CA626" t="s">
        <v>120</v>
      </c>
      <c r="CB626">
        <v>2.96</v>
      </c>
      <c r="CC626">
        <v>0.75</v>
      </c>
      <c r="CD626">
        <v>0.92</v>
      </c>
      <c r="CE626">
        <v>-0.16</v>
      </c>
      <c r="CF626">
        <v>0</v>
      </c>
      <c r="CG626">
        <v>-0.17</v>
      </c>
      <c r="CH626">
        <v>-0.17</v>
      </c>
      <c r="CI626">
        <v>-0.17</v>
      </c>
      <c r="CJ626">
        <v>-0.34</v>
      </c>
      <c r="CK626">
        <v>-0.27</v>
      </c>
      <c r="CL626">
        <v>-4.75</v>
      </c>
      <c r="CM626">
        <v>0.17</v>
      </c>
      <c r="CN626">
        <v>0.21</v>
      </c>
      <c r="CO626">
        <v>20056</v>
      </c>
      <c r="CP626">
        <v>9071</v>
      </c>
      <c r="CQ626" t="s">
        <v>3869</v>
      </c>
      <c r="CR626">
        <v>30.39</v>
      </c>
      <c r="CS626">
        <v>-3.25</v>
      </c>
      <c r="CT626">
        <v>13.05</v>
      </c>
      <c r="CU626">
        <v>101.5</v>
      </c>
      <c r="CV626">
        <v>22.84</v>
      </c>
      <c r="CW626">
        <v>0</v>
      </c>
      <c r="CX626" t="s">
        <v>2044</v>
      </c>
      <c r="CY626">
        <v>0.5</v>
      </c>
      <c r="CZ626">
        <v>0</v>
      </c>
      <c r="DA626">
        <v>1.1299999999999999</v>
      </c>
      <c r="DB626">
        <v>-1.81</v>
      </c>
      <c r="DC626">
        <v>0.06</v>
      </c>
      <c r="DD626">
        <v>39.729999999999997</v>
      </c>
      <c r="DE626" t="s">
        <v>3870</v>
      </c>
      <c r="DF626">
        <v>-23.98</v>
      </c>
      <c r="DG626">
        <v>-21.08</v>
      </c>
      <c r="DH626">
        <v>-22.15</v>
      </c>
      <c r="DI626" t="s">
        <v>120</v>
      </c>
      <c r="DJ626">
        <v>791</v>
      </c>
      <c r="DK626">
        <v>2207</v>
      </c>
      <c r="DL626" t="s">
        <v>120</v>
      </c>
      <c r="DM626" t="s">
        <v>120</v>
      </c>
      <c r="DN626" t="s">
        <v>120</v>
      </c>
    </row>
    <row r="627" spans="1:118">
      <c r="A627" t="str">
        <f>"002208"</f>
        <v>002208</v>
      </c>
      <c r="B627" t="s">
        <v>3871</v>
      </c>
      <c r="C627">
        <v>-2.21</v>
      </c>
      <c r="D627">
        <v>0.6</v>
      </c>
      <c r="E627">
        <v>0</v>
      </c>
      <c r="F627">
        <v>2396</v>
      </c>
      <c r="G627" t="s">
        <v>3872</v>
      </c>
      <c r="H627">
        <v>18322.75</v>
      </c>
      <c r="I627">
        <v>35.61</v>
      </c>
      <c r="J627" t="s">
        <v>120</v>
      </c>
      <c r="K627" t="s">
        <v>3873</v>
      </c>
      <c r="L627">
        <v>3.47</v>
      </c>
      <c r="M627">
        <v>8.39</v>
      </c>
      <c r="N627">
        <v>1.04</v>
      </c>
      <c r="O627">
        <v>1.28</v>
      </c>
      <c r="P627">
        <v>8.69</v>
      </c>
      <c r="Q627">
        <v>-3.03</v>
      </c>
      <c r="R627">
        <v>8.32</v>
      </c>
      <c r="S627">
        <v>8.58</v>
      </c>
      <c r="T627">
        <v>215862</v>
      </c>
      <c r="U627">
        <v>8.4</v>
      </c>
      <c r="V627">
        <v>8.58</v>
      </c>
      <c r="W627">
        <v>5.08</v>
      </c>
      <c r="X627" t="s">
        <v>150</v>
      </c>
      <c r="Y627" t="s">
        <v>570</v>
      </c>
      <c r="Z627">
        <v>4.3099999999999996</v>
      </c>
      <c r="AA627">
        <v>8.49</v>
      </c>
      <c r="AB627">
        <v>123548</v>
      </c>
      <c r="AC627">
        <v>92314</v>
      </c>
      <c r="AD627">
        <v>1.34</v>
      </c>
      <c r="AE627">
        <v>34</v>
      </c>
      <c r="AF627">
        <v>4068</v>
      </c>
      <c r="AG627" t="s">
        <v>120</v>
      </c>
      <c r="AH627">
        <v>0.01</v>
      </c>
      <c r="AI627" t="s">
        <v>120</v>
      </c>
      <c r="AJ627">
        <v>6.22</v>
      </c>
      <c r="AK627" t="s">
        <v>3874</v>
      </c>
      <c r="AL627">
        <v>-0.3</v>
      </c>
      <c r="AM627">
        <v>3117</v>
      </c>
      <c r="AN627">
        <v>69</v>
      </c>
      <c r="AO627">
        <v>1.1000000000000001E-3</v>
      </c>
      <c r="AP627">
        <v>-3</v>
      </c>
      <c r="AQ627">
        <v>-0.12</v>
      </c>
      <c r="AR627">
        <v>-5.95</v>
      </c>
      <c r="AS627">
        <v>10.39</v>
      </c>
      <c r="AT627">
        <v>14.93</v>
      </c>
      <c r="AU627">
        <v>2.0699999999999998</v>
      </c>
      <c r="AV627">
        <v>2</v>
      </c>
      <c r="AW627">
        <v>6.63</v>
      </c>
      <c r="AX627">
        <v>40.549999999999997</v>
      </c>
      <c r="AY627">
        <v>6.06</v>
      </c>
      <c r="AZ627">
        <v>8.98</v>
      </c>
      <c r="BA627">
        <v>0.36</v>
      </c>
      <c r="BB627" t="s">
        <v>143</v>
      </c>
      <c r="BF627">
        <v>-1.07</v>
      </c>
      <c r="BG627">
        <v>-2.21</v>
      </c>
      <c r="BH627">
        <v>-3.45</v>
      </c>
      <c r="BI627">
        <v>0.84</v>
      </c>
      <c r="BJ627">
        <v>20210826</v>
      </c>
      <c r="BK627">
        <v>20080128</v>
      </c>
      <c r="BL627">
        <v>8.0299999999999994</v>
      </c>
      <c r="BM627" t="s">
        <v>120</v>
      </c>
      <c r="BN627" t="s">
        <v>120</v>
      </c>
      <c r="BO627">
        <v>194.87</v>
      </c>
      <c r="BP627">
        <v>8.39</v>
      </c>
      <c r="BQ627">
        <v>59.48</v>
      </c>
      <c r="BR627">
        <v>8.44</v>
      </c>
      <c r="BS627">
        <v>65.150000000000006</v>
      </c>
      <c r="BT627">
        <v>180.04</v>
      </c>
      <c r="BU627">
        <v>1.04</v>
      </c>
      <c r="BV627">
        <v>0.03</v>
      </c>
      <c r="BW627">
        <v>106.89</v>
      </c>
      <c r="BX627">
        <v>53.8</v>
      </c>
      <c r="BY627">
        <v>114.62</v>
      </c>
      <c r="BZ627">
        <v>0.72</v>
      </c>
      <c r="CA627">
        <v>0.12</v>
      </c>
      <c r="CB627">
        <v>17.920000000000002</v>
      </c>
      <c r="CC627">
        <v>45.57</v>
      </c>
      <c r="CD627">
        <v>30.62</v>
      </c>
      <c r="CE627">
        <v>8.59</v>
      </c>
      <c r="CF627">
        <v>-0.03</v>
      </c>
      <c r="CG627">
        <v>8.6</v>
      </c>
      <c r="CH627">
        <v>6.76</v>
      </c>
      <c r="CI627">
        <v>6.63</v>
      </c>
      <c r="CJ627">
        <v>-0.19</v>
      </c>
      <c r="CK627">
        <v>6.6</v>
      </c>
      <c r="CL627">
        <v>29.45</v>
      </c>
      <c r="CM627">
        <v>13.47</v>
      </c>
      <c r="CN627">
        <v>20.72</v>
      </c>
      <c r="CO627">
        <v>47864</v>
      </c>
      <c r="CP627">
        <v>6805</v>
      </c>
      <c r="CQ627" t="s">
        <v>542</v>
      </c>
      <c r="CR627">
        <v>126.73</v>
      </c>
      <c r="CS627">
        <v>116.47</v>
      </c>
      <c r="CT627">
        <v>1.1299999999999999</v>
      </c>
      <c r="CU627">
        <v>5</v>
      </c>
      <c r="CV627">
        <v>1.48</v>
      </c>
      <c r="CW627">
        <v>1.17</v>
      </c>
      <c r="CX627" t="s">
        <v>3875</v>
      </c>
      <c r="CY627">
        <v>7.4</v>
      </c>
      <c r="CZ627">
        <v>0</v>
      </c>
      <c r="DA627">
        <v>2.23</v>
      </c>
      <c r="DB627">
        <v>3.67</v>
      </c>
      <c r="DC627">
        <v>1.68</v>
      </c>
      <c r="DD627">
        <v>30.52</v>
      </c>
      <c r="DE627" t="s">
        <v>3876</v>
      </c>
      <c r="DF627">
        <v>32.81</v>
      </c>
      <c r="DG627">
        <v>18.850000000000001</v>
      </c>
      <c r="DH627">
        <v>14.55</v>
      </c>
      <c r="DI627" t="s">
        <v>120</v>
      </c>
      <c r="DJ627">
        <v>452</v>
      </c>
      <c r="DK627">
        <v>2208</v>
      </c>
      <c r="DL627" t="s">
        <v>120</v>
      </c>
      <c r="DM627" t="s">
        <v>120</v>
      </c>
      <c r="DN627" t="s">
        <v>120</v>
      </c>
    </row>
    <row r="628" spans="1:118">
      <c r="A628" t="str">
        <f>"002209"</f>
        <v>002209</v>
      </c>
      <c r="B628" t="s">
        <v>3877</v>
      </c>
      <c r="C628">
        <v>-0.42</v>
      </c>
      <c r="D628">
        <v>0</v>
      </c>
      <c r="E628">
        <v>0.42</v>
      </c>
      <c r="F628">
        <v>316</v>
      </c>
      <c r="G628" t="s">
        <v>3878</v>
      </c>
      <c r="H628">
        <v>2171.89</v>
      </c>
      <c r="I628">
        <v>5.01</v>
      </c>
      <c r="J628" t="s">
        <v>120</v>
      </c>
      <c r="K628" t="s">
        <v>3879</v>
      </c>
      <c r="L628">
        <v>1.96</v>
      </c>
      <c r="M628">
        <v>7.1</v>
      </c>
      <c r="N628">
        <v>1.02</v>
      </c>
      <c r="O628">
        <v>2.81</v>
      </c>
      <c r="P628">
        <v>7.33</v>
      </c>
      <c r="Q628">
        <v>-0.84</v>
      </c>
      <c r="R628">
        <v>7.07</v>
      </c>
      <c r="S628">
        <v>7.16</v>
      </c>
      <c r="T628">
        <v>30290</v>
      </c>
      <c r="U628">
        <v>7.14</v>
      </c>
      <c r="V628">
        <v>7.13</v>
      </c>
      <c r="W628">
        <v>123.01</v>
      </c>
      <c r="X628" t="s">
        <v>348</v>
      </c>
      <c r="Y628" t="s">
        <v>547</v>
      </c>
      <c r="Z628">
        <v>3.65</v>
      </c>
      <c r="AA628">
        <v>7.17</v>
      </c>
      <c r="AB628">
        <v>15625</v>
      </c>
      <c r="AC628">
        <v>14665</v>
      </c>
      <c r="AD628">
        <v>1.07</v>
      </c>
      <c r="AE628">
        <v>12</v>
      </c>
      <c r="AF628">
        <v>40</v>
      </c>
      <c r="AG628" t="s">
        <v>120</v>
      </c>
      <c r="AH628">
        <v>0.01</v>
      </c>
      <c r="AI628" t="s">
        <v>120</v>
      </c>
      <c r="AJ628">
        <v>1.55</v>
      </c>
      <c r="AK628" t="s">
        <v>3880</v>
      </c>
      <c r="AL628">
        <v>1.49</v>
      </c>
      <c r="AM628">
        <v>1260</v>
      </c>
      <c r="AN628">
        <v>24</v>
      </c>
      <c r="AO628">
        <v>1.6000000000000001E-3</v>
      </c>
      <c r="AP628">
        <v>-1</v>
      </c>
      <c r="AQ628">
        <v>2</v>
      </c>
      <c r="AR628">
        <v>-0.98</v>
      </c>
      <c r="AS628">
        <v>0.99</v>
      </c>
      <c r="AT628">
        <v>0.99</v>
      </c>
      <c r="AU628">
        <v>5.49</v>
      </c>
      <c r="AV628">
        <v>1</v>
      </c>
      <c r="AW628">
        <v>2.66</v>
      </c>
      <c r="AX628">
        <v>58.25</v>
      </c>
      <c r="AY628">
        <v>49.66</v>
      </c>
      <c r="AZ628">
        <v>78.14</v>
      </c>
      <c r="BA628">
        <v>0.57999999999999996</v>
      </c>
      <c r="BB628" t="s">
        <v>143</v>
      </c>
      <c r="BF628">
        <v>0.56999999999999995</v>
      </c>
      <c r="BG628">
        <v>-0.84</v>
      </c>
      <c r="BH628">
        <v>-3.14</v>
      </c>
      <c r="BI628">
        <v>0.42</v>
      </c>
      <c r="BJ628">
        <v>20210827</v>
      </c>
      <c r="BK628">
        <v>20080130</v>
      </c>
      <c r="BL628">
        <v>1.95</v>
      </c>
      <c r="BM628" t="s">
        <v>120</v>
      </c>
      <c r="BN628" t="s">
        <v>120</v>
      </c>
      <c r="BO628">
        <v>16.329999999999998</v>
      </c>
      <c r="BP628">
        <v>7.1</v>
      </c>
      <c r="BQ628">
        <v>6.27</v>
      </c>
      <c r="BR628">
        <v>7.0000000000000007E-2</v>
      </c>
      <c r="BS628">
        <v>61.21</v>
      </c>
      <c r="BT628">
        <v>11.95</v>
      </c>
      <c r="BU628">
        <v>3.44</v>
      </c>
      <c r="BV628">
        <v>0.31</v>
      </c>
      <c r="BW628">
        <v>9.43</v>
      </c>
      <c r="BX628">
        <v>2.52</v>
      </c>
      <c r="BY628">
        <v>5.53</v>
      </c>
      <c r="BZ628">
        <v>2.74</v>
      </c>
      <c r="CA628" t="s">
        <v>120</v>
      </c>
      <c r="CB628">
        <v>2.23</v>
      </c>
      <c r="CC628">
        <v>5.24</v>
      </c>
      <c r="CD628">
        <v>4.17</v>
      </c>
      <c r="CE628">
        <v>0.09</v>
      </c>
      <c r="CF628">
        <v>0</v>
      </c>
      <c r="CG628">
        <v>0.09</v>
      </c>
      <c r="CH628">
        <v>0.06</v>
      </c>
      <c r="CI628">
        <v>0.06</v>
      </c>
      <c r="CJ628">
        <v>-0.03</v>
      </c>
      <c r="CK628">
        <v>-0.04</v>
      </c>
      <c r="CL628">
        <v>1.75</v>
      </c>
      <c r="CM628">
        <v>0.65</v>
      </c>
      <c r="CN628">
        <v>-0.22</v>
      </c>
      <c r="CO628">
        <v>13080</v>
      </c>
      <c r="CP628">
        <v>8695</v>
      </c>
      <c r="CQ628" t="s">
        <v>3881</v>
      </c>
      <c r="CR628">
        <v>222.94</v>
      </c>
      <c r="CS628">
        <v>54.71</v>
      </c>
      <c r="CT628">
        <v>2.21</v>
      </c>
      <c r="CU628">
        <v>21.38</v>
      </c>
      <c r="CV628">
        <v>2.65</v>
      </c>
      <c r="CW628">
        <v>0.14000000000000001</v>
      </c>
      <c r="CX628" t="s">
        <v>3882</v>
      </c>
      <c r="CY628">
        <v>3.21</v>
      </c>
      <c r="CZ628">
        <v>0</v>
      </c>
      <c r="DA628">
        <v>1.1399999999999999</v>
      </c>
      <c r="DB628">
        <v>0.9</v>
      </c>
      <c r="DC628">
        <v>0.33</v>
      </c>
      <c r="DD628">
        <v>38.369999999999997</v>
      </c>
      <c r="DE628" t="s">
        <v>3883</v>
      </c>
      <c r="DF628">
        <v>20.399999999999999</v>
      </c>
      <c r="DG628">
        <v>1.7</v>
      </c>
      <c r="DH628">
        <v>1.08</v>
      </c>
      <c r="DI628">
        <v>0.2</v>
      </c>
      <c r="DJ628">
        <v>1294</v>
      </c>
      <c r="DK628">
        <v>2209</v>
      </c>
      <c r="DL628" t="s">
        <v>120</v>
      </c>
      <c r="DM628" t="s">
        <v>120</v>
      </c>
      <c r="DN628" t="s">
        <v>120</v>
      </c>
    </row>
    <row r="629" spans="1:118">
      <c r="A629" t="str">
        <f>"002211"</f>
        <v>002211</v>
      </c>
      <c r="B629" t="s">
        <v>3884</v>
      </c>
      <c r="C629">
        <v>5.62</v>
      </c>
      <c r="D629">
        <v>0</v>
      </c>
      <c r="E629">
        <v>0.4</v>
      </c>
      <c r="F629">
        <v>3945</v>
      </c>
      <c r="G629" t="s">
        <v>3885</v>
      </c>
      <c r="H629">
        <v>30507.46</v>
      </c>
      <c r="I629">
        <v>68.8</v>
      </c>
      <c r="J629" t="s">
        <v>120</v>
      </c>
      <c r="K629" t="s">
        <v>3886</v>
      </c>
      <c r="L629">
        <v>14.58</v>
      </c>
      <c r="M629">
        <v>5.26</v>
      </c>
      <c r="N629">
        <v>1.55</v>
      </c>
      <c r="O629">
        <v>10.039999999999999</v>
      </c>
      <c r="P629">
        <v>5.48</v>
      </c>
      <c r="Q629">
        <v>0.2</v>
      </c>
      <c r="R629">
        <v>4.99</v>
      </c>
      <c r="S629">
        <v>5</v>
      </c>
      <c r="T629">
        <v>579986</v>
      </c>
      <c r="U629">
        <v>5.27</v>
      </c>
      <c r="V629">
        <v>4.9800000000000004</v>
      </c>
      <c r="W629" t="s">
        <v>120</v>
      </c>
      <c r="X629" t="s">
        <v>2306</v>
      </c>
      <c r="Y629" t="s">
        <v>1510</v>
      </c>
      <c r="Z629">
        <v>9.84</v>
      </c>
      <c r="AA629">
        <v>5.26</v>
      </c>
      <c r="AB629">
        <v>275918</v>
      </c>
      <c r="AC629">
        <v>304068</v>
      </c>
      <c r="AD629">
        <v>0.91</v>
      </c>
      <c r="AE629">
        <v>1299</v>
      </c>
      <c r="AF629">
        <v>1004</v>
      </c>
      <c r="AG629" t="s">
        <v>120</v>
      </c>
      <c r="AH629">
        <v>0.06</v>
      </c>
      <c r="AI629" t="s">
        <v>120</v>
      </c>
      <c r="AJ629">
        <v>3.98</v>
      </c>
      <c r="AK629" t="s">
        <v>3887</v>
      </c>
      <c r="AL629">
        <v>7.54</v>
      </c>
      <c r="AM629">
        <v>3542</v>
      </c>
      <c r="AN629">
        <v>164</v>
      </c>
      <c r="AO629">
        <v>4.1000000000000003E-3</v>
      </c>
      <c r="AP629">
        <v>1</v>
      </c>
      <c r="AQ629">
        <v>-0.2</v>
      </c>
      <c r="AR629">
        <v>0.38</v>
      </c>
      <c r="AS629">
        <v>34.18</v>
      </c>
      <c r="AT629">
        <v>3.34</v>
      </c>
      <c r="AU629">
        <v>-11.89</v>
      </c>
      <c r="AV629">
        <v>7</v>
      </c>
      <c r="AW629">
        <v>26.27</v>
      </c>
      <c r="AX629">
        <v>51.05</v>
      </c>
      <c r="AY629" t="s">
        <v>120</v>
      </c>
      <c r="AZ629">
        <v>40.869999999999997</v>
      </c>
      <c r="BA629">
        <v>0.59</v>
      </c>
      <c r="BB629" t="s">
        <v>143</v>
      </c>
      <c r="BF629">
        <v>5.62</v>
      </c>
      <c r="BG629">
        <v>5.2</v>
      </c>
      <c r="BH629">
        <v>-4.01</v>
      </c>
      <c r="BI629">
        <v>5.41</v>
      </c>
      <c r="BJ629">
        <v>20210827</v>
      </c>
      <c r="BK629">
        <v>20080201</v>
      </c>
      <c r="BL629">
        <v>4.32</v>
      </c>
      <c r="BM629" t="s">
        <v>120</v>
      </c>
      <c r="BN629" t="s">
        <v>120</v>
      </c>
      <c r="BO629">
        <v>10.48</v>
      </c>
      <c r="BP629">
        <v>5.26</v>
      </c>
      <c r="BQ629">
        <v>6.61</v>
      </c>
      <c r="BR629" t="s">
        <v>120</v>
      </c>
      <c r="BS629">
        <v>36.880000000000003</v>
      </c>
      <c r="BT629">
        <v>8.2200000000000006</v>
      </c>
      <c r="BU629">
        <v>0.97</v>
      </c>
      <c r="BV629">
        <v>0.22</v>
      </c>
      <c r="BW629">
        <v>3.84</v>
      </c>
      <c r="BX629">
        <v>0.69</v>
      </c>
      <c r="BY629">
        <v>4.24</v>
      </c>
      <c r="BZ629">
        <v>1.66</v>
      </c>
      <c r="CA629" t="s">
        <v>120</v>
      </c>
      <c r="CB629">
        <v>10.27</v>
      </c>
      <c r="CC629">
        <v>2.88</v>
      </c>
      <c r="CD629">
        <v>2.66</v>
      </c>
      <c r="CE629">
        <v>-1.01</v>
      </c>
      <c r="CF629">
        <v>0</v>
      </c>
      <c r="CG629">
        <v>-1.01</v>
      </c>
      <c r="CH629">
        <v>-0.98</v>
      </c>
      <c r="CI629">
        <v>-0.98</v>
      </c>
      <c r="CJ629">
        <v>0.28000000000000003</v>
      </c>
      <c r="CK629">
        <v>-1</v>
      </c>
      <c r="CL629">
        <v>-8.27</v>
      </c>
      <c r="CM629">
        <v>-0.83</v>
      </c>
      <c r="CN629">
        <v>-1.02</v>
      </c>
      <c r="CO629">
        <v>38171</v>
      </c>
      <c r="CP629">
        <v>5784</v>
      </c>
      <c r="CQ629" t="s">
        <v>3888</v>
      </c>
      <c r="CR629">
        <v>-1080.83</v>
      </c>
      <c r="CS629">
        <v>-17.75</v>
      </c>
      <c r="CT629">
        <v>3.44</v>
      </c>
      <c r="CU629">
        <v>-27.34</v>
      </c>
      <c r="CV629">
        <v>7.9</v>
      </c>
      <c r="CW629">
        <v>0</v>
      </c>
      <c r="CX629" t="s">
        <v>3889</v>
      </c>
      <c r="CY629">
        <v>1.53</v>
      </c>
      <c r="CZ629">
        <v>0</v>
      </c>
      <c r="DA629">
        <v>2.38</v>
      </c>
      <c r="DB629">
        <v>-1.91</v>
      </c>
      <c r="DC629">
        <v>-0.19</v>
      </c>
      <c r="DD629">
        <v>63.12</v>
      </c>
      <c r="DE629" t="s">
        <v>3890</v>
      </c>
      <c r="DF629">
        <v>7.54</v>
      </c>
      <c r="DG629">
        <v>-34.979999999999997</v>
      </c>
      <c r="DH629">
        <v>-33.93</v>
      </c>
      <c r="DI629">
        <v>0.15</v>
      </c>
      <c r="DJ629">
        <v>405</v>
      </c>
      <c r="DK629">
        <v>2211</v>
      </c>
      <c r="DL629" t="s">
        <v>120</v>
      </c>
      <c r="DM629" t="s">
        <v>120</v>
      </c>
      <c r="DN629" t="s">
        <v>120</v>
      </c>
    </row>
    <row r="630" spans="1:118">
      <c r="A630" t="str">
        <f>"002212"</f>
        <v>002212</v>
      </c>
      <c r="B630" t="s">
        <v>3891</v>
      </c>
      <c r="C630">
        <v>-2.9</v>
      </c>
      <c r="D630">
        <v>-0.18</v>
      </c>
      <c r="E630">
        <v>-0.12</v>
      </c>
      <c r="F630">
        <v>1952</v>
      </c>
      <c r="G630" t="s">
        <v>3892</v>
      </c>
      <c r="H630">
        <v>10128.219999999999</v>
      </c>
      <c r="I630">
        <v>24.18</v>
      </c>
      <c r="J630" t="s">
        <v>120</v>
      </c>
      <c r="K630" t="s">
        <v>3893</v>
      </c>
      <c r="L630">
        <v>0.54</v>
      </c>
      <c r="M630">
        <v>16.100000000000001</v>
      </c>
      <c r="N630">
        <v>0.82</v>
      </c>
      <c r="O630">
        <v>0.24</v>
      </c>
      <c r="P630">
        <v>16.62</v>
      </c>
      <c r="Q630">
        <v>-3.14</v>
      </c>
      <c r="R630">
        <v>16.059999999999999</v>
      </c>
      <c r="S630">
        <v>16.559999999999999</v>
      </c>
      <c r="T630">
        <v>62225</v>
      </c>
      <c r="U630">
        <v>16.100000000000001</v>
      </c>
      <c r="V630">
        <v>16.579999999999998</v>
      </c>
      <c r="W630" t="s">
        <v>120</v>
      </c>
      <c r="X630" t="s">
        <v>141</v>
      </c>
      <c r="Y630" t="s">
        <v>547</v>
      </c>
      <c r="Z630">
        <v>3.38</v>
      </c>
      <c r="AA630">
        <v>16.28</v>
      </c>
      <c r="AB630">
        <v>37361</v>
      </c>
      <c r="AC630">
        <v>24864</v>
      </c>
      <c r="AD630">
        <v>1.5</v>
      </c>
      <c r="AE630">
        <v>195</v>
      </c>
      <c r="AF630">
        <v>35</v>
      </c>
      <c r="AG630" t="s">
        <v>120</v>
      </c>
      <c r="AH630">
        <v>0</v>
      </c>
      <c r="AI630" t="s">
        <v>120</v>
      </c>
      <c r="AJ630">
        <v>11.54</v>
      </c>
      <c r="AK630" t="s">
        <v>3894</v>
      </c>
      <c r="AL630">
        <v>-0.98</v>
      </c>
      <c r="AM630">
        <v>2383</v>
      </c>
      <c r="AN630">
        <v>26</v>
      </c>
      <c r="AO630">
        <v>2.0000000000000001E-4</v>
      </c>
      <c r="AP630">
        <v>-1</v>
      </c>
      <c r="AQ630">
        <v>1.72</v>
      </c>
      <c r="AR630">
        <v>-2.1800000000000002</v>
      </c>
      <c r="AS630">
        <v>-7.36</v>
      </c>
      <c r="AT630">
        <v>-15.53</v>
      </c>
      <c r="AU630">
        <v>-23.23</v>
      </c>
      <c r="AV630">
        <v>1</v>
      </c>
      <c r="AW630">
        <v>0.64</v>
      </c>
      <c r="AX630">
        <v>81.8</v>
      </c>
      <c r="AY630">
        <v>46.22</v>
      </c>
      <c r="AZ630">
        <v>49.15</v>
      </c>
      <c r="BA630">
        <v>0.43</v>
      </c>
      <c r="BB630" t="s">
        <v>143</v>
      </c>
      <c r="BF630">
        <v>-1.83</v>
      </c>
      <c r="BG630">
        <v>-2.78</v>
      </c>
      <c r="BH630">
        <v>-3.13</v>
      </c>
      <c r="BI630">
        <v>0.25</v>
      </c>
      <c r="BJ630">
        <v>20210914</v>
      </c>
      <c r="BK630">
        <v>20080201</v>
      </c>
      <c r="BL630">
        <v>11.86</v>
      </c>
      <c r="BM630" t="s">
        <v>120</v>
      </c>
      <c r="BN630" t="s">
        <v>120</v>
      </c>
      <c r="BO630">
        <v>103.42</v>
      </c>
      <c r="BP630">
        <v>16.09</v>
      </c>
      <c r="BQ630">
        <v>90.22</v>
      </c>
      <c r="BR630">
        <v>0.05</v>
      </c>
      <c r="BS630">
        <v>12.71</v>
      </c>
      <c r="BT630">
        <v>37</v>
      </c>
      <c r="BU630">
        <v>2.2200000000000002</v>
      </c>
      <c r="BV630">
        <v>4.59</v>
      </c>
      <c r="BW630">
        <v>11.99</v>
      </c>
      <c r="BX630">
        <v>6.56</v>
      </c>
      <c r="BY630">
        <v>5.99</v>
      </c>
      <c r="BZ630">
        <v>8.43</v>
      </c>
      <c r="CA630">
        <v>0.08</v>
      </c>
      <c r="CB630">
        <v>62.83</v>
      </c>
      <c r="CC630">
        <v>7.05</v>
      </c>
      <c r="CD630">
        <v>2.0699999999999998</v>
      </c>
      <c r="CE630">
        <v>-1.95</v>
      </c>
      <c r="CF630">
        <v>0.16</v>
      </c>
      <c r="CG630">
        <v>-2.15</v>
      </c>
      <c r="CH630">
        <v>-1.86</v>
      </c>
      <c r="CI630">
        <v>-1.82</v>
      </c>
      <c r="CJ630">
        <v>-0.48</v>
      </c>
      <c r="CK630">
        <v>-1.83</v>
      </c>
      <c r="CL630">
        <v>22.56</v>
      </c>
      <c r="CM630">
        <v>-4.47</v>
      </c>
      <c r="CN630">
        <v>-7.28</v>
      </c>
      <c r="CO630">
        <v>22702</v>
      </c>
      <c r="CP630">
        <v>42736</v>
      </c>
      <c r="CQ630" t="s">
        <v>3895</v>
      </c>
      <c r="CR630">
        <v>12.2</v>
      </c>
      <c r="CS630">
        <v>-70.319999999999993</v>
      </c>
      <c r="CT630">
        <v>2.12</v>
      </c>
      <c r="CU630">
        <v>-42.73</v>
      </c>
      <c r="CV630">
        <v>27.08</v>
      </c>
      <c r="CW630">
        <v>0.23</v>
      </c>
      <c r="CX630" t="s">
        <v>893</v>
      </c>
      <c r="CY630">
        <v>7.61</v>
      </c>
      <c r="CZ630">
        <v>0</v>
      </c>
      <c r="DA630">
        <v>5.3</v>
      </c>
      <c r="DB630">
        <v>1.9</v>
      </c>
      <c r="DC630">
        <v>-0.38</v>
      </c>
      <c r="DD630">
        <v>87.24</v>
      </c>
      <c r="DE630" t="s">
        <v>3896</v>
      </c>
      <c r="DF630">
        <v>70.69</v>
      </c>
      <c r="DG630">
        <v>-27.72</v>
      </c>
      <c r="DH630">
        <v>-25.81</v>
      </c>
      <c r="DI630">
        <v>3.48</v>
      </c>
      <c r="DJ630">
        <v>5357</v>
      </c>
      <c r="DK630">
        <v>2212</v>
      </c>
      <c r="DL630" t="s">
        <v>120</v>
      </c>
      <c r="DM630" t="s">
        <v>120</v>
      </c>
      <c r="DN630" t="s">
        <v>120</v>
      </c>
    </row>
    <row r="631" spans="1:118">
      <c r="A631" t="str">
        <f>"002213"</f>
        <v>002213</v>
      </c>
      <c r="B631" t="s">
        <v>3897</v>
      </c>
      <c r="C631">
        <v>-2.54</v>
      </c>
      <c r="D631">
        <v>-0.21</v>
      </c>
      <c r="E631">
        <v>0.63</v>
      </c>
      <c r="F631">
        <v>422</v>
      </c>
      <c r="G631" t="s">
        <v>3898</v>
      </c>
      <c r="H631">
        <v>6312.23</v>
      </c>
      <c r="I631">
        <v>50.37</v>
      </c>
      <c r="J631" t="s">
        <v>120</v>
      </c>
      <c r="K631" t="s">
        <v>677</v>
      </c>
      <c r="L631">
        <v>2.1800000000000002</v>
      </c>
      <c r="M631">
        <v>13.82</v>
      </c>
      <c r="N631">
        <v>1.1100000000000001</v>
      </c>
      <c r="O631">
        <v>1.83</v>
      </c>
      <c r="P631">
        <v>14.44</v>
      </c>
      <c r="Q631">
        <v>-3.03</v>
      </c>
      <c r="R631">
        <v>13.75</v>
      </c>
      <c r="S631">
        <v>14.27</v>
      </c>
      <c r="T631">
        <v>44924</v>
      </c>
      <c r="U631">
        <v>13.85</v>
      </c>
      <c r="V631">
        <v>14.18</v>
      </c>
      <c r="W631">
        <v>440.05</v>
      </c>
      <c r="X631" t="s">
        <v>289</v>
      </c>
      <c r="Y631" t="s">
        <v>123</v>
      </c>
      <c r="Z631">
        <v>4.87</v>
      </c>
      <c r="AA631">
        <v>14.05</v>
      </c>
      <c r="AB631">
        <v>31602</v>
      </c>
      <c r="AC631">
        <v>13322</v>
      </c>
      <c r="AD631">
        <v>2.37</v>
      </c>
      <c r="AE631">
        <v>81</v>
      </c>
      <c r="AF631">
        <v>7</v>
      </c>
      <c r="AG631" t="s">
        <v>120</v>
      </c>
      <c r="AH631">
        <v>0.02</v>
      </c>
      <c r="AI631" t="s">
        <v>120</v>
      </c>
      <c r="AJ631">
        <v>2.06</v>
      </c>
      <c r="AK631" t="s">
        <v>677</v>
      </c>
      <c r="AL631">
        <v>-0.63</v>
      </c>
      <c r="AM631">
        <v>1754</v>
      </c>
      <c r="AN631">
        <v>26</v>
      </c>
      <c r="AO631">
        <v>1.1999999999999999E-3</v>
      </c>
      <c r="AP631">
        <v>-5</v>
      </c>
      <c r="AQ631">
        <v>-1.53</v>
      </c>
      <c r="AR631">
        <v>-6.25</v>
      </c>
      <c r="AS631">
        <v>5.01</v>
      </c>
      <c r="AT631">
        <v>1.85</v>
      </c>
      <c r="AU631">
        <v>6.55</v>
      </c>
      <c r="AV631">
        <v>2</v>
      </c>
      <c r="AW631">
        <v>2.71</v>
      </c>
      <c r="AX631">
        <v>80.510000000000005</v>
      </c>
      <c r="AY631">
        <v>244.28</v>
      </c>
      <c r="AZ631">
        <v>324.79000000000002</v>
      </c>
      <c r="BA631">
        <v>0.8</v>
      </c>
      <c r="BB631" t="s">
        <v>143</v>
      </c>
      <c r="BF631">
        <v>-0.91</v>
      </c>
      <c r="BG631">
        <v>-3.15</v>
      </c>
      <c r="BH631">
        <v>-4.29</v>
      </c>
      <c r="BI631">
        <v>0.51</v>
      </c>
      <c r="BJ631">
        <v>20210826</v>
      </c>
      <c r="BK631">
        <v>20080201</v>
      </c>
      <c r="BL631">
        <v>2.06</v>
      </c>
      <c r="BM631" t="s">
        <v>120</v>
      </c>
      <c r="BN631" t="s">
        <v>120</v>
      </c>
      <c r="BO631">
        <v>6.86</v>
      </c>
      <c r="BP631">
        <v>13.82</v>
      </c>
      <c r="BQ631">
        <v>3.78</v>
      </c>
      <c r="BR631">
        <v>0.45</v>
      </c>
      <c r="BS631">
        <v>38.4</v>
      </c>
      <c r="BT631">
        <v>4.42</v>
      </c>
      <c r="BU631">
        <v>0.37</v>
      </c>
      <c r="BV631">
        <v>0.16</v>
      </c>
      <c r="BW631">
        <v>1.94</v>
      </c>
      <c r="BX631">
        <v>0.77</v>
      </c>
      <c r="BY631">
        <v>1.17</v>
      </c>
      <c r="BZ631">
        <v>1.88</v>
      </c>
      <c r="CA631" t="s">
        <v>120</v>
      </c>
      <c r="CB631">
        <v>0.01</v>
      </c>
      <c r="CC631">
        <v>3.35</v>
      </c>
      <c r="CD631">
        <v>3</v>
      </c>
      <c r="CE631">
        <v>0.08</v>
      </c>
      <c r="CF631">
        <v>0</v>
      </c>
      <c r="CG631">
        <v>7.0000000000000007E-2</v>
      </c>
      <c r="CH631">
        <v>0.05</v>
      </c>
      <c r="CI631">
        <v>0.03</v>
      </c>
      <c r="CJ631">
        <v>-0.36</v>
      </c>
      <c r="CK631">
        <v>0.03</v>
      </c>
      <c r="CL631">
        <v>1.46</v>
      </c>
      <c r="CM631">
        <v>-0.66</v>
      </c>
      <c r="CN631">
        <v>-0.45</v>
      </c>
      <c r="CO631">
        <v>8360</v>
      </c>
      <c r="CP631">
        <v>19839</v>
      </c>
      <c r="CQ631" t="s">
        <v>3899</v>
      </c>
      <c r="CR631">
        <v>1095.95</v>
      </c>
      <c r="CS631">
        <v>204.53</v>
      </c>
      <c r="CT631">
        <v>7.53</v>
      </c>
      <c r="CU631">
        <v>-43.07</v>
      </c>
      <c r="CV631">
        <v>8.51</v>
      </c>
      <c r="CW631">
        <v>7.0000000000000007E-2</v>
      </c>
      <c r="CX631" t="s">
        <v>3900</v>
      </c>
      <c r="CY631">
        <v>1.84</v>
      </c>
      <c r="CZ631">
        <v>0</v>
      </c>
      <c r="DA631">
        <v>0</v>
      </c>
      <c r="DB631">
        <v>0.71</v>
      </c>
      <c r="DC631">
        <v>-0.32</v>
      </c>
      <c r="DD631">
        <v>55.11</v>
      </c>
      <c r="DE631" t="s">
        <v>3901</v>
      </c>
      <c r="DF631">
        <v>10.34</v>
      </c>
      <c r="DG631">
        <v>2.25</v>
      </c>
      <c r="DH631">
        <v>0.97</v>
      </c>
      <c r="DI631">
        <v>0.04</v>
      </c>
      <c r="DJ631">
        <v>218</v>
      </c>
      <c r="DK631">
        <v>2213</v>
      </c>
      <c r="DL631" t="s">
        <v>120</v>
      </c>
      <c r="DM631" t="s">
        <v>120</v>
      </c>
      <c r="DN631" t="s">
        <v>120</v>
      </c>
    </row>
    <row r="632" spans="1:118">
      <c r="A632" t="str">
        <f>"002214"</f>
        <v>002214</v>
      </c>
      <c r="B632" t="s">
        <v>3902</v>
      </c>
      <c r="C632">
        <v>-2.13</v>
      </c>
      <c r="D632">
        <v>-0.2</v>
      </c>
      <c r="E632">
        <v>0.98</v>
      </c>
      <c r="F632">
        <v>1229</v>
      </c>
      <c r="G632" t="s">
        <v>3903</v>
      </c>
      <c r="H632">
        <v>21498.26</v>
      </c>
      <c r="I632">
        <v>29.84</v>
      </c>
      <c r="J632" t="s">
        <v>120</v>
      </c>
      <c r="K632" t="s">
        <v>2464</v>
      </c>
      <c r="L632">
        <v>1.87</v>
      </c>
      <c r="M632">
        <v>23.9</v>
      </c>
      <c r="N632">
        <v>0.72</v>
      </c>
      <c r="O632">
        <v>0.98</v>
      </c>
      <c r="P632">
        <v>24.66</v>
      </c>
      <c r="Q632">
        <v>-2.95</v>
      </c>
      <c r="R632">
        <v>23.7</v>
      </c>
      <c r="S632">
        <v>24.66</v>
      </c>
      <c r="T632">
        <v>89394</v>
      </c>
      <c r="U632">
        <v>23.95</v>
      </c>
      <c r="V632">
        <v>24.42</v>
      </c>
      <c r="W632">
        <v>27.52</v>
      </c>
      <c r="X632" t="s">
        <v>2717</v>
      </c>
      <c r="Y632" t="s">
        <v>585</v>
      </c>
      <c r="Z632">
        <v>3.93</v>
      </c>
      <c r="AA632">
        <v>24.05</v>
      </c>
      <c r="AB632">
        <v>50518</v>
      </c>
      <c r="AC632">
        <v>38876</v>
      </c>
      <c r="AD632">
        <v>1.3</v>
      </c>
      <c r="AE632">
        <v>326</v>
      </c>
      <c r="AF632">
        <v>7</v>
      </c>
      <c r="AG632" t="s">
        <v>120</v>
      </c>
      <c r="AH632">
        <v>0</v>
      </c>
      <c r="AI632" t="s">
        <v>120</v>
      </c>
      <c r="AJ632">
        <v>4.78</v>
      </c>
      <c r="AK632" t="s">
        <v>3904</v>
      </c>
      <c r="AL632">
        <v>-0.22</v>
      </c>
      <c r="AM632">
        <v>2976</v>
      </c>
      <c r="AN632">
        <v>30</v>
      </c>
      <c r="AO632">
        <v>5.9999999999999995E-4</v>
      </c>
      <c r="AP632">
        <v>-4</v>
      </c>
      <c r="AQ632">
        <v>-0.33</v>
      </c>
      <c r="AR632">
        <v>-3.2</v>
      </c>
      <c r="AS632">
        <v>3.46</v>
      </c>
      <c r="AT632">
        <v>19.38</v>
      </c>
      <c r="AU632">
        <v>4.5199999999999996</v>
      </c>
      <c r="AV632">
        <v>1</v>
      </c>
      <c r="AW632">
        <v>2.04</v>
      </c>
      <c r="AX632">
        <v>73.06</v>
      </c>
      <c r="AY632">
        <v>40.840000000000003</v>
      </c>
      <c r="AZ632">
        <v>37.479999999999997</v>
      </c>
      <c r="BA632">
        <v>0.97</v>
      </c>
      <c r="BB632" t="s">
        <v>143</v>
      </c>
      <c r="BF632">
        <v>-1.52</v>
      </c>
      <c r="BG632">
        <v>-3.08</v>
      </c>
      <c r="BH632">
        <v>-3.08</v>
      </c>
      <c r="BI632">
        <v>0.84</v>
      </c>
      <c r="BJ632">
        <v>20210901</v>
      </c>
      <c r="BK632">
        <v>20080218</v>
      </c>
      <c r="BL632">
        <v>5.99</v>
      </c>
      <c r="BM632" t="s">
        <v>120</v>
      </c>
      <c r="BN632" t="s">
        <v>120</v>
      </c>
      <c r="BO632">
        <v>30</v>
      </c>
      <c r="BP632">
        <v>23.9</v>
      </c>
      <c r="BQ632">
        <v>26.14</v>
      </c>
      <c r="BR632">
        <v>0.11</v>
      </c>
      <c r="BS632">
        <v>12.5</v>
      </c>
      <c r="BT632">
        <v>24.98</v>
      </c>
      <c r="BU632">
        <v>3.6</v>
      </c>
      <c r="BV632">
        <v>0.28999999999999998</v>
      </c>
      <c r="BW632">
        <v>3.65</v>
      </c>
      <c r="BX632">
        <v>7.76</v>
      </c>
      <c r="BY632">
        <v>4.03</v>
      </c>
      <c r="BZ632">
        <v>10.02</v>
      </c>
      <c r="CA632" t="s">
        <v>120</v>
      </c>
      <c r="CB632">
        <v>10.17</v>
      </c>
      <c r="CC632">
        <v>6.4</v>
      </c>
      <c r="CD632">
        <v>2.74</v>
      </c>
      <c r="CE632">
        <v>2.94</v>
      </c>
      <c r="CF632">
        <v>0.04</v>
      </c>
      <c r="CG632">
        <v>2.94</v>
      </c>
      <c r="CH632">
        <v>2.56</v>
      </c>
      <c r="CI632">
        <v>2.6</v>
      </c>
      <c r="CJ632">
        <v>-0.52</v>
      </c>
      <c r="CK632">
        <v>2.08</v>
      </c>
      <c r="CL632">
        <v>9.64</v>
      </c>
      <c r="CM632">
        <v>-0.38</v>
      </c>
      <c r="CN632">
        <v>3.05</v>
      </c>
      <c r="CO632">
        <v>40370</v>
      </c>
      <c r="CP632">
        <v>10845</v>
      </c>
      <c r="CQ632" t="s">
        <v>3905</v>
      </c>
      <c r="CR632">
        <v>-11</v>
      </c>
      <c r="CS632">
        <v>-3.88</v>
      </c>
      <c r="CT632">
        <v>5.48</v>
      </c>
      <c r="CU632">
        <v>-379.08</v>
      </c>
      <c r="CV632">
        <v>22.37</v>
      </c>
      <c r="CW632">
        <v>0.27</v>
      </c>
      <c r="CX632" t="s">
        <v>194</v>
      </c>
      <c r="CY632">
        <v>4.3600000000000003</v>
      </c>
      <c r="CZ632">
        <v>0</v>
      </c>
      <c r="DA632">
        <v>1.7</v>
      </c>
      <c r="DB632">
        <v>1.61</v>
      </c>
      <c r="DC632">
        <v>-0.06</v>
      </c>
      <c r="DD632">
        <v>87.12</v>
      </c>
      <c r="DE632" t="s">
        <v>3906</v>
      </c>
      <c r="DF632">
        <v>57.21</v>
      </c>
      <c r="DG632">
        <v>45.97</v>
      </c>
      <c r="DH632">
        <v>40.64</v>
      </c>
      <c r="DI632">
        <v>0.73</v>
      </c>
      <c r="DJ632">
        <v>816</v>
      </c>
      <c r="DK632">
        <v>2214</v>
      </c>
      <c r="DL632" t="s">
        <v>120</v>
      </c>
      <c r="DM632" t="s">
        <v>120</v>
      </c>
      <c r="DN632" t="s">
        <v>120</v>
      </c>
    </row>
    <row r="633" spans="1:118">
      <c r="A633" t="str">
        <f>"002215"</f>
        <v>002215</v>
      </c>
      <c r="B633" t="s">
        <v>3907</v>
      </c>
      <c r="C633">
        <v>1.68</v>
      </c>
      <c r="D633">
        <v>0.15</v>
      </c>
      <c r="E633">
        <v>-0.61</v>
      </c>
      <c r="F633">
        <v>2860</v>
      </c>
      <c r="G633" t="s">
        <v>3908</v>
      </c>
      <c r="H633">
        <v>25121.86</v>
      </c>
      <c r="I633">
        <v>44.14</v>
      </c>
      <c r="J633" t="s">
        <v>120</v>
      </c>
      <c r="K633" t="s">
        <v>3909</v>
      </c>
      <c r="L633">
        <v>5.27</v>
      </c>
      <c r="M633">
        <v>6.65</v>
      </c>
      <c r="N633">
        <v>1.52</v>
      </c>
      <c r="O633">
        <v>4.8899999999999997</v>
      </c>
      <c r="P633">
        <v>6.86</v>
      </c>
      <c r="Q633">
        <v>-1.38</v>
      </c>
      <c r="R633">
        <v>6.45</v>
      </c>
      <c r="S633">
        <v>6.5</v>
      </c>
      <c r="T633">
        <v>376254</v>
      </c>
      <c r="U633">
        <v>6.65</v>
      </c>
      <c r="V633">
        <v>6.54</v>
      </c>
      <c r="W633">
        <v>10.02</v>
      </c>
      <c r="X633" t="s">
        <v>690</v>
      </c>
      <c r="Y633" t="s">
        <v>123</v>
      </c>
      <c r="Z633">
        <v>6.27</v>
      </c>
      <c r="AA633">
        <v>6.68</v>
      </c>
      <c r="AB633">
        <v>201175</v>
      </c>
      <c r="AC633">
        <v>175079</v>
      </c>
      <c r="AD633">
        <v>1.1499999999999999</v>
      </c>
      <c r="AE633">
        <v>851</v>
      </c>
      <c r="AF633">
        <v>1027</v>
      </c>
      <c r="AG633" t="s">
        <v>120</v>
      </c>
      <c r="AH633">
        <v>0.01</v>
      </c>
      <c r="AI633" t="s">
        <v>120</v>
      </c>
      <c r="AJ633">
        <v>7.14</v>
      </c>
      <c r="AK633" t="s">
        <v>2656</v>
      </c>
      <c r="AL633">
        <v>3.6</v>
      </c>
      <c r="AM633">
        <v>3547</v>
      </c>
      <c r="AN633">
        <v>106</v>
      </c>
      <c r="AO633">
        <v>1.5E-3</v>
      </c>
      <c r="AP633">
        <v>2</v>
      </c>
      <c r="AQ633">
        <v>3.65</v>
      </c>
      <c r="AR633">
        <v>2.79</v>
      </c>
      <c r="AS633">
        <v>25</v>
      </c>
      <c r="AT633">
        <v>14.45</v>
      </c>
      <c r="AU633">
        <v>13.09</v>
      </c>
      <c r="AV633">
        <v>0</v>
      </c>
      <c r="AW633">
        <v>7.1</v>
      </c>
      <c r="AX633">
        <v>58.01</v>
      </c>
      <c r="AY633">
        <v>30.3</v>
      </c>
      <c r="AZ633">
        <v>35.799999999999997</v>
      </c>
      <c r="BA633">
        <v>0.36</v>
      </c>
      <c r="BB633" t="s">
        <v>168</v>
      </c>
      <c r="BF633">
        <v>2.09</v>
      </c>
      <c r="BG633">
        <v>2.31</v>
      </c>
      <c r="BH633">
        <v>-3.06</v>
      </c>
      <c r="BI633">
        <v>3.1</v>
      </c>
      <c r="BJ633">
        <v>20210907</v>
      </c>
      <c r="BK633">
        <v>20080218</v>
      </c>
      <c r="BL633">
        <v>9.14</v>
      </c>
      <c r="BM633" t="s">
        <v>120</v>
      </c>
      <c r="BN633" t="s">
        <v>120</v>
      </c>
      <c r="BO633">
        <v>61.73</v>
      </c>
      <c r="BP633">
        <v>6.64</v>
      </c>
      <c r="BQ633">
        <v>26.11</v>
      </c>
      <c r="BR633">
        <v>6.35</v>
      </c>
      <c r="BS633">
        <v>47.43</v>
      </c>
      <c r="BT633">
        <v>38.75</v>
      </c>
      <c r="BU633">
        <v>4.25</v>
      </c>
      <c r="BV633">
        <v>2.12</v>
      </c>
      <c r="BW633">
        <v>28.05</v>
      </c>
      <c r="BX633">
        <v>8.66</v>
      </c>
      <c r="BY633">
        <v>9.44</v>
      </c>
      <c r="BZ633">
        <v>12.08</v>
      </c>
      <c r="CA633">
        <v>0</v>
      </c>
      <c r="CB633">
        <v>3.68</v>
      </c>
      <c r="CC633">
        <v>26.04</v>
      </c>
      <c r="CD633">
        <v>18.43</v>
      </c>
      <c r="CE633">
        <v>3.33</v>
      </c>
      <c r="CF633">
        <v>0.1</v>
      </c>
      <c r="CG633">
        <v>3.36</v>
      </c>
      <c r="CH633">
        <v>3.1</v>
      </c>
      <c r="CI633">
        <v>3.03</v>
      </c>
      <c r="CJ633">
        <v>0.11</v>
      </c>
      <c r="CK633">
        <v>2.82</v>
      </c>
      <c r="CL633">
        <v>12.34</v>
      </c>
      <c r="CM633">
        <v>-5.7</v>
      </c>
      <c r="CN633">
        <v>1.19</v>
      </c>
      <c r="CO633">
        <v>44518</v>
      </c>
      <c r="CP633">
        <v>11907</v>
      </c>
      <c r="CQ633" t="s">
        <v>3910</v>
      </c>
      <c r="CR633">
        <v>11.1</v>
      </c>
      <c r="CS633">
        <v>2.81</v>
      </c>
      <c r="CT633">
        <v>2.33</v>
      </c>
      <c r="CU633">
        <v>-10.66</v>
      </c>
      <c r="CV633">
        <v>2.33</v>
      </c>
      <c r="CW633">
        <v>1.52</v>
      </c>
      <c r="CX633" t="s">
        <v>1574</v>
      </c>
      <c r="CY633">
        <v>2.86</v>
      </c>
      <c r="CZ633">
        <v>0</v>
      </c>
      <c r="DA633">
        <v>0.4</v>
      </c>
      <c r="DB633">
        <v>1.35</v>
      </c>
      <c r="DC633">
        <v>-0.62</v>
      </c>
      <c r="DD633">
        <v>42.29</v>
      </c>
      <c r="DE633" t="s">
        <v>3911</v>
      </c>
      <c r="DF633">
        <v>29.21</v>
      </c>
      <c r="DG633">
        <v>12.79</v>
      </c>
      <c r="DH633">
        <v>11.64</v>
      </c>
      <c r="DI633">
        <v>0.53</v>
      </c>
      <c r="DJ633">
        <v>3113</v>
      </c>
      <c r="DK633">
        <v>2215</v>
      </c>
      <c r="DL633" t="s">
        <v>120</v>
      </c>
      <c r="DM633" t="s">
        <v>120</v>
      </c>
      <c r="DN633" t="s">
        <v>120</v>
      </c>
    </row>
    <row r="634" spans="1:118">
      <c r="A634" t="str">
        <f>"002216"</f>
        <v>002216</v>
      </c>
      <c r="B634" t="s">
        <v>3912</v>
      </c>
      <c r="C634">
        <v>2.97</v>
      </c>
      <c r="D634">
        <v>-0.26</v>
      </c>
      <c r="E634">
        <v>-0.34</v>
      </c>
      <c r="F634">
        <v>1851</v>
      </c>
      <c r="G634" t="s">
        <v>3913</v>
      </c>
      <c r="H634">
        <v>13450.04</v>
      </c>
      <c r="I634">
        <v>8.09</v>
      </c>
      <c r="J634" t="s">
        <v>120</v>
      </c>
      <c r="K634" t="s">
        <v>3914</v>
      </c>
      <c r="L634">
        <v>1.43</v>
      </c>
      <c r="M634">
        <v>14.93</v>
      </c>
      <c r="N634">
        <v>1.7</v>
      </c>
      <c r="O634">
        <v>5.24</v>
      </c>
      <c r="P634">
        <v>15.26</v>
      </c>
      <c r="Q634">
        <v>-0.55000000000000004</v>
      </c>
      <c r="R634">
        <v>14.42</v>
      </c>
      <c r="S634">
        <v>14.45</v>
      </c>
      <c r="T634">
        <v>89927</v>
      </c>
      <c r="U634">
        <v>14.94</v>
      </c>
      <c r="V634">
        <v>14.5</v>
      </c>
      <c r="W634">
        <v>23.61</v>
      </c>
      <c r="X634" t="s">
        <v>847</v>
      </c>
      <c r="Y634" t="s">
        <v>645</v>
      </c>
      <c r="Z634">
        <v>5.79</v>
      </c>
      <c r="AA634">
        <v>14.96</v>
      </c>
      <c r="AB634">
        <v>35677</v>
      </c>
      <c r="AC634">
        <v>54250</v>
      </c>
      <c r="AD634">
        <v>0.66</v>
      </c>
      <c r="AE634">
        <v>419</v>
      </c>
      <c r="AF634">
        <v>193</v>
      </c>
      <c r="AG634" t="s">
        <v>120</v>
      </c>
      <c r="AH634">
        <v>0</v>
      </c>
      <c r="AI634" t="s">
        <v>120</v>
      </c>
      <c r="AJ634">
        <v>6.3</v>
      </c>
      <c r="AK634" t="s">
        <v>3915</v>
      </c>
      <c r="AL634">
        <v>4.88</v>
      </c>
      <c r="AM634">
        <v>2921</v>
      </c>
      <c r="AN634">
        <v>31</v>
      </c>
      <c r="AO634">
        <v>5.0000000000000001E-4</v>
      </c>
      <c r="AP634">
        <v>2</v>
      </c>
      <c r="AQ634">
        <v>0.49</v>
      </c>
      <c r="AR634">
        <v>0.48</v>
      </c>
      <c r="AS634">
        <v>-0.2</v>
      </c>
      <c r="AT634">
        <v>-12.39</v>
      </c>
      <c r="AU634">
        <v>-35.21</v>
      </c>
      <c r="AV634">
        <v>4</v>
      </c>
      <c r="AW634">
        <v>2.91</v>
      </c>
      <c r="AX634">
        <v>35.15</v>
      </c>
      <c r="AY634">
        <v>21.48</v>
      </c>
      <c r="AZ634">
        <v>16.600000000000001</v>
      </c>
      <c r="BA634">
        <v>0.4</v>
      </c>
      <c r="BB634" t="s">
        <v>240</v>
      </c>
      <c r="BF634">
        <v>3.15</v>
      </c>
      <c r="BG634">
        <v>3.32</v>
      </c>
      <c r="BH634">
        <v>-2.16</v>
      </c>
      <c r="BI634">
        <v>3.54</v>
      </c>
      <c r="BJ634">
        <v>20210831</v>
      </c>
      <c r="BK634">
        <v>20080220</v>
      </c>
      <c r="BL634">
        <v>8.7899999999999991</v>
      </c>
      <c r="BM634" t="s">
        <v>120</v>
      </c>
      <c r="BN634" t="s">
        <v>120</v>
      </c>
      <c r="BO634">
        <v>53.25</v>
      </c>
      <c r="BP634">
        <v>14.93</v>
      </c>
      <c r="BQ634">
        <v>29.02</v>
      </c>
      <c r="BR634">
        <v>-0.01</v>
      </c>
      <c r="BS634">
        <v>45.5</v>
      </c>
      <c r="BT634">
        <v>27.07</v>
      </c>
      <c r="BU634">
        <v>16.649999999999999</v>
      </c>
      <c r="BV634">
        <v>2.48</v>
      </c>
      <c r="BW634">
        <v>21.33</v>
      </c>
      <c r="BX634">
        <v>6.36</v>
      </c>
      <c r="BY634">
        <v>8.43</v>
      </c>
      <c r="BZ634">
        <v>4.45</v>
      </c>
      <c r="CA634" t="s">
        <v>120</v>
      </c>
      <c r="CB634">
        <v>3</v>
      </c>
      <c r="CC634">
        <v>36.39</v>
      </c>
      <c r="CD634">
        <v>26.62</v>
      </c>
      <c r="CE634">
        <v>3.67</v>
      </c>
      <c r="CF634">
        <v>0.06</v>
      </c>
      <c r="CG634">
        <v>3.68</v>
      </c>
      <c r="CH634">
        <v>2.78</v>
      </c>
      <c r="CI634">
        <v>2.78</v>
      </c>
      <c r="CJ634">
        <v>0.43</v>
      </c>
      <c r="CK634">
        <v>2.54</v>
      </c>
      <c r="CL634">
        <v>16.21</v>
      </c>
      <c r="CM634">
        <v>0.53</v>
      </c>
      <c r="CN634">
        <v>-4.25</v>
      </c>
      <c r="CO634">
        <v>74109</v>
      </c>
      <c r="CP634">
        <v>4171</v>
      </c>
      <c r="CQ634" t="s">
        <v>185</v>
      </c>
      <c r="CR634">
        <v>-38.549999999999997</v>
      </c>
      <c r="CS634">
        <v>-2.44</v>
      </c>
      <c r="CT634">
        <v>4.5199999999999996</v>
      </c>
      <c r="CU634">
        <v>246.98</v>
      </c>
      <c r="CV634">
        <v>3.61</v>
      </c>
      <c r="CW634">
        <v>3.76</v>
      </c>
      <c r="CX634" t="s">
        <v>1574</v>
      </c>
      <c r="CY634">
        <v>3.3</v>
      </c>
      <c r="CZ634">
        <v>0</v>
      </c>
      <c r="DA634">
        <v>0.34</v>
      </c>
      <c r="DB634">
        <v>1.84</v>
      </c>
      <c r="DC634">
        <v>0.06</v>
      </c>
      <c r="DD634">
        <v>54.51</v>
      </c>
      <c r="DE634" t="s">
        <v>3916</v>
      </c>
      <c r="DF634">
        <v>26.83</v>
      </c>
      <c r="DG634">
        <v>10.08</v>
      </c>
      <c r="DH634">
        <v>7.64</v>
      </c>
      <c r="DI634">
        <v>0.16</v>
      </c>
      <c r="DJ634">
        <v>7161</v>
      </c>
      <c r="DK634">
        <v>2216</v>
      </c>
      <c r="DL634" t="s">
        <v>120</v>
      </c>
      <c r="DM634" t="s">
        <v>120</v>
      </c>
      <c r="DN634" t="s">
        <v>120</v>
      </c>
    </row>
    <row r="635" spans="1:118">
      <c r="A635" t="str">
        <f>"002217"</f>
        <v>002217</v>
      </c>
      <c r="B635" t="s">
        <v>3917</v>
      </c>
      <c r="C635">
        <v>-0.27</v>
      </c>
      <c r="D635">
        <v>0.55000000000000004</v>
      </c>
      <c r="E635">
        <v>0.54</v>
      </c>
      <c r="F635">
        <v>11333</v>
      </c>
      <c r="G635" t="s">
        <v>3918</v>
      </c>
      <c r="H635">
        <v>19782.41</v>
      </c>
      <c r="I635">
        <v>43.14</v>
      </c>
      <c r="J635" t="s">
        <v>120</v>
      </c>
      <c r="K635" t="s">
        <v>2464</v>
      </c>
      <c r="L635">
        <v>1.71</v>
      </c>
      <c r="M635">
        <v>3.67</v>
      </c>
      <c r="N635">
        <v>1.1599999999999999</v>
      </c>
      <c r="O635">
        <v>2.4500000000000002</v>
      </c>
      <c r="P635">
        <v>3.77</v>
      </c>
      <c r="Q635">
        <v>-0.82</v>
      </c>
      <c r="R635">
        <v>3.65</v>
      </c>
      <c r="S635">
        <v>3.7</v>
      </c>
      <c r="T635">
        <v>532889</v>
      </c>
      <c r="U635">
        <v>3.67</v>
      </c>
      <c r="V635">
        <v>3.68</v>
      </c>
      <c r="W635">
        <v>94.07</v>
      </c>
      <c r="X635" t="s">
        <v>229</v>
      </c>
      <c r="Y635" t="s">
        <v>937</v>
      </c>
      <c r="Z635">
        <v>3.26</v>
      </c>
      <c r="AA635">
        <v>3.71</v>
      </c>
      <c r="AB635">
        <v>234494</v>
      </c>
      <c r="AC635">
        <v>298395</v>
      </c>
      <c r="AD635">
        <v>0.79</v>
      </c>
      <c r="AE635">
        <v>407</v>
      </c>
      <c r="AF635">
        <v>3281</v>
      </c>
      <c r="AG635" t="s">
        <v>120</v>
      </c>
      <c r="AH635">
        <v>0.01</v>
      </c>
      <c r="AI635" t="s">
        <v>120</v>
      </c>
      <c r="AJ635">
        <v>31.12</v>
      </c>
      <c r="AK635" t="s">
        <v>3919</v>
      </c>
      <c r="AL635">
        <v>1.64</v>
      </c>
      <c r="AM635">
        <v>3412</v>
      </c>
      <c r="AN635">
        <v>156</v>
      </c>
      <c r="AO635">
        <v>5.0000000000000001E-4</v>
      </c>
      <c r="AP635">
        <v>-1</v>
      </c>
      <c r="AQ635">
        <v>1.38</v>
      </c>
      <c r="AR635">
        <v>-1.08</v>
      </c>
      <c r="AS635">
        <v>4.8499999999999996</v>
      </c>
      <c r="AT635">
        <v>1.66</v>
      </c>
      <c r="AU635">
        <v>-10.48</v>
      </c>
      <c r="AV635">
        <v>0</v>
      </c>
      <c r="AW635">
        <v>2.85</v>
      </c>
      <c r="AX635">
        <v>60.01</v>
      </c>
      <c r="AY635" t="s">
        <v>120</v>
      </c>
      <c r="AZ635" t="s">
        <v>120</v>
      </c>
      <c r="BA635">
        <v>0.37</v>
      </c>
      <c r="BB635" t="s">
        <v>143</v>
      </c>
      <c r="BF635">
        <v>0.88</v>
      </c>
      <c r="BG635">
        <v>-0.81</v>
      </c>
      <c r="BH635">
        <v>-2.65</v>
      </c>
      <c r="BI635">
        <v>0.55000000000000004</v>
      </c>
      <c r="BJ635">
        <v>20210831</v>
      </c>
      <c r="BK635">
        <v>20080220</v>
      </c>
      <c r="BL635">
        <v>31.16</v>
      </c>
      <c r="BM635" t="s">
        <v>120</v>
      </c>
      <c r="BN635" t="s">
        <v>120</v>
      </c>
      <c r="BO635">
        <v>288.99</v>
      </c>
      <c r="BP635">
        <v>3.66</v>
      </c>
      <c r="BQ635">
        <v>89.29</v>
      </c>
      <c r="BR635">
        <v>14.81</v>
      </c>
      <c r="BS635">
        <v>63.98</v>
      </c>
      <c r="BT635">
        <v>181.29</v>
      </c>
      <c r="BU635">
        <v>28.53</v>
      </c>
      <c r="BV635">
        <v>6.32</v>
      </c>
      <c r="BW635">
        <v>146.72999999999999</v>
      </c>
      <c r="BX635">
        <v>27.52</v>
      </c>
      <c r="BY635">
        <v>65.83</v>
      </c>
      <c r="BZ635">
        <v>54.07</v>
      </c>
      <c r="CA635" t="s">
        <v>120</v>
      </c>
      <c r="CB635">
        <v>44.55</v>
      </c>
      <c r="CC635">
        <v>75.53</v>
      </c>
      <c r="CD635">
        <v>66.02</v>
      </c>
      <c r="CE635">
        <v>0.43</v>
      </c>
      <c r="CF635">
        <v>0</v>
      </c>
      <c r="CG635">
        <v>0.31</v>
      </c>
      <c r="CH635">
        <v>0.6</v>
      </c>
      <c r="CI635">
        <v>0.61</v>
      </c>
      <c r="CJ635">
        <v>-0.01</v>
      </c>
      <c r="CK635">
        <v>-0.46</v>
      </c>
      <c r="CL635">
        <v>9.9</v>
      </c>
      <c r="CM635">
        <v>1.35</v>
      </c>
      <c r="CN635">
        <v>-5.21</v>
      </c>
      <c r="CO635">
        <v>98780</v>
      </c>
      <c r="CP635">
        <v>18931</v>
      </c>
      <c r="CQ635" t="s">
        <v>3920</v>
      </c>
      <c r="CR635">
        <v>-42.98</v>
      </c>
      <c r="CS635">
        <v>-7.84</v>
      </c>
      <c r="CT635">
        <v>1.28</v>
      </c>
      <c r="CU635">
        <v>84.53</v>
      </c>
      <c r="CV635">
        <v>1.51</v>
      </c>
      <c r="CW635">
        <v>0</v>
      </c>
      <c r="CX635" t="s">
        <v>499</v>
      </c>
      <c r="CY635">
        <v>2.87</v>
      </c>
      <c r="CZ635">
        <v>0</v>
      </c>
      <c r="DA635">
        <v>1.43</v>
      </c>
      <c r="DB635">
        <v>0.32</v>
      </c>
      <c r="DC635">
        <v>0.04</v>
      </c>
      <c r="DD635">
        <v>30.9</v>
      </c>
      <c r="DE635" t="s">
        <v>1405</v>
      </c>
      <c r="DF635">
        <v>12.6</v>
      </c>
      <c r="DG635">
        <v>0.56999999999999995</v>
      </c>
      <c r="DH635">
        <v>0.8</v>
      </c>
      <c r="DI635">
        <v>3.01</v>
      </c>
      <c r="DJ635">
        <v>20798</v>
      </c>
      <c r="DK635">
        <v>2217</v>
      </c>
      <c r="DL635" t="s">
        <v>120</v>
      </c>
      <c r="DM635" t="s">
        <v>120</v>
      </c>
      <c r="DN635" t="s">
        <v>120</v>
      </c>
    </row>
    <row r="636" spans="1:118">
      <c r="A636" t="str">
        <f>"002218"</f>
        <v>002218</v>
      </c>
      <c r="B636" t="s">
        <v>3921</v>
      </c>
      <c r="C636">
        <v>0.12</v>
      </c>
      <c r="D636">
        <v>0.24</v>
      </c>
      <c r="E636">
        <v>6.38</v>
      </c>
      <c r="F636">
        <v>10154</v>
      </c>
      <c r="G636" t="s">
        <v>3922</v>
      </c>
      <c r="H636">
        <v>145770.12</v>
      </c>
      <c r="I636">
        <v>6782.49</v>
      </c>
      <c r="J636" t="s">
        <v>120</v>
      </c>
      <c r="K636" t="s">
        <v>3923</v>
      </c>
      <c r="L636">
        <v>13.83</v>
      </c>
      <c r="M636">
        <v>8.4700000000000006</v>
      </c>
      <c r="N636">
        <v>2.86</v>
      </c>
      <c r="O636">
        <v>6.97</v>
      </c>
      <c r="P636">
        <v>9.0500000000000007</v>
      </c>
      <c r="Q636">
        <v>-1.54</v>
      </c>
      <c r="R636">
        <v>8.33</v>
      </c>
      <c r="S636">
        <v>9</v>
      </c>
      <c r="T636">
        <v>1681742</v>
      </c>
      <c r="U636">
        <v>8.4700000000000006</v>
      </c>
      <c r="V636">
        <v>8.4600000000000009</v>
      </c>
      <c r="W636">
        <v>33.67</v>
      </c>
      <c r="X636" t="s">
        <v>394</v>
      </c>
      <c r="Y636" t="s">
        <v>123</v>
      </c>
      <c r="Z636">
        <v>8.51</v>
      </c>
      <c r="AA636">
        <v>8.67</v>
      </c>
      <c r="AB636">
        <v>815784</v>
      </c>
      <c r="AC636">
        <v>865958</v>
      </c>
      <c r="AD636">
        <v>0.94</v>
      </c>
      <c r="AE636">
        <v>454</v>
      </c>
      <c r="AF636">
        <v>1097</v>
      </c>
      <c r="AG636" t="s">
        <v>120</v>
      </c>
      <c r="AH636">
        <v>1.1000000000000001</v>
      </c>
      <c r="AI636" t="s">
        <v>120</v>
      </c>
      <c r="AJ636">
        <v>12.16</v>
      </c>
      <c r="AK636" t="s">
        <v>3924</v>
      </c>
      <c r="AL636">
        <v>2.0299999999999998</v>
      </c>
      <c r="AM636">
        <v>4654</v>
      </c>
      <c r="AN636">
        <v>361</v>
      </c>
      <c r="AO636">
        <v>3.0000000000000001E-3</v>
      </c>
      <c r="AP636">
        <v>4</v>
      </c>
      <c r="AQ636">
        <v>10.01</v>
      </c>
      <c r="AR636">
        <v>16.510000000000002</v>
      </c>
      <c r="AS636">
        <v>45.53</v>
      </c>
      <c r="AT636">
        <v>75.73</v>
      </c>
      <c r="AU636">
        <v>62.88</v>
      </c>
      <c r="AV636">
        <v>10</v>
      </c>
      <c r="AW636">
        <v>24.65</v>
      </c>
      <c r="AX636">
        <v>55.18</v>
      </c>
      <c r="AY636">
        <v>45.92</v>
      </c>
      <c r="AZ636">
        <v>63.11</v>
      </c>
      <c r="BA636">
        <v>0.92</v>
      </c>
      <c r="BB636" t="s">
        <v>751</v>
      </c>
      <c r="BF636">
        <v>2.46</v>
      </c>
      <c r="BG636">
        <v>-5.89</v>
      </c>
      <c r="BH636">
        <v>-6.41</v>
      </c>
      <c r="BI636">
        <v>1.68</v>
      </c>
      <c r="BJ636">
        <v>20210831</v>
      </c>
      <c r="BK636">
        <v>20080228</v>
      </c>
      <c r="BL636">
        <v>12.36</v>
      </c>
      <c r="BM636" t="s">
        <v>120</v>
      </c>
      <c r="BN636" t="s">
        <v>120</v>
      </c>
      <c r="BO636">
        <v>64.95</v>
      </c>
      <c r="BP636">
        <v>8.4600000000000009</v>
      </c>
      <c r="BQ636">
        <v>32.53</v>
      </c>
      <c r="BR636" t="s">
        <v>120</v>
      </c>
      <c r="BS636">
        <v>49.91</v>
      </c>
      <c r="BT636">
        <v>26.73</v>
      </c>
      <c r="BU636">
        <v>28.65</v>
      </c>
      <c r="BV636">
        <v>4.09</v>
      </c>
      <c r="BW636">
        <v>20.13</v>
      </c>
      <c r="BX636">
        <v>5.81</v>
      </c>
      <c r="BY636">
        <v>4.04</v>
      </c>
      <c r="BZ636">
        <v>14.01</v>
      </c>
      <c r="CA636">
        <v>0.04</v>
      </c>
      <c r="CB636">
        <v>13.16</v>
      </c>
      <c r="CC636">
        <v>7.33</v>
      </c>
      <c r="CD636">
        <v>4.6399999999999997</v>
      </c>
      <c r="CE636">
        <v>1.62</v>
      </c>
      <c r="CF636">
        <v>0.35</v>
      </c>
      <c r="CG636">
        <v>1.62</v>
      </c>
      <c r="CH636">
        <v>1.55</v>
      </c>
      <c r="CI636">
        <v>1.55</v>
      </c>
      <c r="CJ636">
        <v>0.01</v>
      </c>
      <c r="CK636">
        <v>1.1599999999999999</v>
      </c>
      <c r="CL636">
        <v>6.73</v>
      </c>
      <c r="CM636">
        <v>0.7</v>
      </c>
      <c r="CN636">
        <v>1.69</v>
      </c>
      <c r="CO636">
        <v>68567</v>
      </c>
      <c r="CP636">
        <v>9949</v>
      </c>
      <c r="CQ636" t="s">
        <v>3925</v>
      </c>
      <c r="CR636">
        <v>66.41</v>
      </c>
      <c r="CS636">
        <v>14.98</v>
      </c>
      <c r="CT636">
        <v>3.22</v>
      </c>
      <c r="CU636">
        <v>149.86000000000001</v>
      </c>
      <c r="CV636">
        <v>14.28</v>
      </c>
      <c r="CW636">
        <v>0</v>
      </c>
      <c r="CX636" t="s">
        <v>3926</v>
      </c>
      <c r="CY636">
        <v>2.63</v>
      </c>
      <c r="CZ636">
        <v>0</v>
      </c>
      <c r="DA636">
        <v>1.06</v>
      </c>
      <c r="DB636">
        <v>0.54</v>
      </c>
      <c r="DC636">
        <v>0.06</v>
      </c>
      <c r="DD636">
        <v>50.09</v>
      </c>
      <c r="DE636" t="s">
        <v>1592</v>
      </c>
      <c r="DF636">
        <v>36.75</v>
      </c>
      <c r="DG636">
        <v>22.07</v>
      </c>
      <c r="DH636">
        <v>21.2</v>
      </c>
      <c r="DI636">
        <v>0.1</v>
      </c>
      <c r="DJ636">
        <v>1226</v>
      </c>
      <c r="DK636">
        <v>2218</v>
      </c>
      <c r="DL636">
        <v>20210624</v>
      </c>
      <c r="DM636">
        <v>4.82</v>
      </c>
      <c r="DN636">
        <v>75.73</v>
      </c>
    </row>
    <row r="637" spans="1:118">
      <c r="A637" t="str">
        <f>"002221"</f>
        <v>002221</v>
      </c>
      <c r="B637" t="s">
        <v>3927</v>
      </c>
      <c r="C637">
        <v>-0.27</v>
      </c>
      <c r="D637">
        <v>-0.33</v>
      </c>
      <c r="E637">
        <v>3.88</v>
      </c>
      <c r="F637">
        <v>17806</v>
      </c>
      <c r="G637" t="s">
        <v>3928</v>
      </c>
      <c r="H637">
        <v>142927.10999999999</v>
      </c>
      <c r="I637">
        <v>3254.35</v>
      </c>
      <c r="J637" t="s">
        <v>120</v>
      </c>
      <c r="K637" t="s">
        <v>3929</v>
      </c>
      <c r="L637">
        <v>6.11</v>
      </c>
      <c r="M637">
        <v>14.64</v>
      </c>
      <c r="N637">
        <v>2.15</v>
      </c>
      <c r="O637">
        <v>10.01</v>
      </c>
      <c r="P637">
        <v>16.149999999999999</v>
      </c>
      <c r="Q637">
        <v>-0.27</v>
      </c>
      <c r="R637">
        <v>14.64</v>
      </c>
      <c r="S637">
        <v>15.25</v>
      </c>
      <c r="T637">
        <v>936021</v>
      </c>
      <c r="U637">
        <v>14.64</v>
      </c>
      <c r="V637">
        <v>14.68</v>
      </c>
      <c r="W637">
        <v>16.05</v>
      </c>
      <c r="X637" t="s">
        <v>532</v>
      </c>
      <c r="Y637" t="s">
        <v>319</v>
      </c>
      <c r="Z637">
        <v>10.29</v>
      </c>
      <c r="AA637">
        <v>15.27</v>
      </c>
      <c r="AB637">
        <v>443238</v>
      </c>
      <c r="AC637">
        <v>492782</v>
      </c>
      <c r="AD637">
        <v>0.9</v>
      </c>
      <c r="AE637">
        <v>745</v>
      </c>
      <c r="AF637">
        <v>332</v>
      </c>
      <c r="AG637" t="s">
        <v>120</v>
      </c>
      <c r="AH637">
        <v>0.24</v>
      </c>
      <c r="AI637" t="s">
        <v>120</v>
      </c>
      <c r="AJ637">
        <v>15.31</v>
      </c>
      <c r="AK637" t="s">
        <v>3930</v>
      </c>
      <c r="AL637">
        <v>1.64</v>
      </c>
      <c r="AM637">
        <v>4477</v>
      </c>
      <c r="AN637">
        <v>209</v>
      </c>
      <c r="AO637">
        <v>1.4E-3</v>
      </c>
      <c r="AP637">
        <v>-1</v>
      </c>
      <c r="AQ637">
        <v>6.76</v>
      </c>
      <c r="AR637">
        <v>8.36</v>
      </c>
      <c r="AS637">
        <v>21.5</v>
      </c>
      <c r="AT637">
        <v>34.44</v>
      </c>
      <c r="AU637">
        <v>47.75</v>
      </c>
      <c r="AV637">
        <v>2</v>
      </c>
      <c r="AW637">
        <v>10.31</v>
      </c>
      <c r="AX637">
        <v>55.04</v>
      </c>
      <c r="AY637">
        <v>19.03</v>
      </c>
      <c r="AZ637">
        <v>20</v>
      </c>
      <c r="BA637">
        <v>0.44</v>
      </c>
      <c r="BB637" t="s">
        <v>168</v>
      </c>
      <c r="BF637">
        <v>4.0199999999999996</v>
      </c>
      <c r="BG637">
        <v>-4</v>
      </c>
      <c r="BH637">
        <v>-9.35</v>
      </c>
      <c r="BI637">
        <v>0</v>
      </c>
      <c r="BJ637">
        <v>20210825</v>
      </c>
      <c r="BK637">
        <v>20080306</v>
      </c>
      <c r="BL637">
        <v>16.489999999999998</v>
      </c>
      <c r="BM637" t="s">
        <v>120</v>
      </c>
      <c r="BN637" t="s">
        <v>120</v>
      </c>
      <c r="BO637">
        <v>320.83</v>
      </c>
      <c r="BP637">
        <v>14.63</v>
      </c>
      <c r="BQ637">
        <v>110.29</v>
      </c>
      <c r="BR637">
        <v>0.18</v>
      </c>
      <c r="BS637">
        <v>65.569999999999993</v>
      </c>
      <c r="BT637">
        <v>164.78</v>
      </c>
      <c r="BU637">
        <v>68.349999999999994</v>
      </c>
      <c r="BV637">
        <v>11.01</v>
      </c>
      <c r="BW637">
        <v>132.82</v>
      </c>
      <c r="BX637">
        <v>75.900000000000006</v>
      </c>
      <c r="BY637">
        <v>22.55</v>
      </c>
      <c r="BZ637">
        <v>24.94</v>
      </c>
      <c r="CA637">
        <v>0.02</v>
      </c>
      <c r="CB637">
        <v>39.89</v>
      </c>
      <c r="CC637">
        <v>142.59</v>
      </c>
      <c r="CD637">
        <v>128.33000000000001</v>
      </c>
      <c r="CE637">
        <v>9.7100000000000009</v>
      </c>
      <c r="CF637">
        <v>0.33</v>
      </c>
      <c r="CG637">
        <v>9.91</v>
      </c>
      <c r="CH637">
        <v>7.53</v>
      </c>
      <c r="CI637">
        <v>7.52</v>
      </c>
      <c r="CJ637">
        <v>-0.04</v>
      </c>
      <c r="CK637">
        <v>7.04</v>
      </c>
      <c r="CL637">
        <v>56.5</v>
      </c>
      <c r="CM637">
        <v>5.37</v>
      </c>
      <c r="CN637">
        <v>1.42</v>
      </c>
      <c r="CO637">
        <v>37862</v>
      </c>
      <c r="CP637">
        <v>23970</v>
      </c>
      <c r="CQ637" t="s">
        <v>3931</v>
      </c>
      <c r="CR637">
        <v>8.92</v>
      </c>
      <c r="CS637">
        <v>-13.32</v>
      </c>
      <c r="CT637">
        <v>2.19</v>
      </c>
      <c r="CU637">
        <v>44.96</v>
      </c>
      <c r="CV637">
        <v>1.69</v>
      </c>
      <c r="CW637">
        <v>1.5</v>
      </c>
      <c r="CX637" t="s">
        <v>780</v>
      </c>
      <c r="CY637">
        <v>6.69</v>
      </c>
      <c r="CZ637">
        <v>0</v>
      </c>
      <c r="DA637">
        <v>2.42</v>
      </c>
      <c r="DB637">
        <v>3.43</v>
      </c>
      <c r="DC637">
        <v>0.33</v>
      </c>
      <c r="DD637">
        <v>34.380000000000003</v>
      </c>
      <c r="DE637" t="s">
        <v>1792</v>
      </c>
      <c r="DF637">
        <v>10</v>
      </c>
      <c r="DG637">
        <v>6.81</v>
      </c>
      <c r="DH637">
        <v>5.28</v>
      </c>
      <c r="DI637">
        <v>0.37</v>
      </c>
      <c r="DJ637">
        <v>1903</v>
      </c>
      <c r="DK637">
        <v>2221</v>
      </c>
      <c r="DL637" t="s">
        <v>120</v>
      </c>
      <c r="DM637" t="s">
        <v>120</v>
      </c>
      <c r="DN637" t="s">
        <v>120</v>
      </c>
    </row>
    <row r="638" spans="1:118">
      <c r="A638" t="str">
        <f>"002222"</f>
        <v>002222</v>
      </c>
      <c r="B638" t="s">
        <v>3932</v>
      </c>
      <c r="C638">
        <v>-3.65</v>
      </c>
      <c r="D638">
        <v>0</v>
      </c>
      <c r="E638">
        <v>-0.12</v>
      </c>
      <c r="F638">
        <v>1922</v>
      </c>
      <c r="G638" t="s">
        <v>3933</v>
      </c>
      <c r="H638">
        <v>22173.98</v>
      </c>
      <c r="I638">
        <v>64.63</v>
      </c>
      <c r="J638" t="s">
        <v>120</v>
      </c>
      <c r="K638" t="s">
        <v>3934</v>
      </c>
      <c r="L638">
        <v>3.18</v>
      </c>
      <c r="M638">
        <v>16.11</v>
      </c>
      <c r="N638">
        <v>1.1100000000000001</v>
      </c>
      <c r="O638">
        <v>0.84</v>
      </c>
      <c r="P638">
        <v>16.86</v>
      </c>
      <c r="Q638">
        <v>-3.71</v>
      </c>
      <c r="R638">
        <v>16.100000000000001</v>
      </c>
      <c r="S638">
        <v>16.7</v>
      </c>
      <c r="T638">
        <v>134625</v>
      </c>
      <c r="U638">
        <v>16.12</v>
      </c>
      <c r="V638">
        <v>16.72</v>
      </c>
      <c r="W638">
        <v>33.979999999999997</v>
      </c>
      <c r="X638" t="s">
        <v>229</v>
      </c>
      <c r="Y638" t="s">
        <v>937</v>
      </c>
      <c r="Z638">
        <v>4.55</v>
      </c>
      <c r="AA638">
        <v>16.47</v>
      </c>
      <c r="AB638">
        <v>78625</v>
      </c>
      <c r="AC638">
        <v>56000</v>
      </c>
      <c r="AD638">
        <v>1.4</v>
      </c>
      <c r="AE638">
        <v>1535</v>
      </c>
      <c r="AF638">
        <v>22</v>
      </c>
      <c r="AG638" t="s">
        <v>120</v>
      </c>
      <c r="AH638">
        <v>0.01</v>
      </c>
      <c r="AI638" t="s">
        <v>120</v>
      </c>
      <c r="AJ638">
        <v>4.24</v>
      </c>
      <c r="AK638" t="s">
        <v>3935</v>
      </c>
      <c r="AL638">
        <v>-1.73</v>
      </c>
      <c r="AM638">
        <v>2997</v>
      </c>
      <c r="AN638">
        <v>45</v>
      </c>
      <c r="AO638">
        <v>1.1000000000000001E-3</v>
      </c>
      <c r="AP638">
        <v>-1</v>
      </c>
      <c r="AQ638">
        <v>0.48</v>
      </c>
      <c r="AR638">
        <v>-5.12</v>
      </c>
      <c r="AS638">
        <v>-5.52</v>
      </c>
      <c r="AT638">
        <v>-3.71</v>
      </c>
      <c r="AU638">
        <v>17.850000000000001</v>
      </c>
      <c r="AV638">
        <v>3</v>
      </c>
      <c r="AW638">
        <v>4.24</v>
      </c>
      <c r="AX638">
        <v>74.260000000000005</v>
      </c>
      <c r="AY638">
        <v>43.15</v>
      </c>
      <c r="AZ638">
        <v>49.75</v>
      </c>
      <c r="BA638">
        <v>0.99</v>
      </c>
      <c r="BB638" t="s">
        <v>143</v>
      </c>
      <c r="BF638">
        <v>-1.49</v>
      </c>
      <c r="BG638">
        <v>-3.53</v>
      </c>
      <c r="BH638">
        <v>-4.45</v>
      </c>
      <c r="BI638">
        <v>0.06</v>
      </c>
      <c r="BJ638">
        <v>20210913</v>
      </c>
      <c r="BK638">
        <v>20080319</v>
      </c>
      <c r="BL638">
        <v>4.28</v>
      </c>
      <c r="BM638" t="s">
        <v>120</v>
      </c>
      <c r="BN638" t="s">
        <v>120</v>
      </c>
      <c r="BO638">
        <v>12.66</v>
      </c>
      <c r="BP638">
        <v>16.11</v>
      </c>
      <c r="BQ638">
        <v>11.28</v>
      </c>
      <c r="BR638">
        <v>0.34</v>
      </c>
      <c r="BS638">
        <v>8.23</v>
      </c>
      <c r="BT638">
        <v>7.6</v>
      </c>
      <c r="BU638">
        <v>3.66</v>
      </c>
      <c r="BV638">
        <v>0.2</v>
      </c>
      <c r="BW638">
        <v>0.9</v>
      </c>
      <c r="BX638">
        <v>2.74</v>
      </c>
      <c r="BY638">
        <v>1.69</v>
      </c>
      <c r="BZ638">
        <v>2.27</v>
      </c>
      <c r="CA638" t="s">
        <v>120</v>
      </c>
      <c r="CB638">
        <v>0.66</v>
      </c>
      <c r="CC638">
        <v>3.53</v>
      </c>
      <c r="CD638">
        <v>1.56</v>
      </c>
      <c r="CE638">
        <v>1.21</v>
      </c>
      <c r="CF638">
        <v>0.04</v>
      </c>
      <c r="CG638">
        <v>1.21</v>
      </c>
      <c r="CH638">
        <v>1.03</v>
      </c>
      <c r="CI638">
        <v>1.01</v>
      </c>
      <c r="CJ638">
        <v>-0.61</v>
      </c>
      <c r="CK638">
        <v>0.98</v>
      </c>
      <c r="CL638">
        <v>5.3</v>
      </c>
      <c r="CM638">
        <v>0.67</v>
      </c>
      <c r="CN638">
        <v>0.22</v>
      </c>
      <c r="CO638">
        <v>57618</v>
      </c>
      <c r="CP638">
        <v>5510</v>
      </c>
      <c r="CQ638" t="s">
        <v>3936</v>
      </c>
      <c r="CR638">
        <v>27.7</v>
      </c>
      <c r="CS638">
        <v>29.59</v>
      </c>
      <c r="CT638">
        <v>6.1</v>
      </c>
      <c r="CU638">
        <v>103.2</v>
      </c>
      <c r="CV638">
        <v>19.510000000000002</v>
      </c>
      <c r="CW638">
        <v>0.6</v>
      </c>
      <c r="CX638" t="s">
        <v>3937</v>
      </c>
      <c r="CY638">
        <v>2.64</v>
      </c>
      <c r="CZ638">
        <v>0</v>
      </c>
      <c r="DA638">
        <v>0.15</v>
      </c>
      <c r="DB638">
        <v>1.24</v>
      </c>
      <c r="DC638">
        <v>0.16</v>
      </c>
      <c r="DD638">
        <v>89.1</v>
      </c>
      <c r="DE638" t="s">
        <v>3938</v>
      </c>
      <c r="DF638">
        <v>55.85</v>
      </c>
      <c r="DG638">
        <v>34.26</v>
      </c>
      <c r="DH638">
        <v>28.72</v>
      </c>
      <c r="DI638">
        <v>0.31</v>
      </c>
      <c r="DJ638">
        <v>1325</v>
      </c>
      <c r="DK638">
        <v>2222</v>
      </c>
      <c r="DL638" t="s">
        <v>120</v>
      </c>
      <c r="DM638" t="s">
        <v>120</v>
      </c>
      <c r="DN638" t="s">
        <v>120</v>
      </c>
    </row>
    <row r="639" spans="1:118">
      <c r="A639" t="str">
        <f>"002223"</f>
        <v>002223</v>
      </c>
      <c r="B639" t="s">
        <v>3939</v>
      </c>
      <c r="C639">
        <v>0.42</v>
      </c>
      <c r="D639">
        <v>-0.18</v>
      </c>
      <c r="E639">
        <v>0</v>
      </c>
      <c r="F639">
        <v>1570</v>
      </c>
      <c r="G639" t="s">
        <v>3940</v>
      </c>
      <c r="H639">
        <v>20843.29</v>
      </c>
      <c r="I639">
        <v>62.93</v>
      </c>
      <c r="J639" t="s">
        <v>120</v>
      </c>
      <c r="K639" t="s">
        <v>3941</v>
      </c>
      <c r="L639">
        <v>0.71</v>
      </c>
      <c r="M639">
        <v>31.13</v>
      </c>
      <c r="N639">
        <v>0.74</v>
      </c>
      <c r="O639">
        <v>1.48</v>
      </c>
      <c r="P639">
        <v>31.46</v>
      </c>
      <c r="Q639">
        <v>-0.84</v>
      </c>
      <c r="R639">
        <v>30.74</v>
      </c>
      <c r="S639">
        <v>31</v>
      </c>
      <c r="T639">
        <v>66795</v>
      </c>
      <c r="U639">
        <v>31.15</v>
      </c>
      <c r="V639">
        <v>31</v>
      </c>
      <c r="W639">
        <v>16.21</v>
      </c>
      <c r="X639" t="s">
        <v>555</v>
      </c>
      <c r="Y639" t="s">
        <v>319</v>
      </c>
      <c r="Z639">
        <v>2.3199999999999998</v>
      </c>
      <c r="AA639">
        <v>31.21</v>
      </c>
      <c r="AB639">
        <v>27629</v>
      </c>
      <c r="AC639">
        <v>39166</v>
      </c>
      <c r="AD639">
        <v>0.71</v>
      </c>
      <c r="AE639">
        <v>245</v>
      </c>
      <c r="AF639">
        <v>2</v>
      </c>
      <c r="AG639" t="s">
        <v>120</v>
      </c>
      <c r="AH639">
        <v>0</v>
      </c>
      <c r="AI639" t="s">
        <v>120</v>
      </c>
      <c r="AJ639">
        <v>9.44</v>
      </c>
      <c r="AK639" t="s">
        <v>3942</v>
      </c>
      <c r="AL639">
        <v>2.33</v>
      </c>
      <c r="AM639">
        <v>3449</v>
      </c>
      <c r="AN639">
        <v>19</v>
      </c>
      <c r="AO639">
        <v>2.0000000000000001E-4</v>
      </c>
      <c r="AP639">
        <v>1</v>
      </c>
      <c r="AQ639">
        <v>-3.67</v>
      </c>
      <c r="AR639">
        <v>-2.5099999999999998</v>
      </c>
      <c r="AS639">
        <v>-17.43</v>
      </c>
      <c r="AT639">
        <v>-15.64</v>
      </c>
      <c r="AU639">
        <v>11.54</v>
      </c>
      <c r="AV639">
        <v>0</v>
      </c>
      <c r="AW639">
        <v>1.1599999999999999</v>
      </c>
      <c r="AX639">
        <v>57.42</v>
      </c>
      <c r="AY639">
        <v>19.39</v>
      </c>
      <c r="AZ639">
        <v>17.670000000000002</v>
      </c>
      <c r="BA639">
        <v>1.39</v>
      </c>
      <c r="BB639" t="s">
        <v>134</v>
      </c>
      <c r="BF639">
        <v>0.66</v>
      </c>
      <c r="BG639">
        <v>0.42</v>
      </c>
      <c r="BH639">
        <v>-1.05</v>
      </c>
      <c r="BI639">
        <v>1.27</v>
      </c>
      <c r="BJ639">
        <v>20210901</v>
      </c>
      <c r="BK639">
        <v>20080418</v>
      </c>
      <c r="BL639">
        <v>10.02</v>
      </c>
      <c r="BM639" t="s">
        <v>120</v>
      </c>
      <c r="BN639" t="s">
        <v>120</v>
      </c>
      <c r="BO639">
        <v>114.27</v>
      </c>
      <c r="BP639">
        <v>31.13</v>
      </c>
      <c r="BQ639">
        <v>77.459999999999994</v>
      </c>
      <c r="BR639">
        <v>0.62</v>
      </c>
      <c r="BS639">
        <v>31.67</v>
      </c>
      <c r="BT639">
        <v>66.56</v>
      </c>
      <c r="BU639">
        <v>20.09</v>
      </c>
      <c r="BV639">
        <v>5.46</v>
      </c>
      <c r="BW639">
        <v>18.46</v>
      </c>
      <c r="BX639">
        <v>31.52</v>
      </c>
      <c r="BY639">
        <v>10.67</v>
      </c>
      <c r="BZ639">
        <v>8.33</v>
      </c>
      <c r="CA639">
        <v>0</v>
      </c>
      <c r="CB639">
        <v>17.84</v>
      </c>
      <c r="CC639">
        <v>35.93</v>
      </c>
      <c r="CD639">
        <v>17.79</v>
      </c>
      <c r="CE639">
        <v>11.31</v>
      </c>
      <c r="CF639">
        <v>0.73</v>
      </c>
      <c r="CG639">
        <v>11.41</v>
      </c>
      <c r="CH639">
        <v>9.68</v>
      </c>
      <c r="CI639">
        <v>9.6300000000000008</v>
      </c>
      <c r="CJ639">
        <v>0.13</v>
      </c>
      <c r="CK639">
        <v>8.8000000000000007</v>
      </c>
      <c r="CL639">
        <v>48.02</v>
      </c>
      <c r="CM639">
        <v>8.01</v>
      </c>
      <c r="CN639">
        <v>8.8000000000000007</v>
      </c>
      <c r="CO639">
        <v>80000</v>
      </c>
      <c r="CP639">
        <v>7196</v>
      </c>
      <c r="CQ639" t="s">
        <v>3943</v>
      </c>
      <c r="CR639">
        <v>-13.99</v>
      </c>
      <c r="CS639">
        <v>5.03</v>
      </c>
      <c r="CT639">
        <v>4.03</v>
      </c>
      <c r="CU639">
        <v>38.979999999999997</v>
      </c>
      <c r="CV639">
        <v>8.69</v>
      </c>
      <c r="CW639">
        <v>0.96</v>
      </c>
      <c r="CX639" t="s">
        <v>3944</v>
      </c>
      <c r="CY639">
        <v>7.73</v>
      </c>
      <c r="CZ639">
        <v>0</v>
      </c>
      <c r="DA639">
        <v>1.78</v>
      </c>
      <c r="DB639">
        <v>4.79</v>
      </c>
      <c r="DC639">
        <v>0.8</v>
      </c>
      <c r="DD639">
        <v>67.78</v>
      </c>
      <c r="DE639" t="s">
        <v>3945</v>
      </c>
      <c r="DF639">
        <v>50.48</v>
      </c>
      <c r="DG639">
        <v>31.47</v>
      </c>
      <c r="DH639">
        <v>26.8</v>
      </c>
      <c r="DI639">
        <v>1.84</v>
      </c>
      <c r="DJ639">
        <v>5525</v>
      </c>
      <c r="DK639">
        <v>2223</v>
      </c>
      <c r="DL639" t="s">
        <v>120</v>
      </c>
      <c r="DM639" t="s">
        <v>120</v>
      </c>
      <c r="DN639" t="s">
        <v>120</v>
      </c>
    </row>
    <row r="640" spans="1:118">
      <c r="A640" t="str">
        <f>"002224"</f>
        <v>002224</v>
      </c>
      <c r="B640" t="s">
        <v>3946</v>
      </c>
      <c r="C640">
        <v>0.56999999999999995</v>
      </c>
      <c r="D640">
        <v>0</v>
      </c>
      <c r="E640">
        <v>0.38</v>
      </c>
      <c r="F640">
        <v>484</v>
      </c>
      <c r="G640" t="s">
        <v>3947</v>
      </c>
      <c r="H640">
        <v>6035.96</v>
      </c>
      <c r="I640">
        <v>37.31</v>
      </c>
      <c r="J640" t="s">
        <v>120</v>
      </c>
      <c r="K640" t="s">
        <v>3948</v>
      </c>
      <c r="L640">
        <v>2.09</v>
      </c>
      <c r="M640">
        <v>5.28</v>
      </c>
      <c r="N640">
        <v>1.1399999999999999</v>
      </c>
      <c r="O640">
        <v>3.05</v>
      </c>
      <c r="P640">
        <v>5.41</v>
      </c>
      <c r="Q640">
        <v>0.19</v>
      </c>
      <c r="R640">
        <v>5.26</v>
      </c>
      <c r="S640">
        <v>5.27</v>
      </c>
      <c r="T640">
        <v>113214</v>
      </c>
      <c r="U640">
        <v>5.29</v>
      </c>
      <c r="V640">
        <v>5.25</v>
      </c>
      <c r="W640">
        <v>26.75</v>
      </c>
      <c r="X640" t="s">
        <v>2306</v>
      </c>
      <c r="Y640" t="s">
        <v>585</v>
      </c>
      <c r="Z640">
        <v>2.86</v>
      </c>
      <c r="AA640">
        <v>5.33</v>
      </c>
      <c r="AB640">
        <v>48714</v>
      </c>
      <c r="AC640">
        <v>64500</v>
      </c>
      <c r="AD640">
        <v>0.76</v>
      </c>
      <c r="AE640">
        <v>2365</v>
      </c>
      <c r="AF640">
        <v>940</v>
      </c>
      <c r="AG640" t="s">
        <v>120</v>
      </c>
      <c r="AH640">
        <v>0.02</v>
      </c>
      <c r="AI640" t="s">
        <v>120</v>
      </c>
      <c r="AJ640">
        <v>5.43</v>
      </c>
      <c r="AK640" t="s">
        <v>3949</v>
      </c>
      <c r="AL640">
        <v>2.4900000000000002</v>
      </c>
      <c r="AM640">
        <v>2091</v>
      </c>
      <c r="AN640">
        <v>54</v>
      </c>
      <c r="AO640">
        <v>1E-3</v>
      </c>
      <c r="AP640">
        <v>1</v>
      </c>
      <c r="AQ640">
        <v>0</v>
      </c>
      <c r="AR640">
        <v>-0.94</v>
      </c>
      <c r="AS640">
        <v>6.02</v>
      </c>
      <c r="AT640">
        <v>10.23</v>
      </c>
      <c r="AU640">
        <v>-8.49</v>
      </c>
      <c r="AV640">
        <v>2</v>
      </c>
      <c r="AW640">
        <v>2.41</v>
      </c>
      <c r="AX640">
        <v>64.36</v>
      </c>
      <c r="AY640">
        <v>24.16</v>
      </c>
      <c r="AZ640">
        <v>22.62</v>
      </c>
      <c r="BA640">
        <v>0.61</v>
      </c>
      <c r="BB640" t="s">
        <v>143</v>
      </c>
      <c r="BF640">
        <v>1.55</v>
      </c>
      <c r="BG640">
        <v>0.19</v>
      </c>
      <c r="BH640">
        <v>-2.4</v>
      </c>
      <c r="BI640">
        <v>0.38</v>
      </c>
      <c r="BJ640">
        <v>20210902</v>
      </c>
      <c r="BK640">
        <v>20080425</v>
      </c>
      <c r="BL640">
        <v>7.3</v>
      </c>
      <c r="BM640" t="s">
        <v>120</v>
      </c>
      <c r="BN640" t="s">
        <v>120</v>
      </c>
      <c r="BO640">
        <v>29.02</v>
      </c>
      <c r="BP640">
        <v>5.28</v>
      </c>
      <c r="BQ640">
        <v>24.03</v>
      </c>
      <c r="BR640">
        <v>0.04</v>
      </c>
      <c r="BS640">
        <v>17.03</v>
      </c>
      <c r="BT640">
        <v>17.27</v>
      </c>
      <c r="BU640">
        <v>5.93</v>
      </c>
      <c r="BV640">
        <v>2.2599999999999998</v>
      </c>
      <c r="BW640">
        <v>2.09</v>
      </c>
      <c r="BX640">
        <v>10.58</v>
      </c>
      <c r="BY640">
        <v>2.94</v>
      </c>
      <c r="BZ640">
        <v>0.96</v>
      </c>
      <c r="CA640">
        <v>0.28000000000000003</v>
      </c>
      <c r="CB640">
        <v>4.74</v>
      </c>
      <c r="CC640">
        <v>4</v>
      </c>
      <c r="CD640">
        <v>2.4500000000000002</v>
      </c>
      <c r="CE640">
        <v>0.74</v>
      </c>
      <c r="CF640">
        <v>0.11</v>
      </c>
      <c r="CG640">
        <v>0.74</v>
      </c>
      <c r="CH640">
        <v>0.72</v>
      </c>
      <c r="CI640">
        <v>0.72</v>
      </c>
      <c r="CJ640">
        <v>0.03</v>
      </c>
      <c r="CK640">
        <v>0.91</v>
      </c>
      <c r="CL640">
        <v>11.15</v>
      </c>
      <c r="CM640">
        <v>1.1100000000000001</v>
      </c>
      <c r="CN640">
        <v>-0.24</v>
      </c>
      <c r="CO640">
        <v>57172</v>
      </c>
      <c r="CP640">
        <v>8213</v>
      </c>
      <c r="CQ640" t="s">
        <v>3950</v>
      </c>
      <c r="CR640">
        <v>-12.99</v>
      </c>
      <c r="CS640">
        <v>5.05</v>
      </c>
      <c r="CT640">
        <v>1.64</v>
      </c>
      <c r="CU640">
        <v>34.58</v>
      </c>
      <c r="CV640">
        <v>9.64</v>
      </c>
      <c r="CW640">
        <v>0.37</v>
      </c>
      <c r="CX640" t="s">
        <v>411</v>
      </c>
      <c r="CY640">
        <v>3.22</v>
      </c>
      <c r="CZ640">
        <v>3.22</v>
      </c>
      <c r="DA640">
        <v>0.65</v>
      </c>
      <c r="DB640">
        <v>1.53</v>
      </c>
      <c r="DC640">
        <v>0.15</v>
      </c>
      <c r="DD640">
        <v>82.82</v>
      </c>
      <c r="DE640" t="s">
        <v>2643</v>
      </c>
      <c r="DF640">
        <v>38.659999999999997</v>
      </c>
      <c r="DG640">
        <v>18.64</v>
      </c>
      <c r="DH640">
        <v>18.02</v>
      </c>
      <c r="DI640">
        <v>0.12</v>
      </c>
      <c r="DJ640">
        <v>888</v>
      </c>
      <c r="DK640">
        <v>2224</v>
      </c>
      <c r="DL640" t="s">
        <v>120</v>
      </c>
      <c r="DM640" t="s">
        <v>120</v>
      </c>
      <c r="DN640" t="s">
        <v>120</v>
      </c>
    </row>
    <row r="641" spans="1:118">
      <c r="A641" t="str">
        <f>"002225"</f>
        <v>002225</v>
      </c>
      <c r="B641" t="s">
        <v>3951</v>
      </c>
      <c r="C641">
        <v>0.76</v>
      </c>
      <c r="D641">
        <v>0.38</v>
      </c>
      <c r="E641">
        <v>0.95</v>
      </c>
      <c r="F641">
        <v>6246</v>
      </c>
      <c r="G641" t="s">
        <v>3952</v>
      </c>
      <c r="H641">
        <v>31183.1</v>
      </c>
      <c r="I641">
        <v>137.96</v>
      </c>
      <c r="J641" t="s">
        <v>120</v>
      </c>
      <c r="K641" t="s">
        <v>3953</v>
      </c>
      <c r="L641">
        <v>7.08</v>
      </c>
      <c r="M641">
        <v>5.29</v>
      </c>
      <c r="N641">
        <v>1.6</v>
      </c>
      <c r="O641">
        <v>6.86</v>
      </c>
      <c r="P641">
        <v>5.61</v>
      </c>
      <c r="Q641">
        <v>0</v>
      </c>
      <c r="R641">
        <v>5.25</v>
      </c>
      <c r="S641">
        <v>5.3</v>
      </c>
      <c r="T641">
        <v>575815</v>
      </c>
      <c r="U641">
        <v>5.29</v>
      </c>
      <c r="V641">
        <v>5.25</v>
      </c>
      <c r="W641">
        <v>22.38</v>
      </c>
      <c r="X641" t="s">
        <v>247</v>
      </c>
      <c r="Y641" t="s">
        <v>645</v>
      </c>
      <c r="Z641">
        <v>6.86</v>
      </c>
      <c r="AA641">
        <v>5.42</v>
      </c>
      <c r="AB641">
        <v>275741</v>
      </c>
      <c r="AC641">
        <v>300074</v>
      </c>
      <c r="AD641">
        <v>0.92</v>
      </c>
      <c r="AE641">
        <v>161</v>
      </c>
      <c r="AF641">
        <v>443</v>
      </c>
      <c r="AG641" t="s">
        <v>120</v>
      </c>
      <c r="AH641">
        <v>0.04</v>
      </c>
      <c r="AI641" t="s">
        <v>120</v>
      </c>
      <c r="AJ641">
        <v>8.1300000000000008</v>
      </c>
      <c r="AK641" t="s">
        <v>3954</v>
      </c>
      <c r="AL641">
        <v>2.68</v>
      </c>
      <c r="AM641">
        <v>3397</v>
      </c>
      <c r="AN641">
        <v>170</v>
      </c>
      <c r="AO641">
        <v>2.0999999999999999E-3</v>
      </c>
      <c r="AP641">
        <v>2</v>
      </c>
      <c r="AQ641">
        <v>3.14</v>
      </c>
      <c r="AR641">
        <v>2.5099999999999998</v>
      </c>
      <c r="AS641">
        <v>13.28</v>
      </c>
      <c r="AT641">
        <v>24.18</v>
      </c>
      <c r="AU641">
        <v>17.559999999999999</v>
      </c>
      <c r="AV641">
        <v>0</v>
      </c>
      <c r="AW641">
        <v>8.7100000000000009</v>
      </c>
      <c r="AX641">
        <v>65.41</v>
      </c>
      <c r="AY641">
        <v>21.07</v>
      </c>
      <c r="AZ641">
        <v>17.670000000000002</v>
      </c>
      <c r="BA641">
        <v>0.3</v>
      </c>
      <c r="BB641" t="s">
        <v>168</v>
      </c>
      <c r="BF641">
        <v>3.15</v>
      </c>
      <c r="BG641">
        <v>-0.19</v>
      </c>
      <c r="BH641">
        <v>-5.7</v>
      </c>
      <c r="BI641">
        <v>0.76</v>
      </c>
      <c r="BJ641">
        <v>20210910</v>
      </c>
      <c r="BK641">
        <v>20080425</v>
      </c>
      <c r="BL641">
        <v>10.1</v>
      </c>
      <c r="BM641" t="s">
        <v>120</v>
      </c>
      <c r="BN641" t="s">
        <v>120</v>
      </c>
      <c r="BO641">
        <v>70.37</v>
      </c>
      <c r="BP641">
        <v>5.28</v>
      </c>
      <c r="BQ641">
        <v>30.62</v>
      </c>
      <c r="BR641">
        <v>2.09</v>
      </c>
      <c r="BS641">
        <v>53.52</v>
      </c>
      <c r="BT641">
        <v>47.45</v>
      </c>
      <c r="BU641">
        <v>9.6300000000000008</v>
      </c>
      <c r="BV641">
        <v>3.56</v>
      </c>
      <c r="BW641">
        <v>27.94</v>
      </c>
      <c r="BX641">
        <v>8.1999999999999993</v>
      </c>
      <c r="BY641">
        <v>12.91</v>
      </c>
      <c r="BZ641">
        <v>15.19</v>
      </c>
      <c r="CA641" t="s">
        <v>120</v>
      </c>
      <c r="CB641">
        <v>8.25</v>
      </c>
      <c r="CC641">
        <v>21.93</v>
      </c>
      <c r="CD641">
        <v>17.18</v>
      </c>
      <c r="CE641">
        <v>1.38</v>
      </c>
      <c r="CF641">
        <v>0.02</v>
      </c>
      <c r="CG641">
        <v>1.36</v>
      </c>
      <c r="CH641">
        <v>1.2</v>
      </c>
      <c r="CI641">
        <v>1.19</v>
      </c>
      <c r="CJ641">
        <v>0.04</v>
      </c>
      <c r="CK641">
        <v>1.17</v>
      </c>
      <c r="CL641">
        <v>10.44</v>
      </c>
      <c r="CM641">
        <v>-2.5</v>
      </c>
      <c r="CN641">
        <v>4.2300000000000004</v>
      </c>
      <c r="CO641">
        <v>40647</v>
      </c>
      <c r="CP641">
        <v>16258</v>
      </c>
      <c r="CQ641" t="s">
        <v>3450</v>
      </c>
      <c r="CR641">
        <v>-28.83</v>
      </c>
      <c r="CS641">
        <v>5.46</v>
      </c>
      <c r="CT641">
        <v>1.77</v>
      </c>
      <c r="CU641">
        <v>-21.4</v>
      </c>
      <c r="CV641">
        <v>2.44</v>
      </c>
      <c r="CW641">
        <v>1.1399999999999999</v>
      </c>
      <c r="CX641" t="s">
        <v>850</v>
      </c>
      <c r="CY641">
        <v>2.99</v>
      </c>
      <c r="CZ641">
        <v>2.99</v>
      </c>
      <c r="DA641">
        <v>0.82</v>
      </c>
      <c r="DB641">
        <v>1.03</v>
      </c>
      <c r="DC641">
        <v>-0.25</v>
      </c>
      <c r="DD641">
        <v>43.51</v>
      </c>
      <c r="DE641" t="s">
        <v>2231</v>
      </c>
      <c r="DF641">
        <v>21.65</v>
      </c>
      <c r="DG641">
        <v>6.27</v>
      </c>
      <c r="DH641">
        <v>5.45</v>
      </c>
      <c r="DI641">
        <v>0.64</v>
      </c>
      <c r="DJ641">
        <v>4577</v>
      </c>
      <c r="DK641">
        <v>2225</v>
      </c>
      <c r="DL641" t="s">
        <v>120</v>
      </c>
      <c r="DM641" t="s">
        <v>120</v>
      </c>
      <c r="DN641" t="s">
        <v>120</v>
      </c>
    </row>
    <row r="642" spans="1:118">
      <c r="A642" t="str">
        <f>"002226"</f>
        <v>002226</v>
      </c>
      <c r="B642" t="s">
        <v>3955</v>
      </c>
      <c r="C642">
        <v>2.77</v>
      </c>
      <c r="D642">
        <v>0.15</v>
      </c>
      <c r="E642">
        <v>0.46</v>
      </c>
      <c r="F642">
        <v>4371</v>
      </c>
      <c r="G642" t="s">
        <v>3956</v>
      </c>
      <c r="H642">
        <v>41338.76</v>
      </c>
      <c r="I642">
        <v>169.39</v>
      </c>
      <c r="J642" t="s">
        <v>120</v>
      </c>
      <c r="K642" t="s">
        <v>3957</v>
      </c>
      <c r="L642">
        <v>4.6399999999999997</v>
      </c>
      <c r="M642">
        <v>6.68</v>
      </c>
      <c r="N642">
        <v>1.55</v>
      </c>
      <c r="O642">
        <v>3.85</v>
      </c>
      <c r="P642">
        <v>6.75</v>
      </c>
      <c r="Q642">
        <v>-0.77</v>
      </c>
      <c r="R642">
        <v>6.45</v>
      </c>
      <c r="S642">
        <v>6.53</v>
      </c>
      <c r="T642">
        <v>622957</v>
      </c>
      <c r="U642">
        <v>6.68</v>
      </c>
      <c r="V642">
        <v>6.5</v>
      </c>
      <c r="W642">
        <v>17.71</v>
      </c>
      <c r="X642" t="s">
        <v>868</v>
      </c>
      <c r="Y642" t="s">
        <v>570</v>
      </c>
      <c r="Z642">
        <v>4.62</v>
      </c>
      <c r="AA642">
        <v>6.64</v>
      </c>
      <c r="AB642">
        <v>286450</v>
      </c>
      <c r="AC642">
        <v>336507</v>
      </c>
      <c r="AD642">
        <v>0.85</v>
      </c>
      <c r="AE642">
        <v>1380</v>
      </c>
      <c r="AF642">
        <v>3568</v>
      </c>
      <c r="AG642" t="s">
        <v>120</v>
      </c>
      <c r="AH642">
        <v>0.03</v>
      </c>
      <c r="AI642" t="s">
        <v>120</v>
      </c>
      <c r="AJ642">
        <v>13.42</v>
      </c>
      <c r="AK642" t="s">
        <v>1578</v>
      </c>
      <c r="AL642">
        <v>4.68</v>
      </c>
      <c r="AM642">
        <v>4009</v>
      </c>
      <c r="AN642">
        <v>155</v>
      </c>
      <c r="AO642">
        <v>1.1999999999999999E-3</v>
      </c>
      <c r="AP642">
        <v>2</v>
      </c>
      <c r="AQ642">
        <v>4.17</v>
      </c>
      <c r="AR642">
        <v>3.9</v>
      </c>
      <c r="AS642">
        <v>15.17</v>
      </c>
      <c r="AT642">
        <v>34.950000000000003</v>
      </c>
      <c r="AU642">
        <v>37.43</v>
      </c>
      <c r="AV642">
        <v>2</v>
      </c>
      <c r="AW642">
        <v>8.2200000000000006</v>
      </c>
      <c r="AX642">
        <v>43.37</v>
      </c>
      <c r="AY642">
        <v>20.079999999999998</v>
      </c>
      <c r="AZ642">
        <v>25.44</v>
      </c>
      <c r="BA642">
        <v>0.2</v>
      </c>
      <c r="BB642" t="s">
        <v>751</v>
      </c>
      <c r="BF642">
        <v>2.09</v>
      </c>
      <c r="BG642">
        <v>2.2999999999999998</v>
      </c>
      <c r="BH642">
        <v>-1.04</v>
      </c>
      <c r="BI642">
        <v>3.57</v>
      </c>
      <c r="BJ642">
        <v>20210824</v>
      </c>
      <c r="BK642">
        <v>20080506</v>
      </c>
      <c r="BL642">
        <v>17.489999999999998</v>
      </c>
      <c r="BM642" t="s">
        <v>120</v>
      </c>
      <c r="BN642" t="s">
        <v>120</v>
      </c>
      <c r="BO642">
        <v>124.42</v>
      </c>
      <c r="BP642">
        <v>6.67</v>
      </c>
      <c r="BQ642">
        <v>66.099999999999994</v>
      </c>
      <c r="BR642">
        <v>7.79</v>
      </c>
      <c r="BS642">
        <v>40.61</v>
      </c>
      <c r="BT642">
        <v>44.5</v>
      </c>
      <c r="BU642">
        <v>53.65</v>
      </c>
      <c r="BV642">
        <v>5.69</v>
      </c>
      <c r="BW642">
        <v>20.36</v>
      </c>
      <c r="BX642">
        <v>6.71</v>
      </c>
      <c r="BY642">
        <v>2.4500000000000002</v>
      </c>
      <c r="BZ642">
        <v>22.67</v>
      </c>
      <c r="CA642" t="s">
        <v>120</v>
      </c>
      <c r="CB642">
        <v>27.69</v>
      </c>
      <c r="CC642">
        <v>23.62</v>
      </c>
      <c r="CD642">
        <v>14.58</v>
      </c>
      <c r="CE642">
        <v>4.88</v>
      </c>
      <c r="CF642">
        <v>0.11</v>
      </c>
      <c r="CG642">
        <v>4.88</v>
      </c>
      <c r="CH642">
        <v>3.96</v>
      </c>
      <c r="CI642">
        <v>3.3</v>
      </c>
      <c r="CJ642">
        <v>0.18</v>
      </c>
      <c r="CK642">
        <v>3.12</v>
      </c>
      <c r="CL642">
        <v>19.02</v>
      </c>
      <c r="CM642">
        <v>1.17</v>
      </c>
      <c r="CN642">
        <v>-2.68</v>
      </c>
      <c r="CO642">
        <v>49598</v>
      </c>
      <c r="CP642">
        <v>15289</v>
      </c>
      <c r="CQ642" t="s">
        <v>2260</v>
      </c>
      <c r="CR642">
        <v>56.51</v>
      </c>
      <c r="CS642">
        <v>46.82</v>
      </c>
      <c r="CT642">
        <v>1.77</v>
      </c>
      <c r="CU642">
        <v>100.13</v>
      </c>
      <c r="CV642">
        <v>4.9400000000000004</v>
      </c>
      <c r="CW642">
        <v>0.6</v>
      </c>
      <c r="CX642" t="s">
        <v>3958</v>
      </c>
      <c r="CY642">
        <v>3.78</v>
      </c>
      <c r="CZ642">
        <v>0</v>
      </c>
      <c r="DA642">
        <v>1.58</v>
      </c>
      <c r="DB642">
        <v>1.0900000000000001</v>
      </c>
      <c r="DC642">
        <v>7.0000000000000007E-2</v>
      </c>
      <c r="DD642">
        <v>53.13</v>
      </c>
      <c r="DE642" t="s">
        <v>3959</v>
      </c>
      <c r="DF642">
        <v>38.270000000000003</v>
      </c>
      <c r="DG642">
        <v>20.67</v>
      </c>
      <c r="DH642">
        <v>13.96</v>
      </c>
      <c r="DI642">
        <v>0.39</v>
      </c>
      <c r="DJ642">
        <v>4579</v>
      </c>
      <c r="DK642">
        <v>2226</v>
      </c>
      <c r="DL642" t="s">
        <v>120</v>
      </c>
      <c r="DM642" t="s">
        <v>120</v>
      </c>
      <c r="DN642" t="s">
        <v>120</v>
      </c>
    </row>
    <row r="643" spans="1:118">
      <c r="A643" t="str">
        <f>"002227"</f>
        <v>002227</v>
      </c>
      <c r="B643" t="s">
        <v>3960</v>
      </c>
      <c r="C643">
        <v>-0.62</v>
      </c>
      <c r="D643">
        <v>-0.11</v>
      </c>
      <c r="E643">
        <v>0.87</v>
      </c>
      <c r="F643">
        <v>409</v>
      </c>
      <c r="G643" t="s">
        <v>3961</v>
      </c>
      <c r="H643">
        <v>4043.51</v>
      </c>
      <c r="I643">
        <v>4.8899999999999997</v>
      </c>
      <c r="J643" t="s">
        <v>120</v>
      </c>
      <c r="K643" t="s">
        <v>3962</v>
      </c>
      <c r="L643">
        <v>1.1399999999999999</v>
      </c>
      <c r="M643">
        <v>16.05</v>
      </c>
      <c r="N643">
        <v>0.73</v>
      </c>
      <c r="O643">
        <v>0.93</v>
      </c>
      <c r="P643">
        <v>16.3</v>
      </c>
      <c r="Q643">
        <v>-0.93</v>
      </c>
      <c r="R643">
        <v>16</v>
      </c>
      <c r="S643">
        <v>16.29</v>
      </c>
      <c r="T643">
        <v>25058</v>
      </c>
      <c r="U643">
        <v>16.059999999999999</v>
      </c>
      <c r="V643">
        <v>16.149999999999999</v>
      </c>
      <c r="W643" t="s">
        <v>120</v>
      </c>
      <c r="X643" t="s">
        <v>394</v>
      </c>
      <c r="Y643" t="s">
        <v>123</v>
      </c>
      <c r="Z643">
        <v>1.86</v>
      </c>
      <c r="AA643">
        <v>16.14</v>
      </c>
      <c r="AB643">
        <v>14612</v>
      </c>
      <c r="AC643">
        <v>10446</v>
      </c>
      <c r="AD643">
        <v>1.4</v>
      </c>
      <c r="AE643">
        <v>72</v>
      </c>
      <c r="AF643">
        <v>175</v>
      </c>
      <c r="AG643" t="s">
        <v>120</v>
      </c>
      <c r="AH643">
        <v>0</v>
      </c>
      <c r="AI643" t="s">
        <v>120</v>
      </c>
      <c r="AJ643">
        <v>2.2000000000000002</v>
      </c>
      <c r="AK643" t="s">
        <v>3963</v>
      </c>
      <c r="AL643">
        <v>1.29</v>
      </c>
      <c r="AM643">
        <v>1351</v>
      </c>
      <c r="AN643">
        <v>19</v>
      </c>
      <c r="AO643">
        <v>8.0000000000000004E-4</v>
      </c>
      <c r="AP643">
        <v>-1</v>
      </c>
      <c r="AQ643">
        <v>0.25</v>
      </c>
      <c r="AR643">
        <v>-0.68</v>
      </c>
      <c r="AS643">
        <v>-5.59</v>
      </c>
      <c r="AT643">
        <v>-5.92</v>
      </c>
      <c r="AU643">
        <v>6.01</v>
      </c>
      <c r="AV643">
        <v>7</v>
      </c>
      <c r="AW643">
        <v>3.12</v>
      </c>
      <c r="AX643">
        <v>36.42</v>
      </c>
      <c r="AY643">
        <v>319.41000000000003</v>
      </c>
      <c r="AZ643">
        <v>564.17999999999995</v>
      </c>
      <c r="BA643">
        <v>1.01</v>
      </c>
      <c r="BB643" t="s">
        <v>143</v>
      </c>
      <c r="BF643">
        <v>-0.08</v>
      </c>
      <c r="BG643">
        <v>-1.47</v>
      </c>
      <c r="BH643">
        <v>-1.53</v>
      </c>
      <c r="BI643">
        <v>0.31</v>
      </c>
      <c r="BJ643">
        <v>20210827</v>
      </c>
      <c r="BK643">
        <v>20080506</v>
      </c>
      <c r="BL643">
        <v>2.21</v>
      </c>
      <c r="BM643" t="s">
        <v>120</v>
      </c>
      <c r="BN643" t="s">
        <v>120</v>
      </c>
      <c r="BO643">
        <v>13.54</v>
      </c>
      <c r="BP643">
        <v>16.05</v>
      </c>
      <c r="BQ643">
        <v>8.09</v>
      </c>
      <c r="BR643">
        <v>0.02</v>
      </c>
      <c r="BS643">
        <v>40.14</v>
      </c>
      <c r="BT643">
        <v>5.13</v>
      </c>
      <c r="BU643">
        <v>3.34</v>
      </c>
      <c r="BV643">
        <v>0.31</v>
      </c>
      <c r="BW643">
        <v>2.9</v>
      </c>
      <c r="BX643">
        <v>0.31</v>
      </c>
      <c r="BY643">
        <v>2.19</v>
      </c>
      <c r="BZ643">
        <v>1.79</v>
      </c>
      <c r="CA643" t="s">
        <v>120</v>
      </c>
      <c r="CB643">
        <v>3.16</v>
      </c>
      <c r="CC643">
        <v>1.3</v>
      </c>
      <c r="CD643">
        <v>1.06</v>
      </c>
      <c r="CE643">
        <v>-0.16</v>
      </c>
      <c r="CF643">
        <v>0</v>
      </c>
      <c r="CG643">
        <v>-0.16</v>
      </c>
      <c r="CH643">
        <v>-0.12</v>
      </c>
      <c r="CI643">
        <v>-0.11</v>
      </c>
      <c r="CJ643">
        <v>-0.1</v>
      </c>
      <c r="CK643">
        <v>-0.15</v>
      </c>
      <c r="CL643">
        <v>1.98</v>
      </c>
      <c r="CM643">
        <v>-0.1</v>
      </c>
      <c r="CN643">
        <v>-0.4</v>
      </c>
      <c r="CO643">
        <v>26117</v>
      </c>
      <c r="CP643">
        <v>3076</v>
      </c>
      <c r="CQ643" t="s">
        <v>255</v>
      </c>
      <c r="CR643">
        <v>30.05</v>
      </c>
      <c r="CS643">
        <v>22.74</v>
      </c>
      <c r="CT643">
        <v>4.38</v>
      </c>
      <c r="CU643">
        <v>-371.47</v>
      </c>
      <c r="CV643">
        <v>27.14</v>
      </c>
      <c r="CW643">
        <v>0</v>
      </c>
      <c r="CX643" t="s">
        <v>3964</v>
      </c>
      <c r="CY643">
        <v>3.67</v>
      </c>
      <c r="CZ643">
        <v>0</v>
      </c>
      <c r="DA643">
        <v>1.43</v>
      </c>
      <c r="DB643">
        <v>0.9</v>
      </c>
      <c r="DC643">
        <v>-0.04</v>
      </c>
      <c r="DD643">
        <v>59.74</v>
      </c>
      <c r="DE643" t="s">
        <v>3728</v>
      </c>
      <c r="DF643">
        <v>19.010000000000002</v>
      </c>
      <c r="DG643">
        <v>-11.94</v>
      </c>
      <c r="DH643">
        <v>-8.6300000000000008</v>
      </c>
      <c r="DI643">
        <v>0.11</v>
      </c>
      <c r="DJ643">
        <v>553</v>
      </c>
      <c r="DK643">
        <v>2227</v>
      </c>
      <c r="DL643">
        <v>20210811</v>
      </c>
      <c r="DM643">
        <v>19.73</v>
      </c>
      <c r="DN643">
        <v>-18.649999999999999</v>
      </c>
    </row>
    <row r="644" spans="1:118">
      <c r="A644" t="str">
        <f>"002228"</f>
        <v>002228</v>
      </c>
      <c r="B644" t="s">
        <v>3965</v>
      </c>
      <c r="C644">
        <v>-1.34</v>
      </c>
      <c r="D644">
        <v>0</v>
      </c>
      <c r="E644">
        <v>-0.54</v>
      </c>
      <c r="F644">
        <v>1054</v>
      </c>
      <c r="G644" t="s">
        <v>3887</v>
      </c>
      <c r="H644">
        <v>3481.93</v>
      </c>
      <c r="I644">
        <v>7.47</v>
      </c>
      <c r="J644" t="s">
        <v>120</v>
      </c>
      <c r="K644" t="s">
        <v>1677</v>
      </c>
      <c r="L644">
        <v>0.76</v>
      </c>
      <c r="M644">
        <v>3.67</v>
      </c>
      <c r="N644">
        <v>0.8</v>
      </c>
      <c r="O644">
        <v>1.08</v>
      </c>
      <c r="P644">
        <v>3.76</v>
      </c>
      <c r="Q644">
        <v>-1.34</v>
      </c>
      <c r="R644">
        <v>3.67</v>
      </c>
      <c r="S644">
        <v>3.7</v>
      </c>
      <c r="T644">
        <v>93494</v>
      </c>
      <c r="U644">
        <v>3.68</v>
      </c>
      <c r="V644">
        <v>3.72</v>
      </c>
      <c r="W644">
        <v>15.06</v>
      </c>
      <c r="X644" t="s">
        <v>339</v>
      </c>
      <c r="Y644" t="s">
        <v>937</v>
      </c>
      <c r="Z644">
        <v>2.42</v>
      </c>
      <c r="AA644">
        <v>3.72</v>
      </c>
      <c r="AB644">
        <v>55970</v>
      </c>
      <c r="AC644">
        <v>37524</v>
      </c>
      <c r="AD644">
        <v>1.49</v>
      </c>
      <c r="AE644">
        <v>1842</v>
      </c>
      <c r="AF644">
        <v>805</v>
      </c>
      <c r="AG644" t="s">
        <v>120</v>
      </c>
      <c r="AH644">
        <v>0</v>
      </c>
      <c r="AI644" t="s">
        <v>120</v>
      </c>
      <c r="AJ644">
        <v>12.35</v>
      </c>
      <c r="AK644" t="s">
        <v>3966</v>
      </c>
      <c r="AL644">
        <v>0.56999999999999995</v>
      </c>
      <c r="AM644">
        <v>1430</v>
      </c>
      <c r="AN644">
        <v>65</v>
      </c>
      <c r="AO644">
        <v>5.0000000000000001E-4</v>
      </c>
      <c r="AP644">
        <v>-1</v>
      </c>
      <c r="AQ644">
        <v>0.54</v>
      </c>
      <c r="AR644">
        <v>-3.16</v>
      </c>
      <c r="AS644">
        <v>7.62</v>
      </c>
      <c r="AT644">
        <v>0</v>
      </c>
      <c r="AU644">
        <v>-10.71</v>
      </c>
      <c r="AV644">
        <v>1</v>
      </c>
      <c r="AW644">
        <v>1.51</v>
      </c>
      <c r="AX644">
        <v>50.05</v>
      </c>
      <c r="AY644">
        <v>15.22</v>
      </c>
      <c r="AZ644">
        <v>15.88</v>
      </c>
      <c r="BA644">
        <v>0.31</v>
      </c>
      <c r="BB644" t="s">
        <v>143</v>
      </c>
      <c r="BF644">
        <v>0.11</v>
      </c>
      <c r="BG644">
        <v>-0.81</v>
      </c>
      <c r="BH644">
        <v>-2.39</v>
      </c>
      <c r="BI644">
        <v>0</v>
      </c>
      <c r="BJ644">
        <v>20210902</v>
      </c>
      <c r="BK644">
        <v>20080508</v>
      </c>
      <c r="BL644">
        <v>12.39</v>
      </c>
      <c r="BM644" t="s">
        <v>120</v>
      </c>
      <c r="BN644" t="s">
        <v>120</v>
      </c>
      <c r="BO644">
        <v>93.09</v>
      </c>
      <c r="BP644">
        <v>3.67</v>
      </c>
      <c r="BQ644">
        <v>35.32</v>
      </c>
      <c r="BR644">
        <v>3.57</v>
      </c>
      <c r="BS644">
        <v>58.21</v>
      </c>
      <c r="BT644">
        <v>63.21</v>
      </c>
      <c r="BU644">
        <v>16.78</v>
      </c>
      <c r="BV644">
        <v>6.62</v>
      </c>
      <c r="BW644">
        <v>46.17</v>
      </c>
      <c r="BX644">
        <v>7.45</v>
      </c>
      <c r="BY644">
        <v>17.52</v>
      </c>
      <c r="BZ644">
        <v>33.61</v>
      </c>
      <c r="CA644" t="s">
        <v>120</v>
      </c>
      <c r="CB644">
        <v>6.57</v>
      </c>
      <c r="CC644">
        <v>82.14</v>
      </c>
      <c r="CD644">
        <v>74.3</v>
      </c>
      <c r="CE644">
        <v>1.72</v>
      </c>
      <c r="CF644">
        <v>0</v>
      </c>
      <c r="CG644">
        <v>1.88</v>
      </c>
      <c r="CH644">
        <v>1.69</v>
      </c>
      <c r="CI644">
        <v>1.51</v>
      </c>
      <c r="CJ644">
        <v>-0.05</v>
      </c>
      <c r="CK644">
        <v>1.28</v>
      </c>
      <c r="CL644">
        <v>15.84</v>
      </c>
      <c r="CM644">
        <v>1.67</v>
      </c>
      <c r="CN644">
        <v>-0.36</v>
      </c>
      <c r="CO644">
        <v>35347</v>
      </c>
      <c r="CP644">
        <v>17538</v>
      </c>
      <c r="CQ644" t="s">
        <v>3967</v>
      </c>
      <c r="CR644">
        <v>9.17</v>
      </c>
      <c r="CS644">
        <v>72.39</v>
      </c>
      <c r="CT644">
        <v>1.3</v>
      </c>
      <c r="CU644">
        <v>27.25</v>
      </c>
      <c r="CV644">
        <v>0.55000000000000004</v>
      </c>
      <c r="CW644">
        <v>2.65</v>
      </c>
      <c r="CX644" t="s">
        <v>850</v>
      </c>
      <c r="CY644">
        <v>2.82</v>
      </c>
      <c r="CZ644">
        <v>2.82</v>
      </c>
      <c r="DA644">
        <v>0.53</v>
      </c>
      <c r="DB644">
        <v>1.28</v>
      </c>
      <c r="DC644">
        <v>0.13</v>
      </c>
      <c r="DD644">
        <v>37.950000000000003</v>
      </c>
      <c r="DE644" t="s">
        <v>2110</v>
      </c>
      <c r="DF644">
        <v>9.5399999999999991</v>
      </c>
      <c r="DG644">
        <v>2.09</v>
      </c>
      <c r="DH644">
        <v>1.84</v>
      </c>
      <c r="DI644">
        <v>1.39</v>
      </c>
      <c r="DJ644">
        <v>10362</v>
      </c>
      <c r="DK644">
        <v>2228</v>
      </c>
      <c r="DL644" t="s">
        <v>120</v>
      </c>
      <c r="DM644" t="s">
        <v>120</v>
      </c>
      <c r="DN644" t="s">
        <v>120</v>
      </c>
    </row>
    <row r="645" spans="1:118">
      <c r="A645" t="str">
        <f>"002229"</f>
        <v>002229</v>
      </c>
      <c r="B645" t="s">
        <v>3968</v>
      </c>
      <c r="C645">
        <v>-0.56999999999999995</v>
      </c>
      <c r="D645">
        <v>0</v>
      </c>
      <c r="E645">
        <v>1.43</v>
      </c>
      <c r="F645">
        <v>1312</v>
      </c>
      <c r="G645" t="s">
        <v>3969</v>
      </c>
      <c r="H645">
        <v>8065.89</v>
      </c>
      <c r="I645">
        <v>69.989999999999995</v>
      </c>
      <c r="J645" t="s">
        <v>120</v>
      </c>
      <c r="K645" t="s">
        <v>3970</v>
      </c>
      <c r="L645">
        <v>2.31</v>
      </c>
      <c r="M645">
        <v>6.93</v>
      </c>
      <c r="N645">
        <v>0.62</v>
      </c>
      <c r="O645">
        <v>2.58</v>
      </c>
      <c r="P645">
        <v>7.15</v>
      </c>
      <c r="Q645">
        <v>-0.72</v>
      </c>
      <c r="R645">
        <v>6.92</v>
      </c>
      <c r="S645">
        <v>7.07</v>
      </c>
      <c r="T645">
        <v>114913</v>
      </c>
      <c r="U645">
        <v>6.93</v>
      </c>
      <c r="V645">
        <v>6.97</v>
      </c>
      <c r="W645">
        <v>94.36</v>
      </c>
      <c r="X645" t="s">
        <v>339</v>
      </c>
      <c r="Y645" t="s">
        <v>937</v>
      </c>
      <c r="Z645">
        <v>3.3</v>
      </c>
      <c r="AA645">
        <v>7.02</v>
      </c>
      <c r="AB645">
        <v>66047</v>
      </c>
      <c r="AC645">
        <v>48866</v>
      </c>
      <c r="AD645">
        <v>1.35</v>
      </c>
      <c r="AE645">
        <v>827</v>
      </c>
      <c r="AF645">
        <v>237</v>
      </c>
      <c r="AG645" t="s">
        <v>120</v>
      </c>
      <c r="AH645">
        <v>0.03</v>
      </c>
      <c r="AI645" t="s">
        <v>120</v>
      </c>
      <c r="AJ645">
        <v>4.9800000000000004</v>
      </c>
      <c r="AK645" t="s">
        <v>568</v>
      </c>
      <c r="AL645">
        <v>1.34</v>
      </c>
      <c r="AM645">
        <v>2012</v>
      </c>
      <c r="AN645">
        <v>57</v>
      </c>
      <c r="AO645">
        <v>1.1000000000000001E-3</v>
      </c>
      <c r="AP645">
        <v>-1</v>
      </c>
      <c r="AQ645">
        <v>1.75</v>
      </c>
      <c r="AR645">
        <v>3.12</v>
      </c>
      <c r="AS645">
        <v>7.44</v>
      </c>
      <c r="AT645">
        <v>12.13</v>
      </c>
      <c r="AU645">
        <v>8.4499999999999993</v>
      </c>
      <c r="AV645">
        <v>1</v>
      </c>
      <c r="AW645">
        <v>3.47</v>
      </c>
      <c r="AX645">
        <v>66.39</v>
      </c>
      <c r="AY645">
        <v>156.96</v>
      </c>
      <c r="AZ645">
        <v>136.44</v>
      </c>
      <c r="BA645">
        <v>0.34</v>
      </c>
      <c r="BB645" t="s">
        <v>168</v>
      </c>
      <c r="BF645">
        <v>0.71</v>
      </c>
      <c r="BG645">
        <v>-1.98</v>
      </c>
      <c r="BH645">
        <v>-3.08</v>
      </c>
      <c r="BI645">
        <v>0.14000000000000001</v>
      </c>
      <c r="BJ645">
        <v>20210831</v>
      </c>
      <c r="BK645">
        <v>20080508</v>
      </c>
      <c r="BL645">
        <v>4.9800000000000004</v>
      </c>
      <c r="BM645" t="s">
        <v>120</v>
      </c>
      <c r="BN645" t="s">
        <v>120</v>
      </c>
      <c r="BO645">
        <v>22.74</v>
      </c>
      <c r="BP645">
        <v>6.92</v>
      </c>
      <c r="BQ645">
        <v>16.96</v>
      </c>
      <c r="BR645">
        <v>1.1000000000000001</v>
      </c>
      <c r="BS645">
        <v>20.59</v>
      </c>
      <c r="BT645">
        <v>12.27</v>
      </c>
      <c r="BU645">
        <v>4.5</v>
      </c>
      <c r="BV645">
        <v>0.52</v>
      </c>
      <c r="BW645">
        <v>3.76</v>
      </c>
      <c r="BX645">
        <v>8.52</v>
      </c>
      <c r="BY645">
        <v>0.95</v>
      </c>
      <c r="BZ645">
        <v>1.83</v>
      </c>
      <c r="CA645" t="s">
        <v>120</v>
      </c>
      <c r="CB645">
        <v>8.76</v>
      </c>
      <c r="CC645">
        <v>2.98</v>
      </c>
      <c r="CD645">
        <v>2.02</v>
      </c>
      <c r="CE645">
        <v>0.4</v>
      </c>
      <c r="CF645">
        <v>0.08</v>
      </c>
      <c r="CG645">
        <v>0.4</v>
      </c>
      <c r="CH645">
        <v>0.34</v>
      </c>
      <c r="CI645">
        <v>0.18</v>
      </c>
      <c r="CJ645">
        <v>-0.04</v>
      </c>
      <c r="CK645">
        <v>0.09</v>
      </c>
      <c r="CL645">
        <v>2.98</v>
      </c>
      <c r="CM645">
        <v>-0.66</v>
      </c>
      <c r="CN645">
        <v>-0.7</v>
      </c>
      <c r="CO645">
        <v>29717</v>
      </c>
      <c r="CP645">
        <v>11134</v>
      </c>
      <c r="CQ645" t="s">
        <v>3971</v>
      </c>
      <c r="CR645">
        <v>-15.39</v>
      </c>
      <c r="CS645">
        <v>48.43</v>
      </c>
      <c r="CT645">
        <v>2.04</v>
      </c>
      <c r="CU645">
        <v>-52.22</v>
      </c>
      <c r="CV645">
        <v>11.58</v>
      </c>
      <c r="CW645">
        <v>0</v>
      </c>
      <c r="CX645" t="s">
        <v>145</v>
      </c>
      <c r="CY645">
        <v>3.4</v>
      </c>
      <c r="CZ645">
        <v>0</v>
      </c>
      <c r="DA645">
        <v>1.76</v>
      </c>
      <c r="DB645">
        <v>0.6</v>
      </c>
      <c r="DC645">
        <v>-0.13</v>
      </c>
      <c r="DD645">
        <v>74.59</v>
      </c>
      <c r="DE645" t="s">
        <v>3972</v>
      </c>
      <c r="DF645">
        <v>32.200000000000003</v>
      </c>
      <c r="DG645">
        <v>13.27</v>
      </c>
      <c r="DH645">
        <v>6.14</v>
      </c>
      <c r="DI645">
        <v>0.1</v>
      </c>
      <c r="DJ645">
        <v>1066</v>
      </c>
      <c r="DK645">
        <v>2229</v>
      </c>
      <c r="DL645" t="s">
        <v>120</v>
      </c>
      <c r="DM645" t="s">
        <v>120</v>
      </c>
      <c r="DN645" t="s">
        <v>120</v>
      </c>
    </row>
    <row r="646" spans="1:118">
      <c r="A646" t="str">
        <f>"002230"</f>
        <v>002230</v>
      </c>
      <c r="B646" t="s">
        <v>3973</v>
      </c>
      <c r="C646">
        <v>-1.49</v>
      </c>
      <c r="D646">
        <v>-7.0000000000000007E-2</v>
      </c>
      <c r="E646">
        <v>0.08</v>
      </c>
      <c r="F646">
        <v>3415</v>
      </c>
      <c r="G646" t="s">
        <v>3974</v>
      </c>
      <c r="H646">
        <v>75379.66</v>
      </c>
      <c r="I646">
        <v>214.2</v>
      </c>
      <c r="J646" t="s">
        <v>120</v>
      </c>
      <c r="K646" t="s">
        <v>3975</v>
      </c>
      <c r="L646">
        <v>0.72</v>
      </c>
      <c r="M646">
        <v>50.14</v>
      </c>
      <c r="N646">
        <v>0.91</v>
      </c>
      <c r="O646">
        <v>0.83</v>
      </c>
      <c r="P646">
        <v>51.32</v>
      </c>
      <c r="Q646">
        <v>-1.77</v>
      </c>
      <c r="R646">
        <v>50</v>
      </c>
      <c r="S646">
        <v>50.94</v>
      </c>
      <c r="T646">
        <v>149471</v>
      </c>
      <c r="U646">
        <v>50.15</v>
      </c>
      <c r="V646">
        <v>50.9</v>
      </c>
      <c r="W646">
        <v>137.79</v>
      </c>
      <c r="X646" t="s">
        <v>141</v>
      </c>
      <c r="Y646" t="s">
        <v>570</v>
      </c>
      <c r="Z646">
        <v>2.59</v>
      </c>
      <c r="AA646">
        <v>50.43</v>
      </c>
      <c r="AB646">
        <v>87589</v>
      </c>
      <c r="AC646">
        <v>61882</v>
      </c>
      <c r="AD646">
        <v>1.42</v>
      </c>
      <c r="AE646">
        <v>76</v>
      </c>
      <c r="AF646">
        <v>47</v>
      </c>
      <c r="AG646" t="s">
        <v>120</v>
      </c>
      <c r="AH646">
        <v>0</v>
      </c>
      <c r="AI646" t="s">
        <v>120</v>
      </c>
      <c r="AJ646">
        <v>20.79</v>
      </c>
      <c r="AK646" t="s">
        <v>3976</v>
      </c>
      <c r="AL646">
        <v>0.42</v>
      </c>
      <c r="AM646">
        <v>4268</v>
      </c>
      <c r="AN646">
        <v>35</v>
      </c>
      <c r="AO646">
        <v>2.0000000000000001E-4</v>
      </c>
      <c r="AP646">
        <v>-4</v>
      </c>
      <c r="AQ646">
        <v>-0.28999999999999998</v>
      </c>
      <c r="AR646">
        <v>-3.22</v>
      </c>
      <c r="AS646">
        <v>-4.3099999999999996</v>
      </c>
      <c r="AT646">
        <v>-20.79</v>
      </c>
      <c r="AU646">
        <v>23.28</v>
      </c>
      <c r="AV646">
        <v>3</v>
      </c>
      <c r="AW646">
        <v>0.9</v>
      </c>
      <c r="AX646">
        <v>72.239999999999995</v>
      </c>
      <c r="AY646">
        <v>76.83</v>
      </c>
      <c r="AZ646">
        <v>85.86</v>
      </c>
      <c r="BA646">
        <v>1.28</v>
      </c>
      <c r="BB646" t="s">
        <v>125</v>
      </c>
      <c r="BF646">
        <v>-0.92</v>
      </c>
      <c r="BG646">
        <v>-1.57</v>
      </c>
      <c r="BH646">
        <v>-2.2999999999999998</v>
      </c>
      <c r="BI646">
        <v>0.28000000000000003</v>
      </c>
      <c r="BJ646">
        <v>20210824</v>
      </c>
      <c r="BK646">
        <v>20080512</v>
      </c>
      <c r="BL646">
        <v>23.01</v>
      </c>
      <c r="BM646" t="s">
        <v>120</v>
      </c>
      <c r="BN646" t="s">
        <v>120</v>
      </c>
      <c r="BO646">
        <v>242.36</v>
      </c>
      <c r="BP646">
        <v>50.14</v>
      </c>
      <c r="BQ646">
        <v>125.1</v>
      </c>
      <c r="BR646">
        <v>2.91</v>
      </c>
      <c r="BS646">
        <v>47.18</v>
      </c>
      <c r="BT646">
        <v>133.18</v>
      </c>
      <c r="BU646">
        <v>18.61</v>
      </c>
      <c r="BV646">
        <v>23.93</v>
      </c>
      <c r="BW646">
        <v>92.08</v>
      </c>
      <c r="BX646">
        <v>23.15</v>
      </c>
      <c r="BY646">
        <v>25.25</v>
      </c>
      <c r="BZ646">
        <v>65.790000000000006</v>
      </c>
      <c r="CA646" t="s">
        <v>120</v>
      </c>
      <c r="CB646">
        <v>71.97</v>
      </c>
      <c r="CC646">
        <v>63.19</v>
      </c>
      <c r="CD646">
        <v>36.15</v>
      </c>
      <c r="CE646">
        <v>4.49</v>
      </c>
      <c r="CF646">
        <v>-0.12</v>
      </c>
      <c r="CG646">
        <v>4.88</v>
      </c>
      <c r="CH646">
        <v>4.6100000000000003</v>
      </c>
      <c r="CI646">
        <v>4.1900000000000004</v>
      </c>
      <c r="CJ646">
        <v>-0.76</v>
      </c>
      <c r="CK646">
        <v>2.09</v>
      </c>
      <c r="CL646">
        <v>37.4</v>
      </c>
      <c r="CM646">
        <v>-17.34</v>
      </c>
      <c r="CN646">
        <v>-27.78</v>
      </c>
      <c r="CO646">
        <v>203903</v>
      </c>
      <c r="CP646">
        <v>8150</v>
      </c>
      <c r="CQ646" t="s">
        <v>3977</v>
      </c>
      <c r="CR646">
        <v>62.12</v>
      </c>
      <c r="CS646">
        <v>45.28</v>
      </c>
      <c r="CT646">
        <v>8.92</v>
      </c>
      <c r="CU646">
        <v>-66.52</v>
      </c>
      <c r="CV646">
        <v>18.260000000000002</v>
      </c>
      <c r="CW646">
        <v>0.38</v>
      </c>
      <c r="CX646" t="s">
        <v>442</v>
      </c>
      <c r="CY646">
        <v>5.62</v>
      </c>
      <c r="CZ646">
        <v>5.62</v>
      </c>
      <c r="DA646">
        <v>3.13</v>
      </c>
      <c r="DB646">
        <v>1.63</v>
      </c>
      <c r="DC646">
        <v>-0.75</v>
      </c>
      <c r="DD646">
        <v>51.62</v>
      </c>
      <c r="DE646" t="s">
        <v>739</v>
      </c>
      <c r="DF646">
        <v>42.79</v>
      </c>
      <c r="DG646">
        <v>7.1</v>
      </c>
      <c r="DH646">
        <v>6.62</v>
      </c>
      <c r="DI646">
        <v>11.52</v>
      </c>
      <c r="DJ646">
        <v>11006</v>
      </c>
      <c r="DK646">
        <v>2230</v>
      </c>
      <c r="DL646" t="s">
        <v>120</v>
      </c>
      <c r="DM646" t="s">
        <v>120</v>
      </c>
      <c r="DN646" t="s">
        <v>120</v>
      </c>
    </row>
    <row r="647" spans="1:118">
      <c r="A647" t="str">
        <f>"002231"</f>
        <v>002231</v>
      </c>
      <c r="B647" t="s">
        <v>3978</v>
      </c>
      <c r="C647">
        <v>-4.01</v>
      </c>
      <c r="D647">
        <v>-0.17</v>
      </c>
      <c r="E647">
        <v>1.22</v>
      </c>
      <c r="F647">
        <v>740</v>
      </c>
      <c r="G647" t="s">
        <v>3979</v>
      </c>
      <c r="H647">
        <v>3596.64</v>
      </c>
      <c r="I647">
        <v>34.74</v>
      </c>
      <c r="J647" t="s">
        <v>120</v>
      </c>
      <c r="K647" t="s">
        <v>3980</v>
      </c>
      <c r="L647">
        <v>2.16</v>
      </c>
      <c r="M647">
        <v>5.51</v>
      </c>
      <c r="N647">
        <v>1.1399999999999999</v>
      </c>
      <c r="O647">
        <v>1.57</v>
      </c>
      <c r="P647">
        <v>5.83</v>
      </c>
      <c r="Q647">
        <v>-4.01</v>
      </c>
      <c r="R647">
        <v>5.51</v>
      </c>
      <c r="S647">
        <v>5.81</v>
      </c>
      <c r="T647">
        <v>63708</v>
      </c>
      <c r="U647">
        <v>5.52</v>
      </c>
      <c r="V647">
        <v>5.74</v>
      </c>
      <c r="W647">
        <v>69.86</v>
      </c>
      <c r="X647" t="s">
        <v>462</v>
      </c>
      <c r="Y647" t="s">
        <v>432</v>
      </c>
      <c r="Z647">
        <v>5.57</v>
      </c>
      <c r="AA647">
        <v>5.65</v>
      </c>
      <c r="AB647">
        <v>43858</v>
      </c>
      <c r="AC647">
        <v>19850</v>
      </c>
      <c r="AD647">
        <v>2.21</v>
      </c>
      <c r="AE647">
        <v>905</v>
      </c>
      <c r="AF647">
        <v>190</v>
      </c>
      <c r="AG647" t="s">
        <v>120</v>
      </c>
      <c r="AH647">
        <v>0.03</v>
      </c>
      <c r="AI647" t="s">
        <v>120</v>
      </c>
      <c r="AJ647">
        <v>2.95</v>
      </c>
      <c r="AK647" t="s">
        <v>3981</v>
      </c>
      <c r="AL647">
        <v>-2.09</v>
      </c>
      <c r="AM647">
        <v>1591</v>
      </c>
      <c r="AN647">
        <v>40</v>
      </c>
      <c r="AO647">
        <v>1.4E-3</v>
      </c>
      <c r="AP647">
        <v>-3</v>
      </c>
      <c r="AQ647">
        <v>-1.03</v>
      </c>
      <c r="AR647">
        <v>-5.48</v>
      </c>
      <c r="AS647">
        <v>-7.55</v>
      </c>
      <c r="AT647">
        <v>1.1000000000000001</v>
      </c>
      <c r="AU647">
        <v>13.61</v>
      </c>
      <c r="AV647">
        <v>0</v>
      </c>
      <c r="AW647">
        <v>3.25</v>
      </c>
      <c r="AX647">
        <v>56.58</v>
      </c>
      <c r="AY647" t="s">
        <v>120</v>
      </c>
      <c r="AZ647" t="s">
        <v>120</v>
      </c>
      <c r="BA647">
        <v>0.74</v>
      </c>
      <c r="BB647" t="s">
        <v>143</v>
      </c>
      <c r="BF647">
        <v>-1.65</v>
      </c>
      <c r="BG647">
        <v>-5.16</v>
      </c>
      <c r="BH647">
        <v>-5.49</v>
      </c>
      <c r="BI647">
        <v>0</v>
      </c>
      <c r="BJ647">
        <v>20210820</v>
      </c>
      <c r="BK647">
        <v>20080512</v>
      </c>
      <c r="BL647">
        <v>3.47</v>
      </c>
      <c r="BM647" t="s">
        <v>120</v>
      </c>
      <c r="BN647" t="s">
        <v>120</v>
      </c>
      <c r="BO647">
        <v>6.76</v>
      </c>
      <c r="BP647">
        <v>5.51</v>
      </c>
      <c r="BQ647">
        <v>3.93</v>
      </c>
      <c r="BR647" t="s">
        <v>120</v>
      </c>
      <c r="BS647">
        <v>41.85</v>
      </c>
      <c r="BT647">
        <v>6.13</v>
      </c>
      <c r="BU647">
        <v>0.26</v>
      </c>
      <c r="BV647">
        <v>0.02</v>
      </c>
      <c r="BW647">
        <v>2.65</v>
      </c>
      <c r="BX647">
        <v>0.93</v>
      </c>
      <c r="BY647">
        <v>2.76</v>
      </c>
      <c r="BZ647">
        <v>1.45</v>
      </c>
      <c r="CA647" t="s">
        <v>120</v>
      </c>
      <c r="CB647">
        <v>1.66</v>
      </c>
      <c r="CC647">
        <v>2.48</v>
      </c>
      <c r="CD647">
        <v>2.14</v>
      </c>
      <c r="CE647">
        <v>0.15</v>
      </c>
      <c r="CF647">
        <v>0</v>
      </c>
      <c r="CG647">
        <v>0.15</v>
      </c>
      <c r="CH647">
        <v>0.14000000000000001</v>
      </c>
      <c r="CI647">
        <v>0.14000000000000001</v>
      </c>
      <c r="CJ647">
        <v>-0.23</v>
      </c>
      <c r="CK647">
        <v>0.13</v>
      </c>
      <c r="CL647">
        <v>-1.0900000000000001</v>
      </c>
      <c r="CM647">
        <v>0.26</v>
      </c>
      <c r="CN647">
        <v>-0.55000000000000004</v>
      </c>
      <c r="CO647">
        <v>33874</v>
      </c>
      <c r="CP647">
        <v>5794</v>
      </c>
      <c r="CQ647" t="s">
        <v>3982</v>
      </c>
      <c r="CR647">
        <v>160.25</v>
      </c>
      <c r="CS647">
        <v>271.83999999999997</v>
      </c>
      <c r="CT647">
        <v>5</v>
      </c>
      <c r="CU647">
        <v>72.25</v>
      </c>
      <c r="CV647">
        <v>7.7</v>
      </c>
      <c r="CW647">
        <v>0</v>
      </c>
      <c r="CX647" t="s">
        <v>145</v>
      </c>
      <c r="CY647">
        <v>1.1000000000000001</v>
      </c>
      <c r="CZ647">
        <v>1.1000000000000001</v>
      </c>
      <c r="DA647">
        <v>0.48</v>
      </c>
      <c r="DB647">
        <v>-0.31</v>
      </c>
      <c r="DC647">
        <v>0.08</v>
      </c>
      <c r="DD647">
        <v>58.15</v>
      </c>
      <c r="DE647" t="s">
        <v>1437</v>
      </c>
      <c r="DF647">
        <v>13.71</v>
      </c>
      <c r="DG647">
        <v>5.96</v>
      </c>
      <c r="DH647">
        <v>5.51</v>
      </c>
      <c r="DI647">
        <v>0.08</v>
      </c>
      <c r="DJ647">
        <v>164</v>
      </c>
      <c r="DK647">
        <v>2231</v>
      </c>
      <c r="DL647" t="s">
        <v>120</v>
      </c>
      <c r="DM647" t="s">
        <v>120</v>
      </c>
      <c r="DN647" t="s">
        <v>120</v>
      </c>
    </row>
    <row r="648" spans="1:118">
      <c r="A648" t="str">
        <f>"002232"</f>
        <v>002232</v>
      </c>
      <c r="B648" t="s">
        <v>3983</v>
      </c>
      <c r="C648">
        <v>-0.81</v>
      </c>
      <c r="D648">
        <v>1.01</v>
      </c>
      <c r="E648">
        <v>0.09</v>
      </c>
      <c r="F648">
        <v>1935</v>
      </c>
      <c r="G648" t="s">
        <v>3984</v>
      </c>
      <c r="H648">
        <v>4462.08</v>
      </c>
      <c r="I648">
        <v>3.23</v>
      </c>
      <c r="J648" t="s">
        <v>120</v>
      </c>
      <c r="K648" t="s">
        <v>3985</v>
      </c>
      <c r="L648">
        <v>0.99</v>
      </c>
      <c r="M648">
        <v>11.04</v>
      </c>
      <c r="N648">
        <v>0.69</v>
      </c>
      <c r="O648">
        <v>0.18</v>
      </c>
      <c r="P648">
        <v>11.15</v>
      </c>
      <c r="Q648">
        <v>-1.89</v>
      </c>
      <c r="R648">
        <v>10.92</v>
      </c>
      <c r="S648">
        <v>11.14</v>
      </c>
      <c r="T648">
        <v>40465</v>
      </c>
      <c r="U648">
        <v>11.05</v>
      </c>
      <c r="V648">
        <v>11.13</v>
      </c>
      <c r="W648">
        <v>59.61</v>
      </c>
      <c r="X648" t="s">
        <v>141</v>
      </c>
      <c r="Y648" t="s">
        <v>290</v>
      </c>
      <c r="Z648">
        <v>2.0699999999999998</v>
      </c>
      <c r="AA648">
        <v>11.03</v>
      </c>
      <c r="AB648">
        <v>25712</v>
      </c>
      <c r="AC648">
        <v>14753</v>
      </c>
      <c r="AD648">
        <v>1.74</v>
      </c>
      <c r="AE648">
        <v>237</v>
      </c>
      <c r="AF648">
        <v>186</v>
      </c>
      <c r="AG648" t="s">
        <v>120</v>
      </c>
      <c r="AH648">
        <v>0</v>
      </c>
      <c r="AI648" t="s">
        <v>120</v>
      </c>
      <c r="AJ648">
        <v>4.09</v>
      </c>
      <c r="AK648" t="s">
        <v>3985</v>
      </c>
      <c r="AL648">
        <v>1.1100000000000001</v>
      </c>
      <c r="AM648">
        <v>1461</v>
      </c>
      <c r="AN648">
        <v>28</v>
      </c>
      <c r="AO648">
        <v>6.9999999999999999E-4</v>
      </c>
      <c r="AP648">
        <v>-2</v>
      </c>
      <c r="AQ648">
        <v>-1.5</v>
      </c>
      <c r="AR648">
        <v>-0.63</v>
      </c>
      <c r="AS648">
        <v>-1.87</v>
      </c>
      <c r="AT648">
        <v>0.36</v>
      </c>
      <c r="AU648">
        <v>-3.73</v>
      </c>
      <c r="AV648">
        <v>4</v>
      </c>
      <c r="AW648">
        <v>2.2400000000000002</v>
      </c>
      <c r="AX648">
        <v>44.28</v>
      </c>
      <c r="AY648">
        <v>45.25</v>
      </c>
      <c r="AZ648">
        <v>35.89</v>
      </c>
      <c r="BA648">
        <v>0.57999999999999996</v>
      </c>
      <c r="BB648" t="s">
        <v>125</v>
      </c>
      <c r="BF648">
        <v>-0.92</v>
      </c>
      <c r="BG648">
        <v>-0.9</v>
      </c>
      <c r="BH648">
        <v>-0.99</v>
      </c>
      <c r="BI648">
        <v>1.1000000000000001</v>
      </c>
      <c r="BJ648">
        <v>20210914</v>
      </c>
      <c r="BK648">
        <v>20080509</v>
      </c>
      <c r="BL648">
        <v>4.09</v>
      </c>
      <c r="BM648" t="s">
        <v>120</v>
      </c>
      <c r="BN648" t="s">
        <v>120</v>
      </c>
      <c r="BO648">
        <v>21.03</v>
      </c>
      <c r="BP648">
        <v>11.04</v>
      </c>
      <c r="BQ648">
        <v>13.25</v>
      </c>
      <c r="BR648" t="s">
        <v>120</v>
      </c>
      <c r="BS648">
        <v>37.020000000000003</v>
      </c>
      <c r="BT648">
        <v>17.95</v>
      </c>
      <c r="BU648">
        <v>2.17</v>
      </c>
      <c r="BV648">
        <v>0.38</v>
      </c>
      <c r="BW648">
        <v>7</v>
      </c>
      <c r="BX648">
        <v>8.16</v>
      </c>
      <c r="BY648">
        <v>4.2699999999999996</v>
      </c>
      <c r="BZ648">
        <v>2.58</v>
      </c>
      <c r="CA648">
        <v>0</v>
      </c>
      <c r="CB648">
        <v>2.92</v>
      </c>
      <c r="CC648">
        <v>4.45</v>
      </c>
      <c r="CD648">
        <v>3.43</v>
      </c>
      <c r="CE648">
        <v>0.45</v>
      </c>
      <c r="CF648">
        <v>0</v>
      </c>
      <c r="CG648">
        <v>0.46</v>
      </c>
      <c r="CH648">
        <v>0.38</v>
      </c>
      <c r="CI648">
        <v>0.38</v>
      </c>
      <c r="CJ648">
        <v>-0.09</v>
      </c>
      <c r="CK648">
        <v>0.34</v>
      </c>
      <c r="CL648">
        <v>5.42</v>
      </c>
      <c r="CM648">
        <v>-1.52</v>
      </c>
      <c r="CN648">
        <v>-2.31</v>
      </c>
      <c r="CO648">
        <v>43627</v>
      </c>
      <c r="CP648">
        <v>4147</v>
      </c>
      <c r="CQ648" t="s">
        <v>3986</v>
      </c>
      <c r="CR648">
        <v>-40.92</v>
      </c>
      <c r="CS648">
        <v>-26.53</v>
      </c>
      <c r="CT648">
        <v>3.41</v>
      </c>
      <c r="CU648">
        <v>-29.68</v>
      </c>
      <c r="CV648">
        <v>10.130000000000001</v>
      </c>
      <c r="CW648">
        <v>0.38</v>
      </c>
      <c r="CX648" t="s">
        <v>3987</v>
      </c>
      <c r="CY648">
        <v>3.24</v>
      </c>
      <c r="CZ648">
        <v>0</v>
      </c>
      <c r="DA648">
        <v>0.72</v>
      </c>
      <c r="DB648">
        <v>1.33</v>
      </c>
      <c r="DC648">
        <v>-0.37</v>
      </c>
      <c r="DD648">
        <v>62.98</v>
      </c>
      <c r="DE648" t="s">
        <v>3366</v>
      </c>
      <c r="DF648">
        <v>22.93</v>
      </c>
      <c r="DG648">
        <v>10.08</v>
      </c>
      <c r="DH648">
        <v>8.49</v>
      </c>
      <c r="DI648">
        <v>0.16</v>
      </c>
      <c r="DJ648">
        <v>1442</v>
      </c>
      <c r="DK648">
        <v>2232</v>
      </c>
      <c r="DL648" t="s">
        <v>120</v>
      </c>
      <c r="DM648" t="s">
        <v>120</v>
      </c>
      <c r="DN648" t="s">
        <v>120</v>
      </c>
    </row>
    <row r="649" spans="1:118">
      <c r="A649" t="str">
        <f>"002233"</f>
        <v>002233</v>
      </c>
      <c r="B649" t="s">
        <v>3988</v>
      </c>
      <c r="C649">
        <v>-2.46</v>
      </c>
      <c r="D649">
        <v>0.3</v>
      </c>
      <c r="E649">
        <v>0.94</v>
      </c>
      <c r="F649">
        <v>6123</v>
      </c>
      <c r="G649" t="s">
        <v>3989</v>
      </c>
      <c r="H649">
        <v>85549.34</v>
      </c>
      <c r="I649">
        <v>960.16</v>
      </c>
      <c r="J649" t="s">
        <v>120</v>
      </c>
      <c r="K649" t="s">
        <v>3990</v>
      </c>
      <c r="L649">
        <v>5.23</v>
      </c>
      <c r="M649">
        <v>13.5</v>
      </c>
      <c r="N649">
        <v>0.59</v>
      </c>
      <c r="O649">
        <v>2.1</v>
      </c>
      <c r="P649">
        <v>14.13</v>
      </c>
      <c r="Q649">
        <v>-3.54</v>
      </c>
      <c r="R649">
        <v>13.35</v>
      </c>
      <c r="S649">
        <v>13.97</v>
      </c>
      <c r="T649">
        <v>623339</v>
      </c>
      <c r="U649">
        <v>13.51</v>
      </c>
      <c r="V649">
        <v>13.84</v>
      </c>
      <c r="W649">
        <v>8.8000000000000007</v>
      </c>
      <c r="X649" t="s">
        <v>653</v>
      </c>
      <c r="Y649" t="s">
        <v>547</v>
      </c>
      <c r="Z649">
        <v>5.64</v>
      </c>
      <c r="AA649">
        <v>13.72</v>
      </c>
      <c r="AB649">
        <v>316004</v>
      </c>
      <c r="AC649">
        <v>307335</v>
      </c>
      <c r="AD649">
        <v>1.03</v>
      </c>
      <c r="AE649">
        <v>793</v>
      </c>
      <c r="AF649">
        <v>35</v>
      </c>
      <c r="AG649" t="s">
        <v>120</v>
      </c>
      <c r="AH649">
        <v>0.1</v>
      </c>
      <c r="AI649" t="s">
        <v>120</v>
      </c>
      <c r="AJ649">
        <v>11.92</v>
      </c>
      <c r="AK649" t="s">
        <v>3991</v>
      </c>
      <c r="AL649">
        <v>-0.54</v>
      </c>
      <c r="AM649">
        <v>4533</v>
      </c>
      <c r="AN649">
        <v>138</v>
      </c>
      <c r="AO649">
        <v>1.1999999999999999E-3</v>
      </c>
      <c r="AP649">
        <v>-2</v>
      </c>
      <c r="AQ649">
        <v>-4.8099999999999996</v>
      </c>
      <c r="AR649">
        <v>-7.15</v>
      </c>
      <c r="AS649">
        <v>31.2</v>
      </c>
      <c r="AT649">
        <v>31.97</v>
      </c>
      <c r="AU649">
        <v>9.67</v>
      </c>
      <c r="AV649">
        <v>2</v>
      </c>
      <c r="AW649">
        <v>8.74</v>
      </c>
      <c r="AX649">
        <v>59.84</v>
      </c>
      <c r="AY649">
        <v>9.2799999999999994</v>
      </c>
      <c r="AZ649">
        <v>9.26</v>
      </c>
      <c r="BA649">
        <v>0.5</v>
      </c>
      <c r="BB649" t="s">
        <v>125</v>
      </c>
      <c r="BF649">
        <v>-0.84</v>
      </c>
      <c r="BG649">
        <v>-3.36</v>
      </c>
      <c r="BH649">
        <v>-4.46</v>
      </c>
      <c r="BI649">
        <v>1.1200000000000001</v>
      </c>
      <c r="BJ649">
        <v>20210810</v>
      </c>
      <c r="BK649">
        <v>20080516</v>
      </c>
      <c r="BL649">
        <v>11.92</v>
      </c>
      <c r="BM649" t="s">
        <v>120</v>
      </c>
      <c r="BN649" t="s">
        <v>120</v>
      </c>
      <c r="BO649">
        <v>124.46</v>
      </c>
      <c r="BP649">
        <v>13.5</v>
      </c>
      <c r="BQ649">
        <v>107.96</v>
      </c>
      <c r="BR649">
        <v>0.1</v>
      </c>
      <c r="BS649">
        <v>13.18</v>
      </c>
      <c r="BT649">
        <v>46.63</v>
      </c>
      <c r="BU649">
        <v>39.61</v>
      </c>
      <c r="BV649">
        <v>7.68</v>
      </c>
      <c r="BW649">
        <v>13.5</v>
      </c>
      <c r="BX649">
        <v>17.29</v>
      </c>
      <c r="BY649">
        <v>6.19</v>
      </c>
      <c r="BZ649">
        <v>0.37</v>
      </c>
      <c r="CA649" t="s">
        <v>120</v>
      </c>
      <c r="CB649">
        <v>36.76</v>
      </c>
      <c r="CC649">
        <v>36.340000000000003</v>
      </c>
      <c r="CD649">
        <v>22.33</v>
      </c>
      <c r="CE649">
        <v>12.4</v>
      </c>
      <c r="CF649">
        <v>1.04</v>
      </c>
      <c r="CG649">
        <v>12.06</v>
      </c>
      <c r="CH649">
        <v>9.15</v>
      </c>
      <c r="CI649">
        <v>9.15</v>
      </c>
      <c r="CJ649">
        <v>-0.34</v>
      </c>
      <c r="CK649">
        <v>8.39</v>
      </c>
      <c r="CL649">
        <v>53.78</v>
      </c>
      <c r="CM649">
        <v>7.17</v>
      </c>
      <c r="CN649">
        <v>0.15</v>
      </c>
      <c r="CO649">
        <v>80469</v>
      </c>
      <c r="CP649">
        <v>8866</v>
      </c>
      <c r="CQ649" t="s">
        <v>3992</v>
      </c>
      <c r="CR649">
        <v>-0.46</v>
      </c>
      <c r="CS649">
        <v>29.8</v>
      </c>
      <c r="CT649">
        <v>1.49</v>
      </c>
      <c r="CU649">
        <v>22.44</v>
      </c>
      <c r="CV649">
        <v>4.43</v>
      </c>
      <c r="CW649">
        <v>3.1</v>
      </c>
      <c r="CX649" t="s">
        <v>3993</v>
      </c>
      <c r="CY649">
        <v>9.0500000000000007</v>
      </c>
      <c r="CZ649">
        <v>0</v>
      </c>
      <c r="DA649">
        <v>3.08</v>
      </c>
      <c r="DB649">
        <v>4.51</v>
      </c>
      <c r="DC649">
        <v>0.6</v>
      </c>
      <c r="DD649">
        <v>86.74</v>
      </c>
      <c r="DE649" t="s">
        <v>3994</v>
      </c>
      <c r="DF649">
        <v>38.54</v>
      </c>
      <c r="DG649">
        <v>34.130000000000003</v>
      </c>
      <c r="DH649">
        <v>25.17</v>
      </c>
      <c r="DI649">
        <v>0.04</v>
      </c>
      <c r="DJ649">
        <v>2683</v>
      </c>
      <c r="DK649">
        <v>2233</v>
      </c>
      <c r="DL649">
        <v>20210912</v>
      </c>
      <c r="DM649">
        <v>13.22</v>
      </c>
      <c r="DN649">
        <v>2.12</v>
      </c>
    </row>
    <row r="650" spans="1:118">
      <c r="A650" t="str">
        <f>"002234"</f>
        <v>002234</v>
      </c>
      <c r="B650" t="s">
        <v>3995</v>
      </c>
      <c r="C650">
        <v>6.09</v>
      </c>
      <c r="D650">
        <v>-0.11</v>
      </c>
      <c r="E650">
        <v>-0.84</v>
      </c>
      <c r="F650">
        <v>2403</v>
      </c>
      <c r="G650" t="s">
        <v>3996</v>
      </c>
      <c r="H650">
        <v>38248.800000000003</v>
      </c>
      <c r="I650">
        <v>104.57</v>
      </c>
      <c r="J650" t="s">
        <v>120</v>
      </c>
      <c r="K650" t="s">
        <v>3997</v>
      </c>
      <c r="L650">
        <v>11.43</v>
      </c>
      <c r="M650">
        <v>16.38</v>
      </c>
      <c r="N650">
        <v>1.81</v>
      </c>
      <c r="O650">
        <v>9.9700000000000006</v>
      </c>
      <c r="P650">
        <v>16.98</v>
      </c>
      <c r="Q650">
        <v>-1.49</v>
      </c>
      <c r="R650">
        <v>15.21</v>
      </c>
      <c r="S650">
        <v>15.31</v>
      </c>
      <c r="T650">
        <v>235572</v>
      </c>
      <c r="U650">
        <v>16.38</v>
      </c>
      <c r="V650">
        <v>15.44</v>
      </c>
      <c r="W650">
        <v>16.8</v>
      </c>
      <c r="X650" t="s">
        <v>447</v>
      </c>
      <c r="Y650" t="s">
        <v>638</v>
      </c>
      <c r="Z650">
        <v>11.46</v>
      </c>
      <c r="AA650">
        <v>16.239999999999998</v>
      </c>
      <c r="AB650">
        <v>105694</v>
      </c>
      <c r="AC650">
        <v>129878</v>
      </c>
      <c r="AD650">
        <v>0.81</v>
      </c>
      <c r="AE650">
        <v>52</v>
      </c>
      <c r="AF650">
        <v>80</v>
      </c>
      <c r="AG650" t="s">
        <v>120</v>
      </c>
      <c r="AH650">
        <v>0.04</v>
      </c>
      <c r="AI650" t="s">
        <v>120</v>
      </c>
      <c r="AJ650">
        <v>2.06</v>
      </c>
      <c r="AK650" t="s">
        <v>3998</v>
      </c>
      <c r="AL650">
        <v>8</v>
      </c>
      <c r="AM650">
        <v>3877</v>
      </c>
      <c r="AN650">
        <v>61</v>
      </c>
      <c r="AO650">
        <v>2.8999999999999998E-3</v>
      </c>
      <c r="AP650">
        <v>2</v>
      </c>
      <c r="AQ650">
        <v>2.0499999999999998</v>
      </c>
      <c r="AR650">
        <v>4.2699999999999996</v>
      </c>
      <c r="AS650">
        <v>20.09</v>
      </c>
      <c r="AT650">
        <v>13.75</v>
      </c>
      <c r="AU650">
        <v>9.1199999999999992</v>
      </c>
      <c r="AV650">
        <v>2</v>
      </c>
      <c r="AW650">
        <v>13.52</v>
      </c>
      <c r="AX650">
        <v>49.92</v>
      </c>
      <c r="AY650">
        <v>1206.3499999999999</v>
      </c>
      <c r="AZ650">
        <v>80.81</v>
      </c>
      <c r="BA650">
        <v>0.18</v>
      </c>
      <c r="BB650" t="s">
        <v>184</v>
      </c>
      <c r="BF650">
        <v>5.16</v>
      </c>
      <c r="BG650">
        <v>6.99</v>
      </c>
      <c r="BH650">
        <v>-3.53</v>
      </c>
      <c r="BI650">
        <v>7.69</v>
      </c>
      <c r="BJ650">
        <v>20210830</v>
      </c>
      <c r="BK650">
        <v>20080516</v>
      </c>
      <c r="BL650">
        <v>3.49</v>
      </c>
      <c r="BM650" t="s">
        <v>120</v>
      </c>
      <c r="BN650" t="s">
        <v>120</v>
      </c>
      <c r="BO650">
        <v>38.54</v>
      </c>
      <c r="BP650">
        <v>16.329999999999998</v>
      </c>
      <c r="BQ650">
        <v>32.479999999999997</v>
      </c>
      <c r="BR650">
        <v>0.05</v>
      </c>
      <c r="BS650">
        <v>15.58</v>
      </c>
      <c r="BT650">
        <v>16.62</v>
      </c>
      <c r="BU650">
        <v>12.41</v>
      </c>
      <c r="BV650">
        <v>0.91</v>
      </c>
      <c r="BW650">
        <v>4.9800000000000004</v>
      </c>
      <c r="BX650">
        <v>8.41</v>
      </c>
      <c r="BY650">
        <v>3.77</v>
      </c>
      <c r="BZ650">
        <v>0.39</v>
      </c>
      <c r="CA650" t="s">
        <v>120</v>
      </c>
      <c r="CB650">
        <v>13.82</v>
      </c>
      <c r="CC650">
        <v>10.48</v>
      </c>
      <c r="CD650">
        <v>7.34</v>
      </c>
      <c r="CE650">
        <v>1.69</v>
      </c>
      <c r="CF650">
        <v>0.01</v>
      </c>
      <c r="CG650">
        <v>1.69</v>
      </c>
      <c r="CH650">
        <v>1.69</v>
      </c>
      <c r="CI650">
        <v>1.7</v>
      </c>
      <c r="CJ650">
        <v>0.94</v>
      </c>
      <c r="CK650">
        <v>1.65</v>
      </c>
      <c r="CL650">
        <v>12.57</v>
      </c>
      <c r="CM650">
        <v>1.98</v>
      </c>
      <c r="CN650">
        <v>1.17</v>
      </c>
      <c r="CO650">
        <v>41553</v>
      </c>
      <c r="CP650">
        <v>4192</v>
      </c>
      <c r="CQ650" t="s">
        <v>3999</v>
      </c>
      <c r="CR650">
        <v>-26.78</v>
      </c>
      <c r="CS650">
        <v>16.18</v>
      </c>
      <c r="CT650">
        <v>1.76</v>
      </c>
      <c r="CU650">
        <v>28.94</v>
      </c>
      <c r="CV650">
        <v>5.45</v>
      </c>
      <c r="CW650">
        <v>1.94</v>
      </c>
      <c r="CX650" t="s">
        <v>263</v>
      </c>
      <c r="CY650">
        <v>9.31</v>
      </c>
      <c r="CZ650">
        <v>0</v>
      </c>
      <c r="DA650">
        <v>3.96</v>
      </c>
      <c r="DB650">
        <v>3.6</v>
      </c>
      <c r="DC650">
        <v>0.56999999999999995</v>
      </c>
      <c r="DD650">
        <v>84.28</v>
      </c>
      <c r="DE650" t="s">
        <v>4000</v>
      </c>
      <c r="DF650">
        <v>29.98</v>
      </c>
      <c r="DG650">
        <v>16.09</v>
      </c>
      <c r="DH650">
        <v>16.23</v>
      </c>
      <c r="DI650">
        <v>0.05</v>
      </c>
      <c r="DJ650">
        <v>4531</v>
      </c>
      <c r="DK650">
        <v>2234</v>
      </c>
      <c r="DL650" t="s">
        <v>120</v>
      </c>
      <c r="DM650" t="s">
        <v>120</v>
      </c>
      <c r="DN650" t="s">
        <v>120</v>
      </c>
    </row>
    <row r="651" spans="1:118">
      <c r="A651" t="str">
        <f>"002235"</f>
        <v>002235</v>
      </c>
      <c r="B651" t="s">
        <v>4001</v>
      </c>
      <c r="C651">
        <v>-2.12</v>
      </c>
      <c r="D651">
        <v>0</v>
      </c>
      <c r="E651">
        <v>-0.64</v>
      </c>
      <c r="F651">
        <v>1521</v>
      </c>
      <c r="G651" t="s">
        <v>3886</v>
      </c>
      <c r="H651">
        <v>7362.2</v>
      </c>
      <c r="I651">
        <v>23.5</v>
      </c>
      <c r="J651" t="s">
        <v>120</v>
      </c>
      <c r="K651" t="s">
        <v>4002</v>
      </c>
      <c r="L651">
        <v>2.86</v>
      </c>
      <c r="M651">
        <v>4.62</v>
      </c>
      <c r="N651">
        <v>0.53</v>
      </c>
      <c r="O651">
        <v>1.06</v>
      </c>
      <c r="P651">
        <v>4.7699999999999996</v>
      </c>
      <c r="Q651">
        <v>-2.33</v>
      </c>
      <c r="R651">
        <v>4.6100000000000003</v>
      </c>
      <c r="S651">
        <v>4.6900000000000004</v>
      </c>
      <c r="T651">
        <v>157006</v>
      </c>
      <c r="U651">
        <v>4.62</v>
      </c>
      <c r="V651">
        <v>4.72</v>
      </c>
      <c r="W651">
        <v>114.95</v>
      </c>
      <c r="X651" t="s">
        <v>1531</v>
      </c>
      <c r="Y651" t="s">
        <v>937</v>
      </c>
      <c r="Z651">
        <v>3.39</v>
      </c>
      <c r="AA651">
        <v>4.6900000000000004</v>
      </c>
      <c r="AB651">
        <v>89575</v>
      </c>
      <c r="AC651">
        <v>67431</v>
      </c>
      <c r="AD651">
        <v>1.33</v>
      </c>
      <c r="AE651">
        <v>2466</v>
      </c>
      <c r="AF651">
        <v>414</v>
      </c>
      <c r="AG651" t="s">
        <v>120</v>
      </c>
      <c r="AH651">
        <v>0.01</v>
      </c>
      <c r="AI651" t="s">
        <v>120</v>
      </c>
      <c r="AJ651">
        <v>5.48</v>
      </c>
      <c r="AK651" t="s">
        <v>4003</v>
      </c>
      <c r="AL651">
        <v>-0.2</v>
      </c>
      <c r="AM651">
        <v>2432</v>
      </c>
      <c r="AN651">
        <v>65</v>
      </c>
      <c r="AO651">
        <v>1.1999999999999999E-3</v>
      </c>
      <c r="AP651">
        <v>-1</v>
      </c>
      <c r="AQ651">
        <v>0.64</v>
      </c>
      <c r="AR651">
        <v>-4.74</v>
      </c>
      <c r="AS651">
        <v>5</v>
      </c>
      <c r="AT651">
        <v>-9.23</v>
      </c>
      <c r="AU651">
        <v>1.76</v>
      </c>
      <c r="AV651">
        <v>10</v>
      </c>
      <c r="AW651">
        <v>3.47</v>
      </c>
      <c r="AX651">
        <v>78.16</v>
      </c>
      <c r="AY651" t="s">
        <v>120</v>
      </c>
      <c r="AZ651" t="s">
        <v>120</v>
      </c>
      <c r="BA651">
        <v>0.87</v>
      </c>
      <c r="BB651" t="s">
        <v>143</v>
      </c>
      <c r="BF651">
        <v>-0.65</v>
      </c>
      <c r="BG651">
        <v>-1.49</v>
      </c>
      <c r="BH651">
        <v>-3.14</v>
      </c>
      <c r="BI651">
        <v>0.22</v>
      </c>
      <c r="BJ651">
        <v>20210830</v>
      </c>
      <c r="BK651">
        <v>20080516</v>
      </c>
      <c r="BL651">
        <v>5.8</v>
      </c>
      <c r="BM651" t="s">
        <v>120</v>
      </c>
      <c r="BN651" t="s">
        <v>120</v>
      </c>
      <c r="BO651">
        <v>15.49</v>
      </c>
      <c r="BP651">
        <v>4.6100000000000003</v>
      </c>
      <c r="BQ651">
        <v>12.49</v>
      </c>
      <c r="BR651">
        <v>0.1</v>
      </c>
      <c r="BS651">
        <v>18.7</v>
      </c>
      <c r="BT651">
        <v>11.22</v>
      </c>
      <c r="BU651">
        <v>1.52</v>
      </c>
      <c r="BV651">
        <v>0.26</v>
      </c>
      <c r="BW651">
        <v>2.72</v>
      </c>
      <c r="BX651">
        <v>2.86</v>
      </c>
      <c r="BY651">
        <v>0.49</v>
      </c>
      <c r="BZ651">
        <v>1.59</v>
      </c>
      <c r="CA651">
        <v>0</v>
      </c>
      <c r="CB651">
        <v>14.16</v>
      </c>
      <c r="CC651">
        <v>1.65</v>
      </c>
      <c r="CD651">
        <v>1.23</v>
      </c>
      <c r="CE651">
        <v>0.13</v>
      </c>
      <c r="CF651">
        <v>0.09</v>
      </c>
      <c r="CG651">
        <v>0.12</v>
      </c>
      <c r="CH651">
        <v>0.11</v>
      </c>
      <c r="CI651">
        <v>0.12</v>
      </c>
      <c r="CJ651">
        <v>-0.1</v>
      </c>
      <c r="CK651">
        <v>0.01</v>
      </c>
      <c r="CL651">
        <v>-7.72</v>
      </c>
      <c r="CM651">
        <v>0.05</v>
      </c>
      <c r="CN651">
        <v>0.61</v>
      </c>
      <c r="CO651">
        <v>64904</v>
      </c>
      <c r="CP651">
        <v>6979</v>
      </c>
      <c r="CQ651" t="s">
        <v>4004</v>
      </c>
      <c r="CR651">
        <v>217.24</v>
      </c>
      <c r="CS651">
        <v>-1.23</v>
      </c>
      <c r="CT651">
        <v>2.14</v>
      </c>
      <c r="CU651">
        <v>494.69</v>
      </c>
      <c r="CV651">
        <v>16.2</v>
      </c>
      <c r="CW651">
        <v>0</v>
      </c>
      <c r="CX651" t="s">
        <v>499</v>
      </c>
      <c r="CY651">
        <v>2.16</v>
      </c>
      <c r="CZ651">
        <v>0</v>
      </c>
      <c r="DA651">
        <v>2.44</v>
      </c>
      <c r="DB651">
        <v>-1.33</v>
      </c>
      <c r="DC651">
        <v>0.01</v>
      </c>
      <c r="DD651">
        <v>80.650000000000006</v>
      </c>
      <c r="DE651" t="s">
        <v>4005</v>
      </c>
      <c r="DF651">
        <v>25.66</v>
      </c>
      <c r="DG651">
        <v>7.77</v>
      </c>
      <c r="DH651">
        <v>7.05</v>
      </c>
      <c r="DI651">
        <v>0.12</v>
      </c>
      <c r="DJ651">
        <v>424</v>
      </c>
      <c r="DK651">
        <v>2235</v>
      </c>
      <c r="DL651" t="s">
        <v>120</v>
      </c>
      <c r="DM651" t="s">
        <v>120</v>
      </c>
      <c r="DN651" t="s">
        <v>120</v>
      </c>
    </row>
    <row r="652" spans="1:118">
      <c r="A652" t="str">
        <f>"002236"</f>
        <v>002236</v>
      </c>
      <c r="B652" t="s">
        <v>4006</v>
      </c>
      <c r="C652">
        <v>-2.1</v>
      </c>
      <c r="D652">
        <v>-0.03</v>
      </c>
      <c r="E652">
        <v>1.36</v>
      </c>
      <c r="F652">
        <v>3062</v>
      </c>
      <c r="G652" t="s">
        <v>4007</v>
      </c>
      <c r="H652">
        <v>91709.45</v>
      </c>
      <c r="I652">
        <v>789.24</v>
      </c>
      <c r="J652" t="s">
        <v>120</v>
      </c>
      <c r="K652" t="s">
        <v>4008</v>
      </c>
      <c r="L652">
        <v>1.95</v>
      </c>
      <c r="M652">
        <v>23.77</v>
      </c>
      <c r="N652">
        <v>0.6</v>
      </c>
      <c r="O652">
        <v>1.36</v>
      </c>
      <c r="P652">
        <v>24.61</v>
      </c>
      <c r="Q652">
        <v>-2.64</v>
      </c>
      <c r="R652">
        <v>23.64</v>
      </c>
      <c r="S652">
        <v>24.61</v>
      </c>
      <c r="T652">
        <v>382978</v>
      </c>
      <c r="U652">
        <v>23.77</v>
      </c>
      <c r="V652">
        <v>24.28</v>
      </c>
      <c r="W652">
        <v>21.67</v>
      </c>
      <c r="X652" t="s">
        <v>2717</v>
      </c>
      <c r="Y652" t="s">
        <v>585</v>
      </c>
      <c r="Z652">
        <v>4</v>
      </c>
      <c r="AA652">
        <v>23.95</v>
      </c>
      <c r="AB652">
        <v>168392</v>
      </c>
      <c r="AC652">
        <v>214586</v>
      </c>
      <c r="AD652">
        <v>0.78</v>
      </c>
      <c r="AE652">
        <v>118</v>
      </c>
      <c r="AF652">
        <v>10</v>
      </c>
      <c r="AG652" t="s">
        <v>120</v>
      </c>
      <c r="AH652">
        <v>0.02</v>
      </c>
      <c r="AI652" t="s">
        <v>120</v>
      </c>
      <c r="AJ652">
        <v>19.600000000000001</v>
      </c>
      <c r="AK652" t="s">
        <v>4009</v>
      </c>
      <c r="AL652">
        <v>-0.19</v>
      </c>
      <c r="AM652">
        <v>4504</v>
      </c>
      <c r="AN652">
        <v>85</v>
      </c>
      <c r="AO652">
        <v>4.0000000000000002E-4</v>
      </c>
      <c r="AP652">
        <v>-1</v>
      </c>
      <c r="AQ652">
        <v>0.08</v>
      </c>
      <c r="AR652">
        <v>-5.97</v>
      </c>
      <c r="AS652">
        <v>16.010000000000002</v>
      </c>
      <c r="AT652">
        <v>7.17</v>
      </c>
      <c r="AU652">
        <v>21.14</v>
      </c>
      <c r="AV652">
        <v>2</v>
      </c>
      <c r="AW652">
        <v>2.33</v>
      </c>
      <c r="AX652">
        <v>54.94</v>
      </c>
      <c r="AY652">
        <v>17.41</v>
      </c>
      <c r="AZ652">
        <v>18.64</v>
      </c>
      <c r="BA652">
        <v>0.57999999999999996</v>
      </c>
      <c r="BB652" t="s">
        <v>143</v>
      </c>
      <c r="BF652">
        <v>-1.37</v>
      </c>
      <c r="BG652">
        <v>-3.41</v>
      </c>
      <c r="BH652">
        <v>-3.41</v>
      </c>
      <c r="BI652">
        <v>0.55000000000000004</v>
      </c>
      <c r="BJ652">
        <v>20210828</v>
      </c>
      <c r="BK652">
        <v>20080520</v>
      </c>
      <c r="BL652">
        <v>29.96</v>
      </c>
      <c r="BM652" t="s">
        <v>120</v>
      </c>
      <c r="BN652" t="s">
        <v>120</v>
      </c>
      <c r="BO652">
        <v>397.66</v>
      </c>
      <c r="BP652">
        <v>23.76</v>
      </c>
      <c r="BQ652">
        <v>215.02</v>
      </c>
      <c r="BR652">
        <v>5.37</v>
      </c>
      <c r="BS652">
        <v>44.58</v>
      </c>
      <c r="BT652">
        <v>305.18</v>
      </c>
      <c r="BU652">
        <v>19.8</v>
      </c>
      <c r="BV652">
        <v>5.87</v>
      </c>
      <c r="BW652">
        <v>149.15</v>
      </c>
      <c r="BX652">
        <v>66.91</v>
      </c>
      <c r="BY652">
        <v>73.12</v>
      </c>
      <c r="BZ652">
        <v>127.79</v>
      </c>
      <c r="CA652" t="s">
        <v>120</v>
      </c>
      <c r="CB652">
        <v>25.93</v>
      </c>
      <c r="CC652">
        <v>135.05000000000001</v>
      </c>
      <c r="CD652">
        <v>79.11</v>
      </c>
      <c r="CE652">
        <v>16.350000000000001</v>
      </c>
      <c r="CF652">
        <v>-1.28</v>
      </c>
      <c r="CG652">
        <v>16.37</v>
      </c>
      <c r="CH652">
        <v>16.75</v>
      </c>
      <c r="CI652">
        <v>16.43</v>
      </c>
      <c r="CJ652">
        <v>-0.51</v>
      </c>
      <c r="CK652">
        <v>14.4</v>
      </c>
      <c r="CL652">
        <v>145.96</v>
      </c>
      <c r="CM652">
        <v>-8.7100000000000009</v>
      </c>
      <c r="CN652">
        <v>-7.73</v>
      </c>
      <c r="CO652">
        <v>153835</v>
      </c>
      <c r="CP652">
        <v>10698</v>
      </c>
      <c r="CQ652" t="s">
        <v>4010</v>
      </c>
      <c r="CR652">
        <v>20.03</v>
      </c>
      <c r="CS652">
        <v>37.270000000000003</v>
      </c>
      <c r="CT652">
        <v>3.31</v>
      </c>
      <c r="CU652">
        <v>-81.739999999999995</v>
      </c>
      <c r="CV652">
        <v>5.27</v>
      </c>
      <c r="CW652">
        <v>1.1000000000000001</v>
      </c>
      <c r="CX652" t="s">
        <v>1426</v>
      </c>
      <c r="CY652">
        <v>7.18</v>
      </c>
      <c r="CZ652">
        <v>7.18</v>
      </c>
      <c r="DA652">
        <v>0.87</v>
      </c>
      <c r="DB652">
        <v>4.87</v>
      </c>
      <c r="DC652">
        <v>-0.28999999999999998</v>
      </c>
      <c r="DD652">
        <v>54.07</v>
      </c>
      <c r="DE652" t="s">
        <v>4011</v>
      </c>
      <c r="DF652">
        <v>41.42</v>
      </c>
      <c r="DG652">
        <v>12.11</v>
      </c>
      <c r="DH652">
        <v>12.17</v>
      </c>
      <c r="DI652">
        <v>14.06</v>
      </c>
      <c r="DJ652">
        <v>17251</v>
      </c>
      <c r="DK652">
        <v>2236</v>
      </c>
      <c r="DL652" t="s">
        <v>120</v>
      </c>
      <c r="DM652" t="s">
        <v>120</v>
      </c>
      <c r="DN652" t="s">
        <v>120</v>
      </c>
    </row>
    <row r="653" spans="1:118">
      <c r="A653" t="str">
        <f>"002237"</f>
        <v>002237</v>
      </c>
      <c r="B653" t="s">
        <v>4012</v>
      </c>
      <c r="C653">
        <v>2.46</v>
      </c>
      <c r="D653">
        <v>0.22</v>
      </c>
      <c r="E653">
        <v>-0.37</v>
      </c>
      <c r="F653">
        <v>5011</v>
      </c>
      <c r="G653" t="s">
        <v>4013</v>
      </c>
      <c r="H653">
        <v>66269.69</v>
      </c>
      <c r="I653">
        <v>173.42</v>
      </c>
      <c r="J653" t="s">
        <v>120</v>
      </c>
      <c r="K653" t="s">
        <v>4014</v>
      </c>
      <c r="L653">
        <v>5.27</v>
      </c>
      <c r="M653">
        <v>13.73</v>
      </c>
      <c r="N653">
        <v>1.1299999999999999</v>
      </c>
      <c r="O653">
        <v>5.97</v>
      </c>
      <c r="P653">
        <v>14.2</v>
      </c>
      <c r="Q653">
        <v>-0.75</v>
      </c>
      <c r="R653">
        <v>13.3</v>
      </c>
      <c r="S653">
        <v>13.35</v>
      </c>
      <c r="T653">
        <v>479877</v>
      </c>
      <c r="U653">
        <v>13.73</v>
      </c>
      <c r="V653">
        <v>13.4</v>
      </c>
      <c r="W653">
        <v>33.85</v>
      </c>
      <c r="X653" t="s">
        <v>855</v>
      </c>
      <c r="Y653" t="s">
        <v>638</v>
      </c>
      <c r="Z653">
        <v>6.72</v>
      </c>
      <c r="AA653">
        <v>13.81</v>
      </c>
      <c r="AB653">
        <v>222114</v>
      </c>
      <c r="AC653">
        <v>257763</v>
      </c>
      <c r="AD653">
        <v>0.86</v>
      </c>
      <c r="AE653">
        <v>216</v>
      </c>
      <c r="AF653">
        <v>1083</v>
      </c>
      <c r="AG653" t="s">
        <v>120</v>
      </c>
      <c r="AH653">
        <v>0.02</v>
      </c>
      <c r="AI653" t="s">
        <v>120</v>
      </c>
      <c r="AJ653">
        <v>9.1</v>
      </c>
      <c r="AK653" t="s">
        <v>4015</v>
      </c>
      <c r="AL653">
        <v>4.38</v>
      </c>
      <c r="AM653">
        <v>4213</v>
      </c>
      <c r="AN653">
        <v>114</v>
      </c>
      <c r="AO653">
        <v>1.2999999999999999E-3</v>
      </c>
      <c r="AP653">
        <v>2</v>
      </c>
      <c r="AQ653">
        <v>1.06</v>
      </c>
      <c r="AR653">
        <v>-1.58</v>
      </c>
      <c r="AS653">
        <v>10.91</v>
      </c>
      <c r="AT653">
        <v>18.36</v>
      </c>
      <c r="AU653">
        <v>6.32</v>
      </c>
      <c r="AV653">
        <v>2</v>
      </c>
      <c r="AW653">
        <v>8.99</v>
      </c>
      <c r="AX653">
        <v>46.52</v>
      </c>
      <c r="AY653">
        <v>33.06</v>
      </c>
      <c r="AZ653">
        <v>42</v>
      </c>
      <c r="BA653">
        <v>0</v>
      </c>
      <c r="BB653" t="s">
        <v>125</v>
      </c>
      <c r="BF653">
        <v>3.06</v>
      </c>
      <c r="BG653">
        <v>2.85</v>
      </c>
      <c r="BH653">
        <v>-3.31</v>
      </c>
      <c r="BI653">
        <v>3.23</v>
      </c>
      <c r="BJ653">
        <v>20210912</v>
      </c>
      <c r="BK653">
        <v>20080520</v>
      </c>
      <c r="BL653">
        <v>11.48</v>
      </c>
      <c r="BM653" t="s">
        <v>120</v>
      </c>
      <c r="BN653" t="s">
        <v>120</v>
      </c>
      <c r="BO653">
        <v>203.34</v>
      </c>
      <c r="BP653">
        <v>13.72</v>
      </c>
      <c r="BQ653">
        <v>76.28</v>
      </c>
      <c r="BR653">
        <v>-0.24</v>
      </c>
      <c r="BS653">
        <v>62.6</v>
      </c>
      <c r="BT653">
        <v>146.61000000000001</v>
      </c>
      <c r="BU653">
        <v>40.21</v>
      </c>
      <c r="BV653">
        <v>6.9</v>
      </c>
      <c r="BW653">
        <v>114</v>
      </c>
      <c r="BX653">
        <v>38.369999999999997</v>
      </c>
      <c r="BY653">
        <v>90.68</v>
      </c>
      <c r="BZ653">
        <v>0.25</v>
      </c>
      <c r="CA653" t="s">
        <v>120</v>
      </c>
      <c r="CB653">
        <v>30.19</v>
      </c>
      <c r="CC653">
        <v>213.43</v>
      </c>
      <c r="CD653">
        <v>202.5</v>
      </c>
      <c r="CE653">
        <v>2.97</v>
      </c>
      <c r="CF653">
        <v>-1.61</v>
      </c>
      <c r="CG653">
        <v>2.68</v>
      </c>
      <c r="CH653">
        <v>2.19</v>
      </c>
      <c r="CI653">
        <v>2.33</v>
      </c>
      <c r="CJ653">
        <v>0.33</v>
      </c>
      <c r="CK653">
        <v>3.28</v>
      </c>
      <c r="CL653">
        <v>30.24</v>
      </c>
      <c r="CM653">
        <v>-1.75</v>
      </c>
      <c r="CN653">
        <v>11.42</v>
      </c>
      <c r="CO653">
        <v>65253</v>
      </c>
      <c r="CP653">
        <v>8184</v>
      </c>
      <c r="CQ653" t="s">
        <v>4016</v>
      </c>
      <c r="CR653">
        <v>73.930000000000007</v>
      </c>
      <c r="CS653">
        <v>29.78</v>
      </c>
      <c r="CT653">
        <v>2.0699999999999998</v>
      </c>
      <c r="CU653">
        <v>-90.28</v>
      </c>
      <c r="CV653">
        <v>0.74</v>
      </c>
      <c r="CW653">
        <v>0.56000000000000005</v>
      </c>
      <c r="CX653" t="s">
        <v>492</v>
      </c>
      <c r="CY653">
        <v>6.64</v>
      </c>
      <c r="CZ653">
        <v>0</v>
      </c>
      <c r="DA653">
        <v>2.63</v>
      </c>
      <c r="DB653">
        <v>2.63</v>
      </c>
      <c r="DC653">
        <v>-0.15</v>
      </c>
      <c r="DD653">
        <v>37.51</v>
      </c>
      <c r="DE653" t="s">
        <v>4017</v>
      </c>
      <c r="DF653">
        <v>5.12</v>
      </c>
      <c r="DG653">
        <v>1.39</v>
      </c>
      <c r="DH653">
        <v>1.0900000000000001</v>
      </c>
      <c r="DI653">
        <v>0.28000000000000003</v>
      </c>
      <c r="DJ653">
        <v>5233</v>
      </c>
      <c r="DK653">
        <v>2237</v>
      </c>
      <c r="DL653" t="s">
        <v>120</v>
      </c>
      <c r="DM653" t="s">
        <v>120</v>
      </c>
      <c r="DN653" t="s">
        <v>120</v>
      </c>
    </row>
    <row r="654" spans="1:118">
      <c r="A654" t="str">
        <f>"002238"</f>
        <v>002238</v>
      </c>
      <c r="B654" t="s">
        <v>4018</v>
      </c>
      <c r="C654">
        <v>-0.65</v>
      </c>
      <c r="D654">
        <v>0</v>
      </c>
      <c r="E654">
        <v>0.82</v>
      </c>
      <c r="F654">
        <v>205</v>
      </c>
      <c r="G654" t="s">
        <v>4019</v>
      </c>
      <c r="H654">
        <v>1670.37</v>
      </c>
      <c r="I654">
        <v>3.46</v>
      </c>
      <c r="J654" t="s">
        <v>120</v>
      </c>
      <c r="K654" t="s">
        <v>333</v>
      </c>
      <c r="L654">
        <v>0.34</v>
      </c>
      <c r="M654">
        <v>6.09</v>
      </c>
      <c r="N654">
        <v>0.71</v>
      </c>
      <c r="O654">
        <v>1.63</v>
      </c>
      <c r="P654">
        <v>6.23</v>
      </c>
      <c r="Q654">
        <v>-0.98</v>
      </c>
      <c r="R654">
        <v>6.07</v>
      </c>
      <c r="S654">
        <v>6.18</v>
      </c>
      <c r="T654">
        <v>27176</v>
      </c>
      <c r="U654">
        <v>6.1</v>
      </c>
      <c r="V654">
        <v>6.13</v>
      </c>
      <c r="W654">
        <v>31.41</v>
      </c>
      <c r="X654" t="s">
        <v>584</v>
      </c>
      <c r="Y654" t="s">
        <v>123</v>
      </c>
      <c r="Z654">
        <v>2.61</v>
      </c>
      <c r="AA654">
        <v>6.15</v>
      </c>
      <c r="AB654">
        <v>13111</v>
      </c>
      <c r="AC654">
        <v>14065</v>
      </c>
      <c r="AD654">
        <v>0.93</v>
      </c>
      <c r="AE654">
        <v>267</v>
      </c>
      <c r="AF654">
        <v>182</v>
      </c>
      <c r="AG654" t="s">
        <v>120</v>
      </c>
      <c r="AH654">
        <v>0</v>
      </c>
      <c r="AI654" t="s">
        <v>120</v>
      </c>
      <c r="AJ654">
        <v>8.0299999999999994</v>
      </c>
      <c r="AK654" t="s">
        <v>333</v>
      </c>
      <c r="AL654">
        <v>1.26</v>
      </c>
      <c r="AM654">
        <v>968</v>
      </c>
      <c r="AN654">
        <v>28</v>
      </c>
      <c r="AO654">
        <v>2.9999999999999997E-4</v>
      </c>
      <c r="AP654">
        <v>-1</v>
      </c>
      <c r="AQ654">
        <v>0.33</v>
      </c>
      <c r="AR654">
        <v>-2.56</v>
      </c>
      <c r="AS654">
        <v>2.87</v>
      </c>
      <c r="AT654">
        <v>-4.99</v>
      </c>
      <c r="AU654">
        <v>-10.31</v>
      </c>
      <c r="AV654">
        <v>3</v>
      </c>
      <c r="AW654">
        <v>0.99</v>
      </c>
      <c r="AX654">
        <v>34.340000000000003</v>
      </c>
      <c r="AY654">
        <v>30.6</v>
      </c>
      <c r="AZ654">
        <v>27.01</v>
      </c>
      <c r="BA654">
        <v>0.38</v>
      </c>
      <c r="BB654" t="s">
        <v>143</v>
      </c>
      <c r="BF654">
        <v>0.27</v>
      </c>
      <c r="BG654">
        <v>-1.46</v>
      </c>
      <c r="BH654">
        <v>-2.25</v>
      </c>
      <c r="BI654">
        <v>0.33</v>
      </c>
      <c r="BJ654">
        <v>20210827</v>
      </c>
      <c r="BK654">
        <v>20080526</v>
      </c>
      <c r="BL654">
        <v>8.0299999999999994</v>
      </c>
      <c r="BM654" t="s">
        <v>120</v>
      </c>
      <c r="BN654" t="s">
        <v>120</v>
      </c>
      <c r="BO654">
        <v>38.869999999999997</v>
      </c>
      <c r="BP654">
        <v>6.09</v>
      </c>
      <c r="BQ654">
        <v>22.1</v>
      </c>
      <c r="BR654">
        <v>0.73</v>
      </c>
      <c r="BS654">
        <v>41.28</v>
      </c>
      <c r="BT654">
        <v>14.97</v>
      </c>
      <c r="BU654">
        <v>10.8</v>
      </c>
      <c r="BV654">
        <v>3.14</v>
      </c>
      <c r="BW654">
        <v>14.81</v>
      </c>
      <c r="BX654">
        <v>9.8699999999999992</v>
      </c>
      <c r="BY654">
        <v>0.61</v>
      </c>
      <c r="BZ654">
        <v>1.3</v>
      </c>
      <c r="CA654" t="s">
        <v>120</v>
      </c>
      <c r="CB654">
        <v>0.37</v>
      </c>
      <c r="CC654">
        <v>9</v>
      </c>
      <c r="CD654">
        <v>6.36</v>
      </c>
      <c r="CE654">
        <v>0.76</v>
      </c>
      <c r="CF654">
        <v>-0.05</v>
      </c>
      <c r="CG654">
        <v>0.76</v>
      </c>
      <c r="CH654">
        <v>0.76</v>
      </c>
      <c r="CI654">
        <v>0.78</v>
      </c>
      <c r="CJ654">
        <v>-0.04</v>
      </c>
      <c r="CK654">
        <v>0.66</v>
      </c>
      <c r="CL654">
        <v>10.24</v>
      </c>
      <c r="CM654">
        <v>1.19</v>
      </c>
      <c r="CN654">
        <v>-0.84</v>
      </c>
      <c r="CO654">
        <v>26524</v>
      </c>
      <c r="CP654">
        <v>10391</v>
      </c>
      <c r="CQ654" t="s">
        <v>380</v>
      </c>
      <c r="CR654">
        <v>-21.52</v>
      </c>
      <c r="CS654">
        <v>1.59</v>
      </c>
      <c r="CT654">
        <v>2.21</v>
      </c>
      <c r="CU654">
        <v>40.94</v>
      </c>
      <c r="CV654">
        <v>5.43</v>
      </c>
      <c r="CW654">
        <v>1.63</v>
      </c>
      <c r="CX654" t="s">
        <v>4020</v>
      </c>
      <c r="CY654">
        <v>2.75</v>
      </c>
      <c r="CZ654">
        <v>0</v>
      </c>
      <c r="DA654">
        <v>0.05</v>
      </c>
      <c r="DB654">
        <v>1.28</v>
      </c>
      <c r="DC654">
        <v>0.15</v>
      </c>
      <c r="DD654">
        <v>56.84</v>
      </c>
      <c r="DE654" t="s">
        <v>4021</v>
      </c>
      <c r="DF654">
        <v>29.29</v>
      </c>
      <c r="DG654">
        <v>8.42</v>
      </c>
      <c r="DH654">
        <v>8.65</v>
      </c>
      <c r="DI654">
        <v>0.26</v>
      </c>
      <c r="DJ654">
        <v>2211</v>
      </c>
      <c r="DK654">
        <v>2238</v>
      </c>
      <c r="DL654" t="s">
        <v>120</v>
      </c>
      <c r="DM654" t="s">
        <v>120</v>
      </c>
      <c r="DN654" t="s">
        <v>120</v>
      </c>
    </row>
    <row r="655" spans="1:118">
      <c r="A655" t="str">
        <f>"002239"</f>
        <v>002239</v>
      </c>
      <c r="B655" t="s">
        <v>4022</v>
      </c>
      <c r="C655">
        <v>-2.09</v>
      </c>
      <c r="D655">
        <v>0</v>
      </c>
      <c r="E655">
        <v>-0.52</v>
      </c>
      <c r="F655">
        <v>2925</v>
      </c>
      <c r="G655" t="s">
        <v>4023</v>
      </c>
      <c r="H655">
        <v>19402.38</v>
      </c>
      <c r="I655">
        <v>37.24</v>
      </c>
      <c r="J655" t="s">
        <v>120</v>
      </c>
      <c r="K655" t="s">
        <v>4024</v>
      </c>
      <c r="L655">
        <v>1.59</v>
      </c>
      <c r="M655">
        <v>3.74</v>
      </c>
      <c r="N655">
        <v>0.95</v>
      </c>
      <c r="O655">
        <v>0.26</v>
      </c>
      <c r="P655">
        <v>3.83</v>
      </c>
      <c r="Q655">
        <v>-2.62</v>
      </c>
      <c r="R655">
        <v>3.72</v>
      </c>
      <c r="S655">
        <v>3.8</v>
      </c>
      <c r="T655">
        <v>515159</v>
      </c>
      <c r="U655">
        <v>3.74</v>
      </c>
      <c r="V655">
        <v>3.82</v>
      </c>
      <c r="W655">
        <v>133.63</v>
      </c>
      <c r="X655" t="s">
        <v>289</v>
      </c>
      <c r="Y655" t="s">
        <v>319</v>
      </c>
      <c r="Z655">
        <v>2.88</v>
      </c>
      <c r="AA655">
        <v>3.77</v>
      </c>
      <c r="AB655">
        <v>290513</v>
      </c>
      <c r="AC655">
        <v>224646</v>
      </c>
      <c r="AD655">
        <v>1.29</v>
      </c>
      <c r="AE655">
        <v>3723</v>
      </c>
      <c r="AF655">
        <v>8702</v>
      </c>
      <c r="AG655" t="s">
        <v>120</v>
      </c>
      <c r="AH655">
        <v>0</v>
      </c>
      <c r="AI655" t="s">
        <v>120</v>
      </c>
      <c r="AJ655">
        <v>32.43</v>
      </c>
      <c r="AK655" t="s">
        <v>4024</v>
      </c>
      <c r="AL655">
        <v>-0.18</v>
      </c>
      <c r="AM655">
        <v>3540</v>
      </c>
      <c r="AN655">
        <v>146</v>
      </c>
      <c r="AO655">
        <v>4.0000000000000002E-4</v>
      </c>
      <c r="AP655">
        <v>-1</v>
      </c>
      <c r="AQ655">
        <v>0.79</v>
      </c>
      <c r="AR655">
        <v>-3.61</v>
      </c>
      <c r="AS655">
        <v>-5.56</v>
      </c>
      <c r="AT655">
        <v>-3.36</v>
      </c>
      <c r="AU655">
        <v>-23.36</v>
      </c>
      <c r="AV655">
        <v>5</v>
      </c>
      <c r="AW655">
        <v>2.4</v>
      </c>
      <c r="AX655">
        <v>66.16</v>
      </c>
      <c r="AY655" t="s">
        <v>120</v>
      </c>
      <c r="AZ655" t="s">
        <v>120</v>
      </c>
      <c r="BA655">
        <v>0.78</v>
      </c>
      <c r="BB655" t="s">
        <v>168</v>
      </c>
      <c r="BF655">
        <v>-1.41</v>
      </c>
      <c r="BG655">
        <v>-1.58</v>
      </c>
      <c r="BH655">
        <v>-2.35</v>
      </c>
      <c r="BI655">
        <v>0.54</v>
      </c>
      <c r="BJ655">
        <v>20210914</v>
      </c>
      <c r="BK655">
        <v>20080522</v>
      </c>
      <c r="BL655">
        <v>32.43</v>
      </c>
      <c r="BM655" t="s">
        <v>120</v>
      </c>
      <c r="BN655" t="s">
        <v>120</v>
      </c>
      <c r="BO655">
        <v>96.06</v>
      </c>
      <c r="BP655">
        <v>3.73</v>
      </c>
      <c r="BQ655">
        <v>54.21</v>
      </c>
      <c r="BR655">
        <v>0.06</v>
      </c>
      <c r="BS655">
        <v>43.51</v>
      </c>
      <c r="BT655">
        <v>50.3</v>
      </c>
      <c r="BU655">
        <v>12.34</v>
      </c>
      <c r="BV655">
        <v>4.1900000000000004</v>
      </c>
      <c r="BW655">
        <v>38.159999999999997</v>
      </c>
      <c r="BX655">
        <v>12.56</v>
      </c>
      <c r="BY655">
        <v>13.97</v>
      </c>
      <c r="BZ655">
        <v>12.42</v>
      </c>
      <c r="CA655" t="s">
        <v>120</v>
      </c>
      <c r="CB655">
        <v>12.12</v>
      </c>
      <c r="CC655">
        <v>25.08</v>
      </c>
      <c r="CD655">
        <v>21.81</v>
      </c>
      <c r="CE655">
        <v>0.56000000000000005</v>
      </c>
      <c r="CF655">
        <v>7.0000000000000007E-2</v>
      </c>
      <c r="CG655">
        <v>0.55000000000000004</v>
      </c>
      <c r="CH655">
        <v>0.45</v>
      </c>
      <c r="CI655">
        <v>0.45</v>
      </c>
      <c r="CJ655">
        <v>-0.08</v>
      </c>
      <c r="CK655">
        <v>0.89</v>
      </c>
      <c r="CL655">
        <v>8.98</v>
      </c>
      <c r="CM655">
        <v>-0.06</v>
      </c>
      <c r="CN655">
        <v>2.2000000000000002</v>
      </c>
      <c r="CO655">
        <v>157100</v>
      </c>
      <c r="CP655">
        <v>13659</v>
      </c>
      <c r="CQ655" t="s">
        <v>4025</v>
      </c>
      <c r="CR655">
        <v>208.97</v>
      </c>
      <c r="CS655">
        <v>72.209999999999994</v>
      </c>
      <c r="CT655">
        <v>2.2400000000000002</v>
      </c>
      <c r="CU655">
        <v>-1965.8</v>
      </c>
      <c r="CV655">
        <v>4.84</v>
      </c>
      <c r="CW655">
        <v>0</v>
      </c>
      <c r="CX655" t="s">
        <v>979</v>
      </c>
      <c r="CY655">
        <v>1.67</v>
      </c>
      <c r="CZ655">
        <v>0</v>
      </c>
      <c r="DA655">
        <v>0.37</v>
      </c>
      <c r="DB655">
        <v>0.28000000000000003</v>
      </c>
      <c r="DC655">
        <v>0</v>
      </c>
      <c r="DD655">
        <v>56.43</v>
      </c>
      <c r="DE655" t="s">
        <v>4026</v>
      </c>
      <c r="DF655">
        <v>13.05</v>
      </c>
      <c r="DG655">
        <v>2.23</v>
      </c>
      <c r="DH655">
        <v>1.81</v>
      </c>
      <c r="DI655">
        <v>0.79</v>
      </c>
      <c r="DJ655">
        <v>5322</v>
      </c>
      <c r="DK655">
        <v>2239</v>
      </c>
      <c r="DL655" t="s">
        <v>120</v>
      </c>
      <c r="DM655" t="s">
        <v>120</v>
      </c>
      <c r="DN655" t="s">
        <v>120</v>
      </c>
    </row>
    <row r="656" spans="1:118">
      <c r="A656" t="str">
        <f>"002240"</f>
        <v>002240</v>
      </c>
      <c r="B656" t="s">
        <v>4027</v>
      </c>
      <c r="C656">
        <v>-5.86</v>
      </c>
      <c r="D656">
        <v>0</v>
      </c>
      <c r="E656">
        <v>-0.5</v>
      </c>
      <c r="F656">
        <v>4985</v>
      </c>
      <c r="G656" t="s">
        <v>4028</v>
      </c>
      <c r="H656">
        <v>415513.33</v>
      </c>
      <c r="I656">
        <v>4281.3</v>
      </c>
      <c r="J656" t="s">
        <v>120</v>
      </c>
      <c r="K656" t="s">
        <v>4029</v>
      </c>
      <c r="L656">
        <v>8.6300000000000008</v>
      </c>
      <c r="M656">
        <v>67.66</v>
      </c>
      <c r="N656">
        <v>1.1100000000000001</v>
      </c>
      <c r="O656">
        <v>2.41</v>
      </c>
      <c r="P656">
        <v>73.599999999999994</v>
      </c>
      <c r="Q656">
        <v>-8.15</v>
      </c>
      <c r="R656">
        <v>66.010000000000005</v>
      </c>
      <c r="S656">
        <v>71.510000000000005</v>
      </c>
      <c r="T656">
        <v>601169</v>
      </c>
      <c r="U656">
        <v>67.66</v>
      </c>
      <c r="V656">
        <v>71.87</v>
      </c>
      <c r="W656">
        <v>100.53</v>
      </c>
      <c r="X656" t="s">
        <v>1390</v>
      </c>
      <c r="Y656" t="s">
        <v>123</v>
      </c>
      <c r="Z656">
        <v>10.56</v>
      </c>
      <c r="AA656">
        <v>69.12</v>
      </c>
      <c r="AB656">
        <v>306609</v>
      </c>
      <c r="AC656">
        <v>294560</v>
      </c>
      <c r="AD656">
        <v>1.04</v>
      </c>
      <c r="AE656">
        <v>16</v>
      </c>
      <c r="AF656">
        <v>160</v>
      </c>
      <c r="AG656" t="s">
        <v>120</v>
      </c>
      <c r="AH656">
        <v>0.11</v>
      </c>
      <c r="AI656" t="s">
        <v>120</v>
      </c>
      <c r="AJ656">
        <v>6.96</v>
      </c>
      <c r="AK656" t="s">
        <v>4030</v>
      </c>
      <c r="AL656">
        <v>-3.94</v>
      </c>
      <c r="AM656">
        <v>4717</v>
      </c>
      <c r="AN656">
        <v>127</v>
      </c>
      <c r="AO656">
        <v>1.8E-3</v>
      </c>
      <c r="AP656">
        <v>-3</v>
      </c>
      <c r="AQ656">
        <v>-0.44</v>
      </c>
      <c r="AR656">
        <v>-12.08</v>
      </c>
      <c r="AS656">
        <v>63.99</v>
      </c>
      <c r="AT656">
        <v>133.72</v>
      </c>
      <c r="AU656">
        <v>176.84</v>
      </c>
      <c r="AV656">
        <v>14</v>
      </c>
      <c r="AW656">
        <v>11.36</v>
      </c>
      <c r="AX656">
        <v>61.24</v>
      </c>
      <c r="AY656">
        <v>127.98</v>
      </c>
      <c r="AZ656">
        <v>2285.86</v>
      </c>
      <c r="BA656">
        <v>0.98</v>
      </c>
      <c r="BB656" t="s">
        <v>143</v>
      </c>
      <c r="BF656">
        <v>-3.83</v>
      </c>
      <c r="BG656">
        <v>-5.38</v>
      </c>
      <c r="BH656">
        <v>-8.07</v>
      </c>
      <c r="BI656">
        <v>2.5</v>
      </c>
      <c r="BJ656">
        <v>20210909</v>
      </c>
      <c r="BK656">
        <v>20080523</v>
      </c>
      <c r="BL656">
        <v>8.64</v>
      </c>
      <c r="BM656" t="s">
        <v>120</v>
      </c>
      <c r="BN656" t="s">
        <v>120</v>
      </c>
      <c r="BO656">
        <v>49.01</v>
      </c>
      <c r="BP656">
        <v>67.650000000000006</v>
      </c>
      <c r="BQ656">
        <v>35.22</v>
      </c>
      <c r="BR656">
        <v>0.02</v>
      </c>
      <c r="BS656">
        <v>28.11</v>
      </c>
      <c r="BT656">
        <v>21.1</v>
      </c>
      <c r="BU656">
        <v>10.9</v>
      </c>
      <c r="BV656">
        <v>3.14</v>
      </c>
      <c r="BW656">
        <v>11.23</v>
      </c>
      <c r="BX656">
        <v>2.34</v>
      </c>
      <c r="BY656">
        <v>3.82</v>
      </c>
      <c r="BZ656">
        <v>2.63</v>
      </c>
      <c r="CA656" t="s">
        <v>120</v>
      </c>
      <c r="CB656">
        <v>25.36</v>
      </c>
      <c r="CC656">
        <v>11.34</v>
      </c>
      <c r="CD656">
        <v>7.41</v>
      </c>
      <c r="CE656">
        <v>3.16</v>
      </c>
      <c r="CF656">
        <v>0.11</v>
      </c>
      <c r="CG656">
        <v>3.14</v>
      </c>
      <c r="CH656">
        <v>2.99</v>
      </c>
      <c r="CI656">
        <v>2.91</v>
      </c>
      <c r="CJ656">
        <v>-4.21</v>
      </c>
      <c r="CK656">
        <v>2.65</v>
      </c>
      <c r="CL656">
        <v>2.27</v>
      </c>
      <c r="CM656">
        <v>1.2</v>
      </c>
      <c r="CN656">
        <v>0.21</v>
      </c>
      <c r="CO656">
        <v>69251</v>
      </c>
      <c r="CP656">
        <v>7643</v>
      </c>
      <c r="CQ656" t="s">
        <v>4031</v>
      </c>
      <c r="CR656">
        <v>273.81</v>
      </c>
      <c r="CS656">
        <v>50.6</v>
      </c>
      <c r="CT656">
        <v>14.4</v>
      </c>
      <c r="CU656">
        <v>487.29</v>
      </c>
      <c r="CV656">
        <v>51.57</v>
      </c>
      <c r="CW656">
        <v>0</v>
      </c>
      <c r="CX656" t="s">
        <v>1980</v>
      </c>
      <c r="CY656">
        <v>4.7</v>
      </c>
      <c r="CZ656">
        <v>4.7</v>
      </c>
      <c r="DA656">
        <v>2.93</v>
      </c>
      <c r="DB656">
        <v>0.26</v>
      </c>
      <c r="DC656">
        <v>0.14000000000000001</v>
      </c>
      <c r="DD656">
        <v>71.849999999999994</v>
      </c>
      <c r="DE656" t="s">
        <v>955</v>
      </c>
      <c r="DF656">
        <v>34.630000000000003</v>
      </c>
      <c r="DG656">
        <v>27.84</v>
      </c>
      <c r="DH656">
        <v>25.65</v>
      </c>
      <c r="DI656">
        <v>0</v>
      </c>
      <c r="DJ656">
        <v>1432</v>
      </c>
      <c r="DK656">
        <v>2240</v>
      </c>
      <c r="DL656">
        <v>20210827</v>
      </c>
      <c r="DM656">
        <v>54.2</v>
      </c>
      <c r="DN656">
        <v>24.83</v>
      </c>
    </row>
    <row r="657" spans="1:118">
      <c r="A657" t="str">
        <f>"002241"</f>
        <v>002241</v>
      </c>
      <c r="B657" t="s">
        <v>4032</v>
      </c>
      <c r="C657">
        <v>-3.83</v>
      </c>
      <c r="D657">
        <v>-0.01</v>
      </c>
      <c r="E657">
        <v>-0.24</v>
      </c>
      <c r="F657">
        <v>12810</v>
      </c>
      <c r="G657" t="s">
        <v>4033</v>
      </c>
      <c r="H657">
        <v>252286.66</v>
      </c>
      <c r="I657">
        <v>1156.92</v>
      </c>
      <c r="J657" t="s">
        <v>120</v>
      </c>
      <c r="K657" t="s">
        <v>4034</v>
      </c>
      <c r="L657">
        <v>1.9</v>
      </c>
      <c r="M657">
        <v>43.98</v>
      </c>
      <c r="N657">
        <v>0.63</v>
      </c>
      <c r="O657">
        <v>1.75</v>
      </c>
      <c r="P657">
        <v>46.53</v>
      </c>
      <c r="Q657">
        <v>-4.4800000000000004</v>
      </c>
      <c r="R657">
        <v>43.68</v>
      </c>
      <c r="S657">
        <v>45.62</v>
      </c>
      <c r="T657">
        <v>564311</v>
      </c>
      <c r="U657">
        <v>43.98</v>
      </c>
      <c r="V657">
        <v>45.73</v>
      </c>
      <c r="W657">
        <v>43.4</v>
      </c>
      <c r="X657" t="s">
        <v>229</v>
      </c>
      <c r="Y657" t="s">
        <v>638</v>
      </c>
      <c r="Z657">
        <v>6.23</v>
      </c>
      <c r="AA657">
        <v>44.71</v>
      </c>
      <c r="AB657">
        <v>294067</v>
      </c>
      <c r="AC657">
        <v>270244</v>
      </c>
      <c r="AD657">
        <v>1.0900000000000001</v>
      </c>
      <c r="AE657">
        <v>142</v>
      </c>
      <c r="AF657">
        <v>1028</v>
      </c>
      <c r="AG657" t="s">
        <v>120</v>
      </c>
      <c r="AH657">
        <v>0.01</v>
      </c>
      <c r="AI657" t="s">
        <v>120</v>
      </c>
      <c r="AJ657">
        <v>29.77</v>
      </c>
      <c r="AK657" t="s">
        <v>4035</v>
      </c>
      <c r="AL657">
        <v>-1.91</v>
      </c>
      <c r="AM657">
        <v>4735</v>
      </c>
      <c r="AN657">
        <v>119</v>
      </c>
      <c r="AO657">
        <v>4.0000000000000002E-4</v>
      </c>
      <c r="AP657">
        <v>-3</v>
      </c>
      <c r="AQ657">
        <v>-2.2400000000000002</v>
      </c>
      <c r="AR657">
        <v>-7.7</v>
      </c>
      <c r="AS657">
        <v>11.96</v>
      </c>
      <c r="AT657">
        <v>1.78</v>
      </c>
      <c r="AU657">
        <v>18.32</v>
      </c>
      <c r="AV657">
        <v>5</v>
      </c>
      <c r="AW657">
        <v>2.5299999999999998</v>
      </c>
      <c r="AX657">
        <v>65.25</v>
      </c>
      <c r="AY657">
        <v>41.13</v>
      </c>
      <c r="AZ657">
        <v>54.86</v>
      </c>
      <c r="BA657">
        <v>0.45</v>
      </c>
      <c r="BB657" t="s">
        <v>143</v>
      </c>
      <c r="BF657">
        <v>-2.2400000000000002</v>
      </c>
      <c r="BG657">
        <v>-3.59</v>
      </c>
      <c r="BH657">
        <v>-5.48</v>
      </c>
      <c r="BI657">
        <v>0.69</v>
      </c>
      <c r="BJ657">
        <v>20210913</v>
      </c>
      <c r="BK657">
        <v>20080522</v>
      </c>
      <c r="BL657">
        <v>34.159999999999997</v>
      </c>
      <c r="BM657" t="s">
        <v>120</v>
      </c>
      <c r="BN657" t="s">
        <v>120</v>
      </c>
      <c r="BO657">
        <v>501.18</v>
      </c>
      <c r="BP657">
        <v>43.97</v>
      </c>
      <c r="BQ657">
        <v>242.81</v>
      </c>
      <c r="BR657">
        <v>5.51</v>
      </c>
      <c r="BS657">
        <v>50.45</v>
      </c>
      <c r="BT657">
        <v>277.05</v>
      </c>
      <c r="BU657">
        <v>159.4</v>
      </c>
      <c r="BV657">
        <v>26.01</v>
      </c>
      <c r="BW657">
        <v>208.66</v>
      </c>
      <c r="BX657">
        <v>107</v>
      </c>
      <c r="BY657">
        <v>93.22</v>
      </c>
      <c r="BZ657">
        <v>60.5</v>
      </c>
      <c r="CA657" t="s">
        <v>120</v>
      </c>
      <c r="CB657">
        <v>91.88</v>
      </c>
      <c r="CC657">
        <v>302.88</v>
      </c>
      <c r="CD657">
        <v>259.22000000000003</v>
      </c>
      <c r="CE657">
        <v>20.3</v>
      </c>
      <c r="CF657">
        <v>2.08</v>
      </c>
      <c r="CG657">
        <v>20.04</v>
      </c>
      <c r="CH657">
        <v>17.47</v>
      </c>
      <c r="CI657">
        <v>17.309999999999999</v>
      </c>
      <c r="CJ657">
        <v>-1.75</v>
      </c>
      <c r="CK657">
        <v>14.1</v>
      </c>
      <c r="CL657">
        <v>129.13999999999999</v>
      </c>
      <c r="CM657">
        <v>39.82</v>
      </c>
      <c r="CN657">
        <v>26.96</v>
      </c>
      <c r="CO657">
        <v>254256</v>
      </c>
      <c r="CP657">
        <v>8767</v>
      </c>
      <c r="CQ657" t="s">
        <v>4036</v>
      </c>
      <c r="CR657">
        <v>121.71</v>
      </c>
      <c r="CS657">
        <v>94.49</v>
      </c>
      <c r="CT657">
        <v>6.19</v>
      </c>
      <c r="CU657">
        <v>37.729999999999997</v>
      </c>
      <c r="CV657">
        <v>4.96</v>
      </c>
      <c r="CW657">
        <v>0.32</v>
      </c>
      <c r="CX657" t="s">
        <v>948</v>
      </c>
      <c r="CY657">
        <v>7.11</v>
      </c>
      <c r="CZ657">
        <v>0</v>
      </c>
      <c r="DA657">
        <v>2.69</v>
      </c>
      <c r="DB657">
        <v>3.78</v>
      </c>
      <c r="DC657">
        <v>1.17</v>
      </c>
      <c r="DD657">
        <v>48.45</v>
      </c>
      <c r="DE657" t="s">
        <v>4037</v>
      </c>
      <c r="DF657">
        <v>14.41</v>
      </c>
      <c r="DG657">
        <v>6.7</v>
      </c>
      <c r="DH657">
        <v>5.72</v>
      </c>
      <c r="DI657">
        <v>15.4</v>
      </c>
      <c r="DJ657">
        <v>87346</v>
      </c>
      <c r="DK657">
        <v>2241</v>
      </c>
      <c r="DL657" t="s">
        <v>120</v>
      </c>
      <c r="DM657" t="s">
        <v>120</v>
      </c>
      <c r="DN657" t="s">
        <v>120</v>
      </c>
    </row>
    <row r="658" spans="1:118">
      <c r="A658" t="str">
        <f>"002242"</f>
        <v>002242</v>
      </c>
      <c r="B658" t="s">
        <v>4038</v>
      </c>
      <c r="C658">
        <v>-2.44</v>
      </c>
      <c r="D658">
        <v>-0.18</v>
      </c>
      <c r="E658">
        <v>0</v>
      </c>
      <c r="F658">
        <v>1930</v>
      </c>
      <c r="G658" t="s">
        <v>4039</v>
      </c>
      <c r="H658">
        <v>7248.46</v>
      </c>
      <c r="I658">
        <v>20.62</v>
      </c>
      <c r="J658" t="s">
        <v>120</v>
      </c>
      <c r="K658" t="s">
        <v>4040</v>
      </c>
      <c r="L658">
        <v>0.44</v>
      </c>
      <c r="M658">
        <v>21.18</v>
      </c>
      <c r="N658">
        <v>0.83</v>
      </c>
      <c r="O658">
        <v>0.92</v>
      </c>
      <c r="P658">
        <v>21.91</v>
      </c>
      <c r="Q658">
        <v>-2.44</v>
      </c>
      <c r="R658">
        <v>21.18</v>
      </c>
      <c r="S658">
        <v>21.71</v>
      </c>
      <c r="T658">
        <v>33683</v>
      </c>
      <c r="U658">
        <v>21.19</v>
      </c>
      <c r="V658">
        <v>21.71</v>
      </c>
      <c r="W658">
        <v>17.989999999999998</v>
      </c>
      <c r="X658" t="s">
        <v>205</v>
      </c>
      <c r="Y658" t="s">
        <v>638</v>
      </c>
      <c r="Z658">
        <v>3.36</v>
      </c>
      <c r="AA658">
        <v>21.52</v>
      </c>
      <c r="AB658">
        <v>20330</v>
      </c>
      <c r="AC658">
        <v>13353</v>
      </c>
      <c r="AD658">
        <v>1.52</v>
      </c>
      <c r="AE658">
        <v>6</v>
      </c>
      <c r="AF658">
        <v>23</v>
      </c>
      <c r="AG658" t="s">
        <v>120</v>
      </c>
      <c r="AH658">
        <v>0</v>
      </c>
      <c r="AI658" t="s">
        <v>120</v>
      </c>
      <c r="AJ658">
        <v>7.66</v>
      </c>
      <c r="AK658" t="s">
        <v>4041</v>
      </c>
      <c r="AL658">
        <v>-0.53</v>
      </c>
      <c r="AM658">
        <v>2699</v>
      </c>
      <c r="AN658">
        <v>12</v>
      </c>
      <c r="AO658">
        <v>2.0000000000000001E-4</v>
      </c>
      <c r="AP658">
        <v>-1</v>
      </c>
      <c r="AQ658">
        <v>0.28000000000000003</v>
      </c>
      <c r="AR658">
        <v>-3.94</v>
      </c>
      <c r="AS658">
        <v>-14.53</v>
      </c>
      <c r="AT658">
        <v>-38.01</v>
      </c>
      <c r="AU658">
        <v>-31.77</v>
      </c>
      <c r="AV658">
        <v>3</v>
      </c>
      <c r="AW658">
        <v>1.34</v>
      </c>
      <c r="AX658">
        <v>32.799999999999997</v>
      </c>
      <c r="AY658">
        <v>17.100000000000001</v>
      </c>
      <c r="AZ658">
        <v>17.71</v>
      </c>
      <c r="BA658">
        <v>0.39</v>
      </c>
      <c r="BB658" t="s">
        <v>143</v>
      </c>
      <c r="BF658">
        <v>-0.88</v>
      </c>
      <c r="BG658">
        <v>-2.44</v>
      </c>
      <c r="BH658">
        <v>-3.33</v>
      </c>
      <c r="BI658">
        <v>0</v>
      </c>
      <c r="BJ658">
        <v>20210831</v>
      </c>
      <c r="BK658">
        <v>20080528</v>
      </c>
      <c r="BL658">
        <v>7.67</v>
      </c>
      <c r="BM658" t="s">
        <v>120</v>
      </c>
      <c r="BN658" t="s">
        <v>120</v>
      </c>
      <c r="BO658">
        <v>80.44</v>
      </c>
      <c r="BP658">
        <v>21.18</v>
      </c>
      <c r="BQ658">
        <v>39.72</v>
      </c>
      <c r="BR658">
        <v>0.05</v>
      </c>
      <c r="BS658">
        <v>50.56</v>
      </c>
      <c r="BT658">
        <v>61.34</v>
      </c>
      <c r="BU658">
        <v>6.13</v>
      </c>
      <c r="BV658">
        <v>1.23</v>
      </c>
      <c r="BW658">
        <v>39.840000000000003</v>
      </c>
      <c r="BX658">
        <v>20.68</v>
      </c>
      <c r="BY658">
        <v>7.7</v>
      </c>
      <c r="BZ658">
        <v>7.72</v>
      </c>
      <c r="CA658" t="s">
        <v>120</v>
      </c>
      <c r="CB658">
        <v>9.41</v>
      </c>
      <c r="CC658">
        <v>47.44</v>
      </c>
      <c r="CD658">
        <v>32.89</v>
      </c>
      <c r="CE658">
        <v>4.91</v>
      </c>
      <c r="CF658">
        <v>0.48</v>
      </c>
      <c r="CG658">
        <v>4.97</v>
      </c>
      <c r="CH658">
        <v>4.34</v>
      </c>
      <c r="CI658">
        <v>4.51</v>
      </c>
      <c r="CJ658">
        <v>-0.53</v>
      </c>
      <c r="CK658">
        <v>3.49</v>
      </c>
      <c r="CL658">
        <v>18.45</v>
      </c>
      <c r="CM658">
        <v>-3.32</v>
      </c>
      <c r="CN658">
        <v>-4.3</v>
      </c>
      <c r="CO658">
        <v>24801</v>
      </c>
      <c r="CP658">
        <v>10143</v>
      </c>
      <c r="CQ658" t="s">
        <v>4042</v>
      </c>
      <c r="CR658">
        <v>8.06</v>
      </c>
      <c r="CS658">
        <v>4.0599999999999996</v>
      </c>
      <c r="CT658">
        <v>4.09</v>
      </c>
      <c r="CU658">
        <v>-48.87</v>
      </c>
      <c r="CV658">
        <v>3.42</v>
      </c>
      <c r="CW658">
        <v>4.6100000000000003</v>
      </c>
      <c r="CX658" t="s">
        <v>2614</v>
      </c>
      <c r="CY658">
        <v>5.18</v>
      </c>
      <c r="CZ658">
        <v>5.18</v>
      </c>
      <c r="DA658">
        <v>1.23</v>
      </c>
      <c r="DB658">
        <v>2.41</v>
      </c>
      <c r="DC658">
        <v>-0.43</v>
      </c>
      <c r="DD658">
        <v>49.38</v>
      </c>
      <c r="DE658" t="s">
        <v>4043</v>
      </c>
      <c r="DF658">
        <v>30.66</v>
      </c>
      <c r="DG658">
        <v>10.35</v>
      </c>
      <c r="DH658">
        <v>9.52</v>
      </c>
      <c r="DI658">
        <v>1.54</v>
      </c>
      <c r="DJ658">
        <v>2846</v>
      </c>
      <c r="DK658">
        <v>2242</v>
      </c>
      <c r="DL658" t="s">
        <v>120</v>
      </c>
      <c r="DM658" t="s">
        <v>120</v>
      </c>
      <c r="DN658" t="s">
        <v>120</v>
      </c>
    </row>
    <row r="659" spans="1:118">
      <c r="A659" t="str">
        <f>"002243"</f>
        <v>002243</v>
      </c>
      <c r="B659" t="s">
        <v>4044</v>
      </c>
      <c r="C659">
        <v>-4.01</v>
      </c>
      <c r="D659">
        <v>0.19</v>
      </c>
      <c r="E659">
        <v>0.65</v>
      </c>
      <c r="F659">
        <v>1441</v>
      </c>
      <c r="G659" t="s">
        <v>4045</v>
      </c>
      <c r="H659">
        <v>9426.57</v>
      </c>
      <c r="I659">
        <v>41.76</v>
      </c>
      <c r="J659" t="s">
        <v>120</v>
      </c>
      <c r="K659" t="s">
        <v>4046</v>
      </c>
      <c r="L659">
        <v>1.63</v>
      </c>
      <c r="M659">
        <v>10.29</v>
      </c>
      <c r="N659">
        <v>1.1399999999999999</v>
      </c>
      <c r="O659">
        <v>1.21</v>
      </c>
      <c r="P659">
        <v>10.85</v>
      </c>
      <c r="Q659">
        <v>-4.38</v>
      </c>
      <c r="R659">
        <v>10.25</v>
      </c>
      <c r="S659">
        <v>10.79</v>
      </c>
      <c r="T659">
        <v>89422</v>
      </c>
      <c r="U659">
        <v>10.29</v>
      </c>
      <c r="V659">
        <v>10.72</v>
      </c>
      <c r="W659">
        <v>33.46</v>
      </c>
      <c r="X659" t="s">
        <v>2211</v>
      </c>
      <c r="Y659" t="s">
        <v>123</v>
      </c>
      <c r="Z659">
        <v>5.6</v>
      </c>
      <c r="AA659">
        <v>10.54</v>
      </c>
      <c r="AB659">
        <v>53492</v>
      </c>
      <c r="AC659">
        <v>35930</v>
      </c>
      <c r="AD659">
        <v>1.49</v>
      </c>
      <c r="AE659">
        <v>50</v>
      </c>
      <c r="AF659">
        <v>71</v>
      </c>
      <c r="AG659" t="s">
        <v>120</v>
      </c>
      <c r="AH659">
        <v>0.01</v>
      </c>
      <c r="AI659" t="s">
        <v>120</v>
      </c>
      <c r="AJ659">
        <v>5.48</v>
      </c>
      <c r="AK659" t="s">
        <v>4047</v>
      </c>
      <c r="AL659">
        <v>-2.1</v>
      </c>
      <c r="AM659">
        <v>2483</v>
      </c>
      <c r="AN659">
        <v>36</v>
      </c>
      <c r="AO659">
        <v>6.9999999999999999E-4</v>
      </c>
      <c r="AP659">
        <v>-1</v>
      </c>
      <c r="AQ659">
        <v>1.71</v>
      </c>
      <c r="AR659">
        <v>-4.9000000000000004</v>
      </c>
      <c r="AS659">
        <v>11.13</v>
      </c>
      <c r="AT659">
        <v>6.63</v>
      </c>
      <c r="AU659">
        <v>-5.51</v>
      </c>
      <c r="AV659">
        <v>0</v>
      </c>
      <c r="AW659">
        <v>3.02</v>
      </c>
      <c r="AX659">
        <v>24.48</v>
      </c>
      <c r="AY659">
        <v>20.59</v>
      </c>
      <c r="AZ659">
        <v>22.06</v>
      </c>
      <c r="BA659">
        <v>0.59</v>
      </c>
      <c r="BB659" t="s">
        <v>143</v>
      </c>
      <c r="BF659">
        <v>-1.66</v>
      </c>
      <c r="BG659">
        <v>-4.63</v>
      </c>
      <c r="BH659">
        <v>-5.16</v>
      </c>
      <c r="BI659">
        <v>0.39</v>
      </c>
      <c r="BJ659">
        <v>20210913</v>
      </c>
      <c r="BK659">
        <v>20080528</v>
      </c>
      <c r="BL659">
        <v>12.11</v>
      </c>
      <c r="BM659" t="s">
        <v>120</v>
      </c>
      <c r="BN659" t="s">
        <v>120</v>
      </c>
      <c r="BO659">
        <v>123.58</v>
      </c>
      <c r="BP659">
        <v>10.28</v>
      </c>
      <c r="BQ659">
        <v>59.35</v>
      </c>
      <c r="BR659">
        <v>11.38</v>
      </c>
      <c r="BS659">
        <v>42.76</v>
      </c>
      <c r="BT659">
        <v>60.86</v>
      </c>
      <c r="BU659">
        <v>12.19</v>
      </c>
      <c r="BV659">
        <v>2.91</v>
      </c>
      <c r="BW659">
        <v>19.46</v>
      </c>
      <c r="BX659">
        <v>27.99</v>
      </c>
      <c r="BY659">
        <v>22.73</v>
      </c>
      <c r="BZ659">
        <v>6.62</v>
      </c>
      <c r="CA659">
        <v>0.04</v>
      </c>
      <c r="CB659">
        <v>20.03</v>
      </c>
      <c r="CC659">
        <v>10.130000000000001</v>
      </c>
      <c r="CD659">
        <v>6.75</v>
      </c>
      <c r="CE659">
        <v>2.38</v>
      </c>
      <c r="CF659">
        <v>0.4</v>
      </c>
      <c r="CG659">
        <v>2.38</v>
      </c>
      <c r="CH659">
        <v>1.98</v>
      </c>
      <c r="CI659">
        <v>1.86</v>
      </c>
      <c r="CJ659">
        <v>-0.43</v>
      </c>
      <c r="CK659">
        <v>1.22</v>
      </c>
      <c r="CL659">
        <v>25.12</v>
      </c>
      <c r="CM659">
        <v>-3.68</v>
      </c>
      <c r="CN659">
        <v>6.48</v>
      </c>
      <c r="CO659">
        <v>28120</v>
      </c>
      <c r="CP659">
        <v>10539</v>
      </c>
      <c r="CQ659" t="s">
        <v>4048</v>
      </c>
      <c r="CR659">
        <v>29.25</v>
      </c>
      <c r="CS659">
        <v>23.29</v>
      </c>
      <c r="CT659">
        <v>2.1</v>
      </c>
      <c r="CU659">
        <v>-33.83</v>
      </c>
      <c r="CV659">
        <v>12.3</v>
      </c>
      <c r="CW659">
        <v>0.75</v>
      </c>
      <c r="CX659" t="s">
        <v>4049</v>
      </c>
      <c r="CY659">
        <v>4.9000000000000004</v>
      </c>
      <c r="CZ659">
        <v>0</v>
      </c>
      <c r="DA659">
        <v>1.65</v>
      </c>
      <c r="DB659">
        <v>2.08</v>
      </c>
      <c r="DC659">
        <v>-0.3</v>
      </c>
      <c r="DD659">
        <v>48.03</v>
      </c>
      <c r="DE659" t="s">
        <v>3197</v>
      </c>
      <c r="DF659">
        <v>33.39</v>
      </c>
      <c r="DG659">
        <v>23.53</v>
      </c>
      <c r="DH659">
        <v>18.38</v>
      </c>
      <c r="DI659">
        <v>0.44</v>
      </c>
      <c r="DJ659">
        <v>4658</v>
      </c>
      <c r="DK659">
        <v>2243</v>
      </c>
      <c r="DL659" t="s">
        <v>120</v>
      </c>
      <c r="DM659" t="s">
        <v>120</v>
      </c>
      <c r="DN659" t="s">
        <v>120</v>
      </c>
    </row>
    <row r="660" spans="1:118">
      <c r="A660" t="str">
        <f>"002244"</f>
        <v>002244</v>
      </c>
      <c r="B660" t="s">
        <v>4050</v>
      </c>
      <c r="C660">
        <v>-3.18</v>
      </c>
      <c r="D660">
        <v>-0.43</v>
      </c>
      <c r="E660">
        <v>0.21</v>
      </c>
      <c r="F660">
        <v>3193</v>
      </c>
      <c r="G660" t="s">
        <v>2740</v>
      </c>
      <c r="H660">
        <v>8033.07</v>
      </c>
      <c r="I660">
        <v>42.14</v>
      </c>
      <c r="J660" t="s">
        <v>120</v>
      </c>
      <c r="K660" t="s">
        <v>1324</v>
      </c>
      <c r="L660">
        <v>0.64</v>
      </c>
      <c r="M660">
        <v>4.57</v>
      </c>
      <c r="N660">
        <v>0.95</v>
      </c>
      <c r="O660">
        <v>1.27</v>
      </c>
      <c r="P660">
        <v>4.78</v>
      </c>
      <c r="Q660">
        <v>-3.18</v>
      </c>
      <c r="R660">
        <v>4.57</v>
      </c>
      <c r="S660">
        <v>4.7300000000000004</v>
      </c>
      <c r="T660">
        <v>171627</v>
      </c>
      <c r="U660">
        <v>4.59</v>
      </c>
      <c r="V660">
        <v>4.72</v>
      </c>
      <c r="W660">
        <v>5.61</v>
      </c>
      <c r="X660" t="s">
        <v>150</v>
      </c>
      <c r="Y660" t="s">
        <v>585</v>
      </c>
      <c r="Z660">
        <v>4.45</v>
      </c>
      <c r="AA660">
        <v>4.68</v>
      </c>
      <c r="AB660">
        <v>87558</v>
      </c>
      <c r="AC660">
        <v>84069</v>
      </c>
      <c r="AD660">
        <v>1.04</v>
      </c>
      <c r="AE660">
        <v>2212</v>
      </c>
      <c r="AF660">
        <v>2</v>
      </c>
      <c r="AG660" t="s">
        <v>120</v>
      </c>
      <c r="AH660">
        <v>0.01</v>
      </c>
      <c r="AI660" t="s">
        <v>120</v>
      </c>
      <c r="AJ660">
        <v>26.86</v>
      </c>
      <c r="AK660" t="s">
        <v>4051</v>
      </c>
      <c r="AL660">
        <v>-1.26</v>
      </c>
      <c r="AM660">
        <v>2585</v>
      </c>
      <c r="AN660">
        <v>66</v>
      </c>
      <c r="AO660">
        <v>2.0000000000000001E-4</v>
      </c>
      <c r="AP660">
        <v>-3</v>
      </c>
      <c r="AQ660">
        <v>-0.42</v>
      </c>
      <c r="AR660">
        <v>-6.92</v>
      </c>
      <c r="AS660">
        <v>13.68</v>
      </c>
      <c r="AT660">
        <v>7.03</v>
      </c>
      <c r="AU660">
        <v>4.72</v>
      </c>
      <c r="AV660">
        <v>0</v>
      </c>
      <c r="AW660">
        <v>1.54</v>
      </c>
      <c r="AX660">
        <v>35.770000000000003</v>
      </c>
      <c r="AY660">
        <v>5.38</v>
      </c>
      <c r="AZ660">
        <v>6.31</v>
      </c>
      <c r="BA660">
        <v>0.28000000000000003</v>
      </c>
      <c r="BB660" t="s">
        <v>143</v>
      </c>
      <c r="BF660">
        <v>-0.84</v>
      </c>
      <c r="BG660">
        <v>-3.38</v>
      </c>
      <c r="BH660">
        <v>-4.3899999999999997</v>
      </c>
      <c r="BI660">
        <v>0</v>
      </c>
      <c r="BJ660">
        <v>20210827</v>
      </c>
      <c r="BK660">
        <v>20080529</v>
      </c>
      <c r="BL660">
        <v>31.11</v>
      </c>
      <c r="BM660" t="s">
        <v>120</v>
      </c>
      <c r="BN660" t="s">
        <v>120</v>
      </c>
      <c r="BO660">
        <v>1887.22</v>
      </c>
      <c r="BP660">
        <v>4.57</v>
      </c>
      <c r="BQ660">
        <v>190.67</v>
      </c>
      <c r="BR660">
        <v>116.66</v>
      </c>
      <c r="BS660">
        <v>83.72</v>
      </c>
      <c r="BT660">
        <v>1701.94</v>
      </c>
      <c r="BU660">
        <v>5.52</v>
      </c>
      <c r="BV660">
        <v>1.43</v>
      </c>
      <c r="BW660">
        <v>1222.5999999999999</v>
      </c>
      <c r="BX660">
        <v>180.63</v>
      </c>
      <c r="BY660">
        <v>1258.81</v>
      </c>
      <c r="BZ660">
        <v>4.79</v>
      </c>
      <c r="CA660">
        <v>0.4</v>
      </c>
      <c r="CB660">
        <v>22.31</v>
      </c>
      <c r="CC660">
        <v>193.87</v>
      </c>
      <c r="CD660">
        <v>151.06</v>
      </c>
      <c r="CE660">
        <v>27.76</v>
      </c>
      <c r="CF660">
        <v>0.59</v>
      </c>
      <c r="CG660">
        <v>27.69</v>
      </c>
      <c r="CH660">
        <v>19.72</v>
      </c>
      <c r="CI660">
        <v>12.67</v>
      </c>
      <c r="CJ660">
        <v>-0.15</v>
      </c>
      <c r="CK660">
        <v>12.62</v>
      </c>
      <c r="CL660">
        <v>125.87</v>
      </c>
      <c r="CM660">
        <v>-9.42</v>
      </c>
      <c r="CN660">
        <v>-4.55</v>
      </c>
      <c r="CO660">
        <v>35519</v>
      </c>
      <c r="CP660">
        <v>31335</v>
      </c>
      <c r="CQ660" t="s">
        <v>4052</v>
      </c>
      <c r="CR660">
        <v>46.49</v>
      </c>
      <c r="CS660">
        <v>88.09</v>
      </c>
      <c r="CT660">
        <v>0.75</v>
      </c>
      <c r="CU660">
        <v>-15.09</v>
      </c>
      <c r="CV660">
        <v>0.73</v>
      </c>
      <c r="CW660">
        <v>4.79</v>
      </c>
      <c r="CX660" t="s">
        <v>803</v>
      </c>
      <c r="CY660">
        <v>6.13</v>
      </c>
      <c r="CZ660">
        <v>0</v>
      </c>
      <c r="DA660">
        <v>0.72</v>
      </c>
      <c r="DB660">
        <v>4.05</v>
      </c>
      <c r="DC660">
        <v>-0.3</v>
      </c>
      <c r="DD660">
        <v>10.1</v>
      </c>
      <c r="DE660" t="s">
        <v>4053</v>
      </c>
      <c r="DF660">
        <v>22.08</v>
      </c>
      <c r="DG660">
        <v>14.32</v>
      </c>
      <c r="DH660">
        <v>6.54</v>
      </c>
      <c r="DI660" t="s">
        <v>120</v>
      </c>
      <c r="DJ660">
        <v>1555</v>
      </c>
      <c r="DK660">
        <v>2244</v>
      </c>
      <c r="DL660" t="s">
        <v>120</v>
      </c>
      <c r="DM660" t="s">
        <v>120</v>
      </c>
      <c r="DN660" t="s">
        <v>120</v>
      </c>
    </row>
    <row r="661" spans="1:118">
      <c r="A661" t="str">
        <f>"002245"</f>
        <v>002245</v>
      </c>
      <c r="B661" t="s">
        <v>4054</v>
      </c>
      <c r="C661">
        <v>-8.2200000000000006</v>
      </c>
      <c r="D661">
        <v>-0.33</v>
      </c>
      <c r="E661">
        <v>-0.95</v>
      </c>
      <c r="F661">
        <v>8072</v>
      </c>
      <c r="G661" t="s">
        <v>4055</v>
      </c>
      <c r="H661">
        <v>87020.63</v>
      </c>
      <c r="I661">
        <v>249.45</v>
      </c>
      <c r="J661" t="s">
        <v>120</v>
      </c>
      <c r="K661" t="s">
        <v>4056</v>
      </c>
      <c r="L661">
        <v>4.28</v>
      </c>
      <c r="M661">
        <v>20.309999999999999</v>
      </c>
      <c r="N661">
        <v>1.3</v>
      </c>
      <c r="O661">
        <v>-0.09</v>
      </c>
      <c r="P661">
        <v>22.11</v>
      </c>
      <c r="Q661">
        <v>-9.08</v>
      </c>
      <c r="R661">
        <v>20.12</v>
      </c>
      <c r="S661">
        <v>21.92</v>
      </c>
      <c r="T661">
        <v>414865</v>
      </c>
      <c r="U661">
        <v>20.32</v>
      </c>
      <c r="V661">
        <v>22.13</v>
      </c>
      <c r="W661">
        <v>31.02</v>
      </c>
      <c r="X661" t="s">
        <v>394</v>
      </c>
      <c r="Y661" t="s">
        <v>319</v>
      </c>
      <c r="Z661">
        <v>8.99</v>
      </c>
      <c r="AA661">
        <v>20.98</v>
      </c>
      <c r="AB661">
        <v>242077</v>
      </c>
      <c r="AC661">
        <v>172788</v>
      </c>
      <c r="AD661">
        <v>1.4</v>
      </c>
      <c r="AE661">
        <v>256</v>
      </c>
      <c r="AF661">
        <v>87</v>
      </c>
      <c r="AG661" t="s">
        <v>120</v>
      </c>
      <c r="AH661">
        <v>0.01</v>
      </c>
      <c r="AI661" t="s">
        <v>120</v>
      </c>
      <c r="AJ661">
        <v>9.69</v>
      </c>
      <c r="AK661" t="s">
        <v>4057</v>
      </c>
      <c r="AL661">
        <v>-6.31</v>
      </c>
      <c r="AM661">
        <v>4639</v>
      </c>
      <c r="AN661">
        <v>89</v>
      </c>
      <c r="AO661">
        <v>8.9999999999999998E-4</v>
      </c>
      <c r="AP661">
        <v>-2</v>
      </c>
      <c r="AQ661">
        <v>-1.82</v>
      </c>
      <c r="AR661">
        <v>-5.84</v>
      </c>
      <c r="AS661">
        <v>-14.63</v>
      </c>
      <c r="AT661">
        <v>6.89</v>
      </c>
      <c r="AU661">
        <v>56.84</v>
      </c>
      <c r="AV661">
        <v>13</v>
      </c>
      <c r="AW661">
        <v>5.05</v>
      </c>
      <c r="AX661">
        <v>79.290000000000006</v>
      </c>
      <c r="AY661">
        <v>42.03</v>
      </c>
      <c r="AZ661">
        <v>82.47</v>
      </c>
      <c r="BA661">
        <v>0.75</v>
      </c>
      <c r="BB661" t="s">
        <v>143</v>
      </c>
      <c r="BF661">
        <v>-5.22</v>
      </c>
      <c r="BG661">
        <v>-7.34</v>
      </c>
      <c r="BH661">
        <v>-8.14</v>
      </c>
      <c r="BI661">
        <v>0.94</v>
      </c>
      <c r="BJ661">
        <v>20210826</v>
      </c>
      <c r="BK661">
        <v>20080605</v>
      </c>
      <c r="BL661">
        <v>10.36</v>
      </c>
      <c r="BM661" t="s">
        <v>120</v>
      </c>
      <c r="BN661" t="s">
        <v>120</v>
      </c>
      <c r="BO661">
        <v>80.66</v>
      </c>
      <c r="BP661">
        <v>20.309999999999999</v>
      </c>
      <c r="BQ661">
        <v>32.31</v>
      </c>
      <c r="BR661">
        <v>8.1999999999999993</v>
      </c>
      <c r="BS661">
        <v>49.78</v>
      </c>
      <c r="BT661">
        <v>35.26</v>
      </c>
      <c r="BU661">
        <v>23.36</v>
      </c>
      <c r="BV661">
        <v>1.73</v>
      </c>
      <c r="BW661">
        <v>35.369999999999997</v>
      </c>
      <c r="BX661">
        <v>3.76</v>
      </c>
      <c r="BY661">
        <v>11.86</v>
      </c>
      <c r="BZ661">
        <v>13.69</v>
      </c>
      <c r="CA661" t="s">
        <v>120</v>
      </c>
      <c r="CB661">
        <v>5.66</v>
      </c>
      <c r="CC661">
        <v>30.84</v>
      </c>
      <c r="CD661">
        <v>24.28</v>
      </c>
      <c r="CE661">
        <v>4.3600000000000003</v>
      </c>
      <c r="CF661">
        <v>0.14000000000000001</v>
      </c>
      <c r="CG661">
        <v>4.3899999999999997</v>
      </c>
      <c r="CH661">
        <v>3.66</v>
      </c>
      <c r="CI661">
        <v>3.39</v>
      </c>
      <c r="CJ661">
        <v>-1.82</v>
      </c>
      <c r="CK661">
        <v>3.02</v>
      </c>
      <c r="CL661">
        <v>16.09</v>
      </c>
      <c r="CM661">
        <v>0.37</v>
      </c>
      <c r="CN661">
        <v>0.14000000000000001</v>
      </c>
      <c r="CO661">
        <v>71586</v>
      </c>
      <c r="CP661">
        <v>11472</v>
      </c>
      <c r="CQ661" t="s">
        <v>4058</v>
      </c>
      <c r="CR661">
        <v>372.92</v>
      </c>
      <c r="CS661">
        <v>91.55</v>
      </c>
      <c r="CT661">
        <v>6.51</v>
      </c>
      <c r="CU661">
        <v>564.54999999999995</v>
      </c>
      <c r="CV661">
        <v>6.82</v>
      </c>
      <c r="CW661">
        <v>0.14000000000000001</v>
      </c>
      <c r="CX661" t="s">
        <v>2443</v>
      </c>
      <c r="CY661">
        <v>3.12</v>
      </c>
      <c r="CZ661">
        <v>0</v>
      </c>
      <c r="DA661">
        <v>0.55000000000000004</v>
      </c>
      <c r="DB661">
        <v>1.55</v>
      </c>
      <c r="DC661">
        <v>0.04</v>
      </c>
      <c r="DD661">
        <v>40.06</v>
      </c>
      <c r="DE661" t="s">
        <v>4059</v>
      </c>
      <c r="DF661">
        <v>21.26</v>
      </c>
      <c r="DG661">
        <v>14.13</v>
      </c>
      <c r="DH661">
        <v>10.99</v>
      </c>
      <c r="DI661">
        <v>1.28</v>
      </c>
      <c r="DJ661">
        <v>2641</v>
      </c>
      <c r="DK661">
        <v>2245</v>
      </c>
      <c r="DL661" t="s">
        <v>120</v>
      </c>
      <c r="DM661" t="s">
        <v>120</v>
      </c>
      <c r="DN661" t="s">
        <v>120</v>
      </c>
    </row>
    <row r="662" spans="1:118">
      <c r="A662" t="str">
        <f>"002246"</f>
        <v>002246</v>
      </c>
      <c r="B662" t="s">
        <v>4060</v>
      </c>
      <c r="C662">
        <v>1.22</v>
      </c>
      <c r="D662">
        <v>0</v>
      </c>
      <c r="E662">
        <v>0.12</v>
      </c>
      <c r="F662">
        <v>1521</v>
      </c>
      <c r="G662" t="s">
        <v>4061</v>
      </c>
      <c r="H662">
        <v>10549.48</v>
      </c>
      <c r="I662">
        <v>26.67</v>
      </c>
      <c r="J662" t="s">
        <v>120</v>
      </c>
      <c r="K662" t="s">
        <v>4062</v>
      </c>
      <c r="L662">
        <v>2.33</v>
      </c>
      <c r="M662">
        <v>8.27</v>
      </c>
      <c r="N662">
        <v>1.45</v>
      </c>
      <c r="O662">
        <v>2.57</v>
      </c>
      <c r="P662">
        <v>8.3800000000000008</v>
      </c>
      <c r="Q662">
        <v>-0.73</v>
      </c>
      <c r="R662">
        <v>8.11</v>
      </c>
      <c r="S662">
        <v>8.18</v>
      </c>
      <c r="T662">
        <v>127878</v>
      </c>
      <c r="U662">
        <v>8.27</v>
      </c>
      <c r="V662">
        <v>8.17</v>
      </c>
      <c r="W662">
        <v>43.23</v>
      </c>
      <c r="X662" t="s">
        <v>868</v>
      </c>
      <c r="Y662" t="s">
        <v>578</v>
      </c>
      <c r="Z662">
        <v>3.3</v>
      </c>
      <c r="AA662">
        <v>8.25</v>
      </c>
      <c r="AB662">
        <v>59361</v>
      </c>
      <c r="AC662">
        <v>68517</v>
      </c>
      <c r="AD662">
        <v>0.87</v>
      </c>
      <c r="AE662">
        <v>641</v>
      </c>
      <c r="AF662">
        <v>1014</v>
      </c>
      <c r="AG662" t="s">
        <v>120</v>
      </c>
      <c r="AH662">
        <v>0.01</v>
      </c>
      <c r="AI662" t="s">
        <v>120</v>
      </c>
      <c r="AJ662">
        <v>5.49</v>
      </c>
      <c r="AK662" t="s">
        <v>4062</v>
      </c>
      <c r="AL662">
        <v>3.14</v>
      </c>
      <c r="AM662">
        <v>2535</v>
      </c>
      <c r="AN662">
        <v>50</v>
      </c>
      <c r="AO662">
        <v>8.9999999999999998E-4</v>
      </c>
      <c r="AP662">
        <v>2</v>
      </c>
      <c r="AQ662">
        <v>0.86</v>
      </c>
      <c r="AR662">
        <v>0.97</v>
      </c>
      <c r="AS662">
        <v>9.9700000000000006</v>
      </c>
      <c r="AT662">
        <v>14.55</v>
      </c>
      <c r="AU662">
        <v>13.44</v>
      </c>
      <c r="AV662">
        <v>0</v>
      </c>
      <c r="AW662">
        <v>4.72</v>
      </c>
      <c r="AX662">
        <v>49.34</v>
      </c>
      <c r="AY662">
        <v>40.380000000000003</v>
      </c>
      <c r="AZ662">
        <v>49.74</v>
      </c>
      <c r="BA662">
        <v>0.47</v>
      </c>
      <c r="BB662" t="s">
        <v>184</v>
      </c>
      <c r="BF662">
        <v>0.97</v>
      </c>
      <c r="BG662">
        <v>1.1000000000000001</v>
      </c>
      <c r="BH662">
        <v>-1.31</v>
      </c>
      <c r="BI662">
        <v>1.97</v>
      </c>
      <c r="BJ662">
        <v>20210915</v>
      </c>
      <c r="BK662">
        <v>20080605</v>
      </c>
      <c r="BL662">
        <v>5.49</v>
      </c>
      <c r="BM662" t="s">
        <v>120</v>
      </c>
      <c r="BN662" t="s">
        <v>120</v>
      </c>
      <c r="BO662">
        <v>43.64</v>
      </c>
      <c r="BP662">
        <v>8.26</v>
      </c>
      <c r="BQ662">
        <v>26.8</v>
      </c>
      <c r="BR662">
        <v>2.09</v>
      </c>
      <c r="BS662">
        <v>33.81</v>
      </c>
      <c r="BT662">
        <v>29.62</v>
      </c>
      <c r="BU662">
        <v>8.2899999999999991</v>
      </c>
      <c r="BV662">
        <v>3.19</v>
      </c>
      <c r="BW662">
        <v>12.89</v>
      </c>
      <c r="BX662">
        <v>10.91</v>
      </c>
      <c r="BY662">
        <v>4.8099999999999996</v>
      </c>
      <c r="BZ662">
        <v>6.32</v>
      </c>
      <c r="CA662" t="s">
        <v>120</v>
      </c>
      <c r="CB662">
        <v>10.52</v>
      </c>
      <c r="CC662">
        <v>13.2</v>
      </c>
      <c r="CD662">
        <v>10.47</v>
      </c>
      <c r="CE662">
        <v>0.53</v>
      </c>
      <c r="CF662">
        <v>0.13</v>
      </c>
      <c r="CG662">
        <v>0.57999999999999996</v>
      </c>
      <c r="CH662">
        <v>0.5</v>
      </c>
      <c r="CI662">
        <v>0.53</v>
      </c>
      <c r="CJ662">
        <v>0.1</v>
      </c>
      <c r="CK662">
        <v>0.35</v>
      </c>
      <c r="CL662">
        <v>10.06</v>
      </c>
      <c r="CM662">
        <v>-1.26</v>
      </c>
      <c r="CN662">
        <v>-0.89</v>
      </c>
      <c r="CO662">
        <v>31222</v>
      </c>
      <c r="CP662">
        <v>8677</v>
      </c>
      <c r="CQ662" t="s">
        <v>4063</v>
      </c>
      <c r="CR662">
        <v>66.150000000000006</v>
      </c>
      <c r="CS662">
        <v>33.36</v>
      </c>
      <c r="CT662">
        <v>1.69</v>
      </c>
      <c r="CU662">
        <v>-35.96</v>
      </c>
      <c r="CV662">
        <v>3.44</v>
      </c>
      <c r="CW662">
        <v>0.49</v>
      </c>
      <c r="CX662" t="s">
        <v>411</v>
      </c>
      <c r="CY662">
        <v>4.88</v>
      </c>
      <c r="CZ662">
        <v>0</v>
      </c>
      <c r="DA662">
        <v>1.92</v>
      </c>
      <c r="DB662">
        <v>1.83</v>
      </c>
      <c r="DC662">
        <v>-0.23</v>
      </c>
      <c r="DD662">
        <v>61.41</v>
      </c>
      <c r="DE662" t="s">
        <v>3532</v>
      </c>
      <c r="DF662">
        <v>20.72</v>
      </c>
      <c r="DG662">
        <v>4.0199999999999996</v>
      </c>
      <c r="DH662">
        <v>3.98</v>
      </c>
      <c r="DI662">
        <v>0.52</v>
      </c>
      <c r="DJ662">
        <v>3611</v>
      </c>
      <c r="DK662">
        <v>2246</v>
      </c>
      <c r="DL662" t="s">
        <v>120</v>
      </c>
      <c r="DM662" t="s">
        <v>120</v>
      </c>
      <c r="DN662" t="s">
        <v>120</v>
      </c>
    </row>
    <row r="663" spans="1:118">
      <c r="A663" t="str">
        <f>"002247"</f>
        <v>002247</v>
      </c>
      <c r="B663" t="s">
        <v>4064</v>
      </c>
      <c r="C663">
        <v>3.79</v>
      </c>
      <c r="D663">
        <v>0</v>
      </c>
      <c r="E663">
        <v>0.69</v>
      </c>
      <c r="F663">
        <v>7620</v>
      </c>
      <c r="G663" t="s">
        <v>4065</v>
      </c>
      <c r="H663">
        <v>13177.08</v>
      </c>
      <c r="I663">
        <v>13.64</v>
      </c>
      <c r="J663" t="s">
        <v>120</v>
      </c>
      <c r="K663" t="s">
        <v>2239</v>
      </c>
      <c r="L663">
        <v>7.49</v>
      </c>
      <c r="M663">
        <v>3.01</v>
      </c>
      <c r="N663">
        <v>2.57</v>
      </c>
      <c r="O663">
        <v>6.9</v>
      </c>
      <c r="P663">
        <v>3.1</v>
      </c>
      <c r="Q663">
        <v>-1.38</v>
      </c>
      <c r="R663">
        <v>2.86</v>
      </c>
      <c r="S663">
        <v>2.92</v>
      </c>
      <c r="T663">
        <v>442634</v>
      </c>
      <c r="U663">
        <v>3.02</v>
      </c>
      <c r="V663">
        <v>2.9</v>
      </c>
      <c r="W663">
        <v>25.36</v>
      </c>
      <c r="X663" t="s">
        <v>814</v>
      </c>
      <c r="Y663" t="s">
        <v>585</v>
      </c>
      <c r="Z663">
        <v>8.2799999999999994</v>
      </c>
      <c r="AA663">
        <v>2.98</v>
      </c>
      <c r="AB663">
        <v>211845</v>
      </c>
      <c r="AC663">
        <v>230789</v>
      </c>
      <c r="AD663">
        <v>0.92</v>
      </c>
      <c r="AE663">
        <v>1713</v>
      </c>
      <c r="AF663">
        <v>3182</v>
      </c>
      <c r="AG663" t="s">
        <v>120</v>
      </c>
      <c r="AH663">
        <v>0.01</v>
      </c>
      <c r="AI663" t="s">
        <v>120</v>
      </c>
      <c r="AJ663">
        <v>5.91</v>
      </c>
      <c r="AK663" t="s">
        <v>4066</v>
      </c>
      <c r="AL663">
        <v>5.71</v>
      </c>
      <c r="AM663">
        <v>2455</v>
      </c>
      <c r="AN663">
        <v>180</v>
      </c>
      <c r="AO663">
        <v>3.0999999999999999E-3</v>
      </c>
      <c r="AP663">
        <v>4</v>
      </c>
      <c r="AQ663">
        <v>3.57</v>
      </c>
      <c r="AR663">
        <v>8.27</v>
      </c>
      <c r="AS663">
        <v>25.94</v>
      </c>
      <c r="AT663">
        <v>6.74</v>
      </c>
      <c r="AU663">
        <v>78.11</v>
      </c>
      <c r="AV663">
        <v>16</v>
      </c>
      <c r="AW663">
        <v>9.27</v>
      </c>
      <c r="AX663">
        <v>56.11</v>
      </c>
      <c r="AY663">
        <v>32.69</v>
      </c>
      <c r="AZ663">
        <v>14.88</v>
      </c>
      <c r="BA663">
        <v>0.23</v>
      </c>
      <c r="BB663" t="s">
        <v>184</v>
      </c>
      <c r="BF663">
        <v>2.65</v>
      </c>
      <c r="BG663">
        <v>3.08</v>
      </c>
      <c r="BH663">
        <v>-2.9</v>
      </c>
      <c r="BI663">
        <v>5.24</v>
      </c>
      <c r="BJ663">
        <v>20210903</v>
      </c>
      <c r="BK663">
        <v>20080612</v>
      </c>
      <c r="BL663">
        <v>8.51</v>
      </c>
      <c r="BM663" t="s">
        <v>120</v>
      </c>
      <c r="BN663" t="s">
        <v>120</v>
      </c>
      <c r="BO663">
        <v>11.02</v>
      </c>
      <c r="BP663">
        <v>3.01</v>
      </c>
      <c r="BQ663">
        <v>6.58</v>
      </c>
      <c r="BR663" t="s">
        <v>120</v>
      </c>
      <c r="BS663">
        <v>40.270000000000003</v>
      </c>
      <c r="BT663">
        <v>6.59</v>
      </c>
      <c r="BU663">
        <v>3.04</v>
      </c>
      <c r="BV663">
        <v>0.8</v>
      </c>
      <c r="BW663">
        <v>4.3</v>
      </c>
      <c r="BX663">
        <v>1.32</v>
      </c>
      <c r="BY663">
        <v>1.36</v>
      </c>
      <c r="BZ663">
        <v>2.69</v>
      </c>
      <c r="CA663" t="s">
        <v>120</v>
      </c>
      <c r="CB663">
        <v>30.24</v>
      </c>
      <c r="CC663">
        <v>5.63</v>
      </c>
      <c r="CD663">
        <v>4.34</v>
      </c>
      <c r="CE663">
        <v>0.61</v>
      </c>
      <c r="CF663">
        <v>0.01</v>
      </c>
      <c r="CG663">
        <v>0.61</v>
      </c>
      <c r="CH663">
        <v>0.5</v>
      </c>
      <c r="CI663">
        <v>0.5</v>
      </c>
      <c r="CJ663">
        <v>0.11</v>
      </c>
      <c r="CK663">
        <v>0.48</v>
      </c>
      <c r="CL663">
        <v>-32.74</v>
      </c>
      <c r="CM663">
        <v>-0.37</v>
      </c>
      <c r="CN663">
        <v>-0.89</v>
      </c>
      <c r="CO663">
        <v>26000</v>
      </c>
      <c r="CP663">
        <v>18363</v>
      </c>
      <c r="CQ663" t="s">
        <v>2310</v>
      </c>
      <c r="CR663">
        <v>-64.14</v>
      </c>
      <c r="CS663">
        <v>45.83</v>
      </c>
      <c r="CT663">
        <v>3.89</v>
      </c>
      <c r="CU663">
        <v>-69.599999999999994</v>
      </c>
      <c r="CV663">
        <v>4.55</v>
      </c>
      <c r="CW663">
        <v>0</v>
      </c>
      <c r="CX663" t="s">
        <v>1064</v>
      </c>
      <c r="CY663">
        <v>0.77</v>
      </c>
      <c r="CZ663">
        <v>0</v>
      </c>
      <c r="DA663">
        <v>3.55</v>
      </c>
      <c r="DB663">
        <v>-3.85</v>
      </c>
      <c r="DC663">
        <v>-0.04</v>
      </c>
      <c r="DD663">
        <v>59.73</v>
      </c>
      <c r="DE663" t="s">
        <v>4067</v>
      </c>
      <c r="DF663">
        <v>22.97</v>
      </c>
      <c r="DG663">
        <v>10.77</v>
      </c>
      <c r="DH663">
        <v>8.9600000000000009</v>
      </c>
      <c r="DI663">
        <v>0.19</v>
      </c>
      <c r="DJ663">
        <v>1471</v>
      </c>
      <c r="DK663">
        <v>2247</v>
      </c>
      <c r="DL663" t="s">
        <v>120</v>
      </c>
      <c r="DM663" t="s">
        <v>120</v>
      </c>
      <c r="DN663" t="s">
        <v>120</v>
      </c>
    </row>
    <row r="664" spans="1:118">
      <c r="A664" t="str">
        <f>"002248"</f>
        <v>002248</v>
      </c>
      <c r="B664" t="s">
        <v>4068</v>
      </c>
      <c r="C664">
        <v>-2.58</v>
      </c>
      <c r="D664">
        <v>0</v>
      </c>
      <c r="E664">
        <v>-3.59</v>
      </c>
      <c r="F664">
        <v>6356</v>
      </c>
      <c r="G664" t="s">
        <v>4069</v>
      </c>
      <c r="H664">
        <v>90844.51</v>
      </c>
      <c r="I664">
        <v>1057.9000000000001</v>
      </c>
      <c r="J664" t="s">
        <v>120</v>
      </c>
      <c r="K664" t="s">
        <v>1305</v>
      </c>
      <c r="L664">
        <v>24.03</v>
      </c>
      <c r="M664">
        <v>12.48</v>
      </c>
      <c r="N664">
        <v>1.07</v>
      </c>
      <c r="O664">
        <v>4.76</v>
      </c>
      <c r="P664">
        <v>13.42</v>
      </c>
      <c r="Q664">
        <v>-6.25</v>
      </c>
      <c r="R664">
        <v>12.01</v>
      </c>
      <c r="S664">
        <v>12.35</v>
      </c>
      <c r="T664">
        <v>715385</v>
      </c>
      <c r="U664">
        <v>12.49</v>
      </c>
      <c r="V664">
        <v>12.81</v>
      </c>
      <c r="W664">
        <v>282.29000000000002</v>
      </c>
      <c r="X664" t="s">
        <v>2161</v>
      </c>
      <c r="Y664" t="s">
        <v>638</v>
      </c>
      <c r="Z664">
        <v>11.01</v>
      </c>
      <c r="AA664">
        <v>12.7</v>
      </c>
      <c r="AB664">
        <v>372738</v>
      </c>
      <c r="AC664">
        <v>342647</v>
      </c>
      <c r="AD664">
        <v>1.0900000000000001</v>
      </c>
      <c r="AE664">
        <v>817</v>
      </c>
      <c r="AF664">
        <v>333</v>
      </c>
      <c r="AG664" t="s">
        <v>120</v>
      </c>
      <c r="AH664">
        <v>0.35</v>
      </c>
      <c r="AI664" t="s">
        <v>120</v>
      </c>
      <c r="AJ664">
        <v>2.98</v>
      </c>
      <c r="AK664" t="s">
        <v>4070</v>
      </c>
      <c r="AL664">
        <v>-0.66</v>
      </c>
      <c r="AM664">
        <v>4651</v>
      </c>
      <c r="AN664">
        <v>154</v>
      </c>
      <c r="AO664">
        <v>5.1999999999999998E-3</v>
      </c>
      <c r="AP664">
        <v>-2</v>
      </c>
      <c r="AQ664">
        <v>-0.93</v>
      </c>
      <c r="AR664">
        <v>6.21</v>
      </c>
      <c r="AS664">
        <v>86.26</v>
      </c>
      <c r="AT664">
        <v>94.69</v>
      </c>
      <c r="AU664">
        <v>115.54</v>
      </c>
      <c r="AV664">
        <v>17</v>
      </c>
      <c r="AW664">
        <v>29.34</v>
      </c>
      <c r="AX664">
        <v>79.3</v>
      </c>
      <c r="AY664" t="s">
        <v>120</v>
      </c>
      <c r="AZ664" t="s">
        <v>120</v>
      </c>
      <c r="BA664">
        <v>0.26</v>
      </c>
      <c r="BB664" t="s">
        <v>168</v>
      </c>
      <c r="BF664">
        <v>-0.87</v>
      </c>
      <c r="BG664">
        <v>1.05</v>
      </c>
      <c r="BH664">
        <v>-7</v>
      </c>
      <c r="BI664">
        <v>3.91</v>
      </c>
      <c r="BJ664">
        <v>20210803</v>
      </c>
      <c r="BK664">
        <v>20080612</v>
      </c>
      <c r="BL664">
        <v>3.07</v>
      </c>
      <c r="BM664" t="s">
        <v>120</v>
      </c>
      <c r="BN664" t="s">
        <v>120</v>
      </c>
      <c r="BO664">
        <v>4.87</v>
      </c>
      <c r="BP664">
        <v>12.48</v>
      </c>
      <c r="BQ664">
        <v>0.56000000000000005</v>
      </c>
      <c r="BR664">
        <v>0.01</v>
      </c>
      <c r="BS664">
        <v>88.42</v>
      </c>
      <c r="BT664">
        <v>3.85</v>
      </c>
      <c r="BU664">
        <v>0.83</v>
      </c>
      <c r="BV664">
        <v>0.01</v>
      </c>
      <c r="BW664">
        <v>3.64</v>
      </c>
      <c r="BX664">
        <v>0.37</v>
      </c>
      <c r="BY664">
        <v>2.16</v>
      </c>
      <c r="BZ664">
        <v>0.09</v>
      </c>
      <c r="CA664" t="s">
        <v>120</v>
      </c>
      <c r="CB664">
        <v>7.34</v>
      </c>
      <c r="CC664">
        <v>1.58</v>
      </c>
      <c r="CD664">
        <v>1.3</v>
      </c>
      <c r="CE664">
        <v>0.06</v>
      </c>
      <c r="CF664">
        <v>0</v>
      </c>
      <c r="CG664">
        <v>0.06</v>
      </c>
      <c r="CH664">
        <v>0.06</v>
      </c>
      <c r="CI664">
        <v>7.0000000000000007E-2</v>
      </c>
      <c r="CJ664">
        <v>-0.33</v>
      </c>
      <c r="CK664">
        <v>0.03</v>
      </c>
      <c r="CL664">
        <v>-10.57</v>
      </c>
      <c r="CM664">
        <v>0.2</v>
      </c>
      <c r="CN664">
        <v>-0.06</v>
      </c>
      <c r="CO664">
        <v>23244</v>
      </c>
      <c r="CP664">
        <v>10491</v>
      </c>
      <c r="CQ664" t="s">
        <v>4071</v>
      </c>
      <c r="CR664">
        <v>120.63</v>
      </c>
      <c r="CS664">
        <v>55.51</v>
      </c>
      <c r="CT664">
        <v>68.81</v>
      </c>
      <c r="CU664">
        <v>195.56</v>
      </c>
      <c r="CV664">
        <v>24.23</v>
      </c>
      <c r="CW664">
        <v>0</v>
      </c>
      <c r="CX664" t="s">
        <v>499</v>
      </c>
      <c r="CY664">
        <v>0.18</v>
      </c>
      <c r="CZ664">
        <v>0</v>
      </c>
      <c r="DA664">
        <v>2.39</v>
      </c>
      <c r="DB664">
        <v>-3.44</v>
      </c>
      <c r="DC664">
        <v>0.06</v>
      </c>
      <c r="DD664">
        <v>11.44</v>
      </c>
      <c r="DE664" t="s">
        <v>4072</v>
      </c>
      <c r="DF664">
        <v>18.079999999999998</v>
      </c>
      <c r="DG664">
        <v>3.72</v>
      </c>
      <c r="DH664">
        <v>4.29</v>
      </c>
      <c r="DI664">
        <v>0.04</v>
      </c>
      <c r="DJ664">
        <v>366</v>
      </c>
      <c r="DK664">
        <v>2248</v>
      </c>
      <c r="DL664">
        <v>20210823</v>
      </c>
      <c r="DM664">
        <v>8.11</v>
      </c>
      <c r="DN664">
        <v>53.88</v>
      </c>
    </row>
    <row r="665" spans="1:118">
      <c r="A665" t="str">
        <f>"002249"</f>
        <v>002249</v>
      </c>
      <c r="B665" t="s">
        <v>4073</v>
      </c>
      <c r="C665">
        <v>-6.29</v>
      </c>
      <c r="D665">
        <v>-0.13</v>
      </c>
      <c r="E665">
        <v>0.39</v>
      </c>
      <c r="F665">
        <v>14330</v>
      </c>
      <c r="G665" t="s">
        <v>4074</v>
      </c>
      <c r="H665">
        <v>78187.63</v>
      </c>
      <c r="I665">
        <v>216.93</v>
      </c>
      <c r="J665" t="s">
        <v>120</v>
      </c>
      <c r="K665" t="s">
        <v>4075</v>
      </c>
      <c r="L665">
        <v>6</v>
      </c>
      <c r="M665">
        <v>7.3</v>
      </c>
      <c r="N665">
        <v>1.07</v>
      </c>
      <c r="O665">
        <v>1.41</v>
      </c>
      <c r="P665">
        <v>7.9</v>
      </c>
      <c r="Q665">
        <v>-6.29</v>
      </c>
      <c r="R665">
        <v>7.3</v>
      </c>
      <c r="S665">
        <v>7.82</v>
      </c>
      <c r="T665">
        <v>1032359</v>
      </c>
      <c r="U665">
        <v>7.31</v>
      </c>
      <c r="V665">
        <v>7.79</v>
      </c>
      <c r="W665">
        <v>36.03</v>
      </c>
      <c r="X665" t="s">
        <v>394</v>
      </c>
      <c r="Y665" t="s">
        <v>547</v>
      </c>
      <c r="Z665">
        <v>7.7</v>
      </c>
      <c r="AA665">
        <v>7.57</v>
      </c>
      <c r="AB665">
        <v>530643</v>
      </c>
      <c r="AC665">
        <v>501716</v>
      </c>
      <c r="AD665">
        <v>1.06</v>
      </c>
      <c r="AE665">
        <v>6297</v>
      </c>
      <c r="AF665">
        <v>1214</v>
      </c>
      <c r="AG665" t="s">
        <v>120</v>
      </c>
      <c r="AH665">
        <v>0.02</v>
      </c>
      <c r="AI665" t="s">
        <v>120</v>
      </c>
      <c r="AJ665">
        <v>17.2</v>
      </c>
      <c r="AK665" t="s">
        <v>4076</v>
      </c>
      <c r="AL665">
        <v>-4.38</v>
      </c>
      <c r="AM665">
        <v>4661</v>
      </c>
      <c r="AN665">
        <v>221</v>
      </c>
      <c r="AO665">
        <v>1.2999999999999999E-3</v>
      </c>
      <c r="AP665">
        <v>-2</v>
      </c>
      <c r="AQ665">
        <v>-1.1399999999999999</v>
      </c>
      <c r="AR665">
        <v>-5.8</v>
      </c>
      <c r="AS665">
        <v>-19.43</v>
      </c>
      <c r="AT665">
        <v>49.9</v>
      </c>
      <c r="AU665">
        <v>65.53</v>
      </c>
      <c r="AV665">
        <v>8</v>
      </c>
      <c r="AW665">
        <v>6.77</v>
      </c>
      <c r="AX665">
        <v>64.459999999999994</v>
      </c>
      <c r="AY665">
        <v>69.069999999999993</v>
      </c>
      <c r="AZ665">
        <v>178.11</v>
      </c>
      <c r="BA665">
        <v>0.62</v>
      </c>
      <c r="BB665" t="s">
        <v>143</v>
      </c>
      <c r="BF665">
        <v>-2.78</v>
      </c>
      <c r="BG665">
        <v>-6.65</v>
      </c>
      <c r="BH665">
        <v>-7.59</v>
      </c>
      <c r="BI665">
        <v>0</v>
      </c>
      <c r="BJ665">
        <v>20210827</v>
      </c>
      <c r="BK665">
        <v>20080619</v>
      </c>
      <c r="BL665">
        <v>23.66</v>
      </c>
      <c r="BM665" t="s">
        <v>120</v>
      </c>
      <c r="BN665" t="s">
        <v>120</v>
      </c>
      <c r="BO665">
        <v>148.52000000000001</v>
      </c>
      <c r="BP665">
        <v>7.3</v>
      </c>
      <c r="BQ665">
        <v>84.27</v>
      </c>
      <c r="BR665">
        <v>1.1200000000000001</v>
      </c>
      <c r="BS665">
        <v>42.51</v>
      </c>
      <c r="BT665">
        <v>96.86</v>
      </c>
      <c r="BU665">
        <v>20.53</v>
      </c>
      <c r="BV665">
        <v>6.8</v>
      </c>
      <c r="BW665">
        <v>52.63</v>
      </c>
      <c r="BX665">
        <v>28.22</v>
      </c>
      <c r="BY665">
        <v>27</v>
      </c>
      <c r="BZ665">
        <v>22.61</v>
      </c>
      <c r="CA665" t="s">
        <v>120</v>
      </c>
      <c r="CB665">
        <v>53.45</v>
      </c>
      <c r="CC665">
        <v>46.5</v>
      </c>
      <c r="CD665">
        <v>37.67</v>
      </c>
      <c r="CE665">
        <v>2.94</v>
      </c>
      <c r="CF665">
        <v>0.73</v>
      </c>
      <c r="CG665">
        <v>3.02</v>
      </c>
      <c r="CH665">
        <v>2.38</v>
      </c>
      <c r="CI665">
        <v>2.4</v>
      </c>
      <c r="CJ665">
        <v>-0.49</v>
      </c>
      <c r="CK665">
        <v>1.68</v>
      </c>
      <c r="CL665">
        <v>2.29</v>
      </c>
      <c r="CM665">
        <v>4.05</v>
      </c>
      <c r="CN665">
        <v>3.67</v>
      </c>
      <c r="CO665">
        <v>94941</v>
      </c>
      <c r="CP665">
        <v>16062</v>
      </c>
      <c r="CQ665" t="s">
        <v>2898</v>
      </c>
      <c r="CR665">
        <v>213.95</v>
      </c>
      <c r="CS665">
        <v>32.659999999999997</v>
      </c>
      <c r="CT665">
        <v>2.0499999999999998</v>
      </c>
      <c r="CU665">
        <v>42.64</v>
      </c>
      <c r="CV665">
        <v>3.71</v>
      </c>
      <c r="CW665">
        <v>2.31</v>
      </c>
      <c r="CX665" t="s">
        <v>411</v>
      </c>
      <c r="CY665">
        <v>3.56</v>
      </c>
      <c r="CZ665">
        <v>0</v>
      </c>
      <c r="DA665">
        <v>2.2599999999999998</v>
      </c>
      <c r="DB665">
        <v>0.1</v>
      </c>
      <c r="DC665">
        <v>0.17</v>
      </c>
      <c r="DD665">
        <v>56.74</v>
      </c>
      <c r="DE665" t="s">
        <v>1335</v>
      </c>
      <c r="DF665">
        <v>19</v>
      </c>
      <c r="DG665">
        <v>6.33</v>
      </c>
      <c r="DH665">
        <v>5.15</v>
      </c>
      <c r="DI665">
        <v>1.94</v>
      </c>
      <c r="DJ665">
        <v>12632</v>
      </c>
      <c r="DK665">
        <v>2249</v>
      </c>
      <c r="DL665" t="s">
        <v>120</v>
      </c>
      <c r="DM665" t="s">
        <v>120</v>
      </c>
      <c r="DN665" t="s">
        <v>120</v>
      </c>
    </row>
    <row r="666" spans="1:118">
      <c r="A666" t="str">
        <f>"002250"</f>
        <v>002250</v>
      </c>
      <c r="B666" t="s">
        <v>4077</v>
      </c>
      <c r="C666">
        <v>-4.2</v>
      </c>
      <c r="D666">
        <v>-0.04</v>
      </c>
      <c r="E666">
        <v>1.1299999999999999</v>
      </c>
      <c r="F666">
        <v>1452</v>
      </c>
      <c r="G666" t="s">
        <v>4078</v>
      </c>
      <c r="H666">
        <v>15056.1</v>
      </c>
      <c r="I666">
        <v>15.23</v>
      </c>
      <c r="J666" t="s">
        <v>120</v>
      </c>
      <c r="K666" t="s">
        <v>4079</v>
      </c>
      <c r="L666">
        <v>0.76</v>
      </c>
      <c r="M666">
        <v>21.22</v>
      </c>
      <c r="N666">
        <v>1.0900000000000001</v>
      </c>
      <c r="O666">
        <v>1.1299999999999999</v>
      </c>
      <c r="P666">
        <v>22.4</v>
      </c>
      <c r="Q666">
        <v>-4.92</v>
      </c>
      <c r="R666">
        <v>21.06</v>
      </c>
      <c r="S666">
        <v>22.4</v>
      </c>
      <c r="T666">
        <v>70164</v>
      </c>
      <c r="U666">
        <v>21.23</v>
      </c>
      <c r="V666">
        <v>22.15</v>
      </c>
      <c r="W666">
        <v>51.83</v>
      </c>
      <c r="X666" t="s">
        <v>868</v>
      </c>
      <c r="Y666" t="s">
        <v>585</v>
      </c>
      <c r="Z666">
        <v>6.05</v>
      </c>
      <c r="AA666">
        <v>21.46</v>
      </c>
      <c r="AB666">
        <v>45579</v>
      </c>
      <c r="AC666">
        <v>24585</v>
      </c>
      <c r="AD666">
        <v>1.85</v>
      </c>
      <c r="AE666">
        <v>987</v>
      </c>
      <c r="AF666">
        <v>9</v>
      </c>
      <c r="AG666" t="s">
        <v>120</v>
      </c>
      <c r="AH666">
        <v>0</v>
      </c>
      <c r="AI666" t="s">
        <v>120</v>
      </c>
      <c r="AJ666">
        <v>9.19</v>
      </c>
      <c r="AK666" t="s">
        <v>4080</v>
      </c>
      <c r="AL666">
        <v>-2.2799999999999998</v>
      </c>
      <c r="AM666">
        <v>3131</v>
      </c>
      <c r="AN666">
        <v>22</v>
      </c>
      <c r="AO666">
        <v>2.0000000000000001E-4</v>
      </c>
      <c r="AP666">
        <v>-1</v>
      </c>
      <c r="AQ666">
        <v>4.09</v>
      </c>
      <c r="AR666">
        <v>-5.69</v>
      </c>
      <c r="AS666">
        <v>-15.16</v>
      </c>
      <c r="AT666">
        <v>-22.41</v>
      </c>
      <c r="AU666">
        <v>-11.36</v>
      </c>
      <c r="AV666">
        <v>0</v>
      </c>
      <c r="AW666">
        <v>1.04</v>
      </c>
      <c r="AX666">
        <v>73.150000000000006</v>
      </c>
      <c r="AY666">
        <v>107.12</v>
      </c>
      <c r="AZ666">
        <v>185.85</v>
      </c>
      <c r="BA666">
        <v>0.51</v>
      </c>
      <c r="BB666" t="s">
        <v>168</v>
      </c>
      <c r="BF666">
        <v>-3.12</v>
      </c>
      <c r="BG666">
        <v>-5.27</v>
      </c>
      <c r="BH666">
        <v>-5.27</v>
      </c>
      <c r="BI666">
        <v>0.76</v>
      </c>
      <c r="BJ666">
        <v>20210821</v>
      </c>
      <c r="BK666">
        <v>20080619</v>
      </c>
      <c r="BL666">
        <v>9.23</v>
      </c>
      <c r="BM666" t="s">
        <v>120</v>
      </c>
      <c r="BN666" t="s">
        <v>120</v>
      </c>
      <c r="BO666">
        <v>119.39</v>
      </c>
      <c r="BP666">
        <v>21.22</v>
      </c>
      <c r="BQ666">
        <v>61.71</v>
      </c>
      <c r="BR666">
        <v>0.26</v>
      </c>
      <c r="BS666">
        <v>48.09</v>
      </c>
      <c r="BT666">
        <v>50.18</v>
      </c>
      <c r="BU666">
        <v>42.94</v>
      </c>
      <c r="BV666">
        <v>5.19</v>
      </c>
      <c r="BW666">
        <v>43.68</v>
      </c>
      <c r="BX666">
        <v>7.76</v>
      </c>
      <c r="BY666">
        <v>20.41</v>
      </c>
      <c r="BZ666">
        <v>14.64</v>
      </c>
      <c r="CA666" t="s">
        <v>120</v>
      </c>
      <c r="CB666">
        <v>22.09</v>
      </c>
      <c r="CC666">
        <v>30.14</v>
      </c>
      <c r="CD666">
        <v>21.55</v>
      </c>
      <c r="CE666">
        <v>2.54</v>
      </c>
      <c r="CF666">
        <v>0.17</v>
      </c>
      <c r="CG666">
        <v>2.5099999999999998</v>
      </c>
      <c r="CH666">
        <v>1.94</v>
      </c>
      <c r="CI666">
        <v>1.89</v>
      </c>
      <c r="CJ666">
        <v>-0.93</v>
      </c>
      <c r="CK666">
        <v>1.64</v>
      </c>
      <c r="CL666">
        <v>27.22</v>
      </c>
      <c r="CM666">
        <v>1.8</v>
      </c>
      <c r="CN666">
        <v>0.85</v>
      </c>
      <c r="CO666">
        <v>9629</v>
      </c>
      <c r="CP666">
        <v>70139</v>
      </c>
      <c r="CQ666" t="s">
        <v>4081</v>
      </c>
      <c r="CR666">
        <v>74.790000000000006</v>
      </c>
      <c r="CS666">
        <v>42.21</v>
      </c>
      <c r="CT666">
        <v>3.17</v>
      </c>
      <c r="CU666">
        <v>108.75</v>
      </c>
      <c r="CV666">
        <v>6.5</v>
      </c>
      <c r="CW666">
        <v>0.23</v>
      </c>
      <c r="CX666" t="s">
        <v>492</v>
      </c>
      <c r="CY666">
        <v>6.68</v>
      </c>
      <c r="CZ666">
        <v>0</v>
      </c>
      <c r="DA666">
        <v>2.39</v>
      </c>
      <c r="DB666">
        <v>2.95</v>
      </c>
      <c r="DC666">
        <v>0.2</v>
      </c>
      <c r="DD666">
        <v>51.69</v>
      </c>
      <c r="DE666" t="s">
        <v>4082</v>
      </c>
      <c r="DF666">
        <v>28.5</v>
      </c>
      <c r="DG666">
        <v>8.43</v>
      </c>
      <c r="DH666">
        <v>6.27</v>
      </c>
      <c r="DI666">
        <v>1.38</v>
      </c>
      <c r="DJ666">
        <v>5751</v>
      </c>
      <c r="DK666">
        <v>2250</v>
      </c>
      <c r="DL666" t="s">
        <v>120</v>
      </c>
      <c r="DM666" t="s">
        <v>120</v>
      </c>
      <c r="DN666" t="s">
        <v>120</v>
      </c>
    </row>
    <row r="667" spans="1:118">
      <c r="A667" t="str">
        <f>"002251"</f>
        <v>002251</v>
      </c>
      <c r="B667" t="s">
        <v>4083</v>
      </c>
      <c r="C667">
        <v>0.14000000000000001</v>
      </c>
      <c r="D667">
        <v>0.14000000000000001</v>
      </c>
      <c r="E667">
        <v>0.28999999999999998</v>
      </c>
      <c r="F667">
        <v>303</v>
      </c>
      <c r="G667" t="s">
        <v>4084</v>
      </c>
      <c r="H667">
        <v>3896.01</v>
      </c>
      <c r="I667">
        <v>39.450000000000003</v>
      </c>
      <c r="J667" t="s">
        <v>120</v>
      </c>
      <c r="K667" t="s">
        <v>4085</v>
      </c>
      <c r="L667">
        <v>0.64</v>
      </c>
      <c r="M667">
        <v>6.96</v>
      </c>
      <c r="N667">
        <v>0.95</v>
      </c>
      <c r="O667">
        <v>2.16</v>
      </c>
      <c r="P667">
        <v>7.1</v>
      </c>
      <c r="Q667">
        <v>-0.14000000000000001</v>
      </c>
      <c r="R667">
        <v>6.94</v>
      </c>
      <c r="S667">
        <v>6.97</v>
      </c>
      <c r="T667">
        <v>55481</v>
      </c>
      <c r="U667">
        <v>6.96</v>
      </c>
      <c r="V667">
        <v>6.95</v>
      </c>
      <c r="W667">
        <v>14.45</v>
      </c>
      <c r="X667" t="s">
        <v>1872</v>
      </c>
      <c r="Y667" t="s">
        <v>594</v>
      </c>
      <c r="Z667">
        <v>2.2999999999999998</v>
      </c>
      <c r="AA667">
        <v>7.02</v>
      </c>
      <c r="AB667">
        <v>24568</v>
      </c>
      <c r="AC667">
        <v>30913</v>
      </c>
      <c r="AD667">
        <v>0.79</v>
      </c>
      <c r="AE667">
        <v>453</v>
      </c>
      <c r="AF667">
        <v>87</v>
      </c>
      <c r="AG667" t="s">
        <v>120</v>
      </c>
      <c r="AH667">
        <v>0.01</v>
      </c>
      <c r="AI667" t="s">
        <v>120</v>
      </c>
      <c r="AJ667">
        <v>8.64</v>
      </c>
      <c r="AK667" t="s">
        <v>4085</v>
      </c>
      <c r="AL667">
        <v>2.06</v>
      </c>
      <c r="AM667">
        <v>1631</v>
      </c>
      <c r="AN667">
        <v>34</v>
      </c>
      <c r="AO667">
        <v>4.0000000000000002E-4</v>
      </c>
      <c r="AP667">
        <v>1</v>
      </c>
      <c r="AQ667">
        <v>-0.86</v>
      </c>
      <c r="AR667">
        <v>-1.56</v>
      </c>
      <c r="AS667">
        <v>0.72</v>
      </c>
      <c r="AT667">
        <v>-5.3</v>
      </c>
      <c r="AU667">
        <v>-16.649999999999999</v>
      </c>
      <c r="AV667">
        <v>2</v>
      </c>
      <c r="AW667">
        <v>1.34</v>
      </c>
      <c r="AX667">
        <v>48</v>
      </c>
      <c r="AY667">
        <v>39.119999999999997</v>
      </c>
      <c r="AZ667">
        <v>53.74</v>
      </c>
      <c r="BA667">
        <v>0.27</v>
      </c>
      <c r="BB667" t="s">
        <v>143</v>
      </c>
      <c r="BF667">
        <v>1.04</v>
      </c>
      <c r="BG667">
        <v>-0.14000000000000001</v>
      </c>
      <c r="BH667">
        <v>-1.97</v>
      </c>
      <c r="BI667">
        <v>0.28999999999999998</v>
      </c>
      <c r="BJ667">
        <v>20210902</v>
      </c>
      <c r="BK667">
        <v>20080619</v>
      </c>
      <c r="BL667">
        <v>8.64</v>
      </c>
      <c r="BM667" t="s">
        <v>120</v>
      </c>
      <c r="BN667" t="s">
        <v>120</v>
      </c>
      <c r="BO667">
        <v>292.42</v>
      </c>
      <c r="BP667">
        <v>6.95</v>
      </c>
      <c r="BQ667">
        <v>78.19</v>
      </c>
      <c r="BR667">
        <v>3.5</v>
      </c>
      <c r="BS667">
        <v>72.069999999999993</v>
      </c>
      <c r="BT667">
        <v>55.17</v>
      </c>
      <c r="BU667">
        <v>28.09</v>
      </c>
      <c r="BV667">
        <v>22.9</v>
      </c>
      <c r="BW667">
        <v>157.07</v>
      </c>
      <c r="BX667">
        <v>22.56</v>
      </c>
      <c r="BY667">
        <v>13.35</v>
      </c>
      <c r="BZ667">
        <v>1.49</v>
      </c>
      <c r="CA667" t="s">
        <v>120</v>
      </c>
      <c r="CB667">
        <v>36.26</v>
      </c>
      <c r="CC667">
        <v>73.09</v>
      </c>
      <c r="CD667">
        <v>51.17</v>
      </c>
      <c r="CE667">
        <v>3.63</v>
      </c>
      <c r="CF667">
        <v>4.6500000000000004</v>
      </c>
      <c r="CG667">
        <v>3.01</v>
      </c>
      <c r="CH667">
        <v>2.16</v>
      </c>
      <c r="CI667">
        <v>2.08</v>
      </c>
      <c r="CJ667">
        <v>0.01</v>
      </c>
      <c r="CK667">
        <v>-1.31</v>
      </c>
      <c r="CL667">
        <v>7.29</v>
      </c>
      <c r="CM667">
        <v>16.27</v>
      </c>
      <c r="CN667">
        <v>7.12</v>
      </c>
      <c r="CO667">
        <v>30466</v>
      </c>
      <c r="CP667">
        <v>13611</v>
      </c>
      <c r="CQ667" t="s">
        <v>4086</v>
      </c>
      <c r="CR667">
        <v>25.11</v>
      </c>
      <c r="CS667">
        <v>-14.14</v>
      </c>
      <c r="CT667">
        <v>0.77</v>
      </c>
      <c r="CU667">
        <v>3.7</v>
      </c>
      <c r="CV667">
        <v>0.82</v>
      </c>
      <c r="CW667">
        <v>1.38</v>
      </c>
      <c r="CX667" t="s">
        <v>3117</v>
      </c>
      <c r="CY667">
        <v>9.0500000000000007</v>
      </c>
      <c r="CZ667">
        <v>0</v>
      </c>
      <c r="DA667">
        <v>4.2</v>
      </c>
      <c r="DB667">
        <v>0.84</v>
      </c>
      <c r="DC667">
        <v>1.88</v>
      </c>
      <c r="DD667">
        <v>26.74</v>
      </c>
      <c r="DE667" t="s">
        <v>2487</v>
      </c>
      <c r="DF667">
        <v>29.98</v>
      </c>
      <c r="DG667">
        <v>4.97</v>
      </c>
      <c r="DH667">
        <v>2.85</v>
      </c>
      <c r="DI667">
        <v>0.13</v>
      </c>
      <c r="DJ667">
        <v>24335</v>
      </c>
      <c r="DK667">
        <v>2251</v>
      </c>
      <c r="DL667" t="s">
        <v>120</v>
      </c>
      <c r="DM667" t="s">
        <v>120</v>
      </c>
      <c r="DN667" t="s">
        <v>120</v>
      </c>
    </row>
    <row r="668" spans="1:118">
      <c r="A668" t="str">
        <f>"002252"</f>
        <v>002252</v>
      </c>
      <c r="B668" t="s">
        <v>4087</v>
      </c>
      <c r="C668">
        <v>-0.99</v>
      </c>
      <c r="D668">
        <v>-0.13</v>
      </c>
      <c r="E668">
        <v>-0.14000000000000001</v>
      </c>
      <c r="F668">
        <v>3103</v>
      </c>
      <c r="G668" t="s">
        <v>4088</v>
      </c>
      <c r="H668">
        <v>14675.71</v>
      </c>
      <c r="I668">
        <v>18.38</v>
      </c>
      <c r="J668" t="s">
        <v>120</v>
      </c>
      <c r="K668" t="s">
        <v>4089</v>
      </c>
      <c r="L668">
        <v>0.42</v>
      </c>
      <c r="M668">
        <v>7.01</v>
      </c>
      <c r="N668">
        <v>0.87</v>
      </c>
      <c r="O668">
        <v>0.14000000000000001</v>
      </c>
      <c r="P668">
        <v>7.09</v>
      </c>
      <c r="Q668">
        <v>-1.1299999999999999</v>
      </c>
      <c r="R668">
        <v>7</v>
      </c>
      <c r="S668">
        <v>7.07</v>
      </c>
      <c r="T668">
        <v>208538</v>
      </c>
      <c r="U668">
        <v>7.01</v>
      </c>
      <c r="V668">
        <v>7.08</v>
      </c>
      <c r="W668">
        <v>25.95</v>
      </c>
      <c r="X668" t="s">
        <v>666</v>
      </c>
      <c r="Y668" t="s">
        <v>1510</v>
      </c>
      <c r="Z668">
        <v>1.27</v>
      </c>
      <c r="AA668">
        <v>7.04</v>
      </c>
      <c r="AB668">
        <v>121548</v>
      </c>
      <c r="AC668">
        <v>86990</v>
      </c>
      <c r="AD668">
        <v>1.4</v>
      </c>
      <c r="AE668">
        <v>3759</v>
      </c>
      <c r="AF668">
        <v>2396</v>
      </c>
      <c r="AG668" t="s">
        <v>120</v>
      </c>
      <c r="AH668">
        <v>0</v>
      </c>
      <c r="AI668" t="s">
        <v>120</v>
      </c>
      <c r="AJ668">
        <v>49.72</v>
      </c>
      <c r="AK668" t="s">
        <v>4090</v>
      </c>
      <c r="AL668">
        <v>0.92</v>
      </c>
      <c r="AM668">
        <v>3071</v>
      </c>
      <c r="AN668">
        <v>68</v>
      </c>
      <c r="AO668">
        <v>1E-4</v>
      </c>
      <c r="AP668">
        <v>-1</v>
      </c>
      <c r="AQ668">
        <v>0.28000000000000003</v>
      </c>
      <c r="AR668">
        <v>-2.23</v>
      </c>
      <c r="AS668">
        <v>-3.31</v>
      </c>
      <c r="AT668">
        <v>-3.37</v>
      </c>
      <c r="AU668">
        <v>-4.95</v>
      </c>
      <c r="AV668">
        <v>0</v>
      </c>
      <c r="AW668">
        <v>0.71</v>
      </c>
      <c r="AX668">
        <v>43.32</v>
      </c>
      <c r="AY668">
        <v>31.04</v>
      </c>
      <c r="AZ668">
        <v>36.049999999999997</v>
      </c>
      <c r="BA668">
        <v>0.33</v>
      </c>
      <c r="BB668" t="s">
        <v>143</v>
      </c>
      <c r="BF668">
        <v>-0.6</v>
      </c>
      <c r="BG668">
        <v>-0.85</v>
      </c>
      <c r="BH668">
        <v>-1.1299999999999999</v>
      </c>
      <c r="BI668">
        <v>0.14000000000000001</v>
      </c>
      <c r="BJ668">
        <v>20210821</v>
      </c>
      <c r="BK668">
        <v>20080623</v>
      </c>
      <c r="BL668">
        <v>67.41</v>
      </c>
      <c r="BM668" t="s">
        <v>120</v>
      </c>
      <c r="BN668" t="s">
        <v>120</v>
      </c>
      <c r="BO668">
        <v>265.36</v>
      </c>
      <c r="BP668">
        <v>7</v>
      </c>
      <c r="BQ668">
        <v>257.36</v>
      </c>
      <c r="BR668">
        <v>0.05</v>
      </c>
      <c r="BS668">
        <v>2.99</v>
      </c>
      <c r="BT668">
        <v>59.2</v>
      </c>
      <c r="BU668">
        <v>11.07</v>
      </c>
      <c r="BV668">
        <v>1.65</v>
      </c>
      <c r="BW668">
        <v>7.65</v>
      </c>
      <c r="BX668">
        <v>23.28</v>
      </c>
      <c r="BY668">
        <v>25.83</v>
      </c>
      <c r="BZ668">
        <v>4.79</v>
      </c>
      <c r="CA668" t="s">
        <v>120</v>
      </c>
      <c r="CB668">
        <v>145.59</v>
      </c>
      <c r="CC668">
        <v>17.559999999999999</v>
      </c>
      <c r="CD668">
        <v>7.52</v>
      </c>
      <c r="CE668">
        <v>10.27</v>
      </c>
      <c r="CF668">
        <v>3.35</v>
      </c>
      <c r="CG668">
        <v>10.24</v>
      </c>
      <c r="CH668">
        <v>9.08</v>
      </c>
      <c r="CI668">
        <v>9.1</v>
      </c>
      <c r="CJ668">
        <v>-7.0000000000000007E-2</v>
      </c>
      <c r="CK668">
        <v>9.24</v>
      </c>
      <c r="CL668">
        <v>49.26</v>
      </c>
      <c r="CM668">
        <v>5.71</v>
      </c>
      <c r="CN668">
        <v>-0.76</v>
      </c>
      <c r="CO668">
        <v>111147</v>
      </c>
      <c r="CP668">
        <v>26275</v>
      </c>
      <c r="CQ668" t="s">
        <v>4091</v>
      </c>
      <c r="CR668">
        <v>30.67</v>
      </c>
      <c r="CS668">
        <v>34.1</v>
      </c>
      <c r="CT668">
        <v>1.84</v>
      </c>
      <c r="CU668">
        <v>82.7</v>
      </c>
      <c r="CV668">
        <v>26.91</v>
      </c>
      <c r="CW668">
        <v>0.35</v>
      </c>
      <c r="CX668" t="s">
        <v>300</v>
      </c>
      <c r="CY668">
        <v>3.82</v>
      </c>
      <c r="CZ668">
        <v>0</v>
      </c>
      <c r="DA668">
        <v>2.16</v>
      </c>
      <c r="DB668">
        <v>0.73</v>
      </c>
      <c r="DC668">
        <v>0.08</v>
      </c>
      <c r="DD668">
        <v>96.99</v>
      </c>
      <c r="DE668" t="s">
        <v>1130</v>
      </c>
      <c r="DF668">
        <v>57.19</v>
      </c>
      <c r="DG668">
        <v>58.5</v>
      </c>
      <c r="DH668">
        <v>51.85</v>
      </c>
      <c r="DI668">
        <v>0.44</v>
      </c>
      <c r="DJ668">
        <v>2976</v>
      </c>
      <c r="DK668">
        <v>2252</v>
      </c>
      <c r="DL668" t="s">
        <v>120</v>
      </c>
      <c r="DM668" t="s">
        <v>120</v>
      </c>
      <c r="DN668" t="s">
        <v>120</v>
      </c>
    </row>
    <row r="669" spans="1:118">
      <c r="A669" t="str">
        <f>"002253"</f>
        <v>002253</v>
      </c>
      <c r="B669" t="s">
        <v>4092</v>
      </c>
      <c r="C669">
        <v>3.03</v>
      </c>
      <c r="D669">
        <v>0</v>
      </c>
      <c r="E669">
        <v>7.0000000000000007E-2</v>
      </c>
      <c r="F669">
        <v>1087</v>
      </c>
      <c r="G669" t="s">
        <v>4093</v>
      </c>
      <c r="H669">
        <v>9659.5300000000007</v>
      </c>
      <c r="I669">
        <v>1.78</v>
      </c>
      <c r="J669" t="s">
        <v>120</v>
      </c>
      <c r="K669" t="s">
        <v>4094</v>
      </c>
      <c r="L669">
        <v>3.06</v>
      </c>
      <c r="M669">
        <v>15.29</v>
      </c>
      <c r="N669">
        <v>1.57</v>
      </c>
      <c r="O669">
        <v>3.64</v>
      </c>
      <c r="P669">
        <v>15.38</v>
      </c>
      <c r="Q669">
        <v>-0.13</v>
      </c>
      <c r="R669">
        <v>14.82</v>
      </c>
      <c r="S669">
        <v>14.85</v>
      </c>
      <c r="T669">
        <v>63484</v>
      </c>
      <c r="U669">
        <v>15.3</v>
      </c>
      <c r="V669">
        <v>14.84</v>
      </c>
      <c r="W669">
        <v>76.69</v>
      </c>
      <c r="X669" t="s">
        <v>141</v>
      </c>
      <c r="Y669" t="s">
        <v>578</v>
      </c>
      <c r="Z669">
        <v>3.77</v>
      </c>
      <c r="AA669">
        <v>15.22</v>
      </c>
      <c r="AB669">
        <v>29554</v>
      </c>
      <c r="AC669">
        <v>33930</v>
      </c>
      <c r="AD669">
        <v>0.87</v>
      </c>
      <c r="AE669">
        <v>671</v>
      </c>
      <c r="AF669">
        <v>1080</v>
      </c>
      <c r="AG669" t="s">
        <v>120</v>
      </c>
      <c r="AH669">
        <v>0</v>
      </c>
      <c r="AI669" t="s">
        <v>120</v>
      </c>
      <c r="AJ669">
        <v>2.0699999999999998</v>
      </c>
      <c r="AK669" t="s">
        <v>4095</v>
      </c>
      <c r="AL669">
        <v>4.95</v>
      </c>
      <c r="AM669">
        <v>2149</v>
      </c>
      <c r="AN669">
        <v>30</v>
      </c>
      <c r="AO669">
        <v>1.4E-3</v>
      </c>
      <c r="AP669">
        <v>1</v>
      </c>
      <c r="AQ669">
        <v>-1.26</v>
      </c>
      <c r="AR669">
        <v>0.46</v>
      </c>
      <c r="AS669">
        <v>7.91</v>
      </c>
      <c r="AT669">
        <v>7.37</v>
      </c>
      <c r="AU669">
        <v>11.2</v>
      </c>
      <c r="AV669">
        <v>1</v>
      </c>
      <c r="AW669">
        <v>3.85</v>
      </c>
      <c r="AX669">
        <v>73.040000000000006</v>
      </c>
      <c r="AY669">
        <v>45.34</v>
      </c>
      <c r="AZ669">
        <v>49.69</v>
      </c>
      <c r="BA669">
        <v>0.5</v>
      </c>
      <c r="BB669" t="s">
        <v>143</v>
      </c>
      <c r="BF669">
        <v>2.5299999999999998</v>
      </c>
      <c r="BG669">
        <v>2.96</v>
      </c>
      <c r="BH669">
        <v>-0.59</v>
      </c>
      <c r="BI669">
        <v>3.17</v>
      </c>
      <c r="BJ669">
        <v>20210821</v>
      </c>
      <c r="BK669">
        <v>20080623</v>
      </c>
      <c r="BL669">
        <v>2.2599999999999998</v>
      </c>
      <c r="BM669" t="s">
        <v>120</v>
      </c>
      <c r="BN669" t="s">
        <v>120</v>
      </c>
      <c r="BO669">
        <v>17.88</v>
      </c>
      <c r="BP669">
        <v>15.29</v>
      </c>
      <c r="BQ669">
        <v>14.3</v>
      </c>
      <c r="BR669">
        <v>0.59</v>
      </c>
      <c r="BS669">
        <v>16.760000000000002</v>
      </c>
      <c r="BT669">
        <v>6.43</v>
      </c>
      <c r="BU669">
        <v>4.1900000000000004</v>
      </c>
      <c r="BV669">
        <v>2.78</v>
      </c>
      <c r="BW669">
        <v>1.73</v>
      </c>
      <c r="BX669">
        <v>0.82</v>
      </c>
      <c r="BY669">
        <v>2.29</v>
      </c>
      <c r="BZ669">
        <v>2.34</v>
      </c>
      <c r="CA669" t="s">
        <v>120</v>
      </c>
      <c r="CB669">
        <v>8.2899999999999991</v>
      </c>
      <c r="CC669">
        <v>1.7</v>
      </c>
      <c r="CD669">
        <v>1.19</v>
      </c>
      <c r="CE669">
        <v>0.23</v>
      </c>
      <c r="CF669">
        <v>0.01</v>
      </c>
      <c r="CG669">
        <v>0.23</v>
      </c>
      <c r="CH669">
        <v>0.23</v>
      </c>
      <c r="CI669">
        <v>0.22</v>
      </c>
      <c r="CJ669">
        <v>0.45</v>
      </c>
      <c r="CK669">
        <v>0.2</v>
      </c>
      <c r="CL669">
        <v>3.01</v>
      </c>
      <c r="CM669">
        <v>-7.0000000000000007E-2</v>
      </c>
      <c r="CN669">
        <v>-0.99</v>
      </c>
      <c r="CO669">
        <v>42309</v>
      </c>
      <c r="CP669">
        <v>3895</v>
      </c>
      <c r="CQ669" t="s">
        <v>1289</v>
      </c>
      <c r="CR669">
        <v>40.299999999999997</v>
      </c>
      <c r="CS669">
        <v>47.51</v>
      </c>
      <c r="CT669">
        <v>2.41</v>
      </c>
      <c r="CU669">
        <v>-486.69</v>
      </c>
      <c r="CV669">
        <v>20.29</v>
      </c>
      <c r="CW669">
        <v>0.81</v>
      </c>
      <c r="CX669" t="s">
        <v>411</v>
      </c>
      <c r="CY669">
        <v>6.34</v>
      </c>
      <c r="CZ669">
        <v>0</v>
      </c>
      <c r="DA669">
        <v>3.67</v>
      </c>
      <c r="DB669">
        <v>1.33</v>
      </c>
      <c r="DC669">
        <v>-0.03</v>
      </c>
      <c r="DD669">
        <v>79.95</v>
      </c>
      <c r="DE669" t="s">
        <v>4096</v>
      </c>
      <c r="DF669">
        <v>29.73</v>
      </c>
      <c r="DG669">
        <v>13.81</v>
      </c>
      <c r="DH669">
        <v>13.23</v>
      </c>
      <c r="DI669">
        <v>0.16</v>
      </c>
      <c r="DJ669">
        <v>646</v>
      </c>
      <c r="DK669">
        <v>2253</v>
      </c>
      <c r="DL669" t="s">
        <v>120</v>
      </c>
      <c r="DM669" t="s">
        <v>120</v>
      </c>
      <c r="DN669" t="s">
        <v>120</v>
      </c>
    </row>
    <row r="670" spans="1:118">
      <c r="A670" t="str">
        <f>"002254"</f>
        <v>002254</v>
      </c>
      <c r="B670" t="s">
        <v>4097</v>
      </c>
      <c r="C670">
        <v>-0.76</v>
      </c>
      <c r="D670">
        <v>-0.25</v>
      </c>
      <c r="E670">
        <v>-0.17</v>
      </c>
      <c r="F670">
        <v>899</v>
      </c>
      <c r="G670" t="s">
        <v>4098</v>
      </c>
      <c r="H670">
        <v>46337.37</v>
      </c>
      <c r="I670">
        <v>188.64</v>
      </c>
      <c r="J670" t="s">
        <v>120</v>
      </c>
      <c r="K670" t="s">
        <v>4098</v>
      </c>
      <c r="L670">
        <v>4.6100000000000003</v>
      </c>
      <c r="M670">
        <v>23.44</v>
      </c>
      <c r="N670">
        <v>1.28</v>
      </c>
      <c r="O670">
        <v>3.9</v>
      </c>
      <c r="P670">
        <v>24.54</v>
      </c>
      <c r="Q670">
        <v>-1.57</v>
      </c>
      <c r="R670">
        <v>23.25</v>
      </c>
      <c r="S670">
        <v>23.58</v>
      </c>
      <c r="T670">
        <v>194814</v>
      </c>
      <c r="U670">
        <v>23.45</v>
      </c>
      <c r="V670">
        <v>23.62</v>
      </c>
      <c r="W670">
        <v>18.21</v>
      </c>
      <c r="X670" t="s">
        <v>623</v>
      </c>
      <c r="Y670" t="s">
        <v>638</v>
      </c>
      <c r="Z670">
        <v>5.46</v>
      </c>
      <c r="AA670">
        <v>23.79</v>
      </c>
      <c r="AB670">
        <v>99163</v>
      </c>
      <c r="AC670">
        <v>95651</v>
      </c>
      <c r="AD670">
        <v>1.04</v>
      </c>
      <c r="AE670">
        <v>250</v>
      </c>
      <c r="AF670">
        <v>105</v>
      </c>
      <c r="AG670" t="s">
        <v>120</v>
      </c>
      <c r="AH670">
        <v>0.02</v>
      </c>
      <c r="AI670" t="s">
        <v>120</v>
      </c>
      <c r="AJ670">
        <v>4.2300000000000004</v>
      </c>
      <c r="AK670" t="s">
        <v>4099</v>
      </c>
      <c r="AL670">
        <v>1.1499999999999999</v>
      </c>
      <c r="AM670">
        <v>4316</v>
      </c>
      <c r="AN670">
        <v>45</v>
      </c>
      <c r="AO670">
        <v>1.1000000000000001E-3</v>
      </c>
      <c r="AP670">
        <v>-1</v>
      </c>
      <c r="AQ670">
        <v>0.94</v>
      </c>
      <c r="AR670">
        <v>-0.59</v>
      </c>
      <c r="AS670">
        <v>17.38</v>
      </c>
      <c r="AT670">
        <v>24.88</v>
      </c>
      <c r="AU670">
        <v>60.66</v>
      </c>
      <c r="AV670">
        <v>1</v>
      </c>
      <c r="AW670">
        <v>4.6100000000000003</v>
      </c>
      <c r="AX670">
        <v>61.78</v>
      </c>
      <c r="AY670">
        <v>28.02</v>
      </c>
      <c r="AZ670">
        <v>62.01</v>
      </c>
      <c r="BA670">
        <v>0.74</v>
      </c>
      <c r="BB670" t="s">
        <v>184</v>
      </c>
      <c r="BF670">
        <v>0.7</v>
      </c>
      <c r="BG670">
        <v>-0.59</v>
      </c>
      <c r="BH670">
        <v>-4.4800000000000004</v>
      </c>
      <c r="BI670">
        <v>0.82</v>
      </c>
      <c r="BJ670">
        <v>20210915</v>
      </c>
      <c r="BK670">
        <v>20080625</v>
      </c>
      <c r="BL670">
        <v>6.84</v>
      </c>
      <c r="BM670" t="s">
        <v>120</v>
      </c>
      <c r="BN670" t="s">
        <v>120</v>
      </c>
      <c r="BO670">
        <v>70.08</v>
      </c>
      <c r="BP670">
        <v>23.44</v>
      </c>
      <c r="BQ670">
        <v>34.200000000000003</v>
      </c>
      <c r="BR670">
        <v>4.95</v>
      </c>
      <c r="BS670">
        <v>44.14</v>
      </c>
      <c r="BT670">
        <v>39.619999999999997</v>
      </c>
      <c r="BU670">
        <v>17.03</v>
      </c>
      <c r="BV670">
        <v>1.84</v>
      </c>
      <c r="BW670">
        <v>19.309999999999999</v>
      </c>
      <c r="BX670">
        <v>22.62</v>
      </c>
      <c r="BY670">
        <v>5.46</v>
      </c>
      <c r="BZ670">
        <v>1.93</v>
      </c>
      <c r="CA670" t="s">
        <v>120</v>
      </c>
      <c r="CB670">
        <v>8.64</v>
      </c>
      <c r="CC670">
        <v>21.26</v>
      </c>
      <c r="CD670">
        <v>13.58</v>
      </c>
      <c r="CE670">
        <v>6.08</v>
      </c>
      <c r="CF670">
        <v>0.02</v>
      </c>
      <c r="CG670">
        <v>6.1</v>
      </c>
      <c r="CH670">
        <v>5.23</v>
      </c>
      <c r="CI670">
        <v>4.4000000000000004</v>
      </c>
      <c r="CJ670">
        <v>-0.18</v>
      </c>
      <c r="CK670">
        <v>4.3</v>
      </c>
      <c r="CL670">
        <v>14.89</v>
      </c>
      <c r="CM670">
        <v>4.78</v>
      </c>
      <c r="CN670">
        <v>-2.83</v>
      </c>
      <c r="CO670">
        <v>25000</v>
      </c>
      <c r="CP670">
        <v>16912</v>
      </c>
      <c r="CQ670" t="s">
        <v>4100</v>
      </c>
      <c r="CR670">
        <v>255.01</v>
      </c>
      <c r="CS670">
        <v>95.18</v>
      </c>
      <c r="CT670">
        <v>4.6900000000000004</v>
      </c>
      <c r="CU670">
        <v>33.58</v>
      </c>
      <c r="CV670">
        <v>7.55</v>
      </c>
      <c r="CW670">
        <v>2.96</v>
      </c>
      <c r="CX670" t="s">
        <v>2039</v>
      </c>
      <c r="CY670">
        <v>5</v>
      </c>
      <c r="CZ670">
        <v>0</v>
      </c>
      <c r="DA670">
        <v>1.26</v>
      </c>
      <c r="DB670">
        <v>2.1800000000000002</v>
      </c>
      <c r="DC670">
        <v>0.7</v>
      </c>
      <c r="DD670">
        <v>48.8</v>
      </c>
      <c r="DE670" t="s">
        <v>4101</v>
      </c>
      <c r="DF670">
        <v>36.119999999999997</v>
      </c>
      <c r="DG670">
        <v>28.62</v>
      </c>
      <c r="DH670">
        <v>20.72</v>
      </c>
      <c r="DI670">
        <v>0.72</v>
      </c>
      <c r="DJ670">
        <v>1908</v>
      </c>
      <c r="DK670">
        <v>2254</v>
      </c>
      <c r="DL670" t="s">
        <v>120</v>
      </c>
      <c r="DM670" t="s">
        <v>120</v>
      </c>
      <c r="DN670" t="s">
        <v>120</v>
      </c>
    </row>
    <row r="671" spans="1:118">
      <c r="A671" t="str">
        <f>"002255"</f>
        <v>002255</v>
      </c>
      <c r="B671" t="s">
        <v>4102</v>
      </c>
      <c r="C671">
        <v>-1.73</v>
      </c>
      <c r="D671">
        <v>-0.19</v>
      </c>
      <c r="E671">
        <v>0</v>
      </c>
      <c r="F671">
        <v>1608</v>
      </c>
      <c r="G671" t="s">
        <v>4103</v>
      </c>
      <c r="H671">
        <v>15490.64</v>
      </c>
      <c r="I671">
        <v>38.32</v>
      </c>
      <c r="J671" t="s">
        <v>120</v>
      </c>
      <c r="K671" t="s">
        <v>287</v>
      </c>
      <c r="L671">
        <v>4.62</v>
      </c>
      <c r="M671">
        <v>5.1100000000000003</v>
      </c>
      <c r="N671">
        <v>0.85</v>
      </c>
      <c r="O671">
        <v>2.69</v>
      </c>
      <c r="P671">
        <v>5.34</v>
      </c>
      <c r="Q671">
        <v>-1.92</v>
      </c>
      <c r="R671">
        <v>5.0999999999999996</v>
      </c>
      <c r="S671">
        <v>5.2</v>
      </c>
      <c r="T671">
        <v>297282</v>
      </c>
      <c r="U671">
        <v>5.12</v>
      </c>
      <c r="V671">
        <v>5.2</v>
      </c>
      <c r="W671">
        <v>16.059999999999999</v>
      </c>
      <c r="X671" t="s">
        <v>675</v>
      </c>
      <c r="Y671" t="s">
        <v>319</v>
      </c>
      <c r="Z671">
        <v>4.62</v>
      </c>
      <c r="AA671">
        <v>5.21</v>
      </c>
      <c r="AB671">
        <v>156474</v>
      </c>
      <c r="AC671">
        <v>140808</v>
      </c>
      <c r="AD671">
        <v>1.1100000000000001</v>
      </c>
      <c r="AE671">
        <v>517</v>
      </c>
      <c r="AF671">
        <v>1057</v>
      </c>
      <c r="AG671" t="s">
        <v>120</v>
      </c>
      <c r="AH671">
        <v>0.01</v>
      </c>
      <c r="AI671" t="s">
        <v>120</v>
      </c>
      <c r="AJ671">
        <v>6.44</v>
      </c>
      <c r="AK671" t="s">
        <v>2031</v>
      </c>
      <c r="AL671">
        <v>0.18</v>
      </c>
      <c r="AM671">
        <v>3100</v>
      </c>
      <c r="AN671">
        <v>96</v>
      </c>
      <c r="AO671">
        <v>1.5E-3</v>
      </c>
      <c r="AP671">
        <v>-1</v>
      </c>
      <c r="AQ671">
        <v>0.39</v>
      </c>
      <c r="AR671">
        <v>-5.36</v>
      </c>
      <c r="AS671">
        <v>23.13</v>
      </c>
      <c r="AT671">
        <v>10.85</v>
      </c>
      <c r="AU671">
        <v>27.75</v>
      </c>
      <c r="AV671">
        <v>6</v>
      </c>
      <c r="AW671">
        <v>4.8499999999999996</v>
      </c>
      <c r="AX671">
        <v>72.75</v>
      </c>
      <c r="AY671">
        <v>11.96</v>
      </c>
      <c r="AZ671">
        <v>5.54</v>
      </c>
      <c r="BA671">
        <v>0.39</v>
      </c>
      <c r="BB671" t="s">
        <v>125</v>
      </c>
      <c r="BF671">
        <v>0.21</v>
      </c>
      <c r="BG671">
        <v>-1.73</v>
      </c>
      <c r="BH671">
        <v>-4.3099999999999996</v>
      </c>
      <c r="BI671">
        <v>0.2</v>
      </c>
      <c r="BJ671">
        <v>20210814</v>
      </c>
      <c r="BK671">
        <v>20080625</v>
      </c>
      <c r="BL671">
        <v>8.42</v>
      </c>
      <c r="BM671" t="s">
        <v>120</v>
      </c>
      <c r="BN671" t="s">
        <v>120</v>
      </c>
      <c r="BO671">
        <v>52.62</v>
      </c>
      <c r="BP671">
        <v>5.1100000000000003</v>
      </c>
      <c r="BQ671">
        <v>29.84</v>
      </c>
      <c r="BR671">
        <v>0.3</v>
      </c>
      <c r="BS671">
        <v>42.72</v>
      </c>
      <c r="BT671">
        <v>32.58</v>
      </c>
      <c r="BU671">
        <v>13.26</v>
      </c>
      <c r="BV671">
        <v>1.54</v>
      </c>
      <c r="BW671">
        <v>20.5</v>
      </c>
      <c r="BX671">
        <v>5.17</v>
      </c>
      <c r="BY671">
        <v>10.91</v>
      </c>
      <c r="BZ671">
        <v>8.6999999999999993</v>
      </c>
      <c r="CA671" t="s">
        <v>120</v>
      </c>
      <c r="CB671">
        <v>23.41</v>
      </c>
      <c r="CC671">
        <v>9.85</v>
      </c>
      <c r="CD671">
        <v>7.43</v>
      </c>
      <c r="CE671">
        <v>1.42</v>
      </c>
      <c r="CF671">
        <v>0.02</v>
      </c>
      <c r="CG671">
        <v>1.39</v>
      </c>
      <c r="CH671">
        <v>1.39</v>
      </c>
      <c r="CI671">
        <v>1.34</v>
      </c>
      <c r="CJ671">
        <v>-0.09</v>
      </c>
      <c r="CK671">
        <v>1.06</v>
      </c>
      <c r="CL671">
        <v>-3.27</v>
      </c>
      <c r="CM671">
        <v>-0.25</v>
      </c>
      <c r="CN671">
        <v>-0.35</v>
      </c>
      <c r="CO671">
        <v>43117</v>
      </c>
      <c r="CP671">
        <v>14211</v>
      </c>
      <c r="CQ671" t="s">
        <v>1210</v>
      </c>
      <c r="CR671">
        <v>-75.97</v>
      </c>
      <c r="CS671">
        <v>16.73</v>
      </c>
      <c r="CT671">
        <v>1.44</v>
      </c>
      <c r="CU671">
        <v>-171.88</v>
      </c>
      <c r="CV671">
        <v>4.37</v>
      </c>
      <c r="CW671">
        <v>0</v>
      </c>
      <c r="CX671" t="s">
        <v>4104</v>
      </c>
      <c r="CY671">
        <v>3.54</v>
      </c>
      <c r="CZ671">
        <v>0</v>
      </c>
      <c r="DA671">
        <v>2.78</v>
      </c>
      <c r="DB671">
        <v>-0.39</v>
      </c>
      <c r="DC671">
        <v>-0.03</v>
      </c>
      <c r="DD671">
        <v>56.72</v>
      </c>
      <c r="DE671" t="s">
        <v>4105</v>
      </c>
      <c r="DF671">
        <v>24.61</v>
      </c>
      <c r="DG671">
        <v>14.43</v>
      </c>
      <c r="DH671">
        <v>13.61</v>
      </c>
      <c r="DI671">
        <v>0.21</v>
      </c>
      <c r="DJ671">
        <v>1242</v>
      </c>
      <c r="DK671">
        <v>2255</v>
      </c>
      <c r="DL671" t="s">
        <v>120</v>
      </c>
      <c r="DM671" t="s">
        <v>120</v>
      </c>
      <c r="DN671" t="s">
        <v>120</v>
      </c>
    </row>
    <row r="672" spans="1:118">
      <c r="A672" t="str">
        <f>"002256"</f>
        <v>002256</v>
      </c>
      <c r="B672" t="s">
        <v>4106</v>
      </c>
      <c r="C672">
        <v>-9.81</v>
      </c>
      <c r="D672">
        <v>0</v>
      </c>
      <c r="E672">
        <v>-3.15</v>
      </c>
      <c r="F672">
        <v>14579</v>
      </c>
      <c r="G672" t="s">
        <v>4107</v>
      </c>
      <c r="H672">
        <v>109990.58</v>
      </c>
      <c r="I672">
        <v>822.78</v>
      </c>
      <c r="J672" t="s">
        <v>120</v>
      </c>
      <c r="K672" t="s">
        <v>4108</v>
      </c>
      <c r="L672">
        <v>15.6</v>
      </c>
      <c r="M672">
        <v>4.87</v>
      </c>
      <c r="N672">
        <v>1.07</v>
      </c>
      <c r="O672">
        <v>-1.85</v>
      </c>
      <c r="P672">
        <v>5.3</v>
      </c>
      <c r="Q672">
        <v>-10</v>
      </c>
      <c r="R672">
        <v>4.8600000000000003</v>
      </c>
      <c r="S672">
        <v>5.23</v>
      </c>
      <c r="T672">
        <v>2170448</v>
      </c>
      <c r="U672">
        <v>4.88</v>
      </c>
      <c r="V672">
        <v>5.4</v>
      </c>
      <c r="W672" t="s">
        <v>120</v>
      </c>
      <c r="X672" t="s">
        <v>356</v>
      </c>
      <c r="Y672" t="s">
        <v>123</v>
      </c>
      <c r="Z672">
        <v>8.15</v>
      </c>
      <c r="AA672">
        <v>5.07</v>
      </c>
      <c r="AB672">
        <v>1055904</v>
      </c>
      <c r="AC672">
        <v>1114544</v>
      </c>
      <c r="AD672">
        <v>0.95</v>
      </c>
      <c r="AE672">
        <v>750</v>
      </c>
      <c r="AF672">
        <v>4022</v>
      </c>
      <c r="AG672" t="s">
        <v>120</v>
      </c>
      <c r="AH672">
        <v>0.14000000000000001</v>
      </c>
      <c r="AI672" t="s">
        <v>120</v>
      </c>
      <c r="AJ672">
        <v>13.91</v>
      </c>
      <c r="AK672" t="s">
        <v>4109</v>
      </c>
      <c r="AL672">
        <v>-7.9</v>
      </c>
      <c r="AM672">
        <v>4725</v>
      </c>
      <c r="AN672">
        <v>459</v>
      </c>
      <c r="AO672">
        <v>3.3E-3</v>
      </c>
      <c r="AP672">
        <v>-2</v>
      </c>
      <c r="AQ672">
        <v>-2.5299999999999998</v>
      </c>
      <c r="AR672">
        <v>-10.48</v>
      </c>
      <c r="AS672">
        <v>9.44</v>
      </c>
      <c r="AT672">
        <v>47.58</v>
      </c>
      <c r="AU672">
        <v>338.74</v>
      </c>
      <c r="AV672">
        <v>54</v>
      </c>
      <c r="AW672">
        <v>19.77</v>
      </c>
      <c r="AX672">
        <v>58.33</v>
      </c>
      <c r="AY672">
        <v>288.22000000000003</v>
      </c>
      <c r="AZ672">
        <v>182.68</v>
      </c>
      <c r="BA672">
        <v>1.26</v>
      </c>
      <c r="BB672" t="s">
        <v>143</v>
      </c>
      <c r="BF672">
        <v>-6.15</v>
      </c>
      <c r="BG672">
        <v>-6.88</v>
      </c>
      <c r="BH672">
        <v>-8.11</v>
      </c>
      <c r="BI672">
        <v>0.21</v>
      </c>
      <c r="BJ672">
        <v>20210903</v>
      </c>
      <c r="BK672">
        <v>20080625</v>
      </c>
      <c r="BL672">
        <v>18.82</v>
      </c>
      <c r="BM672" t="s">
        <v>120</v>
      </c>
      <c r="BN672" t="s">
        <v>120</v>
      </c>
      <c r="BO672">
        <v>29.12</v>
      </c>
      <c r="BP672">
        <v>4.87</v>
      </c>
      <c r="BQ672">
        <v>16</v>
      </c>
      <c r="BR672">
        <v>0.33</v>
      </c>
      <c r="BS672">
        <v>43.94</v>
      </c>
      <c r="BT672">
        <v>7.14</v>
      </c>
      <c r="BU672">
        <v>9.69</v>
      </c>
      <c r="BV672">
        <v>0.64</v>
      </c>
      <c r="BW672">
        <v>11.56</v>
      </c>
      <c r="BX672">
        <v>0.63</v>
      </c>
      <c r="BY672">
        <v>0.26</v>
      </c>
      <c r="BZ672">
        <v>5.04</v>
      </c>
      <c r="CA672" t="s">
        <v>120</v>
      </c>
      <c r="CB672">
        <v>0.42</v>
      </c>
      <c r="CC672">
        <v>1.79</v>
      </c>
      <c r="CD672">
        <v>1.21</v>
      </c>
      <c r="CE672">
        <v>-0.6</v>
      </c>
      <c r="CF672">
        <v>-0.06</v>
      </c>
      <c r="CG672">
        <v>-0.71</v>
      </c>
      <c r="CH672">
        <v>-0.73</v>
      </c>
      <c r="CI672">
        <v>-0.72</v>
      </c>
      <c r="CJ672">
        <v>-0.53</v>
      </c>
      <c r="CK672">
        <v>-0.64</v>
      </c>
      <c r="CL672">
        <v>-3.67</v>
      </c>
      <c r="CM672">
        <v>0.12</v>
      </c>
      <c r="CN672">
        <v>0.06</v>
      </c>
      <c r="CO672">
        <v>180604</v>
      </c>
      <c r="CP672">
        <v>6080</v>
      </c>
      <c r="CQ672" t="s">
        <v>4110</v>
      </c>
      <c r="CR672">
        <v>-39.369999999999997</v>
      </c>
      <c r="CS672">
        <v>-0.95</v>
      </c>
      <c r="CT672">
        <v>5.73</v>
      </c>
      <c r="CU672">
        <v>751.38</v>
      </c>
      <c r="CV672">
        <v>51.12</v>
      </c>
      <c r="CW672">
        <v>0</v>
      </c>
      <c r="CX672" t="s">
        <v>1255</v>
      </c>
      <c r="CY672">
        <v>0.85</v>
      </c>
      <c r="CZ672">
        <v>0</v>
      </c>
      <c r="DA672">
        <v>0.02</v>
      </c>
      <c r="DB672">
        <v>-0.2</v>
      </c>
      <c r="DC672">
        <v>0.01</v>
      </c>
      <c r="DD672">
        <v>54.94</v>
      </c>
      <c r="DE672" t="s">
        <v>907</v>
      </c>
      <c r="DF672">
        <v>32.75</v>
      </c>
      <c r="DG672">
        <v>-33.659999999999997</v>
      </c>
      <c r="DH672">
        <v>-40.229999999999997</v>
      </c>
      <c r="DI672">
        <v>0.04</v>
      </c>
      <c r="DJ672">
        <v>362</v>
      </c>
      <c r="DK672">
        <v>2256</v>
      </c>
      <c r="DL672" t="s">
        <v>120</v>
      </c>
      <c r="DM672" t="s">
        <v>120</v>
      </c>
      <c r="DN672" t="s">
        <v>120</v>
      </c>
    </row>
    <row r="673" spans="1:118">
      <c r="A673" t="str">
        <f>"002258"</f>
        <v>002258</v>
      </c>
      <c r="B673" t="s">
        <v>4111</v>
      </c>
      <c r="C673">
        <v>-2.7</v>
      </c>
      <c r="D673">
        <v>-0.14000000000000001</v>
      </c>
      <c r="E673">
        <v>0.18</v>
      </c>
      <c r="F673">
        <v>837</v>
      </c>
      <c r="G673" t="s">
        <v>4112</v>
      </c>
      <c r="H673">
        <v>58417.37</v>
      </c>
      <c r="I673">
        <v>283.82</v>
      </c>
      <c r="J673" t="s">
        <v>120</v>
      </c>
      <c r="K673" t="s">
        <v>4113</v>
      </c>
      <c r="L673">
        <v>3.34</v>
      </c>
      <c r="M673">
        <v>32.43</v>
      </c>
      <c r="N673">
        <v>0.83</v>
      </c>
      <c r="O673">
        <v>3.72</v>
      </c>
      <c r="P673">
        <v>34.57</v>
      </c>
      <c r="Q673">
        <v>-2.79</v>
      </c>
      <c r="R673">
        <v>32.4</v>
      </c>
      <c r="S673">
        <v>33.39</v>
      </c>
      <c r="T673">
        <v>174957</v>
      </c>
      <c r="U673">
        <v>32.44</v>
      </c>
      <c r="V673">
        <v>33.33</v>
      </c>
      <c r="W673">
        <v>16.920000000000002</v>
      </c>
      <c r="X673" t="s">
        <v>690</v>
      </c>
      <c r="Y673" t="s">
        <v>578</v>
      </c>
      <c r="Z673">
        <v>6.51</v>
      </c>
      <c r="AA673">
        <v>33.39</v>
      </c>
      <c r="AB673">
        <v>88160</v>
      </c>
      <c r="AC673">
        <v>86797</v>
      </c>
      <c r="AD673">
        <v>1.02</v>
      </c>
      <c r="AE673">
        <v>31</v>
      </c>
      <c r="AF673">
        <v>5</v>
      </c>
      <c r="AG673" t="s">
        <v>120</v>
      </c>
      <c r="AH673">
        <v>0.03</v>
      </c>
      <c r="AI673" t="s">
        <v>120</v>
      </c>
      <c r="AJ673">
        <v>5.24</v>
      </c>
      <c r="AK673" t="s">
        <v>4114</v>
      </c>
      <c r="AL673">
        <v>-0.79</v>
      </c>
      <c r="AM673">
        <v>4217</v>
      </c>
      <c r="AN673">
        <v>41</v>
      </c>
      <c r="AO673">
        <v>8.0000000000000004E-4</v>
      </c>
      <c r="AP673">
        <v>-3</v>
      </c>
      <c r="AQ673">
        <v>-0.33</v>
      </c>
      <c r="AR673">
        <v>-4.79</v>
      </c>
      <c r="AS673">
        <v>5.87</v>
      </c>
      <c r="AT673">
        <v>38.590000000000003</v>
      </c>
      <c r="AU673">
        <v>56.66</v>
      </c>
      <c r="AV673">
        <v>2</v>
      </c>
      <c r="AW673">
        <v>6.32</v>
      </c>
      <c r="AX673">
        <v>52.54</v>
      </c>
      <c r="AY673">
        <v>20.37</v>
      </c>
      <c r="AZ673">
        <v>28.68</v>
      </c>
      <c r="BA673">
        <v>0.93</v>
      </c>
      <c r="BB673" t="s">
        <v>143</v>
      </c>
      <c r="BF673">
        <v>0.18</v>
      </c>
      <c r="BG673">
        <v>-2.88</v>
      </c>
      <c r="BH673">
        <v>-6.19</v>
      </c>
      <c r="BI673">
        <v>0.09</v>
      </c>
      <c r="BJ673">
        <v>20210810</v>
      </c>
      <c r="BK673">
        <v>20080708</v>
      </c>
      <c r="BL673">
        <v>5.27</v>
      </c>
      <c r="BM673" t="s">
        <v>120</v>
      </c>
      <c r="BN673" t="s">
        <v>120</v>
      </c>
      <c r="BO673">
        <v>86</v>
      </c>
      <c r="BP673">
        <v>32.43</v>
      </c>
      <c r="BQ673">
        <v>43.88</v>
      </c>
      <c r="BR673">
        <v>7.79</v>
      </c>
      <c r="BS673">
        <v>39.92</v>
      </c>
      <c r="BT673">
        <v>34.380000000000003</v>
      </c>
      <c r="BU673">
        <v>34.99</v>
      </c>
      <c r="BV673">
        <v>5.33</v>
      </c>
      <c r="BW673">
        <v>19.14</v>
      </c>
      <c r="BX673">
        <v>7.58</v>
      </c>
      <c r="BY673">
        <v>12.32</v>
      </c>
      <c r="BZ673">
        <v>10.18</v>
      </c>
      <c r="CA673">
        <v>0</v>
      </c>
      <c r="CB673">
        <v>8.26</v>
      </c>
      <c r="CC673">
        <v>31.6</v>
      </c>
      <c r="CD673">
        <v>22.36</v>
      </c>
      <c r="CE673">
        <v>6.4</v>
      </c>
      <c r="CF673">
        <v>0.01</v>
      </c>
      <c r="CG673">
        <v>6.39</v>
      </c>
      <c r="CH673">
        <v>5.47</v>
      </c>
      <c r="CI673">
        <v>5.05</v>
      </c>
      <c r="CJ673">
        <v>-0.9</v>
      </c>
      <c r="CK673">
        <v>4.9000000000000004</v>
      </c>
      <c r="CL673">
        <v>25.73</v>
      </c>
      <c r="CM673">
        <v>2.75</v>
      </c>
      <c r="CN673">
        <v>-3.86</v>
      </c>
      <c r="CO673">
        <v>29747</v>
      </c>
      <c r="CP673">
        <v>9304</v>
      </c>
      <c r="CQ673" t="s">
        <v>4115</v>
      </c>
      <c r="CR673">
        <v>97.7</v>
      </c>
      <c r="CS673">
        <v>34.51</v>
      </c>
      <c r="CT673">
        <v>4.0599999999999996</v>
      </c>
      <c r="CU673">
        <v>62.17</v>
      </c>
      <c r="CV673">
        <v>5.41</v>
      </c>
      <c r="CW673">
        <v>0.6</v>
      </c>
      <c r="CX673" t="s">
        <v>4116</v>
      </c>
      <c r="CY673">
        <v>7.98</v>
      </c>
      <c r="CZ673">
        <v>7.98</v>
      </c>
      <c r="DA673">
        <v>1.57</v>
      </c>
      <c r="DB673">
        <v>4.88</v>
      </c>
      <c r="DC673">
        <v>0.52</v>
      </c>
      <c r="DD673">
        <v>51.03</v>
      </c>
      <c r="DE673" t="s">
        <v>4117</v>
      </c>
      <c r="DF673">
        <v>29.22</v>
      </c>
      <c r="DG673">
        <v>20.25</v>
      </c>
      <c r="DH673">
        <v>15.98</v>
      </c>
      <c r="DI673">
        <v>1.04</v>
      </c>
      <c r="DJ673">
        <v>4944</v>
      </c>
      <c r="DK673">
        <v>2258</v>
      </c>
      <c r="DL673" t="s">
        <v>120</v>
      </c>
      <c r="DM673" t="s">
        <v>120</v>
      </c>
      <c r="DN673" t="s">
        <v>120</v>
      </c>
    </row>
    <row r="674" spans="1:118">
      <c r="A674" t="str">
        <f>"002261"</f>
        <v>002261</v>
      </c>
      <c r="B674" t="s">
        <v>4118</v>
      </c>
      <c r="C674">
        <v>6.91</v>
      </c>
      <c r="D674">
        <v>0.44</v>
      </c>
      <c r="E674">
        <v>0.47</v>
      </c>
      <c r="F674">
        <v>16040</v>
      </c>
      <c r="G674" t="s">
        <v>3343</v>
      </c>
      <c r="H674">
        <v>89640.78</v>
      </c>
      <c r="I674">
        <v>1185.93</v>
      </c>
      <c r="J674" t="s">
        <v>120</v>
      </c>
      <c r="K674" t="s">
        <v>4119</v>
      </c>
      <c r="L674">
        <v>10.67</v>
      </c>
      <c r="M674">
        <v>9.1300000000000008</v>
      </c>
      <c r="N674">
        <v>2.38</v>
      </c>
      <c r="O674">
        <v>9.9499999999999993</v>
      </c>
      <c r="P674">
        <v>9.39</v>
      </c>
      <c r="Q674">
        <v>-1.64</v>
      </c>
      <c r="R674">
        <v>8.4</v>
      </c>
      <c r="S674">
        <v>8.58</v>
      </c>
      <c r="T674">
        <v>1014404</v>
      </c>
      <c r="U674">
        <v>9.14</v>
      </c>
      <c r="V674">
        <v>8.5399999999999991</v>
      </c>
      <c r="W674">
        <v>82.77</v>
      </c>
      <c r="X674" t="s">
        <v>1531</v>
      </c>
      <c r="Y674" t="s">
        <v>594</v>
      </c>
      <c r="Z674">
        <v>11.59</v>
      </c>
      <c r="AA674">
        <v>8.84</v>
      </c>
      <c r="AB674">
        <v>443497</v>
      </c>
      <c r="AC674">
        <v>570907</v>
      </c>
      <c r="AD674">
        <v>0.78</v>
      </c>
      <c r="AE674">
        <v>1518</v>
      </c>
      <c r="AF674">
        <v>118</v>
      </c>
      <c r="AG674" t="s">
        <v>120</v>
      </c>
      <c r="AH674">
        <v>0.17</v>
      </c>
      <c r="AI674" t="s">
        <v>120</v>
      </c>
      <c r="AJ674">
        <v>9.51</v>
      </c>
      <c r="AK674" t="s">
        <v>4120</v>
      </c>
      <c r="AL674">
        <v>8.82</v>
      </c>
      <c r="AM674">
        <v>4478</v>
      </c>
      <c r="AN674">
        <v>227</v>
      </c>
      <c r="AO674">
        <v>2.3999999999999998E-3</v>
      </c>
      <c r="AP674">
        <v>1</v>
      </c>
      <c r="AQ674">
        <v>-2.95</v>
      </c>
      <c r="AR674">
        <v>14.13</v>
      </c>
      <c r="AS674">
        <v>18.420000000000002</v>
      </c>
      <c r="AT674">
        <v>5.19</v>
      </c>
      <c r="AU674">
        <v>27.69</v>
      </c>
      <c r="AV674">
        <v>6</v>
      </c>
      <c r="AW674">
        <v>12.67</v>
      </c>
      <c r="AX674">
        <v>72.72</v>
      </c>
      <c r="AY674">
        <v>129.72999999999999</v>
      </c>
      <c r="AZ674">
        <v>196.59</v>
      </c>
      <c r="BA674">
        <v>0.36</v>
      </c>
      <c r="BB674" t="s">
        <v>125</v>
      </c>
      <c r="BF674">
        <v>3.48</v>
      </c>
      <c r="BG674">
        <v>6.41</v>
      </c>
      <c r="BH674">
        <v>-2.77</v>
      </c>
      <c r="BI674">
        <v>8.69</v>
      </c>
      <c r="BJ674">
        <v>20210906</v>
      </c>
      <c r="BK674">
        <v>20080723</v>
      </c>
      <c r="BL674">
        <v>11.01</v>
      </c>
      <c r="BM674" t="s">
        <v>120</v>
      </c>
      <c r="BN674" t="s">
        <v>120</v>
      </c>
      <c r="BO674">
        <v>37.619999999999997</v>
      </c>
      <c r="BP674">
        <v>9.1300000000000008</v>
      </c>
      <c r="BQ674">
        <v>25.89</v>
      </c>
      <c r="BR674">
        <v>0.86</v>
      </c>
      <c r="BS674">
        <v>28.9</v>
      </c>
      <c r="BT674">
        <v>19.61</v>
      </c>
      <c r="BU674">
        <v>1.47</v>
      </c>
      <c r="BV674">
        <v>1.83</v>
      </c>
      <c r="BW674">
        <v>8.76</v>
      </c>
      <c r="BX674">
        <v>6.47</v>
      </c>
      <c r="BY674">
        <v>4.16</v>
      </c>
      <c r="BZ674">
        <v>4.93</v>
      </c>
      <c r="CA674" t="s">
        <v>120</v>
      </c>
      <c r="CB674">
        <v>19.28</v>
      </c>
      <c r="CC674">
        <v>8.9</v>
      </c>
      <c r="CD674">
        <v>5.6</v>
      </c>
      <c r="CE674">
        <v>0.72</v>
      </c>
      <c r="CF674">
        <v>0.16</v>
      </c>
      <c r="CG674">
        <v>0.72</v>
      </c>
      <c r="CH674">
        <v>0.6</v>
      </c>
      <c r="CI674">
        <v>0.61</v>
      </c>
      <c r="CJ674">
        <v>0.59</v>
      </c>
      <c r="CK674">
        <v>0.37</v>
      </c>
      <c r="CL674">
        <v>-4.8600000000000003</v>
      </c>
      <c r="CM674">
        <v>-1.45</v>
      </c>
      <c r="CN674">
        <v>0.76</v>
      </c>
      <c r="CO674">
        <v>115118</v>
      </c>
      <c r="CP674">
        <v>6953</v>
      </c>
      <c r="CQ674" t="s">
        <v>4121</v>
      </c>
      <c r="CR674">
        <v>68.319999999999993</v>
      </c>
      <c r="CS674">
        <v>47.51</v>
      </c>
      <c r="CT674">
        <v>3.88</v>
      </c>
      <c r="CU674">
        <v>-69.23</v>
      </c>
      <c r="CV674">
        <v>11.29</v>
      </c>
      <c r="CW674">
        <v>0</v>
      </c>
      <c r="CX674" t="s">
        <v>1248</v>
      </c>
      <c r="CY674">
        <v>2.35</v>
      </c>
      <c r="CZ674">
        <v>0</v>
      </c>
      <c r="DA674">
        <v>1.75</v>
      </c>
      <c r="DB674">
        <v>-0.44</v>
      </c>
      <c r="DC674">
        <v>-0.13</v>
      </c>
      <c r="DD674">
        <v>68.81</v>
      </c>
      <c r="DE674" t="s">
        <v>2151</v>
      </c>
      <c r="DF674">
        <v>37.049999999999997</v>
      </c>
      <c r="DG674">
        <v>8.14</v>
      </c>
      <c r="DH674">
        <v>6.82</v>
      </c>
      <c r="DI674">
        <v>0.84</v>
      </c>
      <c r="DJ674">
        <v>3932</v>
      </c>
      <c r="DK674">
        <v>2261</v>
      </c>
      <c r="DL674" t="s">
        <v>120</v>
      </c>
      <c r="DM674" t="s">
        <v>120</v>
      </c>
      <c r="DN674" t="s">
        <v>120</v>
      </c>
    </row>
    <row r="675" spans="1:118">
      <c r="A675" t="str">
        <f>"002262"</f>
        <v>002262</v>
      </c>
      <c r="B675" t="s">
        <v>4122</v>
      </c>
      <c r="C675">
        <v>-0.45</v>
      </c>
      <c r="D675">
        <v>0.3</v>
      </c>
      <c r="E675">
        <v>1.04</v>
      </c>
      <c r="F675">
        <v>1310</v>
      </c>
      <c r="G675" t="s">
        <v>4123</v>
      </c>
      <c r="H675">
        <v>6563.53</v>
      </c>
      <c r="I675">
        <v>62.29</v>
      </c>
      <c r="J675" t="s">
        <v>120</v>
      </c>
      <c r="K675" t="s">
        <v>4124</v>
      </c>
      <c r="L675">
        <v>0.55000000000000004</v>
      </c>
      <c r="M675">
        <v>13.4</v>
      </c>
      <c r="N675">
        <v>0.98</v>
      </c>
      <c r="O675">
        <v>1.19</v>
      </c>
      <c r="P675">
        <v>13.62</v>
      </c>
      <c r="Q675">
        <v>-1.19</v>
      </c>
      <c r="R675">
        <v>13.3</v>
      </c>
      <c r="S675">
        <v>13.6</v>
      </c>
      <c r="T675">
        <v>48799</v>
      </c>
      <c r="U675">
        <v>13.4</v>
      </c>
      <c r="V675">
        <v>13.46</v>
      </c>
      <c r="W675">
        <v>16.43</v>
      </c>
      <c r="X675" t="s">
        <v>569</v>
      </c>
      <c r="Y675" t="s">
        <v>319</v>
      </c>
      <c r="Z675">
        <v>2.38</v>
      </c>
      <c r="AA675">
        <v>13.45</v>
      </c>
      <c r="AB675">
        <v>29215</v>
      </c>
      <c r="AC675">
        <v>19584</v>
      </c>
      <c r="AD675">
        <v>1.49</v>
      </c>
      <c r="AE675">
        <v>13</v>
      </c>
      <c r="AF675">
        <v>654</v>
      </c>
      <c r="AG675" t="s">
        <v>120</v>
      </c>
      <c r="AH675">
        <v>0.01</v>
      </c>
      <c r="AI675" t="s">
        <v>120</v>
      </c>
      <c r="AJ675">
        <v>8.82</v>
      </c>
      <c r="AK675" t="s">
        <v>4125</v>
      </c>
      <c r="AL675">
        <v>1.47</v>
      </c>
      <c r="AM675">
        <v>2632</v>
      </c>
      <c r="AN675">
        <v>19</v>
      </c>
      <c r="AO675">
        <v>2.0000000000000001E-4</v>
      </c>
      <c r="AP675">
        <v>-6</v>
      </c>
      <c r="AQ675">
        <v>-1.97</v>
      </c>
      <c r="AR675">
        <v>-3.18</v>
      </c>
      <c r="AS675">
        <v>-5.09</v>
      </c>
      <c r="AT675">
        <v>-11.56</v>
      </c>
      <c r="AU675">
        <v>-15.57</v>
      </c>
      <c r="AV675">
        <v>0</v>
      </c>
      <c r="AW675">
        <v>1</v>
      </c>
      <c r="AX675">
        <v>48.25</v>
      </c>
      <c r="AY675">
        <v>17.23</v>
      </c>
      <c r="AZ675">
        <v>18.61</v>
      </c>
      <c r="BA675">
        <v>0.62</v>
      </c>
      <c r="BB675" t="s">
        <v>143</v>
      </c>
      <c r="BF675">
        <v>-7.0000000000000007E-2</v>
      </c>
      <c r="BG675">
        <v>-1.47</v>
      </c>
      <c r="BH675">
        <v>-1.62</v>
      </c>
      <c r="BI675">
        <v>0.75</v>
      </c>
      <c r="BJ675">
        <v>20210731</v>
      </c>
      <c r="BK675">
        <v>20080723</v>
      </c>
      <c r="BL675">
        <v>10.08</v>
      </c>
      <c r="BM675" t="s">
        <v>120</v>
      </c>
      <c r="BN675" t="s">
        <v>120</v>
      </c>
      <c r="BO675">
        <v>50.88</v>
      </c>
      <c r="BP675">
        <v>13.37</v>
      </c>
      <c r="BQ675">
        <v>44.36</v>
      </c>
      <c r="BR675">
        <v>-0.18</v>
      </c>
      <c r="BS675">
        <v>13.17</v>
      </c>
      <c r="BT675">
        <v>35.46</v>
      </c>
      <c r="BU675">
        <v>10.56</v>
      </c>
      <c r="BV675">
        <v>0.98</v>
      </c>
      <c r="BW675">
        <v>5.37</v>
      </c>
      <c r="BX675">
        <v>11.73</v>
      </c>
      <c r="BY675">
        <v>4.72</v>
      </c>
      <c r="BZ675">
        <v>6.22</v>
      </c>
      <c r="CA675" t="s">
        <v>120</v>
      </c>
      <c r="CB675">
        <v>0.52</v>
      </c>
      <c r="CC675">
        <v>18.649999999999999</v>
      </c>
      <c r="CD675">
        <v>4.51</v>
      </c>
      <c r="CE675">
        <v>4.8499999999999996</v>
      </c>
      <c r="CF675">
        <v>0.18</v>
      </c>
      <c r="CG675">
        <v>4.78</v>
      </c>
      <c r="CH675">
        <v>4.1100000000000003</v>
      </c>
      <c r="CI675">
        <v>4.1100000000000003</v>
      </c>
      <c r="CJ675">
        <v>-0.06</v>
      </c>
      <c r="CK675">
        <v>4.16</v>
      </c>
      <c r="CL675">
        <v>30.63</v>
      </c>
      <c r="CM675">
        <v>3.29</v>
      </c>
      <c r="CN675">
        <v>-2.23</v>
      </c>
      <c r="CO675">
        <v>38899</v>
      </c>
      <c r="CP675">
        <v>12499</v>
      </c>
      <c r="CQ675" t="s">
        <v>4126</v>
      </c>
      <c r="CR675">
        <v>16.46</v>
      </c>
      <c r="CS675">
        <v>25.81</v>
      </c>
      <c r="CT675">
        <v>3.04</v>
      </c>
      <c r="CU675">
        <v>41.09</v>
      </c>
      <c r="CV675">
        <v>7.24</v>
      </c>
      <c r="CW675">
        <v>0.74</v>
      </c>
      <c r="CX675" t="s">
        <v>803</v>
      </c>
      <c r="CY675">
        <v>4.4000000000000004</v>
      </c>
      <c r="CZ675">
        <v>0</v>
      </c>
      <c r="DA675">
        <v>0.05</v>
      </c>
      <c r="DB675">
        <v>3.04</v>
      </c>
      <c r="DC675">
        <v>0.33</v>
      </c>
      <c r="DD675">
        <v>87.18</v>
      </c>
      <c r="DE675" t="s">
        <v>4127</v>
      </c>
      <c r="DF675">
        <v>75.790000000000006</v>
      </c>
      <c r="DG675">
        <v>25.99</v>
      </c>
      <c r="DH675">
        <v>22.03</v>
      </c>
      <c r="DI675">
        <v>1.57</v>
      </c>
      <c r="DJ675">
        <v>4451</v>
      </c>
      <c r="DK675">
        <v>2262</v>
      </c>
      <c r="DL675" t="s">
        <v>120</v>
      </c>
      <c r="DM675" t="s">
        <v>120</v>
      </c>
      <c r="DN675" t="s">
        <v>120</v>
      </c>
    </row>
    <row r="676" spans="1:118">
      <c r="A676" t="str">
        <f>"002263"</f>
        <v>002263</v>
      </c>
      <c r="B676" t="s">
        <v>4128</v>
      </c>
      <c r="C676">
        <v>-3.04</v>
      </c>
      <c r="D676">
        <v>0</v>
      </c>
      <c r="E676">
        <v>-0.28000000000000003</v>
      </c>
      <c r="F676">
        <v>4368</v>
      </c>
      <c r="G676" t="s">
        <v>4129</v>
      </c>
      <c r="H676">
        <v>26998.57</v>
      </c>
      <c r="I676">
        <v>48.45</v>
      </c>
      <c r="J676" t="s">
        <v>120</v>
      </c>
      <c r="K676" t="s">
        <v>3077</v>
      </c>
      <c r="L676">
        <v>3.99</v>
      </c>
      <c r="M676">
        <v>3.51</v>
      </c>
      <c r="N676">
        <v>1.1000000000000001</v>
      </c>
      <c r="O676">
        <v>2.76</v>
      </c>
      <c r="P676">
        <v>3.72</v>
      </c>
      <c r="Q676">
        <v>-3.31</v>
      </c>
      <c r="R676">
        <v>3.5</v>
      </c>
      <c r="S676">
        <v>3.61</v>
      </c>
      <c r="T676">
        <v>748672</v>
      </c>
      <c r="U676">
        <v>3.52</v>
      </c>
      <c r="V676">
        <v>3.62</v>
      </c>
      <c r="W676">
        <v>35.369999999999997</v>
      </c>
      <c r="X676" t="s">
        <v>2211</v>
      </c>
      <c r="Y676" t="s">
        <v>585</v>
      </c>
      <c r="Z676">
        <v>6.08</v>
      </c>
      <c r="AA676">
        <v>3.61</v>
      </c>
      <c r="AB676">
        <v>416105</v>
      </c>
      <c r="AC676">
        <v>332567</v>
      </c>
      <c r="AD676">
        <v>1.25</v>
      </c>
      <c r="AE676">
        <v>3853</v>
      </c>
      <c r="AF676">
        <v>2299</v>
      </c>
      <c r="AG676" t="s">
        <v>120</v>
      </c>
      <c r="AH676">
        <v>0.01</v>
      </c>
      <c r="AI676" t="s">
        <v>120</v>
      </c>
      <c r="AJ676">
        <v>18.78</v>
      </c>
      <c r="AK676" t="s">
        <v>3077</v>
      </c>
      <c r="AL676">
        <v>-1.1200000000000001</v>
      </c>
      <c r="AM676">
        <v>3452</v>
      </c>
      <c r="AN676">
        <v>217</v>
      </c>
      <c r="AO676">
        <v>1.1999999999999999E-3</v>
      </c>
      <c r="AP676">
        <v>-1</v>
      </c>
      <c r="AQ676">
        <v>0.84</v>
      </c>
      <c r="AR676">
        <v>-3.3</v>
      </c>
      <c r="AS676">
        <v>14.34</v>
      </c>
      <c r="AT676">
        <v>26.26</v>
      </c>
      <c r="AU676">
        <v>30.48</v>
      </c>
      <c r="AV676">
        <v>5</v>
      </c>
      <c r="AW676">
        <v>5.53</v>
      </c>
      <c r="AX676">
        <v>72.09</v>
      </c>
      <c r="AY676">
        <v>29.55</v>
      </c>
      <c r="AZ676">
        <v>38.43</v>
      </c>
      <c r="BA676">
        <v>0.61</v>
      </c>
      <c r="BB676" t="s">
        <v>184</v>
      </c>
      <c r="BF676">
        <v>-0.38</v>
      </c>
      <c r="BG676">
        <v>-2.77</v>
      </c>
      <c r="BH676">
        <v>-5.65</v>
      </c>
      <c r="BI676">
        <v>0.28999999999999998</v>
      </c>
      <c r="BJ676">
        <v>20210824</v>
      </c>
      <c r="BK676">
        <v>20080728</v>
      </c>
      <c r="BL676">
        <v>18.78</v>
      </c>
      <c r="BM676" t="s">
        <v>120</v>
      </c>
      <c r="BN676" t="s">
        <v>120</v>
      </c>
      <c r="BO676">
        <v>28.4</v>
      </c>
      <c r="BP676">
        <v>3.51</v>
      </c>
      <c r="BQ676">
        <v>24.98</v>
      </c>
      <c r="BR676" t="s">
        <v>120</v>
      </c>
      <c r="BS676">
        <v>12.05</v>
      </c>
      <c r="BT676">
        <v>13.24</v>
      </c>
      <c r="BU676">
        <v>14.44</v>
      </c>
      <c r="BV676">
        <v>0.63</v>
      </c>
      <c r="BW676">
        <v>2.76</v>
      </c>
      <c r="BX676">
        <v>7.54</v>
      </c>
      <c r="BY676">
        <v>2.41</v>
      </c>
      <c r="BZ676">
        <v>0.91</v>
      </c>
      <c r="CA676" t="s">
        <v>120</v>
      </c>
      <c r="CB676">
        <v>8.1199999999999992</v>
      </c>
      <c r="CC676">
        <v>7.87</v>
      </c>
      <c r="CD676">
        <v>6.21</v>
      </c>
      <c r="CE676">
        <v>1.03</v>
      </c>
      <c r="CF676">
        <v>0</v>
      </c>
      <c r="CG676">
        <v>1.03</v>
      </c>
      <c r="CH676">
        <v>0.93</v>
      </c>
      <c r="CI676">
        <v>0.93</v>
      </c>
      <c r="CJ676">
        <v>-0.11</v>
      </c>
      <c r="CK676">
        <v>0.9</v>
      </c>
      <c r="CL676">
        <v>-2.31</v>
      </c>
      <c r="CM676">
        <v>0.36</v>
      </c>
      <c r="CN676">
        <v>0.28999999999999998</v>
      </c>
      <c r="CO676">
        <v>92752</v>
      </c>
      <c r="CP676">
        <v>14600</v>
      </c>
      <c r="CQ676" t="s">
        <v>3339</v>
      </c>
      <c r="CR676">
        <v>132.85</v>
      </c>
      <c r="CS676">
        <v>19.489999999999998</v>
      </c>
      <c r="CT676">
        <v>2.64</v>
      </c>
      <c r="CU676">
        <v>185.12</v>
      </c>
      <c r="CV676">
        <v>8.3800000000000008</v>
      </c>
      <c r="CW676">
        <v>0</v>
      </c>
      <c r="CX676" t="s">
        <v>1248</v>
      </c>
      <c r="CY676">
        <v>1.33</v>
      </c>
      <c r="CZ676">
        <v>0</v>
      </c>
      <c r="DA676">
        <v>0.43</v>
      </c>
      <c r="DB676">
        <v>-0.12</v>
      </c>
      <c r="DC676">
        <v>0.02</v>
      </c>
      <c r="DD676">
        <v>87.95</v>
      </c>
      <c r="DE676" t="s">
        <v>4130</v>
      </c>
      <c r="DF676">
        <v>21.15</v>
      </c>
      <c r="DG676">
        <v>13.06</v>
      </c>
      <c r="DH676">
        <v>11.84</v>
      </c>
      <c r="DI676">
        <v>0.33</v>
      </c>
      <c r="DJ676">
        <v>719</v>
      </c>
      <c r="DK676">
        <v>2263</v>
      </c>
      <c r="DL676" t="s">
        <v>120</v>
      </c>
      <c r="DM676" t="s">
        <v>120</v>
      </c>
      <c r="DN676" t="s">
        <v>120</v>
      </c>
    </row>
    <row r="677" spans="1:118">
      <c r="A677" t="str">
        <f>"002264"</f>
        <v>002264</v>
      </c>
      <c r="B677" t="s">
        <v>4131</v>
      </c>
      <c r="C677">
        <v>0.23</v>
      </c>
      <c r="D677">
        <v>-0.22</v>
      </c>
      <c r="E677">
        <v>0</v>
      </c>
      <c r="F677">
        <v>303</v>
      </c>
      <c r="G677" t="s">
        <v>4132</v>
      </c>
      <c r="H677">
        <v>1686.92</v>
      </c>
      <c r="I677">
        <v>0</v>
      </c>
      <c r="J677" t="s">
        <v>120</v>
      </c>
      <c r="K677" t="s">
        <v>4133</v>
      </c>
      <c r="L677">
        <v>0.59</v>
      </c>
      <c r="M677">
        <v>4.28</v>
      </c>
      <c r="N677">
        <v>1.03</v>
      </c>
      <c r="O677">
        <v>1.41</v>
      </c>
      <c r="P677">
        <v>4.33</v>
      </c>
      <c r="Q677">
        <v>-0.47</v>
      </c>
      <c r="R677">
        <v>4.25</v>
      </c>
      <c r="S677">
        <v>4.2699999999999996</v>
      </c>
      <c r="T677">
        <v>39411</v>
      </c>
      <c r="U677">
        <v>4.29</v>
      </c>
      <c r="V677">
        <v>4.2699999999999996</v>
      </c>
      <c r="W677">
        <v>19.920000000000002</v>
      </c>
      <c r="X677" t="s">
        <v>1872</v>
      </c>
      <c r="Y677" t="s">
        <v>937</v>
      </c>
      <c r="Z677">
        <v>1.87</v>
      </c>
      <c r="AA677">
        <v>4.28</v>
      </c>
      <c r="AB677">
        <v>17887</v>
      </c>
      <c r="AC677">
        <v>21524</v>
      </c>
      <c r="AD677">
        <v>0.83</v>
      </c>
      <c r="AE677">
        <v>44</v>
      </c>
      <c r="AF677">
        <v>72</v>
      </c>
      <c r="AG677" t="s">
        <v>120</v>
      </c>
      <c r="AH677">
        <v>0</v>
      </c>
      <c r="AI677" t="s">
        <v>120</v>
      </c>
      <c r="AJ677">
        <v>6.69</v>
      </c>
      <c r="AK677" t="s">
        <v>4134</v>
      </c>
      <c r="AL677">
        <v>2.15</v>
      </c>
      <c r="AM677">
        <v>650</v>
      </c>
      <c r="AN677">
        <v>61</v>
      </c>
      <c r="AO677">
        <v>8.9999999999999998E-4</v>
      </c>
      <c r="AP677">
        <v>2</v>
      </c>
      <c r="AQ677">
        <v>0.23</v>
      </c>
      <c r="AR677">
        <v>-1.61</v>
      </c>
      <c r="AS677">
        <v>5.42</v>
      </c>
      <c r="AT677">
        <v>-4.68</v>
      </c>
      <c r="AU677">
        <v>-0.47</v>
      </c>
      <c r="AV677">
        <v>1</v>
      </c>
      <c r="AW677">
        <v>1.37</v>
      </c>
      <c r="AX677">
        <v>41.94</v>
      </c>
      <c r="AY677">
        <v>24.5</v>
      </c>
      <c r="AZ677">
        <v>16.07</v>
      </c>
      <c r="BA677">
        <v>0.39</v>
      </c>
      <c r="BB677" t="s">
        <v>143</v>
      </c>
      <c r="BF677">
        <v>0.24</v>
      </c>
      <c r="BG677">
        <v>0.23</v>
      </c>
      <c r="BH677">
        <v>-1.1499999999999999</v>
      </c>
      <c r="BI677">
        <v>0.71</v>
      </c>
      <c r="BJ677">
        <v>20210810</v>
      </c>
      <c r="BK677">
        <v>20080731</v>
      </c>
      <c r="BL677">
        <v>6.85</v>
      </c>
      <c r="BM677" t="s">
        <v>120</v>
      </c>
      <c r="BN677" t="s">
        <v>120</v>
      </c>
      <c r="BO677">
        <v>43.97</v>
      </c>
      <c r="BP677">
        <v>4.28</v>
      </c>
      <c r="BQ677">
        <v>11.08</v>
      </c>
      <c r="BR677">
        <v>-0.01</v>
      </c>
      <c r="BS677">
        <v>74.81</v>
      </c>
      <c r="BT677">
        <v>25.5</v>
      </c>
      <c r="BU677">
        <v>2.16</v>
      </c>
      <c r="BV677">
        <v>0.51</v>
      </c>
      <c r="BW677">
        <v>22.18</v>
      </c>
      <c r="BX677">
        <v>6.76</v>
      </c>
      <c r="BY677">
        <v>7.38</v>
      </c>
      <c r="BZ677">
        <v>5.74</v>
      </c>
      <c r="CA677">
        <v>0.04</v>
      </c>
      <c r="CB677">
        <v>11.71</v>
      </c>
      <c r="CC677">
        <v>28.89</v>
      </c>
      <c r="CD677">
        <v>22.35</v>
      </c>
      <c r="CE677">
        <v>0.78</v>
      </c>
      <c r="CF677">
        <v>0</v>
      </c>
      <c r="CG677">
        <v>0.76</v>
      </c>
      <c r="CH677">
        <v>0.72</v>
      </c>
      <c r="CI677">
        <v>0.74</v>
      </c>
      <c r="CJ677">
        <v>0.01</v>
      </c>
      <c r="CK677">
        <v>0.72</v>
      </c>
      <c r="CL677">
        <v>-7.99</v>
      </c>
      <c r="CM677">
        <v>1.2</v>
      </c>
      <c r="CN677">
        <v>-0.09</v>
      </c>
      <c r="CO677">
        <v>28171</v>
      </c>
      <c r="CP677">
        <v>10191</v>
      </c>
      <c r="CQ677" t="s">
        <v>425</v>
      </c>
      <c r="CR677">
        <v>-45.98</v>
      </c>
      <c r="CS677">
        <v>25.69</v>
      </c>
      <c r="CT677">
        <v>2.64</v>
      </c>
      <c r="CU677">
        <v>24.36</v>
      </c>
      <c r="CV677">
        <v>1.01</v>
      </c>
      <c r="CW677">
        <v>0</v>
      </c>
      <c r="CX677" t="s">
        <v>1147</v>
      </c>
      <c r="CY677">
        <v>1.62</v>
      </c>
      <c r="CZ677">
        <v>0</v>
      </c>
      <c r="DA677">
        <v>1.71</v>
      </c>
      <c r="DB677">
        <v>-1.17</v>
      </c>
      <c r="DC677">
        <v>0.18</v>
      </c>
      <c r="DD677">
        <v>25.21</v>
      </c>
      <c r="DE677" t="s">
        <v>4135</v>
      </c>
      <c r="DF677">
        <v>22.62</v>
      </c>
      <c r="DG677">
        <v>2.69</v>
      </c>
      <c r="DH677">
        <v>2.5499999999999998</v>
      </c>
      <c r="DI677">
        <v>0.03</v>
      </c>
      <c r="DJ677">
        <v>5516</v>
      </c>
      <c r="DK677">
        <v>2264</v>
      </c>
      <c r="DL677" t="s">
        <v>120</v>
      </c>
      <c r="DM677" t="s">
        <v>120</v>
      </c>
      <c r="DN677" t="s">
        <v>120</v>
      </c>
    </row>
    <row r="678" spans="1:118">
      <c r="A678" t="str">
        <f>"002265"</f>
        <v>002265</v>
      </c>
      <c r="B678" t="s">
        <v>4136</v>
      </c>
      <c r="C678">
        <v>0.13</v>
      </c>
      <c r="D678">
        <v>0.26</v>
      </c>
      <c r="E678">
        <v>1.17</v>
      </c>
      <c r="F678">
        <v>154</v>
      </c>
      <c r="G678" t="s">
        <v>4137</v>
      </c>
      <c r="H678">
        <v>3731.66</v>
      </c>
      <c r="I678">
        <v>31.43</v>
      </c>
      <c r="J678" t="s">
        <v>120</v>
      </c>
      <c r="K678" t="s">
        <v>4138</v>
      </c>
      <c r="L678">
        <v>1.56</v>
      </c>
      <c r="M678">
        <v>7.72</v>
      </c>
      <c r="N678">
        <v>1.53</v>
      </c>
      <c r="O678">
        <v>3.37</v>
      </c>
      <c r="P678">
        <v>7.97</v>
      </c>
      <c r="Q678">
        <v>-0.65</v>
      </c>
      <c r="R678">
        <v>7.66</v>
      </c>
      <c r="S678">
        <v>7.8</v>
      </c>
      <c r="T678">
        <v>47769</v>
      </c>
      <c r="U678">
        <v>7.72</v>
      </c>
      <c r="V678">
        <v>7.71</v>
      </c>
      <c r="W678" t="s">
        <v>120</v>
      </c>
      <c r="X678" t="s">
        <v>289</v>
      </c>
      <c r="Y678" t="s">
        <v>1006</v>
      </c>
      <c r="Z678">
        <v>4.0199999999999996</v>
      </c>
      <c r="AA678">
        <v>7.81</v>
      </c>
      <c r="AB678">
        <v>22616</v>
      </c>
      <c r="AC678">
        <v>25153</v>
      </c>
      <c r="AD678">
        <v>0.9</v>
      </c>
      <c r="AE678">
        <v>11</v>
      </c>
      <c r="AF678">
        <v>5</v>
      </c>
      <c r="AG678" t="s">
        <v>120</v>
      </c>
      <c r="AH678">
        <v>0.03</v>
      </c>
      <c r="AI678" t="s">
        <v>120</v>
      </c>
      <c r="AJ678">
        <v>3.05</v>
      </c>
      <c r="AK678" t="s">
        <v>4139</v>
      </c>
      <c r="AL678">
        <v>2.04</v>
      </c>
      <c r="AM678">
        <v>1514</v>
      </c>
      <c r="AN678">
        <v>32</v>
      </c>
      <c r="AO678">
        <v>1E-3</v>
      </c>
      <c r="AP678">
        <v>4</v>
      </c>
      <c r="AQ678">
        <v>1.72</v>
      </c>
      <c r="AR678">
        <v>2.8</v>
      </c>
      <c r="AS678">
        <v>6.48</v>
      </c>
      <c r="AT678">
        <v>12.05</v>
      </c>
      <c r="AU678">
        <v>5.9</v>
      </c>
      <c r="AV678">
        <v>1</v>
      </c>
      <c r="AW678">
        <v>3.71</v>
      </c>
      <c r="AX678">
        <v>40.450000000000003</v>
      </c>
      <c r="AY678" t="s">
        <v>120</v>
      </c>
      <c r="AZ678" t="s">
        <v>120</v>
      </c>
      <c r="BA678">
        <v>0.6</v>
      </c>
      <c r="BB678" t="s">
        <v>143</v>
      </c>
      <c r="BF678">
        <v>1.32</v>
      </c>
      <c r="BG678">
        <v>-1.03</v>
      </c>
      <c r="BH678">
        <v>-3.14</v>
      </c>
      <c r="BI678">
        <v>0.78</v>
      </c>
      <c r="BJ678">
        <v>20210913</v>
      </c>
      <c r="BK678">
        <v>20080806</v>
      </c>
      <c r="BL678">
        <v>3.19</v>
      </c>
      <c r="BM678" t="s">
        <v>120</v>
      </c>
      <c r="BN678" t="s">
        <v>120</v>
      </c>
      <c r="BO678">
        <v>13.41</v>
      </c>
      <c r="BP678">
        <v>7.71</v>
      </c>
      <c r="BQ678">
        <v>8.75</v>
      </c>
      <c r="BR678">
        <v>0</v>
      </c>
      <c r="BS678">
        <v>34.770000000000003</v>
      </c>
      <c r="BT678">
        <v>5.43</v>
      </c>
      <c r="BU678">
        <v>5.75</v>
      </c>
      <c r="BV678">
        <v>0.25</v>
      </c>
      <c r="BW678">
        <v>4.21</v>
      </c>
      <c r="BX678">
        <v>0.69</v>
      </c>
      <c r="BY678">
        <v>1.71</v>
      </c>
      <c r="BZ678">
        <v>2.44</v>
      </c>
      <c r="CA678" t="s">
        <v>120</v>
      </c>
      <c r="CB678">
        <v>5.99</v>
      </c>
      <c r="CC678">
        <v>4.13</v>
      </c>
      <c r="CD678">
        <v>3.44</v>
      </c>
      <c r="CE678">
        <v>-0.05</v>
      </c>
      <c r="CF678">
        <v>0</v>
      </c>
      <c r="CG678">
        <v>-0.04</v>
      </c>
      <c r="CH678">
        <v>-7.0000000000000007E-2</v>
      </c>
      <c r="CI678">
        <v>-7.0000000000000007E-2</v>
      </c>
      <c r="CJ678">
        <v>0.01</v>
      </c>
      <c r="CK678">
        <v>-0.1</v>
      </c>
      <c r="CL678">
        <v>-0.72</v>
      </c>
      <c r="CM678">
        <v>0.31</v>
      </c>
      <c r="CN678">
        <v>-0.54</v>
      </c>
      <c r="CO678">
        <v>23200</v>
      </c>
      <c r="CP678">
        <v>5555</v>
      </c>
      <c r="CQ678" t="s">
        <v>4140</v>
      </c>
      <c r="CR678">
        <v>73.77</v>
      </c>
      <c r="CS678">
        <v>51.05</v>
      </c>
      <c r="CT678">
        <v>2.81</v>
      </c>
      <c r="CU678">
        <v>80.459999999999994</v>
      </c>
      <c r="CV678">
        <v>5.96</v>
      </c>
      <c r="CW678">
        <v>0</v>
      </c>
      <c r="CX678" t="s">
        <v>419</v>
      </c>
      <c r="CY678">
        <v>2.75</v>
      </c>
      <c r="CZ678">
        <v>0</v>
      </c>
      <c r="DA678">
        <v>1.88</v>
      </c>
      <c r="DB678">
        <v>-0.23</v>
      </c>
      <c r="DC678">
        <v>0.1</v>
      </c>
      <c r="DD678">
        <v>65.239999999999995</v>
      </c>
      <c r="DE678" t="s">
        <v>4141</v>
      </c>
      <c r="DF678">
        <v>16.600000000000001</v>
      </c>
      <c r="DG678">
        <v>-1.32</v>
      </c>
      <c r="DH678">
        <v>-1.64</v>
      </c>
      <c r="DI678">
        <v>0.21</v>
      </c>
      <c r="DJ678">
        <v>1882</v>
      </c>
      <c r="DK678">
        <v>2265</v>
      </c>
      <c r="DL678" t="s">
        <v>120</v>
      </c>
      <c r="DM678" t="s">
        <v>120</v>
      </c>
      <c r="DN678" t="s">
        <v>120</v>
      </c>
    </row>
    <row r="679" spans="1:118">
      <c r="A679" t="str">
        <f>"002266"</f>
        <v>002266</v>
      </c>
      <c r="B679" t="s">
        <v>4142</v>
      </c>
      <c r="C679">
        <v>-2.98</v>
      </c>
      <c r="D679">
        <v>0.74</v>
      </c>
      <c r="E679">
        <v>-0.56999999999999995</v>
      </c>
      <c r="F679">
        <v>12957</v>
      </c>
      <c r="G679" t="s">
        <v>4143</v>
      </c>
      <c r="H679">
        <v>50403.360000000001</v>
      </c>
      <c r="I679">
        <v>120.57</v>
      </c>
      <c r="J679" t="s">
        <v>120</v>
      </c>
      <c r="K679" t="s">
        <v>4144</v>
      </c>
      <c r="L679">
        <v>2.61</v>
      </c>
      <c r="M679">
        <v>6.84</v>
      </c>
      <c r="N679">
        <v>0.61</v>
      </c>
      <c r="O679">
        <v>0.85</v>
      </c>
      <c r="P679">
        <v>7.11</v>
      </c>
      <c r="Q679">
        <v>-4.4000000000000004</v>
      </c>
      <c r="R679">
        <v>6.74</v>
      </c>
      <c r="S679">
        <v>7.01</v>
      </c>
      <c r="T679">
        <v>732986</v>
      </c>
      <c r="U679">
        <v>6.84</v>
      </c>
      <c r="V679">
        <v>7.05</v>
      </c>
      <c r="W679">
        <v>14.08</v>
      </c>
      <c r="X679" t="s">
        <v>318</v>
      </c>
      <c r="Y679" t="s">
        <v>585</v>
      </c>
      <c r="Z679">
        <v>5.25</v>
      </c>
      <c r="AA679">
        <v>6.88</v>
      </c>
      <c r="AB679">
        <v>419726</v>
      </c>
      <c r="AC679">
        <v>313260</v>
      </c>
      <c r="AD679">
        <v>1.34</v>
      </c>
      <c r="AE679">
        <v>368</v>
      </c>
      <c r="AF679">
        <v>2103</v>
      </c>
      <c r="AG679" t="s">
        <v>120</v>
      </c>
      <c r="AH679">
        <v>0.01</v>
      </c>
      <c r="AI679" t="s">
        <v>120</v>
      </c>
      <c r="AJ679">
        <v>28.07</v>
      </c>
      <c r="AK679" t="s">
        <v>4145</v>
      </c>
      <c r="AL679">
        <v>-1.07</v>
      </c>
      <c r="AM679">
        <v>4254</v>
      </c>
      <c r="AN679">
        <v>172</v>
      </c>
      <c r="AO679">
        <v>5.9999999999999995E-4</v>
      </c>
      <c r="AP679">
        <v>-1</v>
      </c>
      <c r="AQ679">
        <v>1.88</v>
      </c>
      <c r="AR679">
        <v>-5.78</v>
      </c>
      <c r="AS679">
        <v>15.15</v>
      </c>
      <c r="AT679">
        <v>35.99</v>
      </c>
      <c r="AU679">
        <v>53.36</v>
      </c>
      <c r="AV679">
        <v>0</v>
      </c>
      <c r="AW679">
        <v>4.79</v>
      </c>
      <c r="AX679">
        <v>28.52</v>
      </c>
      <c r="AY679">
        <v>16.510000000000002</v>
      </c>
      <c r="AZ679">
        <v>27.8</v>
      </c>
      <c r="BA679">
        <v>0</v>
      </c>
      <c r="BB679" t="s">
        <v>143</v>
      </c>
      <c r="BF679">
        <v>-2.46</v>
      </c>
      <c r="BG679">
        <v>-2.4300000000000002</v>
      </c>
      <c r="BH679">
        <v>-3.8</v>
      </c>
      <c r="BI679">
        <v>1.48</v>
      </c>
      <c r="BJ679">
        <v>20210913</v>
      </c>
      <c r="BK679">
        <v>20080806</v>
      </c>
      <c r="BL679">
        <v>53.7</v>
      </c>
      <c r="BM679" t="s">
        <v>120</v>
      </c>
      <c r="BN679" t="s">
        <v>120</v>
      </c>
      <c r="BO679">
        <v>205.9</v>
      </c>
      <c r="BP679">
        <v>6.83</v>
      </c>
      <c r="BQ679">
        <v>87.07</v>
      </c>
      <c r="BR679">
        <v>11.93</v>
      </c>
      <c r="BS679">
        <v>51.92</v>
      </c>
      <c r="BT679">
        <v>104.19</v>
      </c>
      <c r="BU679">
        <v>19.920000000000002</v>
      </c>
      <c r="BV679">
        <v>13.42</v>
      </c>
      <c r="BW679">
        <v>88.29</v>
      </c>
      <c r="BX679">
        <v>18.09</v>
      </c>
      <c r="BY679">
        <v>59.96</v>
      </c>
      <c r="BZ679">
        <v>4.1500000000000004</v>
      </c>
      <c r="CA679">
        <v>0.08</v>
      </c>
      <c r="CB679">
        <v>0.03</v>
      </c>
      <c r="CC679">
        <v>68.73</v>
      </c>
      <c r="CD679">
        <v>51.95</v>
      </c>
      <c r="CE679">
        <v>15.1</v>
      </c>
      <c r="CF679">
        <v>1.85</v>
      </c>
      <c r="CG679">
        <v>15.03</v>
      </c>
      <c r="CH679">
        <v>13.12</v>
      </c>
      <c r="CI679">
        <v>13.05</v>
      </c>
      <c r="CJ679">
        <v>-0.21</v>
      </c>
      <c r="CK679">
        <v>10.78</v>
      </c>
      <c r="CL679">
        <v>34.03</v>
      </c>
      <c r="CM679">
        <v>-1.97</v>
      </c>
      <c r="CN679">
        <v>-0.73</v>
      </c>
      <c r="CO679">
        <v>96898</v>
      </c>
      <c r="CP679">
        <v>15806</v>
      </c>
      <c r="CQ679" t="s">
        <v>4146</v>
      </c>
      <c r="CR679">
        <v>249.62</v>
      </c>
      <c r="CS679">
        <v>118.83</v>
      </c>
      <c r="CT679">
        <v>4.22</v>
      </c>
      <c r="CU679">
        <v>-186.73</v>
      </c>
      <c r="CV679">
        <v>5.34</v>
      </c>
      <c r="CW679">
        <v>0.56999999999999995</v>
      </c>
      <c r="CX679" t="s">
        <v>626</v>
      </c>
      <c r="CY679">
        <v>1.62</v>
      </c>
      <c r="CZ679">
        <v>0</v>
      </c>
      <c r="DA679">
        <v>0</v>
      </c>
      <c r="DB679">
        <v>0.63</v>
      </c>
      <c r="DC679">
        <v>-0.04</v>
      </c>
      <c r="DD679">
        <v>42.29</v>
      </c>
      <c r="DE679" t="s">
        <v>4147</v>
      </c>
      <c r="DF679">
        <v>24.42</v>
      </c>
      <c r="DG679">
        <v>21.98</v>
      </c>
      <c r="DH679">
        <v>18.98</v>
      </c>
      <c r="DI679">
        <v>2.5499999999999998</v>
      </c>
      <c r="DJ679">
        <v>5787</v>
      </c>
      <c r="DK679">
        <v>2266</v>
      </c>
      <c r="DL679" t="s">
        <v>120</v>
      </c>
      <c r="DM679" t="s">
        <v>120</v>
      </c>
      <c r="DN679" t="s">
        <v>120</v>
      </c>
    </row>
    <row r="680" spans="1:118">
      <c r="A680" t="str">
        <f>"002267"</f>
        <v>002267</v>
      </c>
      <c r="B680" t="s">
        <v>4148</v>
      </c>
      <c r="C680">
        <v>6.98</v>
      </c>
      <c r="D680">
        <v>0.11</v>
      </c>
      <c r="E680">
        <v>1.44</v>
      </c>
      <c r="F680">
        <v>2673</v>
      </c>
      <c r="G680" t="s">
        <v>4149</v>
      </c>
      <c r="H680">
        <v>79160.62</v>
      </c>
      <c r="I680">
        <v>150.38999999999999</v>
      </c>
      <c r="J680" t="s">
        <v>120</v>
      </c>
      <c r="K680" t="s">
        <v>4150</v>
      </c>
      <c r="L680">
        <v>7.87</v>
      </c>
      <c r="M680">
        <v>8.89</v>
      </c>
      <c r="N680">
        <v>2.29</v>
      </c>
      <c r="O680">
        <v>9.99</v>
      </c>
      <c r="P680">
        <v>9.14</v>
      </c>
      <c r="Q680">
        <v>1.32</v>
      </c>
      <c r="R680">
        <v>8.42</v>
      </c>
      <c r="S680">
        <v>8.43</v>
      </c>
      <c r="T680">
        <v>874979</v>
      </c>
      <c r="U680">
        <v>8.9</v>
      </c>
      <c r="V680">
        <v>8.31</v>
      </c>
      <c r="W680">
        <v>14.44</v>
      </c>
      <c r="X680" t="s">
        <v>684</v>
      </c>
      <c r="Y680" t="s">
        <v>890</v>
      </c>
      <c r="Z680">
        <v>8.66</v>
      </c>
      <c r="AA680">
        <v>9.0500000000000007</v>
      </c>
      <c r="AB680">
        <v>552725</v>
      </c>
      <c r="AC680">
        <v>322254</v>
      </c>
      <c r="AD680">
        <v>1.72</v>
      </c>
      <c r="AE680">
        <v>213</v>
      </c>
      <c r="AF680">
        <v>342</v>
      </c>
      <c r="AG680" t="s">
        <v>120</v>
      </c>
      <c r="AH680">
        <v>0.05</v>
      </c>
      <c r="AI680" t="s">
        <v>120</v>
      </c>
      <c r="AJ680">
        <v>11.12</v>
      </c>
      <c r="AK680" t="s">
        <v>4150</v>
      </c>
      <c r="AL680">
        <v>8.89</v>
      </c>
      <c r="AM680">
        <v>3886</v>
      </c>
      <c r="AN680">
        <v>225</v>
      </c>
      <c r="AO680">
        <v>2E-3</v>
      </c>
      <c r="AP680">
        <v>2</v>
      </c>
      <c r="AQ680">
        <v>0.73</v>
      </c>
      <c r="AR680">
        <v>5.71</v>
      </c>
      <c r="AS680">
        <v>13.25</v>
      </c>
      <c r="AT680">
        <v>29.4</v>
      </c>
      <c r="AU680">
        <v>41.79</v>
      </c>
      <c r="AV680">
        <v>1</v>
      </c>
      <c r="AW680">
        <v>22.12</v>
      </c>
      <c r="AX680">
        <v>35.57</v>
      </c>
      <c r="AY680">
        <v>20.72</v>
      </c>
      <c r="AZ680">
        <v>25.92</v>
      </c>
      <c r="BA680">
        <v>0.28999999999999998</v>
      </c>
      <c r="BB680" t="s">
        <v>143</v>
      </c>
      <c r="BF680">
        <v>8.8699999999999992</v>
      </c>
      <c r="BG680">
        <v>5.46</v>
      </c>
      <c r="BH680">
        <v>-2.74</v>
      </c>
      <c r="BI680">
        <v>5.58</v>
      </c>
      <c r="BJ680">
        <v>20210902</v>
      </c>
      <c r="BK680">
        <v>20080813</v>
      </c>
      <c r="BL680">
        <v>11.12</v>
      </c>
      <c r="BM680" t="s">
        <v>120</v>
      </c>
      <c r="BN680" t="s">
        <v>120</v>
      </c>
      <c r="BO680">
        <v>130.27000000000001</v>
      </c>
      <c r="BP680">
        <v>8.89</v>
      </c>
      <c r="BQ680">
        <v>63.33</v>
      </c>
      <c r="BR680">
        <v>2.77</v>
      </c>
      <c r="BS680">
        <v>49.26</v>
      </c>
      <c r="BT680">
        <v>18.27</v>
      </c>
      <c r="BU680">
        <v>72.349999999999994</v>
      </c>
      <c r="BV680">
        <v>6.1</v>
      </c>
      <c r="BW680">
        <v>41.58</v>
      </c>
      <c r="BX680">
        <v>9.26</v>
      </c>
      <c r="BY680">
        <v>1.77</v>
      </c>
      <c r="BZ680">
        <v>5.29</v>
      </c>
      <c r="CA680">
        <v>0</v>
      </c>
      <c r="CB680">
        <v>12.46</v>
      </c>
      <c r="CC680">
        <v>39.74</v>
      </c>
      <c r="CD680">
        <v>34.700000000000003</v>
      </c>
      <c r="CE680">
        <v>4.17</v>
      </c>
      <c r="CF680">
        <v>0.47</v>
      </c>
      <c r="CG680">
        <v>4.1500000000000004</v>
      </c>
      <c r="CH680">
        <v>3.57</v>
      </c>
      <c r="CI680">
        <v>3.42</v>
      </c>
      <c r="CJ680">
        <v>0.57999999999999996</v>
      </c>
      <c r="CK680">
        <v>3.34</v>
      </c>
      <c r="CL680">
        <v>30.58</v>
      </c>
      <c r="CM680">
        <v>1.7</v>
      </c>
      <c r="CN680">
        <v>-2.41</v>
      </c>
      <c r="CO680">
        <v>28663</v>
      </c>
      <c r="CP680">
        <v>13800</v>
      </c>
      <c r="CQ680" t="s">
        <v>4151</v>
      </c>
      <c r="CR680">
        <v>35.450000000000003</v>
      </c>
      <c r="CS680">
        <v>-18.57</v>
      </c>
      <c r="CT680">
        <v>1.56</v>
      </c>
      <c r="CU680">
        <v>58.28</v>
      </c>
      <c r="CV680">
        <v>2.4900000000000002</v>
      </c>
      <c r="CW680">
        <v>2.41</v>
      </c>
      <c r="CX680" t="s">
        <v>4152</v>
      </c>
      <c r="CY680">
        <v>5.69</v>
      </c>
      <c r="CZ680">
        <v>0</v>
      </c>
      <c r="DA680">
        <v>1.1200000000000001</v>
      </c>
      <c r="DB680">
        <v>2.75</v>
      </c>
      <c r="DC680">
        <v>0.15</v>
      </c>
      <c r="DD680">
        <v>48.61</v>
      </c>
      <c r="DE680" t="s">
        <v>4153</v>
      </c>
      <c r="DF680">
        <v>12.68</v>
      </c>
      <c r="DG680">
        <v>10.49</v>
      </c>
      <c r="DH680">
        <v>8.61</v>
      </c>
      <c r="DI680">
        <v>0.05</v>
      </c>
      <c r="DJ680">
        <v>2138</v>
      </c>
      <c r="DK680">
        <v>2267</v>
      </c>
      <c r="DL680" t="s">
        <v>120</v>
      </c>
      <c r="DM680" t="s">
        <v>120</v>
      </c>
      <c r="DN680" t="s">
        <v>120</v>
      </c>
    </row>
    <row r="681" spans="1:118">
      <c r="A681" t="str">
        <f>"002268"</f>
        <v>002268</v>
      </c>
      <c r="B681" t="s">
        <v>4154</v>
      </c>
      <c r="C681">
        <v>-4.49</v>
      </c>
      <c r="D681">
        <v>0.79</v>
      </c>
      <c r="E681">
        <v>-2.35</v>
      </c>
      <c r="F681">
        <v>3878</v>
      </c>
      <c r="G681" t="s">
        <v>4155</v>
      </c>
      <c r="H681">
        <v>148122.70000000001</v>
      </c>
      <c r="I681">
        <v>1873.73</v>
      </c>
      <c r="J681" t="s">
        <v>120</v>
      </c>
      <c r="K681" t="s">
        <v>4156</v>
      </c>
      <c r="L681">
        <v>4.29</v>
      </c>
      <c r="M681">
        <v>40.590000000000003</v>
      </c>
      <c r="N681">
        <v>1.04</v>
      </c>
      <c r="O681">
        <v>2</v>
      </c>
      <c r="P681">
        <v>43.35</v>
      </c>
      <c r="Q681">
        <v>-5.88</v>
      </c>
      <c r="R681">
        <v>40</v>
      </c>
      <c r="S681">
        <v>41.5</v>
      </c>
      <c r="T681">
        <v>358999</v>
      </c>
      <c r="U681">
        <v>40.590000000000003</v>
      </c>
      <c r="V681">
        <v>42.5</v>
      </c>
      <c r="W681" t="s">
        <v>120</v>
      </c>
      <c r="X681" t="s">
        <v>141</v>
      </c>
      <c r="Y681" t="s">
        <v>578</v>
      </c>
      <c r="Z681">
        <v>7.88</v>
      </c>
      <c r="AA681">
        <v>41.26</v>
      </c>
      <c r="AB681">
        <v>180547</v>
      </c>
      <c r="AC681">
        <v>178452</v>
      </c>
      <c r="AD681">
        <v>1.01</v>
      </c>
      <c r="AE681">
        <v>1</v>
      </c>
      <c r="AF681">
        <v>3308</v>
      </c>
      <c r="AG681" t="s">
        <v>120</v>
      </c>
      <c r="AH681">
        <v>0.09</v>
      </c>
      <c r="AI681" t="s">
        <v>120</v>
      </c>
      <c r="AJ681">
        <v>8.3699999999999992</v>
      </c>
      <c r="AK681" t="s">
        <v>4157</v>
      </c>
      <c r="AL681">
        <v>-2.58</v>
      </c>
      <c r="AM681">
        <v>4560</v>
      </c>
      <c r="AN681">
        <v>79</v>
      </c>
      <c r="AO681">
        <v>8.9999999999999998E-4</v>
      </c>
      <c r="AP681">
        <v>-2</v>
      </c>
      <c r="AQ681">
        <v>-8.86</v>
      </c>
      <c r="AR681">
        <v>-4.25</v>
      </c>
      <c r="AS681">
        <v>25.59</v>
      </c>
      <c r="AT681">
        <v>110.74</v>
      </c>
      <c r="AU681">
        <v>143.35</v>
      </c>
      <c r="AV681">
        <v>8</v>
      </c>
      <c r="AW681">
        <v>6.85</v>
      </c>
      <c r="AX681">
        <v>61.89</v>
      </c>
      <c r="AY681">
        <v>142.82</v>
      </c>
      <c r="AZ681">
        <v>222.84</v>
      </c>
      <c r="BA681">
        <v>1.08</v>
      </c>
      <c r="BB681" t="s">
        <v>143</v>
      </c>
      <c r="BF681">
        <v>-2.92</v>
      </c>
      <c r="BG681">
        <v>-2.19</v>
      </c>
      <c r="BH681">
        <v>-6.37</v>
      </c>
      <c r="BI681">
        <v>1.48</v>
      </c>
      <c r="BJ681">
        <v>20210826</v>
      </c>
      <c r="BK681">
        <v>20080811</v>
      </c>
      <c r="BL681">
        <v>8.4600000000000009</v>
      </c>
      <c r="BM681" t="s">
        <v>120</v>
      </c>
      <c r="BN681" t="s">
        <v>120</v>
      </c>
      <c r="BO681">
        <v>60.79</v>
      </c>
      <c r="BP681">
        <v>40.47</v>
      </c>
      <c r="BQ681">
        <v>47.44</v>
      </c>
      <c r="BR681">
        <v>0.11</v>
      </c>
      <c r="BS681">
        <v>21.79</v>
      </c>
      <c r="BT681">
        <v>41.01</v>
      </c>
      <c r="BU681">
        <v>3.13</v>
      </c>
      <c r="BV681">
        <v>1.45</v>
      </c>
      <c r="BW681">
        <v>12.9</v>
      </c>
      <c r="BX681">
        <v>10.82</v>
      </c>
      <c r="BY681">
        <v>8.58</v>
      </c>
      <c r="BZ681">
        <v>12.27</v>
      </c>
      <c r="CA681" t="s">
        <v>120</v>
      </c>
      <c r="CB681">
        <v>26.9</v>
      </c>
      <c r="CC681">
        <v>8.44</v>
      </c>
      <c r="CD681">
        <v>5.15</v>
      </c>
      <c r="CE681">
        <v>-0.66</v>
      </c>
      <c r="CF681">
        <v>-0.01</v>
      </c>
      <c r="CG681">
        <v>-0.66</v>
      </c>
      <c r="CH681">
        <v>-0.43</v>
      </c>
      <c r="CI681">
        <v>-0.42</v>
      </c>
      <c r="CJ681">
        <v>-1.91</v>
      </c>
      <c r="CK681">
        <v>-0.44</v>
      </c>
      <c r="CL681">
        <v>11.5</v>
      </c>
      <c r="CM681">
        <v>-9.36</v>
      </c>
      <c r="CN681">
        <v>-8.9700000000000006</v>
      </c>
      <c r="CO681">
        <v>44623</v>
      </c>
      <c r="CP681">
        <v>11738</v>
      </c>
      <c r="CQ681" t="s">
        <v>4158</v>
      </c>
      <c r="CR681">
        <v>68.27</v>
      </c>
      <c r="CS681">
        <v>94.75</v>
      </c>
      <c r="CT681">
        <v>7.24</v>
      </c>
      <c r="CU681">
        <v>-36.72</v>
      </c>
      <c r="CV681">
        <v>40.72</v>
      </c>
      <c r="CW681">
        <v>0.05</v>
      </c>
      <c r="CX681" t="s">
        <v>161</v>
      </c>
      <c r="CY681">
        <v>5.61</v>
      </c>
      <c r="CZ681">
        <v>0</v>
      </c>
      <c r="DA681">
        <v>3.18</v>
      </c>
      <c r="DB681">
        <v>1.36</v>
      </c>
      <c r="DC681">
        <v>-1.1100000000000001</v>
      </c>
      <c r="DD681">
        <v>78.03</v>
      </c>
      <c r="DE681" t="s">
        <v>4159</v>
      </c>
      <c r="DF681">
        <v>38.92</v>
      </c>
      <c r="DG681">
        <v>-7.8</v>
      </c>
      <c r="DH681">
        <v>-4.9800000000000004</v>
      </c>
      <c r="DI681">
        <v>1.46</v>
      </c>
      <c r="DJ681">
        <v>2409</v>
      </c>
      <c r="DK681">
        <v>2268</v>
      </c>
      <c r="DL681">
        <v>20210914</v>
      </c>
      <c r="DM681">
        <v>45.92</v>
      </c>
      <c r="DN681">
        <v>-11.61</v>
      </c>
    </row>
    <row r="682" spans="1:118">
      <c r="A682" t="str">
        <f>"002269"</f>
        <v>002269</v>
      </c>
      <c r="B682" t="s">
        <v>4160</v>
      </c>
      <c r="C682">
        <v>3.85</v>
      </c>
      <c r="D682">
        <v>0.37</v>
      </c>
      <c r="E682">
        <v>0.38</v>
      </c>
      <c r="F682">
        <v>12450</v>
      </c>
      <c r="G682" t="s">
        <v>354</v>
      </c>
      <c r="H682">
        <v>26869.37</v>
      </c>
      <c r="I682">
        <v>40.35</v>
      </c>
      <c r="J682" t="s">
        <v>120</v>
      </c>
      <c r="K682" t="s">
        <v>4161</v>
      </c>
      <c r="L682">
        <v>3.97</v>
      </c>
      <c r="M682">
        <v>2.7</v>
      </c>
      <c r="N682">
        <v>1.24</v>
      </c>
      <c r="O682">
        <v>6.54</v>
      </c>
      <c r="P682">
        <v>2.77</v>
      </c>
      <c r="Q682">
        <v>-1.1499999999999999</v>
      </c>
      <c r="R682">
        <v>2.57</v>
      </c>
      <c r="S682">
        <v>2.61</v>
      </c>
      <c r="T682">
        <v>997231</v>
      </c>
      <c r="U682">
        <v>2.7</v>
      </c>
      <c r="V682">
        <v>2.6</v>
      </c>
      <c r="W682" t="s">
        <v>120</v>
      </c>
      <c r="X682" t="s">
        <v>2806</v>
      </c>
      <c r="Y682" t="s">
        <v>1510</v>
      </c>
      <c r="Z682">
        <v>7.69</v>
      </c>
      <c r="AA682">
        <v>2.69</v>
      </c>
      <c r="AB682">
        <v>399275</v>
      </c>
      <c r="AC682">
        <v>597956</v>
      </c>
      <c r="AD682">
        <v>0.67</v>
      </c>
      <c r="AE682">
        <v>7252</v>
      </c>
      <c r="AF682">
        <v>11924</v>
      </c>
      <c r="AG682" t="s">
        <v>120</v>
      </c>
      <c r="AH682">
        <v>0.01</v>
      </c>
      <c r="AI682" t="s">
        <v>120</v>
      </c>
      <c r="AJ682">
        <v>25.13</v>
      </c>
      <c r="AK682" t="s">
        <v>4161</v>
      </c>
      <c r="AL682">
        <v>5.76</v>
      </c>
      <c r="AM682">
        <v>3993</v>
      </c>
      <c r="AN682">
        <v>250</v>
      </c>
      <c r="AO682">
        <v>1E-3</v>
      </c>
      <c r="AP682">
        <v>2</v>
      </c>
      <c r="AQ682">
        <v>0.39</v>
      </c>
      <c r="AR682">
        <v>0.37</v>
      </c>
      <c r="AS682">
        <v>-1.46</v>
      </c>
      <c r="AT682">
        <v>-30.59</v>
      </c>
      <c r="AU682">
        <v>74.19</v>
      </c>
      <c r="AV682">
        <v>32</v>
      </c>
      <c r="AW682">
        <v>7.45</v>
      </c>
      <c r="AX682">
        <v>53.27</v>
      </c>
      <c r="AY682" t="s">
        <v>120</v>
      </c>
      <c r="AZ682" t="s">
        <v>120</v>
      </c>
      <c r="BA682">
        <v>0.77</v>
      </c>
      <c r="BB682" t="s">
        <v>143</v>
      </c>
      <c r="BF682">
        <v>3.63</v>
      </c>
      <c r="BG682">
        <v>3.45</v>
      </c>
      <c r="BH682">
        <v>-2.5299999999999998</v>
      </c>
      <c r="BI682">
        <v>5.0599999999999996</v>
      </c>
      <c r="BJ682">
        <v>20210826</v>
      </c>
      <c r="BK682">
        <v>20080828</v>
      </c>
      <c r="BL682">
        <v>25.13</v>
      </c>
      <c r="BM682" t="s">
        <v>120</v>
      </c>
      <c r="BN682" t="s">
        <v>120</v>
      </c>
      <c r="BO682">
        <v>55.15</v>
      </c>
      <c r="BP682">
        <v>2.69</v>
      </c>
      <c r="BQ682">
        <v>11.47</v>
      </c>
      <c r="BR682" t="s">
        <v>120</v>
      </c>
      <c r="BS682">
        <v>79.2</v>
      </c>
      <c r="BT682">
        <v>27.67</v>
      </c>
      <c r="BU682">
        <v>9.1300000000000008</v>
      </c>
      <c r="BV682">
        <v>0.21</v>
      </c>
      <c r="BW682">
        <v>36.03</v>
      </c>
      <c r="BX682">
        <v>2.63</v>
      </c>
      <c r="BY682">
        <v>11.62</v>
      </c>
      <c r="BZ682">
        <v>7.86</v>
      </c>
      <c r="CA682">
        <v>0.33</v>
      </c>
      <c r="CB682">
        <v>1.68</v>
      </c>
      <c r="CC682">
        <v>13.77</v>
      </c>
      <c r="CD682">
        <v>8.1300000000000008</v>
      </c>
      <c r="CE682">
        <v>-0.34</v>
      </c>
      <c r="CF682">
        <v>3.01</v>
      </c>
      <c r="CG682">
        <v>-0.38</v>
      </c>
      <c r="CH682">
        <v>-0.39</v>
      </c>
      <c r="CI682">
        <v>-0.39</v>
      </c>
      <c r="CJ682">
        <v>0.1</v>
      </c>
      <c r="CK682">
        <v>-3.36</v>
      </c>
      <c r="CL682">
        <v>-20.56</v>
      </c>
      <c r="CM682">
        <v>0.01</v>
      </c>
      <c r="CN682">
        <v>0.33</v>
      </c>
      <c r="CO682">
        <v>152136</v>
      </c>
      <c r="CP682">
        <v>8798</v>
      </c>
      <c r="CQ682" t="s">
        <v>4162</v>
      </c>
      <c r="CR682">
        <v>91.85</v>
      </c>
      <c r="CS682">
        <v>-14.06</v>
      </c>
      <c r="CT682">
        <v>5.91</v>
      </c>
      <c r="CU682">
        <v>9051.0300000000007</v>
      </c>
      <c r="CV682">
        <v>4.93</v>
      </c>
      <c r="CW682">
        <v>0</v>
      </c>
      <c r="CX682" t="s">
        <v>419</v>
      </c>
      <c r="CY682">
        <v>0.46</v>
      </c>
      <c r="CZ682">
        <v>0</v>
      </c>
      <c r="DA682">
        <v>7.0000000000000007E-2</v>
      </c>
      <c r="DB682">
        <v>-0.82</v>
      </c>
      <c r="DC682">
        <v>0</v>
      </c>
      <c r="DD682">
        <v>20.8</v>
      </c>
      <c r="DE682" t="s">
        <v>4163</v>
      </c>
      <c r="DF682">
        <v>40.98</v>
      </c>
      <c r="DG682">
        <v>-2.48</v>
      </c>
      <c r="DH682">
        <v>-2.83</v>
      </c>
      <c r="DI682">
        <v>0.39</v>
      </c>
      <c r="DJ682">
        <v>4951</v>
      </c>
      <c r="DK682">
        <v>2269</v>
      </c>
      <c r="DL682" t="s">
        <v>120</v>
      </c>
      <c r="DM682" t="s">
        <v>120</v>
      </c>
      <c r="DN682" t="s">
        <v>120</v>
      </c>
    </row>
    <row r="683" spans="1:118">
      <c r="A683" t="str">
        <f>"002270"</f>
        <v>002270</v>
      </c>
      <c r="B683" t="s">
        <v>4164</v>
      </c>
      <c r="C683">
        <v>-4.54</v>
      </c>
      <c r="D683">
        <v>0</v>
      </c>
      <c r="E683">
        <v>-0.49</v>
      </c>
      <c r="F683">
        <v>4210</v>
      </c>
      <c r="G683" t="s">
        <v>4165</v>
      </c>
      <c r="H683">
        <v>35921.46</v>
      </c>
      <c r="I683">
        <v>198.7</v>
      </c>
      <c r="J683" t="s">
        <v>120</v>
      </c>
      <c r="K683" t="s">
        <v>4166</v>
      </c>
      <c r="L683">
        <v>5.91</v>
      </c>
      <c r="M683">
        <v>7.78</v>
      </c>
      <c r="N683">
        <v>0.75</v>
      </c>
      <c r="O683">
        <v>1.1000000000000001</v>
      </c>
      <c r="P683">
        <v>8.24</v>
      </c>
      <c r="Q683">
        <v>-5.28</v>
      </c>
      <c r="R683">
        <v>7.72</v>
      </c>
      <c r="S683">
        <v>8.11</v>
      </c>
      <c r="T683">
        <v>448720</v>
      </c>
      <c r="U683">
        <v>7.79</v>
      </c>
      <c r="V683">
        <v>8.15</v>
      </c>
      <c r="W683">
        <v>9.84</v>
      </c>
      <c r="X683" t="s">
        <v>394</v>
      </c>
      <c r="Y683" t="s">
        <v>638</v>
      </c>
      <c r="Z683">
        <v>6.38</v>
      </c>
      <c r="AA683">
        <v>8.01</v>
      </c>
      <c r="AB683">
        <v>249608</v>
      </c>
      <c r="AC683">
        <v>199112</v>
      </c>
      <c r="AD683">
        <v>1.25</v>
      </c>
      <c r="AE683">
        <v>224</v>
      </c>
      <c r="AF683">
        <v>759</v>
      </c>
      <c r="AG683" t="s">
        <v>120</v>
      </c>
      <c r="AH683">
        <v>0.05</v>
      </c>
      <c r="AI683" t="s">
        <v>120</v>
      </c>
      <c r="AJ683">
        <v>7.59</v>
      </c>
      <c r="AK683" t="s">
        <v>4166</v>
      </c>
      <c r="AL683">
        <v>-2.63</v>
      </c>
      <c r="AM683">
        <v>4138</v>
      </c>
      <c r="AN683">
        <v>108</v>
      </c>
      <c r="AO683">
        <v>1.4E-3</v>
      </c>
      <c r="AP683">
        <v>-1</v>
      </c>
      <c r="AQ683">
        <v>0</v>
      </c>
      <c r="AR683">
        <v>-2.63</v>
      </c>
      <c r="AS683">
        <v>17.350000000000001</v>
      </c>
      <c r="AT683">
        <v>61.75</v>
      </c>
      <c r="AU683">
        <v>45.34</v>
      </c>
      <c r="AV683">
        <v>1</v>
      </c>
      <c r="AW683">
        <v>8.8699999999999992</v>
      </c>
      <c r="AX683">
        <v>66.66</v>
      </c>
      <c r="AY683">
        <v>16.3</v>
      </c>
      <c r="AZ683">
        <v>21.4</v>
      </c>
      <c r="BA683">
        <v>0</v>
      </c>
      <c r="BB683" t="s">
        <v>184</v>
      </c>
      <c r="BF683">
        <v>-1.78</v>
      </c>
      <c r="BG683">
        <v>-4.07</v>
      </c>
      <c r="BH683">
        <v>-5.58</v>
      </c>
      <c r="BI683">
        <v>0.78</v>
      </c>
      <c r="BJ683">
        <v>20210913</v>
      </c>
      <c r="BK683">
        <v>20080905</v>
      </c>
      <c r="BL683">
        <v>7.59</v>
      </c>
      <c r="BM683" t="s">
        <v>120</v>
      </c>
      <c r="BN683" t="s">
        <v>120</v>
      </c>
      <c r="BO683">
        <v>41.76</v>
      </c>
      <c r="BP683">
        <v>7.78</v>
      </c>
      <c r="BQ683">
        <v>28.82</v>
      </c>
      <c r="BR683">
        <v>0.13</v>
      </c>
      <c r="BS683">
        <v>30.67</v>
      </c>
      <c r="BT683">
        <v>28.35</v>
      </c>
      <c r="BU683">
        <v>6.76</v>
      </c>
      <c r="BV683">
        <v>2.0099999999999998</v>
      </c>
      <c r="BW683">
        <v>9.09</v>
      </c>
      <c r="BX683">
        <v>4.66</v>
      </c>
      <c r="BY683">
        <v>4.2300000000000004</v>
      </c>
      <c r="BZ683">
        <v>7.21</v>
      </c>
      <c r="CA683" t="s">
        <v>120</v>
      </c>
      <c r="CB683">
        <v>9.42</v>
      </c>
      <c r="CC683">
        <v>6.84</v>
      </c>
      <c r="CD683">
        <v>3.25</v>
      </c>
      <c r="CE683">
        <v>3.8</v>
      </c>
      <c r="CF683">
        <v>0.06</v>
      </c>
      <c r="CG683">
        <v>3.85</v>
      </c>
      <c r="CH683">
        <v>3.02</v>
      </c>
      <c r="CI683">
        <v>3</v>
      </c>
      <c r="CJ683">
        <v>-0.37</v>
      </c>
      <c r="CK683">
        <v>0.79</v>
      </c>
      <c r="CL683">
        <v>18.239999999999998</v>
      </c>
      <c r="CM683">
        <v>1.82</v>
      </c>
      <c r="CN683">
        <v>-0.47</v>
      </c>
      <c r="CO683">
        <v>50774</v>
      </c>
      <c r="CP683">
        <v>9967</v>
      </c>
      <c r="CQ683" t="s">
        <v>3218</v>
      </c>
      <c r="CR683">
        <v>43.09</v>
      </c>
      <c r="CS683">
        <v>21.04</v>
      </c>
      <c r="CT683">
        <v>2.0499999999999998</v>
      </c>
      <c r="CU683">
        <v>32.520000000000003</v>
      </c>
      <c r="CV683">
        <v>8.64</v>
      </c>
      <c r="CW683">
        <v>2.29</v>
      </c>
      <c r="CX683" t="s">
        <v>3527</v>
      </c>
      <c r="CY683">
        <v>3.8</v>
      </c>
      <c r="CZ683">
        <v>0</v>
      </c>
      <c r="DA683">
        <v>1.24</v>
      </c>
      <c r="DB683">
        <v>2.4</v>
      </c>
      <c r="DC683">
        <v>0.24</v>
      </c>
      <c r="DD683">
        <v>69.02</v>
      </c>
      <c r="DE683" t="s">
        <v>4167</v>
      </c>
      <c r="DF683">
        <v>52.44</v>
      </c>
      <c r="DG683">
        <v>55.6</v>
      </c>
      <c r="DH683">
        <v>43.88</v>
      </c>
      <c r="DI683">
        <v>0.22</v>
      </c>
      <c r="DJ683">
        <v>1611</v>
      </c>
      <c r="DK683">
        <v>2270</v>
      </c>
      <c r="DL683" t="s">
        <v>120</v>
      </c>
      <c r="DM683" t="s">
        <v>120</v>
      </c>
      <c r="DN683" t="s">
        <v>120</v>
      </c>
    </row>
    <row r="684" spans="1:118">
      <c r="A684" t="str">
        <f>"002271"</f>
        <v>002271</v>
      </c>
      <c r="B684" t="s">
        <v>4168</v>
      </c>
      <c r="C684">
        <v>-8.58</v>
      </c>
      <c r="D684">
        <v>-0.61</v>
      </c>
      <c r="E684">
        <v>-1.61</v>
      </c>
      <c r="F684">
        <v>15726</v>
      </c>
      <c r="G684" t="s">
        <v>4169</v>
      </c>
      <c r="H684">
        <v>302819.12</v>
      </c>
      <c r="I684">
        <v>889.56</v>
      </c>
      <c r="J684" t="s">
        <v>120</v>
      </c>
      <c r="K684" t="s">
        <v>4170</v>
      </c>
      <c r="L684">
        <v>4.0999999999999996</v>
      </c>
      <c r="M684">
        <v>41.35</v>
      </c>
      <c r="N684">
        <v>2.25</v>
      </c>
      <c r="O684">
        <v>-1.61</v>
      </c>
      <c r="P684">
        <v>44.5</v>
      </c>
      <c r="Q684">
        <v>-8.58</v>
      </c>
      <c r="R684">
        <v>41.35</v>
      </c>
      <c r="S684">
        <v>44.5</v>
      </c>
      <c r="T684">
        <v>713876</v>
      </c>
      <c r="U684">
        <v>41.36</v>
      </c>
      <c r="V684">
        <v>45.23</v>
      </c>
      <c r="W684">
        <v>33.94</v>
      </c>
      <c r="X684" t="s">
        <v>247</v>
      </c>
      <c r="Y684" t="s">
        <v>158</v>
      </c>
      <c r="Z684">
        <v>6.96</v>
      </c>
      <c r="AA684">
        <v>42.42</v>
      </c>
      <c r="AB684">
        <v>337998</v>
      </c>
      <c r="AC684">
        <v>375878</v>
      </c>
      <c r="AD684">
        <v>0.9</v>
      </c>
      <c r="AE684">
        <v>115</v>
      </c>
      <c r="AF684">
        <v>20</v>
      </c>
      <c r="AG684" t="s">
        <v>120</v>
      </c>
      <c r="AH684">
        <v>0.01</v>
      </c>
      <c r="AI684" t="s">
        <v>120</v>
      </c>
      <c r="AJ684">
        <v>17.41</v>
      </c>
      <c r="AK684" t="s">
        <v>4171</v>
      </c>
      <c r="AL684">
        <v>-6.66</v>
      </c>
      <c r="AM684">
        <v>4740</v>
      </c>
      <c r="AN684">
        <v>151</v>
      </c>
      <c r="AO684">
        <v>8.9999999999999998E-4</v>
      </c>
      <c r="AP684">
        <v>-3</v>
      </c>
      <c r="AQ684">
        <v>-6.04</v>
      </c>
      <c r="AR684">
        <v>-15.98</v>
      </c>
      <c r="AS684">
        <v>-21.08</v>
      </c>
      <c r="AT684">
        <v>-27.96</v>
      </c>
      <c r="AU684">
        <v>7.4</v>
      </c>
      <c r="AV684">
        <v>4</v>
      </c>
      <c r="AW684">
        <v>4.4400000000000004</v>
      </c>
      <c r="AX684">
        <v>63.73</v>
      </c>
      <c r="AY684">
        <v>29.81</v>
      </c>
      <c r="AZ684">
        <v>33.68</v>
      </c>
      <c r="BA684">
        <v>1.01</v>
      </c>
      <c r="BB684" t="s">
        <v>1723</v>
      </c>
      <c r="BF684">
        <v>-6.21</v>
      </c>
      <c r="BG684">
        <v>-7.08</v>
      </c>
      <c r="BH684">
        <v>-7.08</v>
      </c>
      <c r="BI684">
        <v>0</v>
      </c>
      <c r="BJ684">
        <v>20210902</v>
      </c>
      <c r="BK684">
        <v>20080910</v>
      </c>
      <c r="BL684">
        <v>25.24</v>
      </c>
      <c r="BM684" t="s">
        <v>120</v>
      </c>
      <c r="BN684" t="s">
        <v>120</v>
      </c>
      <c r="BO684">
        <v>359.32</v>
      </c>
      <c r="BP684">
        <v>41.35</v>
      </c>
      <c r="BQ684">
        <v>234.39</v>
      </c>
      <c r="BR684">
        <v>2.38</v>
      </c>
      <c r="BS684">
        <v>34.11</v>
      </c>
      <c r="BT684">
        <v>259.39</v>
      </c>
      <c r="BU684">
        <v>48.25</v>
      </c>
      <c r="BV684">
        <v>17.14</v>
      </c>
      <c r="BW684">
        <v>107</v>
      </c>
      <c r="BX684">
        <v>48.19</v>
      </c>
      <c r="BY684">
        <v>19.5</v>
      </c>
      <c r="BZ684">
        <v>98.22</v>
      </c>
      <c r="CA684" t="s">
        <v>120</v>
      </c>
      <c r="CB684">
        <v>106.48</v>
      </c>
      <c r="CC684">
        <v>142.29</v>
      </c>
      <c r="CD684">
        <v>97.31</v>
      </c>
      <c r="CE684">
        <v>18.75</v>
      </c>
      <c r="CF684">
        <v>0.21</v>
      </c>
      <c r="CG684">
        <v>18.78</v>
      </c>
      <c r="CH684">
        <v>15.29</v>
      </c>
      <c r="CI684">
        <v>15.37</v>
      </c>
      <c r="CJ684">
        <v>-3.88</v>
      </c>
      <c r="CK684">
        <v>14.47</v>
      </c>
      <c r="CL684">
        <v>102.53</v>
      </c>
      <c r="CM684">
        <v>-34.909999999999997</v>
      </c>
      <c r="CN684">
        <v>-10.15</v>
      </c>
      <c r="CO684">
        <v>124165</v>
      </c>
      <c r="CP684">
        <v>12953</v>
      </c>
      <c r="CQ684" t="s">
        <v>4172</v>
      </c>
      <c r="CR684">
        <v>40.14</v>
      </c>
      <c r="CS684">
        <v>62.01</v>
      </c>
      <c r="CT684">
        <v>4.45</v>
      </c>
      <c r="CU684">
        <v>-29.89</v>
      </c>
      <c r="CV684">
        <v>7.33</v>
      </c>
      <c r="CW684">
        <v>0.66</v>
      </c>
      <c r="CX684" t="s">
        <v>2039</v>
      </c>
      <c r="CY684">
        <v>9.2899999999999991</v>
      </c>
      <c r="CZ684">
        <v>0</v>
      </c>
      <c r="DA684">
        <v>4.22</v>
      </c>
      <c r="DB684">
        <v>4.0599999999999996</v>
      </c>
      <c r="DC684">
        <v>-1.38</v>
      </c>
      <c r="DD684">
        <v>65.23</v>
      </c>
      <c r="DE684" t="s">
        <v>3004</v>
      </c>
      <c r="DF684">
        <v>31.61</v>
      </c>
      <c r="DG684">
        <v>13.18</v>
      </c>
      <c r="DH684">
        <v>10.8</v>
      </c>
      <c r="DI684">
        <v>2.02</v>
      </c>
      <c r="DJ684">
        <v>9919</v>
      </c>
      <c r="DK684">
        <v>2271</v>
      </c>
      <c r="DL684" t="s">
        <v>120</v>
      </c>
      <c r="DM684" t="s">
        <v>120</v>
      </c>
      <c r="DN684" t="s">
        <v>120</v>
      </c>
    </row>
    <row r="685" spans="1:118">
      <c r="A685" t="str">
        <f>"002272"</f>
        <v>002272</v>
      </c>
      <c r="B685" t="s">
        <v>4173</v>
      </c>
      <c r="C685">
        <v>4.49</v>
      </c>
      <c r="D685">
        <v>0</v>
      </c>
      <c r="E685">
        <v>0</v>
      </c>
      <c r="F685">
        <v>3899</v>
      </c>
      <c r="G685" t="s">
        <v>1859</v>
      </c>
      <c r="H685">
        <v>39921.089999999997</v>
      </c>
      <c r="I685">
        <v>128.80000000000001</v>
      </c>
      <c r="J685" t="s">
        <v>120</v>
      </c>
      <c r="K685" t="s">
        <v>4174</v>
      </c>
      <c r="L685">
        <v>16.010000000000002</v>
      </c>
      <c r="M685">
        <v>7.44</v>
      </c>
      <c r="N685">
        <v>1.69</v>
      </c>
      <c r="O685">
        <v>9.9700000000000006</v>
      </c>
      <c r="P685">
        <v>7.83</v>
      </c>
      <c r="Q685">
        <v>0</v>
      </c>
      <c r="R685">
        <v>7.12</v>
      </c>
      <c r="S685">
        <v>7.12</v>
      </c>
      <c r="T685">
        <v>528219</v>
      </c>
      <c r="U685">
        <v>7.45</v>
      </c>
      <c r="V685">
        <v>7.12</v>
      </c>
      <c r="W685">
        <v>39.04</v>
      </c>
      <c r="X685" t="s">
        <v>959</v>
      </c>
      <c r="Y685" t="s">
        <v>578</v>
      </c>
      <c r="Z685">
        <v>9.9700000000000006</v>
      </c>
      <c r="AA685">
        <v>7.56</v>
      </c>
      <c r="AB685">
        <v>224915</v>
      </c>
      <c r="AC685">
        <v>303304</v>
      </c>
      <c r="AD685">
        <v>0.74</v>
      </c>
      <c r="AE685">
        <v>524</v>
      </c>
      <c r="AF685">
        <v>499</v>
      </c>
      <c r="AG685" t="s">
        <v>120</v>
      </c>
      <c r="AH685">
        <v>0.06</v>
      </c>
      <c r="AI685" t="s">
        <v>120</v>
      </c>
      <c r="AJ685">
        <v>3.3</v>
      </c>
      <c r="AK685" t="s">
        <v>4175</v>
      </c>
      <c r="AL685">
        <v>6.41</v>
      </c>
      <c r="AM685">
        <v>3877</v>
      </c>
      <c r="AN685">
        <v>136</v>
      </c>
      <c r="AO685">
        <v>4.1000000000000003E-3</v>
      </c>
      <c r="AP685">
        <v>2</v>
      </c>
      <c r="AQ685">
        <v>4.25</v>
      </c>
      <c r="AR685">
        <v>3.48</v>
      </c>
      <c r="AS685">
        <v>25.04</v>
      </c>
      <c r="AT685">
        <v>39.58</v>
      </c>
      <c r="AU685">
        <v>21.37</v>
      </c>
      <c r="AV685">
        <v>10</v>
      </c>
      <c r="AW685">
        <v>18.579999999999998</v>
      </c>
      <c r="AX685">
        <v>65.150000000000006</v>
      </c>
      <c r="AY685">
        <v>36.46</v>
      </c>
      <c r="AZ685">
        <v>47.79</v>
      </c>
      <c r="BA685">
        <v>0.89</v>
      </c>
      <c r="BB685" t="s">
        <v>143</v>
      </c>
      <c r="BF685">
        <v>6.15</v>
      </c>
      <c r="BG685">
        <v>4.49</v>
      </c>
      <c r="BH685">
        <v>-4.9800000000000004</v>
      </c>
      <c r="BI685">
        <v>4.49</v>
      </c>
      <c r="BJ685">
        <v>20210913</v>
      </c>
      <c r="BK685">
        <v>20080919</v>
      </c>
      <c r="BL685">
        <v>4.3600000000000003</v>
      </c>
      <c r="BM685" t="s">
        <v>120</v>
      </c>
      <c r="BN685" t="s">
        <v>120</v>
      </c>
      <c r="BO685">
        <v>31.65</v>
      </c>
      <c r="BP685">
        <v>7.44</v>
      </c>
      <c r="BQ685">
        <v>14.41</v>
      </c>
      <c r="BR685">
        <v>0.3</v>
      </c>
      <c r="BS685">
        <v>53.53</v>
      </c>
      <c r="BT685">
        <v>24.01</v>
      </c>
      <c r="BU685">
        <v>3.77</v>
      </c>
      <c r="BV685">
        <v>0.53</v>
      </c>
      <c r="BW685">
        <v>15.19</v>
      </c>
      <c r="BX685">
        <v>2.94</v>
      </c>
      <c r="BY685">
        <v>8.4499999999999993</v>
      </c>
      <c r="BZ685">
        <v>8.02</v>
      </c>
      <c r="CA685" t="s">
        <v>120</v>
      </c>
      <c r="CB685">
        <v>6.87</v>
      </c>
      <c r="CC685">
        <v>8.19</v>
      </c>
      <c r="CD685">
        <v>6.07</v>
      </c>
      <c r="CE685">
        <v>0.52</v>
      </c>
      <c r="CF685">
        <v>0</v>
      </c>
      <c r="CG685">
        <v>0.53</v>
      </c>
      <c r="CH685">
        <v>0.48</v>
      </c>
      <c r="CI685">
        <v>0.42</v>
      </c>
      <c r="CJ685">
        <v>0.32</v>
      </c>
      <c r="CK685">
        <v>0.34</v>
      </c>
      <c r="CL685">
        <v>2.88</v>
      </c>
      <c r="CM685">
        <v>-1.87</v>
      </c>
      <c r="CN685">
        <v>0.54</v>
      </c>
      <c r="CO685">
        <v>37992</v>
      </c>
      <c r="CP685">
        <v>7485</v>
      </c>
      <c r="CQ685" t="s">
        <v>4176</v>
      </c>
      <c r="CR685">
        <v>94.44</v>
      </c>
      <c r="CS685">
        <v>63.05</v>
      </c>
      <c r="CT685">
        <v>2.25</v>
      </c>
      <c r="CU685">
        <v>-17.37</v>
      </c>
      <c r="CV685">
        <v>3.96</v>
      </c>
      <c r="CW685">
        <v>0</v>
      </c>
      <c r="CX685" t="s">
        <v>411</v>
      </c>
      <c r="CY685">
        <v>3.3</v>
      </c>
      <c r="CZ685">
        <v>0</v>
      </c>
      <c r="DA685">
        <v>1.57</v>
      </c>
      <c r="DB685">
        <v>0.66</v>
      </c>
      <c r="DC685">
        <v>-0.43</v>
      </c>
      <c r="DD685">
        <v>45.51</v>
      </c>
      <c r="DE685" t="s">
        <v>671</v>
      </c>
      <c r="DF685">
        <v>25.89</v>
      </c>
      <c r="DG685">
        <v>6.33</v>
      </c>
      <c r="DH685">
        <v>5.08</v>
      </c>
      <c r="DI685">
        <v>0.3</v>
      </c>
      <c r="DJ685">
        <v>1423</v>
      </c>
      <c r="DK685">
        <v>2272</v>
      </c>
      <c r="DL685" t="s">
        <v>120</v>
      </c>
      <c r="DM685" t="s">
        <v>120</v>
      </c>
      <c r="DN685" t="s">
        <v>120</v>
      </c>
    </row>
    <row r="686" spans="1:118">
      <c r="A686" t="str">
        <f>"002273"</f>
        <v>002273</v>
      </c>
      <c r="B686" t="s">
        <v>4177</v>
      </c>
      <c r="C686">
        <v>-1.43</v>
      </c>
      <c r="D686">
        <v>-0.21</v>
      </c>
      <c r="E686">
        <v>-1</v>
      </c>
      <c r="F686">
        <v>5597</v>
      </c>
      <c r="G686" t="s">
        <v>4178</v>
      </c>
      <c r="H686">
        <v>40418.19</v>
      </c>
      <c r="I686">
        <v>789.08</v>
      </c>
      <c r="J686" t="s">
        <v>120</v>
      </c>
      <c r="K686" t="s">
        <v>4179</v>
      </c>
      <c r="L686">
        <v>2.4700000000000002</v>
      </c>
      <c r="M686">
        <v>13.74</v>
      </c>
      <c r="N686">
        <v>0.65</v>
      </c>
      <c r="O686">
        <v>1.22</v>
      </c>
      <c r="P686">
        <v>14.11</v>
      </c>
      <c r="Q686">
        <v>-1.87</v>
      </c>
      <c r="R686">
        <v>13.68</v>
      </c>
      <c r="S686">
        <v>13.8</v>
      </c>
      <c r="T686">
        <v>291861</v>
      </c>
      <c r="U686">
        <v>13.75</v>
      </c>
      <c r="V686">
        <v>13.94</v>
      </c>
      <c r="W686">
        <v>54.58</v>
      </c>
      <c r="X686" t="s">
        <v>229</v>
      </c>
      <c r="Y686" t="s">
        <v>585</v>
      </c>
      <c r="Z686">
        <v>3.08</v>
      </c>
      <c r="AA686">
        <v>13.85</v>
      </c>
      <c r="AB686">
        <v>158848</v>
      </c>
      <c r="AC686">
        <v>133013</v>
      </c>
      <c r="AD686">
        <v>1.19</v>
      </c>
      <c r="AE686">
        <v>289</v>
      </c>
      <c r="AF686">
        <v>69</v>
      </c>
      <c r="AG686" t="s">
        <v>120</v>
      </c>
      <c r="AH686">
        <v>0.06</v>
      </c>
      <c r="AI686" t="s">
        <v>120</v>
      </c>
      <c r="AJ686">
        <v>11.8</v>
      </c>
      <c r="AK686" t="s">
        <v>4180</v>
      </c>
      <c r="AL686">
        <v>0.48</v>
      </c>
      <c r="AM686">
        <v>4006</v>
      </c>
      <c r="AN686">
        <v>73</v>
      </c>
      <c r="AO686">
        <v>5.9999999999999995E-4</v>
      </c>
      <c r="AP686">
        <v>-3</v>
      </c>
      <c r="AQ686">
        <v>-3.26</v>
      </c>
      <c r="AR686">
        <v>-6.53</v>
      </c>
      <c r="AS686">
        <v>1.78</v>
      </c>
      <c r="AT686">
        <v>-1.22</v>
      </c>
      <c r="AU686">
        <v>20.63</v>
      </c>
      <c r="AV686">
        <v>3</v>
      </c>
      <c r="AW686">
        <v>3</v>
      </c>
      <c r="AX686">
        <v>69.98</v>
      </c>
      <c r="AY686">
        <v>44.2</v>
      </c>
      <c r="AZ686">
        <v>43.72</v>
      </c>
      <c r="BA686">
        <v>0.42</v>
      </c>
      <c r="BB686" t="s">
        <v>143</v>
      </c>
      <c r="BF686">
        <v>-0.66</v>
      </c>
      <c r="BG686">
        <v>-0.43</v>
      </c>
      <c r="BH686">
        <v>-2.62</v>
      </c>
      <c r="BI686">
        <v>0.44</v>
      </c>
      <c r="BJ686">
        <v>20210831</v>
      </c>
      <c r="BK686">
        <v>20080919</v>
      </c>
      <c r="BL686">
        <v>13.91</v>
      </c>
      <c r="BM686" t="s">
        <v>120</v>
      </c>
      <c r="BN686" t="s">
        <v>120</v>
      </c>
      <c r="BO686">
        <v>70.47</v>
      </c>
      <c r="BP686">
        <v>13.74</v>
      </c>
      <c r="BQ686">
        <v>55.64</v>
      </c>
      <c r="BR686">
        <v>3.24</v>
      </c>
      <c r="BS686">
        <v>16.45</v>
      </c>
      <c r="BT686">
        <v>25.5</v>
      </c>
      <c r="BU686">
        <v>26.19</v>
      </c>
      <c r="BV686">
        <v>2.67</v>
      </c>
      <c r="BW686">
        <v>9.91</v>
      </c>
      <c r="BX686">
        <v>9.75</v>
      </c>
      <c r="BY686">
        <v>4.75</v>
      </c>
      <c r="BZ686">
        <v>8.09</v>
      </c>
      <c r="CA686" t="s">
        <v>120</v>
      </c>
      <c r="CB686">
        <v>22.31</v>
      </c>
      <c r="CC686">
        <v>17.2</v>
      </c>
      <c r="CD686">
        <v>13.6</v>
      </c>
      <c r="CE686">
        <v>1.99</v>
      </c>
      <c r="CF686">
        <v>0.39</v>
      </c>
      <c r="CG686">
        <v>1.99</v>
      </c>
      <c r="CH686">
        <v>1.82</v>
      </c>
      <c r="CI686">
        <v>1.75</v>
      </c>
      <c r="CJ686">
        <v>-0.2</v>
      </c>
      <c r="CK686">
        <v>1.49</v>
      </c>
      <c r="CL686">
        <v>19.93</v>
      </c>
      <c r="CM686">
        <v>2.25</v>
      </c>
      <c r="CN686">
        <v>-3.24</v>
      </c>
      <c r="CO686">
        <v>133003</v>
      </c>
      <c r="CP686">
        <v>7317</v>
      </c>
      <c r="CQ686" t="s">
        <v>4181</v>
      </c>
      <c r="CR686">
        <v>-2.65</v>
      </c>
      <c r="CS686">
        <v>25.92</v>
      </c>
      <c r="CT686">
        <v>3.01</v>
      </c>
      <c r="CU686">
        <v>84.95</v>
      </c>
      <c r="CV686">
        <v>11.11</v>
      </c>
      <c r="CW686">
        <v>1.25</v>
      </c>
      <c r="CX686" t="s">
        <v>300</v>
      </c>
      <c r="CY686">
        <v>4.57</v>
      </c>
      <c r="CZ686">
        <v>4.57</v>
      </c>
      <c r="DA686">
        <v>1.6</v>
      </c>
      <c r="DB686">
        <v>1.43</v>
      </c>
      <c r="DC686">
        <v>0.16</v>
      </c>
      <c r="DD686">
        <v>78.95</v>
      </c>
      <c r="DE686" t="s">
        <v>589</v>
      </c>
      <c r="DF686">
        <v>20.95</v>
      </c>
      <c r="DG686">
        <v>11.55</v>
      </c>
      <c r="DH686">
        <v>10.17</v>
      </c>
      <c r="DI686">
        <v>0.98</v>
      </c>
      <c r="DJ686">
        <v>6062</v>
      </c>
      <c r="DK686">
        <v>2273</v>
      </c>
      <c r="DL686" t="s">
        <v>120</v>
      </c>
      <c r="DM686" t="s">
        <v>120</v>
      </c>
      <c r="DN686" t="s">
        <v>120</v>
      </c>
    </row>
    <row r="687" spans="1:118">
      <c r="A687" t="str">
        <f>"002274"</f>
        <v>002274</v>
      </c>
      <c r="B687" t="s">
        <v>4182</v>
      </c>
      <c r="C687">
        <v>-0.47</v>
      </c>
      <c r="D687">
        <v>-0.13</v>
      </c>
      <c r="E687">
        <v>3.18</v>
      </c>
      <c r="F687">
        <v>4620</v>
      </c>
      <c r="G687" t="s">
        <v>4183</v>
      </c>
      <c r="H687">
        <v>110217.53</v>
      </c>
      <c r="I687">
        <v>744.72</v>
      </c>
      <c r="J687" t="s">
        <v>120</v>
      </c>
      <c r="K687" t="s">
        <v>4184</v>
      </c>
      <c r="L687">
        <v>7.74</v>
      </c>
      <c r="M687">
        <v>14.73</v>
      </c>
      <c r="N687">
        <v>1.07</v>
      </c>
      <c r="O687">
        <v>6.76</v>
      </c>
      <c r="P687">
        <v>15.8</v>
      </c>
      <c r="Q687">
        <v>-0.74</v>
      </c>
      <c r="R687">
        <v>14.69</v>
      </c>
      <c r="S687">
        <v>15.27</v>
      </c>
      <c r="T687">
        <v>726048</v>
      </c>
      <c r="U687">
        <v>14.74</v>
      </c>
      <c r="V687">
        <v>14.8</v>
      </c>
      <c r="W687">
        <v>8.01</v>
      </c>
      <c r="X687" t="s">
        <v>690</v>
      </c>
      <c r="Y687" t="s">
        <v>319</v>
      </c>
      <c r="Z687">
        <v>7.5</v>
      </c>
      <c r="AA687">
        <v>15.18</v>
      </c>
      <c r="AB687">
        <v>350197</v>
      </c>
      <c r="AC687">
        <v>375851</v>
      </c>
      <c r="AD687">
        <v>0.93</v>
      </c>
      <c r="AE687">
        <v>1062</v>
      </c>
      <c r="AF687">
        <v>64</v>
      </c>
      <c r="AG687" t="s">
        <v>120</v>
      </c>
      <c r="AH687">
        <v>0.09</v>
      </c>
      <c r="AI687" t="s">
        <v>120</v>
      </c>
      <c r="AJ687">
        <v>9.3800000000000008</v>
      </c>
      <c r="AK687" t="s">
        <v>4185</v>
      </c>
      <c r="AL687">
        <v>1.44</v>
      </c>
      <c r="AM687">
        <v>4549</v>
      </c>
      <c r="AN687">
        <v>160</v>
      </c>
      <c r="AO687">
        <v>1.6999999999999999E-3</v>
      </c>
      <c r="AP687">
        <v>-1</v>
      </c>
      <c r="AQ687">
        <v>3.79</v>
      </c>
      <c r="AR687">
        <v>-2.44</v>
      </c>
      <c r="AS687">
        <v>15.44</v>
      </c>
      <c r="AT687">
        <v>59.59</v>
      </c>
      <c r="AU687">
        <v>216.1</v>
      </c>
      <c r="AV687">
        <v>7</v>
      </c>
      <c r="AW687">
        <v>12.9</v>
      </c>
      <c r="AX687">
        <v>59.08</v>
      </c>
      <c r="AY687">
        <v>13.49</v>
      </c>
      <c r="AZ687">
        <v>77.180000000000007</v>
      </c>
      <c r="BA687">
        <v>0.95</v>
      </c>
      <c r="BB687" t="s">
        <v>184</v>
      </c>
      <c r="BF687">
        <v>2.57</v>
      </c>
      <c r="BG687">
        <v>-3.54</v>
      </c>
      <c r="BH687">
        <v>-6.77</v>
      </c>
      <c r="BI687">
        <v>0.27</v>
      </c>
      <c r="BJ687">
        <v>20210904</v>
      </c>
      <c r="BK687">
        <v>20080925</v>
      </c>
      <c r="BL687">
        <v>9.52</v>
      </c>
      <c r="BM687" t="s">
        <v>120</v>
      </c>
      <c r="BN687" t="s">
        <v>120</v>
      </c>
      <c r="BO687">
        <v>79.09</v>
      </c>
      <c r="BP687">
        <v>14.73</v>
      </c>
      <c r="BQ687">
        <v>35.54</v>
      </c>
      <c r="BR687">
        <v>0.57999999999999996</v>
      </c>
      <c r="BS687">
        <v>54.33</v>
      </c>
      <c r="BT687">
        <v>29.3</v>
      </c>
      <c r="BU687">
        <v>36.17</v>
      </c>
      <c r="BV687">
        <v>1.79</v>
      </c>
      <c r="BW687">
        <v>40.94</v>
      </c>
      <c r="BX687">
        <v>5.69</v>
      </c>
      <c r="BY687">
        <v>5.23</v>
      </c>
      <c r="BZ687">
        <v>1.51</v>
      </c>
      <c r="CA687" t="s">
        <v>120</v>
      </c>
      <c r="CB687">
        <v>12.39</v>
      </c>
      <c r="CC687">
        <v>47.98</v>
      </c>
      <c r="CD687">
        <v>34.22</v>
      </c>
      <c r="CE687">
        <v>11.63</v>
      </c>
      <c r="CF687">
        <v>0.31</v>
      </c>
      <c r="CG687">
        <v>11.49</v>
      </c>
      <c r="CH687">
        <v>8.6999999999999993</v>
      </c>
      <c r="CI687">
        <v>8.76</v>
      </c>
      <c r="CJ687">
        <v>-7.0000000000000007E-2</v>
      </c>
      <c r="CK687">
        <v>8.56</v>
      </c>
      <c r="CL687">
        <v>12.98</v>
      </c>
      <c r="CM687">
        <v>11.4</v>
      </c>
      <c r="CN687">
        <v>4.38</v>
      </c>
      <c r="CO687">
        <v>68396</v>
      </c>
      <c r="CP687">
        <v>8226</v>
      </c>
      <c r="CQ687" t="s">
        <v>4186</v>
      </c>
      <c r="CR687">
        <v>6266.48</v>
      </c>
      <c r="CS687">
        <v>74.180000000000007</v>
      </c>
      <c r="CT687">
        <v>3.95</v>
      </c>
      <c r="CU687">
        <v>12.31</v>
      </c>
      <c r="CV687">
        <v>2.92</v>
      </c>
      <c r="CW687">
        <v>0.67</v>
      </c>
      <c r="CX687" t="s">
        <v>4187</v>
      </c>
      <c r="CY687">
        <v>3.73</v>
      </c>
      <c r="CZ687">
        <v>0</v>
      </c>
      <c r="DA687">
        <v>1.3</v>
      </c>
      <c r="DB687">
        <v>1.36</v>
      </c>
      <c r="DC687">
        <v>1.2</v>
      </c>
      <c r="DD687">
        <v>44.94</v>
      </c>
      <c r="DE687" t="s">
        <v>4188</v>
      </c>
      <c r="DF687">
        <v>28.69</v>
      </c>
      <c r="DG687">
        <v>24.24</v>
      </c>
      <c r="DH687">
        <v>18.260000000000002</v>
      </c>
      <c r="DI687">
        <v>0.18</v>
      </c>
      <c r="DJ687">
        <v>3283</v>
      </c>
      <c r="DK687">
        <v>2274</v>
      </c>
      <c r="DL687">
        <v>20210219</v>
      </c>
      <c r="DM687">
        <v>5.8</v>
      </c>
      <c r="DN687">
        <v>155.69</v>
      </c>
    </row>
    <row r="688" spans="1:118">
      <c r="A688" t="str">
        <f>"002275"</f>
        <v>002275</v>
      </c>
      <c r="B688" t="s">
        <v>4189</v>
      </c>
      <c r="C688">
        <v>0.67</v>
      </c>
      <c r="D688">
        <v>-0.28999999999999998</v>
      </c>
      <c r="E688">
        <v>0</v>
      </c>
      <c r="F688">
        <v>522</v>
      </c>
      <c r="G688" t="s">
        <v>4190</v>
      </c>
      <c r="H688">
        <v>4319.72</v>
      </c>
      <c r="I688">
        <v>8.83</v>
      </c>
      <c r="J688" t="s">
        <v>120</v>
      </c>
      <c r="K688" t="s">
        <v>1323</v>
      </c>
      <c r="L688">
        <v>0.59</v>
      </c>
      <c r="M688">
        <v>13.47</v>
      </c>
      <c r="N688">
        <v>2.25</v>
      </c>
      <c r="O688">
        <v>2.77</v>
      </c>
      <c r="P688">
        <v>13.75</v>
      </c>
      <c r="Q688">
        <v>-0.75</v>
      </c>
      <c r="R688">
        <v>13.28</v>
      </c>
      <c r="S688">
        <v>13.38</v>
      </c>
      <c r="T688">
        <v>31836</v>
      </c>
      <c r="U688">
        <v>13.5</v>
      </c>
      <c r="V688">
        <v>13.38</v>
      </c>
      <c r="W688">
        <v>16.079999999999998</v>
      </c>
      <c r="X688" t="s">
        <v>771</v>
      </c>
      <c r="Y688" t="s">
        <v>945</v>
      </c>
      <c r="Z688">
        <v>3.51</v>
      </c>
      <c r="AA688">
        <v>13.57</v>
      </c>
      <c r="AB688">
        <v>16695</v>
      </c>
      <c r="AC688">
        <v>15141</v>
      </c>
      <c r="AD688">
        <v>1.1000000000000001</v>
      </c>
      <c r="AE688">
        <v>114</v>
      </c>
      <c r="AF688">
        <v>5</v>
      </c>
      <c r="AG688" t="s">
        <v>120</v>
      </c>
      <c r="AH688">
        <v>0</v>
      </c>
      <c r="AI688" t="s">
        <v>120</v>
      </c>
      <c r="AJ688">
        <v>5.39</v>
      </c>
      <c r="AK688" t="s">
        <v>4191</v>
      </c>
      <c r="AL688">
        <v>2.59</v>
      </c>
      <c r="AM688">
        <v>1336</v>
      </c>
      <c r="AN688">
        <v>24</v>
      </c>
      <c r="AO688">
        <v>4.0000000000000002E-4</v>
      </c>
      <c r="AP688">
        <v>2</v>
      </c>
      <c r="AQ688">
        <v>1.1299999999999999</v>
      </c>
      <c r="AR688">
        <v>0.28999999999999998</v>
      </c>
      <c r="AS688">
        <v>4.91</v>
      </c>
      <c r="AT688">
        <v>3.22</v>
      </c>
      <c r="AU688">
        <v>-7.17</v>
      </c>
      <c r="AV688">
        <v>0</v>
      </c>
      <c r="AW688">
        <v>2</v>
      </c>
      <c r="AX688">
        <v>26.94</v>
      </c>
      <c r="AY688">
        <v>27.91</v>
      </c>
      <c r="AZ688">
        <v>28.51</v>
      </c>
      <c r="BA688">
        <v>0.21</v>
      </c>
      <c r="BB688" t="s">
        <v>184</v>
      </c>
      <c r="BF688">
        <v>1.41</v>
      </c>
      <c r="BG688">
        <v>0.67</v>
      </c>
      <c r="BH688">
        <v>-2.04</v>
      </c>
      <c r="BI688">
        <v>1.43</v>
      </c>
      <c r="BJ688">
        <v>20210810</v>
      </c>
      <c r="BK688">
        <v>20090710</v>
      </c>
      <c r="BL688">
        <v>5.9</v>
      </c>
      <c r="BM688" t="s">
        <v>120</v>
      </c>
      <c r="BN688" t="s">
        <v>120</v>
      </c>
      <c r="BO688">
        <v>39.049999999999997</v>
      </c>
      <c r="BP688">
        <v>13.47</v>
      </c>
      <c r="BQ688">
        <v>29.75</v>
      </c>
      <c r="BR688" t="s">
        <v>120</v>
      </c>
      <c r="BS688">
        <v>23.82</v>
      </c>
      <c r="BT688">
        <v>22.72</v>
      </c>
      <c r="BU688">
        <v>9.99</v>
      </c>
      <c r="BV688">
        <v>1.64</v>
      </c>
      <c r="BW688">
        <v>4.78</v>
      </c>
      <c r="BX688">
        <v>16.25</v>
      </c>
      <c r="BY688">
        <v>1.81</v>
      </c>
      <c r="BZ688">
        <v>0.92</v>
      </c>
      <c r="CA688" t="s">
        <v>120</v>
      </c>
      <c r="CB688">
        <v>6.9</v>
      </c>
      <c r="CC688">
        <v>8.8000000000000007</v>
      </c>
      <c r="CD688">
        <v>2.7</v>
      </c>
      <c r="CE688">
        <v>2.93</v>
      </c>
      <c r="CF688">
        <v>-0.05</v>
      </c>
      <c r="CG688">
        <v>2.94</v>
      </c>
      <c r="CH688">
        <v>2.4700000000000002</v>
      </c>
      <c r="CI688">
        <v>2.4700000000000002</v>
      </c>
      <c r="CJ688">
        <v>0.09</v>
      </c>
      <c r="CK688">
        <v>2.15</v>
      </c>
      <c r="CL688">
        <v>15.75</v>
      </c>
      <c r="CM688">
        <v>2</v>
      </c>
      <c r="CN688">
        <v>-0.66</v>
      </c>
      <c r="CO688">
        <v>15865</v>
      </c>
      <c r="CP688">
        <v>10023</v>
      </c>
      <c r="CQ688" t="s">
        <v>4192</v>
      </c>
      <c r="CR688">
        <v>2.46</v>
      </c>
      <c r="CS688">
        <v>16.97</v>
      </c>
      <c r="CT688">
        <v>2.67</v>
      </c>
      <c r="CU688">
        <v>39.74</v>
      </c>
      <c r="CV688">
        <v>9.0399999999999991</v>
      </c>
      <c r="CW688">
        <v>2.91</v>
      </c>
      <c r="CX688" t="s">
        <v>1462</v>
      </c>
      <c r="CY688">
        <v>5.04</v>
      </c>
      <c r="CZ688">
        <v>0</v>
      </c>
      <c r="DA688">
        <v>1.17</v>
      </c>
      <c r="DB688">
        <v>2.67</v>
      </c>
      <c r="DC688">
        <v>0.34</v>
      </c>
      <c r="DD688">
        <v>76.180000000000007</v>
      </c>
      <c r="DE688" t="s">
        <v>4193</v>
      </c>
      <c r="DF688">
        <v>69.34</v>
      </c>
      <c r="DG688">
        <v>33.340000000000003</v>
      </c>
      <c r="DH688">
        <v>28.09</v>
      </c>
      <c r="DI688">
        <v>1.04</v>
      </c>
      <c r="DJ688">
        <v>2561</v>
      </c>
      <c r="DK688">
        <v>2275</v>
      </c>
      <c r="DL688" t="s">
        <v>120</v>
      </c>
      <c r="DM688" t="s">
        <v>120</v>
      </c>
      <c r="DN688" t="s">
        <v>120</v>
      </c>
    </row>
    <row r="689" spans="1:118">
      <c r="A689" t="str">
        <f>"002276"</f>
        <v>002276</v>
      </c>
      <c r="B689" t="s">
        <v>4194</v>
      </c>
      <c r="C689">
        <v>-1.02</v>
      </c>
      <c r="D689">
        <v>0</v>
      </c>
      <c r="E689">
        <v>0.51</v>
      </c>
      <c r="F689">
        <v>4141</v>
      </c>
      <c r="G689" t="s">
        <v>2377</v>
      </c>
      <c r="H689">
        <v>16432.439999999999</v>
      </c>
      <c r="I689">
        <v>74.94</v>
      </c>
      <c r="J689" t="s">
        <v>120</v>
      </c>
      <c r="K689" t="s">
        <v>4195</v>
      </c>
      <c r="L689">
        <v>2.0099999999999998</v>
      </c>
      <c r="M689">
        <v>7.76</v>
      </c>
      <c r="N689">
        <v>0.98</v>
      </c>
      <c r="O689">
        <v>2.68</v>
      </c>
      <c r="P689">
        <v>8.0500000000000007</v>
      </c>
      <c r="Q689">
        <v>-1.28</v>
      </c>
      <c r="R689">
        <v>7.74</v>
      </c>
      <c r="S689">
        <v>7.88</v>
      </c>
      <c r="T689">
        <v>208064</v>
      </c>
      <c r="U689">
        <v>7.77</v>
      </c>
      <c r="V689">
        <v>7.84</v>
      </c>
      <c r="W689">
        <v>65.25</v>
      </c>
      <c r="X689" t="s">
        <v>394</v>
      </c>
      <c r="Y689" t="s">
        <v>585</v>
      </c>
      <c r="Z689">
        <v>3.95</v>
      </c>
      <c r="AA689">
        <v>7.9</v>
      </c>
      <c r="AB689">
        <v>105384</v>
      </c>
      <c r="AC689">
        <v>102680</v>
      </c>
      <c r="AD689">
        <v>1.03</v>
      </c>
      <c r="AE689">
        <v>1042</v>
      </c>
      <c r="AF689">
        <v>317</v>
      </c>
      <c r="AG689" t="s">
        <v>120</v>
      </c>
      <c r="AH689">
        <v>0.01</v>
      </c>
      <c r="AI689" t="s">
        <v>120</v>
      </c>
      <c r="AJ689">
        <v>10.35</v>
      </c>
      <c r="AK689" t="s">
        <v>4196</v>
      </c>
      <c r="AL689">
        <v>0.89</v>
      </c>
      <c r="AM689">
        <v>3158</v>
      </c>
      <c r="AN689">
        <v>66</v>
      </c>
      <c r="AO689">
        <v>5.9999999999999995E-4</v>
      </c>
      <c r="AP689">
        <v>-1</v>
      </c>
      <c r="AQ689">
        <v>1.82</v>
      </c>
      <c r="AR689">
        <v>-2.38</v>
      </c>
      <c r="AS689">
        <v>3.74</v>
      </c>
      <c r="AT689">
        <v>10.7</v>
      </c>
      <c r="AU689">
        <v>-1.71</v>
      </c>
      <c r="AV689">
        <v>2</v>
      </c>
      <c r="AW689">
        <v>3.17</v>
      </c>
      <c r="AX689">
        <v>63.44</v>
      </c>
      <c r="AY689">
        <v>34.74</v>
      </c>
      <c r="AZ689">
        <v>36.4</v>
      </c>
      <c r="BA689">
        <v>0.49</v>
      </c>
      <c r="BB689" t="s">
        <v>240</v>
      </c>
      <c r="BF689">
        <v>0.74</v>
      </c>
      <c r="BG689">
        <v>-1.52</v>
      </c>
      <c r="BH689">
        <v>-3.6</v>
      </c>
      <c r="BI689">
        <v>0.26</v>
      </c>
      <c r="BJ689">
        <v>20210912</v>
      </c>
      <c r="BK689">
        <v>20090710</v>
      </c>
      <c r="BL689">
        <v>10.35</v>
      </c>
      <c r="BM689" t="s">
        <v>120</v>
      </c>
      <c r="BN689" t="s">
        <v>120</v>
      </c>
      <c r="BO689">
        <v>94</v>
      </c>
      <c r="BP689">
        <v>7.76</v>
      </c>
      <c r="BQ689">
        <v>43.45</v>
      </c>
      <c r="BR689">
        <v>0.15</v>
      </c>
      <c r="BS689">
        <v>53.62</v>
      </c>
      <c r="BT689">
        <v>73.739999999999995</v>
      </c>
      <c r="BU689">
        <v>11.57</v>
      </c>
      <c r="BV689">
        <v>2.66</v>
      </c>
      <c r="BW689">
        <v>44.81</v>
      </c>
      <c r="BX689">
        <v>14.84</v>
      </c>
      <c r="BY689">
        <v>10.24</v>
      </c>
      <c r="BZ689">
        <v>36.159999999999997</v>
      </c>
      <c r="CA689" t="s">
        <v>120</v>
      </c>
      <c r="CB689">
        <v>15.58</v>
      </c>
      <c r="CC689">
        <v>56.1</v>
      </c>
      <c r="CD689">
        <v>49.04</v>
      </c>
      <c r="CE689">
        <v>0.66</v>
      </c>
      <c r="CF689">
        <v>-0.05</v>
      </c>
      <c r="CG689">
        <v>0.67</v>
      </c>
      <c r="CH689">
        <v>0.62</v>
      </c>
      <c r="CI689">
        <v>0.62</v>
      </c>
      <c r="CJ689">
        <v>-0.08</v>
      </c>
      <c r="CK689">
        <v>0.48</v>
      </c>
      <c r="CL689">
        <v>15.69</v>
      </c>
      <c r="CM689">
        <v>2.0499999999999998</v>
      </c>
      <c r="CN689">
        <v>-2.56</v>
      </c>
      <c r="CO689">
        <v>88000</v>
      </c>
      <c r="CP689">
        <v>7465</v>
      </c>
      <c r="CQ689" t="s">
        <v>4197</v>
      </c>
      <c r="CR689">
        <v>20.89</v>
      </c>
      <c r="CS689">
        <v>44.83</v>
      </c>
      <c r="CT689">
        <v>1.85</v>
      </c>
      <c r="CU689">
        <v>39.24</v>
      </c>
      <c r="CV689">
        <v>1.43</v>
      </c>
      <c r="CW689">
        <v>0.43</v>
      </c>
      <c r="CX689" t="s">
        <v>1064</v>
      </c>
      <c r="CY689">
        <v>4.2</v>
      </c>
      <c r="CZ689">
        <v>0</v>
      </c>
      <c r="DA689">
        <v>1.5</v>
      </c>
      <c r="DB689">
        <v>1.52</v>
      </c>
      <c r="DC689">
        <v>0.2</v>
      </c>
      <c r="DD689">
        <v>46.23</v>
      </c>
      <c r="DE689" t="s">
        <v>4198</v>
      </c>
      <c r="DF689">
        <v>12.6</v>
      </c>
      <c r="DG689">
        <v>1.18</v>
      </c>
      <c r="DH689">
        <v>1.1000000000000001</v>
      </c>
      <c r="DI689">
        <v>1.83</v>
      </c>
      <c r="DJ689">
        <v>5143</v>
      </c>
      <c r="DK689">
        <v>2276</v>
      </c>
      <c r="DL689" t="s">
        <v>120</v>
      </c>
      <c r="DM689" t="s">
        <v>120</v>
      </c>
      <c r="DN689" t="s">
        <v>120</v>
      </c>
    </row>
    <row r="690" spans="1:118">
      <c r="A690" t="str">
        <f>"002277"</f>
        <v>002277</v>
      </c>
      <c r="B690" t="s">
        <v>4199</v>
      </c>
      <c r="C690">
        <v>-0.28999999999999998</v>
      </c>
      <c r="D690">
        <v>0</v>
      </c>
      <c r="E690">
        <v>0</v>
      </c>
      <c r="F690">
        <v>1408</v>
      </c>
      <c r="G690" t="s">
        <v>4200</v>
      </c>
      <c r="H690">
        <v>4256.51</v>
      </c>
      <c r="I690">
        <v>36.85</v>
      </c>
      <c r="J690" t="s">
        <v>120</v>
      </c>
      <c r="K690" t="s">
        <v>4201</v>
      </c>
      <c r="L690">
        <v>0.88</v>
      </c>
      <c r="M690">
        <v>3.44</v>
      </c>
      <c r="N690">
        <v>0.89</v>
      </c>
      <c r="O690">
        <v>1.74</v>
      </c>
      <c r="P690">
        <v>3.51</v>
      </c>
      <c r="Q690">
        <v>-0.87</v>
      </c>
      <c r="R690">
        <v>3.42</v>
      </c>
      <c r="S690">
        <v>3.45</v>
      </c>
      <c r="T690">
        <v>122785</v>
      </c>
      <c r="U690">
        <v>3.45</v>
      </c>
      <c r="V690">
        <v>3.45</v>
      </c>
      <c r="W690">
        <v>12.32</v>
      </c>
      <c r="X690" t="s">
        <v>735</v>
      </c>
      <c r="Y690" t="s">
        <v>594</v>
      </c>
      <c r="Z690">
        <v>2.61</v>
      </c>
      <c r="AA690">
        <v>3.47</v>
      </c>
      <c r="AB690">
        <v>55635</v>
      </c>
      <c r="AC690">
        <v>67150</v>
      </c>
      <c r="AD690">
        <v>0.83</v>
      </c>
      <c r="AE690">
        <v>370</v>
      </c>
      <c r="AF690">
        <v>2437</v>
      </c>
      <c r="AG690" t="s">
        <v>120</v>
      </c>
      <c r="AH690">
        <v>0.01</v>
      </c>
      <c r="AI690" t="s">
        <v>120</v>
      </c>
      <c r="AJ690">
        <v>13.94</v>
      </c>
      <c r="AK690" t="s">
        <v>4201</v>
      </c>
      <c r="AL690">
        <v>1.62</v>
      </c>
      <c r="AM690">
        <v>1706</v>
      </c>
      <c r="AN690">
        <v>72</v>
      </c>
      <c r="AO690">
        <v>5.0000000000000001E-4</v>
      </c>
      <c r="AP690">
        <v>-1</v>
      </c>
      <c r="AQ690">
        <v>0.88</v>
      </c>
      <c r="AR690">
        <v>-1.99</v>
      </c>
      <c r="AS690">
        <v>7.5</v>
      </c>
      <c r="AT690">
        <v>-1.72</v>
      </c>
      <c r="AU690">
        <v>-6.26</v>
      </c>
      <c r="AV690">
        <v>0</v>
      </c>
      <c r="AW690">
        <v>1.35</v>
      </c>
      <c r="AX690">
        <v>65.040000000000006</v>
      </c>
      <c r="AY690">
        <v>19.03</v>
      </c>
      <c r="AZ690">
        <v>34.590000000000003</v>
      </c>
      <c r="BA690">
        <v>0.28999999999999998</v>
      </c>
      <c r="BB690" t="s">
        <v>143</v>
      </c>
      <c r="BF690">
        <v>0.48</v>
      </c>
      <c r="BG690">
        <v>-0.28999999999999998</v>
      </c>
      <c r="BH690">
        <v>-1.99</v>
      </c>
      <c r="BI690">
        <v>0.57999999999999996</v>
      </c>
      <c r="BJ690">
        <v>20210913</v>
      </c>
      <c r="BK690">
        <v>20090717</v>
      </c>
      <c r="BL690">
        <v>13.94</v>
      </c>
      <c r="BM690" t="s">
        <v>120</v>
      </c>
      <c r="BN690" t="s">
        <v>120</v>
      </c>
      <c r="BO690">
        <v>164.67</v>
      </c>
      <c r="BP690">
        <v>3.44</v>
      </c>
      <c r="BQ690">
        <v>69.48</v>
      </c>
      <c r="BR690">
        <v>5.49</v>
      </c>
      <c r="BS690">
        <v>54.47</v>
      </c>
      <c r="BT690">
        <v>46.01</v>
      </c>
      <c r="BU690">
        <v>34.24</v>
      </c>
      <c r="BV690">
        <v>3.13</v>
      </c>
      <c r="BW690">
        <v>49.01</v>
      </c>
      <c r="BX690">
        <v>8.6</v>
      </c>
      <c r="BY690">
        <v>29.82</v>
      </c>
      <c r="BZ690">
        <v>1.69</v>
      </c>
      <c r="CA690">
        <v>0.17</v>
      </c>
      <c r="CB690">
        <v>10.23</v>
      </c>
      <c r="CC690">
        <v>12.94</v>
      </c>
      <c r="CD690">
        <v>6.5</v>
      </c>
      <c r="CE690">
        <v>2.08</v>
      </c>
      <c r="CF690">
        <v>2.17</v>
      </c>
      <c r="CG690">
        <v>2.06</v>
      </c>
      <c r="CH690">
        <v>1.65</v>
      </c>
      <c r="CI690">
        <v>1.95</v>
      </c>
      <c r="CJ690">
        <v>-0.01</v>
      </c>
      <c r="CK690">
        <v>1.93</v>
      </c>
      <c r="CL690">
        <v>39.1</v>
      </c>
      <c r="CM690">
        <v>2.21</v>
      </c>
      <c r="CN690">
        <v>-2.58</v>
      </c>
      <c r="CO690">
        <v>47485</v>
      </c>
      <c r="CP690">
        <v>19095</v>
      </c>
      <c r="CQ690" t="s">
        <v>4202</v>
      </c>
      <c r="CR690">
        <v>140.80000000000001</v>
      </c>
      <c r="CS690">
        <v>-45.9</v>
      </c>
      <c r="CT690">
        <v>0.69</v>
      </c>
      <c r="CU690">
        <v>21.69</v>
      </c>
      <c r="CV690">
        <v>3.71</v>
      </c>
      <c r="CW690">
        <v>0.28999999999999998</v>
      </c>
      <c r="CX690" t="s">
        <v>300</v>
      </c>
      <c r="CY690">
        <v>4.9800000000000004</v>
      </c>
      <c r="CZ690">
        <v>0</v>
      </c>
      <c r="DA690">
        <v>0.73</v>
      </c>
      <c r="DB690">
        <v>2.8</v>
      </c>
      <c r="DC690">
        <v>0.16</v>
      </c>
      <c r="DD690">
        <v>42.19</v>
      </c>
      <c r="DE690" t="s">
        <v>2028</v>
      </c>
      <c r="DF690">
        <v>49.73</v>
      </c>
      <c r="DG690">
        <v>16.079999999999998</v>
      </c>
      <c r="DH690">
        <v>15.04</v>
      </c>
      <c r="DI690">
        <v>0.05</v>
      </c>
      <c r="DJ690">
        <v>3938</v>
      </c>
      <c r="DK690">
        <v>2277</v>
      </c>
      <c r="DL690" t="s">
        <v>120</v>
      </c>
      <c r="DM690" t="s">
        <v>120</v>
      </c>
      <c r="DN690" t="s">
        <v>120</v>
      </c>
    </row>
    <row r="691" spans="1:118">
      <c r="A691" t="str">
        <f>"002278"</f>
        <v>002278</v>
      </c>
      <c r="B691" t="s">
        <v>4203</v>
      </c>
      <c r="C691">
        <v>-1.65</v>
      </c>
      <c r="D691">
        <v>0</v>
      </c>
      <c r="E691">
        <v>1.5</v>
      </c>
      <c r="F691">
        <v>1074</v>
      </c>
      <c r="G691" t="s">
        <v>4204</v>
      </c>
      <c r="H691">
        <v>8253.17</v>
      </c>
      <c r="I691">
        <v>74.849999999999994</v>
      </c>
      <c r="J691" t="s">
        <v>120</v>
      </c>
      <c r="K691" t="s">
        <v>4205</v>
      </c>
      <c r="L691">
        <v>3.65</v>
      </c>
      <c r="M691">
        <v>6.57</v>
      </c>
      <c r="N691">
        <v>0.82</v>
      </c>
      <c r="O691">
        <v>2.84</v>
      </c>
      <c r="P691">
        <v>6.87</v>
      </c>
      <c r="Q691">
        <v>-2.1</v>
      </c>
      <c r="R691">
        <v>6.54</v>
      </c>
      <c r="S691">
        <v>6.78</v>
      </c>
      <c r="T691">
        <v>123007</v>
      </c>
      <c r="U691">
        <v>6.58</v>
      </c>
      <c r="V691">
        <v>6.68</v>
      </c>
      <c r="W691">
        <v>105.94</v>
      </c>
      <c r="X691" t="s">
        <v>2196</v>
      </c>
      <c r="Y691" t="s">
        <v>1510</v>
      </c>
      <c r="Z691">
        <v>4.9400000000000004</v>
      </c>
      <c r="AA691">
        <v>6.71</v>
      </c>
      <c r="AB691">
        <v>70699</v>
      </c>
      <c r="AC691">
        <v>52308</v>
      </c>
      <c r="AD691">
        <v>1.35</v>
      </c>
      <c r="AE691">
        <v>88</v>
      </c>
      <c r="AF691">
        <v>223</v>
      </c>
      <c r="AG691" t="s">
        <v>120</v>
      </c>
      <c r="AH691">
        <v>0.05</v>
      </c>
      <c r="AI691" t="s">
        <v>120</v>
      </c>
      <c r="AJ691">
        <v>3.37</v>
      </c>
      <c r="AK691" t="s">
        <v>4206</v>
      </c>
      <c r="AL691">
        <v>0.27</v>
      </c>
      <c r="AM691">
        <v>2054</v>
      </c>
      <c r="AN691">
        <v>60</v>
      </c>
      <c r="AO691">
        <v>1.8E-3</v>
      </c>
      <c r="AP691">
        <v>-2</v>
      </c>
      <c r="AQ691">
        <v>-0.74</v>
      </c>
      <c r="AR691">
        <v>-2.37</v>
      </c>
      <c r="AS691">
        <v>4.95</v>
      </c>
      <c r="AT691">
        <v>9.32</v>
      </c>
      <c r="AU691">
        <v>-2.95</v>
      </c>
      <c r="AV691">
        <v>1</v>
      </c>
      <c r="AW691">
        <v>5.64</v>
      </c>
      <c r="AX691">
        <v>59.93</v>
      </c>
      <c r="AY691">
        <v>74.02</v>
      </c>
      <c r="AZ691">
        <v>85.64</v>
      </c>
      <c r="BA691">
        <v>0</v>
      </c>
      <c r="BB691" t="s">
        <v>143</v>
      </c>
      <c r="BF691">
        <v>0.44</v>
      </c>
      <c r="BG691">
        <v>-3.1</v>
      </c>
      <c r="BH691">
        <v>-4.37</v>
      </c>
      <c r="BI691">
        <v>0.46</v>
      </c>
      <c r="BJ691">
        <v>20210821</v>
      </c>
      <c r="BK691">
        <v>20090811</v>
      </c>
      <c r="BL691">
        <v>3.64</v>
      </c>
      <c r="BM691" t="s">
        <v>120</v>
      </c>
      <c r="BN691" t="s">
        <v>120</v>
      </c>
      <c r="BO691">
        <v>15.93</v>
      </c>
      <c r="BP691">
        <v>6.57</v>
      </c>
      <c r="BQ691">
        <v>10.7</v>
      </c>
      <c r="BR691">
        <v>0.69</v>
      </c>
      <c r="BS691">
        <v>28.44</v>
      </c>
      <c r="BT691">
        <v>11.02</v>
      </c>
      <c r="BU691">
        <v>2.56</v>
      </c>
      <c r="BV691">
        <v>0.27</v>
      </c>
      <c r="BW691">
        <v>4.07</v>
      </c>
      <c r="BX691">
        <v>1.55</v>
      </c>
      <c r="BY691">
        <v>3.77</v>
      </c>
      <c r="BZ691">
        <v>3.53</v>
      </c>
      <c r="CA691" t="s">
        <v>120</v>
      </c>
      <c r="CB691">
        <v>4.7699999999999996</v>
      </c>
      <c r="CC691">
        <v>3.23</v>
      </c>
      <c r="CD691">
        <v>2.2200000000000002</v>
      </c>
      <c r="CE691">
        <v>0.15</v>
      </c>
      <c r="CF691">
        <v>0.02</v>
      </c>
      <c r="CG691">
        <v>0.17</v>
      </c>
      <c r="CH691">
        <v>0.13</v>
      </c>
      <c r="CI691">
        <v>0.11</v>
      </c>
      <c r="CJ691">
        <v>-0.11</v>
      </c>
      <c r="CK691">
        <v>0.01</v>
      </c>
      <c r="CL691">
        <v>2.1800000000000002</v>
      </c>
      <c r="CM691">
        <v>-0.47</v>
      </c>
      <c r="CN691">
        <v>0.33</v>
      </c>
      <c r="CO691">
        <v>13898</v>
      </c>
      <c r="CP691">
        <v>15693</v>
      </c>
      <c r="CQ691" t="s">
        <v>4207</v>
      </c>
      <c r="CR691">
        <v>65.260000000000005</v>
      </c>
      <c r="CS691">
        <v>1.29</v>
      </c>
      <c r="CT691">
        <v>2.23</v>
      </c>
      <c r="CU691">
        <v>-50.76</v>
      </c>
      <c r="CV691">
        <v>7.4</v>
      </c>
      <c r="CW691">
        <v>0.73</v>
      </c>
      <c r="CX691" t="s">
        <v>2074</v>
      </c>
      <c r="CY691">
        <v>2.94</v>
      </c>
      <c r="CZ691">
        <v>0</v>
      </c>
      <c r="DA691">
        <v>1.31</v>
      </c>
      <c r="DB691">
        <v>0.6</v>
      </c>
      <c r="DC691">
        <v>-0.13</v>
      </c>
      <c r="DD691">
        <v>67.2</v>
      </c>
      <c r="DE691" t="s">
        <v>249</v>
      </c>
      <c r="DF691">
        <v>31.35</v>
      </c>
      <c r="DG691">
        <v>4.7699999999999996</v>
      </c>
      <c r="DH691">
        <v>3.49</v>
      </c>
      <c r="DI691">
        <v>0.23</v>
      </c>
      <c r="DJ691">
        <v>749</v>
      </c>
      <c r="DK691">
        <v>2278</v>
      </c>
      <c r="DL691" t="s">
        <v>120</v>
      </c>
      <c r="DM691" t="s">
        <v>120</v>
      </c>
      <c r="DN691" t="s">
        <v>120</v>
      </c>
    </row>
    <row r="692" spans="1:118">
      <c r="A692" t="str">
        <f>"002279"</f>
        <v>002279</v>
      </c>
      <c r="B692" t="s">
        <v>4208</v>
      </c>
      <c r="C692">
        <v>-0.41</v>
      </c>
      <c r="D692">
        <v>1.05</v>
      </c>
      <c r="E692">
        <v>-0.21</v>
      </c>
      <c r="F692">
        <v>6414</v>
      </c>
      <c r="G692" t="s">
        <v>4209</v>
      </c>
      <c r="H692">
        <v>3155.7</v>
      </c>
      <c r="I692">
        <v>22.02</v>
      </c>
      <c r="J692" t="s">
        <v>120</v>
      </c>
      <c r="K692" t="s">
        <v>4210</v>
      </c>
      <c r="L692">
        <v>1.02</v>
      </c>
      <c r="M692">
        <v>4.82</v>
      </c>
      <c r="N692">
        <v>1.02</v>
      </c>
      <c r="O692">
        <v>0.83</v>
      </c>
      <c r="P692">
        <v>4.88</v>
      </c>
      <c r="Q692">
        <v>-2.27</v>
      </c>
      <c r="R692">
        <v>4.7300000000000004</v>
      </c>
      <c r="S692">
        <v>4.83</v>
      </c>
      <c r="T692">
        <v>65648</v>
      </c>
      <c r="U692">
        <v>4.83</v>
      </c>
      <c r="V692">
        <v>4.84</v>
      </c>
      <c r="W692" t="s">
        <v>120</v>
      </c>
      <c r="X692" t="s">
        <v>141</v>
      </c>
      <c r="Y692" t="s">
        <v>158</v>
      </c>
      <c r="Z692">
        <v>3.1</v>
      </c>
      <c r="AA692">
        <v>4.8099999999999996</v>
      </c>
      <c r="AB692">
        <v>37911</v>
      </c>
      <c r="AC692">
        <v>27737</v>
      </c>
      <c r="AD692">
        <v>1.37</v>
      </c>
      <c r="AE692">
        <v>12096</v>
      </c>
      <c r="AF692">
        <v>539</v>
      </c>
      <c r="AG692" t="s">
        <v>120</v>
      </c>
      <c r="AH692">
        <v>0.01</v>
      </c>
      <c r="AI692" t="s">
        <v>120</v>
      </c>
      <c r="AJ692">
        <v>6.41</v>
      </c>
      <c r="AK692" t="s">
        <v>4211</v>
      </c>
      <c r="AL692">
        <v>1.5</v>
      </c>
      <c r="AM692">
        <v>1148</v>
      </c>
      <c r="AN692">
        <v>57</v>
      </c>
      <c r="AO692">
        <v>8.9999999999999998E-4</v>
      </c>
      <c r="AP692">
        <v>-1</v>
      </c>
      <c r="AQ692">
        <v>0.41</v>
      </c>
      <c r="AR692">
        <v>-1.03</v>
      </c>
      <c r="AS692">
        <v>5.93</v>
      </c>
      <c r="AT692">
        <v>-6.23</v>
      </c>
      <c r="AU692">
        <v>3.88</v>
      </c>
      <c r="AV692">
        <v>3</v>
      </c>
      <c r="AW692">
        <v>1.43</v>
      </c>
      <c r="AX692">
        <v>64.64</v>
      </c>
      <c r="AY692">
        <v>35.54</v>
      </c>
      <c r="AZ692">
        <v>48.01</v>
      </c>
      <c r="BA692">
        <v>0.43</v>
      </c>
      <c r="BB692" t="s">
        <v>143</v>
      </c>
      <c r="BF692">
        <v>-0.68</v>
      </c>
      <c r="BG692">
        <v>-0.21</v>
      </c>
      <c r="BH692">
        <v>-1.23</v>
      </c>
      <c r="BI692">
        <v>1.9</v>
      </c>
      <c r="BJ692">
        <v>20210827</v>
      </c>
      <c r="BK692">
        <v>20090811</v>
      </c>
      <c r="BL692">
        <v>7.11</v>
      </c>
      <c r="BM692" t="s">
        <v>120</v>
      </c>
      <c r="BN692" t="s">
        <v>120</v>
      </c>
      <c r="BO692">
        <v>24.98</v>
      </c>
      <c r="BP692">
        <v>4.82</v>
      </c>
      <c r="BQ692">
        <v>9.7799999999999994</v>
      </c>
      <c r="BR692">
        <v>0.6</v>
      </c>
      <c r="BS692">
        <v>58.45</v>
      </c>
      <c r="BT692">
        <v>13.64</v>
      </c>
      <c r="BU692">
        <v>1.96</v>
      </c>
      <c r="BV692">
        <v>0.99</v>
      </c>
      <c r="BW692">
        <v>6.73</v>
      </c>
      <c r="BX692">
        <v>3.21</v>
      </c>
      <c r="BY692">
        <v>1.1000000000000001</v>
      </c>
      <c r="BZ692">
        <v>4.42</v>
      </c>
      <c r="CA692">
        <v>0.02</v>
      </c>
      <c r="CB692">
        <v>2.87</v>
      </c>
      <c r="CC692">
        <v>8.9</v>
      </c>
      <c r="CD692">
        <v>6.59</v>
      </c>
      <c r="CE692">
        <v>-0.96</v>
      </c>
      <c r="CF692">
        <v>0</v>
      </c>
      <c r="CG692">
        <v>-0.96</v>
      </c>
      <c r="CH692">
        <v>-0.95</v>
      </c>
      <c r="CI692">
        <v>-0.84</v>
      </c>
      <c r="CJ692">
        <v>-0.02</v>
      </c>
      <c r="CK692">
        <v>-0.86</v>
      </c>
      <c r="CL692">
        <v>-1.85</v>
      </c>
      <c r="CM692">
        <v>-2.4</v>
      </c>
      <c r="CN692">
        <v>-3.34</v>
      </c>
      <c r="CO692">
        <v>57134</v>
      </c>
      <c r="CP692">
        <v>8039</v>
      </c>
      <c r="CQ692" t="s">
        <v>954</v>
      </c>
      <c r="CR692">
        <v>23.06</v>
      </c>
      <c r="CS692">
        <v>-29.64</v>
      </c>
      <c r="CT692">
        <v>4.16</v>
      </c>
      <c r="CU692">
        <v>-14.28</v>
      </c>
      <c r="CV692">
        <v>3.85</v>
      </c>
      <c r="CW692">
        <v>0</v>
      </c>
      <c r="CX692" t="s">
        <v>1643</v>
      </c>
      <c r="CY692">
        <v>1.1599999999999999</v>
      </c>
      <c r="CZ692">
        <v>1.1599999999999999</v>
      </c>
      <c r="DA692">
        <v>0.4</v>
      </c>
      <c r="DB692">
        <v>-0.26</v>
      </c>
      <c r="DC692">
        <v>-0.34</v>
      </c>
      <c r="DD692">
        <v>39.14</v>
      </c>
      <c r="DE692" t="s">
        <v>4212</v>
      </c>
      <c r="DF692">
        <v>25.89</v>
      </c>
      <c r="DG692">
        <v>-10.82</v>
      </c>
      <c r="DH692">
        <v>-9.43</v>
      </c>
      <c r="DI692">
        <v>1.31</v>
      </c>
      <c r="DJ692">
        <v>2726</v>
      </c>
      <c r="DK692">
        <v>2279</v>
      </c>
      <c r="DL692" t="s">
        <v>120</v>
      </c>
      <c r="DM692" t="s">
        <v>120</v>
      </c>
      <c r="DN692" t="s">
        <v>120</v>
      </c>
    </row>
    <row r="693" spans="1:118">
      <c r="A693" t="str">
        <f>"002280"</f>
        <v>002280</v>
      </c>
      <c r="B693" t="s">
        <v>4213</v>
      </c>
      <c r="C693">
        <v>-3.82</v>
      </c>
      <c r="D693">
        <v>-0.14000000000000001</v>
      </c>
      <c r="E693">
        <v>-0.44</v>
      </c>
      <c r="F693">
        <v>4711</v>
      </c>
      <c r="G693" t="s">
        <v>4214</v>
      </c>
      <c r="H693">
        <v>24055.16</v>
      </c>
      <c r="I693">
        <v>50.44</v>
      </c>
      <c r="J693" t="s">
        <v>120</v>
      </c>
      <c r="K693" t="s">
        <v>4215</v>
      </c>
      <c r="L693">
        <v>2.04</v>
      </c>
      <c r="M693">
        <v>6.54</v>
      </c>
      <c r="N693">
        <v>0.83</v>
      </c>
      <c r="O693">
        <v>-0.15</v>
      </c>
      <c r="P693">
        <v>6.79</v>
      </c>
      <c r="Q693">
        <v>-4.26</v>
      </c>
      <c r="R693">
        <v>6.51</v>
      </c>
      <c r="S693">
        <v>6.77</v>
      </c>
      <c r="T693">
        <v>361604</v>
      </c>
      <c r="U693">
        <v>6.55</v>
      </c>
      <c r="V693">
        <v>6.8</v>
      </c>
      <c r="W693">
        <v>43.95</v>
      </c>
      <c r="X693" t="s">
        <v>141</v>
      </c>
      <c r="Y693" t="s">
        <v>585</v>
      </c>
      <c r="Z693">
        <v>4.12</v>
      </c>
      <c r="AA693">
        <v>6.65</v>
      </c>
      <c r="AB693">
        <v>222244</v>
      </c>
      <c r="AC693">
        <v>139360</v>
      </c>
      <c r="AD693">
        <v>1.59</v>
      </c>
      <c r="AE693">
        <v>885</v>
      </c>
      <c r="AF693">
        <v>3347</v>
      </c>
      <c r="AG693" t="s">
        <v>120</v>
      </c>
      <c r="AH693">
        <v>0</v>
      </c>
      <c r="AI693" t="s">
        <v>120</v>
      </c>
      <c r="AJ693">
        <v>17.690000000000001</v>
      </c>
      <c r="AK693" t="s">
        <v>4216</v>
      </c>
      <c r="AL693">
        <v>-1.91</v>
      </c>
      <c r="AM693">
        <v>3684</v>
      </c>
      <c r="AN693">
        <v>98</v>
      </c>
      <c r="AO693">
        <v>5.9999999999999995E-4</v>
      </c>
      <c r="AP693">
        <v>-2</v>
      </c>
      <c r="AQ693">
        <v>-3.82</v>
      </c>
      <c r="AR693">
        <v>-3.69</v>
      </c>
      <c r="AS693">
        <v>-10.29</v>
      </c>
      <c r="AT693">
        <v>24.81</v>
      </c>
      <c r="AU693">
        <v>354.16</v>
      </c>
      <c r="AV693">
        <v>54</v>
      </c>
      <c r="AW693">
        <v>2.2000000000000002</v>
      </c>
      <c r="AX693">
        <v>75.37</v>
      </c>
      <c r="AY693">
        <v>39.479999999999997</v>
      </c>
      <c r="AZ693">
        <v>155.11000000000001</v>
      </c>
      <c r="BA693">
        <v>0.92</v>
      </c>
      <c r="BB693" t="s">
        <v>143</v>
      </c>
      <c r="BF693">
        <v>-2.17</v>
      </c>
      <c r="BG693">
        <v>-3.4</v>
      </c>
      <c r="BH693">
        <v>-3.68</v>
      </c>
      <c r="BI693">
        <v>0.46</v>
      </c>
      <c r="BJ693">
        <v>20210830</v>
      </c>
      <c r="BK693">
        <v>20090821</v>
      </c>
      <c r="BL693">
        <v>21.77</v>
      </c>
      <c r="BM693" t="s">
        <v>120</v>
      </c>
      <c r="BN693" t="s">
        <v>120</v>
      </c>
      <c r="BO693">
        <v>108.15</v>
      </c>
      <c r="BP693">
        <v>6.54</v>
      </c>
      <c r="BQ693">
        <v>20.57</v>
      </c>
      <c r="BR693">
        <v>5.37</v>
      </c>
      <c r="BS693">
        <v>76.02</v>
      </c>
      <c r="BT693">
        <v>63.61</v>
      </c>
      <c r="BU693">
        <v>4.8899999999999997</v>
      </c>
      <c r="BV693">
        <v>2.27</v>
      </c>
      <c r="BW693">
        <v>67.44</v>
      </c>
      <c r="BX693">
        <v>9.89</v>
      </c>
      <c r="BY693">
        <v>13.4</v>
      </c>
      <c r="BZ693">
        <v>13.36</v>
      </c>
      <c r="CA693">
        <v>0.02</v>
      </c>
      <c r="CB693">
        <v>31.29</v>
      </c>
      <c r="CC693">
        <v>84.8</v>
      </c>
      <c r="CD693">
        <v>72.17</v>
      </c>
      <c r="CE693">
        <v>3.37</v>
      </c>
      <c r="CF693">
        <v>0.03</v>
      </c>
      <c r="CG693">
        <v>2.59</v>
      </c>
      <c r="CH693">
        <v>2.3199999999999998</v>
      </c>
      <c r="CI693">
        <v>1.62</v>
      </c>
      <c r="CJ693">
        <v>-0.26</v>
      </c>
      <c r="CK693">
        <v>-7.0000000000000007E-2</v>
      </c>
      <c r="CL693">
        <v>-31.97</v>
      </c>
      <c r="CM693">
        <v>-1.85</v>
      </c>
      <c r="CN693">
        <v>-2</v>
      </c>
      <c r="CO693">
        <v>112042</v>
      </c>
      <c r="CP693">
        <v>14645</v>
      </c>
      <c r="CQ693" t="s">
        <v>4217</v>
      </c>
      <c r="CR693">
        <v>237.78</v>
      </c>
      <c r="CS693">
        <v>23.14</v>
      </c>
      <c r="CT693">
        <v>6.92</v>
      </c>
      <c r="CU693">
        <v>-77.06</v>
      </c>
      <c r="CV693">
        <v>1.68</v>
      </c>
      <c r="CW693">
        <v>0</v>
      </c>
      <c r="CX693" t="s">
        <v>679</v>
      </c>
      <c r="CY693">
        <v>0.94</v>
      </c>
      <c r="CZ693">
        <v>0</v>
      </c>
      <c r="DA693">
        <v>1.44</v>
      </c>
      <c r="DB693">
        <v>-1.47</v>
      </c>
      <c r="DC693">
        <v>-0.08</v>
      </c>
      <c r="DD693">
        <v>19.02</v>
      </c>
      <c r="DE693" t="s">
        <v>4218</v>
      </c>
      <c r="DF693">
        <v>14.89</v>
      </c>
      <c r="DG693">
        <v>3.98</v>
      </c>
      <c r="DH693">
        <v>1.91</v>
      </c>
      <c r="DI693">
        <v>0.57999999999999996</v>
      </c>
      <c r="DJ693">
        <v>1954</v>
      </c>
      <c r="DK693">
        <v>2280</v>
      </c>
      <c r="DL693" t="s">
        <v>120</v>
      </c>
      <c r="DM693" t="s">
        <v>120</v>
      </c>
      <c r="DN693" t="s">
        <v>120</v>
      </c>
    </row>
    <row r="694" spans="1:118">
      <c r="A694" t="str">
        <f>"002281"</f>
        <v>002281</v>
      </c>
      <c r="B694" t="s">
        <v>4219</v>
      </c>
      <c r="C694">
        <v>0.47</v>
      </c>
      <c r="D694">
        <v>-0.03</v>
      </c>
      <c r="E694">
        <v>0.56000000000000005</v>
      </c>
      <c r="F694">
        <v>550</v>
      </c>
      <c r="G694" t="s">
        <v>4220</v>
      </c>
      <c r="H694">
        <v>16129.19</v>
      </c>
      <c r="I694">
        <v>33.549999999999997</v>
      </c>
      <c r="J694" t="s">
        <v>120</v>
      </c>
      <c r="K694" t="s">
        <v>4221</v>
      </c>
      <c r="L694">
        <v>1.03</v>
      </c>
      <c r="M694">
        <v>23.44</v>
      </c>
      <c r="N694">
        <v>0.87</v>
      </c>
      <c r="O694">
        <v>1.37</v>
      </c>
      <c r="P694">
        <v>23.65</v>
      </c>
      <c r="Q694">
        <v>0.09</v>
      </c>
      <c r="R694">
        <v>23.35</v>
      </c>
      <c r="S694">
        <v>23.46</v>
      </c>
      <c r="T694">
        <v>68656</v>
      </c>
      <c r="U694">
        <v>23.44</v>
      </c>
      <c r="V694">
        <v>23.33</v>
      </c>
      <c r="W694">
        <v>27.93</v>
      </c>
      <c r="X694" t="s">
        <v>462</v>
      </c>
      <c r="Y694" t="s">
        <v>763</v>
      </c>
      <c r="Z694">
        <v>1.29</v>
      </c>
      <c r="AA694">
        <v>23.49</v>
      </c>
      <c r="AB694">
        <v>34003</v>
      </c>
      <c r="AC694">
        <v>34653</v>
      </c>
      <c r="AD694">
        <v>0.98</v>
      </c>
      <c r="AE694">
        <v>87</v>
      </c>
      <c r="AF694">
        <v>166</v>
      </c>
      <c r="AG694" t="s">
        <v>120</v>
      </c>
      <c r="AH694">
        <v>0</v>
      </c>
      <c r="AI694" t="s">
        <v>120</v>
      </c>
      <c r="AJ694">
        <v>6.64</v>
      </c>
      <c r="AK694" t="s">
        <v>4222</v>
      </c>
      <c r="AL694">
        <v>2.39</v>
      </c>
      <c r="AM694">
        <v>2745</v>
      </c>
      <c r="AN694">
        <v>25</v>
      </c>
      <c r="AO694">
        <v>4.0000000000000002E-4</v>
      </c>
      <c r="AP694">
        <v>1</v>
      </c>
      <c r="AQ694">
        <v>-0.85</v>
      </c>
      <c r="AR694">
        <v>0.05</v>
      </c>
      <c r="AS694">
        <v>-8.26</v>
      </c>
      <c r="AT694">
        <v>-7.36</v>
      </c>
      <c r="AU694">
        <v>-18.809999999999999</v>
      </c>
      <c r="AV694">
        <v>0</v>
      </c>
      <c r="AW694">
        <v>1.82</v>
      </c>
      <c r="AX694">
        <v>54.21</v>
      </c>
      <c r="AY694">
        <v>28.51</v>
      </c>
      <c r="AZ694">
        <v>33.39</v>
      </c>
      <c r="BA694">
        <v>0.63</v>
      </c>
      <c r="BB694" t="s">
        <v>134</v>
      </c>
      <c r="BF694">
        <v>0.7</v>
      </c>
      <c r="BG694">
        <v>-0.09</v>
      </c>
      <c r="BH694">
        <v>-0.89</v>
      </c>
      <c r="BI694">
        <v>0.39</v>
      </c>
      <c r="BJ694">
        <v>20210826</v>
      </c>
      <c r="BK694">
        <v>20090821</v>
      </c>
      <c r="BL694">
        <v>6.98</v>
      </c>
      <c r="BM694" t="s">
        <v>120</v>
      </c>
      <c r="BN694" t="s">
        <v>120</v>
      </c>
      <c r="BO694">
        <v>89.62</v>
      </c>
      <c r="BP694">
        <v>23.41</v>
      </c>
      <c r="BQ694">
        <v>52.98</v>
      </c>
      <c r="BR694">
        <v>-0.25</v>
      </c>
      <c r="BS694">
        <v>41.16</v>
      </c>
      <c r="BT694">
        <v>72.2</v>
      </c>
      <c r="BU694">
        <v>11.15</v>
      </c>
      <c r="BV694">
        <v>2.09</v>
      </c>
      <c r="BW694">
        <v>32.57</v>
      </c>
      <c r="BX694">
        <v>26.46</v>
      </c>
      <c r="BY694">
        <v>23.12</v>
      </c>
      <c r="BZ694">
        <v>16.27</v>
      </c>
      <c r="CA694" t="s">
        <v>120</v>
      </c>
      <c r="CB694">
        <v>25.89</v>
      </c>
      <c r="CC694">
        <v>31.37</v>
      </c>
      <c r="CD694">
        <v>23.27</v>
      </c>
      <c r="CE694">
        <v>3.09</v>
      </c>
      <c r="CF694">
        <v>-0.05</v>
      </c>
      <c r="CG694">
        <v>3.1</v>
      </c>
      <c r="CH694">
        <v>2.77</v>
      </c>
      <c r="CI694">
        <v>2.93</v>
      </c>
      <c r="CJ694">
        <v>0.11</v>
      </c>
      <c r="CK694">
        <v>2.84</v>
      </c>
      <c r="CL694">
        <v>21.78</v>
      </c>
      <c r="CM694">
        <v>3.15</v>
      </c>
      <c r="CN694">
        <v>1.7</v>
      </c>
      <c r="CO694">
        <v>74744</v>
      </c>
      <c r="CP694">
        <v>5059</v>
      </c>
      <c r="CQ694" t="s">
        <v>4223</v>
      </c>
      <c r="CR694">
        <v>39.83</v>
      </c>
      <c r="CS694">
        <v>22.63</v>
      </c>
      <c r="CT694">
        <v>3.09</v>
      </c>
      <c r="CU694">
        <v>51.86</v>
      </c>
      <c r="CV694">
        <v>5.21</v>
      </c>
      <c r="CW694">
        <v>0.73</v>
      </c>
      <c r="CX694" t="s">
        <v>1462</v>
      </c>
      <c r="CY694">
        <v>7.6</v>
      </c>
      <c r="CZ694">
        <v>0</v>
      </c>
      <c r="DA694">
        <v>3.71</v>
      </c>
      <c r="DB694">
        <v>3.12</v>
      </c>
      <c r="DC694">
        <v>0.45</v>
      </c>
      <c r="DD694">
        <v>59.12</v>
      </c>
      <c r="DE694" t="s">
        <v>2293</v>
      </c>
      <c r="DF694">
        <v>25.81</v>
      </c>
      <c r="DG694">
        <v>9.86</v>
      </c>
      <c r="DH694">
        <v>9.33</v>
      </c>
      <c r="DI694">
        <v>2.8</v>
      </c>
      <c r="DJ694">
        <v>4578</v>
      </c>
      <c r="DK694">
        <v>2281</v>
      </c>
      <c r="DL694" t="s">
        <v>120</v>
      </c>
      <c r="DM694" t="s">
        <v>120</v>
      </c>
      <c r="DN694" t="s">
        <v>120</v>
      </c>
    </row>
    <row r="695" spans="1:118">
      <c r="A695" t="str">
        <f>"002282"</f>
        <v>002282</v>
      </c>
      <c r="B695" t="s">
        <v>4224</v>
      </c>
      <c r="C695">
        <v>-0.28999999999999998</v>
      </c>
      <c r="D695">
        <v>0</v>
      </c>
      <c r="E695">
        <v>0.68</v>
      </c>
      <c r="F695">
        <v>579</v>
      </c>
      <c r="G695" t="s">
        <v>4225</v>
      </c>
      <c r="H695">
        <v>6567.64</v>
      </c>
      <c r="I695">
        <v>6.77</v>
      </c>
      <c r="J695" t="s">
        <v>120</v>
      </c>
      <c r="K695" t="s">
        <v>4226</v>
      </c>
      <c r="L695">
        <v>1.56</v>
      </c>
      <c r="M695">
        <v>10.31</v>
      </c>
      <c r="N695">
        <v>1.81</v>
      </c>
      <c r="O695">
        <v>4.55</v>
      </c>
      <c r="P695">
        <v>10.81</v>
      </c>
      <c r="Q695">
        <v>-0.39</v>
      </c>
      <c r="R695">
        <v>10.3</v>
      </c>
      <c r="S695">
        <v>10.41</v>
      </c>
      <c r="T695">
        <v>62264</v>
      </c>
      <c r="U695">
        <v>10.31</v>
      </c>
      <c r="V695">
        <v>10.34</v>
      </c>
      <c r="W695">
        <v>26.64</v>
      </c>
      <c r="X695" t="s">
        <v>348</v>
      </c>
      <c r="Y695" t="s">
        <v>602</v>
      </c>
      <c r="Z695">
        <v>4.93</v>
      </c>
      <c r="AA695">
        <v>10.55</v>
      </c>
      <c r="AB695">
        <v>31422</v>
      </c>
      <c r="AC695">
        <v>30842</v>
      </c>
      <c r="AD695">
        <v>1.02</v>
      </c>
      <c r="AE695">
        <v>113</v>
      </c>
      <c r="AF695">
        <v>132</v>
      </c>
      <c r="AG695" t="s">
        <v>120</v>
      </c>
      <c r="AH695">
        <v>0</v>
      </c>
      <c r="AI695" t="s">
        <v>120</v>
      </c>
      <c r="AJ695">
        <v>3.98</v>
      </c>
      <c r="AK695" t="s">
        <v>4227</v>
      </c>
      <c r="AL695">
        <v>1.62</v>
      </c>
      <c r="AM695">
        <v>1879</v>
      </c>
      <c r="AN695">
        <v>33</v>
      </c>
      <c r="AO695">
        <v>8.0000000000000004E-4</v>
      </c>
      <c r="AP695">
        <v>-7</v>
      </c>
      <c r="AQ695">
        <v>-1.24</v>
      </c>
      <c r="AR695">
        <v>-2.36</v>
      </c>
      <c r="AS695">
        <v>-12.19</v>
      </c>
      <c r="AT695">
        <v>0.28999999999999998</v>
      </c>
      <c r="AU695">
        <v>7.06</v>
      </c>
      <c r="AV695">
        <v>0</v>
      </c>
      <c r="AW695">
        <v>3.2</v>
      </c>
      <c r="AX695">
        <v>35.74</v>
      </c>
      <c r="AY695">
        <v>29.83</v>
      </c>
      <c r="AZ695">
        <v>42.3</v>
      </c>
      <c r="BA695">
        <v>0.52</v>
      </c>
      <c r="BB695" t="s">
        <v>134</v>
      </c>
      <c r="BF695">
        <v>2.0099999999999998</v>
      </c>
      <c r="BG695">
        <v>-0.96</v>
      </c>
      <c r="BH695">
        <v>-4.63</v>
      </c>
      <c r="BI695">
        <v>0.1</v>
      </c>
      <c r="BJ695">
        <v>20210907</v>
      </c>
      <c r="BK695">
        <v>20090821</v>
      </c>
      <c r="BL695">
        <v>5.44</v>
      </c>
      <c r="BM695" t="s">
        <v>120</v>
      </c>
      <c r="BN695" t="s">
        <v>120</v>
      </c>
      <c r="BO695">
        <v>37.64</v>
      </c>
      <c r="BP695">
        <v>10.3</v>
      </c>
      <c r="BQ695">
        <v>32.58</v>
      </c>
      <c r="BR695">
        <v>0.28999999999999998</v>
      </c>
      <c r="BS695">
        <v>12.65</v>
      </c>
      <c r="BT695">
        <v>14.41</v>
      </c>
      <c r="BU695">
        <v>6.61</v>
      </c>
      <c r="BV695">
        <v>1.47</v>
      </c>
      <c r="BW695">
        <v>4.12</v>
      </c>
      <c r="BX695">
        <v>3.61</v>
      </c>
      <c r="BY695">
        <v>4.58</v>
      </c>
      <c r="BZ695">
        <v>4.28</v>
      </c>
      <c r="CA695">
        <v>0.05</v>
      </c>
      <c r="CB695">
        <v>21.67</v>
      </c>
      <c r="CC695">
        <v>8.0299999999999994</v>
      </c>
      <c r="CD695">
        <v>5.74</v>
      </c>
      <c r="CE695">
        <v>1.25</v>
      </c>
      <c r="CF695">
        <v>0.01</v>
      </c>
      <c r="CG695">
        <v>1.23</v>
      </c>
      <c r="CH695">
        <v>1.07</v>
      </c>
      <c r="CI695">
        <v>1.05</v>
      </c>
      <c r="CJ695">
        <v>-0.03</v>
      </c>
      <c r="CK695">
        <v>0.99</v>
      </c>
      <c r="CL695">
        <v>4.29</v>
      </c>
      <c r="CM695">
        <v>0.36</v>
      </c>
      <c r="CN695">
        <v>1.81</v>
      </c>
      <c r="CO695">
        <v>17362</v>
      </c>
      <c r="CP695">
        <v>11197</v>
      </c>
      <c r="CQ695" t="s">
        <v>2609</v>
      </c>
      <c r="CR695">
        <v>111.91</v>
      </c>
      <c r="CS695">
        <v>49.99</v>
      </c>
      <c r="CT695">
        <v>1.72</v>
      </c>
      <c r="CU695">
        <v>154.16</v>
      </c>
      <c r="CV695">
        <v>6.98</v>
      </c>
      <c r="CW695">
        <v>0.77</v>
      </c>
      <c r="CX695" t="s">
        <v>492</v>
      </c>
      <c r="CY695">
        <v>5.99</v>
      </c>
      <c r="CZ695">
        <v>0</v>
      </c>
      <c r="DA695">
        <v>3.98</v>
      </c>
      <c r="DB695">
        <v>0.79</v>
      </c>
      <c r="DC695">
        <v>7.0000000000000007E-2</v>
      </c>
      <c r="DD695">
        <v>86.57</v>
      </c>
      <c r="DE695" t="s">
        <v>1482</v>
      </c>
      <c r="DF695">
        <v>28.51</v>
      </c>
      <c r="DG695">
        <v>15.54</v>
      </c>
      <c r="DH695">
        <v>13.11</v>
      </c>
      <c r="DI695">
        <v>0.28999999999999998</v>
      </c>
      <c r="DJ695">
        <v>1886</v>
      </c>
      <c r="DK695">
        <v>2282</v>
      </c>
      <c r="DL695" t="s">
        <v>120</v>
      </c>
      <c r="DM695" t="s">
        <v>120</v>
      </c>
      <c r="DN695" t="s">
        <v>120</v>
      </c>
    </row>
    <row r="696" spans="1:118">
      <c r="A696" t="str">
        <f>"002283"</f>
        <v>002283</v>
      </c>
      <c r="B696" t="s">
        <v>4228</v>
      </c>
      <c r="C696">
        <v>0.49</v>
      </c>
      <c r="D696">
        <v>0.1</v>
      </c>
      <c r="E696">
        <v>2.2599999999999998</v>
      </c>
      <c r="F696">
        <v>9870</v>
      </c>
      <c r="G696" t="s">
        <v>4229</v>
      </c>
      <c r="H696">
        <v>57711.01</v>
      </c>
      <c r="I696">
        <v>809.48</v>
      </c>
      <c r="J696" t="s">
        <v>120</v>
      </c>
      <c r="K696" t="s">
        <v>4230</v>
      </c>
      <c r="L696">
        <v>5.65</v>
      </c>
      <c r="M696">
        <v>10.210000000000001</v>
      </c>
      <c r="N696">
        <v>0.66</v>
      </c>
      <c r="O696">
        <v>4.72</v>
      </c>
      <c r="P696">
        <v>10.64</v>
      </c>
      <c r="Q696">
        <v>-0.79</v>
      </c>
      <c r="R696">
        <v>10.08</v>
      </c>
      <c r="S696">
        <v>10.39</v>
      </c>
      <c r="T696">
        <v>559911</v>
      </c>
      <c r="U696">
        <v>10.220000000000001</v>
      </c>
      <c r="V696">
        <v>10.16</v>
      </c>
      <c r="W696">
        <v>18.61</v>
      </c>
      <c r="X696" t="s">
        <v>289</v>
      </c>
      <c r="Y696" t="s">
        <v>638</v>
      </c>
      <c r="Z696">
        <v>5.51</v>
      </c>
      <c r="AA696">
        <v>10.31</v>
      </c>
      <c r="AB696">
        <v>275053</v>
      </c>
      <c r="AC696">
        <v>284858</v>
      </c>
      <c r="AD696">
        <v>0.97</v>
      </c>
      <c r="AE696">
        <v>401</v>
      </c>
      <c r="AF696">
        <v>200</v>
      </c>
      <c r="AG696" t="s">
        <v>120</v>
      </c>
      <c r="AH696">
        <v>0.11</v>
      </c>
      <c r="AI696" t="s">
        <v>120</v>
      </c>
      <c r="AJ696">
        <v>9.92</v>
      </c>
      <c r="AK696" t="s">
        <v>4231</v>
      </c>
      <c r="AL696">
        <v>2.41</v>
      </c>
      <c r="AM696">
        <v>4380</v>
      </c>
      <c r="AN696">
        <v>128</v>
      </c>
      <c r="AO696">
        <v>1.2999999999999999E-3</v>
      </c>
      <c r="AP696">
        <v>1</v>
      </c>
      <c r="AQ696">
        <v>-1.55</v>
      </c>
      <c r="AR696">
        <v>0.79</v>
      </c>
      <c r="AS696">
        <v>61.3</v>
      </c>
      <c r="AT696">
        <v>82.32</v>
      </c>
      <c r="AU696">
        <v>91.56</v>
      </c>
      <c r="AV696">
        <v>5</v>
      </c>
      <c r="AW696">
        <v>7.74</v>
      </c>
      <c r="AX696">
        <v>63.72</v>
      </c>
      <c r="AY696">
        <v>18.79</v>
      </c>
      <c r="AZ696">
        <v>22.72</v>
      </c>
      <c r="BA696">
        <v>0.76</v>
      </c>
      <c r="BB696" t="s">
        <v>125</v>
      </c>
      <c r="BF696">
        <v>1.45</v>
      </c>
      <c r="BG696">
        <v>-1.73</v>
      </c>
      <c r="BH696">
        <v>-4.04</v>
      </c>
      <c r="BI696">
        <v>1.29</v>
      </c>
      <c r="BJ696">
        <v>20210827</v>
      </c>
      <c r="BK696">
        <v>20090821</v>
      </c>
      <c r="BL696">
        <v>11.36</v>
      </c>
      <c r="BM696" t="s">
        <v>120</v>
      </c>
      <c r="BN696" t="s">
        <v>120</v>
      </c>
      <c r="BO696">
        <v>89.05</v>
      </c>
      <c r="BP696">
        <v>10.210000000000001</v>
      </c>
      <c r="BQ696">
        <v>52.72</v>
      </c>
      <c r="BR696">
        <v>0.24</v>
      </c>
      <c r="BS696">
        <v>40.520000000000003</v>
      </c>
      <c r="BT696">
        <v>50.79</v>
      </c>
      <c r="BU696">
        <v>30.21</v>
      </c>
      <c r="BV696">
        <v>3.56</v>
      </c>
      <c r="BW696">
        <v>34.69</v>
      </c>
      <c r="BX696">
        <v>3.3</v>
      </c>
      <c r="BY696">
        <v>12.21</v>
      </c>
      <c r="BZ696">
        <v>16.02</v>
      </c>
      <c r="CA696" t="s">
        <v>120</v>
      </c>
      <c r="CB696">
        <v>14.49</v>
      </c>
      <c r="CC696">
        <v>30.23</v>
      </c>
      <c r="CD696">
        <v>23.32</v>
      </c>
      <c r="CE696">
        <v>3.64</v>
      </c>
      <c r="CF696">
        <v>0.03</v>
      </c>
      <c r="CG696">
        <v>3.6</v>
      </c>
      <c r="CH696">
        <v>3.11</v>
      </c>
      <c r="CI696">
        <v>3.12</v>
      </c>
      <c r="CJ696">
        <v>0.05</v>
      </c>
      <c r="CK696">
        <v>2.96</v>
      </c>
      <c r="CL696">
        <v>25.36</v>
      </c>
      <c r="CM696">
        <v>1.33</v>
      </c>
      <c r="CN696">
        <v>-0.71</v>
      </c>
      <c r="CO696">
        <v>44892</v>
      </c>
      <c r="CP696">
        <v>16118</v>
      </c>
      <c r="CQ696" t="s">
        <v>4232</v>
      </c>
      <c r="CR696">
        <v>51.76</v>
      </c>
      <c r="CS696">
        <v>50.82</v>
      </c>
      <c r="CT696">
        <v>2.2000000000000002</v>
      </c>
      <c r="CU696">
        <v>87.09</v>
      </c>
      <c r="CV696">
        <v>3.84</v>
      </c>
      <c r="CW696">
        <v>0.48</v>
      </c>
      <c r="CX696" t="s">
        <v>1054</v>
      </c>
      <c r="CY696">
        <v>4.6399999999999997</v>
      </c>
      <c r="CZ696">
        <v>4.6399999999999997</v>
      </c>
      <c r="DA696">
        <v>1.28</v>
      </c>
      <c r="DB696">
        <v>2.23</v>
      </c>
      <c r="DC696">
        <v>0.12</v>
      </c>
      <c r="DD696">
        <v>59.2</v>
      </c>
      <c r="DE696" t="s">
        <v>627</v>
      </c>
      <c r="DF696">
        <v>22.85</v>
      </c>
      <c r="DG696">
        <v>12.05</v>
      </c>
      <c r="DH696">
        <v>10.3</v>
      </c>
      <c r="DI696">
        <v>1.47</v>
      </c>
      <c r="DJ696">
        <v>3617</v>
      </c>
      <c r="DK696">
        <v>2283</v>
      </c>
      <c r="DL696">
        <v>20210916</v>
      </c>
      <c r="DM696">
        <v>10.16</v>
      </c>
      <c r="DN696">
        <v>0.49</v>
      </c>
    </row>
    <row r="697" spans="1:118">
      <c r="A697" t="str">
        <f>"002284"</f>
        <v>002284</v>
      </c>
      <c r="B697" t="s">
        <v>4233</v>
      </c>
      <c r="C697">
        <v>-3.56</v>
      </c>
      <c r="D697">
        <v>0.13</v>
      </c>
      <c r="E697">
        <v>0.25</v>
      </c>
      <c r="F697">
        <v>2094</v>
      </c>
      <c r="G697" t="s">
        <v>1066</v>
      </c>
      <c r="H697">
        <v>13688.8</v>
      </c>
      <c r="I697">
        <v>15.2</v>
      </c>
      <c r="J697" t="s">
        <v>120</v>
      </c>
      <c r="K697" t="s">
        <v>4234</v>
      </c>
      <c r="L697">
        <v>2.5</v>
      </c>
      <c r="M697">
        <v>7.86</v>
      </c>
      <c r="N697">
        <v>1.1100000000000001</v>
      </c>
      <c r="O697">
        <v>0.61</v>
      </c>
      <c r="P697">
        <v>8.1999999999999993</v>
      </c>
      <c r="Q697">
        <v>-4.05</v>
      </c>
      <c r="R697">
        <v>7.82</v>
      </c>
      <c r="S697">
        <v>8.17</v>
      </c>
      <c r="T697">
        <v>171737</v>
      </c>
      <c r="U697">
        <v>7.87</v>
      </c>
      <c r="V697">
        <v>8.15</v>
      </c>
      <c r="W697">
        <v>94.29</v>
      </c>
      <c r="X697" t="s">
        <v>289</v>
      </c>
      <c r="Y697" t="s">
        <v>585</v>
      </c>
      <c r="Z697">
        <v>4.66</v>
      </c>
      <c r="AA697">
        <v>7.97</v>
      </c>
      <c r="AB697">
        <v>102710</v>
      </c>
      <c r="AC697">
        <v>69027</v>
      </c>
      <c r="AD697">
        <v>1.49</v>
      </c>
      <c r="AE697">
        <v>595</v>
      </c>
      <c r="AF697">
        <v>1053</v>
      </c>
      <c r="AG697" t="s">
        <v>120</v>
      </c>
      <c r="AH697">
        <v>0</v>
      </c>
      <c r="AI697" t="s">
        <v>120</v>
      </c>
      <c r="AJ697">
        <v>6.86</v>
      </c>
      <c r="AK697" t="s">
        <v>4235</v>
      </c>
      <c r="AL697">
        <v>-1.64</v>
      </c>
      <c r="AM697">
        <v>3073</v>
      </c>
      <c r="AN697">
        <v>56</v>
      </c>
      <c r="AO697">
        <v>8.0000000000000004E-4</v>
      </c>
      <c r="AP697">
        <v>-1</v>
      </c>
      <c r="AQ697">
        <v>0</v>
      </c>
      <c r="AR697">
        <v>-5.19</v>
      </c>
      <c r="AS697">
        <v>1.95</v>
      </c>
      <c r="AT697">
        <v>-8.7100000000000009</v>
      </c>
      <c r="AU697">
        <v>15.59</v>
      </c>
      <c r="AV697">
        <v>10</v>
      </c>
      <c r="AW697">
        <v>4.51</v>
      </c>
      <c r="AX697">
        <v>51.66</v>
      </c>
      <c r="AY697">
        <v>65.22</v>
      </c>
      <c r="AZ697">
        <v>367.51</v>
      </c>
      <c r="BA697">
        <v>1</v>
      </c>
      <c r="BB697" t="s">
        <v>143</v>
      </c>
      <c r="BF697">
        <v>-2.2000000000000002</v>
      </c>
      <c r="BG697">
        <v>-3.79</v>
      </c>
      <c r="BH697">
        <v>-4.1500000000000004</v>
      </c>
      <c r="BI697">
        <v>0.51</v>
      </c>
      <c r="BJ697">
        <v>20210825</v>
      </c>
      <c r="BK697">
        <v>20090828</v>
      </c>
      <c r="BL697">
        <v>7.38</v>
      </c>
      <c r="BM697" t="s">
        <v>120</v>
      </c>
      <c r="BN697" t="s">
        <v>120</v>
      </c>
      <c r="BO697">
        <v>61.45</v>
      </c>
      <c r="BP697">
        <v>7.86</v>
      </c>
      <c r="BQ697">
        <v>26.95</v>
      </c>
      <c r="BR697">
        <v>0.38</v>
      </c>
      <c r="BS697">
        <v>55.53</v>
      </c>
      <c r="BT697">
        <v>38.61</v>
      </c>
      <c r="BU697">
        <v>15.01</v>
      </c>
      <c r="BV697">
        <v>1.5</v>
      </c>
      <c r="BW697">
        <v>23.31</v>
      </c>
      <c r="BX697">
        <v>19.63</v>
      </c>
      <c r="BY697">
        <v>5.29</v>
      </c>
      <c r="BZ697">
        <v>6.3</v>
      </c>
      <c r="CA697">
        <v>0.03</v>
      </c>
      <c r="CB697">
        <v>11.38</v>
      </c>
      <c r="CC697">
        <v>17.39</v>
      </c>
      <c r="CD697">
        <v>14.84</v>
      </c>
      <c r="CE697">
        <v>0.33</v>
      </c>
      <c r="CF697">
        <v>-0.08</v>
      </c>
      <c r="CG697">
        <v>0.35</v>
      </c>
      <c r="CH697">
        <v>0.32</v>
      </c>
      <c r="CI697">
        <v>0.31</v>
      </c>
      <c r="CJ697">
        <v>-0.28999999999999998</v>
      </c>
      <c r="CK697">
        <v>0.06</v>
      </c>
      <c r="CL697">
        <v>5.22</v>
      </c>
      <c r="CM697">
        <v>2.76</v>
      </c>
      <c r="CN697">
        <v>2.66</v>
      </c>
      <c r="CO697">
        <v>73041</v>
      </c>
      <c r="CP697">
        <v>5217</v>
      </c>
      <c r="CQ697" t="s">
        <v>4236</v>
      </c>
      <c r="CR697">
        <v>168.21</v>
      </c>
      <c r="CS697">
        <v>45.82</v>
      </c>
      <c r="CT697">
        <v>2.31</v>
      </c>
      <c r="CU697">
        <v>21</v>
      </c>
      <c r="CV697">
        <v>3.33</v>
      </c>
      <c r="CW697">
        <v>0</v>
      </c>
      <c r="CX697" t="s">
        <v>145</v>
      </c>
      <c r="CY697">
        <v>3.4</v>
      </c>
      <c r="CZ697">
        <v>3.4</v>
      </c>
      <c r="DA697">
        <v>1.54</v>
      </c>
      <c r="DB697">
        <v>0.71</v>
      </c>
      <c r="DC697">
        <v>0.37</v>
      </c>
      <c r="DD697">
        <v>43.86</v>
      </c>
      <c r="DE697" t="s">
        <v>4237</v>
      </c>
      <c r="DF697">
        <v>14.7</v>
      </c>
      <c r="DG697">
        <v>1.91</v>
      </c>
      <c r="DH697">
        <v>1.77</v>
      </c>
      <c r="DI697">
        <v>0.81</v>
      </c>
      <c r="DJ697">
        <v>2630</v>
      </c>
      <c r="DK697">
        <v>2284</v>
      </c>
      <c r="DL697" t="s">
        <v>120</v>
      </c>
      <c r="DM697" t="s">
        <v>120</v>
      </c>
      <c r="DN697" t="s">
        <v>120</v>
      </c>
    </row>
    <row r="698" spans="1:118">
      <c r="A698" t="str">
        <f>"002285"</f>
        <v>002285</v>
      </c>
      <c r="B698" t="s">
        <v>4238</v>
      </c>
      <c r="C698">
        <v>-9.6999999999999993</v>
      </c>
      <c r="D698">
        <v>-0.44</v>
      </c>
      <c r="E698">
        <v>-0.4</v>
      </c>
      <c r="F698">
        <v>11251</v>
      </c>
      <c r="G698" t="s">
        <v>4239</v>
      </c>
      <c r="H698">
        <v>63702.96</v>
      </c>
      <c r="I698">
        <v>193.65</v>
      </c>
      <c r="J698" t="s">
        <v>120</v>
      </c>
      <c r="K698" t="s">
        <v>4240</v>
      </c>
      <c r="L698">
        <v>6.76</v>
      </c>
      <c r="M698">
        <v>4.47</v>
      </c>
      <c r="N698">
        <v>1.93</v>
      </c>
      <c r="O698">
        <v>0.61</v>
      </c>
      <c r="P698">
        <v>4.9800000000000004</v>
      </c>
      <c r="Q698">
        <v>-9.9</v>
      </c>
      <c r="R698">
        <v>4.46</v>
      </c>
      <c r="S698">
        <v>4.93</v>
      </c>
      <c r="T698">
        <v>1361088</v>
      </c>
      <c r="U698">
        <v>4.4800000000000004</v>
      </c>
      <c r="V698">
        <v>4.95</v>
      </c>
      <c r="W698">
        <v>64.010000000000005</v>
      </c>
      <c r="X698" t="s">
        <v>416</v>
      </c>
      <c r="Y698" t="s">
        <v>123</v>
      </c>
      <c r="Z698">
        <v>10.51</v>
      </c>
      <c r="AA698">
        <v>4.68</v>
      </c>
      <c r="AB698">
        <v>694137</v>
      </c>
      <c r="AC698">
        <v>666951</v>
      </c>
      <c r="AD698">
        <v>1.04</v>
      </c>
      <c r="AE698">
        <v>9247</v>
      </c>
      <c r="AF698">
        <v>539</v>
      </c>
      <c r="AG698" t="s">
        <v>120</v>
      </c>
      <c r="AH698">
        <v>0.04</v>
      </c>
      <c r="AI698" t="s">
        <v>120</v>
      </c>
      <c r="AJ698">
        <v>20.14</v>
      </c>
      <c r="AK698" t="s">
        <v>4241</v>
      </c>
      <c r="AL698">
        <v>-7.78</v>
      </c>
      <c r="AM698">
        <v>4395</v>
      </c>
      <c r="AN698">
        <v>310</v>
      </c>
      <c r="AO698">
        <v>1.5E-3</v>
      </c>
      <c r="AP698">
        <v>-5</v>
      </c>
      <c r="AQ698">
        <v>-4.4400000000000004</v>
      </c>
      <c r="AR698">
        <v>-17.07</v>
      </c>
      <c r="AS698">
        <v>-40.630000000000003</v>
      </c>
      <c r="AT698">
        <v>-28.82</v>
      </c>
      <c r="AU698">
        <v>-8.1199999999999992</v>
      </c>
      <c r="AV698">
        <v>3</v>
      </c>
      <c r="AW698">
        <v>12.52</v>
      </c>
      <c r="AX698">
        <v>53.46</v>
      </c>
      <c r="AY698">
        <v>39.25</v>
      </c>
      <c r="AZ698">
        <v>90.77</v>
      </c>
      <c r="BA698">
        <v>0</v>
      </c>
      <c r="BB698" t="s">
        <v>134</v>
      </c>
      <c r="BF698">
        <v>-5.45</v>
      </c>
      <c r="BG698">
        <v>-9.33</v>
      </c>
      <c r="BH698">
        <v>-10.24</v>
      </c>
      <c r="BI698">
        <v>0.22</v>
      </c>
      <c r="BJ698">
        <v>20210825</v>
      </c>
      <c r="BK698">
        <v>20090828</v>
      </c>
      <c r="BL698">
        <v>20.34</v>
      </c>
      <c r="BM698" t="s">
        <v>120</v>
      </c>
      <c r="BN698" t="s">
        <v>120</v>
      </c>
      <c r="BO698">
        <v>110.64</v>
      </c>
      <c r="BP698">
        <v>4.47</v>
      </c>
      <c r="BQ698">
        <v>50.4</v>
      </c>
      <c r="BR698">
        <v>0.72</v>
      </c>
      <c r="BS698">
        <v>53.79</v>
      </c>
      <c r="BT698">
        <v>75.36</v>
      </c>
      <c r="BU698">
        <v>1.04</v>
      </c>
      <c r="BV698">
        <v>0.02</v>
      </c>
      <c r="BW698">
        <v>40.17</v>
      </c>
      <c r="BX698">
        <v>17.86</v>
      </c>
      <c r="BY698">
        <v>1.27</v>
      </c>
      <c r="BZ698">
        <v>15.76</v>
      </c>
      <c r="CA698">
        <v>0.21</v>
      </c>
      <c r="CB698">
        <v>5.22</v>
      </c>
      <c r="CC698">
        <v>28.91</v>
      </c>
      <c r="CD698">
        <v>25.74</v>
      </c>
      <c r="CE698">
        <v>1.1200000000000001</v>
      </c>
      <c r="CF698">
        <v>0.84</v>
      </c>
      <c r="CG698">
        <v>1.1399999999999999</v>
      </c>
      <c r="CH698">
        <v>0.63</v>
      </c>
      <c r="CI698">
        <v>0.71</v>
      </c>
      <c r="CJ698">
        <v>-0.48</v>
      </c>
      <c r="CK698">
        <v>-0.3</v>
      </c>
      <c r="CL698">
        <v>17.36</v>
      </c>
      <c r="CM698">
        <v>2.59</v>
      </c>
      <c r="CN698">
        <v>-2.82</v>
      </c>
      <c r="CO698">
        <v>47612</v>
      </c>
      <c r="CP698">
        <v>22833</v>
      </c>
      <c r="CQ698" t="s">
        <v>2260</v>
      </c>
      <c r="CR698">
        <v>195.28</v>
      </c>
      <c r="CS698">
        <v>3.21</v>
      </c>
      <c r="CT698">
        <v>1.8</v>
      </c>
      <c r="CU698">
        <v>35.06</v>
      </c>
      <c r="CV698">
        <v>3.14</v>
      </c>
      <c r="CW698">
        <v>1.0900000000000001</v>
      </c>
      <c r="CX698" t="s">
        <v>145</v>
      </c>
      <c r="CY698">
        <v>2.48</v>
      </c>
      <c r="CZ698">
        <v>0</v>
      </c>
      <c r="DA698">
        <v>0.26</v>
      </c>
      <c r="DB698">
        <v>0.85</v>
      </c>
      <c r="DC698">
        <v>0.13</v>
      </c>
      <c r="DD698">
        <v>45.56</v>
      </c>
      <c r="DE698" t="s">
        <v>2092</v>
      </c>
      <c r="DF698">
        <v>10.97</v>
      </c>
      <c r="DG698">
        <v>3.88</v>
      </c>
      <c r="DH698">
        <v>2.46</v>
      </c>
      <c r="DI698">
        <v>0.31</v>
      </c>
      <c r="DJ698">
        <v>21237</v>
      </c>
      <c r="DK698">
        <v>2285</v>
      </c>
      <c r="DL698" t="s">
        <v>120</v>
      </c>
      <c r="DM698" t="s">
        <v>120</v>
      </c>
      <c r="DN698" t="s">
        <v>120</v>
      </c>
    </row>
    <row r="699" spans="1:118">
      <c r="A699" t="str">
        <f>"002286"</f>
        <v>002286</v>
      </c>
      <c r="B699" t="s">
        <v>4242</v>
      </c>
      <c r="C699">
        <v>4.32</v>
      </c>
      <c r="D699">
        <v>7.0000000000000007E-2</v>
      </c>
      <c r="E699">
        <v>0.53</v>
      </c>
      <c r="F699">
        <v>3895</v>
      </c>
      <c r="G699" t="s">
        <v>4243</v>
      </c>
      <c r="H699">
        <v>45361.38</v>
      </c>
      <c r="I699">
        <v>178.21</v>
      </c>
      <c r="J699" t="s">
        <v>120</v>
      </c>
      <c r="K699" t="s">
        <v>4244</v>
      </c>
      <c r="L699">
        <v>9</v>
      </c>
      <c r="M699">
        <v>13.76</v>
      </c>
      <c r="N699">
        <v>1.21</v>
      </c>
      <c r="O699">
        <v>6.07</v>
      </c>
      <c r="P699">
        <v>13.99</v>
      </c>
      <c r="Q699">
        <v>0.45</v>
      </c>
      <c r="R699">
        <v>13.25</v>
      </c>
      <c r="S699">
        <v>13.26</v>
      </c>
      <c r="T699">
        <v>332505</v>
      </c>
      <c r="U699">
        <v>13.77</v>
      </c>
      <c r="V699">
        <v>13.19</v>
      </c>
      <c r="W699">
        <v>39.36</v>
      </c>
      <c r="X699" t="s">
        <v>847</v>
      </c>
      <c r="Y699" t="s">
        <v>638</v>
      </c>
      <c r="Z699">
        <v>5.61</v>
      </c>
      <c r="AA699">
        <v>13.64</v>
      </c>
      <c r="AB699">
        <v>161903</v>
      </c>
      <c r="AC699">
        <v>170602</v>
      </c>
      <c r="AD699">
        <v>0.95</v>
      </c>
      <c r="AE699">
        <v>42</v>
      </c>
      <c r="AF699">
        <v>141</v>
      </c>
      <c r="AG699" t="s">
        <v>120</v>
      </c>
      <c r="AH699">
        <v>0.06</v>
      </c>
      <c r="AI699" t="s">
        <v>120</v>
      </c>
      <c r="AJ699">
        <v>3.69</v>
      </c>
      <c r="AK699" t="s">
        <v>4244</v>
      </c>
      <c r="AL699">
        <v>6.24</v>
      </c>
      <c r="AM699">
        <v>3966</v>
      </c>
      <c r="AN699">
        <v>84</v>
      </c>
      <c r="AO699">
        <v>2.3E-3</v>
      </c>
      <c r="AP699">
        <v>1</v>
      </c>
      <c r="AQ699">
        <v>-0.23</v>
      </c>
      <c r="AR699">
        <v>1.32</v>
      </c>
      <c r="AS699">
        <v>14.1</v>
      </c>
      <c r="AT699">
        <v>38.15</v>
      </c>
      <c r="AU699">
        <v>21.34</v>
      </c>
      <c r="AV699">
        <v>11</v>
      </c>
      <c r="AW699">
        <v>14.11</v>
      </c>
      <c r="AX699">
        <v>63.81</v>
      </c>
      <c r="AY699">
        <v>68.59</v>
      </c>
      <c r="AZ699">
        <v>97.68</v>
      </c>
      <c r="BA699">
        <v>0.22</v>
      </c>
      <c r="BB699" t="s">
        <v>143</v>
      </c>
      <c r="BF699">
        <v>3.43</v>
      </c>
      <c r="BG699">
        <v>3.77</v>
      </c>
      <c r="BH699">
        <v>-1.64</v>
      </c>
      <c r="BI699">
        <v>3.85</v>
      </c>
      <c r="BJ699">
        <v>20210824</v>
      </c>
      <c r="BK699">
        <v>20090828</v>
      </c>
      <c r="BL699">
        <v>3.69</v>
      </c>
      <c r="BM699" t="s">
        <v>120</v>
      </c>
      <c r="BN699" t="s">
        <v>120</v>
      </c>
      <c r="BO699">
        <v>28.79</v>
      </c>
      <c r="BP699">
        <v>13.76</v>
      </c>
      <c r="BQ699">
        <v>16.420000000000002</v>
      </c>
      <c r="BR699" t="s">
        <v>120</v>
      </c>
      <c r="BS699">
        <v>42.99</v>
      </c>
      <c r="BT699">
        <v>12.41</v>
      </c>
      <c r="BU699">
        <v>12.55</v>
      </c>
      <c r="BV699">
        <v>1.31</v>
      </c>
      <c r="BW699">
        <v>11.68</v>
      </c>
      <c r="BX699">
        <v>5.57</v>
      </c>
      <c r="BY699">
        <v>3.33</v>
      </c>
      <c r="BZ699">
        <v>2.75</v>
      </c>
      <c r="CA699" t="s">
        <v>120</v>
      </c>
      <c r="CB699">
        <v>8.02</v>
      </c>
      <c r="CC699">
        <v>12.62</v>
      </c>
      <c r="CD699">
        <v>11.2</v>
      </c>
      <c r="CE699">
        <v>0.76</v>
      </c>
      <c r="CF699">
        <v>7.0000000000000007E-2</v>
      </c>
      <c r="CG699">
        <v>0.76</v>
      </c>
      <c r="CH699">
        <v>0.65</v>
      </c>
      <c r="CI699">
        <v>0.65</v>
      </c>
      <c r="CJ699">
        <v>0.56999999999999995</v>
      </c>
      <c r="CK699">
        <v>0.51</v>
      </c>
      <c r="CL699">
        <v>4.12</v>
      </c>
      <c r="CM699">
        <v>2.13</v>
      </c>
      <c r="CN699">
        <v>0.27</v>
      </c>
      <c r="CO699">
        <v>42075</v>
      </c>
      <c r="CP699">
        <v>5600</v>
      </c>
      <c r="CQ699" t="s">
        <v>3428</v>
      </c>
      <c r="CR699">
        <v>48.74</v>
      </c>
      <c r="CS699">
        <v>24.1</v>
      </c>
      <c r="CT699">
        <v>3.1</v>
      </c>
      <c r="CU699">
        <v>23.87</v>
      </c>
      <c r="CV699">
        <v>4.03</v>
      </c>
      <c r="CW699">
        <v>0.45</v>
      </c>
      <c r="CX699" t="s">
        <v>1193</v>
      </c>
      <c r="CY699">
        <v>4.45</v>
      </c>
      <c r="CZ699">
        <v>0</v>
      </c>
      <c r="DA699">
        <v>2.17</v>
      </c>
      <c r="DB699">
        <v>1.1200000000000001</v>
      </c>
      <c r="DC699">
        <v>0.57999999999999996</v>
      </c>
      <c r="DD699">
        <v>57.01</v>
      </c>
      <c r="DE699" t="s">
        <v>4245</v>
      </c>
      <c r="DF699">
        <v>11.22</v>
      </c>
      <c r="DG699">
        <v>6.05</v>
      </c>
      <c r="DH699">
        <v>5.12</v>
      </c>
      <c r="DI699">
        <v>0.04</v>
      </c>
      <c r="DJ699">
        <v>1122</v>
      </c>
      <c r="DK699">
        <v>2286</v>
      </c>
      <c r="DL699" t="s">
        <v>120</v>
      </c>
      <c r="DM699" t="s">
        <v>120</v>
      </c>
      <c r="DN699" t="s">
        <v>120</v>
      </c>
    </row>
    <row r="700" spans="1:118">
      <c r="A700" t="str">
        <f>"002287"</f>
        <v>002287</v>
      </c>
      <c r="B700" t="s">
        <v>4246</v>
      </c>
      <c r="C700">
        <v>-2.74</v>
      </c>
      <c r="D700">
        <v>1.33</v>
      </c>
      <c r="E700">
        <v>0.7</v>
      </c>
      <c r="F700">
        <v>794</v>
      </c>
      <c r="G700" t="s">
        <v>4247</v>
      </c>
      <c r="H700">
        <v>15943.92</v>
      </c>
      <c r="I700">
        <v>58.78</v>
      </c>
      <c r="J700" t="s">
        <v>120</v>
      </c>
      <c r="K700" t="s">
        <v>4248</v>
      </c>
      <c r="L700">
        <v>0.99</v>
      </c>
      <c r="M700">
        <v>30.52</v>
      </c>
      <c r="N700">
        <v>0.87</v>
      </c>
      <c r="O700">
        <v>0.86</v>
      </c>
      <c r="P700">
        <v>31.65</v>
      </c>
      <c r="Q700">
        <v>-4.37</v>
      </c>
      <c r="R700">
        <v>30.01</v>
      </c>
      <c r="S700">
        <v>31.6</v>
      </c>
      <c r="T700">
        <v>52322</v>
      </c>
      <c r="U700">
        <v>30.52</v>
      </c>
      <c r="V700">
        <v>31.38</v>
      </c>
      <c r="W700">
        <v>8.19</v>
      </c>
      <c r="X700" t="s">
        <v>771</v>
      </c>
      <c r="Y700" t="s">
        <v>1886</v>
      </c>
      <c r="Z700">
        <v>5.23</v>
      </c>
      <c r="AA700">
        <v>30.47</v>
      </c>
      <c r="AB700">
        <v>29279</v>
      </c>
      <c r="AC700">
        <v>23043</v>
      </c>
      <c r="AD700">
        <v>1.27</v>
      </c>
      <c r="AE700">
        <v>4</v>
      </c>
      <c r="AF700">
        <v>3</v>
      </c>
      <c r="AG700" t="s">
        <v>120</v>
      </c>
      <c r="AH700">
        <v>0.03</v>
      </c>
      <c r="AI700" t="s">
        <v>120</v>
      </c>
      <c r="AJ700">
        <v>5.28</v>
      </c>
      <c r="AK700" t="s">
        <v>4249</v>
      </c>
      <c r="AL700">
        <v>-0.83</v>
      </c>
      <c r="AM700">
        <v>3032</v>
      </c>
      <c r="AN700">
        <v>17</v>
      </c>
      <c r="AO700">
        <v>2.9999999999999997E-4</v>
      </c>
      <c r="AP700">
        <v>-2</v>
      </c>
      <c r="AQ700">
        <v>-3.62</v>
      </c>
      <c r="AR700">
        <v>-3.41</v>
      </c>
      <c r="AS700">
        <v>10.1</v>
      </c>
      <c r="AT700">
        <v>24.16</v>
      </c>
      <c r="AU700">
        <v>19.27</v>
      </c>
      <c r="AV700">
        <v>2</v>
      </c>
      <c r="AW700">
        <v>8.0500000000000007</v>
      </c>
      <c r="AX700">
        <v>12.26</v>
      </c>
      <c r="AY700">
        <v>14.19</v>
      </c>
      <c r="AZ700">
        <v>41.02</v>
      </c>
      <c r="BA700">
        <v>0.42</v>
      </c>
      <c r="BB700" t="s">
        <v>143</v>
      </c>
      <c r="BF700">
        <v>-2.89</v>
      </c>
      <c r="BG700">
        <v>-3.42</v>
      </c>
      <c r="BH700">
        <v>-3.57</v>
      </c>
      <c r="BI700">
        <v>1.7</v>
      </c>
      <c r="BJ700">
        <v>20210827</v>
      </c>
      <c r="BK700">
        <v>20090828</v>
      </c>
      <c r="BL700">
        <v>5.3</v>
      </c>
      <c r="BM700" t="s">
        <v>120</v>
      </c>
      <c r="BN700" t="s">
        <v>120</v>
      </c>
      <c r="BO700">
        <v>56.01</v>
      </c>
      <c r="BP700">
        <v>30.33</v>
      </c>
      <c r="BQ700">
        <v>34.299999999999997</v>
      </c>
      <c r="BR700">
        <v>0.16</v>
      </c>
      <c r="BS700">
        <v>38.46</v>
      </c>
      <c r="BT700">
        <v>32.869999999999997</v>
      </c>
      <c r="BU700">
        <v>4.8600000000000003</v>
      </c>
      <c r="BV700">
        <v>1.74</v>
      </c>
      <c r="BW700">
        <v>10.02</v>
      </c>
      <c r="BX700">
        <v>10.95</v>
      </c>
      <c r="BY700">
        <v>0.79</v>
      </c>
      <c r="BZ700">
        <v>2</v>
      </c>
      <c r="CA700" t="s">
        <v>120</v>
      </c>
      <c r="CB700">
        <v>4.76</v>
      </c>
      <c r="CC700">
        <v>7.81</v>
      </c>
      <c r="CD700">
        <v>1.0900000000000001</v>
      </c>
      <c r="CE700">
        <v>10.89</v>
      </c>
      <c r="CF700">
        <v>7.81</v>
      </c>
      <c r="CG700">
        <v>10.88</v>
      </c>
      <c r="CH700">
        <v>9.89</v>
      </c>
      <c r="CI700">
        <v>9.89</v>
      </c>
      <c r="CJ700">
        <v>-0.86</v>
      </c>
      <c r="CK700">
        <v>2.37</v>
      </c>
      <c r="CL700">
        <v>20.059999999999999</v>
      </c>
      <c r="CM700">
        <v>5.85</v>
      </c>
      <c r="CN700">
        <v>-7.35</v>
      </c>
      <c r="CO700">
        <v>30923</v>
      </c>
      <c r="CP700">
        <v>2102</v>
      </c>
      <c r="CQ700" t="s">
        <v>4250</v>
      </c>
      <c r="CR700">
        <v>346.88</v>
      </c>
      <c r="CS700">
        <v>27.69</v>
      </c>
      <c r="CT700">
        <v>4.91</v>
      </c>
      <c r="CU700">
        <v>27.67</v>
      </c>
      <c r="CV700">
        <v>20.71</v>
      </c>
      <c r="CW700">
        <v>1.08</v>
      </c>
      <c r="CX700" t="s">
        <v>4251</v>
      </c>
      <c r="CY700">
        <v>6.22</v>
      </c>
      <c r="CZ700">
        <v>6.22</v>
      </c>
      <c r="DA700">
        <v>0.9</v>
      </c>
      <c r="DB700">
        <v>3.78</v>
      </c>
      <c r="DC700">
        <v>1.1000000000000001</v>
      </c>
      <c r="DD700">
        <v>61.25</v>
      </c>
      <c r="DE700" t="s">
        <v>4252</v>
      </c>
      <c r="DF700">
        <v>86.08</v>
      </c>
      <c r="DG700">
        <v>139.4</v>
      </c>
      <c r="DH700">
        <v>126.5</v>
      </c>
      <c r="DI700">
        <v>0.28000000000000003</v>
      </c>
      <c r="DJ700">
        <v>2310</v>
      </c>
      <c r="DK700">
        <v>2287</v>
      </c>
      <c r="DL700">
        <v>20210903</v>
      </c>
      <c r="DM700">
        <v>31.69</v>
      </c>
      <c r="DN700">
        <v>-3.69</v>
      </c>
    </row>
    <row r="701" spans="1:118">
      <c r="A701" t="str">
        <f>"002288"</f>
        <v>002288</v>
      </c>
      <c r="B701" t="s">
        <v>4253</v>
      </c>
      <c r="C701">
        <v>-7.44</v>
      </c>
      <c r="D701">
        <v>-0.31</v>
      </c>
      <c r="E701">
        <v>-0.28999999999999998</v>
      </c>
      <c r="F701">
        <v>8876</v>
      </c>
      <c r="G701" t="s">
        <v>4235</v>
      </c>
      <c r="H701">
        <v>77788.06</v>
      </c>
      <c r="I701">
        <v>625.25</v>
      </c>
      <c r="J701" t="s">
        <v>120</v>
      </c>
      <c r="K701" t="s">
        <v>4254</v>
      </c>
      <c r="L701">
        <v>9.91</v>
      </c>
      <c r="M701">
        <v>9.4600000000000009</v>
      </c>
      <c r="N701">
        <v>1.0900000000000001</v>
      </c>
      <c r="O701">
        <v>-0.2</v>
      </c>
      <c r="P701">
        <v>10.199999999999999</v>
      </c>
      <c r="Q701">
        <v>-7.73</v>
      </c>
      <c r="R701">
        <v>9.43</v>
      </c>
      <c r="S701">
        <v>10.19</v>
      </c>
      <c r="T701">
        <v>793164</v>
      </c>
      <c r="U701">
        <v>9.4700000000000006</v>
      </c>
      <c r="V701">
        <v>10.220000000000001</v>
      </c>
      <c r="W701">
        <v>59.89</v>
      </c>
      <c r="X701" t="s">
        <v>229</v>
      </c>
      <c r="Y701" t="s">
        <v>547</v>
      </c>
      <c r="Z701">
        <v>7.53</v>
      </c>
      <c r="AA701">
        <v>9.81</v>
      </c>
      <c r="AB701">
        <v>459347</v>
      </c>
      <c r="AC701">
        <v>333817</v>
      </c>
      <c r="AD701">
        <v>1.38</v>
      </c>
      <c r="AE701">
        <v>1201</v>
      </c>
      <c r="AF701">
        <v>1425</v>
      </c>
      <c r="AG701" t="s">
        <v>120</v>
      </c>
      <c r="AH701">
        <v>0.1</v>
      </c>
      <c r="AI701" t="s">
        <v>120</v>
      </c>
      <c r="AJ701">
        <v>8</v>
      </c>
      <c r="AK701" t="s">
        <v>4255</v>
      </c>
      <c r="AL701">
        <v>-5.52</v>
      </c>
      <c r="AM701">
        <v>4556</v>
      </c>
      <c r="AN701">
        <v>174</v>
      </c>
      <c r="AO701">
        <v>2.2000000000000001E-3</v>
      </c>
      <c r="AP701">
        <v>-1</v>
      </c>
      <c r="AQ701">
        <v>3.97</v>
      </c>
      <c r="AR701">
        <v>-2.57</v>
      </c>
      <c r="AS701">
        <v>14.39</v>
      </c>
      <c r="AT701">
        <v>24.64</v>
      </c>
      <c r="AU701">
        <v>24.8</v>
      </c>
      <c r="AV701">
        <v>3</v>
      </c>
      <c r="AW701">
        <v>12.94</v>
      </c>
      <c r="AX701">
        <v>65.790000000000006</v>
      </c>
      <c r="AY701">
        <v>70.790000000000006</v>
      </c>
      <c r="AZ701">
        <v>443.5</v>
      </c>
      <c r="BA701">
        <v>0.6</v>
      </c>
      <c r="BB701" t="s">
        <v>184</v>
      </c>
      <c r="BF701">
        <v>-4.04</v>
      </c>
      <c r="BG701">
        <v>-7.16</v>
      </c>
      <c r="BH701">
        <v>-7.25</v>
      </c>
      <c r="BI701">
        <v>0.32</v>
      </c>
      <c r="BJ701">
        <v>20210810</v>
      </c>
      <c r="BK701">
        <v>20090903</v>
      </c>
      <c r="BL701">
        <v>9.32</v>
      </c>
      <c r="BM701" t="s">
        <v>120</v>
      </c>
      <c r="BN701" t="s">
        <v>120</v>
      </c>
      <c r="BO701">
        <v>36.799999999999997</v>
      </c>
      <c r="BP701">
        <v>9.4600000000000009</v>
      </c>
      <c r="BQ701">
        <v>16.57</v>
      </c>
      <c r="BR701">
        <v>0.05</v>
      </c>
      <c r="BS701">
        <v>54.83</v>
      </c>
      <c r="BT701">
        <v>20.329999999999998</v>
      </c>
      <c r="BU701">
        <v>9.83</v>
      </c>
      <c r="BV701">
        <v>0.98</v>
      </c>
      <c r="BW701">
        <v>16.84</v>
      </c>
      <c r="BX701">
        <v>0.94</v>
      </c>
      <c r="BY701">
        <v>9.64</v>
      </c>
      <c r="BZ701">
        <v>4.91</v>
      </c>
      <c r="CA701" t="s">
        <v>120</v>
      </c>
      <c r="CB701">
        <v>5.49</v>
      </c>
      <c r="CC701">
        <v>11.97</v>
      </c>
      <c r="CD701">
        <v>9.26</v>
      </c>
      <c r="CE701">
        <v>1.1299999999999999</v>
      </c>
      <c r="CF701">
        <v>0.02</v>
      </c>
      <c r="CG701">
        <v>0.9</v>
      </c>
      <c r="CH701">
        <v>0.74</v>
      </c>
      <c r="CI701">
        <v>0.74</v>
      </c>
      <c r="CJ701">
        <v>-0.76</v>
      </c>
      <c r="CK701">
        <v>0.91</v>
      </c>
      <c r="CL701">
        <v>1.64</v>
      </c>
      <c r="CM701">
        <v>0.89</v>
      </c>
      <c r="CN701">
        <v>0.3</v>
      </c>
      <c r="CO701">
        <v>80322</v>
      </c>
      <c r="CP701">
        <v>7630</v>
      </c>
      <c r="CQ701" t="s">
        <v>2982</v>
      </c>
      <c r="CR701">
        <v>286.47000000000003</v>
      </c>
      <c r="CS701">
        <v>125.05</v>
      </c>
      <c r="CT701">
        <v>5.32</v>
      </c>
      <c r="CU701">
        <v>99.32</v>
      </c>
      <c r="CV701">
        <v>7.36</v>
      </c>
      <c r="CW701">
        <v>0</v>
      </c>
      <c r="CX701" t="s">
        <v>3295</v>
      </c>
      <c r="CY701">
        <v>1.78</v>
      </c>
      <c r="CZ701">
        <v>0</v>
      </c>
      <c r="DA701">
        <v>0.59</v>
      </c>
      <c r="DB701">
        <v>0.18</v>
      </c>
      <c r="DC701">
        <v>0.1</v>
      </c>
      <c r="DD701">
        <v>45.04</v>
      </c>
      <c r="DE701" t="s">
        <v>4256</v>
      </c>
      <c r="DF701">
        <v>22.59</v>
      </c>
      <c r="DG701">
        <v>9.4499999999999993</v>
      </c>
      <c r="DH701">
        <v>6.15</v>
      </c>
      <c r="DI701">
        <v>0.65</v>
      </c>
      <c r="DJ701">
        <v>2053</v>
      </c>
      <c r="DK701">
        <v>2288</v>
      </c>
      <c r="DL701" t="s">
        <v>120</v>
      </c>
      <c r="DM701" t="s">
        <v>120</v>
      </c>
      <c r="DN701" t="s">
        <v>120</v>
      </c>
    </row>
    <row r="702" spans="1:118">
      <c r="A702" t="str">
        <f>"002289"</f>
        <v>002289</v>
      </c>
      <c r="B702" t="s">
        <v>4257</v>
      </c>
      <c r="C702">
        <v>-1.6</v>
      </c>
      <c r="D702">
        <v>0</v>
      </c>
      <c r="E702">
        <v>0.96</v>
      </c>
      <c r="F702">
        <v>498</v>
      </c>
      <c r="G702" t="s">
        <v>4258</v>
      </c>
      <c r="H702">
        <v>2802.21</v>
      </c>
      <c r="I702">
        <v>15.1</v>
      </c>
      <c r="J702" t="s">
        <v>120</v>
      </c>
      <c r="K702" t="s">
        <v>4259</v>
      </c>
      <c r="L702">
        <v>1.1299999999999999</v>
      </c>
      <c r="M702">
        <v>9.1999999999999993</v>
      </c>
      <c r="N702">
        <v>0.78</v>
      </c>
      <c r="O702">
        <v>1.93</v>
      </c>
      <c r="P702">
        <v>9.5299999999999994</v>
      </c>
      <c r="Q702">
        <v>-1.82</v>
      </c>
      <c r="R702">
        <v>9.18</v>
      </c>
      <c r="S702">
        <v>9.44</v>
      </c>
      <c r="T702">
        <v>29964</v>
      </c>
      <c r="U702">
        <v>9.2100000000000009</v>
      </c>
      <c r="V702">
        <v>9.35</v>
      </c>
      <c r="W702" t="s">
        <v>120</v>
      </c>
      <c r="X702" t="s">
        <v>229</v>
      </c>
      <c r="Y702" t="s">
        <v>123</v>
      </c>
      <c r="Z702">
        <v>3.74</v>
      </c>
      <c r="AA702">
        <v>9.35</v>
      </c>
      <c r="AB702">
        <v>18139</v>
      </c>
      <c r="AC702">
        <v>11825</v>
      </c>
      <c r="AD702">
        <v>1.53</v>
      </c>
      <c r="AE702">
        <v>149</v>
      </c>
      <c r="AF702">
        <v>30</v>
      </c>
      <c r="AG702" t="s">
        <v>120</v>
      </c>
      <c r="AH702">
        <v>0.01</v>
      </c>
      <c r="AI702" t="s">
        <v>120</v>
      </c>
      <c r="AJ702">
        <v>2.64</v>
      </c>
      <c r="AK702" t="s">
        <v>4260</v>
      </c>
      <c r="AL702">
        <v>0.31</v>
      </c>
      <c r="AM702">
        <v>1170</v>
      </c>
      <c r="AN702">
        <v>26</v>
      </c>
      <c r="AO702">
        <v>1E-3</v>
      </c>
      <c r="AP702">
        <v>-1</v>
      </c>
      <c r="AQ702">
        <v>2.2999999999999998</v>
      </c>
      <c r="AR702">
        <v>3.26</v>
      </c>
      <c r="AS702">
        <v>-0.65</v>
      </c>
      <c r="AT702">
        <v>-5.45</v>
      </c>
      <c r="AU702">
        <v>13.44</v>
      </c>
      <c r="AV702">
        <v>25</v>
      </c>
      <c r="AW702">
        <v>1.79</v>
      </c>
      <c r="AX702">
        <v>59.82</v>
      </c>
      <c r="AY702" t="s">
        <v>120</v>
      </c>
      <c r="AZ702" t="s">
        <v>120</v>
      </c>
      <c r="BA702">
        <v>0.67</v>
      </c>
      <c r="BB702" t="s">
        <v>168</v>
      </c>
      <c r="BF702">
        <v>0.02</v>
      </c>
      <c r="BG702">
        <v>-2.54</v>
      </c>
      <c r="BH702">
        <v>-3.46</v>
      </c>
      <c r="BI702">
        <v>0.22</v>
      </c>
      <c r="BJ702">
        <v>20210903</v>
      </c>
      <c r="BK702">
        <v>20090903</v>
      </c>
      <c r="BL702">
        <v>2.8</v>
      </c>
      <c r="BM702" t="s">
        <v>120</v>
      </c>
      <c r="BN702" t="s">
        <v>120</v>
      </c>
      <c r="BO702">
        <v>3.72</v>
      </c>
      <c r="BP702">
        <v>9.1999999999999993</v>
      </c>
      <c r="BQ702">
        <v>2.85</v>
      </c>
      <c r="BR702" t="s">
        <v>120</v>
      </c>
      <c r="BS702">
        <v>23.33</v>
      </c>
      <c r="BT702">
        <v>2.23</v>
      </c>
      <c r="BU702">
        <v>0.95</v>
      </c>
      <c r="BV702">
        <v>0</v>
      </c>
      <c r="BW702">
        <v>0.69</v>
      </c>
      <c r="BX702">
        <v>0.73</v>
      </c>
      <c r="BY702">
        <v>0.39</v>
      </c>
      <c r="BZ702">
        <v>0.53</v>
      </c>
      <c r="CA702">
        <v>0</v>
      </c>
      <c r="CB702">
        <v>17.05</v>
      </c>
      <c r="CC702">
        <v>0.92</v>
      </c>
      <c r="CD702">
        <v>0.82</v>
      </c>
      <c r="CE702">
        <v>-0.13</v>
      </c>
      <c r="CF702">
        <v>0</v>
      </c>
      <c r="CG702">
        <v>-0.13</v>
      </c>
      <c r="CH702">
        <v>-0.13</v>
      </c>
      <c r="CI702">
        <v>-0.13</v>
      </c>
      <c r="CJ702">
        <v>-0.15</v>
      </c>
      <c r="CK702">
        <v>-0.14000000000000001</v>
      </c>
      <c r="CL702">
        <v>-17.16</v>
      </c>
      <c r="CM702">
        <v>-0.34</v>
      </c>
      <c r="CN702">
        <v>-1.08</v>
      </c>
      <c r="CO702">
        <v>13000</v>
      </c>
      <c r="CP702">
        <v>12896</v>
      </c>
      <c r="CQ702" t="s">
        <v>4223</v>
      </c>
      <c r="CR702">
        <v>9.64</v>
      </c>
      <c r="CS702">
        <v>63.88</v>
      </c>
      <c r="CT702">
        <v>9.0399999999999991</v>
      </c>
      <c r="CU702">
        <v>-76.28</v>
      </c>
      <c r="CV702">
        <v>28.14</v>
      </c>
      <c r="CW702">
        <v>0</v>
      </c>
      <c r="CX702" t="s">
        <v>4261</v>
      </c>
      <c r="CY702">
        <v>1.02</v>
      </c>
      <c r="CZ702">
        <v>0</v>
      </c>
      <c r="DA702">
        <v>6.08</v>
      </c>
      <c r="DB702">
        <v>-6.12</v>
      </c>
      <c r="DC702">
        <v>-0.12</v>
      </c>
      <c r="DD702">
        <v>76.67</v>
      </c>
      <c r="DE702" t="s">
        <v>4262</v>
      </c>
      <c r="DF702">
        <v>10.53</v>
      </c>
      <c r="DG702">
        <v>-14.41</v>
      </c>
      <c r="DH702">
        <v>-14.2</v>
      </c>
      <c r="DI702">
        <v>0.02</v>
      </c>
      <c r="DJ702">
        <v>425</v>
      </c>
      <c r="DK702">
        <v>2289</v>
      </c>
      <c r="DL702" t="s">
        <v>120</v>
      </c>
      <c r="DM702" t="s">
        <v>120</v>
      </c>
      <c r="DN702" t="s">
        <v>120</v>
      </c>
    </row>
    <row r="703" spans="1:118">
      <c r="A703" t="str">
        <f>"002290"</f>
        <v>002290</v>
      </c>
      <c r="B703" t="s">
        <v>4263</v>
      </c>
      <c r="C703">
        <v>2.3199999999999998</v>
      </c>
      <c r="D703">
        <v>0</v>
      </c>
      <c r="E703">
        <v>0.24</v>
      </c>
      <c r="F703">
        <v>657</v>
      </c>
      <c r="G703" t="s">
        <v>4264</v>
      </c>
      <c r="H703">
        <v>4147.1899999999996</v>
      </c>
      <c r="I703">
        <v>1.64</v>
      </c>
      <c r="J703" t="s">
        <v>120</v>
      </c>
      <c r="K703" t="s">
        <v>4265</v>
      </c>
      <c r="L703">
        <v>2.3199999999999998</v>
      </c>
      <c r="M703">
        <v>8.3699999999999992</v>
      </c>
      <c r="N703">
        <v>1.2</v>
      </c>
      <c r="O703">
        <v>2.57</v>
      </c>
      <c r="P703">
        <v>8.39</v>
      </c>
      <c r="Q703">
        <v>-0.73</v>
      </c>
      <c r="R703">
        <v>8.1199999999999992</v>
      </c>
      <c r="S703">
        <v>8.1999999999999993</v>
      </c>
      <c r="T703">
        <v>50295</v>
      </c>
      <c r="U703">
        <v>8.3800000000000008</v>
      </c>
      <c r="V703">
        <v>8.18</v>
      </c>
      <c r="W703">
        <v>15.5</v>
      </c>
      <c r="X703" t="s">
        <v>205</v>
      </c>
      <c r="Y703" t="s">
        <v>319</v>
      </c>
      <c r="Z703">
        <v>3.3</v>
      </c>
      <c r="AA703">
        <v>8.25</v>
      </c>
      <c r="AB703">
        <v>21022</v>
      </c>
      <c r="AC703">
        <v>29273</v>
      </c>
      <c r="AD703">
        <v>0.72</v>
      </c>
      <c r="AE703">
        <v>183</v>
      </c>
      <c r="AF703">
        <v>251</v>
      </c>
      <c r="AG703" t="s">
        <v>120</v>
      </c>
      <c r="AH703">
        <v>0</v>
      </c>
      <c r="AI703" t="s">
        <v>120</v>
      </c>
      <c r="AJ703">
        <v>2.16</v>
      </c>
      <c r="AK703" t="s">
        <v>4266</v>
      </c>
      <c r="AL703">
        <v>4.24</v>
      </c>
      <c r="AM703">
        <v>1230</v>
      </c>
      <c r="AN703">
        <v>41</v>
      </c>
      <c r="AO703">
        <v>1.9E-3</v>
      </c>
      <c r="AP703">
        <v>2</v>
      </c>
      <c r="AQ703">
        <v>1.61</v>
      </c>
      <c r="AR703">
        <v>2.69</v>
      </c>
      <c r="AS703">
        <v>13.41</v>
      </c>
      <c r="AT703">
        <v>2.3199999999999998</v>
      </c>
      <c r="AU703">
        <v>42.59</v>
      </c>
      <c r="AV703">
        <v>16</v>
      </c>
      <c r="AW703">
        <v>4.8</v>
      </c>
      <c r="AX703">
        <v>43.16</v>
      </c>
      <c r="AY703">
        <v>21.35</v>
      </c>
      <c r="AZ703">
        <v>36.049999999999997</v>
      </c>
      <c r="BA703">
        <v>0.95</v>
      </c>
      <c r="BB703" t="s">
        <v>184</v>
      </c>
      <c r="BF703">
        <v>0.8</v>
      </c>
      <c r="BG703">
        <v>2.0699999999999998</v>
      </c>
      <c r="BH703">
        <v>-0.24</v>
      </c>
      <c r="BI703">
        <v>3.08</v>
      </c>
      <c r="BJ703">
        <v>20210913</v>
      </c>
      <c r="BK703">
        <v>20090903</v>
      </c>
      <c r="BL703">
        <v>2.4300000000000002</v>
      </c>
      <c r="BM703" t="s">
        <v>120</v>
      </c>
      <c r="BN703" t="s">
        <v>120</v>
      </c>
      <c r="BO703">
        <v>16.09</v>
      </c>
      <c r="BP703">
        <v>8.3699999999999992</v>
      </c>
      <c r="BQ703">
        <v>5.07</v>
      </c>
      <c r="BR703" t="s">
        <v>120</v>
      </c>
      <c r="BS703">
        <v>68.510000000000005</v>
      </c>
      <c r="BT703">
        <v>13.3</v>
      </c>
      <c r="BU703">
        <v>1.49</v>
      </c>
      <c r="BV703">
        <v>0.64</v>
      </c>
      <c r="BW703">
        <v>5.93</v>
      </c>
      <c r="BX703">
        <v>2.5499999999999998</v>
      </c>
      <c r="BY703">
        <v>4.1900000000000004</v>
      </c>
      <c r="BZ703">
        <v>3.71</v>
      </c>
      <c r="CA703" t="s">
        <v>120</v>
      </c>
      <c r="CB703">
        <v>11.26</v>
      </c>
      <c r="CC703">
        <v>11.26</v>
      </c>
      <c r="CD703">
        <v>9.69</v>
      </c>
      <c r="CE703">
        <v>0.79</v>
      </c>
      <c r="CF703">
        <v>0.01</v>
      </c>
      <c r="CG703">
        <v>0.8</v>
      </c>
      <c r="CH703">
        <v>0.66</v>
      </c>
      <c r="CI703">
        <v>0.66</v>
      </c>
      <c r="CJ703">
        <v>0.19</v>
      </c>
      <c r="CK703">
        <v>0.61</v>
      </c>
      <c r="CL703">
        <v>-9.0500000000000007</v>
      </c>
      <c r="CM703">
        <v>0.51</v>
      </c>
      <c r="CN703">
        <v>-0.25</v>
      </c>
      <c r="CO703">
        <v>15628</v>
      </c>
      <c r="CP703">
        <v>6703</v>
      </c>
      <c r="CQ703" t="s">
        <v>4267</v>
      </c>
      <c r="CR703">
        <v>137.25</v>
      </c>
      <c r="CS703">
        <v>57.1</v>
      </c>
      <c r="CT703">
        <v>4.01</v>
      </c>
      <c r="CU703">
        <v>40.11</v>
      </c>
      <c r="CV703">
        <v>1.8</v>
      </c>
      <c r="CW703">
        <v>0</v>
      </c>
      <c r="CX703" t="s">
        <v>1233</v>
      </c>
      <c r="CY703">
        <v>2.09</v>
      </c>
      <c r="CZ703">
        <v>0</v>
      </c>
      <c r="DA703">
        <v>4.6399999999999997</v>
      </c>
      <c r="DB703">
        <v>-3.73</v>
      </c>
      <c r="DC703">
        <v>0.21</v>
      </c>
      <c r="DD703">
        <v>31.49</v>
      </c>
      <c r="DE703" t="s">
        <v>4268</v>
      </c>
      <c r="DF703">
        <v>13.98</v>
      </c>
      <c r="DG703">
        <v>7.02</v>
      </c>
      <c r="DH703">
        <v>5.82</v>
      </c>
      <c r="DI703">
        <v>0.35</v>
      </c>
      <c r="DJ703">
        <v>775</v>
      </c>
      <c r="DK703">
        <v>2290</v>
      </c>
      <c r="DL703" t="s">
        <v>120</v>
      </c>
      <c r="DM703" t="s">
        <v>120</v>
      </c>
      <c r="DN703" t="s">
        <v>120</v>
      </c>
    </row>
    <row r="704" spans="1:118">
      <c r="A704" t="str">
        <f>"002291"</f>
        <v>002291</v>
      </c>
      <c r="B704" t="s">
        <v>4269</v>
      </c>
      <c r="C704">
        <v>-0.25</v>
      </c>
      <c r="D704">
        <v>-0.2</v>
      </c>
      <c r="E704">
        <v>0.33</v>
      </c>
      <c r="F704">
        <v>1503</v>
      </c>
      <c r="G704" t="s">
        <v>4270</v>
      </c>
      <c r="H704">
        <v>51780.04</v>
      </c>
      <c r="I704">
        <v>543.6</v>
      </c>
      <c r="J704" t="s">
        <v>120</v>
      </c>
      <c r="K704" t="s">
        <v>4271</v>
      </c>
      <c r="L704">
        <v>3.51</v>
      </c>
      <c r="M704">
        <v>23.86</v>
      </c>
      <c r="N704">
        <v>0.97</v>
      </c>
      <c r="O704">
        <v>3.26</v>
      </c>
      <c r="P704">
        <v>24.7</v>
      </c>
      <c r="Q704">
        <v>-1.67</v>
      </c>
      <c r="R704">
        <v>23.52</v>
      </c>
      <c r="S704">
        <v>24</v>
      </c>
      <c r="T704">
        <v>215451</v>
      </c>
      <c r="U704">
        <v>23.86</v>
      </c>
      <c r="V704">
        <v>23.92</v>
      </c>
      <c r="W704" t="s">
        <v>120</v>
      </c>
      <c r="X704" t="s">
        <v>2806</v>
      </c>
      <c r="Y704" t="s">
        <v>547</v>
      </c>
      <c r="Z704">
        <v>4.93</v>
      </c>
      <c r="AA704">
        <v>24.03</v>
      </c>
      <c r="AB704">
        <v>102463</v>
      </c>
      <c r="AC704">
        <v>112988</v>
      </c>
      <c r="AD704">
        <v>0.91</v>
      </c>
      <c r="AE704">
        <v>63</v>
      </c>
      <c r="AF704">
        <v>1111</v>
      </c>
      <c r="AG704" t="s">
        <v>120</v>
      </c>
      <c r="AH704">
        <v>0.05</v>
      </c>
      <c r="AI704" t="s">
        <v>120</v>
      </c>
      <c r="AJ704">
        <v>6.15</v>
      </c>
      <c r="AK704" t="s">
        <v>4272</v>
      </c>
      <c r="AL704">
        <v>1.66</v>
      </c>
      <c r="AM704">
        <v>3784</v>
      </c>
      <c r="AN704">
        <v>57</v>
      </c>
      <c r="AO704">
        <v>8.9999999999999998E-4</v>
      </c>
      <c r="AP704">
        <v>-1</v>
      </c>
      <c r="AQ704">
        <v>5.42</v>
      </c>
      <c r="AR704">
        <v>-1.53</v>
      </c>
      <c r="AS704">
        <v>23.37</v>
      </c>
      <c r="AT704">
        <v>28.35</v>
      </c>
      <c r="AU704">
        <v>47.65</v>
      </c>
      <c r="AV704">
        <v>8</v>
      </c>
      <c r="AW704">
        <v>4.75</v>
      </c>
      <c r="AX704">
        <v>61.02</v>
      </c>
      <c r="AY704">
        <v>257.67</v>
      </c>
      <c r="AZ704">
        <v>732.24</v>
      </c>
      <c r="BA704">
        <v>0.75</v>
      </c>
      <c r="BB704" t="s">
        <v>184</v>
      </c>
      <c r="BF704">
        <v>0.47</v>
      </c>
      <c r="BG704">
        <v>-0.57999999999999996</v>
      </c>
      <c r="BH704">
        <v>-3.4</v>
      </c>
      <c r="BI704">
        <v>1.45</v>
      </c>
      <c r="BJ704">
        <v>20210830</v>
      </c>
      <c r="BK704">
        <v>20090903</v>
      </c>
      <c r="BL704">
        <v>7.44</v>
      </c>
      <c r="BM704" t="s">
        <v>120</v>
      </c>
      <c r="BN704" t="s">
        <v>120</v>
      </c>
      <c r="BO704">
        <v>55.47</v>
      </c>
      <c r="BP704">
        <v>23.85</v>
      </c>
      <c r="BQ704">
        <v>32.869999999999997</v>
      </c>
      <c r="BR704">
        <v>0.22</v>
      </c>
      <c r="BS704">
        <v>40.35</v>
      </c>
      <c r="BT704">
        <v>30.03</v>
      </c>
      <c r="BU704">
        <v>1.1200000000000001</v>
      </c>
      <c r="BV704">
        <v>1.35</v>
      </c>
      <c r="BW704">
        <v>21.48</v>
      </c>
      <c r="BX704">
        <v>2.2200000000000002</v>
      </c>
      <c r="BY704">
        <v>12.06</v>
      </c>
      <c r="BZ704">
        <v>11.29</v>
      </c>
      <c r="CA704" t="s">
        <v>120</v>
      </c>
      <c r="CB704">
        <v>23.4</v>
      </c>
      <c r="CC704">
        <v>10.17</v>
      </c>
      <c r="CD704">
        <v>7.62</v>
      </c>
      <c r="CE704">
        <v>-0.53</v>
      </c>
      <c r="CF704">
        <v>0.32</v>
      </c>
      <c r="CG704">
        <v>-0.53</v>
      </c>
      <c r="CH704">
        <v>-0.56999999999999995</v>
      </c>
      <c r="CI704">
        <v>-0.59</v>
      </c>
      <c r="CJ704">
        <v>-0.06</v>
      </c>
      <c r="CK704">
        <v>-0.73</v>
      </c>
      <c r="CL704">
        <v>1.83</v>
      </c>
      <c r="CM704">
        <v>-0.53</v>
      </c>
      <c r="CN704">
        <v>-0.13</v>
      </c>
      <c r="CO704">
        <v>35463</v>
      </c>
      <c r="CP704">
        <v>12798</v>
      </c>
      <c r="CQ704" t="s">
        <v>4273</v>
      </c>
      <c r="CR704">
        <v>43.07</v>
      </c>
      <c r="CS704">
        <v>11.17</v>
      </c>
      <c r="CT704">
        <v>5.4</v>
      </c>
      <c r="CU704">
        <v>-335.76</v>
      </c>
      <c r="CV704">
        <v>17.440000000000001</v>
      </c>
      <c r="CW704">
        <v>0</v>
      </c>
      <c r="CX704" t="s">
        <v>1320</v>
      </c>
      <c r="CY704">
        <v>4.42</v>
      </c>
      <c r="CZ704">
        <v>0</v>
      </c>
      <c r="DA704">
        <v>3.15</v>
      </c>
      <c r="DB704">
        <v>0.25</v>
      </c>
      <c r="DC704">
        <v>-7.0000000000000007E-2</v>
      </c>
      <c r="DD704">
        <v>59.24</v>
      </c>
      <c r="DE704" t="s">
        <v>4274</v>
      </c>
      <c r="DF704">
        <v>25.13</v>
      </c>
      <c r="DG704">
        <v>-5.19</v>
      </c>
      <c r="DH704">
        <v>-5.81</v>
      </c>
      <c r="DI704">
        <v>0.23</v>
      </c>
      <c r="DJ704">
        <v>1772</v>
      </c>
      <c r="DK704">
        <v>2291</v>
      </c>
      <c r="DL704" t="s">
        <v>120</v>
      </c>
      <c r="DM704" t="s">
        <v>120</v>
      </c>
      <c r="DN704" t="s">
        <v>120</v>
      </c>
    </row>
    <row r="705" spans="1:118">
      <c r="A705" t="str">
        <f>"002292"</f>
        <v>002292</v>
      </c>
      <c r="B705" t="s">
        <v>4275</v>
      </c>
      <c r="C705">
        <v>-0.87</v>
      </c>
      <c r="D705">
        <v>0.53</v>
      </c>
      <c r="E705">
        <v>0</v>
      </c>
      <c r="F705">
        <v>5172</v>
      </c>
      <c r="G705" t="s">
        <v>1698</v>
      </c>
      <c r="H705">
        <v>7801.19</v>
      </c>
      <c r="I705">
        <v>10.94</v>
      </c>
      <c r="J705" t="s">
        <v>120</v>
      </c>
      <c r="K705" t="s">
        <v>4276</v>
      </c>
      <c r="L705">
        <v>1.61</v>
      </c>
      <c r="M705">
        <v>5.68</v>
      </c>
      <c r="N705">
        <v>0.9</v>
      </c>
      <c r="O705">
        <v>0.87</v>
      </c>
      <c r="P705">
        <v>5.78</v>
      </c>
      <c r="Q705">
        <v>-2.97</v>
      </c>
      <c r="R705">
        <v>5.56</v>
      </c>
      <c r="S705">
        <v>5.73</v>
      </c>
      <c r="T705">
        <v>137471</v>
      </c>
      <c r="U705">
        <v>5.68</v>
      </c>
      <c r="V705">
        <v>5.73</v>
      </c>
      <c r="W705">
        <v>744.32</v>
      </c>
      <c r="X705" t="s">
        <v>584</v>
      </c>
      <c r="Y705" t="s">
        <v>547</v>
      </c>
      <c r="Z705">
        <v>3.84</v>
      </c>
      <c r="AA705">
        <v>5.67</v>
      </c>
      <c r="AB705">
        <v>68025</v>
      </c>
      <c r="AC705">
        <v>69446</v>
      </c>
      <c r="AD705">
        <v>0.98</v>
      </c>
      <c r="AE705">
        <v>234</v>
      </c>
      <c r="AF705">
        <v>765</v>
      </c>
      <c r="AG705" t="s">
        <v>120</v>
      </c>
      <c r="AH705">
        <v>0</v>
      </c>
      <c r="AI705" t="s">
        <v>120</v>
      </c>
      <c r="AJ705">
        <v>8.5399999999999991</v>
      </c>
      <c r="AK705" t="s">
        <v>4277</v>
      </c>
      <c r="AL705">
        <v>1.04</v>
      </c>
      <c r="AM705">
        <v>2496</v>
      </c>
      <c r="AN705">
        <v>55</v>
      </c>
      <c r="AO705">
        <v>5.9999999999999995E-4</v>
      </c>
      <c r="AP705">
        <v>-1</v>
      </c>
      <c r="AQ705">
        <v>0.7</v>
      </c>
      <c r="AR705">
        <v>-2.4</v>
      </c>
      <c r="AS705">
        <v>11.15</v>
      </c>
      <c r="AT705">
        <v>-13.41</v>
      </c>
      <c r="AU705">
        <v>-6.73</v>
      </c>
      <c r="AV705">
        <v>0</v>
      </c>
      <c r="AW705">
        <v>2.0699999999999998</v>
      </c>
      <c r="AX705">
        <v>48.97</v>
      </c>
      <c r="AY705" t="s">
        <v>120</v>
      </c>
      <c r="AZ705" t="s">
        <v>120</v>
      </c>
      <c r="BA705">
        <v>0.52</v>
      </c>
      <c r="BB705" t="s">
        <v>143</v>
      </c>
      <c r="BF705">
        <v>-0.96</v>
      </c>
      <c r="BG705">
        <v>-0.87</v>
      </c>
      <c r="BH705">
        <v>-1.73</v>
      </c>
      <c r="BI705">
        <v>2.16</v>
      </c>
      <c r="BJ705">
        <v>20210831</v>
      </c>
      <c r="BK705">
        <v>20090910</v>
      </c>
      <c r="BL705">
        <v>13.57</v>
      </c>
      <c r="BM705" t="s">
        <v>120</v>
      </c>
      <c r="BN705" t="s">
        <v>120</v>
      </c>
      <c r="BO705">
        <v>55.53</v>
      </c>
      <c r="BP705">
        <v>5.65</v>
      </c>
      <c r="BQ705">
        <v>31.87</v>
      </c>
      <c r="BR705">
        <v>0.39</v>
      </c>
      <c r="BS705">
        <v>41.91</v>
      </c>
      <c r="BT705">
        <v>18.22</v>
      </c>
      <c r="BU705">
        <v>2.82</v>
      </c>
      <c r="BV705">
        <v>1.45</v>
      </c>
      <c r="BW705">
        <v>19.39</v>
      </c>
      <c r="BX705">
        <v>3.21</v>
      </c>
      <c r="BY705">
        <v>8.98</v>
      </c>
      <c r="BZ705">
        <v>3.26</v>
      </c>
      <c r="CA705" t="s">
        <v>120</v>
      </c>
      <c r="CB705">
        <v>20.57</v>
      </c>
      <c r="CC705">
        <v>13.18</v>
      </c>
      <c r="CD705">
        <v>8.4700000000000006</v>
      </c>
      <c r="CE705">
        <v>-0.01</v>
      </c>
      <c r="CF705">
        <v>-0.11</v>
      </c>
      <c r="CG705">
        <v>0.08</v>
      </c>
      <c r="CH705">
        <v>0.13</v>
      </c>
      <c r="CI705">
        <v>0.05</v>
      </c>
      <c r="CJ705">
        <v>-0.05</v>
      </c>
      <c r="CK705">
        <v>-0.19</v>
      </c>
      <c r="CL705">
        <v>-1.82</v>
      </c>
      <c r="CM705">
        <v>7.0000000000000007E-2</v>
      </c>
      <c r="CN705">
        <v>-2.46</v>
      </c>
      <c r="CO705">
        <v>70510</v>
      </c>
      <c r="CP705">
        <v>9426</v>
      </c>
      <c r="CQ705" t="s">
        <v>2603</v>
      </c>
      <c r="CR705">
        <v>110.37</v>
      </c>
      <c r="CS705">
        <v>21.1</v>
      </c>
      <c r="CT705">
        <v>2.42</v>
      </c>
      <c r="CU705">
        <v>1111.53</v>
      </c>
      <c r="CV705">
        <v>5.85</v>
      </c>
      <c r="CW705">
        <v>0</v>
      </c>
      <c r="CX705" t="s">
        <v>1902</v>
      </c>
      <c r="CY705">
        <v>2.35</v>
      </c>
      <c r="CZ705">
        <v>0</v>
      </c>
      <c r="DA705">
        <v>1.52</v>
      </c>
      <c r="DB705">
        <v>-0.13</v>
      </c>
      <c r="DC705">
        <v>0.01</v>
      </c>
      <c r="DD705">
        <v>57.39</v>
      </c>
      <c r="DE705" t="s">
        <v>1098</v>
      </c>
      <c r="DF705">
        <v>35.74</v>
      </c>
      <c r="DG705">
        <v>-0.05</v>
      </c>
      <c r="DH705">
        <v>0.39</v>
      </c>
      <c r="DI705">
        <v>0.83</v>
      </c>
      <c r="DJ705">
        <v>3906</v>
      </c>
      <c r="DK705">
        <v>2292</v>
      </c>
      <c r="DL705" t="s">
        <v>120</v>
      </c>
      <c r="DM705" t="s">
        <v>120</v>
      </c>
      <c r="DN705" t="s">
        <v>120</v>
      </c>
    </row>
    <row r="706" spans="1:118">
      <c r="A706" t="str">
        <f>"002293"</f>
        <v>002293</v>
      </c>
      <c r="B706" t="s">
        <v>4278</v>
      </c>
      <c r="C706">
        <v>3.83</v>
      </c>
      <c r="D706">
        <v>0.08</v>
      </c>
      <c r="E706">
        <v>0.25</v>
      </c>
      <c r="F706">
        <v>2254</v>
      </c>
      <c r="G706" t="s">
        <v>4279</v>
      </c>
      <c r="H706">
        <v>8650.0499999999993</v>
      </c>
      <c r="I706">
        <v>3.86</v>
      </c>
      <c r="J706" t="s">
        <v>120</v>
      </c>
      <c r="K706" t="s">
        <v>4280</v>
      </c>
      <c r="L706">
        <v>0.85</v>
      </c>
      <c r="M706">
        <v>12.48</v>
      </c>
      <c r="N706">
        <v>2.17</v>
      </c>
      <c r="O706">
        <v>5.41</v>
      </c>
      <c r="P706">
        <v>12.67</v>
      </c>
      <c r="Q706">
        <v>0.08</v>
      </c>
      <c r="R706">
        <v>12.03</v>
      </c>
      <c r="S706">
        <v>12.05</v>
      </c>
      <c r="T706">
        <v>69392</v>
      </c>
      <c r="U706">
        <v>12.48</v>
      </c>
      <c r="V706">
        <v>12.02</v>
      </c>
      <c r="W706">
        <v>18.28</v>
      </c>
      <c r="X706" t="s">
        <v>1766</v>
      </c>
      <c r="Y706" t="s">
        <v>319</v>
      </c>
      <c r="Z706">
        <v>5.32</v>
      </c>
      <c r="AA706">
        <v>12.47</v>
      </c>
      <c r="AB706">
        <v>30261</v>
      </c>
      <c r="AC706">
        <v>39131</v>
      </c>
      <c r="AD706">
        <v>0.77</v>
      </c>
      <c r="AE706">
        <v>129</v>
      </c>
      <c r="AF706">
        <v>14</v>
      </c>
      <c r="AG706" t="s">
        <v>120</v>
      </c>
      <c r="AH706">
        <v>0</v>
      </c>
      <c r="AI706" t="s">
        <v>120</v>
      </c>
      <c r="AJ706">
        <v>8.2100000000000009</v>
      </c>
      <c r="AK706" t="s">
        <v>4281</v>
      </c>
      <c r="AL706">
        <v>5.74</v>
      </c>
      <c r="AM706">
        <v>2562</v>
      </c>
      <c r="AN706">
        <v>27</v>
      </c>
      <c r="AO706">
        <v>2.9999999999999997E-4</v>
      </c>
      <c r="AP706">
        <v>1</v>
      </c>
      <c r="AQ706">
        <v>-0.25</v>
      </c>
      <c r="AR706">
        <v>1.88</v>
      </c>
      <c r="AS706">
        <v>10.15</v>
      </c>
      <c r="AT706">
        <v>-3.63</v>
      </c>
      <c r="AU706">
        <v>5.31</v>
      </c>
      <c r="AV706">
        <v>0</v>
      </c>
      <c r="AW706">
        <v>1.85</v>
      </c>
      <c r="AX706">
        <v>45.32</v>
      </c>
      <c r="AY706">
        <v>14.2</v>
      </c>
      <c r="AZ706">
        <v>17</v>
      </c>
      <c r="BA706">
        <v>0.48</v>
      </c>
      <c r="BB706" t="s">
        <v>143</v>
      </c>
      <c r="BF706">
        <v>3.71</v>
      </c>
      <c r="BG706">
        <v>3.57</v>
      </c>
      <c r="BH706">
        <v>-1.5</v>
      </c>
      <c r="BI706">
        <v>3.74</v>
      </c>
      <c r="BJ706">
        <v>20210821</v>
      </c>
      <c r="BK706">
        <v>20090910</v>
      </c>
      <c r="BL706">
        <v>8.27</v>
      </c>
      <c r="BM706" t="s">
        <v>120</v>
      </c>
      <c r="BN706" t="s">
        <v>120</v>
      </c>
      <c r="BO706">
        <v>59.95</v>
      </c>
      <c r="BP706">
        <v>12.47</v>
      </c>
      <c r="BQ706">
        <v>41.19</v>
      </c>
      <c r="BR706">
        <v>0.26</v>
      </c>
      <c r="BS706">
        <v>30.87</v>
      </c>
      <c r="BT706">
        <v>37.520000000000003</v>
      </c>
      <c r="BU706">
        <v>8.56</v>
      </c>
      <c r="BV706">
        <v>2.6</v>
      </c>
      <c r="BW706">
        <v>14.14</v>
      </c>
      <c r="BX706">
        <v>13.63</v>
      </c>
      <c r="BY706">
        <v>12.81</v>
      </c>
      <c r="BZ706">
        <v>4.63</v>
      </c>
      <c r="CA706" t="s">
        <v>120</v>
      </c>
      <c r="CB706">
        <v>8.02</v>
      </c>
      <c r="CC706">
        <v>25.26</v>
      </c>
      <c r="CD706">
        <v>14.16</v>
      </c>
      <c r="CE706">
        <v>3.46</v>
      </c>
      <c r="CF706">
        <v>0.04</v>
      </c>
      <c r="CG706">
        <v>3.48</v>
      </c>
      <c r="CH706">
        <v>2.83</v>
      </c>
      <c r="CI706">
        <v>2.82</v>
      </c>
      <c r="CJ706">
        <v>0.46</v>
      </c>
      <c r="CK706">
        <v>2.66</v>
      </c>
      <c r="CL706">
        <v>20.010000000000002</v>
      </c>
      <c r="CM706">
        <v>1.1000000000000001</v>
      </c>
      <c r="CN706">
        <v>-3.31</v>
      </c>
      <c r="CO706">
        <v>26111</v>
      </c>
      <c r="CP706">
        <v>14359</v>
      </c>
      <c r="CQ706" t="s">
        <v>4282</v>
      </c>
      <c r="CR706">
        <v>68.849999999999994</v>
      </c>
      <c r="CS706">
        <v>32.54</v>
      </c>
      <c r="CT706">
        <v>2.5099999999999998</v>
      </c>
      <c r="CU706">
        <v>93.93</v>
      </c>
      <c r="CV706">
        <v>4.09</v>
      </c>
      <c r="CW706">
        <v>4.99</v>
      </c>
      <c r="CX706" t="s">
        <v>1574</v>
      </c>
      <c r="CY706">
        <v>4.9800000000000004</v>
      </c>
      <c r="CZ706">
        <v>4.9800000000000004</v>
      </c>
      <c r="DA706">
        <v>0.97</v>
      </c>
      <c r="DB706">
        <v>2.42</v>
      </c>
      <c r="DC706">
        <v>0.13</v>
      </c>
      <c r="DD706">
        <v>68.7</v>
      </c>
      <c r="DE706" t="s">
        <v>294</v>
      </c>
      <c r="DF706">
        <v>43.93</v>
      </c>
      <c r="DG706">
        <v>13.7</v>
      </c>
      <c r="DH706">
        <v>11.18</v>
      </c>
      <c r="DI706">
        <v>0.5</v>
      </c>
      <c r="DJ706">
        <v>3452</v>
      </c>
      <c r="DK706">
        <v>2293</v>
      </c>
      <c r="DL706" t="s">
        <v>120</v>
      </c>
      <c r="DM706" t="s">
        <v>120</v>
      </c>
      <c r="DN706" t="s">
        <v>120</v>
      </c>
    </row>
    <row r="707" spans="1:118">
      <c r="A707" t="str">
        <f>"002294"</f>
        <v>002294</v>
      </c>
      <c r="B707" t="s">
        <v>4283</v>
      </c>
      <c r="C707">
        <v>-2.83</v>
      </c>
      <c r="D707">
        <v>-0.57999999999999996</v>
      </c>
      <c r="E707">
        <v>-0.25</v>
      </c>
      <c r="F707">
        <v>2115</v>
      </c>
      <c r="G707" t="s">
        <v>4284</v>
      </c>
      <c r="H707">
        <v>8047.05</v>
      </c>
      <c r="I707">
        <v>22.26</v>
      </c>
      <c r="J707" t="s">
        <v>120</v>
      </c>
      <c r="K707" t="s">
        <v>4285</v>
      </c>
      <c r="L707">
        <v>0.28000000000000003</v>
      </c>
      <c r="M707">
        <v>26.77</v>
      </c>
      <c r="N707">
        <v>1.01</v>
      </c>
      <c r="O707">
        <v>0.28999999999999998</v>
      </c>
      <c r="P707">
        <v>27.63</v>
      </c>
      <c r="Q707">
        <v>-2.83</v>
      </c>
      <c r="R707">
        <v>26.77</v>
      </c>
      <c r="S707">
        <v>27.48</v>
      </c>
      <c r="T707">
        <v>29565</v>
      </c>
      <c r="U707">
        <v>26.9</v>
      </c>
      <c r="V707">
        <v>27.55</v>
      </c>
      <c r="W707">
        <v>62.98</v>
      </c>
      <c r="X707" t="s">
        <v>569</v>
      </c>
      <c r="Y707" t="s">
        <v>123</v>
      </c>
      <c r="Z707">
        <v>3.12</v>
      </c>
      <c r="AA707">
        <v>27.22</v>
      </c>
      <c r="AB707">
        <v>15992</v>
      </c>
      <c r="AC707">
        <v>13573</v>
      </c>
      <c r="AD707">
        <v>1.18</v>
      </c>
      <c r="AE707">
        <v>53</v>
      </c>
      <c r="AF707">
        <v>8</v>
      </c>
      <c r="AG707" t="s">
        <v>120</v>
      </c>
      <c r="AH707">
        <v>0</v>
      </c>
      <c r="AI707" t="s">
        <v>120</v>
      </c>
      <c r="AJ707">
        <v>10.46</v>
      </c>
      <c r="AK707" t="s">
        <v>4286</v>
      </c>
      <c r="AL707">
        <v>-0.92</v>
      </c>
      <c r="AM707">
        <v>2184</v>
      </c>
      <c r="AN707">
        <v>14</v>
      </c>
      <c r="AO707">
        <v>1E-4</v>
      </c>
      <c r="AP707">
        <v>-1</v>
      </c>
      <c r="AQ707">
        <v>0</v>
      </c>
      <c r="AR707">
        <v>-3.95</v>
      </c>
      <c r="AS707">
        <v>2.41</v>
      </c>
      <c r="AT707">
        <v>-15.29</v>
      </c>
      <c r="AU707">
        <v>-5.5</v>
      </c>
      <c r="AV707">
        <v>2</v>
      </c>
      <c r="AW707">
        <v>0.76</v>
      </c>
      <c r="AX707">
        <v>34.799999999999997</v>
      </c>
      <c r="AY707">
        <v>303.56</v>
      </c>
      <c r="AZ707">
        <v>504.61</v>
      </c>
      <c r="BA707">
        <v>0.38</v>
      </c>
      <c r="BB707" t="s">
        <v>143</v>
      </c>
      <c r="BF707">
        <v>-1.21</v>
      </c>
      <c r="BG707">
        <v>-2.58</v>
      </c>
      <c r="BH707">
        <v>-3.11</v>
      </c>
      <c r="BI707">
        <v>0</v>
      </c>
      <c r="BJ707">
        <v>20210824</v>
      </c>
      <c r="BK707">
        <v>20090910</v>
      </c>
      <c r="BL707">
        <v>11.15</v>
      </c>
      <c r="BM707" t="s">
        <v>120</v>
      </c>
      <c r="BN707" t="s">
        <v>120</v>
      </c>
      <c r="BO707">
        <v>93.54</v>
      </c>
      <c r="BP707">
        <v>26.77</v>
      </c>
      <c r="BQ707">
        <v>80.67</v>
      </c>
      <c r="BR707">
        <v>0.79</v>
      </c>
      <c r="BS707">
        <v>12.91</v>
      </c>
      <c r="BT707">
        <v>46.33</v>
      </c>
      <c r="BU707">
        <v>12.06</v>
      </c>
      <c r="BV707">
        <v>12.25</v>
      </c>
      <c r="BW707">
        <v>9.69</v>
      </c>
      <c r="BX707">
        <v>34.130000000000003</v>
      </c>
      <c r="BY707">
        <v>4.1399999999999997</v>
      </c>
      <c r="BZ707">
        <v>4.57</v>
      </c>
      <c r="CA707" t="s">
        <v>120</v>
      </c>
      <c r="CB707">
        <v>19.239999999999998</v>
      </c>
      <c r="CC707">
        <v>13.76</v>
      </c>
      <c r="CD707">
        <v>3.71</v>
      </c>
      <c r="CE707">
        <v>2.89</v>
      </c>
      <c r="CF707">
        <v>-0.25</v>
      </c>
      <c r="CG707">
        <v>2.83</v>
      </c>
      <c r="CH707">
        <v>2.3199999999999998</v>
      </c>
      <c r="CI707">
        <v>2.37</v>
      </c>
      <c r="CJ707">
        <v>-0.78</v>
      </c>
      <c r="CK707">
        <v>2.19</v>
      </c>
      <c r="CL707">
        <v>45.38</v>
      </c>
      <c r="CM707">
        <v>3.17</v>
      </c>
      <c r="CN707">
        <v>25.5</v>
      </c>
      <c r="CO707">
        <v>39943</v>
      </c>
      <c r="CP707">
        <v>9713</v>
      </c>
      <c r="CQ707" t="s">
        <v>4287</v>
      </c>
      <c r="CR707">
        <v>20.5</v>
      </c>
      <c r="CS707">
        <v>-10.38</v>
      </c>
      <c r="CT707">
        <v>3.7</v>
      </c>
      <c r="CU707">
        <v>94.11</v>
      </c>
      <c r="CV707">
        <v>21.68</v>
      </c>
      <c r="CW707">
        <v>0</v>
      </c>
      <c r="CX707" t="s">
        <v>3361</v>
      </c>
      <c r="CY707">
        <v>7.24</v>
      </c>
      <c r="CZ707">
        <v>0</v>
      </c>
      <c r="DA707">
        <v>1.73</v>
      </c>
      <c r="DB707">
        <v>4.07</v>
      </c>
      <c r="DC707">
        <v>0.28000000000000003</v>
      </c>
      <c r="DD707">
        <v>86.24</v>
      </c>
      <c r="DE707" t="s">
        <v>4288</v>
      </c>
      <c r="DF707">
        <v>73.06</v>
      </c>
      <c r="DG707">
        <v>20.99</v>
      </c>
      <c r="DH707">
        <v>17.21</v>
      </c>
      <c r="DI707">
        <v>1.28</v>
      </c>
      <c r="DJ707">
        <v>3448</v>
      </c>
      <c r="DK707">
        <v>2294</v>
      </c>
      <c r="DL707" t="s">
        <v>120</v>
      </c>
      <c r="DM707" t="s">
        <v>120</v>
      </c>
      <c r="DN707" t="s">
        <v>120</v>
      </c>
    </row>
    <row r="708" spans="1:118">
      <c r="A708" t="str">
        <f>"002295"</f>
        <v>002295</v>
      </c>
      <c r="B708" t="s">
        <v>4289</v>
      </c>
      <c r="C708">
        <v>-3.47</v>
      </c>
      <c r="D708">
        <v>-0.25</v>
      </c>
      <c r="E708">
        <v>0</v>
      </c>
      <c r="F708">
        <v>649</v>
      </c>
      <c r="G708" t="s">
        <v>4290</v>
      </c>
      <c r="H708">
        <v>4232.07</v>
      </c>
      <c r="I708">
        <v>9.83</v>
      </c>
      <c r="J708" t="s">
        <v>120</v>
      </c>
      <c r="K708" t="s">
        <v>4291</v>
      </c>
      <c r="L708">
        <v>2.14</v>
      </c>
      <c r="M708">
        <v>7.78</v>
      </c>
      <c r="N708">
        <v>0.85</v>
      </c>
      <c r="O708">
        <v>0.5</v>
      </c>
      <c r="P708">
        <v>8.1</v>
      </c>
      <c r="Q708">
        <v>-3.97</v>
      </c>
      <c r="R708">
        <v>7.74</v>
      </c>
      <c r="S708">
        <v>8.06</v>
      </c>
      <c r="T708">
        <v>53501</v>
      </c>
      <c r="U708">
        <v>7.78</v>
      </c>
      <c r="V708">
        <v>8.06</v>
      </c>
      <c r="W708">
        <v>22.13</v>
      </c>
      <c r="X708" t="s">
        <v>1398</v>
      </c>
      <c r="Y708" t="s">
        <v>547</v>
      </c>
      <c r="Z708">
        <v>4.47</v>
      </c>
      <c r="AA708">
        <v>7.91</v>
      </c>
      <c r="AB708">
        <v>32846</v>
      </c>
      <c r="AC708">
        <v>20655</v>
      </c>
      <c r="AD708">
        <v>1.59</v>
      </c>
      <c r="AE708">
        <v>19</v>
      </c>
      <c r="AF708">
        <v>16</v>
      </c>
      <c r="AG708" t="s">
        <v>120</v>
      </c>
      <c r="AH708">
        <v>0.01</v>
      </c>
      <c r="AI708" t="s">
        <v>120</v>
      </c>
      <c r="AJ708">
        <v>2.5</v>
      </c>
      <c r="AK708" t="s">
        <v>4292</v>
      </c>
      <c r="AL708">
        <v>-1.56</v>
      </c>
      <c r="AM708">
        <v>2093</v>
      </c>
      <c r="AN708">
        <v>26</v>
      </c>
      <c r="AO708">
        <v>1E-3</v>
      </c>
      <c r="AP708">
        <v>-1</v>
      </c>
      <c r="AQ708">
        <v>3.2</v>
      </c>
      <c r="AR708">
        <v>-4.8899999999999997</v>
      </c>
      <c r="AS708">
        <v>10.19</v>
      </c>
      <c r="AT708">
        <v>11.3</v>
      </c>
      <c r="AU708">
        <v>12.42</v>
      </c>
      <c r="AV708">
        <v>1</v>
      </c>
      <c r="AW708">
        <v>3.87</v>
      </c>
      <c r="AX708">
        <v>55.13</v>
      </c>
      <c r="AY708">
        <v>26.38</v>
      </c>
      <c r="AZ708">
        <v>46.1</v>
      </c>
      <c r="BA708">
        <v>0.41</v>
      </c>
      <c r="BB708" t="s">
        <v>184</v>
      </c>
      <c r="BF708">
        <v>-1.86</v>
      </c>
      <c r="BG708">
        <v>-3.47</v>
      </c>
      <c r="BH708">
        <v>-3.95</v>
      </c>
      <c r="BI708">
        <v>0.52</v>
      </c>
      <c r="BJ708">
        <v>20210817</v>
      </c>
      <c r="BK708">
        <v>20090929</v>
      </c>
      <c r="BL708">
        <v>2.5099999999999998</v>
      </c>
      <c r="BM708" t="s">
        <v>120</v>
      </c>
      <c r="BN708" t="s">
        <v>120</v>
      </c>
      <c r="BO708">
        <v>25.57</v>
      </c>
      <c r="BP708">
        <v>7.77</v>
      </c>
      <c r="BQ708">
        <v>12.63</v>
      </c>
      <c r="BR708" t="s">
        <v>120</v>
      </c>
      <c r="BS708">
        <v>50.59</v>
      </c>
      <c r="BT708">
        <v>22.25</v>
      </c>
      <c r="BU708">
        <v>1.91</v>
      </c>
      <c r="BV708">
        <v>0.39</v>
      </c>
      <c r="BW708">
        <v>12.52</v>
      </c>
      <c r="BX708">
        <v>5.39</v>
      </c>
      <c r="BY708">
        <v>3.35</v>
      </c>
      <c r="BZ708">
        <v>11.17</v>
      </c>
      <c r="CA708" t="s">
        <v>120</v>
      </c>
      <c r="CB708">
        <v>6.17</v>
      </c>
      <c r="CC708">
        <v>33.729999999999997</v>
      </c>
      <c r="CD708">
        <v>32.65</v>
      </c>
      <c r="CE708">
        <v>0.54</v>
      </c>
      <c r="CF708">
        <v>0.02</v>
      </c>
      <c r="CG708">
        <v>0.55000000000000004</v>
      </c>
      <c r="CH708">
        <v>0.44</v>
      </c>
      <c r="CI708">
        <v>0.44</v>
      </c>
      <c r="CJ708">
        <v>-0.28000000000000003</v>
      </c>
      <c r="CK708">
        <v>0.35</v>
      </c>
      <c r="CL708">
        <v>3.63</v>
      </c>
      <c r="CM708">
        <v>-0.91</v>
      </c>
      <c r="CN708">
        <v>-0.04</v>
      </c>
      <c r="CO708">
        <v>13224</v>
      </c>
      <c r="CP708">
        <v>10448</v>
      </c>
      <c r="CQ708" t="s">
        <v>1205</v>
      </c>
      <c r="CR708">
        <v>289.77</v>
      </c>
      <c r="CS708">
        <v>50.85</v>
      </c>
      <c r="CT708">
        <v>1.54</v>
      </c>
      <c r="CU708">
        <v>-21.53</v>
      </c>
      <c r="CV708">
        <v>0.57999999999999996</v>
      </c>
      <c r="CW708">
        <v>0</v>
      </c>
      <c r="CX708" t="s">
        <v>242</v>
      </c>
      <c r="CY708">
        <v>5.04</v>
      </c>
      <c r="CZ708">
        <v>0</v>
      </c>
      <c r="DA708">
        <v>2.46</v>
      </c>
      <c r="DB708">
        <v>1.45</v>
      </c>
      <c r="DC708">
        <v>-0.36</v>
      </c>
      <c r="DD708">
        <v>49.41</v>
      </c>
      <c r="DE708" t="s">
        <v>4293</v>
      </c>
      <c r="DF708">
        <v>3.2</v>
      </c>
      <c r="DG708">
        <v>1.61</v>
      </c>
      <c r="DH708">
        <v>1.31</v>
      </c>
      <c r="DI708">
        <v>0.1</v>
      </c>
      <c r="DJ708">
        <v>510</v>
      </c>
      <c r="DK708">
        <v>2295</v>
      </c>
      <c r="DL708" t="s">
        <v>120</v>
      </c>
      <c r="DM708" t="s">
        <v>120</v>
      </c>
      <c r="DN708" t="s">
        <v>120</v>
      </c>
    </row>
    <row r="709" spans="1:118">
      <c r="A709" t="str">
        <f>"002296"</f>
        <v>002296</v>
      </c>
      <c r="B709" t="s">
        <v>4294</v>
      </c>
      <c r="C709">
        <v>-1.86</v>
      </c>
      <c r="D709">
        <v>-0.39</v>
      </c>
      <c r="E709">
        <v>0.27</v>
      </c>
      <c r="F709">
        <v>780</v>
      </c>
      <c r="G709" t="s">
        <v>259</v>
      </c>
      <c r="H709">
        <v>4315.87</v>
      </c>
      <c r="I709">
        <v>30.01</v>
      </c>
      <c r="J709" t="s">
        <v>120</v>
      </c>
      <c r="K709" t="s">
        <v>4295</v>
      </c>
      <c r="L709">
        <v>1.71</v>
      </c>
      <c r="M709">
        <v>7.38</v>
      </c>
      <c r="N709">
        <v>0.86</v>
      </c>
      <c r="O709">
        <v>1.46</v>
      </c>
      <c r="P709">
        <v>7.63</v>
      </c>
      <c r="Q709">
        <v>-1.99</v>
      </c>
      <c r="R709">
        <v>7.37</v>
      </c>
      <c r="S709">
        <v>7.54</v>
      </c>
      <c r="T709">
        <v>57707</v>
      </c>
      <c r="U709">
        <v>7.39</v>
      </c>
      <c r="V709">
        <v>7.52</v>
      </c>
      <c r="W709">
        <v>18.52</v>
      </c>
      <c r="X709" t="s">
        <v>462</v>
      </c>
      <c r="Y709" t="s">
        <v>645</v>
      </c>
      <c r="Z709">
        <v>3.46</v>
      </c>
      <c r="AA709">
        <v>7.48</v>
      </c>
      <c r="AB709">
        <v>34427</v>
      </c>
      <c r="AC709">
        <v>23280</v>
      </c>
      <c r="AD709">
        <v>1.48</v>
      </c>
      <c r="AE709">
        <v>289</v>
      </c>
      <c r="AF709">
        <v>81</v>
      </c>
      <c r="AG709" t="s">
        <v>120</v>
      </c>
      <c r="AH709">
        <v>0.01</v>
      </c>
      <c r="AI709" t="s">
        <v>120</v>
      </c>
      <c r="AJ709">
        <v>3.37</v>
      </c>
      <c r="AK709" t="s">
        <v>4296</v>
      </c>
      <c r="AL709">
        <v>0.05</v>
      </c>
      <c r="AM709">
        <v>1799</v>
      </c>
      <c r="AN709">
        <v>32</v>
      </c>
      <c r="AO709">
        <v>1E-3</v>
      </c>
      <c r="AP709">
        <v>-1</v>
      </c>
      <c r="AQ709">
        <v>0.94</v>
      </c>
      <c r="AR709">
        <v>-4.41</v>
      </c>
      <c r="AS709">
        <v>-0.67</v>
      </c>
      <c r="AT709">
        <v>6.34</v>
      </c>
      <c r="AU709">
        <v>6.19</v>
      </c>
      <c r="AV709">
        <v>2</v>
      </c>
      <c r="AW709">
        <v>1.78</v>
      </c>
      <c r="AX709">
        <v>83.19</v>
      </c>
      <c r="AY709">
        <v>24.95</v>
      </c>
      <c r="AZ709">
        <v>34.369999999999997</v>
      </c>
      <c r="BA709">
        <v>0.62</v>
      </c>
      <c r="BB709" t="s">
        <v>143</v>
      </c>
      <c r="BF709">
        <v>-0.55000000000000004</v>
      </c>
      <c r="BG709">
        <v>-2.12</v>
      </c>
      <c r="BH709">
        <v>-3.28</v>
      </c>
      <c r="BI709">
        <v>0.14000000000000001</v>
      </c>
      <c r="BJ709">
        <v>20210803</v>
      </c>
      <c r="BK709">
        <v>20090929</v>
      </c>
      <c r="BL709">
        <v>3.9</v>
      </c>
      <c r="BM709" t="s">
        <v>120</v>
      </c>
      <c r="BN709" t="s">
        <v>120</v>
      </c>
      <c r="BO709">
        <v>20.87</v>
      </c>
      <c r="BP709">
        <v>7.38</v>
      </c>
      <c r="BQ709">
        <v>15.79</v>
      </c>
      <c r="BR709">
        <v>0.28000000000000003</v>
      </c>
      <c r="BS709">
        <v>22.98</v>
      </c>
      <c r="BT709">
        <v>13.61</v>
      </c>
      <c r="BU709">
        <v>1.47</v>
      </c>
      <c r="BV709">
        <v>0.49</v>
      </c>
      <c r="BW709">
        <v>4.53</v>
      </c>
      <c r="BX709">
        <v>3.71</v>
      </c>
      <c r="BY709">
        <v>3.5</v>
      </c>
      <c r="BZ709">
        <v>4.1399999999999997</v>
      </c>
      <c r="CA709">
        <v>0</v>
      </c>
      <c r="CB709">
        <v>7.52</v>
      </c>
      <c r="CC709">
        <v>3.09</v>
      </c>
      <c r="CD709">
        <v>1.56</v>
      </c>
      <c r="CE709">
        <v>0.93</v>
      </c>
      <c r="CF709">
        <v>-0.01</v>
      </c>
      <c r="CG709">
        <v>0.93</v>
      </c>
      <c r="CH709">
        <v>0.76</v>
      </c>
      <c r="CI709">
        <v>0.78</v>
      </c>
      <c r="CJ709">
        <v>-0.14000000000000001</v>
      </c>
      <c r="CK709">
        <v>0.73</v>
      </c>
      <c r="CL709">
        <v>6.32</v>
      </c>
      <c r="CM709">
        <v>0.54</v>
      </c>
      <c r="CN709">
        <v>-0.28000000000000003</v>
      </c>
      <c r="CO709">
        <v>36697</v>
      </c>
      <c r="CP709">
        <v>8833</v>
      </c>
      <c r="CQ709" t="s">
        <v>1533</v>
      </c>
      <c r="CR709">
        <v>70.790000000000006</v>
      </c>
      <c r="CS709">
        <v>57.99</v>
      </c>
      <c r="CT709">
        <v>1.82</v>
      </c>
      <c r="CU709">
        <v>52.96</v>
      </c>
      <c r="CV709">
        <v>9.3000000000000007</v>
      </c>
      <c r="CW709">
        <v>0</v>
      </c>
      <c r="CX709" t="s">
        <v>2097</v>
      </c>
      <c r="CY709">
        <v>4.05</v>
      </c>
      <c r="CZ709">
        <v>0</v>
      </c>
      <c r="DA709">
        <v>1.93</v>
      </c>
      <c r="DB709">
        <v>1.62</v>
      </c>
      <c r="DC709">
        <v>0.14000000000000001</v>
      </c>
      <c r="DD709">
        <v>75.680000000000007</v>
      </c>
      <c r="DE709" t="s">
        <v>4297</v>
      </c>
      <c r="DF709">
        <v>49.46</v>
      </c>
      <c r="DG709">
        <v>30.01</v>
      </c>
      <c r="DH709">
        <v>25.12</v>
      </c>
      <c r="DI709">
        <v>0.33</v>
      </c>
      <c r="DJ709">
        <v>835</v>
      </c>
      <c r="DK709">
        <v>2296</v>
      </c>
      <c r="DL709" t="s">
        <v>120</v>
      </c>
      <c r="DM709" t="s">
        <v>120</v>
      </c>
      <c r="DN709" t="s">
        <v>120</v>
      </c>
    </row>
    <row r="710" spans="1:118">
      <c r="A710" t="str">
        <f>"002297"</f>
        <v>002297</v>
      </c>
      <c r="B710" t="s">
        <v>4298</v>
      </c>
      <c r="C710">
        <v>1.02</v>
      </c>
      <c r="D710">
        <v>-0.09</v>
      </c>
      <c r="E710">
        <v>-0.51</v>
      </c>
      <c r="F710">
        <v>4048</v>
      </c>
      <c r="G710" t="s">
        <v>4299</v>
      </c>
      <c r="H710">
        <v>28354.1</v>
      </c>
      <c r="I710">
        <v>65.42</v>
      </c>
      <c r="J710" t="s">
        <v>120</v>
      </c>
      <c r="K710" t="s">
        <v>2189</v>
      </c>
      <c r="L710">
        <v>6.07</v>
      </c>
      <c r="M710">
        <v>9.9</v>
      </c>
      <c r="N710">
        <v>1.1499999999999999</v>
      </c>
      <c r="O710">
        <v>3.37</v>
      </c>
      <c r="P710">
        <v>10.130000000000001</v>
      </c>
      <c r="Q710">
        <v>-1.63</v>
      </c>
      <c r="R710">
        <v>9.64</v>
      </c>
      <c r="S710">
        <v>9.75</v>
      </c>
      <c r="T710">
        <v>285888</v>
      </c>
      <c r="U710">
        <v>9.9</v>
      </c>
      <c r="V710">
        <v>9.8000000000000007</v>
      </c>
      <c r="W710">
        <v>242.07</v>
      </c>
      <c r="X710" t="s">
        <v>1991</v>
      </c>
      <c r="Y710" t="s">
        <v>594</v>
      </c>
      <c r="Z710">
        <v>5</v>
      </c>
      <c r="AA710">
        <v>9.92</v>
      </c>
      <c r="AB710">
        <v>127484</v>
      </c>
      <c r="AC710">
        <v>158404</v>
      </c>
      <c r="AD710">
        <v>0.8</v>
      </c>
      <c r="AE710">
        <v>424</v>
      </c>
      <c r="AF710">
        <v>763</v>
      </c>
      <c r="AG710" t="s">
        <v>120</v>
      </c>
      <c r="AH710">
        <v>0.02</v>
      </c>
      <c r="AI710" t="s">
        <v>120</v>
      </c>
      <c r="AJ710">
        <v>4.71</v>
      </c>
      <c r="AK710" t="s">
        <v>4300</v>
      </c>
      <c r="AL710">
        <v>2.93</v>
      </c>
      <c r="AM710">
        <v>3444</v>
      </c>
      <c r="AN710">
        <v>83</v>
      </c>
      <c r="AO710">
        <v>1.8E-3</v>
      </c>
      <c r="AP710">
        <v>3</v>
      </c>
      <c r="AQ710">
        <v>0.51</v>
      </c>
      <c r="AR710">
        <v>4.9800000000000004</v>
      </c>
      <c r="AS710">
        <v>-10.08</v>
      </c>
      <c r="AT710">
        <v>29.41</v>
      </c>
      <c r="AU710">
        <v>30.27</v>
      </c>
      <c r="AV710">
        <v>5</v>
      </c>
      <c r="AW710">
        <v>8.5299999999999994</v>
      </c>
      <c r="AX710">
        <v>58.49</v>
      </c>
      <c r="AY710">
        <v>174.65</v>
      </c>
      <c r="AZ710">
        <v>249.66</v>
      </c>
      <c r="BA710">
        <v>0.92</v>
      </c>
      <c r="BB710" t="s">
        <v>168</v>
      </c>
      <c r="BF710">
        <v>1.2</v>
      </c>
      <c r="BG710">
        <v>1.54</v>
      </c>
      <c r="BH710">
        <v>-2.27</v>
      </c>
      <c r="BI710">
        <v>2.7</v>
      </c>
      <c r="BJ710">
        <v>20210827</v>
      </c>
      <c r="BK710">
        <v>20090929</v>
      </c>
      <c r="BL710">
        <v>5.73</v>
      </c>
      <c r="BM710" t="s">
        <v>120</v>
      </c>
      <c r="BN710" t="s">
        <v>120</v>
      </c>
      <c r="BO710">
        <v>20.329999999999998</v>
      </c>
      <c r="BP710">
        <v>9.89</v>
      </c>
      <c r="BQ710">
        <v>14.01</v>
      </c>
      <c r="BR710">
        <v>0.28999999999999998</v>
      </c>
      <c r="BS710">
        <v>29.67</v>
      </c>
      <c r="BT710">
        <v>10.050000000000001</v>
      </c>
      <c r="BU710">
        <v>4.9400000000000004</v>
      </c>
      <c r="BV710">
        <v>2.46</v>
      </c>
      <c r="BW710">
        <v>3.99</v>
      </c>
      <c r="BX710">
        <v>2.56</v>
      </c>
      <c r="BY710">
        <v>3.45</v>
      </c>
      <c r="BZ710">
        <v>2.09</v>
      </c>
      <c r="CA710" t="s">
        <v>120</v>
      </c>
      <c r="CB710">
        <v>11.47</v>
      </c>
      <c r="CC710">
        <v>2.35</v>
      </c>
      <c r="CD710">
        <v>1.67</v>
      </c>
      <c r="CE710">
        <v>0.17</v>
      </c>
      <c r="CF710">
        <v>-0.06</v>
      </c>
      <c r="CG710">
        <v>0.17</v>
      </c>
      <c r="CH710">
        <v>0.14000000000000001</v>
      </c>
      <c r="CI710">
        <v>0.12</v>
      </c>
      <c r="CJ710">
        <v>0.1</v>
      </c>
      <c r="CK710">
        <v>0.02</v>
      </c>
      <c r="CL710">
        <v>-2.2400000000000002</v>
      </c>
      <c r="CM710">
        <v>0.06</v>
      </c>
      <c r="CN710">
        <v>-1.22</v>
      </c>
      <c r="CO710">
        <v>46481</v>
      </c>
      <c r="CP710">
        <v>7211</v>
      </c>
      <c r="CQ710" t="s">
        <v>4301</v>
      </c>
      <c r="CR710">
        <v>469.45</v>
      </c>
      <c r="CS710">
        <v>40.47</v>
      </c>
      <c r="CT710">
        <v>3.33</v>
      </c>
      <c r="CU710">
        <v>1023.03</v>
      </c>
      <c r="CV710">
        <v>24.16</v>
      </c>
      <c r="CW710">
        <v>0</v>
      </c>
      <c r="CX710" t="s">
        <v>499</v>
      </c>
      <c r="CY710">
        <v>2.97</v>
      </c>
      <c r="CZ710">
        <v>2.97</v>
      </c>
      <c r="DA710">
        <v>2</v>
      </c>
      <c r="DB710">
        <v>-0.39</v>
      </c>
      <c r="DC710">
        <v>0.01</v>
      </c>
      <c r="DD710">
        <v>68.91</v>
      </c>
      <c r="DE710" t="s">
        <v>4026</v>
      </c>
      <c r="DF710">
        <v>28.82</v>
      </c>
      <c r="DG710">
        <v>7.21</v>
      </c>
      <c r="DH710">
        <v>4.99</v>
      </c>
      <c r="DI710">
        <v>0.14000000000000001</v>
      </c>
      <c r="DJ710">
        <v>648</v>
      </c>
      <c r="DK710">
        <v>2297</v>
      </c>
      <c r="DL710" t="s">
        <v>120</v>
      </c>
      <c r="DM710" t="s">
        <v>120</v>
      </c>
      <c r="DN710" t="s">
        <v>120</v>
      </c>
    </row>
    <row r="711" spans="1:118">
      <c r="A711" t="str">
        <f>"002298"</f>
        <v>002298</v>
      </c>
      <c r="B711" t="s">
        <v>4302</v>
      </c>
      <c r="C711">
        <v>-1.51</v>
      </c>
      <c r="D711">
        <v>0</v>
      </c>
      <c r="E711">
        <v>0.96</v>
      </c>
      <c r="F711">
        <v>658</v>
      </c>
      <c r="G711" t="s">
        <v>4303</v>
      </c>
      <c r="H711">
        <v>6205.71</v>
      </c>
      <c r="I711">
        <v>48.8</v>
      </c>
      <c r="J711" t="s">
        <v>120</v>
      </c>
      <c r="K711" t="s">
        <v>4304</v>
      </c>
      <c r="L711">
        <v>1.52</v>
      </c>
      <c r="M711">
        <v>7.17</v>
      </c>
      <c r="N711">
        <v>1.07</v>
      </c>
      <c r="O711">
        <v>0.96</v>
      </c>
      <c r="P711">
        <v>7.35</v>
      </c>
      <c r="Q711">
        <v>-1.65</v>
      </c>
      <c r="R711">
        <v>7.16</v>
      </c>
      <c r="S711">
        <v>7.35</v>
      </c>
      <c r="T711">
        <v>85737</v>
      </c>
      <c r="U711">
        <v>7.17</v>
      </c>
      <c r="V711">
        <v>7.28</v>
      </c>
      <c r="W711">
        <v>29.45</v>
      </c>
      <c r="X711" t="s">
        <v>141</v>
      </c>
      <c r="Y711" t="s">
        <v>570</v>
      </c>
      <c r="Z711">
        <v>2.61</v>
      </c>
      <c r="AA711">
        <v>7.24</v>
      </c>
      <c r="AB711">
        <v>49141</v>
      </c>
      <c r="AC711">
        <v>36596</v>
      </c>
      <c r="AD711">
        <v>1.34</v>
      </c>
      <c r="AE711">
        <v>1293</v>
      </c>
      <c r="AF711">
        <v>503</v>
      </c>
      <c r="AG711" t="s">
        <v>120</v>
      </c>
      <c r="AH711">
        <v>0.01</v>
      </c>
      <c r="AI711" t="s">
        <v>120</v>
      </c>
      <c r="AJ711">
        <v>5.63</v>
      </c>
      <c r="AK711" t="s">
        <v>4305</v>
      </c>
      <c r="AL711">
        <v>0.4</v>
      </c>
      <c r="AM711">
        <v>1802</v>
      </c>
      <c r="AN711">
        <v>48</v>
      </c>
      <c r="AO711">
        <v>8.0000000000000004E-4</v>
      </c>
      <c r="AP711">
        <v>-1</v>
      </c>
      <c r="AQ711">
        <v>0.55000000000000004</v>
      </c>
      <c r="AR711">
        <v>-2.58</v>
      </c>
      <c r="AS711">
        <v>-6.88</v>
      </c>
      <c r="AT711">
        <v>-1.53</v>
      </c>
      <c r="AU711">
        <v>-23</v>
      </c>
      <c r="AV711">
        <v>0</v>
      </c>
      <c r="AW711">
        <v>1.72</v>
      </c>
      <c r="AX711">
        <v>67.28</v>
      </c>
      <c r="AY711">
        <v>23.15</v>
      </c>
      <c r="AZ711">
        <v>17.98</v>
      </c>
      <c r="BA711">
        <v>0.68</v>
      </c>
      <c r="BB711" t="s">
        <v>143</v>
      </c>
      <c r="BF711">
        <v>-0.57999999999999996</v>
      </c>
      <c r="BG711">
        <v>-2.4500000000000002</v>
      </c>
      <c r="BH711">
        <v>-2.4500000000000002</v>
      </c>
      <c r="BI711">
        <v>0.14000000000000001</v>
      </c>
      <c r="BJ711">
        <v>20210826</v>
      </c>
      <c r="BK711">
        <v>20090929</v>
      </c>
      <c r="BL711">
        <v>7.4</v>
      </c>
      <c r="BM711" t="s">
        <v>120</v>
      </c>
      <c r="BN711" t="s">
        <v>120</v>
      </c>
      <c r="BO711">
        <v>76.02</v>
      </c>
      <c r="BP711">
        <v>7.16</v>
      </c>
      <c r="BQ711">
        <v>48.99</v>
      </c>
      <c r="BR711">
        <v>1.91</v>
      </c>
      <c r="BS711">
        <v>33.04</v>
      </c>
      <c r="BT711">
        <v>35.54</v>
      </c>
      <c r="BU711">
        <v>4.5999999999999996</v>
      </c>
      <c r="BV711">
        <v>5.81</v>
      </c>
      <c r="BW711">
        <v>22.22</v>
      </c>
      <c r="BX711">
        <v>6.49</v>
      </c>
      <c r="BY711">
        <v>4.05</v>
      </c>
      <c r="BZ711">
        <v>16.190000000000001</v>
      </c>
      <c r="CA711">
        <v>0.01</v>
      </c>
      <c r="CB711">
        <v>30.51</v>
      </c>
      <c r="CC711">
        <v>14.67</v>
      </c>
      <c r="CD711">
        <v>9.67</v>
      </c>
      <c r="CE711">
        <v>1.0900000000000001</v>
      </c>
      <c r="CF711">
        <v>0.01</v>
      </c>
      <c r="CG711">
        <v>1.0900000000000001</v>
      </c>
      <c r="CH711">
        <v>0.83</v>
      </c>
      <c r="CI711">
        <v>0.9</v>
      </c>
      <c r="CJ711">
        <v>-0.11</v>
      </c>
      <c r="CK711">
        <v>0.84</v>
      </c>
      <c r="CL711">
        <v>12.14</v>
      </c>
      <c r="CM711">
        <v>-1.53</v>
      </c>
      <c r="CN711">
        <v>0.21</v>
      </c>
      <c r="CO711">
        <v>55640</v>
      </c>
      <c r="CP711">
        <v>8949</v>
      </c>
      <c r="CQ711" t="s">
        <v>4250</v>
      </c>
      <c r="CR711">
        <v>-42.62</v>
      </c>
      <c r="CS711">
        <v>21.12</v>
      </c>
      <c r="CT711">
        <v>1.08</v>
      </c>
      <c r="CU711">
        <v>-34.619999999999997</v>
      </c>
      <c r="CV711">
        <v>3.62</v>
      </c>
      <c r="CW711">
        <v>0.25</v>
      </c>
      <c r="CX711" t="s">
        <v>986</v>
      </c>
      <c r="CY711">
        <v>6.62</v>
      </c>
      <c r="CZ711">
        <v>0</v>
      </c>
      <c r="DA711">
        <v>4.12</v>
      </c>
      <c r="DB711">
        <v>1.64</v>
      </c>
      <c r="DC711">
        <v>-0.21</v>
      </c>
      <c r="DD711">
        <v>64.44</v>
      </c>
      <c r="DE711" t="s">
        <v>4306</v>
      </c>
      <c r="DF711">
        <v>34.08</v>
      </c>
      <c r="DG711">
        <v>7.43</v>
      </c>
      <c r="DH711">
        <v>6.14</v>
      </c>
      <c r="DI711">
        <v>0.68</v>
      </c>
      <c r="DJ711">
        <v>4264</v>
      </c>
      <c r="DK711">
        <v>2298</v>
      </c>
      <c r="DL711" t="s">
        <v>120</v>
      </c>
      <c r="DM711" t="s">
        <v>120</v>
      </c>
      <c r="DN711" t="s">
        <v>120</v>
      </c>
    </row>
    <row r="712" spans="1:118">
      <c r="A712" t="str">
        <f>"002299"</f>
        <v>002299</v>
      </c>
      <c r="B712" t="s">
        <v>4307</v>
      </c>
      <c r="C712">
        <v>1.64</v>
      </c>
      <c r="D712">
        <v>0</v>
      </c>
      <c r="E712">
        <v>0</v>
      </c>
      <c r="F712">
        <v>2620</v>
      </c>
      <c r="G712" t="s">
        <v>4308</v>
      </c>
      <c r="H712">
        <v>29139.93</v>
      </c>
      <c r="I712">
        <v>48.31</v>
      </c>
      <c r="J712" t="s">
        <v>120</v>
      </c>
      <c r="K712" t="s">
        <v>4309</v>
      </c>
      <c r="L712">
        <v>1.19</v>
      </c>
      <c r="M712">
        <v>19.8</v>
      </c>
      <c r="N712">
        <v>1.5</v>
      </c>
      <c r="O712">
        <v>3.18</v>
      </c>
      <c r="P712">
        <v>20.100000000000001</v>
      </c>
      <c r="Q712">
        <v>-0.41</v>
      </c>
      <c r="R712">
        <v>19.399999999999999</v>
      </c>
      <c r="S712">
        <v>19.48</v>
      </c>
      <c r="T712">
        <v>147139</v>
      </c>
      <c r="U712">
        <v>19.8</v>
      </c>
      <c r="V712">
        <v>19.48</v>
      </c>
      <c r="W712">
        <v>44.85</v>
      </c>
      <c r="X712" t="s">
        <v>447</v>
      </c>
      <c r="Y712" t="s">
        <v>937</v>
      </c>
      <c r="Z712">
        <v>3.59</v>
      </c>
      <c r="AA712">
        <v>19.8</v>
      </c>
      <c r="AB712">
        <v>71413</v>
      </c>
      <c r="AC712">
        <v>75726</v>
      </c>
      <c r="AD712">
        <v>0.94</v>
      </c>
      <c r="AE712">
        <v>33</v>
      </c>
      <c r="AF712">
        <v>1046</v>
      </c>
      <c r="AG712" t="s">
        <v>120</v>
      </c>
      <c r="AH712">
        <v>0</v>
      </c>
      <c r="AI712" t="s">
        <v>120</v>
      </c>
      <c r="AJ712">
        <v>12.4</v>
      </c>
      <c r="AK712" t="s">
        <v>4310</v>
      </c>
      <c r="AL712">
        <v>3.56</v>
      </c>
      <c r="AM712">
        <v>3491</v>
      </c>
      <c r="AN712">
        <v>42</v>
      </c>
      <c r="AO712">
        <v>2.9999999999999997E-4</v>
      </c>
      <c r="AP712">
        <v>2</v>
      </c>
      <c r="AQ712">
        <v>1.56</v>
      </c>
      <c r="AR712">
        <v>2.86</v>
      </c>
      <c r="AS712">
        <v>1.18</v>
      </c>
      <c r="AT712">
        <v>-18.420000000000002</v>
      </c>
      <c r="AU712">
        <v>-22.48</v>
      </c>
      <c r="AV712">
        <v>0</v>
      </c>
      <c r="AW712">
        <v>2.4900000000000002</v>
      </c>
      <c r="AX712">
        <v>47.42</v>
      </c>
      <c r="AY712">
        <v>24.64</v>
      </c>
      <c r="AZ712">
        <v>11.87</v>
      </c>
      <c r="BA712">
        <v>0.28999999999999998</v>
      </c>
      <c r="BB712" t="s">
        <v>143</v>
      </c>
      <c r="BF712">
        <v>1.67</v>
      </c>
      <c r="BG712">
        <v>1.64</v>
      </c>
      <c r="BH712">
        <v>-1.49</v>
      </c>
      <c r="BI712">
        <v>2.06</v>
      </c>
      <c r="BJ712">
        <v>20210807</v>
      </c>
      <c r="BK712">
        <v>20091021</v>
      </c>
      <c r="BL712">
        <v>12.44</v>
      </c>
      <c r="BM712" t="s">
        <v>120</v>
      </c>
      <c r="BN712" t="s">
        <v>120</v>
      </c>
      <c r="BO712">
        <v>164.53</v>
      </c>
      <c r="BP712">
        <v>19.79</v>
      </c>
      <c r="BQ712">
        <v>98.09</v>
      </c>
      <c r="BR712">
        <v>0.01</v>
      </c>
      <c r="BS712">
        <v>40.369999999999997</v>
      </c>
      <c r="BT712">
        <v>43.3</v>
      </c>
      <c r="BU712">
        <v>102.16</v>
      </c>
      <c r="BV712">
        <v>2.23</v>
      </c>
      <c r="BW712">
        <v>59.5</v>
      </c>
      <c r="BX712">
        <v>7.91</v>
      </c>
      <c r="BY712">
        <v>23.83</v>
      </c>
      <c r="BZ712">
        <v>8.99</v>
      </c>
      <c r="CA712" t="s">
        <v>120</v>
      </c>
      <c r="CB712">
        <v>42.67</v>
      </c>
      <c r="CC712">
        <v>67.72</v>
      </c>
      <c r="CD712">
        <v>61.29</v>
      </c>
      <c r="CE712">
        <v>3.02</v>
      </c>
      <c r="CF712">
        <v>0.1</v>
      </c>
      <c r="CG712">
        <v>2.95</v>
      </c>
      <c r="CH712">
        <v>2.75</v>
      </c>
      <c r="CI712">
        <v>2.75</v>
      </c>
      <c r="CJ712">
        <v>0.32</v>
      </c>
      <c r="CK712">
        <v>2.6</v>
      </c>
      <c r="CL712">
        <v>35.35</v>
      </c>
      <c r="CM712">
        <v>6.74</v>
      </c>
      <c r="CN712">
        <v>4.68</v>
      </c>
      <c r="CO712">
        <v>39780</v>
      </c>
      <c r="CP712">
        <v>14833</v>
      </c>
      <c r="CQ712" t="s">
        <v>4311</v>
      </c>
      <c r="CR712">
        <v>-79.38</v>
      </c>
      <c r="CS712">
        <v>4.17</v>
      </c>
      <c r="CT712">
        <v>2.5099999999999998</v>
      </c>
      <c r="CU712">
        <v>36.54</v>
      </c>
      <c r="CV712">
        <v>3.64</v>
      </c>
      <c r="CW712">
        <v>0</v>
      </c>
      <c r="CX712" t="s">
        <v>3361</v>
      </c>
      <c r="CY712">
        <v>7.88</v>
      </c>
      <c r="CZ712">
        <v>0</v>
      </c>
      <c r="DA712">
        <v>3.43</v>
      </c>
      <c r="DB712">
        <v>2.84</v>
      </c>
      <c r="DC712">
        <v>0.54</v>
      </c>
      <c r="DD712">
        <v>59.62</v>
      </c>
      <c r="DE712" t="s">
        <v>2028</v>
      </c>
      <c r="DF712">
        <v>9.48</v>
      </c>
      <c r="DG712">
        <v>4.46</v>
      </c>
      <c r="DH712">
        <v>4.0599999999999996</v>
      </c>
      <c r="DI712">
        <v>0.36</v>
      </c>
      <c r="DJ712">
        <v>23447</v>
      </c>
      <c r="DK712">
        <v>2299</v>
      </c>
      <c r="DL712" t="s">
        <v>120</v>
      </c>
      <c r="DM712" t="s">
        <v>120</v>
      </c>
      <c r="DN712" t="s">
        <v>120</v>
      </c>
    </row>
    <row r="713" spans="1:118">
      <c r="A713" t="str">
        <f>"002300"</f>
        <v>002300</v>
      </c>
      <c r="B713" t="s">
        <v>4312</v>
      </c>
      <c r="C713">
        <v>-3.9</v>
      </c>
      <c r="D713">
        <v>-0.13</v>
      </c>
      <c r="E713">
        <v>-0.4</v>
      </c>
      <c r="F713">
        <v>4903</v>
      </c>
      <c r="G713" t="s">
        <v>4313</v>
      </c>
      <c r="H713">
        <v>15490.27</v>
      </c>
      <c r="I713">
        <v>39.44</v>
      </c>
      <c r="J713" t="s">
        <v>120</v>
      </c>
      <c r="K713" t="s">
        <v>4314</v>
      </c>
      <c r="L713">
        <v>3.26</v>
      </c>
      <c r="M713">
        <v>7.14</v>
      </c>
      <c r="N713">
        <v>0.67</v>
      </c>
      <c r="O713">
        <v>0</v>
      </c>
      <c r="P713">
        <v>7.43</v>
      </c>
      <c r="Q713">
        <v>-4.3099999999999996</v>
      </c>
      <c r="R713">
        <v>7.11</v>
      </c>
      <c r="S713">
        <v>7.4</v>
      </c>
      <c r="T713">
        <v>214121</v>
      </c>
      <c r="U713">
        <v>7.15</v>
      </c>
      <c r="V713">
        <v>7.43</v>
      </c>
      <c r="W713">
        <v>42.57</v>
      </c>
      <c r="X713" t="s">
        <v>394</v>
      </c>
      <c r="Y713" t="s">
        <v>937</v>
      </c>
      <c r="Z713">
        <v>4.3099999999999996</v>
      </c>
      <c r="AA713">
        <v>7.23</v>
      </c>
      <c r="AB713">
        <v>127083</v>
      </c>
      <c r="AC713">
        <v>87038</v>
      </c>
      <c r="AD713">
        <v>1.46</v>
      </c>
      <c r="AE713">
        <v>42</v>
      </c>
      <c r="AF713">
        <v>515</v>
      </c>
      <c r="AG713" t="s">
        <v>120</v>
      </c>
      <c r="AH713">
        <v>0.02</v>
      </c>
      <c r="AI713" t="s">
        <v>120</v>
      </c>
      <c r="AJ713">
        <v>6.57</v>
      </c>
      <c r="AK713" t="s">
        <v>4315</v>
      </c>
      <c r="AL713">
        <v>-1.99</v>
      </c>
      <c r="AM713">
        <v>3293</v>
      </c>
      <c r="AN713">
        <v>65</v>
      </c>
      <c r="AO713">
        <v>1E-3</v>
      </c>
      <c r="AP713">
        <v>-1</v>
      </c>
      <c r="AQ713">
        <v>0.95</v>
      </c>
      <c r="AR713">
        <v>-6.54</v>
      </c>
      <c r="AS713">
        <v>-12.07</v>
      </c>
      <c r="AT713">
        <v>26.6</v>
      </c>
      <c r="AU713">
        <v>11.21</v>
      </c>
      <c r="AV713">
        <v>5</v>
      </c>
      <c r="AW713">
        <v>7.64</v>
      </c>
      <c r="AX713">
        <v>42.69</v>
      </c>
      <c r="AY713">
        <v>29.01</v>
      </c>
      <c r="AZ713">
        <v>25.69</v>
      </c>
      <c r="BA713">
        <v>0</v>
      </c>
      <c r="BB713" t="s">
        <v>143</v>
      </c>
      <c r="BF713">
        <v>-2.63</v>
      </c>
      <c r="BG713">
        <v>-3.51</v>
      </c>
      <c r="BH713">
        <v>-3.9</v>
      </c>
      <c r="BI713">
        <v>0.42</v>
      </c>
      <c r="BJ713">
        <v>20210830</v>
      </c>
      <c r="BK713">
        <v>20091021</v>
      </c>
      <c r="BL713">
        <v>6.57</v>
      </c>
      <c r="BM713" t="s">
        <v>120</v>
      </c>
      <c r="BN713" t="s">
        <v>120</v>
      </c>
      <c r="BO713">
        <v>44.25</v>
      </c>
      <c r="BP713">
        <v>7.14</v>
      </c>
      <c r="BQ713">
        <v>16.559999999999999</v>
      </c>
      <c r="BR713">
        <v>1.78</v>
      </c>
      <c r="BS713">
        <v>58.56</v>
      </c>
      <c r="BT713">
        <v>28.44</v>
      </c>
      <c r="BU713">
        <v>11.31</v>
      </c>
      <c r="BV713">
        <v>2.04</v>
      </c>
      <c r="BW713">
        <v>15.11</v>
      </c>
      <c r="BX713">
        <v>4.1100000000000003</v>
      </c>
      <c r="BY713">
        <v>8.99</v>
      </c>
      <c r="BZ713">
        <v>13.81</v>
      </c>
      <c r="CA713" t="s">
        <v>120</v>
      </c>
      <c r="CB713">
        <v>3.48</v>
      </c>
      <c r="CC713">
        <v>50.51</v>
      </c>
      <c r="CD713">
        <v>48.35</v>
      </c>
      <c r="CE713">
        <v>0.96</v>
      </c>
      <c r="CF713">
        <v>0.04</v>
      </c>
      <c r="CG713">
        <v>0.95</v>
      </c>
      <c r="CH713">
        <v>0.72</v>
      </c>
      <c r="CI713">
        <v>0.55000000000000004</v>
      </c>
      <c r="CJ713">
        <v>-0.28999999999999998</v>
      </c>
      <c r="CK713">
        <v>0.42</v>
      </c>
      <c r="CL713">
        <v>3.94</v>
      </c>
      <c r="CM713">
        <v>-7.06</v>
      </c>
      <c r="CN713">
        <v>-1.74</v>
      </c>
      <c r="CO713">
        <v>40098</v>
      </c>
      <c r="CP713">
        <v>6990</v>
      </c>
      <c r="CQ713" t="s">
        <v>2326</v>
      </c>
      <c r="CR713">
        <v>-28.33</v>
      </c>
      <c r="CS713">
        <v>48.33</v>
      </c>
      <c r="CT713">
        <v>2.83</v>
      </c>
      <c r="CU713">
        <v>-6.64</v>
      </c>
      <c r="CV713">
        <v>0.93</v>
      </c>
      <c r="CW713">
        <v>1.62</v>
      </c>
      <c r="CX713" t="s">
        <v>4316</v>
      </c>
      <c r="CY713">
        <v>2.52</v>
      </c>
      <c r="CZ713">
        <v>0</v>
      </c>
      <c r="DA713">
        <v>0.53</v>
      </c>
      <c r="DB713">
        <v>0.6</v>
      </c>
      <c r="DC713">
        <v>-1.08</v>
      </c>
      <c r="DD713">
        <v>37.42</v>
      </c>
      <c r="DE713" t="s">
        <v>1841</v>
      </c>
      <c r="DF713">
        <v>4.28</v>
      </c>
      <c r="DG713">
        <v>1.89</v>
      </c>
      <c r="DH713">
        <v>1.0900000000000001</v>
      </c>
      <c r="DI713">
        <v>0.09</v>
      </c>
      <c r="DJ713">
        <v>1937</v>
      </c>
      <c r="DK713">
        <v>2300</v>
      </c>
      <c r="DL713">
        <v>20210818</v>
      </c>
      <c r="DM713">
        <v>7.38</v>
      </c>
      <c r="DN713">
        <v>-3.25</v>
      </c>
    </row>
    <row r="714" spans="1:118">
      <c r="A714" t="str">
        <f>"002301"</f>
        <v>002301</v>
      </c>
      <c r="B714" t="s">
        <v>4317</v>
      </c>
      <c r="C714">
        <v>-2.77</v>
      </c>
      <c r="D714">
        <v>0</v>
      </c>
      <c r="E714">
        <v>0.25</v>
      </c>
      <c r="F714">
        <v>301</v>
      </c>
      <c r="G714" t="s">
        <v>4318</v>
      </c>
      <c r="H714">
        <v>3913.29</v>
      </c>
      <c r="I714">
        <v>2.15</v>
      </c>
      <c r="J714" t="s">
        <v>120</v>
      </c>
      <c r="K714" t="s">
        <v>4319</v>
      </c>
      <c r="L714">
        <v>0.68</v>
      </c>
      <c r="M714">
        <v>7.72</v>
      </c>
      <c r="N714">
        <v>1.28</v>
      </c>
      <c r="O714">
        <v>0.25</v>
      </c>
      <c r="P714">
        <v>7.96</v>
      </c>
      <c r="Q714">
        <v>-3.02</v>
      </c>
      <c r="R714">
        <v>7.7</v>
      </c>
      <c r="S714">
        <v>7.96</v>
      </c>
      <c r="T714">
        <v>50087</v>
      </c>
      <c r="U714">
        <v>7.72</v>
      </c>
      <c r="V714">
        <v>7.94</v>
      </c>
      <c r="W714">
        <v>39.44</v>
      </c>
      <c r="X714" t="s">
        <v>213</v>
      </c>
      <c r="Y714" t="s">
        <v>123</v>
      </c>
      <c r="Z714">
        <v>3.27</v>
      </c>
      <c r="AA714">
        <v>7.81</v>
      </c>
      <c r="AB714">
        <v>32924</v>
      </c>
      <c r="AC714">
        <v>17163</v>
      </c>
      <c r="AD714">
        <v>1.92</v>
      </c>
      <c r="AE714">
        <v>397</v>
      </c>
      <c r="AF714">
        <v>403</v>
      </c>
      <c r="AG714" t="s">
        <v>120</v>
      </c>
      <c r="AH714">
        <v>0</v>
      </c>
      <c r="AI714" t="s">
        <v>120</v>
      </c>
      <c r="AJ714">
        <v>7.33</v>
      </c>
      <c r="AK714" t="s">
        <v>4320</v>
      </c>
      <c r="AL714">
        <v>-0.86</v>
      </c>
      <c r="AM714">
        <v>1508</v>
      </c>
      <c r="AN714">
        <v>33</v>
      </c>
      <c r="AO714">
        <v>5.0000000000000001E-4</v>
      </c>
      <c r="AP714">
        <v>-1</v>
      </c>
      <c r="AQ714">
        <v>0.38</v>
      </c>
      <c r="AR714">
        <v>-3.74</v>
      </c>
      <c r="AS714">
        <v>-0.77</v>
      </c>
      <c r="AT714">
        <v>-26.19</v>
      </c>
      <c r="AU714">
        <v>-41.83</v>
      </c>
      <c r="AV714">
        <v>0</v>
      </c>
      <c r="AW714">
        <v>1.17</v>
      </c>
      <c r="AX714">
        <v>58.21</v>
      </c>
      <c r="AY714">
        <v>66.02</v>
      </c>
      <c r="AZ714">
        <v>29.02</v>
      </c>
      <c r="BA714">
        <v>0.53</v>
      </c>
      <c r="BB714" t="s">
        <v>143</v>
      </c>
      <c r="BF714">
        <v>-1.6</v>
      </c>
      <c r="BG714">
        <v>-3.02</v>
      </c>
      <c r="BH714">
        <v>-3.02</v>
      </c>
      <c r="BI714">
        <v>0.26</v>
      </c>
      <c r="BJ714">
        <v>20210827</v>
      </c>
      <c r="BK714">
        <v>20091021</v>
      </c>
      <c r="BL714">
        <v>7.34</v>
      </c>
      <c r="BM714" t="s">
        <v>120</v>
      </c>
      <c r="BN714" t="s">
        <v>120</v>
      </c>
      <c r="BO714">
        <v>95.58</v>
      </c>
      <c r="BP714">
        <v>7.71</v>
      </c>
      <c r="BQ714">
        <v>35.67</v>
      </c>
      <c r="BR714">
        <v>0.13</v>
      </c>
      <c r="BS714">
        <v>62.54</v>
      </c>
      <c r="BT714">
        <v>74.77</v>
      </c>
      <c r="BU714">
        <v>4.9400000000000004</v>
      </c>
      <c r="BV714">
        <v>1.38</v>
      </c>
      <c r="BW714">
        <v>59.11</v>
      </c>
      <c r="BX714">
        <v>31.2</v>
      </c>
      <c r="BY714">
        <v>3.41</v>
      </c>
      <c r="BZ714">
        <v>34.19</v>
      </c>
      <c r="CA714" t="s">
        <v>120</v>
      </c>
      <c r="CB714">
        <v>20.56</v>
      </c>
      <c r="CC714">
        <v>44.86</v>
      </c>
      <c r="CD714">
        <v>40.57</v>
      </c>
      <c r="CE714">
        <v>0.87</v>
      </c>
      <c r="CF714">
        <v>0</v>
      </c>
      <c r="CG714">
        <v>0.89</v>
      </c>
      <c r="CH714">
        <v>0.71</v>
      </c>
      <c r="CI714">
        <v>0.72</v>
      </c>
      <c r="CJ714">
        <v>-0.22</v>
      </c>
      <c r="CK714">
        <v>0.63</v>
      </c>
      <c r="CL714">
        <v>9.2100000000000009</v>
      </c>
      <c r="CM714">
        <v>1.4</v>
      </c>
      <c r="CN714">
        <v>-6.21</v>
      </c>
      <c r="CO714">
        <v>20075</v>
      </c>
      <c r="CP714">
        <v>21285</v>
      </c>
      <c r="CQ714" t="s">
        <v>4321</v>
      </c>
      <c r="CR714">
        <v>-61.04</v>
      </c>
      <c r="CS714">
        <v>19.41</v>
      </c>
      <c r="CT714">
        <v>1.59</v>
      </c>
      <c r="CU714">
        <v>40.42</v>
      </c>
      <c r="CV714">
        <v>1.26</v>
      </c>
      <c r="CW714">
        <v>0.87</v>
      </c>
      <c r="CX714" t="s">
        <v>411</v>
      </c>
      <c r="CY714">
        <v>4.8600000000000003</v>
      </c>
      <c r="CZ714">
        <v>0</v>
      </c>
      <c r="DA714">
        <v>2.8</v>
      </c>
      <c r="DB714">
        <v>1.25</v>
      </c>
      <c r="DC714">
        <v>0.19</v>
      </c>
      <c r="DD714">
        <v>37.33</v>
      </c>
      <c r="DE714" t="s">
        <v>493</v>
      </c>
      <c r="DF714">
        <v>9.57</v>
      </c>
      <c r="DG714">
        <v>1.95</v>
      </c>
      <c r="DH714">
        <v>1.6</v>
      </c>
      <c r="DI714">
        <v>0.4</v>
      </c>
      <c r="DJ714">
        <v>2981</v>
      </c>
      <c r="DK714">
        <v>2301</v>
      </c>
      <c r="DL714" t="s">
        <v>120</v>
      </c>
      <c r="DM714" t="s">
        <v>120</v>
      </c>
      <c r="DN714" t="s">
        <v>120</v>
      </c>
    </row>
    <row r="715" spans="1:118">
      <c r="A715" t="str">
        <f>"002302"</f>
        <v>002302</v>
      </c>
      <c r="B715" t="s">
        <v>4322</v>
      </c>
      <c r="C715">
        <v>-0.7</v>
      </c>
      <c r="D715">
        <v>0</v>
      </c>
      <c r="E715">
        <v>0.23</v>
      </c>
      <c r="F715">
        <v>2768</v>
      </c>
      <c r="G715" t="s">
        <v>4323</v>
      </c>
      <c r="H715">
        <v>19041.259999999998</v>
      </c>
      <c r="I715">
        <v>47.36</v>
      </c>
      <c r="J715" t="s">
        <v>120</v>
      </c>
      <c r="K715" t="s">
        <v>4324</v>
      </c>
      <c r="L715">
        <v>1.73</v>
      </c>
      <c r="M715">
        <v>8.5299999999999994</v>
      </c>
      <c r="N715">
        <v>0.75</v>
      </c>
      <c r="O715">
        <v>3.73</v>
      </c>
      <c r="P715">
        <v>8.91</v>
      </c>
      <c r="Q715">
        <v>-1.86</v>
      </c>
      <c r="R715">
        <v>8.43</v>
      </c>
      <c r="S715">
        <v>8.61</v>
      </c>
      <c r="T715">
        <v>218903</v>
      </c>
      <c r="U715">
        <v>8.5399999999999991</v>
      </c>
      <c r="V715">
        <v>8.59</v>
      </c>
      <c r="W715">
        <v>14.8</v>
      </c>
      <c r="X715" t="s">
        <v>653</v>
      </c>
      <c r="Y715" t="s">
        <v>609</v>
      </c>
      <c r="Z715">
        <v>5.59</v>
      </c>
      <c r="AA715">
        <v>8.6999999999999993</v>
      </c>
      <c r="AB715">
        <v>109579</v>
      </c>
      <c r="AC715">
        <v>109324</v>
      </c>
      <c r="AD715">
        <v>1</v>
      </c>
      <c r="AE715">
        <v>159</v>
      </c>
      <c r="AF715">
        <v>2687</v>
      </c>
      <c r="AG715" t="s">
        <v>120</v>
      </c>
      <c r="AH715">
        <v>0.01</v>
      </c>
      <c r="AI715" t="s">
        <v>120</v>
      </c>
      <c r="AJ715">
        <v>12.62</v>
      </c>
      <c r="AK715" t="s">
        <v>4324</v>
      </c>
      <c r="AL715">
        <v>1.22</v>
      </c>
      <c r="AM715">
        <v>3317</v>
      </c>
      <c r="AN715">
        <v>66</v>
      </c>
      <c r="AO715">
        <v>5.0000000000000001E-4</v>
      </c>
      <c r="AP715">
        <v>-4</v>
      </c>
      <c r="AQ715">
        <v>-0.81</v>
      </c>
      <c r="AR715">
        <v>-4.91</v>
      </c>
      <c r="AS715">
        <v>2.77</v>
      </c>
      <c r="AT715">
        <v>5.7</v>
      </c>
      <c r="AU715">
        <v>-1.84</v>
      </c>
      <c r="AV715">
        <v>0</v>
      </c>
      <c r="AW715">
        <v>4.4800000000000004</v>
      </c>
      <c r="AX715">
        <v>38.700000000000003</v>
      </c>
      <c r="AY715">
        <v>12.72</v>
      </c>
      <c r="AZ715">
        <v>13.83</v>
      </c>
      <c r="BA715">
        <v>0.16</v>
      </c>
      <c r="BB715" t="s">
        <v>143</v>
      </c>
      <c r="BF715">
        <v>1.26</v>
      </c>
      <c r="BG715">
        <v>-0.93</v>
      </c>
      <c r="BH715">
        <v>-4.26</v>
      </c>
      <c r="BI715">
        <v>1.19</v>
      </c>
      <c r="BJ715">
        <v>20210913</v>
      </c>
      <c r="BK715">
        <v>20091103</v>
      </c>
      <c r="BL715">
        <v>12.62</v>
      </c>
      <c r="BM715" t="s">
        <v>120</v>
      </c>
      <c r="BN715" t="s">
        <v>120</v>
      </c>
      <c r="BO715">
        <v>278.77</v>
      </c>
      <c r="BP715">
        <v>8.5299999999999994</v>
      </c>
      <c r="BQ715">
        <v>80.81</v>
      </c>
      <c r="BR715">
        <v>22.17</v>
      </c>
      <c r="BS715">
        <v>63.06</v>
      </c>
      <c r="BT715">
        <v>237.75</v>
      </c>
      <c r="BU715">
        <v>19.96</v>
      </c>
      <c r="BV715">
        <v>4.37</v>
      </c>
      <c r="BW715">
        <v>169.56</v>
      </c>
      <c r="BX715">
        <v>27.27</v>
      </c>
      <c r="BY715">
        <v>4.5</v>
      </c>
      <c r="BZ715">
        <v>176.79</v>
      </c>
      <c r="CA715" t="s">
        <v>120</v>
      </c>
      <c r="CB715">
        <v>28.06</v>
      </c>
      <c r="CC715">
        <v>123.74</v>
      </c>
      <c r="CD715">
        <v>111.54</v>
      </c>
      <c r="CE715">
        <v>5.04</v>
      </c>
      <c r="CF715">
        <v>-0.03</v>
      </c>
      <c r="CG715">
        <v>5.08</v>
      </c>
      <c r="CH715">
        <v>4.1900000000000004</v>
      </c>
      <c r="CI715">
        <v>3.64</v>
      </c>
      <c r="CJ715">
        <v>-0.06</v>
      </c>
      <c r="CK715">
        <v>3.39</v>
      </c>
      <c r="CL715">
        <v>38.130000000000003</v>
      </c>
      <c r="CM715">
        <v>-20.350000000000001</v>
      </c>
      <c r="CN715">
        <v>-23.46</v>
      </c>
      <c r="CO715">
        <v>71858</v>
      </c>
      <c r="CP715">
        <v>6798</v>
      </c>
      <c r="CQ715" t="s">
        <v>4325</v>
      </c>
      <c r="CR715">
        <v>23.04</v>
      </c>
      <c r="CS715">
        <v>28.86</v>
      </c>
      <c r="CT715">
        <v>1.33</v>
      </c>
      <c r="CU715">
        <v>-5.29</v>
      </c>
      <c r="CV715">
        <v>0.87</v>
      </c>
      <c r="CW715">
        <v>1.05</v>
      </c>
      <c r="CX715" t="s">
        <v>4326</v>
      </c>
      <c r="CY715">
        <v>6.4</v>
      </c>
      <c r="CZ715">
        <v>0</v>
      </c>
      <c r="DA715">
        <v>2.2200000000000002</v>
      </c>
      <c r="DB715">
        <v>3.02</v>
      </c>
      <c r="DC715">
        <v>-1.61</v>
      </c>
      <c r="DD715">
        <v>28.99</v>
      </c>
      <c r="DE715" t="s">
        <v>3283</v>
      </c>
      <c r="DF715">
        <v>9.86</v>
      </c>
      <c r="DG715">
        <v>4.07</v>
      </c>
      <c r="DH715">
        <v>2.94</v>
      </c>
      <c r="DI715">
        <v>2.89</v>
      </c>
      <c r="DJ715">
        <v>5553</v>
      </c>
      <c r="DK715">
        <v>2302</v>
      </c>
      <c r="DL715">
        <v>20200831</v>
      </c>
      <c r="DM715">
        <v>11.25</v>
      </c>
      <c r="DN715">
        <v>-23.38</v>
      </c>
    </row>
    <row r="716" spans="1:118">
      <c r="A716" t="str">
        <f>"002303"</f>
        <v>002303</v>
      </c>
      <c r="B716" t="s">
        <v>4327</v>
      </c>
      <c r="C716">
        <v>-0.55000000000000004</v>
      </c>
      <c r="D716">
        <v>0.28000000000000003</v>
      </c>
      <c r="E716">
        <v>0</v>
      </c>
      <c r="F716">
        <v>799</v>
      </c>
      <c r="G716" t="s">
        <v>4328</v>
      </c>
      <c r="H716">
        <v>4049.86</v>
      </c>
      <c r="I716">
        <v>19.13</v>
      </c>
      <c r="J716" t="s">
        <v>120</v>
      </c>
      <c r="K716" t="s">
        <v>4329</v>
      </c>
      <c r="L716">
        <v>1.17</v>
      </c>
      <c r="M716">
        <v>3.61</v>
      </c>
      <c r="N716">
        <v>0.64</v>
      </c>
      <c r="O716">
        <v>1.1000000000000001</v>
      </c>
      <c r="P716">
        <v>3.67</v>
      </c>
      <c r="Q716">
        <v>-1.1000000000000001</v>
      </c>
      <c r="R716">
        <v>3.59</v>
      </c>
      <c r="S716">
        <v>3.63</v>
      </c>
      <c r="T716">
        <v>111539</v>
      </c>
      <c r="U716">
        <v>3.61</v>
      </c>
      <c r="V716">
        <v>3.63</v>
      </c>
      <c r="W716">
        <v>55.07</v>
      </c>
      <c r="X716" t="s">
        <v>814</v>
      </c>
      <c r="Y716" t="s">
        <v>123</v>
      </c>
      <c r="Z716">
        <v>2.2000000000000002</v>
      </c>
      <c r="AA716">
        <v>3.63</v>
      </c>
      <c r="AB716">
        <v>65023</v>
      </c>
      <c r="AC716">
        <v>46516</v>
      </c>
      <c r="AD716">
        <v>1.4</v>
      </c>
      <c r="AE716">
        <v>849</v>
      </c>
      <c r="AF716">
        <v>2105</v>
      </c>
      <c r="AG716" t="s">
        <v>120</v>
      </c>
      <c r="AH716">
        <v>0.01</v>
      </c>
      <c r="AI716" t="s">
        <v>120</v>
      </c>
      <c r="AJ716">
        <v>9.52</v>
      </c>
      <c r="AK716" t="s">
        <v>4330</v>
      </c>
      <c r="AL716">
        <v>1.36</v>
      </c>
      <c r="AM716">
        <v>1236</v>
      </c>
      <c r="AN716">
        <v>90</v>
      </c>
      <c r="AO716">
        <v>8.9999999999999998E-4</v>
      </c>
      <c r="AP716">
        <v>-1</v>
      </c>
      <c r="AQ716">
        <v>1.1100000000000001</v>
      </c>
      <c r="AR716">
        <v>-2.17</v>
      </c>
      <c r="AS716">
        <v>8.74</v>
      </c>
      <c r="AT716">
        <v>3.14</v>
      </c>
      <c r="AU716">
        <v>-6.96</v>
      </c>
      <c r="AV716">
        <v>1</v>
      </c>
      <c r="AW716">
        <v>1.48</v>
      </c>
      <c r="AX716">
        <v>49.28</v>
      </c>
      <c r="AY716">
        <v>37.200000000000003</v>
      </c>
      <c r="AZ716">
        <v>28.64</v>
      </c>
      <c r="BA716">
        <v>0.25</v>
      </c>
      <c r="BB716" t="s">
        <v>184</v>
      </c>
      <c r="BF716">
        <v>0.02</v>
      </c>
      <c r="BG716">
        <v>-0.55000000000000004</v>
      </c>
      <c r="BH716">
        <v>-1.63</v>
      </c>
      <c r="BI716">
        <v>0.56000000000000005</v>
      </c>
      <c r="BJ716">
        <v>20210902</v>
      </c>
      <c r="BK716">
        <v>20091103</v>
      </c>
      <c r="BL716">
        <v>15.31</v>
      </c>
      <c r="BM716" t="s">
        <v>120</v>
      </c>
      <c r="BN716" t="s">
        <v>120</v>
      </c>
      <c r="BO716">
        <v>70.739999999999995</v>
      </c>
      <c r="BP716">
        <v>3.6</v>
      </c>
      <c r="BQ716">
        <v>47.22</v>
      </c>
      <c r="BR716">
        <v>0.83</v>
      </c>
      <c r="BS716">
        <v>32.07</v>
      </c>
      <c r="BT716">
        <v>30.16</v>
      </c>
      <c r="BU716">
        <v>16.79</v>
      </c>
      <c r="BV716">
        <v>5.14</v>
      </c>
      <c r="BW716">
        <v>18.350000000000001</v>
      </c>
      <c r="BX716">
        <v>9.3800000000000008</v>
      </c>
      <c r="BY716">
        <v>8.2200000000000006</v>
      </c>
      <c r="BZ716">
        <v>10.07</v>
      </c>
      <c r="CA716">
        <v>0</v>
      </c>
      <c r="CB716">
        <v>12.45</v>
      </c>
      <c r="CC716">
        <v>16.440000000000001</v>
      </c>
      <c r="CD716">
        <v>12.7</v>
      </c>
      <c r="CE716">
        <v>0.65</v>
      </c>
      <c r="CF716">
        <v>0.01</v>
      </c>
      <c r="CG716">
        <v>0.66</v>
      </c>
      <c r="CH716">
        <v>0.48</v>
      </c>
      <c r="CI716">
        <v>0.5</v>
      </c>
      <c r="CJ716">
        <v>-0.02</v>
      </c>
      <c r="CK716">
        <v>0.44</v>
      </c>
      <c r="CL716">
        <v>11.71</v>
      </c>
      <c r="CM716">
        <v>-0.59</v>
      </c>
      <c r="CN716">
        <v>-3.18</v>
      </c>
      <c r="CO716">
        <v>53088</v>
      </c>
      <c r="CP716">
        <v>14214</v>
      </c>
      <c r="CQ716" t="s">
        <v>3781</v>
      </c>
      <c r="CR716">
        <v>-47.09</v>
      </c>
      <c r="CS716">
        <v>22.12</v>
      </c>
      <c r="CT716">
        <v>1.17</v>
      </c>
      <c r="CU716">
        <v>-93.52</v>
      </c>
      <c r="CV716">
        <v>3.36</v>
      </c>
      <c r="CW716">
        <v>3.31</v>
      </c>
      <c r="CX716" t="s">
        <v>3749</v>
      </c>
      <c r="CY716">
        <v>3.08</v>
      </c>
      <c r="CZ716">
        <v>0</v>
      </c>
      <c r="DA716">
        <v>0.81</v>
      </c>
      <c r="DB716">
        <v>0.76</v>
      </c>
      <c r="DC716">
        <v>-0.04</v>
      </c>
      <c r="DD716">
        <v>66.75</v>
      </c>
      <c r="DE716" t="s">
        <v>4331</v>
      </c>
      <c r="DF716">
        <v>22.76</v>
      </c>
      <c r="DG716">
        <v>3.98</v>
      </c>
      <c r="DH716">
        <v>3.05</v>
      </c>
      <c r="DI716">
        <v>0.62</v>
      </c>
      <c r="DJ716">
        <v>5201</v>
      </c>
      <c r="DK716">
        <v>2303</v>
      </c>
      <c r="DL716" t="s">
        <v>120</v>
      </c>
      <c r="DM716" t="s">
        <v>120</v>
      </c>
      <c r="DN716" t="s">
        <v>120</v>
      </c>
    </row>
    <row r="717" spans="1:118">
      <c r="A717" t="str">
        <f>"002304"</f>
        <v>002304</v>
      </c>
      <c r="B717" t="s">
        <v>4332</v>
      </c>
      <c r="C717">
        <v>3.42</v>
      </c>
      <c r="D717">
        <v>-0.26</v>
      </c>
      <c r="E717">
        <v>0.74</v>
      </c>
      <c r="F717">
        <v>826</v>
      </c>
      <c r="G717" t="s">
        <v>4333</v>
      </c>
      <c r="H717">
        <v>161310.91</v>
      </c>
      <c r="I717">
        <v>470.12</v>
      </c>
      <c r="J717" t="s">
        <v>120</v>
      </c>
      <c r="K717" t="s">
        <v>4334</v>
      </c>
      <c r="L717">
        <v>0.75</v>
      </c>
      <c r="M717">
        <v>172.99</v>
      </c>
      <c r="N717">
        <v>1.6</v>
      </c>
      <c r="O717">
        <v>5.94</v>
      </c>
      <c r="P717">
        <v>177.2</v>
      </c>
      <c r="Q717">
        <v>-0.16</v>
      </c>
      <c r="R717">
        <v>167</v>
      </c>
      <c r="S717">
        <v>168.5</v>
      </c>
      <c r="T717">
        <v>93252</v>
      </c>
      <c r="U717">
        <v>173</v>
      </c>
      <c r="V717">
        <v>167.27</v>
      </c>
      <c r="W717">
        <v>23.02</v>
      </c>
      <c r="X717" t="s">
        <v>1165</v>
      </c>
      <c r="Y717" t="s">
        <v>319</v>
      </c>
      <c r="Z717">
        <v>6.1</v>
      </c>
      <c r="AA717">
        <v>172.98</v>
      </c>
      <c r="AB717">
        <v>35681</v>
      </c>
      <c r="AC717">
        <v>57571</v>
      </c>
      <c r="AD717">
        <v>0.62</v>
      </c>
      <c r="AE717">
        <v>4</v>
      </c>
      <c r="AF717">
        <v>6</v>
      </c>
      <c r="AG717" t="s">
        <v>120</v>
      </c>
      <c r="AH717">
        <v>0.01</v>
      </c>
      <c r="AI717" t="s">
        <v>120</v>
      </c>
      <c r="AJ717">
        <v>12.49</v>
      </c>
      <c r="AK717" t="s">
        <v>4335</v>
      </c>
      <c r="AL717">
        <v>5.33</v>
      </c>
      <c r="AM717">
        <v>4456</v>
      </c>
      <c r="AN717">
        <v>21</v>
      </c>
      <c r="AO717">
        <v>2.0000000000000001E-4</v>
      </c>
      <c r="AP717">
        <v>1</v>
      </c>
      <c r="AQ717">
        <v>-2.86</v>
      </c>
      <c r="AR717">
        <v>0.17</v>
      </c>
      <c r="AS717">
        <v>1.78</v>
      </c>
      <c r="AT717">
        <v>-13.53</v>
      </c>
      <c r="AU717">
        <v>-25.76</v>
      </c>
      <c r="AV717">
        <v>3</v>
      </c>
      <c r="AW717">
        <v>1.72</v>
      </c>
      <c r="AX717">
        <v>36.049999999999997</v>
      </c>
      <c r="AY717">
        <v>32.56</v>
      </c>
      <c r="AZ717">
        <v>33.69</v>
      </c>
      <c r="BA717">
        <v>1.19</v>
      </c>
      <c r="BB717" t="s">
        <v>125</v>
      </c>
      <c r="BF717">
        <v>3.42</v>
      </c>
      <c r="BG717">
        <v>2.66</v>
      </c>
      <c r="BH717">
        <v>-2.38</v>
      </c>
      <c r="BI717">
        <v>3.59</v>
      </c>
      <c r="BJ717">
        <v>20210830</v>
      </c>
      <c r="BK717">
        <v>20091106</v>
      </c>
      <c r="BL717">
        <v>15.07</v>
      </c>
      <c r="BM717" t="s">
        <v>120</v>
      </c>
      <c r="BN717" t="s">
        <v>120</v>
      </c>
      <c r="BO717">
        <v>557.15</v>
      </c>
      <c r="BP717">
        <v>172.99</v>
      </c>
      <c r="BQ717">
        <v>396.52</v>
      </c>
      <c r="BR717">
        <v>-0.11</v>
      </c>
      <c r="BS717">
        <v>28.85</v>
      </c>
      <c r="BT717">
        <v>391.53</v>
      </c>
      <c r="BU717">
        <v>65.569999999999993</v>
      </c>
      <c r="BV717">
        <v>16.920000000000002</v>
      </c>
      <c r="BW717">
        <v>153.15</v>
      </c>
      <c r="BX717">
        <v>145.93</v>
      </c>
      <c r="BY717">
        <v>146.88999999999999</v>
      </c>
      <c r="BZ717">
        <v>0.05</v>
      </c>
      <c r="CA717" t="s">
        <v>120</v>
      </c>
      <c r="CB717">
        <v>7.42</v>
      </c>
      <c r="CC717">
        <v>155.43</v>
      </c>
      <c r="CD717">
        <v>39.74</v>
      </c>
      <c r="CE717">
        <v>75.05</v>
      </c>
      <c r="CF717">
        <v>5.43</v>
      </c>
      <c r="CG717">
        <v>74.930000000000007</v>
      </c>
      <c r="CH717">
        <v>56.66</v>
      </c>
      <c r="CI717">
        <v>56.61</v>
      </c>
      <c r="CJ717">
        <v>5.72</v>
      </c>
      <c r="CK717">
        <v>51.68</v>
      </c>
      <c r="CL717">
        <v>376.59</v>
      </c>
      <c r="CM717">
        <v>20.93</v>
      </c>
      <c r="CN717">
        <v>73.47</v>
      </c>
      <c r="CO717">
        <v>137584</v>
      </c>
      <c r="CP717">
        <v>3949</v>
      </c>
      <c r="CQ717" t="s">
        <v>4336</v>
      </c>
      <c r="CR717">
        <v>4.82</v>
      </c>
      <c r="CS717">
        <v>15.75</v>
      </c>
      <c r="CT717">
        <v>6.57</v>
      </c>
      <c r="CU717">
        <v>124.54</v>
      </c>
      <c r="CV717">
        <v>16.77</v>
      </c>
      <c r="CW717">
        <v>1.78</v>
      </c>
      <c r="CX717" t="s">
        <v>4337</v>
      </c>
      <c r="CY717">
        <v>26.31</v>
      </c>
      <c r="CZ717">
        <v>0</v>
      </c>
      <c r="DA717">
        <v>0.49</v>
      </c>
      <c r="DB717">
        <v>24.99</v>
      </c>
      <c r="DC717">
        <v>1.39</v>
      </c>
      <c r="DD717">
        <v>71.17</v>
      </c>
      <c r="DE717" t="s">
        <v>4338</v>
      </c>
      <c r="DF717">
        <v>74.430000000000007</v>
      </c>
      <c r="DG717">
        <v>48.28</v>
      </c>
      <c r="DH717">
        <v>36.42</v>
      </c>
      <c r="DI717">
        <v>1.39</v>
      </c>
      <c r="DJ717">
        <v>15831</v>
      </c>
      <c r="DK717">
        <v>2304</v>
      </c>
      <c r="DL717" t="s">
        <v>120</v>
      </c>
      <c r="DM717" t="s">
        <v>120</v>
      </c>
      <c r="DN717" t="s">
        <v>120</v>
      </c>
    </row>
    <row r="718" spans="1:118">
      <c r="A718" t="str">
        <f>"002305"</f>
        <v>002305</v>
      </c>
      <c r="B718" t="s">
        <v>4339</v>
      </c>
      <c r="C718">
        <v>-1.51</v>
      </c>
      <c r="D718">
        <v>0</v>
      </c>
      <c r="E718">
        <v>0</v>
      </c>
      <c r="F718">
        <v>1497</v>
      </c>
      <c r="G718" t="s">
        <v>4340</v>
      </c>
      <c r="H718">
        <v>5216.37</v>
      </c>
      <c r="I718">
        <v>4.5</v>
      </c>
      <c r="J718" t="s">
        <v>120</v>
      </c>
      <c r="K718" t="s">
        <v>4341</v>
      </c>
      <c r="L718">
        <v>1.51</v>
      </c>
      <c r="M718">
        <v>1.96</v>
      </c>
      <c r="N718">
        <v>1.18</v>
      </c>
      <c r="O718">
        <v>2.0099999999999998</v>
      </c>
      <c r="P718">
        <v>2.0299999999999998</v>
      </c>
      <c r="Q718">
        <v>-2.0099999999999998</v>
      </c>
      <c r="R718">
        <v>1.95</v>
      </c>
      <c r="S718">
        <v>1.99</v>
      </c>
      <c r="T718">
        <v>260913</v>
      </c>
      <c r="U718">
        <v>1.96</v>
      </c>
      <c r="V718">
        <v>1.99</v>
      </c>
      <c r="W718" t="s">
        <v>120</v>
      </c>
      <c r="X718" t="s">
        <v>150</v>
      </c>
      <c r="Y718" t="s">
        <v>763</v>
      </c>
      <c r="Z718">
        <v>4.0199999999999996</v>
      </c>
      <c r="AA718">
        <v>2</v>
      </c>
      <c r="AB718">
        <v>127361</v>
      </c>
      <c r="AC718">
        <v>133552</v>
      </c>
      <c r="AD718">
        <v>0.95</v>
      </c>
      <c r="AE718">
        <v>8917</v>
      </c>
      <c r="AF718">
        <v>4461</v>
      </c>
      <c r="AG718" t="s">
        <v>120</v>
      </c>
      <c r="AH718">
        <v>0</v>
      </c>
      <c r="AI718" t="s">
        <v>120</v>
      </c>
      <c r="AJ718">
        <v>17.329999999999998</v>
      </c>
      <c r="AK718" t="s">
        <v>4342</v>
      </c>
      <c r="AL718">
        <v>0.41</v>
      </c>
      <c r="AM718">
        <v>1386</v>
      </c>
      <c r="AN718">
        <v>188</v>
      </c>
      <c r="AO718">
        <v>1.1000000000000001E-3</v>
      </c>
      <c r="AP718">
        <v>-1</v>
      </c>
      <c r="AQ718">
        <v>0.51</v>
      </c>
      <c r="AR718">
        <v>-2.48</v>
      </c>
      <c r="AS718">
        <v>5.38</v>
      </c>
      <c r="AT718">
        <v>-1.51</v>
      </c>
      <c r="AU718">
        <v>-3.45</v>
      </c>
      <c r="AV718">
        <v>8</v>
      </c>
      <c r="AW718">
        <v>2.87</v>
      </c>
      <c r="AX718">
        <v>52.37</v>
      </c>
      <c r="AY718" t="s">
        <v>120</v>
      </c>
      <c r="AZ718">
        <v>169.12</v>
      </c>
      <c r="BA718">
        <v>0.11</v>
      </c>
      <c r="BB718" t="s">
        <v>143</v>
      </c>
      <c r="BF718">
        <v>0.47</v>
      </c>
      <c r="BG718">
        <v>-1.51</v>
      </c>
      <c r="BH718">
        <v>-3.45</v>
      </c>
      <c r="BI718">
        <v>0.51</v>
      </c>
      <c r="BJ718">
        <v>20210821</v>
      </c>
      <c r="BK718">
        <v>20091106</v>
      </c>
      <c r="BL718">
        <v>17.34</v>
      </c>
      <c r="BM718" t="s">
        <v>120</v>
      </c>
      <c r="BN718" t="s">
        <v>120</v>
      </c>
      <c r="BO718">
        <v>341.84</v>
      </c>
      <c r="BP718">
        <v>1.95</v>
      </c>
      <c r="BQ718">
        <v>35.99</v>
      </c>
      <c r="BR718">
        <v>17.68</v>
      </c>
      <c r="BS718">
        <v>84.3</v>
      </c>
      <c r="BT718">
        <v>309.66000000000003</v>
      </c>
      <c r="BU718">
        <v>5.3</v>
      </c>
      <c r="BV718">
        <v>0</v>
      </c>
      <c r="BW718">
        <v>230.87</v>
      </c>
      <c r="BX718">
        <v>45.08</v>
      </c>
      <c r="BY718">
        <v>209.41</v>
      </c>
      <c r="BZ718">
        <v>8.44</v>
      </c>
      <c r="CA718">
        <v>0.49</v>
      </c>
      <c r="CB718">
        <v>12.4</v>
      </c>
      <c r="CC718">
        <v>9.8699999999999992</v>
      </c>
      <c r="CD718">
        <v>12.7</v>
      </c>
      <c r="CE718">
        <v>-4.5999999999999996</v>
      </c>
      <c r="CF718">
        <v>0.89</v>
      </c>
      <c r="CG718">
        <v>-4.5999999999999996</v>
      </c>
      <c r="CH718">
        <v>-4.63</v>
      </c>
      <c r="CI718">
        <v>-4.2300000000000004</v>
      </c>
      <c r="CJ718">
        <v>-0.03</v>
      </c>
      <c r="CK718">
        <v>-4.24</v>
      </c>
      <c r="CL718">
        <v>3.59</v>
      </c>
      <c r="CM718">
        <v>-1.47</v>
      </c>
      <c r="CN718">
        <v>13.83</v>
      </c>
      <c r="CO718">
        <v>55487</v>
      </c>
      <c r="CP718">
        <v>16367</v>
      </c>
      <c r="CQ718" t="s">
        <v>2509</v>
      </c>
      <c r="CR718">
        <v>-41.49</v>
      </c>
      <c r="CS718">
        <v>-36.57</v>
      </c>
      <c r="CT718">
        <v>0.94</v>
      </c>
      <c r="CU718">
        <v>-23.14</v>
      </c>
      <c r="CV718">
        <v>3.44</v>
      </c>
      <c r="CW718">
        <v>0</v>
      </c>
      <c r="CX718" t="s">
        <v>4343</v>
      </c>
      <c r="CY718">
        <v>2.08</v>
      </c>
      <c r="CZ718">
        <v>0</v>
      </c>
      <c r="DA718">
        <v>0.72</v>
      </c>
      <c r="DB718">
        <v>0.21</v>
      </c>
      <c r="DC718">
        <v>-0.08</v>
      </c>
      <c r="DD718">
        <v>10.53</v>
      </c>
      <c r="DE718" t="s">
        <v>4344</v>
      </c>
      <c r="DF718">
        <v>-28.69</v>
      </c>
      <c r="DG718">
        <v>-46.63</v>
      </c>
      <c r="DH718">
        <v>-42.92</v>
      </c>
      <c r="DI718" t="s">
        <v>120</v>
      </c>
      <c r="DJ718">
        <v>729</v>
      </c>
      <c r="DK718">
        <v>2305</v>
      </c>
      <c r="DL718" t="s">
        <v>120</v>
      </c>
      <c r="DM718" t="s">
        <v>120</v>
      </c>
      <c r="DN718" t="s">
        <v>120</v>
      </c>
    </row>
    <row r="719" spans="1:118">
      <c r="A719" t="str">
        <f>"002306"</f>
        <v>002306</v>
      </c>
      <c r="B719" t="s">
        <v>4345</v>
      </c>
      <c r="C719">
        <v>-2.34</v>
      </c>
      <c r="D719">
        <v>0</v>
      </c>
      <c r="E719">
        <v>0</v>
      </c>
      <c r="F719">
        <v>348</v>
      </c>
      <c r="G719" t="s">
        <v>3414</v>
      </c>
      <c r="H719">
        <v>1546.37</v>
      </c>
      <c r="I719">
        <v>3.35</v>
      </c>
      <c r="J719" t="s">
        <v>120</v>
      </c>
      <c r="K719" t="s">
        <v>4346</v>
      </c>
      <c r="L719">
        <v>0.65</v>
      </c>
      <c r="M719">
        <v>2.92</v>
      </c>
      <c r="N719">
        <v>0.72</v>
      </c>
      <c r="O719">
        <v>1</v>
      </c>
      <c r="P719">
        <v>3.02</v>
      </c>
      <c r="Q719">
        <v>-2.34</v>
      </c>
      <c r="R719">
        <v>2.92</v>
      </c>
      <c r="S719">
        <v>2.99</v>
      </c>
      <c r="T719">
        <v>52304</v>
      </c>
      <c r="U719">
        <v>2.93</v>
      </c>
      <c r="V719">
        <v>2.99</v>
      </c>
      <c r="W719">
        <v>804.62</v>
      </c>
      <c r="X719" t="s">
        <v>1531</v>
      </c>
      <c r="Y719" t="s">
        <v>158</v>
      </c>
      <c r="Z719">
        <v>3.34</v>
      </c>
      <c r="AA719">
        <v>2.96</v>
      </c>
      <c r="AB719">
        <v>33841</v>
      </c>
      <c r="AC719">
        <v>18463</v>
      </c>
      <c r="AD719">
        <v>1.83</v>
      </c>
      <c r="AE719">
        <v>1663</v>
      </c>
      <c r="AF719">
        <v>141</v>
      </c>
      <c r="AG719" t="s">
        <v>120</v>
      </c>
      <c r="AH719">
        <v>0</v>
      </c>
      <c r="AI719" t="s">
        <v>120</v>
      </c>
      <c r="AJ719">
        <v>8.0299999999999994</v>
      </c>
      <c r="AK719" t="s">
        <v>4347</v>
      </c>
      <c r="AL719">
        <v>-0.43</v>
      </c>
      <c r="AM719">
        <v>751</v>
      </c>
      <c r="AN719">
        <v>70</v>
      </c>
      <c r="AO719">
        <v>8.9999999999999998E-4</v>
      </c>
      <c r="AP719">
        <v>-1</v>
      </c>
      <c r="AQ719">
        <v>1.7</v>
      </c>
      <c r="AR719">
        <v>-3.31</v>
      </c>
      <c r="AS719">
        <v>5.03</v>
      </c>
      <c r="AT719">
        <v>-9.31</v>
      </c>
      <c r="AU719">
        <v>10.19</v>
      </c>
      <c r="AV719">
        <v>10</v>
      </c>
      <c r="AW719">
        <v>0.85</v>
      </c>
      <c r="AX719">
        <v>73.58</v>
      </c>
      <c r="AY719" t="s">
        <v>120</v>
      </c>
      <c r="AZ719" t="s">
        <v>120</v>
      </c>
      <c r="BA719">
        <v>0.22</v>
      </c>
      <c r="BB719" t="s">
        <v>184</v>
      </c>
      <c r="BF719">
        <v>-1.1200000000000001</v>
      </c>
      <c r="BG719">
        <v>-2.34</v>
      </c>
      <c r="BH719">
        <v>-3.31</v>
      </c>
      <c r="BI719">
        <v>0</v>
      </c>
      <c r="BJ719">
        <v>20210818</v>
      </c>
      <c r="BK719">
        <v>20091111</v>
      </c>
      <c r="BL719">
        <v>8.4</v>
      </c>
      <c r="BM719" t="s">
        <v>120</v>
      </c>
      <c r="BN719" t="s">
        <v>120</v>
      </c>
      <c r="BO719">
        <v>1.97</v>
      </c>
      <c r="BP719">
        <v>2.92</v>
      </c>
      <c r="BQ719">
        <v>0.94</v>
      </c>
      <c r="BR719">
        <v>0</v>
      </c>
      <c r="BS719">
        <v>52.25</v>
      </c>
      <c r="BT719">
        <v>1.68</v>
      </c>
      <c r="BU719">
        <v>0.08</v>
      </c>
      <c r="BV719">
        <v>0.01</v>
      </c>
      <c r="BW719">
        <v>0.98</v>
      </c>
      <c r="BX719">
        <v>0.37</v>
      </c>
      <c r="BY719">
        <v>0</v>
      </c>
      <c r="BZ719">
        <v>0.18</v>
      </c>
      <c r="CA719" t="s">
        <v>120</v>
      </c>
      <c r="CB719">
        <v>4.4400000000000004</v>
      </c>
      <c r="CC719">
        <v>2.2599999999999998</v>
      </c>
      <c r="CD719">
        <v>1.53</v>
      </c>
      <c r="CE719">
        <v>7.0000000000000007E-2</v>
      </c>
      <c r="CF719">
        <v>0.01</v>
      </c>
      <c r="CG719">
        <v>7.0000000000000007E-2</v>
      </c>
      <c r="CH719">
        <v>0.02</v>
      </c>
      <c r="CI719">
        <v>0.02</v>
      </c>
      <c r="CJ719">
        <v>-7.0000000000000007E-2</v>
      </c>
      <c r="CK719">
        <v>-0.01</v>
      </c>
      <c r="CL719">
        <v>-11.82</v>
      </c>
      <c r="CM719">
        <v>-0.43</v>
      </c>
      <c r="CN719">
        <v>-0.81</v>
      </c>
      <c r="CO719">
        <v>33702</v>
      </c>
      <c r="CP719">
        <v>18338</v>
      </c>
      <c r="CQ719" t="s">
        <v>2603</v>
      </c>
      <c r="CR719">
        <v>138.44999999999999</v>
      </c>
      <c r="CS719">
        <v>431</v>
      </c>
      <c r="CT719">
        <v>26.04</v>
      </c>
      <c r="CU719">
        <v>-57.4</v>
      </c>
      <c r="CV719">
        <v>10.84</v>
      </c>
      <c r="CW719">
        <v>0</v>
      </c>
      <c r="CX719" t="s">
        <v>216</v>
      </c>
      <c r="CY719">
        <v>0.11</v>
      </c>
      <c r="CZ719">
        <v>0</v>
      </c>
      <c r="DA719">
        <v>0.53</v>
      </c>
      <c r="DB719">
        <v>-1.41</v>
      </c>
      <c r="DC719">
        <v>-0.05</v>
      </c>
      <c r="DD719">
        <v>47.8</v>
      </c>
      <c r="DE719" t="s">
        <v>4348</v>
      </c>
      <c r="DF719">
        <v>32.270000000000003</v>
      </c>
      <c r="DG719">
        <v>3.03</v>
      </c>
      <c r="DH719">
        <v>0.67</v>
      </c>
      <c r="DI719">
        <v>7.0000000000000007E-2</v>
      </c>
      <c r="DJ719">
        <v>646</v>
      </c>
      <c r="DK719">
        <v>2306</v>
      </c>
      <c r="DL719" t="s">
        <v>120</v>
      </c>
      <c r="DM719" t="s">
        <v>120</v>
      </c>
      <c r="DN719" t="s">
        <v>120</v>
      </c>
    </row>
    <row r="720" spans="1:118">
      <c r="A720" t="str">
        <f>"002307"</f>
        <v>002307</v>
      </c>
      <c r="B720" t="s">
        <v>4349</v>
      </c>
      <c r="C720">
        <v>0.2</v>
      </c>
      <c r="D720">
        <v>0</v>
      </c>
      <c r="E720">
        <v>0.4</v>
      </c>
      <c r="F720">
        <v>1435</v>
      </c>
      <c r="G720" t="s">
        <v>4350</v>
      </c>
      <c r="H720">
        <v>8517.59</v>
      </c>
      <c r="I720">
        <v>23.09</v>
      </c>
      <c r="J720" t="s">
        <v>120</v>
      </c>
      <c r="K720" t="s">
        <v>4350</v>
      </c>
      <c r="L720">
        <v>3.52</v>
      </c>
      <c r="M720">
        <v>5.01</v>
      </c>
      <c r="N720">
        <v>0.84</v>
      </c>
      <c r="O720">
        <v>3.2</v>
      </c>
      <c r="P720">
        <v>5.16</v>
      </c>
      <c r="Q720">
        <v>0.2</v>
      </c>
      <c r="R720">
        <v>5.01</v>
      </c>
      <c r="S720">
        <v>5.0199999999999996</v>
      </c>
      <c r="T720">
        <v>167125</v>
      </c>
      <c r="U720">
        <v>5.0199999999999996</v>
      </c>
      <c r="V720">
        <v>5</v>
      </c>
      <c r="W720">
        <v>120.38</v>
      </c>
      <c r="X720" t="s">
        <v>175</v>
      </c>
      <c r="Y720" t="s">
        <v>609</v>
      </c>
      <c r="Z720">
        <v>3</v>
      </c>
      <c r="AA720">
        <v>5.0999999999999996</v>
      </c>
      <c r="AB720">
        <v>77226</v>
      </c>
      <c r="AC720">
        <v>89899</v>
      </c>
      <c r="AD720">
        <v>0.86</v>
      </c>
      <c r="AE720">
        <v>1774</v>
      </c>
      <c r="AF720">
        <v>756</v>
      </c>
      <c r="AG720" t="s">
        <v>120</v>
      </c>
      <c r="AH720">
        <v>0.01</v>
      </c>
      <c r="AI720" t="s">
        <v>120</v>
      </c>
      <c r="AJ720">
        <v>4.75</v>
      </c>
      <c r="AK720" t="s">
        <v>4351</v>
      </c>
      <c r="AL720">
        <v>2.11</v>
      </c>
      <c r="AM720">
        <v>2628</v>
      </c>
      <c r="AN720">
        <v>64</v>
      </c>
      <c r="AO720">
        <v>1.2999999999999999E-3</v>
      </c>
      <c r="AP720">
        <v>2</v>
      </c>
      <c r="AQ720">
        <v>0.2</v>
      </c>
      <c r="AR720">
        <v>-2.5299999999999998</v>
      </c>
      <c r="AS720">
        <v>5.47</v>
      </c>
      <c r="AT720">
        <v>7.98</v>
      </c>
      <c r="AU720">
        <v>3.52</v>
      </c>
      <c r="AV720">
        <v>0</v>
      </c>
      <c r="AW720">
        <v>3.52</v>
      </c>
      <c r="AX720">
        <v>39.28</v>
      </c>
      <c r="AY720">
        <v>102.99</v>
      </c>
      <c r="AZ720">
        <v>109.73</v>
      </c>
      <c r="BA720">
        <v>0.15</v>
      </c>
      <c r="BB720" t="s">
        <v>143</v>
      </c>
      <c r="BF720">
        <v>1.93</v>
      </c>
      <c r="BG720">
        <v>-0.2</v>
      </c>
      <c r="BH720">
        <v>-2.91</v>
      </c>
      <c r="BI720">
        <v>0</v>
      </c>
      <c r="BJ720">
        <v>20210820</v>
      </c>
      <c r="BK720">
        <v>20091111</v>
      </c>
      <c r="BL720">
        <v>12.09</v>
      </c>
      <c r="BM720" t="s">
        <v>120</v>
      </c>
      <c r="BN720" t="s">
        <v>120</v>
      </c>
      <c r="BO720">
        <v>437.57</v>
      </c>
      <c r="BP720">
        <v>5.01</v>
      </c>
      <c r="BQ720">
        <v>34.619999999999997</v>
      </c>
      <c r="BR720">
        <v>19.010000000000002</v>
      </c>
      <c r="BS720">
        <v>87.74</v>
      </c>
      <c r="BT720">
        <v>152.38</v>
      </c>
      <c r="BU720">
        <v>10.42</v>
      </c>
      <c r="BV720">
        <v>54.99</v>
      </c>
      <c r="BW720">
        <v>112.54</v>
      </c>
      <c r="BX720">
        <v>53.88</v>
      </c>
      <c r="BY720">
        <v>18.100000000000001</v>
      </c>
      <c r="BZ720">
        <v>16.75</v>
      </c>
      <c r="CA720">
        <v>0.01</v>
      </c>
      <c r="CB720">
        <v>14.72</v>
      </c>
      <c r="CC720">
        <v>56.12</v>
      </c>
      <c r="CD720">
        <v>49.14</v>
      </c>
      <c r="CE720">
        <v>0.54</v>
      </c>
      <c r="CF720">
        <v>0.04</v>
      </c>
      <c r="CG720">
        <v>0.64</v>
      </c>
      <c r="CH720">
        <v>0.26</v>
      </c>
      <c r="CI720">
        <v>0.25</v>
      </c>
      <c r="CJ720">
        <v>0.01</v>
      </c>
      <c r="CK720">
        <v>0.17</v>
      </c>
      <c r="CL720">
        <v>5.62</v>
      </c>
      <c r="CM720">
        <v>-6.63</v>
      </c>
      <c r="CN720">
        <v>12.51</v>
      </c>
      <c r="CO720">
        <v>64782</v>
      </c>
      <c r="CP720">
        <v>7330</v>
      </c>
      <c r="CQ720" t="s">
        <v>1702</v>
      </c>
      <c r="CR720">
        <v>16.72</v>
      </c>
      <c r="CS720">
        <v>56.02</v>
      </c>
      <c r="CT720">
        <v>1.75</v>
      </c>
      <c r="CU720">
        <v>-9.14</v>
      </c>
      <c r="CV720">
        <v>1.08</v>
      </c>
      <c r="CW720">
        <v>0</v>
      </c>
      <c r="CX720" t="s">
        <v>1016</v>
      </c>
      <c r="CY720">
        <v>2.86</v>
      </c>
      <c r="CZ720">
        <v>0</v>
      </c>
      <c r="DA720">
        <v>1.22</v>
      </c>
      <c r="DB720">
        <v>0.47</v>
      </c>
      <c r="DC720">
        <v>-0.55000000000000004</v>
      </c>
      <c r="DD720">
        <v>7.91</v>
      </c>
      <c r="DE720" t="s">
        <v>4352</v>
      </c>
      <c r="DF720">
        <v>12.43</v>
      </c>
      <c r="DG720">
        <v>0.96</v>
      </c>
      <c r="DH720">
        <v>0.45</v>
      </c>
      <c r="DI720">
        <v>0.01</v>
      </c>
      <c r="DJ720">
        <v>3963</v>
      </c>
      <c r="DK720">
        <v>2307</v>
      </c>
      <c r="DL720" t="s">
        <v>120</v>
      </c>
      <c r="DM720" t="s">
        <v>120</v>
      </c>
      <c r="DN720" t="s">
        <v>120</v>
      </c>
    </row>
    <row r="721" spans="1:118">
      <c r="A721" t="str">
        <f>"002308"</f>
        <v>002308</v>
      </c>
      <c r="B721" t="s">
        <v>4353</v>
      </c>
      <c r="C721">
        <v>-1.72</v>
      </c>
      <c r="D721">
        <v>-0.24</v>
      </c>
      <c r="E721">
        <v>0.49</v>
      </c>
      <c r="F721">
        <v>556</v>
      </c>
      <c r="G721" t="s">
        <v>4354</v>
      </c>
      <c r="H721">
        <v>2750.07</v>
      </c>
      <c r="I721">
        <v>20.2</v>
      </c>
      <c r="J721" t="s">
        <v>120</v>
      </c>
      <c r="K721" t="s">
        <v>4355</v>
      </c>
      <c r="L721">
        <v>0.75</v>
      </c>
      <c r="M721">
        <v>3.99</v>
      </c>
      <c r="N721">
        <v>0.8</v>
      </c>
      <c r="O721">
        <v>0.99</v>
      </c>
      <c r="P721">
        <v>4.0999999999999996</v>
      </c>
      <c r="Q721">
        <v>-1.72</v>
      </c>
      <c r="R721">
        <v>3.99</v>
      </c>
      <c r="S721">
        <v>4.08</v>
      </c>
      <c r="T721">
        <v>68153</v>
      </c>
      <c r="U721">
        <v>4</v>
      </c>
      <c r="V721">
        <v>4.0599999999999996</v>
      </c>
      <c r="W721">
        <v>203.51</v>
      </c>
      <c r="X721" t="s">
        <v>238</v>
      </c>
      <c r="Y721" t="s">
        <v>547</v>
      </c>
      <c r="Z721">
        <v>2.71</v>
      </c>
      <c r="AA721">
        <v>4.04</v>
      </c>
      <c r="AB721">
        <v>45914</v>
      </c>
      <c r="AC721">
        <v>22239</v>
      </c>
      <c r="AD721">
        <v>2.06</v>
      </c>
      <c r="AE721">
        <v>2210</v>
      </c>
      <c r="AF721">
        <v>2284</v>
      </c>
      <c r="AG721" t="s">
        <v>120</v>
      </c>
      <c r="AH721">
        <v>0.01</v>
      </c>
      <c r="AI721" t="s">
        <v>120</v>
      </c>
      <c r="AJ721">
        <v>9.06</v>
      </c>
      <c r="AK721" t="s">
        <v>4355</v>
      </c>
      <c r="AL721">
        <v>0.19</v>
      </c>
      <c r="AM721">
        <v>1791</v>
      </c>
      <c r="AN721">
        <v>38</v>
      </c>
      <c r="AO721">
        <v>4.0000000000000002E-4</v>
      </c>
      <c r="AP721">
        <v>-1</v>
      </c>
      <c r="AQ721">
        <v>1.5</v>
      </c>
      <c r="AR721">
        <v>-1.24</v>
      </c>
      <c r="AS721">
        <v>8.7200000000000006</v>
      </c>
      <c r="AT721">
        <v>-8.69</v>
      </c>
      <c r="AU721">
        <v>-20.51</v>
      </c>
      <c r="AV721">
        <v>4</v>
      </c>
      <c r="AW721">
        <v>1.1399999999999999</v>
      </c>
      <c r="AX721">
        <v>65.739999999999995</v>
      </c>
      <c r="AY721" t="s">
        <v>120</v>
      </c>
      <c r="AZ721">
        <v>102.78</v>
      </c>
      <c r="BA721">
        <v>0.41</v>
      </c>
      <c r="BB721" t="s">
        <v>1103</v>
      </c>
      <c r="BF721">
        <v>-0.61</v>
      </c>
      <c r="BG721">
        <v>-2.21</v>
      </c>
      <c r="BH721">
        <v>-2.68</v>
      </c>
      <c r="BI721">
        <v>0</v>
      </c>
      <c r="BJ721">
        <v>20210830</v>
      </c>
      <c r="BK721">
        <v>20091127</v>
      </c>
      <c r="BL721">
        <v>9.06</v>
      </c>
      <c r="BM721" t="s">
        <v>120</v>
      </c>
      <c r="BN721" t="s">
        <v>120</v>
      </c>
      <c r="BO721">
        <v>27.29</v>
      </c>
      <c r="BP721">
        <v>3.99</v>
      </c>
      <c r="BQ721">
        <v>23.29</v>
      </c>
      <c r="BR721">
        <v>0</v>
      </c>
      <c r="BS721">
        <v>14.63</v>
      </c>
      <c r="BT721">
        <v>18.87</v>
      </c>
      <c r="BU721">
        <v>0.13</v>
      </c>
      <c r="BV721">
        <v>0.42</v>
      </c>
      <c r="BW721">
        <v>1.8</v>
      </c>
      <c r="BX721">
        <v>9.2100000000000009</v>
      </c>
      <c r="BY721">
        <v>1.06</v>
      </c>
      <c r="BZ721">
        <v>1.42</v>
      </c>
      <c r="CA721" t="s">
        <v>120</v>
      </c>
      <c r="CB721">
        <v>14.39</v>
      </c>
      <c r="CC721">
        <v>2.84</v>
      </c>
      <c r="CD721">
        <v>1.54</v>
      </c>
      <c r="CE721">
        <v>0.12</v>
      </c>
      <c r="CF721">
        <v>0.1</v>
      </c>
      <c r="CG721">
        <v>0.13</v>
      </c>
      <c r="CH721">
        <v>0.09</v>
      </c>
      <c r="CI721">
        <v>0.09</v>
      </c>
      <c r="CJ721">
        <v>-7.0000000000000007E-2</v>
      </c>
      <c r="CK721">
        <v>-0.02</v>
      </c>
      <c r="CL721">
        <v>-1.68</v>
      </c>
      <c r="CM721">
        <v>-0.23</v>
      </c>
      <c r="CN721">
        <v>-4.8499999999999996</v>
      </c>
      <c r="CO721">
        <v>41957</v>
      </c>
      <c r="CP721">
        <v>14198</v>
      </c>
      <c r="CQ721" t="s">
        <v>4356</v>
      </c>
      <c r="CR721">
        <v>-96.82</v>
      </c>
      <c r="CS721">
        <v>31.35</v>
      </c>
      <c r="CT721">
        <v>1.55</v>
      </c>
      <c r="CU721">
        <v>-158.09</v>
      </c>
      <c r="CV721">
        <v>12.72</v>
      </c>
      <c r="CW721">
        <v>0</v>
      </c>
      <c r="CX721" t="s">
        <v>178</v>
      </c>
      <c r="CY721">
        <v>2.57</v>
      </c>
      <c r="CZ721">
        <v>0</v>
      </c>
      <c r="DA721">
        <v>1.59</v>
      </c>
      <c r="DB721">
        <v>-0.19</v>
      </c>
      <c r="DC721">
        <v>-0.03</v>
      </c>
      <c r="DD721">
        <v>85.35</v>
      </c>
      <c r="DE721" t="s">
        <v>4357</v>
      </c>
      <c r="DF721">
        <v>46.01</v>
      </c>
      <c r="DG721">
        <v>4.29</v>
      </c>
      <c r="DH721">
        <v>3.12</v>
      </c>
      <c r="DI721">
        <v>0.36</v>
      </c>
      <c r="DJ721">
        <v>1040</v>
      </c>
      <c r="DK721">
        <v>2308</v>
      </c>
      <c r="DL721" t="s">
        <v>120</v>
      </c>
      <c r="DM721" t="s">
        <v>120</v>
      </c>
      <c r="DN721" t="s">
        <v>120</v>
      </c>
    </row>
    <row r="722" spans="1:118">
      <c r="A722" t="str">
        <f>"002309"</f>
        <v>002309</v>
      </c>
      <c r="B722" t="s">
        <v>4358</v>
      </c>
      <c r="C722">
        <v>-1.42</v>
      </c>
      <c r="D722">
        <v>-0.56000000000000005</v>
      </c>
      <c r="E722">
        <v>-3.13</v>
      </c>
      <c r="F722">
        <v>5985</v>
      </c>
      <c r="G722" t="s">
        <v>3724</v>
      </c>
      <c r="H722">
        <v>41633.83</v>
      </c>
      <c r="I722">
        <v>1797.31</v>
      </c>
      <c r="J722" t="s">
        <v>120</v>
      </c>
      <c r="K722" t="s">
        <v>4359</v>
      </c>
      <c r="L722">
        <v>8.65</v>
      </c>
      <c r="M722">
        <v>6.92</v>
      </c>
      <c r="N722">
        <v>1.89</v>
      </c>
      <c r="O722">
        <v>0.56999999999999995</v>
      </c>
      <c r="P722">
        <v>7.06</v>
      </c>
      <c r="Q722">
        <v>-4.5599999999999996</v>
      </c>
      <c r="R722">
        <v>6.7</v>
      </c>
      <c r="S722">
        <v>6.8</v>
      </c>
      <c r="T722">
        <v>604313</v>
      </c>
      <c r="U722">
        <v>6.94</v>
      </c>
      <c r="V722">
        <v>7.02</v>
      </c>
      <c r="W722" t="s">
        <v>120</v>
      </c>
      <c r="X722" t="s">
        <v>394</v>
      </c>
      <c r="Y722" t="s">
        <v>319</v>
      </c>
      <c r="Z722">
        <v>5.13</v>
      </c>
      <c r="AA722">
        <v>6.89</v>
      </c>
      <c r="AB722">
        <v>291246</v>
      </c>
      <c r="AC722">
        <v>313067</v>
      </c>
      <c r="AD722">
        <v>0.93</v>
      </c>
      <c r="AE722">
        <v>100</v>
      </c>
      <c r="AF722">
        <v>1002</v>
      </c>
      <c r="AG722" t="s">
        <v>120</v>
      </c>
      <c r="AH722">
        <v>0.49</v>
      </c>
      <c r="AI722" t="s">
        <v>120</v>
      </c>
      <c r="AJ722">
        <v>6.98</v>
      </c>
      <c r="AK722" t="s">
        <v>4360</v>
      </c>
      <c r="AL722">
        <v>0.49</v>
      </c>
      <c r="AM722">
        <v>3930</v>
      </c>
      <c r="AN722">
        <v>154</v>
      </c>
      <c r="AO722">
        <v>2.2000000000000001E-3</v>
      </c>
      <c r="AP722">
        <v>-1</v>
      </c>
      <c r="AQ722">
        <v>10.029999999999999</v>
      </c>
      <c r="AR722">
        <v>8.64</v>
      </c>
      <c r="AS722">
        <v>18.899999999999999</v>
      </c>
      <c r="AT722">
        <v>18.899999999999999</v>
      </c>
      <c r="AU722">
        <v>20.98</v>
      </c>
      <c r="AV722">
        <v>10</v>
      </c>
      <c r="AW722">
        <v>11.23</v>
      </c>
      <c r="AX722">
        <v>61.73</v>
      </c>
      <c r="AY722" t="s">
        <v>120</v>
      </c>
      <c r="AZ722" t="s">
        <v>120</v>
      </c>
      <c r="BA722">
        <v>0.16</v>
      </c>
      <c r="BB722" t="s">
        <v>751</v>
      </c>
      <c r="BF722">
        <v>-1.86</v>
      </c>
      <c r="BG722">
        <v>1.76</v>
      </c>
      <c r="BH722">
        <v>-1.98</v>
      </c>
      <c r="BI722">
        <v>3.28</v>
      </c>
      <c r="BJ722">
        <v>20210902</v>
      </c>
      <c r="BK722">
        <v>20091127</v>
      </c>
      <c r="BL722">
        <v>8.7200000000000006</v>
      </c>
      <c r="BM722" t="s">
        <v>120</v>
      </c>
      <c r="BN722" t="s">
        <v>120</v>
      </c>
      <c r="BO722">
        <v>148.04</v>
      </c>
      <c r="BP722">
        <v>6.92</v>
      </c>
      <c r="BQ722">
        <v>43.6</v>
      </c>
      <c r="BR722" t="s">
        <v>120</v>
      </c>
      <c r="BS722">
        <v>70.55</v>
      </c>
      <c r="BT722">
        <v>89.96</v>
      </c>
      <c r="BU722">
        <v>29.26</v>
      </c>
      <c r="BV722">
        <v>3.19</v>
      </c>
      <c r="BW722">
        <v>90.97</v>
      </c>
      <c r="BX722">
        <v>22.45</v>
      </c>
      <c r="BY722">
        <v>20.52</v>
      </c>
      <c r="BZ722">
        <v>31.5</v>
      </c>
      <c r="CA722" t="s">
        <v>120</v>
      </c>
      <c r="CB722">
        <v>61.34</v>
      </c>
      <c r="CC722">
        <v>48.84</v>
      </c>
      <c r="CD722">
        <v>44.37</v>
      </c>
      <c r="CE722">
        <v>-9.32</v>
      </c>
      <c r="CF722">
        <v>-3.66</v>
      </c>
      <c r="CG722">
        <v>-12.42</v>
      </c>
      <c r="CH722">
        <v>-12.55</v>
      </c>
      <c r="CI722">
        <v>-12.56</v>
      </c>
      <c r="CJ722">
        <v>-0.1</v>
      </c>
      <c r="CK722">
        <v>-8.81</v>
      </c>
      <c r="CL722">
        <v>-25.02</v>
      </c>
      <c r="CM722">
        <v>-1.29</v>
      </c>
      <c r="CN722">
        <v>-4.3499999999999996</v>
      </c>
      <c r="CO722">
        <v>38828</v>
      </c>
      <c r="CP722">
        <v>13860</v>
      </c>
      <c r="CQ722" t="s">
        <v>1756</v>
      </c>
      <c r="CR722">
        <v>-382.43</v>
      </c>
      <c r="CS722">
        <v>29.26</v>
      </c>
      <c r="CT722">
        <v>1.38</v>
      </c>
      <c r="CU722">
        <v>-46.61</v>
      </c>
      <c r="CV722">
        <v>1.24</v>
      </c>
      <c r="CW722">
        <v>0</v>
      </c>
      <c r="CX722" t="s">
        <v>4361</v>
      </c>
      <c r="CY722">
        <v>5</v>
      </c>
      <c r="CZ722">
        <v>0</v>
      </c>
      <c r="DA722">
        <v>7.04</v>
      </c>
      <c r="DB722">
        <v>-2.87</v>
      </c>
      <c r="DC722">
        <v>-0.15</v>
      </c>
      <c r="DD722">
        <v>29.45</v>
      </c>
      <c r="DE722" t="s">
        <v>4362</v>
      </c>
      <c r="DF722">
        <v>9.14</v>
      </c>
      <c r="DG722">
        <v>-19.079999999999998</v>
      </c>
      <c r="DH722">
        <v>-25.71</v>
      </c>
      <c r="DI722">
        <v>1.48</v>
      </c>
      <c r="DJ722">
        <v>6554</v>
      </c>
      <c r="DK722">
        <v>2309</v>
      </c>
      <c r="DL722" t="s">
        <v>120</v>
      </c>
      <c r="DM722" t="s">
        <v>120</v>
      </c>
      <c r="DN722" t="s">
        <v>120</v>
      </c>
    </row>
    <row r="723" spans="1:118">
      <c r="A723" t="str">
        <f>"002310"</f>
        <v>002310</v>
      </c>
      <c r="B723" t="s">
        <v>4363</v>
      </c>
      <c r="C723">
        <v>-2.52</v>
      </c>
      <c r="D723">
        <v>0</v>
      </c>
      <c r="E723">
        <v>0.32</v>
      </c>
      <c r="F723">
        <v>5164</v>
      </c>
      <c r="G723" t="s">
        <v>4364</v>
      </c>
      <c r="H723">
        <v>7241.61</v>
      </c>
      <c r="I723">
        <v>21.88</v>
      </c>
      <c r="J723" t="s">
        <v>120</v>
      </c>
      <c r="K723" t="s">
        <v>4365</v>
      </c>
      <c r="L723">
        <v>0.9</v>
      </c>
      <c r="M723">
        <v>3.09</v>
      </c>
      <c r="N723">
        <v>0.88</v>
      </c>
      <c r="O723">
        <v>1.89</v>
      </c>
      <c r="P723">
        <v>3.23</v>
      </c>
      <c r="Q723">
        <v>-2.52</v>
      </c>
      <c r="R723">
        <v>3.09</v>
      </c>
      <c r="S723">
        <v>3.18</v>
      </c>
      <c r="T723">
        <v>229970</v>
      </c>
      <c r="U723">
        <v>3.1</v>
      </c>
      <c r="V723">
        <v>3.17</v>
      </c>
      <c r="W723" t="s">
        <v>120</v>
      </c>
      <c r="X723" t="s">
        <v>175</v>
      </c>
      <c r="Y723" t="s">
        <v>158</v>
      </c>
      <c r="Z723">
        <v>4.42</v>
      </c>
      <c r="AA723">
        <v>3.15</v>
      </c>
      <c r="AB723">
        <v>131085</v>
      </c>
      <c r="AC723">
        <v>98885</v>
      </c>
      <c r="AD723">
        <v>1.33</v>
      </c>
      <c r="AE723">
        <v>683</v>
      </c>
      <c r="AF723">
        <v>3022</v>
      </c>
      <c r="AG723" t="s">
        <v>120</v>
      </c>
      <c r="AH723">
        <v>0</v>
      </c>
      <c r="AI723" t="s">
        <v>120</v>
      </c>
      <c r="AJ723">
        <v>25.62</v>
      </c>
      <c r="AK723" t="s">
        <v>4366</v>
      </c>
      <c r="AL723">
        <v>-0.61</v>
      </c>
      <c r="AM723">
        <v>2019</v>
      </c>
      <c r="AN723">
        <v>114</v>
      </c>
      <c r="AO723">
        <v>4.0000000000000002E-4</v>
      </c>
      <c r="AP723">
        <v>-1</v>
      </c>
      <c r="AQ723">
        <v>1.28</v>
      </c>
      <c r="AR723">
        <v>-4.04</v>
      </c>
      <c r="AS723">
        <v>11.15</v>
      </c>
      <c r="AT723">
        <v>-10.96</v>
      </c>
      <c r="AU723">
        <v>-25.36</v>
      </c>
      <c r="AV723">
        <v>1</v>
      </c>
      <c r="AW723">
        <v>1.63</v>
      </c>
      <c r="AX723">
        <v>52.38</v>
      </c>
      <c r="AY723" t="s">
        <v>120</v>
      </c>
      <c r="AZ723" t="s">
        <v>120</v>
      </c>
      <c r="BA723">
        <v>0.21</v>
      </c>
      <c r="BB723" t="s">
        <v>143</v>
      </c>
      <c r="BF723">
        <v>-0.66</v>
      </c>
      <c r="BG723">
        <v>-2.83</v>
      </c>
      <c r="BH723">
        <v>-4.33</v>
      </c>
      <c r="BI723">
        <v>0</v>
      </c>
      <c r="BJ723">
        <v>20210827</v>
      </c>
      <c r="BK723">
        <v>20091127</v>
      </c>
      <c r="BL723">
        <v>26.85</v>
      </c>
      <c r="BM723" t="s">
        <v>120</v>
      </c>
      <c r="BN723" t="s">
        <v>120</v>
      </c>
      <c r="BO723">
        <v>449.97</v>
      </c>
      <c r="BP723">
        <v>3.09</v>
      </c>
      <c r="BQ723">
        <v>113.97</v>
      </c>
      <c r="BR723">
        <v>13.85</v>
      </c>
      <c r="BS723">
        <v>71.59</v>
      </c>
      <c r="BT723">
        <v>268.58999999999997</v>
      </c>
      <c r="BU723">
        <v>13.2</v>
      </c>
      <c r="BV723">
        <v>7.57</v>
      </c>
      <c r="BW723">
        <v>233.4</v>
      </c>
      <c r="BX723">
        <v>12.1</v>
      </c>
      <c r="BY723">
        <v>5.48</v>
      </c>
      <c r="BZ723">
        <v>81.680000000000007</v>
      </c>
      <c r="CA723" t="s">
        <v>120</v>
      </c>
      <c r="CB723">
        <v>16.61</v>
      </c>
      <c r="CC723">
        <v>44.04</v>
      </c>
      <c r="CD723">
        <v>41.67</v>
      </c>
      <c r="CE723">
        <v>-6.18</v>
      </c>
      <c r="CF723">
        <v>-0.09</v>
      </c>
      <c r="CG723">
        <v>-6.23</v>
      </c>
      <c r="CH723">
        <v>-5.15</v>
      </c>
      <c r="CI723">
        <v>-5.3</v>
      </c>
      <c r="CJ723">
        <v>-0.08</v>
      </c>
      <c r="CK723">
        <v>-5.27</v>
      </c>
      <c r="CL723">
        <v>62.89</v>
      </c>
      <c r="CM723">
        <v>-1.1000000000000001</v>
      </c>
      <c r="CN723">
        <v>-4.7699999999999996</v>
      </c>
      <c r="CO723">
        <v>82900</v>
      </c>
      <c r="CP723">
        <v>16968</v>
      </c>
      <c r="CQ723" t="s">
        <v>4367</v>
      </c>
      <c r="CR723">
        <v>-111.26</v>
      </c>
      <c r="CS723">
        <v>147.79</v>
      </c>
      <c r="CT723">
        <v>0.73</v>
      </c>
      <c r="CU723">
        <v>-75.22</v>
      </c>
      <c r="CV723">
        <v>1.88</v>
      </c>
      <c r="CW723">
        <v>0</v>
      </c>
      <c r="CX723" t="s">
        <v>4368</v>
      </c>
      <c r="CY723">
        <v>4.24</v>
      </c>
      <c r="CZ723">
        <v>0</v>
      </c>
      <c r="DA723">
        <v>0.62</v>
      </c>
      <c r="DB723">
        <v>2.34</v>
      </c>
      <c r="DC723">
        <v>-0.04</v>
      </c>
      <c r="DD723">
        <v>25.33</v>
      </c>
      <c r="DE723" t="s">
        <v>4369</v>
      </c>
      <c r="DF723">
        <v>5.39</v>
      </c>
      <c r="DG723">
        <v>-14.02</v>
      </c>
      <c r="DH723">
        <v>-12.03</v>
      </c>
      <c r="DI723">
        <v>0.78</v>
      </c>
      <c r="DJ723">
        <v>3459</v>
      </c>
      <c r="DK723">
        <v>2310</v>
      </c>
      <c r="DL723" t="s">
        <v>120</v>
      </c>
      <c r="DM723" t="s">
        <v>120</v>
      </c>
      <c r="DN723" t="s">
        <v>120</v>
      </c>
    </row>
    <row r="724" spans="1:118">
      <c r="A724" t="str">
        <f>"002311"</f>
        <v>002311</v>
      </c>
      <c r="B724" t="s">
        <v>4370</v>
      </c>
      <c r="C724">
        <v>-0.39</v>
      </c>
      <c r="D724">
        <v>-0.21</v>
      </c>
      <c r="E724">
        <v>-0.49</v>
      </c>
      <c r="F724">
        <v>973</v>
      </c>
      <c r="G724" t="s">
        <v>4371</v>
      </c>
      <c r="H724">
        <v>57202.51</v>
      </c>
      <c r="I724">
        <v>77.5</v>
      </c>
      <c r="J724" t="s">
        <v>120</v>
      </c>
      <c r="K724" t="s">
        <v>4372</v>
      </c>
      <c r="L724">
        <v>0.57999999999999996</v>
      </c>
      <c r="M724">
        <v>59.22</v>
      </c>
      <c r="N724">
        <v>1.1000000000000001</v>
      </c>
      <c r="O724">
        <v>1.1299999999999999</v>
      </c>
      <c r="P724">
        <v>60.12</v>
      </c>
      <c r="Q724">
        <v>-2.64</v>
      </c>
      <c r="R724">
        <v>57.88</v>
      </c>
      <c r="S724">
        <v>59.16</v>
      </c>
      <c r="T724">
        <v>96825</v>
      </c>
      <c r="U724">
        <v>59.35</v>
      </c>
      <c r="V724">
        <v>59.45</v>
      </c>
      <c r="W724">
        <v>32.090000000000003</v>
      </c>
      <c r="X724" t="s">
        <v>386</v>
      </c>
      <c r="Y724" t="s">
        <v>547</v>
      </c>
      <c r="Z724">
        <v>3.77</v>
      </c>
      <c r="AA724">
        <v>59.08</v>
      </c>
      <c r="AB724">
        <v>51373</v>
      </c>
      <c r="AC724">
        <v>45452</v>
      </c>
      <c r="AD724">
        <v>1.1299999999999999</v>
      </c>
      <c r="AE724">
        <v>9</v>
      </c>
      <c r="AF724">
        <v>9</v>
      </c>
      <c r="AG724" t="s">
        <v>120</v>
      </c>
      <c r="AH724">
        <v>0</v>
      </c>
      <c r="AI724" t="s">
        <v>120</v>
      </c>
      <c r="AJ724">
        <v>16.579999999999998</v>
      </c>
      <c r="AK724" t="s">
        <v>4373</v>
      </c>
      <c r="AL724">
        <v>1.53</v>
      </c>
      <c r="AM724">
        <v>4093</v>
      </c>
      <c r="AN724">
        <v>24</v>
      </c>
      <c r="AO724">
        <v>1E-4</v>
      </c>
      <c r="AP724">
        <v>-8</v>
      </c>
      <c r="AQ724">
        <v>-1.59</v>
      </c>
      <c r="AR724">
        <v>-2.77</v>
      </c>
      <c r="AS724">
        <v>-10.98</v>
      </c>
      <c r="AT724">
        <v>-21.75</v>
      </c>
      <c r="AU724">
        <v>-9.14</v>
      </c>
      <c r="AV724">
        <v>1</v>
      </c>
      <c r="AW724">
        <v>1.28</v>
      </c>
      <c r="AX724">
        <v>45.64</v>
      </c>
      <c r="AY724">
        <v>33.46</v>
      </c>
      <c r="AZ724">
        <v>39.15</v>
      </c>
      <c r="BA724">
        <v>0.24</v>
      </c>
      <c r="BB724" t="s">
        <v>1723</v>
      </c>
      <c r="BF724">
        <v>-0.63</v>
      </c>
      <c r="BG724">
        <v>0.1</v>
      </c>
      <c r="BH724">
        <v>-1.5</v>
      </c>
      <c r="BI724">
        <v>2.3199999999999998</v>
      </c>
      <c r="BJ724">
        <v>20210727</v>
      </c>
      <c r="BK724">
        <v>20091127</v>
      </c>
      <c r="BL724">
        <v>16.61</v>
      </c>
      <c r="BM724" t="s">
        <v>120</v>
      </c>
      <c r="BN724" t="s">
        <v>120</v>
      </c>
      <c r="BO724">
        <v>363.41</v>
      </c>
      <c r="BP724">
        <v>59.22</v>
      </c>
      <c r="BQ724">
        <v>143.44</v>
      </c>
      <c r="BR724">
        <v>11.23</v>
      </c>
      <c r="BS724">
        <v>57.44</v>
      </c>
      <c r="BT724">
        <v>191.66</v>
      </c>
      <c r="BU724">
        <v>92.86</v>
      </c>
      <c r="BV724">
        <v>13.95</v>
      </c>
      <c r="BW724">
        <v>171.91</v>
      </c>
      <c r="BX724">
        <v>19.88</v>
      </c>
      <c r="BY724">
        <v>101.23</v>
      </c>
      <c r="BZ724">
        <v>23.6</v>
      </c>
      <c r="CA724" t="s">
        <v>120</v>
      </c>
      <c r="CB724">
        <v>50.39</v>
      </c>
      <c r="CC724">
        <v>381.91</v>
      </c>
      <c r="CD724">
        <v>341.37</v>
      </c>
      <c r="CE724">
        <v>20.54</v>
      </c>
      <c r="CF724">
        <v>2.14</v>
      </c>
      <c r="CG724">
        <v>20.48</v>
      </c>
      <c r="CH724">
        <v>16.760000000000002</v>
      </c>
      <c r="CI724">
        <v>15.33</v>
      </c>
      <c r="CJ724">
        <v>-0.23</v>
      </c>
      <c r="CK724">
        <v>14.97</v>
      </c>
      <c r="CL724">
        <v>78.989999999999995</v>
      </c>
      <c r="CM724">
        <v>5.8</v>
      </c>
      <c r="CN724">
        <v>-0.57999999999999996</v>
      </c>
      <c r="CO724">
        <v>22267</v>
      </c>
      <c r="CP724">
        <v>34046</v>
      </c>
      <c r="CQ724" t="s">
        <v>4374</v>
      </c>
      <c r="CR724">
        <v>38.82</v>
      </c>
      <c r="CS724">
        <v>47.54</v>
      </c>
      <c r="CT724">
        <v>6.86</v>
      </c>
      <c r="CU724">
        <v>169.52</v>
      </c>
      <c r="CV724">
        <v>2.58</v>
      </c>
      <c r="CW724">
        <v>0.53</v>
      </c>
      <c r="CX724" t="s">
        <v>2877</v>
      </c>
      <c r="CY724">
        <v>8.64</v>
      </c>
      <c r="CZ724">
        <v>0</v>
      </c>
      <c r="DA724">
        <v>3.03</v>
      </c>
      <c r="DB724">
        <v>4.76</v>
      </c>
      <c r="DC724">
        <v>0.35</v>
      </c>
      <c r="DD724">
        <v>39.47</v>
      </c>
      <c r="DE724" t="s">
        <v>4375</v>
      </c>
      <c r="DF724">
        <v>10.62</v>
      </c>
      <c r="DG724">
        <v>5.38</v>
      </c>
      <c r="DH724">
        <v>4.01</v>
      </c>
      <c r="DI724">
        <v>2.34</v>
      </c>
      <c r="DJ724">
        <v>26241</v>
      </c>
      <c r="DK724">
        <v>2311</v>
      </c>
      <c r="DL724" t="s">
        <v>120</v>
      </c>
      <c r="DM724" t="s">
        <v>120</v>
      </c>
      <c r="DN724" t="s">
        <v>120</v>
      </c>
    </row>
    <row r="725" spans="1:118">
      <c r="A725" t="str">
        <f>"002312"</f>
        <v>002312</v>
      </c>
      <c r="B725" t="s">
        <v>4376</v>
      </c>
      <c r="C725">
        <v>-6.05</v>
      </c>
      <c r="D725">
        <v>0</v>
      </c>
      <c r="E725">
        <v>-0.46</v>
      </c>
      <c r="F725">
        <v>14649</v>
      </c>
      <c r="G725" t="s">
        <v>4377</v>
      </c>
      <c r="H725">
        <v>225972.96</v>
      </c>
      <c r="I725">
        <v>1184.6199999999999</v>
      </c>
      <c r="J725" t="s">
        <v>120</v>
      </c>
      <c r="K725" t="s">
        <v>4378</v>
      </c>
      <c r="L725">
        <v>9.09</v>
      </c>
      <c r="M725">
        <v>18.329999999999998</v>
      </c>
      <c r="N725">
        <v>0.93</v>
      </c>
      <c r="O725">
        <v>1.44</v>
      </c>
      <c r="P725">
        <v>19.79</v>
      </c>
      <c r="Q725">
        <v>-7.74</v>
      </c>
      <c r="R725">
        <v>18</v>
      </c>
      <c r="S725">
        <v>19.420000000000002</v>
      </c>
      <c r="T725">
        <v>1203721</v>
      </c>
      <c r="U725">
        <v>18.34</v>
      </c>
      <c r="V725">
        <v>19.510000000000002</v>
      </c>
      <c r="W725">
        <v>23.46</v>
      </c>
      <c r="X725" t="s">
        <v>868</v>
      </c>
      <c r="Y725" t="s">
        <v>578</v>
      </c>
      <c r="Z725">
        <v>9.17</v>
      </c>
      <c r="AA725">
        <v>18.77</v>
      </c>
      <c r="AB725">
        <v>671284</v>
      </c>
      <c r="AC725">
        <v>532437</v>
      </c>
      <c r="AD725">
        <v>1.26</v>
      </c>
      <c r="AE725">
        <v>1740</v>
      </c>
      <c r="AF725">
        <v>471</v>
      </c>
      <c r="AG725" t="s">
        <v>120</v>
      </c>
      <c r="AH725">
        <v>7.0000000000000007E-2</v>
      </c>
      <c r="AI725" t="s">
        <v>120</v>
      </c>
      <c r="AJ725">
        <v>13.24</v>
      </c>
      <c r="AK725" t="s">
        <v>4379</v>
      </c>
      <c r="AL725">
        <v>-4.13</v>
      </c>
      <c r="AM725">
        <v>4726</v>
      </c>
      <c r="AN725">
        <v>255</v>
      </c>
      <c r="AO725">
        <v>1.9E-3</v>
      </c>
      <c r="AP725">
        <v>-1</v>
      </c>
      <c r="AQ725">
        <v>2.58</v>
      </c>
      <c r="AR725">
        <v>-1.1299999999999999</v>
      </c>
      <c r="AS725">
        <v>35.380000000000003</v>
      </c>
      <c r="AT725">
        <v>118.99</v>
      </c>
      <c r="AU725">
        <v>219.9</v>
      </c>
      <c r="AV725">
        <v>10</v>
      </c>
      <c r="AW725">
        <v>13.15</v>
      </c>
      <c r="AX725">
        <v>51.91</v>
      </c>
      <c r="AY725">
        <v>27.19</v>
      </c>
      <c r="AZ725">
        <v>51.44</v>
      </c>
      <c r="BA725">
        <v>0.84</v>
      </c>
      <c r="BB725" t="s">
        <v>184</v>
      </c>
      <c r="BF725">
        <v>-3.78</v>
      </c>
      <c r="BG725">
        <v>-5.61</v>
      </c>
      <c r="BH725">
        <v>-7.38</v>
      </c>
      <c r="BI725">
        <v>1.83</v>
      </c>
      <c r="BJ725">
        <v>20210908</v>
      </c>
      <c r="BK725">
        <v>20091203</v>
      </c>
      <c r="BL725">
        <v>17.63</v>
      </c>
      <c r="BM725" t="s">
        <v>120</v>
      </c>
      <c r="BN725" t="s">
        <v>120</v>
      </c>
      <c r="BO725">
        <v>88.23</v>
      </c>
      <c r="BP725">
        <v>18.329999999999998</v>
      </c>
      <c r="BQ725">
        <v>65.099999999999994</v>
      </c>
      <c r="BR725">
        <v>0.05</v>
      </c>
      <c r="BS725">
        <v>26.16</v>
      </c>
      <c r="BT725">
        <v>25.71</v>
      </c>
      <c r="BU725">
        <v>24.07</v>
      </c>
      <c r="BV725">
        <v>4.76</v>
      </c>
      <c r="BW725">
        <v>20.059999999999999</v>
      </c>
      <c r="BX725">
        <v>10.17</v>
      </c>
      <c r="BY725">
        <v>4.83</v>
      </c>
      <c r="BZ725">
        <v>2.83</v>
      </c>
      <c r="CA725" t="s">
        <v>120</v>
      </c>
      <c r="CB725">
        <v>43.53</v>
      </c>
      <c r="CC725">
        <v>30.52</v>
      </c>
      <c r="CD725">
        <v>24.68</v>
      </c>
      <c r="CE725">
        <v>8.32</v>
      </c>
      <c r="CF725">
        <v>0.01</v>
      </c>
      <c r="CG725">
        <v>8.99</v>
      </c>
      <c r="CH725">
        <v>6.89</v>
      </c>
      <c r="CI725">
        <v>6.89</v>
      </c>
      <c r="CJ725">
        <v>-1.18</v>
      </c>
      <c r="CK725">
        <v>3.05</v>
      </c>
      <c r="CL725">
        <v>4.24</v>
      </c>
      <c r="CM725">
        <v>1.74</v>
      </c>
      <c r="CN725">
        <v>5.87</v>
      </c>
      <c r="CO725">
        <v>94229</v>
      </c>
      <c r="CP725">
        <v>9713</v>
      </c>
      <c r="CQ725" t="s">
        <v>4380</v>
      </c>
      <c r="CR725">
        <v>645.61</v>
      </c>
      <c r="CS725">
        <v>24.56</v>
      </c>
      <c r="CT725">
        <v>5.39</v>
      </c>
      <c r="CU725">
        <v>185.47</v>
      </c>
      <c r="CV725">
        <v>10.59</v>
      </c>
      <c r="CW725">
        <v>0</v>
      </c>
      <c r="CX725" t="s">
        <v>1520</v>
      </c>
      <c r="CY725">
        <v>3.4</v>
      </c>
      <c r="CZ725">
        <v>3.4</v>
      </c>
      <c r="DA725">
        <v>2.4700000000000002</v>
      </c>
      <c r="DB725">
        <v>0.24</v>
      </c>
      <c r="DC725">
        <v>0.1</v>
      </c>
      <c r="DD725">
        <v>73.790000000000006</v>
      </c>
      <c r="DE725" t="s">
        <v>4381</v>
      </c>
      <c r="DF725">
        <v>19.13</v>
      </c>
      <c r="DG725">
        <v>27.27</v>
      </c>
      <c r="DH725">
        <v>22.57</v>
      </c>
      <c r="DI725">
        <v>0.4</v>
      </c>
      <c r="DJ725">
        <v>3379</v>
      </c>
      <c r="DK725">
        <v>2312</v>
      </c>
      <c r="DL725">
        <v>20210813</v>
      </c>
      <c r="DM725">
        <v>13.09</v>
      </c>
      <c r="DN725">
        <v>40.03</v>
      </c>
    </row>
    <row r="726" spans="1:118">
      <c r="A726" t="str">
        <f>"002313"</f>
        <v>002313</v>
      </c>
      <c r="B726" t="s">
        <v>4382</v>
      </c>
      <c r="C726">
        <v>0.32</v>
      </c>
      <c r="D726">
        <v>-7.0000000000000007E-2</v>
      </c>
      <c r="E726">
        <v>0.49</v>
      </c>
      <c r="F726">
        <v>4100</v>
      </c>
      <c r="G726" t="s">
        <v>4383</v>
      </c>
      <c r="H726">
        <v>10138.35</v>
      </c>
      <c r="I726">
        <v>90.1</v>
      </c>
      <c r="J726" t="s">
        <v>120</v>
      </c>
      <c r="K726" t="s">
        <v>2419</v>
      </c>
      <c r="L726">
        <v>2.21</v>
      </c>
      <c r="M726">
        <v>12.39</v>
      </c>
      <c r="N726">
        <v>1.42</v>
      </c>
      <c r="O726">
        <v>1.05</v>
      </c>
      <c r="P726">
        <v>12.48</v>
      </c>
      <c r="Q726">
        <v>-2.02</v>
      </c>
      <c r="R726">
        <v>12.1</v>
      </c>
      <c r="S726">
        <v>12.41</v>
      </c>
      <c r="T726">
        <v>82765</v>
      </c>
      <c r="U726">
        <v>12.4</v>
      </c>
      <c r="V726">
        <v>12.35</v>
      </c>
      <c r="W726">
        <v>224.75</v>
      </c>
      <c r="X726" t="s">
        <v>462</v>
      </c>
      <c r="Y726" t="s">
        <v>123</v>
      </c>
      <c r="Z726">
        <v>3.08</v>
      </c>
      <c r="AA726">
        <v>12.25</v>
      </c>
      <c r="AB726">
        <v>47744</v>
      </c>
      <c r="AC726">
        <v>35021</v>
      </c>
      <c r="AD726">
        <v>1.36</v>
      </c>
      <c r="AE726">
        <v>2202</v>
      </c>
      <c r="AF726">
        <v>508</v>
      </c>
      <c r="AG726" t="s">
        <v>120</v>
      </c>
      <c r="AH726">
        <v>0.04</v>
      </c>
      <c r="AI726" t="s">
        <v>120</v>
      </c>
      <c r="AJ726">
        <v>3.74</v>
      </c>
      <c r="AK726" t="s">
        <v>4384</v>
      </c>
      <c r="AL726">
        <v>2.2400000000000002</v>
      </c>
      <c r="AM726">
        <v>2484</v>
      </c>
      <c r="AN726">
        <v>33</v>
      </c>
      <c r="AO726">
        <v>8.9999999999999998E-4</v>
      </c>
      <c r="AP726">
        <v>3</v>
      </c>
      <c r="AQ726">
        <v>3.43</v>
      </c>
      <c r="AR726">
        <v>4.2</v>
      </c>
      <c r="AS726">
        <v>8.9700000000000006</v>
      </c>
      <c r="AT726">
        <v>2.06</v>
      </c>
      <c r="AU726">
        <v>4.74</v>
      </c>
      <c r="AV726">
        <v>0</v>
      </c>
      <c r="AW726">
        <v>3.99</v>
      </c>
      <c r="AX726">
        <v>55.4</v>
      </c>
      <c r="AY726" t="s">
        <v>120</v>
      </c>
      <c r="AZ726" t="s">
        <v>120</v>
      </c>
      <c r="BA726">
        <v>0.76</v>
      </c>
      <c r="BB726" t="s">
        <v>143</v>
      </c>
      <c r="BF726">
        <v>-0.81</v>
      </c>
      <c r="BG726">
        <v>-0.16</v>
      </c>
      <c r="BH726">
        <v>-0.72</v>
      </c>
      <c r="BI726">
        <v>2.4</v>
      </c>
      <c r="BJ726">
        <v>20210831</v>
      </c>
      <c r="BK726">
        <v>20091203</v>
      </c>
      <c r="BL726">
        <v>3.74</v>
      </c>
      <c r="BM726" t="s">
        <v>120</v>
      </c>
      <c r="BN726" t="s">
        <v>120</v>
      </c>
      <c r="BO726">
        <v>77.239999999999995</v>
      </c>
      <c r="BP726">
        <v>12.39</v>
      </c>
      <c r="BQ726">
        <v>26.98</v>
      </c>
      <c r="BR726">
        <v>0.22</v>
      </c>
      <c r="BS726">
        <v>64.790000000000006</v>
      </c>
      <c r="BT726">
        <v>62.61</v>
      </c>
      <c r="BU726">
        <v>1.94</v>
      </c>
      <c r="BV726">
        <v>2.5</v>
      </c>
      <c r="BW726">
        <v>47.88</v>
      </c>
      <c r="BX726">
        <v>6.09</v>
      </c>
      <c r="BY726">
        <v>12.31</v>
      </c>
      <c r="BZ726">
        <v>19.52</v>
      </c>
      <c r="CA726" t="s">
        <v>120</v>
      </c>
      <c r="CB726">
        <v>21.3</v>
      </c>
      <c r="CC726">
        <v>20.61</v>
      </c>
      <c r="CD726">
        <v>16.88</v>
      </c>
      <c r="CE726">
        <v>0.1</v>
      </c>
      <c r="CF726">
        <v>0.03</v>
      </c>
      <c r="CG726">
        <v>0.09</v>
      </c>
      <c r="CH726">
        <v>0.03</v>
      </c>
      <c r="CI726">
        <v>0.1</v>
      </c>
      <c r="CJ726">
        <v>0.04</v>
      </c>
      <c r="CK726">
        <v>-0.14000000000000001</v>
      </c>
      <c r="CL726">
        <v>1.34</v>
      </c>
      <c r="CM726">
        <v>-1.78</v>
      </c>
      <c r="CN726">
        <v>0.65</v>
      </c>
      <c r="CO726">
        <v>19000</v>
      </c>
      <c r="CP726">
        <v>10917</v>
      </c>
      <c r="CQ726" t="s">
        <v>4385</v>
      </c>
      <c r="CR726">
        <v>118.55</v>
      </c>
      <c r="CS726">
        <v>10.75</v>
      </c>
      <c r="CT726">
        <v>1.72</v>
      </c>
      <c r="CU726">
        <v>-26.11</v>
      </c>
      <c r="CV726">
        <v>2.25</v>
      </c>
      <c r="CW726">
        <v>0</v>
      </c>
      <c r="CX726" t="s">
        <v>1808</v>
      </c>
      <c r="CY726">
        <v>7.21</v>
      </c>
      <c r="CZ726">
        <v>0</v>
      </c>
      <c r="DA726">
        <v>5.69</v>
      </c>
      <c r="DB726">
        <v>0.36</v>
      </c>
      <c r="DC726">
        <v>-0.47</v>
      </c>
      <c r="DD726">
        <v>34.93</v>
      </c>
      <c r="DE726" t="s">
        <v>4357</v>
      </c>
      <c r="DF726">
        <v>18.100000000000001</v>
      </c>
      <c r="DG726">
        <v>0.49</v>
      </c>
      <c r="DH726">
        <v>0.5</v>
      </c>
      <c r="DI726">
        <v>1.23</v>
      </c>
      <c r="DJ726">
        <v>2610</v>
      </c>
      <c r="DK726">
        <v>2313</v>
      </c>
      <c r="DL726" t="s">
        <v>120</v>
      </c>
      <c r="DM726" t="s">
        <v>120</v>
      </c>
      <c r="DN726" t="s">
        <v>120</v>
      </c>
    </row>
    <row r="727" spans="1:118">
      <c r="A727" t="str">
        <f>"002314"</f>
        <v>002314</v>
      </c>
      <c r="B727" t="s">
        <v>4386</v>
      </c>
      <c r="C727">
        <v>-2.41</v>
      </c>
      <c r="D727">
        <v>0.31</v>
      </c>
      <c r="E727">
        <v>0.9</v>
      </c>
      <c r="F727">
        <v>1632</v>
      </c>
      <c r="G727" t="s">
        <v>4387</v>
      </c>
      <c r="H727">
        <v>3300.89</v>
      </c>
      <c r="I727">
        <v>49.28</v>
      </c>
      <c r="J727" t="s">
        <v>120</v>
      </c>
      <c r="K727" t="s">
        <v>4388</v>
      </c>
      <c r="L727">
        <v>0.75</v>
      </c>
      <c r="M727">
        <v>3.24</v>
      </c>
      <c r="N727">
        <v>0.71</v>
      </c>
      <c r="O727">
        <v>1.81</v>
      </c>
      <c r="P727">
        <v>3.38</v>
      </c>
      <c r="Q727">
        <v>-2.71</v>
      </c>
      <c r="R727">
        <v>3.23</v>
      </c>
      <c r="S727">
        <v>3.35</v>
      </c>
      <c r="T727">
        <v>100274</v>
      </c>
      <c r="U727">
        <v>3.25</v>
      </c>
      <c r="V727">
        <v>3.32</v>
      </c>
      <c r="W727">
        <v>10.89</v>
      </c>
      <c r="X727" t="s">
        <v>150</v>
      </c>
      <c r="Y727" t="s">
        <v>123</v>
      </c>
      <c r="Z727">
        <v>4.5199999999999996</v>
      </c>
      <c r="AA727">
        <v>3.29</v>
      </c>
      <c r="AB727">
        <v>69529</v>
      </c>
      <c r="AC727">
        <v>30745</v>
      </c>
      <c r="AD727">
        <v>2.2599999999999998</v>
      </c>
      <c r="AE727">
        <v>257</v>
      </c>
      <c r="AF727">
        <v>929</v>
      </c>
      <c r="AG727" t="s">
        <v>120</v>
      </c>
      <c r="AH727">
        <v>0.02</v>
      </c>
      <c r="AI727" t="s">
        <v>120</v>
      </c>
      <c r="AJ727">
        <v>13.38</v>
      </c>
      <c r="AK727" t="s">
        <v>4389</v>
      </c>
      <c r="AL727">
        <v>-0.5</v>
      </c>
      <c r="AM727">
        <v>2084</v>
      </c>
      <c r="AN727">
        <v>48</v>
      </c>
      <c r="AO727">
        <v>4.0000000000000002E-4</v>
      </c>
      <c r="AP727">
        <v>-3</v>
      </c>
      <c r="AQ727">
        <v>-1.19</v>
      </c>
      <c r="AR727">
        <v>-6.9</v>
      </c>
      <c r="AS727">
        <v>6.23</v>
      </c>
      <c r="AT727">
        <v>0.31</v>
      </c>
      <c r="AU727">
        <v>-19.8</v>
      </c>
      <c r="AV727">
        <v>5</v>
      </c>
      <c r="AW727">
        <v>1.46</v>
      </c>
      <c r="AX727">
        <v>25.45</v>
      </c>
      <c r="AY727">
        <v>4.6500000000000004</v>
      </c>
      <c r="AZ727">
        <v>6.91</v>
      </c>
      <c r="BA727">
        <v>0.25</v>
      </c>
      <c r="BB727" t="s">
        <v>143</v>
      </c>
      <c r="BF727">
        <v>-0.85</v>
      </c>
      <c r="BG727">
        <v>-3.28</v>
      </c>
      <c r="BH727">
        <v>-4.1399999999999997</v>
      </c>
      <c r="BI727">
        <v>0.31</v>
      </c>
      <c r="BJ727">
        <v>20210913</v>
      </c>
      <c r="BK727">
        <v>20091203</v>
      </c>
      <c r="BL727">
        <v>27.08</v>
      </c>
      <c r="BM727" t="s">
        <v>120</v>
      </c>
      <c r="BN727" t="s">
        <v>120</v>
      </c>
      <c r="BO727">
        <v>618.02</v>
      </c>
      <c r="BP727">
        <v>3.24</v>
      </c>
      <c r="BQ727">
        <v>95.87</v>
      </c>
      <c r="BR727" t="s">
        <v>120</v>
      </c>
      <c r="BS727">
        <v>84.49</v>
      </c>
      <c r="BT727">
        <v>404.51</v>
      </c>
      <c r="BU727">
        <v>38.46</v>
      </c>
      <c r="BV727">
        <v>54.28</v>
      </c>
      <c r="BW727">
        <v>253.59</v>
      </c>
      <c r="BX727">
        <v>118.68</v>
      </c>
      <c r="BY727">
        <v>212.86</v>
      </c>
      <c r="BZ727">
        <v>12.78</v>
      </c>
      <c r="CA727">
        <v>0.06</v>
      </c>
      <c r="CB727">
        <v>25.37</v>
      </c>
      <c r="CC727">
        <v>41</v>
      </c>
      <c r="CD727">
        <v>33.18</v>
      </c>
      <c r="CE727">
        <v>4.3600000000000003</v>
      </c>
      <c r="CF727">
        <v>5.13</v>
      </c>
      <c r="CG727">
        <v>4.74</v>
      </c>
      <c r="CH727">
        <v>3.74</v>
      </c>
      <c r="CI727">
        <v>4.03</v>
      </c>
      <c r="CJ727">
        <v>-0.08</v>
      </c>
      <c r="CK727">
        <v>2.33</v>
      </c>
      <c r="CL727">
        <v>40.08</v>
      </c>
      <c r="CM727">
        <v>49.5</v>
      </c>
      <c r="CN727">
        <v>36.79</v>
      </c>
      <c r="CO727">
        <v>43208</v>
      </c>
      <c r="CP727">
        <v>15949</v>
      </c>
      <c r="CQ727" t="s">
        <v>4390</v>
      </c>
      <c r="CR727">
        <v>276.24</v>
      </c>
      <c r="CS727">
        <v>170.33</v>
      </c>
      <c r="CT727">
        <v>0.92</v>
      </c>
      <c r="CU727">
        <v>1.77</v>
      </c>
      <c r="CV727">
        <v>2.14</v>
      </c>
      <c r="CW727">
        <v>3.01</v>
      </c>
      <c r="CX727" t="s">
        <v>2275</v>
      </c>
      <c r="CY727">
        <v>3.54</v>
      </c>
      <c r="CZ727">
        <v>0</v>
      </c>
      <c r="DA727">
        <v>0.94</v>
      </c>
      <c r="DB727">
        <v>1.48</v>
      </c>
      <c r="DC727">
        <v>1.83</v>
      </c>
      <c r="DD727">
        <v>15.51</v>
      </c>
      <c r="DE727" t="s">
        <v>4391</v>
      </c>
      <c r="DF727">
        <v>19.079999999999998</v>
      </c>
      <c r="DG727">
        <v>10.63</v>
      </c>
      <c r="DH727">
        <v>9.83</v>
      </c>
      <c r="DI727">
        <v>0.12</v>
      </c>
      <c r="DJ727">
        <v>3259</v>
      </c>
      <c r="DK727">
        <v>2314</v>
      </c>
      <c r="DL727" t="s">
        <v>120</v>
      </c>
      <c r="DM727" t="s">
        <v>120</v>
      </c>
      <c r="DN727" t="s">
        <v>120</v>
      </c>
    </row>
    <row r="728" spans="1:118">
      <c r="A728" t="str">
        <f>"002315"</f>
        <v>002315</v>
      </c>
      <c r="B728" t="s">
        <v>4392</v>
      </c>
      <c r="C728">
        <v>-2.17</v>
      </c>
      <c r="D728">
        <v>-0.44</v>
      </c>
      <c r="E728">
        <v>-0.11</v>
      </c>
      <c r="F728">
        <v>1091</v>
      </c>
      <c r="G728" t="s">
        <v>4393</v>
      </c>
      <c r="H728">
        <v>7850.12</v>
      </c>
      <c r="I728">
        <v>5.4</v>
      </c>
      <c r="J728" t="s">
        <v>120</v>
      </c>
      <c r="K728" t="s">
        <v>4394</v>
      </c>
      <c r="L728">
        <v>2.36</v>
      </c>
      <c r="M728">
        <v>17.62</v>
      </c>
      <c r="N728">
        <v>1.03</v>
      </c>
      <c r="O728">
        <v>1.55</v>
      </c>
      <c r="P728">
        <v>18.29</v>
      </c>
      <c r="Q728">
        <v>-2.17</v>
      </c>
      <c r="R728">
        <v>17.62</v>
      </c>
      <c r="S728">
        <v>17.989999999999998</v>
      </c>
      <c r="T728">
        <v>43753</v>
      </c>
      <c r="U728">
        <v>17.64</v>
      </c>
      <c r="V728">
        <v>18.010000000000002</v>
      </c>
      <c r="W728">
        <v>21.02</v>
      </c>
      <c r="X728" t="s">
        <v>1531</v>
      </c>
      <c r="Y728" t="s">
        <v>319</v>
      </c>
      <c r="Z728">
        <v>3.72</v>
      </c>
      <c r="AA728">
        <v>17.940000000000001</v>
      </c>
      <c r="AB728">
        <v>22673</v>
      </c>
      <c r="AC728">
        <v>21080</v>
      </c>
      <c r="AD728">
        <v>1.08</v>
      </c>
      <c r="AE728">
        <v>114</v>
      </c>
      <c r="AF728">
        <v>2</v>
      </c>
      <c r="AG728" t="s">
        <v>120</v>
      </c>
      <c r="AH728">
        <v>0</v>
      </c>
      <c r="AI728" t="s">
        <v>120</v>
      </c>
      <c r="AJ728">
        <v>1.85</v>
      </c>
      <c r="AK728" t="s">
        <v>4395</v>
      </c>
      <c r="AL728">
        <v>-0.25</v>
      </c>
      <c r="AM728">
        <v>2222</v>
      </c>
      <c r="AN728">
        <v>20</v>
      </c>
      <c r="AO728">
        <v>1.1000000000000001E-3</v>
      </c>
      <c r="AP728">
        <v>-1</v>
      </c>
      <c r="AQ728">
        <v>0.61</v>
      </c>
      <c r="AR728">
        <v>-3.62</v>
      </c>
      <c r="AS728">
        <v>4.63</v>
      </c>
      <c r="AT728">
        <v>-4.3499999999999996</v>
      </c>
      <c r="AU728">
        <v>9.99</v>
      </c>
      <c r="AV728">
        <v>5</v>
      </c>
      <c r="AW728">
        <v>3.28</v>
      </c>
      <c r="AX728">
        <v>43.71</v>
      </c>
      <c r="AY728">
        <v>21.68</v>
      </c>
      <c r="AZ728">
        <v>31.73</v>
      </c>
      <c r="BA728">
        <v>0.53</v>
      </c>
      <c r="BB728" t="s">
        <v>143</v>
      </c>
      <c r="BF728">
        <v>-0.38</v>
      </c>
      <c r="BG728">
        <v>-2.06</v>
      </c>
      <c r="BH728">
        <v>-3.66</v>
      </c>
      <c r="BI728">
        <v>0</v>
      </c>
      <c r="BJ728">
        <v>20210817</v>
      </c>
      <c r="BK728">
        <v>20091209</v>
      </c>
      <c r="BL728">
        <v>3.06</v>
      </c>
      <c r="BM728" t="s">
        <v>120</v>
      </c>
      <c r="BN728" t="s">
        <v>120</v>
      </c>
      <c r="BO728">
        <v>33.67</v>
      </c>
      <c r="BP728">
        <v>17.62</v>
      </c>
      <c r="BQ728">
        <v>21.4</v>
      </c>
      <c r="BR728">
        <v>0.13</v>
      </c>
      <c r="BS728">
        <v>36.049999999999997</v>
      </c>
      <c r="BT728">
        <v>18.260000000000002</v>
      </c>
      <c r="BU728">
        <v>5.26</v>
      </c>
      <c r="BV728">
        <v>0.65</v>
      </c>
      <c r="BW728">
        <v>11.04</v>
      </c>
      <c r="BX728">
        <v>12.81</v>
      </c>
      <c r="BY728">
        <v>0.27</v>
      </c>
      <c r="BZ728">
        <v>0.56000000000000005</v>
      </c>
      <c r="CA728">
        <v>0</v>
      </c>
      <c r="CB728">
        <v>10.41</v>
      </c>
      <c r="CC728">
        <v>7.22</v>
      </c>
      <c r="CD728">
        <v>1.64</v>
      </c>
      <c r="CE728">
        <v>1.41</v>
      </c>
      <c r="CF728">
        <v>0.28000000000000003</v>
      </c>
      <c r="CG728">
        <v>1.41</v>
      </c>
      <c r="CH728">
        <v>1.28</v>
      </c>
      <c r="CI728">
        <v>1.28</v>
      </c>
      <c r="CJ728">
        <v>-0.39</v>
      </c>
      <c r="CK728">
        <v>0.96</v>
      </c>
      <c r="CL728">
        <v>4.24</v>
      </c>
      <c r="CM728">
        <v>1.8</v>
      </c>
      <c r="CN728">
        <v>-1.74</v>
      </c>
      <c r="CO728">
        <v>24206</v>
      </c>
      <c r="CP728">
        <v>5517</v>
      </c>
      <c r="CQ728" t="s">
        <v>4396</v>
      </c>
      <c r="CR728">
        <v>168.5</v>
      </c>
      <c r="CS728">
        <v>36.57</v>
      </c>
      <c r="CT728">
        <v>2.52</v>
      </c>
      <c r="CU728">
        <v>29.92</v>
      </c>
      <c r="CV728">
        <v>7.45</v>
      </c>
      <c r="CW728">
        <v>2.78</v>
      </c>
      <c r="CX728" t="s">
        <v>1327</v>
      </c>
      <c r="CY728">
        <v>7.01</v>
      </c>
      <c r="CZ728">
        <v>0</v>
      </c>
      <c r="DA728">
        <v>3.41</v>
      </c>
      <c r="DB728">
        <v>1.39</v>
      </c>
      <c r="DC728">
        <v>0.59</v>
      </c>
      <c r="DD728">
        <v>63.57</v>
      </c>
      <c r="DE728" t="s">
        <v>4397</v>
      </c>
      <c r="DF728">
        <v>77.34</v>
      </c>
      <c r="DG728">
        <v>19.559999999999999</v>
      </c>
      <c r="DH728">
        <v>17.73</v>
      </c>
      <c r="DI728">
        <v>0.93</v>
      </c>
      <c r="DJ728">
        <v>2219</v>
      </c>
      <c r="DK728">
        <v>2315</v>
      </c>
      <c r="DL728" t="s">
        <v>120</v>
      </c>
      <c r="DM728" t="s">
        <v>120</v>
      </c>
      <c r="DN728" t="s">
        <v>120</v>
      </c>
    </row>
    <row r="729" spans="1:118">
      <c r="A729" t="str">
        <f>"002316"</f>
        <v>002316</v>
      </c>
      <c r="B729" t="s">
        <v>4398</v>
      </c>
      <c r="C729">
        <v>-2.33</v>
      </c>
      <c r="D729">
        <v>-0.23</v>
      </c>
      <c r="E729">
        <v>0.93</v>
      </c>
      <c r="F729">
        <v>1201</v>
      </c>
      <c r="G729" t="s">
        <v>4399</v>
      </c>
      <c r="H729">
        <v>3112.6</v>
      </c>
      <c r="I729">
        <v>10.61</v>
      </c>
      <c r="J729" t="s">
        <v>120</v>
      </c>
      <c r="K729" t="s">
        <v>4132</v>
      </c>
      <c r="L729">
        <v>2.5</v>
      </c>
      <c r="M729">
        <v>4.1900000000000004</v>
      </c>
      <c r="N729">
        <v>1.21</v>
      </c>
      <c r="O729">
        <v>1.4</v>
      </c>
      <c r="P729">
        <v>4.3499999999999996</v>
      </c>
      <c r="Q729">
        <v>-2.56</v>
      </c>
      <c r="R729">
        <v>4.18</v>
      </c>
      <c r="S729">
        <v>4.33</v>
      </c>
      <c r="T729">
        <v>73386</v>
      </c>
      <c r="U729">
        <v>4.2</v>
      </c>
      <c r="V729">
        <v>4.29</v>
      </c>
      <c r="W729" t="s">
        <v>120</v>
      </c>
      <c r="X729" t="s">
        <v>141</v>
      </c>
      <c r="Y729" t="s">
        <v>123</v>
      </c>
      <c r="Z729">
        <v>3.96</v>
      </c>
      <c r="AA729">
        <v>4.24</v>
      </c>
      <c r="AB729">
        <v>45232</v>
      </c>
      <c r="AC729">
        <v>28154</v>
      </c>
      <c r="AD729">
        <v>1.61</v>
      </c>
      <c r="AE729">
        <v>1309</v>
      </c>
      <c r="AF729">
        <v>985</v>
      </c>
      <c r="AG729" t="s">
        <v>120</v>
      </c>
      <c r="AH729">
        <v>0.01</v>
      </c>
      <c r="AI729" t="s">
        <v>120</v>
      </c>
      <c r="AJ729">
        <v>2.93</v>
      </c>
      <c r="AK729" t="s">
        <v>228</v>
      </c>
      <c r="AL729">
        <v>-0.42</v>
      </c>
      <c r="AM729">
        <v>1151</v>
      </c>
      <c r="AN729">
        <v>64</v>
      </c>
      <c r="AO729">
        <v>2.2000000000000001E-3</v>
      </c>
      <c r="AP729">
        <v>-1</v>
      </c>
      <c r="AQ729">
        <v>0</v>
      </c>
      <c r="AR729">
        <v>-4.7699999999999996</v>
      </c>
      <c r="AS729">
        <v>-17.03</v>
      </c>
      <c r="AT729">
        <v>-19.420000000000002</v>
      </c>
      <c r="AU729">
        <v>5.54</v>
      </c>
      <c r="AV729">
        <v>20</v>
      </c>
      <c r="AW729">
        <v>2.88</v>
      </c>
      <c r="AX729">
        <v>64.72</v>
      </c>
      <c r="AY729" t="s">
        <v>120</v>
      </c>
      <c r="AZ729" t="s">
        <v>120</v>
      </c>
      <c r="BA729">
        <v>0.94</v>
      </c>
      <c r="BB729" t="s">
        <v>143</v>
      </c>
      <c r="BF729">
        <v>-1.1299999999999999</v>
      </c>
      <c r="BG729">
        <v>-3.23</v>
      </c>
      <c r="BH729">
        <v>-3.68</v>
      </c>
      <c r="BI729">
        <v>0.24</v>
      </c>
      <c r="BJ729">
        <v>20210831</v>
      </c>
      <c r="BK729">
        <v>20091209</v>
      </c>
      <c r="BL729">
        <v>3.93</v>
      </c>
      <c r="BM729" t="s">
        <v>120</v>
      </c>
      <c r="BN729" t="s">
        <v>120</v>
      </c>
      <c r="BO729">
        <v>23.69</v>
      </c>
      <c r="BP729">
        <v>4.1900000000000004</v>
      </c>
      <c r="BQ729">
        <v>1.98</v>
      </c>
      <c r="BR729" t="s">
        <v>120</v>
      </c>
      <c r="BS729">
        <v>91.62</v>
      </c>
      <c r="BT729">
        <v>12.79</v>
      </c>
      <c r="BU729">
        <v>1.39</v>
      </c>
      <c r="BV729">
        <v>0.43</v>
      </c>
      <c r="BW729">
        <v>15.07</v>
      </c>
      <c r="BX729">
        <v>2.64</v>
      </c>
      <c r="BY729">
        <v>1.6</v>
      </c>
      <c r="BZ729">
        <v>3.72</v>
      </c>
      <c r="CA729" t="s">
        <v>120</v>
      </c>
      <c r="CB729">
        <v>1.92</v>
      </c>
      <c r="CC729">
        <v>12.15</v>
      </c>
      <c r="CD729">
        <v>10.25</v>
      </c>
      <c r="CE729">
        <v>-0.34</v>
      </c>
      <c r="CF729">
        <v>0.02</v>
      </c>
      <c r="CG729">
        <v>-0.33</v>
      </c>
      <c r="CH729">
        <v>-0.37</v>
      </c>
      <c r="CI729">
        <v>-0.38</v>
      </c>
      <c r="CJ729">
        <v>-0.1</v>
      </c>
      <c r="CK729">
        <v>-0.43</v>
      </c>
      <c r="CL729">
        <v>-4.25</v>
      </c>
      <c r="CM729">
        <v>-1.37</v>
      </c>
      <c r="CN729">
        <v>-0.61</v>
      </c>
      <c r="CO729">
        <v>38009</v>
      </c>
      <c r="CP729">
        <v>6694</v>
      </c>
      <c r="CQ729" t="s">
        <v>4400</v>
      </c>
      <c r="CR729">
        <v>-22.63</v>
      </c>
      <c r="CS729">
        <v>-26.94</v>
      </c>
      <c r="CT729">
        <v>8.3000000000000007</v>
      </c>
      <c r="CU729">
        <v>-12.03</v>
      </c>
      <c r="CV729">
        <v>1.36</v>
      </c>
      <c r="CW729">
        <v>0</v>
      </c>
      <c r="CX729" t="s">
        <v>4401</v>
      </c>
      <c r="CY729">
        <v>0.5</v>
      </c>
      <c r="CZ729">
        <v>0</v>
      </c>
      <c r="DA729">
        <v>0.49</v>
      </c>
      <c r="DB729">
        <v>-1.08</v>
      </c>
      <c r="DC729">
        <v>-0.35</v>
      </c>
      <c r="DD729">
        <v>8.3800000000000008</v>
      </c>
      <c r="DE729" t="s">
        <v>4402</v>
      </c>
      <c r="DF729">
        <v>15.65</v>
      </c>
      <c r="DG729">
        <v>-2.8</v>
      </c>
      <c r="DH729">
        <v>-3.13</v>
      </c>
      <c r="DI729">
        <v>0.44</v>
      </c>
      <c r="DJ729">
        <v>994</v>
      </c>
      <c r="DK729">
        <v>2316</v>
      </c>
      <c r="DL729" t="s">
        <v>120</v>
      </c>
      <c r="DM729" t="s">
        <v>120</v>
      </c>
      <c r="DN729" t="s">
        <v>120</v>
      </c>
    </row>
    <row r="730" spans="1:118">
      <c r="A730" t="str">
        <f>"002317"</f>
        <v>002317</v>
      </c>
      <c r="B730" t="s">
        <v>4403</v>
      </c>
      <c r="C730">
        <v>3.43</v>
      </c>
      <c r="D730">
        <v>-0.09</v>
      </c>
      <c r="E730">
        <v>-0.21</v>
      </c>
      <c r="F730">
        <v>1714</v>
      </c>
      <c r="G730" t="s">
        <v>4404</v>
      </c>
      <c r="H730">
        <v>24658.9</v>
      </c>
      <c r="I730">
        <v>47.15</v>
      </c>
      <c r="J730" t="s">
        <v>120</v>
      </c>
      <c r="K730" t="s">
        <v>4405</v>
      </c>
      <c r="L730">
        <v>3.56</v>
      </c>
      <c r="M730">
        <v>9.64</v>
      </c>
      <c r="N730">
        <v>2.42</v>
      </c>
      <c r="O730">
        <v>7.19</v>
      </c>
      <c r="P730">
        <v>9.99</v>
      </c>
      <c r="Q730">
        <v>-0.64</v>
      </c>
      <c r="R730">
        <v>9.26</v>
      </c>
      <c r="S730">
        <v>9.3000000000000007</v>
      </c>
      <c r="T730">
        <v>253612</v>
      </c>
      <c r="U730">
        <v>9.64</v>
      </c>
      <c r="V730">
        <v>9.32</v>
      </c>
      <c r="W730">
        <v>13.64</v>
      </c>
      <c r="X730" t="s">
        <v>771</v>
      </c>
      <c r="Y730" t="s">
        <v>547</v>
      </c>
      <c r="Z730">
        <v>7.83</v>
      </c>
      <c r="AA730">
        <v>9.7200000000000006</v>
      </c>
      <c r="AB730">
        <v>107598</v>
      </c>
      <c r="AC730">
        <v>146014</v>
      </c>
      <c r="AD730">
        <v>0.74</v>
      </c>
      <c r="AE730">
        <v>118</v>
      </c>
      <c r="AF730">
        <v>255</v>
      </c>
      <c r="AG730" t="s">
        <v>120</v>
      </c>
      <c r="AH730">
        <v>0.01</v>
      </c>
      <c r="AI730" t="s">
        <v>120</v>
      </c>
      <c r="AJ730">
        <v>7.13</v>
      </c>
      <c r="AK730" t="s">
        <v>4406</v>
      </c>
      <c r="AL730">
        <v>5.35</v>
      </c>
      <c r="AM730">
        <v>3541</v>
      </c>
      <c r="AN730">
        <v>72</v>
      </c>
      <c r="AO730">
        <v>1E-3</v>
      </c>
      <c r="AP730">
        <v>2</v>
      </c>
      <c r="AQ730">
        <v>0.22</v>
      </c>
      <c r="AR730">
        <v>1.37</v>
      </c>
      <c r="AS730">
        <v>7.95</v>
      </c>
      <c r="AT730">
        <v>16.149999999999999</v>
      </c>
      <c r="AU730">
        <v>-10.9</v>
      </c>
      <c r="AV730">
        <v>0</v>
      </c>
      <c r="AW730">
        <v>4.25</v>
      </c>
      <c r="AX730">
        <v>73.319999999999993</v>
      </c>
      <c r="AY730" t="s">
        <v>120</v>
      </c>
      <c r="AZ730" t="s">
        <v>120</v>
      </c>
      <c r="BA730">
        <v>0.33</v>
      </c>
      <c r="BB730" t="s">
        <v>143</v>
      </c>
      <c r="BF730">
        <v>4.33</v>
      </c>
      <c r="BG730">
        <v>3.66</v>
      </c>
      <c r="BH730">
        <v>-3.5</v>
      </c>
      <c r="BI730">
        <v>4.0999999999999996</v>
      </c>
      <c r="BJ730">
        <v>20210830</v>
      </c>
      <c r="BK730">
        <v>20091211</v>
      </c>
      <c r="BL730">
        <v>8.14</v>
      </c>
      <c r="BM730" t="s">
        <v>120</v>
      </c>
      <c r="BN730" t="s">
        <v>120</v>
      </c>
      <c r="BO730">
        <v>50.96</v>
      </c>
      <c r="BP730">
        <v>9.6300000000000008</v>
      </c>
      <c r="BQ730">
        <v>37.18</v>
      </c>
      <c r="BR730">
        <v>1.89</v>
      </c>
      <c r="BS730">
        <v>23.33</v>
      </c>
      <c r="BT730">
        <v>29.78</v>
      </c>
      <c r="BU730">
        <v>5.26</v>
      </c>
      <c r="BV730">
        <v>2.69</v>
      </c>
      <c r="BW730">
        <v>7.37</v>
      </c>
      <c r="BX730">
        <v>8.5399999999999991</v>
      </c>
      <c r="BY730">
        <v>4.4800000000000004</v>
      </c>
      <c r="BZ730">
        <v>4.7</v>
      </c>
      <c r="CA730">
        <v>0</v>
      </c>
      <c r="CB730">
        <v>15.59</v>
      </c>
      <c r="CC730">
        <v>12.1</v>
      </c>
      <c r="CD730">
        <v>3.88</v>
      </c>
      <c r="CE730">
        <v>3.34</v>
      </c>
      <c r="CF730">
        <v>0.1</v>
      </c>
      <c r="CG730">
        <v>3.33</v>
      </c>
      <c r="CH730">
        <v>2.84</v>
      </c>
      <c r="CI730">
        <v>2.88</v>
      </c>
      <c r="CJ730">
        <v>0.32</v>
      </c>
      <c r="CK730">
        <v>2.0699999999999998</v>
      </c>
      <c r="CL730">
        <v>12.06</v>
      </c>
      <c r="CM730">
        <v>1.68</v>
      </c>
      <c r="CN730">
        <v>-4.6900000000000004</v>
      </c>
      <c r="CO730">
        <v>44763</v>
      </c>
      <c r="CP730">
        <v>13341</v>
      </c>
      <c r="CQ730" t="s">
        <v>4407</v>
      </c>
      <c r="CR730">
        <v>50.16</v>
      </c>
      <c r="CS730">
        <v>54.09</v>
      </c>
      <c r="CT730">
        <v>2.11</v>
      </c>
      <c r="CU730">
        <v>46.6</v>
      </c>
      <c r="CV730">
        <v>6.49</v>
      </c>
      <c r="CW730">
        <v>2.11</v>
      </c>
      <c r="CX730" t="s">
        <v>472</v>
      </c>
      <c r="CY730">
        <v>4.5599999999999996</v>
      </c>
      <c r="CZ730">
        <v>0</v>
      </c>
      <c r="DA730">
        <v>1.91</v>
      </c>
      <c r="DB730">
        <v>1.48</v>
      </c>
      <c r="DC730">
        <v>0.21</v>
      </c>
      <c r="DD730">
        <v>72.959999999999994</v>
      </c>
      <c r="DE730" t="s">
        <v>4408</v>
      </c>
      <c r="DF730">
        <v>67.959999999999994</v>
      </c>
      <c r="DG730">
        <v>27.56</v>
      </c>
      <c r="DH730">
        <v>23.78</v>
      </c>
      <c r="DI730">
        <v>0.42</v>
      </c>
      <c r="DJ730">
        <v>1556</v>
      </c>
      <c r="DK730">
        <v>2317</v>
      </c>
      <c r="DL730" t="s">
        <v>120</v>
      </c>
      <c r="DM730" t="s">
        <v>120</v>
      </c>
      <c r="DN730" t="s">
        <v>120</v>
      </c>
    </row>
    <row r="731" spans="1:118">
      <c r="A731" t="str">
        <f>"002318"</f>
        <v>002318</v>
      </c>
      <c r="B731" t="s">
        <v>4409</v>
      </c>
      <c r="C731">
        <v>-3.17</v>
      </c>
      <c r="D731">
        <v>0.53</v>
      </c>
      <c r="E731">
        <v>0.95</v>
      </c>
      <c r="F731">
        <v>2609</v>
      </c>
      <c r="G731" t="s">
        <v>4410</v>
      </c>
      <c r="H731">
        <v>27909.119999999999</v>
      </c>
      <c r="I731">
        <v>56.76</v>
      </c>
      <c r="J731" t="s">
        <v>120</v>
      </c>
      <c r="K731" t="s">
        <v>4411</v>
      </c>
      <c r="L731">
        <v>1.86</v>
      </c>
      <c r="M731">
        <v>15.25</v>
      </c>
      <c r="N731">
        <v>0.85</v>
      </c>
      <c r="O731">
        <v>3.49</v>
      </c>
      <c r="P731">
        <v>16.3</v>
      </c>
      <c r="Q731">
        <v>-3.75</v>
      </c>
      <c r="R731">
        <v>15.16</v>
      </c>
      <c r="S731">
        <v>15.9</v>
      </c>
      <c r="T731">
        <v>177299</v>
      </c>
      <c r="U731">
        <v>15.25</v>
      </c>
      <c r="V731">
        <v>15.75</v>
      </c>
      <c r="W731">
        <v>19.79</v>
      </c>
      <c r="X731" t="s">
        <v>1667</v>
      </c>
      <c r="Y731" t="s">
        <v>585</v>
      </c>
      <c r="Z731">
        <v>7.24</v>
      </c>
      <c r="AA731">
        <v>15.74</v>
      </c>
      <c r="AB731">
        <v>97983</v>
      </c>
      <c r="AC731">
        <v>79316</v>
      </c>
      <c r="AD731">
        <v>1.24</v>
      </c>
      <c r="AE731">
        <v>200</v>
      </c>
      <c r="AF731">
        <v>217</v>
      </c>
      <c r="AG731" t="s">
        <v>120</v>
      </c>
      <c r="AH731">
        <v>0.01</v>
      </c>
      <c r="AI731" t="s">
        <v>120</v>
      </c>
      <c r="AJ731">
        <v>9.5299999999999994</v>
      </c>
      <c r="AK731" t="s">
        <v>4412</v>
      </c>
      <c r="AL731">
        <v>-1.26</v>
      </c>
      <c r="AM731">
        <v>3631</v>
      </c>
      <c r="AN731">
        <v>49</v>
      </c>
      <c r="AO731">
        <v>5.0000000000000001E-4</v>
      </c>
      <c r="AP731">
        <v>-3</v>
      </c>
      <c r="AQ731">
        <v>-0.63</v>
      </c>
      <c r="AR731">
        <v>-5.33</v>
      </c>
      <c r="AS731">
        <v>-3.42</v>
      </c>
      <c r="AT731">
        <v>35.31</v>
      </c>
      <c r="AU731">
        <v>44.96</v>
      </c>
      <c r="AV731">
        <v>2</v>
      </c>
      <c r="AW731">
        <v>2.91</v>
      </c>
      <c r="AX731">
        <v>62.32</v>
      </c>
      <c r="AY731">
        <v>17.21</v>
      </c>
      <c r="AZ731">
        <v>19.95</v>
      </c>
      <c r="BA731">
        <v>0.64</v>
      </c>
      <c r="BB731" t="s">
        <v>143</v>
      </c>
      <c r="BF731">
        <v>-0.06</v>
      </c>
      <c r="BG731">
        <v>-4.09</v>
      </c>
      <c r="BH731">
        <v>-6.44</v>
      </c>
      <c r="BI731">
        <v>0.59</v>
      </c>
      <c r="BJ731">
        <v>20210803</v>
      </c>
      <c r="BK731">
        <v>20091211</v>
      </c>
      <c r="BL731">
        <v>9.77</v>
      </c>
      <c r="BM731" t="s">
        <v>120</v>
      </c>
      <c r="BN731" t="s">
        <v>120</v>
      </c>
      <c r="BO731">
        <v>67.47</v>
      </c>
      <c r="BP731">
        <v>15.23</v>
      </c>
      <c r="BQ731">
        <v>46.88</v>
      </c>
      <c r="BR731">
        <v>1.45</v>
      </c>
      <c r="BS731">
        <v>28.37</v>
      </c>
      <c r="BT731">
        <v>36.19</v>
      </c>
      <c r="BU731">
        <v>15.02</v>
      </c>
      <c r="BV731">
        <v>2.5099999999999998</v>
      </c>
      <c r="BW731">
        <v>16.46</v>
      </c>
      <c r="BX731">
        <v>11.18</v>
      </c>
      <c r="BY731">
        <v>13.61</v>
      </c>
      <c r="BZ731">
        <v>7.51</v>
      </c>
      <c r="CA731" t="s">
        <v>120</v>
      </c>
      <c r="CB731">
        <v>17.97</v>
      </c>
      <c r="CC731">
        <v>29.6</v>
      </c>
      <c r="CD731">
        <v>22.13</v>
      </c>
      <c r="CE731">
        <v>4.33</v>
      </c>
      <c r="CF731">
        <v>0.51</v>
      </c>
      <c r="CG731">
        <v>4.34</v>
      </c>
      <c r="CH731">
        <v>3.79</v>
      </c>
      <c r="CI731">
        <v>3.77</v>
      </c>
      <c r="CJ731">
        <v>-0.5</v>
      </c>
      <c r="CK731">
        <v>3.52</v>
      </c>
      <c r="CL731">
        <v>18.420000000000002</v>
      </c>
      <c r="CM731">
        <v>4.3099999999999996</v>
      </c>
      <c r="CN731">
        <v>-1.0900000000000001</v>
      </c>
      <c r="CO731">
        <v>36829</v>
      </c>
      <c r="CP731">
        <v>16536</v>
      </c>
      <c r="CQ731" t="s">
        <v>4413</v>
      </c>
      <c r="CR731">
        <v>48.5</v>
      </c>
      <c r="CS731">
        <v>36.64</v>
      </c>
      <c r="CT731">
        <v>3.18</v>
      </c>
      <c r="CU731">
        <v>34.6</v>
      </c>
      <c r="CV731">
        <v>5.03</v>
      </c>
      <c r="CW731">
        <v>2.37</v>
      </c>
      <c r="CX731" t="s">
        <v>1980</v>
      </c>
      <c r="CY731">
        <v>4.8</v>
      </c>
      <c r="CZ731">
        <v>0</v>
      </c>
      <c r="DA731">
        <v>1.84</v>
      </c>
      <c r="DB731">
        <v>1.88</v>
      </c>
      <c r="DC731">
        <v>0.44</v>
      </c>
      <c r="DD731">
        <v>69.48</v>
      </c>
      <c r="DE731" t="s">
        <v>1804</v>
      </c>
      <c r="DF731">
        <v>25.25</v>
      </c>
      <c r="DG731">
        <v>14.63</v>
      </c>
      <c r="DH731">
        <v>12.72</v>
      </c>
      <c r="DI731">
        <v>1.1100000000000001</v>
      </c>
      <c r="DJ731">
        <v>3042</v>
      </c>
      <c r="DK731">
        <v>2318</v>
      </c>
      <c r="DL731" t="s">
        <v>120</v>
      </c>
      <c r="DM731" t="s">
        <v>120</v>
      </c>
      <c r="DN731" t="s">
        <v>120</v>
      </c>
    </row>
    <row r="732" spans="1:118">
      <c r="A732" t="str">
        <f>"002319"</f>
        <v>002319</v>
      </c>
      <c r="B732" t="s">
        <v>4414</v>
      </c>
      <c r="C732">
        <v>-1.1499999999999999</v>
      </c>
      <c r="D732">
        <v>0.15</v>
      </c>
      <c r="E732">
        <v>0</v>
      </c>
      <c r="F732">
        <v>66</v>
      </c>
      <c r="G732" t="s">
        <v>1316</v>
      </c>
      <c r="H732">
        <v>1417.01</v>
      </c>
      <c r="I732">
        <v>0.14000000000000001</v>
      </c>
      <c r="J732" t="s">
        <v>120</v>
      </c>
      <c r="K732" t="s">
        <v>4415</v>
      </c>
      <c r="L732">
        <v>0.51</v>
      </c>
      <c r="M732">
        <v>13.78</v>
      </c>
      <c r="N732">
        <v>1.22</v>
      </c>
      <c r="O732">
        <v>1.1499999999999999</v>
      </c>
      <c r="P732">
        <v>14.1</v>
      </c>
      <c r="Q732">
        <v>-1.79</v>
      </c>
      <c r="R732">
        <v>13.69</v>
      </c>
      <c r="S732">
        <v>13.94</v>
      </c>
      <c r="T732">
        <v>10223</v>
      </c>
      <c r="U732">
        <v>13.81</v>
      </c>
      <c r="V732">
        <v>13.94</v>
      </c>
      <c r="W732" t="s">
        <v>120</v>
      </c>
      <c r="X732" t="s">
        <v>1145</v>
      </c>
      <c r="Y732" t="s">
        <v>547</v>
      </c>
      <c r="Z732">
        <v>2.94</v>
      </c>
      <c r="AA732">
        <v>13.86</v>
      </c>
      <c r="AB732">
        <v>7585</v>
      </c>
      <c r="AC732">
        <v>2638</v>
      </c>
      <c r="AD732">
        <v>2.88</v>
      </c>
      <c r="AE732">
        <v>21</v>
      </c>
      <c r="AF732">
        <v>6</v>
      </c>
      <c r="AG732" t="s">
        <v>120</v>
      </c>
      <c r="AH732">
        <v>0</v>
      </c>
      <c r="AI732" t="s">
        <v>120</v>
      </c>
      <c r="AJ732">
        <v>2</v>
      </c>
      <c r="AK732" t="s">
        <v>4415</v>
      </c>
      <c r="AL732">
        <v>0.77</v>
      </c>
      <c r="AM732">
        <v>439</v>
      </c>
      <c r="AN732">
        <v>23</v>
      </c>
      <c r="AO732">
        <v>1.1999999999999999E-3</v>
      </c>
      <c r="AP732">
        <v>-2</v>
      </c>
      <c r="AQ732">
        <v>-0.64</v>
      </c>
      <c r="AR732">
        <v>-1.64</v>
      </c>
      <c r="AS732">
        <v>-1.71</v>
      </c>
      <c r="AT732">
        <v>4.32</v>
      </c>
      <c r="AU732">
        <v>100.88</v>
      </c>
      <c r="AV732">
        <v>8</v>
      </c>
      <c r="AW732">
        <v>0.69</v>
      </c>
      <c r="AX732">
        <v>74</v>
      </c>
      <c r="AY732" t="s">
        <v>120</v>
      </c>
      <c r="AZ732">
        <v>381.41</v>
      </c>
      <c r="BA732">
        <v>0.57999999999999996</v>
      </c>
      <c r="BB732" t="s">
        <v>143</v>
      </c>
      <c r="BF732">
        <v>-0.56999999999999995</v>
      </c>
      <c r="BG732">
        <v>-1.1499999999999999</v>
      </c>
      <c r="BH732">
        <v>-2.27</v>
      </c>
      <c r="BI732">
        <v>0.66</v>
      </c>
      <c r="BJ732">
        <v>20210831</v>
      </c>
      <c r="BK732">
        <v>20091211</v>
      </c>
      <c r="BL732">
        <v>2</v>
      </c>
      <c r="BM732" t="s">
        <v>120</v>
      </c>
      <c r="BN732" t="s">
        <v>120</v>
      </c>
      <c r="BO732">
        <v>6.5</v>
      </c>
      <c r="BP732">
        <v>13.78</v>
      </c>
      <c r="BQ732">
        <v>1.35</v>
      </c>
      <c r="BR732" t="s">
        <v>120</v>
      </c>
      <c r="BS732">
        <v>79.239999999999995</v>
      </c>
      <c r="BT732">
        <v>2.69</v>
      </c>
      <c r="BU732">
        <v>3.37</v>
      </c>
      <c r="BV732">
        <v>0.18</v>
      </c>
      <c r="BW732">
        <v>5.15</v>
      </c>
      <c r="BX732">
        <v>0.12</v>
      </c>
      <c r="BY732">
        <v>0.46</v>
      </c>
      <c r="BZ732">
        <v>1.39</v>
      </c>
      <c r="CA732" t="s">
        <v>120</v>
      </c>
      <c r="CB732">
        <v>1.04</v>
      </c>
      <c r="CC732">
        <v>1.83</v>
      </c>
      <c r="CD732">
        <v>1.49</v>
      </c>
      <c r="CE732">
        <v>-7.0000000000000007E-2</v>
      </c>
      <c r="CF732">
        <v>0</v>
      </c>
      <c r="CG732">
        <v>-7.0000000000000007E-2</v>
      </c>
      <c r="CH732">
        <v>-0.09</v>
      </c>
      <c r="CI732">
        <v>-0.09</v>
      </c>
      <c r="CJ732">
        <v>-0.16</v>
      </c>
      <c r="CK732">
        <v>-0.1</v>
      </c>
      <c r="CL732">
        <v>-1.93</v>
      </c>
      <c r="CM732">
        <v>0.04</v>
      </c>
      <c r="CN732">
        <v>-0.15</v>
      </c>
      <c r="CO732">
        <v>10338</v>
      </c>
      <c r="CP732">
        <v>14316</v>
      </c>
      <c r="CQ732" t="s">
        <v>4416</v>
      </c>
      <c r="CR732">
        <v>-1008.09</v>
      </c>
      <c r="CS732">
        <v>9.08</v>
      </c>
      <c r="CT732">
        <v>20.43</v>
      </c>
      <c r="CU732">
        <v>687.54</v>
      </c>
      <c r="CV732">
        <v>15.05</v>
      </c>
      <c r="CW732">
        <v>0</v>
      </c>
      <c r="CX732" t="s">
        <v>1255</v>
      </c>
      <c r="CY732">
        <v>0.67</v>
      </c>
      <c r="CZ732">
        <v>0</v>
      </c>
      <c r="DA732">
        <v>0.52</v>
      </c>
      <c r="DB732">
        <v>-0.97</v>
      </c>
      <c r="DC732">
        <v>0.02</v>
      </c>
      <c r="DD732">
        <v>20.76</v>
      </c>
      <c r="DE732" t="s">
        <v>4417</v>
      </c>
      <c r="DF732">
        <v>18.53</v>
      </c>
      <c r="DG732">
        <v>-3.73</v>
      </c>
      <c r="DH732">
        <v>-4.79</v>
      </c>
      <c r="DI732">
        <v>0.05</v>
      </c>
      <c r="DJ732">
        <v>317</v>
      </c>
      <c r="DK732">
        <v>2319</v>
      </c>
      <c r="DL732" t="s">
        <v>120</v>
      </c>
      <c r="DM732" t="s">
        <v>120</v>
      </c>
      <c r="DN732" t="s">
        <v>120</v>
      </c>
    </row>
    <row r="733" spans="1:118">
      <c r="A733" t="str">
        <f>"002320"</f>
        <v>002320</v>
      </c>
      <c r="B733" t="s">
        <v>4418</v>
      </c>
      <c r="C733">
        <v>-4.24</v>
      </c>
      <c r="D733">
        <v>0.27</v>
      </c>
      <c r="E733">
        <v>0</v>
      </c>
      <c r="F733">
        <v>5713</v>
      </c>
      <c r="G733" t="s">
        <v>4419</v>
      </c>
      <c r="H733">
        <v>36407.79</v>
      </c>
      <c r="I733">
        <v>111.49</v>
      </c>
      <c r="J733" t="s">
        <v>120</v>
      </c>
      <c r="K733" t="s">
        <v>4420</v>
      </c>
      <c r="L733">
        <v>2.17</v>
      </c>
      <c r="M733">
        <v>7.45</v>
      </c>
      <c r="N733">
        <v>1.31</v>
      </c>
      <c r="O733">
        <v>0.26</v>
      </c>
      <c r="P733">
        <v>7.8</v>
      </c>
      <c r="Q733">
        <v>-5.01</v>
      </c>
      <c r="R733">
        <v>7.39</v>
      </c>
      <c r="S733">
        <v>7.78</v>
      </c>
      <c r="T733">
        <v>483175</v>
      </c>
      <c r="U733">
        <v>7.46</v>
      </c>
      <c r="V733">
        <v>7.78</v>
      </c>
      <c r="W733">
        <v>32.590000000000003</v>
      </c>
      <c r="X733" t="s">
        <v>917</v>
      </c>
      <c r="Y733" t="s">
        <v>835</v>
      </c>
      <c r="Z733">
        <v>5.27</v>
      </c>
      <c r="AA733">
        <v>7.54</v>
      </c>
      <c r="AB733">
        <v>234124</v>
      </c>
      <c r="AC733">
        <v>249051</v>
      </c>
      <c r="AD733">
        <v>0.94</v>
      </c>
      <c r="AE733">
        <v>1937</v>
      </c>
      <c r="AF733">
        <v>614</v>
      </c>
      <c r="AG733" t="s">
        <v>120</v>
      </c>
      <c r="AH733">
        <v>0.02</v>
      </c>
      <c r="AI733" t="s">
        <v>120</v>
      </c>
      <c r="AJ733">
        <v>22.29</v>
      </c>
      <c r="AK733" t="s">
        <v>4420</v>
      </c>
      <c r="AL733">
        <v>-2.33</v>
      </c>
      <c r="AM733">
        <v>3847</v>
      </c>
      <c r="AN733">
        <v>126</v>
      </c>
      <c r="AO733">
        <v>5.9999999999999995E-4</v>
      </c>
      <c r="AP733">
        <v>-1</v>
      </c>
      <c r="AQ733">
        <v>2.64</v>
      </c>
      <c r="AR733">
        <v>-3.99</v>
      </c>
      <c r="AS733">
        <v>31.39</v>
      </c>
      <c r="AT733">
        <v>28.23</v>
      </c>
      <c r="AU733">
        <v>24.58</v>
      </c>
      <c r="AV733">
        <v>1</v>
      </c>
      <c r="AW733">
        <v>8.0399999999999991</v>
      </c>
      <c r="AX733">
        <v>26.96</v>
      </c>
      <c r="AY733">
        <v>52.69</v>
      </c>
      <c r="AZ733">
        <v>69.53</v>
      </c>
      <c r="BA733">
        <v>0.27</v>
      </c>
      <c r="BB733" t="s">
        <v>184</v>
      </c>
      <c r="BF733">
        <v>-3.15</v>
      </c>
      <c r="BG733">
        <v>-4.24</v>
      </c>
      <c r="BH733">
        <v>-4.49</v>
      </c>
      <c r="BI733">
        <v>0.81</v>
      </c>
      <c r="BJ733">
        <v>20210913</v>
      </c>
      <c r="BK733">
        <v>20091216</v>
      </c>
      <c r="BL733">
        <v>22.29</v>
      </c>
      <c r="BM733" t="s">
        <v>120</v>
      </c>
      <c r="BN733" t="s">
        <v>120</v>
      </c>
      <c r="BO733">
        <v>45.66</v>
      </c>
      <c r="BP733">
        <v>7.45</v>
      </c>
      <c r="BQ733">
        <v>40.06</v>
      </c>
      <c r="BR733">
        <v>1.97</v>
      </c>
      <c r="BS733">
        <v>7.95</v>
      </c>
      <c r="BT733">
        <v>10.69</v>
      </c>
      <c r="BU733">
        <v>30.59</v>
      </c>
      <c r="BV733">
        <v>0.64</v>
      </c>
      <c r="BW733">
        <v>3.04</v>
      </c>
      <c r="BX733">
        <v>9.3800000000000008</v>
      </c>
      <c r="BY733">
        <v>0.11</v>
      </c>
      <c r="BZ733">
        <v>0.33</v>
      </c>
      <c r="CA733">
        <v>0</v>
      </c>
      <c r="CB733">
        <v>2.98</v>
      </c>
      <c r="CC733">
        <v>7.6</v>
      </c>
      <c r="CD733">
        <v>3.86</v>
      </c>
      <c r="CE733">
        <v>3.05</v>
      </c>
      <c r="CF733">
        <v>0</v>
      </c>
      <c r="CG733">
        <v>3.05</v>
      </c>
      <c r="CH733">
        <v>2.59</v>
      </c>
      <c r="CI733">
        <v>2.5499999999999998</v>
      </c>
      <c r="CJ733">
        <v>-0.33</v>
      </c>
      <c r="CK733">
        <v>2.54</v>
      </c>
      <c r="CL733">
        <v>11.52</v>
      </c>
      <c r="CM733">
        <v>3.41</v>
      </c>
      <c r="CN733">
        <v>-9.26</v>
      </c>
      <c r="CO733">
        <v>42000</v>
      </c>
      <c r="CP733">
        <v>14308</v>
      </c>
      <c r="CQ733" t="s">
        <v>4421</v>
      </c>
      <c r="CR733">
        <v>45.51</v>
      </c>
      <c r="CS733">
        <v>33.479999999999997</v>
      </c>
      <c r="CT733">
        <v>4.1500000000000004</v>
      </c>
      <c r="CU733">
        <v>48.75</v>
      </c>
      <c r="CV733">
        <v>21.85</v>
      </c>
      <c r="CW733">
        <v>1.2</v>
      </c>
      <c r="CX733" t="s">
        <v>1147</v>
      </c>
      <c r="CY733">
        <v>1.8</v>
      </c>
      <c r="CZ733">
        <v>0</v>
      </c>
      <c r="DA733">
        <v>0.13</v>
      </c>
      <c r="DB733">
        <v>0.52</v>
      </c>
      <c r="DC733">
        <v>0.15</v>
      </c>
      <c r="DD733">
        <v>87.73</v>
      </c>
      <c r="DE733" t="s">
        <v>987</v>
      </c>
      <c r="DF733">
        <v>49.18</v>
      </c>
      <c r="DG733">
        <v>40.17</v>
      </c>
      <c r="DH733">
        <v>33.520000000000003</v>
      </c>
      <c r="DI733" t="s">
        <v>120</v>
      </c>
      <c r="DJ733">
        <v>1077</v>
      </c>
      <c r="DK733">
        <v>2320</v>
      </c>
      <c r="DL733" t="s">
        <v>120</v>
      </c>
      <c r="DM733" t="s">
        <v>120</v>
      </c>
      <c r="DN733" t="s">
        <v>120</v>
      </c>
    </row>
    <row r="734" spans="1:118">
      <c r="A734" t="str">
        <f>"002322"</f>
        <v>002322</v>
      </c>
      <c r="B734" t="s">
        <v>4422</v>
      </c>
      <c r="C734">
        <v>-1.77</v>
      </c>
      <c r="D734">
        <v>0</v>
      </c>
      <c r="E734">
        <v>0.93</v>
      </c>
      <c r="F734">
        <v>499</v>
      </c>
      <c r="G734" t="s">
        <v>4423</v>
      </c>
      <c r="H734">
        <v>6882.3</v>
      </c>
      <c r="I734">
        <v>132.41999999999999</v>
      </c>
      <c r="J734" t="s">
        <v>120</v>
      </c>
      <c r="K734" t="s">
        <v>4424</v>
      </c>
      <c r="L734">
        <v>1.71</v>
      </c>
      <c r="M734">
        <v>10.52</v>
      </c>
      <c r="N734">
        <v>1.6</v>
      </c>
      <c r="O734">
        <v>2.2400000000000002</v>
      </c>
      <c r="P734">
        <v>10.95</v>
      </c>
      <c r="Q734">
        <v>-1.96</v>
      </c>
      <c r="R734">
        <v>10.5</v>
      </c>
      <c r="S734">
        <v>10.81</v>
      </c>
      <c r="T734">
        <v>64313</v>
      </c>
      <c r="U734">
        <v>10.52</v>
      </c>
      <c r="V734">
        <v>10.71</v>
      </c>
      <c r="W734">
        <v>18.41</v>
      </c>
      <c r="X734" t="s">
        <v>141</v>
      </c>
      <c r="Y734" t="s">
        <v>585</v>
      </c>
      <c r="Z734">
        <v>4.2</v>
      </c>
      <c r="AA734">
        <v>10.7</v>
      </c>
      <c r="AB734">
        <v>36732</v>
      </c>
      <c r="AC734">
        <v>27581</v>
      </c>
      <c r="AD734">
        <v>1.33</v>
      </c>
      <c r="AE734">
        <v>320</v>
      </c>
      <c r="AF734">
        <v>292</v>
      </c>
      <c r="AG734" t="s">
        <v>120</v>
      </c>
      <c r="AH734">
        <v>0.05</v>
      </c>
      <c r="AI734" t="s">
        <v>120</v>
      </c>
      <c r="AJ734">
        <v>3.76</v>
      </c>
      <c r="AK734" t="s">
        <v>4425</v>
      </c>
      <c r="AL734">
        <v>0.14000000000000001</v>
      </c>
      <c r="AM734">
        <v>2053</v>
      </c>
      <c r="AN734">
        <v>31</v>
      </c>
      <c r="AO734">
        <v>8.0000000000000004E-4</v>
      </c>
      <c r="AP734">
        <v>-1</v>
      </c>
      <c r="AQ734">
        <v>5.41</v>
      </c>
      <c r="AR734">
        <v>1.63</v>
      </c>
      <c r="AS734">
        <v>3.54</v>
      </c>
      <c r="AT734">
        <v>-0.66</v>
      </c>
      <c r="AU734">
        <v>-0.48</v>
      </c>
      <c r="AV734">
        <v>0</v>
      </c>
      <c r="AW734">
        <v>2.65</v>
      </c>
      <c r="AX734">
        <v>61.13</v>
      </c>
      <c r="AY734">
        <v>17.7</v>
      </c>
      <c r="AZ734">
        <v>18.149999999999999</v>
      </c>
      <c r="BA734">
        <v>0.21</v>
      </c>
      <c r="BB734" t="s">
        <v>168</v>
      </c>
      <c r="BF734">
        <v>-0.08</v>
      </c>
      <c r="BG734">
        <v>-2.68</v>
      </c>
      <c r="BH734">
        <v>-3.93</v>
      </c>
      <c r="BI734">
        <v>0.19</v>
      </c>
      <c r="BJ734">
        <v>20210821</v>
      </c>
      <c r="BK734">
        <v>20091218</v>
      </c>
      <c r="BL734">
        <v>3.97</v>
      </c>
      <c r="BM734" t="s">
        <v>120</v>
      </c>
      <c r="BN734" t="s">
        <v>120</v>
      </c>
      <c r="BO734">
        <v>35.25</v>
      </c>
      <c r="BP734">
        <v>10.51</v>
      </c>
      <c r="BQ734">
        <v>29.55</v>
      </c>
      <c r="BR734">
        <v>0</v>
      </c>
      <c r="BS734">
        <v>16.190000000000001</v>
      </c>
      <c r="BT734">
        <v>12.1</v>
      </c>
      <c r="BU734">
        <v>4.3600000000000003</v>
      </c>
      <c r="BV734">
        <v>0.41</v>
      </c>
      <c r="BW734">
        <v>5.66</v>
      </c>
      <c r="BX734">
        <v>3.28</v>
      </c>
      <c r="BY734">
        <v>2.2599999999999998</v>
      </c>
      <c r="BZ734">
        <v>4.3600000000000003</v>
      </c>
      <c r="CA734" t="s">
        <v>120</v>
      </c>
      <c r="CB734">
        <v>18.940000000000001</v>
      </c>
      <c r="CC734">
        <v>4.3600000000000003</v>
      </c>
      <c r="CD734">
        <v>1.64</v>
      </c>
      <c r="CE734">
        <v>1.36</v>
      </c>
      <c r="CF734">
        <v>0.41</v>
      </c>
      <c r="CG734">
        <v>1.35</v>
      </c>
      <c r="CH734">
        <v>1.1299999999999999</v>
      </c>
      <c r="CI734">
        <v>1.1299999999999999</v>
      </c>
      <c r="CJ734">
        <v>-0.19</v>
      </c>
      <c r="CK734">
        <v>1.08</v>
      </c>
      <c r="CL734">
        <v>8.15</v>
      </c>
      <c r="CM734">
        <v>-0.62</v>
      </c>
      <c r="CN734">
        <v>-0.56999999999999995</v>
      </c>
      <c r="CO734">
        <v>20059</v>
      </c>
      <c r="CP734">
        <v>12088</v>
      </c>
      <c r="CQ734" t="s">
        <v>647</v>
      </c>
      <c r="CR734">
        <v>5.52</v>
      </c>
      <c r="CS734">
        <v>20.49</v>
      </c>
      <c r="CT734">
        <v>1.41</v>
      </c>
      <c r="CU734">
        <v>-67.7</v>
      </c>
      <c r="CV734">
        <v>9.58</v>
      </c>
      <c r="CW734">
        <v>5.69</v>
      </c>
      <c r="CX734" t="s">
        <v>1340</v>
      </c>
      <c r="CY734">
        <v>7.45</v>
      </c>
      <c r="CZ734">
        <v>0</v>
      </c>
      <c r="DA734">
        <v>4.7699999999999996</v>
      </c>
      <c r="DB734">
        <v>2.06</v>
      </c>
      <c r="DC734">
        <v>-0.16</v>
      </c>
      <c r="DD734">
        <v>83.82</v>
      </c>
      <c r="DE734" t="s">
        <v>4426</v>
      </c>
      <c r="DF734">
        <v>62.34</v>
      </c>
      <c r="DG734">
        <v>31.22</v>
      </c>
      <c r="DH734">
        <v>26.02</v>
      </c>
      <c r="DI734">
        <v>0.62</v>
      </c>
      <c r="DJ734">
        <v>2179</v>
      </c>
      <c r="DK734">
        <v>2322</v>
      </c>
      <c r="DL734" t="s">
        <v>120</v>
      </c>
      <c r="DM734" t="s">
        <v>120</v>
      </c>
      <c r="DN734" t="s">
        <v>120</v>
      </c>
    </row>
    <row r="735" spans="1:118">
      <c r="A735" t="str">
        <f>"002324"</f>
        <v>002324</v>
      </c>
      <c r="B735" t="s">
        <v>4427</v>
      </c>
      <c r="C735">
        <v>-1.27</v>
      </c>
      <c r="D735">
        <v>-0.08</v>
      </c>
      <c r="E735">
        <v>0.25</v>
      </c>
      <c r="F735">
        <v>318</v>
      </c>
      <c r="G735" t="s">
        <v>4428</v>
      </c>
      <c r="H735">
        <v>9117.2000000000007</v>
      </c>
      <c r="I735">
        <v>9.86</v>
      </c>
      <c r="J735" t="s">
        <v>120</v>
      </c>
      <c r="K735" t="s">
        <v>4429</v>
      </c>
      <c r="L735">
        <v>1.21</v>
      </c>
      <c r="M735">
        <v>11.7</v>
      </c>
      <c r="N735">
        <v>1.24</v>
      </c>
      <c r="O735">
        <v>2.78</v>
      </c>
      <c r="P735">
        <v>12.18</v>
      </c>
      <c r="Q735">
        <v>-1.52</v>
      </c>
      <c r="R735">
        <v>11.67</v>
      </c>
      <c r="S735">
        <v>11.88</v>
      </c>
      <c r="T735">
        <v>76258</v>
      </c>
      <c r="U735">
        <v>11.71</v>
      </c>
      <c r="V735">
        <v>11.85</v>
      </c>
      <c r="W735">
        <v>68.63</v>
      </c>
      <c r="X735" t="s">
        <v>2211</v>
      </c>
      <c r="Y735" t="s">
        <v>1510</v>
      </c>
      <c r="Z735">
        <v>4.3</v>
      </c>
      <c r="AA735">
        <v>11.96</v>
      </c>
      <c r="AB735">
        <v>39488</v>
      </c>
      <c r="AC735">
        <v>36770</v>
      </c>
      <c r="AD735">
        <v>1.07</v>
      </c>
      <c r="AE735">
        <v>198</v>
      </c>
      <c r="AF735">
        <v>133</v>
      </c>
      <c r="AG735" t="s">
        <v>120</v>
      </c>
      <c r="AH735">
        <v>0</v>
      </c>
      <c r="AI735" t="s">
        <v>120</v>
      </c>
      <c r="AJ735">
        <v>6.33</v>
      </c>
      <c r="AK735" t="s">
        <v>4430</v>
      </c>
      <c r="AL735">
        <v>0.65</v>
      </c>
      <c r="AM735">
        <v>1796</v>
      </c>
      <c r="AN735">
        <v>42</v>
      </c>
      <c r="AO735">
        <v>6.9999999999999999E-4</v>
      </c>
      <c r="AP735">
        <v>-1</v>
      </c>
      <c r="AQ735">
        <v>0.77</v>
      </c>
      <c r="AR735">
        <v>-2.5</v>
      </c>
      <c r="AS735">
        <v>-7.37</v>
      </c>
      <c r="AT735">
        <v>-4.88</v>
      </c>
      <c r="AU735">
        <v>-16.88</v>
      </c>
      <c r="AV735">
        <v>1</v>
      </c>
      <c r="AW735">
        <v>1.67</v>
      </c>
      <c r="AX735">
        <v>44.98</v>
      </c>
      <c r="AY735">
        <v>60.25</v>
      </c>
      <c r="AZ735">
        <v>30.37</v>
      </c>
      <c r="BA735">
        <v>0.33</v>
      </c>
      <c r="BB735" t="s">
        <v>143</v>
      </c>
      <c r="BF735">
        <v>0.89</v>
      </c>
      <c r="BG735">
        <v>-1.52</v>
      </c>
      <c r="BH735">
        <v>-3.94</v>
      </c>
      <c r="BI735">
        <v>0.26</v>
      </c>
      <c r="BJ735">
        <v>20210806</v>
      </c>
      <c r="BK735">
        <v>20091218</v>
      </c>
      <c r="BL735">
        <v>10.14</v>
      </c>
      <c r="BM735" t="s">
        <v>120</v>
      </c>
      <c r="BN735" t="s">
        <v>120</v>
      </c>
      <c r="BO735">
        <v>43.04</v>
      </c>
      <c r="BP735">
        <v>11.7</v>
      </c>
      <c r="BQ735">
        <v>26.63</v>
      </c>
      <c r="BR735">
        <v>0.12</v>
      </c>
      <c r="BS735">
        <v>37.85</v>
      </c>
      <c r="BT735">
        <v>29.85</v>
      </c>
      <c r="BU735">
        <v>7.76</v>
      </c>
      <c r="BV735">
        <v>1.28</v>
      </c>
      <c r="BW735">
        <v>15.84</v>
      </c>
      <c r="BX735">
        <v>3.44</v>
      </c>
      <c r="BY735">
        <v>7.78</v>
      </c>
      <c r="BZ735">
        <v>12.19</v>
      </c>
      <c r="CA735" t="s">
        <v>120</v>
      </c>
      <c r="CB735">
        <v>1.8</v>
      </c>
      <c r="CC735">
        <v>21.21</v>
      </c>
      <c r="CD735">
        <v>18.61</v>
      </c>
      <c r="CE735">
        <v>0.89</v>
      </c>
      <c r="CF735">
        <v>0.03</v>
      </c>
      <c r="CG735">
        <v>1.0900000000000001</v>
      </c>
      <c r="CH735">
        <v>0.86</v>
      </c>
      <c r="CI735">
        <v>0.86</v>
      </c>
      <c r="CJ735">
        <v>-0.15</v>
      </c>
      <c r="CK735">
        <v>0.68</v>
      </c>
      <c r="CL735">
        <v>13.47</v>
      </c>
      <c r="CM735">
        <v>3.07</v>
      </c>
      <c r="CN735">
        <v>0.54</v>
      </c>
      <c r="CO735">
        <v>21456</v>
      </c>
      <c r="CP735">
        <v>21258</v>
      </c>
      <c r="CQ735" t="s">
        <v>4431</v>
      </c>
      <c r="CR735">
        <v>-69.42</v>
      </c>
      <c r="CS735">
        <v>5.87</v>
      </c>
      <c r="CT735">
        <v>4.46</v>
      </c>
      <c r="CU735">
        <v>38.61</v>
      </c>
      <c r="CV735">
        <v>5.59</v>
      </c>
      <c r="CW735">
        <v>0.35</v>
      </c>
      <c r="CX735" t="s">
        <v>329</v>
      </c>
      <c r="CY735">
        <v>2.63</v>
      </c>
      <c r="CZ735">
        <v>0</v>
      </c>
      <c r="DA735">
        <v>0.18</v>
      </c>
      <c r="DB735">
        <v>1.33</v>
      </c>
      <c r="DC735">
        <v>0.3</v>
      </c>
      <c r="DD735">
        <v>61.86</v>
      </c>
      <c r="DE735" t="s">
        <v>4432</v>
      </c>
      <c r="DF735">
        <v>12.27</v>
      </c>
      <c r="DG735">
        <v>4.1900000000000004</v>
      </c>
      <c r="DH735">
        <v>4.08</v>
      </c>
      <c r="DI735">
        <v>1.21</v>
      </c>
      <c r="DJ735">
        <v>1317</v>
      </c>
      <c r="DK735">
        <v>2324</v>
      </c>
      <c r="DL735" t="s">
        <v>120</v>
      </c>
      <c r="DM735" t="s">
        <v>120</v>
      </c>
      <c r="DN735" t="s">
        <v>120</v>
      </c>
    </row>
    <row r="736" spans="1:118">
      <c r="A736" t="str">
        <f>"002325"</f>
        <v>002325</v>
      </c>
      <c r="B736" t="s">
        <v>4433</v>
      </c>
      <c r="C736">
        <v>-0.76</v>
      </c>
      <c r="D736">
        <v>-0.37</v>
      </c>
      <c r="E736">
        <v>0.76</v>
      </c>
      <c r="F736">
        <v>618</v>
      </c>
      <c r="G736" t="s">
        <v>4434</v>
      </c>
      <c r="H736">
        <v>2576.15</v>
      </c>
      <c r="I736">
        <v>23.35</v>
      </c>
      <c r="J736" t="s">
        <v>120</v>
      </c>
      <c r="K736" t="s">
        <v>4435</v>
      </c>
      <c r="L736">
        <v>1.01</v>
      </c>
      <c r="M736">
        <v>2.62</v>
      </c>
      <c r="N736">
        <v>0.76</v>
      </c>
      <c r="O736">
        <v>1.52</v>
      </c>
      <c r="P736">
        <v>2.68</v>
      </c>
      <c r="Q736">
        <v>-1.1399999999999999</v>
      </c>
      <c r="R736">
        <v>2.61</v>
      </c>
      <c r="S736">
        <v>2.66</v>
      </c>
      <c r="T736">
        <v>97224</v>
      </c>
      <c r="U736">
        <v>2.63</v>
      </c>
      <c r="V736">
        <v>2.64</v>
      </c>
      <c r="W736">
        <v>23.39</v>
      </c>
      <c r="X736" t="s">
        <v>3122</v>
      </c>
      <c r="Y736" t="s">
        <v>123</v>
      </c>
      <c r="Z736">
        <v>2.65</v>
      </c>
      <c r="AA736">
        <v>2.65</v>
      </c>
      <c r="AB736">
        <v>46653</v>
      </c>
      <c r="AC736">
        <v>50571</v>
      </c>
      <c r="AD736">
        <v>0.92</v>
      </c>
      <c r="AE736">
        <v>2207</v>
      </c>
      <c r="AF736">
        <v>3424</v>
      </c>
      <c r="AG736" t="s">
        <v>120</v>
      </c>
      <c r="AH736">
        <v>0.01</v>
      </c>
      <c r="AI736" t="s">
        <v>120</v>
      </c>
      <c r="AJ736">
        <v>9.6300000000000008</v>
      </c>
      <c r="AK736" t="s">
        <v>4436</v>
      </c>
      <c r="AL736">
        <v>1.1599999999999999</v>
      </c>
      <c r="AM736">
        <v>1364</v>
      </c>
      <c r="AN736">
        <v>71</v>
      </c>
      <c r="AO736">
        <v>6.9999999999999999E-4</v>
      </c>
      <c r="AP736">
        <v>-1</v>
      </c>
      <c r="AQ736">
        <v>0.76</v>
      </c>
      <c r="AR736">
        <v>-1.87</v>
      </c>
      <c r="AS736">
        <v>12.93</v>
      </c>
      <c r="AT736">
        <v>5.64</v>
      </c>
      <c r="AU736">
        <v>0.77</v>
      </c>
      <c r="AV736">
        <v>0</v>
      </c>
      <c r="AW736">
        <v>1.25</v>
      </c>
      <c r="AX736">
        <v>61.2</v>
      </c>
      <c r="AY736" t="s">
        <v>120</v>
      </c>
      <c r="AZ736" t="s">
        <v>120</v>
      </c>
      <c r="BA736">
        <v>0.47</v>
      </c>
      <c r="BB736" t="s">
        <v>184</v>
      </c>
      <c r="BF736">
        <v>0.37</v>
      </c>
      <c r="BG736">
        <v>-1.5</v>
      </c>
      <c r="BH736">
        <v>-2.2400000000000002</v>
      </c>
      <c r="BI736">
        <v>0.38</v>
      </c>
      <c r="BJ736">
        <v>20210828</v>
      </c>
      <c r="BK736">
        <v>20091222</v>
      </c>
      <c r="BL736">
        <v>12.69</v>
      </c>
      <c r="BM736" t="s">
        <v>120</v>
      </c>
      <c r="BN736" t="s">
        <v>120</v>
      </c>
      <c r="BO736">
        <v>101.05</v>
      </c>
      <c r="BP736">
        <v>2.62</v>
      </c>
      <c r="BQ736">
        <v>28.97</v>
      </c>
      <c r="BR736">
        <v>1.06</v>
      </c>
      <c r="BS736">
        <v>70.28</v>
      </c>
      <c r="BT736">
        <v>79.510000000000005</v>
      </c>
      <c r="BU736">
        <v>10.51</v>
      </c>
      <c r="BV736">
        <v>2.97</v>
      </c>
      <c r="BW736">
        <v>56.57</v>
      </c>
      <c r="BX736">
        <v>9.17</v>
      </c>
      <c r="BY736">
        <v>0.37</v>
      </c>
      <c r="BZ736">
        <v>28.07</v>
      </c>
      <c r="CA736" t="s">
        <v>120</v>
      </c>
      <c r="CB736">
        <v>9.43</v>
      </c>
      <c r="CC736">
        <v>14.37</v>
      </c>
      <c r="CD736">
        <v>11.89</v>
      </c>
      <c r="CE736">
        <v>1.17</v>
      </c>
      <c r="CF736">
        <v>1.22</v>
      </c>
      <c r="CG736">
        <v>1.17</v>
      </c>
      <c r="CH736">
        <v>0.81</v>
      </c>
      <c r="CI736">
        <v>0.71</v>
      </c>
      <c r="CJ736">
        <v>-0.02</v>
      </c>
      <c r="CK736">
        <v>-0.23</v>
      </c>
      <c r="CL736">
        <v>4.49</v>
      </c>
      <c r="CM736">
        <v>-0.25</v>
      </c>
      <c r="CN736">
        <v>-1.18</v>
      </c>
      <c r="CO736">
        <v>42450</v>
      </c>
      <c r="CP736">
        <v>18301</v>
      </c>
      <c r="CQ736" t="s">
        <v>199</v>
      </c>
      <c r="CR736">
        <v>341.45</v>
      </c>
      <c r="CS736">
        <v>-20.78</v>
      </c>
      <c r="CT736">
        <v>1.19</v>
      </c>
      <c r="CU736">
        <v>-135.30000000000001</v>
      </c>
      <c r="CV736">
        <v>2.31</v>
      </c>
      <c r="CW736">
        <v>0</v>
      </c>
      <c r="CX736" t="s">
        <v>1064</v>
      </c>
      <c r="CY736">
        <v>2.21</v>
      </c>
      <c r="CZ736">
        <v>2.21</v>
      </c>
      <c r="DA736">
        <v>0.74</v>
      </c>
      <c r="DB736">
        <v>0.35</v>
      </c>
      <c r="DC736">
        <v>-0.02</v>
      </c>
      <c r="DD736">
        <v>28.67</v>
      </c>
      <c r="DE736" t="s">
        <v>2665</v>
      </c>
      <c r="DF736">
        <v>17.22</v>
      </c>
      <c r="DG736">
        <v>8.14</v>
      </c>
      <c r="DH736">
        <v>4.95</v>
      </c>
      <c r="DI736">
        <v>0.37</v>
      </c>
      <c r="DJ736">
        <v>1178</v>
      </c>
      <c r="DK736">
        <v>2325</v>
      </c>
      <c r="DL736" t="s">
        <v>120</v>
      </c>
      <c r="DM736" t="s">
        <v>120</v>
      </c>
      <c r="DN736" t="s">
        <v>120</v>
      </c>
    </row>
    <row r="737" spans="1:118">
      <c r="A737" t="str">
        <f>"002326"</f>
        <v>002326</v>
      </c>
      <c r="B737" t="s">
        <v>4437</v>
      </c>
      <c r="C737">
        <v>-7.1</v>
      </c>
      <c r="D737">
        <v>0.05</v>
      </c>
      <c r="E737">
        <v>-0.9</v>
      </c>
      <c r="F737">
        <v>8573</v>
      </c>
      <c r="G737" t="s">
        <v>4438</v>
      </c>
      <c r="H737">
        <v>432878.94</v>
      </c>
      <c r="I737">
        <v>2082.0500000000002</v>
      </c>
      <c r="J737" t="s">
        <v>120</v>
      </c>
      <c r="K737" t="s">
        <v>4439</v>
      </c>
      <c r="L737">
        <v>10.1</v>
      </c>
      <c r="M737">
        <v>62.8</v>
      </c>
      <c r="N737">
        <v>1.29</v>
      </c>
      <c r="O737">
        <v>0.57999999999999996</v>
      </c>
      <c r="P737">
        <v>67.989999999999995</v>
      </c>
      <c r="Q737">
        <v>-10</v>
      </c>
      <c r="R737">
        <v>60.84</v>
      </c>
      <c r="S737">
        <v>66.989999999999995</v>
      </c>
      <c r="T737">
        <v>680949</v>
      </c>
      <c r="U737">
        <v>62.8</v>
      </c>
      <c r="V737">
        <v>67.599999999999994</v>
      </c>
      <c r="W737">
        <v>288.82</v>
      </c>
      <c r="X737" t="s">
        <v>868</v>
      </c>
      <c r="Y737" t="s">
        <v>585</v>
      </c>
      <c r="Z737">
        <v>10.58</v>
      </c>
      <c r="AA737">
        <v>63.57</v>
      </c>
      <c r="AB737">
        <v>351424</v>
      </c>
      <c r="AC737">
        <v>329525</v>
      </c>
      <c r="AD737">
        <v>1.07</v>
      </c>
      <c r="AE737">
        <v>78</v>
      </c>
      <c r="AF737">
        <v>900</v>
      </c>
      <c r="AG737" t="s">
        <v>120</v>
      </c>
      <c r="AH737">
        <v>0.05</v>
      </c>
      <c r="AI737" t="s">
        <v>120</v>
      </c>
      <c r="AJ737">
        <v>6.74</v>
      </c>
      <c r="AK737" t="s">
        <v>4440</v>
      </c>
      <c r="AL737">
        <v>-5.19</v>
      </c>
      <c r="AM737">
        <v>4712</v>
      </c>
      <c r="AN737">
        <v>145</v>
      </c>
      <c r="AO737">
        <v>2.0999999999999999E-3</v>
      </c>
      <c r="AP737">
        <v>-1</v>
      </c>
      <c r="AQ737">
        <v>5.67</v>
      </c>
      <c r="AR737">
        <v>-3.37</v>
      </c>
      <c r="AS737">
        <v>59.55</v>
      </c>
      <c r="AT737">
        <v>264.7</v>
      </c>
      <c r="AU737">
        <v>469.87</v>
      </c>
      <c r="AV737">
        <v>15</v>
      </c>
      <c r="AW737">
        <v>11.46</v>
      </c>
      <c r="AX737">
        <v>67.8</v>
      </c>
      <c r="AY737">
        <v>13989.53</v>
      </c>
      <c r="AZ737">
        <v>493.78</v>
      </c>
      <c r="BA737">
        <v>1.7</v>
      </c>
      <c r="BB737" t="s">
        <v>184</v>
      </c>
      <c r="BF737">
        <v>-5.96</v>
      </c>
      <c r="BG737">
        <v>-6.25</v>
      </c>
      <c r="BH737">
        <v>-7.63</v>
      </c>
      <c r="BI737">
        <v>3.22</v>
      </c>
      <c r="BJ737">
        <v>20210813</v>
      </c>
      <c r="BK737">
        <v>20091222</v>
      </c>
      <c r="BL737">
        <v>8.77</v>
      </c>
      <c r="BM737" t="s">
        <v>120</v>
      </c>
      <c r="BN737" t="s">
        <v>120</v>
      </c>
      <c r="BO737">
        <v>80.959999999999994</v>
      </c>
      <c r="BP737">
        <v>62.79</v>
      </c>
      <c r="BQ737">
        <v>34.409999999999997</v>
      </c>
      <c r="BR737">
        <v>1.44</v>
      </c>
      <c r="BS737">
        <v>55.71</v>
      </c>
      <c r="BT737">
        <v>28.78</v>
      </c>
      <c r="BU737">
        <v>21.89</v>
      </c>
      <c r="BV737">
        <v>4.2699999999999996</v>
      </c>
      <c r="BW737">
        <v>33.61</v>
      </c>
      <c r="BX737">
        <v>5.52</v>
      </c>
      <c r="BY737">
        <v>9.2899999999999991</v>
      </c>
      <c r="BZ737">
        <v>6.62</v>
      </c>
      <c r="CA737" t="s">
        <v>120</v>
      </c>
      <c r="CB737">
        <v>8.74</v>
      </c>
      <c r="CC737">
        <v>19.760000000000002</v>
      </c>
      <c r="CD737">
        <v>13.51</v>
      </c>
      <c r="CE737">
        <v>1.6</v>
      </c>
      <c r="CF737">
        <v>0.27</v>
      </c>
      <c r="CG737">
        <v>1.61</v>
      </c>
      <c r="CH737">
        <v>1.1100000000000001</v>
      </c>
      <c r="CI737">
        <v>0.95</v>
      </c>
      <c r="CJ737">
        <v>-4.8</v>
      </c>
      <c r="CK737">
        <v>1.77</v>
      </c>
      <c r="CL737">
        <v>14.29</v>
      </c>
      <c r="CM737">
        <v>1.3</v>
      </c>
      <c r="CN737">
        <v>-1.1100000000000001</v>
      </c>
      <c r="CO737">
        <v>76399</v>
      </c>
      <c r="CP737">
        <v>7780</v>
      </c>
      <c r="CQ737" t="s">
        <v>4441</v>
      </c>
      <c r="CR737">
        <v>-54.85</v>
      </c>
      <c r="CS737">
        <v>24.54</v>
      </c>
      <c r="CT737">
        <v>16</v>
      </c>
      <c r="CU737">
        <v>423.16</v>
      </c>
      <c r="CV737">
        <v>27.86</v>
      </c>
      <c r="CW737">
        <v>0</v>
      </c>
      <c r="CX737" t="s">
        <v>1147</v>
      </c>
      <c r="CY737">
        <v>3.93</v>
      </c>
      <c r="CZ737">
        <v>0</v>
      </c>
      <c r="DA737">
        <v>1</v>
      </c>
      <c r="DB737">
        <v>1.63</v>
      </c>
      <c r="DC737">
        <v>0.15</v>
      </c>
      <c r="DD737">
        <v>42.51</v>
      </c>
      <c r="DE737" t="s">
        <v>1500</v>
      </c>
      <c r="DF737">
        <v>31.64</v>
      </c>
      <c r="DG737">
        <v>8.09</v>
      </c>
      <c r="DH737">
        <v>4.82</v>
      </c>
      <c r="DI737">
        <v>0.56999999999999995</v>
      </c>
      <c r="DJ737">
        <v>3138</v>
      </c>
      <c r="DK737">
        <v>2326</v>
      </c>
      <c r="DL737">
        <v>20210909</v>
      </c>
      <c r="DM737">
        <v>58.78</v>
      </c>
      <c r="DN737">
        <v>6.84</v>
      </c>
    </row>
    <row r="738" spans="1:118">
      <c r="A738" t="str">
        <f>"002327"</f>
        <v>002327</v>
      </c>
      <c r="B738" t="s">
        <v>4442</v>
      </c>
      <c r="C738">
        <v>0.48</v>
      </c>
      <c r="D738">
        <v>0</v>
      </c>
      <c r="E738">
        <v>-0.12</v>
      </c>
      <c r="F738">
        <v>56</v>
      </c>
      <c r="G738" t="s">
        <v>2722</v>
      </c>
      <c r="H738">
        <v>2558.65</v>
      </c>
      <c r="I738">
        <v>2.84</v>
      </c>
      <c r="J738" t="s">
        <v>120</v>
      </c>
      <c r="K738" t="s">
        <v>4443</v>
      </c>
      <c r="L738">
        <v>0.62</v>
      </c>
      <c r="M738">
        <v>8.4</v>
      </c>
      <c r="N738">
        <v>0.8</v>
      </c>
      <c r="O738">
        <v>3.35</v>
      </c>
      <c r="P738">
        <v>8.64</v>
      </c>
      <c r="Q738">
        <v>-0.36</v>
      </c>
      <c r="R738">
        <v>8.33</v>
      </c>
      <c r="S738">
        <v>8.35</v>
      </c>
      <c r="T738">
        <v>30193</v>
      </c>
      <c r="U738">
        <v>8.4</v>
      </c>
      <c r="V738">
        <v>8.36</v>
      </c>
      <c r="W738">
        <v>16.600000000000001</v>
      </c>
      <c r="X738" t="s">
        <v>1766</v>
      </c>
      <c r="Y738" t="s">
        <v>123</v>
      </c>
      <c r="Z738">
        <v>3.71</v>
      </c>
      <c r="AA738">
        <v>8.4700000000000006</v>
      </c>
      <c r="AB738">
        <v>14752</v>
      </c>
      <c r="AC738">
        <v>15441</v>
      </c>
      <c r="AD738">
        <v>0.96</v>
      </c>
      <c r="AE738">
        <v>376</v>
      </c>
      <c r="AF738">
        <v>24</v>
      </c>
      <c r="AG738" t="s">
        <v>120</v>
      </c>
      <c r="AH738">
        <v>0</v>
      </c>
      <c r="AI738" t="s">
        <v>120</v>
      </c>
      <c r="AJ738">
        <v>4.87</v>
      </c>
      <c r="AK738" t="s">
        <v>4444</v>
      </c>
      <c r="AL738">
        <v>2.39</v>
      </c>
      <c r="AM738">
        <v>1662</v>
      </c>
      <c r="AN738">
        <v>18</v>
      </c>
      <c r="AO738">
        <v>4.0000000000000002E-4</v>
      </c>
      <c r="AP738">
        <v>1</v>
      </c>
      <c r="AQ738">
        <v>-1.88</v>
      </c>
      <c r="AR738">
        <v>-1.98</v>
      </c>
      <c r="AS738">
        <v>11.41</v>
      </c>
      <c r="AT738">
        <v>9.52</v>
      </c>
      <c r="AU738">
        <v>17.32</v>
      </c>
      <c r="AV738">
        <v>0</v>
      </c>
      <c r="AW738">
        <v>0.8</v>
      </c>
      <c r="AX738">
        <v>45.58</v>
      </c>
      <c r="AY738">
        <v>12.41</v>
      </c>
      <c r="AZ738">
        <v>13.43</v>
      </c>
      <c r="BA738">
        <v>0.42</v>
      </c>
      <c r="BB738" t="s">
        <v>240</v>
      </c>
      <c r="BF738">
        <v>1.37</v>
      </c>
      <c r="BG738">
        <v>0.6</v>
      </c>
      <c r="BH738">
        <v>-2.78</v>
      </c>
      <c r="BI738">
        <v>0.84</v>
      </c>
      <c r="BJ738">
        <v>20210902</v>
      </c>
      <c r="BK738">
        <v>20091230</v>
      </c>
      <c r="BL738">
        <v>8.2899999999999991</v>
      </c>
      <c r="BM738" t="s">
        <v>120</v>
      </c>
      <c r="BN738" t="s">
        <v>120</v>
      </c>
      <c r="BO738">
        <v>44.02</v>
      </c>
      <c r="BP738">
        <v>8.39</v>
      </c>
      <c r="BQ738">
        <v>33.49</v>
      </c>
      <c r="BR738" t="s">
        <v>120</v>
      </c>
      <c r="BS738">
        <v>23.93</v>
      </c>
      <c r="BT738">
        <v>22.47</v>
      </c>
      <c r="BU738">
        <v>10.02</v>
      </c>
      <c r="BV738">
        <v>1.05</v>
      </c>
      <c r="BW738">
        <v>8.5</v>
      </c>
      <c r="BX738">
        <v>4.16</v>
      </c>
      <c r="BY738">
        <v>9.32</v>
      </c>
      <c r="BZ738">
        <v>1.1499999999999999</v>
      </c>
      <c r="CA738">
        <v>0.01</v>
      </c>
      <c r="CB738">
        <v>0.5</v>
      </c>
      <c r="CC738">
        <v>13.08</v>
      </c>
      <c r="CD738">
        <v>5.73</v>
      </c>
      <c r="CE738">
        <v>2.5299999999999998</v>
      </c>
      <c r="CF738">
        <v>0.22</v>
      </c>
      <c r="CG738">
        <v>2.63</v>
      </c>
      <c r="CH738">
        <v>2.1</v>
      </c>
      <c r="CI738">
        <v>2.1</v>
      </c>
      <c r="CJ738">
        <v>0.04</v>
      </c>
      <c r="CK738">
        <v>1.92</v>
      </c>
      <c r="CL738">
        <v>23.68</v>
      </c>
      <c r="CM738">
        <v>1.05</v>
      </c>
      <c r="CN738">
        <v>-0.18</v>
      </c>
      <c r="CO738">
        <v>24197</v>
      </c>
      <c r="CP738">
        <v>15626</v>
      </c>
      <c r="CQ738" t="s">
        <v>4445</v>
      </c>
      <c r="CR738">
        <v>25.37</v>
      </c>
      <c r="CS738">
        <v>18.91</v>
      </c>
      <c r="CT738">
        <v>2.0699999999999998</v>
      </c>
      <c r="CU738">
        <v>66.25</v>
      </c>
      <c r="CV738">
        <v>5.33</v>
      </c>
      <c r="CW738">
        <v>5.96</v>
      </c>
      <c r="CX738" t="s">
        <v>670</v>
      </c>
      <c r="CY738">
        <v>4.05</v>
      </c>
      <c r="CZ738">
        <v>4.05</v>
      </c>
      <c r="DA738">
        <v>0.06</v>
      </c>
      <c r="DB738">
        <v>2.85</v>
      </c>
      <c r="DC738">
        <v>0.13</v>
      </c>
      <c r="DD738">
        <v>76.069999999999993</v>
      </c>
      <c r="DE738" t="s">
        <v>4446</v>
      </c>
      <c r="DF738">
        <v>56.22</v>
      </c>
      <c r="DG738">
        <v>19.3</v>
      </c>
      <c r="DH738">
        <v>16.04</v>
      </c>
      <c r="DI738">
        <v>0.26</v>
      </c>
      <c r="DJ738">
        <v>4315</v>
      </c>
      <c r="DK738">
        <v>2327</v>
      </c>
      <c r="DL738" t="s">
        <v>120</v>
      </c>
      <c r="DM738" t="s">
        <v>120</v>
      </c>
      <c r="DN738" t="s">
        <v>120</v>
      </c>
    </row>
    <row r="739" spans="1:118">
      <c r="A739" t="str">
        <f>"002328"</f>
        <v>002328</v>
      </c>
      <c r="B739" t="s">
        <v>4447</v>
      </c>
      <c r="C739">
        <v>-3.85</v>
      </c>
      <c r="D739">
        <v>-0.18</v>
      </c>
      <c r="E739">
        <v>-0.37</v>
      </c>
      <c r="F739">
        <v>2554</v>
      </c>
      <c r="G739" t="s">
        <v>4448</v>
      </c>
      <c r="H739">
        <v>7015.78</v>
      </c>
      <c r="I739">
        <v>33.340000000000003</v>
      </c>
      <c r="J739" t="s">
        <v>120</v>
      </c>
      <c r="K739" t="s">
        <v>4449</v>
      </c>
      <c r="L739">
        <v>2.3199999999999998</v>
      </c>
      <c r="M739">
        <v>5.24</v>
      </c>
      <c r="N739">
        <v>1</v>
      </c>
      <c r="O739">
        <v>0.92</v>
      </c>
      <c r="P739">
        <v>5.5</v>
      </c>
      <c r="Q739">
        <v>-4.04</v>
      </c>
      <c r="R739">
        <v>5.23</v>
      </c>
      <c r="S739">
        <v>5.43</v>
      </c>
      <c r="T739">
        <v>130643</v>
      </c>
      <c r="U739">
        <v>5.25</v>
      </c>
      <c r="V739">
        <v>5.45</v>
      </c>
      <c r="W739">
        <v>24.94</v>
      </c>
      <c r="X739" t="s">
        <v>289</v>
      </c>
      <c r="Y739" t="s">
        <v>1510</v>
      </c>
      <c r="Z739">
        <v>4.95</v>
      </c>
      <c r="AA739">
        <v>5.37</v>
      </c>
      <c r="AB739">
        <v>79678</v>
      </c>
      <c r="AC739">
        <v>50965</v>
      </c>
      <c r="AD739">
        <v>1.56</v>
      </c>
      <c r="AE739">
        <v>535</v>
      </c>
      <c r="AF739">
        <v>284</v>
      </c>
      <c r="AG739" t="s">
        <v>120</v>
      </c>
      <c r="AH739">
        <v>0.01</v>
      </c>
      <c r="AI739" t="s">
        <v>120</v>
      </c>
      <c r="AJ739">
        <v>5.63</v>
      </c>
      <c r="AK739" t="s">
        <v>4450</v>
      </c>
      <c r="AL739">
        <v>-1.94</v>
      </c>
      <c r="AM739">
        <v>2640</v>
      </c>
      <c r="AN739">
        <v>49</v>
      </c>
      <c r="AO739">
        <v>8.9999999999999998E-4</v>
      </c>
      <c r="AP739">
        <v>-1</v>
      </c>
      <c r="AQ739">
        <v>1.3</v>
      </c>
      <c r="AR739">
        <v>-3.85</v>
      </c>
      <c r="AS739">
        <v>-8.5500000000000007</v>
      </c>
      <c r="AT739">
        <v>8.26</v>
      </c>
      <c r="AU739">
        <v>5.22</v>
      </c>
      <c r="AV739">
        <v>1</v>
      </c>
      <c r="AW739">
        <v>2.63</v>
      </c>
      <c r="AX739">
        <v>64.36</v>
      </c>
      <c r="AY739">
        <v>21.91</v>
      </c>
      <c r="AZ739">
        <v>29.08</v>
      </c>
      <c r="BA739">
        <v>0.53</v>
      </c>
      <c r="BB739" t="s">
        <v>168</v>
      </c>
      <c r="BF739">
        <v>-1.46</v>
      </c>
      <c r="BG739">
        <v>-3.5</v>
      </c>
      <c r="BH739">
        <v>-4.7300000000000004</v>
      </c>
      <c r="BI739">
        <v>0.19</v>
      </c>
      <c r="BJ739">
        <v>20210901</v>
      </c>
      <c r="BK739">
        <v>20091230</v>
      </c>
      <c r="BL739">
        <v>7.72</v>
      </c>
      <c r="BM739" t="s">
        <v>120</v>
      </c>
      <c r="BN739" t="s">
        <v>120</v>
      </c>
      <c r="BO739">
        <v>46.09</v>
      </c>
      <c r="BP739">
        <v>5.24</v>
      </c>
      <c r="BQ739">
        <v>25.9</v>
      </c>
      <c r="BR739">
        <v>4.8899999999999997</v>
      </c>
      <c r="BS739">
        <v>33.21</v>
      </c>
      <c r="BT739">
        <v>22.94</v>
      </c>
      <c r="BU739">
        <v>10.66</v>
      </c>
      <c r="BV739">
        <v>1.34</v>
      </c>
      <c r="BW739">
        <v>14.29</v>
      </c>
      <c r="BX739">
        <v>8.68</v>
      </c>
      <c r="BY739">
        <v>6.57</v>
      </c>
      <c r="BZ739">
        <v>3.72</v>
      </c>
      <c r="CA739">
        <v>0</v>
      </c>
      <c r="CB739">
        <v>9.15</v>
      </c>
      <c r="CC739">
        <v>21.59</v>
      </c>
      <c r="CD739">
        <v>19.88</v>
      </c>
      <c r="CE739">
        <v>1.29</v>
      </c>
      <c r="CF739">
        <v>0.03</v>
      </c>
      <c r="CG739">
        <v>1.28</v>
      </c>
      <c r="CH739">
        <v>0.97</v>
      </c>
      <c r="CI739">
        <v>0.81</v>
      </c>
      <c r="CJ739">
        <v>-0.21</v>
      </c>
      <c r="CK739">
        <v>0.42</v>
      </c>
      <c r="CL739">
        <v>8.3000000000000007</v>
      </c>
      <c r="CM739">
        <v>1.32</v>
      </c>
      <c r="CN739">
        <v>-0.84</v>
      </c>
      <c r="CO739">
        <v>40300</v>
      </c>
      <c r="CP739">
        <v>12325</v>
      </c>
      <c r="CQ739" t="s">
        <v>4451</v>
      </c>
      <c r="CR739">
        <v>140.13999999999999</v>
      </c>
      <c r="CS739">
        <v>49.51</v>
      </c>
      <c r="CT739">
        <v>1.56</v>
      </c>
      <c r="CU739">
        <v>30.75</v>
      </c>
      <c r="CV739">
        <v>1.87</v>
      </c>
      <c r="CW739">
        <v>2.38</v>
      </c>
      <c r="CX739" t="s">
        <v>1147</v>
      </c>
      <c r="CY739">
        <v>3.36</v>
      </c>
      <c r="CZ739">
        <v>0</v>
      </c>
      <c r="DA739">
        <v>1.19</v>
      </c>
      <c r="DB739">
        <v>1.08</v>
      </c>
      <c r="DC739">
        <v>0.17</v>
      </c>
      <c r="DD739">
        <v>56.19</v>
      </c>
      <c r="DE739" t="s">
        <v>3247</v>
      </c>
      <c r="DF739">
        <v>7.96</v>
      </c>
      <c r="DG739">
        <v>5.99</v>
      </c>
      <c r="DH739">
        <v>3.76</v>
      </c>
      <c r="DI739">
        <v>0.25</v>
      </c>
      <c r="DJ739">
        <v>1102</v>
      </c>
      <c r="DK739">
        <v>2328</v>
      </c>
      <c r="DL739" t="s">
        <v>120</v>
      </c>
      <c r="DM739" t="s">
        <v>120</v>
      </c>
      <c r="DN739" t="s">
        <v>120</v>
      </c>
    </row>
    <row r="740" spans="1:118">
      <c r="A740" t="str">
        <f>"002329"</f>
        <v>002329</v>
      </c>
      <c r="B740" t="s">
        <v>4452</v>
      </c>
      <c r="C740">
        <v>-1.23</v>
      </c>
      <c r="D740">
        <v>-0.2</v>
      </c>
      <c r="E740">
        <v>-0.62</v>
      </c>
      <c r="F740">
        <v>426</v>
      </c>
      <c r="G740" t="s">
        <v>4453</v>
      </c>
      <c r="H740">
        <v>4494.0600000000004</v>
      </c>
      <c r="I740">
        <v>16.329999999999998</v>
      </c>
      <c r="J740" t="s">
        <v>120</v>
      </c>
      <c r="K740" t="s">
        <v>1764</v>
      </c>
      <c r="L740">
        <v>1.74</v>
      </c>
      <c r="M740">
        <v>4.8</v>
      </c>
      <c r="N740">
        <v>0.99</v>
      </c>
      <c r="O740">
        <v>1.65</v>
      </c>
      <c r="P740">
        <v>4.9400000000000004</v>
      </c>
      <c r="Q740">
        <v>-1.23</v>
      </c>
      <c r="R740">
        <v>4.8</v>
      </c>
      <c r="S740">
        <v>4.83</v>
      </c>
      <c r="T740">
        <v>92611</v>
      </c>
      <c r="U740">
        <v>4.8099999999999996</v>
      </c>
      <c r="V740">
        <v>4.8600000000000003</v>
      </c>
      <c r="W740">
        <v>191.38</v>
      </c>
      <c r="X740" t="s">
        <v>4454</v>
      </c>
      <c r="Y740" t="s">
        <v>945</v>
      </c>
      <c r="Z740">
        <v>2.88</v>
      </c>
      <c r="AA740">
        <v>4.8499999999999996</v>
      </c>
      <c r="AB740">
        <v>56811</v>
      </c>
      <c r="AC740">
        <v>35800</v>
      </c>
      <c r="AD740">
        <v>1.59</v>
      </c>
      <c r="AE740">
        <v>2322</v>
      </c>
      <c r="AF740">
        <v>64</v>
      </c>
      <c r="AG740" t="s">
        <v>120</v>
      </c>
      <c r="AH740">
        <v>0.01</v>
      </c>
      <c r="AI740" t="s">
        <v>120</v>
      </c>
      <c r="AJ740">
        <v>5.33</v>
      </c>
      <c r="AK740" t="s">
        <v>4455</v>
      </c>
      <c r="AL740">
        <v>0.68</v>
      </c>
      <c r="AM740">
        <v>1812</v>
      </c>
      <c r="AN740">
        <v>51</v>
      </c>
      <c r="AO740">
        <v>1E-3</v>
      </c>
      <c r="AP740">
        <v>-1</v>
      </c>
      <c r="AQ740">
        <v>0.41</v>
      </c>
      <c r="AR740">
        <v>-3.43</v>
      </c>
      <c r="AS740">
        <v>4.12</v>
      </c>
      <c r="AT740">
        <v>-10.11</v>
      </c>
      <c r="AU740">
        <v>5.73</v>
      </c>
      <c r="AV740">
        <v>2</v>
      </c>
      <c r="AW740">
        <v>1.98</v>
      </c>
      <c r="AX740">
        <v>55.8</v>
      </c>
      <c r="AY740" t="s">
        <v>120</v>
      </c>
      <c r="AZ740" t="s">
        <v>120</v>
      </c>
      <c r="BA740">
        <v>0.47</v>
      </c>
      <c r="BB740" t="s">
        <v>125</v>
      </c>
      <c r="BF740">
        <v>-0.15</v>
      </c>
      <c r="BG740">
        <v>-0.62</v>
      </c>
      <c r="BH740">
        <v>-2.83</v>
      </c>
      <c r="BI740">
        <v>0</v>
      </c>
      <c r="BJ740">
        <v>20210825</v>
      </c>
      <c r="BK740">
        <v>20100106</v>
      </c>
      <c r="BL740">
        <v>8.3800000000000008</v>
      </c>
      <c r="BM740" t="s">
        <v>120</v>
      </c>
      <c r="BN740" t="s">
        <v>120</v>
      </c>
      <c r="BO740">
        <v>55.34</v>
      </c>
      <c r="BP740">
        <v>4.8</v>
      </c>
      <c r="BQ740">
        <v>19.64</v>
      </c>
      <c r="BR740">
        <v>2.56</v>
      </c>
      <c r="BS740">
        <v>59.89</v>
      </c>
      <c r="BT740">
        <v>21.96</v>
      </c>
      <c r="BU740">
        <v>8.5299999999999994</v>
      </c>
      <c r="BV740">
        <v>2.94</v>
      </c>
      <c r="BW740">
        <v>22.52</v>
      </c>
      <c r="BX740">
        <v>6.8</v>
      </c>
      <c r="BY740">
        <v>3.08</v>
      </c>
      <c r="BZ740">
        <v>5.17</v>
      </c>
      <c r="CA740" t="s">
        <v>120</v>
      </c>
      <c r="CB740">
        <v>10.97</v>
      </c>
      <c r="CC740">
        <v>13.07</v>
      </c>
      <c r="CD740">
        <v>10.210000000000001</v>
      </c>
      <c r="CE740">
        <v>0.3</v>
      </c>
      <c r="CF740">
        <v>-0.04</v>
      </c>
      <c r="CG740">
        <v>0.31</v>
      </c>
      <c r="CH740">
        <v>0.28999999999999998</v>
      </c>
      <c r="CI740">
        <v>0.11</v>
      </c>
      <c r="CJ740">
        <v>-0.06</v>
      </c>
      <c r="CK740">
        <v>-0.09</v>
      </c>
      <c r="CL740">
        <v>-0.3</v>
      </c>
      <c r="CM740">
        <v>0.06</v>
      </c>
      <c r="CN740">
        <v>-4.6399999999999997</v>
      </c>
      <c r="CO740">
        <v>49894</v>
      </c>
      <c r="CP740">
        <v>9367</v>
      </c>
      <c r="CQ740" t="s">
        <v>3044</v>
      </c>
      <c r="CR740">
        <v>1232.1300000000001</v>
      </c>
      <c r="CS740">
        <v>28.88</v>
      </c>
      <c r="CT740">
        <v>2.0499999999999998</v>
      </c>
      <c r="CU740">
        <v>716.62</v>
      </c>
      <c r="CV740">
        <v>3.08</v>
      </c>
      <c r="CW740">
        <v>0</v>
      </c>
      <c r="CX740" t="s">
        <v>4456</v>
      </c>
      <c r="CY740">
        <v>2.34</v>
      </c>
      <c r="CZ740">
        <v>0</v>
      </c>
      <c r="DA740">
        <v>1.31</v>
      </c>
      <c r="DB740">
        <v>-0.04</v>
      </c>
      <c r="DC740">
        <v>0.01</v>
      </c>
      <c r="DD740">
        <v>35.479999999999997</v>
      </c>
      <c r="DE740" t="s">
        <v>4457</v>
      </c>
      <c r="DF740">
        <v>21.89</v>
      </c>
      <c r="DG740">
        <v>2.27</v>
      </c>
      <c r="DH740">
        <v>0.8</v>
      </c>
      <c r="DI740">
        <v>0.24</v>
      </c>
      <c r="DJ740">
        <v>2348</v>
      </c>
      <c r="DK740">
        <v>2329</v>
      </c>
      <c r="DL740" t="s">
        <v>120</v>
      </c>
      <c r="DM740" t="s">
        <v>120</v>
      </c>
      <c r="DN740" t="s">
        <v>120</v>
      </c>
    </row>
    <row r="741" spans="1:118">
      <c r="A741" t="str">
        <f>"002330"</f>
        <v>002330</v>
      </c>
      <c r="B741" t="s">
        <v>4458</v>
      </c>
      <c r="C741">
        <v>1.46</v>
      </c>
      <c r="D741">
        <v>0</v>
      </c>
      <c r="E741">
        <v>-0.37</v>
      </c>
      <c r="F741">
        <v>654</v>
      </c>
      <c r="G741" t="s">
        <v>4459</v>
      </c>
      <c r="H741">
        <v>2523.37</v>
      </c>
      <c r="I741">
        <v>0.82</v>
      </c>
      <c r="J741" t="s">
        <v>120</v>
      </c>
      <c r="K741" t="s">
        <v>915</v>
      </c>
      <c r="L741">
        <v>0.91</v>
      </c>
      <c r="M741">
        <v>5.55</v>
      </c>
      <c r="N741">
        <v>1.68</v>
      </c>
      <c r="O741">
        <v>2.0099999999999998</v>
      </c>
      <c r="P741">
        <v>5.58</v>
      </c>
      <c r="Q741">
        <v>-0.73</v>
      </c>
      <c r="R741">
        <v>5.43</v>
      </c>
      <c r="S741">
        <v>5.45</v>
      </c>
      <c r="T741">
        <v>45588</v>
      </c>
      <c r="U741">
        <v>5.55</v>
      </c>
      <c r="V741">
        <v>5.47</v>
      </c>
      <c r="W741">
        <v>63.8</v>
      </c>
      <c r="X741" t="s">
        <v>847</v>
      </c>
      <c r="Y741" t="s">
        <v>638</v>
      </c>
      <c r="Z741">
        <v>2.74</v>
      </c>
      <c r="AA741">
        <v>5.54</v>
      </c>
      <c r="AB741">
        <v>20827</v>
      </c>
      <c r="AC741">
        <v>24761</v>
      </c>
      <c r="AD741">
        <v>0.84</v>
      </c>
      <c r="AE741">
        <v>561</v>
      </c>
      <c r="AF741">
        <v>61</v>
      </c>
      <c r="AG741" t="s">
        <v>120</v>
      </c>
      <c r="AH741">
        <v>0</v>
      </c>
      <c r="AI741" t="s">
        <v>120</v>
      </c>
      <c r="AJ741">
        <v>5.0199999999999996</v>
      </c>
      <c r="AK741" t="s">
        <v>4460</v>
      </c>
      <c r="AL741">
        <v>3.38</v>
      </c>
      <c r="AM741">
        <v>1163</v>
      </c>
      <c r="AN741">
        <v>39</v>
      </c>
      <c r="AO741">
        <v>8.0000000000000004E-4</v>
      </c>
      <c r="AP741">
        <v>1</v>
      </c>
      <c r="AQ741">
        <v>-0.91</v>
      </c>
      <c r="AR741">
        <v>1.27</v>
      </c>
      <c r="AS741">
        <v>3.35</v>
      </c>
      <c r="AT741">
        <v>-6.25</v>
      </c>
      <c r="AU741">
        <v>-17.170000000000002</v>
      </c>
      <c r="AV741">
        <v>1</v>
      </c>
      <c r="AW741">
        <v>2.92</v>
      </c>
      <c r="AX741">
        <v>30.92</v>
      </c>
      <c r="AY741">
        <v>66.67</v>
      </c>
      <c r="AZ741">
        <v>94.78</v>
      </c>
      <c r="BA741">
        <v>0.33</v>
      </c>
      <c r="BB741" t="s">
        <v>125</v>
      </c>
      <c r="BF741">
        <v>1.19</v>
      </c>
      <c r="BG741">
        <v>1.83</v>
      </c>
      <c r="BH741">
        <v>-0.54</v>
      </c>
      <c r="BI741">
        <v>2.21</v>
      </c>
      <c r="BJ741">
        <v>20210821</v>
      </c>
      <c r="BK741">
        <v>20100106</v>
      </c>
      <c r="BL741">
        <v>5.04</v>
      </c>
      <c r="BM741" t="s">
        <v>120</v>
      </c>
      <c r="BN741" t="s">
        <v>120</v>
      </c>
      <c r="BO741">
        <v>21.43</v>
      </c>
      <c r="BP741">
        <v>5.54</v>
      </c>
      <c r="BQ741">
        <v>13.79</v>
      </c>
      <c r="BR741">
        <v>0.1</v>
      </c>
      <c r="BS741">
        <v>35.21</v>
      </c>
      <c r="BT741">
        <v>9.84</v>
      </c>
      <c r="BU741">
        <v>7.32</v>
      </c>
      <c r="BV741">
        <v>2.17</v>
      </c>
      <c r="BW741">
        <v>7.25</v>
      </c>
      <c r="BX741">
        <v>2.83</v>
      </c>
      <c r="BY741">
        <v>1.99</v>
      </c>
      <c r="BZ741">
        <v>1.27</v>
      </c>
      <c r="CA741" t="s">
        <v>120</v>
      </c>
      <c r="CB741">
        <v>4.92</v>
      </c>
      <c r="CC741">
        <v>16.04</v>
      </c>
      <c r="CD741">
        <v>14.74</v>
      </c>
      <c r="CE741">
        <v>0.26</v>
      </c>
      <c r="CF741">
        <v>0</v>
      </c>
      <c r="CG741">
        <v>0.26</v>
      </c>
      <c r="CH741">
        <v>0.23</v>
      </c>
      <c r="CI741">
        <v>0.22</v>
      </c>
      <c r="CJ741">
        <v>0.08</v>
      </c>
      <c r="CK741">
        <v>0.2</v>
      </c>
      <c r="CL741">
        <v>3.59</v>
      </c>
      <c r="CM741">
        <v>-0.64</v>
      </c>
      <c r="CN741">
        <v>-0.46</v>
      </c>
      <c r="CO741">
        <v>29403</v>
      </c>
      <c r="CP741">
        <v>5303</v>
      </c>
      <c r="CQ741" t="s">
        <v>4461</v>
      </c>
      <c r="CR741">
        <v>126.93</v>
      </c>
      <c r="CS741">
        <v>-10.28</v>
      </c>
      <c r="CT741">
        <v>2.0299999999999998</v>
      </c>
      <c r="CU741">
        <v>-43.64</v>
      </c>
      <c r="CV741">
        <v>1.75</v>
      </c>
      <c r="CW741">
        <v>0.18</v>
      </c>
      <c r="CX741" t="s">
        <v>2831</v>
      </c>
      <c r="CY741">
        <v>2.73</v>
      </c>
      <c r="CZ741">
        <v>0</v>
      </c>
      <c r="DA741">
        <v>0.98</v>
      </c>
      <c r="DB741">
        <v>0.71</v>
      </c>
      <c r="DC741">
        <v>-0.13</v>
      </c>
      <c r="DD741">
        <v>64.34</v>
      </c>
      <c r="DE741" t="s">
        <v>179</v>
      </c>
      <c r="DF741">
        <v>8.09</v>
      </c>
      <c r="DG741">
        <v>1.59</v>
      </c>
      <c r="DH741">
        <v>1.37</v>
      </c>
      <c r="DI741">
        <v>0.08</v>
      </c>
      <c r="DJ741">
        <v>1884</v>
      </c>
      <c r="DK741">
        <v>2330</v>
      </c>
      <c r="DL741" t="s">
        <v>120</v>
      </c>
      <c r="DM741" t="s">
        <v>120</v>
      </c>
      <c r="DN741" t="s">
        <v>120</v>
      </c>
    </row>
    <row r="742" spans="1:118">
      <c r="A742" t="str">
        <f>"002331"</f>
        <v>002331</v>
      </c>
      <c r="B742" t="s">
        <v>4462</v>
      </c>
      <c r="C742">
        <v>-0.2</v>
      </c>
      <c r="D742">
        <v>0</v>
      </c>
      <c r="E742">
        <v>0</v>
      </c>
      <c r="F742">
        <v>117</v>
      </c>
      <c r="G742" t="s">
        <v>4463</v>
      </c>
      <c r="H742">
        <v>2497.9299999999998</v>
      </c>
      <c r="I742">
        <v>1.47</v>
      </c>
      <c r="J742" t="s">
        <v>120</v>
      </c>
      <c r="K742" t="s">
        <v>4464</v>
      </c>
      <c r="L742">
        <v>0.66</v>
      </c>
      <c r="M742">
        <v>9.7799999999999994</v>
      </c>
      <c r="N742">
        <v>0.71</v>
      </c>
      <c r="O742">
        <v>2.35</v>
      </c>
      <c r="P742">
        <v>10.029999999999999</v>
      </c>
      <c r="Q742">
        <v>-0.41</v>
      </c>
      <c r="R742">
        <v>9.76</v>
      </c>
      <c r="S742">
        <v>9.8000000000000007</v>
      </c>
      <c r="T742">
        <v>25303</v>
      </c>
      <c r="U742">
        <v>9.7899999999999991</v>
      </c>
      <c r="V742">
        <v>9.8000000000000007</v>
      </c>
      <c r="W742">
        <v>312.58999999999997</v>
      </c>
      <c r="X742" t="s">
        <v>141</v>
      </c>
      <c r="Y742" t="s">
        <v>570</v>
      </c>
      <c r="Z742">
        <v>2.76</v>
      </c>
      <c r="AA742">
        <v>9.8699999999999992</v>
      </c>
      <c r="AB742">
        <v>12706</v>
      </c>
      <c r="AC742">
        <v>12597</v>
      </c>
      <c r="AD742">
        <v>1.01</v>
      </c>
      <c r="AE742">
        <v>675</v>
      </c>
      <c r="AF742">
        <v>23</v>
      </c>
      <c r="AG742" t="s">
        <v>120</v>
      </c>
      <c r="AH742">
        <v>0</v>
      </c>
      <c r="AI742" t="s">
        <v>120</v>
      </c>
      <c r="AJ742">
        <v>3.83</v>
      </c>
      <c r="AK742" t="s">
        <v>4465</v>
      </c>
      <c r="AL742">
        <v>1.71</v>
      </c>
      <c r="AM742">
        <v>956</v>
      </c>
      <c r="AN742">
        <v>26</v>
      </c>
      <c r="AO742">
        <v>6.9999999999999999E-4</v>
      </c>
      <c r="AP742">
        <v>-4</v>
      </c>
      <c r="AQ742">
        <v>-0.31</v>
      </c>
      <c r="AR742">
        <v>-1.52</v>
      </c>
      <c r="AS742">
        <v>-7.03</v>
      </c>
      <c r="AT742">
        <v>-23.72</v>
      </c>
      <c r="AU742">
        <v>-13.68</v>
      </c>
      <c r="AV742">
        <v>14</v>
      </c>
      <c r="AW742">
        <v>1.1399999999999999</v>
      </c>
      <c r="AX742">
        <v>53.95</v>
      </c>
      <c r="AY742" t="s">
        <v>120</v>
      </c>
      <c r="AZ742" t="s">
        <v>120</v>
      </c>
      <c r="BA742">
        <v>0.15</v>
      </c>
      <c r="BB742" t="s">
        <v>240</v>
      </c>
      <c r="BF742">
        <v>0.74</v>
      </c>
      <c r="BG742">
        <v>-0.2</v>
      </c>
      <c r="BH742">
        <v>-2.4900000000000002</v>
      </c>
      <c r="BI742">
        <v>0.2</v>
      </c>
      <c r="BJ742">
        <v>20210901</v>
      </c>
      <c r="BK742">
        <v>20100106</v>
      </c>
      <c r="BL742">
        <v>4.12</v>
      </c>
      <c r="BM742" t="s">
        <v>120</v>
      </c>
      <c r="BN742" t="s">
        <v>120</v>
      </c>
      <c r="BO742">
        <v>26.3</v>
      </c>
      <c r="BP742">
        <v>9.7799999999999994</v>
      </c>
      <c r="BQ742">
        <v>19.579999999999998</v>
      </c>
      <c r="BR742">
        <v>0.84</v>
      </c>
      <c r="BS742">
        <v>22.35</v>
      </c>
      <c r="BT742">
        <v>19.28</v>
      </c>
      <c r="BU742">
        <v>2.42</v>
      </c>
      <c r="BV742">
        <v>0.87</v>
      </c>
      <c r="BW742">
        <v>5.85</v>
      </c>
      <c r="BX742">
        <v>6.22</v>
      </c>
      <c r="BY742">
        <v>3.68</v>
      </c>
      <c r="BZ742">
        <v>5.84</v>
      </c>
      <c r="CA742" t="s">
        <v>120</v>
      </c>
      <c r="CB742">
        <v>10.47</v>
      </c>
      <c r="CC742">
        <v>3.61</v>
      </c>
      <c r="CD742">
        <v>2.5099999999999998</v>
      </c>
      <c r="CE742">
        <v>0.13</v>
      </c>
      <c r="CF742">
        <v>0</v>
      </c>
      <c r="CG742">
        <v>0.13</v>
      </c>
      <c r="CH742">
        <v>0.1</v>
      </c>
      <c r="CI742">
        <v>0.06</v>
      </c>
      <c r="CJ742">
        <v>-0.02</v>
      </c>
      <c r="CK742">
        <v>0.03</v>
      </c>
      <c r="CL742">
        <v>4.42</v>
      </c>
      <c r="CM742">
        <v>-2.5</v>
      </c>
      <c r="CN742">
        <v>-2.48</v>
      </c>
      <c r="CO742">
        <v>24799</v>
      </c>
      <c r="CP742">
        <v>8962</v>
      </c>
      <c r="CQ742" t="s">
        <v>4466</v>
      </c>
      <c r="CR742">
        <v>-69.81</v>
      </c>
      <c r="CS742">
        <v>-40.130000000000003</v>
      </c>
      <c r="CT742">
        <v>2.06</v>
      </c>
      <c r="CU742">
        <v>-16.11</v>
      </c>
      <c r="CV742">
        <v>11.15</v>
      </c>
      <c r="CW742">
        <v>0</v>
      </c>
      <c r="CX742" t="s">
        <v>3900</v>
      </c>
      <c r="CY742">
        <v>4.75</v>
      </c>
      <c r="CZ742">
        <v>0</v>
      </c>
      <c r="DA742">
        <v>2.54</v>
      </c>
      <c r="DB742">
        <v>1.07</v>
      </c>
      <c r="DC742">
        <v>-0.61</v>
      </c>
      <c r="DD742">
        <v>74.459999999999994</v>
      </c>
      <c r="DE742" t="s">
        <v>4467</v>
      </c>
      <c r="DF742">
        <v>30.61</v>
      </c>
      <c r="DG742">
        <v>3.48</v>
      </c>
      <c r="DH742">
        <v>1.78</v>
      </c>
      <c r="DI742">
        <v>0.28999999999999998</v>
      </c>
      <c r="DJ742">
        <v>1456</v>
      </c>
      <c r="DK742">
        <v>2331</v>
      </c>
      <c r="DL742" t="s">
        <v>120</v>
      </c>
      <c r="DM742" t="s">
        <v>120</v>
      </c>
      <c r="DN742" t="s">
        <v>120</v>
      </c>
    </row>
    <row r="743" spans="1:118">
      <c r="A743" t="str">
        <f>"002332"</f>
        <v>002332</v>
      </c>
      <c r="B743" t="s">
        <v>4468</v>
      </c>
      <c r="C743">
        <v>-3.09</v>
      </c>
      <c r="D743">
        <v>0</v>
      </c>
      <c r="E743">
        <v>-0.53</v>
      </c>
      <c r="F743">
        <v>284</v>
      </c>
      <c r="G743" t="s">
        <v>4469</v>
      </c>
      <c r="H743">
        <v>6185.77</v>
      </c>
      <c r="I743">
        <v>7.2</v>
      </c>
      <c r="J743" t="s">
        <v>120</v>
      </c>
      <c r="K743" t="s">
        <v>4470</v>
      </c>
      <c r="L743">
        <v>0.57999999999999996</v>
      </c>
      <c r="M743">
        <v>10.96</v>
      </c>
      <c r="N743">
        <v>0.75</v>
      </c>
      <c r="O743">
        <v>0.09</v>
      </c>
      <c r="P743">
        <v>11.32</v>
      </c>
      <c r="Q743">
        <v>-3.63</v>
      </c>
      <c r="R743">
        <v>10.9</v>
      </c>
      <c r="S743">
        <v>11.25</v>
      </c>
      <c r="T743">
        <v>55709</v>
      </c>
      <c r="U743">
        <v>10.97</v>
      </c>
      <c r="V743">
        <v>11.31</v>
      </c>
      <c r="W743">
        <v>19.78</v>
      </c>
      <c r="X743" t="s">
        <v>666</v>
      </c>
      <c r="Y743" t="s">
        <v>585</v>
      </c>
      <c r="Z743">
        <v>3.71</v>
      </c>
      <c r="AA743">
        <v>11.1</v>
      </c>
      <c r="AB743">
        <v>37573</v>
      </c>
      <c r="AC743">
        <v>18136</v>
      </c>
      <c r="AD743">
        <v>2.0699999999999998</v>
      </c>
      <c r="AE743">
        <v>336</v>
      </c>
      <c r="AF743">
        <v>33</v>
      </c>
      <c r="AG743" t="s">
        <v>120</v>
      </c>
      <c r="AH743">
        <v>0</v>
      </c>
      <c r="AI743" t="s">
        <v>120</v>
      </c>
      <c r="AJ743">
        <v>9.6199999999999992</v>
      </c>
      <c r="AK743" t="s">
        <v>4471</v>
      </c>
      <c r="AL743">
        <v>-1.18</v>
      </c>
      <c r="AM743">
        <v>1910</v>
      </c>
      <c r="AN743">
        <v>29</v>
      </c>
      <c r="AO743">
        <v>2.9999999999999997E-4</v>
      </c>
      <c r="AP743">
        <v>-1</v>
      </c>
      <c r="AQ743">
        <v>1.98</v>
      </c>
      <c r="AR743">
        <v>-2.41</v>
      </c>
      <c r="AS743">
        <v>-10.46</v>
      </c>
      <c r="AT743">
        <v>-12.67</v>
      </c>
      <c r="AU743">
        <v>-17.03</v>
      </c>
      <c r="AV743">
        <v>0</v>
      </c>
      <c r="AW743">
        <v>0.81</v>
      </c>
      <c r="AX743">
        <v>69.260000000000005</v>
      </c>
      <c r="AY743">
        <v>19.52</v>
      </c>
      <c r="AZ743">
        <v>22.18</v>
      </c>
      <c r="BA743">
        <v>0.43</v>
      </c>
      <c r="BB743" t="s">
        <v>143</v>
      </c>
      <c r="BF743">
        <v>-1.82</v>
      </c>
      <c r="BG743">
        <v>-2.58</v>
      </c>
      <c r="BH743">
        <v>-3.18</v>
      </c>
      <c r="BI743">
        <v>0.55000000000000004</v>
      </c>
      <c r="BJ743">
        <v>20210904</v>
      </c>
      <c r="BK743">
        <v>20100112</v>
      </c>
      <c r="BL743">
        <v>9.89</v>
      </c>
      <c r="BM743" t="s">
        <v>120</v>
      </c>
      <c r="BN743" t="s">
        <v>120</v>
      </c>
      <c r="BO743">
        <v>68.88</v>
      </c>
      <c r="BP743">
        <v>10.96</v>
      </c>
      <c r="BQ743">
        <v>45.49</v>
      </c>
      <c r="BR743">
        <v>1.1599999999999999</v>
      </c>
      <c r="BS743">
        <v>32.26</v>
      </c>
      <c r="BT743">
        <v>37.99</v>
      </c>
      <c r="BU743">
        <v>16.16</v>
      </c>
      <c r="BV743">
        <v>1.91</v>
      </c>
      <c r="BW743">
        <v>17.170000000000002</v>
      </c>
      <c r="BX743">
        <v>12.91</v>
      </c>
      <c r="BY743">
        <v>8.2100000000000009</v>
      </c>
      <c r="BZ743">
        <v>7.75</v>
      </c>
      <c r="CA743" t="s">
        <v>120</v>
      </c>
      <c r="CB743">
        <v>18.010000000000002</v>
      </c>
      <c r="CC743">
        <v>21.43</v>
      </c>
      <c r="CD743">
        <v>8.9499999999999993</v>
      </c>
      <c r="CE743">
        <v>3.38</v>
      </c>
      <c r="CF743">
        <v>0.09</v>
      </c>
      <c r="CG743">
        <v>3.35</v>
      </c>
      <c r="CH743">
        <v>2.75</v>
      </c>
      <c r="CI743">
        <v>2.74</v>
      </c>
      <c r="CJ743">
        <v>-0.35</v>
      </c>
      <c r="CK743">
        <v>2.71</v>
      </c>
      <c r="CL743">
        <v>14.86</v>
      </c>
      <c r="CM743">
        <v>2.34</v>
      </c>
      <c r="CN743">
        <v>-0.96</v>
      </c>
      <c r="CO743">
        <v>41000</v>
      </c>
      <c r="CP743">
        <v>16710</v>
      </c>
      <c r="CQ743" t="s">
        <v>4472</v>
      </c>
      <c r="CR743">
        <v>33.47</v>
      </c>
      <c r="CS743">
        <v>21.03</v>
      </c>
      <c r="CT743">
        <v>2.38</v>
      </c>
      <c r="CU743">
        <v>46.31</v>
      </c>
      <c r="CV743">
        <v>5.0599999999999996</v>
      </c>
      <c r="CW743">
        <v>1.33</v>
      </c>
      <c r="CX743" t="s">
        <v>1054</v>
      </c>
      <c r="CY743">
        <v>4.5999999999999996</v>
      </c>
      <c r="CZ743">
        <v>0</v>
      </c>
      <c r="DA743">
        <v>1.82</v>
      </c>
      <c r="DB743">
        <v>1.5</v>
      </c>
      <c r="DC743">
        <v>0.24</v>
      </c>
      <c r="DD743">
        <v>66.05</v>
      </c>
      <c r="DE743" t="s">
        <v>3849</v>
      </c>
      <c r="DF743">
        <v>58.25</v>
      </c>
      <c r="DG743">
        <v>15.79</v>
      </c>
      <c r="DH743">
        <v>12.79</v>
      </c>
      <c r="DI743">
        <v>0.99</v>
      </c>
      <c r="DJ743">
        <v>3659</v>
      </c>
      <c r="DK743">
        <v>2332</v>
      </c>
      <c r="DL743" t="s">
        <v>120</v>
      </c>
      <c r="DM743" t="s">
        <v>120</v>
      </c>
      <c r="DN743" t="s">
        <v>120</v>
      </c>
    </row>
    <row r="744" spans="1:118">
      <c r="A744" t="str">
        <f>"002333"</f>
        <v>002333</v>
      </c>
      <c r="B744" t="s">
        <v>4473</v>
      </c>
      <c r="C744">
        <v>0.55000000000000004</v>
      </c>
      <c r="D744">
        <v>0.73</v>
      </c>
      <c r="E744">
        <v>-0.18</v>
      </c>
      <c r="F744">
        <v>2416</v>
      </c>
      <c r="G744" t="s">
        <v>4474</v>
      </c>
      <c r="H744">
        <v>2494.41</v>
      </c>
      <c r="I744">
        <v>17.07</v>
      </c>
      <c r="J744" t="s">
        <v>120</v>
      </c>
      <c r="K744" t="s">
        <v>4138</v>
      </c>
      <c r="L744">
        <v>1.07</v>
      </c>
      <c r="M744">
        <v>5.51</v>
      </c>
      <c r="N744">
        <v>0.9</v>
      </c>
      <c r="O744">
        <v>2.19</v>
      </c>
      <c r="P744">
        <v>5.6</v>
      </c>
      <c r="Q744">
        <v>-2.0099999999999998</v>
      </c>
      <c r="R744">
        <v>5.37</v>
      </c>
      <c r="S744">
        <v>5.47</v>
      </c>
      <c r="T744">
        <v>45553</v>
      </c>
      <c r="U744">
        <v>5.52</v>
      </c>
      <c r="V744">
        <v>5.48</v>
      </c>
      <c r="W744">
        <v>170.69</v>
      </c>
      <c r="X744" t="s">
        <v>1325</v>
      </c>
      <c r="Y744" t="s">
        <v>319</v>
      </c>
      <c r="Z744">
        <v>4.2</v>
      </c>
      <c r="AA744">
        <v>5.48</v>
      </c>
      <c r="AB744">
        <v>23956</v>
      </c>
      <c r="AC744">
        <v>21597</v>
      </c>
      <c r="AD744">
        <v>1.1100000000000001</v>
      </c>
      <c r="AE744">
        <v>173</v>
      </c>
      <c r="AF744">
        <v>69</v>
      </c>
      <c r="AG744" t="s">
        <v>120</v>
      </c>
      <c r="AH744">
        <v>0.02</v>
      </c>
      <c r="AI744" t="s">
        <v>120</v>
      </c>
      <c r="AJ744">
        <v>4.28</v>
      </c>
      <c r="AK744" t="s">
        <v>4475</v>
      </c>
      <c r="AL744">
        <v>2.46</v>
      </c>
      <c r="AM744">
        <v>933</v>
      </c>
      <c r="AN744">
        <v>49</v>
      </c>
      <c r="AO744">
        <v>1.1000000000000001E-3</v>
      </c>
      <c r="AP744">
        <v>2</v>
      </c>
      <c r="AQ744">
        <v>0.37</v>
      </c>
      <c r="AR744">
        <v>-2.81</v>
      </c>
      <c r="AS744">
        <v>8.68</v>
      </c>
      <c r="AT744">
        <v>0.37</v>
      </c>
      <c r="AU744">
        <v>8.4600000000000009</v>
      </c>
      <c r="AV744">
        <v>2</v>
      </c>
      <c r="AW744">
        <v>3.03</v>
      </c>
      <c r="AX744">
        <v>23</v>
      </c>
      <c r="AY744">
        <v>62.9</v>
      </c>
      <c r="AZ744">
        <v>133.07</v>
      </c>
      <c r="BA744">
        <v>0.49</v>
      </c>
      <c r="BB744" t="s">
        <v>143</v>
      </c>
      <c r="BF744">
        <v>-0.08</v>
      </c>
      <c r="BG744">
        <v>0.73</v>
      </c>
      <c r="BH744">
        <v>-1.61</v>
      </c>
      <c r="BI744">
        <v>2.61</v>
      </c>
      <c r="BJ744">
        <v>20210826</v>
      </c>
      <c r="BK744">
        <v>20100112</v>
      </c>
      <c r="BL744">
        <v>6.53</v>
      </c>
      <c r="BM744" t="s">
        <v>120</v>
      </c>
      <c r="BN744" t="s">
        <v>120</v>
      </c>
      <c r="BO744">
        <v>21.57</v>
      </c>
      <c r="BP744">
        <v>5.51</v>
      </c>
      <c r="BQ744">
        <v>18</v>
      </c>
      <c r="BR744">
        <v>0.23</v>
      </c>
      <c r="BS744">
        <v>15.48</v>
      </c>
      <c r="BT744">
        <v>13.99</v>
      </c>
      <c r="BU744">
        <v>4.47</v>
      </c>
      <c r="BV744">
        <v>1.03</v>
      </c>
      <c r="BW744">
        <v>3.22</v>
      </c>
      <c r="BX744">
        <v>1.47</v>
      </c>
      <c r="BY744">
        <v>1.39</v>
      </c>
      <c r="BZ744">
        <v>3.01</v>
      </c>
      <c r="CA744" t="s">
        <v>120</v>
      </c>
      <c r="CB744">
        <v>8.02</v>
      </c>
      <c r="CC744">
        <v>6.94</v>
      </c>
      <c r="CD744">
        <v>6.3</v>
      </c>
      <c r="CE744">
        <v>0.21</v>
      </c>
      <c r="CF744">
        <v>0.04</v>
      </c>
      <c r="CG744">
        <v>0.2</v>
      </c>
      <c r="CH744">
        <v>0.13</v>
      </c>
      <c r="CI744">
        <v>0.11</v>
      </c>
      <c r="CJ744">
        <v>0.03</v>
      </c>
      <c r="CK744">
        <v>0.08</v>
      </c>
      <c r="CL744">
        <v>2.48</v>
      </c>
      <c r="CM744">
        <v>-0.97</v>
      </c>
      <c r="CN744">
        <v>-2.4</v>
      </c>
      <c r="CO744">
        <v>11086</v>
      </c>
      <c r="CP744">
        <v>13542</v>
      </c>
      <c r="CQ744" t="s">
        <v>1029</v>
      </c>
      <c r="CR744">
        <v>154.16999999999999</v>
      </c>
      <c r="CS744">
        <v>171.85</v>
      </c>
      <c r="CT744">
        <v>2</v>
      </c>
      <c r="CU744">
        <v>-36.9</v>
      </c>
      <c r="CV744">
        <v>5.18</v>
      </c>
      <c r="CW744">
        <v>0</v>
      </c>
      <c r="CX744" t="s">
        <v>499</v>
      </c>
      <c r="CY744">
        <v>2.76</v>
      </c>
      <c r="CZ744">
        <v>0</v>
      </c>
      <c r="DA744">
        <v>1.23</v>
      </c>
      <c r="DB744">
        <v>0.38</v>
      </c>
      <c r="DC744">
        <v>-0.15</v>
      </c>
      <c r="DD744">
        <v>83.46</v>
      </c>
      <c r="DE744" t="s">
        <v>4476</v>
      </c>
      <c r="DF744">
        <v>9.23</v>
      </c>
      <c r="DG744">
        <v>2.98</v>
      </c>
      <c r="DH744">
        <v>1.52</v>
      </c>
      <c r="DI744">
        <v>0.13</v>
      </c>
      <c r="DJ744">
        <v>779</v>
      </c>
      <c r="DK744">
        <v>2333</v>
      </c>
      <c r="DL744" t="s">
        <v>120</v>
      </c>
      <c r="DM744" t="s">
        <v>120</v>
      </c>
      <c r="DN744" t="s">
        <v>120</v>
      </c>
    </row>
    <row r="745" spans="1:118">
      <c r="A745" t="str">
        <f>"002334"</f>
        <v>002334</v>
      </c>
      <c r="B745" t="s">
        <v>4477</v>
      </c>
      <c r="C745">
        <v>-4.87</v>
      </c>
      <c r="D745">
        <v>0</v>
      </c>
      <c r="E745">
        <v>-0.42</v>
      </c>
      <c r="F745">
        <v>2760</v>
      </c>
      <c r="G745" t="s">
        <v>4478</v>
      </c>
      <c r="H745">
        <v>19806.93</v>
      </c>
      <c r="I745">
        <v>58.63</v>
      </c>
      <c r="J745" t="s">
        <v>120</v>
      </c>
      <c r="K745" t="s">
        <v>4479</v>
      </c>
      <c r="L745">
        <v>4.37</v>
      </c>
      <c r="M745">
        <v>6.83</v>
      </c>
      <c r="N745">
        <v>1.17</v>
      </c>
      <c r="O745">
        <v>-0.42</v>
      </c>
      <c r="P745">
        <v>7.15</v>
      </c>
      <c r="Q745">
        <v>-5.29</v>
      </c>
      <c r="R745">
        <v>6.8</v>
      </c>
      <c r="S745">
        <v>7.15</v>
      </c>
      <c r="T745">
        <v>284402</v>
      </c>
      <c r="U745">
        <v>6.83</v>
      </c>
      <c r="V745">
        <v>7.18</v>
      </c>
      <c r="W745">
        <v>28.78</v>
      </c>
      <c r="X745" t="s">
        <v>394</v>
      </c>
      <c r="Y745" t="s">
        <v>123</v>
      </c>
      <c r="Z745">
        <v>4.87</v>
      </c>
      <c r="AA745">
        <v>6.96</v>
      </c>
      <c r="AB745">
        <v>182987</v>
      </c>
      <c r="AC745">
        <v>101415</v>
      </c>
      <c r="AD745">
        <v>1.8</v>
      </c>
      <c r="AE745">
        <v>1616</v>
      </c>
      <c r="AF745">
        <v>508</v>
      </c>
      <c r="AG745" t="s">
        <v>120</v>
      </c>
      <c r="AH745">
        <v>0.01</v>
      </c>
      <c r="AI745" t="s">
        <v>120</v>
      </c>
      <c r="AJ745">
        <v>6.5</v>
      </c>
      <c r="AK745" t="s">
        <v>4480</v>
      </c>
      <c r="AL745">
        <v>-2.96</v>
      </c>
      <c r="AM745">
        <v>3343</v>
      </c>
      <c r="AN745">
        <v>85</v>
      </c>
      <c r="AO745">
        <v>1.2999999999999999E-3</v>
      </c>
      <c r="AP745">
        <v>-1</v>
      </c>
      <c r="AQ745">
        <v>2.57</v>
      </c>
      <c r="AR745">
        <v>-0.73</v>
      </c>
      <c r="AS745">
        <v>-4.74</v>
      </c>
      <c r="AT745">
        <v>23.28</v>
      </c>
      <c r="AU745">
        <v>27.67</v>
      </c>
      <c r="AV745">
        <v>4</v>
      </c>
      <c r="AW745">
        <v>4.54</v>
      </c>
      <c r="AX745">
        <v>83.17</v>
      </c>
      <c r="AY745">
        <v>32.880000000000003</v>
      </c>
      <c r="AZ745">
        <v>39.880000000000003</v>
      </c>
      <c r="BA745">
        <v>0.74</v>
      </c>
      <c r="BB745" t="s">
        <v>143</v>
      </c>
      <c r="BF745">
        <v>-3</v>
      </c>
      <c r="BG745">
        <v>-4.4800000000000004</v>
      </c>
      <c r="BH745">
        <v>-4.4800000000000004</v>
      </c>
      <c r="BI745">
        <v>0.44</v>
      </c>
      <c r="BJ745">
        <v>20210902</v>
      </c>
      <c r="BK745">
        <v>20100113</v>
      </c>
      <c r="BL745">
        <v>7.53</v>
      </c>
      <c r="BM745" t="s">
        <v>120</v>
      </c>
      <c r="BN745" t="s">
        <v>120</v>
      </c>
      <c r="BO745">
        <v>32.03</v>
      </c>
      <c r="BP745">
        <v>6.82</v>
      </c>
      <c r="BQ745">
        <v>18.29</v>
      </c>
      <c r="BR745">
        <v>-0.42</v>
      </c>
      <c r="BS745">
        <v>44.2</v>
      </c>
      <c r="BT745">
        <v>21.14</v>
      </c>
      <c r="BU745">
        <v>4.3499999999999996</v>
      </c>
      <c r="BV745">
        <v>1.31</v>
      </c>
      <c r="BW745">
        <v>12.16</v>
      </c>
      <c r="BX745">
        <v>4.74</v>
      </c>
      <c r="BY745">
        <v>5.84</v>
      </c>
      <c r="BZ745">
        <v>6.89</v>
      </c>
      <c r="CA745" t="s">
        <v>120</v>
      </c>
      <c r="CB745">
        <v>2.3199999999999998</v>
      </c>
      <c r="CC745">
        <v>13.41</v>
      </c>
      <c r="CD745">
        <v>8.7899999999999991</v>
      </c>
      <c r="CE745">
        <v>0.96</v>
      </c>
      <c r="CF745">
        <v>-0.01</v>
      </c>
      <c r="CG745">
        <v>0.99</v>
      </c>
      <c r="CH745">
        <v>0.79</v>
      </c>
      <c r="CI745">
        <v>0.89</v>
      </c>
      <c r="CJ745">
        <v>-0.35</v>
      </c>
      <c r="CK745">
        <v>0.64</v>
      </c>
      <c r="CL745">
        <v>7.23</v>
      </c>
      <c r="CM745">
        <v>-0.47</v>
      </c>
      <c r="CN745">
        <v>-1.6</v>
      </c>
      <c r="CO745">
        <v>79195</v>
      </c>
      <c r="CP745">
        <v>7913</v>
      </c>
      <c r="CQ745" t="s">
        <v>4481</v>
      </c>
      <c r="CR745">
        <v>47.75</v>
      </c>
      <c r="CS745">
        <v>41.79</v>
      </c>
      <c r="CT745">
        <v>2.81</v>
      </c>
      <c r="CU745">
        <v>-108.89</v>
      </c>
      <c r="CV745">
        <v>3.84</v>
      </c>
      <c r="CW745">
        <v>0</v>
      </c>
      <c r="CX745" t="s">
        <v>788</v>
      </c>
      <c r="CY745">
        <v>2.4300000000000002</v>
      </c>
      <c r="CZ745">
        <v>0</v>
      </c>
      <c r="DA745">
        <v>0.31</v>
      </c>
      <c r="DB745">
        <v>0.96</v>
      </c>
      <c r="DC745">
        <v>-0.06</v>
      </c>
      <c r="DD745">
        <v>57.1</v>
      </c>
      <c r="DE745" t="s">
        <v>4482</v>
      </c>
      <c r="DF745">
        <v>34.44</v>
      </c>
      <c r="DG745">
        <v>7.13</v>
      </c>
      <c r="DH745">
        <v>6.67</v>
      </c>
      <c r="DI745">
        <v>1.4</v>
      </c>
      <c r="DJ745">
        <v>3245</v>
      </c>
      <c r="DK745">
        <v>2334</v>
      </c>
      <c r="DL745" t="s">
        <v>120</v>
      </c>
      <c r="DM745" t="s">
        <v>120</v>
      </c>
      <c r="DN745" t="s">
        <v>120</v>
      </c>
    </row>
    <row r="746" spans="1:118">
      <c r="A746" t="str">
        <f>"002335"</f>
        <v>002335</v>
      </c>
      <c r="B746" t="s">
        <v>4483</v>
      </c>
      <c r="C746">
        <v>-10</v>
      </c>
      <c r="D746">
        <v>0</v>
      </c>
      <c r="E746">
        <v>-1.39</v>
      </c>
      <c r="F746">
        <v>2346</v>
      </c>
      <c r="G746" t="s">
        <v>4484</v>
      </c>
      <c r="H746">
        <v>104252.36</v>
      </c>
      <c r="I746">
        <v>549.14</v>
      </c>
      <c r="J746">
        <v>1449.91</v>
      </c>
      <c r="K746" t="s">
        <v>4485</v>
      </c>
      <c r="L746">
        <v>7.69</v>
      </c>
      <c r="M746">
        <v>32.93</v>
      </c>
      <c r="N746">
        <v>0.98</v>
      </c>
      <c r="O746">
        <v>-1.39</v>
      </c>
      <c r="P746">
        <v>36.08</v>
      </c>
      <c r="Q746">
        <v>-10</v>
      </c>
      <c r="R746">
        <v>32.93</v>
      </c>
      <c r="S746">
        <v>36.08</v>
      </c>
      <c r="T746">
        <v>305094</v>
      </c>
      <c r="U746">
        <v>32.93</v>
      </c>
      <c r="V746">
        <v>36.590000000000003</v>
      </c>
      <c r="W746">
        <v>40.94</v>
      </c>
      <c r="X746" t="s">
        <v>394</v>
      </c>
      <c r="Y746" t="s">
        <v>937</v>
      </c>
      <c r="Z746">
        <v>8.61</v>
      </c>
      <c r="AA746">
        <v>34.17</v>
      </c>
      <c r="AB746">
        <v>169904</v>
      </c>
      <c r="AC746">
        <v>135190</v>
      </c>
      <c r="AD746">
        <v>1.26</v>
      </c>
      <c r="AE746">
        <v>0</v>
      </c>
      <c r="AF746">
        <v>4403</v>
      </c>
      <c r="AG746" t="s">
        <v>120</v>
      </c>
      <c r="AH746">
        <v>0.06</v>
      </c>
      <c r="AI746">
        <v>0.01</v>
      </c>
      <c r="AJ746">
        <v>3.97</v>
      </c>
      <c r="AK746" t="s">
        <v>4486</v>
      </c>
      <c r="AL746">
        <v>-8.09</v>
      </c>
      <c r="AM746">
        <v>4505</v>
      </c>
      <c r="AN746">
        <v>68</v>
      </c>
      <c r="AO746">
        <v>1.6999999999999999E-3</v>
      </c>
      <c r="AP746">
        <v>-1</v>
      </c>
      <c r="AQ746">
        <v>2.12</v>
      </c>
      <c r="AR746">
        <v>-2.8</v>
      </c>
      <c r="AS746">
        <v>0.64</v>
      </c>
      <c r="AT746">
        <v>75.63</v>
      </c>
      <c r="AU746">
        <v>49.41</v>
      </c>
      <c r="AV746">
        <v>14</v>
      </c>
      <c r="AW746">
        <v>12.71</v>
      </c>
      <c r="AX746">
        <v>51.99</v>
      </c>
      <c r="AY746">
        <v>36.76</v>
      </c>
      <c r="AZ746">
        <v>44.22</v>
      </c>
      <c r="BA746">
        <v>1.37</v>
      </c>
      <c r="BB746" t="s">
        <v>143</v>
      </c>
      <c r="BF746">
        <v>-6.61</v>
      </c>
      <c r="BG746">
        <v>-8.73</v>
      </c>
      <c r="BH746">
        <v>-8.73</v>
      </c>
      <c r="BI746">
        <v>0</v>
      </c>
      <c r="BJ746">
        <v>20210831</v>
      </c>
      <c r="BK746">
        <v>20100113</v>
      </c>
      <c r="BL746">
        <v>4.62</v>
      </c>
      <c r="BM746" t="s">
        <v>120</v>
      </c>
      <c r="BN746" t="s">
        <v>120</v>
      </c>
      <c r="BO746">
        <v>91.87</v>
      </c>
      <c r="BP746" t="s">
        <v>120</v>
      </c>
      <c r="BQ746">
        <v>32.869999999999997</v>
      </c>
      <c r="BR746">
        <v>1.92</v>
      </c>
      <c r="BS746">
        <v>62.13</v>
      </c>
      <c r="BT746">
        <v>34.770000000000003</v>
      </c>
      <c r="BU746">
        <v>25.9</v>
      </c>
      <c r="BV746">
        <v>4.55</v>
      </c>
      <c r="BW746">
        <v>26.77</v>
      </c>
      <c r="BX746">
        <v>3.57</v>
      </c>
      <c r="BY746">
        <v>4.2699999999999996</v>
      </c>
      <c r="BZ746">
        <v>21.34</v>
      </c>
      <c r="CA746" t="s">
        <v>120</v>
      </c>
      <c r="CB746">
        <v>17.7</v>
      </c>
      <c r="CC746">
        <v>22.2</v>
      </c>
      <c r="CD746">
        <v>15.56</v>
      </c>
      <c r="CE746">
        <v>2.1</v>
      </c>
      <c r="CF746">
        <v>-0.05</v>
      </c>
      <c r="CG746">
        <v>2.11</v>
      </c>
      <c r="CH746">
        <v>1.91</v>
      </c>
      <c r="CI746">
        <v>1.86</v>
      </c>
      <c r="CJ746">
        <v>-3.66</v>
      </c>
      <c r="CK746">
        <v>1.75</v>
      </c>
      <c r="CL746">
        <v>8.81</v>
      </c>
      <c r="CM746">
        <v>-1.73</v>
      </c>
      <c r="CN746">
        <v>-4.3499999999999996</v>
      </c>
      <c r="CO746">
        <v>30753</v>
      </c>
      <c r="CP746">
        <v>7803</v>
      </c>
      <c r="CQ746" t="s">
        <v>4487</v>
      </c>
      <c r="CR746">
        <v>71.790000000000006</v>
      </c>
      <c r="CS746">
        <v>30.72</v>
      </c>
      <c r="CT746">
        <v>4.62</v>
      </c>
      <c r="CU746">
        <v>-87.7</v>
      </c>
      <c r="CV746">
        <v>6.85</v>
      </c>
      <c r="CW746">
        <v>0.82</v>
      </c>
      <c r="CX746" t="s">
        <v>3527</v>
      </c>
      <c r="CY746">
        <v>7.12</v>
      </c>
      <c r="CZ746">
        <v>0</v>
      </c>
      <c r="DA746">
        <v>3.83</v>
      </c>
      <c r="DB746">
        <v>1.91</v>
      </c>
      <c r="DC746">
        <v>-0.38</v>
      </c>
      <c r="DD746">
        <v>35.78</v>
      </c>
      <c r="DE746" t="s">
        <v>4488</v>
      </c>
      <c r="DF746">
        <v>29.91</v>
      </c>
      <c r="DG746">
        <v>9.48</v>
      </c>
      <c r="DH746">
        <v>8.36</v>
      </c>
      <c r="DI746">
        <v>1.02</v>
      </c>
      <c r="DJ746">
        <v>3555</v>
      </c>
      <c r="DK746">
        <v>2335</v>
      </c>
      <c r="DL746">
        <v>20210630</v>
      </c>
      <c r="DM746">
        <v>22.75</v>
      </c>
      <c r="DN746">
        <v>44.75</v>
      </c>
    </row>
    <row r="747" spans="1:118">
      <c r="A747" t="str">
        <f>"002336"</f>
        <v>002336</v>
      </c>
      <c r="B747" t="s">
        <v>4489</v>
      </c>
      <c r="C747">
        <v>-1.31</v>
      </c>
      <c r="D747">
        <v>-0.21</v>
      </c>
      <c r="E747">
        <v>0.22</v>
      </c>
      <c r="F747">
        <v>227</v>
      </c>
      <c r="G747" t="s">
        <v>4490</v>
      </c>
      <c r="H747">
        <v>336.34</v>
      </c>
      <c r="I747">
        <v>3.99</v>
      </c>
      <c r="J747" t="s">
        <v>120</v>
      </c>
      <c r="K747" t="s">
        <v>4491</v>
      </c>
      <c r="L747">
        <v>0.2</v>
      </c>
      <c r="M747">
        <v>4.5199999999999996</v>
      </c>
      <c r="N747">
        <v>0.53</v>
      </c>
      <c r="O747">
        <v>0.87</v>
      </c>
      <c r="P747">
        <v>4.62</v>
      </c>
      <c r="Q747">
        <v>-1.31</v>
      </c>
      <c r="R747">
        <v>4.5199999999999996</v>
      </c>
      <c r="S747">
        <v>4.59</v>
      </c>
      <c r="T747">
        <v>7357</v>
      </c>
      <c r="U747">
        <v>4.53</v>
      </c>
      <c r="V747">
        <v>4.58</v>
      </c>
      <c r="W747" t="s">
        <v>120</v>
      </c>
      <c r="X747" t="s">
        <v>1872</v>
      </c>
      <c r="Y747" t="s">
        <v>123</v>
      </c>
      <c r="Z747">
        <v>2.1800000000000002</v>
      </c>
      <c r="AA747">
        <v>4.57</v>
      </c>
      <c r="AB747">
        <v>4977</v>
      </c>
      <c r="AC747">
        <v>2380</v>
      </c>
      <c r="AD747">
        <v>2.09</v>
      </c>
      <c r="AE747">
        <v>2</v>
      </c>
      <c r="AF747">
        <v>37</v>
      </c>
      <c r="AG747" t="s">
        <v>120</v>
      </c>
      <c r="AH747">
        <v>0.01</v>
      </c>
      <c r="AI747" t="s">
        <v>120</v>
      </c>
      <c r="AJ747">
        <v>3.73</v>
      </c>
      <c r="AK747" t="s">
        <v>2058</v>
      </c>
      <c r="AL747">
        <v>0.6</v>
      </c>
      <c r="AM747">
        <v>287</v>
      </c>
      <c r="AN747">
        <v>26</v>
      </c>
      <c r="AO747">
        <v>6.9999999999999999E-4</v>
      </c>
      <c r="AP747">
        <v>-1</v>
      </c>
      <c r="AQ747">
        <v>1.1000000000000001</v>
      </c>
      <c r="AR747">
        <v>-1.96</v>
      </c>
      <c r="AS747">
        <v>8.91</v>
      </c>
      <c r="AT747">
        <v>-4.6500000000000004</v>
      </c>
      <c r="AU747">
        <v>15.31</v>
      </c>
      <c r="AV747">
        <v>3</v>
      </c>
      <c r="AW747">
        <v>0.69</v>
      </c>
      <c r="AX747">
        <v>24.38</v>
      </c>
      <c r="AY747" t="s">
        <v>120</v>
      </c>
      <c r="AZ747">
        <v>56.95</v>
      </c>
      <c r="BA747">
        <v>0.28999999999999998</v>
      </c>
      <c r="BB747" t="s">
        <v>184</v>
      </c>
      <c r="BF747">
        <v>-0.18</v>
      </c>
      <c r="BG747">
        <v>-1.53</v>
      </c>
      <c r="BH747">
        <v>-2.16</v>
      </c>
      <c r="BI747">
        <v>0</v>
      </c>
      <c r="BJ747">
        <v>20210827</v>
      </c>
      <c r="BK747">
        <v>20100113</v>
      </c>
      <c r="BL747">
        <v>4.4000000000000004</v>
      </c>
      <c r="BM747" t="s">
        <v>120</v>
      </c>
      <c r="BN747" t="s">
        <v>120</v>
      </c>
      <c r="BO747">
        <v>67.61</v>
      </c>
      <c r="BP747">
        <v>4.5199999999999996</v>
      </c>
      <c r="BQ747">
        <v>11.04</v>
      </c>
      <c r="BR747">
        <v>0</v>
      </c>
      <c r="BS747">
        <v>83.67</v>
      </c>
      <c r="BT747">
        <v>23.7</v>
      </c>
      <c r="BU747">
        <v>10.69</v>
      </c>
      <c r="BV747">
        <v>0.88</v>
      </c>
      <c r="BW747">
        <v>29.53</v>
      </c>
      <c r="BX747">
        <v>9.7899999999999991</v>
      </c>
      <c r="BY747">
        <v>11.74</v>
      </c>
      <c r="BZ747">
        <v>0.17</v>
      </c>
      <c r="CA747" t="s">
        <v>120</v>
      </c>
      <c r="CB747">
        <v>24.36</v>
      </c>
      <c r="CC747">
        <v>27.6</v>
      </c>
      <c r="CD747">
        <v>20.93</v>
      </c>
      <c r="CE747">
        <v>-3.24</v>
      </c>
      <c r="CF747">
        <v>0.02</v>
      </c>
      <c r="CG747">
        <v>-3.63</v>
      </c>
      <c r="CH747">
        <v>-3.65</v>
      </c>
      <c r="CI747">
        <v>-3.65</v>
      </c>
      <c r="CJ747">
        <v>-0.06</v>
      </c>
      <c r="CK747">
        <v>-3.47</v>
      </c>
      <c r="CL747">
        <v>-19.7</v>
      </c>
      <c r="CM747">
        <v>-0.31</v>
      </c>
      <c r="CN747">
        <v>-1.69</v>
      </c>
      <c r="CO747">
        <v>11068</v>
      </c>
      <c r="CP747">
        <v>9693</v>
      </c>
      <c r="CQ747" t="s">
        <v>4492</v>
      </c>
      <c r="CR747">
        <v>-157.84</v>
      </c>
      <c r="CS747">
        <v>-8.3699999999999992</v>
      </c>
      <c r="CT747">
        <v>1.8</v>
      </c>
      <c r="CU747">
        <v>-64.400000000000006</v>
      </c>
      <c r="CV747">
        <v>0.72</v>
      </c>
      <c r="CW747">
        <v>0</v>
      </c>
      <c r="CX747" t="s">
        <v>4493</v>
      </c>
      <c r="CY747">
        <v>2.5099999999999998</v>
      </c>
      <c r="CZ747">
        <v>0</v>
      </c>
      <c r="DA747">
        <v>5.54</v>
      </c>
      <c r="DB747">
        <v>-4.4800000000000004</v>
      </c>
      <c r="DC747">
        <v>-7.0000000000000007E-2</v>
      </c>
      <c r="DD747">
        <v>16.329999999999998</v>
      </c>
      <c r="DE747" t="s">
        <v>4494</v>
      </c>
      <c r="DF747">
        <v>24.17</v>
      </c>
      <c r="DG747">
        <v>-11.74</v>
      </c>
      <c r="DH747">
        <v>-13.24</v>
      </c>
      <c r="DI747" t="s">
        <v>120</v>
      </c>
      <c r="DJ747">
        <v>10634</v>
      </c>
      <c r="DK747">
        <v>2336</v>
      </c>
      <c r="DL747" t="s">
        <v>120</v>
      </c>
      <c r="DM747" t="s">
        <v>120</v>
      </c>
      <c r="DN747" t="s">
        <v>120</v>
      </c>
    </row>
    <row r="748" spans="1:118">
      <c r="A748" t="str">
        <f>"002337"</f>
        <v>002337</v>
      </c>
      <c r="B748" t="s">
        <v>4495</v>
      </c>
      <c r="C748">
        <v>-0.87</v>
      </c>
      <c r="D748">
        <v>0.28999999999999998</v>
      </c>
      <c r="E748">
        <v>0.57999999999999996</v>
      </c>
      <c r="F748">
        <v>74</v>
      </c>
      <c r="G748" t="s">
        <v>4496</v>
      </c>
      <c r="H748">
        <v>1564.96</v>
      </c>
      <c r="I748">
        <v>11.24</v>
      </c>
      <c r="J748" t="s">
        <v>120</v>
      </c>
      <c r="K748" t="s">
        <v>4497</v>
      </c>
      <c r="L748">
        <v>0.77</v>
      </c>
      <c r="M748">
        <v>3.43</v>
      </c>
      <c r="N748">
        <v>0.88</v>
      </c>
      <c r="O748">
        <v>1.73</v>
      </c>
      <c r="P748">
        <v>3.52</v>
      </c>
      <c r="Q748">
        <v>-1.45</v>
      </c>
      <c r="R748">
        <v>3.41</v>
      </c>
      <c r="S748">
        <v>3.48</v>
      </c>
      <c r="T748">
        <v>45202</v>
      </c>
      <c r="U748">
        <v>3.43</v>
      </c>
      <c r="V748">
        <v>3.46</v>
      </c>
      <c r="W748">
        <v>495.81</v>
      </c>
      <c r="X748" t="s">
        <v>2196</v>
      </c>
      <c r="Y748" t="s">
        <v>997</v>
      </c>
      <c r="Z748">
        <v>3.18</v>
      </c>
      <c r="AA748">
        <v>3.46</v>
      </c>
      <c r="AB748">
        <v>25325</v>
      </c>
      <c r="AC748">
        <v>19877</v>
      </c>
      <c r="AD748">
        <v>1.27</v>
      </c>
      <c r="AE748">
        <v>565</v>
      </c>
      <c r="AF748">
        <v>1097</v>
      </c>
      <c r="AG748" t="s">
        <v>120</v>
      </c>
      <c r="AH748">
        <v>0.01</v>
      </c>
      <c r="AI748" t="s">
        <v>120</v>
      </c>
      <c r="AJ748">
        <v>5.88</v>
      </c>
      <c r="AK748" t="s">
        <v>4498</v>
      </c>
      <c r="AL748">
        <v>1.05</v>
      </c>
      <c r="AM748">
        <v>1307</v>
      </c>
      <c r="AN748">
        <v>35</v>
      </c>
      <c r="AO748">
        <v>5.9999999999999995E-4</v>
      </c>
      <c r="AP748">
        <v>-1</v>
      </c>
      <c r="AQ748">
        <v>1.17</v>
      </c>
      <c r="AR748">
        <v>-2.27</v>
      </c>
      <c r="AS748">
        <v>4.8899999999999997</v>
      </c>
      <c r="AT748">
        <v>11</v>
      </c>
      <c r="AU748">
        <v>6.19</v>
      </c>
      <c r="AV748">
        <v>1</v>
      </c>
      <c r="AW748">
        <v>1.22</v>
      </c>
      <c r="AX748">
        <v>63.01</v>
      </c>
      <c r="AY748" t="s">
        <v>120</v>
      </c>
      <c r="AZ748" t="s">
        <v>120</v>
      </c>
      <c r="BA748">
        <v>0.26</v>
      </c>
      <c r="BB748" t="s">
        <v>143</v>
      </c>
      <c r="BF748">
        <v>0.06</v>
      </c>
      <c r="BG748">
        <v>-1.44</v>
      </c>
      <c r="BH748">
        <v>-2.56</v>
      </c>
      <c r="BI748">
        <v>0.59</v>
      </c>
      <c r="BJ748">
        <v>20210830</v>
      </c>
      <c r="BK748">
        <v>20100115</v>
      </c>
      <c r="BL748">
        <v>5.89</v>
      </c>
      <c r="BM748" t="s">
        <v>120</v>
      </c>
      <c r="BN748" t="s">
        <v>120</v>
      </c>
      <c r="BO748">
        <v>15.38</v>
      </c>
      <c r="BP748">
        <v>3.42</v>
      </c>
      <c r="BQ748">
        <v>10.84</v>
      </c>
      <c r="BR748">
        <v>0.77</v>
      </c>
      <c r="BS748">
        <v>24.53</v>
      </c>
      <c r="BT748">
        <v>12.06</v>
      </c>
      <c r="BU748">
        <v>1.84</v>
      </c>
      <c r="BV748">
        <v>0.28999999999999998</v>
      </c>
      <c r="BW748">
        <v>3.7</v>
      </c>
      <c r="BX748">
        <v>2.69</v>
      </c>
      <c r="BY748">
        <v>2.85</v>
      </c>
      <c r="BZ748">
        <v>2.16</v>
      </c>
      <c r="CA748" t="s">
        <v>120</v>
      </c>
      <c r="CB748">
        <v>4.25</v>
      </c>
      <c r="CC748">
        <v>3.49</v>
      </c>
      <c r="CD748">
        <v>2.79</v>
      </c>
      <c r="CE748">
        <v>-0.02</v>
      </c>
      <c r="CF748">
        <v>0.01</v>
      </c>
      <c r="CG748">
        <v>-0.01</v>
      </c>
      <c r="CH748">
        <v>-0.01</v>
      </c>
      <c r="CI748">
        <v>0.02</v>
      </c>
      <c r="CJ748">
        <v>-0.03</v>
      </c>
      <c r="CK748">
        <v>0</v>
      </c>
      <c r="CL748">
        <v>0.25</v>
      </c>
      <c r="CM748">
        <v>-0.27</v>
      </c>
      <c r="CN748">
        <v>-0.21</v>
      </c>
      <c r="CO748">
        <v>56889</v>
      </c>
      <c r="CP748">
        <v>6519</v>
      </c>
      <c r="CQ748" t="s">
        <v>4499</v>
      </c>
      <c r="CR748">
        <v>110.64</v>
      </c>
      <c r="CS748">
        <v>101.09</v>
      </c>
      <c r="CT748">
        <v>1.86</v>
      </c>
      <c r="CU748">
        <v>-76.010000000000005</v>
      </c>
      <c r="CV748">
        <v>5.78</v>
      </c>
      <c r="CW748">
        <v>0</v>
      </c>
      <c r="CX748" t="s">
        <v>1097</v>
      </c>
      <c r="CY748">
        <v>1.84</v>
      </c>
      <c r="CZ748">
        <v>0</v>
      </c>
      <c r="DA748">
        <v>0.72</v>
      </c>
      <c r="DB748">
        <v>0.04</v>
      </c>
      <c r="DC748">
        <v>-0.05</v>
      </c>
      <c r="DD748">
        <v>70.47</v>
      </c>
      <c r="DE748" t="s">
        <v>4500</v>
      </c>
      <c r="DF748">
        <v>20.170000000000002</v>
      </c>
      <c r="DG748">
        <v>-0.46</v>
      </c>
      <c r="DH748">
        <v>0.57999999999999996</v>
      </c>
      <c r="DI748">
        <v>0.25</v>
      </c>
      <c r="DJ748">
        <v>915</v>
      </c>
      <c r="DK748">
        <v>2337</v>
      </c>
      <c r="DL748" t="s">
        <v>120</v>
      </c>
      <c r="DM748" t="s">
        <v>120</v>
      </c>
      <c r="DN748" t="s">
        <v>120</v>
      </c>
    </row>
    <row r="749" spans="1:118">
      <c r="A749" t="str">
        <f>"002338"</f>
        <v>002338</v>
      </c>
      <c r="B749" t="s">
        <v>4501</v>
      </c>
      <c r="C749">
        <v>-3.67</v>
      </c>
      <c r="D749">
        <v>0.05</v>
      </c>
      <c r="E749">
        <v>-0.15</v>
      </c>
      <c r="F749">
        <v>345</v>
      </c>
      <c r="G749" t="s">
        <v>3679</v>
      </c>
      <c r="H749">
        <v>6990.83</v>
      </c>
      <c r="I749">
        <v>9.41</v>
      </c>
      <c r="J749" t="s">
        <v>120</v>
      </c>
      <c r="K749" t="s">
        <v>4502</v>
      </c>
      <c r="L749">
        <v>1.51</v>
      </c>
      <c r="M749">
        <v>18.91</v>
      </c>
      <c r="N749">
        <v>0.9</v>
      </c>
      <c r="O749">
        <v>0.46</v>
      </c>
      <c r="P749">
        <v>19.72</v>
      </c>
      <c r="Q749">
        <v>-3.87</v>
      </c>
      <c r="R749">
        <v>18.87</v>
      </c>
      <c r="S749">
        <v>19.600000000000001</v>
      </c>
      <c r="T749">
        <v>36337</v>
      </c>
      <c r="U749">
        <v>18.91</v>
      </c>
      <c r="V749">
        <v>19.63</v>
      </c>
      <c r="W749">
        <v>78.150000000000006</v>
      </c>
      <c r="X749" t="s">
        <v>2717</v>
      </c>
      <c r="Y749" t="s">
        <v>290</v>
      </c>
      <c r="Z749">
        <v>4.33</v>
      </c>
      <c r="AA749">
        <v>19.239999999999998</v>
      </c>
      <c r="AB749">
        <v>22854</v>
      </c>
      <c r="AC749">
        <v>13483</v>
      </c>
      <c r="AD749">
        <v>1.7</v>
      </c>
      <c r="AE749">
        <v>73</v>
      </c>
      <c r="AF749">
        <v>166</v>
      </c>
      <c r="AG749" t="s">
        <v>120</v>
      </c>
      <c r="AH749">
        <v>0</v>
      </c>
      <c r="AI749" t="s">
        <v>120</v>
      </c>
      <c r="AJ749">
        <v>2.4</v>
      </c>
      <c r="AK749" t="s">
        <v>4502</v>
      </c>
      <c r="AL749">
        <v>-1.75</v>
      </c>
      <c r="AM749">
        <v>1987</v>
      </c>
      <c r="AN749">
        <v>18</v>
      </c>
      <c r="AO749">
        <v>8.0000000000000004E-4</v>
      </c>
      <c r="AP749">
        <v>-6</v>
      </c>
      <c r="AQ749">
        <v>-0.25</v>
      </c>
      <c r="AR749">
        <v>-5.21</v>
      </c>
      <c r="AS749">
        <v>-7.35</v>
      </c>
      <c r="AT749">
        <v>-6.34</v>
      </c>
      <c r="AU749">
        <v>-0.63</v>
      </c>
      <c r="AV749">
        <v>4</v>
      </c>
      <c r="AW749">
        <v>2.63</v>
      </c>
      <c r="AX749">
        <v>57.6</v>
      </c>
      <c r="AY749">
        <v>77.95</v>
      </c>
      <c r="AZ749">
        <v>90.38</v>
      </c>
      <c r="BA749">
        <v>0.3</v>
      </c>
      <c r="BB749" t="s">
        <v>143</v>
      </c>
      <c r="BF749">
        <v>-1.99</v>
      </c>
      <c r="BG749">
        <v>-3.52</v>
      </c>
      <c r="BH749">
        <v>-4.1100000000000003</v>
      </c>
      <c r="BI749">
        <v>0.21</v>
      </c>
      <c r="BJ749">
        <v>20210826</v>
      </c>
      <c r="BK749">
        <v>20100115</v>
      </c>
      <c r="BL749">
        <v>2.4</v>
      </c>
      <c r="BM749" t="s">
        <v>120</v>
      </c>
      <c r="BN749" t="s">
        <v>120</v>
      </c>
      <c r="BO749">
        <v>11.25</v>
      </c>
      <c r="BP749">
        <v>18.899999999999999</v>
      </c>
      <c r="BQ749">
        <v>9.02</v>
      </c>
      <c r="BR749">
        <v>0.87</v>
      </c>
      <c r="BS749">
        <v>12.08</v>
      </c>
      <c r="BT749">
        <v>7.75</v>
      </c>
      <c r="BU749">
        <v>1.78</v>
      </c>
      <c r="BV749">
        <v>0.18</v>
      </c>
      <c r="BW749">
        <v>1.01</v>
      </c>
      <c r="BX749">
        <v>0.82</v>
      </c>
      <c r="BY749">
        <v>3.09</v>
      </c>
      <c r="BZ749">
        <v>2.14</v>
      </c>
      <c r="CA749" t="s">
        <v>120</v>
      </c>
      <c r="CB749">
        <v>2.5099999999999998</v>
      </c>
      <c r="CC749">
        <v>2.94</v>
      </c>
      <c r="CD749">
        <v>2.02</v>
      </c>
      <c r="CE749">
        <v>0.35</v>
      </c>
      <c r="CF749">
        <v>0.13</v>
      </c>
      <c r="CG749">
        <v>0.35</v>
      </c>
      <c r="CH749">
        <v>0.32</v>
      </c>
      <c r="CI749">
        <v>0.28999999999999998</v>
      </c>
      <c r="CJ749">
        <v>-0.72</v>
      </c>
      <c r="CK749">
        <v>0.27</v>
      </c>
      <c r="CL749">
        <v>3.39</v>
      </c>
      <c r="CM749">
        <v>-0.56999999999999995</v>
      </c>
      <c r="CN749">
        <v>-0.64</v>
      </c>
      <c r="CO749">
        <v>32706</v>
      </c>
      <c r="CP749">
        <v>4227</v>
      </c>
      <c r="CQ749" t="s">
        <v>2492</v>
      </c>
      <c r="CR749">
        <v>40.119999999999997</v>
      </c>
      <c r="CS749">
        <v>62.26</v>
      </c>
      <c r="CT749">
        <v>5.03</v>
      </c>
      <c r="CU749">
        <v>-79.8</v>
      </c>
      <c r="CV749">
        <v>15.42</v>
      </c>
      <c r="CW749">
        <v>0.41</v>
      </c>
      <c r="CX749" t="s">
        <v>850</v>
      </c>
      <c r="CY749">
        <v>3.76</v>
      </c>
      <c r="CZ749">
        <v>0</v>
      </c>
      <c r="DA749">
        <v>1.04</v>
      </c>
      <c r="DB749">
        <v>1.41</v>
      </c>
      <c r="DC749">
        <v>-0.24</v>
      </c>
      <c r="DD749">
        <v>80.16</v>
      </c>
      <c r="DE749" t="s">
        <v>2554</v>
      </c>
      <c r="DF749">
        <v>31.22</v>
      </c>
      <c r="DG749">
        <v>11.82</v>
      </c>
      <c r="DH749">
        <v>9.8699999999999992</v>
      </c>
      <c r="DI749">
        <v>0.25</v>
      </c>
      <c r="DJ749">
        <v>1267</v>
      </c>
      <c r="DK749">
        <v>2338</v>
      </c>
      <c r="DL749" t="s">
        <v>120</v>
      </c>
      <c r="DM749" t="s">
        <v>120</v>
      </c>
      <c r="DN749" t="s">
        <v>120</v>
      </c>
    </row>
    <row r="750" spans="1:118">
      <c r="A750" t="str">
        <f>"002339"</f>
        <v>002339</v>
      </c>
      <c r="B750" t="s">
        <v>4503</v>
      </c>
      <c r="C750">
        <v>-2.1</v>
      </c>
      <c r="D750">
        <v>-0.13</v>
      </c>
      <c r="E750">
        <v>0</v>
      </c>
      <c r="F750">
        <v>800</v>
      </c>
      <c r="G750" t="s">
        <v>4504</v>
      </c>
      <c r="H750">
        <v>7032.48</v>
      </c>
      <c r="I750">
        <v>21.6</v>
      </c>
      <c r="J750" t="s">
        <v>120</v>
      </c>
      <c r="K750" t="s">
        <v>3377</v>
      </c>
      <c r="L750">
        <v>2.06</v>
      </c>
      <c r="M750">
        <v>6.98</v>
      </c>
      <c r="N750">
        <v>1.02</v>
      </c>
      <c r="O750">
        <v>1.54</v>
      </c>
      <c r="P750">
        <v>7.24</v>
      </c>
      <c r="Q750">
        <v>-2.2400000000000002</v>
      </c>
      <c r="R750">
        <v>6.97</v>
      </c>
      <c r="S750">
        <v>7.13</v>
      </c>
      <c r="T750">
        <v>99227</v>
      </c>
      <c r="U750">
        <v>6.99</v>
      </c>
      <c r="V750">
        <v>7.13</v>
      </c>
      <c r="W750" t="s">
        <v>120</v>
      </c>
      <c r="X750" t="s">
        <v>394</v>
      </c>
      <c r="Y750" t="s">
        <v>638</v>
      </c>
      <c r="Z750">
        <v>3.79</v>
      </c>
      <c r="AA750">
        <v>7.09</v>
      </c>
      <c r="AB750">
        <v>58880</v>
      </c>
      <c r="AC750">
        <v>40347</v>
      </c>
      <c r="AD750">
        <v>1.46</v>
      </c>
      <c r="AE750">
        <v>967</v>
      </c>
      <c r="AF750">
        <v>426</v>
      </c>
      <c r="AG750" t="s">
        <v>120</v>
      </c>
      <c r="AH750">
        <v>0.01</v>
      </c>
      <c r="AI750" t="s">
        <v>120</v>
      </c>
      <c r="AJ750">
        <v>4.8099999999999996</v>
      </c>
      <c r="AK750" t="s">
        <v>4505</v>
      </c>
      <c r="AL750">
        <v>-0.19</v>
      </c>
      <c r="AM750">
        <v>1950</v>
      </c>
      <c r="AN750">
        <v>51</v>
      </c>
      <c r="AO750">
        <v>1.1000000000000001E-3</v>
      </c>
      <c r="AP750">
        <v>-1</v>
      </c>
      <c r="AQ750">
        <v>4.3899999999999997</v>
      </c>
      <c r="AR750">
        <v>-0.57999999999999996</v>
      </c>
      <c r="AS750">
        <v>10.09</v>
      </c>
      <c r="AT750">
        <v>11.68</v>
      </c>
      <c r="AU750">
        <v>11.5</v>
      </c>
      <c r="AV750">
        <v>1</v>
      </c>
      <c r="AW750">
        <v>2.48</v>
      </c>
      <c r="AX750">
        <v>78.27</v>
      </c>
      <c r="AY750">
        <v>53.39</v>
      </c>
      <c r="AZ750">
        <v>62.11</v>
      </c>
      <c r="BA750">
        <v>0.35</v>
      </c>
      <c r="BB750" t="s">
        <v>751</v>
      </c>
      <c r="BF750">
        <v>-0.6</v>
      </c>
      <c r="BG750">
        <v>-2.1</v>
      </c>
      <c r="BH750">
        <v>-3.59</v>
      </c>
      <c r="BI750">
        <v>0.14000000000000001</v>
      </c>
      <c r="BJ750">
        <v>20210821</v>
      </c>
      <c r="BK750">
        <v>20100122</v>
      </c>
      <c r="BL750">
        <v>5.12</v>
      </c>
      <c r="BM750" t="s">
        <v>120</v>
      </c>
      <c r="BN750" t="s">
        <v>120</v>
      </c>
      <c r="BO750">
        <v>34.82</v>
      </c>
      <c r="BP750">
        <v>6.98</v>
      </c>
      <c r="BQ750">
        <v>17.91</v>
      </c>
      <c r="BR750">
        <v>2.64</v>
      </c>
      <c r="BS750">
        <v>41</v>
      </c>
      <c r="BT750">
        <v>26.69</v>
      </c>
      <c r="BU750">
        <v>2.57</v>
      </c>
      <c r="BV750">
        <v>1.88</v>
      </c>
      <c r="BW750">
        <v>11.32</v>
      </c>
      <c r="BX750">
        <v>5.45</v>
      </c>
      <c r="BY750">
        <v>7.19</v>
      </c>
      <c r="BZ750">
        <v>10.41</v>
      </c>
      <c r="CA750" t="s">
        <v>120</v>
      </c>
      <c r="CB750">
        <v>4.8899999999999997</v>
      </c>
      <c r="CC750">
        <v>6.8</v>
      </c>
      <c r="CD750">
        <v>4.5199999999999996</v>
      </c>
      <c r="CE750">
        <v>-0.15</v>
      </c>
      <c r="CF750">
        <v>-0.01</v>
      </c>
      <c r="CG750">
        <v>-0.13</v>
      </c>
      <c r="CH750">
        <v>-0.17</v>
      </c>
      <c r="CI750">
        <v>-0.25</v>
      </c>
      <c r="CJ750">
        <v>-0.15</v>
      </c>
      <c r="CK750">
        <v>-0.27</v>
      </c>
      <c r="CL750">
        <v>7.49</v>
      </c>
      <c r="CM750">
        <v>-3.05</v>
      </c>
      <c r="CN750">
        <v>-3.13</v>
      </c>
      <c r="CO750">
        <v>35486</v>
      </c>
      <c r="CP750">
        <v>11288</v>
      </c>
      <c r="CQ750" t="s">
        <v>1436</v>
      </c>
      <c r="CR750">
        <v>27.58</v>
      </c>
      <c r="CS750">
        <v>20.53</v>
      </c>
      <c r="CT750">
        <v>1.99</v>
      </c>
      <c r="CU750">
        <v>-11.72</v>
      </c>
      <c r="CV750">
        <v>5.26</v>
      </c>
      <c r="CW750">
        <v>0.41</v>
      </c>
      <c r="CX750" t="s">
        <v>161</v>
      </c>
      <c r="CY750">
        <v>3.5</v>
      </c>
      <c r="CZ750">
        <v>0</v>
      </c>
      <c r="DA750">
        <v>0.95</v>
      </c>
      <c r="DB750">
        <v>1.46</v>
      </c>
      <c r="DC750">
        <v>-0.6</v>
      </c>
      <c r="DD750">
        <v>51.44</v>
      </c>
      <c r="DE750" t="s">
        <v>1738</v>
      </c>
      <c r="DF750">
        <v>33.51</v>
      </c>
      <c r="DG750">
        <v>-2.14</v>
      </c>
      <c r="DH750">
        <v>-3.71</v>
      </c>
      <c r="DI750">
        <v>0.85</v>
      </c>
      <c r="DJ750">
        <v>2647</v>
      </c>
      <c r="DK750">
        <v>2339</v>
      </c>
      <c r="DL750" t="s">
        <v>120</v>
      </c>
      <c r="DM750" t="s">
        <v>120</v>
      </c>
      <c r="DN750" t="s">
        <v>120</v>
      </c>
    </row>
    <row r="751" spans="1:118">
      <c r="A751" t="str">
        <f>"002340"</f>
        <v>002340</v>
      </c>
      <c r="B751" t="s">
        <v>4506</v>
      </c>
      <c r="C751">
        <v>-5.6</v>
      </c>
      <c r="D751">
        <v>0</v>
      </c>
      <c r="E751">
        <v>0.37</v>
      </c>
      <c r="F751">
        <v>41961</v>
      </c>
      <c r="G751" t="s">
        <v>4507</v>
      </c>
      <c r="H751">
        <v>458892.02</v>
      </c>
      <c r="I751">
        <v>2169.4899999999998</v>
      </c>
      <c r="J751" t="s">
        <v>120</v>
      </c>
      <c r="K751" t="s">
        <v>2608</v>
      </c>
      <c r="L751">
        <v>7.45</v>
      </c>
      <c r="M751">
        <v>12.65</v>
      </c>
      <c r="N751">
        <v>1.0900000000000001</v>
      </c>
      <c r="O751">
        <v>0.37</v>
      </c>
      <c r="P751">
        <v>13.45</v>
      </c>
      <c r="Q751">
        <v>-5.75</v>
      </c>
      <c r="R751">
        <v>12.63</v>
      </c>
      <c r="S751">
        <v>13.45</v>
      </c>
      <c r="T751">
        <v>3548287</v>
      </c>
      <c r="U751">
        <v>12.66</v>
      </c>
      <c r="V751">
        <v>13.4</v>
      </c>
      <c r="W751">
        <v>56.31</v>
      </c>
      <c r="X751" t="s">
        <v>1390</v>
      </c>
      <c r="Y751" t="s">
        <v>123</v>
      </c>
      <c r="Z751">
        <v>6.12</v>
      </c>
      <c r="AA751">
        <v>12.93</v>
      </c>
      <c r="AB751">
        <v>1878518</v>
      </c>
      <c r="AC751">
        <v>1669769</v>
      </c>
      <c r="AD751">
        <v>1.1299999999999999</v>
      </c>
      <c r="AE751">
        <v>7937</v>
      </c>
      <c r="AF751">
        <v>3789</v>
      </c>
      <c r="AG751" t="s">
        <v>120</v>
      </c>
      <c r="AH751">
        <v>0.04</v>
      </c>
      <c r="AI751" t="s">
        <v>120</v>
      </c>
      <c r="AJ751">
        <v>47.62</v>
      </c>
      <c r="AK751" t="s">
        <v>4508</v>
      </c>
      <c r="AL751">
        <v>-3.68</v>
      </c>
      <c r="AM751">
        <v>4743</v>
      </c>
      <c r="AN751">
        <v>748</v>
      </c>
      <c r="AO751">
        <v>1.6000000000000001E-3</v>
      </c>
      <c r="AP751">
        <v>-1</v>
      </c>
      <c r="AQ751">
        <v>2.06</v>
      </c>
      <c r="AR751">
        <v>-4.67</v>
      </c>
      <c r="AS751">
        <v>8.1199999999999992</v>
      </c>
      <c r="AT751">
        <v>36.17</v>
      </c>
      <c r="AU751">
        <v>81.36</v>
      </c>
      <c r="AV751">
        <v>11</v>
      </c>
      <c r="AW751">
        <v>8.4499999999999993</v>
      </c>
      <c r="AX751">
        <v>87.74</v>
      </c>
      <c r="AY751">
        <v>87.11</v>
      </c>
      <c r="AZ751">
        <v>155.38999999999999</v>
      </c>
      <c r="BA751">
        <v>1.21</v>
      </c>
      <c r="BB751" t="s">
        <v>184</v>
      </c>
      <c r="BF751">
        <v>-3.49</v>
      </c>
      <c r="BG751">
        <v>-5.95</v>
      </c>
      <c r="BH751">
        <v>-5.95</v>
      </c>
      <c r="BI751">
        <v>0.16</v>
      </c>
      <c r="BJ751">
        <v>20210901</v>
      </c>
      <c r="BK751">
        <v>20100122</v>
      </c>
      <c r="BL751">
        <v>47.84</v>
      </c>
      <c r="BM751" t="s">
        <v>120</v>
      </c>
      <c r="BN751" t="s">
        <v>120</v>
      </c>
      <c r="BO751">
        <v>320.31</v>
      </c>
      <c r="BP751">
        <v>12.65</v>
      </c>
      <c r="BQ751">
        <v>138.08000000000001</v>
      </c>
      <c r="BR751">
        <v>13.73</v>
      </c>
      <c r="BS751">
        <v>52.61</v>
      </c>
      <c r="BT751">
        <v>161.30000000000001</v>
      </c>
      <c r="BU751">
        <v>97.71</v>
      </c>
      <c r="BV751">
        <v>17.57</v>
      </c>
      <c r="BW751">
        <v>146.44999999999999</v>
      </c>
      <c r="BX751">
        <v>38.79</v>
      </c>
      <c r="BY751">
        <v>59.58</v>
      </c>
      <c r="BZ751">
        <v>31.07</v>
      </c>
      <c r="CA751" t="s">
        <v>120</v>
      </c>
      <c r="CB751">
        <v>53.97</v>
      </c>
      <c r="CC751">
        <v>80</v>
      </c>
      <c r="CD751">
        <v>63.67</v>
      </c>
      <c r="CE751">
        <v>6.79</v>
      </c>
      <c r="CF751">
        <v>0.2</v>
      </c>
      <c r="CG751">
        <v>6.79</v>
      </c>
      <c r="CH751">
        <v>5.64</v>
      </c>
      <c r="CI751">
        <v>5.37</v>
      </c>
      <c r="CJ751">
        <v>-0.75</v>
      </c>
      <c r="CK751">
        <v>4.96</v>
      </c>
      <c r="CL751">
        <v>35.14</v>
      </c>
      <c r="CM751">
        <v>0.36</v>
      </c>
      <c r="CN751">
        <v>-3.74</v>
      </c>
      <c r="CO751">
        <v>553346</v>
      </c>
      <c r="CP751">
        <v>7585</v>
      </c>
      <c r="CQ751" t="s">
        <v>1756</v>
      </c>
      <c r="CR751">
        <v>151.1</v>
      </c>
      <c r="CS751">
        <v>42.51</v>
      </c>
      <c r="CT751">
        <v>4.38</v>
      </c>
      <c r="CU751">
        <v>1702.23</v>
      </c>
      <c r="CV751">
        <v>7.56</v>
      </c>
      <c r="CW751">
        <v>0.11</v>
      </c>
      <c r="CX751" t="s">
        <v>1147</v>
      </c>
      <c r="CY751">
        <v>2.89</v>
      </c>
      <c r="CZ751">
        <v>0</v>
      </c>
      <c r="DA751">
        <v>1.1299999999999999</v>
      </c>
      <c r="DB751">
        <v>0.73</v>
      </c>
      <c r="DC751">
        <v>0.01</v>
      </c>
      <c r="DD751">
        <v>43.11</v>
      </c>
      <c r="DE751" t="s">
        <v>4509</v>
      </c>
      <c r="DF751">
        <v>20.420000000000002</v>
      </c>
      <c r="DG751">
        <v>8.48</v>
      </c>
      <c r="DH751">
        <v>6.72</v>
      </c>
      <c r="DI751">
        <v>3.47</v>
      </c>
      <c r="DJ751">
        <v>5129</v>
      </c>
      <c r="DK751">
        <v>2340</v>
      </c>
      <c r="DL751" t="s">
        <v>120</v>
      </c>
      <c r="DM751" t="s">
        <v>120</v>
      </c>
      <c r="DN751" t="s">
        <v>120</v>
      </c>
    </row>
    <row r="752" spans="1:118">
      <c r="A752" t="str">
        <f>"002341"</f>
        <v>002341</v>
      </c>
      <c r="B752" t="s">
        <v>4510</v>
      </c>
      <c r="C752">
        <v>-3.31</v>
      </c>
      <c r="D752">
        <v>0</v>
      </c>
      <c r="E752">
        <v>-1.58</v>
      </c>
      <c r="F752">
        <v>12483</v>
      </c>
      <c r="G752" t="s">
        <v>1237</v>
      </c>
      <c r="H752">
        <v>69491.490000000005</v>
      </c>
      <c r="I752">
        <v>561.77</v>
      </c>
      <c r="J752" t="s">
        <v>120</v>
      </c>
      <c r="K752" t="s">
        <v>1237</v>
      </c>
      <c r="L752">
        <v>11.26</v>
      </c>
      <c r="M752">
        <v>6.72</v>
      </c>
      <c r="N752">
        <v>1.54</v>
      </c>
      <c r="O752">
        <v>3.88</v>
      </c>
      <c r="P752">
        <v>7.22</v>
      </c>
      <c r="Q752">
        <v>-3.6</v>
      </c>
      <c r="R752">
        <v>6.7</v>
      </c>
      <c r="S752">
        <v>6.84</v>
      </c>
      <c r="T752">
        <v>1003818</v>
      </c>
      <c r="U752">
        <v>6.72</v>
      </c>
      <c r="V752">
        <v>6.95</v>
      </c>
      <c r="W752" t="s">
        <v>120</v>
      </c>
      <c r="X752" t="s">
        <v>868</v>
      </c>
      <c r="Y752" t="s">
        <v>123</v>
      </c>
      <c r="Z752">
        <v>7.48</v>
      </c>
      <c r="AA752">
        <v>6.92</v>
      </c>
      <c r="AB752">
        <v>533316</v>
      </c>
      <c r="AC752">
        <v>470502</v>
      </c>
      <c r="AD752">
        <v>1.1299999999999999</v>
      </c>
      <c r="AE752">
        <v>761</v>
      </c>
      <c r="AF752">
        <v>5618</v>
      </c>
      <c r="AG752" t="s">
        <v>120</v>
      </c>
      <c r="AH752">
        <v>0.09</v>
      </c>
      <c r="AI752" t="s">
        <v>120</v>
      </c>
      <c r="AJ752">
        <v>8.92</v>
      </c>
      <c r="AK752" t="s">
        <v>4511</v>
      </c>
      <c r="AL752">
        <v>-1.4</v>
      </c>
      <c r="AM752">
        <v>4269</v>
      </c>
      <c r="AN752">
        <v>235</v>
      </c>
      <c r="AO752">
        <v>2.5999999999999999E-3</v>
      </c>
      <c r="AP752">
        <v>-1</v>
      </c>
      <c r="AQ752">
        <v>4.3499999999999996</v>
      </c>
      <c r="AR752">
        <v>11.07</v>
      </c>
      <c r="AS752">
        <v>29.98</v>
      </c>
      <c r="AT752">
        <v>28</v>
      </c>
      <c r="AU752">
        <v>91.46</v>
      </c>
      <c r="AV752">
        <v>15</v>
      </c>
      <c r="AW752">
        <v>11.26</v>
      </c>
      <c r="AX752">
        <v>77.38</v>
      </c>
      <c r="AY752" t="s">
        <v>120</v>
      </c>
      <c r="AZ752" t="s">
        <v>120</v>
      </c>
      <c r="BA752">
        <v>1.17</v>
      </c>
      <c r="BB752" t="s">
        <v>4512</v>
      </c>
      <c r="BF752">
        <v>-0.39</v>
      </c>
      <c r="BG752">
        <v>-1.75</v>
      </c>
      <c r="BH752">
        <v>-6.93</v>
      </c>
      <c r="BI752">
        <v>0.3</v>
      </c>
      <c r="BJ752">
        <v>20210914</v>
      </c>
      <c r="BK752">
        <v>20100122</v>
      </c>
      <c r="BL752">
        <v>11.52</v>
      </c>
      <c r="BM752" t="s">
        <v>120</v>
      </c>
      <c r="BN752" t="s">
        <v>120</v>
      </c>
      <c r="BO752">
        <v>72.88</v>
      </c>
      <c r="BP752">
        <v>6.71</v>
      </c>
      <c r="BQ752">
        <v>35.86</v>
      </c>
      <c r="BR752">
        <v>-0.32</v>
      </c>
      <c r="BS752">
        <v>51.23</v>
      </c>
      <c r="BT752">
        <v>17.850000000000001</v>
      </c>
      <c r="BU752">
        <v>15.76</v>
      </c>
      <c r="BV752">
        <v>4.84</v>
      </c>
      <c r="BW752">
        <v>30.19</v>
      </c>
      <c r="BX752">
        <v>0.36</v>
      </c>
      <c r="BY752">
        <v>2.71</v>
      </c>
      <c r="BZ752">
        <v>3.55</v>
      </c>
      <c r="CA752" t="s">
        <v>120</v>
      </c>
      <c r="CB752">
        <v>32.409999999999997</v>
      </c>
      <c r="CC752">
        <v>8.52</v>
      </c>
      <c r="CD752">
        <v>6.54</v>
      </c>
      <c r="CE752">
        <v>-0.76</v>
      </c>
      <c r="CF752">
        <v>-0.01</v>
      </c>
      <c r="CG752">
        <v>-0.79</v>
      </c>
      <c r="CH752">
        <v>-0.69</v>
      </c>
      <c r="CI752">
        <v>-0.67</v>
      </c>
      <c r="CJ752">
        <v>-0.23</v>
      </c>
      <c r="CK752">
        <v>-0.8</v>
      </c>
      <c r="CL752">
        <v>-8.4700000000000006</v>
      </c>
      <c r="CM752">
        <v>1.08</v>
      </c>
      <c r="CN752">
        <v>-1.1399999999999999</v>
      </c>
      <c r="CO752">
        <v>70675</v>
      </c>
      <c r="CP752">
        <v>12615</v>
      </c>
      <c r="CQ752" t="s">
        <v>3393</v>
      </c>
      <c r="CR752">
        <v>-60.61</v>
      </c>
      <c r="CS752">
        <v>-19.489999999999998</v>
      </c>
      <c r="CT752">
        <v>2.16</v>
      </c>
      <c r="CU752">
        <v>71.400000000000006</v>
      </c>
      <c r="CV752">
        <v>9.09</v>
      </c>
      <c r="CW752">
        <v>0</v>
      </c>
      <c r="CX752" t="s">
        <v>4513</v>
      </c>
      <c r="CY752">
        <v>3.11</v>
      </c>
      <c r="CZ752">
        <v>0</v>
      </c>
      <c r="DA752">
        <v>2.81</v>
      </c>
      <c r="DB752">
        <v>-0.74</v>
      </c>
      <c r="DC752">
        <v>0.09</v>
      </c>
      <c r="DD752">
        <v>49.21</v>
      </c>
      <c r="DE752" t="s">
        <v>4514</v>
      </c>
      <c r="DF752">
        <v>23.24</v>
      </c>
      <c r="DG752">
        <v>-8.8699999999999992</v>
      </c>
      <c r="DH752">
        <v>-7.91</v>
      </c>
      <c r="DI752">
        <v>0.18</v>
      </c>
      <c r="DJ752">
        <v>1605</v>
      </c>
      <c r="DK752">
        <v>2341</v>
      </c>
      <c r="DL752" t="s">
        <v>120</v>
      </c>
      <c r="DM752" t="s">
        <v>120</v>
      </c>
      <c r="DN752" t="s">
        <v>120</v>
      </c>
    </row>
    <row r="753" spans="1:118">
      <c r="A753" t="str">
        <f>"002342"</f>
        <v>002342</v>
      </c>
      <c r="B753" t="s">
        <v>4515</v>
      </c>
      <c r="C753">
        <v>-1.97</v>
      </c>
      <c r="D753">
        <v>0</v>
      </c>
      <c r="E753">
        <v>0</v>
      </c>
      <c r="F753">
        <v>2231</v>
      </c>
      <c r="G753" t="s">
        <v>4516</v>
      </c>
      <c r="H753">
        <v>17853.64</v>
      </c>
      <c r="I753">
        <v>143.81</v>
      </c>
      <c r="J753" t="s">
        <v>120</v>
      </c>
      <c r="K753" t="s">
        <v>4424</v>
      </c>
      <c r="L753">
        <v>4.45</v>
      </c>
      <c r="M753">
        <v>4.49</v>
      </c>
      <c r="N753">
        <v>1.27</v>
      </c>
      <c r="O753">
        <v>0.87</v>
      </c>
      <c r="P753">
        <v>4.62</v>
      </c>
      <c r="Q753">
        <v>-2.4</v>
      </c>
      <c r="R753">
        <v>4.47</v>
      </c>
      <c r="S753">
        <v>4.58</v>
      </c>
      <c r="T753">
        <v>392276</v>
      </c>
      <c r="U753">
        <v>4.5</v>
      </c>
      <c r="V753">
        <v>4.58</v>
      </c>
      <c r="W753">
        <v>127.83</v>
      </c>
      <c r="X753" t="s">
        <v>959</v>
      </c>
      <c r="Y753" t="s">
        <v>602</v>
      </c>
      <c r="Z753">
        <v>3.28</v>
      </c>
      <c r="AA753">
        <v>4.55</v>
      </c>
      <c r="AB753">
        <v>213720</v>
      </c>
      <c r="AC753">
        <v>178556</v>
      </c>
      <c r="AD753">
        <v>1.2</v>
      </c>
      <c r="AE753">
        <v>2824</v>
      </c>
      <c r="AF753">
        <v>834</v>
      </c>
      <c r="AG753" t="s">
        <v>120</v>
      </c>
      <c r="AH753">
        <v>0.05</v>
      </c>
      <c r="AI753" t="s">
        <v>120</v>
      </c>
      <c r="AJ753">
        <v>8.81</v>
      </c>
      <c r="AK753" t="s">
        <v>4517</v>
      </c>
      <c r="AL753">
        <v>-0.05</v>
      </c>
      <c r="AM753">
        <v>3223</v>
      </c>
      <c r="AN753">
        <v>122</v>
      </c>
      <c r="AO753">
        <v>1.4E-3</v>
      </c>
      <c r="AP753">
        <v>-1</v>
      </c>
      <c r="AQ753">
        <v>5.77</v>
      </c>
      <c r="AR753">
        <v>0.89</v>
      </c>
      <c r="AS753">
        <v>6.14</v>
      </c>
      <c r="AT753">
        <v>-5.07</v>
      </c>
      <c r="AU753">
        <v>7.03</v>
      </c>
      <c r="AV753">
        <v>13</v>
      </c>
      <c r="AW753">
        <v>6.24</v>
      </c>
      <c r="AX753">
        <v>65.44</v>
      </c>
      <c r="AY753">
        <v>126.17</v>
      </c>
      <c r="AZ753">
        <v>132.61000000000001</v>
      </c>
      <c r="BA753">
        <v>0.64</v>
      </c>
      <c r="BB753" t="s">
        <v>1103</v>
      </c>
      <c r="BF753">
        <v>-0.63</v>
      </c>
      <c r="BG753">
        <v>-1.97</v>
      </c>
      <c r="BH753">
        <v>-2.81</v>
      </c>
      <c r="BI753">
        <v>0.45</v>
      </c>
      <c r="BJ753">
        <v>20210819</v>
      </c>
      <c r="BK753">
        <v>20100126</v>
      </c>
      <c r="BL753">
        <v>9.6</v>
      </c>
      <c r="BM753" t="s">
        <v>120</v>
      </c>
      <c r="BN753" t="s">
        <v>120</v>
      </c>
      <c r="BO753">
        <v>42.18</v>
      </c>
      <c r="BP753">
        <v>4.49</v>
      </c>
      <c r="BQ753">
        <v>24.73</v>
      </c>
      <c r="BR753" t="s">
        <v>120</v>
      </c>
      <c r="BS753">
        <v>41.38</v>
      </c>
      <c r="BT753">
        <v>25.7</v>
      </c>
      <c r="BU753">
        <v>13.41</v>
      </c>
      <c r="BV753">
        <v>1.39</v>
      </c>
      <c r="BW753">
        <v>16.54</v>
      </c>
      <c r="BX753">
        <v>4.28</v>
      </c>
      <c r="BY753">
        <v>7.91</v>
      </c>
      <c r="BZ753">
        <v>10.27</v>
      </c>
      <c r="CA753" t="s">
        <v>120</v>
      </c>
      <c r="CB753">
        <v>6.73</v>
      </c>
      <c r="CC753">
        <v>12.23</v>
      </c>
      <c r="CD753">
        <v>10.19</v>
      </c>
      <c r="CE753">
        <v>0.19</v>
      </c>
      <c r="CF753">
        <v>0</v>
      </c>
      <c r="CG753">
        <v>0.2</v>
      </c>
      <c r="CH753">
        <v>0.17</v>
      </c>
      <c r="CI753">
        <v>0.17</v>
      </c>
      <c r="CJ753">
        <v>-0.09</v>
      </c>
      <c r="CK753">
        <v>0.13</v>
      </c>
      <c r="CL753">
        <v>7.15</v>
      </c>
      <c r="CM753">
        <v>-0.14000000000000001</v>
      </c>
      <c r="CN753">
        <v>-0.81</v>
      </c>
      <c r="CO753">
        <v>105969</v>
      </c>
      <c r="CP753">
        <v>5929</v>
      </c>
      <c r="CQ753" t="s">
        <v>4518</v>
      </c>
      <c r="CR753">
        <v>11.16</v>
      </c>
      <c r="CS753">
        <v>20.76</v>
      </c>
      <c r="CT753">
        <v>1.74</v>
      </c>
      <c r="CU753">
        <v>-315.19</v>
      </c>
      <c r="CV753">
        <v>3.52</v>
      </c>
      <c r="CW753">
        <v>0.11</v>
      </c>
      <c r="CX753" t="s">
        <v>1819</v>
      </c>
      <c r="CY753">
        <v>2.58</v>
      </c>
      <c r="CZ753">
        <v>0</v>
      </c>
      <c r="DA753">
        <v>0.7</v>
      </c>
      <c r="DB753">
        <v>0.74</v>
      </c>
      <c r="DC753">
        <v>-0.01</v>
      </c>
      <c r="DD753">
        <v>58.62</v>
      </c>
      <c r="DE753" t="s">
        <v>1405</v>
      </c>
      <c r="DF753">
        <v>16.690000000000001</v>
      </c>
      <c r="DG753">
        <v>1.55</v>
      </c>
      <c r="DH753">
        <v>1.38</v>
      </c>
      <c r="DI753">
        <v>0.01</v>
      </c>
      <c r="DJ753">
        <v>2205</v>
      </c>
      <c r="DK753">
        <v>2342</v>
      </c>
      <c r="DL753" t="s">
        <v>120</v>
      </c>
      <c r="DM753" t="s">
        <v>120</v>
      </c>
      <c r="DN753" t="s">
        <v>120</v>
      </c>
    </row>
    <row r="754" spans="1:118">
      <c r="A754" t="str">
        <f>"002343"</f>
        <v>002343</v>
      </c>
      <c r="B754" t="s">
        <v>4519</v>
      </c>
      <c r="C754">
        <v>-0.98</v>
      </c>
      <c r="D754">
        <v>0</v>
      </c>
      <c r="E754">
        <v>0.39</v>
      </c>
      <c r="F754">
        <v>631</v>
      </c>
      <c r="G754" t="s">
        <v>1183</v>
      </c>
      <c r="H754">
        <v>2690.63</v>
      </c>
      <c r="I754">
        <v>7.37</v>
      </c>
      <c r="J754" t="s">
        <v>120</v>
      </c>
      <c r="K754" t="s">
        <v>259</v>
      </c>
      <c r="L754">
        <v>1.1100000000000001</v>
      </c>
      <c r="M754">
        <v>5.05</v>
      </c>
      <c r="N754">
        <v>0.86</v>
      </c>
      <c r="O754">
        <v>1.76</v>
      </c>
      <c r="P754">
        <v>5.19</v>
      </c>
      <c r="Q754">
        <v>-1.57</v>
      </c>
      <c r="R754">
        <v>5.0199999999999996</v>
      </c>
      <c r="S754">
        <v>5.12</v>
      </c>
      <c r="T754">
        <v>52676</v>
      </c>
      <c r="U754">
        <v>5.05</v>
      </c>
      <c r="V754">
        <v>5.0999999999999996</v>
      </c>
      <c r="W754">
        <v>84.83</v>
      </c>
      <c r="X754" t="s">
        <v>584</v>
      </c>
      <c r="Y754" t="s">
        <v>585</v>
      </c>
      <c r="Z754">
        <v>3.33</v>
      </c>
      <c r="AA754">
        <v>5.1100000000000003</v>
      </c>
      <c r="AB754">
        <v>28080</v>
      </c>
      <c r="AC754">
        <v>24596</v>
      </c>
      <c r="AD754">
        <v>1.1399999999999999</v>
      </c>
      <c r="AE754">
        <v>947</v>
      </c>
      <c r="AF754">
        <v>586</v>
      </c>
      <c r="AG754" t="s">
        <v>120</v>
      </c>
      <c r="AH754">
        <v>0</v>
      </c>
      <c r="AI754" t="s">
        <v>120</v>
      </c>
      <c r="AJ754">
        <v>4.74</v>
      </c>
      <c r="AK754" t="s">
        <v>4520</v>
      </c>
      <c r="AL754">
        <v>0.93</v>
      </c>
      <c r="AM754">
        <v>1453</v>
      </c>
      <c r="AN754">
        <v>36</v>
      </c>
      <c r="AO754">
        <v>8.0000000000000004E-4</v>
      </c>
      <c r="AP754">
        <v>-1</v>
      </c>
      <c r="AQ754">
        <v>1.19</v>
      </c>
      <c r="AR754">
        <v>-0.98</v>
      </c>
      <c r="AS754">
        <v>10.99</v>
      </c>
      <c r="AT754">
        <v>-0.4</v>
      </c>
      <c r="AU754">
        <v>-21.59</v>
      </c>
      <c r="AV754">
        <v>1</v>
      </c>
      <c r="AW754">
        <v>1.59</v>
      </c>
      <c r="AX754">
        <v>69.95</v>
      </c>
      <c r="AY754" t="s">
        <v>120</v>
      </c>
      <c r="AZ754" t="s">
        <v>120</v>
      </c>
      <c r="BA754">
        <v>0.4</v>
      </c>
      <c r="BB754" t="s">
        <v>184</v>
      </c>
      <c r="BF754">
        <v>0.16</v>
      </c>
      <c r="BG754">
        <v>-1.37</v>
      </c>
      <c r="BH754">
        <v>-2.7</v>
      </c>
      <c r="BI754">
        <v>0.6</v>
      </c>
      <c r="BJ754">
        <v>20210914</v>
      </c>
      <c r="BK754">
        <v>20100126</v>
      </c>
      <c r="BL754">
        <v>4.75</v>
      </c>
      <c r="BM754" t="s">
        <v>120</v>
      </c>
      <c r="BN754" t="s">
        <v>120</v>
      </c>
      <c r="BO754">
        <v>22.07</v>
      </c>
      <c r="BP754">
        <v>5.04</v>
      </c>
      <c r="BQ754">
        <v>11.34</v>
      </c>
      <c r="BR754">
        <v>0.4</v>
      </c>
      <c r="BS754">
        <v>46.82</v>
      </c>
      <c r="BT754">
        <v>21.19</v>
      </c>
      <c r="BU754">
        <v>0.27</v>
      </c>
      <c r="BV754">
        <v>0</v>
      </c>
      <c r="BW754">
        <v>9.68</v>
      </c>
      <c r="BX754">
        <v>4.1500000000000004</v>
      </c>
      <c r="BY754">
        <v>10.77</v>
      </c>
      <c r="BZ754">
        <v>4.5999999999999996</v>
      </c>
      <c r="CA754" t="s">
        <v>120</v>
      </c>
      <c r="CB754">
        <v>8.52</v>
      </c>
      <c r="CC754">
        <v>3.91</v>
      </c>
      <c r="CD754">
        <v>3.3</v>
      </c>
      <c r="CE754">
        <v>0.13</v>
      </c>
      <c r="CF754">
        <v>0.02</v>
      </c>
      <c r="CG754">
        <v>0.13</v>
      </c>
      <c r="CH754">
        <v>0.14000000000000001</v>
      </c>
      <c r="CI754">
        <v>0.14000000000000001</v>
      </c>
      <c r="CJ754">
        <v>-0.05</v>
      </c>
      <c r="CK754">
        <v>0.11</v>
      </c>
      <c r="CL754">
        <v>-3.53</v>
      </c>
      <c r="CM754">
        <v>-0.28000000000000003</v>
      </c>
      <c r="CN754">
        <v>-0.1</v>
      </c>
      <c r="CO754">
        <v>23147</v>
      </c>
      <c r="CP754">
        <v>14353</v>
      </c>
      <c r="CQ754" t="s">
        <v>4521</v>
      </c>
      <c r="CR754">
        <v>327.58999999999997</v>
      </c>
      <c r="CS754">
        <v>554.64</v>
      </c>
      <c r="CT754">
        <v>2.12</v>
      </c>
      <c r="CU754">
        <v>-84.21</v>
      </c>
      <c r="CV754">
        <v>6.14</v>
      </c>
      <c r="CW754">
        <v>0</v>
      </c>
      <c r="CX754" t="s">
        <v>2074</v>
      </c>
      <c r="CY754">
        <v>2.39</v>
      </c>
      <c r="CZ754">
        <v>0</v>
      </c>
      <c r="DA754">
        <v>1.79</v>
      </c>
      <c r="DB754">
        <v>-0.74</v>
      </c>
      <c r="DC754">
        <v>-0.06</v>
      </c>
      <c r="DD754">
        <v>51.38</v>
      </c>
      <c r="DE754" t="s">
        <v>4522</v>
      </c>
      <c r="DF754">
        <v>15.53</v>
      </c>
      <c r="DG754">
        <v>3.29</v>
      </c>
      <c r="DH754">
        <v>3.62</v>
      </c>
      <c r="DI754">
        <v>0</v>
      </c>
      <c r="DJ754">
        <v>163</v>
      </c>
      <c r="DK754">
        <v>2343</v>
      </c>
      <c r="DL754" t="s">
        <v>120</v>
      </c>
      <c r="DM754" t="s">
        <v>120</v>
      </c>
      <c r="DN754" t="s">
        <v>120</v>
      </c>
    </row>
    <row r="755" spans="1:118">
      <c r="A755" t="str">
        <f>"002344"</f>
        <v>002344</v>
      </c>
      <c r="B755" t="s">
        <v>4523</v>
      </c>
      <c r="C755">
        <v>-0.95</v>
      </c>
      <c r="D755">
        <v>0</v>
      </c>
      <c r="E755">
        <v>0.47</v>
      </c>
      <c r="F755">
        <v>416</v>
      </c>
      <c r="G755" t="s">
        <v>4524</v>
      </c>
      <c r="H755">
        <v>3369.02</v>
      </c>
      <c r="I755">
        <v>25.1</v>
      </c>
      <c r="J755" t="s">
        <v>120</v>
      </c>
      <c r="K755" t="s">
        <v>4525</v>
      </c>
      <c r="L755">
        <v>0.62</v>
      </c>
      <c r="M755">
        <v>4.18</v>
      </c>
      <c r="N755">
        <v>0.97</v>
      </c>
      <c r="O755">
        <v>0.71</v>
      </c>
      <c r="P755">
        <v>4.25</v>
      </c>
      <c r="Q755">
        <v>-1.66</v>
      </c>
      <c r="R755">
        <v>4.1500000000000004</v>
      </c>
      <c r="S755">
        <v>4.24</v>
      </c>
      <c r="T755">
        <v>80061</v>
      </c>
      <c r="U755">
        <v>4.1900000000000004</v>
      </c>
      <c r="V755">
        <v>4.22</v>
      </c>
      <c r="W755">
        <v>12.71</v>
      </c>
      <c r="X755" t="s">
        <v>4526</v>
      </c>
      <c r="Y755" t="s">
        <v>585</v>
      </c>
      <c r="Z755">
        <v>2.37</v>
      </c>
      <c r="AA755">
        <v>4.21</v>
      </c>
      <c r="AB755">
        <v>46846</v>
      </c>
      <c r="AC755">
        <v>33215</v>
      </c>
      <c r="AD755">
        <v>1.41</v>
      </c>
      <c r="AE755">
        <v>1514</v>
      </c>
      <c r="AF755">
        <v>1240</v>
      </c>
      <c r="AG755" t="s">
        <v>120</v>
      </c>
      <c r="AH755">
        <v>0.01</v>
      </c>
      <c r="AI755" t="s">
        <v>120</v>
      </c>
      <c r="AJ755">
        <v>12.82</v>
      </c>
      <c r="AK755" t="s">
        <v>4527</v>
      </c>
      <c r="AL755">
        <v>0.97</v>
      </c>
      <c r="AM755">
        <v>1628</v>
      </c>
      <c r="AN755">
        <v>49</v>
      </c>
      <c r="AO755">
        <v>4.0000000000000002E-4</v>
      </c>
      <c r="AP755">
        <v>-1</v>
      </c>
      <c r="AQ755">
        <v>1.44</v>
      </c>
      <c r="AR755">
        <v>-1.42</v>
      </c>
      <c r="AS755">
        <v>5.83</v>
      </c>
      <c r="AT755">
        <v>2.95</v>
      </c>
      <c r="AU755">
        <v>2.68</v>
      </c>
      <c r="AV755">
        <v>0</v>
      </c>
      <c r="AW755">
        <v>1.33</v>
      </c>
      <c r="AX755">
        <v>46.97</v>
      </c>
      <c r="AY755">
        <v>21.89</v>
      </c>
      <c r="AZ755">
        <v>27.82</v>
      </c>
      <c r="BA755">
        <v>0.44</v>
      </c>
      <c r="BB755" t="s">
        <v>184</v>
      </c>
      <c r="BF755">
        <v>-0.28000000000000003</v>
      </c>
      <c r="BG755">
        <v>-1.42</v>
      </c>
      <c r="BH755">
        <v>-1.65</v>
      </c>
      <c r="BI755">
        <v>0.72</v>
      </c>
      <c r="BJ755">
        <v>20210826</v>
      </c>
      <c r="BK755">
        <v>20100126</v>
      </c>
      <c r="BL755">
        <v>12.83</v>
      </c>
      <c r="BM755" t="s">
        <v>120</v>
      </c>
      <c r="BN755" t="s">
        <v>120</v>
      </c>
      <c r="BO755">
        <v>118.08</v>
      </c>
      <c r="BP755">
        <v>4.18</v>
      </c>
      <c r="BQ755">
        <v>79.02</v>
      </c>
      <c r="BR755">
        <v>0.2</v>
      </c>
      <c r="BS755">
        <v>32.909999999999997</v>
      </c>
      <c r="BT755">
        <v>31.88</v>
      </c>
      <c r="BU755">
        <v>3.56</v>
      </c>
      <c r="BV755">
        <v>0.19</v>
      </c>
      <c r="BW755">
        <v>22.73</v>
      </c>
      <c r="BX755">
        <v>17.63</v>
      </c>
      <c r="BY755">
        <v>7.82</v>
      </c>
      <c r="BZ755">
        <v>0.27</v>
      </c>
      <c r="CA755">
        <v>6.4</v>
      </c>
      <c r="CB755">
        <v>16.21</v>
      </c>
      <c r="CC755">
        <v>6.57</v>
      </c>
      <c r="CD755">
        <v>3.82</v>
      </c>
      <c r="CE755">
        <v>2.71</v>
      </c>
      <c r="CF755">
        <v>0.95</v>
      </c>
      <c r="CG755">
        <v>2.75</v>
      </c>
      <c r="CH755">
        <v>2.1</v>
      </c>
      <c r="CI755">
        <v>2.11</v>
      </c>
      <c r="CJ755">
        <v>-0.04</v>
      </c>
      <c r="CK755">
        <v>1.2</v>
      </c>
      <c r="CL755">
        <v>45.86</v>
      </c>
      <c r="CM755">
        <v>6.07</v>
      </c>
      <c r="CN755">
        <v>5.68</v>
      </c>
      <c r="CO755">
        <v>34087</v>
      </c>
      <c r="CP755">
        <v>17675</v>
      </c>
      <c r="CQ755" t="s">
        <v>939</v>
      </c>
      <c r="CR755">
        <v>33.32</v>
      </c>
      <c r="CS755">
        <v>-15.03</v>
      </c>
      <c r="CT755">
        <v>0.68</v>
      </c>
      <c r="CU755">
        <v>8.84</v>
      </c>
      <c r="CV755">
        <v>8.17</v>
      </c>
      <c r="CW755">
        <v>0.45</v>
      </c>
      <c r="CX755" t="s">
        <v>1091</v>
      </c>
      <c r="CY755">
        <v>6.16</v>
      </c>
      <c r="CZ755">
        <v>0</v>
      </c>
      <c r="DA755">
        <v>1.26</v>
      </c>
      <c r="DB755">
        <v>3.57</v>
      </c>
      <c r="DC755">
        <v>0.47</v>
      </c>
      <c r="DD755">
        <v>66.92</v>
      </c>
      <c r="DE755" t="s">
        <v>1846</v>
      </c>
      <c r="DF755">
        <v>41.83</v>
      </c>
      <c r="DG755">
        <v>41.26</v>
      </c>
      <c r="DH755">
        <v>32.119999999999997</v>
      </c>
      <c r="DI755">
        <v>0.05</v>
      </c>
      <c r="DJ755">
        <v>1242</v>
      </c>
      <c r="DK755">
        <v>2344</v>
      </c>
      <c r="DL755" t="s">
        <v>120</v>
      </c>
      <c r="DM755" t="s">
        <v>120</v>
      </c>
      <c r="DN755" t="s">
        <v>120</v>
      </c>
    </row>
    <row r="756" spans="1:118">
      <c r="A756" t="str">
        <f>"002345"</f>
        <v>002345</v>
      </c>
      <c r="B756" t="s">
        <v>4528</v>
      </c>
      <c r="C756">
        <v>-2.02</v>
      </c>
      <c r="D756">
        <v>0.17</v>
      </c>
      <c r="E756">
        <v>-0.51</v>
      </c>
      <c r="F756">
        <v>4318</v>
      </c>
      <c r="G756" t="s">
        <v>4529</v>
      </c>
      <c r="H756">
        <v>7614.43</v>
      </c>
      <c r="I756">
        <v>24.01</v>
      </c>
      <c r="J756" t="s">
        <v>120</v>
      </c>
      <c r="K756" t="s">
        <v>4530</v>
      </c>
      <c r="L756">
        <v>1.46</v>
      </c>
      <c r="M756">
        <v>5.81</v>
      </c>
      <c r="N756">
        <v>0.81</v>
      </c>
      <c r="O756">
        <v>1.52</v>
      </c>
      <c r="P756">
        <v>6.02</v>
      </c>
      <c r="Q756">
        <v>-2.36</v>
      </c>
      <c r="R756">
        <v>5.79</v>
      </c>
      <c r="S756">
        <v>5.9</v>
      </c>
      <c r="T756">
        <v>129257</v>
      </c>
      <c r="U756">
        <v>5.81</v>
      </c>
      <c r="V756">
        <v>5.93</v>
      </c>
      <c r="W756">
        <v>13.02</v>
      </c>
      <c r="X756" t="s">
        <v>2806</v>
      </c>
      <c r="Y756" t="s">
        <v>547</v>
      </c>
      <c r="Z756">
        <v>3.88</v>
      </c>
      <c r="AA756">
        <v>5.89</v>
      </c>
      <c r="AB756">
        <v>77701</v>
      </c>
      <c r="AC756">
        <v>51556</v>
      </c>
      <c r="AD756">
        <v>1.51</v>
      </c>
      <c r="AE756">
        <v>67</v>
      </c>
      <c r="AF756">
        <v>933</v>
      </c>
      <c r="AG756" t="s">
        <v>120</v>
      </c>
      <c r="AH756">
        <v>0.01</v>
      </c>
      <c r="AI756" t="s">
        <v>120</v>
      </c>
      <c r="AJ756">
        <v>8.85</v>
      </c>
      <c r="AK756" t="s">
        <v>4531</v>
      </c>
      <c r="AL756">
        <v>-0.11</v>
      </c>
      <c r="AM756">
        <v>2824</v>
      </c>
      <c r="AN756">
        <v>46</v>
      </c>
      <c r="AO756">
        <v>5.0000000000000001E-4</v>
      </c>
      <c r="AP756">
        <v>-1</v>
      </c>
      <c r="AQ756">
        <v>0.34</v>
      </c>
      <c r="AR756">
        <v>-2.68</v>
      </c>
      <c r="AS756">
        <v>9.2100000000000009</v>
      </c>
      <c r="AT756">
        <v>15.74</v>
      </c>
      <c r="AU756">
        <v>48.97</v>
      </c>
      <c r="AV756">
        <v>3</v>
      </c>
      <c r="AW756">
        <v>2.36</v>
      </c>
      <c r="AX756">
        <v>60.47</v>
      </c>
      <c r="AY756">
        <v>16.36</v>
      </c>
      <c r="AZ756">
        <v>38.44</v>
      </c>
      <c r="BA756">
        <v>1.03</v>
      </c>
      <c r="BB756" t="s">
        <v>143</v>
      </c>
      <c r="BF756">
        <v>-0.66</v>
      </c>
      <c r="BG756">
        <v>-1.53</v>
      </c>
      <c r="BH756">
        <v>-3.49</v>
      </c>
      <c r="BI756">
        <v>0.35</v>
      </c>
      <c r="BJ756">
        <v>20210910</v>
      </c>
      <c r="BK756">
        <v>20100128</v>
      </c>
      <c r="BL756">
        <v>9.0500000000000007</v>
      </c>
      <c r="BM756" t="s">
        <v>120</v>
      </c>
      <c r="BN756" t="s">
        <v>120</v>
      </c>
      <c r="BO756">
        <v>53.65</v>
      </c>
      <c r="BP756">
        <v>5.8</v>
      </c>
      <c r="BQ756">
        <v>34.6</v>
      </c>
      <c r="BR756">
        <v>0.36</v>
      </c>
      <c r="BS756">
        <v>34.82</v>
      </c>
      <c r="BT756">
        <v>36.630000000000003</v>
      </c>
      <c r="BU756">
        <v>2.46</v>
      </c>
      <c r="BV756">
        <v>0.72</v>
      </c>
      <c r="BW756">
        <v>17.2</v>
      </c>
      <c r="BX756">
        <v>7.16</v>
      </c>
      <c r="BY756">
        <v>24.53</v>
      </c>
      <c r="BZ756">
        <v>1.97</v>
      </c>
      <c r="CA756" t="s">
        <v>120</v>
      </c>
      <c r="CB756">
        <v>14.28</v>
      </c>
      <c r="CC756">
        <v>22.96</v>
      </c>
      <c r="CD756">
        <v>15.02</v>
      </c>
      <c r="CE756">
        <v>2.48</v>
      </c>
      <c r="CF756">
        <v>7.0000000000000007E-2</v>
      </c>
      <c r="CG756">
        <v>2.48</v>
      </c>
      <c r="CH756">
        <v>2.0499999999999998</v>
      </c>
      <c r="CI756">
        <v>2.02</v>
      </c>
      <c r="CJ756">
        <v>-0.12</v>
      </c>
      <c r="CK756">
        <v>1.95</v>
      </c>
      <c r="CL756">
        <v>10.61</v>
      </c>
      <c r="CM756">
        <v>1.1200000000000001</v>
      </c>
      <c r="CN756">
        <v>-1.21</v>
      </c>
      <c r="CO756">
        <v>26279</v>
      </c>
      <c r="CP756">
        <v>20835</v>
      </c>
      <c r="CQ756" t="s">
        <v>4532</v>
      </c>
      <c r="CR756">
        <v>1404.42</v>
      </c>
      <c r="CS756">
        <v>62.82</v>
      </c>
      <c r="CT756">
        <v>1.52</v>
      </c>
      <c r="CU756">
        <v>47.01</v>
      </c>
      <c r="CV756">
        <v>2.29</v>
      </c>
      <c r="CW756">
        <v>3.31</v>
      </c>
      <c r="CX756" t="s">
        <v>694</v>
      </c>
      <c r="CY756">
        <v>3.82</v>
      </c>
      <c r="CZ756">
        <v>0</v>
      </c>
      <c r="DA756">
        <v>1.58</v>
      </c>
      <c r="DB756">
        <v>1.17</v>
      </c>
      <c r="DC756">
        <v>0.12</v>
      </c>
      <c r="DD756">
        <v>64.510000000000005</v>
      </c>
      <c r="DE756" t="s">
        <v>2219</v>
      </c>
      <c r="DF756">
        <v>34.6</v>
      </c>
      <c r="DG756">
        <v>10.82</v>
      </c>
      <c r="DH756">
        <v>8.8000000000000007</v>
      </c>
      <c r="DI756">
        <v>0.3</v>
      </c>
      <c r="DJ756">
        <v>5242</v>
      </c>
      <c r="DK756">
        <v>2345</v>
      </c>
      <c r="DL756" t="s">
        <v>120</v>
      </c>
      <c r="DM756" t="s">
        <v>120</v>
      </c>
      <c r="DN756" t="s">
        <v>120</v>
      </c>
    </row>
    <row r="757" spans="1:118">
      <c r="A757" t="str">
        <f>"002346"</f>
        <v>002346</v>
      </c>
      <c r="B757" t="s">
        <v>4533</v>
      </c>
      <c r="C757">
        <v>-10.01</v>
      </c>
      <c r="D757">
        <v>0</v>
      </c>
      <c r="E757">
        <v>-0.28999999999999998</v>
      </c>
      <c r="F757">
        <v>495</v>
      </c>
      <c r="G757" t="s">
        <v>4534</v>
      </c>
      <c r="H757">
        <v>45315.040000000001</v>
      </c>
      <c r="I757">
        <v>119.76</v>
      </c>
      <c r="J757">
        <v>5395.29</v>
      </c>
      <c r="K757" t="s">
        <v>4535</v>
      </c>
      <c r="L757">
        <v>5.0999999999999996</v>
      </c>
      <c r="M757">
        <v>21.66</v>
      </c>
      <c r="N757">
        <v>1.65</v>
      </c>
      <c r="O757">
        <v>0.96</v>
      </c>
      <c r="P757">
        <v>24.3</v>
      </c>
      <c r="Q757">
        <v>-10.01</v>
      </c>
      <c r="R757">
        <v>21.66</v>
      </c>
      <c r="S757">
        <v>24</v>
      </c>
      <c r="T757">
        <v>201374</v>
      </c>
      <c r="U757">
        <v>21.66</v>
      </c>
      <c r="V757">
        <v>24.07</v>
      </c>
      <c r="W757">
        <v>21.26</v>
      </c>
      <c r="X757" t="s">
        <v>394</v>
      </c>
      <c r="Y757" t="s">
        <v>1510</v>
      </c>
      <c r="Z757">
        <v>10.97</v>
      </c>
      <c r="AA757">
        <v>22.5</v>
      </c>
      <c r="AB757">
        <v>108407</v>
      </c>
      <c r="AC757">
        <v>92967</v>
      </c>
      <c r="AD757">
        <v>1.17</v>
      </c>
      <c r="AE757">
        <v>0</v>
      </c>
      <c r="AF757">
        <v>24909</v>
      </c>
      <c r="AG757" t="s">
        <v>120</v>
      </c>
      <c r="AH757">
        <v>0.04</v>
      </c>
      <c r="AI757">
        <v>0.12</v>
      </c>
      <c r="AJ757">
        <v>3.95</v>
      </c>
      <c r="AK757" t="s">
        <v>4536</v>
      </c>
      <c r="AL757">
        <v>-8.1</v>
      </c>
      <c r="AM757">
        <v>3917</v>
      </c>
      <c r="AN757">
        <v>51</v>
      </c>
      <c r="AO757">
        <v>1.2999999999999999E-3</v>
      </c>
      <c r="AP757">
        <v>-1</v>
      </c>
      <c r="AQ757">
        <v>3.97</v>
      </c>
      <c r="AR757">
        <v>-5.37</v>
      </c>
      <c r="AS757">
        <v>9.33</v>
      </c>
      <c r="AT757">
        <v>22.51</v>
      </c>
      <c r="AU757">
        <v>137.77000000000001</v>
      </c>
      <c r="AV757">
        <v>13</v>
      </c>
      <c r="AW757">
        <v>15.97</v>
      </c>
      <c r="AX757">
        <v>28.56</v>
      </c>
      <c r="AY757">
        <v>28.1</v>
      </c>
      <c r="AZ757">
        <v>68.290000000000006</v>
      </c>
      <c r="BA757">
        <v>1.3</v>
      </c>
      <c r="BB757" t="s">
        <v>168</v>
      </c>
      <c r="BF757">
        <v>-6.51</v>
      </c>
      <c r="BG757">
        <v>-9.75</v>
      </c>
      <c r="BH757">
        <v>-10.86</v>
      </c>
      <c r="BI757">
        <v>0</v>
      </c>
      <c r="BJ757">
        <v>20210807</v>
      </c>
      <c r="BK757">
        <v>20100128</v>
      </c>
      <c r="BL757">
        <v>4.42</v>
      </c>
      <c r="BM757" t="s">
        <v>120</v>
      </c>
      <c r="BN757" t="s">
        <v>120</v>
      </c>
      <c r="BO757">
        <v>27.38</v>
      </c>
      <c r="BP757" t="s">
        <v>120</v>
      </c>
      <c r="BQ757">
        <v>22.21</v>
      </c>
      <c r="BR757" t="s">
        <v>120</v>
      </c>
      <c r="BS757">
        <v>18.899999999999999</v>
      </c>
      <c r="BT757">
        <v>6.77</v>
      </c>
      <c r="BU757">
        <v>2.31</v>
      </c>
      <c r="BV757">
        <v>0.42</v>
      </c>
      <c r="BW757">
        <v>3.64</v>
      </c>
      <c r="BX757">
        <v>1</v>
      </c>
      <c r="BY757">
        <v>0.66</v>
      </c>
      <c r="BZ757">
        <v>4.05</v>
      </c>
      <c r="CA757" t="s">
        <v>120</v>
      </c>
      <c r="CB757">
        <v>5.21</v>
      </c>
      <c r="CC757">
        <v>3.5</v>
      </c>
      <c r="CD757">
        <v>2.52</v>
      </c>
      <c r="CE757">
        <v>2.35</v>
      </c>
      <c r="CF757">
        <v>1.34</v>
      </c>
      <c r="CG757">
        <v>2.33</v>
      </c>
      <c r="CH757">
        <v>2.25</v>
      </c>
      <c r="CI757">
        <v>2.25</v>
      </c>
      <c r="CJ757">
        <v>-2.41</v>
      </c>
      <c r="CK757">
        <v>0.97</v>
      </c>
      <c r="CL757">
        <v>11.49</v>
      </c>
      <c r="CM757">
        <v>1.02</v>
      </c>
      <c r="CN757">
        <v>0.36</v>
      </c>
      <c r="CO757">
        <v>38894</v>
      </c>
      <c r="CP757">
        <v>3243</v>
      </c>
      <c r="CQ757" t="s">
        <v>3365</v>
      </c>
      <c r="CR757">
        <v>9226.2000000000007</v>
      </c>
      <c r="CS757">
        <v>1.49</v>
      </c>
      <c r="CT757">
        <v>4.3099999999999996</v>
      </c>
      <c r="CU757">
        <v>93.82</v>
      </c>
      <c r="CV757">
        <v>27.35</v>
      </c>
      <c r="CW757">
        <v>0.83</v>
      </c>
      <c r="CX757" t="s">
        <v>1001</v>
      </c>
      <c r="CY757">
        <v>5.03</v>
      </c>
      <c r="CZ757">
        <v>0</v>
      </c>
      <c r="DA757">
        <v>1.18</v>
      </c>
      <c r="DB757">
        <v>2.6</v>
      </c>
      <c r="DC757">
        <v>0.23</v>
      </c>
      <c r="DD757">
        <v>81.099999999999994</v>
      </c>
      <c r="DE757" t="s">
        <v>4537</v>
      </c>
      <c r="DF757">
        <v>28.01</v>
      </c>
      <c r="DG757">
        <v>67.17</v>
      </c>
      <c r="DH757">
        <v>64.33</v>
      </c>
      <c r="DI757" t="s">
        <v>120</v>
      </c>
      <c r="DJ757">
        <v>485</v>
      </c>
      <c r="DK757">
        <v>2346</v>
      </c>
      <c r="DL757">
        <v>20210615</v>
      </c>
      <c r="DM757">
        <v>18.739999999999998</v>
      </c>
      <c r="DN757">
        <v>15.58</v>
      </c>
    </row>
    <row r="758" spans="1:118">
      <c r="A758" t="str">
        <f>"002347"</f>
        <v>002347</v>
      </c>
      <c r="B758" t="s">
        <v>4538</v>
      </c>
      <c r="C758">
        <v>-0.61</v>
      </c>
      <c r="D758">
        <v>0</v>
      </c>
      <c r="E758">
        <v>0</v>
      </c>
      <c r="F758">
        <v>764</v>
      </c>
      <c r="G758" t="s">
        <v>4539</v>
      </c>
      <c r="H758">
        <v>4439.76</v>
      </c>
      <c r="I758">
        <v>6.15</v>
      </c>
      <c r="J758" t="s">
        <v>120</v>
      </c>
      <c r="K758" t="s">
        <v>4540</v>
      </c>
      <c r="L758">
        <v>2.83</v>
      </c>
      <c r="M758">
        <v>4.8899999999999997</v>
      </c>
      <c r="N758">
        <v>1.32</v>
      </c>
      <c r="O758">
        <v>2.2400000000000002</v>
      </c>
      <c r="P758">
        <v>5.03</v>
      </c>
      <c r="Q758">
        <v>-1.02</v>
      </c>
      <c r="R758">
        <v>4.87</v>
      </c>
      <c r="S758">
        <v>4.92</v>
      </c>
      <c r="T758">
        <v>89643</v>
      </c>
      <c r="U758">
        <v>4.8899999999999997</v>
      </c>
      <c r="V758">
        <v>4.92</v>
      </c>
      <c r="W758">
        <v>67.36</v>
      </c>
      <c r="X758" t="s">
        <v>959</v>
      </c>
      <c r="Y758" t="s">
        <v>570</v>
      </c>
      <c r="Z758">
        <v>3.25</v>
      </c>
      <c r="AA758">
        <v>4.95</v>
      </c>
      <c r="AB758">
        <v>50984</v>
      </c>
      <c r="AC758">
        <v>38659</v>
      </c>
      <c r="AD758">
        <v>1.32</v>
      </c>
      <c r="AE758">
        <v>711</v>
      </c>
      <c r="AF758">
        <v>67</v>
      </c>
      <c r="AG758" t="s">
        <v>120</v>
      </c>
      <c r="AH758">
        <v>0</v>
      </c>
      <c r="AI758" t="s">
        <v>120</v>
      </c>
      <c r="AJ758">
        <v>3.17</v>
      </c>
      <c r="AK758" t="s">
        <v>4541</v>
      </c>
      <c r="AL758">
        <v>1.3</v>
      </c>
      <c r="AM758">
        <v>1758</v>
      </c>
      <c r="AN758">
        <v>51</v>
      </c>
      <c r="AO758">
        <v>1.6000000000000001E-3</v>
      </c>
      <c r="AP758">
        <v>-1</v>
      </c>
      <c r="AQ758">
        <v>2.93</v>
      </c>
      <c r="AR758">
        <v>0.21</v>
      </c>
      <c r="AS758">
        <v>2.95</v>
      </c>
      <c r="AT758">
        <v>13.99</v>
      </c>
      <c r="AU758">
        <v>16.43</v>
      </c>
      <c r="AV758">
        <v>0</v>
      </c>
      <c r="AW758">
        <v>3.32</v>
      </c>
      <c r="AX758">
        <v>60.36</v>
      </c>
      <c r="AY758">
        <v>46.3</v>
      </c>
      <c r="AZ758">
        <v>83.2</v>
      </c>
      <c r="BA758">
        <v>0.67</v>
      </c>
      <c r="BB758" t="s">
        <v>143</v>
      </c>
      <c r="BF758">
        <v>0.66</v>
      </c>
      <c r="BG758">
        <v>-0.61</v>
      </c>
      <c r="BH758">
        <v>-2.78</v>
      </c>
      <c r="BI758">
        <v>0.41</v>
      </c>
      <c r="BJ758">
        <v>20210824</v>
      </c>
      <c r="BK758">
        <v>20100128</v>
      </c>
      <c r="BL758">
        <v>4.47</v>
      </c>
      <c r="BM758" t="s">
        <v>120</v>
      </c>
      <c r="BN758" t="s">
        <v>120</v>
      </c>
      <c r="BO758">
        <v>22.26</v>
      </c>
      <c r="BP758">
        <v>4.88</v>
      </c>
      <c r="BQ758">
        <v>11.56</v>
      </c>
      <c r="BR758">
        <v>0.34</v>
      </c>
      <c r="BS758">
        <v>46.55</v>
      </c>
      <c r="BT758">
        <v>17.670000000000002</v>
      </c>
      <c r="BU758">
        <v>2.17</v>
      </c>
      <c r="BV758">
        <v>0.56000000000000005</v>
      </c>
      <c r="BW758">
        <v>9.98</v>
      </c>
      <c r="BX758">
        <v>3.06</v>
      </c>
      <c r="BY758">
        <v>5.53</v>
      </c>
      <c r="BZ758">
        <v>5.37</v>
      </c>
      <c r="CA758" t="s">
        <v>120</v>
      </c>
      <c r="CB758">
        <v>4.9000000000000004</v>
      </c>
      <c r="CC758">
        <v>4.2300000000000004</v>
      </c>
      <c r="CD758">
        <v>3.25</v>
      </c>
      <c r="CE758">
        <v>0.25</v>
      </c>
      <c r="CF758">
        <v>-0.03</v>
      </c>
      <c r="CG758">
        <v>0.25</v>
      </c>
      <c r="CH758">
        <v>0.2</v>
      </c>
      <c r="CI758">
        <v>0.16</v>
      </c>
      <c r="CJ758">
        <v>-0.03</v>
      </c>
      <c r="CK758">
        <v>0.11</v>
      </c>
      <c r="CL758">
        <v>1.74</v>
      </c>
      <c r="CM758">
        <v>0.55000000000000004</v>
      </c>
      <c r="CN758">
        <v>0.42</v>
      </c>
      <c r="CO758">
        <v>26127</v>
      </c>
      <c r="CP758">
        <v>10327</v>
      </c>
      <c r="CQ758" t="s">
        <v>358</v>
      </c>
      <c r="CR758">
        <v>434.93</v>
      </c>
      <c r="CS758">
        <v>38.869999999999997</v>
      </c>
      <c r="CT758">
        <v>1.89</v>
      </c>
      <c r="CU758">
        <v>39.53</v>
      </c>
      <c r="CV758">
        <v>5.16</v>
      </c>
      <c r="CW758">
        <v>2.0299999999999998</v>
      </c>
      <c r="CX758" t="s">
        <v>926</v>
      </c>
      <c r="CY758">
        <v>2.59</v>
      </c>
      <c r="CZ758">
        <v>0</v>
      </c>
      <c r="DA758">
        <v>1.1000000000000001</v>
      </c>
      <c r="DB758">
        <v>0.39</v>
      </c>
      <c r="DC758">
        <v>0.12</v>
      </c>
      <c r="DD758">
        <v>51.92</v>
      </c>
      <c r="DE758" t="s">
        <v>4542</v>
      </c>
      <c r="DF758">
        <v>23.19</v>
      </c>
      <c r="DG758">
        <v>5.94</v>
      </c>
      <c r="DH758">
        <v>3.83</v>
      </c>
      <c r="DI758">
        <v>0.18</v>
      </c>
      <c r="DJ758">
        <v>1028</v>
      </c>
      <c r="DK758">
        <v>2347</v>
      </c>
      <c r="DL758" t="s">
        <v>120</v>
      </c>
      <c r="DM758" t="s">
        <v>120</v>
      </c>
      <c r="DN758" t="s">
        <v>120</v>
      </c>
    </row>
    <row r="759" spans="1:118">
      <c r="A759" t="str">
        <f>"002348"</f>
        <v>002348</v>
      </c>
      <c r="B759" t="s">
        <v>4543</v>
      </c>
      <c r="C759">
        <v>0.86</v>
      </c>
      <c r="D759">
        <v>-0.42</v>
      </c>
      <c r="E759">
        <v>0</v>
      </c>
      <c r="F759">
        <v>3577</v>
      </c>
      <c r="G759" t="s">
        <v>4544</v>
      </c>
      <c r="H759">
        <v>7499.52</v>
      </c>
      <c r="I759">
        <v>24.27</v>
      </c>
      <c r="J759" t="s">
        <v>120</v>
      </c>
      <c r="K759" t="s">
        <v>4545</v>
      </c>
      <c r="L759">
        <v>3.73</v>
      </c>
      <c r="M759">
        <v>2.34</v>
      </c>
      <c r="N759">
        <v>1.58</v>
      </c>
      <c r="O759">
        <v>3.02</v>
      </c>
      <c r="P759">
        <v>2.39</v>
      </c>
      <c r="Q759">
        <v>-0.43</v>
      </c>
      <c r="R759">
        <v>2.31</v>
      </c>
      <c r="S759">
        <v>2.3199999999999998</v>
      </c>
      <c r="T759">
        <v>319029</v>
      </c>
      <c r="U759">
        <v>2.35</v>
      </c>
      <c r="V759">
        <v>2.3199999999999998</v>
      </c>
      <c r="W759" t="s">
        <v>120</v>
      </c>
      <c r="X759" t="s">
        <v>213</v>
      </c>
      <c r="Y759" t="s">
        <v>547</v>
      </c>
      <c r="Z759">
        <v>3.45</v>
      </c>
      <c r="AA759">
        <v>2.35</v>
      </c>
      <c r="AB759">
        <v>150957</v>
      </c>
      <c r="AC759">
        <v>168072</v>
      </c>
      <c r="AD759">
        <v>0.9</v>
      </c>
      <c r="AE759">
        <v>541</v>
      </c>
      <c r="AF759">
        <v>6829</v>
      </c>
      <c r="AG759" t="s">
        <v>120</v>
      </c>
      <c r="AH759">
        <v>0.02</v>
      </c>
      <c r="AI759" t="s">
        <v>120</v>
      </c>
      <c r="AJ759">
        <v>8.5399999999999991</v>
      </c>
      <c r="AK759" t="s">
        <v>4546</v>
      </c>
      <c r="AL759">
        <v>2.78</v>
      </c>
      <c r="AM759">
        <v>1655</v>
      </c>
      <c r="AN759">
        <v>193</v>
      </c>
      <c r="AO759">
        <v>2.3E-3</v>
      </c>
      <c r="AP759">
        <v>2</v>
      </c>
      <c r="AQ759">
        <v>0.87</v>
      </c>
      <c r="AR759">
        <v>-2.1</v>
      </c>
      <c r="AS759">
        <v>-3.71</v>
      </c>
      <c r="AT759">
        <v>-5.26</v>
      </c>
      <c r="AU759">
        <v>11.96</v>
      </c>
      <c r="AV759">
        <v>14</v>
      </c>
      <c r="AW759">
        <v>6.28</v>
      </c>
      <c r="AX759">
        <v>53.63</v>
      </c>
      <c r="AY759" t="s">
        <v>120</v>
      </c>
      <c r="AZ759" t="s">
        <v>120</v>
      </c>
      <c r="BA759">
        <v>0.34</v>
      </c>
      <c r="BB759" t="s">
        <v>143</v>
      </c>
      <c r="BF759">
        <v>1.32</v>
      </c>
      <c r="BG759">
        <v>0.86</v>
      </c>
      <c r="BH759">
        <v>-2.09</v>
      </c>
      <c r="BI759">
        <v>1.3</v>
      </c>
      <c r="BJ759">
        <v>20210830</v>
      </c>
      <c r="BK759">
        <v>20100203</v>
      </c>
      <c r="BL759">
        <v>9.4700000000000006</v>
      </c>
      <c r="BM759" t="s">
        <v>120</v>
      </c>
      <c r="BN759" t="s">
        <v>120</v>
      </c>
      <c r="BO759">
        <v>11.44</v>
      </c>
      <c r="BP759">
        <v>2.34</v>
      </c>
      <c r="BQ759">
        <v>7.28</v>
      </c>
      <c r="BR759">
        <v>0.34</v>
      </c>
      <c r="BS759">
        <v>33.369999999999997</v>
      </c>
      <c r="BT759">
        <v>5.0599999999999996</v>
      </c>
      <c r="BU759">
        <v>5.86</v>
      </c>
      <c r="BV759">
        <v>0.44</v>
      </c>
      <c r="BW759">
        <v>3.44</v>
      </c>
      <c r="BX759">
        <v>0.06</v>
      </c>
      <c r="BY759">
        <v>1.63</v>
      </c>
      <c r="BZ759">
        <v>2.84</v>
      </c>
      <c r="CA759">
        <v>0.02</v>
      </c>
      <c r="CB759">
        <v>0.1</v>
      </c>
      <c r="CC759">
        <v>1.84</v>
      </c>
      <c r="CD759">
        <v>1.47</v>
      </c>
      <c r="CE759">
        <v>-0.38</v>
      </c>
      <c r="CF759">
        <v>0</v>
      </c>
      <c r="CG759">
        <v>-0.38</v>
      </c>
      <c r="CH759">
        <v>-0.39</v>
      </c>
      <c r="CI759">
        <v>-0.36</v>
      </c>
      <c r="CJ759">
        <v>0.02</v>
      </c>
      <c r="CK759">
        <v>-0.36</v>
      </c>
      <c r="CL759">
        <v>-2.94</v>
      </c>
      <c r="CM759">
        <v>0.06</v>
      </c>
      <c r="CN759">
        <v>-0.39</v>
      </c>
      <c r="CO759">
        <v>61140</v>
      </c>
      <c r="CP759">
        <v>8309</v>
      </c>
      <c r="CQ759" t="s">
        <v>4547</v>
      </c>
      <c r="CR759">
        <v>-10.039999999999999</v>
      </c>
      <c r="CS759">
        <v>-8.7200000000000006</v>
      </c>
      <c r="CT759">
        <v>3.05</v>
      </c>
      <c r="CU759">
        <v>376.01</v>
      </c>
      <c r="CV759">
        <v>12.07</v>
      </c>
      <c r="CW759">
        <v>0</v>
      </c>
      <c r="CX759" t="s">
        <v>4548</v>
      </c>
      <c r="CY759">
        <v>0.77</v>
      </c>
      <c r="CZ759">
        <v>0</v>
      </c>
      <c r="DA759">
        <v>0.01</v>
      </c>
      <c r="DB759">
        <v>-0.31</v>
      </c>
      <c r="DC759">
        <v>0.01</v>
      </c>
      <c r="DD759">
        <v>63.63</v>
      </c>
      <c r="DE759" t="s">
        <v>4549</v>
      </c>
      <c r="DF759">
        <v>19.79</v>
      </c>
      <c r="DG759">
        <v>-20.67</v>
      </c>
      <c r="DH759">
        <v>-19.36</v>
      </c>
      <c r="DI759">
        <v>0.14000000000000001</v>
      </c>
      <c r="DJ759">
        <v>917</v>
      </c>
      <c r="DK759">
        <v>2348</v>
      </c>
      <c r="DL759" t="s">
        <v>120</v>
      </c>
      <c r="DM759" t="s">
        <v>120</v>
      </c>
      <c r="DN759" t="s">
        <v>120</v>
      </c>
    </row>
    <row r="760" spans="1:118">
      <c r="A760" t="str">
        <f>"002349"</f>
        <v>002349</v>
      </c>
      <c r="B760" t="s">
        <v>4550</v>
      </c>
      <c r="C760">
        <v>1.74</v>
      </c>
      <c r="D760">
        <v>0.16</v>
      </c>
      <c r="E760">
        <v>0</v>
      </c>
      <c r="F760">
        <v>5904</v>
      </c>
      <c r="G760" t="s">
        <v>4551</v>
      </c>
      <c r="H760">
        <v>21199.16</v>
      </c>
      <c r="I760">
        <v>67.81</v>
      </c>
      <c r="J760" t="s">
        <v>120</v>
      </c>
      <c r="K760" t="s">
        <v>2094</v>
      </c>
      <c r="L760">
        <v>3.99</v>
      </c>
      <c r="M760">
        <v>6.43</v>
      </c>
      <c r="N760">
        <v>0.75</v>
      </c>
      <c r="O760">
        <v>3.16</v>
      </c>
      <c r="P760">
        <v>6.52</v>
      </c>
      <c r="Q760">
        <v>-2.2200000000000002</v>
      </c>
      <c r="R760">
        <v>6.18</v>
      </c>
      <c r="S760">
        <v>6.32</v>
      </c>
      <c r="T760">
        <v>331913</v>
      </c>
      <c r="U760">
        <v>6.43</v>
      </c>
      <c r="V760">
        <v>6.32</v>
      </c>
      <c r="W760">
        <v>25.4</v>
      </c>
      <c r="X760" t="s">
        <v>771</v>
      </c>
      <c r="Y760" t="s">
        <v>319</v>
      </c>
      <c r="Z760">
        <v>5.38</v>
      </c>
      <c r="AA760">
        <v>6.39</v>
      </c>
      <c r="AB760">
        <v>162567</v>
      </c>
      <c r="AC760">
        <v>169346</v>
      </c>
      <c r="AD760">
        <v>0.96</v>
      </c>
      <c r="AE760">
        <v>3512</v>
      </c>
      <c r="AF760">
        <v>9342</v>
      </c>
      <c r="AG760" t="s">
        <v>120</v>
      </c>
      <c r="AH760">
        <v>0.03</v>
      </c>
      <c r="AI760" t="s">
        <v>120</v>
      </c>
      <c r="AJ760">
        <v>8.32</v>
      </c>
      <c r="AK760" t="s">
        <v>4552</v>
      </c>
      <c r="AL760">
        <v>3.65</v>
      </c>
      <c r="AM760">
        <v>3520</v>
      </c>
      <c r="AN760">
        <v>94</v>
      </c>
      <c r="AO760">
        <v>1.1000000000000001E-3</v>
      </c>
      <c r="AP760">
        <v>2</v>
      </c>
      <c r="AQ760">
        <v>2.1</v>
      </c>
      <c r="AR760">
        <v>0.78</v>
      </c>
      <c r="AS760">
        <v>17.34</v>
      </c>
      <c r="AT760">
        <v>44.21</v>
      </c>
      <c r="AU760">
        <v>32.33</v>
      </c>
      <c r="AV760">
        <v>4</v>
      </c>
      <c r="AW760">
        <v>8.7899999999999991</v>
      </c>
      <c r="AX760">
        <v>45.19</v>
      </c>
      <c r="AY760">
        <v>46.72</v>
      </c>
      <c r="AZ760">
        <v>47.59</v>
      </c>
      <c r="BA760">
        <v>0.97</v>
      </c>
      <c r="BB760" t="s">
        <v>341</v>
      </c>
      <c r="BF760">
        <v>1.06</v>
      </c>
      <c r="BG760">
        <v>1.74</v>
      </c>
      <c r="BH760">
        <v>-1.38</v>
      </c>
      <c r="BI760">
        <v>4.05</v>
      </c>
      <c r="BJ760">
        <v>20210826</v>
      </c>
      <c r="BK760">
        <v>20100203</v>
      </c>
      <c r="BL760">
        <v>8.36</v>
      </c>
      <c r="BM760" t="s">
        <v>120</v>
      </c>
      <c r="BN760" t="s">
        <v>120</v>
      </c>
      <c r="BO760">
        <v>31.99</v>
      </c>
      <c r="BP760">
        <v>6.42</v>
      </c>
      <c r="BQ760">
        <v>21.82</v>
      </c>
      <c r="BR760">
        <v>3.63</v>
      </c>
      <c r="BS760">
        <v>20.45</v>
      </c>
      <c r="BT760">
        <v>14.86</v>
      </c>
      <c r="BU760">
        <v>9.01</v>
      </c>
      <c r="BV760">
        <v>1.25</v>
      </c>
      <c r="BW760">
        <v>5.73</v>
      </c>
      <c r="BX760">
        <v>5.68</v>
      </c>
      <c r="BY760">
        <v>3.39</v>
      </c>
      <c r="BZ760">
        <v>2.44</v>
      </c>
      <c r="CA760" t="s">
        <v>120</v>
      </c>
      <c r="CB760">
        <v>10.18</v>
      </c>
      <c r="CC760">
        <v>6.41</v>
      </c>
      <c r="CD760">
        <v>3.28</v>
      </c>
      <c r="CE760">
        <v>1.31</v>
      </c>
      <c r="CF760">
        <v>0.03</v>
      </c>
      <c r="CG760">
        <v>1.31</v>
      </c>
      <c r="CH760">
        <v>1.1200000000000001</v>
      </c>
      <c r="CI760">
        <v>1.06</v>
      </c>
      <c r="CJ760">
        <v>0.11</v>
      </c>
      <c r="CK760">
        <v>1.03</v>
      </c>
      <c r="CL760">
        <v>3.87</v>
      </c>
      <c r="CM760">
        <v>1.84</v>
      </c>
      <c r="CN760">
        <v>-0.23</v>
      </c>
      <c r="CO760">
        <v>36921</v>
      </c>
      <c r="CP760">
        <v>10230</v>
      </c>
      <c r="CQ760" t="s">
        <v>4553</v>
      </c>
      <c r="CR760">
        <v>1.99</v>
      </c>
      <c r="CS760">
        <v>5.62</v>
      </c>
      <c r="CT760">
        <v>2.46</v>
      </c>
      <c r="CU760">
        <v>29.19</v>
      </c>
      <c r="CV760">
        <v>8.3800000000000008</v>
      </c>
      <c r="CW760">
        <v>0.63</v>
      </c>
      <c r="CX760" t="s">
        <v>986</v>
      </c>
      <c r="CY760">
        <v>2.61</v>
      </c>
      <c r="CZ760">
        <v>0</v>
      </c>
      <c r="DA760">
        <v>1.22</v>
      </c>
      <c r="DB760">
        <v>0.46</v>
      </c>
      <c r="DC760">
        <v>0.22</v>
      </c>
      <c r="DD760">
        <v>68.209999999999994</v>
      </c>
      <c r="DE760" t="s">
        <v>2803</v>
      </c>
      <c r="DF760">
        <v>48.83</v>
      </c>
      <c r="DG760">
        <v>20.350000000000001</v>
      </c>
      <c r="DH760">
        <v>16.489999999999998</v>
      </c>
      <c r="DI760">
        <v>0.28999999999999998</v>
      </c>
      <c r="DJ760">
        <v>1775</v>
      </c>
      <c r="DK760">
        <v>2349</v>
      </c>
      <c r="DL760">
        <v>20210719</v>
      </c>
      <c r="DM760">
        <v>5.63</v>
      </c>
      <c r="DN760">
        <v>14.21</v>
      </c>
    </row>
    <row r="761" spans="1:118">
      <c r="A761" t="str">
        <f>"002350"</f>
        <v>002350</v>
      </c>
      <c r="B761" t="s">
        <v>4554</v>
      </c>
      <c r="C761">
        <v>-4</v>
      </c>
      <c r="D761">
        <v>0</v>
      </c>
      <c r="E761">
        <v>-3.78</v>
      </c>
      <c r="F761">
        <v>10396</v>
      </c>
      <c r="G761" t="s">
        <v>4555</v>
      </c>
      <c r="H761">
        <v>68050.77</v>
      </c>
      <c r="I761">
        <v>750.63</v>
      </c>
      <c r="J761" t="s">
        <v>120</v>
      </c>
      <c r="K761" t="s">
        <v>1589</v>
      </c>
      <c r="L761">
        <v>14.22</v>
      </c>
      <c r="M761">
        <v>8.8800000000000008</v>
      </c>
      <c r="N761">
        <v>1.33</v>
      </c>
      <c r="O761">
        <v>3.78</v>
      </c>
      <c r="P761">
        <v>9.6</v>
      </c>
      <c r="Q761">
        <v>-5.62</v>
      </c>
      <c r="R761">
        <v>8.73</v>
      </c>
      <c r="S761">
        <v>8.9</v>
      </c>
      <c r="T761">
        <v>745554</v>
      </c>
      <c r="U761">
        <v>8.8800000000000008</v>
      </c>
      <c r="V761">
        <v>9.25</v>
      </c>
      <c r="W761" t="s">
        <v>120</v>
      </c>
      <c r="X761" t="s">
        <v>394</v>
      </c>
      <c r="Y761" t="s">
        <v>158</v>
      </c>
      <c r="Z761">
        <v>9.41</v>
      </c>
      <c r="AA761">
        <v>9.1300000000000008</v>
      </c>
      <c r="AB761">
        <v>392160</v>
      </c>
      <c r="AC761">
        <v>353394</v>
      </c>
      <c r="AD761">
        <v>1.1100000000000001</v>
      </c>
      <c r="AE761">
        <v>294</v>
      </c>
      <c r="AF761">
        <v>1702</v>
      </c>
      <c r="AG761" t="s">
        <v>120</v>
      </c>
      <c r="AH761">
        <v>0.28000000000000003</v>
      </c>
      <c r="AI761" t="s">
        <v>120</v>
      </c>
      <c r="AJ761">
        <v>5.24</v>
      </c>
      <c r="AK761" t="s">
        <v>1918</v>
      </c>
      <c r="AL761">
        <v>-2.09</v>
      </c>
      <c r="AM761">
        <v>4514</v>
      </c>
      <c r="AN761">
        <v>165</v>
      </c>
      <c r="AO761">
        <v>3.0999999999999999E-3</v>
      </c>
      <c r="AP761">
        <v>-1</v>
      </c>
      <c r="AQ761">
        <v>9.99</v>
      </c>
      <c r="AR761">
        <v>8.56</v>
      </c>
      <c r="AS761">
        <v>44.39</v>
      </c>
      <c r="AT761">
        <v>67.87</v>
      </c>
      <c r="AU761">
        <v>43.71</v>
      </c>
      <c r="AV761">
        <v>7</v>
      </c>
      <c r="AW761">
        <v>25.14</v>
      </c>
      <c r="AX761">
        <v>54.69</v>
      </c>
      <c r="AY761">
        <v>86.85</v>
      </c>
      <c r="AZ761">
        <v>91.59</v>
      </c>
      <c r="BA761">
        <v>0</v>
      </c>
      <c r="BB761" t="s">
        <v>751</v>
      </c>
      <c r="BF761">
        <v>-1.32</v>
      </c>
      <c r="BG761">
        <v>-0.22</v>
      </c>
      <c r="BH761">
        <v>-7.5</v>
      </c>
      <c r="BI761">
        <v>1.72</v>
      </c>
      <c r="BJ761">
        <v>20210731</v>
      </c>
      <c r="BK761">
        <v>20100203</v>
      </c>
      <c r="BL761">
        <v>5.42</v>
      </c>
      <c r="BM761" t="s">
        <v>120</v>
      </c>
      <c r="BN761" t="s">
        <v>120</v>
      </c>
      <c r="BO761">
        <v>33.020000000000003</v>
      </c>
      <c r="BP761">
        <v>8.8699999999999992</v>
      </c>
      <c r="BQ761">
        <v>18.32</v>
      </c>
      <c r="BR761">
        <v>1.8</v>
      </c>
      <c r="BS761">
        <v>39.07</v>
      </c>
      <c r="BT761">
        <v>20.81</v>
      </c>
      <c r="BU761">
        <v>7.26</v>
      </c>
      <c r="BV761">
        <v>1.75</v>
      </c>
      <c r="BW761">
        <v>12.76</v>
      </c>
      <c r="BX761">
        <v>2.9</v>
      </c>
      <c r="BY761">
        <v>4.3499999999999996</v>
      </c>
      <c r="BZ761">
        <v>9.82</v>
      </c>
      <c r="CA761" t="s">
        <v>120</v>
      </c>
      <c r="CB761">
        <v>7.26</v>
      </c>
      <c r="CC761">
        <v>9.08</v>
      </c>
      <c r="CD761">
        <v>7.2</v>
      </c>
      <c r="CE761">
        <v>0.01</v>
      </c>
      <c r="CF761">
        <v>0</v>
      </c>
      <c r="CG761">
        <v>0.01</v>
      </c>
      <c r="CH761">
        <v>-0.03</v>
      </c>
      <c r="CI761">
        <v>-0.06</v>
      </c>
      <c r="CJ761">
        <v>-0.37</v>
      </c>
      <c r="CK761">
        <v>-0.06</v>
      </c>
      <c r="CL761">
        <v>4.7699999999999996</v>
      </c>
      <c r="CM761">
        <v>-0.98</v>
      </c>
      <c r="CN761">
        <v>-1.47</v>
      </c>
      <c r="CO761">
        <v>27387</v>
      </c>
      <c r="CP761">
        <v>10831</v>
      </c>
      <c r="CQ761" t="s">
        <v>4556</v>
      </c>
      <c r="CR761">
        <v>35.01</v>
      </c>
      <c r="CS761">
        <v>13.46</v>
      </c>
      <c r="CT761">
        <v>2.63</v>
      </c>
      <c r="CU761">
        <v>-49.34</v>
      </c>
      <c r="CV761">
        <v>5.31</v>
      </c>
      <c r="CW761">
        <v>0.77</v>
      </c>
      <c r="CX761" t="s">
        <v>1312</v>
      </c>
      <c r="CY761">
        <v>3.38</v>
      </c>
      <c r="CZ761">
        <v>0</v>
      </c>
      <c r="DA761">
        <v>1.34</v>
      </c>
      <c r="DB761">
        <v>0.88</v>
      </c>
      <c r="DC761">
        <v>-0.18</v>
      </c>
      <c r="DD761">
        <v>55.48</v>
      </c>
      <c r="DE761" t="s">
        <v>4557</v>
      </c>
      <c r="DF761">
        <v>20.66</v>
      </c>
      <c r="DG761">
        <v>7.0000000000000007E-2</v>
      </c>
      <c r="DH761">
        <v>-0.61</v>
      </c>
      <c r="DI761">
        <v>0.42</v>
      </c>
      <c r="DJ761">
        <v>2193</v>
      </c>
      <c r="DK761">
        <v>2350</v>
      </c>
      <c r="DL761">
        <v>20210902</v>
      </c>
      <c r="DM761">
        <v>8.7799999999999994</v>
      </c>
      <c r="DN761">
        <v>1.1399999999999999</v>
      </c>
    </row>
    <row r="762" spans="1:118">
      <c r="A762" t="str">
        <f>"002351"</f>
        <v>002351</v>
      </c>
      <c r="B762" t="s">
        <v>4558</v>
      </c>
      <c r="C762">
        <v>-1.2</v>
      </c>
      <c r="D762">
        <v>0</v>
      </c>
      <c r="E762">
        <v>0.32</v>
      </c>
      <c r="F762">
        <v>911</v>
      </c>
      <c r="G762" t="s">
        <v>4559</v>
      </c>
      <c r="H762">
        <v>5915.31</v>
      </c>
      <c r="I762">
        <v>19.11</v>
      </c>
      <c r="J762" t="s">
        <v>120</v>
      </c>
      <c r="K762" t="s">
        <v>4560</v>
      </c>
      <c r="L762">
        <v>0.99</v>
      </c>
      <c r="M762">
        <v>12.38</v>
      </c>
      <c r="N762">
        <v>0.93</v>
      </c>
      <c r="O762">
        <v>0.4</v>
      </c>
      <c r="P762">
        <v>12.58</v>
      </c>
      <c r="Q762">
        <v>-1.36</v>
      </c>
      <c r="R762">
        <v>12.36</v>
      </c>
      <c r="S762">
        <v>12.57</v>
      </c>
      <c r="T762">
        <v>47480</v>
      </c>
      <c r="U762">
        <v>12.39</v>
      </c>
      <c r="V762">
        <v>12.53</v>
      </c>
      <c r="W762">
        <v>26.59</v>
      </c>
      <c r="X762" t="s">
        <v>238</v>
      </c>
      <c r="Y762" t="s">
        <v>123</v>
      </c>
      <c r="Z762">
        <v>1.76</v>
      </c>
      <c r="AA762">
        <v>12.46</v>
      </c>
      <c r="AB762">
        <v>24119</v>
      </c>
      <c r="AC762">
        <v>23361</v>
      </c>
      <c r="AD762">
        <v>1.03</v>
      </c>
      <c r="AE762">
        <v>1684</v>
      </c>
      <c r="AF762">
        <v>32</v>
      </c>
      <c r="AG762" t="s">
        <v>120</v>
      </c>
      <c r="AH762">
        <v>0</v>
      </c>
      <c r="AI762" t="s">
        <v>120</v>
      </c>
      <c r="AJ762">
        <v>4.78</v>
      </c>
      <c r="AK762" t="s">
        <v>4561</v>
      </c>
      <c r="AL762">
        <v>0.72</v>
      </c>
      <c r="AM762">
        <v>1884</v>
      </c>
      <c r="AN762">
        <v>25</v>
      </c>
      <c r="AO762">
        <v>5.0000000000000001E-4</v>
      </c>
      <c r="AP762">
        <v>-1</v>
      </c>
      <c r="AQ762">
        <v>1.21</v>
      </c>
      <c r="AR762">
        <v>-1.9</v>
      </c>
      <c r="AS762">
        <v>-5.13</v>
      </c>
      <c r="AT762">
        <v>-10.87</v>
      </c>
      <c r="AU762">
        <v>-6.35</v>
      </c>
      <c r="AV762">
        <v>3</v>
      </c>
      <c r="AW762">
        <v>1.29</v>
      </c>
      <c r="AX762">
        <v>41.56</v>
      </c>
      <c r="AY762">
        <v>29.65</v>
      </c>
      <c r="AZ762">
        <v>40.35</v>
      </c>
      <c r="BA762">
        <v>0.31</v>
      </c>
      <c r="BB762" t="s">
        <v>751</v>
      </c>
      <c r="BF762">
        <v>-0.56999999999999995</v>
      </c>
      <c r="BG762">
        <v>-1.51</v>
      </c>
      <c r="BH762">
        <v>-1.59</v>
      </c>
      <c r="BI762">
        <v>0.16</v>
      </c>
      <c r="BJ762">
        <v>20210818</v>
      </c>
      <c r="BK762">
        <v>20100205</v>
      </c>
      <c r="BL762">
        <v>8.89</v>
      </c>
      <c r="BM762" t="s">
        <v>120</v>
      </c>
      <c r="BN762" t="s">
        <v>120</v>
      </c>
      <c r="BO762">
        <v>25.47</v>
      </c>
      <c r="BP762">
        <v>12.38</v>
      </c>
      <c r="BQ762">
        <v>20.92</v>
      </c>
      <c r="BR762">
        <v>0.23</v>
      </c>
      <c r="BS762">
        <v>16.940000000000001</v>
      </c>
      <c r="BT762">
        <v>19.3</v>
      </c>
      <c r="BU762">
        <v>4.33</v>
      </c>
      <c r="BV762">
        <v>0.6</v>
      </c>
      <c r="BW762">
        <v>3.56</v>
      </c>
      <c r="BX762">
        <v>2.67</v>
      </c>
      <c r="BY762">
        <v>7.57</v>
      </c>
      <c r="BZ762">
        <v>2.37</v>
      </c>
      <c r="CA762" t="s">
        <v>120</v>
      </c>
      <c r="CB762">
        <v>4.7300000000000004</v>
      </c>
      <c r="CC762">
        <v>11.28</v>
      </c>
      <c r="CD762">
        <v>7.47</v>
      </c>
      <c r="CE762">
        <v>2.61</v>
      </c>
      <c r="CF762">
        <v>0.13</v>
      </c>
      <c r="CG762">
        <v>2.61</v>
      </c>
      <c r="CH762">
        <v>2.14</v>
      </c>
      <c r="CI762">
        <v>2.0699999999999998</v>
      </c>
      <c r="CJ762">
        <v>-0.15</v>
      </c>
      <c r="CK762">
        <v>1.51</v>
      </c>
      <c r="CL762">
        <v>6.37</v>
      </c>
      <c r="CM762">
        <v>-1.08</v>
      </c>
      <c r="CN762">
        <v>0.41</v>
      </c>
      <c r="CO762">
        <v>85379</v>
      </c>
      <c r="CP762">
        <v>4328</v>
      </c>
      <c r="CQ762" t="s">
        <v>2586</v>
      </c>
      <c r="CR762">
        <v>92.78</v>
      </c>
      <c r="CS762">
        <v>50.63</v>
      </c>
      <c r="CT762">
        <v>5.26</v>
      </c>
      <c r="CU762">
        <v>-101.79</v>
      </c>
      <c r="CV762">
        <v>9.76</v>
      </c>
      <c r="CW762">
        <v>1.6</v>
      </c>
      <c r="CX762" t="s">
        <v>4562</v>
      </c>
      <c r="CY762">
        <v>2.35</v>
      </c>
      <c r="CZ762">
        <v>0</v>
      </c>
      <c r="DA762">
        <v>0.53</v>
      </c>
      <c r="DB762">
        <v>0.72</v>
      </c>
      <c r="DC762">
        <v>-0.12</v>
      </c>
      <c r="DD762">
        <v>82.14</v>
      </c>
      <c r="DE762" t="s">
        <v>4563</v>
      </c>
      <c r="DF762">
        <v>33.78</v>
      </c>
      <c r="DG762">
        <v>23.13</v>
      </c>
      <c r="DH762">
        <v>18.350000000000001</v>
      </c>
      <c r="DI762">
        <v>0.62</v>
      </c>
      <c r="DJ762">
        <v>3468</v>
      </c>
      <c r="DK762">
        <v>2351</v>
      </c>
      <c r="DL762" t="s">
        <v>120</v>
      </c>
      <c r="DM762" t="s">
        <v>120</v>
      </c>
      <c r="DN762" t="s">
        <v>120</v>
      </c>
    </row>
    <row r="763" spans="1:118">
      <c r="A763" t="str">
        <f>"002352"</f>
        <v>002352</v>
      </c>
      <c r="B763" t="s">
        <v>4564</v>
      </c>
      <c r="C763">
        <v>-0.7</v>
      </c>
      <c r="D763">
        <v>0.8</v>
      </c>
      <c r="E763">
        <v>-0.4</v>
      </c>
      <c r="F763">
        <v>4018</v>
      </c>
      <c r="G763" t="s">
        <v>4565</v>
      </c>
      <c r="H763">
        <v>132049.07</v>
      </c>
      <c r="I763">
        <v>236.22</v>
      </c>
      <c r="J763" t="s">
        <v>120</v>
      </c>
      <c r="K763" t="s">
        <v>4566</v>
      </c>
      <c r="L763">
        <v>0.46</v>
      </c>
      <c r="M763">
        <v>64</v>
      </c>
      <c r="N763">
        <v>0.83</v>
      </c>
      <c r="O763">
        <v>1.1599999999999999</v>
      </c>
      <c r="P763">
        <v>65.2</v>
      </c>
      <c r="Q763">
        <v>-1.97</v>
      </c>
      <c r="R763">
        <v>63.18</v>
      </c>
      <c r="S763">
        <v>64.19</v>
      </c>
      <c r="T763">
        <v>206261</v>
      </c>
      <c r="U763">
        <v>64</v>
      </c>
      <c r="V763">
        <v>64.45</v>
      </c>
      <c r="W763">
        <v>191.87</v>
      </c>
      <c r="X763" t="s">
        <v>2775</v>
      </c>
      <c r="Y763" t="s">
        <v>123</v>
      </c>
      <c r="Z763">
        <v>3.13</v>
      </c>
      <c r="AA763">
        <v>64.02</v>
      </c>
      <c r="AB763">
        <v>109894</v>
      </c>
      <c r="AC763">
        <v>96367</v>
      </c>
      <c r="AD763">
        <v>1.1399999999999999</v>
      </c>
      <c r="AE763">
        <v>10</v>
      </c>
      <c r="AF763">
        <v>644</v>
      </c>
      <c r="AG763" t="s">
        <v>120</v>
      </c>
      <c r="AH763">
        <v>0</v>
      </c>
      <c r="AI763" t="s">
        <v>120</v>
      </c>
      <c r="AJ763">
        <v>45.04</v>
      </c>
      <c r="AK763" t="s">
        <v>4567</v>
      </c>
      <c r="AL763">
        <v>1.22</v>
      </c>
      <c r="AM763">
        <v>4497</v>
      </c>
      <c r="AN763">
        <v>46</v>
      </c>
      <c r="AO763">
        <v>1E-4</v>
      </c>
      <c r="AP763">
        <v>-1</v>
      </c>
      <c r="AQ763">
        <v>1</v>
      </c>
      <c r="AR763">
        <v>3.47</v>
      </c>
      <c r="AS763">
        <v>10.84</v>
      </c>
      <c r="AT763">
        <v>-8.59</v>
      </c>
      <c r="AU763">
        <v>-27.19</v>
      </c>
      <c r="AV763">
        <v>1</v>
      </c>
      <c r="AW763">
        <v>1.1399999999999999</v>
      </c>
      <c r="AX763">
        <v>39.54</v>
      </c>
      <c r="AY763">
        <v>67.91</v>
      </c>
      <c r="AZ763">
        <v>40.08</v>
      </c>
      <c r="BA763">
        <v>0.76</v>
      </c>
      <c r="BB763" t="s">
        <v>143</v>
      </c>
      <c r="BF763">
        <v>-0.67</v>
      </c>
      <c r="BG763">
        <v>-0.3</v>
      </c>
      <c r="BH763">
        <v>-1.84</v>
      </c>
      <c r="BI763">
        <v>1.3</v>
      </c>
      <c r="BJ763">
        <v>20210823</v>
      </c>
      <c r="BK763">
        <v>20100205</v>
      </c>
      <c r="BL763">
        <v>45.56</v>
      </c>
      <c r="BM763" t="s">
        <v>120</v>
      </c>
      <c r="BN763" t="s">
        <v>120</v>
      </c>
      <c r="BO763">
        <v>1333.93</v>
      </c>
      <c r="BP763">
        <v>63.6</v>
      </c>
      <c r="BQ763">
        <v>566.80999999999995</v>
      </c>
      <c r="BR763">
        <v>6.25</v>
      </c>
      <c r="BS763">
        <v>57.04</v>
      </c>
      <c r="BT763">
        <v>580.91</v>
      </c>
      <c r="BU763">
        <v>227.4</v>
      </c>
      <c r="BV763">
        <v>98.96</v>
      </c>
      <c r="BW763">
        <v>548.64</v>
      </c>
      <c r="BX763">
        <v>168.62</v>
      </c>
      <c r="BY763">
        <v>9.82</v>
      </c>
      <c r="BZ763">
        <v>186.03</v>
      </c>
      <c r="CA763">
        <v>0.24</v>
      </c>
      <c r="CB763">
        <v>255.5</v>
      </c>
      <c r="CC763">
        <v>883.44</v>
      </c>
      <c r="CD763">
        <v>794.21</v>
      </c>
      <c r="CE763">
        <v>10.94</v>
      </c>
      <c r="CF763">
        <v>11.3</v>
      </c>
      <c r="CG763">
        <v>10.93</v>
      </c>
      <c r="CH763">
        <v>4.16</v>
      </c>
      <c r="CI763">
        <v>7.6</v>
      </c>
      <c r="CJ763">
        <v>-0.45</v>
      </c>
      <c r="CK763">
        <v>-4.7699999999999996</v>
      </c>
      <c r="CL763">
        <v>250.77</v>
      </c>
      <c r="CM763">
        <v>43.32</v>
      </c>
      <c r="CN763">
        <v>7.64</v>
      </c>
      <c r="CO763">
        <v>286001</v>
      </c>
      <c r="CP763">
        <v>6299</v>
      </c>
      <c r="CQ763" t="s">
        <v>4568</v>
      </c>
      <c r="CR763">
        <v>-79.8</v>
      </c>
      <c r="CS763">
        <v>24.2</v>
      </c>
      <c r="CT763">
        <v>5.14</v>
      </c>
      <c r="CU763">
        <v>67.319999999999993</v>
      </c>
      <c r="CV763">
        <v>3.3</v>
      </c>
      <c r="CW763">
        <v>0.51</v>
      </c>
      <c r="CX763" t="s">
        <v>1193</v>
      </c>
      <c r="CY763">
        <v>12.44</v>
      </c>
      <c r="CZ763">
        <v>0</v>
      </c>
      <c r="DA763">
        <v>5.61</v>
      </c>
      <c r="DB763">
        <v>5.5</v>
      </c>
      <c r="DC763">
        <v>0.95</v>
      </c>
      <c r="DD763">
        <v>42.49</v>
      </c>
      <c r="DE763" t="s">
        <v>1410</v>
      </c>
      <c r="DF763">
        <v>10.1</v>
      </c>
      <c r="DG763">
        <v>1.24</v>
      </c>
      <c r="DH763">
        <v>0.86</v>
      </c>
      <c r="DI763">
        <v>10.07</v>
      </c>
      <c r="DJ763">
        <v>121925</v>
      </c>
      <c r="DK763">
        <v>2352</v>
      </c>
      <c r="DL763" t="s">
        <v>120</v>
      </c>
      <c r="DM763" t="s">
        <v>120</v>
      </c>
      <c r="DN763" t="s">
        <v>120</v>
      </c>
    </row>
    <row r="764" spans="1:118">
      <c r="A764" t="str">
        <f>"002353"</f>
        <v>002353</v>
      </c>
      <c r="B764" t="s">
        <v>4569</v>
      </c>
      <c r="C764">
        <v>2.15</v>
      </c>
      <c r="D764">
        <v>0.19</v>
      </c>
      <c r="E764">
        <v>2.0099999999999998</v>
      </c>
      <c r="F764">
        <v>2058</v>
      </c>
      <c r="G764" t="s">
        <v>4570</v>
      </c>
      <c r="H764">
        <v>89533.98</v>
      </c>
      <c r="I764">
        <v>412.32</v>
      </c>
      <c r="J764" t="s">
        <v>120</v>
      </c>
      <c r="K764" t="s">
        <v>4571</v>
      </c>
      <c r="L764">
        <v>3.02</v>
      </c>
      <c r="M764">
        <v>46.65</v>
      </c>
      <c r="N764">
        <v>1.42</v>
      </c>
      <c r="O764">
        <v>8.8000000000000007</v>
      </c>
      <c r="P764">
        <v>49.69</v>
      </c>
      <c r="Q764">
        <v>1.6</v>
      </c>
      <c r="R764">
        <v>46.4</v>
      </c>
      <c r="S764">
        <v>46.59</v>
      </c>
      <c r="T764">
        <v>186778</v>
      </c>
      <c r="U764">
        <v>46.7</v>
      </c>
      <c r="V764">
        <v>45.67</v>
      </c>
      <c r="W764">
        <v>29.28</v>
      </c>
      <c r="X764" t="s">
        <v>2196</v>
      </c>
      <c r="Y764" t="s">
        <v>638</v>
      </c>
      <c r="Z764">
        <v>7.2</v>
      </c>
      <c r="AA764">
        <v>47.94</v>
      </c>
      <c r="AB764">
        <v>89713</v>
      </c>
      <c r="AC764">
        <v>97065</v>
      </c>
      <c r="AD764">
        <v>0.92</v>
      </c>
      <c r="AE764">
        <v>351</v>
      </c>
      <c r="AF764">
        <v>21</v>
      </c>
      <c r="AG764" t="s">
        <v>120</v>
      </c>
      <c r="AH764">
        <v>0.02</v>
      </c>
      <c r="AI764" t="s">
        <v>120</v>
      </c>
      <c r="AJ764">
        <v>6.19</v>
      </c>
      <c r="AK764" t="s">
        <v>4572</v>
      </c>
      <c r="AL764">
        <v>4.0599999999999996</v>
      </c>
      <c r="AM764">
        <v>4179</v>
      </c>
      <c r="AN764">
        <v>45</v>
      </c>
      <c r="AO764">
        <v>6.9999999999999999E-4</v>
      </c>
      <c r="AP764">
        <v>4</v>
      </c>
      <c r="AQ764">
        <v>2.2599999999999998</v>
      </c>
      <c r="AR764">
        <v>8.66</v>
      </c>
      <c r="AS764">
        <v>31.26</v>
      </c>
      <c r="AT764">
        <v>2.2599999999999998</v>
      </c>
      <c r="AU764">
        <v>33.97</v>
      </c>
      <c r="AV764">
        <v>2</v>
      </c>
      <c r="AW764">
        <v>3.73</v>
      </c>
      <c r="AX764">
        <v>52.27</v>
      </c>
      <c r="AY764">
        <v>24.79</v>
      </c>
      <c r="AZ764">
        <v>25.88</v>
      </c>
      <c r="BA764">
        <v>0.65</v>
      </c>
      <c r="BB764" t="s">
        <v>168</v>
      </c>
      <c r="BF764">
        <v>4.96</v>
      </c>
      <c r="BG764">
        <v>0.13</v>
      </c>
      <c r="BH764">
        <v>-6.12</v>
      </c>
      <c r="BI764">
        <v>0.54</v>
      </c>
      <c r="BJ764">
        <v>20210913</v>
      </c>
      <c r="BK764">
        <v>20100205</v>
      </c>
      <c r="BL764">
        <v>9.58</v>
      </c>
      <c r="BM764" t="s">
        <v>120</v>
      </c>
      <c r="BN764" t="s">
        <v>120</v>
      </c>
      <c r="BO764">
        <v>189.24</v>
      </c>
      <c r="BP764">
        <v>46.65</v>
      </c>
      <c r="BQ764">
        <v>116.8</v>
      </c>
      <c r="BR764">
        <v>3.29</v>
      </c>
      <c r="BS764">
        <v>36.54</v>
      </c>
      <c r="BT764">
        <v>146.08000000000001</v>
      </c>
      <c r="BU764">
        <v>17.36</v>
      </c>
      <c r="BV764">
        <v>6.33</v>
      </c>
      <c r="BW764">
        <v>61.32</v>
      </c>
      <c r="BX764">
        <v>24.66</v>
      </c>
      <c r="BY764">
        <v>45.63</v>
      </c>
      <c r="BZ764">
        <v>40.76</v>
      </c>
      <c r="CA764" t="s">
        <v>120</v>
      </c>
      <c r="CB764">
        <v>37.24</v>
      </c>
      <c r="CC764">
        <v>36.69</v>
      </c>
      <c r="CD764">
        <v>22.91</v>
      </c>
      <c r="CE764">
        <v>9.1300000000000008</v>
      </c>
      <c r="CF764">
        <v>0.35</v>
      </c>
      <c r="CG764">
        <v>9.11</v>
      </c>
      <c r="CH764">
        <v>7.76</v>
      </c>
      <c r="CI764">
        <v>7.63</v>
      </c>
      <c r="CJ764">
        <v>0.98</v>
      </c>
      <c r="CK764">
        <v>7.34</v>
      </c>
      <c r="CL764">
        <v>69.67</v>
      </c>
      <c r="CM764">
        <v>-3.11</v>
      </c>
      <c r="CN764">
        <v>-4.5199999999999996</v>
      </c>
      <c r="CO764">
        <v>37034</v>
      </c>
      <c r="CP764">
        <v>13520</v>
      </c>
      <c r="CQ764" t="s">
        <v>4573</v>
      </c>
      <c r="CR764">
        <v>10.79</v>
      </c>
      <c r="CS764">
        <v>10.6</v>
      </c>
      <c r="CT764">
        <v>3.83</v>
      </c>
      <c r="CU764">
        <v>-143.72999999999999</v>
      </c>
      <c r="CV764">
        <v>12.18</v>
      </c>
      <c r="CW764">
        <v>0.39</v>
      </c>
      <c r="CX764" t="s">
        <v>127</v>
      </c>
      <c r="CY764">
        <v>12.19</v>
      </c>
      <c r="CZ764">
        <v>0</v>
      </c>
      <c r="DA764">
        <v>3.89</v>
      </c>
      <c r="DB764">
        <v>7.27</v>
      </c>
      <c r="DC764">
        <v>-0.32</v>
      </c>
      <c r="DD764">
        <v>61.72</v>
      </c>
      <c r="DE764" t="s">
        <v>4574</v>
      </c>
      <c r="DF764">
        <v>37.56</v>
      </c>
      <c r="DG764">
        <v>24.88</v>
      </c>
      <c r="DH764">
        <v>20.8</v>
      </c>
      <c r="DI764">
        <v>1.25</v>
      </c>
      <c r="DJ764">
        <v>5039</v>
      </c>
      <c r="DK764">
        <v>2353</v>
      </c>
      <c r="DL764" t="s">
        <v>120</v>
      </c>
      <c r="DM764" t="s">
        <v>120</v>
      </c>
      <c r="DN764" t="s">
        <v>120</v>
      </c>
    </row>
    <row r="765" spans="1:118">
      <c r="A765" t="str">
        <f>"002354"</f>
        <v>002354</v>
      </c>
      <c r="B765" t="s">
        <v>4575</v>
      </c>
      <c r="C765">
        <v>-0.3</v>
      </c>
      <c r="D765">
        <v>0</v>
      </c>
      <c r="E765">
        <v>0</v>
      </c>
      <c r="F765">
        <v>428</v>
      </c>
      <c r="G765" t="s">
        <v>4576</v>
      </c>
      <c r="H765">
        <v>5821.52</v>
      </c>
      <c r="I765">
        <v>6.13</v>
      </c>
      <c r="J765" t="s">
        <v>120</v>
      </c>
      <c r="K765" t="s">
        <v>340</v>
      </c>
      <c r="L765">
        <v>1.2</v>
      </c>
      <c r="M765">
        <v>3.27</v>
      </c>
      <c r="N765">
        <v>0.89</v>
      </c>
      <c r="O765">
        <v>4.57</v>
      </c>
      <c r="P765">
        <v>3.43</v>
      </c>
      <c r="Q765">
        <v>-0.91</v>
      </c>
      <c r="R765">
        <v>3.25</v>
      </c>
      <c r="S765">
        <v>3.28</v>
      </c>
      <c r="T765">
        <v>175077</v>
      </c>
      <c r="U765">
        <v>3.27</v>
      </c>
      <c r="V765">
        <v>3.28</v>
      </c>
      <c r="W765">
        <v>63.84</v>
      </c>
      <c r="X765" t="s">
        <v>1531</v>
      </c>
      <c r="Y765" t="s">
        <v>432</v>
      </c>
      <c r="Z765">
        <v>5.49</v>
      </c>
      <c r="AA765">
        <v>3.33</v>
      </c>
      <c r="AB765">
        <v>92225</v>
      </c>
      <c r="AC765">
        <v>82852</v>
      </c>
      <c r="AD765">
        <v>1.1100000000000001</v>
      </c>
      <c r="AE765">
        <v>420</v>
      </c>
      <c r="AF765">
        <v>971</v>
      </c>
      <c r="AG765" t="s">
        <v>120</v>
      </c>
      <c r="AH765">
        <v>0</v>
      </c>
      <c r="AI765" t="s">
        <v>120</v>
      </c>
      <c r="AJ765">
        <v>14.61</v>
      </c>
      <c r="AK765" t="s">
        <v>4577</v>
      </c>
      <c r="AL765">
        <v>1.61</v>
      </c>
      <c r="AM765">
        <v>1668</v>
      </c>
      <c r="AN765">
        <v>105</v>
      </c>
      <c r="AO765">
        <v>6.9999999999999999E-4</v>
      </c>
      <c r="AP765">
        <v>-3</v>
      </c>
      <c r="AQ765">
        <v>-1.2</v>
      </c>
      <c r="AR765">
        <v>-5.21</v>
      </c>
      <c r="AS765">
        <v>7.21</v>
      </c>
      <c r="AT765">
        <v>-7.1</v>
      </c>
      <c r="AU765">
        <v>22.93</v>
      </c>
      <c r="AV765">
        <v>13</v>
      </c>
      <c r="AW765">
        <v>1.31</v>
      </c>
      <c r="AX765">
        <v>80.37</v>
      </c>
      <c r="AY765">
        <v>14.54</v>
      </c>
      <c r="AZ765">
        <v>35.67</v>
      </c>
      <c r="BA765">
        <v>0.52</v>
      </c>
      <c r="BB765" t="s">
        <v>143</v>
      </c>
      <c r="BF765">
        <v>1.38</v>
      </c>
      <c r="BG765">
        <v>-0.3</v>
      </c>
      <c r="BH765">
        <v>-4.66</v>
      </c>
      <c r="BI765">
        <v>0.62</v>
      </c>
      <c r="BJ765">
        <v>20210818</v>
      </c>
      <c r="BK765">
        <v>20100209</v>
      </c>
      <c r="BL765">
        <v>16.63</v>
      </c>
      <c r="BM765" t="s">
        <v>120</v>
      </c>
      <c r="BN765" t="s">
        <v>120</v>
      </c>
      <c r="BO765">
        <v>37.67</v>
      </c>
      <c r="BP765">
        <v>3.26</v>
      </c>
      <c r="BQ765">
        <v>28.03</v>
      </c>
      <c r="BR765">
        <v>0.93</v>
      </c>
      <c r="BS765">
        <v>23.11</v>
      </c>
      <c r="BT765">
        <v>11.75</v>
      </c>
      <c r="BU765">
        <v>0.78</v>
      </c>
      <c r="BV765">
        <v>0.06</v>
      </c>
      <c r="BW765">
        <v>3.86</v>
      </c>
      <c r="BX765">
        <v>3.32</v>
      </c>
      <c r="BY765">
        <v>0.25</v>
      </c>
      <c r="BZ765">
        <v>2.1</v>
      </c>
      <c r="CA765" t="s">
        <v>120</v>
      </c>
      <c r="CB765">
        <v>70.37</v>
      </c>
      <c r="CC765">
        <v>6.25</v>
      </c>
      <c r="CD765">
        <v>4.3899999999999997</v>
      </c>
      <c r="CE765">
        <v>0.23</v>
      </c>
      <c r="CF765">
        <v>-0.3</v>
      </c>
      <c r="CG765">
        <v>0.62</v>
      </c>
      <c r="CH765">
        <v>0.53</v>
      </c>
      <c r="CI765">
        <v>0.43</v>
      </c>
      <c r="CJ765">
        <v>-0.01</v>
      </c>
      <c r="CK765">
        <v>0.34</v>
      </c>
      <c r="CL765">
        <v>-58.8</v>
      </c>
      <c r="CM765">
        <v>-0.94</v>
      </c>
      <c r="CN765">
        <v>-1.33</v>
      </c>
      <c r="CO765">
        <v>29977</v>
      </c>
      <c r="CP765">
        <v>44588</v>
      </c>
      <c r="CQ765" t="s">
        <v>4578</v>
      </c>
      <c r="CR765">
        <v>123.7</v>
      </c>
      <c r="CS765">
        <v>30.47</v>
      </c>
      <c r="CT765">
        <v>1.94</v>
      </c>
      <c r="CU765">
        <v>-58.08</v>
      </c>
      <c r="CV765">
        <v>8.6999999999999993</v>
      </c>
      <c r="CW765">
        <v>0</v>
      </c>
      <c r="CX765" t="s">
        <v>702</v>
      </c>
      <c r="CY765">
        <v>1.69</v>
      </c>
      <c r="CZ765">
        <v>0</v>
      </c>
      <c r="DA765">
        <v>4.2300000000000004</v>
      </c>
      <c r="DB765">
        <v>-3.54</v>
      </c>
      <c r="DC765">
        <v>-0.06</v>
      </c>
      <c r="DD765">
        <v>74.42</v>
      </c>
      <c r="DE765" t="s">
        <v>4579</v>
      </c>
      <c r="DF765">
        <v>29.76</v>
      </c>
      <c r="DG765">
        <v>3.67</v>
      </c>
      <c r="DH765">
        <v>6.81</v>
      </c>
      <c r="DI765">
        <v>0.49</v>
      </c>
      <c r="DJ765">
        <v>700</v>
      </c>
      <c r="DK765">
        <v>2354</v>
      </c>
      <c r="DL765" t="s">
        <v>120</v>
      </c>
      <c r="DM765" t="s">
        <v>120</v>
      </c>
      <c r="DN765" t="s">
        <v>120</v>
      </c>
    </row>
    <row r="766" spans="1:118">
      <c r="A766" t="str">
        <f>"002355"</f>
        <v>002355</v>
      </c>
      <c r="B766" t="s">
        <v>4580</v>
      </c>
      <c r="C766">
        <v>-0.64</v>
      </c>
      <c r="D766">
        <v>0.16</v>
      </c>
      <c r="E766">
        <v>0.8</v>
      </c>
      <c r="F766">
        <v>577</v>
      </c>
      <c r="G766" t="s">
        <v>415</v>
      </c>
      <c r="H766">
        <v>10315.16</v>
      </c>
      <c r="I766">
        <v>21.36</v>
      </c>
      <c r="J766" t="s">
        <v>120</v>
      </c>
      <c r="K766" t="s">
        <v>4581</v>
      </c>
      <c r="L766">
        <v>2.6</v>
      </c>
      <c r="M766">
        <v>6.23</v>
      </c>
      <c r="N766">
        <v>1.02</v>
      </c>
      <c r="O766">
        <v>5.74</v>
      </c>
      <c r="P766">
        <v>6.63</v>
      </c>
      <c r="Q766">
        <v>-0.96</v>
      </c>
      <c r="R766">
        <v>6.21</v>
      </c>
      <c r="S766">
        <v>6.32</v>
      </c>
      <c r="T766">
        <v>160205</v>
      </c>
      <c r="U766">
        <v>6.24</v>
      </c>
      <c r="V766">
        <v>6.27</v>
      </c>
      <c r="W766" t="s">
        <v>120</v>
      </c>
      <c r="X766" t="s">
        <v>289</v>
      </c>
      <c r="Y766" t="s">
        <v>638</v>
      </c>
      <c r="Z766">
        <v>6.7</v>
      </c>
      <c r="AA766">
        <v>6.44</v>
      </c>
      <c r="AB766">
        <v>83634</v>
      </c>
      <c r="AC766">
        <v>76571</v>
      </c>
      <c r="AD766">
        <v>1.0900000000000001</v>
      </c>
      <c r="AE766">
        <v>145</v>
      </c>
      <c r="AF766">
        <v>239</v>
      </c>
      <c r="AG766" t="s">
        <v>120</v>
      </c>
      <c r="AH766">
        <v>0.01</v>
      </c>
      <c r="AI766" t="s">
        <v>120</v>
      </c>
      <c r="AJ766">
        <v>6.17</v>
      </c>
      <c r="AK766" t="s">
        <v>4582</v>
      </c>
      <c r="AL766">
        <v>1.28</v>
      </c>
      <c r="AM766">
        <v>2025</v>
      </c>
      <c r="AN766">
        <v>79</v>
      </c>
      <c r="AO766">
        <v>1.2999999999999999E-3</v>
      </c>
      <c r="AP766">
        <v>-1</v>
      </c>
      <c r="AQ766">
        <v>0.97</v>
      </c>
      <c r="AR766">
        <v>-3.41</v>
      </c>
      <c r="AS766">
        <v>3.49</v>
      </c>
      <c r="AT766">
        <v>3.32</v>
      </c>
      <c r="AU766">
        <v>25.36</v>
      </c>
      <c r="AV766">
        <v>1</v>
      </c>
      <c r="AW766">
        <v>3.47</v>
      </c>
      <c r="AX766">
        <v>74.34</v>
      </c>
      <c r="AY766" t="s">
        <v>120</v>
      </c>
      <c r="AZ766" t="s">
        <v>120</v>
      </c>
      <c r="BA766">
        <v>0.48</v>
      </c>
      <c r="BB766" t="s">
        <v>143</v>
      </c>
      <c r="BF766">
        <v>2.69</v>
      </c>
      <c r="BG766">
        <v>-1.42</v>
      </c>
      <c r="BH766">
        <v>-6.03</v>
      </c>
      <c r="BI766">
        <v>0.32</v>
      </c>
      <c r="BJ766">
        <v>20210831</v>
      </c>
      <c r="BK766">
        <v>20100209</v>
      </c>
      <c r="BL766">
        <v>6.21</v>
      </c>
      <c r="BM766" t="s">
        <v>120</v>
      </c>
      <c r="BN766" t="s">
        <v>120</v>
      </c>
      <c r="BO766">
        <v>41.98</v>
      </c>
      <c r="BP766">
        <v>6.23</v>
      </c>
      <c r="BQ766">
        <v>24.44</v>
      </c>
      <c r="BR766">
        <v>0.96</v>
      </c>
      <c r="BS766">
        <v>39.47</v>
      </c>
      <c r="BT766">
        <v>23.92</v>
      </c>
      <c r="BU766">
        <v>8.89</v>
      </c>
      <c r="BV766">
        <v>1.05</v>
      </c>
      <c r="BW766">
        <v>15.32</v>
      </c>
      <c r="BX766">
        <v>2.27</v>
      </c>
      <c r="BY766">
        <v>11.19</v>
      </c>
      <c r="BZ766">
        <v>4.2699999999999996</v>
      </c>
      <c r="CA766" t="s">
        <v>120</v>
      </c>
      <c r="CB766">
        <v>18.600000000000001</v>
      </c>
      <c r="CC766">
        <v>8.24</v>
      </c>
      <c r="CD766">
        <v>7.82</v>
      </c>
      <c r="CE766">
        <v>-0.2</v>
      </c>
      <c r="CF766">
        <v>-0.01</v>
      </c>
      <c r="CG766">
        <v>-0.2</v>
      </c>
      <c r="CH766">
        <v>-0.21</v>
      </c>
      <c r="CI766">
        <v>-0.14000000000000001</v>
      </c>
      <c r="CJ766">
        <v>-0.04</v>
      </c>
      <c r="CK766">
        <v>-0.17</v>
      </c>
      <c r="CL766">
        <v>-0.99</v>
      </c>
      <c r="CM766">
        <v>-0.8</v>
      </c>
      <c r="CN766">
        <v>-2.19</v>
      </c>
      <c r="CO766">
        <v>23194</v>
      </c>
      <c r="CP766">
        <v>19890</v>
      </c>
      <c r="CQ766" t="s">
        <v>526</v>
      </c>
      <c r="CR766">
        <v>86.38</v>
      </c>
      <c r="CS766">
        <v>26.47</v>
      </c>
      <c r="CT766">
        <v>1.58</v>
      </c>
      <c r="CU766">
        <v>-48.46</v>
      </c>
      <c r="CV766">
        <v>4.6900000000000004</v>
      </c>
      <c r="CW766">
        <v>0</v>
      </c>
      <c r="CX766" t="s">
        <v>419</v>
      </c>
      <c r="CY766">
        <v>3.94</v>
      </c>
      <c r="CZ766">
        <v>0</v>
      </c>
      <c r="DA766">
        <v>3</v>
      </c>
      <c r="DB766">
        <v>-0.16</v>
      </c>
      <c r="DC766">
        <v>-0.13</v>
      </c>
      <c r="DD766">
        <v>58.23</v>
      </c>
      <c r="DE766" t="s">
        <v>4583</v>
      </c>
      <c r="DF766">
        <v>5.0999999999999996</v>
      </c>
      <c r="DG766">
        <v>-2.42</v>
      </c>
      <c r="DH766">
        <v>-1.67</v>
      </c>
      <c r="DI766">
        <v>0.18</v>
      </c>
      <c r="DJ766">
        <v>2393</v>
      </c>
      <c r="DK766">
        <v>2355</v>
      </c>
      <c r="DL766" t="s">
        <v>120</v>
      </c>
      <c r="DM766" t="s">
        <v>120</v>
      </c>
      <c r="DN766" t="s">
        <v>120</v>
      </c>
    </row>
    <row r="767" spans="1:118">
      <c r="A767" t="str">
        <f>"002357"</f>
        <v>002357</v>
      </c>
      <c r="B767" t="s">
        <v>4584</v>
      </c>
      <c r="C767">
        <v>-2.08</v>
      </c>
      <c r="D767">
        <v>-0.17</v>
      </c>
      <c r="E767">
        <v>0.69</v>
      </c>
      <c r="F767">
        <v>85</v>
      </c>
      <c r="G767" t="s">
        <v>4585</v>
      </c>
      <c r="H767">
        <v>1553.69</v>
      </c>
      <c r="I767">
        <v>0.28999999999999998</v>
      </c>
      <c r="J767" t="s">
        <v>120</v>
      </c>
      <c r="K767" t="s">
        <v>697</v>
      </c>
      <c r="L767">
        <v>0.86</v>
      </c>
      <c r="M767">
        <v>5.66</v>
      </c>
      <c r="N767">
        <v>0.77</v>
      </c>
      <c r="O767">
        <v>1.38</v>
      </c>
      <c r="P767">
        <v>5.86</v>
      </c>
      <c r="Q767">
        <v>-2.6</v>
      </c>
      <c r="R767">
        <v>5.63</v>
      </c>
      <c r="S767">
        <v>5.82</v>
      </c>
      <c r="T767">
        <v>27023</v>
      </c>
      <c r="U767">
        <v>5.67</v>
      </c>
      <c r="V767">
        <v>5.78</v>
      </c>
      <c r="W767">
        <v>11.61</v>
      </c>
      <c r="X767" t="s">
        <v>4586</v>
      </c>
      <c r="Y767" t="s">
        <v>578</v>
      </c>
      <c r="Z767">
        <v>3.98</v>
      </c>
      <c r="AA767">
        <v>5.75</v>
      </c>
      <c r="AB767">
        <v>15769</v>
      </c>
      <c r="AC767">
        <v>11254</v>
      </c>
      <c r="AD767">
        <v>1.4</v>
      </c>
      <c r="AE767">
        <v>153</v>
      </c>
      <c r="AF767">
        <v>116</v>
      </c>
      <c r="AG767" t="s">
        <v>120</v>
      </c>
      <c r="AH767">
        <v>0</v>
      </c>
      <c r="AI767" t="s">
        <v>120</v>
      </c>
      <c r="AJ767">
        <v>3.13</v>
      </c>
      <c r="AK767" t="s">
        <v>697</v>
      </c>
      <c r="AL767">
        <v>-0.16</v>
      </c>
      <c r="AM767">
        <v>1109</v>
      </c>
      <c r="AN767">
        <v>24</v>
      </c>
      <c r="AO767">
        <v>8.0000000000000004E-4</v>
      </c>
      <c r="AP767">
        <v>-1</v>
      </c>
      <c r="AQ767">
        <v>1.76</v>
      </c>
      <c r="AR767">
        <v>-3.91</v>
      </c>
      <c r="AS767">
        <v>6.19</v>
      </c>
      <c r="AT767">
        <v>9.26</v>
      </c>
      <c r="AU767">
        <v>1.07</v>
      </c>
      <c r="AV767">
        <v>1</v>
      </c>
      <c r="AW767">
        <v>1.44</v>
      </c>
      <c r="AX767">
        <v>59.93</v>
      </c>
      <c r="AY767">
        <v>16.25</v>
      </c>
      <c r="AZ767">
        <v>23.34</v>
      </c>
      <c r="BA767">
        <v>0.1</v>
      </c>
      <c r="BB767" t="s">
        <v>143</v>
      </c>
      <c r="BF767">
        <v>-0.53</v>
      </c>
      <c r="BG767">
        <v>-2.75</v>
      </c>
      <c r="BH767">
        <v>-3.41</v>
      </c>
      <c r="BI767">
        <v>0.53</v>
      </c>
      <c r="BJ767">
        <v>20210909</v>
      </c>
      <c r="BK767">
        <v>20100210</v>
      </c>
      <c r="BL767">
        <v>3.13</v>
      </c>
      <c r="BM767" t="s">
        <v>120</v>
      </c>
      <c r="BN767" t="s">
        <v>120</v>
      </c>
      <c r="BO767">
        <v>26.69</v>
      </c>
      <c r="BP767">
        <v>5.66</v>
      </c>
      <c r="BQ767">
        <v>13.21</v>
      </c>
      <c r="BR767">
        <v>0.82</v>
      </c>
      <c r="BS767">
        <v>47.46</v>
      </c>
      <c r="BT767">
        <v>2.89</v>
      </c>
      <c r="BU767">
        <v>5.8</v>
      </c>
      <c r="BV767">
        <v>2.06</v>
      </c>
      <c r="BW767">
        <v>8.68</v>
      </c>
      <c r="BX767">
        <v>1.0900000000000001</v>
      </c>
      <c r="BY767">
        <v>0.01</v>
      </c>
      <c r="BZ767">
        <v>1</v>
      </c>
      <c r="CA767">
        <v>0.04</v>
      </c>
      <c r="CB767">
        <v>2.08</v>
      </c>
      <c r="CC767">
        <v>3.53</v>
      </c>
      <c r="CD767">
        <v>2.8</v>
      </c>
      <c r="CE767">
        <v>0.87</v>
      </c>
      <c r="CF767">
        <v>0.75</v>
      </c>
      <c r="CG767">
        <v>0.85</v>
      </c>
      <c r="CH767">
        <v>0.79</v>
      </c>
      <c r="CI767">
        <v>0.76</v>
      </c>
      <c r="CJ767">
        <v>-0.12</v>
      </c>
      <c r="CK767">
        <v>0.68</v>
      </c>
      <c r="CL767">
        <v>6.5</v>
      </c>
      <c r="CM767">
        <v>0.38</v>
      </c>
      <c r="CN767">
        <v>-0.52</v>
      </c>
      <c r="CO767">
        <v>15553</v>
      </c>
      <c r="CP767">
        <v>12079</v>
      </c>
      <c r="CQ767" t="s">
        <v>4587</v>
      </c>
      <c r="CR767">
        <v>79.650000000000006</v>
      </c>
      <c r="CS767">
        <v>31.3</v>
      </c>
      <c r="CT767">
        <v>1.34</v>
      </c>
      <c r="CU767">
        <v>46.12</v>
      </c>
      <c r="CV767">
        <v>5.0199999999999996</v>
      </c>
      <c r="CW767">
        <v>0</v>
      </c>
      <c r="CX767" t="s">
        <v>4588</v>
      </c>
      <c r="CY767">
        <v>4.21</v>
      </c>
      <c r="CZ767">
        <v>0</v>
      </c>
      <c r="DA767">
        <v>0.66</v>
      </c>
      <c r="DB767">
        <v>2.0699999999999998</v>
      </c>
      <c r="DC767">
        <v>0.12</v>
      </c>
      <c r="DD767">
        <v>49.49</v>
      </c>
      <c r="DE767" t="s">
        <v>4589</v>
      </c>
      <c r="DF767">
        <v>20.69</v>
      </c>
      <c r="DG767">
        <v>24.49</v>
      </c>
      <c r="DH767">
        <v>21.62</v>
      </c>
      <c r="DI767">
        <v>0.01</v>
      </c>
      <c r="DJ767">
        <v>2252</v>
      </c>
      <c r="DK767">
        <v>2357</v>
      </c>
      <c r="DL767" t="s">
        <v>120</v>
      </c>
      <c r="DM767" t="s">
        <v>120</v>
      </c>
      <c r="DN767" t="s">
        <v>120</v>
      </c>
    </row>
    <row r="768" spans="1:118">
      <c r="A768" t="str">
        <f>"002360"</f>
        <v>002360</v>
      </c>
      <c r="B768" t="s">
        <v>4590</v>
      </c>
      <c r="C768">
        <v>-2.5299999999999998</v>
      </c>
      <c r="D768">
        <v>-0.09</v>
      </c>
      <c r="E768">
        <v>0.1</v>
      </c>
      <c r="F768">
        <v>819</v>
      </c>
      <c r="G768" t="s">
        <v>4591</v>
      </c>
      <c r="H768">
        <v>12502.75</v>
      </c>
      <c r="I768">
        <v>56.03</v>
      </c>
      <c r="J768" t="s">
        <v>120</v>
      </c>
      <c r="K768" t="s">
        <v>4210</v>
      </c>
      <c r="L768">
        <v>3.94</v>
      </c>
      <c r="M768">
        <v>10.029999999999999</v>
      </c>
      <c r="N768">
        <v>1.0900000000000001</v>
      </c>
      <c r="O768">
        <v>3.6</v>
      </c>
      <c r="P768">
        <v>10.66</v>
      </c>
      <c r="Q768">
        <v>-2.92</v>
      </c>
      <c r="R768">
        <v>9.99</v>
      </c>
      <c r="S768">
        <v>10.3</v>
      </c>
      <c r="T768">
        <v>121502</v>
      </c>
      <c r="U768">
        <v>10.039999999999999</v>
      </c>
      <c r="V768">
        <v>10.29</v>
      </c>
      <c r="W768">
        <v>26.96</v>
      </c>
      <c r="X768" t="s">
        <v>868</v>
      </c>
      <c r="Y768" t="s">
        <v>667</v>
      </c>
      <c r="Z768">
        <v>6.51</v>
      </c>
      <c r="AA768">
        <v>10.29</v>
      </c>
      <c r="AB768">
        <v>64081</v>
      </c>
      <c r="AC768">
        <v>57421</v>
      </c>
      <c r="AD768">
        <v>1.1200000000000001</v>
      </c>
      <c r="AE768">
        <v>344</v>
      </c>
      <c r="AF768">
        <v>81</v>
      </c>
      <c r="AG768" t="s">
        <v>120</v>
      </c>
      <c r="AH768">
        <v>0.02</v>
      </c>
      <c r="AI768" t="s">
        <v>120</v>
      </c>
      <c r="AJ768">
        <v>3.08</v>
      </c>
      <c r="AK768" t="s">
        <v>4592</v>
      </c>
      <c r="AL768">
        <v>-0.61</v>
      </c>
      <c r="AM768">
        <v>2255</v>
      </c>
      <c r="AN768">
        <v>54</v>
      </c>
      <c r="AO768">
        <v>1.6999999999999999E-3</v>
      </c>
      <c r="AP768">
        <v>-1</v>
      </c>
      <c r="AQ768">
        <v>2.39</v>
      </c>
      <c r="AR768">
        <v>-2.99</v>
      </c>
      <c r="AS768">
        <v>2.98</v>
      </c>
      <c r="AT768">
        <v>29.76</v>
      </c>
      <c r="AU768">
        <v>30.26</v>
      </c>
      <c r="AV768">
        <v>4</v>
      </c>
      <c r="AW768">
        <v>4.22</v>
      </c>
      <c r="AX768">
        <v>72.36</v>
      </c>
      <c r="AY768">
        <v>22.52</v>
      </c>
      <c r="AZ768">
        <v>26.75</v>
      </c>
      <c r="BA768">
        <v>0.5</v>
      </c>
      <c r="BB768" t="s">
        <v>143</v>
      </c>
      <c r="BF768">
        <v>0</v>
      </c>
      <c r="BG768">
        <v>-2.62</v>
      </c>
      <c r="BH768">
        <v>-5.91</v>
      </c>
      <c r="BI768">
        <v>0.4</v>
      </c>
      <c r="BJ768">
        <v>20210810</v>
      </c>
      <c r="BK768">
        <v>20100303</v>
      </c>
      <c r="BL768">
        <v>3.98</v>
      </c>
      <c r="BM768" t="s">
        <v>120</v>
      </c>
      <c r="BN768" t="s">
        <v>120</v>
      </c>
      <c r="BO768">
        <v>19.46</v>
      </c>
      <c r="BP768">
        <v>10.029999999999999</v>
      </c>
      <c r="BQ768">
        <v>13.29</v>
      </c>
      <c r="BR768">
        <v>0.48</v>
      </c>
      <c r="BS768">
        <v>29.29</v>
      </c>
      <c r="BT768">
        <v>11.16</v>
      </c>
      <c r="BU768">
        <v>3.64</v>
      </c>
      <c r="BV768">
        <v>1.34</v>
      </c>
      <c r="BW768">
        <v>4</v>
      </c>
      <c r="BX768">
        <v>6.5</v>
      </c>
      <c r="BY768">
        <v>0.59</v>
      </c>
      <c r="BZ768">
        <v>1.33</v>
      </c>
      <c r="CA768">
        <v>0</v>
      </c>
      <c r="CB768">
        <v>0.59</v>
      </c>
      <c r="CC768">
        <v>4.12</v>
      </c>
      <c r="CD768">
        <v>2.4</v>
      </c>
      <c r="CE768">
        <v>0.99</v>
      </c>
      <c r="CF768">
        <v>0</v>
      </c>
      <c r="CG768">
        <v>1.01</v>
      </c>
      <c r="CH768">
        <v>0.75</v>
      </c>
      <c r="CI768">
        <v>0.74</v>
      </c>
      <c r="CJ768">
        <v>-0.26</v>
      </c>
      <c r="CK768">
        <v>0.68</v>
      </c>
      <c r="CL768">
        <v>8.2799999999999994</v>
      </c>
      <c r="CM768">
        <v>0.27</v>
      </c>
      <c r="CN768">
        <v>0.45</v>
      </c>
      <c r="CO768">
        <v>18531</v>
      </c>
      <c r="CP768">
        <v>15554</v>
      </c>
      <c r="CQ768" t="s">
        <v>4593</v>
      </c>
      <c r="CR768">
        <v>63.7</v>
      </c>
      <c r="CS768">
        <v>25.99</v>
      </c>
      <c r="CT768">
        <v>3.05</v>
      </c>
      <c r="CU768">
        <v>145.76</v>
      </c>
      <c r="CV768">
        <v>9.6999999999999993</v>
      </c>
      <c r="CW768">
        <v>0.93</v>
      </c>
      <c r="CX768" t="s">
        <v>442</v>
      </c>
      <c r="CY768">
        <v>3.29</v>
      </c>
      <c r="CZ768">
        <v>3.29</v>
      </c>
      <c r="DA768">
        <v>0.15</v>
      </c>
      <c r="DB768">
        <v>2.08</v>
      </c>
      <c r="DC768">
        <v>7.0000000000000007E-2</v>
      </c>
      <c r="DD768">
        <v>68.27</v>
      </c>
      <c r="DE768" t="s">
        <v>1273</v>
      </c>
      <c r="DF768">
        <v>41.8</v>
      </c>
      <c r="DG768">
        <v>24.06</v>
      </c>
      <c r="DH768">
        <v>17.989999999999998</v>
      </c>
      <c r="DI768">
        <v>0.12</v>
      </c>
      <c r="DJ768">
        <v>1720</v>
      </c>
      <c r="DK768">
        <v>2360</v>
      </c>
      <c r="DL768" t="s">
        <v>120</v>
      </c>
      <c r="DM768" t="s">
        <v>120</v>
      </c>
      <c r="DN768" t="s">
        <v>120</v>
      </c>
    </row>
    <row r="769" spans="1:118">
      <c r="A769" t="str">
        <f>"002361"</f>
        <v>002361</v>
      </c>
      <c r="B769" t="s">
        <v>4594</v>
      </c>
      <c r="C769">
        <v>-0.17</v>
      </c>
      <c r="D769">
        <v>0.35</v>
      </c>
      <c r="E769">
        <v>0.17</v>
      </c>
      <c r="F769">
        <v>2653</v>
      </c>
      <c r="G769" t="s">
        <v>4595</v>
      </c>
      <c r="H769">
        <v>21428.87</v>
      </c>
      <c r="I769">
        <v>6.65</v>
      </c>
      <c r="J769" t="s">
        <v>120</v>
      </c>
      <c r="K769" t="s">
        <v>4596</v>
      </c>
      <c r="L769">
        <v>5.37</v>
      </c>
      <c r="M769">
        <v>5.81</v>
      </c>
      <c r="N769">
        <v>2.08</v>
      </c>
      <c r="O769">
        <v>5.67</v>
      </c>
      <c r="P769">
        <v>6.15</v>
      </c>
      <c r="Q769">
        <v>-0.86</v>
      </c>
      <c r="R769">
        <v>5.77</v>
      </c>
      <c r="S769">
        <v>5.83</v>
      </c>
      <c r="T769">
        <v>359213</v>
      </c>
      <c r="U769">
        <v>5.81</v>
      </c>
      <c r="V769">
        <v>5.82</v>
      </c>
      <c r="W769">
        <v>32.68</v>
      </c>
      <c r="X769" t="s">
        <v>868</v>
      </c>
      <c r="Y769" t="s">
        <v>570</v>
      </c>
      <c r="Z769">
        <v>6.53</v>
      </c>
      <c r="AA769">
        <v>5.97</v>
      </c>
      <c r="AB769">
        <v>153739</v>
      </c>
      <c r="AC769">
        <v>205474</v>
      </c>
      <c r="AD769">
        <v>0.75</v>
      </c>
      <c r="AE769">
        <v>89</v>
      </c>
      <c r="AF769">
        <v>157</v>
      </c>
      <c r="AG769" t="s">
        <v>120</v>
      </c>
      <c r="AH769">
        <v>0</v>
      </c>
      <c r="AI769" t="s">
        <v>120</v>
      </c>
      <c r="AJ769">
        <v>6.69</v>
      </c>
      <c r="AK769" t="s">
        <v>4597</v>
      </c>
      <c r="AL769">
        <v>1.74</v>
      </c>
      <c r="AM769">
        <v>3177</v>
      </c>
      <c r="AN769">
        <v>113</v>
      </c>
      <c r="AO769">
        <v>1.6999999999999999E-3</v>
      </c>
      <c r="AP769">
        <v>-1</v>
      </c>
      <c r="AQ769">
        <v>2.2799999999999998</v>
      </c>
      <c r="AR769">
        <v>-1.19</v>
      </c>
      <c r="AS769">
        <v>5.0599999999999996</v>
      </c>
      <c r="AT769">
        <v>16.899999999999999</v>
      </c>
      <c r="AU769">
        <v>6.02</v>
      </c>
      <c r="AV769">
        <v>2</v>
      </c>
      <c r="AW769">
        <v>6.11</v>
      </c>
      <c r="AX769">
        <v>70.14</v>
      </c>
      <c r="AY769">
        <v>40.01</v>
      </c>
      <c r="AZ769">
        <v>58.22</v>
      </c>
      <c r="BA769">
        <v>0.5</v>
      </c>
      <c r="BB769" t="s">
        <v>143</v>
      </c>
      <c r="BF769">
        <v>2.5</v>
      </c>
      <c r="BG769">
        <v>-0.34</v>
      </c>
      <c r="BH769">
        <v>-5.53</v>
      </c>
      <c r="BI769">
        <v>0.69</v>
      </c>
      <c r="BJ769">
        <v>20210825</v>
      </c>
      <c r="BK769">
        <v>20100303</v>
      </c>
      <c r="BL769">
        <v>8.3800000000000008</v>
      </c>
      <c r="BM769" t="s">
        <v>120</v>
      </c>
      <c r="BN769" t="s">
        <v>120</v>
      </c>
      <c r="BO769">
        <v>38.93</v>
      </c>
      <c r="BP769">
        <v>5.8</v>
      </c>
      <c r="BQ769">
        <v>17.809999999999999</v>
      </c>
      <c r="BR769">
        <v>0.62</v>
      </c>
      <c r="BS769">
        <v>52.66</v>
      </c>
      <c r="BT769">
        <v>22.96</v>
      </c>
      <c r="BU769">
        <v>8.82</v>
      </c>
      <c r="BV769">
        <v>1.47</v>
      </c>
      <c r="BW769">
        <v>20.07</v>
      </c>
      <c r="BX769">
        <v>3.81</v>
      </c>
      <c r="BY769">
        <v>4.12</v>
      </c>
      <c r="BZ769">
        <v>10.98</v>
      </c>
      <c r="CA769" t="s">
        <v>120</v>
      </c>
      <c r="CB769">
        <v>3.98</v>
      </c>
      <c r="CC769">
        <v>11.63</v>
      </c>
      <c r="CD769">
        <v>9.42</v>
      </c>
      <c r="CE769">
        <v>0.8</v>
      </c>
      <c r="CF769">
        <v>0.01</v>
      </c>
      <c r="CG769">
        <v>0.82</v>
      </c>
      <c r="CH769">
        <v>0.74</v>
      </c>
      <c r="CI769">
        <v>0.74</v>
      </c>
      <c r="CJ769">
        <v>-0.01</v>
      </c>
      <c r="CK769">
        <v>0.69</v>
      </c>
      <c r="CL769">
        <v>5.71</v>
      </c>
      <c r="CM769">
        <v>-0.92</v>
      </c>
      <c r="CN769">
        <v>-0.16</v>
      </c>
      <c r="CO769">
        <v>46925</v>
      </c>
      <c r="CP769">
        <v>12519</v>
      </c>
      <c r="CQ769" t="s">
        <v>4598</v>
      </c>
      <c r="CR769">
        <v>104.86</v>
      </c>
      <c r="CS769">
        <v>53.94</v>
      </c>
      <c r="CT769">
        <v>2.73</v>
      </c>
      <c r="CU769">
        <v>-52.66</v>
      </c>
      <c r="CV769">
        <v>4.18</v>
      </c>
      <c r="CW769">
        <v>1.66</v>
      </c>
      <c r="CX769" t="s">
        <v>329</v>
      </c>
      <c r="CY769">
        <v>2.13</v>
      </c>
      <c r="CZ769">
        <v>0</v>
      </c>
      <c r="DA769">
        <v>0.48</v>
      </c>
      <c r="DB769">
        <v>0.68</v>
      </c>
      <c r="DC769">
        <v>-0.11</v>
      </c>
      <c r="DD769">
        <v>45.74</v>
      </c>
      <c r="DE769" t="s">
        <v>3761</v>
      </c>
      <c r="DF769">
        <v>18.97</v>
      </c>
      <c r="DG769">
        <v>6.9</v>
      </c>
      <c r="DH769">
        <v>6.4</v>
      </c>
      <c r="DI769">
        <v>0.64</v>
      </c>
      <c r="DJ769">
        <v>1497</v>
      </c>
      <c r="DK769">
        <v>2361</v>
      </c>
      <c r="DL769" t="s">
        <v>120</v>
      </c>
      <c r="DM769" t="s">
        <v>120</v>
      </c>
      <c r="DN769" t="s">
        <v>120</v>
      </c>
    </row>
    <row r="770" spans="1:118">
      <c r="A770" t="str">
        <f>"002362"</f>
        <v>002362</v>
      </c>
      <c r="B770" t="s">
        <v>4599</v>
      </c>
      <c r="C770">
        <v>-1.05</v>
      </c>
      <c r="D770">
        <v>-0.05</v>
      </c>
      <c r="E770">
        <v>-0.47</v>
      </c>
      <c r="F770">
        <v>96</v>
      </c>
      <c r="G770" t="s">
        <v>4600</v>
      </c>
      <c r="H770">
        <v>3800.56</v>
      </c>
      <c r="I770">
        <v>6.84</v>
      </c>
      <c r="J770" t="s">
        <v>120</v>
      </c>
      <c r="K770" t="s">
        <v>1854</v>
      </c>
      <c r="L770">
        <v>1.07</v>
      </c>
      <c r="M770">
        <v>17</v>
      </c>
      <c r="N770">
        <v>1</v>
      </c>
      <c r="O770">
        <v>1.1100000000000001</v>
      </c>
      <c r="P770">
        <v>17.37</v>
      </c>
      <c r="Q770">
        <v>-1.34</v>
      </c>
      <c r="R770">
        <v>16.95</v>
      </c>
      <c r="S770">
        <v>17.100000000000001</v>
      </c>
      <c r="T770">
        <v>22161</v>
      </c>
      <c r="U770">
        <v>17.010000000000002</v>
      </c>
      <c r="V770">
        <v>17.18</v>
      </c>
      <c r="W770">
        <v>68.48</v>
      </c>
      <c r="X770" t="s">
        <v>141</v>
      </c>
      <c r="Y770" t="s">
        <v>158</v>
      </c>
      <c r="Z770">
        <v>2.44</v>
      </c>
      <c r="AA770">
        <v>17.149999999999999</v>
      </c>
      <c r="AB770">
        <v>13115</v>
      </c>
      <c r="AC770">
        <v>9046</v>
      </c>
      <c r="AD770">
        <v>1.45</v>
      </c>
      <c r="AE770">
        <v>430</v>
      </c>
      <c r="AF770">
        <v>146</v>
      </c>
      <c r="AG770" t="s">
        <v>120</v>
      </c>
      <c r="AH770">
        <v>0</v>
      </c>
      <c r="AI770" t="s">
        <v>120</v>
      </c>
      <c r="AJ770">
        <v>2.06</v>
      </c>
      <c r="AK770" t="s">
        <v>3188</v>
      </c>
      <c r="AL770">
        <v>0.87</v>
      </c>
      <c r="AM770">
        <v>1161</v>
      </c>
      <c r="AN770">
        <v>19</v>
      </c>
      <c r="AO770">
        <v>8.9999999999999998E-4</v>
      </c>
      <c r="AP770">
        <v>-1</v>
      </c>
      <c r="AQ770">
        <v>0.12</v>
      </c>
      <c r="AR770">
        <v>-1.28</v>
      </c>
      <c r="AS770">
        <v>-2.75</v>
      </c>
      <c r="AT770">
        <v>-13.13</v>
      </c>
      <c r="AU770">
        <v>-30.45</v>
      </c>
      <c r="AV770">
        <v>1</v>
      </c>
      <c r="AW770">
        <v>1.36</v>
      </c>
      <c r="AX770">
        <v>66.709999999999994</v>
      </c>
      <c r="AY770">
        <v>40.31</v>
      </c>
      <c r="AZ770">
        <v>40.39</v>
      </c>
      <c r="BA770">
        <v>0.56000000000000005</v>
      </c>
      <c r="BB770" t="s">
        <v>143</v>
      </c>
      <c r="BF770">
        <v>-0.17</v>
      </c>
      <c r="BG770">
        <v>-0.57999999999999996</v>
      </c>
      <c r="BH770">
        <v>-2.13</v>
      </c>
      <c r="BI770">
        <v>0.28999999999999998</v>
      </c>
      <c r="BJ770">
        <v>20210828</v>
      </c>
      <c r="BK770">
        <v>20100303</v>
      </c>
      <c r="BL770">
        <v>2.44</v>
      </c>
      <c r="BM770" t="s">
        <v>120</v>
      </c>
      <c r="BN770" t="s">
        <v>120</v>
      </c>
      <c r="BO770">
        <v>21.2</v>
      </c>
      <c r="BP770">
        <v>17</v>
      </c>
      <c r="BQ770">
        <v>15.35</v>
      </c>
      <c r="BR770">
        <v>2.08</v>
      </c>
      <c r="BS770">
        <v>17.78</v>
      </c>
      <c r="BT770">
        <v>17.43</v>
      </c>
      <c r="BU770">
        <v>1.93</v>
      </c>
      <c r="BV770">
        <v>0.43</v>
      </c>
      <c r="BW770">
        <v>3.63</v>
      </c>
      <c r="BX770">
        <v>4.41</v>
      </c>
      <c r="BY770">
        <v>5.05</v>
      </c>
      <c r="BZ770">
        <v>1.46</v>
      </c>
      <c r="CA770" t="s">
        <v>120</v>
      </c>
      <c r="CB770">
        <v>14.97</v>
      </c>
      <c r="CC770">
        <v>7.24</v>
      </c>
      <c r="CD770">
        <v>3.4</v>
      </c>
      <c r="CE770">
        <v>0.73</v>
      </c>
      <c r="CF770">
        <v>0.09</v>
      </c>
      <c r="CG770">
        <v>0.72</v>
      </c>
      <c r="CH770">
        <v>0.64</v>
      </c>
      <c r="CI770">
        <v>0.3</v>
      </c>
      <c r="CJ770">
        <v>-0.18</v>
      </c>
      <c r="CK770">
        <v>0.28999999999999998</v>
      </c>
      <c r="CL770">
        <v>-2.23</v>
      </c>
      <c r="CM770">
        <v>-1.26</v>
      </c>
      <c r="CN770">
        <v>-3.33</v>
      </c>
      <c r="CO770">
        <v>41269</v>
      </c>
      <c r="CP770">
        <v>3951</v>
      </c>
      <c r="CQ770" t="s">
        <v>4601</v>
      </c>
      <c r="CR770">
        <v>0.61</v>
      </c>
      <c r="CS770">
        <v>28.97</v>
      </c>
      <c r="CT770">
        <v>2.71</v>
      </c>
      <c r="CU770">
        <v>-32.909999999999997</v>
      </c>
      <c r="CV770">
        <v>5.74</v>
      </c>
      <c r="CW770">
        <v>0</v>
      </c>
      <c r="CX770" t="s">
        <v>4602</v>
      </c>
      <c r="CY770">
        <v>6.28</v>
      </c>
      <c r="CZ770">
        <v>0</v>
      </c>
      <c r="DA770">
        <v>6.12</v>
      </c>
      <c r="DB770">
        <v>-0.91</v>
      </c>
      <c r="DC770">
        <v>-0.52</v>
      </c>
      <c r="DD770">
        <v>72.400000000000006</v>
      </c>
      <c r="DE770" t="s">
        <v>4603</v>
      </c>
      <c r="DF770">
        <v>53.01</v>
      </c>
      <c r="DG770">
        <v>10.050000000000001</v>
      </c>
      <c r="DH770">
        <v>4.1900000000000004</v>
      </c>
      <c r="DI770">
        <v>0.7</v>
      </c>
      <c r="DJ770">
        <v>1977</v>
      </c>
      <c r="DK770">
        <v>2362</v>
      </c>
      <c r="DL770" t="s">
        <v>120</v>
      </c>
      <c r="DM770" t="s">
        <v>120</v>
      </c>
      <c r="DN770" t="s">
        <v>120</v>
      </c>
    </row>
    <row r="771" spans="1:118">
      <c r="A771" t="str">
        <f>"002363"</f>
        <v>002363</v>
      </c>
      <c r="B771" t="s">
        <v>4604</v>
      </c>
      <c r="C771">
        <v>-1.41</v>
      </c>
      <c r="D771">
        <v>0</v>
      </c>
      <c r="E771">
        <v>-0.18</v>
      </c>
      <c r="F771">
        <v>833</v>
      </c>
      <c r="G771" t="s">
        <v>1740</v>
      </c>
      <c r="H771">
        <v>10074.15</v>
      </c>
      <c r="I771">
        <v>233.85</v>
      </c>
      <c r="J771" t="s">
        <v>120</v>
      </c>
      <c r="K771" t="s">
        <v>4605</v>
      </c>
      <c r="L771">
        <v>4.2300000000000004</v>
      </c>
      <c r="M771">
        <v>5.58</v>
      </c>
      <c r="N771">
        <v>2.15</v>
      </c>
      <c r="O771">
        <v>3.71</v>
      </c>
      <c r="P771">
        <v>5.87</v>
      </c>
      <c r="Q771">
        <v>-1.59</v>
      </c>
      <c r="R771">
        <v>5.57</v>
      </c>
      <c r="S771">
        <v>5.65</v>
      </c>
      <c r="T771">
        <v>175820</v>
      </c>
      <c r="U771">
        <v>5.58</v>
      </c>
      <c r="V771">
        <v>5.66</v>
      </c>
      <c r="W771">
        <v>56.51</v>
      </c>
      <c r="X771" t="s">
        <v>289</v>
      </c>
      <c r="Y771" t="s">
        <v>638</v>
      </c>
      <c r="Z771">
        <v>5.3</v>
      </c>
      <c r="AA771">
        <v>5.73</v>
      </c>
      <c r="AB771">
        <v>86213</v>
      </c>
      <c r="AC771">
        <v>89607</v>
      </c>
      <c r="AD771">
        <v>0.96</v>
      </c>
      <c r="AE771">
        <v>1099</v>
      </c>
      <c r="AF771">
        <v>310</v>
      </c>
      <c r="AG771" t="s">
        <v>120</v>
      </c>
      <c r="AH771">
        <v>0.17</v>
      </c>
      <c r="AI771" t="s">
        <v>120</v>
      </c>
      <c r="AJ771">
        <v>4.16</v>
      </c>
      <c r="AK771" t="s">
        <v>4606</v>
      </c>
      <c r="AL771">
        <v>0.5</v>
      </c>
      <c r="AM771">
        <v>2092</v>
      </c>
      <c r="AN771">
        <v>84</v>
      </c>
      <c r="AO771">
        <v>2E-3</v>
      </c>
      <c r="AP771">
        <v>-1</v>
      </c>
      <c r="AQ771">
        <v>5.99</v>
      </c>
      <c r="AR771">
        <v>2.0099999999999998</v>
      </c>
      <c r="AS771">
        <v>7.73</v>
      </c>
      <c r="AT771">
        <v>13.64</v>
      </c>
      <c r="AU771">
        <v>-15.45</v>
      </c>
      <c r="AV771">
        <v>4</v>
      </c>
      <c r="AW771">
        <v>7.33</v>
      </c>
      <c r="AX771">
        <v>57.68</v>
      </c>
      <c r="AY771">
        <v>77.19</v>
      </c>
      <c r="AZ771">
        <v>50.07</v>
      </c>
      <c r="BA771">
        <v>0.36</v>
      </c>
      <c r="BB771" t="s">
        <v>168</v>
      </c>
      <c r="BF771">
        <v>1.23</v>
      </c>
      <c r="BG771">
        <v>-1.24</v>
      </c>
      <c r="BH771">
        <v>-4.9400000000000004</v>
      </c>
      <c r="BI771">
        <v>0.18</v>
      </c>
      <c r="BJ771">
        <v>20210914</v>
      </c>
      <c r="BK771">
        <v>20100305</v>
      </c>
      <c r="BL771">
        <v>4.16</v>
      </c>
      <c r="BM771" t="s">
        <v>120</v>
      </c>
      <c r="BN771" t="s">
        <v>120</v>
      </c>
      <c r="BO771">
        <v>31.93</v>
      </c>
      <c r="BP771">
        <v>5.57</v>
      </c>
      <c r="BQ771">
        <v>21.59</v>
      </c>
      <c r="BR771">
        <v>0.63</v>
      </c>
      <c r="BS771">
        <v>30.39</v>
      </c>
      <c r="BT771">
        <v>20.350000000000001</v>
      </c>
      <c r="BU771">
        <v>10.53</v>
      </c>
      <c r="BV771">
        <v>0.63</v>
      </c>
      <c r="BW771">
        <v>9.35</v>
      </c>
      <c r="BX771">
        <v>5.61</v>
      </c>
      <c r="BY771">
        <v>7.59</v>
      </c>
      <c r="BZ771">
        <v>4.24</v>
      </c>
      <c r="CA771" t="s">
        <v>120</v>
      </c>
      <c r="CB771">
        <v>13.78</v>
      </c>
      <c r="CC771">
        <v>9</v>
      </c>
      <c r="CD771">
        <v>8.2799999999999994</v>
      </c>
      <c r="CE771">
        <v>0.22</v>
      </c>
      <c r="CF771">
        <v>0.02</v>
      </c>
      <c r="CG771">
        <v>0.22</v>
      </c>
      <c r="CH771">
        <v>0.19</v>
      </c>
      <c r="CI771">
        <v>0.21</v>
      </c>
      <c r="CJ771">
        <v>-0.08</v>
      </c>
      <c r="CK771">
        <v>0.17</v>
      </c>
      <c r="CL771">
        <v>2.97</v>
      </c>
      <c r="CM771">
        <v>0.22</v>
      </c>
      <c r="CN771">
        <v>-0.57999999999999996</v>
      </c>
      <c r="CO771">
        <v>32112</v>
      </c>
      <c r="CP771">
        <v>7473</v>
      </c>
      <c r="CQ771" t="s">
        <v>2959</v>
      </c>
      <c r="CR771">
        <v>-44.58</v>
      </c>
      <c r="CS771">
        <v>17.670000000000002</v>
      </c>
      <c r="CT771">
        <v>1.08</v>
      </c>
      <c r="CU771">
        <v>107.49</v>
      </c>
      <c r="CV771">
        <v>2.58</v>
      </c>
      <c r="CW771">
        <v>3.53</v>
      </c>
      <c r="CX771" t="s">
        <v>1248</v>
      </c>
      <c r="CY771">
        <v>5.19</v>
      </c>
      <c r="CZ771">
        <v>0</v>
      </c>
      <c r="DA771">
        <v>3.31</v>
      </c>
      <c r="DB771">
        <v>0.71</v>
      </c>
      <c r="DC771">
        <v>0.05</v>
      </c>
      <c r="DD771">
        <v>67.63</v>
      </c>
      <c r="DE771" t="s">
        <v>344</v>
      </c>
      <c r="DF771">
        <v>8</v>
      </c>
      <c r="DG771">
        <v>2.4500000000000002</v>
      </c>
      <c r="DH771">
        <v>2.2799999999999998</v>
      </c>
      <c r="DI771">
        <v>0.14000000000000001</v>
      </c>
      <c r="DJ771">
        <v>2367</v>
      </c>
      <c r="DK771">
        <v>2363</v>
      </c>
      <c r="DL771" t="s">
        <v>120</v>
      </c>
      <c r="DM771" t="s">
        <v>120</v>
      </c>
      <c r="DN771" t="s">
        <v>120</v>
      </c>
    </row>
    <row r="772" spans="1:118">
      <c r="A772" t="str">
        <f>"002364"</f>
        <v>002364</v>
      </c>
      <c r="B772" t="s">
        <v>4607</v>
      </c>
      <c r="C772">
        <v>-4.0199999999999996</v>
      </c>
      <c r="D772">
        <v>-0.1</v>
      </c>
      <c r="E772">
        <v>-0.21</v>
      </c>
      <c r="F772">
        <v>1598</v>
      </c>
      <c r="G772" t="s">
        <v>4608</v>
      </c>
      <c r="H772">
        <v>11281.82</v>
      </c>
      <c r="I772">
        <v>21.31</v>
      </c>
      <c r="J772" t="s">
        <v>120</v>
      </c>
      <c r="K772" t="s">
        <v>4609</v>
      </c>
      <c r="L772">
        <v>2.31</v>
      </c>
      <c r="M772">
        <v>9.07</v>
      </c>
      <c r="N772">
        <v>1.26</v>
      </c>
      <c r="O772">
        <v>-0.21</v>
      </c>
      <c r="P772">
        <v>9.43</v>
      </c>
      <c r="Q772">
        <v>-4.0199999999999996</v>
      </c>
      <c r="R772">
        <v>9.07</v>
      </c>
      <c r="S772">
        <v>9.43</v>
      </c>
      <c r="T772">
        <v>122385</v>
      </c>
      <c r="U772">
        <v>9.07</v>
      </c>
      <c r="V772">
        <v>9.4499999999999993</v>
      </c>
      <c r="W772">
        <v>63.42</v>
      </c>
      <c r="X772" t="s">
        <v>394</v>
      </c>
      <c r="Y772" t="s">
        <v>585</v>
      </c>
      <c r="Z772">
        <v>3.81</v>
      </c>
      <c r="AA772">
        <v>9.2200000000000006</v>
      </c>
      <c r="AB772">
        <v>73794</v>
      </c>
      <c r="AC772">
        <v>48591</v>
      </c>
      <c r="AD772">
        <v>1.52</v>
      </c>
      <c r="AE772">
        <v>336</v>
      </c>
      <c r="AF772">
        <v>24</v>
      </c>
      <c r="AG772" t="s">
        <v>120</v>
      </c>
      <c r="AH772">
        <v>0.01</v>
      </c>
      <c r="AI772" t="s">
        <v>120</v>
      </c>
      <c r="AJ772">
        <v>5.31</v>
      </c>
      <c r="AK772" t="s">
        <v>4610</v>
      </c>
      <c r="AL772">
        <v>-2.11</v>
      </c>
      <c r="AM772">
        <v>2517</v>
      </c>
      <c r="AN772">
        <v>49</v>
      </c>
      <c r="AO772">
        <v>8.9999999999999998E-4</v>
      </c>
      <c r="AP772">
        <v>-1</v>
      </c>
      <c r="AQ772">
        <v>1.18</v>
      </c>
      <c r="AR772">
        <v>-4.12</v>
      </c>
      <c r="AS772">
        <v>-8.01</v>
      </c>
      <c r="AT772">
        <v>6.96</v>
      </c>
      <c r="AU772">
        <v>2.0299999999999998</v>
      </c>
      <c r="AV772">
        <v>7</v>
      </c>
      <c r="AW772">
        <v>3.87</v>
      </c>
      <c r="AX772">
        <v>56.17</v>
      </c>
      <c r="AY772">
        <v>57.27</v>
      </c>
      <c r="AZ772">
        <v>62.62</v>
      </c>
      <c r="BA772">
        <v>0.61</v>
      </c>
      <c r="BB772" t="s">
        <v>143</v>
      </c>
      <c r="BF772">
        <v>-2.4500000000000002</v>
      </c>
      <c r="BG772">
        <v>-3.82</v>
      </c>
      <c r="BH772">
        <v>-3.82</v>
      </c>
      <c r="BI772">
        <v>0</v>
      </c>
      <c r="BJ772">
        <v>20210817</v>
      </c>
      <c r="BK772">
        <v>20100305</v>
      </c>
      <c r="BL772">
        <v>5.64</v>
      </c>
      <c r="BM772" t="s">
        <v>120</v>
      </c>
      <c r="BN772" t="s">
        <v>120</v>
      </c>
      <c r="BO772">
        <v>32.49</v>
      </c>
      <c r="BP772">
        <v>9.06</v>
      </c>
      <c r="BQ772">
        <v>22.09</v>
      </c>
      <c r="BR772">
        <v>0.13</v>
      </c>
      <c r="BS772">
        <v>31.6</v>
      </c>
      <c r="BT772">
        <v>22.62</v>
      </c>
      <c r="BU772">
        <v>2.73</v>
      </c>
      <c r="BV772">
        <v>0.69</v>
      </c>
      <c r="BW772">
        <v>9.94</v>
      </c>
      <c r="BX772">
        <v>3.37</v>
      </c>
      <c r="BY772">
        <v>7.71</v>
      </c>
      <c r="BZ772">
        <v>9.1199999999999992</v>
      </c>
      <c r="CA772">
        <v>0.03</v>
      </c>
      <c r="CB772">
        <v>10.29</v>
      </c>
      <c r="CC772">
        <v>6.6</v>
      </c>
      <c r="CD772">
        <v>4.6900000000000004</v>
      </c>
      <c r="CE772">
        <v>0.25</v>
      </c>
      <c r="CF772">
        <v>0</v>
      </c>
      <c r="CG772">
        <v>0.43</v>
      </c>
      <c r="CH772">
        <v>0.38</v>
      </c>
      <c r="CI772">
        <v>0.4</v>
      </c>
      <c r="CJ772">
        <v>-0.38</v>
      </c>
      <c r="CK772">
        <v>0.23</v>
      </c>
      <c r="CL772">
        <v>7.04</v>
      </c>
      <c r="CM772">
        <v>-1.42</v>
      </c>
      <c r="CN772">
        <v>-1.22</v>
      </c>
      <c r="CO772">
        <v>42770</v>
      </c>
      <c r="CP772">
        <v>7402</v>
      </c>
      <c r="CQ772" t="s">
        <v>2050</v>
      </c>
      <c r="CR772">
        <v>24.58</v>
      </c>
      <c r="CS772">
        <v>62.33</v>
      </c>
      <c r="CT772">
        <v>2.31</v>
      </c>
      <c r="CU772">
        <v>-35.979999999999997</v>
      </c>
      <c r="CV772">
        <v>7.75</v>
      </c>
      <c r="CW772">
        <v>1.03</v>
      </c>
      <c r="CX772" t="s">
        <v>679</v>
      </c>
      <c r="CY772">
        <v>3.92</v>
      </c>
      <c r="CZ772">
        <v>0</v>
      </c>
      <c r="DA772">
        <v>1.83</v>
      </c>
      <c r="DB772">
        <v>1.25</v>
      </c>
      <c r="DC772">
        <v>-0.25</v>
      </c>
      <c r="DD772">
        <v>68</v>
      </c>
      <c r="DE772" t="s">
        <v>4611</v>
      </c>
      <c r="DF772">
        <v>28.89</v>
      </c>
      <c r="DG772">
        <v>3.83</v>
      </c>
      <c r="DH772">
        <v>6.11</v>
      </c>
      <c r="DI772">
        <v>0.8</v>
      </c>
      <c r="DJ772">
        <v>1911</v>
      </c>
      <c r="DK772">
        <v>2364</v>
      </c>
      <c r="DL772">
        <v>20210804</v>
      </c>
      <c r="DM772">
        <v>10.4</v>
      </c>
      <c r="DN772">
        <v>-12.79</v>
      </c>
    </row>
    <row r="773" spans="1:118">
      <c r="A773" t="str">
        <f>"002365"</f>
        <v>002365</v>
      </c>
      <c r="B773" t="s">
        <v>4612</v>
      </c>
      <c r="C773">
        <v>-1.52</v>
      </c>
      <c r="D773">
        <v>-0.09</v>
      </c>
      <c r="E773">
        <v>-0.1</v>
      </c>
      <c r="F773">
        <v>1128</v>
      </c>
      <c r="G773" t="s">
        <v>4613</v>
      </c>
      <c r="H773">
        <v>6536.77</v>
      </c>
      <c r="I773">
        <v>43.68</v>
      </c>
      <c r="J773" t="s">
        <v>120</v>
      </c>
      <c r="K773" t="s">
        <v>4614</v>
      </c>
      <c r="L773">
        <v>2.71</v>
      </c>
      <c r="M773">
        <v>9.7200000000000006</v>
      </c>
      <c r="N773">
        <v>1.22</v>
      </c>
      <c r="O773">
        <v>1.82</v>
      </c>
      <c r="P773">
        <v>10.050000000000001</v>
      </c>
      <c r="Q773">
        <v>-1.52</v>
      </c>
      <c r="R773">
        <v>9.7200000000000006</v>
      </c>
      <c r="S773">
        <v>9.86</v>
      </c>
      <c r="T773">
        <v>65979</v>
      </c>
      <c r="U773">
        <v>9.73</v>
      </c>
      <c r="V773">
        <v>9.8699999999999992</v>
      </c>
      <c r="W773">
        <v>30.33</v>
      </c>
      <c r="X773" t="s">
        <v>569</v>
      </c>
      <c r="Y773" t="s">
        <v>763</v>
      </c>
      <c r="Z773">
        <v>3.34</v>
      </c>
      <c r="AA773">
        <v>9.91</v>
      </c>
      <c r="AB773">
        <v>34500</v>
      </c>
      <c r="AC773">
        <v>31479</v>
      </c>
      <c r="AD773">
        <v>1.1000000000000001</v>
      </c>
      <c r="AE773">
        <v>20</v>
      </c>
      <c r="AF773">
        <v>248</v>
      </c>
      <c r="AG773" t="s">
        <v>120</v>
      </c>
      <c r="AH773">
        <v>0.02</v>
      </c>
      <c r="AI773" t="s">
        <v>120</v>
      </c>
      <c r="AJ773">
        <v>2.4300000000000002</v>
      </c>
      <c r="AK773" t="s">
        <v>4133</v>
      </c>
      <c r="AL773">
        <v>0.39</v>
      </c>
      <c r="AM773">
        <v>1970</v>
      </c>
      <c r="AN773">
        <v>33</v>
      </c>
      <c r="AO773">
        <v>1.4E-3</v>
      </c>
      <c r="AP773">
        <v>-1</v>
      </c>
      <c r="AQ773">
        <v>4.5599999999999996</v>
      </c>
      <c r="AR773">
        <v>0.84</v>
      </c>
      <c r="AS773">
        <v>6.11</v>
      </c>
      <c r="AT773">
        <v>1.04</v>
      </c>
      <c r="AU773">
        <v>4.74</v>
      </c>
      <c r="AV773">
        <v>1</v>
      </c>
      <c r="AW773">
        <v>3.04</v>
      </c>
      <c r="AX773">
        <v>73.64</v>
      </c>
      <c r="AY773">
        <v>49.4</v>
      </c>
      <c r="AZ773">
        <v>27.55</v>
      </c>
      <c r="BA773">
        <v>0.33</v>
      </c>
      <c r="BB773" t="s">
        <v>751</v>
      </c>
      <c r="BF773">
        <v>0.38</v>
      </c>
      <c r="BG773">
        <v>-1.42</v>
      </c>
      <c r="BH773">
        <v>-3.28</v>
      </c>
      <c r="BI773">
        <v>0</v>
      </c>
      <c r="BJ773">
        <v>20210830</v>
      </c>
      <c r="BK773">
        <v>20100305</v>
      </c>
      <c r="BL773">
        <v>2.95</v>
      </c>
      <c r="BM773" t="s">
        <v>120</v>
      </c>
      <c r="BN773" t="s">
        <v>120</v>
      </c>
      <c r="BO773">
        <v>22.05</v>
      </c>
      <c r="BP773">
        <v>9.7200000000000006</v>
      </c>
      <c r="BQ773">
        <v>17.87</v>
      </c>
      <c r="BR773">
        <v>0.86</v>
      </c>
      <c r="BS773">
        <v>15.03</v>
      </c>
      <c r="BT773">
        <v>9.6</v>
      </c>
      <c r="BU773">
        <v>9.57</v>
      </c>
      <c r="BV773">
        <v>0.88</v>
      </c>
      <c r="BW773">
        <v>2.95</v>
      </c>
      <c r="BX773">
        <v>2.35</v>
      </c>
      <c r="BY773">
        <v>0.97</v>
      </c>
      <c r="BZ773">
        <v>2.2400000000000002</v>
      </c>
      <c r="CA773" t="s">
        <v>120</v>
      </c>
      <c r="CB773">
        <v>7.03</v>
      </c>
      <c r="CC773">
        <v>7.12</v>
      </c>
      <c r="CD773">
        <v>5.23</v>
      </c>
      <c r="CE773">
        <v>0.56999999999999995</v>
      </c>
      <c r="CF773">
        <v>0.11</v>
      </c>
      <c r="CG773">
        <v>0.56000000000000005</v>
      </c>
      <c r="CH773">
        <v>0.51</v>
      </c>
      <c r="CI773">
        <v>0.47</v>
      </c>
      <c r="CJ773">
        <v>-0.15</v>
      </c>
      <c r="CK773">
        <v>0.38</v>
      </c>
      <c r="CL773">
        <v>6.74</v>
      </c>
      <c r="CM773">
        <v>-0.28999999999999998</v>
      </c>
      <c r="CN773">
        <v>1.25</v>
      </c>
      <c r="CO773">
        <v>31582</v>
      </c>
      <c r="CP773">
        <v>6871</v>
      </c>
      <c r="CQ773" t="s">
        <v>4615</v>
      </c>
      <c r="CR773">
        <v>-49.71</v>
      </c>
      <c r="CS773">
        <v>22.5</v>
      </c>
      <c r="CT773">
        <v>1.6</v>
      </c>
      <c r="CU773">
        <v>-97.99</v>
      </c>
      <c r="CV773">
        <v>4.0199999999999996</v>
      </c>
      <c r="CW773">
        <v>1.01</v>
      </c>
      <c r="CX773" t="s">
        <v>1091</v>
      </c>
      <c r="CY773">
        <v>6.07</v>
      </c>
      <c r="CZ773">
        <v>0</v>
      </c>
      <c r="DA773">
        <v>2.39</v>
      </c>
      <c r="DB773">
        <v>2.29</v>
      </c>
      <c r="DC773">
        <v>-0.1</v>
      </c>
      <c r="DD773">
        <v>81.05</v>
      </c>
      <c r="DE773" t="s">
        <v>4616</v>
      </c>
      <c r="DF773">
        <v>26.57</v>
      </c>
      <c r="DG773">
        <v>7.94</v>
      </c>
      <c r="DH773">
        <v>6.63</v>
      </c>
      <c r="DI773">
        <v>0.26</v>
      </c>
      <c r="DJ773">
        <v>951</v>
      </c>
      <c r="DK773">
        <v>2365</v>
      </c>
      <c r="DL773" t="s">
        <v>120</v>
      </c>
      <c r="DM773" t="s">
        <v>120</v>
      </c>
      <c r="DN773" t="s">
        <v>120</v>
      </c>
    </row>
    <row r="774" spans="1:118">
      <c r="A774" t="str">
        <f>"002366"</f>
        <v>002366</v>
      </c>
      <c r="B774" t="s">
        <v>4617</v>
      </c>
      <c r="C774">
        <v>-2.91</v>
      </c>
      <c r="D774">
        <v>-0.22</v>
      </c>
      <c r="E774">
        <v>0.22</v>
      </c>
      <c r="F774">
        <v>7372</v>
      </c>
      <c r="G774" t="s">
        <v>4618</v>
      </c>
      <c r="H774">
        <v>24189.71</v>
      </c>
      <c r="I774">
        <v>448.88</v>
      </c>
      <c r="J774" t="s">
        <v>120</v>
      </c>
      <c r="K774" t="s">
        <v>4618</v>
      </c>
      <c r="L774">
        <v>9.02</v>
      </c>
      <c r="M774">
        <v>4.33</v>
      </c>
      <c r="N774">
        <v>0.83</v>
      </c>
      <c r="O774">
        <v>2.4700000000000002</v>
      </c>
      <c r="P774">
        <v>4.57</v>
      </c>
      <c r="Q774">
        <v>-2.91</v>
      </c>
      <c r="R774">
        <v>4.33</v>
      </c>
      <c r="S774">
        <v>4.47</v>
      </c>
      <c r="T774">
        <v>545519</v>
      </c>
      <c r="U774">
        <v>4.34</v>
      </c>
      <c r="V774">
        <v>4.46</v>
      </c>
      <c r="W774" t="s">
        <v>120</v>
      </c>
      <c r="X774" t="s">
        <v>675</v>
      </c>
      <c r="Y774" t="s">
        <v>578</v>
      </c>
      <c r="Z774">
        <v>5.38</v>
      </c>
      <c r="AA774">
        <v>4.43</v>
      </c>
      <c r="AB774">
        <v>291655</v>
      </c>
      <c r="AC774">
        <v>253864</v>
      </c>
      <c r="AD774">
        <v>1.1499999999999999</v>
      </c>
      <c r="AE774">
        <v>1346</v>
      </c>
      <c r="AF774">
        <v>1782</v>
      </c>
      <c r="AG774" t="s">
        <v>120</v>
      </c>
      <c r="AH774">
        <v>0.17</v>
      </c>
      <c r="AI774" t="s">
        <v>120</v>
      </c>
      <c r="AJ774">
        <v>6.05</v>
      </c>
      <c r="AK774" t="s">
        <v>4619</v>
      </c>
      <c r="AL774">
        <v>-1</v>
      </c>
      <c r="AM774">
        <v>3553</v>
      </c>
      <c r="AN774">
        <v>154</v>
      </c>
      <c r="AO774">
        <v>2.5000000000000001E-3</v>
      </c>
      <c r="AP774">
        <v>-1</v>
      </c>
      <c r="AQ774">
        <v>0.45</v>
      </c>
      <c r="AR774">
        <v>-5.25</v>
      </c>
      <c r="AS774">
        <v>11.31</v>
      </c>
      <c r="AT774">
        <v>17.670000000000002</v>
      </c>
      <c r="AU774">
        <v>28.48</v>
      </c>
      <c r="AV774">
        <v>16</v>
      </c>
      <c r="AW774">
        <v>9.02</v>
      </c>
      <c r="AX774">
        <v>69.72</v>
      </c>
      <c r="AY774" t="s">
        <v>120</v>
      </c>
      <c r="AZ774" t="s">
        <v>120</v>
      </c>
      <c r="BA774">
        <v>0.24</v>
      </c>
      <c r="BB774" t="s">
        <v>143</v>
      </c>
      <c r="BF774">
        <v>-0.57999999999999996</v>
      </c>
      <c r="BG774">
        <v>-3.13</v>
      </c>
      <c r="BH774">
        <v>-5.25</v>
      </c>
      <c r="BI774">
        <v>0</v>
      </c>
      <c r="BJ774">
        <v>20210827</v>
      </c>
      <c r="BK774">
        <v>20100312</v>
      </c>
      <c r="BL774">
        <v>8.67</v>
      </c>
      <c r="BM774" t="s">
        <v>120</v>
      </c>
      <c r="BN774" t="s">
        <v>120</v>
      </c>
      <c r="BO774">
        <v>55.36</v>
      </c>
      <c r="BP774">
        <v>4.33</v>
      </c>
      <c r="BQ774">
        <v>6.76</v>
      </c>
      <c r="BR774">
        <v>1.49</v>
      </c>
      <c r="BS774">
        <v>85.09</v>
      </c>
      <c r="BT774">
        <v>29.19</v>
      </c>
      <c r="BU774">
        <v>15.87</v>
      </c>
      <c r="BV774">
        <v>1.63</v>
      </c>
      <c r="BW774">
        <v>44.9</v>
      </c>
      <c r="BX774">
        <v>0.68</v>
      </c>
      <c r="BY774">
        <v>5.2</v>
      </c>
      <c r="BZ774">
        <v>8.02</v>
      </c>
      <c r="CA774" t="s">
        <v>120</v>
      </c>
      <c r="CB774">
        <v>7.4</v>
      </c>
      <c r="CC774">
        <v>1.89</v>
      </c>
      <c r="CD774">
        <v>2.8</v>
      </c>
      <c r="CE774">
        <v>-1.48</v>
      </c>
      <c r="CF774">
        <v>-0.01</v>
      </c>
      <c r="CG774">
        <v>-1.48</v>
      </c>
      <c r="CH774">
        <v>-1.48</v>
      </c>
      <c r="CI774">
        <v>-1.43</v>
      </c>
      <c r="CJ774">
        <v>-0.13</v>
      </c>
      <c r="CK774">
        <v>-1.45</v>
      </c>
      <c r="CL774">
        <v>-5.37</v>
      </c>
      <c r="CM774">
        <v>-0.11</v>
      </c>
      <c r="CN774">
        <v>-7.0000000000000007E-2</v>
      </c>
      <c r="CO774">
        <v>66935</v>
      </c>
      <c r="CP774">
        <v>9032</v>
      </c>
      <c r="CQ774" t="s">
        <v>4620</v>
      </c>
      <c r="CR774">
        <v>13.02</v>
      </c>
      <c r="CS774">
        <v>-7.56</v>
      </c>
      <c r="CT774">
        <v>5.55</v>
      </c>
      <c r="CU774">
        <v>-353.51</v>
      </c>
      <c r="CV774">
        <v>19.84</v>
      </c>
      <c r="CW774">
        <v>0</v>
      </c>
      <c r="CX774" t="s">
        <v>1513</v>
      </c>
      <c r="CY774">
        <v>0.78</v>
      </c>
      <c r="CZ774">
        <v>0</v>
      </c>
      <c r="DA774">
        <v>0.85</v>
      </c>
      <c r="DB774">
        <v>-0.62</v>
      </c>
      <c r="DC774">
        <v>-0.01</v>
      </c>
      <c r="DD774">
        <v>12.22</v>
      </c>
      <c r="DE774" t="s">
        <v>4621</v>
      </c>
      <c r="DF774">
        <v>-47.84</v>
      </c>
      <c r="DG774">
        <v>-78.28</v>
      </c>
      <c r="DH774">
        <v>-75.73</v>
      </c>
      <c r="DI774">
        <v>0.17</v>
      </c>
      <c r="DJ774">
        <v>1235</v>
      </c>
      <c r="DK774">
        <v>2366</v>
      </c>
      <c r="DL774" t="s">
        <v>120</v>
      </c>
      <c r="DM774" t="s">
        <v>120</v>
      </c>
      <c r="DN774" t="s">
        <v>120</v>
      </c>
    </row>
    <row r="775" spans="1:118">
      <c r="A775" t="str">
        <f>"002367"</f>
        <v>002367</v>
      </c>
      <c r="B775" t="s">
        <v>4622</v>
      </c>
      <c r="C775">
        <v>-3.19</v>
      </c>
      <c r="D775">
        <v>0</v>
      </c>
      <c r="E775">
        <v>-0.94</v>
      </c>
      <c r="F775">
        <v>1532</v>
      </c>
      <c r="G775" t="s">
        <v>4623</v>
      </c>
      <c r="H775">
        <v>7838.87</v>
      </c>
      <c r="I775">
        <v>147.58000000000001</v>
      </c>
      <c r="J775" t="s">
        <v>120</v>
      </c>
      <c r="K775" t="s">
        <v>4624</v>
      </c>
      <c r="L775">
        <v>1.79</v>
      </c>
      <c r="M775">
        <v>8.1999999999999993</v>
      </c>
      <c r="N775">
        <v>1.22</v>
      </c>
      <c r="O775">
        <v>0.94</v>
      </c>
      <c r="P775">
        <v>8.5500000000000007</v>
      </c>
      <c r="Q775">
        <v>-3.19</v>
      </c>
      <c r="R775">
        <v>8.1999999999999993</v>
      </c>
      <c r="S775">
        <v>8.39</v>
      </c>
      <c r="T775">
        <v>94021</v>
      </c>
      <c r="U775">
        <v>8.2100000000000009</v>
      </c>
      <c r="V775">
        <v>8.4700000000000006</v>
      </c>
      <c r="W775">
        <v>14.98</v>
      </c>
      <c r="X775" t="s">
        <v>157</v>
      </c>
      <c r="Y775" t="s">
        <v>319</v>
      </c>
      <c r="Z775">
        <v>4.13</v>
      </c>
      <c r="AA775">
        <v>8.34</v>
      </c>
      <c r="AB775">
        <v>54058</v>
      </c>
      <c r="AC775">
        <v>39963</v>
      </c>
      <c r="AD775">
        <v>1.35</v>
      </c>
      <c r="AE775">
        <v>419</v>
      </c>
      <c r="AF775">
        <v>119</v>
      </c>
      <c r="AG775" t="s">
        <v>120</v>
      </c>
      <c r="AH775">
        <v>0.04</v>
      </c>
      <c r="AI775" t="s">
        <v>120</v>
      </c>
      <c r="AJ775">
        <v>5.24</v>
      </c>
      <c r="AK775" t="s">
        <v>4625</v>
      </c>
      <c r="AL775">
        <v>-1.27</v>
      </c>
      <c r="AM775">
        <v>2039</v>
      </c>
      <c r="AN775">
        <v>46</v>
      </c>
      <c r="AO775">
        <v>8.9999999999999998E-4</v>
      </c>
      <c r="AP775">
        <v>-3</v>
      </c>
      <c r="AQ775">
        <v>-2.19</v>
      </c>
      <c r="AR775">
        <v>-5.85</v>
      </c>
      <c r="AS775">
        <v>0.25</v>
      </c>
      <c r="AT775">
        <v>-6.18</v>
      </c>
      <c r="AU775">
        <v>-13.95</v>
      </c>
      <c r="AV775">
        <v>0</v>
      </c>
      <c r="AW775">
        <v>2.25</v>
      </c>
      <c r="AX775">
        <v>52.35</v>
      </c>
      <c r="AY775">
        <v>12.6</v>
      </c>
      <c r="AZ775">
        <v>13.92</v>
      </c>
      <c r="BA775">
        <v>0.52</v>
      </c>
      <c r="BB775" t="s">
        <v>143</v>
      </c>
      <c r="BF775">
        <v>-1.57</v>
      </c>
      <c r="BG775">
        <v>-2.2599999999999998</v>
      </c>
      <c r="BH775">
        <v>-4.09</v>
      </c>
      <c r="BI775">
        <v>0</v>
      </c>
      <c r="BJ775">
        <v>20210825</v>
      </c>
      <c r="BK775">
        <v>20100312</v>
      </c>
      <c r="BL775">
        <v>7.98</v>
      </c>
      <c r="BM775" t="s">
        <v>120</v>
      </c>
      <c r="BN775" t="s">
        <v>120</v>
      </c>
      <c r="BO775">
        <v>65.87</v>
      </c>
      <c r="BP775">
        <v>8.1999999999999993</v>
      </c>
      <c r="BQ775">
        <v>30.07</v>
      </c>
      <c r="BR775">
        <v>0.01</v>
      </c>
      <c r="BS775">
        <v>54.33</v>
      </c>
      <c r="BT775">
        <v>47.66</v>
      </c>
      <c r="BU775">
        <v>11.08</v>
      </c>
      <c r="BV775">
        <v>1.9</v>
      </c>
      <c r="BW775">
        <v>35.15</v>
      </c>
      <c r="BX775">
        <v>9.48</v>
      </c>
      <c r="BY775">
        <v>14.13</v>
      </c>
      <c r="BZ775">
        <v>7.5</v>
      </c>
      <c r="CA775" t="s">
        <v>120</v>
      </c>
      <c r="CB775">
        <v>12.07</v>
      </c>
      <c r="CC775">
        <v>22.35</v>
      </c>
      <c r="CD775">
        <v>16</v>
      </c>
      <c r="CE775">
        <v>2.65</v>
      </c>
      <c r="CF775">
        <v>-0.03</v>
      </c>
      <c r="CG775">
        <v>2.63</v>
      </c>
      <c r="CH775">
        <v>2.1800000000000002</v>
      </c>
      <c r="CI775">
        <v>2.1800000000000002</v>
      </c>
      <c r="CJ775">
        <v>-0.27</v>
      </c>
      <c r="CK775">
        <v>1.85</v>
      </c>
      <c r="CL775">
        <v>7.39</v>
      </c>
      <c r="CM775">
        <v>0.77</v>
      </c>
      <c r="CN775">
        <v>1.04</v>
      </c>
      <c r="CO775">
        <v>38471</v>
      </c>
      <c r="CP775">
        <v>10854</v>
      </c>
      <c r="CQ775" t="s">
        <v>4626</v>
      </c>
      <c r="CR775">
        <v>30.38</v>
      </c>
      <c r="CS775">
        <v>26.64</v>
      </c>
      <c r="CT775">
        <v>2.17</v>
      </c>
      <c r="CU775">
        <v>85.45</v>
      </c>
      <c r="CV775">
        <v>2.93</v>
      </c>
      <c r="CW775">
        <v>3.49</v>
      </c>
      <c r="CX775" t="s">
        <v>1054</v>
      </c>
      <c r="CY775">
        <v>3.77</v>
      </c>
      <c r="CZ775">
        <v>0</v>
      </c>
      <c r="DA775">
        <v>1.51</v>
      </c>
      <c r="DB775">
        <v>0.93</v>
      </c>
      <c r="DC775">
        <v>0.1</v>
      </c>
      <c r="DD775">
        <v>45.65</v>
      </c>
      <c r="DE775" t="s">
        <v>4627</v>
      </c>
      <c r="DF775">
        <v>28.41</v>
      </c>
      <c r="DG775">
        <v>11.87</v>
      </c>
      <c r="DH775">
        <v>9.77</v>
      </c>
      <c r="DI775">
        <v>0.94</v>
      </c>
      <c r="DJ775">
        <v>4946</v>
      </c>
      <c r="DK775">
        <v>2367</v>
      </c>
      <c r="DL775" t="s">
        <v>120</v>
      </c>
      <c r="DM775" t="s">
        <v>120</v>
      </c>
      <c r="DN775" t="s">
        <v>120</v>
      </c>
    </row>
    <row r="776" spans="1:118">
      <c r="A776" t="str">
        <f>"002368"</f>
        <v>002368</v>
      </c>
      <c r="B776" t="s">
        <v>4628</v>
      </c>
      <c r="C776">
        <v>0.08</v>
      </c>
      <c r="D776">
        <v>-0.14000000000000001</v>
      </c>
      <c r="E776">
        <v>-0.39</v>
      </c>
      <c r="F776">
        <v>1560</v>
      </c>
      <c r="G776" t="s">
        <v>4629</v>
      </c>
      <c r="H776">
        <v>28391.87</v>
      </c>
      <c r="I776">
        <v>148.26</v>
      </c>
      <c r="J776" t="s">
        <v>120</v>
      </c>
      <c r="K776" t="s">
        <v>4630</v>
      </c>
      <c r="L776">
        <v>1.89</v>
      </c>
      <c r="M776">
        <v>25.86</v>
      </c>
      <c r="N776">
        <v>0.71</v>
      </c>
      <c r="O776">
        <v>2.83</v>
      </c>
      <c r="P776">
        <v>26.57</v>
      </c>
      <c r="Q776">
        <v>-1.04</v>
      </c>
      <c r="R776">
        <v>25.57</v>
      </c>
      <c r="S776">
        <v>25.74</v>
      </c>
      <c r="T776">
        <v>108979</v>
      </c>
      <c r="U776">
        <v>25.87</v>
      </c>
      <c r="V776">
        <v>25.84</v>
      </c>
      <c r="W776">
        <v>265.63</v>
      </c>
      <c r="X776" t="s">
        <v>141</v>
      </c>
      <c r="Y776" t="s">
        <v>158</v>
      </c>
      <c r="Z776">
        <v>3.87</v>
      </c>
      <c r="AA776">
        <v>26.05</v>
      </c>
      <c r="AB776">
        <v>57694</v>
      </c>
      <c r="AC776">
        <v>51285</v>
      </c>
      <c r="AD776">
        <v>1.1200000000000001</v>
      </c>
      <c r="AE776">
        <v>248</v>
      </c>
      <c r="AF776">
        <v>79</v>
      </c>
      <c r="AG776" t="s">
        <v>120</v>
      </c>
      <c r="AH776">
        <v>0.02</v>
      </c>
      <c r="AI776" t="s">
        <v>120</v>
      </c>
      <c r="AJ776">
        <v>5.76</v>
      </c>
      <c r="AK776" t="s">
        <v>4631</v>
      </c>
      <c r="AL776">
        <v>1.99</v>
      </c>
      <c r="AM776">
        <v>3442</v>
      </c>
      <c r="AN776">
        <v>32</v>
      </c>
      <c r="AO776">
        <v>5.0000000000000001E-4</v>
      </c>
      <c r="AP776">
        <v>2</v>
      </c>
      <c r="AQ776">
        <v>0.62</v>
      </c>
      <c r="AR776">
        <v>0.54</v>
      </c>
      <c r="AS776">
        <v>20.89</v>
      </c>
      <c r="AT776">
        <v>23.68</v>
      </c>
      <c r="AU776">
        <v>-0.22</v>
      </c>
      <c r="AV776">
        <v>2</v>
      </c>
      <c r="AW776">
        <v>3.1</v>
      </c>
      <c r="AX776">
        <v>60.55</v>
      </c>
      <c r="AY776">
        <v>39.96</v>
      </c>
      <c r="AZ776">
        <v>40.619999999999997</v>
      </c>
      <c r="BA776">
        <v>0.46</v>
      </c>
      <c r="BB776" t="s">
        <v>184</v>
      </c>
      <c r="BF776">
        <v>0.82</v>
      </c>
      <c r="BG776">
        <v>0.47</v>
      </c>
      <c r="BH776">
        <v>-2.67</v>
      </c>
      <c r="BI776">
        <v>1.1299999999999999</v>
      </c>
      <c r="BJ776">
        <v>20210831</v>
      </c>
      <c r="BK776">
        <v>20100312</v>
      </c>
      <c r="BL776">
        <v>5.8</v>
      </c>
      <c r="BM776" t="s">
        <v>120</v>
      </c>
      <c r="BN776" t="s">
        <v>120</v>
      </c>
      <c r="BO776">
        <v>146.88</v>
      </c>
      <c r="BP776">
        <v>25.86</v>
      </c>
      <c r="BQ776">
        <v>35.380000000000003</v>
      </c>
      <c r="BR776">
        <v>2.4700000000000002</v>
      </c>
      <c r="BS776">
        <v>74.23</v>
      </c>
      <c r="BT776">
        <v>117.44</v>
      </c>
      <c r="BU776">
        <v>11.14</v>
      </c>
      <c r="BV776">
        <v>7.69</v>
      </c>
      <c r="BW776">
        <v>94.8</v>
      </c>
      <c r="BX776">
        <v>11.83</v>
      </c>
      <c r="BY776">
        <v>35.119999999999997</v>
      </c>
      <c r="BZ776">
        <v>39.26</v>
      </c>
      <c r="CA776" t="s">
        <v>120</v>
      </c>
      <c r="CB776">
        <v>7.87</v>
      </c>
      <c r="CC776">
        <v>36.840000000000003</v>
      </c>
      <c r="CD776">
        <v>28.33</v>
      </c>
      <c r="CE776">
        <v>0.3</v>
      </c>
      <c r="CF776">
        <v>-0.01</v>
      </c>
      <c r="CG776">
        <v>0.31</v>
      </c>
      <c r="CH776">
        <v>0.31</v>
      </c>
      <c r="CI776">
        <v>0.28000000000000003</v>
      </c>
      <c r="CJ776">
        <v>0.02</v>
      </c>
      <c r="CK776">
        <v>0.16</v>
      </c>
      <c r="CL776">
        <v>17.920000000000002</v>
      </c>
      <c r="CM776">
        <v>-21.36</v>
      </c>
      <c r="CN776">
        <v>-15.04</v>
      </c>
      <c r="CO776">
        <v>41898</v>
      </c>
      <c r="CP776">
        <v>8377</v>
      </c>
      <c r="CQ776" t="s">
        <v>4632</v>
      </c>
      <c r="CR776">
        <v>27.92</v>
      </c>
      <c r="CS776">
        <v>22.93</v>
      </c>
      <c r="CT776">
        <v>4.47</v>
      </c>
      <c r="CU776">
        <v>-7.02</v>
      </c>
      <c r="CV776">
        <v>4.07</v>
      </c>
      <c r="CW776">
        <v>0.74</v>
      </c>
      <c r="CX776" t="s">
        <v>1603</v>
      </c>
      <c r="CY776">
        <v>5.79</v>
      </c>
      <c r="CZ776">
        <v>5.79</v>
      </c>
      <c r="DA776">
        <v>1.36</v>
      </c>
      <c r="DB776">
        <v>3.09</v>
      </c>
      <c r="DC776">
        <v>-3.69</v>
      </c>
      <c r="DD776">
        <v>24.09</v>
      </c>
      <c r="DE776" t="s">
        <v>4633</v>
      </c>
      <c r="DF776">
        <v>23.11</v>
      </c>
      <c r="DG776">
        <v>0.82</v>
      </c>
      <c r="DH776">
        <v>0.77</v>
      </c>
      <c r="DI776">
        <v>0.96</v>
      </c>
      <c r="DJ776">
        <v>4842</v>
      </c>
      <c r="DK776">
        <v>2368</v>
      </c>
      <c r="DL776" t="s">
        <v>120</v>
      </c>
      <c r="DM776" t="s">
        <v>120</v>
      </c>
      <c r="DN776" t="s">
        <v>120</v>
      </c>
    </row>
    <row r="777" spans="1:118">
      <c r="A777" t="str">
        <f>"002369"</f>
        <v>002369</v>
      </c>
      <c r="B777" t="s">
        <v>4634</v>
      </c>
      <c r="C777">
        <v>-3.27</v>
      </c>
      <c r="D777">
        <v>0</v>
      </c>
      <c r="E777">
        <v>0.28000000000000003</v>
      </c>
      <c r="F777">
        <v>1463</v>
      </c>
      <c r="G777" t="s">
        <v>4635</v>
      </c>
      <c r="H777">
        <v>11295.72</v>
      </c>
      <c r="I777">
        <v>11.7</v>
      </c>
      <c r="J777" t="s">
        <v>120</v>
      </c>
      <c r="K777" t="s">
        <v>4636</v>
      </c>
      <c r="L777">
        <v>2.83</v>
      </c>
      <c r="M777">
        <v>6.8</v>
      </c>
      <c r="N777">
        <v>0.74</v>
      </c>
      <c r="O777">
        <v>0.85</v>
      </c>
      <c r="P777">
        <v>7.09</v>
      </c>
      <c r="Q777">
        <v>-3.98</v>
      </c>
      <c r="R777">
        <v>6.75</v>
      </c>
      <c r="S777">
        <v>7.05</v>
      </c>
      <c r="T777">
        <v>163250</v>
      </c>
      <c r="U777">
        <v>6.8</v>
      </c>
      <c r="V777">
        <v>7.03</v>
      </c>
      <c r="W777">
        <v>742.92</v>
      </c>
      <c r="X777" t="s">
        <v>462</v>
      </c>
      <c r="Y777" t="s">
        <v>123</v>
      </c>
      <c r="Z777">
        <v>4.84</v>
      </c>
      <c r="AA777">
        <v>6.92</v>
      </c>
      <c r="AB777">
        <v>84250</v>
      </c>
      <c r="AC777">
        <v>79000</v>
      </c>
      <c r="AD777">
        <v>1.07</v>
      </c>
      <c r="AE777">
        <v>42</v>
      </c>
      <c r="AF777">
        <v>405</v>
      </c>
      <c r="AG777" t="s">
        <v>120</v>
      </c>
      <c r="AH777">
        <v>0</v>
      </c>
      <c r="AI777" t="s">
        <v>120</v>
      </c>
      <c r="AJ777">
        <v>5.76</v>
      </c>
      <c r="AK777" t="s">
        <v>4637</v>
      </c>
      <c r="AL777">
        <v>-1.36</v>
      </c>
      <c r="AM777">
        <v>2545</v>
      </c>
      <c r="AN777">
        <v>64</v>
      </c>
      <c r="AO777">
        <v>1.1000000000000001E-3</v>
      </c>
      <c r="AP777">
        <v>-2</v>
      </c>
      <c r="AQ777">
        <v>-1.4</v>
      </c>
      <c r="AR777">
        <v>-1.74</v>
      </c>
      <c r="AS777">
        <v>-6.72</v>
      </c>
      <c r="AT777">
        <v>18.68</v>
      </c>
      <c r="AU777">
        <v>30.52</v>
      </c>
      <c r="AV777">
        <v>8</v>
      </c>
      <c r="AW777">
        <v>3.41</v>
      </c>
      <c r="AX777">
        <v>82.98</v>
      </c>
      <c r="AY777" t="s">
        <v>120</v>
      </c>
      <c r="AZ777" t="s">
        <v>120</v>
      </c>
      <c r="BA777">
        <v>0.32</v>
      </c>
      <c r="BB777" t="s">
        <v>143</v>
      </c>
      <c r="BF777">
        <v>-1.57</v>
      </c>
      <c r="BG777">
        <v>-3.55</v>
      </c>
      <c r="BH777">
        <v>-4.09</v>
      </c>
      <c r="BI777">
        <v>0.74</v>
      </c>
      <c r="BJ777">
        <v>20210909</v>
      </c>
      <c r="BK777">
        <v>20100316</v>
      </c>
      <c r="BL777">
        <v>5.77</v>
      </c>
      <c r="BM777" t="s">
        <v>120</v>
      </c>
      <c r="BN777" t="s">
        <v>120</v>
      </c>
      <c r="BO777">
        <v>28.4</v>
      </c>
      <c r="BP777">
        <v>6.79</v>
      </c>
      <c r="BQ777">
        <v>13.9</v>
      </c>
      <c r="BR777" t="s">
        <v>120</v>
      </c>
      <c r="BS777">
        <v>51.05</v>
      </c>
      <c r="BT777">
        <v>11.19</v>
      </c>
      <c r="BU777">
        <v>8.49</v>
      </c>
      <c r="BV777">
        <v>0.14000000000000001</v>
      </c>
      <c r="BW777">
        <v>10.27</v>
      </c>
      <c r="BX777">
        <v>2.61</v>
      </c>
      <c r="BY777">
        <v>1.43</v>
      </c>
      <c r="BZ777">
        <v>6.75</v>
      </c>
      <c r="CA777">
        <v>0.02</v>
      </c>
      <c r="CB777">
        <v>12.88</v>
      </c>
      <c r="CC777">
        <v>13.47</v>
      </c>
      <c r="CD777">
        <v>11.26</v>
      </c>
      <c r="CE777">
        <v>0.17</v>
      </c>
      <c r="CF777">
        <v>-0.01</v>
      </c>
      <c r="CG777">
        <v>0.11</v>
      </c>
      <c r="CH777">
        <v>0.03</v>
      </c>
      <c r="CI777">
        <v>0.03</v>
      </c>
      <c r="CJ777">
        <v>-0.23</v>
      </c>
      <c r="CK777">
        <v>-7.0000000000000007E-2</v>
      </c>
      <c r="CL777">
        <v>-4.76</v>
      </c>
      <c r="CM777">
        <v>0.1</v>
      </c>
      <c r="CN777">
        <v>-2.2400000000000002</v>
      </c>
      <c r="CO777">
        <v>53000</v>
      </c>
      <c r="CP777">
        <v>9030</v>
      </c>
      <c r="CQ777" t="s">
        <v>1602</v>
      </c>
      <c r="CR777">
        <v>149.47</v>
      </c>
      <c r="CS777">
        <v>-12.93</v>
      </c>
      <c r="CT777">
        <v>2.82</v>
      </c>
      <c r="CU777">
        <v>395.61</v>
      </c>
      <c r="CV777">
        <v>2.91</v>
      </c>
      <c r="CW777">
        <v>0</v>
      </c>
      <c r="CX777" t="s">
        <v>4638</v>
      </c>
      <c r="CY777">
        <v>2.41</v>
      </c>
      <c r="CZ777">
        <v>0</v>
      </c>
      <c r="DA777">
        <v>2.23</v>
      </c>
      <c r="DB777">
        <v>-0.83</v>
      </c>
      <c r="DC777">
        <v>0.02</v>
      </c>
      <c r="DD777">
        <v>48.95</v>
      </c>
      <c r="DE777" t="s">
        <v>4500</v>
      </c>
      <c r="DF777">
        <v>16.399999999999999</v>
      </c>
      <c r="DG777">
        <v>1.27</v>
      </c>
      <c r="DH777">
        <v>0.2</v>
      </c>
      <c r="DI777">
        <v>0.59</v>
      </c>
      <c r="DJ777">
        <v>15030</v>
      </c>
      <c r="DK777">
        <v>2369</v>
      </c>
      <c r="DL777" t="s">
        <v>120</v>
      </c>
      <c r="DM777" t="s">
        <v>120</v>
      </c>
      <c r="DN777" t="s">
        <v>120</v>
      </c>
    </row>
    <row r="778" spans="1:118">
      <c r="A778" t="str">
        <f>"002370"</f>
        <v>002370</v>
      </c>
      <c r="B778" t="s">
        <v>4639</v>
      </c>
      <c r="C778">
        <v>-1.27</v>
      </c>
      <c r="D778">
        <v>0.22</v>
      </c>
      <c r="E778">
        <v>0.42</v>
      </c>
      <c r="F778">
        <v>1413</v>
      </c>
      <c r="G778" t="s">
        <v>4640</v>
      </c>
      <c r="H778">
        <v>4710.1400000000003</v>
      </c>
      <c r="I778">
        <v>22.56</v>
      </c>
      <c r="J778" t="s">
        <v>120</v>
      </c>
      <c r="K778" t="s">
        <v>4641</v>
      </c>
      <c r="L778">
        <v>2.16</v>
      </c>
      <c r="M778">
        <v>4.6500000000000004</v>
      </c>
      <c r="N778">
        <v>0.89</v>
      </c>
      <c r="O778">
        <v>1.7</v>
      </c>
      <c r="P778">
        <v>4.79</v>
      </c>
      <c r="Q778">
        <v>-1.91</v>
      </c>
      <c r="R778">
        <v>4.62</v>
      </c>
      <c r="S778">
        <v>4.7300000000000004</v>
      </c>
      <c r="T778">
        <v>100012</v>
      </c>
      <c r="U778">
        <v>4.6500000000000004</v>
      </c>
      <c r="V778">
        <v>4.71</v>
      </c>
      <c r="W778" t="s">
        <v>120</v>
      </c>
      <c r="X778" t="s">
        <v>569</v>
      </c>
      <c r="Y778" t="s">
        <v>585</v>
      </c>
      <c r="Z778">
        <v>3.61</v>
      </c>
      <c r="AA778">
        <v>4.71</v>
      </c>
      <c r="AB778">
        <v>57262</v>
      </c>
      <c r="AC778">
        <v>42750</v>
      </c>
      <c r="AD778">
        <v>1.34</v>
      </c>
      <c r="AE778">
        <v>209</v>
      </c>
      <c r="AF778">
        <v>124</v>
      </c>
      <c r="AG778" t="s">
        <v>120</v>
      </c>
      <c r="AH778">
        <v>0.01</v>
      </c>
      <c r="AI778" t="s">
        <v>120</v>
      </c>
      <c r="AJ778">
        <v>4.63</v>
      </c>
      <c r="AK778" t="s">
        <v>4642</v>
      </c>
      <c r="AL778">
        <v>0.64</v>
      </c>
      <c r="AM778">
        <v>2219</v>
      </c>
      <c r="AN778">
        <v>45</v>
      </c>
      <c r="AO778">
        <v>1E-3</v>
      </c>
      <c r="AP778">
        <v>-1</v>
      </c>
      <c r="AQ778">
        <v>1.73</v>
      </c>
      <c r="AR778">
        <v>0.21</v>
      </c>
      <c r="AS778">
        <v>8.89</v>
      </c>
      <c r="AT778">
        <v>1.0900000000000001</v>
      </c>
      <c r="AU778">
        <v>24</v>
      </c>
      <c r="AV778">
        <v>11</v>
      </c>
      <c r="AW778">
        <v>2.74</v>
      </c>
      <c r="AX778">
        <v>67.95</v>
      </c>
      <c r="AY778">
        <v>67.13</v>
      </c>
      <c r="AZ778">
        <v>92.66</v>
      </c>
      <c r="BA778">
        <v>0.41</v>
      </c>
      <c r="BB778" t="s">
        <v>143</v>
      </c>
      <c r="BF778">
        <v>-0.01</v>
      </c>
      <c r="BG778">
        <v>-1.69</v>
      </c>
      <c r="BH778">
        <v>-2.92</v>
      </c>
      <c r="BI778">
        <v>0.65</v>
      </c>
      <c r="BJ778">
        <v>20210830</v>
      </c>
      <c r="BK778">
        <v>20100316</v>
      </c>
      <c r="BL778">
        <v>5.37</v>
      </c>
      <c r="BM778" t="s">
        <v>120</v>
      </c>
      <c r="BN778" t="s">
        <v>120</v>
      </c>
      <c r="BO778">
        <v>17.760000000000002</v>
      </c>
      <c r="BP778">
        <v>4.6399999999999997</v>
      </c>
      <c r="BQ778">
        <v>6.17</v>
      </c>
      <c r="BR778" t="s">
        <v>120</v>
      </c>
      <c r="BS778">
        <v>65.239999999999995</v>
      </c>
      <c r="BT778">
        <v>10.71</v>
      </c>
      <c r="BU778">
        <v>4.24</v>
      </c>
      <c r="BV778">
        <v>0.49</v>
      </c>
      <c r="BW778">
        <v>2.37</v>
      </c>
      <c r="BX778">
        <v>8.1300000000000008</v>
      </c>
      <c r="BY778">
        <v>0.64</v>
      </c>
      <c r="BZ778">
        <v>0.8</v>
      </c>
      <c r="CA778" t="s">
        <v>120</v>
      </c>
      <c r="CB778">
        <v>13.09</v>
      </c>
      <c r="CC778">
        <v>1.53</v>
      </c>
      <c r="CD778">
        <v>0.88</v>
      </c>
      <c r="CE778">
        <v>-0.37</v>
      </c>
      <c r="CF778">
        <v>0.04</v>
      </c>
      <c r="CG778">
        <v>-0.38</v>
      </c>
      <c r="CH778">
        <v>-0.44</v>
      </c>
      <c r="CI778">
        <v>-0.44</v>
      </c>
      <c r="CJ778">
        <v>-0.06</v>
      </c>
      <c r="CK778">
        <v>-0.9</v>
      </c>
      <c r="CL778">
        <v>-14.93</v>
      </c>
      <c r="CM778">
        <v>0.13</v>
      </c>
      <c r="CN778">
        <v>-0.9</v>
      </c>
      <c r="CO778">
        <v>38551</v>
      </c>
      <c r="CP778">
        <v>9458</v>
      </c>
      <c r="CQ778" t="s">
        <v>4643</v>
      </c>
      <c r="CR778">
        <v>19.11</v>
      </c>
      <c r="CS778">
        <v>-40.909999999999997</v>
      </c>
      <c r="CT778">
        <v>6.05</v>
      </c>
      <c r="CU778">
        <v>191.34</v>
      </c>
      <c r="CV778">
        <v>16.350000000000001</v>
      </c>
      <c r="CW778">
        <v>0</v>
      </c>
      <c r="CX778" t="s">
        <v>1320</v>
      </c>
      <c r="CY778">
        <v>0.77</v>
      </c>
      <c r="CZ778">
        <v>0.77</v>
      </c>
      <c r="DA778">
        <v>2.44</v>
      </c>
      <c r="DB778">
        <v>-2.78</v>
      </c>
      <c r="DC778">
        <v>0.02</v>
      </c>
      <c r="DD778">
        <v>34.76</v>
      </c>
      <c r="DE778" t="s">
        <v>4644</v>
      </c>
      <c r="DF778">
        <v>42.48</v>
      </c>
      <c r="DG778">
        <v>-24.31</v>
      </c>
      <c r="DH778">
        <v>-28.77</v>
      </c>
      <c r="DI778">
        <v>0.13</v>
      </c>
      <c r="DJ778">
        <v>685</v>
      </c>
      <c r="DK778">
        <v>2370</v>
      </c>
      <c r="DL778" t="s">
        <v>120</v>
      </c>
      <c r="DM778" t="s">
        <v>120</v>
      </c>
      <c r="DN778" t="s">
        <v>120</v>
      </c>
    </row>
    <row r="779" spans="1:118">
      <c r="A779" t="str">
        <f>"002371"</f>
        <v>002371</v>
      </c>
      <c r="B779" t="s">
        <v>4645</v>
      </c>
      <c r="C779">
        <v>-4.24</v>
      </c>
      <c r="D779">
        <v>-0.27</v>
      </c>
      <c r="E779">
        <v>-2.38</v>
      </c>
      <c r="F779">
        <v>1488</v>
      </c>
      <c r="G779" t="s">
        <v>4646</v>
      </c>
      <c r="H779">
        <v>200099.96</v>
      </c>
      <c r="I779">
        <v>2135.25</v>
      </c>
      <c r="J779" t="s">
        <v>120</v>
      </c>
      <c r="K779" t="s">
        <v>4647</v>
      </c>
      <c r="L779">
        <v>1.19</v>
      </c>
      <c r="M779">
        <v>358.03</v>
      </c>
      <c r="N779">
        <v>0.72</v>
      </c>
      <c r="O779">
        <v>0.27</v>
      </c>
      <c r="P779">
        <v>374.9</v>
      </c>
      <c r="Q779">
        <v>-4.74</v>
      </c>
      <c r="R779">
        <v>356.17</v>
      </c>
      <c r="S779">
        <v>365</v>
      </c>
      <c r="T779">
        <v>54994</v>
      </c>
      <c r="U779">
        <v>358.28</v>
      </c>
      <c r="V779">
        <v>373.9</v>
      </c>
      <c r="W779">
        <v>287.05</v>
      </c>
      <c r="X779" t="s">
        <v>3245</v>
      </c>
      <c r="Y779" t="s">
        <v>158</v>
      </c>
      <c r="Z779">
        <v>5.01</v>
      </c>
      <c r="AA779">
        <v>363.86</v>
      </c>
      <c r="AB779">
        <v>29103</v>
      </c>
      <c r="AC779">
        <v>25891</v>
      </c>
      <c r="AD779">
        <v>1.1200000000000001</v>
      </c>
      <c r="AE779">
        <v>10</v>
      </c>
      <c r="AF779">
        <v>29</v>
      </c>
      <c r="AG779" t="s">
        <v>120</v>
      </c>
      <c r="AH779">
        <v>0.03</v>
      </c>
      <c r="AI779" t="s">
        <v>120</v>
      </c>
      <c r="AJ779">
        <v>4.6100000000000003</v>
      </c>
      <c r="AK779" t="s">
        <v>4648</v>
      </c>
      <c r="AL779">
        <v>-2.33</v>
      </c>
      <c r="AM779">
        <v>4345</v>
      </c>
      <c r="AN779">
        <v>13</v>
      </c>
      <c r="AO779">
        <v>2.9999999999999997E-4</v>
      </c>
      <c r="AP779">
        <v>-2</v>
      </c>
      <c r="AQ779">
        <v>-0.75</v>
      </c>
      <c r="AR779">
        <v>4.54</v>
      </c>
      <c r="AS779">
        <v>-1.23</v>
      </c>
      <c r="AT779">
        <v>38.86</v>
      </c>
      <c r="AU779">
        <v>98.21</v>
      </c>
      <c r="AV779">
        <v>3</v>
      </c>
      <c r="AW779">
        <v>2.5499999999999998</v>
      </c>
      <c r="AX779">
        <v>43.33</v>
      </c>
      <c r="AY779">
        <v>280.56</v>
      </c>
      <c r="AZ779">
        <v>346.54</v>
      </c>
      <c r="BA779">
        <v>1.32</v>
      </c>
      <c r="BB779" t="s">
        <v>143</v>
      </c>
      <c r="BF779">
        <v>-2.69</v>
      </c>
      <c r="BG779">
        <v>-1.91</v>
      </c>
      <c r="BH779">
        <v>-4.5</v>
      </c>
      <c r="BI779">
        <v>0.52</v>
      </c>
      <c r="BJ779">
        <v>20210914</v>
      </c>
      <c r="BK779">
        <v>20100316</v>
      </c>
      <c r="BL779">
        <v>4.9800000000000004</v>
      </c>
      <c r="BM779" t="s">
        <v>120</v>
      </c>
      <c r="BN779" t="s">
        <v>120</v>
      </c>
      <c r="BO779">
        <v>218.25</v>
      </c>
      <c r="BP779">
        <v>358.03</v>
      </c>
      <c r="BQ779">
        <v>71.12</v>
      </c>
      <c r="BR779">
        <v>2.33</v>
      </c>
      <c r="BS779">
        <v>66.349999999999994</v>
      </c>
      <c r="BT779">
        <v>143.15</v>
      </c>
      <c r="BU779">
        <v>20.99</v>
      </c>
      <c r="BV779">
        <v>20.29</v>
      </c>
      <c r="BW779">
        <v>119.99</v>
      </c>
      <c r="BX779">
        <v>24.99</v>
      </c>
      <c r="BY779">
        <v>71.61</v>
      </c>
      <c r="BZ779">
        <v>20.77</v>
      </c>
      <c r="CA779">
        <v>0</v>
      </c>
      <c r="CB779">
        <v>44.88</v>
      </c>
      <c r="CC779">
        <v>36.08</v>
      </c>
      <c r="CD779">
        <v>20.51</v>
      </c>
      <c r="CE779">
        <v>4.45</v>
      </c>
      <c r="CF779">
        <v>0.01</v>
      </c>
      <c r="CG779">
        <v>4.49</v>
      </c>
      <c r="CH779">
        <v>3.72</v>
      </c>
      <c r="CI779">
        <v>3.1</v>
      </c>
      <c r="CJ779">
        <v>-15.87</v>
      </c>
      <c r="CK779">
        <v>2.25</v>
      </c>
      <c r="CL779">
        <v>22.14</v>
      </c>
      <c r="CM779">
        <v>-1.99</v>
      </c>
      <c r="CN779">
        <v>-2</v>
      </c>
      <c r="CO779">
        <v>37410</v>
      </c>
      <c r="CP779">
        <v>5764</v>
      </c>
      <c r="CQ779" t="s">
        <v>4649</v>
      </c>
      <c r="CR779">
        <v>68.599999999999994</v>
      </c>
      <c r="CS779">
        <v>65.75</v>
      </c>
      <c r="CT779">
        <v>25</v>
      </c>
      <c r="CU779">
        <v>-894.84</v>
      </c>
      <c r="CV779">
        <v>49.38</v>
      </c>
      <c r="CW779">
        <v>0.03</v>
      </c>
      <c r="CX779" t="s">
        <v>4650</v>
      </c>
      <c r="CY779">
        <v>14.32</v>
      </c>
      <c r="CZ779">
        <v>14.32</v>
      </c>
      <c r="DA779">
        <v>9.02</v>
      </c>
      <c r="DB779">
        <v>4.45</v>
      </c>
      <c r="DC779">
        <v>-0.4</v>
      </c>
      <c r="DD779">
        <v>32.590000000000003</v>
      </c>
      <c r="DE779" t="s">
        <v>4651</v>
      </c>
      <c r="DF779">
        <v>43.15</v>
      </c>
      <c r="DG779">
        <v>12.32</v>
      </c>
      <c r="DH779">
        <v>8.6</v>
      </c>
      <c r="DI779">
        <v>6.27</v>
      </c>
      <c r="DJ779">
        <v>5977</v>
      </c>
      <c r="DK779">
        <v>2371</v>
      </c>
      <c r="DL779">
        <v>20210910</v>
      </c>
      <c r="DM779">
        <v>372.6</v>
      </c>
      <c r="DN779">
        <v>-3.91</v>
      </c>
    </row>
    <row r="780" spans="1:118">
      <c r="A780" t="str">
        <f>"002372"</f>
        <v>002372</v>
      </c>
      <c r="B780" t="s">
        <v>4652</v>
      </c>
      <c r="C780">
        <v>-2.88</v>
      </c>
      <c r="D780">
        <v>-0.16</v>
      </c>
      <c r="E780">
        <v>0.05</v>
      </c>
      <c r="F780">
        <v>1396</v>
      </c>
      <c r="G780" t="s">
        <v>4653</v>
      </c>
      <c r="H780">
        <v>12593.44</v>
      </c>
      <c r="I780">
        <v>15.49</v>
      </c>
      <c r="J780" t="s">
        <v>120</v>
      </c>
      <c r="K780" t="s">
        <v>4654</v>
      </c>
      <c r="L780">
        <v>0.49</v>
      </c>
      <c r="M780">
        <v>17.899999999999999</v>
      </c>
      <c r="N780">
        <v>1.41</v>
      </c>
      <c r="O780">
        <v>1.1399999999999999</v>
      </c>
      <c r="P780">
        <v>18.64</v>
      </c>
      <c r="Q780">
        <v>-3.69</v>
      </c>
      <c r="R780">
        <v>17.75</v>
      </c>
      <c r="S780">
        <v>18.440000000000001</v>
      </c>
      <c r="T780">
        <v>69774</v>
      </c>
      <c r="U780">
        <v>17.93</v>
      </c>
      <c r="V780">
        <v>18.43</v>
      </c>
      <c r="W780">
        <v>34.450000000000003</v>
      </c>
      <c r="X780" t="s">
        <v>247</v>
      </c>
      <c r="Y780" t="s">
        <v>585</v>
      </c>
      <c r="Z780">
        <v>4.83</v>
      </c>
      <c r="AA780">
        <v>18.05</v>
      </c>
      <c r="AB780">
        <v>37939</v>
      </c>
      <c r="AC780">
        <v>31835</v>
      </c>
      <c r="AD780">
        <v>1.19</v>
      </c>
      <c r="AE780">
        <v>249</v>
      </c>
      <c r="AF780">
        <v>115</v>
      </c>
      <c r="AG780" t="s">
        <v>120</v>
      </c>
      <c r="AH780">
        <v>0</v>
      </c>
      <c r="AI780" t="s">
        <v>120</v>
      </c>
      <c r="AJ780">
        <v>14.36</v>
      </c>
      <c r="AK780" t="s">
        <v>4655</v>
      </c>
      <c r="AL780">
        <v>-0.96</v>
      </c>
      <c r="AM780">
        <v>3597</v>
      </c>
      <c r="AN780">
        <v>19</v>
      </c>
      <c r="AO780">
        <v>1E-4</v>
      </c>
      <c r="AP780">
        <v>-7</v>
      </c>
      <c r="AQ780">
        <v>-1.5</v>
      </c>
      <c r="AR780">
        <v>-5.49</v>
      </c>
      <c r="AS780">
        <v>-14.92</v>
      </c>
      <c r="AT780">
        <v>-16.899999999999999</v>
      </c>
      <c r="AU780">
        <v>-1.65</v>
      </c>
      <c r="AV780">
        <v>5</v>
      </c>
      <c r="AW780">
        <v>1.27</v>
      </c>
      <c r="AX780">
        <v>34.53</v>
      </c>
      <c r="AY780">
        <v>23.48</v>
      </c>
      <c r="AZ780">
        <v>24.6</v>
      </c>
      <c r="BA780">
        <v>0.55000000000000004</v>
      </c>
      <c r="BB780" t="s">
        <v>134</v>
      </c>
      <c r="BF780">
        <v>-2.0699999999999998</v>
      </c>
      <c r="BG780">
        <v>-2.93</v>
      </c>
      <c r="BH780">
        <v>-3.97</v>
      </c>
      <c r="BI780">
        <v>0.85</v>
      </c>
      <c r="BJ780">
        <v>20210812</v>
      </c>
      <c r="BK780">
        <v>20100318</v>
      </c>
      <c r="BL780">
        <v>15.92</v>
      </c>
      <c r="BM780" t="s">
        <v>120</v>
      </c>
      <c r="BN780" t="s">
        <v>120</v>
      </c>
      <c r="BO780">
        <v>52.82</v>
      </c>
      <c r="BP780">
        <v>17.899999999999999</v>
      </c>
      <c r="BQ780">
        <v>40.03</v>
      </c>
      <c r="BR780">
        <v>0.26</v>
      </c>
      <c r="BS780">
        <v>23.73</v>
      </c>
      <c r="BT780">
        <v>31.46</v>
      </c>
      <c r="BU780">
        <v>12.21</v>
      </c>
      <c r="BV780">
        <v>2.62</v>
      </c>
      <c r="BW780">
        <v>12.06</v>
      </c>
      <c r="BX780">
        <v>13.62</v>
      </c>
      <c r="BY780">
        <v>8.15</v>
      </c>
      <c r="BZ780">
        <v>3.26</v>
      </c>
      <c r="CA780" t="s">
        <v>120</v>
      </c>
      <c r="CB780">
        <v>3.75</v>
      </c>
      <c r="CC780">
        <v>23.87</v>
      </c>
      <c r="CD780">
        <v>14.1</v>
      </c>
      <c r="CE780">
        <v>4.97</v>
      </c>
      <c r="CF780">
        <v>-0.08</v>
      </c>
      <c r="CG780">
        <v>4.96</v>
      </c>
      <c r="CH780">
        <v>4.16</v>
      </c>
      <c r="CI780">
        <v>4.1399999999999997</v>
      </c>
      <c r="CJ780">
        <v>-0.53</v>
      </c>
      <c r="CK780">
        <v>3.93</v>
      </c>
      <c r="CL780">
        <v>15.92</v>
      </c>
      <c r="CM780">
        <v>4.3099999999999996</v>
      </c>
      <c r="CN780">
        <v>-5.18</v>
      </c>
      <c r="CO780">
        <v>55915</v>
      </c>
      <c r="CP780">
        <v>9831</v>
      </c>
      <c r="CQ780" t="s">
        <v>4656</v>
      </c>
      <c r="CR780">
        <v>15.99</v>
      </c>
      <c r="CS780">
        <v>32.25</v>
      </c>
      <c r="CT780">
        <v>7.12</v>
      </c>
      <c r="CU780">
        <v>66.09</v>
      </c>
      <c r="CV780">
        <v>11.94</v>
      </c>
      <c r="CW780">
        <v>2.71</v>
      </c>
      <c r="CX780" t="s">
        <v>670</v>
      </c>
      <c r="CY780">
        <v>2.5099999999999998</v>
      </c>
      <c r="CZ780">
        <v>0</v>
      </c>
      <c r="DA780">
        <v>0.24</v>
      </c>
      <c r="DB780">
        <v>1</v>
      </c>
      <c r="DC780">
        <v>0.27</v>
      </c>
      <c r="DD780">
        <v>75.790000000000006</v>
      </c>
      <c r="DE780" t="s">
        <v>941</v>
      </c>
      <c r="DF780">
        <v>40.92</v>
      </c>
      <c r="DG780">
        <v>20.82</v>
      </c>
      <c r="DH780">
        <v>17.329999999999998</v>
      </c>
      <c r="DI780">
        <v>0.71</v>
      </c>
      <c r="DJ780">
        <v>4572</v>
      </c>
      <c r="DK780">
        <v>2372</v>
      </c>
      <c r="DL780" t="s">
        <v>120</v>
      </c>
      <c r="DM780" t="s">
        <v>120</v>
      </c>
      <c r="DN780" t="s">
        <v>120</v>
      </c>
    </row>
    <row r="781" spans="1:118">
      <c r="A781" t="str">
        <f>"002373"</f>
        <v>002373</v>
      </c>
      <c r="B781" t="s">
        <v>4657</v>
      </c>
      <c r="C781">
        <v>-1.44</v>
      </c>
      <c r="D781">
        <v>-0.12</v>
      </c>
      <c r="E781">
        <v>-7.0000000000000007E-2</v>
      </c>
      <c r="F781">
        <v>2155</v>
      </c>
      <c r="G781" t="s">
        <v>4658</v>
      </c>
      <c r="H781">
        <v>13854.32</v>
      </c>
      <c r="I781">
        <v>10.83</v>
      </c>
      <c r="J781" t="s">
        <v>120</v>
      </c>
      <c r="K781" t="s">
        <v>4659</v>
      </c>
      <c r="L781">
        <v>0.74</v>
      </c>
      <c r="M781">
        <v>15.05</v>
      </c>
      <c r="N781">
        <v>0.85</v>
      </c>
      <c r="O781">
        <v>0.39</v>
      </c>
      <c r="P781">
        <v>15.33</v>
      </c>
      <c r="Q781">
        <v>-1.44</v>
      </c>
      <c r="R781">
        <v>15.05</v>
      </c>
      <c r="S781">
        <v>15.26</v>
      </c>
      <c r="T781">
        <v>91407</v>
      </c>
      <c r="U781">
        <v>15.06</v>
      </c>
      <c r="V781">
        <v>15.27</v>
      </c>
      <c r="W781">
        <v>23.48</v>
      </c>
      <c r="X781" t="s">
        <v>141</v>
      </c>
      <c r="Y781" t="s">
        <v>158</v>
      </c>
      <c r="Z781">
        <v>1.83</v>
      </c>
      <c r="AA781">
        <v>15.16</v>
      </c>
      <c r="AB781">
        <v>54137</v>
      </c>
      <c r="AC781">
        <v>37270</v>
      </c>
      <c r="AD781">
        <v>1.45</v>
      </c>
      <c r="AE781">
        <v>1680</v>
      </c>
      <c r="AF781">
        <v>3</v>
      </c>
      <c r="AG781" t="s">
        <v>120</v>
      </c>
      <c r="AH781">
        <v>0</v>
      </c>
      <c r="AI781" t="s">
        <v>120</v>
      </c>
      <c r="AJ781">
        <v>12.28</v>
      </c>
      <c r="AK781" t="s">
        <v>4660</v>
      </c>
      <c r="AL781">
        <v>0.47</v>
      </c>
      <c r="AM781">
        <v>2640</v>
      </c>
      <c r="AN781">
        <v>35</v>
      </c>
      <c r="AO781">
        <v>2.9999999999999997E-4</v>
      </c>
      <c r="AP781">
        <v>-2</v>
      </c>
      <c r="AQ781">
        <v>-0.97</v>
      </c>
      <c r="AR781">
        <v>-2.27</v>
      </c>
      <c r="AS781">
        <v>-7.55</v>
      </c>
      <c r="AT781">
        <v>-10.73</v>
      </c>
      <c r="AU781">
        <v>-20.99</v>
      </c>
      <c r="AV781">
        <v>1</v>
      </c>
      <c r="AW781">
        <v>0.97</v>
      </c>
      <c r="AX781">
        <v>59.75</v>
      </c>
      <c r="AY781">
        <v>21.67</v>
      </c>
      <c r="AZ781">
        <v>22.33</v>
      </c>
      <c r="BA781">
        <v>0.59</v>
      </c>
      <c r="BB781" t="s">
        <v>134</v>
      </c>
      <c r="BF781">
        <v>-0.74</v>
      </c>
      <c r="BG781">
        <v>-1.38</v>
      </c>
      <c r="BH781">
        <v>-1.83</v>
      </c>
      <c r="BI781">
        <v>0</v>
      </c>
      <c r="BJ781">
        <v>20210827</v>
      </c>
      <c r="BK781">
        <v>20100318</v>
      </c>
      <c r="BL781">
        <v>15.81</v>
      </c>
      <c r="BM781" t="s">
        <v>120</v>
      </c>
      <c r="BN781" t="s">
        <v>120</v>
      </c>
      <c r="BO781">
        <v>194.26</v>
      </c>
      <c r="BP781">
        <v>15.05</v>
      </c>
      <c r="BQ781">
        <v>122.09</v>
      </c>
      <c r="BR781">
        <v>4.51</v>
      </c>
      <c r="BS781">
        <v>34.83</v>
      </c>
      <c r="BT781">
        <v>113.22</v>
      </c>
      <c r="BU781">
        <v>4.82</v>
      </c>
      <c r="BV781">
        <v>7.96</v>
      </c>
      <c r="BW781">
        <v>59.4</v>
      </c>
      <c r="BX781">
        <v>34.44</v>
      </c>
      <c r="BY781">
        <v>29.57</v>
      </c>
      <c r="BZ781">
        <v>35.92</v>
      </c>
      <c r="CA781" t="s">
        <v>120</v>
      </c>
      <c r="CB781">
        <v>62.66</v>
      </c>
      <c r="CC781">
        <v>41.24</v>
      </c>
      <c r="CD781">
        <v>28.69</v>
      </c>
      <c r="CE781">
        <v>5.33</v>
      </c>
      <c r="CF781">
        <v>0.22</v>
      </c>
      <c r="CG781">
        <v>5.32</v>
      </c>
      <c r="CH781">
        <v>5.13</v>
      </c>
      <c r="CI781">
        <v>5.07</v>
      </c>
      <c r="CJ781">
        <v>-0.22</v>
      </c>
      <c r="CK781">
        <v>3.21</v>
      </c>
      <c r="CL781">
        <v>44.95</v>
      </c>
      <c r="CM781">
        <v>-5.18</v>
      </c>
      <c r="CN781">
        <v>-7.38</v>
      </c>
      <c r="CO781">
        <v>93391</v>
      </c>
      <c r="CP781">
        <v>10114</v>
      </c>
      <c r="CQ781" t="s">
        <v>4661</v>
      </c>
      <c r="CR781">
        <v>6.95</v>
      </c>
      <c r="CS781">
        <v>11.04</v>
      </c>
      <c r="CT781">
        <v>1.95</v>
      </c>
      <c r="CU781">
        <v>-45.93</v>
      </c>
      <c r="CV781">
        <v>5.77</v>
      </c>
      <c r="CW781">
        <v>0.46</v>
      </c>
      <c r="CX781" t="s">
        <v>966</v>
      </c>
      <c r="CY781">
        <v>7.72</v>
      </c>
      <c r="CZ781">
        <v>0</v>
      </c>
      <c r="DA781">
        <v>3.96</v>
      </c>
      <c r="DB781">
        <v>2.84</v>
      </c>
      <c r="DC781">
        <v>-0.33</v>
      </c>
      <c r="DD781">
        <v>62.85</v>
      </c>
      <c r="DE781" t="s">
        <v>4662</v>
      </c>
      <c r="DF781">
        <v>30.44</v>
      </c>
      <c r="DG781">
        <v>12.92</v>
      </c>
      <c r="DH781">
        <v>12.29</v>
      </c>
      <c r="DI781">
        <v>3.89</v>
      </c>
      <c r="DJ781">
        <v>6341</v>
      </c>
      <c r="DK781">
        <v>2373</v>
      </c>
      <c r="DL781" t="s">
        <v>120</v>
      </c>
      <c r="DM781" t="s">
        <v>120</v>
      </c>
      <c r="DN781" t="s">
        <v>120</v>
      </c>
    </row>
    <row r="782" spans="1:118">
      <c r="A782" t="str">
        <f>"002374"</f>
        <v>002374</v>
      </c>
      <c r="B782" t="s">
        <v>4663</v>
      </c>
      <c r="C782">
        <v>-2.69</v>
      </c>
      <c r="D782">
        <v>0</v>
      </c>
      <c r="E782">
        <v>0.3</v>
      </c>
      <c r="F782">
        <v>1496</v>
      </c>
      <c r="G782" t="s">
        <v>4664</v>
      </c>
      <c r="H782">
        <v>7168.68</v>
      </c>
      <c r="I782">
        <v>67.23</v>
      </c>
      <c r="J782" t="s">
        <v>120</v>
      </c>
      <c r="K782" t="s">
        <v>4665</v>
      </c>
      <c r="L782">
        <v>2.23</v>
      </c>
      <c r="M782">
        <v>3.25</v>
      </c>
      <c r="N782">
        <v>0.81</v>
      </c>
      <c r="O782">
        <v>1.8</v>
      </c>
      <c r="P782">
        <v>3.4</v>
      </c>
      <c r="Q782">
        <v>-4.79</v>
      </c>
      <c r="R782">
        <v>3.18</v>
      </c>
      <c r="S782">
        <v>3.35</v>
      </c>
      <c r="T782">
        <v>218456</v>
      </c>
      <c r="U782">
        <v>3.25</v>
      </c>
      <c r="V782">
        <v>3.34</v>
      </c>
      <c r="W782">
        <v>177.83</v>
      </c>
      <c r="X782" t="s">
        <v>339</v>
      </c>
      <c r="Y782" t="s">
        <v>638</v>
      </c>
      <c r="Z782">
        <v>6.59</v>
      </c>
      <c r="AA782">
        <v>3.28</v>
      </c>
      <c r="AB782">
        <v>122034</v>
      </c>
      <c r="AC782">
        <v>96422</v>
      </c>
      <c r="AD782">
        <v>1.27</v>
      </c>
      <c r="AE782">
        <v>593</v>
      </c>
      <c r="AF782">
        <v>1493</v>
      </c>
      <c r="AG782" t="s">
        <v>120</v>
      </c>
      <c r="AH782">
        <v>0.02</v>
      </c>
      <c r="AI782" t="s">
        <v>120</v>
      </c>
      <c r="AJ782">
        <v>9.7799999999999994</v>
      </c>
      <c r="AK782" t="s">
        <v>3962</v>
      </c>
      <c r="AL782">
        <v>-0.78</v>
      </c>
      <c r="AM782">
        <v>2092</v>
      </c>
      <c r="AN782">
        <v>104</v>
      </c>
      <c r="AO782">
        <v>1.1000000000000001E-3</v>
      </c>
      <c r="AP782">
        <v>-1</v>
      </c>
      <c r="AQ782">
        <v>0</v>
      </c>
      <c r="AR782">
        <v>-4.97</v>
      </c>
      <c r="AS782">
        <v>3.5</v>
      </c>
      <c r="AT782">
        <v>28.97</v>
      </c>
      <c r="AU782">
        <v>38.89</v>
      </c>
      <c r="AV782">
        <v>4</v>
      </c>
      <c r="AW782">
        <v>2.67</v>
      </c>
      <c r="AX782">
        <v>75.260000000000005</v>
      </c>
      <c r="AY782" t="s">
        <v>120</v>
      </c>
      <c r="AZ782" t="s">
        <v>120</v>
      </c>
      <c r="BA782">
        <v>0.21</v>
      </c>
      <c r="BB782" t="s">
        <v>125</v>
      </c>
      <c r="BF782">
        <v>-1.75</v>
      </c>
      <c r="BG782">
        <v>-2.99</v>
      </c>
      <c r="BH782">
        <v>-4.41</v>
      </c>
      <c r="BI782">
        <v>2.2000000000000002</v>
      </c>
      <c r="BJ782">
        <v>20210827</v>
      </c>
      <c r="BK782">
        <v>20100318</v>
      </c>
      <c r="BL782">
        <v>10.88</v>
      </c>
      <c r="BM782" t="s">
        <v>120</v>
      </c>
      <c r="BN782" t="s">
        <v>120</v>
      </c>
      <c r="BO782">
        <v>53.39</v>
      </c>
      <c r="BP782">
        <v>3.24</v>
      </c>
      <c r="BQ782">
        <v>27.12</v>
      </c>
      <c r="BR782">
        <v>1.37</v>
      </c>
      <c r="BS782">
        <v>46.64</v>
      </c>
      <c r="BT782">
        <v>24.51</v>
      </c>
      <c r="BU782">
        <v>5.36</v>
      </c>
      <c r="BV782">
        <v>1.1000000000000001</v>
      </c>
      <c r="BW782">
        <v>11.78</v>
      </c>
      <c r="BX782">
        <v>3.55</v>
      </c>
      <c r="BY782">
        <v>1.59</v>
      </c>
      <c r="BZ782">
        <v>14.01</v>
      </c>
      <c r="CA782" t="s">
        <v>120</v>
      </c>
      <c r="CB782">
        <v>20.66</v>
      </c>
      <c r="CC782">
        <v>3.37</v>
      </c>
      <c r="CD782">
        <v>2.78</v>
      </c>
      <c r="CE782">
        <v>0.27</v>
      </c>
      <c r="CF782">
        <v>0</v>
      </c>
      <c r="CG782">
        <v>0.24</v>
      </c>
      <c r="CH782">
        <v>0.13</v>
      </c>
      <c r="CI782">
        <v>0.1</v>
      </c>
      <c r="CJ782">
        <v>-0.09</v>
      </c>
      <c r="CK782">
        <v>0.09</v>
      </c>
      <c r="CL782">
        <v>-4.51</v>
      </c>
      <c r="CM782">
        <v>1.95</v>
      </c>
      <c r="CN782">
        <v>1.24</v>
      </c>
      <c r="CO782">
        <v>29708</v>
      </c>
      <c r="CP782">
        <v>27562</v>
      </c>
      <c r="CQ782" t="s">
        <v>4666</v>
      </c>
      <c r="CR782">
        <v>142.66</v>
      </c>
      <c r="CS782">
        <v>30.07</v>
      </c>
      <c r="CT782">
        <v>1.3</v>
      </c>
      <c r="CU782">
        <v>18.100000000000001</v>
      </c>
      <c r="CV782">
        <v>10.5</v>
      </c>
      <c r="CW782">
        <v>0</v>
      </c>
      <c r="CX782" t="s">
        <v>4667</v>
      </c>
      <c r="CY782">
        <v>2.4900000000000002</v>
      </c>
      <c r="CZ782">
        <v>0</v>
      </c>
      <c r="DA782">
        <v>1.9</v>
      </c>
      <c r="DB782">
        <v>-0.41</v>
      </c>
      <c r="DC782">
        <v>0.18</v>
      </c>
      <c r="DD782">
        <v>50.8</v>
      </c>
      <c r="DE782" t="s">
        <v>4668</v>
      </c>
      <c r="DF782">
        <v>17.329999999999998</v>
      </c>
      <c r="DG782">
        <v>7.93</v>
      </c>
      <c r="DH782">
        <v>2.95</v>
      </c>
      <c r="DI782">
        <v>0.01</v>
      </c>
      <c r="DJ782">
        <v>1635</v>
      </c>
      <c r="DK782">
        <v>2374</v>
      </c>
      <c r="DL782" t="s">
        <v>120</v>
      </c>
      <c r="DM782" t="s">
        <v>120</v>
      </c>
      <c r="DN782" t="s">
        <v>120</v>
      </c>
    </row>
    <row r="783" spans="1:118">
      <c r="A783" t="str">
        <f>"002375"</f>
        <v>002375</v>
      </c>
      <c r="B783" t="s">
        <v>4669</v>
      </c>
      <c r="C783">
        <v>-2.23</v>
      </c>
      <c r="D783">
        <v>0.13</v>
      </c>
      <c r="E783">
        <v>-0.13</v>
      </c>
      <c r="F783">
        <v>4175</v>
      </c>
      <c r="G783" t="s">
        <v>4670</v>
      </c>
      <c r="H783">
        <v>5914.53</v>
      </c>
      <c r="I783">
        <v>8.9</v>
      </c>
      <c r="J783" t="s">
        <v>120</v>
      </c>
      <c r="K783" t="s">
        <v>3518</v>
      </c>
      <c r="L783">
        <v>0.59</v>
      </c>
      <c r="M783">
        <v>7.45</v>
      </c>
      <c r="N783">
        <v>0.71</v>
      </c>
      <c r="O783">
        <v>1.44</v>
      </c>
      <c r="P783">
        <v>7.73</v>
      </c>
      <c r="Q783">
        <v>-3.54</v>
      </c>
      <c r="R783">
        <v>7.35</v>
      </c>
      <c r="S783">
        <v>7.61</v>
      </c>
      <c r="T783">
        <v>78363</v>
      </c>
      <c r="U783">
        <v>7.46</v>
      </c>
      <c r="V783">
        <v>7.62</v>
      </c>
      <c r="W783">
        <v>50.18</v>
      </c>
      <c r="X783" t="s">
        <v>3122</v>
      </c>
      <c r="Y783" t="s">
        <v>585</v>
      </c>
      <c r="Z783">
        <v>4.99</v>
      </c>
      <c r="AA783">
        <v>7.55</v>
      </c>
      <c r="AB783">
        <v>42273</v>
      </c>
      <c r="AC783">
        <v>36090</v>
      </c>
      <c r="AD783">
        <v>1.17</v>
      </c>
      <c r="AE783">
        <v>825</v>
      </c>
      <c r="AF783">
        <v>399</v>
      </c>
      <c r="AG783" t="s">
        <v>120</v>
      </c>
      <c r="AH783">
        <v>0</v>
      </c>
      <c r="AI783" t="s">
        <v>120</v>
      </c>
      <c r="AJ783">
        <v>13.31</v>
      </c>
      <c r="AK783" t="s">
        <v>3793</v>
      </c>
      <c r="AL783">
        <v>-0.32</v>
      </c>
      <c r="AM783">
        <v>2542</v>
      </c>
      <c r="AN783">
        <v>31</v>
      </c>
      <c r="AO783">
        <v>2.0000000000000001E-4</v>
      </c>
      <c r="AP783">
        <v>-1</v>
      </c>
      <c r="AQ783">
        <v>1.2</v>
      </c>
      <c r="AR783">
        <v>-3.74</v>
      </c>
      <c r="AS783">
        <v>14.09</v>
      </c>
      <c r="AT783">
        <v>-1.65</v>
      </c>
      <c r="AU783">
        <v>0.47</v>
      </c>
      <c r="AV783">
        <v>6</v>
      </c>
      <c r="AW783">
        <v>1.26</v>
      </c>
      <c r="AX783">
        <v>46.44</v>
      </c>
      <c r="AY783">
        <v>34.61</v>
      </c>
      <c r="AZ783">
        <v>32.159999999999997</v>
      </c>
      <c r="BA783">
        <v>0.63</v>
      </c>
      <c r="BB783" t="s">
        <v>143</v>
      </c>
      <c r="BF783">
        <v>-0.95</v>
      </c>
      <c r="BG783">
        <v>-2.1</v>
      </c>
      <c r="BH783">
        <v>-3.62</v>
      </c>
      <c r="BI783">
        <v>1.36</v>
      </c>
      <c r="BJ783">
        <v>20210831</v>
      </c>
      <c r="BK783">
        <v>20100323</v>
      </c>
      <c r="BL783">
        <v>13.4</v>
      </c>
      <c r="BM783" t="s">
        <v>120</v>
      </c>
      <c r="BN783" t="s">
        <v>120</v>
      </c>
      <c r="BO783">
        <v>221.74</v>
      </c>
      <c r="BP783">
        <v>7.45</v>
      </c>
      <c r="BQ783">
        <v>83.74</v>
      </c>
      <c r="BR783">
        <v>2.81</v>
      </c>
      <c r="BS783">
        <v>60.97</v>
      </c>
      <c r="BT783">
        <v>184.38</v>
      </c>
      <c r="BU783">
        <v>8.5299999999999994</v>
      </c>
      <c r="BV783">
        <v>2.38</v>
      </c>
      <c r="BW783">
        <v>129.46</v>
      </c>
      <c r="BX783">
        <v>23.21</v>
      </c>
      <c r="BY783">
        <v>23.69</v>
      </c>
      <c r="BZ783">
        <v>42.99</v>
      </c>
      <c r="CA783" t="s">
        <v>120</v>
      </c>
      <c r="CB783">
        <v>19.12</v>
      </c>
      <c r="CC783">
        <v>53.08</v>
      </c>
      <c r="CD783">
        <v>46.11</v>
      </c>
      <c r="CE783">
        <v>1.39</v>
      </c>
      <c r="CF783">
        <v>-0.03</v>
      </c>
      <c r="CG783">
        <v>1.38</v>
      </c>
      <c r="CH783">
        <v>1.08</v>
      </c>
      <c r="CI783">
        <v>0.99</v>
      </c>
      <c r="CJ783">
        <v>-0.17</v>
      </c>
      <c r="CK783">
        <v>0.78</v>
      </c>
      <c r="CL783">
        <v>49.07</v>
      </c>
      <c r="CM783">
        <v>-10.47</v>
      </c>
      <c r="CN783">
        <v>-11.54</v>
      </c>
      <c r="CO783">
        <v>27276</v>
      </c>
      <c r="CP783">
        <v>22815</v>
      </c>
      <c r="CQ783" t="s">
        <v>4671</v>
      </c>
      <c r="CR783">
        <v>-18.39</v>
      </c>
      <c r="CS783">
        <v>36.770000000000003</v>
      </c>
      <c r="CT783">
        <v>1.19</v>
      </c>
      <c r="CU783">
        <v>-9.5399999999999991</v>
      </c>
      <c r="CV783">
        <v>1.88</v>
      </c>
      <c r="CW783">
        <v>0.32</v>
      </c>
      <c r="CX783" t="s">
        <v>535</v>
      </c>
      <c r="CY783">
        <v>6.25</v>
      </c>
      <c r="CZ783">
        <v>0</v>
      </c>
      <c r="DA783">
        <v>1.43</v>
      </c>
      <c r="DB783">
        <v>3.66</v>
      </c>
      <c r="DC783">
        <v>-0.78</v>
      </c>
      <c r="DD783">
        <v>37.770000000000003</v>
      </c>
      <c r="DE783" t="s">
        <v>2197</v>
      </c>
      <c r="DF783">
        <v>13.13</v>
      </c>
      <c r="DG783">
        <v>2.62</v>
      </c>
      <c r="DH783">
        <v>1.87</v>
      </c>
      <c r="DI783">
        <v>1.51</v>
      </c>
      <c r="DJ783">
        <v>7105</v>
      </c>
      <c r="DK783">
        <v>2375</v>
      </c>
      <c r="DL783" t="s">
        <v>120</v>
      </c>
      <c r="DM783" t="s">
        <v>120</v>
      </c>
      <c r="DN783" t="s">
        <v>120</v>
      </c>
    </row>
    <row r="784" spans="1:118">
      <c r="A784" t="str">
        <f>"002376"</f>
        <v>002376</v>
      </c>
      <c r="B784" t="s">
        <v>4672</v>
      </c>
      <c r="C784">
        <v>-0.72</v>
      </c>
      <c r="D784">
        <v>-0.11</v>
      </c>
      <c r="E784">
        <v>-0.36</v>
      </c>
      <c r="F784">
        <v>781</v>
      </c>
      <c r="G784" t="s">
        <v>4673</v>
      </c>
      <c r="H784">
        <v>3113.98</v>
      </c>
      <c r="I784">
        <v>3.09</v>
      </c>
      <c r="J784" t="s">
        <v>120</v>
      </c>
      <c r="K784" t="s">
        <v>4674</v>
      </c>
      <c r="L784">
        <v>0.57999999999999996</v>
      </c>
      <c r="M784">
        <v>8.31</v>
      </c>
      <c r="N784">
        <v>0.8</v>
      </c>
      <c r="O784">
        <v>0.84</v>
      </c>
      <c r="P784">
        <v>8.44</v>
      </c>
      <c r="Q784">
        <v>-0.96</v>
      </c>
      <c r="R784">
        <v>8.2899999999999991</v>
      </c>
      <c r="S784">
        <v>8.34</v>
      </c>
      <c r="T784">
        <v>37253</v>
      </c>
      <c r="U784">
        <v>8.32</v>
      </c>
      <c r="V784">
        <v>8.3699999999999992</v>
      </c>
      <c r="W784">
        <v>54.74</v>
      </c>
      <c r="X784" t="s">
        <v>238</v>
      </c>
      <c r="Y784" t="s">
        <v>638</v>
      </c>
      <c r="Z784">
        <v>1.79</v>
      </c>
      <c r="AA784">
        <v>8.36</v>
      </c>
      <c r="AB784">
        <v>23568</v>
      </c>
      <c r="AC784">
        <v>13685</v>
      </c>
      <c r="AD784">
        <v>1.72</v>
      </c>
      <c r="AE784">
        <v>601</v>
      </c>
      <c r="AF784">
        <v>113</v>
      </c>
      <c r="AG784" t="s">
        <v>120</v>
      </c>
      <c r="AH784">
        <v>0</v>
      </c>
      <c r="AI784" t="s">
        <v>120</v>
      </c>
      <c r="AJ784">
        <v>6.4</v>
      </c>
      <c r="AK784" t="s">
        <v>4675</v>
      </c>
      <c r="AL784">
        <v>1.2</v>
      </c>
      <c r="AM784">
        <v>1488</v>
      </c>
      <c r="AN784">
        <v>25</v>
      </c>
      <c r="AO784">
        <v>4.0000000000000002E-4</v>
      </c>
      <c r="AP784">
        <v>-6</v>
      </c>
      <c r="AQ784">
        <v>-0.71</v>
      </c>
      <c r="AR784">
        <v>-2.23</v>
      </c>
      <c r="AS784">
        <v>-0.6</v>
      </c>
      <c r="AT784">
        <v>-9.67</v>
      </c>
      <c r="AU784">
        <v>-9.3699999999999992</v>
      </c>
      <c r="AV784">
        <v>0</v>
      </c>
      <c r="AW784">
        <v>0.9</v>
      </c>
      <c r="AX784">
        <v>62.01</v>
      </c>
      <c r="AY784">
        <v>32.770000000000003</v>
      </c>
      <c r="AZ784">
        <v>30.1</v>
      </c>
      <c r="BA784">
        <v>0.28000000000000003</v>
      </c>
      <c r="BB784" t="s">
        <v>4676</v>
      </c>
      <c r="BF784">
        <v>-0.13</v>
      </c>
      <c r="BG784">
        <v>-0.36</v>
      </c>
      <c r="BH784">
        <v>-1.54</v>
      </c>
      <c r="BI784">
        <v>0.24</v>
      </c>
      <c r="BJ784">
        <v>20210906</v>
      </c>
      <c r="BK784">
        <v>20100323</v>
      </c>
      <c r="BL784">
        <v>6.66</v>
      </c>
      <c r="BM784" t="s">
        <v>120</v>
      </c>
      <c r="BN784" t="s">
        <v>120</v>
      </c>
      <c r="BO784">
        <v>59.1</v>
      </c>
      <c r="BP784">
        <v>8.31</v>
      </c>
      <c r="BQ784">
        <v>34.96</v>
      </c>
      <c r="BR784">
        <v>2.68</v>
      </c>
      <c r="BS784">
        <v>36.32</v>
      </c>
      <c r="BT784">
        <v>29.79</v>
      </c>
      <c r="BU784">
        <v>14.48</v>
      </c>
      <c r="BV784">
        <v>1.75</v>
      </c>
      <c r="BW784">
        <v>12.92</v>
      </c>
      <c r="BX784">
        <v>6.92</v>
      </c>
      <c r="BY784">
        <v>8.25</v>
      </c>
      <c r="BZ784">
        <v>8.5500000000000007</v>
      </c>
      <c r="CA784" t="s">
        <v>120</v>
      </c>
      <c r="CB784">
        <v>9.9</v>
      </c>
      <c r="CC784">
        <v>11.14</v>
      </c>
      <c r="CD784">
        <v>7.79</v>
      </c>
      <c r="CE784">
        <v>0.74</v>
      </c>
      <c r="CF784">
        <v>0.84</v>
      </c>
      <c r="CG784">
        <v>0.75</v>
      </c>
      <c r="CH784">
        <v>0.68</v>
      </c>
      <c r="CI784">
        <v>0.51</v>
      </c>
      <c r="CJ784">
        <v>-0.06</v>
      </c>
      <c r="CK784">
        <v>0.43</v>
      </c>
      <c r="CL784">
        <v>13.3</v>
      </c>
      <c r="CM784">
        <v>-1.24</v>
      </c>
      <c r="CN784">
        <v>-2.2200000000000002</v>
      </c>
      <c r="CO784">
        <v>31616</v>
      </c>
      <c r="CP784">
        <v>13057</v>
      </c>
      <c r="CQ784" t="s">
        <v>4677</v>
      </c>
      <c r="CR784">
        <v>-22.96</v>
      </c>
      <c r="CS784">
        <v>19.71</v>
      </c>
      <c r="CT784">
        <v>1.66</v>
      </c>
      <c r="CU784">
        <v>-44.63</v>
      </c>
      <c r="CV784">
        <v>4.96</v>
      </c>
      <c r="CW784">
        <v>2.99</v>
      </c>
      <c r="CX784" t="s">
        <v>535</v>
      </c>
      <c r="CY784">
        <v>4.99</v>
      </c>
      <c r="CZ784">
        <v>4.99</v>
      </c>
      <c r="DA784">
        <v>1.49</v>
      </c>
      <c r="DB784">
        <v>2</v>
      </c>
      <c r="DC784">
        <v>-0.19</v>
      </c>
      <c r="DD784">
        <v>59.14</v>
      </c>
      <c r="DE784" t="s">
        <v>4678</v>
      </c>
      <c r="DF784">
        <v>30.06</v>
      </c>
      <c r="DG784">
        <v>6.68</v>
      </c>
      <c r="DH784">
        <v>4.53</v>
      </c>
      <c r="DI784">
        <v>1.61</v>
      </c>
      <c r="DJ784">
        <v>4600</v>
      </c>
      <c r="DK784">
        <v>2376</v>
      </c>
      <c r="DL784" t="s">
        <v>120</v>
      </c>
      <c r="DM784" t="s">
        <v>120</v>
      </c>
      <c r="DN784" t="s">
        <v>120</v>
      </c>
    </row>
    <row r="785" spans="1:118">
      <c r="A785" t="str">
        <f>"002377"</f>
        <v>002377</v>
      </c>
      <c r="B785" t="s">
        <v>4679</v>
      </c>
      <c r="C785">
        <v>-2.2200000000000002</v>
      </c>
      <c r="D785">
        <v>0</v>
      </c>
      <c r="E785">
        <v>0.55000000000000004</v>
      </c>
      <c r="F785">
        <v>600</v>
      </c>
      <c r="G785" t="s">
        <v>4680</v>
      </c>
      <c r="H785">
        <v>4965.33</v>
      </c>
      <c r="I785">
        <v>31.47</v>
      </c>
      <c r="J785" t="s">
        <v>120</v>
      </c>
      <c r="K785" t="s">
        <v>4681</v>
      </c>
      <c r="L785">
        <v>1.51</v>
      </c>
      <c r="M785">
        <v>3.53</v>
      </c>
      <c r="N785">
        <v>0.52</v>
      </c>
      <c r="O785">
        <v>1.94</v>
      </c>
      <c r="P785">
        <v>3.68</v>
      </c>
      <c r="Q785">
        <v>-2.77</v>
      </c>
      <c r="R785">
        <v>3.51</v>
      </c>
      <c r="S785">
        <v>3.63</v>
      </c>
      <c r="T785">
        <v>138415</v>
      </c>
      <c r="U785">
        <v>3.53</v>
      </c>
      <c r="V785">
        <v>3.61</v>
      </c>
      <c r="W785" t="s">
        <v>120</v>
      </c>
      <c r="X785" t="s">
        <v>416</v>
      </c>
      <c r="Y785" t="s">
        <v>763</v>
      </c>
      <c r="Z785">
        <v>4.71</v>
      </c>
      <c r="AA785">
        <v>3.59</v>
      </c>
      <c r="AB785">
        <v>69865</v>
      </c>
      <c r="AC785">
        <v>68550</v>
      </c>
      <c r="AD785">
        <v>1.02</v>
      </c>
      <c r="AE785">
        <v>2652</v>
      </c>
      <c r="AF785">
        <v>1185</v>
      </c>
      <c r="AG785" t="s">
        <v>120</v>
      </c>
      <c r="AH785">
        <v>0.02</v>
      </c>
      <c r="AI785" t="s">
        <v>120</v>
      </c>
      <c r="AJ785">
        <v>9.16</v>
      </c>
      <c r="AK785" t="s">
        <v>4682</v>
      </c>
      <c r="AL785">
        <v>-0.3</v>
      </c>
      <c r="AM785">
        <v>2368</v>
      </c>
      <c r="AN785">
        <v>58</v>
      </c>
      <c r="AO785">
        <v>5.9999999999999995E-4</v>
      </c>
      <c r="AP785">
        <v>-2</v>
      </c>
      <c r="AQ785">
        <v>-1.9</v>
      </c>
      <c r="AR785">
        <v>-4.07</v>
      </c>
      <c r="AS785">
        <v>20.89</v>
      </c>
      <c r="AT785">
        <v>3.52</v>
      </c>
      <c r="AU785">
        <v>-7.59</v>
      </c>
      <c r="AV785">
        <v>3</v>
      </c>
      <c r="AW785">
        <v>2.87</v>
      </c>
      <c r="AX785">
        <v>52.62</v>
      </c>
      <c r="AY785" t="s">
        <v>120</v>
      </c>
      <c r="AZ785" t="s">
        <v>120</v>
      </c>
      <c r="BA785">
        <v>0.01</v>
      </c>
      <c r="BB785" t="s">
        <v>184</v>
      </c>
      <c r="BF785">
        <v>-0.63</v>
      </c>
      <c r="BG785">
        <v>-2.75</v>
      </c>
      <c r="BH785">
        <v>-4.08</v>
      </c>
      <c r="BI785">
        <v>0.56999999999999995</v>
      </c>
      <c r="BJ785">
        <v>20210831</v>
      </c>
      <c r="BK785">
        <v>20100323</v>
      </c>
      <c r="BL785">
        <v>9.16</v>
      </c>
      <c r="BM785" t="s">
        <v>120</v>
      </c>
      <c r="BN785" t="s">
        <v>120</v>
      </c>
      <c r="BO785">
        <v>46.45</v>
      </c>
      <c r="BP785">
        <v>3.52</v>
      </c>
      <c r="BQ785">
        <v>21.71</v>
      </c>
      <c r="BR785">
        <v>-0.02</v>
      </c>
      <c r="BS785">
        <v>53.32</v>
      </c>
      <c r="BT785">
        <v>21.78</v>
      </c>
      <c r="BU785">
        <v>1.05</v>
      </c>
      <c r="BV785">
        <v>2.13</v>
      </c>
      <c r="BW785">
        <v>14.93</v>
      </c>
      <c r="BX785">
        <v>5.05</v>
      </c>
      <c r="BY785">
        <v>2.16</v>
      </c>
      <c r="BZ785">
        <v>9.6199999999999992</v>
      </c>
      <c r="CA785" t="s">
        <v>120</v>
      </c>
      <c r="CB785">
        <v>36.42</v>
      </c>
      <c r="CC785">
        <v>21.83</v>
      </c>
      <c r="CD785">
        <v>20.55</v>
      </c>
      <c r="CE785">
        <v>-0.93</v>
      </c>
      <c r="CF785">
        <v>0.01</v>
      </c>
      <c r="CG785">
        <v>-0.96</v>
      </c>
      <c r="CH785">
        <v>-0.96</v>
      </c>
      <c r="CI785">
        <v>-0.92</v>
      </c>
      <c r="CJ785">
        <v>-0.08</v>
      </c>
      <c r="CK785">
        <v>-0.91</v>
      </c>
      <c r="CL785">
        <v>-24.41</v>
      </c>
      <c r="CM785">
        <v>-0.72</v>
      </c>
      <c r="CN785">
        <v>-2.95</v>
      </c>
      <c r="CO785">
        <v>21281</v>
      </c>
      <c r="CP785">
        <v>22659</v>
      </c>
      <c r="CQ785" t="s">
        <v>4683</v>
      </c>
      <c r="CR785">
        <v>-298.93</v>
      </c>
      <c r="CS785">
        <v>30.53</v>
      </c>
      <c r="CT785">
        <v>1.49</v>
      </c>
      <c r="CU785">
        <v>-45.19</v>
      </c>
      <c r="CV785">
        <v>1.48</v>
      </c>
      <c r="CW785">
        <v>0</v>
      </c>
      <c r="CX785" t="s">
        <v>4684</v>
      </c>
      <c r="CY785">
        <v>2.37</v>
      </c>
      <c r="CZ785">
        <v>0</v>
      </c>
      <c r="DA785">
        <v>3.97</v>
      </c>
      <c r="DB785">
        <v>-2.66</v>
      </c>
      <c r="DC785">
        <v>-0.08</v>
      </c>
      <c r="DD785">
        <v>46.73</v>
      </c>
      <c r="DE785" t="s">
        <v>4685</v>
      </c>
      <c r="DF785">
        <v>5.89</v>
      </c>
      <c r="DG785">
        <v>-4.2699999999999996</v>
      </c>
      <c r="DH785">
        <v>-4.2</v>
      </c>
      <c r="DI785">
        <v>0.47</v>
      </c>
      <c r="DJ785">
        <v>6815</v>
      </c>
      <c r="DK785">
        <v>2377</v>
      </c>
      <c r="DL785" t="s">
        <v>120</v>
      </c>
      <c r="DM785" t="s">
        <v>120</v>
      </c>
      <c r="DN785" t="s">
        <v>120</v>
      </c>
    </row>
    <row r="786" spans="1:118">
      <c r="A786" t="str">
        <f>"002378"</f>
        <v>002378</v>
      </c>
      <c r="B786" t="s">
        <v>4686</v>
      </c>
      <c r="C786">
        <v>-4.76</v>
      </c>
      <c r="D786">
        <v>-0.08</v>
      </c>
      <c r="E786">
        <v>-0.18</v>
      </c>
      <c r="F786">
        <v>6097</v>
      </c>
      <c r="G786" t="s">
        <v>4687</v>
      </c>
      <c r="H786">
        <v>36637.360000000001</v>
      </c>
      <c r="I786">
        <v>131.99</v>
      </c>
      <c r="J786" t="s">
        <v>120</v>
      </c>
      <c r="K786" t="s">
        <v>4688</v>
      </c>
      <c r="L786">
        <v>3.59</v>
      </c>
      <c r="M786">
        <v>10.81</v>
      </c>
      <c r="N786">
        <v>0.63</v>
      </c>
      <c r="O786">
        <v>1.5</v>
      </c>
      <c r="P786">
        <v>11.52</v>
      </c>
      <c r="Q786">
        <v>-4.8499999999999996</v>
      </c>
      <c r="R786">
        <v>10.8</v>
      </c>
      <c r="S786">
        <v>11.33</v>
      </c>
      <c r="T786">
        <v>328407</v>
      </c>
      <c r="U786">
        <v>10.82</v>
      </c>
      <c r="V786">
        <v>11.35</v>
      </c>
      <c r="W786">
        <v>134.15</v>
      </c>
      <c r="X786" t="s">
        <v>1390</v>
      </c>
      <c r="Y786" t="s">
        <v>676</v>
      </c>
      <c r="Z786">
        <v>6.34</v>
      </c>
      <c r="AA786">
        <v>11.16</v>
      </c>
      <c r="AB786">
        <v>183688</v>
      </c>
      <c r="AC786">
        <v>144719</v>
      </c>
      <c r="AD786">
        <v>1.27</v>
      </c>
      <c r="AE786">
        <v>889</v>
      </c>
      <c r="AF786">
        <v>1435</v>
      </c>
      <c r="AG786" t="s">
        <v>120</v>
      </c>
      <c r="AH786">
        <v>0.04</v>
      </c>
      <c r="AI786" t="s">
        <v>120</v>
      </c>
      <c r="AJ786">
        <v>9.15</v>
      </c>
      <c r="AK786" t="s">
        <v>4689</v>
      </c>
      <c r="AL786">
        <v>-2.84</v>
      </c>
      <c r="AM786">
        <v>4241</v>
      </c>
      <c r="AN786">
        <v>77</v>
      </c>
      <c r="AO786">
        <v>8.0000000000000004E-4</v>
      </c>
      <c r="AP786">
        <v>-1</v>
      </c>
      <c r="AQ786">
        <v>0.35</v>
      </c>
      <c r="AR786">
        <v>-12.83</v>
      </c>
      <c r="AS786">
        <v>5.78</v>
      </c>
      <c r="AT786">
        <v>13.43</v>
      </c>
      <c r="AU786">
        <v>86.38</v>
      </c>
      <c r="AV786">
        <v>17</v>
      </c>
      <c r="AW786">
        <v>10.210000000000001</v>
      </c>
      <c r="AX786">
        <v>34.82</v>
      </c>
      <c r="AY786">
        <v>77.11</v>
      </c>
      <c r="AZ786">
        <v>282.14999999999998</v>
      </c>
      <c r="BA786">
        <v>1.1100000000000001</v>
      </c>
      <c r="BB786" t="s">
        <v>143</v>
      </c>
      <c r="BF786">
        <v>-1.71</v>
      </c>
      <c r="BG786">
        <v>-4.59</v>
      </c>
      <c r="BH786">
        <v>-6.16</v>
      </c>
      <c r="BI786">
        <v>0.09</v>
      </c>
      <c r="BJ786">
        <v>20210902</v>
      </c>
      <c r="BK786">
        <v>20100331</v>
      </c>
      <c r="BL786">
        <v>9.24</v>
      </c>
      <c r="BM786" t="s">
        <v>120</v>
      </c>
      <c r="BN786" t="s">
        <v>120</v>
      </c>
      <c r="BO786">
        <v>43.84</v>
      </c>
      <c r="BP786">
        <v>10.81</v>
      </c>
      <c r="BQ786">
        <v>17.329999999999998</v>
      </c>
      <c r="BR786">
        <v>7.0000000000000007E-2</v>
      </c>
      <c r="BS786">
        <v>60.31</v>
      </c>
      <c r="BT786">
        <v>22.64</v>
      </c>
      <c r="BU786">
        <v>11.83</v>
      </c>
      <c r="BV786">
        <v>4.83</v>
      </c>
      <c r="BW786">
        <v>19.649999999999999</v>
      </c>
      <c r="BX786">
        <v>5.8</v>
      </c>
      <c r="BY786">
        <v>10.92</v>
      </c>
      <c r="BZ786">
        <v>3.82</v>
      </c>
      <c r="CA786" t="s">
        <v>120</v>
      </c>
      <c r="CB786">
        <v>5.86</v>
      </c>
      <c r="CC786">
        <v>12.55</v>
      </c>
      <c r="CD786">
        <v>10.86</v>
      </c>
      <c r="CE786">
        <v>0.35</v>
      </c>
      <c r="CF786">
        <v>0.04</v>
      </c>
      <c r="CG786">
        <v>0.35</v>
      </c>
      <c r="CH786">
        <v>0.38</v>
      </c>
      <c r="CI786">
        <v>0.37</v>
      </c>
      <c r="CJ786">
        <v>-0.54</v>
      </c>
      <c r="CK786">
        <v>0.23</v>
      </c>
      <c r="CL786">
        <v>0.42</v>
      </c>
      <c r="CM786">
        <v>-0.67</v>
      </c>
      <c r="CN786">
        <v>-0.94</v>
      </c>
      <c r="CO786">
        <v>63472</v>
      </c>
      <c r="CP786">
        <v>5070</v>
      </c>
      <c r="CQ786" t="s">
        <v>4690</v>
      </c>
      <c r="CR786">
        <v>160.44</v>
      </c>
      <c r="CS786">
        <v>55.25</v>
      </c>
      <c r="CT786">
        <v>5.77</v>
      </c>
      <c r="CU786">
        <v>-149.02000000000001</v>
      </c>
      <c r="CV786">
        <v>7.96</v>
      </c>
      <c r="CW786">
        <v>0</v>
      </c>
      <c r="CX786" t="s">
        <v>145</v>
      </c>
      <c r="CY786">
        <v>1.87</v>
      </c>
      <c r="CZ786">
        <v>0</v>
      </c>
      <c r="DA786">
        <v>0.63</v>
      </c>
      <c r="DB786">
        <v>0.05</v>
      </c>
      <c r="DC786">
        <v>-7.0000000000000007E-2</v>
      </c>
      <c r="DD786">
        <v>39.520000000000003</v>
      </c>
      <c r="DE786" t="s">
        <v>4691</v>
      </c>
      <c r="DF786">
        <v>13.47</v>
      </c>
      <c r="DG786">
        <v>2.83</v>
      </c>
      <c r="DH786">
        <v>2.97</v>
      </c>
      <c r="DI786">
        <v>0.15</v>
      </c>
      <c r="DJ786">
        <v>3442</v>
      </c>
      <c r="DK786">
        <v>2378</v>
      </c>
      <c r="DL786" t="s">
        <v>120</v>
      </c>
      <c r="DM786" t="s">
        <v>120</v>
      </c>
      <c r="DN786" t="s">
        <v>120</v>
      </c>
    </row>
    <row r="787" spans="1:118">
      <c r="A787" t="str">
        <f>"002379"</f>
        <v>002379</v>
      </c>
      <c r="B787" t="s">
        <v>4692</v>
      </c>
      <c r="C787">
        <v>-4.17</v>
      </c>
      <c r="D787">
        <v>0</v>
      </c>
      <c r="E787">
        <v>0.49</v>
      </c>
      <c r="F787">
        <v>1263</v>
      </c>
      <c r="G787" t="s">
        <v>4693</v>
      </c>
      <c r="H787">
        <v>11038.17</v>
      </c>
      <c r="I787">
        <v>21.77</v>
      </c>
      <c r="J787" t="s">
        <v>120</v>
      </c>
      <c r="K787" t="s">
        <v>4694</v>
      </c>
      <c r="L787">
        <v>2.98</v>
      </c>
      <c r="M787">
        <v>3.91</v>
      </c>
      <c r="N787">
        <v>1.22</v>
      </c>
      <c r="O787">
        <v>1.72</v>
      </c>
      <c r="P787">
        <v>4.1500000000000004</v>
      </c>
      <c r="Q787">
        <v>-4.66</v>
      </c>
      <c r="R787">
        <v>3.89</v>
      </c>
      <c r="S787">
        <v>4.0999999999999996</v>
      </c>
      <c r="T787">
        <v>275855</v>
      </c>
      <c r="U787">
        <v>3.92</v>
      </c>
      <c r="V787">
        <v>4.08</v>
      </c>
      <c r="W787" t="s">
        <v>120</v>
      </c>
      <c r="X787" t="s">
        <v>1325</v>
      </c>
      <c r="Y787" t="s">
        <v>638</v>
      </c>
      <c r="Z787">
        <v>6.37</v>
      </c>
      <c r="AA787">
        <v>4</v>
      </c>
      <c r="AB787">
        <v>151123</v>
      </c>
      <c r="AC787">
        <v>124732</v>
      </c>
      <c r="AD787">
        <v>1.21</v>
      </c>
      <c r="AE787">
        <v>16</v>
      </c>
      <c r="AF787">
        <v>244</v>
      </c>
      <c r="AG787" t="s">
        <v>120</v>
      </c>
      <c r="AH787">
        <v>0.01</v>
      </c>
      <c r="AI787" t="s">
        <v>120</v>
      </c>
      <c r="AJ787">
        <v>9.26</v>
      </c>
      <c r="AK787" t="s">
        <v>4694</v>
      </c>
      <c r="AL787">
        <v>-2.25</v>
      </c>
      <c r="AM787">
        <v>2591</v>
      </c>
      <c r="AN787">
        <v>106</v>
      </c>
      <c r="AO787">
        <v>1.1000000000000001E-3</v>
      </c>
      <c r="AP787">
        <v>-1</v>
      </c>
      <c r="AQ787">
        <v>0.49</v>
      </c>
      <c r="AR787">
        <v>-6.9</v>
      </c>
      <c r="AS787">
        <v>11.71</v>
      </c>
      <c r="AT787">
        <v>21.8</v>
      </c>
      <c r="AU787">
        <v>36.72</v>
      </c>
      <c r="AV787">
        <v>10</v>
      </c>
      <c r="AW787">
        <v>4.1500000000000004</v>
      </c>
      <c r="AX787">
        <v>71.819999999999993</v>
      </c>
      <c r="AY787" t="s">
        <v>120</v>
      </c>
      <c r="AZ787" t="s">
        <v>120</v>
      </c>
      <c r="BA787">
        <v>0.48</v>
      </c>
      <c r="BB787" t="s">
        <v>125</v>
      </c>
      <c r="BF787">
        <v>-1.93</v>
      </c>
      <c r="BG787">
        <v>-4.63</v>
      </c>
      <c r="BH787">
        <v>-5.78</v>
      </c>
      <c r="BI787">
        <v>0.51</v>
      </c>
      <c r="BJ787">
        <v>20210912</v>
      </c>
      <c r="BK787">
        <v>20100331</v>
      </c>
      <c r="BL787">
        <v>9.26</v>
      </c>
      <c r="BM787" t="s">
        <v>120</v>
      </c>
      <c r="BN787" t="s">
        <v>120</v>
      </c>
      <c r="BO787">
        <v>25.34</v>
      </c>
      <c r="BP787">
        <v>3.91</v>
      </c>
      <c r="BQ787">
        <v>13.79</v>
      </c>
      <c r="BR787" t="s">
        <v>120</v>
      </c>
      <c r="BS787">
        <v>45.58</v>
      </c>
      <c r="BT787">
        <v>12.94</v>
      </c>
      <c r="BU787">
        <v>9.08</v>
      </c>
      <c r="BV787">
        <v>0.87</v>
      </c>
      <c r="BW787">
        <v>11.03</v>
      </c>
      <c r="BX787">
        <v>2.57</v>
      </c>
      <c r="BY787">
        <v>4.63</v>
      </c>
      <c r="BZ787">
        <v>1.69</v>
      </c>
      <c r="CA787" t="s">
        <v>120</v>
      </c>
      <c r="CB787">
        <v>5.68</v>
      </c>
      <c r="CC787">
        <v>14.69</v>
      </c>
      <c r="CD787">
        <v>14.26</v>
      </c>
      <c r="CE787">
        <v>-0.35</v>
      </c>
      <c r="CF787">
        <v>0.01</v>
      </c>
      <c r="CG787">
        <v>-0.35</v>
      </c>
      <c r="CH787">
        <v>-0.41</v>
      </c>
      <c r="CI787">
        <v>-0.41</v>
      </c>
      <c r="CJ787">
        <v>-0.17</v>
      </c>
      <c r="CK787">
        <v>-0.45</v>
      </c>
      <c r="CL787">
        <v>-1.39</v>
      </c>
      <c r="CM787">
        <v>-0.78</v>
      </c>
      <c r="CN787">
        <v>1.0900000000000001</v>
      </c>
      <c r="CO787">
        <v>35952</v>
      </c>
      <c r="CP787">
        <v>18505</v>
      </c>
      <c r="CQ787" t="s">
        <v>4695</v>
      </c>
      <c r="CR787">
        <v>47.48</v>
      </c>
      <c r="CS787">
        <v>33.99</v>
      </c>
      <c r="CT787">
        <v>2.63</v>
      </c>
      <c r="CU787">
        <v>-46.64</v>
      </c>
      <c r="CV787">
        <v>2.4700000000000002</v>
      </c>
      <c r="CW787">
        <v>0</v>
      </c>
      <c r="CX787" t="s">
        <v>4696</v>
      </c>
      <c r="CY787">
        <v>1.49</v>
      </c>
      <c r="CZ787">
        <v>0</v>
      </c>
      <c r="DA787">
        <v>0.61</v>
      </c>
      <c r="DB787">
        <v>-0.15</v>
      </c>
      <c r="DC787">
        <v>-0.08</v>
      </c>
      <c r="DD787">
        <v>54.42</v>
      </c>
      <c r="DE787" t="s">
        <v>4697</v>
      </c>
      <c r="DF787">
        <v>2.94</v>
      </c>
      <c r="DG787">
        <v>-2.42</v>
      </c>
      <c r="DH787">
        <v>-2.76</v>
      </c>
      <c r="DI787">
        <v>0.34</v>
      </c>
      <c r="DJ787">
        <v>1796</v>
      </c>
      <c r="DK787">
        <v>2379</v>
      </c>
      <c r="DL787" t="s">
        <v>120</v>
      </c>
      <c r="DM787" t="s">
        <v>120</v>
      </c>
      <c r="DN787" t="s">
        <v>120</v>
      </c>
    </row>
    <row r="788" spans="1:118">
      <c r="A788" t="str">
        <f>"002380"</f>
        <v>002380</v>
      </c>
      <c r="B788" t="s">
        <v>4698</v>
      </c>
      <c r="C788">
        <v>-0.53</v>
      </c>
      <c r="D788">
        <v>1</v>
      </c>
      <c r="E788">
        <v>0.08</v>
      </c>
      <c r="F788">
        <v>1407</v>
      </c>
      <c r="G788" t="s">
        <v>4699</v>
      </c>
      <c r="H788">
        <v>2504.31</v>
      </c>
      <c r="I788">
        <v>2.65</v>
      </c>
      <c r="J788" t="s">
        <v>120</v>
      </c>
      <c r="K788" t="s">
        <v>1607</v>
      </c>
      <c r="L788">
        <v>1.34</v>
      </c>
      <c r="M788">
        <v>13.18</v>
      </c>
      <c r="N788">
        <v>1.1299999999999999</v>
      </c>
      <c r="O788">
        <v>0.98</v>
      </c>
      <c r="P788">
        <v>13.38</v>
      </c>
      <c r="Q788">
        <v>-1.89</v>
      </c>
      <c r="R788">
        <v>13</v>
      </c>
      <c r="S788">
        <v>13.26</v>
      </c>
      <c r="T788">
        <v>18965</v>
      </c>
      <c r="U788">
        <v>13.19</v>
      </c>
      <c r="V788">
        <v>13.25</v>
      </c>
      <c r="W788">
        <v>43.36</v>
      </c>
      <c r="X788" t="s">
        <v>394</v>
      </c>
      <c r="Y788" t="s">
        <v>319</v>
      </c>
      <c r="Z788">
        <v>2.87</v>
      </c>
      <c r="AA788">
        <v>13.2</v>
      </c>
      <c r="AB788">
        <v>12123</v>
      </c>
      <c r="AC788">
        <v>6842</v>
      </c>
      <c r="AD788">
        <v>1.77</v>
      </c>
      <c r="AE788">
        <v>4555</v>
      </c>
      <c r="AF788">
        <v>35</v>
      </c>
      <c r="AG788" t="s">
        <v>120</v>
      </c>
      <c r="AH788">
        <v>0</v>
      </c>
      <c r="AI788" t="s">
        <v>120</v>
      </c>
      <c r="AJ788">
        <v>1.42</v>
      </c>
      <c r="AK788" t="s">
        <v>4700</v>
      </c>
      <c r="AL788">
        <v>1.39</v>
      </c>
      <c r="AM788">
        <v>960</v>
      </c>
      <c r="AN788">
        <v>20</v>
      </c>
      <c r="AO788">
        <v>1.4E-3</v>
      </c>
      <c r="AP788">
        <v>-1</v>
      </c>
      <c r="AQ788">
        <v>0.91</v>
      </c>
      <c r="AR788">
        <v>-1.57</v>
      </c>
      <c r="AS788">
        <v>4.03</v>
      </c>
      <c r="AT788">
        <v>1.1499999999999999</v>
      </c>
      <c r="AU788">
        <v>-5.52</v>
      </c>
      <c r="AV788">
        <v>1</v>
      </c>
      <c r="AW788">
        <v>1.74</v>
      </c>
      <c r="AX788">
        <v>45.37</v>
      </c>
      <c r="AY788">
        <v>32.57</v>
      </c>
      <c r="AZ788">
        <v>24.49</v>
      </c>
      <c r="BA788">
        <v>0.85</v>
      </c>
      <c r="BB788" t="s">
        <v>143</v>
      </c>
      <c r="BF788">
        <v>-0.34</v>
      </c>
      <c r="BG788">
        <v>-0.6</v>
      </c>
      <c r="BH788">
        <v>-1.49</v>
      </c>
      <c r="BI788">
        <v>1.38</v>
      </c>
      <c r="BJ788">
        <v>20210811</v>
      </c>
      <c r="BK788">
        <v>20100331</v>
      </c>
      <c r="BL788">
        <v>2.4</v>
      </c>
      <c r="BM788" t="s">
        <v>120</v>
      </c>
      <c r="BN788" t="s">
        <v>120</v>
      </c>
      <c r="BO788">
        <v>30.67</v>
      </c>
      <c r="BP788">
        <v>13.18</v>
      </c>
      <c r="BQ788">
        <v>21.69</v>
      </c>
      <c r="BR788">
        <v>0.48</v>
      </c>
      <c r="BS788">
        <v>27.7</v>
      </c>
      <c r="BT788">
        <v>18.45</v>
      </c>
      <c r="BU788">
        <v>6.88</v>
      </c>
      <c r="BV788">
        <v>0.8</v>
      </c>
      <c r="BW788">
        <v>8.35</v>
      </c>
      <c r="BX788">
        <v>5.59</v>
      </c>
      <c r="BY788">
        <v>4.58</v>
      </c>
      <c r="BZ788">
        <v>5.32</v>
      </c>
      <c r="CA788" t="s">
        <v>120</v>
      </c>
      <c r="CB788">
        <v>13.75</v>
      </c>
      <c r="CC788">
        <v>4.4800000000000004</v>
      </c>
      <c r="CD788">
        <v>2.94</v>
      </c>
      <c r="CE788">
        <v>0.4</v>
      </c>
      <c r="CF788">
        <v>0.01</v>
      </c>
      <c r="CG788">
        <v>0.41</v>
      </c>
      <c r="CH788">
        <v>0.4</v>
      </c>
      <c r="CI788">
        <v>0.36</v>
      </c>
      <c r="CJ788">
        <v>-7.0000000000000007E-2</v>
      </c>
      <c r="CK788">
        <v>0.28999999999999998</v>
      </c>
      <c r="CL788">
        <v>5.3</v>
      </c>
      <c r="CM788">
        <v>-0.8</v>
      </c>
      <c r="CN788">
        <v>-2.35</v>
      </c>
      <c r="CO788">
        <v>19093</v>
      </c>
      <c r="CP788">
        <v>5703</v>
      </c>
      <c r="CQ788" t="s">
        <v>1015</v>
      </c>
      <c r="CR788">
        <v>-46.88</v>
      </c>
      <c r="CS788">
        <v>19.96</v>
      </c>
      <c r="CT788">
        <v>1.46</v>
      </c>
      <c r="CU788">
        <v>-39.590000000000003</v>
      </c>
      <c r="CV788">
        <v>7.06</v>
      </c>
      <c r="CW788">
        <v>2.2200000000000002</v>
      </c>
      <c r="CX788" t="s">
        <v>373</v>
      </c>
      <c r="CY788">
        <v>9.0399999999999991</v>
      </c>
      <c r="CZ788">
        <v>0</v>
      </c>
      <c r="DA788">
        <v>5.73</v>
      </c>
      <c r="DB788">
        <v>2.21</v>
      </c>
      <c r="DC788">
        <v>-0.33</v>
      </c>
      <c r="DD788">
        <v>70.73</v>
      </c>
      <c r="DE788" t="s">
        <v>1249</v>
      </c>
      <c r="DF788">
        <v>34.450000000000003</v>
      </c>
      <c r="DG788">
        <v>9.0299999999999994</v>
      </c>
      <c r="DH788">
        <v>8.14</v>
      </c>
      <c r="DI788">
        <v>0.36</v>
      </c>
      <c r="DJ788">
        <v>1542</v>
      </c>
      <c r="DK788">
        <v>2380</v>
      </c>
      <c r="DL788" t="s">
        <v>120</v>
      </c>
      <c r="DM788" t="s">
        <v>120</v>
      </c>
      <c r="DN788" t="s">
        <v>120</v>
      </c>
    </row>
    <row r="789" spans="1:118">
      <c r="A789" t="str">
        <f>"002381"</f>
        <v>002381</v>
      </c>
      <c r="B789" t="s">
        <v>4701</v>
      </c>
      <c r="C789">
        <v>-1.1399999999999999</v>
      </c>
      <c r="D789">
        <v>0.13</v>
      </c>
      <c r="E789">
        <v>0.25</v>
      </c>
      <c r="F789">
        <v>215</v>
      </c>
      <c r="G789" t="s">
        <v>2320</v>
      </c>
      <c r="H789">
        <v>3458.89</v>
      </c>
      <c r="I789">
        <v>2.13</v>
      </c>
      <c r="J789" t="s">
        <v>120</v>
      </c>
      <c r="K789" t="s">
        <v>4702</v>
      </c>
      <c r="L789">
        <v>1.37</v>
      </c>
      <c r="M789">
        <v>7.78</v>
      </c>
      <c r="N789">
        <v>1.1399999999999999</v>
      </c>
      <c r="O789">
        <v>1.27</v>
      </c>
      <c r="P789">
        <v>7.97</v>
      </c>
      <c r="Q789">
        <v>-1.4</v>
      </c>
      <c r="R789">
        <v>7.76</v>
      </c>
      <c r="S789">
        <v>7.89</v>
      </c>
      <c r="T789">
        <v>43964</v>
      </c>
      <c r="U789">
        <v>7.78</v>
      </c>
      <c r="V789">
        <v>7.87</v>
      </c>
      <c r="W789">
        <v>17.2</v>
      </c>
      <c r="X789" t="s">
        <v>2306</v>
      </c>
      <c r="Y789" t="s">
        <v>585</v>
      </c>
      <c r="Z789">
        <v>2.67</v>
      </c>
      <c r="AA789">
        <v>7.87</v>
      </c>
      <c r="AB789">
        <v>23667</v>
      </c>
      <c r="AC789">
        <v>20297</v>
      </c>
      <c r="AD789">
        <v>1.17</v>
      </c>
      <c r="AE789">
        <v>587</v>
      </c>
      <c r="AF789">
        <v>570</v>
      </c>
      <c r="AG789" t="s">
        <v>120</v>
      </c>
      <c r="AH789">
        <v>0</v>
      </c>
      <c r="AI789" t="s">
        <v>120</v>
      </c>
      <c r="AJ789">
        <v>3.22</v>
      </c>
      <c r="AK789" t="s">
        <v>4703</v>
      </c>
      <c r="AL789">
        <v>0.77</v>
      </c>
      <c r="AM789">
        <v>1199</v>
      </c>
      <c r="AN789">
        <v>37</v>
      </c>
      <c r="AO789">
        <v>1.1000000000000001E-3</v>
      </c>
      <c r="AP789">
        <v>-3</v>
      </c>
      <c r="AQ789">
        <v>-0.88</v>
      </c>
      <c r="AR789">
        <v>-3.47</v>
      </c>
      <c r="AS789">
        <v>-3.71</v>
      </c>
      <c r="AT789">
        <v>-5.01</v>
      </c>
      <c r="AU789">
        <v>-0.64</v>
      </c>
      <c r="AV789">
        <v>0</v>
      </c>
      <c r="AW789">
        <v>1.81</v>
      </c>
      <c r="AX789">
        <v>59.07</v>
      </c>
      <c r="AY789">
        <v>12.35</v>
      </c>
      <c r="AZ789">
        <v>10.27</v>
      </c>
      <c r="BA789">
        <v>0.34</v>
      </c>
      <c r="BB789" t="s">
        <v>143</v>
      </c>
      <c r="BF789">
        <v>-0.03</v>
      </c>
      <c r="BG789">
        <v>-1.39</v>
      </c>
      <c r="BH789">
        <v>-2.38</v>
      </c>
      <c r="BI789">
        <v>0.26</v>
      </c>
      <c r="BJ789">
        <v>20210830</v>
      </c>
      <c r="BK789">
        <v>20100402</v>
      </c>
      <c r="BL789">
        <v>4.12</v>
      </c>
      <c r="BM789" t="s">
        <v>120</v>
      </c>
      <c r="BN789" t="s">
        <v>120</v>
      </c>
      <c r="BO789">
        <v>26.44</v>
      </c>
      <c r="BP789">
        <v>7.77</v>
      </c>
      <c r="BQ789">
        <v>18.54</v>
      </c>
      <c r="BR789">
        <v>0.09</v>
      </c>
      <c r="BS789">
        <v>29.52</v>
      </c>
      <c r="BT789">
        <v>17.87</v>
      </c>
      <c r="BU789">
        <v>4.71</v>
      </c>
      <c r="BV789">
        <v>0.67</v>
      </c>
      <c r="BW789">
        <v>7.32</v>
      </c>
      <c r="BX789">
        <v>5.83</v>
      </c>
      <c r="BY789">
        <v>4.5599999999999996</v>
      </c>
      <c r="BZ789">
        <v>4.43</v>
      </c>
      <c r="CA789" t="s">
        <v>120</v>
      </c>
      <c r="CB789">
        <v>5.68</v>
      </c>
      <c r="CC789">
        <v>8.41</v>
      </c>
      <c r="CD789">
        <v>6.4</v>
      </c>
      <c r="CE789">
        <v>1.1499999999999999</v>
      </c>
      <c r="CF789">
        <v>0.1</v>
      </c>
      <c r="CG789">
        <v>1.1499999999999999</v>
      </c>
      <c r="CH789">
        <v>0.93</v>
      </c>
      <c r="CI789">
        <v>0.93</v>
      </c>
      <c r="CJ789">
        <v>-0.09</v>
      </c>
      <c r="CK789">
        <v>0.82</v>
      </c>
      <c r="CL789">
        <v>7.11</v>
      </c>
      <c r="CM789">
        <v>0.65</v>
      </c>
      <c r="CN789">
        <v>-1.32</v>
      </c>
      <c r="CO789">
        <v>29564</v>
      </c>
      <c r="CP789">
        <v>8223</v>
      </c>
      <c r="CQ789" t="s">
        <v>572</v>
      </c>
      <c r="CR789">
        <v>-36.299999999999997</v>
      </c>
      <c r="CS789">
        <v>3.37</v>
      </c>
      <c r="CT789">
        <v>1.73</v>
      </c>
      <c r="CU789">
        <v>49.04</v>
      </c>
      <c r="CV789">
        <v>3.81</v>
      </c>
      <c r="CW789">
        <v>6.35</v>
      </c>
      <c r="CX789" t="s">
        <v>694</v>
      </c>
      <c r="CY789">
        <v>4.51</v>
      </c>
      <c r="CZ789">
        <v>0</v>
      </c>
      <c r="DA789">
        <v>1.38</v>
      </c>
      <c r="DB789">
        <v>1.73</v>
      </c>
      <c r="DC789">
        <v>0.16</v>
      </c>
      <c r="DD789">
        <v>70.13</v>
      </c>
      <c r="DE789" t="s">
        <v>4704</v>
      </c>
      <c r="DF789">
        <v>23.91</v>
      </c>
      <c r="DG789">
        <v>13.67</v>
      </c>
      <c r="DH789">
        <v>11.07</v>
      </c>
      <c r="DI789">
        <v>0.28999999999999998</v>
      </c>
      <c r="DJ789">
        <v>1648</v>
      </c>
      <c r="DK789">
        <v>2381</v>
      </c>
      <c r="DL789" t="s">
        <v>120</v>
      </c>
      <c r="DM789" t="s">
        <v>120</v>
      </c>
      <c r="DN789" t="s">
        <v>120</v>
      </c>
    </row>
    <row r="790" spans="1:118">
      <c r="A790" t="str">
        <f>"002382"</f>
        <v>002382</v>
      </c>
      <c r="B790" t="s">
        <v>4705</v>
      </c>
      <c r="C790">
        <v>-1.85</v>
      </c>
      <c r="D790">
        <v>-0.15</v>
      </c>
      <c r="E790">
        <v>-0.31</v>
      </c>
      <c r="F790">
        <v>3523</v>
      </c>
      <c r="G790" t="s">
        <v>1337</v>
      </c>
      <c r="H790">
        <v>34560.83</v>
      </c>
      <c r="I790">
        <v>136.16</v>
      </c>
      <c r="J790" t="s">
        <v>120</v>
      </c>
      <c r="K790" t="s">
        <v>4706</v>
      </c>
      <c r="L790">
        <v>1.79</v>
      </c>
      <c r="M790">
        <v>19.07</v>
      </c>
      <c r="N790">
        <v>0.99</v>
      </c>
      <c r="O790">
        <v>0</v>
      </c>
      <c r="P790">
        <v>19.43</v>
      </c>
      <c r="Q790">
        <v>-1.85</v>
      </c>
      <c r="R790">
        <v>19.07</v>
      </c>
      <c r="S790">
        <v>19.37</v>
      </c>
      <c r="T790">
        <v>179750</v>
      </c>
      <c r="U790">
        <v>19.079999999999998</v>
      </c>
      <c r="V790">
        <v>19.43</v>
      </c>
      <c r="W790">
        <v>2.79</v>
      </c>
      <c r="X790" t="s">
        <v>555</v>
      </c>
      <c r="Y790" t="s">
        <v>638</v>
      </c>
      <c r="Z790">
        <v>1.85</v>
      </c>
      <c r="AA790">
        <v>19.23</v>
      </c>
      <c r="AB790">
        <v>110838</v>
      </c>
      <c r="AC790">
        <v>68912</v>
      </c>
      <c r="AD790">
        <v>1.61</v>
      </c>
      <c r="AE790">
        <v>1234</v>
      </c>
      <c r="AF790">
        <v>13</v>
      </c>
      <c r="AG790" t="s">
        <v>120</v>
      </c>
      <c r="AH790">
        <v>0.01</v>
      </c>
      <c r="AI790" t="s">
        <v>120</v>
      </c>
      <c r="AJ790">
        <v>10.02</v>
      </c>
      <c r="AK790" t="s">
        <v>4707</v>
      </c>
      <c r="AL790">
        <v>0.06</v>
      </c>
      <c r="AM790">
        <v>3701</v>
      </c>
      <c r="AN790">
        <v>49</v>
      </c>
      <c r="AO790">
        <v>5.0000000000000001E-4</v>
      </c>
      <c r="AP790">
        <v>-2</v>
      </c>
      <c r="AQ790">
        <v>-1.72</v>
      </c>
      <c r="AR790">
        <v>-2.9</v>
      </c>
      <c r="AS790">
        <v>-6.2</v>
      </c>
      <c r="AT790">
        <v>-5.03</v>
      </c>
      <c r="AU790">
        <v>-7.83</v>
      </c>
      <c r="AV790">
        <v>4</v>
      </c>
      <c r="AW790">
        <v>2.92</v>
      </c>
      <c r="AX790">
        <v>61.11</v>
      </c>
      <c r="AY790">
        <v>4.2699999999999996</v>
      </c>
      <c r="AZ790">
        <v>11.12</v>
      </c>
      <c r="BA790">
        <v>0.26</v>
      </c>
      <c r="BB790" t="s">
        <v>134</v>
      </c>
      <c r="BF790">
        <v>-1.04</v>
      </c>
      <c r="BG790">
        <v>-1.55</v>
      </c>
      <c r="BH790">
        <v>-1.85</v>
      </c>
      <c r="BI790">
        <v>0</v>
      </c>
      <c r="BJ790">
        <v>20210914</v>
      </c>
      <c r="BK790">
        <v>20100402</v>
      </c>
      <c r="BL790">
        <v>10.07</v>
      </c>
      <c r="BM790" t="s">
        <v>120</v>
      </c>
      <c r="BN790" t="s">
        <v>120</v>
      </c>
      <c r="BO790">
        <v>184.26</v>
      </c>
      <c r="BP790">
        <v>19.07</v>
      </c>
      <c r="BQ790">
        <v>129.22999999999999</v>
      </c>
      <c r="BR790">
        <v>0</v>
      </c>
      <c r="BS790">
        <v>29.87</v>
      </c>
      <c r="BT790">
        <v>66.94</v>
      </c>
      <c r="BU790">
        <v>26.81</v>
      </c>
      <c r="BV790">
        <v>9.6300000000000008</v>
      </c>
      <c r="BW790">
        <v>26.43</v>
      </c>
      <c r="BX790">
        <v>36.36</v>
      </c>
      <c r="BY790">
        <v>9.67</v>
      </c>
      <c r="BZ790">
        <v>10.64</v>
      </c>
      <c r="CA790" t="s">
        <v>120</v>
      </c>
      <c r="CB790">
        <v>57.65</v>
      </c>
      <c r="CC790">
        <v>51.88</v>
      </c>
      <c r="CD790">
        <v>20</v>
      </c>
      <c r="CE790">
        <v>36.72</v>
      </c>
      <c r="CF790">
        <v>0.67</v>
      </c>
      <c r="CG790">
        <v>36.619999999999997</v>
      </c>
      <c r="CH790">
        <v>34.42</v>
      </c>
      <c r="CI790">
        <v>34.42</v>
      </c>
      <c r="CJ790">
        <v>-0.36</v>
      </c>
      <c r="CK790">
        <v>23.03</v>
      </c>
      <c r="CL790">
        <v>58.02</v>
      </c>
      <c r="CM790">
        <v>21.26</v>
      </c>
      <c r="CN790">
        <v>-2.06</v>
      </c>
      <c r="CO790">
        <v>105115</v>
      </c>
      <c r="CP790">
        <v>5853</v>
      </c>
      <c r="CQ790" t="s">
        <v>4708</v>
      </c>
      <c r="CR790">
        <v>453.9</v>
      </c>
      <c r="CS790">
        <v>127.11</v>
      </c>
      <c r="CT790">
        <v>1.51</v>
      </c>
      <c r="CU790">
        <v>9.0299999999999994</v>
      </c>
      <c r="CV790">
        <v>3.7</v>
      </c>
      <c r="CW790">
        <v>2.06</v>
      </c>
      <c r="CX790" t="s">
        <v>4709</v>
      </c>
      <c r="CY790">
        <v>12.61</v>
      </c>
      <c r="CZ790">
        <v>12.61</v>
      </c>
      <c r="DA790">
        <v>5.73</v>
      </c>
      <c r="DB790">
        <v>5.76</v>
      </c>
      <c r="DC790">
        <v>2.11</v>
      </c>
      <c r="DD790">
        <v>70.13</v>
      </c>
      <c r="DE790" t="s">
        <v>4710</v>
      </c>
      <c r="DF790">
        <v>61.44</v>
      </c>
      <c r="DG790">
        <v>70.77</v>
      </c>
      <c r="DH790">
        <v>66.34</v>
      </c>
      <c r="DI790">
        <v>2.0699999999999998</v>
      </c>
      <c r="DJ790">
        <v>6177</v>
      </c>
      <c r="DK790">
        <v>2382</v>
      </c>
      <c r="DL790" t="s">
        <v>120</v>
      </c>
      <c r="DM790" t="s">
        <v>120</v>
      </c>
      <c r="DN790" t="s">
        <v>120</v>
      </c>
    </row>
    <row r="791" spans="1:118">
      <c r="A791" t="str">
        <f>"002383"</f>
        <v>002383</v>
      </c>
      <c r="B791" t="s">
        <v>4711</v>
      </c>
      <c r="C791">
        <v>-0.99</v>
      </c>
      <c r="D791">
        <v>-0.13</v>
      </c>
      <c r="E791">
        <v>0.56000000000000005</v>
      </c>
      <c r="F791">
        <v>1307</v>
      </c>
      <c r="G791" t="s">
        <v>4712</v>
      </c>
      <c r="H791">
        <v>5048.1899999999996</v>
      </c>
      <c r="I791">
        <v>10.54</v>
      </c>
      <c r="J791" t="s">
        <v>120</v>
      </c>
      <c r="K791" t="s">
        <v>4713</v>
      </c>
      <c r="L791">
        <v>1.19</v>
      </c>
      <c r="M791">
        <v>7.01</v>
      </c>
      <c r="N791">
        <v>0.76</v>
      </c>
      <c r="O791">
        <v>1.69</v>
      </c>
      <c r="P791">
        <v>7.2</v>
      </c>
      <c r="Q791">
        <v>-0.99</v>
      </c>
      <c r="R791">
        <v>7.01</v>
      </c>
      <c r="S791">
        <v>7.12</v>
      </c>
      <c r="T791">
        <v>71060</v>
      </c>
      <c r="U791">
        <v>7.02</v>
      </c>
      <c r="V791">
        <v>7.08</v>
      </c>
      <c r="W791" t="s">
        <v>120</v>
      </c>
      <c r="X791" t="s">
        <v>462</v>
      </c>
      <c r="Y791" t="s">
        <v>158</v>
      </c>
      <c r="Z791">
        <v>2.68</v>
      </c>
      <c r="AA791">
        <v>7.1</v>
      </c>
      <c r="AB791">
        <v>38838</v>
      </c>
      <c r="AC791">
        <v>32222</v>
      </c>
      <c r="AD791">
        <v>1.21</v>
      </c>
      <c r="AE791">
        <v>773</v>
      </c>
      <c r="AF791">
        <v>258</v>
      </c>
      <c r="AG791" t="s">
        <v>120</v>
      </c>
      <c r="AH791">
        <v>0</v>
      </c>
      <c r="AI791" t="s">
        <v>120</v>
      </c>
      <c r="AJ791">
        <v>5.99</v>
      </c>
      <c r="AK791" t="s">
        <v>4714</v>
      </c>
      <c r="AL791">
        <v>0.92</v>
      </c>
      <c r="AM791">
        <v>1637</v>
      </c>
      <c r="AN791">
        <v>43</v>
      </c>
      <c r="AO791">
        <v>6.9999999999999999E-4</v>
      </c>
      <c r="AP791">
        <v>-1</v>
      </c>
      <c r="AQ791">
        <v>0.56999999999999995</v>
      </c>
      <c r="AR791">
        <v>-2.23</v>
      </c>
      <c r="AS791">
        <v>7.02</v>
      </c>
      <c r="AT791">
        <v>-13.14</v>
      </c>
      <c r="AU791">
        <v>0.14000000000000001</v>
      </c>
      <c r="AV791">
        <v>10</v>
      </c>
      <c r="AW791">
        <v>1.72</v>
      </c>
      <c r="AX791">
        <v>55.49</v>
      </c>
      <c r="AY791" t="s">
        <v>120</v>
      </c>
      <c r="AZ791" t="s">
        <v>120</v>
      </c>
      <c r="BA791">
        <v>0.38</v>
      </c>
      <c r="BB791" t="s">
        <v>143</v>
      </c>
      <c r="BF791">
        <v>0.34</v>
      </c>
      <c r="BG791">
        <v>-1.54</v>
      </c>
      <c r="BH791">
        <v>-2.64</v>
      </c>
      <c r="BI791">
        <v>0</v>
      </c>
      <c r="BJ791">
        <v>20210830</v>
      </c>
      <c r="BK791">
        <v>20100402</v>
      </c>
      <c r="BL791">
        <v>7.44</v>
      </c>
      <c r="BM791" t="s">
        <v>120</v>
      </c>
      <c r="BN791" t="s">
        <v>120</v>
      </c>
      <c r="BO791">
        <v>51.82</v>
      </c>
      <c r="BP791">
        <v>7.01</v>
      </c>
      <c r="BQ791">
        <v>15.67</v>
      </c>
      <c r="BR791">
        <v>0.78</v>
      </c>
      <c r="BS791">
        <v>68.25</v>
      </c>
      <c r="BT791">
        <v>22.3</v>
      </c>
      <c r="BU791">
        <v>4.62</v>
      </c>
      <c r="BV791">
        <v>1.93</v>
      </c>
      <c r="BW791">
        <v>21.32</v>
      </c>
      <c r="BX791">
        <v>4.91</v>
      </c>
      <c r="BY791">
        <v>7.86</v>
      </c>
      <c r="BZ791">
        <v>3.48</v>
      </c>
      <c r="CA791">
        <v>0.03</v>
      </c>
      <c r="CB791">
        <v>24.42</v>
      </c>
      <c r="CC791">
        <v>9.07</v>
      </c>
      <c r="CD791">
        <v>4.6100000000000003</v>
      </c>
      <c r="CE791">
        <v>-1.0900000000000001</v>
      </c>
      <c r="CF791">
        <v>0.23</v>
      </c>
      <c r="CG791">
        <v>-1.0900000000000001</v>
      </c>
      <c r="CH791">
        <v>-1.28</v>
      </c>
      <c r="CI791">
        <v>-1.2</v>
      </c>
      <c r="CJ791">
        <v>-7.0000000000000007E-2</v>
      </c>
      <c r="CK791">
        <v>-1.28</v>
      </c>
      <c r="CL791">
        <v>-16.36</v>
      </c>
      <c r="CM791">
        <v>-1.06</v>
      </c>
      <c r="CN791">
        <v>-1.33</v>
      </c>
      <c r="CO791">
        <v>52165</v>
      </c>
      <c r="CP791">
        <v>7918</v>
      </c>
      <c r="CQ791" t="s">
        <v>3190</v>
      </c>
      <c r="CR791">
        <v>39.049999999999997</v>
      </c>
      <c r="CS791">
        <v>30.96</v>
      </c>
      <c r="CT791">
        <v>3.31</v>
      </c>
      <c r="CU791">
        <v>-49</v>
      </c>
      <c r="CV791">
        <v>5.75</v>
      </c>
      <c r="CW791">
        <v>0</v>
      </c>
      <c r="CX791" t="s">
        <v>893</v>
      </c>
      <c r="CY791">
        <v>2.12</v>
      </c>
      <c r="CZ791">
        <v>2.12</v>
      </c>
      <c r="DA791">
        <v>3.28</v>
      </c>
      <c r="DB791">
        <v>-2.2000000000000002</v>
      </c>
      <c r="DC791">
        <v>-0.14000000000000001</v>
      </c>
      <c r="DD791">
        <v>30.24</v>
      </c>
      <c r="DE791" t="s">
        <v>4715</v>
      </c>
      <c r="DF791">
        <v>49.21</v>
      </c>
      <c r="DG791">
        <v>-12.02</v>
      </c>
      <c r="DH791">
        <v>-13.22</v>
      </c>
      <c r="DI791">
        <v>0.75</v>
      </c>
      <c r="DJ791">
        <v>2581</v>
      </c>
      <c r="DK791">
        <v>2383</v>
      </c>
      <c r="DL791" t="s">
        <v>120</v>
      </c>
      <c r="DM791" t="s">
        <v>120</v>
      </c>
      <c r="DN791" t="s">
        <v>120</v>
      </c>
    </row>
    <row r="792" spans="1:118">
      <c r="A792" t="str">
        <f>"002384"</f>
        <v>002384</v>
      </c>
      <c r="B792" t="s">
        <v>4716</v>
      </c>
      <c r="C792">
        <v>-2.0699999999999998</v>
      </c>
      <c r="D792">
        <v>-0.04</v>
      </c>
      <c r="E792">
        <v>0.19</v>
      </c>
      <c r="F792">
        <v>4677</v>
      </c>
      <c r="G792" t="s">
        <v>4717</v>
      </c>
      <c r="H792">
        <v>43918.77</v>
      </c>
      <c r="I792">
        <v>228.29</v>
      </c>
      <c r="J792" t="s">
        <v>120</v>
      </c>
      <c r="K792" t="s">
        <v>4718</v>
      </c>
      <c r="L792">
        <v>1.53</v>
      </c>
      <c r="M792">
        <v>20.34</v>
      </c>
      <c r="N792">
        <v>0.71</v>
      </c>
      <c r="O792">
        <v>0.91</v>
      </c>
      <c r="P792">
        <v>20.96</v>
      </c>
      <c r="Q792">
        <v>-2.2599999999999998</v>
      </c>
      <c r="R792">
        <v>20.3</v>
      </c>
      <c r="S792">
        <v>20.81</v>
      </c>
      <c r="T792">
        <v>212725</v>
      </c>
      <c r="U792">
        <v>20.350000000000001</v>
      </c>
      <c r="V792">
        <v>20.77</v>
      </c>
      <c r="W792">
        <v>28.76</v>
      </c>
      <c r="X792" t="s">
        <v>229</v>
      </c>
      <c r="Y792" t="s">
        <v>319</v>
      </c>
      <c r="Z792">
        <v>3.18</v>
      </c>
      <c r="AA792">
        <v>20.65</v>
      </c>
      <c r="AB792">
        <v>119838</v>
      </c>
      <c r="AC792">
        <v>92887</v>
      </c>
      <c r="AD792">
        <v>1.29</v>
      </c>
      <c r="AE792">
        <v>333</v>
      </c>
      <c r="AF792">
        <v>358</v>
      </c>
      <c r="AG792" t="s">
        <v>120</v>
      </c>
      <c r="AH792">
        <v>0.01</v>
      </c>
      <c r="AI792" t="s">
        <v>120</v>
      </c>
      <c r="AJ792">
        <v>13.9</v>
      </c>
      <c r="AK792" t="s">
        <v>4719</v>
      </c>
      <c r="AL792">
        <v>-0.16</v>
      </c>
      <c r="AM792">
        <v>3790</v>
      </c>
      <c r="AN792">
        <v>56</v>
      </c>
      <c r="AO792">
        <v>4.0000000000000002E-4</v>
      </c>
      <c r="AP792">
        <v>-1</v>
      </c>
      <c r="AQ792">
        <v>2.0099999999999998</v>
      </c>
      <c r="AR792">
        <v>-3.24</v>
      </c>
      <c r="AS792">
        <v>5.67</v>
      </c>
      <c r="AT792">
        <v>-4.0599999999999996</v>
      </c>
      <c r="AU792">
        <v>-21.47</v>
      </c>
      <c r="AV792">
        <v>2</v>
      </c>
      <c r="AW792">
        <v>1.74</v>
      </c>
      <c r="AX792">
        <v>71.66</v>
      </c>
      <c r="AY792">
        <v>21.88</v>
      </c>
      <c r="AZ792">
        <v>23.21</v>
      </c>
      <c r="BA792">
        <v>0.74</v>
      </c>
      <c r="BB792" t="s">
        <v>168</v>
      </c>
      <c r="BF792">
        <v>-0.6</v>
      </c>
      <c r="BG792">
        <v>-2.2599999999999998</v>
      </c>
      <c r="BH792">
        <v>-2.96</v>
      </c>
      <c r="BI792">
        <v>0.2</v>
      </c>
      <c r="BJ792">
        <v>20210812</v>
      </c>
      <c r="BK792">
        <v>20100409</v>
      </c>
      <c r="BL792">
        <v>17.100000000000001</v>
      </c>
      <c r="BM792" t="s">
        <v>120</v>
      </c>
      <c r="BN792" t="s">
        <v>120</v>
      </c>
      <c r="BO792">
        <v>356.61</v>
      </c>
      <c r="BP792">
        <v>20.34</v>
      </c>
      <c r="BQ792">
        <v>136.63999999999999</v>
      </c>
      <c r="BR792">
        <v>1.21</v>
      </c>
      <c r="BS792">
        <v>61.34</v>
      </c>
      <c r="BT792">
        <v>193.83</v>
      </c>
      <c r="BU792">
        <v>98.63</v>
      </c>
      <c r="BV792">
        <v>3.34</v>
      </c>
      <c r="BW792">
        <v>167.57</v>
      </c>
      <c r="BX792">
        <v>43.43</v>
      </c>
      <c r="BY792">
        <v>62.05</v>
      </c>
      <c r="BZ792">
        <v>61.33</v>
      </c>
      <c r="CA792" t="s">
        <v>120</v>
      </c>
      <c r="CB792">
        <v>81.37</v>
      </c>
      <c r="CC792">
        <v>140.05000000000001</v>
      </c>
      <c r="CD792">
        <v>119.54</v>
      </c>
      <c r="CE792">
        <v>6.87</v>
      </c>
      <c r="CF792">
        <v>-0.01</v>
      </c>
      <c r="CG792">
        <v>6.88</v>
      </c>
      <c r="CH792">
        <v>6.02</v>
      </c>
      <c r="CI792">
        <v>6.05</v>
      </c>
      <c r="CJ792">
        <v>-0.43</v>
      </c>
      <c r="CK792">
        <v>5.31</v>
      </c>
      <c r="CL792">
        <v>42.03</v>
      </c>
      <c r="CM792">
        <v>9.5500000000000007</v>
      </c>
      <c r="CN792">
        <v>0.18</v>
      </c>
      <c r="CO792">
        <v>131995</v>
      </c>
      <c r="CP792">
        <v>9283</v>
      </c>
      <c r="CQ792" t="s">
        <v>4720</v>
      </c>
      <c r="CR792">
        <v>18.25</v>
      </c>
      <c r="CS792">
        <v>23.5</v>
      </c>
      <c r="CT792">
        <v>2.5499999999999998</v>
      </c>
      <c r="CU792">
        <v>36.44</v>
      </c>
      <c r="CV792">
        <v>2.48</v>
      </c>
      <c r="CW792">
        <v>0.48</v>
      </c>
      <c r="CX792" t="s">
        <v>269</v>
      </c>
      <c r="CY792">
        <v>7.99</v>
      </c>
      <c r="CZ792">
        <v>0</v>
      </c>
      <c r="DA792">
        <v>4.76</v>
      </c>
      <c r="DB792">
        <v>2.46</v>
      </c>
      <c r="DC792">
        <v>0.56000000000000005</v>
      </c>
      <c r="DD792">
        <v>38.32</v>
      </c>
      <c r="DE792" t="s">
        <v>4721</v>
      </c>
      <c r="DF792">
        <v>14.65</v>
      </c>
      <c r="DG792">
        <v>4.91</v>
      </c>
      <c r="DH792">
        <v>4.32</v>
      </c>
      <c r="DI792">
        <v>4.5999999999999996</v>
      </c>
      <c r="DJ792">
        <v>21014</v>
      </c>
      <c r="DK792">
        <v>2384</v>
      </c>
      <c r="DL792" t="s">
        <v>120</v>
      </c>
      <c r="DM792" t="s">
        <v>120</v>
      </c>
      <c r="DN792" t="s">
        <v>120</v>
      </c>
    </row>
    <row r="793" spans="1:118">
      <c r="A793" t="str">
        <f>"002385"</f>
        <v>002385</v>
      </c>
      <c r="B793" t="s">
        <v>4722</v>
      </c>
      <c r="C793">
        <v>3.82</v>
      </c>
      <c r="D793">
        <v>0</v>
      </c>
      <c r="E793">
        <v>-0.64</v>
      </c>
      <c r="F793">
        <v>20786</v>
      </c>
      <c r="G793" t="s">
        <v>4723</v>
      </c>
      <c r="H793">
        <v>157934.96</v>
      </c>
      <c r="I793">
        <v>309.35000000000002</v>
      </c>
      <c r="J793" t="s">
        <v>120</v>
      </c>
      <c r="K793" t="s">
        <v>4724</v>
      </c>
      <c r="L793">
        <v>6.15</v>
      </c>
      <c r="M793">
        <v>8.15</v>
      </c>
      <c r="N793">
        <v>1.76</v>
      </c>
      <c r="O793">
        <v>4.71</v>
      </c>
      <c r="P793">
        <v>8.2200000000000006</v>
      </c>
      <c r="Q793">
        <v>-0.64</v>
      </c>
      <c r="R793">
        <v>7.8</v>
      </c>
      <c r="S793">
        <v>7.8</v>
      </c>
      <c r="T793">
        <v>1956482</v>
      </c>
      <c r="U793">
        <v>8.15</v>
      </c>
      <c r="V793">
        <v>7.85</v>
      </c>
      <c r="W793">
        <v>33.83</v>
      </c>
      <c r="X793" t="s">
        <v>386</v>
      </c>
      <c r="Y793" t="s">
        <v>158</v>
      </c>
      <c r="Z793">
        <v>5.35</v>
      </c>
      <c r="AA793">
        <v>8.07</v>
      </c>
      <c r="AB793">
        <v>800638</v>
      </c>
      <c r="AC793">
        <v>1155844</v>
      </c>
      <c r="AD793">
        <v>0.69</v>
      </c>
      <c r="AE793">
        <v>13657</v>
      </c>
      <c r="AF793">
        <v>16420</v>
      </c>
      <c r="AG793" t="s">
        <v>120</v>
      </c>
      <c r="AH793">
        <v>0.01</v>
      </c>
      <c r="AI793" t="s">
        <v>120</v>
      </c>
      <c r="AJ793">
        <v>31.8</v>
      </c>
      <c r="AK793" t="s">
        <v>4725</v>
      </c>
      <c r="AL793">
        <v>5.74</v>
      </c>
      <c r="AM793">
        <v>4697</v>
      </c>
      <c r="AN793">
        <v>417</v>
      </c>
      <c r="AO793">
        <v>1.2999999999999999E-3</v>
      </c>
      <c r="AP793">
        <v>2</v>
      </c>
      <c r="AQ793">
        <v>0.38</v>
      </c>
      <c r="AR793">
        <v>0.86</v>
      </c>
      <c r="AS793">
        <v>5.98</v>
      </c>
      <c r="AT793">
        <v>22.37</v>
      </c>
      <c r="AU793">
        <v>-15.19</v>
      </c>
      <c r="AV793">
        <v>1</v>
      </c>
      <c r="AW793">
        <v>6.63</v>
      </c>
      <c r="AX793">
        <v>71.209999999999994</v>
      </c>
      <c r="AY793">
        <v>20.82</v>
      </c>
      <c r="AZ793">
        <v>16.62</v>
      </c>
      <c r="BA793">
        <v>0.46</v>
      </c>
      <c r="BB793" t="s">
        <v>143</v>
      </c>
      <c r="BF793">
        <v>2.83</v>
      </c>
      <c r="BG793">
        <v>4.49</v>
      </c>
      <c r="BH793">
        <v>-0.85</v>
      </c>
      <c r="BI793">
        <v>4.49</v>
      </c>
      <c r="BJ793">
        <v>20210913</v>
      </c>
      <c r="BK793">
        <v>20100409</v>
      </c>
      <c r="BL793">
        <v>41.41</v>
      </c>
      <c r="BM793" t="s">
        <v>120</v>
      </c>
      <c r="BN793" t="s">
        <v>120</v>
      </c>
      <c r="BO793">
        <v>260.16000000000003</v>
      </c>
      <c r="BP793">
        <v>8.14</v>
      </c>
      <c r="BQ793">
        <v>116.2</v>
      </c>
      <c r="BR793">
        <v>21.74</v>
      </c>
      <c r="BS793">
        <v>46.98</v>
      </c>
      <c r="BT793">
        <v>98.82</v>
      </c>
      <c r="BU793">
        <v>80.150000000000006</v>
      </c>
      <c r="BV793">
        <v>14.73</v>
      </c>
      <c r="BW793">
        <v>85.31</v>
      </c>
      <c r="BX793">
        <v>33.479999999999997</v>
      </c>
      <c r="BY793">
        <v>43.33</v>
      </c>
      <c r="BZ793">
        <v>12.59</v>
      </c>
      <c r="CA793" t="s">
        <v>120</v>
      </c>
      <c r="CB793">
        <v>13.19</v>
      </c>
      <c r="CC793">
        <v>152.68</v>
      </c>
      <c r="CD793">
        <v>131</v>
      </c>
      <c r="CE793">
        <v>6.84</v>
      </c>
      <c r="CF793">
        <v>1.1599999999999999</v>
      </c>
      <c r="CG793">
        <v>6.57</v>
      </c>
      <c r="CH793">
        <v>5.43</v>
      </c>
      <c r="CI793">
        <v>4.99</v>
      </c>
      <c r="CJ793">
        <v>0.3</v>
      </c>
      <c r="CK793">
        <v>3.47</v>
      </c>
      <c r="CL793">
        <v>59.41</v>
      </c>
      <c r="CM793">
        <v>-1.74</v>
      </c>
      <c r="CN793">
        <v>-9.9</v>
      </c>
      <c r="CO793">
        <v>250000</v>
      </c>
      <c r="CP793">
        <v>11796</v>
      </c>
      <c r="CQ793" t="s">
        <v>4726</v>
      </c>
      <c r="CR793">
        <v>-44.15</v>
      </c>
      <c r="CS793">
        <v>69.8</v>
      </c>
      <c r="CT793">
        <v>2.9</v>
      </c>
      <c r="CU793">
        <v>-193.49</v>
      </c>
      <c r="CV793">
        <v>2.21</v>
      </c>
      <c r="CW793">
        <v>0.62</v>
      </c>
      <c r="CX793" t="s">
        <v>850</v>
      </c>
      <c r="CY793">
        <v>2.81</v>
      </c>
      <c r="CZ793">
        <v>0</v>
      </c>
      <c r="DA793">
        <v>0.32</v>
      </c>
      <c r="DB793">
        <v>1.43</v>
      </c>
      <c r="DC793">
        <v>-0.04</v>
      </c>
      <c r="DD793">
        <v>44.66</v>
      </c>
      <c r="DE793" t="s">
        <v>967</v>
      </c>
      <c r="DF793">
        <v>14.2</v>
      </c>
      <c r="DG793">
        <v>4.4800000000000004</v>
      </c>
      <c r="DH793">
        <v>3.27</v>
      </c>
      <c r="DI793">
        <v>2.79</v>
      </c>
      <c r="DJ793">
        <v>19414</v>
      </c>
      <c r="DK793">
        <v>2385</v>
      </c>
      <c r="DL793" t="s">
        <v>120</v>
      </c>
      <c r="DM793" t="s">
        <v>120</v>
      </c>
      <c r="DN793" t="s">
        <v>120</v>
      </c>
    </row>
    <row r="794" spans="1:118">
      <c r="A794" t="str">
        <f>"002386"</f>
        <v>002386</v>
      </c>
      <c r="B794" t="s">
        <v>4727</v>
      </c>
      <c r="C794">
        <v>5.54</v>
      </c>
      <c r="D794">
        <v>0.55000000000000004</v>
      </c>
      <c r="E794">
        <v>9.52</v>
      </c>
      <c r="F794">
        <v>13292</v>
      </c>
      <c r="G794" t="s">
        <v>4728</v>
      </c>
      <c r="H794">
        <v>260982.73</v>
      </c>
      <c r="I794">
        <v>14300.04</v>
      </c>
      <c r="J794" t="s">
        <v>120</v>
      </c>
      <c r="K794" t="s">
        <v>4729</v>
      </c>
      <c r="L794">
        <v>18.16</v>
      </c>
      <c r="M794">
        <v>18.3</v>
      </c>
      <c r="N794">
        <v>1.91</v>
      </c>
      <c r="O794">
        <v>9.98</v>
      </c>
      <c r="P794">
        <v>19.07</v>
      </c>
      <c r="Q794">
        <v>1.56</v>
      </c>
      <c r="R794">
        <v>17.61</v>
      </c>
      <c r="S794">
        <v>18.989999999999998</v>
      </c>
      <c r="T794">
        <v>1417757</v>
      </c>
      <c r="U794">
        <v>18.3</v>
      </c>
      <c r="V794">
        <v>17.34</v>
      </c>
      <c r="W794">
        <v>22.97</v>
      </c>
      <c r="X794" t="s">
        <v>868</v>
      </c>
      <c r="Y794" t="s">
        <v>578</v>
      </c>
      <c r="Z794">
        <v>8.42</v>
      </c>
      <c r="AA794">
        <v>18.41</v>
      </c>
      <c r="AB794">
        <v>750586</v>
      </c>
      <c r="AC794">
        <v>667171</v>
      </c>
      <c r="AD794">
        <v>1.1299999999999999</v>
      </c>
      <c r="AE794">
        <v>5824</v>
      </c>
      <c r="AF794">
        <v>281</v>
      </c>
      <c r="AG794" t="s">
        <v>120</v>
      </c>
      <c r="AH794">
        <v>1.25</v>
      </c>
      <c r="AI794" t="s">
        <v>120</v>
      </c>
      <c r="AJ794">
        <v>7.81</v>
      </c>
      <c r="AK794" t="s">
        <v>4730</v>
      </c>
      <c r="AL794">
        <v>7.45</v>
      </c>
      <c r="AM794">
        <v>3977</v>
      </c>
      <c r="AN794">
        <v>356</v>
      </c>
      <c r="AO794">
        <v>4.5999999999999999E-3</v>
      </c>
      <c r="AP794">
        <v>5</v>
      </c>
      <c r="AQ794">
        <v>10.029999999999999</v>
      </c>
      <c r="AR794">
        <v>19.62</v>
      </c>
      <c r="AS794">
        <v>58.99</v>
      </c>
      <c r="AT794">
        <v>97.84</v>
      </c>
      <c r="AU794">
        <v>209.64</v>
      </c>
      <c r="AV794">
        <v>10</v>
      </c>
      <c r="AW794">
        <v>23.53</v>
      </c>
      <c r="AX794">
        <v>77.150000000000006</v>
      </c>
      <c r="AY794">
        <v>28.81</v>
      </c>
      <c r="AZ794">
        <v>116.85</v>
      </c>
      <c r="BA794">
        <v>1.38</v>
      </c>
      <c r="BB794" t="s">
        <v>184</v>
      </c>
      <c r="BF794">
        <v>6.16</v>
      </c>
      <c r="BG794">
        <v>-3.63</v>
      </c>
      <c r="BH794">
        <v>-4.04</v>
      </c>
      <c r="BI794">
        <v>3.92</v>
      </c>
      <c r="BJ794">
        <v>20210914</v>
      </c>
      <c r="BK794">
        <v>20100409</v>
      </c>
      <c r="BL794">
        <v>7.81</v>
      </c>
      <c r="BM794" t="s">
        <v>120</v>
      </c>
      <c r="BN794" t="s">
        <v>120</v>
      </c>
      <c r="BO794">
        <v>163.69</v>
      </c>
      <c r="BP794">
        <v>18.29</v>
      </c>
      <c r="BQ794">
        <v>53.52</v>
      </c>
      <c r="BR794">
        <v>1.94</v>
      </c>
      <c r="BS794">
        <v>66.12</v>
      </c>
      <c r="BT794">
        <v>69.63</v>
      </c>
      <c r="BU794">
        <v>54.13</v>
      </c>
      <c r="BV794">
        <v>7.52</v>
      </c>
      <c r="BW794">
        <v>92.26</v>
      </c>
      <c r="BX794">
        <v>38.159999999999997</v>
      </c>
      <c r="BY794">
        <v>6.53</v>
      </c>
      <c r="BZ794">
        <v>4.5</v>
      </c>
      <c r="CA794" t="s">
        <v>120</v>
      </c>
      <c r="CB794">
        <v>24.12</v>
      </c>
      <c r="CC794">
        <v>88.73</v>
      </c>
      <c r="CD794">
        <v>79.650000000000006</v>
      </c>
      <c r="CE794">
        <v>4.03</v>
      </c>
      <c r="CF794">
        <v>0.21</v>
      </c>
      <c r="CG794">
        <v>3.89</v>
      </c>
      <c r="CH794">
        <v>3.24</v>
      </c>
      <c r="CI794">
        <v>3.11</v>
      </c>
      <c r="CJ794">
        <v>0.96</v>
      </c>
      <c r="CK794">
        <v>2.98</v>
      </c>
      <c r="CL794">
        <v>18.87</v>
      </c>
      <c r="CM794">
        <v>5.12</v>
      </c>
      <c r="CN794">
        <v>1.92</v>
      </c>
      <c r="CO794">
        <v>63000</v>
      </c>
      <c r="CP794">
        <v>9562</v>
      </c>
      <c r="CQ794" t="s">
        <v>4731</v>
      </c>
      <c r="CR794">
        <v>821.07</v>
      </c>
      <c r="CS794">
        <v>2.14</v>
      </c>
      <c r="CT794">
        <v>2.67</v>
      </c>
      <c r="CU794">
        <v>27.89</v>
      </c>
      <c r="CV794">
        <v>1.61</v>
      </c>
      <c r="CW794">
        <v>0</v>
      </c>
      <c r="CX794" t="s">
        <v>4732</v>
      </c>
      <c r="CY794">
        <v>6.85</v>
      </c>
      <c r="CZ794">
        <v>0</v>
      </c>
      <c r="DA794">
        <v>3.09</v>
      </c>
      <c r="DB794">
        <v>2.42</v>
      </c>
      <c r="DC794">
        <v>0.66</v>
      </c>
      <c r="DD794">
        <v>32.69</v>
      </c>
      <c r="DE794" t="s">
        <v>4733</v>
      </c>
      <c r="DF794">
        <v>10.24</v>
      </c>
      <c r="DG794">
        <v>4.55</v>
      </c>
      <c r="DH794">
        <v>3.5</v>
      </c>
      <c r="DI794">
        <v>0.88</v>
      </c>
      <c r="DJ794">
        <v>4187</v>
      </c>
      <c r="DK794">
        <v>2386</v>
      </c>
      <c r="DL794">
        <v>20210909</v>
      </c>
      <c r="DM794">
        <v>13.95</v>
      </c>
      <c r="DN794">
        <v>31.18</v>
      </c>
    </row>
    <row r="795" spans="1:118">
      <c r="A795" t="str">
        <f>"002387"</f>
        <v>002387</v>
      </c>
      <c r="B795" t="s">
        <v>4734</v>
      </c>
      <c r="C795">
        <v>-1.62</v>
      </c>
      <c r="D795">
        <v>0.44</v>
      </c>
      <c r="E795">
        <v>-0.54</v>
      </c>
      <c r="F795">
        <v>1480</v>
      </c>
      <c r="G795" t="s">
        <v>4735</v>
      </c>
      <c r="H795">
        <v>8609.49</v>
      </c>
      <c r="I795">
        <v>37.35</v>
      </c>
      <c r="J795" t="s">
        <v>120</v>
      </c>
      <c r="K795" t="s">
        <v>4736</v>
      </c>
      <c r="L795">
        <v>0.69</v>
      </c>
      <c r="M795">
        <v>9.1</v>
      </c>
      <c r="N795">
        <v>0.95</v>
      </c>
      <c r="O795">
        <v>0.43</v>
      </c>
      <c r="P795">
        <v>9.2899999999999991</v>
      </c>
      <c r="Q795">
        <v>-2.59</v>
      </c>
      <c r="R795">
        <v>9.01</v>
      </c>
      <c r="S795">
        <v>9.1999999999999993</v>
      </c>
      <c r="T795">
        <v>94441</v>
      </c>
      <c r="U795">
        <v>9.1</v>
      </c>
      <c r="V795">
        <v>9.25</v>
      </c>
      <c r="W795" t="s">
        <v>120</v>
      </c>
      <c r="X795" t="s">
        <v>229</v>
      </c>
      <c r="Y795" t="s">
        <v>547</v>
      </c>
      <c r="Z795">
        <v>3.03</v>
      </c>
      <c r="AA795">
        <v>9.1199999999999992</v>
      </c>
      <c r="AB795">
        <v>61086</v>
      </c>
      <c r="AC795">
        <v>33355</v>
      </c>
      <c r="AD795">
        <v>1.83</v>
      </c>
      <c r="AE795">
        <v>30</v>
      </c>
      <c r="AF795">
        <v>529</v>
      </c>
      <c r="AG795" t="s">
        <v>120</v>
      </c>
      <c r="AH795">
        <v>0</v>
      </c>
      <c r="AI795" t="s">
        <v>120</v>
      </c>
      <c r="AJ795">
        <v>13.67</v>
      </c>
      <c r="AK795" t="s">
        <v>4737</v>
      </c>
      <c r="AL795">
        <v>0.28999999999999998</v>
      </c>
      <c r="AM795">
        <v>2140</v>
      </c>
      <c r="AN795">
        <v>44</v>
      </c>
      <c r="AO795">
        <v>2.9999999999999997E-4</v>
      </c>
      <c r="AP795">
        <v>-2</v>
      </c>
      <c r="AQ795">
        <v>-2.12</v>
      </c>
      <c r="AR795">
        <v>-1.0900000000000001</v>
      </c>
      <c r="AS795">
        <v>-0.33</v>
      </c>
      <c r="AT795">
        <v>-12.84</v>
      </c>
      <c r="AU795">
        <v>-20.18</v>
      </c>
      <c r="AV795">
        <v>3</v>
      </c>
      <c r="AW795">
        <v>1.1499999999999999</v>
      </c>
      <c r="AX795">
        <v>60.21</v>
      </c>
      <c r="AY795" t="s">
        <v>120</v>
      </c>
      <c r="AZ795">
        <v>62.14</v>
      </c>
      <c r="BA795">
        <v>0.64</v>
      </c>
      <c r="BB795" t="s">
        <v>143</v>
      </c>
      <c r="BF795">
        <v>-1.45</v>
      </c>
      <c r="BG795">
        <v>-1.0900000000000001</v>
      </c>
      <c r="BH795">
        <v>-2.0499999999999998</v>
      </c>
      <c r="BI795">
        <v>1</v>
      </c>
      <c r="BJ795">
        <v>20210821</v>
      </c>
      <c r="BK795">
        <v>20100413</v>
      </c>
      <c r="BL795">
        <v>13.68</v>
      </c>
      <c r="BM795" t="s">
        <v>120</v>
      </c>
      <c r="BN795" t="s">
        <v>120</v>
      </c>
      <c r="BO795">
        <v>386.83</v>
      </c>
      <c r="BP795">
        <v>9.09</v>
      </c>
      <c r="BQ795">
        <v>144.71</v>
      </c>
      <c r="BR795">
        <v>41.85</v>
      </c>
      <c r="BS795">
        <v>51.77</v>
      </c>
      <c r="BT795">
        <v>69.56</v>
      </c>
      <c r="BU795">
        <v>238.83</v>
      </c>
      <c r="BV795">
        <v>15.34</v>
      </c>
      <c r="BW795">
        <v>129.01</v>
      </c>
      <c r="BX795">
        <v>27.31</v>
      </c>
      <c r="BY795">
        <v>8.85</v>
      </c>
      <c r="BZ795">
        <v>16.649999999999999</v>
      </c>
      <c r="CA795">
        <v>0</v>
      </c>
      <c r="CB795">
        <v>137.91</v>
      </c>
      <c r="CC795">
        <v>14.04</v>
      </c>
      <c r="CD795">
        <v>13.73</v>
      </c>
      <c r="CE795">
        <v>-10.08</v>
      </c>
      <c r="CF795">
        <v>-0.96</v>
      </c>
      <c r="CG795">
        <v>-10.08</v>
      </c>
      <c r="CH795">
        <v>-8.5</v>
      </c>
      <c r="CI795">
        <v>-7.43</v>
      </c>
      <c r="CJ795">
        <v>-0.15</v>
      </c>
      <c r="CK795">
        <v>-8.5</v>
      </c>
      <c r="CL795">
        <v>-7.04</v>
      </c>
      <c r="CM795">
        <v>14.15</v>
      </c>
      <c r="CN795">
        <v>-11.89</v>
      </c>
      <c r="CO795">
        <v>49539</v>
      </c>
      <c r="CP795">
        <v>16622</v>
      </c>
      <c r="CQ795" t="s">
        <v>4738</v>
      </c>
      <c r="CR795">
        <v>-903.84</v>
      </c>
      <c r="CS795">
        <v>20.52</v>
      </c>
      <c r="CT795">
        <v>0.86</v>
      </c>
      <c r="CU795">
        <v>8.8000000000000007</v>
      </c>
      <c r="CV795">
        <v>8.86</v>
      </c>
      <c r="CW795">
        <v>0</v>
      </c>
      <c r="CX795" t="s">
        <v>4739</v>
      </c>
      <c r="CY795">
        <v>10.58</v>
      </c>
      <c r="CZ795">
        <v>0</v>
      </c>
      <c r="DA795">
        <v>10.08</v>
      </c>
      <c r="DB795">
        <v>-0.51</v>
      </c>
      <c r="DC795">
        <v>1.03</v>
      </c>
      <c r="DD795">
        <v>37.409999999999997</v>
      </c>
      <c r="DE795" t="s">
        <v>4740</v>
      </c>
      <c r="DF795">
        <v>2.2000000000000002</v>
      </c>
      <c r="DG795">
        <v>-71.760000000000005</v>
      </c>
      <c r="DH795">
        <v>-52.95</v>
      </c>
      <c r="DI795">
        <v>4.6500000000000004</v>
      </c>
      <c r="DJ795">
        <v>5745</v>
      </c>
      <c r="DK795">
        <v>2387</v>
      </c>
      <c r="DL795" t="s">
        <v>120</v>
      </c>
      <c r="DM795" t="s">
        <v>120</v>
      </c>
      <c r="DN795" t="s">
        <v>120</v>
      </c>
    </row>
    <row r="796" spans="1:118">
      <c r="A796" t="str">
        <f>"002388"</f>
        <v>002388</v>
      </c>
      <c r="B796" t="s">
        <v>4741</v>
      </c>
      <c r="C796">
        <v>-0.36</v>
      </c>
      <c r="D796">
        <v>0.18</v>
      </c>
      <c r="E796">
        <v>-0.36</v>
      </c>
      <c r="F796">
        <v>473</v>
      </c>
      <c r="G796" t="s">
        <v>4742</v>
      </c>
      <c r="H796">
        <v>2751.24</v>
      </c>
      <c r="I796">
        <v>3.53</v>
      </c>
      <c r="J796" t="s">
        <v>120</v>
      </c>
      <c r="K796" t="s">
        <v>1413</v>
      </c>
      <c r="L796">
        <v>1.01</v>
      </c>
      <c r="M796">
        <v>5.6</v>
      </c>
      <c r="N796">
        <v>1.2</v>
      </c>
      <c r="O796">
        <v>1.07</v>
      </c>
      <c r="P796">
        <v>5.68</v>
      </c>
      <c r="Q796">
        <v>-1.07</v>
      </c>
      <c r="R796">
        <v>5.56</v>
      </c>
      <c r="S796">
        <v>5.6</v>
      </c>
      <c r="T796">
        <v>48896</v>
      </c>
      <c r="U796">
        <v>5.6</v>
      </c>
      <c r="V796">
        <v>5.62</v>
      </c>
      <c r="W796">
        <v>45.9</v>
      </c>
      <c r="X796" t="s">
        <v>229</v>
      </c>
      <c r="Y796" t="s">
        <v>123</v>
      </c>
      <c r="Z796">
        <v>2.14</v>
      </c>
      <c r="AA796">
        <v>5.63</v>
      </c>
      <c r="AB796">
        <v>25249</v>
      </c>
      <c r="AC796">
        <v>23647</v>
      </c>
      <c r="AD796">
        <v>1.07</v>
      </c>
      <c r="AE796">
        <v>475</v>
      </c>
      <c r="AF796">
        <v>180</v>
      </c>
      <c r="AG796" t="s">
        <v>120</v>
      </c>
      <c r="AH796">
        <v>0</v>
      </c>
      <c r="AI796" t="s">
        <v>120</v>
      </c>
      <c r="AJ796">
        <v>4.83</v>
      </c>
      <c r="AK796" t="s">
        <v>4743</v>
      </c>
      <c r="AL796">
        <v>1.56</v>
      </c>
      <c r="AM796">
        <v>1188</v>
      </c>
      <c r="AN796">
        <v>41</v>
      </c>
      <c r="AO796">
        <v>8.9999999999999998E-4</v>
      </c>
      <c r="AP796">
        <v>-1</v>
      </c>
      <c r="AQ796">
        <v>0.54</v>
      </c>
      <c r="AR796">
        <v>-0.18</v>
      </c>
      <c r="AS796">
        <v>0.36</v>
      </c>
      <c r="AT796">
        <v>2.0099999999999998</v>
      </c>
      <c r="AU796">
        <v>0.9</v>
      </c>
      <c r="AV796">
        <v>1</v>
      </c>
      <c r="AW796">
        <v>1.94</v>
      </c>
      <c r="AX796">
        <v>49.39</v>
      </c>
      <c r="AY796">
        <v>39.67</v>
      </c>
      <c r="AZ796">
        <v>40.92</v>
      </c>
      <c r="BA796">
        <v>0.52</v>
      </c>
      <c r="BB796" t="s">
        <v>143</v>
      </c>
      <c r="BF796">
        <v>0.12</v>
      </c>
      <c r="BG796">
        <v>0</v>
      </c>
      <c r="BH796">
        <v>-1.41</v>
      </c>
      <c r="BI796">
        <v>0.72</v>
      </c>
      <c r="BJ796">
        <v>20210825</v>
      </c>
      <c r="BK796">
        <v>20100413</v>
      </c>
      <c r="BL796">
        <v>5.0999999999999996</v>
      </c>
      <c r="BM796" t="s">
        <v>120</v>
      </c>
      <c r="BN796" t="s">
        <v>120</v>
      </c>
      <c r="BO796">
        <v>24.99</v>
      </c>
      <c r="BP796">
        <v>5.59</v>
      </c>
      <c r="BQ796">
        <v>14.41</v>
      </c>
      <c r="BR796">
        <v>0.16</v>
      </c>
      <c r="BS796">
        <v>41.71</v>
      </c>
      <c r="BT796">
        <v>23.38</v>
      </c>
      <c r="BU796">
        <v>0.76</v>
      </c>
      <c r="BV796">
        <v>0.06</v>
      </c>
      <c r="BW796">
        <v>10.210000000000001</v>
      </c>
      <c r="BX796">
        <v>9.39</v>
      </c>
      <c r="BY796">
        <v>2.79</v>
      </c>
      <c r="BZ796">
        <v>9.83</v>
      </c>
      <c r="CA796" t="s">
        <v>120</v>
      </c>
      <c r="CB796">
        <v>6.9</v>
      </c>
      <c r="CC796">
        <v>11.51</v>
      </c>
      <c r="CD796">
        <v>10.39</v>
      </c>
      <c r="CE796">
        <v>0.28999999999999998</v>
      </c>
      <c r="CF796">
        <v>0</v>
      </c>
      <c r="CG796">
        <v>0.3</v>
      </c>
      <c r="CH796">
        <v>0.22</v>
      </c>
      <c r="CI796">
        <v>0.31</v>
      </c>
      <c r="CJ796">
        <v>-0.02</v>
      </c>
      <c r="CK796">
        <v>0.3</v>
      </c>
      <c r="CL796">
        <v>2.4</v>
      </c>
      <c r="CM796">
        <v>-4.28</v>
      </c>
      <c r="CN796">
        <v>-0.11</v>
      </c>
      <c r="CO796">
        <v>33582</v>
      </c>
      <c r="CP796">
        <v>7508</v>
      </c>
      <c r="CQ796" t="s">
        <v>4744</v>
      </c>
      <c r="CR796">
        <v>7.69</v>
      </c>
      <c r="CS796">
        <v>20.53</v>
      </c>
      <c r="CT796">
        <v>1.98</v>
      </c>
      <c r="CU796">
        <v>-6.68</v>
      </c>
      <c r="CV796">
        <v>2.48</v>
      </c>
      <c r="CW796">
        <v>1.78</v>
      </c>
      <c r="CX796" t="s">
        <v>1064</v>
      </c>
      <c r="CY796">
        <v>2.82</v>
      </c>
      <c r="CZ796">
        <v>0</v>
      </c>
      <c r="DA796">
        <v>1.35</v>
      </c>
      <c r="DB796">
        <v>0.47</v>
      </c>
      <c r="DC796">
        <v>-0.84</v>
      </c>
      <c r="DD796">
        <v>57.66</v>
      </c>
      <c r="DE796" t="s">
        <v>2347</v>
      </c>
      <c r="DF796">
        <v>9.6999999999999993</v>
      </c>
      <c r="DG796">
        <v>2.5099999999999998</v>
      </c>
      <c r="DH796">
        <v>2.71</v>
      </c>
      <c r="DI796">
        <v>7.0000000000000007E-2</v>
      </c>
      <c r="DJ796">
        <v>780</v>
      </c>
      <c r="DK796">
        <v>2388</v>
      </c>
      <c r="DL796" t="s">
        <v>120</v>
      </c>
      <c r="DM796" t="s">
        <v>120</v>
      </c>
      <c r="DN796" t="s">
        <v>120</v>
      </c>
    </row>
    <row r="797" spans="1:118">
      <c r="A797" t="str">
        <f>"002389"</f>
        <v>002389</v>
      </c>
      <c r="B797" t="s">
        <v>4745</v>
      </c>
      <c r="C797">
        <v>-3.92</v>
      </c>
      <c r="D797">
        <v>0</v>
      </c>
      <c r="E797">
        <v>-0.39</v>
      </c>
      <c r="F797">
        <v>1797</v>
      </c>
      <c r="G797" t="s">
        <v>4746</v>
      </c>
      <c r="H797">
        <v>44490.25</v>
      </c>
      <c r="I797">
        <v>95.6</v>
      </c>
      <c r="J797" t="s">
        <v>120</v>
      </c>
      <c r="K797" t="s">
        <v>4747</v>
      </c>
      <c r="L797">
        <v>2.2400000000000002</v>
      </c>
      <c r="M797">
        <v>22.06</v>
      </c>
      <c r="N797">
        <v>1.04</v>
      </c>
      <c r="O797">
        <v>0.7</v>
      </c>
      <c r="P797">
        <v>23.12</v>
      </c>
      <c r="Q797">
        <v>-4.18</v>
      </c>
      <c r="R797">
        <v>22</v>
      </c>
      <c r="S797">
        <v>22.87</v>
      </c>
      <c r="T797">
        <v>197872</v>
      </c>
      <c r="U797">
        <v>22.06</v>
      </c>
      <c r="V797">
        <v>22.96</v>
      </c>
      <c r="W797">
        <v>166.61</v>
      </c>
      <c r="X797" t="s">
        <v>229</v>
      </c>
      <c r="Y797" t="s">
        <v>585</v>
      </c>
      <c r="Z797">
        <v>4.88</v>
      </c>
      <c r="AA797">
        <v>22.48</v>
      </c>
      <c r="AB797">
        <v>108780</v>
      </c>
      <c r="AC797">
        <v>89092</v>
      </c>
      <c r="AD797">
        <v>1.22</v>
      </c>
      <c r="AE797">
        <v>495</v>
      </c>
      <c r="AF797">
        <v>436</v>
      </c>
      <c r="AG797" t="s">
        <v>120</v>
      </c>
      <c r="AH797">
        <v>0.01</v>
      </c>
      <c r="AI797" t="s">
        <v>120</v>
      </c>
      <c r="AJ797">
        <v>8.85</v>
      </c>
      <c r="AK797" t="s">
        <v>4748</v>
      </c>
      <c r="AL797">
        <v>-2.0099999999999998</v>
      </c>
      <c r="AM797">
        <v>4070</v>
      </c>
      <c r="AN797">
        <v>49</v>
      </c>
      <c r="AO797">
        <v>5.0000000000000001E-4</v>
      </c>
      <c r="AP797">
        <v>-5</v>
      </c>
      <c r="AQ797">
        <v>-4.29</v>
      </c>
      <c r="AR797">
        <v>-8.9499999999999993</v>
      </c>
      <c r="AS797">
        <v>-17.72</v>
      </c>
      <c r="AT797">
        <v>-3.16</v>
      </c>
      <c r="AU797">
        <v>-33.57</v>
      </c>
      <c r="AV797">
        <v>3</v>
      </c>
      <c r="AW797">
        <v>3.92</v>
      </c>
      <c r="AX797">
        <v>53.38</v>
      </c>
      <c r="AY797">
        <v>70.52</v>
      </c>
      <c r="AZ797">
        <v>79.290000000000006</v>
      </c>
      <c r="BA797">
        <v>0.95</v>
      </c>
      <c r="BB797" t="s">
        <v>134</v>
      </c>
      <c r="BF797">
        <v>-2.0699999999999998</v>
      </c>
      <c r="BG797">
        <v>-3.54</v>
      </c>
      <c r="BH797">
        <v>-4.58</v>
      </c>
      <c r="BI797">
        <v>0.27</v>
      </c>
      <c r="BJ797">
        <v>20210913</v>
      </c>
      <c r="BK797">
        <v>20100413</v>
      </c>
      <c r="BL797">
        <v>9.4600000000000009</v>
      </c>
      <c r="BM797" t="s">
        <v>120</v>
      </c>
      <c r="BN797" t="s">
        <v>120</v>
      </c>
      <c r="BO797">
        <v>83.77</v>
      </c>
      <c r="BP797">
        <v>22.05</v>
      </c>
      <c r="BQ797">
        <v>66.47</v>
      </c>
      <c r="BR797">
        <v>1.7</v>
      </c>
      <c r="BS797">
        <v>18.62</v>
      </c>
      <c r="BT797">
        <v>40.43</v>
      </c>
      <c r="BU797">
        <v>18.09</v>
      </c>
      <c r="BV797">
        <v>12.16</v>
      </c>
      <c r="BW797">
        <v>13.51</v>
      </c>
      <c r="BX797">
        <v>5.13</v>
      </c>
      <c r="BY797">
        <v>7.26</v>
      </c>
      <c r="BZ797">
        <v>17.82</v>
      </c>
      <c r="CA797">
        <v>0.04</v>
      </c>
      <c r="CB797">
        <v>47.23</v>
      </c>
      <c r="CC797">
        <v>10.7</v>
      </c>
      <c r="CD797">
        <v>7.84</v>
      </c>
      <c r="CE797">
        <v>0.85</v>
      </c>
      <c r="CF797">
        <v>-0.03</v>
      </c>
      <c r="CG797">
        <v>0.81</v>
      </c>
      <c r="CH797">
        <v>0.69</v>
      </c>
      <c r="CI797">
        <v>0.63</v>
      </c>
      <c r="CJ797">
        <v>-0.9</v>
      </c>
      <c r="CK797">
        <v>0.62</v>
      </c>
      <c r="CL797">
        <v>8.4499999999999993</v>
      </c>
      <c r="CM797">
        <v>-0.36</v>
      </c>
      <c r="CN797">
        <v>-2.57</v>
      </c>
      <c r="CO797">
        <v>98672</v>
      </c>
      <c r="CP797">
        <v>5118</v>
      </c>
      <c r="CQ797" t="s">
        <v>4749</v>
      </c>
      <c r="CR797">
        <v>119.48</v>
      </c>
      <c r="CS797">
        <v>3.02</v>
      </c>
      <c r="CT797">
        <v>3.14</v>
      </c>
      <c r="CU797">
        <v>-572.62</v>
      </c>
      <c r="CV797">
        <v>19.510000000000002</v>
      </c>
      <c r="CW797">
        <v>0.17</v>
      </c>
      <c r="CX797" t="s">
        <v>679</v>
      </c>
      <c r="CY797">
        <v>7.03</v>
      </c>
      <c r="CZ797">
        <v>0</v>
      </c>
      <c r="DA797">
        <v>4.99</v>
      </c>
      <c r="DB797">
        <v>0.89</v>
      </c>
      <c r="DC797">
        <v>-0.04</v>
      </c>
      <c r="DD797">
        <v>79.349999999999994</v>
      </c>
      <c r="DE797" t="s">
        <v>4750</v>
      </c>
      <c r="DF797">
        <v>26.71</v>
      </c>
      <c r="DG797">
        <v>7.97</v>
      </c>
      <c r="DH797">
        <v>5.85</v>
      </c>
      <c r="DI797">
        <v>0.54</v>
      </c>
      <c r="DJ797">
        <v>2054</v>
      </c>
      <c r="DK797">
        <v>2389</v>
      </c>
      <c r="DL797" t="s">
        <v>120</v>
      </c>
      <c r="DM797" t="s">
        <v>120</v>
      </c>
      <c r="DN797" t="s">
        <v>120</v>
      </c>
    </row>
    <row r="798" spans="1:118">
      <c r="A798" t="str">
        <f>"002390"</f>
        <v>002390</v>
      </c>
      <c r="B798" t="s">
        <v>4751</v>
      </c>
      <c r="C798">
        <v>-5.82</v>
      </c>
      <c r="D798">
        <v>0</v>
      </c>
      <c r="E798">
        <v>0.12</v>
      </c>
      <c r="F798">
        <v>2632</v>
      </c>
      <c r="G798" t="s">
        <v>4752</v>
      </c>
      <c r="H798">
        <v>19738.62</v>
      </c>
      <c r="I798">
        <v>6.66</v>
      </c>
      <c r="J798" t="s">
        <v>120</v>
      </c>
      <c r="K798" t="s">
        <v>4753</v>
      </c>
      <c r="L798">
        <v>1.55</v>
      </c>
      <c r="M798">
        <v>7.93</v>
      </c>
      <c r="N798">
        <v>2.04</v>
      </c>
      <c r="O798">
        <v>0.71</v>
      </c>
      <c r="P798">
        <v>8.48</v>
      </c>
      <c r="Q798">
        <v>-6.18</v>
      </c>
      <c r="R798">
        <v>7.9</v>
      </c>
      <c r="S798">
        <v>8.43</v>
      </c>
      <c r="T798">
        <v>243438</v>
      </c>
      <c r="U798">
        <v>7.94</v>
      </c>
      <c r="V798">
        <v>8.42</v>
      </c>
      <c r="W798">
        <v>52.66</v>
      </c>
      <c r="X798" t="s">
        <v>771</v>
      </c>
      <c r="Y798" t="s">
        <v>1021</v>
      </c>
      <c r="Z798">
        <v>6.89</v>
      </c>
      <c r="AA798">
        <v>8.11</v>
      </c>
      <c r="AB798">
        <v>144808</v>
      </c>
      <c r="AC798">
        <v>98630</v>
      </c>
      <c r="AD798">
        <v>1.47</v>
      </c>
      <c r="AE798">
        <v>384</v>
      </c>
      <c r="AF798">
        <v>26</v>
      </c>
      <c r="AG798" t="s">
        <v>120</v>
      </c>
      <c r="AH798">
        <v>0</v>
      </c>
      <c r="AI798" t="s">
        <v>120</v>
      </c>
      <c r="AJ798">
        <v>15.68</v>
      </c>
      <c r="AK798" t="s">
        <v>4754</v>
      </c>
      <c r="AL798">
        <v>-3.91</v>
      </c>
      <c r="AM798">
        <v>3321</v>
      </c>
      <c r="AN798">
        <v>73</v>
      </c>
      <c r="AO798">
        <v>5.0000000000000001E-4</v>
      </c>
      <c r="AP798">
        <v>-5</v>
      </c>
      <c r="AQ798">
        <v>-3.11</v>
      </c>
      <c r="AR798">
        <v>-9.99</v>
      </c>
      <c r="AS798">
        <v>-20.14</v>
      </c>
      <c r="AT798">
        <v>-30.19</v>
      </c>
      <c r="AU798">
        <v>-6.49</v>
      </c>
      <c r="AV798">
        <v>5</v>
      </c>
      <c r="AW798">
        <v>2.0699999999999998</v>
      </c>
      <c r="AX798">
        <v>58.03</v>
      </c>
      <c r="AY798">
        <v>58.78</v>
      </c>
      <c r="AZ798">
        <v>98.37</v>
      </c>
      <c r="BA798">
        <v>1.79</v>
      </c>
      <c r="BB798" t="s">
        <v>134</v>
      </c>
      <c r="BF798">
        <v>-3.7</v>
      </c>
      <c r="BG798">
        <v>-5.93</v>
      </c>
      <c r="BH798">
        <v>-6.49</v>
      </c>
      <c r="BI798">
        <v>0.38</v>
      </c>
      <c r="BJ798">
        <v>20210826</v>
      </c>
      <c r="BK798">
        <v>20100416</v>
      </c>
      <c r="BL798">
        <v>20.27</v>
      </c>
      <c r="BM798" t="s">
        <v>120</v>
      </c>
      <c r="BN798" t="s">
        <v>120</v>
      </c>
      <c r="BO798">
        <v>103.3</v>
      </c>
      <c r="BP798">
        <v>7.93</v>
      </c>
      <c r="BQ798">
        <v>65.680000000000007</v>
      </c>
      <c r="BR798">
        <v>2.6</v>
      </c>
      <c r="BS798">
        <v>33.9</v>
      </c>
      <c r="BT798">
        <v>64.760000000000005</v>
      </c>
      <c r="BU798">
        <v>24.08</v>
      </c>
      <c r="BV798">
        <v>2.15</v>
      </c>
      <c r="BW798">
        <v>34.57</v>
      </c>
      <c r="BX798">
        <v>17.12</v>
      </c>
      <c r="BY798">
        <v>9.1999999999999993</v>
      </c>
      <c r="BZ798">
        <v>27.55</v>
      </c>
      <c r="CA798" t="s">
        <v>120</v>
      </c>
      <c r="CB798">
        <v>47.62</v>
      </c>
      <c r="CC798">
        <v>30.98</v>
      </c>
      <c r="CD798">
        <v>24.6</v>
      </c>
      <c r="CE798">
        <v>1.8</v>
      </c>
      <c r="CF798">
        <v>0.03</v>
      </c>
      <c r="CG798">
        <v>1.8</v>
      </c>
      <c r="CH798">
        <v>1.58</v>
      </c>
      <c r="CI798">
        <v>1.53</v>
      </c>
      <c r="CJ798">
        <v>-0.49</v>
      </c>
      <c r="CK798">
        <v>1.45</v>
      </c>
      <c r="CL798">
        <v>1.81</v>
      </c>
      <c r="CM798">
        <v>2.1</v>
      </c>
      <c r="CN798">
        <v>-0.77</v>
      </c>
      <c r="CO798">
        <v>41988</v>
      </c>
      <c r="CP798">
        <v>28018</v>
      </c>
      <c r="CQ798" t="s">
        <v>4755</v>
      </c>
      <c r="CR798">
        <v>326.95</v>
      </c>
      <c r="CS798">
        <v>14.64</v>
      </c>
      <c r="CT798">
        <v>2.4500000000000002</v>
      </c>
      <c r="CU798">
        <v>76.59</v>
      </c>
      <c r="CV798">
        <v>5.19</v>
      </c>
      <c r="CW798">
        <v>0</v>
      </c>
      <c r="CX798" t="s">
        <v>411</v>
      </c>
      <c r="CY798">
        <v>3.24</v>
      </c>
      <c r="CZ798">
        <v>0</v>
      </c>
      <c r="DA798">
        <v>2.35</v>
      </c>
      <c r="DB798">
        <v>0.09</v>
      </c>
      <c r="DC798">
        <v>0.1</v>
      </c>
      <c r="DD798">
        <v>63.59</v>
      </c>
      <c r="DE798" t="s">
        <v>612</v>
      </c>
      <c r="DF798">
        <v>20.6</v>
      </c>
      <c r="DG798">
        <v>5.81</v>
      </c>
      <c r="DH798">
        <v>4.93</v>
      </c>
      <c r="DI798">
        <v>0.01</v>
      </c>
      <c r="DJ798">
        <v>5778</v>
      </c>
      <c r="DK798">
        <v>2390</v>
      </c>
      <c r="DL798" t="s">
        <v>120</v>
      </c>
      <c r="DM798" t="s">
        <v>120</v>
      </c>
      <c r="DN798" t="s">
        <v>120</v>
      </c>
    </row>
    <row r="799" spans="1:118">
      <c r="A799" t="str">
        <f>"002391"</f>
        <v>002391</v>
      </c>
      <c r="B799" t="s">
        <v>4756</v>
      </c>
      <c r="C799">
        <v>-0.54</v>
      </c>
      <c r="D799">
        <v>-0.53</v>
      </c>
      <c r="E799">
        <v>0.41</v>
      </c>
      <c r="F799">
        <v>1256</v>
      </c>
      <c r="G799" t="s">
        <v>4757</v>
      </c>
      <c r="H799">
        <v>13578.55</v>
      </c>
      <c r="I799">
        <v>44.67</v>
      </c>
      <c r="J799" t="s">
        <v>120</v>
      </c>
      <c r="K799" t="s">
        <v>4758</v>
      </c>
      <c r="L799">
        <v>3.92</v>
      </c>
      <c r="M799">
        <v>7.35</v>
      </c>
      <c r="N799">
        <v>1.95</v>
      </c>
      <c r="O799">
        <v>3.52</v>
      </c>
      <c r="P799">
        <v>7.65</v>
      </c>
      <c r="Q799">
        <v>-0.68</v>
      </c>
      <c r="R799">
        <v>7.34</v>
      </c>
      <c r="S799">
        <v>7.42</v>
      </c>
      <c r="T799">
        <v>181265</v>
      </c>
      <c r="U799">
        <v>7.36</v>
      </c>
      <c r="V799">
        <v>7.39</v>
      </c>
      <c r="W799">
        <v>14.75</v>
      </c>
      <c r="X799" t="s">
        <v>690</v>
      </c>
      <c r="Y799" t="s">
        <v>319</v>
      </c>
      <c r="Z799">
        <v>4.1900000000000004</v>
      </c>
      <c r="AA799">
        <v>7.49</v>
      </c>
      <c r="AB799">
        <v>94471</v>
      </c>
      <c r="AC799">
        <v>86794</v>
      </c>
      <c r="AD799">
        <v>1.0900000000000001</v>
      </c>
      <c r="AE799">
        <v>76</v>
      </c>
      <c r="AF799">
        <v>41</v>
      </c>
      <c r="AG799" t="s">
        <v>120</v>
      </c>
      <c r="AH799">
        <v>0.01</v>
      </c>
      <c r="AI799" t="s">
        <v>120</v>
      </c>
      <c r="AJ799">
        <v>4.62</v>
      </c>
      <c r="AK799" t="s">
        <v>4759</v>
      </c>
      <c r="AL799">
        <v>1.37</v>
      </c>
      <c r="AM799">
        <v>3000</v>
      </c>
      <c r="AN799">
        <v>60</v>
      </c>
      <c r="AO799">
        <v>1.2999999999999999E-3</v>
      </c>
      <c r="AP799">
        <v>-1</v>
      </c>
      <c r="AQ799">
        <v>2.5</v>
      </c>
      <c r="AR799">
        <v>1.1000000000000001</v>
      </c>
      <c r="AS799">
        <v>9.2200000000000006</v>
      </c>
      <c r="AT799">
        <v>6.06</v>
      </c>
      <c r="AU799">
        <v>5.3</v>
      </c>
      <c r="AV799">
        <v>0</v>
      </c>
      <c r="AW799">
        <v>4.4000000000000004</v>
      </c>
      <c r="AX799">
        <v>62.98</v>
      </c>
      <c r="AY799">
        <v>22.97</v>
      </c>
      <c r="AZ799">
        <v>24.79</v>
      </c>
      <c r="BA799">
        <v>0.28000000000000003</v>
      </c>
      <c r="BB799" t="s">
        <v>184</v>
      </c>
      <c r="BF799">
        <v>1.37</v>
      </c>
      <c r="BG799">
        <v>-0.94</v>
      </c>
      <c r="BH799">
        <v>-3.92</v>
      </c>
      <c r="BI799">
        <v>0.14000000000000001</v>
      </c>
      <c r="BJ799">
        <v>20210914</v>
      </c>
      <c r="BK799">
        <v>20100416</v>
      </c>
      <c r="BL799">
        <v>6.54</v>
      </c>
      <c r="BM799" t="s">
        <v>120</v>
      </c>
      <c r="BN799" t="s">
        <v>120</v>
      </c>
      <c r="BO799">
        <v>65.55</v>
      </c>
      <c r="BP799">
        <v>7.35</v>
      </c>
      <c r="BQ799">
        <v>43.94</v>
      </c>
      <c r="BR799">
        <v>0.14000000000000001</v>
      </c>
      <c r="BS799">
        <v>32.75</v>
      </c>
      <c r="BT799">
        <v>32.93</v>
      </c>
      <c r="BU799">
        <v>21.3</v>
      </c>
      <c r="BV799">
        <v>1.59</v>
      </c>
      <c r="BW799">
        <v>18.88</v>
      </c>
      <c r="BX799">
        <v>5.16</v>
      </c>
      <c r="BY799">
        <v>12.39</v>
      </c>
      <c r="BZ799">
        <v>8.23</v>
      </c>
      <c r="CA799" t="s">
        <v>120</v>
      </c>
      <c r="CB799">
        <v>21.46</v>
      </c>
      <c r="CC799">
        <v>18.440000000000001</v>
      </c>
      <c r="CD799">
        <v>14.87</v>
      </c>
      <c r="CE799">
        <v>1.89</v>
      </c>
      <c r="CF799">
        <v>0.11</v>
      </c>
      <c r="CG799">
        <v>1.8</v>
      </c>
      <c r="CH799">
        <v>1.64</v>
      </c>
      <c r="CI799">
        <v>1.63</v>
      </c>
      <c r="CJ799">
        <v>-0.04</v>
      </c>
      <c r="CK799">
        <v>1.57</v>
      </c>
      <c r="CL799">
        <v>14.14</v>
      </c>
      <c r="CM799">
        <v>1.06</v>
      </c>
      <c r="CN799">
        <v>1.62</v>
      </c>
      <c r="CO799">
        <v>35613</v>
      </c>
      <c r="CP799">
        <v>11564</v>
      </c>
      <c r="CQ799" t="s">
        <v>4760</v>
      </c>
      <c r="CR799">
        <v>10.46</v>
      </c>
      <c r="CS799">
        <v>15.12</v>
      </c>
      <c r="CT799">
        <v>1.0900000000000001</v>
      </c>
      <c r="CU799">
        <v>45.48</v>
      </c>
      <c r="CV799">
        <v>2.61</v>
      </c>
      <c r="CW799">
        <v>2.71</v>
      </c>
      <c r="CX799" t="s">
        <v>863</v>
      </c>
      <c r="CY799">
        <v>6.72</v>
      </c>
      <c r="CZ799">
        <v>0</v>
      </c>
      <c r="DA799">
        <v>3.28</v>
      </c>
      <c r="DB799">
        <v>2.16</v>
      </c>
      <c r="DC799">
        <v>0.16</v>
      </c>
      <c r="DD799">
        <v>67.02</v>
      </c>
      <c r="DE799" t="s">
        <v>3172</v>
      </c>
      <c r="DF799">
        <v>19.36</v>
      </c>
      <c r="DG799">
        <v>10.24</v>
      </c>
      <c r="DH799">
        <v>8.83</v>
      </c>
      <c r="DI799">
        <v>0.74</v>
      </c>
      <c r="DJ799">
        <v>2004</v>
      </c>
      <c r="DK799">
        <v>2391</v>
      </c>
      <c r="DL799" t="s">
        <v>120</v>
      </c>
      <c r="DM799" t="s">
        <v>120</v>
      </c>
      <c r="DN799" t="s">
        <v>120</v>
      </c>
    </row>
    <row r="800" spans="1:118">
      <c r="A800" t="str">
        <f>"002392"</f>
        <v>002392</v>
      </c>
      <c r="B800" t="s">
        <v>4761</v>
      </c>
      <c r="C800">
        <v>0.72</v>
      </c>
      <c r="D800">
        <v>0</v>
      </c>
      <c r="E800">
        <v>3.23</v>
      </c>
      <c r="F800">
        <v>4820</v>
      </c>
      <c r="G800" t="s">
        <v>4762</v>
      </c>
      <c r="H800">
        <v>59511.61</v>
      </c>
      <c r="I800">
        <v>670.81</v>
      </c>
      <c r="J800" t="s">
        <v>120</v>
      </c>
      <c r="K800" t="s">
        <v>3019</v>
      </c>
      <c r="L800">
        <v>11.93</v>
      </c>
      <c r="M800">
        <v>5.62</v>
      </c>
      <c r="N800">
        <v>2.2599999999999998</v>
      </c>
      <c r="O800">
        <v>10.039999999999999</v>
      </c>
      <c r="P800">
        <v>6.14</v>
      </c>
      <c r="Q800">
        <v>-0.18</v>
      </c>
      <c r="R800">
        <v>5.57</v>
      </c>
      <c r="S800">
        <v>5.76</v>
      </c>
      <c r="T800">
        <v>1015440</v>
      </c>
      <c r="U800">
        <v>5.62</v>
      </c>
      <c r="V800">
        <v>5.58</v>
      </c>
      <c r="W800">
        <v>13.91</v>
      </c>
      <c r="X800" t="s">
        <v>247</v>
      </c>
      <c r="Y800" t="s">
        <v>158</v>
      </c>
      <c r="Z800">
        <v>10.220000000000001</v>
      </c>
      <c r="AA800">
        <v>5.86</v>
      </c>
      <c r="AB800">
        <v>475210</v>
      </c>
      <c r="AC800">
        <v>540230</v>
      </c>
      <c r="AD800">
        <v>0.88</v>
      </c>
      <c r="AE800">
        <v>396</v>
      </c>
      <c r="AF800">
        <v>276</v>
      </c>
      <c r="AG800" t="s">
        <v>120</v>
      </c>
      <c r="AH800">
        <v>0.15</v>
      </c>
      <c r="AI800" t="s">
        <v>120</v>
      </c>
      <c r="AJ800">
        <v>8.51</v>
      </c>
      <c r="AK800" t="s">
        <v>2361</v>
      </c>
      <c r="AL800">
        <v>2.63</v>
      </c>
      <c r="AM800">
        <v>4249</v>
      </c>
      <c r="AN800">
        <v>239</v>
      </c>
      <c r="AO800">
        <v>2.8E-3</v>
      </c>
      <c r="AP800">
        <v>4</v>
      </c>
      <c r="AQ800">
        <v>3.33</v>
      </c>
      <c r="AR800">
        <v>7.05</v>
      </c>
      <c r="AS800">
        <v>35.42</v>
      </c>
      <c r="AT800">
        <v>28.9</v>
      </c>
      <c r="AU800">
        <v>25.17</v>
      </c>
      <c r="AV800">
        <v>1</v>
      </c>
      <c r="AW800">
        <v>13.03</v>
      </c>
      <c r="AX800">
        <v>65.45</v>
      </c>
      <c r="AY800">
        <v>14.33</v>
      </c>
      <c r="AZ800">
        <v>14.66</v>
      </c>
      <c r="BA800">
        <v>0.36</v>
      </c>
      <c r="BB800" t="s">
        <v>184</v>
      </c>
      <c r="BF800">
        <v>5.03</v>
      </c>
      <c r="BG800">
        <v>-2.4300000000000002</v>
      </c>
      <c r="BH800">
        <v>-8.4700000000000006</v>
      </c>
      <c r="BI800">
        <v>0.9</v>
      </c>
      <c r="BJ800">
        <v>20210821</v>
      </c>
      <c r="BK800">
        <v>20100423</v>
      </c>
      <c r="BL800">
        <v>11.9</v>
      </c>
      <c r="BM800" t="s">
        <v>120</v>
      </c>
      <c r="BN800" t="s">
        <v>120</v>
      </c>
      <c r="BO800">
        <v>67.33</v>
      </c>
      <c r="BP800">
        <v>5.61</v>
      </c>
      <c r="BQ800">
        <v>44.62</v>
      </c>
      <c r="BR800">
        <v>0.09</v>
      </c>
      <c r="BS800">
        <v>33.6</v>
      </c>
      <c r="BT800">
        <v>51.15</v>
      </c>
      <c r="BU800">
        <v>7.49</v>
      </c>
      <c r="BV800">
        <v>4.4800000000000004</v>
      </c>
      <c r="BW800">
        <v>22.28</v>
      </c>
      <c r="BX800">
        <v>3.96</v>
      </c>
      <c r="BY800">
        <v>10.52</v>
      </c>
      <c r="BZ800">
        <v>16.16</v>
      </c>
      <c r="CA800" t="s">
        <v>120</v>
      </c>
      <c r="CB800">
        <v>9.91</v>
      </c>
      <c r="CC800">
        <v>24.91</v>
      </c>
      <c r="CD800">
        <v>19.63</v>
      </c>
      <c r="CE800">
        <v>2.78</v>
      </c>
      <c r="CF800">
        <v>0.05</v>
      </c>
      <c r="CG800">
        <v>2.77</v>
      </c>
      <c r="CH800">
        <v>2.41</v>
      </c>
      <c r="CI800">
        <v>2.4</v>
      </c>
      <c r="CJ800">
        <v>0.04</v>
      </c>
      <c r="CK800">
        <v>2.2999999999999998</v>
      </c>
      <c r="CL800">
        <v>20.73</v>
      </c>
      <c r="CM800">
        <v>-1.1499999999999999</v>
      </c>
      <c r="CN800">
        <v>0.47</v>
      </c>
      <c r="CO800">
        <v>61110</v>
      </c>
      <c r="CP800">
        <v>12751</v>
      </c>
      <c r="CQ800" t="s">
        <v>1414</v>
      </c>
      <c r="CR800">
        <v>4.41</v>
      </c>
      <c r="CS800">
        <v>19.07</v>
      </c>
      <c r="CT800">
        <v>1.5</v>
      </c>
      <c r="CU800">
        <v>-58.34</v>
      </c>
      <c r="CV800">
        <v>2.69</v>
      </c>
      <c r="CW800">
        <v>0</v>
      </c>
      <c r="CX800" t="s">
        <v>4763</v>
      </c>
      <c r="CY800">
        <v>3.75</v>
      </c>
      <c r="CZ800">
        <v>0</v>
      </c>
      <c r="DA800">
        <v>0.83</v>
      </c>
      <c r="DB800">
        <v>1.74</v>
      </c>
      <c r="DC800">
        <v>-0.1</v>
      </c>
      <c r="DD800">
        <v>66.260000000000005</v>
      </c>
      <c r="DE800" t="s">
        <v>2423</v>
      </c>
      <c r="DF800">
        <v>21.18</v>
      </c>
      <c r="DG800">
        <v>11.14</v>
      </c>
      <c r="DH800">
        <v>9.65</v>
      </c>
      <c r="DI800">
        <v>1.29</v>
      </c>
      <c r="DJ800">
        <v>2284</v>
      </c>
      <c r="DK800">
        <v>2392</v>
      </c>
      <c r="DL800" t="s">
        <v>120</v>
      </c>
      <c r="DM800" t="s">
        <v>120</v>
      </c>
      <c r="DN800" t="s">
        <v>120</v>
      </c>
    </row>
    <row r="801" spans="1:118">
      <c r="A801" t="str">
        <f>"002393"</f>
        <v>002393</v>
      </c>
      <c r="B801" t="s">
        <v>4764</v>
      </c>
      <c r="C801">
        <v>-0.35</v>
      </c>
      <c r="D801">
        <v>-0.04</v>
      </c>
      <c r="E801">
        <v>-0.45</v>
      </c>
      <c r="F801">
        <v>215</v>
      </c>
      <c r="G801" t="s">
        <v>4765</v>
      </c>
      <c r="H801">
        <v>2153.46</v>
      </c>
      <c r="I801">
        <v>9.6</v>
      </c>
      <c r="J801" t="s">
        <v>120</v>
      </c>
      <c r="K801" t="s">
        <v>4766</v>
      </c>
      <c r="L801">
        <v>0.57999999999999996</v>
      </c>
      <c r="M801">
        <v>20.010000000000002</v>
      </c>
      <c r="N801">
        <v>0.92</v>
      </c>
      <c r="O801">
        <v>1.84</v>
      </c>
      <c r="P801">
        <v>20.45</v>
      </c>
      <c r="Q801">
        <v>-0.45</v>
      </c>
      <c r="R801">
        <v>19.989999999999998</v>
      </c>
      <c r="S801">
        <v>19.989999999999998</v>
      </c>
      <c r="T801">
        <v>10654</v>
      </c>
      <c r="U801">
        <v>20.02</v>
      </c>
      <c r="V801">
        <v>20.079999999999998</v>
      </c>
      <c r="W801">
        <v>29.8</v>
      </c>
      <c r="X801" t="s">
        <v>569</v>
      </c>
      <c r="Y801" t="s">
        <v>997</v>
      </c>
      <c r="Z801">
        <v>2.29</v>
      </c>
      <c r="AA801">
        <v>20.21</v>
      </c>
      <c r="AB801">
        <v>4949</v>
      </c>
      <c r="AC801">
        <v>5705</v>
      </c>
      <c r="AD801">
        <v>0.87</v>
      </c>
      <c r="AE801">
        <v>21</v>
      </c>
      <c r="AF801">
        <v>17</v>
      </c>
      <c r="AG801" t="s">
        <v>120</v>
      </c>
      <c r="AH801">
        <v>0.01</v>
      </c>
      <c r="AI801" t="s">
        <v>120</v>
      </c>
      <c r="AJ801">
        <v>1.82</v>
      </c>
      <c r="AK801" t="s">
        <v>4766</v>
      </c>
      <c r="AL801">
        <v>1.57</v>
      </c>
      <c r="AM801">
        <v>817</v>
      </c>
      <c r="AN801">
        <v>13</v>
      </c>
      <c r="AO801">
        <v>6.9999999999999999E-4</v>
      </c>
      <c r="AP801">
        <v>-1</v>
      </c>
      <c r="AQ801">
        <v>0.45</v>
      </c>
      <c r="AR801">
        <v>-1.86</v>
      </c>
      <c r="AS801">
        <v>1.67</v>
      </c>
      <c r="AT801">
        <v>8.0399999999999991</v>
      </c>
      <c r="AU801">
        <v>-1.38</v>
      </c>
      <c r="AV801">
        <v>0</v>
      </c>
      <c r="AW801">
        <v>1.2</v>
      </c>
      <c r="AX801">
        <v>48.64</v>
      </c>
      <c r="AY801">
        <v>275.44</v>
      </c>
      <c r="AZ801">
        <v>425.26</v>
      </c>
      <c r="BA801">
        <v>0.24</v>
      </c>
      <c r="BB801" t="s">
        <v>143</v>
      </c>
      <c r="BF801">
        <v>0.66</v>
      </c>
      <c r="BG801">
        <v>0.1</v>
      </c>
      <c r="BH801">
        <v>-2.15</v>
      </c>
      <c r="BI801">
        <v>0.1</v>
      </c>
      <c r="BJ801">
        <v>20210901</v>
      </c>
      <c r="BK801">
        <v>20100423</v>
      </c>
      <c r="BL801">
        <v>1.82</v>
      </c>
      <c r="BM801" t="s">
        <v>120</v>
      </c>
      <c r="BN801" t="s">
        <v>120</v>
      </c>
      <c r="BO801">
        <v>50.92</v>
      </c>
      <c r="BP801">
        <v>20.010000000000002</v>
      </c>
      <c r="BQ801">
        <v>43.44</v>
      </c>
      <c r="BR801" t="s">
        <v>120</v>
      </c>
      <c r="BS801">
        <v>14.68</v>
      </c>
      <c r="BT801">
        <v>22.98</v>
      </c>
      <c r="BU801">
        <v>9.81</v>
      </c>
      <c r="BV801">
        <v>1.46</v>
      </c>
      <c r="BW801">
        <v>5.24</v>
      </c>
      <c r="BX801">
        <v>14.81</v>
      </c>
      <c r="BY801">
        <v>2.56</v>
      </c>
      <c r="BZ801">
        <v>2.2000000000000002</v>
      </c>
      <c r="CA801" t="s">
        <v>120</v>
      </c>
      <c r="CB801">
        <v>16.920000000000002</v>
      </c>
      <c r="CC801">
        <v>5.87</v>
      </c>
      <c r="CD801">
        <v>2.4500000000000002</v>
      </c>
      <c r="CE801">
        <v>0.75</v>
      </c>
      <c r="CF801">
        <v>0.08</v>
      </c>
      <c r="CG801">
        <v>0.75</v>
      </c>
      <c r="CH801">
        <v>0.61</v>
      </c>
      <c r="CI801">
        <v>0.61</v>
      </c>
      <c r="CJ801">
        <v>-7.0000000000000007E-2</v>
      </c>
      <c r="CK801">
        <v>0.59</v>
      </c>
      <c r="CL801">
        <v>10.48</v>
      </c>
      <c r="CM801">
        <v>0.4</v>
      </c>
      <c r="CN801">
        <v>-0.79</v>
      </c>
      <c r="CO801">
        <v>18668</v>
      </c>
      <c r="CP801">
        <v>4754</v>
      </c>
      <c r="CQ801" t="s">
        <v>4767</v>
      </c>
      <c r="CR801">
        <v>8.2799999999999994</v>
      </c>
      <c r="CS801">
        <v>-4.32</v>
      </c>
      <c r="CT801">
        <v>0.84</v>
      </c>
      <c r="CU801">
        <v>91.04</v>
      </c>
      <c r="CV801">
        <v>6.22</v>
      </c>
      <c r="CW801">
        <v>0.5</v>
      </c>
      <c r="CX801" t="s">
        <v>1574</v>
      </c>
      <c r="CY801">
        <v>23.81</v>
      </c>
      <c r="CZ801">
        <v>0</v>
      </c>
      <c r="DA801">
        <v>9.27</v>
      </c>
      <c r="DB801">
        <v>5.75</v>
      </c>
      <c r="DC801">
        <v>0.22</v>
      </c>
      <c r="DD801">
        <v>85.32</v>
      </c>
      <c r="DE801" t="s">
        <v>2092</v>
      </c>
      <c r="DF801">
        <v>58.27</v>
      </c>
      <c r="DG801">
        <v>12.8</v>
      </c>
      <c r="DH801">
        <v>10.43</v>
      </c>
      <c r="DI801">
        <v>0.59</v>
      </c>
      <c r="DJ801">
        <v>1691</v>
      </c>
      <c r="DK801">
        <v>2393</v>
      </c>
      <c r="DL801" t="s">
        <v>120</v>
      </c>
      <c r="DM801" t="s">
        <v>120</v>
      </c>
      <c r="DN801" t="s">
        <v>120</v>
      </c>
    </row>
    <row r="802" spans="1:118">
      <c r="A802" t="str">
        <f>"002394"</f>
        <v>002394</v>
      </c>
      <c r="B802" t="s">
        <v>4768</v>
      </c>
      <c r="C802">
        <v>-2.11</v>
      </c>
      <c r="D802">
        <v>-0.99</v>
      </c>
      <c r="E802">
        <v>0.62</v>
      </c>
      <c r="F802">
        <v>3168</v>
      </c>
      <c r="G802" t="s">
        <v>4769</v>
      </c>
      <c r="H802">
        <v>1765.73</v>
      </c>
      <c r="I802">
        <v>25.9</v>
      </c>
      <c r="J802" t="s">
        <v>120</v>
      </c>
      <c r="K802" t="s">
        <v>4423</v>
      </c>
      <c r="L802">
        <v>0.68</v>
      </c>
      <c r="M802">
        <v>7.9</v>
      </c>
      <c r="N802">
        <v>1.04</v>
      </c>
      <c r="O802">
        <v>0.74</v>
      </c>
      <c r="P802">
        <v>8.1300000000000008</v>
      </c>
      <c r="Q802">
        <v>-2.11</v>
      </c>
      <c r="R802">
        <v>7.9</v>
      </c>
      <c r="S802">
        <v>8.1199999999999992</v>
      </c>
      <c r="T802">
        <v>21952</v>
      </c>
      <c r="U802">
        <v>7.9</v>
      </c>
      <c r="V802">
        <v>8.07</v>
      </c>
      <c r="W802">
        <v>11.92</v>
      </c>
      <c r="X802" t="s">
        <v>1766</v>
      </c>
      <c r="Y802" t="s">
        <v>319</v>
      </c>
      <c r="Z802">
        <v>2.85</v>
      </c>
      <c r="AA802">
        <v>8.0399999999999991</v>
      </c>
      <c r="AB802">
        <v>12936</v>
      </c>
      <c r="AC802">
        <v>9016</v>
      </c>
      <c r="AD802">
        <v>1.43</v>
      </c>
      <c r="AE802">
        <v>83</v>
      </c>
      <c r="AF802">
        <v>2714</v>
      </c>
      <c r="AG802" t="s">
        <v>120</v>
      </c>
      <c r="AH802">
        <v>0.02</v>
      </c>
      <c r="AI802" t="s">
        <v>120</v>
      </c>
      <c r="AJ802">
        <v>3.23</v>
      </c>
      <c r="AK802" t="s">
        <v>4770</v>
      </c>
      <c r="AL802">
        <v>-0.19</v>
      </c>
      <c r="AM802">
        <v>771</v>
      </c>
      <c r="AN802">
        <v>28</v>
      </c>
      <c r="AO802">
        <v>8.9999999999999998E-4</v>
      </c>
      <c r="AP802">
        <v>-1</v>
      </c>
      <c r="AQ802">
        <v>1.38</v>
      </c>
      <c r="AR802">
        <v>-2.95</v>
      </c>
      <c r="AS802">
        <v>4.6399999999999997</v>
      </c>
      <c r="AT802">
        <v>-2.59</v>
      </c>
      <c r="AU802">
        <v>-18.05</v>
      </c>
      <c r="AV802">
        <v>0</v>
      </c>
      <c r="AW802">
        <v>1.26</v>
      </c>
      <c r="AX802">
        <v>52.81</v>
      </c>
      <c r="AY802">
        <v>8.25</v>
      </c>
      <c r="AZ802">
        <v>5.64</v>
      </c>
      <c r="BA802">
        <v>0.3</v>
      </c>
      <c r="BB802" t="s">
        <v>143</v>
      </c>
      <c r="BF802">
        <v>-0.33</v>
      </c>
      <c r="BG802">
        <v>-2.71</v>
      </c>
      <c r="BH802">
        <v>-2.83</v>
      </c>
      <c r="BI802">
        <v>0</v>
      </c>
      <c r="BJ802">
        <v>20210824</v>
      </c>
      <c r="BK802">
        <v>20100423</v>
      </c>
      <c r="BL802">
        <v>3.29</v>
      </c>
      <c r="BM802" t="s">
        <v>120</v>
      </c>
      <c r="BN802" t="s">
        <v>120</v>
      </c>
      <c r="BO802">
        <v>48.31</v>
      </c>
      <c r="BP802">
        <v>7.88</v>
      </c>
      <c r="BQ802">
        <v>37.03</v>
      </c>
      <c r="BR802">
        <v>0.12</v>
      </c>
      <c r="BS802">
        <v>23.09</v>
      </c>
      <c r="BT802">
        <v>30.78</v>
      </c>
      <c r="BU802">
        <v>13.24</v>
      </c>
      <c r="BV802">
        <v>1.85</v>
      </c>
      <c r="BW802">
        <v>9.6999999999999993</v>
      </c>
      <c r="BX802">
        <v>8.36</v>
      </c>
      <c r="BY802">
        <v>6.13</v>
      </c>
      <c r="BZ802">
        <v>4.63</v>
      </c>
      <c r="CA802" t="s">
        <v>120</v>
      </c>
      <c r="CB802">
        <v>9.84</v>
      </c>
      <c r="CC802">
        <v>22.36</v>
      </c>
      <c r="CD802">
        <v>19.239999999999998</v>
      </c>
      <c r="CE802">
        <v>1.05</v>
      </c>
      <c r="CF802">
        <v>0.65</v>
      </c>
      <c r="CG802">
        <v>1.0900000000000001</v>
      </c>
      <c r="CH802">
        <v>1.06</v>
      </c>
      <c r="CI802">
        <v>1.0900000000000001</v>
      </c>
      <c r="CJ802">
        <v>-0.17</v>
      </c>
      <c r="CK802">
        <v>0.94</v>
      </c>
      <c r="CL802">
        <v>22.47</v>
      </c>
      <c r="CM802">
        <v>1.37</v>
      </c>
      <c r="CN802">
        <v>6.03</v>
      </c>
      <c r="CO802">
        <v>21890</v>
      </c>
      <c r="CP802">
        <v>7934</v>
      </c>
      <c r="CQ802" t="s">
        <v>4771</v>
      </c>
      <c r="CR802">
        <v>-57.77</v>
      </c>
      <c r="CS802">
        <v>29.03</v>
      </c>
      <c r="CT802">
        <v>0.7</v>
      </c>
      <c r="CU802">
        <v>18.93</v>
      </c>
      <c r="CV802">
        <v>1.1599999999999999</v>
      </c>
      <c r="CW802">
        <v>3.76</v>
      </c>
      <c r="CX802" t="s">
        <v>1574</v>
      </c>
      <c r="CY802">
        <v>11.26</v>
      </c>
      <c r="CZ802">
        <v>0</v>
      </c>
      <c r="DA802">
        <v>2.99</v>
      </c>
      <c r="DB802">
        <v>6.83</v>
      </c>
      <c r="DC802">
        <v>0.42</v>
      </c>
      <c r="DD802">
        <v>76.650000000000006</v>
      </c>
      <c r="DE802" t="s">
        <v>4288</v>
      </c>
      <c r="DF802">
        <v>13.97</v>
      </c>
      <c r="DG802">
        <v>4.71</v>
      </c>
      <c r="DH802">
        <v>4.87</v>
      </c>
      <c r="DI802">
        <v>0.45</v>
      </c>
      <c r="DJ802">
        <v>7615</v>
      </c>
      <c r="DK802">
        <v>2394</v>
      </c>
      <c r="DL802" t="s">
        <v>120</v>
      </c>
      <c r="DM802" t="s">
        <v>120</v>
      </c>
      <c r="DN802" t="s">
        <v>120</v>
      </c>
    </row>
    <row r="803" spans="1:118">
      <c r="A803" t="str">
        <f>"002395"</f>
        <v>002395</v>
      </c>
      <c r="B803" t="s">
        <v>4772</v>
      </c>
      <c r="C803">
        <v>1.2</v>
      </c>
      <c r="D803">
        <v>0.27</v>
      </c>
      <c r="E803">
        <v>1.02</v>
      </c>
      <c r="F803">
        <v>262</v>
      </c>
      <c r="G803" t="s">
        <v>4773</v>
      </c>
      <c r="H803">
        <v>4338.8999999999996</v>
      </c>
      <c r="I803">
        <v>0</v>
      </c>
      <c r="J803" t="s">
        <v>120</v>
      </c>
      <c r="K803" t="s">
        <v>4774</v>
      </c>
      <c r="L803">
        <v>1.47</v>
      </c>
      <c r="M803">
        <v>10.95</v>
      </c>
      <c r="N803">
        <v>2.73</v>
      </c>
      <c r="O803">
        <v>4.8099999999999996</v>
      </c>
      <c r="P803">
        <v>11.34</v>
      </c>
      <c r="Q803">
        <v>-0.55000000000000004</v>
      </c>
      <c r="R803">
        <v>10.76</v>
      </c>
      <c r="S803">
        <v>10.93</v>
      </c>
      <c r="T803">
        <v>39320</v>
      </c>
      <c r="U803">
        <v>10.95</v>
      </c>
      <c r="V803">
        <v>10.82</v>
      </c>
      <c r="W803">
        <v>34.130000000000003</v>
      </c>
      <c r="X803" t="s">
        <v>2211</v>
      </c>
      <c r="Y803" t="s">
        <v>319</v>
      </c>
      <c r="Z803">
        <v>5.36</v>
      </c>
      <c r="AA803">
        <v>11.03</v>
      </c>
      <c r="AB803">
        <v>19069</v>
      </c>
      <c r="AC803">
        <v>20251</v>
      </c>
      <c r="AD803">
        <v>0.94</v>
      </c>
      <c r="AE803">
        <v>10</v>
      </c>
      <c r="AF803">
        <v>22</v>
      </c>
      <c r="AG803" t="s">
        <v>120</v>
      </c>
      <c r="AH803">
        <v>0</v>
      </c>
      <c r="AI803" t="s">
        <v>120</v>
      </c>
      <c r="AJ803">
        <v>2.68</v>
      </c>
      <c r="AK803" t="s">
        <v>4774</v>
      </c>
      <c r="AL803">
        <v>3.12</v>
      </c>
      <c r="AM803">
        <v>1711</v>
      </c>
      <c r="AN803">
        <v>23</v>
      </c>
      <c r="AO803">
        <v>8.9999999999999998E-4</v>
      </c>
      <c r="AP803">
        <v>2</v>
      </c>
      <c r="AQ803">
        <v>3.34</v>
      </c>
      <c r="AR803">
        <v>1.76</v>
      </c>
      <c r="AS803">
        <v>4.78</v>
      </c>
      <c r="AT803">
        <v>-7.44</v>
      </c>
      <c r="AU803">
        <v>-20.82</v>
      </c>
      <c r="AV803">
        <v>0</v>
      </c>
      <c r="AW803">
        <v>4.13</v>
      </c>
      <c r="AX803">
        <v>35.479999999999997</v>
      </c>
      <c r="AY803">
        <v>43.47</v>
      </c>
      <c r="AZ803">
        <v>68.78</v>
      </c>
      <c r="BA803">
        <v>0.63</v>
      </c>
      <c r="BB803" t="s">
        <v>168</v>
      </c>
      <c r="BF803">
        <v>1.98</v>
      </c>
      <c r="BG803">
        <v>0.18</v>
      </c>
      <c r="BH803">
        <v>-3.44</v>
      </c>
      <c r="BI803">
        <v>1.77</v>
      </c>
      <c r="BJ803">
        <v>20210817</v>
      </c>
      <c r="BK803">
        <v>20100429</v>
      </c>
      <c r="BL803">
        <v>2.68</v>
      </c>
      <c r="BM803" t="s">
        <v>120</v>
      </c>
      <c r="BN803" t="s">
        <v>120</v>
      </c>
      <c r="BO803">
        <v>15.77</v>
      </c>
      <c r="BP803">
        <v>10.94</v>
      </c>
      <c r="BQ803">
        <v>9.3800000000000008</v>
      </c>
      <c r="BR803" t="s">
        <v>120</v>
      </c>
      <c r="BS803">
        <v>40.549999999999997</v>
      </c>
      <c r="BT803">
        <v>10.039999999999999</v>
      </c>
      <c r="BU803">
        <v>2.63</v>
      </c>
      <c r="BV803">
        <v>1.0900000000000001</v>
      </c>
      <c r="BW803">
        <v>3.97</v>
      </c>
      <c r="BX803">
        <v>3.15</v>
      </c>
      <c r="BY803">
        <v>4.1900000000000004</v>
      </c>
      <c r="BZ803">
        <v>0.59</v>
      </c>
      <c r="CA803" t="s">
        <v>120</v>
      </c>
      <c r="CB803">
        <v>3.38</v>
      </c>
      <c r="CC803">
        <v>7.04</v>
      </c>
      <c r="CD803">
        <v>6.03</v>
      </c>
      <c r="CE803">
        <v>0.5</v>
      </c>
      <c r="CF803">
        <v>0</v>
      </c>
      <c r="CG803">
        <v>0.5</v>
      </c>
      <c r="CH803">
        <v>0.43</v>
      </c>
      <c r="CI803">
        <v>0.43</v>
      </c>
      <c r="CJ803">
        <v>0.13</v>
      </c>
      <c r="CK803">
        <v>0.42</v>
      </c>
      <c r="CL803">
        <v>2.95</v>
      </c>
      <c r="CM803">
        <v>-0.26</v>
      </c>
      <c r="CN803">
        <v>-1.52</v>
      </c>
      <c r="CO803">
        <v>8671</v>
      </c>
      <c r="CP803">
        <v>10975</v>
      </c>
      <c r="CQ803" t="s">
        <v>4775</v>
      </c>
      <c r="CR803">
        <v>133.03</v>
      </c>
      <c r="CS803">
        <v>19.87</v>
      </c>
      <c r="CT803">
        <v>3.13</v>
      </c>
      <c r="CU803">
        <v>-112.51</v>
      </c>
      <c r="CV803">
        <v>4.17</v>
      </c>
      <c r="CW803">
        <v>1.39</v>
      </c>
      <c r="CX803" t="s">
        <v>1091</v>
      </c>
      <c r="CY803">
        <v>3.5</v>
      </c>
      <c r="CZ803">
        <v>0</v>
      </c>
      <c r="DA803">
        <v>1.26</v>
      </c>
      <c r="DB803">
        <v>1.1000000000000001</v>
      </c>
      <c r="DC803">
        <v>-0.1</v>
      </c>
      <c r="DD803">
        <v>59.45</v>
      </c>
      <c r="DE803" t="s">
        <v>4776</v>
      </c>
      <c r="DF803">
        <v>14.36</v>
      </c>
      <c r="DG803">
        <v>7.08</v>
      </c>
      <c r="DH803">
        <v>6.11</v>
      </c>
      <c r="DI803">
        <v>0.26</v>
      </c>
      <c r="DJ803">
        <v>602</v>
      </c>
      <c r="DK803">
        <v>2395</v>
      </c>
      <c r="DL803" t="s">
        <v>120</v>
      </c>
      <c r="DM803" t="s">
        <v>120</v>
      </c>
      <c r="DN803" t="s">
        <v>120</v>
      </c>
    </row>
    <row r="804" spans="1:118">
      <c r="A804" t="str">
        <f>"002396"</f>
        <v>002396</v>
      </c>
      <c r="B804" t="s">
        <v>4777</v>
      </c>
      <c r="C804">
        <v>-3.12</v>
      </c>
      <c r="D804">
        <v>0.08</v>
      </c>
      <c r="E804">
        <v>0</v>
      </c>
      <c r="F804">
        <v>1001</v>
      </c>
      <c r="G804" t="s">
        <v>4778</v>
      </c>
      <c r="H804">
        <v>34939.300000000003</v>
      </c>
      <c r="I804">
        <v>133.38</v>
      </c>
      <c r="J804" t="s">
        <v>120</v>
      </c>
      <c r="K804" t="s">
        <v>4779</v>
      </c>
      <c r="L804">
        <v>2.4500000000000002</v>
      </c>
      <c r="M804">
        <v>24.2</v>
      </c>
      <c r="N804">
        <v>1.18</v>
      </c>
      <c r="O804">
        <v>0.64</v>
      </c>
      <c r="P804">
        <v>25.14</v>
      </c>
      <c r="Q804">
        <v>-3.92</v>
      </c>
      <c r="R804">
        <v>24</v>
      </c>
      <c r="S804">
        <v>24.98</v>
      </c>
      <c r="T804">
        <v>142679</v>
      </c>
      <c r="U804">
        <v>24.21</v>
      </c>
      <c r="V804">
        <v>24.98</v>
      </c>
      <c r="W804">
        <v>27.89</v>
      </c>
      <c r="X804" t="s">
        <v>462</v>
      </c>
      <c r="Y804" t="s">
        <v>937</v>
      </c>
      <c r="Z804">
        <v>4.5599999999999996</v>
      </c>
      <c r="AA804">
        <v>24.49</v>
      </c>
      <c r="AB804">
        <v>79913</v>
      </c>
      <c r="AC804">
        <v>62766</v>
      </c>
      <c r="AD804">
        <v>1.27</v>
      </c>
      <c r="AE804">
        <v>332</v>
      </c>
      <c r="AF804">
        <v>79</v>
      </c>
      <c r="AG804" t="s">
        <v>120</v>
      </c>
      <c r="AH804">
        <v>0.01</v>
      </c>
      <c r="AI804" t="s">
        <v>120</v>
      </c>
      <c r="AJ804">
        <v>5.83</v>
      </c>
      <c r="AK804" t="s">
        <v>4779</v>
      </c>
      <c r="AL804">
        <v>-1.21</v>
      </c>
      <c r="AM804">
        <v>3923</v>
      </c>
      <c r="AN804">
        <v>36</v>
      </c>
      <c r="AO804">
        <v>5.9999999999999995E-4</v>
      </c>
      <c r="AP804">
        <v>-6</v>
      </c>
      <c r="AQ804">
        <v>-0.36</v>
      </c>
      <c r="AR804">
        <v>-7.31</v>
      </c>
      <c r="AS804">
        <v>-13.85</v>
      </c>
      <c r="AT804">
        <v>12.56</v>
      </c>
      <c r="AU804">
        <v>5.4</v>
      </c>
      <c r="AV804">
        <v>2</v>
      </c>
      <c r="AW804">
        <v>3.33</v>
      </c>
      <c r="AX804">
        <v>73.5</v>
      </c>
      <c r="AY804">
        <v>23.66</v>
      </c>
      <c r="AZ804">
        <v>33.78</v>
      </c>
      <c r="BA804">
        <v>0.79</v>
      </c>
      <c r="BB804" t="s">
        <v>134</v>
      </c>
      <c r="BF804">
        <v>-1.97</v>
      </c>
      <c r="BG804">
        <v>-3.12</v>
      </c>
      <c r="BH804">
        <v>-3.74</v>
      </c>
      <c r="BI804">
        <v>0.83</v>
      </c>
      <c r="BJ804">
        <v>20210827</v>
      </c>
      <c r="BK804">
        <v>20100623</v>
      </c>
      <c r="BL804">
        <v>5.83</v>
      </c>
      <c r="BM804" t="s">
        <v>120</v>
      </c>
      <c r="BN804" t="s">
        <v>120</v>
      </c>
      <c r="BO804">
        <v>100.49</v>
      </c>
      <c r="BP804">
        <v>24.2</v>
      </c>
      <c r="BQ804">
        <v>43.92</v>
      </c>
      <c r="BR804">
        <v>8.17</v>
      </c>
      <c r="BS804">
        <v>48.17</v>
      </c>
      <c r="BT804">
        <v>76.75</v>
      </c>
      <c r="BU804">
        <v>7.59</v>
      </c>
      <c r="BV804">
        <v>1.47</v>
      </c>
      <c r="BW804">
        <v>46.51</v>
      </c>
      <c r="BX804">
        <v>16.82</v>
      </c>
      <c r="BY804">
        <v>34.21</v>
      </c>
      <c r="BZ804">
        <v>18.829999999999998</v>
      </c>
      <c r="CA804" t="s">
        <v>120</v>
      </c>
      <c r="CB804">
        <v>3.52</v>
      </c>
      <c r="CC804">
        <v>52.87</v>
      </c>
      <c r="CD804">
        <v>35.42</v>
      </c>
      <c r="CE804">
        <v>3.21</v>
      </c>
      <c r="CF804">
        <v>0.18</v>
      </c>
      <c r="CG804">
        <v>3.24</v>
      </c>
      <c r="CH804">
        <v>3.6</v>
      </c>
      <c r="CI804">
        <v>2.5299999999999998</v>
      </c>
      <c r="CJ804">
        <v>-0.78</v>
      </c>
      <c r="CK804">
        <v>2.09</v>
      </c>
      <c r="CL804">
        <v>31.88</v>
      </c>
      <c r="CM804">
        <v>-9.27</v>
      </c>
      <c r="CN804">
        <v>-3.84</v>
      </c>
      <c r="CO804">
        <v>61958</v>
      </c>
      <c r="CP804">
        <v>6920</v>
      </c>
      <c r="CQ804" t="s">
        <v>4126</v>
      </c>
      <c r="CR804">
        <v>269.14</v>
      </c>
      <c r="CS804">
        <v>56.22</v>
      </c>
      <c r="CT804">
        <v>3.21</v>
      </c>
      <c r="CU804">
        <v>-15.23</v>
      </c>
      <c r="CV804">
        <v>2.67</v>
      </c>
      <c r="CW804">
        <v>0.4</v>
      </c>
      <c r="CX804" t="s">
        <v>4780</v>
      </c>
      <c r="CY804">
        <v>7.53</v>
      </c>
      <c r="CZ804">
        <v>0</v>
      </c>
      <c r="DA804">
        <v>0.6</v>
      </c>
      <c r="DB804">
        <v>5.47</v>
      </c>
      <c r="DC804">
        <v>-1.59</v>
      </c>
      <c r="DD804">
        <v>43.71</v>
      </c>
      <c r="DE804" t="s">
        <v>4781</v>
      </c>
      <c r="DF804">
        <v>33.01</v>
      </c>
      <c r="DG804">
        <v>6.08</v>
      </c>
      <c r="DH804">
        <v>4.79</v>
      </c>
      <c r="DI804">
        <v>6.51</v>
      </c>
      <c r="DJ804">
        <v>9520</v>
      </c>
      <c r="DK804">
        <v>2396</v>
      </c>
      <c r="DL804" t="s">
        <v>120</v>
      </c>
      <c r="DM804" t="s">
        <v>120</v>
      </c>
      <c r="DN804" t="s">
        <v>120</v>
      </c>
    </row>
    <row r="805" spans="1:118">
      <c r="A805" t="str">
        <f>"002397"</f>
        <v>002397</v>
      </c>
      <c r="B805" t="s">
        <v>4782</v>
      </c>
      <c r="C805">
        <v>-2.13</v>
      </c>
      <c r="D805">
        <v>0</v>
      </c>
      <c r="E805">
        <v>0</v>
      </c>
      <c r="F805">
        <v>836</v>
      </c>
      <c r="G805" t="s">
        <v>4783</v>
      </c>
      <c r="H805">
        <v>3709.63</v>
      </c>
      <c r="I805">
        <v>20.94</v>
      </c>
      <c r="J805" t="s">
        <v>120</v>
      </c>
      <c r="K805" t="s">
        <v>4313</v>
      </c>
      <c r="L805">
        <v>1.82</v>
      </c>
      <c r="M805">
        <v>4.1399999999999997</v>
      </c>
      <c r="N805">
        <v>0.73</v>
      </c>
      <c r="O805">
        <v>1.42</v>
      </c>
      <c r="P805">
        <v>4.29</v>
      </c>
      <c r="Q805">
        <v>-2.13</v>
      </c>
      <c r="R805">
        <v>4.1399999999999997</v>
      </c>
      <c r="S805">
        <v>4.2300000000000004</v>
      </c>
      <c r="T805">
        <v>88147</v>
      </c>
      <c r="U805">
        <v>4.1500000000000004</v>
      </c>
      <c r="V805">
        <v>4.2300000000000004</v>
      </c>
      <c r="W805">
        <v>33.56</v>
      </c>
      <c r="X805" t="s">
        <v>1766</v>
      </c>
      <c r="Y805" t="s">
        <v>594</v>
      </c>
      <c r="Z805">
        <v>3.55</v>
      </c>
      <c r="AA805">
        <v>4.21</v>
      </c>
      <c r="AB805">
        <v>53996</v>
      </c>
      <c r="AC805">
        <v>34151</v>
      </c>
      <c r="AD805">
        <v>1.58</v>
      </c>
      <c r="AE805">
        <v>1788</v>
      </c>
      <c r="AF805">
        <v>983</v>
      </c>
      <c r="AG805" t="s">
        <v>120</v>
      </c>
      <c r="AH805">
        <v>0.02</v>
      </c>
      <c r="AI805" t="s">
        <v>120</v>
      </c>
      <c r="AJ805">
        <v>4.83</v>
      </c>
      <c r="AK805" t="s">
        <v>4784</v>
      </c>
      <c r="AL805">
        <v>-0.21</v>
      </c>
      <c r="AM805">
        <v>1219</v>
      </c>
      <c r="AN805">
        <v>72</v>
      </c>
      <c r="AO805">
        <v>1.5E-3</v>
      </c>
      <c r="AP805">
        <v>-3</v>
      </c>
      <c r="AQ805">
        <v>-0.47</v>
      </c>
      <c r="AR805">
        <v>-5.91</v>
      </c>
      <c r="AS805">
        <v>-12.47</v>
      </c>
      <c r="AT805">
        <v>5.34</v>
      </c>
      <c r="AU805">
        <v>-16.37</v>
      </c>
      <c r="AV805">
        <v>4</v>
      </c>
      <c r="AW805">
        <v>2.76</v>
      </c>
      <c r="AX805">
        <v>41.85</v>
      </c>
      <c r="AY805">
        <v>69.760000000000005</v>
      </c>
      <c r="AZ805">
        <v>71.900000000000006</v>
      </c>
      <c r="BA805">
        <v>0.23</v>
      </c>
      <c r="BB805" t="s">
        <v>125</v>
      </c>
      <c r="BF805">
        <v>-0.51</v>
      </c>
      <c r="BG805">
        <v>-2.13</v>
      </c>
      <c r="BH805">
        <v>-3.5</v>
      </c>
      <c r="BI805">
        <v>0</v>
      </c>
      <c r="BJ805">
        <v>20210913</v>
      </c>
      <c r="BK805">
        <v>20100429</v>
      </c>
      <c r="BL805">
        <v>7.64</v>
      </c>
      <c r="BM805" t="s">
        <v>120</v>
      </c>
      <c r="BN805" t="s">
        <v>120</v>
      </c>
      <c r="BO805">
        <v>36.909999999999997</v>
      </c>
      <c r="BP805">
        <v>4.1399999999999997</v>
      </c>
      <c r="BQ805">
        <v>18.07</v>
      </c>
      <c r="BR805">
        <v>0.41</v>
      </c>
      <c r="BS805">
        <v>49.94</v>
      </c>
      <c r="BT805">
        <v>20.96</v>
      </c>
      <c r="BU805">
        <v>10.11</v>
      </c>
      <c r="BV805">
        <v>1.35</v>
      </c>
      <c r="BW805">
        <v>17.190000000000001</v>
      </c>
      <c r="BX805">
        <v>4.95</v>
      </c>
      <c r="BY805">
        <v>8.1300000000000008</v>
      </c>
      <c r="BZ805">
        <v>3.5</v>
      </c>
      <c r="CA805" t="s">
        <v>120</v>
      </c>
      <c r="CB805">
        <v>6.8</v>
      </c>
      <c r="CC805">
        <v>10.16</v>
      </c>
      <c r="CD805">
        <v>5.61</v>
      </c>
      <c r="CE805">
        <v>0.56000000000000005</v>
      </c>
      <c r="CF805">
        <v>0</v>
      </c>
      <c r="CG805">
        <v>0.56999999999999995</v>
      </c>
      <c r="CH805">
        <v>0.49</v>
      </c>
      <c r="CI805">
        <v>0.47</v>
      </c>
      <c r="CJ805">
        <v>-0.09</v>
      </c>
      <c r="CK805">
        <v>0.43</v>
      </c>
      <c r="CL805">
        <v>2.96</v>
      </c>
      <c r="CM805">
        <v>-1.0900000000000001</v>
      </c>
      <c r="CN805">
        <v>-1.1399999999999999</v>
      </c>
      <c r="CO805">
        <v>43457</v>
      </c>
      <c r="CP805">
        <v>7353</v>
      </c>
      <c r="CQ805" t="s">
        <v>3888</v>
      </c>
      <c r="CR805">
        <v>3.01</v>
      </c>
      <c r="CS805">
        <v>14.67</v>
      </c>
      <c r="CT805">
        <v>1.74</v>
      </c>
      <c r="CU805">
        <v>-28.87</v>
      </c>
      <c r="CV805">
        <v>3.11</v>
      </c>
      <c r="CW805">
        <v>1.4</v>
      </c>
      <c r="CX805" t="s">
        <v>1064</v>
      </c>
      <c r="CY805">
        <v>2.38</v>
      </c>
      <c r="CZ805">
        <v>2.38</v>
      </c>
      <c r="DA805">
        <v>0.89</v>
      </c>
      <c r="DB805">
        <v>0.39</v>
      </c>
      <c r="DC805">
        <v>-0.14000000000000001</v>
      </c>
      <c r="DD805">
        <v>48.95</v>
      </c>
      <c r="DE805" t="s">
        <v>514</v>
      </c>
      <c r="DF805">
        <v>44.77</v>
      </c>
      <c r="DG805">
        <v>5.54</v>
      </c>
      <c r="DH805">
        <v>4.63</v>
      </c>
      <c r="DI805">
        <v>0.36</v>
      </c>
      <c r="DJ805">
        <v>3150</v>
      </c>
      <c r="DK805">
        <v>2397</v>
      </c>
      <c r="DL805" t="s">
        <v>120</v>
      </c>
      <c r="DM805" t="s">
        <v>120</v>
      </c>
      <c r="DN805" t="s">
        <v>120</v>
      </c>
    </row>
    <row r="806" spans="1:118">
      <c r="A806" t="str">
        <f>"002398"</f>
        <v>002398</v>
      </c>
      <c r="B806" t="s">
        <v>4785</v>
      </c>
      <c r="C806">
        <v>3.4</v>
      </c>
      <c r="D806">
        <v>0.15</v>
      </c>
      <c r="E806">
        <v>0</v>
      </c>
      <c r="F806">
        <v>2371</v>
      </c>
      <c r="G806" t="s">
        <v>4786</v>
      </c>
      <c r="H806">
        <v>20243.740000000002</v>
      </c>
      <c r="I806">
        <v>6.66</v>
      </c>
      <c r="J806" t="s">
        <v>120</v>
      </c>
      <c r="K806" t="s">
        <v>4787</v>
      </c>
      <c r="L806">
        <v>5.33</v>
      </c>
      <c r="M806">
        <v>6.69</v>
      </c>
      <c r="N806">
        <v>2.65</v>
      </c>
      <c r="O806">
        <v>8.19</v>
      </c>
      <c r="P806">
        <v>7</v>
      </c>
      <c r="Q806">
        <v>0</v>
      </c>
      <c r="R806">
        <v>6.47</v>
      </c>
      <c r="S806">
        <v>6.47</v>
      </c>
      <c r="T806">
        <v>299138</v>
      </c>
      <c r="U806">
        <v>6.69</v>
      </c>
      <c r="V806">
        <v>6.47</v>
      </c>
      <c r="W806">
        <v>16.010000000000002</v>
      </c>
      <c r="X806" t="s">
        <v>247</v>
      </c>
      <c r="Y806" t="s">
        <v>937</v>
      </c>
      <c r="Z806">
        <v>8.19</v>
      </c>
      <c r="AA806">
        <v>6.77</v>
      </c>
      <c r="AB806">
        <v>141127</v>
      </c>
      <c r="AC806">
        <v>158011</v>
      </c>
      <c r="AD806">
        <v>0.89</v>
      </c>
      <c r="AE806">
        <v>295</v>
      </c>
      <c r="AF806">
        <v>394</v>
      </c>
      <c r="AG806" t="s">
        <v>120</v>
      </c>
      <c r="AH806">
        <v>0</v>
      </c>
      <c r="AI806" t="s">
        <v>120</v>
      </c>
      <c r="AJ806">
        <v>5.61</v>
      </c>
      <c r="AK806" t="s">
        <v>4788</v>
      </c>
      <c r="AL806">
        <v>5.31</v>
      </c>
      <c r="AM806">
        <v>3011</v>
      </c>
      <c r="AN806">
        <v>99</v>
      </c>
      <c r="AO806">
        <v>1.8E-3</v>
      </c>
      <c r="AP806">
        <v>1</v>
      </c>
      <c r="AQ806">
        <v>-0.46</v>
      </c>
      <c r="AR806">
        <v>-0.3</v>
      </c>
      <c r="AS806">
        <v>9.49</v>
      </c>
      <c r="AT806">
        <v>-7.85</v>
      </c>
      <c r="AU806">
        <v>-13.11</v>
      </c>
      <c r="AV806">
        <v>0</v>
      </c>
      <c r="AW806">
        <v>5.92</v>
      </c>
      <c r="AX806">
        <v>70.19</v>
      </c>
      <c r="AY806">
        <v>13.39</v>
      </c>
      <c r="AZ806">
        <v>12.52</v>
      </c>
      <c r="BA806">
        <v>0.18</v>
      </c>
      <c r="BB806" t="s">
        <v>125</v>
      </c>
      <c r="BF806">
        <v>4.5999999999999996</v>
      </c>
      <c r="BG806">
        <v>3.4</v>
      </c>
      <c r="BH806">
        <v>-4.43</v>
      </c>
      <c r="BI806">
        <v>3.4</v>
      </c>
      <c r="BJ806">
        <v>20210824</v>
      </c>
      <c r="BK806">
        <v>20100506</v>
      </c>
      <c r="BL806">
        <v>7.2</v>
      </c>
      <c r="BM806" t="s">
        <v>120</v>
      </c>
      <c r="BN806" t="s">
        <v>120</v>
      </c>
      <c r="BO806">
        <v>58.38</v>
      </c>
      <c r="BP806">
        <v>6.68</v>
      </c>
      <c r="BQ806">
        <v>32.770000000000003</v>
      </c>
      <c r="BR806">
        <v>0.79</v>
      </c>
      <c r="BS806">
        <v>42.51</v>
      </c>
      <c r="BT806">
        <v>43.06</v>
      </c>
      <c r="BU806">
        <v>4.33</v>
      </c>
      <c r="BV806">
        <v>1.34</v>
      </c>
      <c r="BW806">
        <v>24.18</v>
      </c>
      <c r="BX806">
        <v>4.63</v>
      </c>
      <c r="BY806">
        <v>1.52</v>
      </c>
      <c r="BZ806">
        <v>28.4</v>
      </c>
      <c r="CA806">
        <v>0.06</v>
      </c>
      <c r="CB806">
        <v>3.62</v>
      </c>
      <c r="CC806">
        <v>22.76</v>
      </c>
      <c r="CD806">
        <v>18.47</v>
      </c>
      <c r="CE806">
        <v>1.72</v>
      </c>
      <c r="CF806">
        <v>0.1</v>
      </c>
      <c r="CG806">
        <v>1.76</v>
      </c>
      <c r="CH806">
        <v>1.54</v>
      </c>
      <c r="CI806">
        <v>1.51</v>
      </c>
      <c r="CJ806">
        <v>0.22</v>
      </c>
      <c r="CK806">
        <v>1.35</v>
      </c>
      <c r="CL806">
        <v>22.48</v>
      </c>
      <c r="CM806">
        <v>-1.37</v>
      </c>
      <c r="CN806">
        <v>0.01</v>
      </c>
      <c r="CO806">
        <v>23461</v>
      </c>
      <c r="CP806">
        <v>21555</v>
      </c>
      <c r="CQ806" t="s">
        <v>4789</v>
      </c>
      <c r="CR806">
        <v>-13.92</v>
      </c>
      <c r="CS806">
        <v>50.7</v>
      </c>
      <c r="CT806">
        <v>1.47</v>
      </c>
      <c r="CU806">
        <v>-35.22</v>
      </c>
      <c r="CV806">
        <v>2.12</v>
      </c>
      <c r="CW806">
        <v>1.24</v>
      </c>
      <c r="CX806" t="s">
        <v>2097</v>
      </c>
      <c r="CY806">
        <v>4.55</v>
      </c>
      <c r="CZ806">
        <v>0</v>
      </c>
      <c r="DA806">
        <v>0.5</v>
      </c>
      <c r="DB806">
        <v>3.12</v>
      </c>
      <c r="DC806">
        <v>-0.19</v>
      </c>
      <c r="DD806">
        <v>56.14</v>
      </c>
      <c r="DE806" t="s">
        <v>4776</v>
      </c>
      <c r="DF806">
        <v>18.850000000000001</v>
      </c>
      <c r="DG806">
        <v>7.54</v>
      </c>
      <c r="DH806">
        <v>6.61</v>
      </c>
      <c r="DI806">
        <v>0.77</v>
      </c>
      <c r="DJ806">
        <v>2651</v>
      </c>
      <c r="DK806">
        <v>2398</v>
      </c>
      <c r="DL806" t="s">
        <v>120</v>
      </c>
      <c r="DM806" t="s">
        <v>120</v>
      </c>
      <c r="DN806" t="s">
        <v>120</v>
      </c>
    </row>
    <row r="807" spans="1:118">
      <c r="A807" t="str">
        <f>"002399"</f>
        <v>002399</v>
      </c>
      <c r="B807" t="s">
        <v>4790</v>
      </c>
      <c r="C807">
        <v>-0.25</v>
      </c>
      <c r="D807">
        <v>0.06</v>
      </c>
      <c r="E807">
        <v>-0.31</v>
      </c>
      <c r="F807">
        <v>223</v>
      </c>
      <c r="G807" t="s">
        <v>4791</v>
      </c>
      <c r="H807">
        <v>3658.07</v>
      </c>
      <c r="I807">
        <v>7.83</v>
      </c>
      <c r="J807" t="s">
        <v>120</v>
      </c>
      <c r="K807" t="s">
        <v>4792</v>
      </c>
      <c r="L807">
        <v>0.18</v>
      </c>
      <c r="M807">
        <v>15.98</v>
      </c>
      <c r="N807">
        <v>0.8</v>
      </c>
      <c r="O807">
        <v>0.87</v>
      </c>
      <c r="P807">
        <v>16.16</v>
      </c>
      <c r="Q807">
        <v>-0.75</v>
      </c>
      <c r="R807">
        <v>15.9</v>
      </c>
      <c r="S807">
        <v>15.97</v>
      </c>
      <c r="T807">
        <v>22814</v>
      </c>
      <c r="U807">
        <v>16</v>
      </c>
      <c r="V807">
        <v>16.02</v>
      </c>
      <c r="W807">
        <v>34.67</v>
      </c>
      <c r="X807" t="s">
        <v>569</v>
      </c>
      <c r="Y807" t="s">
        <v>123</v>
      </c>
      <c r="Z807">
        <v>1.62</v>
      </c>
      <c r="AA807">
        <v>16.03</v>
      </c>
      <c r="AB807">
        <v>13450</v>
      </c>
      <c r="AC807">
        <v>9364</v>
      </c>
      <c r="AD807">
        <v>1.44</v>
      </c>
      <c r="AE807">
        <v>184</v>
      </c>
      <c r="AF807">
        <v>21</v>
      </c>
      <c r="AG807" t="s">
        <v>120</v>
      </c>
      <c r="AH807">
        <v>0</v>
      </c>
      <c r="AI807" t="s">
        <v>120</v>
      </c>
      <c r="AJ807">
        <v>12.47</v>
      </c>
      <c r="AK807" t="s">
        <v>4792</v>
      </c>
      <c r="AL807">
        <v>1.66</v>
      </c>
      <c r="AM807">
        <v>1449</v>
      </c>
      <c r="AN807">
        <v>16</v>
      </c>
      <c r="AO807">
        <v>1E-4</v>
      </c>
      <c r="AP807">
        <v>-4</v>
      </c>
      <c r="AQ807">
        <v>-0.62</v>
      </c>
      <c r="AR807">
        <v>-2.98</v>
      </c>
      <c r="AS807">
        <v>-1.97</v>
      </c>
      <c r="AT807">
        <v>0.56999999999999995</v>
      </c>
      <c r="AU807">
        <v>-6.38</v>
      </c>
      <c r="AV807">
        <v>1</v>
      </c>
      <c r="AW807">
        <v>0.82</v>
      </c>
      <c r="AX807">
        <v>22.32</v>
      </c>
      <c r="AY807">
        <v>30.09</v>
      </c>
      <c r="AZ807">
        <v>22.95</v>
      </c>
      <c r="BA807">
        <v>0.32</v>
      </c>
      <c r="BB807" t="s">
        <v>240</v>
      </c>
      <c r="BF807">
        <v>0.09</v>
      </c>
      <c r="BG807">
        <v>0.06</v>
      </c>
      <c r="BH807">
        <v>-1.1100000000000001</v>
      </c>
      <c r="BI807">
        <v>0.5</v>
      </c>
      <c r="BJ807">
        <v>20210827</v>
      </c>
      <c r="BK807">
        <v>20100506</v>
      </c>
      <c r="BL807">
        <v>14.67</v>
      </c>
      <c r="BM807" t="s">
        <v>120</v>
      </c>
      <c r="BN807">
        <v>2.2000000000000002</v>
      </c>
      <c r="BO807">
        <v>189.77</v>
      </c>
      <c r="BP807">
        <v>15.98</v>
      </c>
      <c r="BQ807">
        <v>116.25</v>
      </c>
      <c r="BR807">
        <v>1.18</v>
      </c>
      <c r="BS807">
        <v>38.119999999999997</v>
      </c>
      <c r="BT807">
        <v>101.76</v>
      </c>
      <c r="BU807">
        <v>20.58</v>
      </c>
      <c r="BV807">
        <v>5.82</v>
      </c>
      <c r="BW807">
        <v>36.130000000000003</v>
      </c>
      <c r="BX807">
        <v>33.869999999999997</v>
      </c>
      <c r="BY807">
        <v>36.119999999999997</v>
      </c>
      <c r="BZ807">
        <v>16.66</v>
      </c>
      <c r="CA807" t="s">
        <v>120</v>
      </c>
      <c r="CB807">
        <v>59.77</v>
      </c>
      <c r="CC807">
        <v>31.14</v>
      </c>
      <c r="CD807">
        <v>21.31</v>
      </c>
      <c r="CE807">
        <v>4.1900000000000004</v>
      </c>
      <c r="CF807">
        <v>0.61</v>
      </c>
      <c r="CG807">
        <v>4.1500000000000004</v>
      </c>
      <c r="CH807">
        <v>3.36</v>
      </c>
      <c r="CI807">
        <v>3.38</v>
      </c>
      <c r="CJ807">
        <v>-0.04</v>
      </c>
      <c r="CK807">
        <v>2.85</v>
      </c>
      <c r="CL807">
        <v>37.93</v>
      </c>
      <c r="CM807">
        <v>2.66</v>
      </c>
      <c r="CN807">
        <v>5.44</v>
      </c>
      <c r="CO807">
        <v>35020</v>
      </c>
      <c r="CP807">
        <v>7949</v>
      </c>
      <c r="CQ807" t="s">
        <v>2758</v>
      </c>
      <c r="CR807">
        <v>-41.8</v>
      </c>
      <c r="CS807">
        <v>17.09</v>
      </c>
      <c r="CT807">
        <v>2.02</v>
      </c>
      <c r="CU807">
        <v>88.27</v>
      </c>
      <c r="CV807">
        <v>7.53</v>
      </c>
      <c r="CW807">
        <v>0.94</v>
      </c>
      <c r="CX807" t="s">
        <v>694</v>
      </c>
      <c r="CY807">
        <v>7.92</v>
      </c>
      <c r="CZ807">
        <v>0</v>
      </c>
      <c r="DA807">
        <v>4.07</v>
      </c>
      <c r="DB807">
        <v>2.59</v>
      </c>
      <c r="DC807">
        <v>0.18</v>
      </c>
      <c r="DD807">
        <v>61.26</v>
      </c>
      <c r="DE807" t="s">
        <v>323</v>
      </c>
      <c r="DF807">
        <v>31.54</v>
      </c>
      <c r="DG807">
        <v>13.46</v>
      </c>
      <c r="DH807">
        <v>10.86</v>
      </c>
      <c r="DI807">
        <v>0.57999999999999996</v>
      </c>
      <c r="DJ807">
        <v>1957</v>
      </c>
      <c r="DK807">
        <v>2399</v>
      </c>
      <c r="DL807" t="s">
        <v>120</v>
      </c>
      <c r="DM807" t="s">
        <v>120</v>
      </c>
      <c r="DN807" t="s">
        <v>120</v>
      </c>
    </row>
    <row r="808" spans="1:118">
      <c r="A808" t="str">
        <f>"002400"</f>
        <v>002400</v>
      </c>
      <c r="B808" t="s">
        <v>4793</v>
      </c>
      <c r="C808">
        <v>-2.14</v>
      </c>
      <c r="D808">
        <v>0</v>
      </c>
      <c r="E808">
        <v>-0.43</v>
      </c>
      <c r="F808">
        <v>3707</v>
      </c>
      <c r="G808" t="s">
        <v>4794</v>
      </c>
      <c r="H808">
        <v>16556.13</v>
      </c>
      <c r="I808">
        <v>19.670000000000002</v>
      </c>
      <c r="J808" t="s">
        <v>120</v>
      </c>
      <c r="K808" t="s">
        <v>4795</v>
      </c>
      <c r="L808">
        <v>2.12</v>
      </c>
      <c r="M808">
        <v>4.58</v>
      </c>
      <c r="N808">
        <v>0.91</v>
      </c>
      <c r="O808">
        <v>0.85</v>
      </c>
      <c r="P808">
        <v>4.72</v>
      </c>
      <c r="Q808">
        <v>-2.35</v>
      </c>
      <c r="R808">
        <v>4.57</v>
      </c>
      <c r="S808">
        <v>4.66</v>
      </c>
      <c r="T808">
        <v>357254</v>
      </c>
      <c r="U808">
        <v>4.59</v>
      </c>
      <c r="V808">
        <v>4.68</v>
      </c>
      <c r="W808">
        <v>49.06</v>
      </c>
      <c r="X808" t="s">
        <v>339</v>
      </c>
      <c r="Y808" t="s">
        <v>547</v>
      </c>
      <c r="Z808">
        <v>3.21</v>
      </c>
      <c r="AA808">
        <v>4.63</v>
      </c>
      <c r="AB808">
        <v>215553</v>
      </c>
      <c r="AC808">
        <v>141701</v>
      </c>
      <c r="AD808">
        <v>1.52</v>
      </c>
      <c r="AE808">
        <v>294</v>
      </c>
      <c r="AF808">
        <v>8114</v>
      </c>
      <c r="AG808" t="s">
        <v>120</v>
      </c>
      <c r="AH808">
        <v>0</v>
      </c>
      <c r="AI808" t="s">
        <v>120</v>
      </c>
      <c r="AJ808">
        <v>16.87</v>
      </c>
      <c r="AK808" t="s">
        <v>4796</v>
      </c>
      <c r="AL808">
        <v>-0.22</v>
      </c>
      <c r="AM808">
        <v>3143</v>
      </c>
      <c r="AN808">
        <v>114</v>
      </c>
      <c r="AO808">
        <v>6.9999999999999999E-4</v>
      </c>
      <c r="AP808">
        <v>-1</v>
      </c>
      <c r="AQ808">
        <v>0.65</v>
      </c>
      <c r="AR808">
        <v>-4.18</v>
      </c>
      <c r="AS808">
        <v>2.92</v>
      </c>
      <c r="AT808">
        <v>-13.91</v>
      </c>
      <c r="AU808">
        <v>-13.74</v>
      </c>
      <c r="AV808">
        <v>8</v>
      </c>
      <c r="AW808">
        <v>2.63</v>
      </c>
      <c r="AX808">
        <v>78</v>
      </c>
      <c r="AY808" t="s">
        <v>120</v>
      </c>
      <c r="AZ808" t="s">
        <v>120</v>
      </c>
      <c r="BA808">
        <v>0.74</v>
      </c>
      <c r="BB808" t="s">
        <v>143</v>
      </c>
      <c r="BF808">
        <v>-0.98</v>
      </c>
      <c r="BG808">
        <v>-1.72</v>
      </c>
      <c r="BH808">
        <v>-2.97</v>
      </c>
      <c r="BI808">
        <v>0.22</v>
      </c>
      <c r="BJ808">
        <v>20210830</v>
      </c>
      <c r="BK808">
        <v>20100506</v>
      </c>
      <c r="BL808">
        <v>17.43</v>
      </c>
      <c r="BM808" t="s">
        <v>120</v>
      </c>
      <c r="BN808" t="s">
        <v>120</v>
      </c>
      <c r="BO808">
        <v>74.25</v>
      </c>
      <c r="BP808">
        <v>4.58</v>
      </c>
      <c r="BQ808">
        <v>45.02</v>
      </c>
      <c r="BR808">
        <v>1.61</v>
      </c>
      <c r="BS808">
        <v>37.19</v>
      </c>
      <c r="BT808">
        <v>47.31</v>
      </c>
      <c r="BU808">
        <v>6.54</v>
      </c>
      <c r="BV808">
        <v>1.1200000000000001</v>
      </c>
      <c r="BW808">
        <v>26.25</v>
      </c>
      <c r="BX808">
        <v>6.99</v>
      </c>
      <c r="BY808">
        <v>0.02</v>
      </c>
      <c r="BZ808">
        <v>23.97</v>
      </c>
      <c r="CA808" t="s">
        <v>120</v>
      </c>
      <c r="CB808">
        <v>13.98</v>
      </c>
      <c r="CC808">
        <v>55.32</v>
      </c>
      <c r="CD808">
        <v>50.35</v>
      </c>
      <c r="CE808">
        <v>0.98</v>
      </c>
      <c r="CF808">
        <v>0.09</v>
      </c>
      <c r="CG808">
        <v>1.06</v>
      </c>
      <c r="CH808">
        <v>0.8</v>
      </c>
      <c r="CI808">
        <v>0.81</v>
      </c>
      <c r="CJ808">
        <v>-0.1</v>
      </c>
      <c r="CK808">
        <v>0.28999999999999998</v>
      </c>
      <c r="CL808">
        <v>11.17</v>
      </c>
      <c r="CM808">
        <v>-1.78</v>
      </c>
      <c r="CN808">
        <v>0.03</v>
      </c>
      <c r="CO808">
        <v>209015</v>
      </c>
      <c r="CP808">
        <v>6506</v>
      </c>
      <c r="CQ808" t="s">
        <v>4797</v>
      </c>
      <c r="CR808">
        <v>72.84</v>
      </c>
      <c r="CS808">
        <v>8.65</v>
      </c>
      <c r="CT808">
        <v>1.77</v>
      </c>
      <c r="CU808">
        <v>-44.88</v>
      </c>
      <c r="CV808">
        <v>1.44</v>
      </c>
      <c r="CW808">
        <v>0</v>
      </c>
      <c r="CX808" t="s">
        <v>1248</v>
      </c>
      <c r="CY808">
        <v>2.58</v>
      </c>
      <c r="CZ808">
        <v>0</v>
      </c>
      <c r="DA808">
        <v>0.8</v>
      </c>
      <c r="DB808">
        <v>0.64</v>
      </c>
      <c r="DC808">
        <v>-0.1</v>
      </c>
      <c r="DD808">
        <v>60.64</v>
      </c>
      <c r="DE808" t="s">
        <v>2302</v>
      </c>
      <c r="DF808">
        <v>8.98</v>
      </c>
      <c r="DG808">
        <v>1.77</v>
      </c>
      <c r="DH808">
        <v>1.47</v>
      </c>
      <c r="DI808">
        <v>1.1399999999999999</v>
      </c>
      <c r="DJ808">
        <v>3027</v>
      </c>
      <c r="DK808">
        <v>2400</v>
      </c>
      <c r="DL808" t="s">
        <v>120</v>
      </c>
      <c r="DM808" t="s">
        <v>120</v>
      </c>
      <c r="DN808" t="s">
        <v>120</v>
      </c>
    </row>
    <row r="809" spans="1:118">
      <c r="A809" t="str">
        <f>"002401"</f>
        <v>002401</v>
      </c>
      <c r="B809" t="s">
        <v>4798</v>
      </c>
      <c r="C809">
        <v>0.31</v>
      </c>
      <c r="D809">
        <v>0.1</v>
      </c>
      <c r="E809">
        <v>0</v>
      </c>
      <c r="F809">
        <v>514</v>
      </c>
      <c r="G809" t="s">
        <v>4799</v>
      </c>
      <c r="H809">
        <v>3423.65</v>
      </c>
      <c r="I809">
        <v>4.8</v>
      </c>
      <c r="J809" t="s">
        <v>120</v>
      </c>
      <c r="K809" t="s">
        <v>4800</v>
      </c>
      <c r="L809">
        <v>0.98</v>
      </c>
      <c r="M809">
        <v>9.6300000000000008</v>
      </c>
      <c r="N809">
        <v>0.9</v>
      </c>
      <c r="O809">
        <v>1.98</v>
      </c>
      <c r="P809">
        <v>9.7899999999999991</v>
      </c>
      <c r="Q809">
        <v>-0.31</v>
      </c>
      <c r="R809">
        <v>9.57</v>
      </c>
      <c r="S809">
        <v>9.6</v>
      </c>
      <c r="T809">
        <v>35454</v>
      </c>
      <c r="U809">
        <v>9.6300000000000008</v>
      </c>
      <c r="V809">
        <v>9.6</v>
      </c>
      <c r="W809">
        <v>20.02</v>
      </c>
      <c r="X809" t="s">
        <v>141</v>
      </c>
      <c r="Y809" t="s">
        <v>1510</v>
      </c>
      <c r="Z809">
        <v>2.29</v>
      </c>
      <c r="AA809">
        <v>9.66</v>
      </c>
      <c r="AB809">
        <v>17547</v>
      </c>
      <c r="AC809">
        <v>17907</v>
      </c>
      <c r="AD809">
        <v>0.98</v>
      </c>
      <c r="AE809">
        <v>173</v>
      </c>
      <c r="AF809">
        <v>19</v>
      </c>
      <c r="AG809" t="s">
        <v>120</v>
      </c>
      <c r="AH809">
        <v>0</v>
      </c>
      <c r="AI809" t="s">
        <v>120</v>
      </c>
      <c r="AJ809">
        <v>3.63</v>
      </c>
      <c r="AK809" t="s">
        <v>4801</v>
      </c>
      <c r="AL809">
        <v>2.23</v>
      </c>
      <c r="AM809">
        <v>1433</v>
      </c>
      <c r="AN809">
        <v>25</v>
      </c>
      <c r="AO809">
        <v>6.9999999999999999E-4</v>
      </c>
      <c r="AP809">
        <v>2</v>
      </c>
      <c r="AQ809">
        <v>0.52</v>
      </c>
      <c r="AR809">
        <v>-1.54</v>
      </c>
      <c r="AS809">
        <v>5.25</v>
      </c>
      <c r="AT809">
        <v>-2.3199999999999998</v>
      </c>
      <c r="AU809">
        <v>-10.210000000000001</v>
      </c>
      <c r="AV809">
        <v>3</v>
      </c>
      <c r="AW809">
        <v>1.96</v>
      </c>
      <c r="AX809">
        <v>48.6</v>
      </c>
      <c r="AY809">
        <v>23.39</v>
      </c>
      <c r="AZ809">
        <v>18.53</v>
      </c>
      <c r="BA809">
        <v>0.41</v>
      </c>
      <c r="BB809" t="s">
        <v>143</v>
      </c>
      <c r="BF809">
        <v>0.59</v>
      </c>
      <c r="BG809">
        <v>0.31</v>
      </c>
      <c r="BH809">
        <v>-1.63</v>
      </c>
      <c r="BI809">
        <v>0.63</v>
      </c>
      <c r="BJ809">
        <v>20210910</v>
      </c>
      <c r="BK809">
        <v>20100506</v>
      </c>
      <c r="BL809">
        <v>3.72</v>
      </c>
      <c r="BM809" t="s">
        <v>120</v>
      </c>
      <c r="BN809" t="s">
        <v>120</v>
      </c>
      <c r="BO809">
        <v>34.39</v>
      </c>
      <c r="BP809">
        <v>9.61</v>
      </c>
      <c r="BQ809">
        <v>12.02</v>
      </c>
      <c r="BR809" t="s">
        <v>120</v>
      </c>
      <c r="BS809">
        <v>65.040000000000006</v>
      </c>
      <c r="BT809">
        <v>30.52</v>
      </c>
      <c r="BU809">
        <v>0.88</v>
      </c>
      <c r="BV809">
        <v>7.0000000000000007E-2</v>
      </c>
      <c r="BW809">
        <v>21.76</v>
      </c>
      <c r="BX809">
        <v>13.68</v>
      </c>
      <c r="BY809">
        <v>14.57</v>
      </c>
      <c r="BZ809">
        <v>1.24</v>
      </c>
      <c r="CA809" t="s">
        <v>120</v>
      </c>
      <c r="CB809">
        <v>0.92</v>
      </c>
      <c r="CC809">
        <v>8.01</v>
      </c>
      <c r="CD809">
        <v>6.52</v>
      </c>
      <c r="CE809">
        <v>1.04</v>
      </c>
      <c r="CF809">
        <v>0.09</v>
      </c>
      <c r="CG809">
        <v>1.05</v>
      </c>
      <c r="CH809">
        <v>0.89</v>
      </c>
      <c r="CI809">
        <v>0.89</v>
      </c>
      <c r="CJ809">
        <v>0.03</v>
      </c>
      <c r="CK809">
        <v>0.7</v>
      </c>
      <c r="CL809">
        <v>7.53</v>
      </c>
      <c r="CM809">
        <v>-1.31</v>
      </c>
      <c r="CN809">
        <v>-1.35</v>
      </c>
      <c r="CO809">
        <v>26030</v>
      </c>
      <c r="CP809">
        <v>6948</v>
      </c>
      <c r="CQ809" t="s">
        <v>4802</v>
      </c>
      <c r="CR809">
        <v>-30.93</v>
      </c>
      <c r="CS809">
        <v>36.979999999999997</v>
      </c>
      <c r="CT809">
        <v>2.98</v>
      </c>
      <c r="CU809">
        <v>-27.3</v>
      </c>
      <c r="CV809">
        <v>4.47</v>
      </c>
      <c r="CW809">
        <v>0.87</v>
      </c>
      <c r="CX809" t="s">
        <v>3117</v>
      </c>
      <c r="CY809">
        <v>3.23</v>
      </c>
      <c r="CZ809">
        <v>0</v>
      </c>
      <c r="DA809">
        <v>0.25</v>
      </c>
      <c r="DB809">
        <v>2.02</v>
      </c>
      <c r="DC809">
        <v>-0.35</v>
      </c>
      <c r="DD809">
        <v>34.96</v>
      </c>
      <c r="DE809" t="s">
        <v>4803</v>
      </c>
      <c r="DF809">
        <v>18.559999999999999</v>
      </c>
      <c r="DG809">
        <v>12.92</v>
      </c>
      <c r="DH809">
        <v>11.17</v>
      </c>
      <c r="DI809">
        <v>0.23</v>
      </c>
      <c r="DJ809">
        <v>853</v>
      </c>
      <c r="DK809">
        <v>2401</v>
      </c>
      <c r="DL809" t="s">
        <v>120</v>
      </c>
      <c r="DM809" t="s">
        <v>120</v>
      </c>
      <c r="DN809" t="s">
        <v>120</v>
      </c>
    </row>
    <row r="810" spans="1:118">
      <c r="A810" t="str">
        <f>"002402"</f>
        <v>002402</v>
      </c>
      <c r="B810" t="s">
        <v>4804</v>
      </c>
      <c r="C810">
        <v>-4.5999999999999996</v>
      </c>
      <c r="D810">
        <v>0</v>
      </c>
      <c r="E810">
        <v>-0.23</v>
      </c>
      <c r="F810">
        <v>1724</v>
      </c>
      <c r="G810" t="s">
        <v>4805</v>
      </c>
      <c r="H810">
        <v>30364.16</v>
      </c>
      <c r="I810">
        <v>106.67</v>
      </c>
      <c r="J810" t="s">
        <v>120</v>
      </c>
      <c r="K810" t="s">
        <v>4806</v>
      </c>
      <c r="L810">
        <v>1.79</v>
      </c>
      <c r="M810">
        <v>20.73</v>
      </c>
      <c r="N810">
        <v>0.85</v>
      </c>
      <c r="O810">
        <v>0.18</v>
      </c>
      <c r="P810">
        <v>21.77</v>
      </c>
      <c r="Q810">
        <v>-4.74</v>
      </c>
      <c r="R810">
        <v>20.7</v>
      </c>
      <c r="S810">
        <v>21.68</v>
      </c>
      <c r="T810">
        <v>143814</v>
      </c>
      <c r="U810">
        <v>20.74</v>
      </c>
      <c r="V810">
        <v>21.73</v>
      </c>
      <c r="W810">
        <v>34.31</v>
      </c>
      <c r="X810" t="s">
        <v>229</v>
      </c>
      <c r="Y810" t="s">
        <v>123</v>
      </c>
      <c r="Z810">
        <v>4.92</v>
      </c>
      <c r="AA810">
        <v>21.11</v>
      </c>
      <c r="AB810">
        <v>88497</v>
      </c>
      <c r="AC810">
        <v>55317</v>
      </c>
      <c r="AD810">
        <v>1.6</v>
      </c>
      <c r="AE810">
        <v>131</v>
      </c>
      <c r="AF810">
        <v>46</v>
      </c>
      <c r="AG810" t="s">
        <v>120</v>
      </c>
      <c r="AH810">
        <v>0.01</v>
      </c>
      <c r="AI810" t="s">
        <v>120</v>
      </c>
      <c r="AJ810">
        <v>8.02</v>
      </c>
      <c r="AK810" t="s">
        <v>4807</v>
      </c>
      <c r="AL810">
        <v>-2.69</v>
      </c>
      <c r="AM810">
        <v>3723</v>
      </c>
      <c r="AN810">
        <v>39</v>
      </c>
      <c r="AO810">
        <v>5.0000000000000001E-4</v>
      </c>
      <c r="AP810">
        <v>-2</v>
      </c>
      <c r="AQ810">
        <v>-3.55</v>
      </c>
      <c r="AR810">
        <v>-7.04</v>
      </c>
      <c r="AS810">
        <v>-11.71</v>
      </c>
      <c r="AT810">
        <v>-9.75</v>
      </c>
      <c r="AU810">
        <v>20.74</v>
      </c>
      <c r="AV810">
        <v>1</v>
      </c>
      <c r="AW810">
        <v>1.88</v>
      </c>
      <c r="AX810">
        <v>83.66</v>
      </c>
      <c r="AY810">
        <v>39.4</v>
      </c>
      <c r="AZ810">
        <v>50.15</v>
      </c>
      <c r="BA810">
        <v>1.02</v>
      </c>
      <c r="BB810" t="s">
        <v>1723</v>
      </c>
      <c r="BF810">
        <v>-2.84</v>
      </c>
      <c r="BG810">
        <v>-4.38</v>
      </c>
      <c r="BH810">
        <v>-4.78</v>
      </c>
      <c r="BI810">
        <v>0.14000000000000001</v>
      </c>
      <c r="BJ810">
        <v>20210818</v>
      </c>
      <c r="BK810">
        <v>20100511</v>
      </c>
      <c r="BL810">
        <v>9.14</v>
      </c>
      <c r="BM810" t="s">
        <v>120</v>
      </c>
      <c r="BN810" t="s">
        <v>120</v>
      </c>
      <c r="BO810">
        <v>65.91</v>
      </c>
      <c r="BP810">
        <v>20.73</v>
      </c>
      <c r="BQ810">
        <v>32.119999999999997</v>
      </c>
      <c r="BR810">
        <v>2.93</v>
      </c>
      <c r="BS810">
        <v>46.82</v>
      </c>
      <c r="BT810">
        <v>40.880000000000003</v>
      </c>
      <c r="BU810">
        <v>10.86</v>
      </c>
      <c r="BV810">
        <v>1.86</v>
      </c>
      <c r="BW810">
        <v>29.7</v>
      </c>
      <c r="BX810">
        <v>8.17</v>
      </c>
      <c r="BY810">
        <v>13.36</v>
      </c>
      <c r="BZ810">
        <v>13.31</v>
      </c>
      <c r="CA810" t="s">
        <v>120</v>
      </c>
      <c r="CB810">
        <v>8.6</v>
      </c>
      <c r="CC810">
        <v>28.54</v>
      </c>
      <c r="CD810">
        <v>22.72</v>
      </c>
      <c r="CE810">
        <v>3.36</v>
      </c>
      <c r="CF810">
        <v>0.16</v>
      </c>
      <c r="CG810">
        <v>3.37</v>
      </c>
      <c r="CH810">
        <v>3</v>
      </c>
      <c r="CI810">
        <v>2.76</v>
      </c>
      <c r="CJ810">
        <v>-1</v>
      </c>
      <c r="CK810">
        <v>2.38</v>
      </c>
      <c r="CL810">
        <v>12.47</v>
      </c>
      <c r="CM810">
        <v>-0.44</v>
      </c>
      <c r="CN810">
        <v>-4.13</v>
      </c>
      <c r="CO810">
        <v>67957</v>
      </c>
      <c r="CP810">
        <v>11252</v>
      </c>
      <c r="CQ810" t="s">
        <v>2390</v>
      </c>
      <c r="CR810">
        <v>64.34</v>
      </c>
      <c r="CS810">
        <v>56.06</v>
      </c>
      <c r="CT810">
        <v>5.9</v>
      </c>
      <c r="CU810">
        <v>-426.32</v>
      </c>
      <c r="CV810">
        <v>6.64</v>
      </c>
      <c r="CW810">
        <v>0.46</v>
      </c>
      <c r="CX810" t="s">
        <v>1340</v>
      </c>
      <c r="CY810">
        <v>3.51</v>
      </c>
      <c r="CZ810">
        <v>0</v>
      </c>
      <c r="DA810">
        <v>0.94</v>
      </c>
      <c r="DB810">
        <v>1.36</v>
      </c>
      <c r="DC810">
        <v>-0.05</v>
      </c>
      <c r="DD810">
        <v>48.74</v>
      </c>
      <c r="DE810" t="s">
        <v>4808</v>
      </c>
      <c r="DF810">
        <v>20.399999999999999</v>
      </c>
      <c r="DG810">
        <v>11.76</v>
      </c>
      <c r="DH810">
        <v>9.68</v>
      </c>
      <c r="DI810">
        <v>1.24</v>
      </c>
      <c r="DJ810">
        <v>5622</v>
      </c>
      <c r="DK810">
        <v>2402</v>
      </c>
      <c r="DL810" t="s">
        <v>120</v>
      </c>
      <c r="DM810" t="s">
        <v>120</v>
      </c>
      <c r="DN810" t="s">
        <v>120</v>
      </c>
    </row>
    <row r="811" spans="1:118">
      <c r="A811" t="str">
        <f>"002403"</f>
        <v>002403</v>
      </c>
      <c r="B811" t="s">
        <v>4809</v>
      </c>
      <c r="C811">
        <v>-1.24</v>
      </c>
      <c r="D811">
        <v>0</v>
      </c>
      <c r="E811">
        <v>0.14000000000000001</v>
      </c>
      <c r="F811">
        <v>425</v>
      </c>
      <c r="G811" t="s">
        <v>4810</v>
      </c>
      <c r="H811">
        <v>906.88</v>
      </c>
      <c r="I811">
        <v>0</v>
      </c>
      <c r="J811" t="s">
        <v>120</v>
      </c>
      <c r="K811" t="s">
        <v>4811</v>
      </c>
      <c r="L811">
        <v>0.4</v>
      </c>
      <c r="M811">
        <v>7.17</v>
      </c>
      <c r="N811">
        <v>0.87</v>
      </c>
      <c r="O811">
        <v>0.83</v>
      </c>
      <c r="P811">
        <v>7.32</v>
      </c>
      <c r="Q811">
        <v>-1.52</v>
      </c>
      <c r="R811">
        <v>7.15</v>
      </c>
      <c r="S811">
        <v>7.27</v>
      </c>
      <c r="T811">
        <v>12515</v>
      </c>
      <c r="U811">
        <v>7.18</v>
      </c>
      <c r="V811">
        <v>7.26</v>
      </c>
      <c r="W811">
        <v>59.96</v>
      </c>
      <c r="X811" t="s">
        <v>205</v>
      </c>
      <c r="Y811" t="s">
        <v>585</v>
      </c>
      <c r="Z811">
        <v>2.34</v>
      </c>
      <c r="AA811">
        <v>7.25</v>
      </c>
      <c r="AB811">
        <v>7970</v>
      </c>
      <c r="AC811">
        <v>4545</v>
      </c>
      <c r="AD811">
        <v>1.75</v>
      </c>
      <c r="AE811">
        <v>81</v>
      </c>
      <c r="AF811">
        <v>26</v>
      </c>
      <c r="AG811" t="s">
        <v>120</v>
      </c>
      <c r="AH811">
        <v>0</v>
      </c>
      <c r="AI811" t="s">
        <v>120</v>
      </c>
      <c r="AJ811">
        <v>3.16</v>
      </c>
      <c r="AK811" t="s">
        <v>4812</v>
      </c>
      <c r="AL811">
        <v>0.67</v>
      </c>
      <c r="AM811">
        <v>599</v>
      </c>
      <c r="AN811">
        <v>21</v>
      </c>
      <c r="AO811">
        <v>6.9999999999999999E-4</v>
      </c>
      <c r="AP811">
        <v>-1</v>
      </c>
      <c r="AQ811">
        <v>0.55000000000000004</v>
      </c>
      <c r="AR811">
        <v>-2.58</v>
      </c>
      <c r="AS811">
        <v>2.87</v>
      </c>
      <c r="AT811">
        <v>1.06</v>
      </c>
      <c r="AU811">
        <v>-6.95</v>
      </c>
      <c r="AV811">
        <v>1</v>
      </c>
      <c r="AW811">
        <v>0.86</v>
      </c>
      <c r="AX811">
        <v>41.64</v>
      </c>
      <c r="AY811" t="s">
        <v>120</v>
      </c>
      <c r="AZ811">
        <v>24.77</v>
      </c>
      <c r="BA811">
        <v>0</v>
      </c>
      <c r="BB811" t="s">
        <v>143</v>
      </c>
      <c r="BF811">
        <v>-0.19</v>
      </c>
      <c r="BG811">
        <v>-1.38</v>
      </c>
      <c r="BH811">
        <v>-2.0499999999999998</v>
      </c>
      <c r="BI811">
        <v>0.28000000000000003</v>
      </c>
      <c r="BJ811">
        <v>20210830</v>
      </c>
      <c r="BK811">
        <v>20100511</v>
      </c>
      <c r="BL811">
        <v>3.5</v>
      </c>
      <c r="BM811" t="s">
        <v>120</v>
      </c>
      <c r="BN811" t="s">
        <v>120</v>
      </c>
      <c r="BO811">
        <v>54.56</v>
      </c>
      <c r="BP811">
        <v>7.17</v>
      </c>
      <c r="BQ811">
        <v>22.42</v>
      </c>
      <c r="BR811">
        <v>0.23</v>
      </c>
      <c r="BS811">
        <v>58.49</v>
      </c>
      <c r="BT811">
        <v>26.24</v>
      </c>
      <c r="BU811">
        <v>13.11</v>
      </c>
      <c r="BV811">
        <v>3.1</v>
      </c>
      <c r="BW811">
        <v>25.78</v>
      </c>
      <c r="BX811">
        <v>2.83</v>
      </c>
      <c r="BY811">
        <v>10.68</v>
      </c>
      <c r="BZ811">
        <v>8.59</v>
      </c>
      <c r="CA811" t="s">
        <v>120</v>
      </c>
      <c r="CB811">
        <v>11.13</v>
      </c>
      <c r="CC811">
        <v>15.65</v>
      </c>
      <c r="CD811">
        <v>11.2</v>
      </c>
      <c r="CE811">
        <v>0.13</v>
      </c>
      <c r="CF811">
        <v>0.33</v>
      </c>
      <c r="CG811">
        <v>0.14000000000000001</v>
      </c>
      <c r="CH811">
        <v>0.21</v>
      </c>
      <c r="CI811">
        <v>0.21</v>
      </c>
      <c r="CJ811">
        <v>-0.09</v>
      </c>
      <c r="CK811">
        <v>-0.05</v>
      </c>
      <c r="CL811">
        <v>7.69</v>
      </c>
      <c r="CM811">
        <v>-1.51</v>
      </c>
      <c r="CN811">
        <v>-3.91</v>
      </c>
      <c r="CO811">
        <v>15430</v>
      </c>
      <c r="CP811">
        <v>9454</v>
      </c>
      <c r="CQ811" t="s">
        <v>1225</v>
      </c>
      <c r="CR811">
        <v>-85.44</v>
      </c>
      <c r="CS811">
        <v>38.630000000000003</v>
      </c>
      <c r="CT811">
        <v>1.1200000000000001</v>
      </c>
      <c r="CU811">
        <v>-16.670000000000002</v>
      </c>
      <c r="CV811">
        <v>1.6</v>
      </c>
      <c r="CW811">
        <v>1</v>
      </c>
      <c r="CX811" t="s">
        <v>1064</v>
      </c>
      <c r="CY811">
        <v>6.4</v>
      </c>
      <c r="CZ811">
        <v>0</v>
      </c>
      <c r="DA811">
        <v>3.18</v>
      </c>
      <c r="DB811">
        <v>2.19</v>
      </c>
      <c r="DC811">
        <v>-0.43</v>
      </c>
      <c r="DD811">
        <v>41.1</v>
      </c>
      <c r="DE811" t="s">
        <v>4005</v>
      </c>
      <c r="DF811">
        <v>28.45</v>
      </c>
      <c r="DG811">
        <v>0.82</v>
      </c>
      <c r="DH811">
        <v>1.34</v>
      </c>
      <c r="DI811">
        <v>0.86</v>
      </c>
      <c r="DJ811">
        <v>5309</v>
      </c>
      <c r="DK811">
        <v>2403</v>
      </c>
      <c r="DL811" t="s">
        <v>120</v>
      </c>
      <c r="DM811" t="s">
        <v>120</v>
      </c>
      <c r="DN811" t="s">
        <v>120</v>
      </c>
    </row>
    <row r="812" spans="1:118">
      <c r="A812" t="str">
        <f>"002404"</f>
        <v>002404</v>
      </c>
      <c r="B812" t="s">
        <v>4813</v>
      </c>
      <c r="C812">
        <v>0</v>
      </c>
      <c r="D812">
        <v>0.16</v>
      </c>
      <c r="E812">
        <v>-0.16</v>
      </c>
      <c r="F812">
        <v>266</v>
      </c>
      <c r="G812" t="s">
        <v>4497</v>
      </c>
      <c r="H812">
        <v>3470.52</v>
      </c>
      <c r="I812">
        <v>0.06</v>
      </c>
      <c r="J812" t="s">
        <v>120</v>
      </c>
      <c r="K812" t="s">
        <v>607</v>
      </c>
      <c r="L812">
        <v>1.2</v>
      </c>
      <c r="M812">
        <v>6.25</v>
      </c>
      <c r="N812">
        <v>1.19</v>
      </c>
      <c r="O812">
        <v>2.08</v>
      </c>
      <c r="P812">
        <v>6.38</v>
      </c>
      <c r="Q812">
        <v>-0.48</v>
      </c>
      <c r="R812">
        <v>6.22</v>
      </c>
      <c r="S812">
        <v>6.24</v>
      </c>
      <c r="T812">
        <v>55144</v>
      </c>
      <c r="U812">
        <v>6.25</v>
      </c>
      <c r="V812">
        <v>6.25</v>
      </c>
      <c r="W812">
        <v>27.4</v>
      </c>
      <c r="X812" t="s">
        <v>1766</v>
      </c>
      <c r="Y812" t="s">
        <v>585</v>
      </c>
      <c r="Z812">
        <v>2.56</v>
      </c>
      <c r="AA812">
        <v>6.29</v>
      </c>
      <c r="AB812">
        <v>28433</v>
      </c>
      <c r="AC812">
        <v>26711</v>
      </c>
      <c r="AD812">
        <v>1.06</v>
      </c>
      <c r="AE812">
        <v>104</v>
      </c>
      <c r="AF812">
        <v>630</v>
      </c>
      <c r="AG812" t="s">
        <v>120</v>
      </c>
      <c r="AH812">
        <v>0</v>
      </c>
      <c r="AI812" t="s">
        <v>120</v>
      </c>
      <c r="AJ812">
        <v>4.59</v>
      </c>
      <c r="AK812" t="s">
        <v>4814</v>
      </c>
      <c r="AL812">
        <v>1.91</v>
      </c>
      <c r="AM812">
        <v>1413</v>
      </c>
      <c r="AN812">
        <v>39</v>
      </c>
      <c r="AO812">
        <v>8.9999999999999998E-4</v>
      </c>
      <c r="AP812">
        <v>0</v>
      </c>
      <c r="AQ812">
        <v>0.48</v>
      </c>
      <c r="AR812">
        <v>-1.73</v>
      </c>
      <c r="AS812">
        <v>5.22</v>
      </c>
      <c r="AT812">
        <v>-1.73</v>
      </c>
      <c r="AU812">
        <v>-21.87</v>
      </c>
      <c r="AV812">
        <v>2</v>
      </c>
      <c r="AW812">
        <v>1.71</v>
      </c>
      <c r="AX812">
        <v>55.83</v>
      </c>
      <c r="AY812">
        <v>17.95</v>
      </c>
      <c r="AZ812">
        <v>18.54</v>
      </c>
      <c r="BA812">
        <v>0.46</v>
      </c>
      <c r="BB812" t="s">
        <v>143</v>
      </c>
      <c r="BF812">
        <v>0.7</v>
      </c>
      <c r="BG812">
        <v>0.16</v>
      </c>
      <c r="BH812">
        <v>-2.04</v>
      </c>
      <c r="BI812">
        <v>0.48</v>
      </c>
      <c r="BJ812">
        <v>20210827</v>
      </c>
      <c r="BK812">
        <v>20100511</v>
      </c>
      <c r="BL812">
        <v>5.78</v>
      </c>
      <c r="BM812" t="s">
        <v>120</v>
      </c>
      <c r="BN812" t="s">
        <v>120</v>
      </c>
      <c r="BO812">
        <v>33.86</v>
      </c>
      <c r="BP812">
        <v>6.24</v>
      </c>
      <c r="BQ812">
        <v>17.46</v>
      </c>
      <c r="BR812">
        <v>0.74</v>
      </c>
      <c r="BS812">
        <v>46.25</v>
      </c>
      <c r="BT812">
        <v>25</v>
      </c>
      <c r="BU812">
        <v>3.35</v>
      </c>
      <c r="BV812">
        <v>0.41</v>
      </c>
      <c r="BW812">
        <v>15.1</v>
      </c>
      <c r="BX812">
        <v>4.18</v>
      </c>
      <c r="BY812">
        <v>6.16</v>
      </c>
      <c r="BZ812">
        <v>3.85</v>
      </c>
      <c r="CA812">
        <v>0.03</v>
      </c>
      <c r="CB812">
        <v>6.45</v>
      </c>
      <c r="CC812">
        <v>16.28</v>
      </c>
      <c r="CD812">
        <v>13.67</v>
      </c>
      <c r="CE812">
        <v>0.94</v>
      </c>
      <c r="CF812">
        <v>7.0000000000000007E-2</v>
      </c>
      <c r="CG812">
        <v>0.94</v>
      </c>
      <c r="CH812">
        <v>0.73</v>
      </c>
      <c r="CI812">
        <v>0.66</v>
      </c>
      <c r="CJ812">
        <v>0</v>
      </c>
      <c r="CK812">
        <v>0.59</v>
      </c>
      <c r="CL812">
        <v>4.76</v>
      </c>
      <c r="CM812">
        <v>-1.55</v>
      </c>
      <c r="CN812">
        <v>-2.5299999999999998</v>
      </c>
      <c r="CO812">
        <v>34723</v>
      </c>
      <c r="CP812">
        <v>9289</v>
      </c>
      <c r="CQ812" t="s">
        <v>448</v>
      </c>
      <c r="CR812">
        <v>10.7</v>
      </c>
      <c r="CS812">
        <v>28.39</v>
      </c>
      <c r="CT812">
        <v>2.0699999999999998</v>
      </c>
      <c r="CU812">
        <v>-23.23</v>
      </c>
      <c r="CV812">
        <v>2.2200000000000002</v>
      </c>
      <c r="CW812">
        <v>3.12</v>
      </c>
      <c r="CX812" t="s">
        <v>850</v>
      </c>
      <c r="CY812">
        <v>3.02</v>
      </c>
      <c r="CZ812">
        <v>0</v>
      </c>
      <c r="DA812">
        <v>1.1200000000000001</v>
      </c>
      <c r="DB812">
        <v>0.82</v>
      </c>
      <c r="DC812">
        <v>-0.27</v>
      </c>
      <c r="DD812">
        <v>51.56</v>
      </c>
      <c r="DE812" t="s">
        <v>3591</v>
      </c>
      <c r="DF812">
        <v>15.99</v>
      </c>
      <c r="DG812">
        <v>5.79</v>
      </c>
      <c r="DH812">
        <v>4.05</v>
      </c>
      <c r="DI812">
        <v>0.28000000000000003</v>
      </c>
      <c r="DJ812">
        <v>2697</v>
      </c>
      <c r="DK812">
        <v>2404</v>
      </c>
      <c r="DL812" t="s">
        <v>120</v>
      </c>
      <c r="DM812" t="s">
        <v>120</v>
      </c>
      <c r="DN812" t="s">
        <v>120</v>
      </c>
    </row>
    <row r="813" spans="1:118">
      <c r="A813" t="str">
        <f>"002405"</f>
        <v>002405</v>
      </c>
      <c r="B813" t="s">
        <v>4815</v>
      </c>
      <c r="C813">
        <v>-2.21</v>
      </c>
      <c r="D813">
        <v>-0.25</v>
      </c>
      <c r="E813">
        <v>0.34</v>
      </c>
      <c r="F813">
        <v>7283</v>
      </c>
      <c r="G813" t="s">
        <v>4816</v>
      </c>
      <c r="H813">
        <v>30458.7</v>
      </c>
      <c r="I813">
        <v>124.14</v>
      </c>
      <c r="J813" t="s">
        <v>120</v>
      </c>
      <c r="K813" t="s">
        <v>4817</v>
      </c>
      <c r="L813">
        <v>1.1599999999999999</v>
      </c>
      <c r="M813">
        <v>11.5</v>
      </c>
      <c r="N813">
        <v>0.71</v>
      </c>
      <c r="O813">
        <v>0.94</v>
      </c>
      <c r="P813">
        <v>11.87</v>
      </c>
      <c r="Q813">
        <v>-2.21</v>
      </c>
      <c r="R813">
        <v>11.5</v>
      </c>
      <c r="S813">
        <v>11.8</v>
      </c>
      <c r="T813">
        <v>261102</v>
      </c>
      <c r="U813">
        <v>11.51</v>
      </c>
      <c r="V813">
        <v>11.76</v>
      </c>
      <c r="W813" t="s">
        <v>120</v>
      </c>
      <c r="X813" t="s">
        <v>141</v>
      </c>
      <c r="Y813" t="s">
        <v>158</v>
      </c>
      <c r="Z813">
        <v>3.15</v>
      </c>
      <c r="AA813">
        <v>11.67</v>
      </c>
      <c r="AB813">
        <v>150995</v>
      </c>
      <c r="AC813">
        <v>110107</v>
      </c>
      <c r="AD813">
        <v>1.37</v>
      </c>
      <c r="AE813">
        <v>2936</v>
      </c>
      <c r="AF813">
        <v>102</v>
      </c>
      <c r="AG813" t="s">
        <v>120</v>
      </c>
      <c r="AH813">
        <v>0.01</v>
      </c>
      <c r="AI813" t="s">
        <v>120</v>
      </c>
      <c r="AJ813">
        <v>22.57</v>
      </c>
      <c r="AK813" t="s">
        <v>4818</v>
      </c>
      <c r="AL813">
        <v>-0.3</v>
      </c>
      <c r="AM813">
        <v>3916</v>
      </c>
      <c r="AN813">
        <v>67</v>
      </c>
      <c r="AO813">
        <v>2.9999999999999997E-4</v>
      </c>
      <c r="AP813">
        <v>-2</v>
      </c>
      <c r="AQ813">
        <v>-1.42</v>
      </c>
      <c r="AR813">
        <v>0.8</v>
      </c>
      <c r="AS813">
        <v>-7.71</v>
      </c>
      <c r="AT813">
        <v>-18.149999999999999</v>
      </c>
      <c r="AU813">
        <v>-19.41</v>
      </c>
      <c r="AV813">
        <v>4</v>
      </c>
      <c r="AW813">
        <v>1.27</v>
      </c>
      <c r="AX813">
        <v>90.9</v>
      </c>
      <c r="AY813" t="s">
        <v>120</v>
      </c>
      <c r="AZ813" t="s">
        <v>120</v>
      </c>
      <c r="BA813">
        <v>0.59</v>
      </c>
      <c r="BB813" t="s">
        <v>143</v>
      </c>
      <c r="BF813">
        <v>-0.8</v>
      </c>
      <c r="BG813">
        <v>-2.54</v>
      </c>
      <c r="BH813">
        <v>-3.12</v>
      </c>
      <c r="BI813">
        <v>0</v>
      </c>
      <c r="BJ813">
        <v>20210831</v>
      </c>
      <c r="BK813">
        <v>20100518</v>
      </c>
      <c r="BL813">
        <v>22.69</v>
      </c>
      <c r="BM813" t="s">
        <v>120</v>
      </c>
      <c r="BN813" t="s">
        <v>120</v>
      </c>
      <c r="BO813">
        <v>130.9</v>
      </c>
      <c r="BP813">
        <v>11.5</v>
      </c>
      <c r="BQ813">
        <v>116.63</v>
      </c>
      <c r="BR813">
        <v>1.1000000000000001</v>
      </c>
      <c r="BS813">
        <v>10.06</v>
      </c>
      <c r="BT813">
        <v>64.790000000000006</v>
      </c>
      <c r="BU813">
        <v>6.07</v>
      </c>
      <c r="BV813">
        <v>12.57</v>
      </c>
      <c r="BW813">
        <v>11.42</v>
      </c>
      <c r="BX813">
        <v>50.56</v>
      </c>
      <c r="BY813">
        <v>2.67</v>
      </c>
      <c r="BZ813">
        <v>6.69</v>
      </c>
      <c r="CA813" t="s">
        <v>120</v>
      </c>
      <c r="CB813">
        <v>78.23</v>
      </c>
      <c r="CC813">
        <v>11.98</v>
      </c>
      <c r="CD813">
        <v>5.36</v>
      </c>
      <c r="CE813">
        <v>-0.9</v>
      </c>
      <c r="CF813">
        <v>-0.57999999999999996</v>
      </c>
      <c r="CG813">
        <v>-0.8</v>
      </c>
      <c r="CH813">
        <v>-0.77</v>
      </c>
      <c r="CI813">
        <v>-0.56000000000000005</v>
      </c>
      <c r="CJ813">
        <v>-0.26</v>
      </c>
      <c r="CK813">
        <v>-0.66</v>
      </c>
      <c r="CL813">
        <v>14.82</v>
      </c>
      <c r="CM813">
        <v>-1.2</v>
      </c>
      <c r="CN813">
        <v>35.82</v>
      </c>
      <c r="CO813">
        <v>217210</v>
      </c>
      <c r="CP813">
        <v>9494</v>
      </c>
      <c r="CQ813" t="s">
        <v>4819</v>
      </c>
      <c r="CR813">
        <v>65.900000000000006</v>
      </c>
      <c r="CS813">
        <v>24.55</v>
      </c>
      <c r="CT813">
        <v>2.25</v>
      </c>
      <c r="CU813">
        <v>-216.95</v>
      </c>
      <c r="CV813">
        <v>21.79</v>
      </c>
      <c r="CW813">
        <v>0</v>
      </c>
      <c r="CX813" t="s">
        <v>479</v>
      </c>
      <c r="CY813">
        <v>5.1100000000000003</v>
      </c>
      <c r="CZ813">
        <v>5.1100000000000003</v>
      </c>
      <c r="DA813">
        <v>3.45</v>
      </c>
      <c r="DB813">
        <v>0.65</v>
      </c>
      <c r="DC813">
        <v>-0.05</v>
      </c>
      <c r="DD813">
        <v>89.1</v>
      </c>
      <c r="DE813" t="s">
        <v>4820</v>
      </c>
      <c r="DF813">
        <v>55.22</v>
      </c>
      <c r="DG813">
        <v>-7.54</v>
      </c>
      <c r="DH813">
        <v>-4.6500000000000004</v>
      </c>
      <c r="DI813">
        <v>5.69</v>
      </c>
      <c r="DJ813">
        <v>4317</v>
      </c>
      <c r="DK813">
        <v>2405</v>
      </c>
      <c r="DL813" t="s">
        <v>120</v>
      </c>
      <c r="DM813" t="s">
        <v>120</v>
      </c>
      <c r="DN813" t="s">
        <v>120</v>
      </c>
    </row>
    <row r="814" spans="1:118">
      <c r="A814" t="str">
        <f>"002406"</f>
        <v>002406</v>
      </c>
      <c r="B814" t="s">
        <v>4821</v>
      </c>
      <c r="C814">
        <v>-1.96</v>
      </c>
      <c r="D814">
        <v>0</v>
      </c>
      <c r="E814">
        <v>-0.15</v>
      </c>
      <c r="F814">
        <v>968</v>
      </c>
      <c r="G814" t="s">
        <v>2787</v>
      </c>
      <c r="H814">
        <v>8103.44</v>
      </c>
      <c r="I814">
        <v>1.1299999999999999</v>
      </c>
      <c r="J814" t="s">
        <v>120</v>
      </c>
      <c r="K814" t="s">
        <v>4822</v>
      </c>
      <c r="L814">
        <v>2.46</v>
      </c>
      <c r="M814">
        <v>6.5</v>
      </c>
      <c r="N814">
        <v>1.02</v>
      </c>
      <c r="O814">
        <v>1.81</v>
      </c>
      <c r="P814">
        <v>6.75</v>
      </c>
      <c r="Q814">
        <v>-2.11</v>
      </c>
      <c r="R814">
        <v>6.49</v>
      </c>
      <c r="S814">
        <v>6.62</v>
      </c>
      <c r="T814">
        <v>122122</v>
      </c>
      <c r="U814">
        <v>6.51</v>
      </c>
      <c r="V814">
        <v>6.63</v>
      </c>
      <c r="W814">
        <v>13.38</v>
      </c>
      <c r="X814" t="s">
        <v>289</v>
      </c>
      <c r="Y814" t="s">
        <v>645</v>
      </c>
      <c r="Z814">
        <v>3.92</v>
      </c>
      <c r="AA814">
        <v>6.64</v>
      </c>
      <c r="AB814">
        <v>63587</v>
      </c>
      <c r="AC814">
        <v>58535</v>
      </c>
      <c r="AD814">
        <v>1.0900000000000001</v>
      </c>
      <c r="AE814">
        <v>127</v>
      </c>
      <c r="AF814">
        <v>435</v>
      </c>
      <c r="AG814" t="s">
        <v>120</v>
      </c>
      <c r="AH814">
        <v>0</v>
      </c>
      <c r="AI814" t="s">
        <v>120</v>
      </c>
      <c r="AJ814">
        <v>4.96</v>
      </c>
      <c r="AK814" t="s">
        <v>4823</v>
      </c>
      <c r="AL814">
        <v>-0.05</v>
      </c>
      <c r="AM814">
        <v>2023</v>
      </c>
      <c r="AN814">
        <v>60</v>
      </c>
      <c r="AO814">
        <v>1.1999999999999999E-3</v>
      </c>
      <c r="AP814">
        <v>-1</v>
      </c>
      <c r="AQ814">
        <v>1.53</v>
      </c>
      <c r="AR814">
        <v>-3.57</v>
      </c>
      <c r="AS814">
        <v>-1.81</v>
      </c>
      <c r="AT814">
        <v>6.74</v>
      </c>
      <c r="AU814">
        <v>2.21</v>
      </c>
      <c r="AV814">
        <v>0</v>
      </c>
      <c r="AW814">
        <v>2.79</v>
      </c>
      <c r="AX814">
        <v>70.150000000000006</v>
      </c>
      <c r="AY814">
        <v>13.38</v>
      </c>
      <c r="AZ814">
        <v>12.75</v>
      </c>
      <c r="BA814">
        <v>0.24</v>
      </c>
      <c r="BB814" t="s">
        <v>240</v>
      </c>
      <c r="BF814">
        <v>0.08</v>
      </c>
      <c r="BG814">
        <v>-1.81</v>
      </c>
      <c r="BH814">
        <v>-3.7</v>
      </c>
      <c r="BI814">
        <v>0.15</v>
      </c>
      <c r="BJ814">
        <v>20210907</v>
      </c>
      <c r="BK814">
        <v>20100518</v>
      </c>
      <c r="BL814">
        <v>6.24</v>
      </c>
      <c r="BM814" t="s">
        <v>120</v>
      </c>
      <c r="BN814" t="s">
        <v>120</v>
      </c>
      <c r="BO814">
        <v>45.52</v>
      </c>
      <c r="BP814">
        <v>6.5</v>
      </c>
      <c r="BQ814">
        <v>33.5</v>
      </c>
      <c r="BR814" t="s">
        <v>120</v>
      </c>
      <c r="BS814">
        <v>26.4</v>
      </c>
      <c r="BT814">
        <v>31.37</v>
      </c>
      <c r="BU814">
        <v>8.65</v>
      </c>
      <c r="BV814">
        <v>3.05</v>
      </c>
      <c r="BW814">
        <v>6.25</v>
      </c>
      <c r="BX814">
        <v>12.15</v>
      </c>
      <c r="BY814">
        <v>3.19</v>
      </c>
      <c r="BZ814">
        <v>5.52</v>
      </c>
      <c r="CA814" t="s">
        <v>120</v>
      </c>
      <c r="CB814">
        <v>11.89</v>
      </c>
      <c r="CC814">
        <v>12.66</v>
      </c>
      <c r="CD814">
        <v>9.4499999999999993</v>
      </c>
      <c r="CE814">
        <v>1.8</v>
      </c>
      <c r="CF814">
        <v>0</v>
      </c>
      <c r="CG814">
        <v>1.8</v>
      </c>
      <c r="CH814">
        <v>1.52</v>
      </c>
      <c r="CI814">
        <v>1.52</v>
      </c>
      <c r="CJ814">
        <v>-0.13</v>
      </c>
      <c r="CK814">
        <v>1.37</v>
      </c>
      <c r="CL814">
        <v>12.09</v>
      </c>
      <c r="CM814">
        <v>2.04</v>
      </c>
      <c r="CN814">
        <v>0.98</v>
      </c>
      <c r="CO814">
        <v>42641</v>
      </c>
      <c r="CP814">
        <v>10268</v>
      </c>
      <c r="CQ814" t="s">
        <v>4824</v>
      </c>
      <c r="CR814">
        <v>-9.17</v>
      </c>
      <c r="CS814">
        <v>24.19</v>
      </c>
      <c r="CT814">
        <v>1.26</v>
      </c>
      <c r="CU814">
        <v>19.93</v>
      </c>
      <c r="CV814">
        <v>3.2</v>
      </c>
      <c r="CW814">
        <v>3.77</v>
      </c>
      <c r="CX814" t="s">
        <v>626</v>
      </c>
      <c r="CY814">
        <v>5.16</v>
      </c>
      <c r="CZ814">
        <v>5.16</v>
      </c>
      <c r="DA814">
        <v>1.91</v>
      </c>
      <c r="DB814">
        <v>1.94</v>
      </c>
      <c r="DC814">
        <v>0.33</v>
      </c>
      <c r="DD814">
        <v>73.599999999999994</v>
      </c>
      <c r="DE814" t="s">
        <v>4825</v>
      </c>
      <c r="DF814">
        <v>25.38</v>
      </c>
      <c r="DG814">
        <v>14.21</v>
      </c>
      <c r="DH814">
        <v>11.97</v>
      </c>
      <c r="DI814">
        <v>0.57999999999999996</v>
      </c>
      <c r="DJ814">
        <v>2097</v>
      </c>
      <c r="DK814">
        <v>2406</v>
      </c>
      <c r="DL814" t="s">
        <v>120</v>
      </c>
      <c r="DM814" t="s">
        <v>120</v>
      </c>
      <c r="DN814" t="s">
        <v>120</v>
      </c>
    </row>
    <row r="815" spans="1:118">
      <c r="A815" t="str">
        <f>"002407"</f>
        <v>002407</v>
      </c>
      <c r="B815" t="s">
        <v>4826</v>
      </c>
      <c r="C815">
        <v>-6.03</v>
      </c>
      <c r="D815">
        <v>7.0000000000000007E-2</v>
      </c>
      <c r="E815">
        <v>1.1100000000000001</v>
      </c>
      <c r="F815">
        <v>11448</v>
      </c>
      <c r="G815" t="s">
        <v>4827</v>
      </c>
      <c r="H815">
        <v>482623.02</v>
      </c>
      <c r="I815">
        <v>4814.28</v>
      </c>
      <c r="J815" t="s">
        <v>120</v>
      </c>
      <c r="K815" t="s">
        <v>4828</v>
      </c>
      <c r="L815">
        <v>13.35</v>
      </c>
      <c r="M815">
        <v>56.69</v>
      </c>
      <c r="N815">
        <v>1.03</v>
      </c>
      <c r="O815">
        <v>1.82</v>
      </c>
      <c r="P815">
        <v>61.43</v>
      </c>
      <c r="Q815">
        <v>-6.36</v>
      </c>
      <c r="R815">
        <v>56.49</v>
      </c>
      <c r="S815">
        <v>61</v>
      </c>
      <c r="T815">
        <v>817579</v>
      </c>
      <c r="U815">
        <v>56.7</v>
      </c>
      <c r="V815">
        <v>60.33</v>
      </c>
      <c r="W815">
        <v>70.52</v>
      </c>
      <c r="X815" t="s">
        <v>868</v>
      </c>
      <c r="Y815" t="s">
        <v>645</v>
      </c>
      <c r="Z815">
        <v>8.19</v>
      </c>
      <c r="AA815">
        <v>59.03</v>
      </c>
      <c r="AB815">
        <v>433767</v>
      </c>
      <c r="AC815">
        <v>383812</v>
      </c>
      <c r="AD815">
        <v>1.1299999999999999</v>
      </c>
      <c r="AE815">
        <v>42</v>
      </c>
      <c r="AF815">
        <v>221</v>
      </c>
      <c r="AG815" t="s">
        <v>120</v>
      </c>
      <c r="AH815">
        <v>0.14000000000000001</v>
      </c>
      <c r="AI815" t="s">
        <v>120</v>
      </c>
      <c r="AJ815">
        <v>6.12</v>
      </c>
      <c r="AK815" t="s">
        <v>4829</v>
      </c>
      <c r="AL815">
        <v>-4.12</v>
      </c>
      <c r="AM815">
        <v>4737</v>
      </c>
      <c r="AN815">
        <v>173</v>
      </c>
      <c r="AO815">
        <v>2.8E-3</v>
      </c>
      <c r="AP815">
        <v>-1</v>
      </c>
      <c r="AQ815">
        <v>6.36</v>
      </c>
      <c r="AR815">
        <v>3.54</v>
      </c>
      <c r="AS815">
        <v>13.51</v>
      </c>
      <c r="AT815">
        <v>80.09</v>
      </c>
      <c r="AU815">
        <v>183.03</v>
      </c>
      <c r="AV815">
        <v>15</v>
      </c>
      <c r="AW815">
        <v>14.56</v>
      </c>
      <c r="AX815">
        <v>73.290000000000006</v>
      </c>
      <c r="AY815">
        <v>135.6</v>
      </c>
      <c r="AZ815">
        <v>950.55</v>
      </c>
      <c r="BA815">
        <v>1.36</v>
      </c>
      <c r="BB815" t="s">
        <v>700</v>
      </c>
      <c r="BF815">
        <v>-2.15</v>
      </c>
      <c r="BG815">
        <v>-7.07</v>
      </c>
      <c r="BH815">
        <v>-7.72</v>
      </c>
      <c r="BI815">
        <v>0.35</v>
      </c>
      <c r="BJ815">
        <v>20210914</v>
      </c>
      <c r="BK815">
        <v>20100518</v>
      </c>
      <c r="BL815">
        <v>7.66</v>
      </c>
      <c r="BM815" t="s">
        <v>120</v>
      </c>
      <c r="BN815" t="s">
        <v>120</v>
      </c>
      <c r="BO815">
        <v>106.73</v>
      </c>
      <c r="BP815">
        <v>56.69</v>
      </c>
      <c r="BQ815">
        <v>43.88</v>
      </c>
      <c r="BR815">
        <v>5.03</v>
      </c>
      <c r="BS815">
        <v>54.18</v>
      </c>
      <c r="BT815">
        <v>49.89</v>
      </c>
      <c r="BU815">
        <v>34.47</v>
      </c>
      <c r="BV815">
        <v>6.77</v>
      </c>
      <c r="BW815">
        <v>48.24</v>
      </c>
      <c r="BX815">
        <v>19.690000000000001</v>
      </c>
      <c r="BY815">
        <v>8.73</v>
      </c>
      <c r="BZ815">
        <v>10.93</v>
      </c>
      <c r="CA815">
        <v>0.01</v>
      </c>
      <c r="CB815">
        <v>31.45</v>
      </c>
      <c r="CC815">
        <v>29.05</v>
      </c>
      <c r="CD815">
        <v>21.59</v>
      </c>
      <c r="CE815">
        <v>3.77</v>
      </c>
      <c r="CF815">
        <v>0</v>
      </c>
      <c r="CG815">
        <v>3.83</v>
      </c>
      <c r="CH815">
        <v>3.14</v>
      </c>
      <c r="CI815">
        <v>3.08</v>
      </c>
      <c r="CJ815">
        <v>-3.64</v>
      </c>
      <c r="CK815">
        <v>2.88</v>
      </c>
      <c r="CL815">
        <v>4.25</v>
      </c>
      <c r="CM815">
        <v>1.7</v>
      </c>
      <c r="CN815">
        <v>5.0199999999999996</v>
      </c>
      <c r="CO815">
        <v>169541</v>
      </c>
      <c r="CP815">
        <v>3312</v>
      </c>
      <c r="CQ815" t="s">
        <v>4830</v>
      </c>
      <c r="CR815">
        <v>1859.97</v>
      </c>
      <c r="CS815">
        <v>67.680000000000007</v>
      </c>
      <c r="CT815">
        <v>9.9</v>
      </c>
      <c r="CU815">
        <v>255.23</v>
      </c>
      <c r="CV815">
        <v>14.95</v>
      </c>
      <c r="CW815">
        <v>0.33</v>
      </c>
      <c r="CX815" t="s">
        <v>1462</v>
      </c>
      <c r="CY815">
        <v>5.73</v>
      </c>
      <c r="CZ815">
        <v>0</v>
      </c>
      <c r="DA815">
        <v>4.1100000000000003</v>
      </c>
      <c r="DB815">
        <v>0.55000000000000004</v>
      </c>
      <c r="DC815">
        <v>0.22</v>
      </c>
      <c r="DD815">
        <v>41.11</v>
      </c>
      <c r="DE815" t="s">
        <v>4831</v>
      </c>
      <c r="DF815">
        <v>25.68</v>
      </c>
      <c r="DG815">
        <v>12.99</v>
      </c>
      <c r="DH815">
        <v>10.6</v>
      </c>
      <c r="DI815">
        <v>0.88</v>
      </c>
      <c r="DJ815">
        <v>4348</v>
      </c>
      <c r="DK815">
        <v>2407</v>
      </c>
      <c r="DL815">
        <v>20210601</v>
      </c>
      <c r="DM815">
        <v>29.98</v>
      </c>
      <c r="DN815">
        <v>89.09</v>
      </c>
    </row>
    <row r="816" spans="1:118">
      <c r="A816" t="str">
        <f>"002408"</f>
        <v>002408</v>
      </c>
      <c r="B816" t="s">
        <v>4832</v>
      </c>
      <c r="C816">
        <v>-5.64</v>
      </c>
      <c r="D816">
        <v>-0.05</v>
      </c>
      <c r="E816">
        <v>0.27</v>
      </c>
      <c r="F816">
        <v>9281</v>
      </c>
      <c r="G816" t="s">
        <v>4833</v>
      </c>
      <c r="H816">
        <v>136761.63</v>
      </c>
      <c r="I816">
        <v>1065.51</v>
      </c>
      <c r="J816" t="s">
        <v>120</v>
      </c>
      <c r="K816" t="s">
        <v>4834</v>
      </c>
      <c r="L816">
        <v>3.91</v>
      </c>
      <c r="M816">
        <v>17.579999999999998</v>
      </c>
      <c r="N816">
        <v>1.19</v>
      </c>
      <c r="O816">
        <v>0.81</v>
      </c>
      <c r="P816">
        <v>18.78</v>
      </c>
      <c r="Q816">
        <v>-6.6</v>
      </c>
      <c r="R816">
        <v>17.399999999999999</v>
      </c>
      <c r="S816">
        <v>18.68</v>
      </c>
      <c r="T816">
        <v>761558</v>
      </c>
      <c r="U816">
        <v>17.579999999999998</v>
      </c>
      <c r="V816">
        <v>18.63</v>
      </c>
      <c r="W816">
        <v>11.94</v>
      </c>
      <c r="X816" t="s">
        <v>868</v>
      </c>
      <c r="Y816" t="s">
        <v>638</v>
      </c>
      <c r="Z816">
        <v>7.41</v>
      </c>
      <c r="AA816">
        <v>17.96</v>
      </c>
      <c r="AB816">
        <v>435674</v>
      </c>
      <c r="AC816">
        <v>325884</v>
      </c>
      <c r="AD816">
        <v>1.34</v>
      </c>
      <c r="AE816">
        <v>318</v>
      </c>
      <c r="AF816">
        <v>1173</v>
      </c>
      <c r="AG816" t="s">
        <v>120</v>
      </c>
      <c r="AH816">
        <v>0.06</v>
      </c>
      <c r="AI816" t="s">
        <v>120</v>
      </c>
      <c r="AJ816">
        <v>19.46</v>
      </c>
      <c r="AK816" t="s">
        <v>4835</v>
      </c>
      <c r="AL816">
        <v>-3.72</v>
      </c>
      <c r="AM816">
        <v>4682</v>
      </c>
      <c r="AN816">
        <v>163</v>
      </c>
      <c r="AO816">
        <v>8.0000000000000004E-4</v>
      </c>
      <c r="AP816">
        <v>-1</v>
      </c>
      <c r="AQ816">
        <v>8.06</v>
      </c>
      <c r="AR816">
        <v>3.84</v>
      </c>
      <c r="AS816">
        <v>47.48</v>
      </c>
      <c r="AT816">
        <v>56.84</v>
      </c>
      <c r="AU816">
        <v>116.81</v>
      </c>
      <c r="AV816">
        <v>3</v>
      </c>
      <c r="AW816">
        <v>7.71</v>
      </c>
      <c r="AX816">
        <v>49.51</v>
      </c>
      <c r="AY816">
        <v>18.88</v>
      </c>
      <c r="AZ816">
        <v>38.11</v>
      </c>
      <c r="BA816">
        <v>1.01</v>
      </c>
      <c r="BB816" t="s">
        <v>700</v>
      </c>
      <c r="BF816">
        <v>-3.61</v>
      </c>
      <c r="BG816">
        <v>-5.89</v>
      </c>
      <c r="BH816">
        <v>-6.39</v>
      </c>
      <c r="BI816">
        <v>1.03</v>
      </c>
      <c r="BJ816">
        <v>20210831</v>
      </c>
      <c r="BK816">
        <v>20100518</v>
      </c>
      <c r="BL816">
        <v>19.96</v>
      </c>
      <c r="BM816" t="s">
        <v>120</v>
      </c>
      <c r="BN816" t="s">
        <v>120</v>
      </c>
      <c r="BO816">
        <v>235.12</v>
      </c>
      <c r="BP816">
        <v>17.57</v>
      </c>
      <c r="BQ816">
        <v>116.87</v>
      </c>
      <c r="BR816">
        <v>8.65</v>
      </c>
      <c r="BS816">
        <v>46.61</v>
      </c>
      <c r="BT816">
        <v>96.86</v>
      </c>
      <c r="BU816">
        <v>67.78</v>
      </c>
      <c r="BV816">
        <v>15.82</v>
      </c>
      <c r="BW816">
        <v>78.150000000000006</v>
      </c>
      <c r="BX816">
        <v>27.7</v>
      </c>
      <c r="BY816">
        <v>9.27</v>
      </c>
      <c r="BZ816">
        <v>29.41</v>
      </c>
      <c r="CA816" t="s">
        <v>120</v>
      </c>
      <c r="CB816">
        <v>39.340000000000003</v>
      </c>
      <c r="CC816">
        <v>177.49</v>
      </c>
      <c r="CD816">
        <v>152.9</v>
      </c>
      <c r="CE816">
        <v>18.09</v>
      </c>
      <c r="CF816">
        <v>0.11</v>
      </c>
      <c r="CG816">
        <v>18.03</v>
      </c>
      <c r="CH816">
        <v>15.31</v>
      </c>
      <c r="CI816">
        <v>14.69</v>
      </c>
      <c r="CJ816">
        <v>-1.05</v>
      </c>
      <c r="CK816">
        <v>14.5</v>
      </c>
      <c r="CL816">
        <v>48.83</v>
      </c>
      <c r="CM816">
        <v>10.46</v>
      </c>
      <c r="CN816">
        <v>1.27</v>
      </c>
      <c r="CO816">
        <v>49299</v>
      </c>
      <c r="CP816">
        <v>20044</v>
      </c>
      <c r="CQ816" t="s">
        <v>4836</v>
      </c>
      <c r="CR816">
        <v>208.93</v>
      </c>
      <c r="CS816">
        <v>79.08</v>
      </c>
      <c r="CT816">
        <v>3.05</v>
      </c>
      <c r="CU816">
        <v>33.54</v>
      </c>
      <c r="CV816">
        <v>1.98</v>
      </c>
      <c r="CW816">
        <v>1.34</v>
      </c>
      <c r="CX816" t="s">
        <v>3993</v>
      </c>
      <c r="CY816">
        <v>5.77</v>
      </c>
      <c r="CZ816">
        <v>5.77</v>
      </c>
      <c r="DA816">
        <v>1.97</v>
      </c>
      <c r="DB816">
        <v>2.4500000000000002</v>
      </c>
      <c r="DC816">
        <v>0.52</v>
      </c>
      <c r="DD816">
        <v>49.71</v>
      </c>
      <c r="DE816" t="s">
        <v>4837</v>
      </c>
      <c r="DF816">
        <v>13.86</v>
      </c>
      <c r="DG816">
        <v>10.19</v>
      </c>
      <c r="DH816">
        <v>8.2799999999999994</v>
      </c>
      <c r="DI816">
        <v>2.36</v>
      </c>
      <c r="DJ816">
        <v>2467</v>
      </c>
      <c r="DK816">
        <v>2408</v>
      </c>
      <c r="DL816" t="s">
        <v>120</v>
      </c>
      <c r="DM816" t="s">
        <v>120</v>
      </c>
      <c r="DN816" t="s">
        <v>120</v>
      </c>
    </row>
    <row r="817" spans="1:118">
      <c r="A817" t="str">
        <f>"002409"</f>
        <v>002409</v>
      </c>
      <c r="B817" t="s">
        <v>4838</v>
      </c>
      <c r="C817">
        <v>-2.0299999999999998</v>
      </c>
      <c r="D817">
        <v>1.66</v>
      </c>
      <c r="E817">
        <v>-0.42</v>
      </c>
      <c r="F817">
        <v>2775</v>
      </c>
      <c r="G817" t="s">
        <v>4839</v>
      </c>
      <c r="H817">
        <v>47421.8</v>
      </c>
      <c r="I817">
        <v>96.31</v>
      </c>
      <c r="J817" t="s">
        <v>120</v>
      </c>
      <c r="K817" t="s">
        <v>4840</v>
      </c>
      <c r="L817">
        <v>1.97</v>
      </c>
      <c r="M817">
        <v>81.69</v>
      </c>
      <c r="N817">
        <v>0.71</v>
      </c>
      <c r="O817">
        <v>0.44</v>
      </c>
      <c r="P817">
        <v>83.75</v>
      </c>
      <c r="Q817">
        <v>-4.29</v>
      </c>
      <c r="R817">
        <v>79.8</v>
      </c>
      <c r="S817">
        <v>83.03</v>
      </c>
      <c r="T817">
        <v>58244</v>
      </c>
      <c r="U817">
        <v>81.69</v>
      </c>
      <c r="V817">
        <v>83.38</v>
      </c>
      <c r="W817">
        <v>80.3</v>
      </c>
      <c r="X817" t="s">
        <v>868</v>
      </c>
      <c r="Y817" t="s">
        <v>319</v>
      </c>
      <c r="Z817">
        <v>4.74</v>
      </c>
      <c r="AA817">
        <v>81.42</v>
      </c>
      <c r="AB817">
        <v>33473</v>
      </c>
      <c r="AC817">
        <v>24771</v>
      </c>
      <c r="AD817">
        <v>1.35</v>
      </c>
      <c r="AE817">
        <v>7</v>
      </c>
      <c r="AF817">
        <v>38</v>
      </c>
      <c r="AG817" t="s">
        <v>120</v>
      </c>
      <c r="AH817">
        <v>0.01</v>
      </c>
      <c r="AI817" t="s">
        <v>120</v>
      </c>
      <c r="AJ817">
        <v>2.95</v>
      </c>
      <c r="AK817" t="s">
        <v>4841</v>
      </c>
      <c r="AL817">
        <v>-0.11</v>
      </c>
      <c r="AM817">
        <v>3825</v>
      </c>
      <c r="AN817">
        <v>15</v>
      </c>
      <c r="AO817">
        <v>5.0000000000000001E-4</v>
      </c>
      <c r="AP817">
        <v>-2</v>
      </c>
      <c r="AQ817">
        <v>-1.67</v>
      </c>
      <c r="AR817">
        <v>-3.5</v>
      </c>
      <c r="AS817">
        <v>-10.87</v>
      </c>
      <c r="AT817">
        <v>6.1</v>
      </c>
      <c r="AU817">
        <v>36.36</v>
      </c>
      <c r="AV817">
        <v>4</v>
      </c>
      <c r="AW817">
        <v>2.62</v>
      </c>
      <c r="AX817">
        <v>46.75</v>
      </c>
      <c r="AY817">
        <v>89.33</v>
      </c>
      <c r="AZ817">
        <v>96.04</v>
      </c>
      <c r="BA817">
        <v>0.78</v>
      </c>
      <c r="BB817" t="s">
        <v>143</v>
      </c>
      <c r="BF817">
        <v>-2.35</v>
      </c>
      <c r="BG817">
        <v>-1.61</v>
      </c>
      <c r="BH817">
        <v>-2.46</v>
      </c>
      <c r="BI817">
        <v>2.37</v>
      </c>
      <c r="BJ817">
        <v>20210909</v>
      </c>
      <c r="BK817">
        <v>20100525</v>
      </c>
      <c r="BL817">
        <v>4.76</v>
      </c>
      <c r="BM817" t="s">
        <v>120</v>
      </c>
      <c r="BN817" t="s">
        <v>120</v>
      </c>
      <c r="BO817">
        <v>60.57</v>
      </c>
      <c r="BP817">
        <v>81.400000000000006</v>
      </c>
      <c r="BQ817">
        <v>48.08</v>
      </c>
      <c r="BR817">
        <v>0.67</v>
      </c>
      <c r="BS817">
        <v>19.5</v>
      </c>
      <c r="BT817">
        <v>20.95</v>
      </c>
      <c r="BU817">
        <v>9.7799999999999994</v>
      </c>
      <c r="BV817">
        <v>2.78</v>
      </c>
      <c r="BW817">
        <v>10.23</v>
      </c>
      <c r="BX817">
        <v>5.05</v>
      </c>
      <c r="BY817">
        <v>6.69</v>
      </c>
      <c r="BZ817">
        <v>6.28</v>
      </c>
      <c r="CA817">
        <v>0.02</v>
      </c>
      <c r="CB817">
        <v>29.47</v>
      </c>
      <c r="CC817">
        <v>18.03</v>
      </c>
      <c r="CD817">
        <v>12.97</v>
      </c>
      <c r="CE817">
        <v>3.09</v>
      </c>
      <c r="CF817">
        <v>0.39</v>
      </c>
      <c r="CG817">
        <v>3.1</v>
      </c>
      <c r="CH817">
        <v>2.46</v>
      </c>
      <c r="CI817">
        <v>2.42</v>
      </c>
      <c r="CJ817">
        <v>-1.69</v>
      </c>
      <c r="CK817">
        <v>2.04</v>
      </c>
      <c r="CL817">
        <v>13.3</v>
      </c>
      <c r="CM817">
        <v>1.69</v>
      </c>
      <c r="CN817">
        <v>-0.28999999999999998</v>
      </c>
      <c r="CO817">
        <v>24355</v>
      </c>
      <c r="CP817">
        <v>9136</v>
      </c>
      <c r="CQ817" t="s">
        <v>4842</v>
      </c>
      <c r="CR817">
        <v>14.72</v>
      </c>
      <c r="CS817">
        <v>94.16</v>
      </c>
      <c r="CT817">
        <v>7.86</v>
      </c>
      <c r="CU817">
        <v>230.14</v>
      </c>
      <c r="CV817">
        <v>21.56</v>
      </c>
      <c r="CW817">
        <v>0.21</v>
      </c>
      <c r="CX817" t="s">
        <v>948</v>
      </c>
      <c r="CY817">
        <v>10.39</v>
      </c>
      <c r="CZ817">
        <v>10.39</v>
      </c>
      <c r="DA817">
        <v>6.19</v>
      </c>
      <c r="DB817">
        <v>2.8</v>
      </c>
      <c r="DC817">
        <v>0.35</v>
      </c>
      <c r="DD817">
        <v>79.39</v>
      </c>
      <c r="DE817" t="s">
        <v>3260</v>
      </c>
      <c r="DF817">
        <v>28.09</v>
      </c>
      <c r="DG817">
        <v>17.11</v>
      </c>
      <c r="DH817">
        <v>13.42</v>
      </c>
      <c r="DI817">
        <v>0.46</v>
      </c>
      <c r="DJ817">
        <v>1231</v>
      </c>
      <c r="DK817">
        <v>2409</v>
      </c>
      <c r="DL817" t="s">
        <v>120</v>
      </c>
      <c r="DM817" t="s">
        <v>120</v>
      </c>
      <c r="DN817" t="s">
        <v>120</v>
      </c>
    </row>
    <row r="818" spans="1:118">
      <c r="A818" t="str">
        <f>"002410"</f>
        <v>002410</v>
      </c>
      <c r="B818" t="s">
        <v>4843</v>
      </c>
      <c r="C818">
        <v>-0.88</v>
      </c>
      <c r="D818">
        <v>0</v>
      </c>
      <c r="E818">
        <v>-0.73</v>
      </c>
      <c r="F818">
        <v>227</v>
      </c>
      <c r="G818" t="s">
        <v>4844</v>
      </c>
      <c r="H818">
        <v>26027.86</v>
      </c>
      <c r="I818">
        <v>33.5</v>
      </c>
      <c r="J818" t="s">
        <v>120</v>
      </c>
      <c r="K818" t="s">
        <v>4845</v>
      </c>
      <c r="L818">
        <v>0.43</v>
      </c>
      <c r="M818">
        <v>60.81</v>
      </c>
      <c r="N818">
        <v>0.87</v>
      </c>
      <c r="O818">
        <v>0.41</v>
      </c>
      <c r="P818">
        <v>61.6</v>
      </c>
      <c r="Q818">
        <v>-2.79</v>
      </c>
      <c r="R818">
        <v>59.64</v>
      </c>
      <c r="S818">
        <v>60.9</v>
      </c>
      <c r="T818">
        <v>42957</v>
      </c>
      <c r="U818">
        <v>60.91</v>
      </c>
      <c r="V818">
        <v>61.35</v>
      </c>
      <c r="W818">
        <v>126.24</v>
      </c>
      <c r="X818" t="s">
        <v>141</v>
      </c>
      <c r="Y818" t="s">
        <v>158</v>
      </c>
      <c r="Z818">
        <v>3.19</v>
      </c>
      <c r="AA818">
        <v>60.59</v>
      </c>
      <c r="AB818">
        <v>23204</v>
      </c>
      <c r="AC818">
        <v>19753</v>
      </c>
      <c r="AD818">
        <v>1.17</v>
      </c>
      <c r="AE818">
        <v>39</v>
      </c>
      <c r="AF818">
        <v>5</v>
      </c>
      <c r="AG818" t="s">
        <v>120</v>
      </c>
      <c r="AH818">
        <v>0</v>
      </c>
      <c r="AI818" t="s">
        <v>120</v>
      </c>
      <c r="AJ818">
        <v>9.92</v>
      </c>
      <c r="AK818" t="s">
        <v>4846</v>
      </c>
      <c r="AL818">
        <v>1.03</v>
      </c>
      <c r="AM818">
        <v>3423</v>
      </c>
      <c r="AN818">
        <v>13</v>
      </c>
      <c r="AO818">
        <v>1E-4</v>
      </c>
      <c r="AP818">
        <v>-1</v>
      </c>
      <c r="AQ818">
        <v>2.23</v>
      </c>
      <c r="AR818">
        <v>0.35</v>
      </c>
      <c r="AS818">
        <v>1.3</v>
      </c>
      <c r="AT818">
        <v>-10.7</v>
      </c>
      <c r="AU818">
        <v>-22.53</v>
      </c>
      <c r="AV818">
        <v>0</v>
      </c>
      <c r="AW818">
        <v>0.46</v>
      </c>
      <c r="AX818">
        <v>79.5</v>
      </c>
      <c r="AY818">
        <v>149.78</v>
      </c>
      <c r="AZ818">
        <v>220.49</v>
      </c>
      <c r="BA818">
        <v>1.1000000000000001</v>
      </c>
      <c r="BB818" t="s">
        <v>143</v>
      </c>
      <c r="BF818">
        <v>-1.24</v>
      </c>
      <c r="BG818">
        <v>-0.15</v>
      </c>
      <c r="BH818">
        <v>-1.28</v>
      </c>
      <c r="BI818">
        <v>1.96</v>
      </c>
      <c r="BJ818">
        <v>20210824</v>
      </c>
      <c r="BK818">
        <v>20100525</v>
      </c>
      <c r="BL818">
        <v>11.87</v>
      </c>
      <c r="BM818" t="s">
        <v>120</v>
      </c>
      <c r="BN818" t="s">
        <v>120</v>
      </c>
      <c r="BO818">
        <v>94.78</v>
      </c>
      <c r="BP818">
        <v>60.81</v>
      </c>
      <c r="BQ818">
        <v>62.65</v>
      </c>
      <c r="BR818">
        <v>2.11</v>
      </c>
      <c r="BS818">
        <v>31.68</v>
      </c>
      <c r="BT818">
        <v>49.38</v>
      </c>
      <c r="BU818">
        <v>8.0500000000000007</v>
      </c>
      <c r="BV818">
        <v>3.56</v>
      </c>
      <c r="BW818">
        <v>28.01</v>
      </c>
      <c r="BX818">
        <v>40.380000000000003</v>
      </c>
      <c r="BY818">
        <v>0.61</v>
      </c>
      <c r="BZ818">
        <v>6.47</v>
      </c>
      <c r="CA818" t="s">
        <v>120</v>
      </c>
      <c r="CB818">
        <v>32.770000000000003</v>
      </c>
      <c r="CC818">
        <v>21.5</v>
      </c>
      <c r="CD818">
        <v>2.4300000000000002</v>
      </c>
      <c r="CE818">
        <v>3.38</v>
      </c>
      <c r="CF818">
        <v>-0.1</v>
      </c>
      <c r="CG818">
        <v>3.37</v>
      </c>
      <c r="CH818">
        <v>3.05</v>
      </c>
      <c r="CI818">
        <v>2.86</v>
      </c>
      <c r="CJ818">
        <v>-0.54</v>
      </c>
      <c r="CK818">
        <v>2.74</v>
      </c>
      <c r="CL818">
        <v>16.420000000000002</v>
      </c>
      <c r="CM818">
        <v>1.54</v>
      </c>
      <c r="CN818">
        <v>-7.55</v>
      </c>
      <c r="CO818">
        <v>44362</v>
      </c>
      <c r="CP818">
        <v>21280</v>
      </c>
      <c r="CQ818" t="s">
        <v>4847</v>
      </c>
      <c r="CR818">
        <v>119.95</v>
      </c>
      <c r="CS818">
        <v>36.11</v>
      </c>
      <c r="CT818">
        <v>11.53</v>
      </c>
      <c r="CU818">
        <v>469.56</v>
      </c>
      <c r="CV818">
        <v>33.590000000000003</v>
      </c>
      <c r="CW818">
        <v>0.41</v>
      </c>
      <c r="CX818" t="s">
        <v>626</v>
      </c>
      <c r="CY818">
        <v>5.28</v>
      </c>
      <c r="CZ818">
        <v>5.28</v>
      </c>
      <c r="DA818">
        <v>2.76</v>
      </c>
      <c r="DB818">
        <v>1.38</v>
      </c>
      <c r="DC818">
        <v>0.13</v>
      </c>
      <c r="DD818">
        <v>66.099999999999994</v>
      </c>
      <c r="DE818" t="s">
        <v>4848</v>
      </c>
      <c r="DF818">
        <v>88.69</v>
      </c>
      <c r="DG818">
        <v>15.72</v>
      </c>
      <c r="DH818">
        <v>13.3</v>
      </c>
      <c r="DI818">
        <v>5.57</v>
      </c>
      <c r="DJ818">
        <v>8213</v>
      </c>
      <c r="DK818">
        <v>2410</v>
      </c>
      <c r="DL818" t="s">
        <v>120</v>
      </c>
      <c r="DM818" t="s">
        <v>120</v>
      </c>
      <c r="DN818" t="s">
        <v>120</v>
      </c>
    </row>
    <row r="819" spans="1:118">
      <c r="A819" t="str">
        <f>"002411"</f>
        <v>002411</v>
      </c>
      <c r="B819" t="s">
        <v>4849</v>
      </c>
      <c r="C819">
        <v>-3.85</v>
      </c>
      <c r="D819">
        <v>0</v>
      </c>
      <c r="E819">
        <v>3.47</v>
      </c>
      <c r="F819">
        <v>16168</v>
      </c>
      <c r="G819" t="s">
        <v>4850</v>
      </c>
      <c r="H819">
        <v>195391.21</v>
      </c>
      <c r="I819">
        <v>3196.2</v>
      </c>
      <c r="J819" t="s">
        <v>120</v>
      </c>
      <c r="K819" t="s">
        <v>4851</v>
      </c>
      <c r="L819">
        <v>7.97</v>
      </c>
      <c r="M819">
        <v>15.24</v>
      </c>
      <c r="N819">
        <v>0.86</v>
      </c>
      <c r="O819">
        <v>7.7</v>
      </c>
      <c r="P819">
        <v>17.07</v>
      </c>
      <c r="Q819">
        <v>-4.79</v>
      </c>
      <c r="R819">
        <v>15.09</v>
      </c>
      <c r="S819">
        <v>16.399999999999999</v>
      </c>
      <c r="T819">
        <v>1221471</v>
      </c>
      <c r="U819">
        <v>15.25</v>
      </c>
      <c r="V819">
        <v>15.85</v>
      </c>
      <c r="W819">
        <v>38.46</v>
      </c>
      <c r="X819" t="s">
        <v>569</v>
      </c>
      <c r="Y819" t="s">
        <v>890</v>
      </c>
      <c r="Z819">
        <v>12.49</v>
      </c>
      <c r="AA819">
        <v>16</v>
      </c>
      <c r="AB819">
        <v>643870</v>
      </c>
      <c r="AC819">
        <v>577601</v>
      </c>
      <c r="AD819">
        <v>1.1100000000000001</v>
      </c>
      <c r="AE819">
        <v>3060</v>
      </c>
      <c r="AF819">
        <v>1294</v>
      </c>
      <c r="AG819" t="s">
        <v>120</v>
      </c>
      <c r="AH819">
        <v>0.32</v>
      </c>
      <c r="AI819" t="s">
        <v>120</v>
      </c>
      <c r="AJ819">
        <v>15.32</v>
      </c>
      <c r="AK819" t="s">
        <v>4851</v>
      </c>
      <c r="AL819">
        <v>-1.93</v>
      </c>
      <c r="AM819">
        <v>4680</v>
      </c>
      <c r="AN819">
        <v>261</v>
      </c>
      <c r="AO819">
        <v>1.6999999999999999E-3</v>
      </c>
      <c r="AP819">
        <v>-1</v>
      </c>
      <c r="AQ819">
        <v>4.21</v>
      </c>
      <c r="AR819">
        <v>-5.46</v>
      </c>
      <c r="AS819">
        <v>80.78</v>
      </c>
      <c r="AT819">
        <v>192.51</v>
      </c>
      <c r="AU819">
        <v>193.08</v>
      </c>
      <c r="AV819">
        <v>14</v>
      </c>
      <c r="AW819">
        <v>20.100000000000001</v>
      </c>
      <c r="AX819">
        <v>39.65</v>
      </c>
      <c r="AY819" t="s">
        <v>120</v>
      </c>
      <c r="AZ819" t="s">
        <v>120</v>
      </c>
      <c r="BA819">
        <v>0.77</v>
      </c>
      <c r="BB819" t="s">
        <v>168</v>
      </c>
      <c r="BF819">
        <v>0.92</v>
      </c>
      <c r="BG819">
        <v>-7.07</v>
      </c>
      <c r="BH819">
        <v>-10.72</v>
      </c>
      <c r="BI819">
        <v>0.99</v>
      </c>
      <c r="BJ819">
        <v>20210827</v>
      </c>
      <c r="BK819">
        <v>20100525</v>
      </c>
      <c r="BL819">
        <v>15.32</v>
      </c>
      <c r="BM819" t="s">
        <v>120</v>
      </c>
      <c r="BN819" t="s">
        <v>120</v>
      </c>
      <c r="BO819">
        <v>197.59</v>
      </c>
      <c r="BP819">
        <v>15.24</v>
      </c>
      <c r="BQ819">
        <v>88.6</v>
      </c>
      <c r="BR819">
        <v>4.51</v>
      </c>
      <c r="BS819">
        <v>52.88</v>
      </c>
      <c r="BT819">
        <v>79.95</v>
      </c>
      <c r="BU819">
        <v>27.43</v>
      </c>
      <c r="BV819">
        <v>7.41</v>
      </c>
      <c r="BW819">
        <v>91.8</v>
      </c>
      <c r="BX819">
        <v>5.55</v>
      </c>
      <c r="BY819">
        <v>8.7799999999999994</v>
      </c>
      <c r="BZ819">
        <v>42.89</v>
      </c>
      <c r="CA819">
        <v>0.23</v>
      </c>
      <c r="CB819">
        <v>51.16</v>
      </c>
      <c r="CC819">
        <v>34.49</v>
      </c>
      <c r="CD819">
        <v>26.89</v>
      </c>
      <c r="CE819">
        <v>4.2</v>
      </c>
      <c r="CF819">
        <v>0.03</v>
      </c>
      <c r="CG819">
        <v>4.17</v>
      </c>
      <c r="CH819">
        <v>3.43</v>
      </c>
      <c r="CI819">
        <v>3.04</v>
      </c>
      <c r="CJ819">
        <v>-0.61</v>
      </c>
      <c r="CK819">
        <v>2.2599999999999998</v>
      </c>
      <c r="CL819">
        <v>15.62</v>
      </c>
      <c r="CM819">
        <v>0.84</v>
      </c>
      <c r="CN819">
        <v>-0.82</v>
      </c>
      <c r="CO819">
        <v>74460</v>
      </c>
      <c r="CP819">
        <v>8160</v>
      </c>
      <c r="CQ819" t="s">
        <v>4852</v>
      </c>
      <c r="CR819">
        <v>161</v>
      </c>
      <c r="CS819">
        <v>-1.64</v>
      </c>
      <c r="CT819">
        <v>2.64</v>
      </c>
      <c r="CU819">
        <v>279.52</v>
      </c>
      <c r="CV819">
        <v>6.77</v>
      </c>
      <c r="CW819">
        <v>0</v>
      </c>
      <c r="CX819" t="s">
        <v>4853</v>
      </c>
      <c r="CY819">
        <v>5.78</v>
      </c>
      <c r="CZ819">
        <v>0</v>
      </c>
      <c r="DA819">
        <v>3.34</v>
      </c>
      <c r="DB819">
        <v>1.02</v>
      </c>
      <c r="DC819">
        <v>0.05</v>
      </c>
      <c r="DD819">
        <v>44.84</v>
      </c>
      <c r="DE819" t="s">
        <v>4854</v>
      </c>
      <c r="DF819">
        <v>22.03</v>
      </c>
      <c r="DG819">
        <v>12.17</v>
      </c>
      <c r="DH819">
        <v>8.8000000000000007</v>
      </c>
      <c r="DI819">
        <v>0.59</v>
      </c>
      <c r="DJ819">
        <v>4250</v>
      </c>
      <c r="DK819">
        <v>2411</v>
      </c>
      <c r="DL819">
        <v>20210827</v>
      </c>
      <c r="DM819">
        <v>10.26</v>
      </c>
      <c r="DN819">
        <v>48.54</v>
      </c>
    </row>
    <row r="820" spans="1:118">
      <c r="A820" t="str">
        <f>"002412"</f>
        <v>002412</v>
      </c>
      <c r="B820" t="s">
        <v>4855</v>
      </c>
      <c r="C820">
        <v>0</v>
      </c>
      <c r="D820">
        <v>0.17</v>
      </c>
      <c r="E820">
        <v>-0.17</v>
      </c>
      <c r="F820">
        <v>140</v>
      </c>
      <c r="G820" t="s">
        <v>4640</v>
      </c>
      <c r="H820">
        <v>2439.8200000000002</v>
      </c>
      <c r="I820">
        <v>8.4700000000000006</v>
      </c>
      <c r="J820" t="s">
        <v>120</v>
      </c>
      <c r="K820" t="s">
        <v>4856</v>
      </c>
      <c r="L820">
        <v>0.82</v>
      </c>
      <c r="M820">
        <v>6.02</v>
      </c>
      <c r="N820">
        <v>0.83</v>
      </c>
      <c r="O820">
        <v>1.66</v>
      </c>
      <c r="P820">
        <v>6.12</v>
      </c>
      <c r="Q820">
        <v>-0.33</v>
      </c>
      <c r="R820">
        <v>6</v>
      </c>
      <c r="S820">
        <v>6.01</v>
      </c>
      <c r="T820">
        <v>40278</v>
      </c>
      <c r="U820">
        <v>6.02</v>
      </c>
      <c r="V820">
        <v>6.02</v>
      </c>
      <c r="W820">
        <v>21.44</v>
      </c>
      <c r="X820" t="s">
        <v>771</v>
      </c>
      <c r="Y820" t="s">
        <v>594</v>
      </c>
      <c r="Z820">
        <v>1.99</v>
      </c>
      <c r="AA820">
        <v>6.06</v>
      </c>
      <c r="AB820">
        <v>19459</v>
      </c>
      <c r="AC820">
        <v>20819</v>
      </c>
      <c r="AD820">
        <v>0.93</v>
      </c>
      <c r="AE820">
        <v>252</v>
      </c>
      <c r="AF820">
        <v>75</v>
      </c>
      <c r="AG820" t="s">
        <v>120</v>
      </c>
      <c r="AH820">
        <v>0.01</v>
      </c>
      <c r="AI820" t="s">
        <v>120</v>
      </c>
      <c r="AJ820">
        <v>4.9400000000000004</v>
      </c>
      <c r="AK820" t="s">
        <v>4857</v>
      </c>
      <c r="AL820">
        <v>1.91</v>
      </c>
      <c r="AM820">
        <v>1072</v>
      </c>
      <c r="AN820">
        <v>38</v>
      </c>
      <c r="AO820">
        <v>8.0000000000000004E-4</v>
      </c>
      <c r="AP820">
        <v>0</v>
      </c>
      <c r="AQ820">
        <v>0.17</v>
      </c>
      <c r="AR820">
        <v>-1.95</v>
      </c>
      <c r="AS820">
        <v>4.7</v>
      </c>
      <c r="AT820">
        <v>2.56</v>
      </c>
      <c r="AU820">
        <v>-9.61</v>
      </c>
      <c r="AV820">
        <v>0</v>
      </c>
      <c r="AW820">
        <v>1.43</v>
      </c>
      <c r="AX820">
        <v>55.97</v>
      </c>
      <c r="AY820">
        <v>24.52</v>
      </c>
      <c r="AZ820">
        <v>28.54</v>
      </c>
      <c r="BA820">
        <v>0.33</v>
      </c>
      <c r="BB820" t="s">
        <v>143</v>
      </c>
      <c r="BF820">
        <v>0.62</v>
      </c>
      <c r="BG820">
        <v>0.17</v>
      </c>
      <c r="BH820">
        <v>-1.63</v>
      </c>
      <c r="BI820">
        <v>0.33</v>
      </c>
      <c r="BJ820">
        <v>20210901</v>
      </c>
      <c r="BK820">
        <v>20100525</v>
      </c>
      <c r="BL820">
        <v>5.03</v>
      </c>
      <c r="BM820" t="s">
        <v>120</v>
      </c>
      <c r="BN820" t="s">
        <v>120</v>
      </c>
      <c r="BO820">
        <v>20.38</v>
      </c>
      <c r="BP820">
        <v>6.01</v>
      </c>
      <c r="BQ820">
        <v>16.649999999999999</v>
      </c>
      <c r="BR820" t="s">
        <v>120</v>
      </c>
      <c r="BS820">
        <v>18.32</v>
      </c>
      <c r="BT820">
        <v>5.98</v>
      </c>
      <c r="BU820">
        <v>4.5199999999999996</v>
      </c>
      <c r="BV820">
        <v>0.47</v>
      </c>
      <c r="BW820">
        <v>3.54</v>
      </c>
      <c r="BX820">
        <v>1.82</v>
      </c>
      <c r="BY820">
        <v>0.89</v>
      </c>
      <c r="BZ820">
        <v>2.17</v>
      </c>
      <c r="CA820" t="s">
        <v>120</v>
      </c>
      <c r="CB820">
        <v>2.02</v>
      </c>
      <c r="CC820">
        <v>4.43</v>
      </c>
      <c r="CD820">
        <v>1.21</v>
      </c>
      <c r="CE820">
        <v>0.8</v>
      </c>
      <c r="CF820">
        <v>0.32</v>
      </c>
      <c r="CG820">
        <v>0.8</v>
      </c>
      <c r="CH820">
        <v>0.71</v>
      </c>
      <c r="CI820">
        <v>0.71</v>
      </c>
      <c r="CJ820">
        <v>0</v>
      </c>
      <c r="CK820">
        <v>0.69</v>
      </c>
      <c r="CL820">
        <v>8.4600000000000009</v>
      </c>
      <c r="CM820">
        <v>1.1599999999999999</v>
      </c>
      <c r="CN820">
        <v>0.78</v>
      </c>
      <c r="CO820">
        <v>23192</v>
      </c>
      <c r="CP820">
        <v>12143</v>
      </c>
      <c r="CQ820" t="s">
        <v>1630</v>
      </c>
      <c r="CR820">
        <v>32.700000000000003</v>
      </c>
      <c r="CS820">
        <v>42.14</v>
      </c>
      <c r="CT820">
        <v>1.82</v>
      </c>
      <c r="CU820">
        <v>26.18</v>
      </c>
      <c r="CV820">
        <v>6.84</v>
      </c>
      <c r="CW820">
        <v>0</v>
      </c>
      <c r="CX820" t="s">
        <v>300</v>
      </c>
      <c r="CY820">
        <v>3.31</v>
      </c>
      <c r="CZ820">
        <v>0</v>
      </c>
      <c r="DA820">
        <v>0.4</v>
      </c>
      <c r="DB820">
        <v>1.68</v>
      </c>
      <c r="DC820">
        <v>0.23</v>
      </c>
      <c r="DD820">
        <v>81.680000000000007</v>
      </c>
      <c r="DE820" t="s">
        <v>3564</v>
      </c>
      <c r="DF820">
        <v>72.61</v>
      </c>
      <c r="DG820">
        <v>18.02</v>
      </c>
      <c r="DH820">
        <v>15.94</v>
      </c>
      <c r="DI820">
        <v>0.18</v>
      </c>
      <c r="DJ820">
        <v>1512</v>
      </c>
      <c r="DK820">
        <v>2412</v>
      </c>
      <c r="DL820" t="s">
        <v>120</v>
      </c>
      <c r="DM820" t="s">
        <v>120</v>
      </c>
      <c r="DN820" t="s">
        <v>120</v>
      </c>
    </row>
    <row r="821" spans="1:118">
      <c r="A821" t="str">
        <f>"002413"</f>
        <v>002413</v>
      </c>
      <c r="B821" t="s">
        <v>4858</v>
      </c>
      <c r="C821">
        <v>-2.89</v>
      </c>
      <c r="D821">
        <v>0</v>
      </c>
      <c r="E821">
        <v>-0.57999999999999996</v>
      </c>
      <c r="F821">
        <v>4353</v>
      </c>
      <c r="G821" t="s">
        <v>4365</v>
      </c>
      <c r="H821">
        <v>24736.65</v>
      </c>
      <c r="I821">
        <v>48.23</v>
      </c>
      <c r="J821" t="s">
        <v>120</v>
      </c>
      <c r="K821" t="s">
        <v>4859</v>
      </c>
      <c r="L821">
        <v>3.01</v>
      </c>
      <c r="M821">
        <v>6.71</v>
      </c>
      <c r="N821">
        <v>0.82</v>
      </c>
      <c r="O821">
        <v>0.43</v>
      </c>
      <c r="P821">
        <v>6.94</v>
      </c>
      <c r="Q821">
        <v>-3.04</v>
      </c>
      <c r="R821">
        <v>6.7</v>
      </c>
      <c r="S821">
        <v>6.87</v>
      </c>
      <c r="T821">
        <v>363247</v>
      </c>
      <c r="U821">
        <v>6.71</v>
      </c>
      <c r="V821">
        <v>6.91</v>
      </c>
      <c r="W821">
        <v>68.89</v>
      </c>
      <c r="X821" t="s">
        <v>462</v>
      </c>
      <c r="Y821" t="s">
        <v>319</v>
      </c>
      <c r="Z821">
        <v>3.47</v>
      </c>
      <c r="AA821">
        <v>6.81</v>
      </c>
      <c r="AB821">
        <v>211171</v>
      </c>
      <c r="AC821">
        <v>152076</v>
      </c>
      <c r="AD821">
        <v>1.39</v>
      </c>
      <c r="AE821">
        <v>3145</v>
      </c>
      <c r="AF821">
        <v>457</v>
      </c>
      <c r="AG821" t="s">
        <v>120</v>
      </c>
      <c r="AH821">
        <v>0.01</v>
      </c>
      <c r="AI821" t="s">
        <v>120</v>
      </c>
      <c r="AJ821">
        <v>12.07</v>
      </c>
      <c r="AK821" t="s">
        <v>4860</v>
      </c>
      <c r="AL821">
        <v>-0.98</v>
      </c>
      <c r="AM821">
        <v>3229</v>
      </c>
      <c r="AN821">
        <v>112</v>
      </c>
      <c r="AO821">
        <v>8.9999999999999998E-4</v>
      </c>
      <c r="AP821">
        <v>-1</v>
      </c>
      <c r="AQ821">
        <v>0.73</v>
      </c>
      <c r="AR821">
        <v>-3.45</v>
      </c>
      <c r="AS821">
        <v>3.39</v>
      </c>
      <c r="AT821">
        <v>-1.18</v>
      </c>
      <c r="AU821">
        <v>-5.09</v>
      </c>
      <c r="AV821">
        <v>2</v>
      </c>
      <c r="AW821">
        <v>3.08</v>
      </c>
      <c r="AX821">
        <v>88</v>
      </c>
      <c r="AY821">
        <v>51.68</v>
      </c>
      <c r="AZ821">
        <v>53.74</v>
      </c>
      <c r="BA821">
        <v>0.42</v>
      </c>
      <c r="BB821" t="s">
        <v>143</v>
      </c>
      <c r="BF821">
        <v>-1.45</v>
      </c>
      <c r="BG821">
        <v>-2.33</v>
      </c>
      <c r="BH821">
        <v>-3.31</v>
      </c>
      <c r="BI821">
        <v>0.15</v>
      </c>
      <c r="BJ821">
        <v>20210913</v>
      </c>
      <c r="BK821">
        <v>20100528</v>
      </c>
      <c r="BL821">
        <v>13.41</v>
      </c>
      <c r="BM821" t="s">
        <v>120</v>
      </c>
      <c r="BN821" t="s">
        <v>120</v>
      </c>
      <c r="BO821">
        <v>63.45</v>
      </c>
      <c r="BP821">
        <v>6.7</v>
      </c>
      <c r="BQ821">
        <v>47.9</v>
      </c>
      <c r="BR821">
        <v>0.19</v>
      </c>
      <c r="BS821">
        <v>24.22</v>
      </c>
      <c r="BT821">
        <v>29.58</v>
      </c>
      <c r="BU821">
        <v>3.7</v>
      </c>
      <c r="BV821">
        <v>3.38</v>
      </c>
      <c r="BW821">
        <v>10.55</v>
      </c>
      <c r="BX821">
        <v>1.79</v>
      </c>
      <c r="BY821">
        <v>8.9700000000000006</v>
      </c>
      <c r="BZ821">
        <v>12.06</v>
      </c>
      <c r="CA821">
        <v>0.01</v>
      </c>
      <c r="CB821">
        <v>25.13</v>
      </c>
      <c r="CC821">
        <v>6.17</v>
      </c>
      <c r="CD821">
        <v>3.49</v>
      </c>
      <c r="CE821">
        <v>0.71</v>
      </c>
      <c r="CF821">
        <v>0.02</v>
      </c>
      <c r="CG821">
        <v>0.71</v>
      </c>
      <c r="CH821">
        <v>0.63</v>
      </c>
      <c r="CI821">
        <v>0.65</v>
      </c>
      <c r="CJ821">
        <v>-0.2</v>
      </c>
      <c r="CK821">
        <v>0.46</v>
      </c>
      <c r="CL821">
        <v>9.75</v>
      </c>
      <c r="CM821">
        <v>-3.24</v>
      </c>
      <c r="CN821">
        <v>-1.74</v>
      </c>
      <c r="CO821">
        <v>110136</v>
      </c>
      <c r="CP821">
        <v>10711</v>
      </c>
      <c r="CQ821" t="s">
        <v>4861</v>
      </c>
      <c r="CR821">
        <v>11.76</v>
      </c>
      <c r="CS821">
        <v>35.03</v>
      </c>
      <c r="CT821">
        <v>1.81</v>
      </c>
      <c r="CU821">
        <v>-27.73</v>
      </c>
      <c r="CV821">
        <v>14.59</v>
      </c>
      <c r="CW821">
        <v>0</v>
      </c>
      <c r="CX821" t="s">
        <v>1248</v>
      </c>
      <c r="CY821">
        <v>3.7</v>
      </c>
      <c r="CZ821">
        <v>3.7</v>
      </c>
      <c r="DA821">
        <v>1.87</v>
      </c>
      <c r="DB821">
        <v>0.73</v>
      </c>
      <c r="DC821">
        <v>-0.24</v>
      </c>
      <c r="DD821">
        <v>75.489999999999995</v>
      </c>
      <c r="DE821" t="s">
        <v>980</v>
      </c>
      <c r="DF821">
        <v>43.35</v>
      </c>
      <c r="DG821">
        <v>11.46</v>
      </c>
      <c r="DH821">
        <v>10.59</v>
      </c>
      <c r="DI821">
        <v>0.81</v>
      </c>
      <c r="DJ821">
        <v>2011</v>
      </c>
      <c r="DK821">
        <v>2413</v>
      </c>
      <c r="DL821" t="s">
        <v>120</v>
      </c>
      <c r="DM821" t="s">
        <v>120</v>
      </c>
      <c r="DN821" t="s">
        <v>120</v>
      </c>
    </row>
    <row r="822" spans="1:118">
      <c r="A822" t="str">
        <f>"002414"</f>
        <v>002414</v>
      </c>
      <c r="B822" t="s">
        <v>4862</v>
      </c>
      <c r="C822">
        <v>-2.76</v>
      </c>
      <c r="D822">
        <v>-0.11</v>
      </c>
      <c r="E822">
        <v>0.35</v>
      </c>
      <c r="F822">
        <v>4514</v>
      </c>
      <c r="G822" t="s">
        <v>4863</v>
      </c>
      <c r="H822">
        <v>43860.33</v>
      </c>
      <c r="I822">
        <v>111.2</v>
      </c>
      <c r="J822" t="s">
        <v>120</v>
      </c>
      <c r="K822" t="s">
        <v>4864</v>
      </c>
      <c r="L822">
        <v>0.99</v>
      </c>
      <c r="M822">
        <v>25</v>
      </c>
      <c r="N822">
        <v>1.03</v>
      </c>
      <c r="O822">
        <v>1.44</v>
      </c>
      <c r="P822">
        <v>26.08</v>
      </c>
      <c r="Q822">
        <v>-2.76</v>
      </c>
      <c r="R822">
        <v>25</v>
      </c>
      <c r="S822">
        <v>25.8</v>
      </c>
      <c r="T822">
        <v>172830</v>
      </c>
      <c r="U822">
        <v>25.01</v>
      </c>
      <c r="V822">
        <v>25.71</v>
      </c>
      <c r="W822">
        <v>42.24</v>
      </c>
      <c r="X822" t="s">
        <v>2717</v>
      </c>
      <c r="Y822" t="s">
        <v>763</v>
      </c>
      <c r="Z822">
        <v>4.2</v>
      </c>
      <c r="AA822">
        <v>25.38</v>
      </c>
      <c r="AB822">
        <v>95749</v>
      </c>
      <c r="AC822">
        <v>77081</v>
      </c>
      <c r="AD822">
        <v>1.24</v>
      </c>
      <c r="AE822">
        <v>3435</v>
      </c>
      <c r="AF822">
        <v>20</v>
      </c>
      <c r="AG822" t="s">
        <v>120</v>
      </c>
      <c r="AH822">
        <v>0.01</v>
      </c>
      <c r="AI822" t="s">
        <v>120</v>
      </c>
      <c r="AJ822">
        <v>17.489999999999998</v>
      </c>
      <c r="AK822" t="s">
        <v>4865</v>
      </c>
      <c r="AL822">
        <v>-0.85</v>
      </c>
      <c r="AM822">
        <v>3983</v>
      </c>
      <c r="AN822">
        <v>43</v>
      </c>
      <c r="AO822">
        <v>2.0000000000000001E-4</v>
      </c>
      <c r="AP822">
        <v>-1</v>
      </c>
      <c r="AQ822">
        <v>0.55000000000000004</v>
      </c>
      <c r="AR822">
        <v>-2.38</v>
      </c>
      <c r="AS822">
        <v>-14</v>
      </c>
      <c r="AT822">
        <v>-12.31</v>
      </c>
      <c r="AU822">
        <v>-15.67</v>
      </c>
      <c r="AV822">
        <v>0</v>
      </c>
      <c r="AW822">
        <v>2.35</v>
      </c>
      <c r="AX822">
        <v>31.37</v>
      </c>
      <c r="AY822">
        <v>51.25</v>
      </c>
      <c r="AZ822">
        <v>60.28</v>
      </c>
      <c r="BA822">
        <v>0.59</v>
      </c>
      <c r="BB822" t="s">
        <v>143</v>
      </c>
      <c r="BF822">
        <v>-1.29</v>
      </c>
      <c r="BG822">
        <v>-3.1</v>
      </c>
      <c r="BH822">
        <v>-4.1399999999999997</v>
      </c>
      <c r="BI822">
        <v>0</v>
      </c>
      <c r="BJ822">
        <v>20210818</v>
      </c>
      <c r="BK822">
        <v>20100716</v>
      </c>
      <c r="BL822">
        <v>23.47</v>
      </c>
      <c r="BM822" t="s">
        <v>120</v>
      </c>
      <c r="BN822" t="s">
        <v>120</v>
      </c>
      <c r="BO822">
        <v>83.81</v>
      </c>
      <c r="BP822">
        <v>25</v>
      </c>
      <c r="BQ822">
        <v>71.069999999999993</v>
      </c>
      <c r="BR822">
        <v>0.49</v>
      </c>
      <c r="BS822">
        <v>14.61</v>
      </c>
      <c r="BT822">
        <v>63.35</v>
      </c>
      <c r="BU822">
        <v>8.23</v>
      </c>
      <c r="BV822">
        <v>4.3</v>
      </c>
      <c r="BW822">
        <v>9.75</v>
      </c>
      <c r="BX822">
        <v>12.56</v>
      </c>
      <c r="BY822">
        <v>16.27</v>
      </c>
      <c r="BZ822">
        <v>21.53</v>
      </c>
      <c r="CA822" t="s">
        <v>120</v>
      </c>
      <c r="CB822">
        <v>28.22</v>
      </c>
      <c r="CC822">
        <v>18.47</v>
      </c>
      <c r="CD822">
        <v>7.86</v>
      </c>
      <c r="CE822">
        <v>7.27</v>
      </c>
      <c r="CF822">
        <v>0.03</v>
      </c>
      <c r="CG822">
        <v>7.22</v>
      </c>
      <c r="CH822">
        <v>6.95</v>
      </c>
      <c r="CI822">
        <v>6.94</v>
      </c>
      <c r="CJ822">
        <v>-0.71</v>
      </c>
      <c r="CK822">
        <v>6.89</v>
      </c>
      <c r="CL822">
        <v>18.489999999999998</v>
      </c>
      <c r="CM822">
        <v>-0.27</v>
      </c>
      <c r="CN822">
        <v>2.98</v>
      </c>
      <c r="CO822">
        <v>69237</v>
      </c>
      <c r="CP822">
        <v>10632</v>
      </c>
      <c r="CQ822" t="s">
        <v>4866</v>
      </c>
      <c r="CR822">
        <v>34.01</v>
      </c>
      <c r="CS822">
        <v>57.04</v>
      </c>
      <c r="CT822">
        <v>8.25</v>
      </c>
      <c r="CU822">
        <v>-2197.4</v>
      </c>
      <c r="CV822">
        <v>31.76</v>
      </c>
      <c r="CW822">
        <v>0.69</v>
      </c>
      <c r="CX822" t="s">
        <v>1340</v>
      </c>
      <c r="CY822">
        <v>3.03</v>
      </c>
      <c r="CZ822">
        <v>0</v>
      </c>
      <c r="DA822">
        <v>1.2</v>
      </c>
      <c r="DB822">
        <v>0.79</v>
      </c>
      <c r="DC822">
        <v>-0.01</v>
      </c>
      <c r="DD822">
        <v>84.8</v>
      </c>
      <c r="DE822" t="s">
        <v>4867</v>
      </c>
      <c r="DF822">
        <v>57.47</v>
      </c>
      <c r="DG822">
        <v>39.380000000000003</v>
      </c>
      <c r="DH822">
        <v>37.590000000000003</v>
      </c>
      <c r="DI822">
        <v>1.51</v>
      </c>
      <c r="DJ822">
        <v>3544</v>
      </c>
      <c r="DK822">
        <v>2414</v>
      </c>
      <c r="DL822" t="s">
        <v>120</v>
      </c>
      <c r="DM822" t="s">
        <v>120</v>
      </c>
      <c r="DN822" t="s">
        <v>120</v>
      </c>
    </row>
    <row r="823" spans="1:118">
      <c r="A823" t="str">
        <f>"002415"</f>
        <v>002415</v>
      </c>
      <c r="B823" t="s">
        <v>4868</v>
      </c>
      <c r="C823">
        <v>-0.8</v>
      </c>
      <c r="D823">
        <v>0.02</v>
      </c>
      <c r="E823">
        <v>-0.68</v>
      </c>
      <c r="F823">
        <v>1739</v>
      </c>
      <c r="G823" t="s">
        <v>4869</v>
      </c>
      <c r="H823">
        <v>89808.05</v>
      </c>
      <c r="I823">
        <v>150.93</v>
      </c>
      <c r="J823" t="s">
        <v>120</v>
      </c>
      <c r="K823" t="s">
        <v>4870</v>
      </c>
      <c r="L823">
        <v>0.2</v>
      </c>
      <c r="M823">
        <v>54.22</v>
      </c>
      <c r="N823">
        <v>0.49</v>
      </c>
      <c r="O823">
        <v>0.99</v>
      </c>
      <c r="P823">
        <v>55.2</v>
      </c>
      <c r="Q823">
        <v>-1.81</v>
      </c>
      <c r="R823">
        <v>53.67</v>
      </c>
      <c r="S823">
        <v>54.29</v>
      </c>
      <c r="T823">
        <v>165667</v>
      </c>
      <c r="U823">
        <v>54.23</v>
      </c>
      <c r="V823">
        <v>54.66</v>
      </c>
      <c r="W823">
        <v>39.049999999999997</v>
      </c>
      <c r="X823" t="s">
        <v>2717</v>
      </c>
      <c r="Y823" t="s">
        <v>585</v>
      </c>
      <c r="Z823">
        <v>2.8</v>
      </c>
      <c r="AA823">
        <v>54.21</v>
      </c>
      <c r="AB823">
        <v>84509</v>
      </c>
      <c r="AC823">
        <v>81158</v>
      </c>
      <c r="AD823">
        <v>1.04</v>
      </c>
      <c r="AE823">
        <v>291</v>
      </c>
      <c r="AF823">
        <v>287</v>
      </c>
      <c r="AG823" t="s">
        <v>120</v>
      </c>
      <c r="AH823">
        <v>0</v>
      </c>
      <c r="AI823" t="s">
        <v>120</v>
      </c>
      <c r="AJ823">
        <v>81.430000000000007</v>
      </c>
      <c r="AK823" t="s">
        <v>4871</v>
      </c>
      <c r="AL823">
        <v>1.1100000000000001</v>
      </c>
      <c r="AM823">
        <v>4558</v>
      </c>
      <c r="AN823">
        <v>36</v>
      </c>
      <c r="AO823">
        <v>0</v>
      </c>
      <c r="AP823">
        <v>-1</v>
      </c>
      <c r="AQ823">
        <v>0.55000000000000004</v>
      </c>
      <c r="AR823">
        <v>-2.11</v>
      </c>
      <c r="AS823">
        <v>-1.26</v>
      </c>
      <c r="AT823">
        <v>-14.48</v>
      </c>
      <c r="AU823">
        <v>13.65</v>
      </c>
      <c r="AV823">
        <v>1</v>
      </c>
      <c r="AW823">
        <v>0.45</v>
      </c>
      <c r="AX823">
        <v>39.590000000000003</v>
      </c>
      <c r="AY823">
        <v>33.479999999999997</v>
      </c>
      <c r="AZ823">
        <v>38.119999999999997</v>
      </c>
      <c r="BA823">
        <v>1.29</v>
      </c>
      <c r="BB823" t="s">
        <v>143</v>
      </c>
      <c r="BF823">
        <v>-0.82</v>
      </c>
      <c r="BG823">
        <v>-0.13</v>
      </c>
      <c r="BH823">
        <v>-1.78</v>
      </c>
      <c r="BI823">
        <v>1.02</v>
      </c>
      <c r="BJ823">
        <v>20210724</v>
      </c>
      <c r="BK823">
        <v>20100528</v>
      </c>
      <c r="BL823">
        <v>93.36</v>
      </c>
      <c r="BM823" t="s">
        <v>120</v>
      </c>
      <c r="BN823" t="s">
        <v>120</v>
      </c>
      <c r="BO823">
        <v>871.19</v>
      </c>
      <c r="BP823">
        <v>54.22</v>
      </c>
      <c r="BQ823">
        <v>529.05999999999995</v>
      </c>
      <c r="BR823">
        <v>10.76</v>
      </c>
      <c r="BS823">
        <v>38.04</v>
      </c>
      <c r="BT823">
        <v>722.9</v>
      </c>
      <c r="BU823">
        <v>62.59</v>
      </c>
      <c r="BV823">
        <v>12.31</v>
      </c>
      <c r="BW823">
        <v>300.66000000000003</v>
      </c>
      <c r="BX823">
        <v>277.32</v>
      </c>
      <c r="BY823">
        <v>150.94999999999999</v>
      </c>
      <c r="BZ823">
        <v>238.02</v>
      </c>
      <c r="CA823" t="s">
        <v>120</v>
      </c>
      <c r="CB823">
        <v>51.83</v>
      </c>
      <c r="CC823">
        <v>339.02</v>
      </c>
      <c r="CD823">
        <v>182.05</v>
      </c>
      <c r="CE823">
        <v>72.59</v>
      </c>
      <c r="CF823">
        <v>1.69</v>
      </c>
      <c r="CG823">
        <v>72.819999999999993</v>
      </c>
      <c r="CH823">
        <v>68.55</v>
      </c>
      <c r="CI823">
        <v>64.81</v>
      </c>
      <c r="CJ823">
        <v>-0.44</v>
      </c>
      <c r="CK823">
        <v>62.21</v>
      </c>
      <c r="CL823">
        <v>348.3</v>
      </c>
      <c r="CM823">
        <v>19.63</v>
      </c>
      <c r="CN823">
        <v>-73.11</v>
      </c>
      <c r="CO823">
        <v>219924</v>
      </c>
      <c r="CP823">
        <v>16806</v>
      </c>
      <c r="CQ823" t="s">
        <v>4872</v>
      </c>
      <c r="CR823">
        <v>40.17</v>
      </c>
      <c r="CS823">
        <v>39.68</v>
      </c>
      <c r="CT823">
        <v>9.57</v>
      </c>
      <c r="CU823">
        <v>257.88</v>
      </c>
      <c r="CV823">
        <v>14.93</v>
      </c>
      <c r="CW823">
        <v>1.46</v>
      </c>
      <c r="CX823" t="s">
        <v>2797</v>
      </c>
      <c r="CY823">
        <v>5.67</v>
      </c>
      <c r="CZ823">
        <v>0</v>
      </c>
      <c r="DA823">
        <v>0.56000000000000005</v>
      </c>
      <c r="DB823">
        <v>3.73</v>
      </c>
      <c r="DC823">
        <v>0.21</v>
      </c>
      <c r="DD823">
        <v>60.73</v>
      </c>
      <c r="DE823" t="s">
        <v>4873</v>
      </c>
      <c r="DF823">
        <v>46.3</v>
      </c>
      <c r="DG823">
        <v>21.41</v>
      </c>
      <c r="DH823">
        <v>19.12</v>
      </c>
      <c r="DI823">
        <v>38.78</v>
      </c>
      <c r="DJ823">
        <v>42685</v>
      </c>
      <c r="DK823">
        <v>2415</v>
      </c>
      <c r="DL823" t="s">
        <v>120</v>
      </c>
      <c r="DM823" t="s">
        <v>120</v>
      </c>
      <c r="DN823" t="s">
        <v>120</v>
      </c>
    </row>
    <row r="824" spans="1:118">
      <c r="A824" t="str">
        <f>"002416"</f>
        <v>002416</v>
      </c>
      <c r="B824" t="s">
        <v>4874</v>
      </c>
      <c r="C824">
        <v>0</v>
      </c>
      <c r="D824">
        <v>0</v>
      </c>
      <c r="E824">
        <v>0.1</v>
      </c>
      <c r="F824">
        <v>5708</v>
      </c>
      <c r="G824" t="s">
        <v>4875</v>
      </c>
      <c r="H824">
        <v>14394.43</v>
      </c>
      <c r="I824">
        <v>86.59</v>
      </c>
      <c r="J824" t="s">
        <v>120</v>
      </c>
      <c r="K824" t="s">
        <v>4876</v>
      </c>
      <c r="L824">
        <v>1.17</v>
      </c>
      <c r="M824">
        <v>10.07</v>
      </c>
      <c r="N824">
        <v>0.57999999999999996</v>
      </c>
      <c r="O824">
        <v>0.79</v>
      </c>
      <c r="P824">
        <v>10.15</v>
      </c>
      <c r="Q824">
        <v>-1.29</v>
      </c>
      <c r="R824">
        <v>9.94</v>
      </c>
      <c r="S824">
        <v>10.08</v>
      </c>
      <c r="T824">
        <v>143288</v>
      </c>
      <c r="U824">
        <v>10.08</v>
      </c>
      <c r="V824">
        <v>10.07</v>
      </c>
      <c r="W824">
        <v>20.51</v>
      </c>
      <c r="X824" t="s">
        <v>2988</v>
      </c>
      <c r="Y824" t="s">
        <v>123</v>
      </c>
      <c r="Z824">
        <v>2.09</v>
      </c>
      <c r="AA824">
        <v>10.050000000000001</v>
      </c>
      <c r="AB824">
        <v>84847</v>
      </c>
      <c r="AC824">
        <v>58441</v>
      </c>
      <c r="AD824">
        <v>1.45</v>
      </c>
      <c r="AE824">
        <v>70</v>
      </c>
      <c r="AF824">
        <v>1057</v>
      </c>
      <c r="AG824" t="s">
        <v>120</v>
      </c>
      <c r="AH824">
        <v>0.02</v>
      </c>
      <c r="AI824" t="s">
        <v>120</v>
      </c>
      <c r="AJ824">
        <v>12.23</v>
      </c>
      <c r="AK824" t="s">
        <v>4877</v>
      </c>
      <c r="AL824">
        <v>1.91</v>
      </c>
      <c r="AM824">
        <v>2773</v>
      </c>
      <c r="AN824">
        <v>52</v>
      </c>
      <c r="AO824">
        <v>4.0000000000000002E-4</v>
      </c>
      <c r="AP824">
        <v>0</v>
      </c>
      <c r="AQ824">
        <v>0</v>
      </c>
      <c r="AR824">
        <v>-3.27</v>
      </c>
      <c r="AS824">
        <v>-2.71</v>
      </c>
      <c r="AT824">
        <v>1.41</v>
      </c>
      <c r="AU824">
        <v>42.63</v>
      </c>
      <c r="AV824">
        <v>11</v>
      </c>
      <c r="AW824">
        <v>2.54</v>
      </c>
      <c r="AX824">
        <v>45.48</v>
      </c>
      <c r="AY824">
        <v>17.579999999999998</v>
      </c>
      <c r="AZ824">
        <v>17.82</v>
      </c>
      <c r="BA824">
        <v>0.49</v>
      </c>
      <c r="BB824" t="s">
        <v>143</v>
      </c>
      <c r="BF824">
        <v>-0.24</v>
      </c>
      <c r="BG824">
        <v>-0.1</v>
      </c>
      <c r="BH824">
        <v>-0.79</v>
      </c>
      <c r="BI824">
        <v>1.31</v>
      </c>
      <c r="BJ824">
        <v>20210826</v>
      </c>
      <c r="BK824">
        <v>20100528</v>
      </c>
      <c r="BL824">
        <v>12.39</v>
      </c>
      <c r="BM824" t="s">
        <v>120</v>
      </c>
      <c r="BN824" t="s">
        <v>120</v>
      </c>
      <c r="BO824">
        <v>129.53</v>
      </c>
      <c r="BP824">
        <v>10.07</v>
      </c>
      <c r="BQ824">
        <v>52.26</v>
      </c>
      <c r="BR824">
        <v>2.68</v>
      </c>
      <c r="BS824">
        <v>57.59</v>
      </c>
      <c r="BT824">
        <v>110.72</v>
      </c>
      <c r="BU824">
        <v>0.16</v>
      </c>
      <c r="BV824">
        <v>0.13</v>
      </c>
      <c r="BW824">
        <v>73.67</v>
      </c>
      <c r="BX824">
        <v>47.57</v>
      </c>
      <c r="BY824">
        <v>21.3</v>
      </c>
      <c r="BZ824">
        <v>17.010000000000002</v>
      </c>
      <c r="CA824" t="s">
        <v>120</v>
      </c>
      <c r="CB824">
        <v>16.22</v>
      </c>
      <c r="CC824">
        <v>391.61</v>
      </c>
      <c r="CD824">
        <v>379.78</v>
      </c>
      <c r="CE824">
        <v>5.07</v>
      </c>
      <c r="CF824">
        <v>0.21</v>
      </c>
      <c r="CG824">
        <v>5.0999999999999996</v>
      </c>
      <c r="CH824">
        <v>3.76</v>
      </c>
      <c r="CI824">
        <v>3.04</v>
      </c>
      <c r="CJ824">
        <v>0</v>
      </c>
      <c r="CK824">
        <v>2.77</v>
      </c>
      <c r="CL824">
        <v>24.08</v>
      </c>
      <c r="CM824">
        <v>-4.4000000000000004</v>
      </c>
      <c r="CN824">
        <v>1.76</v>
      </c>
      <c r="CO824">
        <v>50101</v>
      </c>
      <c r="CP824">
        <v>11250</v>
      </c>
      <c r="CQ824" t="s">
        <v>4878</v>
      </c>
      <c r="CR824">
        <v>3.13</v>
      </c>
      <c r="CS824">
        <v>45.38</v>
      </c>
      <c r="CT824">
        <v>2.39</v>
      </c>
      <c r="CU824">
        <v>-28.35</v>
      </c>
      <c r="CV824">
        <v>0.32</v>
      </c>
      <c r="CW824">
        <v>3.97</v>
      </c>
      <c r="CX824" t="s">
        <v>4879</v>
      </c>
      <c r="CY824">
        <v>4.22</v>
      </c>
      <c r="CZ824">
        <v>0</v>
      </c>
      <c r="DA824">
        <v>1.31</v>
      </c>
      <c r="DB824">
        <v>1.94</v>
      </c>
      <c r="DC824">
        <v>-0.36</v>
      </c>
      <c r="DD824">
        <v>40.35</v>
      </c>
      <c r="DE824" t="s">
        <v>4880</v>
      </c>
      <c r="DF824">
        <v>3.02</v>
      </c>
      <c r="DG824">
        <v>1.3</v>
      </c>
      <c r="DH824">
        <v>0.78</v>
      </c>
      <c r="DI824">
        <v>0.06</v>
      </c>
      <c r="DJ824">
        <v>2378</v>
      </c>
      <c r="DK824">
        <v>2416</v>
      </c>
      <c r="DL824" t="s">
        <v>120</v>
      </c>
      <c r="DM824" t="s">
        <v>120</v>
      </c>
      <c r="DN824" t="s">
        <v>120</v>
      </c>
    </row>
    <row r="825" spans="1:118">
      <c r="A825" t="str">
        <f>"002417"</f>
        <v>002417</v>
      </c>
      <c r="B825" t="s">
        <v>4881</v>
      </c>
      <c r="C825">
        <v>-0.79</v>
      </c>
      <c r="D825">
        <v>0.2</v>
      </c>
      <c r="E825">
        <v>-0.4</v>
      </c>
      <c r="F825">
        <v>504</v>
      </c>
      <c r="G825" t="s">
        <v>4882</v>
      </c>
      <c r="H825">
        <v>2427.9699999999998</v>
      </c>
      <c r="I825">
        <v>12.55</v>
      </c>
      <c r="J825" t="s">
        <v>120</v>
      </c>
      <c r="K825" t="s">
        <v>1223</v>
      </c>
      <c r="L825">
        <v>2.15</v>
      </c>
      <c r="M825">
        <v>5</v>
      </c>
      <c r="N825">
        <v>0.74</v>
      </c>
      <c r="O825">
        <v>1.39</v>
      </c>
      <c r="P825">
        <v>5.1100000000000003</v>
      </c>
      <c r="Q825">
        <v>-0.99</v>
      </c>
      <c r="R825">
        <v>4.99</v>
      </c>
      <c r="S825">
        <v>5.0199999999999996</v>
      </c>
      <c r="T825">
        <v>48151</v>
      </c>
      <c r="U825">
        <v>5</v>
      </c>
      <c r="V825">
        <v>5.04</v>
      </c>
      <c r="W825" t="s">
        <v>120</v>
      </c>
      <c r="X825" t="s">
        <v>141</v>
      </c>
      <c r="Y825" t="s">
        <v>319</v>
      </c>
      <c r="Z825">
        <v>2.38</v>
      </c>
      <c r="AA825">
        <v>5.04</v>
      </c>
      <c r="AB825">
        <v>26515</v>
      </c>
      <c r="AC825">
        <v>21636</v>
      </c>
      <c r="AD825">
        <v>1.23</v>
      </c>
      <c r="AE825">
        <v>310</v>
      </c>
      <c r="AF825">
        <v>67</v>
      </c>
      <c r="AG825" t="s">
        <v>120</v>
      </c>
      <c r="AH825">
        <v>0.01</v>
      </c>
      <c r="AI825" t="s">
        <v>120</v>
      </c>
      <c r="AJ825">
        <v>2.2400000000000002</v>
      </c>
      <c r="AK825" t="s">
        <v>4883</v>
      </c>
      <c r="AL825">
        <v>1.1200000000000001</v>
      </c>
      <c r="AM825">
        <v>1224</v>
      </c>
      <c r="AN825">
        <v>39</v>
      </c>
      <c r="AO825">
        <v>1.8E-3</v>
      </c>
      <c r="AP825">
        <v>-1</v>
      </c>
      <c r="AQ825">
        <v>0.8</v>
      </c>
      <c r="AR825">
        <v>-1.96</v>
      </c>
      <c r="AS825">
        <v>3.1</v>
      </c>
      <c r="AT825">
        <v>-24.01</v>
      </c>
      <c r="AU825">
        <v>-29.47</v>
      </c>
      <c r="AV825">
        <v>3</v>
      </c>
      <c r="AW825">
        <v>2.33</v>
      </c>
      <c r="AX825">
        <v>76.5</v>
      </c>
      <c r="AY825">
        <v>300.51</v>
      </c>
      <c r="AZ825">
        <v>80.91</v>
      </c>
      <c r="BA825">
        <v>0.79</v>
      </c>
      <c r="BB825" t="s">
        <v>184</v>
      </c>
      <c r="BF825">
        <v>0.05</v>
      </c>
      <c r="BG825">
        <v>-0.4</v>
      </c>
      <c r="BH825">
        <v>-2.15</v>
      </c>
      <c r="BI825">
        <v>0.2</v>
      </c>
      <c r="BJ825">
        <v>20210825</v>
      </c>
      <c r="BK825">
        <v>20100601</v>
      </c>
      <c r="BL825">
        <v>2.7</v>
      </c>
      <c r="BM825" t="s">
        <v>120</v>
      </c>
      <c r="BN825" t="s">
        <v>120</v>
      </c>
      <c r="BO825">
        <v>3.31</v>
      </c>
      <c r="BP825">
        <v>4.99</v>
      </c>
      <c r="BQ825">
        <v>2.5099999999999998</v>
      </c>
      <c r="BR825">
        <v>0.24</v>
      </c>
      <c r="BS825">
        <v>16.920000000000002</v>
      </c>
      <c r="BT825">
        <v>2.0699999999999998</v>
      </c>
      <c r="BU825">
        <v>0.01</v>
      </c>
      <c r="BV825">
        <v>0</v>
      </c>
      <c r="BW825">
        <v>0.54</v>
      </c>
      <c r="BX825">
        <v>0.49</v>
      </c>
      <c r="BY825">
        <v>0.37</v>
      </c>
      <c r="BZ825">
        <v>0.64</v>
      </c>
      <c r="CA825" t="s">
        <v>120</v>
      </c>
      <c r="CB825">
        <v>3.38</v>
      </c>
      <c r="CC825">
        <v>0.66</v>
      </c>
      <c r="CD825">
        <v>0.53</v>
      </c>
      <c r="CE825">
        <v>-0.03</v>
      </c>
      <c r="CF825">
        <v>0</v>
      </c>
      <c r="CG825">
        <v>-0.03</v>
      </c>
      <c r="CH825">
        <v>-0.03</v>
      </c>
      <c r="CI825">
        <v>-0.04</v>
      </c>
      <c r="CJ825">
        <v>-0.04</v>
      </c>
      <c r="CK825">
        <v>-0.04</v>
      </c>
      <c r="CL825">
        <v>-3.84</v>
      </c>
      <c r="CM825">
        <v>-0.16</v>
      </c>
      <c r="CN825">
        <v>-0.44</v>
      </c>
      <c r="CO825">
        <v>37051</v>
      </c>
      <c r="CP825">
        <v>5575</v>
      </c>
      <c r="CQ825" t="s">
        <v>4884</v>
      </c>
      <c r="CR825">
        <v>-141.94</v>
      </c>
      <c r="CS825">
        <v>-58.67</v>
      </c>
      <c r="CT825">
        <v>5.37</v>
      </c>
      <c r="CU825">
        <v>-86.03</v>
      </c>
      <c r="CV825">
        <v>20.48</v>
      </c>
      <c r="CW825">
        <v>0</v>
      </c>
      <c r="CX825" t="s">
        <v>1312</v>
      </c>
      <c r="CY825">
        <v>0.93</v>
      </c>
      <c r="CZ825">
        <v>0</v>
      </c>
      <c r="DA825">
        <v>1.25</v>
      </c>
      <c r="DB825">
        <v>-1.42</v>
      </c>
      <c r="DC825">
        <v>-0.06</v>
      </c>
      <c r="DD825">
        <v>75.89</v>
      </c>
      <c r="DE825" t="s">
        <v>4885</v>
      </c>
      <c r="DF825">
        <v>20.010000000000002</v>
      </c>
      <c r="DG825">
        <v>-4.59</v>
      </c>
      <c r="DH825">
        <v>-5.51</v>
      </c>
      <c r="DI825">
        <v>0.03</v>
      </c>
      <c r="DJ825">
        <v>105</v>
      </c>
      <c r="DK825">
        <v>2417</v>
      </c>
      <c r="DL825" t="s">
        <v>120</v>
      </c>
      <c r="DM825" t="s">
        <v>120</v>
      </c>
      <c r="DN825" t="s">
        <v>120</v>
      </c>
    </row>
    <row r="826" spans="1:118">
      <c r="A826" t="str">
        <f>"002418"</f>
        <v>002418</v>
      </c>
      <c r="B826" t="s">
        <v>4886</v>
      </c>
      <c r="C826">
        <v>-4.43</v>
      </c>
      <c r="D826">
        <v>0</v>
      </c>
      <c r="E826">
        <v>0.25</v>
      </c>
      <c r="F826">
        <v>1346</v>
      </c>
      <c r="G826" t="s">
        <v>882</v>
      </c>
      <c r="H826">
        <v>12066.73</v>
      </c>
      <c r="I826">
        <v>24.58</v>
      </c>
      <c r="J826" t="s">
        <v>120</v>
      </c>
      <c r="K826" t="s">
        <v>4887</v>
      </c>
      <c r="L826">
        <v>2.69</v>
      </c>
      <c r="M826">
        <v>3.88</v>
      </c>
      <c r="N826">
        <v>1.03</v>
      </c>
      <c r="O826">
        <v>0.49</v>
      </c>
      <c r="P826">
        <v>4.08</v>
      </c>
      <c r="Q826">
        <v>-4.93</v>
      </c>
      <c r="R826">
        <v>3.86</v>
      </c>
      <c r="S826">
        <v>4.07</v>
      </c>
      <c r="T826">
        <v>305790</v>
      </c>
      <c r="U826">
        <v>3.88</v>
      </c>
      <c r="V826">
        <v>4.0599999999999996</v>
      </c>
      <c r="W826">
        <v>165.05</v>
      </c>
      <c r="X826" t="s">
        <v>959</v>
      </c>
      <c r="Y826" t="s">
        <v>585</v>
      </c>
      <c r="Z826">
        <v>5.42</v>
      </c>
      <c r="AA826">
        <v>3.95</v>
      </c>
      <c r="AB826">
        <v>195287</v>
      </c>
      <c r="AC826">
        <v>110503</v>
      </c>
      <c r="AD826">
        <v>1.77</v>
      </c>
      <c r="AE826">
        <v>1225</v>
      </c>
      <c r="AF826">
        <v>3112</v>
      </c>
      <c r="AG826" t="s">
        <v>120</v>
      </c>
      <c r="AH826">
        <v>0.01</v>
      </c>
      <c r="AI826" t="s">
        <v>120</v>
      </c>
      <c r="AJ826">
        <v>11.36</v>
      </c>
      <c r="AK826" t="s">
        <v>4888</v>
      </c>
      <c r="AL826">
        <v>-2.52</v>
      </c>
      <c r="AM826">
        <v>2715</v>
      </c>
      <c r="AN826">
        <v>113</v>
      </c>
      <c r="AO826">
        <v>1E-3</v>
      </c>
      <c r="AP826">
        <v>-2</v>
      </c>
      <c r="AQ826">
        <v>-2.87</v>
      </c>
      <c r="AR826">
        <v>-3.48</v>
      </c>
      <c r="AS826">
        <v>-12.21</v>
      </c>
      <c r="AT826">
        <v>55.82</v>
      </c>
      <c r="AU826">
        <v>98.98</v>
      </c>
      <c r="AV826">
        <v>21</v>
      </c>
      <c r="AW826">
        <v>4.3099999999999996</v>
      </c>
      <c r="AX826">
        <v>62.4</v>
      </c>
      <c r="AY826">
        <v>75.7</v>
      </c>
      <c r="AZ826">
        <v>218.39</v>
      </c>
      <c r="BA826">
        <v>1.1299999999999999</v>
      </c>
      <c r="BB826" t="s">
        <v>143</v>
      </c>
      <c r="BF826">
        <v>-2.81</v>
      </c>
      <c r="BG826">
        <v>-4.67</v>
      </c>
      <c r="BH826">
        <v>-4.9000000000000004</v>
      </c>
      <c r="BI826">
        <v>0.52</v>
      </c>
      <c r="BJ826">
        <v>20210914</v>
      </c>
      <c r="BK826">
        <v>20100601</v>
      </c>
      <c r="BL826">
        <v>11.36</v>
      </c>
      <c r="BM826" t="s">
        <v>120</v>
      </c>
      <c r="BN826" t="s">
        <v>120</v>
      </c>
      <c r="BO826">
        <v>29.9</v>
      </c>
      <c r="BP826">
        <v>3.87</v>
      </c>
      <c r="BQ826">
        <v>14.49</v>
      </c>
      <c r="BR826">
        <v>-0.06</v>
      </c>
      <c r="BS826">
        <v>51.73</v>
      </c>
      <c r="BT826">
        <v>17.399999999999999</v>
      </c>
      <c r="BU826">
        <v>5.55</v>
      </c>
      <c r="BV826">
        <v>1.4</v>
      </c>
      <c r="BW826">
        <v>14.3</v>
      </c>
      <c r="BX826">
        <v>1.77</v>
      </c>
      <c r="BY826">
        <v>2.19</v>
      </c>
      <c r="BZ826">
        <v>11.35</v>
      </c>
      <c r="CA826">
        <v>0.12</v>
      </c>
      <c r="CB826">
        <v>4.92</v>
      </c>
      <c r="CC826">
        <v>11.49</v>
      </c>
      <c r="CD826">
        <v>10.06</v>
      </c>
      <c r="CE826">
        <v>0.24</v>
      </c>
      <c r="CF826">
        <v>0</v>
      </c>
      <c r="CG826">
        <v>0.21</v>
      </c>
      <c r="CH826">
        <v>0.13</v>
      </c>
      <c r="CI826">
        <v>0.13</v>
      </c>
      <c r="CJ826">
        <v>-0.18</v>
      </c>
      <c r="CK826">
        <v>0.1</v>
      </c>
      <c r="CL826">
        <v>-2.67</v>
      </c>
      <c r="CM826">
        <v>-0.21</v>
      </c>
      <c r="CN826">
        <v>0.71</v>
      </c>
      <c r="CO826">
        <v>45304</v>
      </c>
      <c r="CP826">
        <v>15652</v>
      </c>
      <c r="CQ826" t="s">
        <v>1035</v>
      </c>
      <c r="CR826">
        <v>150.47999999999999</v>
      </c>
      <c r="CS826">
        <v>35.33</v>
      </c>
      <c r="CT826">
        <v>3.04</v>
      </c>
      <c r="CU826">
        <v>-212.02</v>
      </c>
      <c r="CV826">
        <v>3.84</v>
      </c>
      <c r="CW826">
        <v>0</v>
      </c>
      <c r="CX826" t="s">
        <v>2327</v>
      </c>
      <c r="CY826">
        <v>1.28</v>
      </c>
      <c r="CZ826">
        <v>0</v>
      </c>
      <c r="DA826">
        <v>0.43</v>
      </c>
      <c r="DB826">
        <v>-0.23</v>
      </c>
      <c r="DC826">
        <v>-0.02</v>
      </c>
      <c r="DD826">
        <v>48.48</v>
      </c>
      <c r="DE826" t="s">
        <v>4889</v>
      </c>
      <c r="DF826">
        <v>12.39</v>
      </c>
      <c r="DG826">
        <v>2.09</v>
      </c>
      <c r="DH826">
        <v>1.1599999999999999</v>
      </c>
      <c r="DI826">
        <v>0.09</v>
      </c>
      <c r="DJ826">
        <v>3575</v>
      </c>
      <c r="DK826">
        <v>2418</v>
      </c>
      <c r="DL826" t="s">
        <v>120</v>
      </c>
      <c r="DM826" t="s">
        <v>120</v>
      </c>
      <c r="DN826" t="s">
        <v>120</v>
      </c>
    </row>
    <row r="827" spans="1:118">
      <c r="A827" t="str">
        <f>"002419"</f>
        <v>002419</v>
      </c>
      <c r="B827" t="s">
        <v>4890</v>
      </c>
      <c r="C827">
        <v>-0.66</v>
      </c>
      <c r="D827">
        <v>-0.32</v>
      </c>
      <c r="E827">
        <v>0.66</v>
      </c>
      <c r="F827">
        <v>1898</v>
      </c>
      <c r="G827" t="s">
        <v>4891</v>
      </c>
      <c r="H827">
        <v>4333.68</v>
      </c>
      <c r="I827">
        <v>40.4</v>
      </c>
      <c r="J827" t="s">
        <v>120</v>
      </c>
      <c r="K827" t="s">
        <v>4892</v>
      </c>
      <c r="L827">
        <v>0.59</v>
      </c>
      <c r="M827">
        <v>6.06</v>
      </c>
      <c r="N827">
        <v>0.9</v>
      </c>
      <c r="O827">
        <v>1.97</v>
      </c>
      <c r="P827">
        <v>6.22</v>
      </c>
      <c r="Q827">
        <v>-0.66</v>
      </c>
      <c r="R827">
        <v>6.06</v>
      </c>
      <c r="S827">
        <v>6.14</v>
      </c>
      <c r="T827">
        <v>70547</v>
      </c>
      <c r="U827">
        <v>6.07</v>
      </c>
      <c r="V827">
        <v>6.1</v>
      </c>
      <c r="W827">
        <v>25.38</v>
      </c>
      <c r="X827" t="s">
        <v>735</v>
      </c>
      <c r="Y827" t="s">
        <v>123</v>
      </c>
      <c r="Z827">
        <v>2.62</v>
      </c>
      <c r="AA827">
        <v>6.14</v>
      </c>
      <c r="AB827">
        <v>36253</v>
      </c>
      <c r="AC827">
        <v>34294</v>
      </c>
      <c r="AD827">
        <v>1.06</v>
      </c>
      <c r="AE827">
        <v>1462</v>
      </c>
      <c r="AF827">
        <v>169</v>
      </c>
      <c r="AG827" t="s">
        <v>120</v>
      </c>
      <c r="AH827">
        <v>0.02</v>
      </c>
      <c r="AI827" t="s">
        <v>120</v>
      </c>
      <c r="AJ827">
        <v>12</v>
      </c>
      <c r="AK827" t="s">
        <v>4893</v>
      </c>
      <c r="AL827">
        <v>1.26</v>
      </c>
      <c r="AM827">
        <v>1926</v>
      </c>
      <c r="AN827">
        <v>37</v>
      </c>
      <c r="AO827">
        <v>2.9999999999999997E-4</v>
      </c>
      <c r="AP827">
        <v>-3</v>
      </c>
      <c r="AQ827">
        <v>-1.45</v>
      </c>
      <c r="AR827">
        <v>-2.88</v>
      </c>
      <c r="AS827">
        <v>4.12</v>
      </c>
      <c r="AT827">
        <v>-6.63</v>
      </c>
      <c r="AU827">
        <v>-18.440000000000001</v>
      </c>
      <c r="AV827">
        <v>1</v>
      </c>
      <c r="AW827">
        <v>1.76</v>
      </c>
      <c r="AX827">
        <v>33.43</v>
      </c>
      <c r="AY827">
        <v>20.28</v>
      </c>
      <c r="AZ827">
        <v>28.89</v>
      </c>
      <c r="BA827">
        <v>0.32</v>
      </c>
      <c r="BB827" t="s">
        <v>125</v>
      </c>
      <c r="BF827">
        <v>0.7</v>
      </c>
      <c r="BG827">
        <v>-1.3</v>
      </c>
      <c r="BH827">
        <v>-2.57</v>
      </c>
      <c r="BI827">
        <v>0</v>
      </c>
      <c r="BJ827">
        <v>20210913</v>
      </c>
      <c r="BK827">
        <v>20100601</v>
      </c>
      <c r="BL827">
        <v>12</v>
      </c>
      <c r="BM827" t="s">
        <v>120</v>
      </c>
      <c r="BN827" t="s">
        <v>120</v>
      </c>
      <c r="BO827">
        <v>299.86</v>
      </c>
      <c r="BP827">
        <v>6.06</v>
      </c>
      <c r="BQ827">
        <v>41.83</v>
      </c>
      <c r="BR827">
        <v>0.05</v>
      </c>
      <c r="BS827">
        <v>86.03</v>
      </c>
      <c r="BT827">
        <v>86.28</v>
      </c>
      <c r="BU827">
        <v>57.46</v>
      </c>
      <c r="BV827">
        <v>8.73</v>
      </c>
      <c r="BW827">
        <v>99.43</v>
      </c>
      <c r="BX827">
        <v>35.53</v>
      </c>
      <c r="BY827">
        <v>7.27</v>
      </c>
      <c r="BZ827">
        <v>1.1499999999999999</v>
      </c>
      <c r="CA827">
        <v>1.37</v>
      </c>
      <c r="CB827">
        <v>13.09</v>
      </c>
      <c r="CC827">
        <v>61.95</v>
      </c>
      <c r="CD827">
        <v>37.61</v>
      </c>
      <c r="CE827">
        <v>1.61</v>
      </c>
      <c r="CF827">
        <v>0</v>
      </c>
      <c r="CG827">
        <v>1.74</v>
      </c>
      <c r="CH827">
        <v>1.44</v>
      </c>
      <c r="CI827">
        <v>1.43</v>
      </c>
      <c r="CJ827">
        <v>-0.04</v>
      </c>
      <c r="CK827">
        <v>0.63</v>
      </c>
      <c r="CL827">
        <v>11.98</v>
      </c>
      <c r="CM827">
        <v>6.07</v>
      </c>
      <c r="CN827">
        <v>-7.27</v>
      </c>
      <c r="CO827">
        <v>35215</v>
      </c>
      <c r="CP827">
        <v>11394</v>
      </c>
      <c r="CQ827" t="s">
        <v>3419</v>
      </c>
      <c r="CR827">
        <v>301.08</v>
      </c>
      <c r="CS827">
        <v>5.19</v>
      </c>
      <c r="CT827">
        <v>1.74</v>
      </c>
      <c r="CU827">
        <v>11.98</v>
      </c>
      <c r="CV827">
        <v>1.17</v>
      </c>
      <c r="CW827">
        <v>3.43</v>
      </c>
      <c r="CX827" t="s">
        <v>850</v>
      </c>
      <c r="CY827">
        <v>3.48</v>
      </c>
      <c r="CZ827">
        <v>0</v>
      </c>
      <c r="DA827">
        <v>1.0900000000000001</v>
      </c>
      <c r="DB827">
        <v>1</v>
      </c>
      <c r="DC827">
        <v>0.51</v>
      </c>
      <c r="DD827">
        <v>13.95</v>
      </c>
      <c r="DE827" t="s">
        <v>4854</v>
      </c>
      <c r="DF827">
        <v>39.28</v>
      </c>
      <c r="DG827">
        <v>2.6</v>
      </c>
      <c r="DH827">
        <v>2.31</v>
      </c>
      <c r="DI827">
        <v>0.27</v>
      </c>
      <c r="DJ827">
        <v>17229</v>
      </c>
      <c r="DK827">
        <v>2419</v>
      </c>
      <c r="DL827" t="s">
        <v>120</v>
      </c>
      <c r="DM827" t="s">
        <v>120</v>
      </c>
      <c r="DN827" t="s">
        <v>120</v>
      </c>
    </row>
    <row r="828" spans="1:118">
      <c r="A828" t="str">
        <f>"002420"</f>
        <v>002420</v>
      </c>
      <c r="B828" t="s">
        <v>4894</v>
      </c>
      <c r="C828">
        <v>-1.28</v>
      </c>
      <c r="D828">
        <v>0</v>
      </c>
      <c r="E828">
        <v>-0.32</v>
      </c>
      <c r="F828">
        <v>434</v>
      </c>
      <c r="G828" t="s">
        <v>4895</v>
      </c>
      <c r="H828">
        <v>6189.51</v>
      </c>
      <c r="I828">
        <v>11.38</v>
      </c>
      <c r="J828" t="s">
        <v>120</v>
      </c>
      <c r="K828" t="s">
        <v>4896</v>
      </c>
      <c r="L828">
        <v>2.5</v>
      </c>
      <c r="M828">
        <v>6.19</v>
      </c>
      <c r="N828">
        <v>0.8</v>
      </c>
      <c r="O828">
        <v>4.78</v>
      </c>
      <c r="P828">
        <v>6.57</v>
      </c>
      <c r="Q828">
        <v>-1.75</v>
      </c>
      <c r="R828">
        <v>6.16</v>
      </c>
      <c r="S828">
        <v>6.25</v>
      </c>
      <c r="T828">
        <v>97397</v>
      </c>
      <c r="U828">
        <v>6.19</v>
      </c>
      <c r="V828">
        <v>6.27</v>
      </c>
      <c r="W828">
        <v>26.48</v>
      </c>
      <c r="X828" t="s">
        <v>2211</v>
      </c>
      <c r="Y828" t="s">
        <v>547</v>
      </c>
      <c r="Z828">
        <v>6.54</v>
      </c>
      <c r="AA828">
        <v>6.35</v>
      </c>
      <c r="AB828">
        <v>43386</v>
      </c>
      <c r="AC828">
        <v>54011</v>
      </c>
      <c r="AD828">
        <v>0.8</v>
      </c>
      <c r="AE828">
        <v>367</v>
      </c>
      <c r="AF828">
        <v>32</v>
      </c>
      <c r="AG828" t="s">
        <v>120</v>
      </c>
      <c r="AH828">
        <v>0.01</v>
      </c>
      <c r="AI828" t="s">
        <v>120</v>
      </c>
      <c r="AJ828">
        <v>3.9</v>
      </c>
      <c r="AK828" t="s">
        <v>1418</v>
      </c>
      <c r="AL828">
        <v>0.64</v>
      </c>
      <c r="AM828">
        <v>2125</v>
      </c>
      <c r="AN828">
        <v>46</v>
      </c>
      <c r="AO828">
        <v>1.1999999999999999E-3</v>
      </c>
      <c r="AP828">
        <v>-4</v>
      </c>
      <c r="AQ828">
        <v>-0.48</v>
      </c>
      <c r="AR828">
        <v>-3.28</v>
      </c>
      <c r="AS828">
        <v>38.479999999999997</v>
      </c>
      <c r="AT828">
        <v>30.59</v>
      </c>
      <c r="AU828">
        <v>55.14</v>
      </c>
      <c r="AV828">
        <v>1</v>
      </c>
      <c r="AW828">
        <v>3.41</v>
      </c>
      <c r="AX828">
        <v>71.319999999999993</v>
      </c>
      <c r="AY828">
        <v>32.85</v>
      </c>
      <c r="AZ828">
        <v>38.18</v>
      </c>
      <c r="BA828">
        <v>0.51</v>
      </c>
      <c r="BB828" t="s">
        <v>240</v>
      </c>
      <c r="BF828">
        <v>1.35</v>
      </c>
      <c r="BG828">
        <v>-0.96</v>
      </c>
      <c r="BH828">
        <v>-5.78</v>
      </c>
      <c r="BI828">
        <v>0.49</v>
      </c>
      <c r="BJ828">
        <v>20210915</v>
      </c>
      <c r="BK828">
        <v>20100601</v>
      </c>
      <c r="BL828">
        <v>4.01</v>
      </c>
      <c r="BM828" t="s">
        <v>120</v>
      </c>
      <c r="BN828" t="s">
        <v>120</v>
      </c>
      <c r="BO828">
        <v>24.86</v>
      </c>
      <c r="BP828">
        <v>6.18</v>
      </c>
      <c r="BQ828">
        <v>6.15</v>
      </c>
      <c r="BR828">
        <v>0.12</v>
      </c>
      <c r="BS828">
        <v>74.8</v>
      </c>
      <c r="BT828">
        <v>19.32</v>
      </c>
      <c r="BU828">
        <v>3.43</v>
      </c>
      <c r="BV828">
        <v>1.01</v>
      </c>
      <c r="BW828">
        <v>17.989999999999998</v>
      </c>
      <c r="BX828">
        <v>2.04</v>
      </c>
      <c r="BY828">
        <v>3.68</v>
      </c>
      <c r="BZ828">
        <v>8.3800000000000008</v>
      </c>
      <c r="CA828" t="s">
        <v>120</v>
      </c>
      <c r="CB828">
        <v>8.08</v>
      </c>
      <c r="CC828">
        <v>18.46</v>
      </c>
      <c r="CD828">
        <v>16.41</v>
      </c>
      <c r="CE828">
        <v>0.47</v>
      </c>
      <c r="CF828">
        <v>0</v>
      </c>
      <c r="CG828">
        <v>0.49</v>
      </c>
      <c r="CH828">
        <v>0.48</v>
      </c>
      <c r="CI828">
        <v>0.47</v>
      </c>
      <c r="CJ828">
        <v>-0.08</v>
      </c>
      <c r="CK828">
        <v>0.38</v>
      </c>
      <c r="CL828">
        <v>-6.26</v>
      </c>
      <c r="CM828">
        <v>-0.94</v>
      </c>
      <c r="CN828">
        <v>-1.3</v>
      </c>
      <c r="CO828">
        <v>17957</v>
      </c>
      <c r="CP828">
        <v>15927</v>
      </c>
      <c r="CQ828" t="s">
        <v>3830</v>
      </c>
      <c r="CR828">
        <v>29.55</v>
      </c>
      <c r="CS828">
        <v>29</v>
      </c>
      <c r="CT828">
        <v>4.04</v>
      </c>
      <c r="CU828">
        <v>-26.45</v>
      </c>
      <c r="CV828">
        <v>1.34</v>
      </c>
      <c r="CW828">
        <v>0</v>
      </c>
      <c r="CX828" t="s">
        <v>4897</v>
      </c>
      <c r="CY828">
        <v>1.53</v>
      </c>
      <c r="CZ828">
        <v>0</v>
      </c>
      <c r="DA828">
        <v>2.0099999999999998</v>
      </c>
      <c r="DB828">
        <v>-1.56</v>
      </c>
      <c r="DC828">
        <v>-0.23</v>
      </c>
      <c r="DD828">
        <v>24.72</v>
      </c>
      <c r="DE828" t="s">
        <v>4898</v>
      </c>
      <c r="DF828">
        <v>11.12</v>
      </c>
      <c r="DG828">
        <v>2.5499999999999998</v>
      </c>
      <c r="DH828">
        <v>2.54</v>
      </c>
      <c r="DI828">
        <v>0.59</v>
      </c>
      <c r="DJ828">
        <v>2440</v>
      </c>
      <c r="DK828">
        <v>2420</v>
      </c>
      <c r="DL828" t="s">
        <v>120</v>
      </c>
      <c r="DM828" t="s">
        <v>120</v>
      </c>
      <c r="DN828" t="s">
        <v>120</v>
      </c>
    </row>
    <row r="829" spans="1:118">
      <c r="A829" t="str">
        <f>"002421"</f>
        <v>002421</v>
      </c>
      <c r="B829" t="s">
        <v>4899</v>
      </c>
      <c r="C829">
        <v>-3.83</v>
      </c>
      <c r="D829">
        <v>-0.25</v>
      </c>
      <c r="E829">
        <v>-0.51</v>
      </c>
      <c r="F829">
        <v>2578</v>
      </c>
      <c r="G829" t="s">
        <v>4900</v>
      </c>
      <c r="H829">
        <v>13475.34</v>
      </c>
      <c r="I829">
        <v>46.33</v>
      </c>
      <c r="J829" t="s">
        <v>120</v>
      </c>
      <c r="K829" t="s">
        <v>4901</v>
      </c>
      <c r="L829">
        <v>1.97</v>
      </c>
      <c r="M829">
        <v>3.77</v>
      </c>
      <c r="N829">
        <v>1.1100000000000001</v>
      </c>
      <c r="O829">
        <v>0.51</v>
      </c>
      <c r="P829">
        <v>3.94</v>
      </c>
      <c r="Q829">
        <v>-4.08</v>
      </c>
      <c r="R829">
        <v>3.76</v>
      </c>
      <c r="S829">
        <v>3.9</v>
      </c>
      <c r="T829">
        <v>349851</v>
      </c>
      <c r="U829">
        <v>3.78</v>
      </c>
      <c r="V829">
        <v>3.92</v>
      </c>
      <c r="W829">
        <v>22.26</v>
      </c>
      <c r="X829" t="s">
        <v>141</v>
      </c>
      <c r="Y829" t="s">
        <v>123</v>
      </c>
      <c r="Z829">
        <v>4.59</v>
      </c>
      <c r="AA829">
        <v>3.85</v>
      </c>
      <c r="AB829">
        <v>248909</v>
      </c>
      <c r="AC829">
        <v>100942</v>
      </c>
      <c r="AD829">
        <v>2.4700000000000002</v>
      </c>
      <c r="AE829">
        <v>2624</v>
      </c>
      <c r="AF829">
        <v>2261</v>
      </c>
      <c r="AG829" t="s">
        <v>120</v>
      </c>
      <c r="AH829">
        <v>0.01</v>
      </c>
      <c r="AI829" t="s">
        <v>120</v>
      </c>
      <c r="AJ829">
        <v>17.739999999999998</v>
      </c>
      <c r="AK829" t="s">
        <v>4902</v>
      </c>
      <c r="AL829">
        <v>-1.91</v>
      </c>
      <c r="AM829">
        <v>2925</v>
      </c>
      <c r="AN829">
        <v>120</v>
      </c>
      <c r="AO829">
        <v>6.9999999999999999E-4</v>
      </c>
      <c r="AP829">
        <v>-1</v>
      </c>
      <c r="AQ829">
        <v>0.77</v>
      </c>
      <c r="AR829">
        <v>-3.58</v>
      </c>
      <c r="AS829">
        <v>0.27</v>
      </c>
      <c r="AT829">
        <v>-3.58</v>
      </c>
      <c r="AU829">
        <v>6.49</v>
      </c>
      <c r="AV829">
        <v>2</v>
      </c>
      <c r="AW829">
        <v>2.44</v>
      </c>
      <c r="AX829">
        <v>74.42</v>
      </c>
      <c r="AY829">
        <v>22.17</v>
      </c>
      <c r="AZ829">
        <v>23.92</v>
      </c>
      <c r="BA829">
        <v>0.77</v>
      </c>
      <c r="BB829" t="s">
        <v>143</v>
      </c>
      <c r="BF829">
        <v>-1.74</v>
      </c>
      <c r="BG829">
        <v>-3.33</v>
      </c>
      <c r="BH829">
        <v>-4.3099999999999996</v>
      </c>
      <c r="BI829">
        <v>0.27</v>
      </c>
      <c r="BJ829">
        <v>20210805</v>
      </c>
      <c r="BK829">
        <v>20100603</v>
      </c>
      <c r="BL829">
        <v>19.23</v>
      </c>
      <c r="BM829" t="s">
        <v>120</v>
      </c>
      <c r="BN829" t="s">
        <v>120</v>
      </c>
      <c r="BO829">
        <v>83.61</v>
      </c>
      <c r="BP829">
        <v>3.77</v>
      </c>
      <c r="BQ829">
        <v>31.85</v>
      </c>
      <c r="BR829">
        <v>1.78</v>
      </c>
      <c r="BS829">
        <v>59.77</v>
      </c>
      <c r="BT829">
        <v>51.47</v>
      </c>
      <c r="BU829">
        <v>4.17</v>
      </c>
      <c r="BV829">
        <v>1.98</v>
      </c>
      <c r="BW829">
        <v>27.79</v>
      </c>
      <c r="BX829">
        <v>11.59</v>
      </c>
      <c r="BY829">
        <v>4.47</v>
      </c>
      <c r="BZ829">
        <v>11.31</v>
      </c>
      <c r="CA829">
        <v>0.01</v>
      </c>
      <c r="CB829">
        <v>1.79</v>
      </c>
      <c r="CC829">
        <v>15.27</v>
      </c>
      <c r="CD829">
        <v>10.64</v>
      </c>
      <c r="CE829">
        <v>1.98</v>
      </c>
      <c r="CF829">
        <v>0</v>
      </c>
      <c r="CG829">
        <v>1.99</v>
      </c>
      <c r="CH829">
        <v>1.61</v>
      </c>
      <c r="CI829">
        <v>1.63</v>
      </c>
      <c r="CJ829">
        <v>-0.15</v>
      </c>
      <c r="CK829">
        <v>1.42</v>
      </c>
      <c r="CL829">
        <v>10.06</v>
      </c>
      <c r="CM829">
        <v>-2.83</v>
      </c>
      <c r="CN829">
        <v>-1.28</v>
      </c>
      <c r="CO829">
        <v>84840</v>
      </c>
      <c r="CP829">
        <v>16871</v>
      </c>
      <c r="CQ829" t="s">
        <v>4903</v>
      </c>
      <c r="CR829">
        <v>18.03</v>
      </c>
      <c r="CS829">
        <v>13.52</v>
      </c>
      <c r="CT829">
        <v>2.2799999999999998</v>
      </c>
      <c r="CU829">
        <v>-25.59</v>
      </c>
      <c r="CV829">
        <v>4.75</v>
      </c>
      <c r="CW829">
        <v>1.02</v>
      </c>
      <c r="CX829" t="s">
        <v>329</v>
      </c>
      <c r="CY829">
        <v>1.66</v>
      </c>
      <c r="CZ829">
        <v>0</v>
      </c>
      <c r="DA829">
        <v>0.09</v>
      </c>
      <c r="DB829">
        <v>0.52</v>
      </c>
      <c r="DC829">
        <v>-0.15</v>
      </c>
      <c r="DD829">
        <v>38.1</v>
      </c>
      <c r="DE829" t="s">
        <v>4904</v>
      </c>
      <c r="DF829">
        <v>30.33</v>
      </c>
      <c r="DG829">
        <v>12.94</v>
      </c>
      <c r="DH829">
        <v>10.67</v>
      </c>
      <c r="DI829">
        <v>0.35</v>
      </c>
      <c r="DJ829">
        <v>2327</v>
      </c>
      <c r="DK829">
        <v>2421</v>
      </c>
      <c r="DL829" t="s">
        <v>120</v>
      </c>
      <c r="DM829" t="s">
        <v>120</v>
      </c>
      <c r="DN829" t="s">
        <v>120</v>
      </c>
    </row>
    <row r="830" spans="1:118">
      <c r="A830" t="str">
        <f>"002422"</f>
        <v>002422</v>
      </c>
      <c r="B830" t="s">
        <v>4905</v>
      </c>
      <c r="C830">
        <v>-0.55000000000000004</v>
      </c>
      <c r="D830">
        <v>-0.05</v>
      </c>
      <c r="E830">
        <v>0.05</v>
      </c>
      <c r="F830">
        <v>1980</v>
      </c>
      <c r="G830" t="s">
        <v>4906</v>
      </c>
      <c r="H830">
        <v>10351.700000000001</v>
      </c>
      <c r="I830">
        <v>37.64</v>
      </c>
      <c r="J830" t="s">
        <v>120</v>
      </c>
      <c r="K830" t="s">
        <v>4907</v>
      </c>
      <c r="L830">
        <v>0.52</v>
      </c>
      <c r="M830">
        <v>18.16</v>
      </c>
      <c r="N830">
        <v>0.71</v>
      </c>
      <c r="O830">
        <v>0.88</v>
      </c>
      <c r="P830">
        <v>18.420000000000002</v>
      </c>
      <c r="Q830">
        <v>-0.55000000000000004</v>
      </c>
      <c r="R830">
        <v>18.16</v>
      </c>
      <c r="S830">
        <v>18.27</v>
      </c>
      <c r="T830">
        <v>56659</v>
      </c>
      <c r="U830">
        <v>18.16</v>
      </c>
      <c r="V830">
        <v>18.260000000000002</v>
      </c>
      <c r="W830">
        <v>26.26</v>
      </c>
      <c r="X830" t="s">
        <v>569</v>
      </c>
      <c r="Y830" t="s">
        <v>578</v>
      </c>
      <c r="Z830">
        <v>1.42</v>
      </c>
      <c r="AA830">
        <v>18.27</v>
      </c>
      <c r="AB830">
        <v>29101</v>
      </c>
      <c r="AC830">
        <v>27558</v>
      </c>
      <c r="AD830">
        <v>1.06</v>
      </c>
      <c r="AE830">
        <v>761</v>
      </c>
      <c r="AF830">
        <v>168</v>
      </c>
      <c r="AG830" t="s">
        <v>120</v>
      </c>
      <c r="AH830">
        <v>0</v>
      </c>
      <c r="AI830" t="s">
        <v>120</v>
      </c>
      <c r="AJ830">
        <v>10.81</v>
      </c>
      <c r="AK830" t="s">
        <v>4908</v>
      </c>
      <c r="AL830">
        <v>1.37</v>
      </c>
      <c r="AM830">
        <v>2539</v>
      </c>
      <c r="AN830">
        <v>22</v>
      </c>
      <c r="AO830">
        <v>2.0000000000000001E-4</v>
      </c>
      <c r="AP830">
        <v>-4</v>
      </c>
      <c r="AQ830">
        <v>-0.22</v>
      </c>
      <c r="AR830">
        <v>-2.36</v>
      </c>
      <c r="AS830">
        <v>1.91</v>
      </c>
      <c r="AT830">
        <v>-11.68</v>
      </c>
      <c r="AU830">
        <v>-5.0199999999999996</v>
      </c>
      <c r="AV830">
        <v>1</v>
      </c>
      <c r="AW830">
        <v>0.63</v>
      </c>
      <c r="AX830">
        <v>62.66</v>
      </c>
      <c r="AY830">
        <v>23.25</v>
      </c>
      <c r="AZ830">
        <v>31.38</v>
      </c>
      <c r="BA830">
        <v>0.13</v>
      </c>
      <c r="BB830" t="s">
        <v>143</v>
      </c>
      <c r="BF830">
        <v>0.05</v>
      </c>
      <c r="BG830">
        <v>-0.6</v>
      </c>
      <c r="BH830">
        <v>-1.41</v>
      </c>
      <c r="BI830">
        <v>0</v>
      </c>
      <c r="BJ830">
        <v>20210827</v>
      </c>
      <c r="BK830">
        <v>20100603</v>
      </c>
      <c r="BL830">
        <v>14.25</v>
      </c>
      <c r="BM830" t="s">
        <v>120</v>
      </c>
      <c r="BN830" t="s">
        <v>120</v>
      </c>
      <c r="BO830">
        <v>320.31</v>
      </c>
      <c r="BP830">
        <v>18.149999999999999</v>
      </c>
      <c r="BQ830">
        <v>134.12</v>
      </c>
      <c r="BR830">
        <v>4.71</v>
      </c>
      <c r="BS830">
        <v>56.66</v>
      </c>
      <c r="BT830">
        <v>148.38999999999999</v>
      </c>
      <c r="BU830">
        <v>109</v>
      </c>
      <c r="BV830">
        <v>9.93</v>
      </c>
      <c r="BW830">
        <v>135.32</v>
      </c>
      <c r="BX830">
        <v>33.450000000000003</v>
      </c>
      <c r="BY830">
        <v>32.83</v>
      </c>
      <c r="BZ830">
        <v>55.8</v>
      </c>
      <c r="CA830" t="s">
        <v>120</v>
      </c>
      <c r="CB830">
        <v>36.08</v>
      </c>
      <c r="CC830">
        <v>82.32</v>
      </c>
      <c r="CD830">
        <v>36.14</v>
      </c>
      <c r="CE830">
        <v>5.2</v>
      </c>
      <c r="CF830">
        <v>0.46</v>
      </c>
      <c r="CG830">
        <v>5.04</v>
      </c>
      <c r="CH830">
        <v>4.46</v>
      </c>
      <c r="CI830">
        <v>4.93</v>
      </c>
      <c r="CJ830">
        <v>-0.1</v>
      </c>
      <c r="CK830">
        <v>4.5999999999999996</v>
      </c>
      <c r="CL830">
        <v>77.97</v>
      </c>
      <c r="CM830">
        <v>9.18</v>
      </c>
      <c r="CN830">
        <v>5.51</v>
      </c>
      <c r="CO830">
        <v>55919</v>
      </c>
      <c r="CP830">
        <v>15971</v>
      </c>
      <c r="CQ830" t="s">
        <v>4909</v>
      </c>
      <c r="CR830">
        <v>142.96</v>
      </c>
      <c r="CS830">
        <v>13.84</v>
      </c>
      <c r="CT830">
        <v>1.93</v>
      </c>
      <c r="CU830">
        <v>28.19</v>
      </c>
      <c r="CV830">
        <v>3.14</v>
      </c>
      <c r="CW830">
        <v>1.73</v>
      </c>
      <c r="CX830" t="s">
        <v>269</v>
      </c>
      <c r="CY830">
        <v>9.41</v>
      </c>
      <c r="CZ830">
        <v>0</v>
      </c>
      <c r="DA830">
        <v>2.5299999999999998</v>
      </c>
      <c r="DB830">
        <v>5.47</v>
      </c>
      <c r="DC830">
        <v>0.64</v>
      </c>
      <c r="DD830">
        <v>41.87</v>
      </c>
      <c r="DE830" t="s">
        <v>4910</v>
      </c>
      <c r="DF830">
        <v>56.1</v>
      </c>
      <c r="DG830">
        <v>6.32</v>
      </c>
      <c r="DH830">
        <v>5.99</v>
      </c>
      <c r="DI830">
        <v>7.66</v>
      </c>
      <c r="DJ830">
        <v>19759</v>
      </c>
      <c r="DK830">
        <v>2422</v>
      </c>
      <c r="DL830" t="s">
        <v>120</v>
      </c>
      <c r="DM830" t="s">
        <v>120</v>
      </c>
      <c r="DN830" t="s">
        <v>120</v>
      </c>
    </row>
    <row r="831" spans="1:118">
      <c r="A831" t="str">
        <f>"002423"</f>
        <v>002423</v>
      </c>
      <c r="B831" t="s">
        <v>4911</v>
      </c>
      <c r="C831">
        <v>1.1000000000000001</v>
      </c>
      <c r="D831">
        <v>0</v>
      </c>
      <c r="E831">
        <v>0.55000000000000004</v>
      </c>
      <c r="F831">
        <v>994</v>
      </c>
      <c r="G831" t="s">
        <v>4912</v>
      </c>
      <c r="H831">
        <v>6496.24</v>
      </c>
      <c r="I831">
        <v>16.23</v>
      </c>
      <c r="J831" t="s">
        <v>120</v>
      </c>
      <c r="K831" t="s">
        <v>4913</v>
      </c>
      <c r="L831">
        <v>0.59</v>
      </c>
      <c r="M831">
        <v>9.17</v>
      </c>
      <c r="N831">
        <v>1.2</v>
      </c>
      <c r="O831">
        <v>3.09</v>
      </c>
      <c r="P831">
        <v>9.35</v>
      </c>
      <c r="Q831">
        <v>0.33</v>
      </c>
      <c r="R831">
        <v>9.1</v>
      </c>
      <c r="S831">
        <v>9.1199999999999992</v>
      </c>
      <c r="T831">
        <v>70457</v>
      </c>
      <c r="U831">
        <v>9.17</v>
      </c>
      <c r="V831">
        <v>9.07</v>
      </c>
      <c r="W831">
        <v>15.28</v>
      </c>
      <c r="X831" t="s">
        <v>378</v>
      </c>
      <c r="Y831" t="s">
        <v>645</v>
      </c>
      <c r="Z831">
        <v>2.76</v>
      </c>
      <c r="AA831">
        <v>9.2200000000000006</v>
      </c>
      <c r="AB831">
        <v>29636</v>
      </c>
      <c r="AC831">
        <v>40821</v>
      </c>
      <c r="AD831">
        <v>0.73</v>
      </c>
      <c r="AE831">
        <v>228</v>
      </c>
      <c r="AF831">
        <v>1665</v>
      </c>
      <c r="AG831" t="s">
        <v>120</v>
      </c>
      <c r="AH831">
        <v>0</v>
      </c>
      <c r="AI831" t="s">
        <v>120</v>
      </c>
      <c r="AJ831">
        <v>11.97</v>
      </c>
      <c r="AK831" t="s">
        <v>4914</v>
      </c>
      <c r="AL831">
        <v>3.02</v>
      </c>
      <c r="AM831">
        <v>2176</v>
      </c>
      <c r="AN831">
        <v>32</v>
      </c>
      <c r="AO831">
        <v>2.9999999999999997E-4</v>
      </c>
      <c r="AP831">
        <v>2</v>
      </c>
      <c r="AQ831">
        <v>0.33</v>
      </c>
      <c r="AR831">
        <v>0.33</v>
      </c>
      <c r="AS831">
        <v>10.62</v>
      </c>
      <c r="AT831">
        <v>3.91</v>
      </c>
      <c r="AU831">
        <v>-4.82</v>
      </c>
      <c r="AV831">
        <v>1</v>
      </c>
      <c r="AW831">
        <v>1.04</v>
      </c>
      <c r="AX831">
        <v>29.36</v>
      </c>
      <c r="AY831">
        <v>18.170000000000002</v>
      </c>
      <c r="AZ831">
        <v>19.84</v>
      </c>
      <c r="BA831">
        <v>0.39</v>
      </c>
      <c r="BB831" t="s">
        <v>143</v>
      </c>
      <c r="BF831">
        <v>1.65</v>
      </c>
      <c r="BG831">
        <v>0.55000000000000004</v>
      </c>
      <c r="BH831">
        <v>-1.93</v>
      </c>
      <c r="BI831">
        <v>0.77</v>
      </c>
      <c r="BJ831">
        <v>20210819</v>
      </c>
      <c r="BK831">
        <v>20100603</v>
      </c>
      <c r="BL831">
        <v>23.04</v>
      </c>
      <c r="BM831" t="s">
        <v>120</v>
      </c>
      <c r="BN831" t="s">
        <v>120</v>
      </c>
      <c r="BO831">
        <v>1009.21</v>
      </c>
      <c r="BP831">
        <v>9.16</v>
      </c>
      <c r="BQ831">
        <v>175.35</v>
      </c>
      <c r="BR831">
        <v>59.62</v>
      </c>
      <c r="BS831">
        <v>76.72</v>
      </c>
      <c r="BT831">
        <v>540.69000000000005</v>
      </c>
      <c r="BU831">
        <v>0.92</v>
      </c>
      <c r="BV831">
        <v>15.68</v>
      </c>
      <c r="BW831">
        <v>377.24</v>
      </c>
      <c r="BX831">
        <v>123.69</v>
      </c>
      <c r="BY831">
        <v>0</v>
      </c>
      <c r="BZ831">
        <v>1.1200000000000001</v>
      </c>
      <c r="CA831">
        <v>0.23</v>
      </c>
      <c r="CB831">
        <v>95.69</v>
      </c>
      <c r="CC831">
        <v>40.869999999999997</v>
      </c>
      <c r="CD831">
        <v>40.29</v>
      </c>
      <c r="CE831">
        <v>11.8</v>
      </c>
      <c r="CF831">
        <v>9.67</v>
      </c>
      <c r="CG831">
        <v>11.84</v>
      </c>
      <c r="CH831">
        <v>10.1</v>
      </c>
      <c r="CI831">
        <v>6.92</v>
      </c>
      <c r="CJ831">
        <v>0.1</v>
      </c>
      <c r="CK831">
        <v>6.89</v>
      </c>
      <c r="CL831">
        <v>49.49</v>
      </c>
      <c r="CM831">
        <v>67.55</v>
      </c>
      <c r="CN831">
        <v>34.25</v>
      </c>
      <c r="CO831">
        <v>19832</v>
      </c>
      <c r="CP831">
        <v>34117</v>
      </c>
      <c r="CQ831" t="s">
        <v>4915</v>
      </c>
      <c r="CR831">
        <v>16.22</v>
      </c>
      <c r="CS831">
        <v>1002.7</v>
      </c>
      <c r="CT831">
        <v>1.2</v>
      </c>
      <c r="CU831">
        <v>3.13</v>
      </c>
      <c r="CV831">
        <v>5.17</v>
      </c>
      <c r="CW831">
        <v>0.5</v>
      </c>
      <c r="CX831" t="s">
        <v>1340</v>
      </c>
      <c r="CY831">
        <v>7.61</v>
      </c>
      <c r="CZ831">
        <v>0</v>
      </c>
      <c r="DA831">
        <v>4.1500000000000004</v>
      </c>
      <c r="DB831">
        <v>2.15</v>
      </c>
      <c r="DC831">
        <v>2.93</v>
      </c>
      <c r="DD831">
        <v>17.38</v>
      </c>
      <c r="DE831" t="s">
        <v>4916</v>
      </c>
      <c r="DF831">
        <v>1.41</v>
      </c>
      <c r="DG831">
        <v>28.88</v>
      </c>
      <c r="DH831">
        <v>16.920000000000002</v>
      </c>
      <c r="DI831">
        <v>0.06</v>
      </c>
      <c r="DJ831">
        <v>3138</v>
      </c>
      <c r="DK831">
        <v>2423</v>
      </c>
      <c r="DL831" t="s">
        <v>120</v>
      </c>
      <c r="DM831" t="s">
        <v>120</v>
      </c>
      <c r="DN831" t="s">
        <v>120</v>
      </c>
    </row>
    <row r="832" spans="1:118">
      <c r="A832" t="str">
        <f>"002424"</f>
        <v>002424</v>
      </c>
      <c r="B832" t="s">
        <v>4917</v>
      </c>
      <c r="C832">
        <v>-0.3</v>
      </c>
      <c r="D832">
        <v>0.45</v>
      </c>
      <c r="E832">
        <v>-0.3</v>
      </c>
      <c r="F832">
        <v>3412</v>
      </c>
      <c r="G832" t="s">
        <v>4918</v>
      </c>
      <c r="H832">
        <v>9756.66</v>
      </c>
      <c r="I832">
        <v>31.55</v>
      </c>
      <c r="J832" t="s">
        <v>120</v>
      </c>
      <c r="K832" t="s">
        <v>4919</v>
      </c>
      <c r="L832">
        <v>1.55</v>
      </c>
      <c r="M832">
        <v>6.67</v>
      </c>
      <c r="N832">
        <v>1.01</v>
      </c>
      <c r="O832">
        <v>1.64</v>
      </c>
      <c r="P832">
        <v>6.8</v>
      </c>
      <c r="Q832">
        <v>-1.05</v>
      </c>
      <c r="R832">
        <v>6.62</v>
      </c>
      <c r="S832">
        <v>6.67</v>
      </c>
      <c r="T832">
        <v>145283</v>
      </c>
      <c r="U832">
        <v>6.67</v>
      </c>
      <c r="V832">
        <v>6.69</v>
      </c>
      <c r="W832">
        <v>57.74</v>
      </c>
      <c r="X832" t="s">
        <v>771</v>
      </c>
      <c r="Y832" t="s">
        <v>1021</v>
      </c>
      <c r="Z832">
        <v>2.69</v>
      </c>
      <c r="AA832">
        <v>6.72</v>
      </c>
      <c r="AB832">
        <v>73389</v>
      </c>
      <c r="AC832">
        <v>71894</v>
      </c>
      <c r="AD832">
        <v>1.02</v>
      </c>
      <c r="AE832">
        <v>29</v>
      </c>
      <c r="AF832">
        <v>1039</v>
      </c>
      <c r="AG832" t="s">
        <v>120</v>
      </c>
      <c r="AH832">
        <v>0.01</v>
      </c>
      <c r="AI832" t="s">
        <v>120</v>
      </c>
      <c r="AJ832">
        <v>9.36</v>
      </c>
      <c r="AK832" t="s">
        <v>4920</v>
      </c>
      <c r="AL832">
        <v>1.61</v>
      </c>
      <c r="AM832">
        <v>2296</v>
      </c>
      <c r="AN832">
        <v>63</v>
      </c>
      <c r="AO832">
        <v>6.9999999999999999E-4</v>
      </c>
      <c r="AP832">
        <v>-3</v>
      </c>
      <c r="AQ832">
        <v>-0.59</v>
      </c>
      <c r="AR832">
        <v>-2.33</v>
      </c>
      <c r="AS832">
        <v>-0.3</v>
      </c>
      <c r="AT832">
        <v>-10.11</v>
      </c>
      <c r="AU832">
        <v>-14.82</v>
      </c>
      <c r="AV832">
        <v>1</v>
      </c>
      <c r="AW832">
        <v>2.0699999999999998</v>
      </c>
      <c r="AX832">
        <v>49.74</v>
      </c>
      <c r="AY832">
        <v>75.349999999999994</v>
      </c>
      <c r="AZ832">
        <v>61.96</v>
      </c>
      <c r="BA832">
        <v>0.09</v>
      </c>
      <c r="BB832" t="s">
        <v>143</v>
      </c>
      <c r="BF832">
        <v>0.38</v>
      </c>
      <c r="BG832">
        <v>0</v>
      </c>
      <c r="BH832">
        <v>-1.91</v>
      </c>
      <c r="BI832">
        <v>0.76</v>
      </c>
      <c r="BJ832">
        <v>20210913</v>
      </c>
      <c r="BK832">
        <v>20100603</v>
      </c>
      <c r="BL832">
        <v>14.11</v>
      </c>
      <c r="BM832" t="s">
        <v>120</v>
      </c>
      <c r="BN832" t="s">
        <v>120</v>
      </c>
      <c r="BO832">
        <v>65.75</v>
      </c>
      <c r="BP832">
        <v>6.65</v>
      </c>
      <c r="BQ832">
        <v>39.549999999999997</v>
      </c>
      <c r="BR832">
        <v>0.26</v>
      </c>
      <c r="BS832">
        <v>39.44</v>
      </c>
      <c r="BT832">
        <v>38.07</v>
      </c>
      <c r="BU832">
        <v>8.33</v>
      </c>
      <c r="BV832">
        <v>1.26</v>
      </c>
      <c r="BW832">
        <v>25.01</v>
      </c>
      <c r="BX832">
        <v>6.12</v>
      </c>
      <c r="BY832">
        <v>9.4</v>
      </c>
      <c r="BZ832">
        <v>15.29</v>
      </c>
      <c r="CA832" t="s">
        <v>120</v>
      </c>
      <c r="CB832">
        <v>1.36</v>
      </c>
      <c r="CC832">
        <v>12.73</v>
      </c>
      <c r="CD832">
        <v>5.09</v>
      </c>
      <c r="CE832">
        <v>1.07</v>
      </c>
      <c r="CF832">
        <v>0.06</v>
      </c>
      <c r="CG832">
        <v>1.08</v>
      </c>
      <c r="CH832">
        <v>0.81</v>
      </c>
      <c r="CI832">
        <v>0.82</v>
      </c>
      <c r="CJ832">
        <v>-0.02</v>
      </c>
      <c r="CK832">
        <v>0.72</v>
      </c>
      <c r="CL832">
        <v>20.74</v>
      </c>
      <c r="CM832">
        <v>4.1399999999999997</v>
      </c>
      <c r="CN832">
        <v>-1.69</v>
      </c>
      <c r="CO832">
        <v>74284</v>
      </c>
      <c r="CP832">
        <v>9449</v>
      </c>
      <c r="CQ832" t="s">
        <v>4921</v>
      </c>
      <c r="CR832">
        <v>-24.94</v>
      </c>
      <c r="CS832">
        <v>-0.55000000000000004</v>
      </c>
      <c r="CT832">
        <v>2.38</v>
      </c>
      <c r="CU832">
        <v>22.75</v>
      </c>
      <c r="CV832">
        <v>7.39</v>
      </c>
      <c r="CW832">
        <v>0</v>
      </c>
      <c r="CX832" t="s">
        <v>1064</v>
      </c>
      <c r="CY832">
        <v>2.8</v>
      </c>
      <c r="CZ832">
        <v>0</v>
      </c>
      <c r="DA832">
        <v>0.1</v>
      </c>
      <c r="DB832">
        <v>1.47</v>
      </c>
      <c r="DC832">
        <v>0.28999999999999998</v>
      </c>
      <c r="DD832">
        <v>60.16</v>
      </c>
      <c r="DE832" t="s">
        <v>1890</v>
      </c>
      <c r="DF832">
        <v>60.06</v>
      </c>
      <c r="DG832">
        <v>8.39</v>
      </c>
      <c r="DH832">
        <v>6.4</v>
      </c>
      <c r="DI832">
        <v>0.14000000000000001</v>
      </c>
      <c r="DJ832">
        <v>6074</v>
      </c>
      <c r="DK832">
        <v>2424</v>
      </c>
      <c r="DL832" t="s">
        <v>120</v>
      </c>
      <c r="DM832" t="s">
        <v>120</v>
      </c>
      <c r="DN832" t="s">
        <v>120</v>
      </c>
    </row>
    <row r="833" spans="1:118">
      <c r="A833" t="str">
        <f>"002425"</f>
        <v>002425</v>
      </c>
      <c r="B833" t="s">
        <v>4922</v>
      </c>
      <c r="C833">
        <v>-1.82</v>
      </c>
      <c r="D833">
        <v>0</v>
      </c>
      <c r="E833">
        <v>-0.26</v>
      </c>
      <c r="F833">
        <v>1866</v>
      </c>
      <c r="G833" t="s">
        <v>4923</v>
      </c>
      <c r="H833">
        <v>22172.62</v>
      </c>
      <c r="I833">
        <v>100.74</v>
      </c>
      <c r="J833" t="s">
        <v>120</v>
      </c>
      <c r="K833" t="s">
        <v>4924</v>
      </c>
      <c r="L833">
        <v>3.01</v>
      </c>
      <c r="M833">
        <v>7.57</v>
      </c>
      <c r="N833">
        <v>0.6</v>
      </c>
      <c r="O833">
        <v>2.2000000000000002</v>
      </c>
      <c r="P833">
        <v>7.88</v>
      </c>
      <c r="Q833">
        <v>-2.46</v>
      </c>
      <c r="R833">
        <v>7.52</v>
      </c>
      <c r="S833">
        <v>7.69</v>
      </c>
      <c r="T833">
        <v>287820</v>
      </c>
      <c r="U833">
        <v>7.58</v>
      </c>
      <c r="V833">
        <v>7.71</v>
      </c>
      <c r="W833">
        <v>17.07</v>
      </c>
      <c r="X833" t="s">
        <v>1531</v>
      </c>
      <c r="Y833" t="s">
        <v>547</v>
      </c>
      <c r="Z833">
        <v>4.67</v>
      </c>
      <c r="AA833">
        <v>7.7</v>
      </c>
      <c r="AB833">
        <v>152963</v>
      </c>
      <c r="AC833">
        <v>134857</v>
      </c>
      <c r="AD833">
        <v>1.1299999999999999</v>
      </c>
      <c r="AE833">
        <v>523</v>
      </c>
      <c r="AF833">
        <v>112</v>
      </c>
      <c r="AG833" t="s">
        <v>120</v>
      </c>
      <c r="AH833">
        <v>0.02</v>
      </c>
      <c r="AI833" t="s">
        <v>120</v>
      </c>
      <c r="AJ833">
        <v>9.56</v>
      </c>
      <c r="AK833" t="s">
        <v>4925</v>
      </c>
      <c r="AL833">
        <v>0.1</v>
      </c>
      <c r="AM833">
        <v>3448</v>
      </c>
      <c r="AN833">
        <v>83</v>
      </c>
      <c r="AO833">
        <v>8.9999999999999998E-4</v>
      </c>
      <c r="AP833">
        <v>-3</v>
      </c>
      <c r="AQ833">
        <v>-0.13</v>
      </c>
      <c r="AR833">
        <v>-5.61</v>
      </c>
      <c r="AS833">
        <v>6.02</v>
      </c>
      <c r="AT833">
        <v>-11.36</v>
      </c>
      <c r="AU833">
        <v>-5.05</v>
      </c>
      <c r="AV833">
        <v>3</v>
      </c>
      <c r="AW833">
        <v>4.04</v>
      </c>
      <c r="AX833">
        <v>74.44</v>
      </c>
      <c r="AY833">
        <v>33.83</v>
      </c>
      <c r="AZ833">
        <v>59.81</v>
      </c>
      <c r="BA833">
        <v>0.65</v>
      </c>
      <c r="BB833" t="s">
        <v>143</v>
      </c>
      <c r="BF833">
        <v>-0.08</v>
      </c>
      <c r="BG833">
        <v>-1.56</v>
      </c>
      <c r="BH833">
        <v>-3.93</v>
      </c>
      <c r="BI833">
        <v>0.66</v>
      </c>
      <c r="BJ833">
        <v>20210914</v>
      </c>
      <c r="BK833">
        <v>20100608</v>
      </c>
      <c r="BL833">
        <v>9.57</v>
      </c>
      <c r="BM833" t="s">
        <v>120</v>
      </c>
      <c r="BN833" t="s">
        <v>120</v>
      </c>
      <c r="BO833">
        <v>58.09</v>
      </c>
      <c r="BP833">
        <v>7.57</v>
      </c>
      <c r="BQ833">
        <v>52.37</v>
      </c>
      <c r="BR833">
        <v>0</v>
      </c>
      <c r="BS833">
        <v>9.83</v>
      </c>
      <c r="BT833">
        <v>13.68</v>
      </c>
      <c r="BU833">
        <v>0.1</v>
      </c>
      <c r="BV833">
        <v>3.11</v>
      </c>
      <c r="BW833">
        <v>4.9400000000000004</v>
      </c>
      <c r="BX833">
        <v>2.31</v>
      </c>
      <c r="BY833">
        <v>0</v>
      </c>
      <c r="BZ833">
        <v>4.45</v>
      </c>
      <c r="CA833">
        <v>0.02</v>
      </c>
      <c r="CB833">
        <v>28.72</v>
      </c>
      <c r="CC833">
        <v>4.7</v>
      </c>
      <c r="CD833">
        <v>1.45</v>
      </c>
      <c r="CE833">
        <v>2.16</v>
      </c>
      <c r="CF833">
        <v>0.04</v>
      </c>
      <c r="CG833">
        <v>2.16</v>
      </c>
      <c r="CH833">
        <v>2.13</v>
      </c>
      <c r="CI833">
        <v>2.12</v>
      </c>
      <c r="CJ833">
        <v>-0.14000000000000001</v>
      </c>
      <c r="CK833">
        <v>2.1</v>
      </c>
      <c r="CL833">
        <v>12.76</v>
      </c>
      <c r="CM833">
        <v>1.86</v>
      </c>
      <c r="CN833">
        <v>1.18</v>
      </c>
      <c r="CO833">
        <v>77381</v>
      </c>
      <c r="CP833">
        <v>9204</v>
      </c>
      <c r="CQ833" t="s">
        <v>4926</v>
      </c>
      <c r="CR833">
        <v>80.599999999999994</v>
      </c>
      <c r="CS833">
        <v>53.94</v>
      </c>
      <c r="CT833">
        <v>1.38</v>
      </c>
      <c r="CU833">
        <v>38.880000000000003</v>
      </c>
      <c r="CV833">
        <v>15.41</v>
      </c>
      <c r="CW833">
        <v>0.23</v>
      </c>
      <c r="CX833" t="s">
        <v>694</v>
      </c>
      <c r="CY833">
        <v>5.47</v>
      </c>
      <c r="CZ833">
        <v>0</v>
      </c>
      <c r="DA833">
        <v>3</v>
      </c>
      <c r="DB833">
        <v>1.33</v>
      </c>
      <c r="DC833">
        <v>0.19</v>
      </c>
      <c r="DD833">
        <v>90.17</v>
      </c>
      <c r="DE833" t="s">
        <v>3624</v>
      </c>
      <c r="DF833">
        <v>69.13</v>
      </c>
      <c r="DG833">
        <v>45.97</v>
      </c>
      <c r="DH833">
        <v>45.14</v>
      </c>
      <c r="DI833">
        <v>0.28000000000000003</v>
      </c>
      <c r="DJ833">
        <v>756</v>
      </c>
      <c r="DK833">
        <v>2425</v>
      </c>
      <c r="DL833" t="s">
        <v>120</v>
      </c>
      <c r="DM833" t="s">
        <v>120</v>
      </c>
      <c r="DN833" t="s">
        <v>120</v>
      </c>
    </row>
    <row r="834" spans="1:118">
      <c r="A834" t="str">
        <f>"002426"</f>
        <v>002426</v>
      </c>
      <c r="B834" t="s">
        <v>4927</v>
      </c>
      <c r="C834">
        <v>-1.9</v>
      </c>
      <c r="D834">
        <v>-0.31</v>
      </c>
      <c r="E834">
        <v>1.27</v>
      </c>
      <c r="F834">
        <v>11996</v>
      </c>
      <c r="G834" t="s">
        <v>4928</v>
      </c>
      <c r="H834">
        <v>52575.22</v>
      </c>
      <c r="I834">
        <v>1266.69</v>
      </c>
      <c r="J834" t="s">
        <v>120</v>
      </c>
      <c r="K834" t="s">
        <v>4929</v>
      </c>
      <c r="L834">
        <v>5.47</v>
      </c>
      <c r="M834">
        <v>3.09</v>
      </c>
      <c r="N834">
        <v>1.41</v>
      </c>
      <c r="O834">
        <v>3.81</v>
      </c>
      <c r="P834">
        <v>3.27</v>
      </c>
      <c r="Q834">
        <v>-2.2200000000000002</v>
      </c>
      <c r="R834">
        <v>3.08</v>
      </c>
      <c r="S834">
        <v>3.19</v>
      </c>
      <c r="T834">
        <v>1655463</v>
      </c>
      <c r="U834">
        <v>3.1</v>
      </c>
      <c r="V834">
        <v>3.15</v>
      </c>
      <c r="W834">
        <v>152.07</v>
      </c>
      <c r="X834" t="s">
        <v>229</v>
      </c>
      <c r="Y834" t="s">
        <v>319</v>
      </c>
      <c r="Z834">
        <v>6.03</v>
      </c>
      <c r="AA834">
        <v>3.18</v>
      </c>
      <c r="AB834">
        <v>869727</v>
      </c>
      <c r="AC834">
        <v>785736</v>
      </c>
      <c r="AD834">
        <v>1.1100000000000001</v>
      </c>
      <c r="AE834">
        <v>9712</v>
      </c>
      <c r="AF834">
        <v>4570</v>
      </c>
      <c r="AG834" t="s">
        <v>120</v>
      </c>
      <c r="AH834">
        <v>0.15</v>
      </c>
      <c r="AI834" t="s">
        <v>120</v>
      </c>
      <c r="AJ834">
        <v>30.26</v>
      </c>
      <c r="AK834" t="s">
        <v>4930</v>
      </c>
      <c r="AL834">
        <v>0.01</v>
      </c>
      <c r="AM834">
        <v>4072</v>
      </c>
      <c r="AN834">
        <v>407</v>
      </c>
      <c r="AO834">
        <v>1.2999999999999999E-3</v>
      </c>
      <c r="AP834">
        <v>-1</v>
      </c>
      <c r="AQ834">
        <v>4.6500000000000004</v>
      </c>
      <c r="AR834">
        <v>0.33</v>
      </c>
      <c r="AS834">
        <v>15.3</v>
      </c>
      <c r="AT834">
        <v>-5.21</v>
      </c>
      <c r="AU834">
        <v>45.07</v>
      </c>
      <c r="AV834">
        <v>15</v>
      </c>
      <c r="AW834">
        <v>6.08</v>
      </c>
      <c r="AX834">
        <v>79.08</v>
      </c>
      <c r="AY834" t="s">
        <v>120</v>
      </c>
      <c r="AZ834">
        <v>28</v>
      </c>
      <c r="BA834">
        <v>0.53</v>
      </c>
      <c r="BB834" t="s">
        <v>1103</v>
      </c>
      <c r="BF834">
        <v>0.82</v>
      </c>
      <c r="BG834">
        <v>-3.13</v>
      </c>
      <c r="BH834">
        <v>-5.5</v>
      </c>
      <c r="BI834">
        <v>0.32</v>
      </c>
      <c r="BJ834">
        <v>20210903</v>
      </c>
      <c r="BK834">
        <v>20100608</v>
      </c>
      <c r="BL834">
        <v>34.42</v>
      </c>
      <c r="BM834" t="s">
        <v>120</v>
      </c>
      <c r="BN834" t="s">
        <v>120</v>
      </c>
      <c r="BO834">
        <v>103.35</v>
      </c>
      <c r="BP834">
        <v>3.09</v>
      </c>
      <c r="BQ834">
        <v>45.11</v>
      </c>
      <c r="BR834">
        <v>-0.09</v>
      </c>
      <c r="BS834">
        <v>56.45</v>
      </c>
      <c r="BT834">
        <v>49.98</v>
      </c>
      <c r="BU834">
        <v>24.17</v>
      </c>
      <c r="BV834">
        <v>1.92</v>
      </c>
      <c r="BW834">
        <v>55.67</v>
      </c>
      <c r="BX834">
        <v>9.39</v>
      </c>
      <c r="BY834">
        <v>14.24</v>
      </c>
      <c r="BZ834">
        <v>15.63</v>
      </c>
      <c r="CA834" t="s">
        <v>120</v>
      </c>
      <c r="CB834">
        <v>37.6</v>
      </c>
      <c r="CC834">
        <v>24.83</v>
      </c>
      <c r="CD834">
        <v>20.49</v>
      </c>
      <c r="CE834">
        <v>0.14000000000000001</v>
      </c>
      <c r="CF834">
        <v>0.05</v>
      </c>
      <c r="CG834">
        <v>0.31</v>
      </c>
      <c r="CH834">
        <v>0.35</v>
      </c>
      <c r="CI834">
        <v>0.35</v>
      </c>
      <c r="CJ834">
        <v>-0.06</v>
      </c>
      <c r="CK834">
        <v>-0.44</v>
      </c>
      <c r="CL834">
        <v>-27.35</v>
      </c>
      <c r="CM834">
        <v>-0.96</v>
      </c>
      <c r="CN834">
        <v>-3.99</v>
      </c>
      <c r="CO834">
        <v>107600</v>
      </c>
      <c r="CP834">
        <v>25293</v>
      </c>
      <c r="CQ834" t="s">
        <v>4931</v>
      </c>
      <c r="CR834">
        <v>-93.84</v>
      </c>
      <c r="CS834">
        <v>-41.94</v>
      </c>
      <c r="CT834">
        <v>2.36</v>
      </c>
      <c r="CU834">
        <v>-110.71</v>
      </c>
      <c r="CV834">
        <v>4.28</v>
      </c>
      <c r="CW834">
        <v>0</v>
      </c>
      <c r="CX834" t="s">
        <v>178</v>
      </c>
      <c r="CY834">
        <v>1.31</v>
      </c>
      <c r="CZ834">
        <v>0</v>
      </c>
      <c r="DA834">
        <v>1.0900000000000001</v>
      </c>
      <c r="DB834">
        <v>-0.79</v>
      </c>
      <c r="DC834">
        <v>-0.03</v>
      </c>
      <c r="DD834">
        <v>43.65</v>
      </c>
      <c r="DE834" t="s">
        <v>307</v>
      </c>
      <c r="DF834">
        <v>17.489999999999998</v>
      </c>
      <c r="DG834">
        <v>0.56999999999999995</v>
      </c>
      <c r="DH834">
        <v>1.41</v>
      </c>
      <c r="DI834">
        <v>1.37</v>
      </c>
      <c r="DJ834">
        <v>5745</v>
      </c>
      <c r="DK834">
        <v>2426</v>
      </c>
      <c r="DL834" t="s">
        <v>120</v>
      </c>
      <c r="DM834" t="s">
        <v>120</v>
      </c>
      <c r="DN834" t="s">
        <v>120</v>
      </c>
    </row>
    <row r="835" spans="1:118">
      <c r="A835" t="str">
        <f>"002428"</f>
        <v>002428</v>
      </c>
      <c r="B835" t="s">
        <v>4932</v>
      </c>
      <c r="C835">
        <v>-4.6399999999999997</v>
      </c>
      <c r="D835">
        <v>0</v>
      </c>
      <c r="E835">
        <v>1.39</v>
      </c>
      <c r="F835">
        <v>2764</v>
      </c>
      <c r="G835" t="s">
        <v>4933</v>
      </c>
      <c r="H835">
        <v>57508</v>
      </c>
      <c r="I835">
        <v>429.17</v>
      </c>
      <c r="J835" t="s">
        <v>120</v>
      </c>
      <c r="K835" t="s">
        <v>4934</v>
      </c>
      <c r="L835">
        <v>6</v>
      </c>
      <c r="M835">
        <v>14.39</v>
      </c>
      <c r="N835">
        <v>0.75</v>
      </c>
      <c r="O835">
        <v>2.0499999999999998</v>
      </c>
      <c r="P835">
        <v>15.4</v>
      </c>
      <c r="Q835">
        <v>-4.9000000000000004</v>
      </c>
      <c r="R835">
        <v>14.35</v>
      </c>
      <c r="S835">
        <v>15.3</v>
      </c>
      <c r="T835">
        <v>386558</v>
      </c>
      <c r="U835">
        <v>14.39</v>
      </c>
      <c r="V835">
        <v>15.09</v>
      </c>
      <c r="W835">
        <v>246.86</v>
      </c>
      <c r="X835" t="s">
        <v>1390</v>
      </c>
      <c r="Y835" t="s">
        <v>1006</v>
      </c>
      <c r="Z835">
        <v>6.96</v>
      </c>
      <c r="AA835">
        <v>14.88</v>
      </c>
      <c r="AB835">
        <v>215747</v>
      </c>
      <c r="AC835">
        <v>170811</v>
      </c>
      <c r="AD835">
        <v>1.26</v>
      </c>
      <c r="AE835">
        <v>2441</v>
      </c>
      <c r="AF835">
        <v>210</v>
      </c>
      <c r="AG835" t="s">
        <v>120</v>
      </c>
      <c r="AH835">
        <v>0.05</v>
      </c>
      <c r="AI835" t="s">
        <v>120</v>
      </c>
      <c r="AJ835">
        <v>6.44</v>
      </c>
      <c r="AK835" t="s">
        <v>4935</v>
      </c>
      <c r="AL835">
        <v>-2.73</v>
      </c>
      <c r="AM835">
        <v>4079</v>
      </c>
      <c r="AN835">
        <v>95</v>
      </c>
      <c r="AO835">
        <v>1.5E-3</v>
      </c>
      <c r="AP835">
        <v>-1</v>
      </c>
      <c r="AQ835">
        <v>1.89</v>
      </c>
      <c r="AR835">
        <v>-8.8699999999999992</v>
      </c>
      <c r="AS835">
        <v>5.42</v>
      </c>
      <c r="AT835">
        <v>11.3</v>
      </c>
      <c r="AU835">
        <v>17.079999999999998</v>
      </c>
      <c r="AV835">
        <v>3</v>
      </c>
      <c r="AW835">
        <v>7.53</v>
      </c>
      <c r="AX835">
        <v>78.650000000000006</v>
      </c>
      <c r="AY835">
        <v>276.68</v>
      </c>
      <c r="AZ835">
        <v>435.47</v>
      </c>
      <c r="BA835">
        <v>0.66</v>
      </c>
      <c r="BB835" t="s">
        <v>143</v>
      </c>
      <c r="BF835">
        <v>-1.41</v>
      </c>
      <c r="BG835">
        <v>-5.95</v>
      </c>
      <c r="BH835">
        <v>-6.56</v>
      </c>
      <c r="BI835">
        <v>0.28000000000000003</v>
      </c>
      <c r="BJ835">
        <v>20210907</v>
      </c>
      <c r="BK835">
        <v>20100608</v>
      </c>
      <c r="BL835">
        <v>6.53</v>
      </c>
      <c r="BM835" t="s">
        <v>120</v>
      </c>
      <c r="BN835" t="s">
        <v>120</v>
      </c>
      <c r="BO835">
        <v>23.81</v>
      </c>
      <c r="BP835">
        <v>14.38</v>
      </c>
      <c r="BQ835">
        <v>14.76</v>
      </c>
      <c r="BR835">
        <v>0.76</v>
      </c>
      <c r="BS835">
        <v>34.79</v>
      </c>
      <c r="BT835">
        <v>7.99</v>
      </c>
      <c r="BU835">
        <v>10.49</v>
      </c>
      <c r="BV835">
        <v>3.64</v>
      </c>
      <c r="BW835">
        <v>4.6399999999999997</v>
      </c>
      <c r="BX835">
        <v>1.93</v>
      </c>
      <c r="BY835">
        <v>3.5</v>
      </c>
      <c r="BZ835">
        <v>1.35</v>
      </c>
      <c r="CA835">
        <v>0</v>
      </c>
      <c r="CB835">
        <v>3.31</v>
      </c>
      <c r="CC835">
        <v>2.4</v>
      </c>
      <c r="CD835">
        <v>1.96</v>
      </c>
      <c r="CE835">
        <v>0.11</v>
      </c>
      <c r="CF835">
        <v>0</v>
      </c>
      <c r="CG835">
        <v>0.11</v>
      </c>
      <c r="CH835">
        <v>0.28999999999999998</v>
      </c>
      <c r="CI835">
        <v>0.19</v>
      </c>
      <c r="CJ835">
        <v>-0.7</v>
      </c>
      <c r="CK835">
        <v>-0.04</v>
      </c>
      <c r="CL835">
        <v>4.0199999999999996</v>
      </c>
      <c r="CM835">
        <v>0.9</v>
      </c>
      <c r="CN835">
        <v>0.73</v>
      </c>
      <c r="CO835">
        <v>73000</v>
      </c>
      <c r="CP835">
        <v>7036</v>
      </c>
      <c r="CQ835" t="s">
        <v>4936</v>
      </c>
      <c r="CR835">
        <v>214.79</v>
      </c>
      <c r="CS835">
        <v>-32.75</v>
      </c>
      <c r="CT835">
        <v>6.37</v>
      </c>
      <c r="CU835">
        <v>104.61</v>
      </c>
      <c r="CV835">
        <v>39.19</v>
      </c>
      <c r="CW835">
        <v>0</v>
      </c>
      <c r="CX835" t="s">
        <v>2074</v>
      </c>
      <c r="CY835">
        <v>2.2599999999999998</v>
      </c>
      <c r="CZ835">
        <v>0</v>
      </c>
      <c r="DA835">
        <v>0.51</v>
      </c>
      <c r="DB835">
        <v>0.62</v>
      </c>
      <c r="DC835">
        <v>0.14000000000000001</v>
      </c>
      <c r="DD835">
        <v>62.01</v>
      </c>
      <c r="DE835" t="s">
        <v>4937</v>
      </c>
      <c r="DF835">
        <v>18.260000000000002</v>
      </c>
      <c r="DG835">
        <v>4.71</v>
      </c>
      <c r="DH835">
        <v>7.94</v>
      </c>
      <c r="DI835">
        <v>0.13</v>
      </c>
      <c r="DJ835">
        <v>1466</v>
      </c>
      <c r="DK835">
        <v>2428</v>
      </c>
      <c r="DL835" t="s">
        <v>120</v>
      </c>
      <c r="DM835" t="s">
        <v>120</v>
      </c>
      <c r="DN835" t="s">
        <v>120</v>
      </c>
    </row>
    <row r="836" spans="1:118">
      <c r="A836" t="str">
        <f>"002429"</f>
        <v>002429</v>
      </c>
      <c r="B836" t="s">
        <v>4938</v>
      </c>
      <c r="C836">
        <v>0</v>
      </c>
      <c r="D836">
        <v>0.19</v>
      </c>
      <c r="E836">
        <v>0</v>
      </c>
      <c r="F836">
        <v>6525</v>
      </c>
      <c r="G836" t="s">
        <v>4939</v>
      </c>
      <c r="H836">
        <v>18630.009999999998</v>
      </c>
      <c r="I836">
        <v>117.1</v>
      </c>
      <c r="J836" t="s">
        <v>120</v>
      </c>
      <c r="K836" t="s">
        <v>4940</v>
      </c>
      <c r="L836">
        <v>0.77</v>
      </c>
      <c r="M836">
        <v>5.33</v>
      </c>
      <c r="N836">
        <v>0.7</v>
      </c>
      <c r="O836">
        <v>1.5</v>
      </c>
      <c r="P836">
        <v>5.41</v>
      </c>
      <c r="Q836">
        <v>-0.38</v>
      </c>
      <c r="R836">
        <v>5.31</v>
      </c>
      <c r="S836">
        <v>5.33</v>
      </c>
      <c r="T836">
        <v>348372</v>
      </c>
      <c r="U836">
        <v>5.33</v>
      </c>
      <c r="V836">
        <v>5.33</v>
      </c>
      <c r="W836">
        <v>11.5</v>
      </c>
      <c r="X836" t="s">
        <v>205</v>
      </c>
      <c r="Y836" t="s">
        <v>123</v>
      </c>
      <c r="Z836">
        <v>1.88</v>
      </c>
      <c r="AA836">
        <v>5.35</v>
      </c>
      <c r="AB836">
        <v>188912</v>
      </c>
      <c r="AC836">
        <v>159460</v>
      </c>
      <c r="AD836">
        <v>1.18</v>
      </c>
      <c r="AE836">
        <v>927</v>
      </c>
      <c r="AF836">
        <v>4235</v>
      </c>
      <c r="AG836" t="s">
        <v>120</v>
      </c>
      <c r="AH836">
        <v>0.01</v>
      </c>
      <c r="AI836" t="s">
        <v>120</v>
      </c>
      <c r="AJ836">
        <v>44.96</v>
      </c>
      <c r="AK836" t="s">
        <v>4941</v>
      </c>
      <c r="AL836">
        <v>1.91</v>
      </c>
      <c r="AM836">
        <v>3378</v>
      </c>
      <c r="AN836">
        <v>103</v>
      </c>
      <c r="AO836">
        <v>2.0000000000000001E-4</v>
      </c>
      <c r="AP836">
        <v>0</v>
      </c>
      <c r="AQ836">
        <v>-2.02</v>
      </c>
      <c r="AR836">
        <v>-3.62</v>
      </c>
      <c r="AS836">
        <v>-6.82</v>
      </c>
      <c r="AT836">
        <v>-10.57</v>
      </c>
      <c r="AU836">
        <v>-14.03</v>
      </c>
      <c r="AV836">
        <v>3</v>
      </c>
      <c r="AW836">
        <v>2</v>
      </c>
      <c r="AX836">
        <v>38.5</v>
      </c>
      <c r="AY836">
        <v>10.98</v>
      </c>
      <c r="AZ836">
        <v>13.68</v>
      </c>
      <c r="BA836">
        <v>0.57999999999999996</v>
      </c>
      <c r="BB836" t="s">
        <v>1723</v>
      </c>
      <c r="BF836">
        <v>0.33</v>
      </c>
      <c r="BG836">
        <v>0</v>
      </c>
      <c r="BH836">
        <v>-1.48</v>
      </c>
      <c r="BI836">
        <v>0.38</v>
      </c>
      <c r="BJ836">
        <v>20210903</v>
      </c>
      <c r="BK836">
        <v>20100610</v>
      </c>
      <c r="BL836">
        <v>45.27</v>
      </c>
      <c r="BM836" t="s">
        <v>120</v>
      </c>
      <c r="BN836" t="s">
        <v>120</v>
      </c>
      <c r="BO836">
        <v>278.14999999999998</v>
      </c>
      <c r="BP836">
        <v>5.32</v>
      </c>
      <c r="BQ836">
        <v>125</v>
      </c>
      <c r="BR836">
        <v>4.32</v>
      </c>
      <c r="BS836">
        <v>53.51</v>
      </c>
      <c r="BT836">
        <v>203.08</v>
      </c>
      <c r="BU836">
        <v>44.52</v>
      </c>
      <c r="BV836">
        <v>5.32</v>
      </c>
      <c r="BW836">
        <v>127.82</v>
      </c>
      <c r="BX836">
        <v>31.52</v>
      </c>
      <c r="BY836">
        <v>32.369999999999997</v>
      </c>
      <c r="BZ836">
        <v>52.71</v>
      </c>
      <c r="CA836" t="s">
        <v>120</v>
      </c>
      <c r="CB836">
        <v>1.82</v>
      </c>
      <c r="CC836">
        <v>112.07</v>
      </c>
      <c r="CD836">
        <v>95.55</v>
      </c>
      <c r="CE836">
        <v>11.95</v>
      </c>
      <c r="CF836">
        <v>0.06</v>
      </c>
      <c r="CG836">
        <v>11.95</v>
      </c>
      <c r="CH836">
        <v>10.89</v>
      </c>
      <c r="CI836">
        <v>10.49</v>
      </c>
      <c r="CJ836">
        <v>0</v>
      </c>
      <c r="CK836">
        <v>9.32</v>
      </c>
      <c r="CL836">
        <v>73.459999999999994</v>
      </c>
      <c r="CM836">
        <v>2.65</v>
      </c>
      <c r="CN836">
        <v>-4.21</v>
      </c>
      <c r="CO836">
        <v>110000</v>
      </c>
      <c r="CP836">
        <v>15844</v>
      </c>
      <c r="CQ836" t="s">
        <v>947</v>
      </c>
      <c r="CR836">
        <v>70.599999999999994</v>
      </c>
      <c r="CS836">
        <v>50.14</v>
      </c>
      <c r="CT836">
        <v>1.93</v>
      </c>
      <c r="CU836">
        <v>91.06</v>
      </c>
      <c r="CV836">
        <v>2.15</v>
      </c>
      <c r="CW836">
        <v>0</v>
      </c>
      <c r="CX836" t="s">
        <v>588</v>
      </c>
      <c r="CY836">
        <v>2.76</v>
      </c>
      <c r="CZ836">
        <v>0</v>
      </c>
      <c r="DA836">
        <v>0.04</v>
      </c>
      <c r="DB836">
        <v>1.62</v>
      </c>
      <c r="DC836">
        <v>0.06</v>
      </c>
      <c r="DD836">
        <v>44.94</v>
      </c>
      <c r="DE836" t="s">
        <v>4942</v>
      </c>
      <c r="DF836">
        <v>14.74</v>
      </c>
      <c r="DG836">
        <v>10.67</v>
      </c>
      <c r="DH836">
        <v>9.36</v>
      </c>
      <c r="DI836">
        <v>2.1</v>
      </c>
      <c r="DJ836">
        <v>13424</v>
      </c>
      <c r="DK836">
        <v>2429</v>
      </c>
      <c r="DL836" t="s">
        <v>120</v>
      </c>
      <c r="DM836" t="s">
        <v>120</v>
      </c>
      <c r="DN836" t="s">
        <v>120</v>
      </c>
    </row>
    <row r="837" spans="1:118">
      <c r="A837" t="str">
        <f>"002430"</f>
        <v>002430</v>
      </c>
      <c r="B837" t="s">
        <v>4943</v>
      </c>
      <c r="C837">
        <v>-2.9</v>
      </c>
      <c r="D837">
        <v>-0.05</v>
      </c>
      <c r="E837">
        <v>0.79</v>
      </c>
      <c r="F837">
        <v>641</v>
      </c>
      <c r="G837" t="s">
        <v>4944</v>
      </c>
      <c r="H837">
        <v>21673.25</v>
      </c>
      <c r="I837">
        <v>231.68</v>
      </c>
      <c r="J837" t="s">
        <v>120</v>
      </c>
      <c r="K837" t="s">
        <v>4945</v>
      </c>
      <c r="L837">
        <v>0.69</v>
      </c>
      <c r="M837">
        <v>31.84</v>
      </c>
      <c r="N837">
        <v>1.02</v>
      </c>
      <c r="O837">
        <v>1.98</v>
      </c>
      <c r="P837">
        <v>33.44</v>
      </c>
      <c r="Q837">
        <v>-3.02</v>
      </c>
      <c r="R837">
        <v>31.8</v>
      </c>
      <c r="S837">
        <v>33.049999999999997</v>
      </c>
      <c r="T837">
        <v>66545</v>
      </c>
      <c r="U837">
        <v>31.84</v>
      </c>
      <c r="V837">
        <v>32.79</v>
      </c>
      <c r="W837">
        <v>22.44</v>
      </c>
      <c r="X837" t="s">
        <v>2196</v>
      </c>
      <c r="Y837" t="s">
        <v>585</v>
      </c>
      <c r="Z837">
        <v>5</v>
      </c>
      <c r="AA837">
        <v>32.57</v>
      </c>
      <c r="AB837">
        <v>41190</v>
      </c>
      <c r="AC837">
        <v>25355</v>
      </c>
      <c r="AD837">
        <v>1.62</v>
      </c>
      <c r="AE837">
        <v>90</v>
      </c>
      <c r="AF837">
        <v>94</v>
      </c>
      <c r="AG837" t="s">
        <v>120</v>
      </c>
      <c r="AH837">
        <v>0.02</v>
      </c>
      <c r="AI837" t="s">
        <v>120</v>
      </c>
      <c r="AJ837">
        <v>9.64</v>
      </c>
      <c r="AK837" t="s">
        <v>4946</v>
      </c>
      <c r="AL837">
        <v>-0.98</v>
      </c>
      <c r="AM837">
        <v>2903</v>
      </c>
      <c r="AN837">
        <v>23</v>
      </c>
      <c r="AO837">
        <v>2.0000000000000001E-4</v>
      </c>
      <c r="AP837">
        <v>-1</v>
      </c>
      <c r="AQ837">
        <v>1.83</v>
      </c>
      <c r="AR837">
        <v>-1.0900000000000001</v>
      </c>
      <c r="AS837">
        <v>-13.62</v>
      </c>
      <c r="AT837">
        <v>-1.02</v>
      </c>
      <c r="AU837">
        <v>10.41</v>
      </c>
      <c r="AV837">
        <v>5</v>
      </c>
      <c r="AW837">
        <v>1.77</v>
      </c>
      <c r="AX837">
        <v>38.93</v>
      </c>
      <c r="AY837">
        <v>28.39</v>
      </c>
      <c r="AZ837">
        <v>37.51</v>
      </c>
      <c r="BA837">
        <v>1.37</v>
      </c>
      <c r="BB837" t="s">
        <v>168</v>
      </c>
      <c r="BF837">
        <v>-0.67</v>
      </c>
      <c r="BG837">
        <v>-3.66</v>
      </c>
      <c r="BH837">
        <v>-4.78</v>
      </c>
      <c r="BI837">
        <v>0.13</v>
      </c>
      <c r="BJ837">
        <v>20210902</v>
      </c>
      <c r="BK837">
        <v>20100610</v>
      </c>
      <c r="BL837">
        <v>9.65</v>
      </c>
      <c r="BM837" t="s">
        <v>120</v>
      </c>
      <c r="BN837" t="s">
        <v>120</v>
      </c>
      <c r="BO837">
        <v>150.59</v>
      </c>
      <c r="BP837">
        <v>31.83</v>
      </c>
      <c r="BQ837">
        <v>68.12</v>
      </c>
      <c r="BR837">
        <v>4.9400000000000004</v>
      </c>
      <c r="BS837">
        <v>51.48</v>
      </c>
      <c r="BT837">
        <v>86.56</v>
      </c>
      <c r="BU837">
        <v>51.46</v>
      </c>
      <c r="BV837">
        <v>3.65</v>
      </c>
      <c r="BW837">
        <v>66.2</v>
      </c>
      <c r="BX837">
        <v>12.9</v>
      </c>
      <c r="BY837">
        <v>25.93</v>
      </c>
      <c r="BZ837">
        <v>13.3</v>
      </c>
      <c r="CA837" t="s">
        <v>120</v>
      </c>
      <c r="CB837">
        <v>16.18</v>
      </c>
      <c r="CC837">
        <v>56.17</v>
      </c>
      <c r="CD837">
        <v>41.5</v>
      </c>
      <c r="CE837">
        <v>9.36</v>
      </c>
      <c r="CF837">
        <v>0.08</v>
      </c>
      <c r="CG837">
        <v>9.34</v>
      </c>
      <c r="CH837">
        <v>7.27</v>
      </c>
      <c r="CI837">
        <v>6.84</v>
      </c>
      <c r="CJ837">
        <v>-0.95</v>
      </c>
      <c r="CK837">
        <v>6.6</v>
      </c>
      <c r="CL837">
        <v>36.82</v>
      </c>
      <c r="CM837">
        <v>6.84</v>
      </c>
      <c r="CN837">
        <v>-2.11</v>
      </c>
      <c r="CO837">
        <v>24285</v>
      </c>
      <c r="CP837">
        <v>15463</v>
      </c>
      <c r="CQ837" t="s">
        <v>4947</v>
      </c>
      <c r="CR837">
        <v>65.59</v>
      </c>
      <c r="CS837">
        <v>26.19</v>
      </c>
      <c r="CT837">
        <v>4.51</v>
      </c>
      <c r="CU837">
        <v>44.91</v>
      </c>
      <c r="CV837">
        <v>5.47</v>
      </c>
      <c r="CW837">
        <v>0.76</v>
      </c>
      <c r="CX837" t="s">
        <v>4948</v>
      </c>
      <c r="CY837">
        <v>7.06</v>
      </c>
      <c r="CZ837">
        <v>0</v>
      </c>
      <c r="DA837">
        <v>1.68</v>
      </c>
      <c r="DB837">
        <v>3.82</v>
      </c>
      <c r="DC837">
        <v>0.71</v>
      </c>
      <c r="DD837">
        <v>45.24</v>
      </c>
      <c r="DE837" t="s">
        <v>4949</v>
      </c>
      <c r="DF837">
        <v>26.12</v>
      </c>
      <c r="DG837">
        <v>16.670000000000002</v>
      </c>
      <c r="DH837">
        <v>12.18</v>
      </c>
      <c r="DI837">
        <v>1.36</v>
      </c>
      <c r="DJ837">
        <v>4453</v>
      </c>
      <c r="DK837">
        <v>2430</v>
      </c>
      <c r="DL837" t="s">
        <v>120</v>
      </c>
      <c r="DM837" t="s">
        <v>120</v>
      </c>
      <c r="DN837" t="s">
        <v>120</v>
      </c>
    </row>
    <row r="838" spans="1:118">
      <c r="A838" t="str">
        <f>"002431"</f>
        <v>002431</v>
      </c>
      <c r="B838" t="s">
        <v>4950</v>
      </c>
      <c r="C838">
        <v>-1.63</v>
      </c>
      <c r="D838">
        <v>-0.32</v>
      </c>
      <c r="E838">
        <v>0.33</v>
      </c>
      <c r="F838">
        <v>1000</v>
      </c>
      <c r="G838" t="s">
        <v>4951</v>
      </c>
      <c r="H838">
        <v>3436.63</v>
      </c>
      <c r="I838">
        <v>1.26</v>
      </c>
      <c r="J838" t="s">
        <v>120</v>
      </c>
      <c r="K838" t="s">
        <v>2795</v>
      </c>
      <c r="L838">
        <v>0.77</v>
      </c>
      <c r="M838">
        <v>3.02</v>
      </c>
      <c r="N838">
        <v>0.83</v>
      </c>
      <c r="O838">
        <v>1.3</v>
      </c>
      <c r="P838">
        <v>3.11</v>
      </c>
      <c r="Q838">
        <v>-1.63</v>
      </c>
      <c r="R838">
        <v>3.02</v>
      </c>
      <c r="S838">
        <v>3.08</v>
      </c>
      <c r="T838">
        <v>111987</v>
      </c>
      <c r="U838">
        <v>3.03</v>
      </c>
      <c r="V838">
        <v>3.07</v>
      </c>
      <c r="W838">
        <v>142.66</v>
      </c>
      <c r="X838" t="s">
        <v>175</v>
      </c>
      <c r="Y838" t="s">
        <v>547</v>
      </c>
      <c r="Z838">
        <v>2.93</v>
      </c>
      <c r="AA838">
        <v>3.07</v>
      </c>
      <c r="AB838">
        <v>70486</v>
      </c>
      <c r="AC838">
        <v>41501</v>
      </c>
      <c r="AD838">
        <v>1.7</v>
      </c>
      <c r="AE838">
        <v>2027</v>
      </c>
      <c r="AF838">
        <v>446</v>
      </c>
      <c r="AG838" t="s">
        <v>120</v>
      </c>
      <c r="AH838">
        <v>0</v>
      </c>
      <c r="AI838" t="s">
        <v>120</v>
      </c>
      <c r="AJ838">
        <v>14.58</v>
      </c>
      <c r="AK838" t="s">
        <v>3725</v>
      </c>
      <c r="AL838">
        <v>0.28999999999999998</v>
      </c>
      <c r="AM838">
        <v>1384</v>
      </c>
      <c r="AN838">
        <v>81</v>
      </c>
      <c r="AO838">
        <v>5.9999999999999995E-4</v>
      </c>
      <c r="AP838">
        <v>-1</v>
      </c>
      <c r="AQ838">
        <v>1.99</v>
      </c>
      <c r="AR838">
        <v>-1.95</v>
      </c>
      <c r="AS838">
        <v>10.62</v>
      </c>
      <c r="AT838">
        <v>2.72</v>
      </c>
      <c r="AU838">
        <v>-5.62</v>
      </c>
      <c r="AV838">
        <v>0</v>
      </c>
      <c r="AW838">
        <v>1.1599999999999999</v>
      </c>
      <c r="AX838">
        <v>64.819999999999993</v>
      </c>
      <c r="AY838">
        <v>143.99</v>
      </c>
      <c r="AZ838">
        <v>103.18</v>
      </c>
      <c r="BA838">
        <v>0.2</v>
      </c>
      <c r="BB838" t="s">
        <v>184</v>
      </c>
      <c r="BF838">
        <v>-0.04</v>
      </c>
      <c r="BG838">
        <v>-1.95</v>
      </c>
      <c r="BH838">
        <v>-2.89</v>
      </c>
      <c r="BI838">
        <v>0</v>
      </c>
      <c r="BJ838">
        <v>20210830</v>
      </c>
      <c r="BK838">
        <v>20100610</v>
      </c>
      <c r="BL838">
        <v>14.87</v>
      </c>
      <c r="BM838" t="s">
        <v>120</v>
      </c>
      <c r="BN838" t="s">
        <v>120</v>
      </c>
      <c r="BO838">
        <v>177.73</v>
      </c>
      <c r="BP838">
        <v>3.02</v>
      </c>
      <c r="BQ838">
        <v>45.74</v>
      </c>
      <c r="BR838">
        <v>1.72</v>
      </c>
      <c r="BS838">
        <v>73.3</v>
      </c>
      <c r="BT838">
        <v>116.45</v>
      </c>
      <c r="BU838">
        <v>2.97</v>
      </c>
      <c r="BV838">
        <v>0.87</v>
      </c>
      <c r="BW838">
        <v>109.73</v>
      </c>
      <c r="BX838">
        <v>9.6199999999999992</v>
      </c>
      <c r="BY838">
        <v>11.36</v>
      </c>
      <c r="BZ838">
        <v>28.26</v>
      </c>
      <c r="CA838" t="s">
        <v>120</v>
      </c>
      <c r="CB838">
        <v>23.25</v>
      </c>
      <c r="CC838">
        <v>27.69</v>
      </c>
      <c r="CD838">
        <v>23.22</v>
      </c>
      <c r="CE838">
        <v>0.22</v>
      </c>
      <c r="CF838">
        <v>-0.34</v>
      </c>
      <c r="CG838">
        <v>0.24</v>
      </c>
      <c r="CH838">
        <v>0.14000000000000001</v>
      </c>
      <c r="CI838">
        <v>0.16</v>
      </c>
      <c r="CJ838">
        <v>-0.05</v>
      </c>
      <c r="CK838">
        <v>0.13</v>
      </c>
      <c r="CL838">
        <v>5.52</v>
      </c>
      <c r="CM838">
        <v>0.36</v>
      </c>
      <c r="CN838">
        <v>-1.4</v>
      </c>
      <c r="CO838">
        <v>61000</v>
      </c>
      <c r="CP838">
        <v>15801</v>
      </c>
      <c r="CQ838" t="s">
        <v>4952</v>
      </c>
      <c r="CR838">
        <v>-44.34</v>
      </c>
      <c r="CS838">
        <v>59.3</v>
      </c>
      <c r="CT838">
        <v>0.98</v>
      </c>
      <c r="CU838">
        <v>126.11</v>
      </c>
      <c r="CV838">
        <v>1.62</v>
      </c>
      <c r="CW838">
        <v>0</v>
      </c>
      <c r="CX838" t="s">
        <v>178</v>
      </c>
      <c r="CY838">
        <v>3.08</v>
      </c>
      <c r="CZ838">
        <v>0</v>
      </c>
      <c r="DA838">
        <v>1.56</v>
      </c>
      <c r="DB838">
        <v>0.37</v>
      </c>
      <c r="DC838">
        <v>0.02</v>
      </c>
      <c r="DD838">
        <v>25.73</v>
      </c>
      <c r="DE838" t="s">
        <v>4953</v>
      </c>
      <c r="DF838">
        <v>16.13</v>
      </c>
      <c r="DG838">
        <v>0.8</v>
      </c>
      <c r="DH838">
        <v>0.56999999999999995</v>
      </c>
      <c r="DI838">
        <v>0.75</v>
      </c>
      <c r="DJ838">
        <v>1391</v>
      </c>
      <c r="DK838">
        <v>2431</v>
      </c>
      <c r="DL838" t="s">
        <v>120</v>
      </c>
      <c r="DM838" t="s">
        <v>120</v>
      </c>
      <c r="DN838" t="s">
        <v>120</v>
      </c>
    </row>
    <row r="839" spans="1:118">
      <c r="A839" t="str">
        <f>"002432"</f>
        <v>002432</v>
      </c>
      <c r="B839" t="s">
        <v>4954</v>
      </c>
      <c r="C839">
        <v>-0.84</v>
      </c>
      <c r="D839">
        <v>0</v>
      </c>
      <c r="E839">
        <v>-0.7</v>
      </c>
      <c r="F839">
        <v>175</v>
      </c>
      <c r="G839" t="s">
        <v>4955</v>
      </c>
      <c r="H839">
        <v>1557.9</v>
      </c>
      <c r="I839">
        <v>13.1</v>
      </c>
      <c r="J839" t="s">
        <v>120</v>
      </c>
      <c r="K839" t="s">
        <v>4956</v>
      </c>
      <c r="L839">
        <v>0.52</v>
      </c>
      <c r="M839">
        <v>7.11</v>
      </c>
      <c r="N839">
        <v>0.82</v>
      </c>
      <c r="O839">
        <v>0.84</v>
      </c>
      <c r="P839">
        <v>7.23</v>
      </c>
      <c r="Q839">
        <v>-0.98</v>
      </c>
      <c r="R839">
        <v>7.1</v>
      </c>
      <c r="S839">
        <v>7.12</v>
      </c>
      <c r="T839">
        <v>21797</v>
      </c>
      <c r="U839">
        <v>7.12</v>
      </c>
      <c r="V839">
        <v>7.17</v>
      </c>
      <c r="W839">
        <v>31.06</v>
      </c>
      <c r="X839" t="s">
        <v>555</v>
      </c>
      <c r="Y839" t="s">
        <v>997</v>
      </c>
      <c r="Z839">
        <v>1.81</v>
      </c>
      <c r="AA839">
        <v>7.15</v>
      </c>
      <c r="AB839">
        <v>12998</v>
      </c>
      <c r="AC839">
        <v>8799</v>
      </c>
      <c r="AD839">
        <v>1.48</v>
      </c>
      <c r="AE839">
        <v>49</v>
      </c>
      <c r="AF839">
        <v>575</v>
      </c>
      <c r="AG839" t="s">
        <v>120</v>
      </c>
      <c r="AH839">
        <v>0.01</v>
      </c>
      <c r="AI839" t="s">
        <v>120</v>
      </c>
      <c r="AJ839">
        <v>4.21</v>
      </c>
      <c r="AK839" t="s">
        <v>4957</v>
      </c>
      <c r="AL839">
        <v>1.08</v>
      </c>
      <c r="AM839">
        <v>775</v>
      </c>
      <c r="AN839">
        <v>28</v>
      </c>
      <c r="AO839">
        <v>6.9999999999999999E-4</v>
      </c>
      <c r="AP839">
        <v>-1</v>
      </c>
      <c r="AQ839">
        <v>0.7</v>
      </c>
      <c r="AR839">
        <v>-1.39</v>
      </c>
      <c r="AS839">
        <v>-1.8</v>
      </c>
      <c r="AT839">
        <v>-7.78</v>
      </c>
      <c r="AU839">
        <v>-22.46</v>
      </c>
      <c r="AV839">
        <v>0</v>
      </c>
      <c r="AW839">
        <v>0.72</v>
      </c>
      <c r="AX839">
        <v>63.26</v>
      </c>
      <c r="AY839">
        <v>86.9</v>
      </c>
      <c r="AZ839">
        <v>14.16</v>
      </c>
      <c r="BA839">
        <v>0.15</v>
      </c>
      <c r="BB839" t="s">
        <v>231</v>
      </c>
      <c r="BF839">
        <v>-0.32</v>
      </c>
      <c r="BG839">
        <v>-0.14000000000000001</v>
      </c>
      <c r="BH839">
        <v>-1.66</v>
      </c>
      <c r="BI839">
        <v>0.14000000000000001</v>
      </c>
      <c r="BJ839">
        <v>20210827</v>
      </c>
      <c r="BK839">
        <v>20100610</v>
      </c>
      <c r="BL839">
        <v>4.79</v>
      </c>
      <c r="BM839" t="s">
        <v>120</v>
      </c>
      <c r="BN839" t="s">
        <v>120</v>
      </c>
      <c r="BO839">
        <v>27.24</v>
      </c>
      <c r="BP839">
        <v>7.11</v>
      </c>
      <c r="BQ839">
        <v>21.12</v>
      </c>
      <c r="BR839">
        <v>-0.8</v>
      </c>
      <c r="BS839">
        <v>25.44</v>
      </c>
      <c r="BT839">
        <v>19.329999999999998</v>
      </c>
      <c r="BU839">
        <v>1.83</v>
      </c>
      <c r="BV839">
        <v>1.25</v>
      </c>
      <c r="BW839">
        <v>5.55</v>
      </c>
      <c r="BX839">
        <v>9.93</v>
      </c>
      <c r="BY839">
        <v>2.65</v>
      </c>
      <c r="BZ839">
        <v>2.16</v>
      </c>
      <c r="CA839" t="s">
        <v>120</v>
      </c>
      <c r="CB839">
        <v>15.77</v>
      </c>
      <c r="CC839">
        <v>5.69</v>
      </c>
      <c r="CD839">
        <v>3.6</v>
      </c>
      <c r="CE839">
        <v>0.36</v>
      </c>
      <c r="CF839">
        <v>0.53</v>
      </c>
      <c r="CG839">
        <v>0.36</v>
      </c>
      <c r="CH839">
        <v>0.32</v>
      </c>
      <c r="CI839">
        <v>0.55000000000000004</v>
      </c>
      <c r="CJ839">
        <v>-0.06</v>
      </c>
      <c r="CK839">
        <v>-0.05</v>
      </c>
      <c r="CL839">
        <v>1.61</v>
      </c>
      <c r="CM839">
        <v>-0.48</v>
      </c>
      <c r="CN839">
        <v>-2.35</v>
      </c>
      <c r="CO839">
        <v>67724</v>
      </c>
      <c r="CP839">
        <v>4471</v>
      </c>
      <c r="CQ839" t="s">
        <v>1648</v>
      </c>
      <c r="CR839">
        <v>-78.739999999999995</v>
      </c>
      <c r="CS839">
        <v>-45.32</v>
      </c>
      <c r="CT839">
        <v>1.61</v>
      </c>
      <c r="CU839">
        <v>-71.459999999999994</v>
      </c>
      <c r="CV839">
        <v>5.98</v>
      </c>
      <c r="CW839">
        <v>0.82</v>
      </c>
      <c r="CX839" t="s">
        <v>850</v>
      </c>
      <c r="CY839">
        <v>4.41</v>
      </c>
      <c r="CZ839">
        <v>0</v>
      </c>
      <c r="DA839">
        <v>3.3</v>
      </c>
      <c r="DB839">
        <v>0.34</v>
      </c>
      <c r="DC839">
        <v>-0.1</v>
      </c>
      <c r="DD839">
        <v>77.510000000000005</v>
      </c>
      <c r="DE839" t="s">
        <v>3839</v>
      </c>
      <c r="DF839">
        <v>36.770000000000003</v>
      </c>
      <c r="DG839">
        <v>6.3</v>
      </c>
      <c r="DH839">
        <v>9.6300000000000008</v>
      </c>
      <c r="DI839">
        <v>0.55000000000000004</v>
      </c>
      <c r="DJ839">
        <v>1271</v>
      </c>
      <c r="DK839">
        <v>2432</v>
      </c>
      <c r="DL839" t="s">
        <v>120</v>
      </c>
      <c r="DM839" t="s">
        <v>120</v>
      </c>
      <c r="DN839" t="s">
        <v>120</v>
      </c>
    </row>
    <row r="840" spans="1:118">
      <c r="A840" t="str">
        <f>"002433"</f>
        <v>002433</v>
      </c>
      <c r="B840" t="s">
        <v>4958</v>
      </c>
      <c r="C840">
        <v>-7.33</v>
      </c>
      <c r="D840">
        <v>0.67</v>
      </c>
      <c r="E840">
        <v>-2.11</v>
      </c>
      <c r="F840">
        <v>7058</v>
      </c>
      <c r="G840" t="s">
        <v>2923</v>
      </c>
      <c r="H840">
        <v>60571.73</v>
      </c>
      <c r="I840">
        <v>377.22</v>
      </c>
      <c r="J840" t="s">
        <v>120</v>
      </c>
      <c r="K840" t="s">
        <v>4959</v>
      </c>
      <c r="L840">
        <v>10.66</v>
      </c>
      <c r="M840">
        <v>7.46</v>
      </c>
      <c r="N840">
        <v>0.9</v>
      </c>
      <c r="O840">
        <v>-0.75</v>
      </c>
      <c r="P840">
        <v>7.99</v>
      </c>
      <c r="Q840">
        <v>-8.07</v>
      </c>
      <c r="R840">
        <v>7.4</v>
      </c>
      <c r="S840">
        <v>7.88</v>
      </c>
      <c r="T840">
        <v>793370</v>
      </c>
      <c r="U840">
        <v>7.47</v>
      </c>
      <c r="V840">
        <v>8.0500000000000007</v>
      </c>
      <c r="W840">
        <v>5.5</v>
      </c>
      <c r="X840" t="s">
        <v>771</v>
      </c>
      <c r="Y840" t="s">
        <v>547</v>
      </c>
      <c r="Z840">
        <v>7.33</v>
      </c>
      <c r="AA840">
        <v>7.63</v>
      </c>
      <c r="AB840">
        <v>426073</v>
      </c>
      <c r="AC840">
        <v>367297</v>
      </c>
      <c r="AD840">
        <v>1.1599999999999999</v>
      </c>
      <c r="AE840">
        <v>483</v>
      </c>
      <c r="AF840">
        <v>561</v>
      </c>
      <c r="AG840" t="s">
        <v>120</v>
      </c>
      <c r="AH840">
        <v>0.1</v>
      </c>
      <c r="AI840" t="s">
        <v>120</v>
      </c>
      <c r="AJ840">
        <v>7.44</v>
      </c>
      <c r="AK840" t="s">
        <v>4960</v>
      </c>
      <c r="AL840">
        <v>-5.42</v>
      </c>
      <c r="AM840">
        <v>4557</v>
      </c>
      <c r="AN840">
        <v>174</v>
      </c>
      <c r="AO840">
        <v>2.3E-3</v>
      </c>
      <c r="AP840">
        <v>-1</v>
      </c>
      <c r="AQ840">
        <v>8.7799999999999994</v>
      </c>
      <c r="AR840">
        <v>6.88</v>
      </c>
      <c r="AS840">
        <v>58.38</v>
      </c>
      <c r="AT840">
        <v>95.29</v>
      </c>
      <c r="AU840">
        <v>79.760000000000005</v>
      </c>
      <c r="AV840">
        <v>5</v>
      </c>
      <c r="AW840">
        <v>16.100000000000001</v>
      </c>
      <c r="AX840">
        <v>64.27</v>
      </c>
      <c r="AY840">
        <v>11.98</v>
      </c>
      <c r="AZ840">
        <v>277.72000000000003</v>
      </c>
      <c r="BA840">
        <v>0.56000000000000005</v>
      </c>
      <c r="BB840" t="s">
        <v>184</v>
      </c>
      <c r="BF840">
        <v>-5.16</v>
      </c>
      <c r="BG840">
        <v>-5.33</v>
      </c>
      <c r="BH840">
        <v>-6.63</v>
      </c>
      <c r="BI840">
        <v>0.81</v>
      </c>
      <c r="BJ840">
        <v>20210830</v>
      </c>
      <c r="BK840">
        <v>20100618</v>
      </c>
      <c r="BL840">
        <v>7.67</v>
      </c>
      <c r="BM840" t="s">
        <v>120</v>
      </c>
      <c r="BN840" t="s">
        <v>120</v>
      </c>
      <c r="BO840">
        <v>81.31</v>
      </c>
      <c r="BP840">
        <v>7.46</v>
      </c>
      <c r="BQ840">
        <v>57.41</v>
      </c>
      <c r="BR840">
        <v>0.87</v>
      </c>
      <c r="BS840">
        <v>28.33</v>
      </c>
      <c r="BT840">
        <v>44.51</v>
      </c>
      <c r="BU840">
        <v>22.06</v>
      </c>
      <c r="BV840">
        <v>2.5499999999999998</v>
      </c>
      <c r="BW840">
        <v>20.23</v>
      </c>
      <c r="BX840">
        <v>0.63</v>
      </c>
      <c r="BY840">
        <v>27.47</v>
      </c>
      <c r="BZ840">
        <v>4.46</v>
      </c>
      <c r="CA840" t="s">
        <v>120</v>
      </c>
      <c r="CB840">
        <v>29.19</v>
      </c>
      <c r="CC840">
        <v>12.39</v>
      </c>
      <c r="CD840">
        <v>9.2899999999999991</v>
      </c>
      <c r="CE840">
        <v>5.69</v>
      </c>
      <c r="CF840">
        <v>7.17</v>
      </c>
      <c r="CG840">
        <v>5.67</v>
      </c>
      <c r="CH840">
        <v>5.04</v>
      </c>
      <c r="CI840">
        <v>5.2</v>
      </c>
      <c r="CJ840">
        <v>-0.59</v>
      </c>
      <c r="CK840">
        <v>-1.35</v>
      </c>
      <c r="CL840">
        <v>19.53</v>
      </c>
      <c r="CM840">
        <v>4.2300000000000004</v>
      </c>
      <c r="CN840">
        <v>-0.38</v>
      </c>
      <c r="CO840">
        <v>52721</v>
      </c>
      <c r="CP840">
        <v>9348</v>
      </c>
      <c r="CQ840" t="s">
        <v>4926</v>
      </c>
      <c r="CR840">
        <v>1865.72</v>
      </c>
      <c r="CS840">
        <v>-24.34</v>
      </c>
      <c r="CT840">
        <v>1</v>
      </c>
      <c r="CU840">
        <v>13.51</v>
      </c>
      <c r="CV840">
        <v>4.62</v>
      </c>
      <c r="CW840">
        <v>0</v>
      </c>
      <c r="CX840" t="s">
        <v>527</v>
      </c>
      <c r="CY840">
        <v>7.49</v>
      </c>
      <c r="CZ840">
        <v>0</v>
      </c>
      <c r="DA840">
        <v>3.81</v>
      </c>
      <c r="DB840">
        <v>2.5499999999999998</v>
      </c>
      <c r="DC840">
        <v>0.55000000000000004</v>
      </c>
      <c r="DD840">
        <v>70.599999999999994</v>
      </c>
      <c r="DE840" t="s">
        <v>4961</v>
      </c>
      <c r="DF840">
        <v>25.05</v>
      </c>
      <c r="DG840">
        <v>45.93</v>
      </c>
      <c r="DH840">
        <v>41.92</v>
      </c>
      <c r="DI840">
        <v>0.08</v>
      </c>
      <c r="DJ840">
        <v>1972</v>
      </c>
      <c r="DK840">
        <v>2433</v>
      </c>
      <c r="DL840">
        <v>20210914</v>
      </c>
      <c r="DM840">
        <v>7.4</v>
      </c>
      <c r="DN840">
        <v>0.81</v>
      </c>
    </row>
    <row r="841" spans="1:118">
      <c r="A841" t="str">
        <f>"002434"</f>
        <v>002434</v>
      </c>
      <c r="B841" t="s">
        <v>4962</v>
      </c>
      <c r="C841">
        <v>0.53</v>
      </c>
      <c r="D841">
        <v>0.42</v>
      </c>
      <c r="E841">
        <v>0.53</v>
      </c>
      <c r="F841">
        <v>4834</v>
      </c>
      <c r="G841" t="s">
        <v>4963</v>
      </c>
      <c r="H841">
        <v>11422.19</v>
      </c>
      <c r="I841">
        <v>49.81</v>
      </c>
      <c r="J841" t="s">
        <v>120</v>
      </c>
      <c r="K841" t="s">
        <v>4964</v>
      </c>
      <c r="L841">
        <v>0.89</v>
      </c>
      <c r="M841">
        <v>9.56</v>
      </c>
      <c r="N841">
        <v>0.72</v>
      </c>
      <c r="O841">
        <v>2.31</v>
      </c>
      <c r="P841">
        <v>9.73</v>
      </c>
      <c r="Q841">
        <v>-0.74</v>
      </c>
      <c r="R841">
        <v>9.44</v>
      </c>
      <c r="S841">
        <v>9.56</v>
      </c>
      <c r="T841">
        <v>119194</v>
      </c>
      <c r="U841">
        <v>9.56</v>
      </c>
      <c r="V841">
        <v>9.51</v>
      </c>
      <c r="W841">
        <v>20.59</v>
      </c>
      <c r="X841" t="s">
        <v>289</v>
      </c>
      <c r="Y841" t="s">
        <v>585</v>
      </c>
      <c r="Z841">
        <v>3.05</v>
      </c>
      <c r="AA841">
        <v>9.58</v>
      </c>
      <c r="AB841">
        <v>61756</v>
      </c>
      <c r="AC841">
        <v>57438</v>
      </c>
      <c r="AD841">
        <v>1.08</v>
      </c>
      <c r="AE841">
        <v>19</v>
      </c>
      <c r="AF841">
        <v>1013</v>
      </c>
      <c r="AG841" t="s">
        <v>120</v>
      </c>
      <c r="AH841">
        <v>0.01</v>
      </c>
      <c r="AI841" t="s">
        <v>120</v>
      </c>
      <c r="AJ841">
        <v>13.39</v>
      </c>
      <c r="AK841" t="s">
        <v>4965</v>
      </c>
      <c r="AL841">
        <v>2.44</v>
      </c>
      <c r="AM841">
        <v>2375</v>
      </c>
      <c r="AN841">
        <v>50</v>
      </c>
      <c r="AO841">
        <v>4.0000000000000002E-4</v>
      </c>
      <c r="AP841">
        <v>1</v>
      </c>
      <c r="AQ841">
        <v>-2.36</v>
      </c>
      <c r="AR841">
        <v>-3.44</v>
      </c>
      <c r="AS841">
        <v>6.82</v>
      </c>
      <c r="AT841">
        <v>13.54</v>
      </c>
      <c r="AU841">
        <v>12.87</v>
      </c>
      <c r="AV841">
        <v>2</v>
      </c>
      <c r="AW841">
        <v>2.2000000000000002</v>
      </c>
      <c r="AX841">
        <v>40.35</v>
      </c>
      <c r="AY841">
        <v>19.600000000000001</v>
      </c>
      <c r="AZ841">
        <v>20.64</v>
      </c>
      <c r="BA841">
        <v>0.64</v>
      </c>
      <c r="BB841" t="s">
        <v>240</v>
      </c>
      <c r="BF841">
        <v>0.77</v>
      </c>
      <c r="BG841">
        <v>0</v>
      </c>
      <c r="BH841">
        <v>-1.75</v>
      </c>
      <c r="BI841">
        <v>1.27</v>
      </c>
      <c r="BJ841">
        <v>20210914</v>
      </c>
      <c r="BK841">
        <v>20100618</v>
      </c>
      <c r="BL841">
        <v>13.4</v>
      </c>
      <c r="BM841" t="s">
        <v>120</v>
      </c>
      <c r="BN841" t="s">
        <v>120</v>
      </c>
      <c r="BO841">
        <v>109.41</v>
      </c>
      <c r="BP841">
        <v>9.5299999999999994</v>
      </c>
      <c r="BQ841">
        <v>63.71</v>
      </c>
      <c r="BR841">
        <v>0.39</v>
      </c>
      <c r="BS841">
        <v>41.41</v>
      </c>
      <c r="BT841">
        <v>44.67</v>
      </c>
      <c r="BU841">
        <v>25.78</v>
      </c>
      <c r="BV841">
        <v>4.41</v>
      </c>
      <c r="BW841">
        <v>42.18</v>
      </c>
      <c r="BX841">
        <v>7.52</v>
      </c>
      <c r="BY841">
        <v>8.81</v>
      </c>
      <c r="BZ841">
        <v>13.98</v>
      </c>
      <c r="CA841" t="s">
        <v>120</v>
      </c>
      <c r="CB841">
        <v>30.36</v>
      </c>
      <c r="CC841">
        <v>27.72</v>
      </c>
      <c r="CD841">
        <v>21.87</v>
      </c>
      <c r="CE841">
        <v>3.53</v>
      </c>
      <c r="CF841">
        <v>-0.12</v>
      </c>
      <c r="CG841">
        <v>3.52</v>
      </c>
      <c r="CH841">
        <v>3.12</v>
      </c>
      <c r="CI841">
        <v>3.11</v>
      </c>
      <c r="CJ841">
        <v>0.05</v>
      </c>
      <c r="CK841">
        <v>2.54</v>
      </c>
      <c r="CL841">
        <v>19.100000000000001</v>
      </c>
      <c r="CM841">
        <v>2.4700000000000002</v>
      </c>
      <c r="CN841">
        <v>-2.68</v>
      </c>
      <c r="CO841">
        <v>25193</v>
      </c>
      <c r="CP841">
        <v>21464</v>
      </c>
      <c r="CQ841" t="s">
        <v>4966</v>
      </c>
      <c r="CR841">
        <v>11.84</v>
      </c>
      <c r="CS841">
        <v>8.6199999999999992</v>
      </c>
      <c r="CT841">
        <v>2.0099999999999998</v>
      </c>
      <c r="CU841">
        <v>51.95</v>
      </c>
      <c r="CV841">
        <v>4.62</v>
      </c>
      <c r="CW841">
        <v>4.6399999999999997</v>
      </c>
      <c r="CX841" t="s">
        <v>626</v>
      </c>
      <c r="CY841">
        <v>4.75</v>
      </c>
      <c r="CZ841">
        <v>0</v>
      </c>
      <c r="DA841">
        <v>2.27</v>
      </c>
      <c r="DB841">
        <v>1.43</v>
      </c>
      <c r="DC841">
        <v>0.18</v>
      </c>
      <c r="DD841">
        <v>58.23</v>
      </c>
      <c r="DE841" t="s">
        <v>1206</v>
      </c>
      <c r="DF841">
        <v>21.08</v>
      </c>
      <c r="DG841">
        <v>12.73</v>
      </c>
      <c r="DH841">
        <v>11.22</v>
      </c>
      <c r="DI841">
        <v>1.59</v>
      </c>
      <c r="DJ841">
        <v>3932</v>
      </c>
      <c r="DK841">
        <v>2434</v>
      </c>
      <c r="DL841" t="s">
        <v>120</v>
      </c>
      <c r="DM841" t="s">
        <v>120</v>
      </c>
      <c r="DN841" t="s">
        <v>120</v>
      </c>
    </row>
    <row r="842" spans="1:118">
      <c r="A842" t="str">
        <f>"002435"</f>
        <v>002435</v>
      </c>
      <c r="B842" t="s">
        <v>4967</v>
      </c>
      <c r="C842">
        <v>-0.6</v>
      </c>
      <c r="D842">
        <v>0.2</v>
      </c>
      <c r="E842">
        <v>0.6</v>
      </c>
      <c r="F842">
        <v>1320</v>
      </c>
      <c r="G842" t="s">
        <v>4968</v>
      </c>
      <c r="H842">
        <v>7221.18</v>
      </c>
      <c r="I842">
        <v>48.89</v>
      </c>
      <c r="J842" t="s">
        <v>120</v>
      </c>
      <c r="K842" t="s">
        <v>4969</v>
      </c>
      <c r="L842">
        <v>1.2</v>
      </c>
      <c r="M842">
        <v>4.9800000000000004</v>
      </c>
      <c r="N842">
        <v>1.23</v>
      </c>
      <c r="O842">
        <v>1.8</v>
      </c>
      <c r="P842">
        <v>5.0999999999999996</v>
      </c>
      <c r="Q842">
        <v>-1</v>
      </c>
      <c r="R842">
        <v>4.96</v>
      </c>
      <c r="S842">
        <v>5.04</v>
      </c>
      <c r="T842">
        <v>143648</v>
      </c>
      <c r="U842">
        <v>4.9800000000000004</v>
      </c>
      <c r="V842">
        <v>5.01</v>
      </c>
      <c r="W842">
        <v>20.23</v>
      </c>
      <c r="X842" t="s">
        <v>569</v>
      </c>
      <c r="Y842" t="s">
        <v>319</v>
      </c>
      <c r="Z842">
        <v>2.79</v>
      </c>
      <c r="AA842">
        <v>5.03</v>
      </c>
      <c r="AB842">
        <v>78902</v>
      </c>
      <c r="AC842">
        <v>64746</v>
      </c>
      <c r="AD842">
        <v>1.22</v>
      </c>
      <c r="AE842">
        <v>412</v>
      </c>
      <c r="AF842">
        <v>824</v>
      </c>
      <c r="AG842" t="s">
        <v>120</v>
      </c>
      <c r="AH842">
        <v>0.02</v>
      </c>
      <c r="AI842" t="s">
        <v>120</v>
      </c>
      <c r="AJ842">
        <v>12</v>
      </c>
      <c r="AK842" t="s">
        <v>4970</v>
      </c>
      <c r="AL842">
        <v>1.31</v>
      </c>
      <c r="AM842">
        <v>1969</v>
      </c>
      <c r="AN842">
        <v>73</v>
      </c>
      <c r="AO842">
        <v>5.9999999999999995E-4</v>
      </c>
      <c r="AP842">
        <v>-1</v>
      </c>
      <c r="AQ842">
        <v>0.8</v>
      </c>
      <c r="AR842">
        <v>-1.2</v>
      </c>
      <c r="AS842">
        <v>-4.05</v>
      </c>
      <c r="AT842">
        <v>-12.79</v>
      </c>
      <c r="AU842">
        <v>18.850000000000001</v>
      </c>
      <c r="AV842">
        <v>11</v>
      </c>
      <c r="AW842">
        <v>3.31</v>
      </c>
      <c r="AX842">
        <v>35.14</v>
      </c>
      <c r="AY842">
        <v>23.68</v>
      </c>
      <c r="AZ842">
        <v>22.84</v>
      </c>
      <c r="BA842">
        <v>1.0900000000000001</v>
      </c>
      <c r="BB842" t="s">
        <v>143</v>
      </c>
      <c r="BF842">
        <v>0.34</v>
      </c>
      <c r="BG842">
        <v>-1.19</v>
      </c>
      <c r="BH842">
        <v>-2.35</v>
      </c>
      <c r="BI842">
        <v>0.4</v>
      </c>
      <c r="BJ842">
        <v>20210831</v>
      </c>
      <c r="BK842">
        <v>20100618</v>
      </c>
      <c r="BL842">
        <v>12.36</v>
      </c>
      <c r="BM842" t="s">
        <v>120</v>
      </c>
      <c r="BN842" t="s">
        <v>120</v>
      </c>
      <c r="BO842">
        <v>77.849999999999994</v>
      </c>
      <c r="BP842">
        <v>4.97</v>
      </c>
      <c r="BQ842">
        <v>52.69</v>
      </c>
      <c r="BR842">
        <v>0.25</v>
      </c>
      <c r="BS842">
        <v>32.01</v>
      </c>
      <c r="BT842">
        <v>37.53</v>
      </c>
      <c r="BU842">
        <v>9.2100000000000009</v>
      </c>
      <c r="BV842">
        <v>3.03</v>
      </c>
      <c r="BW842">
        <v>18.420000000000002</v>
      </c>
      <c r="BX842">
        <v>16.3</v>
      </c>
      <c r="BY842">
        <v>8.6</v>
      </c>
      <c r="BZ842">
        <v>3.88</v>
      </c>
      <c r="CA842" t="s">
        <v>120</v>
      </c>
      <c r="CB842">
        <v>33.31</v>
      </c>
      <c r="CC842">
        <v>21.98</v>
      </c>
      <c r="CD842">
        <v>10.64</v>
      </c>
      <c r="CE842">
        <v>1.64</v>
      </c>
      <c r="CF842">
        <v>7.0000000000000007E-2</v>
      </c>
      <c r="CG842">
        <v>1.72</v>
      </c>
      <c r="CH842">
        <v>1.51</v>
      </c>
      <c r="CI842">
        <v>1.52</v>
      </c>
      <c r="CJ842">
        <v>-0.03</v>
      </c>
      <c r="CK842">
        <v>1.34</v>
      </c>
      <c r="CL842">
        <v>6.12</v>
      </c>
      <c r="CM842">
        <v>-1.23</v>
      </c>
      <c r="CN842">
        <v>2.2799999999999998</v>
      </c>
      <c r="CO842">
        <v>55012</v>
      </c>
      <c r="CP842">
        <v>7895</v>
      </c>
      <c r="CQ842" t="s">
        <v>4971</v>
      </c>
      <c r="CR842">
        <v>-5.98</v>
      </c>
      <c r="CS842">
        <v>9.34</v>
      </c>
      <c r="CT842">
        <v>1.17</v>
      </c>
      <c r="CU842">
        <v>-49.98</v>
      </c>
      <c r="CV842">
        <v>2.8</v>
      </c>
      <c r="CW842">
        <v>1</v>
      </c>
      <c r="CX842" t="s">
        <v>4972</v>
      </c>
      <c r="CY842">
        <v>4.26</v>
      </c>
      <c r="CZ842">
        <v>0</v>
      </c>
      <c r="DA842">
        <v>2.7</v>
      </c>
      <c r="DB842">
        <v>0.5</v>
      </c>
      <c r="DC842">
        <v>-0.1</v>
      </c>
      <c r="DD842">
        <v>67.67</v>
      </c>
      <c r="DE842" t="s">
        <v>671</v>
      </c>
      <c r="DF842">
        <v>51.58</v>
      </c>
      <c r="DG842">
        <v>7.48</v>
      </c>
      <c r="DH842">
        <v>6.92</v>
      </c>
      <c r="DI842">
        <v>0.3</v>
      </c>
      <c r="DJ842">
        <v>2163</v>
      </c>
      <c r="DK842">
        <v>2435</v>
      </c>
      <c r="DL842" t="s">
        <v>120</v>
      </c>
      <c r="DM842" t="s">
        <v>120</v>
      </c>
      <c r="DN842" t="s">
        <v>120</v>
      </c>
    </row>
    <row r="843" spans="1:118">
      <c r="A843" t="str">
        <f>"002436"</f>
        <v>002436</v>
      </c>
      <c r="B843" t="s">
        <v>4973</v>
      </c>
      <c r="C843">
        <v>-6.12</v>
      </c>
      <c r="D843">
        <v>0.08</v>
      </c>
      <c r="E843">
        <v>0.32</v>
      </c>
      <c r="F843">
        <v>2762</v>
      </c>
      <c r="G843" t="s">
        <v>4974</v>
      </c>
      <c r="H843">
        <v>71902.89</v>
      </c>
      <c r="I843">
        <v>294.93</v>
      </c>
      <c r="J843" t="s">
        <v>120</v>
      </c>
      <c r="K843" t="s">
        <v>4975</v>
      </c>
      <c r="L843">
        <v>4.6900000000000004</v>
      </c>
      <c r="M843">
        <v>11.81</v>
      </c>
      <c r="N843">
        <v>1.41</v>
      </c>
      <c r="O843">
        <v>0.32</v>
      </c>
      <c r="P843">
        <v>12.62</v>
      </c>
      <c r="Q843">
        <v>-6.28</v>
      </c>
      <c r="R843">
        <v>11.79</v>
      </c>
      <c r="S843">
        <v>12.62</v>
      </c>
      <c r="T843">
        <v>596590</v>
      </c>
      <c r="U843">
        <v>11.82</v>
      </c>
      <c r="V843">
        <v>12.58</v>
      </c>
      <c r="W843">
        <v>30.82</v>
      </c>
      <c r="X843" t="s">
        <v>229</v>
      </c>
      <c r="Y843" t="s">
        <v>123</v>
      </c>
      <c r="Z843">
        <v>6.6</v>
      </c>
      <c r="AA843">
        <v>12.05</v>
      </c>
      <c r="AB843">
        <v>323333</v>
      </c>
      <c r="AC843">
        <v>273257</v>
      </c>
      <c r="AD843">
        <v>1.18</v>
      </c>
      <c r="AE843">
        <v>707</v>
      </c>
      <c r="AF843">
        <v>463</v>
      </c>
      <c r="AG843" t="s">
        <v>120</v>
      </c>
      <c r="AH843">
        <v>0.02</v>
      </c>
      <c r="AI843" t="s">
        <v>120</v>
      </c>
      <c r="AJ843">
        <v>12.72</v>
      </c>
      <c r="AK843" t="s">
        <v>4976</v>
      </c>
      <c r="AL843">
        <v>-4.21</v>
      </c>
      <c r="AM843">
        <v>4347</v>
      </c>
      <c r="AN843">
        <v>137</v>
      </c>
      <c r="AO843">
        <v>1.1000000000000001E-3</v>
      </c>
      <c r="AP843">
        <v>-1</v>
      </c>
      <c r="AQ843">
        <v>0.8</v>
      </c>
      <c r="AR843">
        <v>-8.8000000000000007</v>
      </c>
      <c r="AS843">
        <v>-13.48</v>
      </c>
      <c r="AT843">
        <v>7.46</v>
      </c>
      <c r="AU843">
        <v>25.91</v>
      </c>
      <c r="AV843">
        <v>2</v>
      </c>
      <c r="AW843">
        <v>4.8499999999999996</v>
      </c>
      <c r="AX843">
        <v>82.7</v>
      </c>
      <c r="AY843">
        <v>43.5</v>
      </c>
      <c r="AZ843">
        <v>35.89</v>
      </c>
      <c r="BA843">
        <v>1.2</v>
      </c>
      <c r="BB843" t="s">
        <v>143</v>
      </c>
      <c r="BF843">
        <v>-4.1900000000000004</v>
      </c>
      <c r="BG843">
        <v>-6.42</v>
      </c>
      <c r="BH843">
        <v>-6.42</v>
      </c>
      <c r="BI843">
        <v>0.17</v>
      </c>
      <c r="BJ843">
        <v>20210906</v>
      </c>
      <c r="BK843">
        <v>20100618</v>
      </c>
      <c r="BL843">
        <v>14.88</v>
      </c>
      <c r="BM843" t="s">
        <v>120</v>
      </c>
      <c r="BN843" t="s">
        <v>120</v>
      </c>
      <c r="BO843">
        <v>68.94</v>
      </c>
      <c r="BP843">
        <v>11.81</v>
      </c>
      <c r="BQ843">
        <v>33.19</v>
      </c>
      <c r="BR843">
        <v>2.4500000000000002</v>
      </c>
      <c r="BS843">
        <v>48.31</v>
      </c>
      <c r="BT843">
        <v>34.46</v>
      </c>
      <c r="BU843">
        <v>17.829999999999998</v>
      </c>
      <c r="BV843">
        <v>1.1100000000000001</v>
      </c>
      <c r="BW843">
        <v>22.29</v>
      </c>
      <c r="BX843">
        <v>9.42</v>
      </c>
      <c r="BY843">
        <v>5.55</v>
      </c>
      <c r="BZ843">
        <v>14.98</v>
      </c>
      <c r="CA843">
        <v>0</v>
      </c>
      <c r="CB843">
        <v>0.39</v>
      </c>
      <c r="CC843">
        <v>23.71</v>
      </c>
      <c r="CD843">
        <v>15.93</v>
      </c>
      <c r="CE843">
        <v>3.26</v>
      </c>
      <c r="CF843">
        <v>-0.03</v>
      </c>
      <c r="CG843">
        <v>3.23</v>
      </c>
      <c r="CH843">
        <v>2.91</v>
      </c>
      <c r="CI843">
        <v>2.85</v>
      </c>
      <c r="CJ843">
        <v>-0.77</v>
      </c>
      <c r="CK843">
        <v>2.87</v>
      </c>
      <c r="CL843">
        <v>16.88</v>
      </c>
      <c r="CM843">
        <v>2.23</v>
      </c>
      <c r="CN843">
        <v>0.86</v>
      </c>
      <c r="CO843">
        <v>80000</v>
      </c>
      <c r="CP843">
        <v>15381</v>
      </c>
      <c r="CQ843" t="s">
        <v>4977</v>
      </c>
      <c r="CR843">
        <v>-24.24</v>
      </c>
      <c r="CS843">
        <v>15.83</v>
      </c>
      <c r="CT843">
        <v>5.35</v>
      </c>
      <c r="CU843">
        <v>78.69</v>
      </c>
      <c r="CV843">
        <v>7.41</v>
      </c>
      <c r="CW843">
        <v>0.63</v>
      </c>
      <c r="CX843" t="s">
        <v>442</v>
      </c>
      <c r="CY843">
        <v>2.21</v>
      </c>
      <c r="CZ843">
        <v>2.21</v>
      </c>
      <c r="DA843">
        <v>0.03</v>
      </c>
      <c r="DB843">
        <v>1.1299999999999999</v>
      </c>
      <c r="DC843">
        <v>0.15</v>
      </c>
      <c r="DD843">
        <v>48.14</v>
      </c>
      <c r="DE843" t="s">
        <v>1632</v>
      </c>
      <c r="DF843">
        <v>32.78</v>
      </c>
      <c r="DG843">
        <v>13.74</v>
      </c>
      <c r="DH843">
        <v>12.03</v>
      </c>
      <c r="DI843">
        <v>1.23</v>
      </c>
      <c r="DJ843">
        <v>5997</v>
      </c>
      <c r="DK843">
        <v>2436</v>
      </c>
      <c r="DL843" t="s">
        <v>120</v>
      </c>
      <c r="DM843" t="s">
        <v>120</v>
      </c>
      <c r="DN843" t="s">
        <v>120</v>
      </c>
    </row>
    <row r="844" spans="1:118">
      <c r="A844" t="str">
        <f>"002437"</f>
        <v>002437</v>
      </c>
      <c r="B844" t="s">
        <v>4978</v>
      </c>
      <c r="C844">
        <v>-1.0900000000000001</v>
      </c>
      <c r="D844">
        <v>-0.36</v>
      </c>
      <c r="E844">
        <v>0</v>
      </c>
      <c r="F844">
        <v>4608</v>
      </c>
      <c r="G844" t="s">
        <v>4979</v>
      </c>
      <c r="H844">
        <v>8387.0300000000007</v>
      </c>
      <c r="I844">
        <v>4.54</v>
      </c>
      <c r="J844" t="s">
        <v>120</v>
      </c>
      <c r="K844" t="s">
        <v>4980</v>
      </c>
      <c r="L844">
        <v>1.4</v>
      </c>
      <c r="M844">
        <v>2.72</v>
      </c>
      <c r="N844">
        <v>1.01</v>
      </c>
      <c r="O844">
        <v>1.45</v>
      </c>
      <c r="P844">
        <v>2.79</v>
      </c>
      <c r="Q844">
        <v>-1.45</v>
      </c>
      <c r="R844">
        <v>2.71</v>
      </c>
      <c r="S844">
        <v>2.75</v>
      </c>
      <c r="T844">
        <v>304601</v>
      </c>
      <c r="U844">
        <v>2.73</v>
      </c>
      <c r="V844">
        <v>2.75</v>
      </c>
      <c r="W844">
        <v>26.09</v>
      </c>
      <c r="X844" t="s">
        <v>569</v>
      </c>
      <c r="Y844" t="s">
        <v>1686</v>
      </c>
      <c r="Z844">
        <v>2.91</v>
      </c>
      <c r="AA844">
        <v>2.75</v>
      </c>
      <c r="AB844">
        <v>170111</v>
      </c>
      <c r="AC844">
        <v>134490</v>
      </c>
      <c r="AD844">
        <v>1.26</v>
      </c>
      <c r="AE844">
        <v>455</v>
      </c>
      <c r="AF844">
        <v>4055</v>
      </c>
      <c r="AG844" t="s">
        <v>120</v>
      </c>
      <c r="AH844">
        <v>0</v>
      </c>
      <c r="AI844" t="s">
        <v>120</v>
      </c>
      <c r="AJ844">
        <v>21.83</v>
      </c>
      <c r="AK844" t="s">
        <v>4981</v>
      </c>
      <c r="AL844">
        <v>0.82</v>
      </c>
      <c r="AM844">
        <v>2148</v>
      </c>
      <c r="AN844">
        <v>142</v>
      </c>
      <c r="AO844">
        <v>5.9999999999999995E-4</v>
      </c>
      <c r="AP844">
        <v>-1</v>
      </c>
      <c r="AQ844">
        <v>0.36</v>
      </c>
      <c r="AR844">
        <v>-1.45</v>
      </c>
      <c r="AS844">
        <v>-1.45</v>
      </c>
      <c r="AT844">
        <v>4.21</v>
      </c>
      <c r="AU844">
        <v>-15</v>
      </c>
      <c r="AV844">
        <v>2</v>
      </c>
      <c r="AW844">
        <v>2.2799999999999998</v>
      </c>
      <c r="AX844">
        <v>60.84</v>
      </c>
      <c r="AY844" t="s">
        <v>120</v>
      </c>
      <c r="AZ844">
        <v>15.11</v>
      </c>
      <c r="BA844">
        <v>0.36</v>
      </c>
      <c r="BB844" t="s">
        <v>143</v>
      </c>
      <c r="BF844">
        <v>0.13</v>
      </c>
      <c r="BG844">
        <v>-1.0900000000000001</v>
      </c>
      <c r="BH844">
        <v>-2.5099999999999998</v>
      </c>
      <c r="BI844">
        <v>0.37</v>
      </c>
      <c r="BJ844">
        <v>20210830</v>
      </c>
      <c r="BK844">
        <v>20100623</v>
      </c>
      <c r="BL844">
        <v>21.98</v>
      </c>
      <c r="BM844" t="s">
        <v>120</v>
      </c>
      <c r="BN844" t="s">
        <v>120</v>
      </c>
      <c r="BO844">
        <v>49.21</v>
      </c>
      <c r="BP844">
        <v>2.72</v>
      </c>
      <c r="BQ844">
        <v>19.600000000000001</v>
      </c>
      <c r="BR844">
        <v>0.91</v>
      </c>
      <c r="BS844">
        <v>58.31</v>
      </c>
      <c r="BT844">
        <v>22.65</v>
      </c>
      <c r="BU844">
        <v>12.98</v>
      </c>
      <c r="BV844">
        <v>3.29</v>
      </c>
      <c r="BW844">
        <v>28.19</v>
      </c>
      <c r="BX844">
        <v>13.2</v>
      </c>
      <c r="BY844">
        <v>4.3899999999999997</v>
      </c>
      <c r="BZ844">
        <v>3.09</v>
      </c>
      <c r="CA844">
        <v>0.04</v>
      </c>
      <c r="CB844">
        <v>4.45</v>
      </c>
      <c r="CC844">
        <v>15.37</v>
      </c>
      <c r="CD844">
        <v>3.73</v>
      </c>
      <c r="CE844">
        <v>1.51</v>
      </c>
      <c r="CF844">
        <v>-0.08</v>
      </c>
      <c r="CG844">
        <v>1.45</v>
      </c>
      <c r="CH844">
        <v>1.21</v>
      </c>
      <c r="CI844">
        <v>1.1499999999999999</v>
      </c>
      <c r="CJ844">
        <v>-0.03</v>
      </c>
      <c r="CK844">
        <v>0.34</v>
      </c>
      <c r="CL844">
        <v>-7.59</v>
      </c>
      <c r="CM844">
        <v>1.39</v>
      </c>
      <c r="CN844">
        <v>5.42</v>
      </c>
      <c r="CO844">
        <v>91700</v>
      </c>
      <c r="CP844">
        <v>14585</v>
      </c>
      <c r="CQ844" t="s">
        <v>1185</v>
      </c>
      <c r="CR844">
        <v>-82.87</v>
      </c>
      <c r="CS844">
        <v>9.42</v>
      </c>
      <c r="CT844">
        <v>3.05</v>
      </c>
      <c r="CU844">
        <v>42.9</v>
      </c>
      <c r="CV844">
        <v>3.89</v>
      </c>
      <c r="CW844">
        <v>0</v>
      </c>
      <c r="CX844" t="s">
        <v>2960</v>
      </c>
      <c r="CY844">
        <v>0.89</v>
      </c>
      <c r="CZ844">
        <v>0</v>
      </c>
      <c r="DA844">
        <v>0.2</v>
      </c>
      <c r="DB844">
        <v>-0.35</v>
      </c>
      <c r="DC844">
        <v>0.06</v>
      </c>
      <c r="DD844">
        <v>39.840000000000003</v>
      </c>
      <c r="DE844" t="s">
        <v>2219</v>
      </c>
      <c r="DF844">
        <v>75.709999999999994</v>
      </c>
      <c r="DG844">
        <v>9.82</v>
      </c>
      <c r="DH844">
        <v>7.45</v>
      </c>
      <c r="DI844">
        <v>0.42</v>
      </c>
      <c r="DJ844">
        <v>7164</v>
      </c>
      <c r="DK844">
        <v>2437</v>
      </c>
      <c r="DL844" t="s">
        <v>120</v>
      </c>
      <c r="DM844" t="s">
        <v>120</v>
      </c>
      <c r="DN844" t="s">
        <v>120</v>
      </c>
    </row>
    <row r="845" spans="1:118">
      <c r="A845" t="str">
        <f>"002438"</f>
        <v>002438</v>
      </c>
      <c r="B845" t="s">
        <v>4982</v>
      </c>
      <c r="C845">
        <v>-3.89</v>
      </c>
      <c r="D845">
        <v>0.13</v>
      </c>
      <c r="E845">
        <v>-1.22</v>
      </c>
      <c r="F845">
        <v>1246</v>
      </c>
      <c r="G845" t="s">
        <v>4983</v>
      </c>
      <c r="H845">
        <v>47723.98</v>
      </c>
      <c r="I845">
        <v>303.39</v>
      </c>
      <c r="J845" t="s">
        <v>120</v>
      </c>
      <c r="K845" t="s">
        <v>4984</v>
      </c>
      <c r="L845">
        <v>6.51</v>
      </c>
      <c r="M845">
        <v>15.81</v>
      </c>
      <c r="N845">
        <v>1.26</v>
      </c>
      <c r="O845">
        <v>2.98</v>
      </c>
      <c r="P845">
        <v>16.940000000000001</v>
      </c>
      <c r="Q845">
        <v>-4.74</v>
      </c>
      <c r="R845">
        <v>15.67</v>
      </c>
      <c r="S845">
        <v>16.25</v>
      </c>
      <c r="T845">
        <v>291262</v>
      </c>
      <c r="U845">
        <v>15.81</v>
      </c>
      <c r="V845">
        <v>16.45</v>
      </c>
      <c r="W845">
        <v>30.92</v>
      </c>
      <c r="X845" t="s">
        <v>959</v>
      </c>
      <c r="Y845" t="s">
        <v>319</v>
      </c>
      <c r="Z845">
        <v>7.72</v>
      </c>
      <c r="AA845">
        <v>16.39</v>
      </c>
      <c r="AB845">
        <v>146736</v>
      </c>
      <c r="AC845">
        <v>144526</v>
      </c>
      <c r="AD845">
        <v>1.02</v>
      </c>
      <c r="AE845">
        <v>146</v>
      </c>
      <c r="AF845">
        <v>454</v>
      </c>
      <c r="AG845" t="s">
        <v>120</v>
      </c>
      <c r="AH845">
        <v>0.06</v>
      </c>
      <c r="AI845" t="s">
        <v>120</v>
      </c>
      <c r="AJ845">
        <v>4.47</v>
      </c>
      <c r="AK845" t="s">
        <v>4985</v>
      </c>
      <c r="AL845">
        <v>-1.98</v>
      </c>
      <c r="AM845">
        <v>3615</v>
      </c>
      <c r="AN845">
        <v>81</v>
      </c>
      <c r="AO845">
        <v>1.8E-3</v>
      </c>
      <c r="AP845">
        <v>-1</v>
      </c>
      <c r="AQ845">
        <v>10.029999999999999</v>
      </c>
      <c r="AR845">
        <v>4.5599999999999996</v>
      </c>
      <c r="AS845">
        <v>21.99</v>
      </c>
      <c r="AT845">
        <v>47.48</v>
      </c>
      <c r="AU845">
        <v>18.96</v>
      </c>
      <c r="AV845">
        <v>1</v>
      </c>
      <c r="AW845">
        <v>9.92</v>
      </c>
      <c r="AX845">
        <v>60.42</v>
      </c>
      <c r="AY845">
        <v>32.46</v>
      </c>
      <c r="AZ845">
        <v>36.99</v>
      </c>
      <c r="BA845">
        <v>0.33</v>
      </c>
      <c r="BB845" t="s">
        <v>700</v>
      </c>
      <c r="BF845">
        <v>-0.39</v>
      </c>
      <c r="BG845">
        <v>-2.71</v>
      </c>
      <c r="BH845">
        <v>-6.67</v>
      </c>
      <c r="BI845">
        <v>0.89</v>
      </c>
      <c r="BJ845">
        <v>20210915</v>
      </c>
      <c r="BK845">
        <v>20100623</v>
      </c>
      <c r="BL845">
        <v>4.8600000000000003</v>
      </c>
      <c r="BM845" t="s">
        <v>120</v>
      </c>
      <c r="BN845" t="s">
        <v>120</v>
      </c>
      <c r="BO845">
        <v>38.44</v>
      </c>
      <c r="BP845">
        <v>15.8</v>
      </c>
      <c r="BQ845">
        <v>22.62</v>
      </c>
      <c r="BR845" t="s">
        <v>120</v>
      </c>
      <c r="BS845">
        <v>41.16</v>
      </c>
      <c r="BT845">
        <v>24.92</v>
      </c>
      <c r="BU845">
        <v>6.31</v>
      </c>
      <c r="BV845">
        <v>1.25</v>
      </c>
      <c r="BW845">
        <v>15.27</v>
      </c>
      <c r="BX845">
        <v>4.91</v>
      </c>
      <c r="BY845">
        <v>7.67</v>
      </c>
      <c r="BZ845">
        <v>6.43</v>
      </c>
      <c r="CA845" t="s">
        <v>120</v>
      </c>
      <c r="CB845">
        <v>8.14</v>
      </c>
      <c r="CC845">
        <v>9.19</v>
      </c>
      <c r="CD845">
        <v>6.56</v>
      </c>
      <c r="CE845">
        <v>1.46</v>
      </c>
      <c r="CF845">
        <v>0.09</v>
      </c>
      <c r="CG845">
        <v>1.45</v>
      </c>
      <c r="CH845">
        <v>1.24</v>
      </c>
      <c r="CI845">
        <v>1.24</v>
      </c>
      <c r="CJ845">
        <v>-0.64</v>
      </c>
      <c r="CK845">
        <v>1.1100000000000001</v>
      </c>
      <c r="CL845">
        <v>8.86</v>
      </c>
      <c r="CM845">
        <v>1.66</v>
      </c>
      <c r="CN845">
        <v>1.1499999999999999</v>
      </c>
      <c r="CO845">
        <v>17342</v>
      </c>
      <c r="CP845">
        <v>16925</v>
      </c>
      <c r="CQ845" t="s">
        <v>4986</v>
      </c>
      <c r="CR845">
        <v>32.020000000000003</v>
      </c>
      <c r="CS845">
        <v>37.82</v>
      </c>
      <c r="CT845">
        <v>3.4</v>
      </c>
      <c r="CU845">
        <v>46.28</v>
      </c>
      <c r="CV845">
        <v>8.36</v>
      </c>
      <c r="CW845">
        <v>0.3</v>
      </c>
      <c r="CX845" t="s">
        <v>4987</v>
      </c>
      <c r="CY845">
        <v>4.66</v>
      </c>
      <c r="CZ845">
        <v>0</v>
      </c>
      <c r="DA845">
        <v>1.68</v>
      </c>
      <c r="DB845">
        <v>1.82</v>
      </c>
      <c r="DC845">
        <v>0.34</v>
      </c>
      <c r="DD845">
        <v>58.84</v>
      </c>
      <c r="DE845" t="s">
        <v>4988</v>
      </c>
      <c r="DF845">
        <v>28.61</v>
      </c>
      <c r="DG845">
        <v>15.92</v>
      </c>
      <c r="DH845">
        <v>13.52</v>
      </c>
      <c r="DI845">
        <v>0.23</v>
      </c>
      <c r="DJ845">
        <v>1361</v>
      </c>
      <c r="DK845">
        <v>2438</v>
      </c>
      <c r="DL845" t="s">
        <v>120</v>
      </c>
      <c r="DM845" t="s">
        <v>120</v>
      </c>
      <c r="DN845" t="s">
        <v>120</v>
      </c>
    </row>
    <row r="846" spans="1:118">
      <c r="A846" t="str">
        <f>"002439"</f>
        <v>002439</v>
      </c>
      <c r="B846" t="s">
        <v>4989</v>
      </c>
      <c r="C846">
        <v>0.49</v>
      </c>
      <c r="D846">
        <v>-0.06</v>
      </c>
      <c r="E846">
        <v>0.28000000000000003</v>
      </c>
      <c r="F846">
        <v>982</v>
      </c>
      <c r="G846" t="s">
        <v>4990</v>
      </c>
      <c r="H846">
        <v>10374.42</v>
      </c>
      <c r="I846">
        <v>28.15</v>
      </c>
      <c r="J846" t="s">
        <v>120</v>
      </c>
      <c r="K846" t="s">
        <v>4991</v>
      </c>
      <c r="L846">
        <v>0.5</v>
      </c>
      <c r="M846">
        <v>28.49</v>
      </c>
      <c r="N846">
        <v>0.66</v>
      </c>
      <c r="O846">
        <v>1.48</v>
      </c>
      <c r="P846">
        <v>28.77</v>
      </c>
      <c r="Q846">
        <v>-0.11</v>
      </c>
      <c r="R846">
        <v>28.32</v>
      </c>
      <c r="S846">
        <v>28.43</v>
      </c>
      <c r="T846">
        <v>36367</v>
      </c>
      <c r="U846">
        <v>28.5</v>
      </c>
      <c r="V846">
        <v>28.35</v>
      </c>
      <c r="W846" t="s">
        <v>120</v>
      </c>
      <c r="X846" t="s">
        <v>141</v>
      </c>
      <c r="Y846" t="s">
        <v>158</v>
      </c>
      <c r="Z846">
        <v>1.59</v>
      </c>
      <c r="AA846">
        <v>28.53</v>
      </c>
      <c r="AB846">
        <v>19672</v>
      </c>
      <c r="AC846">
        <v>16695</v>
      </c>
      <c r="AD846">
        <v>1.18</v>
      </c>
      <c r="AE846">
        <v>112</v>
      </c>
      <c r="AF846">
        <v>25</v>
      </c>
      <c r="AG846" t="s">
        <v>120</v>
      </c>
      <c r="AH846">
        <v>0</v>
      </c>
      <c r="AI846" t="s">
        <v>120</v>
      </c>
      <c r="AJ846">
        <v>7.24</v>
      </c>
      <c r="AK846" t="s">
        <v>4992</v>
      </c>
      <c r="AL846">
        <v>2.41</v>
      </c>
      <c r="AM846">
        <v>2387</v>
      </c>
      <c r="AN846">
        <v>15</v>
      </c>
      <c r="AO846">
        <v>2.0000000000000001E-4</v>
      </c>
      <c r="AP846">
        <v>1</v>
      </c>
      <c r="AQ846">
        <v>-2.0699999999999998</v>
      </c>
      <c r="AR846">
        <v>-0.76</v>
      </c>
      <c r="AS846">
        <v>-3.43</v>
      </c>
      <c r="AT846">
        <v>-1</v>
      </c>
      <c r="AU846">
        <v>-2.29</v>
      </c>
      <c r="AV846">
        <v>3</v>
      </c>
      <c r="AW846">
        <v>0.55000000000000004</v>
      </c>
      <c r="AX846">
        <v>70.319999999999993</v>
      </c>
      <c r="AY846">
        <v>36.86</v>
      </c>
      <c r="AZ846">
        <v>32.92</v>
      </c>
      <c r="BA846">
        <v>0.63</v>
      </c>
      <c r="BB846" t="s">
        <v>125</v>
      </c>
      <c r="BF846">
        <v>0.62</v>
      </c>
      <c r="BG846">
        <v>0.21</v>
      </c>
      <c r="BH846">
        <v>-0.97</v>
      </c>
      <c r="BI846">
        <v>0.6</v>
      </c>
      <c r="BJ846">
        <v>20210812</v>
      </c>
      <c r="BK846">
        <v>20100623</v>
      </c>
      <c r="BL846">
        <v>9.34</v>
      </c>
      <c r="BM846" t="s">
        <v>120</v>
      </c>
      <c r="BN846" t="s">
        <v>120</v>
      </c>
      <c r="BO846">
        <v>77.8</v>
      </c>
      <c r="BP846">
        <v>28.49</v>
      </c>
      <c r="BQ846">
        <v>58.66</v>
      </c>
      <c r="BR846">
        <v>0.2</v>
      </c>
      <c r="BS846">
        <v>24.34</v>
      </c>
      <c r="BT846">
        <v>54.45</v>
      </c>
      <c r="BU846">
        <v>5.37</v>
      </c>
      <c r="BV846">
        <v>1.55</v>
      </c>
      <c r="BW846">
        <v>17.25</v>
      </c>
      <c r="BX846">
        <v>8.5</v>
      </c>
      <c r="BY846">
        <v>5.41</v>
      </c>
      <c r="BZ846">
        <v>23.74</v>
      </c>
      <c r="CA846">
        <v>0.09</v>
      </c>
      <c r="CB846">
        <v>19.8</v>
      </c>
      <c r="CC846">
        <v>12.12</v>
      </c>
      <c r="CD846">
        <v>4.75</v>
      </c>
      <c r="CE846">
        <v>-1.8</v>
      </c>
      <c r="CF846">
        <v>0.19</v>
      </c>
      <c r="CG846">
        <v>-1.8</v>
      </c>
      <c r="CH846">
        <v>-1.05</v>
      </c>
      <c r="CI846">
        <v>-1.07</v>
      </c>
      <c r="CJ846">
        <v>0.14000000000000001</v>
      </c>
      <c r="CK846">
        <v>-1.31</v>
      </c>
      <c r="CL846">
        <v>29.91</v>
      </c>
      <c r="CM846">
        <v>-4.45</v>
      </c>
      <c r="CN846">
        <v>-5.25</v>
      </c>
      <c r="CO846">
        <v>66425</v>
      </c>
      <c r="CP846">
        <v>9883</v>
      </c>
      <c r="CQ846" t="s">
        <v>4993</v>
      </c>
      <c r="CR846">
        <v>-401.92</v>
      </c>
      <c r="CS846">
        <v>60.61</v>
      </c>
      <c r="CT846">
        <v>4.53</v>
      </c>
      <c r="CU846">
        <v>-59.8</v>
      </c>
      <c r="CV846">
        <v>21.95</v>
      </c>
      <c r="CW846">
        <v>0.18</v>
      </c>
      <c r="CX846" t="s">
        <v>4994</v>
      </c>
      <c r="CY846">
        <v>6.28</v>
      </c>
      <c r="CZ846">
        <v>0</v>
      </c>
      <c r="DA846">
        <v>2.12</v>
      </c>
      <c r="DB846">
        <v>3.2</v>
      </c>
      <c r="DC846">
        <v>-0.48</v>
      </c>
      <c r="DD846">
        <v>75.41</v>
      </c>
      <c r="DE846" t="s">
        <v>4995</v>
      </c>
      <c r="DF846">
        <v>60.83</v>
      </c>
      <c r="DG846">
        <v>-14.84</v>
      </c>
      <c r="DH846">
        <v>-8.86</v>
      </c>
      <c r="DI846">
        <v>4.16</v>
      </c>
      <c r="DJ846">
        <v>5381</v>
      </c>
      <c r="DK846">
        <v>2439</v>
      </c>
      <c r="DL846" t="s">
        <v>120</v>
      </c>
      <c r="DM846" t="s">
        <v>120</v>
      </c>
      <c r="DN846" t="s">
        <v>120</v>
      </c>
    </row>
    <row r="847" spans="1:118">
      <c r="A847" t="str">
        <f>"002440"</f>
        <v>002440</v>
      </c>
      <c r="B847" t="s">
        <v>4996</v>
      </c>
      <c r="C847">
        <v>-0.86</v>
      </c>
      <c r="D847">
        <v>0.97</v>
      </c>
      <c r="E847">
        <v>-0.1</v>
      </c>
      <c r="F847">
        <v>6297</v>
      </c>
      <c r="G847" t="s">
        <v>4997</v>
      </c>
      <c r="H847">
        <v>32290.85</v>
      </c>
      <c r="I847">
        <v>235.99</v>
      </c>
      <c r="J847" t="s">
        <v>120</v>
      </c>
      <c r="K847" t="s">
        <v>4998</v>
      </c>
      <c r="L847">
        <v>3.23</v>
      </c>
      <c r="M847">
        <v>10.39</v>
      </c>
      <c r="N847">
        <v>1.26</v>
      </c>
      <c r="O847">
        <v>2</v>
      </c>
      <c r="P847">
        <v>10.69</v>
      </c>
      <c r="Q847">
        <v>-2.58</v>
      </c>
      <c r="R847">
        <v>10.210000000000001</v>
      </c>
      <c r="S847">
        <v>10.47</v>
      </c>
      <c r="T847">
        <v>309669</v>
      </c>
      <c r="U847">
        <v>10.39</v>
      </c>
      <c r="V847">
        <v>10.48</v>
      </c>
      <c r="W847">
        <v>14.92</v>
      </c>
      <c r="X847" t="s">
        <v>1145</v>
      </c>
      <c r="Y847" t="s">
        <v>585</v>
      </c>
      <c r="Z847">
        <v>4.58</v>
      </c>
      <c r="AA847">
        <v>10.43</v>
      </c>
      <c r="AB847">
        <v>168840</v>
      </c>
      <c r="AC847">
        <v>140829</v>
      </c>
      <c r="AD847">
        <v>1.2</v>
      </c>
      <c r="AE847">
        <v>4</v>
      </c>
      <c r="AF847">
        <v>1458</v>
      </c>
      <c r="AG847" t="s">
        <v>120</v>
      </c>
      <c r="AH847">
        <v>0.03</v>
      </c>
      <c r="AI847" t="s">
        <v>120</v>
      </c>
      <c r="AJ847">
        <v>9.59</v>
      </c>
      <c r="AK847" t="s">
        <v>4999</v>
      </c>
      <c r="AL847">
        <v>1.05</v>
      </c>
      <c r="AM847">
        <v>3578</v>
      </c>
      <c r="AN847">
        <v>87</v>
      </c>
      <c r="AO847">
        <v>8.9999999999999998E-4</v>
      </c>
      <c r="AP847">
        <v>-1</v>
      </c>
      <c r="AQ847">
        <v>4.17</v>
      </c>
      <c r="AR847">
        <v>0.87</v>
      </c>
      <c r="AS847">
        <v>10.18</v>
      </c>
      <c r="AT847">
        <v>13.43</v>
      </c>
      <c r="AU847">
        <v>15.83</v>
      </c>
      <c r="AV847">
        <v>0</v>
      </c>
      <c r="AW847">
        <v>4.71</v>
      </c>
      <c r="AX847">
        <v>57.09</v>
      </c>
      <c r="AY847">
        <v>14.82</v>
      </c>
      <c r="AZ847">
        <v>15.3</v>
      </c>
      <c r="BA847">
        <v>0</v>
      </c>
      <c r="BB847" t="s">
        <v>184</v>
      </c>
      <c r="BF847">
        <v>-0.5</v>
      </c>
      <c r="BG847">
        <v>-0.76</v>
      </c>
      <c r="BH847">
        <v>-2.81</v>
      </c>
      <c r="BI847">
        <v>1.76</v>
      </c>
      <c r="BJ847">
        <v>20210913</v>
      </c>
      <c r="BK847">
        <v>20100706</v>
      </c>
      <c r="BL847">
        <v>11.51</v>
      </c>
      <c r="BM847" t="s">
        <v>120</v>
      </c>
      <c r="BN847" t="s">
        <v>120</v>
      </c>
      <c r="BO847">
        <v>111.17</v>
      </c>
      <c r="BP847">
        <v>10.32</v>
      </c>
      <c r="BQ847">
        <v>90.21</v>
      </c>
      <c r="BR847">
        <v>1.77</v>
      </c>
      <c r="BS847">
        <v>17.27</v>
      </c>
      <c r="BT847">
        <v>56.28</v>
      </c>
      <c r="BU847">
        <v>33.64</v>
      </c>
      <c r="BV847">
        <v>3.26</v>
      </c>
      <c r="BW847">
        <v>13.57</v>
      </c>
      <c r="BX847">
        <v>16.420000000000002</v>
      </c>
      <c r="BY847">
        <v>10.55</v>
      </c>
      <c r="BZ847">
        <v>11.78</v>
      </c>
      <c r="CA847" t="s">
        <v>120</v>
      </c>
      <c r="CB847">
        <v>11.79</v>
      </c>
      <c r="CC847">
        <v>27.55</v>
      </c>
      <c r="CD847">
        <v>19.68</v>
      </c>
      <c r="CE847">
        <v>5.17</v>
      </c>
      <c r="CF847">
        <v>0.56000000000000005</v>
      </c>
      <c r="CG847">
        <v>5.0999999999999996</v>
      </c>
      <c r="CH847">
        <v>3.9</v>
      </c>
      <c r="CI847">
        <v>4.01</v>
      </c>
      <c r="CJ847">
        <v>-0.09</v>
      </c>
      <c r="CK847">
        <v>3.07</v>
      </c>
      <c r="CL847">
        <v>62.18</v>
      </c>
      <c r="CM847">
        <v>5.7</v>
      </c>
      <c r="CN847">
        <v>-4.07</v>
      </c>
      <c r="CO847">
        <v>40083</v>
      </c>
      <c r="CP847">
        <v>16386</v>
      </c>
      <c r="CQ847" t="s">
        <v>5000</v>
      </c>
      <c r="CR847">
        <v>6.75</v>
      </c>
      <c r="CS847">
        <v>21.64</v>
      </c>
      <c r="CT847">
        <v>1.33</v>
      </c>
      <c r="CU847">
        <v>20.99</v>
      </c>
      <c r="CV847">
        <v>4.34</v>
      </c>
      <c r="CW847">
        <v>3.27</v>
      </c>
      <c r="CX847" t="s">
        <v>269</v>
      </c>
      <c r="CY847">
        <v>7.84</v>
      </c>
      <c r="CZ847">
        <v>0</v>
      </c>
      <c r="DA847">
        <v>1.03</v>
      </c>
      <c r="DB847">
        <v>5.4</v>
      </c>
      <c r="DC847">
        <v>0.5</v>
      </c>
      <c r="DD847">
        <v>81.14</v>
      </c>
      <c r="DE847" t="s">
        <v>4256</v>
      </c>
      <c r="DF847">
        <v>28.56</v>
      </c>
      <c r="DG847">
        <v>18.78</v>
      </c>
      <c r="DH847">
        <v>14.54</v>
      </c>
      <c r="DI847">
        <v>1.1100000000000001</v>
      </c>
      <c r="DJ847">
        <v>5124</v>
      </c>
      <c r="DK847">
        <v>2440</v>
      </c>
      <c r="DL847" t="s">
        <v>120</v>
      </c>
      <c r="DM847" t="s">
        <v>120</v>
      </c>
      <c r="DN847" t="s">
        <v>120</v>
      </c>
    </row>
    <row r="848" spans="1:118">
      <c r="A848" t="str">
        <f>"002441"</f>
        <v>002441</v>
      </c>
      <c r="B848" t="s">
        <v>5001</v>
      </c>
      <c r="C848">
        <v>-3.18</v>
      </c>
      <c r="D848">
        <v>0.11</v>
      </c>
      <c r="E848">
        <v>-1.1299999999999999</v>
      </c>
      <c r="F848">
        <v>1753</v>
      </c>
      <c r="G848" t="s">
        <v>5002</v>
      </c>
      <c r="H848">
        <v>14283.28</v>
      </c>
      <c r="I848">
        <v>82.05</v>
      </c>
      <c r="J848" t="s">
        <v>120</v>
      </c>
      <c r="K848" t="s">
        <v>5003</v>
      </c>
      <c r="L848">
        <v>3.77</v>
      </c>
      <c r="M848">
        <v>9.43</v>
      </c>
      <c r="N848">
        <v>0.81</v>
      </c>
      <c r="O848">
        <v>-0.72</v>
      </c>
      <c r="P848">
        <v>9.67</v>
      </c>
      <c r="Q848">
        <v>-3.59</v>
      </c>
      <c r="R848">
        <v>9.39</v>
      </c>
      <c r="S848">
        <v>9.6300000000000008</v>
      </c>
      <c r="T848">
        <v>150258</v>
      </c>
      <c r="U848">
        <v>9.44</v>
      </c>
      <c r="V848">
        <v>9.74</v>
      </c>
      <c r="W848">
        <v>12.18</v>
      </c>
      <c r="X848" t="s">
        <v>454</v>
      </c>
      <c r="Y848" t="s">
        <v>547</v>
      </c>
      <c r="Z848">
        <v>2.87</v>
      </c>
      <c r="AA848">
        <v>9.51</v>
      </c>
      <c r="AB848">
        <v>90236</v>
      </c>
      <c r="AC848">
        <v>60022</v>
      </c>
      <c r="AD848">
        <v>1.5</v>
      </c>
      <c r="AE848">
        <v>394</v>
      </c>
      <c r="AF848">
        <v>211</v>
      </c>
      <c r="AG848" t="s">
        <v>120</v>
      </c>
      <c r="AH848">
        <v>0.03</v>
      </c>
      <c r="AI848" t="s">
        <v>120</v>
      </c>
      <c r="AJ848">
        <v>3.99</v>
      </c>
      <c r="AK848" t="s">
        <v>5004</v>
      </c>
      <c r="AL848">
        <v>-1.27</v>
      </c>
      <c r="AM848">
        <v>2849</v>
      </c>
      <c r="AN848">
        <v>53</v>
      </c>
      <c r="AO848">
        <v>1.2999999999999999E-3</v>
      </c>
      <c r="AP848">
        <v>-1</v>
      </c>
      <c r="AQ848">
        <v>5.07</v>
      </c>
      <c r="AR848">
        <v>2.16</v>
      </c>
      <c r="AS848">
        <v>14.44</v>
      </c>
      <c r="AT848">
        <v>21.99</v>
      </c>
      <c r="AU848">
        <v>19.82</v>
      </c>
      <c r="AV848">
        <v>0</v>
      </c>
      <c r="AW848">
        <v>6.17</v>
      </c>
      <c r="AX848">
        <v>44.72</v>
      </c>
      <c r="AY848">
        <v>17.690000000000001</v>
      </c>
      <c r="AZ848">
        <v>20.32</v>
      </c>
      <c r="BA848">
        <v>0.06</v>
      </c>
      <c r="BB848" t="s">
        <v>184</v>
      </c>
      <c r="BF848">
        <v>-2.4</v>
      </c>
      <c r="BG848">
        <v>-2.08</v>
      </c>
      <c r="BH848">
        <v>-2.48</v>
      </c>
      <c r="BI848">
        <v>0.43</v>
      </c>
      <c r="BJ848">
        <v>20210831</v>
      </c>
      <c r="BK848">
        <v>20100706</v>
      </c>
      <c r="BL848">
        <v>5.45</v>
      </c>
      <c r="BM848" t="s">
        <v>120</v>
      </c>
      <c r="BN848" t="s">
        <v>120</v>
      </c>
      <c r="BO848">
        <v>69.33</v>
      </c>
      <c r="BP848">
        <v>9.43</v>
      </c>
      <c r="BQ848">
        <v>42.46</v>
      </c>
      <c r="BR848">
        <v>0.71</v>
      </c>
      <c r="BS848">
        <v>37.75</v>
      </c>
      <c r="BT848">
        <v>56.3</v>
      </c>
      <c r="BU848">
        <v>7.24</v>
      </c>
      <c r="BV848">
        <v>1.67</v>
      </c>
      <c r="BW848">
        <v>25.52</v>
      </c>
      <c r="BX848">
        <v>6.92</v>
      </c>
      <c r="BY848">
        <v>15.79</v>
      </c>
      <c r="BZ848">
        <v>20.64</v>
      </c>
      <c r="CA848" t="s">
        <v>120</v>
      </c>
      <c r="CB848">
        <v>18.78</v>
      </c>
      <c r="CC848">
        <v>59.34</v>
      </c>
      <c r="CD848">
        <v>53.2</v>
      </c>
      <c r="CE848">
        <v>2.77</v>
      </c>
      <c r="CF848">
        <v>-0.01</v>
      </c>
      <c r="CG848">
        <v>2.76</v>
      </c>
      <c r="CH848">
        <v>2.17</v>
      </c>
      <c r="CI848">
        <v>2.11</v>
      </c>
      <c r="CJ848">
        <v>-0.31</v>
      </c>
      <c r="CK848">
        <v>2.1</v>
      </c>
      <c r="CL848">
        <v>16.149999999999999</v>
      </c>
      <c r="CM848">
        <v>-5.54</v>
      </c>
      <c r="CN848">
        <v>-6.47</v>
      </c>
      <c r="CO848">
        <v>31211</v>
      </c>
      <c r="CP848">
        <v>7802</v>
      </c>
      <c r="CQ848" t="s">
        <v>3812</v>
      </c>
      <c r="CR848">
        <v>22.58</v>
      </c>
      <c r="CS848">
        <v>33.909999999999997</v>
      </c>
      <c r="CT848">
        <v>1.21</v>
      </c>
      <c r="CU848">
        <v>-9.27</v>
      </c>
      <c r="CV848">
        <v>0.87</v>
      </c>
      <c r="CW848">
        <v>2.57</v>
      </c>
      <c r="CX848" t="s">
        <v>1980</v>
      </c>
      <c r="CY848">
        <v>7.8</v>
      </c>
      <c r="CZ848">
        <v>0</v>
      </c>
      <c r="DA848">
        <v>3.45</v>
      </c>
      <c r="DB848">
        <v>2.97</v>
      </c>
      <c r="DC848">
        <v>-1.02</v>
      </c>
      <c r="DD848">
        <v>61.24</v>
      </c>
      <c r="DE848" t="s">
        <v>5005</v>
      </c>
      <c r="DF848">
        <v>10.34</v>
      </c>
      <c r="DG848">
        <v>4.66</v>
      </c>
      <c r="DH848">
        <v>3.55</v>
      </c>
      <c r="DI848">
        <v>0.11</v>
      </c>
      <c r="DJ848">
        <v>3345</v>
      </c>
      <c r="DK848">
        <v>2441</v>
      </c>
      <c r="DL848" t="s">
        <v>120</v>
      </c>
      <c r="DM848" t="s">
        <v>120</v>
      </c>
      <c r="DN848" t="s">
        <v>120</v>
      </c>
    </row>
    <row r="849" spans="1:118">
      <c r="A849" t="str">
        <f>"002442"</f>
        <v>002442</v>
      </c>
      <c r="B849" t="s">
        <v>5006</v>
      </c>
      <c r="C849">
        <v>0.1</v>
      </c>
      <c r="D849">
        <v>0</v>
      </c>
      <c r="E849">
        <v>3.81</v>
      </c>
      <c r="F849">
        <v>6559</v>
      </c>
      <c r="G849" t="s">
        <v>5007</v>
      </c>
      <c r="H849">
        <v>101083.34</v>
      </c>
      <c r="I849">
        <v>3264.34</v>
      </c>
      <c r="J849" t="s">
        <v>120</v>
      </c>
      <c r="K849" t="s">
        <v>5008</v>
      </c>
      <c r="L849">
        <v>21.22</v>
      </c>
      <c r="M849">
        <v>9.7200000000000006</v>
      </c>
      <c r="N849">
        <v>2.17</v>
      </c>
      <c r="O849">
        <v>6.28</v>
      </c>
      <c r="P849">
        <v>10.32</v>
      </c>
      <c r="Q849">
        <v>-2.06</v>
      </c>
      <c r="R849">
        <v>9.51</v>
      </c>
      <c r="S849">
        <v>10.08</v>
      </c>
      <c r="T849">
        <v>1016080</v>
      </c>
      <c r="U849">
        <v>9.7200000000000006</v>
      </c>
      <c r="V849">
        <v>9.7100000000000009</v>
      </c>
      <c r="W849">
        <v>19.3</v>
      </c>
      <c r="X849" t="s">
        <v>868</v>
      </c>
      <c r="Y849" t="s">
        <v>602</v>
      </c>
      <c r="Z849">
        <v>8.34</v>
      </c>
      <c r="AA849">
        <v>9.9499999999999993</v>
      </c>
      <c r="AB849">
        <v>493008</v>
      </c>
      <c r="AC849">
        <v>523072</v>
      </c>
      <c r="AD849">
        <v>0.94</v>
      </c>
      <c r="AE849">
        <v>461</v>
      </c>
      <c r="AF849">
        <v>2161</v>
      </c>
      <c r="AG849" t="s">
        <v>120</v>
      </c>
      <c r="AH849">
        <v>1.22</v>
      </c>
      <c r="AI849" t="s">
        <v>120</v>
      </c>
      <c r="AJ849">
        <v>4.79</v>
      </c>
      <c r="AK849" t="s">
        <v>5009</v>
      </c>
      <c r="AL849">
        <v>2.02</v>
      </c>
      <c r="AM849">
        <v>4523</v>
      </c>
      <c r="AN849">
        <v>225</v>
      </c>
      <c r="AO849">
        <v>4.7000000000000002E-3</v>
      </c>
      <c r="AP849">
        <v>2</v>
      </c>
      <c r="AQ849">
        <v>9.9700000000000006</v>
      </c>
      <c r="AR849">
        <v>4.8499999999999996</v>
      </c>
      <c r="AS849">
        <v>28.91</v>
      </c>
      <c r="AT849">
        <v>58.82</v>
      </c>
      <c r="AU849">
        <v>119.91</v>
      </c>
      <c r="AV849">
        <v>9</v>
      </c>
      <c r="AW849">
        <v>38.159999999999997</v>
      </c>
      <c r="AX849">
        <v>54.37</v>
      </c>
      <c r="AY849">
        <v>24</v>
      </c>
      <c r="AZ849">
        <v>61.39</v>
      </c>
      <c r="BA849">
        <v>0.74</v>
      </c>
      <c r="BB849" t="s">
        <v>168</v>
      </c>
      <c r="BF849">
        <v>2.4500000000000002</v>
      </c>
      <c r="BG849">
        <v>-3.57</v>
      </c>
      <c r="BH849">
        <v>-5.81</v>
      </c>
      <c r="BI849">
        <v>2.21</v>
      </c>
      <c r="BJ849">
        <v>20210827</v>
      </c>
      <c r="BK849">
        <v>20100706</v>
      </c>
      <c r="BL849">
        <v>4.9000000000000004</v>
      </c>
      <c r="BM849" t="s">
        <v>120</v>
      </c>
      <c r="BN849" t="s">
        <v>120</v>
      </c>
      <c r="BO849">
        <v>27.11</v>
      </c>
      <c r="BP849">
        <v>9.7100000000000009</v>
      </c>
      <c r="BQ849">
        <v>14.45</v>
      </c>
      <c r="BR849" t="s">
        <v>120</v>
      </c>
      <c r="BS849">
        <v>46.68</v>
      </c>
      <c r="BT849">
        <v>16.600000000000001</v>
      </c>
      <c r="BU849">
        <v>9</v>
      </c>
      <c r="BV849">
        <v>0.97</v>
      </c>
      <c r="BW849">
        <v>12.56</v>
      </c>
      <c r="BX849">
        <v>2.59</v>
      </c>
      <c r="BY849">
        <v>3.38</v>
      </c>
      <c r="BZ849">
        <v>7.48</v>
      </c>
      <c r="CA849" t="s">
        <v>120</v>
      </c>
      <c r="CB849">
        <v>4.3099999999999996</v>
      </c>
      <c r="CC849">
        <v>16.78</v>
      </c>
      <c r="CD849">
        <v>13.68</v>
      </c>
      <c r="CE849">
        <v>1.48</v>
      </c>
      <c r="CF849">
        <v>0</v>
      </c>
      <c r="CG849">
        <v>1.44</v>
      </c>
      <c r="CH849">
        <v>1.23</v>
      </c>
      <c r="CI849">
        <v>1.23</v>
      </c>
      <c r="CJ849">
        <v>0.01</v>
      </c>
      <c r="CK849">
        <v>1.25</v>
      </c>
      <c r="CL849">
        <v>4.88</v>
      </c>
      <c r="CM849">
        <v>0.27</v>
      </c>
      <c r="CN849">
        <v>-0.75</v>
      </c>
      <c r="CO849">
        <v>31861</v>
      </c>
      <c r="CP849">
        <v>8356</v>
      </c>
      <c r="CQ849" t="s">
        <v>5010</v>
      </c>
      <c r="CR849">
        <v>4586.54</v>
      </c>
      <c r="CS849">
        <v>73.28</v>
      </c>
      <c r="CT849">
        <v>3.29</v>
      </c>
      <c r="CU849">
        <v>178.75</v>
      </c>
      <c r="CV849">
        <v>2.84</v>
      </c>
      <c r="CW849">
        <v>0</v>
      </c>
      <c r="CX849" t="s">
        <v>670</v>
      </c>
      <c r="CY849">
        <v>2.95</v>
      </c>
      <c r="CZ849">
        <v>0</v>
      </c>
      <c r="DA849">
        <v>0.88</v>
      </c>
      <c r="DB849">
        <v>1</v>
      </c>
      <c r="DC849">
        <v>0.05</v>
      </c>
      <c r="DD849">
        <v>53.32</v>
      </c>
      <c r="DE849" t="s">
        <v>5011</v>
      </c>
      <c r="DF849">
        <v>18.5</v>
      </c>
      <c r="DG849">
        <v>8.81</v>
      </c>
      <c r="DH849">
        <v>7.35</v>
      </c>
      <c r="DI849">
        <v>0.1</v>
      </c>
      <c r="DJ849">
        <v>1312</v>
      </c>
      <c r="DK849">
        <v>2442</v>
      </c>
      <c r="DL849" t="s">
        <v>120</v>
      </c>
      <c r="DM849" t="s">
        <v>120</v>
      </c>
      <c r="DN849" t="s">
        <v>120</v>
      </c>
    </row>
    <row r="850" spans="1:118">
      <c r="A850" t="str">
        <f>"002443"</f>
        <v>002443</v>
      </c>
      <c r="B850" t="s">
        <v>5012</v>
      </c>
      <c r="C850">
        <v>-1.87</v>
      </c>
      <c r="D850">
        <v>-0.31</v>
      </c>
      <c r="E850">
        <v>0.47</v>
      </c>
      <c r="F850">
        <v>2583</v>
      </c>
      <c r="G850" t="s">
        <v>4383</v>
      </c>
      <c r="H850">
        <v>6360.8</v>
      </c>
      <c r="I850">
        <v>10.11</v>
      </c>
      <c r="J850" t="s">
        <v>120</v>
      </c>
      <c r="K850" t="s">
        <v>5013</v>
      </c>
      <c r="L850">
        <v>1.91</v>
      </c>
      <c r="M850">
        <v>6.29</v>
      </c>
      <c r="N850">
        <v>0.76</v>
      </c>
      <c r="O850">
        <v>2.0299999999999998</v>
      </c>
      <c r="P850">
        <v>6.54</v>
      </c>
      <c r="Q850">
        <v>-1.87</v>
      </c>
      <c r="R850">
        <v>6.29</v>
      </c>
      <c r="S850">
        <v>6.44</v>
      </c>
      <c r="T850">
        <v>99209</v>
      </c>
      <c r="U850">
        <v>6.3</v>
      </c>
      <c r="V850">
        <v>6.41</v>
      </c>
      <c r="W850">
        <v>8.39</v>
      </c>
      <c r="X850" t="s">
        <v>1925</v>
      </c>
      <c r="Y850" t="s">
        <v>585</v>
      </c>
      <c r="Z850">
        <v>3.9</v>
      </c>
      <c r="AA850">
        <v>6.41</v>
      </c>
      <c r="AB850">
        <v>53742</v>
      </c>
      <c r="AC850">
        <v>45467</v>
      </c>
      <c r="AD850">
        <v>1.18</v>
      </c>
      <c r="AE850">
        <v>861</v>
      </c>
      <c r="AF850">
        <v>270</v>
      </c>
      <c r="AG850" t="s">
        <v>120</v>
      </c>
      <c r="AH850">
        <v>0</v>
      </c>
      <c r="AI850" t="s">
        <v>120</v>
      </c>
      <c r="AJ850">
        <v>5.19</v>
      </c>
      <c r="AK850" t="s">
        <v>5014</v>
      </c>
      <c r="AL850">
        <v>0.04</v>
      </c>
      <c r="AM850">
        <v>1989</v>
      </c>
      <c r="AN850">
        <v>50</v>
      </c>
      <c r="AO850">
        <v>1E-3</v>
      </c>
      <c r="AP850">
        <v>-1</v>
      </c>
      <c r="AQ850">
        <v>0.31</v>
      </c>
      <c r="AR850">
        <v>-3.08</v>
      </c>
      <c r="AS850">
        <v>11.13</v>
      </c>
      <c r="AT850">
        <v>5.36</v>
      </c>
      <c r="AU850">
        <v>5.01</v>
      </c>
      <c r="AV850">
        <v>0</v>
      </c>
      <c r="AW850">
        <v>2.4300000000000002</v>
      </c>
      <c r="AX850">
        <v>78.489999999999995</v>
      </c>
      <c r="AY850">
        <v>7.91</v>
      </c>
      <c r="AZ850">
        <v>5.71</v>
      </c>
      <c r="BA850">
        <v>0.31</v>
      </c>
      <c r="BB850" t="s">
        <v>143</v>
      </c>
      <c r="BF850">
        <v>0.02</v>
      </c>
      <c r="BG850">
        <v>-2.33</v>
      </c>
      <c r="BH850">
        <v>-3.82</v>
      </c>
      <c r="BI850">
        <v>0</v>
      </c>
      <c r="BJ850">
        <v>20210821</v>
      </c>
      <c r="BK850">
        <v>20100706</v>
      </c>
      <c r="BL850">
        <v>5.21</v>
      </c>
      <c r="BM850" t="s">
        <v>120</v>
      </c>
      <c r="BN850" t="s">
        <v>120</v>
      </c>
      <c r="BO850">
        <v>45.34</v>
      </c>
      <c r="BP850">
        <v>6.29</v>
      </c>
      <c r="BQ850">
        <v>28.8</v>
      </c>
      <c r="BR850">
        <v>1.78</v>
      </c>
      <c r="BS850">
        <v>32.56</v>
      </c>
      <c r="BT850">
        <v>34.119999999999997</v>
      </c>
      <c r="BU850">
        <v>9.0399999999999991</v>
      </c>
      <c r="BV850">
        <v>1.49</v>
      </c>
      <c r="BW850">
        <v>13.09</v>
      </c>
      <c r="BX850">
        <v>3.91</v>
      </c>
      <c r="BY850">
        <v>12.68</v>
      </c>
      <c r="BZ850">
        <v>7.68</v>
      </c>
      <c r="CA850" t="s">
        <v>120</v>
      </c>
      <c r="CB850">
        <v>7.74</v>
      </c>
      <c r="CC850">
        <v>31.53</v>
      </c>
      <c r="CD850">
        <v>27.4</v>
      </c>
      <c r="CE850">
        <v>2.4300000000000002</v>
      </c>
      <c r="CF850">
        <v>0</v>
      </c>
      <c r="CG850">
        <v>2.4300000000000002</v>
      </c>
      <c r="CH850">
        <v>2.0699999999999998</v>
      </c>
      <c r="CI850">
        <v>1.95</v>
      </c>
      <c r="CJ850">
        <v>-0.12</v>
      </c>
      <c r="CK850">
        <v>1.88</v>
      </c>
      <c r="CL850">
        <v>14.31</v>
      </c>
      <c r="CM850">
        <v>-4.33</v>
      </c>
      <c r="CN850">
        <v>0.05</v>
      </c>
      <c r="CO850">
        <v>44001</v>
      </c>
      <c r="CP850">
        <v>9285</v>
      </c>
      <c r="CQ850" t="s">
        <v>151</v>
      </c>
      <c r="CR850">
        <v>-45.43</v>
      </c>
      <c r="CS850">
        <v>50.15</v>
      </c>
      <c r="CT850">
        <v>1.1399999999999999</v>
      </c>
      <c r="CU850">
        <v>-7.56</v>
      </c>
      <c r="CV850">
        <v>1.04</v>
      </c>
      <c r="CW850">
        <v>5.46</v>
      </c>
      <c r="CX850" t="s">
        <v>709</v>
      </c>
      <c r="CY850">
        <v>5.53</v>
      </c>
      <c r="CZ850">
        <v>0</v>
      </c>
      <c r="DA850">
        <v>1.49</v>
      </c>
      <c r="DB850">
        <v>2.75</v>
      </c>
      <c r="DC850">
        <v>-0.83</v>
      </c>
      <c r="DD850">
        <v>63.51</v>
      </c>
      <c r="DE850" t="s">
        <v>5015</v>
      </c>
      <c r="DF850">
        <v>13.1</v>
      </c>
      <c r="DG850">
        <v>7.71</v>
      </c>
      <c r="DH850">
        <v>6.18</v>
      </c>
      <c r="DI850">
        <v>0.94</v>
      </c>
      <c r="DJ850">
        <v>1971</v>
      </c>
      <c r="DK850">
        <v>2443</v>
      </c>
      <c r="DL850" t="s">
        <v>120</v>
      </c>
      <c r="DM850" t="s">
        <v>120</v>
      </c>
      <c r="DN850" t="s">
        <v>120</v>
      </c>
    </row>
    <row r="851" spans="1:118">
      <c r="A851" t="str">
        <f>"002444"</f>
        <v>002444</v>
      </c>
      <c r="B851" t="s">
        <v>5016</v>
      </c>
      <c r="C851">
        <v>-7.93</v>
      </c>
      <c r="D851">
        <v>-0.06</v>
      </c>
      <c r="E851">
        <v>-0.61</v>
      </c>
      <c r="F851">
        <v>749</v>
      </c>
      <c r="G851" t="s">
        <v>5017</v>
      </c>
      <c r="H851">
        <v>28660.080000000002</v>
      </c>
      <c r="I851">
        <v>9.9499999999999993</v>
      </c>
      <c r="J851" t="s">
        <v>120</v>
      </c>
      <c r="K851" t="s">
        <v>5018</v>
      </c>
      <c r="L851">
        <v>0.9</v>
      </c>
      <c r="M851">
        <v>28.81</v>
      </c>
      <c r="N851">
        <v>2.09</v>
      </c>
      <c r="O851">
        <v>-0.42</v>
      </c>
      <c r="P851">
        <v>31.16</v>
      </c>
      <c r="Q851">
        <v>-8.34</v>
      </c>
      <c r="R851">
        <v>28.68</v>
      </c>
      <c r="S851">
        <v>31.1</v>
      </c>
      <c r="T851">
        <v>96956</v>
      </c>
      <c r="U851">
        <v>28.82</v>
      </c>
      <c r="V851">
        <v>31.29</v>
      </c>
      <c r="W851">
        <v>22.62</v>
      </c>
      <c r="X851" t="s">
        <v>348</v>
      </c>
      <c r="Y851" t="s">
        <v>585</v>
      </c>
      <c r="Z851">
        <v>7.93</v>
      </c>
      <c r="AA851">
        <v>29.56</v>
      </c>
      <c r="AB851">
        <v>53269</v>
      </c>
      <c r="AC851">
        <v>43687</v>
      </c>
      <c r="AD851">
        <v>1.22</v>
      </c>
      <c r="AE851">
        <v>17</v>
      </c>
      <c r="AF851">
        <v>21</v>
      </c>
      <c r="AG851" t="s">
        <v>120</v>
      </c>
      <c r="AH851">
        <v>0</v>
      </c>
      <c r="AI851" t="s">
        <v>120</v>
      </c>
      <c r="AJ851">
        <v>10.82</v>
      </c>
      <c r="AK851" t="s">
        <v>5019</v>
      </c>
      <c r="AL851">
        <v>-6.01</v>
      </c>
      <c r="AM851">
        <v>3576</v>
      </c>
      <c r="AN851">
        <v>27</v>
      </c>
      <c r="AO851">
        <v>2.9999999999999997E-4</v>
      </c>
      <c r="AP851">
        <v>-4</v>
      </c>
      <c r="AQ851">
        <v>-1.97</v>
      </c>
      <c r="AR851">
        <v>-12.38</v>
      </c>
      <c r="AS851">
        <v>-8.7200000000000006</v>
      </c>
      <c r="AT851">
        <v>-17.5</v>
      </c>
      <c r="AU851">
        <v>-7.39</v>
      </c>
      <c r="AV851">
        <v>2</v>
      </c>
      <c r="AW851">
        <v>1.61</v>
      </c>
      <c r="AX851">
        <v>52.75</v>
      </c>
      <c r="AY851">
        <v>24.73</v>
      </c>
      <c r="AZ851">
        <v>26.5</v>
      </c>
      <c r="BA851">
        <v>0.54</v>
      </c>
      <c r="BB851" t="s">
        <v>2725</v>
      </c>
      <c r="BF851">
        <v>-5.53</v>
      </c>
      <c r="BG851">
        <v>-7.36</v>
      </c>
      <c r="BH851">
        <v>-7.54</v>
      </c>
      <c r="BI851">
        <v>0.45</v>
      </c>
      <c r="BJ851">
        <v>20210824</v>
      </c>
      <c r="BK851">
        <v>20100713</v>
      </c>
      <c r="BL851">
        <v>11.43</v>
      </c>
      <c r="BM851" t="s">
        <v>120</v>
      </c>
      <c r="BN851" t="s">
        <v>120</v>
      </c>
      <c r="BO851">
        <v>151.22999999999999</v>
      </c>
      <c r="BP851">
        <v>28.81</v>
      </c>
      <c r="BQ851">
        <v>102.79</v>
      </c>
      <c r="BR851">
        <v>2.2799999999999998</v>
      </c>
      <c r="BS851">
        <v>30.52</v>
      </c>
      <c r="BT851">
        <v>79.97</v>
      </c>
      <c r="BU851">
        <v>13.1</v>
      </c>
      <c r="BV851">
        <v>7.03</v>
      </c>
      <c r="BW851">
        <v>36.15</v>
      </c>
      <c r="BX851">
        <v>37.14</v>
      </c>
      <c r="BY851">
        <v>18.350000000000001</v>
      </c>
      <c r="BZ851">
        <v>14.94</v>
      </c>
      <c r="CA851" t="s">
        <v>120</v>
      </c>
      <c r="CB851">
        <v>29.1</v>
      </c>
      <c r="CC851">
        <v>44.5</v>
      </c>
      <c r="CD851">
        <v>31.49</v>
      </c>
      <c r="CE851">
        <v>7.4</v>
      </c>
      <c r="CF851">
        <v>1.54</v>
      </c>
      <c r="CG851">
        <v>8.31</v>
      </c>
      <c r="CH851">
        <v>7.45</v>
      </c>
      <c r="CI851">
        <v>7.28</v>
      </c>
      <c r="CJ851">
        <v>-2.48</v>
      </c>
      <c r="CK851">
        <v>5.81</v>
      </c>
      <c r="CL851">
        <v>58.83</v>
      </c>
      <c r="CM851">
        <v>0.96</v>
      </c>
      <c r="CN851">
        <v>-0.3</v>
      </c>
      <c r="CO851">
        <v>32521</v>
      </c>
      <c r="CP851">
        <v>18546</v>
      </c>
      <c r="CQ851" t="s">
        <v>5020</v>
      </c>
      <c r="CR851">
        <v>15.26</v>
      </c>
      <c r="CS851">
        <v>16.440000000000001</v>
      </c>
      <c r="CT851">
        <v>3.2</v>
      </c>
      <c r="CU851">
        <v>342.85</v>
      </c>
      <c r="CV851">
        <v>7.4</v>
      </c>
      <c r="CW851">
        <v>0</v>
      </c>
      <c r="CX851" t="s">
        <v>2783</v>
      </c>
      <c r="CY851">
        <v>8.99</v>
      </c>
      <c r="CZ851">
        <v>0</v>
      </c>
      <c r="DA851">
        <v>2.5499999999999998</v>
      </c>
      <c r="DB851">
        <v>5.15</v>
      </c>
      <c r="DC851">
        <v>0.08</v>
      </c>
      <c r="DD851">
        <v>67.97</v>
      </c>
      <c r="DE851" t="s">
        <v>5021</v>
      </c>
      <c r="DF851">
        <v>29.23</v>
      </c>
      <c r="DG851">
        <v>16.62</v>
      </c>
      <c r="DH851">
        <v>16.36</v>
      </c>
      <c r="DI851">
        <v>1.26</v>
      </c>
      <c r="DJ851">
        <v>7376</v>
      </c>
      <c r="DK851">
        <v>2444</v>
      </c>
      <c r="DL851" t="s">
        <v>120</v>
      </c>
      <c r="DM851" t="s">
        <v>120</v>
      </c>
      <c r="DN851" t="s">
        <v>120</v>
      </c>
    </row>
    <row r="852" spans="1:118">
      <c r="A852" t="str">
        <f>"002445"</f>
        <v>002445</v>
      </c>
      <c r="B852" t="s">
        <v>5022</v>
      </c>
      <c r="C852">
        <v>-5</v>
      </c>
      <c r="D852">
        <v>-0.36</v>
      </c>
      <c r="E852">
        <v>1.07</v>
      </c>
      <c r="F852">
        <v>3490</v>
      </c>
      <c r="G852" t="s">
        <v>5023</v>
      </c>
      <c r="H852">
        <v>10081.69</v>
      </c>
      <c r="I852">
        <v>25.53</v>
      </c>
      <c r="J852" t="s">
        <v>120</v>
      </c>
      <c r="K852" t="s">
        <v>5024</v>
      </c>
      <c r="L852">
        <v>1.59</v>
      </c>
      <c r="M852">
        <v>2.66</v>
      </c>
      <c r="N852">
        <v>1.43</v>
      </c>
      <c r="O852">
        <v>1.07</v>
      </c>
      <c r="P852">
        <v>2.83</v>
      </c>
      <c r="Q852">
        <v>-5.36</v>
      </c>
      <c r="R852">
        <v>2.65</v>
      </c>
      <c r="S852">
        <v>2.83</v>
      </c>
      <c r="T852">
        <v>368861</v>
      </c>
      <c r="U852">
        <v>2.67</v>
      </c>
      <c r="V852">
        <v>2.8</v>
      </c>
      <c r="W852">
        <v>7.6</v>
      </c>
      <c r="X852" t="s">
        <v>584</v>
      </c>
      <c r="Y852" t="s">
        <v>319</v>
      </c>
      <c r="Z852">
        <v>6.43</v>
      </c>
      <c r="AA852">
        <v>2.73</v>
      </c>
      <c r="AB852">
        <v>220742</v>
      </c>
      <c r="AC852">
        <v>148119</v>
      </c>
      <c r="AD852">
        <v>1.49</v>
      </c>
      <c r="AE852">
        <v>160</v>
      </c>
      <c r="AF852">
        <v>2361</v>
      </c>
      <c r="AG852" t="s">
        <v>120</v>
      </c>
      <c r="AH852">
        <v>0.01</v>
      </c>
      <c r="AI852" t="s">
        <v>120</v>
      </c>
      <c r="AJ852">
        <v>23.16</v>
      </c>
      <c r="AK852" t="s">
        <v>5025</v>
      </c>
      <c r="AL852">
        <v>-3.09</v>
      </c>
      <c r="AM852">
        <v>2246</v>
      </c>
      <c r="AN852">
        <v>164</v>
      </c>
      <c r="AO852">
        <v>6.9999999999999999E-4</v>
      </c>
      <c r="AP852">
        <v>-3</v>
      </c>
      <c r="AQ852">
        <v>-0.36</v>
      </c>
      <c r="AR852">
        <v>-7.32</v>
      </c>
      <c r="AS852">
        <v>5.55</v>
      </c>
      <c r="AT852">
        <v>6.83</v>
      </c>
      <c r="AU852">
        <v>30.39</v>
      </c>
      <c r="AV852">
        <v>12</v>
      </c>
      <c r="AW852">
        <v>3.49</v>
      </c>
      <c r="AX852">
        <v>44.22</v>
      </c>
      <c r="AY852">
        <v>6.96</v>
      </c>
      <c r="AZ852">
        <v>51.02</v>
      </c>
      <c r="BA852">
        <v>0.4</v>
      </c>
      <c r="BB852" t="s">
        <v>125</v>
      </c>
      <c r="BF852">
        <v>-2.39</v>
      </c>
      <c r="BG852">
        <v>-6.01</v>
      </c>
      <c r="BH852">
        <v>-6.01</v>
      </c>
      <c r="BI852">
        <v>0.38</v>
      </c>
      <c r="BJ852">
        <v>20210830</v>
      </c>
      <c r="BK852">
        <v>20100713</v>
      </c>
      <c r="BL852">
        <v>23.92</v>
      </c>
      <c r="BM852" t="s">
        <v>120</v>
      </c>
      <c r="BN852" t="s">
        <v>120</v>
      </c>
      <c r="BO852">
        <v>28.38</v>
      </c>
      <c r="BP852">
        <v>2.66</v>
      </c>
      <c r="BQ852">
        <v>21.09</v>
      </c>
      <c r="BR852">
        <v>0.06</v>
      </c>
      <c r="BS852">
        <v>25.48</v>
      </c>
      <c r="BT852">
        <v>14.01</v>
      </c>
      <c r="BU852">
        <v>3.17</v>
      </c>
      <c r="BV852">
        <v>0.53</v>
      </c>
      <c r="BW852">
        <v>5.37</v>
      </c>
      <c r="BX852">
        <v>3.92</v>
      </c>
      <c r="BY852">
        <v>3.34</v>
      </c>
      <c r="BZ852">
        <v>2.11</v>
      </c>
      <c r="CA852">
        <v>0.54</v>
      </c>
      <c r="CB852">
        <v>21.4</v>
      </c>
      <c r="CC852">
        <v>1.99</v>
      </c>
      <c r="CD852">
        <v>1.58</v>
      </c>
      <c r="CE852">
        <v>4.18</v>
      </c>
      <c r="CF852">
        <v>0.13</v>
      </c>
      <c r="CG852">
        <v>4.1900000000000004</v>
      </c>
      <c r="CH852">
        <v>4.1900000000000004</v>
      </c>
      <c r="CI852">
        <v>4.18</v>
      </c>
      <c r="CJ852">
        <v>-0.14000000000000001</v>
      </c>
      <c r="CK852">
        <v>0.04</v>
      </c>
      <c r="CL852">
        <v>-24.61</v>
      </c>
      <c r="CM852">
        <v>-0.34</v>
      </c>
      <c r="CN852">
        <v>1.52</v>
      </c>
      <c r="CO852">
        <v>27424</v>
      </c>
      <c r="CP852">
        <v>38562</v>
      </c>
      <c r="CQ852" t="s">
        <v>5026</v>
      </c>
      <c r="CR852">
        <v>201.25</v>
      </c>
      <c r="CS852">
        <v>30.89</v>
      </c>
      <c r="CT852">
        <v>3.02</v>
      </c>
      <c r="CU852">
        <v>-188.8</v>
      </c>
      <c r="CV852">
        <v>31.99</v>
      </c>
      <c r="CW852">
        <v>0</v>
      </c>
      <c r="CX852" t="s">
        <v>1193</v>
      </c>
      <c r="CY852">
        <v>0.88</v>
      </c>
      <c r="CZ852">
        <v>0</v>
      </c>
      <c r="DA852">
        <v>0.89</v>
      </c>
      <c r="DB852">
        <v>-1.03</v>
      </c>
      <c r="DC852">
        <v>-0.01</v>
      </c>
      <c r="DD852">
        <v>74.319999999999993</v>
      </c>
      <c r="DE852" t="s">
        <v>5027</v>
      </c>
      <c r="DF852">
        <v>20.62</v>
      </c>
      <c r="DG852">
        <v>209.95</v>
      </c>
      <c r="DH852">
        <v>210.34</v>
      </c>
      <c r="DI852">
        <v>0.05</v>
      </c>
      <c r="DJ852">
        <v>461</v>
      </c>
      <c r="DK852">
        <v>2445</v>
      </c>
      <c r="DL852" t="s">
        <v>120</v>
      </c>
      <c r="DM852" t="s">
        <v>120</v>
      </c>
      <c r="DN852" t="s">
        <v>120</v>
      </c>
    </row>
    <row r="853" spans="1:118">
      <c r="A853" t="str">
        <f>"002446"</f>
        <v>002446</v>
      </c>
      <c r="B853" t="s">
        <v>5028</v>
      </c>
      <c r="C853">
        <v>-1.69</v>
      </c>
      <c r="D853">
        <v>-0.16</v>
      </c>
      <c r="E853">
        <v>0</v>
      </c>
      <c r="F853">
        <v>459</v>
      </c>
      <c r="G853" t="s">
        <v>5029</v>
      </c>
      <c r="H853">
        <v>6584.43</v>
      </c>
      <c r="I853">
        <v>21.14</v>
      </c>
      <c r="J853" t="s">
        <v>120</v>
      </c>
      <c r="K853" t="s">
        <v>5030</v>
      </c>
      <c r="L853">
        <v>1.35</v>
      </c>
      <c r="M853">
        <v>5.81</v>
      </c>
      <c r="N853">
        <v>0.84</v>
      </c>
      <c r="O853">
        <v>0.17</v>
      </c>
      <c r="P853">
        <v>5.92</v>
      </c>
      <c r="Q853">
        <v>-1.86</v>
      </c>
      <c r="R853">
        <v>5.8</v>
      </c>
      <c r="S853">
        <v>5.91</v>
      </c>
      <c r="T853">
        <v>112388</v>
      </c>
      <c r="U853">
        <v>5.82</v>
      </c>
      <c r="V853">
        <v>5.91</v>
      </c>
      <c r="W853">
        <v>2070.75</v>
      </c>
      <c r="X853" t="s">
        <v>462</v>
      </c>
      <c r="Y853" t="s">
        <v>547</v>
      </c>
      <c r="Z853">
        <v>2.0299999999999998</v>
      </c>
      <c r="AA853">
        <v>5.86</v>
      </c>
      <c r="AB853">
        <v>74683</v>
      </c>
      <c r="AC853">
        <v>37705</v>
      </c>
      <c r="AD853">
        <v>1.98</v>
      </c>
      <c r="AE853">
        <v>928</v>
      </c>
      <c r="AF853">
        <v>142</v>
      </c>
      <c r="AG853" t="s">
        <v>120</v>
      </c>
      <c r="AH853">
        <v>0</v>
      </c>
      <c r="AI853" t="s">
        <v>120</v>
      </c>
      <c r="AJ853">
        <v>8.33</v>
      </c>
      <c r="AK853" t="s">
        <v>5031</v>
      </c>
      <c r="AL853">
        <v>0.22</v>
      </c>
      <c r="AM853">
        <v>1826</v>
      </c>
      <c r="AN853">
        <v>62</v>
      </c>
      <c r="AO853">
        <v>6.9999999999999999E-4</v>
      </c>
      <c r="AP853">
        <v>-1</v>
      </c>
      <c r="AQ853">
        <v>0.51</v>
      </c>
      <c r="AR853">
        <v>-3.49</v>
      </c>
      <c r="AS853">
        <v>-10.34</v>
      </c>
      <c r="AT853">
        <v>-13.28</v>
      </c>
      <c r="AU853">
        <v>-14.43</v>
      </c>
      <c r="AV853">
        <v>3</v>
      </c>
      <c r="AW853">
        <v>1.39</v>
      </c>
      <c r="AX853">
        <v>89.16</v>
      </c>
      <c r="AY853">
        <v>37.97</v>
      </c>
      <c r="AZ853">
        <v>29.65</v>
      </c>
      <c r="BA853">
        <v>0.52</v>
      </c>
      <c r="BB853" t="s">
        <v>143</v>
      </c>
      <c r="BF853">
        <v>-0.87</v>
      </c>
      <c r="BG853">
        <v>-1.69</v>
      </c>
      <c r="BH853">
        <v>-1.86</v>
      </c>
      <c r="BI853">
        <v>0.17</v>
      </c>
      <c r="BJ853">
        <v>20210826</v>
      </c>
      <c r="BK853">
        <v>20100713</v>
      </c>
      <c r="BL853">
        <v>9.09</v>
      </c>
      <c r="BM853" t="s">
        <v>120</v>
      </c>
      <c r="BN853" t="s">
        <v>120</v>
      </c>
      <c r="BO853">
        <v>37.520000000000003</v>
      </c>
      <c r="BP853">
        <v>5.81</v>
      </c>
      <c r="BQ853">
        <v>30.58</v>
      </c>
      <c r="BR853">
        <v>0.06</v>
      </c>
      <c r="BS853">
        <v>18.34</v>
      </c>
      <c r="BT853">
        <v>22.58</v>
      </c>
      <c r="BU853">
        <v>2.1</v>
      </c>
      <c r="BV853">
        <v>1.6</v>
      </c>
      <c r="BW853">
        <v>5.16</v>
      </c>
      <c r="BX853">
        <v>6.99</v>
      </c>
      <c r="BY853">
        <v>4.9400000000000004</v>
      </c>
      <c r="BZ853">
        <v>4.6100000000000003</v>
      </c>
      <c r="CA853" t="s">
        <v>120</v>
      </c>
      <c r="CB853">
        <v>21.08</v>
      </c>
      <c r="CC853">
        <v>4.37</v>
      </c>
      <c r="CD853">
        <v>2.42</v>
      </c>
      <c r="CE853">
        <v>-0.02</v>
      </c>
      <c r="CF853">
        <v>0.03</v>
      </c>
      <c r="CG853">
        <v>0.01</v>
      </c>
      <c r="CH853">
        <v>0.01</v>
      </c>
      <c r="CI853">
        <v>0.01</v>
      </c>
      <c r="CJ853">
        <v>-0.1</v>
      </c>
      <c r="CK853">
        <v>-0.09</v>
      </c>
      <c r="CL853">
        <v>-0.4</v>
      </c>
      <c r="CM853">
        <v>-1.45</v>
      </c>
      <c r="CN853">
        <v>-3.07</v>
      </c>
      <c r="CO853">
        <v>81793</v>
      </c>
      <c r="CP853">
        <v>9906</v>
      </c>
      <c r="CQ853" t="s">
        <v>5032</v>
      </c>
      <c r="CR853">
        <v>-96.89</v>
      </c>
      <c r="CS853">
        <v>-22.39</v>
      </c>
      <c r="CT853">
        <v>1.73</v>
      </c>
      <c r="CU853">
        <v>-36.450000000000003</v>
      </c>
      <c r="CV853">
        <v>12.09</v>
      </c>
      <c r="CW853">
        <v>0</v>
      </c>
      <c r="CX853" t="s">
        <v>1415</v>
      </c>
      <c r="CY853">
        <v>3.35</v>
      </c>
      <c r="CZ853">
        <v>3.35</v>
      </c>
      <c r="DA853">
        <v>2.3199999999999998</v>
      </c>
      <c r="DB853">
        <v>-0.04</v>
      </c>
      <c r="DC853">
        <v>-0.16</v>
      </c>
      <c r="DD853">
        <v>81.5</v>
      </c>
      <c r="DE853" t="s">
        <v>1696</v>
      </c>
      <c r="DF853">
        <v>44.56</v>
      </c>
      <c r="DG853">
        <v>-0.49</v>
      </c>
      <c r="DH853">
        <v>0.28999999999999998</v>
      </c>
      <c r="DI853">
        <v>0.57999999999999996</v>
      </c>
      <c r="DJ853">
        <v>1422</v>
      </c>
      <c r="DK853">
        <v>2446</v>
      </c>
      <c r="DL853" t="s">
        <v>120</v>
      </c>
      <c r="DM853" t="s">
        <v>120</v>
      </c>
      <c r="DN853" t="s">
        <v>120</v>
      </c>
    </row>
    <row r="854" spans="1:118">
      <c r="A854" t="str">
        <f>"002448"</f>
        <v>002448</v>
      </c>
      <c r="B854" t="s">
        <v>5033</v>
      </c>
      <c r="C854">
        <v>0.88</v>
      </c>
      <c r="D854">
        <v>0.15</v>
      </c>
      <c r="E854">
        <v>0.28999999999999998</v>
      </c>
      <c r="F854">
        <v>1355</v>
      </c>
      <c r="G854" t="s">
        <v>5034</v>
      </c>
      <c r="H854">
        <v>16264.45</v>
      </c>
      <c r="I854">
        <v>113.05</v>
      </c>
      <c r="J854" t="s">
        <v>120</v>
      </c>
      <c r="K854" t="s">
        <v>5035</v>
      </c>
      <c r="L854">
        <v>4.93</v>
      </c>
      <c r="M854">
        <v>6.85</v>
      </c>
      <c r="N854">
        <v>1.47</v>
      </c>
      <c r="O854">
        <v>4.57</v>
      </c>
      <c r="P854">
        <v>7.1</v>
      </c>
      <c r="Q854">
        <v>-0.15</v>
      </c>
      <c r="R854">
        <v>6.78</v>
      </c>
      <c r="S854">
        <v>6.81</v>
      </c>
      <c r="T854">
        <v>234925</v>
      </c>
      <c r="U854">
        <v>6.85</v>
      </c>
      <c r="V854">
        <v>6.79</v>
      </c>
      <c r="W854">
        <v>15.12</v>
      </c>
      <c r="X854" t="s">
        <v>289</v>
      </c>
      <c r="Y854" t="s">
        <v>645</v>
      </c>
      <c r="Z854">
        <v>4.71</v>
      </c>
      <c r="AA854">
        <v>6.92</v>
      </c>
      <c r="AB854">
        <v>104648</v>
      </c>
      <c r="AC854">
        <v>130277</v>
      </c>
      <c r="AD854">
        <v>0.8</v>
      </c>
      <c r="AE854">
        <v>264</v>
      </c>
      <c r="AF854">
        <v>745</v>
      </c>
      <c r="AG854" t="s">
        <v>120</v>
      </c>
      <c r="AH854">
        <v>0.04</v>
      </c>
      <c r="AI854" t="s">
        <v>120</v>
      </c>
      <c r="AJ854">
        <v>4.7699999999999996</v>
      </c>
      <c r="AK854" t="s">
        <v>5036</v>
      </c>
      <c r="AL854">
        <v>2.8</v>
      </c>
      <c r="AM854">
        <v>2559</v>
      </c>
      <c r="AN854">
        <v>92</v>
      </c>
      <c r="AO854">
        <v>1.9E-3</v>
      </c>
      <c r="AP854">
        <v>2</v>
      </c>
      <c r="AQ854">
        <v>1.34</v>
      </c>
      <c r="AR854">
        <v>0.57999999999999996</v>
      </c>
      <c r="AS854">
        <v>3.94</v>
      </c>
      <c r="AT854">
        <v>13.22</v>
      </c>
      <c r="AU854">
        <v>23.64</v>
      </c>
      <c r="AV854">
        <v>0</v>
      </c>
      <c r="AW854">
        <v>5.26</v>
      </c>
      <c r="AX854">
        <v>74.12</v>
      </c>
      <c r="AY854">
        <v>19.96</v>
      </c>
      <c r="AZ854">
        <v>27.37</v>
      </c>
      <c r="BA854">
        <v>0.45</v>
      </c>
      <c r="BB854" t="s">
        <v>143</v>
      </c>
      <c r="BF854">
        <v>1.96</v>
      </c>
      <c r="BG854">
        <v>0.59</v>
      </c>
      <c r="BH854">
        <v>-3.52</v>
      </c>
      <c r="BI854">
        <v>1.03</v>
      </c>
      <c r="BJ854">
        <v>20210830</v>
      </c>
      <c r="BK854">
        <v>20100716</v>
      </c>
      <c r="BL854">
        <v>6.03</v>
      </c>
      <c r="BM854" t="s">
        <v>120</v>
      </c>
      <c r="BN854" t="s">
        <v>120</v>
      </c>
      <c r="BO854">
        <v>50.27</v>
      </c>
      <c r="BP854">
        <v>6.84</v>
      </c>
      <c r="BQ854">
        <v>28.2</v>
      </c>
      <c r="BR854">
        <v>1.91</v>
      </c>
      <c r="BS854">
        <v>40.1</v>
      </c>
      <c r="BT854">
        <v>18.809999999999999</v>
      </c>
      <c r="BU854">
        <v>16.010000000000002</v>
      </c>
      <c r="BV854">
        <v>1.22</v>
      </c>
      <c r="BW854">
        <v>16.670000000000002</v>
      </c>
      <c r="BX854">
        <v>3.56</v>
      </c>
      <c r="BY854">
        <v>4.79</v>
      </c>
      <c r="BZ854">
        <v>5.76</v>
      </c>
      <c r="CA854" t="s">
        <v>120</v>
      </c>
      <c r="CB854">
        <v>6.31</v>
      </c>
      <c r="CC854">
        <v>13.41</v>
      </c>
      <c r="CD854">
        <v>9.68</v>
      </c>
      <c r="CE854">
        <v>1.61</v>
      </c>
      <c r="CF854">
        <v>0.11</v>
      </c>
      <c r="CG854">
        <v>1.61</v>
      </c>
      <c r="CH854">
        <v>1.38</v>
      </c>
      <c r="CI854">
        <v>1.37</v>
      </c>
      <c r="CJ854">
        <v>0.06</v>
      </c>
      <c r="CK854">
        <v>1.19</v>
      </c>
      <c r="CL854">
        <v>15.32</v>
      </c>
      <c r="CM854">
        <v>1.39</v>
      </c>
      <c r="CN854">
        <v>-0.8</v>
      </c>
      <c r="CO854">
        <v>57403</v>
      </c>
      <c r="CP854">
        <v>7788</v>
      </c>
      <c r="CQ854" t="s">
        <v>5037</v>
      </c>
      <c r="CR854">
        <v>68.650000000000006</v>
      </c>
      <c r="CS854">
        <v>85.6</v>
      </c>
      <c r="CT854">
        <v>1.47</v>
      </c>
      <c r="CU854">
        <v>29.63</v>
      </c>
      <c r="CV854">
        <v>3.08</v>
      </c>
      <c r="CW854">
        <v>1.44</v>
      </c>
      <c r="CX854" t="s">
        <v>694</v>
      </c>
      <c r="CY854">
        <v>4.68</v>
      </c>
      <c r="CZ854">
        <v>0</v>
      </c>
      <c r="DA854">
        <v>1.05</v>
      </c>
      <c r="DB854">
        <v>2.54</v>
      </c>
      <c r="DC854">
        <v>0.23</v>
      </c>
      <c r="DD854">
        <v>56.1</v>
      </c>
      <c r="DE854" t="s">
        <v>2865</v>
      </c>
      <c r="DF854">
        <v>27.82</v>
      </c>
      <c r="DG854">
        <v>11.99</v>
      </c>
      <c r="DH854">
        <v>10.19</v>
      </c>
      <c r="DI854">
        <v>0.78</v>
      </c>
      <c r="DJ854">
        <v>4458</v>
      </c>
      <c r="DK854">
        <v>2448</v>
      </c>
      <c r="DL854" t="s">
        <v>120</v>
      </c>
      <c r="DM854" t="s">
        <v>120</v>
      </c>
      <c r="DN854" t="s">
        <v>120</v>
      </c>
    </row>
    <row r="855" spans="1:118">
      <c r="A855" t="str">
        <f>"002449"</f>
        <v>002449</v>
      </c>
      <c r="B855" t="s">
        <v>5038</v>
      </c>
      <c r="C855">
        <v>-2.41</v>
      </c>
      <c r="D855">
        <v>0</v>
      </c>
      <c r="E855">
        <v>-0.1</v>
      </c>
      <c r="F855">
        <v>726</v>
      </c>
      <c r="G855" t="s">
        <v>5039</v>
      </c>
      <c r="H855">
        <v>8247.99</v>
      </c>
      <c r="I855">
        <v>26.22</v>
      </c>
      <c r="J855" t="s">
        <v>120</v>
      </c>
      <c r="K855" t="s">
        <v>5040</v>
      </c>
      <c r="L855">
        <v>1.37</v>
      </c>
      <c r="M855">
        <v>9.6999999999999993</v>
      </c>
      <c r="N855">
        <v>0.89</v>
      </c>
      <c r="O855">
        <v>0.91</v>
      </c>
      <c r="P855">
        <v>10.029999999999999</v>
      </c>
      <c r="Q855">
        <v>-2.41</v>
      </c>
      <c r="R855">
        <v>9.6999999999999993</v>
      </c>
      <c r="S855">
        <v>9.93</v>
      </c>
      <c r="T855">
        <v>83644</v>
      </c>
      <c r="U855">
        <v>9.7100000000000009</v>
      </c>
      <c r="V855">
        <v>9.94</v>
      </c>
      <c r="W855">
        <v>32.74</v>
      </c>
      <c r="X855" t="s">
        <v>3245</v>
      </c>
      <c r="Y855" t="s">
        <v>547</v>
      </c>
      <c r="Z855">
        <v>3.32</v>
      </c>
      <c r="AA855">
        <v>9.86</v>
      </c>
      <c r="AB855">
        <v>54241</v>
      </c>
      <c r="AC855">
        <v>29403</v>
      </c>
      <c r="AD855">
        <v>1.84</v>
      </c>
      <c r="AE855">
        <v>96</v>
      </c>
      <c r="AF855">
        <v>409</v>
      </c>
      <c r="AG855" t="s">
        <v>120</v>
      </c>
      <c r="AH855">
        <v>0.01</v>
      </c>
      <c r="AI855" t="s">
        <v>120</v>
      </c>
      <c r="AJ855">
        <v>6.11</v>
      </c>
      <c r="AK855" t="s">
        <v>5041</v>
      </c>
      <c r="AL855">
        <v>-0.5</v>
      </c>
      <c r="AM855">
        <v>2146</v>
      </c>
      <c r="AN855">
        <v>39</v>
      </c>
      <c r="AO855">
        <v>5.9999999999999995E-4</v>
      </c>
      <c r="AP855">
        <v>-1</v>
      </c>
      <c r="AQ855">
        <v>0.3</v>
      </c>
      <c r="AR855">
        <v>-4.0599999999999996</v>
      </c>
      <c r="AS855">
        <v>-1.02</v>
      </c>
      <c r="AT855">
        <v>0.42</v>
      </c>
      <c r="AU855">
        <v>-4.34</v>
      </c>
      <c r="AV855">
        <v>0</v>
      </c>
      <c r="AW855">
        <v>1.75</v>
      </c>
      <c r="AX855">
        <v>77.47</v>
      </c>
      <c r="AY855">
        <v>47.31</v>
      </c>
      <c r="AZ855">
        <v>60.78</v>
      </c>
      <c r="BA855">
        <v>0.57999999999999996</v>
      </c>
      <c r="BB855" t="s">
        <v>125</v>
      </c>
      <c r="BF855">
        <v>-0.8</v>
      </c>
      <c r="BG855">
        <v>-2.3199999999999998</v>
      </c>
      <c r="BH855">
        <v>-3.29</v>
      </c>
      <c r="BI855">
        <v>0</v>
      </c>
      <c r="BJ855">
        <v>20210830</v>
      </c>
      <c r="BK855">
        <v>20100716</v>
      </c>
      <c r="BL855">
        <v>6.18</v>
      </c>
      <c r="BM855" t="s">
        <v>120</v>
      </c>
      <c r="BN855" t="s">
        <v>120</v>
      </c>
      <c r="BO855">
        <v>59.24</v>
      </c>
      <c r="BP855">
        <v>9.6999999999999993</v>
      </c>
      <c r="BQ855">
        <v>36.340000000000003</v>
      </c>
      <c r="BR855">
        <v>-0.28000000000000003</v>
      </c>
      <c r="BS855">
        <v>39.130000000000003</v>
      </c>
      <c r="BT855">
        <v>34.869999999999997</v>
      </c>
      <c r="BU855">
        <v>20.45</v>
      </c>
      <c r="BV855">
        <v>1.05</v>
      </c>
      <c r="BW855">
        <v>20.84</v>
      </c>
      <c r="BX855">
        <v>9.1300000000000008</v>
      </c>
      <c r="BY855">
        <v>9.65</v>
      </c>
      <c r="BZ855">
        <v>5.59</v>
      </c>
      <c r="CA855" t="s">
        <v>120</v>
      </c>
      <c r="CB855">
        <v>14.81</v>
      </c>
      <c r="CC855">
        <v>17.29</v>
      </c>
      <c r="CD855">
        <v>14.73</v>
      </c>
      <c r="CE855">
        <v>1.1100000000000001</v>
      </c>
      <c r="CF855">
        <v>0.01</v>
      </c>
      <c r="CG855">
        <v>1.1000000000000001</v>
      </c>
      <c r="CH855">
        <v>0.9</v>
      </c>
      <c r="CI855">
        <v>0.92</v>
      </c>
      <c r="CJ855">
        <v>-0.24</v>
      </c>
      <c r="CK855">
        <v>0.69</v>
      </c>
      <c r="CL855">
        <v>12.68</v>
      </c>
      <c r="CM855">
        <v>4</v>
      </c>
      <c r="CN855">
        <v>1.61</v>
      </c>
      <c r="CO855">
        <v>55030</v>
      </c>
      <c r="CP855">
        <v>8707</v>
      </c>
      <c r="CQ855" t="s">
        <v>5042</v>
      </c>
      <c r="CR855">
        <v>45.83</v>
      </c>
      <c r="CS855">
        <v>15.77</v>
      </c>
      <c r="CT855">
        <v>1.65</v>
      </c>
      <c r="CU855">
        <v>14.98</v>
      </c>
      <c r="CV855">
        <v>3.47</v>
      </c>
      <c r="CW855">
        <v>0.6</v>
      </c>
      <c r="CX855" t="s">
        <v>5043</v>
      </c>
      <c r="CY855">
        <v>5.88</v>
      </c>
      <c r="CZ855">
        <v>0</v>
      </c>
      <c r="DA855">
        <v>2.39</v>
      </c>
      <c r="DB855">
        <v>2.0499999999999998</v>
      </c>
      <c r="DC855">
        <v>0.65</v>
      </c>
      <c r="DD855">
        <v>61.35</v>
      </c>
      <c r="DE855" t="s">
        <v>1837</v>
      </c>
      <c r="DF855">
        <v>14.84</v>
      </c>
      <c r="DG855">
        <v>6.45</v>
      </c>
      <c r="DH855">
        <v>5.3</v>
      </c>
      <c r="DI855">
        <v>0.67</v>
      </c>
      <c r="DJ855">
        <v>4035</v>
      </c>
      <c r="DK855">
        <v>2449</v>
      </c>
      <c r="DL855" t="s">
        <v>120</v>
      </c>
      <c r="DM855" t="s">
        <v>120</v>
      </c>
      <c r="DN855" t="s">
        <v>120</v>
      </c>
    </row>
    <row r="856" spans="1:118">
      <c r="A856" t="str">
        <f>"002451"</f>
        <v>002451</v>
      </c>
      <c r="B856" t="s">
        <v>5044</v>
      </c>
      <c r="C856">
        <v>-2.4900000000000002</v>
      </c>
      <c r="D856">
        <v>0</v>
      </c>
      <c r="E856">
        <v>-0.41</v>
      </c>
      <c r="F856">
        <v>1157</v>
      </c>
      <c r="G856" t="s">
        <v>5045</v>
      </c>
      <c r="H856">
        <v>6053.78</v>
      </c>
      <c r="I856">
        <v>36</v>
      </c>
      <c r="J856" t="s">
        <v>120</v>
      </c>
      <c r="K856" t="s">
        <v>1144</v>
      </c>
      <c r="L856">
        <v>1.93</v>
      </c>
      <c r="M856">
        <v>7.05</v>
      </c>
      <c r="N856">
        <v>0.79</v>
      </c>
      <c r="O856">
        <v>0.97</v>
      </c>
      <c r="P856">
        <v>7.3</v>
      </c>
      <c r="Q856">
        <v>-2.77</v>
      </c>
      <c r="R856">
        <v>7.03</v>
      </c>
      <c r="S856">
        <v>7.2</v>
      </c>
      <c r="T856">
        <v>84615</v>
      </c>
      <c r="U856">
        <v>7.06</v>
      </c>
      <c r="V856">
        <v>7.23</v>
      </c>
      <c r="W856">
        <v>372.23</v>
      </c>
      <c r="X856" t="s">
        <v>394</v>
      </c>
      <c r="Y856" t="s">
        <v>1510</v>
      </c>
      <c r="Z856">
        <v>3.73</v>
      </c>
      <c r="AA856">
        <v>7.15</v>
      </c>
      <c r="AB856">
        <v>49223</v>
      </c>
      <c r="AC856">
        <v>35392</v>
      </c>
      <c r="AD856">
        <v>1.39</v>
      </c>
      <c r="AE856">
        <v>398</v>
      </c>
      <c r="AF856">
        <v>30</v>
      </c>
      <c r="AG856" t="s">
        <v>120</v>
      </c>
      <c r="AH856">
        <v>0.02</v>
      </c>
      <c r="AI856" t="s">
        <v>120</v>
      </c>
      <c r="AJ856">
        <v>4.3899999999999997</v>
      </c>
      <c r="AK856" t="s">
        <v>1144</v>
      </c>
      <c r="AL856">
        <v>-0.57999999999999996</v>
      </c>
      <c r="AM856">
        <v>1863</v>
      </c>
      <c r="AN856">
        <v>45</v>
      </c>
      <c r="AO856">
        <v>1E-3</v>
      </c>
      <c r="AP856">
        <v>-1</v>
      </c>
      <c r="AQ856">
        <v>2.5499999999999998</v>
      </c>
      <c r="AR856">
        <v>-2.62</v>
      </c>
      <c r="AS856">
        <v>-0.71</v>
      </c>
      <c r="AT856">
        <v>9.98</v>
      </c>
      <c r="AU856">
        <v>-0.56999999999999995</v>
      </c>
      <c r="AV856">
        <v>4</v>
      </c>
      <c r="AW856">
        <v>4</v>
      </c>
      <c r="AX856">
        <v>48.15</v>
      </c>
      <c r="AY856">
        <v>131.29</v>
      </c>
      <c r="AZ856">
        <v>425.58</v>
      </c>
      <c r="BA856">
        <v>0.05</v>
      </c>
      <c r="BB856" t="s">
        <v>143</v>
      </c>
      <c r="BF856">
        <v>-1.04</v>
      </c>
      <c r="BG856">
        <v>-2.08</v>
      </c>
      <c r="BH856">
        <v>-3.42</v>
      </c>
      <c r="BI856">
        <v>0.28000000000000003</v>
      </c>
      <c r="BJ856">
        <v>20210824</v>
      </c>
      <c r="BK856">
        <v>20100720</v>
      </c>
      <c r="BL856">
        <v>4.3899999999999997</v>
      </c>
      <c r="BM856" t="s">
        <v>120</v>
      </c>
      <c r="BN856" t="s">
        <v>120</v>
      </c>
      <c r="BO856">
        <v>12.7</v>
      </c>
      <c r="BP856">
        <v>7.05</v>
      </c>
      <c r="BQ856">
        <v>7.15</v>
      </c>
      <c r="BR856">
        <v>0.2</v>
      </c>
      <c r="BS856">
        <v>42.14</v>
      </c>
      <c r="BT856">
        <v>7.47</v>
      </c>
      <c r="BU856">
        <v>3.74</v>
      </c>
      <c r="BV856">
        <v>0.74</v>
      </c>
      <c r="BW856">
        <v>4.7699999999999996</v>
      </c>
      <c r="BX856">
        <v>0.57999999999999996</v>
      </c>
      <c r="BY856">
        <v>1.48</v>
      </c>
      <c r="BZ856">
        <v>3.14</v>
      </c>
      <c r="CA856" t="s">
        <v>120</v>
      </c>
      <c r="CB856">
        <v>0.68</v>
      </c>
      <c r="CC856">
        <v>4.55</v>
      </c>
      <c r="CD856">
        <v>3.98</v>
      </c>
      <c r="CE856">
        <v>0.05</v>
      </c>
      <c r="CF856">
        <v>0.02</v>
      </c>
      <c r="CG856">
        <v>0.05</v>
      </c>
      <c r="CH856">
        <v>0.04</v>
      </c>
      <c r="CI856">
        <v>0.04</v>
      </c>
      <c r="CJ856">
        <v>-0.18</v>
      </c>
      <c r="CK856">
        <v>0</v>
      </c>
      <c r="CL856">
        <v>1.85</v>
      </c>
      <c r="CM856">
        <v>-0.22</v>
      </c>
      <c r="CN856">
        <v>-0.23</v>
      </c>
      <c r="CO856">
        <v>30751</v>
      </c>
      <c r="CP856">
        <v>6877</v>
      </c>
      <c r="CQ856" t="s">
        <v>1300</v>
      </c>
      <c r="CR856">
        <v>133.1</v>
      </c>
      <c r="CS856">
        <v>232.45</v>
      </c>
      <c r="CT856">
        <v>4.33</v>
      </c>
      <c r="CU856">
        <v>-142.83000000000001</v>
      </c>
      <c r="CV856">
        <v>6.8</v>
      </c>
      <c r="CW856">
        <v>0</v>
      </c>
      <c r="CX856" t="s">
        <v>4667</v>
      </c>
      <c r="CY856">
        <v>1.63</v>
      </c>
      <c r="CZ856">
        <v>0</v>
      </c>
      <c r="DA856">
        <v>0.16</v>
      </c>
      <c r="DB856">
        <v>0.42</v>
      </c>
      <c r="DC856">
        <v>-0.05</v>
      </c>
      <c r="DD856">
        <v>56.26</v>
      </c>
      <c r="DE856" t="s">
        <v>5046</v>
      </c>
      <c r="DF856">
        <v>12.46</v>
      </c>
      <c r="DG856">
        <v>1.0900000000000001</v>
      </c>
      <c r="DH856">
        <v>0.91</v>
      </c>
      <c r="DI856">
        <v>0.05</v>
      </c>
      <c r="DJ856">
        <v>152</v>
      </c>
      <c r="DK856">
        <v>2451</v>
      </c>
      <c r="DL856" t="s">
        <v>120</v>
      </c>
      <c r="DM856" t="s">
        <v>120</v>
      </c>
      <c r="DN856" t="s">
        <v>120</v>
      </c>
    </row>
    <row r="857" spans="1:118">
      <c r="A857" t="str">
        <f>"002452"</f>
        <v>002452</v>
      </c>
      <c r="B857" t="s">
        <v>5047</v>
      </c>
      <c r="C857">
        <v>-6.21</v>
      </c>
      <c r="D857">
        <v>-0.28000000000000003</v>
      </c>
      <c r="E857">
        <v>-2.21</v>
      </c>
      <c r="F857">
        <v>10335</v>
      </c>
      <c r="G857" t="s">
        <v>4138</v>
      </c>
      <c r="H857">
        <v>40201.94</v>
      </c>
      <c r="I857">
        <v>733.04</v>
      </c>
      <c r="J857" t="s">
        <v>120</v>
      </c>
      <c r="K857" t="s">
        <v>1641</v>
      </c>
      <c r="L857">
        <v>13.66</v>
      </c>
      <c r="M857">
        <v>6.8</v>
      </c>
      <c r="N857">
        <v>0.97</v>
      </c>
      <c r="O857">
        <v>-1.1000000000000001</v>
      </c>
      <c r="P857">
        <v>7.17</v>
      </c>
      <c r="Q857">
        <v>-6.34</v>
      </c>
      <c r="R857">
        <v>6.79</v>
      </c>
      <c r="S857">
        <v>7.09</v>
      </c>
      <c r="T857">
        <v>577025</v>
      </c>
      <c r="U857">
        <v>6.81</v>
      </c>
      <c r="V857">
        <v>7.25</v>
      </c>
      <c r="W857">
        <v>17.47</v>
      </c>
      <c r="X857" t="s">
        <v>394</v>
      </c>
      <c r="Y857" t="s">
        <v>594</v>
      </c>
      <c r="Z857">
        <v>5.24</v>
      </c>
      <c r="AA857">
        <v>6.97</v>
      </c>
      <c r="AB857">
        <v>338866</v>
      </c>
      <c r="AC857">
        <v>238159</v>
      </c>
      <c r="AD857">
        <v>1.42</v>
      </c>
      <c r="AE857">
        <v>543</v>
      </c>
      <c r="AF857">
        <v>1527</v>
      </c>
      <c r="AG857" t="s">
        <v>120</v>
      </c>
      <c r="AH857">
        <v>0.3</v>
      </c>
      <c r="AI857" t="s">
        <v>120</v>
      </c>
      <c r="AJ857">
        <v>4.22</v>
      </c>
      <c r="AK857" t="s">
        <v>5048</v>
      </c>
      <c r="AL857">
        <v>-4.29</v>
      </c>
      <c r="AM857">
        <v>4143</v>
      </c>
      <c r="AN857">
        <v>139</v>
      </c>
      <c r="AO857">
        <v>3.3E-3</v>
      </c>
      <c r="AP857">
        <v>-3</v>
      </c>
      <c r="AQ857">
        <v>-3.59</v>
      </c>
      <c r="AR857">
        <v>-18.559999999999999</v>
      </c>
      <c r="AS857">
        <v>15.25</v>
      </c>
      <c r="AT857">
        <v>23.86</v>
      </c>
      <c r="AU857">
        <v>20.14</v>
      </c>
      <c r="AV857">
        <v>5</v>
      </c>
      <c r="AW857">
        <v>16.649999999999999</v>
      </c>
      <c r="AX857">
        <v>56.17</v>
      </c>
      <c r="AY857">
        <v>20.76</v>
      </c>
      <c r="AZ857">
        <v>20.99</v>
      </c>
      <c r="BA857">
        <v>0.13</v>
      </c>
      <c r="BB857" t="s">
        <v>341</v>
      </c>
      <c r="BF857">
        <v>-3.9</v>
      </c>
      <c r="BG857">
        <v>-4.09</v>
      </c>
      <c r="BH857">
        <v>-5.16</v>
      </c>
      <c r="BI857">
        <v>0.15</v>
      </c>
      <c r="BJ857">
        <v>20210914</v>
      </c>
      <c r="BK857">
        <v>20100720</v>
      </c>
      <c r="BL857">
        <v>6.17</v>
      </c>
      <c r="BM857" t="s">
        <v>120</v>
      </c>
      <c r="BN857" t="s">
        <v>120</v>
      </c>
      <c r="BO857">
        <v>31.52</v>
      </c>
      <c r="BP857">
        <v>6.8</v>
      </c>
      <c r="BQ857">
        <v>15.43</v>
      </c>
      <c r="BR857">
        <v>0.12</v>
      </c>
      <c r="BS857">
        <v>50.67</v>
      </c>
      <c r="BT857">
        <v>23.63</v>
      </c>
      <c r="BU857">
        <v>3.34</v>
      </c>
      <c r="BV857">
        <v>1.17</v>
      </c>
      <c r="BW857">
        <v>13.64</v>
      </c>
      <c r="BX857">
        <v>2.16</v>
      </c>
      <c r="BY857">
        <v>3.54</v>
      </c>
      <c r="BZ857">
        <v>9.09</v>
      </c>
      <c r="CA857">
        <v>0</v>
      </c>
      <c r="CB857">
        <v>2.72</v>
      </c>
      <c r="CC857">
        <v>7.03</v>
      </c>
      <c r="CD857">
        <v>4.51</v>
      </c>
      <c r="CE857">
        <v>1.31</v>
      </c>
      <c r="CF857">
        <v>-0.03</v>
      </c>
      <c r="CG857">
        <v>1.4</v>
      </c>
      <c r="CH857">
        <v>1.19</v>
      </c>
      <c r="CI857">
        <v>1.2</v>
      </c>
      <c r="CJ857">
        <v>-0.45</v>
      </c>
      <c r="CK857">
        <v>1.1200000000000001</v>
      </c>
      <c r="CL857">
        <v>6.66</v>
      </c>
      <c r="CM857">
        <v>-0.66</v>
      </c>
      <c r="CN857">
        <v>-2.91</v>
      </c>
      <c r="CO857">
        <v>34710</v>
      </c>
      <c r="CP857">
        <v>9982</v>
      </c>
      <c r="CQ857" t="s">
        <v>3500</v>
      </c>
      <c r="CR857">
        <v>2.02</v>
      </c>
      <c r="CS857">
        <v>13.61</v>
      </c>
      <c r="CT857">
        <v>2.35</v>
      </c>
      <c r="CU857">
        <v>-63.38</v>
      </c>
      <c r="CV857">
        <v>5.97</v>
      </c>
      <c r="CW857">
        <v>0.84</v>
      </c>
      <c r="CX857" t="s">
        <v>3361</v>
      </c>
      <c r="CY857">
        <v>2.89</v>
      </c>
      <c r="CZ857">
        <v>2.89</v>
      </c>
      <c r="DA857">
        <v>0.44</v>
      </c>
      <c r="DB857">
        <v>1.08</v>
      </c>
      <c r="DC857">
        <v>-0.11</v>
      </c>
      <c r="DD857">
        <v>48.96</v>
      </c>
      <c r="DE857" t="s">
        <v>5049</v>
      </c>
      <c r="DF857">
        <v>35.78</v>
      </c>
      <c r="DG857">
        <v>18.64</v>
      </c>
      <c r="DH857">
        <v>17.079999999999998</v>
      </c>
      <c r="DI857">
        <v>0.3</v>
      </c>
      <c r="DJ857">
        <v>1507</v>
      </c>
      <c r="DK857">
        <v>2452</v>
      </c>
      <c r="DL857">
        <v>20210913</v>
      </c>
      <c r="DM857">
        <v>7.99</v>
      </c>
      <c r="DN857">
        <v>-14.89</v>
      </c>
    </row>
    <row r="858" spans="1:118">
      <c r="A858" t="str">
        <f>"002453"</f>
        <v>002453</v>
      </c>
      <c r="B858" t="s">
        <v>5050</v>
      </c>
      <c r="C858">
        <v>4.07</v>
      </c>
      <c r="D858">
        <v>0.34</v>
      </c>
      <c r="E858">
        <v>7.0000000000000007E-2</v>
      </c>
      <c r="F858">
        <v>3633</v>
      </c>
      <c r="G858" t="s">
        <v>3071</v>
      </c>
      <c r="H858">
        <v>55838.04</v>
      </c>
      <c r="I858">
        <v>895.01</v>
      </c>
      <c r="J858" t="s">
        <v>120</v>
      </c>
      <c r="K858" t="s">
        <v>5051</v>
      </c>
      <c r="L858">
        <v>6.64</v>
      </c>
      <c r="M858">
        <v>14.84</v>
      </c>
      <c r="N858">
        <v>0.66</v>
      </c>
      <c r="O858">
        <v>6.59</v>
      </c>
      <c r="P858">
        <v>15.2</v>
      </c>
      <c r="Q858">
        <v>-0.28000000000000003</v>
      </c>
      <c r="R858">
        <v>14.22</v>
      </c>
      <c r="S858">
        <v>14.27</v>
      </c>
      <c r="T858">
        <v>379551</v>
      </c>
      <c r="U858">
        <v>14.85</v>
      </c>
      <c r="V858">
        <v>14.26</v>
      </c>
      <c r="W858">
        <v>356.61</v>
      </c>
      <c r="X858" t="s">
        <v>141</v>
      </c>
      <c r="Y858" t="s">
        <v>319</v>
      </c>
      <c r="Z858">
        <v>6.87</v>
      </c>
      <c r="AA858">
        <v>14.71</v>
      </c>
      <c r="AB858">
        <v>201848</v>
      </c>
      <c r="AC858">
        <v>177703</v>
      </c>
      <c r="AD858">
        <v>1.1399999999999999</v>
      </c>
      <c r="AE858">
        <v>172</v>
      </c>
      <c r="AF858">
        <v>470</v>
      </c>
      <c r="AG858" t="s">
        <v>120</v>
      </c>
      <c r="AH858">
        <v>0.15</v>
      </c>
      <c r="AI858" t="s">
        <v>120</v>
      </c>
      <c r="AJ858">
        <v>5.71</v>
      </c>
      <c r="AK858" t="s">
        <v>5052</v>
      </c>
      <c r="AL858">
        <v>5.98</v>
      </c>
      <c r="AM858">
        <v>4335</v>
      </c>
      <c r="AN858">
        <v>88</v>
      </c>
      <c r="AO858">
        <v>1.5E-3</v>
      </c>
      <c r="AP858">
        <v>4</v>
      </c>
      <c r="AQ858">
        <v>1.21</v>
      </c>
      <c r="AR858">
        <v>15.85</v>
      </c>
      <c r="AS858">
        <v>41.6</v>
      </c>
      <c r="AT858">
        <v>122.49</v>
      </c>
      <c r="AU858">
        <v>156.31</v>
      </c>
      <c r="AV858">
        <v>7</v>
      </c>
      <c r="AW858">
        <v>8.91</v>
      </c>
      <c r="AX858">
        <v>45.12</v>
      </c>
      <c r="AY858">
        <v>289.92</v>
      </c>
      <c r="AZ858">
        <v>403.42</v>
      </c>
      <c r="BA858">
        <v>0.06</v>
      </c>
      <c r="BB858" t="s">
        <v>143</v>
      </c>
      <c r="BF858">
        <v>3.17</v>
      </c>
      <c r="BG858">
        <v>3.99</v>
      </c>
      <c r="BH858">
        <v>-2.37</v>
      </c>
      <c r="BI858">
        <v>4.3600000000000003</v>
      </c>
      <c r="BJ858">
        <v>20210913</v>
      </c>
      <c r="BK858">
        <v>20100720</v>
      </c>
      <c r="BL858">
        <v>9.44</v>
      </c>
      <c r="BM858" t="s">
        <v>120</v>
      </c>
      <c r="BN858" t="s">
        <v>120</v>
      </c>
      <c r="BO858">
        <v>29.63</v>
      </c>
      <c r="BP858">
        <v>14.84</v>
      </c>
      <c r="BQ858">
        <v>16.04</v>
      </c>
      <c r="BR858">
        <v>1.1299999999999999</v>
      </c>
      <c r="BS858">
        <v>42.06</v>
      </c>
      <c r="BT858">
        <v>12.2</v>
      </c>
      <c r="BU858">
        <v>4.2</v>
      </c>
      <c r="BV858">
        <v>1.4</v>
      </c>
      <c r="BW858">
        <v>10.029999999999999</v>
      </c>
      <c r="BX858">
        <v>1.48</v>
      </c>
      <c r="BY858">
        <v>2.88</v>
      </c>
      <c r="BZ858">
        <v>4.6399999999999997</v>
      </c>
      <c r="CA858" t="s">
        <v>120</v>
      </c>
      <c r="CB858">
        <v>10.97</v>
      </c>
      <c r="CC858">
        <v>16.510000000000002</v>
      </c>
      <c r="CD858">
        <v>15.26</v>
      </c>
      <c r="CE858">
        <v>0.09</v>
      </c>
      <c r="CF858">
        <v>0</v>
      </c>
      <c r="CG858">
        <v>0.31</v>
      </c>
      <c r="CH858">
        <v>0.25</v>
      </c>
      <c r="CI858">
        <v>0.2</v>
      </c>
      <c r="CJ858">
        <v>0.57999999999999996</v>
      </c>
      <c r="CK858">
        <v>0.03</v>
      </c>
      <c r="CL858">
        <v>-3.05</v>
      </c>
      <c r="CM858">
        <v>0.36</v>
      </c>
      <c r="CN858">
        <v>0.27</v>
      </c>
      <c r="CO858">
        <v>33777</v>
      </c>
      <c r="CP858">
        <v>12614</v>
      </c>
      <c r="CQ858" t="s">
        <v>5053</v>
      </c>
      <c r="CR858">
        <v>198.6</v>
      </c>
      <c r="CS858">
        <v>52.92</v>
      </c>
      <c r="CT858">
        <v>7.2</v>
      </c>
      <c r="CU858">
        <v>390.79</v>
      </c>
      <c r="CV858">
        <v>8.49</v>
      </c>
      <c r="CW858">
        <v>0</v>
      </c>
      <c r="CX858" t="s">
        <v>2074</v>
      </c>
      <c r="CY858">
        <v>2.06</v>
      </c>
      <c r="CZ858">
        <v>2.06</v>
      </c>
      <c r="DA858">
        <v>1.1599999999999999</v>
      </c>
      <c r="DB858">
        <v>-0.32</v>
      </c>
      <c r="DC858">
        <v>0.04</v>
      </c>
      <c r="DD858">
        <v>54.13</v>
      </c>
      <c r="DE858" t="s">
        <v>1703</v>
      </c>
      <c r="DF858">
        <v>7.59</v>
      </c>
      <c r="DG858">
        <v>0.53</v>
      </c>
      <c r="DH858">
        <v>1.19</v>
      </c>
      <c r="DI858">
        <v>0.09</v>
      </c>
      <c r="DJ858">
        <v>1379</v>
      </c>
      <c r="DK858">
        <v>2453</v>
      </c>
      <c r="DL858">
        <v>20210916</v>
      </c>
      <c r="DM858">
        <v>14.26</v>
      </c>
      <c r="DN858">
        <v>4.07</v>
      </c>
    </row>
    <row r="859" spans="1:118">
      <c r="A859" t="str">
        <f>"002454"</f>
        <v>002454</v>
      </c>
      <c r="B859" t="s">
        <v>5054</v>
      </c>
      <c r="C859">
        <v>5.32</v>
      </c>
      <c r="D859">
        <v>0.1</v>
      </c>
      <c r="E859">
        <v>1.77</v>
      </c>
      <c r="F859">
        <v>6302</v>
      </c>
      <c r="G859" t="s">
        <v>5055</v>
      </c>
      <c r="H859">
        <v>40142.51</v>
      </c>
      <c r="I859">
        <v>281.58</v>
      </c>
      <c r="J859" t="s">
        <v>120</v>
      </c>
      <c r="K859" t="s">
        <v>5056</v>
      </c>
      <c r="L859">
        <v>6.44</v>
      </c>
      <c r="M859">
        <v>10.1</v>
      </c>
      <c r="N859">
        <v>1.63</v>
      </c>
      <c r="O859">
        <v>6.78</v>
      </c>
      <c r="P859">
        <v>10.24</v>
      </c>
      <c r="Q859">
        <v>1.1499999999999999</v>
      </c>
      <c r="R859">
        <v>9.6999999999999993</v>
      </c>
      <c r="S859">
        <v>9.76</v>
      </c>
      <c r="T859">
        <v>402680</v>
      </c>
      <c r="U859">
        <v>10.1</v>
      </c>
      <c r="V859">
        <v>9.59</v>
      </c>
      <c r="W859">
        <v>33.46</v>
      </c>
      <c r="X859" t="s">
        <v>289</v>
      </c>
      <c r="Y859" t="s">
        <v>1510</v>
      </c>
      <c r="Z859">
        <v>5.63</v>
      </c>
      <c r="AA859">
        <v>9.9700000000000006</v>
      </c>
      <c r="AB859">
        <v>160180</v>
      </c>
      <c r="AC859">
        <v>242500</v>
      </c>
      <c r="AD859">
        <v>0.66</v>
      </c>
      <c r="AE859">
        <v>472</v>
      </c>
      <c r="AF859">
        <v>278</v>
      </c>
      <c r="AG859" t="s">
        <v>120</v>
      </c>
      <c r="AH859">
        <v>0.08</v>
      </c>
      <c r="AI859" t="s">
        <v>120</v>
      </c>
      <c r="AJ859">
        <v>6.25</v>
      </c>
      <c r="AK859" t="s">
        <v>3448</v>
      </c>
      <c r="AL859">
        <v>7.23</v>
      </c>
      <c r="AM859">
        <v>4410</v>
      </c>
      <c r="AN859">
        <v>91</v>
      </c>
      <c r="AO859">
        <v>1.5E-3</v>
      </c>
      <c r="AP859">
        <v>4</v>
      </c>
      <c r="AQ859">
        <v>9.98</v>
      </c>
      <c r="AR859">
        <v>18.97</v>
      </c>
      <c r="AS859">
        <v>40.47</v>
      </c>
      <c r="AT859">
        <v>86.35</v>
      </c>
      <c r="AU859">
        <v>71.48</v>
      </c>
      <c r="AV859">
        <v>5</v>
      </c>
      <c r="AW859">
        <v>11.51</v>
      </c>
      <c r="AX859">
        <v>55.67</v>
      </c>
      <c r="AY859">
        <v>22.49</v>
      </c>
      <c r="AZ859">
        <v>24.41</v>
      </c>
      <c r="BA859">
        <v>0.27</v>
      </c>
      <c r="BB859" t="s">
        <v>751</v>
      </c>
      <c r="BF859">
        <v>3.95</v>
      </c>
      <c r="BG859">
        <v>3.48</v>
      </c>
      <c r="BH859">
        <v>-1.37</v>
      </c>
      <c r="BI859">
        <v>4.12</v>
      </c>
      <c r="BJ859">
        <v>20210901</v>
      </c>
      <c r="BK859">
        <v>20100720</v>
      </c>
      <c r="BL859">
        <v>6.29</v>
      </c>
      <c r="BM859" t="s">
        <v>120</v>
      </c>
      <c r="BN859" t="s">
        <v>120</v>
      </c>
      <c r="BO859">
        <v>67.010000000000005</v>
      </c>
      <c r="BP859">
        <v>10.09</v>
      </c>
      <c r="BQ859">
        <v>36.82</v>
      </c>
      <c r="BR859">
        <v>4.5999999999999996</v>
      </c>
      <c r="BS859">
        <v>38.200000000000003</v>
      </c>
      <c r="BT859">
        <v>47.04</v>
      </c>
      <c r="BU859">
        <v>11.86</v>
      </c>
      <c r="BV859">
        <v>2.2799999999999998</v>
      </c>
      <c r="BW859">
        <v>24.13</v>
      </c>
      <c r="BX859">
        <v>4.68</v>
      </c>
      <c r="BY859">
        <v>7.3</v>
      </c>
      <c r="BZ859">
        <v>11.4</v>
      </c>
      <c r="CA859">
        <v>0</v>
      </c>
      <c r="CB859">
        <v>7.51</v>
      </c>
      <c r="CC859">
        <v>20.11</v>
      </c>
      <c r="CD859">
        <v>15.9</v>
      </c>
      <c r="CE859">
        <v>1.35</v>
      </c>
      <c r="CF859">
        <v>0.05</v>
      </c>
      <c r="CG859">
        <v>1.35</v>
      </c>
      <c r="CH859">
        <v>1.1399999999999999</v>
      </c>
      <c r="CI859">
        <v>0.95</v>
      </c>
      <c r="CJ859">
        <v>0.51</v>
      </c>
      <c r="CK859">
        <v>0.68</v>
      </c>
      <c r="CL859">
        <v>20.170000000000002</v>
      </c>
      <c r="CM859">
        <v>1.21</v>
      </c>
      <c r="CN859">
        <v>-2.73</v>
      </c>
      <c r="CO859">
        <v>22444</v>
      </c>
      <c r="CP859">
        <v>15592</v>
      </c>
      <c r="CQ859" t="s">
        <v>5057</v>
      </c>
      <c r="CR859">
        <v>28.65</v>
      </c>
      <c r="CS859">
        <v>36.86</v>
      </c>
      <c r="CT859">
        <v>1.72</v>
      </c>
      <c r="CU859">
        <v>52.46</v>
      </c>
      <c r="CV859">
        <v>3.16</v>
      </c>
      <c r="CW859">
        <v>0.83</v>
      </c>
      <c r="CX859" t="s">
        <v>373</v>
      </c>
      <c r="CY859">
        <v>5.86</v>
      </c>
      <c r="CZ859">
        <v>0</v>
      </c>
      <c r="DA859">
        <v>1.19</v>
      </c>
      <c r="DB859">
        <v>3.21</v>
      </c>
      <c r="DC859">
        <v>0.19</v>
      </c>
      <c r="DD859">
        <v>54.94</v>
      </c>
      <c r="DE859" t="s">
        <v>2660</v>
      </c>
      <c r="DF859">
        <v>20.94</v>
      </c>
      <c r="DG859">
        <v>6.72</v>
      </c>
      <c r="DH859">
        <v>4.72</v>
      </c>
      <c r="DI859">
        <v>0.95</v>
      </c>
      <c r="DJ859">
        <v>2856</v>
      </c>
      <c r="DK859">
        <v>2454</v>
      </c>
      <c r="DL859" t="s">
        <v>120</v>
      </c>
      <c r="DM859" t="s">
        <v>120</v>
      </c>
      <c r="DN859" t="s">
        <v>120</v>
      </c>
    </row>
    <row r="860" spans="1:118">
      <c r="A860" t="str">
        <f>"002455"</f>
        <v>002455</v>
      </c>
      <c r="B860" t="s">
        <v>5058</v>
      </c>
      <c r="C860">
        <v>-9.98</v>
      </c>
      <c r="D860">
        <v>0</v>
      </c>
      <c r="E860">
        <v>-3.89</v>
      </c>
      <c r="F860">
        <v>2941</v>
      </c>
      <c r="G860" t="s">
        <v>5059</v>
      </c>
      <c r="H860">
        <v>196257.29</v>
      </c>
      <c r="I860">
        <v>3590.16</v>
      </c>
      <c r="J860">
        <v>2384.9899999999998</v>
      </c>
      <c r="K860" t="s">
        <v>5060</v>
      </c>
      <c r="L860">
        <v>21.4</v>
      </c>
      <c r="M860">
        <v>19.670000000000002</v>
      </c>
      <c r="N860">
        <v>0.99</v>
      </c>
      <c r="O860">
        <v>-2.65</v>
      </c>
      <c r="P860">
        <v>21.27</v>
      </c>
      <c r="Q860">
        <v>-9.98</v>
      </c>
      <c r="R860">
        <v>19.670000000000002</v>
      </c>
      <c r="S860">
        <v>21</v>
      </c>
      <c r="T860">
        <v>963484</v>
      </c>
      <c r="U860">
        <v>19.670000000000002</v>
      </c>
      <c r="V860">
        <v>21.85</v>
      </c>
      <c r="W860">
        <v>68.290000000000006</v>
      </c>
      <c r="X860" t="s">
        <v>868</v>
      </c>
      <c r="Y860" t="s">
        <v>319</v>
      </c>
      <c r="Z860">
        <v>7.32</v>
      </c>
      <c r="AA860">
        <v>20.37</v>
      </c>
      <c r="AB860">
        <v>505109</v>
      </c>
      <c r="AC860">
        <v>458375</v>
      </c>
      <c r="AD860">
        <v>1.1000000000000001</v>
      </c>
      <c r="AE860">
        <v>0</v>
      </c>
      <c r="AF860">
        <v>12125</v>
      </c>
      <c r="AG860" t="s">
        <v>120</v>
      </c>
      <c r="AH860">
        <v>0.44</v>
      </c>
      <c r="AI860">
        <v>0.01</v>
      </c>
      <c r="AJ860">
        <v>4.5</v>
      </c>
      <c r="AK860" t="s">
        <v>5061</v>
      </c>
      <c r="AL860">
        <v>-8.06</v>
      </c>
      <c r="AM860">
        <v>4728</v>
      </c>
      <c r="AN860">
        <v>204</v>
      </c>
      <c r="AO860">
        <v>4.4999999999999997E-3</v>
      </c>
      <c r="AP860">
        <v>-1</v>
      </c>
      <c r="AQ860">
        <v>3.7</v>
      </c>
      <c r="AR860">
        <v>2.72</v>
      </c>
      <c r="AS860">
        <v>-10.72</v>
      </c>
      <c r="AT860">
        <v>161.91999999999999</v>
      </c>
      <c r="AU860">
        <v>238.56</v>
      </c>
      <c r="AV860">
        <v>15</v>
      </c>
      <c r="AW860">
        <v>24.9</v>
      </c>
      <c r="AX860">
        <v>68.430000000000007</v>
      </c>
      <c r="AY860">
        <v>89.97</v>
      </c>
      <c r="AZ860">
        <v>185.9</v>
      </c>
      <c r="BA860">
        <v>1.28</v>
      </c>
      <c r="BB860" t="s">
        <v>5062</v>
      </c>
      <c r="BF860">
        <v>-6.78</v>
      </c>
      <c r="BG860">
        <v>-6.33</v>
      </c>
      <c r="BH860">
        <v>-7.52</v>
      </c>
      <c r="BI860">
        <v>0</v>
      </c>
      <c r="BJ860">
        <v>20210824</v>
      </c>
      <c r="BK860">
        <v>20100803</v>
      </c>
      <c r="BL860">
        <v>5.65</v>
      </c>
      <c r="BM860" t="s">
        <v>120</v>
      </c>
      <c r="BN860" t="s">
        <v>120</v>
      </c>
      <c r="BO860">
        <v>60.62</v>
      </c>
      <c r="BP860" t="s">
        <v>120</v>
      </c>
      <c r="BQ860">
        <v>15.88</v>
      </c>
      <c r="BR860">
        <v>4.6100000000000003</v>
      </c>
      <c r="BS860">
        <v>66.209999999999994</v>
      </c>
      <c r="BT860">
        <v>22.9</v>
      </c>
      <c r="BU860">
        <v>11.52</v>
      </c>
      <c r="BV860">
        <v>2.23</v>
      </c>
      <c r="BW860">
        <v>27.8</v>
      </c>
      <c r="BX860">
        <v>7.02</v>
      </c>
      <c r="BY860">
        <v>6.82</v>
      </c>
      <c r="BZ860">
        <v>4.2</v>
      </c>
      <c r="CA860" t="s">
        <v>120</v>
      </c>
      <c r="CB860">
        <v>4.93</v>
      </c>
      <c r="CC860">
        <v>20</v>
      </c>
      <c r="CD860">
        <v>17.95</v>
      </c>
      <c r="CE860">
        <v>0.96</v>
      </c>
      <c r="CF860">
        <v>0.01</v>
      </c>
      <c r="CG860">
        <v>0.98</v>
      </c>
      <c r="CH860">
        <v>0.84</v>
      </c>
      <c r="CI860">
        <v>0.81</v>
      </c>
      <c r="CJ860">
        <v>-2.1800000000000002</v>
      </c>
      <c r="CK860">
        <v>0.79</v>
      </c>
      <c r="CL860">
        <v>4.24</v>
      </c>
      <c r="CM860">
        <v>-0.13</v>
      </c>
      <c r="CN860">
        <v>-0.56999999999999995</v>
      </c>
      <c r="CO860">
        <v>36542</v>
      </c>
      <c r="CP860">
        <v>10588</v>
      </c>
      <c r="CQ860" t="s">
        <v>5063</v>
      </c>
      <c r="CR860">
        <v>670.4</v>
      </c>
      <c r="CS860">
        <v>105.56</v>
      </c>
      <c r="CT860">
        <v>6.92</v>
      </c>
      <c r="CU860">
        <v>-839.31</v>
      </c>
      <c r="CV860">
        <v>5.56</v>
      </c>
      <c r="CW860">
        <v>0.42</v>
      </c>
      <c r="CX860" t="s">
        <v>1091</v>
      </c>
      <c r="CY860">
        <v>2.84</v>
      </c>
      <c r="CZ860">
        <v>2.84</v>
      </c>
      <c r="DA860">
        <v>0.87</v>
      </c>
      <c r="DB860">
        <v>0.75</v>
      </c>
      <c r="DC860">
        <v>-0.02</v>
      </c>
      <c r="DD860">
        <v>26.19</v>
      </c>
      <c r="DE860" t="s">
        <v>2624</v>
      </c>
      <c r="DF860">
        <v>10.26</v>
      </c>
      <c r="DG860">
        <v>4.8099999999999996</v>
      </c>
      <c r="DH860">
        <v>4.07</v>
      </c>
      <c r="DI860">
        <v>0.45</v>
      </c>
      <c r="DJ860">
        <v>1672</v>
      </c>
      <c r="DK860">
        <v>2455</v>
      </c>
      <c r="DL860">
        <v>20210726</v>
      </c>
      <c r="DM860">
        <v>11.69</v>
      </c>
      <c r="DN860">
        <v>68.260000000000005</v>
      </c>
    </row>
    <row r="861" spans="1:118">
      <c r="A861" t="str">
        <f>"002456"</f>
        <v>002456</v>
      </c>
      <c r="B861" t="s">
        <v>5064</v>
      </c>
      <c r="C861">
        <v>-2.0699999999999998</v>
      </c>
      <c r="D861">
        <v>-0.11</v>
      </c>
      <c r="E861">
        <v>0</v>
      </c>
      <c r="F861">
        <v>8808</v>
      </c>
      <c r="G861" t="s">
        <v>5065</v>
      </c>
      <c r="H861">
        <v>28739.16</v>
      </c>
      <c r="I861">
        <v>93.64</v>
      </c>
      <c r="J861" t="s">
        <v>120</v>
      </c>
      <c r="K861" t="s">
        <v>5066</v>
      </c>
      <c r="L861">
        <v>1.32</v>
      </c>
      <c r="M861">
        <v>8.0299999999999994</v>
      </c>
      <c r="N861">
        <v>0.7</v>
      </c>
      <c r="O861">
        <v>0.61</v>
      </c>
      <c r="P861">
        <v>8.25</v>
      </c>
      <c r="Q861">
        <v>-2.0699999999999998</v>
      </c>
      <c r="R861">
        <v>8.0299999999999994</v>
      </c>
      <c r="S861">
        <v>8.1999999999999993</v>
      </c>
      <c r="T861">
        <v>353907</v>
      </c>
      <c r="U861">
        <v>8.0399999999999991</v>
      </c>
      <c r="V861">
        <v>8.1999999999999993</v>
      </c>
      <c r="W861">
        <v>319.19</v>
      </c>
      <c r="X861" t="s">
        <v>229</v>
      </c>
      <c r="Y861" t="s">
        <v>123</v>
      </c>
      <c r="Z861">
        <v>2.68</v>
      </c>
      <c r="AA861">
        <v>8.1199999999999992</v>
      </c>
      <c r="AB861">
        <v>206918</v>
      </c>
      <c r="AC861">
        <v>146989</v>
      </c>
      <c r="AD861">
        <v>1.41</v>
      </c>
      <c r="AE861">
        <v>911</v>
      </c>
      <c r="AF861">
        <v>1660</v>
      </c>
      <c r="AG861" t="s">
        <v>120</v>
      </c>
      <c r="AH861">
        <v>0.01</v>
      </c>
      <c r="AI861" t="s">
        <v>120</v>
      </c>
      <c r="AJ861">
        <v>26.91</v>
      </c>
      <c r="AK861" t="s">
        <v>5067</v>
      </c>
      <c r="AL861">
        <v>-0.16</v>
      </c>
      <c r="AM861">
        <v>3911</v>
      </c>
      <c r="AN861">
        <v>90</v>
      </c>
      <c r="AO861">
        <v>2.9999999999999997E-4</v>
      </c>
      <c r="AP861">
        <v>-1</v>
      </c>
      <c r="AQ861">
        <v>0</v>
      </c>
      <c r="AR861">
        <v>-4.29</v>
      </c>
      <c r="AS861">
        <v>5.8</v>
      </c>
      <c r="AT861">
        <v>-12.05</v>
      </c>
      <c r="AU861">
        <v>-39.07</v>
      </c>
      <c r="AV861">
        <v>0</v>
      </c>
      <c r="AW861">
        <v>1.87</v>
      </c>
      <c r="AX861">
        <v>70.09</v>
      </c>
      <c r="AY861" t="s">
        <v>120</v>
      </c>
      <c r="AZ861" t="s">
        <v>120</v>
      </c>
      <c r="BA861">
        <v>0.46</v>
      </c>
      <c r="BB861" t="s">
        <v>143</v>
      </c>
      <c r="BF861">
        <v>-0.97</v>
      </c>
      <c r="BG861">
        <v>-2.0699999999999998</v>
      </c>
      <c r="BH861">
        <v>-2.67</v>
      </c>
      <c r="BI861">
        <v>0</v>
      </c>
      <c r="BJ861">
        <v>20210914</v>
      </c>
      <c r="BK861">
        <v>20100803</v>
      </c>
      <c r="BL861">
        <v>26.95</v>
      </c>
      <c r="BM861" t="s">
        <v>120</v>
      </c>
      <c r="BN861" t="s">
        <v>120</v>
      </c>
      <c r="BO861">
        <v>272.43</v>
      </c>
      <c r="BP861">
        <v>8.0299999999999994</v>
      </c>
      <c r="BQ861">
        <v>76.55</v>
      </c>
      <c r="BR861">
        <v>15.24</v>
      </c>
      <c r="BS861">
        <v>66.31</v>
      </c>
      <c r="BT861">
        <v>148.46</v>
      </c>
      <c r="BU861">
        <v>65.8</v>
      </c>
      <c r="BV861">
        <v>14.01</v>
      </c>
      <c r="BW861">
        <v>127.06</v>
      </c>
      <c r="BX861">
        <v>34.57</v>
      </c>
      <c r="BY861">
        <v>40.85</v>
      </c>
      <c r="BZ861">
        <v>57.23</v>
      </c>
      <c r="CA861">
        <v>0.05</v>
      </c>
      <c r="CB861">
        <v>35.590000000000003</v>
      </c>
      <c r="CC861">
        <v>117.42</v>
      </c>
      <c r="CD861">
        <v>102.05</v>
      </c>
      <c r="CE861">
        <v>0.36</v>
      </c>
      <c r="CF861">
        <v>0.51</v>
      </c>
      <c r="CG861">
        <v>0.55000000000000004</v>
      </c>
      <c r="CH861">
        <v>0.83</v>
      </c>
      <c r="CI861">
        <v>0.34</v>
      </c>
      <c r="CJ861">
        <v>-0.17</v>
      </c>
      <c r="CK861">
        <v>-0.51</v>
      </c>
      <c r="CL861">
        <v>8.6</v>
      </c>
      <c r="CM861">
        <v>23.81</v>
      </c>
      <c r="CN861">
        <v>4.92</v>
      </c>
      <c r="CO861">
        <v>308075</v>
      </c>
      <c r="CP861">
        <v>6131</v>
      </c>
      <c r="CQ861" t="s">
        <v>1567</v>
      </c>
      <c r="CR861">
        <v>-93.25</v>
      </c>
      <c r="CS861">
        <v>-49.96</v>
      </c>
      <c r="CT861">
        <v>2.83</v>
      </c>
      <c r="CU861">
        <v>9.09</v>
      </c>
      <c r="CV861">
        <v>1.84</v>
      </c>
      <c r="CW861">
        <v>0</v>
      </c>
      <c r="CX861" t="s">
        <v>4456</v>
      </c>
      <c r="CY861">
        <v>2.84</v>
      </c>
      <c r="CZ861">
        <v>0</v>
      </c>
      <c r="DA861">
        <v>1.32</v>
      </c>
      <c r="DB861">
        <v>0.32</v>
      </c>
      <c r="DC861">
        <v>0.88</v>
      </c>
      <c r="DD861">
        <v>28.1</v>
      </c>
      <c r="DE861" t="s">
        <v>5068</v>
      </c>
      <c r="DF861">
        <v>13.09</v>
      </c>
      <c r="DG861">
        <v>0.31</v>
      </c>
      <c r="DH861">
        <v>0.28999999999999998</v>
      </c>
      <c r="DI861">
        <v>7.65</v>
      </c>
      <c r="DJ861">
        <v>27306</v>
      </c>
      <c r="DK861">
        <v>2456</v>
      </c>
      <c r="DL861" t="s">
        <v>120</v>
      </c>
      <c r="DM861" t="s">
        <v>120</v>
      </c>
      <c r="DN861" t="s">
        <v>120</v>
      </c>
    </row>
    <row r="862" spans="1:118">
      <c r="A862" t="str">
        <f>"002457"</f>
        <v>002457</v>
      </c>
      <c r="B862" t="s">
        <v>5069</v>
      </c>
      <c r="C862">
        <v>-2.15</v>
      </c>
      <c r="D862">
        <v>-0.11</v>
      </c>
      <c r="E862">
        <v>0.12</v>
      </c>
      <c r="F862">
        <v>1475</v>
      </c>
      <c r="G862" t="s">
        <v>5070</v>
      </c>
      <c r="H862">
        <v>8960.77</v>
      </c>
      <c r="I862">
        <v>12.18</v>
      </c>
      <c r="J862" t="s">
        <v>120</v>
      </c>
      <c r="K862" t="s">
        <v>5071</v>
      </c>
      <c r="L862">
        <v>3.21</v>
      </c>
      <c r="M862">
        <v>8.2100000000000009</v>
      </c>
      <c r="N862">
        <v>0.78</v>
      </c>
      <c r="O862">
        <v>1.07</v>
      </c>
      <c r="P862">
        <v>8.48</v>
      </c>
      <c r="Q862">
        <v>-2.2599999999999998</v>
      </c>
      <c r="R862">
        <v>8.1999999999999993</v>
      </c>
      <c r="S862">
        <v>8.4</v>
      </c>
      <c r="T862">
        <v>107574</v>
      </c>
      <c r="U862">
        <v>8.2200000000000006</v>
      </c>
      <c r="V862">
        <v>8.39</v>
      </c>
      <c r="W862">
        <v>31.74</v>
      </c>
      <c r="X862" t="s">
        <v>2211</v>
      </c>
      <c r="Y862" t="s">
        <v>1110</v>
      </c>
      <c r="Z862">
        <v>3.34</v>
      </c>
      <c r="AA862">
        <v>8.33</v>
      </c>
      <c r="AB862">
        <v>65141</v>
      </c>
      <c r="AC862">
        <v>42433</v>
      </c>
      <c r="AD862">
        <v>1.54</v>
      </c>
      <c r="AE862">
        <v>954</v>
      </c>
      <c r="AF862">
        <v>312</v>
      </c>
      <c r="AG862" t="s">
        <v>120</v>
      </c>
      <c r="AH862">
        <v>0.01</v>
      </c>
      <c r="AI862" t="s">
        <v>120</v>
      </c>
      <c r="AJ862">
        <v>3.35</v>
      </c>
      <c r="AK862" t="s">
        <v>5072</v>
      </c>
      <c r="AL862">
        <v>-0.23</v>
      </c>
      <c r="AM862">
        <v>2315</v>
      </c>
      <c r="AN862">
        <v>46</v>
      </c>
      <c r="AO862">
        <v>1.4E-3</v>
      </c>
      <c r="AP862">
        <v>-1</v>
      </c>
      <c r="AQ862">
        <v>0.24</v>
      </c>
      <c r="AR862">
        <v>-6.06</v>
      </c>
      <c r="AS862">
        <v>-5.74</v>
      </c>
      <c r="AT862">
        <v>-6.49</v>
      </c>
      <c r="AU862">
        <v>13.24</v>
      </c>
      <c r="AV862">
        <v>2</v>
      </c>
      <c r="AW862">
        <v>4.78</v>
      </c>
      <c r="AX862">
        <v>67.22</v>
      </c>
      <c r="AY862">
        <v>12.31</v>
      </c>
      <c r="AZ862">
        <v>16.78</v>
      </c>
      <c r="BA862">
        <v>0.66</v>
      </c>
      <c r="BB862" t="s">
        <v>143</v>
      </c>
      <c r="BF862">
        <v>-0.72</v>
      </c>
      <c r="BG862">
        <v>-2.2599999999999998</v>
      </c>
      <c r="BH862">
        <v>-3.18</v>
      </c>
      <c r="BI862">
        <v>0.12</v>
      </c>
      <c r="BJ862">
        <v>20210818</v>
      </c>
      <c r="BK862">
        <v>20100803</v>
      </c>
      <c r="BL862">
        <v>3.35</v>
      </c>
      <c r="BM862" t="s">
        <v>120</v>
      </c>
      <c r="BN862" t="s">
        <v>120</v>
      </c>
      <c r="BO862">
        <v>39.11</v>
      </c>
      <c r="BP862">
        <v>8.2100000000000009</v>
      </c>
      <c r="BQ862">
        <v>20.8</v>
      </c>
      <c r="BR862">
        <v>1.08</v>
      </c>
      <c r="BS862">
        <v>44.04</v>
      </c>
      <c r="BT862">
        <v>27.15</v>
      </c>
      <c r="BU862">
        <v>4.63</v>
      </c>
      <c r="BV862">
        <v>1.61</v>
      </c>
      <c r="BW862">
        <v>16.27</v>
      </c>
      <c r="BX862">
        <v>1.94</v>
      </c>
      <c r="BY862">
        <v>9.6300000000000008</v>
      </c>
      <c r="BZ862">
        <v>10.86</v>
      </c>
      <c r="CA862" t="s">
        <v>120</v>
      </c>
      <c r="CB862">
        <v>8.09</v>
      </c>
      <c r="CC862">
        <v>8.51</v>
      </c>
      <c r="CD862">
        <v>5.7</v>
      </c>
      <c r="CE862">
        <v>0.5</v>
      </c>
      <c r="CF862">
        <v>0.02</v>
      </c>
      <c r="CG862">
        <v>0.51</v>
      </c>
      <c r="CH862">
        <v>0.46</v>
      </c>
      <c r="CI862">
        <v>0.43</v>
      </c>
      <c r="CJ862">
        <v>-0.18</v>
      </c>
      <c r="CK862">
        <v>0.39</v>
      </c>
      <c r="CL862">
        <v>8.1300000000000008</v>
      </c>
      <c r="CM862">
        <v>-4.4000000000000004</v>
      </c>
      <c r="CN862">
        <v>-3.08</v>
      </c>
      <c r="CO862">
        <v>57864</v>
      </c>
      <c r="CP862">
        <v>3891</v>
      </c>
      <c r="CQ862" t="s">
        <v>3982</v>
      </c>
      <c r="CR862">
        <v>346.13</v>
      </c>
      <c r="CS862">
        <v>61.13</v>
      </c>
      <c r="CT862">
        <v>1.32</v>
      </c>
      <c r="CU862">
        <v>-6.25</v>
      </c>
      <c r="CV862">
        <v>3.23</v>
      </c>
      <c r="CW862">
        <v>2.14</v>
      </c>
      <c r="CX862" t="s">
        <v>449</v>
      </c>
      <c r="CY862">
        <v>6.21</v>
      </c>
      <c r="CZ862">
        <v>0</v>
      </c>
      <c r="DA862">
        <v>2.41</v>
      </c>
      <c r="DB862">
        <v>2.4300000000000002</v>
      </c>
      <c r="DC862">
        <v>-1.31</v>
      </c>
      <c r="DD862">
        <v>53.19</v>
      </c>
      <c r="DE862" t="s">
        <v>5073</v>
      </c>
      <c r="DF862">
        <v>33.07</v>
      </c>
      <c r="DG862">
        <v>5.84</v>
      </c>
      <c r="DH862">
        <v>5.09</v>
      </c>
      <c r="DI862">
        <v>0.28000000000000003</v>
      </c>
      <c r="DJ862">
        <v>2125</v>
      </c>
      <c r="DK862">
        <v>2457</v>
      </c>
      <c r="DL862" t="s">
        <v>120</v>
      </c>
      <c r="DM862" t="s">
        <v>120</v>
      </c>
      <c r="DN862" t="s">
        <v>120</v>
      </c>
    </row>
    <row r="863" spans="1:118">
      <c r="A863" t="str">
        <f>"002458"</f>
        <v>002458</v>
      </c>
      <c r="B863" t="s">
        <v>5074</v>
      </c>
      <c r="C863">
        <v>4.59</v>
      </c>
      <c r="D863">
        <v>0.18</v>
      </c>
      <c r="E863">
        <v>-0.75</v>
      </c>
      <c r="F863">
        <v>2543</v>
      </c>
      <c r="G863" t="s">
        <v>5075</v>
      </c>
      <c r="H863">
        <v>35509.72</v>
      </c>
      <c r="I863">
        <v>23.32</v>
      </c>
      <c r="J863" t="s">
        <v>120</v>
      </c>
      <c r="K863" t="s">
        <v>5076</v>
      </c>
      <c r="L863">
        <v>4.75</v>
      </c>
      <c r="M863">
        <v>11.17</v>
      </c>
      <c r="N863">
        <v>1.98</v>
      </c>
      <c r="O863">
        <v>5.9</v>
      </c>
      <c r="P863">
        <v>11.31</v>
      </c>
      <c r="Q863">
        <v>-1.22</v>
      </c>
      <c r="R863">
        <v>10.55</v>
      </c>
      <c r="S863">
        <v>10.6</v>
      </c>
      <c r="T863">
        <v>321305</v>
      </c>
      <c r="U863">
        <v>11.17</v>
      </c>
      <c r="V863">
        <v>10.68</v>
      </c>
      <c r="W863">
        <v>20.11</v>
      </c>
      <c r="X863" t="s">
        <v>447</v>
      </c>
      <c r="Y863" t="s">
        <v>638</v>
      </c>
      <c r="Z863">
        <v>7.12</v>
      </c>
      <c r="AA863">
        <v>11.05</v>
      </c>
      <c r="AB863">
        <v>133295</v>
      </c>
      <c r="AC863">
        <v>188010</v>
      </c>
      <c r="AD863">
        <v>0.71</v>
      </c>
      <c r="AE863">
        <v>399</v>
      </c>
      <c r="AF863">
        <v>3347</v>
      </c>
      <c r="AG863" t="s">
        <v>120</v>
      </c>
      <c r="AH863">
        <v>0</v>
      </c>
      <c r="AI863" t="s">
        <v>120</v>
      </c>
      <c r="AJ863">
        <v>6.76</v>
      </c>
      <c r="AK863" t="s">
        <v>5077</v>
      </c>
      <c r="AL863">
        <v>6.5</v>
      </c>
      <c r="AM863">
        <v>4325</v>
      </c>
      <c r="AN863">
        <v>74</v>
      </c>
      <c r="AO863">
        <v>1.1000000000000001E-3</v>
      </c>
      <c r="AP863">
        <v>2</v>
      </c>
      <c r="AQ863">
        <v>1.71</v>
      </c>
      <c r="AR863">
        <v>3.71</v>
      </c>
      <c r="AS863">
        <v>14.57</v>
      </c>
      <c r="AT863">
        <v>11.48</v>
      </c>
      <c r="AU863">
        <v>0.17</v>
      </c>
      <c r="AV863">
        <v>2</v>
      </c>
      <c r="AW863">
        <v>5.59</v>
      </c>
      <c r="AX863">
        <v>57.84</v>
      </c>
      <c r="AY863">
        <v>64.739999999999995</v>
      </c>
      <c r="AZ863">
        <v>115.27</v>
      </c>
      <c r="BA863">
        <v>7.0000000000000007E-2</v>
      </c>
      <c r="BB863" t="s">
        <v>143</v>
      </c>
      <c r="BF863">
        <v>3.48</v>
      </c>
      <c r="BG863">
        <v>5.38</v>
      </c>
      <c r="BH863">
        <v>-1.24</v>
      </c>
      <c r="BI863">
        <v>5.88</v>
      </c>
      <c r="BJ863">
        <v>20210723</v>
      </c>
      <c r="BK863">
        <v>20100810</v>
      </c>
      <c r="BL863">
        <v>9.93</v>
      </c>
      <c r="BM863" t="s">
        <v>120</v>
      </c>
      <c r="BN863" t="s">
        <v>120</v>
      </c>
      <c r="BO863">
        <v>56.23</v>
      </c>
      <c r="BP863">
        <v>11.16</v>
      </c>
      <c r="BQ863">
        <v>34.18</v>
      </c>
      <c r="BR863">
        <v>0.82</v>
      </c>
      <c r="BS863">
        <v>37.770000000000003</v>
      </c>
      <c r="BT863">
        <v>10.82</v>
      </c>
      <c r="BU863">
        <v>22.7</v>
      </c>
      <c r="BV863">
        <v>1.24</v>
      </c>
      <c r="BW863">
        <v>15.79</v>
      </c>
      <c r="BX863">
        <v>6.71</v>
      </c>
      <c r="BY863">
        <v>2.39</v>
      </c>
      <c r="BZ863">
        <v>0.46</v>
      </c>
      <c r="CA863" t="s">
        <v>120</v>
      </c>
      <c r="CB863">
        <v>5.86</v>
      </c>
      <c r="CC863">
        <v>12</v>
      </c>
      <c r="CD863">
        <v>7.91</v>
      </c>
      <c r="CE863">
        <v>2.79</v>
      </c>
      <c r="CF863">
        <v>-0.02</v>
      </c>
      <c r="CG863">
        <v>2.78</v>
      </c>
      <c r="CH863">
        <v>2.77</v>
      </c>
      <c r="CI863">
        <v>2.76</v>
      </c>
      <c r="CJ863">
        <v>0.49</v>
      </c>
      <c r="CK863">
        <v>2.69</v>
      </c>
      <c r="CL863">
        <v>15.78</v>
      </c>
      <c r="CM863">
        <v>1.65</v>
      </c>
      <c r="CN863">
        <v>2.2599999999999998</v>
      </c>
      <c r="CO863">
        <v>85037</v>
      </c>
      <c r="CP863">
        <v>6754</v>
      </c>
      <c r="CQ863" t="s">
        <v>2363</v>
      </c>
      <c r="CR863">
        <v>35.200000000000003</v>
      </c>
      <c r="CS863">
        <v>20.100000000000001</v>
      </c>
      <c r="CT863">
        <v>3.25</v>
      </c>
      <c r="CU863">
        <v>67.08</v>
      </c>
      <c r="CV863">
        <v>9.25</v>
      </c>
      <c r="CW863">
        <v>0</v>
      </c>
      <c r="CX863" t="s">
        <v>1054</v>
      </c>
      <c r="CY863">
        <v>3.44</v>
      </c>
      <c r="CZ863">
        <v>0</v>
      </c>
      <c r="DA863">
        <v>0.59</v>
      </c>
      <c r="DB863">
        <v>1.59</v>
      </c>
      <c r="DC863">
        <v>0.17</v>
      </c>
      <c r="DD863">
        <v>60.77</v>
      </c>
      <c r="DE863" t="s">
        <v>5078</v>
      </c>
      <c r="DF863">
        <v>34.06</v>
      </c>
      <c r="DG863">
        <v>23.28</v>
      </c>
      <c r="DH863">
        <v>22.99</v>
      </c>
      <c r="DI863">
        <v>0.36</v>
      </c>
      <c r="DJ863">
        <v>4551</v>
      </c>
      <c r="DK863">
        <v>2458</v>
      </c>
      <c r="DL863" t="s">
        <v>120</v>
      </c>
      <c r="DM863" t="s">
        <v>120</v>
      </c>
      <c r="DN863" t="s">
        <v>120</v>
      </c>
    </row>
    <row r="864" spans="1:118">
      <c r="A864" t="str">
        <f>"002459"</f>
        <v>002459</v>
      </c>
      <c r="B864" t="s">
        <v>5079</v>
      </c>
      <c r="C864">
        <v>-9.99</v>
      </c>
      <c r="D864">
        <v>0</v>
      </c>
      <c r="E864">
        <v>-1.98</v>
      </c>
      <c r="F864">
        <v>664</v>
      </c>
      <c r="G864" t="s">
        <v>5080</v>
      </c>
      <c r="H864">
        <v>129725.05</v>
      </c>
      <c r="I864">
        <v>563.07000000000005</v>
      </c>
      <c r="J864">
        <v>4564.21</v>
      </c>
      <c r="K864" t="s">
        <v>5081</v>
      </c>
      <c r="L864">
        <v>3.27</v>
      </c>
      <c r="M864">
        <v>60.97</v>
      </c>
      <c r="N864">
        <v>1.45</v>
      </c>
      <c r="O864">
        <v>-1.98</v>
      </c>
      <c r="P864">
        <v>66.400000000000006</v>
      </c>
      <c r="Q864">
        <v>-9.99</v>
      </c>
      <c r="R864">
        <v>60.97</v>
      </c>
      <c r="S864">
        <v>66.400000000000006</v>
      </c>
      <c r="T864">
        <v>208873</v>
      </c>
      <c r="U864">
        <v>60.97</v>
      </c>
      <c r="V864">
        <v>67.739999999999995</v>
      </c>
      <c r="W864">
        <v>68.3</v>
      </c>
      <c r="X864" t="s">
        <v>394</v>
      </c>
      <c r="Y864" t="s">
        <v>602</v>
      </c>
      <c r="Z864">
        <v>8.02</v>
      </c>
      <c r="AA864">
        <v>62.11</v>
      </c>
      <c r="AB864">
        <v>112263</v>
      </c>
      <c r="AC864">
        <v>96610</v>
      </c>
      <c r="AD864">
        <v>1.1599999999999999</v>
      </c>
      <c r="AE864">
        <v>0</v>
      </c>
      <c r="AF864">
        <v>7486</v>
      </c>
      <c r="AG864" t="s">
        <v>120</v>
      </c>
      <c r="AH864">
        <v>0.02</v>
      </c>
      <c r="AI864">
        <v>0.04</v>
      </c>
      <c r="AJ864">
        <v>6.38</v>
      </c>
      <c r="AK864" t="s">
        <v>5082</v>
      </c>
      <c r="AL864">
        <v>-8.08</v>
      </c>
      <c r="AM864">
        <v>4332</v>
      </c>
      <c r="AN864">
        <v>48</v>
      </c>
      <c r="AO864">
        <v>8.0000000000000004E-4</v>
      </c>
      <c r="AP864">
        <v>-1</v>
      </c>
      <c r="AQ864">
        <v>2.06</v>
      </c>
      <c r="AR864">
        <v>-9</v>
      </c>
      <c r="AS864">
        <v>12.72</v>
      </c>
      <c r="AT864">
        <v>38.47</v>
      </c>
      <c r="AU864">
        <v>50.47</v>
      </c>
      <c r="AV864">
        <v>8</v>
      </c>
      <c r="AW864">
        <v>4.2</v>
      </c>
      <c r="AX864">
        <v>31.08</v>
      </c>
      <c r="AY864">
        <v>71.28</v>
      </c>
      <c r="AZ864">
        <v>71.87</v>
      </c>
      <c r="BA864">
        <v>1.64</v>
      </c>
      <c r="BB864" t="s">
        <v>143</v>
      </c>
      <c r="BF864">
        <v>-8.32</v>
      </c>
      <c r="BG864">
        <v>-8.18</v>
      </c>
      <c r="BH864">
        <v>-8.18</v>
      </c>
      <c r="BI864">
        <v>0</v>
      </c>
      <c r="BJ864">
        <v>20210824</v>
      </c>
      <c r="BK864">
        <v>20100810</v>
      </c>
      <c r="BL864">
        <v>15.98</v>
      </c>
      <c r="BM864" t="s">
        <v>120</v>
      </c>
      <c r="BN864" t="s">
        <v>120</v>
      </c>
      <c r="BO864">
        <v>466</v>
      </c>
      <c r="BP864" t="s">
        <v>120</v>
      </c>
      <c r="BQ864">
        <v>151.19</v>
      </c>
      <c r="BR864">
        <v>2.14</v>
      </c>
      <c r="BS864">
        <v>67.099999999999994</v>
      </c>
      <c r="BT864">
        <v>267.01</v>
      </c>
      <c r="BU864">
        <v>120.51</v>
      </c>
      <c r="BV864">
        <v>9.75</v>
      </c>
      <c r="BW864">
        <v>249.89</v>
      </c>
      <c r="BX864">
        <v>110.49</v>
      </c>
      <c r="BY864">
        <v>71.739999999999995</v>
      </c>
      <c r="BZ864">
        <v>44.98</v>
      </c>
      <c r="CA864" t="s">
        <v>120</v>
      </c>
      <c r="CB864">
        <v>89.45</v>
      </c>
      <c r="CC864">
        <v>161.91999999999999</v>
      </c>
      <c r="CD864">
        <v>140.83000000000001</v>
      </c>
      <c r="CE864">
        <v>8.81</v>
      </c>
      <c r="CF864">
        <v>1.33</v>
      </c>
      <c r="CG864">
        <v>8.67</v>
      </c>
      <c r="CH864">
        <v>7.4</v>
      </c>
      <c r="CI864">
        <v>7.13</v>
      </c>
      <c r="CJ864">
        <v>-6.77</v>
      </c>
      <c r="CK864">
        <v>5.4</v>
      </c>
      <c r="CL864">
        <v>43.1</v>
      </c>
      <c r="CM864">
        <v>4.3</v>
      </c>
      <c r="CN864">
        <v>5.01</v>
      </c>
      <c r="CO864">
        <v>33862</v>
      </c>
      <c r="CP864">
        <v>14670</v>
      </c>
      <c r="CQ864" t="s">
        <v>5083</v>
      </c>
      <c r="CR864">
        <v>1.78</v>
      </c>
      <c r="CS864">
        <v>48.77</v>
      </c>
      <c r="CT864">
        <v>6.44</v>
      </c>
      <c r="CU864">
        <v>226.54</v>
      </c>
      <c r="CV864">
        <v>6.02</v>
      </c>
      <c r="CW864">
        <v>0.3</v>
      </c>
      <c r="CX864" t="s">
        <v>1520</v>
      </c>
      <c r="CY864">
        <v>9.4600000000000009</v>
      </c>
      <c r="CZ864">
        <v>9.4600000000000009</v>
      </c>
      <c r="DA864">
        <v>5.6</v>
      </c>
      <c r="DB864">
        <v>2.7</v>
      </c>
      <c r="DC864">
        <v>0.27</v>
      </c>
      <c r="DD864">
        <v>32.44</v>
      </c>
      <c r="DE864" t="s">
        <v>2571</v>
      </c>
      <c r="DF864">
        <v>13.02</v>
      </c>
      <c r="DG864">
        <v>5.44</v>
      </c>
      <c r="DH864">
        <v>4.41</v>
      </c>
      <c r="DI864">
        <v>2.14</v>
      </c>
      <c r="DJ864">
        <v>25183</v>
      </c>
      <c r="DK864">
        <v>2459</v>
      </c>
      <c r="DL864">
        <v>20210826</v>
      </c>
      <c r="DM864">
        <v>68.7</v>
      </c>
      <c r="DN864">
        <v>-11.25</v>
      </c>
    </row>
    <row r="865" spans="1:118">
      <c r="A865" t="str">
        <f>"002460"</f>
        <v>002460</v>
      </c>
      <c r="B865" t="s">
        <v>5084</v>
      </c>
      <c r="C865">
        <v>-10</v>
      </c>
      <c r="D865">
        <v>0</v>
      </c>
      <c r="E865">
        <v>-0.61</v>
      </c>
      <c r="F865">
        <v>2270</v>
      </c>
      <c r="G865" t="s">
        <v>5085</v>
      </c>
      <c r="H865">
        <v>967807.16</v>
      </c>
      <c r="I865">
        <v>3778.91</v>
      </c>
      <c r="J865">
        <v>14121.27</v>
      </c>
      <c r="K865" t="s">
        <v>5086</v>
      </c>
      <c r="L865">
        <v>6.18</v>
      </c>
      <c r="M865">
        <v>176.56</v>
      </c>
      <c r="N865">
        <v>1.65</v>
      </c>
      <c r="O865">
        <v>-0.61</v>
      </c>
      <c r="P865">
        <v>194.99</v>
      </c>
      <c r="Q865">
        <v>-10</v>
      </c>
      <c r="R865">
        <v>176.56</v>
      </c>
      <c r="S865">
        <v>194.99</v>
      </c>
      <c r="T865">
        <v>531442</v>
      </c>
      <c r="U865">
        <v>176.56</v>
      </c>
      <c r="V865">
        <v>196.18</v>
      </c>
      <c r="W865">
        <v>89.58</v>
      </c>
      <c r="X865" t="s">
        <v>1390</v>
      </c>
      <c r="Y865" t="s">
        <v>676</v>
      </c>
      <c r="Z865">
        <v>9.39</v>
      </c>
      <c r="AA865">
        <v>182.11</v>
      </c>
      <c r="AB865">
        <v>277714</v>
      </c>
      <c r="AC865">
        <v>253728</v>
      </c>
      <c r="AD865">
        <v>1.0900000000000001</v>
      </c>
      <c r="AE865">
        <v>0</v>
      </c>
      <c r="AF865">
        <v>7998</v>
      </c>
      <c r="AG865" t="s">
        <v>120</v>
      </c>
      <c r="AH865">
        <v>0.03</v>
      </c>
      <c r="AI865">
        <v>0.02</v>
      </c>
      <c r="AJ865">
        <v>8.59</v>
      </c>
      <c r="AK865" t="s">
        <v>5087</v>
      </c>
      <c r="AL865">
        <v>-8.09</v>
      </c>
      <c r="AM865">
        <v>4735</v>
      </c>
      <c r="AN865">
        <v>112</v>
      </c>
      <c r="AO865">
        <v>1.2999999999999999E-3</v>
      </c>
      <c r="AP865">
        <v>-1</v>
      </c>
      <c r="AQ865">
        <v>7.91</v>
      </c>
      <c r="AR865">
        <v>-6.78</v>
      </c>
      <c r="AS865">
        <v>-0.62</v>
      </c>
      <c r="AT865">
        <v>48.47</v>
      </c>
      <c r="AU865">
        <v>74.989999999999995</v>
      </c>
      <c r="AV865">
        <v>7</v>
      </c>
      <c r="AW865">
        <v>6.93</v>
      </c>
      <c r="AX865">
        <v>66.709999999999994</v>
      </c>
      <c r="AY865">
        <v>123.43</v>
      </c>
      <c r="AZ865">
        <v>275.22000000000003</v>
      </c>
      <c r="BA865">
        <v>1.7</v>
      </c>
      <c r="BB865" t="s">
        <v>168</v>
      </c>
      <c r="BF865">
        <v>-7.17</v>
      </c>
      <c r="BG865">
        <v>-9.4499999999999993</v>
      </c>
      <c r="BH865">
        <v>-9.4499999999999993</v>
      </c>
      <c r="BI865">
        <v>0</v>
      </c>
      <c r="BJ865">
        <v>20210914</v>
      </c>
      <c r="BK865">
        <v>20100810</v>
      </c>
      <c r="BL865">
        <v>14.37</v>
      </c>
      <c r="BM865" t="s">
        <v>120</v>
      </c>
      <c r="BN865">
        <v>2.88</v>
      </c>
      <c r="BO865">
        <v>301.36</v>
      </c>
      <c r="BP865" t="s">
        <v>120</v>
      </c>
      <c r="BQ865">
        <v>181.96</v>
      </c>
      <c r="BR865">
        <v>29.73</v>
      </c>
      <c r="BS865">
        <v>29.75</v>
      </c>
      <c r="BT865">
        <v>133.97999999999999</v>
      </c>
      <c r="BU865">
        <v>26.93</v>
      </c>
      <c r="BV865">
        <v>37.42</v>
      </c>
      <c r="BW865">
        <v>63.49</v>
      </c>
      <c r="BX865">
        <v>70.58</v>
      </c>
      <c r="BY865">
        <v>24.95</v>
      </c>
      <c r="BZ865">
        <v>17.82</v>
      </c>
      <c r="CA865" t="s">
        <v>120</v>
      </c>
      <c r="CB865">
        <v>118.59</v>
      </c>
      <c r="CC865">
        <v>40.64</v>
      </c>
      <c r="CD865">
        <v>26.37</v>
      </c>
      <c r="CE865">
        <v>16.399999999999999</v>
      </c>
      <c r="CF865">
        <v>-0.01</v>
      </c>
      <c r="CG865">
        <v>16.399999999999999</v>
      </c>
      <c r="CH865">
        <v>14.63</v>
      </c>
      <c r="CI865">
        <v>14.17</v>
      </c>
      <c r="CJ865">
        <v>-19.62</v>
      </c>
      <c r="CK865">
        <v>8.35</v>
      </c>
      <c r="CL865">
        <v>47.92</v>
      </c>
      <c r="CM865">
        <v>6.3</v>
      </c>
      <c r="CN865">
        <v>48.19</v>
      </c>
      <c r="CO865">
        <v>142822</v>
      </c>
      <c r="CP865">
        <v>5368</v>
      </c>
      <c r="CQ865" t="s">
        <v>5088</v>
      </c>
      <c r="CR865">
        <v>805.29</v>
      </c>
      <c r="CS865">
        <v>70.27</v>
      </c>
      <c r="CT865">
        <v>13.95</v>
      </c>
      <c r="CU865">
        <v>402.63</v>
      </c>
      <c r="CV865">
        <v>62.45</v>
      </c>
      <c r="CW865">
        <v>0.15</v>
      </c>
      <c r="CX865" t="s">
        <v>3739</v>
      </c>
      <c r="CY865">
        <v>12.66</v>
      </c>
      <c r="CZ865">
        <v>0</v>
      </c>
      <c r="DA865">
        <v>8.25</v>
      </c>
      <c r="DB865">
        <v>3.33</v>
      </c>
      <c r="DC865">
        <v>0.44</v>
      </c>
      <c r="DD865">
        <v>60.38</v>
      </c>
      <c r="DE865" t="s">
        <v>5089</v>
      </c>
      <c r="DF865">
        <v>35.119999999999997</v>
      </c>
      <c r="DG865">
        <v>40.35</v>
      </c>
      <c r="DH865">
        <v>34.86</v>
      </c>
      <c r="DI865">
        <v>0.92</v>
      </c>
      <c r="DJ865">
        <v>5533</v>
      </c>
      <c r="DK865">
        <v>2460</v>
      </c>
      <c r="DL865">
        <v>20210915</v>
      </c>
      <c r="DM865">
        <v>195</v>
      </c>
      <c r="DN865">
        <v>-9.4600000000000009</v>
      </c>
    </row>
    <row r="866" spans="1:118">
      <c r="A866" t="str">
        <f>"002461"</f>
        <v>002461</v>
      </c>
      <c r="B866" t="s">
        <v>5090</v>
      </c>
      <c r="C866">
        <v>-0.11</v>
      </c>
      <c r="D866">
        <v>0</v>
      </c>
      <c r="E866">
        <v>0</v>
      </c>
      <c r="F866">
        <v>501</v>
      </c>
      <c r="G866" t="s">
        <v>423</v>
      </c>
      <c r="H866">
        <v>3579.72</v>
      </c>
      <c r="I866">
        <v>3.13</v>
      </c>
      <c r="J866" t="s">
        <v>120</v>
      </c>
      <c r="K866" t="s">
        <v>5091</v>
      </c>
      <c r="L866">
        <v>0.18</v>
      </c>
      <c r="M866">
        <v>9.1999999999999993</v>
      </c>
      <c r="N866">
        <v>0.83</v>
      </c>
      <c r="O866">
        <v>0.87</v>
      </c>
      <c r="P866">
        <v>9.2899999999999991</v>
      </c>
      <c r="Q866">
        <v>-0.54</v>
      </c>
      <c r="R866">
        <v>9.16</v>
      </c>
      <c r="S866">
        <v>9.2100000000000009</v>
      </c>
      <c r="T866">
        <v>38826</v>
      </c>
      <c r="U866">
        <v>9.2100000000000009</v>
      </c>
      <c r="V866">
        <v>9.2100000000000009</v>
      </c>
      <c r="W866">
        <v>32.79</v>
      </c>
      <c r="X866" t="s">
        <v>1783</v>
      </c>
      <c r="Y866" t="s">
        <v>547</v>
      </c>
      <c r="Z866">
        <v>1.41</v>
      </c>
      <c r="AA866">
        <v>9.2200000000000006</v>
      </c>
      <c r="AB866">
        <v>22457</v>
      </c>
      <c r="AC866">
        <v>16369</v>
      </c>
      <c r="AD866">
        <v>1.37</v>
      </c>
      <c r="AE866">
        <v>420</v>
      </c>
      <c r="AF866">
        <v>139</v>
      </c>
      <c r="AG866" t="s">
        <v>120</v>
      </c>
      <c r="AH866">
        <v>0</v>
      </c>
      <c r="AI866" t="s">
        <v>120</v>
      </c>
      <c r="AJ866">
        <v>22.13</v>
      </c>
      <c r="AK866" t="s">
        <v>5091</v>
      </c>
      <c r="AL866">
        <v>1.81</v>
      </c>
      <c r="AM866">
        <v>1735</v>
      </c>
      <c r="AN866">
        <v>22</v>
      </c>
      <c r="AO866">
        <v>1E-4</v>
      </c>
      <c r="AP866">
        <v>-6</v>
      </c>
      <c r="AQ866">
        <v>-0.75</v>
      </c>
      <c r="AR866">
        <v>-1.92</v>
      </c>
      <c r="AS866">
        <v>-1.29</v>
      </c>
      <c r="AT866">
        <v>-16.82</v>
      </c>
      <c r="AU866">
        <v>-13</v>
      </c>
      <c r="AV866">
        <v>0</v>
      </c>
      <c r="AW866">
        <v>1.1100000000000001</v>
      </c>
      <c r="AX866">
        <v>15.86</v>
      </c>
      <c r="AY866">
        <v>32.159999999999997</v>
      </c>
      <c r="AZ866">
        <v>35.81</v>
      </c>
      <c r="BA866">
        <v>0.84</v>
      </c>
      <c r="BB866" t="s">
        <v>143</v>
      </c>
      <c r="BF866">
        <v>0.11</v>
      </c>
      <c r="BG866">
        <v>-0.11</v>
      </c>
      <c r="BH866">
        <v>-0.97</v>
      </c>
      <c r="BI866">
        <v>0.44</v>
      </c>
      <c r="BJ866">
        <v>20210825</v>
      </c>
      <c r="BK866">
        <v>20100818</v>
      </c>
      <c r="BL866">
        <v>22.13</v>
      </c>
      <c r="BM866" t="s">
        <v>120</v>
      </c>
      <c r="BN866" t="s">
        <v>120</v>
      </c>
      <c r="BO866">
        <v>135.07</v>
      </c>
      <c r="BP866">
        <v>9.1999999999999993</v>
      </c>
      <c r="BQ866">
        <v>89.81</v>
      </c>
      <c r="BR866">
        <v>0.55000000000000004</v>
      </c>
      <c r="BS866">
        <v>33.1</v>
      </c>
      <c r="BT866">
        <v>91.55</v>
      </c>
      <c r="BU866">
        <v>28.35</v>
      </c>
      <c r="BV866">
        <v>9.4</v>
      </c>
      <c r="BW866">
        <v>29.22</v>
      </c>
      <c r="BX866">
        <v>65.36</v>
      </c>
      <c r="BY866">
        <v>21.88</v>
      </c>
      <c r="BZ866">
        <v>0.25</v>
      </c>
      <c r="CA866" t="s">
        <v>120</v>
      </c>
      <c r="CB866">
        <v>45.05</v>
      </c>
      <c r="CC866">
        <v>22.18</v>
      </c>
      <c r="CD866">
        <v>11.62</v>
      </c>
      <c r="CE866">
        <v>3.75</v>
      </c>
      <c r="CF866">
        <v>0.05</v>
      </c>
      <c r="CG866">
        <v>3.78</v>
      </c>
      <c r="CH866">
        <v>3.19</v>
      </c>
      <c r="CI866">
        <v>3.11</v>
      </c>
      <c r="CJ866">
        <v>-0.01</v>
      </c>
      <c r="CK866">
        <v>2.69</v>
      </c>
      <c r="CL866">
        <v>20.45</v>
      </c>
      <c r="CM866">
        <v>5.83</v>
      </c>
      <c r="CN866">
        <v>2.42</v>
      </c>
      <c r="CO866">
        <v>52187</v>
      </c>
      <c r="CP866">
        <v>6727</v>
      </c>
      <c r="CQ866" t="s">
        <v>5092</v>
      </c>
      <c r="CR866">
        <v>26.3</v>
      </c>
      <c r="CS866">
        <v>10.51</v>
      </c>
      <c r="CT866">
        <v>2.27</v>
      </c>
      <c r="CU866">
        <v>34.96</v>
      </c>
      <c r="CV866">
        <v>9.18</v>
      </c>
      <c r="CW866">
        <v>1.25</v>
      </c>
      <c r="CX866" t="s">
        <v>300</v>
      </c>
      <c r="CY866">
        <v>4.0599999999999996</v>
      </c>
      <c r="CZ866">
        <v>0</v>
      </c>
      <c r="DA866">
        <v>2.04</v>
      </c>
      <c r="DB866">
        <v>0.92</v>
      </c>
      <c r="DC866">
        <v>0.26</v>
      </c>
      <c r="DD866">
        <v>66.489999999999995</v>
      </c>
      <c r="DE866" t="s">
        <v>5093</v>
      </c>
      <c r="DF866">
        <v>47.61</v>
      </c>
      <c r="DG866">
        <v>16.920000000000002</v>
      </c>
      <c r="DH866">
        <v>14</v>
      </c>
      <c r="DI866">
        <v>0.72</v>
      </c>
      <c r="DJ866">
        <v>4562</v>
      </c>
      <c r="DK866">
        <v>2461</v>
      </c>
      <c r="DL866" t="s">
        <v>120</v>
      </c>
      <c r="DM866" t="s">
        <v>120</v>
      </c>
      <c r="DN866" t="s">
        <v>120</v>
      </c>
    </row>
    <row r="867" spans="1:118">
      <c r="A867" t="str">
        <f>"002462"</f>
        <v>002462</v>
      </c>
      <c r="B867" t="s">
        <v>5094</v>
      </c>
      <c r="C867">
        <v>-0.15</v>
      </c>
      <c r="D867">
        <v>-0.22</v>
      </c>
      <c r="E867">
        <v>-0.08</v>
      </c>
      <c r="F867">
        <v>537</v>
      </c>
      <c r="G867" t="s">
        <v>2148</v>
      </c>
      <c r="H867">
        <v>3504.72</v>
      </c>
      <c r="I867">
        <v>1.96</v>
      </c>
      <c r="J867" t="s">
        <v>120</v>
      </c>
      <c r="K867" t="s">
        <v>4635</v>
      </c>
      <c r="L867">
        <v>1.07</v>
      </c>
      <c r="M867">
        <v>13.03</v>
      </c>
      <c r="N867">
        <v>1.01</v>
      </c>
      <c r="O867">
        <v>1.46</v>
      </c>
      <c r="P867">
        <v>13.24</v>
      </c>
      <c r="Q867">
        <v>-0.54</v>
      </c>
      <c r="R867">
        <v>12.98</v>
      </c>
      <c r="S867">
        <v>13.04</v>
      </c>
      <c r="T867">
        <v>26696</v>
      </c>
      <c r="U867">
        <v>13.03</v>
      </c>
      <c r="V867">
        <v>13.05</v>
      </c>
      <c r="W867">
        <v>10.85</v>
      </c>
      <c r="X867" t="s">
        <v>274</v>
      </c>
      <c r="Y867" t="s">
        <v>158</v>
      </c>
      <c r="Z867">
        <v>1.99</v>
      </c>
      <c r="AA867">
        <v>13.13</v>
      </c>
      <c r="AB867">
        <v>12404</v>
      </c>
      <c r="AC867">
        <v>14292</v>
      </c>
      <c r="AD867">
        <v>0.87</v>
      </c>
      <c r="AE867">
        <v>30</v>
      </c>
      <c r="AF867">
        <v>216</v>
      </c>
      <c r="AG867" t="s">
        <v>120</v>
      </c>
      <c r="AH867">
        <v>0</v>
      </c>
      <c r="AI867" t="s">
        <v>120</v>
      </c>
      <c r="AJ867">
        <v>2.5</v>
      </c>
      <c r="AK867" t="s">
        <v>5095</v>
      </c>
      <c r="AL867">
        <v>1.76</v>
      </c>
      <c r="AM867">
        <v>1048</v>
      </c>
      <c r="AN867">
        <v>25</v>
      </c>
      <c r="AO867">
        <v>1E-3</v>
      </c>
      <c r="AP867">
        <v>-1</v>
      </c>
      <c r="AQ867">
        <v>0.08</v>
      </c>
      <c r="AR867">
        <v>-1.73</v>
      </c>
      <c r="AS867">
        <v>0.39</v>
      </c>
      <c r="AT867">
        <v>-2.62</v>
      </c>
      <c r="AU867">
        <v>-5.45</v>
      </c>
      <c r="AV867">
        <v>1</v>
      </c>
      <c r="AW867">
        <v>1.28</v>
      </c>
      <c r="AX867">
        <v>71.25</v>
      </c>
      <c r="AY867">
        <v>10.66</v>
      </c>
      <c r="AZ867">
        <v>11.99</v>
      </c>
      <c r="BA867">
        <v>0.25</v>
      </c>
      <c r="BB867" t="s">
        <v>240</v>
      </c>
      <c r="BF867">
        <v>0.6</v>
      </c>
      <c r="BG867">
        <v>-0.08</v>
      </c>
      <c r="BH867">
        <v>-1.59</v>
      </c>
      <c r="BI867">
        <v>0.39</v>
      </c>
      <c r="BJ867">
        <v>20210827</v>
      </c>
      <c r="BK867">
        <v>20100818</v>
      </c>
      <c r="BL867">
        <v>2.92</v>
      </c>
      <c r="BM867" t="s">
        <v>120</v>
      </c>
      <c r="BN867" t="s">
        <v>120</v>
      </c>
      <c r="BO867">
        <v>141.46</v>
      </c>
      <c r="BP867">
        <v>13.02</v>
      </c>
      <c r="BQ867">
        <v>37.08</v>
      </c>
      <c r="BR867">
        <v>16.64</v>
      </c>
      <c r="BS867">
        <v>62.03</v>
      </c>
      <c r="BT867">
        <v>125.92</v>
      </c>
      <c r="BU867">
        <v>5.15</v>
      </c>
      <c r="BV867">
        <v>0.34</v>
      </c>
      <c r="BW867">
        <v>85.23</v>
      </c>
      <c r="BX867">
        <v>15.03</v>
      </c>
      <c r="BY867">
        <v>22.23</v>
      </c>
      <c r="BZ867">
        <v>78.16</v>
      </c>
      <c r="CA867" t="s">
        <v>120</v>
      </c>
      <c r="CB867">
        <v>12.88</v>
      </c>
      <c r="CC867">
        <v>125.62</v>
      </c>
      <c r="CD867">
        <v>115.19</v>
      </c>
      <c r="CE867">
        <v>4.3499999999999996</v>
      </c>
      <c r="CF867">
        <v>0</v>
      </c>
      <c r="CG867">
        <v>4.3099999999999996</v>
      </c>
      <c r="CH867">
        <v>3.11</v>
      </c>
      <c r="CI867">
        <v>1.75</v>
      </c>
      <c r="CJ867">
        <v>-0.02</v>
      </c>
      <c r="CK867">
        <v>1.7</v>
      </c>
      <c r="CL867">
        <v>19.37</v>
      </c>
      <c r="CM867">
        <v>0.8</v>
      </c>
      <c r="CN867">
        <v>-5.26</v>
      </c>
      <c r="CO867">
        <v>21284</v>
      </c>
      <c r="CP867">
        <v>9765</v>
      </c>
      <c r="CQ867" t="s">
        <v>647</v>
      </c>
      <c r="CR867">
        <v>29.12</v>
      </c>
      <c r="CS867">
        <v>29.35</v>
      </c>
      <c r="CT867">
        <v>1.03</v>
      </c>
      <c r="CU867">
        <v>47.7</v>
      </c>
      <c r="CV867">
        <v>0.3</v>
      </c>
      <c r="CW867">
        <v>2.5299999999999998</v>
      </c>
      <c r="CX867" t="s">
        <v>817</v>
      </c>
      <c r="CY867">
        <v>12.71</v>
      </c>
      <c r="CZ867">
        <v>0</v>
      </c>
      <c r="DA867">
        <v>4.42</v>
      </c>
      <c r="DB867">
        <v>6.64</v>
      </c>
      <c r="DC867">
        <v>0.27</v>
      </c>
      <c r="DD867">
        <v>26.21</v>
      </c>
      <c r="DE867" t="s">
        <v>2571</v>
      </c>
      <c r="DF867">
        <v>8.3000000000000007</v>
      </c>
      <c r="DG867">
        <v>3.47</v>
      </c>
      <c r="DH867">
        <v>1.39</v>
      </c>
      <c r="DI867" t="s">
        <v>120</v>
      </c>
      <c r="DJ867">
        <v>3031</v>
      </c>
      <c r="DK867">
        <v>2462</v>
      </c>
      <c r="DL867" t="s">
        <v>120</v>
      </c>
      <c r="DM867" t="s">
        <v>120</v>
      </c>
      <c r="DN867" t="s">
        <v>120</v>
      </c>
    </row>
    <row r="868" spans="1:118">
      <c r="A868" t="str">
        <f>"002463"</f>
        <v>002463</v>
      </c>
      <c r="B868" t="s">
        <v>5096</v>
      </c>
      <c r="C868">
        <v>-1.23</v>
      </c>
      <c r="D868">
        <v>-0.32</v>
      </c>
      <c r="E868">
        <v>0</v>
      </c>
      <c r="F868">
        <v>6303</v>
      </c>
      <c r="G868" t="s">
        <v>5097</v>
      </c>
      <c r="H868">
        <v>17883.88</v>
      </c>
      <c r="I868">
        <v>33.659999999999997</v>
      </c>
      <c r="J868" t="s">
        <v>120</v>
      </c>
      <c r="K868" t="s">
        <v>5098</v>
      </c>
      <c r="L868">
        <v>0.78</v>
      </c>
      <c r="M868">
        <v>12</v>
      </c>
      <c r="N868">
        <v>0.77</v>
      </c>
      <c r="O868">
        <v>1.23</v>
      </c>
      <c r="P868">
        <v>12.3</v>
      </c>
      <c r="Q868">
        <v>-1.23</v>
      </c>
      <c r="R868">
        <v>12</v>
      </c>
      <c r="S868">
        <v>12.15</v>
      </c>
      <c r="T868">
        <v>147194</v>
      </c>
      <c r="U868">
        <v>12.01</v>
      </c>
      <c r="V868">
        <v>12.15</v>
      </c>
      <c r="W868">
        <v>23.69</v>
      </c>
      <c r="X868" t="s">
        <v>229</v>
      </c>
      <c r="Y868" t="s">
        <v>319</v>
      </c>
      <c r="Z868">
        <v>2.4700000000000002</v>
      </c>
      <c r="AA868">
        <v>12.15</v>
      </c>
      <c r="AB868">
        <v>64725</v>
      </c>
      <c r="AC868">
        <v>82469</v>
      </c>
      <c r="AD868">
        <v>0.78</v>
      </c>
      <c r="AE868">
        <v>909</v>
      </c>
      <c r="AF868">
        <v>50</v>
      </c>
      <c r="AG868" t="s">
        <v>120</v>
      </c>
      <c r="AH868">
        <v>0</v>
      </c>
      <c r="AI868" t="s">
        <v>120</v>
      </c>
      <c r="AJ868">
        <v>18.96</v>
      </c>
      <c r="AK868" t="s">
        <v>5099</v>
      </c>
      <c r="AL868">
        <v>0.68</v>
      </c>
      <c r="AM868">
        <v>3750</v>
      </c>
      <c r="AN868">
        <v>39</v>
      </c>
      <c r="AO868">
        <v>2.0000000000000001E-4</v>
      </c>
      <c r="AP868">
        <v>-1</v>
      </c>
      <c r="AQ868">
        <v>0.75</v>
      </c>
      <c r="AR868">
        <v>-2.5099999999999998</v>
      </c>
      <c r="AS868">
        <v>-2.83</v>
      </c>
      <c r="AT868">
        <v>-15.71</v>
      </c>
      <c r="AU868">
        <v>-29</v>
      </c>
      <c r="AV868">
        <v>2</v>
      </c>
      <c r="AW868">
        <v>1.17</v>
      </c>
      <c r="AX868">
        <v>66.45</v>
      </c>
      <c r="AY868">
        <v>18.59</v>
      </c>
      <c r="AZ868">
        <v>17.16</v>
      </c>
      <c r="BA868">
        <v>0.36</v>
      </c>
      <c r="BB868" t="s">
        <v>143</v>
      </c>
      <c r="BF868">
        <v>0</v>
      </c>
      <c r="BG868">
        <v>-1.23</v>
      </c>
      <c r="BH868">
        <v>-2.44</v>
      </c>
      <c r="BI868">
        <v>0</v>
      </c>
      <c r="BJ868">
        <v>20210827</v>
      </c>
      <c r="BK868">
        <v>20100818</v>
      </c>
      <c r="BL868">
        <v>18.97</v>
      </c>
      <c r="BM868" t="s">
        <v>120</v>
      </c>
      <c r="BN868" t="s">
        <v>120</v>
      </c>
      <c r="BO868">
        <v>108.88</v>
      </c>
      <c r="BP868">
        <v>12</v>
      </c>
      <c r="BQ868">
        <v>65.61</v>
      </c>
      <c r="BR868" t="s">
        <v>120</v>
      </c>
      <c r="BS868">
        <v>39.75</v>
      </c>
      <c r="BT868">
        <v>59.46</v>
      </c>
      <c r="BU868">
        <v>26.05</v>
      </c>
      <c r="BV868">
        <v>1.04</v>
      </c>
      <c r="BW868">
        <v>39.25</v>
      </c>
      <c r="BX868">
        <v>11.77</v>
      </c>
      <c r="BY868">
        <v>16.420000000000002</v>
      </c>
      <c r="BZ868">
        <v>17.989999999999998</v>
      </c>
      <c r="CA868" t="s">
        <v>120</v>
      </c>
      <c r="CB868">
        <v>4.4400000000000004</v>
      </c>
      <c r="CC868">
        <v>35.42</v>
      </c>
      <c r="CD868">
        <v>25.37</v>
      </c>
      <c r="CE868">
        <v>5.48</v>
      </c>
      <c r="CF868">
        <v>-0.06</v>
      </c>
      <c r="CG868">
        <v>5.49</v>
      </c>
      <c r="CH868">
        <v>4.8</v>
      </c>
      <c r="CI868">
        <v>4.8</v>
      </c>
      <c r="CJ868">
        <v>-0.15</v>
      </c>
      <c r="CK868">
        <v>4.4000000000000004</v>
      </c>
      <c r="CL868">
        <v>37.24</v>
      </c>
      <c r="CM868">
        <v>8.11</v>
      </c>
      <c r="CN868">
        <v>2.39</v>
      </c>
      <c r="CO868">
        <v>198970</v>
      </c>
      <c r="CP868">
        <v>6334</v>
      </c>
      <c r="CQ868" t="s">
        <v>5100</v>
      </c>
      <c r="CR868">
        <v>-17.690000000000001</v>
      </c>
      <c r="CS868">
        <v>0.24</v>
      </c>
      <c r="CT868">
        <v>3.47</v>
      </c>
      <c r="CU868">
        <v>28.07</v>
      </c>
      <c r="CV868">
        <v>6.43</v>
      </c>
      <c r="CW868">
        <v>1.5</v>
      </c>
      <c r="CX868" t="s">
        <v>5101</v>
      </c>
      <c r="CY868">
        <v>3.46</v>
      </c>
      <c r="CZ868">
        <v>0</v>
      </c>
      <c r="DA868">
        <v>0.23</v>
      </c>
      <c r="DB868">
        <v>1.96</v>
      </c>
      <c r="DC868">
        <v>0.43</v>
      </c>
      <c r="DD868">
        <v>60.25</v>
      </c>
      <c r="DE868" t="s">
        <v>2577</v>
      </c>
      <c r="DF868">
        <v>28.38</v>
      </c>
      <c r="DG868">
        <v>15.47</v>
      </c>
      <c r="DH868">
        <v>13.56</v>
      </c>
      <c r="DI868">
        <v>1.97</v>
      </c>
      <c r="DJ868">
        <v>7769</v>
      </c>
      <c r="DK868">
        <v>2463</v>
      </c>
      <c r="DL868" t="s">
        <v>120</v>
      </c>
      <c r="DM868" t="s">
        <v>120</v>
      </c>
      <c r="DN868" t="s">
        <v>120</v>
      </c>
    </row>
    <row r="869" spans="1:118">
      <c r="A869" t="str">
        <f>"002465"</f>
        <v>002465</v>
      </c>
      <c r="B869" t="s">
        <v>5102</v>
      </c>
      <c r="C869">
        <v>2.59</v>
      </c>
      <c r="D869">
        <v>0.18</v>
      </c>
      <c r="E869">
        <v>0</v>
      </c>
      <c r="F869">
        <v>6689</v>
      </c>
      <c r="G869" t="s">
        <v>5103</v>
      </c>
      <c r="H869">
        <v>77299.38</v>
      </c>
      <c r="I869">
        <v>75.64</v>
      </c>
      <c r="J869" t="s">
        <v>120</v>
      </c>
      <c r="K869" t="s">
        <v>5104</v>
      </c>
      <c r="L869">
        <v>3.06</v>
      </c>
      <c r="M869">
        <v>11.07</v>
      </c>
      <c r="N869">
        <v>1.47</v>
      </c>
      <c r="O869">
        <v>4.82</v>
      </c>
      <c r="P869">
        <v>11.31</v>
      </c>
      <c r="Q869">
        <v>-1.02</v>
      </c>
      <c r="R869">
        <v>10.68</v>
      </c>
      <c r="S869">
        <v>10.79</v>
      </c>
      <c r="T869">
        <v>693961</v>
      </c>
      <c r="U869">
        <v>11.07</v>
      </c>
      <c r="V869">
        <v>10.79</v>
      </c>
      <c r="W869">
        <v>46.43</v>
      </c>
      <c r="X869" t="s">
        <v>462</v>
      </c>
      <c r="Y869" t="s">
        <v>547</v>
      </c>
      <c r="Z869">
        <v>5.84</v>
      </c>
      <c r="AA869">
        <v>11.14</v>
      </c>
      <c r="AB869">
        <v>340418</v>
      </c>
      <c r="AC869">
        <v>353543</v>
      </c>
      <c r="AD869">
        <v>0.96</v>
      </c>
      <c r="AE869">
        <v>234</v>
      </c>
      <c r="AF869">
        <v>499</v>
      </c>
      <c r="AG869" t="s">
        <v>120</v>
      </c>
      <c r="AH869">
        <v>0</v>
      </c>
      <c r="AI869" t="s">
        <v>120</v>
      </c>
      <c r="AJ869">
        <v>22.65</v>
      </c>
      <c r="AK869" t="s">
        <v>5105</v>
      </c>
      <c r="AL869">
        <v>4.51</v>
      </c>
      <c r="AM869">
        <v>4279</v>
      </c>
      <c r="AN869">
        <v>162</v>
      </c>
      <c r="AO869">
        <v>6.9999999999999999E-4</v>
      </c>
      <c r="AP869">
        <v>2</v>
      </c>
      <c r="AQ869">
        <v>0.94</v>
      </c>
      <c r="AR869">
        <v>0.64</v>
      </c>
      <c r="AS869">
        <v>12.04</v>
      </c>
      <c r="AT869">
        <v>14.13</v>
      </c>
      <c r="AU869">
        <v>3.48</v>
      </c>
      <c r="AV869">
        <v>1</v>
      </c>
      <c r="AW869">
        <v>4.17</v>
      </c>
      <c r="AX869">
        <v>72.27</v>
      </c>
      <c r="AY869">
        <v>38.450000000000003</v>
      </c>
      <c r="AZ869">
        <v>42.46</v>
      </c>
      <c r="BA869">
        <v>0.51</v>
      </c>
      <c r="BB869" t="s">
        <v>143</v>
      </c>
      <c r="BF869">
        <v>3.23</v>
      </c>
      <c r="BG869">
        <v>2.59</v>
      </c>
      <c r="BH869">
        <v>-2.12</v>
      </c>
      <c r="BI869">
        <v>3.65</v>
      </c>
      <c r="BJ869">
        <v>20210821</v>
      </c>
      <c r="BK869">
        <v>20100831</v>
      </c>
      <c r="BL869">
        <v>23.04</v>
      </c>
      <c r="BM869" t="s">
        <v>120</v>
      </c>
      <c r="BN869" t="s">
        <v>120</v>
      </c>
      <c r="BO869">
        <v>144.25</v>
      </c>
      <c r="BP869">
        <v>11.06</v>
      </c>
      <c r="BQ869">
        <v>99.28</v>
      </c>
      <c r="BR869">
        <v>5.65</v>
      </c>
      <c r="BS869">
        <v>27.26</v>
      </c>
      <c r="BT869">
        <v>89.92</v>
      </c>
      <c r="BU869">
        <v>12.13</v>
      </c>
      <c r="BV869">
        <v>2.06</v>
      </c>
      <c r="BW869">
        <v>32.619999999999997</v>
      </c>
      <c r="BX869">
        <v>25.03</v>
      </c>
      <c r="BY869">
        <v>21.32</v>
      </c>
      <c r="BZ869">
        <v>25.78</v>
      </c>
      <c r="CA869" t="s">
        <v>120</v>
      </c>
      <c r="CB869">
        <v>38.93</v>
      </c>
      <c r="CC869">
        <v>24.41</v>
      </c>
      <c r="CD869">
        <v>15.24</v>
      </c>
      <c r="CE869">
        <v>3.03</v>
      </c>
      <c r="CF869">
        <v>0.13</v>
      </c>
      <c r="CG869">
        <v>3.1</v>
      </c>
      <c r="CH869">
        <v>2.85</v>
      </c>
      <c r="CI869">
        <v>2.75</v>
      </c>
      <c r="CJ869">
        <v>0.28000000000000003</v>
      </c>
      <c r="CK869">
        <v>2.2599999999999998</v>
      </c>
      <c r="CL869">
        <v>22.94</v>
      </c>
      <c r="CM869">
        <v>-2.09</v>
      </c>
      <c r="CN869">
        <v>4.04</v>
      </c>
      <c r="CO869">
        <v>147161</v>
      </c>
      <c r="CP869">
        <v>11316</v>
      </c>
      <c r="CQ869" t="s">
        <v>5106</v>
      </c>
      <c r="CR869">
        <v>28.61</v>
      </c>
      <c r="CS869">
        <v>16.059999999999999</v>
      </c>
      <c r="CT869">
        <v>2.57</v>
      </c>
      <c r="CU869">
        <v>-121.8</v>
      </c>
      <c r="CV869">
        <v>10.45</v>
      </c>
      <c r="CW869">
        <v>1.22</v>
      </c>
      <c r="CX869" t="s">
        <v>850</v>
      </c>
      <c r="CY869">
        <v>4.3099999999999996</v>
      </c>
      <c r="CZ869">
        <v>0</v>
      </c>
      <c r="DA869">
        <v>1.69</v>
      </c>
      <c r="DB869">
        <v>1</v>
      </c>
      <c r="DC869">
        <v>-0.09</v>
      </c>
      <c r="DD869">
        <v>68.819999999999993</v>
      </c>
      <c r="DE869" t="s">
        <v>1500</v>
      </c>
      <c r="DF869">
        <v>37.590000000000003</v>
      </c>
      <c r="DG869">
        <v>12.4</v>
      </c>
      <c r="DH869">
        <v>11.25</v>
      </c>
      <c r="DI869">
        <v>4.13</v>
      </c>
      <c r="DJ869">
        <v>7698</v>
      </c>
      <c r="DK869">
        <v>2465</v>
      </c>
      <c r="DL869">
        <v>20210826</v>
      </c>
      <c r="DM869">
        <v>11.12</v>
      </c>
      <c r="DN869">
        <v>-0.45</v>
      </c>
    </row>
    <row r="870" spans="1:118">
      <c r="A870" t="str">
        <f>"002466"</f>
        <v>002466</v>
      </c>
      <c r="B870" t="s">
        <v>5107</v>
      </c>
      <c r="C870">
        <v>-10</v>
      </c>
      <c r="D870">
        <v>0</v>
      </c>
      <c r="E870">
        <v>-2.4</v>
      </c>
      <c r="F870">
        <v>1699</v>
      </c>
      <c r="G870" t="s">
        <v>5108</v>
      </c>
      <c r="H870">
        <v>998114.69</v>
      </c>
      <c r="I870">
        <v>6085.92</v>
      </c>
      <c r="J870">
        <v>48666.21</v>
      </c>
      <c r="K870" t="s">
        <v>5109</v>
      </c>
      <c r="L870">
        <v>5.73</v>
      </c>
      <c r="M870">
        <v>114.35</v>
      </c>
      <c r="N870">
        <v>1.25</v>
      </c>
      <c r="O870">
        <v>-0.5</v>
      </c>
      <c r="P870">
        <v>126.42</v>
      </c>
      <c r="Q870">
        <v>-10</v>
      </c>
      <c r="R870">
        <v>114.35</v>
      </c>
      <c r="S870">
        <v>124</v>
      </c>
      <c r="T870">
        <v>844366</v>
      </c>
      <c r="U870">
        <v>114.35</v>
      </c>
      <c r="V870">
        <v>127.05</v>
      </c>
      <c r="W870">
        <v>984.33</v>
      </c>
      <c r="X870" t="s">
        <v>1390</v>
      </c>
      <c r="Y870" t="s">
        <v>578</v>
      </c>
      <c r="Z870">
        <v>9.5</v>
      </c>
      <c r="AA870">
        <v>118.21</v>
      </c>
      <c r="AB870">
        <v>396301</v>
      </c>
      <c r="AC870">
        <v>448065</v>
      </c>
      <c r="AD870">
        <v>0.88</v>
      </c>
      <c r="AE870">
        <v>0</v>
      </c>
      <c r="AF870">
        <v>42559</v>
      </c>
      <c r="AG870" t="s">
        <v>120</v>
      </c>
      <c r="AH870">
        <v>0.05</v>
      </c>
      <c r="AI870">
        <v>0.05</v>
      </c>
      <c r="AJ870">
        <v>14.74</v>
      </c>
      <c r="AK870" t="s">
        <v>5110</v>
      </c>
      <c r="AL870">
        <v>-8.08</v>
      </c>
      <c r="AM870">
        <v>4704</v>
      </c>
      <c r="AN870">
        <v>179</v>
      </c>
      <c r="AO870">
        <v>1.1999999999999999E-3</v>
      </c>
      <c r="AP870">
        <v>-1</v>
      </c>
      <c r="AQ870">
        <v>2.29</v>
      </c>
      <c r="AR870">
        <v>-13.18</v>
      </c>
      <c r="AS870">
        <v>3.05</v>
      </c>
      <c r="AT870">
        <v>81.97</v>
      </c>
      <c r="AU870">
        <v>191.19</v>
      </c>
      <c r="AV870">
        <v>15</v>
      </c>
      <c r="AW870">
        <v>8.5500000000000007</v>
      </c>
      <c r="AX870">
        <v>66.84</v>
      </c>
      <c r="AY870" t="s">
        <v>120</v>
      </c>
      <c r="AZ870" t="s">
        <v>120</v>
      </c>
      <c r="BA870">
        <v>1.19</v>
      </c>
      <c r="BB870" t="s">
        <v>143</v>
      </c>
      <c r="BF870">
        <v>-6.96</v>
      </c>
      <c r="BG870">
        <v>-7.78</v>
      </c>
      <c r="BH870">
        <v>-9.5500000000000007</v>
      </c>
      <c r="BI870">
        <v>0</v>
      </c>
      <c r="BJ870">
        <v>20210913</v>
      </c>
      <c r="BK870">
        <v>20100831</v>
      </c>
      <c r="BL870">
        <v>14.77</v>
      </c>
      <c r="BM870" t="s">
        <v>120</v>
      </c>
      <c r="BN870" t="s">
        <v>120</v>
      </c>
      <c r="BO870">
        <v>413.49</v>
      </c>
      <c r="BP870" t="s">
        <v>120</v>
      </c>
      <c r="BQ870">
        <v>49.98</v>
      </c>
      <c r="BR870">
        <v>21.71</v>
      </c>
      <c r="BS870">
        <v>82.66</v>
      </c>
      <c r="BT870">
        <v>26.16</v>
      </c>
      <c r="BU870">
        <v>39.659999999999997</v>
      </c>
      <c r="BV870">
        <v>31.75</v>
      </c>
      <c r="BW870">
        <v>270.08</v>
      </c>
      <c r="BX870">
        <v>6.98</v>
      </c>
      <c r="BY870">
        <v>7.94</v>
      </c>
      <c r="BZ870">
        <v>4.0199999999999996</v>
      </c>
      <c r="CA870" t="s">
        <v>120</v>
      </c>
      <c r="CB870">
        <v>66.03</v>
      </c>
      <c r="CC870">
        <v>23.51</v>
      </c>
      <c r="CD870">
        <v>11.48</v>
      </c>
      <c r="CE870">
        <v>4.53</v>
      </c>
      <c r="CF870">
        <v>1.5</v>
      </c>
      <c r="CG870">
        <v>4.5999999999999996</v>
      </c>
      <c r="CH870">
        <v>2.4700000000000002</v>
      </c>
      <c r="CI870">
        <v>0.86</v>
      </c>
      <c r="CJ870">
        <v>-12.7</v>
      </c>
      <c r="CK870">
        <v>0.19</v>
      </c>
      <c r="CL870">
        <v>-26.36</v>
      </c>
      <c r="CM870">
        <v>7.56</v>
      </c>
      <c r="CN870">
        <v>-2.77</v>
      </c>
      <c r="CO870">
        <v>225979</v>
      </c>
      <c r="CP870">
        <v>4369</v>
      </c>
      <c r="CQ870" t="s">
        <v>5111</v>
      </c>
      <c r="CR870">
        <v>112.32</v>
      </c>
      <c r="CS870">
        <v>25.13</v>
      </c>
      <c r="CT870">
        <v>33.799999999999997</v>
      </c>
      <c r="CU870">
        <v>223.47</v>
      </c>
      <c r="CV870">
        <v>71.84</v>
      </c>
      <c r="CW870">
        <v>0</v>
      </c>
      <c r="CX870" t="s">
        <v>1064</v>
      </c>
      <c r="CY870">
        <v>3.38</v>
      </c>
      <c r="CZ870">
        <v>0</v>
      </c>
      <c r="DA870">
        <v>4.47</v>
      </c>
      <c r="DB870">
        <v>-1.78</v>
      </c>
      <c r="DC870">
        <v>0.51</v>
      </c>
      <c r="DD870">
        <v>12.09</v>
      </c>
      <c r="DE870" t="s">
        <v>1750</v>
      </c>
      <c r="DF870">
        <v>51.15</v>
      </c>
      <c r="DG870">
        <v>19.25</v>
      </c>
      <c r="DH870">
        <v>3.65</v>
      </c>
      <c r="DI870">
        <v>0.08</v>
      </c>
      <c r="DJ870">
        <v>1644</v>
      </c>
      <c r="DK870">
        <v>2466</v>
      </c>
      <c r="DL870">
        <v>20210826</v>
      </c>
      <c r="DM870">
        <v>122.85</v>
      </c>
      <c r="DN870">
        <v>-6.92</v>
      </c>
    </row>
    <row r="871" spans="1:118">
      <c r="A871" t="str">
        <f>"002467"</f>
        <v>002467</v>
      </c>
      <c r="B871" t="s">
        <v>5112</v>
      </c>
      <c r="C871">
        <v>-0.96</v>
      </c>
      <c r="D871">
        <v>0</v>
      </c>
      <c r="E871">
        <v>1.44</v>
      </c>
      <c r="F871">
        <v>1505</v>
      </c>
      <c r="G871" t="s">
        <v>5113</v>
      </c>
      <c r="H871">
        <v>4541.6000000000004</v>
      </c>
      <c r="I871">
        <v>41.2</v>
      </c>
      <c r="J871" t="s">
        <v>120</v>
      </c>
      <c r="K871" t="s">
        <v>3161</v>
      </c>
      <c r="L871">
        <v>0.93</v>
      </c>
      <c r="M871">
        <v>4.13</v>
      </c>
      <c r="N871">
        <v>0.76</v>
      </c>
      <c r="O871">
        <v>1.44</v>
      </c>
      <c r="P871">
        <v>4.2300000000000004</v>
      </c>
      <c r="Q871">
        <v>-1.2</v>
      </c>
      <c r="R871">
        <v>4.12</v>
      </c>
      <c r="S871">
        <v>4.2300000000000004</v>
      </c>
      <c r="T871">
        <v>108909</v>
      </c>
      <c r="U871">
        <v>4.1399999999999997</v>
      </c>
      <c r="V871">
        <v>4.17</v>
      </c>
      <c r="W871">
        <v>55.86</v>
      </c>
      <c r="X871" t="s">
        <v>3322</v>
      </c>
      <c r="Y871" t="s">
        <v>158</v>
      </c>
      <c r="Z871">
        <v>2.64</v>
      </c>
      <c r="AA871">
        <v>4.17</v>
      </c>
      <c r="AB871">
        <v>63430</v>
      </c>
      <c r="AC871">
        <v>45479</v>
      </c>
      <c r="AD871">
        <v>1.39</v>
      </c>
      <c r="AE871">
        <v>507</v>
      </c>
      <c r="AF871">
        <v>2006</v>
      </c>
      <c r="AG871" t="s">
        <v>120</v>
      </c>
      <c r="AH871">
        <v>0.01</v>
      </c>
      <c r="AI871" t="s">
        <v>120</v>
      </c>
      <c r="AJ871">
        <v>11.75</v>
      </c>
      <c r="AK871" t="s">
        <v>5114</v>
      </c>
      <c r="AL871">
        <v>0.95</v>
      </c>
      <c r="AM871">
        <v>1638</v>
      </c>
      <c r="AN871">
        <v>66</v>
      </c>
      <c r="AO871">
        <v>5.9999999999999995E-4</v>
      </c>
      <c r="AP871">
        <v>-1</v>
      </c>
      <c r="AQ871">
        <v>0.48</v>
      </c>
      <c r="AR871">
        <v>-2.59</v>
      </c>
      <c r="AS871">
        <v>1.97</v>
      </c>
      <c r="AT871">
        <v>-6.98</v>
      </c>
      <c r="AU871">
        <v>-28.67</v>
      </c>
      <c r="AV871">
        <v>1</v>
      </c>
      <c r="AW871">
        <v>0.97</v>
      </c>
      <c r="AX871">
        <v>81.75</v>
      </c>
      <c r="AY871">
        <v>21.37</v>
      </c>
      <c r="AZ871">
        <v>16.37</v>
      </c>
      <c r="BA871">
        <v>0.63</v>
      </c>
      <c r="BB871" t="s">
        <v>143</v>
      </c>
      <c r="BF871">
        <v>0</v>
      </c>
      <c r="BG871">
        <v>-2.36</v>
      </c>
      <c r="BH871">
        <v>-2.36</v>
      </c>
      <c r="BI871">
        <v>0.24</v>
      </c>
      <c r="BJ871">
        <v>20210821</v>
      </c>
      <c r="BK871">
        <v>20100908</v>
      </c>
      <c r="BL871">
        <v>13.67</v>
      </c>
      <c r="BM871" t="s">
        <v>120</v>
      </c>
      <c r="BN871" t="s">
        <v>120</v>
      </c>
      <c r="BO871">
        <v>28.3</v>
      </c>
      <c r="BP871">
        <v>4.13</v>
      </c>
      <c r="BQ871">
        <v>22.25</v>
      </c>
      <c r="BR871">
        <v>0.94</v>
      </c>
      <c r="BS871">
        <v>18.100000000000001</v>
      </c>
      <c r="BT871">
        <v>8.15</v>
      </c>
      <c r="BU871">
        <v>1.1499999999999999</v>
      </c>
      <c r="BV871">
        <v>0.3</v>
      </c>
      <c r="BW871">
        <v>3.78</v>
      </c>
      <c r="BX871">
        <v>5.04</v>
      </c>
      <c r="BY871">
        <v>0.1</v>
      </c>
      <c r="BZ871">
        <v>0.61</v>
      </c>
      <c r="CA871" t="s">
        <v>120</v>
      </c>
      <c r="CB871">
        <v>3.44</v>
      </c>
      <c r="CC871">
        <v>4.54</v>
      </c>
      <c r="CD871">
        <v>2.1800000000000002</v>
      </c>
      <c r="CE871">
        <v>-0.03</v>
      </c>
      <c r="CF871">
        <v>0.21</v>
      </c>
      <c r="CG871">
        <v>0.05</v>
      </c>
      <c r="CH871">
        <v>0.54</v>
      </c>
      <c r="CI871">
        <v>0.51</v>
      </c>
      <c r="CJ871">
        <v>-0.04</v>
      </c>
      <c r="CK871">
        <v>0.44</v>
      </c>
      <c r="CL871">
        <v>4.17</v>
      </c>
      <c r="CM871">
        <v>0.73</v>
      </c>
      <c r="CN871">
        <v>0.39</v>
      </c>
      <c r="CO871">
        <v>107817</v>
      </c>
      <c r="CP871">
        <v>10368</v>
      </c>
      <c r="CQ871" t="s">
        <v>5115</v>
      </c>
      <c r="CR871">
        <v>-61.7</v>
      </c>
      <c r="CS871">
        <v>-7.02</v>
      </c>
      <c r="CT871">
        <v>2.54</v>
      </c>
      <c r="CU871">
        <v>77.53</v>
      </c>
      <c r="CV871">
        <v>12.43</v>
      </c>
      <c r="CW871">
        <v>3.59</v>
      </c>
      <c r="CX871" t="s">
        <v>145</v>
      </c>
      <c r="CY871">
        <v>1.63</v>
      </c>
      <c r="CZ871">
        <v>0</v>
      </c>
      <c r="DA871">
        <v>0.25</v>
      </c>
      <c r="DB871">
        <v>0.31</v>
      </c>
      <c r="DC871">
        <v>0.05</v>
      </c>
      <c r="DD871">
        <v>78.59</v>
      </c>
      <c r="DE871" t="s">
        <v>5116</v>
      </c>
      <c r="DF871">
        <v>52.11</v>
      </c>
      <c r="DG871">
        <v>-0.64</v>
      </c>
      <c r="DH871">
        <v>11.12</v>
      </c>
      <c r="DI871">
        <v>0.56000000000000005</v>
      </c>
      <c r="DJ871">
        <v>1072</v>
      </c>
      <c r="DK871">
        <v>2467</v>
      </c>
      <c r="DL871" t="s">
        <v>120</v>
      </c>
      <c r="DM871" t="s">
        <v>120</v>
      </c>
      <c r="DN871" t="s">
        <v>120</v>
      </c>
    </row>
    <row r="872" spans="1:118">
      <c r="A872" t="str">
        <f>"002468"</f>
        <v>002468</v>
      </c>
      <c r="B872" t="s">
        <v>5117</v>
      </c>
      <c r="C872">
        <v>-3.06</v>
      </c>
      <c r="D872">
        <v>-0.25</v>
      </c>
      <c r="E872">
        <v>0.13</v>
      </c>
      <c r="F872">
        <v>9782</v>
      </c>
      <c r="G872" t="s">
        <v>4279</v>
      </c>
      <c r="H872">
        <v>8759.07</v>
      </c>
      <c r="I872">
        <v>36.270000000000003</v>
      </c>
      <c r="J872" t="s">
        <v>120</v>
      </c>
      <c r="K872" t="s">
        <v>5118</v>
      </c>
      <c r="L872">
        <v>0.76</v>
      </c>
      <c r="M872">
        <v>7.6</v>
      </c>
      <c r="N872">
        <v>0.64</v>
      </c>
      <c r="O872">
        <v>0.64</v>
      </c>
      <c r="P872">
        <v>7.89</v>
      </c>
      <c r="Q872">
        <v>-3.06</v>
      </c>
      <c r="R872">
        <v>7.6</v>
      </c>
      <c r="S872">
        <v>7.85</v>
      </c>
      <c r="T872">
        <v>113633</v>
      </c>
      <c r="U872">
        <v>7.61</v>
      </c>
      <c r="V872">
        <v>7.84</v>
      </c>
      <c r="W872" t="s">
        <v>120</v>
      </c>
      <c r="X872" t="s">
        <v>2775</v>
      </c>
      <c r="Y872" t="s">
        <v>585</v>
      </c>
      <c r="Z872">
        <v>3.7</v>
      </c>
      <c r="AA872">
        <v>7.71</v>
      </c>
      <c r="AB872">
        <v>74027</v>
      </c>
      <c r="AC872">
        <v>39606</v>
      </c>
      <c r="AD872">
        <v>1.87</v>
      </c>
      <c r="AE872">
        <v>1897</v>
      </c>
      <c r="AF872">
        <v>109</v>
      </c>
      <c r="AG872" t="s">
        <v>120</v>
      </c>
      <c r="AH872">
        <v>0.01</v>
      </c>
      <c r="AI872" t="s">
        <v>120</v>
      </c>
      <c r="AJ872">
        <v>14.92</v>
      </c>
      <c r="AK872" t="s">
        <v>5119</v>
      </c>
      <c r="AL872">
        <v>-1.1499999999999999</v>
      </c>
      <c r="AM872">
        <v>2821</v>
      </c>
      <c r="AN872">
        <v>40</v>
      </c>
      <c r="AO872">
        <v>2.9999999999999997E-4</v>
      </c>
      <c r="AP872">
        <v>-1</v>
      </c>
      <c r="AQ872">
        <v>0</v>
      </c>
      <c r="AR872">
        <v>-3.19</v>
      </c>
      <c r="AS872">
        <v>12.09</v>
      </c>
      <c r="AT872">
        <v>-1.68</v>
      </c>
      <c r="AU872">
        <v>-24.6</v>
      </c>
      <c r="AV872">
        <v>1</v>
      </c>
      <c r="AW872">
        <v>1.85</v>
      </c>
      <c r="AX872">
        <v>40.22</v>
      </c>
      <c r="AY872" t="s">
        <v>120</v>
      </c>
      <c r="AZ872">
        <v>330.37</v>
      </c>
      <c r="BA872">
        <v>0.5</v>
      </c>
      <c r="BB872" t="s">
        <v>125</v>
      </c>
      <c r="BF872">
        <v>-1.68</v>
      </c>
      <c r="BG872">
        <v>-3.18</v>
      </c>
      <c r="BH872">
        <v>-3.68</v>
      </c>
      <c r="BI872">
        <v>0</v>
      </c>
      <c r="BJ872">
        <v>20210830</v>
      </c>
      <c r="BK872">
        <v>20100908</v>
      </c>
      <c r="BL872">
        <v>15.31</v>
      </c>
      <c r="BM872" t="s">
        <v>120</v>
      </c>
      <c r="BN872" t="s">
        <v>120</v>
      </c>
      <c r="BO872">
        <v>190.71</v>
      </c>
      <c r="BP872">
        <v>7.6</v>
      </c>
      <c r="BQ872">
        <v>86.24</v>
      </c>
      <c r="BR872">
        <v>0.53</v>
      </c>
      <c r="BS872">
        <v>54.5</v>
      </c>
      <c r="BT872">
        <v>72.3</v>
      </c>
      <c r="BU872">
        <v>51.96</v>
      </c>
      <c r="BV872">
        <v>14.33</v>
      </c>
      <c r="BW872">
        <v>75.540000000000006</v>
      </c>
      <c r="BX872">
        <v>26.55</v>
      </c>
      <c r="BY872">
        <v>0.89</v>
      </c>
      <c r="BZ872">
        <v>8.14</v>
      </c>
      <c r="CA872">
        <v>0.02</v>
      </c>
      <c r="CB872">
        <v>31.77</v>
      </c>
      <c r="CC872">
        <v>110.18</v>
      </c>
      <c r="CD872">
        <v>107.75</v>
      </c>
      <c r="CE872">
        <v>-1.34</v>
      </c>
      <c r="CF872">
        <v>0.41</v>
      </c>
      <c r="CG872">
        <v>-1.74</v>
      </c>
      <c r="CH872">
        <v>-1.44</v>
      </c>
      <c r="CI872">
        <v>-1.46</v>
      </c>
      <c r="CJ872">
        <v>-0.24</v>
      </c>
      <c r="CK872">
        <v>-1.68</v>
      </c>
      <c r="CL872">
        <v>47.94</v>
      </c>
      <c r="CM872">
        <v>2.5099999999999998</v>
      </c>
      <c r="CN872">
        <v>0.4</v>
      </c>
      <c r="CO872">
        <v>75031</v>
      </c>
      <c r="CP872">
        <v>8205</v>
      </c>
      <c r="CQ872" t="s">
        <v>471</v>
      </c>
      <c r="CR872">
        <v>-306.99</v>
      </c>
      <c r="CS872">
        <v>19</v>
      </c>
      <c r="CT872">
        <v>1.35</v>
      </c>
      <c r="CU872">
        <v>46.4</v>
      </c>
      <c r="CV872">
        <v>1.06</v>
      </c>
      <c r="CW872">
        <v>0</v>
      </c>
      <c r="CX872" t="s">
        <v>4684</v>
      </c>
      <c r="CY872">
        <v>5.63</v>
      </c>
      <c r="CZ872">
        <v>0</v>
      </c>
      <c r="DA872">
        <v>2.08</v>
      </c>
      <c r="DB872">
        <v>3.13</v>
      </c>
      <c r="DC872">
        <v>0.16</v>
      </c>
      <c r="DD872">
        <v>45.22</v>
      </c>
      <c r="DE872" t="s">
        <v>5120</v>
      </c>
      <c r="DF872">
        <v>2.2000000000000002</v>
      </c>
      <c r="DG872">
        <v>-1.22</v>
      </c>
      <c r="DH872">
        <v>-1.33</v>
      </c>
      <c r="DI872">
        <v>0.53</v>
      </c>
      <c r="DJ872">
        <v>9725</v>
      </c>
      <c r="DK872">
        <v>2468</v>
      </c>
      <c r="DL872" t="s">
        <v>120</v>
      </c>
      <c r="DM872" t="s">
        <v>120</v>
      </c>
      <c r="DN872" t="s">
        <v>120</v>
      </c>
    </row>
    <row r="873" spans="1:118">
      <c r="A873" t="str">
        <f>"002469"</f>
        <v>002469</v>
      </c>
      <c r="B873" t="s">
        <v>5121</v>
      </c>
      <c r="C873">
        <v>0.59</v>
      </c>
      <c r="D873">
        <v>0.3</v>
      </c>
      <c r="E873">
        <v>2.08</v>
      </c>
      <c r="F873">
        <v>3751</v>
      </c>
      <c r="G873" t="s">
        <v>5122</v>
      </c>
      <c r="H873">
        <v>23482.15</v>
      </c>
      <c r="I873">
        <v>237.08</v>
      </c>
      <c r="J873" t="s">
        <v>120</v>
      </c>
      <c r="K873" t="s">
        <v>5123</v>
      </c>
      <c r="L873">
        <v>6.52</v>
      </c>
      <c r="M873">
        <v>6.77</v>
      </c>
      <c r="N873">
        <v>2.0699999999999998</v>
      </c>
      <c r="O873">
        <v>6.24</v>
      </c>
      <c r="P873">
        <v>7.15</v>
      </c>
      <c r="Q873">
        <v>0.15</v>
      </c>
      <c r="R873">
        <v>6.74</v>
      </c>
      <c r="S873">
        <v>6.87</v>
      </c>
      <c r="T873">
        <v>338181</v>
      </c>
      <c r="U873">
        <v>6.78</v>
      </c>
      <c r="V873">
        <v>6.73</v>
      </c>
      <c r="W873">
        <v>17.649999999999999</v>
      </c>
      <c r="X873" t="s">
        <v>868</v>
      </c>
      <c r="Y873" t="s">
        <v>638</v>
      </c>
      <c r="Z873">
        <v>6.09</v>
      </c>
      <c r="AA873">
        <v>6.94</v>
      </c>
      <c r="AB873">
        <v>163640</v>
      </c>
      <c r="AC873">
        <v>174541</v>
      </c>
      <c r="AD873">
        <v>0.94</v>
      </c>
      <c r="AE873">
        <v>386</v>
      </c>
      <c r="AF873">
        <v>1242</v>
      </c>
      <c r="AG873" t="s">
        <v>120</v>
      </c>
      <c r="AH873">
        <v>0.09</v>
      </c>
      <c r="AI873" t="s">
        <v>120</v>
      </c>
      <c r="AJ873">
        <v>5.18</v>
      </c>
      <c r="AK873" t="s">
        <v>5124</v>
      </c>
      <c r="AL873">
        <v>2.5099999999999998</v>
      </c>
      <c r="AM873">
        <v>3339</v>
      </c>
      <c r="AN873">
        <v>101</v>
      </c>
      <c r="AO873">
        <v>2E-3</v>
      </c>
      <c r="AP873">
        <v>2</v>
      </c>
      <c r="AQ873">
        <v>5.16</v>
      </c>
      <c r="AR873">
        <v>0.75</v>
      </c>
      <c r="AS873">
        <v>10.8</v>
      </c>
      <c r="AT873">
        <v>25.6</v>
      </c>
      <c r="AU873">
        <v>22.42</v>
      </c>
      <c r="AV873">
        <v>1</v>
      </c>
      <c r="AW873">
        <v>8.85</v>
      </c>
      <c r="AX873">
        <v>58.88</v>
      </c>
      <c r="AY873">
        <v>9.3000000000000007</v>
      </c>
      <c r="AZ873">
        <v>11.71</v>
      </c>
      <c r="BA873">
        <v>0.82</v>
      </c>
      <c r="BB873" t="s">
        <v>184</v>
      </c>
      <c r="BF873">
        <v>3.17</v>
      </c>
      <c r="BG873">
        <v>-1.46</v>
      </c>
      <c r="BH873">
        <v>-5.31</v>
      </c>
      <c r="BI873">
        <v>0.45</v>
      </c>
      <c r="BJ873">
        <v>20210817</v>
      </c>
      <c r="BK873">
        <v>20100908</v>
      </c>
      <c r="BL873">
        <v>6.49</v>
      </c>
      <c r="BM873" t="s">
        <v>120</v>
      </c>
      <c r="BN873" t="s">
        <v>120</v>
      </c>
      <c r="BO873">
        <v>28.89</v>
      </c>
      <c r="BP873">
        <v>6.77</v>
      </c>
      <c r="BQ873">
        <v>22.33</v>
      </c>
      <c r="BR873">
        <v>1.03</v>
      </c>
      <c r="BS873">
        <v>19.16</v>
      </c>
      <c r="BT873">
        <v>21.39</v>
      </c>
      <c r="BU873">
        <v>3.67</v>
      </c>
      <c r="BV873">
        <v>1.25</v>
      </c>
      <c r="BW873">
        <v>3.95</v>
      </c>
      <c r="BX873">
        <v>6.81</v>
      </c>
      <c r="BY873">
        <v>1.72</v>
      </c>
      <c r="BZ873">
        <v>2.4</v>
      </c>
      <c r="CA873" t="s">
        <v>120</v>
      </c>
      <c r="CB873">
        <v>6.43</v>
      </c>
      <c r="CC873">
        <v>9.94</v>
      </c>
      <c r="CD873">
        <v>7.47</v>
      </c>
      <c r="CE873">
        <v>1.62</v>
      </c>
      <c r="CF873">
        <v>0.05</v>
      </c>
      <c r="CG873">
        <v>1.62</v>
      </c>
      <c r="CH873">
        <v>1.26</v>
      </c>
      <c r="CI873">
        <v>1.24</v>
      </c>
      <c r="CJ873">
        <v>0.04</v>
      </c>
      <c r="CK873">
        <v>1.1599999999999999</v>
      </c>
      <c r="CL873">
        <v>8.33</v>
      </c>
      <c r="CM873">
        <v>1.89</v>
      </c>
      <c r="CN873">
        <v>-7.66</v>
      </c>
      <c r="CO873">
        <v>28216</v>
      </c>
      <c r="CP873">
        <v>13539</v>
      </c>
      <c r="CQ873" t="s">
        <v>2236</v>
      </c>
      <c r="CR873">
        <v>347.28</v>
      </c>
      <c r="CS873">
        <v>430.25</v>
      </c>
      <c r="CT873">
        <v>1.97</v>
      </c>
      <c r="CU873">
        <v>23.26</v>
      </c>
      <c r="CV873">
        <v>4.42</v>
      </c>
      <c r="CW873">
        <v>2.23</v>
      </c>
      <c r="CX873" t="s">
        <v>5125</v>
      </c>
      <c r="CY873">
        <v>3.44</v>
      </c>
      <c r="CZ873">
        <v>0</v>
      </c>
      <c r="DA873">
        <v>0.99</v>
      </c>
      <c r="DB873">
        <v>1.28</v>
      </c>
      <c r="DC873">
        <v>0.28999999999999998</v>
      </c>
      <c r="DD873">
        <v>77.28</v>
      </c>
      <c r="DE873" t="s">
        <v>5126</v>
      </c>
      <c r="DF873">
        <v>24.87</v>
      </c>
      <c r="DG873">
        <v>16.32</v>
      </c>
      <c r="DH873">
        <v>12.52</v>
      </c>
      <c r="DI873">
        <v>0.39</v>
      </c>
      <c r="DJ873">
        <v>809</v>
      </c>
      <c r="DK873">
        <v>2469</v>
      </c>
      <c r="DL873" t="s">
        <v>120</v>
      </c>
      <c r="DM873" t="s">
        <v>120</v>
      </c>
      <c r="DN873" t="s">
        <v>120</v>
      </c>
    </row>
    <row r="874" spans="1:118">
      <c r="A874" t="str">
        <f>"002471"</f>
        <v>002471</v>
      </c>
      <c r="B874" t="s">
        <v>5127</v>
      </c>
      <c r="C874">
        <v>-2.29</v>
      </c>
      <c r="D874">
        <v>-0.28000000000000003</v>
      </c>
      <c r="E874">
        <v>1.43</v>
      </c>
      <c r="F874">
        <v>3118</v>
      </c>
      <c r="G874" t="s">
        <v>5128</v>
      </c>
      <c r="H874">
        <v>12019.79</v>
      </c>
      <c r="I874">
        <v>143.6</v>
      </c>
      <c r="J874" t="s">
        <v>120</v>
      </c>
      <c r="K874" t="s">
        <v>5129</v>
      </c>
      <c r="L874">
        <v>2.72</v>
      </c>
      <c r="M874">
        <v>3.42</v>
      </c>
      <c r="N874">
        <v>0.83</v>
      </c>
      <c r="O874">
        <v>1.71</v>
      </c>
      <c r="P874">
        <v>3.56</v>
      </c>
      <c r="Q874">
        <v>-2.29</v>
      </c>
      <c r="R874">
        <v>3.42</v>
      </c>
      <c r="S874">
        <v>3.55</v>
      </c>
      <c r="T874">
        <v>344262</v>
      </c>
      <c r="U874">
        <v>3.43</v>
      </c>
      <c r="V874">
        <v>3.5</v>
      </c>
      <c r="W874" t="s">
        <v>120</v>
      </c>
      <c r="X874" t="s">
        <v>394</v>
      </c>
      <c r="Y874" t="s">
        <v>319</v>
      </c>
      <c r="Z874">
        <v>4</v>
      </c>
      <c r="AA874">
        <v>3.49</v>
      </c>
      <c r="AB874">
        <v>207750</v>
      </c>
      <c r="AC874">
        <v>136512</v>
      </c>
      <c r="AD874">
        <v>1.52</v>
      </c>
      <c r="AE874">
        <v>2549</v>
      </c>
      <c r="AF874">
        <v>385</v>
      </c>
      <c r="AG874" t="s">
        <v>120</v>
      </c>
      <c r="AH874">
        <v>0.04</v>
      </c>
      <c r="AI874" t="s">
        <v>120</v>
      </c>
      <c r="AJ874">
        <v>12.65</v>
      </c>
      <c r="AK874" t="s">
        <v>5130</v>
      </c>
      <c r="AL874">
        <v>-0.37</v>
      </c>
      <c r="AM874">
        <v>2759</v>
      </c>
      <c r="AN874">
        <v>125</v>
      </c>
      <c r="AO874">
        <v>1E-3</v>
      </c>
      <c r="AP874">
        <v>-1</v>
      </c>
      <c r="AQ874">
        <v>5.42</v>
      </c>
      <c r="AR874">
        <v>1.49</v>
      </c>
      <c r="AS874">
        <v>12.13</v>
      </c>
      <c r="AT874">
        <v>19.579999999999998</v>
      </c>
      <c r="AU874">
        <v>24.82</v>
      </c>
      <c r="AV874">
        <v>3</v>
      </c>
      <c r="AW874">
        <v>3.3</v>
      </c>
      <c r="AX874">
        <v>82.38</v>
      </c>
      <c r="AY874">
        <v>140.03</v>
      </c>
      <c r="AZ874">
        <v>401.91</v>
      </c>
      <c r="BA874">
        <v>0.36</v>
      </c>
      <c r="BB874" t="s">
        <v>700</v>
      </c>
      <c r="BF874">
        <v>-0.24</v>
      </c>
      <c r="BG874">
        <v>-3.66</v>
      </c>
      <c r="BH874">
        <v>-3.93</v>
      </c>
      <c r="BI874">
        <v>0</v>
      </c>
      <c r="BJ874">
        <v>20210913</v>
      </c>
      <c r="BK874">
        <v>20100910</v>
      </c>
      <c r="BL874">
        <v>12.68</v>
      </c>
      <c r="BM874" t="s">
        <v>120</v>
      </c>
      <c r="BN874" t="s">
        <v>120</v>
      </c>
      <c r="BO874">
        <v>58.54</v>
      </c>
      <c r="BP874">
        <v>3.42</v>
      </c>
      <c r="BQ874">
        <v>14.06</v>
      </c>
      <c r="BR874">
        <v>0.41</v>
      </c>
      <c r="BS874">
        <v>75.290000000000006</v>
      </c>
      <c r="BT874">
        <v>44.66</v>
      </c>
      <c r="BU874">
        <v>5.65</v>
      </c>
      <c r="BV874">
        <v>1.71</v>
      </c>
      <c r="BW874">
        <v>41.12</v>
      </c>
      <c r="BX874">
        <v>6.44</v>
      </c>
      <c r="BY874">
        <v>6.83</v>
      </c>
      <c r="BZ874">
        <v>28.36</v>
      </c>
      <c r="CA874" t="s">
        <v>120</v>
      </c>
      <c r="CB874">
        <v>0</v>
      </c>
      <c r="CC874">
        <v>25.72</v>
      </c>
      <c r="CD874">
        <v>22.8</v>
      </c>
      <c r="CE874">
        <v>-0.41</v>
      </c>
      <c r="CF874">
        <v>0.05</v>
      </c>
      <c r="CG874">
        <v>-0.41</v>
      </c>
      <c r="CH874">
        <v>-0.38</v>
      </c>
      <c r="CI874">
        <v>-0.34</v>
      </c>
      <c r="CJ874">
        <v>-0.08</v>
      </c>
      <c r="CK874">
        <v>-0.35</v>
      </c>
      <c r="CL874">
        <v>0.68</v>
      </c>
      <c r="CM874">
        <v>-1.01</v>
      </c>
      <c r="CN874">
        <v>-3.14</v>
      </c>
      <c r="CO874">
        <v>70199</v>
      </c>
      <c r="CP874">
        <v>14881</v>
      </c>
      <c r="CQ874" t="s">
        <v>5131</v>
      </c>
      <c r="CR874">
        <v>37.770000000000003</v>
      </c>
      <c r="CS874">
        <v>20.87</v>
      </c>
      <c r="CT874">
        <v>3.08</v>
      </c>
      <c r="CU874">
        <v>-42.93</v>
      </c>
      <c r="CV874">
        <v>1.69</v>
      </c>
      <c r="CW874">
        <v>0</v>
      </c>
      <c r="CX874" t="s">
        <v>906</v>
      </c>
      <c r="CY874">
        <v>1.1100000000000001</v>
      </c>
      <c r="CZ874">
        <v>0</v>
      </c>
      <c r="DA874">
        <v>0</v>
      </c>
      <c r="DB874">
        <v>0.05</v>
      </c>
      <c r="DC874">
        <v>-0.08</v>
      </c>
      <c r="DD874">
        <v>24.01</v>
      </c>
      <c r="DE874" t="s">
        <v>5132</v>
      </c>
      <c r="DF874">
        <v>11.35</v>
      </c>
      <c r="DG874">
        <v>-1.58</v>
      </c>
      <c r="DH874">
        <v>-1.32</v>
      </c>
      <c r="DI874">
        <v>0.99</v>
      </c>
      <c r="DJ874">
        <v>1997</v>
      </c>
      <c r="DK874">
        <v>2471</v>
      </c>
      <c r="DL874" t="s">
        <v>120</v>
      </c>
      <c r="DM874" t="s">
        <v>120</v>
      </c>
      <c r="DN874" t="s">
        <v>120</v>
      </c>
    </row>
    <row r="875" spans="1:118">
      <c r="A875" t="str">
        <f>"002472"</f>
        <v>002472</v>
      </c>
      <c r="B875" t="s">
        <v>5133</v>
      </c>
      <c r="C875">
        <v>-9.9</v>
      </c>
      <c r="D875">
        <v>-0.09</v>
      </c>
      <c r="E875">
        <v>0.04</v>
      </c>
      <c r="F875">
        <v>2559</v>
      </c>
      <c r="G875" t="s">
        <v>5134</v>
      </c>
      <c r="H875">
        <v>59410.12</v>
      </c>
      <c r="I875">
        <v>179.4</v>
      </c>
      <c r="J875" t="s">
        <v>120</v>
      </c>
      <c r="K875" t="s">
        <v>1102</v>
      </c>
      <c r="L875">
        <v>4.37</v>
      </c>
      <c r="M875">
        <v>20.02</v>
      </c>
      <c r="N875">
        <v>1.4</v>
      </c>
      <c r="O875">
        <v>0.36</v>
      </c>
      <c r="P875">
        <v>22.3</v>
      </c>
      <c r="Q875">
        <v>-9.99</v>
      </c>
      <c r="R875">
        <v>20</v>
      </c>
      <c r="S875">
        <v>22.23</v>
      </c>
      <c r="T875">
        <v>286887</v>
      </c>
      <c r="U875">
        <v>20.03</v>
      </c>
      <c r="V875">
        <v>22.22</v>
      </c>
      <c r="W875">
        <v>61.36</v>
      </c>
      <c r="X875" t="s">
        <v>959</v>
      </c>
      <c r="Y875" t="s">
        <v>585</v>
      </c>
      <c r="Z875">
        <v>10.35</v>
      </c>
      <c r="AA875">
        <v>20.71</v>
      </c>
      <c r="AB875">
        <v>165219</v>
      </c>
      <c r="AC875">
        <v>121668</v>
      </c>
      <c r="AD875">
        <v>1.36</v>
      </c>
      <c r="AE875">
        <v>244</v>
      </c>
      <c r="AF875">
        <v>1159</v>
      </c>
      <c r="AG875" t="s">
        <v>120</v>
      </c>
      <c r="AH875">
        <v>0.01</v>
      </c>
      <c r="AI875" t="s">
        <v>120</v>
      </c>
      <c r="AJ875">
        <v>6.56</v>
      </c>
      <c r="AK875" t="s">
        <v>5135</v>
      </c>
      <c r="AL875">
        <v>-7.99</v>
      </c>
      <c r="AM875">
        <v>4484</v>
      </c>
      <c r="AN875">
        <v>64</v>
      </c>
      <c r="AO875">
        <v>1E-3</v>
      </c>
      <c r="AP875">
        <v>-1</v>
      </c>
      <c r="AQ875">
        <v>2.54</v>
      </c>
      <c r="AR875">
        <v>-3.8</v>
      </c>
      <c r="AS875">
        <v>-10.95</v>
      </c>
      <c r="AT875">
        <v>53.18</v>
      </c>
      <c r="AU875">
        <v>178.44</v>
      </c>
      <c r="AV875">
        <v>5</v>
      </c>
      <c r="AW875">
        <v>4.95</v>
      </c>
      <c r="AX875">
        <v>73.77</v>
      </c>
      <c r="AY875">
        <v>97.95</v>
      </c>
      <c r="AZ875">
        <v>340.74</v>
      </c>
      <c r="BA875">
        <v>1.1399999999999999</v>
      </c>
      <c r="BB875" t="s">
        <v>168</v>
      </c>
      <c r="BF875">
        <v>-6.8</v>
      </c>
      <c r="BG875">
        <v>-9.94</v>
      </c>
      <c r="BH875">
        <v>-10.220000000000001</v>
      </c>
      <c r="BI875">
        <v>0.1</v>
      </c>
      <c r="BJ875">
        <v>20210811</v>
      </c>
      <c r="BK875">
        <v>20100910</v>
      </c>
      <c r="BL875">
        <v>7.86</v>
      </c>
      <c r="BM875" t="s">
        <v>120</v>
      </c>
      <c r="BN875" t="s">
        <v>120</v>
      </c>
      <c r="BO875">
        <v>89.34</v>
      </c>
      <c r="BP875">
        <v>20.02</v>
      </c>
      <c r="BQ875">
        <v>41.37</v>
      </c>
      <c r="BR875">
        <v>1.08</v>
      </c>
      <c r="BS875">
        <v>52.49</v>
      </c>
      <c r="BT875">
        <v>33.83</v>
      </c>
      <c r="BU875">
        <v>35.99</v>
      </c>
      <c r="BV875">
        <v>2.2799999999999998</v>
      </c>
      <c r="BW875">
        <v>34.86</v>
      </c>
      <c r="BX875">
        <v>3.93</v>
      </c>
      <c r="BY875">
        <v>11.8</v>
      </c>
      <c r="BZ875">
        <v>12.07</v>
      </c>
      <c r="CA875" t="s">
        <v>120</v>
      </c>
      <c r="CB875">
        <v>18.82</v>
      </c>
      <c r="CC875">
        <v>26.19</v>
      </c>
      <c r="CD875">
        <v>21.59</v>
      </c>
      <c r="CE875">
        <v>1.55</v>
      </c>
      <c r="CF875">
        <v>-0.04</v>
      </c>
      <c r="CG875">
        <v>1.58</v>
      </c>
      <c r="CH875">
        <v>1.44</v>
      </c>
      <c r="CI875">
        <v>1.28</v>
      </c>
      <c r="CJ875">
        <v>-2.2000000000000002</v>
      </c>
      <c r="CK875">
        <v>1.05</v>
      </c>
      <c r="CL875">
        <v>12.53</v>
      </c>
      <c r="CM875">
        <v>3.27</v>
      </c>
      <c r="CN875">
        <v>-0.22</v>
      </c>
      <c r="CO875">
        <v>39288</v>
      </c>
      <c r="CP875">
        <v>14750</v>
      </c>
      <c r="CQ875" t="s">
        <v>5136</v>
      </c>
      <c r="CR875">
        <v>10809.47</v>
      </c>
      <c r="CS875">
        <v>79.400000000000006</v>
      </c>
      <c r="CT875">
        <v>3.63</v>
      </c>
      <c r="CU875">
        <v>48.16</v>
      </c>
      <c r="CV875">
        <v>6</v>
      </c>
      <c r="CW875">
        <v>0.08</v>
      </c>
      <c r="CX875" t="s">
        <v>442</v>
      </c>
      <c r="CY875">
        <v>5.51</v>
      </c>
      <c r="CZ875">
        <v>5.51</v>
      </c>
      <c r="DA875">
        <v>2.4</v>
      </c>
      <c r="DB875">
        <v>1.59</v>
      </c>
      <c r="DC875">
        <v>0.42</v>
      </c>
      <c r="DD875">
        <v>46.3</v>
      </c>
      <c r="DE875" t="s">
        <v>1105</v>
      </c>
      <c r="DF875">
        <v>17.559999999999999</v>
      </c>
      <c r="DG875">
        <v>5.92</v>
      </c>
      <c r="DH875">
        <v>4.8899999999999997</v>
      </c>
      <c r="DI875">
        <v>0.94</v>
      </c>
      <c r="DJ875">
        <v>4649</v>
      </c>
      <c r="DK875">
        <v>2472</v>
      </c>
      <c r="DL875" t="s">
        <v>120</v>
      </c>
      <c r="DM875" t="s">
        <v>120</v>
      </c>
      <c r="DN875" t="s">
        <v>120</v>
      </c>
    </row>
    <row r="876" spans="1:118">
      <c r="A876" t="str">
        <f>"002474"</f>
        <v>002474</v>
      </c>
      <c r="B876" t="s">
        <v>5137</v>
      </c>
      <c r="C876">
        <v>-1.1000000000000001</v>
      </c>
      <c r="D876">
        <v>0</v>
      </c>
      <c r="E876">
        <v>0.63</v>
      </c>
      <c r="F876">
        <v>408</v>
      </c>
      <c r="G876" t="s">
        <v>5138</v>
      </c>
      <c r="H876">
        <v>6479.55</v>
      </c>
      <c r="I876">
        <v>12.45</v>
      </c>
      <c r="J876" t="s">
        <v>120</v>
      </c>
      <c r="K876" t="s">
        <v>5139</v>
      </c>
      <c r="L876">
        <v>2.06</v>
      </c>
      <c r="M876">
        <v>6.31</v>
      </c>
      <c r="N876">
        <v>1.36</v>
      </c>
      <c r="O876">
        <v>1.57</v>
      </c>
      <c r="P876">
        <v>6.48</v>
      </c>
      <c r="Q876">
        <v>-1.72</v>
      </c>
      <c r="R876">
        <v>6.27</v>
      </c>
      <c r="S876">
        <v>6.42</v>
      </c>
      <c r="T876">
        <v>101533</v>
      </c>
      <c r="U876">
        <v>6.32</v>
      </c>
      <c r="V876">
        <v>6.38</v>
      </c>
      <c r="W876">
        <v>106.39</v>
      </c>
      <c r="X876" t="s">
        <v>141</v>
      </c>
      <c r="Y876" t="s">
        <v>937</v>
      </c>
      <c r="Z876">
        <v>3.29</v>
      </c>
      <c r="AA876">
        <v>6.38</v>
      </c>
      <c r="AB876">
        <v>50759</v>
      </c>
      <c r="AC876">
        <v>50774</v>
      </c>
      <c r="AD876">
        <v>1</v>
      </c>
      <c r="AE876">
        <v>394</v>
      </c>
      <c r="AF876">
        <v>590</v>
      </c>
      <c r="AG876" t="s">
        <v>120</v>
      </c>
      <c r="AH876">
        <v>0</v>
      </c>
      <c r="AI876" t="s">
        <v>120</v>
      </c>
      <c r="AJ876">
        <v>4.92</v>
      </c>
      <c r="AK876" t="s">
        <v>5140</v>
      </c>
      <c r="AL876">
        <v>0.82</v>
      </c>
      <c r="AM876">
        <v>1974</v>
      </c>
      <c r="AN876">
        <v>51</v>
      </c>
      <c r="AO876">
        <v>1E-3</v>
      </c>
      <c r="AP876">
        <v>-1</v>
      </c>
      <c r="AQ876">
        <v>2.08</v>
      </c>
      <c r="AR876">
        <v>-0.16</v>
      </c>
      <c r="AS876">
        <v>4.29</v>
      </c>
      <c r="AT876">
        <v>-5.1100000000000003</v>
      </c>
      <c r="AU876">
        <v>1.86</v>
      </c>
      <c r="AV876">
        <v>5</v>
      </c>
      <c r="AW876">
        <v>2.1800000000000002</v>
      </c>
      <c r="AX876">
        <v>75</v>
      </c>
      <c r="AY876">
        <v>69.91</v>
      </c>
      <c r="AZ876">
        <v>80.040000000000006</v>
      </c>
      <c r="BA876">
        <v>0.52</v>
      </c>
      <c r="BB876" t="s">
        <v>1103</v>
      </c>
      <c r="BF876">
        <v>0.03</v>
      </c>
      <c r="BG876">
        <v>-1.71</v>
      </c>
      <c r="BH876">
        <v>-2.62</v>
      </c>
      <c r="BI876">
        <v>0.64</v>
      </c>
      <c r="BJ876">
        <v>20210825</v>
      </c>
      <c r="BK876">
        <v>20100915</v>
      </c>
      <c r="BL876">
        <v>6.22</v>
      </c>
      <c r="BM876" t="s">
        <v>120</v>
      </c>
      <c r="BN876" t="s">
        <v>120</v>
      </c>
      <c r="BO876">
        <v>28.73</v>
      </c>
      <c r="BP876">
        <v>6.31</v>
      </c>
      <c r="BQ876">
        <v>15.89</v>
      </c>
      <c r="BR876">
        <v>0.08</v>
      </c>
      <c r="BS876">
        <v>44.39</v>
      </c>
      <c r="BT876">
        <v>18.670000000000002</v>
      </c>
      <c r="BU876">
        <v>0.17</v>
      </c>
      <c r="BV876">
        <v>1.69</v>
      </c>
      <c r="BW876">
        <v>11.66</v>
      </c>
      <c r="BX876">
        <v>4.16</v>
      </c>
      <c r="BY876">
        <v>10.84</v>
      </c>
      <c r="BZ876">
        <v>1.87</v>
      </c>
      <c r="CA876">
        <v>0.01</v>
      </c>
      <c r="CB876">
        <v>3.69</v>
      </c>
      <c r="CC876">
        <v>3.24</v>
      </c>
      <c r="CD876">
        <v>1.96</v>
      </c>
      <c r="CE876">
        <v>0.19</v>
      </c>
      <c r="CF876">
        <v>0.06</v>
      </c>
      <c r="CG876">
        <v>0.19</v>
      </c>
      <c r="CH876">
        <v>0.17</v>
      </c>
      <c r="CI876">
        <v>0.18</v>
      </c>
      <c r="CJ876">
        <v>-7.0000000000000007E-2</v>
      </c>
      <c r="CK876">
        <v>0.12</v>
      </c>
      <c r="CL876">
        <v>4.8499999999999996</v>
      </c>
      <c r="CM876">
        <v>-0.5</v>
      </c>
      <c r="CN876">
        <v>-0.65</v>
      </c>
      <c r="CO876">
        <v>68916</v>
      </c>
      <c r="CP876">
        <v>6771</v>
      </c>
      <c r="CQ876" t="s">
        <v>2851</v>
      </c>
      <c r="CR876">
        <v>63.78</v>
      </c>
      <c r="CS876">
        <v>28.11</v>
      </c>
      <c r="CT876">
        <v>2.4700000000000002</v>
      </c>
      <c r="CU876">
        <v>-78.36</v>
      </c>
      <c r="CV876">
        <v>12.11</v>
      </c>
      <c r="CW876">
        <v>0.24</v>
      </c>
      <c r="CX876" t="s">
        <v>2074</v>
      </c>
      <c r="CY876">
        <v>2.5499999999999998</v>
      </c>
      <c r="CZ876">
        <v>0</v>
      </c>
      <c r="DA876">
        <v>0.59</v>
      </c>
      <c r="DB876">
        <v>0.78</v>
      </c>
      <c r="DC876">
        <v>-0.08</v>
      </c>
      <c r="DD876">
        <v>55.33</v>
      </c>
      <c r="DE876" t="s">
        <v>5141</v>
      </c>
      <c r="DF876">
        <v>39.479999999999997</v>
      </c>
      <c r="DG876">
        <v>5.94</v>
      </c>
      <c r="DH876">
        <v>5.69</v>
      </c>
      <c r="DI876">
        <v>0.47</v>
      </c>
      <c r="DJ876">
        <v>960</v>
      </c>
      <c r="DK876">
        <v>2474</v>
      </c>
      <c r="DL876" t="s">
        <v>120</v>
      </c>
      <c r="DM876" t="s">
        <v>120</v>
      </c>
      <c r="DN876" t="s">
        <v>120</v>
      </c>
    </row>
    <row r="877" spans="1:118">
      <c r="A877" t="str">
        <f>"002475"</f>
        <v>002475</v>
      </c>
      <c r="B877" t="s">
        <v>5142</v>
      </c>
      <c r="C877">
        <v>2.04</v>
      </c>
      <c r="D877">
        <v>0.12</v>
      </c>
      <c r="E877">
        <v>0.6</v>
      </c>
      <c r="F877">
        <v>10032</v>
      </c>
      <c r="G877" t="s">
        <v>5143</v>
      </c>
      <c r="H877">
        <v>194562.58</v>
      </c>
      <c r="I877">
        <v>470.38</v>
      </c>
      <c r="J877" t="s">
        <v>120</v>
      </c>
      <c r="K877" t="s">
        <v>5144</v>
      </c>
      <c r="L877">
        <v>0.82</v>
      </c>
      <c r="M877">
        <v>34.08</v>
      </c>
      <c r="N877">
        <v>0.92</v>
      </c>
      <c r="O877">
        <v>2.2200000000000002</v>
      </c>
      <c r="P877">
        <v>34.14</v>
      </c>
      <c r="Q877">
        <v>-0.45</v>
      </c>
      <c r="R877">
        <v>33.25</v>
      </c>
      <c r="S877">
        <v>33.6</v>
      </c>
      <c r="T877">
        <v>577782</v>
      </c>
      <c r="U877">
        <v>34.08</v>
      </c>
      <c r="V877">
        <v>33.4</v>
      </c>
      <c r="W877">
        <v>38.81</v>
      </c>
      <c r="X877" t="s">
        <v>229</v>
      </c>
      <c r="Y877" t="s">
        <v>123</v>
      </c>
      <c r="Z877">
        <v>2.66</v>
      </c>
      <c r="AA877">
        <v>33.67</v>
      </c>
      <c r="AB877">
        <v>288816</v>
      </c>
      <c r="AC877">
        <v>288966</v>
      </c>
      <c r="AD877">
        <v>1</v>
      </c>
      <c r="AE877">
        <v>113</v>
      </c>
      <c r="AF877">
        <v>1645</v>
      </c>
      <c r="AG877" t="s">
        <v>120</v>
      </c>
      <c r="AH877">
        <v>0</v>
      </c>
      <c r="AI877" t="s">
        <v>120</v>
      </c>
      <c r="AJ877">
        <v>70.25</v>
      </c>
      <c r="AK877" t="s">
        <v>5145</v>
      </c>
      <c r="AL877">
        <v>3.95</v>
      </c>
      <c r="AM877">
        <v>4726</v>
      </c>
      <c r="AN877">
        <v>122</v>
      </c>
      <c r="AO877">
        <v>2.0000000000000001E-4</v>
      </c>
      <c r="AP877">
        <v>1</v>
      </c>
      <c r="AQ877">
        <v>-2.68</v>
      </c>
      <c r="AR877">
        <v>-2.6</v>
      </c>
      <c r="AS877">
        <v>-9.61</v>
      </c>
      <c r="AT877">
        <v>-25.47</v>
      </c>
      <c r="AU877">
        <v>-39.159999999999997</v>
      </c>
      <c r="AV877">
        <v>0</v>
      </c>
      <c r="AW877">
        <v>1.35</v>
      </c>
      <c r="AX877">
        <v>61.03</v>
      </c>
      <c r="AY877">
        <v>30.22</v>
      </c>
      <c r="AZ877">
        <v>32.520000000000003</v>
      </c>
      <c r="BA877">
        <v>0.82</v>
      </c>
      <c r="BB877" t="s">
        <v>240</v>
      </c>
      <c r="BF877">
        <v>0.82</v>
      </c>
      <c r="BG877">
        <v>1.43</v>
      </c>
      <c r="BH877">
        <v>-0.18</v>
      </c>
      <c r="BI877">
        <v>2.5</v>
      </c>
      <c r="BJ877">
        <v>20210906</v>
      </c>
      <c r="BK877">
        <v>20100915</v>
      </c>
      <c r="BL877">
        <v>70.349999999999994</v>
      </c>
      <c r="BM877" t="s">
        <v>120</v>
      </c>
      <c r="BN877" t="s">
        <v>120</v>
      </c>
      <c r="BO877">
        <v>929.71</v>
      </c>
      <c r="BP877">
        <v>34.07</v>
      </c>
      <c r="BQ877">
        <v>308.75</v>
      </c>
      <c r="BR877">
        <v>96.63</v>
      </c>
      <c r="BS877">
        <v>56.4</v>
      </c>
      <c r="BT877">
        <v>541.03</v>
      </c>
      <c r="BU877">
        <v>254.32</v>
      </c>
      <c r="BV877">
        <v>18.54</v>
      </c>
      <c r="BW877">
        <v>420.79</v>
      </c>
      <c r="BX877">
        <v>144.19999999999999</v>
      </c>
      <c r="BY877">
        <v>158.19</v>
      </c>
      <c r="BZ877">
        <v>186.46</v>
      </c>
      <c r="CA877" t="s">
        <v>120</v>
      </c>
      <c r="CB877">
        <v>23.21</v>
      </c>
      <c r="CC877">
        <v>481.47</v>
      </c>
      <c r="CD877">
        <v>403.52</v>
      </c>
      <c r="CE877">
        <v>35.96</v>
      </c>
      <c r="CF877">
        <v>3.9</v>
      </c>
      <c r="CG877">
        <v>35.729999999999997</v>
      </c>
      <c r="CH877">
        <v>33.65</v>
      </c>
      <c r="CI877">
        <v>30.89</v>
      </c>
      <c r="CJ877">
        <v>0.68</v>
      </c>
      <c r="CK877">
        <v>25.22</v>
      </c>
      <c r="CL877">
        <v>203.11</v>
      </c>
      <c r="CM877">
        <v>21.88</v>
      </c>
      <c r="CN877">
        <v>36.85</v>
      </c>
      <c r="CO877">
        <v>519838</v>
      </c>
      <c r="CP877">
        <v>8260</v>
      </c>
      <c r="CQ877" t="s">
        <v>5146</v>
      </c>
      <c r="CR877">
        <v>21.73</v>
      </c>
      <c r="CS877">
        <v>32.08</v>
      </c>
      <c r="CT877">
        <v>7.9</v>
      </c>
      <c r="CU877">
        <v>109.59</v>
      </c>
      <c r="CV877">
        <v>4.9800000000000004</v>
      </c>
      <c r="CW877">
        <v>0.33</v>
      </c>
      <c r="CX877" t="s">
        <v>194</v>
      </c>
      <c r="CY877">
        <v>4.3099999999999996</v>
      </c>
      <c r="CZ877">
        <v>4.3099999999999996</v>
      </c>
      <c r="DA877">
        <v>0.33</v>
      </c>
      <c r="DB877">
        <v>2.89</v>
      </c>
      <c r="DC877">
        <v>0.31</v>
      </c>
      <c r="DD877">
        <v>33.21</v>
      </c>
      <c r="DE877" t="s">
        <v>5147</v>
      </c>
      <c r="DF877">
        <v>16.190000000000001</v>
      </c>
      <c r="DG877">
        <v>7.47</v>
      </c>
      <c r="DH877">
        <v>6.42</v>
      </c>
      <c r="DI877">
        <v>26.29</v>
      </c>
      <c r="DJ877">
        <v>172410</v>
      </c>
      <c r="DK877">
        <v>2475</v>
      </c>
      <c r="DL877" t="s">
        <v>120</v>
      </c>
      <c r="DM877" t="s">
        <v>120</v>
      </c>
      <c r="DN877" t="s">
        <v>120</v>
      </c>
    </row>
    <row r="878" spans="1:118">
      <c r="A878" t="str">
        <f>"002476"</f>
        <v>002476</v>
      </c>
      <c r="B878" t="s">
        <v>5148</v>
      </c>
      <c r="C878">
        <v>1.68</v>
      </c>
      <c r="D878">
        <v>0</v>
      </c>
      <c r="E878">
        <v>2.1</v>
      </c>
      <c r="F878">
        <v>4076</v>
      </c>
      <c r="G878" t="s">
        <v>5149</v>
      </c>
      <c r="H878">
        <v>16702.14</v>
      </c>
      <c r="I878">
        <v>142.59</v>
      </c>
      <c r="J878" t="s">
        <v>120</v>
      </c>
      <c r="K878" t="s">
        <v>5150</v>
      </c>
      <c r="L878">
        <v>5.55</v>
      </c>
      <c r="M878">
        <v>4.8499999999999996</v>
      </c>
      <c r="N878">
        <v>1.1100000000000001</v>
      </c>
      <c r="O878">
        <v>5.66</v>
      </c>
      <c r="P878">
        <v>5.04</v>
      </c>
      <c r="Q878">
        <v>0.42</v>
      </c>
      <c r="R878">
        <v>4.79</v>
      </c>
      <c r="S878">
        <v>4.87</v>
      </c>
      <c r="T878">
        <v>339823</v>
      </c>
      <c r="U878">
        <v>4.8499999999999996</v>
      </c>
      <c r="V878">
        <v>4.7699999999999996</v>
      </c>
      <c r="W878">
        <v>180.31</v>
      </c>
      <c r="X878" t="s">
        <v>868</v>
      </c>
      <c r="Y878" t="s">
        <v>638</v>
      </c>
      <c r="Z878">
        <v>5.24</v>
      </c>
      <c r="AA878">
        <v>4.91</v>
      </c>
      <c r="AB878">
        <v>158546</v>
      </c>
      <c r="AC878">
        <v>181277</v>
      </c>
      <c r="AD878">
        <v>0.87</v>
      </c>
      <c r="AE878">
        <v>376</v>
      </c>
      <c r="AF878">
        <v>471</v>
      </c>
      <c r="AG878" t="s">
        <v>120</v>
      </c>
      <c r="AH878">
        <v>0.06</v>
      </c>
      <c r="AI878" t="s">
        <v>120</v>
      </c>
      <c r="AJ878">
        <v>6.12</v>
      </c>
      <c r="AK878" t="s">
        <v>5150</v>
      </c>
      <c r="AL878">
        <v>3.59</v>
      </c>
      <c r="AM878">
        <v>2924</v>
      </c>
      <c r="AN878">
        <v>116</v>
      </c>
      <c r="AO878">
        <v>1.9E-3</v>
      </c>
      <c r="AP878">
        <v>2</v>
      </c>
      <c r="AQ878">
        <v>1.92</v>
      </c>
      <c r="AR878">
        <v>0.62</v>
      </c>
      <c r="AS878">
        <v>31.08</v>
      </c>
      <c r="AT878">
        <v>14.39</v>
      </c>
      <c r="AU878">
        <v>11.5</v>
      </c>
      <c r="AV878">
        <v>1</v>
      </c>
      <c r="AW878">
        <v>7.06</v>
      </c>
      <c r="AX878">
        <v>78.61</v>
      </c>
      <c r="AY878">
        <v>390.84</v>
      </c>
      <c r="AZ878">
        <v>221.45</v>
      </c>
      <c r="BA878">
        <v>0.87</v>
      </c>
      <c r="BB878" t="s">
        <v>184</v>
      </c>
      <c r="BF878">
        <v>3.04</v>
      </c>
      <c r="BG878">
        <v>-0.41</v>
      </c>
      <c r="BH878">
        <v>-3.77</v>
      </c>
      <c r="BI878">
        <v>1.25</v>
      </c>
      <c r="BJ878">
        <v>20210821</v>
      </c>
      <c r="BK878">
        <v>20100915</v>
      </c>
      <c r="BL878">
        <v>6.12</v>
      </c>
      <c r="BM878" t="s">
        <v>120</v>
      </c>
      <c r="BN878" t="s">
        <v>120</v>
      </c>
      <c r="BO878">
        <v>10.37</v>
      </c>
      <c r="BP878">
        <v>4.84</v>
      </c>
      <c r="BQ878">
        <v>8.32</v>
      </c>
      <c r="BR878" t="s">
        <v>120</v>
      </c>
      <c r="BS878">
        <v>19.760000000000002</v>
      </c>
      <c r="BT878">
        <v>6.12</v>
      </c>
      <c r="BU878">
        <v>2.64</v>
      </c>
      <c r="BV878">
        <v>0.11</v>
      </c>
      <c r="BW878">
        <v>1.31</v>
      </c>
      <c r="BX878">
        <v>2.99</v>
      </c>
      <c r="BY878">
        <v>1.56</v>
      </c>
      <c r="BZ878">
        <v>0.5</v>
      </c>
      <c r="CA878" t="s">
        <v>120</v>
      </c>
      <c r="CB878">
        <v>1.75</v>
      </c>
      <c r="CC878">
        <v>2.63</v>
      </c>
      <c r="CD878">
        <v>2.29</v>
      </c>
      <c r="CE878">
        <v>0.08</v>
      </c>
      <c r="CF878">
        <v>0</v>
      </c>
      <c r="CG878">
        <v>0.08</v>
      </c>
      <c r="CH878">
        <v>0.08</v>
      </c>
      <c r="CI878">
        <v>0.08</v>
      </c>
      <c r="CJ878">
        <v>0.08</v>
      </c>
      <c r="CK878">
        <v>7.0000000000000007E-2</v>
      </c>
      <c r="CL878">
        <v>-0.1</v>
      </c>
      <c r="CM878">
        <v>-0.16</v>
      </c>
      <c r="CN878">
        <v>-0.63</v>
      </c>
      <c r="CO878">
        <v>43686</v>
      </c>
      <c r="CP878">
        <v>11013</v>
      </c>
      <c r="CQ878" t="s">
        <v>2990</v>
      </c>
      <c r="CR878">
        <v>-40.97</v>
      </c>
      <c r="CS878">
        <v>13.05</v>
      </c>
      <c r="CT878">
        <v>3.57</v>
      </c>
      <c r="CU878">
        <v>-188.97</v>
      </c>
      <c r="CV878">
        <v>11.3</v>
      </c>
      <c r="CW878">
        <v>0</v>
      </c>
      <c r="CX878" t="s">
        <v>4456</v>
      </c>
      <c r="CY878">
        <v>1.36</v>
      </c>
      <c r="CZ878">
        <v>0</v>
      </c>
      <c r="DA878">
        <v>0.28999999999999998</v>
      </c>
      <c r="DB878">
        <v>-0.02</v>
      </c>
      <c r="DC878">
        <v>-0.03</v>
      </c>
      <c r="DD878">
        <v>80.239999999999995</v>
      </c>
      <c r="DE878" t="s">
        <v>1546</v>
      </c>
      <c r="DF878">
        <v>12.88</v>
      </c>
      <c r="DG878">
        <v>3.07</v>
      </c>
      <c r="DH878">
        <v>3.13</v>
      </c>
      <c r="DI878">
        <v>0.08</v>
      </c>
      <c r="DJ878">
        <v>469</v>
      </c>
      <c r="DK878">
        <v>2476</v>
      </c>
      <c r="DL878" t="s">
        <v>120</v>
      </c>
      <c r="DM878" t="s">
        <v>120</v>
      </c>
      <c r="DN878" t="s">
        <v>120</v>
      </c>
    </row>
    <row r="879" spans="1:118">
      <c r="A879" t="str">
        <f>"002478"</f>
        <v>002478</v>
      </c>
      <c r="B879" t="s">
        <v>5151</v>
      </c>
      <c r="C879">
        <v>-2.0699999999999998</v>
      </c>
      <c r="D879">
        <v>0</v>
      </c>
      <c r="E879">
        <v>0.83</v>
      </c>
      <c r="F879">
        <v>614</v>
      </c>
      <c r="G879" t="s">
        <v>5152</v>
      </c>
      <c r="H879">
        <v>2305.79</v>
      </c>
      <c r="I879">
        <v>4.78</v>
      </c>
      <c r="J879" t="s">
        <v>120</v>
      </c>
      <c r="K879" t="s">
        <v>5153</v>
      </c>
      <c r="L879">
        <v>0.8</v>
      </c>
      <c r="M879">
        <v>4.74</v>
      </c>
      <c r="N879">
        <v>0.62</v>
      </c>
      <c r="O879">
        <v>2.48</v>
      </c>
      <c r="P879">
        <v>4.96</v>
      </c>
      <c r="Q879">
        <v>-2.27</v>
      </c>
      <c r="R879">
        <v>4.7300000000000004</v>
      </c>
      <c r="S879">
        <v>4.88</v>
      </c>
      <c r="T879">
        <v>47600</v>
      </c>
      <c r="U879">
        <v>4.74</v>
      </c>
      <c r="V879">
        <v>4.84</v>
      </c>
      <c r="W879">
        <v>22.26</v>
      </c>
      <c r="X879" t="s">
        <v>1925</v>
      </c>
      <c r="Y879" t="s">
        <v>319</v>
      </c>
      <c r="Z879">
        <v>4.75</v>
      </c>
      <c r="AA879">
        <v>4.84</v>
      </c>
      <c r="AB879">
        <v>31279</v>
      </c>
      <c r="AC879">
        <v>16321</v>
      </c>
      <c r="AD879">
        <v>1.92</v>
      </c>
      <c r="AE879">
        <v>364</v>
      </c>
      <c r="AF879">
        <v>44</v>
      </c>
      <c r="AG879" t="s">
        <v>120</v>
      </c>
      <c r="AH879">
        <v>0</v>
      </c>
      <c r="AI879" t="s">
        <v>120</v>
      </c>
      <c r="AJ879">
        <v>5.98</v>
      </c>
      <c r="AK879" t="s">
        <v>5154</v>
      </c>
      <c r="AL879">
        <v>-0.15</v>
      </c>
      <c r="AM879">
        <v>1401</v>
      </c>
      <c r="AN879">
        <v>34</v>
      </c>
      <c r="AO879">
        <v>5.9999999999999995E-4</v>
      </c>
      <c r="AP879">
        <v>-1</v>
      </c>
      <c r="AQ879">
        <v>0.83</v>
      </c>
      <c r="AR879">
        <v>-4.82</v>
      </c>
      <c r="AS879">
        <v>7</v>
      </c>
      <c r="AT879">
        <v>3.5</v>
      </c>
      <c r="AU879">
        <v>10.49</v>
      </c>
      <c r="AV879">
        <v>2</v>
      </c>
      <c r="AW879">
        <v>1.04</v>
      </c>
      <c r="AX879">
        <v>49.91</v>
      </c>
      <c r="AY879" t="s">
        <v>120</v>
      </c>
      <c r="AZ879">
        <v>36</v>
      </c>
      <c r="BA879">
        <v>0.2</v>
      </c>
      <c r="BB879" t="s">
        <v>143</v>
      </c>
      <c r="BF879">
        <v>0.08</v>
      </c>
      <c r="BG879">
        <v>-2.87</v>
      </c>
      <c r="BH879">
        <v>-4.4400000000000004</v>
      </c>
      <c r="BI879">
        <v>0.21</v>
      </c>
      <c r="BJ879">
        <v>20210821</v>
      </c>
      <c r="BK879">
        <v>20100921</v>
      </c>
      <c r="BL879">
        <v>9.1999999999999993</v>
      </c>
      <c r="BM879" t="s">
        <v>120</v>
      </c>
      <c r="BN879" t="s">
        <v>120</v>
      </c>
      <c r="BO879">
        <v>66.55</v>
      </c>
      <c r="BP879">
        <v>4.7300000000000004</v>
      </c>
      <c r="BQ879">
        <v>42.24</v>
      </c>
      <c r="BR879">
        <v>1.5</v>
      </c>
      <c r="BS879">
        <v>34.270000000000003</v>
      </c>
      <c r="BT879">
        <v>42.55</v>
      </c>
      <c r="BU879">
        <v>10.74</v>
      </c>
      <c r="BV879">
        <v>1.74</v>
      </c>
      <c r="BW879">
        <v>20.38</v>
      </c>
      <c r="BX879">
        <v>15.24</v>
      </c>
      <c r="BY879">
        <v>11.92</v>
      </c>
      <c r="BZ879">
        <v>5.98</v>
      </c>
      <c r="CA879" t="s">
        <v>120</v>
      </c>
      <c r="CB879">
        <v>12.59</v>
      </c>
      <c r="CC879">
        <v>19.57</v>
      </c>
      <c r="CD879">
        <v>17.91</v>
      </c>
      <c r="CE879">
        <v>-0.79</v>
      </c>
      <c r="CF879">
        <v>-0.91</v>
      </c>
      <c r="CG879">
        <v>1.05</v>
      </c>
      <c r="CH879">
        <v>1.03</v>
      </c>
      <c r="CI879">
        <v>0.98</v>
      </c>
      <c r="CJ879">
        <v>-0.1</v>
      </c>
      <c r="CK879">
        <v>0.23</v>
      </c>
      <c r="CL879">
        <v>16.98</v>
      </c>
      <c r="CM879">
        <v>0.33</v>
      </c>
      <c r="CN879">
        <v>-2.16</v>
      </c>
      <c r="CO879">
        <v>24363</v>
      </c>
      <c r="CP879">
        <v>18845</v>
      </c>
      <c r="CQ879" t="s">
        <v>3056</v>
      </c>
      <c r="CR879">
        <v>-56.35</v>
      </c>
      <c r="CS879">
        <v>0.75</v>
      </c>
      <c r="CT879">
        <v>1.03</v>
      </c>
      <c r="CU879">
        <v>130.93</v>
      </c>
      <c r="CV879">
        <v>2.23</v>
      </c>
      <c r="CW879">
        <v>2</v>
      </c>
      <c r="CX879" t="s">
        <v>411</v>
      </c>
      <c r="CY879">
        <v>4.59</v>
      </c>
      <c r="CZ879">
        <v>0</v>
      </c>
      <c r="DA879">
        <v>1.37</v>
      </c>
      <c r="DB879">
        <v>1.85</v>
      </c>
      <c r="DC879">
        <v>0.04</v>
      </c>
      <c r="DD879">
        <v>63.47</v>
      </c>
      <c r="DE879" t="s">
        <v>612</v>
      </c>
      <c r="DF879">
        <v>8.4600000000000009</v>
      </c>
      <c r="DG879">
        <v>-4.04</v>
      </c>
      <c r="DH879">
        <v>5.01</v>
      </c>
      <c r="DI879">
        <v>0.66</v>
      </c>
      <c r="DJ879">
        <v>3343</v>
      </c>
      <c r="DK879">
        <v>2478</v>
      </c>
      <c r="DL879" t="s">
        <v>120</v>
      </c>
      <c r="DM879" t="s">
        <v>120</v>
      </c>
      <c r="DN879" t="s">
        <v>120</v>
      </c>
    </row>
    <row r="880" spans="1:118">
      <c r="A880" t="str">
        <f>"002479"</f>
        <v>002479</v>
      </c>
      <c r="B880" t="s">
        <v>5155</v>
      </c>
      <c r="C880">
        <v>-2</v>
      </c>
      <c r="D880">
        <v>0</v>
      </c>
      <c r="E880">
        <v>0.15</v>
      </c>
      <c r="F880">
        <v>894</v>
      </c>
      <c r="G880" t="s">
        <v>5156</v>
      </c>
      <c r="H880">
        <v>8457.4500000000007</v>
      </c>
      <c r="I880">
        <v>19.66</v>
      </c>
      <c r="J880" t="s">
        <v>120</v>
      </c>
      <c r="K880" t="s">
        <v>5157</v>
      </c>
      <c r="L880">
        <v>1.52</v>
      </c>
      <c r="M880">
        <v>6.37</v>
      </c>
      <c r="N880">
        <v>0.95</v>
      </c>
      <c r="O880">
        <v>1.54</v>
      </c>
      <c r="P880">
        <v>6.6</v>
      </c>
      <c r="Q880">
        <v>-2.31</v>
      </c>
      <c r="R880">
        <v>6.35</v>
      </c>
      <c r="S880">
        <v>6.51</v>
      </c>
      <c r="T880">
        <v>130885</v>
      </c>
      <c r="U880">
        <v>6.38</v>
      </c>
      <c r="V880">
        <v>6.5</v>
      </c>
      <c r="W880">
        <v>11.81</v>
      </c>
      <c r="X880" t="s">
        <v>268</v>
      </c>
      <c r="Y880" t="s">
        <v>585</v>
      </c>
      <c r="Z880">
        <v>3.85</v>
      </c>
      <c r="AA880">
        <v>6.46</v>
      </c>
      <c r="AB880">
        <v>77335</v>
      </c>
      <c r="AC880">
        <v>53550</v>
      </c>
      <c r="AD880">
        <v>1.44</v>
      </c>
      <c r="AE880">
        <v>342</v>
      </c>
      <c r="AF880">
        <v>1189</v>
      </c>
      <c r="AG880" t="s">
        <v>120</v>
      </c>
      <c r="AH880">
        <v>0.01</v>
      </c>
      <c r="AI880" t="s">
        <v>120</v>
      </c>
      <c r="AJ880">
        <v>8.61</v>
      </c>
      <c r="AK880" t="s">
        <v>5158</v>
      </c>
      <c r="AL880">
        <v>-0.09</v>
      </c>
      <c r="AM880">
        <v>2903</v>
      </c>
      <c r="AN880">
        <v>45</v>
      </c>
      <c r="AO880">
        <v>5.0000000000000001E-4</v>
      </c>
      <c r="AP880">
        <v>-1</v>
      </c>
      <c r="AQ880">
        <v>1.25</v>
      </c>
      <c r="AR880">
        <v>-3.92</v>
      </c>
      <c r="AS880">
        <v>10.98</v>
      </c>
      <c r="AT880">
        <v>-6.73</v>
      </c>
      <c r="AU880">
        <v>13.95</v>
      </c>
      <c r="AV880">
        <v>0</v>
      </c>
      <c r="AW880">
        <v>2.34</v>
      </c>
      <c r="AX880">
        <v>64.59</v>
      </c>
      <c r="AY880">
        <v>13.62</v>
      </c>
      <c r="AZ880">
        <v>18.850000000000001</v>
      </c>
      <c r="BA880">
        <v>0.32</v>
      </c>
      <c r="BB880" t="s">
        <v>143</v>
      </c>
      <c r="BF880">
        <v>-0.59</v>
      </c>
      <c r="BG880">
        <v>-2.15</v>
      </c>
      <c r="BH880">
        <v>-3.48</v>
      </c>
      <c r="BI880">
        <v>0.31</v>
      </c>
      <c r="BJ880">
        <v>20210830</v>
      </c>
      <c r="BK880">
        <v>20100921</v>
      </c>
      <c r="BL880">
        <v>8.65</v>
      </c>
      <c r="BM880" t="s">
        <v>120</v>
      </c>
      <c r="BN880" t="s">
        <v>120</v>
      </c>
      <c r="BO880">
        <v>114.96</v>
      </c>
      <c r="BP880">
        <v>6.37</v>
      </c>
      <c r="BQ880">
        <v>39.06</v>
      </c>
      <c r="BR880">
        <v>6.39</v>
      </c>
      <c r="BS880">
        <v>60.47</v>
      </c>
      <c r="BT880">
        <v>45.62</v>
      </c>
      <c r="BU880">
        <v>32.520000000000003</v>
      </c>
      <c r="BV880">
        <v>15.83</v>
      </c>
      <c r="BW880">
        <v>50.81</v>
      </c>
      <c r="BX880">
        <v>11.01</v>
      </c>
      <c r="BY880">
        <v>5.25</v>
      </c>
      <c r="BZ880">
        <v>2.4</v>
      </c>
      <c r="CA880" t="s">
        <v>120</v>
      </c>
      <c r="CB880">
        <v>16.420000000000002</v>
      </c>
      <c r="CC880">
        <v>19.170000000000002</v>
      </c>
      <c r="CD880">
        <v>14.96</v>
      </c>
      <c r="CE880">
        <v>2.36</v>
      </c>
      <c r="CF880">
        <v>0.42</v>
      </c>
      <c r="CG880">
        <v>3.57</v>
      </c>
      <c r="CH880">
        <v>2.91</v>
      </c>
      <c r="CI880">
        <v>2.33</v>
      </c>
      <c r="CJ880">
        <v>-0.13</v>
      </c>
      <c r="CK880">
        <v>1.33</v>
      </c>
      <c r="CL880">
        <v>11.94</v>
      </c>
      <c r="CM880">
        <v>2.2200000000000002</v>
      </c>
      <c r="CN880">
        <v>3.63</v>
      </c>
      <c r="CO880">
        <v>38905</v>
      </c>
      <c r="CP880">
        <v>14360</v>
      </c>
      <c r="CQ880" t="s">
        <v>2915</v>
      </c>
      <c r="CR880">
        <v>96.59</v>
      </c>
      <c r="CS880">
        <v>-1.96</v>
      </c>
      <c r="CT880">
        <v>1.41</v>
      </c>
      <c r="CU880">
        <v>24.87</v>
      </c>
      <c r="CV880">
        <v>2.87</v>
      </c>
      <c r="CW880">
        <v>2.31</v>
      </c>
      <c r="CX880" t="s">
        <v>1233</v>
      </c>
      <c r="CY880">
        <v>4.5199999999999996</v>
      </c>
      <c r="CZ880">
        <v>0</v>
      </c>
      <c r="DA880">
        <v>1.9</v>
      </c>
      <c r="DB880">
        <v>1.38</v>
      </c>
      <c r="DC880">
        <v>0.26</v>
      </c>
      <c r="DD880">
        <v>33.97</v>
      </c>
      <c r="DE880" t="s">
        <v>580</v>
      </c>
      <c r="DF880">
        <v>21.98</v>
      </c>
      <c r="DG880">
        <v>12.29</v>
      </c>
      <c r="DH880">
        <v>12.17</v>
      </c>
      <c r="DI880">
        <v>0.66</v>
      </c>
      <c r="DJ880">
        <v>1942</v>
      </c>
      <c r="DK880">
        <v>2479</v>
      </c>
      <c r="DL880" t="s">
        <v>120</v>
      </c>
      <c r="DM880" t="s">
        <v>120</v>
      </c>
      <c r="DN880" t="s">
        <v>120</v>
      </c>
    </row>
    <row r="881" spans="1:118">
      <c r="A881" t="str">
        <f>"002480"</f>
        <v>002480</v>
      </c>
      <c r="B881" t="s">
        <v>5159</v>
      </c>
      <c r="C881">
        <v>0</v>
      </c>
      <c r="D881">
        <v>0</v>
      </c>
      <c r="E881">
        <v>1.02</v>
      </c>
      <c r="F881">
        <v>969</v>
      </c>
      <c r="G881" t="s">
        <v>5160</v>
      </c>
      <c r="H881">
        <v>5356.56</v>
      </c>
      <c r="I881">
        <v>16.34</v>
      </c>
      <c r="J881" t="s">
        <v>120</v>
      </c>
      <c r="K881" t="s">
        <v>5161</v>
      </c>
      <c r="L881">
        <v>1.68</v>
      </c>
      <c r="M881">
        <v>4.9000000000000004</v>
      </c>
      <c r="N881">
        <v>1.07</v>
      </c>
      <c r="O881">
        <v>2.86</v>
      </c>
      <c r="P881">
        <v>5.04</v>
      </c>
      <c r="Q881">
        <v>-0.82</v>
      </c>
      <c r="R881">
        <v>4.8600000000000003</v>
      </c>
      <c r="S881">
        <v>4.95</v>
      </c>
      <c r="T881">
        <v>108190</v>
      </c>
      <c r="U881">
        <v>4.91</v>
      </c>
      <c r="V881">
        <v>4.9000000000000004</v>
      </c>
      <c r="W881" t="s">
        <v>120</v>
      </c>
      <c r="X881" t="s">
        <v>959</v>
      </c>
      <c r="Y881" t="s">
        <v>578</v>
      </c>
      <c r="Z881">
        <v>3.67</v>
      </c>
      <c r="AA881">
        <v>4.95</v>
      </c>
      <c r="AB881">
        <v>51386</v>
      </c>
      <c r="AC881">
        <v>56804</v>
      </c>
      <c r="AD881">
        <v>0.9</v>
      </c>
      <c r="AE881">
        <v>1189</v>
      </c>
      <c r="AF881">
        <v>447</v>
      </c>
      <c r="AG881" t="s">
        <v>120</v>
      </c>
      <c r="AH881">
        <v>0.01</v>
      </c>
      <c r="AI881" t="s">
        <v>120</v>
      </c>
      <c r="AJ881">
        <v>6.45</v>
      </c>
      <c r="AK881" t="s">
        <v>5162</v>
      </c>
      <c r="AL881">
        <v>1.91</v>
      </c>
      <c r="AM881">
        <v>1858</v>
      </c>
      <c r="AN881">
        <v>58</v>
      </c>
      <c r="AO881">
        <v>8.9999999999999998E-4</v>
      </c>
      <c r="AP881">
        <v>0</v>
      </c>
      <c r="AQ881">
        <v>1.24</v>
      </c>
      <c r="AR881">
        <v>-2.59</v>
      </c>
      <c r="AS881">
        <v>-0.2</v>
      </c>
      <c r="AT881">
        <v>15.02</v>
      </c>
      <c r="AU881">
        <v>5.6</v>
      </c>
      <c r="AV881">
        <v>4</v>
      </c>
      <c r="AW881">
        <v>2.2599999999999998</v>
      </c>
      <c r="AX881">
        <v>62.31</v>
      </c>
      <c r="AY881" t="s">
        <v>120</v>
      </c>
      <c r="AZ881">
        <v>63.23</v>
      </c>
      <c r="BA881">
        <v>0.46</v>
      </c>
      <c r="BB881" t="s">
        <v>143</v>
      </c>
      <c r="BF881">
        <v>1.04</v>
      </c>
      <c r="BG881">
        <v>-1.01</v>
      </c>
      <c r="BH881">
        <v>-2.78</v>
      </c>
      <c r="BI881">
        <v>0.82</v>
      </c>
      <c r="BJ881">
        <v>20210907</v>
      </c>
      <c r="BK881">
        <v>20100921</v>
      </c>
      <c r="BL881">
        <v>7.69</v>
      </c>
      <c r="BM881" t="s">
        <v>120</v>
      </c>
      <c r="BN881" t="s">
        <v>120</v>
      </c>
      <c r="BO881">
        <v>67.23</v>
      </c>
      <c r="BP881">
        <v>4.9000000000000004</v>
      </c>
      <c r="BQ881">
        <v>26.1</v>
      </c>
      <c r="BR881">
        <v>0.37</v>
      </c>
      <c r="BS881">
        <v>60.63</v>
      </c>
      <c r="BT881">
        <v>28.73</v>
      </c>
      <c r="BU881">
        <v>13.1</v>
      </c>
      <c r="BV881">
        <v>4.01</v>
      </c>
      <c r="BW881">
        <v>31.91</v>
      </c>
      <c r="BX881">
        <v>11.35</v>
      </c>
      <c r="BY881">
        <v>7.36</v>
      </c>
      <c r="BZ881">
        <v>4.2300000000000004</v>
      </c>
      <c r="CA881" t="s">
        <v>120</v>
      </c>
      <c r="CB881">
        <v>18.47</v>
      </c>
      <c r="CC881">
        <v>3.97</v>
      </c>
      <c r="CD881">
        <v>3.14</v>
      </c>
      <c r="CE881">
        <v>-1.33</v>
      </c>
      <c r="CF881">
        <v>-0.14000000000000001</v>
      </c>
      <c r="CG881">
        <v>-1.31</v>
      </c>
      <c r="CH881">
        <v>-1.1100000000000001</v>
      </c>
      <c r="CI881">
        <v>-1.1000000000000001</v>
      </c>
      <c r="CJ881">
        <v>0</v>
      </c>
      <c r="CK881">
        <v>-1.1299999999999999</v>
      </c>
      <c r="CL881">
        <v>-0.67</v>
      </c>
      <c r="CM881">
        <v>-3.27</v>
      </c>
      <c r="CN881">
        <v>-5.26</v>
      </c>
      <c r="CO881">
        <v>39327</v>
      </c>
      <c r="CP881">
        <v>12187</v>
      </c>
      <c r="CQ881" t="s">
        <v>5163</v>
      </c>
      <c r="CR881">
        <v>-623.22</v>
      </c>
      <c r="CS881">
        <v>-75.790000000000006</v>
      </c>
      <c r="CT881">
        <v>1.44</v>
      </c>
      <c r="CU881">
        <v>-11.53</v>
      </c>
      <c r="CV881">
        <v>9.5</v>
      </c>
      <c r="CW881">
        <v>0</v>
      </c>
      <c r="CX881" t="s">
        <v>5164</v>
      </c>
      <c r="CY881">
        <v>3.39</v>
      </c>
      <c r="CZ881">
        <v>0</v>
      </c>
      <c r="DA881">
        <v>2.4</v>
      </c>
      <c r="DB881">
        <v>-0.09</v>
      </c>
      <c r="DC881">
        <v>-0.43</v>
      </c>
      <c r="DD881">
        <v>38.82</v>
      </c>
      <c r="DE881" t="s">
        <v>5165</v>
      </c>
      <c r="DF881">
        <v>20.83</v>
      </c>
      <c r="DG881">
        <v>-33.54</v>
      </c>
      <c r="DH881">
        <v>-27.68</v>
      </c>
      <c r="DI881">
        <v>0.28000000000000003</v>
      </c>
      <c r="DJ881">
        <v>1669</v>
      </c>
      <c r="DK881">
        <v>2480</v>
      </c>
      <c r="DL881" t="s">
        <v>120</v>
      </c>
      <c r="DM881" t="s">
        <v>120</v>
      </c>
      <c r="DN881" t="s">
        <v>120</v>
      </c>
    </row>
    <row r="882" spans="1:118">
      <c r="A882" t="str">
        <f>"002481"</f>
        <v>002481</v>
      </c>
      <c r="B882" t="s">
        <v>5166</v>
      </c>
      <c r="C882">
        <v>1.35</v>
      </c>
      <c r="D882">
        <v>0</v>
      </c>
      <c r="E882">
        <v>0.1</v>
      </c>
      <c r="F882">
        <v>739</v>
      </c>
      <c r="G882" t="s">
        <v>5167</v>
      </c>
      <c r="H882">
        <v>8664.8799999999992</v>
      </c>
      <c r="I882">
        <v>4.99</v>
      </c>
      <c r="J882" t="s">
        <v>120</v>
      </c>
      <c r="K882" t="s">
        <v>5168</v>
      </c>
      <c r="L882">
        <v>0.75</v>
      </c>
      <c r="M882">
        <v>10.53</v>
      </c>
      <c r="N882">
        <v>0.81</v>
      </c>
      <c r="O882">
        <v>2.79</v>
      </c>
      <c r="P882">
        <v>10.68</v>
      </c>
      <c r="Q882">
        <v>-0.48</v>
      </c>
      <c r="R882">
        <v>10.34</v>
      </c>
      <c r="S882">
        <v>10.4</v>
      </c>
      <c r="T882">
        <v>82366</v>
      </c>
      <c r="U882">
        <v>10.54</v>
      </c>
      <c r="V882">
        <v>10.39</v>
      </c>
      <c r="W882">
        <v>29.81</v>
      </c>
      <c r="X882" t="s">
        <v>847</v>
      </c>
      <c r="Y882" t="s">
        <v>638</v>
      </c>
      <c r="Z882">
        <v>3.27</v>
      </c>
      <c r="AA882">
        <v>10.52</v>
      </c>
      <c r="AB882">
        <v>38908</v>
      </c>
      <c r="AC882">
        <v>43458</v>
      </c>
      <c r="AD882">
        <v>0.9</v>
      </c>
      <c r="AE882">
        <v>236</v>
      </c>
      <c r="AF882">
        <v>272</v>
      </c>
      <c r="AG882" t="s">
        <v>120</v>
      </c>
      <c r="AH882">
        <v>0</v>
      </c>
      <c r="AI882" t="s">
        <v>120</v>
      </c>
      <c r="AJ882">
        <v>10.99</v>
      </c>
      <c r="AK882" t="s">
        <v>5169</v>
      </c>
      <c r="AL882">
        <v>3.26</v>
      </c>
      <c r="AM882">
        <v>2423</v>
      </c>
      <c r="AN882">
        <v>34</v>
      </c>
      <c r="AO882">
        <v>2.9999999999999997E-4</v>
      </c>
      <c r="AP882">
        <v>1</v>
      </c>
      <c r="AQ882">
        <v>-0.28999999999999998</v>
      </c>
      <c r="AR882">
        <v>-2.59</v>
      </c>
      <c r="AS882">
        <v>-4.09</v>
      </c>
      <c r="AT882">
        <v>-10.76</v>
      </c>
      <c r="AU882">
        <v>-23.97</v>
      </c>
      <c r="AV882">
        <v>1</v>
      </c>
      <c r="AW882">
        <v>1.33</v>
      </c>
      <c r="AX882">
        <v>49.9</v>
      </c>
      <c r="AY882">
        <v>31.98</v>
      </c>
      <c r="AZ882">
        <v>36.64</v>
      </c>
      <c r="BA882">
        <v>0.42</v>
      </c>
      <c r="BB882" t="s">
        <v>143</v>
      </c>
      <c r="BF882">
        <v>1.25</v>
      </c>
      <c r="BG882">
        <v>1.25</v>
      </c>
      <c r="BH882">
        <v>-1.4</v>
      </c>
      <c r="BI882">
        <v>1.84</v>
      </c>
      <c r="BJ882">
        <v>20210826</v>
      </c>
      <c r="BK882">
        <v>20100921</v>
      </c>
      <c r="BL882">
        <v>12.43</v>
      </c>
      <c r="BM882" t="s">
        <v>120</v>
      </c>
      <c r="BN882" t="s">
        <v>120</v>
      </c>
      <c r="BO882">
        <v>41.94</v>
      </c>
      <c r="BP882">
        <v>10.53</v>
      </c>
      <c r="BQ882">
        <v>28.11</v>
      </c>
      <c r="BR882">
        <v>0.16</v>
      </c>
      <c r="BS882">
        <v>32.590000000000003</v>
      </c>
      <c r="BT882">
        <v>21.31</v>
      </c>
      <c r="BU882">
        <v>15.74</v>
      </c>
      <c r="BV882">
        <v>1.05</v>
      </c>
      <c r="BW882">
        <v>13.16</v>
      </c>
      <c r="BX882">
        <v>3.72</v>
      </c>
      <c r="BY882">
        <v>8.2799999999999994</v>
      </c>
      <c r="BZ882">
        <v>2.35</v>
      </c>
      <c r="CA882" t="s">
        <v>120</v>
      </c>
      <c r="CB882">
        <v>4.8099999999999996</v>
      </c>
      <c r="CC882">
        <v>10.119999999999999</v>
      </c>
      <c r="CD882">
        <v>6.79</v>
      </c>
      <c r="CE882">
        <v>2.4900000000000002</v>
      </c>
      <c r="CF882">
        <v>0.12</v>
      </c>
      <c r="CG882">
        <v>2.4900000000000002</v>
      </c>
      <c r="CH882">
        <v>2.2000000000000002</v>
      </c>
      <c r="CI882">
        <v>2.2000000000000002</v>
      </c>
      <c r="CJ882">
        <v>0.14000000000000001</v>
      </c>
      <c r="CK882">
        <v>2.08</v>
      </c>
      <c r="CL882">
        <v>12.68</v>
      </c>
      <c r="CM882">
        <v>1.23</v>
      </c>
      <c r="CN882">
        <v>-0.98</v>
      </c>
      <c r="CO882">
        <v>48062</v>
      </c>
      <c r="CP882">
        <v>12910</v>
      </c>
      <c r="CQ882" t="s">
        <v>5170</v>
      </c>
      <c r="CR882">
        <v>30.49</v>
      </c>
      <c r="CS882">
        <v>4.1100000000000003</v>
      </c>
      <c r="CT882">
        <v>4.66</v>
      </c>
      <c r="CU882">
        <v>106.16</v>
      </c>
      <c r="CV882">
        <v>12.94</v>
      </c>
      <c r="CW882">
        <v>0.95</v>
      </c>
      <c r="CX882" t="s">
        <v>242</v>
      </c>
      <c r="CY882">
        <v>2.2599999999999998</v>
      </c>
      <c r="CZ882">
        <v>0</v>
      </c>
      <c r="DA882">
        <v>0.39</v>
      </c>
      <c r="DB882">
        <v>1.02</v>
      </c>
      <c r="DC882">
        <v>0.1</v>
      </c>
      <c r="DD882">
        <v>67.02</v>
      </c>
      <c r="DE882" t="s">
        <v>5171</v>
      </c>
      <c r="DF882">
        <v>32.869999999999997</v>
      </c>
      <c r="DG882">
        <v>24.65</v>
      </c>
      <c r="DH882">
        <v>21.71</v>
      </c>
      <c r="DI882">
        <v>0.37</v>
      </c>
      <c r="DJ882">
        <v>854</v>
      </c>
      <c r="DK882">
        <v>2481</v>
      </c>
      <c r="DL882" t="s">
        <v>120</v>
      </c>
      <c r="DM882" t="s">
        <v>120</v>
      </c>
      <c r="DN882" t="s">
        <v>120</v>
      </c>
    </row>
    <row r="883" spans="1:118">
      <c r="A883" t="str">
        <f>"002482"</f>
        <v>002482</v>
      </c>
      <c r="B883" t="s">
        <v>5172</v>
      </c>
      <c r="C883">
        <v>-2.14</v>
      </c>
      <c r="D883">
        <v>0</v>
      </c>
      <c r="E883">
        <v>0</v>
      </c>
      <c r="F883">
        <v>2609</v>
      </c>
      <c r="G883" t="s">
        <v>3806</v>
      </c>
      <c r="H883">
        <v>4438.3900000000003</v>
      </c>
      <c r="I883">
        <v>59.15</v>
      </c>
      <c r="J883" t="s">
        <v>120</v>
      </c>
      <c r="K883" t="s">
        <v>5173</v>
      </c>
      <c r="L883">
        <v>1.04</v>
      </c>
      <c r="M883">
        <v>2.75</v>
      </c>
      <c r="N883">
        <v>0.93</v>
      </c>
      <c r="O883">
        <v>1.07</v>
      </c>
      <c r="P883">
        <v>2.84</v>
      </c>
      <c r="Q883">
        <v>-2.14</v>
      </c>
      <c r="R883">
        <v>2.75</v>
      </c>
      <c r="S883">
        <v>2.81</v>
      </c>
      <c r="T883">
        <v>158802</v>
      </c>
      <c r="U883">
        <v>2.75</v>
      </c>
      <c r="V883">
        <v>2.81</v>
      </c>
      <c r="W883">
        <v>48.29</v>
      </c>
      <c r="X883" t="s">
        <v>3122</v>
      </c>
      <c r="Y883" t="s">
        <v>123</v>
      </c>
      <c r="Z883">
        <v>3.2</v>
      </c>
      <c r="AA883">
        <v>2.79</v>
      </c>
      <c r="AB883">
        <v>87001</v>
      </c>
      <c r="AC883">
        <v>71801</v>
      </c>
      <c r="AD883">
        <v>1.21</v>
      </c>
      <c r="AE883">
        <v>2128</v>
      </c>
      <c r="AF883">
        <v>487</v>
      </c>
      <c r="AG883" t="s">
        <v>120</v>
      </c>
      <c r="AH883">
        <v>0.04</v>
      </c>
      <c r="AI883" t="s">
        <v>120</v>
      </c>
      <c r="AJ883">
        <v>15.29</v>
      </c>
      <c r="AK883" t="s">
        <v>5174</v>
      </c>
      <c r="AL883">
        <v>-0.22</v>
      </c>
      <c r="AM883">
        <v>1941</v>
      </c>
      <c r="AN883">
        <v>82</v>
      </c>
      <c r="AO883">
        <v>5.0000000000000001E-4</v>
      </c>
      <c r="AP883">
        <v>-1</v>
      </c>
      <c r="AQ883">
        <v>3.69</v>
      </c>
      <c r="AR883">
        <v>-1.78</v>
      </c>
      <c r="AS883">
        <v>10.89</v>
      </c>
      <c r="AT883">
        <v>-2.48</v>
      </c>
      <c r="AU883">
        <v>-10.72</v>
      </c>
      <c r="AV883">
        <v>2</v>
      </c>
      <c r="AW883">
        <v>2.91</v>
      </c>
      <c r="AX883">
        <v>35.53</v>
      </c>
      <c r="AY883" t="s">
        <v>120</v>
      </c>
      <c r="AZ883" t="s">
        <v>120</v>
      </c>
      <c r="BA883">
        <v>0.55000000000000004</v>
      </c>
      <c r="BB883" t="s">
        <v>184</v>
      </c>
      <c r="BF883">
        <v>-0.54</v>
      </c>
      <c r="BG883">
        <v>-2.14</v>
      </c>
      <c r="BH883">
        <v>-3.17</v>
      </c>
      <c r="BI883">
        <v>0</v>
      </c>
      <c r="BJ883">
        <v>20210902</v>
      </c>
      <c r="BK883">
        <v>20100929</v>
      </c>
      <c r="BL883">
        <v>15.37</v>
      </c>
      <c r="BM883" t="s">
        <v>120</v>
      </c>
      <c r="BN883" t="s">
        <v>120</v>
      </c>
      <c r="BO883">
        <v>224.16</v>
      </c>
      <c r="BP883">
        <v>2.74</v>
      </c>
      <c r="BQ883">
        <v>63.1</v>
      </c>
      <c r="BR883">
        <v>1.24</v>
      </c>
      <c r="BS883">
        <v>71.3</v>
      </c>
      <c r="BT883">
        <v>193.11</v>
      </c>
      <c r="BU883">
        <v>1.61</v>
      </c>
      <c r="BV883">
        <v>5.56</v>
      </c>
      <c r="BW883">
        <v>150.66999999999999</v>
      </c>
      <c r="BX883">
        <v>25.88</v>
      </c>
      <c r="BY883">
        <v>7.29</v>
      </c>
      <c r="BZ883">
        <v>56.52</v>
      </c>
      <c r="CA883" t="s">
        <v>120</v>
      </c>
      <c r="CB883">
        <v>22.68</v>
      </c>
      <c r="CC883">
        <v>50.03</v>
      </c>
      <c r="CD883">
        <v>43.07</v>
      </c>
      <c r="CE883">
        <v>0.78</v>
      </c>
      <c r="CF883">
        <v>-0.02</v>
      </c>
      <c r="CG883">
        <v>0.74</v>
      </c>
      <c r="CH883">
        <v>0.51</v>
      </c>
      <c r="CI883">
        <v>0.44</v>
      </c>
      <c r="CJ883">
        <v>-0.06</v>
      </c>
      <c r="CK883">
        <v>0.44</v>
      </c>
      <c r="CL883">
        <v>19.93</v>
      </c>
      <c r="CM883">
        <v>10.25</v>
      </c>
      <c r="CN883">
        <v>-4.26</v>
      </c>
      <c r="CO883">
        <v>33717</v>
      </c>
      <c r="CP883">
        <v>16199</v>
      </c>
      <c r="CQ883" t="s">
        <v>3827</v>
      </c>
      <c r="CR883">
        <v>44.91</v>
      </c>
      <c r="CS883">
        <v>14.89</v>
      </c>
      <c r="CT883">
        <v>0.67</v>
      </c>
      <c r="CU883">
        <v>4.13</v>
      </c>
      <c r="CV883">
        <v>0.85</v>
      </c>
      <c r="CW883">
        <v>0</v>
      </c>
      <c r="CX883" t="s">
        <v>2074</v>
      </c>
      <c r="CY883">
        <v>4.0999999999999996</v>
      </c>
      <c r="CZ883">
        <v>0</v>
      </c>
      <c r="DA883">
        <v>1.48</v>
      </c>
      <c r="DB883">
        <v>1.3</v>
      </c>
      <c r="DC883">
        <v>0.67</v>
      </c>
      <c r="DD883">
        <v>28.15</v>
      </c>
      <c r="DE883" t="s">
        <v>3608</v>
      </c>
      <c r="DF883">
        <v>13.92</v>
      </c>
      <c r="DG883">
        <v>1.55</v>
      </c>
      <c r="DH883">
        <v>0.87</v>
      </c>
      <c r="DI883">
        <v>1.25</v>
      </c>
      <c r="DJ883">
        <v>4044</v>
      </c>
      <c r="DK883">
        <v>2482</v>
      </c>
      <c r="DL883" t="s">
        <v>120</v>
      </c>
      <c r="DM883" t="s">
        <v>120</v>
      </c>
      <c r="DN883" t="s">
        <v>120</v>
      </c>
    </row>
    <row r="884" spans="1:118">
      <c r="A884" t="str">
        <f>"002483"</f>
        <v>002483</v>
      </c>
      <c r="B884" t="s">
        <v>5175</v>
      </c>
      <c r="C884">
        <v>-3.66</v>
      </c>
      <c r="D884">
        <v>0.16</v>
      </c>
      <c r="E884">
        <v>0</v>
      </c>
      <c r="F884">
        <v>4442</v>
      </c>
      <c r="G884" t="s">
        <v>5176</v>
      </c>
      <c r="H884">
        <v>13689.56</v>
      </c>
      <c r="I884">
        <v>50.12</v>
      </c>
      <c r="J884" t="s">
        <v>120</v>
      </c>
      <c r="K884" t="s">
        <v>5177</v>
      </c>
      <c r="L884">
        <v>2.46</v>
      </c>
      <c r="M884">
        <v>6.32</v>
      </c>
      <c r="N884">
        <v>0.79</v>
      </c>
      <c r="O884">
        <v>1.07</v>
      </c>
      <c r="P884">
        <v>6.63</v>
      </c>
      <c r="Q884">
        <v>-3.96</v>
      </c>
      <c r="R884">
        <v>6.3</v>
      </c>
      <c r="S884">
        <v>6.56</v>
      </c>
      <c r="T884">
        <v>212061</v>
      </c>
      <c r="U884">
        <v>6.32</v>
      </c>
      <c r="V884">
        <v>6.56</v>
      </c>
      <c r="W884">
        <v>14.56</v>
      </c>
      <c r="X884" t="s">
        <v>593</v>
      </c>
      <c r="Y884" t="s">
        <v>319</v>
      </c>
      <c r="Z884">
        <v>5.03</v>
      </c>
      <c r="AA884">
        <v>6.46</v>
      </c>
      <c r="AB884">
        <v>120472</v>
      </c>
      <c r="AC884">
        <v>91589</v>
      </c>
      <c r="AD884">
        <v>1.32</v>
      </c>
      <c r="AE884">
        <v>225</v>
      </c>
      <c r="AF884">
        <v>2507</v>
      </c>
      <c r="AG884" t="s">
        <v>120</v>
      </c>
      <c r="AH884">
        <v>0.02</v>
      </c>
      <c r="AI884" t="s">
        <v>120</v>
      </c>
      <c r="AJ884">
        <v>8.6300000000000008</v>
      </c>
      <c r="AK884" t="s">
        <v>5178</v>
      </c>
      <c r="AL884">
        <v>-1.74</v>
      </c>
      <c r="AM884">
        <v>2881</v>
      </c>
      <c r="AN884">
        <v>74</v>
      </c>
      <c r="AO884">
        <v>8.9999999999999998E-4</v>
      </c>
      <c r="AP884">
        <v>-1</v>
      </c>
      <c r="AQ884">
        <v>6.49</v>
      </c>
      <c r="AR884">
        <v>0.63</v>
      </c>
      <c r="AS884">
        <v>13.46</v>
      </c>
      <c r="AT884">
        <v>28.45</v>
      </c>
      <c r="AU884">
        <v>12.85</v>
      </c>
      <c r="AV884">
        <v>1</v>
      </c>
      <c r="AW884">
        <v>4.79</v>
      </c>
      <c r="AX884">
        <v>47.02</v>
      </c>
      <c r="AY884">
        <v>15.94</v>
      </c>
      <c r="AZ884">
        <v>24.14</v>
      </c>
      <c r="BA884">
        <v>0.5</v>
      </c>
      <c r="BB884" t="s">
        <v>168</v>
      </c>
      <c r="BF884">
        <v>-1.59</v>
      </c>
      <c r="BG884">
        <v>-3.66</v>
      </c>
      <c r="BH884">
        <v>-4.68</v>
      </c>
      <c r="BI884">
        <v>0.32</v>
      </c>
      <c r="BJ884">
        <v>20210824</v>
      </c>
      <c r="BK884">
        <v>20100929</v>
      </c>
      <c r="BL884">
        <v>9.42</v>
      </c>
      <c r="BM884" t="s">
        <v>120</v>
      </c>
      <c r="BN884" t="s">
        <v>120</v>
      </c>
      <c r="BO884">
        <v>75.17</v>
      </c>
      <c r="BP884">
        <v>6.31</v>
      </c>
      <c r="BQ884">
        <v>41.07</v>
      </c>
      <c r="BR884">
        <v>0.66</v>
      </c>
      <c r="BS884">
        <v>44.48</v>
      </c>
      <c r="BT884">
        <v>36.840000000000003</v>
      </c>
      <c r="BU884">
        <v>19.71</v>
      </c>
      <c r="BV884">
        <v>5.0999999999999996</v>
      </c>
      <c r="BW884">
        <v>28.16</v>
      </c>
      <c r="BX884">
        <v>6.05</v>
      </c>
      <c r="BY884">
        <v>13.31</v>
      </c>
      <c r="BZ884">
        <v>8.5500000000000007</v>
      </c>
      <c r="CA884" t="s">
        <v>120</v>
      </c>
      <c r="CB884">
        <v>24.6</v>
      </c>
      <c r="CC884">
        <v>18.89</v>
      </c>
      <c r="CD884">
        <v>14.18</v>
      </c>
      <c r="CE884">
        <v>2.41</v>
      </c>
      <c r="CF884">
        <v>0.02</v>
      </c>
      <c r="CG884">
        <v>2.4300000000000002</v>
      </c>
      <c r="CH884">
        <v>2.15</v>
      </c>
      <c r="CI884">
        <v>2.04</v>
      </c>
      <c r="CJ884">
        <v>-0.24</v>
      </c>
      <c r="CK884">
        <v>1.84</v>
      </c>
      <c r="CL884">
        <v>5.85</v>
      </c>
      <c r="CM884">
        <v>0.13</v>
      </c>
      <c r="CN884">
        <v>-1.51</v>
      </c>
      <c r="CO884">
        <v>32002</v>
      </c>
      <c r="CP884">
        <v>13846</v>
      </c>
      <c r="CQ884" t="s">
        <v>3574</v>
      </c>
      <c r="CR884">
        <v>181.07</v>
      </c>
      <c r="CS884">
        <v>17.600000000000001</v>
      </c>
      <c r="CT884">
        <v>1.45</v>
      </c>
      <c r="CU884">
        <v>454.17</v>
      </c>
      <c r="CV884">
        <v>3.15</v>
      </c>
      <c r="CW884">
        <v>0.76</v>
      </c>
      <c r="CX884" t="s">
        <v>5179</v>
      </c>
      <c r="CY884">
        <v>4.3600000000000003</v>
      </c>
      <c r="CZ884">
        <v>0</v>
      </c>
      <c r="DA884">
        <v>2.61</v>
      </c>
      <c r="DB884">
        <v>0.62</v>
      </c>
      <c r="DC884">
        <v>0.01</v>
      </c>
      <c r="DD884">
        <v>54.64</v>
      </c>
      <c r="DE884" t="s">
        <v>137</v>
      </c>
      <c r="DF884">
        <v>24.97</v>
      </c>
      <c r="DG884">
        <v>12.74</v>
      </c>
      <c r="DH884">
        <v>10.82</v>
      </c>
      <c r="DI884">
        <v>0.47</v>
      </c>
      <c r="DJ884">
        <v>2633</v>
      </c>
      <c r="DK884">
        <v>2483</v>
      </c>
      <c r="DL884" t="s">
        <v>120</v>
      </c>
      <c r="DM884" t="s">
        <v>120</v>
      </c>
      <c r="DN884" t="s">
        <v>120</v>
      </c>
    </row>
    <row r="885" spans="1:118">
      <c r="A885" t="str">
        <f>"002484"</f>
        <v>002484</v>
      </c>
      <c r="B885" t="s">
        <v>5180</v>
      </c>
      <c r="C885">
        <v>-0.54</v>
      </c>
      <c r="D885">
        <v>0</v>
      </c>
      <c r="E885">
        <v>-0.54</v>
      </c>
      <c r="F885">
        <v>1491</v>
      </c>
      <c r="G885" t="s">
        <v>5181</v>
      </c>
      <c r="H885">
        <v>23469.09</v>
      </c>
      <c r="I885">
        <v>30.33</v>
      </c>
      <c r="J885" t="s">
        <v>120</v>
      </c>
      <c r="K885" t="s">
        <v>5182</v>
      </c>
      <c r="L885">
        <v>1.61</v>
      </c>
      <c r="M885">
        <v>18.38</v>
      </c>
      <c r="N885">
        <v>0.81</v>
      </c>
      <c r="O885">
        <v>3.84</v>
      </c>
      <c r="P885">
        <v>19.190000000000001</v>
      </c>
      <c r="Q885">
        <v>-1.03</v>
      </c>
      <c r="R885">
        <v>18.29</v>
      </c>
      <c r="S885">
        <v>18.38</v>
      </c>
      <c r="T885">
        <v>124906</v>
      </c>
      <c r="U885">
        <v>18.38</v>
      </c>
      <c r="V885">
        <v>18.48</v>
      </c>
      <c r="W885">
        <v>37.15</v>
      </c>
      <c r="X885" t="s">
        <v>229</v>
      </c>
      <c r="Y885" t="s">
        <v>319</v>
      </c>
      <c r="Z885">
        <v>4.87</v>
      </c>
      <c r="AA885">
        <v>18.79</v>
      </c>
      <c r="AB885">
        <v>62287</v>
      </c>
      <c r="AC885">
        <v>62619</v>
      </c>
      <c r="AD885">
        <v>0.99</v>
      </c>
      <c r="AE885">
        <v>86</v>
      </c>
      <c r="AF885">
        <v>121</v>
      </c>
      <c r="AG885" t="s">
        <v>120</v>
      </c>
      <c r="AH885">
        <v>0</v>
      </c>
      <c r="AI885" t="s">
        <v>120</v>
      </c>
      <c r="AJ885">
        <v>7.75</v>
      </c>
      <c r="AK885" t="s">
        <v>5183</v>
      </c>
      <c r="AL885">
        <v>1.37</v>
      </c>
      <c r="AM885">
        <v>3007</v>
      </c>
      <c r="AN885">
        <v>42</v>
      </c>
      <c r="AO885">
        <v>5.0000000000000001E-4</v>
      </c>
      <c r="AP885">
        <v>-1</v>
      </c>
      <c r="AQ885">
        <v>0.27</v>
      </c>
      <c r="AR885">
        <v>2.2200000000000002</v>
      </c>
      <c r="AS885">
        <v>-9.1</v>
      </c>
      <c r="AT885">
        <v>22.78</v>
      </c>
      <c r="AU885">
        <v>77.069999999999993</v>
      </c>
      <c r="AV885">
        <v>2</v>
      </c>
      <c r="AW885">
        <v>2.8</v>
      </c>
      <c r="AX885">
        <v>54.09</v>
      </c>
      <c r="AY885">
        <v>34.840000000000003</v>
      </c>
      <c r="AZ885">
        <v>40.9</v>
      </c>
      <c r="BA885">
        <v>1.08</v>
      </c>
      <c r="BB885" t="s">
        <v>143</v>
      </c>
      <c r="BF885">
        <v>1.67</v>
      </c>
      <c r="BG885">
        <v>0</v>
      </c>
      <c r="BH885">
        <v>-4.22</v>
      </c>
      <c r="BI885">
        <v>0.49</v>
      </c>
      <c r="BJ885">
        <v>20210827</v>
      </c>
      <c r="BK885">
        <v>20100929</v>
      </c>
      <c r="BL885">
        <v>8.25</v>
      </c>
      <c r="BM885" t="s">
        <v>120</v>
      </c>
      <c r="BN885" t="s">
        <v>120</v>
      </c>
      <c r="BO885">
        <v>52.83</v>
      </c>
      <c r="BP885">
        <v>18.37</v>
      </c>
      <c r="BQ885">
        <v>40.21</v>
      </c>
      <c r="BR885">
        <v>0.47</v>
      </c>
      <c r="BS885">
        <v>23</v>
      </c>
      <c r="BT885">
        <v>31.49</v>
      </c>
      <c r="BU885">
        <v>13.61</v>
      </c>
      <c r="BV885">
        <v>0.99</v>
      </c>
      <c r="BW885">
        <v>10.73</v>
      </c>
      <c r="BX885">
        <v>9.74</v>
      </c>
      <c r="BY885">
        <v>7.4</v>
      </c>
      <c r="BZ885">
        <v>10.14</v>
      </c>
      <c r="CA885" t="s">
        <v>120</v>
      </c>
      <c r="CB885">
        <v>15.23</v>
      </c>
      <c r="CC885">
        <v>16.649999999999999</v>
      </c>
      <c r="CD885">
        <v>12.02</v>
      </c>
      <c r="CE885">
        <v>2.5499999999999998</v>
      </c>
      <c r="CF885">
        <v>0</v>
      </c>
      <c r="CG885">
        <v>2.54</v>
      </c>
      <c r="CH885">
        <v>2.08</v>
      </c>
      <c r="CI885">
        <v>2.04</v>
      </c>
      <c r="CJ885">
        <v>-0.1</v>
      </c>
      <c r="CK885">
        <v>1.95</v>
      </c>
      <c r="CL885">
        <v>14.14</v>
      </c>
      <c r="CM885">
        <v>1.2</v>
      </c>
      <c r="CN885">
        <v>2.39</v>
      </c>
      <c r="CO885">
        <v>21264</v>
      </c>
      <c r="CP885">
        <v>20987</v>
      </c>
      <c r="CQ885" t="s">
        <v>5184</v>
      </c>
      <c r="CR885">
        <v>46.49</v>
      </c>
      <c r="CS885">
        <v>56.61</v>
      </c>
      <c r="CT885">
        <v>3.77</v>
      </c>
      <c r="CU885">
        <v>126.28</v>
      </c>
      <c r="CV885">
        <v>9.11</v>
      </c>
      <c r="CW885">
        <v>0.65</v>
      </c>
      <c r="CX885" t="s">
        <v>863</v>
      </c>
      <c r="CY885">
        <v>4.87</v>
      </c>
      <c r="CZ885">
        <v>0</v>
      </c>
      <c r="DA885">
        <v>1.85</v>
      </c>
      <c r="DB885">
        <v>1.71</v>
      </c>
      <c r="DC885">
        <v>0.15</v>
      </c>
      <c r="DD885">
        <v>76.11</v>
      </c>
      <c r="DE885" t="s">
        <v>3677</v>
      </c>
      <c r="DF885">
        <v>27.8</v>
      </c>
      <c r="DG885">
        <v>15.32</v>
      </c>
      <c r="DH885">
        <v>12.26</v>
      </c>
      <c r="DI885">
        <v>0.95</v>
      </c>
      <c r="DJ885">
        <v>3563</v>
      </c>
      <c r="DK885">
        <v>2484</v>
      </c>
      <c r="DL885" t="s">
        <v>120</v>
      </c>
      <c r="DM885" t="s">
        <v>120</v>
      </c>
      <c r="DN885" t="s">
        <v>120</v>
      </c>
    </row>
    <row r="886" spans="1:118">
      <c r="A886" t="str">
        <f>"002485"</f>
        <v>002485</v>
      </c>
      <c r="B886" t="s">
        <v>5185</v>
      </c>
      <c r="C886">
        <v>-0.56000000000000005</v>
      </c>
      <c r="D886">
        <v>-0.18</v>
      </c>
      <c r="E886">
        <v>0</v>
      </c>
      <c r="F886">
        <v>332</v>
      </c>
      <c r="G886" t="s">
        <v>5186</v>
      </c>
      <c r="H886">
        <v>1655.21</v>
      </c>
      <c r="I886">
        <v>0.86</v>
      </c>
      <c r="J886" t="s">
        <v>120</v>
      </c>
      <c r="K886" t="s">
        <v>5187</v>
      </c>
      <c r="L886">
        <v>0.56000000000000005</v>
      </c>
      <c r="M886">
        <v>5.35</v>
      </c>
      <c r="N886">
        <v>0.54</v>
      </c>
      <c r="O886">
        <v>2.79</v>
      </c>
      <c r="P886">
        <v>5.53</v>
      </c>
      <c r="Q886">
        <v>-0.93</v>
      </c>
      <c r="R886">
        <v>5.33</v>
      </c>
      <c r="S886">
        <v>5.38</v>
      </c>
      <c r="T886">
        <v>30450</v>
      </c>
      <c r="U886">
        <v>5.36</v>
      </c>
      <c r="V886">
        <v>5.38</v>
      </c>
      <c r="W886" t="s">
        <v>120</v>
      </c>
      <c r="X886" t="s">
        <v>2806</v>
      </c>
      <c r="Y886" t="s">
        <v>638</v>
      </c>
      <c r="Z886">
        <v>3.72</v>
      </c>
      <c r="AA886">
        <v>5.44</v>
      </c>
      <c r="AB886">
        <v>16446</v>
      </c>
      <c r="AC886">
        <v>14004</v>
      </c>
      <c r="AD886">
        <v>1.17</v>
      </c>
      <c r="AE886">
        <v>16</v>
      </c>
      <c r="AF886">
        <v>271</v>
      </c>
      <c r="AG886" t="s">
        <v>120</v>
      </c>
      <c r="AH886">
        <v>0</v>
      </c>
      <c r="AI886" t="s">
        <v>120</v>
      </c>
      <c r="AJ886">
        <v>5.44</v>
      </c>
      <c r="AK886" t="s">
        <v>5187</v>
      </c>
      <c r="AL886">
        <v>1.36</v>
      </c>
      <c r="AM886">
        <v>1068</v>
      </c>
      <c r="AN886">
        <v>29</v>
      </c>
      <c r="AO886">
        <v>5.0000000000000001E-4</v>
      </c>
      <c r="AP886">
        <v>-1</v>
      </c>
      <c r="AQ886">
        <v>0.75</v>
      </c>
      <c r="AR886">
        <v>-1.29</v>
      </c>
      <c r="AS886">
        <v>-0.37</v>
      </c>
      <c r="AT886">
        <v>26.18</v>
      </c>
      <c r="AU886">
        <v>4.9000000000000004</v>
      </c>
      <c r="AV886">
        <v>3</v>
      </c>
      <c r="AW886">
        <v>1.89</v>
      </c>
      <c r="AX886">
        <v>29.69</v>
      </c>
      <c r="AY886">
        <v>89.6</v>
      </c>
      <c r="AZ886" t="s">
        <v>120</v>
      </c>
      <c r="BA886">
        <v>0.14000000000000001</v>
      </c>
      <c r="BB886" t="s">
        <v>143</v>
      </c>
      <c r="BF886">
        <v>1.04</v>
      </c>
      <c r="BG886">
        <v>-0.56000000000000005</v>
      </c>
      <c r="BH886">
        <v>-3.25</v>
      </c>
      <c r="BI886">
        <v>0.38</v>
      </c>
      <c r="BJ886">
        <v>20210910</v>
      </c>
      <c r="BK886">
        <v>20101015</v>
      </c>
      <c r="BL886">
        <v>5.44</v>
      </c>
      <c r="BM886" t="s">
        <v>120</v>
      </c>
      <c r="BN886" t="s">
        <v>120</v>
      </c>
      <c r="BO886">
        <v>36.520000000000003</v>
      </c>
      <c r="BP886">
        <v>5.35</v>
      </c>
      <c r="BQ886">
        <v>21.77</v>
      </c>
      <c r="BR886">
        <v>0.64</v>
      </c>
      <c r="BS886">
        <v>38.630000000000003</v>
      </c>
      <c r="BT886">
        <v>13.71</v>
      </c>
      <c r="BU886">
        <v>0.18</v>
      </c>
      <c r="BV886">
        <v>3.13</v>
      </c>
      <c r="BW886">
        <v>11.08</v>
      </c>
      <c r="BX886">
        <v>0.6</v>
      </c>
      <c r="BY886">
        <v>1.07</v>
      </c>
      <c r="BZ886">
        <v>2.97</v>
      </c>
      <c r="CA886">
        <v>0.11</v>
      </c>
      <c r="CB886">
        <v>10.57</v>
      </c>
      <c r="CC886">
        <v>9.59</v>
      </c>
      <c r="CD886">
        <v>8.85</v>
      </c>
      <c r="CE886">
        <v>-0.05</v>
      </c>
      <c r="CF886">
        <v>-0.02</v>
      </c>
      <c r="CG886">
        <v>-0.05</v>
      </c>
      <c r="CH886">
        <v>-0.05</v>
      </c>
      <c r="CI886">
        <v>-0.04</v>
      </c>
      <c r="CJ886">
        <v>-0.03</v>
      </c>
      <c r="CK886">
        <v>-0.06</v>
      </c>
      <c r="CL886">
        <v>4.67</v>
      </c>
      <c r="CM886">
        <v>-0.25</v>
      </c>
      <c r="CN886">
        <v>-0.32</v>
      </c>
      <c r="CO886">
        <v>11386</v>
      </c>
      <c r="CP886">
        <v>14187</v>
      </c>
      <c r="CQ886" t="s">
        <v>5188</v>
      </c>
      <c r="CR886">
        <v>93.71</v>
      </c>
      <c r="CS886">
        <v>42.9</v>
      </c>
      <c r="CT886">
        <v>1.34</v>
      </c>
      <c r="CU886">
        <v>-116.82</v>
      </c>
      <c r="CV886">
        <v>3.03</v>
      </c>
      <c r="CW886">
        <v>0</v>
      </c>
      <c r="CX886" t="s">
        <v>5189</v>
      </c>
      <c r="CY886">
        <v>4</v>
      </c>
      <c r="CZ886">
        <v>0</v>
      </c>
      <c r="DA886">
        <v>1.94</v>
      </c>
      <c r="DB886">
        <v>0.86</v>
      </c>
      <c r="DC886">
        <v>-0.05</v>
      </c>
      <c r="DD886">
        <v>59.62</v>
      </c>
      <c r="DE886" t="s">
        <v>5190</v>
      </c>
      <c r="DF886">
        <v>7.72</v>
      </c>
      <c r="DG886">
        <v>-0.5</v>
      </c>
      <c r="DH886">
        <v>-0.37</v>
      </c>
      <c r="DI886">
        <v>0.01</v>
      </c>
      <c r="DJ886">
        <v>342</v>
      </c>
      <c r="DK886">
        <v>2485</v>
      </c>
      <c r="DL886" t="s">
        <v>120</v>
      </c>
      <c r="DM886" t="s">
        <v>120</v>
      </c>
      <c r="DN886" t="s">
        <v>120</v>
      </c>
    </row>
    <row r="887" spans="1:118">
      <c r="A887" t="str">
        <f>"002486"</f>
        <v>002486</v>
      </c>
      <c r="B887" t="s">
        <v>5191</v>
      </c>
      <c r="C887">
        <v>-1.81</v>
      </c>
      <c r="D887">
        <v>-0.36</v>
      </c>
      <c r="E887">
        <v>0</v>
      </c>
      <c r="F887">
        <v>7308</v>
      </c>
      <c r="G887" t="s">
        <v>5192</v>
      </c>
      <c r="H887">
        <v>2957.55</v>
      </c>
      <c r="I887">
        <v>26.59</v>
      </c>
      <c r="J887" t="s">
        <v>120</v>
      </c>
      <c r="K887" t="s">
        <v>4811</v>
      </c>
      <c r="L887">
        <v>1.29</v>
      </c>
      <c r="M887">
        <v>2.72</v>
      </c>
      <c r="N887">
        <v>1.1399999999999999</v>
      </c>
      <c r="O887">
        <v>1.08</v>
      </c>
      <c r="P887">
        <v>2.8</v>
      </c>
      <c r="Q887">
        <v>-1.81</v>
      </c>
      <c r="R887">
        <v>2.72</v>
      </c>
      <c r="S887">
        <v>2.77</v>
      </c>
      <c r="T887">
        <v>107374</v>
      </c>
      <c r="U887">
        <v>2.72</v>
      </c>
      <c r="V887">
        <v>2.77</v>
      </c>
      <c r="W887" t="s">
        <v>120</v>
      </c>
      <c r="X887" t="s">
        <v>2806</v>
      </c>
      <c r="Y887" t="s">
        <v>1510</v>
      </c>
      <c r="Z887">
        <v>2.89</v>
      </c>
      <c r="AA887">
        <v>2.75</v>
      </c>
      <c r="AB887">
        <v>61709</v>
      </c>
      <c r="AC887">
        <v>45665</v>
      </c>
      <c r="AD887">
        <v>1.35</v>
      </c>
      <c r="AE887">
        <v>3766</v>
      </c>
      <c r="AF887">
        <v>523</v>
      </c>
      <c r="AG887" t="s">
        <v>120</v>
      </c>
      <c r="AH887">
        <v>0.01</v>
      </c>
      <c r="AI887" t="s">
        <v>120</v>
      </c>
      <c r="AJ887">
        <v>8.32</v>
      </c>
      <c r="AK887" t="s">
        <v>4811</v>
      </c>
      <c r="AL887">
        <v>0.11</v>
      </c>
      <c r="AM887">
        <v>1329</v>
      </c>
      <c r="AN887">
        <v>81</v>
      </c>
      <c r="AO887">
        <v>1E-3</v>
      </c>
      <c r="AP887">
        <v>-1</v>
      </c>
      <c r="AQ887">
        <v>2.21</v>
      </c>
      <c r="AR887">
        <v>-1.0900000000000001</v>
      </c>
      <c r="AS887">
        <v>3.82</v>
      </c>
      <c r="AT887">
        <v>-6.2</v>
      </c>
      <c r="AU887">
        <v>-16.05</v>
      </c>
      <c r="AV887">
        <v>2</v>
      </c>
      <c r="AW887">
        <v>1.64</v>
      </c>
      <c r="AX887">
        <v>78.89</v>
      </c>
      <c r="AY887" t="s">
        <v>120</v>
      </c>
      <c r="AZ887">
        <v>138.19999999999999</v>
      </c>
      <c r="BA887">
        <v>0.27</v>
      </c>
      <c r="BB887" t="s">
        <v>168</v>
      </c>
      <c r="BF887">
        <v>-0.56000000000000005</v>
      </c>
      <c r="BG887">
        <v>-1.81</v>
      </c>
      <c r="BH887">
        <v>-2.86</v>
      </c>
      <c r="BI887">
        <v>0</v>
      </c>
      <c r="BJ887">
        <v>20210831</v>
      </c>
      <c r="BK887">
        <v>20101015</v>
      </c>
      <c r="BL887">
        <v>8.32</v>
      </c>
      <c r="BM887" t="s">
        <v>120</v>
      </c>
      <c r="BN887" t="s">
        <v>120</v>
      </c>
      <c r="BO887">
        <v>12.24</v>
      </c>
      <c r="BP887">
        <v>2.71</v>
      </c>
      <c r="BQ887">
        <v>9.41</v>
      </c>
      <c r="BR887">
        <v>0.05</v>
      </c>
      <c r="BS887">
        <v>22.8</v>
      </c>
      <c r="BT887">
        <v>7.37</v>
      </c>
      <c r="BU887">
        <v>2.71</v>
      </c>
      <c r="BV887">
        <v>0.1</v>
      </c>
      <c r="BW887">
        <v>2.42</v>
      </c>
      <c r="BX887">
        <v>1.46</v>
      </c>
      <c r="BY887">
        <v>2.83</v>
      </c>
      <c r="BZ887">
        <v>1.84</v>
      </c>
      <c r="CA887" t="s">
        <v>120</v>
      </c>
      <c r="CB887">
        <v>0.02</v>
      </c>
      <c r="CC887">
        <v>4.47</v>
      </c>
      <c r="CD887">
        <v>3.68</v>
      </c>
      <c r="CE887">
        <v>-0.06</v>
      </c>
      <c r="CF887">
        <v>0.04</v>
      </c>
      <c r="CG887">
        <v>-7.0000000000000007E-2</v>
      </c>
      <c r="CH887">
        <v>-0.08</v>
      </c>
      <c r="CI887">
        <v>-0.08</v>
      </c>
      <c r="CJ887">
        <v>-0.05</v>
      </c>
      <c r="CK887">
        <v>-0.11</v>
      </c>
      <c r="CL887">
        <v>0.9</v>
      </c>
      <c r="CM887">
        <v>-2.1</v>
      </c>
      <c r="CN887">
        <v>-1.4</v>
      </c>
      <c r="CO887">
        <v>69594</v>
      </c>
      <c r="CP887">
        <v>9432</v>
      </c>
      <c r="CQ887" t="s">
        <v>5193</v>
      </c>
      <c r="CR887">
        <v>-119.61</v>
      </c>
      <c r="CS887">
        <v>-25.92</v>
      </c>
      <c r="CT887">
        <v>2.41</v>
      </c>
      <c r="CU887">
        <v>-10.77</v>
      </c>
      <c r="CV887">
        <v>5.07</v>
      </c>
      <c r="CW887">
        <v>0</v>
      </c>
      <c r="CX887" t="s">
        <v>1312</v>
      </c>
      <c r="CY887">
        <v>1.1299999999999999</v>
      </c>
      <c r="CZ887">
        <v>0</v>
      </c>
      <c r="DA887">
        <v>0</v>
      </c>
      <c r="DB887">
        <v>0.11</v>
      </c>
      <c r="DC887">
        <v>-0.25</v>
      </c>
      <c r="DD887">
        <v>76.81</v>
      </c>
      <c r="DE887" t="s">
        <v>4159</v>
      </c>
      <c r="DF887">
        <v>17.71</v>
      </c>
      <c r="DG887">
        <v>-1.45</v>
      </c>
      <c r="DH887">
        <v>-1.87</v>
      </c>
      <c r="DI887">
        <v>0.18</v>
      </c>
      <c r="DJ887">
        <v>1526</v>
      </c>
      <c r="DK887">
        <v>2486</v>
      </c>
      <c r="DL887" t="s">
        <v>120</v>
      </c>
      <c r="DM887" t="s">
        <v>120</v>
      </c>
      <c r="DN887" t="s">
        <v>120</v>
      </c>
    </row>
    <row r="888" spans="1:118">
      <c r="A888" t="str">
        <f>"002487"</f>
        <v>002487</v>
      </c>
      <c r="B888" t="s">
        <v>5194</v>
      </c>
      <c r="C888">
        <v>6.17</v>
      </c>
      <c r="D888">
        <v>-0.87</v>
      </c>
      <c r="E888">
        <v>5.56</v>
      </c>
      <c r="F888">
        <v>7991</v>
      </c>
      <c r="G888" t="s">
        <v>5195</v>
      </c>
      <c r="H888">
        <v>120076.52</v>
      </c>
      <c r="I888">
        <v>1572.82</v>
      </c>
      <c r="J888" t="s">
        <v>120</v>
      </c>
      <c r="K888" t="s">
        <v>5196</v>
      </c>
      <c r="L888">
        <v>11.47</v>
      </c>
      <c r="M888">
        <v>19.11</v>
      </c>
      <c r="N888">
        <v>1.9</v>
      </c>
      <c r="O888">
        <v>10</v>
      </c>
      <c r="P888">
        <v>19.8</v>
      </c>
      <c r="Q888">
        <v>1.56</v>
      </c>
      <c r="R888">
        <v>18.28</v>
      </c>
      <c r="S888">
        <v>19</v>
      </c>
      <c r="T888">
        <v>626477</v>
      </c>
      <c r="U888">
        <v>19.11</v>
      </c>
      <c r="V888">
        <v>18</v>
      </c>
      <c r="W888">
        <v>25.81</v>
      </c>
      <c r="X888" t="s">
        <v>1925</v>
      </c>
      <c r="Y888" t="s">
        <v>432</v>
      </c>
      <c r="Z888">
        <v>8.44</v>
      </c>
      <c r="AA888">
        <v>19.170000000000002</v>
      </c>
      <c r="AB888">
        <v>282656</v>
      </c>
      <c r="AC888">
        <v>343821</v>
      </c>
      <c r="AD888">
        <v>0.82</v>
      </c>
      <c r="AE888">
        <v>24</v>
      </c>
      <c r="AF888">
        <v>967</v>
      </c>
      <c r="AG888" t="s">
        <v>120</v>
      </c>
      <c r="AH888">
        <v>0.28000000000000003</v>
      </c>
      <c r="AI888" t="s">
        <v>120</v>
      </c>
      <c r="AJ888">
        <v>5.46</v>
      </c>
      <c r="AK888" t="s">
        <v>5197</v>
      </c>
      <c r="AL888">
        <v>8.08</v>
      </c>
      <c r="AM888">
        <v>4472</v>
      </c>
      <c r="AN888">
        <v>140</v>
      </c>
      <c r="AO888">
        <v>2.5999999999999999E-3</v>
      </c>
      <c r="AP888">
        <v>4</v>
      </c>
      <c r="AQ888">
        <v>10.02</v>
      </c>
      <c r="AR888">
        <v>28.51</v>
      </c>
      <c r="AS888">
        <v>91.86</v>
      </c>
      <c r="AT888">
        <v>149.15</v>
      </c>
      <c r="AU888">
        <v>110.41</v>
      </c>
      <c r="AV888">
        <v>9</v>
      </c>
      <c r="AW888">
        <v>21.18</v>
      </c>
      <c r="AX888">
        <v>53.24</v>
      </c>
      <c r="AY888">
        <v>19.600000000000001</v>
      </c>
      <c r="AZ888">
        <v>21.51</v>
      </c>
      <c r="BA888">
        <v>0</v>
      </c>
      <c r="BB888" t="s">
        <v>184</v>
      </c>
      <c r="BF888">
        <v>6.48</v>
      </c>
      <c r="BG888">
        <v>0.57999999999999996</v>
      </c>
      <c r="BH888">
        <v>-3.48</v>
      </c>
      <c r="BI888">
        <v>4.54</v>
      </c>
      <c r="BJ888">
        <v>20210820</v>
      </c>
      <c r="BK888">
        <v>20101015</v>
      </c>
      <c r="BL888">
        <v>5.56</v>
      </c>
      <c r="BM888" t="s">
        <v>120</v>
      </c>
      <c r="BN888" t="s">
        <v>120</v>
      </c>
      <c r="BO888">
        <v>54.82</v>
      </c>
      <c r="BP888">
        <v>19.100000000000001</v>
      </c>
      <c r="BQ888">
        <v>26.14</v>
      </c>
      <c r="BR888" t="s">
        <v>120</v>
      </c>
      <c r="BS888">
        <v>52.31</v>
      </c>
      <c r="BT888">
        <v>42.64</v>
      </c>
      <c r="BU888">
        <v>9.02</v>
      </c>
      <c r="BV888">
        <v>1.1299999999999999</v>
      </c>
      <c r="BW888">
        <v>25.96</v>
      </c>
      <c r="BX888">
        <v>8.8800000000000008</v>
      </c>
      <c r="BY888">
        <v>13.42</v>
      </c>
      <c r="BZ888">
        <v>8.41</v>
      </c>
      <c r="CA888" t="s">
        <v>120</v>
      </c>
      <c r="CB888">
        <v>8.17</v>
      </c>
      <c r="CC888">
        <v>16.73</v>
      </c>
      <c r="CD888">
        <v>12.99</v>
      </c>
      <c r="CE888">
        <v>2.41</v>
      </c>
      <c r="CF888">
        <v>0</v>
      </c>
      <c r="CG888">
        <v>2.41</v>
      </c>
      <c r="CH888">
        <v>2.06</v>
      </c>
      <c r="CI888">
        <v>2.06</v>
      </c>
      <c r="CJ888">
        <v>1.1100000000000001</v>
      </c>
      <c r="CK888">
        <v>1.99</v>
      </c>
      <c r="CL888">
        <v>12.45</v>
      </c>
      <c r="CM888">
        <v>0.09</v>
      </c>
      <c r="CN888">
        <v>-1.0900000000000001</v>
      </c>
      <c r="CO888">
        <v>36789</v>
      </c>
      <c r="CP888">
        <v>8042</v>
      </c>
      <c r="CQ888" t="s">
        <v>5198</v>
      </c>
      <c r="CR888">
        <v>28.22</v>
      </c>
      <c r="CS888">
        <v>49.3</v>
      </c>
      <c r="CT888">
        <v>4.0599999999999996</v>
      </c>
      <c r="CU888">
        <v>1195.18</v>
      </c>
      <c r="CV888">
        <v>6.35</v>
      </c>
      <c r="CW888">
        <v>0.04</v>
      </c>
      <c r="CX888" t="s">
        <v>709</v>
      </c>
      <c r="CY888">
        <v>4.7</v>
      </c>
      <c r="CZ888">
        <v>0</v>
      </c>
      <c r="DA888">
        <v>1.47</v>
      </c>
      <c r="DB888">
        <v>2.2400000000000002</v>
      </c>
      <c r="DC888">
        <v>0.02</v>
      </c>
      <c r="DD888">
        <v>47.69</v>
      </c>
      <c r="DE888" t="s">
        <v>2499</v>
      </c>
      <c r="DF888">
        <v>22.33</v>
      </c>
      <c r="DG888">
        <v>14.42</v>
      </c>
      <c r="DH888">
        <v>12.3</v>
      </c>
      <c r="DI888">
        <v>0.45</v>
      </c>
      <c r="DJ888">
        <v>977</v>
      </c>
      <c r="DK888">
        <v>2487</v>
      </c>
      <c r="DL888">
        <v>20210902</v>
      </c>
      <c r="DM888">
        <v>11.96</v>
      </c>
      <c r="DN888">
        <v>59.78</v>
      </c>
    </row>
    <row r="889" spans="1:118">
      <c r="A889" t="str">
        <f>"002488"</f>
        <v>002488</v>
      </c>
      <c r="B889" t="s">
        <v>5199</v>
      </c>
      <c r="C889">
        <v>-2.13</v>
      </c>
      <c r="D889">
        <v>0</v>
      </c>
      <c r="E889">
        <v>0.16</v>
      </c>
      <c r="F889">
        <v>1377</v>
      </c>
      <c r="G889" t="s">
        <v>2780</v>
      </c>
      <c r="H889">
        <v>6314.35</v>
      </c>
      <c r="I889">
        <v>2.44</v>
      </c>
      <c r="J889" t="s">
        <v>120</v>
      </c>
      <c r="K889" t="s">
        <v>5200</v>
      </c>
      <c r="L889">
        <v>1.1499999999999999</v>
      </c>
      <c r="M889">
        <v>5.96</v>
      </c>
      <c r="N889">
        <v>1.17</v>
      </c>
      <c r="O889">
        <v>0.66</v>
      </c>
      <c r="P889">
        <v>6.13</v>
      </c>
      <c r="Q889">
        <v>-2.2999999999999998</v>
      </c>
      <c r="R889">
        <v>5.95</v>
      </c>
      <c r="S889">
        <v>6.1</v>
      </c>
      <c r="T889">
        <v>104628</v>
      </c>
      <c r="U889">
        <v>5.96</v>
      </c>
      <c r="V889">
        <v>6.09</v>
      </c>
      <c r="W889">
        <v>41.94</v>
      </c>
      <c r="X889" t="s">
        <v>289</v>
      </c>
      <c r="Y889" t="s">
        <v>585</v>
      </c>
      <c r="Z889">
        <v>2.96</v>
      </c>
      <c r="AA889">
        <v>6.04</v>
      </c>
      <c r="AB889">
        <v>66164</v>
      </c>
      <c r="AC889">
        <v>38464</v>
      </c>
      <c r="AD889">
        <v>1.72</v>
      </c>
      <c r="AE889">
        <v>2775</v>
      </c>
      <c r="AF889">
        <v>189</v>
      </c>
      <c r="AG889" t="s">
        <v>120</v>
      </c>
      <c r="AH889">
        <v>0</v>
      </c>
      <c r="AI889" t="s">
        <v>120</v>
      </c>
      <c r="AJ889">
        <v>9.11</v>
      </c>
      <c r="AK889" t="s">
        <v>5201</v>
      </c>
      <c r="AL889">
        <v>-0.22</v>
      </c>
      <c r="AM889">
        <v>2084</v>
      </c>
      <c r="AN889">
        <v>50</v>
      </c>
      <c r="AO889">
        <v>5.9999999999999995E-4</v>
      </c>
      <c r="AP889">
        <v>-1</v>
      </c>
      <c r="AQ889">
        <v>0</v>
      </c>
      <c r="AR889">
        <v>-3.87</v>
      </c>
      <c r="AS889">
        <v>-4.4800000000000004</v>
      </c>
      <c r="AT889">
        <v>-3.09</v>
      </c>
      <c r="AU889">
        <v>-1.81</v>
      </c>
      <c r="AV889">
        <v>4</v>
      </c>
      <c r="AW889">
        <v>1.57</v>
      </c>
      <c r="AX889">
        <v>66.37</v>
      </c>
      <c r="AY889" t="s">
        <v>120</v>
      </c>
      <c r="AZ889" t="s">
        <v>120</v>
      </c>
      <c r="BA889">
        <v>0.65</v>
      </c>
      <c r="BB889" t="s">
        <v>2725</v>
      </c>
      <c r="BF889">
        <v>-0.9</v>
      </c>
      <c r="BG889">
        <v>-2.2999999999999998</v>
      </c>
      <c r="BH889">
        <v>-2.77</v>
      </c>
      <c r="BI889">
        <v>0.17</v>
      </c>
      <c r="BJ889">
        <v>20210826</v>
      </c>
      <c r="BK889">
        <v>20101021</v>
      </c>
      <c r="BL889">
        <v>10.02</v>
      </c>
      <c r="BM889" t="s">
        <v>120</v>
      </c>
      <c r="BN889" t="s">
        <v>120</v>
      </c>
      <c r="BO889">
        <v>65.73</v>
      </c>
      <c r="BP889">
        <v>5.95</v>
      </c>
      <c r="BQ889">
        <v>38.25</v>
      </c>
      <c r="BR889">
        <v>0.02</v>
      </c>
      <c r="BS889">
        <v>41.76</v>
      </c>
      <c r="BT889">
        <v>25.62</v>
      </c>
      <c r="BU889">
        <v>9.35</v>
      </c>
      <c r="BV889">
        <v>2.67</v>
      </c>
      <c r="BW889">
        <v>26.7</v>
      </c>
      <c r="BX889">
        <v>3.44</v>
      </c>
      <c r="BY889">
        <v>11.2</v>
      </c>
      <c r="BZ889">
        <v>4.96</v>
      </c>
      <c r="CA889">
        <v>0.03</v>
      </c>
      <c r="CB889">
        <v>30.32</v>
      </c>
      <c r="CC889">
        <v>12.19</v>
      </c>
      <c r="CD889">
        <v>10.58</v>
      </c>
      <c r="CE889">
        <v>0.98</v>
      </c>
      <c r="CF889">
        <v>1.01</v>
      </c>
      <c r="CG889">
        <v>1.02</v>
      </c>
      <c r="CH889">
        <v>0.71</v>
      </c>
      <c r="CI889">
        <v>0.71</v>
      </c>
      <c r="CJ889">
        <v>-0.13</v>
      </c>
      <c r="CK889">
        <v>-0.49</v>
      </c>
      <c r="CL889">
        <v>0.04</v>
      </c>
      <c r="CM889">
        <v>-2.39</v>
      </c>
      <c r="CN889">
        <v>-0.55000000000000004</v>
      </c>
      <c r="CO889">
        <v>48663</v>
      </c>
      <c r="CP889">
        <v>13665</v>
      </c>
      <c r="CQ889" t="s">
        <v>5202</v>
      </c>
      <c r="CR889">
        <v>279.16000000000003</v>
      </c>
      <c r="CS889">
        <v>-11.28</v>
      </c>
      <c r="CT889">
        <v>1.56</v>
      </c>
      <c r="CU889">
        <v>-24.95</v>
      </c>
      <c r="CV889">
        <v>4.9000000000000004</v>
      </c>
      <c r="CW889">
        <v>0</v>
      </c>
      <c r="CX889" t="s">
        <v>679</v>
      </c>
      <c r="CY889">
        <v>3.82</v>
      </c>
      <c r="CZ889">
        <v>0</v>
      </c>
      <c r="DA889">
        <v>3.03</v>
      </c>
      <c r="DB889">
        <v>0</v>
      </c>
      <c r="DC889">
        <v>-0.24</v>
      </c>
      <c r="DD889">
        <v>58.2</v>
      </c>
      <c r="DE889" t="s">
        <v>1456</v>
      </c>
      <c r="DF889">
        <v>13.22</v>
      </c>
      <c r="DG889">
        <v>8</v>
      </c>
      <c r="DH889">
        <v>5.84</v>
      </c>
      <c r="DI889">
        <v>0.19</v>
      </c>
      <c r="DJ889">
        <v>1739</v>
      </c>
      <c r="DK889">
        <v>2488</v>
      </c>
      <c r="DL889" t="s">
        <v>120</v>
      </c>
      <c r="DM889" t="s">
        <v>120</v>
      </c>
      <c r="DN889" t="s">
        <v>120</v>
      </c>
    </row>
    <row r="890" spans="1:118">
      <c r="A890" t="str">
        <f>"002489"</f>
        <v>002489</v>
      </c>
      <c r="B890" t="s">
        <v>5203</v>
      </c>
      <c r="C890">
        <v>-2.4700000000000002</v>
      </c>
      <c r="D890">
        <v>-1.1000000000000001</v>
      </c>
      <c r="E890">
        <v>0.27</v>
      </c>
      <c r="F890">
        <v>15231</v>
      </c>
      <c r="G890" t="s">
        <v>5204</v>
      </c>
      <c r="H890">
        <v>9612.43</v>
      </c>
      <c r="I890">
        <v>10.98</v>
      </c>
      <c r="J890" t="s">
        <v>120</v>
      </c>
      <c r="K890" t="s">
        <v>5205</v>
      </c>
      <c r="L890">
        <v>1.41</v>
      </c>
      <c r="M890">
        <v>3.56</v>
      </c>
      <c r="N890">
        <v>0.82</v>
      </c>
      <c r="O890">
        <v>1.37</v>
      </c>
      <c r="P890">
        <v>3.7</v>
      </c>
      <c r="Q890">
        <v>-2.4700000000000002</v>
      </c>
      <c r="R890">
        <v>3.56</v>
      </c>
      <c r="S890">
        <v>3.66</v>
      </c>
      <c r="T890">
        <v>264396</v>
      </c>
      <c r="U890">
        <v>3.57</v>
      </c>
      <c r="V890">
        <v>3.65</v>
      </c>
      <c r="W890">
        <v>8.4499999999999993</v>
      </c>
      <c r="X890" t="s">
        <v>2409</v>
      </c>
      <c r="Y890" t="s">
        <v>585</v>
      </c>
      <c r="Z890">
        <v>3.84</v>
      </c>
      <c r="AA890">
        <v>3.64</v>
      </c>
      <c r="AB890">
        <v>171304</v>
      </c>
      <c r="AC890">
        <v>93092</v>
      </c>
      <c r="AD890">
        <v>1.84</v>
      </c>
      <c r="AE890">
        <v>5755</v>
      </c>
      <c r="AF890">
        <v>2356</v>
      </c>
      <c r="AG890" t="s">
        <v>120</v>
      </c>
      <c r="AH890">
        <v>0</v>
      </c>
      <c r="AI890" t="s">
        <v>120</v>
      </c>
      <c r="AJ890">
        <v>18.809999999999999</v>
      </c>
      <c r="AK890" t="s">
        <v>5206</v>
      </c>
      <c r="AL890">
        <v>-0.55000000000000004</v>
      </c>
      <c r="AM890">
        <v>2294</v>
      </c>
      <c r="AN890">
        <v>115</v>
      </c>
      <c r="AO890">
        <v>5.9999999999999995E-4</v>
      </c>
      <c r="AP890">
        <v>-4</v>
      </c>
      <c r="AQ890">
        <v>-0.54</v>
      </c>
      <c r="AR890">
        <v>-6.8</v>
      </c>
      <c r="AS890">
        <v>7.23</v>
      </c>
      <c r="AT890">
        <v>-1.93</v>
      </c>
      <c r="AU890">
        <v>-4.55</v>
      </c>
      <c r="AV890">
        <v>3</v>
      </c>
      <c r="AW890">
        <v>2.76</v>
      </c>
      <c r="AX890">
        <v>44.03</v>
      </c>
      <c r="AY890">
        <v>20.85</v>
      </c>
      <c r="AZ890">
        <v>14.98</v>
      </c>
      <c r="BA890">
        <v>0.61</v>
      </c>
      <c r="BB890" t="s">
        <v>125</v>
      </c>
      <c r="BF890">
        <v>-0.39</v>
      </c>
      <c r="BG890">
        <v>-2.73</v>
      </c>
      <c r="BH890">
        <v>-3.78</v>
      </c>
      <c r="BI890">
        <v>0</v>
      </c>
      <c r="BJ890">
        <v>20210830</v>
      </c>
      <c r="BK890">
        <v>20101021</v>
      </c>
      <c r="BL890">
        <v>21.76</v>
      </c>
      <c r="BM890" t="s">
        <v>120</v>
      </c>
      <c r="BN890" t="s">
        <v>120</v>
      </c>
      <c r="BO890">
        <v>68.650000000000006</v>
      </c>
      <c r="BP890">
        <v>3.56</v>
      </c>
      <c r="BQ890">
        <v>38.08</v>
      </c>
      <c r="BR890">
        <v>0.67</v>
      </c>
      <c r="BS890">
        <v>43.56</v>
      </c>
      <c r="BT890">
        <v>45.58</v>
      </c>
      <c r="BU890">
        <v>7.47</v>
      </c>
      <c r="BV890">
        <v>2.66</v>
      </c>
      <c r="BW890">
        <v>29.17</v>
      </c>
      <c r="BX890">
        <v>12.78</v>
      </c>
      <c r="BY890">
        <v>10.15</v>
      </c>
      <c r="BZ890">
        <v>13.24</v>
      </c>
      <c r="CA890">
        <v>0.03</v>
      </c>
      <c r="CB890">
        <v>2.65</v>
      </c>
      <c r="CC890">
        <v>42.06</v>
      </c>
      <c r="CD890">
        <v>34.92</v>
      </c>
      <c r="CE890">
        <v>5.25</v>
      </c>
      <c r="CF890">
        <v>0.45</v>
      </c>
      <c r="CG890">
        <v>5.2</v>
      </c>
      <c r="CH890">
        <v>4.58</v>
      </c>
      <c r="CI890">
        <v>4.58</v>
      </c>
      <c r="CJ890">
        <v>-0.09</v>
      </c>
      <c r="CK890">
        <v>3.67</v>
      </c>
      <c r="CL890">
        <v>11.46</v>
      </c>
      <c r="CM890">
        <v>13.58</v>
      </c>
      <c r="CN890">
        <v>0.73</v>
      </c>
      <c r="CO890">
        <v>95000</v>
      </c>
      <c r="CP890">
        <v>10083</v>
      </c>
      <c r="CQ890" t="s">
        <v>5207</v>
      </c>
      <c r="CR890">
        <v>-24.57</v>
      </c>
      <c r="CS890">
        <v>42.86</v>
      </c>
      <c r="CT890">
        <v>2.0299999999999998</v>
      </c>
      <c r="CU890">
        <v>5.7</v>
      </c>
      <c r="CV890">
        <v>1.84</v>
      </c>
      <c r="CW890">
        <v>4.09</v>
      </c>
      <c r="CX890" t="s">
        <v>2097</v>
      </c>
      <c r="CY890">
        <v>1.75</v>
      </c>
      <c r="CZ890">
        <v>0</v>
      </c>
      <c r="DA890">
        <v>0.12</v>
      </c>
      <c r="DB890">
        <v>0.53</v>
      </c>
      <c r="DC890">
        <v>0.62</v>
      </c>
      <c r="DD890">
        <v>55.47</v>
      </c>
      <c r="DE890" t="s">
        <v>5208</v>
      </c>
      <c r="DF890">
        <v>16.989999999999998</v>
      </c>
      <c r="DG890">
        <v>12.48</v>
      </c>
      <c r="DH890">
        <v>10.9</v>
      </c>
      <c r="DI890">
        <v>0.84</v>
      </c>
      <c r="DJ890">
        <v>9832</v>
      </c>
      <c r="DK890">
        <v>2489</v>
      </c>
      <c r="DL890" t="s">
        <v>120</v>
      </c>
      <c r="DM890" t="s">
        <v>120</v>
      </c>
      <c r="DN890" t="s">
        <v>120</v>
      </c>
    </row>
    <row r="891" spans="1:118">
      <c r="A891" t="str">
        <f>"002490"</f>
        <v>002490</v>
      </c>
      <c r="B891" t="s">
        <v>5209</v>
      </c>
      <c r="C891">
        <v>-5.42</v>
      </c>
      <c r="D891">
        <v>-0.35</v>
      </c>
      <c r="E891">
        <v>1.86</v>
      </c>
      <c r="F891">
        <v>3316</v>
      </c>
      <c r="G891" t="s">
        <v>5210</v>
      </c>
      <c r="H891">
        <v>29060.82</v>
      </c>
      <c r="I891">
        <v>309.02999999999997</v>
      </c>
      <c r="J891" t="s">
        <v>120</v>
      </c>
      <c r="K891" t="s">
        <v>5211</v>
      </c>
      <c r="L891">
        <v>9.2100000000000009</v>
      </c>
      <c r="M891">
        <v>5.58</v>
      </c>
      <c r="N891">
        <v>1.1599999999999999</v>
      </c>
      <c r="O891">
        <v>5.08</v>
      </c>
      <c r="P891">
        <v>6.2</v>
      </c>
      <c r="Q891">
        <v>-5.42</v>
      </c>
      <c r="R891">
        <v>5.58</v>
      </c>
      <c r="S891">
        <v>6.01</v>
      </c>
      <c r="T891">
        <v>498874</v>
      </c>
      <c r="U891">
        <v>5.58</v>
      </c>
      <c r="V891">
        <v>5.9</v>
      </c>
      <c r="W891" t="s">
        <v>120</v>
      </c>
      <c r="X891" t="s">
        <v>2196</v>
      </c>
      <c r="Y891" t="s">
        <v>638</v>
      </c>
      <c r="Z891">
        <v>10.51</v>
      </c>
      <c r="AA891">
        <v>5.83</v>
      </c>
      <c r="AB891">
        <v>253201</v>
      </c>
      <c r="AC891">
        <v>245673</v>
      </c>
      <c r="AD891">
        <v>1.03</v>
      </c>
      <c r="AE891">
        <v>262</v>
      </c>
      <c r="AF891">
        <v>876</v>
      </c>
      <c r="AG891" t="s">
        <v>120</v>
      </c>
      <c r="AH891">
        <v>0.17</v>
      </c>
      <c r="AI891" t="s">
        <v>120</v>
      </c>
      <c r="AJ891">
        <v>5.42</v>
      </c>
      <c r="AK891" t="s">
        <v>5212</v>
      </c>
      <c r="AL891">
        <v>-3.51</v>
      </c>
      <c r="AM891">
        <v>3706</v>
      </c>
      <c r="AN891">
        <v>135</v>
      </c>
      <c r="AO891">
        <v>2.5000000000000001E-3</v>
      </c>
      <c r="AP891">
        <v>-1</v>
      </c>
      <c r="AQ891">
        <v>4.8</v>
      </c>
      <c r="AR891">
        <v>2.58</v>
      </c>
      <c r="AS891">
        <v>27.11</v>
      </c>
      <c r="AT891">
        <v>2.58</v>
      </c>
      <c r="AU891">
        <v>70.12</v>
      </c>
      <c r="AV891">
        <v>13</v>
      </c>
      <c r="AW891">
        <v>16.79</v>
      </c>
      <c r="AX891">
        <v>54.85</v>
      </c>
      <c r="AY891">
        <v>64.260000000000005</v>
      </c>
      <c r="AZ891">
        <v>146.29</v>
      </c>
      <c r="BA891">
        <v>0.4</v>
      </c>
      <c r="BB891" t="s">
        <v>168</v>
      </c>
      <c r="BF891">
        <v>-1.27</v>
      </c>
      <c r="BG891">
        <v>-7.15</v>
      </c>
      <c r="BH891">
        <v>-10</v>
      </c>
      <c r="BI891">
        <v>0</v>
      </c>
      <c r="BJ891">
        <v>20210901</v>
      </c>
      <c r="BK891">
        <v>20101021</v>
      </c>
      <c r="BL891">
        <v>7.98</v>
      </c>
      <c r="BM891" t="s">
        <v>120</v>
      </c>
      <c r="BN891">
        <v>2.56</v>
      </c>
      <c r="BO891">
        <v>49.14</v>
      </c>
      <c r="BP891">
        <v>5.57</v>
      </c>
      <c r="BQ891">
        <v>17.13</v>
      </c>
      <c r="BR891">
        <v>0.41</v>
      </c>
      <c r="BS891">
        <v>64.3</v>
      </c>
      <c r="BT891">
        <v>20.82</v>
      </c>
      <c r="BU891">
        <v>23.91</v>
      </c>
      <c r="BV891">
        <v>3.89</v>
      </c>
      <c r="BW891">
        <v>30.63</v>
      </c>
      <c r="BX891">
        <v>5.44</v>
      </c>
      <c r="BY891">
        <v>10.29</v>
      </c>
      <c r="BZ891">
        <v>3.02</v>
      </c>
      <c r="CA891" t="s">
        <v>120</v>
      </c>
      <c r="CB891">
        <v>8.6300000000000008</v>
      </c>
      <c r="CC891">
        <v>18.98</v>
      </c>
      <c r="CD891">
        <v>17.260000000000002</v>
      </c>
      <c r="CE891">
        <v>-0.43</v>
      </c>
      <c r="CF891">
        <v>0</v>
      </c>
      <c r="CG891">
        <v>-0.45</v>
      </c>
      <c r="CH891">
        <v>-0.48</v>
      </c>
      <c r="CI891">
        <v>-0.68</v>
      </c>
      <c r="CJ891">
        <v>-0.32</v>
      </c>
      <c r="CK891">
        <v>-0.68</v>
      </c>
      <c r="CL891">
        <v>-1.34</v>
      </c>
      <c r="CM891">
        <v>-0.19</v>
      </c>
      <c r="CN891">
        <v>-3.07</v>
      </c>
      <c r="CO891">
        <v>41621</v>
      </c>
      <c r="CP891">
        <v>7139</v>
      </c>
      <c r="CQ891" t="s">
        <v>5213</v>
      </c>
      <c r="CR891">
        <v>37.57</v>
      </c>
      <c r="CS891">
        <v>40.98</v>
      </c>
      <c r="CT891">
        <v>2.6</v>
      </c>
      <c r="CU891">
        <v>-228.64</v>
      </c>
      <c r="CV891">
        <v>2.35</v>
      </c>
      <c r="CW891">
        <v>0</v>
      </c>
      <c r="CX891" t="s">
        <v>5214</v>
      </c>
      <c r="CY891">
        <v>2.15</v>
      </c>
      <c r="CZ891">
        <v>0</v>
      </c>
      <c r="DA891">
        <v>1.08</v>
      </c>
      <c r="DB891">
        <v>-0.17</v>
      </c>
      <c r="DC891">
        <v>-0.02</v>
      </c>
      <c r="DD891">
        <v>34.85</v>
      </c>
      <c r="DE891" t="s">
        <v>5215</v>
      </c>
      <c r="DF891">
        <v>9.06</v>
      </c>
      <c r="DG891">
        <v>-2.25</v>
      </c>
      <c r="DH891">
        <v>-3.6</v>
      </c>
      <c r="DI891">
        <v>0.26</v>
      </c>
      <c r="DJ891">
        <v>2890</v>
      </c>
      <c r="DK891">
        <v>2490</v>
      </c>
      <c r="DL891" t="s">
        <v>120</v>
      </c>
      <c r="DM891" t="s">
        <v>120</v>
      </c>
      <c r="DN891" t="s">
        <v>120</v>
      </c>
    </row>
    <row r="892" spans="1:118">
      <c r="A892" t="str">
        <f>"002491"</f>
        <v>002491</v>
      </c>
      <c r="B892" t="s">
        <v>5216</v>
      </c>
      <c r="C892">
        <v>-0.68</v>
      </c>
      <c r="D892">
        <v>-0.22</v>
      </c>
      <c r="E892">
        <v>-0.46</v>
      </c>
      <c r="F892">
        <v>2245</v>
      </c>
      <c r="G892" t="s">
        <v>5217</v>
      </c>
      <c r="H892">
        <v>7329.72</v>
      </c>
      <c r="I892">
        <v>1.74</v>
      </c>
      <c r="J892" t="s">
        <v>120</v>
      </c>
      <c r="K892" t="s">
        <v>5218</v>
      </c>
      <c r="L892">
        <v>1.41</v>
      </c>
      <c r="M892">
        <v>4.3499999999999996</v>
      </c>
      <c r="N892">
        <v>0.67</v>
      </c>
      <c r="O892">
        <v>1.1399999999999999</v>
      </c>
      <c r="P892">
        <v>4.43</v>
      </c>
      <c r="Q892">
        <v>-1.37</v>
      </c>
      <c r="R892">
        <v>4.32</v>
      </c>
      <c r="S892">
        <v>4.3600000000000003</v>
      </c>
      <c r="T892">
        <v>167410</v>
      </c>
      <c r="U892">
        <v>4.3600000000000003</v>
      </c>
      <c r="V892">
        <v>4.38</v>
      </c>
      <c r="W892">
        <v>45</v>
      </c>
      <c r="X892" t="s">
        <v>462</v>
      </c>
      <c r="Y892" t="s">
        <v>319</v>
      </c>
      <c r="Z892">
        <v>2.5099999999999998</v>
      </c>
      <c r="AA892">
        <v>4.38</v>
      </c>
      <c r="AB892">
        <v>85857</v>
      </c>
      <c r="AC892">
        <v>81553</v>
      </c>
      <c r="AD892">
        <v>1.05</v>
      </c>
      <c r="AE892">
        <v>548</v>
      </c>
      <c r="AF892">
        <v>4495</v>
      </c>
      <c r="AG892" t="s">
        <v>120</v>
      </c>
      <c r="AH892">
        <v>0</v>
      </c>
      <c r="AI892" t="s">
        <v>120</v>
      </c>
      <c r="AJ892">
        <v>11.87</v>
      </c>
      <c r="AK892" t="s">
        <v>5219</v>
      </c>
      <c r="AL892">
        <v>1.23</v>
      </c>
      <c r="AM892">
        <v>2289</v>
      </c>
      <c r="AN892">
        <v>73</v>
      </c>
      <c r="AO892">
        <v>5.9999999999999995E-4</v>
      </c>
      <c r="AP892">
        <v>-1</v>
      </c>
      <c r="AQ892">
        <v>0.46</v>
      </c>
      <c r="AR892">
        <v>-1.36</v>
      </c>
      <c r="AS892">
        <v>15.08</v>
      </c>
      <c r="AT892">
        <v>9.3000000000000007</v>
      </c>
      <c r="AU892">
        <v>6.61</v>
      </c>
      <c r="AV892">
        <v>0</v>
      </c>
      <c r="AW892">
        <v>2.4</v>
      </c>
      <c r="AX892">
        <v>55.87</v>
      </c>
      <c r="AY892">
        <v>24.25</v>
      </c>
      <c r="AZ892">
        <v>125.65</v>
      </c>
      <c r="BA892">
        <v>0.5</v>
      </c>
      <c r="BB892" t="s">
        <v>341</v>
      </c>
      <c r="BF892">
        <v>-0.04</v>
      </c>
      <c r="BG892">
        <v>-0.23</v>
      </c>
      <c r="BH892">
        <v>-1.81</v>
      </c>
      <c r="BI892">
        <v>0.69</v>
      </c>
      <c r="BJ892">
        <v>20210826</v>
      </c>
      <c r="BK892">
        <v>20101021</v>
      </c>
      <c r="BL892">
        <v>12.5</v>
      </c>
      <c r="BM892" t="s">
        <v>120</v>
      </c>
      <c r="BN892" t="s">
        <v>120</v>
      </c>
      <c r="BO892">
        <v>77.959999999999994</v>
      </c>
      <c r="BP892">
        <v>4.3499999999999996</v>
      </c>
      <c r="BQ892">
        <v>28.94</v>
      </c>
      <c r="BR892">
        <v>0.19</v>
      </c>
      <c r="BS892">
        <v>62.63</v>
      </c>
      <c r="BT892">
        <v>44.45</v>
      </c>
      <c r="BU892">
        <v>12.69</v>
      </c>
      <c r="BV892">
        <v>2.4900000000000002</v>
      </c>
      <c r="BW892">
        <v>42.35</v>
      </c>
      <c r="BX892">
        <v>11.4</v>
      </c>
      <c r="BY892">
        <v>8.83</v>
      </c>
      <c r="BZ892">
        <v>13.22</v>
      </c>
      <c r="CA892" t="s">
        <v>120</v>
      </c>
      <c r="CB892">
        <v>12.93</v>
      </c>
      <c r="CC892">
        <v>14.42</v>
      </c>
      <c r="CD892">
        <v>12.33</v>
      </c>
      <c r="CE892">
        <v>0.88</v>
      </c>
      <c r="CF892">
        <v>0.1</v>
      </c>
      <c r="CG892">
        <v>0.88</v>
      </c>
      <c r="CH892">
        <v>0.62</v>
      </c>
      <c r="CI892">
        <v>0.6</v>
      </c>
      <c r="CJ892">
        <v>-0.03</v>
      </c>
      <c r="CK892">
        <v>-1.75</v>
      </c>
      <c r="CL892">
        <v>2.38</v>
      </c>
      <c r="CM892">
        <v>-1.23</v>
      </c>
      <c r="CN892">
        <v>-1.66</v>
      </c>
      <c r="CO892">
        <v>75828</v>
      </c>
      <c r="CP892">
        <v>9214</v>
      </c>
      <c r="CQ892" t="s">
        <v>2782</v>
      </c>
      <c r="CR892">
        <v>149.62</v>
      </c>
      <c r="CS892">
        <v>-21.27</v>
      </c>
      <c r="CT892">
        <v>1.88</v>
      </c>
      <c r="CU892">
        <v>-44.26</v>
      </c>
      <c r="CV892">
        <v>3.77</v>
      </c>
      <c r="CW892">
        <v>0</v>
      </c>
      <c r="CX892" t="s">
        <v>5220</v>
      </c>
      <c r="CY892">
        <v>2.31</v>
      </c>
      <c r="CZ892">
        <v>0</v>
      </c>
      <c r="DA892">
        <v>1.03</v>
      </c>
      <c r="DB892">
        <v>0.19</v>
      </c>
      <c r="DC892">
        <v>-0.1</v>
      </c>
      <c r="DD892">
        <v>37.119999999999997</v>
      </c>
      <c r="DE892" t="s">
        <v>3457</v>
      </c>
      <c r="DF892">
        <v>14.51</v>
      </c>
      <c r="DG892">
        <v>6.12</v>
      </c>
      <c r="DH892">
        <v>4.1900000000000004</v>
      </c>
      <c r="DI892">
        <v>0.97</v>
      </c>
      <c r="DJ892">
        <v>2896</v>
      </c>
      <c r="DK892">
        <v>2491</v>
      </c>
      <c r="DL892" t="s">
        <v>120</v>
      </c>
      <c r="DM892" t="s">
        <v>120</v>
      </c>
      <c r="DN892" t="s">
        <v>120</v>
      </c>
    </row>
    <row r="893" spans="1:118">
      <c r="A893" t="str">
        <f>"002492"</f>
        <v>002492</v>
      </c>
      <c r="B893" t="s">
        <v>5221</v>
      </c>
      <c r="C893">
        <v>0</v>
      </c>
      <c r="D893">
        <v>0</v>
      </c>
      <c r="E893">
        <v>0.34</v>
      </c>
      <c r="F893">
        <v>497</v>
      </c>
      <c r="G893" t="s">
        <v>5222</v>
      </c>
      <c r="H893">
        <v>5153.32</v>
      </c>
      <c r="I893">
        <v>4.47</v>
      </c>
      <c r="J893" t="s">
        <v>120</v>
      </c>
      <c r="K893" t="s">
        <v>5149</v>
      </c>
      <c r="L893">
        <v>2.1800000000000002</v>
      </c>
      <c r="M893">
        <v>5.86</v>
      </c>
      <c r="N893">
        <v>0.75</v>
      </c>
      <c r="O893">
        <v>2.9</v>
      </c>
      <c r="P893">
        <v>6.03</v>
      </c>
      <c r="Q893">
        <v>-0.34</v>
      </c>
      <c r="R893">
        <v>5.84</v>
      </c>
      <c r="S893">
        <v>5.88</v>
      </c>
      <c r="T893">
        <v>86689</v>
      </c>
      <c r="U893">
        <v>5.86</v>
      </c>
      <c r="V893">
        <v>5.86</v>
      </c>
      <c r="W893">
        <v>15.98</v>
      </c>
      <c r="X893" t="s">
        <v>2775</v>
      </c>
      <c r="Y893" t="s">
        <v>547</v>
      </c>
      <c r="Z893">
        <v>3.24</v>
      </c>
      <c r="AA893">
        <v>5.94</v>
      </c>
      <c r="AB893">
        <v>44013</v>
      </c>
      <c r="AC893">
        <v>42676</v>
      </c>
      <c r="AD893">
        <v>1.03</v>
      </c>
      <c r="AE893">
        <v>388</v>
      </c>
      <c r="AF893">
        <v>264</v>
      </c>
      <c r="AG893" t="s">
        <v>120</v>
      </c>
      <c r="AH893">
        <v>0</v>
      </c>
      <c r="AI893" t="s">
        <v>120</v>
      </c>
      <c r="AJ893">
        <v>3.98</v>
      </c>
      <c r="AK893" t="s">
        <v>5223</v>
      </c>
      <c r="AL893">
        <v>1.91</v>
      </c>
      <c r="AM893">
        <v>1238</v>
      </c>
      <c r="AN893">
        <v>70</v>
      </c>
      <c r="AO893">
        <v>1.8E-3</v>
      </c>
      <c r="AP893">
        <v>0</v>
      </c>
      <c r="AQ893">
        <v>0.34</v>
      </c>
      <c r="AR893">
        <v>-2.34</v>
      </c>
      <c r="AS893">
        <v>-7.13</v>
      </c>
      <c r="AT893">
        <v>4.09</v>
      </c>
      <c r="AU893">
        <v>12.26</v>
      </c>
      <c r="AV893">
        <v>1</v>
      </c>
      <c r="AW893">
        <v>3.86</v>
      </c>
      <c r="AX893">
        <v>55.4</v>
      </c>
      <c r="AY893">
        <v>17.53</v>
      </c>
      <c r="AZ893">
        <v>23.46</v>
      </c>
      <c r="BA893">
        <v>0.01</v>
      </c>
      <c r="BB893" t="s">
        <v>143</v>
      </c>
      <c r="BF893">
        <v>1.44</v>
      </c>
      <c r="BG893">
        <v>-0.34</v>
      </c>
      <c r="BH893">
        <v>-2.82</v>
      </c>
      <c r="BI893">
        <v>0.34</v>
      </c>
      <c r="BJ893">
        <v>20210831</v>
      </c>
      <c r="BK893">
        <v>20101102</v>
      </c>
      <c r="BL893">
        <v>4.05</v>
      </c>
      <c r="BM893" t="s">
        <v>120</v>
      </c>
      <c r="BN893" t="s">
        <v>120</v>
      </c>
      <c r="BO893">
        <v>17.13</v>
      </c>
      <c r="BP893">
        <v>5.85</v>
      </c>
      <c r="BQ893">
        <v>14.28</v>
      </c>
      <c r="BR893">
        <v>0.11</v>
      </c>
      <c r="BS893">
        <v>15.98</v>
      </c>
      <c r="BT893">
        <v>7.05</v>
      </c>
      <c r="BU893">
        <v>6.67</v>
      </c>
      <c r="BV893">
        <v>1.51</v>
      </c>
      <c r="BW893">
        <v>2.13</v>
      </c>
      <c r="BX893">
        <v>2.59</v>
      </c>
      <c r="BY893">
        <v>0.03</v>
      </c>
      <c r="BZ893">
        <v>0.51</v>
      </c>
      <c r="CA893" t="s">
        <v>120</v>
      </c>
      <c r="CB893">
        <v>4.2</v>
      </c>
      <c r="CC893">
        <v>2.2000000000000002</v>
      </c>
      <c r="CD893">
        <v>1.04</v>
      </c>
      <c r="CE893">
        <v>0.92</v>
      </c>
      <c r="CF893">
        <v>0.05</v>
      </c>
      <c r="CG893">
        <v>0.91</v>
      </c>
      <c r="CH893">
        <v>0.75</v>
      </c>
      <c r="CI893">
        <v>0.74</v>
      </c>
      <c r="CJ893">
        <v>0</v>
      </c>
      <c r="CK893">
        <v>0.7</v>
      </c>
      <c r="CL893">
        <v>5.5</v>
      </c>
      <c r="CM893">
        <v>0.36</v>
      </c>
      <c r="CN893">
        <v>0.38</v>
      </c>
      <c r="CO893">
        <v>23049</v>
      </c>
      <c r="CP893">
        <v>9734</v>
      </c>
      <c r="CQ893" t="s">
        <v>5224</v>
      </c>
      <c r="CR893">
        <v>85.46</v>
      </c>
      <c r="CS893">
        <v>33.25</v>
      </c>
      <c r="CT893">
        <v>1.66</v>
      </c>
      <c r="CU893">
        <v>65.05</v>
      </c>
      <c r="CV893">
        <v>10.8</v>
      </c>
      <c r="CW893">
        <v>0.34</v>
      </c>
      <c r="CX893" t="s">
        <v>5225</v>
      </c>
      <c r="CY893">
        <v>3.53</v>
      </c>
      <c r="CZ893">
        <v>0</v>
      </c>
      <c r="DA893">
        <v>1.04</v>
      </c>
      <c r="DB893">
        <v>1.36</v>
      </c>
      <c r="DC893">
        <v>0.09</v>
      </c>
      <c r="DD893">
        <v>83.36</v>
      </c>
      <c r="DE893" t="s">
        <v>5226</v>
      </c>
      <c r="DF893">
        <v>52.85</v>
      </c>
      <c r="DG893">
        <v>41.81</v>
      </c>
      <c r="DH893">
        <v>33.799999999999997</v>
      </c>
      <c r="DI893">
        <v>0.08</v>
      </c>
      <c r="DJ893">
        <v>548</v>
      </c>
      <c r="DK893">
        <v>2492</v>
      </c>
      <c r="DL893" t="s">
        <v>120</v>
      </c>
      <c r="DM893" t="s">
        <v>120</v>
      </c>
      <c r="DN893" t="s">
        <v>120</v>
      </c>
    </row>
    <row r="894" spans="1:118">
      <c r="A894" t="str">
        <f>"002493"</f>
        <v>002493</v>
      </c>
      <c r="B894" t="s">
        <v>5227</v>
      </c>
      <c r="C894">
        <v>-2.2599999999999998</v>
      </c>
      <c r="D894">
        <v>-0.22</v>
      </c>
      <c r="E894">
        <v>1.22</v>
      </c>
      <c r="F894">
        <v>6896</v>
      </c>
      <c r="G894" t="s">
        <v>5228</v>
      </c>
      <c r="H894">
        <v>228477.84</v>
      </c>
      <c r="I894">
        <v>641.6</v>
      </c>
      <c r="J894" t="s">
        <v>120</v>
      </c>
      <c r="K894" t="s">
        <v>5229</v>
      </c>
      <c r="L894">
        <v>1.08</v>
      </c>
      <c r="M894">
        <v>21.64</v>
      </c>
      <c r="N894">
        <v>1.21</v>
      </c>
      <c r="O894">
        <v>4.79</v>
      </c>
      <c r="P894">
        <v>23.2</v>
      </c>
      <c r="Q894">
        <v>-3.57</v>
      </c>
      <c r="R894">
        <v>21.35</v>
      </c>
      <c r="S894">
        <v>22.41</v>
      </c>
      <c r="T894">
        <v>1028295</v>
      </c>
      <c r="U894">
        <v>21.64</v>
      </c>
      <c r="V894">
        <v>22.14</v>
      </c>
      <c r="W894">
        <v>16.68</v>
      </c>
      <c r="X894" t="s">
        <v>623</v>
      </c>
      <c r="Y894" t="s">
        <v>585</v>
      </c>
      <c r="Z894">
        <v>8.36</v>
      </c>
      <c r="AA894">
        <v>22.22</v>
      </c>
      <c r="AB894">
        <v>563978</v>
      </c>
      <c r="AC894">
        <v>464317</v>
      </c>
      <c r="AD894">
        <v>1.21</v>
      </c>
      <c r="AE894">
        <v>25</v>
      </c>
      <c r="AF894">
        <v>5</v>
      </c>
      <c r="AG894" t="s">
        <v>120</v>
      </c>
      <c r="AH894">
        <v>0.01</v>
      </c>
      <c r="AI894" t="s">
        <v>120</v>
      </c>
      <c r="AJ894">
        <v>94.98</v>
      </c>
      <c r="AK894" t="s">
        <v>5230</v>
      </c>
      <c r="AL894">
        <v>-0.34</v>
      </c>
      <c r="AM894">
        <v>4715</v>
      </c>
      <c r="AN894">
        <v>218</v>
      </c>
      <c r="AO894">
        <v>2.0000000000000001E-4</v>
      </c>
      <c r="AP894">
        <v>-2</v>
      </c>
      <c r="AQ894">
        <v>-1.1599999999999999</v>
      </c>
      <c r="AR894">
        <v>-2.96</v>
      </c>
      <c r="AS894">
        <v>13.65</v>
      </c>
      <c r="AT894">
        <v>32.03</v>
      </c>
      <c r="AU894">
        <v>18.21</v>
      </c>
      <c r="AV894">
        <v>2</v>
      </c>
      <c r="AW894">
        <v>3.39</v>
      </c>
      <c r="AX894">
        <v>29.99</v>
      </c>
      <c r="AY894">
        <v>21.02</v>
      </c>
      <c r="AZ894">
        <v>30.67</v>
      </c>
      <c r="BA894">
        <v>0.89</v>
      </c>
      <c r="BB894" t="s">
        <v>143</v>
      </c>
      <c r="BF894">
        <v>0.36</v>
      </c>
      <c r="BG894">
        <v>-3.44</v>
      </c>
      <c r="BH894">
        <v>-6.72</v>
      </c>
      <c r="BI894">
        <v>1.36</v>
      </c>
      <c r="BJ894">
        <v>20210813</v>
      </c>
      <c r="BK894">
        <v>20101102</v>
      </c>
      <c r="BL894">
        <v>101.26</v>
      </c>
      <c r="BM894" t="s">
        <v>120</v>
      </c>
      <c r="BN894" t="s">
        <v>120</v>
      </c>
      <c r="BO894">
        <v>2814.01</v>
      </c>
      <c r="BP894">
        <v>21.63</v>
      </c>
      <c r="BQ894">
        <v>425.09</v>
      </c>
      <c r="BR894">
        <v>396.77</v>
      </c>
      <c r="BS894">
        <v>70.790000000000006</v>
      </c>
      <c r="BT894">
        <v>669.17</v>
      </c>
      <c r="BU894">
        <v>994.7</v>
      </c>
      <c r="BV894">
        <v>57.35</v>
      </c>
      <c r="BW894">
        <v>982.53</v>
      </c>
      <c r="BX894">
        <v>220.15</v>
      </c>
      <c r="BY894">
        <v>216.45</v>
      </c>
      <c r="BZ894">
        <v>38.74</v>
      </c>
      <c r="CA894" t="s">
        <v>120</v>
      </c>
      <c r="CB894">
        <v>108.14</v>
      </c>
      <c r="CC894">
        <v>844.16</v>
      </c>
      <c r="CD894">
        <v>627.29999999999995</v>
      </c>
      <c r="CE894">
        <v>158.75</v>
      </c>
      <c r="CF894">
        <v>4.08</v>
      </c>
      <c r="CG894">
        <v>158.75</v>
      </c>
      <c r="CH894">
        <v>121.08</v>
      </c>
      <c r="CI894">
        <v>65.66</v>
      </c>
      <c r="CJ894">
        <v>-0.5</v>
      </c>
      <c r="CK894">
        <v>59.51</v>
      </c>
      <c r="CL894">
        <v>211.16</v>
      </c>
      <c r="CM894">
        <v>221.1</v>
      </c>
      <c r="CN894">
        <v>118.65</v>
      </c>
      <c r="CO894">
        <v>77992</v>
      </c>
      <c r="CP894">
        <v>38940</v>
      </c>
      <c r="CQ894" t="s">
        <v>5231</v>
      </c>
      <c r="CR894">
        <v>104.69</v>
      </c>
      <c r="CS894">
        <v>67.88</v>
      </c>
      <c r="CT894">
        <v>5.15</v>
      </c>
      <c r="CU894">
        <v>9.91</v>
      </c>
      <c r="CV894">
        <v>2.6</v>
      </c>
      <c r="CW894">
        <v>0.45</v>
      </c>
      <c r="CX894" t="s">
        <v>2783</v>
      </c>
      <c r="CY894">
        <v>4.2</v>
      </c>
      <c r="CZ894">
        <v>0</v>
      </c>
      <c r="DA894">
        <v>1.07</v>
      </c>
      <c r="DB894">
        <v>2.09</v>
      </c>
      <c r="DC894">
        <v>2.1800000000000002</v>
      </c>
      <c r="DD894">
        <v>15.11</v>
      </c>
      <c r="DE894" t="s">
        <v>5232</v>
      </c>
      <c r="DF894">
        <v>25.69</v>
      </c>
      <c r="DG894">
        <v>18.809999999999999</v>
      </c>
      <c r="DH894">
        <v>7.78</v>
      </c>
      <c r="DI894">
        <v>15.26</v>
      </c>
      <c r="DJ894">
        <v>17544</v>
      </c>
      <c r="DK894">
        <v>2493</v>
      </c>
      <c r="DL894" t="s">
        <v>120</v>
      </c>
      <c r="DM894" t="s">
        <v>120</v>
      </c>
      <c r="DN894" t="s">
        <v>120</v>
      </c>
    </row>
    <row r="895" spans="1:118">
      <c r="A895" t="str">
        <f>"002494"</f>
        <v>002494</v>
      </c>
      <c r="B895" t="s">
        <v>5233</v>
      </c>
      <c r="C895">
        <v>-1.89</v>
      </c>
      <c r="D895">
        <v>-0.23</v>
      </c>
      <c r="E895">
        <v>-0.47</v>
      </c>
      <c r="F895">
        <v>398</v>
      </c>
      <c r="G895" t="s">
        <v>5234</v>
      </c>
      <c r="H895">
        <v>2216.81</v>
      </c>
      <c r="I895">
        <v>11.75</v>
      </c>
      <c r="J895" t="s">
        <v>120</v>
      </c>
      <c r="K895" t="s">
        <v>5235</v>
      </c>
      <c r="L895">
        <v>1.8</v>
      </c>
      <c r="M895">
        <v>4.1500000000000004</v>
      </c>
      <c r="N895">
        <v>0.66</v>
      </c>
      <c r="O895">
        <v>0.95</v>
      </c>
      <c r="P895">
        <v>4.2699999999999996</v>
      </c>
      <c r="Q895">
        <v>-3.07</v>
      </c>
      <c r="R895">
        <v>4.0999999999999996</v>
      </c>
      <c r="S895">
        <v>4.21</v>
      </c>
      <c r="T895">
        <v>52966</v>
      </c>
      <c r="U895">
        <v>4.16</v>
      </c>
      <c r="V895">
        <v>4.2300000000000004</v>
      </c>
      <c r="W895">
        <v>304.58</v>
      </c>
      <c r="X895" t="s">
        <v>2806</v>
      </c>
      <c r="Y895" t="s">
        <v>602</v>
      </c>
      <c r="Z895">
        <v>4.0199999999999996</v>
      </c>
      <c r="AA895">
        <v>4.1900000000000004</v>
      </c>
      <c r="AB895">
        <v>27930</v>
      </c>
      <c r="AC895">
        <v>25036</v>
      </c>
      <c r="AD895">
        <v>1.1200000000000001</v>
      </c>
      <c r="AE895">
        <v>493</v>
      </c>
      <c r="AF895">
        <v>308</v>
      </c>
      <c r="AG895" t="s">
        <v>120</v>
      </c>
      <c r="AH895">
        <v>0.01</v>
      </c>
      <c r="AI895" t="s">
        <v>120</v>
      </c>
      <c r="AJ895">
        <v>2.95</v>
      </c>
      <c r="AK895" t="s">
        <v>5236</v>
      </c>
      <c r="AL895">
        <v>0.02</v>
      </c>
      <c r="AM895">
        <v>1864</v>
      </c>
      <c r="AN895">
        <v>28</v>
      </c>
      <c r="AO895">
        <v>1E-3</v>
      </c>
      <c r="AP895">
        <v>-1</v>
      </c>
      <c r="AQ895">
        <v>2.17</v>
      </c>
      <c r="AR895">
        <v>-3.04</v>
      </c>
      <c r="AS895">
        <v>14.33</v>
      </c>
      <c r="AT895">
        <v>11.56</v>
      </c>
      <c r="AU895">
        <v>4.8</v>
      </c>
      <c r="AV895">
        <v>3</v>
      </c>
      <c r="AW895">
        <v>2.04</v>
      </c>
      <c r="AX895">
        <v>67.42</v>
      </c>
      <c r="AY895" t="s">
        <v>120</v>
      </c>
      <c r="AZ895" t="s">
        <v>120</v>
      </c>
      <c r="BA895">
        <v>0.27</v>
      </c>
      <c r="BB895" t="s">
        <v>184</v>
      </c>
      <c r="BF895">
        <v>-1.06</v>
      </c>
      <c r="BG895">
        <v>-1.43</v>
      </c>
      <c r="BH895">
        <v>-2.81</v>
      </c>
      <c r="BI895">
        <v>1.22</v>
      </c>
      <c r="BJ895">
        <v>20210818</v>
      </c>
      <c r="BK895">
        <v>20101102</v>
      </c>
      <c r="BL895">
        <v>3.86</v>
      </c>
      <c r="BM895" t="s">
        <v>120</v>
      </c>
      <c r="BN895" t="s">
        <v>120</v>
      </c>
      <c r="BO895">
        <v>20.329999999999998</v>
      </c>
      <c r="BP895">
        <v>4.1500000000000004</v>
      </c>
      <c r="BQ895">
        <v>15.5</v>
      </c>
      <c r="BR895">
        <v>-0.21</v>
      </c>
      <c r="BS895">
        <v>24.74</v>
      </c>
      <c r="BT895">
        <v>8.73</v>
      </c>
      <c r="BU895">
        <v>3.41</v>
      </c>
      <c r="BV895">
        <v>0.33</v>
      </c>
      <c r="BW895">
        <v>4.3600000000000003</v>
      </c>
      <c r="BX895">
        <v>2.44</v>
      </c>
      <c r="BY895">
        <v>4.46</v>
      </c>
      <c r="BZ895">
        <v>0.49</v>
      </c>
      <c r="CA895">
        <v>0.1</v>
      </c>
      <c r="CB895">
        <v>12.5</v>
      </c>
      <c r="CC895">
        <v>1.85</v>
      </c>
      <c r="CD895">
        <v>1.36</v>
      </c>
      <c r="CE895">
        <v>0.01</v>
      </c>
      <c r="CF895">
        <v>0</v>
      </c>
      <c r="CG895">
        <v>0.01</v>
      </c>
      <c r="CH895">
        <v>0.01</v>
      </c>
      <c r="CI895">
        <v>0.03</v>
      </c>
      <c r="CJ895">
        <v>-0.08</v>
      </c>
      <c r="CK895">
        <v>0</v>
      </c>
      <c r="CL895">
        <v>-0.91</v>
      </c>
      <c r="CM895">
        <v>-0.44</v>
      </c>
      <c r="CN895">
        <v>-0.88</v>
      </c>
      <c r="CO895">
        <v>34521</v>
      </c>
      <c r="CP895">
        <v>7530</v>
      </c>
      <c r="CQ895" t="s">
        <v>5237</v>
      </c>
      <c r="CR895">
        <v>115.03</v>
      </c>
      <c r="CS895">
        <v>73.34</v>
      </c>
      <c r="CT895">
        <v>1.03</v>
      </c>
      <c r="CU895">
        <v>-35.99</v>
      </c>
      <c r="CV895">
        <v>8.6300000000000008</v>
      </c>
      <c r="CW895">
        <v>0</v>
      </c>
      <c r="CX895" t="s">
        <v>178</v>
      </c>
      <c r="CY895">
        <v>4.0199999999999996</v>
      </c>
      <c r="CZ895">
        <v>0</v>
      </c>
      <c r="DA895">
        <v>3.24</v>
      </c>
      <c r="DB895">
        <v>-0.24</v>
      </c>
      <c r="DC895">
        <v>-0.12</v>
      </c>
      <c r="DD895">
        <v>76.28</v>
      </c>
      <c r="DE895" t="s">
        <v>2192</v>
      </c>
      <c r="DF895">
        <v>26.42</v>
      </c>
      <c r="DG895">
        <v>0.65</v>
      </c>
      <c r="DH895">
        <v>1.42</v>
      </c>
      <c r="DI895">
        <v>0.05</v>
      </c>
      <c r="DJ895">
        <v>1024</v>
      </c>
      <c r="DK895">
        <v>2494</v>
      </c>
      <c r="DL895" t="s">
        <v>120</v>
      </c>
      <c r="DM895" t="s">
        <v>120</v>
      </c>
      <c r="DN895" t="s">
        <v>120</v>
      </c>
    </row>
    <row r="896" spans="1:118">
      <c r="A896" t="str">
        <f>"002495"</f>
        <v>002495</v>
      </c>
      <c r="B896" t="s">
        <v>5238</v>
      </c>
      <c r="C896">
        <v>-5.15</v>
      </c>
      <c r="D896">
        <v>-0.38</v>
      </c>
      <c r="E896">
        <v>0</v>
      </c>
      <c r="F896">
        <v>7219</v>
      </c>
      <c r="G896" t="s">
        <v>5239</v>
      </c>
      <c r="H896">
        <v>10622.2</v>
      </c>
      <c r="I896">
        <v>4.16</v>
      </c>
      <c r="J896" t="s">
        <v>120</v>
      </c>
      <c r="K896" t="s">
        <v>5240</v>
      </c>
      <c r="L896">
        <v>5.56</v>
      </c>
      <c r="M896">
        <v>2.58</v>
      </c>
      <c r="N896">
        <v>2.99</v>
      </c>
      <c r="O896">
        <v>3.68</v>
      </c>
      <c r="P896">
        <v>2.82</v>
      </c>
      <c r="Q896">
        <v>-5.51</v>
      </c>
      <c r="R896">
        <v>2.57</v>
      </c>
      <c r="S896">
        <v>2.72</v>
      </c>
      <c r="T896">
        <v>397188</v>
      </c>
      <c r="U896">
        <v>2.58</v>
      </c>
      <c r="V896">
        <v>2.72</v>
      </c>
      <c r="W896">
        <v>66.239999999999995</v>
      </c>
      <c r="X896" t="s">
        <v>847</v>
      </c>
      <c r="Y896" t="s">
        <v>547</v>
      </c>
      <c r="Z896">
        <v>9.19</v>
      </c>
      <c r="AA896">
        <v>2.67</v>
      </c>
      <c r="AB896">
        <v>215588</v>
      </c>
      <c r="AC896">
        <v>181600</v>
      </c>
      <c r="AD896">
        <v>1.19</v>
      </c>
      <c r="AE896">
        <v>2434</v>
      </c>
      <c r="AF896">
        <v>5049</v>
      </c>
      <c r="AG896" t="s">
        <v>120</v>
      </c>
      <c r="AH896">
        <v>0</v>
      </c>
      <c r="AI896" t="s">
        <v>120</v>
      </c>
      <c r="AJ896">
        <v>7.14</v>
      </c>
      <c r="AK896" t="s">
        <v>5241</v>
      </c>
      <c r="AL896">
        <v>-3.23</v>
      </c>
      <c r="AM896">
        <v>2523</v>
      </c>
      <c r="AN896">
        <v>157</v>
      </c>
      <c r="AO896">
        <v>2.2000000000000001E-3</v>
      </c>
      <c r="AP896">
        <v>-1</v>
      </c>
      <c r="AQ896">
        <v>0</v>
      </c>
      <c r="AR896">
        <v>-7.86</v>
      </c>
      <c r="AS896">
        <v>-4.45</v>
      </c>
      <c r="AT896">
        <v>8.41</v>
      </c>
      <c r="AU896">
        <v>3.11</v>
      </c>
      <c r="AV896">
        <v>1</v>
      </c>
      <c r="AW896">
        <v>6.88</v>
      </c>
      <c r="AX896">
        <v>61.72</v>
      </c>
      <c r="AY896">
        <v>62.86</v>
      </c>
      <c r="AZ896">
        <v>261.04000000000002</v>
      </c>
      <c r="BA896">
        <v>0.57999999999999996</v>
      </c>
      <c r="BB896" t="s">
        <v>125</v>
      </c>
      <c r="BF896">
        <v>-1.68</v>
      </c>
      <c r="BG896">
        <v>-5.15</v>
      </c>
      <c r="BH896">
        <v>-8.51</v>
      </c>
      <c r="BI896">
        <v>0.39</v>
      </c>
      <c r="BJ896">
        <v>20210830</v>
      </c>
      <c r="BK896">
        <v>20101102</v>
      </c>
      <c r="BL896">
        <v>9.36</v>
      </c>
      <c r="BM896" t="s">
        <v>120</v>
      </c>
      <c r="BN896" t="s">
        <v>120</v>
      </c>
      <c r="BO896">
        <v>13.17</v>
      </c>
      <c r="BP896">
        <v>2.57</v>
      </c>
      <c r="BQ896">
        <v>12.1</v>
      </c>
      <c r="BR896" t="s">
        <v>120</v>
      </c>
      <c r="BS896">
        <v>8.14</v>
      </c>
      <c r="BT896">
        <v>3.61</v>
      </c>
      <c r="BU896">
        <v>5.25</v>
      </c>
      <c r="BV896">
        <v>0.42</v>
      </c>
      <c r="BW896">
        <v>0.74</v>
      </c>
      <c r="BX896">
        <v>2.31</v>
      </c>
      <c r="BY896">
        <v>0.43</v>
      </c>
      <c r="BZ896">
        <v>0.56999999999999995</v>
      </c>
      <c r="CA896">
        <v>0.27</v>
      </c>
      <c r="CB896">
        <v>0.55000000000000004</v>
      </c>
      <c r="CC896">
        <v>1.52</v>
      </c>
      <c r="CD896">
        <v>0.96</v>
      </c>
      <c r="CE896">
        <v>0.23</v>
      </c>
      <c r="CF896">
        <v>0.01</v>
      </c>
      <c r="CG896">
        <v>0.23</v>
      </c>
      <c r="CH896">
        <v>0.18</v>
      </c>
      <c r="CI896">
        <v>0.18</v>
      </c>
      <c r="CJ896">
        <v>-0.14000000000000001</v>
      </c>
      <c r="CK896">
        <v>0.17</v>
      </c>
      <c r="CL896">
        <v>1.64</v>
      </c>
      <c r="CM896">
        <v>-0.1</v>
      </c>
      <c r="CN896">
        <v>-0.01</v>
      </c>
      <c r="CO896">
        <v>48274</v>
      </c>
      <c r="CP896">
        <v>11962</v>
      </c>
      <c r="CQ896" t="s">
        <v>5242</v>
      </c>
      <c r="CR896">
        <v>245.55</v>
      </c>
      <c r="CS896">
        <v>85.93</v>
      </c>
      <c r="CT896">
        <v>2</v>
      </c>
      <c r="CU896">
        <v>-248.87</v>
      </c>
      <c r="CV896">
        <v>15.9</v>
      </c>
      <c r="CW896">
        <v>0.28999999999999998</v>
      </c>
      <c r="CX896" t="s">
        <v>753</v>
      </c>
      <c r="CY896">
        <v>1.29</v>
      </c>
      <c r="CZ896">
        <v>0</v>
      </c>
      <c r="DA896">
        <v>0.06</v>
      </c>
      <c r="DB896">
        <v>0.18</v>
      </c>
      <c r="DC896">
        <v>-0.01</v>
      </c>
      <c r="DD896">
        <v>91.86</v>
      </c>
      <c r="DE896" t="s">
        <v>5243</v>
      </c>
      <c r="DF896">
        <v>36.51</v>
      </c>
      <c r="DG896">
        <v>15.32</v>
      </c>
      <c r="DH896">
        <v>12</v>
      </c>
      <c r="DI896">
        <v>0.04</v>
      </c>
      <c r="DJ896">
        <v>258</v>
      </c>
      <c r="DK896">
        <v>2495</v>
      </c>
      <c r="DL896" t="s">
        <v>120</v>
      </c>
      <c r="DM896" t="s">
        <v>120</v>
      </c>
      <c r="DN896" t="s">
        <v>120</v>
      </c>
    </row>
    <row r="897" spans="1:118">
      <c r="A897" t="str">
        <f>"002497"</f>
        <v>002497</v>
      </c>
      <c r="B897" t="s">
        <v>5244</v>
      </c>
      <c r="C897">
        <v>-10</v>
      </c>
      <c r="D897">
        <v>0</v>
      </c>
      <c r="E897">
        <v>-2.15</v>
      </c>
      <c r="F897">
        <v>1519</v>
      </c>
      <c r="G897" t="s">
        <v>5245</v>
      </c>
      <c r="H897">
        <v>410495.71</v>
      </c>
      <c r="I897">
        <v>2712.53</v>
      </c>
      <c r="J897">
        <v>23144.639999999999</v>
      </c>
      <c r="K897" t="s">
        <v>5246</v>
      </c>
      <c r="L897">
        <v>9.9600000000000009</v>
      </c>
      <c r="M897">
        <v>38.08</v>
      </c>
      <c r="N897">
        <v>0.88</v>
      </c>
      <c r="O897">
        <v>-0.73</v>
      </c>
      <c r="P897">
        <v>42</v>
      </c>
      <c r="Q897">
        <v>-10</v>
      </c>
      <c r="R897">
        <v>38.08</v>
      </c>
      <c r="S897">
        <v>41.4</v>
      </c>
      <c r="T897">
        <v>1037559</v>
      </c>
      <c r="U897">
        <v>38.08</v>
      </c>
      <c r="V897">
        <v>42.31</v>
      </c>
      <c r="W897">
        <v>66.47</v>
      </c>
      <c r="X897" t="s">
        <v>868</v>
      </c>
      <c r="Y897" t="s">
        <v>578</v>
      </c>
      <c r="Z897">
        <v>9.26</v>
      </c>
      <c r="AA897">
        <v>39.56</v>
      </c>
      <c r="AB897">
        <v>523075</v>
      </c>
      <c r="AC897">
        <v>514484</v>
      </c>
      <c r="AD897">
        <v>1.02</v>
      </c>
      <c r="AE897">
        <v>0</v>
      </c>
      <c r="AF897">
        <v>60779</v>
      </c>
      <c r="AG897" t="s">
        <v>120</v>
      </c>
      <c r="AH897">
        <v>7.0000000000000007E-2</v>
      </c>
      <c r="AI897">
        <v>0.06</v>
      </c>
      <c r="AJ897">
        <v>10.42</v>
      </c>
      <c r="AK897" t="s">
        <v>5247</v>
      </c>
      <c r="AL897">
        <v>-8.08</v>
      </c>
      <c r="AM897">
        <v>4571</v>
      </c>
      <c r="AN897">
        <v>227</v>
      </c>
      <c r="AO897">
        <v>2.2000000000000001E-3</v>
      </c>
      <c r="AP897">
        <v>-3</v>
      </c>
      <c r="AQ897">
        <v>-0.45</v>
      </c>
      <c r="AR897">
        <v>-13.87</v>
      </c>
      <c r="AS897">
        <v>33.33</v>
      </c>
      <c r="AT897">
        <v>62.63</v>
      </c>
      <c r="AU897">
        <v>73.61</v>
      </c>
      <c r="AV897">
        <v>11</v>
      </c>
      <c r="AW897">
        <v>10.63</v>
      </c>
      <c r="AX897">
        <v>84.68</v>
      </c>
      <c r="AY897">
        <v>93.34</v>
      </c>
      <c r="AZ897">
        <v>150.58000000000001</v>
      </c>
      <c r="BA897">
        <v>1.32</v>
      </c>
      <c r="BB897" t="s">
        <v>143</v>
      </c>
      <c r="BF897">
        <v>-6.49</v>
      </c>
      <c r="BG897">
        <v>-8.02</v>
      </c>
      <c r="BH897">
        <v>-9.33</v>
      </c>
      <c r="BI897">
        <v>0</v>
      </c>
      <c r="BJ897">
        <v>20210914</v>
      </c>
      <c r="BK897">
        <v>20101109</v>
      </c>
      <c r="BL897">
        <v>11.53</v>
      </c>
      <c r="BM897" t="s">
        <v>120</v>
      </c>
      <c r="BN897" t="s">
        <v>120</v>
      </c>
      <c r="BO897">
        <v>76.44</v>
      </c>
      <c r="BP897" t="s">
        <v>120</v>
      </c>
      <c r="BQ897">
        <v>56.82</v>
      </c>
      <c r="BR897">
        <v>3.22</v>
      </c>
      <c r="BS897">
        <v>21.46</v>
      </c>
      <c r="BT897">
        <v>41.68</v>
      </c>
      <c r="BU897">
        <v>14.06</v>
      </c>
      <c r="BV897">
        <v>5.9</v>
      </c>
      <c r="BW897">
        <v>12.21</v>
      </c>
      <c r="BX897">
        <v>5.32</v>
      </c>
      <c r="BY897">
        <v>5.47</v>
      </c>
      <c r="BZ897">
        <v>8.98</v>
      </c>
      <c r="CA897">
        <v>0</v>
      </c>
      <c r="CB897">
        <v>25.69</v>
      </c>
      <c r="CC897">
        <v>21.24</v>
      </c>
      <c r="CD897">
        <v>14.31</v>
      </c>
      <c r="CE897">
        <v>4.2699999999999996</v>
      </c>
      <c r="CF897">
        <v>0.17</v>
      </c>
      <c r="CG897">
        <v>4.25</v>
      </c>
      <c r="CH897">
        <v>3.55</v>
      </c>
      <c r="CI897">
        <v>3.3</v>
      </c>
      <c r="CJ897">
        <v>-4.2300000000000004</v>
      </c>
      <c r="CK897">
        <v>3.16</v>
      </c>
      <c r="CL897">
        <v>18.11</v>
      </c>
      <c r="CM897">
        <v>-1.04</v>
      </c>
      <c r="CN897">
        <v>-14.98</v>
      </c>
      <c r="CO897">
        <v>124000</v>
      </c>
      <c r="CP897">
        <v>7871</v>
      </c>
      <c r="CQ897" t="s">
        <v>5248</v>
      </c>
      <c r="CR897">
        <v>151.01</v>
      </c>
      <c r="CS897">
        <v>64.349999999999994</v>
      </c>
      <c r="CT897">
        <v>7.72</v>
      </c>
      <c r="CU897">
        <v>-421.41</v>
      </c>
      <c r="CV897">
        <v>20.66</v>
      </c>
      <c r="CW897">
        <v>0.04</v>
      </c>
      <c r="CX897" t="s">
        <v>293</v>
      </c>
      <c r="CY897">
        <v>4.93</v>
      </c>
      <c r="CZ897">
        <v>0</v>
      </c>
      <c r="DA897">
        <v>2.23</v>
      </c>
      <c r="DB897">
        <v>1.57</v>
      </c>
      <c r="DC897">
        <v>-0.09</v>
      </c>
      <c r="DD897">
        <v>74.33</v>
      </c>
      <c r="DE897" t="s">
        <v>4733</v>
      </c>
      <c r="DF897">
        <v>32.64</v>
      </c>
      <c r="DG897">
        <v>20.12</v>
      </c>
      <c r="DH897">
        <v>15.54</v>
      </c>
      <c r="DI897">
        <v>0.28999999999999998</v>
      </c>
      <c r="DJ897">
        <v>4025</v>
      </c>
      <c r="DK897">
        <v>2497</v>
      </c>
      <c r="DL897">
        <v>20210906</v>
      </c>
      <c r="DM897">
        <v>35.24</v>
      </c>
      <c r="DN897">
        <v>8.06</v>
      </c>
    </row>
    <row r="898" spans="1:118">
      <c r="A898" t="str">
        <f>"002498"</f>
        <v>002498</v>
      </c>
      <c r="B898" t="s">
        <v>5249</v>
      </c>
      <c r="C898">
        <v>-2.09</v>
      </c>
      <c r="D898">
        <v>0.43</v>
      </c>
      <c r="E898">
        <v>0.84</v>
      </c>
      <c r="F898">
        <v>7909</v>
      </c>
      <c r="G898" t="s">
        <v>5250</v>
      </c>
      <c r="H898">
        <v>29405.91</v>
      </c>
      <c r="I898">
        <v>200.93</v>
      </c>
      <c r="J898" t="s">
        <v>120</v>
      </c>
      <c r="K898" t="s">
        <v>5251</v>
      </c>
      <c r="L898">
        <v>1.87</v>
      </c>
      <c r="M898">
        <v>4.6900000000000004</v>
      </c>
      <c r="N898">
        <v>0.55000000000000004</v>
      </c>
      <c r="O898">
        <v>1.25</v>
      </c>
      <c r="P898">
        <v>4.8499999999999996</v>
      </c>
      <c r="Q898">
        <v>-3.13</v>
      </c>
      <c r="R898">
        <v>4.6399999999999997</v>
      </c>
      <c r="S898">
        <v>4.83</v>
      </c>
      <c r="T898">
        <v>621857</v>
      </c>
      <c r="U898">
        <v>4.6900000000000004</v>
      </c>
      <c r="V898">
        <v>4.79</v>
      </c>
      <c r="W898">
        <v>16.07</v>
      </c>
      <c r="X898" t="s">
        <v>394</v>
      </c>
      <c r="Y898" t="s">
        <v>638</v>
      </c>
      <c r="Z898">
        <v>4.38</v>
      </c>
      <c r="AA898">
        <v>4.7300000000000004</v>
      </c>
      <c r="AB898">
        <v>366254</v>
      </c>
      <c r="AC898">
        <v>255603</v>
      </c>
      <c r="AD898">
        <v>1.43</v>
      </c>
      <c r="AE898">
        <v>249</v>
      </c>
      <c r="AF898">
        <v>1858</v>
      </c>
      <c r="AG898" t="s">
        <v>120</v>
      </c>
      <c r="AH898">
        <v>0.04</v>
      </c>
      <c r="AI898" t="s">
        <v>120</v>
      </c>
      <c r="AJ898">
        <v>33.270000000000003</v>
      </c>
      <c r="AK898" t="s">
        <v>5251</v>
      </c>
      <c r="AL898">
        <v>-0.17</v>
      </c>
      <c r="AM898">
        <v>3973</v>
      </c>
      <c r="AN898">
        <v>157</v>
      </c>
      <c r="AO898">
        <v>5.0000000000000001E-4</v>
      </c>
      <c r="AP898">
        <v>-1</v>
      </c>
      <c r="AQ898">
        <v>2.35</v>
      </c>
      <c r="AR898">
        <v>-3.7</v>
      </c>
      <c r="AS898">
        <v>7.57</v>
      </c>
      <c r="AT898">
        <v>29.56</v>
      </c>
      <c r="AU898">
        <v>14</v>
      </c>
      <c r="AV898">
        <v>3</v>
      </c>
      <c r="AW898">
        <v>5.59</v>
      </c>
      <c r="AX898">
        <v>33.44</v>
      </c>
      <c r="AY898">
        <v>22.2</v>
      </c>
      <c r="AZ898">
        <v>27.32</v>
      </c>
      <c r="BA898">
        <v>0.26</v>
      </c>
      <c r="BB898" t="s">
        <v>184</v>
      </c>
      <c r="BF898">
        <v>-1.28</v>
      </c>
      <c r="BG898">
        <v>-2.9</v>
      </c>
      <c r="BH898">
        <v>-3.3</v>
      </c>
      <c r="BI898">
        <v>1.08</v>
      </c>
      <c r="BJ898">
        <v>20210830</v>
      </c>
      <c r="BK898">
        <v>20101109</v>
      </c>
      <c r="BL898">
        <v>33.270000000000003</v>
      </c>
      <c r="BM898" t="s">
        <v>120</v>
      </c>
      <c r="BN898" t="s">
        <v>120</v>
      </c>
      <c r="BO898">
        <v>81.510000000000005</v>
      </c>
      <c r="BP898">
        <v>4.68</v>
      </c>
      <c r="BQ898">
        <v>60.34</v>
      </c>
      <c r="BR898">
        <v>1.29</v>
      </c>
      <c r="BS898">
        <v>24.39</v>
      </c>
      <c r="BT898">
        <v>60.21</v>
      </c>
      <c r="BU898">
        <v>4.08</v>
      </c>
      <c r="BV898">
        <v>5.56</v>
      </c>
      <c r="BW898">
        <v>16.02</v>
      </c>
      <c r="BX898">
        <v>4.9000000000000004</v>
      </c>
      <c r="BY898">
        <v>14.03</v>
      </c>
      <c r="BZ898">
        <v>28.01</v>
      </c>
      <c r="CA898" t="s">
        <v>120</v>
      </c>
      <c r="CB898">
        <v>1.9</v>
      </c>
      <c r="CC898">
        <v>37.659999999999997</v>
      </c>
      <c r="CD898">
        <v>27.66</v>
      </c>
      <c r="CE898">
        <v>5.8</v>
      </c>
      <c r="CF898">
        <v>0.21</v>
      </c>
      <c r="CG898">
        <v>5.8</v>
      </c>
      <c r="CH898">
        <v>4.83</v>
      </c>
      <c r="CI898">
        <v>4.8600000000000003</v>
      </c>
      <c r="CJ898">
        <v>-0.1</v>
      </c>
      <c r="CK898">
        <v>4.72</v>
      </c>
      <c r="CL898">
        <v>20.02</v>
      </c>
      <c r="CM898">
        <v>-2.0499999999999998</v>
      </c>
      <c r="CN898">
        <v>-3.84</v>
      </c>
      <c r="CO898">
        <v>132034</v>
      </c>
      <c r="CP898">
        <v>8425</v>
      </c>
      <c r="CQ898" t="s">
        <v>5252</v>
      </c>
      <c r="CR898">
        <v>38.29</v>
      </c>
      <c r="CS898">
        <v>27.1</v>
      </c>
      <c r="CT898">
        <v>2.59</v>
      </c>
      <c r="CU898">
        <v>-76.150000000000006</v>
      </c>
      <c r="CV898">
        <v>4.1399999999999997</v>
      </c>
      <c r="CW898">
        <v>0.75</v>
      </c>
      <c r="CX898" t="s">
        <v>373</v>
      </c>
      <c r="CY898">
        <v>1.81</v>
      </c>
      <c r="CZ898">
        <v>0</v>
      </c>
      <c r="DA898">
        <v>0.06</v>
      </c>
      <c r="DB898">
        <v>0.6</v>
      </c>
      <c r="DC898">
        <v>-0.06</v>
      </c>
      <c r="DD898">
        <v>74.03</v>
      </c>
      <c r="DE898" t="s">
        <v>5253</v>
      </c>
      <c r="DF898">
        <v>26.57</v>
      </c>
      <c r="DG898">
        <v>15.39</v>
      </c>
      <c r="DH898">
        <v>12.89</v>
      </c>
      <c r="DI898">
        <v>2.11</v>
      </c>
      <c r="DJ898">
        <v>2810</v>
      </c>
      <c r="DK898">
        <v>2498</v>
      </c>
      <c r="DL898" t="s">
        <v>120</v>
      </c>
      <c r="DM898" t="s">
        <v>120</v>
      </c>
      <c r="DN898" t="s">
        <v>120</v>
      </c>
    </row>
    <row r="899" spans="1:118">
      <c r="A899" t="str">
        <f>"002500"</f>
        <v>002500</v>
      </c>
      <c r="B899" t="s">
        <v>5254</v>
      </c>
      <c r="C899">
        <v>-2.75</v>
      </c>
      <c r="D899">
        <v>-0.28999999999999998</v>
      </c>
      <c r="E899">
        <v>0</v>
      </c>
      <c r="F899">
        <v>5995</v>
      </c>
      <c r="G899" t="s">
        <v>5255</v>
      </c>
      <c r="H899">
        <v>21123.07</v>
      </c>
      <c r="I899">
        <v>42.91</v>
      </c>
      <c r="J899" t="s">
        <v>120</v>
      </c>
      <c r="K899" t="s">
        <v>5256</v>
      </c>
      <c r="L899">
        <v>0.86</v>
      </c>
      <c r="M899">
        <v>6.72</v>
      </c>
      <c r="N899">
        <v>0.9</v>
      </c>
      <c r="O899">
        <v>0.57999999999999996</v>
      </c>
      <c r="P899">
        <v>6.95</v>
      </c>
      <c r="Q899">
        <v>-3.18</v>
      </c>
      <c r="R899">
        <v>6.69</v>
      </c>
      <c r="S899">
        <v>6.91</v>
      </c>
      <c r="T899">
        <v>309826</v>
      </c>
      <c r="U899">
        <v>6.73</v>
      </c>
      <c r="V899">
        <v>6.91</v>
      </c>
      <c r="W899">
        <v>28.44</v>
      </c>
      <c r="X899" t="s">
        <v>616</v>
      </c>
      <c r="Y899" t="s">
        <v>667</v>
      </c>
      <c r="Z899">
        <v>3.76</v>
      </c>
      <c r="AA899">
        <v>6.82</v>
      </c>
      <c r="AB899">
        <v>176439</v>
      </c>
      <c r="AC899">
        <v>133387</v>
      </c>
      <c r="AD899">
        <v>1.32</v>
      </c>
      <c r="AE899">
        <v>2467</v>
      </c>
      <c r="AF899">
        <v>206</v>
      </c>
      <c r="AG899" t="s">
        <v>120</v>
      </c>
      <c r="AH899">
        <v>0</v>
      </c>
      <c r="AI899" t="s">
        <v>120</v>
      </c>
      <c r="AJ899">
        <v>35.9</v>
      </c>
      <c r="AK899" t="s">
        <v>5256</v>
      </c>
      <c r="AL899">
        <v>-0.84</v>
      </c>
      <c r="AM899">
        <v>3471</v>
      </c>
      <c r="AN899">
        <v>89</v>
      </c>
      <c r="AO899">
        <v>2.0000000000000001E-4</v>
      </c>
      <c r="AP899">
        <v>-1</v>
      </c>
      <c r="AQ899">
        <v>1.47</v>
      </c>
      <c r="AR899">
        <v>-2.89</v>
      </c>
      <c r="AS899">
        <v>1.35</v>
      </c>
      <c r="AT899">
        <v>0.75</v>
      </c>
      <c r="AU899">
        <v>-23.98</v>
      </c>
      <c r="AV899">
        <v>1</v>
      </c>
      <c r="AW899">
        <v>1.64</v>
      </c>
      <c r="AX899">
        <v>52.59</v>
      </c>
      <c r="AY899">
        <v>37.04</v>
      </c>
      <c r="AZ899">
        <v>33.03</v>
      </c>
      <c r="BA899">
        <v>0.28000000000000003</v>
      </c>
      <c r="BB899" t="s">
        <v>143</v>
      </c>
      <c r="BF899">
        <v>-1.34</v>
      </c>
      <c r="BG899">
        <v>-2.75</v>
      </c>
      <c r="BH899">
        <v>-3.31</v>
      </c>
      <c r="BI899">
        <v>0.45</v>
      </c>
      <c r="BJ899">
        <v>20210913</v>
      </c>
      <c r="BK899">
        <v>20101115</v>
      </c>
      <c r="BL899">
        <v>35.9</v>
      </c>
      <c r="BM899" t="s">
        <v>120</v>
      </c>
      <c r="BN899" t="s">
        <v>120</v>
      </c>
      <c r="BO899">
        <v>793.65</v>
      </c>
      <c r="BP899">
        <v>6.72</v>
      </c>
      <c r="BQ899">
        <v>169.05</v>
      </c>
      <c r="BR899">
        <v>4.76</v>
      </c>
      <c r="BS899">
        <v>78.099999999999994</v>
      </c>
      <c r="BT899">
        <v>0</v>
      </c>
      <c r="BU899">
        <v>3.94</v>
      </c>
      <c r="BV899">
        <v>1.46</v>
      </c>
      <c r="BW899">
        <v>0</v>
      </c>
      <c r="BX899">
        <v>203.94</v>
      </c>
      <c r="BY899">
        <v>0</v>
      </c>
      <c r="BZ899">
        <v>0</v>
      </c>
      <c r="CA899" t="s">
        <v>120</v>
      </c>
      <c r="CB899">
        <v>97.23</v>
      </c>
      <c r="CC899">
        <v>17.100000000000001</v>
      </c>
      <c r="CD899">
        <v>0</v>
      </c>
      <c r="CE899">
        <v>5.24</v>
      </c>
      <c r="CF899">
        <v>8.3800000000000008</v>
      </c>
      <c r="CG899">
        <v>5.23</v>
      </c>
      <c r="CH899">
        <v>4.13</v>
      </c>
      <c r="CI899">
        <v>4.24</v>
      </c>
      <c r="CJ899">
        <v>-0.19</v>
      </c>
      <c r="CK899">
        <v>4.2300000000000004</v>
      </c>
      <c r="CL899">
        <v>15.82</v>
      </c>
      <c r="CM899">
        <v>3.95</v>
      </c>
      <c r="CN899">
        <v>19.54</v>
      </c>
      <c r="CO899">
        <v>141932</v>
      </c>
      <c r="CP899">
        <v>13300</v>
      </c>
      <c r="CQ899" t="s">
        <v>5257</v>
      </c>
      <c r="CR899">
        <v>-16.09</v>
      </c>
      <c r="CS899">
        <v>-3.05</v>
      </c>
      <c r="CT899">
        <v>1.43</v>
      </c>
      <c r="CU899">
        <v>61.14</v>
      </c>
      <c r="CV899">
        <v>14.11</v>
      </c>
      <c r="CW899">
        <v>1.59</v>
      </c>
      <c r="CX899" t="s">
        <v>850</v>
      </c>
      <c r="CY899">
        <v>4.71</v>
      </c>
      <c r="CZ899">
        <v>0</v>
      </c>
      <c r="DA899">
        <v>2.71</v>
      </c>
      <c r="DB899">
        <v>0.44</v>
      </c>
      <c r="DC899">
        <v>0.11</v>
      </c>
      <c r="DD899">
        <v>21.3</v>
      </c>
      <c r="DE899" t="s">
        <v>5258</v>
      </c>
      <c r="DF899" t="s">
        <v>120</v>
      </c>
      <c r="DG899">
        <v>30.67</v>
      </c>
      <c r="DH899">
        <v>24.8</v>
      </c>
      <c r="DI899" t="s">
        <v>120</v>
      </c>
      <c r="DJ899">
        <v>2688</v>
      </c>
      <c r="DK899">
        <v>2500</v>
      </c>
      <c r="DL899" t="s">
        <v>120</v>
      </c>
      <c r="DM899" t="s">
        <v>120</v>
      </c>
      <c r="DN899" t="s">
        <v>120</v>
      </c>
    </row>
    <row r="900" spans="1:118">
      <c r="A900" t="str">
        <f>"002502"</f>
        <v>002502</v>
      </c>
      <c r="B900" t="s">
        <v>5259</v>
      </c>
      <c r="C900">
        <v>0.93</v>
      </c>
      <c r="D900">
        <v>0.46</v>
      </c>
      <c r="E900">
        <v>-1.85</v>
      </c>
      <c r="F900">
        <v>13101</v>
      </c>
      <c r="G900" t="s">
        <v>4800</v>
      </c>
      <c r="H900">
        <v>41287.449999999997</v>
      </c>
      <c r="I900">
        <v>623.41</v>
      </c>
      <c r="J900" t="s">
        <v>120</v>
      </c>
      <c r="K900" t="s">
        <v>5260</v>
      </c>
      <c r="L900">
        <v>7.5</v>
      </c>
      <c r="M900">
        <v>6.54</v>
      </c>
      <c r="N900">
        <v>1.92</v>
      </c>
      <c r="O900">
        <v>5.4</v>
      </c>
      <c r="P900">
        <v>6.83</v>
      </c>
      <c r="Q900">
        <v>-2.62</v>
      </c>
      <c r="R900">
        <v>6.31</v>
      </c>
      <c r="S900">
        <v>6.36</v>
      </c>
      <c r="T900">
        <v>624697</v>
      </c>
      <c r="U900">
        <v>6.54</v>
      </c>
      <c r="V900">
        <v>6.48</v>
      </c>
      <c r="W900">
        <v>5936.03</v>
      </c>
      <c r="X900" t="s">
        <v>584</v>
      </c>
      <c r="Y900" t="s">
        <v>547</v>
      </c>
      <c r="Z900">
        <v>8.02</v>
      </c>
      <c r="AA900">
        <v>6.61</v>
      </c>
      <c r="AB900">
        <v>291378</v>
      </c>
      <c r="AC900">
        <v>333319</v>
      </c>
      <c r="AD900">
        <v>0.87</v>
      </c>
      <c r="AE900">
        <v>48</v>
      </c>
      <c r="AF900">
        <v>810</v>
      </c>
      <c r="AG900" t="s">
        <v>120</v>
      </c>
      <c r="AH900">
        <v>0.18</v>
      </c>
      <c r="AI900" t="s">
        <v>120</v>
      </c>
      <c r="AJ900">
        <v>8.33</v>
      </c>
      <c r="AK900" t="s">
        <v>5261</v>
      </c>
      <c r="AL900">
        <v>2.84</v>
      </c>
      <c r="AM900">
        <v>3508</v>
      </c>
      <c r="AN900">
        <v>178</v>
      </c>
      <c r="AO900">
        <v>2.0999999999999999E-3</v>
      </c>
      <c r="AP900">
        <v>4</v>
      </c>
      <c r="AQ900">
        <v>10.02</v>
      </c>
      <c r="AR900">
        <v>11.61</v>
      </c>
      <c r="AS900">
        <v>35.68</v>
      </c>
      <c r="AT900">
        <v>59.91</v>
      </c>
      <c r="AU900">
        <v>135.25</v>
      </c>
      <c r="AV900">
        <v>11</v>
      </c>
      <c r="AW900">
        <v>11.69</v>
      </c>
      <c r="AX900">
        <v>58.08</v>
      </c>
      <c r="AY900">
        <v>810.41</v>
      </c>
      <c r="AZ900">
        <v>177.72</v>
      </c>
      <c r="BA900">
        <v>0.33</v>
      </c>
      <c r="BB900" t="s">
        <v>184</v>
      </c>
      <c r="BF900">
        <v>1.99</v>
      </c>
      <c r="BG900">
        <v>2.83</v>
      </c>
      <c r="BH900">
        <v>-4.25</v>
      </c>
      <c r="BI900">
        <v>3.65</v>
      </c>
      <c r="BJ900">
        <v>20210813</v>
      </c>
      <c r="BK900">
        <v>20101117</v>
      </c>
      <c r="BL900">
        <v>9.1999999999999993</v>
      </c>
      <c r="BM900" t="s">
        <v>120</v>
      </c>
      <c r="BN900" t="s">
        <v>120</v>
      </c>
      <c r="BO900">
        <v>24.57</v>
      </c>
      <c r="BP900">
        <v>6.53</v>
      </c>
      <c r="BQ900">
        <v>13.19</v>
      </c>
      <c r="BR900">
        <v>6.22</v>
      </c>
      <c r="BS900">
        <v>20.98</v>
      </c>
      <c r="BT900">
        <v>7.45</v>
      </c>
      <c r="BU900">
        <v>1</v>
      </c>
      <c r="BV900">
        <v>2.62</v>
      </c>
      <c r="BW900">
        <v>2.46</v>
      </c>
      <c r="BX900">
        <v>1.8</v>
      </c>
      <c r="BY900">
        <v>1.2</v>
      </c>
      <c r="BZ900">
        <v>0.98</v>
      </c>
      <c r="CA900" t="s">
        <v>120</v>
      </c>
      <c r="CB900">
        <v>16.54</v>
      </c>
      <c r="CC900">
        <v>2.2599999999999998</v>
      </c>
      <c r="CD900">
        <v>1.72</v>
      </c>
      <c r="CE900">
        <v>0.01</v>
      </c>
      <c r="CF900">
        <v>-0.01</v>
      </c>
      <c r="CG900">
        <v>0.03</v>
      </c>
      <c r="CH900">
        <v>0.03</v>
      </c>
      <c r="CI900">
        <v>0.01</v>
      </c>
      <c r="CJ900">
        <v>0.06</v>
      </c>
      <c r="CK900">
        <v>-0.01</v>
      </c>
      <c r="CL900">
        <v>-12.04</v>
      </c>
      <c r="CM900">
        <v>-1.47</v>
      </c>
      <c r="CN900">
        <v>-2.2799999999999998</v>
      </c>
      <c r="CO900">
        <v>27042</v>
      </c>
      <c r="CP900">
        <v>19758</v>
      </c>
      <c r="CQ900" t="s">
        <v>2274</v>
      </c>
      <c r="CR900">
        <v>-98.1</v>
      </c>
      <c r="CS900">
        <v>-16.59</v>
      </c>
      <c r="CT900">
        <v>4.5599999999999996</v>
      </c>
      <c r="CU900">
        <v>-40.94</v>
      </c>
      <c r="CV900">
        <v>26.63</v>
      </c>
      <c r="CW900">
        <v>0</v>
      </c>
      <c r="CX900" t="s">
        <v>1415</v>
      </c>
      <c r="CY900">
        <v>1.43</v>
      </c>
      <c r="CZ900">
        <v>0</v>
      </c>
      <c r="DA900">
        <v>1.8</v>
      </c>
      <c r="DB900">
        <v>-1.31</v>
      </c>
      <c r="DC900">
        <v>-0.16</v>
      </c>
      <c r="DD900">
        <v>53.71</v>
      </c>
      <c r="DE900" t="s">
        <v>1696</v>
      </c>
      <c r="DF900">
        <v>23.75</v>
      </c>
      <c r="DG900">
        <v>0.43</v>
      </c>
      <c r="DH900">
        <v>0.22</v>
      </c>
      <c r="DI900">
        <v>0.06</v>
      </c>
      <c r="DJ900">
        <v>326</v>
      </c>
      <c r="DK900">
        <v>2502</v>
      </c>
      <c r="DL900">
        <v>20210914</v>
      </c>
      <c r="DM900">
        <v>5.86</v>
      </c>
      <c r="DN900">
        <v>11.6</v>
      </c>
    </row>
    <row r="901" spans="1:118">
      <c r="A901" t="str">
        <f>"002503"</f>
        <v>002503</v>
      </c>
      <c r="B901" t="s">
        <v>5262</v>
      </c>
      <c r="C901">
        <v>-1.19</v>
      </c>
      <c r="D901">
        <v>0</v>
      </c>
      <c r="E901">
        <v>0</v>
      </c>
      <c r="F901">
        <v>9901</v>
      </c>
      <c r="G901" t="s">
        <v>5263</v>
      </c>
      <c r="H901">
        <v>21855.07</v>
      </c>
      <c r="I901">
        <v>91.86</v>
      </c>
      <c r="J901" t="s">
        <v>120</v>
      </c>
      <c r="K901" t="s">
        <v>5264</v>
      </c>
      <c r="L901">
        <v>5.08</v>
      </c>
      <c r="M901">
        <v>1.66</v>
      </c>
      <c r="N901">
        <v>0.73</v>
      </c>
      <c r="O901">
        <v>3.57</v>
      </c>
      <c r="P901">
        <v>1.74</v>
      </c>
      <c r="Q901">
        <v>-1.79</v>
      </c>
      <c r="R901">
        <v>1.65</v>
      </c>
      <c r="S901">
        <v>1.68</v>
      </c>
      <c r="T901">
        <v>1290782</v>
      </c>
      <c r="U901">
        <v>1.66</v>
      </c>
      <c r="V901">
        <v>1.68</v>
      </c>
      <c r="W901" t="s">
        <v>120</v>
      </c>
      <c r="X901" t="s">
        <v>2806</v>
      </c>
      <c r="Y901" t="s">
        <v>547</v>
      </c>
      <c r="Z901">
        <v>5.36</v>
      </c>
      <c r="AA901">
        <v>1.69</v>
      </c>
      <c r="AB901">
        <v>658419</v>
      </c>
      <c r="AC901">
        <v>632363</v>
      </c>
      <c r="AD901">
        <v>1.04</v>
      </c>
      <c r="AE901">
        <v>54436</v>
      </c>
      <c r="AF901">
        <v>4413</v>
      </c>
      <c r="AG901" t="s">
        <v>120</v>
      </c>
      <c r="AH901">
        <v>0.03</v>
      </c>
      <c r="AI901" t="s">
        <v>120</v>
      </c>
      <c r="AJ901">
        <v>25.43</v>
      </c>
      <c r="AK901" t="s">
        <v>5265</v>
      </c>
      <c r="AL901">
        <v>0.72</v>
      </c>
      <c r="AM901">
        <v>3636</v>
      </c>
      <c r="AN901">
        <v>355</v>
      </c>
      <c r="AO901">
        <v>1.4E-3</v>
      </c>
      <c r="AP901">
        <v>-1</v>
      </c>
      <c r="AQ901">
        <v>0.6</v>
      </c>
      <c r="AR901">
        <v>-3.49</v>
      </c>
      <c r="AS901">
        <v>8.49</v>
      </c>
      <c r="AT901">
        <v>4.4000000000000004</v>
      </c>
      <c r="AU901">
        <v>-25.89</v>
      </c>
      <c r="AV901">
        <v>9</v>
      </c>
      <c r="AW901">
        <v>5.92</v>
      </c>
      <c r="AX901">
        <v>70.47</v>
      </c>
      <c r="AY901" t="s">
        <v>120</v>
      </c>
      <c r="AZ901" t="s">
        <v>120</v>
      </c>
      <c r="BA901">
        <v>0</v>
      </c>
      <c r="BB901" t="s">
        <v>143</v>
      </c>
      <c r="BF901">
        <v>0.78</v>
      </c>
      <c r="BG901">
        <v>-1.19</v>
      </c>
      <c r="BH901">
        <v>-4.5999999999999996</v>
      </c>
      <c r="BI901">
        <v>0.61</v>
      </c>
      <c r="BJ901">
        <v>20210830</v>
      </c>
      <c r="BK901">
        <v>20101117</v>
      </c>
      <c r="BL901">
        <v>30.93</v>
      </c>
      <c r="BM901" t="s">
        <v>120</v>
      </c>
      <c r="BN901" t="s">
        <v>120</v>
      </c>
      <c r="BO901">
        <v>90.91</v>
      </c>
      <c r="BP901">
        <v>1.65</v>
      </c>
      <c r="BQ901">
        <v>24.38</v>
      </c>
      <c r="BR901">
        <v>2.72</v>
      </c>
      <c r="BS901">
        <v>70.19</v>
      </c>
      <c r="BT901">
        <v>59.33</v>
      </c>
      <c r="BU901">
        <v>8.19</v>
      </c>
      <c r="BV901">
        <v>1.48</v>
      </c>
      <c r="BW901">
        <v>56.54</v>
      </c>
      <c r="BX901">
        <v>5.81</v>
      </c>
      <c r="BY901">
        <v>11.97</v>
      </c>
      <c r="BZ901">
        <v>22.66</v>
      </c>
      <c r="CA901" t="s">
        <v>120</v>
      </c>
      <c r="CB901">
        <v>8.19</v>
      </c>
      <c r="CC901">
        <v>27.98</v>
      </c>
      <c r="CD901">
        <v>28.67</v>
      </c>
      <c r="CE901">
        <v>-15.98</v>
      </c>
      <c r="CF901">
        <v>-0.09</v>
      </c>
      <c r="CG901">
        <v>-15.98</v>
      </c>
      <c r="CH901">
        <v>-13.41</v>
      </c>
      <c r="CI901">
        <v>-13.35</v>
      </c>
      <c r="CJ901">
        <v>-0.02</v>
      </c>
      <c r="CK901">
        <v>-13.07</v>
      </c>
      <c r="CL901">
        <v>-16</v>
      </c>
      <c r="CM901">
        <v>-4.21</v>
      </c>
      <c r="CN901">
        <v>-2.57</v>
      </c>
      <c r="CO901">
        <v>142114</v>
      </c>
      <c r="CP901">
        <v>15335</v>
      </c>
      <c r="CQ901" t="s">
        <v>2081</v>
      </c>
      <c r="CR901">
        <v>-3963.43</v>
      </c>
      <c r="CS901">
        <v>-26.68</v>
      </c>
      <c r="CT901">
        <v>2.23</v>
      </c>
      <c r="CU901">
        <v>-12.19</v>
      </c>
      <c r="CV901">
        <v>1.83</v>
      </c>
      <c r="CW901">
        <v>0</v>
      </c>
      <c r="CX901" t="s">
        <v>5266</v>
      </c>
      <c r="CY901">
        <v>0.74</v>
      </c>
      <c r="CZ901">
        <v>0.74</v>
      </c>
      <c r="DA901">
        <v>0.26</v>
      </c>
      <c r="DB901">
        <v>-0.52</v>
      </c>
      <c r="DC901">
        <v>-0.14000000000000001</v>
      </c>
      <c r="DD901">
        <v>26.82</v>
      </c>
      <c r="DE901" t="s">
        <v>5267</v>
      </c>
      <c r="DF901">
        <v>-2.46</v>
      </c>
      <c r="DG901">
        <v>-57.12</v>
      </c>
      <c r="DH901">
        <v>-47.73</v>
      </c>
      <c r="DI901">
        <v>0.1</v>
      </c>
      <c r="DJ901">
        <v>1493</v>
      </c>
      <c r="DK901">
        <v>2503</v>
      </c>
      <c r="DL901" t="s">
        <v>120</v>
      </c>
      <c r="DM901" t="s">
        <v>120</v>
      </c>
      <c r="DN901" t="s">
        <v>120</v>
      </c>
    </row>
    <row r="902" spans="1:118">
      <c r="A902" t="str">
        <f>"002505"</f>
        <v>002505</v>
      </c>
      <c r="B902" t="s">
        <v>5268</v>
      </c>
      <c r="C902">
        <v>-1.2</v>
      </c>
      <c r="D902">
        <v>-0.39</v>
      </c>
      <c r="E902">
        <v>-0.4</v>
      </c>
      <c r="F902">
        <v>7520</v>
      </c>
      <c r="G902" t="s">
        <v>5269</v>
      </c>
      <c r="H902">
        <v>30182.43</v>
      </c>
      <c r="I902">
        <v>38.74</v>
      </c>
      <c r="J902" t="s">
        <v>120</v>
      </c>
      <c r="K902" t="s">
        <v>5270</v>
      </c>
      <c r="L902">
        <v>2.2000000000000002</v>
      </c>
      <c r="M902">
        <v>2.4700000000000002</v>
      </c>
      <c r="N902">
        <v>1.58</v>
      </c>
      <c r="O902">
        <v>2.4</v>
      </c>
      <c r="P902">
        <v>2.56</v>
      </c>
      <c r="Q902">
        <v>-2</v>
      </c>
      <c r="R902">
        <v>2.4500000000000002</v>
      </c>
      <c r="S902">
        <v>2.4900000000000002</v>
      </c>
      <c r="T902">
        <v>1204312</v>
      </c>
      <c r="U902">
        <v>2.48</v>
      </c>
      <c r="V902">
        <v>2.5</v>
      </c>
      <c r="W902">
        <v>101.29</v>
      </c>
      <c r="X902" t="s">
        <v>447</v>
      </c>
      <c r="Y902" t="s">
        <v>594</v>
      </c>
      <c r="Z902">
        <v>4.4000000000000004</v>
      </c>
      <c r="AA902">
        <v>2.5099999999999998</v>
      </c>
      <c r="AB902">
        <v>527539</v>
      </c>
      <c r="AC902">
        <v>676773</v>
      </c>
      <c r="AD902">
        <v>0.78</v>
      </c>
      <c r="AE902">
        <v>3329</v>
      </c>
      <c r="AF902">
        <v>2384</v>
      </c>
      <c r="AG902" t="s">
        <v>120</v>
      </c>
      <c r="AH902">
        <v>0.01</v>
      </c>
      <c r="AI902" t="s">
        <v>120</v>
      </c>
      <c r="AJ902">
        <v>54.85</v>
      </c>
      <c r="AK902" t="s">
        <v>5271</v>
      </c>
      <c r="AL902">
        <v>0.71</v>
      </c>
      <c r="AM902">
        <v>3699</v>
      </c>
      <c r="AN902">
        <v>326</v>
      </c>
      <c r="AO902">
        <v>5.9999999999999995E-4</v>
      </c>
      <c r="AP902">
        <v>-1</v>
      </c>
      <c r="AQ902">
        <v>3.31</v>
      </c>
      <c r="AR902">
        <v>-1.2</v>
      </c>
      <c r="AS902">
        <v>2.4900000000000002</v>
      </c>
      <c r="AT902">
        <v>8.81</v>
      </c>
      <c r="AU902">
        <v>-2.38</v>
      </c>
      <c r="AV902">
        <v>2</v>
      </c>
      <c r="AW902">
        <v>5.08</v>
      </c>
      <c r="AX902">
        <v>37.22</v>
      </c>
      <c r="AY902">
        <v>290.19</v>
      </c>
      <c r="AZ902">
        <v>862.64</v>
      </c>
      <c r="BA902">
        <v>0.28000000000000003</v>
      </c>
      <c r="BB902" t="s">
        <v>168</v>
      </c>
      <c r="BF902">
        <v>0.25</v>
      </c>
      <c r="BG902">
        <v>-0.8</v>
      </c>
      <c r="BH902">
        <v>-3.52</v>
      </c>
      <c r="BI902">
        <v>0.82</v>
      </c>
      <c r="BJ902">
        <v>20210827</v>
      </c>
      <c r="BK902">
        <v>20101118</v>
      </c>
      <c r="BL902">
        <v>63.74</v>
      </c>
      <c r="BM902" t="s">
        <v>120</v>
      </c>
      <c r="BN902" t="s">
        <v>120</v>
      </c>
      <c r="BO902">
        <v>156.74</v>
      </c>
      <c r="BP902">
        <v>2.4700000000000002</v>
      </c>
      <c r="BQ902">
        <v>59.52</v>
      </c>
      <c r="BR902">
        <v>6.39</v>
      </c>
      <c r="BS902">
        <v>57.95</v>
      </c>
      <c r="BT902">
        <v>89.14</v>
      </c>
      <c r="BU902">
        <v>24.87</v>
      </c>
      <c r="BV902">
        <v>5.28</v>
      </c>
      <c r="BW902">
        <v>81.069999999999993</v>
      </c>
      <c r="BX902">
        <v>10.68</v>
      </c>
      <c r="BY902">
        <v>24.09</v>
      </c>
      <c r="BZ902">
        <v>27.75</v>
      </c>
      <c r="CA902" t="s">
        <v>120</v>
      </c>
      <c r="CB902">
        <v>9.58</v>
      </c>
      <c r="CC902">
        <v>81.14</v>
      </c>
      <c r="CD902">
        <v>73.83</v>
      </c>
      <c r="CE902">
        <v>1.77</v>
      </c>
      <c r="CF902">
        <v>-0.51</v>
      </c>
      <c r="CG902">
        <v>1.76</v>
      </c>
      <c r="CH902">
        <v>0.66</v>
      </c>
      <c r="CI902">
        <v>0.78</v>
      </c>
      <c r="CJ902">
        <v>-0.03</v>
      </c>
      <c r="CK902">
        <v>0.85</v>
      </c>
      <c r="CL902">
        <v>-6.21</v>
      </c>
      <c r="CM902">
        <v>-7.06</v>
      </c>
      <c r="CN902">
        <v>-8.01</v>
      </c>
      <c r="CO902">
        <v>156791</v>
      </c>
      <c r="CP902">
        <v>15131</v>
      </c>
      <c r="CQ902" t="s">
        <v>2596</v>
      </c>
      <c r="CR902">
        <v>88.29</v>
      </c>
      <c r="CS902">
        <v>32.5</v>
      </c>
      <c r="CT902">
        <v>2.65</v>
      </c>
      <c r="CU902">
        <v>-22.3</v>
      </c>
      <c r="CV902">
        <v>1.94</v>
      </c>
      <c r="CW902">
        <v>0</v>
      </c>
      <c r="CX902" t="s">
        <v>2327</v>
      </c>
      <c r="CY902">
        <v>0.93</v>
      </c>
      <c r="CZ902">
        <v>0</v>
      </c>
      <c r="DA902">
        <v>0.15</v>
      </c>
      <c r="DB902">
        <v>-0.1</v>
      </c>
      <c r="DC902">
        <v>-0.11</v>
      </c>
      <c r="DD902">
        <v>37.97</v>
      </c>
      <c r="DE902" t="s">
        <v>5272</v>
      </c>
      <c r="DF902">
        <v>9.01</v>
      </c>
      <c r="DG902">
        <v>2.1800000000000002</v>
      </c>
      <c r="DH902">
        <v>0.96</v>
      </c>
      <c r="DI902">
        <v>0.02</v>
      </c>
      <c r="DJ902">
        <v>2822</v>
      </c>
      <c r="DK902">
        <v>2505</v>
      </c>
      <c r="DL902" t="s">
        <v>120</v>
      </c>
      <c r="DM902" t="s">
        <v>120</v>
      </c>
      <c r="DN902" t="s">
        <v>120</v>
      </c>
    </row>
    <row r="903" spans="1:118">
      <c r="A903" t="str">
        <f>"002506"</f>
        <v>002506</v>
      </c>
      <c r="B903" t="s">
        <v>5273</v>
      </c>
      <c r="C903">
        <v>-4.95</v>
      </c>
      <c r="D903">
        <v>-0.22</v>
      </c>
      <c r="E903">
        <v>0.22</v>
      </c>
      <c r="F903">
        <v>9548</v>
      </c>
      <c r="G903" t="s">
        <v>5274</v>
      </c>
      <c r="H903">
        <v>113026.22</v>
      </c>
      <c r="I903">
        <v>386.83</v>
      </c>
      <c r="J903" t="s">
        <v>120</v>
      </c>
      <c r="K903" t="s">
        <v>5275</v>
      </c>
      <c r="L903">
        <v>4.3</v>
      </c>
      <c r="M903">
        <v>4.42</v>
      </c>
      <c r="N903">
        <v>1.01</v>
      </c>
      <c r="O903">
        <v>0.22</v>
      </c>
      <c r="P903">
        <v>4.66</v>
      </c>
      <c r="Q903">
        <v>-7.53</v>
      </c>
      <c r="R903">
        <v>4.3</v>
      </c>
      <c r="S903">
        <v>4.66</v>
      </c>
      <c r="T903">
        <v>2514777</v>
      </c>
      <c r="U903">
        <v>4.43</v>
      </c>
      <c r="V903">
        <v>4.6500000000000004</v>
      </c>
      <c r="W903" t="s">
        <v>120</v>
      </c>
      <c r="X903" t="s">
        <v>394</v>
      </c>
      <c r="Y903" t="s">
        <v>1510</v>
      </c>
      <c r="Z903">
        <v>7.74</v>
      </c>
      <c r="AA903">
        <v>4.49</v>
      </c>
      <c r="AB903">
        <v>1231086</v>
      </c>
      <c r="AC903">
        <v>1283691</v>
      </c>
      <c r="AD903">
        <v>0.96</v>
      </c>
      <c r="AE903">
        <v>6656</v>
      </c>
      <c r="AF903">
        <v>6061</v>
      </c>
      <c r="AG903" t="s">
        <v>120</v>
      </c>
      <c r="AH903">
        <v>0.02</v>
      </c>
      <c r="AI903" t="s">
        <v>120</v>
      </c>
      <c r="AJ903">
        <v>58.48</v>
      </c>
      <c r="AK903" t="s">
        <v>5276</v>
      </c>
      <c r="AL903">
        <v>-3.03</v>
      </c>
      <c r="AM903">
        <v>4694</v>
      </c>
      <c r="AN903">
        <v>536</v>
      </c>
      <c r="AO903">
        <v>8.9999999999999998E-4</v>
      </c>
      <c r="AP903">
        <v>-1</v>
      </c>
      <c r="AQ903">
        <v>4.26</v>
      </c>
      <c r="AR903">
        <v>-1.78</v>
      </c>
      <c r="AS903">
        <v>-8.3000000000000007</v>
      </c>
      <c r="AT903">
        <v>28.86</v>
      </c>
      <c r="AU903">
        <v>4</v>
      </c>
      <c r="AV903">
        <v>9</v>
      </c>
      <c r="AW903">
        <v>6.9</v>
      </c>
      <c r="AX903">
        <v>62.28</v>
      </c>
      <c r="AY903" t="s">
        <v>120</v>
      </c>
      <c r="AZ903" t="s">
        <v>120</v>
      </c>
      <c r="BA903">
        <v>0</v>
      </c>
      <c r="BB903" t="s">
        <v>143</v>
      </c>
      <c r="BF903">
        <v>-3.34</v>
      </c>
      <c r="BG903">
        <v>-5.15</v>
      </c>
      <c r="BH903">
        <v>-5.15</v>
      </c>
      <c r="BI903">
        <v>2.79</v>
      </c>
      <c r="BJ903">
        <v>20210828</v>
      </c>
      <c r="BK903">
        <v>20101118</v>
      </c>
      <c r="BL903">
        <v>58.56</v>
      </c>
      <c r="BM903" t="s">
        <v>120</v>
      </c>
      <c r="BN903" t="s">
        <v>120</v>
      </c>
      <c r="BO903">
        <v>110.53</v>
      </c>
      <c r="BP903">
        <v>4.42</v>
      </c>
      <c r="BQ903">
        <v>40.07</v>
      </c>
      <c r="BR903">
        <v>0.71</v>
      </c>
      <c r="BS903">
        <v>63.11</v>
      </c>
      <c r="BT903">
        <v>58.76</v>
      </c>
      <c r="BU903">
        <v>28.53</v>
      </c>
      <c r="BV903">
        <v>1.71</v>
      </c>
      <c r="BW903">
        <v>60.83</v>
      </c>
      <c r="BX903">
        <v>21.98</v>
      </c>
      <c r="BY903">
        <v>9.27</v>
      </c>
      <c r="BZ903">
        <v>13</v>
      </c>
      <c r="CA903" t="s">
        <v>120</v>
      </c>
      <c r="CB903">
        <v>44.8</v>
      </c>
      <c r="CC903">
        <v>20.38</v>
      </c>
      <c r="CD903">
        <v>18.350000000000001</v>
      </c>
      <c r="CE903">
        <v>-2.56</v>
      </c>
      <c r="CF903">
        <v>-1.01</v>
      </c>
      <c r="CG903">
        <v>-2.39</v>
      </c>
      <c r="CH903">
        <v>-2.42</v>
      </c>
      <c r="CI903">
        <v>-2.4700000000000002</v>
      </c>
      <c r="CJ903">
        <v>-0.23</v>
      </c>
      <c r="CK903">
        <v>-1.92</v>
      </c>
      <c r="CL903">
        <v>-63.83</v>
      </c>
      <c r="CM903">
        <v>-4.2300000000000004</v>
      </c>
      <c r="CN903">
        <v>-9.6300000000000008</v>
      </c>
      <c r="CO903">
        <v>198061</v>
      </c>
      <c r="CP903">
        <v>18413</v>
      </c>
      <c r="CQ903" t="s">
        <v>5202</v>
      </c>
      <c r="CR903">
        <v>-21.18</v>
      </c>
      <c r="CS903">
        <v>-36.6</v>
      </c>
      <c r="CT903">
        <v>6.46</v>
      </c>
      <c r="CU903">
        <v>-61.15</v>
      </c>
      <c r="CV903">
        <v>12.7</v>
      </c>
      <c r="CW903">
        <v>0</v>
      </c>
      <c r="CX903" t="s">
        <v>1255</v>
      </c>
      <c r="CY903">
        <v>0.68</v>
      </c>
      <c r="CZ903">
        <v>0</v>
      </c>
      <c r="DA903">
        <v>0.77</v>
      </c>
      <c r="DB903">
        <v>-1.0900000000000001</v>
      </c>
      <c r="DC903">
        <v>-7.0000000000000007E-2</v>
      </c>
      <c r="DD903">
        <v>36.25</v>
      </c>
      <c r="DE903" t="s">
        <v>5277</v>
      </c>
      <c r="DF903">
        <v>9.9700000000000006</v>
      </c>
      <c r="DG903">
        <v>-12.58</v>
      </c>
      <c r="DH903">
        <v>-12.14</v>
      </c>
      <c r="DI903">
        <v>0.43</v>
      </c>
      <c r="DJ903">
        <v>1317</v>
      </c>
      <c r="DK903">
        <v>2506</v>
      </c>
      <c r="DL903" t="s">
        <v>120</v>
      </c>
      <c r="DM903" t="s">
        <v>120</v>
      </c>
      <c r="DN903" t="s">
        <v>120</v>
      </c>
    </row>
    <row r="904" spans="1:118">
      <c r="A904" t="str">
        <f>"002507"</f>
        <v>002507</v>
      </c>
      <c r="B904" t="s">
        <v>5278</v>
      </c>
      <c r="C904">
        <v>0.15</v>
      </c>
      <c r="D904">
        <v>-0.28999999999999998</v>
      </c>
      <c r="E904">
        <v>0.26</v>
      </c>
      <c r="F904">
        <v>2362</v>
      </c>
      <c r="G904" t="s">
        <v>5279</v>
      </c>
      <c r="H904">
        <v>18157.759999999998</v>
      </c>
      <c r="I904">
        <v>24.73</v>
      </c>
      <c r="J904" t="s">
        <v>120</v>
      </c>
      <c r="K904" t="s">
        <v>5280</v>
      </c>
      <c r="L904">
        <v>0.87</v>
      </c>
      <c r="M904">
        <v>26.56</v>
      </c>
      <c r="N904">
        <v>1.1000000000000001</v>
      </c>
      <c r="O904">
        <v>2.2200000000000002</v>
      </c>
      <c r="P904">
        <v>27.11</v>
      </c>
      <c r="Q904">
        <v>-0.41</v>
      </c>
      <c r="R904">
        <v>26.41</v>
      </c>
      <c r="S904">
        <v>26.59</v>
      </c>
      <c r="T904">
        <v>67895</v>
      </c>
      <c r="U904">
        <v>26.6</v>
      </c>
      <c r="V904">
        <v>26.52</v>
      </c>
      <c r="W904">
        <v>31.34</v>
      </c>
      <c r="X904" t="s">
        <v>847</v>
      </c>
      <c r="Y904" t="s">
        <v>883</v>
      </c>
      <c r="Z904">
        <v>2.64</v>
      </c>
      <c r="AA904">
        <v>26.74</v>
      </c>
      <c r="AB904">
        <v>34521</v>
      </c>
      <c r="AC904">
        <v>33374</v>
      </c>
      <c r="AD904">
        <v>1.03</v>
      </c>
      <c r="AE904">
        <v>369</v>
      </c>
      <c r="AF904">
        <v>7</v>
      </c>
      <c r="AG904" t="s">
        <v>120</v>
      </c>
      <c r="AH904">
        <v>0</v>
      </c>
      <c r="AI904" t="s">
        <v>120</v>
      </c>
      <c r="AJ904">
        <v>7.79</v>
      </c>
      <c r="AK904" t="s">
        <v>5281</v>
      </c>
      <c r="AL904">
        <v>2.06</v>
      </c>
      <c r="AM904">
        <v>3048</v>
      </c>
      <c r="AN904">
        <v>22</v>
      </c>
      <c r="AO904">
        <v>2.9999999999999997E-4</v>
      </c>
      <c r="AP904">
        <v>1</v>
      </c>
      <c r="AQ904">
        <v>-1.38</v>
      </c>
      <c r="AR904">
        <v>-2.5299999999999998</v>
      </c>
      <c r="AS904">
        <v>-12.06</v>
      </c>
      <c r="AT904">
        <v>-26.51</v>
      </c>
      <c r="AU904">
        <v>-37.21</v>
      </c>
      <c r="AV904">
        <v>2</v>
      </c>
      <c r="AW904">
        <v>1.46</v>
      </c>
      <c r="AX904">
        <v>52.54</v>
      </c>
      <c r="AY904">
        <v>31.43</v>
      </c>
      <c r="AZ904">
        <v>30.29</v>
      </c>
      <c r="BA904">
        <v>0.52</v>
      </c>
      <c r="BB904" t="s">
        <v>134</v>
      </c>
      <c r="BF904">
        <v>0.84</v>
      </c>
      <c r="BG904">
        <v>-0.11</v>
      </c>
      <c r="BH904">
        <v>-2.0299999999999998</v>
      </c>
      <c r="BI904">
        <v>0.56999999999999995</v>
      </c>
      <c r="BJ904">
        <v>20210803</v>
      </c>
      <c r="BK904">
        <v>20101123</v>
      </c>
      <c r="BL904">
        <v>8.8800000000000008</v>
      </c>
      <c r="BM904" t="s">
        <v>120</v>
      </c>
      <c r="BN904" t="s">
        <v>120</v>
      </c>
      <c r="BO904">
        <v>76.7</v>
      </c>
      <c r="BP904">
        <v>26.56</v>
      </c>
      <c r="BQ904">
        <v>70.7</v>
      </c>
      <c r="BR904" t="s">
        <v>120</v>
      </c>
      <c r="BS904">
        <v>7.83</v>
      </c>
      <c r="BT904">
        <v>58.53</v>
      </c>
      <c r="BU904">
        <v>10.18</v>
      </c>
      <c r="BV904">
        <v>5.49</v>
      </c>
      <c r="BW904">
        <v>5</v>
      </c>
      <c r="BX904">
        <v>44.7</v>
      </c>
      <c r="BY904">
        <v>5.6</v>
      </c>
      <c r="BZ904">
        <v>0.53</v>
      </c>
      <c r="CA904" t="s">
        <v>120</v>
      </c>
      <c r="CB904">
        <v>32.06</v>
      </c>
      <c r="CC904">
        <v>13.47</v>
      </c>
      <c r="CD904">
        <v>5.46</v>
      </c>
      <c r="CE904">
        <v>4.46</v>
      </c>
      <c r="CF904">
        <v>0</v>
      </c>
      <c r="CG904">
        <v>4.46</v>
      </c>
      <c r="CH904">
        <v>3.76</v>
      </c>
      <c r="CI904">
        <v>3.76</v>
      </c>
      <c r="CJ904">
        <v>0.04</v>
      </c>
      <c r="CK904">
        <v>3.73</v>
      </c>
      <c r="CL904">
        <v>27.24</v>
      </c>
      <c r="CM904">
        <v>2.57</v>
      </c>
      <c r="CN904">
        <v>27.44</v>
      </c>
      <c r="CO904">
        <v>71488</v>
      </c>
      <c r="CP904">
        <v>6524</v>
      </c>
      <c r="CQ904" t="s">
        <v>5282</v>
      </c>
      <c r="CR904">
        <v>-6.97</v>
      </c>
      <c r="CS904">
        <v>12.46</v>
      </c>
      <c r="CT904">
        <v>3.33</v>
      </c>
      <c r="CU904">
        <v>91.56</v>
      </c>
      <c r="CV904">
        <v>17.510000000000002</v>
      </c>
      <c r="CW904">
        <v>1.1299999999999999</v>
      </c>
      <c r="CX904" t="s">
        <v>1071</v>
      </c>
      <c r="CY904">
        <v>7.97</v>
      </c>
      <c r="CZ904">
        <v>0</v>
      </c>
      <c r="DA904">
        <v>3.61</v>
      </c>
      <c r="DB904">
        <v>3.07</v>
      </c>
      <c r="DC904">
        <v>0.28999999999999998</v>
      </c>
      <c r="DD904">
        <v>92.17</v>
      </c>
      <c r="DE904" t="s">
        <v>5283</v>
      </c>
      <c r="DF904">
        <v>59.49</v>
      </c>
      <c r="DG904">
        <v>33.11</v>
      </c>
      <c r="DH904">
        <v>27.93</v>
      </c>
      <c r="DI904">
        <v>0.03</v>
      </c>
      <c r="DJ904">
        <v>2846</v>
      </c>
      <c r="DK904">
        <v>2507</v>
      </c>
      <c r="DL904" t="s">
        <v>120</v>
      </c>
      <c r="DM904" t="s">
        <v>120</v>
      </c>
      <c r="DN904" t="s">
        <v>120</v>
      </c>
    </row>
    <row r="905" spans="1:118">
      <c r="A905" t="str">
        <f>"002508"</f>
        <v>002508</v>
      </c>
      <c r="B905" t="s">
        <v>5284</v>
      </c>
      <c r="C905">
        <v>-2.61</v>
      </c>
      <c r="D905">
        <v>0.15</v>
      </c>
      <c r="E905">
        <v>0.4</v>
      </c>
      <c r="F905">
        <v>1483</v>
      </c>
      <c r="G905" t="s">
        <v>5285</v>
      </c>
      <c r="H905">
        <v>45535.17</v>
      </c>
      <c r="I905">
        <v>52.93</v>
      </c>
      <c r="J905" t="s">
        <v>120</v>
      </c>
      <c r="K905" t="s">
        <v>5286</v>
      </c>
      <c r="L905">
        <v>1.43</v>
      </c>
      <c r="M905">
        <v>34</v>
      </c>
      <c r="N905">
        <v>1.79</v>
      </c>
      <c r="O905">
        <v>0.8</v>
      </c>
      <c r="P905">
        <v>35.19</v>
      </c>
      <c r="Q905">
        <v>-3.52</v>
      </c>
      <c r="R905">
        <v>33.68</v>
      </c>
      <c r="S905">
        <v>35.049999999999997</v>
      </c>
      <c r="T905">
        <v>133432</v>
      </c>
      <c r="U905">
        <v>34.01</v>
      </c>
      <c r="V905">
        <v>34.909999999999997</v>
      </c>
      <c r="W905">
        <v>20.41</v>
      </c>
      <c r="X905" t="s">
        <v>205</v>
      </c>
      <c r="Y905" t="s">
        <v>585</v>
      </c>
      <c r="Z905">
        <v>4.33</v>
      </c>
      <c r="AA905">
        <v>34.130000000000003</v>
      </c>
      <c r="AB905">
        <v>69770</v>
      </c>
      <c r="AC905">
        <v>63662</v>
      </c>
      <c r="AD905">
        <v>1.1000000000000001</v>
      </c>
      <c r="AE905">
        <v>232</v>
      </c>
      <c r="AF905">
        <v>63</v>
      </c>
      <c r="AG905" t="s">
        <v>120</v>
      </c>
      <c r="AH905">
        <v>0</v>
      </c>
      <c r="AI905" t="s">
        <v>120</v>
      </c>
      <c r="AJ905">
        <v>9.35</v>
      </c>
      <c r="AK905" t="s">
        <v>5287</v>
      </c>
      <c r="AL905">
        <v>-0.69</v>
      </c>
      <c r="AM905">
        <v>4260</v>
      </c>
      <c r="AN905">
        <v>31</v>
      </c>
      <c r="AO905">
        <v>2.9999999999999997E-4</v>
      </c>
      <c r="AP905">
        <v>-4</v>
      </c>
      <c r="AQ905">
        <v>-1.58</v>
      </c>
      <c r="AR905">
        <v>-4.5199999999999996</v>
      </c>
      <c r="AS905">
        <v>-18.739999999999998</v>
      </c>
      <c r="AT905">
        <v>-23.25</v>
      </c>
      <c r="AU905">
        <v>-15.59</v>
      </c>
      <c r="AV905">
        <v>3</v>
      </c>
      <c r="AW905">
        <v>3</v>
      </c>
      <c r="AX905">
        <v>46.84</v>
      </c>
      <c r="AY905">
        <v>18.02</v>
      </c>
      <c r="AZ905">
        <v>19.95</v>
      </c>
      <c r="BA905">
        <v>0.77</v>
      </c>
      <c r="BB905" t="s">
        <v>125</v>
      </c>
      <c r="BF905">
        <v>-2.25</v>
      </c>
      <c r="BG905">
        <v>-3</v>
      </c>
      <c r="BH905">
        <v>-3.38</v>
      </c>
      <c r="BI905">
        <v>0.95</v>
      </c>
      <c r="BJ905">
        <v>20210804</v>
      </c>
      <c r="BK905">
        <v>20101123</v>
      </c>
      <c r="BL905">
        <v>9.49</v>
      </c>
      <c r="BM905" t="s">
        <v>120</v>
      </c>
      <c r="BN905" t="s">
        <v>120</v>
      </c>
      <c r="BO905">
        <v>130.72</v>
      </c>
      <c r="BP905">
        <v>34</v>
      </c>
      <c r="BQ905">
        <v>81.459999999999994</v>
      </c>
      <c r="BR905">
        <v>1.53</v>
      </c>
      <c r="BS905">
        <v>36.51</v>
      </c>
      <c r="BT905">
        <v>109.73</v>
      </c>
      <c r="BU905">
        <v>9.23</v>
      </c>
      <c r="BV905">
        <v>2.29</v>
      </c>
      <c r="BW905">
        <v>46.08</v>
      </c>
      <c r="BX905">
        <v>41.9</v>
      </c>
      <c r="BY905">
        <v>15.79</v>
      </c>
      <c r="BZ905">
        <v>9.8800000000000008</v>
      </c>
      <c r="CA905" t="s">
        <v>120</v>
      </c>
      <c r="CB905">
        <v>4.03</v>
      </c>
      <c r="CC905">
        <v>43.26</v>
      </c>
      <c r="CD905">
        <v>18.87</v>
      </c>
      <c r="CE905">
        <v>9.44</v>
      </c>
      <c r="CF905">
        <v>0.31</v>
      </c>
      <c r="CG905">
        <v>9.43</v>
      </c>
      <c r="CH905">
        <v>8</v>
      </c>
      <c r="CI905">
        <v>7.9</v>
      </c>
      <c r="CJ905">
        <v>-0.91</v>
      </c>
      <c r="CK905">
        <v>7.46</v>
      </c>
      <c r="CL905">
        <v>65.349999999999994</v>
      </c>
      <c r="CM905">
        <v>5.3</v>
      </c>
      <c r="CN905">
        <v>2.56</v>
      </c>
      <c r="CO905">
        <v>39493</v>
      </c>
      <c r="CP905">
        <v>11255</v>
      </c>
      <c r="CQ905" t="s">
        <v>5288</v>
      </c>
      <c r="CR905">
        <v>29.08</v>
      </c>
      <c r="CS905">
        <v>34.72</v>
      </c>
      <c r="CT905">
        <v>3.96</v>
      </c>
      <c r="CU905">
        <v>60.85</v>
      </c>
      <c r="CV905">
        <v>7.46</v>
      </c>
      <c r="CW905">
        <v>1.43</v>
      </c>
      <c r="CX905" t="s">
        <v>655</v>
      </c>
      <c r="CY905">
        <v>8.58</v>
      </c>
      <c r="CZ905">
        <v>0</v>
      </c>
      <c r="DA905">
        <v>0.42</v>
      </c>
      <c r="DB905">
        <v>6.89</v>
      </c>
      <c r="DC905">
        <v>0.56000000000000005</v>
      </c>
      <c r="DD905">
        <v>62.32</v>
      </c>
      <c r="DE905" t="s">
        <v>5289</v>
      </c>
      <c r="DF905">
        <v>56.38</v>
      </c>
      <c r="DG905">
        <v>21.81</v>
      </c>
      <c r="DH905">
        <v>18.27</v>
      </c>
      <c r="DI905">
        <v>1.43</v>
      </c>
      <c r="DJ905">
        <v>4612</v>
      </c>
      <c r="DK905">
        <v>2508</v>
      </c>
      <c r="DL905" t="s">
        <v>120</v>
      </c>
      <c r="DM905" t="s">
        <v>120</v>
      </c>
      <c r="DN905" t="s">
        <v>120</v>
      </c>
    </row>
    <row r="906" spans="1:118">
      <c r="A906" t="str">
        <f>"002510"</f>
        <v>002510</v>
      </c>
      <c r="B906" t="s">
        <v>5290</v>
      </c>
      <c r="C906">
        <v>-5.71</v>
      </c>
      <c r="D906">
        <v>-0.22</v>
      </c>
      <c r="E906">
        <v>-0.66</v>
      </c>
      <c r="F906">
        <v>5381</v>
      </c>
      <c r="G906" t="s">
        <v>3159</v>
      </c>
      <c r="H906">
        <v>16305.77</v>
      </c>
      <c r="I906">
        <v>57.27</v>
      </c>
      <c r="J906" t="s">
        <v>120</v>
      </c>
      <c r="K906" t="s">
        <v>4592</v>
      </c>
      <c r="L906">
        <v>3.97</v>
      </c>
      <c r="M906">
        <v>4.29</v>
      </c>
      <c r="N906">
        <v>1.36</v>
      </c>
      <c r="O906">
        <v>0</v>
      </c>
      <c r="P906">
        <v>4.55</v>
      </c>
      <c r="Q906">
        <v>-5.93</v>
      </c>
      <c r="R906">
        <v>4.28</v>
      </c>
      <c r="S906">
        <v>4.5199999999999996</v>
      </c>
      <c r="T906">
        <v>369794</v>
      </c>
      <c r="U906">
        <v>4.29</v>
      </c>
      <c r="V906">
        <v>4.55</v>
      </c>
      <c r="W906">
        <v>124.2</v>
      </c>
      <c r="X906" t="s">
        <v>289</v>
      </c>
      <c r="Y906" t="s">
        <v>997</v>
      </c>
      <c r="Z906">
        <v>5.93</v>
      </c>
      <c r="AA906">
        <v>4.41</v>
      </c>
      <c r="AB906">
        <v>251189</v>
      </c>
      <c r="AC906">
        <v>118605</v>
      </c>
      <c r="AD906">
        <v>2.12</v>
      </c>
      <c r="AE906">
        <v>3029</v>
      </c>
      <c r="AF906">
        <v>3853</v>
      </c>
      <c r="AG906" t="s">
        <v>120</v>
      </c>
      <c r="AH906">
        <v>0.02</v>
      </c>
      <c r="AI906" t="s">
        <v>120</v>
      </c>
      <c r="AJ906">
        <v>9.31</v>
      </c>
      <c r="AK906" t="s">
        <v>5291</v>
      </c>
      <c r="AL906">
        <v>-3.8</v>
      </c>
      <c r="AM906">
        <v>3378</v>
      </c>
      <c r="AN906">
        <v>109</v>
      </c>
      <c r="AO906">
        <v>1.1999999999999999E-3</v>
      </c>
      <c r="AP906">
        <v>-1</v>
      </c>
      <c r="AQ906">
        <v>2.71</v>
      </c>
      <c r="AR906">
        <v>-2.2799999999999998</v>
      </c>
      <c r="AS906">
        <v>-0.92</v>
      </c>
      <c r="AT906">
        <v>3.87</v>
      </c>
      <c r="AU906">
        <v>-15.55</v>
      </c>
      <c r="AV906">
        <v>8</v>
      </c>
      <c r="AW906">
        <v>5.1100000000000003</v>
      </c>
      <c r="AX906">
        <v>76.930000000000007</v>
      </c>
      <c r="AY906" t="s">
        <v>120</v>
      </c>
      <c r="AZ906" t="s">
        <v>120</v>
      </c>
      <c r="BA906">
        <v>0.14000000000000001</v>
      </c>
      <c r="BB906" t="s">
        <v>143</v>
      </c>
      <c r="BF906">
        <v>-3.09</v>
      </c>
      <c r="BG906">
        <v>-5.09</v>
      </c>
      <c r="BH906">
        <v>-5.71</v>
      </c>
      <c r="BI906">
        <v>0.23</v>
      </c>
      <c r="BJ906">
        <v>20210901</v>
      </c>
      <c r="BK906">
        <v>20101125</v>
      </c>
      <c r="BL906">
        <v>9.42</v>
      </c>
      <c r="BM906" t="s">
        <v>120</v>
      </c>
      <c r="BN906" t="s">
        <v>120</v>
      </c>
      <c r="BO906">
        <v>52.99</v>
      </c>
      <c r="BP906">
        <v>4.28</v>
      </c>
      <c r="BQ906">
        <v>21.01</v>
      </c>
      <c r="BR906">
        <v>0.17</v>
      </c>
      <c r="BS906">
        <v>60.05</v>
      </c>
      <c r="BT906">
        <v>32.61</v>
      </c>
      <c r="BU906">
        <v>7.83</v>
      </c>
      <c r="BV906">
        <v>0.95</v>
      </c>
      <c r="BW906">
        <v>28.45</v>
      </c>
      <c r="BX906">
        <v>7.7</v>
      </c>
      <c r="BY906">
        <v>14.84</v>
      </c>
      <c r="BZ906">
        <v>5.55</v>
      </c>
      <c r="CA906" t="s">
        <v>120</v>
      </c>
      <c r="CB906">
        <v>7.69</v>
      </c>
      <c r="CC906">
        <v>6.89</v>
      </c>
      <c r="CD906">
        <v>5.74</v>
      </c>
      <c r="CE906">
        <v>0</v>
      </c>
      <c r="CF906">
        <v>0.39</v>
      </c>
      <c r="CG906">
        <v>0.03</v>
      </c>
      <c r="CH906">
        <v>0.14000000000000001</v>
      </c>
      <c r="CI906">
        <v>0.16</v>
      </c>
      <c r="CJ906">
        <v>-0.26</v>
      </c>
      <c r="CK906">
        <v>0.19</v>
      </c>
      <c r="CL906">
        <v>1.96</v>
      </c>
      <c r="CM906">
        <v>0.03</v>
      </c>
      <c r="CN906">
        <v>-1.26</v>
      </c>
      <c r="CO906">
        <v>78518</v>
      </c>
      <c r="CP906">
        <v>9225</v>
      </c>
      <c r="CQ906" t="s">
        <v>1749</v>
      </c>
      <c r="CR906">
        <v>119.38</v>
      </c>
      <c r="CS906">
        <v>30.85</v>
      </c>
      <c r="CT906">
        <v>1.98</v>
      </c>
      <c r="CU906">
        <v>1444.03</v>
      </c>
      <c r="CV906">
        <v>5.86</v>
      </c>
      <c r="CW906">
        <v>0</v>
      </c>
      <c r="CX906" t="s">
        <v>499</v>
      </c>
      <c r="CY906">
        <v>2.17</v>
      </c>
      <c r="CZ906">
        <v>2.17</v>
      </c>
      <c r="DA906">
        <v>0.82</v>
      </c>
      <c r="DB906">
        <v>0.21</v>
      </c>
      <c r="DC906">
        <v>0</v>
      </c>
      <c r="DD906">
        <v>39.64</v>
      </c>
      <c r="DE906" t="s">
        <v>927</v>
      </c>
      <c r="DF906">
        <v>16.690000000000001</v>
      </c>
      <c r="DG906">
        <v>7.0000000000000007E-2</v>
      </c>
      <c r="DH906">
        <v>2.36</v>
      </c>
      <c r="DI906">
        <v>0.45</v>
      </c>
      <c r="DJ906">
        <v>2863</v>
      </c>
      <c r="DK906">
        <v>2510</v>
      </c>
      <c r="DL906" t="s">
        <v>120</v>
      </c>
      <c r="DM906" t="s">
        <v>120</v>
      </c>
      <c r="DN906" t="s">
        <v>120</v>
      </c>
    </row>
    <row r="907" spans="1:118">
      <c r="A907" t="str">
        <f>"002511"</f>
        <v>002511</v>
      </c>
      <c r="B907" t="s">
        <v>5292</v>
      </c>
      <c r="C907">
        <v>0.18</v>
      </c>
      <c r="D907">
        <v>-0.28999999999999998</v>
      </c>
      <c r="E907">
        <v>-0.36</v>
      </c>
      <c r="F907">
        <v>5434</v>
      </c>
      <c r="G907" t="s">
        <v>5293</v>
      </c>
      <c r="H907">
        <v>35443.69</v>
      </c>
      <c r="I907">
        <v>74.17</v>
      </c>
      <c r="J907" t="s">
        <v>120</v>
      </c>
      <c r="K907" t="s">
        <v>5294</v>
      </c>
      <c r="L907">
        <v>1.66</v>
      </c>
      <c r="M907">
        <v>16.5</v>
      </c>
      <c r="N907">
        <v>0.99</v>
      </c>
      <c r="O907">
        <v>2.85</v>
      </c>
      <c r="P907">
        <v>16.940000000000001</v>
      </c>
      <c r="Q907">
        <v>-0.73</v>
      </c>
      <c r="R907">
        <v>16.350000000000001</v>
      </c>
      <c r="S907">
        <v>16.41</v>
      </c>
      <c r="T907">
        <v>212939</v>
      </c>
      <c r="U907">
        <v>16.52</v>
      </c>
      <c r="V907">
        <v>16.47</v>
      </c>
      <c r="W907">
        <v>26.58</v>
      </c>
      <c r="X907" t="s">
        <v>814</v>
      </c>
      <c r="Y907" t="s">
        <v>547</v>
      </c>
      <c r="Z907">
        <v>3.58</v>
      </c>
      <c r="AA907">
        <v>16.64</v>
      </c>
      <c r="AB907">
        <v>96628</v>
      </c>
      <c r="AC907">
        <v>116311</v>
      </c>
      <c r="AD907">
        <v>0.83</v>
      </c>
      <c r="AE907">
        <v>1532</v>
      </c>
      <c r="AF907">
        <v>26</v>
      </c>
      <c r="AG907" t="s">
        <v>120</v>
      </c>
      <c r="AH907">
        <v>0.01</v>
      </c>
      <c r="AI907" t="s">
        <v>120</v>
      </c>
      <c r="AJ907">
        <v>12.82</v>
      </c>
      <c r="AK907" t="s">
        <v>5295</v>
      </c>
      <c r="AL907">
        <v>2.1</v>
      </c>
      <c r="AM907">
        <v>4150</v>
      </c>
      <c r="AN907">
        <v>51</v>
      </c>
      <c r="AO907">
        <v>4.0000000000000002E-4</v>
      </c>
      <c r="AP907">
        <v>1</v>
      </c>
      <c r="AQ907">
        <v>-2.37</v>
      </c>
      <c r="AR907">
        <v>-1.9</v>
      </c>
      <c r="AS907">
        <v>-23.68</v>
      </c>
      <c r="AT907">
        <v>-39.14</v>
      </c>
      <c r="AU907">
        <v>-20.56</v>
      </c>
      <c r="AV907">
        <v>1</v>
      </c>
      <c r="AW907">
        <v>3.33</v>
      </c>
      <c r="AX907">
        <v>48.78</v>
      </c>
      <c r="AY907">
        <v>25.12</v>
      </c>
      <c r="AZ907">
        <v>23.85</v>
      </c>
      <c r="BA907">
        <v>0.71</v>
      </c>
      <c r="BB907" t="s">
        <v>134</v>
      </c>
      <c r="BF907">
        <v>1.06</v>
      </c>
      <c r="BG907">
        <v>0.55000000000000004</v>
      </c>
      <c r="BH907">
        <v>-2.6</v>
      </c>
      <c r="BI907">
        <v>0.92</v>
      </c>
      <c r="BJ907">
        <v>20210831</v>
      </c>
      <c r="BK907">
        <v>20101125</v>
      </c>
      <c r="BL907">
        <v>13.12</v>
      </c>
      <c r="BM907" t="s">
        <v>120</v>
      </c>
      <c r="BN907" t="s">
        <v>120</v>
      </c>
      <c r="BO907">
        <v>71.39</v>
      </c>
      <c r="BP907">
        <v>16.5</v>
      </c>
      <c r="BQ907">
        <v>48.52</v>
      </c>
      <c r="BR907">
        <v>0.01</v>
      </c>
      <c r="BS907">
        <v>32.020000000000003</v>
      </c>
      <c r="BT907">
        <v>34.74</v>
      </c>
      <c r="BU907">
        <v>31.83</v>
      </c>
      <c r="BV907">
        <v>1.69</v>
      </c>
      <c r="BW907">
        <v>21.21</v>
      </c>
      <c r="BX907">
        <v>7.89</v>
      </c>
      <c r="BY907">
        <v>16.239999999999998</v>
      </c>
      <c r="BZ907">
        <v>9.33</v>
      </c>
      <c r="CA907" t="s">
        <v>120</v>
      </c>
      <c r="CB907">
        <v>9.42</v>
      </c>
      <c r="CC907">
        <v>42.48</v>
      </c>
      <c r="CD907">
        <v>25.62</v>
      </c>
      <c r="CE907">
        <v>4.9000000000000004</v>
      </c>
      <c r="CF907">
        <v>0</v>
      </c>
      <c r="CG907">
        <v>4.88</v>
      </c>
      <c r="CH907">
        <v>4.07</v>
      </c>
      <c r="CI907">
        <v>4.07</v>
      </c>
      <c r="CJ907">
        <v>0.03</v>
      </c>
      <c r="CK907">
        <v>3.99</v>
      </c>
      <c r="CL907">
        <v>31.37</v>
      </c>
      <c r="CM907">
        <v>7.38</v>
      </c>
      <c r="CN907">
        <v>-3.45</v>
      </c>
      <c r="CO907">
        <v>75430</v>
      </c>
      <c r="CP907">
        <v>8485</v>
      </c>
      <c r="CQ907" t="s">
        <v>5296</v>
      </c>
      <c r="CR907">
        <v>-10.06</v>
      </c>
      <c r="CS907">
        <v>17.46</v>
      </c>
      <c r="CT907">
        <v>4.46</v>
      </c>
      <c r="CU907">
        <v>29.34</v>
      </c>
      <c r="CV907">
        <v>5.0999999999999996</v>
      </c>
      <c r="CW907">
        <v>0.6</v>
      </c>
      <c r="CX907" t="s">
        <v>2752</v>
      </c>
      <c r="CY907">
        <v>3.7</v>
      </c>
      <c r="CZ907">
        <v>3.7</v>
      </c>
      <c r="DA907">
        <v>0.72</v>
      </c>
      <c r="DB907">
        <v>2.39</v>
      </c>
      <c r="DC907">
        <v>0.56000000000000005</v>
      </c>
      <c r="DD907">
        <v>67.959999999999994</v>
      </c>
      <c r="DE907" t="s">
        <v>4942</v>
      </c>
      <c r="DF907">
        <v>39.68</v>
      </c>
      <c r="DG907">
        <v>11.54</v>
      </c>
      <c r="DH907">
        <v>9.59</v>
      </c>
      <c r="DI907">
        <v>0.97</v>
      </c>
      <c r="DJ907">
        <v>6618</v>
      </c>
      <c r="DK907">
        <v>2511</v>
      </c>
      <c r="DL907" t="s">
        <v>120</v>
      </c>
      <c r="DM907" t="s">
        <v>120</v>
      </c>
      <c r="DN907" t="s">
        <v>120</v>
      </c>
    </row>
    <row r="908" spans="1:118">
      <c r="A908" t="str">
        <f>"002512"</f>
        <v>002512</v>
      </c>
      <c r="B908" t="s">
        <v>5297</v>
      </c>
      <c r="C908">
        <v>-3.64</v>
      </c>
      <c r="D908">
        <v>-0.28000000000000003</v>
      </c>
      <c r="E908">
        <v>-0.84</v>
      </c>
      <c r="F908">
        <v>2072</v>
      </c>
      <c r="G908" t="s">
        <v>5298</v>
      </c>
      <c r="H908">
        <v>7191.39</v>
      </c>
      <c r="I908">
        <v>13.24</v>
      </c>
      <c r="J908" t="s">
        <v>120</v>
      </c>
      <c r="K908" t="s">
        <v>3083</v>
      </c>
      <c r="L908">
        <v>2.33</v>
      </c>
      <c r="M908">
        <v>3.44</v>
      </c>
      <c r="N908">
        <v>0.95</v>
      </c>
      <c r="O908">
        <v>0.56000000000000005</v>
      </c>
      <c r="P908">
        <v>3.59</v>
      </c>
      <c r="Q908">
        <v>-4.2</v>
      </c>
      <c r="R908">
        <v>3.42</v>
      </c>
      <c r="S908">
        <v>3.54</v>
      </c>
      <c r="T908">
        <v>205359</v>
      </c>
      <c r="U908">
        <v>3.44</v>
      </c>
      <c r="V908">
        <v>3.57</v>
      </c>
      <c r="W908" t="s">
        <v>120</v>
      </c>
      <c r="X908" t="s">
        <v>229</v>
      </c>
      <c r="Y908" t="s">
        <v>937</v>
      </c>
      <c r="Z908">
        <v>4.76</v>
      </c>
      <c r="AA908">
        <v>3.5</v>
      </c>
      <c r="AB908">
        <v>136444</v>
      </c>
      <c r="AC908">
        <v>68915</v>
      </c>
      <c r="AD908">
        <v>1.98</v>
      </c>
      <c r="AE908">
        <v>1399</v>
      </c>
      <c r="AF908">
        <v>564</v>
      </c>
      <c r="AG908" t="s">
        <v>120</v>
      </c>
      <c r="AH908">
        <v>0.01</v>
      </c>
      <c r="AI908" t="s">
        <v>120</v>
      </c>
      <c r="AJ908">
        <v>8.82</v>
      </c>
      <c r="AK908" t="s">
        <v>5299</v>
      </c>
      <c r="AL908">
        <v>-1.73</v>
      </c>
      <c r="AM908">
        <v>2042</v>
      </c>
      <c r="AN908">
        <v>101</v>
      </c>
      <c r="AO908">
        <v>1.1000000000000001E-3</v>
      </c>
      <c r="AP908">
        <v>-2</v>
      </c>
      <c r="AQ908">
        <v>-0.56000000000000005</v>
      </c>
      <c r="AR908">
        <v>-0.87</v>
      </c>
      <c r="AS908">
        <v>7.16</v>
      </c>
      <c r="AT908">
        <v>-8.76</v>
      </c>
      <c r="AU908">
        <v>-10.42</v>
      </c>
      <c r="AV908">
        <v>7</v>
      </c>
      <c r="AW908">
        <v>3.09</v>
      </c>
      <c r="AX908">
        <v>57.88</v>
      </c>
      <c r="AY908" t="s">
        <v>120</v>
      </c>
      <c r="AZ908">
        <v>203.57</v>
      </c>
      <c r="BA908">
        <v>0.26</v>
      </c>
      <c r="BB908" t="s">
        <v>184</v>
      </c>
      <c r="BF908">
        <v>-1.91</v>
      </c>
      <c r="BG908">
        <v>-2.82</v>
      </c>
      <c r="BH908">
        <v>-4.18</v>
      </c>
      <c r="BI908">
        <v>0.57999999999999996</v>
      </c>
      <c r="BJ908">
        <v>20210901</v>
      </c>
      <c r="BK908">
        <v>20101203</v>
      </c>
      <c r="BL908">
        <v>11.47</v>
      </c>
      <c r="BM908" t="s">
        <v>120</v>
      </c>
      <c r="BN908" t="s">
        <v>120</v>
      </c>
      <c r="BO908">
        <v>41.17</v>
      </c>
      <c r="BP908">
        <v>3.43</v>
      </c>
      <c r="BQ908">
        <v>11.9</v>
      </c>
      <c r="BR908">
        <v>0.18</v>
      </c>
      <c r="BS908">
        <v>70.650000000000006</v>
      </c>
      <c r="BT908">
        <v>17.02</v>
      </c>
      <c r="BU908">
        <v>3.64</v>
      </c>
      <c r="BV908">
        <v>4.7300000000000004</v>
      </c>
      <c r="BW908">
        <v>19.25</v>
      </c>
      <c r="BX908">
        <v>3.3</v>
      </c>
      <c r="BY908">
        <v>3.57</v>
      </c>
      <c r="BZ908">
        <v>5.39</v>
      </c>
      <c r="CA908">
        <v>0.02</v>
      </c>
      <c r="CB908">
        <v>12.32</v>
      </c>
      <c r="CC908">
        <v>14.72</v>
      </c>
      <c r="CD908">
        <v>13.75</v>
      </c>
      <c r="CE908">
        <v>-1.75</v>
      </c>
      <c r="CF908">
        <v>-0.23</v>
      </c>
      <c r="CG908">
        <v>-1.72</v>
      </c>
      <c r="CH908">
        <v>-1.68</v>
      </c>
      <c r="CI908">
        <v>-1.68</v>
      </c>
      <c r="CJ908">
        <v>-0.13</v>
      </c>
      <c r="CK908">
        <v>-1.49</v>
      </c>
      <c r="CL908">
        <v>-10.67</v>
      </c>
      <c r="CM908">
        <v>-0.43</v>
      </c>
      <c r="CN908">
        <v>-1.49</v>
      </c>
      <c r="CO908">
        <v>57570</v>
      </c>
      <c r="CP908">
        <v>11532</v>
      </c>
      <c r="CQ908" t="s">
        <v>1185</v>
      </c>
      <c r="CR908">
        <v>-955.49</v>
      </c>
      <c r="CS908">
        <v>16.95</v>
      </c>
      <c r="CT908">
        <v>3.32</v>
      </c>
      <c r="CU908">
        <v>-91.38</v>
      </c>
      <c r="CV908">
        <v>2.68</v>
      </c>
      <c r="CW908">
        <v>0</v>
      </c>
      <c r="CX908" t="s">
        <v>795</v>
      </c>
      <c r="CY908">
        <v>1.04</v>
      </c>
      <c r="CZ908">
        <v>0</v>
      </c>
      <c r="DA908">
        <v>1.07</v>
      </c>
      <c r="DB908">
        <v>-0.93</v>
      </c>
      <c r="DC908">
        <v>-0.04</v>
      </c>
      <c r="DD908">
        <v>28.91</v>
      </c>
      <c r="DE908" t="s">
        <v>5300</v>
      </c>
      <c r="DF908">
        <v>6.62</v>
      </c>
      <c r="DG908">
        <v>-11.9</v>
      </c>
      <c r="DH908">
        <v>-11.42</v>
      </c>
      <c r="DI908">
        <v>0.53</v>
      </c>
      <c r="DJ908">
        <v>2468</v>
      </c>
      <c r="DK908">
        <v>2512</v>
      </c>
      <c r="DL908" t="s">
        <v>120</v>
      </c>
      <c r="DM908" t="s">
        <v>120</v>
      </c>
      <c r="DN908" t="s">
        <v>120</v>
      </c>
    </row>
    <row r="909" spans="1:118">
      <c r="A909" t="str">
        <f>"002513"</f>
        <v>002513</v>
      </c>
      <c r="B909" t="s">
        <v>5301</v>
      </c>
      <c r="C909">
        <v>0.57999999999999996</v>
      </c>
      <c r="D909">
        <v>0</v>
      </c>
      <c r="E909">
        <v>0</v>
      </c>
      <c r="F909">
        <v>359</v>
      </c>
      <c r="G909" t="s">
        <v>5302</v>
      </c>
      <c r="H909">
        <v>3592.73</v>
      </c>
      <c r="I909">
        <v>2.2400000000000002</v>
      </c>
      <c r="J909" t="s">
        <v>120</v>
      </c>
      <c r="K909" t="s">
        <v>791</v>
      </c>
      <c r="L909">
        <v>2.16</v>
      </c>
      <c r="M909">
        <v>5.23</v>
      </c>
      <c r="N909">
        <v>0.7</v>
      </c>
      <c r="O909">
        <v>3.65</v>
      </c>
      <c r="P909">
        <v>5.39</v>
      </c>
      <c r="Q909">
        <v>-0.19</v>
      </c>
      <c r="R909">
        <v>5.19</v>
      </c>
      <c r="S909">
        <v>5.2</v>
      </c>
      <c r="T909">
        <v>67845</v>
      </c>
      <c r="U909">
        <v>5.24</v>
      </c>
      <c r="V909">
        <v>5.2</v>
      </c>
      <c r="W909" t="s">
        <v>120</v>
      </c>
      <c r="X909" t="s">
        <v>690</v>
      </c>
      <c r="Y909" t="s">
        <v>319</v>
      </c>
      <c r="Z909">
        <v>3.85</v>
      </c>
      <c r="AA909">
        <v>5.3</v>
      </c>
      <c r="AB909">
        <v>28907</v>
      </c>
      <c r="AC909">
        <v>38938</v>
      </c>
      <c r="AD909">
        <v>0.74</v>
      </c>
      <c r="AE909">
        <v>244</v>
      </c>
      <c r="AF909">
        <v>86</v>
      </c>
      <c r="AG909" t="s">
        <v>120</v>
      </c>
      <c r="AH909">
        <v>0</v>
      </c>
      <c r="AI909" t="s">
        <v>120</v>
      </c>
      <c r="AJ909">
        <v>3.14</v>
      </c>
      <c r="AK909" t="s">
        <v>2239</v>
      </c>
      <c r="AL909">
        <v>2.4900000000000002</v>
      </c>
      <c r="AM909">
        <v>1496</v>
      </c>
      <c r="AN909">
        <v>45</v>
      </c>
      <c r="AO909">
        <v>1.4E-3</v>
      </c>
      <c r="AP909">
        <v>2</v>
      </c>
      <c r="AQ909">
        <v>1.17</v>
      </c>
      <c r="AR909">
        <v>-0.76</v>
      </c>
      <c r="AS909">
        <v>12.96</v>
      </c>
      <c r="AT909">
        <v>-1.32</v>
      </c>
      <c r="AU909">
        <v>32.07</v>
      </c>
      <c r="AV909">
        <v>3</v>
      </c>
      <c r="AW909">
        <v>4.0599999999999996</v>
      </c>
      <c r="AX909">
        <v>49.14</v>
      </c>
      <c r="AY909">
        <v>160.56</v>
      </c>
      <c r="AZ909">
        <v>119.3</v>
      </c>
      <c r="BA909">
        <v>0.5</v>
      </c>
      <c r="BB909" t="s">
        <v>143</v>
      </c>
      <c r="BF909">
        <v>1.84</v>
      </c>
      <c r="BG909">
        <v>0.57999999999999996</v>
      </c>
      <c r="BH909">
        <v>-2.97</v>
      </c>
      <c r="BI909">
        <v>0.77</v>
      </c>
      <c r="BJ909">
        <v>20210821</v>
      </c>
      <c r="BK909">
        <v>20101203</v>
      </c>
      <c r="BL909">
        <v>3.4</v>
      </c>
      <c r="BM909" t="s">
        <v>120</v>
      </c>
      <c r="BN909" t="s">
        <v>120</v>
      </c>
      <c r="BO909">
        <v>23.4</v>
      </c>
      <c r="BP909">
        <v>5.23</v>
      </c>
      <c r="BQ909">
        <v>11.46</v>
      </c>
      <c r="BR909" t="s">
        <v>120</v>
      </c>
      <c r="BS909">
        <v>51.04</v>
      </c>
      <c r="BT909">
        <v>8.16</v>
      </c>
      <c r="BU909">
        <v>11.42</v>
      </c>
      <c r="BV909">
        <v>0.48</v>
      </c>
      <c r="BW909">
        <v>11.79</v>
      </c>
      <c r="BX909">
        <v>2.89</v>
      </c>
      <c r="BY909">
        <v>1.41</v>
      </c>
      <c r="BZ909">
        <v>0.89</v>
      </c>
      <c r="CA909">
        <v>0</v>
      </c>
      <c r="CB909">
        <v>18.25</v>
      </c>
      <c r="CC909">
        <v>6.4</v>
      </c>
      <c r="CD909">
        <v>5.85</v>
      </c>
      <c r="CE909">
        <v>-0.2</v>
      </c>
      <c r="CF909">
        <v>0</v>
      </c>
      <c r="CG909">
        <v>-0.18</v>
      </c>
      <c r="CH909">
        <v>-0.14000000000000001</v>
      </c>
      <c r="CI909">
        <v>-0.14000000000000001</v>
      </c>
      <c r="CJ909">
        <v>0.03</v>
      </c>
      <c r="CK909">
        <v>-0.15</v>
      </c>
      <c r="CL909">
        <v>-10.69</v>
      </c>
      <c r="CM909">
        <v>0.44</v>
      </c>
      <c r="CN909">
        <v>-0.86</v>
      </c>
      <c r="CO909">
        <v>13000</v>
      </c>
      <c r="CP909">
        <v>12856</v>
      </c>
      <c r="CQ909" t="s">
        <v>4601</v>
      </c>
      <c r="CR909">
        <v>-39.28</v>
      </c>
      <c r="CS909">
        <v>10.71</v>
      </c>
      <c r="CT909">
        <v>1.55</v>
      </c>
      <c r="CU909">
        <v>40.159999999999997</v>
      </c>
      <c r="CV909">
        <v>2.78</v>
      </c>
      <c r="CW909">
        <v>0</v>
      </c>
      <c r="CX909" t="s">
        <v>1255</v>
      </c>
      <c r="CY909">
        <v>3.37</v>
      </c>
      <c r="CZ909">
        <v>0</v>
      </c>
      <c r="DA909">
        <v>5.37</v>
      </c>
      <c r="DB909">
        <v>-3.14</v>
      </c>
      <c r="DC909">
        <v>0.13</v>
      </c>
      <c r="DD909">
        <v>48.96</v>
      </c>
      <c r="DE909" t="s">
        <v>5303</v>
      </c>
      <c r="DF909">
        <v>8.58</v>
      </c>
      <c r="DG909">
        <v>-3.08</v>
      </c>
      <c r="DH909">
        <v>-2.11</v>
      </c>
      <c r="DI909">
        <v>7.0000000000000007E-2</v>
      </c>
      <c r="DJ909">
        <v>1517</v>
      </c>
      <c r="DK909">
        <v>2513</v>
      </c>
      <c r="DL909" t="s">
        <v>120</v>
      </c>
      <c r="DM909" t="s">
        <v>120</v>
      </c>
      <c r="DN909" t="s">
        <v>120</v>
      </c>
    </row>
    <row r="910" spans="1:118">
      <c r="A910" t="str">
        <f>"002514"</f>
        <v>002514</v>
      </c>
      <c r="B910" t="s">
        <v>5304</v>
      </c>
      <c r="C910">
        <v>-1.81</v>
      </c>
      <c r="D910">
        <v>0</v>
      </c>
      <c r="E910">
        <v>0.4</v>
      </c>
      <c r="F910">
        <v>1179</v>
      </c>
      <c r="G910" t="s">
        <v>5305</v>
      </c>
      <c r="H910">
        <v>10641.73</v>
      </c>
      <c r="I910">
        <v>104.59</v>
      </c>
      <c r="J910" t="s">
        <v>120</v>
      </c>
      <c r="K910" t="s">
        <v>5306</v>
      </c>
      <c r="L910">
        <v>5.36</v>
      </c>
      <c r="M910">
        <v>4.88</v>
      </c>
      <c r="N910">
        <v>1.17</v>
      </c>
      <c r="O910">
        <v>2.82</v>
      </c>
      <c r="P910">
        <v>5.1100000000000003</v>
      </c>
      <c r="Q910">
        <v>-2.41</v>
      </c>
      <c r="R910">
        <v>4.8499999999999996</v>
      </c>
      <c r="S910">
        <v>4.99</v>
      </c>
      <c r="T910">
        <v>212969</v>
      </c>
      <c r="U910">
        <v>4.8899999999999997</v>
      </c>
      <c r="V910">
        <v>4.97</v>
      </c>
      <c r="W910">
        <v>42.74</v>
      </c>
      <c r="X910" t="s">
        <v>959</v>
      </c>
      <c r="Y910" t="s">
        <v>319</v>
      </c>
      <c r="Z910">
        <v>5.23</v>
      </c>
      <c r="AA910">
        <v>5</v>
      </c>
      <c r="AB910">
        <v>114421</v>
      </c>
      <c r="AC910">
        <v>98548</v>
      </c>
      <c r="AD910">
        <v>1.1599999999999999</v>
      </c>
      <c r="AE910">
        <v>47</v>
      </c>
      <c r="AF910">
        <v>1</v>
      </c>
      <c r="AG910" t="s">
        <v>120</v>
      </c>
      <c r="AH910">
        <v>7.0000000000000007E-2</v>
      </c>
      <c r="AI910" t="s">
        <v>120</v>
      </c>
      <c r="AJ910">
        <v>3.97</v>
      </c>
      <c r="AK910" t="s">
        <v>5307</v>
      </c>
      <c r="AL910">
        <v>0.1</v>
      </c>
      <c r="AM910">
        <v>2732</v>
      </c>
      <c r="AN910">
        <v>78</v>
      </c>
      <c r="AO910">
        <v>2E-3</v>
      </c>
      <c r="AP910">
        <v>-1</v>
      </c>
      <c r="AQ910">
        <v>5.97</v>
      </c>
      <c r="AR910">
        <v>0</v>
      </c>
      <c r="AS910">
        <v>1.24</v>
      </c>
      <c r="AT910">
        <v>15.36</v>
      </c>
      <c r="AU910">
        <v>21.1</v>
      </c>
      <c r="AV910">
        <v>7</v>
      </c>
      <c r="AW910">
        <v>7.51</v>
      </c>
      <c r="AX910">
        <v>51.15</v>
      </c>
      <c r="AY910" t="s">
        <v>120</v>
      </c>
      <c r="AZ910" t="s">
        <v>120</v>
      </c>
      <c r="BA910">
        <v>0.79</v>
      </c>
      <c r="BB910" t="s">
        <v>168</v>
      </c>
      <c r="BF910">
        <v>0.54</v>
      </c>
      <c r="BG910">
        <v>-2.2000000000000002</v>
      </c>
      <c r="BH910">
        <v>-4.5</v>
      </c>
      <c r="BI910">
        <v>0.62</v>
      </c>
      <c r="BJ910">
        <v>20210914</v>
      </c>
      <c r="BK910">
        <v>20101203</v>
      </c>
      <c r="BL910">
        <v>5.54</v>
      </c>
      <c r="BM910" t="s">
        <v>120</v>
      </c>
      <c r="BN910" t="s">
        <v>120</v>
      </c>
      <c r="BO910">
        <v>14.02</v>
      </c>
      <c r="BP910">
        <v>4.88</v>
      </c>
      <c r="BQ910">
        <v>6.51</v>
      </c>
      <c r="BR910">
        <v>0.15</v>
      </c>
      <c r="BS910">
        <v>52.5</v>
      </c>
      <c r="BT910">
        <v>6.85</v>
      </c>
      <c r="BU910">
        <v>2.3199999999999998</v>
      </c>
      <c r="BV910">
        <v>0.56999999999999995</v>
      </c>
      <c r="BW910">
        <v>6.19</v>
      </c>
      <c r="BX910">
        <v>0.53</v>
      </c>
      <c r="BY910">
        <v>1.75</v>
      </c>
      <c r="BZ910">
        <v>3.05</v>
      </c>
      <c r="CA910">
        <v>0.01</v>
      </c>
      <c r="CB910">
        <v>2.69</v>
      </c>
      <c r="CC910">
        <v>3.42</v>
      </c>
      <c r="CD910">
        <v>2.59</v>
      </c>
      <c r="CE910">
        <v>0.36</v>
      </c>
      <c r="CF910">
        <v>0.03</v>
      </c>
      <c r="CG910">
        <v>0.36</v>
      </c>
      <c r="CH910">
        <v>0.34</v>
      </c>
      <c r="CI910">
        <v>0.32</v>
      </c>
      <c r="CJ910">
        <v>-0.09</v>
      </c>
      <c r="CK910">
        <v>0.1</v>
      </c>
      <c r="CL910">
        <v>-1.88</v>
      </c>
      <c r="CM910">
        <v>0.92</v>
      </c>
      <c r="CN910">
        <v>-0.24</v>
      </c>
      <c r="CO910">
        <v>27449</v>
      </c>
      <c r="CP910">
        <v>10325</v>
      </c>
      <c r="CQ910" t="s">
        <v>5308</v>
      </c>
      <c r="CR910">
        <v>255.03</v>
      </c>
      <c r="CS910">
        <v>50.83</v>
      </c>
      <c r="CT910">
        <v>4.1500000000000004</v>
      </c>
      <c r="CU910">
        <v>29.4</v>
      </c>
      <c r="CV910">
        <v>7.91</v>
      </c>
      <c r="CW910">
        <v>0</v>
      </c>
      <c r="CX910" t="s">
        <v>1301</v>
      </c>
      <c r="CY910">
        <v>1.18</v>
      </c>
      <c r="CZ910">
        <v>0</v>
      </c>
      <c r="DA910">
        <v>0.49</v>
      </c>
      <c r="DB910">
        <v>-0.34</v>
      </c>
      <c r="DC910">
        <v>0.17</v>
      </c>
      <c r="DD910">
        <v>46.43</v>
      </c>
      <c r="DE910" t="s">
        <v>1010</v>
      </c>
      <c r="DF910">
        <v>24.21</v>
      </c>
      <c r="DG910">
        <v>10.5</v>
      </c>
      <c r="DH910">
        <v>9.26</v>
      </c>
      <c r="DI910">
        <v>0.13</v>
      </c>
      <c r="DJ910">
        <v>1524</v>
      </c>
      <c r="DK910">
        <v>2514</v>
      </c>
      <c r="DL910" t="s">
        <v>120</v>
      </c>
      <c r="DM910" t="s">
        <v>120</v>
      </c>
      <c r="DN910" t="s">
        <v>120</v>
      </c>
    </row>
    <row r="911" spans="1:118">
      <c r="A911" t="str">
        <f>"002515"</f>
        <v>002515</v>
      </c>
      <c r="B911" t="s">
        <v>5309</v>
      </c>
      <c r="C911">
        <v>2.33</v>
      </c>
      <c r="D911">
        <v>-0.18</v>
      </c>
      <c r="E911">
        <v>0</v>
      </c>
      <c r="F911">
        <v>1093</v>
      </c>
      <c r="G911" t="s">
        <v>5310</v>
      </c>
      <c r="H911">
        <v>15738.9</v>
      </c>
      <c r="I911">
        <v>9.58</v>
      </c>
      <c r="J911" t="s">
        <v>120</v>
      </c>
      <c r="K911" t="s">
        <v>5311</v>
      </c>
      <c r="L911">
        <v>3.3</v>
      </c>
      <c r="M911">
        <v>5.27</v>
      </c>
      <c r="N911">
        <v>2.17</v>
      </c>
      <c r="O911">
        <v>6.8</v>
      </c>
      <c r="P911">
        <v>5.5</v>
      </c>
      <c r="Q911">
        <v>-0.78</v>
      </c>
      <c r="R911">
        <v>5.1100000000000003</v>
      </c>
      <c r="S911">
        <v>5.15</v>
      </c>
      <c r="T911">
        <v>294840</v>
      </c>
      <c r="U911">
        <v>5.28</v>
      </c>
      <c r="V911">
        <v>5.15</v>
      </c>
      <c r="W911">
        <v>39.869999999999997</v>
      </c>
      <c r="X911" t="s">
        <v>847</v>
      </c>
      <c r="Y911" t="s">
        <v>585</v>
      </c>
      <c r="Z911">
        <v>7.57</v>
      </c>
      <c r="AA911">
        <v>5.34</v>
      </c>
      <c r="AB911">
        <v>117766</v>
      </c>
      <c r="AC911">
        <v>177074</v>
      </c>
      <c r="AD911">
        <v>0.67</v>
      </c>
      <c r="AE911">
        <v>350</v>
      </c>
      <c r="AF911">
        <v>627</v>
      </c>
      <c r="AG911" t="s">
        <v>120</v>
      </c>
      <c r="AH911">
        <v>0</v>
      </c>
      <c r="AI911" t="s">
        <v>120</v>
      </c>
      <c r="AJ911">
        <v>8.94</v>
      </c>
      <c r="AK911" t="s">
        <v>5312</v>
      </c>
      <c r="AL911">
        <v>4.24</v>
      </c>
      <c r="AM911">
        <v>2860</v>
      </c>
      <c r="AN911">
        <v>103</v>
      </c>
      <c r="AO911">
        <v>1.1999999999999999E-3</v>
      </c>
      <c r="AP911">
        <v>2</v>
      </c>
      <c r="AQ911">
        <v>0.98</v>
      </c>
      <c r="AR911">
        <v>0.76</v>
      </c>
      <c r="AS911">
        <v>1.35</v>
      </c>
      <c r="AT911">
        <v>10.25</v>
      </c>
      <c r="AU911">
        <v>-8.82</v>
      </c>
      <c r="AV911">
        <v>1</v>
      </c>
      <c r="AW911">
        <v>4.6100000000000003</v>
      </c>
      <c r="AX911">
        <v>65.36</v>
      </c>
      <c r="AY911">
        <v>84.06</v>
      </c>
      <c r="AZ911">
        <v>84.96</v>
      </c>
      <c r="BA911">
        <v>0.43</v>
      </c>
      <c r="BB911" t="s">
        <v>143</v>
      </c>
      <c r="BF911">
        <v>3.65</v>
      </c>
      <c r="BG911">
        <v>2.33</v>
      </c>
      <c r="BH911">
        <v>-4.18</v>
      </c>
      <c r="BI911">
        <v>3.13</v>
      </c>
      <c r="BJ911">
        <v>20210827</v>
      </c>
      <c r="BK911">
        <v>20101203</v>
      </c>
      <c r="BL911">
        <v>9.7799999999999994</v>
      </c>
      <c r="BM911" t="s">
        <v>120</v>
      </c>
      <c r="BN911" t="s">
        <v>120</v>
      </c>
      <c r="BO911">
        <v>15.15</v>
      </c>
      <c r="BP911">
        <v>5.27</v>
      </c>
      <c r="BQ911">
        <v>13.63</v>
      </c>
      <c r="BR911">
        <v>0.01</v>
      </c>
      <c r="BS911">
        <v>9.9700000000000006</v>
      </c>
      <c r="BT911">
        <v>8.52</v>
      </c>
      <c r="BU911">
        <v>2.4900000000000002</v>
      </c>
      <c r="BV911">
        <v>0.63</v>
      </c>
      <c r="BW911">
        <v>1.45</v>
      </c>
      <c r="BX911">
        <v>0.56000000000000005</v>
      </c>
      <c r="BY911">
        <v>6.43</v>
      </c>
      <c r="BZ911">
        <v>0.25</v>
      </c>
      <c r="CA911">
        <v>0.01</v>
      </c>
      <c r="CB911">
        <v>1.76</v>
      </c>
      <c r="CC911">
        <v>3.21</v>
      </c>
      <c r="CD911">
        <v>2.33</v>
      </c>
      <c r="CE911">
        <v>0.68</v>
      </c>
      <c r="CF911">
        <v>0</v>
      </c>
      <c r="CG911">
        <v>0.68</v>
      </c>
      <c r="CH911">
        <v>0.64</v>
      </c>
      <c r="CI911">
        <v>0.65</v>
      </c>
      <c r="CJ911">
        <v>0.12</v>
      </c>
      <c r="CK911">
        <v>0.56999999999999995</v>
      </c>
      <c r="CL911">
        <v>3.41</v>
      </c>
      <c r="CM911">
        <v>1.37</v>
      </c>
      <c r="CN911">
        <v>-0.4</v>
      </c>
      <c r="CO911">
        <v>59934</v>
      </c>
      <c r="CP911">
        <v>10669</v>
      </c>
      <c r="CQ911" t="s">
        <v>5313</v>
      </c>
      <c r="CR911">
        <v>0.99</v>
      </c>
      <c r="CS911">
        <v>2.4</v>
      </c>
      <c r="CT911">
        <v>3.78</v>
      </c>
      <c r="CU911">
        <v>37.68</v>
      </c>
      <c r="CV911">
        <v>16.05</v>
      </c>
      <c r="CW911">
        <v>0.56000000000000005</v>
      </c>
      <c r="CX911" t="s">
        <v>679</v>
      </c>
      <c r="CY911">
        <v>1.39</v>
      </c>
      <c r="CZ911">
        <v>0</v>
      </c>
      <c r="DA911">
        <v>0.18</v>
      </c>
      <c r="DB911">
        <v>0.35</v>
      </c>
      <c r="DC911">
        <v>0.14000000000000001</v>
      </c>
      <c r="DD911">
        <v>89.94</v>
      </c>
      <c r="DE911" t="s">
        <v>5314</v>
      </c>
      <c r="DF911">
        <v>27.32</v>
      </c>
      <c r="DG911">
        <v>21.13</v>
      </c>
      <c r="DH911">
        <v>20.13</v>
      </c>
      <c r="DI911">
        <v>0.02</v>
      </c>
      <c r="DJ911">
        <v>453</v>
      </c>
      <c r="DK911">
        <v>2515</v>
      </c>
      <c r="DL911" t="s">
        <v>120</v>
      </c>
      <c r="DM911" t="s">
        <v>120</v>
      </c>
      <c r="DN911" t="s">
        <v>120</v>
      </c>
    </row>
    <row r="912" spans="1:118">
      <c r="A912" t="str">
        <f>"002516"</f>
        <v>002516</v>
      </c>
      <c r="B912" t="s">
        <v>5315</v>
      </c>
      <c r="C912">
        <v>-2.4300000000000002</v>
      </c>
      <c r="D912">
        <v>0</v>
      </c>
      <c r="E912">
        <v>0</v>
      </c>
      <c r="F912">
        <v>1119</v>
      </c>
      <c r="G912" t="s">
        <v>5316</v>
      </c>
      <c r="H912">
        <v>5642.38</v>
      </c>
      <c r="I912">
        <v>1.82</v>
      </c>
      <c r="J912" t="s">
        <v>120</v>
      </c>
      <c r="K912" t="s">
        <v>5317</v>
      </c>
      <c r="L912">
        <v>1.1200000000000001</v>
      </c>
      <c r="M912">
        <v>5.23</v>
      </c>
      <c r="N912">
        <v>0.56999999999999995</v>
      </c>
      <c r="O912">
        <v>0.75</v>
      </c>
      <c r="P912">
        <v>5.4</v>
      </c>
      <c r="Q912">
        <v>-2.8</v>
      </c>
      <c r="R912">
        <v>5.21</v>
      </c>
      <c r="S912">
        <v>5.36</v>
      </c>
      <c r="T912">
        <v>106522</v>
      </c>
      <c r="U912">
        <v>5.24</v>
      </c>
      <c r="V912">
        <v>5.36</v>
      </c>
      <c r="W912">
        <v>37.89</v>
      </c>
      <c r="X912" t="s">
        <v>1766</v>
      </c>
      <c r="Y912" t="s">
        <v>319</v>
      </c>
      <c r="Z912">
        <v>3.54</v>
      </c>
      <c r="AA912">
        <v>5.3</v>
      </c>
      <c r="AB912">
        <v>67961</v>
      </c>
      <c r="AC912">
        <v>38561</v>
      </c>
      <c r="AD912">
        <v>1.76</v>
      </c>
      <c r="AE912">
        <v>136</v>
      </c>
      <c r="AF912">
        <v>508</v>
      </c>
      <c r="AG912" t="s">
        <v>120</v>
      </c>
      <c r="AH912">
        <v>0</v>
      </c>
      <c r="AI912" t="s">
        <v>120</v>
      </c>
      <c r="AJ912">
        <v>9.5299999999999994</v>
      </c>
      <c r="AK912" t="s">
        <v>5318</v>
      </c>
      <c r="AL912">
        <v>-0.51</v>
      </c>
      <c r="AM912">
        <v>1853</v>
      </c>
      <c r="AN912">
        <v>57</v>
      </c>
      <c r="AO912">
        <v>5.9999999999999995E-4</v>
      </c>
      <c r="AP912">
        <v>-3</v>
      </c>
      <c r="AQ912">
        <v>-0.19</v>
      </c>
      <c r="AR912">
        <v>-5.77</v>
      </c>
      <c r="AS912">
        <v>-12.4</v>
      </c>
      <c r="AT912">
        <v>-11.8</v>
      </c>
      <c r="AU912">
        <v>51.59</v>
      </c>
      <c r="AV912">
        <v>10</v>
      </c>
      <c r="AW912">
        <v>1.52</v>
      </c>
      <c r="AX912">
        <v>47.55</v>
      </c>
      <c r="AY912">
        <v>37.22</v>
      </c>
      <c r="AZ912">
        <v>37.58</v>
      </c>
      <c r="BA912">
        <v>0.23</v>
      </c>
      <c r="BB912" t="s">
        <v>134</v>
      </c>
      <c r="BF912">
        <v>-1.18</v>
      </c>
      <c r="BG912">
        <v>-2.4300000000000002</v>
      </c>
      <c r="BH912">
        <v>-3.15</v>
      </c>
      <c r="BI912">
        <v>0.38</v>
      </c>
      <c r="BJ912">
        <v>20210913</v>
      </c>
      <c r="BK912">
        <v>20101207</v>
      </c>
      <c r="BL912">
        <v>14.71</v>
      </c>
      <c r="BM912" t="s">
        <v>120</v>
      </c>
      <c r="BN912" t="s">
        <v>120</v>
      </c>
      <c r="BO912">
        <v>39.21</v>
      </c>
      <c r="BP912">
        <v>5.23</v>
      </c>
      <c r="BQ912">
        <v>33.85</v>
      </c>
      <c r="BR912">
        <v>0.3</v>
      </c>
      <c r="BS912">
        <v>12.9</v>
      </c>
      <c r="BT912">
        <v>18.670000000000002</v>
      </c>
      <c r="BU912">
        <v>13.52</v>
      </c>
      <c r="BV912">
        <v>1.58</v>
      </c>
      <c r="BW912">
        <v>4.51</v>
      </c>
      <c r="BX912">
        <v>4.7300000000000004</v>
      </c>
      <c r="BY912">
        <v>2.33</v>
      </c>
      <c r="BZ912">
        <v>8.35</v>
      </c>
      <c r="CA912">
        <v>0</v>
      </c>
      <c r="CB912">
        <v>10.72</v>
      </c>
      <c r="CC912">
        <v>8.26</v>
      </c>
      <c r="CD912">
        <v>5.94</v>
      </c>
      <c r="CE912">
        <v>1.26</v>
      </c>
      <c r="CF912">
        <v>0.05</v>
      </c>
      <c r="CG912">
        <v>1.26</v>
      </c>
      <c r="CH912">
        <v>1.01</v>
      </c>
      <c r="CI912">
        <v>1.02</v>
      </c>
      <c r="CJ912">
        <v>-0.13</v>
      </c>
      <c r="CK912">
        <v>0.94</v>
      </c>
      <c r="CL912">
        <v>7.28</v>
      </c>
      <c r="CM912">
        <v>0.26</v>
      </c>
      <c r="CN912">
        <v>0.82</v>
      </c>
      <c r="CO912">
        <v>41953</v>
      </c>
      <c r="CP912">
        <v>16671</v>
      </c>
      <c r="CQ912" t="s">
        <v>3150</v>
      </c>
      <c r="CR912">
        <v>2.06</v>
      </c>
      <c r="CS912">
        <v>32.14</v>
      </c>
      <c r="CT912">
        <v>2.27</v>
      </c>
      <c r="CU912">
        <v>290.60000000000002</v>
      </c>
      <c r="CV912">
        <v>9.32</v>
      </c>
      <c r="CW912">
        <v>0.93</v>
      </c>
      <c r="CX912" t="s">
        <v>2669</v>
      </c>
      <c r="CY912">
        <v>2.2999999999999998</v>
      </c>
      <c r="CZ912">
        <v>0</v>
      </c>
      <c r="DA912">
        <v>0.73</v>
      </c>
      <c r="DB912">
        <v>0.5</v>
      </c>
      <c r="DC912">
        <v>0.02</v>
      </c>
      <c r="DD912">
        <v>86.34</v>
      </c>
      <c r="DE912" t="s">
        <v>2643</v>
      </c>
      <c r="DF912">
        <v>28.05</v>
      </c>
      <c r="DG912">
        <v>15.27</v>
      </c>
      <c r="DH912">
        <v>12.3</v>
      </c>
      <c r="DI912">
        <v>0.16</v>
      </c>
      <c r="DJ912">
        <v>2044</v>
      </c>
      <c r="DK912">
        <v>2516</v>
      </c>
      <c r="DL912" t="s">
        <v>120</v>
      </c>
      <c r="DM912" t="s">
        <v>120</v>
      </c>
      <c r="DN912" t="s">
        <v>120</v>
      </c>
    </row>
    <row r="913" spans="1:118">
      <c r="A913" t="str">
        <f>"002517"</f>
        <v>002517</v>
      </c>
      <c r="B913" t="s">
        <v>5319</v>
      </c>
      <c r="C913">
        <v>0.42</v>
      </c>
      <c r="D913">
        <v>-0.2</v>
      </c>
      <c r="E913">
        <v>0</v>
      </c>
      <c r="F913">
        <v>11816</v>
      </c>
      <c r="G913" t="s">
        <v>5320</v>
      </c>
      <c r="H913">
        <v>27631.91</v>
      </c>
      <c r="I913">
        <v>177.07</v>
      </c>
      <c r="J913" t="s">
        <v>120</v>
      </c>
      <c r="K913" t="s">
        <v>5321</v>
      </c>
      <c r="L913">
        <v>3.48</v>
      </c>
      <c r="M913">
        <v>4.78</v>
      </c>
      <c r="N913">
        <v>0.61</v>
      </c>
      <c r="O913">
        <v>3.57</v>
      </c>
      <c r="P913">
        <v>4.93</v>
      </c>
      <c r="Q913">
        <v>-0.84</v>
      </c>
      <c r="R913">
        <v>4.72</v>
      </c>
      <c r="S913">
        <v>4.76</v>
      </c>
      <c r="T913">
        <v>573976</v>
      </c>
      <c r="U913">
        <v>4.79</v>
      </c>
      <c r="V913">
        <v>4.76</v>
      </c>
      <c r="W913">
        <v>18.57</v>
      </c>
      <c r="X913" t="s">
        <v>1531</v>
      </c>
      <c r="Y913" t="s">
        <v>937</v>
      </c>
      <c r="Z913">
        <v>4.41</v>
      </c>
      <c r="AA913">
        <v>4.8099999999999996</v>
      </c>
      <c r="AB913">
        <v>282522</v>
      </c>
      <c r="AC913">
        <v>291454</v>
      </c>
      <c r="AD913">
        <v>0.97</v>
      </c>
      <c r="AE913">
        <v>337</v>
      </c>
      <c r="AF913">
        <v>579</v>
      </c>
      <c r="AG913" t="s">
        <v>120</v>
      </c>
      <c r="AH913">
        <v>0.03</v>
      </c>
      <c r="AI913" t="s">
        <v>120</v>
      </c>
      <c r="AJ913">
        <v>16.48</v>
      </c>
      <c r="AK913" t="s">
        <v>5322</v>
      </c>
      <c r="AL913">
        <v>2.33</v>
      </c>
      <c r="AM913">
        <v>3664</v>
      </c>
      <c r="AN913">
        <v>157</v>
      </c>
      <c r="AO913">
        <v>1E-3</v>
      </c>
      <c r="AP913">
        <v>1</v>
      </c>
      <c r="AQ913">
        <v>-1.04</v>
      </c>
      <c r="AR913">
        <v>4.1399999999999997</v>
      </c>
      <c r="AS913">
        <v>25.13</v>
      </c>
      <c r="AT913">
        <v>5.75</v>
      </c>
      <c r="AU913">
        <v>1.71</v>
      </c>
      <c r="AV913">
        <v>2</v>
      </c>
      <c r="AW913">
        <v>3.87</v>
      </c>
      <c r="AX913">
        <v>68.930000000000007</v>
      </c>
      <c r="AY913">
        <v>25.31</v>
      </c>
      <c r="AZ913">
        <v>57.59</v>
      </c>
      <c r="BA913">
        <v>0.69</v>
      </c>
      <c r="BB913" t="s">
        <v>125</v>
      </c>
      <c r="BF913">
        <v>1.1399999999999999</v>
      </c>
      <c r="BG913">
        <v>0.42</v>
      </c>
      <c r="BH913">
        <v>-3.04</v>
      </c>
      <c r="BI913">
        <v>1.27</v>
      </c>
      <c r="BJ913">
        <v>20210821</v>
      </c>
      <c r="BK913">
        <v>20101207</v>
      </c>
      <c r="BL913">
        <v>21.53</v>
      </c>
      <c r="BM913" t="s">
        <v>120</v>
      </c>
      <c r="BN913" t="s">
        <v>120</v>
      </c>
      <c r="BO913">
        <v>38.99</v>
      </c>
      <c r="BP913">
        <v>4.78</v>
      </c>
      <c r="BQ913">
        <v>30.78</v>
      </c>
      <c r="BR913">
        <v>2.15</v>
      </c>
      <c r="BS913">
        <v>15.53</v>
      </c>
      <c r="BT913">
        <v>22.43</v>
      </c>
      <c r="BU913">
        <v>0.14000000000000001</v>
      </c>
      <c r="BV913">
        <v>0.11</v>
      </c>
      <c r="BW913">
        <v>5.46</v>
      </c>
      <c r="BX913">
        <v>8.39</v>
      </c>
      <c r="BY913">
        <v>0.08</v>
      </c>
      <c r="BZ913">
        <v>6.52</v>
      </c>
      <c r="CA913">
        <v>0.01</v>
      </c>
      <c r="CB913">
        <v>7.45</v>
      </c>
      <c r="CC913">
        <v>9.8800000000000008</v>
      </c>
      <c r="CD913">
        <v>2.46</v>
      </c>
      <c r="CE913">
        <v>3.89</v>
      </c>
      <c r="CF913">
        <v>0.55000000000000004</v>
      </c>
      <c r="CG913">
        <v>3.98</v>
      </c>
      <c r="CH913">
        <v>3.7</v>
      </c>
      <c r="CI913">
        <v>2.77</v>
      </c>
      <c r="CJ913">
        <v>0.02</v>
      </c>
      <c r="CK913">
        <v>2.0299999999999998</v>
      </c>
      <c r="CL913">
        <v>8.64</v>
      </c>
      <c r="CM913">
        <v>1.25</v>
      </c>
      <c r="CN913">
        <v>1.64</v>
      </c>
      <c r="CO913">
        <v>49297</v>
      </c>
      <c r="CP913">
        <v>30098</v>
      </c>
      <c r="CQ913" t="s">
        <v>5323</v>
      </c>
      <c r="CR913">
        <v>451.33</v>
      </c>
      <c r="CS913">
        <v>21.65</v>
      </c>
      <c r="CT913">
        <v>3.34</v>
      </c>
      <c r="CU913">
        <v>82.32</v>
      </c>
      <c r="CV913">
        <v>10.42</v>
      </c>
      <c r="CW913">
        <v>0</v>
      </c>
      <c r="CX913" t="s">
        <v>986</v>
      </c>
      <c r="CY913">
        <v>1.43</v>
      </c>
      <c r="CZ913">
        <v>0</v>
      </c>
      <c r="DA913">
        <v>0.35</v>
      </c>
      <c r="DB913">
        <v>0.4</v>
      </c>
      <c r="DC913">
        <v>0.06</v>
      </c>
      <c r="DD913">
        <v>78.95</v>
      </c>
      <c r="DE913" t="s">
        <v>5324</v>
      </c>
      <c r="DF913">
        <v>75.06</v>
      </c>
      <c r="DG913">
        <v>39.39</v>
      </c>
      <c r="DH913">
        <v>28.06</v>
      </c>
      <c r="DI913">
        <v>1.44</v>
      </c>
      <c r="DJ913">
        <v>1191</v>
      </c>
      <c r="DK913">
        <v>2517</v>
      </c>
      <c r="DL913" t="s">
        <v>120</v>
      </c>
      <c r="DM913" t="s">
        <v>120</v>
      </c>
      <c r="DN913" t="s">
        <v>120</v>
      </c>
    </row>
    <row r="914" spans="1:118">
      <c r="A914" t="str">
        <f>"002518"</f>
        <v>002518</v>
      </c>
      <c r="B914" t="s">
        <v>5325</v>
      </c>
      <c r="C914">
        <v>-9.44</v>
      </c>
      <c r="D914">
        <v>0</v>
      </c>
      <c r="E914">
        <v>-1.89</v>
      </c>
      <c r="F914">
        <v>2635</v>
      </c>
      <c r="G914" t="s">
        <v>5326</v>
      </c>
      <c r="H914">
        <v>80451.27</v>
      </c>
      <c r="I914">
        <v>606.67999999999995</v>
      </c>
      <c r="J914" t="s">
        <v>120</v>
      </c>
      <c r="K914" t="s">
        <v>5327</v>
      </c>
      <c r="L914">
        <v>5.14</v>
      </c>
      <c r="M914">
        <v>26.77</v>
      </c>
      <c r="N914">
        <v>0.99</v>
      </c>
      <c r="O914">
        <v>-1.89</v>
      </c>
      <c r="P914">
        <v>29</v>
      </c>
      <c r="Q914">
        <v>-9.68</v>
      </c>
      <c r="R914">
        <v>26.7</v>
      </c>
      <c r="S914">
        <v>29</v>
      </c>
      <c r="T914">
        <v>290336</v>
      </c>
      <c r="U914">
        <v>26.77</v>
      </c>
      <c r="V914">
        <v>29.56</v>
      </c>
      <c r="W914">
        <v>43.59</v>
      </c>
      <c r="X914" t="s">
        <v>394</v>
      </c>
      <c r="Y914" t="s">
        <v>123</v>
      </c>
      <c r="Z914">
        <v>7.78</v>
      </c>
      <c r="AA914">
        <v>27.71</v>
      </c>
      <c r="AB914">
        <v>164083</v>
      </c>
      <c r="AC914">
        <v>126253</v>
      </c>
      <c r="AD914">
        <v>1.3</v>
      </c>
      <c r="AE914">
        <v>144</v>
      </c>
      <c r="AF914">
        <v>357</v>
      </c>
      <c r="AG914" t="s">
        <v>120</v>
      </c>
      <c r="AH914">
        <v>0.1</v>
      </c>
      <c r="AI914" t="s">
        <v>120</v>
      </c>
      <c r="AJ914">
        <v>5.65</v>
      </c>
      <c r="AK914" t="s">
        <v>5328</v>
      </c>
      <c r="AL914">
        <v>-7.52</v>
      </c>
      <c r="AM914">
        <v>4467</v>
      </c>
      <c r="AN914">
        <v>65</v>
      </c>
      <c r="AO914">
        <v>1.1000000000000001E-3</v>
      </c>
      <c r="AP914">
        <v>-2</v>
      </c>
      <c r="AQ914">
        <v>-0.94</v>
      </c>
      <c r="AR914">
        <v>-5.9</v>
      </c>
      <c r="AS914">
        <v>-25.1</v>
      </c>
      <c r="AT914">
        <v>90.94</v>
      </c>
      <c r="AU914">
        <v>132.16999999999999</v>
      </c>
      <c r="AV914">
        <v>10</v>
      </c>
      <c r="AW914">
        <v>13.87</v>
      </c>
      <c r="AX914">
        <v>35.950000000000003</v>
      </c>
      <c r="AY914">
        <v>49.13</v>
      </c>
      <c r="AZ914">
        <v>56.8</v>
      </c>
      <c r="BA914">
        <v>0.73</v>
      </c>
      <c r="BB914" t="s">
        <v>143</v>
      </c>
      <c r="BF914">
        <v>-6.26</v>
      </c>
      <c r="BG914">
        <v>-7.69</v>
      </c>
      <c r="BH914">
        <v>-7.69</v>
      </c>
      <c r="BI914">
        <v>0.26</v>
      </c>
      <c r="BJ914">
        <v>20210914</v>
      </c>
      <c r="BK914">
        <v>20101207</v>
      </c>
      <c r="BL914">
        <v>5.82</v>
      </c>
      <c r="BM914" t="s">
        <v>120</v>
      </c>
      <c r="BN914" t="s">
        <v>120</v>
      </c>
      <c r="BO914">
        <v>43.26</v>
      </c>
      <c r="BP914">
        <v>26.76</v>
      </c>
      <c r="BQ914">
        <v>28.68</v>
      </c>
      <c r="BR914">
        <v>0.03</v>
      </c>
      <c r="BS914">
        <v>33.630000000000003</v>
      </c>
      <c r="BT914">
        <v>28.58</v>
      </c>
      <c r="BU914">
        <v>6.56</v>
      </c>
      <c r="BV914">
        <v>1.57</v>
      </c>
      <c r="BW914">
        <v>12.76</v>
      </c>
      <c r="BX914">
        <v>5.22</v>
      </c>
      <c r="BY914">
        <v>5.15</v>
      </c>
      <c r="BZ914">
        <v>9.5</v>
      </c>
      <c r="CA914">
        <v>0</v>
      </c>
      <c r="CB914">
        <v>5.03</v>
      </c>
      <c r="CC914">
        <v>11.9</v>
      </c>
      <c r="CD914">
        <v>7.93</v>
      </c>
      <c r="CE914">
        <v>2.14</v>
      </c>
      <c r="CF914">
        <v>0.08</v>
      </c>
      <c r="CG914">
        <v>2.13</v>
      </c>
      <c r="CH914">
        <v>1.78</v>
      </c>
      <c r="CI914">
        <v>1.79</v>
      </c>
      <c r="CJ914">
        <v>-2.79</v>
      </c>
      <c r="CK914">
        <v>1.54</v>
      </c>
      <c r="CL914">
        <v>15.71</v>
      </c>
      <c r="CM914">
        <v>1.05</v>
      </c>
      <c r="CN914">
        <v>-0.26</v>
      </c>
      <c r="CO914">
        <v>72000</v>
      </c>
      <c r="CP914">
        <v>2908</v>
      </c>
      <c r="CQ914" t="s">
        <v>5329</v>
      </c>
      <c r="CR914">
        <v>35.96</v>
      </c>
      <c r="CS914">
        <v>35.200000000000003</v>
      </c>
      <c r="CT914">
        <v>5.44</v>
      </c>
      <c r="CU914">
        <v>148</v>
      </c>
      <c r="CV914">
        <v>13.1</v>
      </c>
      <c r="CW914">
        <v>0.68</v>
      </c>
      <c r="CX914" t="s">
        <v>2752</v>
      </c>
      <c r="CY914">
        <v>4.92</v>
      </c>
      <c r="CZ914">
        <v>0</v>
      </c>
      <c r="DA914">
        <v>0.86</v>
      </c>
      <c r="DB914">
        <v>2.7</v>
      </c>
      <c r="DC914">
        <v>0.18</v>
      </c>
      <c r="DD914">
        <v>66.3</v>
      </c>
      <c r="DE914" t="s">
        <v>5330</v>
      </c>
      <c r="DF914">
        <v>33.4</v>
      </c>
      <c r="DG914">
        <v>17.96</v>
      </c>
      <c r="DH914">
        <v>15.02</v>
      </c>
      <c r="DI914">
        <v>0.74</v>
      </c>
      <c r="DJ914">
        <v>2897</v>
      </c>
      <c r="DK914">
        <v>2518</v>
      </c>
      <c r="DL914">
        <v>20210715</v>
      </c>
      <c r="DM914">
        <v>19.989999999999998</v>
      </c>
      <c r="DN914">
        <v>33.92</v>
      </c>
    </row>
    <row r="915" spans="1:118">
      <c r="A915" t="str">
        <f>"002519"</f>
        <v>002519</v>
      </c>
      <c r="B915" t="s">
        <v>5331</v>
      </c>
      <c r="C915">
        <v>-0.25</v>
      </c>
      <c r="D915">
        <v>0.25</v>
      </c>
      <c r="E915">
        <v>0</v>
      </c>
      <c r="F915">
        <v>566</v>
      </c>
      <c r="G915" t="s">
        <v>5332</v>
      </c>
      <c r="H915">
        <v>3484.22</v>
      </c>
      <c r="I915">
        <v>6.61</v>
      </c>
      <c r="J915" t="s">
        <v>120</v>
      </c>
      <c r="K915" t="s">
        <v>5333</v>
      </c>
      <c r="L915">
        <v>0.84</v>
      </c>
      <c r="M915">
        <v>4.07</v>
      </c>
      <c r="N915">
        <v>0.95</v>
      </c>
      <c r="O915">
        <v>1.23</v>
      </c>
      <c r="P915">
        <v>4.13</v>
      </c>
      <c r="Q915">
        <v>-0.49</v>
      </c>
      <c r="R915">
        <v>4.0599999999999996</v>
      </c>
      <c r="S915">
        <v>4.08</v>
      </c>
      <c r="T915">
        <v>85249</v>
      </c>
      <c r="U915">
        <v>4.07</v>
      </c>
      <c r="V915">
        <v>4.08</v>
      </c>
      <c r="W915">
        <v>95.2</v>
      </c>
      <c r="X915" t="s">
        <v>462</v>
      </c>
      <c r="Y915" t="s">
        <v>319</v>
      </c>
      <c r="Z915">
        <v>1.72</v>
      </c>
      <c r="AA915">
        <v>4.09</v>
      </c>
      <c r="AB915">
        <v>46071</v>
      </c>
      <c r="AC915">
        <v>39178</v>
      </c>
      <c r="AD915">
        <v>1.18</v>
      </c>
      <c r="AE915">
        <v>3263</v>
      </c>
      <c r="AF915">
        <v>1823</v>
      </c>
      <c r="AG915" t="s">
        <v>120</v>
      </c>
      <c r="AH915">
        <v>0</v>
      </c>
      <c r="AI915" t="s">
        <v>120</v>
      </c>
      <c r="AJ915">
        <v>10.119999999999999</v>
      </c>
      <c r="AK915" t="s">
        <v>1133</v>
      </c>
      <c r="AL915">
        <v>1.67</v>
      </c>
      <c r="AM915">
        <v>1320</v>
      </c>
      <c r="AN915">
        <v>65</v>
      </c>
      <c r="AO915">
        <v>5.9999999999999995E-4</v>
      </c>
      <c r="AP915">
        <v>-1</v>
      </c>
      <c r="AQ915">
        <v>0.25</v>
      </c>
      <c r="AR915">
        <v>-0.97</v>
      </c>
      <c r="AS915">
        <v>-3.1</v>
      </c>
      <c r="AT915">
        <v>0.99</v>
      </c>
      <c r="AU915">
        <v>-0.48</v>
      </c>
      <c r="AV915">
        <v>1</v>
      </c>
      <c r="AW915">
        <v>1.2</v>
      </c>
      <c r="AX915">
        <v>63.1</v>
      </c>
      <c r="AY915">
        <v>51.12</v>
      </c>
      <c r="AZ915">
        <v>27</v>
      </c>
      <c r="BA915">
        <v>0.5</v>
      </c>
      <c r="BB915" t="s">
        <v>4676</v>
      </c>
      <c r="BF915">
        <v>0.17</v>
      </c>
      <c r="BG915">
        <v>-0.25</v>
      </c>
      <c r="BH915">
        <v>-1.45</v>
      </c>
      <c r="BI915">
        <v>0.25</v>
      </c>
      <c r="BJ915">
        <v>20210821</v>
      </c>
      <c r="BK915">
        <v>20101207</v>
      </c>
      <c r="BL915">
        <v>11.26</v>
      </c>
      <c r="BM915" t="s">
        <v>120</v>
      </c>
      <c r="BN915" t="s">
        <v>120</v>
      </c>
      <c r="BO915">
        <v>38.049999999999997</v>
      </c>
      <c r="BP915">
        <v>4.0599999999999996</v>
      </c>
      <c r="BQ915">
        <v>28.33</v>
      </c>
      <c r="BR915">
        <v>0.1</v>
      </c>
      <c r="BS915">
        <v>25.28</v>
      </c>
      <c r="BT915">
        <v>29.08</v>
      </c>
      <c r="BU915">
        <v>3.87</v>
      </c>
      <c r="BV915">
        <v>1.1000000000000001</v>
      </c>
      <c r="BW915">
        <v>9.1300000000000008</v>
      </c>
      <c r="BX915">
        <v>4.12</v>
      </c>
      <c r="BY915">
        <v>6.7</v>
      </c>
      <c r="BZ915">
        <v>3.73</v>
      </c>
      <c r="CA915" t="s">
        <v>120</v>
      </c>
      <c r="CB915">
        <v>17.38</v>
      </c>
      <c r="CC915">
        <v>8.17</v>
      </c>
      <c r="CD915">
        <v>5.36</v>
      </c>
      <c r="CE915">
        <v>0.32</v>
      </c>
      <c r="CF915">
        <v>0.06</v>
      </c>
      <c r="CG915">
        <v>0.32</v>
      </c>
      <c r="CH915">
        <v>0.24</v>
      </c>
      <c r="CI915">
        <v>0.24</v>
      </c>
      <c r="CJ915">
        <v>-0.01</v>
      </c>
      <c r="CK915">
        <v>0.28000000000000003</v>
      </c>
      <c r="CL915">
        <v>-1.53</v>
      </c>
      <c r="CM915">
        <v>0.14000000000000001</v>
      </c>
      <c r="CN915">
        <v>0.04</v>
      </c>
      <c r="CO915">
        <v>47619</v>
      </c>
      <c r="CP915">
        <v>14927</v>
      </c>
      <c r="CQ915" t="s">
        <v>1972</v>
      </c>
      <c r="CR915">
        <v>-76.930000000000007</v>
      </c>
      <c r="CS915">
        <v>32.25</v>
      </c>
      <c r="CT915">
        <v>1.62</v>
      </c>
      <c r="CU915">
        <v>336.12</v>
      </c>
      <c r="CV915">
        <v>5.61</v>
      </c>
      <c r="CW915">
        <v>0</v>
      </c>
      <c r="CX915" t="s">
        <v>1016</v>
      </c>
      <c r="CY915">
        <v>2.52</v>
      </c>
      <c r="CZ915">
        <v>0</v>
      </c>
      <c r="DA915">
        <v>1.54</v>
      </c>
      <c r="DB915">
        <v>-0.14000000000000001</v>
      </c>
      <c r="DC915">
        <v>0.01</v>
      </c>
      <c r="DD915">
        <v>74.459999999999994</v>
      </c>
      <c r="DE915" t="s">
        <v>5334</v>
      </c>
      <c r="DF915">
        <v>34.450000000000003</v>
      </c>
      <c r="DG915">
        <v>3.93</v>
      </c>
      <c r="DH915">
        <v>2.95</v>
      </c>
      <c r="DI915">
        <v>0.74</v>
      </c>
      <c r="DJ915">
        <v>2455</v>
      </c>
      <c r="DK915">
        <v>2519</v>
      </c>
      <c r="DL915" t="s">
        <v>120</v>
      </c>
      <c r="DM915" t="s">
        <v>120</v>
      </c>
      <c r="DN915" t="s">
        <v>120</v>
      </c>
    </row>
    <row r="916" spans="1:118">
      <c r="A916" t="str">
        <f>"002520"</f>
        <v>002520</v>
      </c>
      <c r="B916" t="s">
        <v>5335</v>
      </c>
      <c r="C916">
        <v>-8.39</v>
      </c>
      <c r="D916">
        <v>-0.09</v>
      </c>
      <c r="E916">
        <v>-1.52</v>
      </c>
      <c r="F916">
        <v>7243</v>
      </c>
      <c r="G916" t="s">
        <v>5336</v>
      </c>
      <c r="H916">
        <v>36165.800000000003</v>
      </c>
      <c r="I916">
        <v>116.04</v>
      </c>
      <c r="J916" t="s">
        <v>120</v>
      </c>
      <c r="K916" t="s">
        <v>3054</v>
      </c>
      <c r="L916">
        <v>6.12</v>
      </c>
      <c r="M916">
        <v>10.26</v>
      </c>
      <c r="N916">
        <v>0.91</v>
      </c>
      <c r="O916">
        <v>-0.8</v>
      </c>
      <c r="P916">
        <v>11.11</v>
      </c>
      <c r="Q916">
        <v>-9.91</v>
      </c>
      <c r="R916">
        <v>10.09</v>
      </c>
      <c r="S916">
        <v>11.03</v>
      </c>
      <c r="T916">
        <v>337521</v>
      </c>
      <c r="U916">
        <v>10.26</v>
      </c>
      <c r="V916">
        <v>11.2</v>
      </c>
      <c r="W916">
        <v>44.24</v>
      </c>
      <c r="X916" t="s">
        <v>2161</v>
      </c>
      <c r="Y916" t="s">
        <v>585</v>
      </c>
      <c r="Z916">
        <v>9.11</v>
      </c>
      <c r="AA916">
        <v>10.72</v>
      </c>
      <c r="AB916">
        <v>204309</v>
      </c>
      <c r="AC916">
        <v>133212</v>
      </c>
      <c r="AD916">
        <v>1.53</v>
      </c>
      <c r="AE916">
        <v>890</v>
      </c>
      <c r="AF916">
        <v>4109</v>
      </c>
      <c r="AG916" t="s">
        <v>120</v>
      </c>
      <c r="AH916">
        <v>0.03</v>
      </c>
      <c r="AI916" t="s">
        <v>120</v>
      </c>
      <c r="AJ916">
        <v>5.52</v>
      </c>
      <c r="AK916" t="s">
        <v>5337</v>
      </c>
      <c r="AL916">
        <v>-6.48</v>
      </c>
      <c r="AM916">
        <v>3969</v>
      </c>
      <c r="AN916">
        <v>85</v>
      </c>
      <c r="AO916">
        <v>1.5E-3</v>
      </c>
      <c r="AP916">
        <v>-2</v>
      </c>
      <c r="AQ916">
        <v>-0.18</v>
      </c>
      <c r="AR916">
        <v>-3.93</v>
      </c>
      <c r="AS916">
        <v>17.39</v>
      </c>
      <c r="AT916">
        <v>41.13</v>
      </c>
      <c r="AU916">
        <v>63.56</v>
      </c>
      <c r="AV916">
        <v>6</v>
      </c>
      <c r="AW916">
        <v>10.76</v>
      </c>
      <c r="AX916">
        <v>36.36</v>
      </c>
      <c r="AY916">
        <v>66.400000000000006</v>
      </c>
      <c r="AZ916">
        <v>89.61</v>
      </c>
      <c r="BA916">
        <v>0.87</v>
      </c>
      <c r="BB916" t="s">
        <v>184</v>
      </c>
      <c r="BF916">
        <v>-4.33</v>
      </c>
      <c r="BG916">
        <v>-6.98</v>
      </c>
      <c r="BH916">
        <v>-7.65</v>
      </c>
      <c r="BI916">
        <v>1.68</v>
      </c>
      <c r="BJ916">
        <v>20210906</v>
      </c>
      <c r="BK916">
        <v>20101210</v>
      </c>
      <c r="BL916">
        <v>8.6300000000000008</v>
      </c>
      <c r="BM916" t="s">
        <v>120</v>
      </c>
      <c r="BN916" t="s">
        <v>120</v>
      </c>
      <c r="BO916">
        <v>62.82</v>
      </c>
      <c r="BP916">
        <v>10.25</v>
      </c>
      <c r="BQ916">
        <v>29.3</v>
      </c>
      <c r="BR916">
        <v>0.04</v>
      </c>
      <c r="BS916">
        <v>53.3</v>
      </c>
      <c r="BT916">
        <v>18.68</v>
      </c>
      <c r="BU916">
        <v>30.76</v>
      </c>
      <c r="BV916">
        <v>1.31</v>
      </c>
      <c r="BW916">
        <v>15.7</v>
      </c>
      <c r="BX916">
        <v>2.52</v>
      </c>
      <c r="BY916">
        <v>9.56</v>
      </c>
      <c r="BZ916">
        <v>4.29</v>
      </c>
      <c r="CA916">
        <v>0</v>
      </c>
      <c r="CB916">
        <v>18.149999999999999</v>
      </c>
      <c r="CC916">
        <v>9.52</v>
      </c>
      <c r="CD916">
        <v>6.15</v>
      </c>
      <c r="CE916">
        <v>1.29</v>
      </c>
      <c r="CF916">
        <v>0.05</v>
      </c>
      <c r="CG916">
        <v>1.29</v>
      </c>
      <c r="CH916">
        <v>1</v>
      </c>
      <c r="CI916">
        <v>1</v>
      </c>
      <c r="CJ916">
        <v>-0.94</v>
      </c>
      <c r="CK916">
        <v>0.77</v>
      </c>
      <c r="CL916">
        <v>4.74</v>
      </c>
      <c r="CM916">
        <v>2.99</v>
      </c>
      <c r="CN916">
        <v>-1.08</v>
      </c>
      <c r="CO916">
        <v>30189</v>
      </c>
      <c r="CP916">
        <v>10394</v>
      </c>
      <c r="CQ916" t="s">
        <v>4421</v>
      </c>
      <c r="CR916">
        <v>60.48</v>
      </c>
      <c r="CS916">
        <v>7.18</v>
      </c>
      <c r="CT916">
        <v>2.65</v>
      </c>
      <c r="CU916">
        <v>29.6</v>
      </c>
      <c r="CV916">
        <v>9.3000000000000007</v>
      </c>
      <c r="CW916">
        <v>0.44</v>
      </c>
      <c r="CX916" t="s">
        <v>300</v>
      </c>
      <c r="CY916">
        <v>3.88</v>
      </c>
      <c r="CZ916">
        <v>3.88</v>
      </c>
      <c r="DA916">
        <v>2.1</v>
      </c>
      <c r="DB916">
        <v>0.55000000000000004</v>
      </c>
      <c r="DC916">
        <v>0.35</v>
      </c>
      <c r="DD916">
        <v>46.64</v>
      </c>
      <c r="DE916" t="s">
        <v>5338</v>
      </c>
      <c r="DF916">
        <v>35.44</v>
      </c>
      <c r="DG916">
        <v>13.58</v>
      </c>
      <c r="DH916">
        <v>10.51</v>
      </c>
      <c r="DI916">
        <v>0.34</v>
      </c>
      <c r="DJ916">
        <v>1237</v>
      </c>
      <c r="DK916">
        <v>2520</v>
      </c>
      <c r="DL916" t="s">
        <v>120</v>
      </c>
      <c r="DM916" t="s">
        <v>120</v>
      </c>
      <c r="DN916" t="s">
        <v>120</v>
      </c>
    </row>
    <row r="917" spans="1:118">
      <c r="A917" t="str">
        <f>"002521"</f>
        <v>002521</v>
      </c>
      <c r="B917" t="s">
        <v>5339</v>
      </c>
      <c r="C917">
        <v>0.14000000000000001</v>
      </c>
      <c r="D917">
        <v>0</v>
      </c>
      <c r="E917">
        <v>-0.28000000000000003</v>
      </c>
      <c r="F917">
        <v>1240</v>
      </c>
      <c r="G917" t="s">
        <v>5340</v>
      </c>
      <c r="H917">
        <v>11449.56</v>
      </c>
      <c r="I917">
        <v>5.45</v>
      </c>
      <c r="J917" t="s">
        <v>120</v>
      </c>
      <c r="K917" t="s">
        <v>4133</v>
      </c>
      <c r="L917">
        <v>3.95</v>
      </c>
      <c r="M917">
        <v>7.11</v>
      </c>
      <c r="N917">
        <v>2.02</v>
      </c>
      <c r="O917">
        <v>3.1</v>
      </c>
      <c r="P917">
        <v>7.32</v>
      </c>
      <c r="Q917">
        <v>-0.7</v>
      </c>
      <c r="R917">
        <v>7.05</v>
      </c>
      <c r="S917">
        <v>7.08</v>
      </c>
      <c r="T917">
        <v>159250</v>
      </c>
      <c r="U917">
        <v>7.12</v>
      </c>
      <c r="V917">
        <v>7.1</v>
      </c>
      <c r="W917">
        <v>11.5</v>
      </c>
      <c r="X917" t="s">
        <v>814</v>
      </c>
      <c r="Y917" t="s">
        <v>638</v>
      </c>
      <c r="Z917">
        <v>3.8</v>
      </c>
      <c r="AA917">
        <v>7.19</v>
      </c>
      <c r="AB917">
        <v>79987</v>
      </c>
      <c r="AC917">
        <v>79263</v>
      </c>
      <c r="AD917">
        <v>1.01</v>
      </c>
      <c r="AE917">
        <v>707</v>
      </c>
      <c r="AF917">
        <v>424</v>
      </c>
      <c r="AG917" t="s">
        <v>120</v>
      </c>
      <c r="AH917">
        <v>0</v>
      </c>
      <c r="AI917" t="s">
        <v>120</v>
      </c>
      <c r="AJ917">
        <v>4.03</v>
      </c>
      <c r="AK917" t="s">
        <v>5341</v>
      </c>
      <c r="AL917">
        <v>2.0499999999999998</v>
      </c>
      <c r="AM917">
        <v>3048</v>
      </c>
      <c r="AN917">
        <v>52</v>
      </c>
      <c r="AO917">
        <v>1.2999999999999999E-3</v>
      </c>
      <c r="AP917">
        <v>2</v>
      </c>
      <c r="AQ917">
        <v>3.65</v>
      </c>
      <c r="AR917">
        <v>1.43</v>
      </c>
      <c r="AS917">
        <v>9.0500000000000007</v>
      </c>
      <c r="AT917">
        <v>10.41</v>
      </c>
      <c r="AU917">
        <v>33.4</v>
      </c>
      <c r="AV917">
        <v>2</v>
      </c>
      <c r="AW917">
        <v>4.42</v>
      </c>
      <c r="AX917">
        <v>72.790000000000006</v>
      </c>
      <c r="AY917">
        <v>13.22</v>
      </c>
      <c r="AZ917">
        <v>21.96</v>
      </c>
      <c r="BA917">
        <v>0.46</v>
      </c>
      <c r="BB917" t="s">
        <v>700</v>
      </c>
      <c r="BF917">
        <v>1.26</v>
      </c>
      <c r="BG917">
        <v>0.42</v>
      </c>
      <c r="BH917">
        <v>-2.87</v>
      </c>
      <c r="BI917">
        <v>0.85</v>
      </c>
      <c r="BJ917">
        <v>20210821</v>
      </c>
      <c r="BK917">
        <v>20101210</v>
      </c>
      <c r="BL917">
        <v>4.95</v>
      </c>
      <c r="BM917" t="s">
        <v>120</v>
      </c>
      <c r="BN917" t="s">
        <v>120</v>
      </c>
      <c r="BO917">
        <v>51.91</v>
      </c>
      <c r="BP917">
        <v>7.11</v>
      </c>
      <c r="BQ917">
        <v>35.74</v>
      </c>
      <c r="BR917">
        <v>0.02</v>
      </c>
      <c r="BS917">
        <v>31.11</v>
      </c>
      <c r="BT917">
        <v>38.01</v>
      </c>
      <c r="BU917">
        <v>12.46</v>
      </c>
      <c r="BV917">
        <v>1.08</v>
      </c>
      <c r="BW917">
        <v>16.02</v>
      </c>
      <c r="BX917">
        <v>6.72</v>
      </c>
      <c r="BY917">
        <v>4.21</v>
      </c>
      <c r="BZ917">
        <v>7.8</v>
      </c>
      <c r="CA917" t="s">
        <v>120</v>
      </c>
      <c r="CB917">
        <v>18.62</v>
      </c>
      <c r="CC917">
        <v>19.18</v>
      </c>
      <c r="CD917">
        <v>16.190000000000001</v>
      </c>
      <c r="CE917">
        <v>1.86</v>
      </c>
      <c r="CF917">
        <v>0</v>
      </c>
      <c r="CG917">
        <v>1.85</v>
      </c>
      <c r="CH917">
        <v>1.53</v>
      </c>
      <c r="CI917">
        <v>1.53</v>
      </c>
      <c r="CJ917">
        <v>0.01</v>
      </c>
      <c r="CK917">
        <v>1.39</v>
      </c>
      <c r="CL917">
        <v>10.77</v>
      </c>
      <c r="CM917">
        <v>1.55</v>
      </c>
      <c r="CN917">
        <v>1.1599999999999999</v>
      </c>
      <c r="CO917">
        <v>31310</v>
      </c>
      <c r="CP917">
        <v>11501</v>
      </c>
      <c r="CQ917" t="s">
        <v>5342</v>
      </c>
      <c r="CR917">
        <v>223.6</v>
      </c>
      <c r="CS917">
        <v>53.82</v>
      </c>
      <c r="CT917">
        <v>0.98</v>
      </c>
      <c r="CU917">
        <v>22.68</v>
      </c>
      <c r="CV917">
        <v>1.83</v>
      </c>
      <c r="CW917">
        <v>1.41</v>
      </c>
      <c r="CX917" t="s">
        <v>2752</v>
      </c>
      <c r="CY917">
        <v>7.22</v>
      </c>
      <c r="CZ917">
        <v>0</v>
      </c>
      <c r="DA917">
        <v>3.76</v>
      </c>
      <c r="DB917">
        <v>2.1800000000000002</v>
      </c>
      <c r="DC917">
        <v>0.31</v>
      </c>
      <c r="DD917">
        <v>68.849999999999994</v>
      </c>
      <c r="DE917" t="s">
        <v>5343</v>
      </c>
      <c r="DF917">
        <v>15.61</v>
      </c>
      <c r="DG917">
        <v>9.6999999999999993</v>
      </c>
      <c r="DH917">
        <v>7.98</v>
      </c>
      <c r="DI917">
        <v>0.64</v>
      </c>
      <c r="DJ917">
        <v>1319</v>
      </c>
      <c r="DK917">
        <v>2521</v>
      </c>
      <c r="DL917" t="s">
        <v>120</v>
      </c>
      <c r="DM917" t="s">
        <v>120</v>
      </c>
      <c r="DN917" t="s">
        <v>120</v>
      </c>
    </row>
    <row r="918" spans="1:118">
      <c r="A918" t="str">
        <f>"002522"</f>
        <v>002522</v>
      </c>
      <c r="B918" t="s">
        <v>5344</v>
      </c>
      <c r="C918">
        <v>-2.37</v>
      </c>
      <c r="D918">
        <v>0.37</v>
      </c>
      <c r="E918">
        <v>-0.12</v>
      </c>
      <c r="F918">
        <v>4273</v>
      </c>
      <c r="G918" t="s">
        <v>2733</v>
      </c>
      <c r="H918">
        <v>25801.35</v>
      </c>
      <c r="I918">
        <v>196.78</v>
      </c>
      <c r="J918" t="s">
        <v>120</v>
      </c>
      <c r="K918" t="s">
        <v>5345</v>
      </c>
      <c r="L918">
        <v>3.62</v>
      </c>
      <c r="M918">
        <v>8.23</v>
      </c>
      <c r="N918">
        <v>0.81</v>
      </c>
      <c r="O918">
        <v>1.07</v>
      </c>
      <c r="P918">
        <v>8.52</v>
      </c>
      <c r="Q918">
        <v>-3.32</v>
      </c>
      <c r="R918">
        <v>8.15</v>
      </c>
      <c r="S918">
        <v>8.42</v>
      </c>
      <c r="T918">
        <v>310170</v>
      </c>
      <c r="U918">
        <v>8.23</v>
      </c>
      <c r="V918">
        <v>8.43</v>
      </c>
      <c r="W918">
        <v>39.65</v>
      </c>
      <c r="X918" t="s">
        <v>2211</v>
      </c>
      <c r="Y918" t="s">
        <v>585</v>
      </c>
      <c r="Z918">
        <v>4.3899999999999997</v>
      </c>
      <c r="AA918">
        <v>8.32</v>
      </c>
      <c r="AB918">
        <v>177447</v>
      </c>
      <c r="AC918">
        <v>132723</v>
      </c>
      <c r="AD918">
        <v>1.34</v>
      </c>
      <c r="AE918">
        <v>292</v>
      </c>
      <c r="AF918">
        <v>284</v>
      </c>
      <c r="AG918" t="s">
        <v>120</v>
      </c>
      <c r="AH918">
        <v>0.04</v>
      </c>
      <c r="AI918" t="s">
        <v>120</v>
      </c>
      <c r="AJ918">
        <v>8.56</v>
      </c>
      <c r="AK918" t="s">
        <v>5346</v>
      </c>
      <c r="AL918">
        <v>-0.46</v>
      </c>
      <c r="AM918">
        <v>3514</v>
      </c>
      <c r="AN918">
        <v>88</v>
      </c>
      <c r="AO918">
        <v>1E-3</v>
      </c>
      <c r="AP918">
        <v>-1</v>
      </c>
      <c r="AQ918">
        <v>2.68</v>
      </c>
      <c r="AR918">
        <v>6.61</v>
      </c>
      <c r="AS918">
        <v>13.37</v>
      </c>
      <c r="AT918">
        <v>30.43</v>
      </c>
      <c r="AU918">
        <v>29.61</v>
      </c>
      <c r="AV918">
        <v>0</v>
      </c>
      <c r="AW918">
        <v>5.85</v>
      </c>
      <c r="AX918">
        <v>58.51</v>
      </c>
      <c r="AY918">
        <v>38.71</v>
      </c>
      <c r="AZ918">
        <v>45.02</v>
      </c>
      <c r="BA918">
        <v>0.46</v>
      </c>
      <c r="BB918" t="s">
        <v>184</v>
      </c>
      <c r="BF918">
        <v>-1.32</v>
      </c>
      <c r="BG918">
        <v>-2.2599999999999998</v>
      </c>
      <c r="BH918">
        <v>-3.4</v>
      </c>
      <c r="BI918">
        <v>0.98</v>
      </c>
      <c r="BJ918">
        <v>20210825</v>
      </c>
      <c r="BK918">
        <v>20101210</v>
      </c>
      <c r="BL918">
        <v>9.06</v>
      </c>
      <c r="BM918" t="s">
        <v>120</v>
      </c>
      <c r="BN918" t="s">
        <v>120</v>
      </c>
      <c r="BO918">
        <v>34.46</v>
      </c>
      <c r="BP918">
        <v>8.2200000000000006</v>
      </c>
      <c r="BQ918">
        <v>19.45</v>
      </c>
      <c r="BR918">
        <v>0.72</v>
      </c>
      <c r="BS918">
        <v>41.48</v>
      </c>
      <c r="BT918">
        <v>18.29</v>
      </c>
      <c r="BU918">
        <v>13.17</v>
      </c>
      <c r="BV918">
        <v>1.01</v>
      </c>
      <c r="BW918">
        <v>12.4</v>
      </c>
      <c r="BX918">
        <v>6.17</v>
      </c>
      <c r="BY918">
        <v>5.65</v>
      </c>
      <c r="BZ918">
        <v>1.45</v>
      </c>
      <c r="CA918" t="s">
        <v>120</v>
      </c>
      <c r="CB918">
        <v>6.3</v>
      </c>
      <c r="CC918">
        <v>8.7200000000000006</v>
      </c>
      <c r="CD918">
        <v>6.53</v>
      </c>
      <c r="CE918">
        <v>1.01</v>
      </c>
      <c r="CF918">
        <v>0</v>
      </c>
      <c r="CG918">
        <v>1.01</v>
      </c>
      <c r="CH918">
        <v>0.82</v>
      </c>
      <c r="CI918">
        <v>0.94</v>
      </c>
      <c r="CJ918">
        <v>-0.2</v>
      </c>
      <c r="CK918">
        <v>0.9</v>
      </c>
      <c r="CL918">
        <v>2.86</v>
      </c>
      <c r="CM918">
        <v>0.89</v>
      </c>
      <c r="CN918">
        <v>-1.89</v>
      </c>
      <c r="CO918">
        <v>32884</v>
      </c>
      <c r="CP918">
        <v>16116</v>
      </c>
      <c r="CQ918" t="s">
        <v>5347</v>
      </c>
      <c r="CR918">
        <v>41.66</v>
      </c>
      <c r="CS918">
        <v>34.69</v>
      </c>
      <c r="CT918">
        <v>3.83</v>
      </c>
      <c r="CU918">
        <v>83.5</v>
      </c>
      <c r="CV918">
        <v>8.5500000000000007</v>
      </c>
      <c r="CW918">
        <v>0.95</v>
      </c>
      <c r="CX918" t="s">
        <v>411</v>
      </c>
      <c r="CY918">
        <v>2.15</v>
      </c>
      <c r="CZ918">
        <v>0</v>
      </c>
      <c r="DA918">
        <v>0.7</v>
      </c>
      <c r="DB918">
        <v>0.32</v>
      </c>
      <c r="DC918">
        <v>0.1</v>
      </c>
      <c r="DD918">
        <v>56.43</v>
      </c>
      <c r="DE918" t="s">
        <v>1072</v>
      </c>
      <c r="DF918">
        <v>25.07</v>
      </c>
      <c r="DG918">
        <v>11.61</v>
      </c>
      <c r="DH918">
        <v>10.78</v>
      </c>
      <c r="DI918">
        <v>0.28999999999999998</v>
      </c>
      <c r="DJ918">
        <v>928</v>
      </c>
      <c r="DK918">
        <v>2522</v>
      </c>
      <c r="DL918" t="s">
        <v>120</v>
      </c>
      <c r="DM918" t="s">
        <v>120</v>
      </c>
      <c r="DN918" t="s">
        <v>120</v>
      </c>
    </row>
    <row r="919" spans="1:118">
      <c r="A919" t="str">
        <f>"002523"</f>
        <v>002523</v>
      </c>
      <c r="B919" t="s">
        <v>5348</v>
      </c>
      <c r="C919">
        <v>-2.57</v>
      </c>
      <c r="D919">
        <v>0</v>
      </c>
      <c r="E919">
        <v>-1.1000000000000001</v>
      </c>
      <c r="F919">
        <v>2312</v>
      </c>
      <c r="G919" t="s">
        <v>4770</v>
      </c>
      <c r="H919">
        <v>6587</v>
      </c>
      <c r="I919">
        <v>155.83000000000001</v>
      </c>
      <c r="J919" t="s">
        <v>120</v>
      </c>
      <c r="K919" t="s">
        <v>5349</v>
      </c>
      <c r="L919">
        <v>1.76</v>
      </c>
      <c r="M919">
        <v>2.65</v>
      </c>
      <c r="N919">
        <v>1.2</v>
      </c>
      <c r="O919">
        <v>0.74</v>
      </c>
      <c r="P919">
        <v>2.74</v>
      </c>
      <c r="Q919">
        <v>-2.94</v>
      </c>
      <c r="R919">
        <v>2.64</v>
      </c>
      <c r="S919">
        <v>2.69</v>
      </c>
      <c r="T919">
        <v>244817</v>
      </c>
      <c r="U919">
        <v>2.66</v>
      </c>
      <c r="V919">
        <v>2.72</v>
      </c>
      <c r="W919">
        <v>63.02</v>
      </c>
      <c r="X919" t="s">
        <v>593</v>
      </c>
      <c r="Y919" t="s">
        <v>594</v>
      </c>
      <c r="Z919">
        <v>3.68</v>
      </c>
      <c r="AA919">
        <v>2.69</v>
      </c>
      <c r="AB919">
        <v>126726</v>
      </c>
      <c r="AC919">
        <v>118091</v>
      </c>
      <c r="AD919">
        <v>1.07</v>
      </c>
      <c r="AE919">
        <v>170</v>
      </c>
      <c r="AF919">
        <v>1019</v>
      </c>
      <c r="AG919" t="s">
        <v>120</v>
      </c>
      <c r="AH919">
        <v>0.06</v>
      </c>
      <c r="AI919" t="s">
        <v>120</v>
      </c>
      <c r="AJ919">
        <v>13.92</v>
      </c>
      <c r="AK919" t="s">
        <v>4619</v>
      </c>
      <c r="AL919">
        <v>-0.66</v>
      </c>
      <c r="AM919">
        <v>2111</v>
      </c>
      <c r="AN919">
        <v>116</v>
      </c>
      <c r="AO919">
        <v>8.0000000000000004E-4</v>
      </c>
      <c r="AP919">
        <v>-1</v>
      </c>
      <c r="AQ919">
        <v>5.84</v>
      </c>
      <c r="AR919">
        <v>1.93</v>
      </c>
      <c r="AS919">
        <v>12.76</v>
      </c>
      <c r="AT919">
        <v>16.23</v>
      </c>
      <c r="AU919">
        <v>7.72</v>
      </c>
      <c r="AV919">
        <v>0</v>
      </c>
      <c r="AW919">
        <v>2.5</v>
      </c>
      <c r="AX919">
        <v>69.2</v>
      </c>
      <c r="AY919">
        <v>61.06</v>
      </c>
      <c r="AZ919">
        <v>66.319999999999993</v>
      </c>
      <c r="BA919">
        <v>0.28000000000000003</v>
      </c>
      <c r="BB919" t="s">
        <v>700</v>
      </c>
      <c r="BF919">
        <v>-1.08</v>
      </c>
      <c r="BG919">
        <v>-1.49</v>
      </c>
      <c r="BH919">
        <v>-3.28</v>
      </c>
      <c r="BI919">
        <v>0.38</v>
      </c>
      <c r="BJ919">
        <v>20210830</v>
      </c>
      <c r="BK919">
        <v>20101210</v>
      </c>
      <c r="BL919">
        <v>14.17</v>
      </c>
      <c r="BM919" t="s">
        <v>120</v>
      </c>
      <c r="BN919" t="s">
        <v>120</v>
      </c>
      <c r="BO919">
        <v>40.79</v>
      </c>
      <c r="BP919">
        <v>2.65</v>
      </c>
      <c r="BQ919">
        <v>21.83</v>
      </c>
      <c r="BR919">
        <v>1.22</v>
      </c>
      <c r="BS919">
        <v>43.51</v>
      </c>
      <c r="BT919">
        <v>29.89</v>
      </c>
      <c r="BU919">
        <v>4.05</v>
      </c>
      <c r="BV919">
        <v>0.91</v>
      </c>
      <c r="BW919">
        <v>16.760000000000002</v>
      </c>
      <c r="BX919">
        <v>4.1500000000000004</v>
      </c>
      <c r="BY919">
        <v>6.77</v>
      </c>
      <c r="BZ919">
        <v>10.64</v>
      </c>
      <c r="CA919" t="s">
        <v>120</v>
      </c>
      <c r="CB919">
        <v>0.61</v>
      </c>
      <c r="CC919">
        <v>6.37</v>
      </c>
      <c r="CD919">
        <v>5</v>
      </c>
      <c r="CE919">
        <v>0.32</v>
      </c>
      <c r="CF919">
        <v>0.18</v>
      </c>
      <c r="CG919">
        <v>0.31</v>
      </c>
      <c r="CH919">
        <v>0.28999999999999998</v>
      </c>
      <c r="CI919">
        <v>0.3</v>
      </c>
      <c r="CJ919">
        <v>-7.0000000000000007E-2</v>
      </c>
      <c r="CK919">
        <v>0.11</v>
      </c>
      <c r="CL919">
        <v>5.36</v>
      </c>
      <c r="CM919">
        <v>-0.99</v>
      </c>
      <c r="CN919">
        <v>0.28000000000000003</v>
      </c>
      <c r="CO919">
        <v>29929</v>
      </c>
      <c r="CP919">
        <v>32755</v>
      </c>
      <c r="CQ919" t="s">
        <v>5350</v>
      </c>
      <c r="CR919">
        <v>20.2</v>
      </c>
      <c r="CS919">
        <v>36.950000000000003</v>
      </c>
      <c r="CT919">
        <v>1.72</v>
      </c>
      <c r="CU919">
        <v>-37.799999999999997</v>
      </c>
      <c r="CV919">
        <v>5.9</v>
      </c>
      <c r="CW919">
        <v>0.74</v>
      </c>
      <c r="CX919" t="s">
        <v>1016</v>
      </c>
      <c r="CY919">
        <v>1.54</v>
      </c>
      <c r="CZ919">
        <v>0</v>
      </c>
      <c r="DA919">
        <v>0.04</v>
      </c>
      <c r="DB919">
        <v>0.38</v>
      </c>
      <c r="DC919">
        <v>-7.0000000000000007E-2</v>
      </c>
      <c r="DD919">
        <v>53.5</v>
      </c>
      <c r="DE919" t="s">
        <v>980</v>
      </c>
      <c r="DF919">
        <v>21.48</v>
      </c>
      <c r="DG919">
        <v>5.03</v>
      </c>
      <c r="DH919">
        <v>4.68</v>
      </c>
      <c r="DI919">
        <v>0.38</v>
      </c>
      <c r="DJ919">
        <v>1560</v>
      </c>
      <c r="DK919">
        <v>2523</v>
      </c>
      <c r="DL919" t="s">
        <v>120</v>
      </c>
      <c r="DM919" t="s">
        <v>120</v>
      </c>
      <c r="DN919" t="s">
        <v>120</v>
      </c>
    </row>
    <row r="920" spans="1:118">
      <c r="A920" t="str">
        <f>"002524"</f>
        <v>002524</v>
      </c>
      <c r="B920" t="s">
        <v>5351</v>
      </c>
      <c r="C920">
        <v>4.7699999999999996</v>
      </c>
      <c r="D920">
        <v>0</v>
      </c>
      <c r="E920">
        <v>0.1</v>
      </c>
      <c r="F920">
        <v>1890</v>
      </c>
      <c r="G920" t="s">
        <v>5352</v>
      </c>
      <c r="H920">
        <v>16993.68</v>
      </c>
      <c r="I920">
        <v>15.23</v>
      </c>
      <c r="J920" t="s">
        <v>120</v>
      </c>
      <c r="K920" t="s">
        <v>5353</v>
      </c>
      <c r="L920">
        <v>3.19</v>
      </c>
      <c r="M920">
        <v>10.77</v>
      </c>
      <c r="N920">
        <v>1.68</v>
      </c>
      <c r="O920">
        <v>7.88</v>
      </c>
      <c r="P920">
        <v>11.09</v>
      </c>
      <c r="Q920">
        <v>0.1</v>
      </c>
      <c r="R920">
        <v>10.29</v>
      </c>
      <c r="S920">
        <v>10.29</v>
      </c>
      <c r="T920">
        <v>157200</v>
      </c>
      <c r="U920">
        <v>10.78</v>
      </c>
      <c r="V920">
        <v>10.28</v>
      </c>
      <c r="W920">
        <v>45.37</v>
      </c>
      <c r="X920" t="s">
        <v>555</v>
      </c>
      <c r="Y920" t="s">
        <v>609</v>
      </c>
      <c r="Z920">
        <v>7.78</v>
      </c>
      <c r="AA920">
        <v>10.81</v>
      </c>
      <c r="AB920">
        <v>59564</v>
      </c>
      <c r="AC920">
        <v>97636</v>
      </c>
      <c r="AD920">
        <v>0.61</v>
      </c>
      <c r="AE920">
        <v>666</v>
      </c>
      <c r="AF920">
        <v>1397</v>
      </c>
      <c r="AG920" t="s">
        <v>120</v>
      </c>
      <c r="AH920">
        <v>0</v>
      </c>
      <c r="AI920" t="s">
        <v>120</v>
      </c>
      <c r="AJ920">
        <v>4.92</v>
      </c>
      <c r="AK920" t="s">
        <v>5354</v>
      </c>
      <c r="AL920">
        <v>6.68</v>
      </c>
      <c r="AM920">
        <v>3141</v>
      </c>
      <c r="AN920">
        <v>50</v>
      </c>
      <c r="AO920">
        <v>1E-3</v>
      </c>
      <c r="AP920">
        <v>1</v>
      </c>
      <c r="AQ920">
        <v>-3.75</v>
      </c>
      <c r="AR920">
        <v>-2.89</v>
      </c>
      <c r="AS920">
        <v>-0.92</v>
      </c>
      <c r="AT920">
        <v>-25.26</v>
      </c>
      <c r="AU920">
        <v>-25</v>
      </c>
      <c r="AV920">
        <v>6</v>
      </c>
      <c r="AW920">
        <v>4.33</v>
      </c>
      <c r="AX920">
        <v>70.33</v>
      </c>
      <c r="AY920">
        <v>47.23</v>
      </c>
      <c r="AZ920">
        <v>124.62</v>
      </c>
      <c r="BA920">
        <v>0.97</v>
      </c>
      <c r="BB920" t="s">
        <v>143</v>
      </c>
      <c r="BF920">
        <v>5.16</v>
      </c>
      <c r="BG920">
        <v>4.66</v>
      </c>
      <c r="BH920">
        <v>-2.89</v>
      </c>
      <c r="BI920">
        <v>4.66</v>
      </c>
      <c r="BJ920">
        <v>20210825</v>
      </c>
      <c r="BK920">
        <v>20101217</v>
      </c>
      <c r="BL920">
        <v>5.16</v>
      </c>
      <c r="BM920" t="s">
        <v>120</v>
      </c>
      <c r="BN920" t="s">
        <v>120</v>
      </c>
      <c r="BO920">
        <v>18.47</v>
      </c>
      <c r="BP920">
        <v>10.77</v>
      </c>
      <c r="BQ920">
        <v>3.73</v>
      </c>
      <c r="BR920">
        <v>0.01</v>
      </c>
      <c r="BS920">
        <v>79.739999999999995</v>
      </c>
      <c r="BT920">
        <v>3.59</v>
      </c>
      <c r="BU920">
        <v>1.84</v>
      </c>
      <c r="BV920">
        <v>0.56000000000000005</v>
      </c>
      <c r="BW920">
        <v>8.92</v>
      </c>
      <c r="BX920">
        <v>0.77</v>
      </c>
      <c r="BY920">
        <v>0.79</v>
      </c>
      <c r="BZ920">
        <v>0.92</v>
      </c>
      <c r="CA920">
        <v>0.01</v>
      </c>
      <c r="CB920">
        <v>1.05</v>
      </c>
      <c r="CC920">
        <v>5.28</v>
      </c>
      <c r="CD920">
        <v>3.42</v>
      </c>
      <c r="CE920">
        <v>0.65</v>
      </c>
      <c r="CF920">
        <v>0.72</v>
      </c>
      <c r="CG920">
        <v>0.65</v>
      </c>
      <c r="CH920">
        <v>0.61</v>
      </c>
      <c r="CI920">
        <v>0.61</v>
      </c>
      <c r="CJ920">
        <v>0.49</v>
      </c>
      <c r="CK920">
        <v>-0.09</v>
      </c>
      <c r="CL920">
        <v>-1.86</v>
      </c>
      <c r="CM920">
        <v>0.23</v>
      </c>
      <c r="CN920">
        <v>-0.31</v>
      </c>
      <c r="CO920">
        <v>56216</v>
      </c>
      <c r="CP920">
        <v>6460</v>
      </c>
      <c r="CQ920" t="s">
        <v>5355</v>
      </c>
      <c r="CR920">
        <v>819.89</v>
      </c>
      <c r="CS920">
        <v>69.349999999999994</v>
      </c>
      <c r="CT920">
        <v>14.91</v>
      </c>
      <c r="CU920">
        <v>242.82</v>
      </c>
      <c r="CV920">
        <v>10.53</v>
      </c>
      <c r="CW920">
        <v>0</v>
      </c>
      <c r="CX920" t="s">
        <v>850</v>
      </c>
      <c r="CY920">
        <v>0.72</v>
      </c>
      <c r="CZ920">
        <v>0</v>
      </c>
      <c r="DA920">
        <v>0.2</v>
      </c>
      <c r="DB920">
        <v>-0.36</v>
      </c>
      <c r="DC920">
        <v>0.04</v>
      </c>
      <c r="DD920">
        <v>20.2</v>
      </c>
      <c r="DE920" t="s">
        <v>5356</v>
      </c>
      <c r="DF920">
        <v>35.24</v>
      </c>
      <c r="DG920">
        <v>12.3</v>
      </c>
      <c r="DH920">
        <v>11.6</v>
      </c>
      <c r="DI920">
        <v>0.01</v>
      </c>
      <c r="DJ920">
        <v>1671</v>
      </c>
      <c r="DK920">
        <v>2524</v>
      </c>
      <c r="DL920" t="s">
        <v>120</v>
      </c>
      <c r="DM920" t="s">
        <v>120</v>
      </c>
      <c r="DN920" t="s">
        <v>120</v>
      </c>
    </row>
    <row r="921" spans="1:118">
      <c r="A921" t="str">
        <f>"002526"</f>
        <v>002526</v>
      </c>
      <c r="B921" t="s">
        <v>5357</v>
      </c>
      <c r="C921">
        <v>-0.41</v>
      </c>
      <c r="D921">
        <v>0</v>
      </c>
      <c r="E921">
        <v>1.24</v>
      </c>
      <c r="F921">
        <v>17791</v>
      </c>
      <c r="G921" t="s">
        <v>5358</v>
      </c>
      <c r="H921">
        <v>48273.98</v>
      </c>
      <c r="I921">
        <v>1256.7</v>
      </c>
      <c r="J921" t="s">
        <v>120</v>
      </c>
      <c r="K921" t="s">
        <v>5359</v>
      </c>
      <c r="L921">
        <v>11.26</v>
      </c>
      <c r="M921">
        <v>2.41</v>
      </c>
      <c r="N921">
        <v>3.4</v>
      </c>
      <c r="O921">
        <v>3.72</v>
      </c>
      <c r="P921">
        <v>2.5099999999999998</v>
      </c>
      <c r="Q921">
        <v>-1.65</v>
      </c>
      <c r="R921">
        <v>2.38</v>
      </c>
      <c r="S921">
        <v>2.4500000000000002</v>
      </c>
      <c r="T921">
        <v>1982928</v>
      </c>
      <c r="U921">
        <v>2.42</v>
      </c>
      <c r="V921">
        <v>2.42</v>
      </c>
      <c r="W921">
        <v>31.98</v>
      </c>
      <c r="X921" t="s">
        <v>593</v>
      </c>
      <c r="Y921" t="s">
        <v>638</v>
      </c>
      <c r="Z921">
        <v>5.37</v>
      </c>
      <c r="AA921">
        <v>2.4300000000000002</v>
      </c>
      <c r="AB921">
        <v>921509</v>
      </c>
      <c r="AC921">
        <v>1061419</v>
      </c>
      <c r="AD921">
        <v>0.87</v>
      </c>
      <c r="AE921">
        <v>1885</v>
      </c>
      <c r="AF921">
        <v>4371</v>
      </c>
      <c r="AG921" t="s">
        <v>120</v>
      </c>
      <c r="AH921">
        <v>0.37</v>
      </c>
      <c r="AI921" t="s">
        <v>120</v>
      </c>
      <c r="AJ921">
        <v>17.61</v>
      </c>
      <c r="AK921" t="s">
        <v>5360</v>
      </c>
      <c r="AL921">
        <v>1.5</v>
      </c>
      <c r="AM921">
        <v>3836</v>
      </c>
      <c r="AN921">
        <v>517</v>
      </c>
      <c r="AO921">
        <v>2.8999999999999998E-3</v>
      </c>
      <c r="AP921">
        <v>-1</v>
      </c>
      <c r="AQ921">
        <v>10</v>
      </c>
      <c r="AR921">
        <v>5.24</v>
      </c>
      <c r="AS921">
        <v>20.5</v>
      </c>
      <c r="AT921">
        <v>13.15</v>
      </c>
      <c r="AU921">
        <v>0.41</v>
      </c>
      <c r="AV921">
        <v>1</v>
      </c>
      <c r="AW921">
        <v>14.26</v>
      </c>
      <c r="AX921">
        <v>77.98</v>
      </c>
      <c r="AY921">
        <v>81.41</v>
      </c>
      <c r="AZ921">
        <v>40.880000000000003</v>
      </c>
      <c r="BA921">
        <v>0.23</v>
      </c>
      <c r="BB921" t="s">
        <v>168</v>
      </c>
      <c r="BF921">
        <v>0.6</v>
      </c>
      <c r="BG921">
        <v>-1.63</v>
      </c>
      <c r="BH921">
        <v>-3.98</v>
      </c>
      <c r="BI921">
        <v>1.26</v>
      </c>
      <c r="BJ921">
        <v>20210826</v>
      </c>
      <c r="BK921">
        <v>20101217</v>
      </c>
      <c r="BL921">
        <v>17.829999999999998</v>
      </c>
      <c r="BM921" t="s">
        <v>120</v>
      </c>
      <c r="BN921" t="s">
        <v>120</v>
      </c>
      <c r="BO921">
        <v>35.840000000000003</v>
      </c>
      <c r="BP921">
        <v>2.41</v>
      </c>
      <c r="BQ921">
        <v>27.94</v>
      </c>
      <c r="BR921">
        <v>0.49</v>
      </c>
      <c r="BS921">
        <v>20.69</v>
      </c>
      <c r="BT921">
        <v>25.19</v>
      </c>
      <c r="BU921">
        <v>4.4000000000000004</v>
      </c>
      <c r="BV921">
        <v>1.61</v>
      </c>
      <c r="BW921">
        <v>7.35</v>
      </c>
      <c r="BX921">
        <v>2.5499999999999998</v>
      </c>
      <c r="BY921">
        <v>5.73</v>
      </c>
      <c r="BZ921">
        <v>7.38</v>
      </c>
      <c r="CA921" t="s">
        <v>120</v>
      </c>
      <c r="CB921">
        <v>3.91</v>
      </c>
      <c r="CC921">
        <v>10.68</v>
      </c>
      <c r="CD921">
        <v>8.18</v>
      </c>
      <c r="CE921">
        <v>0.96</v>
      </c>
      <c r="CF921">
        <v>0.1</v>
      </c>
      <c r="CG921">
        <v>0.97</v>
      </c>
      <c r="CH921">
        <v>0.7</v>
      </c>
      <c r="CI921">
        <v>0.67</v>
      </c>
      <c r="CJ921">
        <v>-0.01</v>
      </c>
      <c r="CK921">
        <v>0.6</v>
      </c>
      <c r="CL921">
        <v>5.56</v>
      </c>
      <c r="CM921">
        <v>-0.54</v>
      </c>
      <c r="CN921">
        <v>-2.2999999999999998</v>
      </c>
      <c r="CO921">
        <v>78000</v>
      </c>
      <c r="CP921">
        <v>17824</v>
      </c>
      <c r="CQ921" t="s">
        <v>160</v>
      </c>
      <c r="CR921">
        <v>-43.88</v>
      </c>
      <c r="CS921">
        <v>0.42</v>
      </c>
      <c r="CT921">
        <v>1.54</v>
      </c>
      <c r="CU921">
        <v>-79.180000000000007</v>
      </c>
      <c r="CV921">
        <v>4.0199999999999996</v>
      </c>
      <c r="CW921">
        <v>0</v>
      </c>
      <c r="CX921" t="s">
        <v>5361</v>
      </c>
      <c r="CY921">
        <v>1.57</v>
      </c>
      <c r="CZ921">
        <v>0</v>
      </c>
      <c r="DA921">
        <v>0.22</v>
      </c>
      <c r="DB921">
        <v>0.31</v>
      </c>
      <c r="DC921">
        <v>-0.03</v>
      </c>
      <c r="DD921">
        <v>77.95</v>
      </c>
      <c r="DE921" t="s">
        <v>507</v>
      </c>
      <c r="DF921">
        <v>23.36</v>
      </c>
      <c r="DG921">
        <v>8.99</v>
      </c>
      <c r="DH921">
        <v>6.29</v>
      </c>
      <c r="DI921">
        <v>0.31</v>
      </c>
      <c r="DJ921">
        <v>2140</v>
      </c>
      <c r="DK921">
        <v>2526</v>
      </c>
      <c r="DL921" t="s">
        <v>120</v>
      </c>
      <c r="DM921" t="s">
        <v>120</v>
      </c>
      <c r="DN921" t="s">
        <v>120</v>
      </c>
    </row>
    <row r="922" spans="1:118">
      <c r="A922" t="str">
        <f>"002527"</f>
        <v>002527</v>
      </c>
      <c r="B922" t="s">
        <v>5362</v>
      </c>
      <c r="C922">
        <v>-5.0999999999999996</v>
      </c>
      <c r="D922">
        <v>-0.28999999999999998</v>
      </c>
      <c r="E922">
        <v>-0.09</v>
      </c>
      <c r="F922">
        <v>1816</v>
      </c>
      <c r="G922" t="s">
        <v>5363</v>
      </c>
      <c r="H922">
        <v>16383.25</v>
      </c>
      <c r="I922">
        <v>42.85</v>
      </c>
      <c r="J922" t="s">
        <v>120</v>
      </c>
      <c r="K922" t="s">
        <v>5364</v>
      </c>
      <c r="L922">
        <v>3.28</v>
      </c>
      <c r="M922">
        <v>10.050000000000001</v>
      </c>
      <c r="N922">
        <v>1.18</v>
      </c>
      <c r="O922">
        <v>0.85</v>
      </c>
      <c r="P922">
        <v>10.68</v>
      </c>
      <c r="Q922">
        <v>-5.76</v>
      </c>
      <c r="R922">
        <v>9.98</v>
      </c>
      <c r="S922">
        <v>10.58</v>
      </c>
      <c r="T922">
        <v>160111</v>
      </c>
      <c r="U922">
        <v>10.050000000000001</v>
      </c>
      <c r="V922">
        <v>10.59</v>
      </c>
      <c r="W922">
        <v>35.340000000000003</v>
      </c>
      <c r="X922" t="s">
        <v>2717</v>
      </c>
      <c r="Y922" t="s">
        <v>1510</v>
      </c>
      <c r="Z922">
        <v>6.61</v>
      </c>
      <c r="AA922">
        <v>10.23</v>
      </c>
      <c r="AB922">
        <v>89721</v>
      </c>
      <c r="AC922">
        <v>70390</v>
      </c>
      <c r="AD922">
        <v>1.27</v>
      </c>
      <c r="AE922">
        <v>13</v>
      </c>
      <c r="AF922">
        <v>417</v>
      </c>
      <c r="AG922" t="s">
        <v>120</v>
      </c>
      <c r="AH922">
        <v>0.01</v>
      </c>
      <c r="AI922" t="s">
        <v>120</v>
      </c>
      <c r="AJ922">
        <v>4.8899999999999997</v>
      </c>
      <c r="AK922" t="s">
        <v>5365</v>
      </c>
      <c r="AL922">
        <v>-3.19</v>
      </c>
      <c r="AM922">
        <v>3210</v>
      </c>
      <c r="AN922">
        <v>50</v>
      </c>
      <c r="AO922">
        <v>1E-3</v>
      </c>
      <c r="AP922">
        <v>-1</v>
      </c>
      <c r="AQ922">
        <v>1.05</v>
      </c>
      <c r="AR922">
        <v>-6.08</v>
      </c>
      <c r="AS922">
        <v>14.07</v>
      </c>
      <c r="AT922">
        <v>37.86</v>
      </c>
      <c r="AU922">
        <v>67.22</v>
      </c>
      <c r="AV922">
        <v>4</v>
      </c>
      <c r="AW922">
        <v>3.88</v>
      </c>
      <c r="AX922">
        <v>66.290000000000006</v>
      </c>
      <c r="AY922">
        <v>49.96</v>
      </c>
      <c r="AZ922">
        <v>75.98</v>
      </c>
      <c r="BA922">
        <v>1.22</v>
      </c>
      <c r="BB922" t="s">
        <v>143</v>
      </c>
      <c r="BF922">
        <v>-3.38</v>
      </c>
      <c r="BG922">
        <v>-5.01</v>
      </c>
      <c r="BH922">
        <v>-5.9</v>
      </c>
      <c r="BI922">
        <v>0.7</v>
      </c>
      <c r="BJ922">
        <v>20210913</v>
      </c>
      <c r="BK922">
        <v>20101224</v>
      </c>
      <c r="BL922">
        <v>6.23</v>
      </c>
      <c r="BM922" t="s">
        <v>120</v>
      </c>
      <c r="BN922" t="s">
        <v>120</v>
      </c>
      <c r="BO922">
        <v>64.42</v>
      </c>
      <c r="BP922">
        <v>10.039999999999999</v>
      </c>
      <c r="BQ922">
        <v>27.69</v>
      </c>
      <c r="BR922">
        <v>5.79</v>
      </c>
      <c r="BS922">
        <v>48.02</v>
      </c>
      <c r="BT922">
        <v>40.799999999999997</v>
      </c>
      <c r="BU922">
        <v>5.9</v>
      </c>
      <c r="BV922">
        <v>2.33</v>
      </c>
      <c r="BW922">
        <v>25.94</v>
      </c>
      <c r="BX922">
        <v>11.39</v>
      </c>
      <c r="BY922">
        <v>9.94</v>
      </c>
      <c r="BZ922">
        <v>10.97</v>
      </c>
      <c r="CA922" t="s">
        <v>120</v>
      </c>
      <c r="CB922">
        <v>12.68</v>
      </c>
      <c r="CC922">
        <v>20.53</v>
      </c>
      <c r="CD922">
        <v>16.29</v>
      </c>
      <c r="CE922">
        <v>1.44</v>
      </c>
      <c r="CF922">
        <v>0.08</v>
      </c>
      <c r="CG922">
        <v>1.44</v>
      </c>
      <c r="CH922">
        <v>1.02</v>
      </c>
      <c r="CI922">
        <v>0.89</v>
      </c>
      <c r="CJ922">
        <v>-0.54</v>
      </c>
      <c r="CK922">
        <v>0.73</v>
      </c>
      <c r="CL922">
        <v>7.33</v>
      </c>
      <c r="CM922">
        <v>2.2999999999999998</v>
      </c>
      <c r="CN922">
        <v>-0.36</v>
      </c>
      <c r="CO922">
        <v>37833</v>
      </c>
      <c r="CP922">
        <v>10912</v>
      </c>
      <c r="CQ922" t="s">
        <v>456</v>
      </c>
      <c r="CR922">
        <v>104.36</v>
      </c>
      <c r="CS922">
        <v>19.73</v>
      </c>
      <c r="CT922">
        <v>2.3199999999999998</v>
      </c>
      <c r="CU922">
        <v>27.27</v>
      </c>
      <c r="CV922">
        <v>3.05</v>
      </c>
      <c r="CW922">
        <v>0.38</v>
      </c>
      <c r="CX922" t="s">
        <v>300</v>
      </c>
      <c r="CY922">
        <v>4.32</v>
      </c>
      <c r="CZ922">
        <v>4.32</v>
      </c>
      <c r="DA922">
        <v>2.04</v>
      </c>
      <c r="DB922">
        <v>1.18</v>
      </c>
      <c r="DC922">
        <v>0.37</v>
      </c>
      <c r="DD922">
        <v>42.99</v>
      </c>
      <c r="DE922" t="s">
        <v>301</v>
      </c>
      <c r="DF922">
        <v>20.64</v>
      </c>
      <c r="DG922">
        <v>7.01</v>
      </c>
      <c r="DH922">
        <v>4.3099999999999996</v>
      </c>
      <c r="DI922">
        <v>1.03</v>
      </c>
      <c r="DJ922">
        <v>2512</v>
      </c>
      <c r="DK922">
        <v>2527</v>
      </c>
      <c r="DL922" t="s">
        <v>120</v>
      </c>
      <c r="DM922" t="s">
        <v>120</v>
      </c>
      <c r="DN922" t="s">
        <v>120</v>
      </c>
    </row>
    <row r="923" spans="1:118">
      <c r="A923" t="str">
        <f>"002528"</f>
        <v>002528</v>
      </c>
      <c r="B923" t="s">
        <v>5366</v>
      </c>
      <c r="C923">
        <v>-1.1299999999999999</v>
      </c>
      <c r="D923">
        <v>0</v>
      </c>
      <c r="E923">
        <v>0</v>
      </c>
      <c r="F923">
        <v>407</v>
      </c>
      <c r="G923" t="s">
        <v>5367</v>
      </c>
      <c r="H923">
        <v>1523.4</v>
      </c>
      <c r="I923">
        <v>0</v>
      </c>
      <c r="J923" t="s">
        <v>120</v>
      </c>
      <c r="K923" t="s">
        <v>5368</v>
      </c>
      <c r="L923">
        <v>0.41</v>
      </c>
      <c r="M923">
        <v>3.51</v>
      </c>
      <c r="N923">
        <v>0.88</v>
      </c>
      <c r="O923">
        <v>0.85</v>
      </c>
      <c r="P923">
        <v>3.58</v>
      </c>
      <c r="Q923">
        <v>-1.41</v>
      </c>
      <c r="R923">
        <v>3.5</v>
      </c>
      <c r="S923">
        <v>3.55</v>
      </c>
      <c r="T923">
        <v>43022</v>
      </c>
      <c r="U923">
        <v>3.52</v>
      </c>
      <c r="V923">
        <v>3.55</v>
      </c>
      <c r="W923" t="s">
        <v>120</v>
      </c>
      <c r="X923" t="s">
        <v>238</v>
      </c>
      <c r="Y923" t="s">
        <v>123</v>
      </c>
      <c r="Z923">
        <v>2.25</v>
      </c>
      <c r="AA923">
        <v>3.54</v>
      </c>
      <c r="AB923">
        <v>24938</v>
      </c>
      <c r="AC923">
        <v>18084</v>
      </c>
      <c r="AD923">
        <v>1.38</v>
      </c>
      <c r="AE923">
        <v>539</v>
      </c>
      <c r="AF923">
        <v>1248</v>
      </c>
      <c r="AG923" t="s">
        <v>120</v>
      </c>
      <c r="AH923">
        <v>0</v>
      </c>
      <c r="AI923" t="s">
        <v>120</v>
      </c>
      <c r="AJ923">
        <v>10.46</v>
      </c>
      <c r="AK923" t="s">
        <v>5369</v>
      </c>
      <c r="AL923">
        <v>0.79</v>
      </c>
      <c r="AM923">
        <v>941</v>
      </c>
      <c r="AN923">
        <v>46</v>
      </c>
      <c r="AO923">
        <v>4.0000000000000002E-4</v>
      </c>
      <c r="AP923">
        <v>-1</v>
      </c>
      <c r="AQ923">
        <v>0</v>
      </c>
      <c r="AR923">
        <v>-1.96</v>
      </c>
      <c r="AS923">
        <v>2.94</v>
      </c>
      <c r="AT923">
        <v>-6.4</v>
      </c>
      <c r="AU923">
        <v>0.56999999999999995</v>
      </c>
      <c r="AV923">
        <v>2</v>
      </c>
      <c r="AW923">
        <v>1.02</v>
      </c>
      <c r="AX923">
        <v>35.1</v>
      </c>
      <c r="AY923">
        <v>87.1</v>
      </c>
      <c r="AZ923">
        <v>48.63</v>
      </c>
      <c r="BA923">
        <v>0.33</v>
      </c>
      <c r="BB923" t="s">
        <v>143</v>
      </c>
      <c r="BF923">
        <v>-0.25</v>
      </c>
      <c r="BG923">
        <v>-1.1299999999999999</v>
      </c>
      <c r="BH923">
        <v>-1.96</v>
      </c>
      <c r="BI923">
        <v>0.28999999999999998</v>
      </c>
      <c r="BJ923">
        <v>20210913</v>
      </c>
      <c r="BK923">
        <v>20101224</v>
      </c>
      <c r="BL923">
        <v>11.99</v>
      </c>
      <c r="BM923" t="s">
        <v>120</v>
      </c>
      <c r="BN923" t="s">
        <v>120</v>
      </c>
      <c r="BO923">
        <v>76.37</v>
      </c>
      <c r="BP923">
        <v>3.51</v>
      </c>
      <c r="BQ923">
        <v>36.67</v>
      </c>
      <c r="BR923">
        <v>0.03</v>
      </c>
      <c r="BS923">
        <v>51.94</v>
      </c>
      <c r="BT923">
        <v>43.2</v>
      </c>
      <c r="BU923">
        <v>1.19</v>
      </c>
      <c r="BV923">
        <v>1.61</v>
      </c>
      <c r="BW923">
        <v>35.380000000000003</v>
      </c>
      <c r="BX923">
        <v>6.67</v>
      </c>
      <c r="BY923">
        <v>8.1199999999999992</v>
      </c>
      <c r="BZ923">
        <v>19.309999999999999</v>
      </c>
      <c r="CA923" t="s">
        <v>120</v>
      </c>
      <c r="CB923">
        <v>22.99</v>
      </c>
      <c r="CC923">
        <v>15.4</v>
      </c>
      <c r="CD923">
        <v>12.1</v>
      </c>
      <c r="CE923">
        <v>-1.1200000000000001</v>
      </c>
      <c r="CF923">
        <v>0.01</v>
      </c>
      <c r="CG923">
        <v>-1.0900000000000001</v>
      </c>
      <c r="CH923">
        <v>-1.18</v>
      </c>
      <c r="CI923">
        <v>-1.17</v>
      </c>
      <c r="CJ923">
        <v>-0.04</v>
      </c>
      <c r="CK923">
        <v>-1.18</v>
      </c>
      <c r="CL923">
        <v>0.71</v>
      </c>
      <c r="CM923">
        <v>1.29</v>
      </c>
      <c r="CN923">
        <v>0.21</v>
      </c>
      <c r="CO923">
        <v>39654</v>
      </c>
      <c r="CP923">
        <v>10610</v>
      </c>
      <c r="CQ923" t="s">
        <v>708</v>
      </c>
      <c r="CR923">
        <v>-49.56</v>
      </c>
      <c r="CS923">
        <v>-8.4700000000000006</v>
      </c>
      <c r="CT923">
        <v>1.1499999999999999</v>
      </c>
      <c r="CU923">
        <v>32.64</v>
      </c>
      <c r="CV923">
        <v>2.73</v>
      </c>
      <c r="CW923">
        <v>0</v>
      </c>
      <c r="CX923" t="s">
        <v>4401</v>
      </c>
      <c r="CY923">
        <v>3.06</v>
      </c>
      <c r="CZ923">
        <v>0</v>
      </c>
      <c r="DA923">
        <v>1.92</v>
      </c>
      <c r="DB923">
        <v>0.06</v>
      </c>
      <c r="DC923">
        <v>0.11</v>
      </c>
      <c r="DD923">
        <v>48.02</v>
      </c>
      <c r="DE923" t="s">
        <v>5370</v>
      </c>
      <c r="DF923">
        <v>21.39</v>
      </c>
      <c r="DG923">
        <v>-7.29</v>
      </c>
      <c r="DH923">
        <v>-7.57</v>
      </c>
      <c r="DI923">
        <v>1.07</v>
      </c>
      <c r="DJ923">
        <v>1543</v>
      </c>
      <c r="DK923">
        <v>2528</v>
      </c>
      <c r="DL923" t="s">
        <v>120</v>
      </c>
      <c r="DM923" t="s">
        <v>120</v>
      </c>
      <c r="DN923" t="s">
        <v>120</v>
      </c>
    </row>
    <row r="924" spans="1:118">
      <c r="A924" t="str">
        <f>"002529"</f>
        <v>002529</v>
      </c>
      <c r="B924" t="s">
        <v>5371</v>
      </c>
      <c r="C924">
        <v>-10</v>
      </c>
      <c r="D924">
        <v>0</v>
      </c>
      <c r="E924">
        <v>0.76</v>
      </c>
      <c r="F924">
        <v>228</v>
      </c>
      <c r="G924" t="s">
        <v>5372</v>
      </c>
      <c r="H924">
        <v>62733.04</v>
      </c>
      <c r="I924">
        <v>1104.71</v>
      </c>
      <c r="J924">
        <v>682.63</v>
      </c>
      <c r="K924" t="s">
        <v>5373</v>
      </c>
      <c r="L924">
        <v>11.47</v>
      </c>
      <c r="M924">
        <v>20.25</v>
      </c>
      <c r="N924">
        <v>0.97</v>
      </c>
      <c r="O924">
        <v>1.73</v>
      </c>
      <c r="P924">
        <v>22.89</v>
      </c>
      <c r="Q924">
        <v>-10</v>
      </c>
      <c r="R924">
        <v>20.25</v>
      </c>
      <c r="S924">
        <v>22.67</v>
      </c>
      <c r="T924">
        <v>298305</v>
      </c>
      <c r="U924">
        <v>20.25</v>
      </c>
      <c r="V924">
        <v>22.5</v>
      </c>
      <c r="W924" t="s">
        <v>120</v>
      </c>
      <c r="X924" t="s">
        <v>675</v>
      </c>
      <c r="Y924" t="s">
        <v>937</v>
      </c>
      <c r="Z924">
        <v>11.73</v>
      </c>
      <c r="AA924">
        <v>21.03</v>
      </c>
      <c r="AB924">
        <v>154406</v>
      </c>
      <c r="AC924">
        <v>143899</v>
      </c>
      <c r="AD924">
        <v>1.07</v>
      </c>
      <c r="AE924">
        <v>0</v>
      </c>
      <c r="AF924">
        <v>3371</v>
      </c>
      <c r="AG924" t="s">
        <v>120</v>
      </c>
      <c r="AH924">
        <v>0.26</v>
      </c>
      <c r="AI924">
        <v>0.01</v>
      </c>
      <c r="AJ924">
        <v>2.6</v>
      </c>
      <c r="AK924" t="s">
        <v>5373</v>
      </c>
      <c r="AL924">
        <v>-8.09</v>
      </c>
      <c r="AM924">
        <v>3697</v>
      </c>
      <c r="AN924">
        <v>81</v>
      </c>
      <c r="AO924">
        <v>3.0999999999999999E-3</v>
      </c>
      <c r="AP924">
        <v>-1</v>
      </c>
      <c r="AQ924">
        <v>1.26</v>
      </c>
      <c r="AR924">
        <v>0.25</v>
      </c>
      <c r="AS924">
        <v>10.050000000000001</v>
      </c>
      <c r="AT924">
        <v>150.93</v>
      </c>
      <c r="AU924">
        <v>167.86</v>
      </c>
      <c r="AV924">
        <v>28</v>
      </c>
      <c r="AW924">
        <v>16.12</v>
      </c>
      <c r="AX924">
        <v>71.2</v>
      </c>
      <c r="AY924" t="s">
        <v>120</v>
      </c>
      <c r="AZ924">
        <v>177.99</v>
      </c>
      <c r="BA924">
        <v>0.5</v>
      </c>
      <c r="BB924" t="s">
        <v>751</v>
      </c>
      <c r="BF924">
        <v>-6.53</v>
      </c>
      <c r="BG924">
        <v>-10.67</v>
      </c>
      <c r="BH924">
        <v>-11.53</v>
      </c>
      <c r="BI924">
        <v>0</v>
      </c>
      <c r="BJ924">
        <v>20210830</v>
      </c>
      <c r="BK924">
        <v>20101224</v>
      </c>
      <c r="BL924">
        <v>2.6</v>
      </c>
      <c r="BM924" t="s">
        <v>120</v>
      </c>
      <c r="BN924" t="s">
        <v>120</v>
      </c>
      <c r="BO924">
        <v>10.97</v>
      </c>
      <c r="BP924" t="s">
        <v>120</v>
      </c>
      <c r="BQ924">
        <v>8.41</v>
      </c>
      <c r="BR924" t="s">
        <v>120</v>
      </c>
      <c r="BS924">
        <v>23.28</v>
      </c>
      <c r="BT924">
        <v>4.83</v>
      </c>
      <c r="BU924">
        <v>4.3099999999999996</v>
      </c>
      <c r="BV924">
        <v>0.53</v>
      </c>
      <c r="BW924">
        <v>2.42</v>
      </c>
      <c r="BX924">
        <v>7.0000000000000007E-2</v>
      </c>
      <c r="BY924">
        <v>2.12</v>
      </c>
      <c r="BZ924">
        <v>1.26</v>
      </c>
      <c r="CA924" t="s">
        <v>120</v>
      </c>
      <c r="CB924">
        <v>11.63</v>
      </c>
      <c r="CC924">
        <v>1.38</v>
      </c>
      <c r="CD924">
        <v>1.22</v>
      </c>
      <c r="CE924">
        <v>-0.17</v>
      </c>
      <c r="CF924">
        <v>-0.02</v>
      </c>
      <c r="CG924">
        <v>-0.17</v>
      </c>
      <c r="CH924">
        <v>-0.16</v>
      </c>
      <c r="CI924">
        <v>-0.16</v>
      </c>
      <c r="CJ924">
        <v>-2.25</v>
      </c>
      <c r="CK924">
        <v>-0.14000000000000001</v>
      </c>
      <c r="CL924">
        <v>-6.26</v>
      </c>
      <c r="CM924">
        <v>-0.22</v>
      </c>
      <c r="CN924">
        <v>-0.66</v>
      </c>
      <c r="CO924">
        <v>19577</v>
      </c>
      <c r="CP924">
        <v>9455</v>
      </c>
      <c r="CQ924" t="s">
        <v>5374</v>
      </c>
      <c r="CR924">
        <v>-192.38</v>
      </c>
      <c r="CS924">
        <v>7.47</v>
      </c>
      <c r="CT924">
        <v>6.26</v>
      </c>
      <c r="CU924">
        <v>-235.71</v>
      </c>
      <c r="CV924">
        <v>38.06</v>
      </c>
      <c r="CW924">
        <v>0</v>
      </c>
      <c r="CX924" t="s">
        <v>2852</v>
      </c>
      <c r="CY924">
        <v>3.24</v>
      </c>
      <c r="CZ924">
        <v>0</v>
      </c>
      <c r="DA924">
        <v>4.47</v>
      </c>
      <c r="DB924">
        <v>-2.41</v>
      </c>
      <c r="DC924">
        <v>-0.09</v>
      </c>
      <c r="DD924">
        <v>76.72</v>
      </c>
      <c r="DE924" t="s">
        <v>5375</v>
      </c>
      <c r="DF924">
        <v>11.85</v>
      </c>
      <c r="DG924">
        <v>-12.62</v>
      </c>
      <c r="DH924">
        <v>-11.61</v>
      </c>
      <c r="DI924">
        <v>0.08</v>
      </c>
      <c r="DJ924">
        <v>549</v>
      </c>
      <c r="DK924">
        <v>2529</v>
      </c>
      <c r="DL924" t="s">
        <v>120</v>
      </c>
      <c r="DM924" t="s">
        <v>120</v>
      </c>
      <c r="DN924" t="s">
        <v>120</v>
      </c>
    </row>
    <row r="925" spans="1:118">
      <c r="A925" t="str">
        <f>"002530"</f>
        <v>002530</v>
      </c>
      <c r="B925" t="s">
        <v>5376</v>
      </c>
      <c r="C925">
        <v>5.53</v>
      </c>
      <c r="D925">
        <v>0</v>
      </c>
      <c r="E925">
        <v>-0.3</v>
      </c>
      <c r="F925">
        <v>2579</v>
      </c>
      <c r="G925" t="s">
        <v>5377</v>
      </c>
      <c r="H925">
        <v>20585.009999999998</v>
      </c>
      <c r="I925">
        <v>4.87</v>
      </c>
      <c r="J925" t="s">
        <v>120</v>
      </c>
      <c r="K925" t="s">
        <v>5378</v>
      </c>
      <c r="L925">
        <v>4.51</v>
      </c>
      <c r="M925">
        <v>7.06</v>
      </c>
      <c r="N925">
        <v>2.41</v>
      </c>
      <c r="O925">
        <v>9.57</v>
      </c>
      <c r="P925">
        <v>7.33</v>
      </c>
      <c r="Q925">
        <v>-1.35</v>
      </c>
      <c r="R925">
        <v>6.6</v>
      </c>
      <c r="S925">
        <v>6.67</v>
      </c>
      <c r="T925">
        <v>292509</v>
      </c>
      <c r="U925">
        <v>7.06</v>
      </c>
      <c r="V925">
        <v>6.69</v>
      </c>
      <c r="W925" t="s">
        <v>120</v>
      </c>
      <c r="X925" t="s">
        <v>141</v>
      </c>
      <c r="Y925" t="s">
        <v>319</v>
      </c>
      <c r="Z925">
        <v>10.91</v>
      </c>
      <c r="AA925">
        <v>7.04</v>
      </c>
      <c r="AB925">
        <v>119512</v>
      </c>
      <c r="AC925">
        <v>172997</v>
      </c>
      <c r="AD925">
        <v>0.69</v>
      </c>
      <c r="AE925">
        <v>598</v>
      </c>
      <c r="AF925">
        <v>359</v>
      </c>
      <c r="AG925" t="s">
        <v>120</v>
      </c>
      <c r="AH925">
        <v>0</v>
      </c>
      <c r="AI925" t="s">
        <v>120</v>
      </c>
      <c r="AJ925">
        <v>6.49</v>
      </c>
      <c r="AK925" t="s">
        <v>5379</v>
      </c>
      <c r="AL925">
        <v>7.44</v>
      </c>
      <c r="AM925">
        <v>3398</v>
      </c>
      <c r="AN925">
        <v>86</v>
      </c>
      <c r="AO925">
        <v>1.2999999999999999E-3</v>
      </c>
      <c r="AP925">
        <v>2</v>
      </c>
      <c r="AQ925">
        <v>0.6</v>
      </c>
      <c r="AR925">
        <v>2.4700000000000002</v>
      </c>
      <c r="AS925">
        <v>12.96</v>
      </c>
      <c r="AT925">
        <v>-33.08</v>
      </c>
      <c r="AU925">
        <v>-9.49</v>
      </c>
      <c r="AV925">
        <v>9</v>
      </c>
      <c r="AW925">
        <v>9.09</v>
      </c>
      <c r="AX925">
        <v>41.31</v>
      </c>
      <c r="AY925" t="s">
        <v>120</v>
      </c>
      <c r="AZ925" t="s">
        <v>120</v>
      </c>
      <c r="BA925">
        <v>0.68</v>
      </c>
      <c r="BB925" t="s">
        <v>143</v>
      </c>
      <c r="BF925">
        <v>5.19</v>
      </c>
      <c r="BG925">
        <v>5.85</v>
      </c>
      <c r="BH925">
        <v>-3.68</v>
      </c>
      <c r="BI925">
        <v>6.97</v>
      </c>
      <c r="BJ925">
        <v>20210913</v>
      </c>
      <c r="BK925">
        <v>20101231</v>
      </c>
      <c r="BL925">
        <v>7.79</v>
      </c>
      <c r="BM925" t="s">
        <v>120</v>
      </c>
      <c r="BN925" t="s">
        <v>120</v>
      </c>
      <c r="BO925">
        <v>33.89</v>
      </c>
      <c r="BP925">
        <v>7.05</v>
      </c>
      <c r="BQ925">
        <v>20.100000000000001</v>
      </c>
      <c r="BR925">
        <v>1.82</v>
      </c>
      <c r="BS925">
        <v>35.299999999999997</v>
      </c>
      <c r="BT925">
        <v>17</v>
      </c>
      <c r="BU925">
        <v>6.3</v>
      </c>
      <c r="BV925">
        <v>3.48</v>
      </c>
      <c r="BW925">
        <v>9.81</v>
      </c>
      <c r="BX925">
        <v>3.7</v>
      </c>
      <c r="BY925">
        <v>3.25</v>
      </c>
      <c r="BZ925">
        <v>4.3600000000000003</v>
      </c>
      <c r="CA925">
        <v>0.01</v>
      </c>
      <c r="CB925">
        <v>25.86</v>
      </c>
      <c r="CC925">
        <v>5.79</v>
      </c>
      <c r="CD925">
        <v>4.51</v>
      </c>
      <c r="CE925">
        <v>-0.95</v>
      </c>
      <c r="CF925">
        <v>0.06</v>
      </c>
      <c r="CG925">
        <v>-0.91</v>
      </c>
      <c r="CH925">
        <v>-0.95</v>
      </c>
      <c r="CI925">
        <v>-1.04</v>
      </c>
      <c r="CJ925">
        <v>0.37</v>
      </c>
      <c r="CK925">
        <v>-1.1200000000000001</v>
      </c>
      <c r="CL925">
        <v>-13.16</v>
      </c>
      <c r="CM925">
        <v>-1.1299999999999999</v>
      </c>
      <c r="CN925">
        <v>-3.09</v>
      </c>
      <c r="CO925">
        <v>39125</v>
      </c>
      <c r="CP925">
        <v>8228</v>
      </c>
      <c r="CQ925" t="s">
        <v>448</v>
      </c>
      <c r="CR925">
        <v>-451.42</v>
      </c>
      <c r="CS925">
        <v>1.31</v>
      </c>
      <c r="CT925">
        <v>2.74</v>
      </c>
      <c r="CU925">
        <v>-48.85</v>
      </c>
      <c r="CV925">
        <v>9.5</v>
      </c>
      <c r="CW925">
        <v>0</v>
      </c>
      <c r="CX925" t="s">
        <v>5380</v>
      </c>
      <c r="CY925">
        <v>2.58</v>
      </c>
      <c r="CZ925">
        <v>0</v>
      </c>
      <c r="DA925">
        <v>3.32</v>
      </c>
      <c r="DB925">
        <v>-1.69</v>
      </c>
      <c r="DC925">
        <v>-0.14000000000000001</v>
      </c>
      <c r="DD925">
        <v>59.32</v>
      </c>
      <c r="DE925" t="s">
        <v>5381</v>
      </c>
      <c r="DF925">
        <v>22.09</v>
      </c>
      <c r="DG925">
        <v>-16.43</v>
      </c>
      <c r="DH925">
        <v>-18.03</v>
      </c>
      <c r="DI925">
        <v>0.46</v>
      </c>
      <c r="DJ925">
        <v>4152</v>
      </c>
      <c r="DK925">
        <v>2530</v>
      </c>
      <c r="DL925" t="s">
        <v>120</v>
      </c>
      <c r="DM925" t="s">
        <v>120</v>
      </c>
      <c r="DN925" t="s">
        <v>120</v>
      </c>
    </row>
    <row r="926" spans="1:118">
      <c r="A926" t="str">
        <f>"002531"</f>
        <v>002531</v>
      </c>
      <c r="B926" t="s">
        <v>5382</v>
      </c>
      <c r="C926">
        <v>-4.07</v>
      </c>
      <c r="D926">
        <v>0</v>
      </c>
      <c r="E926">
        <v>-0.34</v>
      </c>
      <c r="F926">
        <v>4652</v>
      </c>
      <c r="G926" t="s">
        <v>5383</v>
      </c>
      <c r="H926">
        <v>235503.66</v>
      </c>
      <c r="I926">
        <v>2558.0300000000002</v>
      </c>
      <c r="J926" t="s">
        <v>120</v>
      </c>
      <c r="K926" t="s">
        <v>5384</v>
      </c>
      <c r="L926">
        <v>7.54</v>
      </c>
      <c r="M926">
        <v>16.95</v>
      </c>
      <c r="N926">
        <v>1.72</v>
      </c>
      <c r="O926">
        <v>6.51</v>
      </c>
      <c r="P926">
        <v>18.82</v>
      </c>
      <c r="Q926">
        <v>-4.75</v>
      </c>
      <c r="R926">
        <v>16.829999999999998</v>
      </c>
      <c r="S926">
        <v>17.61</v>
      </c>
      <c r="T926">
        <v>1333207</v>
      </c>
      <c r="U926">
        <v>16.95</v>
      </c>
      <c r="V926">
        <v>17.670000000000002</v>
      </c>
      <c r="W926">
        <v>19.13</v>
      </c>
      <c r="X926" t="s">
        <v>394</v>
      </c>
      <c r="Y926" t="s">
        <v>319</v>
      </c>
      <c r="Z926">
        <v>11.26</v>
      </c>
      <c r="AA926">
        <v>17.66</v>
      </c>
      <c r="AB926">
        <v>609019</v>
      </c>
      <c r="AC926">
        <v>724187</v>
      </c>
      <c r="AD926">
        <v>0.84</v>
      </c>
      <c r="AE926">
        <v>365</v>
      </c>
      <c r="AF926">
        <v>1364</v>
      </c>
      <c r="AG926" t="s">
        <v>120</v>
      </c>
      <c r="AH926">
        <v>0.17</v>
      </c>
      <c r="AI926" t="s">
        <v>120</v>
      </c>
      <c r="AJ926">
        <v>17.690000000000001</v>
      </c>
      <c r="AK926" t="s">
        <v>5385</v>
      </c>
      <c r="AL926">
        <v>-2.16</v>
      </c>
      <c r="AM926">
        <v>4706</v>
      </c>
      <c r="AN926">
        <v>283</v>
      </c>
      <c r="AO926">
        <v>1.6000000000000001E-3</v>
      </c>
      <c r="AP926">
        <v>-1</v>
      </c>
      <c r="AQ926">
        <v>8.67</v>
      </c>
      <c r="AR926">
        <v>9.14</v>
      </c>
      <c r="AS926">
        <v>64.239999999999995</v>
      </c>
      <c r="AT926">
        <v>100.12</v>
      </c>
      <c r="AU926">
        <v>104.95</v>
      </c>
      <c r="AV926">
        <v>8</v>
      </c>
      <c r="AW926">
        <v>15.81</v>
      </c>
      <c r="AX926">
        <v>46.77</v>
      </c>
      <c r="AY926">
        <v>24.4</v>
      </c>
      <c r="AZ926">
        <v>30.34</v>
      </c>
      <c r="BA926">
        <v>0.06</v>
      </c>
      <c r="BB926" t="s">
        <v>700</v>
      </c>
      <c r="BF926">
        <v>-0.03</v>
      </c>
      <c r="BG926">
        <v>-3.75</v>
      </c>
      <c r="BH926">
        <v>-9.94</v>
      </c>
      <c r="BI926">
        <v>0.71</v>
      </c>
      <c r="BJ926">
        <v>20210824</v>
      </c>
      <c r="BK926">
        <v>20101231</v>
      </c>
      <c r="BL926">
        <v>18.03</v>
      </c>
      <c r="BM926" t="s">
        <v>120</v>
      </c>
      <c r="BN926" t="s">
        <v>120</v>
      </c>
      <c r="BO926">
        <v>151.63999999999999</v>
      </c>
      <c r="BP926">
        <v>16.940000000000001</v>
      </c>
      <c r="BQ926">
        <v>72.349999999999994</v>
      </c>
      <c r="BR926">
        <v>0.82</v>
      </c>
      <c r="BS926">
        <v>51.75</v>
      </c>
      <c r="BT926">
        <v>70.14</v>
      </c>
      <c r="BU926">
        <v>53.47</v>
      </c>
      <c r="BV926">
        <v>3.58</v>
      </c>
      <c r="BW926">
        <v>49.65</v>
      </c>
      <c r="BX926">
        <v>8.6</v>
      </c>
      <c r="BY926">
        <v>11.87</v>
      </c>
      <c r="BZ926">
        <v>34.19</v>
      </c>
      <c r="CA926" t="s">
        <v>120</v>
      </c>
      <c r="CB926">
        <v>17.010000000000002</v>
      </c>
      <c r="CC926">
        <v>32.880000000000003</v>
      </c>
      <c r="CD926">
        <v>23.88</v>
      </c>
      <c r="CE926">
        <v>9.39</v>
      </c>
      <c r="CF926">
        <v>3.07</v>
      </c>
      <c r="CG926">
        <v>9.34</v>
      </c>
      <c r="CH926">
        <v>8.01</v>
      </c>
      <c r="CI926">
        <v>7.99</v>
      </c>
      <c r="CJ926">
        <v>-0.72</v>
      </c>
      <c r="CK926">
        <v>5.61</v>
      </c>
      <c r="CL926">
        <v>35.049999999999997</v>
      </c>
      <c r="CM926">
        <v>3.05</v>
      </c>
      <c r="CN926">
        <v>1.46</v>
      </c>
      <c r="CO926">
        <v>72549</v>
      </c>
      <c r="CP926">
        <v>11620</v>
      </c>
      <c r="CQ926" t="s">
        <v>5386</v>
      </c>
      <c r="CR926">
        <v>47.05</v>
      </c>
      <c r="CS926">
        <v>1.99</v>
      </c>
      <c r="CT926">
        <v>4.22</v>
      </c>
      <c r="CU926">
        <v>100.09</v>
      </c>
      <c r="CV926">
        <v>9.2899999999999991</v>
      </c>
      <c r="CW926">
        <v>0.85</v>
      </c>
      <c r="CX926" t="s">
        <v>1520</v>
      </c>
      <c r="CY926">
        <v>4.01</v>
      </c>
      <c r="CZ926">
        <v>0</v>
      </c>
      <c r="DA926">
        <v>0.94</v>
      </c>
      <c r="DB926">
        <v>1.94</v>
      </c>
      <c r="DC926">
        <v>0.17</v>
      </c>
      <c r="DD926">
        <v>47.71</v>
      </c>
      <c r="DE926" t="s">
        <v>5387</v>
      </c>
      <c r="DF926">
        <v>27.38</v>
      </c>
      <c r="DG926">
        <v>28.56</v>
      </c>
      <c r="DH926">
        <v>24.29</v>
      </c>
      <c r="DI926">
        <v>0.15</v>
      </c>
      <c r="DJ926">
        <v>2483</v>
      </c>
      <c r="DK926">
        <v>2531</v>
      </c>
      <c r="DL926">
        <v>20210906</v>
      </c>
      <c r="DM926">
        <v>14.91</v>
      </c>
      <c r="DN926">
        <v>13.68</v>
      </c>
    </row>
    <row r="927" spans="1:118">
      <c r="A927" t="str">
        <f>"002532"</f>
        <v>002532</v>
      </c>
      <c r="B927" t="s">
        <v>5388</v>
      </c>
      <c r="C927">
        <v>-1.26</v>
      </c>
      <c r="D927">
        <v>-0.16</v>
      </c>
      <c r="E927">
        <v>0.76</v>
      </c>
      <c r="F927">
        <v>13496</v>
      </c>
      <c r="G927" t="s">
        <v>5389</v>
      </c>
      <c r="H927">
        <v>96044.38</v>
      </c>
      <c r="I927">
        <v>534.63</v>
      </c>
      <c r="J927" t="s">
        <v>120</v>
      </c>
      <c r="K927" t="s">
        <v>5389</v>
      </c>
      <c r="L927">
        <v>6.61</v>
      </c>
      <c r="M927">
        <v>11.75</v>
      </c>
      <c r="N927">
        <v>0.63</v>
      </c>
      <c r="O927">
        <v>4.2</v>
      </c>
      <c r="P927">
        <v>12.4</v>
      </c>
      <c r="Q927">
        <v>-2.52</v>
      </c>
      <c r="R927">
        <v>11.6</v>
      </c>
      <c r="S927">
        <v>11.99</v>
      </c>
      <c r="T927">
        <v>799679</v>
      </c>
      <c r="U927">
        <v>11.76</v>
      </c>
      <c r="V927">
        <v>11.9</v>
      </c>
      <c r="W927">
        <v>13.79</v>
      </c>
      <c r="X927" t="s">
        <v>1325</v>
      </c>
      <c r="Y927" t="s">
        <v>585</v>
      </c>
      <c r="Z927">
        <v>6.72</v>
      </c>
      <c r="AA927">
        <v>12.01</v>
      </c>
      <c r="AB927">
        <v>395202</v>
      </c>
      <c r="AC927">
        <v>404477</v>
      </c>
      <c r="AD927">
        <v>0.98</v>
      </c>
      <c r="AE927">
        <v>255</v>
      </c>
      <c r="AF927">
        <v>65</v>
      </c>
      <c r="AG927" t="s">
        <v>120</v>
      </c>
      <c r="AH927">
        <v>0.04</v>
      </c>
      <c r="AI927" t="s">
        <v>120</v>
      </c>
      <c r="AJ927">
        <v>12.09</v>
      </c>
      <c r="AK927" t="s">
        <v>5390</v>
      </c>
      <c r="AL927">
        <v>0.65</v>
      </c>
      <c r="AM927">
        <v>4538</v>
      </c>
      <c r="AN927">
        <v>176</v>
      </c>
      <c r="AO927">
        <v>1.5E-3</v>
      </c>
      <c r="AP927">
        <v>-1</v>
      </c>
      <c r="AQ927">
        <v>0.08</v>
      </c>
      <c r="AR927">
        <v>-7.7</v>
      </c>
      <c r="AS927">
        <v>17.38</v>
      </c>
      <c r="AT927">
        <v>38.729999999999997</v>
      </c>
      <c r="AU927">
        <v>59.43</v>
      </c>
      <c r="AV927">
        <v>12</v>
      </c>
      <c r="AW927">
        <v>6.61</v>
      </c>
      <c r="AX927">
        <v>26</v>
      </c>
      <c r="AY927">
        <v>17.079999999999998</v>
      </c>
      <c r="AZ927">
        <v>28.95</v>
      </c>
      <c r="BA927">
        <v>0.88</v>
      </c>
      <c r="BB927" t="s">
        <v>125</v>
      </c>
      <c r="BF927">
        <v>0.93</v>
      </c>
      <c r="BG927">
        <v>-2</v>
      </c>
      <c r="BH927">
        <v>-5.24</v>
      </c>
      <c r="BI927">
        <v>1.29</v>
      </c>
      <c r="BJ927">
        <v>20210810</v>
      </c>
      <c r="BK927">
        <v>20101231</v>
      </c>
      <c r="BL927">
        <v>46.52</v>
      </c>
      <c r="BM927" t="s">
        <v>120</v>
      </c>
      <c r="BN927" t="s">
        <v>120</v>
      </c>
      <c r="BO927">
        <v>512.33000000000004</v>
      </c>
      <c r="BP927">
        <v>11.75</v>
      </c>
      <c r="BQ927">
        <v>203.49</v>
      </c>
      <c r="BR927">
        <v>0.03</v>
      </c>
      <c r="BS927">
        <v>60.27</v>
      </c>
      <c r="BT927">
        <v>212</v>
      </c>
      <c r="BU927">
        <v>248.93</v>
      </c>
      <c r="BV927">
        <v>11.19</v>
      </c>
      <c r="BW927">
        <v>225.98</v>
      </c>
      <c r="BX927">
        <v>84.87</v>
      </c>
      <c r="BY927">
        <v>68.28</v>
      </c>
      <c r="BZ927">
        <v>4.29</v>
      </c>
      <c r="CA927" t="s">
        <v>120</v>
      </c>
      <c r="CB927">
        <v>88.71</v>
      </c>
      <c r="CC927">
        <v>146.51</v>
      </c>
      <c r="CD927">
        <v>113.88</v>
      </c>
      <c r="CE927">
        <v>25.46</v>
      </c>
      <c r="CF927">
        <v>0</v>
      </c>
      <c r="CG927">
        <v>25.49</v>
      </c>
      <c r="CH927">
        <v>19.82</v>
      </c>
      <c r="CI927">
        <v>19.82</v>
      </c>
      <c r="CJ927">
        <v>-0.15</v>
      </c>
      <c r="CK927">
        <v>19.32</v>
      </c>
      <c r="CL927">
        <v>63.47</v>
      </c>
      <c r="CM927">
        <v>-10.88</v>
      </c>
      <c r="CN927">
        <v>-21.38</v>
      </c>
      <c r="CO927">
        <v>70263</v>
      </c>
      <c r="CP927">
        <v>17212</v>
      </c>
      <c r="CQ927" t="s">
        <v>5391</v>
      </c>
      <c r="CR927">
        <v>203.48</v>
      </c>
      <c r="CS927">
        <v>23.83</v>
      </c>
      <c r="CT927">
        <v>2.69</v>
      </c>
      <c r="CU927">
        <v>-50.25</v>
      </c>
      <c r="CV927">
        <v>3.73</v>
      </c>
      <c r="CW927">
        <v>1.68</v>
      </c>
      <c r="CX927" t="s">
        <v>1462</v>
      </c>
      <c r="CY927">
        <v>4.37</v>
      </c>
      <c r="CZ927">
        <v>0</v>
      </c>
      <c r="DA927">
        <v>1.91</v>
      </c>
      <c r="DB927">
        <v>1.36</v>
      </c>
      <c r="DC927">
        <v>-0.23</v>
      </c>
      <c r="DD927">
        <v>39.72</v>
      </c>
      <c r="DE927" t="s">
        <v>5392</v>
      </c>
      <c r="DF927">
        <v>22.27</v>
      </c>
      <c r="DG927">
        <v>17.38</v>
      </c>
      <c r="DH927">
        <v>13.53</v>
      </c>
      <c r="DI927">
        <v>0.3</v>
      </c>
      <c r="DJ927">
        <v>6463</v>
      </c>
      <c r="DK927">
        <v>2532</v>
      </c>
      <c r="DL927">
        <v>20210913</v>
      </c>
      <c r="DM927">
        <v>12.73</v>
      </c>
      <c r="DN927">
        <v>-7.7</v>
      </c>
    </row>
    <row r="928" spans="1:118">
      <c r="A928" t="str">
        <f>"002533"</f>
        <v>002533</v>
      </c>
      <c r="B928" t="s">
        <v>5393</v>
      </c>
      <c r="C928">
        <v>-5.27</v>
      </c>
      <c r="D928">
        <v>0</v>
      </c>
      <c r="E928">
        <v>-0.47</v>
      </c>
      <c r="F928">
        <v>1462</v>
      </c>
      <c r="G928" t="s">
        <v>5394</v>
      </c>
      <c r="H928">
        <v>27163.81</v>
      </c>
      <c r="I928">
        <v>106.08</v>
      </c>
      <c r="J928" t="s">
        <v>120</v>
      </c>
      <c r="K928" t="s">
        <v>5395</v>
      </c>
      <c r="L928">
        <v>5.48</v>
      </c>
      <c r="M928">
        <v>8.09</v>
      </c>
      <c r="N928">
        <v>1.53</v>
      </c>
      <c r="O928">
        <v>1.17</v>
      </c>
      <c r="P928">
        <v>8.64</v>
      </c>
      <c r="Q928">
        <v>-5.85</v>
      </c>
      <c r="R928">
        <v>8.0399999999999991</v>
      </c>
      <c r="S928">
        <v>8.5</v>
      </c>
      <c r="T928">
        <v>327702</v>
      </c>
      <c r="U928">
        <v>8.09</v>
      </c>
      <c r="V928">
        <v>8.5399999999999991</v>
      </c>
      <c r="W928">
        <v>17.989999999999998</v>
      </c>
      <c r="X928" t="s">
        <v>394</v>
      </c>
      <c r="Y928" t="s">
        <v>594</v>
      </c>
      <c r="Z928">
        <v>7.03</v>
      </c>
      <c r="AA928">
        <v>8.2899999999999991</v>
      </c>
      <c r="AB928">
        <v>170590</v>
      </c>
      <c r="AC928">
        <v>157112</v>
      </c>
      <c r="AD928">
        <v>1.0900000000000001</v>
      </c>
      <c r="AE928">
        <v>697</v>
      </c>
      <c r="AF928">
        <v>1075</v>
      </c>
      <c r="AG928" t="s">
        <v>120</v>
      </c>
      <c r="AH928">
        <v>0.03</v>
      </c>
      <c r="AI928" t="s">
        <v>120</v>
      </c>
      <c r="AJ928">
        <v>5.98</v>
      </c>
      <c r="AK928" t="s">
        <v>1770</v>
      </c>
      <c r="AL928">
        <v>-3.36</v>
      </c>
      <c r="AM928">
        <v>3831</v>
      </c>
      <c r="AN928">
        <v>86</v>
      </c>
      <c r="AO928">
        <v>1.4E-3</v>
      </c>
      <c r="AP928">
        <v>-1</v>
      </c>
      <c r="AQ928">
        <v>1.18</v>
      </c>
      <c r="AR928">
        <v>-3.23</v>
      </c>
      <c r="AS928">
        <v>-12.72</v>
      </c>
      <c r="AT928">
        <v>58.94</v>
      </c>
      <c r="AU928">
        <v>59.88</v>
      </c>
      <c r="AV928">
        <v>3</v>
      </c>
      <c r="AW928">
        <v>8.56</v>
      </c>
      <c r="AX928">
        <v>52.14</v>
      </c>
      <c r="AY928">
        <v>18.61</v>
      </c>
      <c r="AZ928">
        <v>25.09</v>
      </c>
      <c r="BA928">
        <v>0.5</v>
      </c>
      <c r="BB928" t="s">
        <v>143</v>
      </c>
      <c r="BF928">
        <v>-2.94</v>
      </c>
      <c r="BG928">
        <v>-4.82</v>
      </c>
      <c r="BH928">
        <v>-6.37</v>
      </c>
      <c r="BI928">
        <v>0.62</v>
      </c>
      <c r="BJ928">
        <v>20210915</v>
      </c>
      <c r="BK928">
        <v>20101231</v>
      </c>
      <c r="BL928">
        <v>7.34</v>
      </c>
      <c r="BM928" t="s">
        <v>120</v>
      </c>
      <c r="BN928" t="s">
        <v>120</v>
      </c>
      <c r="BO928">
        <v>74.8</v>
      </c>
      <c r="BP928">
        <v>8.08</v>
      </c>
      <c r="BQ928">
        <v>32.89</v>
      </c>
      <c r="BR928">
        <v>2.61</v>
      </c>
      <c r="BS928">
        <v>52.54</v>
      </c>
      <c r="BT928">
        <v>55.8</v>
      </c>
      <c r="BU928">
        <v>12.95</v>
      </c>
      <c r="BV928">
        <v>2.2000000000000002</v>
      </c>
      <c r="BW928">
        <v>33.29</v>
      </c>
      <c r="BX928">
        <v>6.98</v>
      </c>
      <c r="BY928">
        <v>18.43</v>
      </c>
      <c r="BZ928">
        <v>18.75</v>
      </c>
      <c r="CA928">
        <v>0.03</v>
      </c>
      <c r="CB928">
        <v>13.91</v>
      </c>
      <c r="CC928">
        <v>56.43</v>
      </c>
      <c r="CD928">
        <v>48.91</v>
      </c>
      <c r="CE928">
        <v>2.0699999999999998</v>
      </c>
      <c r="CF928">
        <v>0.05</v>
      </c>
      <c r="CG928">
        <v>2.06</v>
      </c>
      <c r="CH928">
        <v>1.81</v>
      </c>
      <c r="CI928">
        <v>1.65</v>
      </c>
      <c r="CJ928">
        <v>-0.45</v>
      </c>
      <c r="CK928">
        <v>1.47</v>
      </c>
      <c r="CL928">
        <v>9.81</v>
      </c>
      <c r="CM928">
        <v>-5.18</v>
      </c>
      <c r="CN928">
        <v>-3.04</v>
      </c>
      <c r="CO928">
        <v>42006</v>
      </c>
      <c r="CP928">
        <v>9112</v>
      </c>
      <c r="CQ928" t="s">
        <v>1785</v>
      </c>
      <c r="CR928">
        <v>111.36</v>
      </c>
      <c r="CS928">
        <v>96.08</v>
      </c>
      <c r="CT928">
        <v>1.81</v>
      </c>
      <c r="CU928">
        <v>-11.47</v>
      </c>
      <c r="CV928">
        <v>1.05</v>
      </c>
      <c r="CW928">
        <v>2.93</v>
      </c>
      <c r="CX928" t="s">
        <v>694</v>
      </c>
      <c r="CY928">
        <v>4.4800000000000004</v>
      </c>
      <c r="CZ928">
        <v>0</v>
      </c>
      <c r="DA928">
        <v>1.9</v>
      </c>
      <c r="DB928">
        <v>1.34</v>
      </c>
      <c r="DC928">
        <v>-0.71</v>
      </c>
      <c r="DD928">
        <v>43.97</v>
      </c>
      <c r="DE928" t="s">
        <v>4704</v>
      </c>
      <c r="DF928">
        <v>13.34</v>
      </c>
      <c r="DG928">
        <v>3.66</v>
      </c>
      <c r="DH928">
        <v>2.93</v>
      </c>
      <c r="DI928">
        <v>1.89</v>
      </c>
      <c r="DJ928">
        <v>3882</v>
      </c>
      <c r="DK928">
        <v>2533</v>
      </c>
      <c r="DL928">
        <v>20210726</v>
      </c>
      <c r="DM928">
        <v>7.99</v>
      </c>
      <c r="DN928">
        <v>1.25</v>
      </c>
    </row>
    <row r="929" spans="1:118">
      <c r="A929" t="str">
        <f>"002534"</f>
        <v>002534</v>
      </c>
      <c r="B929" t="s">
        <v>5396</v>
      </c>
      <c r="C929">
        <v>-2.38</v>
      </c>
      <c r="D929">
        <v>-0.31</v>
      </c>
      <c r="E929">
        <v>-0.09</v>
      </c>
      <c r="F929">
        <v>2582</v>
      </c>
      <c r="G929" t="s">
        <v>5397</v>
      </c>
      <c r="H929">
        <v>19011.64</v>
      </c>
      <c r="I929">
        <v>70.5</v>
      </c>
      <c r="J929" t="s">
        <v>120</v>
      </c>
      <c r="K929" t="s">
        <v>5398</v>
      </c>
      <c r="L929">
        <v>1.19</v>
      </c>
      <c r="M929">
        <v>21.73</v>
      </c>
      <c r="N929">
        <v>1.58</v>
      </c>
      <c r="O929">
        <v>3.95</v>
      </c>
      <c r="P929">
        <v>23.14</v>
      </c>
      <c r="Q929">
        <v>-4.09</v>
      </c>
      <c r="R929">
        <v>21.35</v>
      </c>
      <c r="S929">
        <v>22.24</v>
      </c>
      <c r="T929">
        <v>86186</v>
      </c>
      <c r="U929">
        <v>21.78</v>
      </c>
      <c r="V929">
        <v>22.26</v>
      </c>
      <c r="W929">
        <v>31.58</v>
      </c>
      <c r="X929" t="s">
        <v>675</v>
      </c>
      <c r="Y929" t="s">
        <v>585</v>
      </c>
      <c r="Z929">
        <v>8.0399999999999991</v>
      </c>
      <c r="AA929">
        <v>22.06</v>
      </c>
      <c r="AB929">
        <v>48148</v>
      </c>
      <c r="AC929">
        <v>38038</v>
      </c>
      <c r="AD929">
        <v>1.27</v>
      </c>
      <c r="AE929">
        <v>29</v>
      </c>
      <c r="AF929">
        <v>8</v>
      </c>
      <c r="AG929" t="s">
        <v>120</v>
      </c>
      <c r="AH929">
        <v>0.02</v>
      </c>
      <c r="AI929" t="s">
        <v>120</v>
      </c>
      <c r="AJ929">
        <v>7.26</v>
      </c>
      <c r="AK929" t="s">
        <v>5399</v>
      </c>
      <c r="AL929">
        <v>-0.47</v>
      </c>
      <c r="AM929">
        <v>2948</v>
      </c>
      <c r="AN929">
        <v>29</v>
      </c>
      <c r="AO929">
        <v>4.0000000000000002E-4</v>
      </c>
      <c r="AP929">
        <v>-1</v>
      </c>
      <c r="AQ929">
        <v>3.63</v>
      </c>
      <c r="AR929">
        <v>3.67</v>
      </c>
      <c r="AS929">
        <v>7.68</v>
      </c>
      <c r="AT929">
        <v>67.28</v>
      </c>
      <c r="AU929">
        <v>146.65</v>
      </c>
      <c r="AV929">
        <v>11</v>
      </c>
      <c r="AW929">
        <v>5.03</v>
      </c>
      <c r="AX929">
        <v>23.18</v>
      </c>
      <c r="AY929">
        <v>31.72</v>
      </c>
      <c r="AZ929">
        <v>31.92</v>
      </c>
      <c r="BA929">
        <v>0.61</v>
      </c>
      <c r="BB929" t="s">
        <v>143</v>
      </c>
      <c r="BF929">
        <v>-0.9</v>
      </c>
      <c r="BG929">
        <v>-2.29</v>
      </c>
      <c r="BH929">
        <v>-6.09</v>
      </c>
      <c r="BI929">
        <v>1.78</v>
      </c>
      <c r="BJ929">
        <v>20210910</v>
      </c>
      <c r="BK929">
        <v>20110110</v>
      </c>
      <c r="BL929">
        <v>7.39</v>
      </c>
      <c r="BM929" t="s">
        <v>120</v>
      </c>
      <c r="BN929" t="s">
        <v>120</v>
      </c>
      <c r="BO929">
        <v>109.78</v>
      </c>
      <c r="BP929">
        <v>21.73</v>
      </c>
      <c r="BQ929">
        <v>33.51</v>
      </c>
      <c r="BR929">
        <v>3.7</v>
      </c>
      <c r="BS929">
        <v>66.11</v>
      </c>
      <c r="BT929">
        <v>74.34</v>
      </c>
      <c r="BU929">
        <v>8.98</v>
      </c>
      <c r="BV929">
        <v>3.01</v>
      </c>
      <c r="BW929">
        <v>61.76</v>
      </c>
      <c r="BX929">
        <v>18.920000000000002</v>
      </c>
      <c r="BY929">
        <v>11.01</v>
      </c>
      <c r="BZ929">
        <v>9.83</v>
      </c>
      <c r="CA929">
        <v>0.04</v>
      </c>
      <c r="CB929">
        <v>7.56</v>
      </c>
      <c r="CC929">
        <v>27.9</v>
      </c>
      <c r="CD929">
        <v>20.99</v>
      </c>
      <c r="CE929">
        <v>3.11</v>
      </c>
      <c r="CF929">
        <v>0.11</v>
      </c>
      <c r="CG929">
        <v>3.11</v>
      </c>
      <c r="CH929">
        <v>2.86</v>
      </c>
      <c r="CI929">
        <v>2.54</v>
      </c>
      <c r="CJ929">
        <v>-0.53</v>
      </c>
      <c r="CK929">
        <v>2.2599999999999998</v>
      </c>
      <c r="CL929">
        <v>16.38</v>
      </c>
      <c r="CM929">
        <v>1.84</v>
      </c>
      <c r="CN929">
        <v>-4.72</v>
      </c>
      <c r="CO929">
        <v>15266</v>
      </c>
      <c r="CP929">
        <v>11222</v>
      </c>
      <c r="CQ929" t="s">
        <v>5400</v>
      </c>
      <c r="CR929">
        <v>1.29</v>
      </c>
      <c r="CS929">
        <v>17.55</v>
      </c>
      <c r="CT929">
        <v>4.79</v>
      </c>
      <c r="CU929">
        <v>87.36</v>
      </c>
      <c r="CV929">
        <v>5.76</v>
      </c>
      <c r="CW929">
        <v>1.75</v>
      </c>
      <c r="CX929" t="s">
        <v>1574</v>
      </c>
      <c r="CY929">
        <v>4.53</v>
      </c>
      <c r="CZ929">
        <v>0</v>
      </c>
      <c r="DA929">
        <v>1.02</v>
      </c>
      <c r="DB929">
        <v>2.2200000000000002</v>
      </c>
      <c r="DC929">
        <v>0.25</v>
      </c>
      <c r="DD929">
        <v>30.52</v>
      </c>
      <c r="DE929" t="s">
        <v>5401</v>
      </c>
      <c r="DF929">
        <v>24.77</v>
      </c>
      <c r="DG929">
        <v>11.14</v>
      </c>
      <c r="DH929">
        <v>9.1199999999999992</v>
      </c>
      <c r="DI929">
        <v>1.41</v>
      </c>
      <c r="DJ929">
        <v>2107</v>
      </c>
      <c r="DK929">
        <v>2534</v>
      </c>
      <c r="DL929">
        <v>20210909</v>
      </c>
      <c r="DM929">
        <v>22.25</v>
      </c>
      <c r="DN929">
        <v>-2.34</v>
      </c>
    </row>
    <row r="930" spans="1:118">
      <c r="A930" t="str">
        <f>"002536"</f>
        <v>002536</v>
      </c>
      <c r="B930" t="s">
        <v>5402</v>
      </c>
      <c r="C930">
        <v>0.94</v>
      </c>
      <c r="D930">
        <v>0</v>
      </c>
      <c r="E930">
        <v>0.1</v>
      </c>
      <c r="F930">
        <v>2560</v>
      </c>
      <c r="G930" t="s">
        <v>5403</v>
      </c>
      <c r="H930">
        <v>26538.1</v>
      </c>
      <c r="I930">
        <v>137.13999999999999</v>
      </c>
      <c r="J930" t="s">
        <v>120</v>
      </c>
      <c r="K930" t="s">
        <v>5404</v>
      </c>
      <c r="L930">
        <v>5.78</v>
      </c>
      <c r="M930">
        <v>9.6300000000000008</v>
      </c>
      <c r="N930">
        <v>0.88</v>
      </c>
      <c r="O930">
        <v>4.3</v>
      </c>
      <c r="P930">
        <v>9.9499999999999993</v>
      </c>
      <c r="Q930">
        <v>-0.21</v>
      </c>
      <c r="R930">
        <v>9.52</v>
      </c>
      <c r="S930">
        <v>9.5500000000000007</v>
      </c>
      <c r="T930">
        <v>272073</v>
      </c>
      <c r="U930">
        <v>9.64</v>
      </c>
      <c r="V930">
        <v>9.5399999999999991</v>
      </c>
      <c r="W930">
        <v>16.440000000000001</v>
      </c>
      <c r="X930" t="s">
        <v>289</v>
      </c>
      <c r="Y930" t="s">
        <v>645</v>
      </c>
      <c r="Z930">
        <v>4.51</v>
      </c>
      <c r="AA930">
        <v>9.75</v>
      </c>
      <c r="AB930">
        <v>131592</v>
      </c>
      <c r="AC930">
        <v>140481</v>
      </c>
      <c r="AD930">
        <v>0.94</v>
      </c>
      <c r="AE930">
        <v>1291</v>
      </c>
      <c r="AF930">
        <v>566</v>
      </c>
      <c r="AG930" t="s">
        <v>120</v>
      </c>
      <c r="AH930">
        <v>0.05</v>
      </c>
      <c r="AI930" t="s">
        <v>120</v>
      </c>
      <c r="AJ930">
        <v>4.71</v>
      </c>
      <c r="AK930" t="s">
        <v>5405</v>
      </c>
      <c r="AL930">
        <v>2.86</v>
      </c>
      <c r="AM930">
        <v>3635</v>
      </c>
      <c r="AN930">
        <v>75</v>
      </c>
      <c r="AO930">
        <v>1.6000000000000001E-3</v>
      </c>
      <c r="AP930">
        <v>2</v>
      </c>
      <c r="AQ930">
        <v>0.21</v>
      </c>
      <c r="AR930">
        <v>-0.1</v>
      </c>
      <c r="AS930">
        <v>14.78</v>
      </c>
      <c r="AT930">
        <v>17.579999999999998</v>
      </c>
      <c r="AU930">
        <v>79.33</v>
      </c>
      <c r="AV930">
        <v>8</v>
      </c>
      <c r="AW930">
        <v>9.7899999999999991</v>
      </c>
      <c r="AX930">
        <v>55.51</v>
      </c>
      <c r="AY930">
        <v>20.58</v>
      </c>
      <c r="AZ930">
        <v>38.42</v>
      </c>
      <c r="BA930">
        <v>0.5</v>
      </c>
      <c r="BB930" t="s">
        <v>143</v>
      </c>
      <c r="BF930">
        <v>2.2400000000000002</v>
      </c>
      <c r="BG930">
        <v>0.84</v>
      </c>
      <c r="BH930">
        <v>-3.22</v>
      </c>
      <c r="BI930">
        <v>1.1599999999999999</v>
      </c>
      <c r="BJ930">
        <v>20210910</v>
      </c>
      <c r="BK930">
        <v>20110111</v>
      </c>
      <c r="BL930">
        <v>5.01</v>
      </c>
      <c r="BM930" t="s">
        <v>120</v>
      </c>
      <c r="BN930" t="s">
        <v>120</v>
      </c>
      <c r="BO930">
        <v>41.15</v>
      </c>
      <c r="BP930">
        <v>9.6300000000000008</v>
      </c>
      <c r="BQ930">
        <v>22.69</v>
      </c>
      <c r="BR930">
        <v>0.21</v>
      </c>
      <c r="BS930">
        <v>44.34</v>
      </c>
      <c r="BT930">
        <v>20.28</v>
      </c>
      <c r="BU930">
        <v>16.59</v>
      </c>
      <c r="BV930">
        <v>1.62</v>
      </c>
      <c r="BW930">
        <v>17.22</v>
      </c>
      <c r="BX930">
        <v>2.69</v>
      </c>
      <c r="BY930">
        <v>6.62</v>
      </c>
      <c r="BZ930">
        <v>8.43</v>
      </c>
      <c r="CA930">
        <v>0.03</v>
      </c>
      <c r="CB930">
        <v>9.31</v>
      </c>
      <c r="CC930">
        <v>17.420000000000002</v>
      </c>
      <c r="CD930">
        <v>13.26</v>
      </c>
      <c r="CE930">
        <v>1.54</v>
      </c>
      <c r="CF930">
        <v>-0.02</v>
      </c>
      <c r="CG930">
        <v>1.53</v>
      </c>
      <c r="CH930">
        <v>1.45</v>
      </c>
      <c r="CI930">
        <v>1.47</v>
      </c>
      <c r="CJ930">
        <v>0.09</v>
      </c>
      <c r="CK930">
        <v>1.32</v>
      </c>
      <c r="CL930">
        <v>7.4</v>
      </c>
      <c r="CM930">
        <v>0.45</v>
      </c>
      <c r="CN930">
        <v>0.64</v>
      </c>
      <c r="CO930">
        <v>44800</v>
      </c>
      <c r="CP930">
        <v>6205</v>
      </c>
      <c r="CQ930" t="s">
        <v>5406</v>
      </c>
      <c r="CR930">
        <v>277.83</v>
      </c>
      <c r="CS930">
        <v>46.01</v>
      </c>
      <c r="CT930">
        <v>2.12</v>
      </c>
      <c r="CU930">
        <v>107.24</v>
      </c>
      <c r="CV930">
        <v>2.77</v>
      </c>
      <c r="CW930">
        <v>1.05</v>
      </c>
      <c r="CX930" t="s">
        <v>293</v>
      </c>
      <c r="CY930">
        <v>4.53</v>
      </c>
      <c r="CZ930">
        <v>0</v>
      </c>
      <c r="DA930">
        <v>1.86</v>
      </c>
      <c r="DB930">
        <v>1.48</v>
      </c>
      <c r="DC930">
        <v>0.09</v>
      </c>
      <c r="DD930">
        <v>55.14</v>
      </c>
      <c r="DE930" t="s">
        <v>656</v>
      </c>
      <c r="DF930">
        <v>23.9</v>
      </c>
      <c r="DG930">
        <v>8.83</v>
      </c>
      <c r="DH930">
        <v>8.41</v>
      </c>
      <c r="DI930">
        <v>1.08</v>
      </c>
      <c r="DJ930">
        <v>4281</v>
      </c>
      <c r="DK930">
        <v>2536</v>
      </c>
      <c r="DL930">
        <v>20210730</v>
      </c>
      <c r="DM930">
        <v>8.68</v>
      </c>
      <c r="DN930">
        <v>10.94</v>
      </c>
    </row>
    <row r="931" spans="1:118">
      <c r="A931" t="str">
        <f>"002537"</f>
        <v>002537</v>
      </c>
      <c r="B931" t="s">
        <v>5407</v>
      </c>
      <c r="C931">
        <v>-3.07</v>
      </c>
      <c r="D931">
        <v>-0.17</v>
      </c>
      <c r="E931">
        <v>0.17</v>
      </c>
      <c r="F931">
        <v>4703</v>
      </c>
      <c r="G931" t="s">
        <v>4979</v>
      </c>
      <c r="H931">
        <v>12587.85</v>
      </c>
      <c r="I931">
        <v>22.58</v>
      </c>
      <c r="J931" t="s">
        <v>120</v>
      </c>
      <c r="K931" t="s">
        <v>5408</v>
      </c>
      <c r="L931">
        <v>1.85</v>
      </c>
      <c r="M931">
        <v>5.69</v>
      </c>
      <c r="N931">
        <v>0.96</v>
      </c>
      <c r="O931">
        <v>1.02</v>
      </c>
      <c r="P931">
        <v>5.93</v>
      </c>
      <c r="Q931">
        <v>-3.07</v>
      </c>
      <c r="R931">
        <v>5.69</v>
      </c>
      <c r="S931">
        <v>5.88</v>
      </c>
      <c r="T931">
        <v>217032</v>
      </c>
      <c r="U931">
        <v>5.7</v>
      </c>
      <c r="V931">
        <v>5.87</v>
      </c>
      <c r="W931">
        <v>21.54</v>
      </c>
      <c r="X931" t="s">
        <v>1068</v>
      </c>
      <c r="Y931" t="s">
        <v>638</v>
      </c>
      <c r="Z931">
        <v>4.09</v>
      </c>
      <c r="AA931">
        <v>5.8</v>
      </c>
      <c r="AB931">
        <v>109555</v>
      </c>
      <c r="AC931">
        <v>107477</v>
      </c>
      <c r="AD931">
        <v>1.02</v>
      </c>
      <c r="AE931">
        <v>144</v>
      </c>
      <c r="AF931">
        <v>161</v>
      </c>
      <c r="AG931" t="s">
        <v>120</v>
      </c>
      <c r="AH931">
        <v>0.01</v>
      </c>
      <c r="AI931" t="s">
        <v>120</v>
      </c>
      <c r="AJ931">
        <v>11.74</v>
      </c>
      <c r="AK931" t="s">
        <v>5408</v>
      </c>
      <c r="AL931">
        <v>-1.1499999999999999</v>
      </c>
      <c r="AM931">
        <v>3131</v>
      </c>
      <c r="AN931">
        <v>69</v>
      </c>
      <c r="AO931">
        <v>5.9999999999999995E-4</v>
      </c>
      <c r="AP931">
        <v>-1</v>
      </c>
      <c r="AQ931">
        <v>0.86</v>
      </c>
      <c r="AR931">
        <v>-4.8499999999999996</v>
      </c>
      <c r="AS931">
        <v>0.53</v>
      </c>
      <c r="AT931">
        <v>3.26</v>
      </c>
      <c r="AU931">
        <v>-22.69</v>
      </c>
      <c r="AV931">
        <v>3</v>
      </c>
      <c r="AW931">
        <v>3.39</v>
      </c>
      <c r="AX931">
        <v>54.46</v>
      </c>
      <c r="AY931">
        <v>20.18</v>
      </c>
      <c r="AZ931">
        <v>32.340000000000003</v>
      </c>
      <c r="BA931">
        <v>0.64</v>
      </c>
      <c r="BB931" t="s">
        <v>143</v>
      </c>
      <c r="BF931">
        <v>-1.19</v>
      </c>
      <c r="BG931">
        <v>-3.23</v>
      </c>
      <c r="BH931">
        <v>-4.05</v>
      </c>
      <c r="BI931">
        <v>0</v>
      </c>
      <c r="BJ931">
        <v>20210817</v>
      </c>
      <c r="BK931">
        <v>20110110</v>
      </c>
      <c r="BL931">
        <v>11.74</v>
      </c>
      <c r="BM931" t="s">
        <v>120</v>
      </c>
      <c r="BN931" t="s">
        <v>120</v>
      </c>
      <c r="BO931">
        <v>73.17</v>
      </c>
      <c r="BP931">
        <v>5.69</v>
      </c>
      <c r="BQ931">
        <v>41.82</v>
      </c>
      <c r="BR931">
        <v>0.34</v>
      </c>
      <c r="BS931">
        <v>42.38</v>
      </c>
      <c r="BT931">
        <v>54</v>
      </c>
      <c r="BU931">
        <v>9.9</v>
      </c>
      <c r="BV931">
        <v>3.68</v>
      </c>
      <c r="BW931">
        <v>28.84</v>
      </c>
      <c r="BX931">
        <v>11.07</v>
      </c>
      <c r="BY931">
        <v>10.37</v>
      </c>
      <c r="BZ931">
        <v>10.62</v>
      </c>
      <c r="CA931">
        <v>0</v>
      </c>
      <c r="CB931">
        <v>40.89</v>
      </c>
      <c r="CC931">
        <v>38.83</v>
      </c>
      <c r="CD931">
        <v>34.880000000000003</v>
      </c>
      <c r="CE931">
        <v>2.39</v>
      </c>
      <c r="CF931">
        <v>0.04</v>
      </c>
      <c r="CG931">
        <v>2.2000000000000002</v>
      </c>
      <c r="CH931">
        <v>1.55</v>
      </c>
      <c r="CI931">
        <v>1.55</v>
      </c>
      <c r="CJ931">
        <v>-0.18</v>
      </c>
      <c r="CK931">
        <v>0.68</v>
      </c>
      <c r="CL931">
        <v>-12.06</v>
      </c>
      <c r="CM931">
        <v>1.42</v>
      </c>
      <c r="CN931">
        <v>-4.57</v>
      </c>
      <c r="CO931">
        <v>55658</v>
      </c>
      <c r="CP931">
        <v>11488</v>
      </c>
      <c r="CQ931" t="s">
        <v>5409</v>
      </c>
      <c r="CR931">
        <v>480.2</v>
      </c>
      <c r="CS931">
        <v>46.71</v>
      </c>
      <c r="CT931">
        <v>1.6</v>
      </c>
      <c r="CU931">
        <v>47.12</v>
      </c>
      <c r="CV931">
        <v>1.72</v>
      </c>
      <c r="CW931">
        <v>0</v>
      </c>
      <c r="CX931" t="s">
        <v>986</v>
      </c>
      <c r="CY931">
        <v>3.56</v>
      </c>
      <c r="CZ931">
        <v>0</v>
      </c>
      <c r="DA931">
        <v>3.48</v>
      </c>
      <c r="DB931">
        <v>-1.03</v>
      </c>
      <c r="DC931">
        <v>0.12</v>
      </c>
      <c r="DD931">
        <v>57.15</v>
      </c>
      <c r="DE931" t="s">
        <v>3172</v>
      </c>
      <c r="DF931">
        <v>10.15</v>
      </c>
      <c r="DG931">
        <v>6.16</v>
      </c>
      <c r="DH931">
        <v>3.99</v>
      </c>
      <c r="DI931">
        <v>0.93</v>
      </c>
      <c r="DJ931">
        <v>3648</v>
      </c>
      <c r="DK931">
        <v>2537</v>
      </c>
      <c r="DL931" t="s">
        <v>120</v>
      </c>
      <c r="DM931" t="s">
        <v>120</v>
      </c>
      <c r="DN931" t="s">
        <v>120</v>
      </c>
    </row>
    <row r="932" spans="1:118">
      <c r="A932" t="str">
        <f>"002538"</f>
        <v>002538</v>
      </c>
      <c r="B932" t="s">
        <v>5410</v>
      </c>
      <c r="C932">
        <v>0</v>
      </c>
      <c r="D932">
        <v>0</v>
      </c>
      <c r="E932">
        <v>2.93</v>
      </c>
      <c r="F932">
        <v>7118</v>
      </c>
      <c r="G932" t="s">
        <v>5411</v>
      </c>
      <c r="H932">
        <v>151206.38</v>
      </c>
      <c r="I932">
        <v>2750.24</v>
      </c>
      <c r="J932" t="s">
        <v>120</v>
      </c>
      <c r="K932" t="s">
        <v>5412</v>
      </c>
      <c r="L932">
        <v>13.07</v>
      </c>
      <c r="M932">
        <v>13.63</v>
      </c>
      <c r="N932">
        <v>1.22</v>
      </c>
      <c r="O932">
        <v>5.5</v>
      </c>
      <c r="P932">
        <v>14.38</v>
      </c>
      <c r="Q932">
        <v>-3.08</v>
      </c>
      <c r="R932">
        <v>13.21</v>
      </c>
      <c r="S932">
        <v>14.03</v>
      </c>
      <c r="T932">
        <v>1090232</v>
      </c>
      <c r="U932">
        <v>13.64</v>
      </c>
      <c r="V932">
        <v>13.63</v>
      </c>
      <c r="W932">
        <v>23.05</v>
      </c>
      <c r="X932" t="s">
        <v>690</v>
      </c>
      <c r="Y932" t="s">
        <v>570</v>
      </c>
      <c r="Z932">
        <v>8.58</v>
      </c>
      <c r="AA932">
        <v>13.87</v>
      </c>
      <c r="AB932">
        <v>565480</v>
      </c>
      <c r="AC932">
        <v>524752</v>
      </c>
      <c r="AD932">
        <v>1.08</v>
      </c>
      <c r="AE932">
        <v>817</v>
      </c>
      <c r="AF932">
        <v>8</v>
      </c>
      <c r="AG932" t="s">
        <v>120</v>
      </c>
      <c r="AH932">
        <v>0.36</v>
      </c>
      <c r="AI932" t="s">
        <v>120</v>
      </c>
      <c r="AJ932">
        <v>8.34</v>
      </c>
      <c r="AK932" t="s">
        <v>5119</v>
      </c>
      <c r="AL932">
        <v>1.91</v>
      </c>
      <c r="AM932">
        <v>4533</v>
      </c>
      <c r="AN932">
        <v>241</v>
      </c>
      <c r="AO932">
        <v>2.8999999999999998E-3</v>
      </c>
      <c r="AP932">
        <v>0</v>
      </c>
      <c r="AQ932">
        <v>10.01</v>
      </c>
      <c r="AR932">
        <v>9.1300000000000008</v>
      </c>
      <c r="AS932">
        <v>57.39</v>
      </c>
      <c r="AT932">
        <v>105.27</v>
      </c>
      <c r="AU932">
        <v>138.29</v>
      </c>
      <c r="AV932">
        <v>6</v>
      </c>
      <c r="AW932">
        <v>19.989999999999998</v>
      </c>
      <c r="AX932">
        <v>63.9</v>
      </c>
      <c r="AY932">
        <v>28.15</v>
      </c>
      <c r="AZ932">
        <v>39.46</v>
      </c>
      <c r="BA932">
        <v>1.1200000000000001</v>
      </c>
      <c r="BB932" t="s">
        <v>700</v>
      </c>
      <c r="BF932">
        <v>1.75</v>
      </c>
      <c r="BG932">
        <v>-2.85</v>
      </c>
      <c r="BH932">
        <v>-5.22</v>
      </c>
      <c r="BI932">
        <v>3.18</v>
      </c>
      <c r="BJ932">
        <v>20210902</v>
      </c>
      <c r="BK932">
        <v>20110118</v>
      </c>
      <c r="BL932">
        <v>8.5399999999999991</v>
      </c>
      <c r="BM932" t="s">
        <v>120</v>
      </c>
      <c r="BN932" t="s">
        <v>120</v>
      </c>
      <c r="BO932">
        <v>79.52</v>
      </c>
      <c r="BP932">
        <v>13.63</v>
      </c>
      <c r="BQ932">
        <v>41.65</v>
      </c>
      <c r="BR932">
        <v>0.87</v>
      </c>
      <c r="BS932">
        <v>46.53</v>
      </c>
      <c r="BT932">
        <v>39.409999999999997</v>
      </c>
      <c r="BU932">
        <v>17.649999999999999</v>
      </c>
      <c r="BV932">
        <v>13.21</v>
      </c>
      <c r="BW932">
        <v>26.82</v>
      </c>
      <c r="BX932">
        <v>17.989999999999998</v>
      </c>
      <c r="BY932">
        <v>4.4800000000000004</v>
      </c>
      <c r="BZ932">
        <v>1.66</v>
      </c>
      <c r="CA932" t="s">
        <v>120</v>
      </c>
      <c r="CB932">
        <v>13.8</v>
      </c>
      <c r="CC932">
        <v>21.51</v>
      </c>
      <c r="CD932">
        <v>15.74</v>
      </c>
      <c r="CE932">
        <v>3.02</v>
      </c>
      <c r="CF932">
        <v>-0.36</v>
      </c>
      <c r="CG932">
        <v>3.04</v>
      </c>
      <c r="CH932">
        <v>2.54</v>
      </c>
      <c r="CI932">
        <v>2.52</v>
      </c>
      <c r="CJ932">
        <v>0</v>
      </c>
      <c r="CK932">
        <v>2.27</v>
      </c>
      <c r="CL932">
        <v>16.75</v>
      </c>
      <c r="CM932">
        <v>9.89</v>
      </c>
      <c r="CN932">
        <v>6.75</v>
      </c>
      <c r="CO932">
        <v>36516</v>
      </c>
      <c r="CP932">
        <v>14936</v>
      </c>
      <c r="CQ932" t="s">
        <v>5413</v>
      </c>
      <c r="CR932">
        <v>88.42</v>
      </c>
      <c r="CS932">
        <v>10.01</v>
      </c>
      <c r="CT932">
        <v>2.44</v>
      </c>
      <c r="CU932">
        <v>11.77</v>
      </c>
      <c r="CV932">
        <v>5.41</v>
      </c>
      <c r="CW932">
        <v>1.54</v>
      </c>
      <c r="CX932" t="s">
        <v>269</v>
      </c>
      <c r="CY932">
        <v>5.58</v>
      </c>
      <c r="CZ932">
        <v>5.58</v>
      </c>
      <c r="DA932">
        <v>1.62</v>
      </c>
      <c r="DB932">
        <v>1.96</v>
      </c>
      <c r="DC932">
        <v>1.1599999999999999</v>
      </c>
      <c r="DD932">
        <v>52.37</v>
      </c>
      <c r="DE932" t="s">
        <v>1598</v>
      </c>
      <c r="DF932">
        <v>26.84</v>
      </c>
      <c r="DG932">
        <v>14.06</v>
      </c>
      <c r="DH932">
        <v>11.73</v>
      </c>
      <c r="DI932">
        <v>0.54</v>
      </c>
      <c r="DJ932">
        <v>2998</v>
      </c>
      <c r="DK932">
        <v>2538</v>
      </c>
      <c r="DL932">
        <v>20210915</v>
      </c>
      <c r="DM932">
        <v>13.63</v>
      </c>
      <c r="DN932">
        <v>0</v>
      </c>
    </row>
    <row r="933" spans="1:118">
      <c r="A933" t="str">
        <f>"002539"</f>
        <v>002539</v>
      </c>
      <c r="B933" t="s">
        <v>5414</v>
      </c>
      <c r="C933">
        <v>-3.52</v>
      </c>
      <c r="D933">
        <v>1.37</v>
      </c>
      <c r="E933">
        <v>2.16</v>
      </c>
      <c r="F933">
        <v>15375</v>
      </c>
      <c r="G933" t="s">
        <v>5415</v>
      </c>
      <c r="H933">
        <v>227361.86</v>
      </c>
      <c r="I933">
        <v>5278.87</v>
      </c>
      <c r="J933" t="s">
        <v>120</v>
      </c>
      <c r="K933" t="s">
        <v>5416</v>
      </c>
      <c r="L933">
        <v>16.04</v>
      </c>
      <c r="M933">
        <v>21.4</v>
      </c>
      <c r="N933">
        <v>1.63</v>
      </c>
      <c r="O933">
        <v>2.16</v>
      </c>
      <c r="P933">
        <v>22.66</v>
      </c>
      <c r="Q933">
        <v>-7.57</v>
      </c>
      <c r="R933">
        <v>20.5</v>
      </c>
      <c r="S933">
        <v>22.66</v>
      </c>
      <c r="T933">
        <v>1055185</v>
      </c>
      <c r="U933">
        <v>21.4</v>
      </c>
      <c r="V933">
        <v>22.18</v>
      </c>
      <c r="W933">
        <v>26.78</v>
      </c>
      <c r="X933" t="s">
        <v>690</v>
      </c>
      <c r="Y933" t="s">
        <v>578</v>
      </c>
      <c r="Z933">
        <v>9.74</v>
      </c>
      <c r="AA933">
        <v>21.55</v>
      </c>
      <c r="AB933">
        <v>537824</v>
      </c>
      <c r="AC933">
        <v>517361</v>
      </c>
      <c r="AD933">
        <v>1.04</v>
      </c>
      <c r="AE933">
        <v>8</v>
      </c>
      <c r="AF933">
        <v>1890</v>
      </c>
      <c r="AG933" t="s">
        <v>120</v>
      </c>
      <c r="AH933">
        <v>0.41</v>
      </c>
      <c r="AI933" t="s">
        <v>120</v>
      </c>
      <c r="AJ933">
        <v>6.58</v>
      </c>
      <c r="AK933" t="s">
        <v>5417</v>
      </c>
      <c r="AL933">
        <v>-1.6</v>
      </c>
      <c r="AM933">
        <v>4698</v>
      </c>
      <c r="AN933">
        <v>225</v>
      </c>
      <c r="AO933">
        <v>3.3999999999999998E-3</v>
      </c>
      <c r="AP933">
        <v>-1</v>
      </c>
      <c r="AQ933">
        <v>10.02</v>
      </c>
      <c r="AR933">
        <v>16.739999999999998</v>
      </c>
      <c r="AS933">
        <v>117.26</v>
      </c>
      <c r="AT933">
        <v>142.63</v>
      </c>
      <c r="AU933">
        <v>197.63</v>
      </c>
      <c r="AV933">
        <v>8</v>
      </c>
      <c r="AW933">
        <v>18.73</v>
      </c>
      <c r="AX933">
        <v>55.78</v>
      </c>
      <c r="AY933">
        <v>31.54</v>
      </c>
      <c r="AZ933">
        <v>44.94</v>
      </c>
      <c r="BA933">
        <v>0.68</v>
      </c>
      <c r="BB933" t="s">
        <v>700</v>
      </c>
      <c r="BF933">
        <v>-2.85</v>
      </c>
      <c r="BG933">
        <v>-5.56</v>
      </c>
      <c r="BH933">
        <v>-5.56</v>
      </c>
      <c r="BI933">
        <v>4.3899999999999997</v>
      </c>
      <c r="BJ933">
        <v>20210825</v>
      </c>
      <c r="BK933">
        <v>20110118</v>
      </c>
      <c r="BL933">
        <v>10.1</v>
      </c>
      <c r="BM933" t="s">
        <v>120</v>
      </c>
      <c r="BN933" t="s">
        <v>120</v>
      </c>
      <c r="BO933">
        <v>119.26</v>
      </c>
      <c r="BP933">
        <v>21.38</v>
      </c>
      <c r="BQ933">
        <v>36.57</v>
      </c>
      <c r="BR933">
        <v>0.78</v>
      </c>
      <c r="BS933">
        <v>68.680000000000007</v>
      </c>
      <c r="BT933">
        <v>55.97</v>
      </c>
      <c r="BU933">
        <v>40.200000000000003</v>
      </c>
      <c r="BV933">
        <v>8.34</v>
      </c>
      <c r="BW933">
        <v>72.16</v>
      </c>
      <c r="BX933">
        <v>25.01</v>
      </c>
      <c r="BY933">
        <v>15.53</v>
      </c>
      <c r="BZ933">
        <v>5.36</v>
      </c>
      <c r="CA933" t="s">
        <v>120</v>
      </c>
      <c r="CB933">
        <v>10.17</v>
      </c>
      <c r="CC933">
        <v>60.84</v>
      </c>
      <c r="CD933">
        <v>49.41</v>
      </c>
      <c r="CE933">
        <v>4.99</v>
      </c>
      <c r="CF933">
        <v>-0.21</v>
      </c>
      <c r="CG933">
        <v>5.0199999999999996</v>
      </c>
      <c r="CH933">
        <v>4.1100000000000003</v>
      </c>
      <c r="CI933">
        <v>4.04</v>
      </c>
      <c r="CJ933">
        <v>-0.78</v>
      </c>
      <c r="CK933">
        <v>3.96</v>
      </c>
      <c r="CL933">
        <v>14.37</v>
      </c>
      <c r="CM933">
        <v>10.130000000000001</v>
      </c>
      <c r="CN933">
        <v>9.7799999999999994</v>
      </c>
      <c r="CO933">
        <v>40030</v>
      </c>
      <c r="CP933">
        <v>14075</v>
      </c>
      <c r="CQ933" t="s">
        <v>5418</v>
      </c>
      <c r="CR933">
        <v>110.53</v>
      </c>
      <c r="CS933">
        <v>36.14</v>
      </c>
      <c r="CT933">
        <v>5.91</v>
      </c>
      <c r="CU933">
        <v>21.34</v>
      </c>
      <c r="CV933">
        <v>3.55</v>
      </c>
      <c r="CW933">
        <v>0.9</v>
      </c>
      <c r="CX933" t="s">
        <v>3527</v>
      </c>
      <c r="CY933">
        <v>3.62</v>
      </c>
      <c r="CZ933">
        <v>0</v>
      </c>
      <c r="DA933">
        <v>1.01</v>
      </c>
      <c r="DB933">
        <v>1.42</v>
      </c>
      <c r="DC933">
        <v>1</v>
      </c>
      <c r="DD933">
        <v>30.66</v>
      </c>
      <c r="DE933" t="s">
        <v>5419</v>
      </c>
      <c r="DF933">
        <v>18.8</v>
      </c>
      <c r="DG933">
        <v>8.1999999999999993</v>
      </c>
      <c r="DH933">
        <v>6.63</v>
      </c>
      <c r="DI933">
        <v>0.67</v>
      </c>
      <c r="DJ933">
        <v>10140</v>
      </c>
      <c r="DK933">
        <v>2539</v>
      </c>
      <c r="DL933">
        <v>20210901</v>
      </c>
      <c r="DM933">
        <v>14.53</v>
      </c>
      <c r="DN933">
        <v>47.28</v>
      </c>
    </row>
    <row r="934" spans="1:118">
      <c r="A934" t="str">
        <f>"002540"</f>
        <v>002540</v>
      </c>
      <c r="B934" t="s">
        <v>5420</v>
      </c>
      <c r="C934">
        <v>-2.76</v>
      </c>
      <c r="D934">
        <v>0</v>
      </c>
      <c r="E934">
        <v>0</v>
      </c>
      <c r="F934">
        <v>976</v>
      </c>
      <c r="G934" t="s">
        <v>5421</v>
      </c>
      <c r="H934">
        <v>7847.46</v>
      </c>
      <c r="I934">
        <v>6.03</v>
      </c>
      <c r="J934" t="s">
        <v>120</v>
      </c>
      <c r="K934" t="s">
        <v>1620</v>
      </c>
      <c r="L934">
        <v>1.52</v>
      </c>
      <c r="M934">
        <v>5.64</v>
      </c>
      <c r="N934">
        <v>0.81</v>
      </c>
      <c r="O934">
        <v>2.2400000000000002</v>
      </c>
      <c r="P934">
        <v>5.93</v>
      </c>
      <c r="Q934">
        <v>-3.1</v>
      </c>
      <c r="R934">
        <v>5.62</v>
      </c>
      <c r="S934">
        <v>5.8</v>
      </c>
      <c r="T934">
        <v>135936</v>
      </c>
      <c r="U934">
        <v>5.64</v>
      </c>
      <c r="V934">
        <v>5.8</v>
      </c>
      <c r="W934">
        <v>18.600000000000001</v>
      </c>
      <c r="X934" t="s">
        <v>1325</v>
      </c>
      <c r="Y934" t="s">
        <v>319</v>
      </c>
      <c r="Z934">
        <v>5.34</v>
      </c>
      <c r="AA934">
        <v>5.77</v>
      </c>
      <c r="AB934">
        <v>87842</v>
      </c>
      <c r="AC934">
        <v>48094</v>
      </c>
      <c r="AD934">
        <v>1.83</v>
      </c>
      <c r="AE934">
        <v>2061</v>
      </c>
      <c r="AF934">
        <v>541</v>
      </c>
      <c r="AG934" t="s">
        <v>120</v>
      </c>
      <c r="AH934">
        <v>0</v>
      </c>
      <c r="AI934" t="s">
        <v>120</v>
      </c>
      <c r="AJ934">
        <v>8.9499999999999993</v>
      </c>
      <c r="AK934" t="s">
        <v>5422</v>
      </c>
      <c r="AL934">
        <v>-0.84</v>
      </c>
      <c r="AM934">
        <v>2511</v>
      </c>
      <c r="AN934">
        <v>54</v>
      </c>
      <c r="AO934">
        <v>5.9999999999999995E-4</v>
      </c>
      <c r="AP934">
        <v>-1</v>
      </c>
      <c r="AQ934">
        <v>0.87</v>
      </c>
      <c r="AR934">
        <v>-6.62</v>
      </c>
      <c r="AS934">
        <v>7.02</v>
      </c>
      <c r="AT934">
        <v>16.05</v>
      </c>
      <c r="AU934">
        <v>9.73</v>
      </c>
      <c r="AV934">
        <v>0</v>
      </c>
      <c r="AW934">
        <v>2.13</v>
      </c>
      <c r="AX934">
        <v>50.12</v>
      </c>
      <c r="AY934">
        <v>17.940000000000001</v>
      </c>
      <c r="AZ934">
        <v>20.63</v>
      </c>
      <c r="BA934">
        <v>0.16</v>
      </c>
      <c r="BB934" t="s">
        <v>125</v>
      </c>
      <c r="BF934">
        <v>-0.47</v>
      </c>
      <c r="BG934">
        <v>-2.76</v>
      </c>
      <c r="BH934">
        <v>-4.8899999999999997</v>
      </c>
      <c r="BI934">
        <v>0.36</v>
      </c>
      <c r="BJ934">
        <v>20210831</v>
      </c>
      <c r="BK934">
        <v>20110118</v>
      </c>
      <c r="BL934">
        <v>12.71</v>
      </c>
      <c r="BM934" t="s">
        <v>120</v>
      </c>
      <c r="BN934" t="s">
        <v>120</v>
      </c>
      <c r="BO934">
        <v>55.51</v>
      </c>
      <c r="BP934">
        <v>5.63</v>
      </c>
      <c r="BQ934">
        <v>47.49</v>
      </c>
      <c r="BR934">
        <v>0.04</v>
      </c>
      <c r="BS934">
        <v>14.39</v>
      </c>
      <c r="BT934">
        <v>34.79</v>
      </c>
      <c r="BU934">
        <v>14.78</v>
      </c>
      <c r="BV934">
        <v>2.37</v>
      </c>
      <c r="BW934">
        <v>7.31</v>
      </c>
      <c r="BX934">
        <v>4.5199999999999996</v>
      </c>
      <c r="BY934">
        <v>5.46</v>
      </c>
      <c r="BZ934">
        <v>12.1</v>
      </c>
      <c r="CA934" t="s">
        <v>120</v>
      </c>
      <c r="CB934">
        <v>19.48</v>
      </c>
      <c r="CC934">
        <v>28.3</v>
      </c>
      <c r="CD934">
        <v>24.03</v>
      </c>
      <c r="CE934">
        <v>2.25</v>
      </c>
      <c r="CF934">
        <v>0.17</v>
      </c>
      <c r="CG934">
        <v>2.25</v>
      </c>
      <c r="CH934">
        <v>1.93</v>
      </c>
      <c r="CI934">
        <v>1.93</v>
      </c>
      <c r="CJ934">
        <v>-0.16</v>
      </c>
      <c r="CK934">
        <v>1.76</v>
      </c>
      <c r="CL934">
        <v>14.26</v>
      </c>
      <c r="CM934">
        <v>-3.03</v>
      </c>
      <c r="CN934">
        <v>-0.68</v>
      </c>
      <c r="CO934">
        <v>55838</v>
      </c>
      <c r="CP934">
        <v>11404</v>
      </c>
      <c r="CQ934" t="s">
        <v>5423</v>
      </c>
      <c r="CR934">
        <v>38.520000000000003</v>
      </c>
      <c r="CS934">
        <v>79.3</v>
      </c>
      <c r="CT934">
        <v>1.51</v>
      </c>
      <c r="CU934">
        <v>-23.65</v>
      </c>
      <c r="CV934">
        <v>2.5299999999999998</v>
      </c>
      <c r="CW934">
        <v>1.01</v>
      </c>
      <c r="CX934" t="s">
        <v>1091</v>
      </c>
      <c r="CY934">
        <v>3.74</v>
      </c>
      <c r="CZ934">
        <v>0</v>
      </c>
      <c r="DA934">
        <v>1.53</v>
      </c>
      <c r="DB934">
        <v>1.1200000000000001</v>
      </c>
      <c r="DC934">
        <v>-0.24</v>
      </c>
      <c r="DD934">
        <v>85.54</v>
      </c>
      <c r="DE934" t="s">
        <v>5424</v>
      </c>
      <c r="DF934">
        <v>15.09</v>
      </c>
      <c r="DG934">
        <v>7.95</v>
      </c>
      <c r="DH934">
        <v>6.81</v>
      </c>
      <c r="DI934">
        <v>0.92</v>
      </c>
      <c r="DJ934">
        <v>2884</v>
      </c>
      <c r="DK934">
        <v>2540</v>
      </c>
      <c r="DL934" t="s">
        <v>120</v>
      </c>
      <c r="DM934" t="s">
        <v>120</v>
      </c>
      <c r="DN934" t="s">
        <v>120</v>
      </c>
    </row>
    <row r="935" spans="1:118">
      <c r="A935" t="str">
        <f>"002541"</f>
        <v>002541</v>
      </c>
      <c r="B935" t="s">
        <v>5425</v>
      </c>
      <c r="C935">
        <v>-3.99</v>
      </c>
      <c r="D935">
        <v>0.12</v>
      </c>
      <c r="E935">
        <v>0</v>
      </c>
      <c r="F935">
        <v>255</v>
      </c>
      <c r="G935" t="s">
        <v>5426</v>
      </c>
      <c r="H935">
        <v>21624.78</v>
      </c>
      <c r="I935">
        <v>57.05</v>
      </c>
      <c r="J935" t="s">
        <v>120</v>
      </c>
      <c r="K935" t="s">
        <v>5427</v>
      </c>
      <c r="L935">
        <v>1.17</v>
      </c>
      <c r="M935">
        <v>49.35</v>
      </c>
      <c r="N935">
        <v>0.77</v>
      </c>
      <c r="O935">
        <v>0.95</v>
      </c>
      <c r="P935">
        <v>51.89</v>
      </c>
      <c r="Q935">
        <v>-4.51</v>
      </c>
      <c r="R935">
        <v>49.08</v>
      </c>
      <c r="S935">
        <v>51.4</v>
      </c>
      <c r="T935">
        <v>43423</v>
      </c>
      <c r="U935">
        <v>49.35</v>
      </c>
      <c r="V935">
        <v>51.4</v>
      </c>
      <c r="W935">
        <v>25.86</v>
      </c>
      <c r="X935" t="s">
        <v>1925</v>
      </c>
      <c r="Y935" t="s">
        <v>570</v>
      </c>
      <c r="Z935">
        <v>5.47</v>
      </c>
      <c r="AA935">
        <v>49.8</v>
      </c>
      <c r="AB935">
        <v>27362</v>
      </c>
      <c r="AC935">
        <v>16061</v>
      </c>
      <c r="AD935">
        <v>1.7</v>
      </c>
      <c r="AE935">
        <v>17</v>
      </c>
      <c r="AF935">
        <v>7</v>
      </c>
      <c r="AG935" t="s">
        <v>120</v>
      </c>
      <c r="AH935">
        <v>0</v>
      </c>
      <c r="AI935" t="s">
        <v>120</v>
      </c>
      <c r="AJ935">
        <v>3.73</v>
      </c>
      <c r="AK935" t="s">
        <v>5428</v>
      </c>
      <c r="AL935">
        <v>-2.0699999999999998</v>
      </c>
      <c r="AM935">
        <v>3253</v>
      </c>
      <c r="AN935">
        <v>13</v>
      </c>
      <c r="AO935">
        <v>4.0000000000000002E-4</v>
      </c>
      <c r="AP935">
        <v>-1</v>
      </c>
      <c r="AQ935">
        <v>2.19</v>
      </c>
      <c r="AR935">
        <v>0.53</v>
      </c>
      <c r="AS935">
        <v>-12.06</v>
      </c>
      <c r="AT935">
        <v>-16.809999999999999</v>
      </c>
      <c r="AU935">
        <v>35.950000000000003</v>
      </c>
      <c r="AV935">
        <v>3</v>
      </c>
      <c r="AW935">
        <v>1.7</v>
      </c>
      <c r="AX935">
        <v>48.65</v>
      </c>
      <c r="AY935">
        <v>24.29</v>
      </c>
      <c r="AZ935">
        <v>33.78</v>
      </c>
      <c r="BA935">
        <v>0.71</v>
      </c>
      <c r="BB935" t="s">
        <v>143</v>
      </c>
      <c r="BF935">
        <v>-3.11</v>
      </c>
      <c r="BG935">
        <v>-3.99</v>
      </c>
      <c r="BH935">
        <v>-4.8899999999999997</v>
      </c>
      <c r="BI935">
        <v>0.55000000000000004</v>
      </c>
      <c r="BJ935">
        <v>20210826</v>
      </c>
      <c r="BK935">
        <v>20110118</v>
      </c>
      <c r="BL935">
        <v>5.25</v>
      </c>
      <c r="BM935" t="s">
        <v>120</v>
      </c>
      <c r="BN935" t="s">
        <v>120</v>
      </c>
      <c r="BO935">
        <v>162.41</v>
      </c>
      <c r="BP935">
        <v>49.3</v>
      </c>
      <c r="BQ935">
        <v>64.09</v>
      </c>
      <c r="BR935" t="s">
        <v>120</v>
      </c>
      <c r="BS935">
        <v>60.54</v>
      </c>
      <c r="BT935">
        <v>106.49</v>
      </c>
      <c r="BU935">
        <v>40.130000000000003</v>
      </c>
      <c r="BV935">
        <v>8.1</v>
      </c>
      <c r="BW935">
        <v>61.69</v>
      </c>
      <c r="BX935">
        <v>16.62</v>
      </c>
      <c r="BY935">
        <v>62.2</v>
      </c>
      <c r="BZ935">
        <v>15.49</v>
      </c>
      <c r="CA935" t="s">
        <v>120</v>
      </c>
      <c r="CB935">
        <v>21.9</v>
      </c>
      <c r="CC935">
        <v>81.650000000000006</v>
      </c>
      <c r="CD935">
        <v>71.209999999999994</v>
      </c>
      <c r="CE935">
        <v>6.47</v>
      </c>
      <c r="CF935">
        <v>-0.01</v>
      </c>
      <c r="CG935">
        <v>6.59</v>
      </c>
      <c r="CH935">
        <v>5.01</v>
      </c>
      <c r="CI935">
        <v>5.01</v>
      </c>
      <c r="CJ935">
        <v>-2.0499999999999998</v>
      </c>
      <c r="CK935">
        <v>3.96</v>
      </c>
      <c r="CL935">
        <v>32.24</v>
      </c>
      <c r="CM935">
        <v>-5.97</v>
      </c>
      <c r="CN935">
        <v>-6.6</v>
      </c>
      <c r="CO935">
        <v>13256</v>
      </c>
      <c r="CP935">
        <v>19271</v>
      </c>
      <c r="CQ935" t="s">
        <v>5429</v>
      </c>
      <c r="CR935">
        <v>164.98</v>
      </c>
      <c r="CS935">
        <v>62.96</v>
      </c>
      <c r="CT935">
        <v>4.2699999999999996</v>
      </c>
      <c r="CU935">
        <v>-43.43</v>
      </c>
      <c r="CV935">
        <v>3.17</v>
      </c>
      <c r="CW935">
        <v>0.45</v>
      </c>
      <c r="CX935" t="s">
        <v>4116</v>
      </c>
      <c r="CY935">
        <v>11.57</v>
      </c>
      <c r="CZ935">
        <v>11.57</v>
      </c>
      <c r="DA935">
        <v>4.17</v>
      </c>
      <c r="DB935">
        <v>6.14</v>
      </c>
      <c r="DC935">
        <v>-1.1399999999999999</v>
      </c>
      <c r="DD935">
        <v>39.46</v>
      </c>
      <c r="DE935" t="s">
        <v>5430</v>
      </c>
      <c r="DF935">
        <v>12.78</v>
      </c>
      <c r="DG935">
        <v>7.92</v>
      </c>
      <c r="DH935">
        <v>6.14</v>
      </c>
      <c r="DI935">
        <v>1.95</v>
      </c>
      <c r="DJ935">
        <v>15190</v>
      </c>
      <c r="DK935">
        <v>2541</v>
      </c>
      <c r="DL935" t="s">
        <v>120</v>
      </c>
      <c r="DM935" t="s">
        <v>120</v>
      </c>
      <c r="DN935" t="s">
        <v>120</v>
      </c>
    </row>
    <row r="936" spans="1:118">
      <c r="A936" t="str">
        <f>"002542"</f>
        <v>002542</v>
      </c>
      <c r="B936" t="s">
        <v>5431</v>
      </c>
      <c r="C936">
        <v>-1.58</v>
      </c>
      <c r="D936">
        <v>0</v>
      </c>
      <c r="E936">
        <v>0</v>
      </c>
      <c r="F936">
        <v>1664</v>
      </c>
      <c r="G936" t="s">
        <v>5432</v>
      </c>
      <c r="H936">
        <v>10590.7</v>
      </c>
      <c r="I936">
        <v>55.92</v>
      </c>
      <c r="J936" t="s">
        <v>120</v>
      </c>
      <c r="K936" t="s">
        <v>5433</v>
      </c>
      <c r="L936">
        <v>2.31</v>
      </c>
      <c r="M936">
        <v>3.12</v>
      </c>
      <c r="N936">
        <v>0.83</v>
      </c>
      <c r="O936">
        <v>1.26</v>
      </c>
      <c r="P936">
        <v>3.21</v>
      </c>
      <c r="Q936">
        <v>-2.21</v>
      </c>
      <c r="R936">
        <v>3.1</v>
      </c>
      <c r="S936">
        <v>3.17</v>
      </c>
      <c r="T936">
        <v>335658</v>
      </c>
      <c r="U936">
        <v>3.13</v>
      </c>
      <c r="V936">
        <v>3.17</v>
      </c>
      <c r="W936">
        <v>29.04</v>
      </c>
      <c r="X936" t="s">
        <v>175</v>
      </c>
      <c r="Y936" t="s">
        <v>158</v>
      </c>
      <c r="Z936">
        <v>3.47</v>
      </c>
      <c r="AA936">
        <v>3.16</v>
      </c>
      <c r="AB936">
        <v>187744</v>
      </c>
      <c r="AC936">
        <v>147914</v>
      </c>
      <c r="AD936">
        <v>1.27</v>
      </c>
      <c r="AE936">
        <v>204</v>
      </c>
      <c r="AF936">
        <v>2348</v>
      </c>
      <c r="AG936" t="s">
        <v>120</v>
      </c>
      <c r="AH936">
        <v>0.02</v>
      </c>
      <c r="AI936" t="s">
        <v>120</v>
      </c>
      <c r="AJ936">
        <v>14.51</v>
      </c>
      <c r="AK936" t="s">
        <v>5434</v>
      </c>
      <c r="AL936">
        <v>0.34</v>
      </c>
      <c r="AM936">
        <v>2481</v>
      </c>
      <c r="AN936">
        <v>135</v>
      </c>
      <c r="AO936">
        <v>8.9999999999999998E-4</v>
      </c>
      <c r="AP936">
        <v>-1</v>
      </c>
      <c r="AQ936">
        <v>5.32</v>
      </c>
      <c r="AR936">
        <v>-0.63</v>
      </c>
      <c r="AS936">
        <v>11.42</v>
      </c>
      <c r="AT936">
        <v>1.96</v>
      </c>
      <c r="AU936">
        <v>2.29</v>
      </c>
      <c r="AV936">
        <v>5</v>
      </c>
      <c r="AW936">
        <v>3.84</v>
      </c>
      <c r="AX936">
        <v>48.39</v>
      </c>
      <c r="AY936">
        <v>32.65</v>
      </c>
      <c r="AZ936">
        <v>30.94</v>
      </c>
      <c r="BA936">
        <v>0.48</v>
      </c>
      <c r="BB936" t="s">
        <v>184</v>
      </c>
      <c r="BF936">
        <v>-0.47</v>
      </c>
      <c r="BG936">
        <v>-1.58</v>
      </c>
      <c r="BH936">
        <v>-2.8</v>
      </c>
      <c r="BI936">
        <v>0.65</v>
      </c>
      <c r="BJ936">
        <v>20210820</v>
      </c>
      <c r="BK936">
        <v>20110128</v>
      </c>
      <c r="BL936">
        <v>18.05</v>
      </c>
      <c r="BM936" t="s">
        <v>120</v>
      </c>
      <c r="BN936" t="s">
        <v>120</v>
      </c>
      <c r="BO936">
        <v>102.72</v>
      </c>
      <c r="BP936">
        <v>3.12</v>
      </c>
      <c r="BQ936">
        <v>41.19</v>
      </c>
      <c r="BR936">
        <v>0.23</v>
      </c>
      <c r="BS936">
        <v>59.67</v>
      </c>
      <c r="BT936">
        <v>80.13</v>
      </c>
      <c r="BU936">
        <v>10.79</v>
      </c>
      <c r="BV936">
        <v>1.8</v>
      </c>
      <c r="BW936">
        <v>47.53</v>
      </c>
      <c r="BX936">
        <v>8.19</v>
      </c>
      <c r="BY936">
        <v>0.79</v>
      </c>
      <c r="BZ936">
        <v>43.76</v>
      </c>
      <c r="CA936" t="s">
        <v>120</v>
      </c>
      <c r="CB936">
        <v>7.78</v>
      </c>
      <c r="CC936">
        <v>24.77</v>
      </c>
      <c r="CD936">
        <v>20.6</v>
      </c>
      <c r="CE936">
        <v>1.1299999999999999</v>
      </c>
      <c r="CF936">
        <v>-0.02</v>
      </c>
      <c r="CG936">
        <v>1.1299999999999999</v>
      </c>
      <c r="CH936">
        <v>0.95</v>
      </c>
      <c r="CI936">
        <v>0.97</v>
      </c>
      <c r="CJ936">
        <v>-0.05</v>
      </c>
      <c r="CK936">
        <v>0.95</v>
      </c>
      <c r="CL936">
        <v>13.08</v>
      </c>
      <c r="CM936">
        <v>-4.84</v>
      </c>
      <c r="CN936">
        <v>-4.43</v>
      </c>
      <c r="CO936">
        <v>71416</v>
      </c>
      <c r="CP936">
        <v>12231</v>
      </c>
      <c r="CQ936" t="s">
        <v>5435</v>
      </c>
      <c r="CR936">
        <v>-9.09</v>
      </c>
      <c r="CS936">
        <v>21.12</v>
      </c>
      <c r="CT936">
        <v>1.42</v>
      </c>
      <c r="CU936">
        <v>-11.64</v>
      </c>
      <c r="CV936">
        <v>2.27</v>
      </c>
      <c r="CW936">
        <v>0.95</v>
      </c>
      <c r="CX936" t="s">
        <v>1248</v>
      </c>
      <c r="CY936">
        <v>2.19</v>
      </c>
      <c r="CZ936">
        <v>2.19</v>
      </c>
      <c r="DA936">
        <v>0.43</v>
      </c>
      <c r="DB936">
        <v>0.72</v>
      </c>
      <c r="DC936">
        <v>-0.27</v>
      </c>
      <c r="DD936">
        <v>40.1</v>
      </c>
      <c r="DE936" t="s">
        <v>2151</v>
      </c>
      <c r="DF936">
        <v>16.84</v>
      </c>
      <c r="DG936">
        <v>4.55</v>
      </c>
      <c r="DH936">
        <v>3.92</v>
      </c>
      <c r="DI936">
        <v>0.69</v>
      </c>
      <c r="DJ936">
        <v>2096</v>
      </c>
      <c r="DK936">
        <v>2542</v>
      </c>
      <c r="DL936" t="s">
        <v>120</v>
      </c>
      <c r="DM936" t="s">
        <v>120</v>
      </c>
      <c r="DN936" t="s">
        <v>120</v>
      </c>
    </row>
    <row r="937" spans="1:118">
      <c r="A937" t="str">
        <f>"002543"</f>
        <v>002543</v>
      </c>
      <c r="B937" t="s">
        <v>5436</v>
      </c>
      <c r="C937">
        <v>-1.75</v>
      </c>
      <c r="D937">
        <v>0</v>
      </c>
      <c r="E937">
        <v>0.35</v>
      </c>
      <c r="F937">
        <v>237</v>
      </c>
      <c r="G937" t="s">
        <v>5437</v>
      </c>
      <c r="H937">
        <v>3098.57</v>
      </c>
      <c r="I937">
        <v>9.1199999999999992</v>
      </c>
      <c r="J937" t="s">
        <v>120</v>
      </c>
      <c r="K937" t="s">
        <v>5438</v>
      </c>
      <c r="L937">
        <v>0.56999999999999995</v>
      </c>
      <c r="M937">
        <v>8.42</v>
      </c>
      <c r="N937">
        <v>0.86</v>
      </c>
      <c r="O937">
        <v>1.63</v>
      </c>
      <c r="P937">
        <v>8.7100000000000009</v>
      </c>
      <c r="Q937">
        <v>-1.98</v>
      </c>
      <c r="R937">
        <v>8.4</v>
      </c>
      <c r="S937">
        <v>8.6</v>
      </c>
      <c r="T937">
        <v>36132</v>
      </c>
      <c r="U937">
        <v>8.44</v>
      </c>
      <c r="V937">
        <v>8.57</v>
      </c>
      <c r="W937">
        <v>6.98</v>
      </c>
      <c r="X937" t="s">
        <v>205</v>
      </c>
      <c r="Y937" t="s">
        <v>547</v>
      </c>
      <c r="Z937">
        <v>3.62</v>
      </c>
      <c r="AA937">
        <v>8.58</v>
      </c>
      <c r="AB937">
        <v>19369</v>
      </c>
      <c r="AC937">
        <v>16763</v>
      </c>
      <c r="AD937">
        <v>1.1599999999999999</v>
      </c>
      <c r="AE937">
        <v>26</v>
      </c>
      <c r="AF937">
        <v>8</v>
      </c>
      <c r="AG937" t="s">
        <v>120</v>
      </c>
      <c r="AH937">
        <v>0.01</v>
      </c>
      <c r="AI937" t="s">
        <v>120</v>
      </c>
      <c r="AJ937">
        <v>6.31</v>
      </c>
      <c r="AK937" t="s">
        <v>5439</v>
      </c>
      <c r="AL937">
        <v>0.16</v>
      </c>
      <c r="AM937">
        <v>2225</v>
      </c>
      <c r="AN937">
        <v>16</v>
      </c>
      <c r="AO937">
        <v>2.9999999999999997E-4</v>
      </c>
      <c r="AP937">
        <v>-1</v>
      </c>
      <c r="AQ937">
        <v>1.18</v>
      </c>
      <c r="AR937">
        <v>-2.66</v>
      </c>
      <c r="AS937">
        <v>10.210000000000001</v>
      </c>
      <c r="AT937">
        <v>13.02</v>
      </c>
      <c r="AU937">
        <v>4.99</v>
      </c>
      <c r="AV937">
        <v>1</v>
      </c>
      <c r="AW937">
        <v>1.96</v>
      </c>
      <c r="AX937">
        <v>24.83</v>
      </c>
      <c r="AY937">
        <v>8.2100000000000009</v>
      </c>
      <c r="AZ937">
        <v>10.42</v>
      </c>
      <c r="BA937">
        <v>0.47</v>
      </c>
      <c r="BB937" t="s">
        <v>143</v>
      </c>
      <c r="BF937">
        <v>7.0000000000000007E-2</v>
      </c>
      <c r="BG937">
        <v>-2.09</v>
      </c>
      <c r="BH937">
        <v>-3.33</v>
      </c>
      <c r="BI937">
        <v>0.24</v>
      </c>
      <c r="BJ937">
        <v>20210830</v>
      </c>
      <c r="BK937">
        <v>20110128</v>
      </c>
      <c r="BL937">
        <v>7.44</v>
      </c>
      <c r="BM937" t="s">
        <v>120</v>
      </c>
      <c r="BN937" t="s">
        <v>120</v>
      </c>
      <c r="BO937">
        <v>86.61</v>
      </c>
      <c r="BP937">
        <v>8.42</v>
      </c>
      <c r="BQ937">
        <v>42.68</v>
      </c>
      <c r="BR937">
        <v>0.05</v>
      </c>
      <c r="BS937">
        <v>50.67</v>
      </c>
      <c r="BT937">
        <v>47.97</v>
      </c>
      <c r="BU937">
        <v>9.98</v>
      </c>
      <c r="BV937">
        <v>3.02</v>
      </c>
      <c r="BW937">
        <v>40.479999999999997</v>
      </c>
      <c r="BX937">
        <v>17.579999999999998</v>
      </c>
      <c r="BY937">
        <v>12.11</v>
      </c>
      <c r="BZ937">
        <v>9.99</v>
      </c>
      <c r="CA937" t="s">
        <v>120</v>
      </c>
      <c r="CB937">
        <v>9.0500000000000007</v>
      </c>
      <c r="CC937">
        <v>39.4</v>
      </c>
      <c r="CD937">
        <v>30.41</v>
      </c>
      <c r="CE937">
        <v>5.32</v>
      </c>
      <c r="CF937">
        <v>0.09</v>
      </c>
      <c r="CG937">
        <v>5.35</v>
      </c>
      <c r="CH937">
        <v>4.4800000000000004</v>
      </c>
      <c r="CI937">
        <v>4.49</v>
      </c>
      <c r="CJ937">
        <v>-0.15</v>
      </c>
      <c r="CK937">
        <v>2.83</v>
      </c>
      <c r="CL937">
        <v>23.11</v>
      </c>
      <c r="CM937">
        <v>3.2</v>
      </c>
      <c r="CN937">
        <v>1.01</v>
      </c>
      <c r="CO937">
        <v>20552</v>
      </c>
      <c r="CP937">
        <v>8984</v>
      </c>
      <c r="CQ937" t="s">
        <v>5440</v>
      </c>
      <c r="CR937">
        <v>57.84</v>
      </c>
      <c r="CS937">
        <v>34.79</v>
      </c>
      <c r="CT937">
        <v>1.47</v>
      </c>
      <c r="CU937">
        <v>19.54</v>
      </c>
      <c r="CV937">
        <v>1.59</v>
      </c>
      <c r="CW937">
        <v>3.85</v>
      </c>
      <c r="CX937" t="s">
        <v>817</v>
      </c>
      <c r="CY937">
        <v>5.74</v>
      </c>
      <c r="CZ937">
        <v>0</v>
      </c>
      <c r="DA937">
        <v>1.22</v>
      </c>
      <c r="DB937">
        <v>3.11</v>
      </c>
      <c r="DC937">
        <v>0.43</v>
      </c>
      <c r="DD937">
        <v>49.28</v>
      </c>
      <c r="DE937" t="s">
        <v>5441</v>
      </c>
      <c r="DF937">
        <v>22.82</v>
      </c>
      <c r="DG937">
        <v>13.49</v>
      </c>
      <c r="DH937">
        <v>11.39</v>
      </c>
      <c r="DI937">
        <v>1.1599999999999999</v>
      </c>
      <c r="DJ937">
        <v>4905</v>
      </c>
      <c r="DK937">
        <v>2543</v>
      </c>
      <c r="DL937" t="s">
        <v>120</v>
      </c>
      <c r="DM937" t="s">
        <v>120</v>
      </c>
      <c r="DN937" t="s">
        <v>120</v>
      </c>
    </row>
    <row r="938" spans="1:118">
      <c r="A938" t="str">
        <f>"002544"</f>
        <v>002544</v>
      </c>
      <c r="B938" t="s">
        <v>5442</v>
      </c>
      <c r="C938">
        <v>-2.12</v>
      </c>
      <c r="D938">
        <v>-0.21</v>
      </c>
      <c r="E938">
        <v>0.22</v>
      </c>
      <c r="F938">
        <v>2146</v>
      </c>
      <c r="G938" t="s">
        <v>5443</v>
      </c>
      <c r="H938">
        <v>8306.2199999999993</v>
      </c>
      <c r="I938">
        <v>12.49</v>
      </c>
      <c r="J938" t="s">
        <v>120</v>
      </c>
      <c r="K938" t="s">
        <v>5444</v>
      </c>
      <c r="L938">
        <v>0.92</v>
      </c>
      <c r="M938">
        <v>13.4</v>
      </c>
      <c r="N938">
        <v>0.87</v>
      </c>
      <c r="O938">
        <v>1.61</v>
      </c>
      <c r="P938">
        <v>13.91</v>
      </c>
      <c r="Q938">
        <v>-2.12</v>
      </c>
      <c r="R938">
        <v>13.4</v>
      </c>
      <c r="S938">
        <v>13.72</v>
      </c>
      <c r="T938">
        <v>60823</v>
      </c>
      <c r="U938">
        <v>13.4</v>
      </c>
      <c r="V938">
        <v>13.69</v>
      </c>
      <c r="W938">
        <v>68.099999999999994</v>
      </c>
      <c r="X938" t="s">
        <v>141</v>
      </c>
      <c r="Y938" t="s">
        <v>547</v>
      </c>
      <c r="Z938">
        <v>3.73</v>
      </c>
      <c r="AA938">
        <v>13.66</v>
      </c>
      <c r="AB938">
        <v>34800</v>
      </c>
      <c r="AC938">
        <v>26023</v>
      </c>
      <c r="AD938">
        <v>1.34</v>
      </c>
      <c r="AE938">
        <v>151</v>
      </c>
      <c r="AF938">
        <v>330</v>
      </c>
      <c r="AG938" t="s">
        <v>120</v>
      </c>
      <c r="AH938">
        <v>0</v>
      </c>
      <c r="AI938" t="s">
        <v>120</v>
      </c>
      <c r="AJ938">
        <v>6.61</v>
      </c>
      <c r="AK938" t="s">
        <v>5445</v>
      </c>
      <c r="AL938">
        <v>-0.2</v>
      </c>
      <c r="AM938">
        <v>2547</v>
      </c>
      <c r="AN938">
        <v>24</v>
      </c>
      <c r="AO938">
        <v>4.0000000000000002E-4</v>
      </c>
      <c r="AP938">
        <v>-1</v>
      </c>
      <c r="AQ938">
        <v>7.0000000000000007E-2</v>
      </c>
      <c r="AR938">
        <v>-1.9</v>
      </c>
      <c r="AS938">
        <v>2.21</v>
      </c>
      <c r="AT938">
        <v>-3.8</v>
      </c>
      <c r="AU938">
        <v>-19.809999999999999</v>
      </c>
      <c r="AV938">
        <v>2</v>
      </c>
      <c r="AW938">
        <v>1.68</v>
      </c>
      <c r="AX938">
        <v>52.98</v>
      </c>
      <c r="AY938">
        <v>72.150000000000006</v>
      </c>
      <c r="AZ938">
        <v>97.16</v>
      </c>
      <c r="BA938">
        <v>0.46</v>
      </c>
      <c r="BB938" t="s">
        <v>143</v>
      </c>
      <c r="BF938">
        <v>-0.25</v>
      </c>
      <c r="BG938">
        <v>-2.33</v>
      </c>
      <c r="BH938">
        <v>-3.67</v>
      </c>
      <c r="BI938">
        <v>0</v>
      </c>
      <c r="BJ938">
        <v>20210826</v>
      </c>
      <c r="BK938">
        <v>20110128</v>
      </c>
      <c r="BL938">
        <v>6.83</v>
      </c>
      <c r="BM938" t="s">
        <v>120</v>
      </c>
      <c r="BN938" t="s">
        <v>120</v>
      </c>
      <c r="BO938">
        <v>88.18</v>
      </c>
      <c r="BP938">
        <v>13.39</v>
      </c>
      <c r="BQ938">
        <v>35.35</v>
      </c>
      <c r="BR938">
        <v>1.1200000000000001</v>
      </c>
      <c r="BS938">
        <v>58.64</v>
      </c>
      <c r="BT938">
        <v>78.349999999999994</v>
      </c>
      <c r="BU938">
        <v>5.94</v>
      </c>
      <c r="BV938">
        <v>1.78</v>
      </c>
      <c r="BW938">
        <v>47.09</v>
      </c>
      <c r="BX938">
        <v>19.18</v>
      </c>
      <c r="BY938">
        <v>16.079999999999998</v>
      </c>
      <c r="BZ938">
        <v>34.42</v>
      </c>
      <c r="CA938">
        <v>0.1</v>
      </c>
      <c r="CB938">
        <v>19.32</v>
      </c>
      <c r="CC938">
        <v>25.69</v>
      </c>
      <c r="CD938">
        <v>20.45</v>
      </c>
      <c r="CE938">
        <v>0.81</v>
      </c>
      <c r="CF938">
        <v>0</v>
      </c>
      <c r="CG938">
        <v>0.8</v>
      </c>
      <c r="CH938">
        <v>0.73</v>
      </c>
      <c r="CI938">
        <v>0.67</v>
      </c>
      <c r="CJ938">
        <v>-0.28999999999999998</v>
      </c>
      <c r="CK938">
        <v>0.56999999999999995</v>
      </c>
      <c r="CL938">
        <v>8.83</v>
      </c>
      <c r="CM938">
        <v>-6</v>
      </c>
      <c r="CN938">
        <v>-9.2100000000000009</v>
      </c>
      <c r="CO938">
        <v>33876</v>
      </c>
      <c r="CP938">
        <v>10686</v>
      </c>
      <c r="CQ938" t="s">
        <v>4052</v>
      </c>
      <c r="CR938">
        <v>98.58</v>
      </c>
      <c r="CS938">
        <v>13.88</v>
      </c>
      <c r="CT938">
        <v>2.59</v>
      </c>
      <c r="CU938">
        <v>-15.25</v>
      </c>
      <c r="CV938">
        <v>3.56</v>
      </c>
      <c r="CW938">
        <v>0.52</v>
      </c>
      <c r="CX938" t="s">
        <v>1568</v>
      </c>
      <c r="CY938">
        <v>5.17</v>
      </c>
      <c r="CZ938">
        <v>5.17</v>
      </c>
      <c r="DA938">
        <v>2.83</v>
      </c>
      <c r="DB938">
        <v>1.29</v>
      </c>
      <c r="DC938">
        <v>-0.88</v>
      </c>
      <c r="DD938">
        <v>40.090000000000003</v>
      </c>
      <c r="DE938" t="s">
        <v>5446</v>
      </c>
      <c r="DF938">
        <v>20.41</v>
      </c>
      <c r="DG938">
        <v>3.16</v>
      </c>
      <c r="DH938">
        <v>2.62</v>
      </c>
      <c r="DI938">
        <v>1.55</v>
      </c>
      <c r="DJ938">
        <v>6373</v>
      </c>
      <c r="DK938">
        <v>2544</v>
      </c>
      <c r="DL938" t="s">
        <v>120</v>
      </c>
      <c r="DM938" t="s">
        <v>120</v>
      </c>
      <c r="DN938" t="s">
        <v>120</v>
      </c>
    </row>
    <row r="939" spans="1:118">
      <c r="A939" t="str">
        <f>"002545"</f>
        <v>002545</v>
      </c>
      <c r="B939" t="s">
        <v>5447</v>
      </c>
      <c r="C939">
        <v>-3.67</v>
      </c>
      <c r="D939">
        <v>0</v>
      </c>
      <c r="E939">
        <v>0.87</v>
      </c>
      <c r="F939">
        <v>1352</v>
      </c>
      <c r="G939" t="s">
        <v>5448</v>
      </c>
      <c r="H939">
        <v>19072.580000000002</v>
      </c>
      <c r="I939">
        <v>86</v>
      </c>
      <c r="J939" t="s">
        <v>120</v>
      </c>
      <c r="K939" t="s">
        <v>5449</v>
      </c>
      <c r="L939">
        <v>1.73</v>
      </c>
      <c r="M939">
        <v>9.98</v>
      </c>
      <c r="N939">
        <v>0.98</v>
      </c>
      <c r="O939">
        <v>2.12</v>
      </c>
      <c r="P939">
        <v>10.58</v>
      </c>
      <c r="Q939">
        <v>-4.1500000000000004</v>
      </c>
      <c r="R939">
        <v>9.93</v>
      </c>
      <c r="S939">
        <v>10.45</v>
      </c>
      <c r="T939">
        <v>187026</v>
      </c>
      <c r="U939">
        <v>9.99</v>
      </c>
      <c r="V939">
        <v>10.36</v>
      </c>
      <c r="W939">
        <v>30.63</v>
      </c>
      <c r="X939" t="s">
        <v>1925</v>
      </c>
      <c r="Y939" t="s">
        <v>638</v>
      </c>
      <c r="Z939">
        <v>6.27</v>
      </c>
      <c r="AA939">
        <v>10.199999999999999</v>
      </c>
      <c r="AB939">
        <v>112578</v>
      </c>
      <c r="AC939">
        <v>74448</v>
      </c>
      <c r="AD939">
        <v>1.51</v>
      </c>
      <c r="AE939">
        <v>2801</v>
      </c>
      <c r="AF939">
        <v>253</v>
      </c>
      <c r="AG939" t="s">
        <v>120</v>
      </c>
      <c r="AH939">
        <v>0.03</v>
      </c>
      <c r="AI939" t="s">
        <v>120</v>
      </c>
      <c r="AJ939">
        <v>10.8</v>
      </c>
      <c r="AK939" t="s">
        <v>5450</v>
      </c>
      <c r="AL939">
        <v>-1.75</v>
      </c>
      <c r="AM939">
        <v>3210</v>
      </c>
      <c r="AN939">
        <v>58</v>
      </c>
      <c r="AO939">
        <v>5.0000000000000001E-4</v>
      </c>
      <c r="AP939">
        <v>-1</v>
      </c>
      <c r="AQ939">
        <v>2.17</v>
      </c>
      <c r="AR939">
        <v>-1.58</v>
      </c>
      <c r="AS939">
        <v>12.89</v>
      </c>
      <c r="AT939">
        <v>36.71</v>
      </c>
      <c r="AU939">
        <v>31.67</v>
      </c>
      <c r="AV939">
        <v>1</v>
      </c>
      <c r="AW939">
        <v>5.68</v>
      </c>
      <c r="AX939">
        <v>26.46</v>
      </c>
      <c r="AY939">
        <v>37.340000000000003</v>
      </c>
      <c r="AZ939">
        <v>41.72</v>
      </c>
      <c r="BA939">
        <v>0.94</v>
      </c>
      <c r="BB939" t="s">
        <v>143</v>
      </c>
      <c r="BF939">
        <v>-1.57</v>
      </c>
      <c r="BG939">
        <v>-4.5</v>
      </c>
      <c r="BH939">
        <v>-5.67</v>
      </c>
      <c r="BI939">
        <v>0.5</v>
      </c>
      <c r="BJ939">
        <v>20210812</v>
      </c>
      <c r="BK939">
        <v>20110211</v>
      </c>
      <c r="BL939">
        <v>12.44</v>
      </c>
      <c r="BM939" t="s">
        <v>120</v>
      </c>
      <c r="BN939" t="s">
        <v>120</v>
      </c>
      <c r="BO939">
        <v>116.74</v>
      </c>
      <c r="BP939">
        <v>9.98</v>
      </c>
      <c r="BQ939">
        <v>77.91</v>
      </c>
      <c r="BR939">
        <v>0.26</v>
      </c>
      <c r="BS939">
        <v>33.049999999999997</v>
      </c>
      <c r="BT939">
        <v>39.21</v>
      </c>
      <c r="BU939">
        <v>22.02</v>
      </c>
      <c r="BV939">
        <v>36.28</v>
      </c>
      <c r="BW939">
        <v>22.82</v>
      </c>
      <c r="BX939">
        <v>12.34</v>
      </c>
      <c r="BY939">
        <v>8.98</v>
      </c>
      <c r="BZ939">
        <v>4.5199999999999996</v>
      </c>
      <c r="CA939" t="s">
        <v>120</v>
      </c>
      <c r="CB939">
        <v>46.13</v>
      </c>
      <c r="CC939">
        <v>13.1</v>
      </c>
      <c r="CD939">
        <v>9.61</v>
      </c>
      <c r="CE939">
        <v>2.4500000000000002</v>
      </c>
      <c r="CF939">
        <v>0.41</v>
      </c>
      <c r="CG939">
        <v>2.4500000000000002</v>
      </c>
      <c r="CH939">
        <v>2.02</v>
      </c>
      <c r="CI939">
        <v>2.0299999999999998</v>
      </c>
      <c r="CJ939">
        <v>-0.38</v>
      </c>
      <c r="CK939">
        <v>1.82</v>
      </c>
      <c r="CL939">
        <v>16.350000000000001</v>
      </c>
      <c r="CM939">
        <v>1.45</v>
      </c>
      <c r="CN939">
        <v>2.1</v>
      </c>
      <c r="CO939">
        <v>27827</v>
      </c>
      <c r="CP939">
        <v>11830</v>
      </c>
      <c r="CQ939" t="s">
        <v>3231</v>
      </c>
      <c r="CR939">
        <v>21.77</v>
      </c>
      <c r="CS939">
        <v>5.52</v>
      </c>
      <c r="CT939">
        <v>1.59</v>
      </c>
      <c r="CU939">
        <v>85.53</v>
      </c>
      <c r="CV939">
        <v>9.48</v>
      </c>
      <c r="CW939">
        <v>0.97</v>
      </c>
      <c r="CX939" t="s">
        <v>5451</v>
      </c>
      <c r="CY939">
        <v>6.26</v>
      </c>
      <c r="CZ939">
        <v>0</v>
      </c>
      <c r="DA939">
        <v>3.71</v>
      </c>
      <c r="DB939">
        <v>1.31</v>
      </c>
      <c r="DC939">
        <v>0.12</v>
      </c>
      <c r="DD939">
        <v>66.73</v>
      </c>
      <c r="DE939" t="s">
        <v>3597</v>
      </c>
      <c r="DF939">
        <v>26.6</v>
      </c>
      <c r="DG939">
        <v>18.71</v>
      </c>
      <c r="DH939">
        <v>15.48</v>
      </c>
      <c r="DI939">
        <v>0.39</v>
      </c>
      <c r="DJ939">
        <v>1648</v>
      </c>
      <c r="DK939">
        <v>2545</v>
      </c>
      <c r="DL939" t="s">
        <v>120</v>
      </c>
      <c r="DM939" t="s">
        <v>120</v>
      </c>
      <c r="DN939" t="s">
        <v>120</v>
      </c>
    </row>
    <row r="940" spans="1:118">
      <c r="A940" t="str">
        <f>"002546"</f>
        <v>002546</v>
      </c>
      <c r="B940" t="s">
        <v>5452</v>
      </c>
      <c r="C940">
        <v>-1.19</v>
      </c>
      <c r="D940">
        <v>0</v>
      </c>
      <c r="E940">
        <v>0</v>
      </c>
      <c r="F940">
        <v>1609</v>
      </c>
      <c r="G940" t="s">
        <v>5453</v>
      </c>
      <c r="H940">
        <v>3974.31</v>
      </c>
      <c r="I940">
        <v>0.04</v>
      </c>
      <c r="J940" t="s">
        <v>120</v>
      </c>
      <c r="K940" t="s">
        <v>5454</v>
      </c>
      <c r="L940">
        <v>1.2</v>
      </c>
      <c r="M940">
        <v>4.16</v>
      </c>
      <c r="N940">
        <v>1.01</v>
      </c>
      <c r="O940">
        <v>1.43</v>
      </c>
      <c r="P940">
        <v>4.2699999999999996</v>
      </c>
      <c r="Q940">
        <v>-2.38</v>
      </c>
      <c r="R940">
        <v>4.1100000000000003</v>
      </c>
      <c r="S940">
        <v>4.21</v>
      </c>
      <c r="T940">
        <v>94663</v>
      </c>
      <c r="U940">
        <v>4.17</v>
      </c>
      <c r="V940">
        <v>4.21</v>
      </c>
      <c r="W940">
        <v>17.82</v>
      </c>
      <c r="X940" t="s">
        <v>394</v>
      </c>
      <c r="Y940" t="s">
        <v>319</v>
      </c>
      <c r="Z940">
        <v>3.8</v>
      </c>
      <c r="AA940">
        <v>4.2</v>
      </c>
      <c r="AB940">
        <v>58794</v>
      </c>
      <c r="AC940">
        <v>35869</v>
      </c>
      <c r="AD940">
        <v>1.64</v>
      </c>
      <c r="AE940">
        <v>156</v>
      </c>
      <c r="AF940">
        <v>521</v>
      </c>
      <c r="AG940" t="s">
        <v>120</v>
      </c>
      <c r="AH940">
        <v>0</v>
      </c>
      <c r="AI940" t="s">
        <v>120</v>
      </c>
      <c r="AJ940">
        <v>7.89</v>
      </c>
      <c r="AK940" t="s">
        <v>5455</v>
      </c>
      <c r="AL940">
        <v>0.73</v>
      </c>
      <c r="AM940">
        <v>1814</v>
      </c>
      <c r="AN940">
        <v>52</v>
      </c>
      <c r="AO940">
        <v>6.9999999999999999E-4</v>
      </c>
      <c r="AP940">
        <v>-1</v>
      </c>
      <c r="AQ940">
        <v>1.69</v>
      </c>
      <c r="AR940">
        <v>-1.89</v>
      </c>
      <c r="AS940">
        <v>8.0500000000000007</v>
      </c>
      <c r="AT940">
        <v>9.4700000000000006</v>
      </c>
      <c r="AU940">
        <v>2.72</v>
      </c>
      <c r="AV940">
        <v>0</v>
      </c>
      <c r="AW940">
        <v>2.11</v>
      </c>
      <c r="AX940">
        <v>53.81</v>
      </c>
      <c r="AY940">
        <v>16.190000000000001</v>
      </c>
      <c r="AZ940">
        <v>19.149999999999999</v>
      </c>
      <c r="BA940">
        <v>0.39</v>
      </c>
      <c r="BB940" t="s">
        <v>143</v>
      </c>
      <c r="BF940">
        <v>-0.28000000000000003</v>
      </c>
      <c r="BG940">
        <v>-1.19</v>
      </c>
      <c r="BH940">
        <v>-2.58</v>
      </c>
      <c r="BI940">
        <v>1.22</v>
      </c>
      <c r="BJ940">
        <v>20210903</v>
      </c>
      <c r="BK940">
        <v>20110211</v>
      </c>
      <c r="BL940">
        <v>8.34</v>
      </c>
      <c r="BM940" t="s">
        <v>120</v>
      </c>
      <c r="BN940" t="s">
        <v>120</v>
      </c>
      <c r="BO940">
        <v>34.26</v>
      </c>
      <c r="BP940">
        <v>4.16</v>
      </c>
      <c r="BQ940">
        <v>31.6</v>
      </c>
      <c r="BR940">
        <v>0.45</v>
      </c>
      <c r="BS940">
        <v>6.44</v>
      </c>
      <c r="BT940">
        <v>29.88</v>
      </c>
      <c r="BU940">
        <v>1.91</v>
      </c>
      <c r="BV940">
        <v>0.47</v>
      </c>
      <c r="BW940">
        <v>2.08</v>
      </c>
      <c r="BX940">
        <v>0.96</v>
      </c>
      <c r="BY940">
        <v>0.88</v>
      </c>
      <c r="BZ940">
        <v>1.55</v>
      </c>
      <c r="CA940" t="s">
        <v>120</v>
      </c>
      <c r="CB940">
        <v>12.35</v>
      </c>
      <c r="CC940">
        <v>1.59</v>
      </c>
      <c r="CD940">
        <v>1.0900000000000001</v>
      </c>
      <c r="CE940">
        <v>1.1499999999999999</v>
      </c>
      <c r="CF940">
        <v>1.05</v>
      </c>
      <c r="CG940">
        <v>1.1599999999999999</v>
      </c>
      <c r="CH940">
        <v>0.96</v>
      </c>
      <c r="CI940">
        <v>0.97</v>
      </c>
      <c r="CJ940">
        <v>-0.05</v>
      </c>
      <c r="CK940">
        <v>0.01</v>
      </c>
      <c r="CL940">
        <v>9.27</v>
      </c>
      <c r="CM940">
        <v>-0.31</v>
      </c>
      <c r="CN940">
        <v>-1.27</v>
      </c>
      <c r="CO940">
        <v>38439</v>
      </c>
      <c r="CP940">
        <v>11675</v>
      </c>
      <c r="CQ940" t="s">
        <v>1874</v>
      </c>
      <c r="CR940">
        <v>52.56</v>
      </c>
      <c r="CS940">
        <v>-37.21</v>
      </c>
      <c r="CT940">
        <v>1.1000000000000001</v>
      </c>
      <c r="CU940">
        <v>-111.26</v>
      </c>
      <c r="CV940">
        <v>21.8</v>
      </c>
      <c r="CW940">
        <v>2.85</v>
      </c>
      <c r="CX940" t="s">
        <v>850</v>
      </c>
      <c r="CY940">
        <v>3.79</v>
      </c>
      <c r="CZ940">
        <v>0</v>
      </c>
      <c r="DA940">
        <v>1.48</v>
      </c>
      <c r="DB940">
        <v>1.1100000000000001</v>
      </c>
      <c r="DC940">
        <v>-0.04</v>
      </c>
      <c r="DD940">
        <v>92.24</v>
      </c>
      <c r="DE940" t="s">
        <v>5456</v>
      </c>
      <c r="DF940">
        <v>31.48</v>
      </c>
      <c r="DG940">
        <v>72.5</v>
      </c>
      <c r="DH940">
        <v>61.19</v>
      </c>
      <c r="DI940">
        <v>0.2</v>
      </c>
      <c r="DJ940">
        <v>927</v>
      </c>
      <c r="DK940">
        <v>2546</v>
      </c>
      <c r="DL940" t="s">
        <v>120</v>
      </c>
      <c r="DM940" t="s">
        <v>120</v>
      </c>
      <c r="DN940" t="s">
        <v>120</v>
      </c>
    </row>
    <row r="941" spans="1:118">
      <c r="A941" t="str">
        <f>"002547"</f>
        <v>002547</v>
      </c>
      <c r="B941" t="s">
        <v>5457</v>
      </c>
      <c r="C941">
        <v>-2.5099999999999998</v>
      </c>
      <c r="D941">
        <v>0</v>
      </c>
      <c r="E941">
        <v>0.23</v>
      </c>
      <c r="F941">
        <v>2957</v>
      </c>
      <c r="G941" t="s">
        <v>2489</v>
      </c>
      <c r="H941">
        <v>8577.1</v>
      </c>
      <c r="I941">
        <v>9.99</v>
      </c>
      <c r="J941" t="s">
        <v>120</v>
      </c>
      <c r="K941" t="s">
        <v>1917</v>
      </c>
      <c r="L941">
        <v>2.41</v>
      </c>
      <c r="M941">
        <v>4.28</v>
      </c>
      <c r="N941">
        <v>0.95</v>
      </c>
      <c r="O941">
        <v>1.1399999999999999</v>
      </c>
      <c r="P941">
        <v>4.4400000000000004</v>
      </c>
      <c r="Q941">
        <v>-2.5099999999999998</v>
      </c>
      <c r="R941">
        <v>4.28</v>
      </c>
      <c r="S941">
        <v>4.4000000000000004</v>
      </c>
      <c r="T941">
        <v>197206</v>
      </c>
      <c r="U941">
        <v>4.29</v>
      </c>
      <c r="V941">
        <v>4.3899999999999997</v>
      </c>
      <c r="W941" t="s">
        <v>120</v>
      </c>
      <c r="X941" t="s">
        <v>462</v>
      </c>
      <c r="Y941" t="s">
        <v>319</v>
      </c>
      <c r="Z941">
        <v>3.64</v>
      </c>
      <c r="AA941">
        <v>4.3499999999999996</v>
      </c>
      <c r="AB941">
        <v>129883</v>
      </c>
      <c r="AC941">
        <v>67323</v>
      </c>
      <c r="AD941">
        <v>1.93</v>
      </c>
      <c r="AE941">
        <v>4188</v>
      </c>
      <c r="AF941">
        <v>337</v>
      </c>
      <c r="AG941" t="s">
        <v>120</v>
      </c>
      <c r="AH941">
        <v>0</v>
      </c>
      <c r="AI941" t="s">
        <v>120</v>
      </c>
      <c r="AJ941">
        <v>8.19</v>
      </c>
      <c r="AK941" t="s">
        <v>5458</v>
      </c>
      <c r="AL941">
        <v>-0.59</v>
      </c>
      <c r="AM941">
        <v>2654</v>
      </c>
      <c r="AN941">
        <v>74</v>
      </c>
      <c r="AO941">
        <v>8.9999999999999998E-4</v>
      </c>
      <c r="AP941">
        <v>-1</v>
      </c>
      <c r="AQ941">
        <v>0.46</v>
      </c>
      <c r="AR941">
        <v>-2.72</v>
      </c>
      <c r="AS941">
        <v>-15.08</v>
      </c>
      <c r="AT941">
        <v>-11.93</v>
      </c>
      <c r="AU941">
        <v>-8.36</v>
      </c>
      <c r="AV941">
        <v>8</v>
      </c>
      <c r="AW941">
        <v>2.72</v>
      </c>
      <c r="AX941">
        <v>64.22</v>
      </c>
      <c r="AY941" t="s">
        <v>120</v>
      </c>
      <c r="AZ941" t="s">
        <v>120</v>
      </c>
      <c r="BA941">
        <v>0.39</v>
      </c>
      <c r="BB941" t="s">
        <v>168</v>
      </c>
      <c r="BF941">
        <v>-0.93</v>
      </c>
      <c r="BG941">
        <v>-2.73</v>
      </c>
      <c r="BH941">
        <v>-3.6</v>
      </c>
      <c r="BI941">
        <v>0</v>
      </c>
      <c r="BJ941">
        <v>20210831</v>
      </c>
      <c r="BK941">
        <v>20110218</v>
      </c>
      <c r="BL941">
        <v>11.28</v>
      </c>
      <c r="BM941" t="s">
        <v>120</v>
      </c>
      <c r="BN941" t="s">
        <v>120</v>
      </c>
      <c r="BO941">
        <v>60.96</v>
      </c>
      <c r="BP941">
        <v>4.28</v>
      </c>
      <c r="BQ941">
        <v>14.93</v>
      </c>
      <c r="BR941">
        <v>1.1299999999999999</v>
      </c>
      <c r="BS941">
        <v>73.66</v>
      </c>
      <c r="BT941">
        <v>35.94</v>
      </c>
      <c r="BU941">
        <v>12.79</v>
      </c>
      <c r="BV941">
        <v>0.51</v>
      </c>
      <c r="BW941">
        <v>42.06</v>
      </c>
      <c r="BX941">
        <v>11.16</v>
      </c>
      <c r="BY941">
        <v>5.0199999999999996</v>
      </c>
      <c r="BZ941">
        <v>8.82</v>
      </c>
      <c r="CA941">
        <v>0</v>
      </c>
      <c r="CB941">
        <v>14.34</v>
      </c>
      <c r="CC941">
        <v>13.52</v>
      </c>
      <c r="CD941">
        <v>11.95</v>
      </c>
      <c r="CE941">
        <v>-1.78</v>
      </c>
      <c r="CF941">
        <v>-0.4</v>
      </c>
      <c r="CG941">
        <v>-1.96</v>
      </c>
      <c r="CH941">
        <v>-1.77</v>
      </c>
      <c r="CI941">
        <v>-1.7</v>
      </c>
      <c r="CJ941">
        <v>-0.11</v>
      </c>
      <c r="CK941">
        <v>-1.51</v>
      </c>
      <c r="CL941">
        <v>-11.06</v>
      </c>
      <c r="CM941">
        <v>0.54</v>
      </c>
      <c r="CN941">
        <v>0.22</v>
      </c>
      <c r="CO941">
        <v>125319</v>
      </c>
      <c r="CP941">
        <v>5781</v>
      </c>
      <c r="CQ941" t="s">
        <v>5459</v>
      </c>
      <c r="CR941">
        <v>6.88</v>
      </c>
      <c r="CS941">
        <v>-56.02</v>
      </c>
      <c r="CT941">
        <v>3.23</v>
      </c>
      <c r="CU941">
        <v>89.46</v>
      </c>
      <c r="CV941">
        <v>3.57</v>
      </c>
      <c r="CW941">
        <v>0</v>
      </c>
      <c r="CX941" t="s">
        <v>795</v>
      </c>
      <c r="CY941">
        <v>1.32</v>
      </c>
      <c r="CZ941">
        <v>0</v>
      </c>
      <c r="DA941">
        <v>1.27</v>
      </c>
      <c r="DB941">
        <v>-0.98</v>
      </c>
      <c r="DC941">
        <v>0.05</v>
      </c>
      <c r="DD941">
        <v>24.49</v>
      </c>
      <c r="DE941" t="s">
        <v>5460</v>
      </c>
      <c r="DF941">
        <v>11.66</v>
      </c>
      <c r="DG941">
        <v>-13.2</v>
      </c>
      <c r="DH941">
        <v>-12.54</v>
      </c>
      <c r="DI941">
        <v>0.71</v>
      </c>
      <c r="DJ941">
        <v>4783</v>
      </c>
      <c r="DK941">
        <v>2547</v>
      </c>
      <c r="DL941" t="s">
        <v>120</v>
      </c>
      <c r="DM941" t="s">
        <v>120</v>
      </c>
      <c r="DN941" t="s">
        <v>120</v>
      </c>
    </row>
    <row r="942" spans="1:118">
      <c r="A942" t="str">
        <f>"002548"</f>
        <v>002548</v>
      </c>
      <c r="B942" t="s">
        <v>5461</v>
      </c>
      <c r="C942">
        <v>3.56</v>
      </c>
      <c r="D942">
        <v>0.18</v>
      </c>
      <c r="E942">
        <v>0</v>
      </c>
      <c r="F942">
        <v>2712</v>
      </c>
      <c r="G942" t="s">
        <v>5462</v>
      </c>
      <c r="H942">
        <v>10875.66</v>
      </c>
      <c r="I942">
        <v>3.36</v>
      </c>
      <c r="J942" t="s">
        <v>120</v>
      </c>
      <c r="K942" t="s">
        <v>5463</v>
      </c>
      <c r="L942">
        <v>3.68</v>
      </c>
      <c r="M942">
        <v>5.53</v>
      </c>
      <c r="N942">
        <v>3.07</v>
      </c>
      <c r="O942">
        <v>4.3099999999999996</v>
      </c>
      <c r="P942">
        <v>5.57</v>
      </c>
      <c r="Q942">
        <v>-0.37</v>
      </c>
      <c r="R942">
        <v>5.32</v>
      </c>
      <c r="S942">
        <v>5.34</v>
      </c>
      <c r="T942">
        <v>198113</v>
      </c>
      <c r="U942">
        <v>5.53</v>
      </c>
      <c r="V942">
        <v>5.34</v>
      </c>
      <c r="W942">
        <v>47.98</v>
      </c>
      <c r="X942" t="s">
        <v>386</v>
      </c>
      <c r="Y942" t="s">
        <v>123</v>
      </c>
      <c r="Z942">
        <v>4.68</v>
      </c>
      <c r="AA942">
        <v>5.49</v>
      </c>
      <c r="AB942">
        <v>84658</v>
      </c>
      <c r="AC942">
        <v>113455</v>
      </c>
      <c r="AD942">
        <v>0.75</v>
      </c>
      <c r="AE942">
        <v>2489</v>
      </c>
      <c r="AF942">
        <v>118</v>
      </c>
      <c r="AG942" t="s">
        <v>120</v>
      </c>
      <c r="AH942">
        <v>0</v>
      </c>
      <c r="AI942" t="s">
        <v>120</v>
      </c>
      <c r="AJ942">
        <v>5.38</v>
      </c>
      <c r="AK942" t="s">
        <v>5464</v>
      </c>
      <c r="AL942">
        <v>5.47</v>
      </c>
      <c r="AM942">
        <v>2665</v>
      </c>
      <c r="AN942">
        <v>74</v>
      </c>
      <c r="AO942">
        <v>1.4E-3</v>
      </c>
      <c r="AP942">
        <v>2</v>
      </c>
      <c r="AQ942">
        <v>0.56000000000000005</v>
      </c>
      <c r="AR942">
        <v>1.84</v>
      </c>
      <c r="AS942">
        <v>7.59</v>
      </c>
      <c r="AT942">
        <v>-1.95</v>
      </c>
      <c r="AU942">
        <v>-30.36</v>
      </c>
      <c r="AV942">
        <v>3</v>
      </c>
      <c r="AW942">
        <v>5.34</v>
      </c>
      <c r="AX942">
        <v>53.74</v>
      </c>
      <c r="AY942" t="s">
        <v>120</v>
      </c>
      <c r="AZ942">
        <v>27.89</v>
      </c>
      <c r="BA942">
        <v>0.42</v>
      </c>
      <c r="BB942" t="s">
        <v>143</v>
      </c>
      <c r="BF942">
        <v>2.8</v>
      </c>
      <c r="BG942">
        <v>3.56</v>
      </c>
      <c r="BH942">
        <v>-0.72</v>
      </c>
      <c r="BI942">
        <v>3.95</v>
      </c>
      <c r="BJ942">
        <v>20210831</v>
      </c>
      <c r="BK942">
        <v>20110218</v>
      </c>
      <c r="BL942">
        <v>6.91</v>
      </c>
      <c r="BM942" t="s">
        <v>120</v>
      </c>
      <c r="BN942" t="s">
        <v>120</v>
      </c>
      <c r="BO942">
        <v>71.56</v>
      </c>
      <c r="BP942">
        <v>5.52</v>
      </c>
      <c r="BQ942">
        <v>27.01</v>
      </c>
      <c r="BR942">
        <v>4.6399999999999997</v>
      </c>
      <c r="BS942">
        <v>55.77</v>
      </c>
      <c r="BT942">
        <v>26.92</v>
      </c>
      <c r="BU942">
        <v>14.74</v>
      </c>
      <c r="BV942">
        <v>2.41</v>
      </c>
      <c r="BW942">
        <v>24.65</v>
      </c>
      <c r="BX942">
        <v>11.02</v>
      </c>
      <c r="BY942">
        <v>10.09</v>
      </c>
      <c r="BZ942">
        <v>2.17</v>
      </c>
      <c r="CA942">
        <v>0</v>
      </c>
      <c r="CB942">
        <v>16.61</v>
      </c>
      <c r="CC942">
        <v>26.19</v>
      </c>
      <c r="CD942">
        <v>20.46</v>
      </c>
      <c r="CE942">
        <v>1.08</v>
      </c>
      <c r="CF942">
        <v>-0.22</v>
      </c>
      <c r="CG942">
        <v>0.56000000000000005</v>
      </c>
      <c r="CH942">
        <v>0.57999999999999996</v>
      </c>
      <c r="CI942">
        <v>0.4</v>
      </c>
      <c r="CJ942">
        <v>0.19</v>
      </c>
      <c r="CK942">
        <v>0.92</v>
      </c>
      <c r="CL942">
        <v>2.67</v>
      </c>
      <c r="CM942">
        <v>0.41</v>
      </c>
      <c r="CN942">
        <v>-1.1100000000000001</v>
      </c>
      <c r="CO942">
        <v>62127</v>
      </c>
      <c r="CP942">
        <v>5975</v>
      </c>
      <c r="CQ942" t="s">
        <v>2796</v>
      </c>
      <c r="CR942">
        <v>-78.510000000000005</v>
      </c>
      <c r="CS942">
        <v>92.14</v>
      </c>
      <c r="CT942">
        <v>1.43</v>
      </c>
      <c r="CU942">
        <v>93.45</v>
      </c>
      <c r="CV942">
        <v>1.46</v>
      </c>
      <c r="CW942">
        <v>0.56000000000000005</v>
      </c>
      <c r="CX942" t="s">
        <v>1064</v>
      </c>
      <c r="CY942">
        <v>3.86</v>
      </c>
      <c r="CZ942">
        <v>3.86</v>
      </c>
      <c r="DA942">
        <v>2.4</v>
      </c>
      <c r="DB942">
        <v>0.39</v>
      </c>
      <c r="DC942">
        <v>0.06</v>
      </c>
      <c r="DD942">
        <v>37.74</v>
      </c>
      <c r="DE942" t="s">
        <v>3416</v>
      </c>
      <c r="DF942">
        <v>21.89</v>
      </c>
      <c r="DG942">
        <v>4.1100000000000003</v>
      </c>
      <c r="DH942">
        <v>1.52</v>
      </c>
      <c r="DI942">
        <v>0.6</v>
      </c>
      <c r="DJ942">
        <v>3154</v>
      </c>
      <c r="DK942">
        <v>2548</v>
      </c>
      <c r="DL942" t="s">
        <v>120</v>
      </c>
      <c r="DM942" t="s">
        <v>120</v>
      </c>
      <c r="DN942" t="s">
        <v>120</v>
      </c>
    </row>
    <row r="943" spans="1:118">
      <c r="A943" t="str">
        <f>"002549"</f>
        <v>002549</v>
      </c>
      <c r="B943" t="s">
        <v>5465</v>
      </c>
      <c r="C943">
        <v>-7.09</v>
      </c>
      <c r="D943">
        <v>-0.14000000000000001</v>
      </c>
      <c r="E943">
        <v>-0.99</v>
      </c>
      <c r="F943">
        <v>2113</v>
      </c>
      <c r="G943" t="s">
        <v>1661</v>
      </c>
      <c r="H943">
        <v>29958.91</v>
      </c>
      <c r="I943">
        <v>94.65</v>
      </c>
      <c r="J943" t="s">
        <v>120</v>
      </c>
      <c r="K943" t="s">
        <v>5466</v>
      </c>
      <c r="L943">
        <v>3.56</v>
      </c>
      <c r="M943">
        <v>13.1</v>
      </c>
      <c r="N943">
        <v>1.07</v>
      </c>
      <c r="O943">
        <v>1.28</v>
      </c>
      <c r="P943">
        <v>14.28</v>
      </c>
      <c r="Q943">
        <v>-7.3</v>
      </c>
      <c r="R943">
        <v>13.07</v>
      </c>
      <c r="S943">
        <v>13.96</v>
      </c>
      <c r="T943">
        <v>221149</v>
      </c>
      <c r="U943">
        <v>13.11</v>
      </c>
      <c r="V943">
        <v>14.1</v>
      </c>
      <c r="W943">
        <v>69.989999999999995</v>
      </c>
      <c r="X943" t="s">
        <v>318</v>
      </c>
      <c r="Y943" t="s">
        <v>594</v>
      </c>
      <c r="Z943">
        <v>8.58</v>
      </c>
      <c r="AA943">
        <v>13.55</v>
      </c>
      <c r="AB943">
        <v>134727</v>
      </c>
      <c r="AC943">
        <v>86422</v>
      </c>
      <c r="AD943">
        <v>1.56</v>
      </c>
      <c r="AE943">
        <v>99</v>
      </c>
      <c r="AF943">
        <v>394</v>
      </c>
      <c r="AG943" t="s">
        <v>120</v>
      </c>
      <c r="AH943">
        <v>0.03</v>
      </c>
      <c r="AI943" t="s">
        <v>120</v>
      </c>
      <c r="AJ943">
        <v>6.21</v>
      </c>
      <c r="AK943" t="s">
        <v>5467</v>
      </c>
      <c r="AL943">
        <v>-5.18</v>
      </c>
      <c r="AM943">
        <v>3869</v>
      </c>
      <c r="AN943">
        <v>57</v>
      </c>
      <c r="AO943">
        <v>8.9999999999999998E-4</v>
      </c>
      <c r="AP943">
        <v>-2</v>
      </c>
      <c r="AQ943">
        <v>-2.42</v>
      </c>
      <c r="AR943">
        <v>-3.25</v>
      </c>
      <c r="AS943">
        <v>5.05</v>
      </c>
      <c r="AT943">
        <v>55.77</v>
      </c>
      <c r="AU943">
        <v>67.52</v>
      </c>
      <c r="AV943">
        <v>11</v>
      </c>
      <c r="AW943">
        <v>11.12</v>
      </c>
      <c r="AX943">
        <v>31.9</v>
      </c>
      <c r="AY943">
        <v>88.37</v>
      </c>
      <c r="AZ943">
        <v>121.86</v>
      </c>
      <c r="BA943">
        <v>0.55000000000000004</v>
      </c>
      <c r="BB943" t="s">
        <v>143</v>
      </c>
      <c r="BF943">
        <v>-3.92</v>
      </c>
      <c r="BG943">
        <v>-6.16</v>
      </c>
      <c r="BH943">
        <v>-8.26</v>
      </c>
      <c r="BI943">
        <v>0.23</v>
      </c>
      <c r="BJ943">
        <v>20210806</v>
      </c>
      <c r="BK943">
        <v>20110218</v>
      </c>
      <c r="BL943">
        <v>6.24</v>
      </c>
      <c r="BM943" t="s">
        <v>120</v>
      </c>
      <c r="BN943" t="s">
        <v>120</v>
      </c>
      <c r="BO943">
        <v>16.39</v>
      </c>
      <c r="BP943">
        <v>13.1</v>
      </c>
      <c r="BQ943">
        <v>10.07</v>
      </c>
      <c r="BR943">
        <v>0.02</v>
      </c>
      <c r="BS943">
        <v>38.44</v>
      </c>
      <c r="BT943">
        <v>6.87</v>
      </c>
      <c r="BU943">
        <v>7.7</v>
      </c>
      <c r="BV943">
        <v>0.9</v>
      </c>
      <c r="BW943">
        <v>4.6500000000000004</v>
      </c>
      <c r="BX943">
        <v>4.72</v>
      </c>
      <c r="BY943">
        <v>0.32</v>
      </c>
      <c r="BZ943">
        <v>0.62</v>
      </c>
      <c r="CA943" t="s">
        <v>120</v>
      </c>
      <c r="CB943">
        <v>0.4</v>
      </c>
      <c r="CC943">
        <v>3.01</v>
      </c>
      <c r="CD943">
        <v>1.74</v>
      </c>
      <c r="CE943">
        <v>0.57999999999999996</v>
      </c>
      <c r="CF943">
        <v>0.02</v>
      </c>
      <c r="CG943">
        <v>0.57999999999999996</v>
      </c>
      <c r="CH943">
        <v>0.57999999999999996</v>
      </c>
      <c r="CI943">
        <v>0.57999999999999996</v>
      </c>
      <c r="CJ943">
        <v>-1</v>
      </c>
      <c r="CK943">
        <v>0.54</v>
      </c>
      <c r="CL943">
        <v>2.73</v>
      </c>
      <c r="CM943">
        <v>0.99</v>
      </c>
      <c r="CN943">
        <v>0.44</v>
      </c>
      <c r="CO943">
        <v>33047</v>
      </c>
      <c r="CP943">
        <v>6020</v>
      </c>
      <c r="CQ943" t="s">
        <v>3100</v>
      </c>
      <c r="CR943">
        <v>88.14</v>
      </c>
      <c r="CS943">
        <v>42.75</v>
      </c>
      <c r="CT943">
        <v>8.11</v>
      </c>
      <c r="CU943">
        <v>82.47</v>
      </c>
      <c r="CV943">
        <v>27.15</v>
      </c>
      <c r="CW943">
        <v>0.35</v>
      </c>
      <c r="CX943" t="s">
        <v>5468</v>
      </c>
      <c r="CY943">
        <v>1.62</v>
      </c>
      <c r="CZ943">
        <v>0</v>
      </c>
      <c r="DA943">
        <v>0.06</v>
      </c>
      <c r="DB943">
        <v>0.44</v>
      </c>
      <c r="DC943">
        <v>0.16</v>
      </c>
      <c r="DD943">
        <v>61.46</v>
      </c>
      <c r="DE943" t="s">
        <v>4589</v>
      </c>
      <c r="DF943">
        <v>42.13</v>
      </c>
      <c r="DG943">
        <v>19.41</v>
      </c>
      <c r="DH943">
        <v>19.39</v>
      </c>
      <c r="DI943">
        <v>0.19</v>
      </c>
      <c r="DJ943">
        <v>597</v>
      </c>
      <c r="DK943">
        <v>2549</v>
      </c>
      <c r="DL943" t="s">
        <v>120</v>
      </c>
      <c r="DM943" t="s">
        <v>120</v>
      </c>
      <c r="DN943" t="s">
        <v>120</v>
      </c>
    </row>
    <row r="944" spans="1:118">
      <c r="A944" t="str">
        <f>"002550"</f>
        <v>002550</v>
      </c>
      <c r="B944" t="s">
        <v>5469</v>
      </c>
      <c r="C944">
        <v>1.61</v>
      </c>
      <c r="D944">
        <v>0</v>
      </c>
      <c r="E944">
        <v>0.23</v>
      </c>
      <c r="F944">
        <v>1172</v>
      </c>
      <c r="G944" t="s">
        <v>5470</v>
      </c>
      <c r="H944">
        <v>8886.6</v>
      </c>
      <c r="I944">
        <v>20.23</v>
      </c>
      <c r="J944" t="s">
        <v>120</v>
      </c>
      <c r="K944" t="s">
        <v>5471</v>
      </c>
      <c r="L944">
        <v>2.14</v>
      </c>
      <c r="M944">
        <v>4.43</v>
      </c>
      <c r="N944">
        <v>2.2799999999999998</v>
      </c>
      <c r="O944">
        <v>3.9</v>
      </c>
      <c r="P944">
        <v>4.53</v>
      </c>
      <c r="Q944">
        <v>-0.23</v>
      </c>
      <c r="R944">
        <v>4.3499999999999996</v>
      </c>
      <c r="S944">
        <v>4.37</v>
      </c>
      <c r="T944">
        <v>198938</v>
      </c>
      <c r="U944">
        <v>4.4400000000000004</v>
      </c>
      <c r="V944">
        <v>4.3600000000000003</v>
      </c>
      <c r="W944">
        <v>31.8</v>
      </c>
      <c r="X944" t="s">
        <v>666</v>
      </c>
      <c r="Y944" t="s">
        <v>319</v>
      </c>
      <c r="Z944">
        <v>4.13</v>
      </c>
      <c r="AA944">
        <v>4.47</v>
      </c>
      <c r="AB944">
        <v>80433</v>
      </c>
      <c r="AC944">
        <v>118505</v>
      </c>
      <c r="AD944">
        <v>0.68</v>
      </c>
      <c r="AE944">
        <v>1630</v>
      </c>
      <c r="AF944">
        <v>3278</v>
      </c>
      <c r="AG944" t="s">
        <v>120</v>
      </c>
      <c r="AH944">
        <v>0.01</v>
      </c>
      <c r="AI944" t="s">
        <v>120</v>
      </c>
      <c r="AJ944">
        <v>9.2799999999999994</v>
      </c>
      <c r="AK944" t="s">
        <v>5472</v>
      </c>
      <c r="AL944">
        <v>3.52</v>
      </c>
      <c r="AM944">
        <v>2386</v>
      </c>
      <c r="AN944">
        <v>83</v>
      </c>
      <c r="AO944">
        <v>8.9999999999999998E-4</v>
      </c>
      <c r="AP944">
        <v>2</v>
      </c>
      <c r="AQ944">
        <v>0.46</v>
      </c>
      <c r="AR944">
        <v>0.45</v>
      </c>
      <c r="AS944">
        <v>-0.67</v>
      </c>
      <c r="AT944">
        <v>8.31</v>
      </c>
      <c r="AU944">
        <v>7.26</v>
      </c>
      <c r="AV944">
        <v>3</v>
      </c>
      <c r="AW944">
        <v>2.4300000000000002</v>
      </c>
      <c r="AX944">
        <v>63.97</v>
      </c>
      <c r="AY944" t="s">
        <v>120</v>
      </c>
      <c r="AZ944" t="s">
        <v>120</v>
      </c>
      <c r="BA944">
        <v>0.56999999999999995</v>
      </c>
      <c r="BB944" t="s">
        <v>143</v>
      </c>
      <c r="BF944">
        <v>2.4500000000000002</v>
      </c>
      <c r="BG944">
        <v>1.37</v>
      </c>
      <c r="BH944">
        <v>-2.21</v>
      </c>
      <c r="BI944">
        <v>1.84</v>
      </c>
      <c r="BJ944">
        <v>20210821</v>
      </c>
      <c r="BK944">
        <v>20110218</v>
      </c>
      <c r="BL944">
        <v>12.8</v>
      </c>
      <c r="BM944" t="s">
        <v>120</v>
      </c>
      <c r="BN944" t="s">
        <v>120</v>
      </c>
      <c r="BO944">
        <v>22.5</v>
      </c>
      <c r="BP944">
        <v>4.43</v>
      </c>
      <c r="BQ944">
        <v>20.28</v>
      </c>
      <c r="BR944">
        <v>-0.19</v>
      </c>
      <c r="BS944">
        <v>10.69</v>
      </c>
      <c r="BT944">
        <v>13.73</v>
      </c>
      <c r="BU944">
        <v>4.97</v>
      </c>
      <c r="BV944">
        <v>1.1000000000000001</v>
      </c>
      <c r="BW944">
        <v>1.47</v>
      </c>
      <c r="BX944">
        <v>4.93</v>
      </c>
      <c r="BY944">
        <v>4.18</v>
      </c>
      <c r="BZ944">
        <v>3.47</v>
      </c>
      <c r="CA944" t="s">
        <v>120</v>
      </c>
      <c r="CB944">
        <v>0.25</v>
      </c>
      <c r="CC944">
        <v>8.73</v>
      </c>
      <c r="CD944">
        <v>4.91</v>
      </c>
      <c r="CE944">
        <v>1.08</v>
      </c>
      <c r="CF944">
        <v>-0.08</v>
      </c>
      <c r="CG944">
        <v>1.08</v>
      </c>
      <c r="CH944">
        <v>0.85</v>
      </c>
      <c r="CI944">
        <v>0.89</v>
      </c>
      <c r="CJ944">
        <v>7.0000000000000007E-2</v>
      </c>
      <c r="CK944">
        <v>0.82</v>
      </c>
      <c r="CL944">
        <v>6.35</v>
      </c>
      <c r="CM944">
        <v>-0.36</v>
      </c>
      <c r="CN944">
        <v>-0.32</v>
      </c>
      <c r="CO944">
        <v>49219</v>
      </c>
      <c r="CP944">
        <v>16634</v>
      </c>
      <c r="CQ944" t="s">
        <v>1785</v>
      </c>
      <c r="CR944">
        <v>39.94</v>
      </c>
      <c r="CS944">
        <v>33.35</v>
      </c>
      <c r="CT944">
        <v>2.8</v>
      </c>
      <c r="CU944">
        <v>-158.41999999999999</v>
      </c>
      <c r="CV944">
        <v>6.49</v>
      </c>
      <c r="CW944">
        <v>2.69</v>
      </c>
      <c r="CX944" t="s">
        <v>679</v>
      </c>
      <c r="CY944">
        <v>1.58</v>
      </c>
      <c r="CZ944">
        <v>0</v>
      </c>
      <c r="DA944">
        <v>0.02</v>
      </c>
      <c r="DB944">
        <v>0.5</v>
      </c>
      <c r="DC944">
        <v>-0.03</v>
      </c>
      <c r="DD944">
        <v>90.14</v>
      </c>
      <c r="DE944" t="s">
        <v>1194</v>
      </c>
      <c r="DF944">
        <v>43.8</v>
      </c>
      <c r="DG944">
        <v>12.4</v>
      </c>
      <c r="DH944">
        <v>10.210000000000001</v>
      </c>
      <c r="DI944">
        <v>0.27</v>
      </c>
      <c r="DJ944">
        <v>1336</v>
      </c>
      <c r="DK944">
        <v>2550</v>
      </c>
      <c r="DL944" t="s">
        <v>120</v>
      </c>
      <c r="DM944" t="s">
        <v>120</v>
      </c>
      <c r="DN944" t="s">
        <v>120</v>
      </c>
    </row>
    <row r="945" spans="1:118">
      <c r="A945" t="str">
        <f>"002551"</f>
        <v>002551</v>
      </c>
      <c r="B945" t="s">
        <v>5473</v>
      </c>
      <c r="C945">
        <v>0</v>
      </c>
      <c r="D945">
        <v>0</v>
      </c>
      <c r="E945">
        <v>0.4</v>
      </c>
      <c r="F945">
        <v>872</v>
      </c>
      <c r="G945" t="s">
        <v>5474</v>
      </c>
      <c r="H945">
        <v>4308.8599999999997</v>
      </c>
      <c r="I945">
        <v>23.17</v>
      </c>
      <c r="J945" t="s">
        <v>120</v>
      </c>
      <c r="K945" t="s">
        <v>5475</v>
      </c>
      <c r="L945">
        <v>1.46</v>
      </c>
      <c r="M945">
        <v>5.04</v>
      </c>
      <c r="N945">
        <v>1.24</v>
      </c>
      <c r="O945">
        <v>1.79</v>
      </c>
      <c r="P945">
        <v>5.13</v>
      </c>
      <c r="Q945">
        <v>-0.2</v>
      </c>
      <c r="R945">
        <v>5.03</v>
      </c>
      <c r="S945">
        <v>5.0599999999999996</v>
      </c>
      <c r="T945">
        <v>84831</v>
      </c>
      <c r="U945">
        <v>5.05</v>
      </c>
      <c r="V945">
        <v>5.04</v>
      </c>
      <c r="W945">
        <v>28.38</v>
      </c>
      <c r="X945" t="s">
        <v>555</v>
      </c>
      <c r="Y945" t="s">
        <v>123</v>
      </c>
      <c r="Z945">
        <v>1.98</v>
      </c>
      <c r="AA945">
        <v>5.08</v>
      </c>
      <c r="AB945">
        <v>46245</v>
      </c>
      <c r="AC945">
        <v>38586</v>
      </c>
      <c r="AD945">
        <v>1.2</v>
      </c>
      <c r="AE945">
        <v>193</v>
      </c>
      <c r="AF945">
        <v>781</v>
      </c>
      <c r="AG945" t="s">
        <v>120</v>
      </c>
      <c r="AH945">
        <v>0.01</v>
      </c>
      <c r="AI945" t="s">
        <v>120</v>
      </c>
      <c r="AJ945">
        <v>5.81</v>
      </c>
      <c r="AK945" t="s">
        <v>5476</v>
      </c>
      <c r="AL945">
        <v>1.91</v>
      </c>
      <c r="AM945">
        <v>1558</v>
      </c>
      <c r="AN945">
        <v>54</v>
      </c>
      <c r="AO945">
        <v>8.9999999999999998E-4</v>
      </c>
      <c r="AP945">
        <v>0</v>
      </c>
      <c r="AQ945">
        <v>-0.98</v>
      </c>
      <c r="AR945">
        <v>-2.14</v>
      </c>
      <c r="AS945">
        <v>-2.7</v>
      </c>
      <c r="AT945">
        <v>-10.8</v>
      </c>
      <c r="AU945">
        <v>-22.46</v>
      </c>
      <c r="AV945">
        <v>0</v>
      </c>
      <c r="AW945">
        <v>1.71</v>
      </c>
      <c r="AX945">
        <v>58.64</v>
      </c>
      <c r="AY945">
        <v>29.72</v>
      </c>
      <c r="AZ945">
        <v>26.25</v>
      </c>
      <c r="BA945">
        <v>0.31</v>
      </c>
      <c r="BB945" t="s">
        <v>125</v>
      </c>
      <c r="BF945">
        <v>0.78</v>
      </c>
      <c r="BG945">
        <v>-0.4</v>
      </c>
      <c r="BH945">
        <v>-1.75</v>
      </c>
      <c r="BI945">
        <v>0.2</v>
      </c>
      <c r="BJ945">
        <v>20210824</v>
      </c>
      <c r="BK945">
        <v>20110225</v>
      </c>
      <c r="BL945">
        <v>8.4499999999999993</v>
      </c>
      <c r="BM945" t="s">
        <v>120</v>
      </c>
      <c r="BN945" t="s">
        <v>120</v>
      </c>
      <c r="BO945">
        <v>50.74</v>
      </c>
      <c r="BP945">
        <v>5.04</v>
      </c>
      <c r="BQ945">
        <v>30.54</v>
      </c>
      <c r="BR945">
        <v>6.95</v>
      </c>
      <c r="BS945">
        <v>26.12</v>
      </c>
      <c r="BT945">
        <v>25.48</v>
      </c>
      <c r="BU945">
        <v>3.37</v>
      </c>
      <c r="BV945">
        <v>2.2200000000000002</v>
      </c>
      <c r="BW945">
        <v>9.42</v>
      </c>
      <c r="BX945">
        <v>9.06</v>
      </c>
      <c r="BY945">
        <v>3.79</v>
      </c>
      <c r="BZ945">
        <v>6.71</v>
      </c>
      <c r="CA945">
        <v>7.0000000000000007E-2</v>
      </c>
      <c r="CB945">
        <v>13.42</v>
      </c>
      <c r="CC945">
        <v>8.7200000000000006</v>
      </c>
      <c r="CD945">
        <v>5.93</v>
      </c>
      <c r="CE945">
        <v>1.1599999999999999</v>
      </c>
      <c r="CF945">
        <v>-0.01</v>
      </c>
      <c r="CG945">
        <v>1.1599999999999999</v>
      </c>
      <c r="CH945">
        <v>1.08</v>
      </c>
      <c r="CI945">
        <v>0.75</v>
      </c>
      <c r="CJ945">
        <v>0</v>
      </c>
      <c r="CK945">
        <v>0.7</v>
      </c>
      <c r="CL945">
        <v>8.4700000000000006</v>
      </c>
      <c r="CM945">
        <v>0.57999999999999996</v>
      </c>
      <c r="CN945">
        <v>-2.11</v>
      </c>
      <c r="CO945">
        <v>72058</v>
      </c>
      <c r="CP945">
        <v>6874</v>
      </c>
      <c r="CQ945" t="s">
        <v>5477</v>
      </c>
      <c r="CR945">
        <v>-20.12</v>
      </c>
      <c r="CS945">
        <v>-9.75</v>
      </c>
      <c r="CT945">
        <v>1.36</v>
      </c>
      <c r="CU945">
        <v>73.45</v>
      </c>
      <c r="CV945">
        <v>4.88</v>
      </c>
      <c r="CW945">
        <v>0</v>
      </c>
      <c r="CX945" t="s">
        <v>329</v>
      </c>
      <c r="CY945">
        <v>3.72</v>
      </c>
      <c r="CZ945">
        <v>3.72</v>
      </c>
      <c r="DA945">
        <v>1.59</v>
      </c>
      <c r="DB945">
        <v>1</v>
      </c>
      <c r="DC945">
        <v>7.0000000000000007E-2</v>
      </c>
      <c r="DD945">
        <v>60.19</v>
      </c>
      <c r="DE945" t="s">
        <v>3782</v>
      </c>
      <c r="DF945">
        <v>32.04</v>
      </c>
      <c r="DG945">
        <v>13.27</v>
      </c>
      <c r="DH945">
        <v>8.6</v>
      </c>
      <c r="DI945">
        <v>0.24</v>
      </c>
      <c r="DJ945">
        <v>1978</v>
      </c>
      <c r="DK945">
        <v>2551</v>
      </c>
      <c r="DL945" t="s">
        <v>120</v>
      </c>
      <c r="DM945" t="s">
        <v>120</v>
      </c>
      <c r="DN945" t="s">
        <v>120</v>
      </c>
    </row>
    <row r="946" spans="1:118">
      <c r="A946" t="str">
        <f>"002552"</f>
        <v>002552</v>
      </c>
      <c r="B946" t="s">
        <v>5478</v>
      </c>
      <c r="C946">
        <v>-1.2</v>
      </c>
      <c r="D946">
        <v>0</v>
      </c>
      <c r="E946">
        <v>-7.0000000000000007E-2</v>
      </c>
      <c r="F946">
        <v>201</v>
      </c>
      <c r="G946" t="s">
        <v>5479</v>
      </c>
      <c r="H946">
        <v>3541.95</v>
      </c>
      <c r="I946">
        <v>7.39</v>
      </c>
      <c r="J946" t="s">
        <v>120</v>
      </c>
      <c r="K946" t="s">
        <v>5480</v>
      </c>
      <c r="L946">
        <v>1.08</v>
      </c>
      <c r="M946">
        <v>14.05</v>
      </c>
      <c r="N946">
        <v>0.61</v>
      </c>
      <c r="O946">
        <v>1.76</v>
      </c>
      <c r="P946">
        <v>14.47</v>
      </c>
      <c r="Q946">
        <v>-1.2</v>
      </c>
      <c r="R946">
        <v>14.05</v>
      </c>
      <c r="S946">
        <v>14.21</v>
      </c>
      <c r="T946">
        <v>24894</v>
      </c>
      <c r="U946">
        <v>14.06</v>
      </c>
      <c r="V946">
        <v>14.22</v>
      </c>
      <c r="W946">
        <v>347.26</v>
      </c>
      <c r="X946" t="s">
        <v>959</v>
      </c>
      <c r="Y946" t="s">
        <v>585</v>
      </c>
      <c r="Z946">
        <v>2.95</v>
      </c>
      <c r="AA946">
        <v>14.23</v>
      </c>
      <c r="AB946">
        <v>14128</v>
      </c>
      <c r="AC946">
        <v>10766</v>
      </c>
      <c r="AD946">
        <v>1.31</v>
      </c>
      <c r="AE946">
        <v>69</v>
      </c>
      <c r="AF946">
        <v>92</v>
      </c>
      <c r="AG946" t="s">
        <v>120</v>
      </c>
      <c r="AH946">
        <v>0.01</v>
      </c>
      <c r="AI946" t="s">
        <v>120</v>
      </c>
      <c r="AJ946">
        <v>2.31</v>
      </c>
      <c r="AK946" t="s">
        <v>5481</v>
      </c>
      <c r="AL946">
        <v>0.72</v>
      </c>
      <c r="AM946">
        <v>1515</v>
      </c>
      <c r="AN946">
        <v>16</v>
      </c>
      <c r="AO946">
        <v>6.9999999999999999E-4</v>
      </c>
      <c r="AP946">
        <v>-1</v>
      </c>
      <c r="AQ946">
        <v>1.72</v>
      </c>
      <c r="AR946">
        <v>-2.96</v>
      </c>
      <c r="AS946">
        <v>16.98</v>
      </c>
      <c r="AT946">
        <v>14.69</v>
      </c>
      <c r="AU946">
        <v>5.96</v>
      </c>
      <c r="AV946">
        <v>2</v>
      </c>
      <c r="AW946">
        <v>2.8</v>
      </c>
      <c r="AX946">
        <v>29.08</v>
      </c>
      <c r="AY946">
        <v>443.01</v>
      </c>
      <c r="AZ946">
        <v>574.29</v>
      </c>
      <c r="BA946">
        <v>0.54</v>
      </c>
      <c r="BB946" t="s">
        <v>240</v>
      </c>
      <c r="BF946">
        <v>0.06</v>
      </c>
      <c r="BG946">
        <v>-1.1299999999999999</v>
      </c>
      <c r="BH946">
        <v>-2.9</v>
      </c>
      <c r="BI946">
        <v>0</v>
      </c>
      <c r="BJ946">
        <v>20210913</v>
      </c>
      <c r="BK946">
        <v>20110225</v>
      </c>
      <c r="BL946">
        <v>3.06</v>
      </c>
      <c r="BM946" t="s">
        <v>120</v>
      </c>
      <c r="BN946" t="s">
        <v>120</v>
      </c>
      <c r="BO946">
        <v>7.84</v>
      </c>
      <c r="BP946">
        <v>14.05</v>
      </c>
      <c r="BQ946">
        <v>6.76</v>
      </c>
      <c r="BR946" t="s">
        <v>120</v>
      </c>
      <c r="BS946">
        <v>13.78</v>
      </c>
      <c r="BT946">
        <v>4.28</v>
      </c>
      <c r="BU946">
        <v>2.1</v>
      </c>
      <c r="BV946">
        <v>0.31</v>
      </c>
      <c r="BW946">
        <v>0.86</v>
      </c>
      <c r="BX946">
        <v>0.56999999999999995</v>
      </c>
      <c r="BY946">
        <v>1.04</v>
      </c>
      <c r="BZ946">
        <v>1.02</v>
      </c>
      <c r="CA946" t="s">
        <v>120</v>
      </c>
      <c r="CB946">
        <v>4.09</v>
      </c>
      <c r="CC946">
        <v>1.71</v>
      </c>
      <c r="CD946">
        <v>1.44</v>
      </c>
      <c r="CE946">
        <v>0.06</v>
      </c>
      <c r="CF946">
        <v>0.04</v>
      </c>
      <c r="CG946">
        <v>0.06</v>
      </c>
      <c r="CH946">
        <v>0.06</v>
      </c>
      <c r="CI946">
        <v>0.06</v>
      </c>
      <c r="CJ946">
        <v>-0.17</v>
      </c>
      <c r="CK946">
        <v>0.03</v>
      </c>
      <c r="CL946">
        <v>-0.65</v>
      </c>
      <c r="CM946">
        <v>0.44</v>
      </c>
      <c r="CN946">
        <v>0.27</v>
      </c>
      <c r="CO946">
        <v>20669</v>
      </c>
      <c r="CP946">
        <v>4308</v>
      </c>
      <c r="CQ946" t="s">
        <v>5482</v>
      </c>
      <c r="CR946">
        <v>56.91</v>
      </c>
      <c r="CS946">
        <v>12.92</v>
      </c>
      <c r="CT946">
        <v>6.36</v>
      </c>
      <c r="CU946">
        <v>98.53</v>
      </c>
      <c r="CV946">
        <v>25.16</v>
      </c>
      <c r="CW946">
        <v>0</v>
      </c>
      <c r="CX946" t="s">
        <v>499</v>
      </c>
      <c r="CY946">
        <v>2.21</v>
      </c>
      <c r="CZ946">
        <v>0</v>
      </c>
      <c r="DA946">
        <v>1.33</v>
      </c>
      <c r="DB946">
        <v>-0.21</v>
      </c>
      <c r="DC946">
        <v>0.14000000000000001</v>
      </c>
      <c r="DD946">
        <v>86.22</v>
      </c>
      <c r="DE946" t="s">
        <v>4889</v>
      </c>
      <c r="DF946">
        <v>15.73</v>
      </c>
      <c r="DG946">
        <v>3.69</v>
      </c>
      <c r="DH946">
        <v>3.62</v>
      </c>
      <c r="DI946">
        <v>0.06</v>
      </c>
      <c r="DJ946">
        <v>460</v>
      </c>
      <c r="DK946">
        <v>2552</v>
      </c>
      <c r="DL946" t="s">
        <v>120</v>
      </c>
      <c r="DM946" t="s">
        <v>120</v>
      </c>
      <c r="DN946" t="s">
        <v>120</v>
      </c>
    </row>
    <row r="947" spans="1:118">
      <c r="A947" t="str">
        <f>"002553"</f>
        <v>002553</v>
      </c>
      <c r="B947" t="s">
        <v>5483</v>
      </c>
      <c r="C947">
        <v>1.07</v>
      </c>
      <c r="D947">
        <v>0</v>
      </c>
      <c r="E947">
        <v>0.89</v>
      </c>
      <c r="F947">
        <v>598</v>
      </c>
      <c r="G947" t="s">
        <v>3589</v>
      </c>
      <c r="H947">
        <v>12645.12</v>
      </c>
      <c r="I947">
        <v>27.6</v>
      </c>
      <c r="J947" t="s">
        <v>120</v>
      </c>
      <c r="K947" t="s">
        <v>5484</v>
      </c>
      <c r="L947">
        <v>4.7</v>
      </c>
      <c r="M947">
        <v>11.33</v>
      </c>
      <c r="N947">
        <v>1.08</v>
      </c>
      <c r="O947">
        <v>4.82</v>
      </c>
      <c r="P947">
        <v>11.75</v>
      </c>
      <c r="Q947">
        <v>-0.71</v>
      </c>
      <c r="R947">
        <v>11.13</v>
      </c>
      <c r="S947">
        <v>11.31</v>
      </c>
      <c r="T947">
        <v>110099</v>
      </c>
      <c r="U947">
        <v>11.34</v>
      </c>
      <c r="V947">
        <v>11.21</v>
      </c>
      <c r="W947">
        <v>37.99</v>
      </c>
      <c r="X947" t="s">
        <v>289</v>
      </c>
      <c r="Y947" t="s">
        <v>319</v>
      </c>
      <c r="Z947">
        <v>5.53</v>
      </c>
      <c r="AA947">
        <v>11.49</v>
      </c>
      <c r="AB947">
        <v>50076</v>
      </c>
      <c r="AC947">
        <v>60023</v>
      </c>
      <c r="AD947">
        <v>0.83</v>
      </c>
      <c r="AE947">
        <v>527</v>
      </c>
      <c r="AF947">
        <v>147</v>
      </c>
      <c r="AG947" t="s">
        <v>120</v>
      </c>
      <c r="AH947">
        <v>0.01</v>
      </c>
      <c r="AI947" t="s">
        <v>120</v>
      </c>
      <c r="AJ947">
        <v>2.34</v>
      </c>
      <c r="AK947" t="s">
        <v>5485</v>
      </c>
      <c r="AL947">
        <v>2.98</v>
      </c>
      <c r="AM947">
        <v>2739</v>
      </c>
      <c r="AN947">
        <v>40</v>
      </c>
      <c r="AO947">
        <v>1.6999999999999999E-3</v>
      </c>
      <c r="AP947">
        <v>1</v>
      </c>
      <c r="AQ947">
        <v>0</v>
      </c>
      <c r="AR947">
        <v>-1.48</v>
      </c>
      <c r="AS947">
        <v>-9.2200000000000006</v>
      </c>
      <c r="AT947">
        <v>7.6</v>
      </c>
      <c r="AU947">
        <v>8.42</v>
      </c>
      <c r="AV947">
        <v>18</v>
      </c>
      <c r="AW947">
        <v>5.98</v>
      </c>
      <c r="AX947">
        <v>52.92</v>
      </c>
      <c r="AY947">
        <v>9.5299999999999994</v>
      </c>
      <c r="AZ947">
        <v>9.92</v>
      </c>
      <c r="BA947">
        <v>0.08</v>
      </c>
      <c r="BB947" t="s">
        <v>143</v>
      </c>
      <c r="BF947">
        <v>2.4500000000000002</v>
      </c>
      <c r="BG947">
        <v>0.18</v>
      </c>
      <c r="BH947">
        <v>-3.57</v>
      </c>
      <c r="BI947">
        <v>1.8</v>
      </c>
      <c r="BJ947">
        <v>20210827</v>
      </c>
      <c r="BK947">
        <v>20110225</v>
      </c>
      <c r="BL947">
        <v>3.48</v>
      </c>
      <c r="BM947" t="s">
        <v>120</v>
      </c>
      <c r="BN947" t="s">
        <v>120</v>
      </c>
      <c r="BO947">
        <v>13.1</v>
      </c>
      <c r="BP947">
        <v>11.33</v>
      </c>
      <c r="BQ947">
        <v>10.62</v>
      </c>
      <c r="BR947">
        <v>0.49</v>
      </c>
      <c r="BS947">
        <v>15.13</v>
      </c>
      <c r="BT947">
        <v>5.47</v>
      </c>
      <c r="BU947">
        <v>2.21</v>
      </c>
      <c r="BV947">
        <v>0.44</v>
      </c>
      <c r="BW947">
        <v>1.32</v>
      </c>
      <c r="BX947">
        <v>2.0699999999999998</v>
      </c>
      <c r="BY947">
        <v>1.22</v>
      </c>
      <c r="BZ947">
        <v>1.37</v>
      </c>
      <c r="CA947" t="s">
        <v>120</v>
      </c>
      <c r="CB947">
        <v>0.56999999999999995</v>
      </c>
      <c r="CC947">
        <v>2.88</v>
      </c>
      <c r="CD947">
        <v>1.84</v>
      </c>
      <c r="CE947">
        <v>0.64</v>
      </c>
      <c r="CF947">
        <v>0.08</v>
      </c>
      <c r="CG947">
        <v>0.63</v>
      </c>
      <c r="CH947">
        <v>0.53</v>
      </c>
      <c r="CI947">
        <v>0.52</v>
      </c>
      <c r="CJ947">
        <v>0.12</v>
      </c>
      <c r="CK947">
        <v>0.49</v>
      </c>
      <c r="CL947">
        <v>5.56</v>
      </c>
      <c r="CM947">
        <v>0.19</v>
      </c>
      <c r="CN947">
        <v>0.59</v>
      </c>
      <c r="CO947">
        <v>37219</v>
      </c>
      <c r="CP947">
        <v>4948</v>
      </c>
      <c r="CQ947" t="s">
        <v>4267</v>
      </c>
      <c r="CR947">
        <v>43.61</v>
      </c>
      <c r="CS947">
        <v>48.93</v>
      </c>
      <c r="CT947">
        <v>3.71</v>
      </c>
      <c r="CU947">
        <v>202.35</v>
      </c>
      <c r="CV947">
        <v>13.69</v>
      </c>
      <c r="CW947">
        <v>0.89</v>
      </c>
      <c r="CX947" t="s">
        <v>2275</v>
      </c>
      <c r="CY947">
        <v>3.05</v>
      </c>
      <c r="CZ947">
        <v>0</v>
      </c>
      <c r="DA947">
        <v>0.16</v>
      </c>
      <c r="DB947">
        <v>1.6</v>
      </c>
      <c r="DC947">
        <v>0.06</v>
      </c>
      <c r="DD947">
        <v>81.09</v>
      </c>
      <c r="DE947" t="s">
        <v>4482</v>
      </c>
      <c r="DF947">
        <v>36.229999999999997</v>
      </c>
      <c r="DG947">
        <v>22.06</v>
      </c>
      <c r="DH947">
        <v>18.02</v>
      </c>
      <c r="DI947">
        <v>0.2</v>
      </c>
      <c r="DJ947">
        <v>897</v>
      </c>
      <c r="DK947">
        <v>2553</v>
      </c>
      <c r="DL947" t="s">
        <v>120</v>
      </c>
      <c r="DM947" t="s">
        <v>120</v>
      </c>
      <c r="DN947" t="s">
        <v>120</v>
      </c>
    </row>
    <row r="948" spans="1:118">
      <c r="A948" t="str">
        <f>"002554"</f>
        <v>002554</v>
      </c>
      <c r="B948" t="s">
        <v>5486</v>
      </c>
      <c r="C948">
        <v>-1.97</v>
      </c>
      <c r="D948">
        <v>0.28999999999999998</v>
      </c>
      <c r="E948">
        <v>1.41</v>
      </c>
      <c r="F948">
        <v>3847</v>
      </c>
      <c r="G948" t="s">
        <v>5487</v>
      </c>
      <c r="H948">
        <v>16192.12</v>
      </c>
      <c r="I948">
        <v>112.93</v>
      </c>
      <c r="J948" t="s">
        <v>120</v>
      </c>
      <c r="K948" t="s">
        <v>5488</v>
      </c>
      <c r="L948">
        <v>5.32</v>
      </c>
      <c r="M948">
        <v>3.48</v>
      </c>
      <c r="N948">
        <v>0.96</v>
      </c>
      <c r="O948">
        <v>3.1</v>
      </c>
      <c r="P948">
        <v>3.66</v>
      </c>
      <c r="Q948">
        <v>-2.82</v>
      </c>
      <c r="R948">
        <v>3.45</v>
      </c>
      <c r="S948">
        <v>3.6</v>
      </c>
      <c r="T948">
        <v>456398</v>
      </c>
      <c r="U948">
        <v>3.48</v>
      </c>
      <c r="V948">
        <v>3.55</v>
      </c>
      <c r="W948">
        <v>27.24</v>
      </c>
      <c r="X948" t="s">
        <v>3867</v>
      </c>
      <c r="Y948" t="s">
        <v>594</v>
      </c>
      <c r="Z948">
        <v>5.92</v>
      </c>
      <c r="AA948">
        <v>3.55</v>
      </c>
      <c r="AB948">
        <v>239634</v>
      </c>
      <c r="AC948">
        <v>216764</v>
      </c>
      <c r="AD948">
        <v>1.1100000000000001</v>
      </c>
      <c r="AE948">
        <v>1444</v>
      </c>
      <c r="AF948">
        <v>4877</v>
      </c>
      <c r="AG948" t="s">
        <v>120</v>
      </c>
      <c r="AH948">
        <v>0.04</v>
      </c>
      <c r="AI948" t="s">
        <v>120</v>
      </c>
      <c r="AJ948">
        <v>8.57</v>
      </c>
      <c r="AK948" t="s">
        <v>5489</v>
      </c>
      <c r="AL948">
        <v>-0.06</v>
      </c>
      <c r="AM948">
        <v>3325</v>
      </c>
      <c r="AN948">
        <v>137</v>
      </c>
      <c r="AO948">
        <v>1.6000000000000001E-3</v>
      </c>
      <c r="AP948">
        <v>-1</v>
      </c>
      <c r="AQ948">
        <v>3.8</v>
      </c>
      <c r="AR948">
        <v>0.56999999999999995</v>
      </c>
      <c r="AS948">
        <v>20.420000000000002</v>
      </c>
      <c r="AT948">
        <v>17.57</v>
      </c>
      <c r="AU948">
        <v>37</v>
      </c>
      <c r="AV948">
        <v>11</v>
      </c>
      <c r="AW948">
        <v>6.5</v>
      </c>
      <c r="AX948">
        <v>52.16</v>
      </c>
      <c r="AY948">
        <v>118.49</v>
      </c>
      <c r="AZ948" t="s">
        <v>120</v>
      </c>
      <c r="BA948">
        <v>0.33</v>
      </c>
      <c r="BB948" t="s">
        <v>184</v>
      </c>
      <c r="BF948">
        <v>-0.06</v>
      </c>
      <c r="BG948">
        <v>-3.33</v>
      </c>
      <c r="BH948">
        <v>-4.92</v>
      </c>
      <c r="BI948">
        <v>0.87</v>
      </c>
      <c r="BJ948">
        <v>20210901</v>
      </c>
      <c r="BK948">
        <v>20110225</v>
      </c>
      <c r="BL948">
        <v>13.47</v>
      </c>
      <c r="BM948" t="s">
        <v>120</v>
      </c>
      <c r="BN948" t="s">
        <v>120</v>
      </c>
      <c r="BO948">
        <v>38.840000000000003</v>
      </c>
      <c r="BP948">
        <v>3.47</v>
      </c>
      <c r="BQ948">
        <v>22.99</v>
      </c>
      <c r="BR948">
        <v>0.61</v>
      </c>
      <c r="BS948">
        <v>39.25</v>
      </c>
      <c r="BT948">
        <v>22.49</v>
      </c>
      <c r="BU948">
        <v>4.83</v>
      </c>
      <c r="BV948">
        <v>2.59</v>
      </c>
      <c r="BW948">
        <v>11.39</v>
      </c>
      <c r="BX948">
        <v>5.77</v>
      </c>
      <c r="BY948">
        <v>2.46</v>
      </c>
      <c r="BZ948">
        <v>6.48</v>
      </c>
      <c r="CA948">
        <v>0</v>
      </c>
      <c r="CB948">
        <v>8.1199999999999992</v>
      </c>
      <c r="CC948">
        <v>6.5</v>
      </c>
      <c r="CD948">
        <v>4.18</v>
      </c>
      <c r="CE948">
        <v>0.84</v>
      </c>
      <c r="CF948">
        <v>0.16</v>
      </c>
      <c r="CG948">
        <v>0.86</v>
      </c>
      <c r="CH948">
        <v>0.89</v>
      </c>
      <c r="CI948">
        <v>0.86</v>
      </c>
      <c r="CJ948">
        <v>-7.0000000000000007E-2</v>
      </c>
      <c r="CK948">
        <v>0.65</v>
      </c>
      <c r="CL948">
        <v>0.99</v>
      </c>
      <c r="CM948">
        <v>-1.37</v>
      </c>
      <c r="CN948">
        <v>-2.6</v>
      </c>
      <c r="CO948">
        <v>68377</v>
      </c>
      <c r="CP948">
        <v>10275</v>
      </c>
      <c r="CQ948" t="s">
        <v>5490</v>
      </c>
      <c r="CR948">
        <v>164.81</v>
      </c>
      <c r="CS948">
        <v>54.64</v>
      </c>
      <c r="CT948">
        <v>2.04</v>
      </c>
      <c r="CU948">
        <v>-34.29</v>
      </c>
      <c r="CV948">
        <v>7.21</v>
      </c>
      <c r="CW948">
        <v>0</v>
      </c>
      <c r="CX948" t="s">
        <v>1064</v>
      </c>
      <c r="CY948">
        <v>1.71</v>
      </c>
      <c r="CZ948">
        <v>0</v>
      </c>
      <c r="DA948">
        <v>0.6</v>
      </c>
      <c r="DB948">
        <v>7.0000000000000007E-2</v>
      </c>
      <c r="DC948">
        <v>-0.1</v>
      </c>
      <c r="DD948">
        <v>59.18</v>
      </c>
      <c r="DE948" t="s">
        <v>5491</v>
      </c>
      <c r="DF948">
        <v>35.74</v>
      </c>
      <c r="DG948">
        <v>12.9</v>
      </c>
      <c r="DH948">
        <v>13.23</v>
      </c>
      <c r="DI948">
        <v>0.25</v>
      </c>
      <c r="DJ948">
        <v>1204</v>
      </c>
      <c r="DK948">
        <v>2554</v>
      </c>
      <c r="DL948" t="s">
        <v>120</v>
      </c>
      <c r="DM948" t="s">
        <v>120</v>
      </c>
      <c r="DN948" t="s">
        <v>120</v>
      </c>
    </row>
    <row r="949" spans="1:118">
      <c r="A949" t="str">
        <f>"002555"</f>
        <v>002555</v>
      </c>
      <c r="B949" t="s">
        <v>5492</v>
      </c>
      <c r="C949">
        <v>-1.57</v>
      </c>
      <c r="D949">
        <v>0.09</v>
      </c>
      <c r="E949">
        <v>0.32</v>
      </c>
      <c r="F949">
        <v>5266</v>
      </c>
      <c r="G949" t="s">
        <v>5493</v>
      </c>
      <c r="H949">
        <v>55219.35</v>
      </c>
      <c r="I949">
        <v>275.75</v>
      </c>
      <c r="J949" t="s">
        <v>120</v>
      </c>
      <c r="K949" t="s">
        <v>5494</v>
      </c>
      <c r="L949">
        <v>1.67</v>
      </c>
      <c r="M949">
        <v>21.32</v>
      </c>
      <c r="N949">
        <v>0.43</v>
      </c>
      <c r="O949">
        <v>1.34</v>
      </c>
      <c r="P949">
        <v>21.95</v>
      </c>
      <c r="Q949">
        <v>-1.89</v>
      </c>
      <c r="R949">
        <v>21.25</v>
      </c>
      <c r="S949">
        <v>21.73</v>
      </c>
      <c r="T949">
        <v>256529</v>
      </c>
      <c r="U949">
        <v>21.32</v>
      </c>
      <c r="V949">
        <v>21.66</v>
      </c>
      <c r="W949">
        <v>27.69</v>
      </c>
      <c r="X949" t="s">
        <v>1531</v>
      </c>
      <c r="Y949" t="s">
        <v>570</v>
      </c>
      <c r="Z949">
        <v>3.23</v>
      </c>
      <c r="AA949">
        <v>21.53</v>
      </c>
      <c r="AB949">
        <v>123466</v>
      </c>
      <c r="AC949">
        <v>133063</v>
      </c>
      <c r="AD949">
        <v>0.93</v>
      </c>
      <c r="AE949">
        <v>351</v>
      </c>
      <c r="AF949">
        <v>159</v>
      </c>
      <c r="AG949" t="s">
        <v>120</v>
      </c>
      <c r="AH949">
        <v>0.01</v>
      </c>
      <c r="AI949" t="s">
        <v>120</v>
      </c>
      <c r="AJ949">
        <v>15.4</v>
      </c>
      <c r="AK949" t="s">
        <v>5495</v>
      </c>
      <c r="AL949">
        <v>0.34</v>
      </c>
      <c r="AM949">
        <v>4405</v>
      </c>
      <c r="AN949">
        <v>58</v>
      </c>
      <c r="AO949">
        <v>4.0000000000000002E-4</v>
      </c>
      <c r="AP949">
        <v>-1</v>
      </c>
      <c r="AQ949">
        <v>2.41</v>
      </c>
      <c r="AR949">
        <v>-1.98</v>
      </c>
      <c r="AS949">
        <v>19.78</v>
      </c>
      <c r="AT949">
        <v>-15.06</v>
      </c>
      <c r="AU949">
        <v>-31.3</v>
      </c>
      <c r="AV949">
        <v>2</v>
      </c>
      <c r="AW949">
        <v>2.06</v>
      </c>
      <c r="AX949">
        <v>56.2</v>
      </c>
      <c r="AY949">
        <v>25.09</v>
      </c>
      <c r="AZ949">
        <v>17.399999999999999</v>
      </c>
      <c r="BA949">
        <v>1.08</v>
      </c>
      <c r="BB949" t="s">
        <v>184</v>
      </c>
      <c r="BF949">
        <v>-0.62</v>
      </c>
      <c r="BG949">
        <v>-1.89</v>
      </c>
      <c r="BH949">
        <v>-2.87</v>
      </c>
      <c r="BI949">
        <v>0.33</v>
      </c>
      <c r="BJ949">
        <v>20210909</v>
      </c>
      <c r="BK949">
        <v>20110302</v>
      </c>
      <c r="BL949">
        <v>22.18</v>
      </c>
      <c r="BM949" t="s">
        <v>120</v>
      </c>
      <c r="BN949" t="s">
        <v>120</v>
      </c>
      <c r="BO949">
        <v>139.76</v>
      </c>
      <c r="BP949">
        <v>21.31</v>
      </c>
      <c r="BQ949">
        <v>93.77</v>
      </c>
      <c r="BR949">
        <v>0.95</v>
      </c>
      <c r="BS949">
        <v>32.229999999999997</v>
      </c>
      <c r="BT949">
        <v>89.35</v>
      </c>
      <c r="BU949">
        <v>9.07</v>
      </c>
      <c r="BV949">
        <v>11.01</v>
      </c>
      <c r="BW949">
        <v>44.4</v>
      </c>
      <c r="BX949">
        <v>39.28</v>
      </c>
      <c r="BY949">
        <v>0</v>
      </c>
      <c r="BZ949">
        <v>13.61</v>
      </c>
      <c r="CA949" t="s">
        <v>120</v>
      </c>
      <c r="CB949">
        <v>29.53</v>
      </c>
      <c r="CC949">
        <v>75.39</v>
      </c>
      <c r="CD949">
        <v>11.21</v>
      </c>
      <c r="CE949">
        <v>10.050000000000001</v>
      </c>
      <c r="CF949">
        <v>0.74</v>
      </c>
      <c r="CG949">
        <v>10.06</v>
      </c>
      <c r="CH949">
        <v>8.44</v>
      </c>
      <c r="CI949">
        <v>8.5399999999999991</v>
      </c>
      <c r="CJ949">
        <v>-0.34</v>
      </c>
      <c r="CK949">
        <v>6.38</v>
      </c>
      <c r="CL949">
        <v>43.62</v>
      </c>
      <c r="CM949">
        <v>12.54</v>
      </c>
      <c r="CN949">
        <v>21.56</v>
      </c>
      <c r="CO949">
        <v>161103</v>
      </c>
      <c r="CP949">
        <v>7737</v>
      </c>
      <c r="CQ949" t="s">
        <v>5496</v>
      </c>
      <c r="CR949">
        <v>-49.77</v>
      </c>
      <c r="CS949">
        <v>-5.63</v>
      </c>
      <c r="CT949">
        <v>5.04</v>
      </c>
      <c r="CU949">
        <v>37.71</v>
      </c>
      <c r="CV949">
        <v>6.27</v>
      </c>
      <c r="CW949">
        <v>1.61</v>
      </c>
      <c r="CX949" t="s">
        <v>1980</v>
      </c>
      <c r="CY949">
        <v>4.2300000000000004</v>
      </c>
      <c r="CZ949">
        <v>0</v>
      </c>
      <c r="DA949">
        <v>1.33</v>
      </c>
      <c r="DB949">
        <v>1.97</v>
      </c>
      <c r="DC949">
        <v>0.56999999999999995</v>
      </c>
      <c r="DD949">
        <v>67.099999999999994</v>
      </c>
      <c r="DE949" t="s">
        <v>5497</v>
      </c>
      <c r="DF949">
        <v>85.14</v>
      </c>
      <c r="DG949">
        <v>13.33</v>
      </c>
      <c r="DH949">
        <v>11.32</v>
      </c>
      <c r="DI949">
        <v>6.74</v>
      </c>
      <c r="DJ949">
        <v>4062</v>
      </c>
      <c r="DK949">
        <v>2555</v>
      </c>
      <c r="DL949" t="s">
        <v>120</v>
      </c>
      <c r="DM949" t="s">
        <v>120</v>
      </c>
      <c r="DN949" t="s">
        <v>120</v>
      </c>
    </row>
    <row r="950" spans="1:118">
      <c r="A950" t="str">
        <f>"002556"</f>
        <v>002556</v>
      </c>
      <c r="B950" t="s">
        <v>5498</v>
      </c>
      <c r="C950">
        <v>-1.47</v>
      </c>
      <c r="D950">
        <v>0.09</v>
      </c>
      <c r="E950">
        <v>0.92</v>
      </c>
      <c r="F950">
        <v>1049</v>
      </c>
      <c r="G950" t="s">
        <v>5499</v>
      </c>
      <c r="H950">
        <v>16069.85</v>
      </c>
      <c r="I950">
        <v>200.04</v>
      </c>
      <c r="J950" t="s">
        <v>120</v>
      </c>
      <c r="K950" t="s">
        <v>2677</v>
      </c>
      <c r="L950">
        <v>1.8</v>
      </c>
      <c r="M950">
        <v>10.74</v>
      </c>
      <c r="N950">
        <v>1.17</v>
      </c>
      <c r="O950">
        <v>1.65</v>
      </c>
      <c r="P950">
        <v>11.08</v>
      </c>
      <c r="Q950">
        <v>-2.2000000000000002</v>
      </c>
      <c r="R950">
        <v>10.66</v>
      </c>
      <c r="S950">
        <v>11</v>
      </c>
      <c r="T950">
        <v>148259</v>
      </c>
      <c r="U950">
        <v>10.75</v>
      </c>
      <c r="V950">
        <v>10.9</v>
      </c>
      <c r="W950">
        <v>14.7</v>
      </c>
      <c r="X950" t="s">
        <v>221</v>
      </c>
      <c r="Y950" t="s">
        <v>570</v>
      </c>
      <c r="Z950">
        <v>3.85</v>
      </c>
      <c r="AA950">
        <v>10.84</v>
      </c>
      <c r="AB950">
        <v>84280</v>
      </c>
      <c r="AC950">
        <v>63979</v>
      </c>
      <c r="AD950">
        <v>1.32</v>
      </c>
      <c r="AE950">
        <v>223</v>
      </c>
      <c r="AF950">
        <v>106</v>
      </c>
      <c r="AG950" t="s">
        <v>120</v>
      </c>
      <c r="AH950">
        <v>0.03</v>
      </c>
      <c r="AI950" t="s">
        <v>120</v>
      </c>
      <c r="AJ950">
        <v>8.24</v>
      </c>
      <c r="AK950" t="s">
        <v>5500</v>
      </c>
      <c r="AL950">
        <v>0.45</v>
      </c>
      <c r="AM950">
        <v>3082</v>
      </c>
      <c r="AN950">
        <v>48</v>
      </c>
      <c r="AO950">
        <v>5.9999999999999995E-4</v>
      </c>
      <c r="AP950">
        <v>-1</v>
      </c>
      <c r="AQ950">
        <v>3.02</v>
      </c>
      <c r="AR950">
        <v>1.42</v>
      </c>
      <c r="AS950">
        <v>14.26</v>
      </c>
      <c r="AT950">
        <v>0.94</v>
      </c>
      <c r="AU950">
        <v>35.78</v>
      </c>
      <c r="AV950">
        <v>0</v>
      </c>
      <c r="AW950">
        <v>2.78</v>
      </c>
      <c r="AX950">
        <v>56.36</v>
      </c>
      <c r="AY950">
        <v>25.92</v>
      </c>
      <c r="AZ950">
        <v>45.84</v>
      </c>
      <c r="BA950">
        <v>0.7</v>
      </c>
      <c r="BB950" t="s">
        <v>700</v>
      </c>
      <c r="BF950">
        <v>-0.56000000000000005</v>
      </c>
      <c r="BG950">
        <v>-2.36</v>
      </c>
      <c r="BH950">
        <v>-3.07</v>
      </c>
      <c r="BI950">
        <v>0.75</v>
      </c>
      <c r="BJ950">
        <v>20210827</v>
      </c>
      <c r="BK950">
        <v>20110302</v>
      </c>
      <c r="BL950">
        <v>9.4499999999999993</v>
      </c>
      <c r="BM950" t="s">
        <v>120</v>
      </c>
      <c r="BN950" t="s">
        <v>120</v>
      </c>
      <c r="BO950">
        <v>109.84</v>
      </c>
      <c r="BP950">
        <v>10.74</v>
      </c>
      <c r="BQ950">
        <v>38.229999999999997</v>
      </c>
      <c r="BR950">
        <v>2.08</v>
      </c>
      <c r="BS950">
        <v>63.3</v>
      </c>
      <c r="BT950">
        <v>68.41</v>
      </c>
      <c r="BU950">
        <v>15.53</v>
      </c>
      <c r="BV950">
        <v>4.08</v>
      </c>
      <c r="BW950">
        <v>65.39</v>
      </c>
      <c r="BX950">
        <v>22.41</v>
      </c>
      <c r="BY950">
        <v>17.96</v>
      </c>
      <c r="BZ950">
        <v>5.79</v>
      </c>
      <c r="CA950">
        <v>0.02</v>
      </c>
      <c r="CB950">
        <v>14.02</v>
      </c>
      <c r="CC950">
        <v>98.34</v>
      </c>
      <c r="CD950">
        <v>90.96</v>
      </c>
      <c r="CE950">
        <v>4.03</v>
      </c>
      <c r="CF950">
        <v>0.37</v>
      </c>
      <c r="CG950">
        <v>4.03</v>
      </c>
      <c r="CH950">
        <v>3.7</v>
      </c>
      <c r="CI950">
        <v>3.45</v>
      </c>
      <c r="CJ950">
        <v>-0.16</v>
      </c>
      <c r="CK950">
        <v>3.32</v>
      </c>
      <c r="CL950">
        <v>13.43</v>
      </c>
      <c r="CM950">
        <v>7.14</v>
      </c>
      <c r="CN950">
        <v>2.12</v>
      </c>
      <c r="CO950">
        <v>30739</v>
      </c>
      <c r="CP950">
        <v>17322</v>
      </c>
      <c r="CQ950" t="s">
        <v>912</v>
      </c>
      <c r="CR950">
        <v>100.16</v>
      </c>
      <c r="CS950">
        <v>11.77</v>
      </c>
      <c r="CT950">
        <v>2.66</v>
      </c>
      <c r="CU950">
        <v>14.21</v>
      </c>
      <c r="CV950">
        <v>1.03</v>
      </c>
      <c r="CW950">
        <v>0.92</v>
      </c>
      <c r="CX950" t="s">
        <v>1980</v>
      </c>
      <c r="CY950">
        <v>4.04</v>
      </c>
      <c r="CZ950">
        <v>4.04</v>
      </c>
      <c r="DA950">
        <v>1.48</v>
      </c>
      <c r="DB950">
        <v>1.42</v>
      </c>
      <c r="DC950">
        <v>0.76</v>
      </c>
      <c r="DD950">
        <v>34.799999999999997</v>
      </c>
      <c r="DE950" t="s">
        <v>5501</v>
      </c>
      <c r="DF950">
        <v>7.51</v>
      </c>
      <c r="DG950">
        <v>4.0999999999999996</v>
      </c>
      <c r="DH950">
        <v>3.51</v>
      </c>
      <c r="DI950">
        <v>0.68</v>
      </c>
      <c r="DJ950">
        <v>3005</v>
      </c>
      <c r="DK950">
        <v>2556</v>
      </c>
      <c r="DL950" t="s">
        <v>120</v>
      </c>
      <c r="DM950" t="s">
        <v>120</v>
      </c>
      <c r="DN950" t="s">
        <v>120</v>
      </c>
    </row>
    <row r="951" spans="1:118">
      <c r="A951" t="str">
        <f>"002557"</f>
        <v>002557</v>
      </c>
      <c r="B951" t="s">
        <v>5502</v>
      </c>
      <c r="C951">
        <v>4.38</v>
      </c>
      <c r="D951">
        <v>0</v>
      </c>
      <c r="E951">
        <v>0</v>
      </c>
      <c r="F951">
        <v>733</v>
      </c>
      <c r="G951" t="s">
        <v>5503</v>
      </c>
      <c r="H951">
        <v>23326.38</v>
      </c>
      <c r="I951">
        <v>23.55</v>
      </c>
      <c r="J951" t="s">
        <v>120</v>
      </c>
      <c r="K951" t="s">
        <v>5504</v>
      </c>
      <c r="L951">
        <v>1.0900000000000001</v>
      </c>
      <c r="M951">
        <v>42.38</v>
      </c>
      <c r="N951">
        <v>1.44</v>
      </c>
      <c r="O951">
        <v>7.34</v>
      </c>
      <c r="P951">
        <v>43.58</v>
      </c>
      <c r="Q951">
        <v>-1.1100000000000001</v>
      </c>
      <c r="R951">
        <v>40.15</v>
      </c>
      <c r="S951">
        <v>40.6</v>
      </c>
      <c r="T951">
        <v>55315</v>
      </c>
      <c r="U951">
        <v>42.38</v>
      </c>
      <c r="V951">
        <v>40.6</v>
      </c>
      <c r="W951">
        <v>32.83</v>
      </c>
      <c r="X951" t="s">
        <v>847</v>
      </c>
      <c r="Y951" t="s">
        <v>570</v>
      </c>
      <c r="Z951">
        <v>8.4499999999999993</v>
      </c>
      <c r="AA951">
        <v>42.17</v>
      </c>
      <c r="AB951">
        <v>23707</v>
      </c>
      <c r="AC951">
        <v>31608</v>
      </c>
      <c r="AD951">
        <v>0.75</v>
      </c>
      <c r="AE951">
        <v>9</v>
      </c>
      <c r="AF951">
        <v>52</v>
      </c>
      <c r="AG951" t="s">
        <v>120</v>
      </c>
      <c r="AH951">
        <v>0</v>
      </c>
      <c r="AI951" t="s">
        <v>120</v>
      </c>
      <c r="AJ951">
        <v>5.07</v>
      </c>
      <c r="AK951" t="s">
        <v>5504</v>
      </c>
      <c r="AL951">
        <v>6.3</v>
      </c>
      <c r="AM951">
        <v>3380</v>
      </c>
      <c r="AN951">
        <v>16</v>
      </c>
      <c r="AO951">
        <v>2.9999999999999997E-4</v>
      </c>
      <c r="AP951">
        <v>1</v>
      </c>
      <c r="AQ951">
        <v>-2.19</v>
      </c>
      <c r="AR951">
        <v>2</v>
      </c>
      <c r="AS951">
        <v>2.2200000000000002</v>
      </c>
      <c r="AT951">
        <v>-5.27</v>
      </c>
      <c r="AU951">
        <v>-20.11</v>
      </c>
      <c r="AV951">
        <v>3</v>
      </c>
      <c r="AW951">
        <v>1.87</v>
      </c>
      <c r="AX951">
        <v>58.29</v>
      </c>
      <c r="AY951">
        <v>24.59</v>
      </c>
      <c r="AZ951">
        <v>25.57</v>
      </c>
      <c r="BA951">
        <v>0.76</v>
      </c>
      <c r="BB951" t="s">
        <v>125</v>
      </c>
      <c r="BF951">
        <v>3.87</v>
      </c>
      <c r="BG951">
        <v>4.38</v>
      </c>
      <c r="BH951">
        <v>-2.75</v>
      </c>
      <c r="BI951">
        <v>5.55</v>
      </c>
      <c r="BJ951">
        <v>20210825</v>
      </c>
      <c r="BK951">
        <v>20110302</v>
      </c>
      <c r="BL951">
        <v>5.07</v>
      </c>
      <c r="BM951" t="s">
        <v>120</v>
      </c>
      <c r="BN951" t="s">
        <v>120</v>
      </c>
      <c r="BO951">
        <v>68.5</v>
      </c>
      <c r="BP951">
        <v>42.37</v>
      </c>
      <c r="BQ951">
        <v>42.49</v>
      </c>
      <c r="BR951">
        <v>0.02</v>
      </c>
      <c r="BS951">
        <v>37.94</v>
      </c>
      <c r="BT951">
        <v>48.23</v>
      </c>
      <c r="BU951">
        <v>11.62</v>
      </c>
      <c r="BV951">
        <v>2.74</v>
      </c>
      <c r="BW951">
        <v>12.65</v>
      </c>
      <c r="BX951">
        <v>19.98</v>
      </c>
      <c r="BY951">
        <v>10.77</v>
      </c>
      <c r="BZ951">
        <v>1.1499999999999999</v>
      </c>
      <c r="CA951" t="s">
        <v>120</v>
      </c>
      <c r="CB951">
        <v>15.36</v>
      </c>
      <c r="CC951">
        <v>23.81</v>
      </c>
      <c r="CD951">
        <v>16.54</v>
      </c>
      <c r="CE951">
        <v>3.83</v>
      </c>
      <c r="CF951">
        <v>0.16</v>
      </c>
      <c r="CG951">
        <v>4.3099999999999996</v>
      </c>
      <c r="CH951">
        <v>3.28</v>
      </c>
      <c r="CI951">
        <v>3.27</v>
      </c>
      <c r="CJ951">
        <v>1.78</v>
      </c>
      <c r="CK951">
        <v>2.64</v>
      </c>
      <c r="CL951">
        <v>17.149999999999999</v>
      </c>
      <c r="CM951">
        <v>5.33</v>
      </c>
      <c r="CN951">
        <v>6.8</v>
      </c>
      <c r="CO951">
        <v>38078</v>
      </c>
      <c r="CP951">
        <v>7761</v>
      </c>
      <c r="CQ951" t="s">
        <v>5505</v>
      </c>
      <c r="CR951">
        <v>10.86</v>
      </c>
      <c r="CS951">
        <v>3.76</v>
      </c>
      <c r="CT951">
        <v>5.18</v>
      </c>
      <c r="CU951">
        <v>40.33</v>
      </c>
      <c r="CV951">
        <v>9.0299999999999994</v>
      </c>
      <c r="CW951">
        <v>1.96</v>
      </c>
      <c r="CX951" t="s">
        <v>2783</v>
      </c>
      <c r="CY951">
        <v>8.17</v>
      </c>
      <c r="CZ951">
        <v>8.17</v>
      </c>
      <c r="DA951">
        <v>3.03</v>
      </c>
      <c r="DB951">
        <v>3.38</v>
      </c>
      <c r="DC951">
        <v>1.05</v>
      </c>
      <c r="DD951">
        <v>62.03</v>
      </c>
      <c r="DE951" t="s">
        <v>5506</v>
      </c>
      <c r="DF951">
        <v>30.53</v>
      </c>
      <c r="DG951">
        <v>16.079999999999998</v>
      </c>
      <c r="DH951">
        <v>13.75</v>
      </c>
      <c r="DI951">
        <v>0.19</v>
      </c>
      <c r="DJ951">
        <v>4603</v>
      </c>
      <c r="DK951">
        <v>2557</v>
      </c>
      <c r="DL951" t="s">
        <v>120</v>
      </c>
      <c r="DM951" t="s">
        <v>120</v>
      </c>
      <c r="DN951" t="s">
        <v>120</v>
      </c>
    </row>
    <row r="952" spans="1:118">
      <c r="A952" t="str">
        <f>"002558"</f>
        <v>002558</v>
      </c>
      <c r="B952" t="s">
        <v>5507</v>
      </c>
      <c r="C952">
        <v>0.55000000000000004</v>
      </c>
      <c r="D952">
        <v>-0.08</v>
      </c>
      <c r="E952">
        <v>-0.09</v>
      </c>
      <c r="F952">
        <v>1684</v>
      </c>
      <c r="G952" t="s">
        <v>5508</v>
      </c>
      <c r="H952">
        <v>16717.259999999998</v>
      </c>
      <c r="I952">
        <v>51.84</v>
      </c>
      <c r="J952" t="s">
        <v>120</v>
      </c>
      <c r="K952" t="s">
        <v>5509</v>
      </c>
      <c r="L952">
        <v>0.76</v>
      </c>
      <c r="M952">
        <v>10.96</v>
      </c>
      <c r="N952">
        <v>0.93</v>
      </c>
      <c r="O952">
        <v>0.83</v>
      </c>
      <c r="P952">
        <v>10.99</v>
      </c>
      <c r="Q952">
        <v>-1.28</v>
      </c>
      <c r="R952">
        <v>10.76</v>
      </c>
      <c r="S952">
        <v>10.89</v>
      </c>
      <c r="T952">
        <v>153739</v>
      </c>
      <c r="U952">
        <v>10.97</v>
      </c>
      <c r="V952">
        <v>10.9</v>
      </c>
      <c r="W952">
        <v>19.329999999999998</v>
      </c>
      <c r="X952" t="s">
        <v>1531</v>
      </c>
      <c r="Y952" t="s">
        <v>883</v>
      </c>
      <c r="Z952">
        <v>2.11</v>
      </c>
      <c r="AA952">
        <v>10.87</v>
      </c>
      <c r="AB952">
        <v>85924</v>
      </c>
      <c r="AC952">
        <v>67815</v>
      </c>
      <c r="AD952">
        <v>1.27</v>
      </c>
      <c r="AE952">
        <v>935</v>
      </c>
      <c r="AF952">
        <v>1611</v>
      </c>
      <c r="AG952" t="s">
        <v>120</v>
      </c>
      <c r="AH952">
        <v>0.01</v>
      </c>
      <c r="AI952" t="s">
        <v>120</v>
      </c>
      <c r="AJ952">
        <v>20.239999999999998</v>
      </c>
      <c r="AK952" t="s">
        <v>5509</v>
      </c>
      <c r="AL952">
        <v>2.46</v>
      </c>
      <c r="AM952">
        <v>2778</v>
      </c>
      <c r="AN952">
        <v>55</v>
      </c>
      <c r="AO952">
        <v>2.9999999999999997E-4</v>
      </c>
      <c r="AP952">
        <v>1</v>
      </c>
      <c r="AQ952">
        <v>-0.91</v>
      </c>
      <c r="AR952">
        <v>-3.94</v>
      </c>
      <c r="AS952">
        <v>3.59</v>
      </c>
      <c r="AT952">
        <v>-25.24</v>
      </c>
      <c r="AU952">
        <v>-36.53</v>
      </c>
      <c r="AV952">
        <v>0</v>
      </c>
      <c r="AW952">
        <v>1.62</v>
      </c>
      <c r="AX952">
        <v>46.85</v>
      </c>
      <c r="AY952">
        <v>20.5</v>
      </c>
      <c r="AZ952">
        <v>21.44</v>
      </c>
      <c r="BA952">
        <v>0.51</v>
      </c>
      <c r="BB952" t="s">
        <v>143</v>
      </c>
      <c r="BF952">
        <v>-0.24</v>
      </c>
      <c r="BG952">
        <v>0.64</v>
      </c>
      <c r="BH952">
        <v>-0.27</v>
      </c>
      <c r="BI952">
        <v>1.86</v>
      </c>
      <c r="BJ952">
        <v>20210831</v>
      </c>
      <c r="BK952">
        <v>20110302</v>
      </c>
      <c r="BL952">
        <v>20.239999999999998</v>
      </c>
      <c r="BM952" t="s">
        <v>120</v>
      </c>
      <c r="BN952" t="s">
        <v>120</v>
      </c>
      <c r="BO952">
        <v>117.04</v>
      </c>
      <c r="BP952">
        <v>10.96</v>
      </c>
      <c r="BQ952">
        <v>104.64</v>
      </c>
      <c r="BR952">
        <v>0.51</v>
      </c>
      <c r="BS952">
        <v>10.16</v>
      </c>
      <c r="BT952">
        <v>37.25</v>
      </c>
      <c r="BU952">
        <v>2.69</v>
      </c>
      <c r="BV952">
        <v>1.02</v>
      </c>
      <c r="BW952">
        <v>5.48</v>
      </c>
      <c r="BX952">
        <v>24.9</v>
      </c>
      <c r="BY952">
        <v>0</v>
      </c>
      <c r="BZ952">
        <v>1.8</v>
      </c>
      <c r="CA952" t="s">
        <v>120</v>
      </c>
      <c r="CB952">
        <v>64.680000000000007</v>
      </c>
      <c r="CC952">
        <v>10.36</v>
      </c>
      <c r="CD952">
        <v>1.39</v>
      </c>
      <c r="CE952">
        <v>6.25</v>
      </c>
      <c r="CF952">
        <v>2.4900000000000002</v>
      </c>
      <c r="CG952">
        <v>6.21</v>
      </c>
      <c r="CH952">
        <v>5.71</v>
      </c>
      <c r="CI952">
        <v>5.74</v>
      </c>
      <c r="CJ952">
        <v>0.06</v>
      </c>
      <c r="CK952">
        <v>4.8099999999999996</v>
      </c>
      <c r="CL952">
        <v>50.23</v>
      </c>
      <c r="CM952">
        <v>1.58</v>
      </c>
      <c r="CN952">
        <v>-5.89</v>
      </c>
      <c r="CO952">
        <v>45989</v>
      </c>
      <c r="CP952">
        <v>20623</v>
      </c>
      <c r="CQ952" t="s">
        <v>5510</v>
      </c>
      <c r="CR952">
        <v>8.9499999999999993</v>
      </c>
      <c r="CS952">
        <v>-15.29</v>
      </c>
      <c r="CT952">
        <v>2.12</v>
      </c>
      <c r="CU952">
        <v>140.79</v>
      </c>
      <c r="CV952">
        <v>21.42</v>
      </c>
      <c r="CW952">
        <v>1.42</v>
      </c>
      <c r="CX952" t="s">
        <v>1340</v>
      </c>
      <c r="CY952">
        <v>5.17</v>
      </c>
      <c r="CZ952">
        <v>0</v>
      </c>
      <c r="DA952">
        <v>3.2</v>
      </c>
      <c r="DB952">
        <v>2.48</v>
      </c>
      <c r="DC952">
        <v>0.08</v>
      </c>
      <c r="DD952">
        <v>89.41</v>
      </c>
      <c r="DE952" t="s">
        <v>225</v>
      </c>
      <c r="DF952">
        <v>86.58</v>
      </c>
      <c r="DG952">
        <v>60.33</v>
      </c>
      <c r="DH952">
        <v>55.4</v>
      </c>
      <c r="DI952">
        <v>3.66</v>
      </c>
      <c r="DJ952">
        <v>1681</v>
      </c>
      <c r="DK952">
        <v>2558</v>
      </c>
      <c r="DL952" t="s">
        <v>120</v>
      </c>
      <c r="DM952" t="s">
        <v>120</v>
      </c>
      <c r="DN952" t="s">
        <v>120</v>
      </c>
    </row>
    <row r="953" spans="1:118">
      <c r="A953" t="str">
        <f>"002559"</f>
        <v>002559</v>
      </c>
      <c r="B953" t="s">
        <v>5511</v>
      </c>
      <c r="C953">
        <v>-5.75</v>
      </c>
      <c r="D953">
        <v>-0.11</v>
      </c>
      <c r="E953">
        <v>-0.98</v>
      </c>
      <c r="F953">
        <v>3283</v>
      </c>
      <c r="G953" t="s">
        <v>5512</v>
      </c>
      <c r="H953">
        <v>30857.67</v>
      </c>
      <c r="I953">
        <v>78.89</v>
      </c>
      <c r="J953" t="s">
        <v>120</v>
      </c>
      <c r="K953" t="s">
        <v>5513</v>
      </c>
      <c r="L953">
        <v>7.22</v>
      </c>
      <c r="M953">
        <v>8.68</v>
      </c>
      <c r="N953">
        <v>0.86</v>
      </c>
      <c r="O953">
        <v>-0.43</v>
      </c>
      <c r="P953">
        <v>9.17</v>
      </c>
      <c r="Q953">
        <v>-5.75</v>
      </c>
      <c r="R953">
        <v>8.68</v>
      </c>
      <c r="S953">
        <v>9.1199999999999992</v>
      </c>
      <c r="T953">
        <v>345002</v>
      </c>
      <c r="U953">
        <v>8.68</v>
      </c>
      <c r="V953">
        <v>9.2100000000000009</v>
      </c>
      <c r="W953">
        <v>24.84</v>
      </c>
      <c r="X953" t="s">
        <v>2161</v>
      </c>
      <c r="Y953" t="s">
        <v>319</v>
      </c>
      <c r="Z953">
        <v>5.32</v>
      </c>
      <c r="AA953">
        <v>8.94</v>
      </c>
      <c r="AB953">
        <v>212656</v>
      </c>
      <c r="AC953">
        <v>132346</v>
      </c>
      <c r="AD953">
        <v>1.61</v>
      </c>
      <c r="AE953">
        <v>364</v>
      </c>
      <c r="AF953">
        <v>690</v>
      </c>
      <c r="AG953" t="s">
        <v>120</v>
      </c>
      <c r="AH953">
        <v>0.02</v>
      </c>
      <c r="AI953" t="s">
        <v>120</v>
      </c>
      <c r="AJ953">
        <v>4.78</v>
      </c>
      <c r="AK953" t="s">
        <v>4359</v>
      </c>
      <c r="AL953">
        <v>-3.84</v>
      </c>
      <c r="AM953">
        <v>3956</v>
      </c>
      <c r="AN953">
        <v>87</v>
      </c>
      <c r="AO953">
        <v>1.8E-3</v>
      </c>
      <c r="AP953">
        <v>-2</v>
      </c>
      <c r="AQ953">
        <v>-3.05</v>
      </c>
      <c r="AR953">
        <v>-6.26</v>
      </c>
      <c r="AS953">
        <v>9.4600000000000009</v>
      </c>
      <c r="AT953">
        <v>29.36</v>
      </c>
      <c r="AU953">
        <v>67.89</v>
      </c>
      <c r="AV953">
        <v>4</v>
      </c>
      <c r="AW953">
        <v>8.7899999999999991</v>
      </c>
      <c r="AX953">
        <v>70.48</v>
      </c>
      <c r="AY953">
        <v>30.4</v>
      </c>
      <c r="AZ953">
        <v>37.799999999999997</v>
      </c>
      <c r="BA953">
        <v>0.67</v>
      </c>
      <c r="BB953" t="s">
        <v>240</v>
      </c>
      <c r="BF953">
        <v>-2.89</v>
      </c>
      <c r="BG953">
        <v>-4.82</v>
      </c>
      <c r="BH953">
        <v>-5.34</v>
      </c>
      <c r="BI953">
        <v>0</v>
      </c>
      <c r="BJ953">
        <v>20210830</v>
      </c>
      <c r="BK953">
        <v>20110303</v>
      </c>
      <c r="BL953">
        <v>5.57</v>
      </c>
      <c r="BM953" t="s">
        <v>120</v>
      </c>
      <c r="BN953" t="s">
        <v>120</v>
      </c>
      <c r="BO953">
        <v>38.049999999999997</v>
      </c>
      <c r="BP953">
        <v>8.67</v>
      </c>
      <c r="BQ953">
        <v>17.440000000000001</v>
      </c>
      <c r="BR953">
        <v>2.9</v>
      </c>
      <c r="BS953">
        <v>46.55</v>
      </c>
      <c r="BT953">
        <v>24.48</v>
      </c>
      <c r="BU953">
        <v>4.5999999999999996</v>
      </c>
      <c r="BV953">
        <v>1.88</v>
      </c>
      <c r="BW953">
        <v>16.97</v>
      </c>
      <c r="BX953">
        <v>8.7200000000000006</v>
      </c>
      <c r="BY953">
        <v>7.05</v>
      </c>
      <c r="BZ953">
        <v>3.74</v>
      </c>
      <c r="CA953" t="s">
        <v>120</v>
      </c>
      <c r="CB953">
        <v>5.95</v>
      </c>
      <c r="CC953">
        <v>10.29</v>
      </c>
      <c r="CD953">
        <v>7.64</v>
      </c>
      <c r="CE953">
        <v>0.97</v>
      </c>
      <c r="CF953">
        <v>-0.27</v>
      </c>
      <c r="CG953">
        <v>0.96</v>
      </c>
      <c r="CH953">
        <v>0.74</v>
      </c>
      <c r="CI953">
        <v>0.97</v>
      </c>
      <c r="CJ953">
        <v>-0.53</v>
      </c>
      <c r="CK953">
        <v>0.86</v>
      </c>
      <c r="CL953">
        <v>5.08</v>
      </c>
      <c r="CM953">
        <v>0</v>
      </c>
      <c r="CN953">
        <v>-2.35</v>
      </c>
      <c r="CO953">
        <v>32117</v>
      </c>
      <c r="CP953">
        <v>12217</v>
      </c>
      <c r="CQ953" t="s">
        <v>5514</v>
      </c>
      <c r="CR953">
        <v>51.39</v>
      </c>
      <c r="CS953">
        <v>37.71</v>
      </c>
      <c r="CT953">
        <v>2.77</v>
      </c>
      <c r="CU953">
        <v>11348.89</v>
      </c>
      <c r="CV953">
        <v>4.7</v>
      </c>
      <c r="CW953">
        <v>1.63</v>
      </c>
      <c r="CX953" t="s">
        <v>242</v>
      </c>
      <c r="CY953">
        <v>3.13</v>
      </c>
      <c r="CZ953">
        <v>0</v>
      </c>
      <c r="DA953">
        <v>1.07</v>
      </c>
      <c r="DB953">
        <v>0.91</v>
      </c>
      <c r="DC953">
        <v>0</v>
      </c>
      <c r="DD953">
        <v>45.84</v>
      </c>
      <c r="DE953" t="s">
        <v>1273</v>
      </c>
      <c r="DF953">
        <v>25.73</v>
      </c>
      <c r="DG953">
        <v>9.44</v>
      </c>
      <c r="DH953">
        <v>9.4499999999999993</v>
      </c>
      <c r="DI953">
        <v>0.54</v>
      </c>
      <c r="DJ953">
        <v>1693</v>
      </c>
      <c r="DK953">
        <v>2559</v>
      </c>
      <c r="DL953">
        <v>20210909</v>
      </c>
      <c r="DM953">
        <v>9.82</v>
      </c>
      <c r="DN953">
        <v>-11.61</v>
      </c>
    </row>
    <row r="954" spans="1:118">
      <c r="A954" t="str">
        <f>"002560"</f>
        <v>002560</v>
      </c>
      <c r="B954" t="s">
        <v>5515</v>
      </c>
      <c r="C954">
        <v>-2.5499999999999998</v>
      </c>
      <c r="D954">
        <v>0</v>
      </c>
      <c r="E954">
        <v>-0.3</v>
      </c>
      <c r="F954">
        <v>698</v>
      </c>
      <c r="G954" t="s">
        <v>5516</v>
      </c>
      <c r="H954">
        <v>9219.2099999999991</v>
      </c>
      <c r="I954">
        <v>42.3</v>
      </c>
      <c r="J954" t="s">
        <v>120</v>
      </c>
      <c r="K954" t="s">
        <v>2090</v>
      </c>
      <c r="L954">
        <v>3.89</v>
      </c>
      <c r="M954">
        <v>6.49</v>
      </c>
      <c r="N954">
        <v>0.61</v>
      </c>
      <c r="O954">
        <v>0.75</v>
      </c>
      <c r="P954">
        <v>6.71</v>
      </c>
      <c r="Q954">
        <v>-3</v>
      </c>
      <c r="R954">
        <v>6.46</v>
      </c>
      <c r="S954">
        <v>6.64</v>
      </c>
      <c r="T954">
        <v>140083</v>
      </c>
      <c r="U954">
        <v>6.5</v>
      </c>
      <c r="V954">
        <v>6.66</v>
      </c>
      <c r="W954">
        <v>35.89</v>
      </c>
      <c r="X954" t="s">
        <v>394</v>
      </c>
      <c r="Y954" t="s">
        <v>645</v>
      </c>
      <c r="Z954">
        <v>3.75</v>
      </c>
      <c r="AA954">
        <v>6.58</v>
      </c>
      <c r="AB954">
        <v>82337</v>
      </c>
      <c r="AC954">
        <v>57746</v>
      </c>
      <c r="AD954">
        <v>1.43</v>
      </c>
      <c r="AE954">
        <v>195</v>
      </c>
      <c r="AF954">
        <v>206</v>
      </c>
      <c r="AG954" t="s">
        <v>120</v>
      </c>
      <c r="AH954">
        <v>0.02</v>
      </c>
      <c r="AI954" t="s">
        <v>120</v>
      </c>
      <c r="AJ954">
        <v>3.6</v>
      </c>
      <c r="AK954" t="s">
        <v>5517</v>
      </c>
      <c r="AL954">
        <v>-0.64</v>
      </c>
      <c r="AM954">
        <v>2397</v>
      </c>
      <c r="AN954">
        <v>58</v>
      </c>
      <c r="AO954">
        <v>1.6000000000000001E-3</v>
      </c>
      <c r="AP954">
        <v>-1</v>
      </c>
      <c r="AQ954">
        <v>2.94</v>
      </c>
      <c r="AR954">
        <v>-4.13</v>
      </c>
      <c r="AS954">
        <v>-1.97</v>
      </c>
      <c r="AT954">
        <v>9.6300000000000008</v>
      </c>
      <c r="AU954">
        <v>-24.71</v>
      </c>
      <c r="AV954">
        <v>1</v>
      </c>
      <c r="AW954">
        <v>4.2300000000000004</v>
      </c>
      <c r="AX954">
        <v>62.81</v>
      </c>
      <c r="AY954">
        <v>45.12</v>
      </c>
      <c r="AZ954">
        <v>28.17</v>
      </c>
      <c r="BA954">
        <v>0.62</v>
      </c>
      <c r="BB954" t="s">
        <v>184</v>
      </c>
      <c r="BF954">
        <v>-1.18</v>
      </c>
      <c r="BG954">
        <v>-2.2599999999999998</v>
      </c>
      <c r="BH954">
        <v>-3.28</v>
      </c>
      <c r="BI954">
        <v>0.46</v>
      </c>
      <c r="BJ954">
        <v>20210803</v>
      </c>
      <c r="BK954">
        <v>20110303</v>
      </c>
      <c r="BL954">
        <v>5.27</v>
      </c>
      <c r="BM954" t="s">
        <v>120</v>
      </c>
      <c r="BN954" t="s">
        <v>120</v>
      </c>
      <c r="BO954">
        <v>34.49</v>
      </c>
      <c r="BP954">
        <v>6.49</v>
      </c>
      <c r="BQ954">
        <v>23.67</v>
      </c>
      <c r="BR954">
        <v>0.73</v>
      </c>
      <c r="BS954">
        <v>29.24</v>
      </c>
      <c r="BT954">
        <v>22.3</v>
      </c>
      <c r="BU954">
        <v>5.0199999999999996</v>
      </c>
      <c r="BV954">
        <v>0.56999999999999995</v>
      </c>
      <c r="BW954">
        <v>9.23</v>
      </c>
      <c r="BX954">
        <v>4.99</v>
      </c>
      <c r="BY954">
        <v>3.42</v>
      </c>
      <c r="BZ954">
        <v>9.6999999999999993</v>
      </c>
      <c r="CA954" t="s">
        <v>120</v>
      </c>
      <c r="CB954">
        <v>13.06</v>
      </c>
      <c r="CC954">
        <v>9.76</v>
      </c>
      <c r="CD954">
        <v>8.26</v>
      </c>
      <c r="CE954">
        <v>0.53</v>
      </c>
      <c r="CF954">
        <v>0.08</v>
      </c>
      <c r="CG954">
        <v>0.52</v>
      </c>
      <c r="CH954">
        <v>0.47</v>
      </c>
      <c r="CI954">
        <v>0.48</v>
      </c>
      <c r="CJ954">
        <v>-0.17</v>
      </c>
      <c r="CK954">
        <v>0.42</v>
      </c>
      <c r="CL954">
        <v>5.09</v>
      </c>
      <c r="CM954">
        <v>-1.99</v>
      </c>
      <c r="CN954">
        <v>-0.65</v>
      </c>
      <c r="CO954">
        <v>43938</v>
      </c>
      <c r="CP954">
        <v>7529</v>
      </c>
      <c r="CQ954" t="s">
        <v>5518</v>
      </c>
      <c r="CR954">
        <v>-49.55</v>
      </c>
      <c r="CS954">
        <v>-4.99</v>
      </c>
      <c r="CT954">
        <v>1.44</v>
      </c>
      <c r="CU954">
        <v>-17.22</v>
      </c>
      <c r="CV954">
        <v>3.5</v>
      </c>
      <c r="CW954">
        <v>0</v>
      </c>
      <c r="CX954" t="s">
        <v>329</v>
      </c>
      <c r="CY954">
        <v>4.49</v>
      </c>
      <c r="CZ954">
        <v>0</v>
      </c>
      <c r="DA954">
        <v>2.48</v>
      </c>
      <c r="DB954">
        <v>0.97</v>
      </c>
      <c r="DC954">
        <v>-0.38</v>
      </c>
      <c r="DD954">
        <v>68.64</v>
      </c>
      <c r="DE954" t="s">
        <v>493</v>
      </c>
      <c r="DF954">
        <v>15.42</v>
      </c>
      <c r="DG954">
        <v>5.42</v>
      </c>
      <c r="DH954">
        <v>4.88</v>
      </c>
      <c r="DI954">
        <v>0.37</v>
      </c>
      <c r="DJ954">
        <v>630</v>
      </c>
      <c r="DK954">
        <v>2560</v>
      </c>
      <c r="DL954" t="s">
        <v>120</v>
      </c>
      <c r="DM954" t="s">
        <v>120</v>
      </c>
      <c r="DN954" t="s">
        <v>120</v>
      </c>
    </row>
    <row r="955" spans="1:118">
      <c r="A955" t="str">
        <f>"002561"</f>
        <v>002561</v>
      </c>
      <c r="B955" t="s">
        <v>5519</v>
      </c>
      <c r="C955">
        <v>-0.14000000000000001</v>
      </c>
      <c r="D955">
        <v>-0.13</v>
      </c>
      <c r="E955">
        <v>0.28000000000000003</v>
      </c>
      <c r="F955">
        <v>150</v>
      </c>
      <c r="G955" t="s">
        <v>5520</v>
      </c>
      <c r="H955">
        <v>972.08</v>
      </c>
      <c r="I955">
        <v>1.06</v>
      </c>
      <c r="J955" t="s">
        <v>120</v>
      </c>
      <c r="K955" t="s">
        <v>5521</v>
      </c>
      <c r="L955">
        <v>0.33</v>
      </c>
      <c r="M955">
        <v>7.05</v>
      </c>
      <c r="N955">
        <v>0.81</v>
      </c>
      <c r="O955">
        <v>1.56</v>
      </c>
      <c r="P955">
        <v>7.17</v>
      </c>
      <c r="Q955">
        <v>-0.42</v>
      </c>
      <c r="R955">
        <v>7.03</v>
      </c>
      <c r="S955">
        <v>7.08</v>
      </c>
      <c r="T955">
        <v>13677</v>
      </c>
      <c r="U955">
        <v>7.06</v>
      </c>
      <c r="V955">
        <v>7.06</v>
      </c>
      <c r="W955">
        <v>24.76</v>
      </c>
      <c r="X955" t="s">
        <v>735</v>
      </c>
      <c r="Y955" t="s">
        <v>1510</v>
      </c>
      <c r="Z955">
        <v>1.98</v>
      </c>
      <c r="AA955">
        <v>7.11</v>
      </c>
      <c r="AB955">
        <v>8001</v>
      </c>
      <c r="AC955">
        <v>5676</v>
      </c>
      <c r="AD955">
        <v>1.41</v>
      </c>
      <c r="AE955">
        <v>25</v>
      </c>
      <c r="AF955">
        <v>61</v>
      </c>
      <c r="AG955" t="s">
        <v>120</v>
      </c>
      <c r="AH955">
        <v>0</v>
      </c>
      <c r="AI955" t="s">
        <v>120</v>
      </c>
      <c r="AJ955">
        <v>4.12</v>
      </c>
      <c r="AK955" t="s">
        <v>3426</v>
      </c>
      <c r="AL955">
        <v>1.77</v>
      </c>
      <c r="AM955">
        <v>725</v>
      </c>
      <c r="AN955">
        <v>19</v>
      </c>
      <c r="AO955">
        <v>5.0000000000000001E-4</v>
      </c>
      <c r="AP955">
        <v>-1</v>
      </c>
      <c r="AQ955">
        <v>0</v>
      </c>
      <c r="AR955">
        <v>-1.67</v>
      </c>
      <c r="AS955">
        <v>4.13</v>
      </c>
      <c r="AT955">
        <v>-1.4</v>
      </c>
      <c r="AU955">
        <v>-4.8499999999999996</v>
      </c>
      <c r="AV955">
        <v>0</v>
      </c>
      <c r="AW955">
        <v>0.54</v>
      </c>
      <c r="AX955">
        <v>60.8</v>
      </c>
      <c r="AY955">
        <v>31.77</v>
      </c>
      <c r="AZ955">
        <v>38.93</v>
      </c>
      <c r="BA955">
        <v>0.25</v>
      </c>
      <c r="BB955" t="s">
        <v>143</v>
      </c>
      <c r="BF955">
        <v>0.67</v>
      </c>
      <c r="BG955">
        <v>-0.42</v>
      </c>
      <c r="BH955">
        <v>-1.67</v>
      </c>
      <c r="BI955">
        <v>0.28000000000000003</v>
      </c>
      <c r="BJ955">
        <v>20210902</v>
      </c>
      <c r="BK955">
        <v>20110303</v>
      </c>
      <c r="BL955">
        <v>4.16</v>
      </c>
      <c r="BM955" t="s">
        <v>120</v>
      </c>
      <c r="BN955" t="s">
        <v>120</v>
      </c>
      <c r="BO955">
        <v>28.08</v>
      </c>
      <c r="BP955">
        <v>7.05</v>
      </c>
      <c r="BQ955">
        <v>22.27</v>
      </c>
      <c r="BR955">
        <v>0.36</v>
      </c>
      <c r="BS955">
        <v>19.39</v>
      </c>
      <c r="BT955">
        <v>17.13</v>
      </c>
      <c r="BU955">
        <v>5.23</v>
      </c>
      <c r="BV955">
        <v>3.32</v>
      </c>
      <c r="BW955">
        <v>2.99</v>
      </c>
      <c r="BX955">
        <v>8.64</v>
      </c>
      <c r="BY955">
        <v>0.22</v>
      </c>
      <c r="BZ955">
        <v>0.13</v>
      </c>
      <c r="CA955">
        <v>0.2</v>
      </c>
      <c r="CB955">
        <v>5.24</v>
      </c>
      <c r="CC955">
        <v>3.12</v>
      </c>
      <c r="CD955">
        <v>1.21</v>
      </c>
      <c r="CE955">
        <v>0.87</v>
      </c>
      <c r="CF955">
        <v>0.08</v>
      </c>
      <c r="CG955">
        <v>0.87</v>
      </c>
      <c r="CH955">
        <v>0.65</v>
      </c>
      <c r="CI955">
        <v>0.59</v>
      </c>
      <c r="CJ955">
        <v>-0.01</v>
      </c>
      <c r="CK955">
        <v>0.49</v>
      </c>
      <c r="CL955">
        <v>10.79</v>
      </c>
      <c r="CM955">
        <v>0.49</v>
      </c>
      <c r="CN955">
        <v>-0.23</v>
      </c>
      <c r="CO955">
        <v>23000</v>
      </c>
      <c r="CP955">
        <v>10990</v>
      </c>
      <c r="CQ955" t="s">
        <v>3218</v>
      </c>
      <c r="CR955">
        <v>40.340000000000003</v>
      </c>
      <c r="CS955">
        <v>17.2</v>
      </c>
      <c r="CT955">
        <v>1.32</v>
      </c>
      <c r="CU955">
        <v>59.47</v>
      </c>
      <c r="CV955">
        <v>9.39</v>
      </c>
      <c r="CW955">
        <v>1.7</v>
      </c>
      <c r="CX955" t="s">
        <v>300</v>
      </c>
      <c r="CY955">
        <v>5.36</v>
      </c>
      <c r="CZ955">
        <v>0</v>
      </c>
      <c r="DA955">
        <v>1.26</v>
      </c>
      <c r="DB955">
        <v>2.59</v>
      </c>
      <c r="DC955">
        <v>0.12</v>
      </c>
      <c r="DD955">
        <v>79.34</v>
      </c>
      <c r="DE955" t="s">
        <v>2487</v>
      </c>
      <c r="DF955">
        <v>61.36</v>
      </c>
      <c r="DG955">
        <v>27.73</v>
      </c>
      <c r="DH955">
        <v>18.97</v>
      </c>
      <c r="DI955">
        <v>0</v>
      </c>
      <c r="DJ955">
        <v>876</v>
      </c>
      <c r="DK955">
        <v>2561</v>
      </c>
      <c r="DL955" t="s">
        <v>120</v>
      </c>
      <c r="DM955" t="s">
        <v>120</v>
      </c>
      <c r="DN955" t="s">
        <v>120</v>
      </c>
    </row>
    <row r="956" spans="1:118">
      <c r="A956" t="str">
        <f>"002562"</f>
        <v>002562</v>
      </c>
      <c r="B956" t="s">
        <v>5522</v>
      </c>
      <c r="C956">
        <v>0.48</v>
      </c>
      <c r="D956">
        <v>0</v>
      </c>
      <c r="E956">
        <v>-0.48</v>
      </c>
      <c r="F956">
        <v>1536</v>
      </c>
      <c r="G956" t="s">
        <v>5523</v>
      </c>
      <c r="H956">
        <v>7586.7</v>
      </c>
      <c r="I956">
        <v>3.91</v>
      </c>
      <c r="J956" t="s">
        <v>120</v>
      </c>
      <c r="K956" t="s">
        <v>5524</v>
      </c>
      <c r="L956">
        <v>2.58</v>
      </c>
      <c r="M956">
        <v>4.16</v>
      </c>
      <c r="N956">
        <v>0.93</v>
      </c>
      <c r="O956">
        <v>3.62</v>
      </c>
      <c r="P956">
        <v>4.29</v>
      </c>
      <c r="Q956">
        <v>-0.48</v>
      </c>
      <c r="R956">
        <v>4.12</v>
      </c>
      <c r="S956">
        <v>4.12</v>
      </c>
      <c r="T956">
        <v>180456</v>
      </c>
      <c r="U956">
        <v>4.17</v>
      </c>
      <c r="V956">
        <v>4.1399999999999997</v>
      </c>
      <c r="W956" t="s">
        <v>120</v>
      </c>
      <c r="X956" t="s">
        <v>569</v>
      </c>
      <c r="Y956" t="s">
        <v>585</v>
      </c>
      <c r="Z956">
        <v>4.1100000000000003</v>
      </c>
      <c r="AA956">
        <v>4.2</v>
      </c>
      <c r="AB956">
        <v>92016</v>
      </c>
      <c r="AC956">
        <v>88440</v>
      </c>
      <c r="AD956">
        <v>1.04</v>
      </c>
      <c r="AE956">
        <v>2546</v>
      </c>
      <c r="AF956">
        <v>600</v>
      </c>
      <c r="AG956" t="s">
        <v>120</v>
      </c>
      <c r="AH956">
        <v>0</v>
      </c>
      <c r="AI956" t="s">
        <v>120</v>
      </c>
      <c r="AJ956">
        <v>7</v>
      </c>
      <c r="AK956" t="s">
        <v>3160</v>
      </c>
      <c r="AL956">
        <v>2.4</v>
      </c>
      <c r="AM956">
        <v>2022</v>
      </c>
      <c r="AN956">
        <v>89</v>
      </c>
      <c r="AO956">
        <v>1.2999999999999999E-3</v>
      </c>
      <c r="AP956">
        <v>1</v>
      </c>
      <c r="AQ956">
        <v>0</v>
      </c>
      <c r="AR956">
        <v>0</v>
      </c>
      <c r="AS956">
        <v>10.64</v>
      </c>
      <c r="AT956">
        <v>-2.35</v>
      </c>
      <c r="AU956">
        <v>-19.53</v>
      </c>
      <c r="AV956">
        <v>1</v>
      </c>
      <c r="AW956">
        <v>3.1</v>
      </c>
      <c r="AX956">
        <v>54.77</v>
      </c>
      <c r="AY956" t="s">
        <v>120</v>
      </c>
      <c r="AZ956">
        <v>156.99</v>
      </c>
      <c r="BA956">
        <v>0.46</v>
      </c>
      <c r="BB956" t="s">
        <v>143</v>
      </c>
      <c r="BF956">
        <v>1.55</v>
      </c>
      <c r="BG956">
        <v>0.97</v>
      </c>
      <c r="BH956">
        <v>-3.03</v>
      </c>
      <c r="BI956">
        <v>0.97</v>
      </c>
      <c r="BJ956">
        <v>20210825</v>
      </c>
      <c r="BK956">
        <v>20110310</v>
      </c>
      <c r="BL956">
        <v>10.63</v>
      </c>
      <c r="BM956" t="s">
        <v>120</v>
      </c>
      <c r="BN956" t="s">
        <v>120</v>
      </c>
      <c r="BO956">
        <v>54.79</v>
      </c>
      <c r="BP956">
        <v>4.16</v>
      </c>
      <c r="BQ956">
        <v>30.18</v>
      </c>
      <c r="BR956" t="s">
        <v>120</v>
      </c>
      <c r="BS956">
        <v>44.91</v>
      </c>
      <c r="BT956">
        <v>20.07</v>
      </c>
      <c r="BU956">
        <v>25.6</v>
      </c>
      <c r="BV956">
        <v>1.43</v>
      </c>
      <c r="BW956">
        <v>13.87</v>
      </c>
      <c r="BX956">
        <v>3.11</v>
      </c>
      <c r="BY956">
        <v>7.53</v>
      </c>
      <c r="BZ956">
        <v>3.77</v>
      </c>
      <c r="CA956">
        <v>0.01</v>
      </c>
      <c r="CB956">
        <v>13.31</v>
      </c>
      <c r="CC956">
        <v>12.85</v>
      </c>
      <c r="CD956">
        <v>11.26</v>
      </c>
      <c r="CE956">
        <v>-0.06</v>
      </c>
      <c r="CF956">
        <v>0.01</v>
      </c>
      <c r="CG956">
        <v>-0.11</v>
      </c>
      <c r="CH956">
        <v>-0.08</v>
      </c>
      <c r="CI956">
        <v>-0.08</v>
      </c>
      <c r="CJ956">
        <v>0.02</v>
      </c>
      <c r="CK956">
        <v>-0.17</v>
      </c>
      <c r="CL956">
        <v>5.59</v>
      </c>
      <c r="CM956">
        <v>-1.23</v>
      </c>
      <c r="CN956">
        <v>-4.32</v>
      </c>
      <c r="CO956">
        <v>50242</v>
      </c>
      <c r="CP956">
        <v>11588</v>
      </c>
      <c r="CQ956" t="s">
        <v>5525</v>
      </c>
      <c r="CR956">
        <v>-111.81</v>
      </c>
      <c r="CS956">
        <v>34.520000000000003</v>
      </c>
      <c r="CT956">
        <v>1.5</v>
      </c>
      <c r="CU956">
        <v>-35.97</v>
      </c>
      <c r="CV956">
        <v>3.44</v>
      </c>
      <c r="CW956">
        <v>0</v>
      </c>
      <c r="CX956" t="s">
        <v>1312</v>
      </c>
      <c r="CY956">
        <v>2.78</v>
      </c>
      <c r="CZ956">
        <v>2.78</v>
      </c>
      <c r="DA956">
        <v>1.25</v>
      </c>
      <c r="DB956">
        <v>0.53</v>
      </c>
      <c r="DC956">
        <v>-0.12</v>
      </c>
      <c r="DD956">
        <v>55.09</v>
      </c>
      <c r="DE956" t="s">
        <v>5526</v>
      </c>
      <c r="DF956">
        <v>12.38</v>
      </c>
      <c r="DG956">
        <v>-0.48</v>
      </c>
      <c r="DH956">
        <v>-0.66</v>
      </c>
      <c r="DI956">
        <v>0.4</v>
      </c>
      <c r="DJ956">
        <v>2647</v>
      </c>
      <c r="DK956">
        <v>2562</v>
      </c>
      <c r="DL956" t="s">
        <v>120</v>
      </c>
      <c r="DM956" t="s">
        <v>120</v>
      </c>
      <c r="DN956" t="s">
        <v>120</v>
      </c>
    </row>
    <row r="957" spans="1:118">
      <c r="A957" t="str">
        <f>"002563"</f>
        <v>002563</v>
      </c>
      <c r="B957" t="s">
        <v>5527</v>
      </c>
      <c r="C957">
        <v>-0.36</v>
      </c>
      <c r="D957">
        <v>-0.23</v>
      </c>
      <c r="E957">
        <v>-0.12</v>
      </c>
      <c r="F957">
        <v>9602</v>
      </c>
      <c r="G957" t="s">
        <v>5472</v>
      </c>
      <c r="H957">
        <v>14949.78</v>
      </c>
      <c r="I957">
        <v>36.01</v>
      </c>
      <c r="J957" t="s">
        <v>120</v>
      </c>
      <c r="K957" t="s">
        <v>5528</v>
      </c>
      <c r="L957">
        <v>0.95</v>
      </c>
      <c r="M957">
        <v>8.24</v>
      </c>
      <c r="N957">
        <v>1.1100000000000001</v>
      </c>
      <c r="O957">
        <v>2.2999999999999998</v>
      </c>
      <c r="P957">
        <v>8.4600000000000009</v>
      </c>
      <c r="Q957">
        <v>-1.45</v>
      </c>
      <c r="R957">
        <v>8.15</v>
      </c>
      <c r="S957">
        <v>8.26</v>
      </c>
      <c r="T957">
        <v>179264</v>
      </c>
      <c r="U957">
        <v>8.26</v>
      </c>
      <c r="V957">
        <v>8.27</v>
      </c>
      <c r="W957">
        <v>16.690000000000001</v>
      </c>
      <c r="X957" t="s">
        <v>2806</v>
      </c>
      <c r="Y957" t="s">
        <v>585</v>
      </c>
      <c r="Z957">
        <v>3.75</v>
      </c>
      <c r="AA957">
        <v>8.34</v>
      </c>
      <c r="AB957">
        <v>77985</v>
      </c>
      <c r="AC957">
        <v>101279</v>
      </c>
      <c r="AD957">
        <v>0.77</v>
      </c>
      <c r="AE957">
        <v>400</v>
      </c>
      <c r="AF957">
        <v>152</v>
      </c>
      <c r="AG957" t="s">
        <v>120</v>
      </c>
      <c r="AH957">
        <v>0.01</v>
      </c>
      <c r="AI957" t="s">
        <v>120</v>
      </c>
      <c r="AJ957">
        <v>18.87</v>
      </c>
      <c r="AK957" t="s">
        <v>5529</v>
      </c>
      <c r="AL957">
        <v>1.55</v>
      </c>
      <c r="AM957">
        <v>3656</v>
      </c>
      <c r="AN957">
        <v>49</v>
      </c>
      <c r="AO957">
        <v>2.9999999999999997E-4</v>
      </c>
      <c r="AP957">
        <v>-5</v>
      </c>
      <c r="AQ957">
        <v>-4.3899999999999997</v>
      </c>
      <c r="AR957">
        <v>-7.52</v>
      </c>
      <c r="AS957">
        <v>-10.82</v>
      </c>
      <c r="AT957">
        <v>-27.27</v>
      </c>
      <c r="AU957">
        <v>-15.66</v>
      </c>
      <c r="AV957">
        <v>1</v>
      </c>
      <c r="AW957">
        <v>2.61</v>
      </c>
      <c r="AX957">
        <v>25.54</v>
      </c>
      <c r="AY957">
        <v>15.37</v>
      </c>
      <c r="AZ957">
        <v>27.65</v>
      </c>
      <c r="BA957">
        <v>0.35</v>
      </c>
      <c r="BB957" t="s">
        <v>134</v>
      </c>
      <c r="BF957">
        <v>0.84</v>
      </c>
      <c r="BG957">
        <v>-0.24</v>
      </c>
      <c r="BH957">
        <v>-2.6</v>
      </c>
      <c r="BI957">
        <v>1.1000000000000001</v>
      </c>
      <c r="BJ957">
        <v>20210831</v>
      </c>
      <c r="BK957">
        <v>20110311</v>
      </c>
      <c r="BL957">
        <v>26.94</v>
      </c>
      <c r="BM957" t="s">
        <v>120</v>
      </c>
      <c r="BN957" t="s">
        <v>120</v>
      </c>
      <c r="BO957">
        <v>173.55</v>
      </c>
      <c r="BP957">
        <v>8.24</v>
      </c>
      <c r="BQ957">
        <v>115.53</v>
      </c>
      <c r="BR957">
        <v>0.18</v>
      </c>
      <c r="BS957">
        <v>33.33</v>
      </c>
      <c r="BT957">
        <v>126.06</v>
      </c>
      <c r="BU957">
        <v>20.77</v>
      </c>
      <c r="BV957">
        <v>4.4400000000000004</v>
      </c>
      <c r="BW957">
        <v>51.77</v>
      </c>
      <c r="BX957">
        <v>50.26</v>
      </c>
      <c r="BY957">
        <v>27.11</v>
      </c>
      <c r="BZ957">
        <v>9.5299999999999994</v>
      </c>
      <c r="CA957" t="s">
        <v>120</v>
      </c>
      <c r="CB957">
        <v>28.3</v>
      </c>
      <c r="CC957">
        <v>65.16</v>
      </c>
      <c r="CD957">
        <v>36.380000000000003</v>
      </c>
      <c r="CE957">
        <v>8.8699999999999992</v>
      </c>
      <c r="CF957">
        <v>0.35</v>
      </c>
      <c r="CG957">
        <v>8.84</v>
      </c>
      <c r="CH957">
        <v>6.63</v>
      </c>
      <c r="CI957">
        <v>6.65</v>
      </c>
      <c r="CJ957">
        <v>-0.03</v>
      </c>
      <c r="CK957">
        <v>6.13</v>
      </c>
      <c r="CL957">
        <v>47.44</v>
      </c>
      <c r="CM957">
        <v>8.89</v>
      </c>
      <c r="CN957">
        <v>-0.21</v>
      </c>
      <c r="CO957">
        <v>27465</v>
      </c>
      <c r="CP957">
        <v>25053</v>
      </c>
      <c r="CQ957" t="s">
        <v>5530</v>
      </c>
      <c r="CR957">
        <v>2980.24</v>
      </c>
      <c r="CS957">
        <v>13.65</v>
      </c>
      <c r="CT957">
        <v>1.92</v>
      </c>
      <c r="CU957">
        <v>24.97</v>
      </c>
      <c r="CV957">
        <v>3.41</v>
      </c>
      <c r="CW957">
        <v>6.05</v>
      </c>
      <c r="CX957" t="s">
        <v>863</v>
      </c>
      <c r="CY957">
        <v>4.29</v>
      </c>
      <c r="CZ957">
        <v>0</v>
      </c>
      <c r="DA957">
        <v>1.05</v>
      </c>
      <c r="DB957">
        <v>1.76</v>
      </c>
      <c r="DC957">
        <v>0.33</v>
      </c>
      <c r="DD957">
        <v>66.569999999999993</v>
      </c>
      <c r="DE957" t="s">
        <v>4781</v>
      </c>
      <c r="DF957">
        <v>44.18</v>
      </c>
      <c r="DG957">
        <v>13.61</v>
      </c>
      <c r="DH957">
        <v>10.210000000000001</v>
      </c>
      <c r="DI957">
        <v>1.2</v>
      </c>
      <c r="DJ957">
        <v>3677</v>
      </c>
      <c r="DK957">
        <v>2563</v>
      </c>
      <c r="DL957" t="s">
        <v>120</v>
      </c>
      <c r="DM957" t="s">
        <v>120</v>
      </c>
      <c r="DN957" t="s">
        <v>120</v>
      </c>
    </row>
    <row r="958" spans="1:118">
      <c r="A958" t="str">
        <f>"002564"</f>
        <v>002564</v>
      </c>
      <c r="B958" t="s">
        <v>5531</v>
      </c>
      <c r="C958">
        <v>-1.98</v>
      </c>
      <c r="D958">
        <v>0</v>
      </c>
      <c r="E958">
        <v>-0.2</v>
      </c>
      <c r="F958">
        <v>3367</v>
      </c>
      <c r="G958" t="s">
        <v>4956</v>
      </c>
      <c r="H958">
        <v>22024.79</v>
      </c>
      <c r="I958">
        <v>425.98</v>
      </c>
      <c r="J958" t="s">
        <v>120</v>
      </c>
      <c r="K958" t="s">
        <v>5532</v>
      </c>
      <c r="L958">
        <v>5.05</v>
      </c>
      <c r="M958">
        <v>4.95</v>
      </c>
      <c r="N958">
        <v>1.28</v>
      </c>
      <c r="O958">
        <v>1.58</v>
      </c>
      <c r="P958">
        <v>5.13</v>
      </c>
      <c r="Q958">
        <v>-3.17</v>
      </c>
      <c r="R958">
        <v>4.8899999999999997</v>
      </c>
      <c r="S958">
        <v>5.04</v>
      </c>
      <c r="T958">
        <v>438859</v>
      </c>
      <c r="U958">
        <v>4.95</v>
      </c>
      <c r="V958">
        <v>5.05</v>
      </c>
      <c r="W958">
        <v>154.44999999999999</v>
      </c>
      <c r="X958" t="s">
        <v>175</v>
      </c>
      <c r="Y958" t="s">
        <v>319</v>
      </c>
      <c r="Z958">
        <v>4.75</v>
      </c>
      <c r="AA958">
        <v>5.0199999999999996</v>
      </c>
      <c r="AB958">
        <v>232370</v>
      </c>
      <c r="AC958">
        <v>206489</v>
      </c>
      <c r="AD958">
        <v>1.1299999999999999</v>
      </c>
      <c r="AE958">
        <v>624</v>
      </c>
      <c r="AF958">
        <v>326</v>
      </c>
      <c r="AG958" t="s">
        <v>120</v>
      </c>
      <c r="AH958">
        <v>0.14000000000000001</v>
      </c>
      <c r="AI958" t="s">
        <v>120</v>
      </c>
      <c r="AJ958">
        <v>8.68</v>
      </c>
      <c r="AK958" t="s">
        <v>5481</v>
      </c>
      <c r="AL958">
        <v>-7.0000000000000007E-2</v>
      </c>
      <c r="AM958">
        <v>3716</v>
      </c>
      <c r="AN958">
        <v>118</v>
      </c>
      <c r="AO958">
        <v>1.4E-3</v>
      </c>
      <c r="AP958">
        <v>-1</v>
      </c>
      <c r="AQ958">
        <v>8.3699999999999992</v>
      </c>
      <c r="AR958">
        <v>3.99</v>
      </c>
      <c r="AS958">
        <v>10.49</v>
      </c>
      <c r="AT958">
        <v>28.24</v>
      </c>
      <c r="AU958">
        <v>20.14</v>
      </c>
      <c r="AV958">
        <v>13</v>
      </c>
      <c r="AW958">
        <v>7.26</v>
      </c>
      <c r="AX958">
        <v>69.56</v>
      </c>
      <c r="AY958" t="s">
        <v>120</v>
      </c>
      <c r="AZ958" t="s">
        <v>120</v>
      </c>
      <c r="BA958">
        <v>1.05</v>
      </c>
      <c r="BB958" t="s">
        <v>751</v>
      </c>
      <c r="BF958">
        <v>-0.62</v>
      </c>
      <c r="BG958">
        <v>-1.79</v>
      </c>
      <c r="BH958">
        <v>-3.51</v>
      </c>
      <c r="BI958">
        <v>1.23</v>
      </c>
      <c r="BJ958">
        <v>20210825</v>
      </c>
      <c r="BK958">
        <v>20110310</v>
      </c>
      <c r="BL958">
        <v>8.69</v>
      </c>
      <c r="BM958" t="s">
        <v>120</v>
      </c>
      <c r="BN958" t="s">
        <v>120</v>
      </c>
      <c r="BO958">
        <v>290.93</v>
      </c>
      <c r="BP958">
        <v>4.9400000000000004</v>
      </c>
      <c r="BQ958">
        <v>25.18</v>
      </c>
      <c r="BR958">
        <v>5.75</v>
      </c>
      <c r="BS958">
        <v>89.37</v>
      </c>
      <c r="BT958">
        <v>228.96</v>
      </c>
      <c r="BU958">
        <v>12.71</v>
      </c>
      <c r="BV958">
        <v>1.92</v>
      </c>
      <c r="BW958">
        <v>198.48</v>
      </c>
      <c r="BX958">
        <v>6.2</v>
      </c>
      <c r="BY958">
        <v>19.55</v>
      </c>
      <c r="BZ958">
        <v>62.9</v>
      </c>
      <c r="CA958" t="s">
        <v>120</v>
      </c>
      <c r="CB958">
        <v>22.4</v>
      </c>
      <c r="CC958">
        <v>41.31</v>
      </c>
      <c r="CD958">
        <v>34.200000000000003</v>
      </c>
      <c r="CE958">
        <v>0.4</v>
      </c>
      <c r="CF958">
        <v>0.67</v>
      </c>
      <c r="CG958">
        <v>0.34</v>
      </c>
      <c r="CH958">
        <v>0.21</v>
      </c>
      <c r="CI958">
        <v>0.14000000000000001</v>
      </c>
      <c r="CJ958">
        <v>-0.1</v>
      </c>
      <c r="CK958">
        <v>-0.41</v>
      </c>
      <c r="CL958">
        <v>-6.2</v>
      </c>
      <c r="CM958">
        <v>-20.79</v>
      </c>
      <c r="CN958">
        <v>-16.57</v>
      </c>
      <c r="CO958">
        <v>56726</v>
      </c>
      <c r="CP958">
        <v>10661</v>
      </c>
      <c r="CQ958" t="s">
        <v>610</v>
      </c>
      <c r="CR958">
        <v>103.79</v>
      </c>
      <c r="CS958">
        <v>81.91</v>
      </c>
      <c r="CT958">
        <v>1.71</v>
      </c>
      <c r="CU958">
        <v>-2.0699999999999998</v>
      </c>
      <c r="CV958">
        <v>1.04</v>
      </c>
      <c r="CW958">
        <v>0</v>
      </c>
      <c r="CX958" t="s">
        <v>499</v>
      </c>
      <c r="CY958">
        <v>2.9</v>
      </c>
      <c r="CZ958">
        <v>0</v>
      </c>
      <c r="DA958">
        <v>2.58</v>
      </c>
      <c r="DB958">
        <v>-0.71</v>
      </c>
      <c r="DC958">
        <v>-2.39</v>
      </c>
      <c r="DD958">
        <v>8.65</v>
      </c>
      <c r="DE958" t="s">
        <v>2369</v>
      </c>
      <c r="DF958">
        <v>17.22</v>
      </c>
      <c r="DG958">
        <v>0.97</v>
      </c>
      <c r="DH958">
        <v>0.34</v>
      </c>
      <c r="DI958">
        <v>1.36</v>
      </c>
      <c r="DJ958">
        <v>2897</v>
      </c>
      <c r="DK958">
        <v>2564</v>
      </c>
      <c r="DL958" t="s">
        <v>120</v>
      </c>
      <c r="DM958" t="s">
        <v>120</v>
      </c>
      <c r="DN958" t="s">
        <v>120</v>
      </c>
    </row>
    <row r="959" spans="1:118">
      <c r="A959" t="str">
        <f>"002565"</f>
        <v>002565</v>
      </c>
      <c r="B959" t="s">
        <v>5533</v>
      </c>
      <c r="C959">
        <v>-2.15</v>
      </c>
      <c r="D959">
        <v>0.55000000000000004</v>
      </c>
      <c r="E959">
        <v>1.25</v>
      </c>
      <c r="F959">
        <v>13803</v>
      </c>
      <c r="G959" t="s">
        <v>5534</v>
      </c>
      <c r="H959">
        <v>42222.31</v>
      </c>
      <c r="I959">
        <v>279.39</v>
      </c>
      <c r="J959" t="s">
        <v>120</v>
      </c>
      <c r="K959" t="s">
        <v>5535</v>
      </c>
      <c r="L959">
        <v>7.15</v>
      </c>
      <c r="M959">
        <v>5.46</v>
      </c>
      <c r="N959">
        <v>1.35</v>
      </c>
      <c r="O959">
        <v>5.56</v>
      </c>
      <c r="P959">
        <v>5.89</v>
      </c>
      <c r="Q959">
        <v>-3.23</v>
      </c>
      <c r="R959">
        <v>5.4</v>
      </c>
      <c r="S959">
        <v>5.65</v>
      </c>
      <c r="T959">
        <v>754268</v>
      </c>
      <c r="U959">
        <v>5.47</v>
      </c>
      <c r="V959">
        <v>5.58</v>
      </c>
      <c r="W959">
        <v>1050.6400000000001</v>
      </c>
      <c r="X959" t="s">
        <v>814</v>
      </c>
      <c r="Y959" t="s">
        <v>1510</v>
      </c>
      <c r="Z959">
        <v>8.7799999999999994</v>
      </c>
      <c r="AA959">
        <v>5.6</v>
      </c>
      <c r="AB959">
        <v>402765</v>
      </c>
      <c r="AC959">
        <v>351503</v>
      </c>
      <c r="AD959">
        <v>1.1499999999999999</v>
      </c>
      <c r="AE959">
        <v>3487</v>
      </c>
      <c r="AF959">
        <v>1314</v>
      </c>
      <c r="AG959" t="s">
        <v>120</v>
      </c>
      <c r="AH959">
        <v>7.0000000000000007E-2</v>
      </c>
      <c r="AI959" t="s">
        <v>120</v>
      </c>
      <c r="AJ959">
        <v>10.55</v>
      </c>
      <c r="AK959" t="s">
        <v>2969</v>
      </c>
      <c r="AL959">
        <v>-0.24</v>
      </c>
      <c r="AM959">
        <v>3899</v>
      </c>
      <c r="AN959">
        <v>193</v>
      </c>
      <c r="AO959">
        <v>1.8E-3</v>
      </c>
      <c r="AP959">
        <v>-1</v>
      </c>
      <c r="AQ959">
        <v>10.06</v>
      </c>
      <c r="AR959">
        <v>5.21</v>
      </c>
      <c r="AS959">
        <v>56.45</v>
      </c>
      <c r="AT959">
        <v>38.93</v>
      </c>
      <c r="AU959">
        <v>28.77</v>
      </c>
      <c r="AV959">
        <v>3</v>
      </c>
      <c r="AW959">
        <v>11.24</v>
      </c>
      <c r="AX959">
        <v>63.28</v>
      </c>
      <c r="AY959">
        <v>617.73</v>
      </c>
      <c r="AZ959">
        <v>755.32</v>
      </c>
      <c r="BA959">
        <v>0.47</v>
      </c>
      <c r="BB959" t="s">
        <v>184</v>
      </c>
      <c r="BF959">
        <v>0.32</v>
      </c>
      <c r="BG959">
        <v>-3.36</v>
      </c>
      <c r="BH959">
        <v>-7.3</v>
      </c>
      <c r="BI959">
        <v>1.1100000000000001</v>
      </c>
      <c r="BJ959">
        <v>20210827</v>
      </c>
      <c r="BK959">
        <v>20110318</v>
      </c>
      <c r="BL959">
        <v>10.6</v>
      </c>
      <c r="BM959" t="s">
        <v>120</v>
      </c>
      <c r="BN959" t="s">
        <v>120</v>
      </c>
      <c r="BO959">
        <v>28.29</v>
      </c>
      <c r="BP959">
        <v>5.46</v>
      </c>
      <c r="BQ959">
        <v>19.510000000000002</v>
      </c>
      <c r="BR959">
        <v>1.87</v>
      </c>
      <c r="BS959">
        <v>24.44</v>
      </c>
      <c r="BT959">
        <v>14.79</v>
      </c>
      <c r="BU959">
        <v>6.13</v>
      </c>
      <c r="BV959">
        <v>1.34</v>
      </c>
      <c r="BW959">
        <v>5.09</v>
      </c>
      <c r="BX959">
        <v>4.76</v>
      </c>
      <c r="BY959">
        <v>4.29</v>
      </c>
      <c r="BZ959">
        <v>3.17</v>
      </c>
      <c r="CA959" t="s">
        <v>120</v>
      </c>
      <c r="CB959">
        <v>4.96</v>
      </c>
      <c r="CC959">
        <v>8.08</v>
      </c>
      <c r="CD959">
        <v>6.38</v>
      </c>
      <c r="CE959">
        <v>0.13</v>
      </c>
      <c r="CF959">
        <v>-0.01</v>
      </c>
      <c r="CG959">
        <v>0.15</v>
      </c>
      <c r="CH959">
        <v>0.06</v>
      </c>
      <c r="CI959">
        <v>0.03</v>
      </c>
      <c r="CJ959">
        <v>-0.12</v>
      </c>
      <c r="CK959">
        <v>0.02</v>
      </c>
      <c r="CL959">
        <v>2.83</v>
      </c>
      <c r="CM959">
        <v>1.95</v>
      </c>
      <c r="CN959">
        <v>-0.38</v>
      </c>
      <c r="CO959">
        <v>59732</v>
      </c>
      <c r="CP959">
        <v>11230</v>
      </c>
      <c r="CQ959" t="s">
        <v>5536</v>
      </c>
      <c r="CR959">
        <v>172.63</v>
      </c>
      <c r="CS959">
        <v>12.8</v>
      </c>
      <c r="CT959">
        <v>2.97</v>
      </c>
      <c r="CU959">
        <v>29.71</v>
      </c>
      <c r="CV959">
        <v>7.16</v>
      </c>
      <c r="CW959">
        <v>0</v>
      </c>
      <c r="CX959" t="s">
        <v>1097</v>
      </c>
      <c r="CY959">
        <v>1.84</v>
      </c>
      <c r="CZ959">
        <v>1.84</v>
      </c>
      <c r="DA959">
        <v>0.47</v>
      </c>
      <c r="DB959">
        <v>0.27</v>
      </c>
      <c r="DC959">
        <v>0.18</v>
      </c>
      <c r="DD959">
        <v>68.959999999999994</v>
      </c>
      <c r="DE959" t="s">
        <v>5537</v>
      </c>
      <c r="DF959">
        <v>21.03</v>
      </c>
      <c r="DG959">
        <v>1.57</v>
      </c>
      <c r="DH959">
        <v>0.34</v>
      </c>
      <c r="DI959">
        <v>0.28000000000000003</v>
      </c>
      <c r="DJ959">
        <v>1768</v>
      </c>
      <c r="DK959">
        <v>2565</v>
      </c>
      <c r="DL959" t="s">
        <v>120</v>
      </c>
      <c r="DM959" t="s">
        <v>120</v>
      </c>
      <c r="DN959" t="s">
        <v>120</v>
      </c>
    </row>
    <row r="960" spans="1:118">
      <c r="A960" t="str">
        <f>"002566"</f>
        <v>002566</v>
      </c>
      <c r="B960" t="s">
        <v>5538</v>
      </c>
      <c r="C960">
        <v>-1.62</v>
      </c>
      <c r="D960">
        <v>0.12</v>
      </c>
      <c r="E960">
        <v>0.35</v>
      </c>
      <c r="F960">
        <v>1266</v>
      </c>
      <c r="G960" t="s">
        <v>5539</v>
      </c>
      <c r="H960">
        <v>5102.2700000000004</v>
      </c>
      <c r="I960">
        <v>11.34</v>
      </c>
      <c r="J960" t="s">
        <v>120</v>
      </c>
      <c r="K960" t="s">
        <v>3833</v>
      </c>
      <c r="L960">
        <v>2.57</v>
      </c>
      <c r="M960">
        <v>8.49</v>
      </c>
      <c r="N960">
        <v>0.73</v>
      </c>
      <c r="O960">
        <v>1.04</v>
      </c>
      <c r="P960">
        <v>8.7200000000000006</v>
      </c>
      <c r="Q960">
        <v>-1.97</v>
      </c>
      <c r="R960">
        <v>8.4600000000000009</v>
      </c>
      <c r="S960">
        <v>8.66</v>
      </c>
      <c r="T960">
        <v>59683</v>
      </c>
      <c r="U960">
        <v>8.49</v>
      </c>
      <c r="V960">
        <v>8.6300000000000008</v>
      </c>
      <c r="W960">
        <v>33.96</v>
      </c>
      <c r="X960" t="s">
        <v>771</v>
      </c>
      <c r="Y960" t="s">
        <v>290</v>
      </c>
      <c r="Z960">
        <v>3.01</v>
      </c>
      <c r="AA960">
        <v>8.5500000000000007</v>
      </c>
      <c r="AB960">
        <v>31566</v>
      </c>
      <c r="AC960">
        <v>28117</v>
      </c>
      <c r="AD960">
        <v>1.1200000000000001</v>
      </c>
      <c r="AE960">
        <v>316</v>
      </c>
      <c r="AF960">
        <v>3174</v>
      </c>
      <c r="AG960" t="s">
        <v>120</v>
      </c>
      <c r="AH960">
        <v>0.01</v>
      </c>
      <c r="AI960" t="s">
        <v>120</v>
      </c>
      <c r="AJ960">
        <v>2.3199999999999998</v>
      </c>
      <c r="AK960" t="s">
        <v>2314</v>
      </c>
      <c r="AL960">
        <v>0.28999999999999998</v>
      </c>
      <c r="AM960">
        <v>1896</v>
      </c>
      <c r="AN960">
        <v>31</v>
      </c>
      <c r="AO960">
        <v>1.4E-3</v>
      </c>
      <c r="AP960">
        <v>-1</v>
      </c>
      <c r="AQ960">
        <v>4.0999999999999996</v>
      </c>
      <c r="AR960">
        <v>1.92</v>
      </c>
      <c r="AS960">
        <v>15.51</v>
      </c>
      <c r="AT960">
        <v>13.66</v>
      </c>
      <c r="AU960">
        <v>28.06</v>
      </c>
      <c r="AV960">
        <v>2</v>
      </c>
      <c r="AW960">
        <v>2.99</v>
      </c>
      <c r="AX960">
        <v>60.41</v>
      </c>
      <c r="AY960">
        <v>32.24</v>
      </c>
      <c r="AZ960">
        <v>35.67</v>
      </c>
      <c r="BA960">
        <v>0.31</v>
      </c>
      <c r="BB960" t="s">
        <v>700</v>
      </c>
      <c r="BF960">
        <v>-0.94</v>
      </c>
      <c r="BG960">
        <v>-1.96</v>
      </c>
      <c r="BH960">
        <v>-2.64</v>
      </c>
      <c r="BI960">
        <v>0.35</v>
      </c>
      <c r="BJ960">
        <v>20210901</v>
      </c>
      <c r="BK960">
        <v>20110318</v>
      </c>
      <c r="BL960">
        <v>3.31</v>
      </c>
      <c r="BM960" t="s">
        <v>120</v>
      </c>
      <c r="BN960" t="s">
        <v>120</v>
      </c>
      <c r="BO960">
        <v>26.9</v>
      </c>
      <c r="BP960">
        <v>8.48</v>
      </c>
      <c r="BQ960">
        <v>20.27</v>
      </c>
      <c r="BR960">
        <v>1.1599999999999999</v>
      </c>
      <c r="BS960">
        <v>20.350000000000001</v>
      </c>
      <c r="BT960">
        <v>21.14</v>
      </c>
      <c r="BU960">
        <v>3.79</v>
      </c>
      <c r="BV960">
        <v>1.22</v>
      </c>
      <c r="BW960">
        <v>4.28</v>
      </c>
      <c r="BX960">
        <v>2.1</v>
      </c>
      <c r="BY960">
        <v>16.149999999999999</v>
      </c>
      <c r="BZ960">
        <v>2.0299999999999998</v>
      </c>
      <c r="CA960" t="s">
        <v>120</v>
      </c>
      <c r="CB960">
        <v>8.35</v>
      </c>
      <c r="CC960">
        <v>4.55</v>
      </c>
      <c r="CD960">
        <v>1.07</v>
      </c>
      <c r="CE960">
        <v>0.59</v>
      </c>
      <c r="CF960">
        <v>0</v>
      </c>
      <c r="CG960">
        <v>0.56000000000000005</v>
      </c>
      <c r="CH960">
        <v>0.49</v>
      </c>
      <c r="CI960">
        <v>0.41</v>
      </c>
      <c r="CJ960">
        <v>-0.14000000000000001</v>
      </c>
      <c r="CK960">
        <v>0.36</v>
      </c>
      <c r="CL960">
        <v>7.51</v>
      </c>
      <c r="CM960">
        <v>1.2</v>
      </c>
      <c r="CN960">
        <v>-0.77</v>
      </c>
      <c r="CO960">
        <v>24106</v>
      </c>
      <c r="CP960">
        <v>8294</v>
      </c>
      <c r="CQ960" t="s">
        <v>5540</v>
      </c>
      <c r="CR960">
        <v>25.96</v>
      </c>
      <c r="CS960">
        <v>14.61</v>
      </c>
      <c r="CT960">
        <v>1.39</v>
      </c>
      <c r="CU960">
        <v>23.36</v>
      </c>
      <c r="CV960">
        <v>6.18</v>
      </c>
      <c r="CW960">
        <v>0.35</v>
      </c>
      <c r="CX960" t="s">
        <v>1085</v>
      </c>
      <c r="CY960">
        <v>6.13</v>
      </c>
      <c r="CZ960">
        <v>0</v>
      </c>
      <c r="DA960">
        <v>2.52</v>
      </c>
      <c r="DB960">
        <v>2.27</v>
      </c>
      <c r="DC960">
        <v>0.36</v>
      </c>
      <c r="DD960">
        <v>75.349999999999994</v>
      </c>
      <c r="DE960" t="s">
        <v>5541</v>
      </c>
      <c r="DF960">
        <v>76.38</v>
      </c>
      <c r="DG960">
        <v>12.89</v>
      </c>
      <c r="DH960">
        <v>9.09</v>
      </c>
      <c r="DI960">
        <v>0.11</v>
      </c>
      <c r="DJ960">
        <v>1744</v>
      </c>
      <c r="DK960">
        <v>2566</v>
      </c>
      <c r="DL960" t="s">
        <v>120</v>
      </c>
      <c r="DM960" t="s">
        <v>120</v>
      </c>
      <c r="DN960" t="s">
        <v>120</v>
      </c>
    </row>
    <row r="961" spans="1:118">
      <c r="A961" t="str">
        <f>"002567"</f>
        <v>002567</v>
      </c>
      <c r="B961" t="s">
        <v>5542</v>
      </c>
      <c r="C961">
        <v>4.6399999999999997</v>
      </c>
      <c r="D961">
        <v>0.16</v>
      </c>
      <c r="E961">
        <v>1</v>
      </c>
      <c r="F961">
        <v>7893</v>
      </c>
      <c r="G961" t="s">
        <v>5543</v>
      </c>
      <c r="H961">
        <v>30605.78</v>
      </c>
      <c r="I961">
        <v>55.42</v>
      </c>
      <c r="J961" t="s">
        <v>120</v>
      </c>
      <c r="K961" t="s">
        <v>5544</v>
      </c>
      <c r="L961">
        <v>4.1399999999999997</v>
      </c>
      <c r="M961">
        <v>6.31</v>
      </c>
      <c r="N961">
        <v>3.22</v>
      </c>
      <c r="O961">
        <v>5.47</v>
      </c>
      <c r="P961">
        <v>6.36</v>
      </c>
      <c r="Q961">
        <v>0</v>
      </c>
      <c r="R961">
        <v>6.03</v>
      </c>
      <c r="S961">
        <v>6.09</v>
      </c>
      <c r="T961">
        <v>490108</v>
      </c>
      <c r="U961">
        <v>6.32</v>
      </c>
      <c r="V961">
        <v>6.03</v>
      </c>
      <c r="W961">
        <v>21.65</v>
      </c>
      <c r="X961" t="s">
        <v>386</v>
      </c>
      <c r="Y961" t="s">
        <v>594</v>
      </c>
      <c r="Z961">
        <v>5.47</v>
      </c>
      <c r="AA961">
        <v>6.24</v>
      </c>
      <c r="AB961">
        <v>220779</v>
      </c>
      <c r="AC961">
        <v>269329</v>
      </c>
      <c r="AD961">
        <v>0.82</v>
      </c>
      <c r="AE961">
        <v>1045</v>
      </c>
      <c r="AF961">
        <v>3386</v>
      </c>
      <c r="AG961" t="s">
        <v>120</v>
      </c>
      <c r="AH961">
        <v>0.01</v>
      </c>
      <c r="AI961" t="s">
        <v>120</v>
      </c>
      <c r="AJ961">
        <v>11.84</v>
      </c>
      <c r="AK961" t="s">
        <v>5545</v>
      </c>
      <c r="AL961">
        <v>6.56</v>
      </c>
      <c r="AM961">
        <v>3872</v>
      </c>
      <c r="AN961">
        <v>127</v>
      </c>
      <c r="AO961">
        <v>1.1000000000000001E-3</v>
      </c>
      <c r="AP961">
        <v>2</v>
      </c>
      <c r="AQ961">
        <v>0.84</v>
      </c>
      <c r="AR961">
        <v>3.44</v>
      </c>
      <c r="AS961">
        <v>7.31</v>
      </c>
      <c r="AT961">
        <v>-2.17</v>
      </c>
      <c r="AU961">
        <v>-19.100000000000001</v>
      </c>
      <c r="AV961">
        <v>2</v>
      </c>
      <c r="AW961">
        <v>5.53</v>
      </c>
      <c r="AX961">
        <v>73.55</v>
      </c>
      <c r="AY961">
        <v>10.47</v>
      </c>
      <c r="AZ961">
        <v>7.65</v>
      </c>
      <c r="BA961">
        <v>0.41</v>
      </c>
      <c r="BB961" t="s">
        <v>143</v>
      </c>
      <c r="BF961">
        <v>3.56</v>
      </c>
      <c r="BG961">
        <v>3.61</v>
      </c>
      <c r="BH961">
        <v>-0.79</v>
      </c>
      <c r="BI961">
        <v>4.6399999999999997</v>
      </c>
      <c r="BJ961">
        <v>20210914</v>
      </c>
      <c r="BK961">
        <v>20110325</v>
      </c>
      <c r="BL961">
        <v>12.06</v>
      </c>
      <c r="BM961" t="s">
        <v>120</v>
      </c>
      <c r="BN961" t="s">
        <v>120</v>
      </c>
      <c r="BO961">
        <v>144.96</v>
      </c>
      <c r="BP961">
        <v>6.31</v>
      </c>
      <c r="BQ961">
        <v>68.569999999999993</v>
      </c>
      <c r="BR961">
        <v>6.52</v>
      </c>
      <c r="BS961">
        <v>48.2</v>
      </c>
      <c r="BT961">
        <v>67.37</v>
      </c>
      <c r="BU961">
        <v>37.270000000000003</v>
      </c>
      <c r="BV961">
        <v>5.29</v>
      </c>
      <c r="BW961">
        <v>31.73</v>
      </c>
      <c r="BX961">
        <v>28.3</v>
      </c>
      <c r="BY961">
        <v>23.62</v>
      </c>
      <c r="BZ961">
        <v>3.2</v>
      </c>
      <c r="CA961" t="s">
        <v>120</v>
      </c>
      <c r="CB961">
        <v>37.840000000000003</v>
      </c>
      <c r="CC961">
        <v>108.34</v>
      </c>
      <c r="CD961">
        <v>97.26</v>
      </c>
      <c r="CE961">
        <v>2.5099999999999998</v>
      </c>
      <c r="CF961">
        <v>0.04</v>
      </c>
      <c r="CG961">
        <v>2.23</v>
      </c>
      <c r="CH961">
        <v>2.0299999999999998</v>
      </c>
      <c r="CI961">
        <v>1.76</v>
      </c>
      <c r="CJ961">
        <v>0.28000000000000003</v>
      </c>
      <c r="CK961">
        <v>1.96</v>
      </c>
      <c r="CL961">
        <v>15.8</v>
      </c>
      <c r="CM961">
        <v>1</v>
      </c>
      <c r="CN961">
        <v>16.93</v>
      </c>
      <c r="CO961">
        <v>83634</v>
      </c>
      <c r="CP961">
        <v>10606</v>
      </c>
      <c r="CQ961" t="s">
        <v>4802</v>
      </c>
      <c r="CR961">
        <v>-59.29</v>
      </c>
      <c r="CS961">
        <v>37.21</v>
      </c>
      <c r="CT961">
        <v>1.1100000000000001</v>
      </c>
      <c r="CU961">
        <v>75.75</v>
      </c>
      <c r="CV961">
        <v>0.7</v>
      </c>
      <c r="CW961">
        <v>2.15</v>
      </c>
      <c r="CX961" t="s">
        <v>1091</v>
      </c>
      <c r="CY961">
        <v>5.69</v>
      </c>
      <c r="CZ961">
        <v>0</v>
      </c>
      <c r="DA961">
        <v>3.14</v>
      </c>
      <c r="DB961">
        <v>1.31</v>
      </c>
      <c r="DC961">
        <v>0.08</v>
      </c>
      <c r="DD961">
        <v>47.31</v>
      </c>
      <c r="DE961" t="s">
        <v>5546</v>
      </c>
      <c r="DF961">
        <v>10.220000000000001</v>
      </c>
      <c r="DG961">
        <v>2.31</v>
      </c>
      <c r="DH961">
        <v>1.62</v>
      </c>
      <c r="DI961">
        <v>1.07</v>
      </c>
      <c r="DJ961">
        <v>9798</v>
      </c>
      <c r="DK961">
        <v>2567</v>
      </c>
      <c r="DL961" t="s">
        <v>120</v>
      </c>
      <c r="DM961" t="s">
        <v>120</v>
      </c>
      <c r="DN961" t="s">
        <v>120</v>
      </c>
    </row>
    <row r="962" spans="1:118">
      <c r="A962" t="str">
        <f>"002568"</f>
        <v>002568</v>
      </c>
      <c r="B962" t="s">
        <v>5547</v>
      </c>
      <c r="C962">
        <v>0.1</v>
      </c>
      <c r="D962">
        <v>0.11</v>
      </c>
      <c r="E962">
        <v>-0.39</v>
      </c>
      <c r="F962">
        <v>697</v>
      </c>
      <c r="G962" t="s">
        <v>5548</v>
      </c>
      <c r="H962">
        <v>37238.26</v>
      </c>
      <c r="I962">
        <v>212.37</v>
      </c>
      <c r="J962" t="s">
        <v>120</v>
      </c>
      <c r="K962" t="s">
        <v>5549</v>
      </c>
      <c r="L962">
        <v>1.17</v>
      </c>
      <c r="M962">
        <v>61.75</v>
      </c>
      <c r="N962">
        <v>0.75</v>
      </c>
      <c r="O962">
        <v>1.95</v>
      </c>
      <c r="P962">
        <v>62.89</v>
      </c>
      <c r="Q962">
        <v>-1.85</v>
      </c>
      <c r="R962">
        <v>60.55</v>
      </c>
      <c r="S962">
        <v>61.45</v>
      </c>
      <c r="T962">
        <v>60161</v>
      </c>
      <c r="U962">
        <v>61.75</v>
      </c>
      <c r="V962">
        <v>61.69</v>
      </c>
      <c r="W962">
        <v>62.79</v>
      </c>
      <c r="X962" t="s">
        <v>2247</v>
      </c>
      <c r="Y962" t="s">
        <v>1510</v>
      </c>
      <c r="Z962">
        <v>3.79</v>
      </c>
      <c r="AA962">
        <v>61.9</v>
      </c>
      <c r="AB962">
        <v>29131</v>
      </c>
      <c r="AC962">
        <v>31030</v>
      </c>
      <c r="AD962">
        <v>0.94</v>
      </c>
      <c r="AE962">
        <v>1</v>
      </c>
      <c r="AF962">
        <v>27</v>
      </c>
      <c r="AG962" t="s">
        <v>120</v>
      </c>
      <c r="AH962">
        <v>0.01</v>
      </c>
      <c r="AI962" t="s">
        <v>120</v>
      </c>
      <c r="AJ962">
        <v>5.12</v>
      </c>
      <c r="AK962" t="s">
        <v>5550</v>
      </c>
      <c r="AL962">
        <v>2.0099999999999998</v>
      </c>
      <c r="AM962">
        <v>3906</v>
      </c>
      <c r="AN962">
        <v>15</v>
      </c>
      <c r="AO962">
        <v>2.9999999999999997E-4</v>
      </c>
      <c r="AP962">
        <v>1</v>
      </c>
      <c r="AQ962">
        <v>-1.99</v>
      </c>
      <c r="AR962">
        <v>-2.84</v>
      </c>
      <c r="AS962">
        <v>-21.68</v>
      </c>
      <c r="AT962">
        <v>-29.19</v>
      </c>
      <c r="AU962">
        <v>-16.71</v>
      </c>
      <c r="AV962">
        <v>5</v>
      </c>
      <c r="AW962">
        <v>1.65</v>
      </c>
      <c r="AX962">
        <v>48.55</v>
      </c>
      <c r="AY962">
        <v>66.819999999999993</v>
      </c>
      <c r="AZ962">
        <v>86.37</v>
      </c>
      <c r="BA962">
        <v>1.8</v>
      </c>
      <c r="BB962" t="s">
        <v>134</v>
      </c>
      <c r="BF962">
        <v>0.34</v>
      </c>
      <c r="BG962">
        <v>0.49</v>
      </c>
      <c r="BH962">
        <v>-1.81</v>
      </c>
      <c r="BI962">
        <v>1.98</v>
      </c>
      <c r="BJ962">
        <v>20210727</v>
      </c>
      <c r="BK962">
        <v>20110325</v>
      </c>
      <c r="BL962">
        <v>7.5</v>
      </c>
      <c r="BM962" t="s">
        <v>120</v>
      </c>
      <c r="BN962" t="s">
        <v>120</v>
      </c>
      <c r="BO962">
        <v>39.86</v>
      </c>
      <c r="BP962">
        <v>61.73</v>
      </c>
      <c r="BQ962">
        <v>33.18</v>
      </c>
      <c r="BR962">
        <v>0.02</v>
      </c>
      <c r="BS962">
        <v>16.72</v>
      </c>
      <c r="BT962">
        <v>13.86</v>
      </c>
      <c r="BU962">
        <v>15.29</v>
      </c>
      <c r="BV962">
        <v>2.33</v>
      </c>
      <c r="BW962">
        <v>6.49</v>
      </c>
      <c r="BX962">
        <v>10.53</v>
      </c>
      <c r="BY962">
        <v>1.26</v>
      </c>
      <c r="BZ962">
        <v>0.96</v>
      </c>
      <c r="CA962" t="s">
        <v>120</v>
      </c>
      <c r="CB962">
        <v>19.649999999999999</v>
      </c>
      <c r="CC962">
        <v>12.12</v>
      </c>
      <c r="CD962">
        <v>4.01</v>
      </c>
      <c r="CE962">
        <v>4.75</v>
      </c>
      <c r="CF962">
        <v>0</v>
      </c>
      <c r="CG962">
        <v>4.75</v>
      </c>
      <c r="CH962">
        <v>3.68</v>
      </c>
      <c r="CI962">
        <v>3.69</v>
      </c>
      <c r="CJ962">
        <v>0.06</v>
      </c>
      <c r="CK962">
        <v>3.41</v>
      </c>
      <c r="CL962">
        <v>4.12</v>
      </c>
      <c r="CM962">
        <v>4.32</v>
      </c>
      <c r="CN962">
        <v>-4.55</v>
      </c>
      <c r="CO962">
        <v>21860</v>
      </c>
      <c r="CP962">
        <v>16653</v>
      </c>
      <c r="CQ962" t="s">
        <v>5551</v>
      </c>
      <c r="CR962">
        <v>73.94</v>
      </c>
      <c r="CS962">
        <v>53.72</v>
      </c>
      <c r="CT962">
        <v>13.96</v>
      </c>
      <c r="CU962">
        <v>107.21</v>
      </c>
      <c r="CV962">
        <v>38.21</v>
      </c>
      <c r="CW962">
        <v>0.57999999999999996</v>
      </c>
      <c r="CX962" t="s">
        <v>3347</v>
      </c>
      <c r="CY962">
        <v>4.42</v>
      </c>
      <c r="CZ962">
        <v>0</v>
      </c>
      <c r="DA962">
        <v>2.62</v>
      </c>
      <c r="DB962">
        <v>0.55000000000000004</v>
      </c>
      <c r="DC962">
        <v>0.57999999999999996</v>
      </c>
      <c r="DD962">
        <v>83.24</v>
      </c>
      <c r="DE962" t="s">
        <v>5552</v>
      </c>
      <c r="DF962">
        <v>66.94</v>
      </c>
      <c r="DG962">
        <v>39.19</v>
      </c>
      <c r="DH962">
        <v>30.43</v>
      </c>
      <c r="DI962">
        <v>0.28999999999999998</v>
      </c>
      <c r="DJ962">
        <v>1622</v>
      </c>
      <c r="DK962">
        <v>2568</v>
      </c>
      <c r="DL962" t="s">
        <v>120</v>
      </c>
      <c r="DM962" t="s">
        <v>120</v>
      </c>
      <c r="DN962" t="s">
        <v>120</v>
      </c>
    </row>
    <row r="963" spans="1:118">
      <c r="A963" t="str">
        <f>"002570"</f>
        <v>002570</v>
      </c>
      <c r="B963" t="s">
        <v>5553</v>
      </c>
      <c r="C963">
        <v>0.91</v>
      </c>
      <c r="D963">
        <v>-0.17</v>
      </c>
      <c r="E963">
        <v>-0.18</v>
      </c>
      <c r="F963">
        <v>2699</v>
      </c>
      <c r="G963" t="s">
        <v>5554</v>
      </c>
      <c r="H963">
        <v>18124.939999999999</v>
      </c>
      <c r="I963">
        <v>14.2</v>
      </c>
      <c r="J963" t="s">
        <v>120</v>
      </c>
      <c r="K963" t="s">
        <v>5555</v>
      </c>
      <c r="L963">
        <v>3.21</v>
      </c>
      <c r="M963">
        <v>5.52</v>
      </c>
      <c r="N963">
        <v>1.41</v>
      </c>
      <c r="O963">
        <v>2.0099999999999998</v>
      </c>
      <c r="P963">
        <v>5.58</v>
      </c>
      <c r="Q963">
        <v>-0.37</v>
      </c>
      <c r="R963">
        <v>5.45</v>
      </c>
      <c r="S963">
        <v>5.46</v>
      </c>
      <c r="T963">
        <v>328096</v>
      </c>
      <c r="U963">
        <v>5.53</v>
      </c>
      <c r="V963">
        <v>5.47</v>
      </c>
      <c r="W963">
        <v>84.18</v>
      </c>
      <c r="X963" t="s">
        <v>4454</v>
      </c>
      <c r="Y963" t="s">
        <v>585</v>
      </c>
      <c r="Z963">
        <v>2.38</v>
      </c>
      <c r="AA963">
        <v>5.52</v>
      </c>
      <c r="AB963">
        <v>140630</v>
      </c>
      <c r="AC963">
        <v>187466</v>
      </c>
      <c r="AD963">
        <v>0.75</v>
      </c>
      <c r="AE963">
        <v>1091</v>
      </c>
      <c r="AF963">
        <v>3899</v>
      </c>
      <c r="AG963" t="s">
        <v>120</v>
      </c>
      <c r="AH963">
        <v>0</v>
      </c>
      <c r="AI963" t="s">
        <v>120</v>
      </c>
      <c r="AJ963">
        <v>10.220000000000001</v>
      </c>
      <c r="AK963" t="s">
        <v>5555</v>
      </c>
      <c r="AL963">
        <v>2.83</v>
      </c>
      <c r="AM963">
        <v>2719</v>
      </c>
      <c r="AN963">
        <v>121</v>
      </c>
      <c r="AO963">
        <v>1.1999999999999999E-3</v>
      </c>
      <c r="AP963">
        <v>1</v>
      </c>
      <c r="AQ963">
        <v>-0.91</v>
      </c>
      <c r="AR963">
        <v>0.73</v>
      </c>
      <c r="AS963">
        <v>-5.31</v>
      </c>
      <c r="AT963">
        <v>-0.36</v>
      </c>
      <c r="AU963">
        <v>-11.26</v>
      </c>
      <c r="AV963">
        <v>8</v>
      </c>
      <c r="AW963">
        <v>4.67</v>
      </c>
      <c r="AX963">
        <v>68.77</v>
      </c>
      <c r="AY963" t="s">
        <v>120</v>
      </c>
      <c r="AZ963" t="s">
        <v>120</v>
      </c>
      <c r="BA963">
        <v>0.3</v>
      </c>
      <c r="BB963" t="s">
        <v>143</v>
      </c>
      <c r="BF963">
        <v>0.99</v>
      </c>
      <c r="BG963">
        <v>1.1000000000000001</v>
      </c>
      <c r="BH963">
        <v>-1.08</v>
      </c>
      <c r="BI963">
        <v>1.28</v>
      </c>
      <c r="BJ963">
        <v>20210731</v>
      </c>
      <c r="BK963">
        <v>20110412</v>
      </c>
      <c r="BL963">
        <v>10.23</v>
      </c>
      <c r="BM963" t="s">
        <v>120</v>
      </c>
      <c r="BN963" t="s">
        <v>120</v>
      </c>
      <c r="BO963">
        <v>41.45</v>
      </c>
      <c r="BP963">
        <v>5.52</v>
      </c>
      <c r="BQ963">
        <v>14.9</v>
      </c>
      <c r="BR963">
        <v>0.47</v>
      </c>
      <c r="BS963">
        <v>62.93</v>
      </c>
      <c r="BT963">
        <v>22.17</v>
      </c>
      <c r="BU963">
        <v>9.94</v>
      </c>
      <c r="BV963">
        <v>1.6</v>
      </c>
      <c r="BW963">
        <v>24.49</v>
      </c>
      <c r="BX963">
        <v>6.99</v>
      </c>
      <c r="BY963">
        <v>5.45</v>
      </c>
      <c r="BZ963">
        <v>7.25</v>
      </c>
      <c r="CA963" t="s">
        <v>120</v>
      </c>
      <c r="CB963">
        <v>12.48</v>
      </c>
      <c r="CC963">
        <v>11.21</v>
      </c>
      <c r="CD963">
        <v>5.2</v>
      </c>
      <c r="CE963">
        <v>0.5</v>
      </c>
      <c r="CF963">
        <v>0.03</v>
      </c>
      <c r="CG963">
        <v>0.5</v>
      </c>
      <c r="CH963">
        <v>0.38</v>
      </c>
      <c r="CI963">
        <v>0.34</v>
      </c>
      <c r="CJ963">
        <v>0.05</v>
      </c>
      <c r="CK963">
        <v>0.17</v>
      </c>
      <c r="CL963">
        <v>-9.8000000000000007</v>
      </c>
      <c r="CM963">
        <v>0.36</v>
      </c>
      <c r="CN963">
        <v>-0.32</v>
      </c>
      <c r="CO963">
        <v>108503</v>
      </c>
      <c r="CP963">
        <v>6481</v>
      </c>
      <c r="CQ963" t="s">
        <v>5490</v>
      </c>
      <c r="CR963">
        <v>-21.85</v>
      </c>
      <c r="CS963">
        <v>-24.59</v>
      </c>
      <c r="CT963">
        <v>3.79</v>
      </c>
      <c r="CU963">
        <v>155.34</v>
      </c>
      <c r="CV963">
        <v>5.03</v>
      </c>
      <c r="CW963">
        <v>0</v>
      </c>
      <c r="CX963" t="s">
        <v>2074</v>
      </c>
      <c r="CY963">
        <v>1.46</v>
      </c>
      <c r="CZ963">
        <v>0</v>
      </c>
      <c r="DA963">
        <v>1.22</v>
      </c>
      <c r="DB963">
        <v>-0.96</v>
      </c>
      <c r="DC963">
        <v>0.04</v>
      </c>
      <c r="DD963">
        <v>35.93</v>
      </c>
      <c r="DE963" t="s">
        <v>2649</v>
      </c>
      <c r="DF963">
        <v>53.6</v>
      </c>
      <c r="DG963">
        <v>4.4800000000000004</v>
      </c>
      <c r="DH963">
        <v>2.99</v>
      </c>
      <c r="DI963">
        <v>0.15</v>
      </c>
      <c r="DJ963">
        <v>2111</v>
      </c>
      <c r="DK963">
        <v>2570</v>
      </c>
      <c r="DL963" t="s">
        <v>120</v>
      </c>
      <c r="DM963" t="s">
        <v>120</v>
      </c>
      <c r="DN963" t="s">
        <v>120</v>
      </c>
    </row>
    <row r="964" spans="1:118">
      <c r="A964" t="str">
        <f>"002571"</f>
        <v>002571</v>
      </c>
      <c r="B964" t="s">
        <v>5556</v>
      </c>
      <c r="C964">
        <v>-4.2699999999999996</v>
      </c>
      <c r="D964">
        <v>0</v>
      </c>
      <c r="E964">
        <v>0</v>
      </c>
      <c r="F964">
        <v>1056</v>
      </c>
      <c r="G964" t="s">
        <v>5557</v>
      </c>
      <c r="H964">
        <v>6971.45</v>
      </c>
      <c r="I964">
        <v>46.4</v>
      </c>
      <c r="J964" t="s">
        <v>120</v>
      </c>
      <c r="K964" t="s">
        <v>5558</v>
      </c>
      <c r="L964">
        <v>3.07</v>
      </c>
      <c r="M964">
        <v>7.39</v>
      </c>
      <c r="N964">
        <v>0.88</v>
      </c>
      <c r="O964">
        <v>1.68</v>
      </c>
      <c r="P964">
        <v>7.85</v>
      </c>
      <c r="Q964">
        <v>-4.53</v>
      </c>
      <c r="R964">
        <v>7.37</v>
      </c>
      <c r="S964">
        <v>7.72</v>
      </c>
      <c r="T964">
        <v>91448</v>
      </c>
      <c r="U964">
        <v>7.4</v>
      </c>
      <c r="V964">
        <v>7.72</v>
      </c>
      <c r="W964">
        <v>84.97</v>
      </c>
      <c r="X964" t="s">
        <v>191</v>
      </c>
      <c r="Y964" t="s">
        <v>570</v>
      </c>
      <c r="Z964">
        <v>6.22</v>
      </c>
      <c r="AA964">
        <v>7.62</v>
      </c>
      <c r="AB964">
        <v>57519</v>
      </c>
      <c r="AC964">
        <v>33929</v>
      </c>
      <c r="AD964">
        <v>1.7</v>
      </c>
      <c r="AE964">
        <v>567</v>
      </c>
      <c r="AF964">
        <v>109</v>
      </c>
      <c r="AG964" t="s">
        <v>120</v>
      </c>
      <c r="AH964">
        <v>0.03</v>
      </c>
      <c r="AI964" t="s">
        <v>120</v>
      </c>
      <c r="AJ964">
        <v>2.98</v>
      </c>
      <c r="AK964" t="s">
        <v>5559</v>
      </c>
      <c r="AL964">
        <v>-2.36</v>
      </c>
      <c r="AM964">
        <v>2192</v>
      </c>
      <c r="AN964">
        <v>42</v>
      </c>
      <c r="AO964">
        <v>1.4E-3</v>
      </c>
      <c r="AP964">
        <v>-1</v>
      </c>
      <c r="AQ964">
        <v>0.52</v>
      </c>
      <c r="AR964">
        <v>-7.74</v>
      </c>
      <c r="AS964">
        <v>1.37</v>
      </c>
      <c r="AT964">
        <v>5.27</v>
      </c>
      <c r="AU964">
        <v>-27.12</v>
      </c>
      <c r="AV964">
        <v>4</v>
      </c>
      <c r="AW964">
        <v>4.43</v>
      </c>
      <c r="AX964">
        <v>52.63</v>
      </c>
      <c r="AY964">
        <v>115.59</v>
      </c>
      <c r="AZ964">
        <v>588.20000000000005</v>
      </c>
      <c r="BA964">
        <v>0.57999999999999996</v>
      </c>
      <c r="BB964" t="s">
        <v>143</v>
      </c>
      <c r="BF964">
        <v>-1.25</v>
      </c>
      <c r="BG964">
        <v>-4.2699999999999996</v>
      </c>
      <c r="BH964">
        <v>-5.86</v>
      </c>
      <c r="BI964">
        <v>0.27</v>
      </c>
      <c r="BJ964">
        <v>20210826</v>
      </c>
      <c r="BK964">
        <v>20110412</v>
      </c>
      <c r="BL964">
        <v>3.92</v>
      </c>
      <c r="BM964" t="s">
        <v>120</v>
      </c>
      <c r="BN964" t="s">
        <v>120</v>
      </c>
      <c r="BO964">
        <v>20.76</v>
      </c>
      <c r="BP964">
        <v>7.39</v>
      </c>
      <c r="BQ964">
        <v>14.58</v>
      </c>
      <c r="BR964">
        <v>0.3</v>
      </c>
      <c r="BS964">
        <v>28.34</v>
      </c>
      <c r="BT964">
        <v>7.15</v>
      </c>
      <c r="BU964">
        <v>4.8499999999999996</v>
      </c>
      <c r="BV964">
        <v>0.75</v>
      </c>
      <c r="BW964">
        <v>5.43</v>
      </c>
      <c r="BX964">
        <v>1.63</v>
      </c>
      <c r="BY964">
        <v>3.5</v>
      </c>
      <c r="BZ964">
        <v>1.1499999999999999</v>
      </c>
      <c r="CA964" t="s">
        <v>120</v>
      </c>
      <c r="CB964">
        <v>9.1</v>
      </c>
      <c r="CC964">
        <v>4.5</v>
      </c>
      <c r="CD964">
        <v>3.81</v>
      </c>
      <c r="CE964">
        <v>0.2</v>
      </c>
      <c r="CF964">
        <v>0.23</v>
      </c>
      <c r="CG964">
        <v>0.22</v>
      </c>
      <c r="CH964">
        <v>0.17</v>
      </c>
      <c r="CI964">
        <v>0.17</v>
      </c>
      <c r="CJ964">
        <v>-0.33</v>
      </c>
      <c r="CK964">
        <v>0.03</v>
      </c>
      <c r="CL964">
        <v>0.62</v>
      </c>
      <c r="CM964">
        <v>0.41</v>
      </c>
      <c r="CN964">
        <v>-0.79</v>
      </c>
      <c r="CO964">
        <v>26389</v>
      </c>
      <c r="CP964">
        <v>7817</v>
      </c>
      <c r="CQ964" t="s">
        <v>5560</v>
      </c>
      <c r="CR964">
        <v>527.46</v>
      </c>
      <c r="CS964">
        <v>39.42</v>
      </c>
      <c r="CT964">
        <v>1.99</v>
      </c>
      <c r="CU964">
        <v>70.16</v>
      </c>
      <c r="CV964">
        <v>6.44</v>
      </c>
      <c r="CW964">
        <v>0</v>
      </c>
      <c r="CX964" t="s">
        <v>2831</v>
      </c>
      <c r="CY964">
        <v>3.72</v>
      </c>
      <c r="CZ964">
        <v>0</v>
      </c>
      <c r="DA964">
        <v>2.3199999999999998</v>
      </c>
      <c r="DB964">
        <v>0.16</v>
      </c>
      <c r="DC964">
        <v>0.11</v>
      </c>
      <c r="DD964">
        <v>70.22</v>
      </c>
      <c r="DE964" t="s">
        <v>1921</v>
      </c>
      <c r="DF964">
        <v>15.36</v>
      </c>
      <c r="DG964">
        <v>4.51</v>
      </c>
      <c r="DH964">
        <v>3.79</v>
      </c>
      <c r="DI964">
        <v>0.01</v>
      </c>
      <c r="DJ964">
        <v>2117</v>
      </c>
      <c r="DK964">
        <v>2571</v>
      </c>
      <c r="DL964" t="s">
        <v>120</v>
      </c>
      <c r="DM964" t="s">
        <v>120</v>
      </c>
      <c r="DN964" t="s">
        <v>120</v>
      </c>
    </row>
    <row r="965" spans="1:118">
      <c r="A965" t="str">
        <f>"002572"</f>
        <v>002572</v>
      </c>
      <c r="B965" t="s">
        <v>5561</v>
      </c>
      <c r="C965">
        <v>-3.53</v>
      </c>
      <c r="D965">
        <v>0.46</v>
      </c>
      <c r="E965">
        <v>-0.11</v>
      </c>
      <c r="F965">
        <v>2770</v>
      </c>
      <c r="G965" t="s">
        <v>5562</v>
      </c>
      <c r="H965">
        <v>31078.55</v>
      </c>
      <c r="I965">
        <v>154.57</v>
      </c>
      <c r="J965" t="s">
        <v>120</v>
      </c>
      <c r="K965" t="s">
        <v>5563</v>
      </c>
      <c r="L965">
        <v>2.77</v>
      </c>
      <c r="M965">
        <v>17.48</v>
      </c>
      <c r="N965">
        <v>1.36</v>
      </c>
      <c r="O965">
        <v>0.22</v>
      </c>
      <c r="P965">
        <v>18.16</v>
      </c>
      <c r="Q965">
        <v>-4.25</v>
      </c>
      <c r="R965">
        <v>17.350000000000001</v>
      </c>
      <c r="S965">
        <v>18.100000000000001</v>
      </c>
      <c r="T965">
        <v>175473</v>
      </c>
      <c r="U965">
        <v>17.48</v>
      </c>
      <c r="V965">
        <v>18.12</v>
      </c>
      <c r="W965">
        <v>17.88</v>
      </c>
      <c r="X965" t="s">
        <v>2409</v>
      </c>
      <c r="Y965" t="s">
        <v>547</v>
      </c>
      <c r="Z965">
        <v>4.47</v>
      </c>
      <c r="AA965">
        <v>17.71</v>
      </c>
      <c r="AB965">
        <v>106938</v>
      </c>
      <c r="AC965">
        <v>68535</v>
      </c>
      <c r="AD965">
        <v>1.56</v>
      </c>
      <c r="AE965">
        <v>12</v>
      </c>
      <c r="AF965">
        <v>809</v>
      </c>
      <c r="AG965" t="s">
        <v>120</v>
      </c>
      <c r="AH965">
        <v>0.02</v>
      </c>
      <c r="AI965" t="s">
        <v>120</v>
      </c>
      <c r="AJ965">
        <v>6.33</v>
      </c>
      <c r="AK965" t="s">
        <v>5564</v>
      </c>
      <c r="AL965">
        <v>-1.62</v>
      </c>
      <c r="AM965">
        <v>4237</v>
      </c>
      <c r="AN965">
        <v>41</v>
      </c>
      <c r="AO965">
        <v>6.9999999999999999E-4</v>
      </c>
      <c r="AP965">
        <v>-4</v>
      </c>
      <c r="AQ965">
        <v>-3.15</v>
      </c>
      <c r="AR965">
        <v>-9.7100000000000009</v>
      </c>
      <c r="AS965">
        <v>-12.34</v>
      </c>
      <c r="AT965">
        <v>-27.04</v>
      </c>
      <c r="AU965">
        <v>-30.91</v>
      </c>
      <c r="AV965">
        <v>1</v>
      </c>
      <c r="AW965">
        <v>3.24</v>
      </c>
      <c r="AX965">
        <v>59.36</v>
      </c>
      <c r="AY965">
        <v>12.76</v>
      </c>
      <c r="AZ965">
        <v>13.87</v>
      </c>
      <c r="BA965">
        <v>0.79</v>
      </c>
      <c r="BB965" t="s">
        <v>240</v>
      </c>
      <c r="BF965">
        <v>-2.2599999999999998</v>
      </c>
      <c r="BG965">
        <v>-3.43</v>
      </c>
      <c r="BH965">
        <v>-3.74</v>
      </c>
      <c r="BI965">
        <v>0.75</v>
      </c>
      <c r="BJ965">
        <v>20210901</v>
      </c>
      <c r="BK965">
        <v>20110412</v>
      </c>
      <c r="BL965">
        <v>9.1199999999999992</v>
      </c>
      <c r="BM965" t="s">
        <v>120</v>
      </c>
      <c r="BN965" t="s">
        <v>120</v>
      </c>
      <c r="BO965">
        <v>116.2</v>
      </c>
      <c r="BP965">
        <v>17.45</v>
      </c>
      <c r="BQ965">
        <v>60.38</v>
      </c>
      <c r="BR965">
        <v>4.84</v>
      </c>
      <c r="BS965">
        <v>43.88</v>
      </c>
      <c r="BT965">
        <v>59.86</v>
      </c>
      <c r="BU965">
        <v>30.36</v>
      </c>
      <c r="BV965">
        <v>5.48</v>
      </c>
      <c r="BW965">
        <v>43.96</v>
      </c>
      <c r="BX965">
        <v>21.45</v>
      </c>
      <c r="BY965">
        <v>6.61</v>
      </c>
      <c r="BZ965">
        <v>8.75</v>
      </c>
      <c r="CA965" t="s">
        <v>120</v>
      </c>
      <c r="CB965">
        <v>13.06</v>
      </c>
      <c r="CC965">
        <v>43</v>
      </c>
      <c r="CD965">
        <v>28.06</v>
      </c>
      <c r="CE965">
        <v>5.41</v>
      </c>
      <c r="CF965">
        <v>0.25</v>
      </c>
      <c r="CG965">
        <v>5.4</v>
      </c>
      <c r="CH965">
        <v>4.55</v>
      </c>
      <c r="CI965">
        <v>4.46</v>
      </c>
      <c r="CJ965">
        <v>-0.64</v>
      </c>
      <c r="CK965">
        <v>4.08</v>
      </c>
      <c r="CL965">
        <v>33.94</v>
      </c>
      <c r="CM965">
        <v>0.86</v>
      </c>
      <c r="CN965">
        <v>-4.32</v>
      </c>
      <c r="CO965">
        <v>56028</v>
      </c>
      <c r="CP965">
        <v>9666</v>
      </c>
      <c r="CQ965" t="s">
        <v>5565</v>
      </c>
      <c r="CR965">
        <v>30.12</v>
      </c>
      <c r="CS965">
        <v>68.3</v>
      </c>
      <c r="CT965">
        <v>2.64</v>
      </c>
      <c r="CU965">
        <v>186.48</v>
      </c>
      <c r="CV965">
        <v>3.71</v>
      </c>
      <c r="CW965">
        <v>3.31</v>
      </c>
      <c r="CX965" t="s">
        <v>5566</v>
      </c>
      <c r="CY965">
        <v>6.62</v>
      </c>
      <c r="CZ965">
        <v>0</v>
      </c>
      <c r="DA965">
        <v>1.43</v>
      </c>
      <c r="DB965">
        <v>3.72</v>
      </c>
      <c r="DC965">
        <v>0.09</v>
      </c>
      <c r="DD965">
        <v>51.96</v>
      </c>
      <c r="DE965" t="s">
        <v>3560</v>
      </c>
      <c r="DF965">
        <v>34.74</v>
      </c>
      <c r="DG965">
        <v>12.58</v>
      </c>
      <c r="DH965">
        <v>10.37</v>
      </c>
      <c r="DI965">
        <v>1.29</v>
      </c>
      <c r="DJ965">
        <v>13166</v>
      </c>
      <c r="DK965">
        <v>2572</v>
      </c>
      <c r="DL965" t="s">
        <v>120</v>
      </c>
      <c r="DM965" t="s">
        <v>120</v>
      </c>
      <c r="DN965" t="s">
        <v>120</v>
      </c>
    </row>
    <row r="966" spans="1:118">
      <c r="A966" t="str">
        <f>"002573"</f>
        <v>002573</v>
      </c>
      <c r="B966" t="s">
        <v>5567</v>
      </c>
      <c r="C966">
        <v>-4.17</v>
      </c>
      <c r="D966">
        <v>0.3</v>
      </c>
      <c r="E966">
        <v>-1.01</v>
      </c>
      <c r="F966">
        <v>5127</v>
      </c>
      <c r="G966" t="s">
        <v>5568</v>
      </c>
      <c r="H966">
        <v>22512.71</v>
      </c>
      <c r="I966">
        <v>125.6</v>
      </c>
      <c r="J966" t="s">
        <v>120</v>
      </c>
      <c r="K966" t="s">
        <v>5569</v>
      </c>
      <c r="L966">
        <v>3.09</v>
      </c>
      <c r="M966">
        <v>6.67</v>
      </c>
      <c r="N966">
        <v>0.91</v>
      </c>
      <c r="O966">
        <v>0</v>
      </c>
      <c r="P966">
        <v>6.96</v>
      </c>
      <c r="Q966">
        <v>-4.74</v>
      </c>
      <c r="R966">
        <v>6.63</v>
      </c>
      <c r="S966">
        <v>6.89</v>
      </c>
      <c r="T966">
        <v>333266</v>
      </c>
      <c r="U966">
        <v>6.67</v>
      </c>
      <c r="V966">
        <v>6.96</v>
      </c>
      <c r="W966">
        <v>28.5</v>
      </c>
      <c r="X966" t="s">
        <v>318</v>
      </c>
      <c r="Y966" t="s">
        <v>158</v>
      </c>
      <c r="Z966">
        <v>4.74</v>
      </c>
      <c r="AA966">
        <v>6.76</v>
      </c>
      <c r="AB966">
        <v>200581</v>
      </c>
      <c r="AC966">
        <v>132685</v>
      </c>
      <c r="AD966">
        <v>1.51</v>
      </c>
      <c r="AE966">
        <v>103</v>
      </c>
      <c r="AF966">
        <v>1222</v>
      </c>
      <c r="AG966" t="s">
        <v>120</v>
      </c>
      <c r="AH966">
        <v>0.03</v>
      </c>
      <c r="AI966" t="s">
        <v>120</v>
      </c>
      <c r="AJ966">
        <v>10.79</v>
      </c>
      <c r="AK966" t="s">
        <v>5570</v>
      </c>
      <c r="AL966">
        <v>-2.25</v>
      </c>
      <c r="AM966">
        <v>3456</v>
      </c>
      <c r="AN966">
        <v>96</v>
      </c>
      <c r="AO966">
        <v>8.9999999999999998E-4</v>
      </c>
      <c r="AP966">
        <v>-1</v>
      </c>
      <c r="AQ966">
        <v>3.88</v>
      </c>
      <c r="AR966">
        <v>-0.75</v>
      </c>
      <c r="AS966">
        <v>35.020000000000003</v>
      </c>
      <c r="AT966">
        <v>25.61</v>
      </c>
      <c r="AU966">
        <v>26.33</v>
      </c>
      <c r="AV966">
        <v>2</v>
      </c>
      <c r="AW966">
        <v>5.9</v>
      </c>
      <c r="AX966">
        <v>40.24</v>
      </c>
      <c r="AY966">
        <v>40.44</v>
      </c>
      <c r="AZ966">
        <v>46.52</v>
      </c>
      <c r="BA966">
        <v>0.28999999999999998</v>
      </c>
      <c r="BB966" t="s">
        <v>168</v>
      </c>
      <c r="BF966">
        <v>-2.94</v>
      </c>
      <c r="BG966">
        <v>-3.19</v>
      </c>
      <c r="BH966">
        <v>-4.17</v>
      </c>
      <c r="BI966">
        <v>0.6</v>
      </c>
      <c r="BJ966">
        <v>20210824</v>
      </c>
      <c r="BK966">
        <v>20110422</v>
      </c>
      <c r="BL966">
        <v>14.04</v>
      </c>
      <c r="BM966" t="s">
        <v>120</v>
      </c>
      <c r="BN966" t="s">
        <v>120</v>
      </c>
      <c r="BO966">
        <v>128.56</v>
      </c>
      <c r="BP966">
        <v>6.66</v>
      </c>
      <c r="BQ966">
        <v>62.68</v>
      </c>
      <c r="BR966">
        <v>2.1800000000000002</v>
      </c>
      <c r="BS966">
        <v>49.55</v>
      </c>
      <c r="BT966">
        <v>67.989999999999995</v>
      </c>
      <c r="BU966">
        <v>41.15</v>
      </c>
      <c r="BV966">
        <v>5.24</v>
      </c>
      <c r="BW966">
        <v>41.28</v>
      </c>
      <c r="BX966">
        <v>17.350000000000001</v>
      </c>
      <c r="BY966">
        <v>11.02</v>
      </c>
      <c r="BZ966">
        <v>22.41</v>
      </c>
      <c r="CA966" t="s">
        <v>120</v>
      </c>
      <c r="CB966">
        <v>21.01</v>
      </c>
      <c r="CC966">
        <v>16.55</v>
      </c>
      <c r="CD966">
        <v>12.82</v>
      </c>
      <c r="CE966">
        <v>1.94</v>
      </c>
      <c r="CF966">
        <v>0.13</v>
      </c>
      <c r="CG966">
        <v>1.95</v>
      </c>
      <c r="CH966">
        <v>1.74</v>
      </c>
      <c r="CI966">
        <v>1.64</v>
      </c>
      <c r="CJ966">
        <v>-0.28999999999999998</v>
      </c>
      <c r="CK966">
        <v>1.64</v>
      </c>
      <c r="CL966">
        <v>24.34</v>
      </c>
      <c r="CM966">
        <v>1.57</v>
      </c>
      <c r="CN966">
        <v>14.56</v>
      </c>
      <c r="CO966">
        <v>60031</v>
      </c>
      <c r="CP966">
        <v>9410</v>
      </c>
      <c r="CQ966" t="s">
        <v>5571</v>
      </c>
      <c r="CR966">
        <v>23.77</v>
      </c>
      <c r="CS966">
        <v>35.26</v>
      </c>
      <c r="CT966">
        <v>1.49</v>
      </c>
      <c r="CU966">
        <v>59.59</v>
      </c>
      <c r="CV966">
        <v>5.66</v>
      </c>
      <c r="CW966">
        <v>1.44</v>
      </c>
      <c r="CX966" t="s">
        <v>986</v>
      </c>
      <c r="CY966">
        <v>4.47</v>
      </c>
      <c r="CZ966">
        <v>0</v>
      </c>
      <c r="DA966">
        <v>1.5</v>
      </c>
      <c r="DB966">
        <v>1.73</v>
      </c>
      <c r="DC966">
        <v>0.11</v>
      </c>
      <c r="DD966">
        <v>48.76</v>
      </c>
      <c r="DE966" t="s">
        <v>5572</v>
      </c>
      <c r="DF966">
        <v>22.54</v>
      </c>
      <c r="DG966">
        <v>11.71</v>
      </c>
      <c r="DH966">
        <v>9.92</v>
      </c>
      <c r="DI966">
        <v>0.15</v>
      </c>
      <c r="DJ966">
        <v>1854</v>
      </c>
      <c r="DK966">
        <v>2573</v>
      </c>
      <c r="DL966">
        <v>20210831</v>
      </c>
      <c r="DM966">
        <v>5.65</v>
      </c>
      <c r="DN966">
        <v>18.05</v>
      </c>
    </row>
    <row r="967" spans="1:118">
      <c r="A967" t="str">
        <f>"002574"</f>
        <v>002574</v>
      </c>
      <c r="B967" t="s">
        <v>5573</v>
      </c>
      <c r="C967">
        <v>-1.97</v>
      </c>
      <c r="D967">
        <v>0.17</v>
      </c>
      <c r="E967">
        <v>0.82</v>
      </c>
      <c r="F967">
        <v>2664</v>
      </c>
      <c r="G967" t="s">
        <v>5574</v>
      </c>
      <c r="H967">
        <v>8653.33</v>
      </c>
      <c r="I967">
        <v>108.73</v>
      </c>
      <c r="J967" t="s">
        <v>120</v>
      </c>
      <c r="K967" t="s">
        <v>5575</v>
      </c>
      <c r="L967">
        <v>2.72</v>
      </c>
      <c r="M967">
        <v>5.98</v>
      </c>
      <c r="N967">
        <v>0.68</v>
      </c>
      <c r="O967">
        <v>1.48</v>
      </c>
      <c r="P967">
        <v>6.19</v>
      </c>
      <c r="Q967">
        <v>-2.62</v>
      </c>
      <c r="R967">
        <v>5.94</v>
      </c>
      <c r="S967">
        <v>6.15</v>
      </c>
      <c r="T967">
        <v>143551</v>
      </c>
      <c r="U967">
        <v>5.98</v>
      </c>
      <c r="V967">
        <v>6.1</v>
      </c>
      <c r="W967">
        <v>4.37</v>
      </c>
      <c r="X967" t="s">
        <v>2806</v>
      </c>
      <c r="Y967" t="s">
        <v>585</v>
      </c>
      <c r="Z967">
        <v>4.0999999999999996</v>
      </c>
      <c r="AA967">
        <v>6.03</v>
      </c>
      <c r="AB967">
        <v>78288</v>
      </c>
      <c r="AC967">
        <v>65263</v>
      </c>
      <c r="AD967">
        <v>1.2</v>
      </c>
      <c r="AE967">
        <v>529</v>
      </c>
      <c r="AF967">
        <v>87</v>
      </c>
      <c r="AG967" t="s">
        <v>120</v>
      </c>
      <c r="AH967">
        <v>7.0000000000000007E-2</v>
      </c>
      <c r="AI967" t="s">
        <v>120</v>
      </c>
      <c r="AJ967">
        <v>5.28</v>
      </c>
      <c r="AK967" t="s">
        <v>5575</v>
      </c>
      <c r="AL967">
        <v>-0.05</v>
      </c>
      <c r="AM967">
        <v>2562</v>
      </c>
      <c r="AN967">
        <v>56</v>
      </c>
      <c r="AO967">
        <v>1.1000000000000001E-3</v>
      </c>
      <c r="AP967">
        <v>-1</v>
      </c>
      <c r="AQ967">
        <v>4.0999999999999996</v>
      </c>
      <c r="AR967">
        <v>-1.81</v>
      </c>
      <c r="AS967">
        <v>26.96</v>
      </c>
      <c r="AT967">
        <v>35.909999999999997</v>
      </c>
      <c r="AU967">
        <v>29.43</v>
      </c>
      <c r="AV967">
        <v>3</v>
      </c>
      <c r="AW967">
        <v>5.77</v>
      </c>
      <c r="AX967">
        <v>47.11</v>
      </c>
      <c r="AY967">
        <v>35.75</v>
      </c>
      <c r="AZ967" t="s">
        <v>120</v>
      </c>
      <c r="BA967">
        <v>0.03</v>
      </c>
      <c r="BB967" t="s">
        <v>184</v>
      </c>
      <c r="BF967">
        <v>-1.18</v>
      </c>
      <c r="BG967">
        <v>-2.76</v>
      </c>
      <c r="BH967">
        <v>-3.39</v>
      </c>
      <c r="BI967">
        <v>0.67</v>
      </c>
      <c r="BJ967">
        <v>20210830</v>
      </c>
      <c r="BK967">
        <v>20110422</v>
      </c>
      <c r="BL967">
        <v>5.28</v>
      </c>
      <c r="BM967" t="s">
        <v>120</v>
      </c>
      <c r="BN967" t="s">
        <v>120</v>
      </c>
      <c r="BO967">
        <v>43.8</v>
      </c>
      <c r="BP967">
        <v>5.97</v>
      </c>
      <c r="BQ967">
        <v>33.14</v>
      </c>
      <c r="BR967">
        <v>0.11</v>
      </c>
      <c r="BS967">
        <v>24.08</v>
      </c>
      <c r="BT967">
        <v>39.270000000000003</v>
      </c>
      <c r="BU967">
        <v>1.77</v>
      </c>
      <c r="BV967">
        <v>0.49</v>
      </c>
      <c r="BW967">
        <v>7.93</v>
      </c>
      <c r="BX967">
        <v>11.53</v>
      </c>
      <c r="BY967">
        <v>14.92</v>
      </c>
      <c r="BZ967">
        <v>2.92</v>
      </c>
      <c r="CA967">
        <v>0.01</v>
      </c>
      <c r="CB967">
        <v>16.510000000000002</v>
      </c>
      <c r="CC967">
        <v>20.190000000000001</v>
      </c>
      <c r="CD967">
        <v>17.940000000000001</v>
      </c>
      <c r="CE967">
        <v>4.97</v>
      </c>
      <c r="CF967">
        <v>-0.24</v>
      </c>
      <c r="CG967">
        <v>4.97</v>
      </c>
      <c r="CH967">
        <v>3.61</v>
      </c>
      <c r="CI967">
        <v>3.61</v>
      </c>
      <c r="CJ967">
        <v>-0.12</v>
      </c>
      <c r="CK967">
        <v>0.14000000000000001</v>
      </c>
      <c r="CL967">
        <v>10.16</v>
      </c>
      <c r="CM967">
        <v>2.2999999999999998</v>
      </c>
      <c r="CN967">
        <v>2.33</v>
      </c>
      <c r="CO967">
        <v>24879</v>
      </c>
      <c r="CP967">
        <v>9998</v>
      </c>
      <c r="CQ967" t="s">
        <v>5406</v>
      </c>
      <c r="CR967">
        <v>2448.66</v>
      </c>
      <c r="CS967">
        <v>57.43</v>
      </c>
      <c r="CT967">
        <v>0.95</v>
      </c>
      <c r="CU967">
        <v>13.72</v>
      </c>
      <c r="CV967">
        <v>1.56</v>
      </c>
      <c r="CW967">
        <v>0</v>
      </c>
      <c r="CX967" t="s">
        <v>527</v>
      </c>
      <c r="CY967">
        <v>6.28</v>
      </c>
      <c r="CZ967">
        <v>0</v>
      </c>
      <c r="DA967">
        <v>3.13</v>
      </c>
      <c r="DB967">
        <v>1.92</v>
      </c>
      <c r="DC967">
        <v>0.44</v>
      </c>
      <c r="DD967">
        <v>75.66</v>
      </c>
      <c r="DE967" t="s">
        <v>5576</v>
      </c>
      <c r="DF967">
        <v>11.13</v>
      </c>
      <c r="DG967">
        <v>24.6</v>
      </c>
      <c r="DH967">
        <v>17.899999999999999</v>
      </c>
      <c r="DI967">
        <v>0</v>
      </c>
      <c r="DJ967">
        <v>947</v>
      </c>
      <c r="DK967">
        <v>2574</v>
      </c>
      <c r="DL967" t="s">
        <v>120</v>
      </c>
      <c r="DM967" t="s">
        <v>120</v>
      </c>
      <c r="DN967" t="s">
        <v>120</v>
      </c>
    </row>
    <row r="968" spans="1:118">
      <c r="A968" t="str">
        <f>"002576"</f>
        <v>002576</v>
      </c>
      <c r="B968" t="s">
        <v>5577</v>
      </c>
      <c r="C968">
        <v>-0.89</v>
      </c>
      <c r="D968">
        <v>0.13</v>
      </c>
      <c r="E968">
        <v>2.36</v>
      </c>
      <c r="F968">
        <v>1171</v>
      </c>
      <c r="G968" t="s">
        <v>5578</v>
      </c>
      <c r="H968">
        <v>27439.66</v>
      </c>
      <c r="I968">
        <v>429.28</v>
      </c>
      <c r="J968" t="s">
        <v>120</v>
      </c>
      <c r="K968" t="s">
        <v>5579</v>
      </c>
      <c r="L968">
        <v>10.51</v>
      </c>
      <c r="M968">
        <v>15.55</v>
      </c>
      <c r="N968">
        <v>1.7</v>
      </c>
      <c r="O968">
        <v>4.78</v>
      </c>
      <c r="P968">
        <v>16.440000000000001</v>
      </c>
      <c r="Q968">
        <v>-2.1</v>
      </c>
      <c r="R968">
        <v>15.36</v>
      </c>
      <c r="S968">
        <v>16.059999999999999</v>
      </c>
      <c r="T968">
        <v>172806</v>
      </c>
      <c r="U968">
        <v>15.57</v>
      </c>
      <c r="V968">
        <v>15.69</v>
      </c>
      <c r="W968">
        <v>20.45</v>
      </c>
      <c r="X968" t="s">
        <v>394</v>
      </c>
      <c r="Y968" t="s">
        <v>319</v>
      </c>
      <c r="Z968">
        <v>6.88</v>
      </c>
      <c r="AA968">
        <v>15.88</v>
      </c>
      <c r="AB968">
        <v>89939</v>
      </c>
      <c r="AC968">
        <v>82867</v>
      </c>
      <c r="AD968">
        <v>1.0900000000000001</v>
      </c>
      <c r="AE968">
        <v>559</v>
      </c>
      <c r="AF968">
        <v>25</v>
      </c>
      <c r="AG968" t="s">
        <v>120</v>
      </c>
      <c r="AH968">
        <v>0.27</v>
      </c>
      <c r="AI968" t="s">
        <v>120</v>
      </c>
      <c r="AJ968">
        <v>1.64</v>
      </c>
      <c r="AK968" t="s">
        <v>5580</v>
      </c>
      <c r="AL968">
        <v>1.02</v>
      </c>
      <c r="AM968">
        <v>3655</v>
      </c>
      <c r="AN968">
        <v>47</v>
      </c>
      <c r="AO968">
        <v>2.8999999999999998E-3</v>
      </c>
      <c r="AP968">
        <v>-1</v>
      </c>
      <c r="AQ968">
        <v>10.029999999999999</v>
      </c>
      <c r="AR968">
        <v>2.71</v>
      </c>
      <c r="AS968">
        <v>24.1</v>
      </c>
      <c r="AT968">
        <v>38.1</v>
      </c>
      <c r="AU968">
        <v>35.81</v>
      </c>
      <c r="AV968">
        <v>4</v>
      </c>
      <c r="AW968">
        <v>17.2</v>
      </c>
      <c r="AX968">
        <v>60.86</v>
      </c>
      <c r="AY968">
        <v>22.05</v>
      </c>
      <c r="AZ968">
        <v>29.01</v>
      </c>
      <c r="BA968">
        <v>0.69</v>
      </c>
      <c r="BB968" t="s">
        <v>168</v>
      </c>
      <c r="BF968">
        <v>1.2</v>
      </c>
      <c r="BG968">
        <v>-3.18</v>
      </c>
      <c r="BH968">
        <v>-5.41</v>
      </c>
      <c r="BI968">
        <v>1.24</v>
      </c>
      <c r="BJ968">
        <v>20210827</v>
      </c>
      <c r="BK968">
        <v>20110428</v>
      </c>
      <c r="BL968">
        <v>1.65</v>
      </c>
      <c r="BM968" t="s">
        <v>120</v>
      </c>
      <c r="BN968" t="s">
        <v>120</v>
      </c>
      <c r="BO968">
        <v>16.79</v>
      </c>
      <c r="BP968">
        <v>15.55</v>
      </c>
      <c r="BQ968">
        <v>10.24</v>
      </c>
      <c r="BR968">
        <v>-0.1</v>
      </c>
      <c r="BS968">
        <v>39.64</v>
      </c>
      <c r="BT968">
        <v>13.97</v>
      </c>
      <c r="BU968">
        <v>2.0499999999999998</v>
      </c>
      <c r="BV968">
        <v>0.41</v>
      </c>
      <c r="BW968">
        <v>6.57</v>
      </c>
      <c r="BX968">
        <v>2.38</v>
      </c>
      <c r="BY968">
        <v>3.44</v>
      </c>
      <c r="BZ968">
        <v>3.84</v>
      </c>
      <c r="CA968">
        <v>0</v>
      </c>
      <c r="CB968">
        <v>5.47</v>
      </c>
      <c r="CC968">
        <v>9.59</v>
      </c>
      <c r="CD968">
        <v>8.14</v>
      </c>
      <c r="CE968">
        <v>0.71</v>
      </c>
      <c r="CF968">
        <v>0.01</v>
      </c>
      <c r="CG968">
        <v>0.72</v>
      </c>
      <c r="CH968">
        <v>0.62</v>
      </c>
      <c r="CI968">
        <v>0.63</v>
      </c>
      <c r="CJ968">
        <v>-0.14000000000000001</v>
      </c>
      <c r="CK968">
        <v>0.61</v>
      </c>
      <c r="CL968">
        <v>2.87</v>
      </c>
      <c r="CM968">
        <v>0.3</v>
      </c>
      <c r="CN968">
        <v>0.23</v>
      </c>
      <c r="CO968">
        <v>19264</v>
      </c>
      <c r="CP968">
        <v>5216</v>
      </c>
      <c r="CQ968" t="s">
        <v>5581</v>
      </c>
      <c r="CR968">
        <v>81.5</v>
      </c>
      <c r="CS968">
        <v>33.159999999999997</v>
      </c>
      <c r="CT968">
        <v>2.5099999999999998</v>
      </c>
      <c r="CU968">
        <v>85.88</v>
      </c>
      <c r="CV968">
        <v>2.68</v>
      </c>
      <c r="CW968">
        <v>0.64</v>
      </c>
      <c r="CX968" t="s">
        <v>2429</v>
      </c>
      <c r="CY968">
        <v>6.2</v>
      </c>
      <c r="CZ968">
        <v>0</v>
      </c>
      <c r="DA968">
        <v>3.31</v>
      </c>
      <c r="DB968">
        <v>1.74</v>
      </c>
      <c r="DC968">
        <v>0.18</v>
      </c>
      <c r="DD968">
        <v>60.98</v>
      </c>
      <c r="DE968" t="s">
        <v>3432</v>
      </c>
      <c r="DF968">
        <v>15.14</v>
      </c>
      <c r="DG968">
        <v>7.41</v>
      </c>
      <c r="DH968">
        <v>6.54</v>
      </c>
      <c r="DI968">
        <v>0.23</v>
      </c>
      <c r="DJ968">
        <v>1089</v>
      </c>
      <c r="DK968">
        <v>2576</v>
      </c>
      <c r="DL968" t="s">
        <v>120</v>
      </c>
      <c r="DM968" t="s">
        <v>120</v>
      </c>
      <c r="DN968" t="s">
        <v>120</v>
      </c>
    </row>
    <row r="969" spans="1:118">
      <c r="A969" t="str">
        <f>"002577"</f>
        <v>002577</v>
      </c>
      <c r="B969" t="s">
        <v>5582</v>
      </c>
      <c r="C969">
        <v>-0.28000000000000003</v>
      </c>
      <c r="D969">
        <v>0</v>
      </c>
      <c r="E969">
        <v>-0.37</v>
      </c>
      <c r="F969">
        <v>107</v>
      </c>
      <c r="G969" t="s">
        <v>5583</v>
      </c>
      <c r="H969">
        <v>1831.92</v>
      </c>
      <c r="I969">
        <v>8.39</v>
      </c>
      <c r="J969" t="s">
        <v>120</v>
      </c>
      <c r="K969" t="s">
        <v>2929</v>
      </c>
      <c r="L969">
        <v>0.6</v>
      </c>
      <c r="M969">
        <v>10.76</v>
      </c>
      <c r="N969">
        <v>0.69</v>
      </c>
      <c r="O969">
        <v>1.48</v>
      </c>
      <c r="P969">
        <v>10.95</v>
      </c>
      <c r="Q969">
        <v>-0.83</v>
      </c>
      <c r="R969">
        <v>10.7</v>
      </c>
      <c r="S969">
        <v>10.75</v>
      </c>
      <c r="T969">
        <v>16960</v>
      </c>
      <c r="U969">
        <v>10.77</v>
      </c>
      <c r="V969">
        <v>10.79</v>
      </c>
      <c r="W969">
        <v>50.29</v>
      </c>
      <c r="X969" t="s">
        <v>238</v>
      </c>
      <c r="Y969" t="s">
        <v>123</v>
      </c>
      <c r="Z969">
        <v>2.3199999999999998</v>
      </c>
      <c r="AA969">
        <v>10.8</v>
      </c>
      <c r="AB969">
        <v>10113</v>
      </c>
      <c r="AC969">
        <v>6847</v>
      </c>
      <c r="AD969">
        <v>1.48</v>
      </c>
      <c r="AE969">
        <v>53</v>
      </c>
      <c r="AF969">
        <v>10</v>
      </c>
      <c r="AG969" t="s">
        <v>120</v>
      </c>
      <c r="AH969">
        <v>0.01</v>
      </c>
      <c r="AI969" t="s">
        <v>120</v>
      </c>
      <c r="AJ969">
        <v>2.83</v>
      </c>
      <c r="AK969" t="s">
        <v>2929</v>
      </c>
      <c r="AL969">
        <v>1.64</v>
      </c>
      <c r="AM969">
        <v>912</v>
      </c>
      <c r="AN969">
        <v>19</v>
      </c>
      <c r="AO969">
        <v>6.9999999999999999E-4</v>
      </c>
      <c r="AP969">
        <v>-1</v>
      </c>
      <c r="AQ969">
        <v>0.37</v>
      </c>
      <c r="AR969">
        <v>-2.1800000000000002</v>
      </c>
      <c r="AS969">
        <v>3.56</v>
      </c>
      <c r="AT969">
        <v>-7.64</v>
      </c>
      <c r="AU969">
        <v>-7.08</v>
      </c>
      <c r="AV969">
        <v>1</v>
      </c>
      <c r="AW969">
        <v>1.49</v>
      </c>
      <c r="AX969">
        <v>40.11</v>
      </c>
      <c r="AY969">
        <v>68.540000000000006</v>
      </c>
      <c r="AZ969">
        <v>65.62</v>
      </c>
      <c r="BA969">
        <v>0.67</v>
      </c>
      <c r="BB969" t="s">
        <v>143</v>
      </c>
      <c r="BF969">
        <v>0.11</v>
      </c>
      <c r="BG969">
        <v>0.09</v>
      </c>
      <c r="BH969">
        <v>-1.74</v>
      </c>
      <c r="BI969">
        <v>0.56000000000000005</v>
      </c>
      <c r="BJ969">
        <v>20210803</v>
      </c>
      <c r="BK969">
        <v>20110428</v>
      </c>
      <c r="BL969">
        <v>2.83</v>
      </c>
      <c r="BM969" t="s">
        <v>120</v>
      </c>
      <c r="BN969" t="s">
        <v>120</v>
      </c>
      <c r="BO969">
        <v>11.77</v>
      </c>
      <c r="BP969">
        <v>10.76</v>
      </c>
      <c r="BQ969">
        <v>10.89</v>
      </c>
      <c r="BR969" t="s">
        <v>120</v>
      </c>
      <c r="BS969">
        <v>7.49</v>
      </c>
      <c r="BT969">
        <v>9.52</v>
      </c>
      <c r="BU969">
        <v>0.1</v>
      </c>
      <c r="BV969">
        <v>0.01</v>
      </c>
      <c r="BW969">
        <v>0.82</v>
      </c>
      <c r="BX969">
        <v>6.81</v>
      </c>
      <c r="BY969">
        <v>0.72</v>
      </c>
      <c r="BZ969">
        <v>1.18</v>
      </c>
      <c r="CA969" t="s">
        <v>120</v>
      </c>
      <c r="CB969">
        <v>9.58</v>
      </c>
      <c r="CC969">
        <v>2.5</v>
      </c>
      <c r="CD969">
        <v>1.8</v>
      </c>
      <c r="CE969">
        <v>0.36</v>
      </c>
      <c r="CF969">
        <v>0.05</v>
      </c>
      <c r="CG969">
        <v>0.36</v>
      </c>
      <c r="CH969">
        <v>0.3</v>
      </c>
      <c r="CI969">
        <v>0.3</v>
      </c>
      <c r="CJ969">
        <v>-0.03</v>
      </c>
      <c r="CK969">
        <v>0.23</v>
      </c>
      <c r="CL969">
        <v>-1.81</v>
      </c>
      <c r="CM969">
        <v>0.28000000000000003</v>
      </c>
      <c r="CN969">
        <v>1.18</v>
      </c>
      <c r="CO969">
        <v>30739</v>
      </c>
      <c r="CP969">
        <v>3691</v>
      </c>
      <c r="CQ969" t="s">
        <v>1185</v>
      </c>
      <c r="CR969">
        <v>-6.15</v>
      </c>
      <c r="CS969">
        <v>30.46</v>
      </c>
      <c r="CT969">
        <v>2.8</v>
      </c>
      <c r="CU969">
        <v>109.99</v>
      </c>
      <c r="CV969">
        <v>12.16</v>
      </c>
      <c r="CW969">
        <v>0</v>
      </c>
      <c r="CX969" t="s">
        <v>1147</v>
      </c>
      <c r="CY969">
        <v>3.85</v>
      </c>
      <c r="CZ969">
        <v>0</v>
      </c>
      <c r="DA969">
        <v>3.39</v>
      </c>
      <c r="DB969">
        <v>-0.64</v>
      </c>
      <c r="DC969">
        <v>0.1</v>
      </c>
      <c r="DD969">
        <v>92.51</v>
      </c>
      <c r="DE969" t="s">
        <v>3468</v>
      </c>
      <c r="DF969">
        <v>28.23</v>
      </c>
      <c r="DG969">
        <v>14.21</v>
      </c>
      <c r="DH969">
        <v>12.09</v>
      </c>
      <c r="DI969">
        <v>0.09</v>
      </c>
      <c r="DJ969">
        <v>167</v>
      </c>
      <c r="DK969">
        <v>2577</v>
      </c>
      <c r="DL969" t="s">
        <v>120</v>
      </c>
      <c r="DM969" t="s">
        <v>120</v>
      </c>
      <c r="DN969" t="s">
        <v>120</v>
      </c>
    </row>
    <row r="970" spans="1:118">
      <c r="A970" t="str">
        <f>"002578"</f>
        <v>002578</v>
      </c>
      <c r="B970" t="s">
        <v>5584</v>
      </c>
      <c r="C970">
        <v>-1.94</v>
      </c>
      <c r="D970">
        <v>-0.24</v>
      </c>
      <c r="E970">
        <v>0.48</v>
      </c>
      <c r="F970">
        <v>3683</v>
      </c>
      <c r="G970" t="s">
        <v>5585</v>
      </c>
      <c r="H970">
        <v>20728.61</v>
      </c>
      <c r="I970">
        <v>127.24</v>
      </c>
      <c r="J970" t="s">
        <v>120</v>
      </c>
      <c r="K970" t="s">
        <v>5586</v>
      </c>
      <c r="L970">
        <v>5.63</v>
      </c>
      <c r="M970">
        <v>4.05</v>
      </c>
      <c r="N970">
        <v>0.48</v>
      </c>
      <c r="O970">
        <v>2.91</v>
      </c>
      <c r="P970">
        <v>4.25</v>
      </c>
      <c r="Q970">
        <v>-2.1800000000000002</v>
      </c>
      <c r="R970">
        <v>4.04</v>
      </c>
      <c r="S970">
        <v>4.1500000000000004</v>
      </c>
      <c r="T970">
        <v>499083</v>
      </c>
      <c r="U970">
        <v>4.0599999999999996</v>
      </c>
      <c r="V970">
        <v>4.13</v>
      </c>
      <c r="W970">
        <v>65.89</v>
      </c>
      <c r="X970" t="s">
        <v>1325</v>
      </c>
      <c r="Y970" t="s">
        <v>937</v>
      </c>
      <c r="Z970">
        <v>5.08</v>
      </c>
      <c r="AA970">
        <v>4.1500000000000004</v>
      </c>
      <c r="AB970">
        <v>261651</v>
      </c>
      <c r="AC970">
        <v>237432</v>
      </c>
      <c r="AD970">
        <v>1.1000000000000001</v>
      </c>
      <c r="AE970">
        <v>4360</v>
      </c>
      <c r="AF970">
        <v>1142</v>
      </c>
      <c r="AG970" t="s">
        <v>120</v>
      </c>
      <c r="AH970">
        <v>0.06</v>
      </c>
      <c r="AI970" t="s">
        <v>120</v>
      </c>
      <c r="AJ970">
        <v>8.86</v>
      </c>
      <c r="AK970" t="s">
        <v>5587</v>
      </c>
      <c r="AL970">
        <v>-0.02</v>
      </c>
      <c r="AM970">
        <v>3598</v>
      </c>
      <c r="AN970">
        <v>139</v>
      </c>
      <c r="AO970">
        <v>1.6000000000000001E-3</v>
      </c>
      <c r="AP970">
        <v>-3</v>
      </c>
      <c r="AQ970">
        <v>-0.72</v>
      </c>
      <c r="AR970">
        <v>-10</v>
      </c>
      <c r="AS970">
        <v>16.71</v>
      </c>
      <c r="AT970">
        <v>24.62</v>
      </c>
      <c r="AU970">
        <v>16.71</v>
      </c>
      <c r="AV970">
        <v>7</v>
      </c>
      <c r="AW970">
        <v>10.49</v>
      </c>
      <c r="AX970">
        <v>48.15</v>
      </c>
      <c r="AY970">
        <v>66.05</v>
      </c>
      <c r="AZ970">
        <v>64.98</v>
      </c>
      <c r="BA970">
        <v>0.5</v>
      </c>
      <c r="BB970" t="s">
        <v>143</v>
      </c>
      <c r="BF970">
        <v>0.56999999999999995</v>
      </c>
      <c r="BG970">
        <v>-2.41</v>
      </c>
      <c r="BH970">
        <v>-4.71</v>
      </c>
      <c r="BI970">
        <v>0.25</v>
      </c>
      <c r="BJ970">
        <v>20210830</v>
      </c>
      <c r="BK970">
        <v>20110428</v>
      </c>
      <c r="BL970">
        <v>9.8800000000000008</v>
      </c>
      <c r="BM970" t="s">
        <v>120</v>
      </c>
      <c r="BN970" t="s">
        <v>120</v>
      </c>
      <c r="BO970">
        <v>17.100000000000001</v>
      </c>
      <c r="BP970">
        <v>4.05</v>
      </c>
      <c r="BQ970">
        <v>14.39</v>
      </c>
      <c r="BR970">
        <v>0.01</v>
      </c>
      <c r="BS970">
        <v>15.81</v>
      </c>
      <c r="BT970">
        <v>8.5</v>
      </c>
      <c r="BU970">
        <v>6.36</v>
      </c>
      <c r="BV970">
        <v>0.96</v>
      </c>
      <c r="BW970">
        <v>2.6</v>
      </c>
      <c r="BX970">
        <v>1.05</v>
      </c>
      <c r="BY970">
        <v>3.09</v>
      </c>
      <c r="BZ970">
        <v>2.4900000000000002</v>
      </c>
      <c r="CA970">
        <v>0.22</v>
      </c>
      <c r="CB970">
        <v>2.21</v>
      </c>
      <c r="CC970">
        <v>7.76</v>
      </c>
      <c r="CD970">
        <v>7.07</v>
      </c>
      <c r="CE970">
        <v>0.36</v>
      </c>
      <c r="CF970">
        <v>0.03</v>
      </c>
      <c r="CG970">
        <v>0.36</v>
      </c>
      <c r="CH970">
        <v>0.3</v>
      </c>
      <c r="CI970">
        <v>0.3</v>
      </c>
      <c r="CJ970">
        <v>-0.08</v>
      </c>
      <c r="CK970">
        <v>0.24</v>
      </c>
      <c r="CL970">
        <v>3.51</v>
      </c>
      <c r="CM970">
        <v>-1.24</v>
      </c>
      <c r="CN970">
        <v>-0.71</v>
      </c>
      <c r="CO970">
        <v>43607</v>
      </c>
      <c r="CP970">
        <v>10911</v>
      </c>
      <c r="CQ970" t="s">
        <v>5588</v>
      </c>
      <c r="CR970">
        <v>-3.25</v>
      </c>
      <c r="CS970">
        <v>19.04</v>
      </c>
      <c r="CT970">
        <v>2.78</v>
      </c>
      <c r="CU970">
        <v>-32.35</v>
      </c>
      <c r="CV970">
        <v>5.16</v>
      </c>
      <c r="CW970">
        <v>0.69</v>
      </c>
      <c r="CX970" t="s">
        <v>2074</v>
      </c>
      <c r="CY970">
        <v>1.46</v>
      </c>
      <c r="CZ970">
        <v>0</v>
      </c>
      <c r="DA970">
        <v>0.22</v>
      </c>
      <c r="DB970">
        <v>0.35</v>
      </c>
      <c r="DC970">
        <v>-0.13</v>
      </c>
      <c r="DD970">
        <v>84.13</v>
      </c>
      <c r="DE970" t="s">
        <v>5589</v>
      </c>
      <c r="DF970">
        <v>8.92</v>
      </c>
      <c r="DG970">
        <v>4.58</v>
      </c>
      <c r="DH970">
        <v>3.91</v>
      </c>
      <c r="DI970">
        <v>0.12</v>
      </c>
      <c r="DJ970">
        <v>1875</v>
      </c>
      <c r="DK970">
        <v>2578</v>
      </c>
      <c r="DL970" t="s">
        <v>120</v>
      </c>
      <c r="DM970" t="s">
        <v>120</v>
      </c>
      <c r="DN970" t="s">
        <v>120</v>
      </c>
    </row>
    <row r="971" spans="1:118">
      <c r="A971" t="str">
        <f>"002579"</f>
        <v>002579</v>
      </c>
      <c r="B971" t="s">
        <v>5590</v>
      </c>
      <c r="C971">
        <v>-4.0199999999999996</v>
      </c>
      <c r="D971">
        <v>0</v>
      </c>
      <c r="E971">
        <v>-0.09</v>
      </c>
      <c r="F971">
        <v>1143</v>
      </c>
      <c r="G971" t="s">
        <v>938</v>
      </c>
      <c r="H971">
        <v>7674.78</v>
      </c>
      <c r="I971">
        <v>3.74</v>
      </c>
      <c r="J971" t="s">
        <v>120</v>
      </c>
      <c r="K971" t="s">
        <v>5591</v>
      </c>
      <c r="L971">
        <v>1.61</v>
      </c>
      <c r="M971">
        <v>10.26</v>
      </c>
      <c r="N971">
        <v>1.26</v>
      </c>
      <c r="O971">
        <v>0.09</v>
      </c>
      <c r="P971">
        <v>10.7</v>
      </c>
      <c r="Q971">
        <v>-4.0199999999999996</v>
      </c>
      <c r="R971">
        <v>10.26</v>
      </c>
      <c r="S971">
        <v>10.68</v>
      </c>
      <c r="T971">
        <v>73294</v>
      </c>
      <c r="U971">
        <v>10.27</v>
      </c>
      <c r="V971">
        <v>10.69</v>
      </c>
      <c r="W971">
        <v>32.61</v>
      </c>
      <c r="X971" t="s">
        <v>229</v>
      </c>
      <c r="Y971" t="s">
        <v>547</v>
      </c>
      <c r="Z971">
        <v>4.12</v>
      </c>
      <c r="AA971">
        <v>10.47</v>
      </c>
      <c r="AB971">
        <v>50421</v>
      </c>
      <c r="AC971">
        <v>22873</v>
      </c>
      <c r="AD971">
        <v>2.2000000000000002</v>
      </c>
      <c r="AE971">
        <v>674</v>
      </c>
      <c r="AF971">
        <v>149</v>
      </c>
      <c r="AG971" t="s">
        <v>120</v>
      </c>
      <c r="AH971">
        <v>0</v>
      </c>
      <c r="AI971" t="s">
        <v>120</v>
      </c>
      <c r="AJ971">
        <v>4.54</v>
      </c>
      <c r="AK971" t="s">
        <v>5592</v>
      </c>
      <c r="AL971">
        <v>-2.11</v>
      </c>
      <c r="AM971">
        <v>2508</v>
      </c>
      <c r="AN971">
        <v>29</v>
      </c>
      <c r="AO971">
        <v>5.9999999999999995E-4</v>
      </c>
      <c r="AP971">
        <v>-1</v>
      </c>
      <c r="AQ971">
        <v>0.28000000000000003</v>
      </c>
      <c r="AR971">
        <v>-5.7</v>
      </c>
      <c r="AS971">
        <v>-7.99</v>
      </c>
      <c r="AT971">
        <v>-3.12</v>
      </c>
      <c r="AU971">
        <v>-1.98</v>
      </c>
      <c r="AV971">
        <v>0</v>
      </c>
      <c r="AW971">
        <v>3.13</v>
      </c>
      <c r="AX971">
        <v>38.36</v>
      </c>
      <c r="AY971">
        <v>32.090000000000003</v>
      </c>
      <c r="AZ971">
        <v>40.22</v>
      </c>
      <c r="BA971">
        <v>0.48</v>
      </c>
      <c r="BB971" t="s">
        <v>125</v>
      </c>
      <c r="BF971">
        <v>-2.0499999999999998</v>
      </c>
      <c r="BG971">
        <v>-3.93</v>
      </c>
      <c r="BH971">
        <v>-4.1100000000000003</v>
      </c>
      <c r="BI971">
        <v>0</v>
      </c>
      <c r="BJ971">
        <v>20210825</v>
      </c>
      <c r="BK971">
        <v>20110506</v>
      </c>
      <c r="BL971">
        <v>6.11</v>
      </c>
      <c r="BM971" t="s">
        <v>120</v>
      </c>
      <c r="BN971" t="s">
        <v>120</v>
      </c>
      <c r="BO971">
        <v>53.65</v>
      </c>
      <c r="BP971">
        <v>10.26</v>
      </c>
      <c r="BQ971">
        <v>27.97</v>
      </c>
      <c r="BR971" t="s">
        <v>120</v>
      </c>
      <c r="BS971">
        <v>47.87</v>
      </c>
      <c r="BT971">
        <v>19.86</v>
      </c>
      <c r="BU971">
        <v>11.81</v>
      </c>
      <c r="BV971">
        <v>2</v>
      </c>
      <c r="BW971">
        <v>18.45</v>
      </c>
      <c r="BX971">
        <v>3.96</v>
      </c>
      <c r="BY971">
        <v>5.72</v>
      </c>
      <c r="BZ971">
        <v>8.26</v>
      </c>
      <c r="CA971" t="s">
        <v>120</v>
      </c>
      <c r="CB971">
        <v>16.71</v>
      </c>
      <c r="CC971">
        <v>13.35</v>
      </c>
      <c r="CD971">
        <v>10.6</v>
      </c>
      <c r="CE971">
        <v>1.07</v>
      </c>
      <c r="CF971">
        <v>0</v>
      </c>
      <c r="CG971">
        <v>1.06</v>
      </c>
      <c r="CH971">
        <v>0.96</v>
      </c>
      <c r="CI971">
        <v>0.96</v>
      </c>
      <c r="CJ971">
        <v>-0.43</v>
      </c>
      <c r="CK971">
        <v>0.87</v>
      </c>
      <c r="CL971">
        <v>5.41</v>
      </c>
      <c r="CM971">
        <v>1.48</v>
      </c>
      <c r="CN971">
        <v>-3.01</v>
      </c>
      <c r="CO971">
        <v>26843</v>
      </c>
      <c r="CP971">
        <v>8734</v>
      </c>
      <c r="CQ971" t="s">
        <v>4666</v>
      </c>
      <c r="CR971">
        <v>74.930000000000007</v>
      </c>
      <c r="CS971">
        <v>36.340000000000003</v>
      </c>
      <c r="CT971">
        <v>2.2599999999999998</v>
      </c>
      <c r="CU971">
        <v>42.27</v>
      </c>
      <c r="CV971">
        <v>4.7</v>
      </c>
      <c r="CW971">
        <v>0.46</v>
      </c>
      <c r="CX971" t="s">
        <v>1091</v>
      </c>
      <c r="CY971">
        <v>4.54</v>
      </c>
      <c r="CZ971">
        <v>4.54</v>
      </c>
      <c r="DA971">
        <v>2.73</v>
      </c>
      <c r="DB971">
        <v>0.88</v>
      </c>
      <c r="DC971">
        <v>0.24</v>
      </c>
      <c r="DD971">
        <v>52.13</v>
      </c>
      <c r="DE971" t="s">
        <v>405</v>
      </c>
      <c r="DF971">
        <v>20.65</v>
      </c>
      <c r="DG971">
        <v>7.98</v>
      </c>
      <c r="DH971">
        <v>7.2</v>
      </c>
      <c r="DI971">
        <v>0.66</v>
      </c>
      <c r="DJ971">
        <v>4709</v>
      </c>
      <c r="DK971">
        <v>2579</v>
      </c>
      <c r="DL971" t="s">
        <v>120</v>
      </c>
      <c r="DM971" t="s">
        <v>120</v>
      </c>
      <c r="DN971" t="s">
        <v>120</v>
      </c>
    </row>
    <row r="972" spans="1:118">
      <c r="A972" t="str">
        <f>"002580"</f>
        <v>002580</v>
      </c>
      <c r="B972" t="s">
        <v>5593</v>
      </c>
      <c r="C972">
        <v>-7.42</v>
      </c>
      <c r="D972">
        <v>-0.09</v>
      </c>
      <c r="E972">
        <v>-2</v>
      </c>
      <c r="F972">
        <v>2399</v>
      </c>
      <c r="G972" t="s">
        <v>4591</v>
      </c>
      <c r="H972">
        <v>33166.14</v>
      </c>
      <c r="I972">
        <v>216.71</v>
      </c>
      <c r="J972" t="s">
        <v>120</v>
      </c>
      <c r="K972" t="s">
        <v>4857</v>
      </c>
      <c r="L972">
        <v>10.67</v>
      </c>
      <c r="M972">
        <v>9.73</v>
      </c>
      <c r="N972">
        <v>1.38</v>
      </c>
      <c r="O972">
        <v>-1.71</v>
      </c>
      <c r="P972">
        <v>10.33</v>
      </c>
      <c r="Q972">
        <v>-7.71</v>
      </c>
      <c r="R972">
        <v>9.6999999999999993</v>
      </c>
      <c r="S972">
        <v>10.3</v>
      </c>
      <c r="T972">
        <v>332177</v>
      </c>
      <c r="U972">
        <v>9.74</v>
      </c>
      <c r="V972">
        <v>10.51</v>
      </c>
      <c r="W972">
        <v>105.59</v>
      </c>
      <c r="X972" t="s">
        <v>394</v>
      </c>
      <c r="Y972" t="s">
        <v>638</v>
      </c>
      <c r="Z972">
        <v>5.99</v>
      </c>
      <c r="AA972">
        <v>9.98</v>
      </c>
      <c r="AB972">
        <v>205865</v>
      </c>
      <c r="AC972">
        <v>126312</v>
      </c>
      <c r="AD972">
        <v>1.63</v>
      </c>
      <c r="AE972">
        <v>204</v>
      </c>
      <c r="AF972">
        <v>371</v>
      </c>
      <c r="AG972" t="s">
        <v>120</v>
      </c>
      <c r="AH972">
        <v>7.0000000000000007E-2</v>
      </c>
      <c r="AI972" t="s">
        <v>120</v>
      </c>
      <c r="AJ972">
        <v>3.11</v>
      </c>
      <c r="AK972" t="s">
        <v>5594</v>
      </c>
      <c r="AL972">
        <v>-5.51</v>
      </c>
      <c r="AM972">
        <v>3927</v>
      </c>
      <c r="AN972">
        <v>85</v>
      </c>
      <c r="AO972">
        <v>2.7000000000000001E-3</v>
      </c>
      <c r="AP972">
        <v>-1</v>
      </c>
      <c r="AQ972">
        <v>6.05</v>
      </c>
      <c r="AR972">
        <v>0.41</v>
      </c>
      <c r="AS972">
        <v>-1.91</v>
      </c>
      <c r="AT972">
        <v>34.58</v>
      </c>
      <c r="AU972">
        <v>56.05</v>
      </c>
      <c r="AV972">
        <v>13</v>
      </c>
      <c r="AW972">
        <v>11.18</v>
      </c>
      <c r="AX972">
        <v>65.45</v>
      </c>
      <c r="AY972">
        <v>141.26</v>
      </c>
      <c r="AZ972">
        <v>166.52</v>
      </c>
      <c r="BA972">
        <v>0.37</v>
      </c>
      <c r="BB972" t="s">
        <v>143</v>
      </c>
      <c r="BF972">
        <v>-5</v>
      </c>
      <c r="BG972">
        <v>-5.53</v>
      </c>
      <c r="BH972">
        <v>-5.81</v>
      </c>
      <c r="BI972">
        <v>0.31</v>
      </c>
      <c r="BJ972">
        <v>20210827</v>
      </c>
      <c r="BK972">
        <v>20110506</v>
      </c>
      <c r="BL972">
        <v>4.54</v>
      </c>
      <c r="BM972" t="s">
        <v>120</v>
      </c>
      <c r="BN972" t="s">
        <v>120</v>
      </c>
      <c r="BO972">
        <v>23.61</v>
      </c>
      <c r="BP972">
        <v>9.73</v>
      </c>
      <c r="BQ972">
        <v>17.190000000000001</v>
      </c>
      <c r="BR972">
        <v>0.2</v>
      </c>
      <c r="BS972">
        <v>26.31</v>
      </c>
      <c r="BT972">
        <v>18.12</v>
      </c>
      <c r="BU972">
        <v>3.56</v>
      </c>
      <c r="BV972">
        <v>0.56999999999999995</v>
      </c>
      <c r="BW972">
        <v>4.88</v>
      </c>
      <c r="BX972">
        <v>5.1100000000000003</v>
      </c>
      <c r="BY972">
        <v>3.54</v>
      </c>
      <c r="BZ972">
        <v>6.93</v>
      </c>
      <c r="CA972">
        <v>0.08</v>
      </c>
      <c r="CB972">
        <v>8.94</v>
      </c>
      <c r="CC972">
        <v>9.3800000000000008</v>
      </c>
      <c r="CD972">
        <v>8.09</v>
      </c>
      <c r="CE972">
        <v>0.17</v>
      </c>
      <c r="CF972">
        <v>0.09</v>
      </c>
      <c r="CG972">
        <v>0.17</v>
      </c>
      <c r="CH972">
        <v>0.22</v>
      </c>
      <c r="CI972">
        <v>0.21</v>
      </c>
      <c r="CJ972">
        <v>-0.78</v>
      </c>
      <c r="CK972">
        <v>0.06</v>
      </c>
      <c r="CL972">
        <v>3.36</v>
      </c>
      <c r="CM972">
        <v>-1.59</v>
      </c>
      <c r="CN972">
        <v>-3.52</v>
      </c>
      <c r="CO972">
        <v>33551</v>
      </c>
      <c r="CP972">
        <v>8854</v>
      </c>
      <c r="CQ972" t="s">
        <v>5595</v>
      </c>
      <c r="CR972">
        <v>32.44</v>
      </c>
      <c r="CS972">
        <v>34.39</v>
      </c>
      <c r="CT972">
        <v>2.57</v>
      </c>
      <c r="CU972">
        <v>-27.78</v>
      </c>
      <c r="CV972">
        <v>4.71</v>
      </c>
      <c r="CW972">
        <v>0.24</v>
      </c>
      <c r="CX972" t="s">
        <v>1248</v>
      </c>
      <c r="CY972">
        <v>3.79</v>
      </c>
      <c r="CZ972">
        <v>0</v>
      </c>
      <c r="DA972">
        <v>1.97</v>
      </c>
      <c r="DB972">
        <v>0.74</v>
      </c>
      <c r="DC972">
        <v>-0.35</v>
      </c>
      <c r="DD972">
        <v>72.83</v>
      </c>
      <c r="DE972" t="s">
        <v>1703</v>
      </c>
      <c r="DF972">
        <v>13.76</v>
      </c>
      <c r="DG972">
        <v>1.8</v>
      </c>
      <c r="DH972">
        <v>2.23</v>
      </c>
      <c r="DI972">
        <v>0.32</v>
      </c>
      <c r="DJ972">
        <v>1923</v>
      </c>
      <c r="DK972">
        <v>2580</v>
      </c>
      <c r="DL972" t="s">
        <v>120</v>
      </c>
      <c r="DM972" t="s">
        <v>120</v>
      </c>
      <c r="DN972" t="s">
        <v>120</v>
      </c>
    </row>
    <row r="973" spans="1:118">
      <c r="A973" t="str">
        <f>"002581"</f>
        <v>002581</v>
      </c>
      <c r="B973" t="s">
        <v>5596</v>
      </c>
      <c r="C973">
        <v>-5.3</v>
      </c>
      <c r="D973">
        <v>0</v>
      </c>
      <c r="E973">
        <v>-0.26</v>
      </c>
      <c r="F973">
        <v>1482</v>
      </c>
      <c r="G973" t="s">
        <v>5597</v>
      </c>
      <c r="H973">
        <v>21177.08</v>
      </c>
      <c r="I973">
        <v>19.88</v>
      </c>
      <c r="J973" t="s">
        <v>120</v>
      </c>
      <c r="K973" t="s">
        <v>5598</v>
      </c>
      <c r="L973">
        <v>3.58</v>
      </c>
      <c r="M973">
        <v>14.3</v>
      </c>
      <c r="N973">
        <v>1.23</v>
      </c>
      <c r="O973">
        <v>0.66</v>
      </c>
      <c r="P973">
        <v>15.2</v>
      </c>
      <c r="Q973">
        <v>-5.5</v>
      </c>
      <c r="R973">
        <v>14.27</v>
      </c>
      <c r="S973">
        <v>15.06</v>
      </c>
      <c r="T973">
        <v>143632</v>
      </c>
      <c r="U973">
        <v>14.3</v>
      </c>
      <c r="V973">
        <v>15.1</v>
      </c>
      <c r="W973">
        <v>34.200000000000003</v>
      </c>
      <c r="X973" t="s">
        <v>666</v>
      </c>
      <c r="Y973" t="s">
        <v>638</v>
      </c>
      <c r="Z973">
        <v>6.16</v>
      </c>
      <c r="AA973">
        <v>14.74</v>
      </c>
      <c r="AB973">
        <v>87000</v>
      </c>
      <c r="AC973">
        <v>56632</v>
      </c>
      <c r="AD973">
        <v>1.54</v>
      </c>
      <c r="AE973">
        <v>357</v>
      </c>
      <c r="AF973">
        <v>609</v>
      </c>
      <c r="AG973" t="s">
        <v>120</v>
      </c>
      <c r="AH973">
        <v>0</v>
      </c>
      <c r="AI973" t="s">
        <v>120</v>
      </c>
      <c r="AJ973">
        <v>4.01</v>
      </c>
      <c r="AK973" t="s">
        <v>5599</v>
      </c>
      <c r="AL973">
        <v>-3.38</v>
      </c>
      <c r="AM973">
        <v>3667</v>
      </c>
      <c r="AN973">
        <v>39</v>
      </c>
      <c r="AO973">
        <v>1E-3</v>
      </c>
      <c r="AP973">
        <v>-2</v>
      </c>
      <c r="AQ973">
        <v>-3.76</v>
      </c>
      <c r="AR973">
        <v>-8.09</v>
      </c>
      <c r="AS973">
        <v>-11.89</v>
      </c>
      <c r="AT973">
        <v>-23.44</v>
      </c>
      <c r="AU973">
        <v>-21.98</v>
      </c>
      <c r="AV973">
        <v>14</v>
      </c>
      <c r="AW973">
        <v>4.62</v>
      </c>
      <c r="AX973">
        <v>47.09</v>
      </c>
      <c r="AY973">
        <v>290.10000000000002</v>
      </c>
      <c r="AZ973" t="s">
        <v>120</v>
      </c>
      <c r="BA973">
        <v>0.83</v>
      </c>
      <c r="BB973" t="s">
        <v>143</v>
      </c>
      <c r="BF973">
        <v>-2.36</v>
      </c>
      <c r="BG973">
        <v>-5.05</v>
      </c>
      <c r="BH973">
        <v>-5.92</v>
      </c>
      <c r="BI973">
        <v>0.21</v>
      </c>
      <c r="BJ973">
        <v>20210831</v>
      </c>
      <c r="BK973">
        <v>20110520</v>
      </c>
      <c r="BL973">
        <v>6.6</v>
      </c>
      <c r="BM973" t="s">
        <v>120</v>
      </c>
      <c r="BN973" t="s">
        <v>120</v>
      </c>
      <c r="BO973">
        <v>25.82</v>
      </c>
      <c r="BP973">
        <v>14.29</v>
      </c>
      <c r="BQ973">
        <v>22.55</v>
      </c>
      <c r="BR973">
        <v>0.78</v>
      </c>
      <c r="BS973">
        <v>9.66</v>
      </c>
      <c r="BT973">
        <v>6.79</v>
      </c>
      <c r="BU973">
        <v>4.6399999999999997</v>
      </c>
      <c r="BV973">
        <v>1.4</v>
      </c>
      <c r="BW973">
        <v>2.0299999999999998</v>
      </c>
      <c r="BX973">
        <v>2.15</v>
      </c>
      <c r="BY973">
        <v>0.64</v>
      </c>
      <c r="BZ973">
        <v>3.28</v>
      </c>
      <c r="CA973" t="s">
        <v>120</v>
      </c>
      <c r="CB973">
        <v>8.58</v>
      </c>
      <c r="CC973">
        <v>2.2400000000000002</v>
      </c>
      <c r="CD973">
        <v>0.44</v>
      </c>
      <c r="CE973">
        <v>1.46</v>
      </c>
      <c r="CF973">
        <v>2.35</v>
      </c>
      <c r="CG973">
        <v>1.45</v>
      </c>
      <c r="CH973">
        <v>1.42</v>
      </c>
      <c r="CI973">
        <v>1.38</v>
      </c>
      <c r="CJ973">
        <v>-0.8</v>
      </c>
      <c r="CK973">
        <v>1.32</v>
      </c>
      <c r="CL973">
        <v>10.16</v>
      </c>
      <c r="CM973">
        <v>-0.44</v>
      </c>
      <c r="CN973">
        <v>-0.69</v>
      </c>
      <c r="CO973">
        <v>91426</v>
      </c>
      <c r="CP973">
        <v>3398</v>
      </c>
      <c r="CQ973" t="s">
        <v>1874</v>
      </c>
      <c r="CR973">
        <v>249.34</v>
      </c>
      <c r="CS973">
        <v>65</v>
      </c>
      <c r="CT973">
        <v>4.18</v>
      </c>
      <c r="CU973">
        <v>-213.92</v>
      </c>
      <c r="CV973">
        <v>42.06</v>
      </c>
      <c r="CW973">
        <v>0</v>
      </c>
      <c r="CX973" t="s">
        <v>5600</v>
      </c>
      <c r="CY973">
        <v>3.42</v>
      </c>
      <c r="CZ973">
        <v>0</v>
      </c>
      <c r="DA973">
        <v>1.3</v>
      </c>
      <c r="DB973">
        <v>1.54</v>
      </c>
      <c r="DC973">
        <v>-7.0000000000000007E-2</v>
      </c>
      <c r="DD973">
        <v>87.33</v>
      </c>
      <c r="DE973" t="s">
        <v>1386</v>
      </c>
      <c r="DF973">
        <v>80.34</v>
      </c>
      <c r="DG973">
        <v>65.099999999999994</v>
      </c>
      <c r="DH973">
        <v>61.48</v>
      </c>
      <c r="DI973">
        <v>0.17</v>
      </c>
      <c r="DJ973">
        <v>769</v>
      </c>
      <c r="DK973">
        <v>2581</v>
      </c>
      <c r="DL973" t="s">
        <v>120</v>
      </c>
      <c r="DM973" t="s">
        <v>120</v>
      </c>
      <c r="DN973" t="s">
        <v>120</v>
      </c>
    </row>
    <row r="974" spans="1:118">
      <c r="A974" t="str">
        <f>"002582"</f>
        <v>002582</v>
      </c>
      <c r="B974" t="s">
        <v>5601</v>
      </c>
      <c r="C974">
        <v>-0.11</v>
      </c>
      <c r="D974">
        <v>0</v>
      </c>
      <c r="E974">
        <v>0</v>
      </c>
      <c r="F974">
        <v>735</v>
      </c>
      <c r="G974" t="s">
        <v>4295</v>
      </c>
      <c r="H974">
        <v>3686.71</v>
      </c>
      <c r="I974">
        <v>4.87</v>
      </c>
      <c r="J974" t="s">
        <v>120</v>
      </c>
      <c r="K974" t="s">
        <v>5602</v>
      </c>
      <c r="L974">
        <v>1.17</v>
      </c>
      <c r="M974">
        <v>8.85</v>
      </c>
      <c r="N974">
        <v>0.79</v>
      </c>
      <c r="O974">
        <v>0.9</v>
      </c>
      <c r="P974">
        <v>8.94</v>
      </c>
      <c r="Q974">
        <v>-0.34</v>
      </c>
      <c r="R974">
        <v>8.83</v>
      </c>
      <c r="S974">
        <v>8.86</v>
      </c>
      <c r="T974">
        <v>41514</v>
      </c>
      <c r="U974">
        <v>8.86</v>
      </c>
      <c r="V974">
        <v>8.86</v>
      </c>
      <c r="W974">
        <v>36.630000000000003</v>
      </c>
      <c r="X974" t="s">
        <v>847</v>
      </c>
      <c r="Y974" t="s">
        <v>645</v>
      </c>
      <c r="Z974">
        <v>1.24</v>
      </c>
      <c r="AA974">
        <v>8.8800000000000008</v>
      </c>
      <c r="AB974">
        <v>24038</v>
      </c>
      <c r="AC974">
        <v>17476</v>
      </c>
      <c r="AD974">
        <v>1.38</v>
      </c>
      <c r="AE974">
        <v>723</v>
      </c>
      <c r="AF974">
        <v>584</v>
      </c>
      <c r="AG974" t="s">
        <v>120</v>
      </c>
      <c r="AH974">
        <v>0</v>
      </c>
      <c r="AI974" t="s">
        <v>120</v>
      </c>
      <c r="AJ974">
        <v>3.54</v>
      </c>
      <c r="AK974" t="s">
        <v>4450</v>
      </c>
      <c r="AL974">
        <v>1.8</v>
      </c>
      <c r="AM974">
        <v>1204</v>
      </c>
      <c r="AN974">
        <v>34</v>
      </c>
      <c r="AO974">
        <v>1E-3</v>
      </c>
      <c r="AP974">
        <v>-3</v>
      </c>
      <c r="AQ974">
        <v>-0.78</v>
      </c>
      <c r="AR974">
        <v>-2.42</v>
      </c>
      <c r="AS974">
        <v>-1.1200000000000001</v>
      </c>
      <c r="AT974">
        <v>-12.55</v>
      </c>
      <c r="AU974">
        <v>-26.12</v>
      </c>
      <c r="AV974">
        <v>0</v>
      </c>
      <c r="AW974">
        <v>1.48</v>
      </c>
      <c r="AX974">
        <v>61.56</v>
      </c>
      <c r="AY974" t="s">
        <v>120</v>
      </c>
      <c r="AZ974">
        <v>1.88</v>
      </c>
      <c r="BA974">
        <v>0.05</v>
      </c>
      <c r="BB974" t="s">
        <v>143</v>
      </c>
      <c r="BF974">
        <v>0.23</v>
      </c>
      <c r="BG974">
        <v>-0.11</v>
      </c>
      <c r="BH974">
        <v>-1.01</v>
      </c>
      <c r="BI974">
        <v>0.23</v>
      </c>
      <c r="BJ974">
        <v>20210821</v>
      </c>
      <c r="BK974">
        <v>20110520</v>
      </c>
      <c r="BL974">
        <v>4.57</v>
      </c>
      <c r="BM974" t="s">
        <v>120</v>
      </c>
      <c r="BN974" t="s">
        <v>120</v>
      </c>
      <c r="BO974">
        <v>54.28</v>
      </c>
      <c r="BP974">
        <v>8.85</v>
      </c>
      <c r="BQ974">
        <v>44.42</v>
      </c>
      <c r="BR974">
        <v>-0.08</v>
      </c>
      <c r="BS974">
        <v>18.3</v>
      </c>
      <c r="BT974">
        <v>31.17</v>
      </c>
      <c r="BU974">
        <v>10.81</v>
      </c>
      <c r="BV974">
        <v>1.22</v>
      </c>
      <c r="BW974">
        <v>7.04</v>
      </c>
      <c r="BX974">
        <v>17.52</v>
      </c>
      <c r="BY974">
        <v>2.99</v>
      </c>
      <c r="BZ974">
        <v>0.67</v>
      </c>
      <c r="CA974">
        <v>0.02</v>
      </c>
      <c r="CB974">
        <v>22.29</v>
      </c>
      <c r="CC974">
        <v>5.01</v>
      </c>
      <c r="CD974">
        <v>3.34</v>
      </c>
      <c r="CE974">
        <v>0.6</v>
      </c>
      <c r="CF974">
        <v>0.26</v>
      </c>
      <c r="CG974">
        <v>0.6</v>
      </c>
      <c r="CH974">
        <v>0.52</v>
      </c>
      <c r="CI974">
        <v>0.55000000000000004</v>
      </c>
      <c r="CJ974">
        <v>-0.01</v>
      </c>
      <c r="CK974">
        <v>0</v>
      </c>
      <c r="CL974">
        <v>21.54</v>
      </c>
      <c r="CM974">
        <v>2.4700000000000002</v>
      </c>
      <c r="CN974">
        <v>2.02</v>
      </c>
      <c r="CO974">
        <v>54083</v>
      </c>
      <c r="CP974">
        <v>5202</v>
      </c>
      <c r="CQ974" t="s">
        <v>3374</v>
      </c>
      <c r="CR974">
        <v>-97.55</v>
      </c>
      <c r="CS974">
        <v>-79.84</v>
      </c>
      <c r="CT974">
        <v>1.03</v>
      </c>
      <c r="CU974">
        <v>16.36</v>
      </c>
      <c r="CV974">
        <v>8.06</v>
      </c>
      <c r="CW974">
        <v>11.6</v>
      </c>
      <c r="CX974" t="s">
        <v>1147</v>
      </c>
      <c r="CY974">
        <v>8.61</v>
      </c>
      <c r="CZ974">
        <v>8.61</v>
      </c>
      <c r="DA974">
        <v>4.88</v>
      </c>
      <c r="DB974">
        <v>4.71</v>
      </c>
      <c r="DC974">
        <v>0.54</v>
      </c>
      <c r="DD974">
        <v>81.849999999999994</v>
      </c>
      <c r="DE974" t="s">
        <v>3334</v>
      </c>
      <c r="DF974">
        <v>33.47</v>
      </c>
      <c r="DG974">
        <v>11.94</v>
      </c>
      <c r="DH974">
        <v>11.01</v>
      </c>
      <c r="DI974">
        <v>0.16</v>
      </c>
      <c r="DJ974">
        <v>1928</v>
      </c>
      <c r="DK974">
        <v>2582</v>
      </c>
      <c r="DL974" t="s">
        <v>120</v>
      </c>
      <c r="DM974" t="s">
        <v>120</v>
      </c>
      <c r="DN974" t="s">
        <v>120</v>
      </c>
    </row>
    <row r="975" spans="1:118">
      <c r="A975" t="str">
        <f>"002583"</f>
        <v>002583</v>
      </c>
      <c r="B975" t="s">
        <v>5603</v>
      </c>
      <c r="C975">
        <v>-2.86</v>
      </c>
      <c r="D975">
        <v>0.99</v>
      </c>
      <c r="E975">
        <v>0</v>
      </c>
      <c r="F975">
        <v>8135</v>
      </c>
      <c r="G975" t="s">
        <v>5604</v>
      </c>
      <c r="H975">
        <v>10761.93</v>
      </c>
      <c r="I975">
        <v>8.51</v>
      </c>
      <c r="J975" t="s">
        <v>120</v>
      </c>
      <c r="K975" t="s">
        <v>5605</v>
      </c>
      <c r="L975">
        <v>1.93</v>
      </c>
      <c r="M975">
        <v>5.0999999999999996</v>
      </c>
      <c r="N975">
        <v>0.97</v>
      </c>
      <c r="O975">
        <v>0.38</v>
      </c>
      <c r="P975">
        <v>5.27</v>
      </c>
      <c r="Q975">
        <v>-4.1900000000000004</v>
      </c>
      <c r="R975">
        <v>5.03</v>
      </c>
      <c r="S975">
        <v>5.25</v>
      </c>
      <c r="T975">
        <v>210045</v>
      </c>
      <c r="U975">
        <v>5.0999999999999996</v>
      </c>
      <c r="V975">
        <v>5.25</v>
      </c>
      <c r="W975" t="s">
        <v>120</v>
      </c>
      <c r="X975" t="s">
        <v>462</v>
      </c>
      <c r="Y975" t="s">
        <v>123</v>
      </c>
      <c r="Z975">
        <v>4.57</v>
      </c>
      <c r="AA975">
        <v>5.12</v>
      </c>
      <c r="AB975">
        <v>135779</v>
      </c>
      <c r="AC975">
        <v>74266</v>
      </c>
      <c r="AD975">
        <v>1.83</v>
      </c>
      <c r="AE975">
        <v>29</v>
      </c>
      <c r="AF975">
        <v>861</v>
      </c>
      <c r="AG975" t="s">
        <v>120</v>
      </c>
      <c r="AH975">
        <v>0</v>
      </c>
      <c r="AI975" t="s">
        <v>120</v>
      </c>
      <c r="AJ975">
        <v>10.88</v>
      </c>
      <c r="AK975" t="s">
        <v>5606</v>
      </c>
      <c r="AL975">
        <v>-0.94</v>
      </c>
      <c r="AM975">
        <v>2740</v>
      </c>
      <c r="AN975">
        <v>77</v>
      </c>
      <c r="AO975">
        <v>6.9999999999999999E-4</v>
      </c>
      <c r="AP975">
        <v>-3</v>
      </c>
      <c r="AQ975">
        <v>-0.38</v>
      </c>
      <c r="AR975">
        <v>-6.42</v>
      </c>
      <c r="AS975">
        <v>5.16</v>
      </c>
      <c r="AT975">
        <v>-2.11</v>
      </c>
      <c r="AU975">
        <v>-16.79</v>
      </c>
      <c r="AV975">
        <v>0</v>
      </c>
      <c r="AW975">
        <v>2.52</v>
      </c>
      <c r="AX975">
        <v>45.28</v>
      </c>
      <c r="AY975" t="s">
        <v>120</v>
      </c>
      <c r="AZ975">
        <v>101.34</v>
      </c>
      <c r="BA975">
        <v>0.4</v>
      </c>
      <c r="BB975" t="s">
        <v>143</v>
      </c>
      <c r="BF975">
        <v>-2.41</v>
      </c>
      <c r="BG975">
        <v>-2.86</v>
      </c>
      <c r="BH975">
        <v>-3.23</v>
      </c>
      <c r="BI975">
        <v>1.39</v>
      </c>
      <c r="BJ975">
        <v>20210830</v>
      </c>
      <c r="BK975">
        <v>20110527</v>
      </c>
      <c r="BL975">
        <v>18.399999999999999</v>
      </c>
      <c r="BM975" t="s">
        <v>120</v>
      </c>
      <c r="BN975" t="s">
        <v>120</v>
      </c>
      <c r="BO975">
        <v>135.55000000000001</v>
      </c>
      <c r="BP975">
        <v>5.09</v>
      </c>
      <c r="BQ975">
        <v>61.51</v>
      </c>
      <c r="BR975">
        <v>0.53</v>
      </c>
      <c r="BS975">
        <v>54.23</v>
      </c>
      <c r="BT975">
        <v>72.930000000000007</v>
      </c>
      <c r="BU975">
        <v>11.78</v>
      </c>
      <c r="BV975">
        <v>19</v>
      </c>
      <c r="BW975">
        <v>55.98</v>
      </c>
      <c r="BX975">
        <v>10.87</v>
      </c>
      <c r="BY975">
        <v>20.94</v>
      </c>
      <c r="BZ975">
        <v>33.33</v>
      </c>
      <c r="CA975" t="s">
        <v>120</v>
      </c>
      <c r="CB975">
        <v>28.5</v>
      </c>
      <c r="CC975">
        <v>21.65</v>
      </c>
      <c r="CD975">
        <v>10.95</v>
      </c>
      <c r="CE975">
        <v>-1.75</v>
      </c>
      <c r="CF975">
        <v>0.03</v>
      </c>
      <c r="CG975">
        <v>-1.75</v>
      </c>
      <c r="CH975">
        <v>-1.22</v>
      </c>
      <c r="CI975">
        <v>-1.22</v>
      </c>
      <c r="CJ975">
        <v>-0.15</v>
      </c>
      <c r="CK975">
        <v>-1.69</v>
      </c>
      <c r="CL975">
        <v>14.52</v>
      </c>
      <c r="CM975">
        <v>1.47</v>
      </c>
      <c r="CN975">
        <v>-2.19</v>
      </c>
      <c r="CO975">
        <v>84066</v>
      </c>
      <c r="CP975">
        <v>9908</v>
      </c>
      <c r="CQ975" t="s">
        <v>358</v>
      </c>
      <c r="CR975">
        <v>-146.58000000000001</v>
      </c>
      <c r="CS975">
        <v>-28.94</v>
      </c>
      <c r="CT975">
        <v>1.53</v>
      </c>
      <c r="CU975">
        <v>63.77</v>
      </c>
      <c r="CV975">
        <v>4.33</v>
      </c>
      <c r="CW975">
        <v>0.21</v>
      </c>
      <c r="CX975" t="s">
        <v>809</v>
      </c>
      <c r="CY975">
        <v>3.34</v>
      </c>
      <c r="CZ975">
        <v>0</v>
      </c>
      <c r="DA975">
        <v>1.55</v>
      </c>
      <c r="DB975">
        <v>0.79</v>
      </c>
      <c r="DC975">
        <v>0.08</v>
      </c>
      <c r="DD975">
        <v>45.38</v>
      </c>
      <c r="DE975" t="s">
        <v>5607</v>
      </c>
      <c r="DF975">
        <v>49.4</v>
      </c>
      <c r="DG975">
        <v>-8.07</v>
      </c>
      <c r="DH975">
        <v>-5.65</v>
      </c>
      <c r="DI975">
        <v>4.8499999999999996</v>
      </c>
      <c r="DJ975">
        <v>6863</v>
      </c>
      <c r="DK975">
        <v>2583</v>
      </c>
      <c r="DL975" t="s">
        <v>120</v>
      </c>
      <c r="DM975" t="s">
        <v>120</v>
      </c>
      <c r="DN975" t="s">
        <v>120</v>
      </c>
    </row>
    <row r="976" spans="1:118">
      <c r="A976" t="str">
        <f>"002584"</f>
        <v>002584</v>
      </c>
      <c r="B976" t="s">
        <v>5608</v>
      </c>
      <c r="C976">
        <v>0</v>
      </c>
      <c r="D976">
        <v>0</v>
      </c>
      <c r="E976">
        <v>0.94</v>
      </c>
      <c r="F976">
        <v>3678</v>
      </c>
      <c r="G976" t="s">
        <v>5609</v>
      </c>
      <c r="H976">
        <v>25981.25</v>
      </c>
      <c r="I976">
        <v>146.56</v>
      </c>
      <c r="J976" t="s">
        <v>120</v>
      </c>
      <c r="K976" t="s">
        <v>5610</v>
      </c>
      <c r="L976">
        <v>8.75</v>
      </c>
      <c r="M976">
        <v>7.45</v>
      </c>
      <c r="N976">
        <v>1.61</v>
      </c>
      <c r="O976">
        <v>3.76</v>
      </c>
      <c r="P976">
        <v>7.73</v>
      </c>
      <c r="Q976">
        <v>-1.48</v>
      </c>
      <c r="R976">
        <v>7.34</v>
      </c>
      <c r="S976">
        <v>7.52</v>
      </c>
      <c r="T976">
        <v>344590</v>
      </c>
      <c r="U976">
        <v>7.45</v>
      </c>
      <c r="V976">
        <v>7.45</v>
      </c>
      <c r="W976">
        <v>16.55</v>
      </c>
      <c r="X976" t="s">
        <v>868</v>
      </c>
      <c r="Y976" t="s">
        <v>547</v>
      </c>
      <c r="Z976">
        <v>5.23</v>
      </c>
      <c r="AA976">
        <v>7.54</v>
      </c>
      <c r="AB976">
        <v>173634</v>
      </c>
      <c r="AC976">
        <v>170956</v>
      </c>
      <c r="AD976">
        <v>1.02</v>
      </c>
      <c r="AE976">
        <v>913</v>
      </c>
      <c r="AF976">
        <v>84</v>
      </c>
      <c r="AG976" t="s">
        <v>120</v>
      </c>
      <c r="AH976">
        <v>0.06</v>
      </c>
      <c r="AI976" t="s">
        <v>120</v>
      </c>
      <c r="AJ976">
        <v>3.94</v>
      </c>
      <c r="AK976" t="s">
        <v>5154</v>
      </c>
      <c r="AL976">
        <v>1.91</v>
      </c>
      <c r="AM976">
        <v>3919</v>
      </c>
      <c r="AN976">
        <v>88</v>
      </c>
      <c r="AO976">
        <v>2.2000000000000001E-3</v>
      </c>
      <c r="AP976">
        <v>0</v>
      </c>
      <c r="AQ976">
        <v>3.91</v>
      </c>
      <c r="AR976">
        <v>3.05</v>
      </c>
      <c r="AS976">
        <v>17.32</v>
      </c>
      <c r="AT976">
        <v>30.93</v>
      </c>
      <c r="AU976">
        <v>28.23</v>
      </c>
      <c r="AV976">
        <v>4</v>
      </c>
      <c r="AW976">
        <v>9.94</v>
      </c>
      <c r="AX976">
        <v>59.24</v>
      </c>
      <c r="AY976">
        <v>26.79</v>
      </c>
      <c r="AZ976">
        <v>76.66</v>
      </c>
      <c r="BA976">
        <v>0.54</v>
      </c>
      <c r="BB976" t="s">
        <v>168</v>
      </c>
      <c r="BF976">
        <v>1.2</v>
      </c>
      <c r="BG976">
        <v>-0.93</v>
      </c>
      <c r="BH976">
        <v>-3.62</v>
      </c>
      <c r="BI976">
        <v>1.5</v>
      </c>
      <c r="BJ976">
        <v>20210729</v>
      </c>
      <c r="BK976">
        <v>20110602</v>
      </c>
      <c r="BL976">
        <v>5.85</v>
      </c>
      <c r="BM976" t="s">
        <v>120</v>
      </c>
      <c r="BN976" t="s">
        <v>120</v>
      </c>
      <c r="BO976">
        <v>45.21</v>
      </c>
      <c r="BP976">
        <v>7.44</v>
      </c>
      <c r="BQ976">
        <v>21.77</v>
      </c>
      <c r="BR976">
        <v>0.81</v>
      </c>
      <c r="BS976">
        <v>50.08</v>
      </c>
      <c r="BT976">
        <v>32.840000000000003</v>
      </c>
      <c r="BU976">
        <v>4.4000000000000004</v>
      </c>
      <c r="BV976">
        <v>0.72</v>
      </c>
      <c r="BW976">
        <v>20.98</v>
      </c>
      <c r="BX976">
        <v>6.8</v>
      </c>
      <c r="BY976">
        <v>7.37</v>
      </c>
      <c r="BZ976">
        <v>11</v>
      </c>
      <c r="CA976">
        <v>0</v>
      </c>
      <c r="CB976">
        <v>6.69</v>
      </c>
      <c r="CC976">
        <v>32.32</v>
      </c>
      <c r="CD976">
        <v>29.77</v>
      </c>
      <c r="CE976">
        <v>1.43</v>
      </c>
      <c r="CF976">
        <v>1.07</v>
      </c>
      <c r="CG976">
        <v>1.42</v>
      </c>
      <c r="CH976">
        <v>1.27</v>
      </c>
      <c r="CI976">
        <v>1.32</v>
      </c>
      <c r="CJ976">
        <v>0</v>
      </c>
      <c r="CK976">
        <v>0.21</v>
      </c>
      <c r="CL976">
        <v>8.0399999999999991</v>
      </c>
      <c r="CM976">
        <v>0.78</v>
      </c>
      <c r="CN976">
        <v>-0.24</v>
      </c>
      <c r="CO976">
        <v>48537</v>
      </c>
      <c r="CP976">
        <v>7143</v>
      </c>
      <c r="CQ976" t="s">
        <v>1545</v>
      </c>
      <c r="CR976">
        <v>409.79</v>
      </c>
      <c r="CS976">
        <v>-1.4</v>
      </c>
      <c r="CT976">
        <v>2</v>
      </c>
      <c r="CU976">
        <v>55.61</v>
      </c>
      <c r="CV976">
        <v>1.35</v>
      </c>
      <c r="CW976">
        <v>0</v>
      </c>
      <c r="CX976" t="s">
        <v>694</v>
      </c>
      <c r="CY976">
        <v>3.72</v>
      </c>
      <c r="CZ976">
        <v>0</v>
      </c>
      <c r="DA976">
        <v>1.1399999999999999</v>
      </c>
      <c r="DB976">
        <v>1.37</v>
      </c>
      <c r="DC976">
        <v>0.13</v>
      </c>
      <c r="DD976">
        <v>48.14</v>
      </c>
      <c r="DE976" t="s">
        <v>5611</v>
      </c>
      <c r="DF976">
        <v>7.9</v>
      </c>
      <c r="DG976">
        <v>4.41</v>
      </c>
      <c r="DH976">
        <v>4.08</v>
      </c>
      <c r="DI976">
        <v>0.49</v>
      </c>
      <c r="DJ976">
        <v>1263</v>
      </c>
      <c r="DK976">
        <v>2584</v>
      </c>
      <c r="DL976" t="s">
        <v>120</v>
      </c>
      <c r="DM976" t="s">
        <v>120</v>
      </c>
      <c r="DN976" t="s">
        <v>120</v>
      </c>
    </row>
    <row r="977" spans="1:118">
      <c r="A977" t="str">
        <f>"002585"</f>
        <v>002585</v>
      </c>
      <c r="B977" t="s">
        <v>5612</v>
      </c>
      <c r="C977">
        <v>-5.83</v>
      </c>
      <c r="D977">
        <v>0.11</v>
      </c>
      <c r="E977">
        <v>-0.35</v>
      </c>
      <c r="F977">
        <v>8363</v>
      </c>
      <c r="G977" t="s">
        <v>5613</v>
      </c>
      <c r="H977">
        <v>80115.8</v>
      </c>
      <c r="I977">
        <v>667.73</v>
      </c>
      <c r="J977" t="s">
        <v>120</v>
      </c>
      <c r="K977" t="s">
        <v>5614</v>
      </c>
      <c r="L977">
        <v>3.37</v>
      </c>
      <c r="M977">
        <v>26.66</v>
      </c>
      <c r="N977">
        <v>1.06</v>
      </c>
      <c r="O977">
        <v>1.27</v>
      </c>
      <c r="P977">
        <v>28.67</v>
      </c>
      <c r="Q977">
        <v>-6.29</v>
      </c>
      <c r="R977">
        <v>26.53</v>
      </c>
      <c r="S977">
        <v>28.21</v>
      </c>
      <c r="T977">
        <v>291961</v>
      </c>
      <c r="U977">
        <v>26.68</v>
      </c>
      <c r="V977">
        <v>28.31</v>
      </c>
      <c r="W977">
        <v>25.52</v>
      </c>
      <c r="X977" t="s">
        <v>2211</v>
      </c>
      <c r="Y977" t="s">
        <v>319</v>
      </c>
      <c r="Z977">
        <v>7.56</v>
      </c>
      <c r="AA977">
        <v>27.44</v>
      </c>
      <c r="AB977">
        <v>164750</v>
      </c>
      <c r="AC977">
        <v>127211</v>
      </c>
      <c r="AD977">
        <v>1.3</v>
      </c>
      <c r="AE977">
        <v>309</v>
      </c>
      <c r="AF977">
        <v>30</v>
      </c>
      <c r="AG977" t="s">
        <v>120</v>
      </c>
      <c r="AH977">
        <v>0.04</v>
      </c>
      <c r="AI977" t="s">
        <v>120</v>
      </c>
      <c r="AJ977">
        <v>8.67</v>
      </c>
      <c r="AK977" t="s">
        <v>5615</v>
      </c>
      <c r="AL977">
        <v>-3.91</v>
      </c>
      <c r="AM977">
        <v>4380</v>
      </c>
      <c r="AN977">
        <v>67</v>
      </c>
      <c r="AO977">
        <v>8.0000000000000004E-4</v>
      </c>
      <c r="AP977">
        <v>-2</v>
      </c>
      <c r="AQ977">
        <v>-4.74</v>
      </c>
      <c r="AR977">
        <v>-1.33</v>
      </c>
      <c r="AS977">
        <v>5.38</v>
      </c>
      <c r="AT977">
        <v>39.950000000000003</v>
      </c>
      <c r="AU977">
        <v>170.39</v>
      </c>
      <c r="AV977">
        <v>8</v>
      </c>
      <c r="AW977">
        <v>4.47</v>
      </c>
      <c r="AX977">
        <v>56.5</v>
      </c>
      <c r="AY977">
        <v>29.97</v>
      </c>
      <c r="AZ977">
        <v>45.43</v>
      </c>
      <c r="BA977">
        <v>1.7</v>
      </c>
      <c r="BB977" t="s">
        <v>143</v>
      </c>
      <c r="BF977">
        <v>-3.07</v>
      </c>
      <c r="BG977">
        <v>-5.49</v>
      </c>
      <c r="BH977">
        <v>-7.01</v>
      </c>
      <c r="BI977">
        <v>0.49</v>
      </c>
      <c r="BJ977">
        <v>20210812</v>
      </c>
      <c r="BK977">
        <v>20110602</v>
      </c>
      <c r="BL977">
        <v>11.56</v>
      </c>
      <c r="BM977" t="s">
        <v>120</v>
      </c>
      <c r="BN977" t="s">
        <v>120</v>
      </c>
      <c r="BO977">
        <v>106.7</v>
      </c>
      <c r="BP977">
        <v>26.66</v>
      </c>
      <c r="BQ977">
        <v>85.86</v>
      </c>
      <c r="BR977" t="s">
        <v>120</v>
      </c>
      <c r="BS977">
        <v>19.53</v>
      </c>
      <c r="BT977">
        <v>51.4</v>
      </c>
      <c r="BU977">
        <v>31.74</v>
      </c>
      <c r="BV977">
        <v>3.5</v>
      </c>
      <c r="BW977">
        <v>20.77</v>
      </c>
      <c r="BX977">
        <v>14.02</v>
      </c>
      <c r="BY977">
        <v>13.88</v>
      </c>
      <c r="BZ977">
        <v>9.8800000000000008</v>
      </c>
      <c r="CA977" t="s">
        <v>120</v>
      </c>
      <c r="CB977">
        <v>51.86</v>
      </c>
      <c r="CC977">
        <v>26.41</v>
      </c>
      <c r="CD977">
        <v>17.5</v>
      </c>
      <c r="CE977">
        <v>7.08</v>
      </c>
      <c r="CF977">
        <v>0.09</v>
      </c>
      <c r="CG977">
        <v>7.08</v>
      </c>
      <c r="CH977">
        <v>6.04</v>
      </c>
      <c r="CI977">
        <v>6.04</v>
      </c>
      <c r="CJ977">
        <v>-1.65</v>
      </c>
      <c r="CK977">
        <v>5.76</v>
      </c>
      <c r="CL977">
        <v>21.04</v>
      </c>
      <c r="CM977">
        <v>5.87</v>
      </c>
      <c r="CN977">
        <v>-1.08</v>
      </c>
      <c r="CO977">
        <v>51060</v>
      </c>
      <c r="CP977">
        <v>12795</v>
      </c>
      <c r="CQ977" t="s">
        <v>5616</v>
      </c>
      <c r="CR977">
        <v>160.28</v>
      </c>
      <c r="CS977">
        <v>23.1</v>
      </c>
      <c r="CT977">
        <v>3.59</v>
      </c>
      <c r="CU977">
        <v>52.5</v>
      </c>
      <c r="CV977">
        <v>11.67</v>
      </c>
      <c r="CW977">
        <v>0.7</v>
      </c>
      <c r="CX977" t="s">
        <v>948</v>
      </c>
      <c r="CY977">
        <v>7.43</v>
      </c>
      <c r="CZ977">
        <v>0</v>
      </c>
      <c r="DA977">
        <v>4.4800000000000004</v>
      </c>
      <c r="DB977">
        <v>1.82</v>
      </c>
      <c r="DC977">
        <v>0.51</v>
      </c>
      <c r="DD977">
        <v>80.47</v>
      </c>
      <c r="DE977" t="s">
        <v>5617</v>
      </c>
      <c r="DF977">
        <v>33.729999999999997</v>
      </c>
      <c r="DG977">
        <v>26.8</v>
      </c>
      <c r="DH977">
        <v>22.86</v>
      </c>
      <c r="DI977">
        <v>1.1000000000000001</v>
      </c>
      <c r="DJ977">
        <v>1591</v>
      </c>
      <c r="DK977">
        <v>2585</v>
      </c>
      <c r="DL977">
        <v>20210526</v>
      </c>
      <c r="DM977">
        <v>14.99</v>
      </c>
      <c r="DN977">
        <v>79.19</v>
      </c>
    </row>
    <row r="978" spans="1:118">
      <c r="A978" t="str">
        <f>"002587"</f>
        <v>002587</v>
      </c>
      <c r="B978" t="s">
        <v>5618</v>
      </c>
      <c r="C978">
        <v>-1.52</v>
      </c>
      <c r="D978">
        <v>-0.21</v>
      </c>
      <c r="E978">
        <v>0.65</v>
      </c>
      <c r="F978">
        <v>1442</v>
      </c>
      <c r="G978" t="s">
        <v>5619</v>
      </c>
      <c r="H978">
        <v>2454.44</v>
      </c>
      <c r="I978">
        <v>6.18</v>
      </c>
      <c r="J978" t="s">
        <v>120</v>
      </c>
      <c r="K978" t="s">
        <v>3326</v>
      </c>
      <c r="L978">
        <v>1.1200000000000001</v>
      </c>
      <c r="M978">
        <v>4.55</v>
      </c>
      <c r="N978">
        <v>0.93</v>
      </c>
      <c r="O978">
        <v>1.52</v>
      </c>
      <c r="P978">
        <v>4.6900000000000004</v>
      </c>
      <c r="Q978">
        <v>-1.73</v>
      </c>
      <c r="R978">
        <v>4.54</v>
      </c>
      <c r="S978">
        <v>4.6500000000000004</v>
      </c>
      <c r="T978">
        <v>53131</v>
      </c>
      <c r="U978">
        <v>4.5599999999999996</v>
      </c>
      <c r="V978">
        <v>4.62</v>
      </c>
      <c r="W978">
        <v>136.47999999999999</v>
      </c>
      <c r="X978" t="s">
        <v>229</v>
      </c>
      <c r="Y978" t="s">
        <v>123</v>
      </c>
      <c r="Z978">
        <v>3.25</v>
      </c>
      <c r="AA978">
        <v>4.62</v>
      </c>
      <c r="AB978">
        <v>31302</v>
      </c>
      <c r="AC978">
        <v>21829</v>
      </c>
      <c r="AD978">
        <v>1.43</v>
      </c>
      <c r="AE978">
        <v>531</v>
      </c>
      <c r="AF978">
        <v>116</v>
      </c>
      <c r="AG978" t="s">
        <v>120</v>
      </c>
      <c r="AH978">
        <v>0</v>
      </c>
      <c r="AI978" t="s">
        <v>120</v>
      </c>
      <c r="AJ978">
        <v>4.7300000000000004</v>
      </c>
      <c r="AK978" t="s">
        <v>5620</v>
      </c>
      <c r="AL978">
        <v>0.4</v>
      </c>
      <c r="AM978">
        <v>1069</v>
      </c>
      <c r="AN978">
        <v>50</v>
      </c>
      <c r="AO978">
        <v>1.1000000000000001E-3</v>
      </c>
      <c r="AP978">
        <v>-6</v>
      </c>
      <c r="AQ978">
        <v>-0.65</v>
      </c>
      <c r="AR978">
        <v>-5.01</v>
      </c>
      <c r="AS978">
        <v>-0.44</v>
      </c>
      <c r="AT978">
        <v>-7.52</v>
      </c>
      <c r="AU978">
        <v>-17.579999999999998</v>
      </c>
      <c r="AV978">
        <v>3</v>
      </c>
      <c r="AW978">
        <v>1.25</v>
      </c>
      <c r="AX978">
        <v>65.209999999999994</v>
      </c>
      <c r="AY978" t="s">
        <v>120</v>
      </c>
      <c r="AZ978" t="s">
        <v>120</v>
      </c>
      <c r="BA978">
        <v>0.55000000000000004</v>
      </c>
      <c r="BB978" t="s">
        <v>240</v>
      </c>
      <c r="BF978">
        <v>-0.01</v>
      </c>
      <c r="BG978">
        <v>-2.15</v>
      </c>
      <c r="BH978">
        <v>-2.99</v>
      </c>
      <c r="BI978">
        <v>0.22</v>
      </c>
      <c r="BJ978">
        <v>20210810</v>
      </c>
      <c r="BK978">
        <v>20110610</v>
      </c>
      <c r="BL978">
        <v>6.52</v>
      </c>
      <c r="BM978" t="s">
        <v>120</v>
      </c>
      <c r="BN978" t="s">
        <v>120</v>
      </c>
      <c r="BO978">
        <v>21.5</v>
      </c>
      <c r="BP978">
        <v>4.55</v>
      </c>
      <c r="BQ978">
        <v>13.58</v>
      </c>
      <c r="BR978">
        <v>0.19</v>
      </c>
      <c r="BS978">
        <v>35.97</v>
      </c>
      <c r="BT978">
        <v>17.2</v>
      </c>
      <c r="BU978">
        <v>1.39</v>
      </c>
      <c r="BV978">
        <v>1.28</v>
      </c>
      <c r="BW978">
        <v>7.56</v>
      </c>
      <c r="BX978">
        <v>4.4400000000000004</v>
      </c>
      <c r="BY978">
        <v>2.64</v>
      </c>
      <c r="BZ978">
        <v>4.97</v>
      </c>
      <c r="CA978" t="s">
        <v>120</v>
      </c>
      <c r="CB978">
        <v>3.62</v>
      </c>
      <c r="CC978">
        <v>3.8</v>
      </c>
      <c r="CD978">
        <v>2.64</v>
      </c>
      <c r="CE978">
        <v>0.06</v>
      </c>
      <c r="CF978">
        <v>0.04</v>
      </c>
      <c r="CG978">
        <v>7.0000000000000007E-2</v>
      </c>
      <c r="CH978">
        <v>0.1</v>
      </c>
      <c r="CI978">
        <v>0.11</v>
      </c>
      <c r="CJ978">
        <v>-7.0000000000000007E-2</v>
      </c>
      <c r="CK978">
        <v>-0.01</v>
      </c>
      <c r="CL978">
        <v>3.23</v>
      </c>
      <c r="CM978">
        <v>-1.21</v>
      </c>
      <c r="CN978">
        <v>-2.04</v>
      </c>
      <c r="CO978">
        <v>31394</v>
      </c>
      <c r="CP978">
        <v>13545</v>
      </c>
      <c r="CQ978" t="s">
        <v>5621</v>
      </c>
      <c r="CR978">
        <v>-4.08</v>
      </c>
      <c r="CS978">
        <v>3.97</v>
      </c>
      <c r="CT978">
        <v>2.1800000000000002</v>
      </c>
      <c r="CU978">
        <v>-24.5</v>
      </c>
      <c r="CV978">
        <v>7.8</v>
      </c>
      <c r="CW978">
        <v>0.43</v>
      </c>
      <c r="CX978" t="s">
        <v>499</v>
      </c>
      <c r="CY978">
        <v>2.08</v>
      </c>
      <c r="CZ978">
        <v>0</v>
      </c>
      <c r="DA978">
        <v>0.55000000000000004</v>
      </c>
      <c r="DB978">
        <v>0.5</v>
      </c>
      <c r="DC978">
        <v>-0.19</v>
      </c>
      <c r="DD978">
        <v>63.16</v>
      </c>
      <c r="DE978" t="s">
        <v>4633</v>
      </c>
      <c r="DF978">
        <v>30.52</v>
      </c>
      <c r="DG978">
        <v>1.7</v>
      </c>
      <c r="DH978">
        <v>2.86</v>
      </c>
      <c r="DI978">
        <v>0.37</v>
      </c>
      <c r="DJ978">
        <v>1364</v>
      </c>
      <c r="DK978">
        <v>2587</v>
      </c>
      <c r="DL978" t="s">
        <v>120</v>
      </c>
      <c r="DM978" t="s">
        <v>120</v>
      </c>
      <c r="DN978" t="s">
        <v>120</v>
      </c>
    </row>
    <row r="979" spans="1:118">
      <c r="A979" t="str">
        <f>"002588"</f>
        <v>002588</v>
      </c>
      <c r="B979" t="s">
        <v>5622</v>
      </c>
      <c r="C979">
        <v>-2.39</v>
      </c>
      <c r="D979">
        <v>0.14000000000000001</v>
      </c>
      <c r="E979">
        <v>1.99</v>
      </c>
      <c r="F979">
        <v>4581</v>
      </c>
      <c r="G979" t="s">
        <v>5623</v>
      </c>
      <c r="H979">
        <v>41264.94</v>
      </c>
      <c r="I979">
        <v>435.07</v>
      </c>
      <c r="J979" t="s">
        <v>120</v>
      </c>
      <c r="K979" t="s">
        <v>2501</v>
      </c>
      <c r="L979">
        <v>6.94</v>
      </c>
      <c r="M979">
        <v>7.35</v>
      </c>
      <c r="N979">
        <v>1.1499999999999999</v>
      </c>
      <c r="O979">
        <v>3.32</v>
      </c>
      <c r="P979">
        <v>7.78</v>
      </c>
      <c r="Q979">
        <v>-3.19</v>
      </c>
      <c r="R979">
        <v>7.29</v>
      </c>
      <c r="S979">
        <v>7.68</v>
      </c>
      <c r="T979">
        <v>552281</v>
      </c>
      <c r="U979">
        <v>7.35</v>
      </c>
      <c r="V979">
        <v>7.53</v>
      </c>
      <c r="W979">
        <v>15.35</v>
      </c>
      <c r="X979" t="s">
        <v>690</v>
      </c>
      <c r="Y979" t="s">
        <v>638</v>
      </c>
      <c r="Z979">
        <v>6.51</v>
      </c>
      <c r="AA979">
        <v>7.47</v>
      </c>
      <c r="AB979">
        <v>305260</v>
      </c>
      <c r="AC979">
        <v>247021</v>
      </c>
      <c r="AD979">
        <v>1.24</v>
      </c>
      <c r="AE979">
        <v>2079</v>
      </c>
      <c r="AF979">
        <v>1094</v>
      </c>
      <c r="AG979" t="s">
        <v>120</v>
      </c>
      <c r="AH979">
        <v>0.11</v>
      </c>
      <c r="AI979" t="s">
        <v>120</v>
      </c>
      <c r="AJ979">
        <v>7.96</v>
      </c>
      <c r="AK979" t="s">
        <v>5624</v>
      </c>
      <c r="AL979">
        <v>-0.48</v>
      </c>
      <c r="AM979">
        <v>4115</v>
      </c>
      <c r="AN979">
        <v>134</v>
      </c>
      <c r="AO979">
        <v>1.6999999999999999E-3</v>
      </c>
      <c r="AP979">
        <v>-1</v>
      </c>
      <c r="AQ979">
        <v>5.0199999999999996</v>
      </c>
      <c r="AR979">
        <v>-0.68</v>
      </c>
      <c r="AS979">
        <v>26.29</v>
      </c>
      <c r="AT979">
        <v>39.74</v>
      </c>
      <c r="AU979">
        <v>29.63</v>
      </c>
      <c r="AV979">
        <v>2</v>
      </c>
      <c r="AW979">
        <v>10.44</v>
      </c>
      <c r="AX979">
        <v>45.74</v>
      </c>
      <c r="AY979">
        <v>20.43</v>
      </c>
      <c r="AZ979">
        <v>30.28</v>
      </c>
      <c r="BA979">
        <v>0.79</v>
      </c>
      <c r="BB979" t="s">
        <v>168</v>
      </c>
      <c r="BF979">
        <v>-0.77</v>
      </c>
      <c r="BG979">
        <v>-4.3</v>
      </c>
      <c r="BH979">
        <v>-5.53</v>
      </c>
      <c r="BI979">
        <v>0.82</v>
      </c>
      <c r="BJ979">
        <v>20210913</v>
      </c>
      <c r="BK979">
        <v>20110610</v>
      </c>
      <c r="BL979">
        <v>11.57</v>
      </c>
      <c r="BM979" t="s">
        <v>120</v>
      </c>
      <c r="BN979" t="s">
        <v>120</v>
      </c>
      <c r="BO979">
        <v>75.19</v>
      </c>
      <c r="BP979">
        <v>7.34</v>
      </c>
      <c r="BQ979">
        <v>48.66</v>
      </c>
      <c r="BR979">
        <v>0.56999999999999995</v>
      </c>
      <c r="BS979">
        <v>34.54</v>
      </c>
      <c r="BT979">
        <v>47.01</v>
      </c>
      <c r="BU979">
        <v>21.31</v>
      </c>
      <c r="BV979">
        <v>4.1100000000000003</v>
      </c>
      <c r="BW979">
        <v>23.89</v>
      </c>
      <c r="BX979">
        <v>18.7</v>
      </c>
      <c r="BY979">
        <v>9.57</v>
      </c>
      <c r="BZ979">
        <v>0.11</v>
      </c>
      <c r="CA979" t="s">
        <v>120</v>
      </c>
      <c r="CB979">
        <v>2.97</v>
      </c>
      <c r="CC979">
        <v>35.200000000000003</v>
      </c>
      <c r="CD979">
        <v>28.49</v>
      </c>
      <c r="CE979">
        <v>3.13</v>
      </c>
      <c r="CF979">
        <v>0.16</v>
      </c>
      <c r="CG979">
        <v>3.14</v>
      </c>
      <c r="CH979">
        <v>2.72</v>
      </c>
      <c r="CI979">
        <v>2.77</v>
      </c>
      <c r="CJ979">
        <v>-0.18</v>
      </c>
      <c r="CK979">
        <v>2.44</v>
      </c>
      <c r="CL979">
        <v>30.66</v>
      </c>
      <c r="CM979">
        <v>5.93</v>
      </c>
      <c r="CN979">
        <v>3.66</v>
      </c>
      <c r="CO979">
        <v>44747</v>
      </c>
      <c r="CP979">
        <v>11826</v>
      </c>
      <c r="CQ979" t="s">
        <v>5625</v>
      </c>
      <c r="CR979">
        <v>100.41</v>
      </c>
      <c r="CS979">
        <v>4.72</v>
      </c>
      <c r="CT979">
        <v>1.75</v>
      </c>
      <c r="CU979">
        <v>14.34</v>
      </c>
      <c r="CV979">
        <v>2.42</v>
      </c>
      <c r="CW979">
        <v>0.93</v>
      </c>
      <c r="CX979" t="s">
        <v>626</v>
      </c>
      <c r="CY979">
        <v>4.21</v>
      </c>
      <c r="CZ979">
        <v>0</v>
      </c>
      <c r="DA979">
        <v>0.26</v>
      </c>
      <c r="DB979">
        <v>2.65</v>
      </c>
      <c r="DC979">
        <v>0.51</v>
      </c>
      <c r="DD979">
        <v>64.709999999999994</v>
      </c>
      <c r="DE979" t="s">
        <v>5626</v>
      </c>
      <c r="DF979">
        <v>19.07</v>
      </c>
      <c r="DG979">
        <v>8.8800000000000008</v>
      </c>
      <c r="DH979">
        <v>7.87</v>
      </c>
      <c r="DI979">
        <v>1.37</v>
      </c>
      <c r="DJ979">
        <v>3441</v>
      </c>
      <c r="DK979">
        <v>2588</v>
      </c>
      <c r="DL979" t="s">
        <v>120</v>
      </c>
      <c r="DM979" t="s">
        <v>120</v>
      </c>
      <c r="DN979" t="s">
        <v>120</v>
      </c>
    </row>
    <row r="980" spans="1:118">
      <c r="A980" t="str">
        <f>"002589"</f>
        <v>002589</v>
      </c>
      <c r="B980" t="s">
        <v>5627</v>
      </c>
      <c r="C980">
        <v>-2</v>
      </c>
      <c r="D980">
        <v>0</v>
      </c>
      <c r="E980">
        <v>0</v>
      </c>
      <c r="F980">
        <v>3305</v>
      </c>
      <c r="G980" t="s">
        <v>417</v>
      </c>
      <c r="H980">
        <v>5837.08</v>
      </c>
      <c r="I980">
        <v>11.36</v>
      </c>
      <c r="J980" t="s">
        <v>120</v>
      </c>
      <c r="K980" t="s">
        <v>5628</v>
      </c>
      <c r="L980">
        <v>1.28</v>
      </c>
      <c r="M980">
        <v>3.92</v>
      </c>
      <c r="N980">
        <v>0.89</v>
      </c>
      <c r="O980">
        <v>1</v>
      </c>
      <c r="P980">
        <v>4.04</v>
      </c>
      <c r="Q980">
        <v>-2</v>
      </c>
      <c r="R980">
        <v>3.92</v>
      </c>
      <c r="S980">
        <v>4</v>
      </c>
      <c r="T980">
        <v>146706</v>
      </c>
      <c r="U980">
        <v>3.93</v>
      </c>
      <c r="V980">
        <v>4</v>
      </c>
      <c r="W980">
        <v>25.52</v>
      </c>
      <c r="X980" t="s">
        <v>274</v>
      </c>
      <c r="Y980" t="s">
        <v>638</v>
      </c>
      <c r="Z980">
        <v>3</v>
      </c>
      <c r="AA980">
        <v>3.98</v>
      </c>
      <c r="AB980">
        <v>95478</v>
      </c>
      <c r="AC980">
        <v>51228</v>
      </c>
      <c r="AD980">
        <v>1.86</v>
      </c>
      <c r="AE980">
        <v>177</v>
      </c>
      <c r="AF980">
        <v>152</v>
      </c>
      <c r="AG980" t="s">
        <v>120</v>
      </c>
      <c r="AH980">
        <v>0</v>
      </c>
      <c r="AI980" t="s">
        <v>120</v>
      </c>
      <c r="AJ980">
        <v>11.47</v>
      </c>
      <c r="AK980" t="s">
        <v>5629</v>
      </c>
      <c r="AL980">
        <v>-0.09</v>
      </c>
      <c r="AM980">
        <v>1619</v>
      </c>
      <c r="AN980">
        <v>91</v>
      </c>
      <c r="AO980">
        <v>8.0000000000000004E-4</v>
      </c>
      <c r="AP980">
        <v>-3</v>
      </c>
      <c r="AQ980">
        <v>-0.25</v>
      </c>
      <c r="AR980">
        <v>-3.93</v>
      </c>
      <c r="AS980">
        <v>2.89</v>
      </c>
      <c r="AT980">
        <v>-14.97</v>
      </c>
      <c r="AU980">
        <v>-24.78</v>
      </c>
      <c r="AV980">
        <v>1</v>
      </c>
      <c r="AW980">
        <v>1.54</v>
      </c>
      <c r="AX980">
        <v>63.33</v>
      </c>
      <c r="AY980">
        <v>26.95</v>
      </c>
      <c r="AZ980">
        <v>23.03</v>
      </c>
      <c r="BA980">
        <v>0.41</v>
      </c>
      <c r="BB980" t="s">
        <v>143</v>
      </c>
      <c r="BF980">
        <v>-0.53</v>
      </c>
      <c r="BG980">
        <v>-2</v>
      </c>
      <c r="BH980">
        <v>-2.97</v>
      </c>
      <c r="BI980">
        <v>0</v>
      </c>
      <c r="BJ980">
        <v>20210831</v>
      </c>
      <c r="BK980">
        <v>20110610</v>
      </c>
      <c r="BL980">
        <v>15.05</v>
      </c>
      <c r="BM980" t="s">
        <v>120</v>
      </c>
      <c r="BN980" t="s">
        <v>120</v>
      </c>
      <c r="BO980">
        <v>294.8</v>
      </c>
      <c r="BP980">
        <v>3.92</v>
      </c>
      <c r="BQ980">
        <v>75.58</v>
      </c>
      <c r="BR980">
        <v>24.91</v>
      </c>
      <c r="BS980">
        <v>65.91</v>
      </c>
      <c r="BT980">
        <v>238.14</v>
      </c>
      <c r="BU980">
        <v>21.21</v>
      </c>
      <c r="BV980">
        <v>3.41</v>
      </c>
      <c r="BW980">
        <v>192</v>
      </c>
      <c r="BX980">
        <v>50.32</v>
      </c>
      <c r="BY980">
        <v>24.08</v>
      </c>
      <c r="BZ980">
        <v>121.15</v>
      </c>
      <c r="CA980" t="s">
        <v>120</v>
      </c>
      <c r="CB980">
        <v>40.19</v>
      </c>
      <c r="CC980">
        <v>127.11</v>
      </c>
      <c r="CD980">
        <v>105.18</v>
      </c>
      <c r="CE980">
        <v>4.01</v>
      </c>
      <c r="CF980">
        <v>1.95</v>
      </c>
      <c r="CG980">
        <v>3.9</v>
      </c>
      <c r="CH980">
        <v>3</v>
      </c>
      <c r="CI980">
        <v>1.1599999999999999</v>
      </c>
      <c r="CJ980">
        <v>-0.08</v>
      </c>
      <c r="CK980">
        <v>0.13</v>
      </c>
      <c r="CL980">
        <v>21.3</v>
      </c>
      <c r="CM980">
        <v>5.97</v>
      </c>
      <c r="CN980">
        <v>-2.2999999999999998</v>
      </c>
      <c r="CO980">
        <v>61298</v>
      </c>
      <c r="CP980">
        <v>15545</v>
      </c>
      <c r="CQ980" t="s">
        <v>1139</v>
      </c>
      <c r="CR980">
        <v>-24.72</v>
      </c>
      <c r="CS980">
        <v>0.08</v>
      </c>
      <c r="CT980">
        <v>0.78</v>
      </c>
      <c r="CU980">
        <v>9.8800000000000008</v>
      </c>
      <c r="CV980">
        <v>0.46</v>
      </c>
      <c r="CW980">
        <v>0.44</v>
      </c>
      <c r="CX980" t="s">
        <v>535</v>
      </c>
      <c r="CY980">
        <v>5.0199999999999996</v>
      </c>
      <c r="CZ980">
        <v>0</v>
      </c>
      <c r="DA980">
        <v>2.67</v>
      </c>
      <c r="DB980">
        <v>1.42</v>
      </c>
      <c r="DC980">
        <v>0.4</v>
      </c>
      <c r="DD980">
        <v>25.64</v>
      </c>
      <c r="DE980" t="s">
        <v>2358</v>
      </c>
      <c r="DF980">
        <v>17.260000000000002</v>
      </c>
      <c r="DG980">
        <v>3.15</v>
      </c>
      <c r="DH980">
        <v>0.91</v>
      </c>
      <c r="DI980">
        <v>0.03</v>
      </c>
      <c r="DJ980">
        <v>9219</v>
      </c>
      <c r="DK980">
        <v>2589</v>
      </c>
      <c r="DL980" t="s">
        <v>120</v>
      </c>
      <c r="DM980" t="s">
        <v>120</v>
      </c>
      <c r="DN980" t="s">
        <v>120</v>
      </c>
    </row>
    <row r="981" spans="1:118">
      <c r="A981" t="str">
        <f>"002590"</f>
        <v>002590</v>
      </c>
      <c r="B981" t="s">
        <v>5630</v>
      </c>
      <c r="C981">
        <v>-3.08</v>
      </c>
      <c r="D981">
        <v>1.07</v>
      </c>
      <c r="E981">
        <v>-0.13</v>
      </c>
      <c r="F981">
        <v>2000</v>
      </c>
      <c r="G981" t="s">
        <v>5631</v>
      </c>
      <c r="H981">
        <v>5942.94</v>
      </c>
      <c r="I981">
        <v>4.43</v>
      </c>
      <c r="J981" t="s">
        <v>120</v>
      </c>
      <c r="K981" t="s">
        <v>5632</v>
      </c>
      <c r="L981">
        <v>1.71</v>
      </c>
      <c r="M981">
        <v>7.55</v>
      </c>
      <c r="N981">
        <v>1.31</v>
      </c>
      <c r="O981">
        <v>0.13</v>
      </c>
      <c r="P981">
        <v>7.8</v>
      </c>
      <c r="Q981">
        <v>-4.1100000000000003</v>
      </c>
      <c r="R981">
        <v>7.47</v>
      </c>
      <c r="S981">
        <v>7.78</v>
      </c>
      <c r="T981">
        <v>77912</v>
      </c>
      <c r="U981">
        <v>7.55</v>
      </c>
      <c r="V981">
        <v>7.79</v>
      </c>
      <c r="W981">
        <v>134.38999999999999</v>
      </c>
      <c r="X981" t="s">
        <v>289</v>
      </c>
      <c r="Y981" t="s">
        <v>585</v>
      </c>
      <c r="Z981">
        <v>4.24</v>
      </c>
      <c r="AA981">
        <v>7.63</v>
      </c>
      <c r="AB981">
        <v>50076</v>
      </c>
      <c r="AC981">
        <v>27836</v>
      </c>
      <c r="AD981">
        <v>1.8</v>
      </c>
      <c r="AE981">
        <v>60</v>
      </c>
      <c r="AF981">
        <v>120</v>
      </c>
      <c r="AG981" t="s">
        <v>120</v>
      </c>
      <c r="AH981">
        <v>0</v>
      </c>
      <c r="AI981" t="s">
        <v>120</v>
      </c>
      <c r="AJ981">
        <v>4.5599999999999996</v>
      </c>
      <c r="AK981" t="s">
        <v>5633</v>
      </c>
      <c r="AL981">
        <v>-1.17</v>
      </c>
      <c r="AM981">
        <v>1376</v>
      </c>
      <c r="AN981">
        <v>57</v>
      </c>
      <c r="AO981">
        <v>1.1999999999999999E-3</v>
      </c>
      <c r="AP981">
        <v>-3</v>
      </c>
      <c r="AQ981">
        <v>-0.76</v>
      </c>
      <c r="AR981">
        <v>-5.63</v>
      </c>
      <c r="AS981">
        <v>-5.03</v>
      </c>
      <c r="AT981">
        <v>0</v>
      </c>
      <c r="AU981">
        <v>4.43</v>
      </c>
      <c r="AV981">
        <v>3</v>
      </c>
      <c r="AW981">
        <v>3.93</v>
      </c>
      <c r="AX981">
        <v>41.34</v>
      </c>
      <c r="AY981">
        <v>54</v>
      </c>
      <c r="AZ981">
        <v>58.25</v>
      </c>
      <c r="BA981">
        <v>0.08</v>
      </c>
      <c r="BB981" t="s">
        <v>143</v>
      </c>
      <c r="BF981">
        <v>-2.08</v>
      </c>
      <c r="BG981">
        <v>-2.96</v>
      </c>
      <c r="BH981">
        <v>-3.21</v>
      </c>
      <c r="BI981">
        <v>1.07</v>
      </c>
      <c r="BJ981">
        <v>20210825</v>
      </c>
      <c r="BK981">
        <v>20110610</v>
      </c>
      <c r="BL981">
        <v>4.8</v>
      </c>
      <c r="BM981" t="s">
        <v>120</v>
      </c>
      <c r="BN981" t="s">
        <v>120</v>
      </c>
      <c r="BO981">
        <v>37.020000000000003</v>
      </c>
      <c r="BP981">
        <v>7.49</v>
      </c>
      <c r="BQ981">
        <v>19.29</v>
      </c>
      <c r="BR981">
        <v>0.78</v>
      </c>
      <c r="BS981">
        <v>45.78</v>
      </c>
      <c r="BT981">
        <v>23.51</v>
      </c>
      <c r="BU981">
        <v>8.64</v>
      </c>
      <c r="BV981">
        <v>2.27</v>
      </c>
      <c r="BW981">
        <v>15.46</v>
      </c>
      <c r="BX981">
        <v>5.01</v>
      </c>
      <c r="BY981">
        <v>5.66</v>
      </c>
      <c r="BZ981">
        <v>6.6</v>
      </c>
      <c r="CA981" t="s">
        <v>120</v>
      </c>
      <c r="CB981">
        <v>8.02</v>
      </c>
      <c r="CC981">
        <v>13.53</v>
      </c>
      <c r="CD981">
        <v>11.43</v>
      </c>
      <c r="CE981">
        <v>0.03</v>
      </c>
      <c r="CF981">
        <v>-0.11</v>
      </c>
      <c r="CG981">
        <v>0.16</v>
      </c>
      <c r="CH981">
        <v>0.1</v>
      </c>
      <c r="CI981">
        <v>0.13</v>
      </c>
      <c r="CJ981">
        <v>-0.24</v>
      </c>
      <c r="CK981">
        <v>-0.12</v>
      </c>
      <c r="CL981">
        <v>5.49</v>
      </c>
      <c r="CM981">
        <v>-0.28000000000000003</v>
      </c>
      <c r="CN981">
        <v>-1.18</v>
      </c>
      <c r="CO981">
        <v>36861</v>
      </c>
      <c r="CP981">
        <v>5379</v>
      </c>
      <c r="CQ981" t="s">
        <v>1240</v>
      </c>
      <c r="CR981">
        <v>59.76</v>
      </c>
      <c r="CS981">
        <v>24.71</v>
      </c>
      <c r="CT981">
        <v>1.88</v>
      </c>
      <c r="CU981">
        <v>-128.21</v>
      </c>
      <c r="CV981">
        <v>2.68</v>
      </c>
      <c r="CW981">
        <v>0.64</v>
      </c>
      <c r="CX981" t="s">
        <v>2074</v>
      </c>
      <c r="CY981">
        <v>4.0199999999999996</v>
      </c>
      <c r="CZ981">
        <v>0</v>
      </c>
      <c r="DA981">
        <v>1.67</v>
      </c>
      <c r="DB981">
        <v>1.1399999999999999</v>
      </c>
      <c r="DC981">
        <v>-0.06</v>
      </c>
      <c r="DD981">
        <v>52.11</v>
      </c>
      <c r="DE981" t="s">
        <v>759</v>
      </c>
      <c r="DF981">
        <v>15.51</v>
      </c>
      <c r="DG981">
        <v>0.23</v>
      </c>
      <c r="DH981">
        <v>1</v>
      </c>
      <c r="DI981">
        <v>0.59</v>
      </c>
      <c r="DJ981">
        <v>3303</v>
      </c>
      <c r="DK981">
        <v>2590</v>
      </c>
      <c r="DL981" t="s">
        <v>120</v>
      </c>
      <c r="DM981" t="s">
        <v>120</v>
      </c>
      <c r="DN981" t="s">
        <v>120</v>
      </c>
    </row>
    <row r="982" spans="1:118">
      <c r="A982" t="str">
        <f>"002591"</f>
        <v>002591</v>
      </c>
      <c r="B982" t="s">
        <v>5634</v>
      </c>
      <c r="C982">
        <v>-1.21</v>
      </c>
      <c r="D982">
        <v>0</v>
      </c>
      <c r="E982">
        <v>-0.17</v>
      </c>
      <c r="F982">
        <v>640</v>
      </c>
      <c r="G982" t="s">
        <v>1353</v>
      </c>
      <c r="H982">
        <v>2548.09</v>
      </c>
      <c r="I982">
        <v>8.41</v>
      </c>
      <c r="J982" t="s">
        <v>120</v>
      </c>
      <c r="K982" t="s">
        <v>1858</v>
      </c>
      <c r="L982">
        <v>1.99</v>
      </c>
      <c r="M982">
        <v>5.7</v>
      </c>
      <c r="N982">
        <v>1.17</v>
      </c>
      <c r="O982">
        <v>2.4300000000000002</v>
      </c>
      <c r="P982">
        <v>5.91</v>
      </c>
      <c r="Q982">
        <v>-1.73</v>
      </c>
      <c r="R982">
        <v>5.67</v>
      </c>
      <c r="S982">
        <v>5.76</v>
      </c>
      <c r="T982">
        <v>44026</v>
      </c>
      <c r="U982">
        <v>5.7</v>
      </c>
      <c r="V982">
        <v>5.77</v>
      </c>
      <c r="W982">
        <v>42.6</v>
      </c>
      <c r="X982" t="s">
        <v>868</v>
      </c>
      <c r="Y982" t="s">
        <v>676</v>
      </c>
      <c r="Z982">
        <v>4.16</v>
      </c>
      <c r="AA982">
        <v>5.79</v>
      </c>
      <c r="AB982">
        <v>21479</v>
      </c>
      <c r="AC982">
        <v>22547</v>
      </c>
      <c r="AD982">
        <v>0.95</v>
      </c>
      <c r="AE982">
        <v>1267</v>
      </c>
      <c r="AF982">
        <v>760</v>
      </c>
      <c r="AG982" t="s">
        <v>120</v>
      </c>
      <c r="AH982">
        <v>0.01</v>
      </c>
      <c r="AI982" t="s">
        <v>120</v>
      </c>
      <c r="AJ982">
        <v>2.21</v>
      </c>
      <c r="AK982" t="s">
        <v>5635</v>
      </c>
      <c r="AL982">
        <v>0.7</v>
      </c>
      <c r="AM982">
        <v>1316</v>
      </c>
      <c r="AN982">
        <v>33</v>
      </c>
      <c r="AO982">
        <v>1.5E-3</v>
      </c>
      <c r="AP982">
        <v>-1</v>
      </c>
      <c r="AQ982">
        <v>1.41</v>
      </c>
      <c r="AR982">
        <v>0.71</v>
      </c>
      <c r="AS982">
        <v>7.95</v>
      </c>
      <c r="AT982">
        <v>-1.89</v>
      </c>
      <c r="AU982">
        <v>1.79</v>
      </c>
      <c r="AV982">
        <v>8</v>
      </c>
      <c r="AW982">
        <v>2.5</v>
      </c>
      <c r="AX982">
        <v>57.75</v>
      </c>
      <c r="AY982" t="s">
        <v>120</v>
      </c>
      <c r="AZ982" t="s">
        <v>120</v>
      </c>
      <c r="BA982">
        <v>0.56999999999999995</v>
      </c>
      <c r="BB982" t="s">
        <v>184</v>
      </c>
      <c r="BF982">
        <v>0.31</v>
      </c>
      <c r="BG982">
        <v>-1.04</v>
      </c>
      <c r="BH982">
        <v>-3.55</v>
      </c>
      <c r="BI982">
        <v>0.53</v>
      </c>
      <c r="BJ982">
        <v>20210902</v>
      </c>
      <c r="BK982">
        <v>20110621</v>
      </c>
      <c r="BL982">
        <v>3.04</v>
      </c>
      <c r="BM982" t="s">
        <v>120</v>
      </c>
      <c r="BN982" t="s">
        <v>120</v>
      </c>
      <c r="BO982">
        <v>10.57</v>
      </c>
      <c r="BP982">
        <v>5.69</v>
      </c>
      <c r="BQ982">
        <v>7.78</v>
      </c>
      <c r="BR982">
        <v>0.18</v>
      </c>
      <c r="BS982">
        <v>24.69</v>
      </c>
      <c r="BT982">
        <v>6.46</v>
      </c>
      <c r="BU982">
        <v>1.82</v>
      </c>
      <c r="BV982">
        <v>0.26</v>
      </c>
      <c r="BW982">
        <v>2.16</v>
      </c>
      <c r="BX982">
        <v>1.25</v>
      </c>
      <c r="BY982">
        <v>0.94</v>
      </c>
      <c r="BZ982">
        <v>1.88</v>
      </c>
      <c r="CA982" t="s">
        <v>120</v>
      </c>
      <c r="CB982">
        <v>8.49</v>
      </c>
      <c r="CC982">
        <v>2.63</v>
      </c>
      <c r="CD982">
        <v>1.97</v>
      </c>
      <c r="CE982">
        <v>0.19</v>
      </c>
      <c r="CF982">
        <v>0.02</v>
      </c>
      <c r="CG982">
        <v>0.22</v>
      </c>
      <c r="CH982">
        <v>0.2</v>
      </c>
      <c r="CI982">
        <v>0.2</v>
      </c>
      <c r="CJ982">
        <v>-7.0000000000000007E-2</v>
      </c>
      <c r="CK982">
        <v>0.16</v>
      </c>
      <c r="CL982">
        <v>-3.7</v>
      </c>
      <c r="CM982">
        <v>0.15</v>
      </c>
      <c r="CN982">
        <v>-0.23</v>
      </c>
      <c r="CO982">
        <v>23107</v>
      </c>
      <c r="CP982">
        <v>7609</v>
      </c>
      <c r="CQ982" t="s">
        <v>3950</v>
      </c>
      <c r="CR982">
        <v>-34.590000000000003</v>
      </c>
      <c r="CS982">
        <v>49.95</v>
      </c>
      <c r="CT982">
        <v>2.23</v>
      </c>
      <c r="CU982">
        <v>113.58</v>
      </c>
      <c r="CV982">
        <v>6.6</v>
      </c>
      <c r="CW982">
        <v>0</v>
      </c>
      <c r="CX982" t="s">
        <v>1845</v>
      </c>
      <c r="CY982">
        <v>2.56</v>
      </c>
      <c r="CZ982">
        <v>0</v>
      </c>
      <c r="DA982">
        <v>2.79</v>
      </c>
      <c r="DB982">
        <v>-1.21</v>
      </c>
      <c r="DC982">
        <v>0.05</v>
      </c>
      <c r="DD982">
        <v>73.62</v>
      </c>
      <c r="DE982" t="s">
        <v>5572</v>
      </c>
      <c r="DF982">
        <v>24.93</v>
      </c>
      <c r="DG982">
        <v>7.29</v>
      </c>
      <c r="DH982">
        <v>7.75</v>
      </c>
      <c r="DI982">
        <v>0.11</v>
      </c>
      <c r="DJ982">
        <v>666</v>
      </c>
      <c r="DK982">
        <v>2591</v>
      </c>
      <c r="DL982" t="s">
        <v>120</v>
      </c>
      <c r="DM982" t="s">
        <v>120</v>
      </c>
      <c r="DN982" t="s">
        <v>120</v>
      </c>
    </row>
    <row r="983" spans="1:118">
      <c r="A983" t="str">
        <f>"002593"</f>
        <v>002593</v>
      </c>
      <c r="B983" t="s">
        <v>5636</v>
      </c>
      <c r="C983">
        <v>-4.43</v>
      </c>
      <c r="D983">
        <v>-0.22</v>
      </c>
      <c r="E983">
        <v>0.22</v>
      </c>
      <c r="F983">
        <v>2979</v>
      </c>
      <c r="G983" t="s">
        <v>5637</v>
      </c>
      <c r="H983">
        <v>10008.67</v>
      </c>
      <c r="I983">
        <v>70.510000000000005</v>
      </c>
      <c r="J983" t="s">
        <v>120</v>
      </c>
      <c r="K983" t="s">
        <v>5638</v>
      </c>
      <c r="L983">
        <v>4.8600000000000003</v>
      </c>
      <c r="M983">
        <v>4.3099999999999996</v>
      </c>
      <c r="N983">
        <v>1.06</v>
      </c>
      <c r="O983">
        <v>0.89</v>
      </c>
      <c r="P983">
        <v>4.55</v>
      </c>
      <c r="Q983">
        <v>-5.0999999999999996</v>
      </c>
      <c r="R983">
        <v>4.28</v>
      </c>
      <c r="S983">
        <v>4.5199999999999996</v>
      </c>
      <c r="T983">
        <v>227236</v>
      </c>
      <c r="U983">
        <v>4.32</v>
      </c>
      <c r="V983">
        <v>4.51</v>
      </c>
      <c r="W983">
        <v>24.8</v>
      </c>
      <c r="X983" t="s">
        <v>289</v>
      </c>
      <c r="Y983" t="s">
        <v>937</v>
      </c>
      <c r="Z983">
        <v>5.99</v>
      </c>
      <c r="AA983">
        <v>4.4000000000000004</v>
      </c>
      <c r="AB983">
        <v>139503</v>
      </c>
      <c r="AC983">
        <v>87733</v>
      </c>
      <c r="AD983">
        <v>1.59</v>
      </c>
      <c r="AE983">
        <v>407</v>
      </c>
      <c r="AF983">
        <v>445</v>
      </c>
      <c r="AG983" t="s">
        <v>120</v>
      </c>
      <c r="AH983">
        <v>0.05</v>
      </c>
      <c r="AI983" t="s">
        <v>120</v>
      </c>
      <c r="AJ983">
        <v>4.68</v>
      </c>
      <c r="AK983" t="s">
        <v>5639</v>
      </c>
      <c r="AL983">
        <v>-2.52</v>
      </c>
      <c r="AM983">
        <v>2761</v>
      </c>
      <c r="AN983">
        <v>82</v>
      </c>
      <c r="AO983">
        <v>1.8E-3</v>
      </c>
      <c r="AP983">
        <v>-1</v>
      </c>
      <c r="AQ983">
        <v>4.4000000000000004</v>
      </c>
      <c r="AR983">
        <v>0.94</v>
      </c>
      <c r="AS983">
        <v>11.37</v>
      </c>
      <c r="AT983">
        <v>13.72</v>
      </c>
      <c r="AU983">
        <v>14.32</v>
      </c>
      <c r="AV983">
        <v>2</v>
      </c>
      <c r="AW983">
        <v>7.76</v>
      </c>
      <c r="AX983">
        <v>36.25</v>
      </c>
      <c r="AY983">
        <v>33.19</v>
      </c>
      <c r="AZ983">
        <v>46.42</v>
      </c>
      <c r="BA983">
        <v>0.26</v>
      </c>
      <c r="BB983" t="s">
        <v>751</v>
      </c>
      <c r="BF983">
        <v>-2.34</v>
      </c>
      <c r="BG983">
        <v>-4.6500000000000004</v>
      </c>
      <c r="BH983">
        <v>-5.27</v>
      </c>
      <c r="BI983">
        <v>0.7</v>
      </c>
      <c r="BJ983">
        <v>20210907</v>
      </c>
      <c r="BK983">
        <v>20110628</v>
      </c>
      <c r="BL983">
        <v>8.08</v>
      </c>
      <c r="BM983" t="s">
        <v>120</v>
      </c>
      <c r="BN983" t="s">
        <v>120</v>
      </c>
      <c r="BO983">
        <v>47.65</v>
      </c>
      <c r="BP983">
        <v>4.3099999999999996</v>
      </c>
      <c r="BQ983">
        <v>19.89</v>
      </c>
      <c r="BR983">
        <v>0.16</v>
      </c>
      <c r="BS983">
        <v>57.92</v>
      </c>
      <c r="BT983">
        <v>34.729999999999997</v>
      </c>
      <c r="BU983">
        <v>9.16</v>
      </c>
      <c r="BV983">
        <v>1.38</v>
      </c>
      <c r="BW983">
        <v>25.74</v>
      </c>
      <c r="BX983">
        <v>7.2</v>
      </c>
      <c r="BY983">
        <v>16.75</v>
      </c>
      <c r="BZ983">
        <v>7.43</v>
      </c>
      <c r="CA983" t="s">
        <v>120</v>
      </c>
      <c r="CB983">
        <v>7.38</v>
      </c>
      <c r="CC983">
        <v>20.059999999999999</v>
      </c>
      <c r="CD983">
        <v>18.010000000000002</v>
      </c>
      <c r="CE983">
        <v>0.88</v>
      </c>
      <c r="CF983">
        <v>0.01</v>
      </c>
      <c r="CG983">
        <v>0.88</v>
      </c>
      <c r="CH983">
        <v>0.7</v>
      </c>
      <c r="CI983">
        <v>0.7</v>
      </c>
      <c r="CJ983">
        <v>-0.2</v>
      </c>
      <c r="CK983">
        <v>0.65</v>
      </c>
      <c r="CL983">
        <v>5.45</v>
      </c>
      <c r="CM983">
        <v>1.51</v>
      </c>
      <c r="CN983">
        <v>-0.62</v>
      </c>
      <c r="CO983">
        <v>26580</v>
      </c>
      <c r="CP983">
        <v>11019</v>
      </c>
      <c r="CQ983" t="s">
        <v>5640</v>
      </c>
      <c r="CR983">
        <v>80.39</v>
      </c>
      <c r="CS983">
        <v>53.21</v>
      </c>
      <c r="CT983">
        <v>1.52</v>
      </c>
      <c r="CU983">
        <v>23</v>
      </c>
      <c r="CV983">
        <v>1.74</v>
      </c>
      <c r="CW983">
        <v>0.96</v>
      </c>
      <c r="CX983" t="s">
        <v>411</v>
      </c>
      <c r="CY983">
        <v>2.84</v>
      </c>
      <c r="CZ983">
        <v>2.84</v>
      </c>
      <c r="DA983">
        <v>0.91</v>
      </c>
      <c r="DB983">
        <v>0.67</v>
      </c>
      <c r="DC983">
        <v>0.19</v>
      </c>
      <c r="DD983">
        <v>41.75</v>
      </c>
      <c r="DE983" t="s">
        <v>1556</v>
      </c>
      <c r="DF983">
        <v>10.23</v>
      </c>
      <c r="DG983">
        <v>4.4000000000000004</v>
      </c>
      <c r="DH983">
        <v>3.5</v>
      </c>
      <c r="DI983">
        <v>0.11</v>
      </c>
      <c r="DJ983">
        <v>3701</v>
      </c>
      <c r="DK983">
        <v>2593</v>
      </c>
      <c r="DL983" t="s">
        <v>120</v>
      </c>
      <c r="DM983" t="s">
        <v>120</v>
      </c>
      <c r="DN983" t="s">
        <v>120</v>
      </c>
    </row>
    <row r="984" spans="1:118">
      <c r="A984" t="str">
        <f>"002594"</f>
        <v>002594</v>
      </c>
      <c r="B984" t="s">
        <v>5641</v>
      </c>
      <c r="C984">
        <v>-3.89</v>
      </c>
      <c r="D984">
        <v>-0.39</v>
      </c>
      <c r="E984">
        <v>0</v>
      </c>
      <c r="F984">
        <v>4990</v>
      </c>
      <c r="G984" t="s">
        <v>5642</v>
      </c>
      <c r="H984">
        <v>561377.01</v>
      </c>
      <c r="I984">
        <v>2817.81</v>
      </c>
      <c r="J984" t="s">
        <v>120</v>
      </c>
      <c r="K984" t="s">
        <v>5643</v>
      </c>
      <c r="L984">
        <v>1.91</v>
      </c>
      <c r="M984">
        <v>251</v>
      </c>
      <c r="N984">
        <v>0.89</v>
      </c>
      <c r="O984">
        <v>1.39</v>
      </c>
      <c r="P984">
        <v>264.77</v>
      </c>
      <c r="Q984">
        <v>-4.07</v>
      </c>
      <c r="R984">
        <v>250.53</v>
      </c>
      <c r="S984">
        <v>261.14999999999998</v>
      </c>
      <c r="T984">
        <v>220810</v>
      </c>
      <c r="U984">
        <v>251.01</v>
      </c>
      <c r="V984">
        <v>261.14999999999998</v>
      </c>
      <c r="W984">
        <v>305.97000000000003</v>
      </c>
      <c r="X984" t="s">
        <v>1068</v>
      </c>
      <c r="Y984" t="s">
        <v>123</v>
      </c>
      <c r="Z984">
        <v>5.45</v>
      </c>
      <c r="AA984">
        <v>254.24</v>
      </c>
      <c r="AB984">
        <v>117713</v>
      </c>
      <c r="AC984">
        <v>103097</v>
      </c>
      <c r="AD984">
        <v>1.1399999999999999</v>
      </c>
      <c r="AE984">
        <v>1859</v>
      </c>
      <c r="AF984">
        <v>2</v>
      </c>
      <c r="AG984" t="s">
        <v>120</v>
      </c>
      <c r="AH984">
        <v>0.01</v>
      </c>
      <c r="AI984" t="s">
        <v>120</v>
      </c>
      <c r="AJ984">
        <v>11.55</v>
      </c>
      <c r="AK984" t="s">
        <v>5644</v>
      </c>
      <c r="AL984">
        <v>-1.97</v>
      </c>
      <c r="AM984">
        <v>4732</v>
      </c>
      <c r="AN984">
        <v>47</v>
      </c>
      <c r="AO984">
        <v>4.0000000000000002E-4</v>
      </c>
      <c r="AP984">
        <v>-2</v>
      </c>
      <c r="AQ984">
        <v>-3</v>
      </c>
      <c r="AR984">
        <v>-3.96</v>
      </c>
      <c r="AS984">
        <v>-14.55</v>
      </c>
      <c r="AT984">
        <v>2.5499999999999998</v>
      </c>
      <c r="AU984">
        <v>29.28</v>
      </c>
      <c r="AV984">
        <v>6</v>
      </c>
      <c r="AW984">
        <v>2.72</v>
      </c>
      <c r="AX984">
        <v>44.77</v>
      </c>
      <c r="AY984">
        <v>199.49</v>
      </c>
      <c r="AZ984">
        <v>176.46</v>
      </c>
      <c r="BA984">
        <v>1.93</v>
      </c>
      <c r="BB984" t="s">
        <v>134</v>
      </c>
      <c r="BF984">
        <v>-2.65</v>
      </c>
      <c r="BG984">
        <v>-3.89</v>
      </c>
      <c r="BH984">
        <v>-5.2</v>
      </c>
      <c r="BI984">
        <v>0.19</v>
      </c>
      <c r="BJ984">
        <v>20210830</v>
      </c>
      <c r="BK984">
        <v>20110630</v>
      </c>
      <c r="BL984">
        <v>28.61</v>
      </c>
      <c r="BM984" t="s">
        <v>120</v>
      </c>
      <c r="BN984">
        <v>10.48</v>
      </c>
      <c r="BO984">
        <v>2228.9499999999998</v>
      </c>
      <c r="BP984">
        <v>251</v>
      </c>
      <c r="BQ984">
        <v>812.55</v>
      </c>
      <c r="BR984">
        <v>80.3</v>
      </c>
      <c r="BS984">
        <v>59.94</v>
      </c>
      <c r="BT984">
        <v>1291.73</v>
      </c>
      <c r="BU984">
        <v>543.16</v>
      </c>
      <c r="BV984">
        <v>149.69999999999999</v>
      </c>
      <c r="BW984">
        <v>1124.17</v>
      </c>
      <c r="BX984">
        <v>217.89</v>
      </c>
      <c r="BY984">
        <v>396.86</v>
      </c>
      <c r="BZ984">
        <v>379.83</v>
      </c>
      <c r="CA984">
        <v>0.02</v>
      </c>
      <c r="CB984">
        <v>495.29</v>
      </c>
      <c r="CC984">
        <v>908.85</v>
      </c>
      <c r="CD984">
        <v>792.85</v>
      </c>
      <c r="CE984">
        <v>22.16</v>
      </c>
      <c r="CF984">
        <v>-0.48</v>
      </c>
      <c r="CG984">
        <v>22.04</v>
      </c>
      <c r="CH984">
        <v>18.11</v>
      </c>
      <c r="CI984">
        <v>11.74</v>
      </c>
      <c r="CJ984">
        <v>-10.15</v>
      </c>
      <c r="CK984">
        <v>3.69</v>
      </c>
      <c r="CL984">
        <v>251.45</v>
      </c>
      <c r="CM984">
        <v>96.77</v>
      </c>
      <c r="CN984">
        <v>73.98</v>
      </c>
      <c r="CO984">
        <v>426290</v>
      </c>
      <c r="CP984">
        <v>1904</v>
      </c>
      <c r="CQ984" t="s">
        <v>5645</v>
      </c>
      <c r="CR984">
        <v>-29.41</v>
      </c>
      <c r="CS984">
        <v>50.22</v>
      </c>
      <c r="CT984">
        <v>8.84</v>
      </c>
      <c r="CU984">
        <v>74.209999999999994</v>
      </c>
      <c r="CV984">
        <v>7.9</v>
      </c>
      <c r="CW984">
        <v>0.06</v>
      </c>
      <c r="CX984" t="s">
        <v>803</v>
      </c>
      <c r="CY984">
        <v>28.4</v>
      </c>
      <c r="CZ984">
        <v>0</v>
      </c>
      <c r="DA984">
        <v>17.309999999999999</v>
      </c>
      <c r="DB984">
        <v>8.7899999999999991</v>
      </c>
      <c r="DC984">
        <v>3.38</v>
      </c>
      <c r="DD984">
        <v>36.450000000000003</v>
      </c>
      <c r="DE984" t="s">
        <v>5646</v>
      </c>
      <c r="DF984">
        <v>12.76</v>
      </c>
      <c r="DG984">
        <v>2.44</v>
      </c>
      <c r="DH984">
        <v>1.29</v>
      </c>
      <c r="DI984">
        <v>29.96</v>
      </c>
      <c r="DJ984">
        <v>224280</v>
      </c>
      <c r="DK984">
        <v>2594</v>
      </c>
      <c r="DL984">
        <v>20210906</v>
      </c>
      <c r="DM984">
        <v>278.39999999999998</v>
      </c>
      <c r="DN984">
        <v>-9.84</v>
      </c>
    </row>
    <row r="985" spans="1:118">
      <c r="A985" t="str">
        <f>"002595"</f>
        <v>002595</v>
      </c>
      <c r="B985" t="s">
        <v>5647</v>
      </c>
      <c r="C985">
        <v>-3.84</v>
      </c>
      <c r="D985">
        <v>0</v>
      </c>
      <c r="E985">
        <v>0.3</v>
      </c>
      <c r="F985">
        <v>331</v>
      </c>
      <c r="G985" t="s">
        <v>5648</v>
      </c>
      <c r="H985">
        <v>7924.75</v>
      </c>
      <c r="I985">
        <v>72.17</v>
      </c>
      <c r="J985" t="s">
        <v>120</v>
      </c>
      <c r="K985" t="s">
        <v>5649</v>
      </c>
      <c r="L985">
        <v>0.56999999999999995</v>
      </c>
      <c r="M985">
        <v>25.82</v>
      </c>
      <c r="N985">
        <v>1.3</v>
      </c>
      <c r="O985">
        <v>0.34</v>
      </c>
      <c r="P985">
        <v>26.94</v>
      </c>
      <c r="Q985">
        <v>-3.91</v>
      </c>
      <c r="R985">
        <v>25.8</v>
      </c>
      <c r="S985">
        <v>26.93</v>
      </c>
      <c r="T985">
        <v>30214</v>
      </c>
      <c r="U985">
        <v>25.87</v>
      </c>
      <c r="V985">
        <v>26.85</v>
      </c>
      <c r="W985">
        <v>17.79</v>
      </c>
      <c r="X985" t="s">
        <v>675</v>
      </c>
      <c r="Y985" t="s">
        <v>638</v>
      </c>
      <c r="Z985">
        <v>4.25</v>
      </c>
      <c r="AA985">
        <v>26.23</v>
      </c>
      <c r="AB985">
        <v>24048</v>
      </c>
      <c r="AC985">
        <v>6166</v>
      </c>
      <c r="AD985">
        <v>3.9</v>
      </c>
      <c r="AE985">
        <v>347</v>
      </c>
      <c r="AF985">
        <v>10</v>
      </c>
      <c r="AG985" t="s">
        <v>120</v>
      </c>
      <c r="AH985">
        <v>0.01</v>
      </c>
      <c r="AI985" t="s">
        <v>120</v>
      </c>
      <c r="AJ985">
        <v>5.34</v>
      </c>
      <c r="AK985" t="s">
        <v>5650</v>
      </c>
      <c r="AL985">
        <v>-1.92</v>
      </c>
      <c r="AM985">
        <v>2103</v>
      </c>
      <c r="AN985">
        <v>14</v>
      </c>
      <c r="AO985">
        <v>2.9999999999999997E-4</v>
      </c>
      <c r="AP985">
        <v>-1</v>
      </c>
      <c r="AQ985">
        <v>1.94</v>
      </c>
      <c r="AR985">
        <v>-2.5299999999999998</v>
      </c>
      <c r="AS985">
        <v>-13.67</v>
      </c>
      <c r="AT985">
        <v>-6.99</v>
      </c>
      <c r="AU985">
        <v>-12.91</v>
      </c>
      <c r="AV985">
        <v>0</v>
      </c>
      <c r="AW985">
        <v>0.77</v>
      </c>
      <c r="AX985">
        <v>49.11</v>
      </c>
      <c r="AY985">
        <v>19.97</v>
      </c>
      <c r="AZ985">
        <v>21.33</v>
      </c>
      <c r="BA985">
        <v>0.28999999999999998</v>
      </c>
      <c r="BB985" t="s">
        <v>168</v>
      </c>
      <c r="BF985">
        <v>-2.3199999999999998</v>
      </c>
      <c r="BG985">
        <v>-4.12</v>
      </c>
      <c r="BH985">
        <v>-4.16</v>
      </c>
      <c r="BI985">
        <v>0.08</v>
      </c>
      <c r="BJ985">
        <v>20210831</v>
      </c>
      <c r="BK985">
        <v>20110628</v>
      </c>
      <c r="BL985">
        <v>8</v>
      </c>
      <c r="BM985" t="s">
        <v>120</v>
      </c>
      <c r="BN985" t="s">
        <v>120</v>
      </c>
      <c r="BO985">
        <v>77.23</v>
      </c>
      <c r="BP985">
        <v>25.82</v>
      </c>
      <c r="BQ985">
        <v>64.739999999999995</v>
      </c>
      <c r="BR985">
        <v>0.08</v>
      </c>
      <c r="BS985">
        <v>16.079999999999998</v>
      </c>
      <c r="BT985">
        <v>47.94</v>
      </c>
      <c r="BU985">
        <v>19.02</v>
      </c>
      <c r="BV985">
        <v>2.92</v>
      </c>
      <c r="BW985">
        <v>11.3</v>
      </c>
      <c r="BX985">
        <v>3.74</v>
      </c>
      <c r="BY985">
        <v>11.46</v>
      </c>
      <c r="BZ985">
        <v>19.59</v>
      </c>
      <c r="CA985" t="s">
        <v>120</v>
      </c>
      <c r="CB985">
        <v>5.09</v>
      </c>
      <c r="CC985">
        <v>30.73</v>
      </c>
      <c r="CD985">
        <v>21.74</v>
      </c>
      <c r="CE985">
        <v>6.62</v>
      </c>
      <c r="CF985">
        <v>0.21</v>
      </c>
      <c r="CG985">
        <v>6.63</v>
      </c>
      <c r="CH985">
        <v>5.8</v>
      </c>
      <c r="CI985">
        <v>5.81</v>
      </c>
      <c r="CJ985">
        <v>-1.03</v>
      </c>
      <c r="CK985">
        <v>5.42</v>
      </c>
      <c r="CL985">
        <v>44.8</v>
      </c>
      <c r="CM985">
        <v>-5.8</v>
      </c>
      <c r="CN985">
        <v>0.85</v>
      </c>
      <c r="CO985">
        <v>15468</v>
      </c>
      <c r="CP985">
        <v>25400</v>
      </c>
      <c r="CQ985" t="s">
        <v>5651</v>
      </c>
      <c r="CR985">
        <v>13.32</v>
      </c>
      <c r="CS985">
        <v>25.44</v>
      </c>
      <c r="CT985">
        <v>3.19</v>
      </c>
      <c r="CU985">
        <v>-35.630000000000003</v>
      </c>
      <c r="CV985">
        <v>6.72</v>
      </c>
      <c r="CW985">
        <v>1.4</v>
      </c>
      <c r="CX985" t="s">
        <v>5652</v>
      </c>
      <c r="CY985">
        <v>8.09</v>
      </c>
      <c r="CZ985">
        <v>0</v>
      </c>
      <c r="DA985">
        <v>0.64</v>
      </c>
      <c r="DB985">
        <v>5.6</v>
      </c>
      <c r="DC985">
        <v>-0.72</v>
      </c>
      <c r="DD985">
        <v>83.82</v>
      </c>
      <c r="DE985" t="s">
        <v>5653</v>
      </c>
      <c r="DF985">
        <v>29.27</v>
      </c>
      <c r="DG985">
        <v>21.55</v>
      </c>
      <c r="DH985">
        <v>18.89</v>
      </c>
      <c r="DI985">
        <v>1.21</v>
      </c>
      <c r="DJ985">
        <v>12890</v>
      </c>
      <c r="DK985">
        <v>2595</v>
      </c>
      <c r="DL985" t="s">
        <v>120</v>
      </c>
      <c r="DM985" t="s">
        <v>120</v>
      </c>
      <c r="DN985" t="s">
        <v>120</v>
      </c>
    </row>
    <row r="986" spans="1:118">
      <c r="A986" t="str">
        <f>"002596"</f>
        <v>002596</v>
      </c>
      <c r="B986" t="s">
        <v>5654</v>
      </c>
      <c r="C986">
        <v>-1.5</v>
      </c>
      <c r="D986">
        <v>-0.24</v>
      </c>
      <c r="E986">
        <v>0.25</v>
      </c>
      <c r="F986">
        <v>1579</v>
      </c>
      <c r="G986" t="s">
        <v>5655</v>
      </c>
      <c r="H986">
        <v>5052.3100000000004</v>
      </c>
      <c r="I986">
        <v>21.72</v>
      </c>
      <c r="J986" t="s">
        <v>120</v>
      </c>
      <c r="K986" t="s">
        <v>5656</v>
      </c>
      <c r="L986">
        <v>1.21</v>
      </c>
      <c r="M986">
        <v>3.93</v>
      </c>
      <c r="N986">
        <v>0.66</v>
      </c>
      <c r="O986">
        <v>2.0099999999999998</v>
      </c>
      <c r="P986">
        <v>4.07</v>
      </c>
      <c r="Q986">
        <v>-1.5</v>
      </c>
      <c r="R986">
        <v>3.93</v>
      </c>
      <c r="S986">
        <v>4</v>
      </c>
      <c r="T986">
        <v>126290</v>
      </c>
      <c r="U986">
        <v>3.94</v>
      </c>
      <c r="V986">
        <v>3.99</v>
      </c>
      <c r="W986" t="s">
        <v>120</v>
      </c>
      <c r="X986" t="s">
        <v>247</v>
      </c>
      <c r="Y986" t="s">
        <v>835</v>
      </c>
      <c r="Z986">
        <v>3.51</v>
      </c>
      <c r="AA986">
        <v>4</v>
      </c>
      <c r="AB986">
        <v>69465</v>
      </c>
      <c r="AC986">
        <v>56825</v>
      </c>
      <c r="AD986">
        <v>1.22</v>
      </c>
      <c r="AE986">
        <v>1537</v>
      </c>
      <c r="AF986">
        <v>587</v>
      </c>
      <c r="AG986" t="s">
        <v>120</v>
      </c>
      <c r="AH986">
        <v>0.01</v>
      </c>
      <c r="AI986" t="s">
        <v>120</v>
      </c>
      <c r="AJ986">
        <v>10.41</v>
      </c>
      <c r="AK986" t="s">
        <v>3985</v>
      </c>
      <c r="AL986">
        <v>0.41</v>
      </c>
      <c r="AM986">
        <v>1653</v>
      </c>
      <c r="AN986">
        <v>76</v>
      </c>
      <c r="AO986">
        <v>6.9999999999999999E-4</v>
      </c>
      <c r="AP986">
        <v>-1</v>
      </c>
      <c r="AQ986">
        <v>0.5</v>
      </c>
      <c r="AR986">
        <v>-3.68</v>
      </c>
      <c r="AS986">
        <v>3.15</v>
      </c>
      <c r="AT986">
        <v>-18.8</v>
      </c>
      <c r="AU986">
        <v>-24.28</v>
      </c>
      <c r="AV986">
        <v>2</v>
      </c>
      <c r="AW986">
        <v>1.76</v>
      </c>
      <c r="AX986">
        <v>62.52</v>
      </c>
      <c r="AY986">
        <v>3609.96</v>
      </c>
      <c r="AZ986">
        <v>110.5</v>
      </c>
      <c r="BA986">
        <v>0.53</v>
      </c>
      <c r="BB986" t="s">
        <v>143</v>
      </c>
      <c r="BF986">
        <v>0.26</v>
      </c>
      <c r="BG986">
        <v>-1.75</v>
      </c>
      <c r="BH986">
        <v>-3.44</v>
      </c>
      <c r="BI986">
        <v>0</v>
      </c>
      <c r="BJ986">
        <v>20210912</v>
      </c>
      <c r="BK986">
        <v>20110707</v>
      </c>
      <c r="BL986">
        <v>11.48</v>
      </c>
      <c r="BM986" t="s">
        <v>120</v>
      </c>
      <c r="BN986" t="s">
        <v>120</v>
      </c>
      <c r="BO986">
        <v>64.88</v>
      </c>
      <c r="BP986">
        <v>3.93</v>
      </c>
      <c r="BQ986">
        <v>30.97</v>
      </c>
      <c r="BR986">
        <v>0.71</v>
      </c>
      <c r="BS986">
        <v>51.17</v>
      </c>
      <c r="BT986">
        <v>28.62</v>
      </c>
      <c r="BU986">
        <v>4.4400000000000004</v>
      </c>
      <c r="BV986">
        <v>3.66</v>
      </c>
      <c r="BW986">
        <v>19.510000000000002</v>
      </c>
      <c r="BX986">
        <v>1.82</v>
      </c>
      <c r="BY986">
        <v>3.55</v>
      </c>
      <c r="BZ986">
        <v>16.670000000000002</v>
      </c>
      <c r="CA986" t="s">
        <v>120</v>
      </c>
      <c r="CB986">
        <v>16.079999999999998</v>
      </c>
      <c r="CC986">
        <v>12.97</v>
      </c>
      <c r="CD986">
        <v>10.71</v>
      </c>
      <c r="CE986">
        <v>-0.12</v>
      </c>
      <c r="CF986">
        <v>0.08</v>
      </c>
      <c r="CG986">
        <v>-0.13</v>
      </c>
      <c r="CH986">
        <v>-0.28999999999999998</v>
      </c>
      <c r="CI986">
        <v>-0.31</v>
      </c>
      <c r="CJ986">
        <v>-0.06</v>
      </c>
      <c r="CK986">
        <v>-0.46</v>
      </c>
      <c r="CL986">
        <v>2.42</v>
      </c>
      <c r="CM986">
        <v>-0.66</v>
      </c>
      <c r="CN986">
        <v>-2.85</v>
      </c>
      <c r="CO986">
        <v>63727</v>
      </c>
      <c r="CP986">
        <v>11258</v>
      </c>
      <c r="CQ986" t="s">
        <v>5588</v>
      </c>
      <c r="CR986">
        <v>-419.53</v>
      </c>
      <c r="CS986">
        <v>31.86</v>
      </c>
      <c r="CT986">
        <v>1.46</v>
      </c>
      <c r="CU986">
        <v>-68.56</v>
      </c>
      <c r="CV986">
        <v>3.48</v>
      </c>
      <c r="CW986">
        <v>0.25</v>
      </c>
      <c r="CX986" t="s">
        <v>906</v>
      </c>
      <c r="CY986">
        <v>2.7</v>
      </c>
      <c r="CZ986">
        <v>0</v>
      </c>
      <c r="DA986">
        <v>1.4</v>
      </c>
      <c r="DB986">
        <v>0.21</v>
      </c>
      <c r="DC986">
        <v>-0.06</v>
      </c>
      <c r="DD986">
        <v>47.73</v>
      </c>
      <c r="DE986" t="s">
        <v>5657</v>
      </c>
      <c r="DF986">
        <v>17.39</v>
      </c>
      <c r="DG986">
        <v>-0.93</v>
      </c>
      <c r="DH986">
        <v>-2.36</v>
      </c>
      <c r="DI986">
        <v>0.19</v>
      </c>
      <c r="DJ986">
        <v>5966</v>
      </c>
      <c r="DK986">
        <v>2596</v>
      </c>
      <c r="DL986" t="s">
        <v>120</v>
      </c>
      <c r="DM986" t="s">
        <v>120</v>
      </c>
      <c r="DN986" t="s">
        <v>120</v>
      </c>
    </row>
    <row r="987" spans="1:118">
      <c r="A987" t="str">
        <f>"002597"</f>
        <v>002597</v>
      </c>
      <c r="B987" t="s">
        <v>5658</v>
      </c>
      <c r="C987">
        <v>4.9800000000000004</v>
      </c>
      <c r="D987">
        <v>-0.1</v>
      </c>
      <c r="E987">
        <v>0.34</v>
      </c>
      <c r="F987">
        <v>3185</v>
      </c>
      <c r="G987" t="s">
        <v>5659</v>
      </c>
      <c r="H987">
        <v>109905.64</v>
      </c>
      <c r="I987">
        <v>448.12</v>
      </c>
      <c r="J987" t="s">
        <v>120</v>
      </c>
      <c r="K987" t="s">
        <v>5660</v>
      </c>
      <c r="L987">
        <v>4.33</v>
      </c>
      <c r="M987">
        <v>46.19</v>
      </c>
      <c r="N987">
        <v>1.01</v>
      </c>
      <c r="O987">
        <v>9.77</v>
      </c>
      <c r="P987">
        <v>48.3</v>
      </c>
      <c r="Q987">
        <v>-2.52</v>
      </c>
      <c r="R987">
        <v>42.89</v>
      </c>
      <c r="S987">
        <v>44.15</v>
      </c>
      <c r="T987">
        <v>242455</v>
      </c>
      <c r="U987">
        <v>46.19</v>
      </c>
      <c r="V987">
        <v>44</v>
      </c>
      <c r="W987">
        <v>29.49</v>
      </c>
      <c r="X987" t="s">
        <v>847</v>
      </c>
      <c r="Y987" t="s">
        <v>570</v>
      </c>
      <c r="Z987">
        <v>12.3</v>
      </c>
      <c r="AA987">
        <v>45.33</v>
      </c>
      <c r="AB987">
        <v>116396</v>
      </c>
      <c r="AC987">
        <v>126059</v>
      </c>
      <c r="AD987">
        <v>0.92</v>
      </c>
      <c r="AE987">
        <v>5</v>
      </c>
      <c r="AF987">
        <v>301</v>
      </c>
      <c r="AG987" t="s">
        <v>120</v>
      </c>
      <c r="AH987">
        <v>0.03</v>
      </c>
      <c r="AI987" t="s">
        <v>120</v>
      </c>
      <c r="AJ987">
        <v>5.59</v>
      </c>
      <c r="AK987" t="s">
        <v>5661</v>
      </c>
      <c r="AL987">
        <v>6.89</v>
      </c>
      <c r="AM987">
        <v>4339</v>
      </c>
      <c r="AN987">
        <v>56</v>
      </c>
      <c r="AO987">
        <v>1E-3</v>
      </c>
      <c r="AP987">
        <v>2</v>
      </c>
      <c r="AQ987">
        <v>3.04</v>
      </c>
      <c r="AR987">
        <v>5.28</v>
      </c>
      <c r="AS987">
        <v>38.049999999999997</v>
      </c>
      <c r="AT987">
        <v>38.21</v>
      </c>
      <c r="AU987">
        <v>44.44</v>
      </c>
      <c r="AV987">
        <v>4</v>
      </c>
      <c r="AW987">
        <v>7.85</v>
      </c>
      <c r="AX987">
        <v>55.09</v>
      </c>
      <c r="AY987">
        <v>30.81</v>
      </c>
      <c r="AZ987">
        <v>34.35</v>
      </c>
      <c r="BA987">
        <v>0.56999999999999995</v>
      </c>
      <c r="BB987" t="s">
        <v>184</v>
      </c>
      <c r="BF987">
        <v>3.02</v>
      </c>
      <c r="BG987">
        <v>4.62</v>
      </c>
      <c r="BH987">
        <v>-4.37</v>
      </c>
      <c r="BI987">
        <v>7.69</v>
      </c>
      <c r="BJ987">
        <v>20210831</v>
      </c>
      <c r="BK987">
        <v>20110707</v>
      </c>
      <c r="BL987">
        <v>5.61</v>
      </c>
      <c r="BM987" t="s">
        <v>120</v>
      </c>
      <c r="BN987" t="s">
        <v>120</v>
      </c>
      <c r="BO987">
        <v>77.540000000000006</v>
      </c>
      <c r="BP987">
        <v>46.18</v>
      </c>
      <c r="BQ987">
        <v>51.32</v>
      </c>
      <c r="BR987">
        <v>0.01</v>
      </c>
      <c r="BS987">
        <v>33.81</v>
      </c>
      <c r="BT987">
        <v>45.01</v>
      </c>
      <c r="BU987">
        <v>25.51</v>
      </c>
      <c r="BV987">
        <v>1.21</v>
      </c>
      <c r="BW987">
        <v>13.68</v>
      </c>
      <c r="BX987">
        <v>18.73</v>
      </c>
      <c r="BY987">
        <v>4.6399999999999997</v>
      </c>
      <c r="BZ987">
        <v>4.09</v>
      </c>
      <c r="CA987" t="s">
        <v>120</v>
      </c>
      <c r="CB987">
        <v>4.7300000000000004</v>
      </c>
      <c r="CC987">
        <v>24.74</v>
      </c>
      <c r="CD987">
        <v>18.260000000000002</v>
      </c>
      <c r="CE987">
        <v>5.24</v>
      </c>
      <c r="CF987">
        <v>0.33</v>
      </c>
      <c r="CG987">
        <v>5.19</v>
      </c>
      <c r="CH987">
        <v>4.3899999999999997</v>
      </c>
      <c r="CI987">
        <v>4.3899999999999997</v>
      </c>
      <c r="CJ987">
        <v>2.19</v>
      </c>
      <c r="CK987">
        <v>3.69</v>
      </c>
      <c r="CL987">
        <v>36.119999999999997</v>
      </c>
      <c r="CM987">
        <v>2.79</v>
      </c>
      <c r="CN987">
        <v>1.47</v>
      </c>
      <c r="CO987">
        <v>27501</v>
      </c>
      <c r="CP987">
        <v>11236</v>
      </c>
      <c r="CQ987" t="s">
        <v>5662</v>
      </c>
      <c r="CR987">
        <v>23.14</v>
      </c>
      <c r="CS987">
        <v>35.29</v>
      </c>
      <c r="CT987">
        <v>5.19</v>
      </c>
      <c r="CU987">
        <v>92.81</v>
      </c>
      <c r="CV987">
        <v>10.47</v>
      </c>
      <c r="CW987">
        <v>1.02</v>
      </c>
      <c r="CX987" t="s">
        <v>3993</v>
      </c>
      <c r="CY987">
        <v>8.9</v>
      </c>
      <c r="CZ987">
        <v>8.9</v>
      </c>
      <c r="DA987">
        <v>0.84</v>
      </c>
      <c r="DB987">
        <v>6.44</v>
      </c>
      <c r="DC987">
        <v>0.5</v>
      </c>
      <c r="DD987">
        <v>66.19</v>
      </c>
      <c r="DE987" t="s">
        <v>5663</v>
      </c>
      <c r="DF987">
        <v>26.19</v>
      </c>
      <c r="DG987">
        <v>21.16</v>
      </c>
      <c r="DH987">
        <v>17.75</v>
      </c>
      <c r="DI987">
        <v>0.9</v>
      </c>
      <c r="DJ987">
        <v>4409</v>
      </c>
      <c r="DK987">
        <v>2597</v>
      </c>
      <c r="DL987" t="s">
        <v>120</v>
      </c>
      <c r="DM987" t="s">
        <v>120</v>
      </c>
      <c r="DN987" t="s">
        <v>120</v>
      </c>
    </row>
    <row r="988" spans="1:118">
      <c r="A988" t="str">
        <f>"002598"</f>
        <v>002598</v>
      </c>
      <c r="B988" t="s">
        <v>5664</v>
      </c>
      <c r="C988">
        <v>-9.7200000000000006</v>
      </c>
      <c r="D988">
        <v>0</v>
      </c>
      <c r="E988">
        <v>-2.85</v>
      </c>
      <c r="F988">
        <v>1878</v>
      </c>
      <c r="G988" t="s">
        <v>5665</v>
      </c>
      <c r="H988">
        <v>49655.79</v>
      </c>
      <c r="I988">
        <v>572.89</v>
      </c>
      <c r="J988" t="s">
        <v>120</v>
      </c>
      <c r="K988" t="s">
        <v>904</v>
      </c>
      <c r="L988">
        <v>13.63</v>
      </c>
      <c r="M988">
        <v>13</v>
      </c>
      <c r="N988">
        <v>1.1200000000000001</v>
      </c>
      <c r="O988">
        <v>-2.57</v>
      </c>
      <c r="P988">
        <v>14.03</v>
      </c>
      <c r="Q988">
        <v>-10</v>
      </c>
      <c r="R988">
        <v>12.96</v>
      </c>
      <c r="S988">
        <v>13.99</v>
      </c>
      <c r="T988">
        <v>368134</v>
      </c>
      <c r="U988">
        <v>13</v>
      </c>
      <c r="V988">
        <v>14.4</v>
      </c>
      <c r="W988">
        <v>32.43</v>
      </c>
      <c r="X988" t="s">
        <v>959</v>
      </c>
      <c r="Y988" t="s">
        <v>638</v>
      </c>
      <c r="Z988">
        <v>7.43</v>
      </c>
      <c r="AA988">
        <v>13.49</v>
      </c>
      <c r="AB988">
        <v>211999</v>
      </c>
      <c r="AC988">
        <v>156135</v>
      </c>
      <c r="AD988">
        <v>1.36</v>
      </c>
      <c r="AE988">
        <v>441</v>
      </c>
      <c r="AF988">
        <v>298</v>
      </c>
      <c r="AG988" t="s">
        <v>120</v>
      </c>
      <c r="AH988">
        <v>0.24</v>
      </c>
      <c r="AI988" t="s">
        <v>120</v>
      </c>
      <c r="AJ988">
        <v>2.7</v>
      </c>
      <c r="AK988" t="s">
        <v>5666</v>
      </c>
      <c r="AL988">
        <v>-7.81</v>
      </c>
      <c r="AM988">
        <v>4366</v>
      </c>
      <c r="AN988">
        <v>84</v>
      </c>
      <c r="AO988">
        <v>3.0999999999999999E-3</v>
      </c>
      <c r="AP988">
        <v>-1</v>
      </c>
      <c r="AQ988">
        <v>4.7300000000000004</v>
      </c>
      <c r="AR988">
        <v>4</v>
      </c>
      <c r="AS988">
        <v>31.58</v>
      </c>
      <c r="AT988">
        <v>86.51</v>
      </c>
      <c r="AU988">
        <v>109.68</v>
      </c>
      <c r="AV988">
        <v>10</v>
      </c>
      <c r="AW988">
        <v>21.83</v>
      </c>
      <c r="AX988">
        <v>54.04</v>
      </c>
      <c r="AY988">
        <v>48.8</v>
      </c>
      <c r="AZ988">
        <v>55.08</v>
      </c>
      <c r="BA988">
        <v>0.45</v>
      </c>
      <c r="BB988" t="s">
        <v>184</v>
      </c>
      <c r="BF988">
        <v>-6.33</v>
      </c>
      <c r="BG988">
        <v>-7.08</v>
      </c>
      <c r="BH988">
        <v>-7.34</v>
      </c>
      <c r="BI988">
        <v>0.31</v>
      </c>
      <c r="BJ988">
        <v>20210913</v>
      </c>
      <c r="BK988">
        <v>20110707</v>
      </c>
      <c r="BL988">
        <v>3.12</v>
      </c>
      <c r="BM988" t="s">
        <v>120</v>
      </c>
      <c r="BN988" t="s">
        <v>120</v>
      </c>
      <c r="BO988">
        <v>16.850000000000001</v>
      </c>
      <c r="BP988">
        <v>12.99</v>
      </c>
      <c r="BQ988">
        <v>9.43</v>
      </c>
      <c r="BR988">
        <v>0.32</v>
      </c>
      <c r="BS988">
        <v>42.1</v>
      </c>
      <c r="BT988">
        <v>12.59</v>
      </c>
      <c r="BU988">
        <v>1.93</v>
      </c>
      <c r="BV988">
        <v>0.49</v>
      </c>
      <c r="BW988">
        <v>6.88</v>
      </c>
      <c r="BX988">
        <v>1.0900000000000001</v>
      </c>
      <c r="BY988">
        <v>4.79</v>
      </c>
      <c r="BZ988">
        <v>4.6500000000000004</v>
      </c>
      <c r="CA988">
        <v>0.02</v>
      </c>
      <c r="CB988">
        <v>2.12</v>
      </c>
      <c r="CC988">
        <v>7.61</v>
      </c>
      <c r="CD988">
        <v>5.1100000000000003</v>
      </c>
      <c r="CE988">
        <v>0.72</v>
      </c>
      <c r="CF988">
        <v>0.03</v>
      </c>
      <c r="CG988">
        <v>0.72</v>
      </c>
      <c r="CH988">
        <v>0.64</v>
      </c>
      <c r="CI988">
        <v>0.63</v>
      </c>
      <c r="CJ988">
        <v>-1.4</v>
      </c>
      <c r="CK988">
        <v>0.6</v>
      </c>
      <c r="CL988">
        <v>3.26</v>
      </c>
      <c r="CM988">
        <v>7.0000000000000007E-2</v>
      </c>
      <c r="CN988">
        <v>0.56999999999999995</v>
      </c>
      <c r="CO988">
        <v>46612</v>
      </c>
      <c r="CP988">
        <v>3617</v>
      </c>
      <c r="CQ988" t="s">
        <v>5667</v>
      </c>
      <c r="CR988">
        <v>20.18</v>
      </c>
      <c r="CS988">
        <v>45.52</v>
      </c>
      <c r="CT988">
        <v>4.3</v>
      </c>
      <c r="CU988">
        <v>544.37</v>
      </c>
      <c r="CV988">
        <v>5.33</v>
      </c>
      <c r="CW988">
        <v>0</v>
      </c>
      <c r="CX988" t="s">
        <v>492</v>
      </c>
      <c r="CY988">
        <v>3.02</v>
      </c>
      <c r="CZ988">
        <v>0</v>
      </c>
      <c r="DA988">
        <v>0.68</v>
      </c>
      <c r="DB988">
        <v>1.04</v>
      </c>
      <c r="DC988">
        <v>0.02</v>
      </c>
      <c r="DD988">
        <v>55.99</v>
      </c>
      <c r="DE988" t="s">
        <v>1521</v>
      </c>
      <c r="DF988">
        <v>32.799999999999997</v>
      </c>
      <c r="DG988">
        <v>9.4499999999999993</v>
      </c>
      <c r="DH988">
        <v>8.2200000000000006</v>
      </c>
      <c r="DI988">
        <v>0.31</v>
      </c>
      <c r="DJ988">
        <v>1103</v>
      </c>
      <c r="DK988">
        <v>2598</v>
      </c>
      <c r="DL988">
        <v>20210720</v>
      </c>
      <c r="DM988">
        <v>9.81</v>
      </c>
      <c r="DN988">
        <v>32.520000000000003</v>
      </c>
    </row>
    <row r="989" spans="1:118">
      <c r="A989" t="str">
        <f>"002599"</f>
        <v>002599</v>
      </c>
      <c r="B989" t="s">
        <v>5668</v>
      </c>
      <c r="C989">
        <v>-0.98</v>
      </c>
      <c r="D989">
        <v>0.12</v>
      </c>
      <c r="E989">
        <v>0.12</v>
      </c>
      <c r="F989">
        <v>8185</v>
      </c>
      <c r="G989" t="s">
        <v>5669</v>
      </c>
      <c r="H989">
        <v>30941.02</v>
      </c>
      <c r="I989">
        <v>246.9</v>
      </c>
      <c r="J989" t="s">
        <v>120</v>
      </c>
      <c r="K989" t="s">
        <v>4682</v>
      </c>
      <c r="L989">
        <v>9.58</v>
      </c>
      <c r="M989">
        <v>8.08</v>
      </c>
      <c r="N989">
        <v>0.7</v>
      </c>
      <c r="O989">
        <v>1.1000000000000001</v>
      </c>
      <c r="P989">
        <v>8.25</v>
      </c>
      <c r="Q989">
        <v>-3.31</v>
      </c>
      <c r="R989">
        <v>7.89</v>
      </c>
      <c r="S989">
        <v>8.17</v>
      </c>
      <c r="T989">
        <v>383479</v>
      </c>
      <c r="U989">
        <v>8.09</v>
      </c>
      <c r="V989">
        <v>8.16</v>
      </c>
      <c r="W989">
        <v>38.270000000000003</v>
      </c>
      <c r="X989" t="s">
        <v>339</v>
      </c>
      <c r="Y989" t="s">
        <v>158</v>
      </c>
      <c r="Z989">
        <v>4.41</v>
      </c>
      <c r="AA989">
        <v>8.07</v>
      </c>
      <c r="AB989">
        <v>195550</v>
      </c>
      <c r="AC989">
        <v>187929</v>
      </c>
      <c r="AD989">
        <v>1.04</v>
      </c>
      <c r="AE989">
        <v>2333</v>
      </c>
      <c r="AF989">
        <v>346</v>
      </c>
      <c r="AG989" t="s">
        <v>120</v>
      </c>
      <c r="AH989">
        <v>0.1</v>
      </c>
      <c r="AI989" t="s">
        <v>120</v>
      </c>
      <c r="AJ989">
        <v>4</v>
      </c>
      <c r="AK989" t="s">
        <v>5670</v>
      </c>
      <c r="AL989">
        <v>0.93</v>
      </c>
      <c r="AM989">
        <v>3943</v>
      </c>
      <c r="AN989">
        <v>97</v>
      </c>
      <c r="AO989">
        <v>2.3999999999999998E-3</v>
      </c>
      <c r="AP989">
        <v>-1</v>
      </c>
      <c r="AQ989">
        <v>0.62</v>
      </c>
      <c r="AR989">
        <v>-10.220000000000001</v>
      </c>
      <c r="AS989">
        <v>10.08</v>
      </c>
      <c r="AT989">
        <v>108.25</v>
      </c>
      <c r="AU989">
        <v>106.65</v>
      </c>
      <c r="AV989">
        <v>12</v>
      </c>
      <c r="AW989">
        <v>12.11</v>
      </c>
      <c r="AX989">
        <v>58.14</v>
      </c>
      <c r="AY989" t="s">
        <v>120</v>
      </c>
      <c r="AZ989" t="s">
        <v>120</v>
      </c>
      <c r="BA989">
        <v>0.35</v>
      </c>
      <c r="BB989" t="s">
        <v>143</v>
      </c>
      <c r="BF989">
        <v>-1.1200000000000001</v>
      </c>
      <c r="BG989">
        <v>-1.1000000000000001</v>
      </c>
      <c r="BH989">
        <v>-2.06</v>
      </c>
      <c r="BI989">
        <v>2.41</v>
      </c>
      <c r="BJ989">
        <v>20210826</v>
      </c>
      <c r="BK989">
        <v>20110715</v>
      </c>
      <c r="BL989">
        <v>5.45</v>
      </c>
      <c r="BM989" t="s">
        <v>120</v>
      </c>
      <c r="BN989" t="s">
        <v>120</v>
      </c>
      <c r="BO989">
        <v>27.67</v>
      </c>
      <c r="BP989">
        <v>8.08</v>
      </c>
      <c r="BQ989">
        <v>13.86</v>
      </c>
      <c r="BR989">
        <v>0.05</v>
      </c>
      <c r="BS989">
        <v>49.74</v>
      </c>
      <c r="BT989">
        <v>13.96</v>
      </c>
      <c r="BU989">
        <v>7.6</v>
      </c>
      <c r="BV989">
        <v>1.07</v>
      </c>
      <c r="BW989">
        <v>13</v>
      </c>
      <c r="BX989">
        <v>2.36</v>
      </c>
      <c r="BY989">
        <v>3.55</v>
      </c>
      <c r="BZ989">
        <v>6.21</v>
      </c>
      <c r="CA989" t="s">
        <v>120</v>
      </c>
      <c r="CB989">
        <v>6.51</v>
      </c>
      <c r="CC989">
        <v>12.64</v>
      </c>
      <c r="CD989">
        <v>9.9</v>
      </c>
      <c r="CE989">
        <v>0.74</v>
      </c>
      <c r="CF989">
        <v>-0.02</v>
      </c>
      <c r="CG989">
        <v>0.75</v>
      </c>
      <c r="CH989">
        <v>0.61</v>
      </c>
      <c r="CI989">
        <v>0.56999999999999995</v>
      </c>
      <c r="CJ989">
        <v>-0.08</v>
      </c>
      <c r="CK989">
        <v>0.55000000000000004</v>
      </c>
      <c r="CL989">
        <v>2.29</v>
      </c>
      <c r="CM989">
        <v>-0.38</v>
      </c>
      <c r="CN989">
        <v>-1.48</v>
      </c>
      <c r="CO989">
        <v>12864</v>
      </c>
      <c r="CP989">
        <v>24609</v>
      </c>
      <c r="CQ989" t="s">
        <v>5671</v>
      </c>
      <c r="CR989">
        <v>554.92999999999995</v>
      </c>
      <c r="CS989">
        <v>53.36</v>
      </c>
      <c r="CT989">
        <v>3.18</v>
      </c>
      <c r="CU989">
        <v>-114.47</v>
      </c>
      <c r="CV989">
        <v>3.48</v>
      </c>
      <c r="CW989">
        <v>0</v>
      </c>
      <c r="CX989" t="s">
        <v>411</v>
      </c>
      <c r="CY989">
        <v>2.54</v>
      </c>
      <c r="CZ989">
        <v>0</v>
      </c>
      <c r="DA989">
        <v>1.2</v>
      </c>
      <c r="DB989">
        <v>0.42</v>
      </c>
      <c r="DC989">
        <v>-7.0000000000000007E-2</v>
      </c>
      <c r="DD989">
        <v>50.07</v>
      </c>
      <c r="DE989" t="s">
        <v>4662</v>
      </c>
      <c r="DF989">
        <v>21.67</v>
      </c>
      <c r="DG989">
        <v>5.87</v>
      </c>
      <c r="DH989">
        <v>4.55</v>
      </c>
      <c r="DI989">
        <v>0.19</v>
      </c>
      <c r="DJ989">
        <v>2630</v>
      </c>
      <c r="DK989">
        <v>2599</v>
      </c>
      <c r="DL989" t="s">
        <v>120</v>
      </c>
      <c r="DM989" t="s">
        <v>120</v>
      </c>
      <c r="DN989" t="s">
        <v>120</v>
      </c>
    </row>
    <row r="990" spans="1:118">
      <c r="A990" t="str">
        <f>"002600"</f>
        <v>002600</v>
      </c>
      <c r="B990" t="s">
        <v>5672</v>
      </c>
      <c r="C990">
        <v>-0.88</v>
      </c>
      <c r="D990">
        <v>-0.28000000000000003</v>
      </c>
      <c r="E990">
        <v>-0.44</v>
      </c>
      <c r="F990">
        <v>11036</v>
      </c>
      <c r="G990" t="s">
        <v>5673</v>
      </c>
      <c r="H990">
        <v>26488.06</v>
      </c>
      <c r="I990">
        <v>93.23</v>
      </c>
      <c r="J990" t="s">
        <v>120</v>
      </c>
      <c r="K990" t="s">
        <v>5674</v>
      </c>
      <c r="L990">
        <v>0.57999999999999996</v>
      </c>
      <c r="M990">
        <v>6.76</v>
      </c>
      <c r="N990">
        <v>0.84</v>
      </c>
      <c r="O990">
        <v>1.17</v>
      </c>
      <c r="P990">
        <v>6.9</v>
      </c>
      <c r="Q990">
        <v>-0.88</v>
      </c>
      <c r="R990">
        <v>6.76</v>
      </c>
      <c r="S990">
        <v>6.79</v>
      </c>
      <c r="T990">
        <v>388662</v>
      </c>
      <c r="U990">
        <v>6.77</v>
      </c>
      <c r="V990">
        <v>6.82</v>
      </c>
      <c r="W990">
        <v>60.23</v>
      </c>
      <c r="X990" t="s">
        <v>229</v>
      </c>
      <c r="Y990" t="s">
        <v>547</v>
      </c>
      <c r="Z990">
        <v>2.0499999999999998</v>
      </c>
      <c r="AA990">
        <v>6.82</v>
      </c>
      <c r="AB990">
        <v>192478</v>
      </c>
      <c r="AC990">
        <v>196184</v>
      </c>
      <c r="AD990">
        <v>0.98</v>
      </c>
      <c r="AE990">
        <v>6854</v>
      </c>
      <c r="AF990">
        <v>387</v>
      </c>
      <c r="AG990" t="s">
        <v>120</v>
      </c>
      <c r="AH990">
        <v>0.01</v>
      </c>
      <c r="AI990" t="s">
        <v>120</v>
      </c>
      <c r="AJ990">
        <v>67.52</v>
      </c>
      <c r="AK990" t="s">
        <v>5675</v>
      </c>
      <c r="AL990">
        <v>1.03</v>
      </c>
      <c r="AM990">
        <v>3958</v>
      </c>
      <c r="AN990">
        <v>98</v>
      </c>
      <c r="AO990">
        <v>1E-4</v>
      </c>
      <c r="AP990">
        <v>-3</v>
      </c>
      <c r="AQ990">
        <v>-2.85</v>
      </c>
      <c r="AR990">
        <v>-4.79</v>
      </c>
      <c r="AS990">
        <v>-4.66</v>
      </c>
      <c r="AT990">
        <v>-28.54</v>
      </c>
      <c r="AU990">
        <v>-43.62</v>
      </c>
      <c r="AV990">
        <v>1</v>
      </c>
      <c r="AW990">
        <v>1.67</v>
      </c>
      <c r="AX990">
        <v>32.869999999999997</v>
      </c>
      <c r="AY990">
        <v>23.69</v>
      </c>
      <c r="AZ990">
        <v>21.24</v>
      </c>
      <c r="BA990">
        <v>0.16</v>
      </c>
      <c r="BB990" t="s">
        <v>143</v>
      </c>
      <c r="BF990">
        <v>-7.0000000000000007E-2</v>
      </c>
      <c r="BG990">
        <v>-0.44</v>
      </c>
      <c r="BH990">
        <v>-2.0299999999999998</v>
      </c>
      <c r="BI990">
        <v>0</v>
      </c>
      <c r="BJ990">
        <v>20210907</v>
      </c>
      <c r="BK990">
        <v>20110715</v>
      </c>
      <c r="BL990">
        <v>70.650000000000006</v>
      </c>
      <c r="BM990" t="s">
        <v>120</v>
      </c>
      <c r="BN990" t="s">
        <v>120</v>
      </c>
      <c r="BO990">
        <v>313.98</v>
      </c>
      <c r="BP990">
        <v>6.76</v>
      </c>
      <c r="BQ990">
        <v>149.62</v>
      </c>
      <c r="BR990">
        <v>0.34</v>
      </c>
      <c r="BS990">
        <v>52.24</v>
      </c>
      <c r="BT990">
        <v>161.51</v>
      </c>
      <c r="BU990">
        <v>77.760000000000005</v>
      </c>
      <c r="BV990">
        <v>9.59</v>
      </c>
      <c r="BW990">
        <v>113.99</v>
      </c>
      <c r="BX990">
        <v>28.03</v>
      </c>
      <c r="BY990">
        <v>48.59</v>
      </c>
      <c r="BZ990">
        <v>63.23</v>
      </c>
      <c r="CA990" t="s">
        <v>120</v>
      </c>
      <c r="CB990">
        <v>89.31</v>
      </c>
      <c r="CC990">
        <v>127.42</v>
      </c>
      <c r="CD990">
        <v>108.15</v>
      </c>
      <c r="CE990">
        <v>2.58</v>
      </c>
      <c r="CF990">
        <v>0.51</v>
      </c>
      <c r="CG990">
        <v>2.57</v>
      </c>
      <c r="CH990">
        <v>3.98</v>
      </c>
      <c r="CI990">
        <v>3.96</v>
      </c>
      <c r="CJ990">
        <v>-0.06</v>
      </c>
      <c r="CK990">
        <v>2.23</v>
      </c>
      <c r="CL990">
        <v>43.35</v>
      </c>
      <c r="CM990">
        <v>8.0399999999999991</v>
      </c>
      <c r="CN990">
        <v>-2.73</v>
      </c>
      <c r="CO990">
        <v>282199</v>
      </c>
      <c r="CP990">
        <v>8229</v>
      </c>
      <c r="CQ990" t="s">
        <v>5676</v>
      </c>
      <c r="CR990">
        <v>-37.200000000000003</v>
      </c>
      <c r="CS990">
        <v>6.68</v>
      </c>
      <c r="CT990">
        <v>3.19</v>
      </c>
      <c r="CU990">
        <v>59.42</v>
      </c>
      <c r="CV990">
        <v>3.75</v>
      </c>
      <c r="CW990">
        <v>0</v>
      </c>
      <c r="CX990" t="s">
        <v>1064</v>
      </c>
      <c r="CY990">
        <v>2.12</v>
      </c>
      <c r="CZ990">
        <v>2.12</v>
      </c>
      <c r="DA990">
        <v>1.26</v>
      </c>
      <c r="DB990">
        <v>0.61</v>
      </c>
      <c r="DC990">
        <v>0.11</v>
      </c>
      <c r="DD990">
        <v>47.65</v>
      </c>
      <c r="DE990" t="s">
        <v>1432</v>
      </c>
      <c r="DF990">
        <v>15.12</v>
      </c>
      <c r="DG990">
        <v>2.0299999999999998</v>
      </c>
      <c r="DH990">
        <v>3.11</v>
      </c>
      <c r="DI990">
        <v>8.4499999999999993</v>
      </c>
      <c r="DJ990">
        <v>76729</v>
      </c>
      <c r="DK990">
        <v>2600</v>
      </c>
      <c r="DL990" t="s">
        <v>120</v>
      </c>
      <c r="DM990" t="s">
        <v>120</v>
      </c>
      <c r="DN990" t="s">
        <v>120</v>
      </c>
    </row>
    <row r="991" spans="1:118">
      <c r="A991" t="str">
        <f>"002601"</f>
        <v>002601</v>
      </c>
      <c r="B991" t="s">
        <v>5677</v>
      </c>
      <c r="C991">
        <v>-4.68</v>
      </c>
      <c r="D991">
        <v>-0.1</v>
      </c>
      <c r="E991">
        <v>1.18</v>
      </c>
      <c r="F991">
        <v>8311</v>
      </c>
      <c r="G991" t="s">
        <v>5678</v>
      </c>
      <c r="H991">
        <v>286868.34000000003</v>
      </c>
      <c r="I991">
        <v>2862.15</v>
      </c>
      <c r="J991" t="s">
        <v>120</v>
      </c>
      <c r="K991" t="s">
        <v>5679</v>
      </c>
      <c r="L991">
        <v>5.01</v>
      </c>
      <c r="M991">
        <v>36.46</v>
      </c>
      <c r="N991">
        <v>1.22</v>
      </c>
      <c r="O991">
        <v>1.83</v>
      </c>
      <c r="P991">
        <v>38.950000000000003</v>
      </c>
      <c r="Q991">
        <v>-4.68</v>
      </c>
      <c r="R991">
        <v>36.46</v>
      </c>
      <c r="S991">
        <v>38.700000000000003</v>
      </c>
      <c r="T991">
        <v>762764</v>
      </c>
      <c r="U991">
        <v>36.47</v>
      </c>
      <c r="V991">
        <v>38.25</v>
      </c>
      <c r="W991">
        <v>17.809999999999999</v>
      </c>
      <c r="X991" t="s">
        <v>868</v>
      </c>
      <c r="Y991" t="s">
        <v>645</v>
      </c>
      <c r="Z991">
        <v>6.51</v>
      </c>
      <c r="AA991">
        <v>37.61</v>
      </c>
      <c r="AB991">
        <v>430956</v>
      </c>
      <c r="AC991">
        <v>331808</v>
      </c>
      <c r="AD991">
        <v>1.3</v>
      </c>
      <c r="AE991">
        <v>1097</v>
      </c>
      <c r="AF991">
        <v>49</v>
      </c>
      <c r="AG991" t="s">
        <v>120</v>
      </c>
      <c r="AH991">
        <v>0.06</v>
      </c>
      <c r="AI991" t="s">
        <v>120</v>
      </c>
      <c r="AJ991">
        <v>15.24</v>
      </c>
      <c r="AK991" t="s">
        <v>5680</v>
      </c>
      <c r="AL991">
        <v>-2.77</v>
      </c>
      <c r="AM991">
        <v>4702</v>
      </c>
      <c r="AN991">
        <v>162</v>
      </c>
      <c r="AO991">
        <v>1.1000000000000001E-3</v>
      </c>
      <c r="AP991">
        <v>-1</v>
      </c>
      <c r="AQ991">
        <v>6.07</v>
      </c>
      <c r="AR991">
        <v>0.14000000000000001</v>
      </c>
      <c r="AS991">
        <v>13.94</v>
      </c>
      <c r="AT991">
        <v>6.67</v>
      </c>
      <c r="AU991">
        <v>22.06</v>
      </c>
      <c r="AV991">
        <v>1</v>
      </c>
      <c r="AW991">
        <v>6.09</v>
      </c>
      <c r="AX991">
        <v>52.64</v>
      </c>
      <c r="AY991">
        <v>26.52</v>
      </c>
      <c r="AZ991">
        <v>39.75</v>
      </c>
      <c r="BA991">
        <v>0.68</v>
      </c>
      <c r="BB991" t="s">
        <v>700</v>
      </c>
      <c r="BF991">
        <v>-1.68</v>
      </c>
      <c r="BG991">
        <v>-5.79</v>
      </c>
      <c r="BH991">
        <v>-6.39</v>
      </c>
      <c r="BI991">
        <v>0</v>
      </c>
      <c r="BJ991">
        <v>20210824</v>
      </c>
      <c r="BK991">
        <v>20110715</v>
      </c>
      <c r="BL991">
        <v>23.79</v>
      </c>
      <c r="BM991" t="s">
        <v>120</v>
      </c>
      <c r="BN991" t="s">
        <v>120</v>
      </c>
      <c r="BO991">
        <v>388.19</v>
      </c>
      <c r="BP991">
        <v>36.46</v>
      </c>
      <c r="BQ991">
        <v>169.05</v>
      </c>
      <c r="BR991">
        <v>16.239999999999998</v>
      </c>
      <c r="BS991">
        <v>52.27</v>
      </c>
      <c r="BT991">
        <v>142.21</v>
      </c>
      <c r="BU991">
        <v>99.1</v>
      </c>
      <c r="BV991">
        <v>26.68</v>
      </c>
      <c r="BW991">
        <v>162.22</v>
      </c>
      <c r="BX991">
        <v>68.8</v>
      </c>
      <c r="BY991">
        <v>31.68</v>
      </c>
      <c r="BZ991">
        <v>17.8</v>
      </c>
      <c r="CA991" t="s">
        <v>120</v>
      </c>
      <c r="CB991">
        <v>136.79</v>
      </c>
      <c r="CC991">
        <v>98.38</v>
      </c>
      <c r="CD991">
        <v>57.82</v>
      </c>
      <c r="CE991">
        <v>28.69</v>
      </c>
      <c r="CF991">
        <v>-0.64</v>
      </c>
      <c r="CG991">
        <v>28.56</v>
      </c>
      <c r="CH991">
        <v>24.4</v>
      </c>
      <c r="CI991">
        <v>24.35</v>
      </c>
      <c r="CJ991">
        <v>-1.79</v>
      </c>
      <c r="CK991">
        <v>24.02</v>
      </c>
      <c r="CL991">
        <v>18.579999999999998</v>
      </c>
      <c r="CM991">
        <v>15.25</v>
      </c>
      <c r="CN991">
        <v>15.79</v>
      </c>
      <c r="CO991">
        <v>83527</v>
      </c>
      <c r="CP991">
        <v>14992</v>
      </c>
      <c r="CQ991" t="s">
        <v>5681</v>
      </c>
      <c r="CR991">
        <v>88.33</v>
      </c>
      <c r="CS991">
        <v>55.53</v>
      </c>
      <c r="CT991">
        <v>5.13</v>
      </c>
      <c r="CU991">
        <v>56.86</v>
      </c>
      <c r="CV991">
        <v>8.82</v>
      </c>
      <c r="CW991">
        <v>2.2200000000000002</v>
      </c>
      <c r="CX991" t="s">
        <v>3404</v>
      </c>
      <c r="CY991">
        <v>7.11</v>
      </c>
      <c r="CZ991">
        <v>0</v>
      </c>
      <c r="DA991">
        <v>5.75</v>
      </c>
      <c r="DB991">
        <v>0.78</v>
      </c>
      <c r="DC991">
        <v>0.64</v>
      </c>
      <c r="DD991">
        <v>43.55</v>
      </c>
      <c r="DE991" t="s">
        <v>5682</v>
      </c>
      <c r="DF991">
        <v>41.23</v>
      </c>
      <c r="DG991">
        <v>29.16</v>
      </c>
      <c r="DH991">
        <v>24.75</v>
      </c>
      <c r="DI991">
        <v>4.1399999999999997</v>
      </c>
      <c r="DJ991">
        <v>10038</v>
      </c>
      <c r="DK991">
        <v>2601</v>
      </c>
      <c r="DL991" t="s">
        <v>120</v>
      </c>
      <c r="DM991" t="s">
        <v>120</v>
      </c>
      <c r="DN991" t="s">
        <v>120</v>
      </c>
    </row>
    <row r="992" spans="1:118">
      <c r="A992" t="str">
        <f>"002602"</f>
        <v>002602</v>
      </c>
      <c r="B992" t="s">
        <v>5683</v>
      </c>
      <c r="C992">
        <v>0.28000000000000003</v>
      </c>
      <c r="D992">
        <v>0.14000000000000001</v>
      </c>
      <c r="E992">
        <v>-0.28000000000000003</v>
      </c>
      <c r="F992">
        <v>7801</v>
      </c>
      <c r="G992" t="s">
        <v>5684</v>
      </c>
      <c r="H992">
        <v>46960.25</v>
      </c>
      <c r="I992">
        <v>111.84</v>
      </c>
      <c r="J992" t="s">
        <v>120</v>
      </c>
      <c r="K992" t="s">
        <v>5685</v>
      </c>
      <c r="L992">
        <v>1.36</v>
      </c>
      <c r="M992">
        <v>7.15</v>
      </c>
      <c r="N992">
        <v>0.64</v>
      </c>
      <c r="O992">
        <v>0.98</v>
      </c>
      <c r="P992">
        <v>7.2</v>
      </c>
      <c r="Q992">
        <v>-1.26</v>
      </c>
      <c r="R992">
        <v>7.04</v>
      </c>
      <c r="S992">
        <v>7.11</v>
      </c>
      <c r="T992">
        <v>659828</v>
      </c>
      <c r="U992">
        <v>7.15</v>
      </c>
      <c r="V992">
        <v>7.13</v>
      </c>
      <c r="W992">
        <v>10.87</v>
      </c>
      <c r="X992" t="s">
        <v>1531</v>
      </c>
      <c r="Y992" t="s">
        <v>585</v>
      </c>
      <c r="Z992">
        <v>2.2400000000000002</v>
      </c>
      <c r="AA992">
        <v>7.12</v>
      </c>
      <c r="AB992">
        <v>333711</v>
      </c>
      <c r="AC992">
        <v>326117</v>
      </c>
      <c r="AD992">
        <v>1.02</v>
      </c>
      <c r="AE992">
        <v>1669</v>
      </c>
      <c r="AF992">
        <v>6304</v>
      </c>
      <c r="AG992" t="s">
        <v>120</v>
      </c>
      <c r="AH992">
        <v>0</v>
      </c>
      <c r="AI992" t="s">
        <v>120</v>
      </c>
      <c r="AJ992">
        <v>48.69</v>
      </c>
      <c r="AK992" t="s">
        <v>5686</v>
      </c>
      <c r="AL992">
        <v>2.19</v>
      </c>
      <c r="AM992">
        <v>4029</v>
      </c>
      <c r="AN992">
        <v>164</v>
      </c>
      <c r="AO992">
        <v>2.9999999999999997E-4</v>
      </c>
      <c r="AP992">
        <v>2</v>
      </c>
      <c r="AQ992">
        <v>2.15</v>
      </c>
      <c r="AR992">
        <v>-2.98</v>
      </c>
      <c r="AS992">
        <v>30.23</v>
      </c>
      <c r="AT992">
        <v>9.83</v>
      </c>
      <c r="AU992">
        <v>0.56000000000000005</v>
      </c>
      <c r="AV992">
        <v>1</v>
      </c>
      <c r="AW992">
        <v>1.68</v>
      </c>
      <c r="AX992">
        <v>52.77</v>
      </c>
      <c r="AY992">
        <v>14.01</v>
      </c>
      <c r="AZ992">
        <v>18.03</v>
      </c>
      <c r="BA992">
        <v>0.43</v>
      </c>
      <c r="BB992" t="s">
        <v>184</v>
      </c>
      <c r="BF992">
        <v>-0.18</v>
      </c>
      <c r="BG992">
        <v>0.56000000000000005</v>
      </c>
      <c r="BH992">
        <v>-0.69</v>
      </c>
      <c r="BI992">
        <v>1.56</v>
      </c>
      <c r="BJ992">
        <v>20210831</v>
      </c>
      <c r="BK992">
        <v>20110728</v>
      </c>
      <c r="BL992">
        <v>74.53</v>
      </c>
      <c r="BM992" t="s">
        <v>120</v>
      </c>
      <c r="BN992" t="s">
        <v>120</v>
      </c>
      <c r="BO992">
        <v>399.33</v>
      </c>
      <c r="BP992">
        <v>7.14</v>
      </c>
      <c r="BQ992">
        <v>312.62</v>
      </c>
      <c r="BR992">
        <v>5.88</v>
      </c>
      <c r="BS992">
        <v>20.239999999999998</v>
      </c>
      <c r="BT992">
        <v>99.68</v>
      </c>
      <c r="BU992">
        <v>11.67</v>
      </c>
      <c r="BV992">
        <v>3.53</v>
      </c>
      <c r="BW992">
        <v>72.150000000000006</v>
      </c>
      <c r="BX992">
        <v>29.3</v>
      </c>
      <c r="BY992">
        <v>5.5</v>
      </c>
      <c r="BZ992">
        <v>33.44</v>
      </c>
      <c r="CA992" t="s">
        <v>120</v>
      </c>
      <c r="CB992">
        <v>145.69</v>
      </c>
      <c r="CC992">
        <v>73.099999999999994</v>
      </c>
      <c r="CD992">
        <v>30.64</v>
      </c>
      <c r="CE992">
        <v>33.44</v>
      </c>
      <c r="CF992">
        <v>24.29</v>
      </c>
      <c r="CG992">
        <v>33.39</v>
      </c>
      <c r="CH992">
        <v>25.71</v>
      </c>
      <c r="CI992">
        <v>24.5</v>
      </c>
      <c r="CJ992">
        <v>0.02</v>
      </c>
      <c r="CK992">
        <v>7.68</v>
      </c>
      <c r="CL992">
        <v>105.16</v>
      </c>
      <c r="CM992">
        <v>6.86</v>
      </c>
      <c r="CN992">
        <v>-7.25</v>
      </c>
      <c r="CO992">
        <v>160617</v>
      </c>
      <c r="CP992">
        <v>24484</v>
      </c>
      <c r="CQ992" t="s">
        <v>5687</v>
      </c>
      <c r="CR992">
        <v>52.88</v>
      </c>
      <c r="CS992">
        <v>-5.9</v>
      </c>
      <c r="CT992">
        <v>1.7</v>
      </c>
      <c r="CU992">
        <v>77.73</v>
      </c>
      <c r="CV992">
        <v>7.29</v>
      </c>
      <c r="CW992">
        <v>0</v>
      </c>
      <c r="CX992" t="s">
        <v>2443</v>
      </c>
      <c r="CY992">
        <v>4.1900000000000004</v>
      </c>
      <c r="CZ992">
        <v>0</v>
      </c>
      <c r="DA992">
        <v>1.95</v>
      </c>
      <c r="DB992">
        <v>1.41</v>
      </c>
      <c r="DC992">
        <v>0.09</v>
      </c>
      <c r="DD992">
        <v>78.290000000000006</v>
      </c>
      <c r="DE992" t="s">
        <v>5688</v>
      </c>
      <c r="DF992">
        <v>58.08</v>
      </c>
      <c r="DG992">
        <v>45.74</v>
      </c>
      <c r="DH992">
        <v>33.520000000000003</v>
      </c>
      <c r="DI992">
        <v>9.26</v>
      </c>
      <c r="DJ992">
        <v>7250</v>
      </c>
      <c r="DK992">
        <v>2602</v>
      </c>
      <c r="DL992">
        <v>20210908</v>
      </c>
      <c r="DM992">
        <v>7.2</v>
      </c>
      <c r="DN992">
        <v>-0.69</v>
      </c>
    </row>
    <row r="993" spans="1:118">
      <c r="A993" t="str">
        <f>"002603"</f>
        <v>002603</v>
      </c>
      <c r="B993" t="s">
        <v>5689</v>
      </c>
      <c r="C993">
        <v>-1.23</v>
      </c>
      <c r="D993">
        <v>-0.4</v>
      </c>
      <c r="E993">
        <v>-0.12</v>
      </c>
      <c r="F993">
        <v>9944</v>
      </c>
      <c r="G993" t="s">
        <v>5690</v>
      </c>
      <c r="H993">
        <v>22350.52</v>
      </c>
      <c r="I993">
        <v>60.09</v>
      </c>
      <c r="J993" t="s">
        <v>120</v>
      </c>
      <c r="K993" t="s">
        <v>5691</v>
      </c>
      <c r="L993">
        <v>0.95</v>
      </c>
      <c r="M993">
        <v>16.93</v>
      </c>
      <c r="N993">
        <v>0.97</v>
      </c>
      <c r="O993">
        <v>0.64</v>
      </c>
      <c r="P993">
        <v>17.25</v>
      </c>
      <c r="Q993">
        <v>-1.23</v>
      </c>
      <c r="R993">
        <v>16.93</v>
      </c>
      <c r="S993">
        <v>17.12</v>
      </c>
      <c r="T993">
        <v>130760</v>
      </c>
      <c r="U993">
        <v>16.95</v>
      </c>
      <c r="V993">
        <v>17.14</v>
      </c>
      <c r="W993">
        <v>14.67</v>
      </c>
      <c r="X993" t="s">
        <v>771</v>
      </c>
      <c r="Y993" t="s">
        <v>602</v>
      </c>
      <c r="Z993">
        <v>1.87</v>
      </c>
      <c r="AA993">
        <v>17.09</v>
      </c>
      <c r="AB993">
        <v>76910</v>
      </c>
      <c r="AC993">
        <v>53850</v>
      </c>
      <c r="AD993">
        <v>1.43</v>
      </c>
      <c r="AE993">
        <v>51</v>
      </c>
      <c r="AF993">
        <v>34</v>
      </c>
      <c r="AG993" t="s">
        <v>120</v>
      </c>
      <c r="AH993">
        <v>0</v>
      </c>
      <c r="AI993" t="s">
        <v>120</v>
      </c>
      <c r="AJ993">
        <v>13.76</v>
      </c>
      <c r="AK993" t="s">
        <v>5692</v>
      </c>
      <c r="AL993">
        <v>0.69</v>
      </c>
      <c r="AM993">
        <v>3303</v>
      </c>
      <c r="AN993">
        <v>40</v>
      </c>
      <c r="AO993">
        <v>2.9999999999999997E-4</v>
      </c>
      <c r="AP993">
        <v>-3</v>
      </c>
      <c r="AQ993">
        <v>-1.49</v>
      </c>
      <c r="AR993">
        <v>-4.1900000000000004</v>
      </c>
      <c r="AS993">
        <v>-4.9400000000000004</v>
      </c>
      <c r="AT993">
        <v>-12.76</v>
      </c>
      <c r="AU993">
        <v>-3.26</v>
      </c>
      <c r="AV993">
        <v>2</v>
      </c>
      <c r="AW993">
        <v>1.74</v>
      </c>
      <c r="AX993">
        <v>45.04</v>
      </c>
      <c r="AY993">
        <v>19.5</v>
      </c>
      <c r="AZ993">
        <v>23.5</v>
      </c>
      <c r="BA993">
        <v>0.52</v>
      </c>
      <c r="BB993" t="s">
        <v>125</v>
      </c>
      <c r="BF993">
        <v>-0.28000000000000003</v>
      </c>
      <c r="BG993">
        <v>-1.1100000000000001</v>
      </c>
      <c r="BH993">
        <v>-1.86</v>
      </c>
      <c r="BI993">
        <v>0</v>
      </c>
      <c r="BJ993">
        <v>20210826</v>
      </c>
      <c r="BK993">
        <v>20110728</v>
      </c>
      <c r="BL993">
        <v>16.71</v>
      </c>
      <c r="BM993" t="s">
        <v>120</v>
      </c>
      <c r="BN993" t="s">
        <v>120</v>
      </c>
      <c r="BO993">
        <v>142.31</v>
      </c>
      <c r="BP993">
        <v>16.93</v>
      </c>
      <c r="BQ993">
        <v>86.9</v>
      </c>
      <c r="BR993">
        <v>0.04</v>
      </c>
      <c r="BS993">
        <v>38.909999999999997</v>
      </c>
      <c r="BT993">
        <v>73.95</v>
      </c>
      <c r="BU993">
        <v>33.299999999999997</v>
      </c>
      <c r="BV993">
        <v>4.74</v>
      </c>
      <c r="BW993">
        <v>46.88</v>
      </c>
      <c r="BX993">
        <v>20.260000000000002</v>
      </c>
      <c r="BY993">
        <v>20.02</v>
      </c>
      <c r="BZ993">
        <v>17.41</v>
      </c>
      <c r="CA993" t="s">
        <v>120</v>
      </c>
      <c r="CB993">
        <v>23.43</v>
      </c>
      <c r="CC993">
        <v>58.96</v>
      </c>
      <c r="CD993">
        <v>20.8</v>
      </c>
      <c r="CE993">
        <v>11.48</v>
      </c>
      <c r="CF993">
        <v>0.02</v>
      </c>
      <c r="CG993">
        <v>11.41</v>
      </c>
      <c r="CH993">
        <v>9.64</v>
      </c>
      <c r="CI993">
        <v>9.64</v>
      </c>
      <c r="CJ993">
        <v>-0.21</v>
      </c>
      <c r="CK993">
        <v>9.2899999999999991</v>
      </c>
      <c r="CL993">
        <v>40.950000000000003</v>
      </c>
      <c r="CM993">
        <v>-2.91</v>
      </c>
      <c r="CN993">
        <v>6.63</v>
      </c>
      <c r="CO993">
        <v>101415</v>
      </c>
      <c r="CP993">
        <v>7420</v>
      </c>
      <c r="CQ993" t="s">
        <v>5693</v>
      </c>
      <c r="CR993">
        <v>34.99</v>
      </c>
      <c r="CS993">
        <v>31.41</v>
      </c>
      <c r="CT993">
        <v>3.25</v>
      </c>
      <c r="CU993">
        <v>-97.3</v>
      </c>
      <c r="CV993">
        <v>4.8</v>
      </c>
      <c r="CW993">
        <v>4.17</v>
      </c>
      <c r="CX993" t="s">
        <v>5694</v>
      </c>
      <c r="CY993">
        <v>5.2</v>
      </c>
      <c r="CZ993">
        <v>0</v>
      </c>
      <c r="DA993">
        <v>1.4</v>
      </c>
      <c r="DB993">
        <v>2.4500000000000002</v>
      </c>
      <c r="DC993">
        <v>-0.17</v>
      </c>
      <c r="DD993">
        <v>61.06</v>
      </c>
      <c r="DE993" t="s">
        <v>5695</v>
      </c>
      <c r="DF993">
        <v>64.72</v>
      </c>
      <c r="DG993">
        <v>19.47</v>
      </c>
      <c r="DH993">
        <v>16.350000000000001</v>
      </c>
      <c r="DI993">
        <v>3.6</v>
      </c>
      <c r="DJ993">
        <v>16912</v>
      </c>
      <c r="DK993">
        <v>2603</v>
      </c>
      <c r="DL993" t="s">
        <v>120</v>
      </c>
      <c r="DM993" t="s">
        <v>120</v>
      </c>
      <c r="DN993" t="s">
        <v>120</v>
      </c>
    </row>
    <row r="994" spans="1:118">
      <c r="A994" t="str">
        <f>"002605"</f>
        <v>002605</v>
      </c>
      <c r="B994" t="s">
        <v>5696</v>
      </c>
      <c r="C994">
        <v>-2.35</v>
      </c>
      <c r="D994">
        <v>0.11</v>
      </c>
      <c r="E994">
        <v>-0.06</v>
      </c>
      <c r="F994">
        <v>329</v>
      </c>
      <c r="G994" t="s">
        <v>5697</v>
      </c>
      <c r="H994">
        <v>7087.58</v>
      </c>
      <c r="I994">
        <v>0.18</v>
      </c>
      <c r="J994" t="s">
        <v>120</v>
      </c>
      <c r="K994" t="s">
        <v>5195</v>
      </c>
      <c r="L994">
        <v>1.24</v>
      </c>
      <c r="M994">
        <v>17.48</v>
      </c>
      <c r="N994">
        <v>0.71</v>
      </c>
      <c r="O994">
        <v>1.34</v>
      </c>
      <c r="P994">
        <v>18.14</v>
      </c>
      <c r="Q994">
        <v>-2.5099999999999998</v>
      </c>
      <c r="R994">
        <v>17.45</v>
      </c>
      <c r="S994">
        <v>17.89</v>
      </c>
      <c r="T994">
        <v>39987</v>
      </c>
      <c r="U994">
        <v>17.489999999999998</v>
      </c>
      <c r="V994">
        <v>17.899999999999999</v>
      </c>
      <c r="W994">
        <v>9.59</v>
      </c>
      <c r="X994" t="s">
        <v>1531</v>
      </c>
      <c r="Y994" t="s">
        <v>1510</v>
      </c>
      <c r="Z994">
        <v>3.85</v>
      </c>
      <c r="AA994">
        <v>17.72</v>
      </c>
      <c r="AB994">
        <v>26641</v>
      </c>
      <c r="AC994">
        <v>13346</v>
      </c>
      <c r="AD994">
        <v>2</v>
      </c>
      <c r="AE994">
        <v>86</v>
      </c>
      <c r="AF994">
        <v>127</v>
      </c>
      <c r="AG994" t="s">
        <v>120</v>
      </c>
      <c r="AH994">
        <v>0</v>
      </c>
      <c r="AI994" t="s">
        <v>120</v>
      </c>
      <c r="AJ994">
        <v>3.23</v>
      </c>
      <c r="AK994" t="s">
        <v>5698</v>
      </c>
      <c r="AL994">
        <v>-0.43</v>
      </c>
      <c r="AM994">
        <v>1908</v>
      </c>
      <c r="AN994">
        <v>21</v>
      </c>
      <c r="AO994">
        <v>5.9999999999999995E-4</v>
      </c>
      <c r="AP994">
        <v>-3</v>
      </c>
      <c r="AQ994">
        <v>-1.27</v>
      </c>
      <c r="AR994">
        <v>-5.97</v>
      </c>
      <c r="AS994">
        <v>1.22</v>
      </c>
      <c r="AT994">
        <v>-20</v>
      </c>
      <c r="AU994">
        <v>-27.29</v>
      </c>
      <c r="AV994">
        <v>1</v>
      </c>
      <c r="AW994">
        <v>2.14</v>
      </c>
      <c r="AX994">
        <v>46.32</v>
      </c>
      <c r="AY994">
        <v>10.92</v>
      </c>
      <c r="AZ994">
        <v>6.59</v>
      </c>
      <c r="BA994">
        <v>0.55000000000000004</v>
      </c>
      <c r="BB994" t="s">
        <v>143</v>
      </c>
      <c r="BF994">
        <v>-0.98</v>
      </c>
      <c r="BG994">
        <v>-2.29</v>
      </c>
      <c r="BH994">
        <v>-3.64</v>
      </c>
      <c r="BI994">
        <v>0.17</v>
      </c>
      <c r="BJ994">
        <v>20210901</v>
      </c>
      <c r="BK994">
        <v>20110805</v>
      </c>
      <c r="BL994">
        <v>4.03</v>
      </c>
      <c r="BM994" t="s">
        <v>120</v>
      </c>
      <c r="BN994" t="s">
        <v>120</v>
      </c>
      <c r="BO994">
        <v>39.4</v>
      </c>
      <c r="BP994">
        <v>17.48</v>
      </c>
      <c r="BQ994">
        <v>22.22</v>
      </c>
      <c r="BR994">
        <v>0.14000000000000001</v>
      </c>
      <c r="BS994">
        <v>43.27</v>
      </c>
      <c r="BT994">
        <v>13.65</v>
      </c>
      <c r="BU994">
        <v>3.38</v>
      </c>
      <c r="BV994">
        <v>0.72</v>
      </c>
      <c r="BW994">
        <v>13.25</v>
      </c>
      <c r="BX994">
        <v>4.8</v>
      </c>
      <c r="BY994">
        <v>2.62</v>
      </c>
      <c r="BZ994">
        <v>5.0999999999999996</v>
      </c>
      <c r="CA994">
        <v>0.01</v>
      </c>
      <c r="CB994">
        <v>0.45</v>
      </c>
      <c r="CC994">
        <v>19.95</v>
      </c>
      <c r="CD994">
        <v>11.8</v>
      </c>
      <c r="CE994">
        <v>4.17</v>
      </c>
      <c r="CF994">
        <v>0.15</v>
      </c>
      <c r="CG994">
        <v>4.17</v>
      </c>
      <c r="CH994">
        <v>3.69</v>
      </c>
      <c r="CI994">
        <v>3.67</v>
      </c>
      <c r="CJ994">
        <v>-0.42</v>
      </c>
      <c r="CK994">
        <v>3.27</v>
      </c>
      <c r="CL994">
        <v>17.100000000000001</v>
      </c>
      <c r="CM994">
        <v>2.0099999999999998</v>
      </c>
      <c r="CN994">
        <v>-1.77</v>
      </c>
      <c r="CO994">
        <v>41634</v>
      </c>
      <c r="CP994">
        <v>4479</v>
      </c>
      <c r="CQ994" t="s">
        <v>972</v>
      </c>
      <c r="CR994">
        <v>-54.15</v>
      </c>
      <c r="CS994">
        <v>95.84</v>
      </c>
      <c r="CT994">
        <v>3.17</v>
      </c>
      <c r="CU994">
        <v>34.93</v>
      </c>
      <c r="CV994">
        <v>3.53</v>
      </c>
      <c r="CW994">
        <v>2.78</v>
      </c>
      <c r="CX994" t="s">
        <v>4187</v>
      </c>
      <c r="CY994">
        <v>5.52</v>
      </c>
      <c r="CZ994">
        <v>0</v>
      </c>
      <c r="DA994">
        <v>0.11</v>
      </c>
      <c r="DB994">
        <v>4.25</v>
      </c>
      <c r="DC994">
        <v>0.5</v>
      </c>
      <c r="DD994">
        <v>56.39</v>
      </c>
      <c r="DE994" t="s">
        <v>5699</v>
      </c>
      <c r="DF994">
        <v>40.86</v>
      </c>
      <c r="DG994">
        <v>20.91</v>
      </c>
      <c r="DH994">
        <v>18.399999999999999</v>
      </c>
      <c r="DI994">
        <v>0.88</v>
      </c>
      <c r="DJ994">
        <v>1655</v>
      </c>
      <c r="DK994">
        <v>2605</v>
      </c>
      <c r="DL994" t="s">
        <v>120</v>
      </c>
      <c r="DM994" t="s">
        <v>120</v>
      </c>
      <c r="DN994" t="s">
        <v>120</v>
      </c>
    </row>
    <row r="995" spans="1:118">
      <c r="A995" t="str">
        <f>"002606"</f>
        <v>002606</v>
      </c>
      <c r="B995" t="s">
        <v>5700</v>
      </c>
      <c r="C995">
        <v>10</v>
      </c>
      <c r="D995">
        <v>0</v>
      </c>
      <c r="E995">
        <v>2.8</v>
      </c>
      <c r="F995">
        <v>1025</v>
      </c>
      <c r="G995" t="s">
        <v>5701</v>
      </c>
      <c r="H995">
        <v>90200.25</v>
      </c>
      <c r="I995">
        <v>2144.56</v>
      </c>
      <c r="J995">
        <v>6008.35</v>
      </c>
      <c r="K995" t="s">
        <v>5702</v>
      </c>
      <c r="L995">
        <v>19.96</v>
      </c>
      <c r="M995">
        <v>11.77</v>
      </c>
      <c r="N995">
        <v>1.43</v>
      </c>
      <c r="O995">
        <v>10</v>
      </c>
      <c r="P995">
        <v>11.77</v>
      </c>
      <c r="Q995">
        <v>-2.2400000000000002</v>
      </c>
      <c r="R995">
        <v>10.46</v>
      </c>
      <c r="S995">
        <v>11</v>
      </c>
      <c r="T995">
        <v>811561</v>
      </c>
      <c r="U995" t="s">
        <v>120</v>
      </c>
      <c r="V995">
        <v>10.7</v>
      </c>
      <c r="W995">
        <v>19.93</v>
      </c>
      <c r="X995" t="s">
        <v>394</v>
      </c>
      <c r="Y995" t="s">
        <v>432</v>
      </c>
      <c r="Z995">
        <v>12.24</v>
      </c>
      <c r="AA995">
        <v>11.11</v>
      </c>
      <c r="AB995">
        <v>403261</v>
      </c>
      <c r="AC995">
        <v>408300</v>
      </c>
      <c r="AD995">
        <v>0.99</v>
      </c>
      <c r="AE995">
        <v>51048</v>
      </c>
      <c r="AF995">
        <v>0</v>
      </c>
      <c r="AG995" t="s">
        <v>120</v>
      </c>
      <c r="AH995">
        <v>0.7</v>
      </c>
      <c r="AI995">
        <v>0.06</v>
      </c>
      <c r="AJ995">
        <v>4.07</v>
      </c>
      <c r="AK995" t="s">
        <v>5703</v>
      </c>
      <c r="AL995">
        <v>11.91</v>
      </c>
      <c r="AM995">
        <v>3805</v>
      </c>
      <c r="AN995">
        <v>213</v>
      </c>
      <c r="AO995">
        <v>5.1999999999999998E-3</v>
      </c>
      <c r="AP995">
        <v>5</v>
      </c>
      <c r="AQ995">
        <v>2.4900000000000002</v>
      </c>
      <c r="AR995">
        <v>21.71</v>
      </c>
      <c r="AS995">
        <v>61.24</v>
      </c>
      <c r="AT995">
        <v>64.150000000000006</v>
      </c>
      <c r="AU995">
        <v>45.57</v>
      </c>
      <c r="AV995">
        <v>4</v>
      </c>
      <c r="AW995">
        <v>28.96</v>
      </c>
      <c r="AX995">
        <v>63.75</v>
      </c>
      <c r="AY995">
        <v>28.36</v>
      </c>
      <c r="AZ995">
        <v>44.37</v>
      </c>
      <c r="BA995">
        <v>0.22</v>
      </c>
      <c r="BB995" t="s">
        <v>184</v>
      </c>
      <c r="BF995">
        <v>3.87</v>
      </c>
      <c r="BG995">
        <v>7</v>
      </c>
      <c r="BH995">
        <v>0</v>
      </c>
      <c r="BI995">
        <v>12.52</v>
      </c>
      <c r="BJ995">
        <v>20210914</v>
      </c>
      <c r="BK995">
        <v>20110805</v>
      </c>
      <c r="BL995">
        <v>4.4000000000000004</v>
      </c>
      <c r="BM995" t="s">
        <v>120</v>
      </c>
      <c r="BN995" t="s">
        <v>120</v>
      </c>
      <c r="BO995">
        <v>17.05</v>
      </c>
      <c r="BP995">
        <v>11.77</v>
      </c>
      <c r="BQ995">
        <v>13.25</v>
      </c>
      <c r="BR995">
        <v>0.03</v>
      </c>
      <c r="BS995">
        <v>22.13</v>
      </c>
      <c r="BT995">
        <v>11.78</v>
      </c>
      <c r="BU995">
        <v>2.93</v>
      </c>
      <c r="BV995">
        <v>0.92</v>
      </c>
      <c r="BW995">
        <v>2.94</v>
      </c>
      <c r="BX995">
        <v>3</v>
      </c>
      <c r="BY995">
        <v>2.97</v>
      </c>
      <c r="BZ995">
        <v>3.48</v>
      </c>
      <c r="CA995" t="s">
        <v>120</v>
      </c>
      <c r="CB995">
        <v>2.4300000000000002</v>
      </c>
      <c r="CC995">
        <v>5.98</v>
      </c>
      <c r="CD995">
        <v>3.57</v>
      </c>
      <c r="CE995">
        <v>1.53</v>
      </c>
      <c r="CF995">
        <v>0.01</v>
      </c>
      <c r="CG995">
        <v>1.54</v>
      </c>
      <c r="CH995">
        <v>1.3</v>
      </c>
      <c r="CI995">
        <v>1.3</v>
      </c>
      <c r="CJ995">
        <v>1.07</v>
      </c>
      <c r="CK995">
        <v>1.24</v>
      </c>
      <c r="CL995">
        <v>5.67</v>
      </c>
      <c r="CM995">
        <v>0.62</v>
      </c>
      <c r="CN995">
        <v>1.5</v>
      </c>
      <c r="CO995">
        <v>30360</v>
      </c>
      <c r="CP995">
        <v>9229</v>
      </c>
      <c r="CQ995" t="s">
        <v>5704</v>
      </c>
      <c r="CR995">
        <v>85.54</v>
      </c>
      <c r="CS995">
        <v>15.77</v>
      </c>
      <c r="CT995">
        <v>3.91</v>
      </c>
      <c r="CU995">
        <v>83.47</v>
      </c>
      <c r="CV995">
        <v>8.65</v>
      </c>
      <c r="CW995">
        <v>0.23</v>
      </c>
      <c r="CX995" t="s">
        <v>2752</v>
      </c>
      <c r="CY995">
        <v>3.01</v>
      </c>
      <c r="CZ995">
        <v>0</v>
      </c>
      <c r="DA995">
        <v>0.55000000000000004</v>
      </c>
      <c r="DB995">
        <v>1.29</v>
      </c>
      <c r="DC995">
        <v>0.14000000000000001</v>
      </c>
      <c r="DD995">
        <v>77.69</v>
      </c>
      <c r="DE995" t="s">
        <v>5705</v>
      </c>
      <c r="DF995">
        <v>40.299999999999997</v>
      </c>
      <c r="DG995">
        <v>25.61</v>
      </c>
      <c r="DH995">
        <v>21.7</v>
      </c>
      <c r="DI995">
        <v>0.28999999999999998</v>
      </c>
      <c r="DJ995">
        <v>1321</v>
      </c>
      <c r="DK995">
        <v>2606</v>
      </c>
      <c r="DL995">
        <v>20210916</v>
      </c>
      <c r="DM995">
        <v>11.35</v>
      </c>
      <c r="DN995">
        <v>3.7</v>
      </c>
    </row>
    <row r="996" spans="1:118">
      <c r="A996" t="str">
        <f>"002607"</f>
        <v>002607</v>
      </c>
      <c r="B996" t="s">
        <v>5706</v>
      </c>
      <c r="C996">
        <v>-4.26</v>
      </c>
      <c r="D996">
        <v>-0.16</v>
      </c>
      <c r="E996">
        <v>-1.23</v>
      </c>
      <c r="F996">
        <v>11680</v>
      </c>
      <c r="G996" t="s">
        <v>5707</v>
      </c>
      <c r="H996">
        <v>51924.57</v>
      </c>
      <c r="I996">
        <v>481.4</v>
      </c>
      <c r="J996" t="s">
        <v>120</v>
      </c>
      <c r="K996" t="s">
        <v>5708</v>
      </c>
      <c r="L996">
        <v>2.67</v>
      </c>
      <c r="M996">
        <v>11.68</v>
      </c>
      <c r="N996">
        <v>0.48</v>
      </c>
      <c r="O996">
        <v>-0.82</v>
      </c>
      <c r="P996">
        <v>12.1</v>
      </c>
      <c r="Q996">
        <v>-4.26</v>
      </c>
      <c r="R996">
        <v>11.68</v>
      </c>
      <c r="S996">
        <v>12.05</v>
      </c>
      <c r="T996">
        <v>438012</v>
      </c>
      <c r="U996">
        <v>11.69</v>
      </c>
      <c r="V996">
        <v>12.2</v>
      </c>
      <c r="W996" t="s">
        <v>120</v>
      </c>
      <c r="X996" t="s">
        <v>213</v>
      </c>
      <c r="Y996" t="s">
        <v>570</v>
      </c>
      <c r="Z996">
        <v>3.44</v>
      </c>
      <c r="AA996">
        <v>11.85</v>
      </c>
      <c r="AB996">
        <v>252776</v>
      </c>
      <c r="AC996">
        <v>185236</v>
      </c>
      <c r="AD996">
        <v>1.36</v>
      </c>
      <c r="AE996">
        <v>563</v>
      </c>
      <c r="AF996">
        <v>447</v>
      </c>
      <c r="AG996" t="s">
        <v>120</v>
      </c>
      <c r="AH996">
        <v>0.03</v>
      </c>
      <c r="AI996" t="s">
        <v>120</v>
      </c>
      <c r="AJ996">
        <v>16.43</v>
      </c>
      <c r="AK996" t="s">
        <v>5709</v>
      </c>
      <c r="AL996">
        <v>-2.35</v>
      </c>
      <c r="AM996">
        <v>4475</v>
      </c>
      <c r="AN996">
        <v>98</v>
      </c>
      <c r="AO996">
        <v>5.9999999999999995E-4</v>
      </c>
      <c r="AP996">
        <v>-5</v>
      </c>
      <c r="AQ996">
        <v>-0.16</v>
      </c>
      <c r="AR996">
        <v>-6.4</v>
      </c>
      <c r="AS996">
        <v>3.82</v>
      </c>
      <c r="AT996">
        <v>-46.05</v>
      </c>
      <c r="AU996">
        <v>-66.75</v>
      </c>
      <c r="AV996">
        <v>5</v>
      </c>
      <c r="AW996">
        <v>3.4</v>
      </c>
      <c r="AX996">
        <v>20.88</v>
      </c>
      <c r="AY996">
        <v>30.83</v>
      </c>
      <c r="AZ996">
        <v>32.65</v>
      </c>
      <c r="BA996">
        <v>1.03</v>
      </c>
      <c r="BB996" t="s">
        <v>125</v>
      </c>
      <c r="BF996">
        <v>-2.83</v>
      </c>
      <c r="BG996">
        <v>-3.07</v>
      </c>
      <c r="BH996">
        <v>-3.47</v>
      </c>
      <c r="BI996">
        <v>0</v>
      </c>
      <c r="BJ996">
        <v>20210831</v>
      </c>
      <c r="BK996">
        <v>20110810</v>
      </c>
      <c r="BL996">
        <v>61.67</v>
      </c>
      <c r="BM996" t="s">
        <v>120</v>
      </c>
      <c r="BN996" t="s">
        <v>120</v>
      </c>
      <c r="BO996">
        <v>141.71</v>
      </c>
      <c r="BP996">
        <v>11.68</v>
      </c>
      <c r="BQ996">
        <v>41.78</v>
      </c>
      <c r="BR996">
        <v>0</v>
      </c>
      <c r="BS996">
        <v>70.52</v>
      </c>
      <c r="BT996">
        <v>51.64</v>
      </c>
      <c r="BU996">
        <v>15.8</v>
      </c>
      <c r="BV996">
        <v>5.15</v>
      </c>
      <c r="BW996">
        <v>93.54</v>
      </c>
      <c r="BX996">
        <v>35.61</v>
      </c>
      <c r="BY996">
        <v>0</v>
      </c>
      <c r="BZ996">
        <v>0.32</v>
      </c>
      <c r="CA996" t="s">
        <v>120</v>
      </c>
      <c r="CB996">
        <v>12.25</v>
      </c>
      <c r="CC996">
        <v>48.56</v>
      </c>
      <c r="CD996">
        <v>26.85</v>
      </c>
      <c r="CE996">
        <v>-0.97</v>
      </c>
      <c r="CF996">
        <v>0.61</v>
      </c>
      <c r="CG996">
        <v>-0.97</v>
      </c>
      <c r="CH996">
        <v>-0.97</v>
      </c>
      <c r="CI996">
        <v>-0.97</v>
      </c>
      <c r="CJ996">
        <v>-0.52</v>
      </c>
      <c r="CK996">
        <v>-1.7</v>
      </c>
      <c r="CL996">
        <v>27.74</v>
      </c>
      <c r="CM996">
        <v>-9.39</v>
      </c>
      <c r="CN996">
        <v>-23.9</v>
      </c>
      <c r="CO996">
        <v>87198</v>
      </c>
      <c r="CP996">
        <v>14767</v>
      </c>
      <c r="CQ996" t="s">
        <v>5710</v>
      </c>
      <c r="CR996">
        <v>58.3</v>
      </c>
      <c r="CS996">
        <v>72.94</v>
      </c>
      <c r="CT996">
        <v>17.239999999999998</v>
      </c>
      <c r="CU996">
        <v>-76.709999999999994</v>
      </c>
      <c r="CV996">
        <v>14.83</v>
      </c>
      <c r="CW996">
        <v>0</v>
      </c>
      <c r="CX996" t="s">
        <v>419</v>
      </c>
      <c r="CY996">
        <v>0.68</v>
      </c>
      <c r="CZ996">
        <v>0</v>
      </c>
      <c r="DA996">
        <v>0.2</v>
      </c>
      <c r="DB996">
        <v>0.45</v>
      </c>
      <c r="DC996">
        <v>-0.15</v>
      </c>
      <c r="DD996">
        <v>29.48</v>
      </c>
      <c r="DE996" t="s">
        <v>162</v>
      </c>
      <c r="DF996">
        <v>44.71</v>
      </c>
      <c r="DG996">
        <v>-1.99</v>
      </c>
      <c r="DH996">
        <v>-2</v>
      </c>
      <c r="DI996">
        <v>5.43</v>
      </c>
      <c r="DJ996">
        <v>45304</v>
      </c>
      <c r="DK996">
        <v>2607</v>
      </c>
      <c r="DL996" t="s">
        <v>120</v>
      </c>
      <c r="DM996" t="s">
        <v>120</v>
      </c>
      <c r="DN996" t="s">
        <v>120</v>
      </c>
    </row>
    <row r="997" spans="1:118">
      <c r="A997" t="str">
        <f>"002608"</f>
        <v>002608</v>
      </c>
      <c r="B997" t="s">
        <v>5711</v>
      </c>
      <c r="C997">
        <v>-1.02</v>
      </c>
      <c r="D997">
        <v>-0.28000000000000003</v>
      </c>
      <c r="E997">
        <v>0.57999999999999996</v>
      </c>
      <c r="F997">
        <v>10518</v>
      </c>
      <c r="G997" t="s">
        <v>5712</v>
      </c>
      <c r="H997">
        <v>5605.15</v>
      </c>
      <c r="I997">
        <v>32.799999999999997</v>
      </c>
      <c r="J997" t="s">
        <v>120</v>
      </c>
      <c r="K997" t="s">
        <v>5713</v>
      </c>
      <c r="L997">
        <v>0.21</v>
      </c>
      <c r="M997">
        <v>6.81</v>
      </c>
      <c r="N997">
        <v>0.94</v>
      </c>
      <c r="O997">
        <v>2.91</v>
      </c>
      <c r="P997">
        <v>7.08</v>
      </c>
      <c r="Q997">
        <v>-1.02</v>
      </c>
      <c r="R997">
        <v>6.81</v>
      </c>
      <c r="S997">
        <v>6.92</v>
      </c>
      <c r="T997">
        <v>80878</v>
      </c>
      <c r="U997">
        <v>6.82</v>
      </c>
      <c r="V997">
        <v>6.88</v>
      </c>
      <c r="W997">
        <v>9.24</v>
      </c>
      <c r="X997" t="s">
        <v>268</v>
      </c>
      <c r="Y997" t="s">
        <v>319</v>
      </c>
      <c r="Z997">
        <v>3.92</v>
      </c>
      <c r="AA997">
        <v>6.93</v>
      </c>
      <c r="AB997">
        <v>45978</v>
      </c>
      <c r="AC997">
        <v>34900</v>
      </c>
      <c r="AD997">
        <v>1.32</v>
      </c>
      <c r="AE997">
        <v>425</v>
      </c>
      <c r="AF997">
        <v>49</v>
      </c>
      <c r="AG997" t="s">
        <v>120</v>
      </c>
      <c r="AH997">
        <v>0.01</v>
      </c>
      <c r="AI997" t="s">
        <v>120</v>
      </c>
      <c r="AJ997">
        <v>37.78</v>
      </c>
      <c r="AK997" t="s">
        <v>5713</v>
      </c>
      <c r="AL997">
        <v>0.9</v>
      </c>
      <c r="AM997">
        <v>2040</v>
      </c>
      <c r="AN997">
        <v>40</v>
      </c>
      <c r="AO997">
        <v>1E-4</v>
      </c>
      <c r="AP997">
        <v>-1</v>
      </c>
      <c r="AQ997">
        <v>1.18</v>
      </c>
      <c r="AR997">
        <v>-2.29</v>
      </c>
      <c r="AS997">
        <v>13.32</v>
      </c>
      <c r="AT997">
        <v>6.91</v>
      </c>
      <c r="AU997">
        <v>-8.84</v>
      </c>
      <c r="AV997">
        <v>2</v>
      </c>
      <c r="AW997">
        <v>1.35</v>
      </c>
      <c r="AX997">
        <v>15.82</v>
      </c>
      <c r="AY997">
        <v>10.44</v>
      </c>
      <c r="AZ997">
        <v>11.43</v>
      </c>
      <c r="BA997">
        <v>0.28999999999999998</v>
      </c>
      <c r="BB997" t="s">
        <v>341</v>
      </c>
      <c r="BF997">
        <v>0.73</v>
      </c>
      <c r="BG997">
        <v>-1.59</v>
      </c>
      <c r="BH997">
        <v>-3.81</v>
      </c>
      <c r="BI997">
        <v>0</v>
      </c>
      <c r="BJ997">
        <v>20210827</v>
      </c>
      <c r="BK997">
        <v>20110810</v>
      </c>
      <c r="BL997">
        <v>37.78</v>
      </c>
      <c r="BM997" t="s">
        <v>120</v>
      </c>
      <c r="BN997" t="s">
        <v>120</v>
      </c>
      <c r="BO997">
        <v>728.6</v>
      </c>
      <c r="BP997">
        <v>6.81</v>
      </c>
      <c r="BQ997">
        <v>302.32</v>
      </c>
      <c r="BR997">
        <v>102.88</v>
      </c>
      <c r="BS997">
        <v>44.39</v>
      </c>
      <c r="BT997">
        <v>196.67</v>
      </c>
      <c r="BU997">
        <v>309.83999999999997</v>
      </c>
      <c r="BV997">
        <v>10.38</v>
      </c>
      <c r="BW997">
        <v>192.46</v>
      </c>
      <c r="BX997">
        <v>57.22</v>
      </c>
      <c r="BY997">
        <v>12.16</v>
      </c>
      <c r="BZ997">
        <v>22.9</v>
      </c>
      <c r="CA997">
        <v>0</v>
      </c>
      <c r="CB997">
        <v>170.13</v>
      </c>
      <c r="CC997">
        <v>125.01</v>
      </c>
      <c r="CD997">
        <v>111.29</v>
      </c>
      <c r="CE997">
        <v>19.97</v>
      </c>
      <c r="CF997">
        <v>10.79</v>
      </c>
      <c r="CG997">
        <v>20.29</v>
      </c>
      <c r="CH997">
        <v>17.059999999999999</v>
      </c>
      <c r="CI997">
        <v>13.93</v>
      </c>
      <c r="CJ997">
        <v>-7.0000000000000007E-2</v>
      </c>
      <c r="CK997">
        <v>11.08</v>
      </c>
      <c r="CL997">
        <v>46.03</v>
      </c>
      <c r="CM997">
        <v>-1.21</v>
      </c>
      <c r="CN997">
        <v>3.73</v>
      </c>
      <c r="CO997">
        <v>20870</v>
      </c>
      <c r="CP997">
        <v>28635</v>
      </c>
      <c r="CQ997" t="s">
        <v>5714</v>
      </c>
      <c r="CR997">
        <v>18.3</v>
      </c>
      <c r="CS997">
        <v>35</v>
      </c>
      <c r="CT997">
        <v>0.85</v>
      </c>
      <c r="CU997">
        <v>-212.35</v>
      </c>
      <c r="CV997">
        <v>2.06</v>
      </c>
      <c r="CW997">
        <v>2.91</v>
      </c>
      <c r="CX997" t="s">
        <v>709</v>
      </c>
      <c r="CY997">
        <v>8</v>
      </c>
      <c r="CZ997">
        <v>0</v>
      </c>
      <c r="DA997">
        <v>4.5</v>
      </c>
      <c r="DB997">
        <v>1.22</v>
      </c>
      <c r="DC997">
        <v>-0.03</v>
      </c>
      <c r="DD997">
        <v>41.49</v>
      </c>
      <c r="DE997" t="s">
        <v>5715</v>
      </c>
      <c r="DF997">
        <v>10.97</v>
      </c>
      <c r="DG997">
        <v>15.98</v>
      </c>
      <c r="DH997">
        <v>11.14</v>
      </c>
      <c r="DI997">
        <v>0</v>
      </c>
      <c r="DJ997">
        <v>4692</v>
      </c>
      <c r="DK997">
        <v>2608</v>
      </c>
      <c r="DL997" t="s">
        <v>120</v>
      </c>
      <c r="DM997" t="s">
        <v>120</v>
      </c>
      <c r="DN997" t="s">
        <v>120</v>
      </c>
    </row>
    <row r="998" spans="1:118">
      <c r="A998" t="str">
        <f>"002609"</f>
        <v>002609</v>
      </c>
      <c r="B998" t="s">
        <v>5716</v>
      </c>
      <c r="C998">
        <v>-2.97</v>
      </c>
      <c r="D998">
        <v>0.1</v>
      </c>
      <c r="E998">
        <v>-0.67</v>
      </c>
      <c r="F998">
        <v>512</v>
      </c>
      <c r="G998" t="s">
        <v>707</v>
      </c>
      <c r="H998">
        <v>4310.22</v>
      </c>
      <c r="I998">
        <v>0.93</v>
      </c>
      <c r="J998" t="s">
        <v>120</v>
      </c>
      <c r="K998" t="s">
        <v>5717</v>
      </c>
      <c r="L998">
        <v>0.94</v>
      </c>
      <c r="M998">
        <v>10.119999999999999</v>
      </c>
      <c r="N998">
        <v>0.51</v>
      </c>
      <c r="O998">
        <v>0.38</v>
      </c>
      <c r="P998">
        <v>10.47</v>
      </c>
      <c r="Q998">
        <v>-3.45</v>
      </c>
      <c r="R998">
        <v>10.07</v>
      </c>
      <c r="S998">
        <v>10.36</v>
      </c>
      <c r="T998">
        <v>42057</v>
      </c>
      <c r="U998">
        <v>10.130000000000001</v>
      </c>
      <c r="V998">
        <v>10.43</v>
      </c>
      <c r="W998">
        <v>76.73</v>
      </c>
      <c r="X998" t="s">
        <v>141</v>
      </c>
      <c r="Y998" t="s">
        <v>123</v>
      </c>
      <c r="Z998">
        <v>3.84</v>
      </c>
      <c r="AA998">
        <v>10.25</v>
      </c>
      <c r="AB998">
        <v>30812</v>
      </c>
      <c r="AC998">
        <v>11245</v>
      </c>
      <c r="AD998">
        <v>2.74</v>
      </c>
      <c r="AE998">
        <v>20</v>
      </c>
      <c r="AF998">
        <v>204</v>
      </c>
      <c r="AG998" t="s">
        <v>120</v>
      </c>
      <c r="AH998">
        <v>0</v>
      </c>
      <c r="AI998" t="s">
        <v>120</v>
      </c>
      <c r="AJ998">
        <v>4.45</v>
      </c>
      <c r="AK998" t="s">
        <v>5718</v>
      </c>
      <c r="AL998">
        <v>-1.06</v>
      </c>
      <c r="AM998">
        <v>1917</v>
      </c>
      <c r="AN998">
        <v>22</v>
      </c>
      <c r="AO998">
        <v>5.0000000000000001E-4</v>
      </c>
      <c r="AP998">
        <v>-3</v>
      </c>
      <c r="AQ998">
        <v>-2.52</v>
      </c>
      <c r="AR998">
        <v>-8.33</v>
      </c>
      <c r="AS998">
        <v>-1.26</v>
      </c>
      <c r="AT998">
        <v>0.79</v>
      </c>
      <c r="AU998">
        <v>9.8800000000000008</v>
      </c>
      <c r="AV998">
        <v>1</v>
      </c>
      <c r="AW998">
        <v>1.41</v>
      </c>
      <c r="AX998">
        <v>46.19</v>
      </c>
      <c r="AY998">
        <v>38.4</v>
      </c>
      <c r="AZ998">
        <v>42.04</v>
      </c>
      <c r="BA998">
        <v>0.28000000000000003</v>
      </c>
      <c r="BB998" t="s">
        <v>2411</v>
      </c>
      <c r="BF998">
        <v>-1.74</v>
      </c>
      <c r="BG998">
        <v>-2.3199999999999998</v>
      </c>
      <c r="BH998">
        <v>-3.34</v>
      </c>
      <c r="BI998">
        <v>0.5</v>
      </c>
      <c r="BJ998">
        <v>20210821</v>
      </c>
      <c r="BK998">
        <v>20110815</v>
      </c>
      <c r="BL998">
        <v>6.44</v>
      </c>
      <c r="BM998" t="s">
        <v>120</v>
      </c>
      <c r="BN998" t="s">
        <v>120</v>
      </c>
      <c r="BO998">
        <v>31.39</v>
      </c>
      <c r="BP998">
        <v>10.119999999999999</v>
      </c>
      <c r="BQ998">
        <v>22.05</v>
      </c>
      <c r="BR998">
        <v>0.93</v>
      </c>
      <c r="BS998">
        <v>26.76</v>
      </c>
      <c r="BT998">
        <v>19.079999999999998</v>
      </c>
      <c r="BU998">
        <v>0.98</v>
      </c>
      <c r="BV998">
        <v>3.1</v>
      </c>
      <c r="BW998">
        <v>5.7</v>
      </c>
      <c r="BX998">
        <v>7.74</v>
      </c>
      <c r="BY998">
        <v>2.46</v>
      </c>
      <c r="BZ998">
        <v>6.6</v>
      </c>
      <c r="CA998" t="s">
        <v>120</v>
      </c>
      <c r="CB998">
        <v>9.67</v>
      </c>
      <c r="CC998">
        <v>5.5</v>
      </c>
      <c r="CD998">
        <v>3.16</v>
      </c>
      <c r="CE998">
        <v>0.46</v>
      </c>
      <c r="CF998">
        <v>0</v>
      </c>
      <c r="CG998">
        <v>0.49</v>
      </c>
      <c r="CH998">
        <v>0.4</v>
      </c>
      <c r="CI998">
        <v>0.42</v>
      </c>
      <c r="CJ998">
        <v>-0.31</v>
      </c>
      <c r="CK998">
        <v>0.34</v>
      </c>
      <c r="CL998">
        <v>4.78</v>
      </c>
      <c r="CM998">
        <v>-1.18</v>
      </c>
      <c r="CN998">
        <v>-2.59</v>
      </c>
      <c r="CO998">
        <v>29525</v>
      </c>
      <c r="CP998">
        <v>10080</v>
      </c>
      <c r="CQ998" t="s">
        <v>5719</v>
      </c>
      <c r="CR998">
        <v>55.37</v>
      </c>
      <c r="CS998">
        <v>37.909999999999997</v>
      </c>
      <c r="CT998">
        <v>2.95</v>
      </c>
      <c r="CU998">
        <v>-55.39</v>
      </c>
      <c r="CV998">
        <v>11.84</v>
      </c>
      <c r="CW998">
        <v>0.96</v>
      </c>
      <c r="CX998" t="s">
        <v>679</v>
      </c>
      <c r="CY998">
        <v>3.42</v>
      </c>
      <c r="CZ998">
        <v>3.42</v>
      </c>
      <c r="DA998">
        <v>1.5</v>
      </c>
      <c r="DB998">
        <v>0.74</v>
      </c>
      <c r="DC998">
        <v>-0.18</v>
      </c>
      <c r="DD998">
        <v>70.27</v>
      </c>
      <c r="DE998" t="s">
        <v>5720</v>
      </c>
      <c r="DF998">
        <v>42.61</v>
      </c>
      <c r="DG998">
        <v>8.35</v>
      </c>
      <c r="DH998">
        <v>7.72</v>
      </c>
      <c r="DI998">
        <v>0.49</v>
      </c>
      <c r="DJ998">
        <v>2890</v>
      </c>
      <c r="DK998">
        <v>2609</v>
      </c>
      <c r="DL998" t="s">
        <v>120</v>
      </c>
      <c r="DM998" t="s">
        <v>120</v>
      </c>
      <c r="DN998" t="s">
        <v>120</v>
      </c>
    </row>
    <row r="999" spans="1:118">
      <c r="A999" t="str">
        <f>"002610"</f>
        <v>002610</v>
      </c>
      <c r="B999" t="s">
        <v>5721</v>
      </c>
      <c r="C999">
        <v>-9.43</v>
      </c>
      <c r="D999">
        <v>0.38</v>
      </c>
      <c r="E999">
        <v>-0.17</v>
      </c>
      <c r="F999">
        <v>91259</v>
      </c>
      <c r="G999" t="s">
        <v>5722</v>
      </c>
      <c r="H999">
        <v>394586.23</v>
      </c>
      <c r="I999">
        <v>1359.26</v>
      </c>
      <c r="J999" t="s">
        <v>120</v>
      </c>
      <c r="K999" t="s">
        <v>5723</v>
      </c>
      <c r="L999">
        <v>16.440000000000001</v>
      </c>
      <c r="M999">
        <v>5.28</v>
      </c>
      <c r="N999">
        <v>1.18</v>
      </c>
      <c r="O999">
        <v>-0.17</v>
      </c>
      <c r="P999">
        <v>5.82</v>
      </c>
      <c r="Q999">
        <v>-9.9499999999999993</v>
      </c>
      <c r="R999">
        <v>5.25</v>
      </c>
      <c r="S999">
        <v>5.82</v>
      </c>
      <c r="T999">
        <v>7208322</v>
      </c>
      <c r="U999">
        <v>5.29</v>
      </c>
      <c r="V999">
        <v>5.83</v>
      </c>
      <c r="W999" t="s">
        <v>120</v>
      </c>
      <c r="X999" t="s">
        <v>394</v>
      </c>
      <c r="Y999" t="s">
        <v>319</v>
      </c>
      <c r="Z999">
        <v>9.7799999999999994</v>
      </c>
      <c r="AA999">
        <v>5.47</v>
      </c>
      <c r="AB999">
        <v>3700782</v>
      </c>
      <c r="AC999">
        <v>3507540</v>
      </c>
      <c r="AD999">
        <v>1.06</v>
      </c>
      <c r="AE999">
        <v>1747</v>
      </c>
      <c r="AF999">
        <v>3151</v>
      </c>
      <c r="AG999" t="s">
        <v>120</v>
      </c>
      <c r="AH999">
        <v>0.06</v>
      </c>
      <c r="AI999" t="s">
        <v>120</v>
      </c>
      <c r="AJ999">
        <v>43.85</v>
      </c>
      <c r="AK999" t="s">
        <v>5724</v>
      </c>
      <c r="AL999">
        <v>-7.52</v>
      </c>
      <c r="AM999">
        <v>4742</v>
      </c>
      <c r="AN999">
        <v>1520</v>
      </c>
      <c r="AO999">
        <v>3.5000000000000001E-3</v>
      </c>
      <c r="AP999">
        <v>-1</v>
      </c>
      <c r="AQ999">
        <v>1.04</v>
      </c>
      <c r="AR999">
        <v>-3.48</v>
      </c>
      <c r="AS999">
        <v>85.26</v>
      </c>
      <c r="AT999">
        <v>112.9</v>
      </c>
      <c r="AU999">
        <v>60.48</v>
      </c>
      <c r="AV999">
        <v>14</v>
      </c>
      <c r="AW999">
        <v>18.559999999999999</v>
      </c>
      <c r="AX999">
        <v>86.65</v>
      </c>
      <c r="AY999" t="s">
        <v>120</v>
      </c>
      <c r="AZ999">
        <v>1183.6199999999999</v>
      </c>
      <c r="BA999">
        <v>0.13</v>
      </c>
      <c r="BB999" t="s">
        <v>168</v>
      </c>
      <c r="BF999">
        <v>-6.11</v>
      </c>
      <c r="BG999">
        <v>-9.2799999999999994</v>
      </c>
      <c r="BH999">
        <v>-9.2799999999999994</v>
      </c>
      <c r="BI999">
        <v>0.56999999999999995</v>
      </c>
      <c r="BJ999">
        <v>20210830</v>
      </c>
      <c r="BK999">
        <v>20110815</v>
      </c>
      <c r="BL999">
        <v>44.83</v>
      </c>
      <c r="BM999" t="s">
        <v>120</v>
      </c>
      <c r="BN999" t="s">
        <v>120</v>
      </c>
      <c r="BO999">
        <v>88.44</v>
      </c>
      <c r="BP999">
        <v>5.28</v>
      </c>
      <c r="BQ999">
        <v>40.43</v>
      </c>
      <c r="BR999">
        <v>0</v>
      </c>
      <c r="BS999">
        <v>54.29</v>
      </c>
      <c r="BT999">
        <v>38.76</v>
      </c>
      <c r="BU999">
        <v>10.16</v>
      </c>
      <c r="BV999">
        <v>1.93</v>
      </c>
      <c r="BW999">
        <v>37.69</v>
      </c>
      <c r="BX999">
        <v>7.32</v>
      </c>
      <c r="BY999">
        <v>1.86</v>
      </c>
      <c r="BZ999">
        <v>4.5999999999999996</v>
      </c>
      <c r="CA999" t="s">
        <v>120</v>
      </c>
      <c r="CB999">
        <v>7.86</v>
      </c>
      <c r="CC999">
        <v>12.68</v>
      </c>
      <c r="CD999">
        <v>12.14</v>
      </c>
      <c r="CE999">
        <v>-1.25</v>
      </c>
      <c r="CF999">
        <v>1.1299999999999999</v>
      </c>
      <c r="CG999">
        <v>-1.06</v>
      </c>
      <c r="CH999">
        <v>-0.67</v>
      </c>
      <c r="CI999">
        <v>-0.67</v>
      </c>
      <c r="CJ999">
        <v>-0.55000000000000004</v>
      </c>
      <c r="CK999">
        <v>-1.69</v>
      </c>
      <c r="CL999">
        <v>-12.81</v>
      </c>
      <c r="CM999">
        <v>1.24</v>
      </c>
      <c r="CN999">
        <v>-0.23</v>
      </c>
      <c r="CO999">
        <v>231471</v>
      </c>
      <c r="CP999">
        <v>16781</v>
      </c>
      <c r="CQ999" t="s">
        <v>3765</v>
      </c>
      <c r="CR999">
        <v>-347.44</v>
      </c>
      <c r="CS999">
        <v>-27.13</v>
      </c>
      <c r="CT999">
        <v>5.85</v>
      </c>
      <c r="CU999">
        <v>191.34</v>
      </c>
      <c r="CV999">
        <v>18.670000000000002</v>
      </c>
      <c r="CW999">
        <v>0</v>
      </c>
      <c r="CX999" t="s">
        <v>1312</v>
      </c>
      <c r="CY999">
        <v>0.9</v>
      </c>
      <c r="CZ999">
        <v>0</v>
      </c>
      <c r="DA999">
        <v>0.18</v>
      </c>
      <c r="DB999">
        <v>-0.28999999999999998</v>
      </c>
      <c r="DC999">
        <v>0.03</v>
      </c>
      <c r="DD999">
        <v>45.71</v>
      </c>
      <c r="DE999" t="s">
        <v>5725</v>
      </c>
      <c r="DF999">
        <v>4.2699999999999996</v>
      </c>
      <c r="DG999">
        <v>-9.85</v>
      </c>
      <c r="DH999">
        <v>-5.26</v>
      </c>
      <c r="DI999">
        <v>0.17</v>
      </c>
      <c r="DJ999">
        <v>1610</v>
      </c>
      <c r="DK999">
        <v>2610</v>
      </c>
      <c r="DL999">
        <v>20210822</v>
      </c>
      <c r="DM999">
        <v>3.14</v>
      </c>
      <c r="DN999">
        <v>68.150000000000006</v>
      </c>
    </row>
    <row r="1000" spans="1:118">
      <c r="A1000" t="str">
        <f>"002611"</f>
        <v>002611</v>
      </c>
      <c r="B1000" t="s">
        <v>5726</v>
      </c>
      <c r="C1000">
        <v>-2.2799999999999998</v>
      </c>
      <c r="D1000">
        <v>0.31</v>
      </c>
      <c r="E1000">
        <v>0</v>
      </c>
      <c r="F1000">
        <v>4355</v>
      </c>
      <c r="G1000" t="s">
        <v>5727</v>
      </c>
      <c r="H1000">
        <v>21709.22</v>
      </c>
      <c r="I1000">
        <v>106.93</v>
      </c>
      <c r="J1000" t="s">
        <v>120</v>
      </c>
      <c r="K1000" t="s">
        <v>5728</v>
      </c>
      <c r="L1000">
        <v>3.03</v>
      </c>
      <c r="M1000">
        <v>6.43</v>
      </c>
      <c r="N1000">
        <v>0.77</v>
      </c>
      <c r="O1000">
        <v>2.4300000000000002</v>
      </c>
      <c r="P1000">
        <v>6.74</v>
      </c>
      <c r="Q1000">
        <v>-2.74</v>
      </c>
      <c r="R1000">
        <v>6.4</v>
      </c>
      <c r="S1000">
        <v>6.58</v>
      </c>
      <c r="T1000">
        <v>330829</v>
      </c>
      <c r="U1000">
        <v>6.44</v>
      </c>
      <c r="V1000">
        <v>6.58</v>
      </c>
      <c r="W1000">
        <v>22.41</v>
      </c>
      <c r="X1000" t="s">
        <v>348</v>
      </c>
      <c r="Y1000" t="s">
        <v>547</v>
      </c>
      <c r="Z1000">
        <v>5.17</v>
      </c>
      <c r="AA1000">
        <v>6.56</v>
      </c>
      <c r="AB1000">
        <v>183182</v>
      </c>
      <c r="AC1000">
        <v>147647</v>
      </c>
      <c r="AD1000">
        <v>1.24</v>
      </c>
      <c r="AE1000">
        <v>1</v>
      </c>
      <c r="AF1000">
        <v>1889</v>
      </c>
      <c r="AG1000" t="s">
        <v>120</v>
      </c>
      <c r="AH1000">
        <v>0.02</v>
      </c>
      <c r="AI1000" t="s">
        <v>120</v>
      </c>
      <c r="AJ1000">
        <v>10.91</v>
      </c>
      <c r="AK1000" t="s">
        <v>5729</v>
      </c>
      <c r="AL1000">
        <v>-0.37</v>
      </c>
      <c r="AM1000">
        <v>3301</v>
      </c>
      <c r="AN1000">
        <v>100</v>
      </c>
      <c r="AO1000">
        <v>8.9999999999999998E-4</v>
      </c>
      <c r="AP1000">
        <v>-1</v>
      </c>
      <c r="AQ1000">
        <v>0.15</v>
      </c>
      <c r="AR1000">
        <v>-5.86</v>
      </c>
      <c r="AS1000">
        <v>10.48</v>
      </c>
      <c r="AT1000">
        <v>35.369999999999997</v>
      </c>
      <c r="AU1000">
        <v>37.1</v>
      </c>
      <c r="AV1000">
        <v>3</v>
      </c>
      <c r="AW1000">
        <v>3.6</v>
      </c>
      <c r="AX1000">
        <v>69.05</v>
      </c>
      <c r="AY1000">
        <v>19.34</v>
      </c>
      <c r="AZ1000">
        <v>22.52</v>
      </c>
      <c r="BA1000">
        <v>0.09</v>
      </c>
      <c r="BB1000" t="s">
        <v>143</v>
      </c>
      <c r="BF1000">
        <v>-0.27</v>
      </c>
      <c r="BG1000">
        <v>-2.2799999999999998</v>
      </c>
      <c r="BH1000">
        <v>-4.5999999999999996</v>
      </c>
      <c r="BI1000">
        <v>0.47</v>
      </c>
      <c r="BJ1000">
        <v>20210727</v>
      </c>
      <c r="BK1000">
        <v>20110830</v>
      </c>
      <c r="BL1000">
        <v>13.32</v>
      </c>
      <c r="BM1000" t="s">
        <v>120</v>
      </c>
      <c r="BN1000" t="s">
        <v>120</v>
      </c>
      <c r="BO1000">
        <v>64.790000000000006</v>
      </c>
      <c r="BP1000">
        <v>6.43</v>
      </c>
      <c r="BQ1000">
        <v>38.86</v>
      </c>
      <c r="BR1000">
        <v>1.59</v>
      </c>
      <c r="BS1000">
        <v>37.57</v>
      </c>
      <c r="BT1000">
        <v>47.02</v>
      </c>
      <c r="BU1000">
        <v>5.57</v>
      </c>
      <c r="BV1000">
        <v>3.18</v>
      </c>
      <c r="BW1000">
        <v>18.13</v>
      </c>
      <c r="BX1000">
        <v>17.670000000000002</v>
      </c>
      <c r="BY1000">
        <v>9.83</v>
      </c>
      <c r="BZ1000">
        <v>4.78</v>
      </c>
      <c r="CA1000" t="s">
        <v>120</v>
      </c>
      <c r="CB1000">
        <v>32.51</v>
      </c>
      <c r="CC1000">
        <v>14.01</v>
      </c>
      <c r="CD1000">
        <v>9.91</v>
      </c>
      <c r="CE1000">
        <v>2.4</v>
      </c>
      <c r="CF1000">
        <v>0.53</v>
      </c>
      <c r="CG1000">
        <v>2.4</v>
      </c>
      <c r="CH1000">
        <v>2.02</v>
      </c>
      <c r="CI1000">
        <v>1.91</v>
      </c>
      <c r="CJ1000">
        <v>-0.15</v>
      </c>
      <c r="CK1000">
        <v>1.56</v>
      </c>
      <c r="CL1000">
        <v>-7</v>
      </c>
      <c r="CM1000">
        <v>2.06</v>
      </c>
      <c r="CN1000">
        <v>7.06</v>
      </c>
      <c r="CO1000">
        <v>34171</v>
      </c>
      <c r="CP1000">
        <v>26919</v>
      </c>
      <c r="CQ1000" t="s">
        <v>2679</v>
      </c>
      <c r="CR1000">
        <v>50.25</v>
      </c>
      <c r="CS1000">
        <v>18.940000000000001</v>
      </c>
      <c r="CT1000">
        <v>2.2000000000000002</v>
      </c>
      <c r="CU1000">
        <v>41.57</v>
      </c>
      <c r="CV1000">
        <v>6.12</v>
      </c>
      <c r="CW1000">
        <v>0</v>
      </c>
      <c r="CX1000" t="s">
        <v>300</v>
      </c>
      <c r="CY1000">
        <v>2.92</v>
      </c>
      <c r="CZ1000">
        <v>0</v>
      </c>
      <c r="DA1000">
        <v>2.44</v>
      </c>
      <c r="DB1000">
        <v>-0.53</v>
      </c>
      <c r="DC1000">
        <v>0.15</v>
      </c>
      <c r="DD1000">
        <v>59.98</v>
      </c>
      <c r="DE1000" t="s">
        <v>4297</v>
      </c>
      <c r="DF1000">
        <v>29.21</v>
      </c>
      <c r="DG1000">
        <v>17.170000000000002</v>
      </c>
      <c r="DH1000">
        <v>13.65</v>
      </c>
      <c r="DI1000">
        <v>0.48</v>
      </c>
      <c r="DJ1000">
        <v>1688</v>
      </c>
      <c r="DK1000">
        <v>2611</v>
      </c>
      <c r="DL1000" t="s">
        <v>120</v>
      </c>
      <c r="DM1000" t="s">
        <v>120</v>
      </c>
      <c r="DN1000" t="s">
        <v>120</v>
      </c>
    </row>
    <row r="1001" spans="1:118">
      <c r="A1001" t="str">
        <f>"002612"</f>
        <v>002612</v>
      </c>
      <c r="B1001" t="s">
        <v>5730</v>
      </c>
      <c r="C1001">
        <v>-0.49</v>
      </c>
      <c r="D1001">
        <v>-0.25</v>
      </c>
      <c r="E1001">
        <v>-0.45</v>
      </c>
      <c r="F1001">
        <v>4430</v>
      </c>
      <c r="G1001" t="s">
        <v>2356</v>
      </c>
      <c r="H1001">
        <v>49158.76</v>
      </c>
      <c r="I1001">
        <v>21.83</v>
      </c>
      <c r="J1001" t="s">
        <v>120</v>
      </c>
      <c r="K1001" t="s">
        <v>5731</v>
      </c>
      <c r="L1001">
        <v>6.22</v>
      </c>
      <c r="M1001">
        <v>30.74</v>
      </c>
      <c r="N1001">
        <v>1.9</v>
      </c>
      <c r="O1001">
        <v>5.21</v>
      </c>
      <c r="P1001">
        <v>32.5</v>
      </c>
      <c r="Q1001">
        <v>-0.62</v>
      </c>
      <c r="R1001">
        <v>30.7</v>
      </c>
      <c r="S1001">
        <v>30.75</v>
      </c>
      <c r="T1001">
        <v>156617</v>
      </c>
      <c r="U1001">
        <v>30.8</v>
      </c>
      <c r="V1001">
        <v>30.89</v>
      </c>
      <c r="W1001">
        <v>72.87</v>
      </c>
      <c r="X1001" t="s">
        <v>2806</v>
      </c>
      <c r="Y1001" t="s">
        <v>158</v>
      </c>
      <c r="Z1001">
        <v>5.83</v>
      </c>
      <c r="AA1001">
        <v>31.39</v>
      </c>
      <c r="AB1001">
        <v>80869</v>
      </c>
      <c r="AC1001">
        <v>75748</v>
      </c>
      <c r="AD1001">
        <v>1.07</v>
      </c>
      <c r="AE1001">
        <v>232</v>
      </c>
      <c r="AF1001">
        <v>1</v>
      </c>
      <c r="AG1001" t="s">
        <v>120</v>
      </c>
      <c r="AH1001">
        <v>0</v>
      </c>
      <c r="AI1001" t="s">
        <v>120</v>
      </c>
      <c r="AJ1001">
        <v>2.52</v>
      </c>
      <c r="AK1001" t="s">
        <v>5732</v>
      </c>
      <c r="AL1001">
        <v>1.43</v>
      </c>
      <c r="AM1001">
        <v>4288</v>
      </c>
      <c r="AN1001">
        <v>37</v>
      </c>
      <c r="AO1001">
        <v>1.4E-3</v>
      </c>
      <c r="AP1001">
        <v>-1</v>
      </c>
      <c r="AQ1001">
        <v>0.46</v>
      </c>
      <c r="AR1001">
        <v>-1.47</v>
      </c>
      <c r="AS1001">
        <v>-9.4499999999999993</v>
      </c>
      <c r="AT1001">
        <v>-39.880000000000003</v>
      </c>
      <c r="AU1001">
        <v>26.34</v>
      </c>
      <c r="AV1001">
        <v>30</v>
      </c>
      <c r="AW1001">
        <v>9.1199999999999992</v>
      </c>
      <c r="AX1001">
        <v>38.81</v>
      </c>
      <c r="AY1001">
        <v>57.37</v>
      </c>
      <c r="AZ1001">
        <v>96.22</v>
      </c>
      <c r="BA1001">
        <v>1.36</v>
      </c>
      <c r="BB1001" t="s">
        <v>143</v>
      </c>
      <c r="BF1001">
        <v>1.61</v>
      </c>
      <c r="BG1001">
        <v>-0.03</v>
      </c>
      <c r="BH1001">
        <v>-5.42</v>
      </c>
      <c r="BI1001">
        <v>0.13</v>
      </c>
      <c r="BJ1001">
        <v>20210818</v>
      </c>
      <c r="BK1001">
        <v>20110830</v>
      </c>
      <c r="BL1001">
        <v>4.42</v>
      </c>
      <c r="BM1001" t="s">
        <v>120</v>
      </c>
      <c r="BN1001" t="s">
        <v>120</v>
      </c>
      <c r="BO1001">
        <v>57.29</v>
      </c>
      <c r="BP1001">
        <v>30.74</v>
      </c>
      <c r="BQ1001">
        <v>30.26</v>
      </c>
      <c r="BR1001">
        <v>6.03</v>
      </c>
      <c r="BS1001">
        <v>36.65</v>
      </c>
      <c r="BT1001">
        <v>18.059999999999999</v>
      </c>
      <c r="BU1001">
        <v>5.94</v>
      </c>
      <c r="BV1001">
        <v>3.85</v>
      </c>
      <c r="BW1001">
        <v>11.87</v>
      </c>
      <c r="BX1001">
        <v>3.58</v>
      </c>
      <c r="BY1001">
        <v>8.5399999999999991</v>
      </c>
      <c r="BZ1001">
        <v>2.8</v>
      </c>
      <c r="CA1001" t="s">
        <v>120</v>
      </c>
      <c r="CB1001">
        <v>16.239999999999998</v>
      </c>
      <c r="CC1001">
        <v>17.89</v>
      </c>
      <c r="CD1001">
        <v>7.81</v>
      </c>
      <c r="CE1001">
        <v>0.82</v>
      </c>
      <c r="CF1001">
        <v>0.31</v>
      </c>
      <c r="CG1001">
        <v>0.78</v>
      </c>
      <c r="CH1001">
        <v>0.74</v>
      </c>
      <c r="CI1001">
        <v>0.93</v>
      </c>
      <c r="CJ1001">
        <v>-0.15</v>
      </c>
      <c r="CK1001">
        <v>0.88</v>
      </c>
      <c r="CL1001">
        <v>8.3800000000000008</v>
      </c>
      <c r="CM1001">
        <v>2.15</v>
      </c>
      <c r="CN1001">
        <v>0.71</v>
      </c>
      <c r="CO1001">
        <v>100524</v>
      </c>
      <c r="CP1001">
        <v>1708</v>
      </c>
      <c r="CQ1001" t="s">
        <v>2186</v>
      </c>
      <c r="CR1001">
        <v>3343.59</v>
      </c>
      <c r="CS1001">
        <v>45.6</v>
      </c>
      <c r="CT1001">
        <v>4.49</v>
      </c>
      <c r="CU1001">
        <v>63.33</v>
      </c>
      <c r="CV1001">
        <v>7.6</v>
      </c>
      <c r="CW1001">
        <v>0.97</v>
      </c>
      <c r="CX1001" t="s">
        <v>5733</v>
      </c>
      <c r="CY1001">
        <v>6.84</v>
      </c>
      <c r="CZ1001">
        <v>0</v>
      </c>
      <c r="DA1001">
        <v>3.67</v>
      </c>
      <c r="DB1001">
        <v>1.89</v>
      </c>
      <c r="DC1001">
        <v>0.49</v>
      </c>
      <c r="DD1001">
        <v>52.82</v>
      </c>
      <c r="DE1001" t="s">
        <v>5456</v>
      </c>
      <c r="DF1001">
        <v>56.35</v>
      </c>
      <c r="DG1001">
        <v>4.57</v>
      </c>
      <c r="DH1001">
        <v>5.22</v>
      </c>
      <c r="DI1001">
        <v>0.49</v>
      </c>
      <c r="DJ1001">
        <v>5013</v>
      </c>
      <c r="DK1001">
        <v>2612</v>
      </c>
      <c r="DL1001" t="s">
        <v>120</v>
      </c>
      <c r="DM1001" t="s">
        <v>120</v>
      </c>
      <c r="DN1001" t="s">
        <v>120</v>
      </c>
    </row>
    <row r="1002" spans="1:118">
      <c r="A1002" t="str">
        <f>"002613"</f>
        <v>002613</v>
      </c>
      <c r="B1002" t="s">
        <v>5734</v>
      </c>
      <c r="C1002">
        <v>-1.51</v>
      </c>
      <c r="D1002">
        <v>-0.24</v>
      </c>
      <c r="E1002">
        <v>0.5</v>
      </c>
      <c r="F1002">
        <v>1223</v>
      </c>
      <c r="G1002" t="s">
        <v>5735</v>
      </c>
      <c r="H1002">
        <v>5023.43</v>
      </c>
      <c r="I1002">
        <v>35.08</v>
      </c>
      <c r="J1002" t="s">
        <v>120</v>
      </c>
      <c r="K1002" t="s">
        <v>5736</v>
      </c>
      <c r="L1002">
        <v>2.2200000000000002</v>
      </c>
      <c r="M1002">
        <v>3.92</v>
      </c>
      <c r="N1002">
        <v>0.97</v>
      </c>
      <c r="O1002">
        <v>1.26</v>
      </c>
      <c r="P1002">
        <v>4.03</v>
      </c>
      <c r="Q1002">
        <v>-1.76</v>
      </c>
      <c r="R1002">
        <v>3.91</v>
      </c>
      <c r="S1002">
        <v>4</v>
      </c>
      <c r="T1002">
        <v>126537</v>
      </c>
      <c r="U1002">
        <v>3.93</v>
      </c>
      <c r="V1002">
        <v>3.98</v>
      </c>
      <c r="W1002">
        <v>161.69999999999999</v>
      </c>
      <c r="X1002" t="s">
        <v>675</v>
      </c>
      <c r="Y1002" t="s">
        <v>645</v>
      </c>
      <c r="Z1002">
        <v>3.02</v>
      </c>
      <c r="AA1002">
        <v>3.97</v>
      </c>
      <c r="AB1002">
        <v>65247</v>
      </c>
      <c r="AC1002">
        <v>61290</v>
      </c>
      <c r="AD1002">
        <v>1.06</v>
      </c>
      <c r="AE1002">
        <v>500</v>
      </c>
      <c r="AF1002">
        <v>171</v>
      </c>
      <c r="AG1002" t="s">
        <v>120</v>
      </c>
      <c r="AH1002">
        <v>0.02</v>
      </c>
      <c r="AI1002" t="s">
        <v>120</v>
      </c>
      <c r="AJ1002">
        <v>5.71</v>
      </c>
      <c r="AK1002" t="s">
        <v>5737</v>
      </c>
      <c r="AL1002">
        <v>0.41</v>
      </c>
      <c r="AM1002">
        <v>2333</v>
      </c>
      <c r="AN1002">
        <v>54</v>
      </c>
      <c r="AO1002">
        <v>1E-3</v>
      </c>
      <c r="AP1002">
        <v>-1</v>
      </c>
      <c r="AQ1002">
        <v>4.74</v>
      </c>
      <c r="AR1002">
        <v>0.78</v>
      </c>
      <c r="AS1002">
        <v>12.65</v>
      </c>
      <c r="AT1002">
        <v>4.53</v>
      </c>
      <c r="AU1002">
        <v>-9.57</v>
      </c>
      <c r="AV1002">
        <v>5</v>
      </c>
      <c r="AW1002">
        <v>3.4</v>
      </c>
      <c r="AX1002">
        <v>39.659999999999997</v>
      </c>
      <c r="AY1002" t="s">
        <v>120</v>
      </c>
      <c r="AZ1002">
        <v>273.61</v>
      </c>
      <c r="BA1002">
        <v>0.55000000000000004</v>
      </c>
      <c r="BB1002" t="s">
        <v>143</v>
      </c>
      <c r="BF1002">
        <v>-0.25</v>
      </c>
      <c r="BG1002">
        <v>-2</v>
      </c>
      <c r="BH1002">
        <v>-2.73</v>
      </c>
      <c r="BI1002">
        <v>0.26</v>
      </c>
      <c r="BJ1002">
        <v>20210831</v>
      </c>
      <c r="BK1002">
        <v>20110830</v>
      </c>
      <c r="BL1002">
        <v>9.3699999999999992</v>
      </c>
      <c r="BM1002" t="s">
        <v>120</v>
      </c>
      <c r="BN1002" t="s">
        <v>120</v>
      </c>
      <c r="BO1002">
        <v>22.89</v>
      </c>
      <c r="BP1002">
        <v>3.92</v>
      </c>
      <c r="BQ1002">
        <v>14.92</v>
      </c>
      <c r="BR1002">
        <v>0.82</v>
      </c>
      <c r="BS1002">
        <v>31.24</v>
      </c>
      <c r="BT1002">
        <v>16.5</v>
      </c>
      <c r="BU1002">
        <v>3.65</v>
      </c>
      <c r="BV1002">
        <v>1.27</v>
      </c>
      <c r="BW1002">
        <v>6.77</v>
      </c>
      <c r="BX1002">
        <v>4.5199999999999996</v>
      </c>
      <c r="BY1002">
        <v>4.41</v>
      </c>
      <c r="BZ1002">
        <v>2.82</v>
      </c>
      <c r="CA1002" t="s">
        <v>120</v>
      </c>
      <c r="CB1002">
        <v>2.14</v>
      </c>
      <c r="CC1002">
        <v>7.02</v>
      </c>
      <c r="CD1002">
        <v>5.88</v>
      </c>
      <c r="CE1002">
        <v>0.14000000000000001</v>
      </c>
      <c r="CF1002">
        <v>0</v>
      </c>
      <c r="CG1002">
        <v>0.14000000000000001</v>
      </c>
      <c r="CH1002">
        <v>0.1</v>
      </c>
      <c r="CI1002">
        <v>0.11</v>
      </c>
      <c r="CJ1002">
        <v>-0.06</v>
      </c>
      <c r="CK1002">
        <v>0.08</v>
      </c>
      <c r="CL1002">
        <v>2.69</v>
      </c>
      <c r="CM1002">
        <v>0.49</v>
      </c>
      <c r="CN1002">
        <v>0.02</v>
      </c>
      <c r="CO1002">
        <v>48120</v>
      </c>
      <c r="CP1002">
        <v>7724</v>
      </c>
      <c r="CQ1002" t="s">
        <v>5738</v>
      </c>
      <c r="CR1002">
        <v>-55.05</v>
      </c>
      <c r="CS1002">
        <v>51.68</v>
      </c>
      <c r="CT1002">
        <v>2.46</v>
      </c>
      <c r="CU1002">
        <v>74.81</v>
      </c>
      <c r="CV1002">
        <v>5.23</v>
      </c>
      <c r="CW1002">
        <v>0.88</v>
      </c>
      <c r="CX1002" t="s">
        <v>2327</v>
      </c>
      <c r="CY1002">
        <v>1.59</v>
      </c>
      <c r="CZ1002">
        <v>0</v>
      </c>
      <c r="DA1002">
        <v>0.23</v>
      </c>
      <c r="DB1002">
        <v>0.28999999999999998</v>
      </c>
      <c r="DC1002">
        <v>0.05</v>
      </c>
      <c r="DD1002">
        <v>65.19</v>
      </c>
      <c r="DE1002" t="s">
        <v>5739</v>
      </c>
      <c r="DF1002">
        <v>16.18</v>
      </c>
      <c r="DG1002">
        <v>2.0099999999999998</v>
      </c>
      <c r="DH1002">
        <v>1.62</v>
      </c>
      <c r="DI1002">
        <v>0.34</v>
      </c>
      <c r="DJ1002">
        <v>2064</v>
      </c>
      <c r="DK1002">
        <v>2613</v>
      </c>
      <c r="DL1002" t="s">
        <v>120</v>
      </c>
      <c r="DM1002" t="s">
        <v>120</v>
      </c>
      <c r="DN1002" t="s">
        <v>120</v>
      </c>
    </row>
    <row r="1003" spans="1:118">
      <c r="A1003" t="str">
        <f>"002614"</f>
        <v>002614</v>
      </c>
      <c r="B1003" t="s">
        <v>5740</v>
      </c>
      <c r="C1003">
        <v>-0.69</v>
      </c>
      <c r="D1003">
        <v>-0.06</v>
      </c>
      <c r="E1003">
        <v>-0.48</v>
      </c>
      <c r="F1003">
        <v>1095</v>
      </c>
      <c r="G1003" t="s">
        <v>3229</v>
      </c>
      <c r="H1003">
        <v>8509.5300000000007</v>
      </c>
      <c r="I1003">
        <v>22.98</v>
      </c>
      <c r="J1003" t="s">
        <v>120</v>
      </c>
      <c r="K1003" t="s">
        <v>5741</v>
      </c>
      <c r="L1003">
        <v>1.31</v>
      </c>
      <c r="M1003">
        <v>14.42</v>
      </c>
      <c r="N1003">
        <v>0.83</v>
      </c>
      <c r="O1003">
        <v>0.55000000000000004</v>
      </c>
      <c r="P1003">
        <v>14.6</v>
      </c>
      <c r="Q1003">
        <v>-0.83</v>
      </c>
      <c r="R1003">
        <v>14.4</v>
      </c>
      <c r="S1003">
        <v>14.45</v>
      </c>
      <c r="T1003">
        <v>58773</v>
      </c>
      <c r="U1003">
        <v>14.42</v>
      </c>
      <c r="V1003">
        <v>14.52</v>
      </c>
      <c r="W1003">
        <v>17.07</v>
      </c>
      <c r="X1003" t="s">
        <v>555</v>
      </c>
      <c r="Y1003" t="s">
        <v>937</v>
      </c>
      <c r="Z1003">
        <v>1.38</v>
      </c>
      <c r="AA1003">
        <v>14.48</v>
      </c>
      <c r="AB1003">
        <v>37453</v>
      </c>
      <c r="AC1003">
        <v>21320</v>
      </c>
      <c r="AD1003">
        <v>1.76</v>
      </c>
      <c r="AE1003">
        <v>596</v>
      </c>
      <c r="AF1003">
        <v>65</v>
      </c>
      <c r="AG1003" t="s">
        <v>120</v>
      </c>
      <c r="AH1003">
        <v>0</v>
      </c>
      <c r="AI1003" t="s">
        <v>120</v>
      </c>
      <c r="AJ1003">
        <v>4.4800000000000004</v>
      </c>
      <c r="AK1003" t="s">
        <v>5742</v>
      </c>
      <c r="AL1003">
        <v>1.22</v>
      </c>
      <c r="AM1003">
        <v>2458</v>
      </c>
      <c r="AN1003">
        <v>24</v>
      </c>
      <c r="AO1003">
        <v>5.0000000000000001E-4</v>
      </c>
      <c r="AP1003">
        <v>-2</v>
      </c>
      <c r="AQ1003">
        <v>-1.43</v>
      </c>
      <c r="AR1003">
        <v>-2.04</v>
      </c>
      <c r="AS1003">
        <v>-9.31</v>
      </c>
      <c r="AT1003">
        <v>-37.979999999999997</v>
      </c>
      <c r="AU1003">
        <v>9.66</v>
      </c>
      <c r="AV1003">
        <v>4</v>
      </c>
      <c r="AW1003">
        <v>1.51</v>
      </c>
      <c r="AX1003">
        <v>61.52</v>
      </c>
      <c r="AY1003">
        <v>16.13</v>
      </c>
      <c r="AZ1003">
        <v>20.32</v>
      </c>
      <c r="BA1003">
        <v>0.38</v>
      </c>
      <c r="BB1003" t="s">
        <v>134</v>
      </c>
      <c r="BF1003">
        <v>-0.28999999999999998</v>
      </c>
      <c r="BG1003">
        <v>-0.21</v>
      </c>
      <c r="BH1003">
        <v>-1.23</v>
      </c>
      <c r="BI1003">
        <v>0.14000000000000001</v>
      </c>
      <c r="BJ1003">
        <v>20210902</v>
      </c>
      <c r="BK1003">
        <v>20110909</v>
      </c>
      <c r="BL1003">
        <v>6.31</v>
      </c>
      <c r="BM1003" t="s">
        <v>120</v>
      </c>
      <c r="BN1003" t="s">
        <v>120</v>
      </c>
      <c r="BO1003">
        <v>93.67</v>
      </c>
      <c r="BP1003">
        <v>14.41</v>
      </c>
      <c r="BQ1003">
        <v>47.34</v>
      </c>
      <c r="BR1003">
        <v>2.75</v>
      </c>
      <c r="BS1003">
        <v>46.53</v>
      </c>
      <c r="BT1003">
        <v>65.88</v>
      </c>
      <c r="BU1003">
        <v>13.06</v>
      </c>
      <c r="BV1003">
        <v>5.69</v>
      </c>
      <c r="BW1003">
        <v>37.93</v>
      </c>
      <c r="BX1003">
        <v>15.69</v>
      </c>
      <c r="BY1003">
        <v>17.440000000000001</v>
      </c>
      <c r="BZ1003">
        <v>13.31</v>
      </c>
      <c r="CA1003" t="s">
        <v>120</v>
      </c>
      <c r="CB1003">
        <v>18.690000000000001</v>
      </c>
      <c r="CC1003">
        <v>39.380000000000003</v>
      </c>
      <c r="CD1003">
        <v>26.35</v>
      </c>
      <c r="CE1003">
        <v>3.3</v>
      </c>
      <c r="CF1003">
        <v>0.68</v>
      </c>
      <c r="CG1003">
        <v>3.3</v>
      </c>
      <c r="CH1003">
        <v>2.92</v>
      </c>
      <c r="CI1003">
        <v>2.66</v>
      </c>
      <c r="CJ1003">
        <v>-0.1</v>
      </c>
      <c r="CK1003">
        <v>2.0299999999999998</v>
      </c>
      <c r="CL1003">
        <v>21.46</v>
      </c>
      <c r="CM1003">
        <v>-1.06</v>
      </c>
      <c r="CN1003">
        <v>0.88</v>
      </c>
      <c r="CO1003">
        <v>18932</v>
      </c>
      <c r="CP1003">
        <v>20493</v>
      </c>
      <c r="CQ1003" t="s">
        <v>5743</v>
      </c>
      <c r="CR1003">
        <v>78.680000000000007</v>
      </c>
      <c r="CS1003">
        <v>41.34</v>
      </c>
      <c r="CT1003">
        <v>1.95</v>
      </c>
      <c r="CU1003">
        <v>-85.8</v>
      </c>
      <c r="CV1003">
        <v>2.31</v>
      </c>
      <c r="CW1003">
        <v>2.02</v>
      </c>
      <c r="CX1003" t="s">
        <v>1462</v>
      </c>
      <c r="CY1003">
        <v>7.38</v>
      </c>
      <c r="CZ1003">
        <v>7.38</v>
      </c>
      <c r="DA1003">
        <v>2.96</v>
      </c>
      <c r="DB1003">
        <v>3.4</v>
      </c>
      <c r="DC1003">
        <v>-0.17</v>
      </c>
      <c r="DD1003">
        <v>50.53</v>
      </c>
      <c r="DE1003" t="s">
        <v>2727</v>
      </c>
      <c r="DF1003">
        <v>33.090000000000003</v>
      </c>
      <c r="DG1003">
        <v>8.3800000000000008</v>
      </c>
      <c r="DH1003">
        <v>6.76</v>
      </c>
      <c r="DI1003">
        <v>1.4</v>
      </c>
      <c r="DJ1003">
        <v>11448</v>
      </c>
      <c r="DK1003">
        <v>2614</v>
      </c>
      <c r="DL1003" t="s">
        <v>120</v>
      </c>
      <c r="DM1003" t="s">
        <v>120</v>
      </c>
      <c r="DN1003" t="s">
        <v>120</v>
      </c>
    </row>
    <row r="1004" spans="1:118">
      <c r="A1004" t="str">
        <f>"002615"</f>
        <v>002615</v>
      </c>
      <c r="B1004" t="s">
        <v>5744</v>
      </c>
      <c r="C1004">
        <v>-1.81</v>
      </c>
      <c r="D1004">
        <v>-0.17</v>
      </c>
      <c r="E1004">
        <v>-0.54</v>
      </c>
      <c r="F1004">
        <v>170</v>
      </c>
      <c r="G1004" t="s">
        <v>5745</v>
      </c>
      <c r="H1004">
        <v>2904.9</v>
      </c>
      <c r="I1004">
        <v>3.08</v>
      </c>
      <c r="J1004" t="s">
        <v>120</v>
      </c>
      <c r="K1004" t="s">
        <v>5746</v>
      </c>
      <c r="L1004">
        <v>2.2799999999999998</v>
      </c>
      <c r="M1004">
        <v>5.43</v>
      </c>
      <c r="N1004">
        <v>0.8</v>
      </c>
      <c r="O1004">
        <v>1.63</v>
      </c>
      <c r="P1004">
        <v>5.62</v>
      </c>
      <c r="Q1004">
        <v>-1.99</v>
      </c>
      <c r="R1004">
        <v>5.42</v>
      </c>
      <c r="S1004">
        <v>5.5</v>
      </c>
      <c r="T1004">
        <v>52672</v>
      </c>
      <c r="U1004">
        <v>5.44</v>
      </c>
      <c r="V1004">
        <v>5.53</v>
      </c>
      <c r="W1004">
        <v>19.739999999999998</v>
      </c>
      <c r="X1004" t="s">
        <v>2409</v>
      </c>
      <c r="Y1004" t="s">
        <v>585</v>
      </c>
      <c r="Z1004">
        <v>3.62</v>
      </c>
      <c r="AA1004">
        <v>5.52</v>
      </c>
      <c r="AB1004">
        <v>27974</v>
      </c>
      <c r="AC1004">
        <v>24698</v>
      </c>
      <c r="AD1004">
        <v>1.1299999999999999</v>
      </c>
      <c r="AE1004">
        <v>63</v>
      </c>
      <c r="AF1004">
        <v>53</v>
      </c>
      <c r="AG1004" t="s">
        <v>120</v>
      </c>
      <c r="AH1004">
        <v>0</v>
      </c>
      <c r="AI1004" t="s">
        <v>120</v>
      </c>
      <c r="AJ1004">
        <v>2.31</v>
      </c>
      <c r="AK1004" t="s">
        <v>5736</v>
      </c>
      <c r="AL1004">
        <v>0.11</v>
      </c>
      <c r="AM1004">
        <v>2068</v>
      </c>
      <c r="AN1004">
        <v>25</v>
      </c>
      <c r="AO1004">
        <v>1.1000000000000001E-3</v>
      </c>
      <c r="AP1004">
        <v>-1</v>
      </c>
      <c r="AQ1004">
        <v>3.36</v>
      </c>
      <c r="AR1004">
        <v>-3.55</v>
      </c>
      <c r="AS1004">
        <v>8.82</v>
      </c>
      <c r="AT1004">
        <v>11.96</v>
      </c>
      <c r="AU1004">
        <v>19.61</v>
      </c>
      <c r="AV1004">
        <v>2</v>
      </c>
      <c r="AW1004">
        <v>3.28</v>
      </c>
      <c r="AX1004">
        <v>38.92</v>
      </c>
      <c r="AY1004">
        <v>38.229999999999997</v>
      </c>
      <c r="AZ1004" t="s">
        <v>120</v>
      </c>
      <c r="BA1004">
        <v>0.48</v>
      </c>
      <c r="BB1004" t="s">
        <v>168</v>
      </c>
      <c r="BF1004">
        <v>-0.27</v>
      </c>
      <c r="BG1004">
        <v>-1.27</v>
      </c>
      <c r="BH1004">
        <v>-3.38</v>
      </c>
      <c r="BI1004">
        <v>0.18</v>
      </c>
      <c r="BJ1004">
        <v>20210821</v>
      </c>
      <c r="BK1004">
        <v>20110909</v>
      </c>
      <c r="BL1004">
        <v>4.12</v>
      </c>
      <c r="BM1004" t="s">
        <v>120</v>
      </c>
      <c r="BN1004" t="s">
        <v>120</v>
      </c>
      <c r="BO1004">
        <v>21.62</v>
      </c>
      <c r="BP1004">
        <v>5.43</v>
      </c>
      <c r="BQ1004">
        <v>8.68</v>
      </c>
      <c r="BR1004">
        <v>-0.04</v>
      </c>
      <c r="BS1004">
        <v>60.01</v>
      </c>
      <c r="BT1004">
        <v>12.98</v>
      </c>
      <c r="BU1004">
        <v>6.35</v>
      </c>
      <c r="BV1004">
        <v>0.89</v>
      </c>
      <c r="BW1004">
        <v>9.93</v>
      </c>
      <c r="BX1004">
        <v>5.28</v>
      </c>
      <c r="BY1004">
        <v>4.49</v>
      </c>
      <c r="BZ1004">
        <v>1.96</v>
      </c>
      <c r="CA1004" t="s">
        <v>120</v>
      </c>
      <c r="CB1004">
        <v>0.31</v>
      </c>
      <c r="CC1004">
        <v>10.73</v>
      </c>
      <c r="CD1004">
        <v>8.02</v>
      </c>
      <c r="CE1004">
        <v>0.67</v>
      </c>
      <c r="CF1004">
        <v>0.14000000000000001</v>
      </c>
      <c r="CG1004">
        <v>0.68</v>
      </c>
      <c r="CH1004">
        <v>0.55000000000000004</v>
      </c>
      <c r="CI1004">
        <v>0.56999999999999995</v>
      </c>
      <c r="CJ1004">
        <v>-0.1</v>
      </c>
      <c r="CK1004">
        <v>0.5</v>
      </c>
      <c r="CL1004">
        <v>2.98</v>
      </c>
      <c r="CM1004">
        <v>1.0900000000000001</v>
      </c>
      <c r="CN1004">
        <v>-0.05</v>
      </c>
      <c r="CO1004">
        <v>18312</v>
      </c>
      <c r="CP1004">
        <v>8761</v>
      </c>
      <c r="CQ1004" t="s">
        <v>5747</v>
      </c>
      <c r="CR1004">
        <v>281.39</v>
      </c>
      <c r="CS1004">
        <v>99.73</v>
      </c>
      <c r="CT1004">
        <v>2.74</v>
      </c>
      <c r="CU1004">
        <v>20.57</v>
      </c>
      <c r="CV1004">
        <v>2.09</v>
      </c>
      <c r="CW1004">
        <v>0</v>
      </c>
      <c r="CX1004" t="s">
        <v>300</v>
      </c>
      <c r="CY1004">
        <v>1.98</v>
      </c>
      <c r="CZ1004">
        <v>1.98</v>
      </c>
      <c r="DA1004">
        <v>7.0000000000000007E-2</v>
      </c>
      <c r="DB1004">
        <v>0.72</v>
      </c>
      <c r="DC1004">
        <v>0.26</v>
      </c>
      <c r="DD1004">
        <v>40.17</v>
      </c>
      <c r="DE1004" t="s">
        <v>4574</v>
      </c>
      <c r="DF1004">
        <v>25.28</v>
      </c>
      <c r="DG1004">
        <v>6.29</v>
      </c>
      <c r="DH1004">
        <v>5.28</v>
      </c>
      <c r="DI1004">
        <v>0.44</v>
      </c>
      <c r="DJ1004">
        <v>4153</v>
      </c>
      <c r="DK1004">
        <v>2615</v>
      </c>
      <c r="DL1004" t="s">
        <v>120</v>
      </c>
      <c r="DM1004" t="s">
        <v>120</v>
      </c>
      <c r="DN1004" t="s">
        <v>120</v>
      </c>
    </row>
    <row r="1005" spans="1:118">
      <c r="A1005" t="str">
        <f>"002616"</f>
        <v>002616</v>
      </c>
      <c r="B1005" t="s">
        <v>5748</v>
      </c>
      <c r="C1005">
        <v>-1.68</v>
      </c>
      <c r="D1005">
        <v>0</v>
      </c>
      <c r="E1005">
        <v>-0.67</v>
      </c>
      <c r="F1005">
        <v>510</v>
      </c>
      <c r="G1005" t="s">
        <v>5749</v>
      </c>
      <c r="H1005">
        <v>3883.13</v>
      </c>
      <c r="I1005">
        <v>47.08</v>
      </c>
      <c r="J1005" t="s">
        <v>120</v>
      </c>
      <c r="K1005" t="s">
        <v>5750</v>
      </c>
      <c r="L1005">
        <v>1.4</v>
      </c>
      <c r="M1005">
        <v>5.84</v>
      </c>
      <c r="N1005">
        <v>1.06</v>
      </c>
      <c r="O1005">
        <v>0.17</v>
      </c>
      <c r="P1005">
        <v>5.95</v>
      </c>
      <c r="Q1005">
        <v>-1.85</v>
      </c>
      <c r="R1005">
        <v>5.83</v>
      </c>
      <c r="S1005">
        <v>5.9</v>
      </c>
      <c r="T1005">
        <v>65905</v>
      </c>
      <c r="U1005">
        <v>5.85</v>
      </c>
      <c r="V1005">
        <v>5.94</v>
      </c>
      <c r="W1005">
        <v>27.67</v>
      </c>
      <c r="X1005" t="s">
        <v>318</v>
      </c>
      <c r="Y1005" t="s">
        <v>547</v>
      </c>
      <c r="Z1005">
        <v>2.02</v>
      </c>
      <c r="AA1005">
        <v>5.89</v>
      </c>
      <c r="AB1005">
        <v>41085</v>
      </c>
      <c r="AC1005">
        <v>24820</v>
      </c>
      <c r="AD1005">
        <v>1.66</v>
      </c>
      <c r="AE1005">
        <v>341</v>
      </c>
      <c r="AF1005">
        <v>366</v>
      </c>
      <c r="AG1005" t="s">
        <v>120</v>
      </c>
      <c r="AH1005">
        <v>0.03</v>
      </c>
      <c r="AI1005" t="s">
        <v>120</v>
      </c>
      <c r="AJ1005">
        <v>4.7</v>
      </c>
      <c r="AK1005" t="s">
        <v>2383</v>
      </c>
      <c r="AL1005">
        <v>0.23</v>
      </c>
      <c r="AM1005">
        <v>1229</v>
      </c>
      <c r="AN1005">
        <v>54</v>
      </c>
      <c r="AO1005">
        <v>1.1000000000000001E-3</v>
      </c>
      <c r="AP1005">
        <v>-3</v>
      </c>
      <c r="AQ1005">
        <v>-0.34</v>
      </c>
      <c r="AR1005">
        <v>-4.2699999999999996</v>
      </c>
      <c r="AS1005">
        <v>-8.32</v>
      </c>
      <c r="AT1005">
        <v>-18.09</v>
      </c>
      <c r="AU1005">
        <v>-21.08</v>
      </c>
      <c r="AV1005">
        <v>2</v>
      </c>
      <c r="AW1005">
        <v>2.4500000000000002</v>
      </c>
      <c r="AX1005">
        <v>36.25</v>
      </c>
      <c r="AY1005">
        <v>15.61</v>
      </c>
      <c r="AZ1005">
        <v>12.58</v>
      </c>
      <c r="BA1005">
        <v>0.28999999999999998</v>
      </c>
      <c r="BB1005" t="s">
        <v>143</v>
      </c>
      <c r="BF1005">
        <v>-0.81</v>
      </c>
      <c r="BG1005">
        <v>-1.02</v>
      </c>
      <c r="BH1005">
        <v>-1.85</v>
      </c>
      <c r="BI1005">
        <v>0.17</v>
      </c>
      <c r="BJ1005">
        <v>20210831</v>
      </c>
      <c r="BK1005">
        <v>20110920</v>
      </c>
      <c r="BL1005">
        <v>7.42</v>
      </c>
      <c r="BM1005" t="s">
        <v>120</v>
      </c>
      <c r="BN1005" t="s">
        <v>120</v>
      </c>
      <c r="BO1005">
        <v>94.51</v>
      </c>
      <c r="BP1005">
        <v>5.84</v>
      </c>
      <c r="BQ1005">
        <v>26.85</v>
      </c>
      <c r="BR1005">
        <v>0.05</v>
      </c>
      <c r="BS1005">
        <v>71.540000000000006</v>
      </c>
      <c r="BT1005">
        <v>22.88</v>
      </c>
      <c r="BU1005">
        <v>29.99</v>
      </c>
      <c r="BV1005">
        <v>9.36</v>
      </c>
      <c r="BW1005">
        <v>16.329999999999998</v>
      </c>
      <c r="BX1005">
        <v>3.41</v>
      </c>
      <c r="BY1005">
        <v>2.02</v>
      </c>
      <c r="BZ1005">
        <v>11.82</v>
      </c>
      <c r="CA1005" t="s">
        <v>120</v>
      </c>
      <c r="CB1005">
        <v>8.42</v>
      </c>
      <c r="CC1005">
        <v>11.73</v>
      </c>
      <c r="CD1005">
        <v>9.0500000000000007</v>
      </c>
      <c r="CE1005">
        <v>1.08</v>
      </c>
      <c r="CF1005">
        <v>0.11</v>
      </c>
      <c r="CG1005">
        <v>1.07</v>
      </c>
      <c r="CH1005">
        <v>0.78</v>
      </c>
      <c r="CI1005">
        <v>0.78</v>
      </c>
      <c r="CJ1005">
        <v>-0.1</v>
      </c>
      <c r="CK1005">
        <v>0.73</v>
      </c>
      <c r="CL1005">
        <v>8.4600000000000009</v>
      </c>
      <c r="CM1005">
        <v>0.31</v>
      </c>
      <c r="CN1005">
        <v>-1.34</v>
      </c>
      <c r="CO1005">
        <v>26352</v>
      </c>
      <c r="CP1005">
        <v>10207</v>
      </c>
      <c r="CQ1005" t="s">
        <v>1289</v>
      </c>
      <c r="CR1005">
        <v>-46.51</v>
      </c>
      <c r="CS1005">
        <v>-3.43</v>
      </c>
      <c r="CT1005">
        <v>1.7</v>
      </c>
      <c r="CU1005">
        <v>137.69999999999999</v>
      </c>
      <c r="CV1005">
        <v>3.7</v>
      </c>
      <c r="CW1005">
        <v>3.37</v>
      </c>
      <c r="CX1005" t="s">
        <v>3721</v>
      </c>
      <c r="CY1005">
        <v>3.43</v>
      </c>
      <c r="CZ1005">
        <v>3.43</v>
      </c>
      <c r="DA1005">
        <v>1.1299999999999999</v>
      </c>
      <c r="DB1005">
        <v>1.1399999999999999</v>
      </c>
      <c r="DC1005">
        <v>0.04</v>
      </c>
      <c r="DD1005">
        <v>28.41</v>
      </c>
      <c r="DE1005" t="s">
        <v>5751</v>
      </c>
      <c r="DF1005">
        <v>22.81</v>
      </c>
      <c r="DG1005">
        <v>9.17</v>
      </c>
      <c r="DH1005">
        <v>6.68</v>
      </c>
      <c r="DI1005">
        <v>0.02</v>
      </c>
      <c r="DJ1005">
        <v>4040</v>
      </c>
      <c r="DK1005">
        <v>2616</v>
      </c>
      <c r="DL1005" t="s">
        <v>120</v>
      </c>
      <c r="DM1005" t="s">
        <v>120</v>
      </c>
      <c r="DN1005" t="s">
        <v>120</v>
      </c>
    </row>
    <row r="1006" spans="1:118">
      <c r="A1006" t="str">
        <f>"002617"</f>
        <v>002617</v>
      </c>
      <c r="B1006" t="s">
        <v>5752</v>
      </c>
      <c r="C1006">
        <v>-5.09</v>
      </c>
      <c r="D1006">
        <v>-0.26</v>
      </c>
      <c r="E1006">
        <v>0.89</v>
      </c>
      <c r="F1006">
        <v>14586</v>
      </c>
      <c r="G1006" t="s">
        <v>5753</v>
      </c>
      <c r="H1006">
        <v>183409.75</v>
      </c>
      <c r="I1006">
        <v>1274.18</v>
      </c>
      <c r="J1006" t="s">
        <v>120</v>
      </c>
      <c r="K1006" t="s">
        <v>5754</v>
      </c>
      <c r="L1006">
        <v>9.25</v>
      </c>
      <c r="M1006">
        <v>14.91</v>
      </c>
      <c r="N1006">
        <v>0.71</v>
      </c>
      <c r="O1006">
        <v>1.46</v>
      </c>
      <c r="P1006">
        <v>15.94</v>
      </c>
      <c r="Q1006">
        <v>-5.16</v>
      </c>
      <c r="R1006">
        <v>14.9</v>
      </c>
      <c r="S1006">
        <v>15.85</v>
      </c>
      <c r="T1006">
        <v>1196246</v>
      </c>
      <c r="U1006">
        <v>14.92</v>
      </c>
      <c r="V1006">
        <v>15.71</v>
      </c>
      <c r="W1006">
        <v>74.31</v>
      </c>
      <c r="X1006" t="s">
        <v>394</v>
      </c>
      <c r="Y1006" t="s">
        <v>585</v>
      </c>
      <c r="Z1006">
        <v>6.62</v>
      </c>
      <c r="AA1006">
        <v>15.33</v>
      </c>
      <c r="AB1006">
        <v>628332</v>
      </c>
      <c r="AC1006">
        <v>567914</v>
      </c>
      <c r="AD1006">
        <v>1.1100000000000001</v>
      </c>
      <c r="AE1006">
        <v>820</v>
      </c>
      <c r="AF1006">
        <v>429</v>
      </c>
      <c r="AG1006" t="s">
        <v>120</v>
      </c>
      <c r="AH1006">
        <v>0.08</v>
      </c>
      <c r="AI1006" t="s">
        <v>120</v>
      </c>
      <c r="AJ1006">
        <v>12.94</v>
      </c>
      <c r="AK1006" t="s">
        <v>5755</v>
      </c>
      <c r="AL1006">
        <v>-3.18</v>
      </c>
      <c r="AM1006">
        <v>4724</v>
      </c>
      <c r="AN1006">
        <v>253</v>
      </c>
      <c r="AO1006">
        <v>2E-3</v>
      </c>
      <c r="AP1006">
        <v>-2</v>
      </c>
      <c r="AQ1006">
        <v>-2.36</v>
      </c>
      <c r="AR1006">
        <v>-5.27</v>
      </c>
      <c r="AS1006">
        <v>24.77</v>
      </c>
      <c r="AT1006">
        <v>6.89</v>
      </c>
      <c r="AU1006">
        <v>81.39</v>
      </c>
      <c r="AV1006">
        <v>14</v>
      </c>
      <c r="AW1006">
        <v>11.63</v>
      </c>
      <c r="AX1006">
        <v>64.12</v>
      </c>
      <c r="AY1006">
        <v>180.83</v>
      </c>
      <c r="AZ1006">
        <v>194.1</v>
      </c>
      <c r="BA1006">
        <v>1.1100000000000001</v>
      </c>
      <c r="BB1006" t="s">
        <v>143</v>
      </c>
      <c r="BF1006">
        <v>-2.41</v>
      </c>
      <c r="BG1006">
        <v>-5.93</v>
      </c>
      <c r="BH1006">
        <v>-6.46</v>
      </c>
      <c r="BI1006">
        <v>7.0000000000000007E-2</v>
      </c>
      <c r="BJ1006">
        <v>20210903</v>
      </c>
      <c r="BK1006">
        <v>20110920</v>
      </c>
      <c r="BL1006">
        <v>16.04</v>
      </c>
      <c r="BM1006" t="s">
        <v>120</v>
      </c>
      <c r="BN1006" t="s">
        <v>120</v>
      </c>
      <c r="BO1006">
        <v>86.55</v>
      </c>
      <c r="BP1006">
        <v>14.91</v>
      </c>
      <c r="BQ1006">
        <v>37.630000000000003</v>
      </c>
      <c r="BR1006" t="s">
        <v>120</v>
      </c>
      <c r="BS1006">
        <v>56.52</v>
      </c>
      <c r="BT1006">
        <v>38.950000000000003</v>
      </c>
      <c r="BU1006">
        <v>20.39</v>
      </c>
      <c r="BV1006">
        <v>1.1599999999999999</v>
      </c>
      <c r="BW1006">
        <v>26.17</v>
      </c>
      <c r="BX1006">
        <v>5.7</v>
      </c>
      <c r="BY1006">
        <v>3.52</v>
      </c>
      <c r="BZ1006">
        <v>17.88</v>
      </c>
      <c r="CA1006" t="s">
        <v>120</v>
      </c>
      <c r="CB1006">
        <v>24.07</v>
      </c>
      <c r="CC1006">
        <v>18.55</v>
      </c>
      <c r="CD1006">
        <v>15.73</v>
      </c>
      <c r="CE1006">
        <v>1.63</v>
      </c>
      <c r="CF1006">
        <v>1.2</v>
      </c>
      <c r="CG1006">
        <v>1.63</v>
      </c>
      <c r="CH1006">
        <v>1.61</v>
      </c>
      <c r="CI1006">
        <v>1.61</v>
      </c>
      <c r="CJ1006">
        <v>-0.8</v>
      </c>
      <c r="CK1006">
        <v>0.42</v>
      </c>
      <c r="CL1006">
        <v>-2.48</v>
      </c>
      <c r="CM1006">
        <v>-2.2999999999999998</v>
      </c>
      <c r="CN1006">
        <v>0.51</v>
      </c>
      <c r="CO1006">
        <v>162160</v>
      </c>
      <c r="CP1006">
        <v>6341</v>
      </c>
      <c r="CQ1006" t="s">
        <v>5756</v>
      </c>
      <c r="CR1006">
        <v>6.29</v>
      </c>
      <c r="CS1006">
        <v>62.07</v>
      </c>
      <c r="CT1006">
        <v>6.35</v>
      </c>
      <c r="CU1006">
        <v>-103.84</v>
      </c>
      <c r="CV1006">
        <v>12.89</v>
      </c>
      <c r="CW1006">
        <v>0</v>
      </c>
      <c r="CX1006" t="s">
        <v>411</v>
      </c>
      <c r="CY1006">
        <v>2.35</v>
      </c>
      <c r="CZ1006">
        <v>0</v>
      </c>
      <c r="DA1006">
        <v>1.5</v>
      </c>
      <c r="DB1006">
        <v>-0.15</v>
      </c>
      <c r="DC1006">
        <v>-0.14000000000000001</v>
      </c>
      <c r="DD1006">
        <v>43.48</v>
      </c>
      <c r="DE1006" t="s">
        <v>2110</v>
      </c>
      <c r="DF1006">
        <v>15.22</v>
      </c>
      <c r="DG1006">
        <v>8.8000000000000007</v>
      </c>
      <c r="DH1006">
        <v>8.67</v>
      </c>
      <c r="DI1006">
        <v>0.31</v>
      </c>
      <c r="DJ1006">
        <v>1480</v>
      </c>
      <c r="DK1006">
        <v>2617</v>
      </c>
      <c r="DL1006">
        <v>20210910</v>
      </c>
      <c r="DM1006">
        <v>15.52</v>
      </c>
      <c r="DN1006">
        <v>-3.93</v>
      </c>
    </row>
    <row r="1007" spans="1:118">
      <c r="A1007" t="str">
        <f>"002620"</f>
        <v>002620</v>
      </c>
      <c r="B1007" t="s">
        <v>5757</v>
      </c>
      <c r="C1007">
        <v>-7.07</v>
      </c>
      <c r="D1007">
        <v>0.13</v>
      </c>
      <c r="E1007">
        <v>-1.88</v>
      </c>
      <c r="F1007">
        <v>1652</v>
      </c>
      <c r="G1007" t="s">
        <v>5758</v>
      </c>
      <c r="H1007">
        <v>17480.169999999998</v>
      </c>
      <c r="I1007">
        <v>156.19</v>
      </c>
      <c r="J1007" t="s">
        <v>120</v>
      </c>
      <c r="K1007" t="s">
        <v>5759</v>
      </c>
      <c r="L1007">
        <v>6.94</v>
      </c>
      <c r="M1007">
        <v>7.89</v>
      </c>
      <c r="N1007">
        <v>1.36</v>
      </c>
      <c r="O1007">
        <v>-1.53</v>
      </c>
      <c r="P1007">
        <v>8.36</v>
      </c>
      <c r="Q1007">
        <v>-8.36</v>
      </c>
      <c r="R1007">
        <v>7.78</v>
      </c>
      <c r="S1007">
        <v>8.33</v>
      </c>
      <c r="T1007">
        <v>215149</v>
      </c>
      <c r="U1007">
        <v>7.9</v>
      </c>
      <c r="V1007">
        <v>8.49</v>
      </c>
      <c r="W1007">
        <v>28.01</v>
      </c>
      <c r="X1007" t="s">
        <v>3122</v>
      </c>
      <c r="Y1007" t="s">
        <v>123</v>
      </c>
      <c r="Z1007">
        <v>6.83</v>
      </c>
      <c r="AA1007">
        <v>8.1199999999999992</v>
      </c>
      <c r="AB1007">
        <v>140920</v>
      </c>
      <c r="AC1007">
        <v>74229</v>
      </c>
      <c r="AD1007">
        <v>1.9</v>
      </c>
      <c r="AE1007">
        <v>37</v>
      </c>
      <c r="AF1007">
        <v>25</v>
      </c>
      <c r="AG1007" t="s">
        <v>120</v>
      </c>
      <c r="AH1007">
        <v>0.09</v>
      </c>
      <c r="AI1007" t="s">
        <v>120</v>
      </c>
      <c r="AJ1007">
        <v>3.1</v>
      </c>
      <c r="AK1007" t="s">
        <v>5760</v>
      </c>
      <c r="AL1007">
        <v>-5.15</v>
      </c>
      <c r="AM1007">
        <v>2907</v>
      </c>
      <c r="AN1007">
        <v>74</v>
      </c>
      <c r="AO1007">
        <v>2.3999999999999998E-3</v>
      </c>
      <c r="AP1007">
        <v>-1</v>
      </c>
      <c r="AQ1007">
        <v>6.52</v>
      </c>
      <c r="AR1007">
        <v>1.93</v>
      </c>
      <c r="AS1007">
        <v>3.82</v>
      </c>
      <c r="AT1007">
        <v>30.2</v>
      </c>
      <c r="AU1007">
        <v>38.18</v>
      </c>
      <c r="AV1007">
        <v>9</v>
      </c>
      <c r="AW1007">
        <v>9.92</v>
      </c>
      <c r="AX1007">
        <v>57.35</v>
      </c>
      <c r="AY1007">
        <v>21.51</v>
      </c>
      <c r="AZ1007">
        <v>21.72</v>
      </c>
      <c r="BA1007">
        <v>1.26</v>
      </c>
      <c r="BB1007" t="s">
        <v>143</v>
      </c>
      <c r="BF1007">
        <v>-4.3</v>
      </c>
      <c r="BG1007">
        <v>-5.28</v>
      </c>
      <c r="BH1007">
        <v>-5.62</v>
      </c>
      <c r="BI1007">
        <v>1.41</v>
      </c>
      <c r="BJ1007">
        <v>20210903</v>
      </c>
      <c r="BK1007">
        <v>20110929</v>
      </c>
      <c r="BL1007">
        <v>3.78</v>
      </c>
      <c r="BM1007" t="s">
        <v>120</v>
      </c>
      <c r="BN1007" t="s">
        <v>120</v>
      </c>
      <c r="BO1007">
        <v>65.42</v>
      </c>
      <c r="BP1007">
        <v>7.89</v>
      </c>
      <c r="BQ1007">
        <v>25.29</v>
      </c>
      <c r="BR1007">
        <v>3.23</v>
      </c>
      <c r="BS1007">
        <v>56.4</v>
      </c>
      <c r="BT1007">
        <v>53.74</v>
      </c>
      <c r="BU1007">
        <v>6.93</v>
      </c>
      <c r="BV1007">
        <v>0.16</v>
      </c>
      <c r="BW1007">
        <v>36.89</v>
      </c>
      <c r="BX1007">
        <v>4.3899999999999997</v>
      </c>
      <c r="BY1007">
        <v>2.69</v>
      </c>
      <c r="BZ1007">
        <v>4.8</v>
      </c>
      <c r="CA1007" t="s">
        <v>120</v>
      </c>
      <c r="CB1007">
        <v>12.36</v>
      </c>
      <c r="CC1007">
        <v>16.8</v>
      </c>
      <c r="CD1007">
        <v>14.19</v>
      </c>
      <c r="CE1007">
        <v>0.78</v>
      </c>
      <c r="CF1007">
        <v>0</v>
      </c>
      <c r="CG1007">
        <v>0.78</v>
      </c>
      <c r="CH1007">
        <v>0.67</v>
      </c>
      <c r="CI1007">
        <v>0.53</v>
      </c>
      <c r="CJ1007">
        <v>-0.6</v>
      </c>
      <c r="CK1007">
        <v>0.49</v>
      </c>
      <c r="CL1007">
        <v>7.83</v>
      </c>
      <c r="CM1007">
        <v>-1.53</v>
      </c>
      <c r="CN1007">
        <v>0.55000000000000004</v>
      </c>
      <c r="CO1007">
        <v>26278</v>
      </c>
      <c r="CP1007">
        <v>8256</v>
      </c>
      <c r="CQ1007" t="s">
        <v>3772</v>
      </c>
      <c r="CR1007">
        <v>2.83</v>
      </c>
      <c r="CS1007">
        <v>17.3</v>
      </c>
      <c r="CT1007">
        <v>1.18</v>
      </c>
      <c r="CU1007">
        <v>-19.46</v>
      </c>
      <c r="CV1007">
        <v>1.78</v>
      </c>
      <c r="CW1007">
        <v>0.94</v>
      </c>
      <c r="CX1007" t="s">
        <v>300</v>
      </c>
      <c r="CY1007">
        <v>6.69</v>
      </c>
      <c r="CZ1007">
        <v>0</v>
      </c>
      <c r="DA1007">
        <v>3.27</v>
      </c>
      <c r="DB1007">
        <v>2.0699999999999998</v>
      </c>
      <c r="DC1007">
        <v>-0.41</v>
      </c>
      <c r="DD1007">
        <v>38.67</v>
      </c>
      <c r="DE1007" t="s">
        <v>5589</v>
      </c>
      <c r="DF1007">
        <v>15.53</v>
      </c>
      <c r="DG1007">
        <v>4.6399999999999997</v>
      </c>
      <c r="DH1007">
        <v>3.17</v>
      </c>
      <c r="DI1007">
        <v>0.56000000000000005</v>
      </c>
      <c r="DJ1007">
        <v>647</v>
      </c>
      <c r="DK1007">
        <v>2620</v>
      </c>
      <c r="DL1007" t="s">
        <v>120</v>
      </c>
      <c r="DM1007" t="s">
        <v>120</v>
      </c>
      <c r="DN1007" t="s">
        <v>120</v>
      </c>
    </row>
    <row r="1008" spans="1:118">
      <c r="A1008" t="str">
        <f>"002621"</f>
        <v>002621</v>
      </c>
      <c r="B1008" t="s">
        <v>5761</v>
      </c>
      <c r="C1008">
        <v>-0.93</v>
      </c>
      <c r="D1008">
        <v>0.24</v>
      </c>
      <c r="E1008">
        <v>0.47</v>
      </c>
      <c r="F1008">
        <v>220</v>
      </c>
      <c r="G1008" t="s">
        <v>5762</v>
      </c>
      <c r="H1008">
        <v>1531.52</v>
      </c>
      <c r="I1008">
        <v>2.11</v>
      </c>
      <c r="J1008" t="s">
        <v>120</v>
      </c>
      <c r="K1008" t="s">
        <v>5763</v>
      </c>
      <c r="L1008">
        <v>0.45</v>
      </c>
      <c r="M1008">
        <v>4.24</v>
      </c>
      <c r="N1008">
        <v>0.63</v>
      </c>
      <c r="O1008">
        <v>2.1</v>
      </c>
      <c r="P1008">
        <v>4.37</v>
      </c>
      <c r="Q1008">
        <v>-1.4</v>
      </c>
      <c r="R1008">
        <v>4.22</v>
      </c>
      <c r="S1008">
        <v>4.3</v>
      </c>
      <c r="T1008">
        <v>35683</v>
      </c>
      <c r="U1008">
        <v>4.24</v>
      </c>
      <c r="V1008">
        <v>4.28</v>
      </c>
      <c r="W1008">
        <v>52.95</v>
      </c>
      <c r="X1008" t="s">
        <v>213</v>
      </c>
      <c r="Y1008" t="s">
        <v>432</v>
      </c>
      <c r="Z1008">
        <v>3.5</v>
      </c>
      <c r="AA1008">
        <v>4.29</v>
      </c>
      <c r="AB1008">
        <v>20714</v>
      </c>
      <c r="AC1008">
        <v>14969</v>
      </c>
      <c r="AD1008">
        <v>1.38</v>
      </c>
      <c r="AE1008">
        <v>386</v>
      </c>
      <c r="AF1008">
        <v>422</v>
      </c>
      <c r="AG1008" t="s">
        <v>120</v>
      </c>
      <c r="AH1008">
        <v>0</v>
      </c>
      <c r="AI1008" t="s">
        <v>120</v>
      </c>
      <c r="AJ1008">
        <v>7.95</v>
      </c>
      <c r="AK1008" t="s">
        <v>5764</v>
      </c>
      <c r="AL1008">
        <v>0.98</v>
      </c>
      <c r="AM1008">
        <v>1147</v>
      </c>
      <c r="AN1008">
        <v>31</v>
      </c>
      <c r="AO1008">
        <v>4.0000000000000002E-4</v>
      </c>
      <c r="AP1008">
        <v>-3</v>
      </c>
      <c r="AQ1008">
        <v>-0.47</v>
      </c>
      <c r="AR1008">
        <v>-4.29</v>
      </c>
      <c r="AS1008">
        <v>-5.78</v>
      </c>
      <c r="AT1008">
        <v>-18.62</v>
      </c>
      <c r="AU1008">
        <v>-24.69</v>
      </c>
      <c r="AV1008">
        <v>3</v>
      </c>
      <c r="AW1008">
        <v>1.0900000000000001</v>
      </c>
      <c r="AX1008">
        <v>39.659999999999997</v>
      </c>
      <c r="AY1008" t="s">
        <v>120</v>
      </c>
      <c r="AZ1008" t="s">
        <v>120</v>
      </c>
      <c r="BA1008">
        <v>0.86</v>
      </c>
      <c r="BB1008" t="s">
        <v>125</v>
      </c>
      <c r="BF1008">
        <v>0.28000000000000003</v>
      </c>
      <c r="BG1008">
        <v>-1.4</v>
      </c>
      <c r="BH1008">
        <v>-2.97</v>
      </c>
      <c r="BI1008">
        <v>0.47</v>
      </c>
      <c r="BJ1008">
        <v>20210909</v>
      </c>
      <c r="BK1008">
        <v>20110929</v>
      </c>
      <c r="BL1008">
        <v>8.27</v>
      </c>
      <c r="BM1008" t="s">
        <v>120</v>
      </c>
      <c r="BN1008" t="s">
        <v>120</v>
      </c>
      <c r="BO1008">
        <v>34.65</v>
      </c>
      <c r="BP1008">
        <v>4.2300000000000004</v>
      </c>
      <c r="BQ1008">
        <v>11.81</v>
      </c>
      <c r="BR1008">
        <v>11.03</v>
      </c>
      <c r="BS1008">
        <v>34.07</v>
      </c>
      <c r="BT1008">
        <v>6.01</v>
      </c>
      <c r="BU1008">
        <v>0.22</v>
      </c>
      <c r="BV1008">
        <v>12.86</v>
      </c>
      <c r="BW1008">
        <v>8.2899999999999991</v>
      </c>
      <c r="BX1008">
        <v>3.8</v>
      </c>
      <c r="BY1008">
        <v>0.1</v>
      </c>
      <c r="BZ1008">
        <v>1.72</v>
      </c>
      <c r="CA1008" t="s">
        <v>120</v>
      </c>
      <c r="CB1008">
        <v>2.99</v>
      </c>
      <c r="CC1008">
        <v>1.75</v>
      </c>
      <c r="CD1008">
        <v>0.55000000000000004</v>
      </c>
      <c r="CE1008">
        <v>0.54</v>
      </c>
      <c r="CF1008">
        <v>0</v>
      </c>
      <c r="CG1008">
        <v>0.56000000000000005</v>
      </c>
      <c r="CH1008">
        <v>0.5</v>
      </c>
      <c r="CI1008">
        <v>0.33</v>
      </c>
      <c r="CJ1008">
        <v>-0.04</v>
      </c>
      <c r="CK1008">
        <v>0.08</v>
      </c>
      <c r="CL1008">
        <v>0.66</v>
      </c>
      <c r="CM1008">
        <v>-0.15</v>
      </c>
      <c r="CN1008">
        <v>-1</v>
      </c>
      <c r="CO1008">
        <v>16928</v>
      </c>
      <c r="CP1008">
        <v>19363</v>
      </c>
      <c r="CQ1008" t="s">
        <v>5765</v>
      </c>
      <c r="CR1008">
        <v>245.03</v>
      </c>
      <c r="CS1008">
        <v>37.840000000000003</v>
      </c>
      <c r="CT1008">
        <v>2.97</v>
      </c>
      <c r="CU1008">
        <v>-232.41</v>
      </c>
      <c r="CV1008">
        <v>20.04</v>
      </c>
      <c r="CW1008">
        <v>0</v>
      </c>
      <c r="CX1008" t="s">
        <v>145</v>
      </c>
      <c r="CY1008">
        <v>1.43</v>
      </c>
      <c r="CZ1008">
        <v>0</v>
      </c>
      <c r="DA1008">
        <v>0.36</v>
      </c>
      <c r="DB1008">
        <v>0.08</v>
      </c>
      <c r="DC1008">
        <v>-0.02</v>
      </c>
      <c r="DD1008">
        <v>34.1</v>
      </c>
      <c r="DE1008" t="s">
        <v>2028</v>
      </c>
      <c r="DF1008">
        <v>68.59</v>
      </c>
      <c r="DG1008">
        <v>30.92</v>
      </c>
      <c r="DH1008">
        <v>18.920000000000002</v>
      </c>
      <c r="DI1008">
        <v>0.02</v>
      </c>
      <c r="DJ1008">
        <v>488</v>
      </c>
      <c r="DK1008">
        <v>2621</v>
      </c>
      <c r="DL1008" t="s">
        <v>120</v>
      </c>
      <c r="DM1008" t="s">
        <v>120</v>
      </c>
      <c r="DN1008" t="s">
        <v>120</v>
      </c>
    </row>
    <row r="1009" spans="1:118">
      <c r="A1009" t="str">
        <f>"002622"</f>
        <v>002622</v>
      </c>
      <c r="B1009" t="s">
        <v>5766</v>
      </c>
      <c r="C1009">
        <v>-0.97</v>
      </c>
      <c r="D1009">
        <v>-0.38</v>
      </c>
      <c r="E1009">
        <v>-0.57999999999999996</v>
      </c>
      <c r="F1009">
        <v>2122</v>
      </c>
      <c r="G1009" t="s">
        <v>1253</v>
      </c>
      <c r="H1009">
        <v>12743.79</v>
      </c>
      <c r="I1009">
        <v>81.260000000000005</v>
      </c>
      <c r="J1009" t="s">
        <v>120</v>
      </c>
      <c r="K1009" t="s">
        <v>4624</v>
      </c>
      <c r="L1009">
        <v>2.95</v>
      </c>
      <c r="M1009">
        <v>5.12</v>
      </c>
      <c r="N1009">
        <v>0.89</v>
      </c>
      <c r="O1009">
        <v>0.77</v>
      </c>
      <c r="P1009">
        <v>5.21</v>
      </c>
      <c r="Q1009">
        <v>-1.35</v>
      </c>
      <c r="R1009">
        <v>5.0999999999999996</v>
      </c>
      <c r="S1009">
        <v>5.14</v>
      </c>
      <c r="T1009">
        <v>247448</v>
      </c>
      <c r="U1009">
        <v>5.12</v>
      </c>
      <c r="V1009">
        <v>5.17</v>
      </c>
      <c r="W1009">
        <v>232.2</v>
      </c>
      <c r="X1009" t="s">
        <v>166</v>
      </c>
      <c r="Y1009" t="s">
        <v>290</v>
      </c>
      <c r="Z1009">
        <v>2.13</v>
      </c>
      <c r="AA1009">
        <v>5.15</v>
      </c>
      <c r="AB1009">
        <v>140745</v>
      </c>
      <c r="AC1009">
        <v>106703</v>
      </c>
      <c r="AD1009">
        <v>1.32</v>
      </c>
      <c r="AE1009">
        <v>1447</v>
      </c>
      <c r="AF1009">
        <v>183</v>
      </c>
      <c r="AG1009" t="s">
        <v>120</v>
      </c>
      <c r="AH1009">
        <v>0.03</v>
      </c>
      <c r="AI1009" t="s">
        <v>120</v>
      </c>
      <c r="AJ1009">
        <v>8.4</v>
      </c>
      <c r="AK1009" t="s">
        <v>4624</v>
      </c>
      <c r="AL1009">
        <v>0.95</v>
      </c>
      <c r="AM1009">
        <v>2665</v>
      </c>
      <c r="AN1009">
        <v>93</v>
      </c>
      <c r="AO1009">
        <v>1.1000000000000001E-3</v>
      </c>
      <c r="AP1009">
        <v>-2</v>
      </c>
      <c r="AQ1009">
        <v>-1.1499999999999999</v>
      </c>
      <c r="AR1009">
        <v>0.19</v>
      </c>
      <c r="AS1009">
        <v>8.02</v>
      </c>
      <c r="AT1009">
        <v>1.59</v>
      </c>
      <c r="AU1009">
        <v>75.34</v>
      </c>
      <c r="AV1009">
        <v>17</v>
      </c>
      <c r="AW1009">
        <v>3.96</v>
      </c>
      <c r="AX1009">
        <v>74.39</v>
      </c>
      <c r="AY1009" t="s">
        <v>120</v>
      </c>
      <c r="AZ1009" t="s">
        <v>120</v>
      </c>
      <c r="BA1009">
        <v>1.02</v>
      </c>
      <c r="BB1009" t="s">
        <v>143</v>
      </c>
      <c r="BF1009">
        <v>-0.39</v>
      </c>
      <c r="BG1009">
        <v>-0.39</v>
      </c>
      <c r="BH1009">
        <v>-1.73</v>
      </c>
      <c r="BI1009">
        <v>0.39</v>
      </c>
      <c r="BJ1009">
        <v>20210831</v>
      </c>
      <c r="BK1009">
        <v>20111018</v>
      </c>
      <c r="BL1009">
        <v>8.4</v>
      </c>
      <c r="BM1009" t="s">
        <v>120</v>
      </c>
      <c r="BN1009" t="s">
        <v>120</v>
      </c>
      <c r="BO1009">
        <v>14.02</v>
      </c>
      <c r="BP1009">
        <v>5.1100000000000003</v>
      </c>
      <c r="BQ1009">
        <v>8.92</v>
      </c>
      <c r="BR1009" t="s">
        <v>120</v>
      </c>
      <c r="BS1009">
        <v>36.39</v>
      </c>
      <c r="BT1009">
        <v>3.53</v>
      </c>
      <c r="BU1009">
        <v>1.24</v>
      </c>
      <c r="BV1009">
        <v>0.36</v>
      </c>
      <c r="BW1009">
        <v>4.21</v>
      </c>
      <c r="BX1009">
        <v>2.2000000000000002</v>
      </c>
      <c r="BY1009">
        <v>0.39</v>
      </c>
      <c r="BZ1009">
        <v>0.44</v>
      </c>
      <c r="CA1009">
        <v>0.45</v>
      </c>
      <c r="CB1009">
        <v>0.11</v>
      </c>
      <c r="CC1009">
        <v>0.49</v>
      </c>
      <c r="CD1009">
        <v>0.25</v>
      </c>
      <c r="CE1009">
        <v>0.09</v>
      </c>
      <c r="CF1009">
        <v>0.25</v>
      </c>
      <c r="CG1009">
        <v>0.1</v>
      </c>
      <c r="CH1009">
        <v>0.09</v>
      </c>
      <c r="CI1009">
        <v>0.09</v>
      </c>
      <c r="CJ1009">
        <v>-0.05</v>
      </c>
      <c r="CK1009">
        <v>0.08</v>
      </c>
      <c r="CL1009">
        <v>0.92</v>
      </c>
      <c r="CM1009">
        <v>0.05</v>
      </c>
      <c r="CN1009">
        <v>0.25</v>
      </c>
      <c r="CO1009">
        <v>71259</v>
      </c>
      <c r="CP1009">
        <v>8770</v>
      </c>
      <c r="CQ1009" t="s">
        <v>1636</v>
      </c>
      <c r="CR1009">
        <v>128.57</v>
      </c>
      <c r="CS1009">
        <v>65.69</v>
      </c>
      <c r="CT1009">
        <v>4.82</v>
      </c>
      <c r="CU1009">
        <v>787.46</v>
      </c>
      <c r="CV1009">
        <v>87.6</v>
      </c>
      <c r="CW1009">
        <v>0</v>
      </c>
      <c r="CX1009" t="s">
        <v>730</v>
      </c>
      <c r="CY1009">
        <v>1.06</v>
      </c>
      <c r="CZ1009">
        <v>0</v>
      </c>
      <c r="DA1009">
        <v>0.01</v>
      </c>
      <c r="DB1009">
        <v>0.11</v>
      </c>
      <c r="DC1009">
        <v>0.01</v>
      </c>
      <c r="DD1009">
        <v>63.61</v>
      </c>
      <c r="DE1009" t="s">
        <v>5767</v>
      </c>
      <c r="DF1009">
        <v>49.21</v>
      </c>
      <c r="DG1009">
        <v>19.260000000000002</v>
      </c>
      <c r="DH1009">
        <v>18.86</v>
      </c>
      <c r="DI1009">
        <v>0.04</v>
      </c>
      <c r="DJ1009">
        <v>397</v>
      </c>
      <c r="DK1009">
        <v>2622</v>
      </c>
      <c r="DL1009">
        <v>20210719</v>
      </c>
      <c r="DM1009">
        <v>5.86</v>
      </c>
      <c r="DN1009">
        <v>-12.63</v>
      </c>
    </row>
    <row r="1010" spans="1:118">
      <c r="A1010" t="str">
        <f>"002623"</f>
        <v>002623</v>
      </c>
      <c r="B1010" t="s">
        <v>5768</v>
      </c>
      <c r="C1010">
        <v>-4.3</v>
      </c>
      <c r="D1010">
        <v>0</v>
      </c>
      <c r="E1010">
        <v>0.38</v>
      </c>
      <c r="F1010">
        <v>460</v>
      </c>
      <c r="G1010" t="s">
        <v>571</v>
      </c>
      <c r="H1010">
        <v>25108.57</v>
      </c>
      <c r="I1010">
        <v>186.63</v>
      </c>
      <c r="J1010" t="s">
        <v>120</v>
      </c>
      <c r="K1010" t="s">
        <v>5769</v>
      </c>
      <c r="L1010">
        <v>3.64</v>
      </c>
      <c r="M1010">
        <v>42.26</v>
      </c>
      <c r="N1010">
        <v>0.86</v>
      </c>
      <c r="O1010">
        <v>0.56999999999999995</v>
      </c>
      <c r="P1010">
        <v>44.41</v>
      </c>
      <c r="Q1010">
        <v>-4.3899999999999997</v>
      </c>
      <c r="R1010">
        <v>42.22</v>
      </c>
      <c r="S1010">
        <v>44.33</v>
      </c>
      <c r="T1010">
        <v>58142</v>
      </c>
      <c r="U1010">
        <v>42.26</v>
      </c>
      <c r="V1010">
        <v>44.16</v>
      </c>
      <c r="W1010">
        <v>180.68</v>
      </c>
      <c r="X1010" t="s">
        <v>191</v>
      </c>
      <c r="Y1010" t="s">
        <v>319</v>
      </c>
      <c r="Z1010">
        <v>4.96</v>
      </c>
      <c r="AA1010">
        <v>43.18</v>
      </c>
      <c r="AB1010">
        <v>34652</v>
      </c>
      <c r="AC1010">
        <v>23490</v>
      </c>
      <c r="AD1010">
        <v>1.48</v>
      </c>
      <c r="AE1010">
        <v>124</v>
      </c>
      <c r="AF1010">
        <v>69</v>
      </c>
      <c r="AG1010" t="s">
        <v>120</v>
      </c>
      <c r="AH1010">
        <v>0.05</v>
      </c>
      <c r="AI1010" t="s">
        <v>120</v>
      </c>
      <c r="AJ1010">
        <v>1.6</v>
      </c>
      <c r="AK1010" t="s">
        <v>5770</v>
      </c>
      <c r="AL1010">
        <v>-2.39</v>
      </c>
      <c r="AM1010">
        <v>3321</v>
      </c>
      <c r="AN1010">
        <v>18</v>
      </c>
      <c r="AO1010">
        <v>1.1000000000000001E-3</v>
      </c>
      <c r="AP1010">
        <v>-1</v>
      </c>
      <c r="AQ1010">
        <v>6.54</v>
      </c>
      <c r="AR1010">
        <v>0.21</v>
      </c>
      <c r="AS1010">
        <v>8.4700000000000006</v>
      </c>
      <c r="AT1010">
        <v>11.32</v>
      </c>
      <c r="AU1010">
        <v>-3.93</v>
      </c>
      <c r="AV1010">
        <v>5</v>
      </c>
      <c r="AW1010">
        <v>7.11</v>
      </c>
      <c r="AX1010">
        <v>41.06</v>
      </c>
      <c r="AY1010">
        <v>72.92</v>
      </c>
      <c r="AZ1010">
        <v>63.82</v>
      </c>
      <c r="BA1010">
        <v>0.83</v>
      </c>
      <c r="BB1010" t="s">
        <v>143</v>
      </c>
      <c r="BF1010">
        <v>-2.21</v>
      </c>
      <c r="BG1010">
        <v>-4.67</v>
      </c>
      <c r="BH1010">
        <v>-4.84</v>
      </c>
      <c r="BI1010">
        <v>0.09</v>
      </c>
      <c r="BJ1010">
        <v>20210830</v>
      </c>
      <c r="BK1010">
        <v>20111013</v>
      </c>
      <c r="BL1010">
        <v>1.99</v>
      </c>
      <c r="BM1010" t="s">
        <v>120</v>
      </c>
      <c r="BN1010" t="s">
        <v>120</v>
      </c>
      <c r="BO1010">
        <v>47.96</v>
      </c>
      <c r="BP1010">
        <v>42.25</v>
      </c>
      <c r="BQ1010">
        <v>33.54</v>
      </c>
      <c r="BR1010">
        <v>0.14000000000000001</v>
      </c>
      <c r="BS1010">
        <v>29.77</v>
      </c>
      <c r="BT1010">
        <v>29.52</v>
      </c>
      <c r="BU1010">
        <v>10.18</v>
      </c>
      <c r="BV1010">
        <v>1.39</v>
      </c>
      <c r="BW1010">
        <v>12.53</v>
      </c>
      <c r="BX1010">
        <v>17.57</v>
      </c>
      <c r="BY1010">
        <v>1.5</v>
      </c>
      <c r="BZ1010">
        <v>2.89</v>
      </c>
      <c r="CA1010">
        <v>0</v>
      </c>
      <c r="CB1010">
        <v>24.32</v>
      </c>
      <c r="CC1010">
        <v>8.77</v>
      </c>
      <c r="CD1010">
        <v>8.02</v>
      </c>
      <c r="CE1010">
        <v>0.28999999999999998</v>
      </c>
      <c r="CF1010">
        <v>0.1</v>
      </c>
      <c r="CG1010">
        <v>0.28000000000000003</v>
      </c>
      <c r="CH1010">
        <v>0.25</v>
      </c>
      <c r="CI1010">
        <v>0.23</v>
      </c>
      <c r="CJ1010">
        <v>-1.9</v>
      </c>
      <c r="CK1010">
        <v>0.1</v>
      </c>
      <c r="CL1010">
        <v>5.59</v>
      </c>
      <c r="CM1010">
        <v>1.77</v>
      </c>
      <c r="CN1010">
        <v>10.77</v>
      </c>
      <c r="CO1010">
        <v>21517</v>
      </c>
      <c r="CP1010">
        <v>3799</v>
      </c>
      <c r="CQ1010" t="s">
        <v>5771</v>
      </c>
      <c r="CR1010">
        <v>-42.49</v>
      </c>
      <c r="CS1010">
        <v>18.13</v>
      </c>
      <c r="CT1010">
        <v>2.5099999999999998</v>
      </c>
      <c r="CU1010">
        <v>47.55</v>
      </c>
      <c r="CV1010">
        <v>9.6</v>
      </c>
      <c r="CW1010">
        <v>0</v>
      </c>
      <c r="CX1010" t="s">
        <v>373</v>
      </c>
      <c r="CY1010">
        <v>16.850000000000001</v>
      </c>
      <c r="CZ1010">
        <v>0</v>
      </c>
      <c r="DA1010">
        <v>12.22</v>
      </c>
      <c r="DB1010">
        <v>2.81</v>
      </c>
      <c r="DC1010">
        <v>0.89</v>
      </c>
      <c r="DD1010">
        <v>69.94</v>
      </c>
      <c r="DE1010" t="s">
        <v>3608</v>
      </c>
      <c r="DF1010">
        <v>8.4600000000000009</v>
      </c>
      <c r="DG1010">
        <v>3.33</v>
      </c>
      <c r="DH1010">
        <v>2.66</v>
      </c>
      <c r="DI1010">
        <v>0.28999999999999998</v>
      </c>
      <c r="DJ1010">
        <v>804</v>
      </c>
      <c r="DK1010">
        <v>2623</v>
      </c>
      <c r="DL1010" t="s">
        <v>120</v>
      </c>
      <c r="DM1010" t="s">
        <v>120</v>
      </c>
      <c r="DN1010" t="s">
        <v>120</v>
      </c>
    </row>
    <row r="1011" spans="1:118">
      <c r="A1011" t="str">
        <f>"002624"</f>
        <v>002624</v>
      </c>
      <c r="B1011" t="s">
        <v>5772</v>
      </c>
      <c r="C1011">
        <v>-3.98</v>
      </c>
      <c r="D1011">
        <v>-0.05</v>
      </c>
      <c r="E1011">
        <v>-1.1499999999999999</v>
      </c>
      <c r="F1011">
        <v>4471</v>
      </c>
      <c r="G1011" t="s">
        <v>5773</v>
      </c>
      <c r="H1011">
        <v>59736.29</v>
      </c>
      <c r="I1011">
        <v>219.33</v>
      </c>
      <c r="J1011" t="s">
        <v>120</v>
      </c>
      <c r="K1011" t="s">
        <v>5774</v>
      </c>
      <c r="L1011">
        <v>2.02</v>
      </c>
      <c r="M1011">
        <v>15.91</v>
      </c>
      <c r="N1011">
        <v>0.71</v>
      </c>
      <c r="O1011">
        <v>1.0900000000000001</v>
      </c>
      <c r="P1011">
        <v>16.75</v>
      </c>
      <c r="Q1011">
        <v>-4.53</v>
      </c>
      <c r="R1011">
        <v>15.82</v>
      </c>
      <c r="S1011">
        <v>16.38</v>
      </c>
      <c r="T1011">
        <v>369035</v>
      </c>
      <c r="U1011">
        <v>15.91</v>
      </c>
      <c r="V1011">
        <v>16.57</v>
      </c>
      <c r="W1011">
        <v>59.9</v>
      </c>
      <c r="X1011" t="s">
        <v>584</v>
      </c>
      <c r="Y1011" t="s">
        <v>585</v>
      </c>
      <c r="Z1011">
        <v>5.61</v>
      </c>
      <c r="AA1011">
        <v>16.190000000000001</v>
      </c>
      <c r="AB1011">
        <v>200650</v>
      </c>
      <c r="AC1011">
        <v>168385</v>
      </c>
      <c r="AD1011">
        <v>1.19</v>
      </c>
      <c r="AE1011">
        <v>247</v>
      </c>
      <c r="AF1011">
        <v>269</v>
      </c>
      <c r="AG1011" t="s">
        <v>120</v>
      </c>
      <c r="AH1011">
        <v>0.01</v>
      </c>
      <c r="AI1011" t="s">
        <v>120</v>
      </c>
      <c r="AJ1011">
        <v>18.27</v>
      </c>
      <c r="AK1011" t="s">
        <v>5775</v>
      </c>
      <c r="AL1011">
        <v>-2.0699999999999998</v>
      </c>
      <c r="AM1011">
        <v>4473</v>
      </c>
      <c r="AN1011">
        <v>83</v>
      </c>
      <c r="AO1011">
        <v>5.0000000000000001E-4</v>
      </c>
      <c r="AP1011">
        <v>-1</v>
      </c>
      <c r="AQ1011">
        <v>0.3</v>
      </c>
      <c r="AR1011">
        <v>-5.97</v>
      </c>
      <c r="AS1011">
        <v>5.93</v>
      </c>
      <c r="AT1011">
        <v>-33.21</v>
      </c>
      <c r="AU1011">
        <v>-45.77</v>
      </c>
      <c r="AV1011">
        <v>2</v>
      </c>
      <c r="AW1011">
        <v>3.19</v>
      </c>
      <c r="AX1011">
        <v>59.6</v>
      </c>
      <c r="AY1011">
        <v>60.02</v>
      </c>
      <c r="AZ1011">
        <v>20.76</v>
      </c>
      <c r="BA1011">
        <v>0.99</v>
      </c>
      <c r="BB1011" t="s">
        <v>143</v>
      </c>
      <c r="BF1011">
        <v>-2.31</v>
      </c>
      <c r="BG1011">
        <v>-2.87</v>
      </c>
      <c r="BH1011">
        <v>-5.01</v>
      </c>
      <c r="BI1011">
        <v>0.56999999999999995</v>
      </c>
      <c r="BJ1011">
        <v>20210914</v>
      </c>
      <c r="BK1011">
        <v>20111028</v>
      </c>
      <c r="BL1011">
        <v>19.399999999999999</v>
      </c>
      <c r="BM1011" t="s">
        <v>120</v>
      </c>
      <c r="BN1011" t="s">
        <v>120</v>
      </c>
      <c r="BO1011">
        <v>167.07</v>
      </c>
      <c r="BP1011">
        <v>15.9</v>
      </c>
      <c r="BQ1011">
        <v>104.58</v>
      </c>
      <c r="BR1011">
        <v>3.31</v>
      </c>
      <c r="BS1011">
        <v>35.42</v>
      </c>
      <c r="BT1011">
        <v>70.64</v>
      </c>
      <c r="BU1011">
        <v>3.79</v>
      </c>
      <c r="BV1011">
        <v>2.2200000000000002</v>
      </c>
      <c r="BW1011">
        <v>36.64</v>
      </c>
      <c r="BX1011">
        <v>32.58</v>
      </c>
      <c r="BY1011">
        <v>7.95</v>
      </c>
      <c r="BZ1011">
        <v>14.36</v>
      </c>
      <c r="CA1011">
        <v>0.38</v>
      </c>
      <c r="CB1011">
        <v>17.23</v>
      </c>
      <c r="CC1011">
        <v>42.07</v>
      </c>
      <c r="CD1011">
        <v>19.010000000000002</v>
      </c>
      <c r="CE1011">
        <v>2.64</v>
      </c>
      <c r="CF1011">
        <v>1.97</v>
      </c>
      <c r="CG1011">
        <v>2.62</v>
      </c>
      <c r="CH1011">
        <v>1.85</v>
      </c>
      <c r="CI1011">
        <v>2.58</v>
      </c>
      <c r="CJ1011">
        <v>-0.66</v>
      </c>
      <c r="CK1011">
        <v>0.38</v>
      </c>
      <c r="CL1011">
        <v>67.3</v>
      </c>
      <c r="CM1011">
        <v>3.26</v>
      </c>
      <c r="CN1011">
        <v>3.59</v>
      </c>
      <c r="CO1011">
        <v>156276</v>
      </c>
      <c r="CP1011">
        <v>7399</v>
      </c>
      <c r="CQ1011" t="s">
        <v>5776</v>
      </c>
      <c r="CR1011">
        <v>-79.72</v>
      </c>
      <c r="CS1011">
        <v>-18.22</v>
      </c>
      <c r="CT1011">
        <v>2.95</v>
      </c>
      <c r="CU1011">
        <v>94.78</v>
      </c>
      <c r="CV1011">
        <v>7.34</v>
      </c>
      <c r="CW1011">
        <v>0.96</v>
      </c>
      <c r="CX1011" t="s">
        <v>986</v>
      </c>
      <c r="CY1011">
        <v>5.39</v>
      </c>
      <c r="CZ1011">
        <v>0</v>
      </c>
      <c r="DA1011">
        <v>0.89</v>
      </c>
      <c r="DB1011">
        <v>3.47</v>
      </c>
      <c r="DC1011">
        <v>0.17</v>
      </c>
      <c r="DD1011">
        <v>62.6</v>
      </c>
      <c r="DE1011" t="s">
        <v>3782</v>
      </c>
      <c r="DF1011">
        <v>54.82</v>
      </c>
      <c r="DG1011">
        <v>6.28</v>
      </c>
      <c r="DH1011">
        <v>6.12</v>
      </c>
      <c r="DI1011">
        <v>8.42</v>
      </c>
      <c r="DJ1011">
        <v>5665</v>
      </c>
      <c r="DK1011">
        <v>2624</v>
      </c>
      <c r="DL1011" t="s">
        <v>120</v>
      </c>
      <c r="DM1011" t="s">
        <v>120</v>
      </c>
      <c r="DN1011" t="s">
        <v>120</v>
      </c>
    </row>
    <row r="1012" spans="1:118">
      <c r="A1012" t="str">
        <f>"002625"</f>
        <v>002625</v>
      </c>
      <c r="B1012" t="s">
        <v>5777</v>
      </c>
      <c r="C1012">
        <v>-6.94</v>
      </c>
      <c r="D1012">
        <v>0</v>
      </c>
      <c r="E1012">
        <v>-1.27</v>
      </c>
      <c r="F1012">
        <v>8297</v>
      </c>
      <c r="G1012" t="s">
        <v>5778</v>
      </c>
      <c r="H1012">
        <v>120616.23</v>
      </c>
      <c r="I1012">
        <v>672</v>
      </c>
      <c r="J1012" t="s">
        <v>120</v>
      </c>
      <c r="K1012" t="s">
        <v>5779</v>
      </c>
      <c r="L1012">
        <v>3.44</v>
      </c>
      <c r="M1012">
        <v>22.8</v>
      </c>
      <c r="N1012">
        <v>1.17</v>
      </c>
      <c r="O1012">
        <v>-0.61</v>
      </c>
      <c r="P1012">
        <v>24.35</v>
      </c>
      <c r="Q1012">
        <v>-6.94</v>
      </c>
      <c r="R1012">
        <v>22.8</v>
      </c>
      <c r="S1012">
        <v>24.19</v>
      </c>
      <c r="T1012">
        <v>511923</v>
      </c>
      <c r="U1012">
        <v>22.81</v>
      </c>
      <c r="V1012">
        <v>24.5</v>
      </c>
      <c r="W1012">
        <v>266.51</v>
      </c>
      <c r="X1012" t="s">
        <v>1621</v>
      </c>
      <c r="Y1012" t="s">
        <v>123</v>
      </c>
      <c r="Z1012">
        <v>6.33</v>
      </c>
      <c r="AA1012">
        <v>23.56</v>
      </c>
      <c r="AB1012">
        <v>304679</v>
      </c>
      <c r="AC1012">
        <v>207244</v>
      </c>
      <c r="AD1012">
        <v>1.47</v>
      </c>
      <c r="AE1012">
        <v>1394</v>
      </c>
      <c r="AF1012">
        <v>295</v>
      </c>
      <c r="AG1012" t="s">
        <v>120</v>
      </c>
      <c r="AH1012">
        <v>0.02</v>
      </c>
      <c r="AI1012" t="s">
        <v>120</v>
      </c>
      <c r="AJ1012">
        <v>14.88</v>
      </c>
      <c r="AK1012" t="s">
        <v>5780</v>
      </c>
      <c r="AL1012">
        <v>-5.03</v>
      </c>
      <c r="AM1012">
        <v>4595</v>
      </c>
      <c r="AN1012">
        <v>111</v>
      </c>
      <c r="AO1012">
        <v>6.9999999999999999E-4</v>
      </c>
      <c r="AP1012">
        <v>-1</v>
      </c>
      <c r="AQ1012">
        <v>3.86</v>
      </c>
      <c r="AR1012">
        <v>-4.5199999999999996</v>
      </c>
      <c r="AS1012">
        <v>-2.27</v>
      </c>
      <c r="AT1012">
        <v>5.56</v>
      </c>
      <c r="AU1012">
        <v>2.4700000000000002</v>
      </c>
      <c r="AV1012">
        <v>7</v>
      </c>
      <c r="AW1012">
        <v>4.12</v>
      </c>
      <c r="AX1012">
        <v>57.72</v>
      </c>
      <c r="AY1012">
        <v>285.79000000000002</v>
      </c>
      <c r="AZ1012">
        <v>323.51</v>
      </c>
      <c r="BA1012">
        <v>0.67</v>
      </c>
      <c r="BB1012" t="s">
        <v>143</v>
      </c>
      <c r="BF1012">
        <v>-3.83</v>
      </c>
      <c r="BG1012">
        <v>-5.75</v>
      </c>
      <c r="BH1012">
        <v>-6.37</v>
      </c>
      <c r="BI1012">
        <v>0</v>
      </c>
      <c r="BJ1012">
        <v>20210823</v>
      </c>
      <c r="BK1012">
        <v>20111103</v>
      </c>
      <c r="BL1012">
        <v>21.55</v>
      </c>
      <c r="BM1012" t="s">
        <v>120</v>
      </c>
      <c r="BN1012" t="s">
        <v>120</v>
      </c>
      <c r="BO1012">
        <v>84.99</v>
      </c>
      <c r="BP1012">
        <v>22.8</v>
      </c>
      <c r="BQ1012">
        <v>79.64</v>
      </c>
      <c r="BR1012">
        <v>-0.05</v>
      </c>
      <c r="BS1012">
        <v>6.36</v>
      </c>
      <c r="BT1012">
        <v>68.66</v>
      </c>
      <c r="BU1012">
        <v>5.47</v>
      </c>
      <c r="BV1012">
        <v>2.5499999999999998</v>
      </c>
      <c r="BW1012">
        <v>3.5</v>
      </c>
      <c r="BX1012">
        <v>52.3</v>
      </c>
      <c r="BY1012">
        <v>2.94</v>
      </c>
      <c r="BZ1012">
        <v>5.08</v>
      </c>
      <c r="CA1012" t="s">
        <v>120</v>
      </c>
      <c r="CB1012">
        <v>50.43</v>
      </c>
      <c r="CC1012">
        <v>2.74</v>
      </c>
      <c r="CD1012">
        <v>1.56</v>
      </c>
      <c r="CE1012">
        <v>1.1499999999999999</v>
      </c>
      <c r="CF1012">
        <v>0.03</v>
      </c>
      <c r="CG1012">
        <v>1.1499999999999999</v>
      </c>
      <c r="CH1012">
        <v>0.92</v>
      </c>
      <c r="CI1012">
        <v>0.92</v>
      </c>
      <c r="CJ1012">
        <v>-1.7</v>
      </c>
      <c r="CK1012">
        <v>0.79</v>
      </c>
      <c r="CL1012">
        <v>7.24</v>
      </c>
      <c r="CM1012">
        <v>-0.6</v>
      </c>
      <c r="CN1012">
        <v>-10.93</v>
      </c>
      <c r="CO1012">
        <v>105163</v>
      </c>
      <c r="CP1012">
        <v>11825</v>
      </c>
      <c r="CQ1012" t="s">
        <v>5781</v>
      </c>
      <c r="CR1012">
        <v>30.49</v>
      </c>
      <c r="CS1012">
        <v>21.48</v>
      </c>
      <c r="CT1012">
        <v>6.17</v>
      </c>
      <c r="CU1012">
        <v>-817.21</v>
      </c>
      <c r="CV1012">
        <v>179.33</v>
      </c>
      <c r="CW1012">
        <v>0</v>
      </c>
      <c r="CX1012" t="s">
        <v>145</v>
      </c>
      <c r="CY1012">
        <v>3.7</v>
      </c>
      <c r="CZ1012">
        <v>0</v>
      </c>
      <c r="DA1012">
        <v>2.34</v>
      </c>
      <c r="DB1012">
        <v>0.34</v>
      </c>
      <c r="DC1012">
        <v>-0.03</v>
      </c>
      <c r="DD1012">
        <v>93.7</v>
      </c>
      <c r="DE1012" t="s">
        <v>5141</v>
      </c>
      <c r="DF1012">
        <v>43.22</v>
      </c>
      <c r="DG1012">
        <v>41.83</v>
      </c>
      <c r="DH1012">
        <v>33.64</v>
      </c>
      <c r="DI1012">
        <v>0.32</v>
      </c>
      <c r="DJ1012">
        <v>1335</v>
      </c>
      <c r="DK1012">
        <v>2625</v>
      </c>
      <c r="DL1012" t="s">
        <v>120</v>
      </c>
      <c r="DM1012" t="s">
        <v>120</v>
      </c>
      <c r="DN1012" t="s">
        <v>120</v>
      </c>
    </row>
    <row r="1013" spans="1:118">
      <c r="A1013" t="str">
        <f>"002626"</f>
        <v>002626</v>
      </c>
      <c r="B1013" t="s">
        <v>5782</v>
      </c>
      <c r="C1013">
        <v>2.12</v>
      </c>
      <c r="D1013">
        <v>0</v>
      </c>
      <c r="E1013">
        <v>0.32</v>
      </c>
      <c r="F1013">
        <v>502</v>
      </c>
      <c r="G1013" t="s">
        <v>5783</v>
      </c>
      <c r="H1013">
        <v>17600.29</v>
      </c>
      <c r="I1013">
        <v>21.2</v>
      </c>
      <c r="J1013" t="s">
        <v>120</v>
      </c>
      <c r="K1013" t="s">
        <v>5784</v>
      </c>
      <c r="L1013">
        <v>0.9</v>
      </c>
      <c r="M1013">
        <v>31.73</v>
      </c>
      <c r="N1013">
        <v>1.51</v>
      </c>
      <c r="O1013">
        <v>4.47</v>
      </c>
      <c r="P1013">
        <v>32.46</v>
      </c>
      <c r="Q1013">
        <v>-0.26</v>
      </c>
      <c r="R1013">
        <v>30.99</v>
      </c>
      <c r="S1013">
        <v>31.17</v>
      </c>
      <c r="T1013">
        <v>55276</v>
      </c>
      <c r="U1013">
        <v>31.74</v>
      </c>
      <c r="V1013">
        <v>31.07</v>
      </c>
      <c r="W1013">
        <v>19.3</v>
      </c>
      <c r="X1013" t="s">
        <v>847</v>
      </c>
      <c r="Y1013" t="s">
        <v>937</v>
      </c>
      <c r="Z1013">
        <v>4.7300000000000004</v>
      </c>
      <c r="AA1013">
        <v>31.84</v>
      </c>
      <c r="AB1013">
        <v>26779</v>
      </c>
      <c r="AC1013">
        <v>28497</v>
      </c>
      <c r="AD1013">
        <v>0.94</v>
      </c>
      <c r="AE1013">
        <v>54</v>
      </c>
      <c r="AF1013">
        <v>29</v>
      </c>
      <c r="AG1013" t="s">
        <v>120</v>
      </c>
      <c r="AH1013">
        <v>0</v>
      </c>
      <c r="AI1013" t="s">
        <v>120</v>
      </c>
      <c r="AJ1013">
        <v>6.16</v>
      </c>
      <c r="AK1013" t="s">
        <v>5785</v>
      </c>
      <c r="AL1013">
        <v>4.04</v>
      </c>
      <c r="AM1013">
        <v>2562</v>
      </c>
      <c r="AN1013">
        <v>22</v>
      </c>
      <c r="AO1013">
        <v>4.0000000000000002E-4</v>
      </c>
      <c r="AP1013">
        <v>1</v>
      </c>
      <c r="AQ1013">
        <v>-1.74</v>
      </c>
      <c r="AR1013">
        <v>-1.34</v>
      </c>
      <c r="AS1013">
        <v>-6.21</v>
      </c>
      <c r="AT1013">
        <v>-26.94</v>
      </c>
      <c r="AU1013">
        <v>-6.87</v>
      </c>
      <c r="AV1013">
        <v>2</v>
      </c>
      <c r="AW1013">
        <v>2.02</v>
      </c>
      <c r="AX1013">
        <v>44.32</v>
      </c>
      <c r="AY1013">
        <v>19.72</v>
      </c>
      <c r="AZ1013">
        <v>19.97</v>
      </c>
      <c r="BA1013">
        <v>0.94</v>
      </c>
      <c r="BB1013" t="s">
        <v>134</v>
      </c>
      <c r="BF1013">
        <v>2.48</v>
      </c>
      <c r="BG1013">
        <v>1.8</v>
      </c>
      <c r="BH1013">
        <v>-2.25</v>
      </c>
      <c r="BI1013">
        <v>2.39</v>
      </c>
      <c r="BJ1013">
        <v>20210826</v>
      </c>
      <c r="BK1013">
        <v>20111028</v>
      </c>
      <c r="BL1013">
        <v>6.16</v>
      </c>
      <c r="BM1013" t="s">
        <v>120</v>
      </c>
      <c r="BN1013" t="s">
        <v>120</v>
      </c>
      <c r="BO1013">
        <v>54.79</v>
      </c>
      <c r="BP1013">
        <v>31.73</v>
      </c>
      <c r="BQ1013">
        <v>35.840000000000003</v>
      </c>
      <c r="BR1013">
        <v>0.61</v>
      </c>
      <c r="BS1013">
        <v>33.479999999999997</v>
      </c>
      <c r="BT1013">
        <v>20.29</v>
      </c>
      <c r="BU1013">
        <v>6.02</v>
      </c>
      <c r="BV1013">
        <v>3.74</v>
      </c>
      <c r="BW1013">
        <v>7.99</v>
      </c>
      <c r="BX1013">
        <v>6.2</v>
      </c>
      <c r="BY1013">
        <v>8.18</v>
      </c>
      <c r="BZ1013">
        <v>4.38</v>
      </c>
      <c r="CA1013" t="s">
        <v>120</v>
      </c>
      <c r="CB1013">
        <v>8.85</v>
      </c>
      <c r="CC1013">
        <v>17.77</v>
      </c>
      <c r="CD1013">
        <v>8.3800000000000008</v>
      </c>
      <c r="CE1013">
        <v>6.02</v>
      </c>
      <c r="CF1013">
        <v>0.02</v>
      </c>
      <c r="CG1013">
        <v>5.95</v>
      </c>
      <c r="CH1013">
        <v>5.03</v>
      </c>
      <c r="CI1013">
        <v>5.07</v>
      </c>
      <c r="CJ1013">
        <v>0.66</v>
      </c>
      <c r="CK1013">
        <v>4.79</v>
      </c>
      <c r="CL1013">
        <v>18.04</v>
      </c>
      <c r="CM1013">
        <v>4.09</v>
      </c>
      <c r="CN1013">
        <v>-1.55</v>
      </c>
      <c r="CO1013">
        <v>42575</v>
      </c>
      <c r="CP1013">
        <v>6417</v>
      </c>
      <c r="CQ1013" t="s">
        <v>5413</v>
      </c>
      <c r="CR1013">
        <v>2.4300000000000002</v>
      </c>
      <c r="CS1013">
        <v>10.48</v>
      </c>
      <c r="CT1013">
        <v>5.46</v>
      </c>
      <c r="CU1013">
        <v>47.79</v>
      </c>
      <c r="CV1013">
        <v>11.01</v>
      </c>
      <c r="CW1013">
        <v>1.91</v>
      </c>
      <c r="CX1013" t="s">
        <v>655</v>
      </c>
      <c r="CY1013">
        <v>5.81</v>
      </c>
      <c r="CZ1013">
        <v>0</v>
      </c>
      <c r="DA1013">
        <v>1.44</v>
      </c>
      <c r="DB1013">
        <v>2.93</v>
      </c>
      <c r="DC1013">
        <v>0.66</v>
      </c>
      <c r="DD1013">
        <v>65.41</v>
      </c>
      <c r="DE1013" t="s">
        <v>5786</v>
      </c>
      <c r="DF1013">
        <v>52.84</v>
      </c>
      <c r="DG1013">
        <v>33.9</v>
      </c>
      <c r="DH1013">
        <v>28.52</v>
      </c>
      <c r="DI1013">
        <v>0.35</v>
      </c>
      <c r="DJ1013">
        <v>2003</v>
      </c>
      <c r="DK1013">
        <v>2626</v>
      </c>
      <c r="DL1013" t="s">
        <v>120</v>
      </c>
      <c r="DM1013" t="s">
        <v>120</v>
      </c>
      <c r="DN1013" t="s">
        <v>120</v>
      </c>
    </row>
    <row r="1014" spans="1:118">
      <c r="A1014" t="str">
        <f>"002627"</f>
        <v>002627</v>
      </c>
      <c r="B1014" t="s">
        <v>5787</v>
      </c>
      <c r="C1014">
        <v>0</v>
      </c>
      <c r="D1014">
        <v>0.87</v>
      </c>
      <c r="E1014">
        <v>0</v>
      </c>
      <c r="F1014">
        <v>3047</v>
      </c>
      <c r="G1014" t="s">
        <v>5788</v>
      </c>
      <c r="H1014">
        <v>2158.98</v>
      </c>
      <c r="I1014">
        <v>1.45</v>
      </c>
      <c r="J1014" t="s">
        <v>120</v>
      </c>
      <c r="K1014" t="s">
        <v>5139</v>
      </c>
      <c r="L1014">
        <v>0.7</v>
      </c>
      <c r="M1014">
        <v>5.8</v>
      </c>
      <c r="N1014">
        <v>0.4</v>
      </c>
      <c r="O1014">
        <v>1.03</v>
      </c>
      <c r="P1014">
        <v>5.86</v>
      </c>
      <c r="Q1014">
        <v>-1.21</v>
      </c>
      <c r="R1014">
        <v>5.73</v>
      </c>
      <c r="S1014">
        <v>5.8</v>
      </c>
      <c r="T1014">
        <v>37319</v>
      </c>
      <c r="U1014">
        <v>5.81</v>
      </c>
      <c r="V1014">
        <v>5.8</v>
      </c>
      <c r="W1014">
        <v>42.87</v>
      </c>
      <c r="X1014" t="s">
        <v>5789</v>
      </c>
      <c r="Y1014" t="s">
        <v>763</v>
      </c>
      <c r="Z1014">
        <v>2.2400000000000002</v>
      </c>
      <c r="AA1014">
        <v>5.79</v>
      </c>
      <c r="AB1014">
        <v>22305</v>
      </c>
      <c r="AC1014">
        <v>15014</v>
      </c>
      <c r="AD1014">
        <v>1.49</v>
      </c>
      <c r="AE1014">
        <v>10</v>
      </c>
      <c r="AF1014">
        <v>626</v>
      </c>
      <c r="AG1014" t="s">
        <v>120</v>
      </c>
      <c r="AH1014">
        <v>0</v>
      </c>
      <c r="AI1014" t="s">
        <v>120</v>
      </c>
      <c r="AJ1014">
        <v>5.35</v>
      </c>
      <c r="AK1014" t="s">
        <v>5790</v>
      </c>
      <c r="AL1014">
        <v>1.91</v>
      </c>
      <c r="AM1014">
        <v>835</v>
      </c>
      <c r="AN1014">
        <v>45</v>
      </c>
      <c r="AO1014">
        <v>8.0000000000000004E-4</v>
      </c>
      <c r="AP1014">
        <v>0</v>
      </c>
      <c r="AQ1014">
        <v>-0.85</v>
      </c>
      <c r="AR1014">
        <v>-2.52</v>
      </c>
      <c r="AS1014">
        <v>0.35</v>
      </c>
      <c r="AT1014">
        <v>-2.52</v>
      </c>
      <c r="AU1014">
        <v>10.48</v>
      </c>
      <c r="AV1014">
        <v>0</v>
      </c>
      <c r="AW1014">
        <v>1.1000000000000001</v>
      </c>
      <c r="AX1014">
        <v>45.76</v>
      </c>
      <c r="AY1014">
        <v>33.26</v>
      </c>
      <c r="AZ1014">
        <v>88.65</v>
      </c>
      <c r="BA1014">
        <v>0.23</v>
      </c>
      <c r="BB1014" t="s">
        <v>143</v>
      </c>
      <c r="BF1014">
        <v>-0.26</v>
      </c>
      <c r="BG1014">
        <v>0</v>
      </c>
      <c r="BH1014">
        <v>-1.02</v>
      </c>
      <c r="BI1014">
        <v>1.22</v>
      </c>
      <c r="BJ1014">
        <v>20210823</v>
      </c>
      <c r="BK1014">
        <v>20111103</v>
      </c>
      <c r="BL1014">
        <v>7.38</v>
      </c>
      <c r="BM1014" t="s">
        <v>120</v>
      </c>
      <c r="BN1014" t="s">
        <v>120</v>
      </c>
      <c r="BO1014">
        <v>39.39</v>
      </c>
      <c r="BP1014">
        <v>5.8</v>
      </c>
      <c r="BQ1014">
        <v>22.45</v>
      </c>
      <c r="BR1014">
        <v>1.37</v>
      </c>
      <c r="BS1014">
        <v>39.520000000000003</v>
      </c>
      <c r="BT1014">
        <v>18.34</v>
      </c>
      <c r="BU1014">
        <v>7.84</v>
      </c>
      <c r="BV1014">
        <v>4.28</v>
      </c>
      <c r="BW1014">
        <v>5.79</v>
      </c>
      <c r="BX1014">
        <v>6.97</v>
      </c>
      <c r="BY1014">
        <v>1.54</v>
      </c>
      <c r="BZ1014">
        <v>0.47</v>
      </c>
      <c r="CA1014">
        <v>0.43</v>
      </c>
      <c r="CB1014">
        <v>10.02</v>
      </c>
      <c r="CC1014">
        <v>11.54</v>
      </c>
      <c r="CD1014">
        <v>10.07</v>
      </c>
      <c r="CE1014">
        <v>0.68</v>
      </c>
      <c r="CF1014">
        <v>-0.01</v>
      </c>
      <c r="CG1014">
        <v>0.69</v>
      </c>
      <c r="CH1014">
        <v>0.52</v>
      </c>
      <c r="CI1014">
        <v>0.5</v>
      </c>
      <c r="CJ1014">
        <v>0</v>
      </c>
      <c r="CK1014">
        <v>0.43</v>
      </c>
      <c r="CL1014">
        <v>5.78</v>
      </c>
      <c r="CM1014">
        <v>5.55</v>
      </c>
      <c r="CN1014">
        <v>0.46</v>
      </c>
      <c r="CO1014">
        <v>10028</v>
      </c>
      <c r="CP1014">
        <v>33681</v>
      </c>
      <c r="CQ1014" t="s">
        <v>5791</v>
      </c>
      <c r="CR1014">
        <v>263.82</v>
      </c>
      <c r="CS1014">
        <v>52.22</v>
      </c>
      <c r="CT1014">
        <v>1.47</v>
      </c>
      <c r="CU1014">
        <v>7.71</v>
      </c>
      <c r="CV1014">
        <v>3.71</v>
      </c>
      <c r="CW1014">
        <v>0.66</v>
      </c>
      <c r="CX1014" t="s">
        <v>329</v>
      </c>
      <c r="CY1014">
        <v>3.95</v>
      </c>
      <c r="CZ1014">
        <v>3.95</v>
      </c>
      <c r="DA1014">
        <v>1.36</v>
      </c>
      <c r="DB1014">
        <v>0.78</v>
      </c>
      <c r="DC1014">
        <v>0.75</v>
      </c>
      <c r="DD1014">
        <v>57</v>
      </c>
      <c r="DE1014" t="s">
        <v>5792</v>
      </c>
      <c r="DF1014">
        <v>12.8</v>
      </c>
      <c r="DG1014">
        <v>5.89</v>
      </c>
      <c r="DH1014">
        <v>4.33</v>
      </c>
      <c r="DI1014" t="s">
        <v>120</v>
      </c>
      <c r="DJ1014">
        <v>2649</v>
      </c>
      <c r="DK1014">
        <v>2627</v>
      </c>
      <c r="DL1014" t="s">
        <v>120</v>
      </c>
      <c r="DM1014" t="s">
        <v>120</v>
      </c>
      <c r="DN1014" t="s">
        <v>120</v>
      </c>
    </row>
    <row r="1015" spans="1:118">
      <c r="A1015" t="str">
        <f>"002628"</f>
        <v>002628</v>
      </c>
      <c r="B1015" t="s">
        <v>5793</v>
      </c>
      <c r="C1015">
        <v>-1.45</v>
      </c>
      <c r="D1015">
        <v>0</v>
      </c>
      <c r="E1015">
        <v>0.28999999999999998</v>
      </c>
      <c r="F1015">
        <v>581</v>
      </c>
      <c r="G1015" t="s">
        <v>5794</v>
      </c>
      <c r="H1015">
        <v>3132.19</v>
      </c>
      <c r="I1015">
        <v>46.2</v>
      </c>
      <c r="J1015" t="s">
        <v>120</v>
      </c>
      <c r="K1015" t="s">
        <v>5795</v>
      </c>
      <c r="L1015">
        <v>1.23</v>
      </c>
      <c r="M1015">
        <v>3.39</v>
      </c>
      <c r="N1015">
        <v>0.79</v>
      </c>
      <c r="O1015">
        <v>0.87</v>
      </c>
      <c r="P1015">
        <v>3.47</v>
      </c>
      <c r="Q1015">
        <v>-2.0299999999999998</v>
      </c>
      <c r="R1015">
        <v>3.37</v>
      </c>
      <c r="S1015">
        <v>3.45</v>
      </c>
      <c r="T1015">
        <v>91651</v>
      </c>
      <c r="U1015">
        <v>3.39</v>
      </c>
      <c r="V1015">
        <v>3.44</v>
      </c>
      <c r="W1015">
        <v>21.79</v>
      </c>
      <c r="X1015" t="s">
        <v>175</v>
      </c>
      <c r="Y1015" t="s">
        <v>578</v>
      </c>
      <c r="Z1015">
        <v>2.91</v>
      </c>
      <c r="AA1015">
        <v>3.42</v>
      </c>
      <c r="AB1015">
        <v>61186</v>
      </c>
      <c r="AC1015">
        <v>30465</v>
      </c>
      <c r="AD1015">
        <v>2.0099999999999998</v>
      </c>
      <c r="AE1015">
        <v>4471</v>
      </c>
      <c r="AF1015">
        <v>109</v>
      </c>
      <c r="AG1015" t="s">
        <v>120</v>
      </c>
      <c r="AH1015">
        <v>0.03</v>
      </c>
      <c r="AI1015" t="s">
        <v>120</v>
      </c>
      <c r="AJ1015">
        <v>7.44</v>
      </c>
      <c r="AK1015" t="s">
        <v>2167</v>
      </c>
      <c r="AL1015">
        <v>0.46</v>
      </c>
      <c r="AM1015">
        <v>1422</v>
      </c>
      <c r="AN1015">
        <v>64</v>
      </c>
      <c r="AO1015">
        <v>8.9999999999999998E-4</v>
      </c>
      <c r="AP1015">
        <v>-1</v>
      </c>
      <c r="AQ1015">
        <v>0.28999999999999998</v>
      </c>
      <c r="AR1015">
        <v>-3.7</v>
      </c>
      <c r="AS1015">
        <v>2.1</v>
      </c>
      <c r="AT1015">
        <v>-1.45</v>
      </c>
      <c r="AU1015">
        <v>-8.8699999999999992</v>
      </c>
      <c r="AV1015">
        <v>0</v>
      </c>
      <c r="AW1015">
        <v>1.75</v>
      </c>
      <c r="AX1015">
        <v>68.94</v>
      </c>
      <c r="AY1015">
        <v>26.18</v>
      </c>
      <c r="AZ1015">
        <v>31.95</v>
      </c>
      <c r="BA1015">
        <v>0.25</v>
      </c>
      <c r="BB1015" t="s">
        <v>143</v>
      </c>
      <c r="BF1015">
        <v>-0.65</v>
      </c>
      <c r="BG1015">
        <v>-1.74</v>
      </c>
      <c r="BH1015">
        <v>-2.31</v>
      </c>
      <c r="BI1015">
        <v>0.59</v>
      </c>
      <c r="BJ1015">
        <v>20210821</v>
      </c>
      <c r="BK1015">
        <v>20111103</v>
      </c>
      <c r="BL1015">
        <v>7.59</v>
      </c>
      <c r="BM1015" t="s">
        <v>120</v>
      </c>
      <c r="BN1015" t="s">
        <v>120</v>
      </c>
      <c r="BO1015">
        <v>78.290000000000006</v>
      </c>
      <c r="BP1015">
        <v>3.38</v>
      </c>
      <c r="BQ1015">
        <v>29.62</v>
      </c>
      <c r="BR1015">
        <v>0.74</v>
      </c>
      <c r="BS1015">
        <v>61.22</v>
      </c>
      <c r="BT1015">
        <v>35.5</v>
      </c>
      <c r="BU1015">
        <v>0.44</v>
      </c>
      <c r="BV1015">
        <v>0.73</v>
      </c>
      <c r="BW1015">
        <v>24.81</v>
      </c>
      <c r="BX1015">
        <v>4.84</v>
      </c>
      <c r="BY1015">
        <v>0.48</v>
      </c>
      <c r="BZ1015">
        <v>7.91</v>
      </c>
      <c r="CA1015" t="s">
        <v>120</v>
      </c>
      <c r="CB1015">
        <v>9.1199999999999992</v>
      </c>
      <c r="CC1015">
        <v>8.83</v>
      </c>
      <c r="CD1015">
        <v>8.4600000000000009</v>
      </c>
      <c r="CE1015">
        <v>0.72</v>
      </c>
      <c r="CF1015">
        <v>0.89</v>
      </c>
      <c r="CG1015">
        <v>0.7</v>
      </c>
      <c r="CH1015">
        <v>0.57999999999999996</v>
      </c>
      <c r="CI1015">
        <v>0.59</v>
      </c>
      <c r="CJ1015">
        <v>-0.05</v>
      </c>
      <c r="CK1015">
        <v>0.85</v>
      </c>
      <c r="CL1015">
        <v>11.39</v>
      </c>
      <c r="CM1015">
        <v>-4.46</v>
      </c>
      <c r="CN1015">
        <v>-3.66</v>
      </c>
      <c r="CO1015">
        <v>39646</v>
      </c>
      <c r="CP1015">
        <v>13193</v>
      </c>
      <c r="CQ1015" t="s">
        <v>3511</v>
      </c>
      <c r="CR1015">
        <v>43.89</v>
      </c>
      <c r="CS1015">
        <v>-7.72</v>
      </c>
      <c r="CT1015">
        <v>0.87</v>
      </c>
      <c r="CU1015">
        <v>-5.77</v>
      </c>
      <c r="CV1015">
        <v>2.91</v>
      </c>
      <c r="CW1015">
        <v>0</v>
      </c>
      <c r="CX1015" t="s">
        <v>535</v>
      </c>
      <c r="CY1015">
        <v>3.88</v>
      </c>
      <c r="CZ1015">
        <v>3.88</v>
      </c>
      <c r="DA1015">
        <v>1.2</v>
      </c>
      <c r="DB1015">
        <v>1.5</v>
      </c>
      <c r="DC1015">
        <v>-0.59</v>
      </c>
      <c r="DD1015">
        <v>37.83</v>
      </c>
      <c r="DE1015" t="s">
        <v>3516</v>
      </c>
      <c r="DF1015">
        <v>4.1399999999999997</v>
      </c>
      <c r="DG1015">
        <v>8.16</v>
      </c>
      <c r="DH1015">
        <v>6.69</v>
      </c>
      <c r="DI1015">
        <v>0.02</v>
      </c>
      <c r="DJ1015">
        <v>699</v>
      </c>
      <c r="DK1015">
        <v>2628</v>
      </c>
      <c r="DL1015" t="s">
        <v>120</v>
      </c>
      <c r="DM1015" t="s">
        <v>120</v>
      </c>
      <c r="DN1015" t="s">
        <v>120</v>
      </c>
    </row>
    <row r="1016" spans="1:118">
      <c r="A1016" t="str">
        <f>"002630"</f>
        <v>002630</v>
      </c>
      <c r="B1016" t="s">
        <v>5796</v>
      </c>
      <c r="C1016">
        <v>-0.76</v>
      </c>
      <c r="D1016">
        <v>0</v>
      </c>
      <c r="E1016">
        <v>0.76</v>
      </c>
      <c r="F1016">
        <v>4266</v>
      </c>
      <c r="G1016" t="s">
        <v>3350</v>
      </c>
      <c r="H1016">
        <v>14281.83</v>
      </c>
      <c r="I1016">
        <v>109.3</v>
      </c>
      <c r="J1016" t="s">
        <v>120</v>
      </c>
      <c r="K1016" t="s">
        <v>5797</v>
      </c>
      <c r="L1016">
        <v>5.47</v>
      </c>
      <c r="M1016">
        <v>2.62</v>
      </c>
      <c r="N1016">
        <v>1.1200000000000001</v>
      </c>
      <c r="O1016">
        <v>5.68</v>
      </c>
      <c r="P1016">
        <v>2.79</v>
      </c>
      <c r="Q1016">
        <v>-1.1399999999999999</v>
      </c>
      <c r="R1016">
        <v>2.61</v>
      </c>
      <c r="S1016">
        <v>2.66</v>
      </c>
      <c r="T1016">
        <v>531396</v>
      </c>
      <c r="U1016">
        <v>2.63</v>
      </c>
      <c r="V1016">
        <v>2.64</v>
      </c>
      <c r="W1016" t="s">
        <v>120</v>
      </c>
      <c r="X1016" t="s">
        <v>675</v>
      </c>
      <c r="Y1016" t="s">
        <v>578</v>
      </c>
      <c r="Z1016">
        <v>6.82</v>
      </c>
      <c r="AA1016">
        <v>2.69</v>
      </c>
      <c r="AB1016">
        <v>291740</v>
      </c>
      <c r="AC1016">
        <v>239656</v>
      </c>
      <c r="AD1016">
        <v>1.22</v>
      </c>
      <c r="AE1016">
        <v>1007</v>
      </c>
      <c r="AF1016">
        <v>1636</v>
      </c>
      <c r="AG1016" t="s">
        <v>120</v>
      </c>
      <c r="AH1016">
        <v>0.05</v>
      </c>
      <c r="AI1016" t="s">
        <v>120</v>
      </c>
      <c r="AJ1016">
        <v>9.7100000000000009</v>
      </c>
      <c r="AK1016" t="s">
        <v>3777</v>
      </c>
      <c r="AL1016">
        <v>1.1599999999999999</v>
      </c>
      <c r="AM1016">
        <v>2778</v>
      </c>
      <c r="AN1016">
        <v>191</v>
      </c>
      <c r="AO1016">
        <v>2E-3</v>
      </c>
      <c r="AP1016">
        <v>-1</v>
      </c>
      <c r="AQ1016">
        <v>1.93</v>
      </c>
      <c r="AR1016">
        <v>-2.96</v>
      </c>
      <c r="AS1016">
        <v>3.15</v>
      </c>
      <c r="AT1016">
        <v>14.41</v>
      </c>
      <c r="AU1016">
        <v>0</v>
      </c>
      <c r="AV1016">
        <v>11</v>
      </c>
      <c r="AW1016">
        <v>5.97</v>
      </c>
      <c r="AX1016">
        <v>75.34</v>
      </c>
      <c r="AY1016" t="s">
        <v>120</v>
      </c>
      <c r="AZ1016" t="s">
        <v>120</v>
      </c>
      <c r="BA1016">
        <v>0.63</v>
      </c>
      <c r="BB1016" t="s">
        <v>143</v>
      </c>
      <c r="BF1016">
        <v>1.8</v>
      </c>
      <c r="BG1016">
        <v>-1.5</v>
      </c>
      <c r="BH1016">
        <v>-6.09</v>
      </c>
      <c r="BI1016">
        <v>0.38</v>
      </c>
      <c r="BJ1016">
        <v>20210826</v>
      </c>
      <c r="BK1016">
        <v>20111111</v>
      </c>
      <c r="BL1016">
        <v>11.81</v>
      </c>
      <c r="BM1016" t="s">
        <v>120</v>
      </c>
      <c r="BN1016" t="s">
        <v>120</v>
      </c>
      <c r="BO1016">
        <v>123.32</v>
      </c>
      <c r="BP1016">
        <v>2.62</v>
      </c>
      <c r="BQ1016">
        <v>23.44</v>
      </c>
      <c r="BR1016">
        <v>1.84</v>
      </c>
      <c r="BS1016">
        <v>79.5</v>
      </c>
      <c r="BT1016">
        <v>83.68</v>
      </c>
      <c r="BU1016">
        <v>7.78</v>
      </c>
      <c r="BV1016">
        <v>6.6</v>
      </c>
      <c r="BW1016">
        <v>71.45</v>
      </c>
      <c r="BX1016">
        <v>3.59</v>
      </c>
      <c r="BY1016">
        <v>7.41</v>
      </c>
      <c r="BZ1016">
        <v>15.07</v>
      </c>
      <c r="CA1016" t="s">
        <v>120</v>
      </c>
      <c r="CB1016">
        <v>9.2899999999999991</v>
      </c>
      <c r="CC1016">
        <v>6.29</v>
      </c>
      <c r="CD1016">
        <v>5.79</v>
      </c>
      <c r="CE1016">
        <v>-1.89</v>
      </c>
      <c r="CF1016">
        <v>0.23</v>
      </c>
      <c r="CG1016">
        <v>-1.89</v>
      </c>
      <c r="CH1016">
        <v>-1.59</v>
      </c>
      <c r="CI1016">
        <v>-1.58</v>
      </c>
      <c r="CJ1016">
        <v>-0.02</v>
      </c>
      <c r="CK1016">
        <v>-1.6</v>
      </c>
      <c r="CL1016">
        <v>1.85</v>
      </c>
      <c r="CM1016">
        <v>0.39</v>
      </c>
      <c r="CN1016">
        <v>-0.28000000000000003</v>
      </c>
      <c r="CO1016">
        <v>74500</v>
      </c>
      <c r="CP1016">
        <v>11941</v>
      </c>
      <c r="CQ1016" t="s">
        <v>5798</v>
      </c>
      <c r="CR1016">
        <v>-1299.42</v>
      </c>
      <c r="CS1016">
        <v>-46.07</v>
      </c>
      <c r="CT1016">
        <v>1.32</v>
      </c>
      <c r="CU1016">
        <v>78.849999999999994</v>
      </c>
      <c r="CV1016">
        <v>4.92</v>
      </c>
      <c r="CW1016">
        <v>0</v>
      </c>
      <c r="CX1016" t="s">
        <v>5380</v>
      </c>
      <c r="CY1016">
        <v>1.99</v>
      </c>
      <c r="CZ1016">
        <v>0</v>
      </c>
      <c r="DA1016">
        <v>0.79</v>
      </c>
      <c r="DB1016">
        <v>0.16</v>
      </c>
      <c r="DC1016">
        <v>0.03</v>
      </c>
      <c r="DD1016">
        <v>19.010000000000002</v>
      </c>
      <c r="DE1016" t="s">
        <v>5799</v>
      </c>
      <c r="DF1016">
        <v>7.88</v>
      </c>
      <c r="DG1016">
        <v>-30.01</v>
      </c>
      <c r="DH1016">
        <v>-25.14</v>
      </c>
      <c r="DI1016">
        <v>0.36</v>
      </c>
      <c r="DJ1016">
        <v>1247</v>
      </c>
      <c r="DK1016">
        <v>2630</v>
      </c>
      <c r="DL1016" t="s">
        <v>120</v>
      </c>
      <c r="DM1016" t="s">
        <v>120</v>
      </c>
      <c r="DN1016" t="s">
        <v>120</v>
      </c>
    </row>
    <row r="1017" spans="1:118">
      <c r="A1017" t="str">
        <f>"002631"</f>
        <v>002631</v>
      </c>
      <c r="B1017" t="s">
        <v>5800</v>
      </c>
      <c r="C1017">
        <v>-5.62</v>
      </c>
      <c r="D1017">
        <v>-0.1</v>
      </c>
      <c r="E1017">
        <v>-0.97</v>
      </c>
      <c r="F1017">
        <v>1719</v>
      </c>
      <c r="G1017" t="s">
        <v>5801</v>
      </c>
      <c r="H1017">
        <v>24069.15</v>
      </c>
      <c r="I1017">
        <v>221.82</v>
      </c>
      <c r="J1017" t="s">
        <v>120</v>
      </c>
      <c r="K1017" t="s">
        <v>5802</v>
      </c>
      <c r="L1017">
        <v>4.09</v>
      </c>
      <c r="M1017">
        <v>8.74</v>
      </c>
      <c r="N1017">
        <v>1.04</v>
      </c>
      <c r="O1017">
        <v>1.19</v>
      </c>
      <c r="P1017">
        <v>9.3699999999999992</v>
      </c>
      <c r="Q1017">
        <v>-6.26</v>
      </c>
      <c r="R1017">
        <v>8.68</v>
      </c>
      <c r="S1017">
        <v>9.17</v>
      </c>
      <c r="T1017">
        <v>267596</v>
      </c>
      <c r="U1017">
        <v>8.75</v>
      </c>
      <c r="V1017">
        <v>9.26</v>
      </c>
      <c r="W1017">
        <v>83.76</v>
      </c>
      <c r="X1017" t="s">
        <v>2409</v>
      </c>
      <c r="Y1017" t="s">
        <v>319</v>
      </c>
      <c r="Z1017">
        <v>7.45</v>
      </c>
      <c r="AA1017">
        <v>8.99</v>
      </c>
      <c r="AB1017">
        <v>153944</v>
      </c>
      <c r="AC1017">
        <v>113652</v>
      </c>
      <c r="AD1017">
        <v>1.35</v>
      </c>
      <c r="AE1017">
        <v>3910</v>
      </c>
      <c r="AF1017">
        <v>738</v>
      </c>
      <c r="AG1017" t="s">
        <v>120</v>
      </c>
      <c r="AH1017">
        <v>0.1</v>
      </c>
      <c r="AI1017" t="s">
        <v>120</v>
      </c>
      <c r="AJ1017">
        <v>6.55</v>
      </c>
      <c r="AK1017" t="s">
        <v>5803</v>
      </c>
      <c r="AL1017">
        <v>-3.7</v>
      </c>
      <c r="AM1017">
        <v>3767</v>
      </c>
      <c r="AN1017">
        <v>71</v>
      </c>
      <c r="AO1017">
        <v>1.1000000000000001E-3</v>
      </c>
      <c r="AP1017">
        <v>-1</v>
      </c>
      <c r="AQ1017">
        <v>4.16</v>
      </c>
      <c r="AR1017">
        <v>-2.35</v>
      </c>
      <c r="AS1017">
        <v>27.41</v>
      </c>
      <c r="AT1017">
        <v>34.67</v>
      </c>
      <c r="AU1017">
        <v>17.63</v>
      </c>
      <c r="AV1017">
        <v>5</v>
      </c>
      <c r="AW1017">
        <v>11.24</v>
      </c>
      <c r="AX1017">
        <v>35.76</v>
      </c>
      <c r="AY1017">
        <v>1776.59</v>
      </c>
      <c r="AZ1017" t="s">
        <v>120</v>
      </c>
      <c r="BA1017">
        <v>0.47</v>
      </c>
      <c r="BB1017" t="s">
        <v>168</v>
      </c>
      <c r="BF1017">
        <v>-2.87</v>
      </c>
      <c r="BG1017">
        <v>-4.6900000000000004</v>
      </c>
      <c r="BH1017">
        <v>-6.72</v>
      </c>
      <c r="BI1017">
        <v>0.69</v>
      </c>
      <c r="BJ1017">
        <v>20210913</v>
      </c>
      <c r="BK1017">
        <v>20111111</v>
      </c>
      <c r="BL1017">
        <v>6.66</v>
      </c>
      <c r="BM1017" t="s">
        <v>120</v>
      </c>
      <c r="BN1017" t="s">
        <v>120</v>
      </c>
      <c r="BO1017">
        <v>38.76</v>
      </c>
      <c r="BP1017">
        <v>8.74</v>
      </c>
      <c r="BQ1017">
        <v>17.940000000000001</v>
      </c>
      <c r="BR1017">
        <v>0.27</v>
      </c>
      <c r="BS1017">
        <v>53.02</v>
      </c>
      <c r="BT1017">
        <v>25.39</v>
      </c>
      <c r="BU1017">
        <v>4.4000000000000004</v>
      </c>
      <c r="BV1017">
        <v>1.34</v>
      </c>
      <c r="BW1017">
        <v>13.25</v>
      </c>
      <c r="BX1017">
        <v>6.03</v>
      </c>
      <c r="BY1017">
        <v>10.56</v>
      </c>
      <c r="BZ1017">
        <v>0.8</v>
      </c>
      <c r="CA1017" t="s">
        <v>120</v>
      </c>
      <c r="CB1017">
        <v>2.14</v>
      </c>
      <c r="CC1017">
        <v>8.49</v>
      </c>
      <c r="CD1017">
        <v>6.15</v>
      </c>
      <c r="CE1017">
        <v>0.47</v>
      </c>
      <c r="CF1017">
        <v>0.17</v>
      </c>
      <c r="CG1017">
        <v>0.47</v>
      </c>
      <c r="CH1017">
        <v>0.25</v>
      </c>
      <c r="CI1017">
        <v>0.35</v>
      </c>
      <c r="CJ1017">
        <v>-0.52</v>
      </c>
      <c r="CK1017">
        <v>0.17</v>
      </c>
      <c r="CL1017">
        <v>7.68</v>
      </c>
      <c r="CM1017">
        <v>-1.1299999999999999</v>
      </c>
      <c r="CN1017">
        <v>-3</v>
      </c>
      <c r="CO1017">
        <v>46062</v>
      </c>
      <c r="CP1017">
        <v>5167</v>
      </c>
      <c r="CQ1017" t="s">
        <v>5804</v>
      </c>
      <c r="CR1017">
        <v>711.35</v>
      </c>
      <c r="CS1017">
        <v>45.42</v>
      </c>
      <c r="CT1017">
        <v>3.43</v>
      </c>
      <c r="CU1017">
        <v>-51.34</v>
      </c>
      <c r="CV1017">
        <v>6.85</v>
      </c>
      <c r="CW1017">
        <v>0.32</v>
      </c>
      <c r="CX1017" t="s">
        <v>1248</v>
      </c>
      <c r="CY1017">
        <v>2.5499999999999998</v>
      </c>
      <c r="CZ1017">
        <v>2.5499999999999998</v>
      </c>
      <c r="DA1017">
        <v>0.32</v>
      </c>
      <c r="DB1017">
        <v>1.1499999999999999</v>
      </c>
      <c r="DC1017">
        <v>-0.17</v>
      </c>
      <c r="DD1017">
        <v>46.28</v>
      </c>
      <c r="DE1017" t="s">
        <v>5805</v>
      </c>
      <c r="DF1017">
        <v>27.52</v>
      </c>
      <c r="DG1017">
        <v>5.54</v>
      </c>
      <c r="DH1017">
        <v>4.09</v>
      </c>
      <c r="DI1017">
        <v>0.13</v>
      </c>
      <c r="DJ1017">
        <v>2517</v>
      </c>
      <c r="DK1017">
        <v>2631</v>
      </c>
      <c r="DL1017" t="s">
        <v>120</v>
      </c>
      <c r="DM1017" t="s">
        <v>120</v>
      </c>
      <c r="DN1017" t="s">
        <v>120</v>
      </c>
    </row>
    <row r="1018" spans="1:118">
      <c r="A1018" t="str">
        <f>"002632"</f>
        <v>002632</v>
      </c>
      <c r="B1018" t="s">
        <v>5806</v>
      </c>
      <c r="C1018">
        <v>-1.61</v>
      </c>
      <c r="D1018">
        <v>0.38</v>
      </c>
      <c r="E1018">
        <v>-0.74</v>
      </c>
      <c r="F1018">
        <v>2322</v>
      </c>
      <c r="G1018" t="s">
        <v>5807</v>
      </c>
      <c r="H1018">
        <v>20195.23</v>
      </c>
      <c r="I1018">
        <v>479.68</v>
      </c>
      <c r="J1018" t="s">
        <v>120</v>
      </c>
      <c r="K1018" t="s">
        <v>2189</v>
      </c>
      <c r="L1018">
        <v>4.3</v>
      </c>
      <c r="M1018">
        <v>7.93</v>
      </c>
      <c r="N1018">
        <v>1.31</v>
      </c>
      <c r="O1018">
        <v>1.1200000000000001</v>
      </c>
      <c r="P1018">
        <v>8.15</v>
      </c>
      <c r="Q1018">
        <v>-2.73</v>
      </c>
      <c r="R1018">
        <v>7.84</v>
      </c>
      <c r="S1018">
        <v>8</v>
      </c>
      <c r="T1018">
        <v>252770</v>
      </c>
      <c r="U1018">
        <v>7.94</v>
      </c>
      <c r="V1018">
        <v>8.06</v>
      </c>
      <c r="W1018">
        <v>30.84</v>
      </c>
      <c r="X1018" t="s">
        <v>868</v>
      </c>
      <c r="Y1018" t="s">
        <v>585</v>
      </c>
      <c r="Z1018">
        <v>3.85</v>
      </c>
      <c r="AA1018">
        <v>7.99</v>
      </c>
      <c r="AB1018">
        <v>128691</v>
      </c>
      <c r="AC1018">
        <v>124079</v>
      </c>
      <c r="AD1018">
        <v>1.04</v>
      </c>
      <c r="AE1018">
        <v>640</v>
      </c>
      <c r="AF1018">
        <v>372</v>
      </c>
      <c r="AG1018" t="s">
        <v>120</v>
      </c>
      <c r="AH1018">
        <v>0.23</v>
      </c>
      <c r="AI1018" t="s">
        <v>120</v>
      </c>
      <c r="AJ1018">
        <v>5.88</v>
      </c>
      <c r="AK1018" t="s">
        <v>5808</v>
      </c>
      <c r="AL1018">
        <v>0.3</v>
      </c>
      <c r="AM1018">
        <v>3380</v>
      </c>
      <c r="AN1018">
        <v>75</v>
      </c>
      <c r="AO1018">
        <v>1.2999999999999999E-3</v>
      </c>
      <c r="AP1018">
        <v>-1</v>
      </c>
      <c r="AQ1018">
        <v>2.68</v>
      </c>
      <c r="AR1018">
        <v>11.07</v>
      </c>
      <c r="AS1018">
        <v>-0.13</v>
      </c>
      <c r="AT1018">
        <v>12.64</v>
      </c>
      <c r="AU1018">
        <v>6.88</v>
      </c>
      <c r="AV1018">
        <v>1</v>
      </c>
      <c r="AW1018">
        <v>9.57</v>
      </c>
      <c r="AX1018">
        <v>42.3</v>
      </c>
      <c r="AY1018">
        <v>31.83</v>
      </c>
      <c r="AZ1018">
        <v>29.75</v>
      </c>
      <c r="BA1018">
        <v>0.52</v>
      </c>
      <c r="BB1018" t="s">
        <v>1103</v>
      </c>
      <c r="BF1018">
        <v>-0.87</v>
      </c>
      <c r="BG1018">
        <v>-0.88</v>
      </c>
      <c r="BH1018">
        <v>-2.7</v>
      </c>
      <c r="BI1018">
        <v>1.1499999999999999</v>
      </c>
      <c r="BJ1018">
        <v>20210824</v>
      </c>
      <c r="BK1018">
        <v>20111122</v>
      </c>
      <c r="BL1018">
        <v>6.25</v>
      </c>
      <c r="BM1018" t="s">
        <v>120</v>
      </c>
      <c r="BN1018" t="s">
        <v>120</v>
      </c>
      <c r="BO1018">
        <v>33.14</v>
      </c>
      <c r="BP1018">
        <v>7.93</v>
      </c>
      <c r="BQ1018">
        <v>20.83</v>
      </c>
      <c r="BR1018">
        <v>0</v>
      </c>
      <c r="BS1018">
        <v>37.14</v>
      </c>
      <c r="BT1018">
        <v>20.04</v>
      </c>
      <c r="BU1018">
        <v>7.43</v>
      </c>
      <c r="BV1018">
        <v>2.08</v>
      </c>
      <c r="BW1018">
        <v>12.04</v>
      </c>
      <c r="BX1018">
        <v>3.89</v>
      </c>
      <c r="BY1018">
        <v>10.57</v>
      </c>
      <c r="BZ1018">
        <v>2.76</v>
      </c>
      <c r="CA1018">
        <v>0.02</v>
      </c>
      <c r="CB1018">
        <v>7.9</v>
      </c>
      <c r="CC1018">
        <v>6.2</v>
      </c>
      <c r="CD1018">
        <v>3.81</v>
      </c>
      <c r="CE1018">
        <v>0.93</v>
      </c>
      <c r="CF1018">
        <v>0.04</v>
      </c>
      <c r="CG1018">
        <v>0.97</v>
      </c>
      <c r="CH1018">
        <v>0.8</v>
      </c>
      <c r="CI1018">
        <v>0.8</v>
      </c>
      <c r="CJ1018">
        <v>-0.13</v>
      </c>
      <c r="CK1018">
        <v>0.73</v>
      </c>
      <c r="CL1018">
        <v>6.32</v>
      </c>
      <c r="CM1018">
        <v>3.63</v>
      </c>
      <c r="CN1018">
        <v>1.24</v>
      </c>
      <c r="CO1018">
        <v>25878</v>
      </c>
      <c r="CP1018">
        <v>10210</v>
      </c>
      <c r="CQ1018" t="s">
        <v>1104</v>
      </c>
      <c r="CR1018">
        <v>-12.07</v>
      </c>
      <c r="CS1018">
        <v>8.1300000000000008</v>
      </c>
      <c r="CT1018">
        <v>2.38</v>
      </c>
      <c r="CU1018">
        <v>13.63</v>
      </c>
      <c r="CV1018">
        <v>7.99</v>
      </c>
      <c r="CW1018">
        <v>0</v>
      </c>
      <c r="CX1018" t="s">
        <v>986</v>
      </c>
      <c r="CY1018">
        <v>3.33</v>
      </c>
      <c r="CZ1018">
        <v>0</v>
      </c>
      <c r="DA1018">
        <v>1.27</v>
      </c>
      <c r="DB1018">
        <v>1.01</v>
      </c>
      <c r="DC1018">
        <v>0.57999999999999996</v>
      </c>
      <c r="DD1018">
        <v>62.84</v>
      </c>
      <c r="DE1018" t="s">
        <v>5809</v>
      </c>
      <c r="DF1018">
        <v>38.5</v>
      </c>
      <c r="DG1018">
        <v>15.03</v>
      </c>
      <c r="DH1018">
        <v>12.95</v>
      </c>
      <c r="DI1018">
        <v>0.33</v>
      </c>
      <c r="DJ1018">
        <v>1477</v>
      </c>
      <c r="DK1018">
        <v>2632</v>
      </c>
      <c r="DL1018" t="s">
        <v>120</v>
      </c>
      <c r="DM1018" t="s">
        <v>120</v>
      </c>
      <c r="DN1018" t="s">
        <v>120</v>
      </c>
    </row>
    <row r="1019" spans="1:118">
      <c r="A1019" t="str">
        <f>"002633"</f>
        <v>002633</v>
      </c>
      <c r="B1019" t="s">
        <v>5810</v>
      </c>
      <c r="C1019">
        <v>-0.25</v>
      </c>
      <c r="D1019">
        <v>-0.24</v>
      </c>
      <c r="E1019">
        <v>0</v>
      </c>
      <c r="F1019">
        <v>17</v>
      </c>
      <c r="G1019" t="s">
        <v>5811</v>
      </c>
      <c r="H1019">
        <v>988.49</v>
      </c>
      <c r="I1019">
        <v>1.03</v>
      </c>
      <c r="J1019" t="s">
        <v>120</v>
      </c>
      <c r="K1019" t="s">
        <v>1600</v>
      </c>
      <c r="L1019">
        <v>0.83</v>
      </c>
      <c r="M1019">
        <v>7.88</v>
      </c>
      <c r="N1019">
        <v>1.27</v>
      </c>
      <c r="O1019">
        <v>1.1399999999999999</v>
      </c>
      <c r="P1019">
        <v>7.99</v>
      </c>
      <c r="Q1019">
        <v>-0.63</v>
      </c>
      <c r="R1019">
        <v>7.85</v>
      </c>
      <c r="S1019">
        <v>7.9</v>
      </c>
      <c r="T1019">
        <v>12465</v>
      </c>
      <c r="U1019">
        <v>7.88</v>
      </c>
      <c r="V1019">
        <v>7.9</v>
      </c>
      <c r="W1019">
        <v>233.26</v>
      </c>
      <c r="X1019" t="s">
        <v>959</v>
      </c>
      <c r="Y1019" t="s">
        <v>585</v>
      </c>
      <c r="Z1019">
        <v>1.77</v>
      </c>
      <c r="AA1019">
        <v>7.93</v>
      </c>
      <c r="AB1019">
        <v>6058</v>
      </c>
      <c r="AC1019">
        <v>6407</v>
      </c>
      <c r="AD1019">
        <v>0.95</v>
      </c>
      <c r="AE1019">
        <v>4</v>
      </c>
      <c r="AF1019">
        <v>1</v>
      </c>
      <c r="AG1019" t="s">
        <v>120</v>
      </c>
      <c r="AH1019">
        <v>0</v>
      </c>
      <c r="AI1019" t="s">
        <v>120</v>
      </c>
      <c r="AJ1019">
        <v>1.49</v>
      </c>
      <c r="AK1019" t="s">
        <v>5812</v>
      </c>
      <c r="AL1019">
        <v>1.66</v>
      </c>
      <c r="AM1019">
        <v>886</v>
      </c>
      <c r="AN1019">
        <v>14</v>
      </c>
      <c r="AO1019">
        <v>8.9999999999999998E-4</v>
      </c>
      <c r="AP1019">
        <v>-1</v>
      </c>
      <c r="AQ1019">
        <v>1.8</v>
      </c>
      <c r="AR1019">
        <v>1.02</v>
      </c>
      <c r="AS1019">
        <v>3.69</v>
      </c>
      <c r="AT1019">
        <v>7.65</v>
      </c>
      <c r="AU1019">
        <v>9.2899999999999991</v>
      </c>
      <c r="AV1019">
        <v>1</v>
      </c>
      <c r="AW1019">
        <v>1.86</v>
      </c>
      <c r="AX1019">
        <v>44.56</v>
      </c>
      <c r="AY1019" t="s">
        <v>120</v>
      </c>
      <c r="AZ1019" t="s">
        <v>120</v>
      </c>
      <c r="BA1019">
        <v>0.7</v>
      </c>
      <c r="BB1019" t="s">
        <v>168</v>
      </c>
      <c r="BF1019">
        <v>0.38</v>
      </c>
      <c r="BG1019">
        <v>-0.25</v>
      </c>
      <c r="BH1019">
        <v>-1.38</v>
      </c>
      <c r="BI1019">
        <v>0.38</v>
      </c>
      <c r="BJ1019">
        <v>20210827</v>
      </c>
      <c r="BK1019">
        <v>20111122</v>
      </c>
      <c r="BL1019">
        <v>1.5</v>
      </c>
      <c r="BM1019" t="s">
        <v>120</v>
      </c>
      <c r="BN1019" t="s">
        <v>120</v>
      </c>
      <c r="BO1019">
        <v>6.34</v>
      </c>
      <c r="BP1019">
        <v>7.87</v>
      </c>
      <c r="BQ1019">
        <v>4.84</v>
      </c>
      <c r="BR1019" t="s">
        <v>120</v>
      </c>
      <c r="BS1019">
        <v>23.62</v>
      </c>
      <c r="BT1019">
        <v>3.54</v>
      </c>
      <c r="BU1019">
        <v>2.39</v>
      </c>
      <c r="BV1019">
        <v>0.4</v>
      </c>
      <c r="BW1019">
        <v>1.49</v>
      </c>
      <c r="BX1019">
        <v>0.14000000000000001</v>
      </c>
      <c r="BY1019">
        <v>1.26</v>
      </c>
      <c r="BZ1019">
        <v>1.05</v>
      </c>
      <c r="CA1019" t="s">
        <v>120</v>
      </c>
      <c r="CB1019">
        <v>3.23</v>
      </c>
      <c r="CC1019">
        <v>0.93</v>
      </c>
      <c r="CD1019">
        <v>0.67</v>
      </c>
      <c r="CE1019">
        <v>0.03</v>
      </c>
      <c r="CF1019">
        <v>0</v>
      </c>
      <c r="CG1019">
        <v>0.03</v>
      </c>
      <c r="CH1019">
        <v>0.03</v>
      </c>
      <c r="CI1019">
        <v>0.03</v>
      </c>
      <c r="CJ1019">
        <v>-0.02</v>
      </c>
      <c r="CK1019">
        <v>-0.04</v>
      </c>
      <c r="CL1019">
        <v>-7.0000000000000007E-2</v>
      </c>
      <c r="CM1019">
        <v>-0.28000000000000003</v>
      </c>
      <c r="CN1019">
        <v>-0.15</v>
      </c>
      <c r="CO1019">
        <v>7866</v>
      </c>
      <c r="CP1019">
        <v>8498</v>
      </c>
      <c r="CQ1019" t="s">
        <v>5813</v>
      </c>
      <c r="CR1019">
        <v>190.38</v>
      </c>
      <c r="CS1019">
        <v>10.84</v>
      </c>
      <c r="CT1019">
        <v>2.44</v>
      </c>
      <c r="CU1019">
        <v>-41.49</v>
      </c>
      <c r="CV1019">
        <v>12.67</v>
      </c>
      <c r="CW1019">
        <v>0</v>
      </c>
      <c r="CX1019" t="s">
        <v>5814</v>
      </c>
      <c r="CY1019">
        <v>3.23</v>
      </c>
      <c r="CZ1019">
        <v>0</v>
      </c>
      <c r="DA1019">
        <v>2.15</v>
      </c>
      <c r="DB1019">
        <v>-0.04</v>
      </c>
      <c r="DC1019">
        <v>-0.19</v>
      </c>
      <c r="DD1019">
        <v>76.38</v>
      </c>
      <c r="DE1019" t="s">
        <v>2746</v>
      </c>
      <c r="DF1019">
        <v>28.22</v>
      </c>
      <c r="DG1019">
        <v>2.78</v>
      </c>
      <c r="DH1019">
        <v>2.72</v>
      </c>
      <c r="DI1019">
        <v>0.09</v>
      </c>
      <c r="DJ1019">
        <v>509</v>
      </c>
      <c r="DK1019">
        <v>2633</v>
      </c>
      <c r="DL1019" t="s">
        <v>120</v>
      </c>
      <c r="DM1019" t="s">
        <v>120</v>
      </c>
      <c r="DN1019" t="s">
        <v>120</v>
      </c>
    </row>
    <row r="1020" spans="1:118">
      <c r="A1020" t="str">
        <f>"002634"</f>
        <v>002634</v>
      </c>
      <c r="B1020" t="s">
        <v>5815</v>
      </c>
      <c r="C1020">
        <v>-1.1200000000000001</v>
      </c>
      <c r="D1020">
        <v>-0.18</v>
      </c>
      <c r="E1020">
        <v>0</v>
      </c>
      <c r="F1020">
        <v>970</v>
      </c>
      <c r="G1020" t="s">
        <v>5816</v>
      </c>
      <c r="H1020">
        <v>8393.44</v>
      </c>
      <c r="I1020">
        <v>72.36</v>
      </c>
      <c r="J1020" t="s">
        <v>120</v>
      </c>
      <c r="K1020" t="s">
        <v>5817</v>
      </c>
      <c r="L1020">
        <v>4.1399999999999997</v>
      </c>
      <c r="M1020">
        <v>5.28</v>
      </c>
      <c r="N1020">
        <v>1.72</v>
      </c>
      <c r="O1020">
        <v>5.81</v>
      </c>
      <c r="P1020">
        <v>5.65</v>
      </c>
      <c r="Q1020">
        <v>-2.62</v>
      </c>
      <c r="R1020">
        <v>5.2</v>
      </c>
      <c r="S1020">
        <v>5.34</v>
      </c>
      <c r="T1020">
        <v>153616</v>
      </c>
      <c r="U1020">
        <v>5.28</v>
      </c>
      <c r="V1020">
        <v>5.34</v>
      </c>
      <c r="W1020">
        <v>44.94</v>
      </c>
      <c r="X1020" t="s">
        <v>2806</v>
      </c>
      <c r="Y1020" t="s">
        <v>585</v>
      </c>
      <c r="Z1020">
        <v>8.43</v>
      </c>
      <c r="AA1020">
        <v>5.46</v>
      </c>
      <c r="AB1020">
        <v>81842</v>
      </c>
      <c r="AC1020">
        <v>71774</v>
      </c>
      <c r="AD1020">
        <v>1.1399999999999999</v>
      </c>
      <c r="AE1020">
        <v>610</v>
      </c>
      <c r="AF1020">
        <v>218</v>
      </c>
      <c r="AG1020" t="s">
        <v>120</v>
      </c>
      <c r="AH1020">
        <v>0.06</v>
      </c>
      <c r="AI1020" t="s">
        <v>120</v>
      </c>
      <c r="AJ1020">
        <v>3.71</v>
      </c>
      <c r="AK1020" t="s">
        <v>5818</v>
      </c>
      <c r="AL1020">
        <v>0.79</v>
      </c>
      <c r="AM1020">
        <v>2345</v>
      </c>
      <c r="AN1020">
        <v>66</v>
      </c>
      <c r="AO1020">
        <v>1.8E-3</v>
      </c>
      <c r="AP1020">
        <v>-3</v>
      </c>
      <c r="AQ1020">
        <v>-2.38</v>
      </c>
      <c r="AR1020">
        <v>-13.16</v>
      </c>
      <c r="AS1020">
        <v>-10.66</v>
      </c>
      <c r="AT1020">
        <v>-14.7</v>
      </c>
      <c r="AU1020">
        <v>-18.27</v>
      </c>
      <c r="AV1020">
        <v>3</v>
      </c>
      <c r="AW1020">
        <v>6.53</v>
      </c>
      <c r="AX1020">
        <v>51.23</v>
      </c>
      <c r="AY1020">
        <v>41.7</v>
      </c>
      <c r="AZ1020">
        <v>39.78</v>
      </c>
      <c r="BA1020">
        <v>0.27</v>
      </c>
      <c r="BB1020" t="s">
        <v>143</v>
      </c>
      <c r="BF1020">
        <v>2.3199999999999998</v>
      </c>
      <c r="BG1020">
        <v>-1.1200000000000001</v>
      </c>
      <c r="BH1020">
        <v>-6.55</v>
      </c>
      <c r="BI1020">
        <v>1.54</v>
      </c>
      <c r="BJ1020">
        <v>20210817</v>
      </c>
      <c r="BK1020">
        <v>20111205</v>
      </c>
      <c r="BL1020">
        <v>4.59</v>
      </c>
      <c r="BM1020" t="s">
        <v>120</v>
      </c>
      <c r="BN1020" t="s">
        <v>120</v>
      </c>
      <c r="BO1020">
        <v>10.210000000000001</v>
      </c>
      <c r="BP1020">
        <v>5.26</v>
      </c>
      <c r="BQ1020">
        <v>7.87</v>
      </c>
      <c r="BR1020">
        <v>0.02</v>
      </c>
      <c r="BS1020">
        <v>22.77</v>
      </c>
      <c r="BT1020">
        <v>3.41</v>
      </c>
      <c r="BU1020">
        <v>2.46</v>
      </c>
      <c r="BV1020">
        <v>0.42</v>
      </c>
      <c r="BW1020">
        <v>2.2000000000000002</v>
      </c>
      <c r="BX1020">
        <v>1.53</v>
      </c>
      <c r="BY1020">
        <v>1.01</v>
      </c>
      <c r="BZ1020">
        <v>0.56999999999999995</v>
      </c>
      <c r="CA1020">
        <v>0.06</v>
      </c>
      <c r="CB1020">
        <v>7.0000000000000007E-2</v>
      </c>
      <c r="CC1020">
        <v>2.46</v>
      </c>
      <c r="CD1020">
        <v>1.79</v>
      </c>
      <c r="CE1020">
        <v>0.33</v>
      </c>
      <c r="CF1020">
        <v>0.14000000000000001</v>
      </c>
      <c r="CG1020">
        <v>0.33</v>
      </c>
      <c r="CH1020">
        <v>0.27</v>
      </c>
      <c r="CI1020">
        <v>0.27</v>
      </c>
      <c r="CJ1020">
        <v>-0.06</v>
      </c>
      <c r="CK1020">
        <v>0.26</v>
      </c>
      <c r="CL1020">
        <v>2.94</v>
      </c>
      <c r="CM1020">
        <v>0.31</v>
      </c>
      <c r="CN1020">
        <v>0.02</v>
      </c>
      <c r="CO1020">
        <v>16989</v>
      </c>
      <c r="CP1020">
        <v>13851</v>
      </c>
      <c r="CQ1020" t="s">
        <v>1630</v>
      </c>
      <c r="CR1020">
        <v>-9.51</v>
      </c>
      <c r="CS1020">
        <v>13.72</v>
      </c>
      <c r="CT1020">
        <v>3.08</v>
      </c>
      <c r="CU1020">
        <v>77.45</v>
      </c>
      <c r="CV1020">
        <v>9.85</v>
      </c>
      <c r="CW1020">
        <v>0</v>
      </c>
      <c r="CX1020" t="s">
        <v>1064</v>
      </c>
      <c r="CY1020">
        <v>1.71</v>
      </c>
      <c r="CZ1020">
        <v>0</v>
      </c>
      <c r="DA1020">
        <v>0.01</v>
      </c>
      <c r="DB1020">
        <v>0.64</v>
      </c>
      <c r="DC1020">
        <v>7.0000000000000007E-2</v>
      </c>
      <c r="DD1020">
        <v>77.08</v>
      </c>
      <c r="DE1020" t="s">
        <v>4854</v>
      </c>
      <c r="DF1020">
        <v>27.1</v>
      </c>
      <c r="DG1020">
        <v>13.22</v>
      </c>
      <c r="DH1020">
        <v>10.96</v>
      </c>
      <c r="DI1020">
        <v>0.09</v>
      </c>
      <c r="DJ1020">
        <v>1318</v>
      </c>
      <c r="DK1020">
        <v>2634</v>
      </c>
      <c r="DL1020" t="s">
        <v>120</v>
      </c>
      <c r="DM1020" t="s">
        <v>120</v>
      </c>
      <c r="DN1020" t="s">
        <v>120</v>
      </c>
    </row>
    <row r="1021" spans="1:118">
      <c r="A1021" t="str">
        <f>"002635"</f>
        <v>002635</v>
      </c>
      <c r="B1021" t="s">
        <v>5819</v>
      </c>
      <c r="C1021">
        <v>-1.19</v>
      </c>
      <c r="D1021">
        <v>1.68</v>
      </c>
      <c r="E1021">
        <v>0.37</v>
      </c>
      <c r="F1021">
        <v>3231</v>
      </c>
      <c r="G1021" t="s">
        <v>5820</v>
      </c>
      <c r="H1021">
        <v>10351.67</v>
      </c>
      <c r="I1021">
        <v>9.49</v>
      </c>
      <c r="J1021" t="s">
        <v>120</v>
      </c>
      <c r="K1021" t="s">
        <v>5821</v>
      </c>
      <c r="L1021">
        <v>2.23</v>
      </c>
      <c r="M1021">
        <v>13.34</v>
      </c>
      <c r="N1021">
        <v>0.88</v>
      </c>
      <c r="O1021">
        <v>1.1100000000000001</v>
      </c>
      <c r="P1021">
        <v>13.65</v>
      </c>
      <c r="Q1021">
        <v>-3.56</v>
      </c>
      <c r="R1021">
        <v>13.02</v>
      </c>
      <c r="S1021">
        <v>13.55</v>
      </c>
      <c r="T1021">
        <v>77735</v>
      </c>
      <c r="U1021">
        <v>13.34</v>
      </c>
      <c r="V1021">
        <v>13.5</v>
      </c>
      <c r="W1021">
        <v>160.97999999999999</v>
      </c>
      <c r="X1021" t="s">
        <v>238</v>
      </c>
      <c r="Y1021" t="s">
        <v>319</v>
      </c>
      <c r="Z1021">
        <v>4.67</v>
      </c>
      <c r="AA1021">
        <v>13.32</v>
      </c>
      <c r="AB1021">
        <v>43965</v>
      </c>
      <c r="AC1021">
        <v>33770</v>
      </c>
      <c r="AD1021">
        <v>1.3</v>
      </c>
      <c r="AE1021">
        <v>44</v>
      </c>
      <c r="AF1021">
        <v>807</v>
      </c>
      <c r="AG1021" t="s">
        <v>120</v>
      </c>
      <c r="AH1021">
        <v>0</v>
      </c>
      <c r="AI1021" t="s">
        <v>120</v>
      </c>
      <c r="AJ1021">
        <v>3.48</v>
      </c>
      <c r="AK1021" t="s">
        <v>4109</v>
      </c>
      <c r="AL1021">
        <v>0.73</v>
      </c>
      <c r="AM1021">
        <v>2389</v>
      </c>
      <c r="AN1021">
        <v>33</v>
      </c>
      <c r="AO1021">
        <v>8.9999999999999998E-4</v>
      </c>
      <c r="AP1021">
        <v>-1</v>
      </c>
      <c r="AQ1021">
        <v>0.22</v>
      </c>
      <c r="AR1021">
        <v>-3.33</v>
      </c>
      <c r="AS1021">
        <v>8.1</v>
      </c>
      <c r="AT1021">
        <v>-10.29</v>
      </c>
      <c r="AU1021">
        <v>-21.67</v>
      </c>
      <c r="AV1021">
        <v>0</v>
      </c>
      <c r="AW1021">
        <v>2.98</v>
      </c>
      <c r="AX1021">
        <v>37.909999999999997</v>
      </c>
      <c r="AY1021">
        <v>131.61000000000001</v>
      </c>
      <c r="AZ1021">
        <v>19.8</v>
      </c>
      <c r="BA1021">
        <v>0.46</v>
      </c>
      <c r="BB1021" t="s">
        <v>143</v>
      </c>
      <c r="BF1021">
        <v>-1.36</v>
      </c>
      <c r="BG1021">
        <v>-1.55</v>
      </c>
      <c r="BH1021">
        <v>-2.27</v>
      </c>
      <c r="BI1021">
        <v>2.46</v>
      </c>
      <c r="BJ1021">
        <v>20210902</v>
      </c>
      <c r="BK1021">
        <v>20111125</v>
      </c>
      <c r="BL1021">
        <v>6.87</v>
      </c>
      <c r="BM1021" t="s">
        <v>120</v>
      </c>
      <c r="BN1021" t="s">
        <v>120</v>
      </c>
      <c r="BO1021">
        <v>72.11</v>
      </c>
      <c r="BP1021">
        <v>13.2</v>
      </c>
      <c r="BQ1021">
        <v>56.59</v>
      </c>
      <c r="BR1021">
        <v>0.1</v>
      </c>
      <c r="BS1021">
        <v>21.38</v>
      </c>
      <c r="BT1021">
        <v>34.5</v>
      </c>
      <c r="BU1021">
        <v>16.95</v>
      </c>
      <c r="BV1021">
        <v>2.56</v>
      </c>
      <c r="BW1021">
        <v>12.57</v>
      </c>
      <c r="BX1021">
        <v>10.68</v>
      </c>
      <c r="BY1021">
        <v>5.87</v>
      </c>
      <c r="BZ1021">
        <v>10.63</v>
      </c>
      <c r="CA1021" t="s">
        <v>120</v>
      </c>
      <c r="CB1021">
        <v>37.81</v>
      </c>
      <c r="CC1021">
        <v>16.149999999999999</v>
      </c>
      <c r="CD1021">
        <v>12.53</v>
      </c>
      <c r="CE1021">
        <v>-0.03</v>
      </c>
      <c r="CF1021">
        <v>0.15</v>
      </c>
      <c r="CG1021">
        <v>0.4</v>
      </c>
      <c r="CH1021">
        <v>0.27</v>
      </c>
      <c r="CI1021">
        <v>0.28000000000000003</v>
      </c>
      <c r="CJ1021">
        <v>-0.16</v>
      </c>
      <c r="CK1021">
        <v>0.14000000000000001</v>
      </c>
      <c r="CL1021">
        <v>12.01</v>
      </c>
      <c r="CM1021">
        <v>-0.74</v>
      </c>
      <c r="CN1021">
        <v>-4.3</v>
      </c>
      <c r="CO1021">
        <v>56000</v>
      </c>
      <c r="CP1021">
        <v>4652</v>
      </c>
      <c r="CQ1021" t="s">
        <v>5822</v>
      </c>
      <c r="CR1021">
        <v>-93.32</v>
      </c>
      <c r="CS1021">
        <v>19.399999999999999</v>
      </c>
      <c r="CT1021">
        <v>1.65</v>
      </c>
      <c r="CU1021">
        <v>-123.82</v>
      </c>
      <c r="CV1021">
        <v>5.68</v>
      </c>
      <c r="CW1021">
        <v>1.48</v>
      </c>
      <c r="CX1021" t="s">
        <v>145</v>
      </c>
      <c r="CY1021">
        <v>8.07</v>
      </c>
      <c r="CZ1021">
        <v>8.07</v>
      </c>
      <c r="DA1021">
        <v>5.5</v>
      </c>
      <c r="DB1021">
        <v>1.75</v>
      </c>
      <c r="DC1021">
        <v>-0.11</v>
      </c>
      <c r="DD1021">
        <v>78.48</v>
      </c>
      <c r="DE1021" t="s">
        <v>5823</v>
      </c>
      <c r="DF1021">
        <v>22.4</v>
      </c>
      <c r="DG1021">
        <v>-0.18</v>
      </c>
      <c r="DH1021">
        <v>1.76</v>
      </c>
      <c r="DI1021">
        <v>1.32</v>
      </c>
      <c r="DJ1021">
        <v>5723</v>
      </c>
      <c r="DK1021">
        <v>2635</v>
      </c>
      <c r="DL1021" t="s">
        <v>120</v>
      </c>
      <c r="DM1021" t="s">
        <v>120</v>
      </c>
      <c r="DN1021" t="s">
        <v>120</v>
      </c>
    </row>
    <row r="1022" spans="1:118">
      <c r="A1022" t="str">
        <f>"002636"</f>
        <v>002636</v>
      </c>
      <c r="B1022" t="s">
        <v>5824</v>
      </c>
      <c r="C1022">
        <v>-5.3</v>
      </c>
      <c r="D1022">
        <v>0</v>
      </c>
      <c r="E1022">
        <v>0.23</v>
      </c>
      <c r="F1022">
        <v>1316</v>
      </c>
      <c r="G1022" t="s">
        <v>5825</v>
      </c>
      <c r="H1022">
        <v>26422.46</v>
      </c>
      <c r="I1022">
        <v>94.83</v>
      </c>
      <c r="J1022" t="s">
        <v>120</v>
      </c>
      <c r="K1022" t="s">
        <v>5826</v>
      </c>
      <c r="L1022">
        <v>2.19</v>
      </c>
      <c r="M1022">
        <v>16.260000000000002</v>
      </c>
      <c r="N1022">
        <v>0.73</v>
      </c>
      <c r="O1022">
        <v>0.23</v>
      </c>
      <c r="P1022">
        <v>17.21</v>
      </c>
      <c r="Q1022">
        <v>-5.36</v>
      </c>
      <c r="R1022">
        <v>16.25</v>
      </c>
      <c r="S1022">
        <v>17.21</v>
      </c>
      <c r="T1022">
        <v>158432</v>
      </c>
      <c r="U1022">
        <v>16.27</v>
      </c>
      <c r="V1022">
        <v>17.170000000000002</v>
      </c>
      <c r="W1022">
        <v>10.84</v>
      </c>
      <c r="X1022" t="s">
        <v>229</v>
      </c>
      <c r="Y1022" t="s">
        <v>1510</v>
      </c>
      <c r="Z1022">
        <v>5.59</v>
      </c>
      <c r="AA1022">
        <v>16.68</v>
      </c>
      <c r="AB1022">
        <v>95155</v>
      </c>
      <c r="AC1022">
        <v>63277</v>
      </c>
      <c r="AD1022">
        <v>1.5</v>
      </c>
      <c r="AE1022">
        <v>945</v>
      </c>
      <c r="AF1022">
        <v>86</v>
      </c>
      <c r="AG1022" t="s">
        <v>120</v>
      </c>
      <c r="AH1022">
        <v>0.02</v>
      </c>
      <c r="AI1022" t="s">
        <v>120</v>
      </c>
      <c r="AJ1022">
        <v>7.23</v>
      </c>
      <c r="AK1022" t="s">
        <v>5827</v>
      </c>
      <c r="AL1022">
        <v>-3.39</v>
      </c>
      <c r="AM1022">
        <v>3861</v>
      </c>
      <c r="AN1022">
        <v>41</v>
      </c>
      <c r="AO1022">
        <v>5.9999999999999995E-4</v>
      </c>
      <c r="AP1022">
        <v>-1</v>
      </c>
      <c r="AQ1022">
        <v>0.06</v>
      </c>
      <c r="AR1022">
        <v>-5.19</v>
      </c>
      <c r="AS1022">
        <v>10.84</v>
      </c>
      <c r="AT1022">
        <v>0.37</v>
      </c>
      <c r="AU1022">
        <v>77.319999999999993</v>
      </c>
      <c r="AV1022">
        <v>11</v>
      </c>
      <c r="AW1022">
        <v>7.11</v>
      </c>
      <c r="AX1022">
        <v>30.62</v>
      </c>
      <c r="AY1022">
        <v>19.170000000000002</v>
      </c>
      <c r="AZ1022">
        <v>69.31</v>
      </c>
      <c r="BA1022">
        <v>0.63</v>
      </c>
      <c r="BB1022" t="s">
        <v>143</v>
      </c>
      <c r="BF1022">
        <v>-2.87</v>
      </c>
      <c r="BG1022">
        <v>-5.52</v>
      </c>
      <c r="BH1022">
        <v>-5.52</v>
      </c>
      <c r="BI1022">
        <v>0.06</v>
      </c>
      <c r="BJ1022">
        <v>20210831</v>
      </c>
      <c r="BK1022">
        <v>20111125</v>
      </c>
      <c r="BL1022">
        <v>7.28</v>
      </c>
      <c r="BM1022" t="s">
        <v>120</v>
      </c>
      <c r="BN1022" t="s">
        <v>120</v>
      </c>
      <c r="BO1022">
        <v>66.89</v>
      </c>
      <c r="BP1022">
        <v>16.260000000000002</v>
      </c>
      <c r="BQ1022">
        <v>33.479999999999997</v>
      </c>
      <c r="BR1022">
        <v>1.73</v>
      </c>
      <c r="BS1022">
        <v>47.37</v>
      </c>
      <c r="BT1022">
        <v>46.5</v>
      </c>
      <c r="BU1022">
        <v>8.7899999999999991</v>
      </c>
      <c r="BV1022">
        <v>1.1399999999999999</v>
      </c>
      <c r="BW1022">
        <v>30.59</v>
      </c>
      <c r="BX1022">
        <v>10.199999999999999</v>
      </c>
      <c r="BY1022">
        <v>4.7300000000000004</v>
      </c>
      <c r="BZ1022">
        <v>13.27</v>
      </c>
      <c r="CA1022" t="s">
        <v>120</v>
      </c>
      <c r="CB1022">
        <v>1.91</v>
      </c>
      <c r="CC1022">
        <v>30.91</v>
      </c>
      <c r="CD1022">
        <v>22.41</v>
      </c>
      <c r="CE1022">
        <v>6.3</v>
      </c>
      <c r="CF1022">
        <v>0.15</v>
      </c>
      <c r="CG1022">
        <v>6.37</v>
      </c>
      <c r="CH1022">
        <v>5.51</v>
      </c>
      <c r="CI1022">
        <v>5.46</v>
      </c>
      <c r="CJ1022">
        <v>-0.91</v>
      </c>
      <c r="CK1022">
        <v>5.08</v>
      </c>
      <c r="CL1022">
        <v>23.22</v>
      </c>
      <c r="CM1022">
        <v>3.61</v>
      </c>
      <c r="CN1022">
        <v>4.05</v>
      </c>
      <c r="CO1022">
        <v>43799</v>
      </c>
      <c r="CP1022">
        <v>5089</v>
      </c>
      <c r="CQ1022" t="s">
        <v>870</v>
      </c>
      <c r="CR1022">
        <v>631.6</v>
      </c>
      <c r="CS1022">
        <v>124.26</v>
      </c>
      <c r="CT1022">
        <v>3.54</v>
      </c>
      <c r="CU1022">
        <v>32.82</v>
      </c>
      <c r="CV1022">
        <v>3.83</v>
      </c>
      <c r="CW1022">
        <v>0.35</v>
      </c>
      <c r="CX1022" t="s">
        <v>3015</v>
      </c>
      <c r="CY1022">
        <v>4.5999999999999996</v>
      </c>
      <c r="CZ1022">
        <v>0</v>
      </c>
      <c r="DA1022">
        <v>0.26</v>
      </c>
      <c r="DB1022">
        <v>3.19</v>
      </c>
      <c r="DC1022">
        <v>0.5</v>
      </c>
      <c r="DD1022">
        <v>50.05</v>
      </c>
      <c r="DE1022" t="s">
        <v>5828</v>
      </c>
      <c r="DF1022">
        <v>27.5</v>
      </c>
      <c r="DG1022">
        <v>20.39</v>
      </c>
      <c r="DH1022">
        <v>17.670000000000002</v>
      </c>
      <c r="DI1022">
        <v>1.21</v>
      </c>
      <c r="DJ1022">
        <v>2807</v>
      </c>
      <c r="DK1022">
        <v>2636</v>
      </c>
      <c r="DL1022" t="s">
        <v>120</v>
      </c>
      <c r="DM1022" t="s">
        <v>120</v>
      </c>
      <c r="DN1022" t="s">
        <v>120</v>
      </c>
    </row>
    <row r="1023" spans="1:118">
      <c r="A1023" t="str">
        <f>"002637"</f>
        <v>002637</v>
      </c>
      <c r="B1023" t="s">
        <v>5829</v>
      </c>
      <c r="C1023">
        <v>-0.62</v>
      </c>
      <c r="D1023">
        <v>0</v>
      </c>
      <c r="E1023">
        <v>-0.17</v>
      </c>
      <c r="F1023">
        <v>638</v>
      </c>
      <c r="G1023" t="s">
        <v>2485</v>
      </c>
      <c r="H1023">
        <v>21033.64</v>
      </c>
      <c r="I1023">
        <v>201.79</v>
      </c>
      <c r="J1023" t="s">
        <v>120</v>
      </c>
      <c r="K1023" t="s">
        <v>5830</v>
      </c>
      <c r="L1023">
        <v>2.95</v>
      </c>
      <c r="M1023">
        <v>17.73</v>
      </c>
      <c r="N1023">
        <v>1.06</v>
      </c>
      <c r="O1023">
        <v>3.7</v>
      </c>
      <c r="P1023">
        <v>18.5</v>
      </c>
      <c r="Q1023">
        <v>-1.46</v>
      </c>
      <c r="R1023">
        <v>17.579999999999998</v>
      </c>
      <c r="S1023">
        <v>17.809999999999999</v>
      </c>
      <c r="T1023">
        <v>116693</v>
      </c>
      <c r="U1023">
        <v>17.73</v>
      </c>
      <c r="V1023">
        <v>17.84</v>
      </c>
      <c r="W1023">
        <v>9.51</v>
      </c>
      <c r="X1023" t="s">
        <v>1817</v>
      </c>
      <c r="Y1023" t="s">
        <v>585</v>
      </c>
      <c r="Z1023">
        <v>5.16</v>
      </c>
      <c r="AA1023">
        <v>18.02</v>
      </c>
      <c r="AB1023">
        <v>65504</v>
      </c>
      <c r="AC1023">
        <v>51189</v>
      </c>
      <c r="AD1023">
        <v>1.28</v>
      </c>
      <c r="AE1023">
        <v>224</v>
      </c>
      <c r="AF1023">
        <v>448</v>
      </c>
      <c r="AG1023" t="s">
        <v>120</v>
      </c>
      <c r="AH1023">
        <v>0.04</v>
      </c>
      <c r="AI1023" t="s">
        <v>120</v>
      </c>
      <c r="AJ1023">
        <v>3.96</v>
      </c>
      <c r="AK1023" t="s">
        <v>5831</v>
      </c>
      <c r="AL1023">
        <v>1.3</v>
      </c>
      <c r="AM1023">
        <v>3309</v>
      </c>
      <c r="AN1023">
        <v>35</v>
      </c>
      <c r="AO1023">
        <v>8.9999999999999998E-4</v>
      </c>
      <c r="AP1023">
        <v>-1</v>
      </c>
      <c r="AQ1023">
        <v>3.42</v>
      </c>
      <c r="AR1023">
        <v>-1.83</v>
      </c>
      <c r="AS1023">
        <v>1.37</v>
      </c>
      <c r="AT1023">
        <v>15.21</v>
      </c>
      <c r="AU1023">
        <v>42.75</v>
      </c>
      <c r="AV1023">
        <v>1</v>
      </c>
      <c r="AW1023">
        <v>4.08</v>
      </c>
      <c r="AX1023">
        <v>60.82</v>
      </c>
      <c r="AY1023">
        <v>14.23</v>
      </c>
      <c r="AZ1023">
        <v>24.34</v>
      </c>
      <c r="BA1023">
        <v>0.39</v>
      </c>
      <c r="BB1023" t="s">
        <v>168</v>
      </c>
      <c r="BF1023">
        <v>1.04</v>
      </c>
      <c r="BG1023">
        <v>-0.45</v>
      </c>
      <c r="BH1023">
        <v>-4.16</v>
      </c>
      <c r="BI1023">
        <v>0.85</v>
      </c>
      <c r="BJ1023">
        <v>20210902</v>
      </c>
      <c r="BK1023">
        <v>20111125</v>
      </c>
      <c r="BL1023">
        <v>4.7</v>
      </c>
      <c r="BM1023" t="s">
        <v>120</v>
      </c>
      <c r="BN1023" t="s">
        <v>120</v>
      </c>
      <c r="BO1023">
        <v>83.41</v>
      </c>
      <c r="BP1023">
        <v>17.72</v>
      </c>
      <c r="BQ1023">
        <v>36.659999999999997</v>
      </c>
      <c r="BR1023">
        <v>4.58</v>
      </c>
      <c r="BS1023">
        <v>50.56</v>
      </c>
      <c r="BT1023">
        <v>42.71</v>
      </c>
      <c r="BU1023">
        <v>15.25</v>
      </c>
      <c r="BV1023">
        <v>6.79</v>
      </c>
      <c r="BW1023">
        <v>29.38</v>
      </c>
      <c r="BX1023">
        <v>7.65</v>
      </c>
      <c r="BY1023">
        <v>12.93</v>
      </c>
      <c r="BZ1023">
        <v>7.57</v>
      </c>
      <c r="CA1023">
        <v>0.05</v>
      </c>
      <c r="CB1023">
        <v>15.63</v>
      </c>
      <c r="CC1023">
        <v>50.04</v>
      </c>
      <c r="CD1023">
        <v>40.35</v>
      </c>
      <c r="CE1023">
        <v>6.03</v>
      </c>
      <c r="CF1023">
        <v>0.12</v>
      </c>
      <c r="CG1023">
        <v>6.01</v>
      </c>
      <c r="CH1023">
        <v>4.59</v>
      </c>
      <c r="CI1023">
        <v>4.38</v>
      </c>
      <c r="CJ1023">
        <v>-0.11</v>
      </c>
      <c r="CK1023">
        <v>4.1900000000000004</v>
      </c>
      <c r="CL1023">
        <v>15.91</v>
      </c>
      <c r="CM1023">
        <v>-2.87</v>
      </c>
      <c r="CN1023">
        <v>-1.24</v>
      </c>
      <c r="CO1023">
        <v>20527</v>
      </c>
      <c r="CP1023">
        <v>13939</v>
      </c>
      <c r="CQ1023" t="s">
        <v>5832</v>
      </c>
      <c r="CR1023">
        <v>126.89</v>
      </c>
      <c r="CS1023">
        <v>53.57</v>
      </c>
      <c r="CT1023">
        <v>2.2799999999999998</v>
      </c>
      <c r="CU1023">
        <v>-29.09</v>
      </c>
      <c r="CV1023">
        <v>1.67</v>
      </c>
      <c r="CW1023">
        <v>0.84</v>
      </c>
      <c r="CX1023" t="s">
        <v>136</v>
      </c>
      <c r="CY1023">
        <v>7.79</v>
      </c>
      <c r="CZ1023">
        <v>0</v>
      </c>
      <c r="DA1023">
        <v>3.32</v>
      </c>
      <c r="DB1023">
        <v>3.38</v>
      </c>
      <c r="DC1023">
        <v>-0.61</v>
      </c>
      <c r="DD1023">
        <v>43.95</v>
      </c>
      <c r="DE1023" t="s">
        <v>5833</v>
      </c>
      <c r="DF1023">
        <v>19.37</v>
      </c>
      <c r="DG1023">
        <v>12.05</v>
      </c>
      <c r="DH1023">
        <v>8.76</v>
      </c>
      <c r="DI1023">
        <v>0.7</v>
      </c>
      <c r="DJ1023">
        <v>2414</v>
      </c>
      <c r="DK1023">
        <v>2637</v>
      </c>
      <c r="DL1023" t="s">
        <v>120</v>
      </c>
      <c r="DM1023" t="s">
        <v>120</v>
      </c>
      <c r="DN1023" t="s">
        <v>120</v>
      </c>
    </row>
    <row r="1024" spans="1:118">
      <c r="A1024" t="str">
        <f>"002638"</f>
        <v>002638</v>
      </c>
      <c r="B1024" t="s">
        <v>5834</v>
      </c>
      <c r="C1024">
        <v>-1.96</v>
      </c>
      <c r="D1024">
        <v>0</v>
      </c>
      <c r="E1024">
        <v>0.49</v>
      </c>
      <c r="F1024">
        <v>3827</v>
      </c>
      <c r="G1024" t="s">
        <v>5835</v>
      </c>
      <c r="H1024">
        <v>4478.1499999999996</v>
      </c>
      <c r="I1024">
        <v>115.31</v>
      </c>
      <c r="J1024" t="s">
        <v>120</v>
      </c>
      <c r="K1024" t="s">
        <v>5836</v>
      </c>
      <c r="L1024">
        <v>2.21</v>
      </c>
      <c r="M1024">
        <v>2</v>
      </c>
      <c r="N1024">
        <v>0.76</v>
      </c>
      <c r="O1024">
        <v>1.47</v>
      </c>
      <c r="P1024">
        <v>2.0699999999999998</v>
      </c>
      <c r="Q1024">
        <v>-2.4500000000000002</v>
      </c>
      <c r="R1024">
        <v>1.99</v>
      </c>
      <c r="S1024">
        <v>2.0499999999999998</v>
      </c>
      <c r="T1024">
        <v>220364</v>
      </c>
      <c r="U1024">
        <v>2</v>
      </c>
      <c r="V1024">
        <v>2.04</v>
      </c>
      <c r="W1024" t="s">
        <v>120</v>
      </c>
      <c r="X1024" t="s">
        <v>213</v>
      </c>
      <c r="Y1024" t="s">
        <v>547</v>
      </c>
      <c r="Z1024">
        <v>3.92</v>
      </c>
      <c r="AA1024">
        <v>2.0299999999999998</v>
      </c>
      <c r="AB1024">
        <v>128322</v>
      </c>
      <c r="AC1024">
        <v>92042</v>
      </c>
      <c r="AD1024">
        <v>1.39</v>
      </c>
      <c r="AE1024">
        <v>11562</v>
      </c>
      <c r="AF1024">
        <v>1569</v>
      </c>
      <c r="AG1024" t="s">
        <v>120</v>
      </c>
      <c r="AH1024">
        <v>0.08</v>
      </c>
      <c r="AI1024" t="s">
        <v>120</v>
      </c>
      <c r="AJ1024">
        <v>9.9600000000000009</v>
      </c>
      <c r="AK1024" t="s">
        <v>707</v>
      </c>
      <c r="AL1024">
        <v>-0.05</v>
      </c>
      <c r="AM1024">
        <v>1625</v>
      </c>
      <c r="AN1024">
        <v>136</v>
      </c>
      <c r="AO1024">
        <v>1.4E-3</v>
      </c>
      <c r="AP1024">
        <v>-1</v>
      </c>
      <c r="AQ1024">
        <v>2.5099999999999998</v>
      </c>
      <c r="AR1024">
        <v>-2.44</v>
      </c>
      <c r="AS1024">
        <v>3.09</v>
      </c>
      <c r="AT1024">
        <v>-21.26</v>
      </c>
      <c r="AU1024">
        <v>25</v>
      </c>
      <c r="AV1024">
        <v>20</v>
      </c>
      <c r="AW1024">
        <v>2.97</v>
      </c>
      <c r="AX1024">
        <v>49.21</v>
      </c>
      <c r="AY1024" t="s">
        <v>120</v>
      </c>
      <c r="AZ1024">
        <v>68</v>
      </c>
      <c r="BA1024">
        <v>1</v>
      </c>
      <c r="BB1024" t="s">
        <v>143</v>
      </c>
      <c r="BF1024">
        <v>-0.38</v>
      </c>
      <c r="BG1024">
        <v>-2.44</v>
      </c>
      <c r="BH1024">
        <v>-3.38</v>
      </c>
      <c r="BI1024">
        <v>0.5</v>
      </c>
      <c r="BJ1024">
        <v>20210803</v>
      </c>
      <c r="BK1024">
        <v>20111125</v>
      </c>
      <c r="BL1024">
        <v>15.06</v>
      </c>
      <c r="BM1024" t="s">
        <v>120</v>
      </c>
      <c r="BN1024" t="s">
        <v>120</v>
      </c>
      <c r="BO1024">
        <v>42.59</v>
      </c>
      <c r="BP1024">
        <v>1.99</v>
      </c>
      <c r="BQ1024">
        <v>35.17</v>
      </c>
      <c r="BR1024">
        <v>0</v>
      </c>
      <c r="BS1024">
        <v>17.41</v>
      </c>
      <c r="BT1024">
        <v>21.56</v>
      </c>
      <c r="BU1024">
        <v>1.52</v>
      </c>
      <c r="BV1024">
        <v>1.96</v>
      </c>
      <c r="BW1024">
        <v>6.66</v>
      </c>
      <c r="BX1024">
        <v>4.1500000000000004</v>
      </c>
      <c r="BY1024">
        <v>3.99</v>
      </c>
      <c r="BZ1024">
        <v>4.25</v>
      </c>
      <c r="CA1024" t="s">
        <v>120</v>
      </c>
      <c r="CB1024">
        <v>34.76</v>
      </c>
      <c r="CC1024">
        <v>6.39</v>
      </c>
      <c r="CD1024">
        <v>5.5</v>
      </c>
      <c r="CE1024">
        <v>-0.84</v>
      </c>
      <c r="CF1024">
        <v>0.11</v>
      </c>
      <c r="CG1024">
        <v>-0.66</v>
      </c>
      <c r="CH1024">
        <v>-0.68</v>
      </c>
      <c r="CI1024">
        <v>-0.68</v>
      </c>
      <c r="CJ1024">
        <v>-0.04</v>
      </c>
      <c r="CK1024">
        <v>-0.94</v>
      </c>
      <c r="CL1024">
        <v>-15.24</v>
      </c>
      <c r="CM1024">
        <v>-0.65</v>
      </c>
      <c r="CN1024">
        <v>-0.68</v>
      </c>
      <c r="CO1024">
        <v>28787</v>
      </c>
      <c r="CP1024">
        <v>25748</v>
      </c>
      <c r="CQ1024" t="s">
        <v>5837</v>
      </c>
      <c r="CR1024">
        <v>-349.96</v>
      </c>
      <c r="CS1024">
        <v>33.44</v>
      </c>
      <c r="CT1024">
        <v>0.86</v>
      </c>
      <c r="CU1024">
        <v>-46.25</v>
      </c>
      <c r="CV1024">
        <v>4.71</v>
      </c>
      <c r="CW1024">
        <v>0</v>
      </c>
      <c r="CX1024" t="s">
        <v>484</v>
      </c>
      <c r="CY1024">
        <v>2.33</v>
      </c>
      <c r="CZ1024">
        <v>0</v>
      </c>
      <c r="DA1024">
        <v>2.31</v>
      </c>
      <c r="DB1024">
        <v>-1.01</v>
      </c>
      <c r="DC1024">
        <v>-0.04</v>
      </c>
      <c r="DD1024">
        <v>82.58</v>
      </c>
      <c r="DE1024" t="s">
        <v>5838</v>
      </c>
      <c r="DF1024">
        <v>13.98</v>
      </c>
      <c r="DG1024">
        <v>-13.21</v>
      </c>
      <c r="DH1024">
        <v>-10.7</v>
      </c>
      <c r="DI1024">
        <v>0.09</v>
      </c>
      <c r="DJ1024">
        <v>3484</v>
      </c>
      <c r="DK1024">
        <v>2638</v>
      </c>
      <c r="DL1024" t="s">
        <v>120</v>
      </c>
      <c r="DM1024" t="s">
        <v>120</v>
      </c>
      <c r="DN1024" t="s">
        <v>120</v>
      </c>
    </row>
    <row r="1025" spans="1:118">
      <c r="A1025" t="str">
        <f>"002639"</f>
        <v>002639</v>
      </c>
      <c r="B1025" t="s">
        <v>5839</v>
      </c>
      <c r="C1025">
        <v>-2.44</v>
      </c>
      <c r="D1025">
        <v>-0.12</v>
      </c>
      <c r="E1025">
        <v>-0.39</v>
      </c>
      <c r="F1025">
        <v>1616</v>
      </c>
      <c r="G1025" t="s">
        <v>5840</v>
      </c>
      <c r="H1025">
        <v>17551</v>
      </c>
      <c r="I1025">
        <v>60.92</v>
      </c>
      <c r="J1025" t="s">
        <v>120</v>
      </c>
      <c r="K1025" t="s">
        <v>5841</v>
      </c>
      <c r="L1025">
        <v>4.0599999999999996</v>
      </c>
      <c r="M1025">
        <v>7.59</v>
      </c>
      <c r="N1025">
        <v>0.8</v>
      </c>
      <c r="O1025">
        <v>1.8</v>
      </c>
      <c r="P1025">
        <v>7.92</v>
      </c>
      <c r="Q1025">
        <v>-2.44</v>
      </c>
      <c r="R1025">
        <v>7.59</v>
      </c>
      <c r="S1025">
        <v>7.75</v>
      </c>
      <c r="T1025">
        <v>226933</v>
      </c>
      <c r="U1025">
        <v>7.6</v>
      </c>
      <c r="V1025">
        <v>7.78</v>
      </c>
      <c r="W1025" t="s">
        <v>120</v>
      </c>
      <c r="X1025" t="s">
        <v>675</v>
      </c>
      <c r="Y1025" t="s">
        <v>937</v>
      </c>
      <c r="Z1025">
        <v>4.24</v>
      </c>
      <c r="AA1025">
        <v>7.73</v>
      </c>
      <c r="AB1025">
        <v>134272</v>
      </c>
      <c r="AC1025">
        <v>92661</v>
      </c>
      <c r="AD1025">
        <v>1.45</v>
      </c>
      <c r="AE1025">
        <v>2306</v>
      </c>
      <c r="AF1025">
        <v>383</v>
      </c>
      <c r="AG1025" t="s">
        <v>120</v>
      </c>
      <c r="AH1025">
        <v>0.02</v>
      </c>
      <c r="AI1025" t="s">
        <v>120</v>
      </c>
      <c r="AJ1025">
        <v>5.59</v>
      </c>
      <c r="AK1025" t="s">
        <v>5842</v>
      </c>
      <c r="AL1025">
        <v>-0.53</v>
      </c>
      <c r="AM1025">
        <v>3212</v>
      </c>
      <c r="AN1025">
        <v>71</v>
      </c>
      <c r="AO1025">
        <v>1.2999999999999999E-3</v>
      </c>
      <c r="AP1025">
        <v>-1</v>
      </c>
      <c r="AQ1025">
        <v>1.3</v>
      </c>
      <c r="AR1025">
        <v>-0.79</v>
      </c>
      <c r="AS1025">
        <v>-12.96</v>
      </c>
      <c r="AT1025">
        <v>10.16</v>
      </c>
      <c r="AU1025">
        <v>14.83</v>
      </c>
      <c r="AV1025">
        <v>7</v>
      </c>
      <c r="AW1025">
        <v>4.45</v>
      </c>
      <c r="AX1025">
        <v>75.73</v>
      </c>
      <c r="AY1025" t="s">
        <v>120</v>
      </c>
      <c r="AZ1025" t="s">
        <v>120</v>
      </c>
      <c r="BA1025">
        <v>0.75</v>
      </c>
      <c r="BB1025" t="s">
        <v>125</v>
      </c>
      <c r="BF1025">
        <v>-0.59</v>
      </c>
      <c r="BG1025">
        <v>-2.06</v>
      </c>
      <c r="BH1025">
        <v>-4.17</v>
      </c>
      <c r="BI1025">
        <v>0</v>
      </c>
      <c r="BJ1025">
        <v>20210823</v>
      </c>
      <c r="BK1025">
        <v>20111205</v>
      </c>
      <c r="BL1025">
        <v>6.74</v>
      </c>
      <c r="BM1025" t="s">
        <v>120</v>
      </c>
      <c r="BN1025" t="s">
        <v>120</v>
      </c>
      <c r="BO1025">
        <v>39.14</v>
      </c>
      <c r="BP1025">
        <v>7.59</v>
      </c>
      <c r="BQ1025">
        <v>20.88</v>
      </c>
      <c r="BR1025">
        <v>0.35</v>
      </c>
      <c r="BS1025">
        <v>45.76</v>
      </c>
      <c r="BT1025">
        <v>18.579999999999998</v>
      </c>
      <c r="BU1025">
        <v>8.0299999999999994</v>
      </c>
      <c r="BV1025">
        <v>2.5499999999999998</v>
      </c>
      <c r="BW1025">
        <v>16.559999999999999</v>
      </c>
      <c r="BX1025">
        <v>1.62</v>
      </c>
      <c r="BY1025">
        <v>7.18</v>
      </c>
      <c r="BZ1025">
        <v>6.54</v>
      </c>
      <c r="CA1025" t="s">
        <v>120</v>
      </c>
      <c r="CB1025">
        <v>13.36</v>
      </c>
      <c r="CC1025">
        <v>8.1999999999999993</v>
      </c>
      <c r="CD1025">
        <v>7.09</v>
      </c>
      <c r="CE1025">
        <v>-0.43</v>
      </c>
      <c r="CF1025">
        <v>0</v>
      </c>
      <c r="CG1025">
        <v>-0.44</v>
      </c>
      <c r="CH1025">
        <v>-0.33</v>
      </c>
      <c r="CI1025">
        <v>-0.28000000000000003</v>
      </c>
      <c r="CJ1025">
        <v>-0.19</v>
      </c>
      <c r="CK1025">
        <v>-0.37</v>
      </c>
      <c r="CL1025">
        <v>-0.11</v>
      </c>
      <c r="CM1025">
        <v>-0.23</v>
      </c>
      <c r="CN1025">
        <v>-1.51</v>
      </c>
      <c r="CO1025">
        <v>77422</v>
      </c>
      <c r="CP1025">
        <v>6594</v>
      </c>
      <c r="CQ1025" t="s">
        <v>5843</v>
      </c>
      <c r="CR1025">
        <v>0.87</v>
      </c>
      <c r="CS1025">
        <v>36.979999999999997</v>
      </c>
      <c r="CT1025">
        <v>2.4500000000000002</v>
      </c>
      <c r="CU1025">
        <v>-219.59</v>
      </c>
      <c r="CV1025">
        <v>6.24</v>
      </c>
      <c r="CW1025">
        <v>0</v>
      </c>
      <c r="CX1025" t="s">
        <v>5844</v>
      </c>
      <c r="CY1025">
        <v>3.1</v>
      </c>
      <c r="CZ1025">
        <v>0</v>
      </c>
      <c r="DA1025">
        <v>1.98</v>
      </c>
      <c r="DB1025">
        <v>-0.02</v>
      </c>
      <c r="DC1025">
        <v>-0.03</v>
      </c>
      <c r="DD1025">
        <v>53.35</v>
      </c>
      <c r="DE1025" t="s">
        <v>5845</v>
      </c>
      <c r="DF1025">
        <v>13.56</v>
      </c>
      <c r="DG1025">
        <v>-5.29</v>
      </c>
      <c r="DH1025">
        <v>-3.46</v>
      </c>
      <c r="DI1025">
        <v>0.32</v>
      </c>
      <c r="DJ1025">
        <v>3910</v>
      </c>
      <c r="DK1025">
        <v>2639</v>
      </c>
      <c r="DL1025" t="s">
        <v>120</v>
      </c>
      <c r="DM1025" t="s">
        <v>120</v>
      </c>
      <c r="DN1025" t="s">
        <v>120</v>
      </c>
    </row>
    <row r="1026" spans="1:118">
      <c r="A1026" t="str">
        <f>"002641"</f>
        <v>002641</v>
      </c>
      <c r="B1026" t="s">
        <v>5846</v>
      </c>
      <c r="C1026">
        <v>-1.79</v>
      </c>
      <c r="D1026">
        <v>-0.17</v>
      </c>
      <c r="E1026">
        <v>0</v>
      </c>
      <c r="F1026">
        <v>538</v>
      </c>
      <c r="G1026" t="s">
        <v>5847</v>
      </c>
      <c r="H1026">
        <v>4586.46</v>
      </c>
      <c r="I1026">
        <v>29.41</v>
      </c>
      <c r="J1026" t="s">
        <v>120</v>
      </c>
      <c r="K1026" t="s">
        <v>5848</v>
      </c>
      <c r="L1026">
        <v>0.73</v>
      </c>
      <c r="M1026">
        <v>5.48</v>
      </c>
      <c r="N1026">
        <v>0.69</v>
      </c>
      <c r="O1026">
        <v>1.43</v>
      </c>
      <c r="P1026">
        <v>5.66</v>
      </c>
      <c r="Q1026">
        <v>-1.97</v>
      </c>
      <c r="R1026">
        <v>5.47</v>
      </c>
      <c r="S1026">
        <v>5.58</v>
      </c>
      <c r="T1026">
        <v>82392</v>
      </c>
      <c r="U1026">
        <v>5.49</v>
      </c>
      <c r="V1026">
        <v>5.58</v>
      </c>
      <c r="W1026">
        <v>13.41</v>
      </c>
      <c r="X1026" t="s">
        <v>2211</v>
      </c>
      <c r="Y1026" t="s">
        <v>585</v>
      </c>
      <c r="Z1026">
        <v>3.41</v>
      </c>
      <c r="AA1026">
        <v>5.57</v>
      </c>
      <c r="AB1026">
        <v>48978</v>
      </c>
      <c r="AC1026">
        <v>33414</v>
      </c>
      <c r="AD1026">
        <v>1.47</v>
      </c>
      <c r="AE1026">
        <v>791</v>
      </c>
      <c r="AF1026">
        <v>657</v>
      </c>
      <c r="AG1026" t="s">
        <v>120</v>
      </c>
      <c r="AH1026">
        <v>0.01</v>
      </c>
      <c r="AI1026" t="s">
        <v>120</v>
      </c>
      <c r="AJ1026">
        <v>11.3</v>
      </c>
      <c r="AK1026" t="s">
        <v>5849</v>
      </c>
      <c r="AL1026">
        <v>0.12</v>
      </c>
      <c r="AM1026">
        <v>1831</v>
      </c>
      <c r="AN1026">
        <v>45</v>
      </c>
      <c r="AO1026">
        <v>4.0000000000000002E-4</v>
      </c>
      <c r="AP1026">
        <v>-1</v>
      </c>
      <c r="AQ1026">
        <v>0.9</v>
      </c>
      <c r="AR1026">
        <v>-3.52</v>
      </c>
      <c r="AS1026">
        <v>-1.79</v>
      </c>
      <c r="AT1026">
        <v>-18.14</v>
      </c>
      <c r="AU1026">
        <v>-12.39</v>
      </c>
      <c r="AV1026">
        <v>1</v>
      </c>
      <c r="AW1026">
        <v>1.85</v>
      </c>
      <c r="AX1026">
        <v>36.049999999999997</v>
      </c>
      <c r="AY1026">
        <v>9.25</v>
      </c>
      <c r="AZ1026">
        <v>8.9600000000000009</v>
      </c>
      <c r="BA1026">
        <v>0.54</v>
      </c>
      <c r="BB1026" t="s">
        <v>143</v>
      </c>
      <c r="BF1026">
        <v>-0.24</v>
      </c>
      <c r="BG1026">
        <v>-1.79</v>
      </c>
      <c r="BH1026">
        <v>-3.18</v>
      </c>
      <c r="BI1026">
        <v>0.18</v>
      </c>
      <c r="BJ1026">
        <v>20210913</v>
      </c>
      <c r="BK1026">
        <v>20111208</v>
      </c>
      <c r="BL1026">
        <v>12.35</v>
      </c>
      <c r="BM1026" t="s">
        <v>120</v>
      </c>
      <c r="BN1026" t="s">
        <v>120</v>
      </c>
      <c r="BO1026">
        <v>81.849999999999994</v>
      </c>
      <c r="BP1026">
        <v>5.48</v>
      </c>
      <c r="BQ1026">
        <v>47.34</v>
      </c>
      <c r="BR1026" t="s">
        <v>120</v>
      </c>
      <c r="BS1026">
        <v>42.17</v>
      </c>
      <c r="BT1026">
        <v>52.87</v>
      </c>
      <c r="BU1026">
        <v>18.989999999999998</v>
      </c>
      <c r="BV1026">
        <v>4.12</v>
      </c>
      <c r="BW1026">
        <v>32.36</v>
      </c>
      <c r="BX1026">
        <v>14.69</v>
      </c>
      <c r="BY1026">
        <v>17.16</v>
      </c>
      <c r="BZ1026">
        <v>11.4</v>
      </c>
      <c r="CA1026" t="s">
        <v>120</v>
      </c>
      <c r="CB1026">
        <v>11.95</v>
      </c>
      <c r="CC1026">
        <v>39.479999999999997</v>
      </c>
      <c r="CD1026">
        <v>31.72</v>
      </c>
      <c r="CE1026">
        <v>2.83</v>
      </c>
      <c r="CF1026">
        <v>-0.04</v>
      </c>
      <c r="CG1026">
        <v>2.83</v>
      </c>
      <c r="CH1026">
        <v>2.52</v>
      </c>
      <c r="CI1026">
        <v>2.52</v>
      </c>
      <c r="CJ1026">
        <v>-0.1</v>
      </c>
      <c r="CK1026">
        <v>2.2999999999999998</v>
      </c>
      <c r="CL1026">
        <v>19.989999999999998</v>
      </c>
      <c r="CM1026">
        <v>-2.57</v>
      </c>
      <c r="CN1026">
        <v>-2.2000000000000002</v>
      </c>
      <c r="CO1026">
        <v>33296</v>
      </c>
      <c r="CP1026">
        <v>13376</v>
      </c>
      <c r="CQ1026" t="s">
        <v>2003</v>
      </c>
      <c r="CR1026">
        <v>-8.7100000000000009</v>
      </c>
      <c r="CS1026">
        <v>40.98</v>
      </c>
      <c r="CT1026">
        <v>1.43</v>
      </c>
      <c r="CU1026">
        <v>-26.31</v>
      </c>
      <c r="CV1026">
        <v>1.71</v>
      </c>
      <c r="CW1026">
        <v>2.2400000000000002</v>
      </c>
      <c r="CX1026" t="s">
        <v>492</v>
      </c>
      <c r="CY1026">
        <v>3.83</v>
      </c>
      <c r="CZ1026">
        <v>0</v>
      </c>
      <c r="DA1026">
        <v>0.97</v>
      </c>
      <c r="DB1026">
        <v>1.62</v>
      </c>
      <c r="DC1026">
        <v>-0.21</v>
      </c>
      <c r="DD1026">
        <v>57.83</v>
      </c>
      <c r="DE1026" t="s">
        <v>2753</v>
      </c>
      <c r="DF1026">
        <v>19.649999999999999</v>
      </c>
      <c r="DG1026">
        <v>7.18</v>
      </c>
      <c r="DH1026">
        <v>6.39</v>
      </c>
      <c r="DI1026">
        <v>1.34</v>
      </c>
      <c r="DJ1026">
        <v>6746</v>
      </c>
      <c r="DK1026">
        <v>2641</v>
      </c>
      <c r="DL1026" t="s">
        <v>120</v>
      </c>
      <c r="DM1026" t="s">
        <v>120</v>
      </c>
      <c r="DN1026" t="s">
        <v>120</v>
      </c>
    </row>
    <row r="1027" spans="1:118">
      <c r="A1027" t="str">
        <f>"002642"</f>
        <v>002642</v>
      </c>
      <c r="B1027" t="s">
        <v>5850</v>
      </c>
      <c r="C1027">
        <v>-2.69</v>
      </c>
      <c r="D1027">
        <v>0</v>
      </c>
      <c r="E1027">
        <v>-0.96</v>
      </c>
      <c r="F1027">
        <v>2109</v>
      </c>
      <c r="G1027" t="s">
        <v>5851</v>
      </c>
      <c r="H1027">
        <v>7818.86</v>
      </c>
      <c r="I1027">
        <v>122</v>
      </c>
      <c r="J1027" t="s">
        <v>120</v>
      </c>
      <c r="K1027" t="s">
        <v>5852</v>
      </c>
      <c r="L1027">
        <v>2.6</v>
      </c>
      <c r="M1027">
        <v>5.0599999999999996</v>
      </c>
      <c r="N1027">
        <v>0.96</v>
      </c>
      <c r="O1027">
        <v>0.96</v>
      </c>
      <c r="P1027">
        <v>5.25</v>
      </c>
      <c r="Q1027">
        <v>-3.27</v>
      </c>
      <c r="R1027">
        <v>5.03</v>
      </c>
      <c r="S1027">
        <v>5.15</v>
      </c>
      <c r="T1027">
        <v>152216</v>
      </c>
      <c r="U1027">
        <v>5.0599999999999996</v>
      </c>
      <c r="V1027">
        <v>5.2</v>
      </c>
      <c r="W1027">
        <v>207.01</v>
      </c>
      <c r="X1027" t="s">
        <v>141</v>
      </c>
      <c r="Y1027" t="s">
        <v>158</v>
      </c>
      <c r="Z1027">
        <v>4.2300000000000004</v>
      </c>
      <c r="AA1027">
        <v>5.14</v>
      </c>
      <c r="AB1027">
        <v>83954</v>
      </c>
      <c r="AC1027">
        <v>68262</v>
      </c>
      <c r="AD1027">
        <v>1.23</v>
      </c>
      <c r="AE1027">
        <v>954</v>
      </c>
      <c r="AF1027">
        <v>129</v>
      </c>
      <c r="AG1027" t="s">
        <v>120</v>
      </c>
      <c r="AH1027">
        <v>0.05</v>
      </c>
      <c r="AI1027" t="s">
        <v>120</v>
      </c>
      <c r="AJ1027">
        <v>5.85</v>
      </c>
      <c r="AK1027" t="s">
        <v>5853</v>
      </c>
      <c r="AL1027">
        <v>-0.78</v>
      </c>
      <c r="AM1027">
        <v>2471</v>
      </c>
      <c r="AN1027">
        <v>62</v>
      </c>
      <c r="AO1027">
        <v>1.1000000000000001E-3</v>
      </c>
      <c r="AP1027">
        <v>-1</v>
      </c>
      <c r="AQ1027">
        <v>2.77</v>
      </c>
      <c r="AR1027">
        <v>-0.78</v>
      </c>
      <c r="AS1027">
        <v>14.22</v>
      </c>
      <c r="AT1027">
        <v>2.4300000000000002</v>
      </c>
      <c r="AU1027">
        <v>13.45</v>
      </c>
      <c r="AV1027">
        <v>5</v>
      </c>
      <c r="AW1027">
        <v>2.96</v>
      </c>
      <c r="AX1027">
        <v>77.13</v>
      </c>
      <c r="AY1027" t="s">
        <v>120</v>
      </c>
      <c r="AZ1027" t="s">
        <v>120</v>
      </c>
      <c r="BA1027">
        <v>0.59</v>
      </c>
      <c r="BB1027" t="s">
        <v>184</v>
      </c>
      <c r="BF1027">
        <v>-1.22</v>
      </c>
      <c r="BG1027">
        <v>-1.75</v>
      </c>
      <c r="BH1027">
        <v>-3.62</v>
      </c>
      <c r="BI1027">
        <v>0.6</v>
      </c>
      <c r="BJ1027">
        <v>20210910</v>
      </c>
      <c r="BK1027">
        <v>20111220</v>
      </c>
      <c r="BL1027">
        <v>6.68</v>
      </c>
      <c r="BM1027" t="s">
        <v>120</v>
      </c>
      <c r="BN1027" t="s">
        <v>120</v>
      </c>
      <c r="BO1027">
        <v>27.79</v>
      </c>
      <c r="BP1027">
        <v>5.05</v>
      </c>
      <c r="BQ1027">
        <v>14.06</v>
      </c>
      <c r="BR1027">
        <v>0</v>
      </c>
      <c r="BS1027">
        <v>49.42</v>
      </c>
      <c r="BT1027">
        <v>20.059999999999999</v>
      </c>
      <c r="BU1027">
        <v>4.38</v>
      </c>
      <c r="BV1027">
        <v>0.19</v>
      </c>
      <c r="BW1027">
        <v>13.15</v>
      </c>
      <c r="BX1027">
        <v>1.69</v>
      </c>
      <c r="BY1027">
        <v>5.58</v>
      </c>
      <c r="BZ1027">
        <v>10.1</v>
      </c>
      <c r="CA1027">
        <v>0.02</v>
      </c>
      <c r="CB1027">
        <v>29.23</v>
      </c>
      <c r="CC1027">
        <v>13.77</v>
      </c>
      <c r="CD1027">
        <v>11.95</v>
      </c>
      <c r="CE1027">
        <v>0.11</v>
      </c>
      <c r="CF1027">
        <v>-0.01</v>
      </c>
      <c r="CG1027">
        <v>0.1</v>
      </c>
      <c r="CH1027">
        <v>0.08</v>
      </c>
      <c r="CI1027">
        <v>0.08</v>
      </c>
      <c r="CJ1027">
        <v>-0.14000000000000001</v>
      </c>
      <c r="CK1027">
        <v>0.05</v>
      </c>
      <c r="CL1027">
        <v>-20.89</v>
      </c>
      <c r="CM1027">
        <v>-4.71</v>
      </c>
      <c r="CN1027">
        <v>-3.91</v>
      </c>
      <c r="CO1027">
        <v>45068</v>
      </c>
      <c r="CP1027">
        <v>11425</v>
      </c>
      <c r="CQ1027" t="s">
        <v>5560</v>
      </c>
      <c r="CR1027">
        <v>12.8</v>
      </c>
      <c r="CS1027">
        <v>33.36</v>
      </c>
      <c r="CT1027">
        <v>2.4</v>
      </c>
      <c r="CU1027">
        <v>-7.17</v>
      </c>
      <c r="CV1027">
        <v>2.4500000000000002</v>
      </c>
      <c r="CW1027">
        <v>0</v>
      </c>
      <c r="CX1027" t="s">
        <v>178</v>
      </c>
      <c r="CY1027">
        <v>2.11</v>
      </c>
      <c r="CZ1027">
        <v>0</v>
      </c>
      <c r="DA1027">
        <v>4.38</v>
      </c>
      <c r="DB1027">
        <v>-3.13</v>
      </c>
      <c r="DC1027">
        <v>-0.71</v>
      </c>
      <c r="DD1027">
        <v>50.58</v>
      </c>
      <c r="DE1027" t="s">
        <v>5046</v>
      </c>
      <c r="DF1027">
        <v>13.19</v>
      </c>
      <c r="DG1027">
        <v>0.79</v>
      </c>
      <c r="DH1027">
        <v>0.59</v>
      </c>
      <c r="DI1027">
        <v>0.31</v>
      </c>
      <c r="DJ1027">
        <v>798</v>
      </c>
      <c r="DK1027">
        <v>2642</v>
      </c>
      <c r="DL1027" t="s">
        <v>120</v>
      </c>
      <c r="DM1027" t="s">
        <v>120</v>
      </c>
      <c r="DN1027" t="s">
        <v>120</v>
      </c>
    </row>
    <row r="1028" spans="1:118">
      <c r="A1028" t="str">
        <f>"002643"</f>
        <v>002643</v>
      </c>
      <c r="B1028" t="s">
        <v>5854</v>
      </c>
      <c r="C1028">
        <v>-1.87</v>
      </c>
      <c r="D1028">
        <v>-0.81</v>
      </c>
      <c r="E1028">
        <v>-0.24</v>
      </c>
      <c r="F1028">
        <v>2268</v>
      </c>
      <c r="G1028" t="s">
        <v>5855</v>
      </c>
      <c r="H1028">
        <v>15511.55</v>
      </c>
      <c r="I1028">
        <v>28.29</v>
      </c>
      <c r="J1028" t="s">
        <v>120</v>
      </c>
      <c r="K1028" t="s">
        <v>5856</v>
      </c>
      <c r="L1028">
        <v>0.84</v>
      </c>
      <c r="M1028">
        <v>20.46</v>
      </c>
      <c r="N1028">
        <v>0.79</v>
      </c>
      <c r="O1028">
        <v>0.43</v>
      </c>
      <c r="P1028">
        <v>20.94</v>
      </c>
      <c r="Q1028">
        <v>-2.69</v>
      </c>
      <c r="R1028">
        <v>20.29</v>
      </c>
      <c r="S1028">
        <v>20.8</v>
      </c>
      <c r="T1028">
        <v>75245</v>
      </c>
      <c r="U1028">
        <v>20.57</v>
      </c>
      <c r="V1028">
        <v>20.85</v>
      </c>
      <c r="W1028">
        <v>30.9</v>
      </c>
      <c r="X1028" t="s">
        <v>868</v>
      </c>
      <c r="Y1028" t="s">
        <v>638</v>
      </c>
      <c r="Z1028">
        <v>3.12</v>
      </c>
      <c r="AA1028">
        <v>20.61</v>
      </c>
      <c r="AB1028">
        <v>41420</v>
      </c>
      <c r="AC1028">
        <v>33825</v>
      </c>
      <c r="AD1028">
        <v>1.22</v>
      </c>
      <c r="AE1028">
        <v>258</v>
      </c>
      <c r="AF1028">
        <v>5</v>
      </c>
      <c r="AG1028" t="s">
        <v>120</v>
      </c>
      <c r="AH1028">
        <v>0</v>
      </c>
      <c r="AI1028" t="s">
        <v>120</v>
      </c>
      <c r="AJ1028">
        <v>8.9600000000000009</v>
      </c>
      <c r="AK1028" t="s">
        <v>5857</v>
      </c>
      <c r="AL1028">
        <v>0.04</v>
      </c>
      <c r="AM1028">
        <v>3048</v>
      </c>
      <c r="AN1028">
        <v>25</v>
      </c>
      <c r="AO1028">
        <v>2.9999999999999997E-4</v>
      </c>
      <c r="AP1028">
        <v>-1</v>
      </c>
      <c r="AQ1028">
        <v>3.12</v>
      </c>
      <c r="AR1028">
        <v>0.1</v>
      </c>
      <c r="AS1028">
        <v>13.42</v>
      </c>
      <c r="AT1028">
        <v>20.64</v>
      </c>
      <c r="AU1028">
        <v>-5.13</v>
      </c>
      <c r="AV1028">
        <v>2</v>
      </c>
      <c r="AW1028">
        <v>1.42</v>
      </c>
      <c r="AX1028">
        <v>58.42</v>
      </c>
      <c r="AY1028">
        <v>32.159999999999997</v>
      </c>
      <c r="AZ1028">
        <v>37.56</v>
      </c>
      <c r="BA1028">
        <v>0.73</v>
      </c>
      <c r="BB1028" t="s">
        <v>168</v>
      </c>
      <c r="BF1028">
        <v>-1.1299999999999999</v>
      </c>
      <c r="BG1028">
        <v>-1.63</v>
      </c>
      <c r="BH1028">
        <v>-2.29</v>
      </c>
      <c r="BI1028">
        <v>0.84</v>
      </c>
      <c r="BJ1028">
        <v>20210821</v>
      </c>
      <c r="BK1028">
        <v>20111220</v>
      </c>
      <c r="BL1028">
        <v>9.09</v>
      </c>
      <c r="BM1028" t="s">
        <v>120</v>
      </c>
      <c r="BN1028" t="s">
        <v>120</v>
      </c>
      <c r="BO1028">
        <v>71.08</v>
      </c>
      <c r="BP1028">
        <v>20.46</v>
      </c>
      <c r="BQ1028">
        <v>52.63</v>
      </c>
      <c r="BR1028">
        <v>3.24</v>
      </c>
      <c r="BS1028">
        <v>21.4</v>
      </c>
      <c r="BT1028">
        <v>31.64</v>
      </c>
      <c r="BU1028">
        <v>20.11</v>
      </c>
      <c r="BV1028">
        <v>4</v>
      </c>
      <c r="BW1028">
        <v>11.88</v>
      </c>
      <c r="BX1028">
        <v>10.57</v>
      </c>
      <c r="BY1028">
        <v>13.22</v>
      </c>
      <c r="BZ1028">
        <v>4.2300000000000004</v>
      </c>
      <c r="CA1028" t="s">
        <v>120</v>
      </c>
      <c r="CB1028">
        <v>21.74</v>
      </c>
      <c r="CC1028">
        <v>18.100000000000001</v>
      </c>
      <c r="CD1028">
        <v>10.93</v>
      </c>
      <c r="CE1028">
        <v>3.9</v>
      </c>
      <c r="CF1028">
        <v>0.04</v>
      </c>
      <c r="CG1028">
        <v>3.9</v>
      </c>
      <c r="CH1028">
        <v>3.35</v>
      </c>
      <c r="CI1028">
        <v>3.01</v>
      </c>
      <c r="CJ1028">
        <v>-0.39</v>
      </c>
      <c r="CK1028">
        <v>2.95</v>
      </c>
      <c r="CL1028">
        <v>19.05</v>
      </c>
      <c r="CM1028">
        <v>7.11</v>
      </c>
      <c r="CN1028">
        <v>5.1100000000000003</v>
      </c>
      <c r="CO1028">
        <v>25858</v>
      </c>
      <c r="CP1028">
        <v>20541</v>
      </c>
      <c r="CQ1028" t="s">
        <v>5858</v>
      </c>
      <c r="CR1028">
        <v>39.15</v>
      </c>
      <c r="CS1028">
        <v>45.19</v>
      </c>
      <c r="CT1028">
        <v>3.53</v>
      </c>
      <c r="CU1028">
        <v>26.16</v>
      </c>
      <c r="CV1028">
        <v>10.28</v>
      </c>
      <c r="CW1028">
        <v>0.98</v>
      </c>
      <c r="CX1028" t="s">
        <v>2443</v>
      </c>
      <c r="CY1028">
        <v>5.79</v>
      </c>
      <c r="CZ1028">
        <v>0</v>
      </c>
      <c r="DA1028">
        <v>2.39</v>
      </c>
      <c r="DB1028">
        <v>2.1</v>
      </c>
      <c r="DC1028">
        <v>0.78</v>
      </c>
      <c r="DD1028">
        <v>74.040000000000006</v>
      </c>
      <c r="DE1028" t="s">
        <v>3074</v>
      </c>
      <c r="DF1028">
        <v>39.630000000000003</v>
      </c>
      <c r="DG1028">
        <v>21.57</v>
      </c>
      <c r="DH1028">
        <v>16.63</v>
      </c>
      <c r="DI1028">
        <v>1.08</v>
      </c>
      <c r="DJ1028">
        <v>3644</v>
      </c>
      <c r="DK1028">
        <v>2643</v>
      </c>
      <c r="DL1028" t="s">
        <v>120</v>
      </c>
      <c r="DM1028" t="s">
        <v>120</v>
      </c>
      <c r="DN1028" t="s">
        <v>120</v>
      </c>
    </row>
    <row r="1029" spans="1:118">
      <c r="A1029" t="str">
        <f>"002644"</f>
        <v>002644</v>
      </c>
      <c r="B1029" t="s">
        <v>5859</v>
      </c>
      <c r="C1029">
        <v>0</v>
      </c>
      <c r="D1029">
        <v>0.14000000000000001</v>
      </c>
      <c r="E1029">
        <v>0</v>
      </c>
      <c r="F1029">
        <v>25</v>
      </c>
      <c r="G1029" t="s">
        <v>5860</v>
      </c>
      <c r="H1029">
        <v>1055.5899999999999</v>
      </c>
      <c r="I1029">
        <v>1.55</v>
      </c>
      <c r="J1029" t="s">
        <v>120</v>
      </c>
      <c r="K1029" t="s">
        <v>5162</v>
      </c>
      <c r="L1029">
        <v>0.28000000000000003</v>
      </c>
      <c r="M1029">
        <v>7.38</v>
      </c>
      <c r="N1029">
        <v>0.69</v>
      </c>
      <c r="O1029">
        <v>1.22</v>
      </c>
      <c r="P1029">
        <v>7.47</v>
      </c>
      <c r="Q1029">
        <v>-0.54</v>
      </c>
      <c r="R1029">
        <v>7.34</v>
      </c>
      <c r="S1029">
        <v>7.38</v>
      </c>
      <c r="T1029">
        <v>14252</v>
      </c>
      <c r="U1029">
        <v>7.38</v>
      </c>
      <c r="V1029">
        <v>7.38</v>
      </c>
      <c r="W1029">
        <v>38.03</v>
      </c>
      <c r="X1029" t="s">
        <v>771</v>
      </c>
      <c r="Y1029" t="s">
        <v>1082</v>
      </c>
      <c r="Z1029">
        <v>1.76</v>
      </c>
      <c r="AA1029">
        <v>7.41</v>
      </c>
      <c r="AB1029">
        <v>6799</v>
      </c>
      <c r="AC1029">
        <v>7453</v>
      </c>
      <c r="AD1029">
        <v>0.91</v>
      </c>
      <c r="AE1029">
        <v>101</v>
      </c>
      <c r="AF1029">
        <v>315</v>
      </c>
      <c r="AG1029" t="s">
        <v>120</v>
      </c>
      <c r="AH1029">
        <v>0</v>
      </c>
      <c r="AI1029" t="s">
        <v>120</v>
      </c>
      <c r="AJ1029">
        <v>5.1100000000000003</v>
      </c>
      <c r="AK1029" t="s">
        <v>5162</v>
      </c>
      <c r="AL1029">
        <v>1.91</v>
      </c>
      <c r="AM1029">
        <v>677</v>
      </c>
      <c r="AN1029">
        <v>21</v>
      </c>
      <c r="AO1029">
        <v>4.0000000000000002E-4</v>
      </c>
      <c r="AP1029">
        <v>0</v>
      </c>
      <c r="AQ1029">
        <v>-0.81</v>
      </c>
      <c r="AR1029">
        <v>-1.47</v>
      </c>
      <c r="AS1029">
        <v>-0.14000000000000001</v>
      </c>
      <c r="AT1029">
        <v>-10.11</v>
      </c>
      <c r="AU1029">
        <v>6.03</v>
      </c>
      <c r="AV1029">
        <v>0</v>
      </c>
      <c r="AW1029">
        <v>0.73</v>
      </c>
      <c r="AX1029">
        <v>38.369999999999997</v>
      </c>
      <c r="AY1029">
        <v>58.9</v>
      </c>
      <c r="AZ1029">
        <v>33.65</v>
      </c>
      <c r="BA1029">
        <v>0.45</v>
      </c>
      <c r="BB1029" t="s">
        <v>125</v>
      </c>
      <c r="BF1029">
        <v>0.36</v>
      </c>
      <c r="BG1029">
        <v>0</v>
      </c>
      <c r="BH1029">
        <v>-1.2</v>
      </c>
      <c r="BI1029">
        <v>0.54</v>
      </c>
      <c r="BJ1029">
        <v>20210821</v>
      </c>
      <c r="BK1029">
        <v>20111222</v>
      </c>
      <c r="BL1029">
        <v>5.1100000000000003</v>
      </c>
      <c r="BM1029" t="s">
        <v>120</v>
      </c>
      <c r="BN1029" t="s">
        <v>120</v>
      </c>
      <c r="BO1029">
        <v>23.6</v>
      </c>
      <c r="BP1029">
        <v>7.37</v>
      </c>
      <c r="BQ1029">
        <v>15.79</v>
      </c>
      <c r="BR1029">
        <v>0.08</v>
      </c>
      <c r="BS1029">
        <v>32.72</v>
      </c>
      <c r="BT1029">
        <v>11.6</v>
      </c>
      <c r="BU1029">
        <v>9.35</v>
      </c>
      <c r="BV1029">
        <v>0.73</v>
      </c>
      <c r="BW1029">
        <v>4.5999999999999996</v>
      </c>
      <c r="BX1029">
        <v>3.9</v>
      </c>
      <c r="BY1029">
        <v>2.81</v>
      </c>
      <c r="BZ1029">
        <v>2.9</v>
      </c>
      <c r="CA1029" t="s">
        <v>120</v>
      </c>
      <c r="CB1029">
        <v>3.43</v>
      </c>
      <c r="CC1029">
        <v>3.87</v>
      </c>
      <c r="CD1029">
        <v>2.8</v>
      </c>
      <c r="CE1029">
        <v>0.56000000000000005</v>
      </c>
      <c r="CF1029">
        <v>0.01</v>
      </c>
      <c r="CG1029">
        <v>0.56000000000000005</v>
      </c>
      <c r="CH1029">
        <v>0.49</v>
      </c>
      <c r="CI1029">
        <v>0.5</v>
      </c>
      <c r="CJ1029">
        <v>0</v>
      </c>
      <c r="CK1029">
        <v>0.31</v>
      </c>
      <c r="CL1029">
        <v>6.28</v>
      </c>
      <c r="CM1029">
        <v>0.57999999999999996</v>
      </c>
      <c r="CN1029">
        <v>-0.22</v>
      </c>
      <c r="CO1029">
        <v>30507</v>
      </c>
      <c r="CP1029">
        <v>6423</v>
      </c>
      <c r="CQ1029" t="s">
        <v>5861</v>
      </c>
      <c r="CR1029">
        <v>-49.21</v>
      </c>
      <c r="CS1029">
        <v>17.760000000000002</v>
      </c>
      <c r="CT1029">
        <v>2.39</v>
      </c>
      <c r="CU1029">
        <v>65.040000000000006</v>
      </c>
      <c r="CV1029">
        <v>9.74</v>
      </c>
      <c r="CW1029">
        <v>1.63</v>
      </c>
      <c r="CX1029" t="s">
        <v>4020</v>
      </c>
      <c r="CY1029">
        <v>3.09</v>
      </c>
      <c r="CZ1029">
        <v>0</v>
      </c>
      <c r="DA1029">
        <v>0.67</v>
      </c>
      <c r="DB1029">
        <v>1.23</v>
      </c>
      <c r="DC1029">
        <v>0.11</v>
      </c>
      <c r="DD1029">
        <v>66.930000000000007</v>
      </c>
      <c r="DE1029" t="s">
        <v>3197</v>
      </c>
      <c r="DF1029">
        <v>27.52</v>
      </c>
      <c r="DG1029">
        <v>14.45</v>
      </c>
      <c r="DH1029">
        <v>12.81</v>
      </c>
      <c r="DI1029">
        <v>0.06</v>
      </c>
      <c r="DJ1029">
        <v>1333</v>
      </c>
      <c r="DK1029">
        <v>2644</v>
      </c>
      <c r="DL1029" t="s">
        <v>120</v>
      </c>
      <c r="DM1029" t="s">
        <v>120</v>
      </c>
      <c r="DN1029" t="s">
        <v>120</v>
      </c>
    </row>
    <row r="1030" spans="1:118">
      <c r="A1030" t="str">
        <f>"002645"</f>
        <v>002645</v>
      </c>
      <c r="B1030" t="s">
        <v>5862</v>
      </c>
      <c r="C1030">
        <v>-7</v>
      </c>
      <c r="D1030">
        <v>0</v>
      </c>
      <c r="E1030">
        <v>2.52</v>
      </c>
      <c r="F1030">
        <v>811</v>
      </c>
      <c r="G1030" t="s">
        <v>5863</v>
      </c>
      <c r="H1030">
        <v>28193.27</v>
      </c>
      <c r="I1030">
        <v>327.05</v>
      </c>
      <c r="J1030" t="s">
        <v>120</v>
      </c>
      <c r="K1030" t="s">
        <v>5864</v>
      </c>
      <c r="L1030">
        <v>2.79</v>
      </c>
      <c r="M1030">
        <v>21.39</v>
      </c>
      <c r="N1030">
        <v>0.78</v>
      </c>
      <c r="O1030">
        <v>2.74</v>
      </c>
      <c r="P1030">
        <v>23.63</v>
      </c>
      <c r="Q1030">
        <v>-7.65</v>
      </c>
      <c r="R1030">
        <v>21.24</v>
      </c>
      <c r="S1030">
        <v>23.58</v>
      </c>
      <c r="T1030">
        <v>127982</v>
      </c>
      <c r="U1030">
        <v>21.39</v>
      </c>
      <c r="V1030">
        <v>23</v>
      </c>
      <c r="W1030">
        <v>24.27</v>
      </c>
      <c r="X1030" t="s">
        <v>675</v>
      </c>
      <c r="Y1030" t="s">
        <v>319</v>
      </c>
      <c r="Z1030">
        <v>10.39</v>
      </c>
      <c r="AA1030">
        <v>22.03</v>
      </c>
      <c r="AB1030">
        <v>75238</v>
      </c>
      <c r="AC1030">
        <v>52744</v>
      </c>
      <c r="AD1030">
        <v>1.43</v>
      </c>
      <c r="AE1030">
        <v>131</v>
      </c>
      <c r="AF1030">
        <v>3</v>
      </c>
      <c r="AG1030" t="s">
        <v>120</v>
      </c>
      <c r="AH1030">
        <v>0.06</v>
      </c>
      <c r="AI1030" t="s">
        <v>120</v>
      </c>
      <c r="AJ1030">
        <v>4.58</v>
      </c>
      <c r="AK1030" t="s">
        <v>5865</v>
      </c>
      <c r="AL1030">
        <v>-5.09</v>
      </c>
      <c r="AM1030">
        <v>4092</v>
      </c>
      <c r="AN1030">
        <v>31</v>
      </c>
      <c r="AO1030">
        <v>6.9999999999999999E-4</v>
      </c>
      <c r="AP1030">
        <v>-3</v>
      </c>
      <c r="AQ1030">
        <v>-1.67</v>
      </c>
      <c r="AR1030">
        <v>-8.59</v>
      </c>
      <c r="AS1030">
        <v>16.18</v>
      </c>
      <c r="AT1030">
        <v>49.37</v>
      </c>
      <c r="AU1030">
        <v>137.66999999999999</v>
      </c>
      <c r="AV1030">
        <v>9</v>
      </c>
      <c r="AW1030">
        <v>5.96</v>
      </c>
      <c r="AX1030">
        <v>36.869999999999997</v>
      </c>
      <c r="AY1030">
        <v>32.950000000000003</v>
      </c>
      <c r="AZ1030">
        <v>59.47</v>
      </c>
      <c r="BA1030">
        <v>1.32</v>
      </c>
      <c r="BB1030" t="s">
        <v>143</v>
      </c>
      <c r="BF1030">
        <v>-4.22</v>
      </c>
      <c r="BG1030">
        <v>-9.2899999999999991</v>
      </c>
      <c r="BH1030">
        <v>-9.48</v>
      </c>
      <c r="BI1030">
        <v>0.71</v>
      </c>
      <c r="BJ1030">
        <v>20210910</v>
      </c>
      <c r="BK1030">
        <v>20111220</v>
      </c>
      <c r="BL1030">
        <v>5.82</v>
      </c>
      <c r="BM1030" t="s">
        <v>120</v>
      </c>
      <c r="BN1030" t="s">
        <v>120</v>
      </c>
      <c r="BO1030">
        <v>45.12</v>
      </c>
      <c r="BP1030">
        <v>21.38</v>
      </c>
      <c r="BQ1030">
        <v>32.630000000000003</v>
      </c>
      <c r="BR1030">
        <v>0.68</v>
      </c>
      <c r="BS1030">
        <v>26.18</v>
      </c>
      <c r="BT1030">
        <v>23.96</v>
      </c>
      <c r="BU1030">
        <v>6.5</v>
      </c>
      <c r="BV1030">
        <v>2.31</v>
      </c>
      <c r="BW1030">
        <v>11.42</v>
      </c>
      <c r="BX1030">
        <v>5.69</v>
      </c>
      <c r="BY1030">
        <v>10.84</v>
      </c>
      <c r="BZ1030">
        <v>4.8899999999999997</v>
      </c>
      <c r="CA1030">
        <v>0</v>
      </c>
      <c r="CB1030">
        <v>16.03</v>
      </c>
      <c r="CC1030">
        <v>31.57</v>
      </c>
      <c r="CD1030">
        <v>26.56</v>
      </c>
      <c r="CE1030">
        <v>2.91</v>
      </c>
      <c r="CF1030">
        <v>0.04</v>
      </c>
      <c r="CG1030">
        <v>2.91</v>
      </c>
      <c r="CH1030">
        <v>2.62</v>
      </c>
      <c r="CI1030">
        <v>2.57</v>
      </c>
      <c r="CJ1030">
        <v>-1.61</v>
      </c>
      <c r="CK1030">
        <v>2.4</v>
      </c>
      <c r="CL1030">
        <v>9.89</v>
      </c>
      <c r="CM1030">
        <v>4.6500000000000004</v>
      </c>
      <c r="CN1030">
        <v>2.7</v>
      </c>
      <c r="CO1030">
        <v>23477</v>
      </c>
      <c r="CP1030">
        <v>9147</v>
      </c>
      <c r="CQ1030" t="s">
        <v>5866</v>
      </c>
      <c r="CR1030">
        <v>240.65</v>
      </c>
      <c r="CS1030">
        <v>164.82</v>
      </c>
      <c r="CT1030">
        <v>3.82</v>
      </c>
      <c r="CU1030">
        <v>26.8</v>
      </c>
      <c r="CV1030">
        <v>3.95</v>
      </c>
      <c r="CW1030">
        <v>0.35</v>
      </c>
      <c r="CX1030" t="s">
        <v>194</v>
      </c>
      <c r="CY1030">
        <v>5.6</v>
      </c>
      <c r="CZ1030">
        <v>0</v>
      </c>
      <c r="DA1030">
        <v>2.75</v>
      </c>
      <c r="DB1030">
        <v>1.7</v>
      </c>
      <c r="DC1030">
        <v>0.8</v>
      </c>
      <c r="DD1030">
        <v>72.31</v>
      </c>
      <c r="DE1030" t="s">
        <v>2499</v>
      </c>
      <c r="DF1030">
        <v>15.88</v>
      </c>
      <c r="DG1030">
        <v>9.2200000000000006</v>
      </c>
      <c r="DH1030">
        <v>8.1300000000000008</v>
      </c>
      <c r="DI1030">
        <v>1.04</v>
      </c>
      <c r="DJ1030">
        <v>1932</v>
      </c>
      <c r="DK1030">
        <v>2645</v>
      </c>
      <c r="DL1030" t="s">
        <v>120</v>
      </c>
      <c r="DM1030" t="s">
        <v>120</v>
      </c>
      <c r="DN1030" t="s">
        <v>120</v>
      </c>
    </row>
    <row r="1031" spans="1:118">
      <c r="A1031" t="str">
        <f>"002646"</f>
        <v>002646</v>
      </c>
      <c r="B1031" t="s">
        <v>5867</v>
      </c>
      <c r="C1031">
        <v>0.16</v>
      </c>
      <c r="D1031">
        <v>-0.04</v>
      </c>
      <c r="E1031">
        <v>-0.05</v>
      </c>
      <c r="F1031">
        <v>461</v>
      </c>
      <c r="G1031" t="s">
        <v>3387</v>
      </c>
      <c r="H1031">
        <v>16297.18</v>
      </c>
      <c r="I1031">
        <v>35.979999999999997</v>
      </c>
      <c r="J1031" t="s">
        <v>120</v>
      </c>
      <c r="K1031" t="s">
        <v>5868</v>
      </c>
      <c r="L1031">
        <v>1.89</v>
      </c>
      <c r="M1031">
        <v>19.18</v>
      </c>
      <c r="N1031">
        <v>0.88</v>
      </c>
      <c r="O1031">
        <v>1.83</v>
      </c>
      <c r="P1031">
        <v>19.5</v>
      </c>
      <c r="Q1031">
        <v>-1.57</v>
      </c>
      <c r="R1031">
        <v>18.850000000000001</v>
      </c>
      <c r="S1031">
        <v>19.14</v>
      </c>
      <c r="T1031">
        <v>84860</v>
      </c>
      <c r="U1031">
        <v>19.190000000000001</v>
      </c>
      <c r="V1031">
        <v>19.149999999999999</v>
      </c>
      <c r="W1031">
        <v>60.25</v>
      </c>
      <c r="X1031" t="s">
        <v>1165</v>
      </c>
      <c r="Y1031" t="s">
        <v>691</v>
      </c>
      <c r="Z1031">
        <v>3.39</v>
      </c>
      <c r="AA1031">
        <v>19.2</v>
      </c>
      <c r="AB1031">
        <v>40328</v>
      </c>
      <c r="AC1031">
        <v>44532</v>
      </c>
      <c r="AD1031">
        <v>0.91</v>
      </c>
      <c r="AE1031">
        <v>193</v>
      </c>
      <c r="AF1031">
        <v>603</v>
      </c>
      <c r="AG1031" t="s">
        <v>120</v>
      </c>
      <c r="AH1031">
        <v>0.01</v>
      </c>
      <c r="AI1031" t="s">
        <v>120</v>
      </c>
      <c r="AJ1031">
        <v>4.5</v>
      </c>
      <c r="AK1031" t="s">
        <v>783</v>
      </c>
      <c r="AL1031">
        <v>2.0699999999999998</v>
      </c>
      <c r="AM1031">
        <v>3288</v>
      </c>
      <c r="AN1031">
        <v>26</v>
      </c>
      <c r="AO1031">
        <v>5.9999999999999995E-4</v>
      </c>
      <c r="AP1031">
        <v>1</v>
      </c>
      <c r="AQ1031">
        <v>-2.94</v>
      </c>
      <c r="AR1031">
        <v>-1.69</v>
      </c>
      <c r="AS1031">
        <v>-3.57</v>
      </c>
      <c r="AT1031">
        <v>-11.94</v>
      </c>
      <c r="AU1031">
        <v>-4.53</v>
      </c>
      <c r="AV1031">
        <v>19</v>
      </c>
      <c r="AW1031">
        <v>4.1900000000000004</v>
      </c>
      <c r="AX1031">
        <v>42.84</v>
      </c>
      <c r="AY1031" t="s">
        <v>120</v>
      </c>
      <c r="AZ1031" t="s">
        <v>120</v>
      </c>
      <c r="BA1031">
        <v>1.26</v>
      </c>
      <c r="BB1031" t="s">
        <v>143</v>
      </c>
      <c r="BF1031">
        <v>0.28999999999999998</v>
      </c>
      <c r="BG1031">
        <v>0.21</v>
      </c>
      <c r="BH1031">
        <v>-1.64</v>
      </c>
      <c r="BI1031">
        <v>1.75</v>
      </c>
      <c r="BJ1031">
        <v>20210827</v>
      </c>
      <c r="BK1031">
        <v>20111222</v>
      </c>
      <c r="BL1031">
        <v>4.7300000000000004</v>
      </c>
      <c r="BM1031" t="s">
        <v>120</v>
      </c>
      <c r="BN1031" t="s">
        <v>120</v>
      </c>
      <c r="BO1031">
        <v>26.94</v>
      </c>
      <c r="BP1031">
        <v>19.18</v>
      </c>
      <c r="BQ1031">
        <v>23.21</v>
      </c>
      <c r="BR1031">
        <v>-0.18</v>
      </c>
      <c r="BS1031">
        <v>14.51</v>
      </c>
      <c r="BT1031">
        <v>12.92</v>
      </c>
      <c r="BU1031">
        <v>11.01</v>
      </c>
      <c r="BV1031">
        <v>1.58</v>
      </c>
      <c r="BW1031">
        <v>3.7</v>
      </c>
      <c r="BX1031">
        <v>2.85</v>
      </c>
      <c r="BY1031">
        <v>9.61</v>
      </c>
      <c r="BZ1031">
        <v>0.18</v>
      </c>
      <c r="CA1031" t="s">
        <v>120</v>
      </c>
      <c r="CB1031">
        <v>8.61</v>
      </c>
      <c r="CC1031">
        <v>5.79</v>
      </c>
      <c r="CD1031">
        <v>2.12</v>
      </c>
      <c r="CE1031">
        <v>0.99</v>
      </c>
      <c r="CF1031">
        <v>0</v>
      </c>
      <c r="CG1031">
        <v>1</v>
      </c>
      <c r="CH1031">
        <v>0.73</v>
      </c>
      <c r="CI1031">
        <v>0.75</v>
      </c>
      <c r="CJ1031">
        <v>0.03</v>
      </c>
      <c r="CK1031">
        <v>0.64</v>
      </c>
      <c r="CL1031">
        <v>8.57</v>
      </c>
      <c r="CM1031">
        <v>0.82</v>
      </c>
      <c r="CN1031">
        <v>0.38</v>
      </c>
      <c r="CO1031">
        <v>76627</v>
      </c>
      <c r="CP1031">
        <v>2642</v>
      </c>
      <c r="CQ1031" t="s">
        <v>5869</v>
      </c>
      <c r="CR1031">
        <v>314.49</v>
      </c>
      <c r="CS1031">
        <v>63.61</v>
      </c>
      <c r="CT1031">
        <v>3.72</v>
      </c>
      <c r="CU1031">
        <v>109.92</v>
      </c>
      <c r="CV1031">
        <v>15.65</v>
      </c>
      <c r="CW1031">
        <v>0</v>
      </c>
      <c r="CX1031" t="s">
        <v>1193</v>
      </c>
      <c r="CY1031">
        <v>5.16</v>
      </c>
      <c r="CZ1031">
        <v>5.16</v>
      </c>
      <c r="DA1031">
        <v>1.82</v>
      </c>
      <c r="DB1031">
        <v>1.81</v>
      </c>
      <c r="DC1031">
        <v>0.17</v>
      </c>
      <c r="DD1031">
        <v>86.14</v>
      </c>
      <c r="DE1031" t="s">
        <v>5870</v>
      </c>
      <c r="DF1031">
        <v>63.35</v>
      </c>
      <c r="DG1031">
        <v>17.03</v>
      </c>
      <c r="DH1031">
        <v>12.99</v>
      </c>
      <c r="DI1031">
        <v>0.06</v>
      </c>
      <c r="DJ1031">
        <v>2019</v>
      </c>
      <c r="DK1031">
        <v>2646</v>
      </c>
      <c r="DL1031">
        <v>20210830</v>
      </c>
      <c r="DM1031">
        <v>19.14</v>
      </c>
      <c r="DN1031">
        <v>0.21</v>
      </c>
    </row>
    <row r="1032" spans="1:118">
      <c r="A1032" t="str">
        <f>"002647"</f>
        <v>002647</v>
      </c>
      <c r="B1032" t="s">
        <v>5871</v>
      </c>
      <c r="C1032">
        <v>-2.65</v>
      </c>
      <c r="D1032">
        <v>0</v>
      </c>
      <c r="E1032">
        <v>1.06</v>
      </c>
      <c r="F1032">
        <v>7734</v>
      </c>
      <c r="G1032" t="s">
        <v>5534</v>
      </c>
      <c r="H1032">
        <v>84496.31</v>
      </c>
      <c r="I1032">
        <v>1777.06</v>
      </c>
      <c r="J1032" t="s">
        <v>120</v>
      </c>
      <c r="K1032" t="s">
        <v>5872</v>
      </c>
      <c r="L1032">
        <v>15.93</v>
      </c>
      <c r="M1032">
        <v>9.1999999999999993</v>
      </c>
      <c r="N1032">
        <v>0.95</v>
      </c>
      <c r="O1032">
        <v>4.2300000000000004</v>
      </c>
      <c r="P1032">
        <v>9.85</v>
      </c>
      <c r="Q1032">
        <v>-3.49</v>
      </c>
      <c r="R1032">
        <v>9.1199999999999992</v>
      </c>
      <c r="S1032">
        <v>9.5500000000000007</v>
      </c>
      <c r="T1032">
        <v>891747</v>
      </c>
      <c r="U1032">
        <v>9.2100000000000009</v>
      </c>
      <c r="V1032">
        <v>9.4499999999999993</v>
      </c>
      <c r="W1032" t="s">
        <v>120</v>
      </c>
      <c r="X1032" t="s">
        <v>721</v>
      </c>
      <c r="Y1032" t="s">
        <v>585</v>
      </c>
      <c r="Z1032">
        <v>7.72</v>
      </c>
      <c r="AA1032">
        <v>9.48</v>
      </c>
      <c r="AB1032">
        <v>474570</v>
      </c>
      <c r="AC1032">
        <v>417177</v>
      </c>
      <c r="AD1032">
        <v>1.1399999999999999</v>
      </c>
      <c r="AE1032">
        <v>355</v>
      </c>
      <c r="AF1032">
        <v>140</v>
      </c>
      <c r="AG1032" t="s">
        <v>120</v>
      </c>
      <c r="AH1032">
        <v>0.47</v>
      </c>
      <c r="AI1032" t="s">
        <v>120</v>
      </c>
      <c r="AJ1032">
        <v>5.6</v>
      </c>
      <c r="AK1032" t="s">
        <v>5872</v>
      </c>
      <c r="AL1032">
        <v>-0.73</v>
      </c>
      <c r="AM1032">
        <v>4615</v>
      </c>
      <c r="AN1032">
        <v>193</v>
      </c>
      <c r="AO1032">
        <v>3.5000000000000001E-3</v>
      </c>
      <c r="AP1032">
        <v>-2</v>
      </c>
      <c r="AQ1032">
        <v>-0.53</v>
      </c>
      <c r="AR1032">
        <v>6.47</v>
      </c>
      <c r="AS1032">
        <v>16.46</v>
      </c>
      <c r="AT1032">
        <v>-14.81</v>
      </c>
      <c r="AU1032">
        <v>-18.22</v>
      </c>
      <c r="AV1032">
        <v>24</v>
      </c>
      <c r="AW1032">
        <v>22.4</v>
      </c>
      <c r="AX1032">
        <v>71.11</v>
      </c>
      <c r="AY1032" t="s">
        <v>120</v>
      </c>
      <c r="AZ1032" t="s">
        <v>120</v>
      </c>
      <c r="BA1032">
        <v>0.68</v>
      </c>
      <c r="BB1032" t="s">
        <v>143</v>
      </c>
      <c r="BF1032">
        <v>0.27</v>
      </c>
      <c r="BG1032">
        <v>-3.66</v>
      </c>
      <c r="BH1032">
        <v>-6.6</v>
      </c>
      <c r="BI1032">
        <v>0.88</v>
      </c>
      <c r="BJ1032">
        <v>20210830</v>
      </c>
      <c r="BK1032">
        <v>20111228</v>
      </c>
      <c r="BL1032">
        <v>5.6</v>
      </c>
      <c r="BM1032" t="s">
        <v>120</v>
      </c>
      <c r="BN1032" t="s">
        <v>120</v>
      </c>
      <c r="BO1032">
        <v>40.630000000000003</v>
      </c>
      <c r="BP1032">
        <v>9.1999999999999993</v>
      </c>
      <c r="BQ1032">
        <v>5.05</v>
      </c>
      <c r="BR1032">
        <v>0.44</v>
      </c>
      <c r="BS1032">
        <v>86.48</v>
      </c>
      <c r="BT1032">
        <v>24.41</v>
      </c>
      <c r="BU1032">
        <v>2.38</v>
      </c>
      <c r="BV1032">
        <v>0.22</v>
      </c>
      <c r="BW1032">
        <v>35.11</v>
      </c>
      <c r="BX1032">
        <v>21.14</v>
      </c>
      <c r="BY1032">
        <v>0</v>
      </c>
      <c r="BZ1032">
        <v>1.93</v>
      </c>
      <c r="CA1032" t="s">
        <v>120</v>
      </c>
      <c r="CB1032">
        <v>1.91</v>
      </c>
      <c r="CC1032">
        <v>8.7899999999999991</v>
      </c>
      <c r="CD1032">
        <v>7.18</v>
      </c>
      <c r="CE1032">
        <v>0.03</v>
      </c>
      <c r="CF1032">
        <v>0</v>
      </c>
      <c r="CG1032">
        <v>0.06</v>
      </c>
      <c r="CH1032">
        <v>-7.0000000000000007E-2</v>
      </c>
      <c r="CI1032">
        <v>-0.11</v>
      </c>
      <c r="CJ1032">
        <v>-0.25</v>
      </c>
      <c r="CK1032">
        <v>-0.14000000000000001</v>
      </c>
      <c r="CL1032">
        <v>-1.93</v>
      </c>
      <c r="CM1032">
        <v>0.85</v>
      </c>
      <c r="CN1032">
        <v>-0.16</v>
      </c>
      <c r="CO1032">
        <v>138603</v>
      </c>
      <c r="CP1032">
        <v>2873</v>
      </c>
      <c r="CQ1032" t="s">
        <v>5873</v>
      </c>
      <c r="CR1032">
        <v>44.55</v>
      </c>
      <c r="CS1032">
        <v>-31.44</v>
      </c>
      <c r="CT1032">
        <v>10.199999999999999</v>
      </c>
      <c r="CU1032">
        <v>60.78</v>
      </c>
      <c r="CV1032">
        <v>5.86</v>
      </c>
      <c r="CW1032">
        <v>0</v>
      </c>
      <c r="CX1032" t="s">
        <v>419</v>
      </c>
      <c r="CY1032">
        <v>0.9</v>
      </c>
      <c r="CZ1032">
        <v>0</v>
      </c>
      <c r="DA1032">
        <v>0.34</v>
      </c>
      <c r="DB1032">
        <v>-0.34</v>
      </c>
      <c r="DC1032">
        <v>0.15</v>
      </c>
      <c r="DD1032">
        <v>12.43</v>
      </c>
      <c r="DE1032" t="s">
        <v>5874</v>
      </c>
      <c r="DF1032">
        <v>18.34</v>
      </c>
      <c r="DG1032">
        <v>0.34</v>
      </c>
      <c r="DH1032">
        <v>-1.26</v>
      </c>
      <c r="DI1032">
        <v>0.24</v>
      </c>
      <c r="DJ1032">
        <v>339</v>
      </c>
      <c r="DK1032">
        <v>2647</v>
      </c>
      <c r="DL1032">
        <v>20210908</v>
      </c>
      <c r="DM1032">
        <v>8.2799999999999994</v>
      </c>
      <c r="DN1032">
        <v>11.11</v>
      </c>
    </row>
    <row r="1033" spans="1:118">
      <c r="A1033" t="str">
        <f>"002648"</f>
        <v>002648</v>
      </c>
      <c r="B1033" t="s">
        <v>5875</v>
      </c>
      <c r="C1033">
        <v>3.04</v>
      </c>
      <c r="D1033">
        <v>0.06</v>
      </c>
      <c r="E1033">
        <v>1.21</v>
      </c>
      <c r="F1033">
        <v>2231</v>
      </c>
      <c r="G1033" t="s">
        <v>5876</v>
      </c>
      <c r="H1033">
        <v>138178.38</v>
      </c>
      <c r="I1033">
        <v>446.05</v>
      </c>
      <c r="J1033" t="s">
        <v>120</v>
      </c>
      <c r="K1033" t="s">
        <v>5877</v>
      </c>
      <c r="L1033">
        <v>1.7</v>
      </c>
      <c r="M1033">
        <v>46.72</v>
      </c>
      <c r="N1033">
        <v>1.08</v>
      </c>
      <c r="O1033">
        <v>7.37</v>
      </c>
      <c r="P1033">
        <v>48.68</v>
      </c>
      <c r="Q1033">
        <v>1.19</v>
      </c>
      <c r="R1033">
        <v>45.88</v>
      </c>
      <c r="S1033">
        <v>45.89</v>
      </c>
      <c r="T1033">
        <v>291431</v>
      </c>
      <c r="U1033">
        <v>46.72</v>
      </c>
      <c r="V1033">
        <v>45.34</v>
      </c>
      <c r="W1033">
        <v>18.899999999999999</v>
      </c>
      <c r="X1033" t="s">
        <v>868</v>
      </c>
      <c r="Y1033" t="s">
        <v>585</v>
      </c>
      <c r="Z1033">
        <v>6.18</v>
      </c>
      <c r="AA1033">
        <v>47.41</v>
      </c>
      <c r="AB1033">
        <v>126980</v>
      </c>
      <c r="AC1033">
        <v>164451</v>
      </c>
      <c r="AD1033">
        <v>0.77</v>
      </c>
      <c r="AE1033">
        <v>6</v>
      </c>
      <c r="AF1033">
        <v>98</v>
      </c>
      <c r="AG1033" t="s">
        <v>120</v>
      </c>
      <c r="AH1033">
        <v>0.01</v>
      </c>
      <c r="AI1033" t="s">
        <v>120</v>
      </c>
      <c r="AJ1033">
        <v>17.14</v>
      </c>
      <c r="AK1033" t="s">
        <v>5878</v>
      </c>
      <c r="AL1033">
        <v>4.96</v>
      </c>
      <c r="AM1033">
        <v>4462</v>
      </c>
      <c r="AN1033">
        <v>65</v>
      </c>
      <c r="AO1033">
        <v>4.0000000000000002E-4</v>
      </c>
      <c r="AP1033">
        <v>1</v>
      </c>
      <c r="AQ1033">
        <v>-1.26</v>
      </c>
      <c r="AR1033">
        <v>4.24</v>
      </c>
      <c r="AS1033">
        <v>11.61</v>
      </c>
      <c r="AT1033">
        <v>31.79</v>
      </c>
      <c r="AU1033">
        <v>152.06</v>
      </c>
      <c r="AV1033">
        <v>3</v>
      </c>
      <c r="AW1033">
        <v>3.84</v>
      </c>
      <c r="AX1033">
        <v>44.09</v>
      </c>
      <c r="AY1033">
        <v>23.55</v>
      </c>
      <c r="AZ1033">
        <v>46.95</v>
      </c>
      <c r="BA1033">
        <v>0.98</v>
      </c>
      <c r="BB1033" t="s">
        <v>143</v>
      </c>
      <c r="BF1033">
        <v>4.57</v>
      </c>
      <c r="BG1033">
        <v>1.81</v>
      </c>
      <c r="BH1033">
        <v>-4.03</v>
      </c>
      <c r="BI1033">
        <v>1.83</v>
      </c>
      <c r="BJ1033">
        <v>20210806</v>
      </c>
      <c r="BK1033">
        <v>20111228</v>
      </c>
      <c r="BL1033">
        <v>17.2</v>
      </c>
      <c r="BM1033" t="s">
        <v>120</v>
      </c>
      <c r="BN1033" t="s">
        <v>120</v>
      </c>
      <c r="BO1033">
        <v>430.03</v>
      </c>
      <c r="BP1033">
        <v>46.71</v>
      </c>
      <c r="BQ1033">
        <v>155.84</v>
      </c>
      <c r="BR1033">
        <v>0.12</v>
      </c>
      <c r="BS1033">
        <v>63.73</v>
      </c>
      <c r="BT1033">
        <v>135.88</v>
      </c>
      <c r="BU1033">
        <v>126.9</v>
      </c>
      <c r="BV1033">
        <v>8.49</v>
      </c>
      <c r="BW1033">
        <v>69.48</v>
      </c>
      <c r="BX1033">
        <v>70.58</v>
      </c>
      <c r="BY1033">
        <v>25.29</v>
      </c>
      <c r="BZ1033">
        <v>5.65</v>
      </c>
      <c r="CA1033" t="s">
        <v>120</v>
      </c>
      <c r="CB1033">
        <v>65.650000000000006</v>
      </c>
      <c r="CC1033">
        <v>107.7</v>
      </c>
      <c r="CD1033">
        <v>74.47</v>
      </c>
      <c r="CE1033">
        <v>25.2</v>
      </c>
      <c r="CF1033">
        <v>1.43</v>
      </c>
      <c r="CG1033">
        <v>25.29</v>
      </c>
      <c r="CH1033">
        <v>21.25</v>
      </c>
      <c r="CI1033">
        <v>21.26</v>
      </c>
      <c r="CJ1033">
        <v>1.38</v>
      </c>
      <c r="CK1033">
        <v>20.3</v>
      </c>
      <c r="CL1033">
        <v>69.38</v>
      </c>
      <c r="CM1033">
        <v>5.84</v>
      </c>
      <c r="CN1033">
        <v>1.32</v>
      </c>
      <c r="CO1033">
        <v>29012</v>
      </c>
      <c r="CP1033">
        <v>26137</v>
      </c>
      <c r="CQ1033" t="s">
        <v>5879</v>
      </c>
      <c r="CR1033">
        <v>348.1</v>
      </c>
      <c r="CS1033">
        <v>125.68</v>
      </c>
      <c r="CT1033">
        <v>5.16</v>
      </c>
      <c r="CU1033">
        <v>137.58000000000001</v>
      </c>
      <c r="CV1033">
        <v>7.46</v>
      </c>
      <c r="CW1033">
        <v>0.27</v>
      </c>
      <c r="CX1033" t="s">
        <v>5880</v>
      </c>
      <c r="CY1033">
        <v>9.06</v>
      </c>
      <c r="CZ1033">
        <v>0</v>
      </c>
      <c r="DA1033">
        <v>3.82</v>
      </c>
      <c r="DB1033">
        <v>4.03</v>
      </c>
      <c r="DC1033">
        <v>0.34</v>
      </c>
      <c r="DD1033">
        <v>36.24</v>
      </c>
      <c r="DE1033" t="s">
        <v>5881</v>
      </c>
      <c r="DF1033">
        <v>30.85</v>
      </c>
      <c r="DG1033">
        <v>23.4</v>
      </c>
      <c r="DH1033">
        <v>19.739999999999998</v>
      </c>
      <c r="DI1033">
        <v>3.74</v>
      </c>
      <c r="DJ1033">
        <v>3271</v>
      </c>
      <c r="DK1033">
        <v>2648</v>
      </c>
      <c r="DL1033" t="s">
        <v>120</v>
      </c>
      <c r="DM1033" t="s">
        <v>120</v>
      </c>
      <c r="DN1033" t="s">
        <v>120</v>
      </c>
    </row>
    <row r="1034" spans="1:118">
      <c r="A1034" t="str">
        <f>"002649"</f>
        <v>002649</v>
      </c>
      <c r="B1034" t="s">
        <v>5882</v>
      </c>
      <c r="C1034">
        <v>1.44</v>
      </c>
      <c r="D1034">
        <v>-0.08</v>
      </c>
      <c r="E1034">
        <v>-0.19</v>
      </c>
      <c r="F1034">
        <v>1938</v>
      </c>
      <c r="G1034" t="s">
        <v>5883</v>
      </c>
      <c r="H1034">
        <v>18154.09</v>
      </c>
      <c r="I1034">
        <v>42.41</v>
      </c>
      <c r="J1034" t="s">
        <v>120</v>
      </c>
      <c r="K1034" t="s">
        <v>5884</v>
      </c>
      <c r="L1034">
        <v>3.7</v>
      </c>
      <c r="M1034">
        <v>10.59</v>
      </c>
      <c r="N1034">
        <v>1.38</v>
      </c>
      <c r="O1034">
        <v>1.82</v>
      </c>
      <c r="P1034">
        <v>10.63</v>
      </c>
      <c r="Q1034">
        <v>-1.82</v>
      </c>
      <c r="R1034">
        <v>10.25</v>
      </c>
      <c r="S1034">
        <v>10.42</v>
      </c>
      <c r="T1034">
        <v>173395</v>
      </c>
      <c r="U1034">
        <v>10.6</v>
      </c>
      <c r="V1034">
        <v>10.44</v>
      </c>
      <c r="W1034">
        <v>16.07</v>
      </c>
      <c r="X1034" t="s">
        <v>141</v>
      </c>
      <c r="Y1034" t="s">
        <v>158</v>
      </c>
      <c r="Z1034">
        <v>3.64</v>
      </c>
      <c r="AA1034">
        <v>10.47</v>
      </c>
      <c r="AB1034">
        <v>82552</v>
      </c>
      <c r="AC1034">
        <v>90843</v>
      </c>
      <c r="AD1034">
        <v>0.91</v>
      </c>
      <c r="AE1034">
        <v>744</v>
      </c>
      <c r="AF1034">
        <v>673</v>
      </c>
      <c r="AG1034" t="s">
        <v>120</v>
      </c>
      <c r="AH1034">
        <v>0.01</v>
      </c>
      <c r="AI1034" t="s">
        <v>120</v>
      </c>
      <c r="AJ1034">
        <v>4.6900000000000004</v>
      </c>
      <c r="AK1034" t="s">
        <v>4046</v>
      </c>
      <c r="AL1034">
        <v>3.35</v>
      </c>
      <c r="AM1034">
        <v>2962</v>
      </c>
      <c r="AN1034">
        <v>59</v>
      </c>
      <c r="AO1034">
        <v>1.1999999999999999E-3</v>
      </c>
      <c r="AP1034">
        <v>2</v>
      </c>
      <c r="AQ1034">
        <v>1.75</v>
      </c>
      <c r="AR1034">
        <v>1.04</v>
      </c>
      <c r="AS1034">
        <v>8.51</v>
      </c>
      <c r="AT1034">
        <v>4.74</v>
      </c>
      <c r="AU1034">
        <v>20.45</v>
      </c>
      <c r="AV1034">
        <v>0</v>
      </c>
      <c r="AW1034">
        <v>4.2</v>
      </c>
      <c r="AX1034">
        <v>77.400000000000006</v>
      </c>
      <c r="AY1034">
        <v>14.2</v>
      </c>
      <c r="AZ1034">
        <v>16.809999999999999</v>
      </c>
      <c r="BA1034">
        <v>0.84</v>
      </c>
      <c r="BB1034" t="s">
        <v>143</v>
      </c>
      <c r="BF1034">
        <v>0.28999999999999998</v>
      </c>
      <c r="BG1034">
        <v>1.63</v>
      </c>
      <c r="BH1034">
        <v>-0.38</v>
      </c>
      <c r="BI1034">
        <v>3.32</v>
      </c>
      <c r="BJ1034">
        <v>20210818</v>
      </c>
      <c r="BK1034">
        <v>20120106</v>
      </c>
      <c r="BL1034">
        <v>5.33</v>
      </c>
      <c r="BM1034" t="s">
        <v>120</v>
      </c>
      <c r="BN1034" t="s">
        <v>120</v>
      </c>
      <c r="BO1034">
        <v>45.44</v>
      </c>
      <c r="BP1034">
        <v>10.59</v>
      </c>
      <c r="BQ1034">
        <v>31.17</v>
      </c>
      <c r="BR1034">
        <v>0.52</v>
      </c>
      <c r="BS1034">
        <v>30.24</v>
      </c>
      <c r="BT1034">
        <v>29.85</v>
      </c>
      <c r="BU1034">
        <v>3.17</v>
      </c>
      <c r="BV1034">
        <v>1.22</v>
      </c>
      <c r="BW1034">
        <v>8.16</v>
      </c>
      <c r="BX1034">
        <v>15.85</v>
      </c>
      <c r="BY1034">
        <v>0.46</v>
      </c>
      <c r="BZ1034">
        <v>12.71</v>
      </c>
      <c r="CA1034">
        <v>0.05</v>
      </c>
      <c r="CB1034">
        <v>9.33</v>
      </c>
      <c r="CC1034">
        <v>24.49</v>
      </c>
      <c r="CD1034">
        <v>18.48</v>
      </c>
      <c r="CE1034">
        <v>1.95</v>
      </c>
      <c r="CF1034">
        <v>0</v>
      </c>
      <c r="CG1034">
        <v>1.97</v>
      </c>
      <c r="CH1034">
        <v>1.72</v>
      </c>
      <c r="CI1034">
        <v>1.76</v>
      </c>
      <c r="CJ1034">
        <v>0.15</v>
      </c>
      <c r="CK1034">
        <v>1.64</v>
      </c>
      <c r="CL1034">
        <v>14.71</v>
      </c>
      <c r="CM1034">
        <v>-0.09</v>
      </c>
      <c r="CN1034">
        <v>-3.61</v>
      </c>
      <c r="CO1034">
        <v>41341</v>
      </c>
      <c r="CP1034">
        <v>9976</v>
      </c>
      <c r="CQ1034" t="s">
        <v>5885</v>
      </c>
      <c r="CR1034">
        <v>53.03</v>
      </c>
      <c r="CS1034">
        <v>23.34</v>
      </c>
      <c r="CT1034">
        <v>1.86</v>
      </c>
      <c r="CU1034">
        <v>-623.37</v>
      </c>
      <c r="CV1034">
        <v>2.2999999999999998</v>
      </c>
      <c r="CW1034">
        <v>2.09</v>
      </c>
      <c r="CX1034" t="s">
        <v>2443</v>
      </c>
      <c r="CY1034">
        <v>5.68</v>
      </c>
      <c r="CZ1034">
        <v>5.68</v>
      </c>
      <c r="DA1034">
        <v>1.75</v>
      </c>
      <c r="DB1034">
        <v>2.76</v>
      </c>
      <c r="DC1034">
        <v>-0.02</v>
      </c>
      <c r="DD1034">
        <v>68.61</v>
      </c>
      <c r="DE1034" t="s">
        <v>2727</v>
      </c>
      <c r="DF1034">
        <v>24.52</v>
      </c>
      <c r="DG1034">
        <v>7.98</v>
      </c>
      <c r="DH1034">
        <v>7.17</v>
      </c>
      <c r="DI1034">
        <v>1.18</v>
      </c>
      <c r="DJ1034">
        <v>20535</v>
      </c>
      <c r="DK1034">
        <v>2649</v>
      </c>
      <c r="DL1034" t="s">
        <v>120</v>
      </c>
      <c r="DM1034" t="s">
        <v>120</v>
      </c>
      <c r="DN1034" t="s">
        <v>120</v>
      </c>
    </row>
    <row r="1035" spans="1:118">
      <c r="A1035" t="str">
        <f>"002650"</f>
        <v>002650</v>
      </c>
      <c r="B1035" t="s">
        <v>5886</v>
      </c>
      <c r="C1035">
        <v>-0.57999999999999996</v>
      </c>
      <c r="D1035">
        <v>0</v>
      </c>
      <c r="E1035">
        <v>-0.57999999999999996</v>
      </c>
      <c r="F1035">
        <v>2526</v>
      </c>
      <c r="G1035" t="s">
        <v>4341</v>
      </c>
      <c r="H1035">
        <v>9774.24</v>
      </c>
      <c r="I1035">
        <v>17.89</v>
      </c>
      <c r="J1035" t="s">
        <v>120</v>
      </c>
      <c r="K1035" t="s">
        <v>5887</v>
      </c>
      <c r="L1035">
        <v>1.66</v>
      </c>
      <c r="M1035">
        <v>5.1100000000000003</v>
      </c>
      <c r="N1035">
        <v>0.53</v>
      </c>
      <c r="O1035">
        <v>0.78</v>
      </c>
      <c r="P1035">
        <v>5.18</v>
      </c>
      <c r="Q1035">
        <v>-1.75</v>
      </c>
      <c r="R1035">
        <v>5.05</v>
      </c>
      <c r="S1035">
        <v>5.1100000000000003</v>
      </c>
      <c r="T1035">
        <v>191261</v>
      </c>
      <c r="U1035">
        <v>5.1100000000000003</v>
      </c>
      <c r="V1035">
        <v>5.14</v>
      </c>
      <c r="W1035">
        <v>154.26</v>
      </c>
      <c r="X1035" t="s">
        <v>847</v>
      </c>
      <c r="Y1035" t="s">
        <v>594</v>
      </c>
      <c r="Z1035">
        <v>2.5299999999999998</v>
      </c>
      <c r="AA1035">
        <v>5.1100000000000003</v>
      </c>
      <c r="AB1035">
        <v>104431</v>
      </c>
      <c r="AC1035">
        <v>86830</v>
      </c>
      <c r="AD1035">
        <v>1.2</v>
      </c>
      <c r="AE1035">
        <v>1514</v>
      </c>
      <c r="AF1035">
        <v>2550</v>
      </c>
      <c r="AG1035" t="s">
        <v>120</v>
      </c>
      <c r="AH1035">
        <v>0.01</v>
      </c>
      <c r="AI1035" t="s">
        <v>120</v>
      </c>
      <c r="AJ1035">
        <v>11.52</v>
      </c>
      <c r="AK1035" t="s">
        <v>5887</v>
      </c>
      <c r="AL1035">
        <v>1.33</v>
      </c>
      <c r="AM1035">
        <v>2293</v>
      </c>
      <c r="AN1035">
        <v>83</v>
      </c>
      <c r="AO1035">
        <v>6.9999999999999999E-4</v>
      </c>
      <c r="AP1035">
        <v>-1</v>
      </c>
      <c r="AQ1035">
        <v>1.38</v>
      </c>
      <c r="AR1035">
        <v>-1.92</v>
      </c>
      <c r="AS1035">
        <v>-0.39</v>
      </c>
      <c r="AT1035">
        <v>-30.67</v>
      </c>
      <c r="AU1035">
        <v>-24.52</v>
      </c>
      <c r="AV1035">
        <v>24</v>
      </c>
      <c r="AW1035">
        <v>2.88</v>
      </c>
      <c r="AX1035">
        <v>57.71</v>
      </c>
      <c r="AY1035">
        <v>67.3</v>
      </c>
      <c r="AZ1035">
        <v>33.590000000000003</v>
      </c>
      <c r="BA1035">
        <v>0.4</v>
      </c>
      <c r="BB1035" t="s">
        <v>143</v>
      </c>
      <c r="BF1035">
        <v>-0.57999999999999996</v>
      </c>
      <c r="BG1035">
        <v>0</v>
      </c>
      <c r="BH1035">
        <v>-1.35</v>
      </c>
      <c r="BI1035">
        <v>1.19</v>
      </c>
      <c r="BJ1035">
        <v>20210827</v>
      </c>
      <c r="BK1035">
        <v>20120106</v>
      </c>
      <c r="BL1035">
        <v>11.52</v>
      </c>
      <c r="BM1035" t="s">
        <v>120</v>
      </c>
      <c r="BN1035" t="s">
        <v>120</v>
      </c>
      <c r="BO1035">
        <v>31.28</v>
      </c>
      <c r="BP1035">
        <v>5.0999999999999996</v>
      </c>
      <c r="BQ1035">
        <v>28.04</v>
      </c>
      <c r="BR1035" t="s">
        <v>120</v>
      </c>
      <c r="BS1035">
        <v>10.35</v>
      </c>
      <c r="BT1035">
        <v>8.61</v>
      </c>
      <c r="BU1035">
        <v>15.05</v>
      </c>
      <c r="BV1035">
        <v>0.86</v>
      </c>
      <c r="BW1035">
        <v>2.06</v>
      </c>
      <c r="BX1035">
        <v>3.9</v>
      </c>
      <c r="BY1035">
        <v>3.69</v>
      </c>
      <c r="BZ1035">
        <v>0.42</v>
      </c>
      <c r="CA1035" t="s">
        <v>120</v>
      </c>
      <c r="CB1035">
        <v>2.06</v>
      </c>
      <c r="CC1035">
        <v>8.42</v>
      </c>
      <c r="CD1035">
        <v>6.45</v>
      </c>
      <c r="CE1035">
        <v>0.24</v>
      </c>
      <c r="CF1035">
        <v>-0.01</v>
      </c>
      <c r="CG1035">
        <v>0.25</v>
      </c>
      <c r="CH1035">
        <v>0.19</v>
      </c>
      <c r="CI1035">
        <v>0.19</v>
      </c>
      <c r="CJ1035">
        <v>-0.03</v>
      </c>
      <c r="CK1035">
        <v>0.14000000000000001</v>
      </c>
      <c r="CL1035">
        <v>9.77</v>
      </c>
      <c r="CM1035">
        <v>0.89</v>
      </c>
      <c r="CN1035">
        <v>-2.93</v>
      </c>
      <c r="CO1035">
        <v>41269</v>
      </c>
      <c r="CP1035">
        <v>16108</v>
      </c>
      <c r="CQ1035" t="s">
        <v>5888</v>
      </c>
      <c r="CR1035">
        <v>-82.23</v>
      </c>
      <c r="CS1035">
        <v>-27.19</v>
      </c>
      <c r="CT1035">
        <v>2.1</v>
      </c>
      <c r="CU1035">
        <v>66.319999999999993</v>
      </c>
      <c r="CV1035">
        <v>6.99</v>
      </c>
      <c r="CW1035">
        <v>0.19</v>
      </c>
      <c r="CX1035" t="s">
        <v>499</v>
      </c>
      <c r="CY1035">
        <v>2.4300000000000002</v>
      </c>
      <c r="CZ1035">
        <v>0</v>
      </c>
      <c r="DA1035">
        <v>0.18</v>
      </c>
      <c r="DB1035">
        <v>0.85</v>
      </c>
      <c r="DC1035">
        <v>0.08</v>
      </c>
      <c r="DD1035">
        <v>89.65</v>
      </c>
      <c r="DE1035" t="s">
        <v>1405</v>
      </c>
      <c r="DF1035">
        <v>23.37</v>
      </c>
      <c r="DG1035">
        <v>2.9</v>
      </c>
      <c r="DH1035">
        <v>2.27</v>
      </c>
      <c r="DI1035">
        <v>0.15</v>
      </c>
      <c r="DJ1035">
        <v>1520</v>
      </c>
      <c r="DK1035">
        <v>2650</v>
      </c>
      <c r="DL1035" t="s">
        <v>120</v>
      </c>
      <c r="DM1035" t="s">
        <v>120</v>
      </c>
      <c r="DN1035" t="s">
        <v>120</v>
      </c>
    </row>
    <row r="1036" spans="1:118">
      <c r="A1036" t="str">
        <f>"002651"</f>
        <v>002651</v>
      </c>
      <c r="B1036" t="s">
        <v>5889</v>
      </c>
      <c r="C1036">
        <v>-2.71</v>
      </c>
      <c r="D1036">
        <v>0.63</v>
      </c>
      <c r="E1036">
        <v>-0.61</v>
      </c>
      <c r="F1036">
        <v>462</v>
      </c>
      <c r="G1036" t="s">
        <v>1983</v>
      </c>
      <c r="H1036">
        <v>14895.34</v>
      </c>
      <c r="I1036">
        <v>4.84</v>
      </c>
      <c r="J1036" t="s">
        <v>120</v>
      </c>
      <c r="K1036" t="s">
        <v>5890</v>
      </c>
      <c r="L1036">
        <v>1.89</v>
      </c>
      <c r="M1036">
        <v>14.36</v>
      </c>
      <c r="N1036">
        <v>1.1499999999999999</v>
      </c>
      <c r="O1036">
        <v>0.14000000000000001</v>
      </c>
      <c r="P1036">
        <v>14.78</v>
      </c>
      <c r="Q1036">
        <v>-6.03</v>
      </c>
      <c r="R1036">
        <v>13.87</v>
      </c>
      <c r="S1036">
        <v>14.67</v>
      </c>
      <c r="T1036">
        <v>104601</v>
      </c>
      <c r="U1036">
        <v>14.36</v>
      </c>
      <c r="V1036">
        <v>14.76</v>
      </c>
      <c r="W1036">
        <v>52.3</v>
      </c>
      <c r="X1036" t="s">
        <v>675</v>
      </c>
      <c r="Y1036" t="s">
        <v>578</v>
      </c>
      <c r="Z1036">
        <v>6.17</v>
      </c>
      <c r="AA1036">
        <v>14.24</v>
      </c>
      <c r="AB1036">
        <v>58272</v>
      </c>
      <c r="AC1036">
        <v>46329</v>
      </c>
      <c r="AD1036">
        <v>1.26</v>
      </c>
      <c r="AE1036">
        <v>338</v>
      </c>
      <c r="AF1036">
        <v>29</v>
      </c>
      <c r="AG1036" t="s">
        <v>120</v>
      </c>
      <c r="AH1036">
        <v>0</v>
      </c>
      <c r="AI1036" t="s">
        <v>120</v>
      </c>
      <c r="AJ1036">
        <v>5.53</v>
      </c>
      <c r="AK1036" t="s">
        <v>5891</v>
      </c>
      <c r="AL1036">
        <v>-0.8</v>
      </c>
      <c r="AM1036">
        <v>3293</v>
      </c>
      <c r="AN1036">
        <v>32</v>
      </c>
      <c r="AO1036">
        <v>5.9999999999999995E-4</v>
      </c>
      <c r="AP1036">
        <v>-1</v>
      </c>
      <c r="AQ1036">
        <v>0.68</v>
      </c>
      <c r="AR1036">
        <v>-6.08</v>
      </c>
      <c r="AS1036">
        <v>-5.65</v>
      </c>
      <c r="AT1036">
        <v>21.39</v>
      </c>
      <c r="AU1036">
        <v>25.52</v>
      </c>
      <c r="AV1036">
        <v>6</v>
      </c>
      <c r="AW1036">
        <v>3.95</v>
      </c>
      <c r="AX1036">
        <v>25.61</v>
      </c>
      <c r="AY1036">
        <v>57.72</v>
      </c>
      <c r="AZ1036">
        <v>79.58</v>
      </c>
      <c r="BA1036">
        <v>0.51</v>
      </c>
      <c r="BB1036" t="s">
        <v>143</v>
      </c>
      <c r="BF1036">
        <v>-3.52</v>
      </c>
      <c r="BG1036">
        <v>-2.11</v>
      </c>
      <c r="BH1036">
        <v>-2.84</v>
      </c>
      <c r="BI1036">
        <v>3.53</v>
      </c>
      <c r="BJ1036">
        <v>20210909</v>
      </c>
      <c r="BK1036">
        <v>20120106</v>
      </c>
      <c r="BL1036">
        <v>10.33</v>
      </c>
      <c r="BM1036" t="s">
        <v>120</v>
      </c>
      <c r="BN1036" t="s">
        <v>120</v>
      </c>
      <c r="BO1036">
        <v>30.83</v>
      </c>
      <c r="BP1036">
        <v>14.28</v>
      </c>
      <c r="BQ1036">
        <v>24.29</v>
      </c>
      <c r="BR1036" t="s">
        <v>120</v>
      </c>
      <c r="BS1036">
        <v>21.23</v>
      </c>
      <c r="BT1036">
        <v>19.64</v>
      </c>
      <c r="BU1036">
        <v>1.45</v>
      </c>
      <c r="BV1036">
        <v>0.84</v>
      </c>
      <c r="BW1036">
        <v>6.41</v>
      </c>
      <c r="BX1036">
        <v>7.45</v>
      </c>
      <c r="BY1036">
        <v>3.67</v>
      </c>
      <c r="BZ1036">
        <v>3.34</v>
      </c>
      <c r="CA1036" t="s">
        <v>120</v>
      </c>
      <c r="CB1036">
        <v>4.49</v>
      </c>
      <c r="CC1036">
        <v>5.24</v>
      </c>
      <c r="CD1036">
        <v>2.84</v>
      </c>
      <c r="CE1036">
        <v>1.68</v>
      </c>
      <c r="CF1036">
        <v>0.09</v>
      </c>
      <c r="CG1036">
        <v>1.68</v>
      </c>
      <c r="CH1036">
        <v>1.42</v>
      </c>
      <c r="CI1036">
        <v>1.42</v>
      </c>
      <c r="CJ1036">
        <v>-0.4</v>
      </c>
      <c r="CK1036">
        <v>1.3</v>
      </c>
      <c r="CL1036">
        <v>7.09</v>
      </c>
      <c r="CM1036">
        <v>0.8</v>
      </c>
      <c r="CN1036">
        <v>3.12</v>
      </c>
      <c r="CO1036">
        <v>23547</v>
      </c>
      <c r="CP1036">
        <v>11238</v>
      </c>
      <c r="CQ1036" t="s">
        <v>5892</v>
      </c>
      <c r="CR1036">
        <v>104.79</v>
      </c>
      <c r="CS1036">
        <v>89.72</v>
      </c>
      <c r="CT1036">
        <v>6.11</v>
      </c>
      <c r="CU1036">
        <v>185.26</v>
      </c>
      <c r="CV1036">
        <v>28.31</v>
      </c>
      <c r="CW1036">
        <v>1.69</v>
      </c>
      <c r="CX1036" t="s">
        <v>300</v>
      </c>
      <c r="CY1036">
        <v>2.35</v>
      </c>
      <c r="CZ1036">
        <v>0</v>
      </c>
      <c r="DA1036">
        <v>0.43</v>
      </c>
      <c r="DB1036">
        <v>0.69</v>
      </c>
      <c r="DC1036">
        <v>0.08</v>
      </c>
      <c r="DD1036">
        <v>78.77</v>
      </c>
      <c r="DE1036" t="s">
        <v>2219</v>
      </c>
      <c r="DF1036">
        <v>45.77</v>
      </c>
      <c r="DG1036">
        <v>31.98</v>
      </c>
      <c r="DH1036">
        <v>27.06</v>
      </c>
      <c r="DI1036">
        <v>0.15</v>
      </c>
      <c r="DJ1036">
        <v>1419</v>
      </c>
      <c r="DK1036">
        <v>2651</v>
      </c>
      <c r="DL1036" t="s">
        <v>120</v>
      </c>
      <c r="DM1036" t="s">
        <v>120</v>
      </c>
      <c r="DN1036" t="s">
        <v>120</v>
      </c>
    </row>
    <row r="1037" spans="1:118">
      <c r="A1037" t="str">
        <f>"002652"</f>
        <v>002652</v>
      </c>
      <c r="B1037" t="s">
        <v>5893</v>
      </c>
      <c r="C1037">
        <v>-1.17</v>
      </c>
      <c r="D1037">
        <v>0</v>
      </c>
      <c r="E1037">
        <v>0.28999999999999998</v>
      </c>
      <c r="F1037">
        <v>200</v>
      </c>
      <c r="G1037" t="s">
        <v>5894</v>
      </c>
      <c r="H1037">
        <v>1572.99</v>
      </c>
      <c r="I1037">
        <v>4.7</v>
      </c>
      <c r="J1037" t="s">
        <v>120</v>
      </c>
      <c r="K1037" t="s">
        <v>5895</v>
      </c>
      <c r="L1037">
        <v>0.99</v>
      </c>
      <c r="M1037">
        <v>3.38</v>
      </c>
      <c r="N1037">
        <v>0.88</v>
      </c>
      <c r="O1037">
        <v>1.46</v>
      </c>
      <c r="P1037">
        <v>3.47</v>
      </c>
      <c r="Q1037">
        <v>-1.17</v>
      </c>
      <c r="R1037">
        <v>3.38</v>
      </c>
      <c r="S1037">
        <v>3.43</v>
      </c>
      <c r="T1037">
        <v>46025</v>
      </c>
      <c r="U1037">
        <v>3.39</v>
      </c>
      <c r="V1037">
        <v>3.42</v>
      </c>
      <c r="W1037">
        <v>211.53</v>
      </c>
      <c r="X1037" t="s">
        <v>247</v>
      </c>
      <c r="Y1037" t="s">
        <v>319</v>
      </c>
      <c r="Z1037">
        <v>2.63</v>
      </c>
      <c r="AA1037">
        <v>3.42</v>
      </c>
      <c r="AB1037">
        <v>24689</v>
      </c>
      <c r="AC1037">
        <v>21336</v>
      </c>
      <c r="AD1037">
        <v>1.1599999999999999</v>
      </c>
      <c r="AE1037">
        <v>1471</v>
      </c>
      <c r="AF1037">
        <v>547</v>
      </c>
      <c r="AG1037" t="s">
        <v>120</v>
      </c>
      <c r="AH1037">
        <v>0</v>
      </c>
      <c r="AI1037" t="s">
        <v>120</v>
      </c>
      <c r="AJ1037">
        <v>4.6399999999999997</v>
      </c>
      <c r="AK1037" t="s">
        <v>422</v>
      </c>
      <c r="AL1037">
        <v>0.74</v>
      </c>
      <c r="AM1037">
        <v>911</v>
      </c>
      <c r="AN1037">
        <v>51</v>
      </c>
      <c r="AO1037">
        <v>1.1000000000000001E-3</v>
      </c>
      <c r="AP1037">
        <v>-1</v>
      </c>
      <c r="AQ1037">
        <v>1.79</v>
      </c>
      <c r="AR1037">
        <v>-0.88</v>
      </c>
      <c r="AS1037">
        <v>6.96</v>
      </c>
      <c r="AT1037">
        <v>1.81</v>
      </c>
      <c r="AU1037">
        <v>1.5</v>
      </c>
      <c r="AV1037">
        <v>6</v>
      </c>
      <c r="AW1037">
        <v>1.48</v>
      </c>
      <c r="AX1037">
        <v>60.56</v>
      </c>
      <c r="AY1037">
        <v>60.05</v>
      </c>
      <c r="AZ1037" t="s">
        <v>120</v>
      </c>
      <c r="BA1037">
        <v>0.57999999999999996</v>
      </c>
      <c r="BB1037" t="s">
        <v>184</v>
      </c>
      <c r="BF1037">
        <v>-7.0000000000000007E-2</v>
      </c>
      <c r="BG1037">
        <v>-1.46</v>
      </c>
      <c r="BH1037">
        <v>-2.59</v>
      </c>
      <c r="BI1037">
        <v>0</v>
      </c>
      <c r="BJ1037">
        <v>20210831</v>
      </c>
      <c r="BK1037">
        <v>20120119</v>
      </c>
      <c r="BL1037">
        <v>5.12</v>
      </c>
      <c r="BM1037" t="s">
        <v>120</v>
      </c>
      <c r="BN1037" t="s">
        <v>120</v>
      </c>
      <c r="BO1037">
        <v>15.52</v>
      </c>
      <c r="BP1037">
        <v>3.38</v>
      </c>
      <c r="BQ1037">
        <v>3.25</v>
      </c>
      <c r="BR1037">
        <v>0.79</v>
      </c>
      <c r="BS1037">
        <v>73.95</v>
      </c>
      <c r="BT1037">
        <v>10.68</v>
      </c>
      <c r="BU1037">
        <v>1.94</v>
      </c>
      <c r="BV1037">
        <v>0.76</v>
      </c>
      <c r="BW1037">
        <v>10.58</v>
      </c>
      <c r="BX1037">
        <v>2.23</v>
      </c>
      <c r="BY1037">
        <v>0.77</v>
      </c>
      <c r="BZ1037">
        <v>3.1</v>
      </c>
      <c r="CA1037">
        <v>0.01</v>
      </c>
      <c r="CB1037">
        <v>0.1</v>
      </c>
      <c r="CC1037">
        <v>6.05</v>
      </c>
      <c r="CD1037">
        <v>5.57</v>
      </c>
      <c r="CE1037">
        <v>0.08</v>
      </c>
      <c r="CF1037">
        <v>-0.01</v>
      </c>
      <c r="CG1037">
        <v>0.08</v>
      </c>
      <c r="CH1037">
        <v>7.0000000000000007E-2</v>
      </c>
      <c r="CI1037">
        <v>0.04</v>
      </c>
      <c r="CJ1037">
        <v>-0.04</v>
      </c>
      <c r="CK1037">
        <v>0.02</v>
      </c>
      <c r="CL1037">
        <v>-2.3199999999999998</v>
      </c>
      <c r="CM1037">
        <v>0.02</v>
      </c>
      <c r="CN1037">
        <v>-0.28000000000000003</v>
      </c>
      <c r="CO1037">
        <v>19203</v>
      </c>
      <c r="CP1037">
        <v>16150</v>
      </c>
      <c r="CQ1037" t="s">
        <v>1311</v>
      </c>
      <c r="CR1037">
        <v>102.8</v>
      </c>
      <c r="CS1037">
        <v>1.89</v>
      </c>
      <c r="CT1037">
        <v>5.33</v>
      </c>
      <c r="CU1037">
        <v>978.78</v>
      </c>
      <c r="CV1037">
        <v>2.86</v>
      </c>
      <c r="CW1037">
        <v>0</v>
      </c>
      <c r="CX1037" t="s">
        <v>2587</v>
      </c>
      <c r="CY1037">
        <v>0.63</v>
      </c>
      <c r="CZ1037">
        <v>0</v>
      </c>
      <c r="DA1037">
        <v>0.02</v>
      </c>
      <c r="DB1037">
        <v>-0.45</v>
      </c>
      <c r="DC1037">
        <v>0</v>
      </c>
      <c r="DD1037">
        <v>20.93</v>
      </c>
      <c r="DE1037" t="s">
        <v>1682</v>
      </c>
      <c r="DF1037">
        <v>7.95</v>
      </c>
      <c r="DG1037">
        <v>1.33</v>
      </c>
      <c r="DH1037">
        <v>0.68</v>
      </c>
      <c r="DI1037">
        <v>0.06</v>
      </c>
      <c r="DJ1037">
        <v>218</v>
      </c>
      <c r="DK1037">
        <v>2652</v>
      </c>
      <c r="DL1037" t="s">
        <v>120</v>
      </c>
      <c r="DM1037" t="s">
        <v>120</v>
      </c>
      <c r="DN1037" t="s">
        <v>120</v>
      </c>
    </row>
    <row r="1038" spans="1:118">
      <c r="A1038" t="str">
        <f>"002653"</f>
        <v>002653</v>
      </c>
      <c r="B1038" t="s">
        <v>5896</v>
      </c>
      <c r="C1038">
        <v>0.23</v>
      </c>
      <c r="D1038">
        <v>-0.16</v>
      </c>
      <c r="E1038">
        <v>0.06</v>
      </c>
      <c r="F1038">
        <v>1341</v>
      </c>
      <c r="G1038" t="s">
        <v>5897</v>
      </c>
      <c r="H1038">
        <v>3150.93</v>
      </c>
      <c r="I1038">
        <v>3.7</v>
      </c>
      <c r="J1038" t="s">
        <v>120</v>
      </c>
      <c r="K1038" t="s">
        <v>5898</v>
      </c>
      <c r="L1038">
        <v>0.38</v>
      </c>
      <c r="M1038">
        <v>17.63</v>
      </c>
      <c r="N1038">
        <v>0.62</v>
      </c>
      <c r="O1038">
        <v>1.08</v>
      </c>
      <c r="P1038">
        <v>17.78</v>
      </c>
      <c r="Q1038">
        <v>-0.56999999999999995</v>
      </c>
      <c r="R1038">
        <v>17.489999999999998</v>
      </c>
      <c r="S1038">
        <v>17.600000000000001</v>
      </c>
      <c r="T1038">
        <v>17862</v>
      </c>
      <c r="U1038">
        <v>17.66</v>
      </c>
      <c r="V1038">
        <v>17.59</v>
      </c>
      <c r="W1038">
        <v>29.56</v>
      </c>
      <c r="X1038" t="s">
        <v>569</v>
      </c>
      <c r="Y1038" t="s">
        <v>1886</v>
      </c>
      <c r="Z1038">
        <v>1.65</v>
      </c>
      <c r="AA1038">
        <v>17.64</v>
      </c>
      <c r="AB1038">
        <v>10216</v>
      </c>
      <c r="AC1038">
        <v>7646</v>
      </c>
      <c r="AD1038">
        <v>1.34</v>
      </c>
      <c r="AE1038">
        <v>35</v>
      </c>
      <c r="AF1038">
        <v>53</v>
      </c>
      <c r="AG1038" t="s">
        <v>120</v>
      </c>
      <c r="AH1038">
        <v>0</v>
      </c>
      <c r="AI1038" t="s">
        <v>120</v>
      </c>
      <c r="AJ1038">
        <v>4.76</v>
      </c>
      <c r="AK1038" t="s">
        <v>5899</v>
      </c>
      <c r="AL1038">
        <v>2.14</v>
      </c>
      <c r="AM1038">
        <v>1388</v>
      </c>
      <c r="AN1038">
        <v>13</v>
      </c>
      <c r="AO1038">
        <v>2.9999999999999997E-4</v>
      </c>
      <c r="AP1038">
        <v>1</v>
      </c>
      <c r="AQ1038">
        <v>-2.06</v>
      </c>
      <c r="AR1038">
        <v>-3.18</v>
      </c>
      <c r="AS1038">
        <v>-14.67</v>
      </c>
      <c r="AT1038">
        <v>-17.61</v>
      </c>
      <c r="AU1038">
        <v>2.81</v>
      </c>
      <c r="AV1038">
        <v>3</v>
      </c>
      <c r="AW1038">
        <v>1.1100000000000001</v>
      </c>
      <c r="AX1038">
        <v>15.04</v>
      </c>
      <c r="AY1038">
        <v>25.94</v>
      </c>
      <c r="AZ1038">
        <v>29.68</v>
      </c>
      <c r="BA1038">
        <v>0.44</v>
      </c>
      <c r="BB1038" t="s">
        <v>143</v>
      </c>
      <c r="BF1038">
        <v>0.28999999999999998</v>
      </c>
      <c r="BG1038">
        <v>0.17</v>
      </c>
      <c r="BH1038">
        <v>-0.84</v>
      </c>
      <c r="BI1038">
        <v>0.8</v>
      </c>
      <c r="BJ1038">
        <v>20210909</v>
      </c>
      <c r="BK1038">
        <v>20120117</v>
      </c>
      <c r="BL1038">
        <v>10.74</v>
      </c>
      <c r="BM1038" t="s">
        <v>120</v>
      </c>
      <c r="BN1038" t="s">
        <v>120</v>
      </c>
      <c r="BO1038">
        <v>49.27</v>
      </c>
      <c r="BP1038">
        <v>17.63</v>
      </c>
      <c r="BQ1038">
        <v>28.3</v>
      </c>
      <c r="BR1038">
        <v>0.24</v>
      </c>
      <c r="BS1038">
        <v>42.07</v>
      </c>
      <c r="BT1038">
        <v>17.7</v>
      </c>
      <c r="BU1038">
        <v>7.8</v>
      </c>
      <c r="BV1038">
        <v>6.63</v>
      </c>
      <c r="BW1038">
        <v>14.77</v>
      </c>
      <c r="BX1038">
        <v>8.2799999999999994</v>
      </c>
      <c r="BY1038">
        <v>2.2400000000000002</v>
      </c>
      <c r="BZ1038">
        <v>3.99</v>
      </c>
      <c r="CA1038">
        <v>0</v>
      </c>
      <c r="CB1038">
        <v>0.84</v>
      </c>
      <c r="CC1038">
        <v>12.76</v>
      </c>
      <c r="CD1038">
        <v>4.54</v>
      </c>
      <c r="CE1038">
        <v>4.8499999999999996</v>
      </c>
      <c r="CF1038">
        <v>4.12</v>
      </c>
      <c r="CG1038">
        <v>4.84</v>
      </c>
      <c r="CH1038">
        <v>4.88</v>
      </c>
      <c r="CI1038">
        <v>3.2</v>
      </c>
      <c r="CJ1038">
        <v>0.04</v>
      </c>
      <c r="CK1038">
        <v>0.26</v>
      </c>
      <c r="CL1038">
        <v>13.94</v>
      </c>
      <c r="CM1038">
        <v>-0.35</v>
      </c>
      <c r="CN1038">
        <v>3.68</v>
      </c>
      <c r="CO1038">
        <v>17608</v>
      </c>
      <c r="CP1038">
        <v>9174</v>
      </c>
      <c r="CQ1038" t="s">
        <v>5900</v>
      </c>
      <c r="CR1038">
        <v>40.15</v>
      </c>
      <c r="CS1038">
        <v>-12.08</v>
      </c>
      <c r="CT1038">
        <v>6.69</v>
      </c>
      <c r="CU1038">
        <v>-539.52</v>
      </c>
      <c r="CV1038">
        <v>14.84</v>
      </c>
      <c r="CW1038">
        <v>2.12</v>
      </c>
      <c r="CX1038" t="s">
        <v>1340</v>
      </c>
      <c r="CY1038">
        <v>2.63</v>
      </c>
      <c r="CZ1038">
        <v>2.63</v>
      </c>
      <c r="DA1038">
        <v>0.08</v>
      </c>
      <c r="DB1038">
        <v>1.3</v>
      </c>
      <c r="DC1038">
        <v>-0.03</v>
      </c>
      <c r="DD1038">
        <v>57.43</v>
      </c>
      <c r="DE1038" t="s">
        <v>5901</v>
      </c>
      <c r="DF1038">
        <v>64.42</v>
      </c>
      <c r="DG1038">
        <v>38.01</v>
      </c>
      <c r="DH1038">
        <v>25.1</v>
      </c>
      <c r="DI1038">
        <v>1.94</v>
      </c>
      <c r="DJ1038">
        <v>3766</v>
      </c>
      <c r="DK1038">
        <v>2653</v>
      </c>
      <c r="DL1038" t="s">
        <v>120</v>
      </c>
      <c r="DM1038" t="s">
        <v>120</v>
      </c>
      <c r="DN1038" t="s">
        <v>120</v>
      </c>
    </row>
    <row r="1039" spans="1:118">
      <c r="A1039" t="str">
        <f>"002654"</f>
        <v>002654</v>
      </c>
      <c r="B1039" t="s">
        <v>5902</v>
      </c>
      <c r="C1039">
        <v>-1.5</v>
      </c>
      <c r="D1039">
        <v>0</v>
      </c>
      <c r="E1039">
        <v>0.25</v>
      </c>
      <c r="F1039">
        <v>794</v>
      </c>
      <c r="G1039" t="s">
        <v>5903</v>
      </c>
      <c r="H1039">
        <v>4708.25</v>
      </c>
      <c r="I1039">
        <v>2.13</v>
      </c>
      <c r="J1039" t="s">
        <v>120</v>
      </c>
      <c r="K1039" t="s">
        <v>5904</v>
      </c>
      <c r="L1039">
        <v>1.54</v>
      </c>
      <c r="M1039">
        <v>3.94</v>
      </c>
      <c r="N1039">
        <v>0.93</v>
      </c>
      <c r="O1039">
        <v>1.75</v>
      </c>
      <c r="P1039">
        <v>4.07</v>
      </c>
      <c r="Q1039">
        <v>-1.75</v>
      </c>
      <c r="R1039">
        <v>3.93</v>
      </c>
      <c r="S1039">
        <v>4.01</v>
      </c>
      <c r="T1039">
        <v>117365</v>
      </c>
      <c r="U1039">
        <v>3.94</v>
      </c>
      <c r="V1039">
        <v>4</v>
      </c>
      <c r="W1039">
        <v>25.6</v>
      </c>
      <c r="X1039" t="s">
        <v>1531</v>
      </c>
      <c r="Y1039" t="s">
        <v>123</v>
      </c>
      <c r="Z1039">
        <v>3.5</v>
      </c>
      <c r="AA1039">
        <v>4.01</v>
      </c>
      <c r="AB1039">
        <v>62559</v>
      </c>
      <c r="AC1039">
        <v>54806</v>
      </c>
      <c r="AD1039">
        <v>1.1399999999999999</v>
      </c>
      <c r="AE1039">
        <v>1453</v>
      </c>
      <c r="AF1039">
        <v>150</v>
      </c>
      <c r="AG1039" t="s">
        <v>120</v>
      </c>
      <c r="AH1039">
        <v>0</v>
      </c>
      <c r="AI1039" t="s">
        <v>120</v>
      </c>
      <c r="AJ1039">
        <v>7.64</v>
      </c>
      <c r="AK1039" t="s">
        <v>5905</v>
      </c>
      <c r="AL1039">
        <v>0.41</v>
      </c>
      <c r="AM1039">
        <v>1366</v>
      </c>
      <c r="AN1039">
        <v>86</v>
      </c>
      <c r="AO1039">
        <v>1.1000000000000001E-3</v>
      </c>
      <c r="AP1039">
        <v>-3</v>
      </c>
      <c r="AQ1039">
        <v>-0.5</v>
      </c>
      <c r="AR1039">
        <v>-2.48</v>
      </c>
      <c r="AS1039">
        <v>0.51</v>
      </c>
      <c r="AT1039">
        <v>2.34</v>
      </c>
      <c r="AU1039">
        <v>1.29</v>
      </c>
      <c r="AV1039">
        <v>3</v>
      </c>
      <c r="AW1039">
        <v>2.44</v>
      </c>
      <c r="AX1039">
        <v>56.02</v>
      </c>
      <c r="AY1039">
        <v>31.86</v>
      </c>
      <c r="AZ1039">
        <v>42.44</v>
      </c>
      <c r="BA1039">
        <v>0.43</v>
      </c>
      <c r="BB1039" t="s">
        <v>143</v>
      </c>
      <c r="BF1039">
        <v>0.28999999999999998</v>
      </c>
      <c r="BG1039">
        <v>-1.75</v>
      </c>
      <c r="BH1039">
        <v>-3.19</v>
      </c>
      <c r="BI1039">
        <v>0.25</v>
      </c>
      <c r="BJ1039">
        <v>20210824</v>
      </c>
      <c r="BK1039">
        <v>20120217</v>
      </c>
      <c r="BL1039">
        <v>8.59</v>
      </c>
      <c r="BM1039" t="s">
        <v>120</v>
      </c>
      <c r="BN1039" t="s">
        <v>120</v>
      </c>
      <c r="BO1039">
        <v>41.36</v>
      </c>
      <c r="BP1039">
        <v>3.93</v>
      </c>
      <c r="BQ1039">
        <v>20.97</v>
      </c>
      <c r="BR1039">
        <v>1.59</v>
      </c>
      <c r="BS1039">
        <v>45.45</v>
      </c>
      <c r="BT1039">
        <v>26.3</v>
      </c>
      <c r="BU1039">
        <v>3.76</v>
      </c>
      <c r="BV1039">
        <v>1.41</v>
      </c>
      <c r="BW1039">
        <v>14.87</v>
      </c>
      <c r="BX1039">
        <v>2.74</v>
      </c>
      <c r="BY1039">
        <v>1.7</v>
      </c>
      <c r="BZ1039">
        <v>12.91</v>
      </c>
      <c r="CA1039" t="s">
        <v>120</v>
      </c>
      <c r="CB1039">
        <v>17.190000000000001</v>
      </c>
      <c r="CC1039">
        <v>19.23</v>
      </c>
      <c r="CD1039">
        <v>15.98</v>
      </c>
      <c r="CE1039">
        <v>0.81</v>
      </c>
      <c r="CF1039">
        <v>-0.02</v>
      </c>
      <c r="CG1039">
        <v>0.85</v>
      </c>
      <c r="CH1039">
        <v>0.82</v>
      </c>
      <c r="CI1039">
        <v>0.66</v>
      </c>
      <c r="CJ1039">
        <v>-0.06</v>
      </c>
      <c r="CK1039">
        <v>0.59</v>
      </c>
      <c r="CL1039">
        <v>-4.95</v>
      </c>
      <c r="CM1039">
        <v>-1.7</v>
      </c>
      <c r="CN1039">
        <v>-4.49</v>
      </c>
      <c r="CO1039">
        <v>41024</v>
      </c>
      <c r="CP1039">
        <v>11736</v>
      </c>
      <c r="CQ1039" t="s">
        <v>3282</v>
      </c>
      <c r="CR1039">
        <v>68.489999999999995</v>
      </c>
      <c r="CS1039">
        <v>0.43</v>
      </c>
      <c r="CT1039">
        <v>1.61</v>
      </c>
      <c r="CU1039">
        <v>-19.95</v>
      </c>
      <c r="CV1039">
        <v>1.76</v>
      </c>
      <c r="CW1039">
        <v>0</v>
      </c>
      <c r="CX1039" t="s">
        <v>535</v>
      </c>
      <c r="CY1039">
        <v>2.44</v>
      </c>
      <c r="CZ1039">
        <v>2.44</v>
      </c>
      <c r="DA1039">
        <v>2</v>
      </c>
      <c r="DB1039">
        <v>-0.57999999999999996</v>
      </c>
      <c r="DC1039">
        <v>-0.2</v>
      </c>
      <c r="DD1039">
        <v>50.71</v>
      </c>
      <c r="DE1039" t="s">
        <v>589</v>
      </c>
      <c r="DF1039">
        <v>16.91</v>
      </c>
      <c r="DG1039">
        <v>4.2300000000000004</v>
      </c>
      <c r="DH1039">
        <v>3.44</v>
      </c>
      <c r="DI1039">
        <v>0.53</v>
      </c>
      <c r="DJ1039">
        <v>1948</v>
      </c>
      <c r="DK1039">
        <v>2654</v>
      </c>
      <c r="DL1039" t="s">
        <v>120</v>
      </c>
      <c r="DM1039" t="s">
        <v>120</v>
      </c>
      <c r="DN1039" t="s">
        <v>120</v>
      </c>
    </row>
    <row r="1040" spans="1:118">
      <c r="A1040" t="str">
        <f>"002655"</f>
        <v>002655</v>
      </c>
      <c r="B1040" t="s">
        <v>5906</v>
      </c>
      <c r="C1040">
        <v>7.21</v>
      </c>
      <c r="D1040">
        <v>0.51</v>
      </c>
      <c r="E1040">
        <v>0.63</v>
      </c>
      <c r="F1040">
        <v>3396</v>
      </c>
      <c r="G1040" t="s">
        <v>5907</v>
      </c>
      <c r="H1040">
        <v>64122.03</v>
      </c>
      <c r="I1040">
        <v>269.95999999999998</v>
      </c>
      <c r="J1040" t="s">
        <v>120</v>
      </c>
      <c r="K1040" t="s">
        <v>5908</v>
      </c>
      <c r="L1040">
        <v>15</v>
      </c>
      <c r="M1040">
        <v>11.89</v>
      </c>
      <c r="N1040">
        <v>1.35</v>
      </c>
      <c r="O1040">
        <v>10.01</v>
      </c>
      <c r="P1040">
        <v>12.2</v>
      </c>
      <c r="Q1040">
        <v>-1.89</v>
      </c>
      <c r="R1040">
        <v>10.88</v>
      </c>
      <c r="S1040">
        <v>11.16</v>
      </c>
      <c r="T1040">
        <v>539891</v>
      </c>
      <c r="U1040">
        <v>11.89</v>
      </c>
      <c r="V1040">
        <v>11.09</v>
      </c>
      <c r="W1040">
        <v>42.67</v>
      </c>
      <c r="X1040" t="s">
        <v>229</v>
      </c>
      <c r="Y1040" t="s">
        <v>638</v>
      </c>
      <c r="Z1040">
        <v>11.9</v>
      </c>
      <c r="AA1040">
        <v>11.88</v>
      </c>
      <c r="AB1040">
        <v>249069</v>
      </c>
      <c r="AC1040">
        <v>290822</v>
      </c>
      <c r="AD1040">
        <v>0.86</v>
      </c>
      <c r="AE1040">
        <v>122</v>
      </c>
      <c r="AF1040">
        <v>179</v>
      </c>
      <c r="AG1040" t="s">
        <v>120</v>
      </c>
      <c r="AH1040">
        <v>0.08</v>
      </c>
      <c r="AI1040" t="s">
        <v>120</v>
      </c>
      <c r="AJ1040">
        <v>3.6</v>
      </c>
      <c r="AK1040" t="s">
        <v>4478</v>
      </c>
      <c r="AL1040">
        <v>9.1300000000000008</v>
      </c>
      <c r="AM1040">
        <v>4187</v>
      </c>
      <c r="AN1040">
        <v>129</v>
      </c>
      <c r="AO1040">
        <v>3.5999999999999999E-3</v>
      </c>
      <c r="AP1040">
        <v>7</v>
      </c>
      <c r="AQ1040">
        <v>0.64</v>
      </c>
      <c r="AR1040">
        <v>9.7899999999999991</v>
      </c>
      <c r="AS1040">
        <v>30.51</v>
      </c>
      <c r="AT1040">
        <v>35.11</v>
      </c>
      <c r="AU1040">
        <v>64</v>
      </c>
      <c r="AV1040">
        <v>3</v>
      </c>
      <c r="AW1040">
        <v>17.71</v>
      </c>
      <c r="AX1040">
        <v>84.69</v>
      </c>
      <c r="AY1040">
        <v>43.25</v>
      </c>
      <c r="AZ1040">
        <v>86.91</v>
      </c>
      <c r="BA1040">
        <v>0.91</v>
      </c>
      <c r="BB1040" t="s">
        <v>184</v>
      </c>
      <c r="BF1040">
        <v>7.1</v>
      </c>
      <c r="BG1040">
        <v>6.54</v>
      </c>
      <c r="BH1040">
        <v>-2.54</v>
      </c>
      <c r="BI1040">
        <v>9.2799999999999994</v>
      </c>
      <c r="BJ1040">
        <v>20210912</v>
      </c>
      <c r="BK1040">
        <v>20120217</v>
      </c>
      <c r="BL1040">
        <v>3.6</v>
      </c>
      <c r="BM1040" t="s">
        <v>120</v>
      </c>
      <c r="BN1040" t="s">
        <v>120</v>
      </c>
      <c r="BO1040">
        <v>11.58</v>
      </c>
      <c r="BP1040">
        <v>11.87</v>
      </c>
      <c r="BQ1040">
        <v>6</v>
      </c>
      <c r="BR1040" t="s">
        <v>120</v>
      </c>
      <c r="BS1040">
        <v>48.17</v>
      </c>
      <c r="BT1040">
        <v>6.59</v>
      </c>
      <c r="BU1040">
        <v>3.8</v>
      </c>
      <c r="BV1040">
        <v>0.91</v>
      </c>
      <c r="BW1040">
        <v>5.58</v>
      </c>
      <c r="BX1040">
        <v>1.34</v>
      </c>
      <c r="BY1040">
        <v>2.48</v>
      </c>
      <c r="BZ1040">
        <v>2.5</v>
      </c>
      <c r="CA1040" t="s">
        <v>120</v>
      </c>
      <c r="CB1040">
        <v>0.48</v>
      </c>
      <c r="CC1040">
        <v>4.59</v>
      </c>
      <c r="CD1040">
        <v>3.21</v>
      </c>
      <c r="CE1040">
        <v>0.52</v>
      </c>
      <c r="CF1040">
        <v>0</v>
      </c>
      <c r="CG1040">
        <v>0.52</v>
      </c>
      <c r="CH1040">
        <v>0.5</v>
      </c>
      <c r="CI1040">
        <v>0.5</v>
      </c>
      <c r="CJ1040">
        <v>0.8</v>
      </c>
      <c r="CK1040">
        <v>0.47</v>
      </c>
      <c r="CL1040">
        <v>1.65</v>
      </c>
      <c r="CM1040">
        <v>0.3</v>
      </c>
      <c r="CN1040">
        <v>0.59</v>
      </c>
      <c r="CO1040">
        <v>44720</v>
      </c>
      <c r="CP1040">
        <v>6817</v>
      </c>
      <c r="CQ1040" t="s">
        <v>5581</v>
      </c>
      <c r="CR1040">
        <v>1224.57</v>
      </c>
      <c r="CS1040">
        <v>-6.57</v>
      </c>
      <c r="CT1040">
        <v>7.13</v>
      </c>
      <c r="CU1040">
        <v>143.44</v>
      </c>
      <c r="CV1040">
        <v>9.33</v>
      </c>
      <c r="CW1040">
        <v>0</v>
      </c>
      <c r="CX1040" t="s">
        <v>300</v>
      </c>
      <c r="CY1040">
        <v>1.67</v>
      </c>
      <c r="CZ1040">
        <v>0</v>
      </c>
      <c r="DA1040">
        <v>0.13</v>
      </c>
      <c r="DB1040">
        <v>0.46</v>
      </c>
      <c r="DC1040">
        <v>0.08</v>
      </c>
      <c r="DD1040">
        <v>51.83</v>
      </c>
      <c r="DE1040" t="s">
        <v>5909</v>
      </c>
      <c r="DF1040">
        <v>29.97</v>
      </c>
      <c r="DG1040">
        <v>11.3</v>
      </c>
      <c r="DH1040">
        <v>10.94</v>
      </c>
      <c r="DI1040">
        <v>0.3</v>
      </c>
      <c r="DJ1040">
        <v>2622</v>
      </c>
      <c r="DK1040">
        <v>2655</v>
      </c>
      <c r="DL1040" t="s">
        <v>120</v>
      </c>
      <c r="DM1040" t="s">
        <v>120</v>
      </c>
      <c r="DN1040" t="s">
        <v>120</v>
      </c>
    </row>
    <row r="1041" spans="1:118">
      <c r="A1041" t="str">
        <f>"002657"</f>
        <v>002657</v>
      </c>
      <c r="B1041" t="s">
        <v>5910</v>
      </c>
      <c r="C1041">
        <v>-0.18</v>
      </c>
      <c r="D1041">
        <v>1</v>
      </c>
      <c r="E1041">
        <v>0.18</v>
      </c>
      <c r="F1041">
        <v>1584</v>
      </c>
      <c r="G1041" t="s">
        <v>5911</v>
      </c>
      <c r="H1041">
        <v>4749.67</v>
      </c>
      <c r="I1041">
        <v>3.69</v>
      </c>
      <c r="J1041" t="s">
        <v>120</v>
      </c>
      <c r="K1041" t="s">
        <v>5912</v>
      </c>
      <c r="L1041">
        <v>1.5</v>
      </c>
      <c r="M1041">
        <v>11.14</v>
      </c>
      <c r="N1041">
        <v>0.93</v>
      </c>
      <c r="O1041">
        <v>1.34</v>
      </c>
      <c r="P1041">
        <v>11.31</v>
      </c>
      <c r="Q1041">
        <v>-1.52</v>
      </c>
      <c r="R1041">
        <v>10.99</v>
      </c>
      <c r="S1041">
        <v>11.18</v>
      </c>
      <c r="T1041">
        <v>42662</v>
      </c>
      <c r="U1041">
        <v>11.15</v>
      </c>
      <c r="V1041">
        <v>11.16</v>
      </c>
      <c r="W1041" t="s">
        <v>120</v>
      </c>
      <c r="X1041" t="s">
        <v>141</v>
      </c>
      <c r="Y1041" t="s">
        <v>158</v>
      </c>
      <c r="Z1041">
        <v>2.87</v>
      </c>
      <c r="AA1041">
        <v>11.13</v>
      </c>
      <c r="AB1041">
        <v>23876</v>
      </c>
      <c r="AC1041">
        <v>18786</v>
      </c>
      <c r="AD1041">
        <v>1.27</v>
      </c>
      <c r="AE1041">
        <v>11208</v>
      </c>
      <c r="AF1041">
        <v>14</v>
      </c>
      <c r="AG1041" t="s">
        <v>120</v>
      </c>
      <c r="AH1041">
        <v>0</v>
      </c>
      <c r="AI1041" t="s">
        <v>120</v>
      </c>
      <c r="AJ1041">
        <v>2.85</v>
      </c>
      <c r="AK1041" t="s">
        <v>5003</v>
      </c>
      <c r="AL1041">
        <v>1.73</v>
      </c>
      <c r="AM1041">
        <v>1972</v>
      </c>
      <c r="AN1041">
        <v>22</v>
      </c>
      <c r="AO1041">
        <v>8.0000000000000004E-4</v>
      </c>
      <c r="AP1041">
        <v>-3</v>
      </c>
      <c r="AQ1041">
        <v>-0.18</v>
      </c>
      <c r="AR1041">
        <v>-1.42</v>
      </c>
      <c r="AS1041">
        <v>9.86</v>
      </c>
      <c r="AT1041">
        <v>-1.91</v>
      </c>
      <c r="AU1041">
        <v>-1.74</v>
      </c>
      <c r="AV1041">
        <v>2</v>
      </c>
      <c r="AW1041">
        <v>1.6</v>
      </c>
      <c r="AX1041">
        <v>78.87</v>
      </c>
      <c r="AY1041">
        <v>265.58</v>
      </c>
      <c r="AZ1041">
        <v>545.98</v>
      </c>
      <c r="BA1041">
        <v>0.55000000000000004</v>
      </c>
      <c r="BB1041" t="s">
        <v>143</v>
      </c>
      <c r="BF1041">
        <v>-0.24</v>
      </c>
      <c r="BG1041">
        <v>-0.36</v>
      </c>
      <c r="BH1041">
        <v>-1.5</v>
      </c>
      <c r="BI1041">
        <v>1.36</v>
      </c>
      <c r="BJ1041">
        <v>20210825</v>
      </c>
      <c r="BK1041">
        <v>20120228</v>
      </c>
      <c r="BL1041">
        <v>3.38</v>
      </c>
      <c r="BM1041" t="s">
        <v>120</v>
      </c>
      <c r="BN1041" t="s">
        <v>120</v>
      </c>
      <c r="BO1041">
        <v>30.31</v>
      </c>
      <c r="BP1041">
        <v>11.14</v>
      </c>
      <c r="BQ1041">
        <v>22.34</v>
      </c>
      <c r="BR1041">
        <v>0</v>
      </c>
      <c r="BS1041">
        <v>26.29</v>
      </c>
      <c r="BT1041">
        <v>17.89</v>
      </c>
      <c r="BU1041">
        <v>0.17</v>
      </c>
      <c r="BV1041">
        <v>0.52</v>
      </c>
      <c r="BW1041">
        <v>7.79</v>
      </c>
      <c r="BX1041">
        <v>2.09</v>
      </c>
      <c r="BY1041">
        <v>7.21</v>
      </c>
      <c r="BZ1041">
        <v>1.1000000000000001</v>
      </c>
      <c r="CA1041" t="s">
        <v>120</v>
      </c>
      <c r="CB1041">
        <v>17.73</v>
      </c>
      <c r="CC1041">
        <v>5.59</v>
      </c>
      <c r="CD1041">
        <v>4.5199999999999996</v>
      </c>
      <c r="CE1041">
        <v>-0.09</v>
      </c>
      <c r="CF1041">
        <v>0.35</v>
      </c>
      <c r="CG1041">
        <v>-0.11</v>
      </c>
      <c r="CH1041">
        <v>-0.19</v>
      </c>
      <c r="CI1041">
        <v>-0.19</v>
      </c>
      <c r="CJ1041">
        <v>-0.02</v>
      </c>
      <c r="CK1041">
        <v>-0.32</v>
      </c>
      <c r="CL1041">
        <v>0.52</v>
      </c>
      <c r="CM1041">
        <v>-3.68</v>
      </c>
      <c r="CN1041">
        <v>-2.0499999999999998</v>
      </c>
      <c r="CO1041">
        <v>50942</v>
      </c>
      <c r="CP1041">
        <v>5226</v>
      </c>
      <c r="CQ1041" t="s">
        <v>5913</v>
      </c>
      <c r="CR1041">
        <v>27.86</v>
      </c>
      <c r="CS1041">
        <v>31.61</v>
      </c>
      <c r="CT1041">
        <v>1.68</v>
      </c>
      <c r="CU1041">
        <v>-10.23</v>
      </c>
      <c r="CV1041">
        <v>6.72</v>
      </c>
      <c r="CW1041">
        <v>0.03</v>
      </c>
      <c r="CX1041" t="s">
        <v>2044</v>
      </c>
      <c r="CY1041">
        <v>6.62</v>
      </c>
      <c r="CZ1041">
        <v>0</v>
      </c>
      <c r="DA1041">
        <v>5.25</v>
      </c>
      <c r="DB1041">
        <v>0.15</v>
      </c>
      <c r="DC1041">
        <v>-1.0900000000000001</v>
      </c>
      <c r="DD1041">
        <v>73.709999999999994</v>
      </c>
      <c r="DE1041" t="s">
        <v>5914</v>
      </c>
      <c r="DF1041">
        <v>19.25</v>
      </c>
      <c r="DG1041">
        <v>-1.69</v>
      </c>
      <c r="DH1041">
        <v>-3.37</v>
      </c>
      <c r="DI1041">
        <v>0.77</v>
      </c>
      <c r="DJ1041">
        <v>1070</v>
      </c>
      <c r="DK1041">
        <v>2657</v>
      </c>
      <c r="DL1041" t="s">
        <v>120</v>
      </c>
      <c r="DM1041" t="s">
        <v>120</v>
      </c>
      <c r="DN1041" t="s">
        <v>120</v>
      </c>
    </row>
    <row r="1042" spans="1:118">
      <c r="A1042" t="str">
        <f>"002658"</f>
        <v>002658</v>
      </c>
      <c r="B1042" t="s">
        <v>5915</v>
      </c>
      <c r="C1042">
        <v>-4.41</v>
      </c>
      <c r="D1042">
        <v>0</v>
      </c>
      <c r="E1042">
        <v>-0.84</v>
      </c>
      <c r="F1042">
        <v>1289</v>
      </c>
      <c r="G1042" t="s">
        <v>4968</v>
      </c>
      <c r="H1042">
        <v>10186.27</v>
      </c>
      <c r="I1042">
        <v>27.56</v>
      </c>
      <c r="J1042" t="s">
        <v>120</v>
      </c>
      <c r="K1042" t="s">
        <v>5916</v>
      </c>
      <c r="L1042">
        <v>3.3</v>
      </c>
      <c r="M1042">
        <v>9.1</v>
      </c>
      <c r="N1042">
        <v>0.54</v>
      </c>
      <c r="O1042">
        <v>0.21</v>
      </c>
      <c r="P1042">
        <v>9.5399999999999991</v>
      </c>
      <c r="Q1042">
        <v>-4.62</v>
      </c>
      <c r="R1042">
        <v>9.08</v>
      </c>
      <c r="S1042">
        <v>9.44</v>
      </c>
      <c r="T1042">
        <v>109933</v>
      </c>
      <c r="U1042">
        <v>9.1</v>
      </c>
      <c r="V1042">
        <v>9.52</v>
      </c>
      <c r="W1042">
        <v>25.54</v>
      </c>
      <c r="X1042" t="s">
        <v>318</v>
      </c>
      <c r="Y1042" t="s">
        <v>158</v>
      </c>
      <c r="Z1042">
        <v>4.83</v>
      </c>
      <c r="AA1042">
        <v>9.27</v>
      </c>
      <c r="AB1042">
        <v>70056</v>
      </c>
      <c r="AC1042">
        <v>39877</v>
      </c>
      <c r="AD1042">
        <v>1.76</v>
      </c>
      <c r="AE1042">
        <v>198</v>
      </c>
      <c r="AF1042">
        <v>36</v>
      </c>
      <c r="AG1042" t="s">
        <v>120</v>
      </c>
      <c r="AH1042">
        <v>0.01</v>
      </c>
      <c r="AI1042" t="s">
        <v>120</v>
      </c>
      <c r="AJ1042">
        <v>3.33</v>
      </c>
      <c r="AK1042" t="s">
        <v>5917</v>
      </c>
      <c r="AL1042">
        <v>-2.5</v>
      </c>
      <c r="AM1042">
        <v>2936</v>
      </c>
      <c r="AN1042">
        <v>37</v>
      </c>
      <c r="AO1042">
        <v>1.1000000000000001E-3</v>
      </c>
      <c r="AP1042">
        <v>-1</v>
      </c>
      <c r="AQ1042">
        <v>0.74</v>
      </c>
      <c r="AR1042">
        <v>-8.82</v>
      </c>
      <c r="AS1042">
        <v>2.37</v>
      </c>
      <c r="AT1042">
        <v>-3.5</v>
      </c>
      <c r="AU1042">
        <v>51.16</v>
      </c>
      <c r="AV1042">
        <v>13</v>
      </c>
      <c r="AW1042">
        <v>4.63</v>
      </c>
      <c r="AX1042">
        <v>37.72</v>
      </c>
      <c r="AY1042">
        <v>23.67</v>
      </c>
      <c r="AZ1042">
        <v>39.89</v>
      </c>
      <c r="BA1042">
        <v>0.93</v>
      </c>
      <c r="BB1042" t="s">
        <v>143</v>
      </c>
      <c r="BF1042">
        <v>-2.67</v>
      </c>
      <c r="BG1042">
        <v>-3.6</v>
      </c>
      <c r="BH1042">
        <v>-4.6100000000000003</v>
      </c>
      <c r="BI1042">
        <v>0.22</v>
      </c>
      <c r="BJ1042">
        <v>20210913</v>
      </c>
      <c r="BK1042">
        <v>20120309</v>
      </c>
      <c r="BL1042">
        <v>6.3</v>
      </c>
      <c r="BM1042" t="s">
        <v>120</v>
      </c>
      <c r="BN1042" t="s">
        <v>120</v>
      </c>
      <c r="BO1042">
        <v>32.4</v>
      </c>
      <c r="BP1042">
        <v>9.09</v>
      </c>
      <c r="BQ1042">
        <v>24.63</v>
      </c>
      <c r="BR1042">
        <v>0.08</v>
      </c>
      <c r="BS1042">
        <v>23.72</v>
      </c>
      <c r="BT1042">
        <v>28</v>
      </c>
      <c r="BU1042">
        <v>1.37</v>
      </c>
      <c r="BV1042">
        <v>0.62</v>
      </c>
      <c r="BW1042">
        <v>4.67</v>
      </c>
      <c r="BX1042">
        <v>7.79</v>
      </c>
      <c r="BY1042">
        <v>6.15</v>
      </c>
      <c r="BZ1042">
        <v>4.4000000000000004</v>
      </c>
      <c r="CA1042" t="s">
        <v>120</v>
      </c>
      <c r="CB1042">
        <v>4.71</v>
      </c>
      <c r="CC1042">
        <v>5.79</v>
      </c>
      <c r="CD1042">
        <v>3.28</v>
      </c>
      <c r="CE1042">
        <v>1.29</v>
      </c>
      <c r="CF1042">
        <v>0.21</v>
      </c>
      <c r="CG1042">
        <v>1.28</v>
      </c>
      <c r="CH1042">
        <v>1.1100000000000001</v>
      </c>
      <c r="CI1042">
        <v>1.1200000000000001</v>
      </c>
      <c r="CJ1042">
        <v>-0.42</v>
      </c>
      <c r="CK1042">
        <v>0.76</v>
      </c>
      <c r="CL1042">
        <v>12.04</v>
      </c>
      <c r="CM1042">
        <v>0.4</v>
      </c>
      <c r="CN1042">
        <v>1.29</v>
      </c>
      <c r="CO1042">
        <v>60967</v>
      </c>
      <c r="CP1042">
        <v>3898</v>
      </c>
      <c r="CQ1042" t="s">
        <v>5918</v>
      </c>
      <c r="CR1042">
        <v>1108.95</v>
      </c>
      <c r="CS1042">
        <v>54.63</v>
      </c>
      <c r="CT1042">
        <v>2.39</v>
      </c>
      <c r="CU1042">
        <v>144.03</v>
      </c>
      <c r="CV1042">
        <v>9.91</v>
      </c>
      <c r="CW1042">
        <v>2.82</v>
      </c>
      <c r="CX1042" t="s">
        <v>242</v>
      </c>
      <c r="CY1042">
        <v>3.81</v>
      </c>
      <c r="CZ1042">
        <v>3.81</v>
      </c>
      <c r="DA1042">
        <v>0.75</v>
      </c>
      <c r="DB1042">
        <v>1.91</v>
      </c>
      <c r="DC1042">
        <v>0.06</v>
      </c>
      <c r="DD1042">
        <v>76.03</v>
      </c>
      <c r="DE1042" t="s">
        <v>5919</v>
      </c>
      <c r="DF1042">
        <v>43.39</v>
      </c>
      <c r="DG1042">
        <v>22.23</v>
      </c>
      <c r="DH1042">
        <v>19.399999999999999</v>
      </c>
      <c r="DI1042">
        <v>0.44</v>
      </c>
      <c r="DJ1042">
        <v>1941</v>
      </c>
      <c r="DK1042">
        <v>2658</v>
      </c>
      <c r="DL1042" t="s">
        <v>120</v>
      </c>
      <c r="DM1042" t="s">
        <v>120</v>
      </c>
      <c r="DN1042" t="s">
        <v>120</v>
      </c>
    </row>
    <row r="1043" spans="1:118">
      <c r="A1043" t="str">
        <f>"002659"</f>
        <v>002659</v>
      </c>
      <c r="B1043" t="s">
        <v>5920</v>
      </c>
      <c r="C1043">
        <v>-2.62</v>
      </c>
      <c r="D1043">
        <v>0</v>
      </c>
      <c r="E1043">
        <v>-0.26</v>
      </c>
      <c r="F1043">
        <v>606</v>
      </c>
      <c r="G1043" t="s">
        <v>5921</v>
      </c>
      <c r="H1043">
        <v>3530.32</v>
      </c>
      <c r="I1043">
        <v>0.3</v>
      </c>
      <c r="J1043" t="s">
        <v>120</v>
      </c>
      <c r="K1043" t="s">
        <v>5922</v>
      </c>
      <c r="L1043">
        <v>1.59</v>
      </c>
      <c r="M1043">
        <v>3.72</v>
      </c>
      <c r="N1043">
        <v>0.89</v>
      </c>
      <c r="O1043">
        <v>0.52</v>
      </c>
      <c r="P1043">
        <v>3.84</v>
      </c>
      <c r="Q1043">
        <v>-2.88</v>
      </c>
      <c r="R1043">
        <v>3.71</v>
      </c>
      <c r="S1043">
        <v>3.81</v>
      </c>
      <c r="T1043">
        <v>93535</v>
      </c>
      <c r="U1043">
        <v>3.73</v>
      </c>
      <c r="V1043">
        <v>3.82</v>
      </c>
      <c r="W1043" t="s">
        <v>120</v>
      </c>
      <c r="X1043" t="s">
        <v>213</v>
      </c>
      <c r="Y1043" t="s">
        <v>158</v>
      </c>
      <c r="Z1043">
        <v>3.4</v>
      </c>
      <c r="AA1043">
        <v>3.77</v>
      </c>
      <c r="AB1043">
        <v>59805</v>
      </c>
      <c r="AC1043">
        <v>33730</v>
      </c>
      <c r="AD1043">
        <v>1.77</v>
      </c>
      <c r="AE1043">
        <v>828</v>
      </c>
      <c r="AF1043">
        <v>434</v>
      </c>
      <c r="AG1043" t="s">
        <v>120</v>
      </c>
      <c r="AH1043">
        <v>0</v>
      </c>
      <c r="AI1043" t="s">
        <v>120</v>
      </c>
      <c r="AJ1043">
        <v>5.88</v>
      </c>
      <c r="AK1043" t="s">
        <v>5923</v>
      </c>
      <c r="AL1043">
        <v>-0.7</v>
      </c>
      <c r="AM1043">
        <v>1759</v>
      </c>
      <c r="AN1043">
        <v>53</v>
      </c>
      <c r="AO1043">
        <v>8.9999999999999998E-4</v>
      </c>
      <c r="AP1043">
        <v>-1</v>
      </c>
      <c r="AQ1043">
        <v>3.24</v>
      </c>
      <c r="AR1043">
        <v>-1.85</v>
      </c>
      <c r="AS1043">
        <v>11.04</v>
      </c>
      <c r="AT1043">
        <v>0.26</v>
      </c>
      <c r="AU1043">
        <v>-23.77</v>
      </c>
      <c r="AV1043">
        <v>1</v>
      </c>
      <c r="AW1043">
        <v>2.2000000000000002</v>
      </c>
      <c r="AX1043">
        <v>71.16</v>
      </c>
      <c r="AY1043" t="s">
        <v>120</v>
      </c>
      <c r="AZ1043" t="s">
        <v>120</v>
      </c>
      <c r="BA1043">
        <v>0.5</v>
      </c>
      <c r="BB1043" t="s">
        <v>184</v>
      </c>
      <c r="BF1043">
        <v>-1.2</v>
      </c>
      <c r="BG1043">
        <v>-2.36</v>
      </c>
      <c r="BH1043">
        <v>-3.12</v>
      </c>
      <c r="BI1043">
        <v>0.27</v>
      </c>
      <c r="BJ1043">
        <v>20210915</v>
      </c>
      <c r="BK1043">
        <v>20120309</v>
      </c>
      <c r="BL1043">
        <v>5.98</v>
      </c>
      <c r="BM1043" t="s">
        <v>120</v>
      </c>
      <c r="BN1043" t="s">
        <v>120</v>
      </c>
      <c r="BO1043">
        <v>38.04</v>
      </c>
      <c r="BP1043">
        <v>3.72</v>
      </c>
      <c r="BQ1043">
        <v>24.32</v>
      </c>
      <c r="BR1043">
        <v>-0.02</v>
      </c>
      <c r="BS1043">
        <v>36.119999999999997</v>
      </c>
      <c r="BT1043">
        <v>10.07</v>
      </c>
      <c r="BU1043">
        <v>11.63</v>
      </c>
      <c r="BV1043">
        <v>8.17</v>
      </c>
      <c r="BW1043">
        <v>3.42</v>
      </c>
      <c r="BX1043">
        <v>6.73</v>
      </c>
      <c r="BY1043">
        <v>0</v>
      </c>
      <c r="BZ1043">
        <v>0</v>
      </c>
      <c r="CA1043" t="s">
        <v>120</v>
      </c>
      <c r="CB1043">
        <v>20.22</v>
      </c>
      <c r="CC1043">
        <v>1.98</v>
      </c>
      <c r="CD1043">
        <v>1.71</v>
      </c>
      <c r="CE1043">
        <v>-0.45</v>
      </c>
      <c r="CF1043">
        <v>0.05</v>
      </c>
      <c r="CG1043">
        <v>-0.45</v>
      </c>
      <c r="CH1043">
        <v>-0.35</v>
      </c>
      <c r="CI1043">
        <v>-0.35</v>
      </c>
      <c r="CJ1043">
        <v>-0.1</v>
      </c>
      <c r="CK1043">
        <v>-0.4</v>
      </c>
      <c r="CL1043">
        <v>-2.15</v>
      </c>
      <c r="CM1043">
        <v>-0.39</v>
      </c>
      <c r="CN1043">
        <v>-1.79</v>
      </c>
      <c r="CO1043">
        <v>18281</v>
      </c>
      <c r="CP1043">
        <v>23289</v>
      </c>
      <c r="CQ1043" t="s">
        <v>5924</v>
      </c>
      <c r="CR1043">
        <v>47.45</v>
      </c>
      <c r="CS1043">
        <v>43.55</v>
      </c>
      <c r="CT1043">
        <v>0.92</v>
      </c>
      <c r="CU1043">
        <v>-56.44</v>
      </c>
      <c r="CV1043">
        <v>11.26</v>
      </c>
      <c r="CW1043">
        <v>0</v>
      </c>
      <c r="CX1043" t="s">
        <v>5925</v>
      </c>
      <c r="CY1043">
        <v>4.07</v>
      </c>
      <c r="CZ1043">
        <v>0</v>
      </c>
      <c r="DA1043">
        <v>3.38</v>
      </c>
      <c r="DB1043">
        <v>-0.36</v>
      </c>
      <c r="DC1043">
        <v>-7.0000000000000007E-2</v>
      </c>
      <c r="DD1043">
        <v>63.93</v>
      </c>
      <c r="DE1043" t="s">
        <v>5926</v>
      </c>
      <c r="DF1043">
        <v>13.69</v>
      </c>
      <c r="DG1043">
        <v>-22.75</v>
      </c>
      <c r="DH1043">
        <v>-17.55</v>
      </c>
      <c r="DI1043" t="s">
        <v>120</v>
      </c>
      <c r="DJ1043">
        <v>655</v>
      </c>
      <c r="DK1043">
        <v>2659</v>
      </c>
      <c r="DL1043" t="s">
        <v>120</v>
      </c>
      <c r="DM1043" t="s">
        <v>120</v>
      </c>
      <c r="DN1043" t="s">
        <v>120</v>
      </c>
    </row>
    <row r="1044" spans="1:118">
      <c r="A1044" t="str">
        <f>"002660"</f>
        <v>002660</v>
      </c>
      <c r="B1044" t="s">
        <v>5927</v>
      </c>
      <c r="C1044">
        <v>-1.71</v>
      </c>
      <c r="D1044">
        <v>-0.12</v>
      </c>
      <c r="E1044">
        <v>-0.26</v>
      </c>
      <c r="F1044">
        <v>869</v>
      </c>
      <c r="G1044" t="s">
        <v>5928</v>
      </c>
      <c r="H1044">
        <v>5073.59</v>
      </c>
      <c r="I1044">
        <v>6.9</v>
      </c>
      <c r="J1044" t="s">
        <v>120</v>
      </c>
      <c r="K1044" t="s">
        <v>5929</v>
      </c>
      <c r="L1044">
        <v>3.15</v>
      </c>
      <c r="M1044">
        <v>7.47</v>
      </c>
      <c r="N1044">
        <v>1.1599999999999999</v>
      </c>
      <c r="O1044">
        <v>3.42</v>
      </c>
      <c r="P1044">
        <v>7.86</v>
      </c>
      <c r="Q1044">
        <v>-1.97</v>
      </c>
      <c r="R1044">
        <v>7.45</v>
      </c>
      <c r="S1044">
        <v>7.58</v>
      </c>
      <c r="T1044">
        <v>66583</v>
      </c>
      <c r="U1044">
        <v>7.48</v>
      </c>
      <c r="V1044">
        <v>7.6</v>
      </c>
      <c r="W1044">
        <v>57.16</v>
      </c>
      <c r="X1044" t="s">
        <v>394</v>
      </c>
      <c r="Y1044" t="s">
        <v>123</v>
      </c>
      <c r="Z1044">
        <v>5.39</v>
      </c>
      <c r="AA1044">
        <v>7.62</v>
      </c>
      <c r="AB1044">
        <v>39313</v>
      </c>
      <c r="AC1044">
        <v>27270</v>
      </c>
      <c r="AD1044">
        <v>1.44</v>
      </c>
      <c r="AE1044">
        <v>50</v>
      </c>
      <c r="AF1044">
        <v>12</v>
      </c>
      <c r="AG1044" t="s">
        <v>120</v>
      </c>
      <c r="AH1044">
        <v>0.01</v>
      </c>
      <c r="AI1044" t="s">
        <v>120</v>
      </c>
      <c r="AJ1044">
        <v>2.11</v>
      </c>
      <c r="AK1044" t="s">
        <v>2589</v>
      </c>
      <c r="AL1044">
        <v>0.2</v>
      </c>
      <c r="AM1044">
        <v>1825</v>
      </c>
      <c r="AN1044">
        <v>36</v>
      </c>
      <c r="AO1044">
        <v>1.6999999999999999E-3</v>
      </c>
      <c r="AP1044">
        <v>-1</v>
      </c>
      <c r="AQ1044">
        <v>1.6</v>
      </c>
      <c r="AR1044">
        <v>-0.8</v>
      </c>
      <c r="AS1044">
        <v>-4.3499999999999996</v>
      </c>
      <c r="AT1044">
        <v>-2.2200000000000002</v>
      </c>
      <c r="AU1044">
        <v>-7.09</v>
      </c>
      <c r="AV1044">
        <v>2</v>
      </c>
      <c r="AW1044">
        <v>3.73</v>
      </c>
      <c r="AX1044">
        <v>65.12</v>
      </c>
      <c r="AY1044">
        <v>41.37</v>
      </c>
      <c r="AZ1044">
        <v>33.159999999999997</v>
      </c>
      <c r="BA1044">
        <v>0.78</v>
      </c>
      <c r="BB1044" t="s">
        <v>751</v>
      </c>
      <c r="BF1044">
        <v>0.26</v>
      </c>
      <c r="BG1044">
        <v>-1.45</v>
      </c>
      <c r="BH1044">
        <v>-4.96</v>
      </c>
      <c r="BI1044">
        <v>0.27</v>
      </c>
      <c r="BJ1044">
        <v>20210901</v>
      </c>
      <c r="BK1044">
        <v>20120316</v>
      </c>
      <c r="BL1044">
        <v>2.74</v>
      </c>
      <c r="BM1044" t="s">
        <v>120</v>
      </c>
      <c r="BN1044" t="s">
        <v>120</v>
      </c>
      <c r="BO1044">
        <v>16.510000000000002</v>
      </c>
      <c r="BP1044">
        <v>7.47</v>
      </c>
      <c r="BQ1044">
        <v>7.09</v>
      </c>
      <c r="BR1044">
        <v>0</v>
      </c>
      <c r="BS1044">
        <v>57.01</v>
      </c>
      <c r="BT1044">
        <v>11.01</v>
      </c>
      <c r="BU1044">
        <v>3.56</v>
      </c>
      <c r="BV1044">
        <v>0.17</v>
      </c>
      <c r="BW1044">
        <v>8.94</v>
      </c>
      <c r="BX1044">
        <v>0.92</v>
      </c>
      <c r="BY1044">
        <v>3.08</v>
      </c>
      <c r="BZ1044">
        <v>4.88</v>
      </c>
      <c r="CA1044" t="s">
        <v>120</v>
      </c>
      <c r="CB1044">
        <v>4.1100000000000003</v>
      </c>
      <c r="CC1044">
        <v>7.4</v>
      </c>
      <c r="CD1044">
        <v>6.18</v>
      </c>
      <c r="CE1044">
        <v>0.21</v>
      </c>
      <c r="CF1044">
        <v>0</v>
      </c>
      <c r="CG1044">
        <v>0.23</v>
      </c>
      <c r="CH1044">
        <v>0.18</v>
      </c>
      <c r="CI1044">
        <v>0.18</v>
      </c>
      <c r="CJ1044">
        <v>-0.13</v>
      </c>
      <c r="CK1044">
        <v>0.14000000000000001</v>
      </c>
      <c r="CL1044">
        <v>0.2</v>
      </c>
      <c r="CM1044">
        <v>-0.43</v>
      </c>
      <c r="CN1044">
        <v>-1.32</v>
      </c>
      <c r="CO1044">
        <v>30000</v>
      </c>
      <c r="CP1044">
        <v>5955</v>
      </c>
      <c r="CQ1044" t="s">
        <v>3827</v>
      </c>
      <c r="CR1044">
        <v>-41.03</v>
      </c>
      <c r="CS1044">
        <v>38.590000000000003</v>
      </c>
      <c r="CT1044">
        <v>2.89</v>
      </c>
      <c r="CU1044">
        <v>-47.21</v>
      </c>
      <c r="CV1044">
        <v>2.77</v>
      </c>
      <c r="CW1044">
        <v>0</v>
      </c>
      <c r="CX1044" t="s">
        <v>1867</v>
      </c>
      <c r="CY1044">
        <v>2.59</v>
      </c>
      <c r="CZ1044">
        <v>0</v>
      </c>
      <c r="DA1044">
        <v>1.5</v>
      </c>
      <c r="DB1044">
        <v>7.0000000000000007E-2</v>
      </c>
      <c r="DC1044">
        <v>-0.16</v>
      </c>
      <c r="DD1044">
        <v>42.96</v>
      </c>
      <c r="DE1044" t="s">
        <v>5930</v>
      </c>
      <c r="DF1044">
        <v>16.47</v>
      </c>
      <c r="DG1044">
        <v>2.88</v>
      </c>
      <c r="DH1044">
        <v>2.42</v>
      </c>
      <c r="DI1044">
        <v>0.31</v>
      </c>
      <c r="DJ1044">
        <v>2221</v>
      </c>
      <c r="DK1044">
        <v>2660</v>
      </c>
      <c r="DL1044" t="s">
        <v>120</v>
      </c>
      <c r="DM1044" t="s">
        <v>120</v>
      </c>
      <c r="DN1044" t="s">
        <v>120</v>
      </c>
    </row>
    <row r="1045" spans="1:118">
      <c r="A1045" t="str">
        <f>"002661"</f>
        <v>002661</v>
      </c>
      <c r="B1045" t="s">
        <v>5931</v>
      </c>
      <c r="C1045">
        <v>0</v>
      </c>
      <c r="D1045">
        <v>0</v>
      </c>
      <c r="E1045">
        <v>-0.28000000000000003</v>
      </c>
      <c r="F1045">
        <v>186</v>
      </c>
      <c r="G1045" t="s">
        <v>5932</v>
      </c>
      <c r="H1045">
        <v>4085.31</v>
      </c>
      <c r="I1045">
        <v>9.01</v>
      </c>
      <c r="J1045" t="s">
        <v>120</v>
      </c>
      <c r="K1045" t="s">
        <v>5933</v>
      </c>
      <c r="L1045">
        <v>1.1599999999999999</v>
      </c>
      <c r="M1045">
        <v>10.63</v>
      </c>
      <c r="N1045">
        <v>0.84</v>
      </c>
      <c r="O1045">
        <v>1.22</v>
      </c>
      <c r="P1045">
        <v>10.76</v>
      </c>
      <c r="Q1045">
        <v>-0.66</v>
      </c>
      <c r="R1045">
        <v>10.56</v>
      </c>
      <c r="S1045">
        <v>10.6</v>
      </c>
      <c r="T1045">
        <v>38319</v>
      </c>
      <c r="U1045">
        <v>10.64</v>
      </c>
      <c r="V1045">
        <v>10.63</v>
      </c>
      <c r="W1045">
        <v>41.54</v>
      </c>
      <c r="X1045" t="s">
        <v>847</v>
      </c>
      <c r="Y1045" t="s">
        <v>594</v>
      </c>
      <c r="Z1045">
        <v>1.88</v>
      </c>
      <c r="AA1045">
        <v>10.66</v>
      </c>
      <c r="AB1045">
        <v>15527</v>
      </c>
      <c r="AC1045">
        <v>22792</v>
      </c>
      <c r="AD1045">
        <v>0.68</v>
      </c>
      <c r="AE1045">
        <v>131</v>
      </c>
      <c r="AF1045">
        <v>310</v>
      </c>
      <c r="AG1045" t="s">
        <v>120</v>
      </c>
      <c r="AH1045">
        <v>0</v>
      </c>
      <c r="AI1045" t="s">
        <v>120</v>
      </c>
      <c r="AJ1045">
        <v>3.31</v>
      </c>
      <c r="AK1045" t="s">
        <v>5934</v>
      </c>
      <c r="AL1045">
        <v>1.91</v>
      </c>
      <c r="AM1045">
        <v>1285</v>
      </c>
      <c r="AN1045">
        <v>30</v>
      </c>
      <c r="AO1045">
        <v>8.9999999999999998E-4</v>
      </c>
      <c r="AP1045">
        <v>0</v>
      </c>
      <c r="AQ1045">
        <v>-0.28000000000000003</v>
      </c>
      <c r="AR1045">
        <v>-2.2000000000000002</v>
      </c>
      <c r="AS1045">
        <v>-0.37</v>
      </c>
      <c r="AT1045">
        <v>-21.9</v>
      </c>
      <c r="AU1045">
        <v>-39.26</v>
      </c>
      <c r="AV1045">
        <v>0</v>
      </c>
      <c r="AW1045">
        <v>1.81</v>
      </c>
      <c r="AX1045">
        <v>62.8</v>
      </c>
      <c r="AY1045">
        <v>31.62</v>
      </c>
      <c r="AZ1045">
        <v>12.24</v>
      </c>
      <c r="BA1045">
        <v>0.51</v>
      </c>
      <c r="BB1045" t="s">
        <v>143</v>
      </c>
      <c r="BF1045">
        <v>0.28999999999999998</v>
      </c>
      <c r="BG1045">
        <v>0.28000000000000003</v>
      </c>
      <c r="BH1045">
        <v>-1.21</v>
      </c>
      <c r="BI1045">
        <v>0.66</v>
      </c>
      <c r="BJ1045">
        <v>20210914</v>
      </c>
      <c r="BK1045">
        <v>20120316</v>
      </c>
      <c r="BL1045">
        <v>3.37</v>
      </c>
      <c r="BM1045" t="s">
        <v>120</v>
      </c>
      <c r="BN1045" t="s">
        <v>120</v>
      </c>
      <c r="BO1045">
        <v>37.72</v>
      </c>
      <c r="BP1045">
        <v>10.63</v>
      </c>
      <c r="BQ1045">
        <v>25.37</v>
      </c>
      <c r="BR1045" t="s">
        <v>120</v>
      </c>
      <c r="BS1045">
        <v>32.75</v>
      </c>
      <c r="BT1045">
        <v>11.39</v>
      </c>
      <c r="BU1045">
        <v>19.28</v>
      </c>
      <c r="BV1045">
        <v>2.29</v>
      </c>
      <c r="BW1045">
        <v>11.6</v>
      </c>
      <c r="BX1045">
        <v>3.14</v>
      </c>
      <c r="BY1045">
        <v>4.68</v>
      </c>
      <c r="BZ1045">
        <v>1.42</v>
      </c>
      <c r="CA1045" t="s">
        <v>120</v>
      </c>
      <c r="CB1045">
        <v>14.1</v>
      </c>
      <c r="CC1045">
        <v>20.51</v>
      </c>
      <c r="CD1045">
        <v>17.420000000000002</v>
      </c>
      <c r="CE1045">
        <v>0.51</v>
      </c>
      <c r="CF1045">
        <v>0</v>
      </c>
      <c r="CG1045">
        <v>0.51</v>
      </c>
      <c r="CH1045">
        <v>0.43</v>
      </c>
      <c r="CI1045">
        <v>0.43</v>
      </c>
      <c r="CJ1045">
        <v>0</v>
      </c>
      <c r="CK1045">
        <v>0.2</v>
      </c>
      <c r="CL1045">
        <v>7.39</v>
      </c>
      <c r="CM1045">
        <v>1.77</v>
      </c>
      <c r="CN1045">
        <v>-1.03</v>
      </c>
      <c r="CO1045">
        <v>42159</v>
      </c>
      <c r="CP1045">
        <v>5020</v>
      </c>
      <c r="CQ1045" t="s">
        <v>2990</v>
      </c>
      <c r="CR1045">
        <v>-80.63</v>
      </c>
      <c r="CS1045">
        <v>5.8</v>
      </c>
      <c r="CT1045">
        <v>1.41</v>
      </c>
      <c r="CU1045">
        <v>20.239999999999998</v>
      </c>
      <c r="CV1045">
        <v>1.75</v>
      </c>
      <c r="CW1045">
        <v>2.78</v>
      </c>
      <c r="CX1045" t="s">
        <v>986</v>
      </c>
      <c r="CY1045">
        <v>7.53</v>
      </c>
      <c r="CZ1045">
        <v>0</v>
      </c>
      <c r="DA1045">
        <v>4.18</v>
      </c>
      <c r="DB1045">
        <v>2.19</v>
      </c>
      <c r="DC1045">
        <v>0.53</v>
      </c>
      <c r="DD1045">
        <v>67.25</v>
      </c>
      <c r="DE1045" t="s">
        <v>5935</v>
      </c>
      <c r="DF1045">
        <v>15.06</v>
      </c>
      <c r="DG1045">
        <v>2.4700000000000002</v>
      </c>
      <c r="DH1045">
        <v>2.1</v>
      </c>
      <c r="DI1045">
        <v>0.15</v>
      </c>
      <c r="DJ1045">
        <v>4987</v>
      </c>
      <c r="DK1045">
        <v>2661</v>
      </c>
      <c r="DL1045" t="s">
        <v>120</v>
      </c>
      <c r="DM1045" t="s">
        <v>120</v>
      </c>
      <c r="DN1045" t="s">
        <v>120</v>
      </c>
    </row>
    <row r="1046" spans="1:118">
      <c r="A1046" t="str">
        <f>"002662"</f>
        <v>002662</v>
      </c>
      <c r="B1046" t="s">
        <v>5936</v>
      </c>
      <c r="C1046">
        <v>0</v>
      </c>
      <c r="D1046">
        <v>-0.24</v>
      </c>
      <c r="E1046">
        <v>0.25</v>
      </c>
      <c r="F1046">
        <v>2492</v>
      </c>
      <c r="G1046" t="s">
        <v>5937</v>
      </c>
      <c r="H1046">
        <v>14250.3</v>
      </c>
      <c r="I1046">
        <v>72.67</v>
      </c>
      <c r="J1046" t="s">
        <v>120</v>
      </c>
      <c r="K1046" t="s">
        <v>5938</v>
      </c>
      <c r="L1046">
        <v>2.39</v>
      </c>
      <c r="M1046">
        <v>3.95</v>
      </c>
      <c r="N1046">
        <v>1.1399999999999999</v>
      </c>
      <c r="O1046">
        <v>1.77</v>
      </c>
      <c r="P1046">
        <v>4.0199999999999996</v>
      </c>
      <c r="Q1046">
        <v>-0.25</v>
      </c>
      <c r="R1046">
        <v>3.94</v>
      </c>
      <c r="S1046">
        <v>3.96</v>
      </c>
      <c r="T1046">
        <v>358089</v>
      </c>
      <c r="U1046">
        <v>3.96</v>
      </c>
      <c r="V1046">
        <v>3.95</v>
      </c>
      <c r="W1046">
        <v>15.88</v>
      </c>
      <c r="X1046" t="s">
        <v>289</v>
      </c>
      <c r="Y1046" t="s">
        <v>158</v>
      </c>
      <c r="Z1046">
        <v>2.0299999999999998</v>
      </c>
      <c r="AA1046">
        <v>3.98</v>
      </c>
      <c r="AB1046">
        <v>193913</v>
      </c>
      <c r="AC1046">
        <v>164176</v>
      </c>
      <c r="AD1046">
        <v>1.18</v>
      </c>
      <c r="AE1046">
        <v>2117</v>
      </c>
      <c r="AF1046">
        <v>1945</v>
      </c>
      <c r="AG1046" t="s">
        <v>120</v>
      </c>
      <c r="AH1046">
        <v>0.03</v>
      </c>
      <c r="AI1046" t="s">
        <v>120</v>
      </c>
      <c r="AJ1046">
        <v>15</v>
      </c>
      <c r="AK1046" t="s">
        <v>5938</v>
      </c>
      <c r="AL1046">
        <v>1.91</v>
      </c>
      <c r="AM1046">
        <v>2333</v>
      </c>
      <c r="AN1046">
        <v>153</v>
      </c>
      <c r="AO1046">
        <v>1E-3</v>
      </c>
      <c r="AP1046">
        <v>0</v>
      </c>
      <c r="AQ1046">
        <v>0.51</v>
      </c>
      <c r="AR1046">
        <v>0.26</v>
      </c>
      <c r="AS1046">
        <v>2.33</v>
      </c>
      <c r="AT1046">
        <v>21.17</v>
      </c>
      <c r="AU1046">
        <v>10.96</v>
      </c>
      <c r="AV1046">
        <v>6</v>
      </c>
      <c r="AW1046">
        <v>5.57</v>
      </c>
      <c r="AX1046">
        <v>42.85</v>
      </c>
      <c r="AY1046">
        <v>29.24</v>
      </c>
      <c r="AZ1046">
        <v>52.65</v>
      </c>
      <c r="BA1046">
        <v>0.59</v>
      </c>
      <c r="BB1046" t="s">
        <v>143</v>
      </c>
      <c r="BF1046">
        <v>0.75</v>
      </c>
      <c r="BG1046">
        <v>-0.25</v>
      </c>
      <c r="BH1046">
        <v>-1.74</v>
      </c>
      <c r="BI1046">
        <v>0.25</v>
      </c>
      <c r="BJ1046">
        <v>20210818</v>
      </c>
      <c r="BK1046">
        <v>20120309</v>
      </c>
      <c r="BL1046">
        <v>15</v>
      </c>
      <c r="BM1046" t="s">
        <v>120</v>
      </c>
      <c r="BN1046" t="s">
        <v>120</v>
      </c>
      <c r="BO1046">
        <v>49.66</v>
      </c>
      <c r="BP1046">
        <v>3.95</v>
      </c>
      <c r="BQ1046">
        <v>33.53</v>
      </c>
      <c r="BR1046" t="s">
        <v>120</v>
      </c>
      <c r="BS1046">
        <v>32.49</v>
      </c>
      <c r="BT1046">
        <v>21.71</v>
      </c>
      <c r="BU1046">
        <v>19.04</v>
      </c>
      <c r="BV1046">
        <v>2.12</v>
      </c>
      <c r="BW1046">
        <v>15.8</v>
      </c>
      <c r="BX1046">
        <v>2.54</v>
      </c>
      <c r="BY1046">
        <v>6.57</v>
      </c>
      <c r="BZ1046">
        <v>7.31</v>
      </c>
      <c r="CA1046">
        <v>0.06</v>
      </c>
      <c r="CB1046">
        <v>16.84</v>
      </c>
      <c r="CC1046">
        <v>17.43</v>
      </c>
      <c r="CD1046">
        <v>13.17</v>
      </c>
      <c r="CE1046">
        <v>2.2400000000000002</v>
      </c>
      <c r="CF1046">
        <v>0.55000000000000004</v>
      </c>
      <c r="CG1046">
        <v>2.23</v>
      </c>
      <c r="CH1046">
        <v>1.87</v>
      </c>
      <c r="CI1046">
        <v>1.87</v>
      </c>
      <c r="CJ1046">
        <v>0</v>
      </c>
      <c r="CK1046">
        <v>1.9</v>
      </c>
      <c r="CL1046">
        <v>-1.8</v>
      </c>
      <c r="CM1046">
        <v>2.46</v>
      </c>
      <c r="CN1046">
        <v>-1.62</v>
      </c>
      <c r="CO1046">
        <v>51545</v>
      </c>
      <c r="CP1046">
        <v>12470</v>
      </c>
      <c r="CQ1046" t="s">
        <v>2520</v>
      </c>
      <c r="CR1046">
        <v>93.4</v>
      </c>
      <c r="CS1046">
        <v>10.28</v>
      </c>
      <c r="CT1046">
        <v>1.77</v>
      </c>
      <c r="CU1046">
        <v>24.1</v>
      </c>
      <c r="CV1046">
        <v>3.4</v>
      </c>
      <c r="CW1046">
        <v>0</v>
      </c>
      <c r="CX1046" t="s">
        <v>850</v>
      </c>
      <c r="CY1046">
        <v>2.2400000000000002</v>
      </c>
      <c r="CZ1046">
        <v>0</v>
      </c>
      <c r="DA1046">
        <v>1.1200000000000001</v>
      </c>
      <c r="DB1046">
        <v>-0.12</v>
      </c>
      <c r="DC1046">
        <v>0.16</v>
      </c>
      <c r="DD1046">
        <v>67.510000000000005</v>
      </c>
      <c r="DE1046" t="s">
        <v>5126</v>
      </c>
      <c r="DF1046">
        <v>24.45</v>
      </c>
      <c r="DG1046">
        <v>12.88</v>
      </c>
      <c r="DH1046">
        <v>10.71</v>
      </c>
      <c r="DI1046">
        <v>0.71</v>
      </c>
      <c r="DJ1046">
        <v>6734</v>
      </c>
      <c r="DK1046">
        <v>2662</v>
      </c>
      <c r="DL1046" t="s">
        <v>120</v>
      </c>
      <c r="DM1046" t="s">
        <v>120</v>
      </c>
      <c r="DN1046" t="s">
        <v>120</v>
      </c>
    </row>
    <row r="1047" spans="1:118">
      <c r="A1047" t="str">
        <f>"002663"</f>
        <v>002663</v>
      </c>
      <c r="B1047" t="s">
        <v>5939</v>
      </c>
      <c r="C1047">
        <v>-1.36</v>
      </c>
      <c r="D1047">
        <v>0</v>
      </c>
      <c r="E1047">
        <v>0.45</v>
      </c>
      <c r="F1047">
        <v>1549</v>
      </c>
      <c r="G1047" t="s">
        <v>5940</v>
      </c>
      <c r="H1047">
        <v>4125.2700000000004</v>
      </c>
      <c r="I1047">
        <v>30.15</v>
      </c>
      <c r="J1047" t="s">
        <v>120</v>
      </c>
      <c r="K1047" t="s">
        <v>5941</v>
      </c>
      <c r="L1047">
        <v>1.44</v>
      </c>
      <c r="M1047">
        <v>2.1800000000000002</v>
      </c>
      <c r="N1047">
        <v>0.74</v>
      </c>
      <c r="O1047">
        <v>1.81</v>
      </c>
      <c r="P1047">
        <v>2.25</v>
      </c>
      <c r="Q1047">
        <v>-1.36</v>
      </c>
      <c r="R1047">
        <v>2.1800000000000002</v>
      </c>
      <c r="S1047">
        <v>2.2200000000000002</v>
      </c>
      <c r="T1047">
        <v>186919</v>
      </c>
      <c r="U1047">
        <v>2.19</v>
      </c>
      <c r="V1047">
        <v>2.21</v>
      </c>
      <c r="W1047">
        <v>178.64</v>
      </c>
      <c r="X1047" t="s">
        <v>175</v>
      </c>
      <c r="Y1047" t="s">
        <v>547</v>
      </c>
      <c r="Z1047">
        <v>3.17</v>
      </c>
      <c r="AA1047">
        <v>2.21</v>
      </c>
      <c r="AB1047">
        <v>106121</v>
      </c>
      <c r="AC1047">
        <v>80798</v>
      </c>
      <c r="AD1047">
        <v>1.31</v>
      </c>
      <c r="AE1047">
        <v>3119</v>
      </c>
      <c r="AF1047">
        <v>2530</v>
      </c>
      <c r="AG1047" t="s">
        <v>120</v>
      </c>
      <c r="AH1047">
        <v>0.01</v>
      </c>
      <c r="AI1047" t="s">
        <v>120</v>
      </c>
      <c r="AJ1047">
        <v>13.02</v>
      </c>
      <c r="AK1047" t="s">
        <v>155</v>
      </c>
      <c r="AL1047">
        <v>0.56000000000000005</v>
      </c>
      <c r="AM1047">
        <v>1990</v>
      </c>
      <c r="AN1047">
        <v>94</v>
      </c>
      <c r="AO1047">
        <v>6.9999999999999999E-4</v>
      </c>
      <c r="AP1047">
        <v>-1</v>
      </c>
      <c r="AQ1047">
        <v>1.84</v>
      </c>
      <c r="AR1047">
        <v>-2.2400000000000002</v>
      </c>
      <c r="AS1047">
        <v>14.74</v>
      </c>
      <c r="AT1047">
        <v>19.13</v>
      </c>
      <c r="AU1047">
        <v>12.96</v>
      </c>
      <c r="AV1047">
        <v>2</v>
      </c>
      <c r="AW1047">
        <v>1.64</v>
      </c>
      <c r="AX1047">
        <v>63.27</v>
      </c>
      <c r="AY1047" t="s">
        <v>120</v>
      </c>
      <c r="AZ1047" t="s">
        <v>120</v>
      </c>
      <c r="BA1047">
        <v>0.17</v>
      </c>
      <c r="BB1047" t="s">
        <v>184</v>
      </c>
      <c r="BF1047">
        <v>-0.14000000000000001</v>
      </c>
      <c r="BG1047">
        <v>-1.8</v>
      </c>
      <c r="BH1047">
        <v>-3.11</v>
      </c>
      <c r="BI1047">
        <v>0</v>
      </c>
      <c r="BJ1047">
        <v>20210906</v>
      </c>
      <c r="BK1047">
        <v>20120316</v>
      </c>
      <c r="BL1047">
        <v>17.96</v>
      </c>
      <c r="BM1047" t="s">
        <v>120</v>
      </c>
      <c r="BN1047" t="s">
        <v>120</v>
      </c>
      <c r="BO1047">
        <v>68.099999999999994</v>
      </c>
      <c r="BP1047">
        <v>2.1800000000000002</v>
      </c>
      <c r="BQ1047">
        <v>38.549999999999997</v>
      </c>
      <c r="BR1047">
        <v>1.26</v>
      </c>
      <c r="BS1047">
        <v>41.55</v>
      </c>
      <c r="BT1047">
        <v>49.8</v>
      </c>
      <c r="BU1047">
        <v>2.2799999999999998</v>
      </c>
      <c r="BV1047">
        <v>7.11</v>
      </c>
      <c r="BW1047">
        <v>24.28</v>
      </c>
      <c r="BX1047">
        <v>5.16</v>
      </c>
      <c r="BY1047">
        <v>4.84</v>
      </c>
      <c r="BZ1047">
        <v>12.61</v>
      </c>
      <c r="CA1047">
        <v>0</v>
      </c>
      <c r="CB1047">
        <v>19.350000000000001</v>
      </c>
      <c r="CC1047">
        <v>11.55</v>
      </c>
      <c r="CD1047">
        <v>10.61</v>
      </c>
      <c r="CE1047">
        <v>0.18</v>
      </c>
      <c r="CF1047">
        <v>0.33</v>
      </c>
      <c r="CG1047">
        <v>0.16</v>
      </c>
      <c r="CH1047">
        <v>0.09</v>
      </c>
      <c r="CI1047">
        <v>0.11</v>
      </c>
      <c r="CJ1047">
        <v>-0.03</v>
      </c>
      <c r="CK1047">
        <v>0.1</v>
      </c>
      <c r="CL1047">
        <v>-0.16</v>
      </c>
      <c r="CM1047">
        <v>-0.14000000000000001</v>
      </c>
      <c r="CN1047">
        <v>-0.96</v>
      </c>
      <c r="CO1047">
        <v>81557</v>
      </c>
      <c r="CP1047">
        <v>13933</v>
      </c>
      <c r="CQ1047" t="s">
        <v>3888</v>
      </c>
      <c r="CR1047">
        <v>150.21</v>
      </c>
      <c r="CS1047">
        <v>24.86</v>
      </c>
      <c r="CT1047">
        <v>1.02</v>
      </c>
      <c r="CU1047">
        <v>-278.8</v>
      </c>
      <c r="CV1047">
        <v>3.39</v>
      </c>
      <c r="CW1047">
        <v>0</v>
      </c>
      <c r="CX1047" t="s">
        <v>178</v>
      </c>
      <c r="CY1047">
        <v>2.15</v>
      </c>
      <c r="CZ1047">
        <v>0</v>
      </c>
      <c r="DA1047">
        <v>1.08</v>
      </c>
      <c r="DB1047">
        <v>-0.01</v>
      </c>
      <c r="DC1047">
        <v>-0.01</v>
      </c>
      <c r="DD1047">
        <v>56.6</v>
      </c>
      <c r="DE1047" t="s">
        <v>1416</v>
      </c>
      <c r="DF1047">
        <v>8.17</v>
      </c>
      <c r="DG1047">
        <v>1.59</v>
      </c>
      <c r="DH1047">
        <v>0.95</v>
      </c>
      <c r="DI1047">
        <v>0.42</v>
      </c>
      <c r="DJ1047">
        <v>1832</v>
      </c>
      <c r="DK1047">
        <v>2663</v>
      </c>
      <c r="DL1047" t="s">
        <v>120</v>
      </c>
      <c r="DM1047" t="s">
        <v>120</v>
      </c>
      <c r="DN1047" t="s">
        <v>120</v>
      </c>
    </row>
    <row r="1048" spans="1:118">
      <c r="A1048" t="str">
        <f>"002664"</f>
        <v>002664</v>
      </c>
      <c r="B1048" t="s">
        <v>5942</v>
      </c>
      <c r="C1048">
        <v>-5.92</v>
      </c>
      <c r="D1048">
        <v>-0.1</v>
      </c>
      <c r="E1048">
        <v>1.67</v>
      </c>
      <c r="F1048">
        <v>3093</v>
      </c>
      <c r="G1048" t="s">
        <v>5943</v>
      </c>
      <c r="H1048">
        <v>16779.349999999999</v>
      </c>
      <c r="I1048">
        <v>75.900000000000006</v>
      </c>
      <c r="J1048" t="s">
        <v>120</v>
      </c>
      <c r="K1048" t="s">
        <v>5944</v>
      </c>
      <c r="L1048">
        <v>2.2400000000000002</v>
      </c>
      <c r="M1048">
        <v>18.579999999999998</v>
      </c>
      <c r="N1048">
        <v>0.8</v>
      </c>
      <c r="O1048">
        <v>1.87</v>
      </c>
      <c r="P1048">
        <v>20.12</v>
      </c>
      <c r="Q1048">
        <v>-5.97</v>
      </c>
      <c r="R1048">
        <v>18.57</v>
      </c>
      <c r="S1048">
        <v>20.079999999999998</v>
      </c>
      <c r="T1048">
        <v>87634</v>
      </c>
      <c r="U1048">
        <v>18.59</v>
      </c>
      <c r="V1048">
        <v>19.75</v>
      </c>
      <c r="W1048">
        <v>32.64</v>
      </c>
      <c r="X1048" t="s">
        <v>289</v>
      </c>
      <c r="Y1048" t="s">
        <v>585</v>
      </c>
      <c r="Z1048">
        <v>7.85</v>
      </c>
      <c r="AA1048">
        <v>19.149999999999999</v>
      </c>
      <c r="AB1048">
        <v>52848</v>
      </c>
      <c r="AC1048">
        <v>34786</v>
      </c>
      <c r="AD1048">
        <v>1.52</v>
      </c>
      <c r="AE1048">
        <v>185</v>
      </c>
      <c r="AF1048">
        <v>102</v>
      </c>
      <c r="AG1048" t="s">
        <v>120</v>
      </c>
      <c r="AH1048">
        <v>0.02</v>
      </c>
      <c r="AI1048" t="s">
        <v>120</v>
      </c>
      <c r="AJ1048">
        <v>3.92</v>
      </c>
      <c r="AK1048" t="s">
        <v>5945</v>
      </c>
      <c r="AL1048">
        <v>-4.01</v>
      </c>
      <c r="AM1048">
        <v>2727</v>
      </c>
      <c r="AN1048">
        <v>32</v>
      </c>
      <c r="AO1048">
        <v>8.0000000000000004E-4</v>
      </c>
      <c r="AP1048">
        <v>-1</v>
      </c>
      <c r="AQ1048">
        <v>1.7</v>
      </c>
      <c r="AR1048">
        <v>-7</v>
      </c>
      <c r="AS1048">
        <v>6.3</v>
      </c>
      <c r="AT1048">
        <v>9.94</v>
      </c>
      <c r="AU1048">
        <v>25.29</v>
      </c>
      <c r="AV1048">
        <v>7</v>
      </c>
      <c r="AW1048">
        <v>5.19</v>
      </c>
      <c r="AX1048">
        <v>41.84</v>
      </c>
      <c r="AY1048">
        <v>23.64</v>
      </c>
      <c r="AZ1048">
        <v>25.23</v>
      </c>
      <c r="BA1048">
        <v>0.54</v>
      </c>
      <c r="BB1048" t="s">
        <v>240</v>
      </c>
      <c r="BF1048">
        <v>-3.05</v>
      </c>
      <c r="BG1048">
        <v>-7.47</v>
      </c>
      <c r="BH1048">
        <v>-7.65</v>
      </c>
      <c r="BI1048">
        <v>0.05</v>
      </c>
      <c r="BJ1048">
        <v>20210810</v>
      </c>
      <c r="BK1048">
        <v>20120316</v>
      </c>
      <c r="BL1048">
        <v>4.04</v>
      </c>
      <c r="BM1048" t="s">
        <v>120</v>
      </c>
      <c r="BN1048" t="s">
        <v>120</v>
      </c>
      <c r="BO1048">
        <v>66.31</v>
      </c>
      <c r="BP1048">
        <v>18.579999999999998</v>
      </c>
      <c r="BQ1048">
        <v>28</v>
      </c>
      <c r="BR1048">
        <v>0.1</v>
      </c>
      <c r="BS1048">
        <v>57.62</v>
      </c>
      <c r="BT1048">
        <v>29.93</v>
      </c>
      <c r="BU1048">
        <v>8.14</v>
      </c>
      <c r="BV1048">
        <v>1.38</v>
      </c>
      <c r="BW1048">
        <v>38.17</v>
      </c>
      <c r="BX1048">
        <v>8.86</v>
      </c>
      <c r="BY1048">
        <v>6.19</v>
      </c>
      <c r="BZ1048">
        <v>6.48</v>
      </c>
      <c r="CA1048" t="s">
        <v>120</v>
      </c>
      <c r="CB1048">
        <v>4.5999999999999996</v>
      </c>
      <c r="CC1048">
        <v>16.41</v>
      </c>
      <c r="CD1048">
        <v>13.84</v>
      </c>
      <c r="CE1048">
        <v>1.36</v>
      </c>
      <c r="CF1048">
        <v>0.02</v>
      </c>
      <c r="CG1048">
        <v>1.36</v>
      </c>
      <c r="CH1048">
        <v>1.1499999999999999</v>
      </c>
      <c r="CI1048">
        <v>1.1499999999999999</v>
      </c>
      <c r="CJ1048">
        <v>-1.17</v>
      </c>
      <c r="CK1048">
        <v>1.0900000000000001</v>
      </c>
      <c r="CL1048">
        <v>17.600000000000001</v>
      </c>
      <c r="CM1048">
        <v>0.82</v>
      </c>
      <c r="CN1048">
        <v>3.18</v>
      </c>
      <c r="CO1048">
        <v>23440</v>
      </c>
      <c r="CP1048">
        <v>7209</v>
      </c>
      <c r="CQ1048" t="s">
        <v>5946</v>
      </c>
      <c r="CR1048">
        <v>22.65</v>
      </c>
      <c r="CS1048">
        <v>39.56</v>
      </c>
      <c r="CT1048">
        <v>2.68</v>
      </c>
      <c r="CU1048">
        <v>91.71</v>
      </c>
      <c r="CV1048">
        <v>4.57</v>
      </c>
      <c r="CW1048">
        <v>0.51</v>
      </c>
      <c r="CX1048" t="s">
        <v>293</v>
      </c>
      <c r="CY1048">
        <v>6.93</v>
      </c>
      <c r="CZ1048">
        <v>0</v>
      </c>
      <c r="DA1048">
        <v>1.1399999999999999</v>
      </c>
      <c r="DB1048">
        <v>4.3600000000000003</v>
      </c>
      <c r="DC1048">
        <v>0.2</v>
      </c>
      <c r="DD1048">
        <v>42.22</v>
      </c>
      <c r="DE1048" t="s">
        <v>5947</v>
      </c>
      <c r="DF1048">
        <v>15.66</v>
      </c>
      <c r="DG1048">
        <v>8.31</v>
      </c>
      <c r="DH1048">
        <v>7</v>
      </c>
      <c r="DI1048">
        <v>0.67</v>
      </c>
      <c r="DJ1048">
        <v>2945</v>
      </c>
      <c r="DK1048">
        <v>2664</v>
      </c>
      <c r="DL1048" t="s">
        <v>120</v>
      </c>
      <c r="DM1048" t="s">
        <v>120</v>
      </c>
      <c r="DN1048" t="s">
        <v>120</v>
      </c>
    </row>
    <row r="1049" spans="1:118">
      <c r="A1049" t="str">
        <f>"002665"</f>
        <v>002665</v>
      </c>
      <c r="B1049" t="s">
        <v>5948</v>
      </c>
      <c r="C1049">
        <v>10.119999999999999</v>
      </c>
      <c r="D1049">
        <v>0</v>
      </c>
      <c r="E1049">
        <v>-0.39</v>
      </c>
      <c r="F1049">
        <v>14669</v>
      </c>
      <c r="G1049" t="s">
        <v>5949</v>
      </c>
      <c r="H1049">
        <v>74893.91</v>
      </c>
      <c r="I1049">
        <v>96.05</v>
      </c>
      <c r="J1049">
        <v>3800.41</v>
      </c>
      <c r="K1049" t="s">
        <v>1555</v>
      </c>
      <c r="L1049">
        <v>11.16</v>
      </c>
      <c r="M1049">
        <v>2.83</v>
      </c>
      <c r="N1049">
        <v>2.19</v>
      </c>
      <c r="O1049">
        <v>10.119999999999999</v>
      </c>
      <c r="P1049">
        <v>2.83</v>
      </c>
      <c r="Q1049">
        <v>-0.78</v>
      </c>
      <c r="R1049">
        <v>2.5499999999999998</v>
      </c>
      <c r="S1049">
        <v>2.56</v>
      </c>
      <c r="T1049">
        <v>2737900</v>
      </c>
      <c r="U1049" t="s">
        <v>120</v>
      </c>
      <c r="V1049">
        <v>2.57</v>
      </c>
      <c r="W1049" t="s">
        <v>120</v>
      </c>
      <c r="X1049" t="s">
        <v>394</v>
      </c>
      <c r="Y1049" t="s">
        <v>1082</v>
      </c>
      <c r="Z1049">
        <v>10.89</v>
      </c>
      <c r="AA1049">
        <v>2.74</v>
      </c>
      <c r="AB1049">
        <v>1563415</v>
      </c>
      <c r="AC1049">
        <v>1174484</v>
      </c>
      <c r="AD1049">
        <v>1.33</v>
      </c>
      <c r="AE1049">
        <v>134290</v>
      </c>
      <c r="AF1049">
        <v>0</v>
      </c>
      <c r="AG1049" t="s">
        <v>120</v>
      </c>
      <c r="AH1049">
        <v>0.02</v>
      </c>
      <c r="AI1049">
        <v>0.05</v>
      </c>
      <c r="AJ1049">
        <v>24.53</v>
      </c>
      <c r="AK1049" t="s">
        <v>5950</v>
      </c>
      <c r="AL1049">
        <v>12.03</v>
      </c>
      <c r="AM1049">
        <v>4307</v>
      </c>
      <c r="AN1049">
        <v>636</v>
      </c>
      <c r="AO1049">
        <v>2.5999999999999999E-3</v>
      </c>
      <c r="AP1049">
        <v>2</v>
      </c>
      <c r="AQ1049">
        <v>2.8</v>
      </c>
      <c r="AR1049">
        <v>9.27</v>
      </c>
      <c r="AS1049">
        <v>18.41</v>
      </c>
      <c r="AT1049">
        <v>29.22</v>
      </c>
      <c r="AU1049">
        <v>32.869999999999997</v>
      </c>
      <c r="AV1049">
        <v>10</v>
      </c>
      <c r="AW1049">
        <v>13.62</v>
      </c>
      <c r="AX1049">
        <v>79.180000000000007</v>
      </c>
      <c r="AY1049" t="s">
        <v>120</v>
      </c>
      <c r="AZ1049" t="s">
        <v>120</v>
      </c>
      <c r="BA1049">
        <v>0.6</v>
      </c>
      <c r="BB1049" t="s">
        <v>143</v>
      </c>
      <c r="BF1049">
        <v>6.44</v>
      </c>
      <c r="BG1049">
        <v>10.55</v>
      </c>
      <c r="BH1049">
        <v>0</v>
      </c>
      <c r="BI1049">
        <v>10.98</v>
      </c>
      <c r="BJ1049">
        <v>20210830</v>
      </c>
      <c r="BK1049">
        <v>20120327</v>
      </c>
      <c r="BL1049">
        <v>25.39</v>
      </c>
      <c r="BM1049" t="s">
        <v>120</v>
      </c>
      <c r="BN1049" t="s">
        <v>120</v>
      </c>
      <c r="BO1049">
        <v>79.7</v>
      </c>
      <c r="BP1049">
        <v>2.83</v>
      </c>
      <c r="BQ1049">
        <v>56.58</v>
      </c>
      <c r="BR1049">
        <v>0.28000000000000003</v>
      </c>
      <c r="BS1049">
        <v>28.65</v>
      </c>
      <c r="BT1049">
        <v>20.75</v>
      </c>
      <c r="BU1049">
        <v>31.17</v>
      </c>
      <c r="BV1049">
        <v>2.33</v>
      </c>
      <c r="BW1049">
        <v>21.86</v>
      </c>
      <c r="BX1049">
        <v>6.77</v>
      </c>
      <c r="BY1049">
        <v>2.13</v>
      </c>
      <c r="BZ1049">
        <v>8.25</v>
      </c>
      <c r="CA1049" t="s">
        <v>120</v>
      </c>
      <c r="CB1049">
        <v>39.86</v>
      </c>
      <c r="CC1049">
        <v>4.92</v>
      </c>
      <c r="CD1049">
        <v>3.78</v>
      </c>
      <c r="CE1049">
        <v>-0.75</v>
      </c>
      <c r="CF1049">
        <v>-0.01</v>
      </c>
      <c r="CG1049">
        <v>-0.74</v>
      </c>
      <c r="CH1049">
        <v>-0.67</v>
      </c>
      <c r="CI1049">
        <v>-0.66</v>
      </c>
      <c r="CJ1049">
        <v>0.26</v>
      </c>
      <c r="CK1049">
        <v>-0.67</v>
      </c>
      <c r="CL1049">
        <v>-7.53</v>
      </c>
      <c r="CM1049">
        <v>-1.01</v>
      </c>
      <c r="CN1049">
        <v>-3.66</v>
      </c>
      <c r="CO1049">
        <v>117188</v>
      </c>
      <c r="CP1049">
        <v>17153</v>
      </c>
      <c r="CQ1049" t="s">
        <v>1300</v>
      </c>
      <c r="CR1049">
        <v>5.5</v>
      </c>
      <c r="CS1049">
        <v>171.83</v>
      </c>
      <c r="CT1049">
        <v>1.27</v>
      </c>
      <c r="CU1049">
        <v>-71.19</v>
      </c>
      <c r="CV1049">
        <v>14.61</v>
      </c>
      <c r="CW1049">
        <v>0</v>
      </c>
      <c r="CX1049" t="s">
        <v>479</v>
      </c>
      <c r="CY1049">
        <v>2.23</v>
      </c>
      <c r="CZ1049">
        <v>0</v>
      </c>
      <c r="DA1049">
        <v>1.57</v>
      </c>
      <c r="DB1049">
        <v>-0.3</v>
      </c>
      <c r="DC1049">
        <v>-0.04</v>
      </c>
      <c r="DD1049">
        <v>70.989999999999995</v>
      </c>
      <c r="DE1049" t="s">
        <v>5951</v>
      </c>
      <c r="DF1049">
        <v>23.23</v>
      </c>
      <c r="DG1049">
        <v>-15.21</v>
      </c>
      <c r="DH1049">
        <v>-13.41</v>
      </c>
      <c r="DI1049">
        <v>7.0000000000000007E-2</v>
      </c>
      <c r="DJ1049">
        <v>912</v>
      </c>
      <c r="DK1049">
        <v>2665</v>
      </c>
      <c r="DL1049" t="s">
        <v>120</v>
      </c>
      <c r="DM1049" t="s">
        <v>120</v>
      </c>
      <c r="DN1049" t="s">
        <v>120</v>
      </c>
    </row>
    <row r="1050" spans="1:118">
      <c r="A1050" t="str">
        <f>"002666"</f>
        <v>002666</v>
      </c>
      <c r="B1050" t="s">
        <v>5952</v>
      </c>
      <c r="C1050">
        <v>-1.19</v>
      </c>
      <c r="D1050">
        <v>0</v>
      </c>
      <c r="E1050">
        <v>0.34</v>
      </c>
      <c r="F1050">
        <v>1603</v>
      </c>
      <c r="G1050" t="s">
        <v>4498</v>
      </c>
      <c r="H1050">
        <v>10132.280000000001</v>
      </c>
      <c r="I1050">
        <v>44.99</v>
      </c>
      <c r="J1050" t="s">
        <v>120</v>
      </c>
      <c r="K1050" t="s">
        <v>5953</v>
      </c>
      <c r="L1050">
        <v>3.82</v>
      </c>
      <c r="M1050">
        <v>5.83</v>
      </c>
      <c r="N1050">
        <v>1.26</v>
      </c>
      <c r="O1050">
        <v>2.2000000000000002</v>
      </c>
      <c r="P1050">
        <v>6.03</v>
      </c>
      <c r="Q1050">
        <v>-1.53</v>
      </c>
      <c r="R1050">
        <v>5.81</v>
      </c>
      <c r="S1050">
        <v>5.92</v>
      </c>
      <c r="T1050">
        <v>171156</v>
      </c>
      <c r="U1050">
        <v>5.84</v>
      </c>
      <c r="V1050">
        <v>5.9</v>
      </c>
      <c r="W1050">
        <v>16.77</v>
      </c>
      <c r="X1050" t="s">
        <v>868</v>
      </c>
      <c r="Y1050" t="s">
        <v>547</v>
      </c>
      <c r="Z1050">
        <v>3.73</v>
      </c>
      <c r="AA1050">
        <v>5.92</v>
      </c>
      <c r="AB1050">
        <v>94587</v>
      </c>
      <c r="AC1050">
        <v>76569</v>
      </c>
      <c r="AD1050">
        <v>1.24</v>
      </c>
      <c r="AE1050">
        <v>669</v>
      </c>
      <c r="AF1050">
        <v>624</v>
      </c>
      <c r="AG1050" t="s">
        <v>120</v>
      </c>
      <c r="AH1050">
        <v>0.02</v>
      </c>
      <c r="AI1050" t="s">
        <v>120</v>
      </c>
      <c r="AJ1050">
        <v>4.4800000000000004</v>
      </c>
      <c r="AK1050" t="s">
        <v>5954</v>
      </c>
      <c r="AL1050">
        <v>0.73</v>
      </c>
      <c r="AM1050">
        <v>2738</v>
      </c>
      <c r="AN1050">
        <v>63</v>
      </c>
      <c r="AO1050">
        <v>1.4E-3</v>
      </c>
      <c r="AP1050">
        <v>-1</v>
      </c>
      <c r="AQ1050">
        <v>3.51</v>
      </c>
      <c r="AR1050">
        <v>0.35</v>
      </c>
      <c r="AS1050">
        <v>5.61</v>
      </c>
      <c r="AT1050">
        <v>15.6</v>
      </c>
      <c r="AU1050">
        <v>15.15</v>
      </c>
      <c r="AV1050">
        <v>0</v>
      </c>
      <c r="AW1050">
        <v>4.9400000000000004</v>
      </c>
      <c r="AX1050">
        <v>45.9</v>
      </c>
      <c r="AY1050">
        <v>15.85</v>
      </c>
      <c r="AZ1050">
        <v>19.13</v>
      </c>
      <c r="BA1050">
        <v>0.69</v>
      </c>
      <c r="BB1050" t="s">
        <v>184</v>
      </c>
      <c r="BF1050">
        <v>0.34</v>
      </c>
      <c r="BG1050">
        <v>-1.52</v>
      </c>
      <c r="BH1050">
        <v>-3.32</v>
      </c>
      <c r="BI1050">
        <v>0.34</v>
      </c>
      <c r="BJ1050">
        <v>20210830</v>
      </c>
      <c r="BK1050">
        <v>20120327</v>
      </c>
      <c r="BL1050">
        <v>7.54</v>
      </c>
      <c r="BM1050" t="s">
        <v>120</v>
      </c>
      <c r="BN1050" t="s">
        <v>120</v>
      </c>
      <c r="BO1050">
        <v>42.42</v>
      </c>
      <c r="BP1050">
        <v>5.83</v>
      </c>
      <c r="BQ1050">
        <v>33.159999999999997</v>
      </c>
      <c r="BR1050">
        <v>0</v>
      </c>
      <c r="BS1050">
        <v>21.82</v>
      </c>
      <c r="BT1050">
        <v>28.66</v>
      </c>
      <c r="BU1050">
        <v>6.3</v>
      </c>
      <c r="BV1050">
        <v>2.63</v>
      </c>
      <c r="BW1050">
        <v>8.35</v>
      </c>
      <c r="BX1050">
        <v>6.26</v>
      </c>
      <c r="BY1050">
        <v>8.67</v>
      </c>
      <c r="BZ1050">
        <v>8.08</v>
      </c>
      <c r="CA1050">
        <v>0</v>
      </c>
      <c r="CB1050">
        <v>9.82</v>
      </c>
      <c r="CC1050">
        <v>24.39</v>
      </c>
      <c r="CD1050">
        <v>21.17</v>
      </c>
      <c r="CE1050">
        <v>1.59</v>
      </c>
      <c r="CF1050">
        <v>0.43</v>
      </c>
      <c r="CG1050">
        <v>1.58</v>
      </c>
      <c r="CH1050">
        <v>1.3</v>
      </c>
      <c r="CI1050">
        <v>1.31</v>
      </c>
      <c r="CJ1050">
        <v>-7.0000000000000007E-2</v>
      </c>
      <c r="CK1050">
        <v>1.25</v>
      </c>
      <c r="CL1050">
        <v>14.93</v>
      </c>
      <c r="CM1050">
        <v>-0.22</v>
      </c>
      <c r="CN1050">
        <v>-0.22</v>
      </c>
      <c r="CO1050">
        <v>34543</v>
      </c>
      <c r="CP1050">
        <v>10024</v>
      </c>
      <c r="CQ1050" t="s">
        <v>151</v>
      </c>
      <c r="CR1050">
        <v>57.91</v>
      </c>
      <c r="CS1050">
        <v>48.12</v>
      </c>
      <c r="CT1050">
        <v>1.33</v>
      </c>
      <c r="CU1050">
        <v>-198.42</v>
      </c>
      <c r="CV1050">
        <v>1.8</v>
      </c>
      <c r="CW1050">
        <v>1.81</v>
      </c>
      <c r="CX1050" t="s">
        <v>1193</v>
      </c>
      <c r="CY1050">
        <v>4.4000000000000004</v>
      </c>
      <c r="CZ1050">
        <v>0</v>
      </c>
      <c r="DA1050">
        <v>1.3</v>
      </c>
      <c r="DB1050">
        <v>1.98</v>
      </c>
      <c r="DC1050">
        <v>-0.03</v>
      </c>
      <c r="DD1050">
        <v>78.180000000000007</v>
      </c>
      <c r="DE1050" t="s">
        <v>450</v>
      </c>
      <c r="DF1050">
        <v>13.19</v>
      </c>
      <c r="DG1050">
        <v>6.5</v>
      </c>
      <c r="DH1050">
        <v>5.37</v>
      </c>
      <c r="DI1050">
        <v>0.46</v>
      </c>
      <c r="DJ1050">
        <v>930</v>
      </c>
      <c r="DK1050">
        <v>2666</v>
      </c>
      <c r="DL1050" t="s">
        <v>120</v>
      </c>
      <c r="DM1050" t="s">
        <v>120</v>
      </c>
      <c r="DN1050" t="s">
        <v>120</v>
      </c>
    </row>
    <row r="1051" spans="1:118">
      <c r="A1051" t="str">
        <f>"002667"</f>
        <v>002667</v>
      </c>
      <c r="B1051" t="s">
        <v>5955</v>
      </c>
      <c r="C1051">
        <v>-9.99</v>
      </c>
      <c r="D1051">
        <v>0</v>
      </c>
      <c r="E1051">
        <v>0.15</v>
      </c>
      <c r="F1051">
        <v>151</v>
      </c>
      <c r="G1051" t="s">
        <v>5956</v>
      </c>
      <c r="H1051">
        <v>91510.97</v>
      </c>
      <c r="I1051">
        <v>1959.12</v>
      </c>
      <c r="J1051">
        <v>6720.54</v>
      </c>
      <c r="K1051" t="s">
        <v>5957</v>
      </c>
      <c r="L1051">
        <v>10.83</v>
      </c>
      <c r="M1051">
        <v>34.97</v>
      </c>
      <c r="N1051">
        <v>1.5</v>
      </c>
      <c r="O1051">
        <v>0.15</v>
      </c>
      <c r="P1051">
        <v>38.909999999999997</v>
      </c>
      <c r="Q1051">
        <v>-9.99</v>
      </c>
      <c r="R1051">
        <v>34.97</v>
      </c>
      <c r="S1051">
        <v>38.909999999999997</v>
      </c>
      <c r="T1051">
        <v>250190</v>
      </c>
      <c r="U1051">
        <v>34.97</v>
      </c>
      <c r="V1051">
        <v>38.85</v>
      </c>
      <c r="W1051">
        <v>3986.72</v>
      </c>
      <c r="X1051" t="s">
        <v>593</v>
      </c>
      <c r="Y1051" t="s">
        <v>432</v>
      </c>
      <c r="Z1051">
        <v>10.14</v>
      </c>
      <c r="AA1051">
        <v>36.58</v>
      </c>
      <c r="AB1051">
        <v>111460</v>
      </c>
      <c r="AC1051">
        <v>138730</v>
      </c>
      <c r="AD1051">
        <v>0.8</v>
      </c>
      <c r="AE1051">
        <v>0</v>
      </c>
      <c r="AF1051">
        <v>19218</v>
      </c>
      <c r="AG1051" t="s">
        <v>120</v>
      </c>
      <c r="AH1051">
        <v>0.4</v>
      </c>
      <c r="AI1051">
        <v>0.08</v>
      </c>
      <c r="AJ1051">
        <v>2.31</v>
      </c>
      <c r="AK1051" t="s">
        <v>5958</v>
      </c>
      <c r="AL1051">
        <v>-8.07</v>
      </c>
      <c r="AM1051">
        <v>2983</v>
      </c>
      <c r="AN1051">
        <v>84</v>
      </c>
      <c r="AO1051">
        <v>3.5999999999999999E-3</v>
      </c>
      <c r="AP1051">
        <v>-1</v>
      </c>
      <c r="AQ1051">
        <v>9.99</v>
      </c>
      <c r="AR1051">
        <v>8.91</v>
      </c>
      <c r="AS1051">
        <v>11.23</v>
      </c>
      <c r="AT1051">
        <v>143.52000000000001</v>
      </c>
      <c r="AU1051">
        <v>409.99</v>
      </c>
      <c r="AV1051">
        <v>16</v>
      </c>
      <c r="AW1051">
        <v>19.97</v>
      </c>
      <c r="AX1051">
        <v>54.19</v>
      </c>
      <c r="AY1051" t="s">
        <v>120</v>
      </c>
      <c r="AZ1051">
        <v>1777.59</v>
      </c>
      <c r="BA1051">
        <v>1.21</v>
      </c>
      <c r="BB1051" t="s">
        <v>184</v>
      </c>
      <c r="BF1051">
        <v>-5.85</v>
      </c>
      <c r="BG1051">
        <v>-10.130000000000001</v>
      </c>
      <c r="BH1051">
        <v>-10.130000000000001</v>
      </c>
      <c r="BI1051">
        <v>0</v>
      </c>
      <c r="BJ1051">
        <v>20210827</v>
      </c>
      <c r="BK1051">
        <v>20120329</v>
      </c>
      <c r="BL1051">
        <v>2.31</v>
      </c>
      <c r="BM1051" t="s">
        <v>120</v>
      </c>
      <c r="BN1051" t="s">
        <v>120</v>
      </c>
      <c r="BO1051">
        <v>9.48</v>
      </c>
      <c r="BP1051" t="s">
        <v>120</v>
      </c>
      <c r="BQ1051">
        <v>7.79</v>
      </c>
      <c r="BR1051" t="s">
        <v>120</v>
      </c>
      <c r="BS1051">
        <v>17.899999999999999</v>
      </c>
      <c r="BT1051">
        <v>6.79</v>
      </c>
      <c r="BU1051">
        <v>1.01</v>
      </c>
      <c r="BV1051">
        <v>0.33</v>
      </c>
      <c r="BW1051">
        <v>1.36</v>
      </c>
      <c r="BX1051">
        <v>3.16</v>
      </c>
      <c r="BY1051">
        <v>1.64</v>
      </c>
      <c r="BZ1051">
        <v>1.2</v>
      </c>
      <c r="CA1051" t="s">
        <v>120</v>
      </c>
      <c r="CB1051">
        <v>2.36</v>
      </c>
      <c r="CC1051">
        <v>1.1599999999999999</v>
      </c>
      <c r="CD1051">
        <v>0.94</v>
      </c>
      <c r="CE1051">
        <v>-0.01</v>
      </c>
      <c r="CF1051">
        <v>7.0000000000000007E-2</v>
      </c>
      <c r="CG1051">
        <v>0.01</v>
      </c>
      <c r="CH1051">
        <v>0.01</v>
      </c>
      <c r="CI1051">
        <v>0.01</v>
      </c>
      <c r="CJ1051">
        <v>-3.88</v>
      </c>
      <c r="CK1051">
        <v>-0.02</v>
      </c>
      <c r="CL1051">
        <v>2.74</v>
      </c>
      <c r="CM1051">
        <v>-0.33</v>
      </c>
      <c r="CN1051">
        <v>2.29</v>
      </c>
      <c r="CO1051">
        <v>8006</v>
      </c>
      <c r="CP1051">
        <v>15645</v>
      </c>
      <c r="CQ1051" t="s">
        <v>5959</v>
      </c>
      <c r="CR1051">
        <v>-87.91</v>
      </c>
      <c r="CS1051">
        <v>103.58</v>
      </c>
      <c r="CT1051">
        <v>10.38</v>
      </c>
      <c r="CU1051">
        <v>-244.65</v>
      </c>
      <c r="CV1051">
        <v>69.52</v>
      </c>
      <c r="CW1051">
        <v>0.01</v>
      </c>
      <c r="CX1051" t="s">
        <v>1902</v>
      </c>
      <c r="CY1051">
        <v>3.37</v>
      </c>
      <c r="CZ1051">
        <v>0</v>
      </c>
      <c r="DA1051">
        <v>1.02</v>
      </c>
      <c r="DB1051">
        <v>1.18</v>
      </c>
      <c r="DC1051">
        <v>-0.14000000000000001</v>
      </c>
      <c r="DD1051">
        <v>82.1</v>
      </c>
      <c r="DE1051" t="s">
        <v>5960</v>
      </c>
      <c r="DF1051">
        <v>19</v>
      </c>
      <c r="DG1051">
        <v>-0.62</v>
      </c>
      <c r="DH1051">
        <v>0.87</v>
      </c>
      <c r="DI1051">
        <v>0.05</v>
      </c>
      <c r="DJ1051">
        <v>398</v>
      </c>
      <c r="DK1051">
        <v>2667</v>
      </c>
      <c r="DL1051">
        <v>20210810</v>
      </c>
      <c r="DM1051">
        <v>29.01</v>
      </c>
      <c r="DN1051">
        <v>20.54</v>
      </c>
    </row>
    <row r="1052" spans="1:118">
      <c r="A1052" t="str">
        <f>"002669"</f>
        <v>002669</v>
      </c>
      <c r="B1052" t="s">
        <v>5961</v>
      </c>
      <c r="C1052">
        <v>-0.76</v>
      </c>
      <c r="D1052">
        <v>-0.14000000000000001</v>
      </c>
      <c r="E1052">
        <v>0.3</v>
      </c>
      <c r="F1052">
        <v>726</v>
      </c>
      <c r="G1052" t="s">
        <v>5962</v>
      </c>
      <c r="H1052">
        <v>16904.09</v>
      </c>
      <c r="I1052">
        <v>76.47</v>
      </c>
      <c r="J1052" t="s">
        <v>120</v>
      </c>
      <c r="K1052" t="s">
        <v>5963</v>
      </c>
      <c r="L1052">
        <v>5.04</v>
      </c>
      <c r="M1052">
        <v>13.09</v>
      </c>
      <c r="N1052">
        <v>1.73</v>
      </c>
      <c r="O1052">
        <v>3.87</v>
      </c>
      <c r="P1052">
        <v>13.7</v>
      </c>
      <c r="Q1052">
        <v>-1.52</v>
      </c>
      <c r="R1052">
        <v>12.99</v>
      </c>
      <c r="S1052">
        <v>13.23</v>
      </c>
      <c r="T1052">
        <v>126404</v>
      </c>
      <c r="U1052">
        <v>13.1</v>
      </c>
      <c r="V1052">
        <v>13.19</v>
      </c>
      <c r="W1052">
        <v>59.55</v>
      </c>
      <c r="X1052" t="s">
        <v>868</v>
      </c>
      <c r="Y1052" t="s">
        <v>1510</v>
      </c>
      <c r="Z1052">
        <v>5.38</v>
      </c>
      <c r="AA1052">
        <v>13.37</v>
      </c>
      <c r="AB1052">
        <v>67682</v>
      </c>
      <c r="AC1052">
        <v>58722</v>
      </c>
      <c r="AD1052">
        <v>1.1499999999999999</v>
      </c>
      <c r="AE1052">
        <v>30</v>
      </c>
      <c r="AF1052">
        <v>53</v>
      </c>
      <c r="AG1052" t="s">
        <v>120</v>
      </c>
      <c r="AH1052">
        <v>0.03</v>
      </c>
      <c r="AI1052" t="s">
        <v>120</v>
      </c>
      <c r="AJ1052">
        <v>2.5099999999999998</v>
      </c>
      <c r="AK1052" t="s">
        <v>5964</v>
      </c>
      <c r="AL1052">
        <v>1.1599999999999999</v>
      </c>
      <c r="AM1052">
        <v>2650</v>
      </c>
      <c r="AN1052">
        <v>48</v>
      </c>
      <c r="AO1052">
        <v>1.9E-3</v>
      </c>
      <c r="AP1052">
        <v>-1</v>
      </c>
      <c r="AQ1052">
        <v>3.61</v>
      </c>
      <c r="AR1052">
        <v>3.07</v>
      </c>
      <c r="AS1052">
        <v>18.36</v>
      </c>
      <c r="AT1052">
        <v>2.11</v>
      </c>
      <c r="AU1052">
        <v>-19.54</v>
      </c>
      <c r="AV1052">
        <v>1</v>
      </c>
      <c r="AW1052">
        <v>6.73</v>
      </c>
      <c r="AX1052">
        <v>74.36</v>
      </c>
      <c r="AY1052">
        <v>23.23</v>
      </c>
      <c r="AZ1052">
        <v>15.49</v>
      </c>
      <c r="BA1052">
        <v>0.15</v>
      </c>
      <c r="BB1052" t="s">
        <v>143</v>
      </c>
      <c r="BF1052">
        <v>1.39</v>
      </c>
      <c r="BG1052">
        <v>-1.06</v>
      </c>
      <c r="BH1052">
        <v>-4.45</v>
      </c>
      <c r="BI1052">
        <v>0.77</v>
      </c>
      <c r="BJ1052">
        <v>20210824</v>
      </c>
      <c r="BK1052">
        <v>20120416</v>
      </c>
      <c r="BL1052">
        <v>2.52</v>
      </c>
      <c r="BM1052" t="s">
        <v>120</v>
      </c>
      <c r="BN1052" t="s">
        <v>120</v>
      </c>
      <c r="BO1052">
        <v>33.71</v>
      </c>
      <c r="BP1052">
        <v>13.09</v>
      </c>
      <c r="BQ1052">
        <v>22.86</v>
      </c>
      <c r="BR1052">
        <v>0.21</v>
      </c>
      <c r="BS1052">
        <v>31.55</v>
      </c>
      <c r="BT1052">
        <v>20.77</v>
      </c>
      <c r="BU1052">
        <v>5.47</v>
      </c>
      <c r="BV1052">
        <v>1.1200000000000001</v>
      </c>
      <c r="BW1052">
        <v>9.33</v>
      </c>
      <c r="BX1052">
        <v>5.3</v>
      </c>
      <c r="BY1052">
        <v>2.87</v>
      </c>
      <c r="BZ1052">
        <v>7.17</v>
      </c>
      <c r="CA1052">
        <v>0.12</v>
      </c>
      <c r="CB1052">
        <v>13.18</v>
      </c>
      <c r="CC1052">
        <v>8.48</v>
      </c>
      <c r="CD1052">
        <v>6.78</v>
      </c>
      <c r="CE1052">
        <v>0.33</v>
      </c>
      <c r="CF1052">
        <v>0.02</v>
      </c>
      <c r="CG1052">
        <v>0.33</v>
      </c>
      <c r="CH1052">
        <v>0.27</v>
      </c>
      <c r="CI1052">
        <v>0.28000000000000003</v>
      </c>
      <c r="CJ1052">
        <v>-0.1</v>
      </c>
      <c r="CK1052">
        <v>0.21</v>
      </c>
      <c r="CL1052">
        <v>6.6</v>
      </c>
      <c r="CM1052">
        <v>0.7</v>
      </c>
      <c r="CN1052">
        <v>1.18</v>
      </c>
      <c r="CO1052">
        <v>26637</v>
      </c>
      <c r="CP1052">
        <v>7049</v>
      </c>
      <c r="CQ1052" t="s">
        <v>312</v>
      </c>
      <c r="CR1052">
        <v>-72.08</v>
      </c>
      <c r="CS1052">
        <v>21.98</v>
      </c>
      <c r="CT1052">
        <v>1.45</v>
      </c>
      <c r="CU1052">
        <v>47.44</v>
      </c>
      <c r="CV1052">
        <v>3.9</v>
      </c>
      <c r="CW1052">
        <v>1.5</v>
      </c>
      <c r="CX1052" t="s">
        <v>1147</v>
      </c>
      <c r="CY1052">
        <v>9.06</v>
      </c>
      <c r="CZ1052">
        <v>0</v>
      </c>
      <c r="DA1052">
        <v>5.22</v>
      </c>
      <c r="DB1052">
        <v>2.61</v>
      </c>
      <c r="DC1052">
        <v>0.28000000000000003</v>
      </c>
      <c r="DD1052">
        <v>67.84</v>
      </c>
      <c r="DE1052" t="s">
        <v>5965</v>
      </c>
      <c r="DF1052">
        <v>20.059999999999999</v>
      </c>
      <c r="DG1052">
        <v>3.91</v>
      </c>
      <c r="DH1052">
        <v>3.27</v>
      </c>
      <c r="DI1052">
        <v>0.41</v>
      </c>
      <c r="DJ1052">
        <v>979</v>
      </c>
      <c r="DK1052">
        <v>2669</v>
      </c>
      <c r="DL1052" t="s">
        <v>120</v>
      </c>
      <c r="DM1052" t="s">
        <v>120</v>
      </c>
      <c r="DN1052" t="s">
        <v>120</v>
      </c>
    </row>
    <row r="1053" spans="1:118">
      <c r="A1053" t="str">
        <f>"002670"</f>
        <v>002670</v>
      </c>
      <c r="B1053" t="s">
        <v>5966</v>
      </c>
      <c r="C1053">
        <v>-1.04</v>
      </c>
      <c r="D1053">
        <v>0</v>
      </c>
      <c r="E1053">
        <v>0</v>
      </c>
      <c r="F1053">
        <v>2346</v>
      </c>
      <c r="G1053" t="s">
        <v>5967</v>
      </c>
      <c r="H1053">
        <v>19208.78</v>
      </c>
      <c r="I1053">
        <v>17.7</v>
      </c>
      <c r="J1053" t="s">
        <v>120</v>
      </c>
      <c r="K1053" t="s">
        <v>5968</v>
      </c>
      <c r="L1053">
        <v>1.23</v>
      </c>
      <c r="M1053">
        <v>9.52</v>
      </c>
      <c r="N1053">
        <v>0.84</v>
      </c>
      <c r="O1053">
        <v>1.77</v>
      </c>
      <c r="P1053">
        <v>9.7899999999999991</v>
      </c>
      <c r="Q1053">
        <v>-1.1399999999999999</v>
      </c>
      <c r="R1053">
        <v>9.51</v>
      </c>
      <c r="S1053">
        <v>9.6199999999999992</v>
      </c>
      <c r="T1053">
        <v>199239</v>
      </c>
      <c r="U1053">
        <v>9.5299999999999994</v>
      </c>
      <c r="V1053">
        <v>9.6199999999999992</v>
      </c>
      <c r="W1053">
        <v>428.77</v>
      </c>
      <c r="X1053" t="s">
        <v>616</v>
      </c>
      <c r="Y1053" t="s">
        <v>547</v>
      </c>
      <c r="Z1053">
        <v>2.91</v>
      </c>
      <c r="AA1053">
        <v>9.64</v>
      </c>
      <c r="AB1053">
        <v>100832</v>
      </c>
      <c r="AC1053">
        <v>98407</v>
      </c>
      <c r="AD1053">
        <v>1.02</v>
      </c>
      <c r="AE1053">
        <v>811</v>
      </c>
      <c r="AF1053">
        <v>288</v>
      </c>
      <c r="AG1053" t="s">
        <v>120</v>
      </c>
      <c r="AH1053">
        <v>0</v>
      </c>
      <c r="AI1053" t="s">
        <v>120</v>
      </c>
      <c r="AJ1053">
        <v>16.23</v>
      </c>
      <c r="AK1053" t="s">
        <v>5969</v>
      </c>
      <c r="AL1053">
        <v>0.87</v>
      </c>
      <c r="AM1053">
        <v>3303</v>
      </c>
      <c r="AN1053">
        <v>60</v>
      </c>
      <c r="AO1053">
        <v>4.0000000000000002E-4</v>
      </c>
      <c r="AP1053">
        <v>-1</v>
      </c>
      <c r="AQ1053">
        <v>0.63</v>
      </c>
      <c r="AR1053">
        <v>-3.34</v>
      </c>
      <c r="AS1053">
        <v>-0.83</v>
      </c>
      <c r="AT1053">
        <v>-9.08</v>
      </c>
      <c r="AU1053">
        <v>-30.77</v>
      </c>
      <c r="AV1053">
        <v>10</v>
      </c>
      <c r="AW1053">
        <v>3.08</v>
      </c>
      <c r="AX1053">
        <v>33.47</v>
      </c>
      <c r="AY1053" t="s">
        <v>120</v>
      </c>
      <c r="AZ1053" t="s">
        <v>120</v>
      </c>
      <c r="BA1053">
        <v>0.47</v>
      </c>
      <c r="BB1053" t="s">
        <v>240</v>
      </c>
      <c r="BF1053">
        <v>0.22</v>
      </c>
      <c r="BG1053">
        <v>-1.04</v>
      </c>
      <c r="BH1053">
        <v>-2.76</v>
      </c>
      <c r="BI1053">
        <v>0.11</v>
      </c>
      <c r="BJ1053">
        <v>20210903</v>
      </c>
      <c r="BK1053">
        <v>20120416</v>
      </c>
      <c r="BL1053">
        <v>19.350000000000001</v>
      </c>
      <c r="BM1053" t="s">
        <v>120</v>
      </c>
      <c r="BN1053" t="s">
        <v>120</v>
      </c>
      <c r="BO1053">
        <v>319.62</v>
      </c>
      <c r="BP1053">
        <v>9.52</v>
      </c>
      <c r="BQ1053">
        <v>113.15</v>
      </c>
      <c r="BR1053">
        <v>0.02</v>
      </c>
      <c r="BS1053">
        <v>64.59</v>
      </c>
      <c r="BT1053">
        <v>255.32</v>
      </c>
      <c r="BU1053">
        <v>1.07</v>
      </c>
      <c r="BV1053">
        <v>0.79</v>
      </c>
      <c r="BW1053">
        <v>205.52</v>
      </c>
      <c r="BX1053">
        <v>103.81</v>
      </c>
      <c r="BY1053">
        <v>0</v>
      </c>
      <c r="BZ1053">
        <v>3.57</v>
      </c>
      <c r="CA1053" t="s">
        <v>120</v>
      </c>
      <c r="CB1053">
        <v>88.83</v>
      </c>
      <c r="CC1053">
        <v>0</v>
      </c>
      <c r="CD1053">
        <v>0</v>
      </c>
      <c r="CE1053">
        <v>0.87</v>
      </c>
      <c r="CF1053">
        <v>1</v>
      </c>
      <c r="CG1053">
        <v>0.8</v>
      </c>
      <c r="CH1053">
        <v>0.21</v>
      </c>
      <c r="CI1053">
        <v>0.21</v>
      </c>
      <c r="CJ1053">
        <v>-0.1</v>
      </c>
      <c r="CK1053">
        <v>0.23</v>
      </c>
      <c r="CL1053">
        <v>1.17</v>
      </c>
      <c r="CM1053">
        <v>11.56</v>
      </c>
      <c r="CN1053">
        <v>3.66</v>
      </c>
      <c r="CO1053">
        <v>59860</v>
      </c>
      <c r="CP1053">
        <v>10819</v>
      </c>
      <c r="CQ1053" t="s">
        <v>1232</v>
      </c>
      <c r="CR1053">
        <v>116.21</v>
      </c>
      <c r="CS1053">
        <v>-94.72</v>
      </c>
      <c r="CT1053">
        <v>1.63</v>
      </c>
      <c r="CU1053">
        <v>15.94</v>
      </c>
      <c r="CV1053">
        <v>82131.100000000006</v>
      </c>
      <c r="CW1053">
        <v>0</v>
      </c>
      <c r="CX1053" t="s">
        <v>730</v>
      </c>
      <c r="CY1053">
        <v>5.85</v>
      </c>
      <c r="CZ1053">
        <v>0</v>
      </c>
      <c r="DA1053">
        <v>4.59</v>
      </c>
      <c r="DB1053">
        <v>0.06</v>
      </c>
      <c r="DC1053">
        <v>0.6</v>
      </c>
      <c r="DD1053">
        <v>35.4</v>
      </c>
      <c r="DE1053" t="s">
        <v>4500</v>
      </c>
      <c r="DF1053" t="s">
        <v>120</v>
      </c>
      <c r="DG1053">
        <v>38590.730000000003</v>
      </c>
      <c r="DH1053">
        <v>9577.5300000000007</v>
      </c>
      <c r="DI1053">
        <v>0</v>
      </c>
      <c r="DJ1053">
        <v>2580</v>
      </c>
      <c r="DK1053">
        <v>2670</v>
      </c>
      <c r="DL1053" t="s">
        <v>120</v>
      </c>
      <c r="DM1053" t="s">
        <v>120</v>
      </c>
      <c r="DN1053" t="s">
        <v>120</v>
      </c>
    </row>
    <row r="1054" spans="1:118">
      <c r="A1054" t="str">
        <f>"002671"</f>
        <v>002671</v>
      </c>
      <c r="B1054" t="s">
        <v>5970</v>
      </c>
      <c r="C1054">
        <v>-1.46</v>
      </c>
      <c r="D1054">
        <v>-0.24</v>
      </c>
      <c r="E1054">
        <v>0.49</v>
      </c>
      <c r="F1054">
        <v>684</v>
      </c>
      <c r="G1054" t="s">
        <v>5222</v>
      </c>
      <c r="H1054">
        <v>1662.27</v>
      </c>
      <c r="I1054">
        <v>0.21</v>
      </c>
      <c r="J1054" t="s">
        <v>120</v>
      </c>
      <c r="K1054" t="s">
        <v>5240</v>
      </c>
      <c r="L1054">
        <v>0.89</v>
      </c>
      <c r="M1054">
        <v>4.05</v>
      </c>
      <c r="N1054">
        <v>0.75</v>
      </c>
      <c r="O1054">
        <v>2.4300000000000002</v>
      </c>
      <c r="P1054">
        <v>4.21</v>
      </c>
      <c r="Q1054">
        <v>-1.7</v>
      </c>
      <c r="R1054">
        <v>4.04</v>
      </c>
      <c r="S1054">
        <v>4.13</v>
      </c>
      <c r="T1054">
        <v>40520</v>
      </c>
      <c r="U1054">
        <v>4.07</v>
      </c>
      <c r="V1054">
        <v>4.1100000000000003</v>
      </c>
      <c r="W1054">
        <v>193.31</v>
      </c>
      <c r="X1054" t="s">
        <v>247</v>
      </c>
      <c r="Y1054" t="s">
        <v>638</v>
      </c>
      <c r="Z1054">
        <v>4.1399999999999997</v>
      </c>
      <c r="AA1054">
        <v>4.0999999999999996</v>
      </c>
      <c r="AB1054">
        <v>22546</v>
      </c>
      <c r="AC1054">
        <v>17974</v>
      </c>
      <c r="AD1054">
        <v>1.25</v>
      </c>
      <c r="AE1054">
        <v>943</v>
      </c>
      <c r="AF1054">
        <v>230</v>
      </c>
      <c r="AG1054" t="s">
        <v>120</v>
      </c>
      <c r="AH1054">
        <v>0</v>
      </c>
      <c r="AI1054" t="s">
        <v>120</v>
      </c>
      <c r="AJ1054">
        <v>4.55</v>
      </c>
      <c r="AK1054" t="s">
        <v>5002</v>
      </c>
      <c r="AL1054">
        <v>0.45</v>
      </c>
      <c r="AM1054">
        <v>999</v>
      </c>
      <c r="AN1054">
        <v>41</v>
      </c>
      <c r="AO1054">
        <v>8.9999999999999998E-4</v>
      </c>
      <c r="AP1054">
        <v>-3</v>
      </c>
      <c r="AQ1054">
        <v>-0.24</v>
      </c>
      <c r="AR1054">
        <v>-3.34</v>
      </c>
      <c r="AS1054">
        <v>8.58</v>
      </c>
      <c r="AT1054">
        <v>5.19</v>
      </c>
      <c r="AU1054">
        <v>-3.34</v>
      </c>
      <c r="AV1054">
        <v>1</v>
      </c>
      <c r="AW1054">
        <v>1.25</v>
      </c>
      <c r="AX1054">
        <v>57.28</v>
      </c>
      <c r="AY1054">
        <v>7398.8</v>
      </c>
      <c r="AZ1054" t="s">
        <v>120</v>
      </c>
      <c r="BA1054">
        <v>0.37</v>
      </c>
      <c r="BB1054" t="s">
        <v>143</v>
      </c>
      <c r="BF1054">
        <v>-0.19</v>
      </c>
      <c r="BG1054">
        <v>-1.94</v>
      </c>
      <c r="BH1054">
        <v>-3.8</v>
      </c>
      <c r="BI1054">
        <v>0.25</v>
      </c>
      <c r="BJ1054">
        <v>20210831</v>
      </c>
      <c r="BK1054">
        <v>20120426</v>
      </c>
      <c r="BL1054">
        <v>5.67</v>
      </c>
      <c r="BM1054" t="s">
        <v>120</v>
      </c>
      <c r="BN1054" t="s">
        <v>120</v>
      </c>
      <c r="BO1054">
        <v>30.75</v>
      </c>
      <c r="BP1054">
        <v>4.05</v>
      </c>
      <c r="BQ1054">
        <v>21.81</v>
      </c>
      <c r="BR1054" t="s">
        <v>120</v>
      </c>
      <c r="BS1054">
        <v>29.07</v>
      </c>
      <c r="BT1054">
        <v>14.91</v>
      </c>
      <c r="BU1054">
        <v>9.2799999999999994</v>
      </c>
      <c r="BV1054">
        <v>2.14</v>
      </c>
      <c r="BW1054">
        <v>8.6199999999999992</v>
      </c>
      <c r="BX1054">
        <v>2.63</v>
      </c>
      <c r="BY1054">
        <v>3.38</v>
      </c>
      <c r="BZ1054">
        <v>6.13</v>
      </c>
      <c r="CA1054" t="s">
        <v>120</v>
      </c>
      <c r="CB1054">
        <v>13.71</v>
      </c>
      <c r="CC1054">
        <v>5.08</v>
      </c>
      <c r="CD1054">
        <v>3.84</v>
      </c>
      <c r="CE1054">
        <v>0.03</v>
      </c>
      <c r="CF1054">
        <v>0</v>
      </c>
      <c r="CG1054">
        <v>0.03</v>
      </c>
      <c r="CH1054">
        <v>0.04</v>
      </c>
      <c r="CI1054">
        <v>0.06</v>
      </c>
      <c r="CJ1054">
        <v>-0.06</v>
      </c>
      <c r="CK1054">
        <v>-0.12</v>
      </c>
      <c r="CL1054">
        <v>1.88</v>
      </c>
      <c r="CM1054">
        <v>-0.41</v>
      </c>
      <c r="CN1054">
        <v>-0.82</v>
      </c>
      <c r="CO1054">
        <v>22520</v>
      </c>
      <c r="CP1054">
        <v>14419</v>
      </c>
      <c r="CQ1054" t="s">
        <v>151</v>
      </c>
      <c r="CR1054">
        <v>107.03</v>
      </c>
      <c r="CS1054">
        <v>145.53</v>
      </c>
      <c r="CT1054">
        <v>1.05</v>
      </c>
      <c r="CU1054">
        <v>-55.5</v>
      </c>
      <c r="CV1054">
        <v>4.5199999999999996</v>
      </c>
      <c r="CW1054">
        <v>0</v>
      </c>
      <c r="CX1054" t="s">
        <v>178</v>
      </c>
      <c r="CY1054">
        <v>3.85</v>
      </c>
      <c r="CZ1054">
        <v>0</v>
      </c>
      <c r="DA1054">
        <v>2.42</v>
      </c>
      <c r="DB1054">
        <v>0.33</v>
      </c>
      <c r="DC1054">
        <v>-7.0000000000000007E-2</v>
      </c>
      <c r="DD1054">
        <v>70.930000000000007</v>
      </c>
      <c r="DE1054" t="s">
        <v>5971</v>
      </c>
      <c r="DF1054">
        <v>24.43</v>
      </c>
      <c r="DG1054">
        <v>0.52</v>
      </c>
      <c r="DH1054">
        <v>1.17</v>
      </c>
      <c r="DI1054">
        <v>7.0000000000000007E-2</v>
      </c>
      <c r="DJ1054">
        <v>1177</v>
      </c>
      <c r="DK1054">
        <v>2671</v>
      </c>
      <c r="DL1054" t="s">
        <v>120</v>
      </c>
      <c r="DM1054" t="s">
        <v>120</v>
      </c>
      <c r="DN1054" t="s">
        <v>120</v>
      </c>
    </row>
    <row r="1055" spans="1:118">
      <c r="A1055" t="str">
        <f>"002672"</f>
        <v>002672</v>
      </c>
      <c r="B1055" t="s">
        <v>5972</v>
      </c>
      <c r="C1055">
        <v>-1.62</v>
      </c>
      <c r="D1055">
        <v>0</v>
      </c>
      <c r="E1055">
        <v>0.14000000000000001</v>
      </c>
      <c r="F1055">
        <v>423</v>
      </c>
      <c r="G1055" t="s">
        <v>757</v>
      </c>
      <c r="H1055">
        <v>3469.73</v>
      </c>
      <c r="I1055">
        <v>4.66</v>
      </c>
      <c r="J1055" t="s">
        <v>120</v>
      </c>
      <c r="K1055" t="s">
        <v>5973</v>
      </c>
      <c r="L1055">
        <v>0.7</v>
      </c>
      <c r="M1055">
        <v>7.27</v>
      </c>
      <c r="N1055">
        <v>0.76</v>
      </c>
      <c r="O1055">
        <v>0.68</v>
      </c>
      <c r="P1055">
        <v>7.44</v>
      </c>
      <c r="Q1055">
        <v>-2.0299999999999998</v>
      </c>
      <c r="R1055">
        <v>7.24</v>
      </c>
      <c r="S1055">
        <v>7.4</v>
      </c>
      <c r="T1055">
        <v>47222</v>
      </c>
      <c r="U1055">
        <v>7.28</v>
      </c>
      <c r="V1055">
        <v>7.39</v>
      </c>
      <c r="W1055">
        <v>28.63</v>
      </c>
      <c r="X1055" t="s">
        <v>318</v>
      </c>
      <c r="Y1055" t="s">
        <v>123</v>
      </c>
      <c r="Z1055">
        <v>2.71</v>
      </c>
      <c r="AA1055">
        <v>7.35</v>
      </c>
      <c r="AB1055">
        <v>28376</v>
      </c>
      <c r="AC1055">
        <v>18846</v>
      </c>
      <c r="AD1055">
        <v>1.51</v>
      </c>
      <c r="AE1055">
        <v>127</v>
      </c>
      <c r="AF1055">
        <v>224</v>
      </c>
      <c r="AG1055" t="s">
        <v>120</v>
      </c>
      <c r="AH1055">
        <v>0</v>
      </c>
      <c r="AI1055" t="s">
        <v>120</v>
      </c>
      <c r="AJ1055">
        <v>6.79</v>
      </c>
      <c r="AK1055" t="s">
        <v>5974</v>
      </c>
      <c r="AL1055">
        <v>0.28999999999999998</v>
      </c>
      <c r="AM1055">
        <v>1604</v>
      </c>
      <c r="AN1055">
        <v>29</v>
      </c>
      <c r="AO1055">
        <v>4.0000000000000002E-4</v>
      </c>
      <c r="AP1055">
        <v>-1</v>
      </c>
      <c r="AQ1055">
        <v>0.96</v>
      </c>
      <c r="AR1055">
        <v>-3.19</v>
      </c>
      <c r="AS1055">
        <v>5.98</v>
      </c>
      <c r="AT1055">
        <v>-3.58</v>
      </c>
      <c r="AU1055">
        <v>-16.63</v>
      </c>
      <c r="AV1055">
        <v>0</v>
      </c>
      <c r="AW1055">
        <v>1.17</v>
      </c>
      <c r="AX1055">
        <v>59.38</v>
      </c>
      <c r="AY1055">
        <v>25.56</v>
      </c>
      <c r="AZ1055">
        <v>21.43</v>
      </c>
      <c r="BA1055">
        <v>0.3</v>
      </c>
      <c r="BB1055" t="s">
        <v>143</v>
      </c>
      <c r="BF1055">
        <v>-0.56999999999999995</v>
      </c>
      <c r="BG1055">
        <v>-1.76</v>
      </c>
      <c r="BH1055">
        <v>-2.2799999999999998</v>
      </c>
      <c r="BI1055">
        <v>0.41</v>
      </c>
      <c r="BJ1055">
        <v>20210903</v>
      </c>
      <c r="BK1055">
        <v>20120426</v>
      </c>
      <c r="BL1055">
        <v>8.7899999999999991</v>
      </c>
      <c r="BM1055" t="s">
        <v>120</v>
      </c>
      <c r="BN1055">
        <v>2</v>
      </c>
      <c r="BO1055">
        <v>108.93</v>
      </c>
      <c r="BP1055">
        <v>7.27</v>
      </c>
      <c r="BQ1055">
        <v>46.52</v>
      </c>
      <c r="BR1055">
        <v>8.5</v>
      </c>
      <c r="BS1055">
        <v>49.49</v>
      </c>
      <c r="BT1055">
        <v>28.33</v>
      </c>
      <c r="BU1055">
        <v>31.9</v>
      </c>
      <c r="BV1055">
        <v>13.86</v>
      </c>
      <c r="BW1055">
        <v>34.700000000000003</v>
      </c>
      <c r="BX1055">
        <v>7.27</v>
      </c>
      <c r="BY1055">
        <v>3.2</v>
      </c>
      <c r="BZ1055">
        <v>9.6999999999999993</v>
      </c>
      <c r="CA1055">
        <v>0</v>
      </c>
      <c r="CB1055">
        <v>4.6500000000000004</v>
      </c>
      <c r="CC1055">
        <v>16.559999999999999</v>
      </c>
      <c r="CD1055">
        <v>11.6</v>
      </c>
      <c r="CE1055">
        <v>1.48</v>
      </c>
      <c r="CF1055">
        <v>0.12</v>
      </c>
      <c r="CG1055">
        <v>1.4</v>
      </c>
      <c r="CH1055">
        <v>1.2</v>
      </c>
      <c r="CI1055">
        <v>1.1200000000000001</v>
      </c>
      <c r="CJ1055">
        <v>-0.12</v>
      </c>
      <c r="CK1055">
        <v>1.0900000000000001</v>
      </c>
      <c r="CL1055">
        <v>30.45</v>
      </c>
      <c r="CM1055">
        <v>1.36</v>
      </c>
      <c r="CN1055">
        <v>0.72</v>
      </c>
      <c r="CO1055">
        <v>42215</v>
      </c>
      <c r="CP1055">
        <v>9553</v>
      </c>
      <c r="CQ1055" t="s">
        <v>5975</v>
      </c>
      <c r="CR1055">
        <v>-30.47</v>
      </c>
      <c r="CS1055">
        <v>11.98</v>
      </c>
      <c r="CT1055">
        <v>1.37</v>
      </c>
      <c r="CU1055">
        <v>47.11</v>
      </c>
      <c r="CV1055">
        <v>3.86</v>
      </c>
      <c r="CW1055">
        <v>1.49</v>
      </c>
      <c r="CX1055" t="s">
        <v>986</v>
      </c>
      <c r="CY1055">
        <v>5.29</v>
      </c>
      <c r="CZ1055">
        <v>0</v>
      </c>
      <c r="DA1055">
        <v>0.53</v>
      </c>
      <c r="DB1055">
        <v>3.46</v>
      </c>
      <c r="DC1055">
        <v>0.15</v>
      </c>
      <c r="DD1055">
        <v>42.71</v>
      </c>
      <c r="DE1055" t="s">
        <v>507</v>
      </c>
      <c r="DF1055">
        <v>29.99</v>
      </c>
      <c r="DG1055">
        <v>8.92</v>
      </c>
      <c r="DH1055">
        <v>6.74</v>
      </c>
      <c r="DI1055">
        <v>0.66</v>
      </c>
      <c r="DJ1055">
        <v>4978</v>
      </c>
      <c r="DK1055">
        <v>2672</v>
      </c>
      <c r="DL1055" t="s">
        <v>120</v>
      </c>
      <c r="DM1055" t="s">
        <v>120</v>
      </c>
      <c r="DN1055" t="s">
        <v>120</v>
      </c>
    </row>
    <row r="1056" spans="1:118">
      <c r="A1056" t="str">
        <f>"002673"</f>
        <v>002673</v>
      </c>
      <c r="B1056" t="s">
        <v>5976</v>
      </c>
      <c r="C1056">
        <v>-1.99</v>
      </c>
      <c r="D1056">
        <v>0</v>
      </c>
      <c r="E1056">
        <v>0.7</v>
      </c>
      <c r="F1056">
        <v>6204</v>
      </c>
      <c r="G1056" t="s">
        <v>5977</v>
      </c>
      <c r="H1056">
        <v>38006.83</v>
      </c>
      <c r="I1056">
        <v>280.38</v>
      </c>
      <c r="J1056" t="s">
        <v>120</v>
      </c>
      <c r="K1056" t="s">
        <v>5978</v>
      </c>
      <c r="L1056">
        <v>1.0900000000000001</v>
      </c>
      <c r="M1056">
        <v>8.36</v>
      </c>
      <c r="N1056">
        <v>0.75</v>
      </c>
      <c r="O1056">
        <v>1.06</v>
      </c>
      <c r="P1056">
        <v>8.6199999999999992</v>
      </c>
      <c r="Q1056">
        <v>-2.11</v>
      </c>
      <c r="R1056">
        <v>8.35</v>
      </c>
      <c r="S1056">
        <v>8.59</v>
      </c>
      <c r="T1056">
        <v>448663</v>
      </c>
      <c r="U1056">
        <v>8.3699999999999992</v>
      </c>
      <c r="V1056">
        <v>8.5299999999999994</v>
      </c>
      <c r="W1056">
        <v>26.12</v>
      </c>
      <c r="X1056" t="s">
        <v>616</v>
      </c>
      <c r="Y1056" t="s">
        <v>890</v>
      </c>
      <c r="Z1056">
        <v>3.17</v>
      </c>
      <c r="AA1056">
        <v>8.4700000000000006</v>
      </c>
      <c r="AB1056">
        <v>233113</v>
      </c>
      <c r="AC1056">
        <v>215550</v>
      </c>
      <c r="AD1056">
        <v>1.08</v>
      </c>
      <c r="AE1056">
        <v>2304</v>
      </c>
      <c r="AF1056">
        <v>2506</v>
      </c>
      <c r="AG1056" t="s">
        <v>120</v>
      </c>
      <c r="AH1056">
        <v>0.01</v>
      </c>
      <c r="AI1056" t="s">
        <v>120</v>
      </c>
      <c r="AJ1056">
        <v>41.09</v>
      </c>
      <c r="AK1056" t="s">
        <v>5979</v>
      </c>
      <c r="AL1056">
        <v>-0.08</v>
      </c>
      <c r="AM1056">
        <v>3713</v>
      </c>
      <c r="AN1056">
        <v>121</v>
      </c>
      <c r="AO1056">
        <v>2.9999999999999997E-4</v>
      </c>
      <c r="AP1056">
        <v>-1</v>
      </c>
      <c r="AQ1056">
        <v>3.27</v>
      </c>
      <c r="AR1056">
        <v>-1.88</v>
      </c>
      <c r="AS1056">
        <v>1.95</v>
      </c>
      <c r="AT1056">
        <v>1.1599999999999999</v>
      </c>
      <c r="AU1056">
        <v>-16.93</v>
      </c>
      <c r="AV1056">
        <v>1</v>
      </c>
      <c r="AW1056">
        <v>1.91</v>
      </c>
      <c r="AX1056">
        <v>52.5</v>
      </c>
      <c r="AY1056">
        <v>31.92</v>
      </c>
      <c r="AZ1056">
        <v>34.130000000000003</v>
      </c>
      <c r="BA1056">
        <v>0.22</v>
      </c>
      <c r="BB1056" t="s">
        <v>184</v>
      </c>
      <c r="BF1056">
        <v>-0.69</v>
      </c>
      <c r="BG1056">
        <v>-2.68</v>
      </c>
      <c r="BH1056">
        <v>-3.02</v>
      </c>
      <c r="BI1056">
        <v>0.12</v>
      </c>
      <c r="BJ1056">
        <v>20210826</v>
      </c>
      <c r="BK1056">
        <v>20120503</v>
      </c>
      <c r="BL1056">
        <v>44.7</v>
      </c>
      <c r="BM1056" t="s">
        <v>120</v>
      </c>
      <c r="BN1056" t="s">
        <v>120</v>
      </c>
      <c r="BO1056">
        <v>668.66</v>
      </c>
      <c r="BP1056">
        <v>8.36</v>
      </c>
      <c r="BQ1056">
        <v>263.72000000000003</v>
      </c>
      <c r="BR1056">
        <v>1</v>
      </c>
      <c r="BS1056">
        <v>60.41</v>
      </c>
      <c r="BT1056">
        <v>0</v>
      </c>
      <c r="BU1056">
        <v>1.56</v>
      </c>
      <c r="BV1056">
        <v>1.69</v>
      </c>
      <c r="BW1056">
        <v>0</v>
      </c>
      <c r="BX1056">
        <v>153.44999999999999</v>
      </c>
      <c r="BY1056">
        <v>0</v>
      </c>
      <c r="BZ1056">
        <v>0</v>
      </c>
      <c r="CA1056" t="s">
        <v>120</v>
      </c>
      <c r="CB1056">
        <v>159.97</v>
      </c>
      <c r="CC1056">
        <v>32.17</v>
      </c>
      <c r="CD1056">
        <v>0</v>
      </c>
      <c r="CE1056">
        <v>9.64</v>
      </c>
      <c r="CF1056">
        <v>9.01</v>
      </c>
      <c r="CG1056">
        <v>9.64</v>
      </c>
      <c r="CH1056">
        <v>7.23</v>
      </c>
      <c r="CI1056">
        <v>7.15</v>
      </c>
      <c r="CJ1056">
        <v>-0.17</v>
      </c>
      <c r="CK1056">
        <v>7.08</v>
      </c>
      <c r="CL1056">
        <v>27.41</v>
      </c>
      <c r="CM1056">
        <v>-62.45</v>
      </c>
      <c r="CN1056">
        <v>-67.319999999999993</v>
      </c>
      <c r="CO1056">
        <v>185035</v>
      </c>
      <c r="CP1056">
        <v>12682</v>
      </c>
      <c r="CQ1056" t="s">
        <v>5514</v>
      </c>
      <c r="CR1056">
        <v>12.14</v>
      </c>
      <c r="CS1056">
        <v>44.91</v>
      </c>
      <c r="CT1056">
        <v>1.42</v>
      </c>
      <c r="CU1056">
        <v>-5.98</v>
      </c>
      <c r="CV1056">
        <v>11.61</v>
      </c>
      <c r="CW1056">
        <v>0.89</v>
      </c>
      <c r="CX1056" t="s">
        <v>1091</v>
      </c>
      <c r="CY1056">
        <v>5.9</v>
      </c>
      <c r="CZ1056">
        <v>0</v>
      </c>
      <c r="DA1056">
        <v>3.58</v>
      </c>
      <c r="DB1056">
        <v>0.61</v>
      </c>
      <c r="DC1056">
        <v>-1.4</v>
      </c>
      <c r="DD1056">
        <v>39.44</v>
      </c>
      <c r="DE1056" t="s">
        <v>374</v>
      </c>
      <c r="DF1056" t="s">
        <v>120</v>
      </c>
      <c r="DG1056">
        <v>29.97</v>
      </c>
      <c r="DH1056">
        <v>22.23</v>
      </c>
      <c r="DI1056" t="s">
        <v>120</v>
      </c>
      <c r="DJ1056">
        <v>2775</v>
      </c>
      <c r="DK1056">
        <v>2673</v>
      </c>
      <c r="DL1056" t="s">
        <v>120</v>
      </c>
      <c r="DM1056" t="s">
        <v>120</v>
      </c>
      <c r="DN1056" t="s">
        <v>120</v>
      </c>
    </row>
    <row r="1057" spans="1:118">
      <c r="A1057" t="str">
        <f>"002674"</f>
        <v>002674</v>
      </c>
      <c r="B1057" t="s">
        <v>5980</v>
      </c>
      <c r="C1057">
        <v>-2.16</v>
      </c>
      <c r="D1057">
        <v>0</v>
      </c>
      <c r="E1057">
        <v>0.4</v>
      </c>
      <c r="F1057">
        <v>119</v>
      </c>
      <c r="G1057" t="s">
        <v>5981</v>
      </c>
      <c r="H1057">
        <v>5498.34</v>
      </c>
      <c r="I1057">
        <v>0.75</v>
      </c>
      <c r="J1057" t="s">
        <v>120</v>
      </c>
      <c r="K1057" t="s">
        <v>5982</v>
      </c>
      <c r="L1057">
        <v>1.56</v>
      </c>
      <c r="M1057">
        <v>12.21</v>
      </c>
      <c r="N1057">
        <v>1.26</v>
      </c>
      <c r="O1057">
        <v>0.8</v>
      </c>
      <c r="P1057">
        <v>12.58</v>
      </c>
      <c r="Q1057">
        <v>-3.85</v>
      </c>
      <c r="R1057">
        <v>12</v>
      </c>
      <c r="S1057">
        <v>12.53</v>
      </c>
      <c r="T1057">
        <v>44962</v>
      </c>
      <c r="U1057">
        <v>12.21</v>
      </c>
      <c r="V1057">
        <v>12.48</v>
      </c>
      <c r="W1057">
        <v>15.38</v>
      </c>
      <c r="X1057" t="s">
        <v>1766</v>
      </c>
      <c r="Y1057" t="s">
        <v>937</v>
      </c>
      <c r="Z1057">
        <v>4.6500000000000004</v>
      </c>
      <c r="AA1057">
        <v>12.23</v>
      </c>
      <c r="AB1057">
        <v>25295</v>
      </c>
      <c r="AC1057">
        <v>19667</v>
      </c>
      <c r="AD1057">
        <v>1.29</v>
      </c>
      <c r="AE1057">
        <v>331</v>
      </c>
      <c r="AF1057">
        <v>30</v>
      </c>
      <c r="AG1057" t="s">
        <v>120</v>
      </c>
      <c r="AH1057">
        <v>0</v>
      </c>
      <c r="AI1057" t="s">
        <v>120</v>
      </c>
      <c r="AJ1057">
        <v>2.89</v>
      </c>
      <c r="AK1057" t="s">
        <v>5983</v>
      </c>
      <c r="AL1057">
        <v>-0.25</v>
      </c>
      <c r="AM1057">
        <v>2482</v>
      </c>
      <c r="AN1057">
        <v>18</v>
      </c>
      <c r="AO1057">
        <v>5.9999999999999995E-4</v>
      </c>
      <c r="AP1057">
        <v>-4</v>
      </c>
      <c r="AQ1057">
        <v>-1.58</v>
      </c>
      <c r="AR1057">
        <v>-4.54</v>
      </c>
      <c r="AS1057">
        <v>-15.15</v>
      </c>
      <c r="AT1057">
        <v>5.71</v>
      </c>
      <c r="AU1057">
        <v>-3.33</v>
      </c>
      <c r="AV1057">
        <v>8</v>
      </c>
      <c r="AW1057">
        <v>4.1100000000000003</v>
      </c>
      <c r="AX1057">
        <v>37.479999999999997</v>
      </c>
      <c r="AY1057">
        <v>15.89</v>
      </c>
      <c r="AZ1057">
        <v>31.53</v>
      </c>
      <c r="BA1057">
        <v>0.34</v>
      </c>
      <c r="BB1057" t="s">
        <v>134</v>
      </c>
      <c r="BF1057">
        <v>-2.0099999999999998</v>
      </c>
      <c r="BG1057">
        <v>-2.5499999999999998</v>
      </c>
      <c r="BH1057">
        <v>-2.94</v>
      </c>
      <c r="BI1057">
        <v>1.75</v>
      </c>
      <c r="BJ1057">
        <v>20210817</v>
      </c>
      <c r="BK1057">
        <v>20120507</v>
      </c>
      <c r="BL1057">
        <v>2.92</v>
      </c>
      <c r="BM1057" t="s">
        <v>120</v>
      </c>
      <c r="BN1057" t="s">
        <v>120</v>
      </c>
      <c r="BO1057">
        <v>32</v>
      </c>
      <c r="BP1057">
        <v>12.2</v>
      </c>
      <c r="BQ1057">
        <v>22.37</v>
      </c>
      <c r="BR1057">
        <v>0.12</v>
      </c>
      <c r="BS1057">
        <v>29.74</v>
      </c>
      <c r="BT1057">
        <v>24.36</v>
      </c>
      <c r="BU1057">
        <v>5.01</v>
      </c>
      <c r="BV1057">
        <v>0.53</v>
      </c>
      <c r="BW1057">
        <v>9.16</v>
      </c>
      <c r="BX1057">
        <v>8.3800000000000008</v>
      </c>
      <c r="BY1057">
        <v>6.2</v>
      </c>
      <c r="BZ1057">
        <v>2.2400000000000002</v>
      </c>
      <c r="CA1057" t="s">
        <v>120</v>
      </c>
      <c r="CB1057">
        <v>12.67</v>
      </c>
      <c r="CC1057">
        <v>8.0399999999999991</v>
      </c>
      <c r="CD1057">
        <v>5.95</v>
      </c>
      <c r="CE1057">
        <v>1.37</v>
      </c>
      <c r="CF1057">
        <v>7.0000000000000007E-2</v>
      </c>
      <c r="CG1057">
        <v>1.35</v>
      </c>
      <c r="CH1057">
        <v>1.1599999999999999</v>
      </c>
      <c r="CI1057">
        <v>1.1599999999999999</v>
      </c>
      <c r="CJ1057">
        <v>-0.27</v>
      </c>
      <c r="CK1057">
        <v>1.08</v>
      </c>
      <c r="CL1057">
        <v>5.17</v>
      </c>
      <c r="CM1057">
        <v>0.98</v>
      </c>
      <c r="CN1057">
        <v>-4.67</v>
      </c>
      <c r="CO1057">
        <v>9422</v>
      </c>
      <c r="CP1057">
        <v>11611</v>
      </c>
      <c r="CQ1057" t="s">
        <v>5984</v>
      </c>
      <c r="CR1057">
        <v>5439.25</v>
      </c>
      <c r="CS1057">
        <v>87.08</v>
      </c>
      <c r="CT1057">
        <v>1.59</v>
      </c>
      <c r="CU1057">
        <v>36.26</v>
      </c>
      <c r="CV1057">
        <v>4.43</v>
      </c>
      <c r="CW1057">
        <v>0</v>
      </c>
      <c r="CX1057" t="s">
        <v>5985</v>
      </c>
      <c r="CY1057">
        <v>7.66</v>
      </c>
      <c r="CZ1057">
        <v>0</v>
      </c>
      <c r="DA1057">
        <v>4.34</v>
      </c>
      <c r="DB1057">
        <v>1.77</v>
      </c>
      <c r="DC1057">
        <v>0.34</v>
      </c>
      <c r="DD1057">
        <v>69.900000000000006</v>
      </c>
      <c r="DE1057" t="s">
        <v>153</v>
      </c>
      <c r="DF1057">
        <v>25.92</v>
      </c>
      <c r="DG1057">
        <v>17.079999999999998</v>
      </c>
      <c r="DH1057">
        <v>14.41</v>
      </c>
      <c r="DI1057">
        <v>0.23</v>
      </c>
      <c r="DJ1057">
        <v>2248</v>
      </c>
      <c r="DK1057">
        <v>2674</v>
      </c>
      <c r="DL1057" t="s">
        <v>120</v>
      </c>
      <c r="DM1057" t="s">
        <v>120</v>
      </c>
      <c r="DN1057" t="s">
        <v>120</v>
      </c>
    </row>
    <row r="1058" spans="1:118">
      <c r="A1058" t="str">
        <f>"002675"</f>
        <v>002675</v>
      </c>
      <c r="B1058" t="s">
        <v>5986</v>
      </c>
      <c r="C1058">
        <v>-0.7</v>
      </c>
      <c r="D1058">
        <v>0.13</v>
      </c>
      <c r="E1058">
        <v>0.25</v>
      </c>
      <c r="F1058">
        <v>182</v>
      </c>
      <c r="G1058" t="s">
        <v>5987</v>
      </c>
      <c r="H1058">
        <v>6154.35</v>
      </c>
      <c r="I1058">
        <v>3.94</v>
      </c>
      <c r="J1058" t="s">
        <v>120</v>
      </c>
      <c r="K1058" t="s">
        <v>5988</v>
      </c>
      <c r="L1058">
        <v>0.53</v>
      </c>
      <c r="M1058">
        <v>15.62</v>
      </c>
      <c r="N1058">
        <v>0.61</v>
      </c>
      <c r="O1058">
        <v>1.34</v>
      </c>
      <c r="P1058">
        <v>15.94</v>
      </c>
      <c r="Q1058">
        <v>-1.1399999999999999</v>
      </c>
      <c r="R1058">
        <v>15.55</v>
      </c>
      <c r="S1058">
        <v>15.77</v>
      </c>
      <c r="T1058">
        <v>39106</v>
      </c>
      <c r="U1058">
        <v>15.62</v>
      </c>
      <c r="V1058">
        <v>15.73</v>
      </c>
      <c r="W1058">
        <v>40.43</v>
      </c>
      <c r="X1058" t="s">
        <v>569</v>
      </c>
      <c r="Y1058" t="s">
        <v>638</v>
      </c>
      <c r="Z1058">
        <v>2.48</v>
      </c>
      <c r="AA1058">
        <v>15.74</v>
      </c>
      <c r="AB1058">
        <v>20935</v>
      </c>
      <c r="AC1058">
        <v>18171</v>
      </c>
      <c r="AD1058">
        <v>1.1499999999999999</v>
      </c>
      <c r="AE1058">
        <v>85</v>
      </c>
      <c r="AF1058">
        <v>1010</v>
      </c>
      <c r="AG1058" t="s">
        <v>120</v>
      </c>
      <c r="AH1058">
        <v>0</v>
      </c>
      <c r="AI1058" t="s">
        <v>120</v>
      </c>
      <c r="AJ1058">
        <v>7.35</v>
      </c>
      <c r="AK1058" t="s">
        <v>5989</v>
      </c>
      <c r="AL1058">
        <v>1.21</v>
      </c>
      <c r="AM1058">
        <v>1912</v>
      </c>
      <c r="AN1058">
        <v>20</v>
      </c>
      <c r="AO1058">
        <v>2.9999999999999997E-4</v>
      </c>
      <c r="AP1058">
        <v>-2</v>
      </c>
      <c r="AQ1058">
        <v>-2.2400000000000002</v>
      </c>
      <c r="AR1058">
        <v>-2.74</v>
      </c>
      <c r="AS1058">
        <v>-12.93</v>
      </c>
      <c r="AT1058">
        <v>-26.32</v>
      </c>
      <c r="AU1058">
        <v>-20.55</v>
      </c>
      <c r="AV1058">
        <v>1</v>
      </c>
      <c r="AW1058">
        <v>0.71</v>
      </c>
      <c r="AX1058">
        <v>68.489999999999995</v>
      </c>
      <c r="AY1058">
        <v>35.700000000000003</v>
      </c>
      <c r="AZ1058">
        <v>30.21</v>
      </c>
      <c r="BA1058">
        <v>0.27</v>
      </c>
      <c r="BB1058" t="s">
        <v>134</v>
      </c>
      <c r="BF1058">
        <v>0.05</v>
      </c>
      <c r="BG1058">
        <v>-0.95</v>
      </c>
      <c r="BH1058">
        <v>-2.0099999999999998</v>
      </c>
      <c r="BI1058">
        <v>0.45</v>
      </c>
      <c r="BJ1058">
        <v>20210728</v>
      </c>
      <c r="BK1058">
        <v>20120525</v>
      </c>
      <c r="BL1058">
        <v>8.02</v>
      </c>
      <c r="BM1058" t="s">
        <v>120</v>
      </c>
      <c r="BN1058" t="s">
        <v>120</v>
      </c>
      <c r="BO1058">
        <v>75.13</v>
      </c>
      <c r="BP1058">
        <v>15.6</v>
      </c>
      <c r="BQ1058">
        <v>44.07</v>
      </c>
      <c r="BR1058">
        <v>5.68</v>
      </c>
      <c r="BS1058">
        <v>33.78</v>
      </c>
      <c r="BT1058">
        <v>27.76</v>
      </c>
      <c r="BU1058">
        <v>8.9700000000000006</v>
      </c>
      <c r="BV1058">
        <v>1.84</v>
      </c>
      <c r="BW1058">
        <v>19.260000000000002</v>
      </c>
      <c r="BX1058">
        <v>4.99</v>
      </c>
      <c r="BY1058">
        <v>9.35</v>
      </c>
      <c r="BZ1058">
        <v>9.49</v>
      </c>
      <c r="CA1058">
        <v>0</v>
      </c>
      <c r="CB1058">
        <v>23.2</v>
      </c>
      <c r="CC1058">
        <v>18.260000000000002</v>
      </c>
      <c r="CD1058">
        <v>10.87</v>
      </c>
      <c r="CE1058">
        <v>2.5099999999999998</v>
      </c>
      <c r="CF1058">
        <v>0</v>
      </c>
      <c r="CG1058">
        <v>2.5099999999999998</v>
      </c>
      <c r="CH1058">
        <v>2.0499999999999998</v>
      </c>
      <c r="CI1058">
        <v>1.55</v>
      </c>
      <c r="CJ1058">
        <v>-0.11</v>
      </c>
      <c r="CK1058">
        <v>1.48</v>
      </c>
      <c r="CL1058">
        <v>11.05</v>
      </c>
      <c r="CM1058">
        <v>4.5599999999999996</v>
      </c>
      <c r="CN1058">
        <v>-2.15</v>
      </c>
      <c r="CO1058">
        <v>20274</v>
      </c>
      <c r="CP1058">
        <v>27100</v>
      </c>
      <c r="CQ1058" t="s">
        <v>5990</v>
      </c>
      <c r="CR1058">
        <v>-29.32</v>
      </c>
      <c r="CS1058">
        <v>10.93</v>
      </c>
      <c r="CT1058">
        <v>2.84</v>
      </c>
      <c r="CU1058">
        <v>27.49</v>
      </c>
      <c r="CV1058">
        <v>6.86</v>
      </c>
      <c r="CW1058">
        <v>1.59</v>
      </c>
      <c r="CX1058" t="s">
        <v>5991</v>
      </c>
      <c r="CY1058">
        <v>5.49</v>
      </c>
      <c r="CZ1058">
        <v>0</v>
      </c>
      <c r="DA1058">
        <v>2.89</v>
      </c>
      <c r="DB1058">
        <v>1.38</v>
      </c>
      <c r="DC1058">
        <v>0.56999999999999995</v>
      </c>
      <c r="DD1058">
        <v>58.66</v>
      </c>
      <c r="DE1058" t="s">
        <v>4021</v>
      </c>
      <c r="DF1058">
        <v>40.49</v>
      </c>
      <c r="DG1058">
        <v>13.74</v>
      </c>
      <c r="DH1058">
        <v>8.49</v>
      </c>
      <c r="DI1058">
        <v>0.59</v>
      </c>
      <c r="DJ1058">
        <v>2000</v>
      </c>
      <c r="DK1058">
        <v>2675</v>
      </c>
      <c r="DL1058" t="s">
        <v>120</v>
      </c>
      <c r="DM1058" t="s">
        <v>120</v>
      </c>
      <c r="DN1058" t="s">
        <v>120</v>
      </c>
    </row>
    <row r="1059" spans="1:118">
      <c r="A1059" t="str">
        <f>"002676"</f>
        <v>002676</v>
      </c>
      <c r="B1059" t="s">
        <v>5992</v>
      </c>
      <c r="C1059">
        <v>-3.81</v>
      </c>
      <c r="D1059">
        <v>0.22</v>
      </c>
      <c r="E1059">
        <v>-0.42</v>
      </c>
      <c r="F1059">
        <v>4862</v>
      </c>
      <c r="G1059" t="s">
        <v>5993</v>
      </c>
      <c r="H1059">
        <v>11945.84</v>
      </c>
      <c r="I1059">
        <v>21.48</v>
      </c>
      <c r="J1059" t="s">
        <v>120</v>
      </c>
      <c r="K1059" t="s">
        <v>5994</v>
      </c>
      <c r="L1059">
        <v>3.63</v>
      </c>
      <c r="M1059">
        <v>4.55</v>
      </c>
      <c r="N1059">
        <v>0.79</v>
      </c>
      <c r="O1059">
        <v>-0.42</v>
      </c>
      <c r="P1059">
        <v>4.71</v>
      </c>
      <c r="Q1059">
        <v>-5.5</v>
      </c>
      <c r="R1059">
        <v>4.47</v>
      </c>
      <c r="S1059">
        <v>4.71</v>
      </c>
      <c r="T1059">
        <v>261117</v>
      </c>
      <c r="U1059">
        <v>4.55</v>
      </c>
      <c r="V1059">
        <v>4.7300000000000004</v>
      </c>
      <c r="W1059">
        <v>34.56</v>
      </c>
      <c r="X1059" t="s">
        <v>2211</v>
      </c>
      <c r="Y1059" t="s">
        <v>547</v>
      </c>
      <c r="Z1059">
        <v>5.07</v>
      </c>
      <c r="AA1059">
        <v>4.57</v>
      </c>
      <c r="AB1059">
        <v>154956</v>
      </c>
      <c r="AC1059">
        <v>106161</v>
      </c>
      <c r="AD1059">
        <v>1.46</v>
      </c>
      <c r="AE1059">
        <v>399</v>
      </c>
      <c r="AF1059">
        <v>775</v>
      </c>
      <c r="AG1059" t="s">
        <v>120</v>
      </c>
      <c r="AH1059">
        <v>0.02</v>
      </c>
      <c r="AI1059" t="s">
        <v>120</v>
      </c>
      <c r="AJ1059">
        <v>7.2</v>
      </c>
      <c r="AK1059" t="s">
        <v>5994</v>
      </c>
      <c r="AL1059">
        <v>-1.89</v>
      </c>
      <c r="AM1059">
        <v>2816</v>
      </c>
      <c r="AN1059">
        <v>93</v>
      </c>
      <c r="AO1059">
        <v>1.2999999999999999E-3</v>
      </c>
      <c r="AP1059">
        <v>-1</v>
      </c>
      <c r="AQ1059">
        <v>0.85</v>
      </c>
      <c r="AR1059">
        <v>-0.87</v>
      </c>
      <c r="AS1059">
        <v>7.31</v>
      </c>
      <c r="AT1059">
        <v>8.59</v>
      </c>
      <c r="AU1059">
        <v>37.880000000000003</v>
      </c>
      <c r="AV1059">
        <v>4</v>
      </c>
      <c r="AW1059">
        <v>8.6199999999999992</v>
      </c>
      <c r="AX1059">
        <v>42.09</v>
      </c>
      <c r="AY1059">
        <v>53.75</v>
      </c>
      <c r="AZ1059">
        <v>124.11</v>
      </c>
      <c r="BA1059">
        <v>0.41</v>
      </c>
      <c r="BB1059" t="s">
        <v>184</v>
      </c>
      <c r="BF1059">
        <v>-3.28</v>
      </c>
      <c r="BG1059">
        <v>-3.4</v>
      </c>
      <c r="BH1059">
        <v>-3.4</v>
      </c>
      <c r="BI1059">
        <v>1.79</v>
      </c>
      <c r="BJ1059">
        <v>20210827</v>
      </c>
      <c r="BK1059">
        <v>20120525</v>
      </c>
      <c r="BL1059">
        <v>7.2</v>
      </c>
      <c r="BM1059" t="s">
        <v>120</v>
      </c>
      <c r="BN1059" t="s">
        <v>120</v>
      </c>
      <c r="BO1059">
        <v>21.03</v>
      </c>
      <c r="BP1059">
        <v>4.54</v>
      </c>
      <c r="BQ1059">
        <v>11.18</v>
      </c>
      <c r="BR1059">
        <v>0.19</v>
      </c>
      <c r="BS1059">
        <v>45.94</v>
      </c>
      <c r="BT1059">
        <v>14.02</v>
      </c>
      <c r="BU1059">
        <v>4.66</v>
      </c>
      <c r="BV1059">
        <v>0.93</v>
      </c>
      <c r="BW1059">
        <v>8.98</v>
      </c>
      <c r="BX1059">
        <v>1.47</v>
      </c>
      <c r="BY1059">
        <v>3.73</v>
      </c>
      <c r="BZ1059">
        <v>6.17</v>
      </c>
      <c r="CA1059" t="s">
        <v>120</v>
      </c>
      <c r="CB1059">
        <v>0.61</v>
      </c>
      <c r="CC1059">
        <v>11.43</v>
      </c>
      <c r="CD1059">
        <v>9.11</v>
      </c>
      <c r="CE1059">
        <v>0.56999999999999995</v>
      </c>
      <c r="CF1059">
        <v>0</v>
      </c>
      <c r="CG1059">
        <v>0.57999999999999996</v>
      </c>
      <c r="CH1059">
        <v>0.47</v>
      </c>
      <c r="CI1059">
        <v>0.47</v>
      </c>
      <c r="CJ1059">
        <v>-0.18</v>
      </c>
      <c r="CK1059">
        <v>0.42</v>
      </c>
      <c r="CL1059">
        <v>2.95</v>
      </c>
      <c r="CM1059">
        <v>-0.4</v>
      </c>
      <c r="CN1059">
        <v>-0.5</v>
      </c>
      <c r="CO1059">
        <v>24859</v>
      </c>
      <c r="CP1059">
        <v>12190</v>
      </c>
      <c r="CQ1059" t="s">
        <v>3190</v>
      </c>
      <c r="CR1059">
        <v>313.06</v>
      </c>
      <c r="CS1059">
        <v>39.46</v>
      </c>
      <c r="CT1059">
        <v>2.93</v>
      </c>
      <c r="CU1059">
        <v>-81.73</v>
      </c>
      <c r="CV1059">
        <v>2.87</v>
      </c>
      <c r="CW1059">
        <v>0</v>
      </c>
      <c r="CX1059" t="s">
        <v>2311</v>
      </c>
      <c r="CY1059">
        <v>1.55</v>
      </c>
      <c r="CZ1059">
        <v>0</v>
      </c>
      <c r="DA1059">
        <v>0.08</v>
      </c>
      <c r="DB1059">
        <v>0.41</v>
      </c>
      <c r="DC1059">
        <v>-0.06</v>
      </c>
      <c r="DD1059">
        <v>53.17</v>
      </c>
      <c r="DE1059" t="s">
        <v>3564</v>
      </c>
      <c r="DF1059">
        <v>20.309999999999999</v>
      </c>
      <c r="DG1059">
        <v>5.03</v>
      </c>
      <c r="DH1059">
        <v>4.1500000000000004</v>
      </c>
      <c r="DI1059">
        <v>0.18</v>
      </c>
      <c r="DJ1059">
        <v>3775</v>
      </c>
      <c r="DK1059">
        <v>2676</v>
      </c>
      <c r="DL1059" t="s">
        <v>120</v>
      </c>
      <c r="DM1059" t="s">
        <v>120</v>
      </c>
      <c r="DN1059" t="s">
        <v>120</v>
      </c>
    </row>
    <row r="1060" spans="1:118">
      <c r="A1060" t="str">
        <f>"002677"</f>
        <v>002677</v>
      </c>
      <c r="B1060" t="s">
        <v>5995</v>
      </c>
      <c r="C1060">
        <v>-0.67</v>
      </c>
      <c r="D1060">
        <v>0</v>
      </c>
      <c r="E1060">
        <v>0</v>
      </c>
      <c r="F1060">
        <v>387</v>
      </c>
      <c r="G1060" t="s">
        <v>5996</v>
      </c>
      <c r="H1060">
        <v>4279.6000000000004</v>
      </c>
      <c r="I1060">
        <v>34.9</v>
      </c>
      <c r="J1060" t="s">
        <v>120</v>
      </c>
      <c r="K1060" t="s">
        <v>5997</v>
      </c>
      <c r="L1060">
        <v>0.69</v>
      </c>
      <c r="M1060">
        <v>14.88</v>
      </c>
      <c r="N1060">
        <v>0.76</v>
      </c>
      <c r="O1060">
        <v>0.73</v>
      </c>
      <c r="P1060">
        <v>15.09</v>
      </c>
      <c r="Q1060">
        <v>-0.73</v>
      </c>
      <c r="R1060">
        <v>14.87</v>
      </c>
      <c r="S1060">
        <v>14.98</v>
      </c>
      <c r="T1060">
        <v>28630</v>
      </c>
      <c r="U1060">
        <v>14.88</v>
      </c>
      <c r="V1060">
        <v>14.98</v>
      </c>
      <c r="W1060">
        <v>18.899999999999999</v>
      </c>
      <c r="X1060" t="s">
        <v>205</v>
      </c>
      <c r="Y1060" t="s">
        <v>585</v>
      </c>
      <c r="Z1060">
        <v>1.47</v>
      </c>
      <c r="AA1060">
        <v>14.95</v>
      </c>
      <c r="AB1060">
        <v>18028</v>
      </c>
      <c r="AC1060">
        <v>10602</v>
      </c>
      <c r="AD1060">
        <v>1.7</v>
      </c>
      <c r="AE1060">
        <v>388</v>
      </c>
      <c r="AF1060">
        <v>154</v>
      </c>
      <c r="AG1060" t="s">
        <v>120</v>
      </c>
      <c r="AH1060">
        <v>0.01</v>
      </c>
      <c r="AI1060" t="s">
        <v>120</v>
      </c>
      <c r="AJ1060">
        <v>4.18</v>
      </c>
      <c r="AK1060" t="s">
        <v>5998</v>
      </c>
      <c r="AL1060">
        <v>1.25</v>
      </c>
      <c r="AM1060">
        <v>2117</v>
      </c>
      <c r="AN1060">
        <v>14</v>
      </c>
      <c r="AO1060">
        <v>2.9999999999999997E-4</v>
      </c>
      <c r="AP1060">
        <v>-4</v>
      </c>
      <c r="AQ1060">
        <v>-0.33</v>
      </c>
      <c r="AR1060">
        <v>-1.91</v>
      </c>
      <c r="AS1060">
        <v>-5.23</v>
      </c>
      <c r="AT1060">
        <v>-23.14</v>
      </c>
      <c r="AU1060">
        <v>-2.93</v>
      </c>
      <c r="AV1060">
        <v>2</v>
      </c>
      <c r="AW1060">
        <v>1.22</v>
      </c>
      <c r="AX1060">
        <v>36.4</v>
      </c>
      <c r="AY1060">
        <v>15.43</v>
      </c>
      <c r="AZ1060">
        <v>17.8</v>
      </c>
      <c r="BA1060">
        <v>0.68</v>
      </c>
      <c r="BB1060" t="s">
        <v>143</v>
      </c>
      <c r="BF1060">
        <v>-0.21</v>
      </c>
      <c r="BG1060">
        <v>-0.67</v>
      </c>
      <c r="BH1060">
        <v>-1.39</v>
      </c>
      <c r="BI1060">
        <v>7.0000000000000007E-2</v>
      </c>
      <c r="BJ1060">
        <v>20210905</v>
      </c>
      <c r="BK1060">
        <v>20120525</v>
      </c>
      <c r="BL1060">
        <v>6.46</v>
      </c>
      <c r="BM1060" t="s">
        <v>120</v>
      </c>
      <c r="BN1060" t="s">
        <v>120</v>
      </c>
      <c r="BO1060">
        <v>20.309999999999999</v>
      </c>
      <c r="BP1060">
        <v>14.87</v>
      </c>
      <c r="BQ1060">
        <v>15.64</v>
      </c>
      <c r="BR1060" t="s">
        <v>120</v>
      </c>
      <c r="BS1060">
        <v>22.98</v>
      </c>
      <c r="BT1060">
        <v>10.17</v>
      </c>
      <c r="BU1060">
        <v>6.5</v>
      </c>
      <c r="BV1060">
        <v>1.66</v>
      </c>
      <c r="BW1060">
        <v>4.38</v>
      </c>
      <c r="BX1060">
        <v>4.5599999999999996</v>
      </c>
      <c r="BY1060">
        <v>1.51</v>
      </c>
      <c r="BZ1060">
        <v>0.34</v>
      </c>
      <c r="CA1060" t="s">
        <v>120</v>
      </c>
      <c r="CB1060">
        <v>1.05</v>
      </c>
      <c r="CC1060">
        <v>9.09</v>
      </c>
      <c r="CD1060">
        <v>4.22</v>
      </c>
      <c r="CE1060">
        <v>2.98</v>
      </c>
      <c r="CF1060">
        <v>0.05</v>
      </c>
      <c r="CG1060">
        <v>2.98</v>
      </c>
      <c r="CH1060">
        <v>2.54</v>
      </c>
      <c r="CI1060">
        <v>2.54</v>
      </c>
      <c r="CJ1060">
        <v>-0.1</v>
      </c>
      <c r="CK1060">
        <v>2.4900000000000002</v>
      </c>
      <c r="CL1060">
        <v>6.29</v>
      </c>
      <c r="CM1060">
        <v>2.17</v>
      </c>
      <c r="CN1060">
        <v>-0.55000000000000004</v>
      </c>
      <c r="CO1060">
        <v>101140</v>
      </c>
      <c r="CP1060">
        <v>2325</v>
      </c>
      <c r="CQ1060" t="s">
        <v>5477</v>
      </c>
      <c r="CR1060">
        <v>49.15</v>
      </c>
      <c r="CS1060">
        <v>40.69</v>
      </c>
      <c r="CT1060">
        <v>6.15</v>
      </c>
      <c r="CU1060">
        <v>44.24</v>
      </c>
      <c r="CV1060">
        <v>10.57</v>
      </c>
      <c r="CW1060">
        <v>4.01</v>
      </c>
      <c r="CX1060" t="s">
        <v>1980</v>
      </c>
      <c r="CY1060">
        <v>2.42</v>
      </c>
      <c r="CZ1060">
        <v>0</v>
      </c>
      <c r="DA1060">
        <v>0.16</v>
      </c>
      <c r="DB1060">
        <v>0.97</v>
      </c>
      <c r="DC1060">
        <v>0.34</v>
      </c>
      <c r="DD1060">
        <v>77.02</v>
      </c>
      <c r="DE1060" t="s">
        <v>187</v>
      </c>
      <c r="DF1060">
        <v>53.58</v>
      </c>
      <c r="DG1060">
        <v>32.770000000000003</v>
      </c>
      <c r="DH1060">
        <v>27.97</v>
      </c>
      <c r="DI1060">
        <v>0.28999999999999998</v>
      </c>
      <c r="DJ1060">
        <v>1150</v>
      </c>
      <c r="DK1060">
        <v>2677</v>
      </c>
      <c r="DL1060" t="s">
        <v>120</v>
      </c>
      <c r="DM1060" t="s">
        <v>120</v>
      </c>
      <c r="DN1060" t="s">
        <v>120</v>
      </c>
    </row>
    <row r="1061" spans="1:118">
      <c r="A1061" t="str">
        <f>"002678"</f>
        <v>002678</v>
      </c>
      <c r="B1061" t="s">
        <v>5999</v>
      </c>
      <c r="C1061">
        <v>0.84</v>
      </c>
      <c r="D1061">
        <v>0</v>
      </c>
      <c r="E1061">
        <v>0</v>
      </c>
      <c r="F1061">
        <v>626</v>
      </c>
      <c r="G1061" t="s">
        <v>1383</v>
      </c>
      <c r="H1061">
        <v>4379.5200000000004</v>
      </c>
      <c r="I1061">
        <v>8.8699999999999992</v>
      </c>
      <c r="J1061" t="s">
        <v>120</v>
      </c>
      <c r="K1061" t="s">
        <v>6000</v>
      </c>
      <c r="L1061">
        <v>0.45</v>
      </c>
      <c r="M1061">
        <v>7.21</v>
      </c>
      <c r="N1061">
        <v>0.94</v>
      </c>
      <c r="O1061">
        <v>2.52</v>
      </c>
      <c r="P1061">
        <v>7.33</v>
      </c>
      <c r="Q1061">
        <v>-0.7</v>
      </c>
      <c r="R1061">
        <v>7.1</v>
      </c>
      <c r="S1061">
        <v>7.15</v>
      </c>
      <c r="T1061">
        <v>60699</v>
      </c>
      <c r="U1061">
        <v>7.22</v>
      </c>
      <c r="V1061">
        <v>7.15</v>
      </c>
      <c r="W1061">
        <v>44.32</v>
      </c>
      <c r="X1061" t="s">
        <v>213</v>
      </c>
      <c r="Y1061" t="s">
        <v>547</v>
      </c>
      <c r="Z1061">
        <v>3.22</v>
      </c>
      <c r="AA1061">
        <v>7.22</v>
      </c>
      <c r="AB1061">
        <v>28472</v>
      </c>
      <c r="AC1061">
        <v>32227</v>
      </c>
      <c r="AD1061">
        <v>0.88</v>
      </c>
      <c r="AE1061">
        <v>43</v>
      </c>
      <c r="AF1061">
        <v>66</v>
      </c>
      <c r="AG1061" t="s">
        <v>120</v>
      </c>
      <c r="AH1061">
        <v>0.01</v>
      </c>
      <c r="AI1061" t="s">
        <v>120</v>
      </c>
      <c r="AJ1061">
        <v>13.57</v>
      </c>
      <c r="AK1061" t="s">
        <v>6001</v>
      </c>
      <c r="AL1061">
        <v>2.75</v>
      </c>
      <c r="AM1061">
        <v>1395</v>
      </c>
      <c r="AN1061">
        <v>44</v>
      </c>
      <c r="AO1061">
        <v>2.9999999999999997E-4</v>
      </c>
      <c r="AP1061">
        <v>2</v>
      </c>
      <c r="AQ1061">
        <v>0.7</v>
      </c>
      <c r="AR1061">
        <v>-0.83</v>
      </c>
      <c r="AS1061">
        <v>-8.73</v>
      </c>
      <c r="AT1061">
        <v>11.73</v>
      </c>
      <c r="AU1061">
        <v>-1.68</v>
      </c>
      <c r="AV1061">
        <v>2</v>
      </c>
      <c r="AW1061">
        <v>2.7</v>
      </c>
      <c r="AX1061">
        <v>16.53</v>
      </c>
      <c r="AY1061">
        <v>39.159999999999997</v>
      </c>
      <c r="AZ1061">
        <v>56.92</v>
      </c>
      <c r="BA1061">
        <v>0.01</v>
      </c>
      <c r="BB1061" t="s">
        <v>143</v>
      </c>
      <c r="BF1061">
        <v>0.91</v>
      </c>
      <c r="BG1061">
        <v>0.84</v>
      </c>
      <c r="BH1061">
        <v>-1.64</v>
      </c>
      <c r="BI1061">
        <v>1.55</v>
      </c>
      <c r="BJ1061">
        <v>20210821</v>
      </c>
      <c r="BK1061">
        <v>20120530</v>
      </c>
      <c r="BL1061">
        <v>13.58</v>
      </c>
      <c r="BM1061" t="s">
        <v>120</v>
      </c>
      <c r="BN1061" t="s">
        <v>120</v>
      </c>
      <c r="BO1061">
        <v>48.61</v>
      </c>
      <c r="BP1061">
        <v>7.21</v>
      </c>
      <c r="BQ1061">
        <v>35.799999999999997</v>
      </c>
      <c r="BR1061">
        <v>0.28999999999999998</v>
      </c>
      <c r="BS1061">
        <v>25.76</v>
      </c>
      <c r="BT1061">
        <v>30.69</v>
      </c>
      <c r="BU1061">
        <v>9.1</v>
      </c>
      <c r="BV1061">
        <v>1.69</v>
      </c>
      <c r="BW1061">
        <v>11.59</v>
      </c>
      <c r="BX1061">
        <v>17.59</v>
      </c>
      <c r="BY1061">
        <v>9.61</v>
      </c>
      <c r="BZ1061">
        <v>2.79</v>
      </c>
      <c r="CA1061" t="s">
        <v>120</v>
      </c>
      <c r="CB1061">
        <v>9.81</v>
      </c>
      <c r="CC1061">
        <v>10.49</v>
      </c>
      <c r="CD1061">
        <v>7.51</v>
      </c>
      <c r="CE1061">
        <v>1.34</v>
      </c>
      <c r="CF1061">
        <v>-0.01</v>
      </c>
      <c r="CG1061">
        <v>1.34</v>
      </c>
      <c r="CH1061">
        <v>1.1299999999999999</v>
      </c>
      <c r="CI1061">
        <v>1.1000000000000001</v>
      </c>
      <c r="CJ1061">
        <v>0.06</v>
      </c>
      <c r="CK1061">
        <v>1.05</v>
      </c>
      <c r="CL1061">
        <v>10.37</v>
      </c>
      <c r="CM1061">
        <v>-1.17</v>
      </c>
      <c r="CN1061">
        <v>-1.65</v>
      </c>
      <c r="CO1061">
        <v>13083</v>
      </c>
      <c r="CP1061">
        <v>17162</v>
      </c>
      <c r="CQ1061" t="s">
        <v>6002</v>
      </c>
      <c r="CR1061">
        <v>233.7</v>
      </c>
      <c r="CS1061">
        <v>64.760000000000005</v>
      </c>
      <c r="CT1061">
        <v>2.74</v>
      </c>
      <c r="CU1061">
        <v>-83.62</v>
      </c>
      <c r="CV1061">
        <v>9.34</v>
      </c>
      <c r="CW1061">
        <v>0.52</v>
      </c>
      <c r="CX1061" t="s">
        <v>535</v>
      </c>
      <c r="CY1061">
        <v>2.64</v>
      </c>
      <c r="CZ1061">
        <v>0</v>
      </c>
      <c r="DA1061">
        <v>0.72</v>
      </c>
      <c r="DB1061">
        <v>0.76</v>
      </c>
      <c r="DC1061">
        <v>-0.09</v>
      </c>
      <c r="DD1061">
        <v>73.64</v>
      </c>
      <c r="DE1061" t="s">
        <v>1938</v>
      </c>
      <c r="DF1061">
        <v>28.38</v>
      </c>
      <c r="DG1061">
        <v>12.82</v>
      </c>
      <c r="DH1061">
        <v>10.53</v>
      </c>
      <c r="DI1061">
        <v>0.5</v>
      </c>
      <c r="DJ1061">
        <v>2454</v>
      </c>
      <c r="DK1061">
        <v>2678</v>
      </c>
      <c r="DL1061">
        <v>20210728</v>
      </c>
      <c r="DM1061">
        <v>7.71</v>
      </c>
      <c r="DN1061">
        <v>-6.49</v>
      </c>
    </row>
    <row r="1062" spans="1:118">
      <c r="A1062" t="str">
        <f>"002679"</f>
        <v>002679</v>
      </c>
      <c r="B1062" t="s">
        <v>6003</v>
      </c>
      <c r="C1062">
        <v>-3.59</v>
      </c>
      <c r="D1062">
        <v>0</v>
      </c>
      <c r="E1062">
        <v>0</v>
      </c>
      <c r="F1062">
        <v>500</v>
      </c>
      <c r="G1062" t="s">
        <v>6004</v>
      </c>
      <c r="H1062">
        <v>8121.79</v>
      </c>
      <c r="I1062">
        <v>16.53</v>
      </c>
      <c r="J1062" t="s">
        <v>120</v>
      </c>
      <c r="K1062" t="s">
        <v>1050</v>
      </c>
      <c r="L1062">
        <v>2.37</v>
      </c>
      <c r="M1062">
        <v>14.23</v>
      </c>
      <c r="N1062">
        <v>0.84</v>
      </c>
      <c r="O1062">
        <v>0.68</v>
      </c>
      <c r="P1062">
        <v>14.86</v>
      </c>
      <c r="Q1062">
        <v>-3.79</v>
      </c>
      <c r="R1062">
        <v>14.2</v>
      </c>
      <c r="S1062">
        <v>14.76</v>
      </c>
      <c r="T1062">
        <v>55910</v>
      </c>
      <c r="U1062">
        <v>14.24</v>
      </c>
      <c r="V1062">
        <v>14.76</v>
      </c>
      <c r="W1062" t="s">
        <v>120</v>
      </c>
      <c r="X1062" t="s">
        <v>1238</v>
      </c>
      <c r="Y1062" t="s">
        <v>937</v>
      </c>
      <c r="Z1062">
        <v>4.47</v>
      </c>
      <c r="AA1062">
        <v>14.53</v>
      </c>
      <c r="AB1062">
        <v>33177</v>
      </c>
      <c r="AC1062">
        <v>22733</v>
      </c>
      <c r="AD1062">
        <v>1.46</v>
      </c>
      <c r="AE1062">
        <v>465</v>
      </c>
      <c r="AF1062">
        <v>163</v>
      </c>
      <c r="AG1062" t="s">
        <v>120</v>
      </c>
      <c r="AH1062">
        <v>0.02</v>
      </c>
      <c r="AI1062" t="s">
        <v>120</v>
      </c>
      <c r="AJ1062">
        <v>2.36</v>
      </c>
      <c r="AK1062" t="s">
        <v>1050</v>
      </c>
      <c r="AL1062">
        <v>-1.68</v>
      </c>
      <c r="AM1062">
        <v>2345</v>
      </c>
      <c r="AN1062">
        <v>24</v>
      </c>
      <c r="AO1062">
        <v>1E-3</v>
      </c>
      <c r="AP1062">
        <v>-1</v>
      </c>
      <c r="AQ1062">
        <v>0.41</v>
      </c>
      <c r="AR1062">
        <v>-7.66</v>
      </c>
      <c r="AS1062">
        <v>-3</v>
      </c>
      <c r="AT1062">
        <v>-33.56</v>
      </c>
      <c r="AU1062">
        <v>23.85</v>
      </c>
      <c r="AV1062">
        <v>18</v>
      </c>
      <c r="AW1062">
        <v>7.99</v>
      </c>
      <c r="AX1062">
        <v>29.68</v>
      </c>
      <c r="AY1062" t="s">
        <v>120</v>
      </c>
      <c r="AZ1062">
        <v>398.75</v>
      </c>
      <c r="BA1062">
        <v>0.27</v>
      </c>
      <c r="BB1062" t="s">
        <v>125</v>
      </c>
      <c r="BF1062">
        <v>-1.58</v>
      </c>
      <c r="BG1062">
        <v>-3.59</v>
      </c>
      <c r="BH1062">
        <v>-4.24</v>
      </c>
      <c r="BI1062">
        <v>0.21</v>
      </c>
      <c r="BJ1062">
        <v>20210906</v>
      </c>
      <c r="BK1062">
        <v>20120605</v>
      </c>
      <c r="BL1062">
        <v>2.36</v>
      </c>
      <c r="BM1062" t="s">
        <v>120</v>
      </c>
      <c r="BN1062" t="s">
        <v>120</v>
      </c>
      <c r="BO1062">
        <v>17.97</v>
      </c>
      <c r="BP1062">
        <v>14.23</v>
      </c>
      <c r="BQ1062">
        <v>7.03</v>
      </c>
      <c r="BR1062">
        <v>0</v>
      </c>
      <c r="BS1062">
        <v>60.84</v>
      </c>
      <c r="BT1062">
        <v>16.36</v>
      </c>
      <c r="BU1062">
        <v>0.26</v>
      </c>
      <c r="BV1062">
        <v>0.18</v>
      </c>
      <c r="BW1062">
        <v>3.48</v>
      </c>
      <c r="BX1062">
        <v>1.1299999999999999</v>
      </c>
      <c r="BY1062">
        <v>14.3</v>
      </c>
      <c r="BZ1062">
        <v>0.54</v>
      </c>
      <c r="CA1062" t="s">
        <v>120</v>
      </c>
      <c r="CB1062">
        <v>2.4500000000000002</v>
      </c>
      <c r="CC1062">
        <v>0.17</v>
      </c>
      <c r="CD1062">
        <v>0.16</v>
      </c>
      <c r="CE1062">
        <v>-0.45</v>
      </c>
      <c r="CF1062">
        <v>0</v>
      </c>
      <c r="CG1062">
        <v>-0.45</v>
      </c>
      <c r="CH1062">
        <v>-0.45</v>
      </c>
      <c r="CI1062">
        <v>-0.45</v>
      </c>
      <c r="CJ1062">
        <v>-0.53</v>
      </c>
      <c r="CK1062">
        <v>-0.45</v>
      </c>
      <c r="CL1062">
        <v>1.94</v>
      </c>
      <c r="CM1062">
        <v>-0.41</v>
      </c>
      <c r="CN1062">
        <v>0.16</v>
      </c>
      <c r="CO1062">
        <v>32270</v>
      </c>
      <c r="CP1062">
        <v>2169</v>
      </c>
      <c r="CQ1062" t="s">
        <v>5242</v>
      </c>
      <c r="CR1062">
        <v>-24.88</v>
      </c>
      <c r="CS1062">
        <v>253.73</v>
      </c>
      <c r="CT1062">
        <v>4.7699999999999996</v>
      </c>
      <c r="CU1062">
        <v>-80.92</v>
      </c>
      <c r="CV1062">
        <v>202.03</v>
      </c>
      <c r="CW1062">
        <v>0.2</v>
      </c>
      <c r="CX1062" t="s">
        <v>716</v>
      </c>
      <c r="CY1062">
        <v>2.98</v>
      </c>
      <c r="CZ1062">
        <v>0</v>
      </c>
      <c r="DA1062">
        <v>1.04</v>
      </c>
      <c r="DB1062">
        <v>0.82</v>
      </c>
      <c r="DC1062">
        <v>-0.18</v>
      </c>
      <c r="DD1062">
        <v>39.14</v>
      </c>
      <c r="DE1062" t="s">
        <v>6005</v>
      </c>
      <c r="DF1062">
        <v>6.04</v>
      </c>
      <c r="DG1062">
        <v>-268.97000000000003</v>
      </c>
      <c r="DH1062">
        <v>-271.64</v>
      </c>
      <c r="DI1062" t="s">
        <v>120</v>
      </c>
      <c r="DJ1062">
        <v>246</v>
      </c>
      <c r="DK1062">
        <v>2679</v>
      </c>
      <c r="DL1062" t="s">
        <v>120</v>
      </c>
      <c r="DM1062" t="s">
        <v>120</v>
      </c>
      <c r="DN1062" t="s">
        <v>120</v>
      </c>
    </row>
    <row r="1063" spans="1:118">
      <c r="A1063" t="str">
        <f>"002681"</f>
        <v>002681</v>
      </c>
      <c r="B1063" t="s">
        <v>6006</v>
      </c>
      <c r="C1063">
        <v>0</v>
      </c>
      <c r="D1063">
        <v>-0.25</v>
      </c>
      <c r="E1063">
        <v>0.52</v>
      </c>
      <c r="F1063">
        <v>1581</v>
      </c>
      <c r="G1063" t="s">
        <v>6007</v>
      </c>
      <c r="H1063">
        <v>5800.89</v>
      </c>
      <c r="I1063">
        <v>14.67</v>
      </c>
      <c r="J1063" t="s">
        <v>120</v>
      </c>
      <c r="K1063" t="s">
        <v>6008</v>
      </c>
      <c r="L1063">
        <v>1.33</v>
      </c>
      <c r="M1063">
        <v>3.83</v>
      </c>
      <c r="N1063">
        <v>0.61</v>
      </c>
      <c r="O1063">
        <v>2.09</v>
      </c>
      <c r="P1063">
        <v>3.91</v>
      </c>
      <c r="Q1063">
        <v>-0.52</v>
      </c>
      <c r="R1063">
        <v>3.81</v>
      </c>
      <c r="S1063">
        <v>3.85</v>
      </c>
      <c r="T1063">
        <v>150660</v>
      </c>
      <c r="U1063">
        <v>3.84</v>
      </c>
      <c r="V1063">
        <v>3.83</v>
      </c>
      <c r="W1063" t="s">
        <v>120</v>
      </c>
      <c r="X1063" t="s">
        <v>205</v>
      </c>
      <c r="Y1063" t="s">
        <v>123</v>
      </c>
      <c r="Z1063">
        <v>2.61</v>
      </c>
      <c r="AA1063">
        <v>3.85</v>
      </c>
      <c r="AB1063">
        <v>85496</v>
      </c>
      <c r="AC1063">
        <v>65164</v>
      </c>
      <c r="AD1063">
        <v>1.31</v>
      </c>
      <c r="AE1063">
        <v>5227</v>
      </c>
      <c r="AF1063">
        <v>1387</v>
      </c>
      <c r="AG1063" t="s">
        <v>120</v>
      </c>
      <c r="AH1063">
        <v>0</v>
      </c>
      <c r="AI1063" t="s">
        <v>120</v>
      </c>
      <c r="AJ1063">
        <v>11.35</v>
      </c>
      <c r="AK1063" t="s">
        <v>6009</v>
      </c>
      <c r="AL1063">
        <v>1.91</v>
      </c>
      <c r="AM1063">
        <v>1709</v>
      </c>
      <c r="AN1063">
        <v>88</v>
      </c>
      <c r="AO1063">
        <v>8.0000000000000004E-4</v>
      </c>
      <c r="AP1063">
        <v>0</v>
      </c>
      <c r="AQ1063">
        <v>-0.26</v>
      </c>
      <c r="AR1063">
        <v>-3.03</v>
      </c>
      <c r="AS1063">
        <v>11.99</v>
      </c>
      <c r="AT1063">
        <v>-15.45</v>
      </c>
      <c r="AU1063">
        <v>-11.34</v>
      </c>
      <c r="AV1063">
        <v>17</v>
      </c>
      <c r="AW1063">
        <v>1.66</v>
      </c>
      <c r="AX1063">
        <v>49.77</v>
      </c>
      <c r="AY1063">
        <v>47.06</v>
      </c>
      <c r="AZ1063">
        <v>6.56</v>
      </c>
      <c r="BA1063">
        <v>0.16</v>
      </c>
      <c r="BB1063" t="s">
        <v>143</v>
      </c>
      <c r="BF1063">
        <v>0.53</v>
      </c>
      <c r="BG1063">
        <v>-0.52</v>
      </c>
      <c r="BH1063">
        <v>-2.0499999999999998</v>
      </c>
      <c r="BI1063">
        <v>0.52</v>
      </c>
      <c r="BJ1063">
        <v>20210831</v>
      </c>
      <c r="BK1063">
        <v>20120605</v>
      </c>
      <c r="BL1063">
        <v>18.25</v>
      </c>
      <c r="BM1063" t="s">
        <v>120</v>
      </c>
      <c r="BN1063" t="s">
        <v>120</v>
      </c>
      <c r="BO1063">
        <v>49.61</v>
      </c>
      <c r="BP1063">
        <v>3.83</v>
      </c>
      <c r="BQ1063">
        <v>21.37</v>
      </c>
      <c r="BR1063" t="s">
        <v>120</v>
      </c>
      <c r="BS1063">
        <v>56.92</v>
      </c>
      <c r="BT1063">
        <v>24.74</v>
      </c>
      <c r="BU1063">
        <v>9.76</v>
      </c>
      <c r="BV1063">
        <v>2.85</v>
      </c>
      <c r="BW1063">
        <v>21.52</v>
      </c>
      <c r="BX1063">
        <v>7.26</v>
      </c>
      <c r="BY1063">
        <v>7.35</v>
      </c>
      <c r="BZ1063">
        <v>7.82</v>
      </c>
      <c r="CA1063" t="s">
        <v>120</v>
      </c>
      <c r="CB1063">
        <v>18.059999999999999</v>
      </c>
      <c r="CC1063">
        <v>17.36</v>
      </c>
      <c r="CD1063">
        <v>15.77</v>
      </c>
      <c r="CE1063">
        <v>-1.74</v>
      </c>
      <c r="CF1063">
        <v>0.03</v>
      </c>
      <c r="CG1063">
        <v>-1.67</v>
      </c>
      <c r="CH1063">
        <v>-1.49</v>
      </c>
      <c r="CI1063">
        <v>-1.2</v>
      </c>
      <c r="CJ1063">
        <v>0</v>
      </c>
      <c r="CK1063">
        <v>-1.39</v>
      </c>
      <c r="CL1063">
        <v>-16.28</v>
      </c>
      <c r="CM1063">
        <v>-0.03</v>
      </c>
      <c r="CN1063">
        <v>-4.6500000000000004</v>
      </c>
      <c r="CO1063">
        <v>63239</v>
      </c>
      <c r="CP1063">
        <v>14360</v>
      </c>
      <c r="CQ1063" t="s">
        <v>1493</v>
      </c>
      <c r="CR1063">
        <v>-115.02</v>
      </c>
      <c r="CS1063">
        <v>16.239999999999998</v>
      </c>
      <c r="CT1063">
        <v>3.27</v>
      </c>
      <c r="CU1063">
        <v>-2309.1</v>
      </c>
      <c r="CV1063">
        <v>4.03</v>
      </c>
      <c r="CW1063">
        <v>0</v>
      </c>
      <c r="CX1063" t="s">
        <v>6010</v>
      </c>
      <c r="CY1063">
        <v>1.17</v>
      </c>
      <c r="CZ1063">
        <v>0</v>
      </c>
      <c r="DA1063">
        <v>0.99</v>
      </c>
      <c r="DB1063">
        <v>-0.89</v>
      </c>
      <c r="DC1063">
        <v>0</v>
      </c>
      <c r="DD1063">
        <v>43.08</v>
      </c>
      <c r="DE1063" t="s">
        <v>6011</v>
      </c>
      <c r="DF1063">
        <v>9.18</v>
      </c>
      <c r="DG1063">
        <v>-10</v>
      </c>
      <c r="DH1063">
        <v>-6.9</v>
      </c>
      <c r="DI1063">
        <v>1.52</v>
      </c>
      <c r="DJ1063">
        <v>8833</v>
      </c>
      <c r="DK1063">
        <v>2681</v>
      </c>
      <c r="DL1063" t="s">
        <v>120</v>
      </c>
      <c r="DM1063" t="s">
        <v>120</v>
      </c>
      <c r="DN1063" t="s">
        <v>120</v>
      </c>
    </row>
    <row r="1064" spans="1:118">
      <c r="A1064" t="str">
        <f>"002682"</f>
        <v>002682</v>
      </c>
      <c r="B1064" t="s">
        <v>6012</v>
      </c>
      <c r="C1064">
        <v>-2.86</v>
      </c>
      <c r="D1064">
        <v>0</v>
      </c>
      <c r="E1064">
        <v>0</v>
      </c>
      <c r="F1064">
        <v>2669</v>
      </c>
      <c r="G1064" t="s">
        <v>1747</v>
      </c>
      <c r="H1064">
        <v>6465.51</v>
      </c>
      <c r="I1064">
        <v>11.73</v>
      </c>
      <c r="J1064" t="s">
        <v>120</v>
      </c>
      <c r="K1064" t="s">
        <v>6013</v>
      </c>
      <c r="L1064">
        <v>2.79</v>
      </c>
      <c r="M1064">
        <v>4.07</v>
      </c>
      <c r="N1064">
        <v>1.21</v>
      </c>
      <c r="O1064">
        <v>2.15</v>
      </c>
      <c r="P1064">
        <v>4.28</v>
      </c>
      <c r="Q1064">
        <v>-2.86</v>
      </c>
      <c r="R1064">
        <v>4.07</v>
      </c>
      <c r="S1064">
        <v>4.1900000000000004</v>
      </c>
      <c r="T1064">
        <v>154747</v>
      </c>
      <c r="U1064">
        <v>4.08</v>
      </c>
      <c r="V1064">
        <v>4.1900000000000004</v>
      </c>
      <c r="W1064">
        <v>45.71</v>
      </c>
      <c r="X1064" t="s">
        <v>4586</v>
      </c>
      <c r="Y1064" t="s">
        <v>937</v>
      </c>
      <c r="Z1064">
        <v>5.01</v>
      </c>
      <c r="AA1064">
        <v>4.18</v>
      </c>
      <c r="AB1064">
        <v>86726</v>
      </c>
      <c r="AC1064">
        <v>68021</v>
      </c>
      <c r="AD1064">
        <v>1.27</v>
      </c>
      <c r="AE1064">
        <v>729</v>
      </c>
      <c r="AF1064">
        <v>1210</v>
      </c>
      <c r="AG1064" t="s">
        <v>120</v>
      </c>
      <c r="AH1064">
        <v>0.01</v>
      </c>
      <c r="AI1064" t="s">
        <v>120</v>
      </c>
      <c r="AJ1064">
        <v>5.55</v>
      </c>
      <c r="AK1064" t="s">
        <v>6014</v>
      </c>
      <c r="AL1064">
        <v>-0.95</v>
      </c>
      <c r="AM1064">
        <v>2221</v>
      </c>
      <c r="AN1064">
        <v>70</v>
      </c>
      <c r="AO1064">
        <v>1.2999999999999999E-3</v>
      </c>
      <c r="AP1064">
        <v>-1</v>
      </c>
      <c r="AQ1064">
        <v>4.75</v>
      </c>
      <c r="AR1064">
        <v>0.5</v>
      </c>
      <c r="AS1064">
        <v>14.01</v>
      </c>
      <c r="AT1064">
        <v>14.97</v>
      </c>
      <c r="AU1064">
        <v>3.3</v>
      </c>
      <c r="AV1064">
        <v>5</v>
      </c>
      <c r="AW1064">
        <v>3.95</v>
      </c>
      <c r="AX1064">
        <v>69.61</v>
      </c>
      <c r="AY1064" t="s">
        <v>120</v>
      </c>
      <c r="AZ1064" t="s">
        <v>120</v>
      </c>
      <c r="BA1064">
        <v>0.35</v>
      </c>
      <c r="BB1064" t="s">
        <v>168</v>
      </c>
      <c r="BF1064">
        <v>-0.28000000000000003</v>
      </c>
      <c r="BG1064">
        <v>-2.86</v>
      </c>
      <c r="BH1064">
        <v>-4.91</v>
      </c>
      <c r="BI1064">
        <v>0</v>
      </c>
      <c r="BJ1064">
        <v>20210914</v>
      </c>
      <c r="BK1064">
        <v>20120612</v>
      </c>
      <c r="BL1064">
        <v>5.62</v>
      </c>
      <c r="BM1064" t="s">
        <v>120</v>
      </c>
      <c r="BN1064" t="s">
        <v>120</v>
      </c>
      <c r="BO1064">
        <v>85.52</v>
      </c>
      <c r="BP1064">
        <v>4.07</v>
      </c>
      <c r="BQ1064">
        <v>19.54</v>
      </c>
      <c r="BR1064">
        <v>4.4000000000000004</v>
      </c>
      <c r="BS1064">
        <v>72</v>
      </c>
      <c r="BT1064">
        <v>47.28</v>
      </c>
      <c r="BU1064">
        <v>17.75</v>
      </c>
      <c r="BV1064">
        <v>7.5</v>
      </c>
      <c r="BW1064">
        <v>42.32</v>
      </c>
      <c r="BX1064">
        <v>7.31</v>
      </c>
      <c r="BY1064">
        <v>5.56</v>
      </c>
      <c r="BZ1064">
        <v>9.7200000000000006</v>
      </c>
      <c r="CA1064" t="s">
        <v>120</v>
      </c>
      <c r="CB1064">
        <v>13.46</v>
      </c>
      <c r="CC1064">
        <v>22.86</v>
      </c>
      <c r="CD1064">
        <v>20.96</v>
      </c>
      <c r="CE1064">
        <v>0.39</v>
      </c>
      <c r="CF1064">
        <v>0</v>
      </c>
      <c r="CG1064">
        <v>0.4</v>
      </c>
      <c r="CH1064">
        <v>0.28000000000000003</v>
      </c>
      <c r="CI1064">
        <v>0.25</v>
      </c>
      <c r="CJ1064">
        <v>-0.12</v>
      </c>
      <c r="CK1064">
        <v>0.24</v>
      </c>
      <c r="CL1064">
        <v>-0.35</v>
      </c>
      <c r="CM1064">
        <v>3.1</v>
      </c>
      <c r="CN1064">
        <v>-1</v>
      </c>
      <c r="CO1064">
        <v>22636</v>
      </c>
      <c r="CP1064">
        <v>17294</v>
      </c>
      <c r="CQ1064" t="s">
        <v>5540</v>
      </c>
      <c r="CR1064">
        <v>136.38999999999999</v>
      </c>
      <c r="CS1064">
        <v>74.150000000000006</v>
      </c>
      <c r="CT1064">
        <v>1.17</v>
      </c>
      <c r="CU1064">
        <v>7.37</v>
      </c>
      <c r="CV1064">
        <v>1</v>
      </c>
      <c r="CW1064">
        <v>0</v>
      </c>
      <c r="CX1064" t="s">
        <v>145</v>
      </c>
      <c r="CY1064">
        <v>3.47</v>
      </c>
      <c r="CZ1064">
        <v>0</v>
      </c>
      <c r="DA1064">
        <v>2.39</v>
      </c>
      <c r="DB1064">
        <v>-0.06</v>
      </c>
      <c r="DC1064">
        <v>0.55000000000000004</v>
      </c>
      <c r="DD1064">
        <v>22.85</v>
      </c>
      <c r="DE1064" t="s">
        <v>3329</v>
      </c>
      <c r="DF1064">
        <v>8.31</v>
      </c>
      <c r="DG1064">
        <v>1.69</v>
      </c>
      <c r="DH1064">
        <v>1.1000000000000001</v>
      </c>
      <c r="DI1064">
        <v>0.13</v>
      </c>
      <c r="DJ1064">
        <v>4917</v>
      </c>
      <c r="DK1064">
        <v>2682</v>
      </c>
      <c r="DL1064" t="s">
        <v>120</v>
      </c>
      <c r="DM1064" t="s">
        <v>120</v>
      </c>
      <c r="DN1064" t="s">
        <v>120</v>
      </c>
    </row>
    <row r="1065" spans="1:118">
      <c r="A1065" t="str">
        <f>"002683"</f>
        <v>002683</v>
      </c>
      <c r="B1065" t="s">
        <v>6015</v>
      </c>
      <c r="C1065">
        <v>-3.71</v>
      </c>
      <c r="D1065">
        <v>-0.06</v>
      </c>
      <c r="E1065">
        <v>0.14000000000000001</v>
      </c>
      <c r="F1065">
        <v>2453</v>
      </c>
      <c r="G1065" t="s">
        <v>6016</v>
      </c>
      <c r="H1065">
        <v>27542.46</v>
      </c>
      <c r="I1065">
        <v>59.77</v>
      </c>
      <c r="J1065" t="s">
        <v>120</v>
      </c>
      <c r="K1065" t="s">
        <v>6017</v>
      </c>
      <c r="L1065">
        <v>1.52</v>
      </c>
      <c r="M1065">
        <v>27.5</v>
      </c>
      <c r="N1065">
        <v>1.28</v>
      </c>
      <c r="O1065">
        <v>1.47</v>
      </c>
      <c r="P1065">
        <v>28.98</v>
      </c>
      <c r="Q1065">
        <v>-3.85</v>
      </c>
      <c r="R1065">
        <v>27.46</v>
      </c>
      <c r="S1065">
        <v>28.6</v>
      </c>
      <c r="T1065">
        <v>98044</v>
      </c>
      <c r="U1065">
        <v>27.51</v>
      </c>
      <c r="V1065">
        <v>28.56</v>
      </c>
      <c r="W1065">
        <v>48.87</v>
      </c>
      <c r="X1065" t="s">
        <v>868</v>
      </c>
      <c r="Y1065" t="s">
        <v>547</v>
      </c>
      <c r="Z1065">
        <v>5.32</v>
      </c>
      <c r="AA1065">
        <v>28.09</v>
      </c>
      <c r="AB1065">
        <v>55731</v>
      </c>
      <c r="AC1065">
        <v>42313</v>
      </c>
      <c r="AD1065">
        <v>1.32</v>
      </c>
      <c r="AE1065">
        <v>879</v>
      </c>
      <c r="AF1065">
        <v>21</v>
      </c>
      <c r="AG1065" t="s">
        <v>120</v>
      </c>
      <c r="AH1065">
        <v>0</v>
      </c>
      <c r="AI1065" t="s">
        <v>120</v>
      </c>
      <c r="AJ1065">
        <v>6.45</v>
      </c>
      <c r="AK1065" t="s">
        <v>6018</v>
      </c>
      <c r="AL1065">
        <v>-1.8</v>
      </c>
      <c r="AM1065">
        <v>3296</v>
      </c>
      <c r="AN1065">
        <v>30</v>
      </c>
      <c r="AO1065">
        <v>5.0000000000000001E-4</v>
      </c>
      <c r="AP1065">
        <v>-3</v>
      </c>
      <c r="AQ1065">
        <v>-0.87</v>
      </c>
      <c r="AR1065">
        <v>-5.89</v>
      </c>
      <c r="AS1065">
        <v>-12.84</v>
      </c>
      <c r="AT1065">
        <v>-2.2400000000000002</v>
      </c>
      <c r="AU1065">
        <v>-23.04</v>
      </c>
      <c r="AV1065">
        <v>4</v>
      </c>
      <c r="AW1065">
        <v>2.25</v>
      </c>
      <c r="AX1065">
        <v>58.26</v>
      </c>
      <c r="AY1065">
        <v>48.32</v>
      </c>
      <c r="AZ1065">
        <v>53.01</v>
      </c>
      <c r="BA1065">
        <v>0.8</v>
      </c>
      <c r="BB1065" t="s">
        <v>143</v>
      </c>
      <c r="BF1065">
        <v>-1.64</v>
      </c>
      <c r="BG1065">
        <v>-3.85</v>
      </c>
      <c r="BH1065">
        <v>-5.1100000000000003</v>
      </c>
      <c r="BI1065">
        <v>0.15</v>
      </c>
      <c r="BJ1065">
        <v>20210909</v>
      </c>
      <c r="BK1065">
        <v>20120612</v>
      </c>
      <c r="BL1065">
        <v>7.49</v>
      </c>
      <c r="BM1065" t="s">
        <v>120</v>
      </c>
      <c r="BN1065" t="s">
        <v>120</v>
      </c>
      <c r="BO1065">
        <v>125.28</v>
      </c>
      <c r="BP1065">
        <v>27.5</v>
      </c>
      <c r="BQ1065">
        <v>53.47</v>
      </c>
      <c r="BR1065">
        <v>10.87</v>
      </c>
      <c r="BS1065">
        <v>48.63</v>
      </c>
      <c r="BT1065">
        <v>74.099999999999994</v>
      </c>
      <c r="BU1065">
        <v>16.73</v>
      </c>
      <c r="BV1065">
        <v>3.57</v>
      </c>
      <c r="BW1065">
        <v>39.869999999999997</v>
      </c>
      <c r="BX1065">
        <v>30.67</v>
      </c>
      <c r="BY1065">
        <v>2.73</v>
      </c>
      <c r="BZ1065">
        <v>20.48</v>
      </c>
      <c r="CA1065">
        <v>0.02</v>
      </c>
      <c r="CB1065">
        <v>32.119999999999997</v>
      </c>
      <c r="CC1065">
        <v>35.520000000000003</v>
      </c>
      <c r="CD1065">
        <v>28.49</v>
      </c>
      <c r="CE1065">
        <v>3.23</v>
      </c>
      <c r="CF1065">
        <v>0.18</v>
      </c>
      <c r="CG1065">
        <v>3.23</v>
      </c>
      <c r="CH1065">
        <v>2.89</v>
      </c>
      <c r="CI1065">
        <v>2.11</v>
      </c>
      <c r="CJ1065">
        <v>-1.06</v>
      </c>
      <c r="CK1065">
        <v>2.04</v>
      </c>
      <c r="CL1065">
        <v>11.99</v>
      </c>
      <c r="CM1065">
        <v>3.04</v>
      </c>
      <c r="CN1065">
        <v>-0.08</v>
      </c>
      <c r="CO1065">
        <v>45766</v>
      </c>
      <c r="CP1065">
        <v>9539</v>
      </c>
      <c r="CQ1065" t="s">
        <v>6019</v>
      </c>
      <c r="CR1065">
        <v>22.81</v>
      </c>
      <c r="CS1065">
        <v>34.49</v>
      </c>
      <c r="CT1065">
        <v>3.85</v>
      </c>
      <c r="CU1065">
        <v>67.7</v>
      </c>
      <c r="CV1065">
        <v>5.8</v>
      </c>
      <c r="CW1065">
        <v>0.77</v>
      </c>
      <c r="CX1065" t="s">
        <v>6020</v>
      </c>
      <c r="CY1065">
        <v>7.14</v>
      </c>
      <c r="CZ1065">
        <v>0</v>
      </c>
      <c r="DA1065">
        <v>4.29</v>
      </c>
      <c r="DB1065">
        <v>1.6</v>
      </c>
      <c r="DC1065">
        <v>0.41</v>
      </c>
      <c r="DD1065">
        <v>42.69</v>
      </c>
      <c r="DE1065" t="s">
        <v>4916</v>
      </c>
      <c r="DF1065">
        <v>19.79</v>
      </c>
      <c r="DG1065">
        <v>9.1</v>
      </c>
      <c r="DH1065">
        <v>5.94</v>
      </c>
      <c r="DI1065">
        <v>1.07</v>
      </c>
      <c r="DJ1065">
        <v>4836</v>
      </c>
      <c r="DK1065">
        <v>2683</v>
      </c>
      <c r="DL1065" t="s">
        <v>120</v>
      </c>
      <c r="DM1065" t="s">
        <v>120</v>
      </c>
      <c r="DN1065" t="s">
        <v>120</v>
      </c>
    </row>
    <row r="1066" spans="1:118">
      <c r="A1066" t="str">
        <f>"002685"</f>
        <v>002685</v>
      </c>
      <c r="B1066" t="s">
        <v>6021</v>
      </c>
      <c r="C1066">
        <v>-4.21</v>
      </c>
      <c r="D1066">
        <v>0.63</v>
      </c>
      <c r="E1066">
        <v>-0.4</v>
      </c>
      <c r="F1066">
        <v>2457</v>
      </c>
      <c r="G1066" t="s">
        <v>6022</v>
      </c>
      <c r="H1066">
        <v>14218.32</v>
      </c>
      <c r="I1066">
        <v>64.510000000000005</v>
      </c>
      <c r="J1066" t="s">
        <v>120</v>
      </c>
      <c r="K1066" t="s">
        <v>5623</v>
      </c>
      <c r="L1066">
        <v>3.6</v>
      </c>
      <c r="M1066">
        <v>4.78</v>
      </c>
      <c r="N1066">
        <v>0.91</v>
      </c>
      <c r="O1066">
        <v>0</v>
      </c>
      <c r="P1066">
        <v>4.99</v>
      </c>
      <c r="Q1066">
        <v>-5.01</v>
      </c>
      <c r="R1066">
        <v>4.74</v>
      </c>
      <c r="S1066">
        <v>4.97</v>
      </c>
      <c r="T1066">
        <v>293205</v>
      </c>
      <c r="U1066">
        <v>4.79</v>
      </c>
      <c r="V1066">
        <v>4.99</v>
      </c>
      <c r="W1066">
        <v>51.47</v>
      </c>
      <c r="X1066" t="s">
        <v>593</v>
      </c>
      <c r="Y1066" t="s">
        <v>319</v>
      </c>
      <c r="Z1066">
        <v>5.01</v>
      </c>
      <c r="AA1066">
        <v>4.8499999999999996</v>
      </c>
      <c r="AB1066">
        <v>185825</v>
      </c>
      <c r="AC1066">
        <v>107380</v>
      </c>
      <c r="AD1066">
        <v>1.73</v>
      </c>
      <c r="AE1066">
        <v>64</v>
      </c>
      <c r="AF1066">
        <v>32</v>
      </c>
      <c r="AG1066" t="s">
        <v>120</v>
      </c>
      <c r="AH1066">
        <v>0.02</v>
      </c>
      <c r="AI1066" t="s">
        <v>120</v>
      </c>
      <c r="AJ1066">
        <v>8.14</v>
      </c>
      <c r="AK1066" t="s">
        <v>6023</v>
      </c>
      <c r="AL1066">
        <v>-2.29</v>
      </c>
      <c r="AM1066">
        <v>2896</v>
      </c>
      <c r="AN1066">
        <v>101</v>
      </c>
      <c r="AO1066">
        <v>1.1999999999999999E-3</v>
      </c>
      <c r="AP1066">
        <v>-1</v>
      </c>
      <c r="AQ1066">
        <v>2.67</v>
      </c>
      <c r="AR1066">
        <v>0.41</v>
      </c>
      <c r="AS1066">
        <v>6.69</v>
      </c>
      <c r="AT1066">
        <v>0.42</v>
      </c>
      <c r="AU1066">
        <v>17.739999999999998</v>
      </c>
      <c r="AV1066">
        <v>3</v>
      </c>
      <c r="AW1066">
        <v>5.41</v>
      </c>
      <c r="AX1066">
        <v>53.78</v>
      </c>
      <c r="AY1066" t="s">
        <v>120</v>
      </c>
      <c r="AZ1066" t="s">
        <v>120</v>
      </c>
      <c r="BA1066">
        <v>0.43</v>
      </c>
      <c r="BB1066" t="s">
        <v>168</v>
      </c>
      <c r="BF1066">
        <v>-2.82</v>
      </c>
      <c r="BG1066">
        <v>-3.82</v>
      </c>
      <c r="BH1066">
        <v>-4.21</v>
      </c>
      <c r="BI1066">
        <v>0.84</v>
      </c>
      <c r="BJ1066">
        <v>20210910</v>
      </c>
      <c r="BK1066">
        <v>20120612</v>
      </c>
      <c r="BL1066">
        <v>10.08</v>
      </c>
      <c r="BM1066" t="s">
        <v>120</v>
      </c>
      <c r="BN1066" t="s">
        <v>120</v>
      </c>
      <c r="BO1066">
        <v>66.31</v>
      </c>
      <c r="BP1066">
        <v>4.78</v>
      </c>
      <c r="BQ1066">
        <v>38.700000000000003</v>
      </c>
      <c r="BR1066">
        <v>0.9</v>
      </c>
      <c r="BS1066">
        <v>40.29</v>
      </c>
      <c r="BT1066">
        <v>43.37</v>
      </c>
      <c r="BU1066">
        <v>5.41</v>
      </c>
      <c r="BV1066">
        <v>1.29</v>
      </c>
      <c r="BW1066">
        <v>25.86</v>
      </c>
      <c r="BX1066">
        <v>2.5499999999999998</v>
      </c>
      <c r="BY1066">
        <v>13.26</v>
      </c>
      <c r="BZ1066">
        <v>16.649999999999999</v>
      </c>
      <c r="CA1066">
        <v>0.01</v>
      </c>
      <c r="CB1066">
        <v>30.24</v>
      </c>
      <c r="CC1066">
        <v>41.35</v>
      </c>
      <c r="CD1066">
        <v>39.33</v>
      </c>
      <c r="CE1066">
        <v>0.71</v>
      </c>
      <c r="CF1066">
        <v>-0.01</v>
      </c>
      <c r="CG1066">
        <v>0.71</v>
      </c>
      <c r="CH1066">
        <v>0.56000000000000005</v>
      </c>
      <c r="CI1066">
        <v>0.47</v>
      </c>
      <c r="CJ1066">
        <v>-0.21</v>
      </c>
      <c r="CK1066">
        <v>0.44</v>
      </c>
      <c r="CL1066">
        <v>-2.29</v>
      </c>
      <c r="CM1066">
        <v>-0.51</v>
      </c>
      <c r="CN1066">
        <v>-0.09</v>
      </c>
      <c r="CO1066">
        <v>39478</v>
      </c>
      <c r="CP1066">
        <v>13728</v>
      </c>
      <c r="CQ1066" t="s">
        <v>6024</v>
      </c>
      <c r="CR1066">
        <v>-19.59</v>
      </c>
      <c r="CS1066">
        <v>-15.17</v>
      </c>
      <c r="CT1066">
        <v>1.24</v>
      </c>
      <c r="CU1066">
        <v>-94.85</v>
      </c>
      <c r="CV1066">
        <v>1.1599999999999999</v>
      </c>
      <c r="CW1066">
        <v>0</v>
      </c>
      <c r="CX1066" t="s">
        <v>2068</v>
      </c>
      <c r="CY1066">
        <v>3.84</v>
      </c>
      <c r="CZ1066">
        <v>0</v>
      </c>
      <c r="DA1066">
        <v>3</v>
      </c>
      <c r="DB1066">
        <v>-0.23</v>
      </c>
      <c r="DC1066">
        <v>-0.05</v>
      </c>
      <c r="DD1066">
        <v>58.36</v>
      </c>
      <c r="DE1066" t="s">
        <v>5965</v>
      </c>
      <c r="DF1066">
        <v>4.88</v>
      </c>
      <c r="DG1066">
        <v>1.72</v>
      </c>
      <c r="DH1066">
        <v>1.1299999999999999</v>
      </c>
      <c r="DI1066">
        <v>0.24</v>
      </c>
      <c r="DJ1066">
        <v>930</v>
      </c>
      <c r="DK1066">
        <v>2685</v>
      </c>
      <c r="DL1066" t="s">
        <v>120</v>
      </c>
      <c r="DM1066" t="s">
        <v>120</v>
      </c>
      <c r="DN1066" t="s">
        <v>120</v>
      </c>
    </row>
    <row r="1067" spans="1:118">
      <c r="A1067" t="str">
        <f>"002686"</f>
        <v>002686</v>
      </c>
      <c r="B1067" t="s">
        <v>6025</v>
      </c>
      <c r="C1067">
        <v>-1.06</v>
      </c>
      <c r="D1067">
        <v>0</v>
      </c>
      <c r="E1067">
        <v>0.35</v>
      </c>
      <c r="F1067">
        <v>474</v>
      </c>
      <c r="G1067" t="s">
        <v>6026</v>
      </c>
      <c r="H1067">
        <v>2025.01</v>
      </c>
      <c r="I1067">
        <v>2.78</v>
      </c>
      <c r="J1067" t="s">
        <v>120</v>
      </c>
      <c r="K1067" t="s">
        <v>6027</v>
      </c>
      <c r="L1067">
        <v>0.91</v>
      </c>
      <c r="M1067">
        <v>5.6</v>
      </c>
      <c r="N1067">
        <v>0.99</v>
      </c>
      <c r="O1067">
        <v>1.59</v>
      </c>
      <c r="P1067">
        <v>5.75</v>
      </c>
      <c r="Q1067">
        <v>-1.41</v>
      </c>
      <c r="R1067">
        <v>5.58</v>
      </c>
      <c r="S1067">
        <v>5.68</v>
      </c>
      <c r="T1067">
        <v>35833</v>
      </c>
      <c r="U1067">
        <v>5.61</v>
      </c>
      <c r="V1067">
        <v>5.66</v>
      </c>
      <c r="W1067">
        <v>52.72</v>
      </c>
      <c r="X1067" t="s">
        <v>675</v>
      </c>
      <c r="Y1067" t="s">
        <v>585</v>
      </c>
      <c r="Z1067">
        <v>3</v>
      </c>
      <c r="AA1067">
        <v>5.65</v>
      </c>
      <c r="AB1067">
        <v>22707</v>
      </c>
      <c r="AC1067">
        <v>13126</v>
      </c>
      <c r="AD1067">
        <v>1.73</v>
      </c>
      <c r="AE1067">
        <v>181</v>
      </c>
      <c r="AF1067">
        <v>206</v>
      </c>
      <c r="AG1067" t="s">
        <v>120</v>
      </c>
      <c r="AH1067">
        <v>0</v>
      </c>
      <c r="AI1067" t="s">
        <v>120</v>
      </c>
      <c r="AJ1067">
        <v>3.92</v>
      </c>
      <c r="AK1067" t="s">
        <v>6028</v>
      </c>
      <c r="AL1067">
        <v>0.85</v>
      </c>
      <c r="AM1067">
        <v>1092</v>
      </c>
      <c r="AN1067">
        <v>33</v>
      </c>
      <c r="AO1067">
        <v>8.0000000000000004E-4</v>
      </c>
      <c r="AP1067">
        <v>-1</v>
      </c>
      <c r="AQ1067">
        <v>0.71</v>
      </c>
      <c r="AR1067">
        <v>-2.44</v>
      </c>
      <c r="AS1067">
        <v>-11.11</v>
      </c>
      <c r="AT1067">
        <v>0.72</v>
      </c>
      <c r="AU1067">
        <v>-23.81</v>
      </c>
      <c r="AV1067">
        <v>2</v>
      </c>
      <c r="AW1067">
        <v>1.42</v>
      </c>
      <c r="AX1067">
        <v>44.5</v>
      </c>
      <c r="AY1067">
        <v>75.290000000000006</v>
      </c>
      <c r="AZ1067">
        <v>127.66</v>
      </c>
      <c r="BA1067">
        <v>0.39</v>
      </c>
      <c r="BB1067" t="s">
        <v>143</v>
      </c>
      <c r="BF1067">
        <v>-0.15</v>
      </c>
      <c r="BG1067">
        <v>-1.41</v>
      </c>
      <c r="BH1067">
        <v>-2.61</v>
      </c>
      <c r="BI1067">
        <v>0.36</v>
      </c>
      <c r="BJ1067">
        <v>20210903</v>
      </c>
      <c r="BK1067">
        <v>20120703</v>
      </c>
      <c r="BL1067">
        <v>5.66</v>
      </c>
      <c r="BM1067" t="s">
        <v>120</v>
      </c>
      <c r="BN1067" t="s">
        <v>120</v>
      </c>
      <c r="BO1067">
        <v>31.03</v>
      </c>
      <c r="BP1067">
        <v>5.6</v>
      </c>
      <c r="BQ1067">
        <v>15.63</v>
      </c>
      <c r="BR1067">
        <v>2.25</v>
      </c>
      <c r="BS1067">
        <v>42.42</v>
      </c>
      <c r="BT1067">
        <v>15.49</v>
      </c>
      <c r="BU1067">
        <v>6.42</v>
      </c>
      <c r="BV1067">
        <v>3.66</v>
      </c>
      <c r="BW1067">
        <v>11.33</v>
      </c>
      <c r="BX1067">
        <v>2.82</v>
      </c>
      <c r="BY1067">
        <v>5.09</v>
      </c>
      <c r="BZ1067">
        <v>4.66</v>
      </c>
      <c r="CA1067">
        <v>0</v>
      </c>
      <c r="CB1067">
        <v>8.31</v>
      </c>
      <c r="CC1067">
        <v>9.06</v>
      </c>
      <c r="CD1067">
        <v>7.14</v>
      </c>
      <c r="CE1067">
        <v>0.33</v>
      </c>
      <c r="CF1067">
        <v>0.02</v>
      </c>
      <c r="CG1067">
        <v>0.35</v>
      </c>
      <c r="CH1067">
        <v>0.28999999999999998</v>
      </c>
      <c r="CI1067">
        <v>0.3</v>
      </c>
      <c r="CJ1067">
        <v>-0.06</v>
      </c>
      <c r="CK1067">
        <v>0.26</v>
      </c>
      <c r="CL1067">
        <v>1.18</v>
      </c>
      <c r="CM1067">
        <v>0.36</v>
      </c>
      <c r="CN1067">
        <v>-2.89</v>
      </c>
      <c r="CO1067">
        <v>13891</v>
      </c>
      <c r="CP1067">
        <v>18140</v>
      </c>
      <c r="CQ1067" t="s">
        <v>6029</v>
      </c>
      <c r="CR1067">
        <v>138.47</v>
      </c>
      <c r="CS1067">
        <v>59.84</v>
      </c>
      <c r="CT1067">
        <v>2.0299999999999998</v>
      </c>
      <c r="CU1067">
        <v>88.15</v>
      </c>
      <c r="CV1067">
        <v>3.5</v>
      </c>
      <c r="CW1067">
        <v>0</v>
      </c>
      <c r="CX1067" t="s">
        <v>343</v>
      </c>
      <c r="CY1067">
        <v>2.76</v>
      </c>
      <c r="CZ1067">
        <v>0</v>
      </c>
      <c r="DA1067">
        <v>1.47</v>
      </c>
      <c r="DB1067">
        <v>0.21</v>
      </c>
      <c r="DC1067">
        <v>0.06</v>
      </c>
      <c r="DD1067">
        <v>50.35</v>
      </c>
      <c r="DE1067" t="s">
        <v>1820</v>
      </c>
      <c r="DF1067">
        <v>21.23</v>
      </c>
      <c r="DG1067">
        <v>3.69</v>
      </c>
      <c r="DH1067">
        <v>3.32</v>
      </c>
      <c r="DI1067">
        <v>0.43</v>
      </c>
      <c r="DJ1067">
        <v>2440</v>
      </c>
      <c r="DK1067">
        <v>2686</v>
      </c>
      <c r="DL1067" t="s">
        <v>120</v>
      </c>
      <c r="DM1067" t="s">
        <v>120</v>
      </c>
      <c r="DN1067" t="s">
        <v>120</v>
      </c>
    </row>
    <row r="1068" spans="1:118">
      <c r="A1068" t="str">
        <f>"002687"</f>
        <v>002687</v>
      </c>
      <c r="B1068" t="s">
        <v>6030</v>
      </c>
      <c r="C1068">
        <v>-6.42</v>
      </c>
      <c r="D1068">
        <v>-0.26</v>
      </c>
      <c r="E1068">
        <v>0.13</v>
      </c>
      <c r="F1068">
        <v>673</v>
      </c>
      <c r="G1068" t="s">
        <v>6031</v>
      </c>
      <c r="H1068">
        <v>18221.080000000002</v>
      </c>
      <c r="I1068">
        <v>11.78</v>
      </c>
      <c r="J1068" t="s">
        <v>120</v>
      </c>
      <c r="K1068" t="s">
        <v>6032</v>
      </c>
      <c r="L1068">
        <v>8.84</v>
      </c>
      <c r="M1068">
        <v>7.29</v>
      </c>
      <c r="N1068">
        <v>2.31</v>
      </c>
      <c r="O1068">
        <v>0.39</v>
      </c>
      <c r="P1068">
        <v>7.82</v>
      </c>
      <c r="Q1068">
        <v>-7.83</v>
      </c>
      <c r="R1068">
        <v>7.18</v>
      </c>
      <c r="S1068">
        <v>7.8</v>
      </c>
      <c r="T1068">
        <v>246130</v>
      </c>
      <c r="U1068">
        <v>7.3</v>
      </c>
      <c r="V1068">
        <v>7.79</v>
      </c>
      <c r="W1068">
        <v>24.52</v>
      </c>
      <c r="X1068" t="s">
        <v>2806</v>
      </c>
      <c r="Y1068" t="s">
        <v>585</v>
      </c>
      <c r="Z1068">
        <v>8.2200000000000006</v>
      </c>
      <c r="AA1068">
        <v>7.4</v>
      </c>
      <c r="AB1068">
        <v>132698</v>
      </c>
      <c r="AC1068">
        <v>113432</v>
      </c>
      <c r="AD1068">
        <v>1.17</v>
      </c>
      <c r="AE1068">
        <v>137</v>
      </c>
      <c r="AF1068">
        <v>71</v>
      </c>
      <c r="AG1068" t="s">
        <v>120</v>
      </c>
      <c r="AH1068">
        <v>0.01</v>
      </c>
      <c r="AI1068" t="s">
        <v>120</v>
      </c>
      <c r="AJ1068">
        <v>2.78</v>
      </c>
      <c r="AK1068" t="s">
        <v>4423</v>
      </c>
      <c r="AL1068">
        <v>-4.5</v>
      </c>
      <c r="AM1068">
        <v>3755</v>
      </c>
      <c r="AN1068">
        <v>66</v>
      </c>
      <c r="AO1068">
        <v>2.3999999999999998E-3</v>
      </c>
      <c r="AP1068">
        <v>-3</v>
      </c>
      <c r="AQ1068">
        <v>-2.0099999999999998</v>
      </c>
      <c r="AR1068">
        <v>-9.44</v>
      </c>
      <c r="AS1068">
        <v>-36.61</v>
      </c>
      <c r="AT1068">
        <v>29.25</v>
      </c>
      <c r="AU1068">
        <v>16.829999999999998</v>
      </c>
      <c r="AV1068">
        <v>2</v>
      </c>
      <c r="AW1068">
        <v>12.22</v>
      </c>
      <c r="AX1068">
        <v>57.56</v>
      </c>
      <c r="AY1068">
        <v>17.190000000000001</v>
      </c>
      <c r="AZ1068">
        <v>18.95</v>
      </c>
      <c r="BA1068">
        <v>0.33</v>
      </c>
      <c r="BB1068" t="s">
        <v>134</v>
      </c>
      <c r="BF1068">
        <v>-4.97</v>
      </c>
      <c r="BG1068">
        <v>-6.54</v>
      </c>
      <c r="BH1068">
        <v>-6.78</v>
      </c>
      <c r="BI1068">
        <v>1.53</v>
      </c>
      <c r="BJ1068">
        <v>20210831</v>
      </c>
      <c r="BK1068">
        <v>20120713</v>
      </c>
      <c r="BL1068">
        <v>3.5</v>
      </c>
      <c r="BM1068" t="s">
        <v>120</v>
      </c>
      <c r="BN1068" t="s">
        <v>120</v>
      </c>
      <c r="BO1068">
        <v>15.53</v>
      </c>
      <c r="BP1068">
        <v>7.29</v>
      </c>
      <c r="BQ1068">
        <v>11.5</v>
      </c>
      <c r="BR1068" t="s">
        <v>120</v>
      </c>
      <c r="BS1068">
        <v>25.92</v>
      </c>
      <c r="BT1068">
        <v>8.4</v>
      </c>
      <c r="BU1068">
        <v>4.68</v>
      </c>
      <c r="BV1068">
        <v>0.96</v>
      </c>
      <c r="BW1068">
        <v>3.05</v>
      </c>
      <c r="BX1068">
        <v>0.94</v>
      </c>
      <c r="BY1068">
        <v>2.93</v>
      </c>
      <c r="BZ1068">
        <v>3.51</v>
      </c>
      <c r="CA1068">
        <v>0</v>
      </c>
      <c r="CB1068">
        <v>3.29</v>
      </c>
      <c r="CC1068">
        <v>5.14</v>
      </c>
      <c r="CD1068">
        <v>2.6</v>
      </c>
      <c r="CE1068">
        <v>0.65</v>
      </c>
      <c r="CF1068">
        <v>0</v>
      </c>
      <c r="CG1068">
        <v>0.61</v>
      </c>
      <c r="CH1068">
        <v>0.49</v>
      </c>
      <c r="CI1068">
        <v>0.52</v>
      </c>
      <c r="CJ1068">
        <v>-0.5</v>
      </c>
      <c r="CK1068">
        <v>0.53</v>
      </c>
      <c r="CL1068">
        <v>4.7</v>
      </c>
      <c r="CM1068">
        <v>-1.53</v>
      </c>
      <c r="CN1068">
        <v>-3.93</v>
      </c>
      <c r="CO1068">
        <v>14939</v>
      </c>
      <c r="CP1068">
        <v>13485</v>
      </c>
      <c r="CQ1068" t="s">
        <v>6033</v>
      </c>
      <c r="CR1068">
        <v>39.700000000000003</v>
      </c>
      <c r="CS1068">
        <v>22.02</v>
      </c>
      <c r="CT1068">
        <v>2.2200000000000002</v>
      </c>
      <c r="CU1068">
        <v>-16.66</v>
      </c>
      <c r="CV1068">
        <v>4.96</v>
      </c>
      <c r="CW1068">
        <v>2.4500000000000002</v>
      </c>
      <c r="CX1068" t="s">
        <v>1091</v>
      </c>
      <c r="CY1068">
        <v>3.29</v>
      </c>
      <c r="CZ1068">
        <v>0</v>
      </c>
      <c r="DA1068">
        <v>0.94</v>
      </c>
      <c r="DB1068">
        <v>1.34</v>
      </c>
      <c r="DC1068">
        <v>-0.44</v>
      </c>
      <c r="DD1068">
        <v>74.08</v>
      </c>
      <c r="DE1068" t="s">
        <v>4825</v>
      </c>
      <c r="DF1068">
        <v>49.39</v>
      </c>
      <c r="DG1068">
        <v>12.62</v>
      </c>
      <c r="DH1068">
        <v>10.11</v>
      </c>
      <c r="DI1068">
        <v>0.39</v>
      </c>
      <c r="DJ1068">
        <v>3596</v>
      </c>
      <c r="DK1068">
        <v>2687</v>
      </c>
      <c r="DL1068" t="s">
        <v>120</v>
      </c>
      <c r="DM1068" t="s">
        <v>120</v>
      </c>
      <c r="DN1068" t="s">
        <v>120</v>
      </c>
    </row>
    <row r="1069" spans="1:118">
      <c r="A1069" t="str">
        <f>"002688"</f>
        <v>002688</v>
      </c>
      <c r="B1069" t="s">
        <v>6034</v>
      </c>
      <c r="C1069">
        <v>0.67</v>
      </c>
      <c r="D1069">
        <v>0</v>
      </c>
      <c r="E1069">
        <v>0</v>
      </c>
      <c r="F1069">
        <v>280</v>
      </c>
      <c r="G1069" t="s">
        <v>1892</v>
      </c>
      <c r="H1069">
        <v>3459.3</v>
      </c>
      <c r="I1069">
        <v>2.99</v>
      </c>
      <c r="J1069" t="s">
        <v>120</v>
      </c>
      <c r="K1069" t="s">
        <v>3438</v>
      </c>
      <c r="L1069">
        <v>0.93</v>
      </c>
      <c r="M1069">
        <v>6.01</v>
      </c>
      <c r="N1069">
        <v>1.01</v>
      </c>
      <c r="O1069">
        <v>2.0099999999999998</v>
      </c>
      <c r="P1069">
        <v>6.09</v>
      </c>
      <c r="Q1069">
        <v>-0.17</v>
      </c>
      <c r="R1069">
        <v>5.96</v>
      </c>
      <c r="S1069">
        <v>5.97</v>
      </c>
      <c r="T1069">
        <v>57353</v>
      </c>
      <c r="U1069">
        <v>6.02</v>
      </c>
      <c r="V1069">
        <v>5.97</v>
      </c>
      <c r="W1069">
        <v>19.96</v>
      </c>
      <c r="X1069" t="s">
        <v>569</v>
      </c>
      <c r="Y1069" t="s">
        <v>785</v>
      </c>
      <c r="Z1069">
        <v>2.1800000000000002</v>
      </c>
      <c r="AA1069">
        <v>6.03</v>
      </c>
      <c r="AB1069">
        <v>27248</v>
      </c>
      <c r="AC1069">
        <v>30105</v>
      </c>
      <c r="AD1069">
        <v>0.91</v>
      </c>
      <c r="AE1069">
        <v>455</v>
      </c>
      <c r="AF1069">
        <v>390</v>
      </c>
      <c r="AG1069" t="s">
        <v>120</v>
      </c>
      <c r="AH1069">
        <v>0</v>
      </c>
      <c r="AI1069" t="s">
        <v>120</v>
      </c>
      <c r="AJ1069">
        <v>6.19</v>
      </c>
      <c r="AK1069" t="s">
        <v>6035</v>
      </c>
      <c r="AL1069">
        <v>2.58</v>
      </c>
      <c r="AM1069">
        <v>1395</v>
      </c>
      <c r="AN1069">
        <v>41</v>
      </c>
      <c r="AO1069">
        <v>6.9999999999999999E-4</v>
      </c>
      <c r="AP1069">
        <v>1</v>
      </c>
      <c r="AQ1069">
        <v>0</v>
      </c>
      <c r="AR1069">
        <v>-0.83</v>
      </c>
      <c r="AS1069">
        <v>-5.35</v>
      </c>
      <c r="AT1069">
        <v>-16.52</v>
      </c>
      <c r="AU1069">
        <v>11.5</v>
      </c>
      <c r="AV1069">
        <v>3</v>
      </c>
      <c r="AW1069">
        <v>1.64</v>
      </c>
      <c r="AX1069">
        <v>44.81</v>
      </c>
      <c r="AY1069">
        <v>33.33</v>
      </c>
      <c r="AZ1069">
        <v>39.71</v>
      </c>
      <c r="BA1069">
        <v>0.61</v>
      </c>
      <c r="BB1069" t="s">
        <v>143</v>
      </c>
      <c r="BF1069">
        <v>1.03</v>
      </c>
      <c r="BG1069">
        <v>0.67</v>
      </c>
      <c r="BH1069">
        <v>-1.31</v>
      </c>
      <c r="BI1069">
        <v>0.84</v>
      </c>
      <c r="BJ1069">
        <v>20210824</v>
      </c>
      <c r="BK1069">
        <v>20120713</v>
      </c>
      <c r="BL1069">
        <v>7.8</v>
      </c>
      <c r="BM1069" t="s">
        <v>120</v>
      </c>
      <c r="BN1069" t="s">
        <v>120</v>
      </c>
      <c r="BO1069">
        <v>35.6</v>
      </c>
      <c r="BP1069">
        <v>6.01</v>
      </c>
      <c r="BQ1069">
        <v>16.66</v>
      </c>
      <c r="BR1069">
        <v>1.5</v>
      </c>
      <c r="BS1069">
        <v>49</v>
      </c>
      <c r="BT1069">
        <v>12.94</v>
      </c>
      <c r="BU1069">
        <v>9.0399999999999991</v>
      </c>
      <c r="BV1069">
        <v>6.38</v>
      </c>
      <c r="BW1069">
        <v>14.79</v>
      </c>
      <c r="BX1069">
        <v>2.8</v>
      </c>
      <c r="BY1069">
        <v>5.75</v>
      </c>
      <c r="BZ1069">
        <v>3</v>
      </c>
      <c r="CA1069">
        <v>0</v>
      </c>
      <c r="CB1069">
        <v>4.22</v>
      </c>
      <c r="CC1069">
        <v>9.61</v>
      </c>
      <c r="CD1069">
        <v>6.26</v>
      </c>
      <c r="CE1069">
        <v>1.28</v>
      </c>
      <c r="CF1069">
        <v>0</v>
      </c>
      <c r="CG1069">
        <v>1.49</v>
      </c>
      <c r="CH1069">
        <v>1.38</v>
      </c>
      <c r="CI1069">
        <v>1.17</v>
      </c>
      <c r="CJ1069">
        <v>0.04</v>
      </c>
      <c r="CK1069">
        <v>0.92</v>
      </c>
      <c r="CL1069">
        <v>5.07</v>
      </c>
      <c r="CM1069">
        <v>1.0900000000000001</v>
      </c>
      <c r="CN1069">
        <v>-0.36</v>
      </c>
      <c r="CO1069">
        <v>35819</v>
      </c>
      <c r="CP1069">
        <v>9764</v>
      </c>
      <c r="CQ1069" t="s">
        <v>6036</v>
      </c>
      <c r="CR1069">
        <v>23.66</v>
      </c>
      <c r="CS1069">
        <v>13.27</v>
      </c>
      <c r="CT1069">
        <v>2.29</v>
      </c>
      <c r="CU1069">
        <v>42.92</v>
      </c>
      <c r="CV1069">
        <v>4.88</v>
      </c>
      <c r="CW1069">
        <v>1.36</v>
      </c>
      <c r="CX1069" t="s">
        <v>242</v>
      </c>
      <c r="CY1069">
        <v>2.62</v>
      </c>
      <c r="CZ1069">
        <v>2.62</v>
      </c>
      <c r="DA1069">
        <v>0.54</v>
      </c>
      <c r="DB1069">
        <v>0.65</v>
      </c>
      <c r="DC1069">
        <v>0.14000000000000001</v>
      </c>
      <c r="DD1069">
        <v>46.8</v>
      </c>
      <c r="DE1069" t="s">
        <v>6037</v>
      </c>
      <c r="DF1069">
        <v>34.9</v>
      </c>
      <c r="DG1069">
        <v>13.27</v>
      </c>
      <c r="DH1069">
        <v>12.22</v>
      </c>
      <c r="DI1069">
        <v>0.35</v>
      </c>
      <c r="DJ1069">
        <v>2103</v>
      </c>
      <c r="DK1069">
        <v>2688</v>
      </c>
      <c r="DL1069" t="s">
        <v>120</v>
      </c>
      <c r="DM1069" t="s">
        <v>120</v>
      </c>
      <c r="DN1069" t="s">
        <v>120</v>
      </c>
    </row>
    <row r="1070" spans="1:118">
      <c r="A1070" t="str">
        <f>"002689"</f>
        <v>002689</v>
      </c>
      <c r="B1070" t="s">
        <v>6038</v>
      </c>
      <c r="C1070">
        <v>-1.19</v>
      </c>
      <c r="D1070">
        <v>0</v>
      </c>
      <c r="E1070">
        <v>-0.3</v>
      </c>
      <c r="F1070">
        <v>1073</v>
      </c>
      <c r="G1070" t="s">
        <v>6039</v>
      </c>
      <c r="H1070">
        <v>2624.67</v>
      </c>
      <c r="I1070">
        <v>8.2799999999999994</v>
      </c>
      <c r="J1070" t="s">
        <v>120</v>
      </c>
      <c r="K1070" t="s">
        <v>6040</v>
      </c>
      <c r="L1070">
        <v>0.75</v>
      </c>
      <c r="M1070">
        <v>3.31</v>
      </c>
      <c r="N1070">
        <v>0.8</v>
      </c>
      <c r="O1070">
        <v>1.49</v>
      </c>
      <c r="P1070">
        <v>3.4</v>
      </c>
      <c r="Q1070">
        <v>-1.19</v>
      </c>
      <c r="R1070">
        <v>3.31</v>
      </c>
      <c r="S1070">
        <v>3.34</v>
      </c>
      <c r="T1070">
        <v>78167</v>
      </c>
      <c r="U1070">
        <v>3.32</v>
      </c>
      <c r="V1070">
        <v>3.35</v>
      </c>
      <c r="W1070" t="s">
        <v>120</v>
      </c>
      <c r="X1070" t="s">
        <v>157</v>
      </c>
      <c r="Y1070" t="s">
        <v>432</v>
      </c>
      <c r="Z1070">
        <v>2.69</v>
      </c>
      <c r="AA1070">
        <v>3.36</v>
      </c>
      <c r="AB1070">
        <v>45470</v>
      </c>
      <c r="AC1070">
        <v>32697</v>
      </c>
      <c r="AD1070">
        <v>1.39</v>
      </c>
      <c r="AE1070">
        <v>3230</v>
      </c>
      <c r="AF1070">
        <v>2827</v>
      </c>
      <c r="AG1070" t="s">
        <v>120</v>
      </c>
      <c r="AH1070">
        <v>0.01</v>
      </c>
      <c r="AI1070" t="s">
        <v>120</v>
      </c>
      <c r="AJ1070">
        <v>10.4</v>
      </c>
      <c r="AK1070" t="s">
        <v>3970</v>
      </c>
      <c r="AL1070">
        <v>0.72</v>
      </c>
      <c r="AM1070">
        <v>1806</v>
      </c>
      <c r="AN1070">
        <v>43</v>
      </c>
      <c r="AO1070">
        <v>4.0000000000000002E-4</v>
      </c>
      <c r="AP1070">
        <v>-1</v>
      </c>
      <c r="AQ1070">
        <v>1.52</v>
      </c>
      <c r="AR1070">
        <v>-0.9</v>
      </c>
      <c r="AS1070">
        <v>9.24</v>
      </c>
      <c r="AT1070">
        <v>9.9700000000000006</v>
      </c>
      <c r="AU1070">
        <v>1.53</v>
      </c>
      <c r="AV1070">
        <v>3</v>
      </c>
      <c r="AW1070">
        <v>1.66</v>
      </c>
      <c r="AX1070">
        <v>45.19</v>
      </c>
      <c r="AY1070">
        <v>222.24</v>
      </c>
      <c r="AZ1070">
        <v>405.3</v>
      </c>
      <c r="BA1070">
        <v>0.28999999999999998</v>
      </c>
      <c r="BB1070" t="s">
        <v>184</v>
      </c>
      <c r="BF1070">
        <v>0.23</v>
      </c>
      <c r="BG1070">
        <v>-0.9</v>
      </c>
      <c r="BH1070">
        <v>-2.65</v>
      </c>
      <c r="BI1070">
        <v>0</v>
      </c>
      <c r="BJ1070">
        <v>20210826</v>
      </c>
      <c r="BK1070">
        <v>20120717</v>
      </c>
      <c r="BL1070">
        <v>10.43</v>
      </c>
      <c r="BM1070" t="s">
        <v>120</v>
      </c>
      <c r="BN1070" t="s">
        <v>120</v>
      </c>
      <c r="BO1070">
        <v>20.82</v>
      </c>
      <c r="BP1070">
        <v>3.31</v>
      </c>
      <c r="BQ1070">
        <v>12.75</v>
      </c>
      <c r="BR1070" t="s">
        <v>120</v>
      </c>
      <c r="BS1070">
        <v>38.78</v>
      </c>
      <c r="BT1070">
        <v>12.55</v>
      </c>
      <c r="BU1070">
        <v>3.84</v>
      </c>
      <c r="BV1070">
        <v>2.4900000000000002</v>
      </c>
      <c r="BW1070">
        <v>6.59</v>
      </c>
      <c r="BX1070">
        <v>2.76</v>
      </c>
      <c r="BY1070">
        <v>3.17</v>
      </c>
      <c r="BZ1070">
        <v>5.21</v>
      </c>
      <c r="CA1070" t="s">
        <v>120</v>
      </c>
      <c r="CB1070">
        <v>0.82</v>
      </c>
      <c r="CC1070">
        <v>3.41</v>
      </c>
      <c r="CD1070">
        <v>2.66</v>
      </c>
      <c r="CE1070">
        <v>-0.51</v>
      </c>
      <c r="CF1070">
        <v>0</v>
      </c>
      <c r="CG1070">
        <v>-0.5</v>
      </c>
      <c r="CH1070">
        <v>-0.5</v>
      </c>
      <c r="CI1070">
        <v>-0.49</v>
      </c>
      <c r="CJ1070">
        <v>-0.04</v>
      </c>
      <c r="CK1070">
        <v>-0.56999999999999995</v>
      </c>
      <c r="CL1070">
        <v>0.75</v>
      </c>
      <c r="CM1070">
        <v>0.02</v>
      </c>
      <c r="CN1070">
        <v>0.31</v>
      </c>
      <c r="CO1070">
        <v>54966</v>
      </c>
      <c r="CP1070">
        <v>8578</v>
      </c>
      <c r="CQ1070" t="s">
        <v>6041</v>
      </c>
      <c r="CR1070">
        <v>12.56</v>
      </c>
      <c r="CS1070">
        <v>15.01</v>
      </c>
      <c r="CT1070">
        <v>2.71</v>
      </c>
      <c r="CU1070">
        <v>1596.56</v>
      </c>
      <c r="CV1070">
        <v>10.119999999999999</v>
      </c>
      <c r="CW1070">
        <v>0</v>
      </c>
      <c r="CX1070" t="s">
        <v>6042</v>
      </c>
      <c r="CY1070">
        <v>1.22</v>
      </c>
      <c r="CZ1070">
        <v>0</v>
      </c>
      <c r="DA1070">
        <v>0.08</v>
      </c>
      <c r="DB1070">
        <v>7.0000000000000007E-2</v>
      </c>
      <c r="DC1070">
        <v>0</v>
      </c>
      <c r="DD1070">
        <v>61.22</v>
      </c>
      <c r="DE1070" t="s">
        <v>6043</v>
      </c>
      <c r="DF1070">
        <v>22.15</v>
      </c>
      <c r="DG1070">
        <v>-14.84</v>
      </c>
      <c r="DH1070">
        <v>-14.5</v>
      </c>
      <c r="DI1070">
        <v>0.17</v>
      </c>
      <c r="DJ1070">
        <v>1522</v>
      </c>
      <c r="DK1070">
        <v>2689</v>
      </c>
      <c r="DL1070" t="s">
        <v>120</v>
      </c>
      <c r="DM1070" t="s">
        <v>120</v>
      </c>
      <c r="DN1070" t="s">
        <v>120</v>
      </c>
    </row>
    <row r="1071" spans="1:118">
      <c r="A1071" t="str">
        <f>"002690"</f>
        <v>002690</v>
      </c>
      <c r="B1071" t="s">
        <v>6044</v>
      </c>
      <c r="C1071">
        <v>-2.52</v>
      </c>
      <c r="D1071">
        <v>-0.01</v>
      </c>
      <c r="E1071">
        <v>-0.73</v>
      </c>
      <c r="F1071">
        <v>243</v>
      </c>
      <c r="G1071" t="s">
        <v>6045</v>
      </c>
      <c r="H1071">
        <v>7735.64</v>
      </c>
      <c r="I1071">
        <v>31.57</v>
      </c>
      <c r="J1071" t="s">
        <v>120</v>
      </c>
      <c r="K1071" t="s">
        <v>6046</v>
      </c>
      <c r="L1071">
        <v>0.56999999999999995</v>
      </c>
      <c r="M1071">
        <v>40.26</v>
      </c>
      <c r="N1071">
        <v>0.51</v>
      </c>
      <c r="O1071">
        <v>0.24</v>
      </c>
      <c r="P1071">
        <v>41.4</v>
      </c>
      <c r="Q1071">
        <v>-2.59</v>
      </c>
      <c r="R1071">
        <v>40.229999999999997</v>
      </c>
      <c r="S1071">
        <v>41</v>
      </c>
      <c r="T1071">
        <v>19075</v>
      </c>
      <c r="U1071">
        <v>40.270000000000003</v>
      </c>
      <c r="V1071">
        <v>41.3</v>
      </c>
      <c r="W1071">
        <v>54.66</v>
      </c>
      <c r="X1071" t="s">
        <v>675</v>
      </c>
      <c r="Y1071" t="s">
        <v>570</v>
      </c>
      <c r="Z1071">
        <v>2.83</v>
      </c>
      <c r="AA1071">
        <v>40.549999999999997</v>
      </c>
      <c r="AB1071">
        <v>10897</v>
      </c>
      <c r="AC1071">
        <v>8178</v>
      </c>
      <c r="AD1071">
        <v>1.33</v>
      </c>
      <c r="AE1071">
        <v>22</v>
      </c>
      <c r="AF1071">
        <v>64</v>
      </c>
      <c r="AG1071" t="s">
        <v>120</v>
      </c>
      <c r="AH1071">
        <v>0</v>
      </c>
      <c r="AI1071" t="s">
        <v>120</v>
      </c>
      <c r="AJ1071">
        <v>3.33</v>
      </c>
      <c r="AK1071" t="s">
        <v>6047</v>
      </c>
      <c r="AL1071">
        <v>-0.6</v>
      </c>
      <c r="AM1071">
        <v>2205</v>
      </c>
      <c r="AN1071">
        <v>9</v>
      </c>
      <c r="AO1071">
        <v>2.9999999999999997E-4</v>
      </c>
      <c r="AP1071">
        <v>-3</v>
      </c>
      <c r="AQ1071">
        <v>-2.23</v>
      </c>
      <c r="AR1071">
        <v>-5.54</v>
      </c>
      <c r="AS1071">
        <v>-5.7</v>
      </c>
      <c r="AT1071">
        <v>-25.62</v>
      </c>
      <c r="AU1071">
        <v>-7.4</v>
      </c>
      <c r="AV1071">
        <v>0</v>
      </c>
      <c r="AW1071">
        <v>0.83</v>
      </c>
      <c r="AX1071">
        <v>33.9</v>
      </c>
      <c r="AY1071">
        <v>51.73</v>
      </c>
      <c r="AZ1071">
        <v>63.71</v>
      </c>
      <c r="BA1071">
        <v>0.82</v>
      </c>
      <c r="BB1071" t="s">
        <v>125</v>
      </c>
      <c r="BF1071">
        <v>-1.81</v>
      </c>
      <c r="BG1071">
        <v>-1.8</v>
      </c>
      <c r="BH1071">
        <v>-2.75</v>
      </c>
      <c r="BI1071">
        <v>7.0000000000000007E-2</v>
      </c>
      <c r="BJ1071">
        <v>20210913</v>
      </c>
      <c r="BK1071">
        <v>20120731</v>
      </c>
      <c r="BL1071">
        <v>6.76</v>
      </c>
      <c r="BM1071" t="s">
        <v>120</v>
      </c>
      <c r="BN1071" t="s">
        <v>120</v>
      </c>
      <c r="BO1071">
        <v>24.83</v>
      </c>
      <c r="BP1071">
        <v>40.26</v>
      </c>
      <c r="BQ1071">
        <v>20.05</v>
      </c>
      <c r="BR1071" t="s">
        <v>120</v>
      </c>
      <c r="BS1071">
        <v>19.239999999999998</v>
      </c>
      <c r="BT1071">
        <v>15.88</v>
      </c>
      <c r="BU1071">
        <v>3.48</v>
      </c>
      <c r="BV1071">
        <v>0.55000000000000004</v>
      </c>
      <c r="BW1071">
        <v>4.28</v>
      </c>
      <c r="BX1071">
        <v>8.43</v>
      </c>
      <c r="BY1071">
        <v>2.63</v>
      </c>
      <c r="BZ1071">
        <v>2.57</v>
      </c>
      <c r="CA1071" t="s">
        <v>120</v>
      </c>
      <c r="CB1071">
        <v>3.97</v>
      </c>
      <c r="CC1071">
        <v>8.2100000000000009</v>
      </c>
      <c r="CD1071">
        <v>3.95</v>
      </c>
      <c r="CE1071">
        <v>2.93</v>
      </c>
      <c r="CF1071">
        <v>0.15</v>
      </c>
      <c r="CG1071">
        <v>2.93</v>
      </c>
      <c r="CH1071">
        <v>2.4900000000000002</v>
      </c>
      <c r="CI1071">
        <v>2.4900000000000002</v>
      </c>
      <c r="CJ1071">
        <v>-1.04</v>
      </c>
      <c r="CK1071">
        <v>2.35</v>
      </c>
      <c r="CL1071">
        <v>4.18</v>
      </c>
      <c r="CM1071">
        <v>1.74</v>
      </c>
      <c r="CN1071">
        <v>1.5</v>
      </c>
      <c r="CO1071">
        <v>17357</v>
      </c>
      <c r="CP1071">
        <v>13204</v>
      </c>
      <c r="CQ1071" t="s">
        <v>6048</v>
      </c>
      <c r="CR1071">
        <v>68.89</v>
      </c>
      <c r="CS1071">
        <v>59.12</v>
      </c>
      <c r="CT1071">
        <v>13.57</v>
      </c>
      <c r="CU1071">
        <v>156.69999999999999</v>
      </c>
      <c r="CV1071">
        <v>33.159999999999997</v>
      </c>
      <c r="CW1071">
        <v>1.94</v>
      </c>
      <c r="CX1071" t="s">
        <v>2947</v>
      </c>
      <c r="CY1071">
        <v>2.97</v>
      </c>
      <c r="CZ1071">
        <v>0</v>
      </c>
      <c r="DA1071">
        <v>0.59</v>
      </c>
      <c r="DB1071">
        <v>0.62</v>
      </c>
      <c r="DC1071">
        <v>0.26</v>
      </c>
      <c r="DD1071">
        <v>80.760000000000005</v>
      </c>
      <c r="DE1071" t="s">
        <v>3405</v>
      </c>
      <c r="DF1071">
        <v>51.92</v>
      </c>
      <c r="DG1071">
        <v>35.729999999999997</v>
      </c>
      <c r="DH1071">
        <v>30.34</v>
      </c>
      <c r="DI1071">
        <v>0.49</v>
      </c>
      <c r="DJ1071">
        <v>1368</v>
      </c>
      <c r="DK1071">
        <v>2690</v>
      </c>
      <c r="DL1071" t="s">
        <v>120</v>
      </c>
      <c r="DM1071" t="s">
        <v>120</v>
      </c>
      <c r="DN1071" t="s">
        <v>120</v>
      </c>
    </row>
    <row r="1072" spans="1:118">
      <c r="A1072" t="str">
        <f>"002691"</f>
        <v>002691</v>
      </c>
      <c r="B1072" t="s">
        <v>6049</v>
      </c>
      <c r="C1072">
        <v>-3.39</v>
      </c>
      <c r="D1072">
        <v>-0.2</v>
      </c>
      <c r="E1072">
        <v>-0.4</v>
      </c>
      <c r="F1072">
        <v>787</v>
      </c>
      <c r="G1072" t="s">
        <v>6050</v>
      </c>
      <c r="H1072">
        <v>3815.38</v>
      </c>
      <c r="I1072">
        <v>70.55</v>
      </c>
      <c r="J1072" t="s">
        <v>120</v>
      </c>
      <c r="K1072" t="s">
        <v>6051</v>
      </c>
      <c r="L1072">
        <v>2.27</v>
      </c>
      <c r="M1072">
        <v>4.8499999999999996</v>
      </c>
      <c r="N1072">
        <v>1.52</v>
      </c>
      <c r="O1072">
        <v>1.39</v>
      </c>
      <c r="P1072">
        <v>5.09</v>
      </c>
      <c r="Q1072">
        <v>-3.98</v>
      </c>
      <c r="R1072">
        <v>4.82</v>
      </c>
      <c r="S1072">
        <v>5</v>
      </c>
      <c r="T1072">
        <v>76930</v>
      </c>
      <c r="U1072">
        <v>4.8600000000000003</v>
      </c>
      <c r="V1072">
        <v>5.0199999999999996</v>
      </c>
      <c r="W1072">
        <v>72.69</v>
      </c>
      <c r="X1072" t="s">
        <v>675</v>
      </c>
      <c r="Y1072" t="s">
        <v>602</v>
      </c>
      <c r="Z1072">
        <v>5.38</v>
      </c>
      <c r="AA1072">
        <v>4.96</v>
      </c>
      <c r="AB1072">
        <v>43525</v>
      </c>
      <c r="AC1072">
        <v>33405</v>
      </c>
      <c r="AD1072">
        <v>1.3</v>
      </c>
      <c r="AE1072">
        <v>130</v>
      </c>
      <c r="AF1072">
        <v>65</v>
      </c>
      <c r="AG1072" t="s">
        <v>120</v>
      </c>
      <c r="AH1072">
        <v>0.11</v>
      </c>
      <c r="AI1072" t="s">
        <v>120</v>
      </c>
      <c r="AJ1072">
        <v>3.39</v>
      </c>
      <c r="AK1072" t="s">
        <v>6052</v>
      </c>
      <c r="AL1072">
        <v>-1.47</v>
      </c>
      <c r="AM1072">
        <v>2076</v>
      </c>
      <c r="AN1072">
        <v>37</v>
      </c>
      <c r="AO1072">
        <v>1.1000000000000001E-3</v>
      </c>
      <c r="AP1072">
        <v>-1</v>
      </c>
      <c r="AQ1072">
        <v>7.73</v>
      </c>
      <c r="AR1072">
        <v>2.11</v>
      </c>
      <c r="AS1072">
        <v>8.75</v>
      </c>
      <c r="AT1072">
        <v>13.06</v>
      </c>
      <c r="AU1072">
        <v>5.67</v>
      </c>
      <c r="AV1072">
        <v>1</v>
      </c>
      <c r="AW1072">
        <v>6.05</v>
      </c>
      <c r="AX1072">
        <v>37.42</v>
      </c>
      <c r="AY1072">
        <v>486.19</v>
      </c>
      <c r="AZ1072" t="s">
        <v>120</v>
      </c>
      <c r="BA1072">
        <v>0.25</v>
      </c>
      <c r="BB1072" t="s">
        <v>168</v>
      </c>
      <c r="BF1072">
        <v>-1.2</v>
      </c>
      <c r="BG1072">
        <v>-3</v>
      </c>
      <c r="BH1072">
        <v>-4.72</v>
      </c>
      <c r="BI1072">
        <v>0.62</v>
      </c>
      <c r="BJ1072">
        <v>20210901</v>
      </c>
      <c r="BK1072">
        <v>20120731</v>
      </c>
      <c r="BL1072">
        <v>3.4</v>
      </c>
      <c r="BM1072" t="s">
        <v>120</v>
      </c>
      <c r="BN1072" t="s">
        <v>120</v>
      </c>
      <c r="BO1072">
        <v>10.48</v>
      </c>
      <c r="BP1072">
        <v>4.8499999999999996</v>
      </c>
      <c r="BQ1072">
        <v>8.83</v>
      </c>
      <c r="BR1072" t="s">
        <v>120</v>
      </c>
      <c r="BS1072">
        <v>15.77</v>
      </c>
      <c r="BT1072">
        <v>5.75</v>
      </c>
      <c r="BU1072">
        <v>3.48</v>
      </c>
      <c r="BV1072">
        <v>0.78</v>
      </c>
      <c r="BW1072">
        <v>1.19</v>
      </c>
      <c r="BX1072">
        <v>0.12</v>
      </c>
      <c r="BY1072">
        <v>2.68</v>
      </c>
      <c r="BZ1072">
        <v>2.36</v>
      </c>
      <c r="CA1072" t="s">
        <v>120</v>
      </c>
      <c r="CB1072">
        <v>3.02</v>
      </c>
      <c r="CC1072">
        <v>1.19</v>
      </c>
      <c r="CD1072">
        <v>0.75</v>
      </c>
      <c r="CE1072">
        <v>7.0000000000000007E-2</v>
      </c>
      <c r="CF1072">
        <v>0</v>
      </c>
      <c r="CG1072">
        <v>0.12</v>
      </c>
      <c r="CH1072">
        <v>0.11</v>
      </c>
      <c r="CI1072">
        <v>0.11</v>
      </c>
      <c r="CJ1072">
        <v>-0.17</v>
      </c>
      <c r="CK1072">
        <v>0.04</v>
      </c>
      <c r="CL1072">
        <v>2.09</v>
      </c>
      <c r="CM1072">
        <v>0.32</v>
      </c>
      <c r="CN1072">
        <v>0</v>
      </c>
      <c r="CO1072">
        <v>12444</v>
      </c>
      <c r="CP1072">
        <v>10224</v>
      </c>
      <c r="CQ1072" t="s">
        <v>6053</v>
      </c>
      <c r="CR1072">
        <v>245.55</v>
      </c>
      <c r="CS1072">
        <v>40.549999999999997</v>
      </c>
      <c r="CT1072">
        <v>1.87</v>
      </c>
      <c r="CU1072">
        <v>50.91</v>
      </c>
      <c r="CV1072">
        <v>13.9</v>
      </c>
      <c r="CW1072">
        <v>0</v>
      </c>
      <c r="CX1072" t="s">
        <v>2074</v>
      </c>
      <c r="CY1072">
        <v>2.6</v>
      </c>
      <c r="CZ1072">
        <v>0</v>
      </c>
      <c r="DA1072">
        <v>0.89</v>
      </c>
      <c r="DB1072">
        <v>0.62</v>
      </c>
      <c r="DC1072">
        <v>0.1</v>
      </c>
      <c r="DD1072">
        <v>84.23</v>
      </c>
      <c r="DE1072" t="s">
        <v>3329</v>
      </c>
      <c r="DF1072">
        <v>36.92</v>
      </c>
      <c r="DG1072">
        <v>6.13</v>
      </c>
      <c r="DH1072">
        <v>9.56</v>
      </c>
      <c r="DI1072">
        <v>0.06</v>
      </c>
      <c r="DJ1072">
        <v>630</v>
      </c>
      <c r="DK1072">
        <v>2691</v>
      </c>
      <c r="DL1072" t="s">
        <v>120</v>
      </c>
      <c r="DM1072" t="s">
        <v>120</v>
      </c>
      <c r="DN1072" t="s">
        <v>120</v>
      </c>
    </row>
    <row r="1073" spans="1:118">
      <c r="A1073" t="str">
        <f>"002693"</f>
        <v>002693</v>
      </c>
      <c r="B1073" t="s">
        <v>6054</v>
      </c>
      <c r="C1073">
        <v>0.22</v>
      </c>
      <c r="D1073">
        <v>0.22</v>
      </c>
      <c r="E1073">
        <v>0.22</v>
      </c>
      <c r="F1073">
        <v>289</v>
      </c>
      <c r="G1073" t="s">
        <v>6055</v>
      </c>
      <c r="H1073">
        <v>2897.27</v>
      </c>
      <c r="I1073">
        <v>0.64</v>
      </c>
      <c r="J1073" t="s">
        <v>120</v>
      </c>
      <c r="K1073" t="s">
        <v>2594</v>
      </c>
      <c r="L1073">
        <v>1.55</v>
      </c>
      <c r="M1073">
        <v>4.59</v>
      </c>
      <c r="N1073">
        <v>1.02</v>
      </c>
      <c r="O1073">
        <v>3.49</v>
      </c>
      <c r="P1073">
        <v>4.74</v>
      </c>
      <c r="Q1073">
        <v>-0.44</v>
      </c>
      <c r="R1073">
        <v>4.5599999999999996</v>
      </c>
      <c r="S1073">
        <v>4.59</v>
      </c>
      <c r="T1073">
        <v>62540</v>
      </c>
      <c r="U1073">
        <v>4.59</v>
      </c>
      <c r="V1073">
        <v>4.58</v>
      </c>
      <c r="W1073">
        <v>157.68</v>
      </c>
      <c r="X1073" t="s">
        <v>569</v>
      </c>
      <c r="Y1073" t="s">
        <v>835</v>
      </c>
      <c r="Z1073">
        <v>3.93</v>
      </c>
      <c r="AA1073">
        <v>4.63</v>
      </c>
      <c r="AB1073">
        <v>29346</v>
      </c>
      <c r="AC1073">
        <v>33194</v>
      </c>
      <c r="AD1073">
        <v>0.88</v>
      </c>
      <c r="AE1073">
        <v>370</v>
      </c>
      <c r="AF1073">
        <v>995</v>
      </c>
      <c r="AG1073" t="s">
        <v>120</v>
      </c>
      <c r="AH1073">
        <v>0</v>
      </c>
      <c r="AI1073" t="s">
        <v>120</v>
      </c>
      <c r="AJ1073">
        <v>4.03</v>
      </c>
      <c r="AK1073" t="s">
        <v>2320</v>
      </c>
      <c r="AL1073">
        <v>2.13</v>
      </c>
      <c r="AM1073">
        <v>1866</v>
      </c>
      <c r="AN1073">
        <v>34</v>
      </c>
      <c r="AO1073">
        <v>8.0000000000000004E-4</v>
      </c>
      <c r="AP1073">
        <v>2</v>
      </c>
      <c r="AQ1073">
        <v>1.78</v>
      </c>
      <c r="AR1073">
        <v>1.55</v>
      </c>
      <c r="AS1073">
        <v>10.34</v>
      </c>
      <c r="AT1073">
        <v>8.26</v>
      </c>
      <c r="AU1073">
        <v>6</v>
      </c>
      <c r="AV1073">
        <v>3</v>
      </c>
      <c r="AW1073">
        <v>3.14</v>
      </c>
      <c r="AX1073">
        <v>48.3</v>
      </c>
      <c r="AY1073" t="s">
        <v>120</v>
      </c>
      <c r="AZ1073" t="s">
        <v>120</v>
      </c>
      <c r="BA1073">
        <v>0.28000000000000003</v>
      </c>
      <c r="BB1073" t="s">
        <v>700</v>
      </c>
      <c r="BF1073">
        <v>1.1499999999999999</v>
      </c>
      <c r="BG1073">
        <v>0</v>
      </c>
      <c r="BH1073">
        <v>-3.16</v>
      </c>
      <c r="BI1073">
        <v>0.66</v>
      </c>
      <c r="BJ1073">
        <v>20210831</v>
      </c>
      <c r="BK1073">
        <v>20120808</v>
      </c>
      <c r="BL1073">
        <v>4.12</v>
      </c>
      <c r="BM1073" t="s">
        <v>120</v>
      </c>
      <c r="BN1073" t="s">
        <v>120</v>
      </c>
      <c r="BO1073">
        <v>8.65</v>
      </c>
      <c r="BP1073">
        <v>4.58</v>
      </c>
      <c r="BQ1073">
        <v>5.0199999999999996</v>
      </c>
      <c r="BR1073">
        <v>0.97</v>
      </c>
      <c r="BS1073">
        <v>30.72</v>
      </c>
      <c r="BT1073">
        <v>1.64</v>
      </c>
      <c r="BU1073">
        <v>5.2</v>
      </c>
      <c r="BV1073">
        <v>0.61</v>
      </c>
      <c r="BW1073">
        <v>0.86</v>
      </c>
      <c r="BX1073">
        <v>0.12</v>
      </c>
      <c r="BY1073">
        <v>0.53</v>
      </c>
      <c r="BZ1073">
        <v>0.28000000000000003</v>
      </c>
      <c r="CA1073">
        <v>0</v>
      </c>
      <c r="CB1073">
        <v>3.48</v>
      </c>
      <c r="CC1073">
        <v>1.74</v>
      </c>
      <c r="CD1073">
        <v>0.41</v>
      </c>
      <c r="CE1073">
        <v>-0.01</v>
      </c>
      <c r="CF1073">
        <v>0.02</v>
      </c>
      <c r="CG1073">
        <v>-0.02</v>
      </c>
      <c r="CH1073">
        <v>-0.02</v>
      </c>
      <c r="CI1073">
        <v>0.06</v>
      </c>
      <c r="CJ1073">
        <v>0.01</v>
      </c>
      <c r="CK1073">
        <v>-0.1</v>
      </c>
      <c r="CL1073">
        <v>-2.79</v>
      </c>
      <c r="CM1073">
        <v>-0.08</v>
      </c>
      <c r="CN1073">
        <v>0.06</v>
      </c>
      <c r="CO1073">
        <v>27208</v>
      </c>
      <c r="CP1073">
        <v>7313</v>
      </c>
      <c r="CQ1073" t="s">
        <v>6056</v>
      </c>
      <c r="CR1073">
        <v>135.16</v>
      </c>
      <c r="CS1073">
        <v>52.53</v>
      </c>
      <c r="CT1073">
        <v>3.77</v>
      </c>
      <c r="CU1073">
        <v>-228.63</v>
      </c>
      <c r="CV1073">
        <v>10.89</v>
      </c>
      <c r="CW1073">
        <v>0</v>
      </c>
      <c r="CX1073" t="s">
        <v>178</v>
      </c>
      <c r="CY1073">
        <v>1.22</v>
      </c>
      <c r="CZ1073">
        <v>0</v>
      </c>
      <c r="DA1073">
        <v>0.85</v>
      </c>
      <c r="DB1073">
        <v>-0.68</v>
      </c>
      <c r="DC1073">
        <v>-0.02</v>
      </c>
      <c r="DD1073">
        <v>58.07</v>
      </c>
      <c r="DE1073" t="s">
        <v>2197</v>
      </c>
      <c r="DF1073">
        <v>76.599999999999994</v>
      </c>
      <c r="DG1073">
        <v>-0.7</v>
      </c>
      <c r="DH1073">
        <v>3.45</v>
      </c>
      <c r="DI1073">
        <v>0.04</v>
      </c>
      <c r="DJ1073">
        <v>413</v>
      </c>
      <c r="DK1073">
        <v>2693</v>
      </c>
      <c r="DL1073" t="s">
        <v>120</v>
      </c>
      <c r="DM1073" t="s">
        <v>120</v>
      </c>
      <c r="DN1073" t="s">
        <v>120</v>
      </c>
    </row>
    <row r="1074" spans="1:118">
      <c r="A1074" t="str">
        <f>"002694"</f>
        <v>002694</v>
      </c>
      <c r="B1074" t="s">
        <v>6057</v>
      </c>
      <c r="C1074">
        <v>1.43</v>
      </c>
      <c r="D1074">
        <v>0.56999999999999995</v>
      </c>
      <c r="E1074">
        <v>0.86</v>
      </c>
      <c r="F1074">
        <v>7565</v>
      </c>
      <c r="G1074" t="s">
        <v>6058</v>
      </c>
      <c r="H1074">
        <v>5730.93</v>
      </c>
      <c r="I1074">
        <v>44.48</v>
      </c>
      <c r="J1074" t="s">
        <v>120</v>
      </c>
      <c r="K1074" t="s">
        <v>6059</v>
      </c>
      <c r="L1074">
        <v>3.09</v>
      </c>
      <c r="M1074">
        <v>3.55</v>
      </c>
      <c r="N1074">
        <v>1.3</v>
      </c>
      <c r="O1074">
        <v>2.86</v>
      </c>
      <c r="P1074">
        <v>3.6</v>
      </c>
      <c r="Q1074">
        <v>-2.57</v>
      </c>
      <c r="R1074">
        <v>3.41</v>
      </c>
      <c r="S1074">
        <v>3.53</v>
      </c>
      <c r="T1074">
        <v>163702</v>
      </c>
      <c r="U1074">
        <v>3.55</v>
      </c>
      <c r="V1074">
        <v>3.5</v>
      </c>
      <c r="W1074" t="s">
        <v>120</v>
      </c>
      <c r="X1074" t="s">
        <v>2211</v>
      </c>
      <c r="Y1074" t="s">
        <v>763</v>
      </c>
      <c r="Z1074">
        <v>5.43</v>
      </c>
      <c r="AA1074">
        <v>3.5</v>
      </c>
      <c r="AB1074">
        <v>84289</v>
      </c>
      <c r="AC1074">
        <v>79413</v>
      </c>
      <c r="AD1074">
        <v>1.06</v>
      </c>
      <c r="AE1074">
        <v>347</v>
      </c>
      <c r="AF1074">
        <v>2069</v>
      </c>
      <c r="AG1074" t="s">
        <v>120</v>
      </c>
      <c r="AH1074">
        <v>0.03</v>
      </c>
      <c r="AI1074" t="s">
        <v>120</v>
      </c>
      <c r="AJ1074">
        <v>5.3</v>
      </c>
      <c r="AK1074" t="s">
        <v>6060</v>
      </c>
      <c r="AL1074">
        <v>3.34</v>
      </c>
      <c r="AM1074">
        <v>1727</v>
      </c>
      <c r="AN1074">
        <v>95</v>
      </c>
      <c r="AO1074">
        <v>1.8E-3</v>
      </c>
      <c r="AP1074">
        <v>3</v>
      </c>
      <c r="AQ1074">
        <v>5.1100000000000003</v>
      </c>
      <c r="AR1074">
        <v>10.94</v>
      </c>
      <c r="AS1074">
        <v>24.13</v>
      </c>
      <c r="AT1074">
        <v>42.57</v>
      </c>
      <c r="AU1074">
        <v>38.67</v>
      </c>
      <c r="AV1074">
        <v>0</v>
      </c>
      <c r="AW1074">
        <v>4.4800000000000004</v>
      </c>
      <c r="AX1074">
        <v>61.19</v>
      </c>
      <c r="AY1074" t="s">
        <v>120</v>
      </c>
      <c r="AZ1074" t="s">
        <v>120</v>
      </c>
      <c r="BA1074">
        <v>0.49</v>
      </c>
      <c r="BB1074" t="s">
        <v>700</v>
      </c>
      <c r="BF1074">
        <v>0.02</v>
      </c>
      <c r="BG1074">
        <v>0.56999999999999995</v>
      </c>
      <c r="BH1074">
        <v>-1.39</v>
      </c>
      <c r="BI1074">
        <v>4.1100000000000003</v>
      </c>
      <c r="BJ1074">
        <v>20210826</v>
      </c>
      <c r="BK1074">
        <v>20120816</v>
      </c>
      <c r="BL1074">
        <v>5.97</v>
      </c>
      <c r="BM1074" t="s">
        <v>120</v>
      </c>
      <c r="BN1074" t="s">
        <v>120</v>
      </c>
      <c r="BO1074">
        <v>24.2</v>
      </c>
      <c r="BP1074">
        <v>3.54</v>
      </c>
      <c r="BQ1074">
        <v>6.91</v>
      </c>
      <c r="BR1074">
        <v>0.38</v>
      </c>
      <c r="BS1074">
        <v>69.87</v>
      </c>
      <c r="BT1074">
        <v>7.5</v>
      </c>
      <c r="BU1074">
        <v>8.16</v>
      </c>
      <c r="BV1074">
        <v>1.92</v>
      </c>
      <c r="BW1074">
        <v>16.37</v>
      </c>
      <c r="BX1074">
        <v>0.34</v>
      </c>
      <c r="BY1074">
        <v>3.39</v>
      </c>
      <c r="BZ1074">
        <v>2.16</v>
      </c>
      <c r="CA1074" t="s">
        <v>120</v>
      </c>
      <c r="CB1074">
        <v>1.47</v>
      </c>
      <c r="CC1074">
        <v>7.09</v>
      </c>
      <c r="CD1074">
        <v>6.31</v>
      </c>
      <c r="CE1074">
        <v>-0.53</v>
      </c>
      <c r="CF1074">
        <v>0</v>
      </c>
      <c r="CG1074">
        <v>-0.52</v>
      </c>
      <c r="CH1074">
        <v>-0.52</v>
      </c>
      <c r="CI1074">
        <v>-0.48</v>
      </c>
      <c r="CJ1074">
        <v>0.05</v>
      </c>
      <c r="CK1074">
        <v>-0.5</v>
      </c>
      <c r="CL1074">
        <v>-0.82</v>
      </c>
      <c r="CM1074">
        <v>-0.19</v>
      </c>
      <c r="CN1074">
        <v>-0.59</v>
      </c>
      <c r="CO1074">
        <v>27167</v>
      </c>
      <c r="CP1074">
        <v>13451</v>
      </c>
      <c r="CQ1074" t="s">
        <v>4952</v>
      </c>
      <c r="CR1074">
        <v>-121.9</v>
      </c>
      <c r="CS1074">
        <v>21.03</v>
      </c>
      <c r="CT1074">
        <v>2.84</v>
      </c>
      <c r="CU1074">
        <v>-111.69</v>
      </c>
      <c r="CV1074">
        <v>2.99</v>
      </c>
      <c r="CW1074">
        <v>0</v>
      </c>
      <c r="CX1074" t="s">
        <v>2242</v>
      </c>
      <c r="CY1074">
        <v>1.25</v>
      </c>
      <c r="CZ1074">
        <v>1.25</v>
      </c>
      <c r="DA1074">
        <v>0.25</v>
      </c>
      <c r="DB1074">
        <v>-0.14000000000000001</v>
      </c>
      <c r="DC1074">
        <v>-0.03</v>
      </c>
      <c r="DD1074">
        <v>28.54</v>
      </c>
      <c r="DE1074" t="s">
        <v>6061</v>
      </c>
      <c r="DF1074">
        <v>10.93</v>
      </c>
      <c r="DG1074">
        <v>-7.41</v>
      </c>
      <c r="DH1074">
        <v>-6.75</v>
      </c>
      <c r="DI1074">
        <v>0.27</v>
      </c>
      <c r="DJ1074">
        <v>1903</v>
      </c>
      <c r="DK1074">
        <v>2694</v>
      </c>
      <c r="DL1074" t="s">
        <v>120</v>
      </c>
      <c r="DM1074" t="s">
        <v>120</v>
      </c>
      <c r="DN1074" t="s">
        <v>120</v>
      </c>
    </row>
    <row r="1075" spans="1:118">
      <c r="A1075" t="str">
        <f>"002695"</f>
        <v>002695</v>
      </c>
      <c r="B1075" t="s">
        <v>6062</v>
      </c>
      <c r="C1075">
        <v>1.1599999999999999</v>
      </c>
      <c r="D1075">
        <v>0.14000000000000001</v>
      </c>
      <c r="E1075">
        <v>0.22</v>
      </c>
      <c r="F1075">
        <v>388</v>
      </c>
      <c r="G1075" t="s">
        <v>6063</v>
      </c>
      <c r="H1075">
        <v>5188.63</v>
      </c>
      <c r="I1075">
        <v>6.94</v>
      </c>
      <c r="J1075" t="s">
        <v>120</v>
      </c>
      <c r="K1075" t="s">
        <v>6064</v>
      </c>
      <c r="L1075">
        <v>0.8</v>
      </c>
      <c r="M1075">
        <v>14.01</v>
      </c>
      <c r="N1075">
        <v>0.75</v>
      </c>
      <c r="O1075">
        <v>1.81</v>
      </c>
      <c r="P1075">
        <v>14.1</v>
      </c>
      <c r="Q1075">
        <v>-0.51</v>
      </c>
      <c r="R1075">
        <v>13.78</v>
      </c>
      <c r="S1075">
        <v>13.88</v>
      </c>
      <c r="T1075">
        <v>37216</v>
      </c>
      <c r="U1075">
        <v>14.01</v>
      </c>
      <c r="V1075">
        <v>13.85</v>
      </c>
      <c r="W1075">
        <v>23.96</v>
      </c>
      <c r="X1075" t="s">
        <v>847</v>
      </c>
      <c r="Y1075" t="s">
        <v>676</v>
      </c>
      <c r="Z1075">
        <v>2.31</v>
      </c>
      <c r="AA1075">
        <v>13.94</v>
      </c>
      <c r="AB1075">
        <v>18431</v>
      </c>
      <c r="AC1075">
        <v>18785</v>
      </c>
      <c r="AD1075">
        <v>0.98</v>
      </c>
      <c r="AE1075">
        <v>71</v>
      </c>
      <c r="AF1075">
        <v>76</v>
      </c>
      <c r="AG1075" t="s">
        <v>120</v>
      </c>
      <c r="AH1075">
        <v>0</v>
      </c>
      <c r="AI1075" t="s">
        <v>120</v>
      </c>
      <c r="AJ1075">
        <v>4.6399999999999997</v>
      </c>
      <c r="AK1075" t="s">
        <v>6065</v>
      </c>
      <c r="AL1075">
        <v>3.07</v>
      </c>
      <c r="AM1075">
        <v>1772</v>
      </c>
      <c r="AN1075">
        <v>21</v>
      </c>
      <c r="AO1075">
        <v>5.0000000000000001E-4</v>
      </c>
      <c r="AP1075">
        <v>1</v>
      </c>
      <c r="AQ1075">
        <v>-1.56</v>
      </c>
      <c r="AR1075">
        <v>-1.2</v>
      </c>
      <c r="AS1075">
        <v>-3.91</v>
      </c>
      <c r="AT1075">
        <v>-12.87</v>
      </c>
      <c r="AU1075">
        <v>-38.47</v>
      </c>
      <c r="AV1075">
        <v>1</v>
      </c>
      <c r="AW1075">
        <v>2.02</v>
      </c>
      <c r="AX1075">
        <v>35.99</v>
      </c>
      <c r="AY1075">
        <v>25.87</v>
      </c>
      <c r="AZ1075">
        <v>25.17</v>
      </c>
      <c r="BA1075">
        <v>0.71</v>
      </c>
      <c r="BB1075" t="s">
        <v>134</v>
      </c>
      <c r="BF1075">
        <v>0.66</v>
      </c>
      <c r="BG1075">
        <v>0.94</v>
      </c>
      <c r="BH1075">
        <v>-0.64</v>
      </c>
      <c r="BI1075">
        <v>1.67</v>
      </c>
      <c r="BJ1075">
        <v>20210912</v>
      </c>
      <c r="BK1075">
        <v>20120905</v>
      </c>
      <c r="BL1075">
        <v>5.13</v>
      </c>
      <c r="BM1075" t="s">
        <v>120</v>
      </c>
      <c r="BN1075" t="s">
        <v>120</v>
      </c>
      <c r="BO1075">
        <v>29.69</v>
      </c>
      <c r="BP1075">
        <v>14</v>
      </c>
      <c r="BQ1075">
        <v>22.87</v>
      </c>
      <c r="BR1075">
        <v>0.57999999999999996</v>
      </c>
      <c r="BS1075">
        <v>21.02</v>
      </c>
      <c r="BT1075">
        <v>19.54</v>
      </c>
      <c r="BU1075">
        <v>6.25</v>
      </c>
      <c r="BV1075">
        <v>0.98</v>
      </c>
      <c r="BW1075">
        <v>4.28</v>
      </c>
      <c r="BX1075">
        <v>9.17</v>
      </c>
      <c r="BY1075">
        <v>5.85</v>
      </c>
      <c r="BZ1075">
        <v>2.76</v>
      </c>
      <c r="CA1075" t="s">
        <v>120</v>
      </c>
      <c r="CB1075">
        <v>7.85</v>
      </c>
      <c r="CC1075">
        <v>14.07</v>
      </c>
      <c r="CD1075">
        <v>9.2899999999999991</v>
      </c>
      <c r="CE1075">
        <v>1.95</v>
      </c>
      <c r="CF1075">
        <v>0.02</v>
      </c>
      <c r="CG1075">
        <v>2</v>
      </c>
      <c r="CH1075">
        <v>1.6</v>
      </c>
      <c r="CI1075">
        <v>1.5</v>
      </c>
      <c r="CJ1075">
        <v>0.16</v>
      </c>
      <c r="CK1075">
        <v>1.38</v>
      </c>
      <c r="CL1075">
        <v>11.22</v>
      </c>
      <c r="CM1075">
        <v>2.71</v>
      </c>
      <c r="CN1075">
        <v>-0.68</v>
      </c>
      <c r="CO1075">
        <v>46719</v>
      </c>
      <c r="CP1075">
        <v>3950</v>
      </c>
      <c r="CQ1075" t="s">
        <v>2310</v>
      </c>
      <c r="CR1075">
        <v>-4.84</v>
      </c>
      <c r="CS1075">
        <v>3.09</v>
      </c>
      <c r="CT1075">
        <v>3.14</v>
      </c>
      <c r="CU1075">
        <v>26.48</v>
      </c>
      <c r="CV1075">
        <v>5.1100000000000003</v>
      </c>
      <c r="CW1075">
        <v>0.92</v>
      </c>
      <c r="CX1075" t="s">
        <v>293</v>
      </c>
      <c r="CY1075">
        <v>4.46</v>
      </c>
      <c r="CZ1075">
        <v>0</v>
      </c>
      <c r="DA1075">
        <v>1.53</v>
      </c>
      <c r="DB1075">
        <v>2.19</v>
      </c>
      <c r="DC1075">
        <v>0.53</v>
      </c>
      <c r="DD1075">
        <v>77.02</v>
      </c>
      <c r="DE1075" t="s">
        <v>3004</v>
      </c>
      <c r="DF1075">
        <v>33.97</v>
      </c>
      <c r="DG1075">
        <v>13.88</v>
      </c>
      <c r="DH1075">
        <v>10.66</v>
      </c>
      <c r="DI1075">
        <v>0.38</v>
      </c>
      <c r="DJ1075">
        <v>2386</v>
      </c>
      <c r="DK1075">
        <v>2695</v>
      </c>
      <c r="DL1075" t="s">
        <v>120</v>
      </c>
      <c r="DM1075" t="s">
        <v>120</v>
      </c>
      <c r="DN1075" t="s">
        <v>120</v>
      </c>
    </row>
    <row r="1076" spans="1:118">
      <c r="A1076" t="str">
        <f>"002696"</f>
        <v>002696</v>
      </c>
      <c r="B1076" t="s">
        <v>6066</v>
      </c>
      <c r="C1076">
        <v>-0.2</v>
      </c>
      <c r="D1076">
        <v>0</v>
      </c>
      <c r="E1076">
        <v>0.6</v>
      </c>
      <c r="F1076">
        <v>519</v>
      </c>
      <c r="G1076" t="s">
        <v>6067</v>
      </c>
      <c r="H1076">
        <v>3105.64</v>
      </c>
      <c r="I1076">
        <v>44.21</v>
      </c>
      <c r="J1076" t="s">
        <v>120</v>
      </c>
      <c r="K1076" t="s">
        <v>5758</v>
      </c>
      <c r="L1076">
        <v>1.78</v>
      </c>
      <c r="M1076">
        <v>4.95</v>
      </c>
      <c r="N1076">
        <v>1.71</v>
      </c>
      <c r="O1076">
        <v>2.82</v>
      </c>
      <c r="P1076">
        <v>5.0999999999999996</v>
      </c>
      <c r="Q1076">
        <v>-0.2</v>
      </c>
      <c r="R1076">
        <v>4.95</v>
      </c>
      <c r="S1076">
        <v>4.99</v>
      </c>
      <c r="T1076">
        <v>61715</v>
      </c>
      <c r="U1076">
        <v>4.96</v>
      </c>
      <c r="V1076">
        <v>4.96</v>
      </c>
      <c r="W1076" t="s">
        <v>120</v>
      </c>
      <c r="X1076" t="s">
        <v>2008</v>
      </c>
      <c r="Y1076" t="s">
        <v>945</v>
      </c>
      <c r="Z1076">
        <v>3.02</v>
      </c>
      <c r="AA1076">
        <v>5.03</v>
      </c>
      <c r="AB1076">
        <v>32378</v>
      </c>
      <c r="AC1076">
        <v>29337</v>
      </c>
      <c r="AD1076">
        <v>1.1000000000000001</v>
      </c>
      <c r="AE1076">
        <v>19</v>
      </c>
      <c r="AF1076">
        <v>428</v>
      </c>
      <c r="AG1076" t="s">
        <v>120</v>
      </c>
      <c r="AH1076">
        <v>0.05</v>
      </c>
      <c r="AI1076" t="s">
        <v>120</v>
      </c>
      <c r="AJ1076">
        <v>3.46</v>
      </c>
      <c r="AK1076" t="s">
        <v>6068</v>
      </c>
      <c r="AL1076">
        <v>1.71</v>
      </c>
      <c r="AM1076">
        <v>1206</v>
      </c>
      <c r="AN1076">
        <v>51</v>
      </c>
      <c r="AO1076">
        <v>1.5E-3</v>
      </c>
      <c r="AP1076">
        <v>-1</v>
      </c>
      <c r="AQ1076">
        <v>1.85</v>
      </c>
      <c r="AR1076">
        <v>0</v>
      </c>
      <c r="AS1076">
        <v>4.43</v>
      </c>
      <c r="AT1076">
        <v>-4.8099999999999996</v>
      </c>
      <c r="AU1076">
        <v>-16.95</v>
      </c>
      <c r="AV1076">
        <v>4</v>
      </c>
      <c r="AW1076">
        <v>3.38</v>
      </c>
      <c r="AX1076">
        <v>52.33</v>
      </c>
      <c r="AY1076" t="s">
        <v>120</v>
      </c>
      <c r="AZ1076">
        <v>77.83</v>
      </c>
      <c r="BA1076">
        <v>0.36</v>
      </c>
      <c r="BB1076" t="s">
        <v>184</v>
      </c>
      <c r="BF1076">
        <v>1.46</v>
      </c>
      <c r="BG1076">
        <v>-0.8</v>
      </c>
      <c r="BH1076">
        <v>-2.94</v>
      </c>
      <c r="BI1076">
        <v>0</v>
      </c>
      <c r="BJ1076">
        <v>20210827</v>
      </c>
      <c r="BK1076">
        <v>20120905</v>
      </c>
      <c r="BL1076">
        <v>3.49</v>
      </c>
      <c r="BM1076" t="s">
        <v>120</v>
      </c>
      <c r="BN1076" t="s">
        <v>120</v>
      </c>
      <c r="BO1076">
        <v>27.73</v>
      </c>
      <c r="BP1076">
        <v>4.95</v>
      </c>
      <c r="BQ1076">
        <v>13.23</v>
      </c>
      <c r="BR1076">
        <v>0.8</v>
      </c>
      <c r="BS1076">
        <v>49.42</v>
      </c>
      <c r="BT1076">
        <v>14.59</v>
      </c>
      <c r="BU1076">
        <v>7.86</v>
      </c>
      <c r="BV1076">
        <v>1.56</v>
      </c>
      <c r="BW1076">
        <v>10</v>
      </c>
      <c r="BX1076">
        <v>3.29</v>
      </c>
      <c r="BY1076">
        <v>3.53</v>
      </c>
      <c r="BZ1076">
        <v>5.39</v>
      </c>
      <c r="CA1076">
        <v>0.02</v>
      </c>
      <c r="CB1076">
        <v>8.27</v>
      </c>
      <c r="CC1076">
        <v>11.39</v>
      </c>
      <c r="CD1076">
        <v>10.41</v>
      </c>
      <c r="CE1076">
        <v>-0.17</v>
      </c>
      <c r="CF1076">
        <v>7.0000000000000007E-2</v>
      </c>
      <c r="CG1076">
        <v>-0.17</v>
      </c>
      <c r="CH1076">
        <v>-0.13</v>
      </c>
      <c r="CI1076">
        <v>-0.16</v>
      </c>
      <c r="CJ1076">
        <v>-0.01</v>
      </c>
      <c r="CK1076">
        <v>-0.18</v>
      </c>
      <c r="CL1076">
        <v>1.28</v>
      </c>
      <c r="CM1076">
        <v>-0.51</v>
      </c>
      <c r="CN1076">
        <v>0.18</v>
      </c>
      <c r="CO1076">
        <v>16944</v>
      </c>
      <c r="CP1076">
        <v>10790</v>
      </c>
      <c r="CQ1076" t="s">
        <v>2990</v>
      </c>
      <c r="CR1076">
        <v>-296.61</v>
      </c>
      <c r="CS1076">
        <v>4.03</v>
      </c>
      <c r="CT1076">
        <v>1.31</v>
      </c>
      <c r="CU1076">
        <v>-34</v>
      </c>
      <c r="CV1076">
        <v>1.52</v>
      </c>
      <c r="CW1076">
        <v>0</v>
      </c>
      <c r="CX1076" t="s">
        <v>1255</v>
      </c>
      <c r="CY1076">
        <v>3.79</v>
      </c>
      <c r="CZ1076">
        <v>0</v>
      </c>
      <c r="DA1076">
        <v>2.37</v>
      </c>
      <c r="DB1076">
        <v>0.37</v>
      </c>
      <c r="DC1076">
        <v>-0.15</v>
      </c>
      <c r="DD1076">
        <v>47.69</v>
      </c>
      <c r="DE1076" t="s">
        <v>5303</v>
      </c>
      <c r="DF1076">
        <v>8.68</v>
      </c>
      <c r="DG1076">
        <v>-1.47</v>
      </c>
      <c r="DH1076">
        <v>-1.37</v>
      </c>
      <c r="DI1076">
        <v>0.01</v>
      </c>
      <c r="DJ1076">
        <v>3174</v>
      </c>
      <c r="DK1076">
        <v>2696</v>
      </c>
      <c r="DL1076" t="s">
        <v>120</v>
      </c>
      <c r="DM1076" t="s">
        <v>120</v>
      </c>
      <c r="DN1076" t="s">
        <v>120</v>
      </c>
    </row>
    <row r="1077" spans="1:118">
      <c r="A1077" t="str">
        <f>"002697"</f>
        <v>002697</v>
      </c>
      <c r="B1077" t="s">
        <v>6069</v>
      </c>
      <c r="C1077">
        <v>-0.41</v>
      </c>
      <c r="D1077">
        <v>0</v>
      </c>
      <c r="E1077">
        <v>0</v>
      </c>
      <c r="F1077">
        <v>876</v>
      </c>
      <c r="G1077" t="s">
        <v>1748</v>
      </c>
      <c r="H1077">
        <v>4355.04</v>
      </c>
      <c r="I1077">
        <v>18.95</v>
      </c>
      <c r="J1077" t="s">
        <v>120</v>
      </c>
      <c r="K1077" t="s">
        <v>6070</v>
      </c>
      <c r="L1077">
        <v>0.83</v>
      </c>
      <c r="M1077">
        <v>4.84</v>
      </c>
      <c r="N1077">
        <v>0.59</v>
      </c>
      <c r="O1077">
        <v>1.03</v>
      </c>
      <c r="P1077">
        <v>4.91</v>
      </c>
      <c r="Q1077">
        <v>-0.62</v>
      </c>
      <c r="R1077">
        <v>4.83</v>
      </c>
      <c r="S1077">
        <v>4.8600000000000003</v>
      </c>
      <c r="T1077">
        <v>89257</v>
      </c>
      <c r="U1077">
        <v>4.8499999999999996</v>
      </c>
      <c r="V1077">
        <v>4.8600000000000003</v>
      </c>
      <c r="W1077">
        <v>14.87</v>
      </c>
      <c r="X1077" t="s">
        <v>1872</v>
      </c>
      <c r="Y1077" t="s">
        <v>578</v>
      </c>
      <c r="Z1077">
        <v>1.65</v>
      </c>
      <c r="AA1077">
        <v>4.88</v>
      </c>
      <c r="AB1077">
        <v>51667</v>
      </c>
      <c r="AC1077">
        <v>37590</v>
      </c>
      <c r="AD1077">
        <v>1.37</v>
      </c>
      <c r="AE1077">
        <v>821</v>
      </c>
      <c r="AF1077">
        <v>213</v>
      </c>
      <c r="AG1077" t="s">
        <v>120</v>
      </c>
      <c r="AH1077">
        <v>0.01</v>
      </c>
      <c r="AI1077" t="s">
        <v>120</v>
      </c>
      <c r="AJ1077">
        <v>10.78</v>
      </c>
      <c r="AK1077" t="s">
        <v>6071</v>
      </c>
      <c r="AL1077">
        <v>1.5</v>
      </c>
      <c r="AM1077">
        <v>1578</v>
      </c>
      <c r="AN1077">
        <v>57</v>
      </c>
      <c r="AO1077">
        <v>5.0000000000000001E-4</v>
      </c>
      <c r="AP1077">
        <v>-1</v>
      </c>
      <c r="AQ1077">
        <v>0</v>
      </c>
      <c r="AR1077">
        <v>-2.58</v>
      </c>
      <c r="AS1077">
        <v>4.0199999999999996</v>
      </c>
      <c r="AT1077">
        <v>-5.95</v>
      </c>
      <c r="AU1077">
        <v>-24.77</v>
      </c>
      <c r="AV1077">
        <v>0</v>
      </c>
      <c r="AW1077">
        <v>1.28</v>
      </c>
      <c r="AX1077">
        <v>51.33</v>
      </c>
      <c r="AY1077">
        <v>14.41</v>
      </c>
      <c r="AZ1077">
        <v>13.28</v>
      </c>
      <c r="BA1077">
        <v>0.41</v>
      </c>
      <c r="BB1077" t="s">
        <v>125</v>
      </c>
      <c r="BF1077">
        <v>0.4</v>
      </c>
      <c r="BG1077">
        <v>-0.41</v>
      </c>
      <c r="BH1077">
        <v>-1.43</v>
      </c>
      <c r="BI1077">
        <v>0.21</v>
      </c>
      <c r="BJ1077">
        <v>20210913</v>
      </c>
      <c r="BK1077">
        <v>20120905</v>
      </c>
      <c r="BL1077">
        <v>13.6</v>
      </c>
      <c r="BM1077" t="s">
        <v>120</v>
      </c>
      <c r="BN1077" t="s">
        <v>120</v>
      </c>
      <c r="BO1077">
        <v>75.099999999999994</v>
      </c>
      <c r="BP1077">
        <v>4.84</v>
      </c>
      <c r="BQ1077">
        <v>35.51</v>
      </c>
      <c r="BR1077">
        <v>0.01</v>
      </c>
      <c r="BS1077">
        <v>52.71</v>
      </c>
      <c r="BT1077">
        <v>32.700000000000003</v>
      </c>
      <c r="BU1077">
        <v>11.76</v>
      </c>
      <c r="BV1077">
        <v>2.25</v>
      </c>
      <c r="BW1077">
        <v>25.98</v>
      </c>
      <c r="BX1077">
        <v>9.56</v>
      </c>
      <c r="BY1077">
        <v>15.9</v>
      </c>
      <c r="BZ1077">
        <v>0.54</v>
      </c>
      <c r="CA1077" t="s">
        <v>120</v>
      </c>
      <c r="CB1077">
        <v>0.44</v>
      </c>
      <c r="CC1077">
        <v>45.37</v>
      </c>
      <c r="CD1077">
        <v>31.87</v>
      </c>
      <c r="CE1077">
        <v>2.5299999999999998</v>
      </c>
      <c r="CF1077">
        <v>0.65</v>
      </c>
      <c r="CG1077">
        <v>2.5099999999999998</v>
      </c>
      <c r="CH1077">
        <v>2.21</v>
      </c>
      <c r="CI1077">
        <v>2.21</v>
      </c>
      <c r="CJ1077">
        <v>-0.02</v>
      </c>
      <c r="CK1077">
        <v>1.97</v>
      </c>
      <c r="CL1077">
        <v>18.48</v>
      </c>
      <c r="CM1077">
        <v>3.99</v>
      </c>
      <c r="CN1077">
        <v>-10.41</v>
      </c>
      <c r="CO1077">
        <v>66264</v>
      </c>
      <c r="CP1077">
        <v>10536</v>
      </c>
      <c r="CQ1077" t="s">
        <v>1895</v>
      </c>
      <c r="CR1077">
        <v>-15.2</v>
      </c>
      <c r="CS1077">
        <v>0.42</v>
      </c>
      <c r="CT1077">
        <v>1.85</v>
      </c>
      <c r="CU1077">
        <v>16.5</v>
      </c>
      <c r="CV1077">
        <v>1.45</v>
      </c>
      <c r="CW1077">
        <v>3.2</v>
      </c>
      <c r="CX1077" t="s">
        <v>1091</v>
      </c>
      <c r="CY1077">
        <v>2.61</v>
      </c>
      <c r="CZ1077">
        <v>0</v>
      </c>
      <c r="DA1077">
        <v>0.03</v>
      </c>
      <c r="DB1077">
        <v>1.36</v>
      </c>
      <c r="DC1077">
        <v>0.28999999999999998</v>
      </c>
      <c r="DD1077">
        <v>47.28</v>
      </c>
      <c r="DE1077" t="s">
        <v>3273</v>
      </c>
      <c r="DF1077">
        <v>29.75</v>
      </c>
      <c r="DG1077">
        <v>5.59</v>
      </c>
      <c r="DH1077">
        <v>4.88</v>
      </c>
      <c r="DI1077" t="s">
        <v>120</v>
      </c>
      <c r="DJ1077">
        <v>16632</v>
      </c>
      <c r="DK1077">
        <v>2697</v>
      </c>
      <c r="DL1077" t="s">
        <v>120</v>
      </c>
      <c r="DM1077" t="s">
        <v>120</v>
      </c>
      <c r="DN1077" t="s">
        <v>120</v>
      </c>
    </row>
    <row r="1078" spans="1:118">
      <c r="A1078" t="str">
        <f>"002698"</f>
        <v>002698</v>
      </c>
      <c r="B1078" t="s">
        <v>6072</v>
      </c>
      <c r="C1078">
        <v>-0.8</v>
      </c>
      <c r="D1078">
        <v>0.97</v>
      </c>
      <c r="E1078">
        <v>0</v>
      </c>
      <c r="F1078">
        <v>2688</v>
      </c>
      <c r="G1078" t="s">
        <v>6073</v>
      </c>
      <c r="H1078">
        <v>4701.66</v>
      </c>
      <c r="I1078">
        <v>25.02</v>
      </c>
      <c r="J1078" t="s">
        <v>120</v>
      </c>
      <c r="K1078" t="s">
        <v>6074</v>
      </c>
      <c r="L1078">
        <v>0.48</v>
      </c>
      <c r="M1078">
        <v>12.44</v>
      </c>
      <c r="N1078">
        <v>0.98</v>
      </c>
      <c r="O1078">
        <v>0.88</v>
      </c>
      <c r="P1078">
        <v>12.65</v>
      </c>
      <c r="Q1078">
        <v>-1.83</v>
      </c>
      <c r="R1078">
        <v>12.31</v>
      </c>
      <c r="S1078">
        <v>12.54</v>
      </c>
      <c r="T1078">
        <v>37808</v>
      </c>
      <c r="U1078">
        <v>12.44</v>
      </c>
      <c r="V1078">
        <v>12.54</v>
      </c>
      <c r="W1078">
        <v>22.19</v>
      </c>
      <c r="X1078" t="s">
        <v>2196</v>
      </c>
      <c r="Y1078" t="s">
        <v>1686</v>
      </c>
      <c r="Z1078">
        <v>2.71</v>
      </c>
      <c r="AA1078">
        <v>12.44</v>
      </c>
      <c r="AB1078">
        <v>24900</v>
      </c>
      <c r="AC1078">
        <v>12908</v>
      </c>
      <c r="AD1078">
        <v>1.93</v>
      </c>
      <c r="AE1078">
        <v>7</v>
      </c>
      <c r="AF1078">
        <v>57</v>
      </c>
      <c r="AG1078" t="s">
        <v>120</v>
      </c>
      <c r="AH1078">
        <v>0</v>
      </c>
      <c r="AI1078" t="s">
        <v>120</v>
      </c>
      <c r="AJ1078">
        <v>7.92</v>
      </c>
      <c r="AK1078" t="s">
        <v>6075</v>
      </c>
      <c r="AL1078">
        <v>1.1200000000000001</v>
      </c>
      <c r="AM1078">
        <v>1189</v>
      </c>
      <c r="AN1078">
        <v>32</v>
      </c>
      <c r="AO1078">
        <v>4.0000000000000002E-4</v>
      </c>
      <c r="AP1078">
        <v>-1</v>
      </c>
      <c r="AQ1078">
        <v>0.32</v>
      </c>
      <c r="AR1078">
        <v>-3.64</v>
      </c>
      <c r="AS1078">
        <v>-3.79</v>
      </c>
      <c r="AT1078">
        <v>-0.24</v>
      </c>
      <c r="AU1078">
        <v>4.3600000000000003</v>
      </c>
      <c r="AV1078">
        <v>1</v>
      </c>
      <c r="AW1078">
        <v>0.77</v>
      </c>
      <c r="AX1078">
        <v>48.09</v>
      </c>
      <c r="AY1078">
        <v>27.53</v>
      </c>
      <c r="AZ1078">
        <v>31.63</v>
      </c>
      <c r="BA1078">
        <v>0.66</v>
      </c>
      <c r="BB1078" t="s">
        <v>2725</v>
      </c>
      <c r="BF1078">
        <v>-0.83</v>
      </c>
      <c r="BG1078">
        <v>-0.8</v>
      </c>
      <c r="BH1078">
        <v>-1.66</v>
      </c>
      <c r="BI1078">
        <v>1.06</v>
      </c>
      <c r="BJ1078">
        <v>20210913</v>
      </c>
      <c r="BK1078">
        <v>20120911</v>
      </c>
      <c r="BL1078">
        <v>10.23</v>
      </c>
      <c r="BM1078" t="s">
        <v>120</v>
      </c>
      <c r="BN1078" t="s">
        <v>120</v>
      </c>
      <c r="BO1078">
        <v>45.75</v>
      </c>
      <c r="BP1078">
        <v>12.43</v>
      </c>
      <c r="BQ1078">
        <v>26.55</v>
      </c>
      <c r="BR1078">
        <v>1.51</v>
      </c>
      <c r="BS1078">
        <v>38.659999999999997</v>
      </c>
      <c r="BT1078">
        <v>37.93</v>
      </c>
      <c r="BU1078">
        <v>2.27</v>
      </c>
      <c r="BV1078">
        <v>0.6</v>
      </c>
      <c r="BW1078">
        <v>17.399999999999999</v>
      </c>
      <c r="BX1078">
        <v>4.43</v>
      </c>
      <c r="BY1078">
        <v>14.4</v>
      </c>
      <c r="BZ1078">
        <v>7.01</v>
      </c>
      <c r="CA1078">
        <v>0</v>
      </c>
      <c r="CB1078">
        <v>1.55</v>
      </c>
      <c r="CC1078">
        <v>11.16</v>
      </c>
      <c r="CD1078">
        <v>6.87</v>
      </c>
      <c r="CE1078">
        <v>3.51</v>
      </c>
      <c r="CF1078">
        <v>0.23</v>
      </c>
      <c r="CG1078">
        <v>3.51</v>
      </c>
      <c r="CH1078">
        <v>3</v>
      </c>
      <c r="CI1078">
        <v>2.87</v>
      </c>
      <c r="CJ1078">
        <v>-0.1</v>
      </c>
      <c r="CK1078">
        <v>2.7</v>
      </c>
      <c r="CL1078">
        <v>12.34</v>
      </c>
      <c r="CM1078">
        <v>1.83</v>
      </c>
      <c r="CN1078">
        <v>3.32</v>
      </c>
      <c r="CO1078">
        <v>25078</v>
      </c>
      <c r="CP1078">
        <v>19607</v>
      </c>
      <c r="CQ1078" t="s">
        <v>5400</v>
      </c>
      <c r="CR1078">
        <v>26.65</v>
      </c>
      <c r="CS1078">
        <v>19.61</v>
      </c>
      <c r="CT1078">
        <v>4.79</v>
      </c>
      <c r="CU1078">
        <v>69.34</v>
      </c>
      <c r="CV1078">
        <v>11.4</v>
      </c>
      <c r="CW1078">
        <v>1.59</v>
      </c>
      <c r="CX1078" t="s">
        <v>1054</v>
      </c>
      <c r="CY1078">
        <v>2.6</v>
      </c>
      <c r="CZ1078">
        <v>0</v>
      </c>
      <c r="DA1078">
        <v>0.15</v>
      </c>
      <c r="DB1078">
        <v>1.21</v>
      </c>
      <c r="DC1078">
        <v>0.18</v>
      </c>
      <c r="DD1078">
        <v>58.04</v>
      </c>
      <c r="DE1078" t="s">
        <v>6076</v>
      </c>
      <c r="DF1078">
        <v>38.43</v>
      </c>
      <c r="DG1078">
        <v>31.47</v>
      </c>
      <c r="DH1078">
        <v>25.7</v>
      </c>
      <c r="DI1078">
        <v>0.33</v>
      </c>
      <c r="DJ1078">
        <v>1250</v>
      </c>
      <c r="DK1078">
        <v>2698</v>
      </c>
      <c r="DL1078" t="s">
        <v>120</v>
      </c>
      <c r="DM1078" t="s">
        <v>120</v>
      </c>
      <c r="DN1078" t="s">
        <v>120</v>
      </c>
    </row>
    <row r="1079" spans="1:118">
      <c r="A1079" t="str">
        <f>"002699"</f>
        <v>002699</v>
      </c>
      <c r="B1079" t="s">
        <v>6077</v>
      </c>
      <c r="C1079">
        <v>-2.4900000000000002</v>
      </c>
      <c r="D1079">
        <v>0</v>
      </c>
      <c r="E1079">
        <v>-0.23</v>
      </c>
      <c r="F1079">
        <v>2048</v>
      </c>
      <c r="G1079" t="s">
        <v>6078</v>
      </c>
      <c r="H1079">
        <v>4810.8599999999997</v>
      </c>
      <c r="I1079">
        <v>34.1</v>
      </c>
      <c r="J1079" t="s">
        <v>120</v>
      </c>
      <c r="K1079" t="s">
        <v>5352</v>
      </c>
      <c r="L1079">
        <v>1.21</v>
      </c>
      <c r="M1079">
        <v>4.3</v>
      </c>
      <c r="N1079">
        <v>0.67</v>
      </c>
      <c r="O1079">
        <v>1.1299999999999999</v>
      </c>
      <c r="P1079">
        <v>4.46</v>
      </c>
      <c r="Q1079">
        <v>-2.4900000000000002</v>
      </c>
      <c r="R1079">
        <v>4.3</v>
      </c>
      <c r="S1079">
        <v>4.4000000000000004</v>
      </c>
      <c r="T1079">
        <v>110162</v>
      </c>
      <c r="U1079">
        <v>4.3</v>
      </c>
      <c r="V1079">
        <v>4.41</v>
      </c>
      <c r="W1079">
        <v>74.83</v>
      </c>
      <c r="X1079" t="s">
        <v>584</v>
      </c>
      <c r="Y1079" t="s">
        <v>585</v>
      </c>
      <c r="Z1079">
        <v>3.63</v>
      </c>
      <c r="AA1079">
        <v>4.37</v>
      </c>
      <c r="AB1079">
        <v>56719</v>
      </c>
      <c r="AC1079">
        <v>53443</v>
      </c>
      <c r="AD1079">
        <v>1.06</v>
      </c>
      <c r="AE1079">
        <v>1601</v>
      </c>
      <c r="AF1079">
        <v>3794</v>
      </c>
      <c r="AG1079" t="s">
        <v>120</v>
      </c>
      <c r="AH1079">
        <v>0.02</v>
      </c>
      <c r="AI1079" t="s">
        <v>120</v>
      </c>
      <c r="AJ1079">
        <v>9.1</v>
      </c>
      <c r="AK1079" t="s">
        <v>5352</v>
      </c>
      <c r="AL1079">
        <v>-0.57999999999999996</v>
      </c>
      <c r="AM1079">
        <v>1715</v>
      </c>
      <c r="AN1079">
        <v>64</v>
      </c>
      <c r="AO1079">
        <v>6.9999999999999999E-4</v>
      </c>
      <c r="AP1079">
        <v>-3</v>
      </c>
      <c r="AQ1079">
        <v>-2</v>
      </c>
      <c r="AR1079">
        <v>-5.29</v>
      </c>
      <c r="AS1079">
        <v>0.94</v>
      </c>
      <c r="AT1079">
        <v>-8.1199999999999992</v>
      </c>
      <c r="AU1079">
        <v>-24.82</v>
      </c>
      <c r="AV1079">
        <v>5</v>
      </c>
      <c r="AW1079">
        <v>2.94</v>
      </c>
      <c r="AX1079">
        <v>41.26</v>
      </c>
      <c r="AY1079" t="s">
        <v>120</v>
      </c>
      <c r="AZ1079" t="s">
        <v>120</v>
      </c>
      <c r="BA1079">
        <v>0.45</v>
      </c>
      <c r="BB1079" t="s">
        <v>143</v>
      </c>
      <c r="BF1079">
        <v>-0.97</v>
      </c>
      <c r="BG1079">
        <v>-2.27</v>
      </c>
      <c r="BH1079">
        <v>-3.59</v>
      </c>
      <c r="BI1079">
        <v>0</v>
      </c>
      <c r="BJ1079">
        <v>20210830</v>
      </c>
      <c r="BK1079">
        <v>20120911</v>
      </c>
      <c r="BL1079">
        <v>9.1</v>
      </c>
      <c r="BM1079" t="s">
        <v>120</v>
      </c>
      <c r="BN1079" t="s">
        <v>120</v>
      </c>
      <c r="BO1079">
        <v>27.67</v>
      </c>
      <c r="BP1079">
        <v>4.29</v>
      </c>
      <c r="BQ1079">
        <v>22.47</v>
      </c>
      <c r="BR1079">
        <v>0.1</v>
      </c>
      <c r="BS1079">
        <v>18.43</v>
      </c>
      <c r="BT1079">
        <v>13.71</v>
      </c>
      <c r="BU1079">
        <v>2.8</v>
      </c>
      <c r="BV1079">
        <v>0.7</v>
      </c>
      <c r="BW1079">
        <v>4.8600000000000003</v>
      </c>
      <c r="BX1079">
        <v>5.58</v>
      </c>
      <c r="BY1079">
        <v>2.27</v>
      </c>
      <c r="BZ1079">
        <v>3.75</v>
      </c>
      <c r="CA1079" t="s">
        <v>120</v>
      </c>
      <c r="CB1079">
        <v>18.59</v>
      </c>
      <c r="CC1079">
        <v>5.13</v>
      </c>
      <c r="CD1079">
        <v>4.3</v>
      </c>
      <c r="CE1079">
        <v>0.17</v>
      </c>
      <c r="CF1079">
        <v>0.32</v>
      </c>
      <c r="CG1079">
        <v>0.19</v>
      </c>
      <c r="CH1079">
        <v>0.25</v>
      </c>
      <c r="CI1079">
        <v>0.26</v>
      </c>
      <c r="CJ1079">
        <v>-0.11</v>
      </c>
      <c r="CK1079">
        <v>-7.0000000000000007E-2</v>
      </c>
      <c r="CL1079">
        <v>-5.75</v>
      </c>
      <c r="CM1079">
        <v>-1.91</v>
      </c>
      <c r="CN1079">
        <v>-6.25</v>
      </c>
      <c r="CO1079">
        <v>32919</v>
      </c>
      <c r="CP1079">
        <v>11401</v>
      </c>
      <c r="CQ1079" t="s">
        <v>6079</v>
      </c>
      <c r="CR1079">
        <v>43.72</v>
      </c>
      <c r="CS1079">
        <v>6.81</v>
      </c>
      <c r="CT1079">
        <v>1.74</v>
      </c>
      <c r="CU1079">
        <v>-20.46</v>
      </c>
      <c r="CV1079">
        <v>7.63</v>
      </c>
      <c r="CW1079">
        <v>0</v>
      </c>
      <c r="CX1079" t="s">
        <v>2074</v>
      </c>
      <c r="CY1079">
        <v>2.4700000000000002</v>
      </c>
      <c r="CZ1079">
        <v>0</v>
      </c>
      <c r="DA1079">
        <v>2.04</v>
      </c>
      <c r="DB1079">
        <v>-0.63</v>
      </c>
      <c r="DC1079">
        <v>-0.21</v>
      </c>
      <c r="DD1079">
        <v>81.209999999999994</v>
      </c>
      <c r="DE1079" t="s">
        <v>5141</v>
      </c>
      <c r="DF1079">
        <v>16.11</v>
      </c>
      <c r="DG1079">
        <v>3.24</v>
      </c>
      <c r="DH1079">
        <v>5.0999999999999996</v>
      </c>
      <c r="DI1079">
        <v>0.17</v>
      </c>
      <c r="DJ1079">
        <v>3078</v>
      </c>
      <c r="DK1079">
        <v>2699</v>
      </c>
      <c r="DL1079" t="s">
        <v>120</v>
      </c>
      <c r="DM1079" t="s">
        <v>120</v>
      </c>
      <c r="DN1079" t="s">
        <v>120</v>
      </c>
    </row>
    <row r="1080" spans="1:118">
      <c r="A1080" t="str">
        <f>"002701"</f>
        <v>002701</v>
      </c>
      <c r="B1080" t="s">
        <v>6080</v>
      </c>
      <c r="C1080">
        <v>-1.86</v>
      </c>
      <c r="D1080">
        <v>0</v>
      </c>
      <c r="E1080">
        <v>0.68</v>
      </c>
      <c r="F1080">
        <v>2900</v>
      </c>
      <c r="G1080" t="s">
        <v>6081</v>
      </c>
      <c r="H1080">
        <v>18635.5</v>
      </c>
      <c r="I1080">
        <v>37.31</v>
      </c>
      <c r="J1080" t="s">
        <v>120</v>
      </c>
      <c r="K1080" t="s">
        <v>6082</v>
      </c>
      <c r="L1080">
        <v>1.31</v>
      </c>
      <c r="M1080">
        <v>5.81</v>
      </c>
      <c r="N1080">
        <v>0.73</v>
      </c>
      <c r="O1080">
        <v>0.84</v>
      </c>
      <c r="P1080">
        <v>5.97</v>
      </c>
      <c r="Q1080">
        <v>-2.0299999999999998</v>
      </c>
      <c r="R1080">
        <v>5.8</v>
      </c>
      <c r="S1080">
        <v>5.96</v>
      </c>
      <c r="T1080">
        <v>317371</v>
      </c>
      <c r="U1080">
        <v>5.82</v>
      </c>
      <c r="V1080">
        <v>5.92</v>
      </c>
      <c r="W1080">
        <v>12.05</v>
      </c>
      <c r="X1080" t="s">
        <v>339</v>
      </c>
      <c r="Y1080" t="s">
        <v>158</v>
      </c>
      <c r="Z1080">
        <v>2.87</v>
      </c>
      <c r="AA1080">
        <v>5.87</v>
      </c>
      <c r="AB1080">
        <v>187804</v>
      </c>
      <c r="AC1080">
        <v>129567</v>
      </c>
      <c r="AD1080">
        <v>1.45</v>
      </c>
      <c r="AE1080">
        <v>1489</v>
      </c>
      <c r="AF1080">
        <v>1306</v>
      </c>
      <c r="AG1080" t="s">
        <v>120</v>
      </c>
      <c r="AH1080">
        <v>0</v>
      </c>
      <c r="AI1080" t="s">
        <v>120</v>
      </c>
      <c r="AJ1080">
        <v>24.22</v>
      </c>
      <c r="AK1080" t="s">
        <v>5416</v>
      </c>
      <c r="AL1080">
        <v>0.06</v>
      </c>
      <c r="AM1080">
        <v>3180</v>
      </c>
      <c r="AN1080">
        <v>100</v>
      </c>
      <c r="AO1080">
        <v>4.0000000000000002E-4</v>
      </c>
      <c r="AP1080">
        <v>-2</v>
      </c>
      <c r="AQ1080">
        <v>-2.31</v>
      </c>
      <c r="AR1080">
        <v>-2.19</v>
      </c>
      <c r="AS1080">
        <v>1.93</v>
      </c>
      <c r="AT1080">
        <v>12.17</v>
      </c>
      <c r="AU1080">
        <v>18.579999999999998</v>
      </c>
      <c r="AV1080">
        <v>2</v>
      </c>
      <c r="AW1080">
        <v>2.1</v>
      </c>
      <c r="AX1080">
        <v>62.25</v>
      </c>
      <c r="AY1080">
        <v>12.92</v>
      </c>
      <c r="AZ1080">
        <v>20.28</v>
      </c>
      <c r="BA1080">
        <v>0.32</v>
      </c>
      <c r="BB1080" t="s">
        <v>240</v>
      </c>
      <c r="BF1080">
        <v>-0.81</v>
      </c>
      <c r="BG1080">
        <v>-2.52</v>
      </c>
      <c r="BH1080">
        <v>-2.68</v>
      </c>
      <c r="BI1080">
        <v>0.17</v>
      </c>
      <c r="BJ1080">
        <v>20210901</v>
      </c>
      <c r="BK1080">
        <v>20121011</v>
      </c>
      <c r="BL1080">
        <v>24.24</v>
      </c>
      <c r="BM1080" t="s">
        <v>120</v>
      </c>
      <c r="BN1080" t="s">
        <v>120</v>
      </c>
      <c r="BO1080">
        <v>158.52000000000001</v>
      </c>
      <c r="BP1080">
        <v>5.81</v>
      </c>
      <c r="BQ1080">
        <v>70.989999999999995</v>
      </c>
      <c r="BR1080">
        <v>2.0499999999999998</v>
      </c>
      <c r="BS1080">
        <v>53.93</v>
      </c>
      <c r="BT1080">
        <v>64.98</v>
      </c>
      <c r="BU1080">
        <v>35.26</v>
      </c>
      <c r="BV1080">
        <v>4.95</v>
      </c>
      <c r="BW1080">
        <v>61.4</v>
      </c>
      <c r="BX1080">
        <v>13.51</v>
      </c>
      <c r="BY1080">
        <v>13.54</v>
      </c>
      <c r="BZ1080">
        <v>30.21</v>
      </c>
      <c r="CA1080" t="s">
        <v>120</v>
      </c>
      <c r="CB1080">
        <v>2.2200000000000002</v>
      </c>
      <c r="CC1080">
        <v>65.489999999999995</v>
      </c>
      <c r="CD1080">
        <v>53.06</v>
      </c>
      <c r="CE1080">
        <v>7.95</v>
      </c>
      <c r="CF1080">
        <v>0.77</v>
      </c>
      <c r="CG1080">
        <v>7.98</v>
      </c>
      <c r="CH1080">
        <v>5.85</v>
      </c>
      <c r="CI1080">
        <v>5.84</v>
      </c>
      <c r="CJ1080">
        <v>-0.11</v>
      </c>
      <c r="CK1080">
        <v>5.6</v>
      </c>
      <c r="CL1080">
        <v>36.909999999999997</v>
      </c>
      <c r="CM1080">
        <v>7.84</v>
      </c>
      <c r="CN1080">
        <v>3.34</v>
      </c>
      <c r="CO1080">
        <v>49928</v>
      </c>
      <c r="CP1080">
        <v>30217</v>
      </c>
      <c r="CQ1080" t="s">
        <v>6083</v>
      </c>
      <c r="CR1080">
        <v>221.65</v>
      </c>
      <c r="CS1080">
        <v>41.05</v>
      </c>
      <c r="CT1080">
        <v>2.0299999999999998</v>
      </c>
      <c r="CU1080">
        <v>17.97</v>
      </c>
      <c r="CV1080">
        <v>2.15</v>
      </c>
      <c r="CW1080">
        <v>0.68</v>
      </c>
      <c r="CX1080" t="s">
        <v>626</v>
      </c>
      <c r="CY1080">
        <v>2.86</v>
      </c>
      <c r="CZ1080">
        <v>2.86</v>
      </c>
      <c r="DA1080">
        <v>0.09</v>
      </c>
      <c r="DB1080">
        <v>1.52</v>
      </c>
      <c r="DC1080">
        <v>0.32</v>
      </c>
      <c r="DD1080">
        <v>44.78</v>
      </c>
      <c r="DE1080" t="s">
        <v>6084</v>
      </c>
      <c r="DF1080">
        <v>18.97</v>
      </c>
      <c r="DG1080">
        <v>12.14</v>
      </c>
      <c r="DH1080">
        <v>8.92</v>
      </c>
      <c r="DI1080">
        <v>0.16</v>
      </c>
      <c r="DJ1080">
        <v>4188</v>
      </c>
      <c r="DK1080">
        <v>2701</v>
      </c>
      <c r="DL1080" t="s">
        <v>120</v>
      </c>
      <c r="DM1080" t="s">
        <v>120</v>
      </c>
      <c r="DN1080" t="s">
        <v>120</v>
      </c>
    </row>
    <row r="1081" spans="1:118">
      <c r="A1081" t="str">
        <f>"002702"</f>
        <v>002702</v>
      </c>
      <c r="B1081" t="s">
        <v>6085</v>
      </c>
      <c r="C1081">
        <v>-1.24</v>
      </c>
      <c r="D1081">
        <v>0.18</v>
      </c>
      <c r="E1081">
        <v>-0.36</v>
      </c>
      <c r="F1081">
        <v>416</v>
      </c>
      <c r="G1081" t="s">
        <v>6086</v>
      </c>
      <c r="H1081">
        <v>4838.32</v>
      </c>
      <c r="I1081">
        <v>29.4</v>
      </c>
      <c r="J1081" t="s">
        <v>120</v>
      </c>
      <c r="K1081" t="s">
        <v>5516</v>
      </c>
      <c r="L1081">
        <v>2.2400000000000002</v>
      </c>
      <c r="M1081">
        <v>5.56</v>
      </c>
      <c r="N1081">
        <v>1.23</v>
      </c>
      <c r="O1081">
        <v>1.07</v>
      </c>
      <c r="P1081">
        <v>5.69</v>
      </c>
      <c r="Q1081">
        <v>-1.6</v>
      </c>
      <c r="R1081">
        <v>5.54</v>
      </c>
      <c r="S1081">
        <v>5.61</v>
      </c>
      <c r="T1081">
        <v>86509</v>
      </c>
      <c r="U1081">
        <v>5.56</v>
      </c>
      <c r="V1081">
        <v>5.63</v>
      </c>
      <c r="W1081" t="s">
        <v>120</v>
      </c>
      <c r="X1081" t="s">
        <v>847</v>
      </c>
      <c r="Y1081" t="s">
        <v>937</v>
      </c>
      <c r="Z1081">
        <v>2.66</v>
      </c>
      <c r="AA1081">
        <v>5.59</v>
      </c>
      <c r="AB1081">
        <v>46000</v>
      </c>
      <c r="AC1081">
        <v>40509</v>
      </c>
      <c r="AD1081">
        <v>1.1399999999999999</v>
      </c>
      <c r="AE1081">
        <v>513</v>
      </c>
      <c r="AF1081">
        <v>400</v>
      </c>
      <c r="AG1081" t="s">
        <v>120</v>
      </c>
      <c r="AH1081">
        <v>0.02</v>
      </c>
      <c r="AI1081" t="s">
        <v>120</v>
      </c>
      <c r="AJ1081">
        <v>3.86</v>
      </c>
      <c r="AK1081" t="s">
        <v>6087</v>
      </c>
      <c r="AL1081">
        <v>0.67</v>
      </c>
      <c r="AM1081">
        <v>1728</v>
      </c>
      <c r="AN1081">
        <v>50</v>
      </c>
      <c r="AO1081">
        <v>1.2999999999999999E-3</v>
      </c>
      <c r="AP1081">
        <v>-1</v>
      </c>
      <c r="AQ1081">
        <v>2.74</v>
      </c>
      <c r="AR1081">
        <v>2.02</v>
      </c>
      <c r="AS1081">
        <v>4.51</v>
      </c>
      <c r="AT1081">
        <v>-7.64</v>
      </c>
      <c r="AU1081">
        <v>-35.200000000000003</v>
      </c>
      <c r="AV1081">
        <v>2</v>
      </c>
      <c r="AW1081">
        <v>3.27</v>
      </c>
      <c r="AX1081">
        <v>55.09</v>
      </c>
      <c r="AY1081">
        <v>614.48</v>
      </c>
      <c r="AZ1081">
        <v>38.11</v>
      </c>
      <c r="BA1081">
        <v>0.35</v>
      </c>
      <c r="BB1081" t="s">
        <v>700</v>
      </c>
      <c r="BF1081">
        <v>-0.66</v>
      </c>
      <c r="BG1081">
        <v>-0.89</v>
      </c>
      <c r="BH1081">
        <v>-2.2799999999999998</v>
      </c>
      <c r="BI1081">
        <v>0.36</v>
      </c>
      <c r="BJ1081">
        <v>20210826</v>
      </c>
      <c r="BK1081">
        <v>20121011</v>
      </c>
      <c r="BL1081">
        <v>4.8099999999999996</v>
      </c>
      <c r="BM1081" t="s">
        <v>120</v>
      </c>
      <c r="BN1081" t="s">
        <v>120</v>
      </c>
      <c r="BO1081">
        <v>12.45</v>
      </c>
      <c r="BP1081">
        <v>5.55</v>
      </c>
      <c r="BQ1081">
        <v>7.9</v>
      </c>
      <c r="BR1081">
        <v>0.1</v>
      </c>
      <c r="BS1081">
        <v>35.79</v>
      </c>
      <c r="BT1081">
        <v>6.38</v>
      </c>
      <c r="BU1081">
        <v>3.1</v>
      </c>
      <c r="BV1081">
        <v>0.69</v>
      </c>
      <c r="BW1081">
        <v>4.09</v>
      </c>
      <c r="BX1081">
        <v>0.88</v>
      </c>
      <c r="BY1081">
        <v>3.3</v>
      </c>
      <c r="BZ1081">
        <v>1.31</v>
      </c>
      <c r="CA1081" t="s">
        <v>120</v>
      </c>
      <c r="CB1081">
        <v>1.05</v>
      </c>
      <c r="CC1081">
        <v>6.89</v>
      </c>
      <c r="CD1081">
        <v>5.61</v>
      </c>
      <c r="CE1081">
        <v>-0.19</v>
      </c>
      <c r="CF1081">
        <v>0.01</v>
      </c>
      <c r="CG1081">
        <v>-0.18</v>
      </c>
      <c r="CH1081">
        <v>-0.25</v>
      </c>
      <c r="CI1081">
        <v>-0.24</v>
      </c>
      <c r="CJ1081">
        <v>-7.0000000000000007E-2</v>
      </c>
      <c r="CK1081">
        <v>-0.28999999999999998</v>
      </c>
      <c r="CL1081">
        <v>1.69</v>
      </c>
      <c r="CM1081">
        <v>-0.4</v>
      </c>
      <c r="CN1081">
        <v>-0.31</v>
      </c>
      <c r="CO1081">
        <v>53094</v>
      </c>
      <c r="CP1081">
        <v>4989</v>
      </c>
      <c r="CQ1081" t="s">
        <v>6088</v>
      </c>
      <c r="CR1081">
        <v>-156.4</v>
      </c>
      <c r="CS1081">
        <v>3.11</v>
      </c>
      <c r="CT1081">
        <v>3.38</v>
      </c>
      <c r="CU1081">
        <v>-66.16</v>
      </c>
      <c r="CV1081">
        <v>3.88</v>
      </c>
      <c r="CW1081">
        <v>0.89</v>
      </c>
      <c r="CX1081" t="s">
        <v>161</v>
      </c>
      <c r="CY1081">
        <v>1.64</v>
      </c>
      <c r="CZ1081">
        <v>0</v>
      </c>
      <c r="DA1081">
        <v>0.22</v>
      </c>
      <c r="DB1081">
        <v>0.35</v>
      </c>
      <c r="DC1081">
        <v>-0.08</v>
      </c>
      <c r="DD1081">
        <v>63.43</v>
      </c>
      <c r="DE1081" t="s">
        <v>6089</v>
      </c>
      <c r="DF1081">
        <v>18.5</v>
      </c>
      <c r="DG1081">
        <v>-2.8</v>
      </c>
      <c r="DH1081">
        <v>-3.49</v>
      </c>
      <c r="DI1081">
        <v>0.08</v>
      </c>
      <c r="DJ1081">
        <v>1717</v>
      </c>
      <c r="DK1081">
        <v>2702</v>
      </c>
      <c r="DL1081" t="s">
        <v>120</v>
      </c>
      <c r="DM1081" t="s">
        <v>120</v>
      </c>
      <c r="DN1081" t="s">
        <v>120</v>
      </c>
    </row>
    <row r="1082" spans="1:118">
      <c r="A1082" t="str">
        <f>"002703"</f>
        <v>002703</v>
      </c>
      <c r="B1082" t="s">
        <v>6090</v>
      </c>
      <c r="C1082">
        <v>-1.04</v>
      </c>
      <c r="D1082">
        <v>0</v>
      </c>
      <c r="E1082">
        <v>-0.69</v>
      </c>
      <c r="F1082">
        <v>1103</v>
      </c>
      <c r="G1082" t="s">
        <v>6091</v>
      </c>
      <c r="H1082">
        <v>4983.79</v>
      </c>
      <c r="I1082">
        <v>23.23</v>
      </c>
      <c r="J1082" t="s">
        <v>120</v>
      </c>
      <c r="K1082" t="s">
        <v>6092</v>
      </c>
      <c r="L1082">
        <v>1.55</v>
      </c>
      <c r="M1082">
        <v>5.73</v>
      </c>
      <c r="N1082">
        <v>1.05</v>
      </c>
      <c r="O1082">
        <v>1.73</v>
      </c>
      <c r="P1082">
        <v>5.89</v>
      </c>
      <c r="Q1082">
        <v>-1.38</v>
      </c>
      <c r="R1082">
        <v>5.71</v>
      </c>
      <c r="S1082">
        <v>5.75</v>
      </c>
      <c r="T1082">
        <v>85857</v>
      </c>
      <c r="U1082">
        <v>5.74</v>
      </c>
      <c r="V1082">
        <v>5.79</v>
      </c>
      <c r="W1082">
        <v>65.680000000000007</v>
      </c>
      <c r="X1082" t="s">
        <v>289</v>
      </c>
      <c r="Y1082" t="s">
        <v>585</v>
      </c>
      <c r="Z1082">
        <v>3.11</v>
      </c>
      <c r="AA1082">
        <v>5.8</v>
      </c>
      <c r="AB1082">
        <v>39703</v>
      </c>
      <c r="AC1082">
        <v>46154</v>
      </c>
      <c r="AD1082">
        <v>0.86</v>
      </c>
      <c r="AE1082">
        <v>15</v>
      </c>
      <c r="AF1082">
        <v>213</v>
      </c>
      <c r="AG1082" t="s">
        <v>120</v>
      </c>
      <c r="AH1082">
        <v>0.02</v>
      </c>
      <c r="AI1082" t="s">
        <v>120</v>
      </c>
      <c r="AJ1082">
        <v>5.53</v>
      </c>
      <c r="AK1082" t="s">
        <v>6093</v>
      </c>
      <c r="AL1082">
        <v>0.88</v>
      </c>
      <c r="AM1082">
        <v>1302</v>
      </c>
      <c r="AN1082">
        <v>66</v>
      </c>
      <c r="AO1082">
        <v>1.1999999999999999E-3</v>
      </c>
      <c r="AP1082">
        <v>-1</v>
      </c>
      <c r="AQ1082">
        <v>1.22</v>
      </c>
      <c r="AR1082">
        <v>-0.87</v>
      </c>
      <c r="AS1082">
        <v>-1.89</v>
      </c>
      <c r="AT1082">
        <v>-5.76</v>
      </c>
      <c r="AU1082">
        <v>-2.06</v>
      </c>
      <c r="AV1082">
        <v>8</v>
      </c>
      <c r="AW1082">
        <v>4.0599999999999996</v>
      </c>
      <c r="AX1082">
        <v>36.880000000000003</v>
      </c>
      <c r="AY1082">
        <v>78.540000000000006</v>
      </c>
      <c r="AZ1082">
        <v>111.93</v>
      </c>
      <c r="BA1082">
        <v>0.5</v>
      </c>
      <c r="BB1082" t="s">
        <v>143</v>
      </c>
      <c r="BF1082">
        <v>0.25</v>
      </c>
      <c r="BG1082">
        <v>-0.35</v>
      </c>
      <c r="BH1082">
        <v>-2.72</v>
      </c>
      <c r="BI1082">
        <v>0.35</v>
      </c>
      <c r="BJ1082">
        <v>20210823</v>
      </c>
      <c r="BK1082">
        <v>20121102</v>
      </c>
      <c r="BL1082">
        <v>7.9</v>
      </c>
      <c r="BM1082" t="s">
        <v>120</v>
      </c>
      <c r="BN1082">
        <v>2.17</v>
      </c>
      <c r="BO1082">
        <v>20.21</v>
      </c>
      <c r="BP1082">
        <v>5.73</v>
      </c>
      <c r="BQ1082">
        <v>13.77</v>
      </c>
      <c r="BR1082">
        <v>-0.15</v>
      </c>
      <c r="BS1082">
        <v>32.61</v>
      </c>
      <c r="BT1082">
        <v>10.59</v>
      </c>
      <c r="BU1082">
        <v>6.27</v>
      </c>
      <c r="BV1082">
        <v>0.81</v>
      </c>
      <c r="BW1082">
        <v>6.07</v>
      </c>
      <c r="BX1082">
        <v>1.39</v>
      </c>
      <c r="BY1082">
        <v>3.05</v>
      </c>
      <c r="BZ1082">
        <v>3.52</v>
      </c>
      <c r="CA1082">
        <v>0.08</v>
      </c>
      <c r="CB1082">
        <v>1.82</v>
      </c>
      <c r="CC1082">
        <v>5.73</v>
      </c>
      <c r="CD1082">
        <v>4.32</v>
      </c>
      <c r="CE1082">
        <v>0.34</v>
      </c>
      <c r="CF1082">
        <v>0</v>
      </c>
      <c r="CG1082">
        <v>0.34</v>
      </c>
      <c r="CH1082">
        <v>0.33</v>
      </c>
      <c r="CI1082">
        <v>0.34</v>
      </c>
      <c r="CJ1082">
        <v>-0.06</v>
      </c>
      <c r="CK1082">
        <v>0.17</v>
      </c>
      <c r="CL1082">
        <v>2.7</v>
      </c>
      <c r="CM1082">
        <v>0.66</v>
      </c>
      <c r="CN1082">
        <v>-0.28000000000000003</v>
      </c>
      <c r="CO1082">
        <v>30934</v>
      </c>
      <c r="CP1082">
        <v>6830</v>
      </c>
      <c r="CQ1082" t="s">
        <v>4620</v>
      </c>
      <c r="CR1082">
        <v>101.72</v>
      </c>
      <c r="CS1082">
        <v>17.600000000000001</v>
      </c>
      <c r="CT1082">
        <v>3.29</v>
      </c>
      <c r="CU1082">
        <v>68.55</v>
      </c>
      <c r="CV1082">
        <v>7.9</v>
      </c>
      <c r="CW1082">
        <v>0</v>
      </c>
      <c r="CX1082" t="s">
        <v>520</v>
      </c>
      <c r="CY1082">
        <v>1.74</v>
      </c>
      <c r="CZ1082">
        <v>0</v>
      </c>
      <c r="DA1082">
        <v>0.23</v>
      </c>
      <c r="DB1082">
        <v>0.34</v>
      </c>
      <c r="DC1082">
        <v>0.08</v>
      </c>
      <c r="DD1082">
        <v>68.16</v>
      </c>
      <c r="DE1082" t="s">
        <v>6094</v>
      </c>
      <c r="DF1082">
        <v>24.59</v>
      </c>
      <c r="DG1082">
        <v>5.88</v>
      </c>
      <c r="DH1082">
        <v>6.01</v>
      </c>
      <c r="DI1082">
        <v>0.37</v>
      </c>
      <c r="DJ1082">
        <v>1651</v>
      </c>
      <c r="DK1082">
        <v>2703</v>
      </c>
      <c r="DL1082" t="s">
        <v>120</v>
      </c>
      <c r="DM1082" t="s">
        <v>120</v>
      </c>
      <c r="DN1082" t="s">
        <v>120</v>
      </c>
    </row>
    <row r="1083" spans="1:118">
      <c r="A1083" t="str">
        <f>"002705"</f>
        <v>002705</v>
      </c>
      <c r="B1083" t="s">
        <v>6095</v>
      </c>
      <c r="C1083">
        <v>-3.26</v>
      </c>
      <c r="D1083">
        <v>-0.48</v>
      </c>
      <c r="E1083">
        <v>-0.19</v>
      </c>
      <c r="F1083">
        <v>2288</v>
      </c>
      <c r="G1083" t="s">
        <v>6096</v>
      </c>
      <c r="H1083">
        <v>17750.560000000001</v>
      </c>
      <c r="I1083">
        <v>24.56</v>
      </c>
      <c r="J1083" t="s">
        <v>120</v>
      </c>
      <c r="K1083" t="s">
        <v>6097</v>
      </c>
      <c r="L1083">
        <v>1.05</v>
      </c>
      <c r="M1083">
        <v>20.170000000000002</v>
      </c>
      <c r="N1083">
        <v>1.1499999999999999</v>
      </c>
      <c r="O1083">
        <v>0.72</v>
      </c>
      <c r="P1083">
        <v>21</v>
      </c>
      <c r="Q1083">
        <v>-3.26</v>
      </c>
      <c r="R1083">
        <v>20.170000000000002</v>
      </c>
      <c r="S1083">
        <v>20.81</v>
      </c>
      <c r="T1083">
        <v>86596</v>
      </c>
      <c r="U1083">
        <v>20.260000000000002</v>
      </c>
      <c r="V1083">
        <v>20.85</v>
      </c>
      <c r="W1083">
        <v>26.53</v>
      </c>
      <c r="X1083" t="s">
        <v>205</v>
      </c>
      <c r="Y1083" t="s">
        <v>547</v>
      </c>
      <c r="Z1083">
        <v>3.98</v>
      </c>
      <c r="AA1083">
        <v>20.5</v>
      </c>
      <c r="AB1083">
        <v>52244</v>
      </c>
      <c r="AC1083">
        <v>34352</v>
      </c>
      <c r="AD1083">
        <v>1.52</v>
      </c>
      <c r="AE1083">
        <v>28</v>
      </c>
      <c r="AF1083">
        <v>149</v>
      </c>
      <c r="AG1083" t="s">
        <v>120</v>
      </c>
      <c r="AH1083">
        <v>0</v>
      </c>
      <c r="AI1083" t="s">
        <v>120</v>
      </c>
      <c r="AJ1083">
        <v>8.23</v>
      </c>
      <c r="AK1083" t="s">
        <v>6098</v>
      </c>
      <c r="AL1083">
        <v>-1.35</v>
      </c>
      <c r="AM1083">
        <v>2898</v>
      </c>
      <c r="AN1083">
        <v>30</v>
      </c>
      <c r="AO1083">
        <v>4.0000000000000002E-4</v>
      </c>
      <c r="AP1083">
        <v>-5</v>
      </c>
      <c r="AQ1083">
        <v>-1.42</v>
      </c>
      <c r="AR1083">
        <v>-5.13</v>
      </c>
      <c r="AS1083">
        <v>-12.53</v>
      </c>
      <c r="AT1083">
        <v>-27.76</v>
      </c>
      <c r="AU1083">
        <v>-51.57</v>
      </c>
      <c r="AV1083">
        <v>4</v>
      </c>
      <c r="AW1083">
        <v>2.94</v>
      </c>
      <c r="AX1083">
        <v>35.68</v>
      </c>
      <c r="AY1083">
        <v>17.2</v>
      </c>
      <c r="AZ1083">
        <v>15.41</v>
      </c>
      <c r="BA1083">
        <v>0.83</v>
      </c>
      <c r="BB1083" t="s">
        <v>240</v>
      </c>
      <c r="BF1083">
        <v>-1.69</v>
      </c>
      <c r="BG1083">
        <v>-3.08</v>
      </c>
      <c r="BH1083">
        <v>-3.95</v>
      </c>
      <c r="BI1083">
        <v>0</v>
      </c>
      <c r="BJ1083">
        <v>20210913</v>
      </c>
      <c r="BK1083">
        <v>20140121</v>
      </c>
      <c r="BL1083">
        <v>8.27</v>
      </c>
      <c r="BM1083" t="s">
        <v>120</v>
      </c>
      <c r="BN1083" t="s">
        <v>120</v>
      </c>
      <c r="BO1083">
        <v>122.11</v>
      </c>
      <c r="BP1083">
        <v>20.170000000000002</v>
      </c>
      <c r="BQ1083">
        <v>58.56</v>
      </c>
      <c r="BR1083">
        <v>0.67</v>
      </c>
      <c r="BS1083">
        <v>51.5</v>
      </c>
      <c r="BT1083">
        <v>82.63</v>
      </c>
      <c r="BU1083">
        <v>23.66</v>
      </c>
      <c r="BV1083">
        <v>5.15</v>
      </c>
      <c r="BW1083">
        <v>61.62</v>
      </c>
      <c r="BX1083">
        <v>34.700000000000003</v>
      </c>
      <c r="BY1083">
        <v>26.68</v>
      </c>
      <c r="BZ1083">
        <v>15.25</v>
      </c>
      <c r="CA1083" t="s">
        <v>120</v>
      </c>
      <c r="CB1083">
        <v>20.55</v>
      </c>
      <c r="CC1083">
        <v>66.44</v>
      </c>
      <c r="CD1083">
        <v>54.66</v>
      </c>
      <c r="CE1083">
        <v>4</v>
      </c>
      <c r="CF1083">
        <v>1.19</v>
      </c>
      <c r="CG1083">
        <v>4.04</v>
      </c>
      <c r="CH1083">
        <v>3.31</v>
      </c>
      <c r="CI1083">
        <v>3.14</v>
      </c>
      <c r="CJ1083">
        <v>-0.68</v>
      </c>
      <c r="CK1083">
        <v>2.86</v>
      </c>
      <c r="CL1083">
        <v>25.01</v>
      </c>
      <c r="CM1083">
        <v>-3.15</v>
      </c>
      <c r="CN1083">
        <v>-7.71</v>
      </c>
      <c r="CO1083">
        <v>31689</v>
      </c>
      <c r="CP1083">
        <v>9309</v>
      </c>
      <c r="CQ1083" t="s">
        <v>4830</v>
      </c>
      <c r="CR1083">
        <v>-27.04</v>
      </c>
      <c r="CS1083">
        <v>31.69</v>
      </c>
      <c r="CT1083">
        <v>2.85</v>
      </c>
      <c r="CU1083">
        <v>-53.02</v>
      </c>
      <c r="CV1083">
        <v>2.5099999999999998</v>
      </c>
      <c r="CW1083">
        <v>2.88</v>
      </c>
      <c r="CX1083" t="s">
        <v>2429</v>
      </c>
      <c r="CY1083">
        <v>7.08</v>
      </c>
      <c r="CZ1083">
        <v>0</v>
      </c>
      <c r="DA1083">
        <v>2.4900000000000002</v>
      </c>
      <c r="DB1083">
        <v>3.02</v>
      </c>
      <c r="DC1083">
        <v>-0.38</v>
      </c>
      <c r="DD1083">
        <v>47.96</v>
      </c>
      <c r="DE1083" t="s">
        <v>1216</v>
      </c>
      <c r="DF1083">
        <v>17.73</v>
      </c>
      <c r="DG1083">
        <v>6.03</v>
      </c>
      <c r="DH1083">
        <v>4.7300000000000004</v>
      </c>
      <c r="DI1083">
        <v>1.92</v>
      </c>
      <c r="DJ1083">
        <v>28786</v>
      </c>
      <c r="DK1083">
        <v>2705</v>
      </c>
      <c r="DL1083" t="s">
        <v>120</v>
      </c>
      <c r="DM1083" t="s">
        <v>120</v>
      </c>
      <c r="DN1083" t="s">
        <v>120</v>
      </c>
    </row>
    <row r="1084" spans="1:118">
      <c r="A1084" t="str">
        <f>"002706"</f>
        <v>002706</v>
      </c>
      <c r="B1084" t="s">
        <v>6099</v>
      </c>
      <c r="C1084">
        <v>-5.35</v>
      </c>
      <c r="D1084">
        <v>7.0000000000000007E-2</v>
      </c>
      <c r="E1084">
        <v>-0.91</v>
      </c>
      <c r="F1084">
        <v>490</v>
      </c>
      <c r="G1084" t="s">
        <v>6100</v>
      </c>
      <c r="H1084">
        <v>19047.8</v>
      </c>
      <c r="I1084">
        <v>60.8</v>
      </c>
      <c r="J1084" t="s">
        <v>120</v>
      </c>
      <c r="K1084" t="s">
        <v>5412</v>
      </c>
      <c r="L1084">
        <v>1.65</v>
      </c>
      <c r="M1084">
        <v>14.52</v>
      </c>
      <c r="N1084">
        <v>1.29</v>
      </c>
      <c r="O1084">
        <v>0</v>
      </c>
      <c r="P1084">
        <v>15.34</v>
      </c>
      <c r="Q1084">
        <v>-6.13</v>
      </c>
      <c r="R1084">
        <v>14.4</v>
      </c>
      <c r="S1084">
        <v>15.2</v>
      </c>
      <c r="T1084">
        <v>129249</v>
      </c>
      <c r="U1084">
        <v>14.53</v>
      </c>
      <c r="V1084">
        <v>15.34</v>
      </c>
      <c r="W1084">
        <v>36.369999999999997</v>
      </c>
      <c r="X1084" t="s">
        <v>394</v>
      </c>
      <c r="Y1084" t="s">
        <v>1510</v>
      </c>
      <c r="Z1084">
        <v>6.13</v>
      </c>
      <c r="AA1084">
        <v>14.74</v>
      </c>
      <c r="AB1084">
        <v>80821</v>
      </c>
      <c r="AC1084">
        <v>48428</v>
      </c>
      <c r="AD1084">
        <v>1.67</v>
      </c>
      <c r="AE1084">
        <v>112</v>
      </c>
      <c r="AF1084">
        <v>203</v>
      </c>
      <c r="AG1084" t="s">
        <v>120</v>
      </c>
      <c r="AH1084">
        <v>0.01</v>
      </c>
      <c r="AI1084" t="s">
        <v>120</v>
      </c>
      <c r="AJ1084">
        <v>7.83</v>
      </c>
      <c r="AK1084" t="s">
        <v>6101</v>
      </c>
      <c r="AL1084">
        <v>-3.43</v>
      </c>
      <c r="AM1084">
        <v>3360</v>
      </c>
      <c r="AN1084">
        <v>38</v>
      </c>
      <c r="AO1084">
        <v>5.0000000000000001E-4</v>
      </c>
      <c r="AP1084">
        <v>-1</v>
      </c>
      <c r="AQ1084">
        <v>2.13</v>
      </c>
      <c r="AR1084">
        <v>-4.79</v>
      </c>
      <c r="AS1084">
        <v>-13.57</v>
      </c>
      <c r="AT1084">
        <v>-28.58</v>
      </c>
      <c r="AU1084">
        <v>-37.78</v>
      </c>
      <c r="AV1084">
        <v>1</v>
      </c>
      <c r="AW1084">
        <v>1.95</v>
      </c>
      <c r="AX1084">
        <v>64.94</v>
      </c>
      <c r="AY1084">
        <v>40.619999999999997</v>
      </c>
      <c r="AZ1084">
        <v>41.64</v>
      </c>
      <c r="BA1084">
        <v>0.46</v>
      </c>
      <c r="BB1084" t="s">
        <v>168</v>
      </c>
      <c r="BF1084">
        <v>-3.93</v>
      </c>
      <c r="BG1084">
        <v>-4.47</v>
      </c>
      <c r="BH1084">
        <v>-5.35</v>
      </c>
      <c r="BI1084">
        <v>0.83</v>
      </c>
      <c r="BJ1084">
        <v>20210826</v>
      </c>
      <c r="BK1084">
        <v>20140121</v>
      </c>
      <c r="BL1084">
        <v>10.19</v>
      </c>
      <c r="BM1084" t="s">
        <v>120</v>
      </c>
      <c r="BN1084" t="s">
        <v>120</v>
      </c>
      <c r="BO1084">
        <v>38.17</v>
      </c>
      <c r="BP1084">
        <v>14.52</v>
      </c>
      <c r="BQ1084">
        <v>19.850000000000001</v>
      </c>
      <c r="BR1084" t="s">
        <v>120</v>
      </c>
      <c r="BS1084">
        <v>48.01</v>
      </c>
      <c r="BT1084">
        <v>21.88</v>
      </c>
      <c r="BU1084">
        <v>7.27</v>
      </c>
      <c r="BV1084">
        <v>1.5</v>
      </c>
      <c r="BW1084">
        <v>15.72</v>
      </c>
      <c r="BX1084">
        <v>4.53</v>
      </c>
      <c r="BY1084">
        <v>4.6500000000000004</v>
      </c>
      <c r="BZ1084">
        <v>4.53</v>
      </c>
      <c r="CA1084" t="s">
        <v>120</v>
      </c>
      <c r="CB1084">
        <v>2.33</v>
      </c>
      <c r="CC1084">
        <v>17.760000000000002</v>
      </c>
      <c r="CD1084">
        <v>11.23</v>
      </c>
      <c r="CE1084">
        <v>1.89</v>
      </c>
      <c r="CF1084">
        <v>0</v>
      </c>
      <c r="CG1084">
        <v>2.13</v>
      </c>
      <c r="CH1084">
        <v>2.0299999999999998</v>
      </c>
      <c r="CI1084">
        <v>2.0299999999999998</v>
      </c>
      <c r="CJ1084">
        <v>-0.82</v>
      </c>
      <c r="CK1084">
        <v>1.8</v>
      </c>
      <c r="CL1084">
        <v>7.18</v>
      </c>
      <c r="CM1084">
        <v>-0.35</v>
      </c>
      <c r="CN1084">
        <v>-0.95</v>
      </c>
      <c r="CO1084">
        <v>19732</v>
      </c>
      <c r="CP1084">
        <v>33541</v>
      </c>
      <c r="CQ1084" t="s">
        <v>6102</v>
      </c>
      <c r="CR1084">
        <v>4.84</v>
      </c>
      <c r="CS1084">
        <v>38.51</v>
      </c>
      <c r="CT1084">
        <v>7.46</v>
      </c>
      <c r="CU1084">
        <v>-418.84</v>
      </c>
      <c r="CV1084">
        <v>8.33</v>
      </c>
      <c r="CW1084">
        <v>1.5</v>
      </c>
      <c r="CX1084" t="s">
        <v>492</v>
      </c>
      <c r="CY1084">
        <v>1.95</v>
      </c>
      <c r="CZ1084">
        <v>0</v>
      </c>
      <c r="DA1084">
        <v>0.23</v>
      </c>
      <c r="DB1084">
        <v>0.7</v>
      </c>
      <c r="DC1084">
        <v>-0.03</v>
      </c>
      <c r="DD1084">
        <v>51.99</v>
      </c>
      <c r="DE1084" t="s">
        <v>6103</v>
      </c>
      <c r="DF1084">
        <v>36.770000000000003</v>
      </c>
      <c r="DG1084">
        <v>10.64</v>
      </c>
      <c r="DH1084">
        <v>11.45</v>
      </c>
      <c r="DI1084">
        <v>1.68</v>
      </c>
      <c r="DJ1084">
        <v>2975</v>
      </c>
      <c r="DK1084">
        <v>2706</v>
      </c>
      <c r="DL1084" t="s">
        <v>120</v>
      </c>
      <c r="DM1084" t="s">
        <v>120</v>
      </c>
      <c r="DN1084" t="s">
        <v>120</v>
      </c>
    </row>
    <row r="1085" spans="1:118">
      <c r="A1085" t="str">
        <f>"002707"</f>
        <v>002707</v>
      </c>
      <c r="B1085" t="s">
        <v>6104</v>
      </c>
      <c r="C1085">
        <v>0.41</v>
      </c>
      <c r="D1085">
        <v>0</v>
      </c>
      <c r="E1085">
        <v>0</v>
      </c>
      <c r="F1085">
        <v>756</v>
      </c>
      <c r="G1085" t="s">
        <v>4664</v>
      </c>
      <c r="H1085">
        <v>6868.5</v>
      </c>
      <c r="I1085">
        <v>18.12</v>
      </c>
      <c r="J1085" t="s">
        <v>120</v>
      </c>
      <c r="K1085" t="s">
        <v>6105</v>
      </c>
      <c r="L1085">
        <v>2.16</v>
      </c>
      <c r="M1085">
        <v>4.93</v>
      </c>
      <c r="N1085">
        <v>0.72</v>
      </c>
      <c r="O1085">
        <v>2.65</v>
      </c>
      <c r="P1085">
        <v>5.04</v>
      </c>
      <c r="Q1085">
        <v>-0.61</v>
      </c>
      <c r="R1085">
        <v>4.88</v>
      </c>
      <c r="S1085">
        <v>4.91</v>
      </c>
      <c r="T1085">
        <v>138491</v>
      </c>
      <c r="U1085">
        <v>4.9400000000000004</v>
      </c>
      <c r="V1085">
        <v>4.91</v>
      </c>
      <c r="W1085" t="s">
        <v>120</v>
      </c>
      <c r="X1085" t="s">
        <v>1317</v>
      </c>
      <c r="Y1085" t="s">
        <v>158</v>
      </c>
      <c r="Z1085">
        <v>3.26</v>
      </c>
      <c r="AA1085">
        <v>4.96</v>
      </c>
      <c r="AB1085">
        <v>74607</v>
      </c>
      <c r="AC1085">
        <v>63884</v>
      </c>
      <c r="AD1085">
        <v>1.17</v>
      </c>
      <c r="AE1085">
        <v>1240</v>
      </c>
      <c r="AF1085">
        <v>1036</v>
      </c>
      <c r="AG1085" t="s">
        <v>120</v>
      </c>
      <c r="AH1085">
        <v>0.01</v>
      </c>
      <c r="AI1085" t="s">
        <v>120</v>
      </c>
      <c r="AJ1085">
        <v>6.4</v>
      </c>
      <c r="AK1085" t="s">
        <v>6106</v>
      </c>
      <c r="AL1085">
        <v>2.3199999999999998</v>
      </c>
      <c r="AM1085">
        <v>2266</v>
      </c>
      <c r="AN1085">
        <v>61</v>
      </c>
      <c r="AO1085">
        <v>1E-3</v>
      </c>
      <c r="AP1085">
        <v>1</v>
      </c>
      <c r="AQ1085">
        <v>-2.39</v>
      </c>
      <c r="AR1085">
        <v>-3.15</v>
      </c>
      <c r="AS1085">
        <v>5.12</v>
      </c>
      <c r="AT1085">
        <v>-15</v>
      </c>
      <c r="AU1085">
        <v>-4.82</v>
      </c>
      <c r="AV1085">
        <v>3</v>
      </c>
      <c r="AW1085">
        <v>2.57</v>
      </c>
      <c r="AX1085">
        <v>59.56</v>
      </c>
      <c r="AY1085" t="s">
        <v>120</v>
      </c>
      <c r="AZ1085" t="s">
        <v>120</v>
      </c>
      <c r="BA1085">
        <v>0.67</v>
      </c>
      <c r="BB1085" t="s">
        <v>240</v>
      </c>
      <c r="BF1085">
        <v>1.01</v>
      </c>
      <c r="BG1085">
        <v>0.41</v>
      </c>
      <c r="BH1085">
        <v>-2.1800000000000002</v>
      </c>
      <c r="BI1085">
        <v>1.02</v>
      </c>
      <c r="BJ1085">
        <v>20210826</v>
      </c>
      <c r="BK1085">
        <v>20140123</v>
      </c>
      <c r="BL1085">
        <v>9.06</v>
      </c>
      <c r="BM1085" t="s">
        <v>120</v>
      </c>
      <c r="BN1085" t="s">
        <v>120</v>
      </c>
      <c r="BO1085">
        <v>27.13</v>
      </c>
      <c r="BP1085">
        <v>4.93</v>
      </c>
      <c r="BQ1085">
        <v>7.02</v>
      </c>
      <c r="BR1085">
        <v>-1.62</v>
      </c>
      <c r="BS1085">
        <v>80.08</v>
      </c>
      <c r="BT1085">
        <v>11.72</v>
      </c>
      <c r="BU1085">
        <v>0.51</v>
      </c>
      <c r="BV1085">
        <v>0.6</v>
      </c>
      <c r="BW1085">
        <v>17.420000000000002</v>
      </c>
      <c r="BX1085">
        <v>5.31</v>
      </c>
      <c r="BY1085">
        <v>0.04</v>
      </c>
      <c r="BZ1085">
        <v>1.34</v>
      </c>
      <c r="CA1085" t="s">
        <v>120</v>
      </c>
      <c r="CB1085">
        <v>7.07</v>
      </c>
      <c r="CC1085">
        <v>2.93</v>
      </c>
      <c r="CD1085">
        <v>2.5499999999999998</v>
      </c>
      <c r="CE1085">
        <v>-1.81</v>
      </c>
      <c r="CF1085">
        <v>-0.05</v>
      </c>
      <c r="CG1085">
        <v>-1.79</v>
      </c>
      <c r="CH1085">
        <v>-1.49</v>
      </c>
      <c r="CI1085">
        <v>-1.23</v>
      </c>
      <c r="CJ1085">
        <v>0.02</v>
      </c>
      <c r="CK1085">
        <v>-1.25</v>
      </c>
      <c r="CL1085">
        <v>-7.21</v>
      </c>
      <c r="CM1085">
        <v>-2.14</v>
      </c>
      <c r="CN1085">
        <v>-5.55</v>
      </c>
      <c r="CO1085">
        <v>65772</v>
      </c>
      <c r="CP1085">
        <v>8207</v>
      </c>
      <c r="CQ1085" t="s">
        <v>1306</v>
      </c>
      <c r="CR1085">
        <v>30.29</v>
      </c>
      <c r="CS1085">
        <v>-75.959999999999994</v>
      </c>
      <c r="CT1085">
        <v>7.46</v>
      </c>
      <c r="CU1085">
        <v>-20.85</v>
      </c>
      <c r="CV1085">
        <v>15.27</v>
      </c>
      <c r="CW1085">
        <v>0</v>
      </c>
      <c r="CX1085" t="s">
        <v>932</v>
      </c>
      <c r="CY1085">
        <v>0.66</v>
      </c>
      <c r="CZ1085">
        <v>0.66</v>
      </c>
      <c r="DA1085">
        <v>0.78</v>
      </c>
      <c r="DB1085">
        <v>-0.8</v>
      </c>
      <c r="DC1085">
        <v>-0.24</v>
      </c>
      <c r="DD1085">
        <v>25.87</v>
      </c>
      <c r="DE1085" t="s">
        <v>6107</v>
      </c>
      <c r="DF1085">
        <v>12.8</v>
      </c>
      <c r="DG1085">
        <v>-61.91</v>
      </c>
      <c r="DH1085">
        <v>-42</v>
      </c>
      <c r="DI1085" t="s">
        <v>120</v>
      </c>
      <c r="DJ1085">
        <v>3089</v>
      </c>
      <c r="DK1085">
        <v>2707</v>
      </c>
      <c r="DL1085" t="s">
        <v>120</v>
      </c>
      <c r="DM1085" t="s">
        <v>120</v>
      </c>
      <c r="DN1085" t="s">
        <v>120</v>
      </c>
    </row>
    <row r="1086" spans="1:118">
      <c r="A1086" t="str">
        <f>"002708"</f>
        <v>002708</v>
      </c>
      <c r="B1086" t="s">
        <v>6108</v>
      </c>
      <c r="C1086">
        <v>-1.64</v>
      </c>
      <c r="D1086">
        <v>0</v>
      </c>
      <c r="E1086">
        <v>-0.16</v>
      </c>
      <c r="F1086">
        <v>593</v>
      </c>
      <c r="G1086" t="s">
        <v>6109</v>
      </c>
      <c r="H1086">
        <v>2009.4</v>
      </c>
      <c r="I1086">
        <v>2.62</v>
      </c>
      <c r="J1086" t="s">
        <v>120</v>
      </c>
      <c r="K1086" t="s">
        <v>5223</v>
      </c>
      <c r="L1086">
        <v>0.84</v>
      </c>
      <c r="M1086">
        <v>6</v>
      </c>
      <c r="N1086">
        <v>0.78</v>
      </c>
      <c r="O1086">
        <v>0.82</v>
      </c>
      <c r="P1086">
        <v>6.15</v>
      </c>
      <c r="Q1086">
        <v>-1.8</v>
      </c>
      <c r="R1086">
        <v>5.99</v>
      </c>
      <c r="S1086">
        <v>6.09</v>
      </c>
      <c r="T1086">
        <v>33144</v>
      </c>
      <c r="U1086">
        <v>6.01</v>
      </c>
      <c r="V1086">
        <v>6.1</v>
      </c>
      <c r="W1086">
        <v>46.63</v>
      </c>
      <c r="X1086" t="s">
        <v>289</v>
      </c>
      <c r="Y1086" t="s">
        <v>319</v>
      </c>
      <c r="Z1086">
        <v>2.62</v>
      </c>
      <c r="AA1086">
        <v>6.06</v>
      </c>
      <c r="AB1086">
        <v>20127</v>
      </c>
      <c r="AC1086">
        <v>13017</v>
      </c>
      <c r="AD1086">
        <v>1.55</v>
      </c>
      <c r="AE1086">
        <v>142</v>
      </c>
      <c r="AF1086">
        <v>185</v>
      </c>
      <c r="AG1086" t="s">
        <v>120</v>
      </c>
      <c r="AH1086">
        <v>0</v>
      </c>
      <c r="AI1086" t="s">
        <v>120</v>
      </c>
      <c r="AJ1086">
        <v>3.95</v>
      </c>
      <c r="AK1086" t="s">
        <v>6110</v>
      </c>
      <c r="AL1086">
        <v>0.27</v>
      </c>
      <c r="AM1086">
        <v>936</v>
      </c>
      <c r="AN1086">
        <v>35</v>
      </c>
      <c r="AO1086">
        <v>8.9999999999999998E-4</v>
      </c>
      <c r="AP1086">
        <v>-1</v>
      </c>
      <c r="AQ1086">
        <v>0.66</v>
      </c>
      <c r="AR1086">
        <v>-2.12</v>
      </c>
      <c r="AS1086">
        <v>-2.91</v>
      </c>
      <c r="AT1086">
        <v>-3.84</v>
      </c>
      <c r="AU1086">
        <v>-1.48</v>
      </c>
      <c r="AV1086">
        <v>3</v>
      </c>
      <c r="AW1086">
        <v>1.62</v>
      </c>
      <c r="AX1086">
        <v>41.9</v>
      </c>
      <c r="AY1086">
        <v>39.64</v>
      </c>
      <c r="AZ1086">
        <v>59.04</v>
      </c>
      <c r="BA1086">
        <v>0.32</v>
      </c>
      <c r="BB1086" t="s">
        <v>143</v>
      </c>
      <c r="BF1086">
        <v>-0.61</v>
      </c>
      <c r="BG1086">
        <v>-1.48</v>
      </c>
      <c r="BH1086">
        <v>-2.44</v>
      </c>
      <c r="BI1086">
        <v>0.17</v>
      </c>
      <c r="BJ1086">
        <v>20210830</v>
      </c>
      <c r="BK1086">
        <v>20140121</v>
      </c>
      <c r="BL1086">
        <v>4.87</v>
      </c>
      <c r="BM1086" t="s">
        <v>120</v>
      </c>
      <c r="BN1086" t="s">
        <v>120</v>
      </c>
      <c r="BO1086">
        <v>27.49</v>
      </c>
      <c r="BP1086">
        <v>6</v>
      </c>
      <c r="BQ1086">
        <v>15.17</v>
      </c>
      <c r="BR1086" t="s">
        <v>120</v>
      </c>
      <c r="BS1086">
        <v>44.82</v>
      </c>
      <c r="BT1086">
        <v>14.92</v>
      </c>
      <c r="BU1086">
        <v>9.06</v>
      </c>
      <c r="BV1086">
        <v>1.31</v>
      </c>
      <c r="BW1086">
        <v>11.66</v>
      </c>
      <c r="BX1086">
        <v>1.98</v>
      </c>
      <c r="BY1086">
        <v>3.72</v>
      </c>
      <c r="BZ1086">
        <v>4.93</v>
      </c>
      <c r="CA1086" t="s">
        <v>120</v>
      </c>
      <c r="CB1086">
        <v>8.0500000000000007</v>
      </c>
      <c r="CC1086">
        <v>8.69</v>
      </c>
      <c r="CD1086">
        <v>7.15</v>
      </c>
      <c r="CE1086">
        <v>-0.04</v>
      </c>
      <c r="CF1086">
        <v>0</v>
      </c>
      <c r="CG1086">
        <v>0.39</v>
      </c>
      <c r="CH1086">
        <v>0.31</v>
      </c>
      <c r="CI1086">
        <v>0.31</v>
      </c>
      <c r="CJ1086">
        <v>-0.1</v>
      </c>
      <c r="CK1086">
        <v>-0.1</v>
      </c>
      <c r="CL1086">
        <v>2.44</v>
      </c>
      <c r="CM1086">
        <v>-0.37</v>
      </c>
      <c r="CN1086">
        <v>-0.24</v>
      </c>
      <c r="CO1086">
        <v>25086</v>
      </c>
      <c r="CP1086">
        <v>8141</v>
      </c>
      <c r="CQ1086" t="s">
        <v>6111</v>
      </c>
      <c r="CR1086">
        <v>367.53</v>
      </c>
      <c r="CS1086">
        <v>36.33</v>
      </c>
      <c r="CT1086">
        <v>1.93</v>
      </c>
      <c r="CU1086">
        <v>-78.400000000000006</v>
      </c>
      <c r="CV1086">
        <v>3.37</v>
      </c>
      <c r="CW1086">
        <v>0</v>
      </c>
      <c r="CX1086" t="s">
        <v>679</v>
      </c>
      <c r="CY1086">
        <v>3.11</v>
      </c>
      <c r="CZ1086">
        <v>0</v>
      </c>
      <c r="DA1086">
        <v>1.65</v>
      </c>
      <c r="DB1086">
        <v>0.5</v>
      </c>
      <c r="DC1086">
        <v>-0.08</v>
      </c>
      <c r="DD1086">
        <v>55.18</v>
      </c>
      <c r="DE1086" t="s">
        <v>6112</v>
      </c>
      <c r="DF1086">
        <v>17.62</v>
      </c>
      <c r="DG1086">
        <v>-0.51</v>
      </c>
      <c r="DH1086">
        <v>3.61</v>
      </c>
      <c r="DI1086">
        <v>0.31</v>
      </c>
      <c r="DJ1086">
        <v>2972</v>
      </c>
      <c r="DK1086">
        <v>2708</v>
      </c>
      <c r="DL1086" t="s">
        <v>120</v>
      </c>
      <c r="DM1086" t="s">
        <v>120</v>
      </c>
      <c r="DN1086" t="s">
        <v>120</v>
      </c>
    </row>
    <row r="1087" spans="1:118">
      <c r="A1087" t="str">
        <f>"002709"</f>
        <v>002709</v>
      </c>
      <c r="B1087" t="s">
        <v>6113</v>
      </c>
      <c r="C1087">
        <v>-0.79</v>
      </c>
      <c r="D1087">
        <v>0.16</v>
      </c>
      <c r="E1087">
        <v>-1.66</v>
      </c>
      <c r="F1087">
        <v>2084</v>
      </c>
      <c r="G1087" t="s">
        <v>6114</v>
      </c>
      <c r="H1087">
        <v>257165.43</v>
      </c>
      <c r="I1087">
        <v>1883.57</v>
      </c>
      <c r="J1087" t="s">
        <v>120</v>
      </c>
      <c r="K1087" t="s">
        <v>6115</v>
      </c>
      <c r="L1087">
        <v>1.85</v>
      </c>
      <c r="M1087">
        <v>148.80000000000001</v>
      </c>
      <c r="N1087">
        <v>0.95</v>
      </c>
      <c r="O1087">
        <v>3.34</v>
      </c>
      <c r="P1087">
        <v>155</v>
      </c>
      <c r="Q1087">
        <v>-2.65</v>
      </c>
      <c r="R1087">
        <v>146.01</v>
      </c>
      <c r="S1087">
        <v>147.5</v>
      </c>
      <c r="T1087">
        <v>171126</v>
      </c>
      <c r="U1087">
        <v>148.80000000000001</v>
      </c>
      <c r="V1087">
        <v>149.99</v>
      </c>
      <c r="W1087">
        <v>90.55</v>
      </c>
      <c r="X1087" t="s">
        <v>868</v>
      </c>
      <c r="Y1087" t="s">
        <v>547</v>
      </c>
      <c r="Z1087">
        <v>5.99</v>
      </c>
      <c r="AA1087">
        <v>150.28</v>
      </c>
      <c r="AB1087">
        <v>80945</v>
      </c>
      <c r="AC1087">
        <v>90181</v>
      </c>
      <c r="AD1087">
        <v>0.9</v>
      </c>
      <c r="AE1087">
        <v>1</v>
      </c>
      <c r="AF1087">
        <v>303</v>
      </c>
      <c r="AG1087" t="s">
        <v>120</v>
      </c>
      <c r="AH1087">
        <v>0.02</v>
      </c>
      <c r="AI1087" t="s">
        <v>120</v>
      </c>
      <c r="AJ1087">
        <v>9.26</v>
      </c>
      <c r="AK1087" t="s">
        <v>6116</v>
      </c>
      <c r="AL1087">
        <v>1.1200000000000001</v>
      </c>
      <c r="AM1087">
        <v>4651</v>
      </c>
      <c r="AN1087">
        <v>37</v>
      </c>
      <c r="AO1087">
        <v>4.0000000000000002E-4</v>
      </c>
      <c r="AP1087">
        <v>-1</v>
      </c>
      <c r="AQ1087">
        <v>1.1499999999999999</v>
      </c>
      <c r="AR1087">
        <v>5.22</v>
      </c>
      <c r="AS1087">
        <v>19.23</v>
      </c>
      <c r="AT1087">
        <v>44.74</v>
      </c>
      <c r="AU1087">
        <v>144.16999999999999</v>
      </c>
      <c r="AV1087">
        <v>13</v>
      </c>
      <c r="AW1087">
        <v>2.11</v>
      </c>
      <c r="AX1087">
        <v>85.23</v>
      </c>
      <c r="AY1087">
        <v>142.32</v>
      </c>
      <c r="AZ1087">
        <v>268.12</v>
      </c>
      <c r="BA1087">
        <v>1.54</v>
      </c>
      <c r="BB1087" t="s">
        <v>184</v>
      </c>
      <c r="BF1087">
        <v>0.19</v>
      </c>
      <c r="BG1087">
        <v>0.88</v>
      </c>
      <c r="BH1087">
        <v>-4</v>
      </c>
      <c r="BI1087">
        <v>1.91</v>
      </c>
      <c r="BJ1087">
        <v>20210824</v>
      </c>
      <c r="BK1087">
        <v>20140123</v>
      </c>
      <c r="BL1087">
        <v>9.5299999999999994</v>
      </c>
      <c r="BM1087" t="s">
        <v>120</v>
      </c>
      <c r="BN1087" t="s">
        <v>120</v>
      </c>
      <c r="BO1087">
        <v>101.38</v>
      </c>
      <c r="BP1087">
        <v>148.78</v>
      </c>
      <c r="BQ1087">
        <v>57.86</v>
      </c>
      <c r="BR1087">
        <v>1.59</v>
      </c>
      <c r="BS1087">
        <v>41.36</v>
      </c>
      <c r="BT1087">
        <v>64.97</v>
      </c>
      <c r="BU1087">
        <v>18.11</v>
      </c>
      <c r="BV1087">
        <v>4.01</v>
      </c>
      <c r="BW1087">
        <v>38.25</v>
      </c>
      <c r="BX1087">
        <v>21.15</v>
      </c>
      <c r="BY1087">
        <v>6.55</v>
      </c>
      <c r="BZ1087">
        <v>20.98</v>
      </c>
      <c r="CA1087" t="s">
        <v>120</v>
      </c>
      <c r="CB1087">
        <v>26.06</v>
      </c>
      <c r="CC1087">
        <v>36.99</v>
      </c>
      <c r="CD1087">
        <v>23.9</v>
      </c>
      <c r="CE1087">
        <v>9.85</v>
      </c>
      <c r="CF1087">
        <v>-0.02</v>
      </c>
      <c r="CG1087">
        <v>9.84</v>
      </c>
      <c r="CH1087">
        <v>8.1300000000000008</v>
      </c>
      <c r="CI1087">
        <v>7.83</v>
      </c>
      <c r="CJ1087">
        <v>-1.19</v>
      </c>
      <c r="CK1087">
        <v>7.66</v>
      </c>
      <c r="CL1087">
        <v>19.62</v>
      </c>
      <c r="CM1087">
        <v>7.19</v>
      </c>
      <c r="CN1087">
        <v>18.059999999999999</v>
      </c>
      <c r="CO1087">
        <v>84429</v>
      </c>
      <c r="CP1087">
        <v>9616</v>
      </c>
      <c r="CQ1087" t="s">
        <v>6117</v>
      </c>
      <c r="CR1087">
        <v>151.13</v>
      </c>
      <c r="CS1087">
        <v>132.27000000000001</v>
      </c>
      <c r="CT1087">
        <v>24.57</v>
      </c>
      <c r="CU1087">
        <v>197.2</v>
      </c>
      <c r="CV1087">
        <v>38.31</v>
      </c>
      <c r="CW1087">
        <v>0.08</v>
      </c>
      <c r="CX1087" t="s">
        <v>1362</v>
      </c>
      <c r="CY1087">
        <v>6.05</v>
      </c>
      <c r="CZ1087">
        <v>6.05</v>
      </c>
      <c r="DA1087">
        <v>2.74</v>
      </c>
      <c r="DB1087">
        <v>2.06</v>
      </c>
      <c r="DC1087">
        <v>0.75</v>
      </c>
      <c r="DD1087">
        <v>57.07</v>
      </c>
      <c r="DE1087" t="s">
        <v>6118</v>
      </c>
      <c r="DF1087">
        <v>35.4</v>
      </c>
      <c r="DG1087">
        <v>26.62</v>
      </c>
      <c r="DH1087">
        <v>21.16</v>
      </c>
      <c r="DI1087">
        <v>1.2</v>
      </c>
      <c r="DJ1087">
        <v>2933</v>
      </c>
      <c r="DK1087">
        <v>2709</v>
      </c>
      <c r="DL1087">
        <v>20210603</v>
      </c>
      <c r="DM1087">
        <v>96.7</v>
      </c>
      <c r="DN1087">
        <v>53.88</v>
      </c>
    </row>
    <row r="1088" spans="1:118">
      <c r="A1088" t="str">
        <f>"002712"</f>
        <v>002712</v>
      </c>
      <c r="B1088" t="s">
        <v>6119</v>
      </c>
      <c r="C1088">
        <v>-1.32</v>
      </c>
      <c r="D1088">
        <v>-0.43</v>
      </c>
      <c r="E1088">
        <v>0</v>
      </c>
      <c r="F1088">
        <v>2448</v>
      </c>
      <c r="G1088" t="s">
        <v>6120</v>
      </c>
      <c r="H1088">
        <v>2111.44</v>
      </c>
      <c r="I1088">
        <v>0.96</v>
      </c>
      <c r="J1088" t="s">
        <v>120</v>
      </c>
      <c r="K1088" t="s">
        <v>4260</v>
      </c>
      <c r="L1088">
        <v>0.81</v>
      </c>
      <c r="M1088">
        <v>4.49</v>
      </c>
      <c r="N1088">
        <v>0.93</v>
      </c>
      <c r="O1088">
        <v>1.32</v>
      </c>
      <c r="P1088">
        <v>4.6100000000000003</v>
      </c>
      <c r="Q1088">
        <v>-1.32</v>
      </c>
      <c r="R1088">
        <v>4.49</v>
      </c>
      <c r="S1088">
        <v>4.55</v>
      </c>
      <c r="T1088">
        <v>46448</v>
      </c>
      <c r="U1088">
        <v>4.5</v>
      </c>
      <c r="V1088">
        <v>4.55</v>
      </c>
      <c r="W1088">
        <v>38.840000000000003</v>
      </c>
      <c r="X1088" t="s">
        <v>339</v>
      </c>
      <c r="Y1088" t="s">
        <v>585</v>
      </c>
      <c r="Z1088">
        <v>2.64</v>
      </c>
      <c r="AA1088">
        <v>4.55</v>
      </c>
      <c r="AB1088">
        <v>22506</v>
      </c>
      <c r="AC1088">
        <v>23942</v>
      </c>
      <c r="AD1088">
        <v>0.94</v>
      </c>
      <c r="AE1088">
        <v>607</v>
      </c>
      <c r="AF1088">
        <v>222</v>
      </c>
      <c r="AG1088" t="s">
        <v>120</v>
      </c>
      <c r="AH1088">
        <v>0</v>
      </c>
      <c r="AI1088" t="s">
        <v>120</v>
      </c>
      <c r="AJ1088">
        <v>5.74</v>
      </c>
      <c r="AK1088" t="s">
        <v>5953</v>
      </c>
      <c r="AL1088">
        <v>0.6</v>
      </c>
      <c r="AM1088">
        <v>1134</v>
      </c>
      <c r="AN1088">
        <v>41</v>
      </c>
      <c r="AO1088">
        <v>6.9999999999999999E-4</v>
      </c>
      <c r="AP1088">
        <v>-1</v>
      </c>
      <c r="AQ1088">
        <v>0.89</v>
      </c>
      <c r="AR1088">
        <v>-3.02</v>
      </c>
      <c r="AS1088">
        <v>1.81</v>
      </c>
      <c r="AT1088">
        <v>-6.84</v>
      </c>
      <c r="AU1088">
        <v>-7.99</v>
      </c>
      <c r="AV1088">
        <v>5</v>
      </c>
      <c r="AW1088">
        <v>1.37</v>
      </c>
      <c r="AX1088">
        <v>58.28</v>
      </c>
      <c r="AY1088" t="s">
        <v>120</v>
      </c>
      <c r="AZ1088" t="s">
        <v>120</v>
      </c>
      <c r="BA1088">
        <v>0.46</v>
      </c>
      <c r="BB1088" t="s">
        <v>143</v>
      </c>
      <c r="BF1088">
        <v>-0.09</v>
      </c>
      <c r="BG1088">
        <v>-1.32</v>
      </c>
      <c r="BH1088">
        <v>-2.6</v>
      </c>
      <c r="BI1088">
        <v>0</v>
      </c>
      <c r="BJ1088">
        <v>20210907</v>
      </c>
      <c r="BK1088">
        <v>20140123</v>
      </c>
      <c r="BL1088">
        <v>5.81</v>
      </c>
      <c r="BM1088" t="s">
        <v>120</v>
      </c>
      <c r="BN1088" t="s">
        <v>120</v>
      </c>
      <c r="BO1088">
        <v>27.48</v>
      </c>
      <c r="BP1088">
        <v>4.49</v>
      </c>
      <c r="BQ1088">
        <v>19.84</v>
      </c>
      <c r="BR1088">
        <v>0.54</v>
      </c>
      <c r="BS1088">
        <v>25.83</v>
      </c>
      <c r="BT1088">
        <v>21.08</v>
      </c>
      <c r="BU1088">
        <v>0.04</v>
      </c>
      <c r="BV1088">
        <v>0.18</v>
      </c>
      <c r="BW1088">
        <v>7.04</v>
      </c>
      <c r="BX1088">
        <v>5.03</v>
      </c>
      <c r="BY1088">
        <v>0.17</v>
      </c>
      <c r="BZ1088">
        <v>10.64</v>
      </c>
      <c r="CA1088" t="s">
        <v>120</v>
      </c>
      <c r="CB1088">
        <v>18.89</v>
      </c>
      <c r="CC1088">
        <v>23.59</v>
      </c>
      <c r="CD1088">
        <v>21.94</v>
      </c>
      <c r="CE1088">
        <v>0.5</v>
      </c>
      <c r="CF1088">
        <v>0.01</v>
      </c>
      <c r="CG1088">
        <v>0.5</v>
      </c>
      <c r="CH1088">
        <v>0.38</v>
      </c>
      <c r="CI1088">
        <v>0.34</v>
      </c>
      <c r="CJ1088">
        <v>-0.06</v>
      </c>
      <c r="CK1088">
        <v>0.22</v>
      </c>
      <c r="CL1088">
        <v>-3.23</v>
      </c>
      <c r="CM1088">
        <v>-2.99</v>
      </c>
      <c r="CN1088">
        <v>-0.62</v>
      </c>
      <c r="CO1088">
        <v>18614</v>
      </c>
      <c r="CP1088">
        <v>18198</v>
      </c>
      <c r="CQ1088" t="s">
        <v>6121</v>
      </c>
      <c r="CR1088">
        <v>-15.63</v>
      </c>
      <c r="CS1088">
        <v>51.9</v>
      </c>
      <c r="CT1088">
        <v>1.32</v>
      </c>
      <c r="CU1088">
        <v>-8.7200000000000006</v>
      </c>
      <c r="CV1088">
        <v>1.1100000000000001</v>
      </c>
      <c r="CW1088">
        <v>0</v>
      </c>
      <c r="CX1088" t="s">
        <v>1064</v>
      </c>
      <c r="CY1088">
        <v>3.41</v>
      </c>
      <c r="CZ1088">
        <v>0</v>
      </c>
      <c r="DA1088">
        <v>3.25</v>
      </c>
      <c r="DB1088">
        <v>-0.56000000000000005</v>
      </c>
      <c r="DC1088">
        <v>-0.52</v>
      </c>
      <c r="DD1088">
        <v>72.19</v>
      </c>
      <c r="DE1088" t="s">
        <v>6122</v>
      </c>
      <c r="DF1088">
        <v>7</v>
      </c>
      <c r="DG1088">
        <v>2.11</v>
      </c>
      <c r="DH1088">
        <v>1.42</v>
      </c>
      <c r="DI1088">
        <v>0.11</v>
      </c>
      <c r="DJ1088">
        <v>775</v>
      </c>
      <c r="DK1088">
        <v>2712</v>
      </c>
      <c r="DL1088" t="s">
        <v>120</v>
      </c>
      <c r="DM1088" t="s">
        <v>120</v>
      </c>
      <c r="DN1088" t="s">
        <v>120</v>
      </c>
    </row>
    <row r="1089" spans="1:118">
      <c r="A1089" t="str">
        <f>"002713"</f>
        <v>002713</v>
      </c>
      <c r="B1089" t="s">
        <v>6123</v>
      </c>
      <c r="C1089">
        <v>-0.15</v>
      </c>
      <c r="D1089">
        <v>0.45</v>
      </c>
      <c r="E1089">
        <v>0.3</v>
      </c>
      <c r="F1089">
        <v>425</v>
      </c>
      <c r="G1089" t="s">
        <v>6124</v>
      </c>
      <c r="H1089">
        <v>1274.0999999999999</v>
      </c>
      <c r="I1089">
        <v>5.35</v>
      </c>
      <c r="J1089" t="s">
        <v>120</v>
      </c>
      <c r="K1089" t="s">
        <v>6125</v>
      </c>
      <c r="L1089">
        <v>0.47</v>
      </c>
      <c r="M1089">
        <v>6.74</v>
      </c>
      <c r="N1089">
        <v>1.06</v>
      </c>
      <c r="O1089">
        <v>1.78</v>
      </c>
      <c r="P1089">
        <v>6.87</v>
      </c>
      <c r="Q1089">
        <v>-1.33</v>
      </c>
      <c r="R1089">
        <v>6.66</v>
      </c>
      <c r="S1089">
        <v>6.77</v>
      </c>
      <c r="T1089">
        <v>18847</v>
      </c>
      <c r="U1089">
        <v>6.74</v>
      </c>
      <c r="V1089">
        <v>6.75</v>
      </c>
      <c r="W1089" t="s">
        <v>120</v>
      </c>
      <c r="X1089" t="s">
        <v>3122</v>
      </c>
      <c r="Y1089" t="s">
        <v>158</v>
      </c>
      <c r="Z1089">
        <v>3.11</v>
      </c>
      <c r="AA1089">
        <v>6.76</v>
      </c>
      <c r="AB1089">
        <v>9760</v>
      </c>
      <c r="AC1089">
        <v>9087</v>
      </c>
      <c r="AD1089">
        <v>1.07</v>
      </c>
      <c r="AE1089">
        <v>68</v>
      </c>
      <c r="AF1089">
        <v>141</v>
      </c>
      <c r="AG1089" t="s">
        <v>120</v>
      </c>
      <c r="AH1089">
        <v>0.01</v>
      </c>
      <c r="AI1089" t="s">
        <v>120</v>
      </c>
      <c r="AJ1089">
        <v>4.05</v>
      </c>
      <c r="AK1089" t="s">
        <v>6126</v>
      </c>
      <c r="AL1089">
        <v>1.77</v>
      </c>
      <c r="AM1089">
        <v>704</v>
      </c>
      <c r="AN1089">
        <v>27</v>
      </c>
      <c r="AO1089">
        <v>6.9999999999999999E-4</v>
      </c>
      <c r="AP1089">
        <v>-1</v>
      </c>
      <c r="AQ1089">
        <v>0.15</v>
      </c>
      <c r="AR1089">
        <v>-0.15</v>
      </c>
      <c r="AS1089">
        <v>2.9</v>
      </c>
      <c r="AT1089">
        <v>7.67</v>
      </c>
      <c r="AU1089">
        <v>-14.58</v>
      </c>
      <c r="AV1089">
        <v>4</v>
      </c>
      <c r="AW1089">
        <v>1.3</v>
      </c>
      <c r="AX1089">
        <v>34.68</v>
      </c>
      <c r="AY1089">
        <v>9.5</v>
      </c>
      <c r="AZ1089">
        <v>15.7</v>
      </c>
      <c r="BA1089">
        <v>0.18</v>
      </c>
      <c r="BB1089" t="s">
        <v>143</v>
      </c>
      <c r="BF1089">
        <v>0.15</v>
      </c>
      <c r="BG1089">
        <v>-0.44</v>
      </c>
      <c r="BH1089">
        <v>-1.89</v>
      </c>
      <c r="BI1089">
        <v>1.2</v>
      </c>
      <c r="BJ1089">
        <v>20210826</v>
      </c>
      <c r="BK1089">
        <v>20140219</v>
      </c>
      <c r="BL1089">
        <v>4.2</v>
      </c>
      <c r="BM1089" t="s">
        <v>120</v>
      </c>
      <c r="BN1089" t="s">
        <v>120</v>
      </c>
      <c r="BO1089">
        <v>37.07</v>
      </c>
      <c r="BP1089">
        <v>6.71</v>
      </c>
      <c r="BQ1089">
        <v>7.7</v>
      </c>
      <c r="BR1089">
        <v>1.1499999999999999</v>
      </c>
      <c r="BS1089">
        <v>76.12</v>
      </c>
      <c r="BT1089">
        <v>19.489999999999998</v>
      </c>
      <c r="BU1089">
        <v>5.18</v>
      </c>
      <c r="BV1089">
        <v>1</v>
      </c>
      <c r="BW1089">
        <v>25.79</v>
      </c>
      <c r="BX1089">
        <v>6.28</v>
      </c>
      <c r="BY1089">
        <v>1.57</v>
      </c>
      <c r="BZ1089">
        <v>3.3</v>
      </c>
      <c r="CA1089">
        <v>0.04</v>
      </c>
      <c r="CB1089">
        <v>4.25</v>
      </c>
      <c r="CC1089">
        <v>17.71</v>
      </c>
      <c r="CD1089">
        <v>12.6</v>
      </c>
      <c r="CE1089">
        <v>-1.39</v>
      </c>
      <c r="CF1089">
        <v>0.05</v>
      </c>
      <c r="CG1089">
        <v>-1.39</v>
      </c>
      <c r="CH1089">
        <v>-1.19</v>
      </c>
      <c r="CI1089">
        <v>-1.28</v>
      </c>
      <c r="CJ1089">
        <v>-0.01</v>
      </c>
      <c r="CK1089">
        <v>-1.28</v>
      </c>
      <c r="CL1089">
        <v>-2.23</v>
      </c>
      <c r="CM1089">
        <v>1.81</v>
      </c>
      <c r="CN1089">
        <v>-4.91</v>
      </c>
      <c r="CO1089">
        <v>14745</v>
      </c>
      <c r="CP1089">
        <v>9867</v>
      </c>
      <c r="CQ1089" t="s">
        <v>3590</v>
      </c>
      <c r="CR1089">
        <v>47.93</v>
      </c>
      <c r="CS1089">
        <v>106.44</v>
      </c>
      <c r="CT1089">
        <v>3.67</v>
      </c>
      <c r="CU1089">
        <v>15.58</v>
      </c>
      <c r="CV1089">
        <v>1.6</v>
      </c>
      <c r="CW1089">
        <v>0</v>
      </c>
      <c r="CX1089" t="s">
        <v>6127</v>
      </c>
      <c r="CY1089">
        <v>1.83</v>
      </c>
      <c r="CZ1089">
        <v>0</v>
      </c>
      <c r="DA1089">
        <v>1.01</v>
      </c>
      <c r="DB1089">
        <v>-0.53</v>
      </c>
      <c r="DC1089">
        <v>0.43</v>
      </c>
      <c r="DD1089">
        <v>20.76</v>
      </c>
      <c r="DE1089" t="s">
        <v>6128</v>
      </c>
      <c r="DF1089">
        <v>28.85</v>
      </c>
      <c r="DG1089">
        <v>-7.87</v>
      </c>
      <c r="DH1089">
        <v>-7.23</v>
      </c>
      <c r="DI1089">
        <v>0.76</v>
      </c>
      <c r="DJ1089">
        <v>6465</v>
      </c>
      <c r="DK1089">
        <v>2713</v>
      </c>
      <c r="DL1089" t="s">
        <v>120</v>
      </c>
      <c r="DM1089" t="s">
        <v>120</v>
      </c>
      <c r="DN1089" t="s">
        <v>120</v>
      </c>
    </row>
    <row r="1090" spans="1:118">
      <c r="A1090" t="str">
        <f>"002714"</f>
        <v>002714</v>
      </c>
      <c r="B1090" t="s">
        <v>6129</v>
      </c>
      <c r="C1090">
        <v>3.01</v>
      </c>
      <c r="D1090">
        <v>-0.95</v>
      </c>
      <c r="E1090">
        <v>-0.96</v>
      </c>
      <c r="F1090">
        <v>24821</v>
      </c>
      <c r="G1090" t="s">
        <v>6130</v>
      </c>
      <c r="H1090">
        <v>360102.88</v>
      </c>
      <c r="I1090">
        <v>579.70000000000005</v>
      </c>
      <c r="J1090" t="s">
        <v>120</v>
      </c>
      <c r="K1090" t="s">
        <v>6131</v>
      </c>
      <c r="L1090">
        <v>2.2799999999999998</v>
      </c>
      <c r="M1090">
        <v>44.2</v>
      </c>
      <c r="N1090">
        <v>2.4</v>
      </c>
      <c r="O1090">
        <v>7.67</v>
      </c>
      <c r="P1090">
        <v>46.2</v>
      </c>
      <c r="Q1090">
        <v>-1</v>
      </c>
      <c r="R1090">
        <v>42.48</v>
      </c>
      <c r="S1090">
        <v>42.5</v>
      </c>
      <c r="T1090">
        <v>807949</v>
      </c>
      <c r="U1090">
        <v>44.33</v>
      </c>
      <c r="V1090">
        <v>42.91</v>
      </c>
      <c r="W1090">
        <v>12.21</v>
      </c>
      <c r="X1090" t="s">
        <v>447</v>
      </c>
      <c r="Y1090" t="s">
        <v>645</v>
      </c>
      <c r="Z1090">
        <v>8.67</v>
      </c>
      <c r="AA1090">
        <v>44.57</v>
      </c>
      <c r="AB1090">
        <v>337154</v>
      </c>
      <c r="AC1090">
        <v>470795</v>
      </c>
      <c r="AD1090">
        <v>0.72</v>
      </c>
      <c r="AE1090">
        <v>90</v>
      </c>
      <c r="AF1090">
        <v>9</v>
      </c>
      <c r="AG1090" t="s">
        <v>120</v>
      </c>
      <c r="AH1090">
        <v>0.01</v>
      </c>
      <c r="AI1090" t="s">
        <v>120</v>
      </c>
      <c r="AJ1090">
        <v>35.5</v>
      </c>
      <c r="AK1090" t="s">
        <v>6132</v>
      </c>
      <c r="AL1090">
        <v>4.92</v>
      </c>
      <c r="AM1090">
        <v>4738</v>
      </c>
      <c r="AN1090">
        <v>171</v>
      </c>
      <c r="AO1090">
        <v>5.0000000000000001E-4</v>
      </c>
      <c r="AP1090">
        <v>1</v>
      </c>
      <c r="AQ1090">
        <v>-0.69</v>
      </c>
      <c r="AR1090">
        <v>1.19</v>
      </c>
      <c r="AS1090">
        <v>-1.52</v>
      </c>
      <c r="AT1090">
        <v>-21.32</v>
      </c>
      <c r="AU1090">
        <v>-18.190000000000001</v>
      </c>
      <c r="AV1090">
        <v>3</v>
      </c>
      <c r="AW1090">
        <v>3.53</v>
      </c>
      <c r="AX1090">
        <v>43.5</v>
      </c>
      <c r="AY1090">
        <v>8.6199999999999992</v>
      </c>
      <c r="AZ1090">
        <v>8.23</v>
      </c>
      <c r="BA1090">
        <v>1.23</v>
      </c>
      <c r="BB1090" t="s">
        <v>143</v>
      </c>
      <c r="BF1090">
        <v>3.87</v>
      </c>
      <c r="BG1090">
        <v>4</v>
      </c>
      <c r="BH1090">
        <v>-4.33</v>
      </c>
      <c r="BI1090">
        <v>4.05</v>
      </c>
      <c r="BJ1090">
        <v>20210827</v>
      </c>
      <c r="BK1090">
        <v>20140128</v>
      </c>
      <c r="BL1090">
        <v>52.63</v>
      </c>
      <c r="BM1090" t="s">
        <v>120</v>
      </c>
      <c r="BN1090" t="s">
        <v>120</v>
      </c>
      <c r="BO1090">
        <v>1543.72</v>
      </c>
      <c r="BP1090">
        <v>44.2</v>
      </c>
      <c r="BQ1090">
        <v>558.37</v>
      </c>
      <c r="BR1090">
        <v>165.77</v>
      </c>
      <c r="BS1090">
        <v>53.09</v>
      </c>
      <c r="BT1090">
        <v>382.34</v>
      </c>
      <c r="BU1090">
        <v>831.18</v>
      </c>
      <c r="BV1090">
        <v>7.81</v>
      </c>
      <c r="BW1090">
        <v>593.20000000000005</v>
      </c>
      <c r="BX1090">
        <v>60.36</v>
      </c>
      <c r="BY1090">
        <v>295.18</v>
      </c>
      <c r="BZ1090">
        <v>0.7</v>
      </c>
      <c r="CA1090" t="s">
        <v>120</v>
      </c>
      <c r="CB1090">
        <v>88.41</v>
      </c>
      <c r="CC1090">
        <v>415.38</v>
      </c>
      <c r="CD1090">
        <v>279.01</v>
      </c>
      <c r="CE1090">
        <v>111.02</v>
      </c>
      <c r="CF1090">
        <v>0.21</v>
      </c>
      <c r="CG1090">
        <v>111.5</v>
      </c>
      <c r="CH1090">
        <v>111.63</v>
      </c>
      <c r="CI1090">
        <v>95.26</v>
      </c>
      <c r="CJ1090">
        <v>1.29</v>
      </c>
      <c r="CK1090">
        <v>94.36</v>
      </c>
      <c r="CL1090">
        <v>394.58</v>
      </c>
      <c r="CM1090">
        <v>131.97999999999999</v>
      </c>
      <c r="CN1090">
        <v>-90.08</v>
      </c>
      <c r="CO1090">
        <v>211258</v>
      </c>
      <c r="CP1090">
        <v>10838</v>
      </c>
      <c r="CQ1090" t="s">
        <v>6133</v>
      </c>
      <c r="CR1090">
        <v>-11.67</v>
      </c>
      <c r="CS1090">
        <v>97.49</v>
      </c>
      <c r="CT1090">
        <v>4.3600000000000003</v>
      </c>
      <c r="CU1090">
        <v>17.63</v>
      </c>
      <c r="CV1090">
        <v>5.6</v>
      </c>
      <c r="CW1090">
        <v>2.4300000000000002</v>
      </c>
      <c r="CX1090" t="s">
        <v>6134</v>
      </c>
      <c r="CY1090">
        <v>10.14</v>
      </c>
      <c r="CZ1090">
        <v>10.14</v>
      </c>
      <c r="DA1090">
        <v>1.68</v>
      </c>
      <c r="DB1090">
        <v>7.5</v>
      </c>
      <c r="DC1090">
        <v>2.5099999999999998</v>
      </c>
      <c r="DD1090">
        <v>36.17</v>
      </c>
      <c r="DE1090" t="s">
        <v>6135</v>
      </c>
      <c r="DF1090">
        <v>32.83</v>
      </c>
      <c r="DG1090">
        <v>26.73</v>
      </c>
      <c r="DH1090">
        <v>22.93</v>
      </c>
      <c r="DI1090">
        <v>3.06</v>
      </c>
      <c r="DJ1090">
        <v>121995</v>
      </c>
      <c r="DK1090">
        <v>2714</v>
      </c>
      <c r="DL1090" t="s">
        <v>120</v>
      </c>
      <c r="DM1090" t="s">
        <v>120</v>
      </c>
      <c r="DN1090" t="s">
        <v>120</v>
      </c>
    </row>
    <row r="1091" spans="1:118">
      <c r="A1091" t="str">
        <f>"002715"</f>
        <v>002715</v>
      </c>
      <c r="B1091" t="s">
        <v>6136</v>
      </c>
      <c r="C1091">
        <v>-0.22</v>
      </c>
      <c r="D1091">
        <v>-0.06</v>
      </c>
      <c r="E1091">
        <v>0</v>
      </c>
      <c r="F1091">
        <v>124</v>
      </c>
      <c r="G1091" t="s">
        <v>6137</v>
      </c>
      <c r="H1091">
        <v>1541.62</v>
      </c>
      <c r="I1091">
        <v>4.21</v>
      </c>
      <c r="J1091" t="s">
        <v>120</v>
      </c>
      <c r="K1091" t="s">
        <v>6138</v>
      </c>
      <c r="L1091">
        <v>0.82</v>
      </c>
      <c r="M1091">
        <v>13.56</v>
      </c>
      <c r="N1091">
        <v>0.93</v>
      </c>
      <c r="O1091">
        <v>1.84</v>
      </c>
      <c r="P1091">
        <v>13.84</v>
      </c>
      <c r="Q1091">
        <v>-2.13</v>
      </c>
      <c r="R1091">
        <v>13.3</v>
      </c>
      <c r="S1091">
        <v>13.59</v>
      </c>
      <c r="T1091">
        <v>11328</v>
      </c>
      <c r="U1091">
        <v>13.57</v>
      </c>
      <c r="V1091">
        <v>13.59</v>
      </c>
      <c r="W1091">
        <v>233</v>
      </c>
      <c r="X1091" t="s">
        <v>289</v>
      </c>
      <c r="Y1091" t="s">
        <v>547</v>
      </c>
      <c r="Z1091">
        <v>3.97</v>
      </c>
      <c r="AA1091">
        <v>13.61</v>
      </c>
      <c r="AB1091">
        <v>5949</v>
      </c>
      <c r="AC1091">
        <v>5379</v>
      </c>
      <c r="AD1091">
        <v>1.1100000000000001</v>
      </c>
      <c r="AE1091">
        <v>67</v>
      </c>
      <c r="AF1091">
        <v>30</v>
      </c>
      <c r="AG1091" t="s">
        <v>120</v>
      </c>
      <c r="AH1091">
        <v>0</v>
      </c>
      <c r="AI1091" t="s">
        <v>120</v>
      </c>
      <c r="AJ1091">
        <v>1.38</v>
      </c>
      <c r="AK1091" t="s">
        <v>6138</v>
      </c>
      <c r="AL1091">
        <v>1.69</v>
      </c>
      <c r="AM1091">
        <v>579</v>
      </c>
      <c r="AN1091">
        <v>20</v>
      </c>
      <c r="AO1091">
        <v>1.4E-3</v>
      </c>
      <c r="AP1091">
        <v>-2</v>
      </c>
      <c r="AQ1091">
        <v>-0.22</v>
      </c>
      <c r="AR1091">
        <v>1.8</v>
      </c>
      <c r="AS1091">
        <v>4.3099999999999996</v>
      </c>
      <c r="AT1091">
        <v>-7.19</v>
      </c>
      <c r="AU1091">
        <v>-22.51</v>
      </c>
      <c r="AV1091">
        <v>1</v>
      </c>
      <c r="AW1091">
        <v>1.59</v>
      </c>
      <c r="AX1091">
        <v>51.71</v>
      </c>
      <c r="AY1091">
        <v>107.82</v>
      </c>
      <c r="AZ1091">
        <v>122.26</v>
      </c>
      <c r="BA1091">
        <v>0.49</v>
      </c>
      <c r="BB1091" t="s">
        <v>143</v>
      </c>
      <c r="BF1091">
        <v>0.14000000000000001</v>
      </c>
      <c r="BG1091">
        <v>-0.22</v>
      </c>
      <c r="BH1091">
        <v>-2.02</v>
      </c>
      <c r="BI1091">
        <v>1.95</v>
      </c>
      <c r="BJ1091">
        <v>20210825</v>
      </c>
      <c r="BK1091">
        <v>20140219</v>
      </c>
      <c r="BL1091">
        <v>1.38</v>
      </c>
      <c r="BM1091" t="s">
        <v>120</v>
      </c>
      <c r="BN1091" t="s">
        <v>120</v>
      </c>
      <c r="BO1091">
        <v>10.07</v>
      </c>
      <c r="BP1091">
        <v>13.56</v>
      </c>
      <c r="BQ1091">
        <v>5.09</v>
      </c>
      <c r="BR1091" t="s">
        <v>120</v>
      </c>
      <c r="BS1091">
        <v>49.48</v>
      </c>
      <c r="BT1091">
        <v>4.49</v>
      </c>
      <c r="BU1091">
        <v>3.19</v>
      </c>
      <c r="BV1091">
        <v>1.98</v>
      </c>
      <c r="BW1091">
        <v>2.96</v>
      </c>
      <c r="BX1091">
        <v>0.99</v>
      </c>
      <c r="BY1091">
        <v>1.8</v>
      </c>
      <c r="BZ1091">
        <v>1.28</v>
      </c>
      <c r="CA1091" t="s">
        <v>120</v>
      </c>
      <c r="CB1091">
        <v>2.11</v>
      </c>
      <c r="CC1091">
        <v>2.37</v>
      </c>
      <c r="CD1091">
        <v>1.74</v>
      </c>
      <c r="CE1091">
        <v>0.06</v>
      </c>
      <c r="CF1091">
        <v>0</v>
      </c>
      <c r="CG1091">
        <v>0.06</v>
      </c>
      <c r="CH1091">
        <v>0.04</v>
      </c>
      <c r="CI1091">
        <v>0.04</v>
      </c>
      <c r="CJ1091">
        <v>-0.03</v>
      </c>
      <c r="CK1091">
        <v>0.03</v>
      </c>
      <c r="CL1091">
        <v>1.36</v>
      </c>
      <c r="CM1091">
        <v>7.0000000000000007E-2</v>
      </c>
      <c r="CN1091">
        <v>0.18</v>
      </c>
      <c r="CO1091">
        <v>5694</v>
      </c>
      <c r="CP1091">
        <v>12532</v>
      </c>
      <c r="CQ1091" t="s">
        <v>6139</v>
      </c>
      <c r="CR1091">
        <v>104.74</v>
      </c>
      <c r="CS1091">
        <v>43.12</v>
      </c>
      <c r="CT1091">
        <v>3.68</v>
      </c>
      <c r="CU1091">
        <v>269.85000000000002</v>
      </c>
      <c r="CV1091">
        <v>7.89</v>
      </c>
      <c r="CW1091">
        <v>0.37</v>
      </c>
      <c r="CX1091" t="s">
        <v>3882</v>
      </c>
      <c r="CY1091">
        <v>3.69</v>
      </c>
      <c r="CZ1091">
        <v>0</v>
      </c>
      <c r="DA1091">
        <v>1.53</v>
      </c>
      <c r="DB1091">
        <v>0.98</v>
      </c>
      <c r="DC1091">
        <v>0.05</v>
      </c>
      <c r="DD1091">
        <v>50.52</v>
      </c>
      <c r="DE1091" t="s">
        <v>6140</v>
      </c>
      <c r="DF1091">
        <v>26.67</v>
      </c>
      <c r="DG1091">
        <v>2.58</v>
      </c>
      <c r="DH1091">
        <v>1.69</v>
      </c>
      <c r="DI1091">
        <v>0.08</v>
      </c>
      <c r="DJ1091">
        <v>1451</v>
      </c>
      <c r="DK1091">
        <v>2715</v>
      </c>
      <c r="DL1091" t="s">
        <v>120</v>
      </c>
      <c r="DM1091" t="s">
        <v>120</v>
      </c>
      <c r="DN1091" t="s">
        <v>120</v>
      </c>
    </row>
    <row r="1092" spans="1:118">
      <c r="A1092" t="str">
        <f>"002716"</f>
        <v>002716</v>
      </c>
      <c r="B1092" t="s">
        <v>6141</v>
      </c>
      <c r="C1092">
        <v>-2.1800000000000002</v>
      </c>
      <c r="D1092">
        <v>-0.24</v>
      </c>
      <c r="E1092">
        <v>-0.73</v>
      </c>
      <c r="F1092">
        <v>4525</v>
      </c>
      <c r="G1092" t="s">
        <v>6142</v>
      </c>
      <c r="H1092">
        <v>18859.11</v>
      </c>
      <c r="I1092">
        <v>113.49</v>
      </c>
      <c r="J1092" t="s">
        <v>120</v>
      </c>
      <c r="K1092" t="s">
        <v>3149</v>
      </c>
      <c r="L1092">
        <v>2.29</v>
      </c>
      <c r="M1092">
        <v>4.04</v>
      </c>
      <c r="N1092">
        <v>0.46</v>
      </c>
      <c r="O1092">
        <v>1.45</v>
      </c>
      <c r="P1092">
        <v>4.1900000000000004</v>
      </c>
      <c r="Q1092">
        <v>-2.42</v>
      </c>
      <c r="R1092">
        <v>4.03</v>
      </c>
      <c r="S1092">
        <v>4.0999999999999996</v>
      </c>
      <c r="T1092">
        <v>458924</v>
      </c>
      <c r="U1092">
        <v>4.05</v>
      </c>
      <c r="V1092">
        <v>4.13</v>
      </c>
      <c r="W1092" t="s">
        <v>120</v>
      </c>
      <c r="X1092" t="s">
        <v>1390</v>
      </c>
      <c r="Y1092" t="s">
        <v>594</v>
      </c>
      <c r="Z1092">
        <v>3.87</v>
      </c>
      <c r="AA1092">
        <v>4.1100000000000003</v>
      </c>
      <c r="AB1092">
        <v>254527</v>
      </c>
      <c r="AC1092">
        <v>204397</v>
      </c>
      <c r="AD1092">
        <v>1.25</v>
      </c>
      <c r="AE1092">
        <v>5469</v>
      </c>
      <c r="AF1092">
        <v>1307</v>
      </c>
      <c r="AG1092" t="s">
        <v>120</v>
      </c>
      <c r="AH1092">
        <v>0.02</v>
      </c>
      <c r="AI1092" t="s">
        <v>120</v>
      </c>
      <c r="AJ1092">
        <v>20.059999999999999</v>
      </c>
      <c r="AK1092" t="s">
        <v>6143</v>
      </c>
      <c r="AL1092">
        <v>-0.27</v>
      </c>
      <c r="AM1092">
        <v>3354</v>
      </c>
      <c r="AN1092">
        <v>137</v>
      </c>
      <c r="AO1092">
        <v>6.9999999999999999E-4</v>
      </c>
      <c r="AP1092">
        <v>-4</v>
      </c>
      <c r="AQ1092">
        <v>-0.48</v>
      </c>
      <c r="AR1092">
        <v>-8.6</v>
      </c>
      <c r="AS1092">
        <v>6.04</v>
      </c>
      <c r="AT1092">
        <v>19.18</v>
      </c>
      <c r="AU1092">
        <v>54.79</v>
      </c>
      <c r="AV1092">
        <v>25</v>
      </c>
      <c r="AW1092">
        <v>3.44</v>
      </c>
      <c r="AX1092">
        <v>60.3</v>
      </c>
      <c r="AY1092">
        <v>6.07</v>
      </c>
      <c r="AZ1092">
        <v>41.06</v>
      </c>
      <c r="BA1092">
        <v>0.55000000000000004</v>
      </c>
      <c r="BB1092" t="s">
        <v>125</v>
      </c>
      <c r="BF1092">
        <v>-0.5</v>
      </c>
      <c r="BG1092">
        <v>-1.46</v>
      </c>
      <c r="BH1092">
        <v>-3.58</v>
      </c>
      <c r="BI1092">
        <v>0.25</v>
      </c>
      <c r="BJ1092">
        <v>20210830</v>
      </c>
      <c r="BK1092">
        <v>20140128</v>
      </c>
      <c r="BL1092">
        <v>22.1</v>
      </c>
      <c r="BM1092" t="s">
        <v>120</v>
      </c>
      <c r="BN1092" t="s">
        <v>120</v>
      </c>
      <c r="BO1092">
        <v>37.630000000000003</v>
      </c>
      <c r="BP1092">
        <v>4.04</v>
      </c>
      <c r="BQ1092">
        <v>19.64</v>
      </c>
      <c r="BR1092" t="s">
        <v>120</v>
      </c>
      <c r="BS1092">
        <v>47.8</v>
      </c>
      <c r="BT1092">
        <v>12.53</v>
      </c>
      <c r="BU1092">
        <v>12.42</v>
      </c>
      <c r="BV1092">
        <v>11.77</v>
      </c>
      <c r="BW1092">
        <v>7.33</v>
      </c>
      <c r="BX1092">
        <v>4.3099999999999996</v>
      </c>
      <c r="BY1092">
        <v>6.9</v>
      </c>
      <c r="BZ1092">
        <v>0.04</v>
      </c>
      <c r="CA1092" t="s">
        <v>120</v>
      </c>
      <c r="CB1092">
        <v>24.87</v>
      </c>
      <c r="CC1092">
        <v>4.2699999999999996</v>
      </c>
      <c r="CD1092">
        <v>3.78</v>
      </c>
      <c r="CE1092">
        <v>-0.28999999999999998</v>
      </c>
      <c r="CF1092">
        <v>7.0000000000000007E-2</v>
      </c>
      <c r="CG1092">
        <v>-0.28999999999999998</v>
      </c>
      <c r="CH1092">
        <v>-0.28999999999999998</v>
      </c>
      <c r="CI1092">
        <v>-0.28999999999999998</v>
      </c>
      <c r="CJ1092">
        <v>-0.09</v>
      </c>
      <c r="CK1092">
        <v>-0.38</v>
      </c>
      <c r="CL1092">
        <v>-29.95</v>
      </c>
      <c r="CM1092">
        <v>1.66</v>
      </c>
      <c r="CN1092">
        <v>2.48</v>
      </c>
      <c r="CO1092">
        <v>59381</v>
      </c>
      <c r="CP1092">
        <v>22446</v>
      </c>
      <c r="CQ1092" t="s">
        <v>6144</v>
      </c>
      <c r="CR1092">
        <v>97.79</v>
      </c>
      <c r="CS1092">
        <v>-29.58</v>
      </c>
      <c r="CT1092">
        <v>4.55</v>
      </c>
      <c r="CU1092">
        <v>53.73</v>
      </c>
      <c r="CV1092">
        <v>20.93</v>
      </c>
      <c r="CW1092">
        <v>0</v>
      </c>
      <c r="CX1092" t="s">
        <v>6145</v>
      </c>
      <c r="CY1092">
        <v>0.89</v>
      </c>
      <c r="CZ1092">
        <v>0</v>
      </c>
      <c r="DA1092">
        <v>1.1299999999999999</v>
      </c>
      <c r="DB1092">
        <v>-1.36</v>
      </c>
      <c r="DC1092">
        <v>0.08</v>
      </c>
      <c r="DD1092">
        <v>52.2</v>
      </c>
      <c r="DE1092" t="s">
        <v>6146</v>
      </c>
      <c r="DF1092">
        <v>11.43</v>
      </c>
      <c r="DG1092">
        <v>-6.76</v>
      </c>
      <c r="DH1092">
        <v>-6.79</v>
      </c>
      <c r="DI1092" t="s">
        <v>120</v>
      </c>
      <c r="DJ1092">
        <v>486</v>
      </c>
      <c r="DK1092">
        <v>2716</v>
      </c>
      <c r="DL1092" t="s">
        <v>120</v>
      </c>
      <c r="DM1092" t="s">
        <v>120</v>
      </c>
      <c r="DN1092" t="s">
        <v>120</v>
      </c>
    </row>
    <row r="1093" spans="1:118">
      <c r="A1093" t="str">
        <f>"002717"</f>
        <v>002717</v>
      </c>
      <c r="B1093" t="s">
        <v>6147</v>
      </c>
      <c r="C1093">
        <v>-1.61</v>
      </c>
      <c r="D1093">
        <v>0</v>
      </c>
      <c r="E1093">
        <v>0.32</v>
      </c>
      <c r="F1093">
        <v>1078</v>
      </c>
      <c r="G1093" t="s">
        <v>6148</v>
      </c>
      <c r="H1093">
        <v>5280.22</v>
      </c>
      <c r="I1093">
        <v>21.52</v>
      </c>
      <c r="J1093" t="s">
        <v>120</v>
      </c>
      <c r="K1093" t="s">
        <v>6149</v>
      </c>
      <c r="L1093">
        <v>1.53</v>
      </c>
      <c r="M1093">
        <v>3.05</v>
      </c>
      <c r="N1093">
        <v>0.53</v>
      </c>
      <c r="O1093">
        <v>0.65</v>
      </c>
      <c r="P1093">
        <v>3.12</v>
      </c>
      <c r="Q1093">
        <v>-1.94</v>
      </c>
      <c r="R1093">
        <v>3.04</v>
      </c>
      <c r="S1093">
        <v>3.11</v>
      </c>
      <c r="T1093">
        <v>171675</v>
      </c>
      <c r="U1093">
        <v>3.06</v>
      </c>
      <c r="V1093">
        <v>3.1</v>
      </c>
      <c r="W1093">
        <v>63.83</v>
      </c>
      <c r="X1093" t="s">
        <v>318</v>
      </c>
      <c r="Y1093" t="s">
        <v>547</v>
      </c>
      <c r="Z1093">
        <v>2.58</v>
      </c>
      <c r="AA1093">
        <v>3.08</v>
      </c>
      <c r="AB1093">
        <v>104061</v>
      </c>
      <c r="AC1093">
        <v>67614</v>
      </c>
      <c r="AD1093">
        <v>1.54</v>
      </c>
      <c r="AE1093">
        <v>6</v>
      </c>
      <c r="AF1093">
        <v>2095</v>
      </c>
      <c r="AG1093" t="s">
        <v>120</v>
      </c>
      <c r="AH1093">
        <v>0.01</v>
      </c>
      <c r="AI1093" t="s">
        <v>120</v>
      </c>
      <c r="AJ1093">
        <v>11.25</v>
      </c>
      <c r="AK1093" t="s">
        <v>6150</v>
      </c>
      <c r="AL1093">
        <v>0.3</v>
      </c>
      <c r="AM1093">
        <v>1600</v>
      </c>
      <c r="AN1093">
        <v>107</v>
      </c>
      <c r="AO1093">
        <v>1E-3</v>
      </c>
      <c r="AP1093">
        <v>-1</v>
      </c>
      <c r="AQ1093">
        <v>0.98</v>
      </c>
      <c r="AR1093">
        <v>-3.78</v>
      </c>
      <c r="AS1093">
        <v>8.16</v>
      </c>
      <c r="AT1093">
        <v>0.66</v>
      </c>
      <c r="AU1093">
        <v>-15.04</v>
      </c>
      <c r="AV1093">
        <v>2</v>
      </c>
      <c r="AW1093">
        <v>1.72</v>
      </c>
      <c r="AX1093">
        <v>65.19</v>
      </c>
      <c r="AY1093" t="s">
        <v>120</v>
      </c>
      <c r="AZ1093" t="s">
        <v>120</v>
      </c>
      <c r="BA1093">
        <v>0.49</v>
      </c>
      <c r="BB1093" t="s">
        <v>143</v>
      </c>
      <c r="BF1093">
        <v>-0.78</v>
      </c>
      <c r="BG1093">
        <v>-1.93</v>
      </c>
      <c r="BH1093">
        <v>-2.2400000000000002</v>
      </c>
      <c r="BI1093">
        <v>0.33</v>
      </c>
      <c r="BJ1093">
        <v>20210831</v>
      </c>
      <c r="BK1093">
        <v>20140219</v>
      </c>
      <c r="BL1093">
        <v>15.29</v>
      </c>
      <c r="BM1093" t="s">
        <v>120</v>
      </c>
      <c r="BN1093" t="s">
        <v>120</v>
      </c>
      <c r="BO1093">
        <v>181.72</v>
      </c>
      <c r="BP1093">
        <v>3.05</v>
      </c>
      <c r="BQ1093">
        <v>44.8</v>
      </c>
      <c r="BR1093">
        <v>3.05</v>
      </c>
      <c r="BS1093">
        <v>73.67</v>
      </c>
      <c r="BT1093">
        <v>115.67</v>
      </c>
      <c r="BU1093">
        <v>4.01</v>
      </c>
      <c r="BV1093">
        <v>0.24</v>
      </c>
      <c r="BW1093">
        <v>108.91</v>
      </c>
      <c r="BX1093">
        <v>13.2</v>
      </c>
      <c r="BY1093">
        <v>2.5299999999999998</v>
      </c>
      <c r="BZ1093">
        <v>16.75</v>
      </c>
      <c r="CA1093" t="s">
        <v>120</v>
      </c>
      <c r="CB1093">
        <v>11.34</v>
      </c>
      <c r="CC1093">
        <v>23.15</v>
      </c>
      <c r="CD1093">
        <v>19.079999999999998</v>
      </c>
      <c r="CE1093">
        <v>0.26</v>
      </c>
      <c r="CF1093">
        <v>0.49</v>
      </c>
      <c r="CG1093">
        <v>0.24</v>
      </c>
      <c r="CH1093">
        <v>0.39</v>
      </c>
      <c r="CI1093">
        <v>0.37</v>
      </c>
      <c r="CJ1093">
        <v>-0.05</v>
      </c>
      <c r="CK1093">
        <v>0.24</v>
      </c>
      <c r="CL1093">
        <v>15.17</v>
      </c>
      <c r="CM1093">
        <v>-10.51</v>
      </c>
      <c r="CN1093">
        <v>-14.24</v>
      </c>
      <c r="CO1093">
        <v>51748</v>
      </c>
      <c r="CP1093">
        <v>19258</v>
      </c>
      <c r="CQ1093" t="s">
        <v>6036</v>
      </c>
      <c r="CR1093">
        <v>229.81</v>
      </c>
      <c r="CS1093">
        <v>-9.25</v>
      </c>
      <c r="CT1093">
        <v>1.07</v>
      </c>
      <c r="CU1093">
        <v>-4.4400000000000004</v>
      </c>
      <c r="CV1093">
        <v>2.0099999999999998</v>
      </c>
      <c r="CW1093">
        <v>0</v>
      </c>
      <c r="CX1093" t="s">
        <v>499</v>
      </c>
      <c r="CY1093">
        <v>2.85</v>
      </c>
      <c r="CZ1093">
        <v>2.85</v>
      </c>
      <c r="DA1093">
        <v>0.74</v>
      </c>
      <c r="DB1093">
        <v>0.99</v>
      </c>
      <c r="DC1093">
        <v>-0.69</v>
      </c>
      <c r="DD1093">
        <v>24.65</v>
      </c>
      <c r="DE1093" t="s">
        <v>6151</v>
      </c>
      <c r="DF1093">
        <v>17.57</v>
      </c>
      <c r="DG1093">
        <v>1.1299999999999999</v>
      </c>
      <c r="DH1093">
        <v>1.58</v>
      </c>
      <c r="DI1093">
        <v>0.85</v>
      </c>
      <c r="DJ1093">
        <v>2272</v>
      </c>
      <c r="DK1093">
        <v>2717</v>
      </c>
      <c r="DL1093" t="s">
        <v>120</v>
      </c>
      <c r="DM1093" t="s">
        <v>120</v>
      </c>
      <c r="DN1093" t="s">
        <v>120</v>
      </c>
    </row>
    <row r="1094" spans="1:118">
      <c r="A1094" t="str">
        <f>"002718"</f>
        <v>002718</v>
      </c>
      <c r="B1094" t="s">
        <v>6152</v>
      </c>
      <c r="C1094">
        <v>-1.1499999999999999</v>
      </c>
      <c r="D1094">
        <v>-0.22</v>
      </c>
      <c r="E1094">
        <v>0.08</v>
      </c>
      <c r="F1094">
        <v>124</v>
      </c>
      <c r="G1094" t="s">
        <v>6153</v>
      </c>
      <c r="H1094">
        <v>848.36</v>
      </c>
      <c r="I1094">
        <v>0.13</v>
      </c>
      <c r="J1094" t="s">
        <v>120</v>
      </c>
      <c r="K1094" t="s">
        <v>6154</v>
      </c>
      <c r="L1094">
        <v>0.98</v>
      </c>
      <c r="M1094">
        <v>12.92</v>
      </c>
      <c r="N1094">
        <v>0.87</v>
      </c>
      <c r="O1094">
        <v>1.53</v>
      </c>
      <c r="P1094">
        <v>13.27</v>
      </c>
      <c r="Q1094">
        <v>-1.1499999999999999</v>
      </c>
      <c r="R1094">
        <v>12.92</v>
      </c>
      <c r="S1094">
        <v>13.08</v>
      </c>
      <c r="T1094">
        <v>6490</v>
      </c>
      <c r="U1094">
        <v>12.92</v>
      </c>
      <c r="V1094">
        <v>13.07</v>
      </c>
      <c r="W1094">
        <v>32.479999999999997</v>
      </c>
      <c r="X1094" t="s">
        <v>2409</v>
      </c>
      <c r="Y1094" t="s">
        <v>585</v>
      </c>
      <c r="Z1094">
        <v>2.68</v>
      </c>
      <c r="AA1094">
        <v>13.07</v>
      </c>
      <c r="AB1094">
        <v>4016</v>
      </c>
      <c r="AC1094">
        <v>2474</v>
      </c>
      <c r="AD1094">
        <v>1.62</v>
      </c>
      <c r="AE1094">
        <v>142</v>
      </c>
      <c r="AF1094">
        <v>3</v>
      </c>
      <c r="AG1094" t="s">
        <v>120</v>
      </c>
      <c r="AH1094">
        <v>0</v>
      </c>
      <c r="AI1094" t="s">
        <v>120</v>
      </c>
      <c r="AJ1094">
        <v>0.66</v>
      </c>
      <c r="AK1094" t="s">
        <v>173</v>
      </c>
      <c r="AL1094">
        <v>0.77</v>
      </c>
      <c r="AM1094">
        <v>489</v>
      </c>
      <c r="AN1094">
        <v>13</v>
      </c>
      <c r="AO1094">
        <v>2E-3</v>
      </c>
      <c r="AP1094">
        <v>-1</v>
      </c>
      <c r="AQ1094">
        <v>0.46</v>
      </c>
      <c r="AR1094">
        <v>-3.23</v>
      </c>
      <c r="AS1094">
        <v>0.54</v>
      </c>
      <c r="AT1094">
        <v>-8.18</v>
      </c>
      <c r="AU1094">
        <v>-14.78</v>
      </c>
      <c r="AV1094">
        <v>0</v>
      </c>
      <c r="AW1094">
        <v>1.8</v>
      </c>
      <c r="AX1094">
        <v>27.4</v>
      </c>
      <c r="AY1094">
        <v>18.54</v>
      </c>
      <c r="AZ1094">
        <v>20.56</v>
      </c>
      <c r="BA1094">
        <v>0.21</v>
      </c>
      <c r="BB1094" t="s">
        <v>125</v>
      </c>
      <c r="BF1094">
        <v>0.01</v>
      </c>
      <c r="BG1094">
        <v>-1.22</v>
      </c>
      <c r="BH1094">
        <v>-2.64</v>
      </c>
      <c r="BI1094">
        <v>0</v>
      </c>
      <c r="BJ1094">
        <v>20210831</v>
      </c>
      <c r="BK1094">
        <v>20140128</v>
      </c>
      <c r="BL1094">
        <v>1.31</v>
      </c>
      <c r="BM1094" t="s">
        <v>120</v>
      </c>
      <c r="BN1094" t="s">
        <v>120</v>
      </c>
      <c r="BO1094">
        <v>20.76</v>
      </c>
      <c r="BP1094">
        <v>12.91</v>
      </c>
      <c r="BQ1094">
        <v>13.48</v>
      </c>
      <c r="BR1094">
        <v>-0.04</v>
      </c>
      <c r="BS1094">
        <v>35.21</v>
      </c>
      <c r="BT1094">
        <v>8.2799999999999994</v>
      </c>
      <c r="BU1094">
        <v>7.31</v>
      </c>
      <c r="BV1094">
        <v>1.02</v>
      </c>
      <c r="BW1094">
        <v>7.3</v>
      </c>
      <c r="BX1094">
        <v>1.61</v>
      </c>
      <c r="BY1094">
        <v>1.32</v>
      </c>
      <c r="BZ1094">
        <v>2.5</v>
      </c>
      <c r="CA1094" t="s">
        <v>120</v>
      </c>
      <c r="CB1094">
        <v>4.0599999999999996</v>
      </c>
      <c r="CC1094">
        <v>4.54</v>
      </c>
      <c r="CD1094">
        <v>3.3</v>
      </c>
      <c r="CE1094">
        <v>0.27</v>
      </c>
      <c r="CF1094">
        <v>0.01</v>
      </c>
      <c r="CG1094">
        <v>0.27</v>
      </c>
      <c r="CH1094">
        <v>0.23</v>
      </c>
      <c r="CI1094">
        <v>0.26</v>
      </c>
      <c r="CJ1094">
        <v>-0.15</v>
      </c>
      <c r="CK1094">
        <v>0.17</v>
      </c>
      <c r="CL1094">
        <v>7.04</v>
      </c>
      <c r="CM1094">
        <v>-1.39</v>
      </c>
      <c r="CN1094">
        <v>-0.31</v>
      </c>
      <c r="CO1094">
        <v>7200</v>
      </c>
      <c r="CP1094">
        <v>5002</v>
      </c>
      <c r="CQ1094" t="s">
        <v>4451</v>
      </c>
      <c r="CR1094">
        <v>53.62</v>
      </c>
      <c r="CS1094">
        <v>61.82</v>
      </c>
      <c r="CT1094">
        <v>1.26</v>
      </c>
      <c r="CU1094">
        <v>-12.23</v>
      </c>
      <c r="CV1094">
        <v>3.74</v>
      </c>
      <c r="CW1094">
        <v>0.99</v>
      </c>
      <c r="CX1094" t="s">
        <v>492</v>
      </c>
      <c r="CY1094">
        <v>10.26</v>
      </c>
      <c r="CZ1094">
        <v>0</v>
      </c>
      <c r="DA1094">
        <v>3.09</v>
      </c>
      <c r="DB1094">
        <v>5.36</v>
      </c>
      <c r="DC1094">
        <v>-1.06</v>
      </c>
      <c r="DD1094">
        <v>64.97</v>
      </c>
      <c r="DE1094" t="s">
        <v>5805</v>
      </c>
      <c r="DF1094">
        <v>27.26</v>
      </c>
      <c r="DG1094">
        <v>5.87</v>
      </c>
      <c r="DH1094">
        <v>5.76</v>
      </c>
      <c r="DI1094">
        <v>0.17</v>
      </c>
      <c r="DJ1094">
        <v>808</v>
      </c>
      <c r="DK1094">
        <v>2718</v>
      </c>
      <c r="DL1094" t="s">
        <v>120</v>
      </c>
      <c r="DM1094" t="s">
        <v>120</v>
      </c>
      <c r="DN1094" t="s">
        <v>120</v>
      </c>
    </row>
    <row r="1095" spans="1:118">
      <c r="A1095" t="str">
        <f>"002721"</f>
        <v>002721</v>
      </c>
      <c r="B1095" t="s">
        <v>6155</v>
      </c>
      <c r="C1095">
        <v>-1.95</v>
      </c>
      <c r="D1095">
        <v>0.33</v>
      </c>
      <c r="E1095">
        <v>0.65</v>
      </c>
      <c r="F1095">
        <v>1018</v>
      </c>
      <c r="G1095" t="s">
        <v>6156</v>
      </c>
      <c r="H1095">
        <v>2678.92</v>
      </c>
      <c r="I1095">
        <v>36.299999999999997</v>
      </c>
      <c r="J1095" t="s">
        <v>120</v>
      </c>
      <c r="K1095" t="s">
        <v>6157</v>
      </c>
      <c r="L1095">
        <v>1.2</v>
      </c>
      <c r="M1095">
        <v>3.02</v>
      </c>
      <c r="N1095">
        <v>0.71</v>
      </c>
      <c r="O1095">
        <v>0.97</v>
      </c>
      <c r="P1095">
        <v>3.11</v>
      </c>
      <c r="Q1095">
        <v>-2.6</v>
      </c>
      <c r="R1095">
        <v>3</v>
      </c>
      <c r="S1095">
        <v>3.1</v>
      </c>
      <c r="T1095">
        <v>87905</v>
      </c>
      <c r="U1095">
        <v>3.03</v>
      </c>
      <c r="V1095">
        <v>3.08</v>
      </c>
      <c r="W1095" t="s">
        <v>120</v>
      </c>
      <c r="X1095" t="s">
        <v>2806</v>
      </c>
      <c r="Y1095" t="s">
        <v>158</v>
      </c>
      <c r="Z1095">
        <v>3.57</v>
      </c>
      <c r="AA1095">
        <v>3.05</v>
      </c>
      <c r="AB1095">
        <v>52390</v>
      </c>
      <c r="AC1095">
        <v>35515</v>
      </c>
      <c r="AD1095">
        <v>1.48</v>
      </c>
      <c r="AE1095">
        <v>1297</v>
      </c>
      <c r="AF1095">
        <v>1954</v>
      </c>
      <c r="AG1095" t="s">
        <v>120</v>
      </c>
      <c r="AH1095">
        <v>0.02</v>
      </c>
      <c r="AI1095" t="s">
        <v>120</v>
      </c>
      <c r="AJ1095">
        <v>7.31</v>
      </c>
      <c r="AK1095" t="s">
        <v>6158</v>
      </c>
      <c r="AL1095">
        <v>-0.03</v>
      </c>
      <c r="AM1095">
        <v>1188</v>
      </c>
      <c r="AN1095">
        <v>74</v>
      </c>
      <c r="AO1095">
        <v>1E-3</v>
      </c>
      <c r="AP1095">
        <v>-1</v>
      </c>
      <c r="AQ1095">
        <v>1.65</v>
      </c>
      <c r="AR1095">
        <v>-3.51</v>
      </c>
      <c r="AS1095">
        <v>6.34</v>
      </c>
      <c r="AT1095">
        <v>-5.33</v>
      </c>
      <c r="AU1095">
        <v>-4.12</v>
      </c>
      <c r="AV1095">
        <v>7</v>
      </c>
      <c r="AW1095">
        <v>1.77</v>
      </c>
      <c r="AX1095">
        <v>51.69</v>
      </c>
      <c r="AY1095" t="s">
        <v>120</v>
      </c>
      <c r="AZ1095" t="s">
        <v>120</v>
      </c>
      <c r="BA1095">
        <v>0.26</v>
      </c>
      <c r="BB1095" t="s">
        <v>184</v>
      </c>
      <c r="BF1095">
        <v>-1.05</v>
      </c>
      <c r="BG1095">
        <v>-2.58</v>
      </c>
      <c r="BH1095">
        <v>-2.89</v>
      </c>
      <c r="BI1095">
        <v>0.67</v>
      </c>
      <c r="BJ1095">
        <v>20210831</v>
      </c>
      <c r="BK1095">
        <v>20140127</v>
      </c>
      <c r="BL1095">
        <v>9.6</v>
      </c>
      <c r="BM1095" t="s">
        <v>120</v>
      </c>
      <c r="BN1095" t="s">
        <v>120</v>
      </c>
      <c r="BO1095">
        <v>98.78</v>
      </c>
      <c r="BP1095">
        <v>3.02</v>
      </c>
      <c r="BQ1095">
        <v>22.24</v>
      </c>
      <c r="BR1095">
        <v>-1.24</v>
      </c>
      <c r="BS1095">
        <v>78.75</v>
      </c>
      <c r="BT1095">
        <v>84.08</v>
      </c>
      <c r="BU1095">
        <v>3.83</v>
      </c>
      <c r="BV1095">
        <v>0.97</v>
      </c>
      <c r="BW1095">
        <v>66.56</v>
      </c>
      <c r="BX1095">
        <v>4.4800000000000004</v>
      </c>
      <c r="BY1095">
        <v>43.03</v>
      </c>
      <c r="BZ1095">
        <v>29.61</v>
      </c>
      <c r="CA1095" t="s">
        <v>120</v>
      </c>
      <c r="CB1095">
        <v>32.950000000000003</v>
      </c>
      <c r="CC1095">
        <v>16.309999999999999</v>
      </c>
      <c r="CD1095">
        <v>14.34</v>
      </c>
      <c r="CE1095">
        <v>-2.77</v>
      </c>
      <c r="CF1095">
        <v>0</v>
      </c>
      <c r="CG1095">
        <v>-2.79</v>
      </c>
      <c r="CH1095">
        <v>-2.23</v>
      </c>
      <c r="CI1095">
        <v>-2.0299999999999998</v>
      </c>
      <c r="CJ1095">
        <v>-0.06</v>
      </c>
      <c r="CK1095">
        <v>-2.04</v>
      </c>
      <c r="CL1095">
        <v>-20.52</v>
      </c>
      <c r="CM1095">
        <v>4.09</v>
      </c>
      <c r="CN1095">
        <v>-0.72</v>
      </c>
      <c r="CO1095">
        <v>35763</v>
      </c>
      <c r="CP1095">
        <v>13875</v>
      </c>
      <c r="CQ1095" t="s">
        <v>1993</v>
      </c>
      <c r="CR1095">
        <v>17.43</v>
      </c>
      <c r="CS1095">
        <v>-14.05</v>
      </c>
      <c r="CT1095">
        <v>1.3</v>
      </c>
      <c r="CU1095">
        <v>7.09</v>
      </c>
      <c r="CV1095">
        <v>1.78</v>
      </c>
      <c r="CW1095">
        <v>0</v>
      </c>
      <c r="CX1095" t="s">
        <v>313</v>
      </c>
      <c r="CY1095">
        <v>2.3199999999999998</v>
      </c>
      <c r="CZ1095">
        <v>0</v>
      </c>
      <c r="DA1095">
        <v>3.43</v>
      </c>
      <c r="DB1095">
        <v>-2.14</v>
      </c>
      <c r="DC1095">
        <v>0.43</v>
      </c>
      <c r="DD1095">
        <v>22.51</v>
      </c>
      <c r="DE1095" t="s">
        <v>6159</v>
      </c>
      <c r="DF1095">
        <v>12.11</v>
      </c>
      <c r="DG1095">
        <v>-17.010000000000002</v>
      </c>
      <c r="DH1095">
        <v>-12.44</v>
      </c>
      <c r="DI1095">
        <v>0.02</v>
      </c>
      <c r="DJ1095">
        <v>1647</v>
      </c>
      <c r="DK1095">
        <v>2721</v>
      </c>
      <c r="DL1095" t="s">
        <v>120</v>
      </c>
      <c r="DM1095" t="s">
        <v>120</v>
      </c>
      <c r="DN1095" t="s">
        <v>120</v>
      </c>
    </row>
    <row r="1096" spans="1:118">
      <c r="A1096" t="str">
        <f>"002722"</f>
        <v>002722</v>
      </c>
      <c r="B1096" t="s">
        <v>6160</v>
      </c>
      <c r="C1096">
        <v>3.08</v>
      </c>
      <c r="D1096">
        <v>0.28999999999999998</v>
      </c>
      <c r="E1096">
        <v>0.22</v>
      </c>
      <c r="F1096">
        <v>285</v>
      </c>
      <c r="G1096" t="s">
        <v>1244</v>
      </c>
      <c r="H1096">
        <v>5320.67</v>
      </c>
      <c r="I1096">
        <v>3.7</v>
      </c>
      <c r="J1096" t="s">
        <v>120</v>
      </c>
      <c r="K1096" t="s">
        <v>6161</v>
      </c>
      <c r="L1096">
        <v>2.13</v>
      </c>
      <c r="M1096">
        <v>14.06</v>
      </c>
      <c r="N1096">
        <v>2.23</v>
      </c>
      <c r="O1096">
        <v>6.3</v>
      </c>
      <c r="P1096">
        <v>14.5</v>
      </c>
      <c r="Q1096">
        <v>0.15</v>
      </c>
      <c r="R1096">
        <v>13.66</v>
      </c>
      <c r="S1096">
        <v>13.67</v>
      </c>
      <c r="T1096">
        <v>37424</v>
      </c>
      <c r="U1096">
        <v>14.06</v>
      </c>
      <c r="V1096">
        <v>13.64</v>
      </c>
      <c r="W1096">
        <v>15.33</v>
      </c>
      <c r="X1096" t="s">
        <v>3820</v>
      </c>
      <c r="Y1096" t="s">
        <v>319</v>
      </c>
      <c r="Z1096">
        <v>6.16</v>
      </c>
      <c r="AA1096">
        <v>14.22</v>
      </c>
      <c r="AB1096">
        <v>15572</v>
      </c>
      <c r="AC1096">
        <v>21852</v>
      </c>
      <c r="AD1096">
        <v>0.71</v>
      </c>
      <c r="AE1096">
        <v>2</v>
      </c>
      <c r="AF1096">
        <v>75</v>
      </c>
      <c r="AG1096" t="s">
        <v>120</v>
      </c>
      <c r="AH1096">
        <v>0</v>
      </c>
      <c r="AI1096" t="s">
        <v>120</v>
      </c>
      <c r="AJ1096">
        <v>1.75</v>
      </c>
      <c r="AK1096" t="s">
        <v>6161</v>
      </c>
      <c r="AL1096">
        <v>4.99</v>
      </c>
      <c r="AM1096">
        <v>1900</v>
      </c>
      <c r="AN1096">
        <v>20</v>
      </c>
      <c r="AO1096">
        <v>1.1000000000000001E-3</v>
      </c>
      <c r="AP1096">
        <v>1</v>
      </c>
      <c r="AQ1096">
        <v>-2.57</v>
      </c>
      <c r="AR1096">
        <v>-0.35</v>
      </c>
      <c r="AS1096">
        <v>6.76</v>
      </c>
      <c r="AT1096">
        <v>6.76</v>
      </c>
      <c r="AU1096">
        <v>21.42</v>
      </c>
      <c r="AV1096">
        <v>0</v>
      </c>
      <c r="AW1096">
        <v>4.13</v>
      </c>
      <c r="AX1096">
        <v>51.62</v>
      </c>
      <c r="AY1096">
        <v>29.86</v>
      </c>
      <c r="AZ1096">
        <v>71.11</v>
      </c>
      <c r="BA1096">
        <v>0.47</v>
      </c>
      <c r="BB1096" t="s">
        <v>143</v>
      </c>
      <c r="BF1096">
        <v>4.2300000000000004</v>
      </c>
      <c r="BG1096">
        <v>2.85</v>
      </c>
      <c r="BH1096">
        <v>-3.03</v>
      </c>
      <c r="BI1096">
        <v>2.93</v>
      </c>
      <c r="BJ1096">
        <v>20210830</v>
      </c>
      <c r="BK1096">
        <v>20140128</v>
      </c>
      <c r="BL1096">
        <v>1.75</v>
      </c>
      <c r="BM1096" t="s">
        <v>120</v>
      </c>
      <c r="BN1096" t="s">
        <v>120</v>
      </c>
      <c r="BO1096">
        <v>30.65</v>
      </c>
      <c r="BP1096">
        <v>14.05</v>
      </c>
      <c r="BQ1096">
        <v>19.61</v>
      </c>
      <c r="BR1096">
        <v>0.02</v>
      </c>
      <c r="BS1096">
        <v>35.94</v>
      </c>
      <c r="BT1096">
        <v>18.64</v>
      </c>
      <c r="BU1096">
        <v>4.33</v>
      </c>
      <c r="BV1096">
        <v>0.66</v>
      </c>
      <c r="BW1096">
        <v>9.01</v>
      </c>
      <c r="BX1096">
        <v>2.31</v>
      </c>
      <c r="BY1096">
        <v>5.07</v>
      </c>
      <c r="BZ1096">
        <v>6.02</v>
      </c>
      <c r="CA1096">
        <v>0</v>
      </c>
      <c r="CB1096">
        <v>11.1</v>
      </c>
      <c r="CC1096">
        <v>15.22</v>
      </c>
      <c r="CD1096">
        <v>12.88</v>
      </c>
      <c r="CE1096">
        <v>1.1200000000000001</v>
      </c>
      <c r="CF1096">
        <v>0.04</v>
      </c>
      <c r="CG1096">
        <v>1.1100000000000001</v>
      </c>
      <c r="CH1096">
        <v>0.8</v>
      </c>
      <c r="CI1096">
        <v>0.8</v>
      </c>
      <c r="CJ1096">
        <v>0.42</v>
      </c>
      <c r="CK1096">
        <v>0.75</v>
      </c>
      <c r="CL1096">
        <v>5.38</v>
      </c>
      <c r="CM1096">
        <v>0.13</v>
      </c>
      <c r="CN1096">
        <v>-2.6</v>
      </c>
      <c r="CO1096">
        <v>18621</v>
      </c>
      <c r="CP1096">
        <v>4865</v>
      </c>
      <c r="CQ1096" t="s">
        <v>4587</v>
      </c>
      <c r="CR1096">
        <v>136.85</v>
      </c>
      <c r="CS1096">
        <v>49.49</v>
      </c>
      <c r="CT1096">
        <v>1.29</v>
      </c>
      <c r="CU1096">
        <v>188.61</v>
      </c>
      <c r="CV1096">
        <v>1.62</v>
      </c>
      <c r="CW1096">
        <v>0.73</v>
      </c>
      <c r="CX1096" t="s">
        <v>1631</v>
      </c>
      <c r="CY1096">
        <v>10.91</v>
      </c>
      <c r="CZ1096">
        <v>10.91</v>
      </c>
      <c r="DA1096">
        <v>6.32</v>
      </c>
      <c r="DB1096">
        <v>3.06</v>
      </c>
      <c r="DC1096">
        <v>7.0000000000000007E-2</v>
      </c>
      <c r="DD1096">
        <v>63.99</v>
      </c>
      <c r="DE1096" t="s">
        <v>1587</v>
      </c>
      <c r="DF1096">
        <v>15.42</v>
      </c>
      <c r="DG1096">
        <v>7.35</v>
      </c>
      <c r="DH1096">
        <v>5.29</v>
      </c>
      <c r="DI1096">
        <v>0.11</v>
      </c>
      <c r="DJ1096">
        <v>2211</v>
      </c>
      <c r="DK1096">
        <v>2722</v>
      </c>
      <c r="DL1096" t="s">
        <v>120</v>
      </c>
      <c r="DM1096" t="s">
        <v>120</v>
      </c>
      <c r="DN1096" t="s">
        <v>120</v>
      </c>
    </row>
    <row r="1097" spans="1:118">
      <c r="A1097" t="str">
        <f>"002723"</f>
        <v>002723</v>
      </c>
      <c r="B1097" t="s">
        <v>6162</v>
      </c>
      <c r="C1097">
        <v>-0.75</v>
      </c>
      <c r="D1097">
        <v>0.08</v>
      </c>
      <c r="E1097">
        <v>1.72</v>
      </c>
      <c r="F1097">
        <v>257</v>
      </c>
      <c r="G1097" t="s">
        <v>1740</v>
      </c>
      <c r="H1097">
        <v>2777.11</v>
      </c>
      <c r="I1097">
        <v>10.88</v>
      </c>
      <c r="J1097" t="s">
        <v>120</v>
      </c>
      <c r="K1097" t="s">
        <v>6163</v>
      </c>
      <c r="L1097">
        <v>0.83</v>
      </c>
      <c r="M1097">
        <v>13.27</v>
      </c>
      <c r="N1097">
        <v>0.62</v>
      </c>
      <c r="O1097">
        <v>3.59</v>
      </c>
      <c r="P1097">
        <v>13.85</v>
      </c>
      <c r="Q1097">
        <v>-2.02</v>
      </c>
      <c r="R1097">
        <v>13.1</v>
      </c>
      <c r="S1097">
        <v>13.6</v>
      </c>
      <c r="T1097">
        <v>20705</v>
      </c>
      <c r="U1097">
        <v>13.27</v>
      </c>
      <c r="V1097">
        <v>13.37</v>
      </c>
      <c r="W1097">
        <v>286.35000000000002</v>
      </c>
      <c r="X1097" t="s">
        <v>205</v>
      </c>
      <c r="Y1097" t="s">
        <v>547</v>
      </c>
      <c r="Z1097">
        <v>5.61</v>
      </c>
      <c r="AA1097">
        <v>13.41</v>
      </c>
      <c r="AB1097">
        <v>12877</v>
      </c>
      <c r="AC1097">
        <v>7828</v>
      </c>
      <c r="AD1097">
        <v>1.64</v>
      </c>
      <c r="AE1097">
        <v>47</v>
      </c>
      <c r="AF1097">
        <v>30</v>
      </c>
      <c r="AG1097" t="s">
        <v>120</v>
      </c>
      <c r="AH1097">
        <v>0.01</v>
      </c>
      <c r="AI1097" t="s">
        <v>120</v>
      </c>
      <c r="AJ1097">
        <v>2.4900000000000002</v>
      </c>
      <c r="AK1097" t="s">
        <v>6164</v>
      </c>
      <c r="AL1097">
        <v>1.17</v>
      </c>
      <c r="AM1097">
        <v>875</v>
      </c>
      <c r="AN1097">
        <v>24</v>
      </c>
      <c r="AO1097">
        <v>8.9999999999999998E-4</v>
      </c>
      <c r="AP1097">
        <v>-3</v>
      </c>
      <c r="AQ1097">
        <v>-1.98</v>
      </c>
      <c r="AR1097">
        <v>-5.15</v>
      </c>
      <c r="AS1097">
        <v>-1.92</v>
      </c>
      <c r="AT1097">
        <v>-2.64</v>
      </c>
      <c r="AU1097">
        <v>37.29</v>
      </c>
      <c r="AV1097">
        <v>3</v>
      </c>
      <c r="AW1097">
        <v>2.0499999999999998</v>
      </c>
      <c r="AX1097">
        <v>37.46</v>
      </c>
      <c r="AY1097">
        <v>173.03</v>
      </c>
      <c r="AZ1097">
        <v>138.79</v>
      </c>
      <c r="BA1097">
        <v>0.13</v>
      </c>
      <c r="BB1097" t="s">
        <v>2725</v>
      </c>
      <c r="BF1097">
        <v>0.32</v>
      </c>
      <c r="BG1097">
        <v>-2.4300000000000002</v>
      </c>
      <c r="BH1097">
        <v>-4.1900000000000004</v>
      </c>
      <c r="BI1097">
        <v>1.3</v>
      </c>
      <c r="BJ1097">
        <v>20210830</v>
      </c>
      <c r="BK1097">
        <v>20140129</v>
      </c>
      <c r="BL1097">
        <v>2.69</v>
      </c>
      <c r="BM1097" t="s">
        <v>120</v>
      </c>
      <c r="BN1097" t="s">
        <v>120</v>
      </c>
      <c r="BO1097">
        <v>17.11</v>
      </c>
      <c r="BP1097">
        <v>13.26</v>
      </c>
      <c r="BQ1097">
        <v>6.41</v>
      </c>
      <c r="BR1097">
        <v>0</v>
      </c>
      <c r="BS1097">
        <v>62.52</v>
      </c>
      <c r="BT1097">
        <v>10.82</v>
      </c>
      <c r="BU1097">
        <v>4.12</v>
      </c>
      <c r="BV1097">
        <v>0.5</v>
      </c>
      <c r="BW1097">
        <v>9.4700000000000006</v>
      </c>
      <c r="BX1097">
        <v>0.81</v>
      </c>
      <c r="BY1097">
        <v>2.27</v>
      </c>
      <c r="BZ1097">
        <v>3.08</v>
      </c>
      <c r="CA1097" t="s">
        <v>120</v>
      </c>
      <c r="CB1097">
        <v>1.8</v>
      </c>
      <c r="CC1097">
        <v>6.79</v>
      </c>
      <c r="CD1097">
        <v>6.04</v>
      </c>
      <c r="CE1097">
        <v>0.11</v>
      </c>
      <c r="CF1097">
        <v>0</v>
      </c>
      <c r="CG1097">
        <v>0.11</v>
      </c>
      <c r="CH1097">
        <v>0.06</v>
      </c>
      <c r="CI1097">
        <v>0.06</v>
      </c>
      <c r="CJ1097">
        <v>-0.1</v>
      </c>
      <c r="CK1097">
        <v>0.04</v>
      </c>
      <c r="CL1097">
        <v>1.69</v>
      </c>
      <c r="CM1097">
        <v>-0.14000000000000001</v>
      </c>
      <c r="CN1097">
        <v>-0.32</v>
      </c>
      <c r="CO1097">
        <v>8593</v>
      </c>
      <c r="CP1097">
        <v>11743</v>
      </c>
      <c r="CQ1097" t="s">
        <v>6165</v>
      </c>
      <c r="CR1097">
        <v>-45.14</v>
      </c>
      <c r="CS1097">
        <v>69.06</v>
      </c>
      <c r="CT1097">
        <v>5.57</v>
      </c>
      <c r="CU1097">
        <v>-259.32</v>
      </c>
      <c r="CV1097">
        <v>5.26</v>
      </c>
      <c r="CW1097">
        <v>0.1</v>
      </c>
      <c r="CX1097" t="s">
        <v>2074</v>
      </c>
      <c r="CY1097">
        <v>2.38</v>
      </c>
      <c r="CZ1097">
        <v>2.38</v>
      </c>
      <c r="DA1097">
        <v>0.67</v>
      </c>
      <c r="DB1097">
        <v>0.63</v>
      </c>
      <c r="DC1097">
        <v>-0.05</v>
      </c>
      <c r="DD1097">
        <v>37.46</v>
      </c>
      <c r="DE1097" t="s">
        <v>2075</v>
      </c>
      <c r="DF1097">
        <v>11.14</v>
      </c>
      <c r="DG1097">
        <v>1.69</v>
      </c>
      <c r="DH1097">
        <v>0.92</v>
      </c>
      <c r="DI1097">
        <v>0.2</v>
      </c>
      <c r="DJ1097">
        <v>1201</v>
      </c>
      <c r="DK1097">
        <v>2723</v>
      </c>
      <c r="DL1097" t="s">
        <v>120</v>
      </c>
      <c r="DM1097" t="s">
        <v>120</v>
      </c>
      <c r="DN1097" t="s">
        <v>120</v>
      </c>
    </row>
    <row r="1098" spans="1:118">
      <c r="A1098" t="str">
        <f>"002724"</f>
        <v>002724</v>
      </c>
      <c r="B1098" t="s">
        <v>6166</v>
      </c>
      <c r="C1098">
        <v>-3.8</v>
      </c>
      <c r="D1098">
        <v>-0.05</v>
      </c>
      <c r="E1098">
        <v>1.44</v>
      </c>
      <c r="F1098">
        <v>346</v>
      </c>
      <c r="G1098" t="s">
        <v>5825</v>
      </c>
      <c r="H1098">
        <v>5726.47</v>
      </c>
      <c r="I1098">
        <v>36.61</v>
      </c>
      <c r="J1098" t="s">
        <v>120</v>
      </c>
      <c r="K1098" t="s">
        <v>3002</v>
      </c>
      <c r="L1098">
        <v>0.93</v>
      </c>
      <c r="M1098">
        <v>16.690000000000001</v>
      </c>
      <c r="N1098">
        <v>0.65</v>
      </c>
      <c r="O1098">
        <v>1.44</v>
      </c>
      <c r="P1098">
        <v>17.600000000000001</v>
      </c>
      <c r="Q1098">
        <v>-4.03</v>
      </c>
      <c r="R1098">
        <v>16.649999999999999</v>
      </c>
      <c r="S1098">
        <v>17.600000000000001</v>
      </c>
      <c r="T1098">
        <v>33787</v>
      </c>
      <c r="U1098">
        <v>16.690000000000001</v>
      </c>
      <c r="V1098">
        <v>17.350000000000001</v>
      </c>
      <c r="W1098">
        <v>67.86</v>
      </c>
      <c r="X1098" t="s">
        <v>3245</v>
      </c>
      <c r="Y1098" t="s">
        <v>123</v>
      </c>
      <c r="Z1098">
        <v>5.48</v>
      </c>
      <c r="AA1098">
        <v>16.95</v>
      </c>
      <c r="AB1098">
        <v>22057</v>
      </c>
      <c r="AC1098">
        <v>11730</v>
      </c>
      <c r="AD1098">
        <v>1.88</v>
      </c>
      <c r="AE1098">
        <v>172</v>
      </c>
      <c r="AF1098">
        <v>25</v>
      </c>
      <c r="AG1098" t="s">
        <v>120</v>
      </c>
      <c r="AH1098">
        <v>0.01</v>
      </c>
      <c r="AI1098" t="s">
        <v>120</v>
      </c>
      <c r="AJ1098">
        <v>3.64</v>
      </c>
      <c r="AK1098" t="s">
        <v>6167</v>
      </c>
      <c r="AL1098">
        <v>-1.89</v>
      </c>
      <c r="AM1098">
        <v>2289</v>
      </c>
      <c r="AN1098">
        <v>15</v>
      </c>
      <c r="AO1098">
        <v>4.0000000000000002E-4</v>
      </c>
      <c r="AP1098">
        <v>-1</v>
      </c>
      <c r="AQ1098">
        <v>4.33</v>
      </c>
      <c r="AR1098">
        <v>-2.57</v>
      </c>
      <c r="AS1098">
        <v>-11.74</v>
      </c>
      <c r="AT1098">
        <v>32.78</v>
      </c>
      <c r="AU1098">
        <v>130.33000000000001</v>
      </c>
      <c r="AV1098">
        <v>3</v>
      </c>
      <c r="AW1098">
        <v>1.56</v>
      </c>
      <c r="AX1098">
        <v>27.84</v>
      </c>
      <c r="AY1098">
        <v>39.83</v>
      </c>
      <c r="AZ1098">
        <v>44.98</v>
      </c>
      <c r="BA1098">
        <v>1.04</v>
      </c>
      <c r="BB1098" t="s">
        <v>143</v>
      </c>
      <c r="BF1098">
        <v>-2.31</v>
      </c>
      <c r="BG1098">
        <v>-5.17</v>
      </c>
      <c r="BH1098">
        <v>-5.17</v>
      </c>
      <c r="BI1098">
        <v>0.24</v>
      </c>
      <c r="BJ1098">
        <v>20210830</v>
      </c>
      <c r="BK1098">
        <v>20141104</v>
      </c>
      <c r="BL1098">
        <v>7.8</v>
      </c>
      <c r="BM1098" t="s">
        <v>120</v>
      </c>
      <c r="BN1098" t="s">
        <v>120</v>
      </c>
      <c r="BO1098">
        <v>32.590000000000003</v>
      </c>
      <c r="BP1098">
        <v>16.68</v>
      </c>
      <c r="BQ1098">
        <v>26.13</v>
      </c>
      <c r="BR1098">
        <v>1.71</v>
      </c>
      <c r="BS1098">
        <v>14.58</v>
      </c>
      <c r="BT1098">
        <v>22.36</v>
      </c>
      <c r="BU1098">
        <v>4.07</v>
      </c>
      <c r="BV1098">
        <v>0.76</v>
      </c>
      <c r="BW1098">
        <v>4.6500000000000004</v>
      </c>
      <c r="BX1098">
        <v>4.29</v>
      </c>
      <c r="BY1098">
        <v>2.79</v>
      </c>
      <c r="BZ1098">
        <v>6.68</v>
      </c>
      <c r="CA1098" t="s">
        <v>120</v>
      </c>
      <c r="CB1098">
        <v>3.21</v>
      </c>
      <c r="CC1098">
        <v>8.44</v>
      </c>
      <c r="CD1098">
        <v>3.57</v>
      </c>
      <c r="CE1098">
        <v>1.25</v>
      </c>
      <c r="CF1098">
        <v>0.03</v>
      </c>
      <c r="CG1098">
        <v>1.25</v>
      </c>
      <c r="CH1098">
        <v>1.1000000000000001</v>
      </c>
      <c r="CI1098">
        <v>0.96</v>
      </c>
      <c r="CJ1098">
        <v>-0.66</v>
      </c>
      <c r="CK1098">
        <v>0.81</v>
      </c>
      <c r="CL1098">
        <v>13.96</v>
      </c>
      <c r="CM1098">
        <v>-0.74</v>
      </c>
      <c r="CN1098">
        <v>-2.7</v>
      </c>
      <c r="CO1098">
        <v>18741</v>
      </c>
      <c r="CP1098">
        <v>11585</v>
      </c>
      <c r="CQ1098" t="s">
        <v>2613</v>
      </c>
      <c r="CR1098">
        <v>68.25</v>
      </c>
      <c r="CS1098">
        <v>50.21</v>
      </c>
      <c r="CT1098">
        <v>4.9800000000000004</v>
      </c>
      <c r="CU1098">
        <v>-175.76</v>
      </c>
      <c r="CV1098">
        <v>15.42</v>
      </c>
      <c r="CW1098">
        <v>0.89</v>
      </c>
      <c r="CX1098" t="s">
        <v>4972</v>
      </c>
      <c r="CY1098">
        <v>3.35</v>
      </c>
      <c r="CZ1098">
        <v>0</v>
      </c>
      <c r="DA1098">
        <v>0.41</v>
      </c>
      <c r="DB1098">
        <v>1.79</v>
      </c>
      <c r="DC1098">
        <v>-0.09</v>
      </c>
      <c r="DD1098">
        <v>80.180000000000007</v>
      </c>
      <c r="DE1098" t="s">
        <v>4910</v>
      </c>
      <c r="DF1098">
        <v>57.7</v>
      </c>
      <c r="DG1098">
        <v>14.85</v>
      </c>
      <c r="DH1098">
        <v>11.36</v>
      </c>
      <c r="DI1098">
        <v>0.44</v>
      </c>
      <c r="DJ1098">
        <v>2844</v>
      </c>
      <c r="DK1098">
        <v>2724</v>
      </c>
      <c r="DL1098" t="s">
        <v>120</v>
      </c>
      <c r="DM1098" t="s">
        <v>120</v>
      </c>
      <c r="DN1098" t="s">
        <v>120</v>
      </c>
    </row>
    <row r="1099" spans="1:118">
      <c r="A1099" t="str">
        <f>"002725"</f>
        <v>002725</v>
      </c>
      <c r="B1099" t="s">
        <v>6168</v>
      </c>
      <c r="C1099">
        <v>-0.44</v>
      </c>
      <c r="D1099">
        <v>0</v>
      </c>
      <c r="E1099">
        <v>0.87</v>
      </c>
      <c r="F1099">
        <v>484</v>
      </c>
      <c r="G1099" t="s">
        <v>6169</v>
      </c>
      <c r="H1099">
        <v>901.57</v>
      </c>
      <c r="I1099">
        <v>10.130000000000001</v>
      </c>
      <c r="J1099" t="s">
        <v>120</v>
      </c>
      <c r="K1099" t="s">
        <v>553</v>
      </c>
      <c r="L1099">
        <v>0.67</v>
      </c>
      <c r="M1099">
        <v>6.85</v>
      </c>
      <c r="N1099">
        <v>0.61</v>
      </c>
      <c r="O1099">
        <v>1.45</v>
      </c>
      <c r="P1099">
        <v>6.98</v>
      </c>
      <c r="Q1099">
        <v>-0.57999999999999996</v>
      </c>
      <c r="R1099">
        <v>6.84</v>
      </c>
      <c r="S1099">
        <v>6.94</v>
      </c>
      <c r="T1099">
        <v>13068</v>
      </c>
      <c r="U1099">
        <v>6.85</v>
      </c>
      <c r="V1099">
        <v>6.88</v>
      </c>
      <c r="W1099">
        <v>320.32</v>
      </c>
      <c r="X1099" t="s">
        <v>289</v>
      </c>
      <c r="Y1099" t="s">
        <v>585</v>
      </c>
      <c r="Z1099">
        <v>2.0299999999999998</v>
      </c>
      <c r="AA1099">
        <v>6.9</v>
      </c>
      <c r="AB1099">
        <v>7423</v>
      </c>
      <c r="AC1099">
        <v>5645</v>
      </c>
      <c r="AD1099">
        <v>1.31</v>
      </c>
      <c r="AE1099">
        <v>237</v>
      </c>
      <c r="AF1099">
        <v>199</v>
      </c>
      <c r="AG1099" t="s">
        <v>120</v>
      </c>
      <c r="AH1099">
        <v>0.01</v>
      </c>
      <c r="AI1099" t="s">
        <v>120</v>
      </c>
      <c r="AJ1099">
        <v>1.95</v>
      </c>
      <c r="AK1099" t="s">
        <v>6170</v>
      </c>
      <c r="AL1099">
        <v>1.48</v>
      </c>
      <c r="AM1099">
        <v>572</v>
      </c>
      <c r="AN1099">
        <v>23</v>
      </c>
      <c r="AO1099">
        <v>1.1999999999999999E-3</v>
      </c>
      <c r="AP1099">
        <v>-3</v>
      </c>
      <c r="AQ1099">
        <v>-0.72</v>
      </c>
      <c r="AR1099">
        <v>-2.69</v>
      </c>
      <c r="AS1099">
        <v>0.28999999999999998</v>
      </c>
      <c r="AT1099">
        <v>-12.17</v>
      </c>
      <c r="AU1099">
        <v>-16.16</v>
      </c>
      <c r="AV1099">
        <v>2</v>
      </c>
      <c r="AW1099">
        <v>1.1399999999999999</v>
      </c>
      <c r="AX1099">
        <v>44.88</v>
      </c>
      <c r="AY1099" t="s">
        <v>120</v>
      </c>
      <c r="AZ1099" t="s">
        <v>120</v>
      </c>
      <c r="BA1099">
        <v>0.41</v>
      </c>
      <c r="BB1099" t="s">
        <v>143</v>
      </c>
      <c r="BF1099">
        <v>0.28000000000000003</v>
      </c>
      <c r="BG1099">
        <v>-1.3</v>
      </c>
      <c r="BH1099">
        <v>-1.86</v>
      </c>
      <c r="BI1099">
        <v>0.15</v>
      </c>
      <c r="BJ1099">
        <v>20210831</v>
      </c>
      <c r="BK1099">
        <v>20140129</v>
      </c>
      <c r="BL1099">
        <v>2.56</v>
      </c>
      <c r="BM1099" t="s">
        <v>120</v>
      </c>
      <c r="BN1099" t="s">
        <v>120</v>
      </c>
      <c r="BO1099">
        <v>13.44</v>
      </c>
      <c r="BP1099">
        <v>6.84</v>
      </c>
      <c r="BQ1099">
        <v>10.199999999999999</v>
      </c>
      <c r="BR1099" t="s">
        <v>120</v>
      </c>
      <c r="BS1099">
        <v>24.15</v>
      </c>
      <c r="BT1099">
        <v>5.21</v>
      </c>
      <c r="BU1099">
        <v>4.09</v>
      </c>
      <c r="BV1099">
        <v>0.92</v>
      </c>
      <c r="BW1099">
        <v>3.15</v>
      </c>
      <c r="BX1099">
        <v>0.87</v>
      </c>
      <c r="BY1099">
        <v>2.31</v>
      </c>
      <c r="BZ1099">
        <v>1.49</v>
      </c>
      <c r="CA1099" t="s">
        <v>120</v>
      </c>
      <c r="CB1099">
        <v>2.97</v>
      </c>
      <c r="CC1099">
        <v>4.17</v>
      </c>
      <c r="CD1099">
        <v>3.74</v>
      </c>
      <c r="CE1099">
        <v>0.01</v>
      </c>
      <c r="CF1099">
        <v>-0.01</v>
      </c>
      <c r="CG1099">
        <v>0.01</v>
      </c>
      <c r="CH1099">
        <v>0.03</v>
      </c>
      <c r="CI1099">
        <v>0.03</v>
      </c>
      <c r="CJ1099">
        <v>-0.03</v>
      </c>
      <c r="CK1099">
        <v>0.01</v>
      </c>
      <c r="CL1099">
        <v>3.37</v>
      </c>
      <c r="CM1099">
        <v>-0.66</v>
      </c>
      <c r="CN1099">
        <v>-0.51</v>
      </c>
      <c r="CO1099">
        <v>20402</v>
      </c>
      <c r="CP1099">
        <v>5632</v>
      </c>
      <c r="CQ1099" t="s">
        <v>2735</v>
      </c>
      <c r="CR1099">
        <v>-58.48</v>
      </c>
      <c r="CS1099">
        <v>48.29</v>
      </c>
      <c r="CT1099">
        <v>1.72</v>
      </c>
      <c r="CU1099">
        <v>-26.72</v>
      </c>
      <c r="CV1099">
        <v>4.21</v>
      </c>
      <c r="CW1099">
        <v>0</v>
      </c>
      <c r="CX1099" t="s">
        <v>730</v>
      </c>
      <c r="CY1099">
        <v>3.98</v>
      </c>
      <c r="CZ1099">
        <v>0</v>
      </c>
      <c r="DA1099">
        <v>1.1599999999999999</v>
      </c>
      <c r="DB1099">
        <v>1.32</v>
      </c>
      <c r="DC1099">
        <v>-0.26</v>
      </c>
      <c r="DD1099">
        <v>75.849999999999994</v>
      </c>
      <c r="DE1099" t="s">
        <v>5971</v>
      </c>
      <c r="DF1099">
        <v>10.16</v>
      </c>
      <c r="DG1099">
        <v>0.34</v>
      </c>
      <c r="DH1099">
        <v>0.66</v>
      </c>
      <c r="DI1099">
        <v>0.13</v>
      </c>
      <c r="DJ1099">
        <v>1321</v>
      </c>
      <c r="DK1099">
        <v>2725</v>
      </c>
      <c r="DL1099" t="s">
        <v>120</v>
      </c>
      <c r="DM1099" t="s">
        <v>120</v>
      </c>
      <c r="DN1099" t="s">
        <v>120</v>
      </c>
    </row>
    <row r="1100" spans="1:118">
      <c r="A1100" t="str">
        <f>"002726"</f>
        <v>002726</v>
      </c>
      <c r="B1100" t="s">
        <v>6171</v>
      </c>
      <c r="C1100">
        <v>4.66</v>
      </c>
      <c r="D1100">
        <v>0.28999999999999998</v>
      </c>
      <c r="E1100">
        <v>0.3</v>
      </c>
      <c r="F1100">
        <v>1776</v>
      </c>
      <c r="G1100" t="s">
        <v>6172</v>
      </c>
      <c r="H1100">
        <v>25371.58</v>
      </c>
      <c r="I1100">
        <v>7.14</v>
      </c>
      <c r="J1100" t="s">
        <v>120</v>
      </c>
      <c r="K1100" t="s">
        <v>2546</v>
      </c>
      <c r="L1100">
        <v>2.5</v>
      </c>
      <c r="M1100">
        <v>10.34</v>
      </c>
      <c r="N1100">
        <v>1.71</v>
      </c>
      <c r="O1100">
        <v>5.97</v>
      </c>
      <c r="P1100">
        <v>10.47</v>
      </c>
      <c r="Q1100">
        <v>-0.2</v>
      </c>
      <c r="R1100">
        <v>9.86</v>
      </c>
      <c r="S1100">
        <v>9.91</v>
      </c>
      <c r="T1100">
        <v>247941</v>
      </c>
      <c r="U1100">
        <v>10.35</v>
      </c>
      <c r="V1100">
        <v>9.8800000000000008</v>
      </c>
      <c r="W1100">
        <v>18.09</v>
      </c>
      <c r="X1100" t="s">
        <v>847</v>
      </c>
      <c r="Y1100" t="s">
        <v>638</v>
      </c>
      <c r="Z1100">
        <v>6.17</v>
      </c>
      <c r="AA1100">
        <v>10.23</v>
      </c>
      <c r="AB1100">
        <v>96681</v>
      </c>
      <c r="AC1100">
        <v>151260</v>
      </c>
      <c r="AD1100">
        <v>0.64</v>
      </c>
      <c r="AE1100">
        <v>777</v>
      </c>
      <c r="AF1100">
        <v>2632</v>
      </c>
      <c r="AG1100" t="s">
        <v>120</v>
      </c>
      <c r="AH1100">
        <v>0</v>
      </c>
      <c r="AI1100" t="s">
        <v>120</v>
      </c>
      <c r="AJ1100">
        <v>9.93</v>
      </c>
      <c r="AK1100" t="s">
        <v>6173</v>
      </c>
      <c r="AL1100">
        <v>6.57</v>
      </c>
      <c r="AM1100">
        <v>3020</v>
      </c>
      <c r="AN1100">
        <v>82</v>
      </c>
      <c r="AO1100">
        <v>8.0000000000000004E-4</v>
      </c>
      <c r="AP1100">
        <v>1</v>
      </c>
      <c r="AQ1100">
        <v>-0.6</v>
      </c>
      <c r="AR1100">
        <v>1.57</v>
      </c>
      <c r="AS1100">
        <v>10.59</v>
      </c>
      <c r="AT1100">
        <v>2.37</v>
      </c>
      <c r="AU1100">
        <v>-18.05</v>
      </c>
      <c r="AV1100">
        <v>0</v>
      </c>
      <c r="AW1100">
        <v>5.55</v>
      </c>
      <c r="AX1100">
        <v>41.47</v>
      </c>
      <c r="AY1100">
        <v>11.71</v>
      </c>
      <c r="AZ1100">
        <v>11.76</v>
      </c>
      <c r="BA1100">
        <v>0.34</v>
      </c>
      <c r="BB1100" t="s">
        <v>240</v>
      </c>
      <c r="BF1100">
        <v>3.57</v>
      </c>
      <c r="BG1100">
        <v>4.34</v>
      </c>
      <c r="BH1100">
        <v>-1.24</v>
      </c>
      <c r="BI1100">
        <v>4.87</v>
      </c>
      <c r="BJ1100">
        <v>20210831</v>
      </c>
      <c r="BK1100">
        <v>20140626</v>
      </c>
      <c r="BL1100">
        <v>10.78</v>
      </c>
      <c r="BM1100" t="s">
        <v>120</v>
      </c>
      <c r="BN1100" t="s">
        <v>120</v>
      </c>
      <c r="BO1100">
        <v>92.02</v>
      </c>
      <c r="BP1100">
        <v>10.34</v>
      </c>
      <c r="BQ1100">
        <v>35.81</v>
      </c>
      <c r="BR1100" t="s">
        <v>120</v>
      </c>
      <c r="BS1100">
        <v>61.09</v>
      </c>
      <c r="BT1100">
        <v>64.92</v>
      </c>
      <c r="BU1100">
        <v>11.39</v>
      </c>
      <c r="BV1100">
        <v>0.69</v>
      </c>
      <c r="BW1100">
        <v>41.14</v>
      </c>
      <c r="BX1100">
        <v>20.47</v>
      </c>
      <c r="BY1100">
        <v>32.159999999999997</v>
      </c>
      <c r="BZ1100">
        <v>4.2300000000000004</v>
      </c>
      <c r="CA1100" t="s">
        <v>120</v>
      </c>
      <c r="CB1100">
        <v>2.7</v>
      </c>
      <c r="CC1100">
        <v>106.01</v>
      </c>
      <c r="CD1100">
        <v>99.45</v>
      </c>
      <c r="CE1100">
        <v>3.38</v>
      </c>
      <c r="CF1100">
        <v>0</v>
      </c>
      <c r="CG1100">
        <v>3.4</v>
      </c>
      <c r="CH1100">
        <v>3.38</v>
      </c>
      <c r="CI1100">
        <v>3.08</v>
      </c>
      <c r="CJ1100">
        <v>0.46</v>
      </c>
      <c r="CK1100">
        <v>3.2</v>
      </c>
      <c r="CL1100">
        <v>19.14</v>
      </c>
      <c r="CM1100">
        <v>-0.04</v>
      </c>
      <c r="CN1100">
        <v>-2.5499999999999998</v>
      </c>
      <c r="CO1100">
        <v>32073</v>
      </c>
      <c r="CP1100">
        <v>13935</v>
      </c>
      <c r="CQ1100" t="s">
        <v>6174</v>
      </c>
      <c r="CR1100">
        <v>1.26</v>
      </c>
      <c r="CS1100">
        <v>-8.61</v>
      </c>
      <c r="CT1100">
        <v>3.04</v>
      </c>
      <c r="CU1100">
        <v>-3002.82</v>
      </c>
      <c r="CV1100">
        <v>1.05</v>
      </c>
      <c r="CW1100">
        <v>1.71</v>
      </c>
      <c r="CX1100" t="s">
        <v>2752</v>
      </c>
      <c r="CY1100">
        <v>3.4</v>
      </c>
      <c r="CZ1100">
        <v>3.4</v>
      </c>
      <c r="DA1100">
        <v>0.25</v>
      </c>
      <c r="DB1100">
        <v>1.78</v>
      </c>
      <c r="DC1100">
        <v>0</v>
      </c>
      <c r="DD1100">
        <v>38.909999999999997</v>
      </c>
      <c r="DE1100" t="s">
        <v>4808</v>
      </c>
      <c r="DF1100">
        <v>6.18</v>
      </c>
      <c r="DG1100">
        <v>3.19</v>
      </c>
      <c r="DH1100">
        <v>2.91</v>
      </c>
      <c r="DI1100">
        <v>0.03</v>
      </c>
      <c r="DJ1100">
        <v>5855</v>
      </c>
      <c r="DK1100">
        <v>2726</v>
      </c>
      <c r="DL1100" t="s">
        <v>120</v>
      </c>
      <c r="DM1100" t="s">
        <v>120</v>
      </c>
      <c r="DN1100" t="s">
        <v>120</v>
      </c>
    </row>
    <row r="1101" spans="1:118">
      <c r="A1101" t="str">
        <f>"002727"</f>
        <v>002727</v>
      </c>
      <c r="B1101" t="s">
        <v>6175</v>
      </c>
      <c r="C1101">
        <v>0.85</v>
      </c>
      <c r="D1101">
        <v>-0.03</v>
      </c>
      <c r="E1101">
        <v>0</v>
      </c>
      <c r="F1101">
        <v>1590</v>
      </c>
      <c r="G1101" t="s">
        <v>6176</v>
      </c>
      <c r="H1101">
        <v>19797.63</v>
      </c>
      <c r="I1101">
        <v>18.32</v>
      </c>
      <c r="J1101" t="s">
        <v>120</v>
      </c>
      <c r="K1101" t="s">
        <v>6177</v>
      </c>
      <c r="L1101">
        <v>1.78</v>
      </c>
      <c r="M1101">
        <v>28.42</v>
      </c>
      <c r="N1101">
        <v>1.1599999999999999</v>
      </c>
      <c r="O1101">
        <v>1.1399999999999999</v>
      </c>
      <c r="P1101">
        <v>28.5</v>
      </c>
      <c r="Q1101">
        <v>-2.41</v>
      </c>
      <c r="R1101">
        <v>27.5</v>
      </c>
      <c r="S1101">
        <v>28.18</v>
      </c>
      <c r="T1101">
        <v>70797</v>
      </c>
      <c r="U1101">
        <v>28.42</v>
      </c>
      <c r="V1101">
        <v>28.18</v>
      </c>
      <c r="W1101">
        <v>16.170000000000002</v>
      </c>
      <c r="X1101" t="s">
        <v>274</v>
      </c>
      <c r="Y1101" t="s">
        <v>1006</v>
      </c>
      <c r="Z1101">
        <v>3.55</v>
      </c>
      <c r="AA1101">
        <v>27.96</v>
      </c>
      <c r="AB1101">
        <v>33970</v>
      </c>
      <c r="AC1101">
        <v>36827</v>
      </c>
      <c r="AD1101">
        <v>0.92</v>
      </c>
      <c r="AE1101">
        <v>61</v>
      </c>
      <c r="AF1101">
        <v>335</v>
      </c>
      <c r="AG1101" t="s">
        <v>120</v>
      </c>
      <c r="AH1101">
        <v>0</v>
      </c>
      <c r="AI1101" t="s">
        <v>120</v>
      </c>
      <c r="AJ1101">
        <v>3.97</v>
      </c>
      <c r="AK1101" t="s">
        <v>6178</v>
      </c>
      <c r="AL1101">
        <v>2.77</v>
      </c>
      <c r="AM1101">
        <v>3050</v>
      </c>
      <c r="AN1101">
        <v>23</v>
      </c>
      <c r="AO1101">
        <v>5.9999999999999995E-4</v>
      </c>
      <c r="AP1101">
        <v>1</v>
      </c>
      <c r="AQ1101">
        <v>-1.4</v>
      </c>
      <c r="AR1101">
        <v>-1.86</v>
      </c>
      <c r="AS1101">
        <v>-14.88</v>
      </c>
      <c r="AT1101">
        <v>-15.79</v>
      </c>
      <c r="AU1101">
        <v>-13.9</v>
      </c>
      <c r="AV1101">
        <v>3</v>
      </c>
      <c r="AW1101">
        <v>2.44</v>
      </c>
      <c r="AX1101">
        <v>48.69</v>
      </c>
      <c r="AY1101">
        <v>18.72</v>
      </c>
      <c r="AZ1101">
        <v>21.27</v>
      </c>
      <c r="BA1101">
        <v>0.82</v>
      </c>
      <c r="BB1101" t="s">
        <v>134</v>
      </c>
      <c r="BF1101">
        <v>-0.77</v>
      </c>
      <c r="BG1101">
        <v>0.85</v>
      </c>
      <c r="BH1101">
        <v>-0.28000000000000003</v>
      </c>
      <c r="BI1101">
        <v>3.35</v>
      </c>
      <c r="BJ1101">
        <v>20210901</v>
      </c>
      <c r="BK1101">
        <v>20140702</v>
      </c>
      <c r="BL1101">
        <v>5.96</v>
      </c>
      <c r="BM1101" t="s">
        <v>120</v>
      </c>
      <c r="BN1101" t="s">
        <v>120</v>
      </c>
      <c r="BO1101">
        <v>122.55</v>
      </c>
      <c r="BP1101">
        <v>28.41</v>
      </c>
      <c r="BQ1101">
        <v>61.61</v>
      </c>
      <c r="BR1101">
        <v>0.15</v>
      </c>
      <c r="BS1101">
        <v>49.61</v>
      </c>
      <c r="BT1101">
        <v>67.099999999999994</v>
      </c>
      <c r="BU1101">
        <v>6.84</v>
      </c>
      <c r="BV1101">
        <v>1.23</v>
      </c>
      <c r="BW1101">
        <v>45.61</v>
      </c>
      <c r="BX1101">
        <v>22.47</v>
      </c>
      <c r="BY1101">
        <v>26.42</v>
      </c>
      <c r="BZ1101">
        <v>12.01</v>
      </c>
      <c r="CA1101">
        <v>0.08</v>
      </c>
      <c r="CB1101">
        <v>21.42</v>
      </c>
      <c r="CC1101">
        <v>67.02</v>
      </c>
      <c r="CD1101">
        <v>40.97</v>
      </c>
      <c r="CE1101">
        <v>5.89</v>
      </c>
      <c r="CF1101">
        <v>0.14000000000000001</v>
      </c>
      <c r="CG1101">
        <v>5.97</v>
      </c>
      <c r="CH1101">
        <v>5.23</v>
      </c>
      <c r="CI1101">
        <v>5.24</v>
      </c>
      <c r="CJ1101">
        <v>0.24</v>
      </c>
      <c r="CK1101">
        <v>5.12</v>
      </c>
      <c r="CL1101">
        <v>31.79</v>
      </c>
      <c r="CM1101">
        <v>4.7</v>
      </c>
      <c r="CN1101">
        <v>6.86</v>
      </c>
      <c r="CO1101">
        <v>33177</v>
      </c>
      <c r="CP1101">
        <v>8749</v>
      </c>
      <c r="CQ1101" t="s">
        <v>6179</v>
      </c>
      <c r="CR1101">
        <v>25.82</v>
      </c>
      <c r="CS1101">
        <v>11.16</v>
      </c>
      <c r="CT1101">
        <v>2.75</v>
      </c>
      <c r="CU1101">
        <v>36.049999999999997</v>
      </c>
      <c r="CV1101">
        <v>2.5299999999999998</v>
      </c>
      <c r="CW1101">
        <v>1.06</v>
      </c>
      <c r="CX1101" t="s">
        <v>6180</v>
      </c>
      <c r="CY1101">
        <v>10.33</v>
      </c>
      <c r="CZ1101">
        <v>0</v>
      </c>
      <c r="DA1101">
        <v>3.59</v>
      </c>
      <c r="DB1101">
        <v>5.33</v>
      </c>
      <c r="DC1101">
        <v>0.79</v>
      </c>
      <c r="DD1101">
        <v>50.27</v>
      </c>
      <c r="DE1101" t="s">
        <v>6181</v>
      </c>
      <c r="DF1101">
        <v>38.86</v>
      </c>
      <c r="DG1101">
        <v>8.7799999999999994</v>
      </c>
      <c r="DH1101">
        <v>7.82</v>
      </c>
      <c r="DI1101">
        <v>0.04</v>
      </c>
      <c r="DJ1101">
        <v>30129</v>
      </c>
      <c r="DK1101">
        <v>2727</v>
      </c>
      <c r="DL1101" t="s">
        <v>120</v>
      </c>
      <c r="DM1101" t="s">
        <v>120</v>
      </c>
      <c r="DN1101" t="s">
        <v>120</v>
      </c>
    </row>
    <row r="1102" spans="1:118">
      <c r="A1102" t="str">
        <f>"002728"</f>
        <v>002728</v>
      </c>
      <c r="B1102" t="s">
        <v>6182</v>
      </c>
      <c r="C1102">
        <v>0.5</v>
      </c>
      <c r="D1102">
        <v>0</v>
      </c>
      <c r="E1102">
        <v>0</v>
      </c>
      <c r="F1102">
        <v>324</v>
      </c>
      <c r="G1102" t="s">
        <v>6183</v>
      </c>
      <c r="H1102">
        <v>5229.0200000000004</v>
      </c>
      <c r="I1102">
        <v>2.42</v>
      </c>
      <c r="J1102" t="s">
        <v>120</v>
      </c>
      <c r="K1102" t="s">
        <v>806</v>
      </c>
      <c r="L1102">
        <v>3.34</v>
      </c>
      <c r="M1102">
        <v>12.17</v>
      </c>
      <c r="N1102">
        <v>1.27</v>
      </c>
      <c r="O1102">
        <v>3.06</v>
      </c>
      <c r="P1102">
        <v>12.48</v>
      </c>
      <c r="Q1102">
        <v>-0.33</v>
      </c>
      <c r="R1102">
        <v>12.07</v>
      </c>
      <c r="S1102">
        <v>12.11</v>
      </c>
      <c r="T1102">
        <v>42415</v>
      </c>
      <c r="U1102">
        <v>12.18</v>
      </c>
      <c r="V1102">
        <v>12.11</v>
      </c>
      <c r="W1102">
        <v>16.45</v>
      </c>
      <c r="X1102" t="s">
        <v>771</v>
      </c>
      <c r="Y1102" t="s">
        <v>547</v>
      </c>
      <c r="Z1102">
        <v>3.39</v>
      </c>
      <c r="AA1102">
        <v>12.33</v>
      </c>
      <c r="AB1102">
        <v>18688</v>
      </c>
      <c r="AC1102">
        <v>23727</v>
      </c>
      <c r="AD1102">
        <v>0.79</v>
      </c>
      <c r="AE1102">
        <v>94</v>
      </c>
      <c r="AF1102">
        <v>51</v>
      </c>
      <c r="AG1102" t="s">
        <v>120</v>
      </c>
      <c r="AH1102">
        <v>0</v>
      </c>
      <c r="AI1102" t="s">
        <v>120</v>
      </c>
      <c r="AJ1102">
        <v>1.27</v>
      </c>
      <c r="AK1102" t="s">
        <v>3067</v>
      </c>
      <c r="AL1102">
        <v>2.41</v>
      </c>
      <c r="AM1102">
        <v>1829</v>
      </c>
      <c r="AN1102">
        <v>23</v>
      </c>
      <c r="AO1102">
        <v>1.8E-3</v>
      </c>
      <c r="AP1102">
        <v>1</v>
      </c>
      <c r="AQ1102">
        <v>-0.82</v>
      </c>
      <c r="AR1102">
        <v>-1.3</v>
      </c>
      <c r="AS1102">
        <v>1.92</v>
      </c>
      <c r="AT1102">
        <v>-11.62</v>
      </c>
      <c r="AU1102">
        <v>8.27</v>
      </c>
      <c r="AV1102">
        <v>5</v>
      </c>
      <c r="AW1102">
        <v>4.63</v>
      </c>
      <c r="AX1102">
        <v>44.99</v>
      </c>
      <c r="AY1102">
        <v>26.87</v>
      </c>
      <c r="AZ1102">
        <v>56.27</v>
      </c>
      <c r="BA1102">
        <v>0.71</v>
      </c>
      <c r="BB1102" t="s">
        <v>125</v>
      </c>
      <c r="BF1102">
        <v>1.8</v>
      </c>
      <c r="BG1102">
        <v>0.5</v>
      </c>
      <c r="BH1102">
        <v>-2.48</v>
      </c>
      <c r="BI1102">
        <v>0.83</v>
      </c>
      <c r="BJ1102">
        <v>20210825</v>
      </c>
      <c r="BK1102">
        <v>20140731</v>
      </c>
      <c r="BL1102">
        <v>2.04</v>
      </c>
      <c r="BM1102" t="s">
        <v>120</v>
      </c>
      <c r="BN1102" t="s">
        <v>120</v>
      </c>
      <c r="BO1102">
        <v>19.079999999999998</v>
      </c>
      <c r="BP1102">
        <v>12.17</v>
      </c>
      <c r="BQ1102">
        <v>10.25</v>
      </c>
      <c r="BR1102" t="s">
        <v>120</v>
      </c>
      <c r="BS1102">
        <v>46.31</v>
      </c>
      <c r="BT1102">
        <v>5.53</v>
      </c>
      <c r="BU1102">
        <v>4.18</v>
      </c>
      <c r="BV1102">
        <v>1.45</v>
      </c>
      <c r="BW1102">
        <v>5.78</v>
      </c>
      <c r="BX1102">
        <v>2.2400000000000002</v>
      </c>
      <c r="BY1102">
        <v>2.15</v>
      </c>
      <c r="BZ1102">
        <v>0.67</v>
      </c>
      <c r="CA1102" t="s">
        <v>120</v>
      </c>
      <c r="CB1102">
        <v>2.94</v>
      </c>
      <c r="CC1102">
        <v>3.58</v>
      </c>
      <c r="CD1102">
        <v>1.62</v>
      </c>
      <c r="CE1102">
        <v>0.83</v>
      </c>
      <c r="CF1102">
        <v>0.06</v>
      </c>
      <c r="CG1102">
        <v>0.9</v>
      </c>
      <c r="CH1102">
        <v>0.75</v>
      </c>
      <c r="CI1102">
        <v>0.75</v>
      </c>
      <c r="CJ1102">
        <v>0.06</v>
      </c>
      <c r="CK1102">
        <v>0.63</v>
      </c>
      <c r="CL1102">
        <v>3.66</v>
      </c>
      <c r="CM1102">
        <v>1.18</v>
      </c>
      <c r="CN1102">
        <v>-1.01</v>
      </c>
      <c r="CO1102">
        <v>26625</v>
      </c>
      <c r="CP1102">
        <v>3440</v>
      </c>
      <c r="CQ1102" t="s">
        <v>1993</v>
      </c>
      <c r="CR1102">
        <v>174.97</v>
      </c>
      <c r="CS1102">
        <v>19.37</v>
      </c>
      <c r="CT1102">
        <v>2.5499999999999998</v>
      </c>
      <c r="CU1102">
        <v>21.02</v>
      </c>
      <c r="CV1102">
        <v>6.92</v>
      </c>
      <c r="CW1102">
        <v>5.37</v>
      </c>
      <c r="CX1102" t="s">
        <v>709</v>
      </c>
      <c r="CY1102">
        <v>4.7699999999999996</v>
      </c>
      <c r="CZ1102">
        <v>4.7699999999999996</v>
      </c>
      <c r="DA1102">
        <v>1.44</v>
      </c>
      <c r="DB1102">
        <v>1.8</v>
      </c>
      <c r="DC1102">
        <v>0.57999999999999996</v>
      </c>
      <c r="DD1102">
        <v>53.69</v>
      </c>
      <c r="DE1102" t="s">
        <v>6184</v>
      </c>
      <c r="DF1102">
        <v>54.66</v>
      </c>
      <c r="DG1102">
        <v>23.19</v>
      </c>
      <c r="DH1102">
        <v>21.02</v>
      </c>
      <c r="DI1102">
        <v>0.18</v>
      </c>
      <c r="DJ1102">
        <v>1228</v>
      </c>
      <c r="DK1102">
        <v>2728</v>
      </c>
      <c r="DL1102" t="s">
        <v>120</v>
      </c>
      <c r="DM1102" t="s">
        <v>120</v>
      </c>
      <c r="DN1102" t="s">
        <v>120</v>
      </c>
    </row>
    <row r="1103" spans="1:118">
      <c r="A1103" t="str">
        <f>"002729"</f>
        <v>002729</v>
      </c>
      <c r="B1103" t="s">
        <v>6185</v>
      </c>
      <c r="C1103">
        <v>0.22</v>
      </c>
      <c r="D1103">
        <v>0.08</v>
      </c>
      <c r="E1103">
        <v>0.18</v>
      </c>
      <c r="F1103">
        <v>42</v>
      </c>
      <c r="G1103" t="s">
        <v>6186</v>
      </c>
      <c r="H1103">
        <v>2667.64</v>
      </c>
      <c r="I1103">
        <v>4.07</v>
      </c>
      <c r="J1103" t="s">
        <v>120</v>
      </c>
      <c r="K1103" t="s">
        <v>6187</v>
      </c>
      <c r="L1103">
        <v>0.82</v>
      </c>
      <c r="M1103">
        <v>50.9</v>
      </c>
      <c r="N1103">
        <v>1.04</v>
      </c>
      <c r="O1103">
        <v>1.89</v>
      </c>
      <c r="P1103">
        <v>51.75</v>
      </c>
      <c r="Q1103">
        <v>-0.93</v>
      </c>
      <c r="R1103">
        <v>50.32</v>
      </c>
      <c r="S1103">
        <v>50.88</v>
      </c>
      <c r="T1103">
        <v>5226</v>
      </c>
      <c r="U1103">
        <v>50.93</v>
      </c>
      <c r="V1103">
        <v>50.79</v>
      </c>
      <c r="W1103">
        <v>159.91999999999999</v>
      </c>
      <c r="X1103" t="s">
        <v>229</v>
      </c>
      <c r="Y1103" t="s">
        <v>937</v>
      </c>
      <c r="Z1103">
        <v>2.82</v>
      </c>
      <c r="AA1103">
        <v>51.05</v>
      </c>
      <c r="AB1103">
        <v>2489</v>
      </c>
      <c r="AC1103">
        <v>2737</v>
      </c>
      <c r="AD1103">
        <v>0.91</v>
      </c>
      <c r="AE1103">
        <v>5</v>
      </c>
      <c r="AF1103">
        <v>1</v>
      </c>
      <c r="AG1103" t="s">
        <v>120</v>
      </c>
      <c r="AH1103">
        <v>0</v>
      </c>
      <c r="AI1103" t="s">
        <v>120</v>
      </c>
      <c r="AJ1103">
        <v>0.64</v>
      </c>
      <c r="AK1103" t="s">
        <v>6188</v>
      </c>
      <c r="AL1103">
        <v>2.13</v>
      </c>
      <c r="AM1103">
        <v>713</v>
      </c>
      <c r="AN1103">
        <v>7</v>
      </c>
      <c r="AO1103">
        <v>1.1000000000000001E-3</v>
      </c>
      <c r="AP1103">
        <v>5</v>
      </c>
      <c r="AQ1103">
        <v>2.23</v>
      </c>
      <c r="AR1103">
        <v>3.48</v>
      </c>
      <c r="AS1103">
        <v>17.28</v>
      </c>
      <c r="AT1103">
        <v>6.35</v>
      </c>
      <c r="AU1103">
        <v>9.4700000000000006</v>
      </c>
      <c r="AV1103">
        <v>0</v>
      </c>
      <c r="AW1103">
        <v>2.23</v>
      </c>
      <c r="AX1103">
        <v>35.1</v>
      </c>
      <c r="AY1103">
        <v>257.13</v>
      </c>
      <c r="AZ1103">
        <v>314.02999999999997</v>
      </c>
      <c r="BA1103">
        <v>0.41</v>
      </c>
      <c r="BB1103" t="s">
        <v>184</v>
      </c>
      <c r="BF1103">
        <v>0.5</v>
      </c>
      <c r="BG1103">
        <v>0.04</v>
      </c>
      <c r="BH1103">
        <v>-1.64</v>
      </c>
      <c r="BI1103">
        <v>1.1499999999999999</v>
      </c>
      <c r="BJ1103">
        <v>20210831</v>
      </c>
      <c r="BK1103">
        <v>20140912</v>
      </c>
      <c r="BL1103">
        <v>0.67</v>
      </c>
      <c r="BM1103" t="s">
        <v>120</v>
      </c>
      <c r="BN1103" t="s">
        <v>120</v>
      </c>
      <c r="BO1103">
        <v>4.8600000000000003</v>
      </c>
      <c r="BP1103">
        <v>50.9</v>
      </c>
      <c r="BQ1103">
        <v>4.24</v>
      </c>
      <c r="BR1103" t="s">
        <v>120</v>
      </c>
      <c r="BS1103">
        <v>12.75</v>
      </c>
      <c r="BT1103">
        <v>2.7</v>
      </c>
      <c r="BU1103">
        <v>1.89</v>
      </c>
      <c r="BV1103">
        <v>0.13</v>
      </c>
      <c r="BW1103">
        <v>0.62</v>
      </c>
      <c r="BX1103">
        <v>0.96</v>
      </c>
      <c r="BY1103">
        <v>0.46</v>
      </c>
      <c r="BZ1103">
        <v>0.61</v>
      </c>
      <c r="CA1103">
        <v>0.01</v>
      </c>
      <c r="CB1103">
        <v>1.78</v>
      </c>
      <c r="CC1103">
        <v>1.06</v>
      </c>
      <c r="CD1103">
        <v>0.68</v>
      </c>
      <c r="CE1103">
        <v>0.13</v>
      </c>
      <c r="CF1103">
        <v>0</v>
      </c>
      <c r="CG1103">
        <v>0.13</v>
      </c>
      <c r="CH1103">
        <v>0.11</v>
      </c>
      <c r="CI1103">
        <v>0.11</v>
      </c>
      <c r="CJ1103">
        <v>0.11</v>
      </c>
      <c r="CK1103">
        <v>0.09</v>
      </c>
      <c r="CL1103">
        <v>1.96</v>
      </c>
      <c r="CM1103">
        <v>0</v>
      </c>
      <c r="CN1103">
        <v>-0.39</v>
      </c>
      <c r="CO1103">
        <v>4174</v>
      </c>
      <c r="CP1103">
        <v>5607</v>
      </c>
      <c r="CQ1103" t="s">
        <v>6189</v>
      </c>
      <c r="CR1103">
        <v>29.01</v>
      </c>
      <c r="CS1103">
        <v>47.33</v>
      </c>
      <c r="CT1103">
        <v>8.01</v>
      </c>
      <c r="CU1103">
        <v>11756.19</v>
      </c>
      <c r="CV1103">
        <v>31.99</v>
      </c>
      <c r="CW1103">
        <v>0.08</v>
      </c>
      <c r="CX1103" t="s">
        <v>1091</v>
      </c>
      <c r="CY1103">
        <v>6.35</v>
      </c>
      <c r="CZ1103">
        <v>0</v>
      </c>
      <c r="DA1103">
        <v>2.67</v>
      </c>
      <c r="DB1103">
        <v>2.94</v>
      </c>
      <c r="DC1103">
        <v>0</v>
      </c>
      <c r="DD1103">
        <v>87.25</v>
      </c>
      <c r="DE1103" t="s">
        <v>5258</v>
      </c>
      <c r="DF1103">
        <v>36.049999999999997</v>
      </c>
      <c r="DG1103">
        <v>12.34</v>
      </c>
      <c r="DH1103">
        <v>10</v>
      </c>
      <c r="DI1103">
        <v>0.05</v>
      </c>
      <c r="DJ1103">
        <v>600</v>
      </c>
      <c r="DK1103">
        <v>2729</v>
      </c>
      <c r="DL1103" t="s">
        <v>120</v>
      </c>
      <c r="DM1103" t="s">
        <v>120</v>
      </c>
      <c r="DN1103" t="s">
        <v>120</v>
      </c>
    </row>
    <row r="1104" spans="1:118">
      <c r="A1104" t="str">
        <f>"002730"</f>
        <v>002730</v>
      </c>
      <c r="B1104" t="s">
        <v>6190</v>
      </c>
      <c r="C1104">
        <v>-2.61</v>
      </c>
      <c r="D1104">
        <v>0</v>
      </c>
      <c r="E1104">
        <v>0.35</v>
      </c>
      <c r="F1104">
        <v>87</v>
      </c>
      <c r="G1104" t="s">
        <v>1740</v>
      </c>
      <c r="H1104">
        <v>2025.79</v>
      </c>
      <c r="I1104">
        <v>3.57</v>
      </c>
      <c r="J1104" t="s">
        <v>120</v>
      </c>
      <c r="K1104" t="s">
        <v>6191</v>
      </c>
      <c r="L1104">
        <v>0.57999999999999996</v>
      </c>
      <c r="M1104">
        <v>11.19</v>
      </c>
      <c r="N1104">
        <v>0.75</v>
      </c>
      <c r="O1104">
        <v>1.39</v>
      </c>
      <c r="P1104">
        <v>11.65</v>
      </c>
      <c r="Q1104">
        <v>-2.7</v>
      </c>
      <c r="R1104">
        <v>11.18</v>
      </c>
      <c r="S1104">
        <v>11.53</v>
      </c>
      <c r="T1104">
        <v>17765</v>
      </c>
      <c r="U1104">
        <v>11.19</v>
      </c>
      <c r="V1104">
        <v>11.49</v>
      </c>
      <c r="W1104">
        <v>65.47</v>
      </c>
      <c r="X1104" t="s">
        <v>394</v>
      </c>
      <c r="Y1104" t="s">
        <v>585</v>
      </c>
      <c r="Z1104">
        <v>4.09</v>
      </c>
      <c r="AA1104">
        <v>11.4</v>
      </c>
      <c r="AB1104">
        <v>11463</v>
      </c>
      <c r="AC1104">
        <v>6302</v>
      </c>
      <c r="AD1104">
        <v>1.82</v>
      </c>
      <c r="AE1104">
        <v>230</v>
      </c>
      <c r="AF1104">
        <v>59</v>
      </c>
      <c r="AG1104" t="s">
        <v>120</v>
      </c>
      <c r="AH1104">
        <v>0</v>
      </c>
      <c r="AI1104" t="s">
        <v>120</v>
      </c>
      <c r="AJ1104">
        <v>3.07</v>
      </c>
      <c r="AK1104" t="s">
        <v>6192</v>
      </c>
      <c r="AL1104">
        <v>-0.7</v>
      </c>
      <c r="AM1104">
        <v>1210</v>
      </c>
      <c r="AN1104">
        <v>15</v>
      </c>
      <c r="AO1104">
        <v>5.0000000000000001E-4</v>
      </c>
      <c r="AP1104">
        <v>-1</v>
      </c>
      <c r="AQ1104">
        <v>1.32</v>
      </c>
      <c r="AR1104">
        <v>-5.09</v>
      </c>
      <c r="AS1104">
        <v>-8.9499999999999993</v>
      </c>
      <c r="AT1104">
        <v>-15.22</v>
      </c>
      <c r="AU1104">
        <v>20.32</v>
      </c>
      <c r="AV1104">
        <v>2</v>
      </c>
      <c r="AW1104">
        <v>1.49</v>
      </c>
      <c r="AX1104">
        <v>37.07</v>
      </c>
      <c r="AY1104">
        <v>63.61</v>
      </c>
      <c r="AZ1104">
        <v>65.75</v>
      </c>
      <c r="BA1104">
        <v>0.12</v>
      </c>
      <c r="BB1104" t="s">
        <v>143</v>
      </c>
      <c r="BF1104">
        <v>-0.76</v>
      </c>
      <c r="BG1104">
        <v>-2.95</v>
      </c>
      <c r="BH1104">
        <v>-3.95</v>
      </c>
      <c r="BI1104">
        <v>0.09</v>
      </c>
      <c r="BJ1104">
        <v>20210901</v>
      </c>
      <c r="BK1104">
        <v>20141009</v>
      </c>
      <c r="BL1104">
        <v>3.23</v>
      </c>
      <c r="BM1104" t="s">
        <v>120</v>
      </c>
      <c r="BN1104" t="s">
        <v>120</v>
      </c>
      <c r="BO1104">
        <v>13.62</v>
      </c>
      <c r="BP1104">
        <v>11.18</v>
      </c>
      <c r="BQ1104">
        <v>10.029999999999999</v>
      </c>
      <c r="BR1104">
        <v>0.03</v>
      </c>
      <c r="BS1104">
        <v>26.1</v>
      </c>
      <c r="BT1104">
        <v>9.6</v>
      </c>
      <c r="BU1104">
        <v>2.0299999999999998</v>
      </c>
      <c r="BV1104">
        <v>0.6</v>
      </c>
      <c r="BW1104">
        <v>3.44</v>
      </c>
      <c r="BX1104">
        <v>1.61</v>
      </c>
      <c r="BY1104">
        <v>1.45</v>
      </c>
      <c r="BZ1104">
        <v>4.4400000000000004</v>
      </c>
      <c r="CA1104">
        <v>0.01</v>
      </c>
      <c r="CB1104">
        <v>1.88</v>
      </c>
      <c r="CC1104">
        <v>3.68</v>
      </c>
      <c r="CD1104">
        <v>2.4</v>
      </c>
      <c r="CE1104">
        <v>0.3</v>
      </c>
      <c r="CF1104">
        <v>-0.03</v>
      </c>
      <c r="CG1104">
        <v>0.28999999999999998</v>
      </c>
      <c r="CH1104">
        <v>0.27</v>
      </c>
      <c r="CI1104">
        <v>0.28000000000000003</v>
      </c>
      <c r="CJ1104">
        <v>-0.3</v>
      </c>
      <c r="CK1104">
        <v>0.28999999999999998</v>
      </c>
      <c r="CL1104">
        <v>4.25</v>
      </c>
      <c r="CM1104">
        <v>0.53</v>
      </c>
      <c r="CN1104">
        <v>0.55000000000000004</v>
      </c>
      <c r="CO1104">
        <v>16862</v>
      </c>
      <c r="CP1104">
        <v>7094</v>
      </c>
      <c r="CQ1104" t="s">
        <v>3382</v>
      </c>
      <c r="CR1104">
        <v>7.38</v>
      </c>
      <c r="CS1104">
        <v>6.62</v>
      </c>
      <c r="CT1104">
        <v>3.6</v>
      </c>
      <c r="CU1104">
        <v>68.23</v>
      </c>
      <c r="CV1104">
        <v>9.8000000000000007</v>
      </c>
      <c r="CW1104">
        <v>0.7</v>
      </c>
      <c r="CX1104" t="s">
        <v>329</v>
      </c>
      <c r="CY1104">
        <v>3.11</v>
      </c>
      <c r="CZ1104">
        <v>0</v>
      </c>
      <c r="DA1104">
        <v>0.57999999999999996</v>
      </c>
      <c r="DB1104">
        <v>1.32</v>
      </c>
      <c r="DC1104">
        <v>0.16</v>
      </c>
      <c r="DD1104">
        <v>73.7</v>
      </c>
      <c r="DE1104" t="s">
        <v>1868</v>
      </c>
      <c r="DF1104">
        <v>34.86</v>
      </c>
      <c r="DG1104">
        <v>8.11</v>
      </c>
      <c r="DH1104">
        <v>7.49</v>
      </c>
      <c r="DI1104">
        <v>0.17</v>
      </c>
      <c r="DJ1104">
        <v>1028</v>
      </c>
      <c r="DK1104">
        <v>2730</v>
      </c>
      <c r="DL1104" t="s">
        <v>120</v>
      </c>
      <c r="DM1104" t="s">
        <v>120</v>
      </c>
      <c r="DN1104" t="s">
        <v>120</v>
      </c>
    </row>
    <row r="1105" spans="1:118">
      <c r="A1105" t="str">
        <f>"002731"</f>
        <v>002731</v>
      </c>
      <c r="B1105" t="s">
        <v>6193</v>
      </c>
      <c r="C1105">
        <v>0</v>
      </c>
      <c r="D1105">
        <v>-0.15</v>
      </c>
      <c r="E1105">
        <v>0</v>
      </c>
      <c r="F1105">
        <v>151</v>
      </c>
      <c r="G1105" t="s">
        <v>6194</v>
      </c>
      <c r="H1105">
        <v>3276.5</v>
      </c>
      <c r="I1105">
        <v>0.83</v>
      </c>
      <c r="J1105" t="s">
        <v>120</v>
      </c>
      <c r="K1105" t="s">
        <v>6120</v>
      </c>
      <c r="L1105">
        <v>2.13</v>
      </c>
      <c r="M1105">
        <v>6.36</v>
      </c>
      <c r="N1105">
        <v>1.18</v>
      </c>
      <c r="O1105">
        <v>2.36</v>
      </c>
      <c r="P1105">
        <v>6.51</v>
      </c>
      <c r="Q1105">
        <v>-0.63</v>
      </c>
      <c r="R1105">
        <v>6.32</v>
      </c>
      <c r="S1105">
        <v>6.36</v>
      </c>
      <c r="T1105">
        <v>50941</v>
      </c>
      <c r="U1105">
        <v>6.37</v>
      </c>
      <c r="V1105">
        <v>6.36</v>
      </c>
      <c r="W1105">
        <v>19.78</v>
      </c>
      <c r="X1105" t="s">
        <v>2806</v>
      </c>
      <c r="Y1105" t="s">
        <v>432</v>
      </c>
      <c r="Z1105">
        <v>2.99</v>
      </c>
      <c r="AA1105">
        <v>6.43</v>
      </c>
      <c r="AB1105">
        <v>23036</v>
      </c>
      <c r="AC1105">
        <v>27905</v>
      </c>
      <c r="AD1105">
        <v>0.83</v>
      </c>
      <c r="AE1105">
        <v>139</v>
      </c>
      <c r="AF1105">
        <v>212</v>
      </c>
      <c r="AG1105" t="s">
        <v>120</v>
      </c>
      <c r="AH1105">
        <v>0</v>
      </c>
      <c r="AI1105" t="s">
        <v>120</v>
      </c>
      <c r="AJ1105">
        <v>2.39</v>
      </c>
      <c r="AK1105" t="s">
        <v>1408</v>
      </c>
      <c r="AL1105">
        <v>1.91</v>
      </c>
      <c r="AM1105">
        <v>1447</v>
      </c>
      <c r="AN1105">
        <v>35</v>
      </c>
      <c r="AO1105">
        <v>1.5E-3</v>
      </c>
      <c r="AP1105">
        <v>0</v>
      </c>
      <c r="AQ1105">
        <v>0.47</v>
      </c>
      <c r="AR1105">
        <v>-0.94</v>
      </c>
      <c r="AS1105">
        <v>6.89</v>
      </c>
      <c r="AT1105">
        <v>1.03</v>
      </c>
      <c r="AU1105">
        <v>-7.22</v>
      </c>
      <c r="AV1105">
        <v>3</v>
      </c>
      <c r="AW1105">
        <v>3.5</v>
      </c>
      <c r="AX1105">
        <v>56.82</v>
      </c>
      <c r="AY1105">
        <v>42.69</v>
      </c>
      <c r="AZ1105">
        <v>56.55</v>
      </c>
      <c r="BA1105">
        <v>0.32</v>
      </c>
      <c r="BB1105" t="s">
        <v>143</v>
      </c>
      <c r="BF1105">
        <v>1.1299999999999999</v>
      </c>
      <c r="BG1105">
        <v>0</v>
      </c>
      <c r="BH1105">
        <v>-2.2999999999999998</v>
      </c>
      <c r="BI1105">
        <v>0.63</v>
      </c>
      <c r="BJ1105">
        <v>20210827</v>
      </c>
      <c r="BK1105">
        <v>20141104</v>
      </c>
      <c r="BL1105">
        <v>2.56</v>
      </c>
      <c r="BM1105" t="s">
        <v>120</v>
      </c>
      <c r="BN1105" t="s">
        <v>120</v>
      </c>
      <c r="BO1105">
        <v>33.79</v>
      </c>
      <c r="BP1105">
        <v>6.36</v>
      </c>
      <c r="BQ1105">
        <v>12.97</v>
      </c>
      <c r="BR1105">
        <v>-0.26</v>
      </c>
      <c r="BS1105">
        <v>62.41</v>
      </c>
      <c r="BT1105">
        <v>29.33</v>
      </c>
      <c r="BU1105">
        <v>2.75</v>
      </c>
      <c r="BV1105">
        <v>0.03</v>
      </c>
      <c r="BW1105">
        <v>20.68</v>
      </c>
      <c r="BX1105">
        <v>3.76</v>
      </c>
      <c r="BY1105">
        <v>21.21</v>
      </c>
      <c r="BZ1105">
        <v>2.91</v>
      </c>
      <c r="CA1105" t="s">
        <v>120</v>
      </c>
      <c r="CB1105">
        <v>2.96</v>
      </c>
      <c r="CC1105">
        <v>13.46</v>
      </c>
      <c r="CD1105">
        <v>12.08</v>
      </c>
      <c r="CE1105">
        <v>0.5</v>
      </c>
      <c r="CF1105">
        <v>0</v>
      </c>
      <c r="CG1105">
        <v>0.5</v>
      </c>
      <c r="CH1105">
        <v>0.41</v>
      </c>
      <c r="CI1105">
        <v>0.41</v>
      </c>
      <c r="CJ1105">
        <v>0</v>
      </c>
      <c r="CK1105">
        <v>0.38</v>
      </c>
      <c r="CL1105">
        <v>7.04</v>
      </c>
      <c r="CM1105">
        <v>-0.77</v>
      </c>
      <c r="CN1105">
        <v>0.08</v>
      </c>
      <c r="CO1105">
        <v>19142</v>
      </c>
      <c r="CP1105">
        <v>7603</v>
      </c>
      <c r="CQ1105" t="s">
        <v>6195</v>
      </c>
      <c r="CR1105">
        <v>29.4</v>
      </c>
      <c r="CS1105">
        <v>18.18</v>
      </c>
      <c r="CT1105">
        <v>1.26</v>
      </c>
      <c r="CU1105">
        <v>-21.05</v>
      </c>
      <c r="CV1105">
        <v>1.21</v>
      </c>
      <c r="CW1105">
        <v>0.24</v>
      </c>
      <c r="CX1105" t="s">
        <v>1091</v>
      </c>
      <c r="CY1105">
        <v>5.0599999999999996</v>
      </c>
      <c r="CZ1105">
        <v>0</v>
      </c>
      <c r="DA1105">
        <v>1.1599999999999999</v>
      </c>
      <c r="DB1105">
        <v>2.75</v>
      </c>
      <c r="DC1105">
        <v>-0.3</v>
      </c>
      <c r="DD1105">
        <v>38.380000000000003</v>
      </c>
      <c r="DE1105" t="s">
        <v>6196</v>
      </c>
      <c r="DF1105">
        <v>10.23</v>
      </c>
      <c r="DG1105">
        <v>3.74</v>
      </c>
      <c r="DH1105">
        <v>3.06</v>
      </c>
      <c r="DI1105">
        <v>0.01</v>
      </c>
      <c r="DJ1105">
        <v>661</v>
      </c>
      <c r="DK1105">
        <v>2731</v>
      </c>
      <c r="DL1105" t="s">
        <v>120</v>
      </c>
      <c r="DM1105" t="s">
        <v>120</v>
      </c>
      <c r="DN1105" t="s">
        <v>120</v>
      </c>
    </row>
    <row r="1106" spans="1:118">
      <c r="A1106" t="str">
        <f>"002732"</f>
        <v>002732</v>
      </c>
      <c r="B1106" t="s">
        <v>6197</v>
      </c>
      <c r="C1106">
        <v>-0.59</v>
      </c>
      <c r="D1106">
        <v>0</v>
      </c>
      <c r="E1106">
        <v>-0.66</v>
      </c>
      <c r="F1106">
        <v>274</v>
      </c>
      <c r="G1106" t="s">
        <v>2594</v>
      </c>
      <c r="H1106">
        <v>4224.3100000000004</v>
      </c>
      <c r="I1106">
        <v>4.26</v>
      </c>
      <c r="J1106" t="s">
        <v>120</v>
      </c>
      <c r="K1106" t="s">
        <v>6198</v>
      </c>
      <c r="L1106">
        <v>0.96</v>
      </c>
      <c r="M1106">
        <v>28.43</v>
      </c>
      <c r="N1106">
        <v>0.72</v>
      </c>
      <c r="O1106">
        <v>0.35</v>
      </c>
      <c r="P1106">
        <v>28.7</v>
      </c>
      <c r="Q1106">
        <v>-2.4500000000000002</v>
      </c>
      <c r="R1106">
        <v>27.9</v>
      </c>
      <c r="S1106">
        <v>28.41</v>
      </c>
      <c r="T1106">
        <v>14961</v>
      </c>
      <c r="U1106">
        <v>28.44</v>
      </c>
      <c r="V1106">
        <v>28.6</v>
      </c>
      <c r="W1106">
        <v>20.07</v>
      </c>
      <c r="X1106" t="s">
        <v>4454</v>
      </c>
      <c r="Y1106" t="s">
        <v>547</v>
      </c>
      <c r="Z1106">
        <v>2.8</v>
      </c>
      <c r="AA1106">
        <v>28.24</v>
      </c>
      <c r="AB1106">
        <v>9060</v>
      </c>
      <c r="AC1106">
        <v>5901</v>
      </c>
      <c r="AD1106">
        <v>1.54</v>
      </c>
      <c r="AE1106">
        <v>122</v>
      </c>
      <c r="AF1106">
        <v>42</v>
      </c>
      <c r="AG1106" t="s">
        <v>120</v>
      </c>
      <c r="AH1106">
        <v>0</v>
      </c>
      <c r="AI1106" t="s">
        <v>120</v>
      </c>
      <c r="AJ1106">
        <v>1.56</v>
      </c>
      <c r="AK1106" t="s">
        <v>6199</v>
      </c>
      <c r="AL1106">
        <v>1.32</v>
      </c>
      <c r="AM1106">
        <v>1922</v>
      </c>
      <c r="AN1106">
        <v>8</v>
      </c>
      <c r="AO1106">
        <v>5.0000000000000001E-4</v>
      </c>
      <c r="AP1106">
        <v>-1</v>
      </c>
      <c r="AQ1106">
        <v>0</v>
      </c>
      <c r="AR1106">
        <v>-2</v>
      </c>
      <c r="AS1106">
        <v>-2.5</v>
      </c>
      <c r="AT1106">
        <v>21.6</v>
      </c>
      <c r="AU1106">
        <v>28</v>
      </c>
      <c r="AV1106">
        <v>3</v>
      </c>
      <c r="AW1106">
        <v>2.2999999999999998</v>
      </c>
      <c r="AX1106">
        <v>41.39</v>
      </c>
      <c r="AY1106">
        <v>28.8</v>
      </c>
      <c r="AZ1106">
        <v>42.9</v>
      </c>
      <c r="BA1106">
        <v>0.78</v>
      </c>
      <c r="BB1106" t="s">
        <v>143</v>
      </c>
      <c r="BF1106">
        <v>-1.27</v>
      </c>
      <c r="BG1106">
        <v>7.0000000000000007E-2</v>
      </c>
      <c r="BH1106">
        <v>-0.94</v>
      </c>
      <c r="BI1106">
        <v>1.9</v>
      </c>
      <c r="BJ1106">
        <v>20210730</v>
      </c>
      <c r="BK1106">
        <v>20141205</v>
      </c>
      <c r="BL1106">
        <v>1.57</v>
      </c>
      <c r="BM1106" t="s">
        <v>120</v>
      </c>
      <c r="BN1106" t="s">
        <v>120</v>
      </c>
      <c r="BO1106">
        <v>15.75</v>
      </c>
      <c r="BP1106">
        <v>28.43</v>
      </c>
      <c r="BQ1106">
        <v>11.34</v>
      </c>
      <c r="BR1106">
        <v>0.26</v>
      </c>
      <c r="BS1106">
        <v>26.35</v>
      </c>
      <c r="BT1106">
        <v>4.96</v>
      </c>
      <c r="BU1106">
        <v>7.45</v>
      </c>
      <c r="BV1106">
        <v>0.28000000000000003</v>
      </c>
      <c r="BW1106">
        <v>3.66</v>
      </c>
      <c r="BX1106">
        <v>2.21</v>
      </c>
      <c r="BY1106">
        <v>1.44</v>
      </c>
      <c r="BZ1106">
        <v>1.0900000000000001</v>
      </c>
      <c r="CA1106" t="s">
        <v>120</v>
      </c>
      <c r="CB1106">
        <v>3.19</v>
      </c>
      <c r="CC1106">
        <v>9.48</v>
      </c>
      <c r="CD1106">
        <v>6.56</v>
      </c>
      <c r="CE1106">
        <v>1.34</v>
      </c>
      <c r="CF1106">
        <v>0</v>
      </c>
      <c r="CG1106">
        <v>1.33</v>
      </c>
      <c r="CH1106">
        <v>1.1299999999999999</v>
      </c>
      <c r="CI1106">
        <v>1.1100000000000001</v>
      </c>
      <c r="CJ1106">
        <v>-0.17</v>
      </c>
      <c r="CK1106">
        <v>1.04</v>
      </c>
      <c r="CL1106">
        <v>5.68</v>
      </c>
      <c r="CM1106">
        <v>1.56</v>
      </c>
      <c r="CN1106">
        <v>0.87</v>
      </c>
      <c r="CO1106">
        <v>14983</v>
      </c>
      <c r="CP1106">
        <v>4347</v>
      </c>
      <c r="CQ1106" t="s">
        <v>6200</v>
      </c>
      <c r="CR1106">
        <v>85.43</v>
      </c>
      <c r="CS1106">
        <v>34.880000000000003</v>
      </c>
      <c r="CT1106">
        <v>3.94</v>
      </c>
      <c r="CU1106">
        <v>28.66</v>
      </c>
      <c r="CV1106">
        <v>4.72</v>
      </c>
      <c r="CW1106">
        <v>0.52</v>
      </c>
      <c r="CX1106" t="s">
        <v>4948</v>
      </c>
      <c r="CY1106">
        <v>7.21</v>
      </c>
      <c r="CZ1106">
        <v>0</v>
      </c>
      <c r="DA1106">
        <v>2.0299999999999998</v>
      </c>
      <c r="DB1106">
        <v>3.61</v>
      </c>
      <c r="DC1106">
        <v>0.99</v>
      </c>
      <c r="DD1106">
        <v>72.02</v>
      </c>
      <c r="DE1106" t="s">
        <v>3241</v>
      </c>
      <c r="DF1106">
        <v>30.74</v>
      </c>
      <c r="DG1106">
        <v>14.17</v>
      </c>
      <c r="DH1106">
        <v>11.76</v>
      </c>
      <c r="DI1106">
        <v>0.06</v>
      </c>
      <c r="DJ1106">
        <v>1521</v>
      </c>
      <c r="DK1106">
        <v>2732</v>
      </c>
      <c r="DL1106" t="s">
        <v>120</v>
      </c>
      <c r="DM1106" t="s">
        <v>120</v>
      </c>
      <c r="DN1106" t="s">
        <v>120</v>
      </c>
    </row>
    <row r="1107" spans="1:118">
      <c r="A1107" t="str">
        <f>"002733"</f>
        <v>002733</v>
      </c>
      <c r="B1107" t="s">
        <v>6201</v>
      </c>
      <c r="C1107">
        <v>-4.79</v>
      </c>
      <c r="D1107">
        <v>0</v>
      </c>
      <c r="E1107">
        <v>-0.31</v>
      </c>
      <c r="F1107">
        <v>813</v>
      </c>
      <c r="G1107" t="s">
        <v>6202</v>
      </c>
      <c r="H1107">
        <v>30030.400000000001</v>
      </c>
      <c r="I1107">
        <v>69.7</v>
      </c>
      <c r="J1107" t="s">
        <v>120</v>
      </c>
      <c r="K1107" t="s">
        <v>3612</v>
      </c>
      <c r="L1107">
        <v>4.24</v>
      </c>
      <c r="M1107">
        <v>18.7</v>
      </c>
      <c r="N1107">
        <v>1.49</v>
      </c>
      <c r="O1107">
        <v>2.65</v>
      </c>
      <c r="P1107">
        <v>20.16</v>
      </c>
      <c r="Q1107">
        <v>-4.8899999999999997</v>
      </c>
      <c r="R1107">
        <v>18.68</v>
      </c>
      <c r="S1107">
        <v>19.579999999999998</v>
      </c>
      <c r="T1107">
        <v>154757</v>
      </c>
      <c r="U1107">
        <v>18.71</v>
      </c>
      <c r="V1107">
        <v>19.64</v>
      </c>
      <c r="W1107">
        <v>142.16</v>
      </c>
      <c r="X1107" t="s">
        <v>394</v>
      </c>
      <c r="Y1107" t="s">
        <v>123</v>
      </c>
      <c r="Z1107">
        <v>7.54</v>
      </c>
      <c r="AA1107">
        <v>19.399999999999999</v>
      </c>
      <c r="AB1107">
        <v>90341</v>
      </c>
      <c r="AC1107">
        <v>64416</v>
      </c>
      <c r="AD1107">
        <v>1.4</v>
      </c>
      <c r="AE1107">
        <v>631</v>
      </c>
      <c r="AF1107">
        <v>54</v>
      </c>
      <c r="AG1107" t="s">
        <v>120</v>
      </c>
      <c r="AH1107">
        <v>0.02</v>
      </c>
      <c r="AI1107" t="s">
        <v>120</v>
      </c>
      <c r="AJ1107">
        <v>3.65</v>
      </c>
      <c r="AK1107" t="s">
        <v>5950</v>
      </c>
      <c r="AL1107">
        <v>-2.87</v>
      </c>
      <c r="AM1107">
        <v>3665</v>
      </c>
      <c r="AN1107">
        <v>42</v>
      </c>
      <c r="AO1107">
        <v>1.1999999999999999E-3</v>
      </c>
      <c r="AP1107">
        <v>-1</v>
      </c>
      <c r="AQ1107">
        <v>1.76</v>
      </c>
      <c r="AR1107">
        <v>-3.81</v>
      </c>
      <c r="AS1107">
        <v>-13.35</v>
      </c>
      <c r="AT1107">
        <v>14.3</v>
      </c>
      <c r="AU1107">
        <v>-9.66</v>
      </c>
      <c r="AV1107">
        <v>3</v>
      </c>
      <c r="AW1107">
        <v>7</v>
      </c>
      <c r="AX1107">
        <v>57.5</v>
      </c>
      <c r="AY1107">
        <v>107.73</v>
      </c>
      <c r="AZ1107">
        <v>98.95</v>
      </c>
      <c r="BA1107">
        <v>0.49</v>
      </c>
      <c r="BB1107" t="s">
        <v>168</v>
      </c>
      <c r="BF1107">
        <v>-1.2</v>
      </c>
      <c r="BG1107">
        <v>-4.49</v>
      </c>
      <c r="BH1107">
        <v>-7.24</v>
      </c>
      <c r="BI1107">
        <v>0.11</v>
      </c>
      <c r="BJ1107">
        <v>20210909</v>
      </c>
      <c r="BK1107">
        <v>20141203</v>
      </c>
      <c r="BL1107">
        <v>3.84</v>
      </c>
      <c r="BM1107" t="s">
        <v>120</v>
      </c>
      <c r="BN1107" t="s">
        <v>120</v>
      </c>
      <c r="BO1107">
        <v>54.22</v>
      </c>
      <c r="BP1107">
        <v>18.7</v>
      </c>
      <c r="BQ1107">
        <v>28.96</v>
      </c>
      <c r="BR1107">
        <v>1.28</v>
      </c>
      <c r="BS1107">
        <v>44.23</v>
      </c>
      <c r="BT1107">
        <v>36.130000000000003</v>
      </c>
      <c r="BU1107">
        <v>4.58</v>
      </c>
      <c r="BV1107">
        <v>1.82</v>
      </c>
      <c r="BW1107">
        <v>23.3</v>
      </c>
      <c r="BX1107">
        <v>13.76</v>
      </c>
      <c r="BY1107">
        <v>5.95</v>
      </c>
      <c r="BZ1107">
        <v>10.02</v>
      </c>
      <c r="CA1107" t="s">
        <v>120</v>
      </c>
      <c r="CB1107">
        <v>18.09</v>
      </c>
      <c r="CC1107">
        <v>14.53</v>
      </c>
      <c r="CD1107">
        <v>12.21</v>
      </c>
      <c r="CE1107">
        <v>0.26</v>
      </c>
      <c r="CF1107">
        <v>0.08</v>
      </c>
      <c r="CG1107">
        <v>0.3</v>
      </c>
      <c r="CH1107">
        <v>0.22</v>
      </c>
      <c r="CI1107">
        <v>0.25</v>
      </c>
      <c r="CJ1107">
        <v>-0.94</v>
      </c>
      <c r="CK1107">
        <v>-0.11</v>
      </c>
      <c r="CL1107">
        <v>7.02</v>
      </c>
      <c r="CM1107">
        <v>0.18</v>
      </c>
      <c r="CN1107">
        <v>-4.29</v>
      </c>
      <c r="CO1107">
        <v>49485</v>
      </c>
      <c r="CP1107">
        <v>4464</v>
      </c>
      <c r="CQ1107" t="s">
        <v>6203</v>
      </c>
      <c r="CR1107">
        <v>-19.739999999999998</v>
      </c>
      <c r="CS1107">
        <v>37.67</v>
      </c>
      <c r="CT1107">
        <v>2.48</v>
      </c>
      <c r="CU1107">
        <v>400.31</v>
      </c>
      <c r="CV1107">
        <v>4.9400000000000004</v>
      </c>
      <c r="CW1107">
        <v>0.51</v>
      </c>
      <c r="CX1107" t="s">
        <v>679</v>
      </c>
      <c r="CY1107">
        <v>7.54</v>
      </c>
      <c r="CZ1107">
        <v>0</v>
      </c>
      <c r="DA1107">
        <v>4.71</v>
      </c>
      <c r="DB1107">
        <v>1.83</v>
      </c>
      <c r="DC1107">
        <v>0.05</v>
      </c>
      <c r="DD1107">
        <v>53.42</v>
      </c>
      <c r="DE1107" t="s">
        <v>6204</v>
      </c>
      <c r="DF1107">
        <v>15.95</v>
      </c>
      <c r="DG1107">
        <v>1.76</v>
      </c>
      <c r="DH1107">
        <v>1.74</v>
      </c>
      <c r="DI1107">
        <v>0.43</v>
      </c>
      <c r="DJ1107">
        <v>2602</v>
      </c>
      <c r="DK1107">
        <v>2733</v>
      </c>
      <c r="DL1107" t="s">
        <v>120</v>
      </c>
      <c r="DM1107" t="s">
        <v>120</v>
      </c>
      <c r="DN1107" t="s">
        <v>120</v>
      </c>
    </row>
    <row r="1108" spans="1:118">
      <c r="A1108" t="str">
        <f>"002734"</f>
        <v>002734</v>
      </c>
      <c r="B1108" t="s">
        <v>6205</v>
      </c>
      <c r="C1108">
        <v>-0.25</v>
      </c>
      <c r="D1108">
        <v>0</v>
      </c>
      <c r="E1108">
        <v>0.34</v>
      </c>
      <c r="F1108">
        <v>172</v>
      </c>
      <c r="G1108" t="s">
        <v>6206</v>
      </c>
      <c r="H1108">
        <v>6550.75</v>
      </c>
      <c r="I1108">
        <v>40.770000000000003</v>
      </c>
      <c r="J1108" t="s">
        <v>120</v>
      </c>
      <c r="K1108" t="s">
        <v>4070</v>
      </c>
      <c r="L1108">
        <v>1.68</v>
      </c>
      <c r="M1108">
        <v>11.85</v>
      </c>
      <c r="N1108">
        <v>1.1499999999999999</v>
      </c>
      <c r="O1108">
        <v>2.95</v>
      </c>
      <c r="P1108">
        <v>12.23</v>
      </c>
      <c r="Q1108">
        <v>-1.0900000000000001</v>
      </c>
      <c r="R1108">
        <v>11.75</v>
      </c>
      <c r="S1108">
        <v>11.92</v>
      </c>
      <c r="T1108">
        <v>54509</v>
      </c>
      <c r="U1108">
        <v>11.86</v>
      </c>
      <c r="V1108">
        <v>11.88</v>
      </c>
      <c r="W1108">
        <v>8.93</v>
      </c>
      <c r="X1108" t="s">
        <v>690</v>
      </c>
      <c r="Y1108" t="s">
        <v>319</v>
      </c>
      <c r="Z1108">
        <v>4.04</v>
      </c>
      <c r="AA1108">
        <v>12.02</v>
      </c>
      <c r="AB1108">
        <v>29576</v>
      </c>
      <c r="AC1108">
        <v>24933</v>
      </c>
      <c r="AD1108">
        <v>1.19</v>
      </c>
      <c r="AE1108">
        <v>181</v>
      </c>
      <c r="AF1108">
        <v>45</v>
      </c>
      <c r="AG1108" t="s">
        <v>120</v>
      </c>
      <c r="AH1108">
        <v>0.01</v>
      </c>
      <c r="AI1108" t="s">
        <v>120</v>
      </c>
      <c r="AJ1108">
        <v>3.24</v>
      </c>
      <c r="AK1108" t="s">
        <v>6207</v>
      </c>
      <c r="AL1108">
        <v>1.66</v>
      </c>
      <c r="AM1108">
        <v>1650</v>
      </c>
      <c r="AN1108">
        <v>33</v>
      </c>
      <c r="AO1108">
        <v>1E-3</v>
      </c>
      <c r="AP1108">
        <v>-1</v>
      </c>
      <c r="AQ1108">
        <v>0.51</v>
      </c>
      <c r="AR1108">
        <v>-0.42</v>
      </c>
      <c r="AS1108">
        <v>4.8600000000000003</v>
      </c>
      <c r="AT1108">
        <v>0.51</v>
      </c>
      <c r="AU1108">
        <v>-4.8899999999999997</v>
      </c>
      <c r="AV1108">
        <v>0</v>
      </c>
      <c r="AW1108">
        <v>2.2799999999999998</v>
      </c>
      <c r="AX1108">
        <v>64.150000000000006</v>
      </c>
      <c r="AY1108">
        <v>13.48</v>
      </c>
      <c r="AZ1108">
        <v>11.46</v>
      </c>
      <c r="BA1108">
        <v>0.48</v>
      </c>
      <c r="BB1108" t="s">
        <v>143</v>
      </c>
      <c r="BF1108">
        <v>1.1599999999999999</v>
      </c>
      <c r="BG1108">
        <v>-0.59</v>
      </c>
      <c r="BH1108">
        <v>-3.11</v>
      </c>
      <c r="BI1108">
        <v>0.85</v>
      </c>
      <c r="BJ1108">
        <v>20210821</v>
      </c>
      <c r="BK1108">
        <v>20150127</v>
      </c>
      <c r="BL1108">
        <v>3.73</v>
      </c>
      <c r="BM1108" t="s">
        <v>120</v>
      </c>
      <c r="BN1108" t="s">
        <v>120</v>
      </c>
      <c r="BO1108">
        <v>63.5</v>
      </c>
      <c r="BP1108">
        <v>11.85</v>
      </c>
      <c r="BQ1108">
        <v>27.26</v>
      </c>
      <c r="BR1108">
        <v>1.68</v>
      </c>
      <c r="BS1108">
        <v>54.42</v>
      </c>
      <c r="BT1108">
        <v>30.39</v>
      </c>
      <c r="BU1108">
        <v>19.43</v>
      </c>
      <c r="BV1108">
        <v>3.76</v>
      </c>
      <c r="BW1108">
        <v>22.73</v>
      </c>
      <c r="BX1108">
        <v>11.48</v>
      </c>
      <c r="BY1108">
        <v>8.32</v>
      </c>
      <c r="BZ1108">
        <v>4.5599999999999996</v>
      </c>
      <c r="CA1108">
        <v>0</v>
      </c>
      <c r="CB1108">
        <v>9.11</v>
      </c>
      <c r="CC1108">
        <v>25.4</v>
      </c>
      <c r="CD1108">
        <v>19.12</v>
      </c>
      <c r="CE1108">
        <v>3.25</v>
      </c>
      <c r="CF1108">
        <v>0.21</v>
      </c>
      <c r="CG1108">
        <v>3.24</v>
      </c>
      <c r="CH1108">
        <v>2.68</v>
      </c>
      <c r="CI1108">
        <v>2.4700000000000002</v>
      </c>
      <c r="CJ1108">
        <v>-0.03</v>
      </c>
      <c r="CK1108">
        <v>2.4</v>
      </c>
      <c r="CL1108">
        <v>11.33</v>
      </c>
      <c r="CM1108">
        <v>-2.83</v>
      </c>
      <c r="CN1108">
        <v>2.76</v>
      </c>
      <c r="CO1108">
        <v>23010</v>
      </c>
      <c r="CP1108">
        <v>10385</v>
      </c>
      <c r="CQ1108" t="s">
        <v>6208</v>
      </c>
      <c r="CR1108">
        <v>-18.91</v>
      </c>
      <c r="CS1108">
        <v>-4.34</v>
      </c>
      <c r="CT1108">
        <v>1.75</v>
      </c>
      <c r="CU1108">
        <v>-15.61</v>
      </c>
      <c r="CV1108">
        <v>1.74</v>
      </c>
      <c r="CW1108">
        <v>2.1</v>
      </c>
      <c r="CX1108" t="s">
        <v>2533</v>
      </c>
      <c r="CY1108">
        <v>6.78</v>
      </c>
      <c r="CZ1108">
        <v>6.78</v>
      </c>
      <c r="DA1108">
        <v>2.4500000000000002</v>
      </c>
      <c r="DB1108">
        <v>3.04</v>
      </c>
      <c r="DC1108">
        <v>-0.76</v>
      </c>
      <c r="DD1108">
        <v>42.93</v>
      </c>
      <c r="DE1108" t="s">
        <v>6209</v>
      </c>
      <c r="DF1108">
        <v>24.74</v>
      </c>
      <c r="DG1108">
        <v>12.79</v>
      </c>
      <c r="DH1108">
        <v>9.73</v>
      </c>
      <c r="DI1108">
        <v>0.79</v>
      </c>
      <c r="DJ1108">
        <v>4245</v>
      </c>
      <c r="DK1108">
        <v>2734</v>
      </c>
      <c r="DL1108" t="s">
        <v>120</v>
      </c>
      <c r="DM1108" t="s">
        <v>120</v>
      </c>
      <c r="DN1108" t="s">
        <v>120</v>
      </c>
    </row>
    <row r="1109" spans="1:118">
      <c r="A1109" t="str">
        <f>"002735"</f>
        <v>002735</v>
      </c>
      <c r="B1109" t="s">
        <v>6210</v>
      </c>
      <c r="C1109">
        <v>1.68</v>
      </c>
      <c r="D1109">
        <v>0</v>
      </c>
      <c r="E1109">
        <v>0</v>
      </c>
      <c r="F1109">
        <v>108</v>
      </c>
      <c r="G1109" t="s">
        <v>3414</v>
      </c>
      <c r="H1109">
        <v>2335.9699999999998</v>
      </c>
      <c r="I1109">
        <v>4.28</v>
      </c>
      <c r="J1109" t="s">
        <v>120</v>
      </c>
      <c r="K1109" t="s">
        <v>4520</v>
      </c>
      <c r="L1109">
        <v>0.97</v>
      </c>
      <c r="M1109">
        <v>18.14</v>
      </c>
      <c r="N1109">
        <v>0.61</v>
      </c>
      <c r="O1109">
        <v>4.04</v>
      </c>
      <c r="P1109">
        <v>18.559999999999999</v>
      </c>
      <c r="Q1109">
        <v>0</v>
      </c>
      <c r="R1109">
        <v>17.84</v>
      </c>
      <c r="S1109">
        <v>17.84</v>
      </c>
      <c r="T1109">
        <v>12795</v>
      </c>
      <c r="U1109">
        <v>18.149999999999999</v>
      </c>
      <c r="V1109">
        <v>17.84</v>
      </c>
      <c r="W1109">
        <v>59.17</v>
      </c>
      <c r="X1109" t="s">
        <v>2211</v>
      </c>
      <c r="Y1109" t="s">
        <v>123</v>
      </c>
      <c r="Z1109">
        <v>4.04</v>
      </c>
      <c r="AA1109">
        <v>18.260000000000002</v>
      </c>
      <c r="AB1109">
        <v>6226</v>
      </c>
      <c r="AC1109">
        <v>6569</v>
      </c>
      <c r="AD1109">
        <v>0.95</v>
      </c>
      <c r="AE1109">
        <v>266</v>
      </c>
      <c r="AF1109">
        <v>10</v>
      </c>
      <c r="AG1109" t="s">
        <v>120</v>
      </c>
      <c r="AH1109">
        <v>0</v>
      </c>
      <c r="AI1109" t="s">
        <v>120</v>
      </c>
      <c r="AJ1109">
        <v>1.32</v>
      </c>
      <c r="AK1109" t="s">
        <v>6211</v>
      </c>
      <c r="AL1109">
        <v>3.6</v>
      </c>
      <c r="AM1109">
        <v>861</v>
      </c>
      <c r="AN1109">
        <v>15</v>
      </c>
      <c r="AO1109">
        <v>1.1000000000000001E-3</v>
      </c>
      <c r="AP1109">
        <v>1</v>
      </c>
      <c r="AQ1109">
        <v>-1.6</v>
      </c>
      <c r="AR1109">
        <v>-1.26</v>
      </c>
      <c r="AS1109">
        <v>-4.18</v>
      </c>
      <c r="AT1109">
        <v>-1.8</v>
      </c>
      <c r="AU1109">
        <v>-29.77</v>
      </c>
      <c r="AV1109">
        <v>1</v>
      </c>
      <c r="AW1109">
        <v>1.29</v>
      </c>
      <c r="AX1109">
        <v>46.6</v>
      </c>
      <c r="AY1109">
        <v>39.39</v>
      </c>
      <c r="AZ1109">
        <v>43.92</v>
      </c>
      <c r="BA1109">
        <v>0.57999999999999996</v>
      </c>
      <c r="BB1109" t="s">
        <v>1723</v>
      </c>
      <c r="BF1109">
        <v>2.33</v>
      </c>
      <c r="BG1109">
        <v>1.68</v>
      </c>
      <c r="BH1109">
        <v>-2.2599999999999998</v>
      </c>
      <c r="BI1109">
        <v>1.68</v>
      </c>
      <c r="BJ1109">
        <v>20210907</v>
      </c>
      <c r="BK1109">
        <v>20141203</v>
      </c>
      <c r="BL1109">
        <v>2.13</v>
      </c>
      <c r="BM1109" t="s">
        <v>120</v>
      </c>
      <c r="BN1109" t="s">
        <v>120</v>
      </c>
      <c r="BO1109">
        <v>16.47</v>
      </c>
      <c r="BP1109">
        <v>18.14</v>
      </c>
      <c r="BQ1109">
        <v>8.0399999999999991</v>
      </c>
      <c r="BR1109">
        <v>1.45</v>
      </c>
      <c r="BS1109">
        <v>42.37</v>
      </c>
      <c r="BT1109">
        <v>10.1</v>
      </c>
      <c r="BU1109">
        <v>2.52</v>
      </c>
      <c r="BV1109">
        <v>0.56999999999999995</v>
      </c>
      <c r="BW1109">
        <v>6.36</v>
      </c>
      <c r="BX1109">
        <v>1.79</v>
      </c>
      <c r="BY1109">
        <v>1.73</v>
      </c>
      <c r="BZ1109">
        <v>5.19</v>
      </c>
      <c r="CA1109" t="s">
        <v>120</v>
      </c>
      <c r="CB1109">
        <v>3.03</v>
      </c>
      <c r="CC1109">
        <v>7.71</v>
      </c>
      <c r="CD1109">
        <v>6.28</v>
      </c>
      <c r="CE1109">
        <v>0.47</v>
      </c>
      <c r="CF1109">
        <v>0.01</v>
      </c>
      <c r="CG1109">
        <v>0.47</v>
      </c>
      <c r="CH1109">
        <v>0.32</v>
      </c>
      <c r="CI1109">
        <v>0.33</v>
      </c>
      <c r="CJ1109">
        <v>0.3</v>
      </c>
      <c r="CK1109">
        <v>0.32</v>
      </c>
      <c r="CL1109">
        <v>4.5599999999999996</v>
      </c>
      <c r="CM1109">
        <v>0.32</v>
      </c>
      <c r="CN1109">
        <v>0.56999999999999995</v>
      </c>
      <c r="CO1109">
        <v>8165</v>
      </c>
      <c r="CP1109">
        <v>12185</v>
      </c>
      <c r="CQ1109" t="s">
        <v>6212</v>
      </c>
      <c r="CR1109">
        <v>43.74</v>
      </c>
      <c r="CS1109">
        <v>30.71</v>
      </c>
      <c r="CT1109">
        <v>4.8099999999999996</v>
      </c>
      <c r="CU1109">
        <v>120.95</v>
      </c>
      <c r="CV1109">
        <v>5.03</v>
      </c>
      <c r="CW1109">
        <v>0.52</v>
      </c>
      <c r="CX1109" t="s">
        <v>2230</v>
      </c>
      <c r="CY1109">
        <v>3.77</v>
      </c>
      <c r="CZ1109">
        <v>0</v>
      </c>
      <c r="DA1109">
        <v>1.42</v>
      </c>
      <c r="DB1109">
        <v>2.13</v>
      </c>
      <c r="DC1109">
        <v>0.15</v>
      </c>
      <c r="DD1109">
        <v>48.83</v>
      </c>
      <c r="DE1109" t="s">
        <v>6213</v>
      </c>
      <c r="DF1109">
        <v>18.5</v>
      </c>
      <c r="DG1109">
        <v>6.04</v>
      </c>
      <c r="DH1109">
        <v>4.25</v>
      </c>
      <c r="DI1109">
        <v>0.1</v>
      </c>
      <c r="DJ1109">
        <v>2255</v>
      </c>
      <c r="DK1109">
        <v>2735</v>
      </c>
      <c r="DL1109" t="s">
        <v>120</v>
      </c>
      <c r="DM1109" t="s">
        <v>120</v>
      </c>
      <c r="DN1109" t="s">
        <v>120</v>
      </c>
    </row>
    <row r="1110" spans="1:118">
      <c r="A1110" t="str">
        <f>"002736"</f>
        <v>002736</v>
      </c>
      <c r="B1110" t="s">
        <v>6214</v>
      </c>
      <c r="C1110">
        <v>-1.83</v>
      </c>
      <c r="D1110">
        <v>0</v>
      </c>
      <c r="E1110">
        <v>0.25</v>
      </c>
      <c r="F1110">
        <v>2699</v>
      </c>
      <c r="G1110" t="s">
        <v>6215</v>
      </c>
      <c r="H1110">
        <v>29479.02</v>
      </c>
      <c r="I1110">
        <v>77.36</v>
      </c>
      <c r="J1110" t="s">
        <v>120</v>
      </c>
      <c r="K1110" t="s">
        <v>6216</v>
      </c>
      <c r="L1110">
        <v>0.28000000000000003</v>
      </c>
      <c r="M1110">
        <v>11.8</v>
      </c>
      <c r="N1110">
        <v>0.77</v>
      </c>
      <c r="O1110">
        <v>1.1599999999999999</v>
      </c>
      <c r="P1110">
        <v>12.16</v>
      </c>
      <c r="Q1110">
        <v>-2.16</v>
      </c>
      <c r="R1110">
        <v>11.76</v>
      </c>
      <c r="S1110">
        <v>12.05</v>
      </c>
      <c r="T1110">
        <v>246940</v>
      </c>
      <c r="U1110">
        <v>11.8</v>
      </c>
      <c r="V1110">
        <v>12.02</v>
      </c>
      <c r="W1110">
        <v>11.84</v>
      </c>
      <c r="X1110" t="s">
        <v>616</v>
      </c>
      <c r="Y1110" t="s">
        <v>123</v>
      </c>
      <c r="Z1110">
        <v>3.33</v>
      </c>
      <c r="AA1110">
        <v>11.94</v>
      </c>
      <c r="AB1110">
        <v>128430</v>
      </c>
      <c r="AC1110">
        <v>118510</v>
      </c>
      <c r="AD1110">
        <v>1.08</v>
      </c>
      <c r="AE1110">
        <v>46</v>
      </c>
      <c r="AF1110">
        <v>192</v>
      </c>
      <c r="AG1110" t="s">
        <v>120</v>
      </c>
      <c r="AH1110">
        <v>0</v>
      </c>
      <c r="AI1110" t="s">
        <v>120</v>
      </c>
      <c r="AJ1110">
        <v>88.27</v>
      </c>
      <c r="AK1110" t="s">
        <v>6217</v>
      </c>
      <c r="AL1110">
        <v>0.08</v>
      </c>
      <c r="AM1110">
        <v>3929</v>
      </c>
      <c r="AN1110">
        <v>63</v>
      </c>
      <c r="AO1110">
        <v>1E-4</v>
      </c>
      <c r="AP1110">
        <v>-1</v>
      </c>
      <c r="AQ1110">
        <v>0.08</v>
      </c>
      <c r="AR1110">
        <v>-4.45</v>
      </c>
      <c r="AS1110">
        <v>2.08</v>
      </c>
      <c r="AT1110">
        <v>11.42</v>
      </c>
      <c r="AU1110">
        <v>-12.01</v>
      </c>
      <c r="AV1110">
        <v>0</v>
      </c>
      <c r="AW1110">
        <v>0.9</v>
      </c>
      <c r="AX1110">
        <v>28.47</v>
      </c>
      <c r="AY1110">
        <v>13.66</v>
      </c>
      <c r="AZ1110">
        <v>17.46</v>
      </c>
      <c r="BA1110">
        <v>0.51</v>
      </c>
      <c r="BB1110" t="s">
        <v>143</v>
      </c>
      <c r="BF1110">
        <v>-0.68</v>
      </c>
      <c r="BG1110">
        <v>-2.0699999999999998</v>
      </c>
      <c r="BH1110">
        <v>-2.96</v>
      </c>
      <c r="BI1110">
        <v>0.34</v>
      </c>
      <c r="BJ1110">
        <v>20210824</v>
      </c>
      <c r="BK1110">
        <v>20141229</v>
      </c>
      <c r="BL1110">
        <v>96.12</v>
      </c>
      <c r="BM1110" t="s">
        <v>120</v>
      </c>
      <c r="BN1110" t="s">
        <v>120</v>
      </c>
      <c r="BO1110">
        <v>3335.74</v>
      </c>
      <c r="BP1110">
        <v>11.79</v>
      </c>
      <c r="BQ1110">
        <v>916.35</v>
      </c>
      <c r="BR1110">
        <v>0.17</v>
      </c>
      <c r="BS1110">
        <v>72.52</v>
      </c>
      <c r="BT1110">
        <v>0</v>
      </c>
      <c r="BU1110">
        <v>12.12</v>
      </c>
      <c r="BV1110">
        <v>6.74</v>
      </c>
      <c r="BW1110">
        <v>0</v>
      </c>
      <c r="BX1110">
        <v>660.36</v>
      </c>
      <c r="BY1110">
        <v>0</v>
      </c>
      <c r="BZ1110">
        <v>0</v>
      </c>
      <c r="CA1110" t="s">
        <v>120</v>
      </c>
      <c r="CB1110">
        <v>201.56</v>
      </c>
      <c r="CC1110">
        <v>103.21</v>
      </c>
      <c r="CD1110">
        <v>0</v>
      </c>
      <c r="CE1110">
        <v>61.41</v>
      </c>
      <c r="CF1110">
        <v>34.049999999999997</v>
      </c>
      <c r="CG1110">
        <v>61.61</v>
      </c>
      <c r="CH1110">
        <v>47.91</v>
      </c>
      <c r="CI1110">
        <v>47.9</v>
      </c>
      <c r="CJ1110">
        <v>-0.22</v>
      </c>
      <c r="CK1110">
        <v>47.67</v>
      </c>
      <c r="CL1110">
        <v>242.65</v>
      </c>
      <c r="CM1110">
        <v>-22.61</v>
      </c>
      <c r="CN1110">
        <v>43.27</v>
      </c>
      <c r="CO1110">
        <v>117767</v>
      </c>
      <c r="CP1110">
        <v>23240</v>
      </c>
      <c r="CQ1110" t="s">
        <v>3899</v>
      </c>
      <c r="CR1110">
        <v>62.61</v>
      </c>
      <c r="CS1110">
        <v>28.39</v>
      </c>
      <c r="CT1110">
        <v>1.58</v>
      </c>
      <c r="CU1110">
        <v>-50.16</v>
      </c>
      <c r="CV1110">
        <v>10.99</v>
      </c>
      <c r="CW1110">
        <v>1.91</v>
      </c>
      <c r="CX1110" t="s">
        <v>1631</v>
      </c>
      <c r="CY1110">
        <v>7.45</v>
      </c>
      <c r="CZ1110">
        <v>7.45</v>
      </c>
      <c r="DA1110">
        <v>2.1</v>
      </c>
      <c r="DB1110">
        <v>2.52</v>
      </c>
      <c r="DC1110">
        <v>-0.24</v>
      </c>
      <c r="DD1110">
        <v>27.47</v>
      </c>
      <c r="DE1110" t="s">
        <v>6218</v>
      </c>
      <c r="DF1110" t="s">
        <v>120</v>
      </c>
      <c r="DG1110">
        <v>59.5</v>
      </c>
      <c r="DH1110">
        <v>46.41</v>
      </c>
      <c r="DI1110" t="s">
        <v>120</v>
      </c>
      <c r="DJ1110">
        <v>12054</v>
      </c>
      <c r="DK1110">
        <v>2736</v>
      </c>
      <c r="DL1110" t="s">
        <v>120</v>
      </c>
      <c r="DM1110" t="s">
        <v>120</v>
      </c>
      <c r="DN1110" t="s">
        <v>120</v>
      </c>
    </row>
    <row r="1111" spans="1:118">
      <c r="A1111" t="str">
        <f>"002737"</f>
        <v>002737</v>
      </c>
      <c r="B1111" t="s">
        <v>6219</v>
      </c>
      <c r="C1111">
        <v>-2.6</v>
      </c>
      <c r="D1111">
        <v>0</v>
      </c>
      <c r="E1111">
        <v>0</v>
      </c>
      <c r="F1111">
        <v>395</v>
      </c>
      <c r="G1111" t="s">
        <v>6220</v>
      </c>
      <c r="H1111">
        <v>8970.57</v>
      </c>
      <c r="I1111">
        <v>36.28</v>
      </c>
      <c r="J1111" t="s">
        <v>120</v>
      </c>
      <c r="K1111" t="s">
        <v>6221</v>
      </c>
      <c r="L1111">
        <v>1.07</v>
      </c>
      <c r="M1111">
        <v>14.25</v>
      </c>
      <c r="N1111">
        <v>1.54</v>
      </c>
      <c r="O1111">
        <v>0.14000000000000001</v>
      </c>
      <c r="P1111">
        <v>14.65</v>
      </c>
      <c r="Q1111">
        <v>-3.08</v>
      </c>
      <c r="R1111">
        <v>14.18</v>
      </c>
      <c r="S1111">
        <v>14.63</v>
      </c>
      <c r="T1111">
        <v>62198</v>
      </c>
      <c r="U1111">
        <v>14.25</v>
      </c>
      <c r="V1111">
        <v>14.63</v>
      </c>
      <c r="W1111">
        <v>13.54</v>
      </c>
      <c r="X1111" t="s">
        <v>771</v>
      </c>
      <c r="Y1111" t="s">
        <v>1686</v>
      </c>
      <c r="Z1111">
        <v>3.21</v>
      </c>
      <c r="AA1111">
        <v>14.42</v>
      </c>
      <c r="AB1111">
        <v>39376</v>
      </c>
      <c r="AC1111">
        <v>22822</v>
      </c>
      <c r="AD1111">
        <v>1.73</v>
      </c>
      <c r="AE1111">
        <v>296</v>
      </c>
      <c r="AF1111">
        <v>62</v>
      </c>
      <c r="AG1111" t="s">
        <v>120</v>
      </c>
      <c r="AH1111">
        <v>0.01</v>
      </c>
      <c r="AI1111" t="s">
        <v>120</v>
      </c>
      <c r="AJ1111">
        <v>5.84</v>
      </c>
      <c r="AK1111" t="s">
        <v>6221</v>
      </c>
      <c r="AL1111">
        <v>-0.68</v>
      </c>
      <c r="AM1111">
        <v>1890</v>
      </c>
      <c r="AN1111">
        <v>33</v>
      </c>
      <c r="AO1111">
        <v>5.9999999999999995E-4</v>
      </c>
      <c r="AP1111">
        <v>-1</v>
      </c>
      <c r="AQ1111">
        <v>0.14000000000000001</v>
      </c>
      <c r="AR1111">
        <v>-4.42</v>
      </c>
      <c r="AS1111">
        <v>-8.89</v>
      </c>
      <c r="AT1111">
        <v>-6.56</v>
      </c>
      <c r="AU1111">
        <v>-0.49</v>
      </c>
      <c r="AV1111">
        <v>1</v>
      </c>
      <c r="AW1111">
        <v>2.67</v>
      </c>
      <c r="AX1111">
        <v>39.9</v>
      </c>
      <c r="AY1111">
        <v>13.05</v>
      </c>
      <c r="AZ1111">
        <v>14.62</v>
      </c>
      <c r="BA1111">
        <v>0.61</v>
      </c>
      <c r="BB1111" t="s">
        <v>240</v>
      </c>
      <c r="BF1111">
        <v>-1.42</v>
      </c>
      <c r="BG1111">
        <v>-2.6</v>
      </c>
      <c r="BH1111">
        <v>-2.73</v>
      </c>
      <c r="BI1111">
        <v>0.49</v>
      </c>
      <c r="BJ1111">
        <v>20210827</v>
      </c>
      <c r="BK1111">
        <v>20141230</v>
      </c>
      <c r="BL1111">
        <v>5.84</v>
      </c>
      <c r="BM1111" t="s">
        <v>120</v>
      </c>
      <c r="BN1111" t="s">
        <v>120</v>
      </c>
      <c r="BO1111">
        <v>54.17</v>
      </c>
      <c r="BP1111">
        <v>14.24</v>
      </c>
      <c r="BQ1111">
        <v>32.75</v>
      </c>
      <c r="BR1111">
        <v>2.27</v>
      </c>
      <c r="BS1111">
        <v>35.35</v>
      </c>
      <c r="BT1111">
        <v>32.57</v>
      </c>
      <c r="BU1111">
        <v>15.83</v>
      </c>
      <c r="BV1111">
        <v>3.49</v>
      </c>
      <c r="BW1111">
        <v>14.6</v>
      </c>
      <c r="BX1111">
        <v>16.53</v>
      </c>
      <c r="BY1111">
        <v>5.67</v>
      </c>
      <c r="BZ1111">
        <v>1.41</v>
      </c>
      <c r="CA1111">
        <v>0</v>
      </c>
      <c r="CB1111">
        <v>9.1999999999999993</v>
      </c>
      <c r="CC1111">
        <v>21.02</v>
      </c>
      <c r="CD1111">
        <v>8.83</v>
      </c>
      <c r="CE1111">
        <v>3.5</v>
      </c>
      <c r="CF1111">
        <v>0.05</v>
      </c>
      <c r="CG1111">
        <v>4.4400000000000004</v>
      </c>
      <c r="CH1111">
        <v>3.54</v>
      </c>
      <c r="CI1111">
        <v>3.07</v>
      </c>
      <c r="CJ1111">
        <v>-0.38</v>
      </c>
      <c r="CK1111">
        <v>2.61</v>
      </c>
      <c r="CL1111">
        <v>15.59</v>
      </c>
      <c r="CM1111">
        <v>4.5</v>
      </c>
      <c r="CN1111">
        <v>0.06</v>
      </c>
      <c r="CO1111">
        <v>48777</v>
      </c>
      <c r="CP1111">
        <v>4778</v>
      </c>
      <c r="CQ1111" t="s">
        <v>6222</v>
      </c>
      <c r="CR1111">
        <v>29.62</v>
      </c>
      <c r="CS1111">
        <v>31.35</v>
      </c>
      <c r="CT1111">
        <v>2.54</v>
      </c>
      <c r="CU1111">
        <v>18.489999999999998</v>
      </c>
      <c r="CV1111">
        <v>3.96</v>
      </c>
      <c r="CW1111">
        <v>2.36</v>
      </c>
      <c r="CX1111" t="s">
        <v>2391</v>
      </c>
      <c r="CY1111">
        <v>5.61</v>
      </c>
      <c r="CZ1111">
        <v>0</v>
      </c>
      <c r="DA1111">
        <v>1.58</v>
      </c>
      <c r="DB1111">
        <v>2.67</v>
      </c>
      <c r="DC1111">
        <v>0.77</v>
      </c>
      <c r="DD1111">
        <v>60.45</v>
      </c>
      <c r="DE1111" t="s">
        <v>6223</v>
      </c>
      <c r="DF1111">
        <v>58.01</v>
      </c>
      <c r="DG1111">
        <v>16.649999999999999</v>
      </c>
      <c r="DH1111">
        <v>14.62</v>
      </c>
      <c r="DI1111">
        <v>0.46</v>
      </c>
      <c r="DJ1111">
        <v>5621</v>
      </c>
      <c r="DK1111">
        <v>2737</v>
      </c>
      <c r="DL1111" t="s">
        <v>120</v>
      </c>
      <c r="DM1111" t="s">
        <v>120</v>
      </c>
      <c r="DN1111" t="s">
        <v>120</v>
      </c>
    </row>
    <row r="1112" spans="1:118">
      <c r="A1112" t="str">
        <f>"002738"</f>
        <v>002738</v>
      </c>
      <c r="B1112" t="s">
        <v>6224</v>
      </c>
      <c r="C1112">
        <v>-9.5399999999999991</v>
      </c>
      <c r="D1112">
        <v>0</v>
      </c>
      <c r="E1112">
        <v>-1.23</v>
      </c>
      <c r="F1112">
        <v>2666</v>
      </c>
      <c r="G1112" t="s">
        <v>6225</v>
      </c>
      <c r="H1112">
        <v>236289.84</v>
      </c>
      <c r="I1112">
        <v>1689.27</v>
      </c>
      <c r="J1112" t="s">
        <v>120</v>
      </c>
      <c r="K1112" t="s">
        <v>6226</v>
      </c>
      <c r="L1112">
        <v>11</v>
      </c>
      <c r="M1112">
        <v>66.09</v>
      </c>
      <c r="N1112">
        <v>1.24</v>
      </c>
      <c r="O1112">
        <v>0.05</v>
      </c>
      <c r="P1112">
        <v>73.099999999999994</v>
      </c>
      <c r="Q1112">
        <v>-10.01</v>
      </c>
      <c r="R1112">
        <v>65.75</v>
      </c>
      <c r="S1112">
        <v>72.16</v>
      </c>
      <c r="T1112">
        <v>343941</v>
      </c>
      <c r="U1112">
        <v>66.099999999999994</v>
      </c>
      <c r="V1112">
        <v>73.06</v>
      </c>
      <c r="W1112">
        <v>61.59</v>
      </c>
      <c r="X1112" t="s">
        <v>1390</v>
      </c>
      <c r="Y1112" t="s">
        <v>158</v>
      </c>
      <c r="Z1112">
        <v>10.06</v>
      </c>
      <c r="AA1112">
        <v>68.7</v>
      </c>
      <c r="AB1112">
        <v>189970</v>
      </c>
      <c r="AC1112">
        <v>153971</v>
      </c>
      <c r="AD1112">
        <v>1.23</v>
      </c>
      <c r="AE1112">
        <v>633</v>
      </c>
      <c r="AF1112">
        <v>61</v>
      </c>
      <c r="AG1112" t="s">
        <v>120</v>
      </c>
      <c r="AH1112">
        <v>0.1</v>
      </c>
      <c r="AI1112" t="s">
        <v>120</v>
      </c>
      <c r="AJ1112">
        <v>3.13</v>
      </c>
      <c r="AK1112" t="s">
        <v>6227</v>
      </c>
      <c r="AL1112">
        <v>-7.63</v>
      </c>
      <c r="AM1112">
        <v>4639</v>
      </c>
      <c r="AN1112">
        <v>74</v>
      </c>
      <c r="AO1112">
        <v>2.3999999999999998E-3</v>
      </c>
      <c r="AP1112">
        <v>-2</v>
      </c>
      <c r="AQ1112">
        <v>-1.72</v>
      </c>
      <c r="AR1112">
        <v>-5.76</v>
      </c>
      <c r="AS1112">
        <v>23.65</v>
      </c>
      <c r="AT1112">
        <v>58.57</v>
      </c>
      <c r="AU1112">
        <v>150.15</v>
      </c>
      <c r="AV1112">
        <v>14</v>
      </c>
      <c r="AW1112">
        <v>14.91</v>
      </c>
      <c r="AX1112">
        <v>71.48</v>
      </c>
      <c r="AY1112">
        <v>86.57</v>
      </c>
      <c r="AZ1112">
        <v>135.32</v>
      </c>
      <c r="BA1112">
        <v>1.34</v>
      </c>
      <c r="BB1112" t="s">
        <v>143</v>
      </c>
      <c r="BF1112">
        <v>-5.97</v>
      </c>
      <c r="BG1112">
        <v>-8.41</v>
      </c>
      <c r="BH1112">
        <v>-9.59</v>
      </c>
      <c r="BI1112">
        <v>0.52</v>
      </c>
      <c r="BJ1112">
        <v>20210913</v>
      </c>
      <c r="BK1112">
        <v>20141230</v>
      </c>
      <c r="BL1112">
        <v>3.23</v>
      </c>
      <c r="BM1112" t="s">
        <v>120</v>
      </c>
      <c r="BN1112" t="s">
        <v>120</v>
      </c>
      <c r="BO1112">
        <v>49.71</v>
      </c>
      <c r="BP1112">
        <v>66.09</v>
      </c>
      <c r="BQ1112">
        <v>35.36</v>
      </c>
      <c r="BR1112">
        <v>0.04</v>
      </c>
      <c r="BS1112">
        <v>28.79</v>
      </c>
      <c r="BT1112">
        <v>22.23</v>
      </c>
      <c r="BU1112">
        <v>3.31</v>
      </c>
      <c r="BV1112">
        <v>0.92</v>
      </c>
      <c r="BW1112">
        <v>5.15</v>
      </c>
      <c r="BX1112">
        <v>12.67</v>
      </c>
      <c r="BY1112">
        <v>4.7</v>
      </c>
      <c r="BZ1112">
        <v>3.39</v>
      </c>
      <c r="CA1112" t="s">
        <v>120</v>
      </c>
      <c r="CB1112">
        <v>26.22</v>
      </c>
      <c r="CC1112">
        <v>8.74</v>
      </c>
      <c r="CD1112">
        <v>4.7</v>
      </c>
      <c r="CE1112">
        <v>2.2599999999999998</v>
      </c>
      <c r="CF1112">
        <v>-0.01</v>
      </c>
      <c r="CG1112">
        <v>2.2599999999999998</v>
      </c>
      <c r="CH1112">
        <v>1.7</v>
      </c>
      <c r="CI1112">
        <v>1.73</v>
      </c>
      <c r="CJ1112">
        <v>-6.97</v>
      </c>
      <c r="CK1112">
        <v>1.63</v>
      </c>
      <c r="CL1112">
        <v>9.08</v>
      </c>
      <c r="CM1112">
        <v>3.16</v>
      </c>
      <c r="CN1112">
        <v>1.53</v>
      </c>
      <c r="CO1112">
        <v>20358</v>
      </c>
      <c r="CP1112">
        <v>11332</v>
      </c>
      <c r="CQ1112" t="s">
        <v>6228</v>
      </c>
      <c r="CR1112">
        <v>130.82</v>
      </c>
      <c r="CS1112">
        <v>68.510000000000005</v>
      </c>
      <c r="CT1112">
        <v>6.07</v>
      </c>
      <c r="CU1112">
        <v>67.52</v>
      </c>
      <c r="CV1112">
        <v>24.4</v>
      </c>
      <c r="CW1112">
        <v>7.0000000000000007E-2</v>
      </c>
      <c r="CX1112" t="s">
        <v>1581</v>
      </c>
      <c r="CY1112">
        <v>10.89</v>
      </c>
      <c r="CZ1112">
        <v>10.89</v>
      </c>
      <c r="DA1112">
        <v>8.1199999999999992</v>
      </c>
      <c r="DB1112">
        <v>2.81</v>
      </c>
      <c r="DC1112">
        <v>0.98</v>
      </c>
      <c r="DD1112">
        <v>71.12</v>
      </c>
      <c r="DE1112" t="s">
        <v>619</v>
      </c>
      <c r="DF1112">
        <v>46.25</v>
      </c>
      <c r="DG1112">
        <v>25.89</v>
      </c>
      <c r="DH1112">
        <v>19.809999999999999</v>
      </c>
      <c r="DI1112">
        <v>0.15</v>
      </c>
      <c r="DJ1112">
        <v>1081</v>
      </c>
      <c r="DK1112">
        <v>2738</v>
      </c>
      <c r="DL1112">
        <v>20210827</v>
      </c>
      <c r="DM1112">
        <v>64.72</v>
      </c>
      <c r="DN1112">
        <v>2.12</v>
      </c>
    </row>
    <row r="1113" spans="1:118">
      <c r="A1113" t="str">
        <f>"002739"</f>
        <v>002739</v>
      </c>
      <c r="B1113" t="s">
        <v>6229</v>
      </c>
      <c r="C1113">
        <v>-1.33</v>
      </c>
      <c r="D1113">
        <v>-0.06</v>
      </c>
      <c r="E1113">
        <v>0.2</v>
      </c>
      <c r="F1113">
        <v>935</v>
      </c>
      <c r="G1113" t="s">
        <v>6230</v>
      </c>
      <c r="H1113">
        <v>30561.46</v>
      </c>
      <c r="I1113">
        <v>357.29</v>
      </c>
      <c r="J1113" t="s">
        <v>120</v>
      </c>
      <c r="K1113" t="s">
        <v>6231</v>
      </c>
      <c r="L1113">
        <v>0.95</v>
      </c>
      <c r="M1113">
        <v>14.82</v>
      </c>
      <c r="N1113">
        <v>0.82</v>
      </c>
      <c r="O1113">
        <v>1.2</v>
      </c>
      <c r="P1113">
        <v>15.2</v>
      </c>
      <c r="Q1113">
        <v>-2.2000000000000002</v>
      </c>
      <c r="R1113">
        <v>14.69</v>
      </c>
      <c r="S1113">
        <v>15.05</v>
      </c>
      <c r="T1113">
        <v>204323</v>
      </c>
      <c r="U1113">
        <v>14.82</v>
      </c>
      <c r="V1113">
        <v>15.02</v>
      </c>
      <c r="W1113">
        <v>25.88</v>
      </c>
      <c r="X1113" t="s">
        <v>584</v>
      </c>
      <c r="Y1113" t="s">
        <v>158</v>
      </c>
      <c r="Z1113">
        <v>3.4</v>
      </c>
      <c r="AA1113">
        <v>14.96</v>
      </c>
      <c r="AB1113">
        <v>117820</v>
      </c>
      <c r="AC1113">
        <v>86503</v>
      </c>
      <c r="AD1113">
        <v>1.36</v>
      </c>
      <c r="AE1113">
        <v>964</v>
      </c>
      <c r="AF1113">
        <v>298</v>
      </c>
      <c r="AG1113" t="s">
        <v>120</v>
      </c>
      <c r="AH1113">
        <v>0.02</v>
      </c>
      <c r="AI1113" t="s">
        <v>120</v>
      </c>
      <c r="AJ1113">
        <v>21.48</v>
      </c>
      <c r="AK1113" t="s">
        <v>6232</v>
      </c>
      <c r="AL1113">
        <v>0.57999999999999996</v>
      </c>
      <c r="AM1113">
        <v>3657</v>
      </c>
      <c r="AN1113">
        <v>56</v>
      </c>
      <c r="AO1113">
        <v>2.9999999999999997E-4</v>
      </c>
      <c r="AP1113">
        <v>-1</v>
      </c>
      <c r="AQ1113">
        <v>2.81</v>
      </c>
      <c r="AR1113">
        <v>0.2</v>
      </c>
      <c r="AS1113">
        <v>11.43</v>
      </c>
      <c r="AT1113">
        <v>-4.07</v>
      </c>
      <c r="AU1113">
        <v>-18.03</v>
      </c>
      <c r="AV1113">
        <v>0</v>
      </c>
      <c r="AW1113">
        <v>1.97</v>
      </c>
      <c r="AX1113">
        <v>46.51</v>
      </c>
      <c r="AY1113" t="s">
        <v>120</v>
      </c>
      <c r="AZ1113" t="s">
        <v>120</v>
      </c>
      <c r="BA1113">
        <v>0.27</v>
      </c>
      <c r="BB1113" t="s">
        <v>184</v>
      </c>
      <c r="BF1113">
        <v>-0.42</v>
      </c>
      <c r="BG1113">
        <v>-1.53</v>
      </c>
      <c r="BH1113">
        <v>-2.5</v>
      </c>
      <c r="BI1113">
        <v>0.88</v>
      </c>
      <c r="BJ1113">
        <v>20210902</v>
      </c>
      <c r="BK1113">
        <v>20150122</v>
      </c>
      <c r="BL1113">
        <v>22.31</v>
      </c>
      <c r="BM1113" t="s">
        <v>120</v>
      </c>
      <c r="BN1113" t="s">
        <v>120</v>
      </c>
      <c r="BO1113">
        <v>313.72000000000003</v>
      </c>
      <c r="BP1113">
        <v>14.81</v>
      </c>
      <c r="BQ1113">
        <v>97.3</v>
      </c>
      <c r="BR1113">
        <v>1.49</v>
      </c>
      <c r="BS1113">
        <v>68.510000000000005</v>
      </c>
      <c r="BT1113">
        <v>112.79</v>
      </c>
      <c r="BU1113">
        <v>24.4</v>
      </c>
      <c r="BV1113">
        <v>8.9</v>
      </c>
      <c r="BW1113">
        <v>129.41</v>
      </c>
      <c r="BX1113">
        <v>53.21</v>
      </c>
      <c r="BY1113">
        <v>18.02</v>
      </c>
      <c r="BZ1113">
        <v>22.55</v>
      </c>
      <c r="CA1113">
        <v>3.91</v>
      </c>
      <c r="CB1113">
        <v>108.39</v>
      </c>
      <c r="CC1113">
        <v>70.34</v>
      </c>
      <c r="CD1113">
        <v>46.9</v>
      </c>
      <c r="CE1113">
        <v>6.65</v>
      </c>
      <c r="CF1113">
        <v>0.08</v>
      </c>
      <c r="CG1113">
        <v>6.6</v>
      </c>
      <c r="CH1113">
        <v>6.49</v>
      </c>
      <c r="CI1113">
        <v>6.39</v>
      </c>
      <c r="CJ1113">
        <v>-0.2</v>
      </c>
      <c r="CK1113">
        <v>6.13</v>
      </c>
      <c r="CL1113">
        <v>-39.04</v>
      </c>
      <c r="CM1113">
        <v>25.01</v>
      </c>
      <c r="CN1113">
        <v>3.52</v>
      </c>
      <c r="CO1113">
        <v>153456</v>
      </c>
      <c r="CP1113">
        <v>6761</v>
      </c>
      <c r="CQ1113" t="s">
        <v>6233</v>
      </c>
      <c r="CR1113">
        <v>140.77000000000001</v>
      </c>
      <c r="CS1113">
        <v>256.64</v>
      </c>
      <c r="CT1113">
        <v>3.4</v>
      </c>
      <c r="CU1113">
        <v>13.22</v>
      </c>
      <c r="CV1113">
        <v>4.7</v>
      </c>
      <c r="CW1113">
        <v>0</v>
      </c>
      <c r="CX1113" t="s">
        <v>6234</v>
      </c>
      <c r="CY1113">
        <v>4.3600000000000003</v>
      </c>
      <c r="CZ1113">
        <v>0</v>
      </c>
      <c r="DA1113">
        <v>4.8600000000000003</v>
      </c>
      <c r="DB1113">
        <v>-1.75</v>
      </c>
      <c r="DC1113">
        <v>1.1200000000000001</v>
      </c>
      <c r="DD1113">
        <v>31.02</v>
      </c>
      <c r="DE1113" t="s">
        <v>3004</v>
      </c>
      <c r="DF1113">
        <v>33.33</v>
      </c>
      <c r="DG1113">
        <v>9.4499999999999993</v>
      </c>
      <c r="DH1113">
        <v>9.08</v>
      </c>
      <c r="DI1113">
        <v>0.13</v>
      </c>
      <c r="DJ1113">
        <v>11561</v>
      </c>
      <c r="DK1113">
        <v>2739</v>
      </c>
      <c r="DL1113" t="s">
        <v>120</v>
      </c>
      <c r="DM1113" t="s">
        <v>120</v>
      </c>
      <c r="DN1113" t="s">
        <v>120</v>
      </c>
    </row>
    <row r="1114" spans="1:118">
      <c r="A1114" t="str">
        <f>"002740"</f>
        <v>002740</v>
      </c>
      <c r="B1114" t="s">
        <v>6235</v>
      </c>
      <c r="C1114">
        <v>-1.9</v>
      </c>
      <c r="D1114">
        <v>-0.23</v>
      </c>
      <c r="E1114">
        <v>0</v>
      </c>
      <c r="F1114">
        <v>667</v>
      </c>
      <c r="G1114" t="s">
        <v>6236</v>
      </c>
      <c r="H1114">
        <v>1619.62</v>
      </c>
      <c r="I1114">
        <v>0</v>
      </c>
      <c r="J1114" t="s">
        <v>120</v>
      </c>
      <c r="K1114" t="s">
        <v>6237</v>
      </c>
      <c r="L1114">
        <v>1.57</v>
      </c>
      <c r="M1114">
        <v>4.13</v>
      </c>
      <c r="N1114">
        <v>0.66</v>
      </c>
      <c r="O1114">
        <v>1.43</v>
      </c>
      <c r="P1114">
        <v>4.2699999999999996</v>
      </c>
      <c r="Q1114">
        <v>-1.9</v>
      </c>
      <c r="R1114">
        <v>4.13</v>
      </c>
      <c r="S1114">
        <v>4.21</v>
      </c>
      <c r="T1114">
        <v>38573</v>
      </c>
      <c r="U1114">
        <v>4.1399999999999997</v>
      </c>
      <c r="V1114">
        <v>4.21</v>
      </c>
      <c r="W1114">
        <v>258.79000000000002</v>
      </c>
      <c r="X1114" t="s">
        <v>2806</v>
      </c>
      <c r="Y1114" t="s">
        <v>937</v>
      </c>
      <c r="Z1114">
        <v>3.33</v>
      </c>
      <c r="AA1114">
        <v>4.2</v>
      </c>
      <c r="AB1114">
        <v>20530</v>
      </c>
      <c r="AC1114">
        <v>18043</v>
      </c>
      <c r="AD1114">
        <v>1.1399999999999999</v>
      </c>
      <c r="AE1114">
        <v>656</v>
      </c>
      <c r="AF1114">
        <v>176</v>
      </c>
      <c r="AG1114" t="s">
        <v>120</v>
      </c>
      <c r="AH1114">
        <v>0</v>
      </c>
      <c r="AI1114" t="s">
        <v>120</v>
      </c>
      <c r="AJ1114">
        <v>2.4500000000000002</v>
      </c>
      <c r="AK1114" t="s">
        <v>6238</v>
      </c>
      <c r="AL1114">
        <v>0.01</v>
      </c>
      <c r="AM1114">
        <v>895</v>
      </c>
      <c r="AN1114">
        <v>43</v>
      </c>
      <c r="AO1114">
        <v>1.8E-3</v>
      </c>
      <c r="AP1114">
        <v>-1</v>
      </c>
      <c r="AQ1114">
        <v>0.24</v>
      </c>
      <c r="AR1114">
        <v>-3.5</v>
      </c>
      <c r="AS1114">
        <v>4.82</v>
      </c>
      <c r="AT1114">
        <v>-1.9</v>
      </c>
      <c r="AU1114">
        <v>-17.23</v>
      </c>
      <c r="AV1114">
        <v>7</v>
      </c>
      <c r="AW1114">
        <v>1.93</v>
      </c>
      <c r="AX1114">
        <v>43.97</v>
      </c>
      <c r="AY1114" t="s">
        <v>120</v>
      </c>
      <c r="AZ1114" t="s">
        <v>120</v>
      </c>
      <c r="BA1114">
        <v>0.35</v>
      </c>
      <c r="BB1114" t="s">
        <v>125</v>
      </c>
      <c r="BF1114">
        <v>-0.27</v>
      </c>
      <c r="BG1114">
        <v>-1.9</v>
      </c>
      <c r="BH1114">
        <v>-3.28</v>
      </c>
      <c r="BI1114">
        <v>0</v>
      </c>
      <c r="BJ1114">
        <v>20210827</v>
      </c>
      <c r="BK1114">
        <v>20150122</v>
      </c>
      <c r="BL1114">
        <v>4.54</v>
      </c>
      <c r="BM1114" t="s">
        <v>120</v>
      </c>
      <c r="BN1114" t="s">
        <v>120</v>
      </c>
      <c r="BO1114">
        <v>26.65</v>
      </c>
      <c r="BP1114">
        <v>4.13</v>
      </c>
      <c r="BQ1114">
        <v>9.1199999999999992</v>
      </c>
      <c r="BR1114">
        <v>-0.05</v>
      </c>
      <c r="BS1114">
        <v>65.97</v>
      </c>
      <c r="BT1114">
        <v>21.63</v>
      </c>
      <c r="BU1114">
        <v>0.34</v>
      </c>
      <c r="BV1114">
        <v>0.87</v>
      </c>
      <c r="BW1114">
        <v>16.059999999999999</v>
      </c>
      <c r="BX1114">
        <v>0.11</v>
      </c>
      <c r="BY1114">
        <v>12.89</v>
      </c>
      <c r="BZ1114">
        <v>7.47</v>
      </c>
      <c r="CA1114" t="s">
        <v>120</v>
      </c>
      <c r="CB1114">
        <v>17.84</v>
      </c>
      <c r="CC1114">
        <v>4.38</v>
      </c>
      <c r="CD1114">
        <v>3.43</v>
      </c>
      <c r="CE1114">
        <v>0.12</v>
      </c>
      <c r="CF1114">
        <v>0</v>
      </c>
      <c r="CG1114">
        <v>0.11</v>
      </c>
      <c r="CH1114">
        <v>0.04</v>
      </c>
      <c r="CI1114">
        <v>0.04</v>
      </c>
      <c r="CJ1114">
        <v>-0.08</v>
      </c>
      <c r="CK1114">
        <v>0.03</v>
      </c>
      <c r="CL1114">
        <v>-13.85</v>
      </c>
      <c r="CM1114">
        <v>-0.17</v>
      </c>
      <c r="CN1114">
        <v>-0.06</v>
      </c>
      <c r="CO1114">
        <v>30591</v>
      </c>
      <c r="CP1114">
        <v>6527</v>
      </c>
      <c r="CQ1114" t="s">
        <v>6239</v>
      </c>
      <c r="CR1114">
        <v>-34.65</v>
      </c>
      <c r="CS1114">
        <v>-4.53</v>
      </c>
      <c r="CT1114">
        <v>2.06</v>
      </c>
      <c r="CU1114">
        <v>-111.55</v>
      </c>
      <c r="CV1114">
        <v>4.29</v>
      </c>
      <c r="CW1114">
        <v>0</v>
      </c>
      <c r="CX1114" t="s">
        <v>2587</v>
      </c>
      <c r="CY1114">
        <v>2.0099999999999998</v>
      </c>
      <c r="CZ1114">
        <v>0</v>
      </c>
      <c r="DA1114">
        <v>3.93</v>
      </c>
      <c r="DB1114">
        <v>-3.05</v>
      </c>
      <c r="DC1114">
        <v>-0.04</v>
      </c>
      <c r="DD1114">
        <v>34.229999999999997</v>
      </c>
      <c r="DE1114" t="s">
        <v>1017</v>
      </c>
      <c r="DF1114">
        <v>21.68</v>
      </c>
      <c r="DG1114">
        <v>2.68</v>
      </c>
      <c r="DH1114">
        <v>0.83</v>
      </c>
      <c r="DI1114" t="s">
        <v>120</v>
      </c>
      <c r="DJ1114">
        <v>606</v>
      </c>
      <c r="DK1114">
        <v>2740</v>
      </c>
      <c r="DL1114" t="s">
        <v>120</v>
      </c>
      <c r="DM1114" t="s">
        <v>120</v>
      </c>
      <c r="DN1114" t="s">
        <v>120</v>
      </c>
    </row>
    <row r="1115" spans="1:118">
      <c r="A1115" t="str">
        <f>"002741"</f>
        <v>002741</v>
      </c>
      <c r="B1115" t="s">
        <v>6240</v>
      </c>
      <c r="C1115">
        <v>-7.82</v>
      </c>
      <c r="D1115">
        <v>-0.04</v>
      </c>
      <c r="E1115">
        <v>-0.79</v>
      </c>
      <c r="F1115">
        <v>889</v>
      </c>
      <c r="G1115" t="s">
        <v>6241</v>
      </c>
      <c r="H1115">
        <v>35005.57</v>
      </c>
      <c r="I1115">
        <v>179.35</v>
      </c>
      <c r="J1115" t="s">
        <v>120</v>
      </c>
      <c r="K1115" t="s">
        <v>4735</v>
      </c>
      <c r="L1115">
        <v>4.58</v>
      </c>
      <c r="M1115">
        <v>22.16</v>
      </c>
      <c r="N1115">
        <v>0.85</v>
      </c>
      <c r="O1115">
        <v>-0.21</v>
      </c>
      <c r="P1115">
        <v>23.99</v>
      </c>
      <c r="Q1115">
        <v>-8.61</v>
      </c>
      <c r="R1115">
        <v>21.97</v>
      </c>
      <c r="S1115">
        <v>23.85</v>
      </c>
      <c r="T1115">
        <v>154710</v>
      </c>
      <c r="U1115">
        <v>22.17</v>
      </c>
      <c r="V1115">
        <v>24.04</v>
      </c>
      <c r="W1115">
        <v>145.04</v>
      </c>
      <c r="X1115" t="s">
        <v>868</v>
      </c>
      <c r="Y1115" t="s">
        <v>547</v>
      </c>
      <c r="Z1115">
        <v>8.4</v>
      </c>
      <c r="AA1115">
        <v>22.63</v>
      </c>
      <c r="AB1115">
        <v>85832</v>
      </c>
      <c r="AC1115">
        <v>68878</v>
      </c>
      <c r="AD1115">
        <v>1.25</v>
      </c>
      <c r="AE1115">
        <v>408</v>
      </c>
      <c r="AF1115">
        <v>242</v>
      </c>
      <c r="AG1115" t="s">
        <v>120</v>
      </c>
      <c r="AH1115">
        <v>0.04</v>
      </c>
      <c r="AI1115" t="s">
        <v>120</v>
      </c>
      <c r="AJ1115">
        <v>3.38</v>
      </c>
      <c r="AK1115" t="s">
        <v>6242</v>
      </c>
      <c r="AL1115">
        <v>-5.91</v>
      </c>
      <c r="AM1115">
        <v>3719</v>
      </c>
      <c r="AN1115">
        <v>42</v>
      </c>
      <c r="AO1115">
        <v>1.1999999999999999E-3</v>
      </c>
      <c r="AP1115">
        <v>-2</v>
      </c>
      <c r="AQ1115">
        <v>-2.71</v>
      </c>
      <c r="AR1115">
        <v>-2.85</v>
      </c>
      <c r="AS1115">
        <v>6.49</v>
      </c>
      <c r="AT1115">
        <v>40.97</v>
      </c>
      <c r="AU1115">
        <v>77.42</v>
      </c>
      <c r="AV1115">
        <v>3</v>
      </c>
      <c r="AW1115">
        <v>7.39</v>
      </c>
      <c r="AX1115">
        <v>53.21</v>
      </c>
      <c r="AY1115">
        <v>170.73</v>
      </c>
      <c r="AZ1115">
        <v>261.7</v>
      </c>
      <c r="BA1115">
        <v>1.1200000000000001</v>
      </c>
      <c r="BB1115" t="s">
        <v>143</v>
      </c>
      <c r="BF1115">
        <v>-5.88</v>
      </c>
      <c r="BG1115">
        <v>-7.09</v>
      </c>
      <c r="BH1115">
        <v>-7.63</v>
      </c>
      <c r="BI1115">
        <v>0.86</v>
      </c>
      <c r="BJ1115">
        <v>20210915</v>
      </c>
      <c r="BK1115">
        <v>20150216</v>
      </c>
      <c r="BL1115">
        <v>3.93</v>
      </c>
      <c r="BM1115" t="s">
        <v>120</v>
      </c>
      <c r="BN1115" t="s">
        <v>120</v>
      </c>
      <c r="BO1115">
        <v>27.44</v>
      </c>
      <c r="BP1115">
        <v>22.16</v>
      </c>
      <c r="BQ1115">
        <v>13.42</v>
      </c>
      <c r="BR1115" t="s">
        <v>120</v>
      </c>
      <c r="BS1115">
        <v>51.1</v>
      </c>
      <c r="BT1115">
        <v>16.559999999999999</v>
      </c>
      <c r="BU1115">
        <v>9.32</v>
      </c>
      <c r="BV1115">
        <v>0.23</v>
      </c>
      <c r="BW1115">
        <v>11.54</v>
      </c>
      <c r="BX1115">
        <v>1.34</v>
      </c>
      <c r="BY1115">
        <v>4.4800000000000004</v>
      </c>
      <c r="BZ1115">
        <v>6.59</v>
      </c>
      <c r="CA1115" t="s">
        <v>120</v>
      </c>
      <c r="CB1115">
        <v>3.43</v>
      </c>
      <c r="CC1115">
        <v>11.61</v>
      </c>
      <c r="CD1115">
        <v>9.7100000000000009</v>
      </c>
      <c r="CE1115">
        <v>0.36</v>
      </c>
      <c r="CF1115">
        <v>0</v>
      </c>
      <c r="CG1115">
        <v>0.36</v>
      </c>
      <c r="CH1115">
        <v>0.3</v>
      </c>
      <c r="CI1115">
        <v>0.3</v>
      </c>
      <c r="CJ1115">
        <v>-1.88</v>
      </c>
      <c r="CK1115">
        <v>0.21</v>
      </c>
      <c r="CL1115">
        <v>5.05</v>
      </c>
      <c r="CM1115">
        <v>-0.28999999999999998</v>
      </c>
      <c r="CN1115">
        <v>-1.33</v>
      </c>
      <c r="CO1115">
        <v>26675</v>
      </c>
      <c r="CP1115">
        <v>7847</v>
      </c>
      <c r="CQ1115" t="s">
        <v>6243</v>
      </c>
      <c r="CR1115">
        <v>178.35</v>
      </c>
      <c r="CS1115">
        <v>28.38</v>
      </c>
      <c r="CT1115">
        <v>6.49</v>
      </c>
      <c r="CU1115">
        <v>-303.86</v>
      </c>
      <c r="CV1115">
        <v>7.51</v>
      </c>
      <c r="CW1115">
        <v>0</v>
      </c>
      <c r="CX1115" t="s">
        <v>535</v>
      </c>
      <c r="CY1115">
        <v>3.42</v>
      </c>
      <c r="CZ1115">
        <v>3.42</v>
      </c>
      <c r="DA1115">
        <v>0.87</v>
      </c>
      <c r="DB1115">
        <v>1.28</v>
      </c>
      <c r="DC1115">
        <v>-7.0000000000000007E-2</v>
      </c>
      <c r="DD1115">
        <v>48.9</v>
      </c>
      <c r="DE1115" t="s">
        <v>2033</v>
      </c>
      <c r="DF1115">
        <v>16.39</v>
      </c>
      <c r="DG1115">
        <v>3.12</v>
      </c>
      <c r="DH1115">
        <v>2.59</v>
      </c>
      <c r="DI1115">
        <v>0.5</v>
      </c>
      <c r="DJ1115">
        <v>1012</v>
      </c>
      <c r="DK1115">
        <v>2741</v>
      </c>
      <c r="DL1115">
        <v>20210825</v>
      </c>
      <c r="DM1115">
        <v>25.99</v>
      </c>
      <c r="DN1115">
        <v>-14.74</v>
      </c>
    </row>
    <row r="1116" spans="1:118">
      <c r="A1116" t="str">
        <f>"002742"</f>
        <v>002742</v>
      </c>
      <c r="B1116" t="s">
        <v>6244</v>
      </c>
      <c r="C1116">
        <v>-0.15</v>
      </c>
      <c r="D1116">
        <v>-0.71</v>
      </c>
      <c r="E1116">
        <v>-0.87</v>
      </c>
      <c r="F1116">
        <v>2644</v>
      </c>
      <c r="G1116" t="s">
        <v>6245</v>
      </c>
      <c r="H1116">
        <v>6013.2</v>
      </c>
      <c r="I1116">
        <v>129.19999999999999</v>
      </c>
      <c r="J1116" t="s">
        <v>120</v>
      </c>
      <c r="K1116" t="s">
        <v>6246</v>
      </c>
      <c r="L1116">
        <v>2.11</v>
      </c>
      <c r="M1116">
        <v>6.85</v>
      </c>
      <c r="N1116">
        <v>0.77</v>
      </c>
      <c r="O1116">
        <v>4.5199999999999996</v>
      </c>
      <c r="P1116">
        <v>7.17</v>
      </c>
      <c r="Q1116">
        <v>-0.87</v>
      </c>
      <c r="R1116">
        <v>6.8</v>
      </c>
      <c r="S1116">
        <v>6.8</v>
      </c>
      <c r="T1116">
        <v>86276</v>
      </c>
      <c r="U1116">
        <v>6.87</v>
      </c>
      <c r="V1116">
        <v>6.86</v>
      </c>
      <c r="W1116" t="s">
        <v>120</v>
      </c>
      <c r="X1116" t="s">
        <v>247</v>
      </c>
      <c r="Y1116" t="s">
        <v>883</v>
      </c>
      <c r="Z1116">
        <v>5.39</v>
      </c>
      <c r="AA1116">
        <v>6.97</v>
      </c>
      <c r="AB1116">
        <v>39184</v>
      </c>
      <c r="AC1116">
        <v>47092</v>
      </c>
      <c r="AD1116">
        <v>0.83</v>
      </c>
      <c r="AE1116">
        <v>18</v>
      </c>
      <c r="AF1116">
        <v>103</v>
      </c>
      <c r="AG1116" t="s">
        <v>120</v>
      </c>
      <c r="AH1116">
        <v>0.1</v>
      </c>
      <c r="AI1116" t="s">
        <v>120</v>
      </c>
      <c r="AJ1116">
        <v>4.0999999999999996</v>
      </c>
      <c r="AK1116" t="s">
        <v>6247</v>
      </c>
      <c r="AL1116">
        <v>1.77</v>
      </c>
      <c r="AM1116">
        <v>1784</v>
      </c>
      <c r="AN1116">
        <v>48</v>
      </c>
      <c r="AO1116">
        <v>1.1999999999999999E-3</v>
      </c>
      <c r="AP1116">
        <v>-1</v>
      </c>
      <c r="AQ1116">
        <v>4.41</v>
      </c>
      <c r="AR1116">
        <v>2.2400000000000002</v>
      </c>
      <c r="AS1116">
        <v>17.899999999999999</v>
      </c>
      <c r="AT1116">
        <v>43.3</v>
      </c>
      <c r="AU1116">
        <v>5.55</v>
      </c>
      <c r="AV1116">
        <v>1</v>
      </c>
      <c r="AW1116">
        <v>4.33</v>
      </c>
      <c r="AX1116">
        <v>46.15</v>
      </c>
      <c r="AY1116">
        <v>252.04</v>
      </c>
      <c r="AZ1116">
        <v>40.35</v>
      </c>
      <c r="BA1116">
        <v>0.1</v>
      </c>
      <c r="BB1116" t="s">
        <v>168</v>
      </c>
      <c r="BF1116">
        <v>1.6</v>
      </c>
      <c r="BG1116">
        <v>0.74</v>
      </c>
      <c r="BH1116">
        <v>-4.46</v>
      </c>
      <c r="BI1116">
        <v>0.74</v>
      </c>
      <c r="BJ1116">
        <v>20210826</v>
      </c>
      <c r="BK1116">
        <v>20150217</v>
      </c>
      <c r="BL1116">
        <v>4.32</v>
      </c>
      <c r="BM1116" t="s">
        <v>120</v>
      </c>
      <c r="BN1116" t="s">
        <v>120</v>
      </c>
      <c r="BO1116">
        <v>45.96</v>
      </c>
      <c r="BP1116">
        <v>6.85</v>
      </c>
      <c r="BQ1116">
        <v>14.72</v>
      </c>
      <c r="BR1116">
        <v>2.4700000000000002</v>
      </c>
      <c r="BS1116">
        <v>62.6</v>
      </c>
      <c r="BT1116">
        <v>23.78</v>
      </c>
      <c r="BU1116">
        <v>12.1</v>
      </c>
      <c r="BV1116">
        <v>2.93</v>
      </c>
      <c r="BW1116">
        <v>26</v>
      </c>
      <c r="BX1116">
        <v>3.01</v>
      </c>
      <c r="BY1116">
        <v>3.19</v>
      </c>
      <c r="BZ1116">
        <v>13.33</v>
      </c>
      <c r="CA1116" t="s">
        <v>120</v>
      </c>
      <c r="CB1116">
        <v>2.5499999999999998</v>
      </c>
      <c r="CC1116">
        <v>12.2</v>
      </c>
      <c r="CD1116">
        <v>10</v>
      </c>
      <c r="CE1116">
        <v>0.02</v>
      </c>
      <c r="CF1116">
        <v>0</v>
      </c>
      <c r="CG1116">
        <v>0.01</v>
      </c>
      <c r="CH1116">
        <v>0.02</v>
      </c>
      <c r="CI1116">
        <v>-0.16</v>
      </c>
      <c r="CJ1116">
        <v>-0.01</v>
      </c>
      <c r="CK1116">
        <v>-0.3</v>
      </c>
      <c r="CL1116">
        <v>8.86</v>
      </c>
      <c r="CM1116">
        <v>0.63</v>
      </c>
      <c r="CN1116">
        <v>0.81</v>
      </c>
      <c r="CO1116">
        <v>20298</v>
      </c>
      <c r="CP1116">
        <v>9821</v>
      </c>
      <c r="CQ1116" t="s">
        <v>6248</v>
      </c>
      <c r="CR1116">
        <v>-135.05000000000001</v>
      </c>
      <c r="CS1116">
        <v>7.96</v>
      </c>
      <c r="CT1116">
        <v>2.0099999999999998</v>
      </c>
      <c r="CU1116">
        <v>47.34</v>
      </c>
      <c r="CV1116">
        <v>2.4300000000000002</v>
      </c>
      <c r="CW1116">
        <v>0</v>
      </c>
      <c r="CX1116" t="s">
        <v>2317</v>
      </c>
      <c r="CY1116">
        <v>3.41</v>
      </c>
      <c r="CZ1116">
        <v>0</v>
      </c>
      <c r="DA1116">
        <v>0.59</v>
      </c>
      <c r="DB1116">
        <v>2.0499999999999998</v>
      </c>
      <c r="DC1116">
        <v>0.14000000000000001</v>
      </c>
      <c r="DD1116">
        <v>32.03</v>
      </c>
      <c r="DE1116" t="s">
        <v>6249</v>
      </c>
      <c r="DF1116">
        <v>18.07</v>
      </c>
      <c r="DG1116">
        <v>0.16</v>
      </c>
      <c r="DH1116">
        <v>-1.31</v>
      </c>
      <c r="DI1116">
        <v>0.14000000000000001</v>
      </c>
      <c r="DJ1116">
        <v>3085</v>
      </c>
      <c r="DK1116">
        <v>2742</v>
      </c>
      <c r="DL1116" t="s">
        <v>120</v>
      </c>
      <c r="DM1116" t="s">
        <v>120</v>
      </c>
      <c r="DN1116" t="s">
        <v>120</v>
      </c>
    </row>
    <row r="1117" spans="1:118">
      <c r="A1117" t="str">
        <f>"002743"</f>
        <v>002743</v>
      </c>
      <c r="B1117" t="s">
        <v>6250</v>
      </c>
      <c r="C1117">
        <v>-2.1800000000000002</v>
      </c>
      <c r="D1117">
        <v>-0.11</v>
      </c>
      <c r="E1117">
        <v>-0.73</v>
      </c>
      <c r="F1117">
        <v>741</v>
      </c>
      <c r="G1117" t="s">
        <v>6251</v>
      </c>
      <c r="H1117">
        <v>9626.34</v>
      </c>
      <c r="I1117">
        <v>73.55</v>
      </c>
      <c r="J1117" t="s">
        <v>120</v>
      </c>
      <c r="K1117" t="s">
        <v>2047</v>
      </c>
      <c r="L1117">
        <v>2.83</v>
      </c>
      <c r="M1117">
        <v>8.08</v>
      </c>
      <c r="N1117">
        <v>0.41</v>
      </c>
      <c r="O1117">
        <v>0.85</v>
      </c>
      <c r="P1117">
        <v>8.33</v>
      </c>
      <c r="Q1117">
        <v>-3.03</v>
      </c>
      <c r="R1117">
        <v>8.01</v>
      </c>
      <c r="S1117">
        <v>8.1999999999999993</v>
      </c>
      <c r="T1117">
        <v>118308</v>
      </c>
      <c r="U1117">
        <v>8.08</v>
      </c>
      <c r="V1117">
        <v>8.26</v>
      </c>
      <c r="W1117">
        <v>26.36</v>
      </c>
      <c r="X1117" t="s">
        <v>1925</v>
      </c>
      <c r="Y1117" t="s">
        <v>570</v>
      </c>
      <c r="Z1117">
        <v>3.87</v>
      </c>
      <c r="AA1117">
        <v>8.14</v>
      </c>
      <c r="AB1117">
        <v>67043</v>
      </c>
      <c r="AC1117">
        <v>51265</v>
      </c>
      <c r="AD1117">
        <v>1.31</v>
      </c>
      <c r="AE1117">
        <v>92</v>
      </c>
      <c r="AF1117">
        <v>168</v>
      </c>
      <c r="AG1117" t="s">
        <v>120</v>
      </c>
      <c r="AH1117">
        <v>0.03</v>
      </c>
      <c r="AI1117" t="s">
        <v>120</v>
      </c>
      <c r="AJ1117">
        <v>4.18</v>
      </c>
      <c r="AK1117" t="s">
        <v>5341</v>
      </c>
      <c r="AL1117">
        <v>-0.27</v>
      </c>
      <c r="AM1117">
        <v>2741</v>
      </c>
      <c r="AN1117">
        <v>43</v>
      </c>
      <c r="AO1117">
        <v>1E-3</v>
      </c>
      <c r="AP1117">
        <v>-1</v>
      </c>
      <c r="AQ1117">
        <v>6.03</v>
      </c>
      <c r="AR1117">
        <v>-1.34</v>
      </c>
      <c r="AS1117">
        <v>24.12</v>
      </c>
      <c r="AT1117">
        <v>31.42</v>
      </c>
      <c r="AU1117">
        <v>24.93</v>
      </c>
      <c r="AV1117">
        <v>2</v>
      </c>
      <c r="AW1117">
        <v>4.46</v>
      </c>
      <c r="AX1117">
        <v>60.98</v>
      </c>
      <c r="AY1117">
        <v>24.19</v>
      </c>
      <c r="AZ1117">
        <v>27.05</v>
      </c>
      <c r="BA1117">
        <v>0.83</v>
      </c>
      <c r="BB1117" t="s">
        <v>240</v>
      </c>
      <c r="BF1117">
        <v>-1.49</v>
      </c>
      <c r="BG1117">
        <v>-1.46</v>
      </c>
      <c r="BH1117">
        <v>-3</v>
      </c>
      <c r="BI1117">
        <v>0.87</v>
      </c>
      <c r="BJ1117">
        <v>20210827</v>
      </c>
      <c r="BK1117">
        <v>20150217</v>
      </c>
      <c r="BL1117">
        <v>4.3499999999999996</v>
      </c>
      <c r="BM1117" t="s">
        <v>120</v>
      </c>
      <c r="BN1117" t="s">
        <v>120</v>
      </c>
      <c r="BO1117">
        <v>93.32</v>
      </c>
      <c r="BP1117">
        <v>8.07</v>
      </c>
      <c r="BQ1117">
        <v>29.54</v>
      </c>
      <c r="BR1117">
        <v>0.51</v>
      </c>
      <c r="BS1117">
        <v>67.8</v>
      </c>
      <c r="BT1117">
        <v>74.81</v>
      </c>
      <c r="BU1117">
        <v>14.5</v>
      </c>
      <c r="BV1117">
        <v>1.77</v>
      </c>
      <c r="BW1117">
        <v>55.23</v>
      </c>
      <c r="BX1117">
        <v>13.42</v>
      </c>
      <c r="BY1117">
        <v>4.95</v>
      </c>
      <c r="BZ1117">
        <v>28.18</v>
      </c>
      <c r="CA1117" t="s">
        <v>120</v>
      </c>
      <c r="CB1117">
        <v>17.440000000000001</v>
      </c>
      <c r="CC1117">
        <v>23.83</v>
      </c>
      <c r="CD1117">
        <v>21.08</v>
      </c>
      <c r="CE1117">
        <v>0.79</v>
      </c>
      <c r="CF1117">
        <v>0</v>
      </c>
      <c r="CG1117">
        <v>0.79</v>
      </c>
      <c r="CH1117">
        <v>0.68</v>
      </c>
      <c r="CI1117">
        <v>0.67</v>
      </c>
      <c r="CJ1117">
        <v>-0.18</v>
      </c>
      <c r="CK1117">
        <v>0.63</v>
      </c>
      <c r="CL1117">
        <v>6.93</v>
      </c>
      <c r="CM1117">
        <v>-2.2799999999999998</v>
      </c>
      <c r="CN1117">
        <v>-1.1000000000000001</v>
      </c>
      <c r="CO1117">
        <v>21491</v>
      </c>
      <c r="CP1117">
        <v>12350</v>
      </c>
      <c r="CQ1117" t="s">
        <v>6252</v>
      </c>
      <c r="CR1117">
        <v>30.86</v>
      </c>
      <c r="CS1117">
        <v>52.06</v>
      </c>
      <c r="CT1117">
        <v>1.19</v>
      </c>
      <c r="CU1117">
        <v>-15.41</v>
      </c>
      <c r="CV1117">
        <v>1.48</v>
      </c>
      <c r="CW1117">
        <v>0.75</v>
      </c>
      <c r="CX1117" t="s">
        <v>373</v>
      </c>
      <c r="CY1117">
        <v>6.79</v>
      </c>
      <c r="CZ1117">
        <v>0</v>
      </c>
      <c r="DA1117">
        <v>4.01</v>
      </c>
      <c r="DB1117">
        <v>1.59</v>
      </c>
      <c r="DC1117">
        <v>-0.52</v>
      </c>
      <c r="DD1117">
        <v>31.65</v>
      </c>
      <c r="DE1117" t="s">
        <v>6253</v>
      </c>
      <c r="DF1117">
        <v>11.55</v>
      </c>
      <c r="DG1117">
        <v>3.31</v>
      </c>
      <c r="DH1117">
        <v>2.8</v>
      </c>
      <c r="DI1117">
        <v>0.78</v>
      </c>
      <c r="DJ1117">
        <v>2438</v>
      </c>
      <c r="DK1117">
        <v>2743</v>
      </c>
      <c r="DL1117" t="s">
        <v>120</v>
      </c>
      <c r="DM1117" t="s">
        <v>120</v>
      </c>
      <c r="DN1117" t="s">
        <v>120</v>
      </c>
    </row>
    <row r="1118" spans="1:118">
      <c r="A1118" t="str">
        <f>"002745"</f>
        <v>002745</v>
      </c>
      <c r="B1118" t="s">
        <v>6254</v>
      </c>
      <c r="C1118">
        <v>-3.8</v>
      </c>
      <c r="D1118">
        <v>0.06</v>
      </c>
      <c r="E1118">
        <v>-0.23</v>
      </c>
      <c r="F1118">
        <v>2686</v>
      </c>
      <c r="G1118" t="s">
        <v>6255</v>
      </c>
      <c r="H1118">
        <v>43197.47</v>
      </c>
      <c r="I1118">
        <v>91.61</v>
      </c>
      <c r="J1118" t="s">
        <v>120</v>
      </c>
      <c r="K1118" t="s">
        <v>6256</v>
      </c>
      <c r="L1118">
        <v>2.69</v>
      </c>
      <c r="M1118">
        <v>16.45</v>
      </c>
      <c r="N1118">
        <v>0.98</v>
      </c>
      <c r="O1118">
        <v>0.88</v>
      </c>
      <c r="P1118">
        <v>17.25</v>
      </c>
      <c r="Q1118">
        <v>-4.4400000000000004</v>
      </c>
      <c r="R1118">
        <v>16.34</v>
      </c>
      <c r="S1118">
        <v>17.059999999999999</v>
      </c>
      <c r="T1118">
        <v>258792</v>
      </c>
      <c r="U1118">
        <v>16.46</v>
      </c>
      <c r="V1118">
        <v>17.100000000000001</v>
      </c>
      <c r="W1118">
        <v>18.899999999999999</v>
      </c>
      <c r="X1118" t="s">
        <v>394</v>
      </c>
      <c r="Y1118" t="s">
        <v>547</v>
      </c>
      <c r="Z1118">
        <v>5.32</v>
      </c>
      <c r="AA1118">
        <v>16.690000000000001</v>
      </c>
      <c r="AB1118">
        <v>148761</v>
      </c>
      <c r="AC1118">
        <v>110031</v>
      </c>
      <c r="AD1118">
        <v>1.35</v>
      </c>
      <c r="AE1118">
        <v>732</v>
      </c>
      <c r="AF1118">
        <v>381</v>
      </c>
      <c r="AG1118" t="s">
        <v>120</v>
      </c>
      <c r="AH1118">
        <v>0.01</v>
      </c>
      <c r="AI1118" t="s">
        <v>120</v>
      </c>
      <c r="AJ1118">
        <v>9.6300000000000008</v>
      </c>
      <c r="AK1118" t="s">
        <v>6257</v>
      </c>
      <c r="AL1118">
        <v>-1.89</v>
      </c>
      <c r="AM1118">
        <v>4119</v>
      </c>
      <c r="AN1118">
        <v>63</v>
      </c>
      <c r="AO1118">
        <v>6.9999999999999999E-4</v>
      </c>
      <c r="AP1118">
        <v>-1</v>
      </c>
      <c r="AQ1118">
        <v>1.06</v>
      </c>
      <c r="AR1118">
        <v>-4.97</v>
      </c>
      <c r="AS1118">
        <v>-3.52</v>
      </c>
      <c r="AT1118">
        <v>19.46</v>
      </c>
      <c r="AU1118">
        <v>13.73</v>
      </c>
      <c r="AV1118">
        <v>0</v>
      </c>
      <c r="AW1118">
        <v>3.69</v>
      </c>
      <c r="AX1118">
        <v>47.19</v>
      </c>
      <c r="AY1118">
        <v>35.36</v>
      </c>
      <c r="AZ1118">
        <v>84.11</v>
      </c>
      <c r="BA1118">
        <v>0.64</v>
      </c>
      <c r="BB1118" t="s">
        <v>143</v>
      </c>
      <c r="BF1118">
        <v>-2.39</v>
      </c>
      <c r="BG1118">
        <v>-3.58</v>
      </c>
      <c r="BH1118">
        <v>-4.6399999999999997</v>
      </c>
      <c r="BI1118">
        <v>0.67</v>
      </c>
      <c r="BJ1118">
        <v>20210825</v>
      </c>
      <c r="BK1118">
        <v>20150217</v>
      </c>
      <c r="BL1118">
        <v>14.84</v>
      </c>
      <c r="BM1118" t="s">
        <v>120</v>
      </c>
      <c r="BN1118" t="s">
        <v>120</v>
      </c>
      <c r="BO1118">
        <v>304.74</v>
      </c>
      <c r="BP1118">
        <v>16.45</v>
      </c>
      <c r="BQ1118">
        <v>129.25</v>
      </c>
      <c r="BR1118">
        <v>0.67</v>
      </c>
      <c r="BS1118">
        <v>57.37</v>
      </c>
      <c r="BT1118">
        <v>165.84</v>
      </c>
      <c r="BU1118">
        <v>60.46</v>
      </c>
      <c r="BV1118">
        <v>8.41</v>
      </c>
      <c r="BW1118">
        <v>135.35</v>
      </c>
      <c r="BX1118">
        <v>67.989999999999995</v>
      </c>
      <c r="BY1118">
        <v>30.08</v>
      </c>
      <c r="BZ1118">
        <v>37.31</v>
      </c>
      <c r="CA1118" t="s">
        <v>120</v>
      </c>
      <c r="CB1118">
        <v>79.849999999999994</v>
      </c>
      <c r="CC1118">
        <v>91.27</v>
      </c>
      <c r="CD1118">
        <v>61</v>
      </c>
      <c r="CE1118">
        <v>8.07</v>
      </c>
      <c r="CF1118">
        <v>0.53</v>
      </c>
      <c r="CG1118">
        <v>7.96</v>
      </c>
      <c r="CH1118">
        <v>6.54</v>
      </c>
      <c r="CI1118">
        <v>6.46</v>
      </c>
      <c r="CJ1118">
        <v>-0.65</v>
      </c>
      <c r="CK1118">
        <v>5.76</v>
      </c>
      <c r="CL1118">
        <v>33.03</v>
      </c>
      <c r="CM1118">
        <v>13.57</v>
      </c>
      <c r="CN1118">
        <v>0.97</v>
      </c>
      <c r="CO1118">
        <v>55483</v>
      </c>
      <c r="CP1118">
        <v>12624</v>
      </c>
      <c r="CQ1118" t="s">
        <v>3357</v>
      </c>
      <c r="CR1118">
        <v>180.79</v>
      </c>
      <c r="CS1118">
        <v>28.06</v>
      </c>
      <c r="CT1118">
        <v>1.89</v>
      </c>
      <c r="CU1118">
        <v>17.989999999999998</v>
      </c>
      <c r="CV1118">
        <v>2.67</v>
      </c>
      <c r="CW1118">
        <v>0.74</v>
      </c>
      <c r="CX1118" t="s">
        <v>194</v>
      </c>
      <c r="CY1118">
        <v>8.7100000000000009</v>
      </c>
      <c r="CZ1118">
        <v>0</v>
      </c>
      <c r="DA1118">
        <v>5.38</v>
      </c>
      <c r="DB1118">
        <v>2.23</v>
      </c>
      <c r="DC1118">
        <v>0.91</v>
      </c>
      <c r="DD1118">
        <v>42.41</v>
      </c>
      <c r="DE1118" t="s">
        <v>6258</v>
      </c>
      <c r="DF1118">
        <v>33.17</v>
      </c>
      <c r="DG1118">
        <v>8.84</v>
      </c>
      <c r="DH1118">
        <v>7.08</v>
      </c>
      <c r="DI1118">
        <v>2.83</v>
      </c>
      <c r="DJ1118">
        <v>19022</v>
      </c>
      <c r="DK1118">
        <v>2745</v>
      </c>
      <c r="DL1118" t="s">
        <v>120</v>
      </c>
      <c r="DM1118" t="s">
        <v>120</v>
      </c>
      <c r="DN1118" t="s">
        <v>120</v>
      </c>
    </row>
    <row r="1119" spans="1:118">
      <c r="A1119" t="str">
        <f>"002746"</f>
        <v>002746</v>
      </c>
      <c r="B1119" t="s">
        <v>6259</v>
      </c>
      <c r="C1119">
        <v>4.26</v>
      </c>
      <c r="D1119">
        <v>0</v>
      </c>
      <c r="E1119">
        <v>0</v>
      </c>
      <c r="F1119">
        <v>2428</v>
      </c>
      <c r="G1119" t="s">
        <v>5853</v>
      </c>
      <c r="H1119">
        <v>7794.81</v>
      </c>
      <c r="I1119">
        <v>6.74</v>
      </c>
      <c r="J1119" t="s">
        <v>120</v>
      </c>
      <c r="K1119" t="s">
        <v>6260</v>
      </c>
      <c r="L1119">
        <v>1.56</v>
      </c>
      <c r="M1119">
        <v>7.1</v>
      </c>
      <c r="N1119">
        <v>2.1</v>
      </c>
      <c r="O1119">
        <v>5.14</v>
      </c>
      <c r="P1119">
        <v>7.16</v>
      </c>
      <c r="Q1119">
        <v>-0.15</v>
      </c>
      <c r="R1119">
        <v>6.8</v>
      </c>
      <c r="S1119">
        <v>6.81</v>
      </c>
      <c r="T1119">
        <v>111034</v>
      </c>
      <c r="U1119">
        <v>7.1</v>
      </c>
      <c r="V1119">
        <v>6.81</v>
      </c>
      <c r="W1119">
        <v>25.05</v>
      </c>
      <c r="X1119" t="s">
        <v>447</v>
      </c>
      <c r="Y1119" t="s">
        <v>638</v>
      </c>
      <c r="Z1119">
        <v>5.29</v>
      </c>
      <c r="AA1119">
        <v>7.02</v>
      </c>
      <c r="AB1119">
        <v>40116</v>
      </c>
      <c r="AC1119">
        <v>70918</v>
      </c>
      <c r="AD1119">
        <v>0.56999999999999995</v>
      </c>
      <c r="AE1119">
        <v>86</v>
      </c>
      <c r="AF1119">
        <v>209</v>
      </c>
      <c r="AG1119" t="s">
        <v>120</v>
      </c>
      <c r="AH1119">
        <v>0</v>
      </c>
      <c r="AI1119" t="s">
        <v>120</v>
      </c>
      <c r="AJ1119">
        <v>7.1</v>
      </c>
      <c r="AK1119" t="s">
        <v>2106</v>
      </c>
      <c r="AL1119">
        <v>6.17</v>
      </c>
      <c r="AM1119">
        <v>2061</v>
      </c>
      <c r="AN1119">
        <v>54</v>
      </c>
      <c r="AO1119">
        <v>8.0000000000000004E-4</v>
      </c>
      <c r="AP1119">
        <v>1</v>
      </c>
      <c r="AQ1119">
        <v>-1.02</v>
      </c>
      <c r="AR1119">
        <v>2.0099999999999998</v>
      </c>
      <c r="AS1119">
        <v>-0.28000000000000003</v>
      </c>
      <c r="AT1119">
        <v>7.42</v>
      </c>
      <c r="AU1119">
        <v>-5.42</v>
      </c>
      <c r="AV1119">
        <v>0</v>
      </c>
      <c r="AW1119">
        <v>2.33</v>
      </c>
      <c r="AX1119">
        <v>55.29</v>
      </c>
      <c r="AY1119">
        <v>29.91</v>
      </c>
      <c r="AZ1119">
        <v>16.62</v>
      </c>
      <c r="BA1119">
        <v>0.24</v>
      </c>
      <c r="BB1119" t="s">
        <v>125</v>
      </c>
      <c r="BF1119">
        <v>3.09</v>
      </c>
      <c r="BG1119">
        <v>4.26</v>
      </c>
      <c r="BH1119">
        <v>-0.84</v>
      </c>
      <c r="BI1119">
        <v>4.41</v>
      </c>
      <c r="BJ1119">
        <v>20210830</v>
      </c>
      <c r="BK1119">
        <v>20150216</v>
      </c>
      <c r="BL1119">
        <v>8.61</v>
      </c>
      <c r="BM1119" t="s">
        <v>120</v>
      </c>
      <c r="BN1119" t="s">
        <v>120</v>
      </c>
      <c r="BO1119">
        <v>55.62</v>
      </c>
      <c r="BP1119">
        <v>7.09</v>
      </c>
      <c r="BQ1119">
        <v>44.42</v>
      </c>
      <c r="BR1119">
        <v>1.48</v>
      </c>
      <c r="BS1119">
        <v>17.47</v>
      </c>
      <c r="BT1119">
        <v>39.520000000000003</v>
      </c>
      <c r="BU1119">
        <v>9.44</v>
      </c>
      <c r="BV1119">
        <v>1.24</v>
      </c>
      <c r="BW1119">
        <v>9.25</v>
      </c>
      <c r="BX1119">
        <v>4.09</v>
      </c>
      <c r="BY1119">
        <v>5.53</v>
      </c>
      <c r="BZ1119">
        <v>0.69</v>
      </c>
      <c r="CA1119" t="s">
        <v>120</v>
      </c>
      <c r="CB1119">
        <v>15.38</v>
      </c>
      <c r="CC1119">
        <v>14.45</v>
      </c>
      <c r="CD1119">
        <v>13.4</v>
      </c>
      <c r="CE1119">
        <v>1.35</v>
      </c>
      <c r="CF1119">
        <v>0.43</v>
      </c>
      <c r="CG1119">
        <v>1.3</v>
      </c>
      <c r="CH1119">
        <v>1.3</v>
      </c>
      <c r="CI1119">
        <v>1.22</v>
      </c>
      <c r="CJ1119">
        <v>0.28999999999999998</v>
      </c>
      <c r="CK1119">
        <v>0.57999999999999996</v>
      </c>
      <c r="CL1119">
        <v>18.399999999999999</v>
      </c>
      <c r="CM1119">
        <v>-0.49</v>
      </c>
      <c r="CN1119">
        <v>-7.68</v>
      </c>
      <c r="CO1119">
        <v>35814</v>
      </c>
      <c r="CP1119">
        <v>13285</v>
      </c>
      <c r="CQ1119" t="s">
        <v>6261</v>
      </c>
      <c r="CR1119">
        <v>-56.22</v>
      </c>
      <c r="CS1119">
        <v>-5.72</v>
      </c>
      <c r="CT1119">
        <v>1.38</v>
      </c>
      <c r="CU1119">
        <v>-125.85</v>
      </c>
      <c r="CV1119">
        <v>4.2300000000000004</v>
      </c>
      <c r="CW1119">
        <v>2.94</v>
      </c>
      <c r="CX1119" t="s">
        <v>300</v>
      </c>
      <c r="CY1119">
        <v>5.16</v>
      </c>
      <c r="CZ1119">
        <v>0</v>
      </c>
      <c r="DA1119">
        <v>1.79</v>
      </c>
      <c r="DB1119">
        <v>2.14</v>
      </c>
      <c r="DC1119">
        <v>-0.06</v>
      </c>
      <c r="DD1119">
        <v>79.87</v>
      </c>
      <c r="DE1119" t="s">
        <v>1868</v>
      </c>
      <c r="DF1119">
        <v>7.29</v>
      </c>
      <c r="DG1119">
        <v>9.34</v>
      </c>
      <c r="DH1119">
        <v>8.44</v>
      </c>
      <c r="DI1119">
        <v>0.01</v>
      </c>
      <c r="DJ1119">
        <v>5351</v>
      </c>
      <c r="DK1119">
        <v>2746</v>
      </c>
      <c r="DL1119" t="s">
        <v>120</v>
      </c>
      <c r="DM1119" t="s">
        <v>120</v>
      </c>
      <c r="DN1119" t="s">
        <v>120</v>
      </c>
    </row>
    <row r="1120" spans="1:118">
      <c r="A1120" t="str">
        <f>"002747"</f>
        <v>002747</v>
      </c>
      <c r="B1120" t="s">
        <v>6262</v>
      </c>
      <c r="C1120">
        <v>-1.4</v>
      </c>
      <c r="D1120">
        <v>2.33</v>
      </c>
      <c r="E1120">
        <v>-0.2</v>
      </c>
      <c r="F1120">
        <v>5042</v>
      </c>
      <c r="G1120" t="s">
        <v>6263</v>
      </c>
      <c r="H1120">
        <v>38166.720000000001</v>
      </c>
      <c r="I1120">
        <v>68.48</v>
      </c>
      <c r="J1120" t="s">
        <v>120</v>
      </c>
      <c r="K1120" t="s">
        <v>6264</v>
      </c>
      <c r="L1120">
        <v>2.13</v>
      </c>
      <c r="M1120">
        <v>24.6</v>
      </c>
      <c r="N1120">
        <v>1.0900000000000001</v>
      </c>
      <c r="O1120">
        <v>-0.16</v>
      </c>
      <c r="P1120">
        <v>24.91</v>
      </c>
      <c r="Q1120">
        <v>-5.01</v>
      </c>
      <c r="R1120">
        <v>23.7</v>
      </c>
      <c r="S1120">
        <v>24.9</v>
      </c>
      <c r="T1120">
        <v>157827</v>
      </c>
      <c r="U1120">
        <v>24.6</v>
      </c>
      <c r="V1120">
        <v>24.95</v>
      </c>
      <c r="W1120">
        <v>169.88</v>
      </c>
      <c r="X1120" t="s">
        <v>959</v>
      </c>
      <c r="Y1120" t="s">
        <v>319</v>
      </c>
      <c r="Z1120">
        <v>4.8499999999999996</v>
      </c>
      <c r="AA1120">
        <v>24.18</v>
      </c>
      <c r="AB1120">
        <v>103297</v>
      </c>
      <c r="AC1120">
        <v>54530</v>
      </c>
      <c r="AD1120">
        <v>1.89</v>
      </c>
      <c r="AE1120">
        <v>757</v>
      </c>
      <c r="AF1120">
        <v>127</v>
      </c>
      <c r="AG1120" t="s">
        <v>120</v>
      </c>
      <c r="AH1120">
        <v>0.01</v>
      </c>
      <c r="AI1120" t="s">
        <v>120</v>
      </c>
      <c r="AJ1120">
        <v>7.4</v>
      </c>
      <c r="AK1120" t="s">
        <v>6265</v>
      </c>
      <c r="AL1120">
        <v>0.51</v>
      </c>
      <c r="AM1120">
        <v>4197</v>
      </c>
      <c r="AN1120">
        <v>38</v>
      </c>
      <c r="AO1120">
        <v>5.0000000000000001E-4</v>
      </c>
      <c r="AP1120">
        <v>-2</v>
      </c>
      <c r="AQ1120">
        <v>-2.16</v>
      </c>
      <c r="AR1120">
        <v>-2.92</v>
      </c>
      <c r="AS1120">
        <v>-20.95</v>
      </c>
      <c r="AT1120">
        <v>-33.33</v>
      </c>
      <c r="AU1120">
        <v>-17.5</v>
      </c>
      <c r="AV1120">
        <v>5</v>
      </c>
      <c r="AW1120">
        <v>3.48</v>
      </c>
      <c r="AX1120">
        <v>52.26</v>
      </c>
      <c r="AY1120">
        <v>167.52</v>
      </c>
      <c r="AZ1120">
        <v>169.16</v>
      </c>
      <c r="BA1120">
        <v>1.43</v>
      </c>
      <c r="BB1120" t="s">
        <v>134</v>
      </c>
      <c r="BF1120">
        <v>-3.08</v>
      </c>
      <c r="BG1120">
        <v>-1.2</v>
      </c>
      <c r="BH1120">
        <v>-1.24</v>
      </c>
      <c r="BI1120">
        <v>3.8</v>
      </c>
      <c r="BJ1120">
        <v>20210831</v>
      </c>
      <c r="BK1120">
        <v>20150320</v>
      </c>
      <c r="BL1120">
        <v>8.69</v>
      </c>
      <c r="BM1120" t="s">
        <v>120</v>
      </c>
      <c r="BN1120" t="s">
        <v>120</v>
      </c>
      <c r="BO1120">
        <v>67.010000000000005</v>
      </c>
      <c r="BP1120">
        <v>24.52</v>
      </c>
      <c r="BQ1120">
        <v>25.86</v>
      </c>
      <c r="BR1120" t="s">
        <v>120</v>
      </c>
      <c r="BS1120">
        <v>61.41</v>
      </c>
      <c r="BT1120">
        <v>34.69</v>
      </c>
      <c r="BU1120">
        <v>5.21</v>
      </c>
      <c r="BV1120">
        <v>4.6100000000000003</v>
      </c>
      <c r="BW1120">
        <v>21.42</v>
      </c>
      <c r="BX1120">
        <v>13.88</v>
      </c>
      <c r="BY1120">
        <v>7.6</v>
      </c>
      <c r="BZ1120">
        <v>7.26</v>
      </c>
      <c r="CA1120" t="s">
        <v>120</v>
      </c>
      <c r="CB1120">
        <v>12.68</v>
      </c>
      <c r="CC1120">
        <v>15.62</v>
      </c>
      <c r="CD1120">
        <v>10.43</v>
      </c>
      <c r="CE1120">
        <v>0.68</v>
      </c>
      <c r="CF1120">
        <v>-0.02</v>
      </c>
      <c r="CG1120">
        <v>0.75</v>
      </c>
      <c r="CH1120">
        <v>0.74</v>
      </c>
      <c r="CI1120">
        <v>0.63</v>
      </c>
      <c r="CJ1120">
        <v>-0.35</v>
      </c>
      <c r="CK1120">
        <v>0.48</v>
      </c>
      <c r="CL1120">
        <v>4.7300000000000004</v>
      </c>
      <c r="CM1120">
        <v>-0.01</v>
      </c>
      <c r="CN1120">
        <v>7.9</v>
      </c>
      <c r="CO1120">
        <v>24062</v>
      </c>
      <c r="CP1120">
        <v>18866</v>
      </c>
      <c r="CQ1120" t="s">
        <v>6266</v>
      </c>
      <c r="CR1120">
        <v>2.0299999999999998</v>
      </c>
      <c r="CS1120">
        <v>33.17</v>
      </c>
      <c r="CT1120">
        <v>8.27</v>
      </c>
      <c r="CU1120">
        <v>-26005.24</v>
      </c>
      <c r="CV1120">
        <v>13.68</v>
      </c>
      <c r="CW1120">
        <v>0.18</v>
      </c>
      <c r="CX1120" t="s">
        <v>679</v>
      </c>
      <c r="CY1120">
        <v>2.98</v>
      </c>
      <c r="CZ1120">
        <v>2.98</v>
      </c>
      <c r="DA1120">
        <v>1.46</v>
      </c>
      <c r="DB1120">
        <v>0.54</v>
      </c>
      <c r="DC1120">
        <v>0</v>
      </c>
      <c r="DD1120">
        <v>38.590000000000003</v>
      </c>
      <c r="DE1120" t="s">
        <v>3817</v>
      </c>
      <c r="DF1120">
        <v>33.21</v>
      </c>
      <c r="DG1120">
        <v>4.33</v>
      </c>
      <c r="DH1120">
        <v>4.03</v>
      </c>
      <c r="DI1120">
        <v>1.1499999999999999</v>
      </c>
      <c r="DJ1120">
        <v>2596</v>
      </c>
      <c r="DK1120">
        <v>2747</v>
      </c>
      <c r="DL1120" t="s">
        <v>120</v>
      </c>
      <c r="DM1120" t="s">
        <v>120</v>
      </c>
      <c r="DN1120" t="s">
        <v>120</v>
      </c>
    </row>
    <row r="1121" spans="1:118">
      <c r="A1121" t="str">
        <f>"002748"</f>
        <v>002748</v>
      </c>
      <c r="B1121" t="s">
        <v>6267</v>
      </c>
      <c r="C1121">
        <v>6.39</v>
      </c>
      <c r="D1121">
        <v>-0.14000000000000001</v>
      </c>
      <c r="E1121">
        <v>0.49</v>
      </c>
      <c r="F1121">
        <v>3233</v>
      </c>
      <c r="G1121" t="s">
        <v>6268</v>
      </c>
      <c r="H1121">
        <v>55126.28</v>
      </c>
      <c r="I1121">
        <v>777.92</v>
      </c>
      <c r="J1121" t="s">
        <v>120</v>
      </c>
      <c r="K1121" t="s">
        <v>2823</v>
      </c>
      <c r="L1121">
        <v>17.829999999999998</v>
      </c>
      <c r="M1121">
        <v>12.99</v>
      </c>
      <c r="N1121">
        <v>1.74</v>
      </c>
      <c r="O1121">
        <v>9.99</v>
      </c>
      <c r="P1121">
        <v>13.43</v>
      </c>
      <c r="Q1121">
        <v>-3.19</v>
      </c>
      <c r="R1121">
        <v>11.82</v>
      </c>
      <c r="S1121">
        <v>12.27</v>
      </c>
      <c r="T1121">
        <v>427808</v>
      </c>
      <c r="U1121">
        <v>12.99</v>
      </c>
      <c r="V1121">
        <v>12.21</v>
      </c>
      <c r="W1121">
        <v>58.27</v>
      </c>
      <c r="X1121" t="s">
        <v>868</v>
      </c>
      <c r="Y1121" t="s">
        <v>676</v>
      </c>
      <c r="Z1121">
        <v>13.19</v>
      </c>
      <c r="AA1121">
        <v>12.89</v>
      </c>
      <c r="AB1121">
        <v>250120</v>
      </c>
      <c r="AC1121">
        <v>177688</v>
      </c>
      <c r="AD1121">
        <v>1.41</v>
      </c>
      <c r="AE1121">
        <v>26</v>
      </c>
      <c r="AF1121">
        <v>283</v>
      </c>
      <c r="AG1121" t="s">
        <v>120</v>
      </c>
      <c r="AH1121">
        <v>0.69</v>
      </c>
      <c r="AI1121" t="s">
        <v>120</v>
      </c>
      <c r="AJ1121">
        <v>2.4</v>
      </c>
      <c r="AK1121" t="s">
        <v>2823</v>
      </c>
      <c r="AL1121">
        <v>8.3000000000000007</v>
      </c>
      <c r="AM1121">
        <v>3902</v>
      </c>
      <c r="AN1121">
        <v>110</v>
      </c>
      <c r="AO1121">
        <v>4.5999999999999999E-3</v>
      </c>
      <c r="AP1121">
        <v>1</v>
      </c>
      <c r="AQ1121">
        <v>-5.64</v>
      </c>
      <c r="AR1121">
        <v>4.34</v>
      </c>
      <c r="AS1121">
        <v>64.430000000000007</v>
      </c>
      <c r="AT1121">
        <v>105.54</v>
      </c>
      <c r="AU1121">
        <v>108.51</v>
      </c>
      <c r="AV1121">
        <v>5</v>
      </c>
      <c r="AW1121">
        <v>46.41</v>
      </c>
      <c r="AX1121">
        <v>38.409999999999997</v>
      </c>
      <c r="AY1121" t="s">
        <v>120</v>
      </c>
      <c r="AZ1121" t="s">
        <v>120</v>
      </c>
      <c r="BA1121">
        <v>0.69</v>
      </c>
      <c r="BB1121" t="s">
        <v>184</v>
      </c>
      <c r="BF1121">
        <v>5.53</v>
      </c>
      <c r="BG1121">
        <v>5.87</v>
      </c>
      <c r="BH1121">
        <v>-3.28</v>
      </c>
      <c r="BI1121">
        <v>9.9</v>
      </c>
      <c r="BJ1121">
        <v>20210902</v>
      </c>
      <c r="BK1121">
        <v>20150319</v>
      </c>
      <c r="BL1121">
        <v>2.4</v>
      </c>
      <c r="BM1121" t="s">
        <v>120</v>
      </c>
      <c r="BN1121" t="s">
        <v>120</v>
      </c>
      <c r="BO1121">
        <v>17.77</v>
      </c>
      <c r="BP1121">
        <v>12.92</v>
      </c>
      <c r="BQ1121">
        <v>9.9700000000000006</v>
      </c>
      <c r="BR1121">
        <v>0.35</v>
      </c>
      <c r="BS1121">
        <v>41.88</v>
      </c>
      <c r="BT1121">
        <v>3.58</v>
      </c>
      <c r="BU1121">
        <v>11.56</v>
      </c>
      <c r="BV1121">
        <v>0.78</v>
      </c>
      <c r="BW1121">
        <v>4.53</v>
      </c>
      <c r="BX1121">
        <v>0.75</v>
      </c>
      <c r="BY1121">
        <v>1.08</v>
      </c>
      <c r="BZ1121">
        <v>0.5</v>
      </c>
      <c r="CA1121" t="s">
        <v>120</v>
      </c>
      <c r="CB1121">
        <v>3.33</v>
      </c>
      <c r="CC1121">
        <v>8.1999999999999993</v>
      </c>
      <c r="CD1121">
        <v>7.01</v>
      </c>
      <c r="CE1121">
        <v>0.31</v>
      </c>
      <c r="CF1121">
        <v>0</v>
      </c>
      <c r="CG1121">
        <v>0.31</v>
      </c>
      <c r="CH1121">
        <v>0.26</v>
      </c>
      <c r="CI1121">
        <v>0.27</v>
      </c>
      <c r="CJ1121">
        <v>0.78</v>
      </c>
      <c r="CK1121">
        <v>0.25</v>
      </c>
      <c r="CL1121">
        <v>3.43</v>
      </c>
      <c r="CM1121">
        <v>1.45</v>
      </c>
      <c r="CN1121">
        <v>-0.32</v>
      </c>
      <c r="CO1121">
        <v>11800</v>
      </c>
      <c r="CP1121">
        <v>7812</v>
      </c>
      <c r="CQ1121" t="s">
        <v>6269</v>
      </c>
      <c r="CR1121">
        <v>192.91</v>
      </c>
      <c r="CS1121">
        <v>13.88</v>
      </c>
      <c r="CT1121">
        <v>3.13</v>
      </c>
      <c r="CU1121">
        <v>21.52</v>
      </c>
      <c r="CV1121">
        <v>3.8</v>
      </c>
      <c r="CW1121">
        <v>0</v>
      </c>
      <c r="CX1121" t="s">
        <v>1140</v>
      </c>
      <c r="CY1121">
        <v>4.16</v>
      </c>
      <c r="CZ1121">
        <v>0</v>
      </c>
      <c r="DA1121">
        <v>1.39</v>
      </c>
      <c r="DB1121">
        <v>1.43</v>
      </c>
      <c r="DC1121">
        <v>0.6</v>
      </c>
      <c r="DD1121">
        <v>56.12</v>
      </c>
      <c r="DE1121" t="s">
        <v>1161</v>
      </c>
      <c r="DF1121">
        <v>14.46</v>
      </c>
      <c r="DG1121">
        <v>3.83</v>
      </c>
      <c r="DH1121">
        <v>3.26</v>
      </c>
      <c r="DI1121">
        <v>0.06</v>
      </c>
      <c r="DJ1121">
        <v>1490</v>
      </c>
      <c r="DK1121">
        <v>2748</v>
      </c>
      <c r="DL1121">
        <v>20210913</v>
      </c>
      <c r="DM1121">
        <v>12.45</v>
      </c>
      <c r="DN1121">
        <v>4.34</v>
      </c>
    </row>
    <row r="1122" spans="1:118">
      <c r="A1122" t="str">
        <f>"002749"</f>
        <v>002749</v>
      </c>
      <c r="B1122" t="s">
        <v>6270</v>
      </c>
      <c r="C1122">
        <v>-0.69</v>
      </c>
      <c r="D1122">
        <v>0.1</v>
      </c>
      <c r="E1122">
        <v>-0.3</v>
      </c>
      <c r="F1122">
        <v>409</v>
      </c>
      <c r="G1122" t="s">
        <v>6271</v>
      </c>
      <c r="H1122">
        <v>3316.92</v>
      </c>
      <c r="I1122">
        <v>4.04</v>
      </c>
      <c r="J1122" t="s">
        <v>120</v>
      </c>
      <c r="K1122" t="s">
        <v>6272</v>
      </c>
      <c r="L1122">
        <v>1.18</v>
      </c>
      <c r="M1122">
        <v>10.07</v>
      </c>
      <c r="N1122">
        <v>1.62</v>
      </c>
      <c r="O1122">
        <v>1.97</v>
      </c>
      <c r="P1122">
        <v>10.34</v>
      </c>
      <c r="Q1122">
        <v>-2.0699999999999998</v>
      </c>
      <c r="R1122">
        <v>9.93</v>
      </c>
      <c r="S1122">
        <v>10.11</v>
      </c>
      <c r="T1122">
        <v>32712</v>
      </c>
      <c r="U1122">
        <v>10.08</v>
      </c>
      <c r="V1122">
        <v>10.14</v>
      </c>
      <c r="W1122">
        <v>15.04</v>
      </c>
      <c r="X1122" t="s">
        <v>690</v>
      </c>
      <c r="Y1122" t="s">
        <v>578</v>
      </c>
      <c r="Z1122">
        <v>4.04</v>
      </c>
      <c r="AA1122">
        <v>10.14</v>
      </c>
      <c r="AB1122">
        <v>19154</v>
      </c>
      <c r="AC1122">
        <v>13558</v>
      </c>
      <c r="AD1122">
        <v>1.41</v>
      </c>
      <c r="AE1122">
        <v>88</v>
      </c>
      <c r="AF1122">
        <v>12</v>
      </c>
      <c r="AG1122" t="s">
        <v>120</v>
      </c>
      <c r="AH1122">
        <v>0</v>
      </c>
      <c r="AI1122" t="s">
        <v>120</v>
      </c>
      <c r="AJ1122">
        <v>2.77</v>
      </c>
      <c r="AK1122" t="s">
        <v>6273</v>
      </c>
      <c r="AL1122">
        <v>1.22</v>
      </c>
      <c r="AM1122">
        <v>1560</v>
      </c>
      <c r="AN1122">
        <v>21</v>
      </c>
      <c r="AO1122">
        <v>8.0000000000000004E-4</v>
      </c>
      <c r="AP1122">
        <v>-1</v>
      </c>
      <c r="AQ1122">
        <v>3.26</v>
      </c>
      <c r="AR1122">
        <v>3.82</v>
      </c>
      <c r="AS1122">
        <v>11.64</v>
      </c>
      <c r="AT1122">
        <v>8.17</v>
      </c>
      <c r="AU1122">
        <v>-5.88</v>
      </c>
      <c r="AV1122">
        <v>0</v>
      </c>
      <c r="AW1122">
        <v>2.19</v>
      </c>
      <c r="AX1122">
        <v>34.26</v>
      </c>
      <c r="AY1122">
        <v>26.88</v>
      </c>
      <c r="AZ1122">
        <v>25.86</v>
      </c>
      <c r="BA1122">
        <v>0.28000000000000003</v>
      </c>
      <c r="BB1122" t="s">
        <v>700</v>
      </c>
      <c r="BF1122">
        <v>0</v>
      </c>
      <c r="BG1122">
        <v>-0.4</v>
      </c>
      <c r="BH1122">
        <v>-2.61</v>
      </c>
      <c r="BI1122">
        <v>1.41</v>
      </c>
      <c r="BJ1122">
        <v>20210909</v>
      </c>
      <c r="BK1122">
        <v>20150320</v>
      </c>
      <c r="BL1122">
        <v>4.3600000000000003</v>
      </c>
      <c r="BM1122" t="s">
        <v>120</v>
      </c>
      <c r="BN1122" t="s">
        <v>120</v>
      </c>
      <c r="BO1122">
        <v>18.61</v>
      </c>
      <c r="BP1122">
        <v>10.07</v>
      </c>
      <c r="BQ1122">
        <v>13.3</v>
      </c>
      <c r="BR1122">
        <v>0.09</v>
      </c>
      <c r="BS1122">
        <v>28.01</v>
      </c>
      <c r="BT1122">
        <v>14.14</v>
      </c>
      <c r="BU1122">
        <v>3.14</v>
      </c>
      <c r="BV1122">
        <v>0.7</v>
      </c>
      <c r="BW1122">
        <v>2.2400000000000002</v>
      </c>
      <c r="BX1122">
        <v>10.02</v>
      </c>
      <c r="BY1122">
        <v>2.76</v>
      </c>
      <c r="BZ1122">
        <v>0.43</v>
      </c>
      <c r="CA1122" t="s">
        <v>120</v>
      </c>
      <c r="CB1122">
        <v>0.47</v>
      </c>
      <c r="CC1122">
        <v>6.53</v>
      </c>
      <c r="CD1122">
        <v>3.35</v>
      </c>
      <c r="CE1122">
        <v>1.71</v>
      </c>
      <c r="CF1122">
        <v>0</v>
      </c>
      <c r="CG1122">
        <v>1.71</v>
      </c>
      <c r="CH1122">
        <v>1.45</v>
      </c>
      <c r="CI1122">
        <v>1.46</v>
      </c>
      <c r="CJ1122">
        <v>-7.0000000000000007E-2</v>
      </c>
      <c r="CK1122">
        <v>1.43</v>
      </c>
      <c r="CL1122">
        <v>7.14</v>
      </c>
      <c r="CM1122">
        <v>1.68</v>
      </c>
      <c r="CN1122">
        <v>0.42</v>
      </c>
      <c r="CO1122">
        <v>12411</v>
      </c>
      <c r="CP1122">
        <v>12027</v>
      </c>
      <c r="CQ1122" t="s">
        <v>4532</v>
      </c>
      <c r="CR1122">
        <v>-4.2699999999999996</v>
      </c>
      <c r="CS1122">
        <v>8.1199999999999992</v>
      </c>
      <c r="CT1122">
        <v>3.47</v>
      </c>
      <c r="CU1122">
        <v>26.11</v>
      </c>
      <c r="CV1122">
        <v>6.72</v>
      </c>
      <c r="CW1122">
        <v>2.17</v>
      </c>
      <c r="CX1122" t="s">
        <v>1574</v>
      </c>
      <c r="CY1122">
        <v>2.9</v>
      </c>
      <c r="CZ1122">
        <v>2.9</v>
      </c>
      <c r="DA1122">
        <v>0.11</v>
      </c>
      <c r="DB1122">
        <v>1.64</v>
      </c>
      <c r="DC1122">
        <v>0.39</v>
      </c>
      <c r="DD1122">
        <v>71.48</v>
      </c>
      <c r="DE1122" t="s">
        <v>6274</v>
      </c>
      <c r="DF1122">
        <v>48.61</v>
      </c>
      <c r="DG1122">
        <v>26.21</v>
      </c>
      <c r="DH1122">
        <v>22.34</v>
      </c>
      <c r="DI1122">
        <v>0.2</v>
      </c>
      <c r="DJ1122">
        <v>1453</v>
      </c>
      <c r="DK1122">
        <v>2749</v>
      </c>
      <c r="DL1122" t="s">
        <v>120</v>
      </c>
      <c r="DM1122" t="s">
        <v>120</v>
      </c>
      <c r="DN1122" t="s">
        <v>120</v>
      </c>
    </row>
    <row r="1123" spans="1:118">
      <c r="A1123" t="str">
        <f>"002750"</f>
        <v>002750</v>
      </c>
      <c r="B1123" t="s">
        <v>6275</v>
      </c>
      <c r="C1123">
        <v>0.53</v>
      </c>
      <c r="D1123">
        <v>0</v>
      </c>
      <c r="E1123">
        <v>-0.13</v>
      </c>
      <c r="F1123">
        <v>417</v>
      </c>
      <c r="G1123" t="s">
        <v>6276</v>
      </c>
      <c r="H1123">
        <v>3132.27</v>
      </c>
      <c r="I1123">
        <v>8.44</v>
      </c>
      <c r="J1123" t="s">
        <v>120</v>
      </c>
      <c r="K1123" t="s">
        <v>1264</v>
      </c>
      <c r="L1123">
        <v>1.03</v>
      </c>
      <c r="M1123">
        <v>7.65</v>
      </c>
      <c r="N1123">
        <v>0.95</v>
      </c>
      <c r="O1123">
        <v>1.71</v>
      </c>
      <c r="P1123">
        <v>7.74</v>
      </c>
      <c r="Q1123">
        <v>-0.79</v>
      </c>
      <c r="R1123">
        <v>7.55</v>
      </c>
      <c r="S1123">
        <v>7.6</v>
      </c>
      <c r="T1123">
        <v>40836</v>
      </c>
      <c r="U1123">
        <v>7.65</v>
      </c>
      <c r="V1123">
        <v>7.61</v>
      </c>
      <c r="W1123">
        <v>314.38</v>
      </c>
      <c r="X1123" t="s">
        <v>771</v>
      </c>
      <c r="Y1123" t="s">
        <v>1006</v>
      </c>
      <c r="Z1123">
        <v>2.5</v>
      </c>
      <c r="AA1123">
        <v>7.67</v>
      </c>
      <c r="AB1123">
        <v>18411</v>
      </c>
      <c r="AC1123">
        <v>22425</v>
      </c>
      <c r="AD1123">
        <v>0.82</v>
      </c>
      <c r="AE1123">
        <v>410</v>
      </c>
      <c r="AF1123">
        <v>239</v>
      </c>
      <c r="AG1123" t="s">
        <v>120</v>
      </c>
      <c r="AH1123">
        <v>0.01</v>
      </c>
      <c r="AI1123" t="s">
        <v>120</v>
      </c>
      <c r="AJ1123">
        <v>3.98</v>
      </c>
      <c r="AK1123" t="s">
        <v>6277</v>
      </c>
      <c r="AL1123">
        <v>2.44</v>
      </c>
      <c r="AM1123">
        <v>1435</v>
      </c>
      <c r="AN1123">
        <v>28</v>
      </c>
      <c r="AO1123">
        <v>6.9999999999999999E-4</v>
      </c>
      <c r="AP1123">
        <v>4</v>
      </c>
      <c r="AQ1123">
        <v>0.4</v>
      </c>
      <c r="AR1123">
        <v>1.33</v>
      </c>
      <c r="AS1123">
        <v>2.27</v>
      </c>
      <c r="AT1123">
        <v>3.1</v>
      </c>
      <c r="AU1123">
        <v>-8.7100000000000009</v>
      </c>
      <c r="AV1123">
        <v>7</v>
      </c>
      <c r="AW1123">
        <v>2.73</v>
      </c>
      <c r="AX1123">
        <v>37.31</v>
      </c>
      <c r="AY1123">
        <v>166.63</v>
      </c>
      <c r="AZ1123">
        <v>258.02999999999997</v>
      </c>
      <c r="BA1123">
        <v>0.35</v>
      </c>
      <c r="BB1123" t="s">
        <v>143</v>
      </c>
      <c r="BF1123">
        <v>0.79</v>
      </c>
      <c r="BG1123">
        <v>0.66</v>
      </c>
      <c r="BH1123">
        <v>-1.1599999999999999</v>
      </c>
      <c r="BI1123">
        <v>1.32</v>
      </c>
      <c r="BJ1123">
        <v>20210831</v>
      </c>
      <c r="BK1123">
        <v>20150324</v>
      </c>
      <c r="BL1123">
        <v>4</v>
      </c>
      <c r="BM1123" t="s">
        <v>120</v>
      </c>
      <c r="BN1123" t="s">
        <v>120</v>
      </c>
      <c r="BO1123">
        <v>10.31</v>
      </c>
      <c r="BP1123">
        <v>7.64</v>
      </c>
      <c r="BQ1123">
        <v>6.41</v>
      </c>
      <c r="BR1123">
        <v>0.8</v>
      </c>
      <c r="BS1123">
        <v>30.11</v>
      </c>
      <c r="BT1123">
        <v>7.1</v>
      </c>
      <c r="BU1123">
        <v>2.0699999999999998</v>
      </c>
      <c r="BV1123">
        <v>0.3</v>
      </c>
      <c r="BW1123">
        <v>2.71</v>
      </c>
      <c r="BX1123">
        <v>1.1299999999999999</v>
      </c>
      <c r="BY1123">
        <v>1.32</v>
      </c>
      <c r="BZ1123">
        <v>1.25</v>
      </c>
      <c r="CA1123">
        <v>0.01</v>
      </c>
      <c r="CB1123">
        <v>0</v>
      </c>
      <c r="CC1123">
        <v>3.98</v>
      </c>
      <c r="CD1123">
        <v>2.83</v>
      </c>
      <c r="CE1123">
        <v>0.01</v>
      </c>
      <c r="CF1123">
        <v>0.03</v>
      </c>
      <c r="CG1123">
        <v>0.01</v>
      </c>
      <c r="CH1123">
        <v>0.02</v>
      </c>
      <c r="CI1123">
        <v>0.05</v>
      </c>
      <c r="CJ1123">
        <v>0.04</v>
      </c>
      <c r="CK1123">
        <v>0.01</v>
      </c>
      <c r="CL1123">
        <v>1.91</v>
      </c>
      <c r="CM1123">
        <v>-0.25</v>
      </c>
      <c r="CN1123">
        <v>-0.25</v>
      </c>
      <c r="CO1123">
        <v>31681</v>
      </c>
      <c r="CP1123">
        <v>4716</v>
      </c>
      <c r="CQ1123" t="s">
        <v>918</v>
      </c>
      <c r="CR1123">
        <v>403.31</v>
      </c>
      <c r="CS1123">
        <v>295.55</v>
      </c>
      <c r="CT1123">
        <v>4.78</v>
      </c>
      <c r="CU1123">
        <v>-120.26</v>
      </c>
      <c r="CV1123">
        <v>7.71</v>
      </c>
      <c r="CW1123">
        <v>0</v>
      </c>
      <c r="CX1123" t="s">
        <v>2327</v>
      </c>
      <c r="CY1123">
        <v>1.6</v>
      </c>
      <c r="CZ1123">
        <v>0</v>
      </c>
      <c r="DA1123">
        <v>0</v>
      </c>
      <c r="DB1123">
        <v>0.48</v>
      </c>
      <c r="DC1123">
        <v>-0.06</v>
      </c>
      <c r="DD1123">
        <v>62.17</v>
      </c>
      <c r="DE1123" t="s">
        <v>5739</v>
      </c>
      <c r="DF1123">
        <v>28.78</v>
      </c>
      <c r="DG1123">
        <v>0.21</v>
      </c>
      <c r="DH1123">
        <v>1.23</v>
      </c>
      <c r="DI1123">
        <v>7.0000000000000007E-2</v>
      </c>
      <c r="DJ1123">
        <v>200</v>
      </c>
      <c r="DK1123">
        <v>2750</v>
      </c>
      <c r="DL1123" t="s">
        <v>120</v>
      </c>
      <c r="DM1123" t="s">
        <v>120</v>
      </c>
      <c r="DN1123" t="s">
        <v>120</v>
      </c>
    </row>
    <row r="1124" spans="1:118">
      <c r="A1124" t="str">
        <f>"002751"</f>
        <v>002751</v>
      </c>
      <c r="B1124" t="s">
        <v>6278</v>
      </c>
      <c r="C1124">
        <v>-1.97</v>
      </c>
      <c r="D1124">
        <v>-0.48</v>
      </c>
      <c r="E1124">
        <v>-0.57999999999999996</v>
      </c>
      <c r="F1124">
        <v>1246</v>
      </c>
      <c r="G1124" t="s">
        <v>6279</v>
      </c>
      <c r="H1124">
        <v>6614.13</v>
      </c>
      <c r="I1124">
        <v>33.29</v>
      </c>
      <c r="J1124" t="s">
        <v>120</v>
      </c>
      <c r="K1124" t="s">
        <v>6280</v>
      </c>
      <c r="L1124">
        <v>2.8</v>
      </c>
      <c r="M1124">
        <v>18.440000000000001</v>
      </c>
      <c r="N1124">
        <v>0.49</v>
      </c>
      <c r="O1124">
        <v>1.17</v>
      </c>
      <c r="P1124">
        <v>19.03</v>
      </c>
      <c r="Q1124">
        <v>-1.97</v>
      </c>
      <c r="R1124">
        <v>18.440000000000001</v>
      </c>
      <c r="S1124">
        <v>18.7</v>
      </c>
      <c r="T1124">
        <v>35354</v>
      </c>
      <c r="U1124">
        <v>18.45</v>
      </c>
      <c r="V1124">
        <v>18.809999999999999</v>
      </c>
      <c r="W1124">
        <v>46.98</v>
      </c>
      <c r="X1124" t="s">
        <v>2409</v>
      </c>
      <c r="Y1124" t="s">
        <v>123</v>
      </c>
      <c r="Z1124">
        <v>3.14</v>
      </c>
      <c r="AA1124">
        <v>18.71</v>
      </c>
      <c r="AB1124">
        <v>20515</v>
      </c>
      <c r="AC1124">
        <v>14839</v>
      </c>
      <c r="AD1124">
        <v>1.38</v>
      </c>
      <c r="AE1124">
        <v>77</v>
      </c>
      <c r="AF1124">
        <v>44</v>
      </c>
      <c r="AG1124" t="s">
        <v>120</v>
      </c>
      <c r="AH1124">
        <v>0.02</v>
      </c>
      <c r="AI1124" t="s">
        <v>120</v>
      </c>
      <c r="AJ1124">
        <v>1.26</v>
      </c>
      <c r="AK1124" t="s">
        <v>6281</v>
      </c>
      <c r="AL1124">
        <v>-0.05</v>
      </c>
      <c r="AM1124">
        <v>1838</v>
      </c>
      <c r="AN1124">
        <v>19</v>
      </c>
      <c r="AO1124">
        <v>1.5E-3</v>
      </c>
      <c r="AP1124">
        <v>-1</v>
      </c>
      <c r="AQ1124">
        <v>0.48</v>
      </c>
      <c r="AR1124">
        <v>-5.68</v>
      </c>
      <c r="AS1124">
        <v>9.43</v>
      </c>
      <c r="AT1124">
        <v>0</v>
      </c>
      <c r="AU1124">
        <v>0.43</v>
      </c>
      <c r="AV1124">
        <v>3</v>
      </c>
      <c r="AW1124">
        <v>3.11</v>
      </c>
      <c r="AX1124">
        <v>73.67</v>
      </c>
      <c r="AY1124">
        <v>45.4</v>
      </c>
      <c r="AZ1124">
        <v>54.74</v>
      </c>
      <c r="BA1124">
        <v>0.35</v>
      </c>
      <c r="BB1124" t="s">
        <v>143</v>
      </c>
      <c r="BF1124">
        <v>-0.54</v>
      </c>
      <c r="BG1124">
        <v>-1.39</v>
      </c>
      <c r="BH1124">
        <v>-3.1</v>
      </c>
      <c r="BI1124">
        <v>0</v>
      </c>
      <c r="BJ1124">
        <v>20210830</v>
      </c>
      <c r="BK1124">
        <v>20150424</v>
      </c>
      <c r="BL1124">
        <v>1.55</v>
      </c>
      <c r="BM1124" t="s">
        <v>120</v>
      </c>
      <c r="BN1124" t="s">
        <v>120</v>
      </c>
      <c r="BO1124">
        <v>39.08</v>
      </c>
      <c r="BP1124">
        <v>18.440000000000001</v>
      </c>
      <c r="BQ1124">
        <v>14.76</v>
      </c>
      <c r="BR1124">
        <v>2.81</v>
      </c>
      <c r="BS1124">
        <v>55.03</v>
      </c>
      <c r="BT1124">
        <v>14.23</v>
      </c>
      <c r="BU1124">
        <v>2.5499999999999998</v>
      </c>
      <c r="BV1124">
        <v>1.7</v>
      </c>
      <c r="BW1124">
        <v>10.45</v>
      </c>
      <c r="BX1124">
        <v>2.96</v>
      </c>
      <c r="BY1124">
        <v>1.5</v>
      </c>
      <c r="BZ1124">
        <v>6.53</v>
      </c>
      <c r="CA1124">
        <v>0.03</v>
      </c>
      <c r="CB1124">
        <v>5.71</v>
      </c>
      <c r="CC1124">
        <v>4.6900000000000004</v>
      </c>
      <c r="CD1124">
        <v>3.33</v>
      </c>
      <c r="CE1124">
        <v>0.34</v>
      </c>
      <c r="CF1124">
        <v>0.17</v>
      </c>
      <c r="CG1124">
        <v>0.34</v>
      </c>
      <c r="CH1124">
        <v>0.26</v>
      </c>
      <c r="CI1124">
        <v>0.3</v>
      </c>
      <c r="CJ1124">
        <v>-0.37</v>
      </c>
      <c r="CK1124">
        <v>0.02</v>
      </c>
      <c r="CL1124">
        <v>3.77</v>
      </c>
      <c r="CM1124">
        <v>0.14000000000000001</v>
      </c>
      <c r="CN1124">
        <v>-1.42</v>
      </c>
      <c r="CO1124">
        <v>27000</v>
      </c>
      <c r="CP1124">
        <v>4217</v>
      </c>
      <c r="CQ1124" t="s">
        <v>5329</v>
      </c>
      <c r="CR1124">
        <v>56.27</v>
      </c>
      <c r="CS1124">
        <v>16.22</v>
      </c>
      <c r="CT1124">
        <v>1.93</v>
      </c>
      <c r="CU1124">
        <v>201.39</v>
      </c>
      <c r="CV1124">
        <v>6.08</v>
      </c>
      <c r="CW1124">
        <v>0.16</v>
      </c>
      <c r="CX1124" t="s">
        <v>6282</v>
      </c>
      <c r="CY1124">
        <v>9.5500000000000007</v>
      </c>
      <c r="CZ1124">
        <v>0</v>
      </c>
      <c r="DA1124">
        <v>3.7</v>
      </c>
      <c r="DB1124">
        <v>2.44</v>
      </c>
      <c r="DC1124">
        <v>0.09</v>
      </c>
      <c r="DD1124">
        <v>37.78</v>
      </c>
      <c r="DE1124" t="s">
        <v>234</v>
      </c>
      <c r="DF1124">
        <v>28.94</v>
      </c>
      <c r="DG1124">
        <v>7.23</v>
      </c>
      <c r="DH1124">
        <v>6.47</v>
      </c>
      <c r="DI1124">
        <v>0.22</v>
      </c>
      <c r="DJ1124">
        <v>666</v>
      </c>
      <c r="DK1124">
        <v>2751</v>
      </c>
      <c r="DL1124" t="s">
        <v>120</v>
      </c>
      <c r="DM1124" t="s">
        <v>120</v>
      </c>
      <c r="DN1124" t="s">
        <v>120</v>
      </c>
    </row>
    <row r="1125" spans="1:118">
      <c r="A1125" t="str">
        <f>"002752"</f>
        <v>002752</v>
      </c>
      <c r="B1125" t="s">
        <v>6283</v>
      </c>
      <c r="C1125">
        <v>4.51</v>
      </c>
      <c r="D1125">
        <v>-0.16</v>
      </c>
      <c r="E1125">
        <v>0.18</v>
      </c>
      <c r="F1125">
        <v>2241</v>
      </c>
      <c r="G1125" t="s">
        <v>1810</v>
      </c>
      <c r="H1125">
        <v>13812.19</v>
      </c>
      <c r="I1125">
        <v>7.1</v>
      </c>
      <c r="J1125" t="s">
        <v>120</v>
      </c>
      <c r="K1125" t="s">
        <v>3786</v>
      </c>
      <c r="L1125">
        <v>2.79</v>
      </c>
      <c r="M1125">
        <v>5.79</v>
      </c>
      <c r="N1125">
        <v>7.37</v>
      </c>
      <c r="O1125">
        <v>9.93</v>
      </c>
      <c r="P1125">
        <v>6.09</v>
      </c>
      <c r="Q1125">
        <v>-0.54</v>
      </c>
      <c r="R1125">
        <v>5.51</v>
      </c>
      <c r="S1125">
        <v>5.55</v>
      </c>
      <c r="T1125">
        <v>231737</v>
      </c>
      <c r="U1125">
        <v>5.79</v>
      </c>
      <c r="V1125">
        <v>5.54</v>
      </c>
      <c r="W1125">
        <v>39.24</v>
      </c>
      <c r="X1125" t="s">
        <v>339</v>
      </c>
      <c r="Y1125" t="s">
        <v>937</v>
      </c>
      <c r="Z1125">
        <v>10.47</v>
      </c>
      <c r="AA1125">
        <v>5.96</v>
      </c>
      <c r="AB1125">
        <v>107717</v>
      </c>
      <c r="AC1125">
        <v>124020</v>
      </c>
      <c r="AD1125">
        <v>0.87</v>
      </c>
      <c r="AE1125">
        <v>551</v>
      </c>
      <c r="AF1125">
        <v>18</v>
      </c>
      <c r="AG1125" t="s">
        <v>120</v>
      </c>
      <c r="AH1125">
        <v>0.01</v>
      </c>
      <c r="AI1125" t="s">
        <v>120</v>
      </c>
      <c r="AJ1125">
        <v>8.31</v>
      </c>
      <c r="AK1125" t="s">
        <v>6284</v>
      </c>
      <c r="AL1125">
        <v>6.43</v>
      </c>
      <c r="AM1125">
        <v>2809</v>
      </c>
      <c r="AN1125">
        <v>82</v>
      </c>
      <c r="AO1125">
        <v>1E-3</v>
      </c>
      <c r="AP1125">
        <v>2</v>
      </c>
      <c r="AQ1125">
        <v>1.0900000000000001</v>
      </c>
      <c r="AR1125">
        <v>3.57</v>
      </c>
      <c r="AS1125">
        <v>10.71</v>
      </c>
      <c r="AT1125">
        <v>3.21</v>
      </c>
      <c r="AU1125">
        <v>-10.65</v>
      </c>
      <c r="AV1125">
        <v>2</v>
      </c>
      <c r="AW1125">
        <v>11.15</v>
      </c>
      <c r="AX1125">
        <v>21.27</v>
      </c>
      <c r="AY1125">
        <v>41.41</v>
      </c>
      <c r="AZ1125">
        <v>396.75</v>
      </c>
      <c r="BA1125">
        <v>0.2</v>
      </c>
      <c r="BB1125" t="s">
        <v>240</v>
      </c>
      <c r="BF1125">
        <v>7.59</v>
      </c>
      <c r="BG1125">
        <v>4.32</v>
      </c>
      <c r="BH1125">
        <v>-4.93</v>
      </c>
      <c r="BI1125">
        <v>5.08</v>
      </c>
      <c r="BJ1125">
        <v>20210826</v>
      </c>
      <c r="BK1125">
        <v>20150422</v>
      </c>
      <c r="BL1125">
        <v>9.77</v>
      </c>
      <c r="BM1125" t="s">
        <v>120</v>
      </c>
      <c r="BN1125" t="s">
        <v>120</v>
      </c>
      <c r="BO1125">
        <v>59.35</v>
      </c>
      <c r="BP1125">
        <v>5.78</v>
      </c>
      <c r="BQ1125">
        <v>26.48</v>
      </c>
      <c r="BR1125">
        <v>0.46</v>
      </c>
      <c r="BS1125">
        <v>54.6</v>
      </c>
      <c r="BT1125">
        <v>29.42</v>
      </c>
      <c r="BU1125">
        <v>18.739999999999998</v>
      </c>
      <c r="BV1125">
        <v>2.71</v>
      </c>
      <c r="BW1125">
        <v>26.99</v>
      </c>
      <c r="BX1125">
        <v>6.59</v>
      </c>
      <c r="BY1125">
        <v>6.34</v>
      </c>
      <c r="BZ1125">
        <v>11.15</v>
      </c>
      <c r="CA1125" t="s">
        <v>120</v>
      </c>
      <c r="CB1125">
        <v>8.94</v>
      </c>
      <c r="CC1125">
        <v>21.9</v>
      </c>
      <c r="CD1125">
        <v>19.36</v>
      </c>
      <c r="CE1125">
        <v>1.03</v>
      </c>
      <c r="CF1125">
        <v>-0.01</v>
      </c>
      <c r="CG1125">
        <v>1.02</v>
      </c>
      <c r="CH1125">
        <v>0.72</v>
      </c>
      <c r="CI1125">
        <v>0.72</v>
      </c>
      <c r="CJ1125">
        <v>0.25</v>
      </c>
      <c r="CK1125">
        <v>0.65</v>
      </c>
      <c r="CL1125">
        <v>7.34</v>
      </c>
      <c r="CM1125">
        <v>0.06</v>
      </c>
      <c r="CN1125">
        <v>2.19</v>
      </c>
      <c r="CO1125">
        <v>20924</v>
      </c>
      <c r="CP1125">
        <v>9932</v>
      </c>
      <c r="CQ1125" t="s">
        <v>498</v>
      </c>
      <c r="CR1125">
        <v>260.22000000000003</v>
      </c>
      <c r="CS1125">
        <v>89.09</v>
      </c>
      <c r="CT1125">
        <v>2.14</v>
      </c>
      <c r="CU1125">
        <v>998.21</v>
      </c>
      <c r="CV1125">
        <v>2.58</v>
      </c>
      <c r="CW1125">
        <v>0.18</v>
      </c>
      <c r="CX1125" t="s">
        <v>535</v>
      </c>
      <c r="CY1125">
        <v>2.71</v>
      </c>
      <c r="CZ1125">
        <v>0</v>
      </c>
      <c r="DA1125">
        <v>0.91</v>
      </c>
      <c r="DB1125">
        <v>0.75</v>
      </c>
      <c r="DC1125">
        <v>0.01</v>
      </c>
      <c r="DD1125">
        <v>44.62</v>
      </c>
      <c r="DE1125" t="s">
        <v>6285</v>
      </c>
      <c r="DF1125">
        <v>11.62</v>
      </c>
      <c r="DG1125">
        <v>4.7</v>
      </c>
      <c r="DH1125">
        <v>3.29</v>
      </c>
      <c r="DI1125">
        <v>0.21</v>
      </c>
      <c r="DJ1125">
        <v>2661</v>
      </c>
      <c r="DK1125">
        <v>2752</v>
      </c>
      <c r="DL1125" t="s">
        <v>120</v>
      </c>
      <c r="DM1125" t="s">
        <v>120</v>
      </c>
      <c r="DN1125" t="s">
        <v>120</v>
      </c>
    </row>
    <row r="1126" spans="1:118">
      <c r="A1126" t="str">
        <f>"002753"</f>
        <v>002753</v>
      </c>
      <c r="B1126" t="s">
        <v>6286</v>
      </c>
      <c r="C1126">
        <v>0.77</v>
      </c>
      <c r="D1126">
        <v>0</v>
      </c>
      <c r="E1126">
        <v>3.09</v>
      </c>
      <c r="F1126">
        <v>1979</v>
      </c>
      <c r="G1126" t="s">
        <v>6287</v>
      </c>
      <c r="H1126">
        <v>46118.53</v>
      </c>
      <c r="I1126">
        <v>844.75</v>
      </c>
      <c r="J1126" t="s">
        <v>120</v>
      </c>
      <c r="K1126" t="s">
        <v>4094</v>
      </c>
      <c r="L1126">
        <v>14.15</v>
      </c>
      <c r="M1126">
        <v>13.06</v>
      </c>
      <c r="N1126">
        <v>2.39</v>
      </c>
      <c r="O1126">
        <v>9.0299999999999994</v>
      </c>
      <c r="P1126">
        <v>14.13</v>
      </c>
      <c r="Q1126">
        <v>-0.31</v>
      </c>
      <c r="R1126">
        <v>12.92</v>
      </c>
      <c r="S1126">
        <v>13.36</v>
      </c>
      <c r="T1126">
        <v>343104</v>
      </c>
      <c r="U1126">
        <v>13.07</v>
      </c>
      <c r="V1126">
        <v>12.96</v>
      </c>
      <c r="W1126">
        <v>10.42</v>
      </c>
      <c r="X1126" t="s">
        <v>868</v>
      </c>
      <c r="Y1126" t="s">
        <v>667</v>
      </c>
      <c r="Z1126">
        <v>9.34</v>
      </c>
      <c r="AA1126">
        <v>13.44</v>
      </c>
      <c r="AB1126">
        <v>172468</v>
      </c>
      <c r="AC1126">
        <v>170636</v>
      </c>
      <c r="AD1126">
        <v>1.01</v>
      </c>
      <c r="AE1126">
        <v>237</v>
      </c>
      <c r="AF1126">
        <v>708</v>
      </c>
      <c r="AG1126" t="s">
        <v>120</v>
      </c>
      <c r="AH1126">
        <v>0.45</v>
      </c>
      <c r="AI1126" t="s">
        <v>120</v>
      </c>
      <c r="AJ1126">
        <v>2.4300000000000002</v>
      </c>
      <c r="AK1126" t="s">
        <v>6288</v>
      </c>
      <c r="AL1126">
        <v>2.69</v>
      </c>
      <c r="AM1126">
        <v>4362</v>
      </c>
      <c r="AN1126">
        <v>79</v>
      </c>
      <c r="AO1126">
        <v>3.2000000000000002E-3</v>
      </c>
      <c r="AP1126">
        <v>2</v>
      </c>
      <c r="AQ1126">
        <v>10.02</v>
      </c>
      <c r="AR1126">
        <v>7.94</v>
      </c>
      <c r="AS1126">
        <v>21.71</v>
      </c>
      <c r="AT1126">
        <v>47.57</v>
      </c>
      <c r="AU1126">
        <v>55.38</v>
      </c>
      <c r="AV1126">
        <v>1</v>
      </c>
      <c r="AW1126">
        <v>24.4</v>
      </c>
      <c r="AX1126">
        <v>37.450000000000003</v>
      </c>
      <c r="AY1126">
        <v>13.42</v>
      </c>
      <c r="AZ1126">
        <v>30.75</v>
      </c>
      <c r="BA1126">
        <v>0.42</v>
      </c>
      <c r="BB1126" t="s">
        <v>700</v>
      </c>
      <c r="BF1126">
        <v>3.72</v>
      </c>
      <c r="BG1126">
        <v>-2.25</v>
      </c>
      <c r="BH1126">
        <v>-7.57</v>
      </c>
      <c r="BI1126">
        <v>1.08</v>
      </c>
      <c r="BJ1126">
        <v>20210902</v>
      </c>
      <c r="BK1126">
        <v>20150519</v>
      </c>
      <c r="BL1126">
        <v>3.75</v>
      </c>
      <c r="BM1126" t="s">
        <v>120</v>
      </c>
      <c r="BN1126" t="s">
        <v>120</v>
      </c>
      <c r="BO1126">
        <v>28.05</v>
      </c>
      <c r="BP1126">
        <v>13.06</v>
      </c>
      <c r="BQ1126">
        <v>21.39</v>
      </c>
      <c r="BR1126" t="s">
        <v>120</v>
      </c>
      <c r="BS1126">
        <v>23.73</v>
      </c>
      <c r="BT1126">
        <v>16.97</v>
      </c>
      <c r="BU1126">
        <v>6.31</v>
      </c>
      <c r="BV1126">
        <v>1.03</v>
      </c>
      <c r="BW1126">
        <v>3.41</v>
      </c>
      <c r="BX1126">
        <v>1.75</v>
      </c>
      <c r="BY1126">
        <v>3.52</v>
      </c>
      <c r="BZ1126">
        <v>6.59</v>
      </c>
      <c r="CA1126" t="s">
        <v>120</v>
      </c>
      <c r="CB1126">
        <v>4.2699999999999996</v>
      </c>
      <c r="CC1126">
        <v>17.91</v>
      </c>
      <c r="CD1126">
        <v>14.34</v>
      </c>
      <c r="CE1126">
        <v>2.81</v>
      </c>
      <c r="CF1126">
        <v>0.1</v>
      </c>
      <c r="CG1126">
        <v>2.77</v>
      </c>
      <c r="CH1126">
        <v>2.35</v>
      </c>
      <c r="CI1126">
        <v>2.35</v>
      </c>
      <c r="CJ1126">
        <v>0.1</v>
      </c>
      <c r="CK1126">
        <v>2.33</v>
      </c>
      <c r="CL1126">
        <v>11.25</v>
      </c>
      <c r="CM1126">
        <v>0.46</v>
      </c>
      <c r="CN1126">
        <v>0.23</v>
      </c>
      <c r="CO1126">
        <v>15696</v>
      </c>
      <c r="CP1126">
        <v>8957</v>
      </c>
      <c r="CQ1126" t="s">
        <v>3791</v>
      </c>
      <c r="CR1126">
        <v>659.78</v>
      </c>
      <c r="CS1126">
        <v>74.599999999999994</v>
      </c>
      <c r="CT1126">
        <v>2.38</v>
      </c>
      <c r="CU1126">
        <v>105.93</v>
      </c>
      <c r="CV1126">
        <v>2.74</v>
      </c>
      <c r="CW1126">
        <v>0.66</v>
      </c>
      <c r="CX1126" t="s">
        <v>6289</v>
      </c>
      <c r="CY1126">
        <v>5.48</v>
      </c>
      <c r="CZ1126">
        <v>5.48</v>
      </c>
      <c r="DA1126">
        <v>1.1399999999999999</v>
      </c>
      <c r="DB1126">
        <v>3</v>
      </c>
      <c r="DC1126">
        <v>0.12</v>
      </c>
      <c r="DD1126">
        <v>76.27</v>
      </c>
      <c r="DE1126" t="s">
        <v>6290</v>
      </c>
      <c r="DF1126">
        <v>19.920000000000002</v>
      </c>
      <c r="DG1126">
        <v>15.7</v>
      </c>
      <c r="DH1126">
        <v>13.13</v>
      </c>
      <c r="DI1126">
        <v>0.27</v>
      </c>
      <c r="DJ1126">
        <v>785</v>
      </c>
      <c r="DK1126">
        <v>2753</v>
      </c>
      <c r="DL1126" t="s">
        <v>120</v>
      </c>
      <c r="DM1126" t="s">
        <v>120</v>
      </c>
      <c r="DN1126" t="s">
        <v>120</v>
      </c>
    </row>
    <row r="1127" spans="1:118">
      <c r="A1127" t="str">
        <f>"002755"</f>
        <v>002755</v>
      </c>
      <c r="B1127" t="s">
        <v>6291</v>
      </c>
      <c r="C1127">
        <v>0.24</v>
      </c>
      <c r="D1127">
        <v>0.08</v>
      </c>
      <c r="E1127">
        <v>-0.08</v>
      </c>
      <c r="F1127">
        <v>94</v>
      </c>
      <c r="G1127" t="s">
        <v>2007</v>
      </c>
      <c r="H1127">
        <v>2208.81</v>
      </c>
      <c r="I1127">
        <v>2.57</v>
      </c>
      <c r="J1127" t="s">
        <v>120</v>
      </c>
      <c r="K1127" t="s">
        <v>6292</v>
      </c>
      <c r="L1127">
        <v>0.5</v>
      </c>
      <c r="M1127">
        <v>12.3</v>
      </c>
      <c r="N1127">
        <v>1.05</v>
      </c>
      <c r="O1127">
        <v>1.39</v>
      </c>
      <c r="P1127">
        <v>12.44</v>
      </c>
      <c r="Q1127">
        <v>-0.08</v>
      </c>
      <c r="R1127">
        <v>12.26</v>
      </c>
      <c r="S1127">
        <v>12.26</v>
      </c>
      <c r="T1127">
        <v>17846</v>
      </c>
      <c r="U1127">
        <v>12.3</v>
      </c>
      <c r="V1127">
        <v>12.27</v>
      </c>
      <c r="W1127">
        <v>21.69</v>
      </c>
      <c r="X1127" t="s">
        <v>569</v>
      </c>
      <c r="Y1127" t="s">
        <v>158</v>
      </c>
      <c r="Z1127">
        <v>1.47</v>
      </c>
      <c r="AA1127">
        <v>12.38</v>
      </c>
      <c r="AB1127">
        <v>7873</v>
      </c>
      <c r="AC1127">
        <v>9973</v>
      </c>
      <c r="AD1127">
        <v>0.79</v>
      </c>
      <c r="AE1127">
        <v>30</v>
      </c>
      <c r="AF1127">
        <v>116</v>
      </c>
      <c r="AG1127" t="s">
        <v>120</v>
      </c>
      <c r="AH1127">
        <v>0</v>
      </c>
      <c r="AI1127" t="s">
        <v>120</v>
      </c>
      <c r="AJ1127">
        <v>3.54</v>
      </c>
      <c r="AK1127" t="s">
        <v>6293</v>
      </c>
      <c r="AL1127">
        <v>2.16</v>
      </c>
      <c r="AM1127">
        <v>946</v>
      </c>
      <c r="AN1127">
        <v>19</v>
      </c>
      <c r="AO1127">
        <v>5.0000000000000001E-4</v>
      </c>
      <c r="AP1127">
        <v>1</v>
      </c>
      <c r="AQ1127">
        <v>-0.08</v>
      </c>
      <c r="AR1127">
        <v>-0.16</v>
      </c>
      <c r="AS1127">
        <v>0.32</v>
      </c>
      <c r="AT1127">
        <v>-7.72</v>
      </c>
      <c r="AU1127">
        <v>-4.3600000000000003</v>
      </c>
      <c r="AV1127">
        <v>1</v>
      </c>
      <c r="AW1127">
        <v>0.85</v>
      </c>
      <c r="AX1127">
        <v>22.63</v>
      </c>
      <c r="AY1127">
        <v>15.05</v>
      </c>
      <c r="AZ1127">
        <v>15.78</v>
      </c>
      <c r="BA1127">
        <v>0.18</v>
      </c>
      <c r="BB1127" t="s">
        <v>4676</v>
      </c>
      <c r="BF1127">
        <v>0.87</v>
      </c>
      <c r="BG1127">
        <v>0.33</v>
      </c>
      <c r="BH1127">
        <v>-1.1299999999999999</v>
      </c>
      <c r="BI1127">
        <v>0.33</v>
      </c>
      <c r="BJ1127">
        <v>20210913</v>
      </c>
      <c r="BK1127">
        <v>20150515</v>
      </c>
      <c r="BL1127">
        <v>9.2799999999999994</v>
      </c>
      <c r="BM1127" t="s">
        <v>120</v>
      </c>
      <c r="BN1127" t="s">
        <v>120</v>
      </c>
      <c r="BO1127">
        <v>35.590000000000003</v>
      </c>
      <c r="BP1127">
        <v>12.29</v>
      </c>
      <c r="BQ1127">
        <v>31.04</v>
      </c>
      <c r="BR1127">
        <v>0.03</v>
      </c>
      <c r="BS1127">
        <v>12.7</v>
      </c>
      <c r="BT1127">
        <v>23.64</v>
      </c>
      <c r="BU1127">
        <v>6.61</v>
      </c>
      <c r="BV1127">
        <v>0.84</v>
      </c>
      <c r="BW1127">
        <v>3.67</v>
      </c>
      <c r="BX1127">
        <v>8.5399999999999991</v>
      </c>
      <c r="BY1127">
        <v>1.48</v>
      </c>
      <c r="BZ1127">
        <v>5.99</v>
      </c>
      <c r="CA1127" t="s">
        <v>120</v>
      </c>
      <c r="CB1127">
        <v>0.01</v>
      </c>
      <c r="CC1127">
        <v>16.739999999999998</v>
      </c>
      <c r="CD1127">
        <v>1.3</v>
      </c>
      <c r="CE1127">
        <v>2.87</v>
      </c>
      <c r="CF1127">
        <v>0.05</v>
      </c>
      <c r="CG1127">
        <v>2.89</v>
      </c>
      <c r="CH1127">
        <v>2.6</v>
      </c>
      <c r="CI1127">
        <v>2.63</v>
      </c>
      <c r="CJ1127">
        <v>0.03</v>
      </c>
      <c r="CK1127">
        <v>2.54</v>
      </c>
      <c r="CL1127">
        <v>19.309999999999999</v>
      </c>
      <c r="CM1127">
        <v>2.5099999999999998</v>
      </c>
      <c r="CN1127">
        <v>-5.15</v>
      </c>
      <c r="CO1127">
        <v>21874</v>
      </c>
      <c r="CP1127">
        <v>9603</v>
      </c>
      <c r="CQ1127" t="s">
        <v>3231</v>
      </c>
      <c r="CR1127">
        <v>15.39</v>
      </c>
      <c r="CS1127">
        <v>11.43</v>
      </c>
      <c r="CT1127">
        <v>3.68</v>
      </c>
      <c r="CU1127">
        <v>45.44</v>
      </c>
      <c r="CV1127">
        <v>6.82</v>
      </c>
      <c r="CW1127">
        <v>1.63</v>
      </c>
      <c r="CX1127" t="s">
        <v>1054</v>
      </c>
      <c r="CY1127">
        <v>3.34</v>
      </c>
      <c r="CZ1127">
        <v>0</v>
      </c>
      <c r="DA1127">
        <v>0</v>
      </c>
      <c r="DB1127">
        <v>2.08</v>
      </c>
      <c r="DC1127">
        <v>0.27</v>
      </c>
      <c r="DD1127">
        <v>87.22</v>
      </c>
      <c r="DE1127" t="s">
        <v>6294</v>
      </c>
      <c r="DF1127">
        <v>92.25</v>
      </c>
      <c r="DG1127">
        <v>17.13</v>
      </c>
      <c r="DH1127">
        <v>15.72</v>
      </c>
      <c r="DI1127">
        <v>1.76</v>
      </c>
      <c r="DJ1127">
        <v>1602</v>
      </c>
      <c r="DK1127">
        <v>2755</v>
      </c>
      <c r="DL1127" t="s">
        <v>120</v>
      </c>
      <c r="DM1127" t="s">
        <v>120</v>
      </c>
      <c r="DN1127" t="s">
        <v>120</v>
      </c>
    </row>
    <row r="1128" spans="1:118">
      <c r="A1128" t="str">
        <f>"002756"</f>
        <v>002756</v>
      </c>
      <c r="B1128" t="s">
        <v>6295</v>
      </c>
      <c r="C1128">
        <v>-10</v>
      </c>
      <c r="D1128">
        <v>0</v>
      </c>
      <c r="E1128">
        <v>0.36</v>
      </c>
      <c r="F1128">
        <v>142</v>
      </c>
      <c r="G1128" t="s">
        <v>6296</v>
      </c>
      <c r="H1128">
        <v>148155.21</v>
      </c>
      <c r="I1128">
        <v>1928.1</v>
      </c>
      <c r="J1128">
        <v>17803.740000000002</v>
      </c>
      <c r="K1128" t="s">
        <v>6297</v>
      </c>
      <c r="L1128">
        <v>4.95</v>
      </c>
      <c r="M1128">
        <v>108.48</v>
      </c>
      <c r="N1128">
        <v>0.99</v>
      </c>
      <c r="O1128">
        <v>0.39</v>
      </c>
      <c r="P1128">
        <v>121</v>
      </c>
      <c r="Q1128">
        <v>-10</v>
      </c>
      <c r="R1128">
        <v>108.48</v>
      </c>
      <c r="S1128">
        <v>120.96</v>
      </c>
      <c r="T1128">
        <v>131029</v>
      </c>
      <c r="U1128">
        <v>108.48</v>
      </c>
      <c r="V1128">
        <v>120.53</v>
      </c>
      <c r="W1128">
        <v>72.73</v>
      </c>
      <c r="X1128" t="s">
        <v>1667</v>
      </c>
      <c r="Y1128" t="s">
        <v>585</v>
      </c>
      <c r="Z1128">
        <v>10.39</v>
      </c>
      <c r="AA1128">
        <v>113.07</v>
      </c>
      <c r="AB1128">
        <v>63486</v>
      </c>
      <c r="AC1128">
        <v>67543</v>
      </c>
      <c r="AD1128">
        <v>0.94</v>
      </c>
      <c r="AE1128">
        <v>0</v>
      </c>
      <c r="AF1128">
        <v>16412</v>
      </c>
      <c r="AG1128" t="s">
        <v>120</v>
      </c>
      <c r="AH1128">
        <v>0.08</v>
      </c>
      <c r="AI1128">
        <v>0.13</v>
      </c>
      <c r="AJ1128">
        <v>2.65</v>
      </c>
      <c r="AK1128" t="s">
        <v>6298</v>
      </c>
      <c r="AL1128">
        <v>-8.08</v>
      </c>
      <c r="AM1128">
        <v>3250</v>
      </c>
      <c r="AN1128">
        <v>40</v>
      </c>
      <c r="AO1128">
        <v>1.5E-3</v>
      </c>
      <c r="AP1128">
        <v>-1</v>
      </c>
      <c r="AQ1128">
        <v>7.35</v>
      </c>
      <c r="AR1128">
        <v>2.5299999999999998</v>
      </c>
      <c r="AS1128">
        <v>24.72</v>
      </c>
      <c r="AT1128">
        <v>70.7</v>
      </c>
      <c r="AU1128">
        <v>101.23</v>
      </c>
      <c r="AV1128">
        <v>17</v>
      </c>
      <c r="AW1128">
        <v>6.91</v>
      </c>
      <c r="AX1128">
        <v>46.72</v>
      </c>
      <c r="AY1128">
        <v>123.13</v>
      </c>
      <c r="AZ1128">
        <v>189.65</v>
      </c>
      <c r="BA1128">
        <v>1.1599999999999999</v>
      </c>
      <c r="BB1128" t="s">
        <v>700</v>
      </c>
      <c r="BF1128">
        <v>-6.19</v>
      </c>
      <c r="BG1128">
        <v>-10.32</v>
      </c>
      <c r="BH1128">
        <v>-10.35</v>
      </c>
      <c r="BI1128">
        <v>0</v>
      </c>
      <c r="BJ1128">
        <v>20210803</v>
      </c>
      <c r="BK1128">
        <v>20150515</v>
      </c>
      <c r="BL1128">
        <v>4.0599999999999996</v>
      </c>
      <c r="BM1128" t="s">
        <v>120</v>
      </c>
      <c r="BN1128" t="s">
        <v>120</v>
      </c>
      <c r="BO1128">
        <v>55.88</v>
      </c>
      <c r="BP1128" t="s">
        <v>120</v>
      </c>
      <c r="BQ1128">
        <v>43.95</v>
      </c>
      <c r="BR1128">
        <v>0.69</v>
      </c>
      <c r="BS1128">
        <v>20.13</v>
      </c>
      <c r="BT1128">
        <v>31.04</v>
      </c>
      <c r="BU1128">
        <v>16.22</v>
      </c>
      <c r="BV1128">
        <v>2.62</v>
      </c>
      <c r="BW1128">
        <v>9.7799999999999994</v>
      </c>
      <c r="BX1128">
        <v>15.07</v>
      </c>
      <c r="BY1128">
        <v>6.7</v>
      </c>
      <c r="BZ1128">
        <v>1.84</v>
      </c>
      <c r="CA1128">
        <v>0.28000000000000003</v>
      </c>
      <c r="CB1128">
        <v>15.55</v>
      </c>
      <c r="CC1128">
        <v>30.47</v>
      </c>
      <c r="CD1128">
        <v>25.8</v>
      </c>
      <c r="CE1128">
        <v>3.48</v>
      </c>
      <c r="CF1128">
        <v>-0.04</v>
      </c>
      <c r="CG1128">
        <v>3.47</v>
      </c>
      <c r="CH1128">
        <v>3.04</v>
      </c>
      <c r="CI1128">
        <v>3.03</v>
      </c>
      <c r="CJ1128">
        <v>-12.05</v>
      </c>
      <c r="CK1128">
        <v>2.4300000000000002</v>
      </c>
      <c r="CL1128">
        <v>20.92</v>
      </c>
      <c r="CM1128">
        <v>1.2</v>
      </c>
      <c r="CN1128">
        <v>0.9</v>
      </c>
      <c r="CO1128">
        <v>25604</v>
      </c>
      <c r="CP1128">
        <v>7408</v>
      </c>
      <c r="CQ1128" t="s">
        <v>6299</v>
      </c>
      <c r="CR1128">
        <v>85.31</v>
      </c>
      <c r="CS1128">
        <v>36.39</v>
      </c>
      <c r="CT1128">
        <v>10.02</v>
      </c>
      <c r="CU1128">
        <v>365.62</v>
      </c>
      <c r="CV1128">
        <v>14.45</v>
      </c>
      <c r="CW1128">
        <v>0.26</v>
      </c>
      <c r="CX1128" t="s">
        <v>2809</v>
      </c>
      <c r="CY1128">
        <v>10.83</v>
      </c>
      <c r="CZ1128">
        <v>0</v>
      </c>
      <c r="DA1128">
        <v>3.83</v>
      </c>
      <c r="DB1128">
        <v>5.15</v>
      </c>
      <c r="DC1128">
        <v>0.3</v>
      </c>
      <c r="DD1128">
        <v>78.64</v>
      </c>
      <c r="DE1128" t="s">
        <v>6300</v>
      </c>
      <c r="DF1128">
        <v>15.31</v>
      </c>
      <c r="DG1128">
        <v>11.43</v>
      </c>
      <c r="DH1128">
        <v>9.94</v>
      </c>
      <c r="DI1128">
        <v>0.95</v>
      </c>
      <c r="DJ1128">
        <v>1475</v>
      </c>
      <c r="DK1128">
        <v>2756</v>
      </c>
      <c r="DL1128">
        <v>20210831</v>
      </c>
      <c r="DM1128">
        <v>111.6</v>
      </c>
      <c r="DN1128">
        <v>-2.8</v>
      </c>
    </row>
    <row r="1129" spans="1:118">
      <c r="A1129" t="str">
        <f>"002757"</f>
        <v>002757</v>
      </c>
      <c r="B1129" t="s">
        <v>6301</v>
      </c>
      <c r="C1129">
        <v>-3.27</v>
      </c>
      <c r="D1129">
        <v>0.14000000000000001</v>
      </c>
      <c r="E1129">
        <v>7.0000000000000007E-2</v>
      </c>
      <c r="F1129">
        <v>368</v>
      </c>
      <c r="G1129" t="s">
        <v>6302</v>
      </c>
      <c r="H1129">
        <v>6981.87</v>
      </c>
      <c r="I1129">
        <v>13.14</v>
      </c>
      <c r="J1129" t="s">
        <v>120</v>
      </c>
      <c r="K1129" t="s">
        <v>6303</v>
      </c>
      <c r="L1129">
        <v>1.7</v>
      </c>
      <c r="M1129">
        <v>14.77</v>
      </c>
      <c r="N1129">
        <v>1.24</v>
      </c>
      <c r="O1129">
        <v>0.46</v>
      </c>
      <c r="P1129">
        <v>15.34</v>
      </c>
      <c r="Q1129">
        <v>-3.54</v>
      </c>
      <c r="R1129">
        <v>14.73</v>
      </c>
      <c r="S1129">
        <v>15.28</v>
      </c>
      <c r="T1129">
        <v>46620</v>
      </c>
      <c r="U1129">
        <v>14.78</v>
      </c>
      <c r="V1129">
        <v>15.27</v>
      </c>
      <c r="W1129">
        <v>13.28</v>
      </c>
      <c r="X1129" t="s">
        <v>675</v>
      </c>
      <c r="Y1129" t="s">
        <v>547</v>
      </c>
      <c r="Z1129">
        <v>3.99</v>
      </c>
      <c r="AA1129">
        <v>14.98</v>
      </c>
      <c r="AB1129">
        <v>33941</v>
      </c>
      <c r="AC1129">
        <v>12679</v>
      </c>
      <c r="AD1129">
        <v>2.68</v>
      </c>
      <c r="AE1129">
        <v>74</v>
      </c>
      <c r="AF1129">
        <v>14</v>
      </c>
      <c r="AG1129" t="s">
        <v>120</v>
      </c>
      <c r="AH1129">
        <v>0.01</v>
      </c>
      <c r="AI1129" t="s">
        <v>120</v>
      </c>
      <c r="AJ1129">
        <v>2.74</v>
      </c>
      <c r="AK1129" t="s">
        <v>6304</v>
      </c>
      <c r="AL1129">
        <v>-1.36</v>
      </c>
      <c r="AM1129">
        <v>2222</v>
      </c>
      <c r="AN1129">
        <v>21</v>
      </c>
      <c r="AO1129">
        <v>8.0000000000000004E-4</v>
      </c>
      <c r="AP1129">
        <v>-1</v>
      </c>
      <c r="AQ1129">
        <v>1.1299999999999999</v>
      </c>
      <c r="AR1129">
        <v>-3.78</v>
      </c>
      <c r="AS1129">
        <v>1.86</v>
      </c>
      <c r="AT1129">
        <v>1.03</v>
      </c>
      <c r="AU1129">
        <v>-3.08</v>
      </c>
      <c r="AV1129">
        <v>0</v>
      </c>
      <c r="AW1129">
        <v>3.84</v>
      </c>
      <c r="AX1129">
        <v>41.09</v>
      </c>
      <c r="AY1129">
        <v>15.4</v>
      </c>
      <c r="AZ1129">
        <v>17.329999999999998</v>
      </c>
      <c r="BA1129">
        <v>0.52</v>
      </c>
      <c r="BB1129" t="s">
        <v>143</v>
      </c>
      <c r="BF1129">
        <v>-1.92</v>
      </c>
      <c r="BG1129">
        <v>-3.34</v>
      </c>
      <c r="BH1129">
        <v>-3.72</v>
      </c>
      <c r="BI1129">
        <v>0.27</v>
      </c>
      <c r="BJ1129">
        <v>20210901</v>
      </c>
      <c r="BK1129">
        <v>20150527</v>
      </c>
      <c r="BL1129">
        <v>2.95</v>
      </c>
      <c r="BM1129" t="s">
        <v>120</v>
      </c>
      <c r="BN1129" t="s">
        <v>120</v>
      </c>
      <c r="BO1129">
        <v>31.37</v>
      </c>
      <c r="BP1129">
        <v>14.77</v>
      </c>
      <c r="BQ1129">
        <v>21</v>
      </c>
      <c r="BR1129">
        <v>0.24</v>
      </c>
      <c r="BS1129">
        <v>32.29</v>
      </c>
      <c r="BT1129">
        <v>13.44</v>
      </c>
      <c r="BU1129">
        <v>7.88</v>
      </c>
      <c r="BV1129">
        <v>0.98</v>
      </c>
      <c r="BW1129">
        <v>8.34</v>
      </c>
      <c r="BX1129">
        <v>2.62</v>
      </c>
      <c r="BY1129">
        <v>3.55</v>
      </c>
      <c r="BZ1129">
        <v>4.9000000000000004</v>
      </c>
      <c r="CA1129" t="s">
        <v>120</v>
      </c>
      <c r="CB1129">
        <v>8.48</v>
      </c>
      <c r="CC1129">
        <v>13.68</v>
      </c>
      <c r="CD1129">
        <v>10.25</v>
      </c>
      <c r="CE1129">
        <v>1.96</v>
      </c>
      <c r="CF1129">
        <v>0.02</v>
      </c>
      <c r="CG1129">
        <v>1.96</v>
      </c>
      <c r="CH1129">
        <v>1.68</v>
      </c>
      <c r="CI1129">
        <v>1.64</v>
      </c>
      <c r="CJ1129">
        <v>-0.5</v>
      </c>
      <c r="CK1129">
        <v>1.57</v>
      </c>
      <c r="CL1129">
        <v>8.68</v>
      </c>
      <c r="CM1129">
        <v>1.85</v>
      </c>
      <c r="CN1129">
        <v>-1.36</v>
      </c>
      <c r="CO1129">
        <v>14855</v>
      </c>
      <c r="CP1129">
        <v>8172</v>
      </c>
      <c r="CQ1129" t="s">
        <v>6305</v>
      </c>
      <c r="CR1129">
        <v>24.94</v>
      </c>
      <c r="CS1129">
        <v>42.33</v>
      </c>
      <c r="CT1129">
        <v>2.08</v>
      </c>
      <c r="CU1129">
        <v>23.56</v>
      </c>
      <c r="CV1129">
        <v>3.19</v>
      </c>
      <c r="CW1129">
        <v>1.96</v>
      </c>
      <c r="CX1129" t="s">
        <v>1426</v>
      </c>
      <c r="CY1129">
        <v>7.11</v>
      </c>
      <c r="CZ1129">
        <v>0</v>
      </c>
      <c r="DA1129">
        <v>2.87</v>
      </c>
      <c r="DB1129">
        <v>2.94</v>
      </c>
      <c r="DC1129">
        <v>0.63</v>
      </c>
      <c r="DD1129">
        <v>66.930000000000007</v>
      </c>
      <c r="DE1129" t="s">
        <v>5430</v>
      </c>
      <c r="DF1129">
        <v>25.05</v>
      </c>
      <c r="DG1129">
        <v>14.36</v>
      </c>
      <c r="DH1129">
        <v>12.01</v>
      </c>
      <c r="DI1129">
        <v>0.62</v>
      </c>
      <c r="DJ1129">
        <v>1880</v>
      </c>
      <c r="DK1129">
        <v>2757</v>
      </c>
      <c r="DL1129" t="s">
        <v>120</v>
      </c>
      <c r="DM1129" t="s">
        <v>120</v>
      </c>
      <c r="DN1129" t="s">
        <v>120</v>
      </c>
    </row>
    <row r="1130" spans="1:118">
      <c r="A1130" t="str">
        <f>"002758"</f>
        <v>002758</v>
      </c>
      <c r="B1130" t="s">
        <v>6306</v>
      </c>
      <c r="C1130">
        <v>-1.38</v>
      </c>
      <c r="D1130">
        <v>0.2</v>
      </c>
      <c r="E1130">
        <v>-0.2</v>
      </c>
      <c r="F1130">
        <v>157</v>
      </c>
      <c r="G1130" t="s">
        <v>6307</v>
      </c>
      <c r="H1130">
        <v>2837.47</v>
      </c>
      <c r="I1130">
        <v>6.26</v>
      </c>
      <c r="J1130" t="s">
        <v>120</v>
      </c>
      <c r="K1130" t="s">
        <v>2233</v>
      </c>
      <c r="L1130">
        <v>1.45</v>
      </c>
      <c r="M1130">
        <v>9.9700000000000006</v>
      </c>
      <c r="N1130">
        <v>0.87</v>
      </c>
      <c r="O1130">
        <v>1.0900000000000001</v>
      </c>
      <c r="P1130">
        <v>10.220000000000001</v>
      </c>
      <c r="Q1130">
        <v>-2.08</v>
      </c>
      <c r="R1130">
        <v>9.9</v>
      </c>
      <c r="S1130">
        <v>10.09</v>
      </c>
      <c r="T1130">
        <v>28249</v>
      </c>
      <c r="U1130">
        <v>9.9700000000000006</v>
      </c>
      <c r="V1130">
        <v>10.11</v>
      </c>
      <c r="W1130">
        <v>11.6</v>
      </c>
      <c r="X1130" t="s">
        <v>274</v>
      </c>
      <c r="Y1130" t="s">
        <v>585</v>
      </c>
      <c r="Z1130">
        <v>3.17</v>
      </c>
      <c r="AA1130">
        <v>10.039999999999999</v>
      </c>
      <c r="AB1130">
        <v>14701</v>
      </c>
      <c r="AC1130">
        <v>13548</v>
      </c>
      <c r="AD1130">
        <v>1.0900000000000001</v>
      </c>
      <c r="AE1130">
        <v>10</v>
      </c>
      <c r="AF1130">
        <v>339</v>
      </c>
      <c r="AG1130" t="s">
        <v>120</v>
      </c>
      <c r="AH1130">
        <v>0</v>
      </c>
      <c r="AI1130" t="s">
        <v>120</v>
      </c>
      <c r="AJ1130">
        <v>1.95</v>
      </c>
      <c r="AK1130" t="s">
        <v>6308</v>
      </c>
      <c r="AL1130">
        <v>0.53</v>
      </c>
      <c r="AM1130">
        <v>1405</v>
      </c>
      <c r="AN1130">
        <v>20</v>
      </c>
      <c r="AO1130">
        <v>1E-3</v>
      </c>
      <c r="AP1130">
        <v>-1</v>
      </c>
      <c r="AQ1130">
        <v>3.16</v>
      </c>
      <c r="AR1130">
        <v>0.81</v>
      </c>
      <c r="AS1130">
        <v>9.68</v>
      </c>
      <c r="AT1130">
        <v>4.84</v>
      </c>
      <c r="AU1130">
        <v>-14.57</v>
      </c>
      <c r="AV1130">
        <v>1</v>
      </c>
      <c r="AW1130">
        <v>2.02</v>
      </c>
      <c r="AX1130">
        <v>28.67</v>
      </c>
      <c r="AY1130">
        <v>10.7</v>
      </c>
      <c r="AZ1130">
        <v>14.05</v>
      </c>
      <c r="BA1130">
        <v>0.18</v>
      </c>
      <c r="BB1130" t="s">
        <v>700</v>
      </c>
      <c r="BF1130">
        <v>-0.65</v>
      </c>
      <c r="BG1130">
        <v>-1.19</v>
      </c>
      <c r="BH1130">
        <v>-2.4500000000000002</v>
      </c>
      <c r="BI1130">
        <v>0.71</v>
      </c>
      <c r="BJ1130">
        <v>20210830</v>
      </c>
      <c r="BK1130">
        <v>20150527</v>
      </c>
      <c r="BL1130">
        <v>4.88</v>
      </c>
      <c r="BM1130" t="s">
        <v>120</v>
      </c>
      <c r="BN1130" t="s">
        <v>120</v>
      </c>
      <c r="BO1130">
        <v>136.63999999999999</v>
      </c>
      <c r="BP1130">
        <v>9.9600000000000009</v>
      </c>
      <c r="BQ1130">
        <v>30.97</v>
      </c>
      <c r="BR1130">
        <v>19.14</v>
      </c>
      <c r="BS1130">
        <v>63.33</v>
      </c>
      <c r="BT1130">
        <v>103.01</v>
      </c>
      <c r="BU1130">
        <v>10.119999999999999</v>
      </c>
      <c r="BV1130">
        <v>3.85</v>
      </c>
      <c r="BW1130">
        <v>78.36</v>
      </c>
      <c r="BX1130">
        <v>27.99</v>
      </c>
      <c r="BY1130">
        <v>40.17</v>
      </c>
      <c r="BZ1130">
        <v>8.43</v>
      </c>
      <c r="CA1130" t="s">
        <v>120</v>
      </c>
      <c r="CB1130">
        <v>4.96</v>
      </c>
      <c r="CC1130">
        <v>176.61</v>
      </c>
      <c r="CD1130">
        <v>164.41</v>
      </c>
      <c r="CE1130">
        <v>5.42</v>
      </c>
      <c r="CF1130">
        <v>0.32</v>
      </c>
      <c r="CG1130">
        <v>5.47</v>
      </c>
      <c r="CH1130">
        <v>4.2699999999999996</v>
      </c>
      <c r="CI1130">
        <v>2.1</v>
      </c>
      <c r="CJ1130">
        <v>-0.14000000000000001</v>
      </c>
      <c r="CK1130">
        <v>1.84</v>
      </c>
      <c r="CL1130">
        <v>18.87</v>
      </c>
      <c r="CM1130">
        <v>4.54</v>
      </c>
      <c r="CN1130">
        <v>7.25</v>
      </c>
      <c r="CO1130">
        <v>15001</v>
      </c>
      <c r="CP1130">
        <v>9326</v>
      </c>
      <c r="CQ1130" t="s">
        <v>6309</v>
      </c>
      <c r="CR1130">
        <v>110.52</v>
      </c>
      <c r="CS1130">
        <v>33.72</v>
      </c>
      <c r="CT1130">
        <v>1.59</v>
      </c>
      <c r="CU1130">
        <v>10.71</v>
      </c>
      <c r="CV1130">
        <v>0.28000000000000003</v>
      </c>
      <c r="CW1130">
        <v>1.78</v>
      </c>
      <c r="CX1130" t="s">
        <v>1462</v>
      </c>
      <c r="CY1130">
        <v>6.27</v>
      </c>
      <c r="CZ1130">
        <v>6.27</v>
      </c>
      <c r="DA1130">
        <v>1.02</v>
      </c>
      <c r="DB1130">
        <v>3.87</v>
      </c>
      <c r="DC1130">
        <v>0.93</v>
      </c>
      <c r="DD1130">
        <v>22.66</v>
      </c>
      <c r="DE1130" t="s">
        <v>5015</v>
      </c>
      <c r="DF1130">
        <v>6.9</v>
      </c>
      <c r="DG1130">
        <v>3.07</v>
      </c>
      <c r="DH1130">
        <v>1.19</v>
      </c>
      <c r="DI1130">
        <v>7.0000000000000007E-2</v>
      </c>
      <c r="DJ1130">
        <v>6392</v>
      </c>
      <c r="DK1130">
        <v>2758</v>
      </c>
      <c r="DL1130" t="s">
        <v>120</v>
      </c>
      <c r="DM1130" t="s">
        <v>120</v>
      </c>
      <c r="DN1130" t="s">
        <v>120</v>
      </c>
    </row>
    <row r="1131" spans="1:118">
      <c r="A1131" t="str">
        <f>"002759"</f>
        <v>002759</v>
      </c>
      <c r="B1131" t="s">
        <v>6310</v>
      </c>
      <c r="C1131">
        <v>-4.7300000000000004</v>
      </c>
      <c r="D1131">
        <v>0</v>
      </c>
      <c r="E1131">
        <v>1.04</v>
      </c>
      <c r="F1131">
        <v>6816</v>
      </c>
      <c r="G1131" t="s">
        <v>6311</v>
      </c>
      <c r="H1131">
        <v>303592.46999999997</v>
      </c>
      <c r="I1131">
        <v>4870.3599999999997</v>
      </c>
      <c r="J1131" t="s">
        <v>120</v>
      </c>
      <c r="K1131" t="s">
        <v>6312</v>
      </c>
      <c r="L1131">
        <v>15.09</v>
      </c>
      <c r="M1131">
        <v>48.56</v>
      </c>
      <c r="N1131">
        <v>1.63</v>
      </c>
      <c r="O1131">
        <v>4</v>
      </c>
      <c r="P1131">
        <v>53.01</v>
      </c>
      <c r="Q1131">
        <v>-7.47</v>
      </c>
      <c r="R1131">
        <v>47.16</v>
      </c>
      <c r="S1131">
        <v>51.5</v>
      </c>
      <c r="T1131">
        <v>606819</v>
      </c>
      <c r="U1131">
        <v>48.56</v>
      </c>
      <c r="V1131">
        <v>50.97</v>
      </c>
      <c r="W1131">
        <v>47.65</v>
      </c>
      <c r="X1131" t="s">
        <v>205</v>
      </c>
      <c r="Y1131" t="s">
        <v>547</v>
      </c>
      <c r="Z1131">
        <v>11.48</v>
      </c>
      <c r="AA1131">
        <v>50.03</v>
      </c>
      <c r="AB1131">
        <v>312540</v>
      </c>
      <c r="AC1131">
        <v>294279</v>
      </c>
      <c r="AD1131">
        <v>1.06</v>
      </c>
      <c r="AE1131">
        <v>117</v>
      </c>
      <c r="AF1131">
        <v>211</v>
      </c>
      <c r="AG1131" t="s">
        <v>120</v>
      </c>
      <c r="AH1131">
        <v>0.42</v>
      </c>
      <c r="AI1131" t="s">
        <v>120</v>
      </c>
      <c r="AJ1131">
        <v>4.0199999999999996</v>
      </c>
      <c r="AK1131" t="s">
        <v>6313</v>
      </c>
      <c r="AL1131">
        <v>-2.81</v>
      </c>
      <c r="AM1131">
        <v>4715</v>
      </c>
      <c r="AN1131">
        <v>129</v>
      </c>
      <c r="AO1131">
        <v>3.2000000000000002E-3</v>
      </c>
      <c r="AP1131">
        <v>-1</v>
      </c>
      <c r="AQ1131">
        <v>9.99</v>
      </c>
      <c r="AR1131">
        <v>11.37</v>
      </c>
      <c r="AS1131">
        <v>23.88</v>
      </c>
      <c r="AT1131">
        <v>46.98</v>
      </c>
      <c r="AU1131">
        <v>192.18</v>
      </c>
      <c r="AV1131">
        <v>28</v>
      </c>
      <c r="AW1131">
        <v>26.92</v>
      </c>
      <c r="AX1131">
        <v>56.05</v>
      </c>
      <c r="AY1131">
        <v>89.98</v>
      </c>
      <c r="AZ1131" t="s">
        <v>120</v>
      </c>
      <c r="BA1131">
        <v>1.27</v>
      </c>
      <c r="BB1131" t="s">
        <v>184</v>
      </c>
      <c r="BF1131">
        <v>-1.84</v>
      </c>
      <c r="BG1131">
        <v>-5.71</v>
      </c>
      <c r="BH1131">
        <v>-8.39</v>
      </c>
      <c r="BI1131">
        <v>2.97</v>
      </c>
      <c r="BJ1131">
        <v>20210727</v>
      </c>
      <c r="BK1131">
        <v>20150528</v>
      </c>
      <c r="BL1131">
        <v>4.0199999999999996</v>
      </c>
      <c r="BM1131" t="s">
        <v>120</v>
      </c>
      <c r="BN1131" t="s">
        <v>120</v>
      </c>
      <c r="BO1131">
        <v>33.14</v>
      </c>
      <c r="BP1131">
        <v>48.55</v>
      </c>
      <c r="BQ1131">
        <v>28.73</v>
      </c>
      <c r="BR1131" t="s">
        <v>120</v>
      </c>
      <c r="BS1131">
        <v>13.31</v>
      </c>
      <c r="BT1131">
        <v>9.99</v>
      </c>
      <c r="BU1131">
        <v>5.76</v>
      </c>
      <c r="BV1131">
        <v>1.26</v>
      </c>
      <c r="BW1131">
        <v>4.3899999999999997</v>
      </c>
      <c r="BX1131">
        <v>1.18</v>
      </c>
      <c r="BY1131">
        <v>1.52</v>
      </c>
      <c r="BZ1131">
        <v>4.28</v>
      </c>
      <c r="CA1131" t="s">
        <v>120</v>
      </c>
      <c r="CB1131">
        <v>19.170000000000002</v>
      </c>
      <c r="CC1131">
        <v>7.52</v>
      </c>
      <c r="CD1131">
        <v>4</v>
      </c>
      <c r="CE1131">
        <v>2.46</v>
      </c>
      <c r="CF1131">
        <v>0.05</v>
      </c>
      <c r="CG1131">
        <v>2.46</v>
      </c>
      <c r="CH1131">
        <v>2.0499999999999998</v>
      </c>
      <c r="CI1131">
        <v>2.0499999999999998</v>
      </c>
      <c r="CJ1131">
        <v>-2.41</v>
      </c>
      <c r="CK1131">
        <v>1.98</v>
      </c>
      <c r="CL1131">
        <v>5</v>
      </c>
      <c r="CM1131">
        <v>2.17</v>
      </c>
      <c r="CN1131">
        <v>0.28999999999999998</v>
      </c>
      <c r="CO1131">
        <v>29945</v>
      </c>
      <c r="CP1131">
        <v>7527</v>
      </c>
      <c r="CQ1131" t="s">
        <v>6314</v>
      </c>
      <c r="CR1131">
        <v>708.98</v>
      </c>
      <c r="CS1131">
        <v>177.15</v>
      </c>
      <c r="CT1131">
        <v>6.8</v>
      </c>
      <c r="CU1131">
        <v>89.82</v>
      </c>
      <c r="CV1131">
        <v>25.98</v>
      </c>
      <c r="CW1131">
        <v>0</v>
      </c>
      <c r="CX1131" t="s">
        <v>1001</v>
      </c>
      <c r="CY1131">
        <v>7.14</v>
      </c>
      <c r="CZ1131">
        <v>0</v>
      </c>
      <c r="DA1131">
        <v>4.7699999999999996</v>
      </c>
      <c r="DB1131">
        <v>1.24</v>
      </c>
      <c r="DC1131">
        <v>0.54</v>
      </c>
      <c r="DD1131">
        <v>86.69</v>
      </c>
      <c r="DE1131" t="s">
        <v>4037</v>
      </c>
      <c r="DF1131">
        <v>46.75</v>
      </c>
      <c r="DG1131">
        <v>32.75</v>
      </c>
      <c r="DH1131">
        <v>27.27</v>
      </c>
      <c r="DI1131">
        <v>0.28000000000000003</v>
      </c>
      <c r="DJ1131">
        <v>980</v>
      </c>
      <c r="DK1131">
        <v>2759</v>
      </c>
      <c r="DL1131">
        <v>20210601</v>
      </c>
      <c r="DM1131">
        <v>27.29</v>
      </c>
      <c r="DN1131">
        <v>77.94</v>
      </c>
    </row>
    <row r="1132" spans="1:118">
      <c r="A1132" t="str">
        <f>"002760"</f>
        <v>002760</v>
      </c>
      <c r="B1132" t="s">
        <v>6315</v>
      </c>
      <c r="C1132">
        <v>-3.45</v>
      </c>
      <c r="D1132">
        <v>0</v>
      </c>
      <c r="E1132">
        <v>-0.14000000000000001</v>
      </c>
      <c r="F1132">
        <v>313</v>
      </c>
      <c r="G1132" t="s">
        <v>6316</v>
      </c>
      <c r="H1132">
        <v>6885.16</v>
      </c>
      <c r="I1132">
        <v>12.11</v>
      </c>
      <c r="J1132" t="s">
        <v>120</v>
      </c>
      <c r="K1132" t="s">
        <v>6317</v>
      </c>
      <c r="L1132">
        <v>3.6</v>
      </c>
      <c r="M1132">
        <v>21.29</v>
      </c>
      <c r="N1132">
        <v>0.56000000000000005</v>
      </c>
      <c r="O1132">
        <v>0.45</v>
      </c>
      <c r="P1132">
        <v>22.15</v>
      </c>
      <c r="Q1132">
        <v>-3.81</v>
      </c>
      <c r="R1132">
        <v>21.21</v>
      </c>
      <c r="S1132">
        <v>22.02</v>
      </c>
      <c r="T1132">
        <v>31692</v>
      </c>
      <c r="U1132">
        <v>21.3</v>
      </c>
      <c r="V1132">
        <v>22.05</v>
      </c>
      <c r="W1132">
        <v>22.73</v>
      </c>
      <c r="X1132" t="s">
        <v>959</v>
      </c>
      <c r="Y1132" t="s">
        <v>570</v>
      </c>
      <c r="Z1132">
        <v>4.26</v>
      </c>
      <c r="AA1132">
        <v>21.73</v>
      </c>
      <c r="AB1132">
        <v>18909</v>
      </c>
      <c r="AC1132">
        <v>12783</v>
      </c>
      <c r="AD1132">
        <v>1.48</v>
      </c>
      <c r="AE1132">
        <v>225</v>
      </c>
      <c r="AF1132">
        <v>302</v>
      </c>
      <c r="AG1132" t="s">
        <v>120</v>
      </c>
      <c r="AH1132">
        <v>0.01</v>
      </c>
      <c r="AI1132" t="s">
        <v>120</v>
      </c>
      <c r="AJ1132">
        <v>0.88</v>
      </c>
      <c r="AK1132" t="s">
        <v>3363</v>
      </c>
      <c r="AL1132">
        <v>-1.53</v>
      </c>
      <c r="AM1132">
        <v>1987</v>
      </c>
      <c r="AN1132">
        <v>16</v>
      </c>
      <c r="AO1132">
        <v>1.8E-3</v>
      </c>
      <c r="AP1132">
        <v>-5</v>
      </c>
      <c r="AQ1132">
        <v>-2.17</v>
      </c>
      <c r="AR1132">
        <v>-5.71</v>
      </c>
      <c r="AS1132">
        <v>-8.4700000000000006</v>
      </c>
      <c r="AT1132">
        <v>-9.98</v>
      </c>
      <c r="AU1132">
        <v>26.65</v>
      </c>
      <c r="AV1132">
        <v>3</v>
      </c>
      <c r="AW1132">
        <v>6.1</v>
      </c>
      <c r="AX1132">
        <v>59</v>
      </c>
      <c r="AY1132">
        <v>26.58</v>
      </c>
      <c r="AZ1132">
        <v>31.83</v>
      </c>
      <c r="BA1132">
        <v>1.43</v>
      </c>
      <c r="BB1132" t="s">
        <v>143</v>
      </c>
      <c r="BF1132">
        <v>-1.47</v>
      </c>
      <c r="BG1132">
        <v>-3.32</v>
      </c>
      <c r="BH1132">
        <v>-3.88</v>
      </c>
      <c r="BI1132">
        <v>0.38</v>
      </c>
      <c r="BJ1132">
        <v>20210831</v>
      </c>
      <c r="BK1132">
        <v>20150611</v>
      </c>
      <c r="BL1132">
        <v>0.88</v>
      </c>
      <c r="BM1132" t="s">
        <v>120</v>
      </c>
      <c r="BN1132" t="s">
        <v>120</v>
      </c>
      <c r="BO1132">
        <v>13.53</v>
      </c>
      <c r="BP1132">
        <v>21.29</v>
      </c>
      <c r="BQ1132">
        <v>5.19</v>
      </c>
      <c r="BR1132" t="s">
        <v>120</v>
      </c>
      <c r="BS1132">
        <v>61.59</v>
      </c>
      <c r="BT1132">
        <v>6.61</v>
      </c>
      <c r="BU1132">
        <v>3.25</v>
      </c>
      <c r="BV1132">
        <v>0.69</v>
      </c>
      <c r="BW1132">
        <v>5.5</v>
      </c>
      <c r="BX1132">
        <v>2.16</v>
      </c>
      <c r="BY1132">
        <v>1.91</v>
      </c>
      <c r="BZ1132">
        <v>1.54</v>
      </c>
      <c r="CA1132">
        <v>0</v>
      </c>
      <c r="CB1132">
        <v>0.85</v>
      </c>
      <c r="CC1132">
        <v>4.1900000000000004</v>
      </c>
      <c r="CD1132">
        <v>3.2</v>
      </c>
      <c r="CE1132">
        <v>0.56000000000000005</v>
      </c>
      <c r="CF1132">
        <v>0</v>
      </c>
      <c r="CG1132">
        <v>0.56000000000000005</v>
      </c>
      <c r="CH1132">
        <v>0.48</v>
      </c>
      <c r="CI1132">
        <v>0.41</v>
      </c>
      <c r="CJ1132">
        <v>-0.76</v>
      </c>
      <c r="CK1132">
        <v>0.33</v>
      </c>
      <c r="CL1132">
        <v>3.03</v>
      </c>
      <c r="CM1132">
        <v>0.41</v>
      </c>
      <c r="CN1132">
        <v>-0.02</v>
      </c>
      <c r="CO1132">
        <v>6988</v>
      </c>
      <c r="CP1132">
        <v>7429</v>
      </c>
      <c r="CQ1132" t="s">
        <v>6318</v>
      </c>
      <c r="CR1132">
        <v>41.18</v>
      </c>
      <c r="CS1132">
        <v>43.62</v>
      </c>
      <c r="CT1132">
        <v>3.61</v>
      </c>
      <c r="CU1132">
        <v>45.96</v>
      </c>
      <c r="CV1132">
        <v>4.4800000000000004</v>
      </c>
      <c r="CW1132">
        <v>0.54</v>
      </c>
      <c r="CX1132" t="s">
        <v>1071</v>
      </c>
      <c r="CY1132">
        <v>5.9</v>
      </c>
      <c r="CZ1132">
        <v>0</v>
      </c>
      <c r="DA1132">
        <v>0.97</v>
      </c>
      <c r="DB1132">
        <v>3.45</v>
      </c>
      <c r="DC1132">
        <v>0.46</v>
      </c>
      <c r="DD1132">
        <v>38.409999999999997</v>
      </c>
      <c r="DE1132" t="s">
        <v>6319</v>
      </c>
      <c r="DF1132">
        <v>23.44</v>
      </c>
      <c r="DG1132">
        <v>13.39</v>
      </c>
      <c r="DH1132">
        <v>9.85</v>
      </c>
      <c r="DI1132">
        <v>0.13</v>
      </c>
      <c r="DJ1132">
        <v>980</v>
      </c>
      <c r="DK1132">
        <v>2760</v>
      </c>
      <c r="DL1132">
        <v>20210622</v>
      </c>
      <c r="DM1132">
        <v>24.93</v>
      </c>
      <c r="DN1132">
        <v>-14.6</v>
      </c>
    </row>
    <row r="1133" spans="1:118">
      <c r="A1133" t="str">
        <f>"002761"</f>
        <v>002761</v>
      </c>
      <c r="B1133" t="s">
        <v>6320</v>
      </c>
      <c r="C1133">
        <v>-0.76</v>
      </c>
      <c r="D1133">
        <v>0.13</v>
      </c>
      <c r="E1133">
        <v>0.51</v>
      </c>
      <c r="F1133">
        <v>530</v>
      </c>
      <c r="G1133" t="s">
        <v>6321</v>
      </c>
      <c r="H1133">
        <v>2238.3000000000002</v>
      </c>
      <c r="I1133">
        <v>1.43</v>
      </c>
      <c r="J1133" t="s">
        <v>120</v>
      </c>
      <c r="K1133" t="s">
        <v>6322</v>
      </c>
      <c r="L1133">
        <v>1.1599999999999999</v>
      </c>
      <c r="M1133">
        <v>7.83</v>
      </c>
      <c r="N1133">
        <v>0.77</v>
      </c>
      <c r="O1133">
        <v>2.0299999999999998</v>
      </c>
      <c r="P1133">
        <v>8.0500000000000007</v>
      </c>
      <c r="Q1133">
        <v>-1.01</v>
      </c>
      <c r="R1133">
        <v>7.81</v>
      </c>
      <c r="S1133">
        <v>7.93</v>
      </c>
      <c r="T1133">
        <v>28237</v>
      </c>
      <c r="U1133">
        <v>7.84</v>
      </c>
      <c r="V1133">
        <v>7.89</v>
      </c>
      <c r="W1133">
        <v>6.94</v>
      </c>
      <c r="X1133" t="s">
        <v>175</v>
      </c>
      <c r="Y1133" t="s">
        <v>585</v>
      </c>
      <c r="Z1133">
        <v>3.04</v>
      </c>
      <c r="AA1133">
        <v>7.93</v>
      </c>
      <c r="AB1133">
        <v>13754</v>
      </c>
      <c r="AC1133">
        <v>14483</v>
      </c>
      <c r="AD1133">
        <v>0.95</v>
      </c>
      <c r="AE1133">
        <v>4</v>
      </c>
      <c r="AF1133">
        <v>80</v>
      </c>
      <c r="AG1133" t="s">
        <v>120</v>
      </c>
      <c r="AH1133">
        <v>0</v>
      </c>
      <c r="AI1133" t="s">
        <v>120</v>
      </c>
      <c r="AJ1133">
        <v>2.4300000000000002</v>
      </c>
      <c r="AK1133" t="s">
        <v>6323</v>
      </c>
      <c r="AL1133">
        <v>1.1499999999999999</v>
      </c>
      <c r="AM1133">
        <v>1493</v>
      </c>
      <c r="AN1133">
        <v>19</v>
      </c>
      <c r="AO1133">
        <v>8.0000000000000004E-4</v>
      </c>
      <c r="AP1133">
        <v>-1</v>
      </c>
      <c r="AQ1133">
        <v>0.13</v>
      </c>
      <c r="AR1133">
        <v>-2.61</v>
      </c>
      <c r="AS1133">
        <v>6.97</v>
      </c>
      <c r="AT1133">
        <v>-5.43</v>
      </c>
      <c r="AU1133">
        <v>-2.37</v>
      </c>
      <c r="AV1133">
        <v>0</v>
      </c>
      <c r="AW1133">
        <v>1.62</v>
      </c>
      <c r="AX1133">
        <v>16.079999999999998</v>
      </c>
      <c r="AY1133">
        <v>7.19</v>
      </c>
      <c r="AZ1133">
        <v>7.94</v>
      </c>
      <c r="BA1133">
        <v>0.36</v>
      </c>
      <c r="BB1133" t="s">
        <v>143</v>
      </c>
      <c r="BF1133">
        <v>0.47</v>
      </c>
      <c r="BG1133">
        <v>-1.26</v>
      </c>
      <c r="BH1133">
        <v>-2.73</v>
      </c>
      <c r="BI1133">
        <v>0.26</v>
      </c>
      <c r="BJ1133">
        <v>20210831</v>
      </c>
      <c r="BK1133">
        <v>20150610</v>
      </c>
      <c r="BL1133">
        <v>10.81</v>
      </c>
      <c r="BM1133" t="s">
        <v>120</v>
      </c>
      <c r="BN1133" t="s">
        <v>120</v>
      </c>
      <c r="BO1133">
        <v>918.03</v>
      </c>
      <c r="BP1133">
        <v>7.83</v>
      </c>
      <c r="BQ1133">
        <v>62.37</v>
      </c>
      <c r="BR1133">
        <v>16.489999999999998</v>
      </c>
      <c r="BS1133">
        <v>91.41</v>
      </c>
      <c r="BT1133">
        <v>685.11</v>
      </c>
      <c r="BU1133">
        <v>26.44</v>
      </c>
      <c r="BV1133">
        <v>6.46</v>
      </c>
      <c r="BW1133">
        <v>716.4</v>
      </c>
      <c r="BX1133">
        <v>61.35</v>
      </c>
      <c r="BY1133">
        <v>13.19</v>
      </c>
      <c r="BZ1133">
        <v>292.74</v>
      </c>
      <c r="CA1133">
        <v>0.18</v>
      </c>
      <c r="CB1133">
        <v>7.8</v>
      </c>
      <c r="CC1133">
        <v>460.34</v>
      </c>
      <c r="CD1133">
        <v>439.56</v>
      </c>
      <c r="CE1133">
        <v>9.01</v>
      </c>
      <c r="CF1133">
        <v>-0.06</v>
      </c>
      <c r="CG1133">
        <v>9.44</v>
      </c>
      <c r="CH1133">
        <v>7.15</v>
      </c>
      <c r="CI1133">
        <v>6.1</v>
      </c>
      <c r="CJ1133">
        <v>-0.06</v>
      </c>
      <c r="CK1133">
        <v>5.13</v>
      </c>
      <c r="CL1133">
        <v>30.64</v>
      </c>
      <c r="CM1133">
        <v>-33.369999999999997</v>
      </c>
      <c r="CN1133">
        <v>-28.96</v>
      </c>
      <c r="CO1133">
        <v>21438</v>
      </c>
      <c r="CP1133">
        <v>8113</v>
      </c>
      <c r="CQ1133" t="s">
        <v>4121</v>
      </c>
      <c r="CR1133">
        <v>22.3</v>
      </c>
      <c r="CS1133">
        <v>23.94</v>
      </c>
      <c r="CT1133">
        <v>1.62</v>
      </c>
      <c r="CU1133">
        <v>-2.54</v>
      </c>
      <c r="CV1133">
        <v>0.18</v>
      </c>
      <c r="CW1133">
        <v>2.5299999999999998</v>
      </c>
      <c r="CX1133" t="s">
        <v>948</v>
      </c>
      <c r="CY1133">
        <v>4.84</v>
      </c>
      <c r="CZ1133">
        <v>4.84</v>
      </c>
      <c r="DA1133">
        <v>0.72</v>
      </c>
      <c r="DB1133">
        <v>2.83</v>
      </c>
      <c r="DC1133">
        <v>-3.09</v>
      </c>
      <c r="DD1133">
        <v>6.79</v>
      </c>
      <c r="DE1133" t="s">
        <v>6324</v>
      </c>
      <c r="DF1133">
        <v>4.51</v>
      </c>
      <c r="DG1133">
        <v>1.96</v>
      </c>
      <c r="DH1133">
        <v>1.33</v>
      </c>
      <c r="DI1133">
        <v>1.6</v>
      </c>
      <c r="DJ1133">
        <v>20546</v>
      </c>
      <c r="DK1133">
        <v>2761</v>
      </c>
      <c r="DL1133" t="s">
        <v>120</v>
      </c>
      <c r="DM1133" t="s">
        <v>120</v>
      </c>
      <c r="DN1133" t="s">
        <v>120</v>
      </c>
    </row>
    <row r="1134" spans="1:118">
      <c r="A1134" t="str">
        <f>"002762"</f>
        <v>002762</v>
      </c>
      <c r="B1134" t="s">
        <v>6325</v>
      </c>
      <c r="C1134">
        <v>-1.85</v>
      </c>
      <c r="D1134">
        <v>0</v>
      </c>
      <c r="E1134">
        <v>-0.31</v>
      </c>
      <c r="F1134">
        <v>1302</v>
      </c>
      <c r="G1134" t="s">
        <v>6326</v>
      </c>
      <c r="H1134">
        <v>13532.1</v>
      </c>
      <c r="I1134">
        <v>34.82</v>
      </c>
      <c r="J1134" t="s">
        <v>120</v>
      </c>
      <c r="K1134" t="s">
        <v>6327</v>
      </c>
      <c r="L1134">
        <v>7.07</v>
      </c>
      <c r="M1134">
        <v>9.5500000000000007</v>
      </c>
      <c r="N1134">
        <v>1.32</v>
      </c>
      <c r="O1134">
        <v>2.4700000000000002</v>
      </c>
      <c r="P1134">
        <v>9.9700000000000006</v>
      </c>
      <c r="Q1134">
        <v>-2.16</v>
      </c>
      <c r="R1134">
        <v>9.52</v>
      </c>
      <c r="S1134">
        <v>9.6999999999999993</v>
      </c>
      <c r="T1134">
        <v>138438</v>
      </c>
      <c r="U1134">
        <v>9.56</v>
      </c>
      <c r="V1134">
        <v>9.73</v>
      </c>
      <c r="W1134">
        <v>101.37</v>
      </c>
      <c r="X1134" t="s">
        <v>2806</v>
      </c>
      <c r="Y1134" t="s">
        <v>547</v>
      </c>
      <c r="Z1134">
        <v>4.62</v>
      </c>
      <c r="AA1134">
        <v>9.77</v>
      </c>
      <c r="AB1134">
        <v>67997</v>
      </c>
      <c r="AC1134">
        <v>70441</v>
      </c>
      <c r="AD1134">
        <v>0.97</v>
      </c>
      <c r="AE1134">
        <v>2883</v>
      </c>
      <c r="AF1134">
        <v>213</v>
      </c>
      <c r="AG1134" t="s">
        <v>120</v>
      </c>
      <c r="AH1134">
        <v>0.02</v>
      </c>
      <c r="AI1134" t="s">
        <v>120</v>
      </c>
      <c r="AJ1134">
        <v>1.96</v>
      </c>
      <c r="AK1134" t="s">
        <v>3143</v>
      </c>
      <c r="AL1134">
        <v>0.06</v>
      </c>
      <c r="AM1134">
        <v>3060</v>
      </c>
      <c r="AN1134">
        <v>45</v>
      </c>
      <c r="AO1134">
        <v>2.3E-3</v>
      </c>
      <c r="AP1134">
        <v>-1</v>
      </c>
      <c r="AQ1134">
        <v>0.93</v>
      </c>
      <c r="AR1134">
        <v>-2.85</v>
      </c>
      <c r="AS1134">
        <v>-14.2</v>
      </c>
      <c r="AT1134">
        <v>-33.909999999999997</v>
      </c>
      <c r="AU1134">
        <v>66.95</v>
      </c>
      <c r="AV1134">
        <v>17</v>
      </c>
      <c r="AW1134">
        <v>9.4700000000000006</v>
      </c>
      <c r="AX1134">
        <v>41.28</v>
      </c>
      <c r="AY1134">
        <v>88.78</v>
      </c>
      <c r="AZ1134">
        <v>105.66</v>
      </c>
      <c r="BA1134">
        <v>1.3</v>
      </c>
      <c r="BB1134" t="s">
        <v>168</v>
      </c>
      <c r="BF1134">
        <v>0.46</v>
      </c>
      <c r="BG1134">
        <v>-1.55</v>
      </c>
      <c r="BH1134">
        <v>-4.21</v>
      </c>
      <c r="BI1134">
        <v>0.32</v>
      </c>
      <c r="BJ1134">
        <v>20210813</v>
      </c>
      <c r="BK1134">
        <v>20150610</v>
      </c>
      <c r="BL1134">
        <v>3.54</v>
      </c>
      <c r="BM1134" t="s">
        <v>120</v>
      </c>
      <c r="BN1134" t="s">
        <v>120</v>
      </c>
      <c r="BO1134">
        <v>10.54</v>
      </c>
      <c r="BP1134">
        <v>9.5500000000000007</v>
      </c>
      <c r="BQ1134">
        <v>9.84</v>
      </c>
      <c r="BR1134">
        <v>0.02</v>
      </c>
      <c r="BS1134">
        <v>6.49</v>
      </c>
      <c r="BT1134">
        <v>3.69</v>
      </c>
      <c r="BU1134">
        <v>1.64</v>
      </c>
      <c r="BV1134">
        <v>0.53</v>
      </c>
      <c r="BW1134">
        <v>0.68</v>
      </c>
      <c r="BX1134">
        <v>1.1499999999999999</v>
      </c>
      <c r="BY1134">
        <v>1.42</v>
      </c>
      <c r="BZ1134">
        <v>0.22</v>
      </c>
      <c r="CA1134" t="s">
        <v>120</v>
      </c>
      <c r="CB1134">
        <v>1.6</v>
      </c>
      <c r="CC1134">
        <v>1.29</v>
      </c>
      <c r="CD1134">
        <v>0.53</v>
      </c>
      <c r="CE1134">
        <v>0.18</v>
      </c>
      <c r="CF1134">
        <v>0.02</v>
      </c>
      <c r="CG1134">
        <v>0.18</v>
      </c>
      <c r="CH1134">
        <v>0.17</v>
      </c>
      <c r="CI1134">
        <v>0.17</v>
      </c>
      <c r="CJ1134">
        <v>-0.18</v>
      </c>
      <c r="CK1134">
        <v>0.15</v>
      </c>
      <c r="CL1134">
        <v>4.01</v>
      </c>
      <c r="CM1134">
        <v>-0.16</v>
      </c>
      <c r="CN1134">
        <v>-0.6</v>
      </c>
      <c r="CO1134">
        <v>64278</v>
      </c>
      <c r="CP1134">
        <v>2273</v>
      </c>
      <c r="CQ1134" t="s">
        <v>6328</v>
      </c>
      <c r="CR1134">
        <v>59.13</v>
      </c>
      <c r="CS1134">
        <v>11.54</v>
      </c>
      <c r="CT1134">
        <v>3.44</v>
      </c>
      <c r="CU1134">
        <v>-205.52</v>
      </c>
      <c r="CV1134">
        <v>26.14</v>
      </c>
      <c r="CW1134">
        <v>0.62</v>
      </c>
      <c r="CX1134" t="s">
        <v>1248</v>
      </c>
      <c r="CY1134">
        <v>2.78</v>
      </c>
      <c r="CZ1134">
        <v>0</v>
      </c>
      <c r="DA1134">
        <v>0.45</v>
      </c>
      <c r="DB1134">
        <v>1.1299999999999999</v>
      </c>
      <c r="DC1134">
        <v>-0.05</v>
      </c>
      <c r="DD1134">
        <v>93.31</v>
      </c>
      <c r="DE1134" t="s">
        <v>6122</v>
      </c>
      <c r="DF1134">
        <v>58.75</v>
      </c>
      <c r="DG1134">
        <v>13.9</v>
      </c>
      <c r="DH1134">
        <v>12.89</v>
      </c>
      <c r="DI1134">
        <v>7.0000000000000007E-2</v>
      </c>
      <c r="DJ1134">
        <v>917</v>
      </c>
      <c r="DK1134">
        <v>2762</v>
      </c>
      <c r="DL1134" t="s">
        <v>120</v>
      </c>
      <c r="DM1134" t="s">
        <v>120</v>
      </c>
      <c r="DN1134" t="s">
        <v>120</v>
      </c>
    </row>
    <row r="1135" spans="1:118">
      <c r="A1135" t="str">
        <f>"002763"</f>
        <v>002763</v>
      </c>
      <c r="B1135" t="s">
        <v>6329</v>
      </c>
      <c r="C1135">
        <v>-2.39</v>
      </c>
      <c r="D1135">
        <v>0.1</v>
      </c>
      <c r="E1135">
        <v>0.56999999999999995</v>
      </c>
      <c r="F1135">
        <v>881</v>
      </c>
      <c r="G1135" t="s">
        <v>6330</v>
      </c>
      <c r="H1135">
        <v>4856.42</v>
      </c>
      <c r="I1135">
        <v>45.95</v>
      </c>
      <c r="J1135" t="s">
        <v>120</v>
      </c>
      <c r="K1135" t="s">
        <v>6331</v>
      </c>
      <c r="L1135">
        <v>2.37</v>
      </c>
      <c r="M1135">
        <v>10.23</v>
      </c>
      <c r="N1135">
        <v>0.71</v>
      </c>
      <c r="O1135">
        <v>1.62</v>
      </c>
      <c r="P1135">
        <v>10.65</v>
      </c>
      <c r="Q1135">
        <v>-3.34</v>
      </c>
      <c r="R1135">
        <v>10.130000000000001</v>
      </c>
      <c r="S1135">
        <v>10.54</v>
      </c>
      <c r="T1135">
        <v>46805</v>
      </c>
      <c r="U1135">
        <v>10.24</v>
      </c>
      <c r="V1135">
        <v>10.48</v>
      </c>
      <c r="W1135">
        <v>9.4499999999999993</v>
      </c>
      <c r="X1135" t="s">
        <v>2806</v>
      </c>
      <c r="Y1135" t="s">
        <v>123</v>
      </c>
      <c r="Z1135">
        <v>4.96</v>
      </c>
      <c r="AA1135">
        <v>10.38</v>
      </c>
      <c r="AB1135">
        <v>26374</v>
      </c>
      <c r="AC1135">
        <v>20431</v>
      </c>
      <c r="AD1135">
        <v>1.29</v>
      </c>
      <c r="AE1135">
        <v>52</v>
      </c>
      <c r="AF1135">
        <v>61</v>
      </c>
      <c r="AG1135" t="s">
        <v>120</v>
      </c>
      <c r="AH1135">
        <v>0.03</v>
      </c>
      <c r="AI1135" t="s">
        <v>120</v>
      </c>
      <c r="AJ1135">
        <v>1.98</v>
      </c>
      <c r="AK1135" t="s">
        <v>5048</v>
      </c>
      <c r="AL1135">
        <v>-0.47</v>
      </c>
      <c r="AM1135">
        <v>1935</v>
      </c>
      <c r="AN1135">
        <v>24</v>
      </c>
      <c r="AO1135">
        <v>1.1999999999999999E-3</v>
      </c>
      <c r="AP1135">
        <v>-1</v>
      </c>
      <c r="AQ1135">
        <v>1.55</v>
      </c>
      <c r="AR1135">
        <v>-5.45</v>
      </c>
      <c r="AS1135">
        <v>18.95</v>
      </c>
      <c r="AT1135">
        <v>11.56</v>
      </c>
      <c r="AU1135">
        <v>61.1</v>
      </c>
      <c r="AV1135">
        <v>5</v>
      </c>
      <c r="AW1135">
        <v>3.6</v>
      </c>
      <c r="AX1135">
        <v>31.68</v>
      </c>
      <c r="AY1135">
        <v>13.05</v>
      </c>
      <c r="AZ1135">
        <v>20.39</v>
      </c>
      <c r="BA1135">
        <v>0.7</v>
      </c>
      <c r="BB1135" t="s">
        <v>184</v>
      </c>
      <c r="BF1135">
        <v>-0.99</v>
      </c>
      <c r="BG1135">
        <v>-2.94</v>
      </c>
      <c r="BH1135">
        <v>-3.94</v>
      </c>
      <c r="BI1135">
        <v>0.99</v>
      </c>
      <c r="BJ1135">
        <v>20210827</v>
      </c>
      <c r="BK1135">
        <v>20150610</v>
      </c>
      <c r="BL1135">
        <v>4.0999999999999996</v>
      </c>
      <c r="BM1135" t="s">
        <v>120</v>
      </c>
      <c r="BN1135" t="s">
        <v>120</v>
      </c>
      <c r="BO1135">
        <v>24.82</v>
      </c>
      <c r="BP1135">
        <v>10.23</v>
      </c>
      <c r="BQ1135">
        <v>18.32</v>
      </c>
      <c r="BR1135">
        <v>1.17</v>
      </c>
      <c r="BS1135">
        <v>21.47</v>
      </c>
      <c r="BT1135">
        <v>16.93</v>
      </c>
      <c r="BU1135">
        <v>4.9400000000000004</v>
      </c>
      <c r="BV1135">
        <v>0.89</v>
      </c>
      <c r="BW1135">
        <v>4.5199999999999996</v>
      </c>
      <c r="BX1135">
        <v>7.74</v>
      </c>
      <c r="BY1135">
        <v>6.13</v>
      </c>
      <c r="BZ1135">
        <v>2.42</v>
      </c>
      <c r="CA1135">
        <v>0.03</v>
      </c>
      <c r="CB1135">
        <v>7.77</v>
      </c>
      <c r="CC1135">
        <v>14.02</v>
      </c>
      <c r="CD1135">
        <v>4.46</v>
      </c>
      <c r="CE1135">
        <v>3.31</v>
      </c>
      <c r="CF1135">
        <v>0</v>
      </c>
      <c r="CG1135">
        <v>3.31</v>
      </c>
      <c r="CH1135">
        <v>2.4900000000000002</v>
      </c>
      <c r="CI1135">
        <v>2.2200000000000002</v>
      </c>
      <c r="CJ1135">
        <v>-0.25</v>
      </c>
      <c r="CK1135">
        <v>2.19</v>
      </c>
      <c r="CL1135">
        <v>4.96</v>
      </c>
      <c r="CM1135">
        <v>3.23</v>
      </c>
      <c r="CN1135">
        <v>-1.08</v>
      </c>
      <c r="CO1135">
        <v>19466</v>
      </c>
      <c r="CP1135">
        <v>6672</v>
      </c>
      <c r="CQ1135" t="s">
        <v>6332</v>
      </c>
      <c r="CR1135">
        <v>114.7</v>
      </c>
      <c r="CS1135">
        <v>33.01</v>
      </c>
      <c r="CT1135">
        <v>2.29</v>
      </c>
      <c r="CU1135">
        <v>12.98</v>
      </c>
      <c r="CV1135">
        <v>2.99</v>
      </c>
      <c r="CW1135">
        <v>9.5399999999999991</v>
      </c>
      <c r="CX1135" t="s">
        <v>1581</v>
      </c>
      <c r="CY1135">
        <v>4.47</v>
      </c>
      <c r="CZ1135">
        <v>0</v>
      </c>
      <c r="DA1135">
        <v>1.9</v>
      </c>
      <c r="DB1135">
        <v>1.21</v>
      </c>
      <c r="DC1135">
        <v>0.79</v>
      </c>
      <c r="DD1135">
        <v>73.8</v>
      </c>
      <c r="DE1135" t="s">
        <v>6333</v>
      </c>
      <c r="DF1135">
        <v>68.2</v>
      </c>
      <c r="DG1135">
        <v>23.6</v>
      </c>
      <c r="DH1135">
        <v>15.83</v>
      </c>
      <c r="DI1135">
        <v>0.15</v>
      </c>
      <c r="DJ1135">
        <v>6326</v>
      </c>
      <c r="DK1135">
        <v>2763</v>
      </c>
      <c r="DL1135" t="s">
        <v>120</v>
      </c>
      <c r="DM1135" t="s">
        <v>120</v>
      </c>
      <c r="DN1135" t="s">
        <v>120</v>
      </c>
    </row>
    <row r="1136" spans="1:118">
      <c r="A1136" t="str">
        <f>"002765"</f>
        <v>002765</v>
      </c>
      <c r="B1136" t="s">
        <v>6334</v>
      </c>
      <c r="C1136">
        <v>-4.21</v>
      </c>
      <c r="D1136">
        <v>0</v>
      </c>
      <c r="E1136">
        <v>-0.28000000000000003</v>
      </c>
      <c r="F1136">
        <v>2337</v>
      </c>
      <c r="G1136" t="s">
        <v>6335</v>
      </c>
      <c r="H1136">
        <v>13782.97</v>
      </c>
      <c r="I1136">
        <v>26.63</v>
      </c>
      <c r="J1136" t="s">
        <v>120</v>
      </c>
      <c r="K1136" t="s">
        <v>6336</v>
      </c>
      <c r="L1136">
        <v>4.88</v>
      </c>
      <c r="M1136">
        <v>6.82</v>
      </c>
      <c r="N1136">
        <v>1.1000000000000001</v>
      </c>
      <c r="O1136">
        <v>0</v>
      </c>
      <c r="P1136">
        <v>7.12</v>
      </c>
      <c r="Q1136">
        <v>-4.78</v>
      </c>
      <c r="R1136">
        <v>6.78</v>
      </c>
      <c r="S1136">
        <v>7.1</v>
      </c>
      <c r="T1136">
        <v>198181</v>
      </c>
      <c r="U1136">
        <v>6.82</v>
      </c>
      <c r="V1136">
        <v>7.12</v>
      </c>
      <c r="W1136">
        <v>16.3</v>
      </c>
      <c r="X1136" t="s">
        <v>289</v>
      </c>
      <c r="Y1136" t="s">
        <v>883</v>
      </c>
      <c r="Z1136">
        <v>4.78</v>
      </c>
      <c r="AA1136">
        <v>6.95</v>
      </c>
      <c r="AB1136">
        <v>111069</v>
      </c>
      <c r="AC1136">
        <v>87112</v>
      </c>
      <c r="AD1136">
        <v>1.28</v>
      </c>
      <c r="AE1136">
        <v>255</v>
      </c>
      <c r="AF1136">
        <v>114</v>
      </c>
      <c r="AG1136" t="s">
        <v>120</v>
      </c>
      <c r="AH1136">
        <v>0.01</v>
      </c>
      <c r="AI1136" t="s">
        <v>120</v>
      </c>
      <c r="AJ1136">
        <v>4.0599999999999996</v>
      </c>
      <c r="AK1136" t="s">
        <v>6337</v>
      </c>
      <c r="AL1136">
        <v>-2.2999999999999998</v>
      </c>
      <c r="AM1136">
        <v>3407</v>
      </c>
      <c r="AN1136">
        <v>58</v>
      </c>
      <c r="AO1136">
        <v>1.4E-3</v>
      </c>
      <c r="AP1136">
        <v>-1</v>
      </c>
      <c r="AQ1136">
        <v>1.1399999999999999</v>
      </c>
      <c r="AR1136">
        <v>-3.81</v>
      </c>
      <c r="AS1136">
        <v>1.79</v>
      </c>
      <c r="AT1136">
        <v>-2.85</v>
      </c>
      <c r="AU1136">
        <v>17.79</v>
      </c>
      <c r="AV1136">
        <v>8</v>
      </c>
      <c r="AW1136">
        <v>7.49</v>
      </c>
      <c r="AX1136">
        <v>45.98</v>
      </c>
      <c r="AY1136">
        <v>32.46</v>
      </c>
      <c r="AZ1136">
        <v>530.5</v>
      </c>
      <c r="BA1136">
        <v>0.85</v>
      </c>
      <c r="BB1136" t="s">
        <v>143</v>
      </c>
      <c r="BF1136">
        <v>-2.3199999999999998</v>
      </c>
      <c r="BG1136">
        <v>-3.94</v>
      </c>
      <c r="BH1136">
        <v>-4.21</v>
      </c>
      <c r="BI1136">
        <v>0.59</v>
      </c>
      <c r="BJ1136">
        <v>20210913</v>
      </c>
      <c r="BK1136">
        <v>20150612</v>
      </c>
      <c r="BL1136">
        <v>5.75</v>
      </c>
      <c r="BM1136" t="s">
        <v>120</v>
      </c>
      <c r="BN1136" t="s">
        <v>120</v>
      </c>
      <c r="BO1136">
        <v>42.83</v>
      </c>
      <c r="BP1136">
        <v>6.81</v>
      </c>
      <c r="BQ1136">
        <v>19.52</v>
      </c>
      <c r="BR1136">
        <v>0.33</v>
      </c>
      <c r="BS1136">
        <v>53.66</v>
      </c>
      <c r="BT1136">
        <v>22.03</v>
      </c>
      <c r="BU1136">
        <v>10.28</v>
      </c>
      <c r="BV1136">
        <v>2.78</v>
      </c>
      <c r="BW1136">
        <v>15.2</v>
      </c>
      <c r="BX1136">
        <v>4.7</v>
      </c>
      <c r="BY1136">
        <v>6.43</v>
      </c>
      <c r="BZ1136">
        <v>8.5399999999999991</v>
      </c>
      <c r="CA1136" t="s">
        <v>120</v>
      </c>
      <c r="CB1136">
        <v>10.45</v>
      </c>
      <c r="CC1136">
        <v>16.2</v>
      </c>
      <c r="CD1136">
        <v>13.23</v>
      </c>
      <c r="CE1136">
        <v>1.56</v>
      </c>
      <c r="CF1136">
        <v>0.01</v>
      </c>
      <c r="CG1136">
        <v>1.57</v>
      </c>
      <c r="CH1136">
        <v>1.36</v>
      </c>
      <c r="CI1136">
        <v>1.2</v>
      </c>
      <c r="CJ1136">
        <v>-0.3</v>
      </c>
      <c r="CK1136">
        <v>0.77</v>
      </c>
      <c r="CL1136">
        <v>2.73</v>
      </c>
      <c r="CM1136">
        <v>-0.3</v>
      </c>
      <c r="CN1136">
        <v>-0.1</v>
      </c>
      <c r="CO1136">
        <v>34867</v>
      </c>
      <c r="CP1136">
        <v>7585</v>
      </c>
      <c r="CQ1136" t="s">
        <v>4390</v>
      </c>
      <c r="CR1136">
        <v>6321.78</v>
      </c>
      <c r="CS1136">
        <v>91.77</v>
      </c>
      <c r="CT1136">
        <v>2.0099999999999998</v>
      </c>
      <c r="CU1136">
        <v>-132.66999999999999</v>
      </c>
      <c r="CV1136">
        <v>2.42</v>
      </c>
      <c r="CW1136">
        <v>0</v>
      </c>
      <c r="CX1136" t="s">
        <v>2097</v>
      </c>
      <c r="CY1136">
        <v>3.39</v>
      </c>
      <c r="CZ1136">
        <v>0</v>
      </c>
      <c r="DA1136">
        <v>1.82</v>
      </c>
      <c r="DB1136">
        <v>0.48</v>
      </c>
      <c r="DC1136">
        <v>-0.05</v>
      </c>
      <c r="DD1136">
        <v>45.58</v>
      </c>
      <c r="DE1136" t="s">
        <v>6338</v>
      </c>
      <c r="DF1136">
        <v>18.34</v>
      </c>
      <c r="DG1136">
        <v>9.65</v>
      </c>
      <c r="DH1136">
        <v>7.43</v>
      </c>
      <c r="DI1136">
        <v>0.64</v>
      </c>
      <c r="DJ1136">
        <v>4002</v>
      </c>
      <c r="DK1136">
        <v>2765</v>
      </c>
      <c r="DL1136" t="s">
        <v>120</v>
      </c>
      <c r="DM1136" t="s">
        <v>120</v>
      </c>
      <c r="DN1136" t="s">
        <v>120</v>
      </c>
    </row>
    <row r="1137" spans="1:118">
      <c r="A1137" t="str">
        <f>"002767"</f>
        <v>002767</v>
      </c>
      <c r="B1137" t="s">
        <v>6339</v>
      </c>
      <c r="C1137">
        <v>-1.47</v>
      </c>
      <c r="D1137">
        <v>-0.06</v>
      </c>
      <c r="E1137">
        <v>-0.59</v>
      </c>
      <c r="F1137">
        <v>332</v>
      </c>
      <c r="G1137" t="s">
        <v>6340</v>
      </c>
      <c r="H1137">
        <v>3187.92</v>
      </c>
      <c r="I1137">
        <v>2.0299999999999998</v>
      </c>
      <c r="J1137" t="s">
        <v>120</v>
      </c>
      <c r="K1137" t="s">
        <v>6341</v>
      </c>
      <c r="L1137">
        <v>1.85</v>
      </c>
      <c r="M1137">
        <v>13.4</v>
      </c>
      <c r="N1137">
        <v>1.05</v>
      </c>
      <c r="O1137">
        <v>3.97</v>
      </c>
      <c r="P1137">
        <v>14.14</v>
      </c>
      <c r="Q1137">
        <v>-1.47</v>
      </c>
      <c r="R1137">
        <v>13.4</v>
      </c>
      <c r="S1137">
        <v>13.52</v>
      </c>
      <c r="T1137">
        <v>23198</v>
      </c>
      <c r="U1137">
        <v>13.44</v>
      </c>
      <c r="V1137">
        <v>13.6</v>
      </c>
      <c r="W1137">
        <v>559.73</v>
      </c>
      <c r="X1137" t="s">
        <v>2717</v>
      </c>
      <c r="Y1137" t="s">
        <v>585</v>
      </c>
      <c r="Z1137">
        <v>5.44</v>
      </c>
      <c r="AA1137">
        <v>13.74</v>
      </c>
      <c r="AB1137">
        <v>13091</v>
      </c>
      <c r="AC1137">
        <v>10107</v>
      </c>
      <c r="AD1137">
        <v>1.3</v>
      </c>
      <c r="AE1137">
        <v>96</v>
      </c>
      <c r="AF1137">
        <v>6</v>
      </c>
      <c r="AG1137" t="s">
        <v>120</v>
      </c>
      <c r="AH1137">
        <v>0</v>
      </c>
      <c r="AI1137" t="s">
        <v>120</v>
      </c>
      <c r="AJ1137">
        <v>1.25</v>
      </c>
      <c r="AK1137" t="s">
        <v>3243</v>
      </c>
      <c r="AL1137">
        <v>0.44</v>
      </c>
      <c r="AM1137">
        <v>1427</v>
      </c>
      <c r="AN1137">
        <v>16</v>
      </c>
      <c r="AO1137">
        <v>1.2999999999999999E-3</v>
      </c>
      <c r="AP1137">
        <v>-1</v>
      </c>
      <c r="AQ1137">
        <v>2.64</v>
      </c>
      <c r="AR1137">
        <v>-1.76</v>
      </c>
      <c r="AS1137">
        <v>7.98</v>
      </c>
      <c r="AT1137">
        <v>-23.7</v>
      </c>
      <c r="AU1137">
        <v>24.39</v>
      </c>
      <c r="AV1137">
        <v>6</v>
      </c>
      <c r="AW1137">
        <v>4.22</v>
      </c>
      <c r="AX1137">
        <v>36.67</v>
      </c>
      <c r="AY1137">
        <v>130.75</v>
      </c>
      <c r="AZ1137">
        <v>97.54</v>
      </c>
      <c r="BA1137">
        <v>0.23</v>
      </c>
      <c r="BB1137" t="s">
        <v>143</v>
      </c>
      <c r="BF1137">
        <v>1.05</v>
      </c>
      <c r="BG1137">
        <v>-0.89</v>
      </c>
      <c r="BH1137">
        <v>-5.23</v>
      </c>
      <c r="BI1137">
        <v>0</v>
      </c>
      <c r="BJ1137">
        <v>20210914</v>
      </c>
      <c r="BK1137">
        <v>20150612</v>
      </c>
      <c r="BL1137">
        <v>1.5</v>
      </c>
      <c r="BM1137" t="s">
        <v>120</v>
      </c>
      <c r="BN1137" t="s">
        <v>120</v>
      </c>
      <c r="BO1137">
        <v>9.61</v>
      </c>
      <c r="BP1137">
        <v>13.4</v>
      </c>
      <c r="BQ1137">
        <v>7.51</v>
      </c>
      <c r="BR1137">
        <v>0.01</v>
      </c>
      <c r="BS1137">
        <v>21.74</v>
      </c>
      <c r="BT1137">
        <v>6.89</v>
      </c>
      <c r="BU1137">
        <v>2</v>
      </c>
      <c r="BV1137">
        <v>0.06</v>
      </c>
      <c r="BW1137">
        <v>2.04</v>
      </c>
      <c r="BX1137">
        <v>0.56000000000000005</v>
      </c>
      <c r="BY1137">
        <v>0.99</v>
      </c>
      <c r="BZ1137">
        <v>3.04</v>
      </c>
      <c r="CA1137" t="s">
        <v>120</v>
      </c>
      <c r="CB1137">
        <v>2.87</v>
      </c>
      <c r="CC1137">
        <v>1.72</v>
      </c>
      <c r="CD1137">
        <v>1.27</v>
      </c>
      <c r="CE1137">
        <v>0.02</v>
      </c>
      <c r="CF1137">
        <v>0.03</v>
      </c>
      <c r="CG1137">
        <v>0.02</v>
      </c>
      <c r="CH1137">
        <v>0.02</v>
      </c>
      <c r="CI1137">
        <v>0.02</v>
      </c>
      <c r="CJ1137">
        <v>-0.2</v>
      </c>
      <c r="CK1137">
        <v>0</v>
      </c>
      <c r="CL1137">
        <v>2.62</v>
      </c>
      <c r="CM1137">
        <v>-0.99</v>
      </c>
      <c r="CN1137">
        <v>-0.68</v>
      </c>
      <c r="CO1137">
        <v>12669</v>
      </c>
      <c r="CP1137">
        <v>4341</v>
      </c>
      <c r="CQ1137" t="s">
        <v>5913</v>
      </c>
      <c r="CR1137">
        <v>-74.739999999999995</v>
      </c>
      <c r="CS1137">
        <v>25.95</v>
      </c>
      <c r="CT1137">
        <v>2.68</v>
      </c>
      <c r="CU1137">
        <v>-20.29</v>
      </c>
      <c r="CV1137">
        <v>11.67</v>
      </c>
      <c r="CW1137">
        <v>0.21</v>
      </c>
      <c r="CX1137" t="s">
        <v>2327</v>
      </c>
      <c r="CY1137">
        <v>5.01</v>
      </c>
      <c r="CZ1137">
        <v>0</v>
      </c>
      <c r="DA1137">
        <v>1.92</v>
      </c>
      <c r="DB1137">
        <v>1.75</v>
      </c>
      <c r="DC1137">
        <v>-0.66</v>
      </c>
      <c r="DD1137">
        <v>78.16</v>
      </c>
      <c r="DE1137" t="s">
        <v>6342</v>
      </c>
      <c r="DF1137">
        <v>26.3</v>
      </c>
      <c r="DG1137">
        <v>1.1399999999999999</v>
      </c>
      <c r="DH1137">
        <v>1.04</v>
      </c>
      <c r="DI1137">
        <v>0.12</v>
      </c>
      <c r="DJ1137">
        <v>521</v>
      </c>
      <c r="DK1137">
        <v>2767</v>
      </c>
      <c r="DL1137" t="s">
        <v>120</v>
      </c>
      <c r="DM1137" t="s">
        <v>120</v>
      </c>
      <c r="DN1137" t="s">
        <v>120</v>
      </c>
    </row>
    <row r="1138" spans="1:118">
      <c r="A1138" t="str">
        <f>"002768"</f>
        <v>002768</v>
      </c>
      <c r="B1138" t="s">
        <v>6343</v>
      </c>
      <c r="C1138">
        <v>-0.48</v>
      </c>
      <c r="D1138">
        <v>0</v>
      </c>
      <c r="E1138">
        <v>1.25</v>
      </c>
      <c r="F1138">
        <v>819</v>
      </c>
      <c r="G1138" t="s">
        <v>1252</v>
      </c>
      <c r="H1138">
        <v>21390.95</v>
      </c>
      <c r="I1138">
        <v>160.63999999999999</v>
      </c>
      <c r="J1138" t="s">
        <v>120</v>
      </c>
      <c r="K1138" t="s">
        <v>3246</v>
      </c>
      <c r="L1138">
        <v>4.37</v>
      </c>
      <c r="M1138">
        <v>26.99</v>
      </c>
      <c r="N1138">
        <v>2.2000000000000002</v>
      </c>
      <c r="O1138">
        <v>4.57</v>
      </c>
      <c r="P1138">
        <v>28.36</v>
      </c>
      <c r="Q1138">
        <v>-0.63</v>
      </c>
      <c r="R1138">
        <v>26.95</v>
      </c>
      <c r="S1138">
        <v>27.46</v>
      </c>
      <c r="T1138">
        <v>77159</v>
      </c>
      <c r="U1138">
        <v>26.99</v>
      </c>
      <c r="V1138">
        <v>27.12</v>
      </c>
      <c r="W1138">
        <v>10.39</v>
      </c>
      <c r="X1138" t="s">
        <v>2211</v>
      </c>
      <c r="Y1138" t="s">
        <v>638</v>
      </c>
      <c r="Z1138">
        <v>5.2</v>
      </c>
      <c r="AA1138">
        <v>27.72</v>
      </c>
      <c r="AB1138">
        <v>38961</v>
      </c>
      <c r="AC1138">
        <v>38198</v>
      </c>
      <c r="AD1138">
        <v>1.02</v>
      </c>
      <c r="AE1138">
        <v>300</v>
      </c>
      <c r="AF1138">
        <v>99</v>
      </c>
      <c r="AG1138" t="s">
        <v>120</v>
      </c>
      <c r="AH1138">
        <v>0.05</v>
      </c>
      <c r="AI1138" t="s">
        <v>120</v>
      </c>
      <c r="AJ1138">
        <v>1.77</v>
      </c>
      <c r="AK1138" t="s">
        <v>6344</v>
      </c>
      <c r="AL1138">
        <v>1.43</v>
      </c>
      <c r="AM1138">
        <v>2983</v>
      </c>
      <c r="AN1138">
        <v>26</v>
      </c>
      <c r="AO1138">
        <v>1.5E-3</v>
      </c>
      <c r="AP1138">
        <v>-1</v>
      </c>
      <c r="AQ1138">
        <v>4.2300000000000004</v>
      </c>
      <c r="AR1138">
        <v>1.0900000000000001</v>
      </c>
      <c r="AS1138">
        <v>12.23</v>
      </c>
      <c r="AT1138">
        <v>7.36</v>
      </c>
      <c r="AU1138">
        <v>-12.96</v>
      </c>
      <c r="AV1138">
        <v>0</v>
      </c>
      <c r="AW1138">
        <v>6.53</v>
      </c>
      <c r="AX1138">
        <v>43.59</v>
      </c>
      <c r="AY1138">
        <v>13.4</v>
      </c>
      <c r="AZ1138">
        <v>10.07</v>
      </c>
      <c r="BA1138">
        <v>0.38</v>
      </c>
      <c r="BB1138" t="s">
        <v>168</v>
      </c>
      <c r="BF1138">
        <v>2.2200000000000002</v>
      </c>
      <c r="BG1138">
        <v>-1.71</v>
      </c>
      <c r="BH1138">
        <v>-4.83</v>
      </c>
      <c r="BI1138">
        <v>0.15</v>
      </c>
      <c r="BJ1138">
        <v>20210821</v>
      </c>
      <c r="BK1138">
        <v>20150630</v>
      </c>
      <c r="BL1138">
        <v>2.71</v>
      </c>
      <c r="BM1138" t="s">
        <v>120</v>
      </c>
      <c r="BN1138" t="s">
        <v>120</v>
      </c>
      <c r="BO1138">
        <v>65.03</v>
      </c>
      <c r="BP1138">
        <v>26.98</v>
      </c>
      <c r="BQ1138">
        <v>33.659999999999997</v>
      </c>
      <c r="BR1138">
        <v>1.1399999999999999</v>
      </c>
      <c r="BS1138">
        <v>46.48</v>
      </c>
      <c r="BT1138">
        <v>45.94</v>
      </c>
      <c r="BU1138">
        <v>12.02</v>
      </c>
      <c r="BV1138">
        <v>0.9</v>
      </c>
      <c r="BW1138">
        <v>27.69</v>
      </c>
      <c r="BX1138">
        <v>9.98</v>
      </c>
      <c r="BY1138">
        <v>13.25</v>
      </c>
      <c r="BZ1138">
        <v>12.67</v>
      </c>
      <c r="CA1138" t="s">
        <v>120</v>
      </c>
      <c r="CB1138">
        <v>9.4600000000000009</v>
      </c>
      <c r="CC1138">
        <v>41.5</v>
      </c>
      <c r="CD1138">
        <v>34.56</v>
      </c>
      <c r="CE1138">
        <v>4.03</v>
      </c>
      <c r="CF1138">
        <v>0</v>
      </c>
      <c r="CG1138">
        <v>3.98</v>
      </c>
      <c r="CH1138">
        <v>3.5</v>
      </c>
      <c r="CI1138">
        <v>3.52</v>
      </c>
      <c r="CJ1138">
        <v>-0.13</v>
      </c>
      <c r="CK1138">
        <v>3.46</v>
      </c>
      <c r="CL1138">
        <v>20.12</v>
      </c>
      <c r="CM1138">
        <v>2.27</v>
      </c>
      <c r="CN1138">
        <v>1.9</v>
      </c>
      <c r="CO1138">
        <v>30438</v>
      </c>
      <c r="CP1138">
        <v>3885</v>
      </c>
      <c r="CQ1138" t="s">
        <v>1597</v>
      </c>
      <c r="CR1138">
        <v>-34.03</v>
      </c>
      <c r="CS1138">
        <v>17.329999999999998</v>
      </c>
      <c r="CT1138">
        <v>2.1800000000000002</v>
      </c>
      <c r="CU1138">
        <v>32.200000000000003</v>
      </c>
      <c r="CV1138">
        <v>1.76</v>
      </c>
      <c r="CW1138">
        <v>1.1399999999999999</v>
      </c>
      <c r="CX1138" t="s">
        <v>6345</v>
      </c>
      <c r="CY1138">
        <v>12.41</v>
      </c>
      <c r="CZ1138">
        <v>0</v>
      </c>
      <c r="DA1138">
        <v>3.49</v>
      </c>
      <c r="DB1138">
        <v>7.42</v>
      </c>
      <c r="DC1138">
        <v>0.84</v>
      </c>
      <c r="DD1138">
        <v>51.76</v>
      </c>
      <c r="DE1138" t="s">
        <v>3528</v>
      </c>
      <c r="DF1138">
        <v>16.71</v>
      </c>
      <c r="DG1138">
        <v>9.7100000000000009</v>
      </c>
      <c r="DH1138">
        <v>8.49</v>
      </c>
      <c r="DI1138">
        <v>1.25</v>
      </c>
      <c r="DJ1138">
        <v>1794</v>
      </c>
      <c r="DK1138">
        <v>2768</v>
      </c>
      <c r="DL1138" t="s">
        <v>120</v>
      </c>
      <c r="DM1138" t="s">
        <v>120</v>
      </c>
      <c r="DN1138" t="s">
        <v>120</v>
      </c>
    </row>
    <row r="1139" spans="1:118">
      <c r="A1139" t="str">
        <f>"002769"</f>
        <v>002769</v>
      </c>
      <c r="B1139" t="s">
        <v>6346</v>
      </c>
      <c r="C1139">
        <v>-2.38</v>
      </c>
      <c r="D1139">
        <v>0.15</v>
      </c>
      <c r="E1139">
        <v>0</v>
      </c>
      <c r="F1139">
        <v>721</v>
      </c>
      <c r="G1139" t="s">
        <v>6347</v>
      </c>
      <c r="H1139">
        <v>2630.51</v>
      </c>
      <c r="I1139">
        <v>2.5499999999999998</v>
      </c>
      <c r="J1139" t="s">
        <v>120</v>
      </c>
      <c r="K1139" t="s">
        <v>6348</v>
      </c>
      <c r="L1139">
        <v>1.5</v>
      </c>
      <c r="M1139">
        <v>6.56</v>
      </c>
      <c r="N1139">
        <v>0.66</v>
      </c>
      <c r="O1139">
        <v>0.74</v>
      </c>
      <c r="P1139">
        <v>6.77</v>
      </c>
      <c r="Q1139">
        <v>-2.98</v>
      </c>
      <c r="R1139">
        <v>6.52</v>
      </c>
      <c r="S1139">
        <v>6.72</v>
      </c>
      <c r="T1139">
        <v>39633</v>
      </c>
      <c r="U1139">
        <v>6.57</v>
      </c>
      <c r="V1139">
        <v>6.72</v>
      </c>
      <c r="W1139">
        <v>36.33</v>
      </c>
      <c r="X1139" t="s">
        <v>2775</v>
      </c>
      <c r="Y1139" t="s">
        <v>123</v>
      </c>
      <c r="Z1139">
        <v>3.72</v>
      </c>
      <c r="AA1139">
        <v>6.64</v>
      </c>
      <c r="AB1139">
        <v>24972</v>
      </c>
      <c r="AC1139">
        <v>14661</v>
      </c>
      <c r="AD1139">
        <v>1.7</v>
      </c>
      <c r="AE1139">
        <v>500</v>
      </c>
      <c r="AF1139">
        <v>41</v>
      </c>
      <c r="AG1139" t="s">
        <v>120</v>
      </c>
      <c r="AH1139">
        <v>0</v>
      </c>
      <c r="AI1139" t="s">
        <v>120</v>
      </c>
      <c r="AJ1139">
        <v>2.64</v>
      </c>
      <c r="AK1139" t="s">
        <v>2071</v>
      </c>
      <c r="AL1139">
        <v>-0.47</v>
      </c>
      <c r="AM1139">
        <v>1397</v>
      </c>
      <c r="AN1139">
        <v>28</v>
      </c>
      <c r="AO1139">
        <v>1.1000000000000001E-3</v>
      </c>
      <c r="AP1139">
        <v>-1</v>
      </c>
      <c r="AQ1139">
        <v>1.2</v>
      </c>
      <c r="AR1139">
        <v>-2.82</v>
      </c>
      <c r="AS1139">
        <v>14.09</v>
      </c>
      <c r="AT1139">
        <v>1.87</v>
      </c>
      <c r="AU1139">
        <v>3.9</v>
      </c>
      <c r="AV1139">
        <v>4</v>
      </c>
      <c r="AW1139">
        <v>2.04</v>
      </c>
      <c r="AX1139">
        <v>52.06</v>
      </c>
      <c r="AY1139">
        <v>36.99</v>
      </c>
      <c r="AZ1139">
        <v>37.06</v>
      </c>
      <c r="BA1139">
        <v>0.82</v>
      </c>
      <c r="BB1139" t="s">
        <v>184</v>
      </c>
      <c r="BF1139">
        <v>-1.23</v>
      </c>
      <c r="BG1139">
        <v>-2.38</v>
      </c>
      <c r="BH1139">
        <v>-3.1</v>
      </c>
      <c r="BI1139">
        <v>0.61</v>
      </c>
      <c r="BJ1139">
        <v>20210830</v>
      </c>
      <c r="BK1139">
        <v>20150629</v>
      </c>
      <c r="BL1139">
        <v>3.73</v>
      </c>
      <c r="BM1139" t="s">
        <v>120</v>
      </c>
      <c r="BN1139" t="s">
        <v>120</v>
      </c>
      <c r="BO1139">
        <v>40.98</v>
      </c>
      <c r="BP1139">
        <v>6.56</v>
      </c>
      <c r="BQ1139">
        <v>14.69</v>
      </c>
      <c r="BR1139">
        <v>0</v>
      </c>
      <c r="BS1139">
        <v>64.14</v>
      </c>
      <c r="BT1139">
        <v>37.880000000000003</v>
      </c>
      <c r="BU1139">
        <v>0.09</v>
      </c>
      <c r="BV1139">
        <v>0.02</v>
      </c>
      <c r="BW1139">
        <v>26.19</v>
      </c>
      <c r="BX1139">
        <v>14.73</v>
      </c>
      <c r="BY1139">
        <v>1.39</v>
      </c>
      <c r="BZ1139">
        <v>8.17</v>
      </c>
      <c r="CA1139" t="s">
        <v>120</v>
      </c>
      <c r="CB1139">
        <v>2.5499999999999998</v>
      </c>
      <c r="CC1139">
        <v>14.27</v>
      </c>
      <c r="CD1139">
        <v>12.02</v>
      </c>
      <c r="CE1139">
        <v>0.45</v>
      </c>
      <c r="CF1139">
        <v>-0.03</v>
      </c>
      <c r="CG1139">
        <v>0.45</v>
      </c>
      <c r="CH1139">
        <v>0.34</v>
      </c>
      <c r="CI1139">
        <v>0.34</v>
      </c>
      <c r="CJ1139">
        <v>-0.16</v>
      </c>
      <c r="CK1139">
        <v>0.28000000000000003</v>
      </c>
      <c r="CL1139">
        <v>7.57</v>
      </c>
      <c r="CM1139">
        <v>-4.8600000000000003</v>
      </c>
      <c r="CN1139">
        <v>-0.24</v>
      </c>
      <c r="CO1139">
        <v>27034</v>
      </c>
      <c r="CP1139">
        <v>7188</v>
      </c>
      <c r="CQ1139" t="s">
        <v>1431</v>
      </c>
      <c r="CR1139">
        <v>0.37</v>
      </c>
      <c r="CS1139">
        <v>-44.2</v>
      </c>
      <c r="CT1139">
        <v>1.67</v>
      </c>
      <c r="CU1139">
        <v>-5.04</v>
      </c>
      <c r="CV1139">
        <v>1.72</v>
      </c>
      <c r="CW1139">
        <v>0.54</v>
      </c>
      <c r="CX1139" t="s">
        <v>329</v>
      </c>
      <c r="CY1139">
        <v>3.94</v>
      </c>
      <c r="CZ1139">
        <v>0</v>
      </c>
      <c r="DA1139">
        <v>0.68</v>
      </c>
      <c r="DB1139">
        <v>2.0299999999999998</v>
      </c>
      <c r="DC1139">
        <v>-1.3</v>
      </c>
      <c r="DD1139">
        <v>35.85</v>
      </c>
      <c r="DE1139" t="s">
        <v>6349</v>
      </c>
      <c r="DF1139">
        <v>15.78</v>
      </c>
      <c r="DG1139">
        <v>3.17</v>
      </c>
      <c r="DH1139">
        <v>2.36</v>
      </c>
      <c r="DI1139">
        <v>7.0000000000000007E-2</v>
      </c>
      <c r="DJ1139">
        <v>370</v>
      </c>
      <c r="DK1139">
        <v>2769</v>
      </c>
      <c r="DL1139" t="s">
        <v>120</v>
      </c>
      <c r="DM1139" t="s">
        <v>120</v>
      </c>
      <c r="DN1139" t="s">
        <v>120</v>
      </c>
    </row>
    <row r="1140" spans="1:118">
      <c r="A1140" t="str">
        <f>"002771"</f>
        <v>002771</v>
      </c>
      <c r="B1140" t="s">
        <v>6350</v>
      </c>
      <c r="C1140">
        <v>-1.45</v>
      </c>
      <c r="D1140">
        <v>0</v>
      </c>
      <c r="E1140">
        <v>0.72</v>
      </c>
      <c r="F1140">
        <v>112</v>
      </c>
      <c r="G1140" t="s">
        <v>6351</v>
      </c>
      <c r="H1140">
        <v>1746.15</v>
      </c>
      <c r="I1140">
        <v>0</v>
      </c>
      <c r="J1140" t="s">
        <v>120</v>
      </c>
      <c r="K1140" t="s">
        <v>6352</v>
      </c>
      <c r="L1140">
        <v>0.78</v>
      </c>
      <c r="M1140">
        <v>10.9</v>
      </c>
      <c r="N1140">
        <v>0.89</v>
      </c>
      <c r="O1140">
        <v>2.08</v>
      </c>
      <c r="P1140">
        <v>11.29</v>
      </c>
      <c r="Q1140">
        <v>-1.63</v>
      </c>
      <c r="R1140">
        <v>10.88</v>
      </c>
      <c r="S1140">
        <v>11.14</v>
      </c>
      <c r="T1140">
        <v>15746</v>
      </c>
      <c r="U1140">
        <v>10.9</v>
      </c>
      <c r="V1140">
        <v>11.06</v>
      </c>
      <c r="W1140" t="s">
        <v>120</v>
      </c>
      <c r="X1140" t="s">
        <v>141</v>
      </c>
      <c r="Y1140" t="s">
        <v>158</v>
      </c>
      <c r="Z1140">
        <v>3.71</v>
      </c>
      <c r="AA1140">
        <v>11.09</v>
      </c>
      <c r="AB1140">
        <v>8592</v>
      </c>
      <c r="AC1140">
        <v>7154</v>
      </c>
      <c r="AD1140">
        <v>1.2</v>
      </c>
      <c r="AE1140">
        <v>66</v>
      </c>
      <c r="AF1140">
        <v>37</v>
      </c>
      <c r="AG1140" t="s">
        <v>120</v>
      </c>
      <c r="AH1140">
        <v>0</v>
      </c>
      <c r="AI1140" t="s">
        <v>120</v>
      </c>
      <c r="AJ1140">
        <v>2.0299999999999998</v>
      </c>
      <c r="AK1140" t="s">
        <v>6353</v>
      </c>
      <c r="AL1140">
        <v>0.47</v>
      </c>
      <c r="AM1140">
        <v>859</v>
      </c>
      <c r="AN1140">
        <v>18</v>
      </c>
      <c r="AO1140">
        <v>8.9999999999999998E-4</v>
      </c>
      <c r="AP1140">
        <v>-1</v>
      </c>
      <c r="AQ1140">
        <v>1.37</v>
      </c>
      <c r="AR1140">
        <v>-1.62</v>
      </c>
      <c r="AS1140">
        <v>-0.9</v>
      </c>
      <c r="AT1140">
        <v>-4.97</v>
      </c>
      <c r="AU1140">
        <v>3.71</v>
      </c>
      <c r="AV1140">
        <v>0</v>
      </c>
      <c r="AW1140">
        <v>1.24</v>
      </c>
      <c r="AX1140">
        <v>60.76</v>
      </c>
      <c r="AY1140">
        <v>282.25</v>
      </c>
      <c r="AZ1140">
        <v>113.53</v>
      </c>
      <c r="BA1140">
        <v>0.11</v>
      </c>
      <c r="BB1140" t="s">
        <v>168</v>
      </c>
      <c r="BF1140">
        <v>0.27</v>
      </c>
      <c r="BG1140">
        <v>-2.15</v>
      </c>
      <c r="BH1140">
        <v>-3.45</v>
      </c>
      <c r="BI1140">
        <v>0.18</v>
      </c>
      <c r="BJ1140">
        <v>20210818</v>
      </c>
      <c r="BK1140">
        <v>20150629</v>
      </c>
      <c r="BL1140">
        <v>2.1</v>
      </c>
      <c r="BM1140" t="s">
        <v>120</v>
      </c>
      <c r="BN1140" t="s">
        <v>120</v>
      </c>
      <c r="BO1140">
        <v>11.17</v>
      </c>
      <c r="BP1140">
        <v>10.89</v>
      </c>
      <c r="BQ1140">
        <v>6.99</v>
      </c>
      <c r="BR1140">
        <v>0.01</v>
      </c>
      <c r="BS1140">
        <v>37.340000000000003</v>
      </c>
      <c r="BT1140">
        <v>9.51</v>
      </c>
      <c r="BU1140">
        <v>1.01</v>
      </c>
      <c r="BV1140">
        <v>0.05</v>
      </c>
      <c r="BW1140">
        <v>4.16</v>
      </c>
      <c r="BX1140">
        <v>1.2</v>
      </c>
      <c r="BY1140">
        <v>3.44</v>
      </c>
      <c r="BZ1140">
        <v>4.38</v>
      </c>
      <c r="CA1140" t="s">
        <v>120</v>
      </c>
      <c r="CB1140">
        <v>1.47</v>
      </c>
      <c r="CC1140">
        <v>2.2200000000000002</v>
      </c>
      <c r="CD1140">
        <v>1.76</v>
      </c>
      <c r="CE1140">
        <v>-0.06</v>
      </c>
      <c r="CF1140">
        <v>0</v>
      </c>
      <c r="CG1140">
        <v>-0.06</v>
      </c>
      <c r="CH1140">
        <v>-0.06</v>
      </c>
      <c r="CI1140">
        <v>-0.06</v>
      </c>
      <c r="CJ1140">
        <v>-0.16</v>
      </c>
      <c r="CK1140">
        <v>-7.0000000000000007E-2</v>
      </c>
      <c r="CL1140">
        <v>2.93</v>
      </c>
      <c r="CM1140">
        <v>-1.08</v>
      </c>
      <c r="CN1140">
        <v>-1.27</v>
      </c>
      <c r="CO1140">
        <v>16716</v>
      </c>
      <c r="CP1140">
        <v>7625</v>
      </c>
      <c r="CQ1140" t="s">
        <v>3146</v>
      </c>
      <c r="CR1140">
        <v>-187.32</v>
      </c>
      <c r="CS1140">
        <v>-7.7</v>
      </c>
      <c r="CT1140">
        <v>3.27</v>
      </c>
      <c r="CU1140">
        <v>-21.21</v>
      </c>
      <c r="CV1140">
        <v>10.28</v>
      </c>
      <c r="CW1140">
        <v>0.18</v>
      </c>
      <c r="CX1140" t="s">
        <v>479</v>
      </c>
      <c r="CY1140">
        <v>3.33</v>
      </c>
      <c r="CZ1140">
        <v>0</v>
      </c>
      <c r="DA1140">
        <v>0.7</v>
      </c>
      <c r="DB1140">
        <v>1.4</v>
      </c>
      <c r="DC1140">
        <v>-0.51</v>
      </c>
      <c r="DD1140">
        <v>62.59</v>
      </c>
      <c r="DE1140" t="s">
        <v>6354</v>
      </c>
      <c r="DF1140">
        <v>21.03</v>
      </c>
      <c r="DG1140">
        <v>-2.84</v>
      </c>
      <c r="DH1140">
        <v>-2.56</v>
      </c>
      <c r="DI1140">
        <v>0.17</v>
      </c>
      <c r="DJ1140">
        <v>422</v>
      </c>
      <c r="DK1140">
        <v>2771</v>
      </c>
      <c r="DL1140" t="s">
        <v>120</v>
      </c>
      <c r="DM1140" t="s">
        <v>120</v>
      </c>
      <c r="DN1140" t="s">
        <v>120</v>
      </c>
    </row>
    <row r="1141" spans="1:118">
      <c r="A1141" t="str">
        <f>"002772"</f>
        <v>002772</v>
      </c>
      <c r="B1141" t="s">
        <v>6355</v>
      </c>
      <c r="C1141">
        <v>2.15</v>
      </c>
      <c r="D1141">
        <v>0</v>
      </c>
      <c r="E1141">
        <v>0.09</v>
      </c>
      <c r="F1141">
        <v>876</v>
      </c>
      <c r="G1141" t="s">
        <v>6356</v>
      </c>
      <c r="H1141">
        <v>18044.740000000002</v>
      </c>
      <c r="I1141">
        <v>322.22000000000003</v>
      </c>
      <c r="J1141" t="s">
        <v>120</v>
      </c>
      <c r="K1141" t="s">
        <v>6356</v>
      </c>
      <c r="L1141">
        <v>5.82</v>
      </c>
      <c r="M1141">
        <v>11.86</v>
      </c>
      <c r="N1141">
        <v>1.19</v>
      </c>
      <c r="O1141">
        <v>5.43</v>
      </c>
      <c r="P1141">
        <v>12.24</v>
      </c>
      <c r="Q1141">
        <v>0</v>
      </c>
      <c r="R1141">
        <v>11.61</v>
      </c>
      <c r="S1141">
        <v>11.62</v>
      </c>
      <c r="T1141">
        <v>151064</v>
      </c>
      <c r="U1141">
        <v>11.86</v>
      </c>
      <c r="V1141">
        <v>11.61</v>
      </c>
      <c r="W1141">
        <v>192.12</v>
      </c>
      <c r="X1141" t="s">
        <v>1700</v>
      </c>
      <c r="Y1141" t="s">
        <v>1082</v>
      </c>
      <c r="Z1141">
        <v>5.43</v>
      </c>
      <c r="AA1141">
        <v>11.95</v>
      </c>
      <c r="AB1141">
        <v>62793</v>
      </c>
      <c r="AC1141">
        <v>88271</v>
      </c>
      <c r="AD1141">
        <v>0.71</v>
      </c>
      <c r="AE1141">
        <v>121</v>
      </c>
      <c r="AF1141">
        <v>408</v>
      </c>
      <c r="AG1141" t="s">
        <v>120</v>
      </c>
      <c r="AH1141">
        <v>0.11</v>
      </c>
      <c r="AI1141" t="s">
        <v>120</v>
      </c>
      <c r="AJ1141">
        <v>2.6</v>
      </c>
      <c r="AK1141" t="s">
        <v>6357</v>
      </c>
      <c r="AL1141">
        <v>4.07</v>
      </c>
      <c r="AM1141">
        <v>3294</v>
      </c>
      <c r="AN1141">
        <v>46</v>
      </c>
      <c r="AO1141">
        <v>1.8E-3</v>
      </c>
      <c r="AP1141">
        <v>1</v>
      </c>
      <c r="AQ1141">
        <v>-2.68</v>
      </c>
      <c r="AR1141">
        <v>-0.34</v>
      </c>
      <c r="AS1141">
        <v>-6.98</v>
      </c>
      <c r="AT1141">
        <v>-7.56</v>
      </c>
      <c r="AU1141">
        <v>3.58</v>
      </c>
      <c r="AV1141">
        <v>11</v>
      </c>
      <c r="AW1141">
        <v>5.82</v>
      </c>
      <c r="AX1141">
        <v>63.93</v>
      </c>
      <c r="AY1141">
        <v>32.44</v>
      </c>
      <c r="AZ1141">
        <v>24.94</v>
      </c>
      <c r="BA1141">
        <v>0.78</v>
      </c>
      <c r="BB1141" t="s">
        <v>240</v>
      </c>
      <c r="BF1141">
        <v>2.89</v>
      </c>
      <c r="BG1141">
        <v>2.0699999999999998</v>
      </c>
      <c r="BH1141">
        <v>-3.1</v>
      </c>
      <c r="BI1141">
        <v>2.15</v>
      </c>
      <c r="BJ1141">
        <v>20210810</v>
      </c>
      <c r="BK1141">
        <v>20150626</v>
      </c>
      <c r="BL1141">
        <v>4.0599999999999996</v>
      </c>
      <c r="BM1141" t="s">
        <v>120</v>
      </c>
      <c r="BN1141" t="s">
        <v>120</v>
      </c>
      <c r="BO1141">
        <v>60.93</v>
      </c>
      <c r="BP1141">
        <v>11.85</v>
      </c>
      <c r="BQ1141">
        <v>31.12</v>
      </c>
      <c r="BR1141">
        <v>0.03</v>
      </c>
      <c r="BS1141">
        <v>48.89</v>
      </c>
      <c r="BT1141">
        <v>23.5</v>
      </c>
      <c r="BU1141">
        <v>24.05</v>
      </c>
      <c r="BV1141">
        <v>3.54</v>
      </c>
      <c r="BW1141">
        <v>6.47</v>
      </c>
      <c r="BX1141">
        <v>15.78</v>
      </c>
      <c r="BY1141">
        <v>2.79</v>
      </c>
      <c r="BZ1141">
        <v>0.26</v>
      </c>
      <c r="CA1141" t="s">
        <v>120</v>
      </c>
      <c r="CB1141">
        <v>19.899999999999999</v>
      </c>
      <c r="CC1141">
        <v>7.04</v>
      </c>
      <c r="CD1141">
        <v>6.08</v>
      </c>
      <c r="CE1141">
        <v>0.14000000000000001</v>
      </c>
      <c r="CF1141">
        <v>0.15</v>
      </c>
      <c r="CG1141">
        <v>0.12</v>
      </c>
      <c r="CH1141">
        <v>0.12</v>
      </c>
      <c r="CI1141">
        <v>0.13</v>
      </c>
      <c r="CJ1141">
        <v>0.25</v>
      </c>
      <c r="CK1141">
        <v>-0.15</v>
      </c>
      <c r="CL1141">
        <v>7.81</v>
      </c>
      <c r="CM1141">
        <v>1.0900000000000001</v>
      </c>
      <c r="CN1141">
        <v>3.63</v>
      </c>
      <c r="CO1141">
        <v>57841</v>
      </c>
      <c r="CP1141">
        <v>4487</v>
      </c>
      <c r="CQ1141" t="s">
        <v>1545</v>
      </c>
      <c r="CR1141">
        <v>-77.69</v>
      </c>
      <c r="CS1141">
        <v>11.22</v>
      </c>
      <c r="CT1141">
        <v>1.6</v>
      </c>
      <c r="CU1141">
        <v>44.32</v>
      </c>
      <c r="CV1141">
        <v>6.84</v>
      </c>
      <c r="CW1141">
        <v>0.74</v>
      </c>
      <c r="CX1141" t="s">
        <v>145</v>
      </c>
      <c r="CY1141">
        <v>7.41</v>
      </c>
      <c r="CZ1141">
        <v>7.41</v>
      </c>
      <c r="DA1141">
        <v>4.9000000000000004</v>
      </c>
      <c r="DB1141">
        <v>1.92</v>
      </c>
      <c r="DC1141">
        <v>0.27</v>
      </c>
      <c r="DD1141">
        <v>51.07</v>
      </c>
      <c r="DE1141" t="s">
        <v>1017</v>
      </c>
      <c r="DF1141">
        <v>13.71</v>
      </c>
      <c r="DG1141">
        <v>1.99</v>
      </c>
      <c r="DH1141">
        <v>1.78</v>
      </c>
      <c r="DI1141">
        <v>0.03</v>
      </c>
      <c r="DJ1141">
        <v>5198</v>
      </c>
      <c r="DK1141">
        <v>2772</v>
      </c>
      <c r="DL1141" t="s">
        <v>120</v>
      </c>
      <c r="DM1141" t="s">
        <v>120</v>
      </c>
      <c r="DN1141" t="s">
        <v>120</v>
      </c>
    </row>
    <row r="1142" spans="1:118">
      <c r="A1142" t="str">
        <f>"002773"</f>
        <v>002773</v>
      </c>
      <c r="B1142" t="s">
        <v>6358</v>
      </c>
      <c r="C1142">
        <v>-1.41</v>
      </c>
      <c r="D1142">
        <v>-0.04</v>
      </c>
      <c r="E1142">
        <v>0</v>
      </c>
      <c r="F1142">
        <v>786</v>
      </c>
      <c r="G1142" t="s">
        <v>6359</v>
      </c>
      <c r="H1142">
        <v>13120.16</v>
      </c>
      <c r="I1142">
        <v>6.65</v>
      </c>
      <c r="J1142" t="s">
        <v>120</v>
      </c>
      <c r="K1142" t="s">
        <v>6360</v>
      </c>
      <c r="L1142">
        <v>1.03</v>
      </c>
      <c r="M1142">
        <v>18.2</v>
      </c>
      <c r="N1142">
        <v>1.04</v>
      </c>
      <c r="O1142">
        <v>0.98</v>
      </c>
      <c r="P1142">
        <v>18.64</v>
      </c>
      <c r="Q1142">
        <v>-1.52</v>
      </c>
      <c r="R1142">
        <v>18.18</v>
      </c>
      <c r="S1142">
        <v>18.46</v>
      </c>
      <c r="T1142">
        <v>71338</v>
      </c>
      <c r="U1142">
        <v>18.21</v>
      </c>
      <c r="V1142">
        <v>18.46</v>
      </c>
      <c r="W1142">
        <v>19.899999999999999</v>
      </c>
      <c r="X1142" t="s">
        <v>569</v>
      </c>
      <c r="Y1142" t="s">
        <v>578</v>
      </c>
      <c r="Z1142">
        <v>2.4900000000000002</v>
      </c>
      <c r="AA1142">
        <v>18.39</v>
      </c>
      <c r="AB1142">
        <v>39098</v>
      </c>
      <c r="AC1142">
        <v>32240</v>
      </c>
      <c r="AD1142">
        <v>1.21</v>
      </c>
      <c r="AE1142">
        <v>437</v>
      </c>
      <c r="AF1142">
        <v>19</v>
      </c>
      <c r="AG1142" t="s">
        <v>120</v>
      </c>
      <c r="AH1142">
        <v>0</v>
      </c>
      <c r="AI1142" t="s">
        <v>120</v>
      </c>
      <c r="AJ1142">
        <v>6.91</v>
      </c>
      <c r="AK1142" t="s">
        <v>6361</v>
      </c>
      <c r="AL1142">
        <v>0.51</v>
      </c>
      <c r="AM1142">
        <v>2763</v>
      </c>
      <c r="AN1142">
        <v>26</v>
      </c>
      <c r="AO1142">
        <v>4.0000000000000002E-4</v>
      </c>
      <c r="AP1142">
        <v>-1</v>
      </c>
      <c r="AQ1142">
        <v>0.05</v>
      </c>
      <c r="AR1142">
        <v>-3.3</v>
      </c>
      <c r="AS1142">
        <v>-1.36</v>
      </c>
      <c r="AT1142">
        <v>-16.329999999999998</v>
      </c>
      <c r="AU1142">
        <v>-62.12</v>
      </c>
      <c r="AV1142">
        <v>2</v>
      </c>
      <c r="AW1142">
        <v>2.1800000000000002</v>
      </c>
      <c r="AX1142">
        <v>35.65</v>
      </c>
      <c r="AY1142" t="s">
        <v>120</v>
      </c>
      <c r="AZ1142" t="s">
        <v>120</v>
      </c>
      <c r="BA1142">
        <v>0.61</v>
      </c>
      <c r="BB1142" t="s">
        <v>143</v>
      </c>
      <c r="BF1142">
        <v>-0.37</v>
      </c>
      <c r="BG1142">
        <v>-1.41</v>
      </c>
      <c r="BH1142">
        <v>-2.36</v>
      </c>
      <c r="BI1142">
        <v>0.11</v>
      </c>
      <c r="BJ1142">
        <v>20210830</v>
      </c>
      <c r="BK1142">
        <v>20150626</v>
      </c>
      <c r="BL1142">
        <v>9.19</v>
      </c>
      <c r="BM1142" t="s">
        <v>120</v>
      </c>
      <c r="BN1142" t="s">
        <v>120</v>
      </c>
      <c r="BO1142">
        <v>68.48</v>
      </c>
      <c r="BP1142">
        <v>18.2</v>
      </c>
      <c r="BQ1142">
        <v>60.85</v>
      </c>
      <c r="BR1142" t="s">
        <v>120</v>
      </c>
      <c r="BS1142">
        <v>11.15</v>
      </c>
      <c r="BT1142">
        <v>36.299999999999997</v>
      </c>
      <c r="BU1142">
        <v>11.52</v>
      </c>
      <c r="BV1142">
        <v>2.82</v>
      </c>
      <c r="BW1142">
        <v>5.33</v>
      </c>
      <c r="BX1142">
        <v>25.13</v>
      </c>
      <c r="BY1142">
        <v>2.38</v>
      </c>
      <c r="BZ1142">
        <v>2.86</v>
      </c>
      <c r="CA1142">
        <v>0.03</v>
      </c>
      <c r="CB1142">
        <v>19.82</v>
      </c>
      <c r="CC1142">
        <v>19</v>
      </c>
      <c r="CD1142">
        <v>1.81</v>
      </c>
      <c r="CE1142">
        <v>4.38</v>
      </c>
      <c r="CF1142">
        <v>0.12</v>
      </c>
      <c r="CG1142">
        <v>4.37</v>
      </c>
      <c r="CH1142">
        <v>4.2</v>
      </c>
      <c r="CI1142">
        <v>4.2</v>
      </c>
      <c r="CJ1142">
        <v>-0.26</v>
      </c>
      <c r="CK1142">
        <v>3.88</v>
      </c>
      <c r="CL1142">
        <v>27.29</v>
      </c>
      <c r="CM1142">
        <v>1.29</v>
      </c>
      <c r="CN1142">
        <v>-8.14</v>
      </c>
      <c r="CO1142">
        <v>73705</v>
      </c>
      <c r="CP1142">
        <v>4447</v>
      </c>
      <c r="CQ1142" t="s">
        <v>6362</v>
      </c>
      <c r="CR1142">
        <v>25.68</v>
      </c>
      <c r="CS1142">
        <v>36.35</v>
      </c>
      <c r="CT1142">
        <v>2.75</v>
      </c>
      <c r="CU1142">
        <v>130.12</v>
      </c>
      <c r="CV1142">
        <v>8.81</v>
      </c>
      <c r="CW1142">
        <v>0.54</v>
      </c>
      <c r="CX1142" t="s">
        <v>1631</v>
      </c>
      <c r="CY1142">
        <v>6.62</v>
      </c>
      <c r="CZ1142">
        <v>0</v>
      </c>
      <c r="DA1142">
        <v>2.16</v>
      </c>
      <c r="DB1142">
        <v>2.97</v>
      </c>
      <c r="DC1142">
        <v>0.14000000000000001</v>
      </c>
      <c r="DD1142">
        <v>88.85</v>
      </c>
      <c r="DE1142" t="s">
        <v>3400</v>
      </c>
      <c r="DF1142">
        <v>90.48</v>
      </c>
      <c r="DG1142">
        <v>23.03</v>
      </c>
      <c r="DH1142">
        <v>22.13</v>
      </c>
      <c r="DI1142">
        <v>4.45</v>
      </c>
      <c r="DJ1142">
        <v>3882</v>
      </c>
      <c r="DK1142">
        <v>2773</v>
      </c>
      <c r="DL1142" t="s">
        <v>120</v>
      </c>
      <c r="DM1142" t="s">
        <v>120</v>
      </c>
      <c r="DN1142" t="s">
        <v>120</v>
      </c>
    </row>
    <row r="1143" spans="1:118">
      <c r="A1143" t="str">
        <f>"002774"</f>
        <v>002774</v>
      </c>
      <c r="B1143" t="s">
        <v>6363</v>
      </c>
      <c r="C1143">
        <v>-4.43</v>
      </c>
      <c r="D1143">
        <v>-0.09</v>
      </c>
      <c r="E1143">
        <v>-1.51</v>
      </c>
      <c r="F1143">
        <v>1714</v>
      </c>
      <c r="G1143" t="s">
        <v>6124</v>
      </c>
      <c r="H1143">
        <v>18015.88</v>
      </c>
      <c r="I1143">
        <v>374.21</v>
      </c>
      <c r="J1143" t="s">
        <v>120</v>
      </c>
      <c r="K1143" t="s">
        <v>6364</v>
      </c>
      <c r="L1143">
        <v>6.17</v>
      </c>
      <c r="M1143">
        <v>10.14</v>
      </c>
      <c r="N1143">
        <v>0.9</v>
      </c>
      <c r="O1143">
        <v>1.1299999999999999</v>
      </c>
      <c r="P1143">
        <v>10.73</v>
      </c>
      <c r="Q1143">
        <v>-5.28</v>
      </c>
      <c r="R1143">
        <v>10.050000000000001</v>
      </c>
      <c r="S1143">
        <v>10.45</v>
      </c>
      <c r="T1143">
        <v>173771</v>
      </c>
      <c r="U1143">
        <v>10.14</v>
      </c>
      <c r="V1143">
        <v>10.61</v>
      </c>
      <c r="W1143">
        <v>6.7</v>
      </c>
      <c r="X1143" t="s">
        <v>157</v>
      </c>
      <c r="Y1143" t="s">
        <v>547</v>
      </c>
      <c r="Z1143">
        <v>6.41</v>
      </c>
      <c r="AA1143">
        <v>10.37</v>
      </c>
      <c r="AB1143">
        <v>95543</v>
      </c>
      <c r="AC1143">
        <v>78228</v>
      </c>
      <c r="AD1143">
        <v>1.22</v>
      </c>
      <c r="AE1143">
        <v>58</v>
      </c>
      <c r="AF1143">
        <v>153</v>
      </c>
      <c r="AG1143" t="s">
        <v>120</v>
      </c>
      <c r="AH1143">
        <v>0.37</v>
      </c>
      <c r="AI1143" t="s">
        <v>120</v>
      </c>
      <c r="AJ1143">
        <v>2.82</v>
      </c>
      <c r="AK1143" t="s">
        <v>6365</v>
      </c>
      <c r="AL1143">
        <v>-2.52</v>
      </c>
      <c r="AM1143">
        <v>3611</v>
      </c>
      <c r="AN1143">
        <v>48</v>
      </c>
      <c r="AO1143">
        <v>1.6999999999999999E-3</v>
      </c>
      <c r="AP1143">
        <v>-2</v>
      </c>
      <c r="AQ1143">
        <v>-2.39</v>
      </c>
      <c r="AR1143">
        <v>2.63</v>
      </c>
      <c r="AS1143">
        <v>36.659999999999997</v>
      </c>
      <c r="AT1143">
        <v>62.76</v>
      </c>
      <c r="AU1143">
        <v>63.02</v>
      </c>
      <c r="AV1143">
        <v>8</v>
      </c>
      <c r="AW1143">
        <v>17.97</v>
      </c>
      <c r="AX1143">
        <v>28.72</v>
      </c>
      <c r="AY1143">
        <v>12.57</v>
      </c>
      <c r="AZ1143">
        <v>114.36</v>
      </c>
      <c r="BA1143">
        <v>0.09</v>
      </c>
      <c r="BB1143" t="s">
        <v>341</v>
      </c>
      <c r="BF1143">
        <v>-2.2799999999999998</v>
      </c>
      <c r="BG1143">
        <v>-2.97</v>
      </c>
      <c r="BH1143">
        <v>-5.5</v>
      </c>
      <c r="BI1143">
        <v>0.9</v>
      </c>
      <c r="BJ1143">
        <v>20210830</v>
      </c>
      <c r="BK1143">
        <v>20170324</v>
      </c>
      <c r="BL1143">
        <v>3.37</v>
      </c>
      <c r="BM1143" t="s">
        <v>120</v>
      </c>
      <c r="BN1143" t="s">
        <v>120</v>
      </c>
      <c r="BO1143">
        <v>23.4</v>
      </c>
      <c r="BP1143">
        <v>10.130000000000001</v>
      </c>
      <c r="BQ1143">
        <v>13.34</v>
      </c>
      <c r="BR1143">
        <v>0</v>
      </c>
      <c r="BS1143">
        <v>43.01</v>
      </c>
      <c r="BT1143">
        <v>19.95</v>
      </c>
      <c r="BU1143">
        <v>1.42</v>
      </c>
      <c r="BV1143">
        <v>1.43</v>
      </c>
      <c r="BW1143">
        <v>9.5500000000000007</v>
      </c>
      <c r="BX1143">
        <v>3.04</v>
      </c>
      <c r="BY1143">
        <v>3.51</v>
      </c>
      <c r="BZ1143">
        <v>6.94</v>
      </c>
      <c r="CA1143">
        <v>0.19</v>
      </c>
      <c r="CB1143">
        <v>4.1500000000000004</v>
      </c>
      <c r="CC1143">
        <v>12.01</v>
      </c>
      <c r="CD1143">
        <v>5.71</v>
      </c>
      <c r="CE1143">
        <v>3</v>
      </c>
      <c r="CF1143">
        <v>0.05</v>
      </c>
      <c r="CG1143">
        <v>3</v>
      </c>
      <c r="CH1143">
        <v>2.54</v>
      </c>
      <c r="CI1143">
        <v>2.5499999999999998</v>
      </c>
      <c r="CJ1143">
        <v>-0.47</v>
      </c>
      <c r="CK1143">
        <v>-0.04</v>
      </c>
      <c r="CL1143">
        <v>5.0199999999999996</v>
      </c>
      <c r="CM1143">
        <v>1.1599999999999999</v>
      </c>
      <c r="CN1143">
        <v>-1.78</v>
      </c>
      <c r="CO1143">
        <v>19868</v>
      </c>
      <c r="CP1143">
        <v>4867</v>
      </c>
      <c r="CQ1143" t="s">
        <v>255</v>
      </c>
      <c r="CR1143">
        <v>15785.34</v>
      </c>
      <c r="CS1143">
        <v>222.54</v>
      </c>
      <c r="CT1143">
        <v>2.56</v>
      </c>
      <c r="CU1143">
        <v>29.44</v>
      </c>
      <c r="CV1143">
        <v>2.84</v>
      </c>
      <c r="CW1143">
        <v>0.47</v>
      </c>
      <c r="CX1143" t="s">
        <v>6366</v>
      </c>
      <c r="CY1143">
        <v>3.96</v>
      </c>
      <c r="CZ1143">
        <v>0</v>
      </c>
      <c r="DA1143">
        <v>1.23</v>
      </c>
      <c r="DB1143">
        <v>1.49</v>
      </c>
      <c r="DC1143">
        <v>0.34</v>
      </c>
      <c r="DD1143">
        <v>57</v>
      </c>
      <c r="DE1143" t="s">
        <v>6367</v>
      </c>
      <c r="DF1143">
        <v>52.48</v>
      </c>
      <c r="DG1143">
        <v>24.95</v>
      </c>
      <c r="DH1143">
        <v>21.21</v>
      </c>
      <c r="DI1143">
        <v>0.16</v>
      </c>
      <c r="DJ1143">
        <v>1540</v>
      </c>
      <c r="DK1143">
        <v>2774</v>
      </c>
      <c r="DL1143">
        <v>20210715</v>
      </c>
      <c r="DM1143">
        <v>6.65</v>
      </c>
      <c r="DN1143">
        <v>52.48</v>
      </c>
    </row>
    <row r="1144" spans="1:118">
      <c r="A1144" t="str">
        <f>"002775"</f>
        <v>002775</v>
      </c>
      <c r="B1144" t="s">
        <v>6368</v>
      </c>
      <c r="C1144">
        <v>-0.48</v>
      </c>
      <c r="D1144">
        <v>0</v>
      </c>
      <c r="E1144">
        <v>-0.48</v>
      </c>
      <c r="F1144">
        <v>156</v>
      </c>
      <c r="G1144" t="s">
        <v>6369</v>
      </c>
      <c r="H1144">
        <v>1834.31</v>
      </c>
      <c r="I1144">
        <v>16.05</v>
      </c>
      <c r="J1144" t="s">
        <v>120</v>
      </c>
      <c r="K1144" t="s">
        <v>1607</v>
      </c>
      <c r="L1144">
        <v>0.97</v>
      </c>
      <c r="M1144">
        <v>4.18</v>
      </c>
      <c r="N1144">
        <v>1.23</v>
      </c>
      <c r="O1144">
        <v>2.14</v>
      </c>
      <c r="P1144">
        <v>4.29</v>
      </c>
      <c r="Q1144">
        <v>-0.71</v>
      </c>
      <c r="R1144">
        <v>4.17</v>
      </c>
      <c r="S1144">
        <v>4.18</v>
      </c>
      <c r="T1144">
        <v>43376</v>
      </c>
      <c r="U1144">
        <v>4.1900000000000004</v>
      </c>
      <c r="V1144">
        <v>4.2</v>
      </c>
      <c r="W1144">
        <v>16.86</v>
      </c>
      <c r="X1144" t="s">
        <v>175</v>
      </c>
      <c r="Y1144" t="s">
        <v>123</v>
      </c>
      <c r="Z1144">
        <v>2.86</v>
      </c>
      <c r="AA1144">
        <v>4.2300000000000004</v>
      </c>
      <c r="AB1144">
        <v>19815</v>
      </c>
      <c r="AC1144">
        <v>23561</v>
      </c>
      <c r="AD1144">
        <v>0.84</v>
      </c>
      <c r="AE1144">
        <v>148</v>
      </c>
      <c r="AF1144">
        <v>1160</v>
      </c>
      <c r="AG1144" t="s">
        <v>120</v>
      </c>
      <c r="AH1144">
        <v>0.01</v>
      </c>
      <c r="AI1144" t="s">
        <v>120</v>
      </c>
      <c r="AJ1144">
        <v>4.46</v>
      </c>
      <c r="AK1144" t="s">
        <v>6370</v>
      </c>
      <c r="AL1144">
        <v>1.44</v>
      </c>
      <c r="AM1144">
        <v>801</v>
      </c>
      <c r="AN1144">
        <v>54</v>
      </c>
      <c r="AO1144">
        <v>1.1999999999999999E-3</v>
      </c>
      <c r="AP1144">
        <v>-3</v>
      </c>
      <c r="AQ1144">
        <v>-0.24</v>
      </c>
      <c r="AR1144">
        <v>-2.79</v>
      </c>
      <c r="AS1144">
        <v>4.24</v>
      </c>
      <c r="AT1144">
        <v>-5</v>
      </c>
      <c r="AU1144">
        <v>-3.91</v>
      </c>
      <c r="AV1144">
        <v>0</v>
      </c>
      <c r="AW1144">
        <v>1.51</v>
      </c>
      <c r="AX1144">
        <v>56.08</v>
      </c>
      <c r="AY1144">
        <v>17</v>
      </c>
      <c r="AZ1144">
        <v>13.47</v>
      </c>
      <c r="BA1144">
        <v>0.15</v>
      </c>
      <c r="BB1144" t="s">
        <v>143</v>
      </c>
      <c r="BF1144">
        <v>0.69</v>
      </c>
      <c r="BG1144">
        <v>0</v>
      </c>
      <c r="BH1144">
        <v>-2.56</v>
      </c>
      <c r="BI1144">
        <v>0.24</v>
      </c>
      <c r="BJ1144">
        <v>20210831</v>
      </c>
      <c r="BK1144">
        <v>20150629</v>
      </c>
      <c r="BL1144">
        <v>5.13</v>
      </c>
      <c r="BM1144" t="s">
        <v>120</v>
      </c>
      <c r="BN1144" t="s">
        <v>120</v>
      </c>
      <c r="BO1144">
        <v>56.85</v>
      </c>
      <c r="BP1144">
        <v>4.18</v>
      </c>
      <c r="BQ1144">
        <v>22.79</v>
      </c>
      <c r="BR1144">
        <v>0.62</v>
      </c>
      <c r="BS1144">
        <v>58.83</v>
      </c>
      <c r="BT1144">
        <v>38.47</v>
      </c>
      <c r="BU1144">
        <v>0.19</v>
      </c>
      <c r="BV1144">
        <v>0.95</v>
      </c>
      <c r="BW1144">
        <v>21.55</v>
      </c>
      <c r="BX1144">
        <v>9.5500000000000007</v>
      </c>
      <c r="BY1144">
        <v>2.9</v>
      </c>
      <c r="BZ1144">
        <v>7.82</v>
      </c>
      <c r="CA1144" t="s">
        <v>120</v>
      </c>
      <c r="CB1144">
        <v>10.95</v>
      </c>
      <c r="CC1144">
        <v>13.01</v>
      </c>
      <c r="CD1144">
        <v>10.31</v>
      </c>
      <c r="CE1144">
        <v>0.7</v>
      </c>
      <c r="CF1144">
        <v>-0.02</v>
      </c>
      <c r="CG1144">
        <v>0.7</v>
      </c>
      <c r="CH1144">
        <v>0.61</v>
      </c>
      <c r="CI1144">
        <v>0.64</v>
      </c>
      <c r="CJ1144">
        <v>-0.02</v>
      </c>
      <c r="CK1144">
        <v>0.62</v>
      </c>
      <c r="CL1144">
        <v>4.7</v>
      </c>
      <c r="CM1144">
        <v>-2.67</v>
      </c>
      <c r="CN1144">
        <v>-3.69</v>
      </c>
      <c r="CO1144">
        <v>20293</v>
      </c>
      <c r="CP1144">
        <v>14171</v>
      </c>
      <c r="CQ1144" t="s">
        <v>2706</v>
      </c>
      <c r="CR1144">
        <v>-34.340000000000003</v>
      </c>
      <c r="CS1144">
        <v>3.15</v>
      </c>
      <c r="CT1144">
        <v>0.99</v>
      </c>
      <c r="CU1144">
        <v>-8.0399999999999991</v>
      </c>
      <c r="CV1144">
        <v>1.65</v>
      </c>
      <c r="CW1144">
        <v>11.68</v>
      </c>
      <c r="CX1144" t="s">
        <v>850</v>
      </c>
      <c r="CY1144">
        <v>4.2300000000000004</v>
      </c>
      <c r="CZ1144">
        <v>4.2300000000000004</v>
      </c>
      <c r="DA1144">
        <v>2.14</v>
      </c>
      <c r="DB1144">
        <v>0.92</v>
      </c>
      <c r="DC1144">
        <v>-0.52</v>
      </c>
      <c r="DD1144">
        <v>40.08</v>
      </c>
      <c r="DE1144" t="s">
        <v>6371</v>
      </c>
      <c r="DF1144">
        <v>20.71</v>
      </c>
      <c r="DG1144">
        <v>5.38</v>
      </c>
      <c r="DH1144">
        <v>4.8899999999999997</v>
      </c>
      <c r="DI1144">
        <v>0.36</v>
      </c>
      <c r="DJ1144">
        <v>1407</v>
      </c>
      <c r="DK1144">
        <v>2775</v>
      </c>
      <c r="DL1144" t="s">
        <v>120</v>
      </c>
      <c r="DM1144" t="s">
        <v>120</v>
      </c>
      <c r="DN1144" t="s">
        <v>120</v>
      </c>
    </row>
    <row r="1145" spans="1:118">
      <c r="A1145" t="str">
        <f>"002777"</f>
        <v>002777</v>
      </c>
      <c r="B1145" t="s">
        <v>6372</v>
      </c>
      <c r="C1145">
        <v>0.77</v>
      </c>
      <c r="D1145">
        <v>0.96</v>
      </c>
      <c r="E1145">
        <v>0</v>
      </c>
      <c r="F1145">
        <v>4832</v>
      </c>
      <c r="G1145" t="s">
        <v>6373</v>
      </c>
      <c r="H1145">
        <v>5613.82</v>
      </c>
      <c r="I1145">
        <v>5.83</v>
      </c>
      <c r="J1145" t="s">
        <v>120</v>
      </c>
      <c r="K1145" t="s">
        <v>6374</v>
      </c>
      <c r="L1145">
        <v>0.87</v>
      </c>
      <c r="M1145">
        <v>20.99</v>
      </c>
      <c r="N1145">
        <v>0.72</v>
      </c>
      <c r="O1145">
        <v>2.93</v>
      </c>
      <c r="P1145">
        <v>21.44</v>
      </c>
      <c r="Q1145">
        <v>-1.2</v>
      </c>
      <c r="R1145">
        <v>20.58</v>
      </c>
      <c r="S1145">
        <v>20.83</v>
      </c>
      <c r="T1145">
        <v>26790</v>
      </c>
      <c r="U1145">
        <v>21</v>
      </c>
      <c r="V1145">
        <v>20.83</v>
      </c>
      <c r="W1145">
        <v>38.659999999999997</v>
      </c>
      <c r="X1145" t="s">
        <v>141</v>
      </c>
      <c r="Y1145" t="s">
        <v>578</v>
      </c>
      <c r="Z1145">
        <v>4.13</v>
      </c>
      <c r="AA1145">
        <v>20.96</v>
      </c>
      <c r="AB1145">
        <v>13103</v>
      </c>
      <c r="AC1145">
        <v>13687</v>
      </c>
      <c r="AD1145">
        <v>0.96</v>
      </c>
      <c r="AE1145">
        <v>10754</v>
      </c>
      <c r="AF1145">
        <v>54</v>
      </c>
      <c r="AG1145" t="s">
        <v>120</v>
      </c>
      <c r="AH1145">
        <v>0</v>
      </c>
      <c r="AI1145" t="s">
        <v>120</v>
      </c>
      <c r="AJ1145">
        <v>3.07</v>
      </c>
      <c r="AK1145" t="s">
        <v>6375</v>
      </c>
      <c r="AL1145">
        <v>2.68</v>
      </c>
      <c r="AM1145">
        <v>2115</v>
      </c>
      <c r="AN1145">
        <v>13</v>
      </c>
      <c r="AO1145">
        <v>4.0000000000000002E-4</v>
      </c>
      <c r="AP1145">
        <v>1</v>
      </c>
      <c r="AQ1145">
        <v>-0.1</v>
      </c>
      <c r="AR1145">
        <v>-3.41</v>
      </c>
      <c r="AS1145">
        <v>14.95</v>
      </c>
      <c r="AT1145">
        <v>18.93</v>
      </c>
      <c r="AU1145">
        <v>-9.49</v>
      </c>
      <c r="AV1145">
        <v>1</v>
      </c>
      <c r="AW1145">
        <v>1.58</v>
      </c>
      <c r="AX1145">
        <v>53.92</v>
      </c>
      <c r="AY1145">
        <v>30.55</v>
      </c>
      <c r="AZ1145">
        <v>35.049999999999997</v>
      </c>
      <c r="BA1145">
        <v>0.79</v>
      </c>
      <c r="BB1145" t="s">
        <v>143</v>
      </c>
      <c r="BF1145">
        <v>0.6</v>
      </c>
      <c r="BG1145">
        <v>0.77</v>
      </c>
      <c r="BH1145">
        <v>-2.1</v>
      </c>
      <c r="BI1145">
        <v>1.99</v>
      </c>
      <c r="BJ1145">
        <v>20210823</v>
      </c>
      <c r="BK1145">
        <v>20151231</v>
      </c>
      <c r="BL1145">
        <v>3.14</v>
      </c>
      <c r="BM1145" t="s">
        <v>120</v>
      </c>
      <c r="BN1145" t="s">
        <v>120</v>
      </c>
      <c r="BO1145">
        <v>22.12</v>
      </c>
      <c r="BP1145">
        <v>20.99</v>
      </c>
      <c r="BQ1145">
        <v>12.88</v>
      </c>
      <c r="BR1145">
        <v>1.17</v>
      </c>
      <c r="BS1145">
        <v>36.49</v>
      </c>
      <c r="BT1145">
        <v>17.34</v>
      </c>
      <c r="BU1145">
        <v>1.27</v>
      </c>
      <c r="BV1145">
        <v>1.19</v>
      </c>
      <c r="BW1145">
        <v>7.4</v>
      </c>
      <c r="BX1145">
        <v>4.08</v>
      </c>
      <c r="BY1145">
        <v>3.26</v>
      </c>
      <c r="BZ1145">
        <v>3.28</v>
      </c>
      <c r="CA1145" t="s">
        <v>120</v>
      </c>
      <c r="CB1145">
        <v>4.07</v>
      </c>
      <c r="CC1145">
        <v>4.0199999999999996</v>
      </c>
      <c r="CD1145">
        <v>1.5</v>
      </c>
      <c r="CE1145">
        <v>0.94</v>
      </c>
      <c r="CF1145">
        <v>0.04</v>
      </c>
      <c r="CG1145">
        <v>0.95</v>
      </c>
      <c r="CH1145">
        <v>0.82</v>
      </c>
      <c r="CI1145">
        <v>0.85</v>
      </c>
      <c r="CJ1145">
        <v>0.16</v>
      </c>
      <c r="CK1145">
        <v>0.78</v>
      </c>
      <c r="CL1145">
        <v>4.8499999999999996</v>
      </c>
      <c r="CM1145">
        <v>-0.34</v>
      </c>
      <c r="CN1145">
        <v>-3.21</v>
      </c>
      <c r="CO1145">
        <v>20169</v>
      </c>
      <c r="CP1145">
        <v>8395</v>
      </c>
      <c r="CQ1145" t="s">
        <v>6376</v>
      </c>
      <c r="CR1145">
        <v>47.54</v>
      </c>
      <c r="CS1145">
        <v>29.45</v>
      </c>
      <c r="CT1145">
        <v>5.12</v>
      </c>
      <c r="CU1145">
        <v>-194.96</v>
      </c>
      <c r="CV1145">
        <v>16.39</v>
      </c>
      <c r="CW1145">
        <v>0.72</v>
      </c>
      <c r="CX1145" t="s">
        <v>1233</v>
      </c>
      <c r="CY1145">
        <v>4.0999999999999996</v>
      </c>
      <c r="CZ1145">
        <v>0</v>
      </c>
      <c r="DA1145">
        <v>1.3</v>
      </c>
      <c r="DB1145">
        <v>1.55</v>
      </c>
      <c r="DC1145">
        <v>-0.11</v>
      </c>
      <c r="DD1145">
        <v>58.22</v>
      </c>
      <c r="DE1145" t="s">
        <v>6377</v>
      </c>
      <c r="DF1145">
        <v>62.63</v>
      </c>
      <c r="DG1145">
        <v>23.43</v>
      </c>
      <c r="DH1145">
        <v>21.19</v>
      </c>
      <c r="DI1145">
        <v>0.38</v>
      </c>
      <c r="DJ1145">
        <v>3639</v>
      </c>
      <c r="DK1145">
        <v>2777</v>
      </c>
      <c r="DL1145" t="s">
        <v>120</v>
      </c>
      <c r="DM1145" t="s">
        <v>120</v>
      </c>
      <c r="DN1145" t="s">
        <v>120</v>
      </c>
    </row>
    <row r="1146" spans="1:118">
      <c r="A1146" t="str">
        <f>"002778"</f>
        <v>002778</v>
      </c>
      <c r="B1146" t="s">
        <v>6378</v>
      </c>
      <c r="C1146">
        <v>-3.06</v>
      </c>
      <c r="D1146">
        <v>0</v>
      </c>
      <c r="E1146">
        <v>1.48</v>
      </c>
      <c r="F1146">
        <v>98</v>
      </c>
      <c r="G1146" t="s">
        <v>6379</v>
      </c>
      <c r="H1146">
        <v>3224.01</v>
      </c>
      <c r="I1146">
        <v>14.65</v>
      </c>
      <c r="J1146" t="s">
        <v>120</v>
      </c>
      <c r="K1146" t="s">
        <v>6352</v>
      </c>
      <c r="L1146">
        <v>1.44</v>
      </c>
      <c r="M1146">
        <v>17.72</v>
      </c>
      <c r="N1146">
        <v>0.95</v>
      </c>
      <c r="O1146">
        <v>1.48</v>
      </c>
      <c r="P1146">
        <v>18.55</v>
      </c>
      <c r="Q1146">
        <v>-3.28</v>
      </c>
      <c r="R1146">
        <v>17.68</v>
      </c>
      <c r="S1146">
        <v>18.55</v>
      </c>
      <c r="T1146">
        <v>17982</v>
      </c>
      <c r="U1146">
        <v>17.739999999999998</v>
      </c>
      <c r="V1146">
        <v>18.28</v>
      </c>
      <c r="W1146">
        <v>24.4</v>
      </c>
      <c r="X1146" t="s">
        <v>431</v>
      </c>
      <c r="Y1146" t="s">
        <v>319</v>
      </c>
      <c r="Z1146">
        <v>4.76</v>
      </c>
      <c r="AA1146">
        <v>17.93</v>
      </c>
      <c r="AB1146">
        <v>12054</v>
      </c>
      <c r="AC1146">
        <v>5928</v>
      </c>
      <c r="AD1146">
        <v>2.0299999999999998</v>
      </c>
      <c r="AE1146">
        <v>138</v>
      </c>
      <c r="AF1146">
        <v>8</v>
      </c>
      <c r="AG1146" t="s">
        <v>120</v>
      </c>
      <c r="AH1146">
        <v>0.01</v>
      </c>
      <c r="AI1146" t="s">
        <v>120</v>
      </c>
      <c r="AJ1146">
        <v>1.25</v>
      </c>
      <c r="AK1146" t="s">
        <v>6352</v>
      </c>
      <c r="AL1146">
        <v>-1.1499999999999999</v>
      </c>
      <c r="AM1146">
        <v>1007</v>
      </c>
      <c r="AN1146">
        <v>18</v>
      </c>
      <c r="AO1146">
        <v>1.4E-3</v>
      </c>
      <c r="AP1146">
        <v>-1</v>
      </c>
      <c r="AQ1146">
        <v>1.05</v>
      </c>
      <c r="AR1146">
        <v>-0.84</v>
      </c>
      <c r="AS1146">
        <v>8.11</v>
      </c>
      <c r="AT1146">
        <v>-0.79</v>
      </c>
      <c r="AU1146">
        <v>4.37</v>
      </c>
      <c r="AV1146">
        <v>0</v>
      </c>
      <c r="AW1146">
        <v>2.31</v>
      </c>
      <c r="AX1146">
        <v>62.33</v>
      </c>
      <c r="AY1146">
        <v>21.77</v>
      </c>
      <c r="AZ1146">
        <v>30.61</v>
      </c>
      <c r="BA1146">
        <v>0.22</v>
      </c>
      <c r="BB1146" t="s">
        <v>184</v>
      </c>
      <c r="BF1146">
        <v>-1.92</v>
      </c>
      <c r="BG1146">
        <v>-4.47</v>
      </c>
      <c r="BH1146">
        <v>-4.47</v>
      </c>
      <c r="BI1146">
        <v>0.23</v>
      </c>
      <c r="BJ1146">
        <v>20210827</v>
      </c>
      <c r="BK1146">
        <v>20160106</v>
      </c>
      <c r="BL1146">
        <v>1.25</v>
      </c>
      <c r="BM1146" t="s">
        <v>120</v>
      </c>
      <c r="BN1146" t="s">
        <v>120</v>
      </c>
      <c r="BO1146">
        <v>14.72</v>
      </c>
      <c r="BP1146">
        <v>17.72</v>
      </c>
      <c r="BQ1146">
        <v>5.26</v>
      </c>
      <c r="BR1146">
        <v>1.1499999999999999</v>
      </c>
      <c r="BS1146">
        <v>56.43</v>
      </c>
      <c r="BT1146">
        <v>9.56</v>
      </c>
      <c r="BU1146">
        <v>2.2799999999999998</v>
      </c>
      <c r="BV1146">
        <v>0.28999999999999998</v>
      </c>
      <c r="BW1146">
        <v>5.29</v>
      </c>
      <c r="BX1146">
        <v>1.68</v>
      </c>
      <c r="BY1146">
        <v>1.72</v>
      </c>
      <c r="BZ1146">
        <v>4.74</v>
      </c>
      <c r="CA1146" t="s">
        <v>120</v>
      </c>
      <c r="CB1146">
        <v>0.01</v>
      </c>
      <c r="CC1146">
        <v>4.6500000000000004</v>
      </c>
      <c r="CD1146">
        <v>3.58</v>
      </c>
      <c r="CE1146">
        <v>0.73</v>
      </c>
      <c r="CF1146">
        <v>0.02</v>
      </c>
      <c r="CG1146">
        <v>0.73</v>
      </c>
      <c r="CH1146">
        <v>0.61</v>
      </c>
      <c r="CI1146">
        <v>0.45</v>
      </c>
      <c r="CJ1146">
        <v>-0.56000000000000005</v>
      </c>
      <c r="CK1146">
        <v>0.44</v>
      </c>
      <c r="CL1146">
        <v>3.63</v>
      </c>
      <c r="CM1146">
        <v>0.55000000000000004</v>
      </c>
      <c r="CN1146">
        <v>-0.91</v>
      </c>
      <c r="CO1146">
        <v>7510</v>
      </c>
      <c r="CP1146">
        <v>10353</v>
      </c>
      <c r="CQ1146" t="s">
        <v>6380</v>
      </c>
      <c r="CR1146">
        <v>200.9</v>
      </c>
      <c r="CS1146">
        <v>22.88</v>
      </c>
      <c r="CT1146">
        <v>4.2</v>
      </c>
      <c r="CU1146">
        <v>40.020000000000003</v>
      </c>
      <c r="CV1146">
        <v>4.76</v>
      </c>
      <c r="CW1146">
        <v>0.39</v>
      </c>
      <c r="CX1146" t="s">
        <v>472</v>
      </c>
      <c r="CY1146">
        <v>4.22</v>
      </c>
      <c r="CZ1146">
        <v>0</v>
      </c>
      <c r="DA1146">
        <v>0.01</v>
      </c>
      <c r="DB1146">
        <v>2.91</v>
      </c>
      <c r="DC1146">
        <v>0.44</v>
      </c>
      <c r="DD1146">
        <v>35.770000000000003</v>
      </c>
      <c r="DE1146" t="s">
        <v>6381</v>
      </c>
      <c r="DF1146">
        <v>23.06</v>
      </c>
      <c r="DG1146">
        <v>15.77</v>
      </c>
      <c r="DH1146">
        <v>9.75</v>
      </c>
      <c r="DI1146">
        <v>0.17</v>
      </c>
      <c r="DJ1146">
        <v>711</v>
      </c>
      <c r="DK1146">
        <v>2778</v>
      </c>
      <c r="DL1146" t="s">
        <v>120</v>
      </c>
      <c r="DM1146" t="s">
        <v>120</v>
      </c>
      <c r="DN1146" t="s">
        <v>120</v>
      </c>
    </row>
    <row r="1147" spans="1:118">
      <c r="A1147" t="str">
        <f>"002779"</f>
        <v>002779</v>
      </c>
      <c r="B1147" t="s">
        <v>6382</v>
      </c>
      <c r="C1147">
        <v>1.38</v>
      </c>
      <c r="D1147">
        <v>0.32</v>
      </c>
      <c r="E1147">
        <v>-0.16</v>
      </c>
      <c r="F1147">
        <v>600</v>
      </c>
      <c r="G1147" t="s">
        <v>6383</v>
      </c>
      <c r="H1147">
        <v>2347.5100000000002</v>
      </c>
      <c r="I1147">
        <v>1.35</v>
      </c>
      <c r="J1147" t="s">
        <v>120</v>
      </c>
      <c r="K1147" t="s">
        <v>6384</v>
      </c>
      <c r="L1147">
        <v>1.6</v>
      </c>
      <c r="M1147">
        <v>12.49</v>
      </c>
      <c r="N1147">
        <v>1.31</v>
      </c>
      <c r="O1147">
        <v>2.44</v>
      </c>
      <c r="P1147">
        <v>12.62</v>
      </c>
      <c r="Q1147">
        <v>-1.46</v>
      </c>
      <c r="R1147">
        <v>12.14</v>
      </c>
      <c r="S1147">
        <v>12.3</v>
      </c>
      <c r="T1147">
        <v>18913</v>
      </c>
      <c r="U1147">
        <v>12.49</v>
      </c>
      <c r="V1147">
        <v>12.32</v>
      </c>
      <c r="W1147">
        <v>216.36</v>
      </c>
      <c r="X1147" t="s">
        <v>2079</v>
      </c>
      <c r="Y1147" t="s">
        <v>585</v>
      </c>
      <c r="Z1147">
        <v>3.9</v>
      </c>
      <c r="AA1147">
        <v>12.41</v>
      </c>
      <c r="AB1147">
        <v>8445</v>
      </c>
      <c r="AC1147">
        <v>10468</v>
      </c>
      <c r="AD1147">
        <v>0.81</v>
      </c>
      <c r="AE1147">
        <v>78</v>
      </c>
      <c r="AF1147">
        <v>11</v>
      </c>
      <c r="AG1147" t="s">
        <v>120</v>
      </c>
      <c r="AH1147">
        <v>0</v>
      </c>
      <c r="AI1147" t="s">
        <v>120</v>
      </c>
      <c r="AJ1147">
        <v>1.18</v>
      </c>
      <c r="AK1147" t="s">
        <v>6052</v>
      </c>
      <c r="AL1147">
        <v>3.29</v>
      </c>
      <c r="AM1147">
        <v>1313</v>
      </c>
      <c r="AN1147">
        <v>14</v>
      </c>
      <c r="AO1147">
        <v>1.1999999999999999E-3</v>
      </c>
      <c r="AP1147">
        <v>2</v>
      </c>
      <c r="AQ1147">
        <v>1.99</v>
      </c>
      <c r="AR1147">
        <v>2.2999999999999998</v>
      </c>
      <c r="AS1147">
        <v>14.59</v>
      </c>
      <c r="AT1147">
        <v>17.5</v>
      </c>
      <c r="AU1147">
        <v>-1.5</v>
      </c>
      <c r="AV1147">
        <v>0</v>
      </c>
      <c r="AW1147">
        <v>4.68</v>
      </c>
      <c r="AX1147">
        <v>30.63</v>
      </c>
      <c r="AY1147" t="s">
        <v>120</v>
      </c>
      <c r="AZ1147" t="s">
        <v>120</v>
      </c>
      <c r="BA1147">
        <v>0.4</v>
      </c>
      <c r="BB1147" t="s">
        <v>184</v>
      </c>
      <c r="BF1147">
        <v>0.75</v>
      </c>
      <c r="BG1147">
        <v>1.54</v>
      </c>
      <c r="BH1147">
        <v>-1.03</v>
      </c>
      <c r="BI1147">
        <v>2.88</v>
      </c>
      <c r="BJ1147">
        <v>20210830</v>
      </c>
      <c r="BK1147">
        <v>20151209</v>
      </c>
      <c r="BL1147">
        <v>1.32</v>
      </c>
      <c r="BM1147" t="s">
        <v>120</v>
      </c>
      <c r="BN1147" t="s">
        <v>120</v>
      </c>
      <c r="BO1147">
        <v>8.69</v>
      </c>
      <c r="BP1147">
        <v>12.48</v>
      </c>
      <c r="BQ1147">
        <v>6.21</v>
      </c>
      <c r="BR1147" t="s">
        <v>120</v>
      </c>
      <c r="BS1147">
        <v>28.49</v>
      </c>
      <c r="BT1147">
        <v>5.03</v>
      </c>
      <c r="BU1147">
        <v>2.94</v>
      </c>
      <c r="BV1147">
        <v>0.52</v>
      </c>
      <c r="BW1147">
        <v>2.2400000000000002</v>
      </c>
      <c r="BX1147">
        <v>0.64</v>
      </c>
      <c r="BY1147">
        <v>2.29</v>
      </c>
      <c r="BZ1147">
        <v>1.29</v>
      </c>
      <c r="CA1147" t="s">
        <v>120</v>
      </c>
      <c r="CB1147">
        <v>1.95</v>
      </c>
      <c r="CC1147">
        <v>2.38</v>
      </c>
      <c r="CD1147">
        <v>1.97</v>
      </c>
      <c r="CE1147">
        <v>0.04</v>
      </c>
      <c r="CF1147">
        <v>0.05</v>
      </c>
      <c r="CG1147">
        <v>0.05</v>
      </c>
      <c r="CH1147">
        <v>0.04</v>
      </c>
      <c r="CI1147">
        <v>0.04</v>
      </c>
      <c r="CJ1147">
        <v>0.17</v>
      </c>
      <c r="CK1147">
        <v>-0.02</v>
      </c>
      <c r="CL1147">
        <v>2.57</v>
      </c>
      <c r="CM1147">
        <v>-0.88</v>
      </c>
      <c r="CN1147">
        <v>-0.42</v>
      </c>
      <c r="CO1147">
        <v>9231</v>
      </c>
      <c r="CP1147">
        <v>4379</v>
      </c>
      <c r="CQ1147" t="s">
        <v>6385</v>
      </c>
      <c r="CR1147">
        <v>162.24</v>
      </c>
      <c r="CS1147">
        <v>34.61</v>
      </c>
      <c r="CT1147">
        <v>2.65</v>
      </c>
      <c r="CU1147">
        <v>-18.670000000000002</v>
      </c>
      <c r="CV1147">
        <v>6.93</v>
      </c>
      <c r="CW1147">
        <v>0</v>
      </c>
      <c r="CX1147" t="s">
        <v>2074</v>
      </c>
      <c r="CY1147">
        <v>4.71</v>
      </c>
      <c r="CZ1147">
        <v>0</v>
      </c>
      <c r="DA1147">
        <v>1.48</v>
      </c>
      <c r="DB1147">
        <v>1.95</v>
      </c>
      <c r="DC1147">
        <v>-0.67</v>
      </c>
      <c r="DD1147">
        <v>71.510000000000005</v>
      </c>
      <c r="DE1147" t="s">
        <v>2004</v>
      </c>
      <c r="DF1147">
        <v>17.07</v>
      </c>
      <c r="DG1147">
        <v>1.89</v>
      </c>
      <c r="DH1147">
        <v>1.6</v>
      </c>
      <c r="DI1147">
        <v>0.1</v>
      </c>
      <c r="DJ1147">
        <v>735</v>
      </c>
      <c r="DK1147">
        <v>2779</v>
      </c>
      <c r="DL1147" t="s">
        <v>120</v>
      </c>
      <c r="DM1147" t="s">
        <v>120</v>
      </c>
      <c r="DN1147" t="s">
        <v>120</v>
      </c>
    </row>
    <row r="1148" spans="1:118">
      <c r="A1148" t="str">
        <f>"002780"</f>
        <v>002780</v>
      </c>
      <c r="B1148" t="s">
        <v>6386</v>
      </c>
      <c r="C1148">
        <v>-2.04</v>
      </c>
      <c r="D1148">
        <v>-0.27</v>
      </c>
      <c r="E1148">
        <v>0.77</v>
      </c>
      <c r="F1148">
        <v>521</v>
      </c>
      <c r="G1148" t="s">
        <v>6387</v>
      </c>
      <c r="H1148">
        <v>5655.9</v>
      </c>
      <c r="I1148">
        <v>15.33</v>
      </c>
      <c r="J1148" t="s">
        <v>120</v>
      </c>
      <c r="K1148" t="s">
        <v>807</v>
      </c>
      <c r="L1148">
        <v>2.82</v>
      </c>
      <c r="M1148">
        <v>17.739999999999998</v>
      </c>
      <c r="N1148">
        <v>1.08</v>
      </c>
      <c r="O1148">
        <v>3.53</v>
      </c>
      <c r="P1148">
        <v>18.75</v>
      </c>
      <c r="Q1148">
        <v>-2.2599999999999998</v>
      </c>
      <c r="R1148">
        <v>17.7</v>
      </c>
      <c r="S1148">
        <v>18.25</v>
      </c>
      <c r="T1148">
        <v>31124</v>
      </c>
      <c r="U1148">
        <v>17.75</v>
      </c>
      <c r="V1148">
        <v>18.11</v>
      </c>
      <c r="W1148">
        <v>869.99</v>
      </c>
      <c r="X1148" t="s">
        <v>221</v>
      </c>
      <c r="Y1148" t="s">
        <v>158</v>
      </c>
      <c r="Z1148">
        <v>5.8</v>
      </c>
      <c r="AA1148">
        <v>18.170000000000002</v>
      </c>
      <c r="AB1148">
        <v>17862</v>
      </c>
      <c r="AC1148">
        <v>13262</v>
      </c>
      <c r="AD1148">
        <v>1.35</v>
      </c>
      <c r="AE1148">
        <v>47</v>
      </c>
      <c r="AF1148">
        <v>90</v>
      </c>
      <c r="AG1148" t="s">
        <v>120</v>
      </c>
      <c r="AH1148">
        <v>0.01</v>
      </c>
      <c r="AI1148" t="s">
        <v>120</v>
      </c>
      <c r="AJ1148">
        <v>1.1100000000000001</v>
      </c>
      <c r="AK1148" t="s">
        <v>6388</v>
      </c>
      <c r="AL1148">
        <v>-0.13</v>
      </c>
      <c r="AM1148">
        <v>1959</v>
      </c>
      <c r="AN1148">
        <v>16</v>
      </c>
      <c r="AO1148">
        <v>1.4E-3</v>
      </c>
      <c r="AP1148">
        <v>-3</v>
      </c>
      <c r="AQ1148">
        <v>-0.44</v>
      </c>
      <c r="AR1148">
        <v>-5.84</v>
      </c>
      <c r="AS1148">
        <v>1.42</v>
      </c>
      <c r="AT1148">
        <v>0.91</v>
      </c>
      <c r="AU1148">
        <v>-10.76</v>
      </c>
      <c r="AV1148">
        <v>2</v>
      </c>
      <c r="AW1148">
        <v>3.29</v>
      </c>
      <c r="AX1148">
        <v>65.16</v>
      </c>
      <c r="AY1148" t="s">
        <v>120</v>
      </c>
      <c r="AZ1148" t="s">
        <v>120</v>
      </c>
      <c r="BA1148">
        <v>0.64</v>
      </c>
      <c r="BB1148" t="s">
        <v>143</v>
      </c>
      <c r="BF1148">
        <v>0.34</v>
      </c>
      <c r="BG1148">
        <v>-2.79</v>
      </c>
      <c r="BH1148">
        <v>-5.39</v>
      </c>
      <c r="BI1148">
        <v>0.23</v>
      </c>
      <c r="BJ1148">
        <v>20210830</v>
      </c>
      <c r="BK1148">
        <v>20151209</v>
      </c>
      <c r="BL1148">
        <v>1.45</v>
      </c>
      <c r="BM1148" t="s">
        <v>120</v>
      </c>
      <c r="BN1148" t="s">
        <v>120</v>
      </c>
      <c r="BO1148">
        <v>8.6999999999999993</v>
      </c>
      <c r="BP1148">
        <v>17.739999999999998</v>
      </c>
      <c r="BQ1148">
        <v>5.28</v>
      </c>
      <c r="BR1148">
        <v>0.31</v>
      </c>
      <c r="BS1148">
        <v>35.69</v>
      </c>
      <c r="BT1148">
        <v>4.57</v>
      </c>
      <c r="BU1148">
        <v>2.17</v>
      </c>
      <c r="BV1148">
        <v>0.02</v>
      </c>
      <c r="BW1148">
        <v>2.5099999999999998</v>
      </c>
      <c r="BX1148">
        <v>1.1299999999999999</v>
      </c>
      <c r="BY1148">
        <v>2.09</v>
      </c>
      <c r="BZ1148">
        <v>0.53</v>
      </c>
      <c r="CA1148" t="s">
        <v>120</v>
      </c>
      <c r="CB1148">
        <v>3.22</v>
      </c>
      <c r="CC1148">
        <v>2.4900000000000002</v>
      </c>
      <c r="CD1148">
        <v>1.24</v>
      </c>
      <c r="CE1148">
        <v>0.04</v>
      </c>
      <c r="CF1148">
        <v>0</v>
      </c>
      <c r="CG1148">
        <v>0.04</v>
      </c>
      <c r="CH1148">
        <v>0.03</v>
      </c>
      <c r="CI1148">
        <v>0.01</v>
      </c>
      <c r="CJ1148">
        <v>-0.37</v>
      </c>
      <c r="CK1148">
        <v>0.01</v>
      </c>
      <c r="CL1148">
        <v>0.43</v>
      </c>
      <c r="CM1148">
        <v>0.08</v>
      </c>
      <c r="CN1148">
        <v>-0.32</v>
      </c>
      <c r="CO1148">
        <v>12892</v>
      </c>
      <c r="CP1148">
        <v>7347</v>
      </c>
      <c r="CQ1148" t="s">
        <v>6389</v>
      </c>
      <c r="CR1148">
        <v>122.67</v>
      </c>
      <c r="CS1148">
        <v>32.979999999999997</v>
      </c>
      <c r="CT1148">
        <v>4.88</v>
      </c>
      <c r="CU1148">
        <v>342.9</v>
      </c>
      <c r="CV1148">
        <v>10.36</v>
      </c>
      <c r="CW1148">
        <v>0</v>
      </c>
      <c r="CX1148" t="s">
        <v>178</v>
      </c>
      <c r="CY1148">
        <v>3.63</v>
      </c>
      <c r="CZ1148">
        <v>0</v>
      </c>
      <c r="DA1148">
        <v>2.21</v>
      </c>
      <c r="DB1148">
        <v>0.3</v>
      </c>
      <c r="DC1148">
        <v>0.05</v>
      </c>
      <c r="DD1148">
        <v>60.72</v>
      </c>
      <c r="DE1148" t="s">
        <v>1416</v>
      </c>
      <c r="DF1148">
        <v>50.26</v>
      </c>
      <c r="DG1148">
        <v>1.77</v>
      </c>
      <c r="DH1148">
        <v>0.6</v>
      </c>
      <c r="DI1148">
        <v>0.05</v>
      </c>
      <c r="DJ1148">
        <v>750</v>
      </c>
      <c r="DK1148">
        <v>2780</v>
      </c>
      <c r="DL1148" t="s">
        <v>120</v>
      </c>
      <c r="DM1148" t="s">
        <v>120</v>
      </c>
      <c r="DN1148" t="s">
        <v>120</v>
      </c>
    </row>
    <row r="1149" spans="1:118">
      <c r="A1149" t="str">
        <f>"002781"</f>
        <v>002781</v>
      </c>
      <c r="B1149" t="s">
        <v>6390</v>
      </c>
      <c r="C1149">
        <v>-1.1399999999999999</v>
      </c>
      <c r="D1149">
        <v>0</v>
      </c>
      <c r="E1149">
        <v>0</v>
      </c>
      <c r="F1149">
        <v>169</v>
      </c>
      <c r="G1149" t="s">
        <v>6391</v>
      </c>
      <c r="H1149">
        <v>2448.67</v>
      </c>
      <c r="I1149">
        <v>0.7</v>
      </c>
      <c r="J1149" t="s">
        <v>120</v>
      </c>
      <c r="K1149" t="s">
        <v>6392</v>
      </c>
      <c r="L1149">
        <v>1.57</v>
      </c>
      <c r="M1149">
        <v>6.91</v>
      </c>
      <c r="N1149">
        <v>0.94</v>
      </c>
      <c r="O1149">
        <v>1.1399999999999999</v>
      </c>
      <c r="P1149">
        <v>7.07</v>
      </c>
      <c r="Q1149">
        <v>-1.29</v>
      </c>
      <c r="R1149">
        <v>6.9</v>
      </c>
      <c r="S1149">
        <v>6.99</v>
      </c>
      <c r="T1149">
        <v>35046</v>
      </c>
      <c r="U1149">
        <v>6.92</v>
      </c>
      <c r="V1149">
        <v>6.99</v>
      </c>
      <c r="W1149" t="s">
        <v>120</v>
      </c>
      <c r="X1149" t="s">
        <v>3122</v>
      </c>
      <c r="Y1149" t="s">
        <v>123</v>
      </c>
      <c r="Z1149">
        <v>2.4300000000000002</v>
      </c>
      <c r="AA1149">
        <v>6.99</v>
      </c>
      <c r="AB1149">
        <v>19522</v>
      </c>
      <c r="AC1149">
        <v>15524</v>
      </c>
      <c r="AD1149">
        <v>1.26</v>
      </c>
      <c r="AE1149">
        <v>256</v>
      </c>
      <c r="AF1149">
        <v>269</v>
      </c>
      <c r="AG1149" t="s">
        <v>120</v>
      </c>
      <c r="AH1149">
        <v>0</v>
      </c>
      <c r="AI1149" t="s">
        <v>120</v>
      </c>
      <c r="AJ1149">
        <v>2.2400000000000002</v>
      </c>
      <c r="AK1149" t="s">
        <v>5437</v>
      </c>
      <c r="AL1149">
        <v>0.77</v>
      </c>
      <c r="AM1149">
        <v>907</v>
      </c>
      <c r="AN1149">
        <v>39</v>
      </c>
      <c r="AO1149">
        <v>1.6999999999999999E-3</v>
      </c>
      <c r="AP1149">
        <v>-1</v>
      </c>
      <c r="AQ1149">
        <v>0.72</v>
      </c>
      <c r="AR1149">
        <v>-2.95</v>
      </c>
      <c r="AS1149">
        <v>-2.95</v>
      </c>
      <c r="AT1149">
        <v>-10.38</v>
      </c>
      <c r="AU1149">
        <v>-54.08</v>
      </c>
      <c r="AV1149">
        <v>5</v>
      </c>
      <c r="AW1149">
        <v>3.38</v>
      </c>
      <c r="AX1149">
        <v>46.12</v>
      </c>
      <c r="AY1149" t="s">
        <v>120</v>
      </c>
      <c r="AZ1149" t="s">
        <v>120</v>
      </c>
      <c r="BA1149">
        <v>0.35</v>
      </c>
      <c r="BB1149" t="s">
        <v>143</v>
      </c>
      <c r="BF1149">
        <v>-0.04</v>
      </c>
      <c r="BG1149">
        <v>-1.1399999999999999</v>
      </c>
      <c r="BH1149">
        <v>-2.2599999999999998</v>
      </c>
      <c r="BI1149">
        <v>0.14000000000000001</v>
      </c>
      <c r="BJ1149">
        <v>20210830</v>
      </c>
      <c r="BK1149">
        <v>20151222</v>
      </c>
      <c r="BL1149">
        <v>2.25</v>
      </c>
      <c r="BM1149" t="s">
        <v>120</v>
      </c>
      <c r="BN1149" t="s">
        <v>120</v>
      </c>
      <c r="BO1149">
        <v>39.729999999999997</v>
      </c>
      <c r="BP1149">
        <v>6.91</v>
      </c>
      <c r="BQ1149">
        <v>13.47</v>
      </c>
      <c r="BR1149">
        <v>-0.05</v>
      </c>
      <c r="BS1149">
        <v>66.209999999999994</v>
      </c>
      <c r="BT1149">
        <v>35.67</v>
      </c>
      <c r="BU1149">
        <v>0.56000000000000005</v>
      </c>
      <c r="BV1149">
        <v>0.14000000000000001</v>
      </c>
      <c r="BW1149">
        <v>23.26</v>
      </c>
      <c r="BX1149">
        <v>3</v>
      </c>
      <c r="BY1149">
        <v>4.25</v>
      </c>
      <c r="BZ1149">
        <v>10.31</v>
      </c>
      <c r="CA1149" t="s">
        <v>120</v>
      </c>
      <c r="CB1149">
        <v>7.09</v>
      </c>
      <c r="CC1149">
        <v>5.93</v>
      </c>
      <c r="CD1149">
        <v>5.31</v>
      </c>
      <c r="CE1149">
        <v>-0.78</v>
      </c>
      <c r="CF1149">
        <v>0.06</v>
      </c>
      <c r="CG1149">
        <v>-0.79</v>
      </c>
      <c r="CH1149">
        <v>-0.81</v>
      </c>
      <c r="CI1149">
        <v>-0.75</v>
      </c>
      <c r="CJ1149">
        <v>-0.08</v>
      </c>
      <c r="CK1149">
        <v>-0.99</v>
      </c>
      <c r="CL1149">
        <v>2.98</v>
      </c>
      <c r="CM1149">
        <v>-2.86</v>
      </c>
      <c r="CN1149">
        <v>-1.02</v>
      </c>
      <c r="CO1149">
        <v>21936</v>
      </c>
      <c r="CP1149">
        <v>4730</v>
      </c>
      <c r="CQ1149" t="s">
        <v>6393</v>
      </c>
      <c r="CR1149">
        <v>-72.08</v>
      </c>
      <c r="CS1149">
        <v>-37.630000000000003</v>
      </c>
      <c r="CT1149">
        <v>1.1499999999999999</v>
      </c>
      <c r="CU1149">
        <v>-5.43</v>
      </c>
      <c r="CV1149">
        <v>2.62</v>
      </c>
      <c r="CW1149">
        <v>0</v>
      </c>
      <c r="CX1149" t="s">
        <v>6394</v>
      </c>
      <c r="CY1149">
        <v>5.99</v>
      </c>
      <c r="CZ1149">
        <v>0</v>
      </c>
      <c r="DA1149">
        <v>3.15</v>
      </c>
      <c r="DB1149">
        <v>1.32</v>
      </c>
      <c r="DC1149">
        <v>-1.27</v>
      </c>
      <c r="DD1149">
        <v>33.9</v>
      </c>
      <c r="DE1149" t="s">
        <v>6395</v>
      </c>
      <c r="DF1149">
        <v>10.5</v>
      </c>
      <c r="DG1149">
        <v>-13.22</v>
      </c>
      <c r="DH1149">
        <v>-12.67</v>
      </c>
      <c r="DI1149">
        <v>0.15</v>
      </c>
      <c r="DJ1149">
        <v>950</v>
      </c>
      <c r="DK1149">
        <v>2781</v>
      </c>
      <c r="DL1149" t="s">
        <v>120</v>
      </c>
      <c r="DM1149" t="s">
        <v>120</v>
      </c>
      <c r="DN1149" t="s">
        <v>120</v>
      </c>
    </row>
    <row r="1150" spans="1:118">
      <c r="A1150" t="str">
        <f>"002782"</f>
        <v>002782</v>
      </c>
      <c r="B1150" t="s">
        <v>6396</v>
      </c>
      <c r="C1150">
        <v>-4.59</v>
      </c>
      <c r="D1150">
        <v>-0.3</v>
      </c>
      <c r="E1150">
        <v>1.28</v>
      </c>
      <c r="F1150">
        <v>3373</v>
      </c>
      <c r="G1150" t="s">
        <v>1318</v>
      </c>
      <c r="H1150">
        <v>13494.67</v>
      </c>
      <c r="I1150">
        <v>82.57</v>
      </c>
      <c r="J1150" t="s">
        <v>120</v>
      </c>
      <c r="K1150" t="s">
        <v>6397</v>
      </c>
      <c r="L1150">
        <v>2.2200000000000002</v>
      </c>
      <c r="M1150">
        <v>12.69</v>
      </c>
      <c r="N1150">
        <v>0.71</v>
      </c>
      <c r="O1150">
        <v>1.28</v>
      </c>
      <c r="P1150">
        <v>13.47</v>
      </c>
      <c r="Q1150">
        <v>-4.59</v>
      </c>
      <c r="R1150">
        <v>12.69</v>
      </c>
      <c r="S1150">
        <v>13.47</v>
      </c>
      <c r="T1150">
        <v>104010</v>
      </c>
      <c r="U1150">
        <v>12.7</v>
      </c>
      <c r="V1150">
        <v>13.3</v>
      </c>
      <c r="W1150">
        <v>69.89</v>
      </c>
      <c r="X1150" t="s">
        <v>394</v>
      </c>
      <c r="Y1150" t="s">
        <v>123</v>
      </c>
      <c r="Z1150">
        <v>5.86</v>
      </c>
      <c r="AA1150">
        <v>12.97</v>
      </c>
      <c r="AB1150">
        <v>57821</v>
      </c>
      <c r="AC1150">
        <v>46189</v>
      </c>
      <c r="AD1150">
        <v>1.25</v>
      </c>
      <c r="AE1150">
        <v>175</v>
      </c>
      <c r="AF1150">
        <v>206</v>
      </c>
      <c r="AG1150" t="s">
        <v>120</v>
      </c>
      <c r="AH1150">
        <v>0.04</v>
      </c>
      <c r="AI1150" t="s">
        <v>120</v>
      </c>
      <c r="AJ1150">
        <v>4.6900000000000004</v>
      </c>
      <c r="AK1150" t="s">
        <v>6398</v>
      </c>
      <c r="AL1150">
        <v>-2.67</v>
      </c>
      <c r="AM1150">
        <v>2378</v>
      </c>
      <c r="AN1150">
        <v>44</v>
      </c>
      <c r="AO1150">
        <v>8.9999999999999998E-4</v>
      </c>
      <c r="AP1150">
        <v>-2</v>
      </c>
      <c r="AQ1150">
        <v>-2.13</v>
      </c>
      <c r="AR1150">
        <v>-5.29</v>
      </c>
      <c r="AS1150">
        <v>9.68</v>
      </c>
      <c r="AT1150">
        <v>10.93</v>
      </c>
      <c r="AU1150">
        <v>-3.2</v>
      </c>
      <c r="AV1150">
        <v>6</v>
      </c>
      <c r="AW1150">
        <v>6.44</v>
      </c>
      <c r="AX1150">
        <v>33.880000000000003</v>
      </c>
      <c r="AY1150">
        <v>60.83</v>
      </c>
      <c r="AZ1150">
        <v>30.78</v>
      </c>
      <c r="BA1150">
        <v>0.65</v>
      </c>
      <c r="BB1150" t="s">
        <v>143</v>
      </c>
      <c r="BF1150">
        <v>-2.4500000000000002</v>
      </c>
      <c r="BG1150">
        <v>-5.79</v>
      </c>
      <c r="BH1150">
        <v>-5.79</v>
      </c>
      <c r="BI1150">
        <v>0</v>
      </c>
      <c r="BJ1150">
        <v>20210810</v>
      </c>
      <c r="BK1150">
        <v>20151222</v>
      </c>
      <c r="BL1150">
        <v>4.7699999999999996</v>
      </c>
      <c r="BM1150" t="s">
        <v>120</v>
      </c>
      <c r="BN1150" t="s">
        <v>120</v>
      </c>
      <c r="BO1150">
        <v>19.940000000000001</v>
      </c>
      <c r="BP1150">
        <v>12.69</v>
      </c>
      <c r="BQ1150">
        <v>14.51</v>
      </c>
      <c r="BR1150" t="s">
        <v>120</v>
      </c>
      <c r="BS1150">
        <v>27.2</v>
      </c>
      <c r="BT1150">
        <v>14.19</v>
      </c>
      <c r="BU1150">
        <v>1.91</v>
      </c>
      <c r="BV1150">
        <v>0.54</v>
      </c>
      <c r="BW1150">
        <v>5.21</v>
      </c>
      <c r="BX1150">
        <v>3.21</v>
      </c>
      <c r="BY1150">
        <v>2.85</v>
      </c>
      <c r="BZ1150">
        <v>4.0599999999999996</v>
      </c>
      <c r="CA1150" t="s">
        <v>120</v>
      </c>
      <c r="CB1150">
        <v>5.69</v>
      </c>
      <c r="CC1150">
        <v>7.45</v>
      </c>
      <c r="CD1150">
        <v>6.02</v>
      </c>
      <c r="CE1150">
        <v>0.41</v>
      </c>
      <c r="CF1150">
        <v>0.4</v>
      </c>
      <c r="CG1150">
        <v>0.43</v>
      </c>
      <c r="CH1150">
        <v>0.43</v>
      </c>
      <c r="CI1150">
        <v>0.43</v>
      </c>
      <c r="CJ1150">
        <v>-0.61</v>
      </c>
      <c r="CK1150">
        <v>0.23</v>
      </c>
      <c r="CL1150">
        <v>4.1100000000000003</v>
      </c>
      <c r="CM1150">
        <v>-1.04</v>
      </c>
      <c r="CN1150">
        <v>-2.19</v>
      </c>
      <c r="CO1150">
        <v>42016</v>
      </c>
      <c r="CP1150">
        <v>3845</v>
      </c>
      <c r="CQ1150" t="s">
        <v>6111</v>
      </c>
      <c r="CR1150">
        <v>-70.150000000000006</v>
      </c>
      <c r="CS1150">
        <v>42.49</v>
      </c>
      <c r="CT1150">
        <v>4.17</v>
      </c>
      <c r="CU1150">
        <v>-57.99</v>
      </c>
      <c r="CV1150">
        <v>8.1300000000000008</v>
      </c>
      <c r="CW1150">
        <v>1.1299999999999999</v>
      </c>
      <c r="CX1150" t="s">
        <v>6399</v>
      </c>
      <c r="CY1150">
        <v>3.04</v>
      </c>
      <c r="CZ1150">
        <v>0</v>
      </c>
      <c r="DA1150">
        <v>1.19</v>
      </c>
      <c r="DB1150">
        <v>0.86</v>
      </c>
      <c r="DC1150">
        <v>-0.22</v>
      </c>
      <c r="DD1150">
        <v>72.8</v>
      </c>
      <c r="DE1150" t="s">
        <v>3152</v>
      </c>
      <c r="DF1150">
        <v>19.100000000000001</v>
      </c>
      <c r="DG1150">
        <v>5.54</v>
      </c>
      <c r="DH1150">
        <v>5.81</v>
      </c>
      <c r="DI1150">
        <v>0.28999999999999998</v>
      </c>
      <c r="DJ1150">
        <v>3910</v>
      </c>
      <c r="DK1150">
        <v>2782</v>
      </c>
      <c r="DL1150" t="s">
        <v>120</v>
      </c>
      <c r="DM1150" t="s">
        <v>120</v>
      </c>
      <c r="DN1150" t="s">
        <v>120</v>
      </c>
    </row>
    <row r="1151" spans="1:118">
      <c r="A1151" t="str">
        <f>"002783"</f>
        <v>002783</v>
      </c>
      <c r="B1151" t="s">
        <v>6400</v>
      </c>
      <c r="C1151">
        <v>1.84</v>
      </c>
      <c r="D1151">
        <v>0</v>
      </c>
      <c r="E1151">
        <v>0.97</v>
      </c>
      <c r="F1151">
        <v>1735</v>
      </c>
      <c r="G1151" t="s">
        <v>5403</v>
      </c>
      <c r="H1151">
        <v>20594.52</v>
      </c>
      <c r="I1151">
        <v>32.08</v>
      </c>
      <c r="J1151" t="s">
        <v>120</v>
      </c>
      <c r="K1151" t="s">
        <v>3531</v>
      </c>
      <c r="L1151">
        <v>5.89</v>
      </c>
      <c r="M1151">
        <v>10.54</v>
      </c>
      <c r="N1151">
        <v>1.48</v>
      </c>
      <c r="O1151">
        <v>5.6</v>
      </c>
      <c r="P1151">
        <v>10.93</v>
      </c>
      <c r="Q1151">
        <v>0.39</v>
      </c>
      <c r="R1151">
        <v>10.39</v>
      </c>
      <c r="S1151">
        <v>10.45</v>
      </c>
      <c r="T1151">
        <v>192735</v>
      </c>
      <c r="U1151">
        <v>10.54</v>
      </c>
      <c r="V1151">
        <v>10.35</v>
      </c>
      <c r="W1151">
        <v>66.05</v>
      </c>
      <c r="X1151" t="s">
        <v>868</v>
      </c>
      <c r="Y1151" t="s">
        <v>763</v>
      </c>
      <c r="Z1151">
        <v>5.22</v>
      </c>
      <c r="AA1151">
        <v>10.69</v>
      </c>
      <c r="AB1151">
        <v>82890</v>
      </c>
      <c r="AC1151">
        <v>109845</v>
      </c>
      <c r="AD1151">
        <v>0.75</v>
      </c>
      <c r="AE1151">
        <v>17</v>
      </c>
      <c r="AF1151">
        <v>276</v>
      </c>
      <c r="AG1151" t="s">
        <v>120</v>
      </c>
      <c r="AH1151">
        <v>0.01</v>
      </c>
      <c r="AI1151" t="s">
        <v>120</v>
      </c>
      <c r="AJ1151">
        <v>3.27</v>
      </c>
      <c r="AK1151" t="s">
        <v>6401</v>
      </c>
      <c r="AL1151">
        <v>3.75</v>
      </c>
      <c r="AM1151">
        <v>3074</v>
      </c>
      <c r="AN1151">
        <v>63</v>
      </c>
      <c r="AO1151">
        <v>1.9E-3</v>
      </c>
      <c r="AP1151">
        <v>2</v>
      </c>
      <c r="AQ1151">
        <v>1.67</v>
      </c>
      <c r="AR1151">
        <v>2.83</v>
      </c>
      <c r="AS1151">
        <v>-0.1</v>
      </c>
      <c r="AT1151">
        <v>15.95</v>
      </c>
      <c r="AU1151">
        <v>5.93</v>
      </c>
      <c r="AV1151">
        <v>0</v>
      </c>
      <c r="AW1151">
        <v>7.59</v>
      </c>
      <c r="AX1151">
        <v>66.540000000000006</v>
      </c>
      <c r="AY1151">
        <v>78.150000000000006</v>
      </c>
      <c r="AZ1151">
        <v>78.48</v>
      </c>
      <c r="BA1151">
        <v>0.18</v>
      </c>
      <c r="BB1151" t="s">
        <v>143</v>
      </c>
      <c r="BF1151">
        <v>3.24</v>
      </c>
      <c r="BG1151">
        <v>0.86</v>
      </c>
      <c r="BH1151">
        <v>-3.57</v>
      </c>
      <c r="BI1151">
        <v>1.44</v>
      </c>
      <c r="BJ1151">
        <v>20210821</v>
      </c>
      <c r="BK1151">
        <v>20151209</v>
      </c>
      <c r="BL1151">
        <v>3.82</v>
      </c>
      <c r="BM1151" t="s">
        <v>120</v>
      </c>
      <c r="BN1151" t="s">
        <v>120</v>
      </c>
      <c r="BO1151">
        <v>69.05</v>
      </c>
      <c r="BP1151">
        <v>10.53</v>
      </c>
      <c r="BQ1151">
        <v>17.32</v>
      </c>
      <c r="BR1151">
        <v>9.18</v>
      </c>
      <c r="BS1151">
        <v>61.63</v>
      </c>
      <c r="BT1151">
        <v>16.79</v>
      </c>
      <c r="BU1151">
        <v>25.6</v>
      </c>
      <c r="BV1151">
        <v>6.24</v>
      </c>
      <c r="BW1151">
        <v>31</v>
      </c>
      <c r="BX1151">
        <v>5.1100000000000003</v>
      </c>
      <c r="BY1151">
        <v>2.62</v>
      </c>
      <c r="BZ1151">
        <v>4.4400000000000004</v>
      </c>
      <c r="CA1151" t="s">
        <v>120</v>
      </c>
      <c r="CB1151">
        <v>5.27</v>
      </c>
      <c r="CC1151">
        <v>13.06</v>
      </c>
      <c r="CD1151">
        <v>9.84</v>
      </c>
      <c r="CE1151">
        <v>0.65</v>
      </c>
      <c r="CF1151">
        <v>0.11</v>
      </c>
      <c r="CG1151">
        <v>0.66</v>
      </c>
      <c r="CH1151">
        <v>0.46</v>
      </c>
      <c r="CI1151">
        <v>0.3</v>
      </c>
      <c r="CJ1151">
        <v>0.19</v>
      </c>
      <c r="CK1151">
        <v>0.4</v>
      </c>
      <c r="CL1151">
        <v>6.15</v>
      </c>
      <c r="CM1151">
        <v>0.59</v>
      </c>
      <c r="CN1151">
        <v>-2.78</v>
      </c>
      <c r="CO1151">
        <v>19021</v>
      </c>
      <c r="CP1151">
        <v>13354</v>
      </c>
      <c r="CQ1151" t="s">
        <v>6402</v>
      </c>
      <c r="CR1151">
        <v>0.71</v>
      </c>
      <c r="CS1151">
        <v>84.23</v>
      </c>
      <c r="CT1151">
        <v>2.3199999999999998</v>
      </c>
      <c r="CU1151">
        <v>68.709999999999994</v>
      </c>
      <c r="CV1151">
        <v>3.08</v>
      </c>
      <c r="CW1151">
        <v>0.97</v>
      </c>
      <c r="CX1151" t="s">
        <v>535</v>
      </c>
      <c r="CY1151">
        <v>4.54</v>
      </c>
      <c r="CZ1151">
        <v>0</v>
      </c>
      <c r="DA1151">
        <v>1.38</v>
      </c>
      <c r="DB1151">
        <v>1.61</v>
      </c>
      <c r="DC1151">
        <v>0.15</v>
      </c>
      <c r="DD1151">
        <v>25.08</v>
      </c>
      <c r="DE1151" t="s">
        <v>6403</v>
      </c>
      <c r="DF1151">
        <v>24.68</v>
      </c>
      <c r="DG1151">
        <v>5.01</v>
      </c>
      <c r="DH1151">
        <v>2.33</v>
      </c>
      <c r="DI1151">
        <v>0.24</v>
      </c>
      <c r="DJ1151">
        <v>3199</v>
      </c>
      <c r="DK1151">
        <v>2783</v>
      </c>
      <c r="DL1151" t="s">
        <v>120</v>
      </c>
      <c r="DM1151" t="s">
        <v>120</v>
      </c>
      <c r="DN1151" t="s">
        <v>120</v>
      </c>
    </row>
    <row r="1152" spans="1:118">
      <c r="A1152" t="str">
        <f>"002785"</f>
        <v>002785</v>
      </c>
      <c r="B1152" t="s">
        <v>6404</v>
      </c>
      <c r="C1152">
        <v>-1.36</v>
      </c>
      <c r="D1152">
        <v>-0.04</v>
      </c>
      <c r="E1152">
        <v>1.8</v>
      </c>
      <c r="F1152">
        <v>930</v>
      </c>
      <c r="G1152" t="s">
        <v>6405</v>
      </c>
      <c r="H1152">
        <v>12807.1</v>
      </c>
      <c r="I1152">
        <v>165.45</v>
      </c>
      <c r="J1152" t="s">
        <v>120</v>
      </c>
      <c r="K1152" t="s">
        <v>6406</v>
      </c>
      <c r="L1152">
        <v>3.82</v>
      </c>
      <c r="M1152">
        <v>20.32</v>
      </c>
      <c r="N1152">
        <v>0.74</v>
      </c>
      <c r="O1152">
        <v>1.94</v>
      </c>
      <c r="P1152">
        <v>21</v>
      </c>
      <c r="Q1152">
        <v>-1.89</v>
      </c>
      <c r="R1152">
        <v>20.21</v>
      </c>
      <c r="S1152">
        <v>20.97</v>
      </c>
      <c r="T1152">
        <v>62283</v>
      </c>
      <c r="U1152">
        <v>20.32</v>
      </c>
      <c r="V1152">
        <v>20.6</v>
      </c>
      <c r="W1152">
        <v>72.78</v>
      </c>
      <c r="X1152" t="s">
        <v>247</v>
      </c>
      <c r="Y1152" t="s">
        <v>937</v>
      </c>
      <c r="Z1152">
        <v>3.83</v>
      </c>
      <c r="AA1152">
        <v>20.56</v>
      </c>
      <c r="AB1152">
        <v>36967</v>
      </c>
      <c r="AC1152">
        <v>25316</v>
      </c>
      <c r="AD1152">
        <v>1.46</v>
      </c>
      <c r="AE1152">
        <v>353</v>
      </c>
      <c r="AF1152">
        <v>3</v>
      </c>
      <c r="AG1152" t="s">
        <v>120</v>
      </c>
      <c r="AH1152">
        <v>0.06</v>
      </c>
      <c r="AI1152" t="s">
        <v>120</v>
      </c>
      <c r="AJ1152">
        <v>1.63</v>
      </c>
      <c r="AK1152" t="s">
        <v>6407</v>
      </c>
      <c r="AL1152">
        <v>0.55000000000000004</v>
      </c>
      <c r="AM1152">
        <v>2026</v>
      </c>
      <c r="AN1152">
        <v>31</v>
      </c>
      <c r="AO1152">
        <v>1.9E-3</v>
      </c>
      <c r="AP1152">
        <v>-1</v>
      </c>
      <c r="AQ1152">
        <v>2.13</v>
      </c>
      <c r="AR1152">
        <v>0.34</v>
      </c>
      <c r="AS1152">
        <v>12.39</v>
      </c>
      <c r="AT1152">
        <v>7.89</v>
      </c>
      <c r="AU1152">
        <v>22.38</v>
      </c>
      <c r="AV1152">
        <v>2</v>
      </c>
      <c r="AW1152">
        <v>4.38</v>
      </c>
      <c r="AX1152">
        <v>71.16</v>
      </c>
      <c r="AY1152">
        <v>116.08</v>
      </c>
      <c r="AZ1152">
        <v>340.74</v>
      </c>
      <c r="BA1152">
        <v>0</v>
      </c>
      <c r="BB1152" t="s">
        <v>184</v>
      </c>
      <c r="BF1152">
        <v>-0.18</v>
      </c>
      <c r="BG1152">
        <v>-3.1</v>
      </c>
      <c r="BH1152">
        <v>-3.24</v>
      </c>
      <c r="BI1152">
        <v>0.54</v>
      </c>
      <c r="BJ1152">
        <v>20210827</v>
      </c>
      <c r="BK1152">
        <v>20151223</v>
      </c>
      <c r="BL1152">
        <v>2</v>
      </c>
      <c r="BM1152" t="s">
        <v>120</v>
      </c>
      <c r="BN1152" t="s">
        <v>120</v>
      </c>
      <c r="BO1152">
        <v>13.68</v>
      </c>
      <c r="BP1152">
        <v>20.309999999999999</v>
      </c>
      <c r="BQ1152">
        <v>6.51</v>
      </c>
      <c r="BR1152">
        <v>0.34</v>
      </c>
      <c r="BS1152">
        <v>49.95</v>
      </c>
      <c r="BT1152">
        <v>10.41</v>
      </c>
      <c r="BU1152">
        <v>0.79</v>
      </c>
      <c r="BV1152">
        <v>0.18</v>
      </c>
      <c r="BW1152">
        <v>6.62</v>
      </c>
      <c r="BX1152">
        <v>0.67</v>
      </c>
      <c r="BY1152">
        <v>1.68</v>
      </c>
      <c r="BZ1152">
        <v>6.4</v>
      </c>
      <c r="CA1152" t="s">
        <v>120</v>
      </c>
      <c r="CB1152">
        <v>1.73</v>
      </c>
      <c r="CC1152">
        <v>5.39</v>
      </c>
      <c r="CD1152">
        <v>4.76</v>
      </c>
      <c r="CE1152">
        <v>0.28999999999999998</v>
      </c>
      <c r="CF1152">
        <v>0.26</v>
      </c>
      <c r="CG1152">
        <v>0.28999999999999998</v>
      </c>
      <c r="CH1152">
        <v>0.28000000000000003</v>
      </c>
      <c r="CI1152">
        <v>0.28000000000000003</v>
      </c>
      <c r="CJ1152">
        <v>-0.28000000000000003</v>
      </c>
      <c r="CK1152">
        <v>0.27</v>
      </c>
      <c r="CL1152">
        <v>2.67</v>
      </c>
      <c r="CM1152">
        <v>-0.03</v>
      </c>
      <c r="CN1152">
        <v>-0.3</v>
      </c>
      <c r="CO1152">
        <v>15758</v>
      </c>
      <c r="CP1152">
        <v>9032</v>
      </c>
      <c r="CQ1152" t="s">
        <v>6380</v>
      </c>
      <c r="CR1152">
        <v>517.88</v>
      </c>
      <c r="CS1152">
        <v>76.650000000000006</v>
      </c>
      <c r="CT1152">
        <v>6.24</v>
      </c>
      <c r="CU1152">
        <v>-1532.43</v>
      </c>
      <c r="CV1152">
        <v>7.53</v>
      </c>
      <c r="CW1152">
        <v>0.03</v>
      </c>
      <c r="CX1152" t="s">
        <v>300</v>
      </c>
      <c r="CY1152">
        <v>3.26</v>
      </c>
      <c r="CZ1152">
        <v>0</v>
      </c>
      <c r="DA1152">
        <v>0.87</v>
      </c>
      <c r="DB1152">
        <v>1.34</v>
      </c>
      <c r="DC1152">
        <v>-0.01</v>
      </c>
      <c r="DD1152">
        <v>47.6</v>
      </c>
      <c r="DE1152" t="s">
        <v>967</v>
      </c>
      <c r="DF1152">
        <v>11.68</v>
      </c>
      <c r="DG1152">
        <v>5.29</v>
      </c>
      <c r="DH1152">
        <v>5.18</v>
      </c>
      <c r="DI1152" t="s">
        <v>120</v>
      </c>
      <c r="DJ1152">
        <v>879</v>
      </c>
      <c r="DK1152">
        <v>2785</v>
      </c>
      <c r="DL1152" t="s">
        <v>120</v>
      </c>
      <c r="DM1152" t="s">
        <v>120</v>
      </c>
      <c r="DN1152" t="s">
        <v>120</v>
      </c>
    </row>
    <row r="1153" spans="1:118">
      <c r="A1153" t="str">
        <f>"002786"</f>
        <v>002786</v>
      </c>
      <c r="B1153" t="s">
        <v>6408</v>
      </c>
      <c r="C1153">
        <v>0.72</v>
      </c>
      <c r="D1153">
        <v>0.28999999999999998</v>
      </c>
      <c r="E1153">
        <v>0</v>
      </c>
      <c r="F1153">
        <v>989</v>
      </c>
      <c r="G1153" t="s">
        <v>6409</v>
      </c>
      <c r="H1153">
        <v>3084.2</v>
      </c>
      <c r="I1153">
        <v>9.91</v>
      </c>
      <c r="J1153" t="s">
        <v>120</v>
      </c>
      <c r="K1153" t="s">
        <v>6410</v>
      </c>
      <c r="L1153">
        <v>1.17</v>
      </c>
      <c r="M1153">
        <v>6.98</v>
      </c>
      <c r="N1153">
        <v>0.81</v>
      </c>
      <c r="O1153">
        <v>0.87</v>
      </c>
      <c r="P1153">
        <v>6.99</v>
      </c>
      <c r="Q1153">
        <v>-0.43</v>
      </c>
      <c r="R1153">
        <v>6.9</v>
      </c>
      <c r="S1153">
        <v>6.93</v>
      </c>
      <c r="T1153">
        <v>44404</v>
      </c>
      <c r="U1153">
        <v>6.98</v>
      </c>
      <c r="V1153">
        <v>6.93</v>
      </c>
      <c r="W1153" t="s">
        <v>120</v>
      </c>
      <c r="X1153" t="s">
        <v>675</v>
      </c>
      <c r="Y1153" t="s">
        <v>123</v>
      </c>
      <c r="Z1153">
        <v>1.3</v>
      </c>
      <c r="AA1153">
        <v>6.95</v>
      </c>
      <c r="AB1153">
        <v>22636</v>
      </c>
      <c r="AC1153">
        <v>21768</v>
      </c>
      <c r="AD1153">
        <v>1.04</v>
      </c>
      <c r="AE1153">
        <v>158</v>
      </c>
      <c r="AF1153">
        <v>1632</v>
      </c>
      <c r="AG1153" t="s">
        <v>120</v>
      </c>
      <c r="AH1153">
        <v>0.01</v>
      </c>
      <c r="AI1153" t="s">
        <v>120</v>
      </c>
      <c r="AJ1153">
        <v>3.8</v>
      </c>
      <c r="AK1153" t="s">
        <v>6411</v>
      </c>
      <c r="AL1153">
        <v>2.64</v>
      </c>
      <c r="AM1153">
        <v>1154</v>
      </c>
      <c r="AN1153">
        <v>38</v>
      </c>
      <c r="AO1153">
        <v>1E-3</v>
      </c>
      <c r="AP1153">
        <v>2</v>
      </c>
      <c r="AQ1153">
        <v>1.46</v>
      </c>
      <c r="AR1153">
        <v>0.72</v>
      </c>
      <c r="AS1153">
        <v>-4.25</v>
      </c>
      <c r="AT1153">
        <v>7.22</v>
      </c>
      <c r="AU1153">
        <v>2.4900000000000002</v>
      </c>
      <c r="AV1153">
        <v>9</v>
      </c>
      <c r="AW1153">
        <v>3.01</v>
      </c>
      <c r="AX1153">
        <v>29.79</v>
      </c>
      <c r="AY1153" t="s">
        <v>120</v>
      </c>
      <c r="AZ1153" t="s">
        <v>120</v>
      </c>
      <c r="BA1153">
        <v>0.26</v>
      </c>
      <c r="BB1153" t="s">
        <v>2725</v>
      </c>
      <c r="BF1153">
        <v>0.23</v>
      </c>
      <c r="BG1153">
        <v>0.72</v>
      </c>
      <c r="BH1153">
        <v>-0.14000000000000001</v>
      </c>
      <c r="BI1153">
        <v>1.1599999999999999</v>
      </c>
      <c r="BJ1153">
        <v>20210831</v>
      </c>
      <c r="BK1153">
        <v>20151223</v>
      </c>
      <c r="BL1153">
        <v>4.96</v>
      </c>
      <c r="BM1153" t="s">
        <v>120</v>
      </c>
      <c r="BN1153" t="s">
        <v>120</v>
      </c>
      <c r="BO1153">
        <v>48.45</v>
      </c>
      <c r="BP1153">
        <v>6.96</v>
      </c>
      <c r="BQ1153">
        <v>9.31</v>
      </c>
      <c r="BR1153">
        <v>0.18</v>
      </c>
      <c r="BS1153">
        <v>80.430000000000007</v>
      </c>
      <c r="BT1153">
        <v>30.96</v>
      </c>
      <c r="BU1153">
        <v>8.3800000000000008</v>
      </c>
      <c r="BV1153">
        <v>1.42</v>
      </c>
      <c r="BW1153">
        <v>34.200000000000003</v>
      </c>
      <c r="BX1153">
        <v>6.71</v>
      </c>
      <c r="BY1153">
        <v>14.71</v>
      </c>
      <c r="BZ1153">
        <v>6.17</v>
      </c>
      <c r="CA1153" t="s">
        <v>120</v>
      </c>
      <c r="CB1153">
        <v>5.86</v>
      </c>
      <c r="CC1153">
        <v>12.01</v>
      </c>
      <c r="CD1153">
        <v>10.71</v>
      </c>
      <c r="CE1153">
        <v>-1.68</v>
      </c>
      <c r="CF1153">
        <v>-0.01</v>
      </c>
      <c r="CG1153">
        <v>-1.69</v>
      </c>
      <c r="CH1153">
        <v>-1.54</v>
      </c>
      <c r="CI1153">
        <v>-1.52</v>
      </c>
      <c r="CJ1153">
        <v>0.05</v>
      </c>
      <c r="CK1153">
        <v>-1.57</v>
      </c>
      <c r="CL1153">
        <v>-2.11</v>
      </c>
      <c r="CM1153">
        <v>-2.94</v>
      </c>
      <c r="CN1153">
        <v>3.59</v>
      </c>
      <c r="CO1153">
        <v>35981</v>
      </c>
      <c r="CP1153">
        <v>4104</v>
      </c>
      <c r="CQ1153" t="s">
        <v>6412</v>
      </c>
      <c r="CR1153">
        <v>-3909.88</v>
      </c>
      <c r="CS1153">
        <v>-34.54</v>
      </c>
      <c r="CT1153">
        <v>3.72</v>
      </c>
      <c r="CU1153">
        <v>-11.75</v>
      </c>
      <c r="CV1153">
        <v>2.88</v>
      </c>
      <c r="CW1153">
        <v>0</v>
      </c>
      <c r="CX1153" t="s">
        <v>6413</v>
      </c>
      <c r="CY1153">
        <v>1.88</v>
      </c>
      <c r="CZ1153">
        <v>0</v>
      </c>
      <c r="DA1153">
        <v>1.18</v>
      </c>
      <c r="DB1153">
        <v>-0.43</v>
      </c>
      <c r="DC1153">
        <v>-0.59</v>
      </c>
      <c r="DD1153">
        <v>19.2</v>
      </c>
      <c r="DE1153" t="s">
        <v>6414</v>
      </c>
      <c r="DF1153">
        <v>10.77</v>
      </c>
      <c r="DG1153">
        <v>-14.01</v>
      </c>
      <c r="DH1153">
        <v>-12.63</v>
      </c>
      <c r="DI1153">
        <v>0.77</v>
      </c>
      <c r="DJ1153">
        <v>6174</v>
      </c>
      <c r="DK1153">
        <v>2786</v>
      </c>
      <c r="DL1153" t="s">
        <v>120</v>
      </c>
      <c r="DM1153" t="s">
        <v>120</v>
      </c>
      <c r="DN1153" t="s">
        <v>120</v>
      </c>
    </row>
    <row r="1154" spans="1:118">
      <c r="A1154" t="str">
        <f>"002787"</f>
        <v>002787</v>
      </c>
      <c r="B1154" t="s">
        <v>6415</v>
      </c>
      <c r="C1154">
        <v>-0.84</v>
      </c>
      <c r="D1154">
        <v>-0.16</v>
      </c>
      <c r="E1154">
        <v>0.17</v>
      </c>
      <c r="F1154">
        <v>97</v>
      </c>
      <c r="G1154" t="s">
        <v>6416</v>
      </c>
      <c r="H1154">
        <v>1120</v>
      </c>
      <c r="I1154">
        <v>2.99</v>
      </c>
      <c r="J1154" t="s">
        <v>120</v>
      </c>
      <c r="K1154" t="s">
        <v>6417</v>
      </c>
      <c r="L1154">
        <v>1.05</v>
      </c>
      <c r="M1154">
        <v>5.91</v>
      </c>
      <c r="N1154">
        <v>0.68</v>
      </c>
      <c r="O1154">
        <v>1.17</v>
      </c>
      <c r="P1154">
        <v>6.03</v>
      </c>
      <c r="Q1154">
        <v>-1.01</v>
      </c>
      <c r="R1154">
        <v>5.9</v>
      </c>
      <c r="S1154">
        <v>5.97</v>
      </c>
      <c r="T1154">
        <v>18765</v>
      </c>
      <c r="U1154">
        <v>5.92</v>
      </c>
      <c r="V1154">
        <v>5.96</v>
      </c>
      <c r="W1154">
        <v>29.21</v>
      </c>
      <c r="X1154" t="s">
        <v>339</v>
      </c>
      <c r="Y1154" t="s">
        <v>319</v>
      </c>
      <c r="Z1154">
        <v>2.1800000000000002</v>
      </c>
      <c r="AA1154">
        <v>5.97</v>
      </c>
      <c r="AB1154">
        <v>8910</v>
      </c>
      <c r="AC1154">
        <v>9855</v>
      </c>
      <c r="AD1154">
        <v>0.9</v>
      </c>
      <c r="AE1154">
        <v>43</v>
      </c>
      <c r="AF1154">
        <v>587</v>
      </c>
      <c r="AG1154" t="s">
        <v>120</v>
      </c>
      <c r="AH1154">
        <v>0</v>
      </c>
      <c r="AI1154" t="s">
        <v>120</v>
      </c>
      <c r="AJ1154">
        <v>1.79</v>
      </c>
      <c r="AK1154" t="s">
        <v>5453</v>
      </c>
      <c r="AL1154">
        <v>1.07</v>
      </c>
      <c r="AM1154">
        <v>929</v>
      </c>
      <c r="AN1154">
        <v>20</v>
      </c>
      <c r="AO1154">
        <v>1.1000000000000001E-3</v>
      </c>
      <c r="AP1154">
        <v>-1</v>
      </c>
      <c r="AQ1154">
        <v>1.88</v>
      </c>
      <c r="AR1154">
        <v>-1.5</v>
      </c>
      <c r="AS1154">
        <v>10.47</v>
      </c>
      <c r="AT1154">
        <v>1.72</v>
      </c>
      <c r="AU1154">
        <v>-4.84</v>
      </c>
      <c r="AV1154">
        <v>0</v>
      </c>
      <c r="AW1154">
        <v>1.3</v>
      </c>
      <c r="AX1154">
        <v>45.68</v>
      </c>
      <c r="AY1154">
        <v>38.72</v>
      </c>
      <c r="AZ1154">
        <v>40.49</v>
      </c>
      <c r="BA1154">
        <v>0.39</v>
      </c>
      <c r="BB1154" t="s">
        <v>143</v>
      </c>
      <c r="BF1154">
        <v>0.14000000000000001</v>
      </c>
      <c r="BG1154">
        <v>-1.01</v>
      </c>
      <c r="BH1154">
        <v>-1.99</v>
      </c>
      <c r="BI1154">
        <v>0.17</v>
      </c>
      <c r="BJ1154">
        <v>20210827</v>
      </c>
      <c r="BK1154">
        <v>20151231</v>
      </c>
      <c r="BL1154">
        <v>3.16</v>
      </c>
      <c r="BM1154" t="s">
        <v>120</v>
      </c>
      <c r="BN1154" t="s">
        <v>120</v>
      </c>
      <c r="BO1154">
        <v>29.69</v>
      </c>
      <c r="BP1154">
        <v>5.91</v>
      </c>
      <c r="BQ1154">
        <v>15.93</v>
      </c>
      <c r="BR1154">
        <v>0.06</v>
      </c>
      <c r="BS1154">
        <v>46.16</v>
      </c>
      <c r="BT1154">
        <v>17.149999999999999</v>
      </c>
      <c r="BU1154">
        <v>5.74</v>
      </c>
      <c r="BV1154">
        <v>1.85</v>
      </c>
      <c r="BW1154">
        <v>9.69</v>
      </c>
      <c r="BX1154">
        <v>1.85</v>
      </c>
      <c r="BY1154">
        <v>4.3899999999999997</v>
      </c>
      <c r="BZ1154">
        <v>5.76</v>
      </c>
      <c r="CA1154">
        <v>0</v>
      </c>
      <c r="CB1154">
        <v>7.2</v>
      </c>
      <c r="CC1154">
        <v>11.22</v>
      </c>
      <c r="CD1154">
        <v>9.51</v>
      </c>
      <c r="CE1154">
        <v>0.4</v>
      </c>
      <c r="CF1154">
        <v>0.01</v>
      </c>
      <c r="CG1154">
        <v>0.39</v>
      </c>
      <c r="CH1154">
        <v>0.32</v>
      </c>
      <c r="CI1154">
        <v>0.32</v>
      </c>
      <c r="CJ1154">
        <v>-0.05</v>
      </c>
      <c r="CK1154">
        <v>0.28999999999999998</v>
      </c>
      <c r="CL1154">
        <v>4.2300000000000004</v>
      </c>
      <c r="CM1154">
        <v>-1.84</v>
      </c>
      <c r="CN1154">
        <v>-1.62</v>
      </c>
      <c r="CO1154">
        <v>15320</v>
      </c>
      <c r="CP1154">
        <v>9422</v>
      </c>
      <c r="CQ1154" t="s">
        <v>4176</v>
      </c>
      <c r="CR1154">
        <v>7.14</v>
      </c>
      <c r="CS1154">
        <v>54.55</v>
      </c>
      <c r="CT1154">
        <v>1.24</v>
      </c>
      <c r="CU1154">
        <v>-10.130000000000001</v>
      </c>
      <c r="CV1154">
        <v>1.66</v>
      </c>
      <c r="CW1154">
        <v>0.84</v>
      </c>
      <c r="CX1154" t="s">
        <v>411</v>
      </c>
      <c r="CY1154">
        <v>4.76</v>
      </c>
      <c r="CZ1154">
        <v>4.76</v>
      </c>
      <c r="DA1154">
        <v>2.2799999999999998</v>
      </c>
      <c r="DB1154">
        <v>1.34</v>
      </c>
      <c r="DC1154">
        <v>-0.57999999999999996</v>
      </c>
      <c r="DD1154">
        <v>53.65</v>
      </c>
      <c r="DE1154" t="s">
        <v>493</v>
      </c>
      <c r="DF1154">
        <v>15.27</v>
      </c>
      <c r="DG1154">
        <v>3.54</v>
      </c>
      <c r="DH1154">
        <v>2.85</v>
      </c>
      <c r="DI1154">
        <v>0.38</v>
      </c>
      <c r="DJ1154">
        <v>1916</v>
      </c>
      <c r="DK1154">
        <v>2787</v>
      </c>
      <c r="DL1154" t="s">
        <v>120</v>
      </c>
      <c r="DM1154" t="s">
        <v>120</v>
      </c>
      <c r="DN1154" t="s">
        <v>120</v>
      </c>
    </row>
    <row r="1155" spans="1:118">
      <c r="A1155" t="str">
        <f>"002788"</f>
        <v>002788</v>
      </c>
      <c r="B1155" t="s">
        <v>6418</v>
      </c>
      <c r="C1155">
        <v>1.17</v>
      </c>
      <c r="D1155">
        <v>-0.12</v>
      </c>
      <c r="E1155">
        <v>0</v>
      </c>
      <c r="F1155">
        <v>323</v>
      </c>
      <c r="G1155" t="s">
        <v>6419</v>
      </c>
      <c r="H1155">
        <v>5058.6000000000004</v>
      </c>
      <c r="I1155">
        <v>16.38</v>
      </c>
      <c r="J1155" t="s">
        <v>120</v>
      </c>
      <c r="K1155" t="s">
        <v>6420</v>
      </c>
      <c r="L1155">
        <v>1.7</v>
      </c>
      <c r="M1155">
        <v>7.78</v>
      </c>
      <c r="N1155">
        <v>1.99</v>
      </c>
      <c r="O1155">
        <v>3.38</v>
      </c>
      <c r="P1155">
        <v>7.95</v>
      </c>
      <c r="Q1155">
        <v>-0.13</v>
      </c>
      <c r="R1155">
        <v>7.68</v>
      </c>
      <c r="S1155">
        <v>7.69</v>
      </c>
      <c r="T1155">
        <v>64475</v>
      </c>
      <c r="U1155">
        <v>7.79</v>
      </c>
      <c r="V1155">
        <v>7.69</v>
      </c>
      <c r="W1155">
        <v>9.8699999999999992</v>
      </c>
      <c r="X1155" t="s">
        <v>274</v>
      </c>
      <c r="Y1155" t="s">
        <v>937</v>
      </c>
      <c r="Z1155">
        <v>3.51</v>
      </c>
      <c r="AA1155">
        <v>7.85</v>
      </c>
      <c r="AB1155">
        <v>30578</v>
      </c>
      <c r="AC1155">
        <v>33897</v>
      </c>
      <c r="AD1155">
        <v>0.9</v>
      </c>
      <c r="AE1155">
        <v>177</v>
      </c>
      <c r="AF1155">
        <v>291</v>
      </c>
      <c r="AG1155" t="s">
        <v>120</v>
      </c>
      <c r="AH1155">
        <v>0.01</v>
      </c>
      <c r="AI1155" t="s">
        <v>120</v>
      </c>
      <c r="AJ1155">
        <v>3.79</v>
      </c>
      <c r="AK1155" t="s">
        <v>5212</v>
      </c>
      <c r="AL1155">
        <v>3.08</v>
      </c>
      <c r="AM1155">
        <v>1616</v>
      </c>
      <c r="AN1155">
        <v>40</v>
      </c>
      <c r="AO1155">
        <v>1.1000000000000001E-3</v>
      </c>
      <c r="AP1155">
        <v>2</v>
      </c>
      <c r="AQ1155">
        <v>0.92</v>
      </c>
      <c r="AR1155">
        <v>0.39</v>
      </c>
      <c r="AS1155">
        <v>5.56</v>
      </c>
      <c r="AT1155">
        <v>-0.26</v>
      </c>
      <c r="AU1155">
        <v>0.64</v>
      </c>
      <c r="AV1155">
        <v>0</v>
      </c>
      <c r="AW1155">
        <v>2.78</v>
      </c>
      <c r="AX1155">
        <v>59.64</v>
      </c>
      <c r="AY1155">
        <v>10.28</v>
      </c>
      <c r="AZ1155">
        <v>11.17</v>
      </c>
      <c r="BA1155">
        <v>0.37</v>
      </c>
      <c r="BB1155" t="s">
        <v>143</v>
      </c>
      <c r="BF1155">
        <v>2.0299999999999998</v>
      </c>
      <c r="BG1155">
        <v>1.17</v>
      </c>
      <c r="BH1155">
        <v>-2.14</v>
      </c>
      <c r="BI1155">
        <v>1.3</v>
      </c>
      <c r="BJ1155">
        <v>20210818</v>
      </c>
      <c r="BK1155">
        <v>20160218</v>
      </c>
      <c r="BL1155">
        <v>3.89</v>
      </c>
      <c r="BM1155" t="s">
        <v>120</v>
      </c>
      <c r="BN1155" t="s">
        <v>120</v>
      </c>
      <c r="BO1155">
        <v>90.69</v>
      </c>
      <c r="BP1155">
        <v>7.78</v>
      </c>
      <c r="BQ1155">
        <v>24.06</v>
      </c>
      <c r="BR1155">
        <v>0.62</v>
      </c>
      <c r="BS1155">
        <v>72.790000000000006</v>
      </c>
      <c r="BT1155">
        <v>75.099999999999994</v>
      </c>
      <c r="BU1155">
        <v>8.07</v>
      </c>
      <c r="BV1155">
        <v>1.68</v>
      </c>
      <c r="BW1155">
        <v>62.1</v>
      </c>
      <c r="BX1155">
        <v>3.93</v>
      </c>
      <c r="BY1155">
        <v>20.25</v>
      </c>
      <c r="BZ1155">
        <v>45.45</v>
      </c>
      <c r="CA1155">
        <v>0</v>
      </c>
      <c r="CB1155">
        <v>7.2</v>
      </c>
      <c r="CC1155">
        <v>84.74</v>
      </c>
      <c r="CD1155">
        <v>78.17</v>
      </c>
      <c r="CE1155">
        <v>2.0099999999999998</v>
      </c>
      <c r="CF1155">
        <v>-0.03</v>
      </c>
      <c r="CG1155">
        <v>2.0099999999999998</v>
      </c>
      <c r="CH1155">
        <v>1.5</v>
      </c>
      <c r="CI1155">
        <v>1.53</v>
      </c>
      <c r="CJ1155">
        <v>0.09</v>
      </c>
      <c r="CK1155">
        <v>1.51</v>
      </c>
      <c r="CL1155">
        <v>11.74</v>
      </c>
      <c r="CM1155">
        <v>-2.97</v>
      </c>
      <c r="CN1155">
        <v>-1.77</v>
      </c>
      <c r="CO1155">
        <v>29559</v>
      </c>
      <c r="CP1155">
        <v>7839</v>
      </c>
      <c r="CQ1155" t="s">
        <v>6421</v>
      </c>
      <c r="CR1155">
        <v>17.77</v>
      </c>
      <c r="CS1155">
        <v>17.45</v>
      </c>
      <c r="CT1155">
        <v>1.26</v>
      </c>
      <c r="CU1155">
        <v>-10.18</v>
      </c>
      <c r="CV1155">
        <v>0.36</v>
      </c>
      <c r="CW1155">
        <v>2.6</v>
      </c>
      <c r="CX1155" t="s">
        <v>1980</v>
      </c>
      <c r="CY1155">
        <v>6.19</v>
      </c>
      <c r="CZ1155">
        <v>0</v>
      </c>
      <c r="DA1155">
        <v>1.85</v>
      </c>
      <c r="DB1155">
        <v>3.02</v>
      </c>
      <c r="DC1155">
        <v>-0.76</v>
      </c>
      <c r="DD1155">
        <v>26.53</v>
      </c>
      <c r="DE1155" t="s">
        <v>6422</v>
      </c>
      <c r="DF1155">
        <v>7.76</v>
      </c>
      <c r="DG1155">
        <v>2.37</v>
      </c>
      <c r="DH1155">
        <v>1.81</v>
      </c>
      <c r="DI1155">
        <v>0.02</v>
      </c>
      <c r="DJ1155">
        <v>5163</v>
      </c>
      <c r="DK1155">
        <v>2788</v>
      </c>
      <c r="DL1155" t="s">
        <v>120</v>
      </c>
      <c r="DM1155" t="s">
        <v>120</v>
      </c>
      <c r="DN1155" t="s">
        <v>120</v>
      </c>
    </row>
    <row r="1156" spans="1:118">
      <c r="A1156" t="str">
        <f>"002789"</f>
        <v>002789</v>
      </c>
      <c r="B1156" t="s">
        <v>6423</v>
      </c>
      <c r="C1156">
        <v>-4.3899999999999997</v>
      </c>
      <c r="D1156">
        <v>-0.41</v>
      </c>
      <c r="E1156">
        <v>-0.33</v>
      </c>
      <c r="F1156">
        <v>320</v>
      </c>
      <c r="G1156" t="s">
        <v>6424</v>
      </c>
      <c r="H1156">
        <v>3642</v>
      </c>
      <c r="I1156">
        <v>35.28</v>
      </c>
      <c r="J1156" t="s">
        <v>120</v>
      </c>
      <c r="K1156" t="s">
        <v>6425</v>
      </c>
      <c r="L1156">
        <v>3.51</v>
      </c>
      <c r="M1156">
        <v>11.75</v>
      </c>
      <c r="N1156">
        <v>0.81</v>
      </c>
      <c r="O1156">
        <v>0.24</v>
      </c>
      <c r="P1156">
        <v>12.32</v>
      </c>
      <c r="Q1156">
        <v>-5.04</v>
      </c>
      <c r="R1156">
        <v>11.67</v>
      </c>
      <c r="S1156">
        <v>12.25</v>
      </c>
      <c r="T1156">
        <v>30553</v>
      </c>
      <c r="U1156">
        <v>11.78</v>
      </c>
      <c r="V1156">
        <v>12.29</v>
      </c>
      <c r="W1156">
        <v>58.17</v>
      </c>
      <c r="X1156" t="s">
        <v>3122</v>
      </c>
      <c r="Y1156" t="s">
        <v>123</v>
      </c>
      <c r="Z1156">
        <v>5.29</v>
      </c>
      <c r="AA1156">
        <v>11.92</v>
      </c>
      <c r="AB1156">
        <v>18427</v>
      </c>
      <c r="AC1156">
        <v>12126</v>
      </c>
      <c r="AD1156">
        <v>1.52</v>
      </c>
      <c r="AE1156">
        <v>37</v>
      </c>
      <c r="AF1156">
        <v>14</v>
      </c>
      <c r="AG1156" t="s">
        <v>120</v>
      </c>
      <c r="AH1156">
        <v>0.04</v>
      </c>
      <c r="AI1156" t="s">
        <v>120</v>
      </c>
      <c r="AJ1156">
        <v>0.87</v>
      </c>
      <c r="AK1156" t="s">
        <v>6426</v>
      </c>
      <c r="AL1156">
        <v>-2.48</v>
      </c>
      <c r="AM1156">
        <v>1920</v>
      </c>
      <c r="AN1156">
        <v>16</v>
      </c>
      <c r="AO1156">
        <v>1.8E-3</v>
      </c>
      <c r="AP1156">
        <v>-1</v>
      </c>
      <c r="AQ1156">
        <v>1.65</v>
      </c>
      <c r="AR1156">
        <v>-11.79</v>
      </c>
      <c r="AS1156">
        <v>-10.58</v>
      </c>
      <c r="AT1156">
        <v>3.52</v>
      </c>
      <c r="AU1156">
        <v>-33.58</v>
      </c>
      <c r="AV1156">
        <v>0</v>
      </c>
      <c r="AW1156">
        <v>4.29</v>
      </c>
      <c r="AX1156">
        <v>44.59</v>
      </c>
      <c r="AY1156" t="s">
        <v>120</v>
      </c>
      <c r="AZ1156" t="s">
        <v>120</v>
      </c>
      <c r="BA1156">
        <v>0.42</v>
      </c>
      <c r="BB1156" t="s">
        <v>143</v>
      </c>
      <c r="BF1156">
        <v>-3.01</v>
      </c>
      <c r="BG1156">
        <v>-4.08</v>
      </c>
      <c r="BH1156">
        <v>-4.63</v>
      </c>
      <c r="BI1156">
        <v>0.69</v>
      </c>
      <c r="BJ1156">
        <v>20210830</v>
      </c>
      <c r="BK1156">
        <v>20160311</v>
      </c>
      <c r="BL1156">
        <v>1.6</v>
      </c>
      <c r="BM1156" t="s">
        <v>120</v>
      </c>
      <c r="BN1156" t="s">
        <v>120</v>
      </c>
      <c r="BO1156">
        <v>46.35</v>
      </c>
      <c r="BP1156">
        <v>11.75</v>
      </c>
      <c r="BQ1156">
        <v>10.44</v>
      </c>
      <c r="BR1156">
        <v>-0.08</v>
      </c>
      <c r="BS1156">
        <v>77.66</v>
      </c>
      <c r="BT1156">
        <v>38.39</v>
      </c>
      <c r="BU1156">
        <v>1.19</v>
      </c>
      <c r="BV1156">
        <v>2.04</v>
      </c>
      <c r="BW1156">
        <v>31.32</v>
      </c>
      <c r="BX1156">
        <v>5.81</v>
      </c>
      <c r="BY1156">
        <v>1.1399999999999999</v>
      </c>
      <c r="BZ1156">
        <v>21.89</v>
      </c>
      <c r="CA1156" t="s">
        <v>120</v>
      </c>
      <c r="CB1156">
        <v>5.54</v>
      </c>
      <c r="CC1156">
        <v>10.98</v>
      </c>
      <c r="CD1156">
        <v>9.1999999999999993</v>
      </c>
      <c r="CE1156">
        <v>0.21</v>
      </c>
      <c r="CF1156">
        <v>-0.02</v>
      </c>
      <c r="CG1156">
        <v>0.2</v>
      </c>
      <c r="CH1156">
        <v>0.16</v>
      </c>
      <c r="CI1156">
        <v>0.16</v>
      </c>
      <c r="CJ1156">
        <v>-0.54</v>
      </c>
      <c r="CK1156">
        <v>0.15</v>
      </c>
      <c r="CL1156">
        <v>4.43</v>
      </c>
      <c r="CM1156">
        <v>-0.74</v>
      </c>
      <c r="CN1156">
        <v>0.03</v>
      </c>
      <c r="CO1156">
        <v>11714</v>
      </c>
      <c r="CP1156">
        <v>6076</v>
      </c>
      <c r="CQ1156" t="s">
        <v>4301</v>
      </c>
      <c r="CR1156">
        <v>-40.32</v>
      </c>
      <c r="CS1156">
        <v>16.2</v>
      </c>
      <c r="CT1156">
        <v>1.55</v>
      </c>
      <c r="CU1156">
        <v>-25.27</v>
      </c>
      <c r="CV1156">
        <v>1.71</v>
      </c>
      <c r="CW1156">
        <v>0</v>
      </c>
      <c r="CX1156" t="s">
        <v>850</v>
      </c>
      <c r="CY1156">
        <v>7.56</v>
      </c>
      <c r="CZ1156">
        <v>7.56</v>
      </c>
      <c r="DA1156">
        <v>3.47</v>
      </c>
      <c r="DB1156">
        <v>2.77</v>
      </c>
      <c r="DC1156">
        <v>-0.46</v>
      </c>
      <c r="DD1156">
        <v>22.52</v>
      </c>
      <c r="DE1156" t="s">
        <v>6427</v>
      </c>
      <c r="DF1156">
        <v>16.260000000000002</v>
      </c>
      <c r="DG1156">
        <v>1.88</v>
      </c>
      <c r="DH1156">
        <v>1.47</v>
      </c>
      <c r="DI1156">
        <v>0.3</v>
      </c>
      <c r="DJ1156">
        <v>406</v>
      </c>
      <c r="DK1156">
        <v>2789</v>
      </c>
      <c r="DL1156" t="s">
        <v>120</v>
      </c>
      <c r="DM1156" t="s">
        <v>120</v>
      </c>
      <c r="DN1156" t="s">
        <v>120</v>
      </c>
    </row>
    <row r="1157" spans="1:118">
      <c r="A1157" t="str">
        <f>"002790"</f>
        <v>002790</v>
      </c>
      <c r="B1157" t="s">
        <v>6428</v>
      </c>
      <c r="C1157">
        <v>1.01</v>
      </c>
      <c r="D1157">
        <v>0.5</v>
      </c>
      <c r="E1157">
        <v>0.17</v>
      </c>
      <c r="F1157">
        <v>264</v>
      </c>
      <c r="G1157" t="s">
        <v>6429</v>
      </c>
      <c r="H1157">
        <v>2278.52</v>
      </c>
      <c r="I1157">
        <v>0.65</v>
      </c>
      <c r="J1157" t="s">
        <v>120</v>
      </c>
      <c r="K1157" t="s">
        <v>1354</v>
      </c>
      <c r="L1157">
        <v>1.48</v>
      </c>
      <c r="M1157">
        <v>5.99</v>
      </c>
      <c r="N1157">
        <v>1.51</v>
      </c>
      <c r="O1157">
        <v>2.87</v>
      </c>
      <c r="P1157">
        <v>6.1</v>
      </c>
      <c r="Q1157">
        <v>0.17</v>
      </c>
      <c r="R1157">
        <v>5.94</v>
      </c>
      <c r="S1157">
        <v>5.94</v>
      </c>
      <c r="T1157">
        <v>37760</v>
      </c>
      <c r="U1157">
        <v>5.99</v>
      </c>
      <c r="V1157">
        <v>5.93</v>
      </c>
      <c r="W1157">
        <v>21.15</v>
      </c>
      <c r="X1157" t="s">
        <v>2409</v>
      </c>
      <c r="Y1157" t="s">
        <v>937</v>
      </c>
      <c r="Z1157">
        <v>2.7</v>
      </c>
      <c r="AA1157">
        <v>6.03</v>
      </c>
      <c r="AB1157">
        <v>16479</v>
      </c>
      <c r="AC1157">
        <v>21281</v>
      </c>
      <c r="AD1157">
        <v>0.77</v>
      </c>
      <c r="AE1157">
        <v>58</v>
      </c>
      <c r="AF1157">
        <v>212</v>
      </c>
      <c r="AG1157" t="s">
        <v>120</v>
      </c>
      <c r="AH1157">
        <v>0</v>
      </c>
      <c r="AI1157" t="s">
        <v>120</v>
      </c>
      <c r="AJ1157">
        <v>2.56</v>
      </c>
      <c r="AK1157" t="s">
        <v>3275</v>
      </c>
      <c r="AL1157">
        <v>2.93</v>
      </c>
      <c r="AM1157">
        <v>1087</v>
      </c>
      <c r="AN1157">
        <v>35</v>
      </c>
      <c r="AO1157">
        <v>1.4E-3</v>
      </c>
      <c r="AP1157">
        <v>2</v>
      </c>
      <c r="AQ1157">
        <v>0.51</v>
      </c>
      <c r="AR1157">
        <v>-1.48</v>
      </c>
      <c r="AS1157">
        <v>3.99</v>
      </c>
      <c r="AT1157">
        <v>9.1</v>
      </c>
      <c r="AU1157">
        <v>6.02</v>
      </c>
      <c r="AV1157">
        <v>1</v>
      </c>
      <c r="AW1157">
        <v>2.75</v>
      </c>
      <c r="AX1157">
        <v>32.81</v>
      </c>
      <c r="AY1157">
        <v>19.260000000000002</v>
      </c>
      <c r="AZ1157">
        <v>21.64</v>
      </c>
      <c r="BA1157">
        <v>0.49</v>
      </c>
      <c r="BB1157" t="s">
        <v>143</v>
      </c>
      <c r="BF1157">
        <v>1.76</v>
      </c>
      <c r="BG1157">
        <v>0.84</v>
      </c>
      <c r="BH1157">
        <v>-1.8</v>
      </c>
      <c r="BI1157">
        <v>0.84</v>
      </c>
      <c r="BJ1157">
        <v>20210817</v>
      </c>
      <c r="BK1157">
        <v>20160308</v>
      </c>
      <c r="BL1157">
        <v>4.18</v>
      </c>
      <c r="BM1157" t="s">
        <v>120</v>
      </c>
      <c r="BN1157" t="s">
        <v>120</v>
      </c>
      <c r="BO1157">
        <v>21.35</v>
      </c>
      <c r="BP1157">
        <v>5.98</v>
      </c>
      <c r="BQ1157">
        <v>16.84</v>
      </c>
      <c r="BR1157">
        <v>-0.02</v>
      </c>
      <c r="BS1157">
        <v>21.22</v>
      </c>
      <c r="BT1157">
        <v>15.87</v>
      </c>
      <c r="BU1157">
        <v>4.13</v>
      </c>
      <c r="BV1157">
        <v>0.31</v>
      </c>
      <c r="BW1157">
        <v>3.98</v>
      </c>
      <c r="BX1157">
        <v>4.4800000000000004</v>
      </c>
      <c r="BY1157">
        <v>2.94</v>
      </c>
      <c r="BZ1157">
        <v>4.03</v>
      </c>
      <c r="CA1157" t="s">
        <v>120</v>
      </c>
      <c r="CB1157">
        <v>4.53</v>
      </c>
      <c r="CC1157">
        <v>8.0299999999999994</v>
      </c>
      <c r="CD1157">
        <v>6.17</v>
      </c>
      <c r="CE1157">
        <v>0.63</v>
      </c>
      <c r="CF1157">
        <v>0.08</v>
      </c>
      <c r="CG1157">
        <v>0.63</v>
      </c>
      <c r="CH1157">
        <v>0.56999999999999995</v>
      </c>
      <c r="CI1157">
        <v>0.59</v>
      </c>
      <c r="CJ1157">
        <v>0.06</v>
      </c>
      <c r="CK1157">
        <v>0.5</v>
      </c>
      <c r="CL1157">
        <v>7.08</v>
      </c>
      <c r="CM1157">
        <v>0.64</v>
      </c>
      <c r="CN1157">
        <v>-0.34</v>
      </c>
      <c r="CO1157">
        <v>15427</v>
      </c>
      <c r="CP1157">
        <v>8896</v>
      </c>
      <c r="CQ1157" t="s">
        <v>5037</v>
      </c>
      <c r="CR1157">
        <v>31.51</v>
      </c>
      <c r="CS1157">
        <v>73.989999999999995</v>
      </c>
      <c r="CT1157">
        <v>1.49</v>
      </c>
      <c r="CU1157">
        <v>39.22</v>
      </c>
      <c r="CV1157">
        <v>3.12</v>
      </c>
      <c r="CW1157">
        <v>2.5299999999999998</v>
      </c>
      <c r="CX1157" t="s">
        <v>300</v>
      </c>
      <c r="CY1157">
        <v>4.0199999999999996</v>
      </c>
      <c r="CZ1157">
        <v>0</v>
      </c>
      <c r="DA1157">
        <v>1.08</v>
      </c>
      <c r="DB1157">
        <v>1.69</v>
      </c>
      <c r="DC1157">
        <v>0.15</v>
      </c>
      <c r="DD1157">
        <v>78.86</v>
      </c>
      <c r="DE1157" t="s">
        <v>4021</v>
      </c>
      <c r="DF1157">
        <v>23.22</v>
      </c>
      <c r="DG1157">
        <v>7.86</v>
      </c>
      <c r="DH1157">
        <v>7.38</v>
      </c>
      <c r="DI1157">
        <v>0.23</v>
      </c>
      <c r="DJ1157">
        <v>2843</v>
      </c>
      <c r="DK1157">
        <v>2790</v>
      </c>
      <c r="DL1157" t="s">
        <v>120</v>
      </c>
      <c r="DM1157" t="s">
        <v>120</v>
      </c>
      <c r="DN1157" t="s">
        <v>120</v>
      </c>
    </row>
    <row r="1158" spans="1:118">
      <c r="A1158" t="str">
        <f>"002791"</f>
        <v>002791</v>
      </c>
      <c r="B1158" t="s">
        <v>6430</v>
      </c>
      <c r="C1158">
        <v>-4.25</v>
      </c>
      <c r="D1158">
        <v>-0.37</v>
      </c>
      <c r="E1158">
        <v>-0.9</v>
      </c>
      <c r="F1158">
        <v>206</v>
      </c>
      <c r="G1158" t="s">
        <v>6431</v>
      </c>
      <c r="H1158">
        <v>26414.86</v>
      </c>
      <c r="I1158">
        <v>103.24</v>
      </c>
      <c r="J1158" t="s">
        <v>120</v>
      </c>
      <c r="K1158" t="s">
        <v>6432</v>
      </c>
      <c r="L1158">
        <v>1.2</v>
      </c>
      <c r="M1158">
        <v>134.80000000000001</v>
      </c>
      <c r="N1158">
        <v>1.25</v>
      </c>
      <c r="O1158">
        <v>1.9</v>
      </c>
      <c r="P1158">
        <v>143.44999999999999</v>
      </c>
      <c r="Q1158">
        <v>-4.74</v>
      </c>
      <c r="R1158">
        <v>134.1</v>
      </c>
      <c r="S1158">
        <v>139.51</v>
      </c>
      <c r="T1158">
        <v>19216</v>
      </c>
      <c r="U1158">
        <v>135</v>
      </c>
      <c r="V1158">
        <v>140.78</v>
      </c>
      <c r="W1158">
        <v>57.18</v>
      </c>
      <c r="X1158" t="s">
        <v>247</v>
      </c>
      <c r="Y1158" t="s">
        <v>547</v>
      </c>
      <c r="Z1158">
        <v>6.64</v>
      </c>
      <c r="AA1158">
        <v>137.47</v>
      </c>
      <c r="AB1158">
        <v>10261</v>
      </c>
      <c r="AC1158">
        <v>8955</v>
      </c>
      <c r="AD1158">
        <v>1.1499999999999999</v>
      </c>
      <c r="AE1158">
        <v>7</v>
      </c>
      <c r="AF1158">
        <v>5</v>
      </c>
      <c r="AG1158" t="s">
        <v>120</v>
      </c>
      <c r="AH1158">
        <v>0.01</v>
      </c>
      <c r="AI1158" t="s">
        <v>120</v>
      </c>
      <c r="AJ1158">
        <v>1.61</v>
      </c>
      <c r="AK1158" t="s">
        <v>6433</v>
      </c>
      <c r="AL1158">
        <v>-2.33</v>
      </c>
      <c r="AM1158">
        <v>3247</v>
      </c>
      <c r="AN1158">
        <v>6</v>
      </c>
      <c r="AO1158">
        <v>4.0000000000000002E-4</v>
      </c>
      <c r="AP1158">
        <v>-4</v>
      </c>
      <c r="AQ1158">
        <v>-2.92</v>
      </c>
      <c r="AR1158">
        <v>-8.3000000000000007</v>
      </c>
      <c r="AS1158">
        <v>-29.72</v>
      </c>
      <c r="AT1158">
        <v>-27.12</v>
      </c>
      <c r="AU1158">
        <v>-6.03</v>
      </c>
      <c r="AV1158">
        <v>4</v>
      </c>
      <c r="AW1158">
        <v>1.76</v>
      </c>
      <c r="AX1158">
        <v>33.880000000000003</v>
      </c>
      <c r="AY1158">
        <v>46.91</v>
      </c>
      <c r="AZ1158">
        <v>55.39</v>
      </c>
      <c r="BA1158">
        <v>1.1599999999999999</v>
      </c>
      <c r="BB1158" t="s">
        <v>134</v>
      </c>
      <c r="BF1158">
        <v>-2.35</v>
      </c>
      <c r="BG1158">
        <v>-3.38</v>
      </c>
      <c r="BH1158">
        <v>-6.03</v>
      </c>
      <c r="BI1158">
        <v>0.52</v>
      </c>
      <c r="BJ1158">
        <v>20210818</v>
      </c>
      <c r="BK1158">
        <v>20160329</v>
      </c>
      <c r="BL1158">
        <v>3.22</v>
      </c>
      <c r="BM1158" t="s">
        <v>120</v>
      </c>
      <c r="BN1158" t="s">
        <v>120</v>
      </c>
      <c r="BO1158">
        <v>78.319999999999993</v>
      </c>
      <c r="BP1158">
        <v>134.80000000000001</v>
      </c>
      <c r="BQ1158">
        <v>41.81</v>
      </c>
      <c r="BR1158">
        <v>1.57</v>
      </c>
      <c r="BS1158">
        <v>44.61</v>
      </c>
      <c r="BT1158">
        <v>60.07</v>
      </c>
      <c r="BU1158">
        <v>8.82</v>
      </c>
      <c r="BV1158">
        <v>2.81</v>
      </c>
      <c r="BW1158">
        <v>31.89</v>
      </c>
      <c r="BX1158">
        <v>4.9000000000000004</v>
      </c>
      <c r="BY1158">
        <v>13.33</v>
      </c>
      <c r="BZ1158">
        <v>30.48</v>
      </c>
      <c r="CA1158" t="s">
        <v>120</v>
      </c>
      <c r="CB1158">
        <v>10.220000000000001</v>
      </c>
      <c r="CC1158">
        <v>34.869999999999997</v>
      </c>
      <c r="CD1158">
        <v>21.86</v>
      </c>
      <c r="CE1158">
        <v>4.3899999999999997</v>
      </c>
      <c r="CF1158">
        <v>-0.02</v>
      </c>
      <c r="CG1158">
        <v>4.33</v>
      </c>
      <c r="CH1158">
        <v>3.92</v>
      </c>
      <c r="CI1158">
        <v>3.79</v>
      </c>
      <c r="CJ1158">
        <v>-5.98</v>
      </c>
      <c r="CK1158">
        <v>3.8</v>
      </c>
      <c r="CL1158">
        <v>26.77</v>
      </c>
      <c r="CM1158">
        <v>-5.49</v>
      </c>
      <c r="CN1158">
        <v>-5</v>
      </c>
      <c r="CO1158">
        <v>13322</v>
      </c>
      <c r="CP1158">
        <v>8178</v>
      </c>
      <c r="CQ1158" t="s">
        <v>6434</v>
      </c>
      <c r="CR1158">
        <v>63.95</v>
      </c>
      <c r="CS1158">
        <v>34.25</v>
      </c>
      <c r="CT1158">
        <v>10.37</v>
      </c>
      <c r="CU1158">
        <v>-78.959999999999994</v>
      </c>
      <c r="CV1158">
        <v>12.43</v>
      </c>
      <c r="CW1158">
        <v>0.39</v>
      </c>
      <c r="CX1158" t="s">
        <v>6435</v>
      </c>
      <c r="CY1158">
        <v>13</v>
      </c>
      <c r="CZ1158">
        <v>0</v>
      </c>
      <c r="DA1158">
        <v>3.18</v>
      </c>
      <c r="DB1158">
        <v>8.32</v>
      </c>
      <c r="DC1158">
        <v>-1.71</v>
      </c>
      <c r="DD1158">
        <v>53.39</v>
      </c>
      <c r="DE1158" t="s">
        <v>6209</v>
      </c>
      <c r="DF1158">
        <v>37.32</v>
      </c>
      <c r="DG1158">
        <v>12.59</v>
      </c>
      <c r="DH1158">
        <v>10.87</v>
      </c>
      <c r="DI1158">
        <v>1.42</v>
      </c>
      <c r="DJ1158">
        <v>13083</v>
      </c>
      <c r="DK1158">
        <v>2791</v>
      </c>
      <c r="DL1158" t="s">
        <v>120</v>
      </c>
      <c r="DM1158" t="s">
        <v>120</v>
      </c>
      <c r="DN1158" t="s">
        <v>120</v>
      </c>
    </row>
    <row r="1159" spans="1:118">
      <c r="A1159" t="str">
        <f>"002792"</f>
        <v>002792</v>
      </c>
      <c r="B1159" t="s">
        <v>6436</v>
      </c>
      <c r="C1159">
        <v>-2.67</v>
      </c>
      <c r="D1159">
        <v>0</v>
      </c>
      <c r="E1159">
        <v>0.55000000000000004</v>
      </c>
      <c r="F1159">
        <v>277</v>
      </c>
      <c r="G1159" t="s">
        <v>6437</v>
      </c>
      <c r="H1159">
        <v>3541.11</v>
      </c>
      <c r="I1159">
        <v>9.4600000000000009</v>
      </c>
      <c r="J1159" t="s">
        <v>120</v>
      </c>
      <c r="K1159" t="s">
        <v>3293</v>
      </c>
      <c r="L1159">
        <v>1.23</v>
      </c>
      <c r="M1159">
        <v>16.07</v>
      </c>
      <c r="N1159">
        <v>0.87</v>
      </c>
      <c r="O1159">
        <v>0.67</v>
      </c>
      <c r="P1159">
        <v>16.62</v>
      </c>
      <c r="Q1159">
        <v>-2.91</v>
      </c>
      <c r="R1159">
        <v>16.03</v>
      </c>
      <c r="S1159">
        <v>16.600000000000001</v>
      </c>
      <c r="T1159">
        <v>21739</v>
      </c>
      <c r="U1159">
        <v>16.07</v>
      </c>
      <c r="V1159">
        <v>16.510000000000002</v>
      </c>
      <c r="W1159">
        <v>42.31</v>
      </c>
      <c r="X1159" t="s">
        <v>462</v>
      </c>
      <c r="Y1159" t="s">
        <v>547</v>
      </c>
      <c r="Z1159">
        <v>3.57</v>
      </c>
      <c r="AA1159">
        <v>16.29</v>
      </c>
      <c r="AB1159">
        <v>14604</v>
      </c>
      <c r="AC1159">
        <v>7135</v>
      </c>
      <c r="AD1159">
        <v>2.0499999999999998</v>
      </c>
      <c r="AE1159">
        <v>62</v>
      </c>
      <c r="AF1159">
        <v>21</v>
      </c>
      <c r="AG1159" t="s">
        <v>120</v>
      </c>
      <c r="AH1159">
        <v>0</v>
      </c>
      <c r="AI1159" t="s">
        <v>120</v>
      </c>
      <c r="AJ1159">
        <v>1.77</v>
      </c>
      <c r="AK1159" t="s">
        <v>6438</v>
      </c>
      <c r="AL1159">
        <v>-0.75</v>
      </c>
      <c r="AM1159">
        <v>1565</v>
      </c>
      <c r="AN1159">
        <v>14</v>
      </c>
      <c r="AO1159">
        <v>8.0000000000000004E-4</v>
      </c>
      <c r="AP1159">
        <v>-1</v>
      </c>
      <c r="AQ1159">
        <v>0.24</v>
      </c>
      <c r="AR1159">
        <v>-3.25</v>
      </c>
      <c r="AS1159">
        <v>-6.68</v>
      </c>
      <c r="AT1159">
        <v>-3.95</v>
      </c>
      <c r="AU1159">
        <v>-9.4700000000000006</v>
      </c>
      <c r="AV1159">
        <v>1</v>
      </c>
      <c r="AW1159">
        <v>1.75</v>
      </c>
      <c r="AX1159">
        <v>36.729999999999997</v>
      </c>
      <c r="AY1159">
        <v>51.65</v>
      </c>
      <c r="AZ1159">
        <v>78.56</v>
      </c>
      <c r="BA1159">
        <v>0.62</v>
      </c>
      <c r="BB1159" t="s">
        <v>143</v>
      </c>
      <c r="BF1159">
        <v>-1.34</v>
      </c>
      <c r="BG1159">
        <v>-3.19</v>
      </c>
      <c r="BH1159">
        <v>-3.31</v>
      </c>
      <c r="BI1159">
        <v>0.25</v>
      </c>
      <c r="BJ1159">
        <v>20210827</v>
      </c>
      <c r="BK1159">
        <v>20160328</v>
      </c>
      <c r="BL1159">
        <v>3.38</v>
      </c>
      <c r="BM1159" t="s">
        <v>120</v>
      </c>
      <c r="BN1159" t="s">
        <v>120</v>
      </c>
      <c r="BO1159">
        <v>28.99</v>
      </c>
      <c r="BP1159">
        <v>16.059999999999999</v>
      </c>
      <c r="BQ1159">
        <v>19.239999999999998</v>
      </c>
      <c r="BR1159" t="s">
        <v>120</v>
      </c>
      <c r="BS1159">
        <v>33.64</v>
      </c>
      <c r="BT1159">
        <v>22.72</v>
      </c>
      <c r="BU1159">
        <v>3.95</v>
      </c>
      <c r="BV1159">
        <v>0.37</v>
      </c>
      <c r="BW1159">
        <v>8.82</v>
      </c>
      <c r="BX1159">
        <v>6.27</v>
      </c>
      <c r="BY1159">
        <v>3.37</v>
      </c>
      <c r="BZ1159">
        <v>8</v>
      </c>
      <c r="CA1159" t="s">
        <v>120</v>
      </c>
      <c r="CB1159">
        <v>5.75</v>
      </c>
      <c r="CC1159">
        <v>8.57</v>
      </c>
      <c r="CD1159">
        <v>6.61</v>
      </c>
      <c r="CE1159">
        <v>0.71</v>
      </c>
      <c r="CF1159">
        <v>0.04</v>
      </c>
      <c r="CG1159">
        <v>0.7</v>
      </c>
      <c r="CH1159">
        <v>0.65</v>
      </c>
      <c r="CI1159">
        <v>0.64</v>
      </c>
      <c r="CJ1159">
        <v>-0.44</v>
      </c>
      <c r="CK1159">
        <v>0.53</v>
      </c>
      <c r="CL1159">
        <v>8.9700000000000006</v>
      </c>
      <c r="CM1159">
        <v>2.75</v>
      </c>
      <c r="CN1159">
        <v>0.12</v>
      </c>
      <c r="CO1159">
        <v>28781</v>
      </c>
      <c r="CP1159">
        <v>4312</v>
      </c>
      <c r="CQ1159" t="s">
        <v>6439</v>
      </c>
      <c r="CR1159">
        <v>136.18</v>
      </c>
      <c r="CS1159">
        <v>13.86</v>
      </c>
      <c r="CT1159">
        <v>2.82</v>
      </c>
      <c r="CU1159">
        <v>19.77</v>
      </c>
      <c r="CV1159">
        <v>6.33</v>
      </c>
      <c r="CW1159">
        <v>1.82</v>
      </c>
      <c r="CX1159" t="s">
        <v>442</v>
      </c>
      <c r="CY1159">
        <v>5.69</v>
      </c>
      <c r="CZ1159">
        <v>0</v>
      </c>
      <c r="DA1159">
        <v>1.7</v>
      </c>
      <c r="DB1159">
        <v>2.66</v>
      </c>
      <c r="DC1159">
        <v>0.81</v>
      </c>
      <c r="DD1159">
        <v>66.36</v>
      </c>
      <c r="DE1159" t="s">
        <v>6440</v>
      </c>
      <c r="DF1159">
        <v>22.92</v>
      </c>
      <c r="DG1159">
        <v>8.25</v>
      </c>
      <c r="DH1159">
        <v>7.49</v>
      </c>
      <c r="DI1159">
        <v>0.49</v>
      </c>
      <c r="DJ1159">
        <v>2588</v>
      </c>
      <c r="DK1159">
        <v>2792</v>
      </c>
      <c r="DL1159" t="s">
        <v>120</v>
      </c>
      <c r="DM1159" t="s">
        <v>120</v>
      </c>
      <c r="DN1159" t="s">
        <v>120</v>
      </c>
    </row>
    <row r="1160" spans="1:118">
      <c r="A1160" t="str">
        <f>"002793"</f>
        <v>002793</v>
      </c>
      <c r="B1160" t="s">
        <v>6441</v>
      </c>
      <c r="C1160">
        <v>-2.92</v>
      </c>
      <c r="D1160">
        <v>0.21</v>
      </c>
      <c r="E1160">
        <v>0</v>
      </c>
      <c r="F1160">
        <v>1317</v>
      </c>
      <c r="G1160" t="s">
        <v>673</v>
      </c>
      <c r="H1160">
        <v>3508.38</v>
      </c>
      <c r="I1160">
        <v>3.67</v>
      </c>
      <c r="J1160" t="s">
        <v>120</v>
      </c>
      <c r="K1160" t="s">
        <v>6442</v>
      </c>
      <c r="L1160">
        <v>0.94</v>
      </c>
      <c r="M1160">
        <v>9.6300000000000008</v>
      </c>
      <c r="N1160">
        <v>0.68</v>
      </c>
      <c r="O1160">
        <v>0.4</v>
      </c>
      <c r="P1160">
        <v>9.9600000000000009</v>
      </c>
      <c r="Q1160">
        <v>-3.13</v>
      </c>
      <c r="R1160">
        <v>9.61</v>
      </c>
      <c r="S1160">
        <v>9.92</v>
      </c>
      <c r="T1160">
        <v>35907</v>
      </c>
      <c r="U1160">
        <v>9.6300000000000008</v>
      </c>
      <c r="V1160">
        <v>9.92</v>
      </c>
      <c r="W1160">
        <v>23.71</v>
      </c>
      <c r="X1160" t="s">
        <v>569</v>
      </c>
      <c r="Y1160" t="s">
        <v>585</v>
      </c>
      <c r="Z1160">
        <v>3.53</v>
      </c>
      <c r="AA1160">
        <v>9.77</v>
      </c>
      <c r="AB1160">
        <v>25378</v>
      </c>
      <c r="AC1160">
        <v>10529</v>
      </c>
      <c r="AD1160">
        <v>2.41</v>
      </c>
      <c r="AE1160">
        <v>67</v>
      </c>
      <c r="AF1160">
        <v>225</v>
      </c>
      <c r="AG1160" t="s">
        <v>120</v>
      </c>
      <c r="AH1160">
        <v>0</v>
      </c>
      <c r="AI1160" t="s">
        <v>120</v>
      </c>
      <c r="AJ1160">
        <v>3.82</v>
      </c>
      <c r="AK1160" t="s">
        <v>6443</v>
      </c>
      <c r="AL1160">
        <v>-1.01</v>
      </c>
      <c r="AM1160">
        <v>1259</v>
      </c>
      <c r="AN1160">
        <v>29</v>
      </c>
      <c r="AO1160">
        <v>6.9999999999999999E-4</v>
      </c>
      <c r="AP1160">
        <v>-1</v>
      </c>
      <c r="AQ1160">
        <v>0.2</v>
      </c>
      <c r="AR1160">
        <v>-4.66</v>
      </c>
      <c r="AS1160">
        <v>13.97</v>
      </c>
      <c r="AT1160">
        <v>-0.52</v>
      </c>
      <c r="AU1160">
        <v>-6.69</v>
      </c>
      <c r="AV1160">
        <v>1</v>
      </c>
      <c r="AW1160">
        <v>1.76</v>
      </c>
      <c r="AX1160">
        <v>13.97</v>
      </c>
      <c r="AY1160">
        <v>35.869999999999997</v>
      </c>
      <c r="AZ1160">
        <v>45.06</v>
      </c>
      <c r="BA1160">
        <v>0.64</v>
      </c>
      <c r="BB1160" t="s">
        <v>184</v>
      </c>
      <c r="BF1160">
        <v>-1.5</v>
      </c>
      <c r="BG1160">
        <v>-2.92</v>
      </c>
      <c r="BH1160">
        <v>-3.31</v>
      </c>
      <c r="BI1160">
        <v>0.21</v>
      </c>
      <c r="BJ1160">
        <v>20210830</v>
      </c>
      <c r="BK1160">
        <v>20160415</v>
      </c>
      <c r="BL1160">
        <v>14.64</v>
      </c>
      <c r="BM1160" t="s">
        <v>120</v>
      </c>
      <c r="BN1160" t="s">
        <v>120</v>
      </c>
      <c r="BO1160">
        <v>87.08</v>
      </c>
      <c r="BP1160">
        <v>9.6199999999999992</v>
      </c>
      <c r="BQ1160">
        <v>43.41</v>
      </c>
      <c r="BR1160">
        <v>3.42</v>
      </c>
      <c r="BS1160">
        <v>46.22</v>
      </c>
      <c r="BT1160">
        <v>57.7</v>
      </c>
      <c r="BU1160">
        <v>16.489999999999998</v>
      </c>
      <c r="BV1160">
        <v>3.42</v>
      </c>
      <c r="BW1160">
        <v>31.43</v>
      </c>
      <c r="BX1160">
        <v>12.38</v>
      </c>
      <c r="BY1160">
        <v>7.84</v>
      </c>
      <c r="BZ1160">
        <v>33.44</v>
      </c>
      <c r="CA1160">
        <v>0.04</v>
      </c>
      <c r="CB1160">
        <v>2.15</v>
      </c>
      <c r="CC1160">
        <v>34.43</v>
      </c>
      <c r="CD1160">
        <v>15.39</v>
      </c>
      <c r="CE1160">
        <v>3.71</v>
      </c>
      <c r="CF1160">
        <v>0.01</v>
      </c>
      <c r="CG1160">
        <v>3.72</v>
      </c>
      <c r="CH1160">
        <v>3.06</v>
      </c>
      <c r="CI1160">
        <v>2.97</v>
      </c>
      <c r="CJ1160">
        <v>-0.28999999999999998</v>
      </c>
      <c r="CK1160">
        <v>2.86</v>
      </c>
      <c r="CL1160">
        <v>27.34</v>
      </c>
      <c r="CM1160">
        <v>-1.56</v>
      </c>
      <c r="CN1160">
        <v>-1.61</v>
      </c>
      <c r="CO1160">
        <v>19110</v>
      </c>
      <c r="CP1160">
        <v>10703</v>
      </c>
      <c r="CQ1160" t="s">
        <v>4207</v>
      </c>
      <c r="CR1160">
        <v>38.42</v>
      </c>
      <c r="CS1160">
        <v>28.5</v>
      </c>
      <c r="CT1160">
        <v>3.25</v>
      </c>
      <c r="CU1160">
        <v>-90.34</v>
      </c>
      <c r="CV1160">
        <v>4.09</v>
      </c>
      <c r="CW1160">
        <v>0.51</v>
      </c>
      <c r="CX1160" t="s">
        <v>492</v>
      </c>
      <c r="CY1160">
        <v>2.96</v>
      </c>
      <c r="CZ1160">
        <v>2.96</v>
      </c>
      <c r="DA1160">
        <v>0.15</v>
      </c>
      <c r="DB1160">
        <v>1.87</v>
      </c>
      <c r="DC1160">
        <v>-0.11</v>
      </c>
      <c r="DD1160">
        <v>49.85</v>
      </c>
      <c r="DE1160" t="s">
        <v>6444</v>
      </c>
      <c r="DF1160">
        <v>55.29</v>
      </c>
      <c r="DG1160">
        <v>10.77</v>
      </c>
      <c r="DH1160">
        <v>8.6300000000000008</v>
      </c>
      <c r="DI1160">
        <v>1.46</v>
      </c>
      <c r="DJ1160">
        <v>6239</v>
      </c>
      <c r="DK1160">
        <v>2793</v>
      </c>
      <c r="DL1160" t="s">
        <v>120</v>
      </c>
      <c r="DM1160" t="s">
        <v>120</v>
      </c>
      <c r="DN1160" t="s">
        <v>120</v>
      </c>
    </row>
    <row r="1161" spans="1:118">
      <c r="A1161" t="str">
        <f>"002795"</f>
        <v>002795</v>
      </c>
      <c r="B1161" t="s">
        <v>6445</v>
      </c>
      <c r="C1161">
        <v>-3.82</v>
      </c>
      <c r="D1161">
        <v>0</v>
      </c>
      <c r="E1161">
        <v>0</v>
      </c>
      <c r="F1161">
        <v>392</v>
      </c>
      <c r="G1161" t="s">
        <v>6446</v>
      </c>
      <c r="H1161">
        <v>5096.75</v>
      </c>
      <c r="I1161">
        <v>26.96</v>
      </c>
      <c r="J1161" t="s">
        <v>120</v>
      </c>
      <c r="K1161" t="s">
        <v>6341</v>
      </c>
      <c r="L1161">
        <v>2.99</v>
      </c>
      <c r="M1161">
        <v>11.84</v>
      </c>
      <c r="N1161">
        <v>1.2</v>
      </c>
      <c r="O1161">
        <v>1.54</v>
      </c>
      <c r="P1161">
        <v>12.5</v>
      </c>
      <c r="Q1161">
        <v>-3.9</v>
      </c>
      <c r="R1161">
        <v>11.83</v>
      </c>
      <c r="S1161">
        <v>12.31</v>
      </c>
      <c r="T1161">
        <v>42308</v>
      </c>
      <c r="U1161">
        <v>11.84</v>
      </c>
      <c r="V1161">
        <v>12.31</v>
      </c>
      <c r="W1161">
        <v>46.4</v>
      </c>
      <c r="X1161" t="s">
        <v>959</v>
      </c>
      <c r="Y1161" t="s">
        <v>585</v>
      </c>
      <c r="Z1161">
        <v>5.44</v>
      </c>
      <c r="AA1161">
        <v>12.05</v>
      </c>
      <c r="AB1161">
        <v>29542</v>
      </c>
      <c r="AC1161">
        <v>12766</v>
      </c>
      <c r="AD1161">
        <v>2.31</v>
      </c>
      <c r="AE1161">
        <v>600</v>
      </c>
      <c r="AF1161">
        <v>52</v>
      </c>
      <c r="AG1161" t="s">
        <v>120</v>
      </c>
      <c r="AH1161">
        <v>0.02</v>
      </c>
      <c r="AI1161" t="s">
        <v>120</v>
      </c>
      <c r="AJ1161">
        <v>1.42</v>
      </c>
      <c r="AK1161" t="s">
        <v>6447</v>
      </c>
      <c r="AL1161">
        <v>-1.9</v>
      </c>
      <c r="AM1161">
        <v>1802</v>
      </c>
      <c r="AN1161">
        <v>23</v>
      </c>
      <c r="AO1161">
        <v>1.6999999999999999E-3</v>
      </c>
      <c r="AP1161">
        <v>-1</v>
      </c>
      <c r="AQ1161">
        <v>0.82</v>
      </c>
      <c r="AR1161">
        <v>-4.05</v>
      </c>
      <c r="AS1161">
        <v>-1.25</v>
      </c>
      <c r="AT1161">
        <v>12.76</v>
      </c>
      <c r="AU1161">
        <v>24.11</v>
      </c>
      <c r="AV1161">
        <v>7</v>
      </c>
      <c r="AW1161">
        <v>4.2</v>
      </c>
      <c r="AX1161">
        <v>50.32</v>
      </c>
      <c r="AY1161">
        <v>278.58999999999997</v>
      </c>
      <c r="AZ1161">
        <v>190.49</v>
      </c>
      <c r="BA1161">
        <v>0</v>
      </c>
      <c r="BB1161" t="s">
        <v>143</v>
      </c>
      <c r="BF1161">
        <v>-2.14</v>
      </c>
      <c r="BG1161">
        <v>-3.82</v>
      </c>
      <c r="BH1161">
        <v>-5.28</v>
      </c>
      <c r="BI1161">
        <v>0.08</v>
      </c>
      <c r="BJ1161">
        <v>20210830</v>
      </c>
      <c r="BK1161">
        <v>20160428</v>
      </c>
      <c r="BL1161">
        <v>2</v>
      </c>
      <c r="BM1161" t="s">
        <v>120</v>
      </c>
      <c r="BN1161" t="s">
        <v>120</v>
      </c>
      <c r="BO1161">
        <v>13.33</v>
      </c>
      <c r="BP1161">
        <v>11.83</v>
      </c>
      <c r="BQ1161">
        <v>6.74</v>
      </c>
      <c r="BR1161">
        <v>0.02</v>
      </c>
      <c r="BS1161">
        <v>49.31</v>
      </c>
      <c r="BT1161">
        <v>5.0999999999999996</v>
      </c>
      <c r="BU1161">
        <v>2.14</v>
      </c>
      <c r="BV1161">
        <v>0.66</v>
      </c>
      <c r="BW1161">
        <v>5.0999999999999996</v>
      </c>
      <c r="BX1161">
        <v>1.07</v>
      </c>
      <c r="BY1161">
        <v>2.25</v>
      </c>
      <c r="BZ1161">
        <v>1.51</v>
      </c>
      <c r="CA1161" t="s">
        <v>120</v>
      </c>
      <c r="CB1161">
        <v>2.63</v>
      </c>
      <c r="CC1161">
        <v>4.25</v>
      </c>
      <c r="CD1161">
        <v>3.01</v>
      </c>
      <c r="CE1161">
        <v>0.34</v>
      </c>
      <c r="CF1161">
        <v>0.04</v>
      </c>
      <c r="CG1161">
        <v>0.34</v>
      </c>
      <c r="CH1161">
        <v>0.26</v>
      </c>
      <c r="CI1161">
        <v>0.26</v>
      </c>
      <c r="CJ1161">
        <v>-0.47</v>
      </c>
      <c r="CK1161">
        <v>0.23</v>
      </c>
      <c r="CL1161">
        <v>1.48</v>
      </c>
      <c r="CM1161">
        <v>0.14000000000000001</v>
      </c>
      <c r="CN1161">
        <v>-0.04</v>
      </c>
      <c r="CO1161">
        <v>15251</v>
      </c>
      <c r="CP1161">
        <v>6599</v>
      </c>
      <c r="CQ1161" t="s">
        <v>1717</v>
      </c>
      <c r="CR1161">
        <v>-13.81</v>
      </c>
      <c r="CS1161">
        <v>39.549999999999997</v>
      </c>
      <c r="CT1161">
        <v>3.51</v>
      </c>
      <c r="CU1161">
        <v>168.8</v>
      </c>
      <c r="CV1161">
        <v>5.58</v>
      </c>
      <c r="CW1161">
        <v>0</v>
      </c>
      <c r="CX1161" t="s">
        <v>986</v>
      </c>
      <c r="CY1161">
        <v>3.37</v>
      </c>
      <c r="CZ1161">
        <v>0</v>
      </c>
      <c r="DA1161">
        <v>1.32</v>
      </c>
      <c r="DB1161">
        <v>0.74</v>
      </c>
      <c r="DC1161">
        <v>7.0000000000000007E-2</v>
      </c>
      <c r="DD1161">
        <v>50.55</v>
      </c>
      <c r="DE1161" t="s">
        <v>6448</v>
      </c>
      <c r="DF1161">
        <v>29.12</v>
      </c>
      <c r="DG1161">
        <v>7.99</v>
      </c>
      <c r="DH1161">
        <v>6.01</v>
      </c>
      <c r="DI1161">
        <v>0.1</v>
      </c>
      <c r="DJ1161">
        <v>1033</v>
      </c>
      <c r="DK1161">
        <v>2795</v>
      </c>
      <c r="DL1161" t="s">
        <v>120</v>
      </c>
      <c r="DM1161" t="s">
        <v>120</v>
      </c>
      <c r="DN1161" t="s">
        <v>120</v>
      </c>
    </row>
    <row r="1162" spans="1:118">
      <c r="A1162" t="str">
        <f>"002796"</f>
        <v>002796</v>
      </c>
      <c r="B1162" t="s">
        <v>6449</v>
      </c>
      <c r="C1162">
        <v>-1.04</v>
      </c>
      <c r="D1162">
        <v>0</v>
      </c>
      <c r="E1162">
        <v>0.63</v>
      </c>
      <c r="F1162">
        <v>330</v>
      </c>
      <c r="G1162" t="s">
        <v>6450</v>
      </c>
      <c r="H1162">
        <v>1906.48</v>
      </c>
      <c r="I1162">
        <v>2.21</v>
      </c>
      <c r="J1162" t="s">
        <v>120</v>
      </c>
      <c r="K1162" t="s">
        <v>6451</v>
      </c>
      <c r="L1162">
        <v>0.9</v>
      </c>
      <c r="M1162">
        <v>9.4700000000000006</v>
      </c>
      <c r="N1162">
        <v>1.24</v>
      </c>
      <c r="O1162">
        <v>0.94</v>
      </c>
      <c r="P1162">
        <v>9.66</v>
      </c>
      <c r="Q1162">
        <v>-1.36</v>
      </c>
      <c r="R1162">
        <v>9.44</v>
      </c>
      <c r="S1162">
        <v>9.6300000000000008</v>
      </c>
      <c r="T1162">
        <v>19962</v>
      </c>
      <c r="U1162">
        <v>9.4700000000000006</v>
      </c>
      <c r="V1162">
        <v>9.57</v>
      </c>
      <c r="W1162" t="s">
        <v>120</v>
      </c>
      <c r="X1162" t="s">
        <v>462</v>
      </c>
      <c r="Y1162" t="s">
        <v>319</v>
      </c>
      <c r="Z1162">
        <v>2.2999999999999998</v>
      </c>
      <c r="AA1162">
        <v>9.5500000000000007</v>
      </c>
      <c r="AB1162">
        <v>11033</v>
      </c>
      <c r="AC1162">
        <v>8929</v>
      </c>
      <c r="AD1162">
        <v>1.24</v>
      </c>
      <c r="AE1162">
        <v>171</v>
      </c>
      <c r="AF1162">
        <v>214</v>
      </c>
      <c r="AG1162" t="s">
        <v>120</v>
      </c>
      <c r="AH1162">
        <v>0</v>
      </c>
      <c r="AI1162" t="s">
        <v>120</v>
      </c>
      <c r="AJ1162">
        <v>2.21</v>
      </c>
      <c r="AK1162" t="s">
        <v>3418</v>
      </c>
      <c r="AL1162">
        <v>0.87</v>
      </c>
      <c r="AM1162">
        <v>939</v>
      </c>
      <c r="AN1162">
        <v>21</v>
      </c>
      <c r="AO1162">
        <v>1E-3</v>
      </c>
      <c r="AP1162">
        <v>-1</v>
      </c>
      <c r="AQ1162">
        <v>0.1</v>
      </c>
      <c r="AR1162">
        <v>-1.67</v>
      </c>
      <c r="AS1162">
        <v>-1.87</v>
      </c>
      <c r="AT1162">
        <v>-11.82</v>
      </c>
      <c r="AU1162">
        <v>-41.76</v>
      </c>
      <c r="AV1162">
        <v>5</v>
      </c>
      <c r="AW1162">
        <v>1.44</v>
      </c>
      <c r="AX1162">
        <v>55.07</v>
      </c>
      <c r="AY1162" t="s">
        <v>120</v>
      </c>
      <c r="AZ1162">
        <v>64.03</v>
      </c>
      <c r="BA1162">
        <v>0.51</v>
      </c>
      <c r="BB1162" t="s">
        <v>143</v>
      </c>
      <c r="BF1162">
        <v>-0.2</v>
      </c>
      <c r="BG1162">
        <v>-1.66</v>
      </c>
      <c r="BH1162">
        <v>-1.97</v>
      </c>
      <c r="BI1162">
        <v>0.32</v>
      </c>
      <c r="BJ1162">
        <v>20210806</v>
      </c>
      <c r="BK1162">
        <v>20160510</v>
      </c>
      <c r="BL1162">
        <v>2.52</v>
      </c>
      <c r="BM1162" t="s">
        <v>120</v>
      </c>
      <c r="BN1162" t="s">
        <v>120</v>
      </c>
      <c r="BO1162">
        <v>22.12</v>
      </c>
      <c r="BP1162">
        <v>9.4600000000000009</v>
      </c>
      <c r="BQ1162">
        <v>15.46</v>
      </c>
      <c r="BR1162">
        <v>0.2</v>
      </c>
      <c r="BS1162">
        <v>29.19</v>
      </c>
      <c r="BT1162">
        <v>10.32</v>
      </c>
      <c r="BU1162">
        <v>4</v>
      </c>
      <c r="BV1162">
        <v>0.59</v>
      </c>
      <c r="BW1162">
        <v>5.81</v>
      </c>
      <c r="BX1162">
        <v>2.5</v>
      </c>
      <c r="BY1162">
        <v>2.15</v>
      </c>
      <c r="BZ1162">
        <v>2.6</v>
      </c>
      <c r="CA1162" t="s">
        <v>120</v>
      </c>
      <c r="CB1162">
        <v>10.38</v>
      </c>
      <c r="CC1162">
        <v>6.9</v>
      </c>
      <c r="CD1162">
        <v>6.32</v>
      </c>
      <c r="CE1162">
        <v>-0.17</v>
      </c>
      <c r="CF1162">
        <v>0.03</v>
      </c>
      <c r="CG1162">
        <v>-0.17</v>
      </c>
      <c r="CH1162">
        <v>-0.15</v>
      </c>
      <c r="CI1162">
        <v>-0.16</v>
      </c>
      <c r="CJ1162">
        <v>-0.1</v>
      </c>
      <c r="CK1162">
        <v>-0.17</v>
      </c>
      <c r="CL1162">
        <v>2.2599999999999998</v>
      </c>
      <c r="CM1162">
        <v>-0.08</v>
      </c>
      <c r="CN1162">
        <v>-0.91</v>
      </c>
      <c r="CO1162">
        <v>25324</v>
      </c>
      <c r="CP1162">
        <v>5490</v>
      </c>
      <c r="CQ1162" t="s">
        <v>2321</v>
      </c>
      <c r="CR1162">
        <v>-149.65</v>
      </c>
      <c r="CS1162">
        <v>-21.9</v>
      </c>
      <c r="CT1162">
        <v>1.55</v>
      </c>
      <c r="CU1162">
        <v>-312.20999999999998</v>
      </c>
      <c r="CV1162">
        <v>3.47</v>
      </c>
      <c r="CW1162">
        <v>0</v>
      </c>
      <c r="CX1162" t="s">
        <v>2044</v>
      </c>
      <c r="CY1162">
        <v>6.12</v>
      </c>
      <c r="CZ1162">
        <v>0</v>
      </c>
      <c r="DA1162">
        <v>4.1100000000000003</v>
      </c>
      <c r="DB1162">
        <v>0.9</v>
      </c>
      <c r="DC1162">
        <v>-0.03</v>
      </c>
      <c r="DD1162">
        <v>69.89</v>
      </c>
      <c r="DE1162" t="s">
        <v>6452</v>
      </c>
      <c r="DF1162">
        <v>8.3699999999999992</v>
      </c>
      <c r="DG1162">
        <v>-2.44</v>
      </c>
      <c r="DH1162">
        <v>-2.34</v>
      </c>
      <c r="DI1162">
        <v>0.33</v>
      </c>
      <c r="DJ1162">
        <v>1982</v>
      </c>
      <c r="DK1162">
        <v>2796</v>
      </c>
      <c r="DL1162" t="s">
        <v>120</v>
      </c>
      <c r="DM1162" t="s">
        <v>120</v>
      </c>
      <c r="DN1162" t="s">
        <v>120</v>
      </c>
    </row>
    <row r="1163" spans="1:118">
      <c r="A1163" t="str">
        <f>"002797"</f>
        <v>002797</v>
      </c>
      <c r="B1163" t="s">
        <v>6453</v>
      </c>
      <c r="C1163">
        <v>-2.13</v>
      </c>
      <c r="D1163">
        <v>-0.13</v>
      </c>
      <c r="E1163">
        <v>-0.13</v>
      </c>
      <c r="F1163">
        <v>14410</v>
      </c>
      <c r="G1163" t="s">
        <v>6454</v>
      </c>
      <c r="H1163">
        <v>99174.77</v>
      </c>
      <c r="I1163">
        <v>328.72</v>
      </c>
      <c r="J1163" t="s">
        <v>120</v>
      </c>
      <c r="K1163" t="s">
        <v>6455</v>
      </c>
      <c r="L1163">
        <v>3.23</v>
      </c>
      <c r="M1163">
        <v>7.34</v>
      </c>
      <c r="N1163">
        <v>0.64</v>
      </c>
      <c r="O1163">
        <v>1.2</v>
      </c>
      <c r="P1163">
        <v>7.59</v>
      </c>
      <c r="Q1163">
        <v>-2.8</v>
      </c>
      <c r="R1163">
        <v>7.29</v>
      </c>
      <c r="S1163">
        <v>7.49</v>
      </c>
      <c r="T1163">
        <v>1333583</v>
      </c>
      <c r="U1163">
        <v>7.34</v>
      </c>
      <c r="V1163">
        <v>7.5</v>
      </c>
      <c r="W1163">
        <v>43.85</v>
      </c>
      <c r="X1163" t="s">
        <v>616</v>
      </c>
      <c r="Y1163" t="s">
        <v>123</v>
      </c>
      <c r="Z1163">
        <v>4</v>
      </c>
      <c r="AA1163">
        <v>7.44</v>
      </c>
      <c r="AB1163">
        <v>716261</v>
      </c>
      <c r="AC1163">
        <v>617322</v>
      </c>
      <c r="AD1163">
        <v>1.1599999999999999</v>
      </c>
      <c r="AE1163">
        <v>3837</v>
      </c>
      <c r="AF1163">
        <v>4612</v>
      </c>
      <c r="AG1163" t="s">
        <v>120</v>
      </c>
      <c r="AH1163">
        <v>0.01</v>
      </c>
      <c r="AI1163" t="s">
        <v>120</v>
      </c>
      <c r="AJ1163">
        <v>41.32</v>
      </c>
      <c r="AK1163" t="s">
        <v>6456</v>
      </c>
      <c r="AL1163">
        <v>-0.22</v>
      </c>
      <c r="AM1163">
        <v>4599</v>
      </c>
      <c r="AN1163">
        <v>290</v>
      </c>
      <c r="AO1163">
        <v>6.9999999999999999E-4</v>
      </c>
      <c r="AP1163">
        <v>-1</v>
      </c>
      <c r="AQ1163">
        <v>0.81</v>
      </c>
      <c r="AR1163">
        <v>-5.29</v>
      </c>
      <c r="AS1163">
        <v>8.74</v>
      </c>
      <c r="AT1163">
        <v>2.52</v>
      </c>
      <c r="AU1163">
        <v>-25.93</v>
      </c>
      <c r="AV1163">
        <v>1</v>
      </c>
      <c r="AW1163">
        <v>3.99</v>
      </c>
      <c r="AX1163">
        <v>79.540000000000006</v>
      </c>
      <c r="AY1163">
        <v>42.46</v>
      </c>
      <c r="AZ1163">
        <v>38.78</v>
      </c>
      <c r="BA1163">
        <v>0.52</v>
      </c>
      <c r="BB1163" t="s">
        <v>341</v>
      </c>
      <c r="BF1163">
        <v>-0.84</v>
      </c>
      <c r="BG1163">
        <v>-2</v>
      </c>
      <c r="BH1163">
        <v>-3.29</v>
      </c>
      <c r="BI1163">
        <v>0.69</v>
      </c>
      <c r="BJ1163">
        <v>20210827</v>
      </c>
      <c r="BK1163">
        <v>20160511</v>
      </c>
      <c r="BL1163">
        <v>42.02</v>
      </c>
      <c r="BM1163" t="s">
        <v>120</v>
      </c>
      <c r="BN1163" t="s">
        <v>120</v>
      </c>
      <c r="BO1163">
        <v>428.05</v>
      </c>
      <c r="BP1163">
        <v>7.33</v>
      </c>
      <c r="BQ1163">
        <v>140.58000000000001</v>
      </c>
      <c r="BR1163">
        <v>5.35</v>
      </c>
      <c r="BS1163">
        <v>65.91</v>
      </c>
      <c r="BT1163">
        <v>0</v>
      </c>
      <c r="BU1163">
        <v>1.64</v>
      </c>
      <c r="BV1163">
        <v>9.1300000000000008</v>
      </c>
      <c r="BW1163">
        <v>0</v>
      </c>
      <c r="BX1163">
        <v>92.14</v>
      </c>
      <c r="BY1163">
        <v>0</v>
      </c>
      <c r="BZ1163">
        <v>0</v>
      </c>
      <c r="CA1163" t="s">
        <v>120</v>
      </c>
      <c r="CB1163">
        <v>60.67</v>
      </c>
      <c r="CC1163">
        <v>14.61</v>
      </c>
      <c r="CD1163">
        <v>0</v>
      </c>
      <c r="CE1163">
        <v>4.6100000000000003</v>
      </c>
      <c r="CF1163">
        <v>5.79</v>
      </c>
      <c r="CG1163">
        <v>4.6500000000000004</v>
      </c>
      <c r="CH1163">
        <v>3.9</v>
      </c>
      <c r="CI1163">
        <v>3.52</v>
      </c>
      <c r="CJ1163">
        <v>-0.16</v>
      </c>
      <c r="CK1163">
        <v>3.47</v>
      </c>
      <c r="CL1163">
        <v>22.67</v>
      </c>
      <c r="CM1163">
        <v>8.98</v>
      </c>
      <c r="CN1163">
        <v>4.1399999999999997</v>
      </c>
      <c r="CO1163">
        <v>267851</v>
      </c>
      <c r="CP1163">
        <v>12479</v>
      </c>
      <c r="CQ1163" t="s">
        <v>6457</v>
      </c>
      <c r="CR1163">
        <v>-16.68</v>
      </c>
      <c r="CS1163">
        <v>2.89</v>
      </c>
      <c r="CT1163">
        <v>2.19</v>
      </c>
      <c r="CU1163">
        <v>34.369999999999997</v>
      </c>
      <c r="CV1163">
        <v>21.11</v>
      </c>
      <c r="CW1163">
        <v>0.53</v>
      </c>
      <c r="CX1163" t="s">
        <v>535</v>
      </c>
      <c r="CY1163">
        <v>3.35</v>
      </c>
      <c r="CZ1163">
        <v>0</v>
      </c>
      <c r="DA1163">
        <v>1.44</v>
      </c>
      <c r="DB1163">
        <v>0.54</v>
      </c>
      <c r="DC1163">
        <v>0.21</v>
      </c>
      <c r="DD1163">
        <v>32.840000000000003</v>
      </c>
      <c r="DE1163" t="s">
        <v>6094</v>
      </c>
      <c r="DF1163" t="s">
        <v>120</v>
      </c>
      <c r="DG1163">
        <v>31.56</v>
      </c>
      <c r="DH1163">
        <v>24.08</v>
      </c>
      <c r="DI1163" t="s">
        <v>120</v>
      </c>
      <c r="DJ1163">
        <v>3322</v>
      </c>
      <c r="DK1163">
        <v>2797</v>
      </c>
      <c r="DL1163" t="s">
        <v>120</v>
      </c>
      <c r="DM1163" t="s">
        <v>120</v>
      </c>
      <c r="DN1163" t="s">
        <v>120</v>
      </c>
    </row>
    <row r="1164" spans="1:118">
      <c r="A1164" t="str">
        <f>"002798"</f>
        <v>002798</v>
      </c>
      <c r="B1164" t="s">
        <v>6458</v>
      </c>
      <c r="C1164">
        <v>-3.7</v>
      </c>
      <c r="D1164">
        <v>0</v>
      </c>
      <c r="E1164">
        <v>-1.47</v>
      </c>
      <c r="F1164">
        <v>889</v>
      </c>
      <c r="G1164" t="s">
        <v>6459</v>
      </c>
      <c r="H1164">
        <v>8563.82</v>
      </c>
      <c r="I1164">
        <v>349.5</v>
      </c>
      <c r="J1164" t="s">
        <v>120</v>
      </c>
      <c r="K1164" t="s">
        <v>4200</v>
      </c>
      <c r="L1164">
        <v>2.7</v>
      </c>
      <c r="M1164">
        <v>13.79</v>
      </c>
      <c r="N1164">
        <v>0.96</v>
      </c>
      <c r="O1164">
        <v>-0.14000000000000001</v>
      </c>
      <c r="P1164">
        <v>14.3</v>
      </c>
      <c r="Q1164">
        <v>-4.26</v>
      </c>
      <c r="R1164">
        <v>13.71</v>
      </c>
      <c r="S1164">
        <v>14.11</v>
      </c>
      <c r="T1164">
        <v>61136</v>
      </c>
      <c r="U1164">
        <v>13.79</v>
      </c>
      <c r="V1164">
        <v>14.32</v>
      </c>
      <c r="W1164">
        <v>9.7799999999999994</v>
      </c>
      <c r="X1164" t="s">
        <v>2409</v>
      </c>
      <c r="Y1164" t="s">
        <v>578</v>
      </c>
      <c r="Z1164">
        <v>4.12</v>
      </c>
      <c r="AA1164">
        <v>14.01</v>
      </c>
      <c r="AB1164">
        <v>36863</v>
      </c>
      <c r="AC1164">
        <v>24273</v>
      </c>
      <c r="AD1164">
        <v>1.52</v>
      </c>
      <c r="AE1164">
        <v>29</v>
      </c>
      <c r="AF1164">
        <v>10</v>
      </c>
      <c r="AG1164" t="s">
        <v>120</v>
      </c>
      <c r="AH1164">
        <v>0.13</v>
      </c>
      <c r="AI1164" t="s">
        <v>120</v>
      </c>
      <c r="AJ1164">
        <v>2.2599999999999998</v>
      </c>
      <c r="AK1164" t="s">
        <v>6460</v>
      </c>
      <c r="AL1164">
        <v>-1.79</v>
      </c>
      <c r="AM1164">
        <v>2206</v>
      </c>
      <c r="AN1164">
        <v>28</v>
      </c>
      <c r="AO1164">
        <v>1.1999999999999999E-3</v>
      </c>
      <c r="AP1164">
        <v>-1</v>
      </c>
      <c r="AQ1164">
        <v>1.34</v>
      </c>
      <c r="AR1164">
        <v>-4.9000000000000004</v>
      </c>
      <c r="AS1164">
        <v>5.0199999999999996</v>
      </c>
      <c r="AT1164">
        <v>-14.29</v>
      </c>
      <c r="AU1164">
        <v>-32.07</v>
      </c>
      <c r="AV1164">
        <v>1</v>
      </c>
      <c r="AW1164">
        <v>3.29</v>
      </c>
      <c r="AX1164">
        <v>48.03</v>
      </c>
      <c r="AY1164">
        <v>9.43</v>
      </c>
      <c r="AZ1164">
        <v>9.7799999999999994</v>
      </c>
      <c r="BA1164">
        <v>0.35</v>
      </c>
      <c r="BB1164" t="s">
        <v>143</v>
      </c>
      <c r="BF1164">
        <v>-2.1800000000000002</v>
      </c>
      <c r="BG1164">
        <v>-2.27</v>
      </c>
      <c r="BH1164">
        <v>-3.57</v>
      </c>
      <c r="BI1164">
        <v>0.57999999999999996</v>
      </c>
      <c r="BJ1164">
        <v>20210915</v>
      </c>
      <c r="BK1164">
        <v>20160525</v>
      </c>
      <c r="BL1164">
        <v>3.87</v>
      </c>
      <c r="BM1164" t="s">
        <v>120</v>
      </c>
      <c r="BN1164" t="s">
        <v>120</v>
      </c>
      <c r="BO1164">
        <v>95.84</v>
      </c>
      <c r="BP1164">
        <v>13.78</v>
      </c>
      <c r="BQ1164">
        <v>44.66</v>
      </c>
      <c r="BR1164">
        <v>-7.0000000000000007E-2</v>
      </c>
      <c r="BS1164">
        <v>53.48</v>
      </c>
      <c r="BT1164">
        <v>60.73</v>
      </c>
      <c r="BU1164">
        <v>18.7</v>
      </c>
      <c r="BV1164">
        <v>7.66</v>
      </c>
      <c r="BW1164">
        <v>44.84</v>
      </c>
      <c r="BX1164">
        <v>6.64</v>
      </c>
      <c r="BY1164">
        <v>8.73</v>
      </c>
      <c r="BZ1164">
        <v>35.11</v>
      </c>
      <c r="CA1164" t="s">
        <v>120</v>
      </c>
      <c r="CB1164">
        <v>23.21</v>
      </c>
      <c r="CC1164">
        <v>31.3</v>
      </c>
      <c r="CD1164">
        <v>22.18</v>
      </c>
      <c r="CE1164">
        <v>3.02</v>
      </c>
      <c r="CF1164">
        <v>0</v>
      </c>
      <c r="CG1164">
        <v>2.99</v>
      </c>
      <c r="CH1164">
        <v>2.7</v>
      </c>
      <c r="CI1164">
        <v>2.73</v>
      </c>
      <c r="CJ1164">
        <v>-0.53</v>
      </c>
      <c r="CK1164">
        <v>2.62</v>
      </c>
      <c r="CL1164">
        <v>17.64</v>
      </c>
      <c r="CM1164">
        <v>-0.6</v>
      </c>
      <c r="CN1164">
        <v>-1.65</v>
      </c>
      <c r="CO1164">
        <v>28612</v>
      </c>
      <c r="CP1164">
        <v>6494</v>
      </c>
      <c r="CQ1164" t="s">
        <v>4666</v>
      </c>
      <c r="CR1164">
        <v>8.19</v>
      </c>
      <c r="CS1164">
        <v>15.7</v>
      </c>
      <c r="CT1164">
        <v>1.19</v>
      </c>
      <c r="CU1164">
        <v>-89.05</v>
      </c>
      <c r="CV1164">
        <v>1.7</v>
      </c>
      <c r="CW1164">
        <v>1.4</v>
      </c>
      <c r="CX1164" t="s">
        <v>3301</v>
      </c>
      <c r="CY1164">
        <v>11.54</v>
      </c>
      <c r="CZ1164">
        <v>0</v>
      </c>
      <c r="DA1164">
        <v>6</v>
      </c>
      <c r="DB1164">
        <v>4.5599999999999996</v>
      </c>
      <c r="DC1164">
        <v>-0.15</v>
      </c>
      <c r="DD1164">
        <v>46.6</v>
      </c>
      <c r="DE1164" t="s">
        <v>6461</v>
      </c>
      <c r="DF1164">
        <v>29.14</v>
      </c>
      <c r="DG1164">
        <v>9.66</v>
      </c>
      <c r="DH1164">
        <v>8.7100000000000009</v>
      </c>
      <c r="DI1164">
        <v>1.1499999999999999</v>
      </c>
      <c r="DJ1164">
        <v>6530</v>
      </c>
      <c r="DK1164">
        <v>2798</v>
      </c>
      <c r="DL1164" t="s">
        <v>120</v>
      </c>
      <c r="DM1164" t="s">
        <v>120</v>
      </c>
      <c r="DN1164" t="s">
        <v>120</v>
      </c>
    </row>
    <row r="1165" spans="1:118">
      <c r="A1165" t="str">
        <f>"002799"</f>
        <v>002799</v>
      </c>
      <c r="B1165" t="s">
        <v>6462</v>
      </c>
      <c r="C1165">
        <v>-0.22</v>
      </c>
      <c r="D1165">
        <v>0.37</v>
      </c>
      <c r="E1165">
        <v>-0.44</v>
      </c>
      <c r="F1165">
        <v>604</v>
      </c>
      <c r="G1165" t="s">
        <v>6463</v>
      </c>
      <c r="H1165">
        <v>3566.13</v>
      </c>
      <c r="I1165">
        <v>14.55</v>
      </c>
      <c r="J1165" t="s">
        <v>120</v>
      </c>
      <c r="K1165" t="s">
        <v>6464</v>
      </c>
      <c r="L1165">
        <v>1.04</v>
      </c>
      <c r="M1165">
        <v>13.5</v>
      </c>
      <c r="N1165">
        <v>0.71</v>
      </c>
      <c r="O1165">
        <v>1.7</v>
      </c>
      <c r="P1165">
        <v>13.76</v>
      </c>
      <c r="Q1165">
        <v>-1.33</v>
      </c>
      <c r="R1165">
        <v>13.35</v>
      </c>
      <c r="S1165">
        <v>13.47</v>
      </c>
      <c r="T1165">
        <v>26240</v>
      </c>
      <c r="U1165">
        <v>13.53</v>
      </c>
      <c r="V1165">
        <v>13.53</v>
      </c>
      <c r="W1165">
        <v>23.06</v>
      </c>
      <c r="X1165" t="s">
        <v>339</v>
      </c>
      <c r="Y1165" t="s">
        <v>890</v>
      </c>
      <c r="Z1165">
        <v>3.03</v>
      </c>
      <c r="AA1165">
        <v>13.59</v>
      </c>
      <c r="AB1165">
        <v>14698</v>
      </c>
      <c r="AC1165">
        <v>11542</v>
      </c>
      <c r="AD1165">
        <v>1.27</v>
      </c>
      <c r="AE1165">
        <v>7</v>
      </c>
      <c r="AF1165">
        <v>47</v>
      </c>
      <c r="AG1165" t="s">
        <v>120</v>
      </c>
      <c r="AH1165">
        <v>0.01</v>
      </c>
      <c r="AI1165" t="s">
        <v>120</v>
      </c>
      <c r="AJ1165">
        <v>2.52</v>
      </c>
      <c r="AK1165" t="s">
        <v>6464</v>
      </c>
      <c r="AL1165">
        <v>1.69</v>
      </c>
      <c r="AM1165">
        <v>1550</v>
      </c>
      <c r="AN1165">
        <v>17</v>
      </c>
      <c r="AO1165">
        <v>6.9999999999999999E-4</v>
      </c>
      <c r="AP1165">
        <v>-2</v>
      </c>
      <c r="AQ1165">
        <v>-2.8</v>
      </c>
      <c r="AR1165">
        <v>-2.88</v>
      </c>
      <c r="AS1165">
        <v>0.08</v>
      </c>
      <c r="AT1165">
        <v>-0.95</v>
      </c>
      <c r="AU1165">
        <v>-9.61</v>
      </c>
      <c r="AV1165">
        <v>3</v>
      </c>
      <c r="AW1165">
        <v>2.77</v>
      </c>
      <c r="AX1165">
        <v>37.6</v>
      </c>
      <c r="AY1165">
        <v>25.51</v>
      </c>
      <c r="AZ1165">
        <v>33.659999999999997</v>
      </c>
      <c r="BA1165">
        <v>0.3</v>
      </c>
      <c r="BB1165" t="s">
        <v>2411</v>
      </c>
      <c r="BF1165">
        <v>0.45</v>
      </c>
      <c r="BG1165">
        <v>0.22</v>
      </c>
      <c r="BH1165">
        <v>-1.89</v>
      </c>
      <c r="BI1165">
        <v>1.1200000000000001</v>
      </c>
      <c r="BJ1165">
        <v>20210823</v>
      </c>
      <c r="BK1165">
        <v>20160608</v>
      </c>
      <c r="BL1165">
        <v>2.52</v>
      </c>
      <c r="BM1165" t="s">
        <v>120</v>
      </c>
      <c r="BN1165" t="s">
        <v>120</v>
      </c>
      <c r="BO1165">
        <v>16.41</v>
      </c>
      <c r="BP1165">
        <v>13.5</v>
      </c>
      <c r="BQ1165">
        <v>7.26</v>
      </c>
      <c r="BR1165">
        <v>0.81</v>
      </c>
      <c r="BS1165">
        <v>50.87</v>
      </c>
      <c r="BT1165">
        <v>9.94</v>
      </c>
      <c r="BU1165">
        <v>2.5299999999999998</v>
      </c>
      <c r="BV1165">
        <v>0.28999999999999998</v>
      </c>
      <c r="BW1165">
        <v>7.55</v>
      </c>
      <c r="BX1165">
        <v>2.83</v>
      </c>
      <c r="BY1165">
        <v>1.18</v>
      </c>
      <c r="BZ1165">
        <v>3.39</v>
      </c>
      <c r="CA1165" t="s">
        <v>120</v>
      </c>
      <c r="CB1165">
        <v>0.48</v>
      </c>
      <c r="CC1165">
        <v>16.25</v>
      </c>
      <c r="CD1165">
        <v>14.15</v>
      </c>
      <c r="CE1165">
        <v>1.01</v>
      </c>
      <c r="CF1165">
        <v>0.08</v>
      </c>
      <c r="CG1165">
        <v>1.01</v>
      </c>
      <c r="CH1165">
        <v>0.88</v>
      </c>
      <c r="CI1165">
        <v>0.74</v>
      </c>
      <c r="CJ1165">
        <v>-0.03</v>
      </c>
      <c r="CK1165">
        <v>0.67</v>
      </c>
      <c r="CL1165">
        <v>3.86</v>
      </c>
      <c r="CM1165">
        <v>0.01</v>
      </c>
      <c r="CN1165">
        <v>-0.32</v>
      </c>
      <c r="CO1165">
        <v>14390</v>
      </c>
      <c r="CP1165">
        <v>6584</v>
      </c>
      <c r="CQ1165" t="s">
        <v>3553</v>
      </c>
      <c r="CR1165">
        <v>78.17</v>
      </c>
      <c r="CS1165">
        <v>91.96</v>
      </c>
      <c r="CT1165">
        <v>4.6900000000000004</v>
      </c>
      <c r="CU1165">
        <v>3521.01</v>
      </c>
      <c r="CV1165">
        <v>2.09</v>
      </c>
      <c r="CW1165">
        <v>0.42</v>
      </c>
      <c r="CX1165" t="s">
        <v>293</v>
      </c>
      <c r="CY1165">
        <v>2.88</v>
      </c>
      <c r="CZ1165">
        <v>0</v>
      </c>
      <c r="DA1165">
        <v>0.19</v>
      </c>
      <c r="DB1165">
        <v>1.53</v>
      </c>
      <c r="DC1165">
        <v>0</v>
      </c>
      <c r="DD1165">
        <v>44.22</v>
      </c>
      <c r="DE1165" t="s">
        <v>6465</v>
      </c>
      <c r="DF1165">
        <v>12.93</v>
      </c>
      <c r="DG1165">
        <v>6.21</v>
      </c>
      <c r="DH1165">
        <v>4.54</v>
      </c>
      <c r="DI1165">
        <v>0.63</v>
      </c>
      <c r="DJ1165">
        <v>1194</v>
      </c>
      <c r="DK1165">
        <v>2799</v>
      </c>
      <c r="DL1165" t="s">
        <v>120</v>
      </c>
      <c r="DM1165" t="s">
        <v>120</v>
      </c>
      <c r="DN1165" t="s">
        <v>120</v>
      </c>
    </row>
    <row r="1166" spans="1:118">
      <c r="A1166" t="str">
        <f>"002800"</f>
        <v>002800</v>
      </c>
      <c r="B1166" t="s">
        <v>6466</v>
      </c>
      <c r="C1166">
        <v>0.88</v>
      </c>
      <c r="D1166">
        <v>0</v>
      </c>
      <c r="E1166">
        <v>7.0000000000000007E-2</v>
      </c>
      <c r="F1166">
        <v>280</v>
      </c>
      <c r="G1166" t="s">
        <v>6467</v>
      </c>
      <c r="H1166">
        <v>2963.69</v>
      </c>
      <c r="I1166">
        <v>2.1800000000000002</v>
      </c>
      <c r="J1166" t="s">
        <v>120</v>
      </c>
      <c r="K1166" t="s">
        <v>6468</v>
      </c>
      <c r="L1166">
        <v>2.13</v>
      </c>
      <c r="M1166">
        <v>13.71</v>
      </c>
      <c r="N1166">
        <v>2.23</v>
      </c>
      <c r="O1166">
        <v>3.75</v>
      </c>
      <c r="P1166">
        <v>14.1</v>
      </c>
      <c r="Q1166">
        <v>-0.66</v>
      </c>
      <c r="R1166">
        <v>13.5</v>
      </c>
      <c r="S1166">
        <v>13.6</v>
      </c>
      <c r="T1166">
        <v>21377</v>
      </c>
      <c r="U1166">
        <v>13.72</v>
      </c>
      <c r="V1166">
        <v>13.59</v>
      </c>
      <c r="W1166">
        <v>43.7</v>
      </c>
      <c r="X1166" t="s">
        <v>2775</v>
      </c>
      <c r="Y1166" t="s">
        <v>609</v>
      </c>
      <c r="Z1166">
        <v>4.42</v>
      </c>
      <c r="AA1166">
        <v>13.86</v>
      </c>
      <c r="AB1166">
        <v>10129</v>
      </c>
      <c r="AC1166">
        <v>11248</v>
      </c>
      <c r="AD1166">
        <v>0.9</v>
      </c>
      <c r="AE1166">
        <v>105</v>
      </c>
      <c r="AF1166">
        <v>13</v>
      </c>
      <c r="AG1166" t="s">
        <v>120</v>
      </c>
      <c r="AH1166">
        <v>0</v>
      </c>
      <c r="AI1166" t="s">
        <v>120</v>
      </c>
      <c r="AJ1166">
        <v>1</v>
      </c>
      <c r="AK1166" t="s">
        <v>4204</v>
      </c>
      <c r="AL1166">
        <v>2.8</v>
      </c>
      <c r="AM1166">
        <v>1312</v>
      </c>
      <c r="AN1166">
        <v>16</v>
      </c>
      <c r="AO1166">
        <v>1.6000000000000001E-3</v>
      </c>
      <c r="AP1166">
        <v>2</v>
      </c>
      <c r="AQ1166">
        <v>0.89</v>
      </c>
      <c r="AR1166">
        <v>-0.22</v>
      </c>
      <c r="AS1166">
        <v>7.61</v>
      </c>
      <c r="AT1166">
        <v>4.0999999999999996</v>
      </c>
      <c r="AU1166">
        <v>0.28000000000000003</v>
      </c>
      <c r="AV1166">
        <v>1</v>
      </c>
      <c r="AW1166">
        <v>4.0999999999999996</v>
      </c>
      <c r="AX1166">
        <v>49.83</v>
      </c>
      <c r="AY1166">
        <v>41.26</v>
      </c>
      <c r="AZ1166">
        <v>48.49</v>
      </c>
      <c r="BA1166">
        <v>0.28999999999999998</v>
      </c>
      <c r="BB1166" t="s">
        <v>143</v>
      </c>
      <c r="BF1166">
        <v>2.02</v>
      </c>
      <c r="BG1166">
        <v>0.81</v>
      </c>
      <c r="BH1166">
        <v>-2.77</v>
      </c>
      <c r="BI1166">
        <v>1.56</v>
      </c>
      <c r="BJ1166">
        <v>20210913</v>
      </c>
      <c r="BK1166">
        <v>20160530</v>
      </c>
      <c r="BL1166">
        <v>1.05</v>
      </c>
      <c r="BM1166" t="s">
        <v>120</v>
      </c>
      <c r="BN1166" t="s">
        <v>120</v>
      </c>
      <c r="BO1166">
        <v>9.77</v>
      </c>
      <c r="BP1166">
        <v>13.71</v>
      </c>
      <c r="BQ1166">
        <v>4.97</v>
      </c>
      <c r="BR1166">
        <v>0.1</v>
      </c>
      <c r="BS1166">
        <v>48.17</v>
      </c>
      <c r="BT1166">
        <v>8.07</v>
      </c>
      <c r="BU1166">
        <v>0.38</v>
      </c>
      <c r="BV1166">
        <v>0.02</v>
      </c>
      <c r="BW1166">
        <v>4.3</v>
      </c>
      <c r="BX1166">
        <v>1.2</v>
      </c>
      <c r="BY1166">
        <v>1.08</v>
      </c>
      <c r="BZ1166">
        <v>2.72</v>
      </c>
      <c r="CA1166">
        <v>0.03</v>
      </c>
      <c r="CB1166">
        <v>1.23</v>
      </c>
      <c r="CC1166">
        <v>5.24</v>
      </c>
      <c r="CD1166">
        <v>4.76</v>
      </c>
      <c r="CE1166">
        <v>0.18</v>
      </c>
      <c r="CF1166">
        <v>-0.02</v>
      </c>
      <c r="CG1166">
        <v>0.19</v>
      </c>
      <c r="CH1166">
        <v>0.16</v>
      </c>
      <c r="CI1166">
        <v>0.16</v>
      </c>
      <c r="CJ1166">
        <v>0.12</v>
      </c>
      <c r="CK1166">
        <v>0.16</v>
      </c>
      <c r="CL1166">
        <v>2.44</v>
      </c>
      <c r="CM1166">
        <v>-0.21</v>
      </c>
      <c r="CN1166">
        <v>-0.1</v>
      </c>
      <c r="CO1166">
        <v>11555</v>
      </c>
      <c r="CP1166">
        <v>4509</v>
      </c>
      <c r="CQ1166" t="s">
        <v>6469</v>
      </c>
      <c r="CR1166">
        <v>45.63</v>
      </c>
      <c r="CS1166">
        <v>-13.02</v>
      </c>
      <c r="CT1166">
        <v>2.89</v>
      </c>
      <c r="CU1166">
        <v>-67.8</v>
      </c>
      <c r="CV1166">
        <v>2.73</v>
      </c>
      <c r="CW1166">
        <v>0.42</v>
      </c>
      <c r="CX1166" t="s">
        <v>745</v>
      </c>
      <c r="CY1166">
        <v>4.75</v>
      </c>
      <c r="CZ1166">
        <v>0</v>
      </c>
      <c r="DA1166">
        <v>1.18</v>
      </c>
      <c r="DB1166">
        <v>2.34</v>
      </c>
      <c r="DC1166">
        <v>-0.2</v>
      </c>
      <c r="DD1166">
        <v>50.84</v>
      </c>
      <c r="DE1166" t="s">
        <v>6470</v>
      </c>
      <c r="DF1166">
        <v>9.19</v>
      </c>
      <c r="DG1166">
        <v>3.52</v>
      </c>
      <c r="DH1166">
        <v>3.13</v>
      </c>
      <c r="DI1166">
        <v>0</v>
      </c>
      <c r="DJ1166">
        <v>186</v>
      </c>
      <c r="DK1166">
        <v>2800</v>
      </c>
      <c r="DL1166" t="s">
        <v>120</v>
      </c>
      <c r="DM1166" t="s">
        <v>120</v>
      </c>
      <c r="DN1166" t="s">
        <v>120</v>
      </c>
    </row>
    <row r="1167" spans="1:118">
      <c r="A1167" t="str">
        <f>"002801"</f>
        <v>002801</v>
      </c>
      <c r="B1167" t="s">
        <v>6471</v>
      </c>
      <c r="C1167">
        <v>0.23</v>
      </c>
      <c r="D1167">
        <v>0.11</v>
      </c>
      <c r="E1167">
        <v>0.11</v>
      </c>
      <c r="F1167">
        <v>245</v>
      </c>
      <c r="G1167" t="s">
        <v>929</v>
      </c>
      <c r="H1167">
        <v>3064.4</v>
      </c>
      <c r="I1167">
        <v>2.2999999999999998</v>
      </c>
      <c r="J1167" t="s">
        <v>120</v>
      </c>
      <c r="K1167" t="s">
        <v>6472</v>
      </c>
      <c r="L1167">
        <v>1.52</v>
      </c>
      <c r="M1167">
        <v>17.68</v>
      </c>
      <c r="N1167">
        <v>0.89</v>
      </c>
      <c r="O1167">
        <v>2.61</v>
      </c>
      <c r="P1167">
        <v>18.100000000000001</v>
      </c>
      <c r="Q1167">
        <v>-0.45</v>
      </c>
      <c r="R1167">
        <v>17.559999999999999</v>
      </c>
      <c r="S1167">
        <v>17.66</v>
      </c>
      <c r="T1167">
        <v>17234</v>
      </c>
      <c r="U1167">
        <v>17.690000000000001</v>
      </c>
      <c r="V1167">
        <v>17.64</v>
      </c>
      <c r="W1167">
        <v>19.71</v>
      </c>
      <c r="X1167" t="s">
        <v>394</v>
      </c>
      <c r="Y1167" t="s">
        <v>585</v>
      </c>
      <c r="Z1167">
        <v>3.06</v>
      </c>
      <c r="AA1167">
        <v>17.78</v>
      </c>
      <c r="AB1167">
        <v>9343</v>
      </c>
      <c r="AC1167">
        <v>7891</v>
      </c>
      <c r="AD1167">
        <v>1.18</v>
      </c>
      <c r="AE1167">
        <v>259</v>
      </c>
      <c r="AF1167">
        <v>228</v>
      </c>
      <c r="AG1167" t="s">
        <v>120</v>
      </c>
      <c r="AH1167">
        <v>0</v>
      </c>
      <c r="AI1167" t="s">
        <v>120</v>
      </c>
      <c r="AJ1167">
        <v>1.1299999999999999</v>
      </c>
      <c r="AK1167" t="s">
        <v>6473</v>
      </c>
      <c r="AL1167">
        <v>2.14</v>
      </c>
      <c r="AM1167">
        <v>1219</v>
      </c>
      <c r="AN1167">
        <v>14</v>
      </c>
      <c r="AO1167">
        <v>1.1999999999999999E-3</v>
      </c>
      <c r="AP1167">
        <v>1</v>
      </c>
      <c r="AQ1167">
        <v>-1.4</v>
      </c>
      <c r="AR1167">
        <v>-1.5</v>
      </c>
      <c r="AS1167">
        <v>-5.66</v>
      </c>
      <c r="AT1167">
        <v>-34.76</v>
      </c>
      <c r="AU1167">
        <v>-24.91</v>
      </c>
      <c r="AV1167">
        <v>0</v>
      </c>
      <c r="AW1167">
        <v>2.5299999999999998</v>
      </c>
      <c r="AX1167">
        <v>29.69</v>
      </c>
      <c r="AY1167">
        <v>20.23</v>
      </c>
      <c r="AZ1167">
        <v>20.94</v>
      </c>
      <c r="BA1167">
        <v>0.55000000000000004</v>
      </c>
      <c r="BB1167" t="s">
        <v>134</v>
      </c>
      <c r="BF1167">
        <v>0.8</v>
      </c>
      <c r="BG1167">
        <v>0.11</v>
      </c>
      <c r="BH1167">
        <v>-2.3199999999999998</v>
      </c>
      <c r="BI1167">
        <v>0.68</v>
      </c>
      <c r="BJ1167">
        <v>20210902</v>
      </c>
      <c r="BK1167">
        <v>20160622</v>
      </c>
      <c r="BL1167">
        <v>2.2999999999999998</v>
      </c>
      <c r="BM1167" t="s">
        <v>120</v>
      </c>
      <c r="BN1167" t="s">
        <v>120</v>
      </c>
      <c r="BO1167">
        <v>14.34</v>
      </c>
      <c r="BP1167">
        <v>17.68</v>
      </c>
      <c r="BQ1167">
        <v>12.31</v>
      </c>
      <c r="BR1167" t="s">
        <v>120</v>
      </c>
      <c r="BS1167">
        <v>14.15</v>
      </c>
      <c r="BT1167">
        <v>12.08</v>
      </c>
      <c r="BU1167">
        <v>1.65</v>
      </c>
      <c r="BV1167">
        <v>0.38</v>
      </c>
      <c r="BW1167">
        <v>1.97</v>
      </c>
      <c r="BX1167">
        <v>0.5</v>
      </c>
      <c r="BY1167">
        <v>1.19</v>
      </c>
      <c r="BZ1167">
        <v>2.2200000000000002</v>
      </c>
      <c r="CA1167" t="s">
        <v>120</v>
      </c>
      <c r="CB1167">
        <v>1.1499999999999999</v>
      </c>
      <c r="CC1167">
        <v>5.24</v>
      </c>
      <c r="CD1167">
        <v>3.83</v>
      </c>
      <c r="CE1167">
        <v>1.19</v>
      </c>
      <c r="CF1167">
        <v>0.2</v>
      </c>
      <c r="CG1167">
        <v>1.19</v>
      </c>
      <c r="CH1167">
        <v>1.03</v>
      </c>
      <c r="CI1167">
        <v>1.03</v>
      </c>
      <c r="CJ1167">
        <v>0.04</v>
      </c>
      <c r="CK1167">
        <v>0.85</v>
      </c>
      <c r="CL1167">
        <v>7.85</v>
      </c>
      <c r="CM1167">
        <v>0.3</v>
      </c>
      <c r="CN1167">
        <v>-1.03</v>
      </c>
      <c r="CO1167">
        <v>13394</v>
      </c>
      <c r="CP1167">
        <v>5090</v>
      </c>
      <c r="CQ1167" t="s">
        <v>6474</v>
      </c>
      <c r="CR1167">
        <v>7.1</v>
      </c>
      <c r="CS1167">
        <v>45.95</v>
      </c>
      <c r="CT1167">
        <v>3.3</v>
      </c>
      <c r="CU1167">
        <v>136.81</v>
      </c>
      <c r="CV1167">
        <v>7.74</v>
      </c>
      <c r="CW1167">
        <v>2.27</v>
      </c>
      <c r="CX1167" t="s">
        <v>1520</v>
      </c>
      <c r="CY1167">
        <v>5.36</v>
      </c>
      <c r="CZ1167">
        <v>0</v>
      </c>
      <c r="DA1167">
        <v>0.5</v>
      </c>
      <c r="DB1167">
        <v>3.42</v>
      </c>
      <c r="DC1167">
        <v>0.13</v>
      </c>
      <c r="DD1167">
        <v>85.85</v>
      </c>
      <c r="DE1167" t="s">
        <v>6475</v>
      </c>
      <c r="DF1167">
        <v>27.01</v>
      </c>
      <c r="DG1167">
        <v>22.76</v>
      </c>
      <c r="DH1167">
        <v>19.64</v>
      </c>
      <c r="DI1167">
        <v>0.15</v>
      </c>
      <c r="DJ1167">
        <v>729</v>
      </c>
      <c r="DK1167">
        <v>2801</v>
      </c>
      <c r="DL1167" t="s">
        <v>120</v>
      </c>
      <c r="DM1167" t="s">
        <v>120</v>
      </c>
      <c r="DN1167" t="s">
        <v>120</v>
      </c>
    </row>
    <row r="1168" spans="1:118">
      <c r="A1168" t="str">
        <f>"002802"</f>
        <v>002802</v>
      </c>
      <c r="B1168" t="s">
        <v>6476</v>
      </c>
      <c r="C1168">
        <v>3.18</v>
      </c>
      <c r="D1168">
        <v>0.04</v>
      </c>
      <c r="E1168">
        <v>-0.13</v>
      </c>
      <c r="F1168">
        <v>233</v>
      </c>
      <c r="G1168" t="s">
        <v>2507</v>
      </c>
      <c r="H1168">
        <v>5863.24</v>
      </c>
      <c r="I1168">
        <v>0</v>
      </c>
      <c r="J1168" t="s">
        <v>120</v>
      </c>
      <c r="K1168" t="s">
        <v>1685</v>
      </c>
      <c r="L1168">
        <v>2.33</v>
      </c>
      <c r="M1168">
        <v>23.72</v>
      </c>
      <c r="N1168">
        <v>2.4</v>
      </c>
      <c r="O1168">
        <v>4.3499999999999996</v>
      </c>
      <c r="P1168">
        <v>23.99</v>
      </c>
      <c r="Q1168">
        <v>-0.26</v>
      </c>
      <c r="R1168">
        <v>22.93</v>
      </c>
      <c r="S1168">
        <v>22.96</v>
      </c>
      <c r="T1168">
        <v>24800</v>
      </c>
      <c r="U1168">
        <v>23.74</v>
      </c>
      <c r="V1168">
        <v>22.99</v>
      </c>
      <c r="W1168">
        <v>31.44</v>
      </c>
      <c r="X1168" t="s">
        <v>868</v>
      </c>
      <c r="Y1168" t="s">
        <v>319</v>
      </c>
      <c r="Z1168">
        <v>4.6100000000000003</v>
      </c>
      <c r="AA1168">
        <v>23.64</v>
      </c>
      <c r="AB1168">
        <v>11414</v>
      </c>
      <c r="AC1168">
        <v>13386</v>
      </c>
      <c r="AD1168">
        <v>0.85</v>
      </c>
      <c r="AE1168">
        <v>42</v>
      </c>
      <c r="AF1168">
        <v>58</v>
      </c>
      <c r="AG1168" t="s">
        <v>120</v>
      </c>
      <c r="AH1168">
        <v>0</v>
      </c>
      <c r="AI1168" t="s">
        <v>120</v>
      </c>
      <c r="AJ1168">
        <v>1.06</v>
      </c>
      <c r="AK1168" t="s">
        <v>1764</v>
      </c>
      <c r="AL1168">
        <v>5.09</v>
      </c>
      <c r="AM1168">
        <v>1513</v>
      </c>
      <c r="AN1168">
        <v>16</v>
      </c>
      <c r="AO1168">
        <v>1.5E-3</v>
      </c>
      <c r="AP1168">
        <v>1</v>
      </c>
      <c r="AQ1168">
        <v>-0.52</v>
      </c>
      <c r="AR1168">
        <v>3.08</v>
      </c>
      <c r="AS1168">
        <v>7.92</v>
      </c>
      <c r="AT1168">
        <v>-21.14</v>
      </c>
      <c r="AU1168">
        <v>0.21</v>
      </c>
      <c r="AV1168">
        <v>2</v>
      </c>
      <c r="AW1168">
        <v>5.1100000000000003</v>
      </c>
      <c r="AX1168">
        <v>44.99</v>
      </c>
      <c r="AY1168">
        <v>26.07</v>
      </c>
      <c r="AZ1168">
        <v>26.98</v>
      </c>
      <c r="BA1168">
        <v>1</v>
      </c>
      <c r="BB1168" t="s">
        <v>143</v>
      </c>
      <c r="BF1168">
        <v>2.84</v>
      </c>
      <c r="BG1168">
        <v>3.31</v>
      </c>
      <c r="BH1168">
        <v>-1.1299999999999999</v>
      </c>
      <c r="BI1168">
        <v>3.45</v>
      </c>
      <c r="BJ1168">
        <v>20210827</v>
      </c>
      <c r="BK1168">
        <v>20160629</v>
      </c>
      <c r="BL1168">
        <v>1.08</v>
      </c>
      <c r="BM1168" t="s">
        <v>120</v>
      </c>
      <c r="BN1168" t="s">
        <v>120</v>
      </c>
      <c r="BO1168">
        <v>6.8</v>
      </c>
      <c r="BP1168">
        <v>23.72</v>
      </c>
      <c r="BQ1168">
        <v>5.74</v>
      </c>
      <c r="BR1168">
        <v>0</v>
      </c>
      <c r="BS1168">
        <v>15.6</v>
      </c>
      <c r="BT1168">
        <v>4.71</v>
      </c>
      <c r="BU1168">
        <v>1.61</v>
      </c>
      <c r="BV1168">
        <v>0.39</v>
      </c>
      <c r="BW1168">
        <v>0.95</v>
      </c>
      <c r="BX1168">
        <v>0.55000000000000004</v>
      </c>
      <c r="BY1168">
        <v>0.4</v>
      </c>
      <c r="BZ1168">
        <v>1.23</v>
      </c>
      <c r="CA1168" t="s">
        <v>120</v>
      </c>
      <c r="CB1168">
        <v>2.4500000000000002</v>
      </c>
      <c r="CC1168">
        <v>3.71</v>
      </c>
      <c r="CD1168">
        <v>2.92</v>
      </c>
      <c r="CE1168">
        <v>0.48</v>
      </c>
      <c r="CF1168">
        <v>0.02</v>
      </c>
      <c r="CG1168">
        <v>0.48</v>
      </c>
      <c r="CH1168">
        <v>0.41</v>
      </c>
      <c r="CI1168">
        <v>0.41</v>
      </c>
      <c r="CJ1168">
        <v>0.73</v>
      </c>
      <c r="CK1168">
        <v>0.37</v>
      </c>
      <c r="CL1168">
        <v>2.19</v>
      </c>
      <c r="CM1168">
        <v>0.17</v>
      </c>
      <c r="CN1168">
        <v>0.04</v>
      </c>
      <c r="CO1168">
        <v>9274</v>
      </c>
      <c r="CP1168">
        <v>5233</v>
      </c>
      <c r="CQ1168" t="s">
        <v>6477</v>
      </c>
      <c r="CR1168">
        <v>8.58</v>
      </c>
      <c r="CS1168">
        <v>75.7</v>
      </c>
      <c r="CT1168">
        <v>4.46</v>
      </c>
      <c r="CU1168">
        <v>153.12</v>
      </c>
      <c r="CV1168">
        <v>6.9</v>
      </c>
      <c r="CW1168">
        <v>2.14</v>
      </c>
      <c r="CX1168" t="s">
        <v>2429</v>
      </c>
      <c r="CY1168">
        <v>5.32</v>
      </c>
      <c r="CZ1168">
        <v>0</v>
      </c>
      <c r="DA1168">
        <v>2.27</v>
      </c>
      <c r="DB1168">
        <v>2.0299999999999998</v>
      </c>
      <c r="DC1168">
        <v>0.15</v>
      </c>
      <c r="DD1168">
        <v>84.39</v>
      </c>
      <c r="DE1168" t="s">
        <v>6478</v>
      </c>
      <c r="DF1168">
        <v>21.22</v>
      </c>
      <c r="DG1168">
        <v>13</v>
      </c>
      <c r="DH1168">
        <v>10.97</v>
      </c>
      <c r="DI1168">
        <v>0.1</v>
      </c>
      <c r="DJ1168">
        <v>324</v>
      </c>
      <c r="DK1168">
        <v>2802</v>
      </c>
      <c r="DL1168" t="s">
        <v>120</v>
      </c>
      <c r="DM1168" t="s">
        <v>120</v>
      </c>
      <c r="DN1168" t="s">
        <v>120</v>
      </c>
    </row>
    <row r="1169" spans="1:118">
      <c r="A1169" t="str">
        <f>"002803"</f>
        <v>002803</v>
      </c>
      <c r="B1169" t="s">
        <v>6479</v>
      </c>
      <c r="C1169">
        <v>-0.87</v>
      </c>
      <c r="D1169">
        <v>-0.11</v>
      </c>
      <c r="E1169">
        <v>-0.12</v>
      </c>
      <c r="F1169">
        <v>985</v>
      </c>
      <c r="G1169" t="s">
        <v>5336</v>
      </c>
      <c r="H1169">
        <v>6630.22</v>
      </c>
      <c r="I1169">
        <v>17.75</v>
      </c>
      <c r="J1169" t="s">
        <v>120</v>
      </c>
      <c r="K1169" t="s">
        <v>4276</v>
      </c>
      <c r="L1169">
        <v>1.36</v>
      </c>
      <c r="M1169">
        <v>17.100000000000001</v>
      </c>
      <c r="N1169">
        <v>0.88</v>
      </c>
      <c r="O1169">
        <v>1.68</v>
      </c>
      <c r="P1169">
        <v>17.54</v>
      </c>
      <c r="Q1169">
        <v>-1.45</v>
      </c>
      <c r="R1169">
        <v>17</v>
      </c>
      <c r="S1169">
        <v>17.23</v>
      </c>
      <c r="T1169">
        <v>38441</v>
      </c>
      <c r="U1169">
        <v>17.11</v>
      </c>
      <c r="V1169">
        <v>17.25</v>
      </c>
      <c r="W1169">
        <v>18.25</v>
      </c>
      <c r="X1169" t="s">
        <v>1531</v>
      </c>
      <c r="Y1169" t="s">
        <v>937</v>
      </c>
      <c r="Z1169">
        <v>3.13</v>
      </c>
      <c r="AA1169">
        <v>17.25</v>
      </c>
      <c r="AB1169">
        <v>19155</v>
      </c>
      <c r="AC1169">
        <v>19286</v>
      </c>
      <c r="AD1169">
        <v>0.99</v>
      </c>
      <c r="AE1169">
        <v>212</v>
      </c>
      <c r="AF1169">
        <v>112</v>
      </c>
      <c r="AG1169" t="s">
        <v>120</v>
      </c>
      <c r="AH1169">
        <v>0.01</v>
      </c>
      <c r="AI1169" t="s">
        <v>120</v>
      </c>
      <c r="AJ1169">
        <v>2.84</v>
      </c>
      <c r="AK1169" t="s">
        <v>6480</v>
      </c>
      <c r="AL1169">
        <v>1.04</v>
      </c>
      <c r="AM1169">
        <v>1903</v>
      </c>
      <c r="AN1169">
        <v>20</v>
      </c>
      <c r="AO1169">
        <v>6.9999999999999999E-4</v>
      </c>
      <c r="AP1169">
        <v>-4</v>
      </c>
      <c r="AQ1169">
        <v>-1.48</v>
      </c>
      <c r="AR1169">
        <v>-3.17</v>
      </c>
      <c r="AS1169">
        <v>-10.19</v>
      </c>
      <c r="AT1169">
        <v>-37.659999999999997</v>
      </c>
      <c r="AU1169">
        <v>-46.8</v>
      </c>
      <c r="AV1169">
        <v>3</v>
      </c>
      <c r="AW1169">
        <v>2.04</v>
      </c>
      <c r="AX1169">
        <v>48.59</v>
      </c>
      <c r="AY1169">
        <v>13.86</v>
      </c>
      <c r="AZ1169">
        <v>11.96</v>
      </c>
      <c r="BA1169">
        <v>0.68</v>
      </c>
      <c r="BB1169" t="s">
        <v>134</v>
      </c>
      <c r="BF1169">
        <v>-0.01</v>
      </c>
      <c r="BG1169">
        <v>-0.75</v>
      </c>
      <c r="BH1169">
        <v>-2.5099999999999998</v>
      </c>
      <c r="BI1169">
        <v>0.59</v>
      </c>
      <c r="BJ1169">
        <v>20210903</v>
      </c>
      <c r="BK1169">
        <v>20160712</v>
      </c>
      <c r="BL1169">
        <v>3.87</v>
      </c>
      <c r="BM1169" t="s">
        <v>120</v>
      </c>
      <c r="BN1169" t="s">
        <v>120</v>
      </c>
      <c r="BO1169">
        <v>29.32</v>
      </c>
      <c r="BP1169">
        <v>17.100000000000001</v>
      </c>
      <c r="BQ1169">
        <v>19.2</v>
      </c>
      <c r="BR1169">
        <v>0.51</v>
      </c>
      <c r="BS1169">
        <v>32.76</v>
      </c>
      <c r="BT1169">
        <v>19.78</v>
      </c>
      <c r="BU1169">
        <v>6.02</v>
      </c>
      <c r="BV1169">
        <v>0.82</v>
      </c>
      <c r="BW1169">
        <v>8.3800000000000008</v>
      </c>
      <c r="BX1169">
        <v>8.6300000000000008</v>
      </c>
      <c r="BY1169">
        <v>3.45</v>
      </c>
      <c r="BZ1169">
        <v>4.6399999999999997</v>
      </c>
      <c r="CA1169" t="s">
        <v>120</v>
      </c>
      <c r="CB1169">
        <v>2.76</v>
      </c>
      <c r="CC1169">
        <v>24.91</v>
      </c>
      <c r="CD1169">
        <v>14.99</v>
      </c>
      <c r="CE1169">
        <v>2.14</v>
      </c>
      <c r="CF1169">
        <v>-0.03</v>
      </c>
      <c r="CG1169">
        <v>2.13</v>
      </c>
      <c r="CH1169">
        <v>1.78</v>
      </c>
      <c r="CI1169">
        <v>1.82</v>
      </c>
      <c r="CJ1169">
        <v>-0.15</v>
      </c>
      <c r="CK1169">
        <v>1.73</v>
      </c>
      <c r="CL1169">
        <v>13.18</v>
      </c>
      <c r="CM1169">
        <v>1.93</v>
      </c>
      <c r="CN1169">
        <v>-0.41</v>
      </c>
      <c r="CO1169">
        <v>32870</v>
      </c>
      <c r="CP1169">
        <v>5727</v>
      </c>
      <c r="CQ1169" t="s">
        <v>6481</v>
      </c>
      <c r="CR1169">
        <v>-29.66</v>
      </c>
      <c r="CS1169">
        <v>29.97</v>
      </c>
      <c r="CT1169">
        <v>3.37</v>
      </c>
      <c r="CU1169">
        <v>34.409999999999997</v>
      </c>
      <c r="CV1169">
        <v>2.66</v>
      </c>
      <c r="CW1169">
        <v>0.56000000000000005</v>
      </c>
      <c r="CX1169" t="s">
        <v>780</v>
      </c>
      <c r="CY1169">
        <v>5.07</v>
      </c>
      <c r="CZ1169">
        <v>5.07</v>
      </c>
      <c r="DA1169">
        <v>0.71</v>
      </c>
      <c r="DB1169">
        <v>3.4</v>
      </c>
      <c r="DC1169">
        <v>0.5</v>
      </c>
      <c r="DD1169">
        <v>65.489999999999995</v>
      </c>
      <c r="DE1169" t="s">
        <v>6482</v>
      </c>
      <c r="DF1169">
        <v>39.840000000000003</v>
      </c>
      <c r="DG1169">
        <v>8.6</v>
      </c>
      <c r="DH1169">
        <v>7.29</v>
      </c>
      <c r="DI1169">
        <v>0.36</v>
      </c>
      <c r="DJ1169">
        <v>3429</v>
      </c>
      <c r="DK1169">
        <v>2803</v>
      </c>
      <c r="DL1169" t="s">
        <v>120</v>
      </c>
      <c r="DM1169" t="s">
        <v>120</v>
      </c>
      <c r="DN1169" t="s">
        <v>120</v>
      </c>
    </row>
    <row r="1170" spans="1:118">
      <c r="A1170" t="str">
        <f>"002805"</f>
        <v>002805</v>
      </c>
      <c r="B1170" t="s">
        <v>6483</v>
      </c>
      <c r="C1170">
        <v>-5.82</v>
      </c>
      <c r="D1170">
        <v>0.1</v>
      </c>
      <c r="E1170">
        <v>1.99</v>
      </c>
      <c r="F1170">
        <v>757</v>
      </c>
      <c r="G1170" t="s">
        <v>6484</v>
      </c>
      <c r="H1170">
        <v>22735.25</v>
      </c>
      <c r="I1170">
        <v>190.32</v>
      </c>
      <c r="J1170" t="s">
        <v>120</v>
      </c>
      <c r="K1170" t="s">
        <v>677</v>
      </c>
      <c r="L1170">
        <v>7.7</v>
      </c>
      <c r="M1170">
        <v>29.29</v>
      </c>
      <c r="N1170">
        <v>0.81</v>
      </c>
      <c r="O1170">
        <v>2.25</v>
      </c>
      <c r="P1170">
        <v>31.8</v>
      </c>
      <c r="Q1170">
        <v>-6.33</v>
      </c>
      <c r="R1170">
        <v>29.13</v>
      </c>
      <c r="S1170">
        <v>31.72</v>
      </c>
      <c r="T1170">
        <v>74808</v>
      </c>
      <c r="U1170">
        <v>29.29</v>
      </c>
      <c r="V1170">
        <v>31.1</v>
      </c>
      <c r="W1170">
        <v>114.81</v>
      </c>
      <c r="X1170" t="s">
        <v>868</v>
      </c>
      <c r="Y1170" t="s">
        <v>638</v>
      </c>
      <c r="Z1170">
        <v>8.59</v>
      </c>
      <c r="AA1170">
        <v>30.39</v>
      </c>
      <c r="AB1170">
        <v>43585</v>
      </c>
      <c r="AC1170">
        <v>31223</v>
      </c>
      <c r="AD1170">
        <v>1.4</v>
      </c>
      <c r="AE1170">
        <v>10</v>
      </c>
      <c r="AF1170">
        <v>51</v>
      </c>
      <c r="AG1170" t="s">
        <v>120</v>
      </c>
      <c r="AH1170">
        <v>7.0000000000000007E-2</v>
      </c>
      <c r="AI1170" t="s">
        <v>120</v>
      </c>
      <c r="AJ1170">
        <v>0.97</v>
      </c>
      <c r="AK1170" t="s">
        <v>6485</v>
      </c>
      <c r="AL1170">
        <v>-3.91</v>
      </c>
      <c r="AM1170">
        <v>3465</v>
      </c>
      <c r="AN1170">
        <v>22</v>
      </c>
      <c r="AO1170">
        <v>2.2000000000000001E-3</v>
      </c>
      <c r="AP1170">
        <v>-1</v>
      </c>
      <c r="AQ1170">
        <v>0.75</v>
      </c>
      <c r="AR1170">
        <v>-0.67</v>
      </c>
      <c r="AS1170">
        <v>21.03</v>
      </c>
      <c r="AT1170">
        <v>38.29</v>
      </c>
      <c r="AU1170">
        <v>114.58</v>
      </c>
      <c r="AV1170">
        <v>16</v>
      </c>
      <c r="AW1170">
        <v>8.7899999999999991</v>
      </c>
      <c r="AX1170">
        <v>47.81</v>
      </c>
      <c r="AY1170" t="s">
        <v>120</v>
      </c>
      <c r="AZ1170" t="s">
        <v>120</v>
      </c>
      <c r="BA1170">
        <v>1.02</v>
      </c>
      <c r="BB1170" t="s">
        <v>168</v>
      </c>
      <c r="BF1170">
        <v>-2.2799999999999998</v>
      </c>
      <c r="BG1170">
        <v>-7.66</v>
      </c>
      <c r="BH1170">
        <v>-7.89</v>
      </c>
      <c r="BI1170">
        <v>0.55000000000000004</v>
      </c>
      <c r="BJ1170">
        <v>20210913</v>
      </c>
      <c r="BK1170">
        <v>20160707</v>
      </c>
      <c r="BL1170">
        <v>1.78</v>
      </c>
      <c r="BM1170" t="s">
        <v>120</v>
      </c>
      <c r="BN1170" t="s">
        <v>120</v>
      </c>
      <c r="BO1170">
        <v>15.06</v>
      </c>
      <c r="BP1170">
        <v>29.28</v>
      </c>
      <c r="BQ1170">
        <v>10.119999999999999</v>
      </c>
      <c r="BR1170" t="s">
        <v>120</v>
      </c>
      <c r="BS1170">
        <v>32.81</v>
      </c>
      <c r="BT1170">
        <v>8.77</v>
      </c>
      <c r="BU1170">
        <v>3.82</v>
      </c>
      <c r="BV1170">
        <v>0.3</v>
      </c>
      <c r="BW1170">
        <v>4.58</v>
      </c>
      <c r="BX1170">
        <v>4.41</v>
      </c>
      <c r="BY1170">
        <v>1.44</v>
      </c>
      <c r="BZ1170">
        <v>2.09</v>
      </c>
      <c r="CA1170" t="s">
        <v>120</v>
      </c>
      <c r="CB1170">
        <v>5.18</v>
      </c>
      <c r="CC1170">
        <v>3.14</v>
      </c>
      <c r="CD1170">
        <v>2.67</v>
      </c>
      <c r="CE1170">
        <v>0.28000000000000003</v>
      </c>
      <c r="CF1170">
        <v>0</v>
      </c>
      <c r="CG1170">
        <v>0.28000000000000003</v>
      </c>
      <c r="CH1170">
        <v>0.23</v>
      </c>
      <c r="CI1170">
        <v>0.23</v>
      </c>
      <c r="CJ1170">
        <v>-1.81</v>
      </c>
      <c r="CK1170">
        <v>0.22</v>
      </c>
      <c r="CL1170">
        <v>2.82</v>
      </c>
      <c r="CM1170">
        <v>-0.63</v>
      </c>
      <c r="CN1170">
        <v>3.38</v>
      </c>
      <c r="CO1170">
        <v>17142</v>
      </c>
      <c r="CP1170">
        <v>4963</v>
      </c>
      <c r="CQ1170" t="s">
        <v>3410</v>
      </c>
      <c r="CR1170">
        <v>564.74</v>
      </c>
      <c r="CS1170">
        <v>93.38</v>
      </c>
      <c r="CT1170">
        <v>5.15</v>
      </c>
      <c r="CU1170">
        <v>-83.06</v>
      </c>
      <c r="CV1170">
        <v>16.600000000000001</v>
      </c>
      <c r="CW1170">
        <v>0</v>
      </c>
      <c r="CX1170" t="s">
        <v>373</v>
      </c>
      <c r="CY1170">
        <v>5.69</v>
      </c>
      <c r="CZ1170">
        <v>0</v>
      </c>
      <c r="DA1170">
        <v>2.91</v>
      </c>
      <c r="DB1170">
        <v>1.59</v>
      </c>
      <c r="DC1170">
        <v>-0.35</v>
      </c>
      <c r="DD1170">
        <v>67.19</v>
      </c>
      <c r="DE1170" t="s">
        <v>2033</v>
      </c>
      <c r="DF1170">
        <v>14.87</v>
      </c>
      <c r="DG1170">
        <v>9.07</v>
      </c>
      <c r="DH1170">
        <v>7.23</v>
      </c>
      <c r="DI1170">
        <v>0.01</v>
      </c>
      <c r="DJ1170">
        <v>414</v>
      </c>
      <c r="DK1170">
        <v>2805</v>
      </c>
      <c r="DL1170">
        <v>20210908</v>
      </c>
      <c r="DM1170">
        <v>31.35</v>
      </c>
      <c r="DN1170">
        <v>-6.57</v>
      </c>
    </row>
    <row r="1171" spans="1:118">
      <c r="A1171" t="str">
        <f>"002806"</f>
        <v>002806</v>
      </c>
      <c r="B1171" t="s">
        <v>6486</v>
      </c>
      <c r="C1171">
        <v>-3.55</v>
      </c>
      <c r="D1171">
        <v>-0.06</v>
      </c>
      <c r="E1171">
        <v>0</v>
      </c>
      <c r="F1171">
        <v>727</v>
      </c>
      <c r="G1171" t="s">
        <v>6379</v>
      </c>
      <c r="H1171">
        <v>14593</v>
      </c>
      <c r="I1171">
        <v>19.760000000000002</v>
      </c>
      <c r="J1171" t="s">
        <v>120</v>
      </c>
      <c r="K1171" t="s">
        <v>6487</v>
      </c>
      <c r="L1171">
        <v>5.69</v>
      </c>
      <c r="M1171">
        <v>14.12</v>
      </c>
      <c r="N1171">
        <v>1.39</v>
      </c>
      <c r="O1171">
        <v>7.1</v>
      </c>
      <c r="P1171">
        <v>15.68</v>
      </c>
      <c r="Q1171">
        <v>-4.3</v>
      </c>
      <c r="R1171">
        <v>14.01</v>
      </c>
      <c r="S1171">
        <v>14.64</v>
      </c>
      <c r="T1171">
        <v>98208</v>
      </c>
      <c r="U1171">
        <v>14.13</v>
      </c>
      <c r="V1171">
        <v>14.64</v>
      </c>
      <c r="W1171">
        <v>150.59</v>
      </c>
      <c r="X1171" t="s">
        <v>229</v>
      </c>
      <c r="Y1171" t="s">
        <v>547</v>
      </c>
      <c r="Z1171">
        <v>11.41</v>
      </c>
      <c r="AA1171">
        <v>14.86</v>
      </c>
      <c r="AB1171">
        <v>52353</v>
      </c>
      <c r="AC1171">
        <v>45855</v>
      </c>
      <c r="AD1171">
        <v>1.1399999999999999</v>
      </c>
      <c r="AE1171">
        <v>242</v>
      </c>
      <c r="AF1171">
        <v>63</v>
      </c>
      <c r="AG1171" t="s">
        <v>120</v>
      </c>
      <c r="AH1171">
        <v>0.01</v>
      </c>
      <c r="AI1171" t="s">
        <v>120</v>
      </c>
      <c r="AJ1171">
        <v>1.72</v>
      </c>
      <c r="AK1171" t="s">
        <v>6488</v>
      </c>
      <c r="AL1171">
        <v>-1.64</v>
      </c>
      <c r="AM1171">
        <v>2870</v>
      </c>
      <c r="AN1171">
        <v>34</v>
      </c>
      <c r="AO1171">
        <v>2E-3</v>
      </c>
      <c r="AP1171">
        <v>-1</v>
      </c>
      <c r="AQ1171">
        <v>0.41</v>
      </c>
      <c r="AR1171">
        <v>-6.43</v>
      </c>
      <c r="AS1171">
        <v>-3.22</v>
      </c>
      <c r="AT1171">
        <v>41.62</v>
      </c>
      <c r="AU1171">
        <v>32.58</v>
      </c>
      <c r="AV1171">
        <v>11</v>
      </c>
      <c r="AW1171">
        <v>10.06</v>
      </c>
      <c r="AX1171">
        <v>51.27</v>
      </c>
      <c r="AY1171" t="s">
        <v>120</v>
      </c>
      <c r="AZ1171" t="s">
        <v>120</v>
      </c>
      <c r="BA1171">
        <v>0</v>
      </c>
      <c r="BB1171" t="s">
        <v>143</v>
      </c>
      <c r="BF1171">
        <v>1.5</v>
      </c>
      <c r="BG1171">
        <v>-3.55</v>
      </c>
      <c r="BH1171">
        <v>-9.9499999999999993</v>
      </c>
      <c r="BI1171">
        <v>0.79</v>
      </c>
      <c r="BJ1171">
        <v>20210915</v>
      </c>
      <c r="BK1171">
        <v>20160726</v>
      </c>
      <c r="BL1171">
        <v>1.9</v>
      </c>
      <c r="BM1171" t="s">
        <v>120</v>
      </c>
      <c r="BN1171" t="s">
        <v>120</v>
      </c>
      <c r="BO1171">
        <v>17.12</v>
      </c>
      <c r="BP1171">
        <v>14.12</v>
      </c>
      <c r="BQ1171">
        <v>10.89</v>
      </c>
      <c r="BR1171">
        <v>0.04</v>
      </c>
      <c r="BS1171">
        <v>36.159999999999997</v>
      </c>
      <c r="BT1171">
        <v>7.07</v>
      </c>
      <c r="BU1171">
        <v>3.3</v>
      </c>
      <c r="BV1171">
        <v>1.0900000000000001</v>
      </c>
      <c r="BW1171">
        <v>2.89</v>
      </c>
      <c r="BX1171">
        <v>1.89</v>
      </c>
      <c r="BY1171">
        <v>1.04</v>
      </c>
      <c r="BZ1171">
        <v>2.69</v>
      </c>
      <c r="CA1171" t="s">
        <v>120</v>
      </c>
      <c r="CB1171">
        <v>8.64</v>
      </c>
      <c r="CC1171">
        <v>3.07</v>
      </c>
      <c r="CD1171">
        <v>2.4900000000000002</v>
      </c>
      <c r="CE1171">
        <v>0.13</v>
      </c>
      <c r="CF1171">
        <v>0.04</v>
      </c>
      <c r="CG1171">
        <v>0.13</v>
      </c>
      <c r="CH1171">
        <v>0.1</v>
      </c>
      <c r="CI1171">
        <v>0.09</v>
      </c>
      <c r="CJ1171">
        <v>-0.52</v>
      </c>
      <c r="CK1171">
        <v>-7.0000000000000007E-2</v>
      </c>
      <c r="CL1171">
        <v>-0.34</v>
      </c>
      <c r="CM1171">
        <v>-0.02</v>
      </c>
      <c r="CN1171">
        <v>-0.2</v>
      </c>
      <c r="CO1171">
        <v>15849</v>
      </c>
      <c r="CP1171">
        <v>6158</v>
      </c>
      <c r="CQ1171" t="s">
        <v>6489</v>
      </c>
      <c r="CR1171">
        <v>130.54</v>
      </c>
      <c r="CS1171">
        <v>67.569999999999993</v>
      </c>
      <c r="CT1171">
        <v>2.48</v>
      </c>
      <c r="CU1171">
        <v>-1166.1199999999999</v>
      </c>
      <c r="CV1171">
        <v>8.76</v>
      </c>
      <c r="CW1171">
        <v>0</v>
      </c>
      <c r="CX1171" t="s">
        <v>1248</v>
      </c>
      <c r="CY1171">
        <v>5.7</v>
      </c>
      <c r="CZ1171">
        <v>5.7</v>
      </c>
      <c r="DA1171">
        <v>4.54</v>
      </c>
      <c r="DB1171">
        <v>-0.18</v>
      </c>
      <c r="DC1171">
        <v>-0.01</v>
      </c>
      <c r="DD1171">
        <v>63.63</v>
      </c>
      <c r="DE1171" t="s">
        <v>6151</v>
      </c>
      <c r="DF1171">
        <v>18.82</v>
      </c>
      <c r="DG1171">
        <v>4.29</v>
      </c>
      <c r="DH1171">
        <v>2.91</v>
      </c>
      <c r="DI1171">
        <v>0.21</v>
      </c>
      <c r="DJ1171">
        <v>608</v>
      </c>
      <c r="DK1171">
        <v>2806</v>
      </c>
      <c r="DL1171">
        <v>20210703</v>
      </c>
      <c r="DM1171">
        <v>10.7</v>
      </c>
      <c r="DN1171">
        <v>31.96</v>
      </c>
    </row>
    <row r="1172" spans="1:118">
      <c r="A1172" t="str">
        <f>"002807"</f>
        <v>002807</v>
      </c>
      <c r="B1172" t="s">
        <v>6490</v>
      </c>
      <c r="C1172">
        <v>-0.75</v>
      </c>
      <c r="D1172">
        <v>-0.24</v>
      </c>
      <c r="E1172">
        <v>0</v>
      </c>
      <c r="F1172">
        <v>10574</v>
      </c>
      <c r="G1172" t="s">
        <v>6491</v>
      </c>
      <c r="H1172">
        <v>6474.83</v>
      </c>
      <c r="I1172">
        <v>109.21</v>
      </c>
      <c r="J1172" t="s">
        <v>120</v>
      </c>
      <c r="K1172" t="s">
        <v>6491</v>
      </c>
      <c r="L1172">
        <v>0.75</v>
      </c>
      <c r="M1172">
        <v>3.95</v>
      </c>
      <c r="N1172">
        <v>0.85</v>
      </c>
      <c r="O1172">
        <v>1.26</v>
      </c>
      <c r="P1172">
        <v>4.03</v>
      </c>
      <c r="Q1172">
        <v>-0.75</v>
      </c>
      <c r="R1172">
        <v>3.95</v>
      </c>
      <c r="S1172">
        <v>3.98</v>
      </c>
      <c r="T1172">
        <v>162168</v>
      </c>
      <c r="U1172">
        <v>3.96</v>
      </c>
      <c r="V1172">
        <v>3.98</v>
      </c>
      <c r="W1172">
        <v>9.11</v>
      </c>
      <c r="X1172" t="s">
        <v>122</v>
      </c>
      <c r="Y1172" t="s">
        <v>319</v>
      </c>
      <c r="Z1172">
        <v>2.0099999999999998</v>
      </c>
      <c r="AA1172">
        <v>3.99</v>
      </c>
      <c r="AB1172">
        <v>85098</v>
      </c>
      <c r="AC1172">
        <v>77070</v>
      </c>
      <c r="AD1172">
        <v>1.1000000000000001</v>
      </c>
      <c r="AE1172">
        <v>2076</v>
      </c>
      <c r="AF1172">
        <v>27</v>
      </c>
      <c r="AG1172" t="s">
        <v>120</v>
      </c>
      <c r="AH1172">
        <v>0.01</v>
      </c>
      <c r="AI1172" t="s">
        <v>120</v>
      </c>
      <c r="AJ1172">
        <v>21.69</v>
      </c>
      <c r="AK1172" t="s">
        <v>6492</v>
      </c>
      <c r="AL1172">
        <v>1.1599999999999999</v>
      </c>
      <c r="AM1172">
        <v>2354</v>
      </c>
      <c r="AN1172">
        <v>69</v>
      </c>
      <c r="AO1172">
        <v>2.9999999999999997E-4</v>
      </c>
      <c r="AP1172">
        <v>-1</v>
      </c>
      <c r="AQ1172">
        <v>1.02</v>
      </c>
      <c r="AR1172">
        <v>-1.5</v>
      </c>
      <c r="AS1172">
        <v>4.5</v>
      </c>
      <c r="AT1172">
        <v>-0.25</v>
      </c>
      <c r="AU1172">
        <v>-3.66</v>
      </c>
      <c r="AV1172">
        <v>0</v>
      </c>
      <c r="AW1172">
        <v>0.75</v>
      </c>
      <c r="AX1172">
        <v>99.88</v>
      </c>
      <c r="AY1172">
        <v>7.72</v>
      </c>
      <c r="AZ1172">
        <v>8.18</v>
      </c>
      <c r="BA1172">
        <v>0.16</v>
      </c>
      <c r="BB1172" t="s">
        <v>143</v>
      </c>
      <c r="BF1172">
        <v>0.32</v>
      </c>
      <c r="BG1172">
        <v>-0.75</v>
      </c>
      <c r="BH1172">
        <v>-1.99</v>
      </c>
      <c r="BI1172">
        <v>0</v>
      </c>
      <c r="BJ1172">
        <v>20210828</v>
      </c>
      <c r="BK1172">
        <v>20160902</v>
      </c>
      <c r="BL1172">
        <v>21.72</v>
      </c>
      <c r="BM1172" t="s">
        <v>120</v>
      </c>
      <c r="BN1172" t="s">
        <v>120</v>
      </c>
      <c r="BO1172">
        <v>1463.55</v>
      </c>
      <c r="BP1172">
        <v>3.95</v>
      </c>
      <c r="BQ1172">
        <v>122.38</v>
      </c>
      <c r="BR1172">
        <v>1.31</v>
      </c>
      <c r="BS1172">
        <v>91.55</v>
      </c>
      <c r="BT1172">
        <v>0</v>
      </c>
      <c r="BU1172">
        <v>9.08</v>
      </c>
      <c r="BV1172">
        <v>1.27</v>
      </c>
      <c r="BW1172">
        <v>0</v>
      </c>
      <c r="BX1172">
        <v>117.03</v>
      </c>
      <c r="BY1172">
        <v>0</v>
      </c>
      <c r="BZ1172">
        <v>0</v>
      </c>
      <c r="CA1172" t="s">
        <v>120</v>
      </c>
      <c r="CB1172">
        <v>9.25</v>
      </c>
      <c r="CC1172">
        <v>16.16</v>
      </c>
      <c r="CD1172">
        <v>0</v>
      </c>
      <c r="CE1172">
        <v>4.01</v>
      </c>
      <c r="CF1172">
        <v>2.2599999999999998</v>
      </c>
      <c r="CG1172">
        <v>3.88</v>
      </c>
      <c r="CH1172">
        <v>4.7300000000000004</v>
      </c>
      <c r="CI1172">
        <v>4.71</v>
      </c>
      <c r="CJ1172">
        <v>-0.03</v>
      </c>
      <c r="CK1172">
        <v>4.8</v>
      </c>
      <c r="CL1172">
        <v>28.73</v>
      </c>
      <c r="CM1172">
        <v>-9.1300000000000008</v>
      </c>
      <c r="CN1172">
        <v>5.72</v>
      </c>
      <c r="CO1172">
        <v>64071</v>
      </c>
      <c r="CP1172">
        <v>33860</v>
      </c>
      <c r="CQ1172" t="s">
        <v>6493</v>
      </c>
      <c r="CR1172">
        <v>15.4</v>
      </c>
      <c r="CS1172">
        <v>-1.99</v>
      </c>
      <c r="CT1172">
        <v>0.72</v>
      </c>
      <c r="CU1172">
        <v>-9.39</v>
      </c>
      <c r="CV1172">
        <v>5.31</v>
      </c>
      <c r="CW1172">
        <v>4.5199999999999996</v>
      </c>
      <c r="CX1172" t="s">
        <v>5179</v>
      </c>
      <c r="CY1172">
        <v>5.47</v>
      </c>
      <c r="CZ1172">
        <v>5.47</v>
      </c>
      <c r="DA1172">
        <v>0.43</v>
      </c>
      <c r="DB1172">
        <v>1.32</v>
      </c>
      <c r="DC1172">
        <v>-0.42</v>
      </c>
      <c r="DD1172">
        <v>8.36</v>
      </c>
      <c r="DE1172" t="s">
        <v>6494</v>
      </c>
      <c r="DF1172" t="s">
        <v>120</v>
      </c>
      <c r="DG1172">
        <v>24.83</v>
      </c>
      <c r="DH1172">
        <v>29.12</v>
      </c>
      <c r="DI1172" t="s">
        <v>120</v>
      </c>
      <c r="DJ1172">
        <v>1835</v>
      </c>
      <c r="DK1172">
        <v>2807</v>
      </c>
      <c r="DL1172" t="s">
        <v>120</v>
      </c>
      <c r="DM1172" t="s">
        <v>120</v>
      </c>
      <c r="DN1172" t="s">
        <v>120</v>
      </c>
    </row>
    <row r="1173" spans="1:118">
      <c r="A1173" t="str">
        <f>"002808"</f>
        <v>002808</v>
      </c>
      <c r="B1173" t="s">
        <v>6495</v>
      </c>
      <c r="C1173">
        <v>10.050000000000001</v>
      </c>
      <c r="D1173">
        <v>0</v>
      </c>
      <c r="E1173">
        <v>10.050000000000001</v>
      </c>
      <c r="F1173">
        <v>165</v>
      </c>
      <c r="G1173" t="s">
        <v>3979</v>
      </c>
      <c r="H1173">
        <v>17730.07</v>
      </c>
      <c r="I1173">
        <v>2369.58</v>
      </c>
      <c r="J1173">
        <v>1924.97</v>
      </c>
      <c r="K1173" t="s">
        <v>5835</v>
      </c>
      <c r="L1173">
        <v>11.98</v>
      </c>
      <c r="M1173">
        <v>8.65</v>
      </c>
      <c r="N1173">
        <v>1.17</v>
      </c>
      <c r="O1173">
        <v>10.050000000000001</v>
      </c>
      <c r="P1173">
        <v>8.65</v>
      </c>
      <c r="Q1173">
        <v>6.74</v>
      </c>
      <c r="R1173">
        <v>8.39</v>
      </c>
      <c r="S1173">
        <v>8.65</v>
      </c>
      <c r="T1173">
        <v>205355</v>
      </c>
      <c r="U1173" t="s">
        <v>120</v>
      </c>
      <c r="V1173">
        <v>7.86</v>
      </c>
      <c r="W1173">
        <v>161.99</v>
      </c>
      <c r="X1173" t="s">
        <v>229</v>
      </c>
      <c r="Y1173" t="s">
        <v>319</v>
      </c>
      <c r="Z1173">
        <v>3.31</v>
      </c>
      <c r="AA1173">
        <v>8.6300000000000008</v>
      </c>
      <c r="AB1173">
        <v>150981</v>
      </c>
      <c r="AC1173">
        <v>54374</v>
      </c>
      <c r="AD1173">
        <v>2.78</v>
      </c>
      <c r="AE1173">
        <v>22254</v>
      </c>
      <c r="AF1173">
        <v>0</v>
      </c>
      <c r="AG1173" t="s">
        <v>120</v>
      </c>
      <c r="AH1173">
        <v>2.19</v>
      </c>
      <c r="AI1173">
        <v>0.11</v>
      </c>
      <c r="AJ1173">
        <v>1.71</v>
      </c>
      <c r="AK1173" t="s">
        <v>6496</v>
      </c>
      <c r="AL1173">
        <v>11.96</v>
      </c>
      <c r="AM1173">
        <v>1629</v>
      </c>
      <c r="AN1173">
        <v>126</v>
      </c>
      <c r="AO1173">
        <v>7.4000000000000003E-3</v>
      </c>
      <c r="AP1173">
        <v>2</v>
      </c>
      <c r="AQ1173">
        <v>0.77</v>
      </c>
      <c r="AR1173">
        <v>7.73</v>
      </c>
      <c r="AS1173">
        <v>14.57</v>
      </c>
      <c r="AT1173">
        <v>-8.07</v>
      </c>
      <c r="AU1173">
        <v>7.59</v>
      </c>
      <c r="AV1173">
        <v>2</v>
      </c>
      <c r="AW1173">
        <v>16.440000000000001</v>
      </c>
      <c r="AX1173">
        <v>46.47</v>
      </c>
      <c r="AY1173">
        <v>85.63</v>
      </c>
      <c r="AZ1173">
        <v>83.12</v>
      </c>
      <c r="BA1173">
        <v>0.79</v>
      </c>
      <c r="BB1173" t="s">
        <v>341</v>
      </c>
      <c r="BF1173">
        <v>9.85</v>
      </c>
      <c r="BG1173">
        <v>0</v>
      </c>
      <c r="BH1173">
        <v>0</v>
      </c>
      <c r="BI1173">
        <v>3.1</v>
      </c>
      <c r="BJ1173">
        <v>20210826</v>
      </c>
      <c r="BK1173">
        <v>20160812</v>
      </c>
      <c r="BL1173">
        <v>2.69</v>
      </c>
      <c r="BM1173" t="s">
        <v>120</v>
      </c>
      <c r="BN1173" t="s">
        <v>120</v>
      </c>
      <c r="BO1173">
        <v>7.85</v>
      </c>
      <c r="BP1173">
        <v>8.65</v>
      </c>
      <c r="BQ1173">
        <v>5.83</v>
      </c>
      <c r="BR1173">
        <v>0.26</v>
      </c>
      <c r="BS1173">
        <v>22.52</v>
      </c>
      <c r="BT1173">
        <v>5.3</v>
      </c>
      <c r="BU1173">
        <v>0.91</v>
      </c>
      <c r="BV1173">
        <v>0.19</v>
      </c>
      <c r="BW1173">
        <v>1.74</v>
      </c>
      <c r="BX1173">
        <v>1.65</v>
      </c>
      <c r="BY1173">
        <v>0.96</v>
      </c>
      <c r="BZ1173">
        <v>0.93</v>
      </c>
      <c r="CA1173">
        <v>0</v>
      </c>
      <c r="CB1173">
        <v>0.55000000000000004</v>
      </c>
      <c r="CC1173">
        <v>1.48</v>
      </c>
      <c r="CD1173">
        <v>1.1000000000000001</v>
      </c>
      <c r="CE1173">
        <v>0.14000000000000001</v>
      </c>
      <c r="CF1173">
        <v>0</v>
      </c>
      <c r="CG1173">
        <v>0.14000000000000001</v>
      </c>
      <c r="CH1173">
        <v>0.11</v>
      </c>
      <c r="CI1173">
        <v>7.0000000000000007E-2</v>
      </c>
      <c r="CJ1173">
        <v>0.79</v>
      </c>
      <c r="CK1173">
        <v>0.06</v>
      </c>
      <c r="CL1173">
        <v>2.4</v>
      </c>
      <c r="CM1173">
        <v>0.08</v>
      </c>
      <c r="CN1173">
        <v>-0.19</v>
      </c>
      <c r="CO1173">
        <v>14547</v>
      </c>
      <c r="CP1173">
        <v>8587</v>
      </c>
      <c r="CQ1173" t="s">
        <v>6497</v>
      </c>
      <c r="CR1173">
        <v>-9.41</v>
      </c>
      <c r="CS1173">
        <v>3.02</v>
      </c>
      <c r="CT1173">
        <v>3.99</v>
      </c>
      <c r="CU1173">
        <v>309.60000000000002</v>
      </c>
      <c r="CV1173">
        <v>15.71</v>
      </c>
      <c r="CW1173">
        <v>0.25</v>
      </c>
      <c r="CX1173" t="s">
        <v>2074</v>
      </c>
      <c r="CY1173">
        <v>2.17</v>
      </c>
      <c r="CZ1173">
        <v>0</v>
      </c>
      <c r="DA1173">
        <v>0.2</v>
      </c>
      <c r="DB1173">
        <v>0.89</v>
      </c>
      <c r="DC1173">
        <v>0.03</v>
      </c>
      <c r="DD1173">
        <v>74.180000000000007</v>
      </c>
      <c r="DE1173" t="s">
        <v>6498</v>
      </c>
      <c r="DF1173">
        <v>25.75</v>
      </c>
      <c r="DG1173">
        <v>9.7100000000000009</v>
      </c>
      <c r="DH1173">
        <v>4.8499999999999996</v>
      </c>
      <c r="DI1173">
        <v>0.1</v>
      </c>
      <c r="DJ1173">
        <v>407</v>
      </c>
      <c r="DK1173">
        <v>2808</v>
      </c>
      <c r="DL1173" t="s">
        <v>120</v>
      </c>
      <c r="DM1173" t="s">
        <v>120</v>
      </c>
      <c r="DN1173" t="s">
        <v>120</v>
      </c>
    </row>
    <row r="1174" spans="1:118">
      <c r="A1174" t="str">
        <f>"002809"</f>
        <v>002809</v>
      </c>
      <c r="B1174" t="s">
        <v>6499</v>
      </c>
      <c r="C1174">
        <v>1.22</v>
      </c>
      <c r="D1174">
        <v>-0.25</v>
      </c>
      <c r="E1174">
        <v>0.52</v>
      </c>
      <c r="F1174">
        <v>501</v>
      </c>
      <c r="G1174" t="s">
        <v>6500</v>
      </c>
      <c r="H1174">
        <v>5547.45</v>
      </c>
      <c r="I1174">
        <v>0.57999999999999996</v>
      </c>
      <c r="J1174" t="s">
        <v>120</v>
      </c>
      <c r="K1174" t="s">
        <v>1171</v>
      </c>
      <c r="L1174">
        <v>3.51</v>
      </c>
      <c r="M1174">
        <v>11.63</v>
      </c>
      <c r="N1174">
        <v>1.08</v>
      </c>
      <c r="O1174">
        <v>4</v>
      </c>
      <c r="P1174">
        <v>11.95</v>
      </c>
      <c r="Q1174">
        <v>0.09</v>
      </c>
      <c r="R1174">
        <v>11.5</v>
      </c>
      <c r="S1174">
        <v>11.55</v>
      </c>
      <c r="T1174">
        <v>47113</v>
      </c>
      <c r="U1174">
        <v>11.64</v>
      </c>
      <c r="V1174">
        <v>11.49</v>
      </c>
      <c r="W1174">
        <v>16.920000000000002</v>
      </c>
      <c r="X1174" t="s">
        <v>868</v>
      </c>
      <c r="Y1174" t="s">
        <v>547</v>
      </c>
      <c r="Z1174">
        <v>3.92</v>
      </c>
      <c r="AA1174">
        <v>11.77</v>
      </c>
      <c r="AB1174">
        <v>20786</v>
      </c>
      <c r="AC1174">
        <v>26327</v>
      </c>
      <c r="AD1174">
        <v>0.79</v>
      </c>
      <c r="AE1174">
        <v>12</v>
      </c>
      <c r="AF1174">
        <v>24</v>
      </c>
      <c r="AG1174" t="s">
        <v>120</v>
      </c>
      <c r="AH1174">
        <v>0</v>
      </c>
      <c r="AI1174" t="s">
        <v>120</v>
      </c>
      <c r="AJ1174">
        <v>1.34</v>
      </c>
      <c r="AK1174" t="s">
        <v>6501</v>
      </c>
      <c r="AL1174">
        <v>3.13</v>
      </c>
      <c r="AM1174">
        <v>1697</v>
      </c>
      <c r="AN1174">
        <v>28</v>
      </c>
      <c r="AO1174">
        <v>2.0999999999999999E-3</v>
      </c>
      <c r="AP1174">
        <v>1</v>
      </c>
      <c r="AQ1174">
        <v>-0.09</v>
      </c>
      <c r="AR1174">
        <v>-1.1100000000000001</v>
      </c>
      <c r="AS1174">
        <v>10.98</v>
      </c>
      <c r="AT1174">
        <v>14.58</v>
      </c>
      <c r="AU1174">
        <v>8.18</v>
      </c>
      <c r="AV1174">
        <v>0</v>
      </c>
      <c r="AW1174">
        <v>5.12</v>
      </c>
      <c r="AX1174">
        <v>44.5</v>
      </c>
      <c r="AY1174">
        <v>16.75</v>
      </c>
      <c r="AZ1174">
        <v>16.760000000000002</v>
      </c>
      <c r="BA1174">
        <v>0.28999999999999998</v>
      </c>
      <c r="BB1174" t="s">
        <v>125</v>
      </c>
      <c r="BF1174">
        <v>2.48</v>
      </c>
      <c r="BG1174">
        <v>0.69</v>
      </c>
      <c r="BH1174">
        <v>-2.68</v>
      </c>
      <c r="BI1174">
        <v>1.1299999999999999</v>
      </c>
      <c r="BJ1174">
        <v>20210831</v>
      </c>
      <c r="BK1174">
        <v>20160823</v>
      </c>
      <c r="BL1174">
        <v>2.0699999999999998</v>
      </c>
      <c r="BM1174" t="s">
        <v>120</v>
      </c>
      <c r="BN1174" t="s">
        <v>120</v>
      </c>
      <c r="BO1174">
        <v>22.52</v>
      </c>
      <c r="BP1174">
        <v>11.63</v>
      </c>
      <c r="BQ1174">
        <v>13.82</v>
      </c>
      <c r="BR1174" t="s">
        <v>120</v>
      </c>
      <c r="BS1174">
        <v>38.630000000000003</v>
      </c>
      <c r="BT1174">
        <v>19.190000000000001</v>
      </c>
      <c r="BU1174">
        <v>1.85</v>
      </c>
      <c r="BV1174">
        <v>0.75</v>
      </c>
      <c r="BW1174">
        <v>8.18</v>
      </c>
      <c r="BX1174">
        <v>1.74</v>
      </c>
      <c r="BY1174">
        <v>1.1200000000000001</v>
      </c>
      <c r="BZ1174">
        <v>10.119999999999999</v>
      </c>
      <c r="CA1174" t="s">
        <v>120</v>
      </c>
      <c r="CB1174">
        <v>4.0599999999999996</v>
      </c>
      <c r="CC1174">
        <v>7.78</v>
      </c>
      <c r="CD1174">
        <v>5.44</v>
      </c>
      <c r="CE1174">
        <v>0.71</v>
      </c>
      <c r="CF1174">
        <v>0</v>
      </c>
      <c r="CG1174">
        <v>0.86</v>
      </c>
      <c r="CH1174">
        <v>0.71</v>
      </c>
      <c r="CI1174">
        <v>0.71</v>
      </c>
      <c r="CJ1174">
        <v>0.14000000000000001</v>
      </c>
      <c r="CK1174">
        <v>0.56999999999999995</v>
      </c>
      <c r="CL1174">
        <v>7.11</v>
      </c>
      <c r="CM1174">
        <v>-0.83</v>
      </c>
      <c r="CN1174">
        <v>0.69</v>
      </c>
      <c r="CO1174">
        <v>16745</v>
      </c>
      <c r="CP1174">
        <v>5494</v>
      </c>
      <c r="CQ1174" t="s">
        <v>6502</v>
      </c>
      <c r="CR1174">
        <v>0.05</v>
      </c>
      <c r="CS1174">
        <v>48.8</v>
      </c>
      <c r="CT1174">
        <v>1.74</v>
      </c>
      <c r="CU1174">
        <v>-29.09</v>
      </c>
      <c r="CV1174">
        <v>3.09</v>
      </c>
      <c r="CW1174">
        <v>0</v>
      </c>
      <c r="CX1174" t="s">
        <v>1574</v>
      </c>
      <c r="CY1174">
        <v>6.68</v>
      </c>
      <c r="CZ1174">
        <v>0</v>
      </c>
      <c r="DA1174">
        <v>1.96</v>
      </c>
      <c r="DB1174">
        <v>3.44</v>
      </c>
      <c r="DC1174">
        <v>-0.4</v>
      </c>
      <c r="DD1174">
        <v>61.37</v>
      </c>
      <c r="DE1174" t="s">
        <v>3095</v>
      </c>
      <c r="DF1174">
        <v>30.12</v>
      </c>
      <c r="DG1174">
        <v>9.09</v>
      </c>
      <c r="DH1174">
        <v>9.1300000000000008</v>
      </c>
      <c r="DI1174">
        <v>0.26</v>
      </c>
      <c r="DJ1174">
        <v>983</v>
      </c>
      <c r="DK1174">
        <v>2809</v>
      </c>
      <c r="DL1174" t="s">
        <v>120</v>
      </c>
      <c r="DM1174" t="s">
        <v>120</v>
      </c>
      <c r="DN1174" t="s">
        <v>120</v>
      </c>
    </row>
    <row r="1175" spans="1:118">
      <c r="A1175" t="str">
        <f>"002810"</f>
        <v>002810</v>
      </c>
      <c r="B1175" t="s">
        <v>6503</v>
      </c>
      <c r="C1175">
        <v>2.5499999999999998</v>
      </c>
      <c r="D1175">
        <v>0.99</v>
      </c>
      <c r="E1175">
        <v>0.49</v>
      </c>
      <c r="F1175">
        <v>4227</v>
      </c>
      <c r="G1175" t="s">
        <v>6504</v>
      </c>
      <c r="H1175">
        <v>14089.31</v>
      </c>
      <c r="I1175">
        <v>47.17</v>
      </c>
      <c r="J1175" t="s">
        <v>120</v>
      </c>
      <c r="K1175" t="s">
        <v>6505</v>
      </c>
      <c r="L1175">
        <v>1.07</v>
      </c>
      <c r="M1175">
        <v>41.86</v>
      </c>
      <c r="N1175">
        <v>1.31</v>
      </c>
      <c r="O1175">
        <v>3.77</v>
      </c>
      <c r="P1175">
        <v>42.36</v>
      </c>
      <c r="Q1175">
        <v>0.49</v>
      </c>
      <c r="R1175">
        <v>41.02</v>
      </c>
      <c r="S1175">
        <v>41.02</v>
      </c>
      <c r="T1175">
        <v>33737</v>
      </c>
      <c r="U1175">
        <v>41.86</v>
      </c>
      <c r="V1175">
        <v>40.82</v>
      </c>
      <c r="W1175">
        <v>38.46</v>
      </c>
      <c r="X1175" t="s">
        <v>868</v>
      </c>
      <c r="Y1175" t="s">
        <v>638</v>
      </c>
      <c r="Z1175">
        <v>3.28</v>
      </c>
      <c r="AA1175">
        <v>41.76</v>
      </c>
      <c r="AB1175">
        <v>16677</v>
      </c>
      <c r="AC1175">
        <v>17060</v>
      </c>
      <c r="AD1175">
        <v>0.98</v>
      </c>
      <c r="AE1175">
        <v>50</v>
      </c>
      <c r="AF1175">
        <v>62</v>
      </c>
      <c r="AG1175" t="s">
        <v>120</v>
      </c>
      <c r="AH1175">
        <v>0.01</v>
      </c>
      <c r="AI1175" t="s">
        <v>120</v>
      </c>
      <c r="AJ1175">
        <v>3.14</v>
      </c>
      <c r="AK1175" t="s">
        <v>4730</v>
      </c>
      <c r="AL1175">
        <v>4.46</v>
      </c>
      <c r="AM1175">
        <v>2316</v>
      </c>
      <c r="AN1175">
        <v>15</v>
      </c>
      <c r="AO1175">
        <v>5.0000000000000001E-4</v>
      </c>
      <c r="AP1175">
        <v>1</v>
      </c>
      <c r="AQ1175">
        <v>-1.61</v>
      </c>
      <c r="AR1175">
        <v>2.96</v>
      </c>
      <c r="AS1175">
        <v>-19.75</v>
      </c>
      <c r="AT1175">
        <v>-8.4</v>
      </c>
      <c r="AU1175">
        <v>106.87</v>
      </c>
      <c r="AV1175">
        <v>4</v>
      </c>
      <c r="AW1175">
        <v>1.78</v>
      </c>
      <c r="AX1175">
        <v>55.59</v>
      </c>
      <c r="AY1175">
        <v>43.99</v>
      </c>
      <c r="AZ1175">
        <v>55.25</v>
      </c>
      <c r="BA1175">
        <v>1.81</v>
      </c>
      <c r="BB1175" t="s">
        <v>134</v>
      </c>
      <c r="BF1175">
        <v>2.31</v>
      </c>
      <c r="BG1175">
        <v>2.0499999999999998</v>
      </c>
      <c r="BH1175">
        <v>-1.18</v>
      </c>
      <c r="BI1175">
        <v>2.0499999999999998</v>
      </c>
      <c r="BJ1175">
        <v>20210826</v>
      </c>
      <c r="BK1175">
        <v>20160826</v>
      </c>
      <c r="BL1175">
        <v>3.41</v>
      </c>
      <c r="BM1175" t="s">
        <v>120</v>
      </c>
      <c r="BN1175" t="s">
        <v>120</v>
      </c>
      <c r="BO1175">
        <v>19.73</v>
      </c>
      <c r="BP1175">
        <v>41.66</v>
      </c>
      <c r="BQ1175">
        <v>14.03</v>
      </c>
      <c r="BR1175" t="s">
        <v>120</v>
      </c>
      <c r="BS1175">
        <v>28.85</v>
      </c>
      <c r="BT1175">
        <v>7.23</v>
      </c>
      <c r="BU1175">
        <v>6.85</v>
      </c>
      <c r="BV1175">
        <v>1.26</v>
      </c>
      <c r="BW1175">
        <v>5.19</v>
      </c>
      <c r="BX1175">
        <v>2.08</v>
      </c>
      <c r="BY1175">
        <v>1.55</v>
      </c>
      <c r="BZ1175">
        <v>2.78</v>
      </c>
      <c r="CA1175" t="s">
        <v>120</v>
      </c>
      <c r="CB1175">
        <v>1.05</v>
      </c>
      <c r="CC1175">
        <v>7.53</v>
      </c>
      <c r="CD1175">
        <v>4.6100000000000003</v>
      </c>
      <c r="CE1175">
        <v>2.12</v>
      </c>
      <c r="CF1175">
        <v>0.03</v>
      </c>
      <c r="CG1175">
        <v>2.12</v>
      </c>
      <c r="CH1175">
        <v>1.86</v>
      </c>
      <c r="CI1175">
        <v>1.86</v>
      </c>
      <c r="CJ1175">
        <v>1.04</v>
      </c>
      <c r="CK1175">
        <v>1.77</v>
      </c>
      <c r="CL1175">
        <v>8.65</v>
      </c>
      <c r="CM1175">
        <v>2.71</v>
      </c>
      <c r="CN1175">
        <v>-0.2</v>
      </c>
      <c r="CO1175">
        <v>13478</v>
      </c>
      <c r="CP1175">
        <v>14079</v>
      </c>
      <c r="CQ1175" t="s">
        <v>6506</v>
      </c>
      <c r="CR1175">
        <v>53.24</v>
      </c>
      <c r="CS1175">
        <v>22.08</v>
      </c>
      <c r="CT1175">
        <v>10.18</v>
      </c>
      <c r="CU1175">
        <v>52.73</v>
      </c>
      <c r="CV1175">
        <v>18.98</v>
      </c>
      <c r="CW1175">
        <v>0</v>
      </c>
      <c r="CX1175" t="s">
        <v>1581</v>
      </c>
      <c r="CY1175">
        <v>4.1100000000000003</v>
      </c>
      <c r="CZ1175">
        <v>0</v>
      </c>
      <c r="DA1175">
        <v>0.31</v>
      </c>
      <c r="DB1175">
        <v>2.54</v>
      </c>
      <c r="DC1175">
        <v>0.79</v>
      </c>
      <c r="DD1175">
        <v>71.150000000000006</v>
      </c>
      <c r="DE1175" t="s">
        <v>6507</v>
      </c>
      <c r="DF1175">
        <v>38.76</v>
      </c>
      <c r="DG1175">
        <v>28.1</v>
      </c>
      <c r="DH1175">
        <v>24.68</v>
      </c>
      <c r="DI1175">
        <v>0.33</v>
      </c>
      <c r="DJ1175">
        <v>1299</v>
      </c>
      <c r="DK1175">
        <v>2810</v>
      </c>
      <c r="DL1175" t="s">
        <v>120</v>
      </c>
      <c r="DM1175" t="s">
        <v>120</v>
      </c>
      <c r="DN1175" t="s">
        <v>120</v>
      </c>
    </row>
    <row r="1176" spans="1:118">
      <c r="A1176" t="str">
        <f>"002811"</f>
        <v>002811</v>
      </c>
      <c r="B1176" t="s">
        <v>6508</v>
      </c>
      <c r="C1176">
        <v>-1.45</v>
      </c>
      <c r="D1176">
        <v>0.49</v>
      </c>
      <c r="E1176">
        <v>0.24</v>
      </c>
      <c r="F1176">
        <v>83</v>
      </c>
      <c r="G1176" t="s">
        <v>6509</v>
      </c>
      <c r="H1176">
        <v>573.17999999999995</v>
      </c>
      <c r="I1176">
        <v>3.49</v>
      </c>
      <c r="J1176" t="s">
        <v>120</v>
      </c>
      <c r="K1176" t="s">
        <v>6510</v>
      </c>
      <c r="L1176">
        <v>0.28999999999999998</v>
      </c>
      <c r="M1176">
        <v>8.16</v>
      </c>
      <c r="N1176">
        <v>0.94</v>
      </c>
      <c r="O1176">
        <v>0.6</v>
      </c>
      <c r="P1176">
        <v>8.33</v>
      </c>
      <c r="Q1176">
        <v>-2.0499999999999998</v>
      </c>
      <c r="R1176">
        <v>8.11</v>
      </c>
      <c r="S1176">
        <v>8.3000000000000007</v>
      </c>
      <c r="T1176">
        <v>6963</v>
      </c>
      <c r="U1176">
        <v>8.16</v>
      </c>
      <c r="V1176">
        <v>8.2799999999999994</v>
      </c>
      <c r="W1176">
        <v>51.41</v>
      </c>
      <c r="X1176" t="s">
        <v>3122</v>
      </c>
      <c r="Y1176" t="s">
        <v>123</v>
      </c>
      <c r="Z1176">
        <v>2.66</v>
      </c>
      <c r="AA1176">
        <v>8.23</v>
      </c>
      <c r="AB1176">
        <v>4547</v>
      </c>
      <c r="AC1176">
        <v>2416</v>
      </c>
      <c r="AD1176">
        <v>1.88</v>
      </c>
      <c r="AE1176">
        <v>8</v>
      </c>
      <c r="AF1176">
        <v>371</v>
      </c>
      <c r="AG1176" t="s">
        <v>120</v>
      </c>
      <c r="AH1176">
        <v>0.01</v>
      </c>
      <c r="AI1176" t="s">
        <v>120</v>
      </c>
      <c r="AJ1176">
        <v>2.44</v>
      </c>
      <c r="AK1176" t="s">
        <v>3578</v>
      </c>
      <c r="AL1176">
        <v>0.46</v>
      </c>
      <c r="AM1176">
        <v>458</v>
      </c>
      <c r="AN1176">
        <v>15</v>
      </c>
      <c r="AO1176">
        <v>5.9999999999999995E-4</v>
      </c>
      <c r="AP1176">
        <v>-1</v>
      </c>
      <c r="AQ1176">
        <v>0.73</v>
      </c>
      <c r="AR1176">
        <v>-1.21</v>
      </c>
      <c r="AS1176">
        <v>5.57</v>
      </c>
      <c r="AT1176">
        <v>0.13</v>
      </c>
      <c r="AU1176">
        <v>-2.86</v>
      </c>
      <c r="AV1176">
        <v>2</v>
      </c>
      <c r="AW1176">
        <v>0.95</v>
      </c>
      <c r="AX1176">
        <v>27.17</v>
      </c>
      <c r="AY1176">
        <v>74.010000000000005</v>
      </c>
      <c r="AZ1176">
        <v>81.52</v>
      </c>
      <c r="BA1176">
        <v>0.43</v>
      </c>
      <c r="BB1176" t="s">
        <v>143</v>
      </c>
      <c r="BF1176">
        <v>-0.57999999999999996</v>
      </c>
      <c r="BG1176">
        <v>-1.69</v>
      </c>
      <c r="BH1176">
        <v>-2.04</v>
      </c>
      <c r="BI1176">
        <v>0.62</v>
      </c>
      <c r="BJ1176">
        <v>20210913</v>
      </c>
      <c r="BK1176">
        <v>20160908</v>
      </c>
      <c r="BL1176">
        <v>2.7</v>
      </c>
      <c r="BM1176" t="s">
        <v>120</v>
      </c>
      <c r="BN1176" t="s">
        <v>120</v>
      </c>
      <c r="BO1176">
        <v>29.68</v>
      </c>
      <c r="BP1176">
        <v>8.15</v>
      </c>
      <c r="BQ1176">
        <v>15.08</v>
      </c>
      <c r="BR1176">
        <v>0.09</v>
      </c>
      <c r="BS1176">
        <v>48.86</v>
      </c>
      <c r="BT1176">
        <v>24.25</v>
      </c>
      <c r="BU1176">
        <v>2.77</v>
      </c>
      <c r="BV1176">
        <v>0.26</v>
      </c>
      <c r="BW1176">
        <v>10.36</v>
      </c>
      <c r="BX1176">
        <v>5.73</v>
      </c>
      <c r="BY1176">
        <v>0.73</v>
      </c>
      <c r="BZ1176">
        <v>3</v>
      </c>
      <c r="CA1176">
        <v>0.02</v>
      </c>
      <c r="CB1176">
        <v>5.37</v>
      </c>
      <c r="CC1176">
        <v>9.01</v>
      </c>
      <c r="CD1176">
        <v>6.9</v>
      </c>
      <c r="CE1176">
        <v>0.26</v>
      </c>
      <c r="CF1176">
        <v>0.01</v>
      </c>
      <c r="CG1176">
        <v>0.26</v>
      </c>
      <c r="CH1176">
        <v>0.21</v>
      </c>
      <c r="CI1176">
        <v>0.21</v>
      </c>
      <c r="CJ1176">
        <v>-0.12</v>
      </c>
      <c r="CK1176">
        <v>0.16</v>
      </c>
      <c r="CL1176">
        <v>4.91</v>
      </c>
      <c r="CM1176">
        <v>1.47</v>
      </c>
      <c r="CN1176">
        <v>-1.77</v>
      </c>
      <c r="CO1176">
        <v>12853</v>
      </c>
      <c r="CP1176">
        <v>5708</v>
      </c>
      <c r="CQ1176" t="s">
        <v>3644</v>
      </c>
      <c r="CR1176">
        <v>14.93</v>
      </c>
      <c r="CS1176">
        <v>6.88</v>
      </c>
      <c r="CT1176">
        <v>1.6</v>
      </c>
      <c r="CU1176">
        <v>15</v>
      </c>
      <c r="CV1176">
        <v>2.44</v>
      </c>
      <c r="CW1176">
        <v>4.83</v>
      </c>
      <c r="CX1176" t="s">
        <v>535</v>
      </c>
      <c r="CY1176">
        <v>5.09</v>
      </c>
      <c r="CZ1176">
        <v>5.09</v>
      </c>
      <c r="DA1176">
        <v>1.99</v>
      </c>
      <c r="DB1176">
        <v>1.82</v>
      </c>
      <c r="DC1176">
        <v>0.54</v>
      </c>
      <c r="DD1176">
        <v>50.82</v>
      </c>
      <c r="DE1176" t="s">
        <v>4198</v>
      </c>
      <c r="DF1176">
        <v>23.48</v>
      </c>
      <c r="DG1176">
        <v>2.84</v>
      </c>
      <c r="DH1176">
        <v>2.38</v>
      </c>
      <c r="DI1176">
        <v>0.38</v>
      </c>
      <c r="DJ1176">
        <v>1639</v>
      </c>
      <c r="DK1176">
        <v>2811</v>
      </c>
      <c r="DL1176" t="s">
        <v>120</v>
      </c>
      <c r="DM1176" t="s">
        <v>120</v>
      </c>
      <c r="DN1176" t="s">
        <v>120</v>
      </c>
    </row>
    <row r="1177" spans="1:118">
      <c r="A1177" t="str">
        <f>"002812"</f>
        <v>002812</v>
      </c>
      <c r="B1177" t="s">
        <v>6511</v>
      </c>
      <c r="C1177">
        <v>-2.59</v>
      </c>
      <c r="D1177">
        <v>0</v>
      </c>
      <c r="E1177">
        <v>0.25</v>
      </c>
      <c r="F1177">
        <v>585</v>
      </c>
      <c r="G1177" t="s">
        <v>6512</v>
      </c>
      <c r="H1177">
        <v>173856.38</v>
      </c>
      <c r="I1177">
        <v>817.01</v>
      </c>
      <c r="J1177" t="s">
        <v>120</v>
      </c>
      <c r="K1177" t="s">
        <v>6513</v>
      </c>
      <c r="L1177">
        <v>0.68</v>
      </c>
      <c r="M1177">
        <v>292.94</v>
      </c>
      <c r="N1177">
        <v>0.83</v>
      </c>
      <c r="O1177">
        <v>0.85</v>
      </c>
      <c r="P1177">
        <v>303.3</v>
      </c>
      <c r="Q1177">
        <v>-4</v>
      </c>
      <c r="R1177">
        <v>288.7</v>
      </c>
      <c r="S1177">
        <v>301.48</v>
      </c>
      <c r="T1177">
        <v>58712</v>
      </c>
      <c r="U1177">
        <v>292.95</v>
      </c>
      <c r="V1177">
        <v>300.73</v>
      </c>
      <c r="W1177">
        <v>124.46</v>
      </c>
      <c r="X1177" t="s">
        <v>2211</v>
      </c>
      <c r="Y1177" t="s">
        <v>1006</v>
      </c>
      <c r="Z1177">
        <v>4.8499999999999996</v>
      </c>
      <c r="AA1177">
        <v>296.12</v>
      </c>
      <c r="AB1177">
        <v>30110</v>
      </c>
      <c r="AC1177">
        <v>28602</v>
      </c>
      <c r="AD1177">
        <v>1.05</v>
      </c>
      <c r="AE1177">
        <v>16</v>
      </c>
      <c r="AF1177">
        <v>1</v>
      </c>
      <c r="AG1177" t="s">
        <v>120</v>
      </c>
      <c r="AH1177">
        <v>0.01</v>
      </c>
      <c r="AI1177" t="s">
        <v>120</v>
      </c>
      <c r="AJ1177">
        <v>8.61</v>
      </c>
      <c r="AK1177" t="s">
        <v>6514</v>
      </c>
      <c r="AL1177">
        <v>-0.68</v>
      </c>
      <c r="AM1177">
        <v>4200</v>
      </c>
      <c r="AN1177">
        <v>14</v>
      </c>
      <c r="AO1177">
        <v>2.0000000000000001E-4</v>
      </c>
      <c r="AP1177">
        <v>-2</v>
      </c>
      <c r="AQ1177">
        <v>-3.02</v>
      </c>
      <c r="AR1177">
        <v>0.99</v>
      </c>
      <c r="AS1177">
        <v>13.41</v>
      </c>
      <c r="AT1177">
        <v>40.85</v>
      </c>
      <c r="AU1177">
        <v>106.86</v>
      </c>
      <c r="AV1177">
        <v>2</v>
      </c>
      <c r="AW1177">
        <v>1.25</v>
      </c>
      <c r="AX1177">
        <v>52.5</v>
      </c>
      <c r="AY1177">
        <v>145.51</v>
      </c>
      <c r="AZ1177">
        <v>240.56</v>
      </c>
      <c r="BA1177">
        <v>1.61</v>
      </c>
      <c r="BB1177" t="s">
        <v>143</v>
      </c>
      <c r="BF1177">
        <v>-1.53</v>
      </c>
      <c r="BG1177">
        <v>-2.83</v>
      </c>
      <c r="BH1177">
        <v>-3.42</v>
      </c>
      <c r="BI1177">
        <v>1.47</v>
      </c>
      <c r="BJ1177">
        <v>20210827</v>
      </c>
      <c r="BK1177">
        <v>20160914</v>
      </c>
      <c r="BL1177">
        <v>8.92</v>
      </c>
      <c r="BM1177" t="s">
        <v>120</v>
      </c>
      <c r="BN1177" t="s">
        <v>120</v>
      </c>
      <c r="BO1177">
        <v>218.8</v>
      </c>
      <c r="BP1177">
        <v>292.94</v>
      </c>
      <c r="BQ1177">
        <v>121.11</v>
      </c>
      <c r="BR1177">
        <v>5.54</v>
      </c>
      <c r="BS1177">
        <v>42.12</v>
      </c>
      <c r="BT1177">
        <v>83.08</v>
      </c>
      <c r="BU1177">
        <v>87.5</v>
      </c>
      <c r="BV1177">
        <v>4.88</v>
      </c>
      <c r="BW1177">
        <v>43.35</v>
      </c>
      <c r="BX1177">
        <v>12.26</v>
      </c>
      <c r="BY1177">
        <v>15.14</v>
      </c>
      <c r="BZ1177">
        <v>32.64</v>
      </c>
      <c r="CA1177" t="s">
        <v>120</v>
      </c>
      <c r="CB1177">
        <v>75.73</v>
      </c>
      <c r="CC1177">
        <v>33.94</v>
      </c>
      <c r="CD1177">
        <v>17.88</v>
      </c>
      <c r="CE1177">
        <v>12.49</v>
      </c>
      <c r="CF1177">
        <v>0.1</v>
      </c>
      <c r="CG1177">
        <v>12.49</v>
      </c>
      <c r="CH1177">
        <v>11.07</v>
      </c>
      <c r="CI1177">
        <v>10.5</v>
      </c>
      <c r="CJ1177">
        <v>-7.79</v>
      </c>
      <c r="CK1177">
        <v>9.84</v>
      </c>
      <c r="CL1177">
        <v>36.46</v>
      </c>
      <c r="CM1177">
        <v>2.44</v>
      </c>
      <c r="CN1177">
        <v>-9.8800000000000008</v>
      </c>
      <c r="CO1177">
        <v>28637</v>
      </c>
      <c r="CP1177">
        <v>16359</v>
      </c>
      <c r="CQ1177" t="s">
        <v>6515</v>
      </c>
      <c r="CR1177">
        <v>226.76</v>
      </c>
      <c r="CS1177">
        <v>135.58000000000001</v>
      </c>
      <c r="CT1177">
        <v>21.67</v>
      </c>
      <c r="CU1177">
        <v>1072.04</v>
      </c>
      <c r="CV1177">
        <v>77.03</v>
      </c>
      <c r="CW1177">
        <v>0.06</v>
      </c>
      <c r="CX1177" t="s">
        <v>6435</v>
      </c>
      <c r="CY1177">
        <v>13.52</v>
      </c>
      <c r="CZ1177">
        <v>13.52</v>
      </c>
      <c r="DA1177">
        <v>8.49</v>
      </c>
      <c r="DB1177">
        <v>4.09</v>
      </c>
      <c r="DC1177">
        <v>0.27</v>
      </c>
      <c r="DD1177">
        <v>55.35</v>
      </c>
      <c r="DE1177" t="s">
        <v>6516</v>
      </c>
      <c r="DF1177">
        <v>47.31</v>
      </c>
      <c r="DG1177">
        <v>36.81</v>
      </c>
      <c r="DH1177">
        <v>30.94</v>
      </c>
      <c r="DI1177">
        <v>1.7</v>
      </c>
      <c r="DJ1177">
        <v>5040</v>
      </c>
      <c r="DK1177">
        <v>2812</v>
      </c>
      <c r="DL1177" t="s">
        <v>120</v>
      </c>
      <c r="DM1177" t="s">
        <v>120</v>
      </c>
      <c r="DN1177" t="s">
        <v>120</v>
      </c>
    </row>
    <row r="1178" spans="1:118">
      <c r="A1178" t="str">
        <f>"002813"</f>
        <v>002813</v>
      </c>
      <c r="B1178" t="s">
        <v>6517</v>
      </c>
      <c r="C1178">
        <v>-1.99</v>
      </c>
      <c r="D1178">
        <v>0</v>
      </c>
      <c r="E1178">
        <v>-0.09</v>
      </c>
      <c r="F1178">
        <v>125</v>
      </c>
      <c r="G1178" t="s">
        <v>6518</v>
      </c>
      <c r="H1178">
        <v>2133.5700000000002</v>
      </c>
      <c r="I1178">
        <v>11.34</v>
      </c>
      <c r="J1178" t="s">
        <v>120</v>
      </c>
      <c r="K1178" t="s">
        <v>6347</v>
      </c>
      <c r="L1178">
        <v>1.65</v>
      </c>
      <c r="M1178">
        <v>22.7</v>
      </c>
      <c r="N1178">
        <v>0.99</v>
      </c>
      <c r="O1178">
        <v>1.04</v>
      </c>
      <c r="P1178">
        <v>23.4</v>
      </c>
      <c r="Q1178">
        <v>-1.99</v>
      </c>
      <c r="R1178">
        <v>22.7</v>
      </c>
      <c r="S1178">
        <v>23.14</v>
      </c>
      <c r="T1178">
        <v>9287</v>
      </c>
      <c r="U1178">
        <v>22.71</v>
      </c>
      <c r="V1178">
        <v>23.16</v>
      </c>
      <c r="W1178">
        <v>362.76</v>
      </c>
      <c r="X1178" t="s">
        <v>289</v>
      </c>
      <c r="Y1178" t="s">
        <v>123</v>
      </c>
      <c r="Z1178">
        <v>3.02</v>
      </c>
      <c r="AA1178">
        <v>22.97</v>
      </c>
      <c r="AB1178">
        <v>6095</v>
      </c>
      <c r="AC1178">
        <v>3192</v>
      </c>
      <c r="AD1178">
        <v>1.91</v>
      </c>
      <c r="AE1178">
        <v>179</v>
      </c>
      <c r="AF1178">
        <v>32</v>
      </c>
      <c r="AG1178" t="s">
        <v>120</v>
      </c>
      <c r="AH1178">
        <v>0.01</v>
      </c>
      <c r="AI1178" t="s">
        <v>120</v>
      </c>
      <c r="AJ1178">
        <v>0.56000000000000005</v>
      </c>
      <c r="AK1178" t="s">
        <v>4328</v>
      </c>
      <c r="AL1178">
        <v>-7.0000000000000007E-2</v>
      </c>
      <c r="AM1178">
        <v>985</v>
      </c>
      <c r="AN1178">
        <v>9</v>
      </c>
      <c r="AO1178">
        <v>1.6999999999999999E-3</v>
      </c>
      <c r="AP1178">
        <v>-3</v>
      </c>
      <c r="AQ1178">
        <v>-0.98</v>
      </c>
      <c r="AR1178">
        <v>-4.3</v>
      </c>
      <c r="AS1178">
        <v>-14.21</v>
      </c>
      <c r="AT1178">
        <v>-15.49</v>
      </c>
      <c r="AU1178">
        <v>4.18</v>
      </c>
      <c r="AV1178">
        <v>19</v>
      </c>
      <c r="AW1178">
        <v>2.48</v>
      </c>
      <c r="AX1178">
        <v>31.23</v>
      </c>
      <c r="AY1178">
        <v>23.84</v>
      </c>
      <c r="AZ1178">
        <v>35.090000000000003</v>
      </c>
      <c r="BA1178">
        <v>0.78</v>
      </c>
      <c r="BB1178" t="s">
        <v>240</v>
      </c>
      <c r="BF1178">
        <v>-0.8</v>
      </c>
      <c r="BG1178">
        <v>-1.9</v>
      </c>
      <c r="BH1178">
        <v>-2.99</v>
      </c>
      <c r="BI1178">
        <v>0</v>
      </c>
      <c r="BJ1178">
        <v>20210831</v>
      </c>
      <c r="BK1178">
        <v>20161012</v>
      </c>
      <c r="BL1178">
        <v>1.2</v>
      </c>
      <c r="BM1178" t="s">
        <v>120</v>
      </c>
      <c r="BN1178" t="s">
        <v>120</v>
      </c>
      <c r="BO1178">
        <v>5.67</v>
      </c>
      <c r="BP1178">
        <v>22.7</v>
      </c>
      <c r="BQ1178">
        <v>3.86</v>
      </c>
      <c r="BR1178">
        <v>-0.01</v>
      </c>
      <c r="BS1178">
        <v>32.049999999999997</v>
      </c>
      <c r="BT1178">
        <v>2.44</v>
      </c>
      <c r="BU1178">
        <v>1.54</v>
      </c>
      <c r="BV1178">
        <v>0</v>
      </c>
      <c r="BW1178">
        <v>1.17</v>
      </c>
      <c r="BX1178">
        <v>0.37</v>
      </c>
      <c r="BY1178">
        <v>0.63</v>
      </c>
      <c r="BZ1178">
        <v>0.45</v>
      </c>
      <c r="CA1178" t="s">
        <v>120</v>
      </c>
      <c r="CB1178">
        <v>2.0499999999999998</v>
      </c>
      <c r="CC1178">
        <v>1.77</v>
      </c>
      <c r="CD1178">
        <v>1.34</v>
      </c>
      <c r="CE1178">
        <v>0.09</v>
      </c>
      <c r="CF1178">
        <v>0</v>
      </c>
      <c r="CG1178">
        <v>0.09</v>
      </c>
      <c r="CH1178">
        <v>0.04</v>
      </c>
      <c r="CI1178">
        <v>0.04</v>
      </c>
      <c r="CJ1178">
        <v>-0.46</v>
      </c>
      <c r="CK1178">
        <v>0.02</v>
      </c>
      <c r="CL1178">
        <v>0.19</v>
      </c>
      <c r="CM1178">
        <v>0.43</v>
      </c>
      <c r="CN1178">
        <v>0.04</v>
      </c>
      <c r="CO1178">
        <v>22759</v>
      </c>
      <c r="CP1178">
        <v>1647</v>
      </c>
      <c r="CQ1178" t="s">
        <v>2596</v>
      </c>
      <c r="CR1178">
        <v>111.16</v>
      </c>
      <c r="CS1178">
        <v>-39.54</v>
      </c>
      <c r="CT1178">
        <v>7.05</v>
      </c>
      <c r="CU1178">
        <v>62.84</v>
      </c>
      <c r="CV1178">
        <v>15.38</v>
      </c>
      <c r="CW1178">
        <v>0</v>
      </c>
      <c r="CX1178" t="s">
        <v>6519</v>
      </c>
      <c r="CY1178">
        <v>3.22</v>
      </c>
      <c r="CZ1178">
        <v>0</v>
      </c>
      <c r="DA1178">
        <v>1.71</v>
      </c>
      <c r="DB1178">
        <v>0.16</v>
      </c>
      <c r="DC1178">
        <v>0.36</v>
      </c>
      <c r="DD1178">
        <v>68.08</v>
      </c>
      <c r="DE1178" t="s">
        <v>2075</v>
      </c>
      <c r="DF1178">
        <v>24.63</v>
      </c>
      <c r="DG1178">
        <v>5.01</v>
      </c>
      <c r="DH1178">
        <v>2.12</v>
      </c>
      <c r="DI1178">
        <v>0.09</v>
      </c>
      <c r="DJ1178">
        <v>293</v>
      </c>
      <c r="DK1178">
        <v>2813</v>
      </c>
      <c r="DL1178" t="s">
        <v>120</v>
      </c>
      <c r="DM1178" t="s">
        <v>120</v>
      </c>
      <c r="DN1178" t="s">
        <v>120</v>
      </c>
    </row>
    <row r="1179" spans="1:118">
      <c r="A1179" t="str">
        <f>"002815"</f>
        <v>002815</v>
      </c>
      <c r="B1179" t="s">
        <v>6520</v>
      </c>
      <c r="C1179">
        <v>-2.2999999999999998</v>
      </c>
      <c r="D1179">
        <v>0.08</v>
      </c>
      <c r="E1179">
        <v>0</v>
      </c>
      <c r="F1179">
        <v>519</v>
      </c>
      <c r="G1179" t="s">
        <v>6521</v>
      </c>
      <c r="H1179">
        <v>5270.71</v>
      </c>
      <c r="I1179">
        <v>11.6</v>
      </c>
      <c r="J1179" t="s">
        <v>120</v>
      </c>
      <c r="K1179" t="s">
        <v>6522</v>
      </c>
      <c r="L1179">
        <v>0.99</v>
      </c>
      <c r="M1179">
        <v>12.32</v>
      </c>
      <c r="N1179">
        <v>0.99</v>
      </c>
      <c r="O1179">
        <v>0.32</v>
      </c>
      <c r="P1179">
        <v>12.65</v>
      </c>
      <c r="Q1179">
        <v>-2.46</v>
      </c>
      <c r="R1179">
        <v>12.3</v>
      </c>
      <c r="S1179">
        <v>12.61</v>
      </c>
      <c r="T1179">
        <v>42394</v>
      </c>
      <c r="U1179">
        <v>12.33</v>
      </c>
      <c r="V1179">
        <v>12.61</v>
      </c>
      <c r="W1179">
        <v>21.99</v>
      </c>
      <c r="X1179" t="s">
        <v>229</v>
      </c>
      <c r="Y1179" t="s">
        <v>123</v>
      </c>
      <c r="Z1179">
        <v>2.78</v>
      </c>
      <c r="AA1179">
        <v>12.43</v>
      </c>
      <c r="AB1179">
        <v>28684</v>
      </c>
      <c r="AC1179">
        <v>13710</v>
      </c>
      <c r="AD1179">
        <v>2.09</v>
      </c>
      <c r="AE1179">
        <v>1</v>
      </c>
      <c r="AF1179">
        <v>193</v>
      </c>
      <c r="AG1179" t="s">
        <v>120</v>
      </c>
      <c r="AH1179">
        <v>0</v>
      </c>
      <c r="AI1179" t="s">
        <v>120</v>
      </c>
      <c r="AJ1179">
        <v>4.3</v>
      </c>
      <c r="AK1179" t="s">
        <v>6523</v>
      </c>
      <c r="AL1179">
        <v>-0.39</v>
      </c>
      <c r="AM1179">
        <v>1841</v>
      </c>
      <c r="AN1179">
        <v>23</v>
      </c>
      <c r="AO1179">
        <v>5.0000000000000001E-4</v>
      </c>
      <c r="AP1179">
        <v>-1</v>
      </c>
      <c r="AQ1179">
        <v>0.32</v>
      </c>
      <c r="AR1179">
        <v>-3.98</v>
      </c>
      <c r="AS1179">
        <v>-4.9400000000000004</v>
      </c>
      <c r="AT1179">
        <v>-1.1299999999999999</v>
      </c>
      <c r="AU1179">
        <v>-13.17</v>
      </c>
      <c r="AV1179">
        <v>0</v>
      </c>
      <c r="AW1179">
        <v>1.49</v>
      </c>
      <c r="AX1179">
        <v>32.56</v>
      </c>
      <c r="AY1179">
        <v>26.53</v>
      </c>
      <c r="AZ1179">
        <v>25.06</v>
      </c>
      <c r="BA1179">
        <v>0.55000000000000004</v>
      </c>
      <c r="BB1179" t="s">
        <v>125</v>
      </c>
      <c r="BF1179">
        <v>-1.41</v>
      </c>
      <c r="BG1179">
        <v>-2.2999999999999998</v>
      </c>
      <c r="BH1179">
        <v>-2.61</v>
      </c>
      <c r="BI1179">
        <v>0.16</v>
      </c>
      <c r="BJ1179">
        <v>20210818</v>
      </c>
      <c r="BK1179">
        <v>20161012</v>
      </c>
      <c r="BL1179">
        <v>8.76</v>
      </c>
      <c r="BM1179" t="s">
        <v>120</v>
      </c>
      <c r="BN1179" t="s">
        <v>120</v>
      </c>
      <c r="BO1179">
        <v>82.01</v>
      </c>
      <c r="BP1179">
        <v>12.32</v>
      </c>
      <c r="BQ1179">
        <v>42.35</v>
      </c>
      <c r="BR1179">
        <v>1.75</v>
      </c>
      <c r="BS1179">
        <v>46.23</v>
      </c>
      <c r="BT1179">
        <v>36.53</v>
      </c>
      <c r="BU1179">
        <v>27.7</v>
      </c>
      <c r="BV1179">
        <v>2.81</v>
      </c>
      <c r="BW1179">
        <v>23.48</v>
      </c>
      <c r="BX1179">
        <v>7.58</v>
      </c>
      <c r="BY1179">
        <v>7.55</v>
      </c>
      <c r="BZ1179">
        <v>11.61</v>
      </c>
      <c r="CA1179" t="s">
        <v>120</v>
      </c>
      <c r="CB1179">
        <v>11.86</v>
      </c>
      <c r="CC1179">
        <v>27.15</v>
      </c>
      <c r="CD1179">
        <v>20.41</v>
      </c>
      <c r="CE1179">
        <v>3.05</v>
      </c>
      <c r="CF1179">
        <v>0.09</v>
      </c>
      <c r="CG1179">
        <v>3.06</v>
      </c>
      <c r="CH1179">
        <v>2.75</v>
      </c>
      <c r="CI1179">
        <v>2.4500000000000002</v>
      </c>
      <c r="CJ1179">
        <v>-0.28999999999999998</v>
      </c>
      <c r="CK1179">
        <v>2.29</v>
      </c>
      <c r="CL1179">
        <v>18.36</v>
      </c>
      <c r="CM1179">
        <v>4.33</v>
      </c>
      <c r="CN1179">
        <v>2.61</v>
      </c>
      <c r="CO1179">
        <v>44904</v>
      </c>
      <c r="CP1179">
        <v>6349</v>
      </c>
      <c r="CQ1179" t="s">
        <v>4931</v>
      </c>
      <c r="CR1179">
        <v>-9.0399999999999991</v>
      </c>
      <c r="CS1179">
        <v>25.26</v>
      </c>
      <c r="CT1179">
        <v>2.64</v>
      </c>
      <c r="CU1179">
        <v>24.94</v>
      </c>
      <c r="CV1179">
        <v>3.97</v>
      </c>
      <c r="CW1179">
        <v>2</v>
      </c>
      <c r="CX1179" t="s">
        <v>1054</v>
      </c>
      <c r="CY1179">
        <v>4.67</v>
      </c>
      <c r="CZ1179">
        <v>4.67</v>
      </c>
      <c r="DA1179">
        <v>1.35</v>
      </c>
      <c r="DB1179">
        <v>2.1</v>
      </c>
      <c r="DC1179">
        <v>0.49</v>
      </c>
      <c r="DD1179">
        <v>51.64</v>
      </c>
      <c r="DE1179" t="s">
        <v>4589</v>
      </c>
      <c r="DF1179">
        <v>24.84</v>
      </c>
      <c r="DG1179">
        <v>11.25</v>
      </c>
      <c r="DH1179">
        <v>9.0299999999999994</v>
      </c>
      <c r="DI1179">
        <v>1.19</v>
      </c>
      <c r="DJ1179">
        <v>5455</v>
      </c>
      <c r="DK1179">
        <v>2815</v>
      </c>
      <c r="DL1179" t="s">
        <v>120</v>
      </c>
      <c r="DM1179" t="s">
        <v>120</v>
      </c>
      <c r="DN1179" t="s">
        <v>120</v>
      </c>
    </row>
    <row r="1180" spans="1:118">
      <c r="A1180" t="str">
        <f>"002816"</f>
        <v>002816</v>
      </c>
      <c r="B1180" t="s">
        <v>6524</v>
      </c>
      <c r="C1180">
        <v>-2.0699999999999998</v>
      </c>
      <c r="D1180">
        <v>0.05</v>
      </c>
      <c r="E1180">
        <v>-0.87</v>
      </c>
      <c r="F1180">
        <v>121</v>
      </c>
      <c r="G1180" t="s">
        <v>6525</v>
      </c>
      <c r="H1180">
        <v>1999.63</v>
      </c>
      <c r="I1180">
        <v>10.28</v>
      </c>
      <c r="J1180" t="s">
        <v>120</v>
      </c>
      <c r="K1180" t="s">
        <v>6526</v>
      </c>
      <c r="L1180">
        <v>0.99</v>
      </c>
      <c r="M1180">
        <v>20.3</v>
      </c>
      <c r="N1180">
        <v>0.69</v>
      </c>
      <c r="O1180">
        <v>2.3199999999999998</v>
      </c>
      <c r="P1180">
        <v>21.21</v>
      </c>
      <c r="Q1180">
        <v>-2.3199999999999998</v>
      </c>
      <c r="R1180">
        <v>20.25</v>
      </c>
      <c r="S1180">
        <v>20.55</v>
      </c>
      <c r="T1180">
        <v>9711</v>
      </c>
      <c r="U1180">
        <v>20.3</v>
      </c>
      <c r="V1180">
        <v>20.73</v>
      </c>
      <c r="W1180" t="s">
        <v>120</v>
      </c>
      <c r="X1180" t="s">
        <v>675</v>
      </c>
      <c r="Y1180" t="s">
        <v>123</v>
      </c>
      <c r="Z1180">
        <v>4.63</v>
      </c>
      <c r="AA1180">
        <v>20.59</v>
      </c>
      <c r="AB1180">
        <v>4995</v>
      </c>
      <c r="AC1180">
        <v>4716</v>
      </c>
      <c r="AD1180">
        <v>1.06</v>
      </c>
      <c r="AE1180">
        <v>72</v>
      </c>
      <c r="AF1180">
        <v>19</v>
      </c>
      <c r="AG1180" t="s">
        <v>120</v>
      </c>
      <c r="AH1180">
        <v>0.01</v>
      </c>
      <c r="AI1180" t="s">
        <v>120</v>
      </c>
      <c r="AJ1180">
        <v>0.98</v>
      </c>
      <c r="AK1180" t="s">
        <v>1706</v>
      </c>
      <c r="AL1180">
        <v>-0.16</v>
      </c>
      <c r="AM1180">
        <v>973</v>
      </c>
      <c r="AN1180">
        <v>10</v>
      </c>
      <c r="AO1180">
        <v>1E-3</v>
      </c>
      <c r="AP1180">
        <v>-3</v>
      </c>
      <c r="AQ1180">
        <v>-0.28999999999999998</v>
      </c>
      <c r="AR1180">
        <v>-4.47</v>
      </c>
      <c r="AS1180">
        <v>25.31</v>
      </c>
      <c r="AT1180">
        <v>-12.95</v>
      </c>
      <c r="AU1180">
        <v>-11.82</v>
      </c>
      <c r="AV1180">
        <v>3</v>
      </c>
      <c r="AW1180">
        <v>1.43</v>
      </c>
      <c r="AX1180">
        <v>68.05</v>
      </c>
      <c r="AY1180" t="s">
        <v>120</v>
      </c>
      <c r="AZ1180" t="s">
        <v>120</v>
      </c>
      <c r="BA1180">
        <v>0.96</v>
      </c>
      <c r="BB1180" t="s">
        <v>143</v>
      </c>
      <c r="BF1180">
        <v>-0.67</v>
      </c>
      <c r="BG1180">
        <v>-1.22</v>
      </c>
      <c r="BH1180">
        <v>-4.29</v>
      </c>
      <c r="BI1180">
        <v>0.25</v>
      </c>
      <c r="BJ1180">
        <v>20210831</v>
      </c>
      <c r="BK1180">
        <v>20161025</v>
      </c>
      <c r="BL1180">
        <v>1</v>
      </c>
      <c r="BM1180" t="s">
        <v>120</v>
      </c>
      <c r="BN1180" t="s">
        <v>120</v>
      </c>
      <c r="BO1180">
        <v>5.92</v>
      </c>
      <c r="BP1180">
        <v>20.29</v>
      </c>
      <c r="BQ1180">
        <v>3.88</v>
      </c>
      <c r="BR1180" t="s">
        <v>120</v>
      </c>
      <c r="BS1180">
        <v>34.4</v>
      </c>
      <c r="BT1180">
        <v>4.7300000000000004</v>
      </c>
      <c r="BU1180">
        <v>0.83</v>
      </c>
      <c r="BV1180">
        <v>0.11</v>
      </c>
      <c r="BW1180">
        <v>2.0099999999999998</v>
      </c>
      <c r="BX1180">
        <v>1.3</v>
      </c>
      <c r="BY1180">
        <v>1.55</v>
      </c>
      <c r="BZ1180">
        <v>1.1000000000000001</v>
      </c>
      <c r="CA1180" t="s">
        <v>120</v>
      </c>
      <c r="CB1180">
        <v>2.0499999999999998</v>
      </c>
      <c r="CC1180">
        <v>0.44</v>
      </c>
      <c r="CD1180">
        <v>0.28000000000000003</v>
      </c>
      <c r="CE1180">
        <v>-0.18</v>
      </c>
      <c r="CF1180">
        <v>0</v>
      </c>
      <c r="CG1180">
        <v>-0.18</v>
      </c>
      <c r="CH1180">
        <v>-0.17</v>
      </c>
      <c r="CI1180">
        <v>-0.17</v>
      </c>
      <c r="CJ1180">
        <v>-0.43</v>
      </c>
      <c r="CK1180">
        <v>-0.18</v>
      </c>
      <c r="CL1180">
        <v>0.75</v>
      </c>
      <c r="CM1180">
        <v>0.18</v>
      </c>
      <c r="CN1180">
        <v>0.14000000000000001</v>
      </c>
      <c r="CO1180">
        <v>6387</v>
      </c>
      <c r="CP1180">
        <v>10654</v>
      </c>
      <c r="CQ1180" t="s">
        <v>6527</v>
      </c>
      <c r="CR1180">
        <v>-368.67</v>
      </c>
      <c r="CS1180">
        <v>-20.62</v>
      </c>
      <c r="CT1180">
        <v>5.23</v>
      </c>
      <c r="CU1180">
        <v>111.36</v>
      </c>
      <c r="CV1180">
        <v>46.51</v>
      </c>
      <c r="CW1180">
        <v>0</v>
      </c>
      <c r="CX1180" t="s">
        <v>1513</v>
      </c>
      <c r="CY1180">
        <v>3.88</v>
      </c>
      <c r="CZ1180">
        <v>0</v>
      </c>
      <c r="DA1180">
        <v>2.0499999999999998</v>
      </c>
      <c r="DB1180">
        <v>0.75</v>
      </c>
      <c r="DC1180">
        <v>0.18</v>
      </c>
      <c r="DD1180">
        <v>65.599999999999994</v>
      </c>
      <c r="DE1180" t="s">
        <v>6528</v>
      </c>
      <c r="DF1180">
        <v>35.92</v>
      </c>
      <c r="DG1180">
        <v>-40.479999999999997</v>
      </c>
      <c r="DH1180">
        <v>-40.020000000000003</v>
      </c>
      <c r="DI1180">
        <v>0.04</v>
      </c>
      <c r="DJ1180">
        <v>423</v>
      </c>
      <c r="DK1180">
        <v>2816</v>
      </c>
      <c r="DL1180" t="s">
        <v>120</v>
      </c>
      <c r="DM1180" t="s">
        <v>120</v>
      </c>
      <c r="DN1180" t="s">
        <v>120</v>
      </c>
    </row>
    <row r="1181" spans="1:118">
      <c r="A1181" t="str">
        <f>"002817"</f>
        <v>002817</v>
      </c>
      <c r="B1181" t="s">
        <v>6529</v>
      </c>
      <c r="C1181">
        <v>-2.76</v>
      </c>
      <c r="D1181">
        <v>0</v>
      </c>
      <c r="E1181">
        <v>0.1</v>
      </c>
      <c r="F1181">
        <v>44</v>
      </c>
      <c r="G1181" t="s">
        <v>6530</v>
      </c>
      <c r="H1181">
        <v>3537.71</v>
      </c>
      <c r="I1181">
        <v>4.9400000000000004</v>
      </c>
      <c r="J1181" t="s">
        <v>120</v>
      </c>
      <c r="K1181" t="s">
        <v>6531</v>
      </c>
      <c r="L1181">
        <v>2.78</v>
      </c>
      <c r="M1181">
        <v>10.220000000000001</v>
      </c>
      <c r="N1181">
        <v>1.24</v>
      </c>
      <c r="O1181">
        <v>0.76</v>
      </c>
      <c r="P1181">
        <v>10.59</v>
      </c>
      <c r="Q1181">
        <v>-2.76</v>
      </c>
      <c r="R1181">
        <v>10.220000000000001</v>
      </c>
      <c r="S1181">
        <v>10.52</v>
      </c>
      <c r="T1181">
        <v>33933</v>
      </c>
      <c r="U1181">
        <v>10.24</v>
      </c>
      <c r="V1181">
        <v>10.51</v>
      </c>
      <c r="W1181">
        <v>40.950000000000003</v>
      </c>
      <c r="X1181" t="s">
        <v>569</v>
      </c>
      <c r="Y1181" t="s">
        <v>570</v>
      </c>
      <c r="Z1181">
        <v>3.52</v>
      </c>
      <c r="AA1181">
        <v>10.43</v>
      </c>
      <c r="AB1181">
        <v>20365</v>
      </c>
      <c r="AC1181">
        <v>13568</v>
      </c>
      <c r="AD1181">
        <v>1.5</v>
      </c>
      <c r="AE1181">
        <v>188</v>
      </c>
      <c r="AF1181">
        <v>44</v>
      </c>
      <c r="AG1181" t="s">
        <v>120</v>
      </c>
      <c r="AH1181">
        <v>0</v>
      </c>
      <c r="AI1181" t="s">
        <v>120</v>
      </c>
      <c r="AJ1181">
        <v>1.22</v>
      </c>
      <c r="AK1181" t="s">
        <v>6532</v>
      </c>
      <c r="AL1181">
        <v>-0.85</v>
      </c>
      <c r="AM1181">
        <v>1262</v>
      </c>
      <c r="AN1181">
        <v>27</v>
      </c>
      <c r="AO1181">
        <v>2.2000000000000001E-3</v>
      </c>
      <c r="AP1181">
        <v>-2</v>
      </c>
      <c r="AQ1181">
        <v>-3.04</v>
      </c>
      <c r="AR1181">
        <v>-5.28</v>
      </c>
      <c r="AS1181">
        <v>-2.11</v>
      </c>
      <c r="AT1181">
        <v>-0.28999999999999998</v>
      </c>
      <c r="AU1181">
        <v>12.18</v>
      </c>
      <c r="AV1181">
        <v>0</v>
      </c>
      <c r="AW1181">
        <v>2.87</v>
      </c>
      <c r="AX1181">
        <v>55.27</v>
      </c>
      <c r="AY1181">
        <v>42.67</v>
      </c>
      <c r="AZ1181">
        <v>49.62</v>
      </c>
      <c r="BA1181">
        <v>0.3</v>
      </c>
      <c r="BB1181" t="s">
        <v>143</v>
      </c>
      <c r="BF1181">
        <v>-0.8</v>
      </c>
      <c r="BG1181">
        <v>-2.85</v>
      </c>
      <c r="BH1181">
        <v>-3.49</v>
      </c>
      <c r="BI1181">
        <v>0</v>
      </c>
      <c r="BJ1181">
        <v>20210823</v>
      </c>
      <c r="BK1181">
        <v>20161025</v>
      </c>
      <c r="BL1181">
        <v>2.14</v>
      </c>
      <c r="BM1181" t="s">
        <v>120</v>
      </c>
      <c r="BN1181" t="s">
        <v>120</v>
      </c>
      <c r="BO1181">
        <v>9.81</v>
      </c>
      <c r="BP1181">
        <v>10.220000000000001</v>
      </c>
      <c r="BQ1181">
        <v>7.8</v>
      </c>
      <c r="BR1181">
        <v>0.02</v>
      </c>
      <c r="BS1181">
        <v>20.32</v>
      </c>
      <c r="BT1181">
        <v>5.86</v>
      </c>
      <c r="BU1181">
        <v>2.63</v>
      </c>
      <c r="BV1181">
        <v>0.17</v>
      </c>
      <c r="BW1181">
        <v>1.1599999999999999</v>
      </c>
      <c r="BX1181">
        <v>2.4900000000000002</v>
      </c>
      <c r="BY1181">
        <v>0.86</v>
      </c>
      <c r="BZ1181">
        <v>0.95</v>
      </c>
      <c r="CA1181" t="s">
        <v>120</v>
      </c>
      <c r="CB1181">
        <v>1.71</v>
      </c>
      <c r="CC1181">
        <v>1.95</v>
      </c>
      <c r="CD1181">
        <v>1.37</v>
      </c>
      <c r="CE1181">
        <v>0.28000000000000003</v>
      </c>
      <c r="CF1181">
        <v>0</v>
      </c>
      <c r="CG1181">
        <v>0.28000000000000003</v>
      </c>
      <c r="CH1181">
        <v>0.26</v>
      </c>
      <c r="CI1181">
        <v>0.27</v>
      </c>
      <c r="CJ1181">
        <v>-0.28999999999999998</v>
      </c>
      <c r="CK1181">
        <v>0.22</v>
      </c>
      <c r="CL1181">
        <v>3.49</v>
      </c>
      <c r="CM1181">
        <v>0.31</v>
      </c>
      <c r="CN1181">
        <v>7.0000000000000007E-2</v>
      </c>
      <c r="CO1181">
        <v>13154</v>
      </c>
      <c r="CP1181">
        <v>8976</v>
      </c>
      <c r="CQ1181" t="s">
        <v>2236</v>
      </c>
      <c r="CR1181">
        <v>38.21</v>
      </c>
      <c r="CS1181">
        <v>36.5</v>
      </c>
      <c r="CT1181">
        <v>2.8</v>
      </c>
      <c r="CU1181">
        <v>71.13</v>
      </c>
      <c r="CV1181">
        <v>11.18</v>
      </c>
      <c r="CW1181">
        <v>0.39</v>
      </c>
      <c r="CX1181" t="s">
        <v>850</v>
      </c>
      <c r="CY1181">
        <v>3.65</v>
      </c>
      <c r="CZ1181">
        <v>0</v>
      </c>
      <c r="DA1181">
        <v>0.8</v>
      </c>
      <c r="DB1181">
        <v>1.63</v>
      </c>
      <c r="DC1181">
        <v>0.14000000000000001</v>
      </c>
      <c r="DD1181">
        <v>79.430000000000007</v>
      </c>
      <c r="DE1181" t="s">
        <v>367</v>
      </c>
      <c r="DF1181">
        <v>29.78</v>
      </c>
      <c r="DG1181">
        <v>14.5</v>
      </c>
      <c r="DH1181">
        <v>13.65</v>
      </c>
      <c r="DI1181">
        <v>7.0000000000000007E-2</v>
      </c>
      <c r="DJ1181">
        <v>699</v>
      </c>
      <c r="DK1181">
        <v>2817</v>
      </c>
      <c r="DL1181" t="s">
        <v>120</v>
      </c>
      <c r="DM1181" t="s">
        <v>120</v>
      </c>
      <c r="DN1181" t="s">
        <v>120</v>
      </c>
    </row>
    <row r="1182" spans="1:118">
      <c r="A1182" t="str">
        <f>"002818"</f>
        <v>002818</v>
      </c>
      <c r="B1182" t="s">
        <v>6533</v>
      </c>
      <c r="C1182">
        <v>-1.53</v>
      </c>
      <c r="D1182">
        <v>7.0000000000000007E-2</v>
      </c>
      <c r="E1182">
        <v>0.15</v>
      </c>
      <c r="F1182">
        <v>68</v>
      </c>
      <c r="G1182" t="s">
        <v>6534</v>
      </c>
      <c r="H1182">
        <v>2645.67</v>
      </c>
      <c r="I1182">
        <v>14.16</v>
      </c>
      <c r="J1182" t="s">
        <v>120</v>
      </c>
      <c r="K1182" t="s">
        <v>6535</v>
      </c>
      <c r="L1182">
        <v>0.65</v>
      </c>
      <c r="M1182">
        <v>13.52</v>
      </c>
      <c r="N1182">
        <v>0.74</v>
      </c>
      <c r="O1182">
        <v>0.51</v>
      </c>
      <c r="P1182">
        <v>13.8</v>
      </c>
      <c r="Q1182">
        <v>-2.33</v>
      </c>
      <c r="R1182">
        <v>13.41</v>
      </c>
      <c r="S1182">
        <v>13.75</v>
      </c>
      <c r="T1182">
        <v>19433</v>
      </c>
      <c r="U1182">
        <v>13.52</v>
      </c>
      <c r="V1182">
        <v>13.73</v>
      </c>
      <c r="W1182">
        <v>11</v>
      </c>
      <c r="X1182" t="s">
        <v>221</v>
      </c>
      <c r="Y1182" t="s">
        <v>578</v>
      </c>
      <c r="Z1182">
        <v>2.84</v>
      </c>
      <c r="AA1182">
        <v>13.61</v>
      </c>
      <c r="AB1182">
        <v>11231</v>
      </c>
      <c r="AC1182">
        <v>8202</v>
      </c>
      <c r="AD1182">
        <v>1.37</v>
      </c>
      <c r="AE1182">
        <v>61</v>
      </c>
      <c r="AF1182">
        <v>11</v>
      </c>
      <c r="AG1182" t="s">
        <v>120</v>
      </c>
      <c r="AH1182">
        <v>0.01</v>
      </c>
      <c r="AI1182" t="s">
        <v>120</v>
      </c>
      <c r="AJ1182">
        <v>2.98</v>
      </c>
      <c r="AK1182" t="s">
        <v>6536</v>
      </c>
      <c r="AL1182">
        <v>0.38</v>
      </c>
      <c r="AM1182">
        <v>1895</v>
      </c>
      <c r="AN1182">
        <v>10</v>
      </c>
      <c r="AO1182">
        <v>2.9999999999999997E-4</v>
      </c>
      <c r="AP1182">
        <v>-1</v>
      </c>
      <c r="AQ1182">
        <v>1.7</v>
      </c>
      <c r="AR1182">
        <v>-1.32</v>
      </c>
      <c r="AS1182">
        <v>13.04</v>
      </c>
      <c r="AT1182">
        <v>9.74</v>
      </c>
      <c r="AU1182">
        <v>-7.0000000000000007E-2</v>
      </c>
      <c r="AV1182">
        <v>0</v>
      </c>
      <c r="AW1182">
        <v>1.31</v>
      </c>
      <c r="AX1182">
        <v>19.84</v>
      </c>
      <c r="AY1182">
        <v>11.14</v>
      </c>
      <c r="AZ1182">
        <v>13.29</v>
      </c>
      <c r="BA1182">
        <v>0.31</v>
      </c>
      <c r="BB1182" t="s">
        <v>184</v>
      </c>
      <c r="BF1182">
        <v>-0.84</v>
      </c>
      <c r="BG1182">
        <v>-1.67</v>
      </c>
      <c r="BH1182">
        <v>-2.0299999999999998</v>
      </c>
      <c r="BI1182">
        <v>0.82</v>
      </c>
      <c r="BJ1182">
        <v>20210831</v>
      </c>
      <c r="BK1182">
        <v>20161109</v>
      </c>
      <c r="BL1182">
        <v>7.48</v>
      </c>
      <c r="BM1182" t="s">
        <v>120</v>
      </c>
      <c r="BN1182" t="s">
        <v>120</v>
      </c>
      <c r="BO1182">
        <v>67.12</v>
      </c>
      <c r="BP1182">
        <v>13.51</v>
      </c>
      <c r="BQ1182">
        <v>55.89</v>
      </c>
      <c r="BR1182">
        <v>1.75</v>
      </c>
      <c r="BS1182">
        <v>14.12</v>
      </c>
      <c r="BT1182">
        <v>29.73</v>
      </c>
      <c r="BU1182">
        <v>1.94</v>
      </c>
      <c r="BV1182">
        <v>12.95</v>
      </c>
      <c r="BW1182">
        <v>9.24</v>
      </c>
      <c r="BX1182">
        <v>2.04</v>
      </c>
      <c r="BY1182">
        <v>1.87</v>
      </c>
      <c r="BZ1182">
        <v>0.16</v>
      </c>
      <c r="CA1182" t="s">
        <v>120</v>
      </c>
      <c r="CB1182">
        <v>7.26</v>
      </c>
      <c r="CC1182">
        <v>7.42</v>
      </c>
      <c r="CD1182">
        <v>2.1</v>
      </c>
      <c r="CE1182">
        <v>5.52</v>
      </c>
      <c r="CF1182">
        <v>0.59</v>
      </c>
      <c r="CG1182">
        <v>5.52</v>
      </c>
      <c r="CH1182">
        <v>4.7300000000000004</v>
      </c>
      <c r="CI1182">
        <v>4.5999999999999996</v>
      </c>
      <c r="CJ1182">
        <v>-0.21</v>
      </c>
      <c r="CK1182">
        <v>4.1100000000000003</v>
      </c>
      <c r="CL1182">
        <v>37.35</v>
      </c>
      <c r="CM1182">
        <v>7.52</v>
      </c>
      <c r="CN1182">
        <v>-3.47</v>
      </c>
      <c r="CO1182">
        <v>20308</v>
      </c>
      <c r="CP1182">
        <v>7313</v>
      </c>
      <c r="CQ1182" t="s">
        <v>6537</v>
      </c>
      <c r="CR1182">
        <v>47.96</v>
      </c>
      <c r="CS1182">
        <v>22.08</v>
      </c>
      <c r="CT1182">
        <v>1.81</v>
      </c>
      <c r="CU1182">
        <v>13.45</v>
      </c>
      <c r="CV1182">
        <v>13.64</v>
      </c>
      <c r="CW1182">
        <v>4.3899999999999997</v>
      </c>
      <c r="CX1182" t="s">
        <v>1656</v>
      </c>
      <c r="CY1182">
        <v>7.47</v>
      </c>
      <c r="CZ1182">
        <v>0</v>
      </c>
      <c r="DA1182">
        <v>0.97</v>
      </c>
      <c r="DB1182">
        <v>4.99</v>
      </c>
      <c r="DC1182">
        <v>1.01</v>
      </c>
      <c r="DD1182">
        <v>83.27</v>
      </c>
      <c r="DE1182" t="s">
        <v>6084</v>
      </c>
      <c r="DF1182">
        <v>71.650000000000006</v>
      </c>
      <c r="DG1182">
        <v>74.349999999999994</v>
      </c>
      <c r="DH1182">
        <v>61.97</v>
      </c>
      <c r="DI1182" t="s">
        <v>120</v>
      </c>
      <c r="DJ1182">
        <v>758</v>
      </c>
      <c r="DK1182">
        <v>2818</v>
      </c>
      <c r="DL1182" t="s">
        <v>120</v>
      </c>
      <c r="DM1182" t="s">
        <v>120</v>
      </c>
      <c r="DN1182" t="s">
        <v>120</v>
      </c>
    </row>
    <row r="1183" spans="1:118">
      <c r="A1183" t="str">
        <f>"002819"</f>
        <v>002819</v>
      </c>
      <c r="B1183" t="s">
        <v>6538</v>
      </c>
      <c r="C1183">
        <v>0.73</v>
      </c>
      <c r="D1183">
        <v>-0.01</v>
      </c>
      <c r="E1183">
        <v>-0.28999999999999998</v>
      </c>
      <c r="F1183">
        <v>93</v>
      </c>
      <c r="G1183" t="s">
        <v>6539</v>
      </c>
      <c r="H1183">
        <v>4286.05</v>
      </c>
      <c r="I1183">
        <v>24.64</v>
      </c>
      <c r="J1183" t="s">
        <v>120</v>
      </c>
      <c r="K1183" t="s">
        <v>6540</v>
      </c>
      <c r="L1183">
        <v>0.75</v>
      </c>
      <c r="M1183">
        <v>41.49</v>
      </c>
      <c r="N1183">
        <v>0.84</v>
      </c>
      <c r="O1183">
        <v>1.1399999999999999</v>
      </c>
      <c r="P1183">
        <v>41.66</v>
      </c>
      <c r="Q1183">
        <v>-1.55</v>
      </c>
      <c r="R1183">
        <v>40.549999999999997</v>
      </c>
      <c r="S1183">
        <v>41.07</v>
      </c>
      <c r="T1183">
        <v>10434</v>
      </c>
      <c r="U1183">
        <v>41.49</v>
      </c>
      <c r="V1183">
        <v>41.19</v>
      </c>
      <c r="W1183">
        <v>142.69999999999999</v>
      </c>
      <c r="X1183" t="s">
        <v>2717</v>
      </c>
      <c r="Y1183" t="s">
        <v>158</v>
      </c>
      <c r="Z1183">
        <v>2.69</v>
      </c>
      <c r="AA1183">
        <v>41.08</v>
      </c>
      <c r="AB1183">
        <v>5545</v>
      </c>
      <c r="AC1183">
        <v>4889</v>
      </c>
      <c r="AD1183">
        <v>1.1299999999999999</v>
      </c>
      <c r="AE1183">
        <v>4</v>
      </c>
      <c r="AF1183">
        <v>6</v>
      </c>
      <c r="AG1183" t="s">
        <v>120</v>
      </c>
      <c r="AH1183">
        <v>0.01</v>
      </c>
      <c r="AI1183" t="s">
        <v>120</v>
      </c>
      <c r="AJ1183">
        <v>1.4</v>
      </c>
      <c r="AK1183" t="s">
        <v>6541</v>
      </c>
      <c r="AL1183">
        <v>2.64</v>
      </c>
      <c r="AM1183">
        <v>858</v>
      </c>
      <c r="AN1183">
        <v>12</v>
      </c>
      <c r="AO1183">
        <v>8.9999999999999998E-4</v>
      </c>
      <c r="AP1183">
        <v>3</v>
      </c>
      <c r="AQ1183">
        <v>0.46</v>
      </c>
      <c r="AR1183">
        <v>1.31</v>
      </c>
      <c r="AS1183">
        <v>-5.94</v>
      </c>
      <c r="AT1183">
        <v>22.31</v>
      </c>
      <c r="AU1183">
        <v>32.04</v>
      </c>
      <c r="AV1183">
        <v>14</v>
      </c>
      <c r="AW1183">
        <v>1.73</v>
      </c>
      <c r="AX1183">
        <v>37.76</v>
      </c>
      <c r="AY1183">
        <v>105.66</v>
      </c>
      <c r="AZ1183">
        <v>119.45</v>
      </c>
      <c r="BA1183">
        <v>0</v>
      </c>
      <c r="BB1183" t="s">
        <v>168</v>
      </c>
      <c r="BF1183">
        <v>-0.27</v>
      </c>
      <c r="BG1183">
        <v>1.02</v>
      </c>
      <c r="BH1183">
        <v>-0.41</v>
      </c>
      <c r="BI1183">
        <v>2.3199999999999998</v>
      </c>
      <c r="BJ1183">
        <v>20210830</v>
      </c>
      <c r="BK1183">
        <v>20161111</v>
      </c>
      <c r="BL1183">
        <v>1.6</v>
      </c>
      <c r="BM1183" t="s">
        <v>120</v>
      </c>
      <c r="BN1183" t="s">
        <v>120</v>
      </c>
      <c r="BO1183">
        <v>11.05</v>
      </c>
      <c r="BP1183">
        <v>41.46</v>
      </c>
      <c r="BQ1183">
        <v>5.7</v>
      </c>
      <c r="BR1183">
        <v>0.38</v>
      </c>
      <c r="BS1183">
        <v>45.08</v>
      </c>
      <c r="BT1183">
        <v>10.17</v>
      </c>
      <c r="BU1183">
        <v>0.49</v>
      </c>
      <c r="BV1183">
        <v>0.03</v>
      </c>
      <c r="BW1183">
        <v>4.8499999999999996</v>
      </c>
      <c r="BX1183">
        <v>1.53</v>
      </c>
      <c r="BY1183">
        <v>1.03</v>
      </c>
      <c r="BZ1183">
        <v>1.94</v>
      </c>
      <c r="CA1183" t="s">
        <v>120</v>
      </c>
      <c r="CB1183">
        <v>0.84</v>
      </c>
      <c r="CC1183">
        <v>6.48</v>
      </c>
      <c r="CD1183">
        <v>5.37</v>
      </c>
      <c r="CE1183">
        <v>0.33</v>
      </c>
      <c r="CF1183">
        <v>0</v>
      </c>
      <c r="CG1183">
        <v>0.33</v>
      </c>
      <c r="CH1183">
        <v>0.27</v>
      </c>
      <c r="CI1183">
        <v>0.23</v>
      </c>
      <c r="CJ1183">
        <v>0.3</v>
      </c>
      <c r="CK1183">
        <v>0.22</v>
      </c>
      <c r="CL1183">
        <v>3.21</v>
      </c>
      <c r="CM1183">
        <v>-0.64</v>
      </c>
      <c r="CN1183">
        <v>-0.19</v>
      </c>
      <c r="CO1183">
        <v>9750</v>
      </c>
      <c r="CP1183">
        <v>6182</v>
      </c>
      <c r="CQ1183" t="s">
        <v>6542</v>
      </c>
      <c r="CR1183">
        <v>44.84</v>
      </c>
      <c r="CS1183">
        <v>41.41</v>
      </c>
      <c r="CT1183">
        <v>11.63</v>
      </c>
      <c r="CU1183">
        <v>-103.85</v>
      </c>
      <c r="CV1183">
        <v>10.23</v>
      </c>
      <c r="CW1183">
        <v>0.15</v>
      </c>
      <c r="CX1183" t="s">
        <v>373</v>
      </c>
      <c r="CY1183">
        <v>3.57</v>
      </c>
      <c r="CZ1183">
        <v>0</v>
      </c>
      <c r="DA1183">
        <v>0.53</v>
      </c>
      <c r="DB1183">
        <v>2.0099999999999998</v>
      </c>
      <c r="DC1183">
        <v>-0.4</v>
      </c>
      <c r="DD1183">
        <v>51.52</v>
      </c>
      <c r="DE1183" t="s">
        <v>6213</v>
      </c>
      <c r="DF1183">
        <v>17.07</v>
      </c>
      <c r="DG1183">
        <v>5.07</v>
      </c>
      <c r="DH1183">
        <v>3.58</v>
      </c>
      <c r="DI1183">
        <v>0.19</v>
      </c>
      <c r="DJ1183">
        <v>306</v>
      </c>
      <c r="DK1183">
        <v>2819</v>
      </c>
      <c r="DL1183">
        <v>20210809</v>
      </c>
      <c r="DM1183">
        <v>49.65</v>
      </c>
      <c r="DN1183">
        <v>-16.440000000000001</v>
      </c>
    </row>
    <row r="1184" spans="1:118">
      <c r="A1184" t="str">
        <f>"002820"</f>
        <v>002820</v>
      </c>
      <c r="B1184" t="s">
        <v>6543</v>
      </c>
      <c r="C1184">
        <v>-0.4</v>
      </c>
      <c r="D1184">
        <v>-0.09</v>
      </c>
      <c r="E1184">
        <v>0.5</v>
      </c>
      <c r="F1184">
        <v>106</v>
      </c>
      <c r="G1184" t="s">
        <v>1548</v>
      </c>
      <c r="H1184">
        <v>1728.04</v>
      </c>
      <c r="I1184">
        <v>6.89</v>
      </c>
      <c r="J1184" t="s">
        <v>120</v>
      </c>
      <c r="K1184" t="s">
        <v>4434</v>
      </c>
      <c r="L1184">
        <v>0.84</v>
      </c>
      <c r="M1184">
        <v>10.039999999999999</v>
      </c>
      <c r="N1184">
        <v>1.06</v>
      </c>
      <c r="O1184">
        <v>1.39</v>
      </c>
      <c r="P1184">
        <v>10.220000000000001</v>
      </c>
      <c r="Q1184">
        <v>-0.4</v>
      </c>
      <c r="R1184">
        <v>10.039999999999999</v>
      </c>
      <c r="S1184">
        <v>10.130000000000001</v>
      </c>
      <c r="T1184">
        <v>17044</v>
      </c>
      <c r="U1184">
        <v>10.050000000000001</v>
      </c>
      <c r="V1184">
        <v>10.08</v>
      </c>
      <c r="W1184">
        <v>47.35</v>
      </c>
      <c r="X1184" t="s">
        <v>847</v>
      </c>
      <c r="Y1184" t="s">
        <v>997</v>
      </c>
      <c r="Z1184">
        <v>1.79</v>
      </c>
      <c r="AA1184">
        <v>10.14</v>
      </c>
      <c r="AB1184">
        <v>8637</v>
      </c>
      <c r="AC1184">
        <v>8407</v>
      </c>
      <c r="AD1184">
        <v>1.03</v>
      </c>
      <c r="AE1184">
        <v>378</v>
      </c>
      <c r="AF1184">
        <v>9</v>
      </c>
      <c r="AG1184" t="s">
        <v>120</v>
      </c>
      <c r="AH1184">
        <v>0.01</v>
      </c>
      <c r="AI1184" t="s">
        <v>120</v>
      </c>
      <c r="AJ1184">
        <v>2.0299999999999998</v>
      </c>
      <c r="AK1184" t="s">
        <v>6544</v>
      </c>
      <c r="AL1184">
        <v>1.52</v>
      </c>
      <c r="AM1184">
        <v>825</v>
      </c>
      <c r="AN1184">
        <v>21</v>
      </c>
      <c r="AO1184">
        <v>1E-3</v>
      </c>
      <c r="AP1184">
        <v>-1</v>
      </c>
      <c r="AQ1184">
        <v>1.31</v>
      </c>
      <c r="AR1184">
        <v>-0.39</v>
      </c>
      <c r="AS1184">
        <v>2.66</v>
      </c>
      <c r="AT1184">
        <v>-3.19</v>
      </c>
      <c r="AU1184">
        <v>-0.88</v>
      </c>
      <c r="AV1184">
        <v>0</v>
      </c>
      <c r="AW1184">
        <v>1.64</v>
      </c>
      <c r="AX1184">
        <v>50.64</v>
      </c>
      <c r="AY1184">
        <v>39.94</v>
      </c>
      <c r="AZ1184">
        <v>82.45</v>
      </c>
      <c r="BA1184">
        <v>0.33</v>
      </c>
      <c r="BB1184" t="s">
        <v>143</v>
      </c>
      <c r="BF1184">
        <v>0.57999999999999996</v>
      </c>
      <c r="BG1184">
        <v>-0.89</v>
      </c>
      <c r="BH1184">
        <v>-1.76</v>
      </c>
      <c r="BI1184">
        <v>0</v>
      </c>
      <c r="BJ1184">
        <v>20210821</v>
      </c>
      <c r="BK1184">
        <v>20161118</v>
      </c>
      <c r="BL1184">
        <v>2.0499999999999998</v>
      </c>
      <c r="BM1184" t="s">
        <v>120</v>
      </c>
      <c r="BN1184" t="s">
        <v>120</v>
      </c>
      <c r="BO1184">
        <v>11.57</v>
      </c>
      <c r="BP1184">
        <v>10.039999999999999</v>
      </c>
      <c r="BQ1184">
        <v>10.54</v>
      </c>
      <c r="BR1184" t="s">
        <v>120</v>
      </c>
      <c r="BS1184">
        <v>8.8800000000000008</v>
      </c>
      <c r="BT1184">
        <v>7.52</v>
      </c>
      <c r="BU1184">
        <v>1.37</v>
      </c>
      <c r="BV1184">
        <v>0.38</v>
      </c>
      <c r="BW1184">
        <v>0.6</v>
      </c>
      <c r="BX1184">
        <v>2.7</v>
      </c>
      <c r="BY1184">
        <v>0.42</v>
      </c>
      <c r="BZ1184">
        <v>0.19</v>
      </c>
      <c r="CA1184">
        <v>0.02</v>
      </c>
      <c r="CB1184">
        <v>4.8499999999999996</v>
      </c>
      <c r="CC1184">
        <v>2.25</v>
      </c>
      <c r="CD1184">
        <v>1.25</v>
      </c>
      <c r="CE1184">
        <v>0.26</v>
      </c>
      <c r="CF1184">
        <v>0.01</v>
      </c>
      <c r="CG1184">
        <v>0.27</v>
      </c>
      <c r="CH1184">
        <v>0.22</v>
      </c>
      <c r="CI1184">
        <v>0.22</v>
      </c>
      <c r="CJ1184">
        <v>-0.04</v>
      </c>
      <c r="CK1184">
        <v>0.21</v>
      </c>
      <c r="CL1184">
        <v>3.55</v>
      </c>
      <c r="CM1184">
        <v>0.56999999999999995</v>
      </c>
      <c r="CN1184">
        <v>-4.01</v>
      </c>
      <c r="CO1184">
        <v>18158</v>
      </c>
      <c r="CP1184">
        <v>5711</v>
      </c>
      <c r="CQ1184" t="s">
        <v>1461</v>
      </c>
      <c r="CR1184">
        <v>539.46</v>
      </c>
      <c r="CS1184">
        <v>50.67</v>
      </c>
      <c r="CT1184">
        <v>1.95</v>
      </c>
      <c r="CU1184">
        <v>36.1</v>
      </c>
      <c r="CV1184">
        <v>9.16</v>
      </c>
      <c r="CW1184">
        <v>1.46</v>
      </c>
      <c r="CX1184" t="s">
        <v>1147</v>
      </c>
      <c r="CY1184">
        <v>5.15</v>
      </c>
      <c r="CZ1184">
        <v>0</v>
      </c>
      <c r="DA1184">
        <v>2.37</v>
      </c>
      <c r="DB1184">
        <v>1.73</v>
      </c>
      <c r="DC1184">
        <v>0.28000000000000003</v>
      </c>
      <c r="DD1184">
        <v>91.12</v>
      </c>
      <c r="DE1184" t="s">
        <v>1890</v>
      </c>
      <c r="DF1184">
        <v>44.19</v>
      </c>
      <c r="DG1184">
        <v>11.76</v>
      </c>
      <c r="DH1184">
        <v>9.67</v>
      </c>
      <c r="DI1184">
        <v>0.02</v>
      </c>
      <c r="DJ1184">
        <v>1100</v>
      </c>
      <c r="DK1184">
        <v>2820</v>
      </c>
      <c r="DL1184" t="s">
        <v>120</v>
      </c>
      <c r="DM1184" t="s">
        <v>120</v>
      </c>
      <c r="DN1184" t="s">
        <v>120</v>
      </c>
    </row>
    <row r="1185" spans="1:118">
      <c r="A1185" t="str">
        <f>"002821"</f>
        <v>002821</v>
      </c>
      <c r="B1185" t="s">
        <v>6545</v>
      </c>
      <c r="C1185">
        <v>0.97</v>
      </c>
      <c r="D1185">
        <v>0.12</v>
      </c>
      <c r="E1185">
        <v>-1.08</v>
      </c>
      <c r="F1185">
        <v>580</v>
      </c>
      <c r="G1185" t="s">
        <v>6546</v>
      </c>
      <c r="H1185">
        <v>84436.57</v>
      </c>
      <c r="I1185">
        <v>147.6</v>
      </c>
      <c r="J1185" t="s">
        <v>120</v>
      </c>
      <c r="K1185" t="s">
        <v>6547</v>
      </c>
      <c r="L1185">
        <v>0.88</v>
      </c>
      <c r="M1185">
        <v>418.5</v>
      </c>
      <c r="N1185">
        <v>1.03</v>
      </c>
      <c r="O1185">
        <v>1.26</v>
      </c>
      <c r="P1185">
        <v>419.69</v>
      </c>
      <c r="Q1185">
        <v>-3.01</v>
      </c>
      <c r="R1185">
        <v>402</v>
      </c>
      <c r="S1185">
        <v>410</v>
      </c>
      <c r="T1185">
        <v>20513</v>
      </c>
      <c r="U1185">
        <v>418.5</v>
      </c>
      <c r="V1185">
        <v>414.47</v>
      </c>
      <c r="W1185">
        <v>118.25</v>
      </c>
      <c r="X1185" t="s">
        <v>666</v>
      </c>
      <c r="Y1185" t="s">
        <v>997</v>
      </c>
      <c r="Z1185">
        <v>4.2699999999999996</v>
      </c>
      <c r="AA1185">
        <v>411.62</v>
      </c>
      <c r="AB1185">
        <v>9769</v>
      </c>
      <c r="AC1185">
        <v>10744</v>
      </c>
      <c r="AD1185">
        <v>0.91</v>
      </c>
      <c r="AE1185">
        <v>4</v>
      </c>
      <c r="AF1185">
        <v>6</v>
      </c>
      <c r="AG1185" t="s">
        <v>120</v>
      </c>
      <c r="AH1185">
        <v>0</v>
      </c>
      <c r="AI1185" t="s">
        <v>120</v>
      </c>
      <c r="AJ1185">
        <v>2.33</v>
      </c>
      <c r="AK1185" t="s">
        <v>6548</v>
      </c>
      <c r="AL1185">
        <v>2.89</v>
      </c>
      <c r="AM1185">
        <v>2906</v>
      </c>
      <c r="AN1185">
        <v>7</v>
      </c>
      <c r="AO1185">
        <v>2.9999999999999997E-4</v>
      </c>
      <c r="AP1185">
        <v>9</v>
      </c>
      <c r="AQ1185">
        <v>2.12</v>
      </c>
      <c r="AR1185">
        <v>8.8000000000000007</v>
      </c>
      <c r="AS1185">
        <v>18.64</v>
      </c>
      <c r="AT1185">
        <v>12.37</v>
      </c>
      <c r="AU1185">
        <v>40.18</v>
      </c>
      <c r="AV1185">
        <v>1</v>
      </c>
      <c r="AW1185">
        <v>1.44</v>
      </c>
      <c r="AX1185">
        <v>58.52</v>
      </c>
      <c r="AY1185">
        <v>120.31</v>
      </c>
      <c r="AZ1185">
        <v>139.26</v>
      </c>
      <c r="BA1185">
        <v>1.63</v>
      </c>
      <c r="BB1185" t="s">
        <v>143</v>
      </c>
      <c r="BF1185">
        <v>-0.69</v>
      </c>
      <c r="BG1185">
        <v>2.0699999999999998</v>
      </c>
      <c r="BH1185">
        <v>-0.28000000000000003</v>
      </c>
      <c r="BI1185">
        <v>4.0999999999999996</v>
      </c>
      <c r="BJ1185">
        <v>20210914</v>
      </c>
      <c r="BK1185">
        <v>20161118</v>
      </c>
      <c r="BL1185">
        <v>2.4300000000000002</v>
      </c>
      <c r="BM1185" t="s">
        <v>120</v>
      </c>
      <c r="BN1185" t="s">
        <v>120</v>
      </c>
      <c r="BO1185">
        <v>76.97</v>
      </c>
      <c r="BP1185">
        <v>418.01</v>
      </c>
      <c r="BQ1185">
        <v>64.33</v>
      </c>
      <c r="BR1185">
        <v>0</v>
      </c>
      <c r="BS1185">
        <v>16.420000000000002</v>
      </c>
      <c r="BT1185">
        <v>40.47</v>
      </c>
      <c r="BU1185">
        <v>16.03</v>
      </c>
      <c r="BV1185">
        <v>2.98</v>
      </c>
      <c r="BW1185">
        <v>9.5299999999999994</v>
      </c>
      <c r="BX1185">
        <v>6.28</v>
      </c>
      <c r="BY1185">
        <v>8.7899999999999991</v>
      </c>
      <c r="BZ1185">
        <v>8.31</v>
      </c>
      <c r="CA1185" t="s">
        <v>120</v>
      </c>
      <c r="CB1185">
        <v>35.799999999999997</v>
      </c>
      <c r="CC1185">
        <v>17.600000000000001</v>
      </c>
      <c r="CD1185">
        <v>9.6999999999999993</v>
      </c>
      <c r="CE1185">
        <v>4.82</v>
      </c>
      <c r="CF1185">
        <v>0.15</v>
      </c>
      <c r="CG1185">
        <v>4.82</v>
      </c>
      <c r="CH1185">
        <v>4.29</v>
      </c>
      <c r="CI1185">
        <v>4.29</v>
      </c>
      <c r="CJ1185">
        <v>4.03</v>
      </c>
      <c r="CK1185">
        <v>3.53</v>
      </c>
      <c r="CL1185">
        <v>27.11</v>
      </c>
      <c r="CM1185">
        <v>4.8</v>
      </c>
      <c r="CN1185">
        <v>-14.94</v>
      </c>
      <c r="CO1185">
        <v>26659</v>
      </c>
      <c r="CP1185">
        <v>5325</v>
      </c>
      <c r="CQ1185" t="s">
        <v>6549</v>
      </c>
      <c r="CR1185">
        <v>36.03</v>
      </c>
      <c r="CS1185">
        <v>39.04</v>
      </c>
      <c r="CT1185">
        <v>15.78</v>
      </c>
      <c r="CU1185">
        <v>211.34</v>
      </c>
      <c r="CV1185">
        <v>57.68</v>
      </c>
      <c r="CW1185">
        <v>0.14000000000000001</v>
      </c>
      <c r="CX1185" t="s">
        <v>6550</v>
      </c>
      <c r="CY1185">
        <v>26.51</v>
      </c>
      <c r="CZ1185">
        <v>0</v>
      </c>
      <c r="DA1185">
        <v>14.76</v>
      </c>
      <c r="DB1185">
        <v>11.17</v>
      </c>
      <c r="DC1185">
        <v>1.98</v>
      </c>
      <c r="DD1185">
        <v>83.58</v>
      </c>
      <c r="DE1185" t="s">
        <v>3774</v>
      </c>
      <c r="DF1185">
        <v>44.88</v>
      </c>
      <c r="DG1185">
        <v>27.37</v>
      </c>
      <c r="DH1185">
        <v>24.39</v>
      </c>
      <c r="DI1185">
        <v>1.64</v>
      </c>
      <c r="DJ1185">
        <v>5477</v>
      </c>
      <c r="DK1185">
        <v>2821</v>
      </c>
      <c r="DL1185" t="s">
        <v>120</v>
      </c>
      <c r="DM1185" t="s">
        <v>120</v>
      </c>
      <c r="DN1185" t="s">
        <v>120</v>
      </c>
    </row>
    <row r="1186" spans="1:118">
      <c r="A1186" t="str">
        <f>"002822"</f>
        <v>002822</v>
      </c>
      <c r="B1186" t="s">
        <v>6551</v>
      </c>
      <c r="C1186">
        <v>-2.4700000000000002</v>
      </c>
      <c r="D1186">
        <v>-0.17</v>
      </c>
      <c r="E1186">
        <v>0.88</v>
      </c>
      <c r="F1186">
        <v>2797</v>
      </c>
      <c r="G1186" t="s">
        <v>6552</v>
      </c>
      <c r="H1186">
        <v>6356.51</v>
      </c>
      <c r="I1186">
        <v>168.1</v>
      </c>
      <c r="J1186" t="s">
        <v>120</v>
      </c>
      <c r="K1186" t="s">
        <v>3963</v>
      </c>
      <c r="L1186">
        <v>1.76</v>
      </c>
      <c r="M1186">
        <v>5.52</v>
      </c>
      <c r="N1186">
        <v>1.04</v>
      </c>
      <c r="O1186">
        <v>1.06</v>
      </c>
      <c r="P1186">
        <v>5.72</v>
      </c>
      <c r="Q1186">
        <v>-2.65</v>
      </c>
      <c r="R1186">
        <v>5.51</v>
      </c>
      <c r="S1186">
        <v>5.71</v>
      </c>
      <c r="T1186">
        <v>113178</v>
      </c>
      <c r="U1186">
        <v>5.53</v>
      </c>
      <c r="V1186">
        <v>5.66</v>
      </c>
      <c r="W1186">
        <v>19.100000000000001</v>
      </c>
      <c r="X1186" t="s">
        <v>3122</v>
      </c>
      <c r="Y1186" t="s">
        <v>123</v>
      </c>
      <c r="Z1186">
        <v>3.71</v>
      </c>
      <c r="AA1186">
        <v>5.62</v>
      </c>
      <c r="AB1186">
        <v>63013</v>
      </c>
      <c r="AC1186">
        <v>50165</v>
      </c>
      <c r="AD1186">
        <v>1.26</v>
      </c>
      <c r="AE1186">
        <v>483</v>
      </c>
      <c r="AF1186">
        <v>259</v>
      </c>
      <c r="AG1186" t="s">
        <v>120</v>
      </c>
      <c r="AH1186">
        <v>7.0000000000000007E-2</v>
      </c>
      <c r="AI1186" t="s">
        <v>120</v>
      </c>
      <c r="AJ1186">
        <v>6.42</v>
      </c>
      <c r="AK1186" t="s">
        <v>3388</v>
      </c>
      <c r="AL1186">
        <v>-0.56000000000000005</v>
      </c>
      <c r="AM1186">
        <v>1994</v>
      </c>
      <c r="AN1186">
        <v>57</v>
      </c>
      <c r="AO1186">
        <v>8.9999999999999998E-4</v>
      </c>
      <c r="AP1186">
        <v>-1</v>
      </c>
      <c r="AQ1186">
        <v>4.04</v>
      </c>
      <c r="AR1186">
        <v>-0.9</v>
      </c>
      <c r="AS1186">
        <v>8.4499999999999993</v>
      </c>
      <c r="AT1186">
        <v>-5.32</v>
      </c>
      <c r="AU1186">
        <v>-13.07</v>
      </c>
      <c r="AV1186">
        <v>1</v>
      </c>
      <c r="AW1186">
        <v>2.5299999999999998</v>
      </c>
      <c r="AX1186">
        <v>62.07</v>
      </c>
      <c r="AY1186">
        <v>15.34</v>
      </c>
      <c r="AZ1186">
        <v>15.78</v>
      </c>
      <c r="BA1186">
        <v>0.24</v>
      </c>
      <c r="BB1186" t="s">
        <v>143</v>
      </c>
      <c r="BF1186">
        <v>-0.77</v>
      </c>
      <c r="BG1186">
        <v>-3.33</v>
      </c>
      <c r="BH1186">
        <v>-3.5</v>
      </c>
      <c r="BI1186">
        <v>0.18</v>
      </c>
      <c r="BJ1186">
        <v>20210908</v>
      </c>
      <c r="BK1186">
        <v>20161129</v>
      </c>
      <c r="BL1186">
        <v>7.2</v>
      </c>
      <c r="BM1186" t="s">
        <v>120</v>
      </c>
      <c r="BN1186" t="s">
        <v>120</v>
      </c>
      <c r="BO1186">
        <v>82.4</v>
      </c>
      <c r="BP1186">
        <v>5.52</v>
      </c>
      <c r="BQ1186">
        <v>36.44</v>
      </c>
      <c r="BR1186">
        <v>0.94</v>
      </c>
      <c r="BS1186">
        <v>54.64</v>
      </c>
      <c r="BT1186">
        <v>72.33</v>
      </c>
      <c r="BU1186">
        <v>3.44</v>
      </c>
      <c r="BV1186">
        <v>3.24</v>
      </c>
      <c r="BW1186">
        <v>35.479999999999997</v>
      </c>
      <c r="BX1186">
        <v>17.36</v>
      </c>
      <c r="BY1186">
        <v>5.0199999999999996</v>
      </c>
      <c r="BZ1186">
        <v>23.81</v>
      </c>
      <c r="CA1186">
        <v>0.06</v>
      </c>
      <c r="CB1186">
        <v>13.01</v>
      </c>
      <c r="CC1186">
        <v>25.66</v>
      </c>
      <c r="CD1186">
        <v>21.23</v>
      </c>
      <c r="CE1186">
        <v>1.54</v>
      </c>
      <c r="CF1186">
        <v>7.0000000000000007E-2</v>
      </c>
      <c r="CG1186">
        <v>1.43</v>
      </c>
      <c r="CH1186">
        <v>1.1499999999999999</v>
      </c>
      <c r="CI1186">
        <v>1.04</v>
      </c>
      <c r="CJ1186">
        <v>-0.14000000000000001</v>
      </c>
      <c r="CK1186">
        <v>1.06</v>
      </c>
      <c r="CL1186">
        <v>12.94</v>
      </c>
      <c r="CM1186">
        <v>-2.5</v>
      </c>
      <c r="CN1186">
        <v>4.82</v>
      </c>
      <c r="CO1186">
        <v>36647</v>
      </c>
      <c r="CP1186">
        <v>12204</v>
      </c>
      <c r="CQ1186" t="s">
        <v>6553</v>
      </c>
      <c r="CR1186">
        <v>7.64</v>
      </c>
      <c r="CS1186">
        <v>28.87</v>
      </c>
      <c r="CT1186">
        <v>1.17</v>
      </c>
      <c r="CU1186">
        <v>-15.88</v>
      </c>
      <c r="CV1186">
        <v>1.55</v>
      </c>
      <c r="CW1186">
        <v>0.88</v>
      </c>
      <c r="CX1186" t="s">
        <v>300</v>
      </c>
      <c r="CY1186">
        <v>4.74</v>
      </c>
      <c r="CZ1186">
        <v>4.74</v>
      </c>
      <c r="DA1186">
        <v>1.81</v>
      </c>
      <c r="DB1186">
        <v>1.8</v>
      </c>
      <c r="DC1186">
        <v>-0.35</v>
      </c>
      <c r="DD1186">
        <v>44.22</v>
      </c>
      <c r="DE1186" t="s">
        <v>3366</v>
      </c>
      <c r="DF1186">
        <v>17.260000000000002</v>
      </c>
      <c r="DG1186">
        <v>6.01</v>
      </c>
      <c r="DH1186">
        <v>4.0599999999999996</v>
      </c>
      <c r="DI1186">
        <v>0.75</v>
      </c>
      <c r="DJ1186">
        <v>4121</v>
      </c>
      <c r="DK1186">
        <v>2822</v>
      </c>
      <c r="DL1186" t="s">
        <v>120</v>
      </c>
      <c r="DM1186" t="s">
        <v>120</v>
      </c>
      <c r="DN1186" t="s">
        <v>120</v>
      </c>
    </row>
    <row r="1187" spans="1:118">
      <c r="A1187" t="str">
        <f>"002823"</f>
        <v>002823</v>
      </c>
      <c r="B1187" t="s">
        <v>6554</v>
      </c>
      <c r="C1187">
        <v>-1.56</v>
      </c>
      <c r="D1187">
        <v>-0.36</v>
      </c>
      <c r="E1187">
        <v>0.18</v>
      </c>
      <c r="F1187">
        <v>173</v>
      </c>
      <c r="G1187" t="s">
        <v>6555</v>
      </c>
      <c r="H1187">
        <v>2879.93</v>
      </c>
      <c r="I1187">
        <v>6.67</v>
      </c>
      <c r="J1187" t="s">
        <v>120</v>
      </c>
      <c r="K1187" t="s">
        <v>2705</v>
      </c>
      <c r="L1187">
        <v>1.66</v>
      </c>
      <c r="M1187">
        <v>10.74</v>
      </c>
      <c r="N1187">
        <v>1.3</v>
      </c>
      <c r="O1187">
        <v>1.56</v>
      </c>
      <c r="P1187">
        <v>11.08</v>
      </c>
      <c r="Q1187">
        <v>-2.2000000000000002</v>
      </c>
      <c r="R1187">
        <v>10.67</v>
      </c>
      <c r="S1187">
        <v>10.93</v>
      </c>
      <c r="T1187">
        <v>26483</v>
      </c>
      <c r="U1187">
        <v>10.74</v>
      </c>
      <c r="V1187">
        <v>10.91</v>
      </c>
      <c r="W1187">
        <v>33.64</v>
      </c>
      <c r="X1187" t="s">
        <v>959</v>
      </c>
      <c r="Y1187" t="s">
        <v>123</v>
      </c>
      <c r="Z1187">
        <v>3.76</v>
      </c>
      <c r="AA1187">
        <v>10.87</v>
      </c>
      <c r="AB1187">
        <v>13792</v>
      </c>
      <c r="AC1187">
        <v>12691</v>
      </c>
      <c r="AD1187">
        <v>1.0900000000000001</v>
      </c>
      <c r="AE1187">
        <v>10</v>
      </c>
      <c r="AF1187">
        <v>28</v>
      </c>
      <c r="AG1187" t="s">
        <v>120</v>
      </c>
      <c r="AH1187">
        <v>0.01</v>
      </c>
      <c r="AI1187" t="s">
        <v>120</v>
      </c>
      <c r="AJ1187">
        <v>1.59</v>
      </c>
      <c r="AK1187" t="s">
        <v>176</v>
      </c>
      <c r="AL1187">
        <v>0.36</v>
      </c>
      <c r="AM1187">
        <v>1116</v>
      </c>
      <c r="AN1187">
        <v>24</v>
      </c>
      <c r="AO1187">
        <v>1.5E-3</v>
      </c>
      <c r="AP1187">
        <v>-3</v>
      </c>
      <c r="AQ1187">
        <v>-0.64</v>
      </c>
      <c r="AR1187">
        <v>-3.33</v>
      </c>
      <c r="AS1187">
        <v>-10.87</v>
      </c>
      <c r="AT1187">
        <v>0.94</v>
      </c>
      <c r="AU1187">
        <v>4.5199999999999996</v>
      </c>
      <c r="AV1187">
        <v>0</v>
      </c>
      <c r="AW1187">
        <v>2.25</v>
      </c>
      <c r="AX1187">
        <v>40.99</v>
      </c>
      <c r="AY1187">
        <v>28.16</v>
      </c>
      <c r="AZ1187">
        <v>37.43</v>
      </c>
      <c r="BA1187">
        <v>0.45</v>
      </c>
      <c r="BB1187" t="s">
        <v>143</v>
      </c>
      <c r="BF1187">
        <v>-0.33</v>
      </c>
      <c r="BG1187">
        <v>-1.74</v>
      </c>
      <c r="BH1187">
        <v>-3.07</v>
      </c>
      <c r="BI1187">
        <v>0.66</v>
      </c>
      <c r="BJ1187">
        <v>20210905</v>
      </c>
      <c r="BK1187">
        <v>20161124</v>
      </c>
      <c r="BL1187">
        <v>2.87</v>
      </c>
      <c r="BM1187" t="s">
        <v>120</v>
      </c>
      <c r="BN1187" t="s">
        <v>120</v>
      </c>
      <c r="BO1187">
        <v>38.24</v>
      </c>
      <c r="BP1187">
        <v>10.72</v>
      </c>
      <c r="BQ1187">
        <v>14.51</v>
      </c>
      <c r="BR1187" t="s">
        <v>120</v>
      </c>
      <c r="BS1187">
        <v>62.07</v>
      </c>
      <c r="BT1187">
        <v>14.01</v>
      </c>
      <c r="BU1187">
        <v>14.31</v>
      </c>
      <c r="BV1187">
        <v>1.46</v>
      </c>
      <c r="BW1187">
        <v>14.4</v>
      </c>
      <c r="BX1187">
        <v>2.06</v>
      </c>
      <c r="BY1187">
        <v>4.99</v>
      </c>
      <c r="BZ1187">
        <v>5.44</v>
      </c>
      <c r="CA1187" t="s">
        <v>120</v>
      </c>
      <c r="CB1187">
        <v>3.62</v>
      </c>
      <c r="CC1187">
        <v>12.68</v>
      </c>
      <c r="CD1187">
        <v>10.37</v>
      </c>
      <c r="CE1187">
        <v>0.49</v>
      </c>
      <c r="CF1187">
        <v>0</v>
      </c>
      <c r="CG1187">
        <v>0.48</v>
      </c>
      <c r="CH1187">
        <v>0.46</v>
      </c>
      <c r="CI1187">
        <v>0.46</v>
      </c>
      <c r="CJ1187">
        <v>-0.17</v>
      </c>
      <c r="CK1187">
        <v>0.2</v>
      </c>
      <c r="CL1187">
        <v>5.5</v>
      </c>
      <c r="CM1187">
        <v>0.06</v>
      </c>
      <c r="CN1187">
        <v>-0.17</v>
      </c>
      <c r="CO1187">
        <v>16937</v>
      </c>
      <c r="CP1187">
        <v>6949</v>
      </c>
      <c r="CQ1187" t="s">
        <v>1029</v>
      </c>
      <c r="CR1187">
        <v>150.38</v>
      </c>
      <c r="CS1187">
        <v>67.78</v>
      </c>
      <c r="CT1187">
        <v>2.2799999999999998</v>
      </c>
      <c r="CU1187">
        <v>515.05999999999995</v>
      </c>
      <c r="CV1187">
        <v>2.4300000000000002</v>
      </c>
      <c r="CW1187">
        <v>0.96</v>
      </c>
      <c r="CX1187" t="s">
        <v>1091</v>
      </c>
      <c r="CY1187">
        <v>4.71</v>
      </c>
      <c r="CZ1187">
        <v>4.71</v>
      </c>
      <c r="DA1187">
        <v>1.26</v>
      </c>
      <c r="DB1187">
        <v>1.92</v>
      </c>
      <c r="DC1187">
        <v>0.02</v>
      </c>
      <c r="DD1187">
        <v>37.93</v>
      </c>
      <c r="DE1187" t="s">
        <v>851</v>
      </c>
      <c r="DF1187">
        <v>18.260000000000002</v>
      </c>
      <c r="DG1187">
        <v>3.89</v>
      </c>
      <c r="DH1187">
        <v>3.61</v>
      </c>
      <c r="DI1187">
        <v>0.42</v>
      </c>
      <c r="DJ1187">
        <v>3768</v>
      </c>
      <c r="DK1187">
        <v>2823</v>
      </c>
      <c r="DL1187" t="s">
        <v>120</v>
      </c>
      <c r="DM1187" t="s">
        <v>120</v>
      </c>
      <c r="DN1187" t="s">
        <v>120</v>
      </c>
    </row>
    <row r="1188" spans="1:118">
      <c r="A1188" t="str">
        <f>"002824"</f>
        <v>002824</v>
      </c>
      <c r="B1188" t="s">
        <v>6556</v>
      </c>
      <c r="C1188">
        <v>-5.0599999999999996</v>
      </c>
      <c r="D1188">
        <v>0</v>
      </c>
      <c r="E1188">
        <v>1.6</v>
      </c>
      <c r="F1188">
        <v>114</v>
      </c>
      <c r="G1188" t="s">
        <v>6557</v>
      </c>
      <c r="H1188">
        <v>9386.51</v>
      </c>
      <c r="I1188">
        <v>48.88</v>
      </c>
      <c r="J1188" t="s">
        <v>120</v>
      </c>
      <c r="K1188" t="s">
        <v>6558</v>
      </c>
      <c r="L1188">
        <v>2.58</v>
      </c>
      <c r="M1188">
        <v>31.5</v>
      </c>
      <c r="N1188">
        <v>0.98</v>
      </c>
      <c r="O1188">
        <v>1.6</v>
      </c>
      <c r="P1188">
        <v>33.71</v>
      </c>
      <c r="Q1188">
        <v>-5.42</v>
      </c>
      <c r="R1188">
        <v>31.38</v>
      </c>
      <c r="S1188">
        <v>33.71</v>
      </c>
      <c r="T1188">
        <v>29262</v>
      </c>
      <c r="U1188">
        <v>31.51</v>
      </c>
      <c r="V1188">
        <v>33.18</v>
      </c>
      <c r="W1188">
        <v>38.42</v>
      </c>
      <c r="X1188" t="s">
        <v>1325</v>
      </c>
      <c r="Y1188" t="s">
        <v>547</v>
      </c>
      <c r="Z1188">
        <v>7.02</v>
      </c>
      <c r="AA1188">
        <v>32.08</v>
      </c>
      <c r="AB1188">
        <v>19583</v>
      </c>
      <c r="AC1188">
        <v>9679</v>
      </c>
      <c r="AD1188">
        <v>2.02</v>
      </c>
      <c r="AE1188">
        <v>5</v>
      </c>
      <c r="AF1188">
        <v>1</v>
      </c>
      <c r="AG1188" t="s">
        <v>120</v>
      </c>
      <c r="AH1188">
        <v>0.02</v>
      </c>
      <c r="AI1188" t="s">
        <v>120</v>
      </c>
      <c r="AJ1188">
        <v>1.1399999999999999</v>
      </c>
      <c r="AK1188" t="s">
        <v>6559</v>
      </c>
      <c r="AL1188">
        <v>-3.15</v>
      </c>
      <c r="AM1188">
        <v>2287</v>
      </c>
      <c r="AN1188">
        <v>13</v>
      </c>
      <c r="AO1188">
        <v>1.1000000000000001E-3</v>
      </c>
      <c r="AP1188">
        <v>-1</v>
      </c>
      <c r="AQ1188">
        <v>0</v>
      </c>
      <c r="AR1188">
        <v>-6.47</v>
      </c>
      <c r="AS1188">
        <v>-0.72</v>
      </c>
      <c r="AT1188">
        <v>-10.38</v>
      </c>
      <c r="AU1188">
        <v>99.78</v>
      </c>
      <c r="AV1188">
        <v>17</v>
      </c>
      <c r="AW1188">
        <v>3.97</v>
      </c>
      <c r="AX1188">
        <v>39.86</v>
      </c>
      <c r="AY1188">
        <v>43.33</v>
      </c>
      <c r="AZ1188">
        <v>81.25</v>
      </c>
      <c r="BA1188">
        <v>1.31</v>
      </c>
      <c r="BB1188" t="s">
        <v>125</v>
      </c>
      <c r="BF1188">
        <v>-3.32</v>
      </c>
      <c r="BG1188">
        <v>-6.56</v>
      </c>
      <c r="BH1188">
        <v>-6.56</v>
      </c>
      <c r="BI1188">
        <v>0.38</v>
      </c>
      <c r="BJ1188">
        <v>20210903</v>
      </c>
      <c r="BK1188">
        <v>20170112</v>
      </c>
      <c r="BL1188">
        <v>1.85</v>
      </c>
      <c r="BM1188" t="s">
        <v>120</v>
      </c>
      <c r="BN1188" t="s">
        <v>120</v>
      </c>
      <c r="BO1188">
        <v>16.12</v>
      </c>
      <c r="BP1188">
        <v>31.5</v>
      </c>
      <c r="BQ1188">
        <v>9.33</v>
      </c>
      <c r="BR1188">
        <v>0.67</v>
      </c>
      <c r="BS1188">
        <v>38.01</v>
      </c>
      <c r="BT1188">
        <v>9.0399999999999991</v>
      </c>
      <c r="BU1188">
        <v>5.13</v>
      </c>
      <c r="BV1188">
        <v>0.66</v>
      </c>
      <c r="BW1188">
        <v>5.71</v>
      </c>
      <c r="BX1188">
        <v>0.98</v>
      </c>
      <c r="BY1188">
        <v>2.54</v>
      </c>
      <c r="BZ1188">
        <v>4.7</v>
      </c>
      <c r="CA1188" t="s">
        <v>120</v>
      </c>
      <c r="CB1188">
        <v>3.65</v>
      </c>
      <c r="CC1188">
        <v>9.4700000000000006</v>
      </c>
      <c r="CD1188">
        <v>7.65</v>
      </c>
      <c r="CE1188">
        <v>0.9</v>
      </c>
      <c r="CF1188">
        <v>0</v>
      </c>
      <c r="CG1188">
        <v>0.89</v>
      </c>
      <c r="CH1188">
        <v>0.78</v>
      </c>
      <c r="CI1188">
        <v>0.76</v>
      </c>
      <c r="CJ1188">
        <v>-1.68</v>
      </c>
      <c r="CK1188">
        <v>0.75</v>
      </c>
      <c r="CL1188">
        <v>3.53</v>
      </c>
      <c r="CM1188">
        <v>0.57999999999999996</v>
      </c>
      <c r="CN1188">
        <v>0.01</v>
      </c>
      <c r="CO1188">
        <v>10151</v>
      </c>
      <c r="CP1188">
        <v>7254</v>
      </c>
      <c r="CQ1188" t="s">
        <v>6560</v>
      </c>
      <c r="CR1188">
        <v>680.52</v>
      </c>
      <c r="CS1188">
        <v>70.849999999999994</v>
      </c>
      <c r="CT1188">
        <v>6.2</v>
      </c>
      <c r="CU1188">
        <v>100.11</v>
      </c>
      <c r="CV1188">
        <v>6.14</v>
      </c>
      <c r="CW1188">
        <v>0.19</v>
      </c>
      <c r="CX1188" t="s">
        <v>803</v>
      </c>
      <c r="CY1188">
        <v>5.08</v>
      </c>
      <c r="CZ1188">
        <v>5.08</v>
      </c>
      <c r="DA1188">
        <v>1.97</v>
      </c>
      <c r="DB1188">
        <v>1.91</v>
      </c>
      <c r="DC1188">
        <v>0.31</v>
      </c>
      <c r="DD1188">
        <v>57.84</v>
      </c>
      <c r="DE1188" t="s">
        <v>6561</v>
      </c>
      <c r="DF1188">
        <v>19.23</v>
      </c>
      <c r="DG1188">
        <v>9.4499999999999993</v>
      </c>
      <c r="DH1188">
        <v>8</v>
      </c>
      <c r="DI1188">
        <v>0.36</v>
      </c>
      <c r="DJ1188">
        <v>2481</v>
      </c>
      <c r="DK1188">
        <v>2824</v>
      </c>
      <c r="DL1188" t="s">
        <v>120</v>
      </c>
      <c r="DM1188" t="s">
        <v>120</v>
      </c>
      <c r="DN1188" t="s">
        <v>120</v>
      </c>
    </row>
    <row r="1189" spans="1:118">
      <c r="A1189" t="str">
        <f>"002825"</f>
        <v>002825</v>
      </c>
      <c r="B1189" t="s">
        <v>6562</v>
      </c>
      <c r="C1189">
        <v>-3.98</v>
      </c>
      <c r="D1189">
        <v>0</v>
      </c>
      <c r="E1189">
        <v>-1.94</v>
      </c>
      <c r="F1189">
        <v>255</v>
      </c>
      <c r="G1189" t="s">
        <v>553</v>
      </c>
      <c r="H1189">
        <v>9953.07</v>
      </c>
      <c r="I1189">
        <v>101.7</v>
      </c>
      <c r="J1189" t="s">
        <v>120</v>
      </c>
      <c r="K1189" t="s">
        <v>6563</v>
      </c>
      <c r="L1189">
        <v>4.4800000000000004</v>
      </c>
      <c r="M1189">
        <v>19.3</v>
      </c>
      <c r="N1189">
        <v>0.76</v>
      </c>
      <c r="O1189">
        <v>0.35</v>
      </c>
      <c r="P1189">
        <v>20.170000000000002</v>
      </c>
      <c r="Q1189">
        <v>-4.18</v>
      </c>
      <c r="R1189">
        <v>19.260000000000002</v>
      </c>
      <c r="S1189">
        <v>19.71</v>
      </c>
      <c r="T1189">
        <v>50862</v>
      </c>
      <c r="U1189">
        <v>19.309999999999999</v>
      </c>
      <c r="V1189">
        <v>20.100000000000001</v>
      </c>
      <c r="W1189">
        <v>38.56</v>
      </c>
      <c r="X1189" t="s">
        <v>868</v>
      </c>
      <c r="Y1189" t="s">
        <v>1510</v>
      </c>
      <c r="Z1189">
        <v>4.53</v>
      </c>
      <c r="AA1189">
        <v>19.57</v>
      </c>
      <c r="AB1189">
        <v>32037</v>
      </c>
      <c r="AC1189">
        <v>18825</v>
      </c>
      <c r="AD1189">
        <v>1.7</v>
      </c>
      <c r="AE1189">
        <v>74</v>
      </c>
      <c r="AF1189">
        <v>45</v>
      </c>
      <c r="AG1189" t="s">
        <v>120</v>
      </c>
      <c r="AH1189">
        <v>7.0000000000000007E-2</v>
      </c>
      <c r="AI1189" t="s">
        <v>120</v>
      </c>
      <c r="AJ1189">
        <v>1.1299999999999999</v>
      </c>
      <c r="AK1189" t="s">
        <v>5964</v>
      </c>
      <c r="AL1189">
        <v>-2.0699999999999998</v>
      </c>
      <c r="AM1189">
        <v>2008</v>
      </c>
      <c r="AN1189">
        <v>25</v>
      </c>
      <c r="AO1189">
        <v>2.2000000000000001E-3</v>
      </c>
      <c r="AP1189">
        <v>-1</v>
      </c>
      <c r="AQ1189">
        <v>4.74</v>
      </c>
      <c r="AR1189">
        <v>2.65</v>
      </c>
      <c r="AS1189">
        <v>23.56</v>
      </c>
      <c r="AT1189">
        <v>38.06</v>
      </c>
      <c r="AU1189">
        <v>38.75</v>
      </c>
      <c r="AV1189">
        <v>1</v>
      </c>
      <c r="AW1189">
        <v>7.34</v>
      </c>
      <c r="AX1189">
        <v>40.479999999999997</v>
      </c>
      <c r="AY1189">
        <v>39.19</v>
      </c>
      <c r="AZ1189">
        <v>35.92</v>
      </c>
      <c r="BA1189">
        <v>0.42</v>
      </c>
      <c r="BB1189" t="s">
        <v>184</v>
      </c>
      <c r="BF1189">
        <v>-2.64</v>
      </c>
      <c r="BG1189">
        <v>-2.08</v>
      </c>
      <c r="BH1189">
        <v>-4.3099999999999996</v>
      </c>
      <c r="BI1189">
        <v>0.21</v>
      </c>
      <c r="BJ1189">
        <v>20210831</v>
      </c>
      <c r="BK1189">
        <v>20161129</v>
      </c>
      <c r="BL1189">
        <v>1.71</v>
      </c>
      <c r="BM1189" t="s">
        <v>120</v>
      </c>
      <c r="BN1189" t="s">
        <v>120</v>
      </c>
      <c r="BO1189">
        <v>15.5</v>
      </c>
      <c r="BP1189">
        <v>19.3</v>
      </c>
      <c r="BQ1189">
        <v>10.32</v>
      </c>
      <c r="BR1189">
        <v>0.92</v>
      </c>
      <c r="BS1189">
        <v>27.4</v>
      </c>
      <c r="BT1189">
        <v>10.81</v>
      </c>
      <c r="BU1189">
        <v>2.79</v>
      </c>
      <c r="BV1189">
        <v>0.65</v>
      </c>
      <c r="BW1189">
        <v>4.2300000000000004</v>
      </c>
      <c r="BX1189">
        <v>3.67</v>
      </c>
      <c r="BY1189">
        <v>2.66</v>
      </c>
      <c r="BZ1189">
        <v>1.6</v>
      </c>
      <c r="CA1189" t="s">
        <v>120</v>
      </c>
      <c r="CB1189">
        <v>4.72</v>
      </c>
      <c r="CC1189">
        <v>7.93</v>
      </c>
      <c r="CD1189">
        <v>6.27</v>
      </c>
      <c r="CE1189">
        <v>0.71</v>
      </c>
      <c r="CF1189">
        <v>0.02</v>
      </c>
      <c r="CG1189">
        <v>0.72</v>
      </c>
      <c r="CH1189">
        <v>0.64</v>
      </c>
      <c r="CI1189">
        <v>0.43</v>
      </c>
      <c r="CJ1189">
        <v>-0.8</v>
      </c>
      <c r="CK1189">
        <v>0.39</v>
      </c>
      <c r="CL1189">
        <v>3.54</v>
      </c>
      <c r="CM1189">
        <v>0.49</v>
      </c>
      <c r="CN1189">
        <v>1.2</v>
      </c>
      <c r="CO1189">
        <v>11267</v>
      </c>
      <c r="CP1189">
        <v>6151</v>
      </c>
      <c r="CQ1189" t="s">
        <v>6564</v>
      </c>
      <c r="CR1189">
        <v>-15.69</v>
      </c>
      <c r="CS1189">
        <v>54.49</v>
      </c>
      <c r="CT1189">
        <v>3.2</v>
      </c>
      <c r="CU1189">
        <v>67.13</v>
      </c>
      <c r="CV1189">
        <v>4.17</v>
      </c>
      <c r="CW1189">
        <v>1.99</v>
      </c>
      <c r="CX1189" t="s">
        <v>670</v>
      </c>
      <c r="CY1189">
        <v>6.03</v>
      </c>
      <c r="CZ1189">
        <v>0</v>
      </c>
      <c r="DA1189">
        <v>2.76</v>
      </c>
      <c r="DB1189">
        <v>2.0699999999999998</v>
      </c>
      <c r="DC1189">
        <v>0.28999999999999998</v>
      </c>
      <c r="DD1189">
        <v>66.63</v>
      </c>
      <c r="DE1189" t="s">
        <v>4662</v>
      </c>
      <c r="DF1189">
        <v>20.88</v>
      </c>
      <c r="DG1189">
        <v>8.9700000000000006</v>
      </c>
      <c r="DH1189">
        <v>5.4</v>
      </c>
      <c r="DI1189">
        <v>0.37</v>
      </c>
      <c r="DJ1189">
        <v>936</v>
      </c>
      <c r="DK1189">
        <v>2825</v>
      </c>
      <c r="DL1189" t="s">
        <v>120</v>
      </c>
      <c r="DM1189" t="s">
        <v>120</v>
      </c>
      <c r="DN1189" t="s">
        <v>120</v>
      </c>
    </row>
    <row r="1190" spans="1:118">
      <c r="A1190" t="str">
        <f>"002826"</f>
        <v>002826</v>
      </c>
      <c r="B1190" t="s">
        <v>6565</v>
      </c>
      <c r="C1190">
        <v>-0.22</v>
      </c>
      <c r="D1190">
        <v>-0.21</v>
      </c>
      <c r="E1190">
        <v>0</v>
      </c>
      <c r="F1190">
        <v>197</v>
      </c>
      <c r="G1190" t="s">
        <v>6566</v>
      </c>
      <c r="H1190">
        <v>2117.9299999999998</v>
      </c>
      <c r="I1190">
        <v>0</v>
      </c>
      <c r="J1190" t="s">
        <v>120</v>
      </c>
      <c r="K1190" t="s">
        <v>6567</v>
      </c>
      <c r="L1190">
        <v>1.75</v>
      </c>
      <c r="M1190">
        <v>8.9600000000000009</v>
      </c>
      <c r="N1190">
        <v>1.3</v>
      </c>
      <c r="O1190">
        <v>1.56</v>
      </c>
      <c r="P1190">
        <v>9.1199999999999992</v>
      </c>
      <c r="Q1190">
        <v>-0.78</v>
      </c>
      <c r="R1190">
        <v>8.91</v>
      </c>
      <c r="S1190">
        <v>8.98</v>
      </c>
      <c r="T1190">
        <v>23430</v>
      </c>
      <c r="U1190">
        <v>8.9700000000000006</v>
      </c>
      <c r="V1190">
        <v>8.98</v>
      </c>
      <c r="W1190">
        <v>84.16</v>
      </c>
      <c r="X1190" t="s">
        <v>771</v>
      </c>
      <c r="Y1190" t="s">
        <v>1886</v>
      </c>
      <c r="Z1190">
        <v>2.34</v>
      </c>
      <c r="AA1190">
        <v>9.0399999999999991</v>
      </c>
      <c r="AB1190">
        <v>11802</v>
      </c>
      <c r="AC1190">
        <v>11628</v>
      </c>
      <c r="AD1190">
        <v>1.01</v>
      </c>
      <c r="AE1190">
        <v>40</v>
      </c>
      <c r="AF1190">
        <v>58</v>
      </c>
      <c r="AG1190" t="s">
        <v>120</v>
      </c>
      <c r="AH1190">
        <v>0</v>
      </c>
      <c r="AI1190" t="s">
        <v>120</v>
      </c>
      <c r="AJ1190">
        <v>1.34</v>
      </c>
      <c r="AK1190" t="s">
        <v>3637</v>
      </c>
      <c r="AL1190">
        <v>1.69</v>
      </c>
      <c r="AM1190">
        <v>823</v>
      </c>
      <c r="AN1190">
        <v>28</v>
      </c>
      <c r="AO1190">
        <v>2.0999999999999999E-3</v>
      </c>
      <c r="AP1190">
        <v>-2</v>
      </c>
      <c r="AQ1190">
        <v>-0.33</v>
      </c>
      <c r="AR1190">
        <v>-0.1</v>
      </c>
      <c r="AS1190">
        <v>1.58</v>
      </c>
      <c r="AT1190">
        <v>-0.11</v>
      </c>
      <c r="AU1190">
        <v>-7.44</v>
      </c>
      <c r="AV1190">
        <v>0</v>
      </c>
      <c r="AW1190">
        <v>1.99</v>
      </c>
      <c r="AX1190">
        <v>61.5</v>
      </c>
      <c r="AY1190">
        <v>45.09</v>
      </c>
      <c r="AZ1190">
        <v>41.78</v>
      </c>
      <c r="BA1190">
        <v>0.35</v>
      </c>
      <c r="BB1190" t="s">
        <v>125</v>
      </c>
      <c r="BF1190">
        <v>0.66</v>
      </c>
      <c r="BG1190">
        <v>-0.22</v>
      </c>
      <c r="BH1190">
        <v>-1.75</v>
      </c>
      <c r="BI1190">
        <v>0.56000000000000005</v>
      </c>
      <c r="BJ1190">
        <v>20210914</v>
      </c>
      <c r="BK1190">
        <v>20161209</v>
      </c>
      <c r="BL1190">
        <v>1.91</v>
      </c>
      <c r="BM1190" t="s">
        <v>120</v>
      </c>
      <c r="BN1190" t="s">
        <v>120</v>
      </c>
      <c r="BO1190">
        <v>8.08</v>
      </c>
      <c r="BP1190">
        <v>8.9600000000000009</v>
      </c>
      <c r="BQ1190">
        <v>6.83</v>
      </c>
      <c r="BR1190" t="s">
        <v>120</v>
      </c>
      <c r="BS1190">
        <v>15.47</v>
      </c>
      <c r="BT1190">
        <v>3.6</v>
      </c>
      <c r="BU1190">
        <v>3.52</v>
      </c>
      <c r="BV1190">
        <v>0.39</v>
      </c>
      <c r="BW1190">
        <v>1.2</v>
      </c>
      <c r="BX1190">
        <v>1.43</v>
      </c>
      <c r="BY1190">
        <v>0.33</v>
      </c>
      <c r="BZ1190">
        <v>0.49</v>
      </c>
      <c r="CA1190" t="s">
        <v>120</v>
      </c>
      <c r="CB1190">
        <v>2.35</v>
      </c>
      <c r="CC1190">
        <v>3.39</v>
      </c>
      <c r="CD1190">
        <v>2.2400000000000002</v>
      </c>
      <c r="CE1190">
        <v>0.15</v>
      </c>
      <c r="CF1190">
        <v>0.01</v>
      </c>
      <c r="CG1190">
        <v>0.14000000000000001</v>
      </c>
      <c r="CH1190">
        <v>0.1</v>
      </c>
      <c r="CI1190">
        <v>0.1</v>
      </c>
      <c r="CJ1190">
        <v>-0.02</v>
      </c>
      <c r="CK1190">
        <v>7.0000000000000007E-2</v>
      </c>
      <c r="CL1190">
        <v>2.4500000000000002</v>
      </c>
      <c r="CM1190">
        <v>0.21</v>
      </c>
      <c r="CN1190">
        <v>-0.44</v>
      </c>
      <c r="CO1190">
        <v>21101</v>
      </c>
      <c r="CP1190">
        <v>5572</v>
      </c>
      <c r="CQ1190" t="s">
        <v>2326</v>
      </c>
      <c r="CR1190">
        <v>-22.84</v>
      </c>
      <c r="CS1190">
        <v>36.21</v>
      </c>
      <c r="CT1190">
        <v>2.5099999999999998</v>
      </c>
      <c r="CU1190">
        <v>80.28</v>
      </c>
      <c r="CV1190">
        <v>5.0599999999999996</v>
      </c>
      <c r="CW1190">
        <v>0.89</v>
      </c>
      <c r="CX1190" t="s">
        <v>1248</v>
      </c>
      <c r="CY1190">
        <v>3.57</v>
      </c>
      <c r="CZ1190">
        <v>0</v>
      </c>
      <c r="DA1190">
        <v>1.23</v>
      </c>
      <c r="DB1190">
        <v>1.28</v>
      </c>
      <c r="DC1190">
        <v>0.11</v>
      </c>
      <c r="DD1190">
        <v>84.53</v>
      </c>
      <c r="DE1190" t="s">
        <v>3296</v>
      </c>
      <c r="DF1190">
        <v>33.81</v>
      </c>
      <c r="DG1190">
        <v>4.3099999999999996</v>
      </c>
      <c r="DH1190">
        <v>3</v>
      </c>
      <c r="DI1190">
        <v>0.06</v>
      </c>
      <c r="DJ1190">
        <v>440</v>
      </c>
      <c r="DK1190">
        <v>2826</v>
      </c>
      <c r="DL1190" t="s">
        <v>120</v>
      </c>
      <c r="DM1190" t="s">
        <v>120</v>
      </c>
      <c r="DN1190" t="s">
        <v>120</v>
      </c>
    </row>
    <row r="1191" spans="1:118">
      <c r="A1191" t="str">
        <f>"002827"</f>
        <v>002827</v>
      </c>
      <c r="B1191" t="s">
        <v>6568</v>
      </c>
      <c r="C1191">
        <v>0.28000000000000003</v>
      </c>
      <c r="D1191">
        <v>-0.08</v>
      </c>
      <c r="E1191">
        <v>0</v>
      </c>
      <c r="F1191">
        <v>434</v>
      </c>
      <c r="G1191" t="s">
        <v>6569</v>
      </c>
      <c r="H1191">
        <v>5012.1000000000004</v>
      </c>
      <c r="I1191">
        <v>35.479999999999997</v>
      </c>
      <c r="J1191" t="s">
        <v>120</v>
      </c>
      <c r="K1191" t="s">
        <v>6570</v>
      </c>
      <c r="L1191">
        <v>1.67</v>
      </c>
      <c r="M1191">
        <v>10.78</v>
      </c>
      <c r="N1191">
        <v>0.77</v>
      </c>
      <c r="O1191">
        <v>2.6</v>
      </c>
      <c r="P1191">
        <v>11.03</v>
      </c>
      <c r="Q1191">
        <v>-0.56000000000000005</v>
      </c>
      <c r="R1191">
        <v>10.69</v>
      </c>
      <c r="S1191">
        <v>10.75</v>
      </c>
      <c r="T1191">
        <v>46013</v>
      </c>
      <c r="U1191">
        <v>10.79</v>
      </c>
      <c r="V1191">
        <v>10.75</v>
      </c>
      <c r="W1191">
        <v>109.83</v>
      </c>
      <c r="X1191" t="s">
        <v>868</v>
      </c>
      <c r="Y1191" t="s">
        <v>1886</v>
      </c>
      <c r="Z1191">
        <v>3.16</v>
      </c>
      <c r="AA1191">
        <v>10.89</v>
      </c>
      <c r="AB1191">
        <v>22639</v>
      </c>
      <c r="AC1191">
        <v>23374</v>
      </c>
      <c r="AD1191">
        <v>0.97</v>
      </c>
      <c r="AE1191">
        <v>293</v>
      </c>
      <c r="AF1191">
        <v>35</v>
      </c>
      <c r="AG1191" t="s">
        <v>120</v>
      </c>
      <c r="AH1191">
        <v>0.03</v>
      </c>
      <c r="AI1191" t="s">
        <v>120</v>
      </c>
      <c r="AJ1191">
        <v>2.76</v>
      </c>
      <c r="AK1191" t="s">
        <v>6570</v>
      </c>
      <c r="AL1191">
        <v>2.19</v>
      </c>
      <c r="AM1191">
        <v>1915</v>
      </c>
      <c r="AN1191">
        <v>24</v>
      </c>
      <c r="AO1191">
        <v>8.9999999999999998E-4</v>
      </c>
      <c r="AP1191">
        <v>2</v>
      </c>
      <c r="AQ1191">
        <v>1.51</v>
      </c>
      <c r="AR1191">
        <v>-0.74</v>
      </c>
      <c r="AS1191">
        <v>5.48</v>
      </c>
      <c r="AT1191">
        <v>3.36</v>
      </c>
      <c r="AU1191">
        <v>2.57</v>
      </c>
      <c r="AV1191">
        <v>1</v>
      </c>
      <c r="AW1191">
        <v>4.57</v>
      </c>
      <c r="AX1191">
        <v>36.51</v>
      </c>
      <c r="AY1191">
        <v>60.35</v>
      </c>
      <c r="AZ1191">
        <v>80.59</v>
      </c>
      <c r="BA1191">
        <v>0.65</v>
      </c>
      <c r="BB1191" t="s">
        <v>143</v>
      </c>
      <c r="BF1191">
        <v>1.33</v>
      </c>
      <c r="BG1191">
        <v>0.28000000000000003</v>
      </c>
      <c r="BH1191">
        <v>-2.27</v>
      </c>
      <c r="BI1191">
        <v>0.84</v>
      </c>
      <c r="BJ1191">
        <v>20210914</v>
      </c>
      <c r="BK1191">
        <v>20161209</v>
      </c>
      <c r="BL1191">
        <v>2.76</v>
      </c>
      <c r="BM1191" t="s">
        <v>120</v>
      </c>
      <c r="BN1191" t="s">
        <v>120</v>
      </c>
      <c r="BO1191">
        <v>14.74</v>
      </c>
      <c r="BP1191">
        <v>10.78</v>
      </c>
      <c r="BQ1191">
        <v>7.32</v>
      </c>
      <c r="BR1191">
        <v>1.5</v>
      </c>
      <c r="BS1191">
        <v>40.11</v>
      </c>
      <c r="BT1191">
        <v>5.92</v>
      </c>
      <c r="BU1191">
        <v>6.17</v>
      </c>
      <c r="BV1191">
        <v>0.76</v>
      </c>
      <c r="BW1191">
        <v>4.37</v>
      </c>
      <c r="BX1191">
        <v>1.39</v>
      </c>
      <c r="BY1191">
        <v>0.36</v>
      </c>
      <c r="BZ1191">
        <v>2.76</v>
      </c>
      <c r="CA1191" t="s">
        <v>120</v>
      </c>
      <c r="CB1191">
        <v>2.78</v>
      </c>
      <c r="CC1191">
        <v>3.98</v>
      </c>
      <c r="CD1191">
        <v>2.67</v>
      </c>
      <c r="CE1191">
        <v>0.32</v>
      </c>
      <c r="CF1191">
        <v>0</v>
      </c>
      <c r="CG1191">
        <v>0.3</v>
      </c>
      <c r="CH1191">
        <v>0.24</v>
      </c>
      <c r="CI1191">
        <v>0.14000000000000001</v>
      </c>
      <c r="CJ1191">
        <v>0.03</v>
      </c>
      <c r="CK1191">
        <v>0.15</v>
      </c>
      <c r="CL1191">
        <v>0.99</v>
      </c>
      <c r="CM1191">
        <v>0.03</v>
      </c>
      <c r="CN1191">
        <v>-0.4</v>
      </c>
      <c r="CO1191">
        <v>16935</v>
      </c>
      <c r="CP1191">
        <v>5950</v>
      </c>
      <c r="CQ1191" t="s">
        <v>6571</v>
      </c>
      <c r="CR1191">
        <v>1029.19</v>
      </c>
      <c r="CS1191">
        <v>65.03</v>
      </c>
      <c r="CT1191">
        <v>4.0599999999999996</v>
      </c>
      <c r="CU1191">
        <v>1062.5999999999999</v>
      </c>
      <c r="CV1191">
        <v>7.48</v>
      </c>
      <c r="CW1191">
        <v>1.4</v>
      </c>
      <c r="CX1191" t="s">
        <v>1248</v>
      </c>
      <c r="CY1191">
        <v>2.65</v>
      </c>
      <c r="CZ1191">
        <v>0</v>
      </c>
      <c r="DA1191">
        <v>1.01</v>
      </c>
      <c r="DB1191">
        <v>0.36</v>
      </c>
      <c r="DC1191">
        <v>0.01</v>
      </c>
      <c r="DD1191">
        <v>49.7</v>
      </c>
      <c r="DE1191" t="s">
        <v>2069</v>
      </c>
      <c r="DF1191">
        <v>32.950000000000003</v>
      </c>
      <c r="DG1191">
        <v>8.1</v>
      </c>
      <c r="DH1191">
        <v>3.41</v>
      </c>
      <c r="DI1191">
        <v>0.1</v>
      </c>
      <c r="DJ1191">
        <v>1232</v>
      </c>
      <c r="DK1191">
        <v>2827</v>
      </c>
      <c r="DL1191" t="s">
        <v>120</v>
      </c>
      <c r="DM1191" t="s">
        <v>120</v>
      </c>
      <c r="DN1191" t="s">
        <v>120</v>
      </c>
    </row>
    <row r="1192" spans="1:118">
      <c r="A1192" t="str">
        <f>"002828"</f>
        <v>002828</v>
      </c>
      <c r="B1192" t="s">
        <v>6572</v>
      </c>
      <c r="C1192">
        <v>-1.1000000000000001</v>
      </c>
      <c r="D1192">
        <v>-0.21</v>
      </c>
      <c r="E1192">
        <v>2.75</v>
      </c>
      <c r="F1192">
        <v>1909</v>
      </c>
      <c r="G1192" t="s">
        <v>6573</v>
      </c>
      <c r="H1192">
        <v>13936.09</v>
      </c>
      <c r="I1192">
        <v>216.27</v>
      </c>
      <c r="J1192" t="s">
        <v>120</v>
      </c>
      <c r="K1192" t="s">
        <v>6574</v>
      </c>
      <c r="L1192">
        <v>9.8699999999999992</v>
      </c>
      <c r="M1192">
        <v>9</v>
      </c>
      <c r="N1192">
        <v>0.99</v>
      </c>
      <c r="O1192">
        <v>3.3</v>
      </c>
      <c r="P1192">
        <v>9.4</v>
      </c>
      <c r="Q1192">
        <v>-1.32</v>
      </c>
      <c r="R1192">
        <v>8.98</v>
      </c>
      <c r="S1192">
        <v>9.35</v>
      </c>
      <c r="T1192">
        <v>152051</v>
      </c>
      <c r="U1192">
        <v>9</v>
      </c>
      <c r="V1192">
        <v>9.1</v>
      </c>
      <c r="W1192">
        <v>32.909999999999997</v>
      </c>
      <c r="X1192" t="s">
        <v>3867</v>
      </c>
      <c r="Y1192" t="s">
        <v>609</v>
      </c>
      <c r="Z1192">
        <v>4.62</v>
      </c>
      <c r="AA1192">
        <v>9.17</v>
      </c>
      <c r="AB1192">
        <v>80444</v>
      </c>
      <c r="AC1192">
        <v>71607</v>
      </c>
      <c r="AD1192">
        <v>1.1200000000000001</v>
      </c>
      <c r="AE1192">
        <v>96</v>
      </c>
      <c r="AF1192">
        <v>185</v>
      </c>
      <c r="AG1192" t="s">
        <v>120</v>
      </c>
      <c r="AH1192">
        <v>0.16</v>
      </c>
      <c r="AI1192" t="s">
        <v>120</v>
      </c>
      <c r="AJ1192">
        <v>1.54</v>
      </c>
      <c r="AK1192" t="s">
        <v>1853</v>
      </c>
      <c r="AL1192">
        <v>0.81</v>
      </c>
      <c r="AM1192">
        <v>2970</v>
      </c>
      <c r="AN1192">
        <v>51</v>
      </c>
      <c r="AO1192">
        <v>3.3E-3</v>
      </c>
      <c r="AP1192">
        <v>-1</v>
      </c>
      <c r="AQ1192">
        <v>2.48</v>
      </c>
      <c r="AR1192">
        <v>1.7</v>
      </c>
      <c r="AS1192">
        <v>18.57</v>
      </c>
      <c r="AT1192">
        <v>4.53</v>
      </c>
      <c r="AU1192">
        <v>7.91</v>
      </c>
      <c r="AV1192">
        <v>3</v>
      </c>
      <c r="AW1192">
        <v>10.42</v>
      </c>
      <c r="AX1192">
        <v>72.59</v>
      </c>
      <c r="AY1192">
        <v>88.86</v>
      </c>
      <c r="AZ1192">
        <v>73.37</v>
      </c>
      <c r="BA1192">
        <v>0.59</v>
      </c>
      <c r="BB1192" t="s">
        <v>184</v>
      </c>
      <c r="BF1192">
        <v>0.72</v>
      </c>
      <c r="BG1192">
        <v>-3.74</v>
      </c>
      <c r="BH1192">
        <v>-4.26</v>
      </c>
      <c r="BI1192">
        <v>0.22</v>
      </c>
      <c r="BJ1192">
        <v>20210906</v>
      </c>
      <c r="BK1192">
        <v>20161208</v>
      </c>
      <c r="BL1192">
        <v>2.0099999999999998</v>
      </c>
      <c r="BM1192" t="s">
        <v>120</v>
      </c>
      <c r="BN1192" t="s">
        <v>120</v>
      </c>
      <c r="BO1192">
        <v>24.82</v>
      </c>
      <c r="BP1192">
        <v>8.99</v>
      </c>
      <c r="BQ1192">
        <v>9.94</v>
      </c>
      <c r="BR1192">
        <v>0.12</v>
      </c>
      <c r="BS1192">
        <v>59.46</v>
      </c>
      <c r="BT1192">
        <v>15.55</v>
      </c>
      <c r="BU1192">
        <v>7.67</v>
      </c>
      <c r="BV1192">
        <v>0.17</v>
      </c>
      <c r="BW1192">
        <v>13.54</v>
      </c>
      <c r="BX1192">
        <v>2.4500000000000002</v>
      </c>
      <c r="BY1192">
        <v>1.31</v>
      </c>
      <c r="BZ1192">
        <v>5.64</v>
      </c>
      <c r="CA1192" t="s">
        <v>120</v>
      </c>
      <c r="CB1192">
        <v>2.73</v>
      </c>
      <c r="CC1192">
        <v>4.34</v>
      </c>
      <c r="CD1192">
        <v>3.38</v>
      </c>
      <c r="CE1192">
        <v>0.36</v>
      </c>
      <c r="CF1192">
        <v>0</v>
      </c>
      <c r="CG1192">
        <v>0.35</v>
      </c>
      <c r="CH1192">
        <v>0.28999999999999998</v>
      </c>
      <c r="CI1192">
        <v>0.27</v>
      </c>
      <c r="CJ1192">
        <v>-0.1</v>
      </c>
      <c r="CK1192">
        <v>0.26</v>
      </c>
      <c r="CL1192">
        <v>4.32</v>
      </c>
      <c r="CM1192">
        <v>0.83</v>
      </c>
      <c r="CN1192">
        <v>0.69</v>
      </c>
      <c r="CO1192">
        <v>20420</v>
      </c>
      <c r="CP1192">
        <v>7145</v>
      </c>
      <c r="CQ1192" t="s">
        <v>5423</v>
      </c>
      <c r="CR1192">
        <v>-13.65</v>
      </c>
      <c r="CS1192">
        <v>-1.67</v>
      </c>
      <c r="CT1192">
        <v>1.82</v>
      </c>
      <c r="CU1192">
        <v>21.76</v>
      </c>
      <c r="CV1192">
        <v>4.17</v>
      </c>
      <c r="CW1192">
        <v>0.66</v>
      </c>
      <c r="CX1192" t="s">
        <v>300</v>
      </c>
      <c r="CY1192">
        <v>4.95</v>
      </c>
      <c r="CZ1192">
        <v>0</v>
      </c>
      <c r="DA1192">
        <v>1.36</v>
      </c>
      <c r="DB1192">
        <v>2.15</v>
      </c>
      <c r="DC1192">
        <v>0.41</v>
      </c>
      <c r="DD1192">
        <v>40.049999999999997</v>
      </c>
      <c r="DE1192" t="s">
        <v>1290</v>
      </c>
      <c r="DF1192">
        <v>22.06</v>
      </c>
      <c r="DG1192">
        <v>8.19</v>
      </c>
      <c r="DH1192">
        <v>6.34</v>
      </c>
      <c r="DI1192">
        <v>0.12</v>
      </c>
      <c r="DJ1192">
        <v>1311</v>
      </c>
      <c r="DK1192">
        <v>2828</v>
      </c>
      <c r="DL1192" t="s">
        <v>120</v>
      </c>
      <c r="DM1192" t="s">
        <v>120</v>
      </c>
      <c r="DN1192" t="s">
        <v>120</v>
      </c>
    </row>
    <row r="1193" spans="1:118">
      <c r="A1193" t="str">
        <f>"002829"</f>
        <v>002829</v>
      </c>
      <c r="B1193" t="s">
        <v>6575</v>
      </c>
      <c r="C1193">
        <v>-1.33</v>
      </c>
      <c r="D1193">
        <v>0</v>
      </c>
      <c r="E1193">
        <v>0.03</v>
      </c>
      <c r="F1193">
        <v>40</v>
      </c>
      <c r="G1193" t="s">
        <v>6576</v>
      </c>
      <c r="H1193">
        <v>4176.28</v>
      </c>
      <c r="I1193">
        <v>0</v>
      </c>
      <c r="J1193" t="s">
        <v>120</v>
      </c>
      <c r="K1193" t="s">
        <v>6577</v>
      </c>
      <c r="L1193">
        <v>1.35</v>
      </c>
      <c r="M1193">
        <v>31.88</v>
      </c>
      <c r="N1193">
        <v>0.81</v>
      </c>
      <c r="O1193">
        <v>1.02</v>
      </c>
      <c r="P1193">
        <v>32.64</v>
      </c>
      <c r="Q1193">
        <v>-1.42</v>
      </c>
      <c r="R1193">
        <v>31.85</v>
      </c>
      <c r="S1193">
        <v>32.32</v>
      </c>
      <c r="T1193">
        <v>12984</v>
      </c>
      <c r="U1193">
        <v>31.89</v>
      </c>
      <c r="V1193">
        <v>32.31</v>
      </c>
      <c r="W1193">
        <v>76.16</v>
      </c>
      <c r="X1193" t="s">
        <v>462</v>
      </c>
      <c r="Y1193" t="s">
        <v>158</v>
      </c>
      <c r="Z1193">
        <v>2.4500000000000002</v>
      </c>
      <c r="AA1193">
        <v>32.159999999999997</v>
      </c>
      <c r="AB1193">
        <v>7577</v>
      </c>
      <c r="AC1193">
        <v>5407</v>
      </c>
      <c r="AD1193">
        <v>1.4</v>
      </c>
      <c r="AE1193">
        <v>132</v>
      </c>
      <c r="AF1193">
        <v>117</v>
      </c>
      <c r="AG1193" t="s">
        <v>120</v>
      </c>
      <c r="AH1193">
        <v>0</v>
      </c>
      <c r="AI1193" t="s">
        <v>120</v>
      </c>
      <c r="AJ1193">
        <v>0.96</v>
      </c>
      <c r="AK1193" t="s">
        <v>6578</v>
      </c>
      <c r="AL1193">
        <v>0.57999999999999996</v>
      </c>
      <c r="AM1193">
        <v>1100</v>
      </c>
      <c r="AN1193">
        <v>12</v>
      </c>
      <c r="AO1193">
        <v>1.1999999999999999E-3</v>
      </c>
      <c r="AP1193">
        <v>-6</v>
      </c>
      <c r="AQ1193">
        <v>-0.52</v>
      </c>
      <c r="AR1193">
        <v>-3.45</v>
      </c>
      <c r="AS1193">
        <v>-14.02</v>
      </c>
      <c r="AT1193">
        <v>-2.92</v>
      </c>
      <c r="AU1193">
        <v>-26</v>
      </c>
      <c r="AV1193">
        <v>0</v>
      </c>
      <c r="AW1193">
        <v>1.64</v>
      </c>
      <c r="AX1193">
        <v>51.26</v>
      </c>
      <c r="AY1193">
        <v>44.69</v>
      </c>
      <c r="AZ1193">
        <v>45.39</v>
      </c>
      <c r="BA1193">
        <v>1</v>
      </c>
      <c r="BB1193" t="s">
        <v>134</v>
      </c>
      <c r="BF1193">
        <v>-0.45</v>
      </c>
      <c r="BG1193">
        <v>-1.36</v>
      </c>
      <c r="BH1193">
        <v>-2.33</v>
      </c>
      <c r="BI1193">
        <v>0.09</v>
      </c>
      <c r="BJ1193">
        <v>20210914</v>
      </c>
      <c r="BK1193">
        <v>20161213</v>
      </c>
      <c r="BL1193">
        <v>1.55</v>
      </c>
      <c r="BM1193" t="s">
        <v>120</v>
      </c>
      <c r="BN1193" t="s">
        <v>120</v>
      </c>
      <c r="BO1193">
        <v>17.04</v>
      </c>
      <c r="BP1193">
        <v>31.88</v>
      </c>
      <c r="BQ1193">
        <v>10.46</v>
      </c>
      <c r="BR1193">
        <v>1.32</v>
      </c>
      <c r="BS1193">
        <v>30.88</v>
      </c>
      <c r="BT1193">
        <v>10.44</v>
      </c>
      <c r="BU1193">
        <v>1.72</v>
      </c>
      <c r="BV1193">
        <v>0.38</v>
      </c>
      <c r="BW1193">
        <v>5.04</v>
      </c>
      <c r="BX1193">
        <v>1.41</v>
      </c>
      <c r="BY1193">
        <v>3.99</v>
      </c>
      <c r="BZ1193">
        <v>3.52</v>
      </c>
      <c r="CA1193" t="s">
        <v>120</v>
      </c>
      <c r="CB1193">
        <v>3.83</v>
      </c>
      <c r="CC1193">
        <v>2.09</v>
      </c>
      <c r="CD1193">
        <v>1.1100000000000001</v>
      </c>
      <c r="CE1193">
        <v>0.35</v>
      </c>
      <c r="CF1193">
        <v>0.01</v>
      </c>
      <c r="CG1193">
        <v>0.35</v>
      </c>
      <c r="CH1193">
        <v>0.32</v>
      </c>
      <c r="CI1193">
        <v>0.32</v>
      </c>
      <c r="CJ1193">
        <v>-0.43</v>
      </c>
      <c r="CK1193">
        <v>0.28000000000000003</v>
      </c>
      <c r="CL1193">
        <v>4.5199999999999996</v>
      </c>
      <c r="CM1193">
        <v>-1.28</v>
      </c>
      <c r="CN1193">
        <v>-1.69</v>
      </c>
      <c r="CO1193">
        <v>15718</v>
      </c>
      <c r="CP1193">
        <v>5045</v>
      </c>
      <c r="CQ1193" t="s">
        <v>6579</v>
      </c>
      <c r="CR1193">
        <v>5.64</v>
      </c>
      <c r="CS1193">
        <v>0.56000000000000005</v>
      </c>
      <c r="CT1193">
        <v>4.72</v>
      </c>
      <c r="CU1193">
        <v>-38.64</v>
      </c>
      <c r="CV1193">
        <v>23.6</v>
      </c>
      <c r="CW1193">
        <v>0.31</v>
      </c>
      <c r="CX1193" t="s">
        <v>2097</v>
      </c>
      <c r="CY1193">
        <v>6.76</v>
      </c>
      <c r="CZ1193">
        <v>0</v>
      </c>
      <c r="DA1193">
        <v>2.4700000000000002</v>
      </c>
      <c r="DB1193">
        <v>2.92</v>
      </c>
      <c r="DC1193">
        <v>-0.83</v>
      </c>
      <c r="DD1193">
        <v>61.36</v>
      </c>
      <c r="DE1193" t="s">
        <v>1105</v>
      </c>
      <c r="DF1193">
        <v>47.05</v>
      </c>
      <c r="DG1193">
        <v>16.55</v>
      </c>
      <c r="DH1193">
        <v>15.5</v>
      </c>
      <c r="DI1193">
        <v>0.31</v>
      </c>
      <c r="DJ1193">
        <v>564</v>
      </c>
      <c r="DK1193">
        <v>2829</v>
      </c>
      <c r="DL1193" t="s">
        <v>120</v>
      </c>
      <c r="DM1193" t="s">
        <v>120</v>
      </c>
      <c r="DN1193" t="s">
        <v>120</v>
      </c>
    </row>
    <row r="1194" spans="1:118">
      <c r="A1194" t="str">
        <f>"002830"</f>
        <v>002830</v>
      </c>
      <c r="B1194" t="s">
        <v>6580</v>
      </c>
      <c r="C1194">
        <v>-0.28999999999999998</v>
      </c>
      <c r="D1194">
        <v>-0.28000000000000003</v>
      </c>
      <c r="E1194">
        <v>0.28999999999999998</v>
      </c>
      <c r="F1194">
        <v>40</v>
      </c>
      <c r="G1194" t="s">
        <v>6581</v>
      </c>
      <c r="H1194">
        <v>1270.77</v>
      </c>
      <c r="I1194">
        <v>4.83</v>
      </c>
      <c r="J1194" t="s">
        <v>120</v>
      </c>
      <c r="K1194" t="s">
        <v>6582</v>
      </c>
      <c r="L1194">
        <v>1.8</v>
      </c>
      <c r="M1194">
        <v>10.43</v>
      </c>
      <c r="N1194">
        <v>0.8</v>
      </c>
      <c r="O1194">
        <v>2.4900000000000002</v>
      </c>
      <c r="P1194">
        <v>10.72</v>
      </c>
      <c r="Q1194">
        <v>-0.48</v>
      </c>
      <c r="R1194">
        <v>10.41</v>
      </c>
      <c r="S1194">
        <v>10.49</v>
      </c>
      <c r="T1194">
        <v>12021</v>
      </c>
      <c r="U1194">
        <v>10.46</v>
      </c>
      <c r="V1194">
        <v>10.46</v>
      </c>
      <c r="W1194">
        <v>186.36</v>
      </c>
      <c r="X1194" t="s">
        <v>3122</v>
      </c>
      <c r="Y1194" t="s">
        <v>123</v>
      </c>
      <c r="Z1194">
        <v>2.96</v>
      </c>
      <c r="AA1194">
        <v>10.57</v>
      </c>
      <c r="AB1194">
        <v>6375</v>
      </c>
      <c r="AC1194">
        <v>5646</v>
      </c>
      <c r="AD1194">
        <v>1.1299999999999999</v>
      </c>
      <c r="AE1194">
        <v>15</v>
      </c>
      <c r="AF1194">
        <v>85</v>
      </c>
      <c r="AG1194" t="s">
        <v>120</v>
      </c>
      <c r="AH1194">
        <v>0.01</v>
      </c>
      <c r="AI1194" t="s">
        <v>120</v>
      </c>
      <c r="AJ1194">
        <v>0.67</v>
      </c>
      <c r="AK1194" t="s">
        <v>2324</v>
      </c>
      <c r="AL1194">
        <v>1.63</v>
      </c>
      <c r="AM1194">
        <v>1093</v>
      </c>
      <c r="AN1194">
        <v>11</v>
      </c>
      <c r="AO1194">
        <v>1.6000000000000001E-3</v>
      </c>
      <c r="AP1194">
        <v>-1</v>
      </c>
      <c r="AQ1194">
        <v>1.85</v>
      </c>
      <c r="AR1194">
        <v>-1.42</v>
      </c>
      <c r="AS1194">
        <v>5.89</v>
      </c>
      <c r="AT1194">
        <v>4.51</v>
      </c>
      <c r="AU1194">
        <v>-1.32</v>
      </c>
      <c r="AV1194">
        <v>4</v>
      </c>
      <c r="AW1194">
        <v>2.76</v>
      </c>
      <c r="AX1194">
        <v>32.630000000000003</v>
      </c>
      <c r="AY1194">
        <v>30.99</v>
      </c>
      <c r="AZ1194">
        <v>62.28</v>
      </c>
      <c r="BA1194">
        <v>0.57999999999999996</v>
      </c>
      <c r="BB1194" t="s">
        <v>143</v>
      </c>
      <c r="BF1194">
        <v>1.06</v>
      </c>
      <c r="BG1194">
        <v>-0.56999999999999995</v>
      </c>
      <c r="BH1194">
        <v>-2.71</v>
      </c>
      <c r="BI1194">
        <v>0.19</v>
      </c>
      <c r="BJ1194">
        <v>20210831</v>
      </c>
      <c r="BK1194">
        <v>20161213</v>
      </c>
      <c r="BL1194">
        <v>1.33</v>
      </c>
      <c r="BM1194" t="s">
        <v>120</v>
      </c>
      <c r="BN1194" t="s">
        <v>120</v>
      </c>
      <c r="BO1194">
        <v>15.55</v>
      </c>
      <c r="BP1194">
        <v>10.42</v>
      </c>
      <c r="BQ1194">
        <v>6.34</v>
      </c>
      <c r="BR1194">
        <v>0.17</v>
      </c>
      <c r="BS1194">
        <v>58.16</v>
      </c>
      <c r="BT1194">
        <v>7.65</v>
      </c>
      <c r="BU1194">
        <v>1.24</v>
      </c>
      <c r="BV1194">
        <v>0.45</v>
      </c>
      <c r="BW1194">
        <v>8.75</v>
      </c>
      <c r="BX1194">
        <v>5.36</v>
      </c>
      <c r="BY1194">
        <v>0.18</v>
      </c>
      <c r="BZ1194">
        <v>0.01</v>
      </c>
      <c r="CA1194" t="s">
        <v>120</v>
      </c>
      <c r="CB1194">
        <v>1.61</v>
      </c>
      <c r="CC1194">
        <v>3.88</v>
      </c>
      <c r="CD1194">
        <v>2.77</v>
      </c>
      <c r="CE1194">
        <v>0.1</v>
      </c>
      <c r="CF1194">
        <v>0.01</v>
      </c>
      <c r="CG1194">
        <v>0.1</v>
      </c>
      <c r="CH1194">
        <v>0.06</v>
      </c>
      <c r="CI1194">
        <v>0.04</v>
      </c>
      <c r="CJ1194">
        <v>-0.03</v>
      </c>
      <c r="CK1194">
        <v>0.01</v>
      </c>
      <c r="CL1194">
        <v>2.95</v>
      </c>
      <c r="CM1194">
        <v>0.24</v>
      </c>
      <c r="CN1194">
        <v>0.55000000000000004</v>
      </c>
      <c r="CO1194">
        <v>9011</v>
      </c>
      <c r="CP1194">
        <v>4829</v>
      </c>
      <c r="CQ1194" t="s">
        <v>5308</v>
      </c>
      <c r="CR1194">
        <v>119.76</v>
      </c>
      <c r="CS1194">
        <v>39.479999999999997</v>
      </c>
      <c r="CT1194">
        <v>2.19</v>
      </c>
      <c r="CU1194">
        <v>57.1</v>
      </c>
      <c r="CV1194">
        <v>3.59</v>
      </c>
      <c r="CW1194">
        <v>1.1499999999999999</v>
      </c>
      <c r="CX1194" t="s">
        <v>2074</v>
      </c>
      <c r="CY1194">
        <v>4.75</v>
      </c>
      <c r="CZ1194">
        <v>0</v>
      </c>
      <c r="DA1194">
        <v>1.21</v>
      </c>
      <c r="DB1194">
        <v>2.21</v>
      </c>
      <c r="DC1194">
        <v>0.18</v>
      </c>
      <c r="DD1194">
        <v>40.76</v>
      </c>
      <c r="DE1194" t="s">
        <v>4476</v>
      </c>
      <c r="DF1194">
        <v>28.51</v>
      </c>
      <c r="DG1194">
        <v>2.63</v>
      </c>
      <c r="DH1194">
        <v>0.96</v>
      </c>
      <c r="DI1194">
        <v>0.06</v>
      </c>
      <c r="DJ1194">
        <v>1528</v>
      </c>
      <c r="DK1194">
        <v>2830</v>
      </c>
      <c r="DL1194" t="s">
        <v>120</v>
      </c>
      <c r="DM1194" t="s">
        <v>120</v>
      </c>
      <c r="DN1194" t="s">
        <v>120</v>
      </c>
    </row>
    <row r="1195" spans="1:118">
      <c r="A1195" t="str">
        <f>"002831"</f>
        <v>002831</v>
      </c>
      <c r="B1195" t="s">
        <v>6583</v>
      </c>
      <c r="C1195">
        <v>1.1499999999999999</v>
      </c>
      <c r="D1195">
        <v>0.13</v>
      </c>
      <c r="E1195">
        <v>-0.1</v>
      </c>
      <c r="F1195">
        <v>1334</v>
      </c>
      <c r="G1195" t="s">
        <v>6584</v>
      </c>
      <c r="H1195">
        <v>7032.19</v>
      </c>
      <c r="I1195">
        <v>32.78</v>
      </c>
      <c r="J1195" t="s">
        <v>120</v>
      </c>
      <c r="K1195" t="s">
        <v>6585</v>
      </c>
      <c r="L1195">
        <v>0.45</v>
      </c>
      <c r="M1195">
        <v>29.9</v>
      </c>
      <c r="N1195">
        <v>0.82</v>
      </c>
      <c r="O1195">
        <v>1.73</v>
      </c>
      <c r="P1195">
        <v>30.07</v>
      </c>
      <c r="Q1195">
        <v>-0.51</v>
      </c>
      <c r="R1195">
        <v>29.41</v>
      </c>
      <c r="S1195">
        <v>29.53</v>
      </c>
      <c r="T1195">
        <v>23625</v>
      </c>
      <c r="U1195">
        <v>29.9</v>
      </c>
      <c r="V1195">
        <v>29.56</v>
      </c>
      <c r="W1195">
        <v>41.41</v>
      </c>
      <c r="X1195" t="s">
        <v>339</v>
      </c>
      <c r="Y1195" t="s">
        <v>123</v>
      </c>
      <c r="Z1195">
        <v>2.23</v>
      </c>
      <c r="AA1195">
        <v>29.77</v>
      </c>
      <c r="AB1195">
        <v>12167</v>
      </c>
      <c r="AC1195">
        <v>11458</v>
      </c>
      <c r="AD1195">
        <v>1.06</v>
      </c>
      <c r="AE1195">
        <v>16</v>
      </c>
      <c r="AF1195">
        <v>55</v>
      </c>
      <c r="AG1195" t="s">
        <v>120</v>
      </c>
      <c r="AH1195">
        <v>0</v>
      </c>
      <c r="AI1195" t="s">
        <v>120</v>
      </c>
      <c r="AJ1195">
        <v>5.2</v>
      </c>
      <c r="AK1195" t="s">
        <v>6586</v>
      </c>
      <c r="AL1195">
        <v>3.06</v>
      </c>
      <c r="AM1195">
        <v>1799</v>
      </c>
      <c r="AN1195">
        <v>13</v>
      </c>
      <c r="AO1195">
        <v>2.9999999999999997E-4</v>
      </c>
      <c r="AP1195">
        <v>1</v>
      </c>
      <c r="AQ1195">
        <v>-2.09</v>
      </c>
      <c r="AR1195">
        <v>0.36</v>
      </c>
      <c r="AS1195">
        <v>13.26</v>
      </c>
      <c r="AT1195">
        <v>-0.99</v>
      </c>
      <c r="AU1195">
        <v>-1.45</v>
      </c>
      <c r="AV1195">
        <v>0</v>
      </c>
      <c r="AW1195">
        <v>0.68</v>
      </c>
      <c r="AX1195">
        <v>37.32</v>
      </c>
      <c r="AY1195">
        <v>24.37</v>
      </c>
      <c r="AZ1195">
        <v>24.56</v>
      </c>
      <c r="BA1195">
        <v>0.57999999999999996</v>
      </c>
      <c r="BB1195" t="s">
        <v>143</v>
      </c>
      <c r="BF1195">
        <v>0.7</v>
      </c>
      <c r="BG1195">
        <v>1.25</v>
      </c>
      <c r="BH1195">
        <v>-0.56999999999999995</v>
      </c>
      <c r="BI1195">
        <v>1.67</v>
      </c>
      <c r="BJ1195">
        <v>20210830</v>
      </c>
      <c r="BK1195">
        <v>20161216</v>
      </c>
      <c r="BL1195">
        <v>9.31</v>
      </c>
      <c r="BM1195" t="s">
        <v>120</v>
      </c>
      <c r="BN1195" t="s">
        <v>120</v>
      </c>
      <c r="BO1195">
        <v>160.43</v>
      </c>
      <c r="BP1195">
        <v>29.86</v>
      </c>
      <c r="BQ1195">
        <v>86.22</v>
      </c>
      <c r="BR1195">
        <v>2.75</v>
      </c>
      <c r="BS1195">
        <v>44.55</v>
      </c>
      <c r="BT1195">
        <v>89.83</v>
      </c>
      <c r="BU1195">
        <v>46.16</v>
      </c>
      <c r="BV1195">
        <v>7.22</v>
      </c>
      <c r="BW1195">
        <v>54.44</v>
      </c>
      <c r="BX1195">
        <v>19.47</v>
      </c>
      <c r="BY1195">
        <v>19.2</v>
      </c>
      <c r="BZ1195">
        <v>42.15</v>
      </c>
      <c r="CA1195" t="s">
        <v>120</v>
      </c>
      <c r="CB1195">
        <v>20.62</v>
      </c>
      <c r="CC1195">
        <v>60.52</v>
      </c>
      <c r="CD1195">
        <v>47.87</v>
      </c>
      <c r="CE1195">
        <v>4</v>
      </c>
      <c r="CF1195">
        <v>0.56999999999999995</v>
      </c>
      <c r="CG1195">
        <v>4.03</v>
      </c>
      <c r="CH1195">
        <v>3.51</v>
      </c>
      <c r="CI1195">
        <v>3.36</v>
      </c>
      <c r="CJ1195">
        <v>0.34</v>
      </c>
      <c r="CK1195">
        <v>2.64</v>
      </c>
      <c r="CL1195">
        <v>53.72</v>
      </c>
      <c r="CM1195">
        <v>2.23</v>
      </c>
      <c r="CN1195">
        <v>-4.4800000000000004</v>
      </c>
      <c r="CO1195">
        <v>13699</v>
      </c>
      <c r="CP1195">
        <v>25347</v>
      </c>
      <c r="CQ1195" t="s">
        <v>6587</v>
      </c>
      <c r="CR1195">
        <v>2.57</v>
      </c>
      <c r="CS1195">
        <v>40.42</v>
      </c>
      <c r="CT1195">
        <v>3.23</v>
      </c>
      <c r="CU1195">
        <v>124.51</v>
      </c>
      <c r="CV1195">
        <v>4.5999999999999996</v>
      </c>
      <c r="CW1195">
        <v>0.95</v>
      </c>
      <c r="CX1195" t="s">
        <v>472</v>
      </c>
      <c r="CY1195">
        <v>9.27</v>
      </c>
      <c r="CZ1195">
        <v>0</v>
      </c>
      <c r="DA1195">
        <v>2.2200000000000002</v>
      </c>
      <c r="DB1195">
        <v>5.77</v>
      </c>
      <c r="DC1195">
        <v>0.24</v>
      </c>
      <c r="DD1195">
        <v>53.74</v>
      </c>
      <c r="DE1195" t="s">
        <v>2231</v>
      </c>
      <c r="DF1195">
        <v>20.9</v>
      </c>
      <c r="DG1195">
        <v>6.6</v>
      </c>
      <c r="DH1195">
        <v>5.55</v>
      </c>
      <c r="DI1195">
        <v>2.72</v>
      </c>
      <c r="DJ1195">
        <v>21728</v>
      </c>
      <c r="DK1195">
        <v>2831</v>
      </c>
      <c r="DL1195" t="s">
        <v>120</v>
      </c>
      <c r="DM1195" t="s">
        <v>120</v>
      </c>
      <c r="DN1195" t="s">
        <v>120</v>
      </c>
    </row>
    <row r="1196" spans="1:118">
      <c r="A1196" t="str">
        <f>"002832"</f>
        <v>002832</v>
      </c>
      <c r="B1196" t="s">
        <v>6588</v>
      </c>
      <c r="C1196">
        <v>-4.0999999999999996</v>
      </c>
      <c r="D1196">
        <v>-0.47</v>
      </c>
      <c r="E1196">
        <v>1.38</v>
      </c>
      <c r="F1196">
        <v>302</v>
      </c>
      <c r="G1196" t="s">
        <v>6589</v>
      </c>
      <c r="H1196">
        <v>13005.33</v>
      </c>
      <c r="I1196">
        <v>39.32</v>
      </c>
      <c r="J1196" t="s">
        <v>120</v>
      </c>
      <c r="K1196" t="s">
        <v>6590</v>
      </c>
      <c r="L1196">
        <v>1.26</v>
      </c>
      <c r="M1196">
        <v>27.15</v>
      </c>
      <c r="N1196">
        <v>0.85</v>
      </c>
      <c r="O1196">
        <v>4.2699999999999996</v>
      </c>
      <c r="P1196">
        <v>29.52</v>
      </c>
      <c r="Q1196">
        <v>-4.5199999999999996</v>
      </c>
      <c r="R1196">
        <v>27.03</v>
      </c>
      <c r="S1196">
        <v>28.7</v>
      </c>
      <c r="T1196">
        <v>46380</v>
      </c>
      <c r="U1196">
        <v>27.17</v>
      </c>
      <c r="V1196">
        <v>28.31</v>
      </c>
      <c r="W1196">
        <v>30.43</v>
      </c>
      <c r="X1196" t="s">
        <v>2806</v>
      </c>
      <c r="Y1196" t="s">
        <v>547</v>
      </c>
      <c r="Z1196">
        <v>8.8000000000000007</v>
      </c>
      <c r="AA1196">
        <v>28.04</v>
      </c>
      <c r="AB1196">
        <v>25846</v>
      </c>
      <c r="AC1196">
        <v>20534</v>
      </c>
      <c r="AD1196">
        <v>1.26</v>
      </c>
      <c r="AE1196">
        <v>48</v>
      </c>
      <c r="AF1196">
        <v>286</v>
      </c>
      <c r="AG1196" t="s">
        <v>120</v>
      </c>
      <c r="AH1196">
        <v>0.01</v>
      </c>
      <c r="AI1196" t="s">
        <v>120</v>
      </c>
      <c r="AJ1196">
        <v>3.69</v>
      </c>
      <c r="AK1196" t="s">
        <v>6591</v>
      </c>
      <c r="AL1196">
        <v>-2.1800000000000002</v>
      </c>
      <c r="AM1196">
        <v>2867</v>
      </c>
      <c r="AN1196">
        <v>16</v>
      </c>
      <c r="AO1196">
        <v>4.0000000000000002E-4</v>
      </c>
      <c r="AP1196">
        <v>-2</v>
      </c>
      <c r="AQ1196">
        <v>-1.39</v>
      </c>
      <c r="AR1196">
        <v>-2.96</v>
      </c>
      <c r="AS1196">
        <v>-1.56</v>
      </c>
      <c r="AT1196">
        <v>13.4</v>
      </c>
      <c r="AU1196">
        <v>70.319999999999993</v>
      </c>
      <c r="AV1196">
        <v>0</v>
      </c>
      <c r="AW1196">
        <v>1.7</v>
      </c>
      <c r="AX1196">
        <v>49.64</v>
      </c>
      <c r="AY1196">
        <v>27.63</v>
      </c>
      <c r="AZ1196">
        <v>32.479999999999997</v>
      </c>
      <c r="BA1196">
        <v>0.91</v>
      </c>
      <c r="BB1196" t="s">
        <v>143</v>
      </c>
      <c r="BF1196">
        <v>-0.95</v>
      </c>
      <c r="BG1196">
        <v>-5.4</v>
      </c>
      <c r="BH1196">
        <v>-8.0299999999999994</v>
      </c>
      <c r="BI1196">
        <v>0.44</v>
      </c>
      <c r="BJ1196">
        <v>20210818</v>
      </c>
      <c r="BK1196">
        <v>20161223</v>
      </c>
      <c r="BL1196">
        <v>5.5</v>
      </c>
      <c r="BM1196" t="s">
        <v>120</v>
      </c>
      <c r="BN1196" t="s">
        <v>120</v>
      </c>
      <c r="BO1196">
        <v>40.42</v>
      </c>
      <c r="BP1196">
        <v>27.15</v>
      </c>
      <c r="BQ1196">
        <v>27.79</v>
      </c>
      <c r="BR1196">
        <v>0.01</v>
      </c>
      <c r="BS1196">
        <v>31.24</v>
      </c>
      <c r="BT1196">
        <v>33.369999999999997</v>
      </c>
      <c r="BU1196">
        <v>2.35</v>
      </c>
      <c r="BV1196">
        <v>1.1299999999999999</v>
      </c>
      <c r="BW1196">
        <v>9.23</v>
      </c>
      <c r="BX1196">
        <v>11.26</v>
      </c>
      <c r="BY1196">
        <v>5.98</v>
      </c>
      <c r="BZ1196">
        <v>1.39</v>
      </c>
      <c r="CA1196" t="s">
        <v>120</v>
      </c>
      <c r="CB1196">
        <v>5.88</v>
      </c>
      <c r="CC1196">
        <v>10.220000000000001</v>
      </c>
      <c r="CD1196">
        <v>2.86</v>
      </c>
      <c r="CE1196">
        <v>2.89</v>
      </c>
      <c r="CF1196">
        <v>0.2</v>
      </c>
      <c r="CG1196">
        <v>2.9</v>
      </c>
      <c r="CH1196">
        <v>2.4500000000000002</v>
      </c>
      <c r="CI1196">
        <v>2.4500000000000002</v>
      </c>
      <c r="CJ1196">
        <v>-1.1599999999999999</v>
      </c>
      <c r="CK1196">
        <v>2.2400000000000002</v>
      </c>
      <c r="CL1196">
        <v>14.26</v>
      </c>
      <c r="CM1196">
        <v>4.54</v>
      </c>
      <c r="CN1196">
        <v>5.41</v>
      </c>
      <c r="CO1196">
        <v>10541</v>
      </c>
      <c r="CP1196">
        <v>25901</v>
      </c>
      <c r="CQ1196" t="s">
        <v>1669</v>
      </c>
      <c r="CR1196">
        <v>52.14</v>
      </c>
      <c r="CS1196">
        <v>33.31</v>
      </c>
      <c r="CT1196">
        <v>5.44</v>
      </c>
      <c r="CU1196">
        <v>32.89</v>
      </c>
      <c r="CV1196">
        <v>14.62</v>
      </c>
      <c r="CW1196">
        <v>1.06</v>
      </c>
      <c r="CX1196" t="s">
        <v>1631</v>
      </c>
      <c r="CY1196">
        <v>4.99</v>
      </c>
      <c r="CZ1196">
        <v>4.99</v>
      </c>
      <c r="DA1196">
        <v>1.07</v>
      </c>
      <c r="DB1196">
        <v>2.59</v>
      </c>
      <c r="DC1196">
        <v>0.83</v>
      </c>
      <c r="DD1196">
        <v>68.739999999999995</v>
      </c>
      <c r="DE1196" t="s">
        <v>1262</v>
      </c>
      <c r="DF1196">
        <v>71.98</v>
      </c>
      <c r="DG1196">
        <v>28.31</v>
      </c>
      <c r="DH1196">
        <v>24.02</v>
      </c>
      <c r="DI1196">
        <v>0.39</v>
      </c>
      <c r="DJ1196">
        <v>2838</v>
      </c>
      <c r="DK1196">
        <v>2832</v>
      </c>
      <c r="DL1196" t="s">
        <v>120</v>
      </c>
      <c r="DM1196" t="s">
        <v>120</v>
      </c>
      <c r="DN1196" t="s">
        <v>120</v>
      </c>
    </row>
    <row r="1197" spans="1:118">
      <c r="A1197" t="str">
        <f>"002833"</f>
        <v>002833</v>
      </c>
      <c r="B1197" t="s">
        <v>6592</v>
      </c>
      <c r="C1197">
        <v>0.43</v>
      </c>
      <c r="D1197">
        <v>0.13</v>
      </c>
      <c r="E1197">
        <v>1.64</v>
      </c>
      <c r="F1197">
        <v>362</v>
      </c>
      <c r="G1197" t="s">
        <v>6593</v>
      </c>
      <c r="H1197">
        <v>25193.74</v>
      </c>
      <c r="I1197">
        <v>157.16</v>
      </c>
      <c r="J1197" t="s">
        <v>120</v>
      </c>
      <c r="K1197" t="s">
        <v>6594</v>
      </c>
      <c r="L1197">
        <v>3.44</v>
      </c>
      <c r="M1197">
        <v>39.92</v>
      </c>
      <c r="N1197">
        <v>1.1100000000000001</v>
      </c>
      <c r="O1197">
        <v>5.16</v>
      </c>
      <c r="P1197">
        <v>41.8</v>
      </c>
      <c r="Q1197">
        <v>-0.18</v>
      </c>
      <c r="R1197">
        <v>39.68</v>
      </c>
      <c r="S1197">
        <v>40.4</v>
      </c>
      <c r="T1197">
        <v>61813</v>
      </c>
      <c r="U1197">
        <v>39.92</v>
      </c>
      <c r="V1197">
        <v>39.75</v>
      </c>
      <c r="W1197">
        <v>21.57</v>
      </c>
      <c r="X1197" t="s">
        <v>675</v>
      </c>
      <c r="Y1197" t="s">
        <v>547</v>
      </c>
      <c r="Z1197">
        <v>5.33</v>
      </c>
      <c r="AA1197">
        <v>40.76</v>
      </c>
      <c r="AB1197">
        <v>30439</v>
      </c>
      <c r="AC1197">
        <v>31374</v>
      </c>
      <c r="AD1197">
        <v>0.97</v>
      </c>
      <c r="AE1197">
        <v>1</v>
      </c>
      <c r="AF1197">
        <v>109</v>
      </c>
      <c r="AG1197" t="s">
        <v>120</v>
      </c>
      <c r="AH1197">
        <v>0.03</v>
      </c>
      <c r="AI1197" t="s">
        <v>120</v>
      </c>
      <c r="AJ1197">
        <v>1.8</v>
      </c>
      <c r="AK1197" t="s">
        <v>6595</v>
      </c>
      <c r="AL1197">
        <v>2.34</v>
      </c>
      <c r="AM1197">
        <v>3580</v>
      </c>
      <c r="AN1197">
        <v>17</v>
      </c>
      <c r="AO1197">
        <v>1E-3</v>
      </c>
      <c r="AP1197">
        <v>2</v>
      </c>
      <c r="AQ1197">
        <v>1.27</v>
      </c>
      <c r="AR1197">
        <v>0.27</v>
      </c>
      <c r="AS1197">
        <v>14.91</v>
      </c>
      <c r="AT1197">
        <v>1.86</v>
      </c>
      <c r="AU1197">
        <v>30.67</v>
      </c>
      <c r="AV1197">
        <v>4</v>
      </c>
      <c r="AW1197">
        <v>4.21</v>
      </c>
      <c r="AX1197">
        <v>48.47</v>
      </c>
      <c r="AY1197">
        <v>24.73</v>
      </c>
      <c r="AZ1197">
        <v>34.18</v>
      </c>
      <c r="BA1197">
        <v>0.94</v>
      </c>
      <c r="BB1197" t="s">
        <v>143</v>
      </c>
      <c r="BF1197">
        <v>2.54</v>
      </c>
      <c r="BG1197">
        <v>-1.19</v>
      </c>
      <c r="BH1197">
        <v>-4.5</v>
      </c>
      <c r="BI1197">
        <v>0.6</v>
      </c>
      <c r="BJ1197">
        <v>20210831</v>
      </c>
      <c r="BK1197">
        <v>20161228</v>
      </c>
      <c r="BL1197">
        <v>3.03</v>
      </c>
      <c r="BM1197" t="s">
        <v>120</v>
      </c>
      <c r="BN1197" t="s">
        <v>120</v>
      </c>
      <c r="BO1197">
        <v>25.5</v>
      </c>
      <c r="BP1197">
        <v>39.89</v>
      </c>
      <c r="BQ1197">
        <v>18.43</v>
      </c>
      <c r="BR1197">
        <v>0.92</v>
      </c>
      <c r="BS1197">
        <v>24.11</v>
      </c>
      <c r="BT1197">
        <v>13.79</v>
      </c>
      <c r="BU1197">
        <v>5.24</v>
      </c>
      <c r="BV1197">
        <v>1.2</v>
      </c>
      <c r="BW1197">
        <v>5.19</v>
      </c>
      <c r="BX1197">
        <v>3.2</v>
      </c>
      <c r="BY1197">
        <v>3.09</v>
      </c>
      <c r="BZ1197">
        <v>0.56999999999999995</v>
      </c>
      <c r="CA1197">
        <v>0</v>
      </c>
      <c r="CB1197">
        <v>1.73</v>
      </c>
      <c r="CC1197">
        <v>12.04</v>
      </c>
      <c r="CD1197">
        <v>7.98</v>
      </c>
      <c r="CE1197">
        <v>3.34</v>
      </c>
      <c r="CF1197">
        <v>7.0000000000000007E-2</v>
      </c>
      <c r="CG1197">
        <v>3.34</v>
      </c>
      <c r="CH1197">
        <v>2.88</v>
      </c>
      <c r="CI1197">
        <v>2.8</v>
      </c>
      <c r="CJ1197">
        <v>0.17</v>
      </c>
      <c r="CK1197">
        <v>2.68</v>
      </c>
      <c r="CL1197">
        <v>11.45</v>
      </c>
      <c r="CM1197">
        <v>3.23</v>
      </c>
      <c r="CN1197">
        <v>-1.83</v>
      </c>
      <c r="CO1197">
        <v>12320</v>
      </c>
      <c r="CP1197">
        <v>11922</v>
      </c>
      <c r="CQ1197" t="s">
        <v>6596</v>
      </c>
      <c r="CR1197">
        <v>92.21</v>
      </c>
      <c r="CS1197">
        <v>64.95</v>
      </c>
      <c r="CT1197">
        <v>6.56</v>
      </c>
      <c r="CU1197">
        <v>37.44</v>
      </c>
      <c r="CV1197">
        <v>10.050000000000001</v>
      </c>
      <c r="CW1197">
        <v>1.44</v>
      </c>
      <c r="CX1197" t="s">
        <v>2877</v>
      </c>
      <c r="CY1197">
        <v>6.08</v>
      </c>
      <c r="CZ1197">
        <v>0</v>
      </c>
      <c r="DA1197">
        <v>0.56999999999999995</v>
      </c>
      <c r="DB1197">
        <v>3.78</v>
      </c>
      <c r="DC1197">
        <v>1.07</v>
      </c>
      <c r="DD1197">
        <v>72.28</v>
      </c>
      <c r="DE1197" t="s">
        <v>6597</v>
      </c>
      <c r="DF1197">
        <v>33.68</v>
      </c>
      <c r="DG1197">
        <v>27.77</v>
      </c>
      <c r="DH1197">
        <v>23.3</v>
      </c>
      <c r="DI1197">
        <v>0.39</v>
      </c>
      <c r="DJ1197">
        <v>1531</v>
      </c>
      <c r="DK1197">
        <v>2833</v>
      </c>
      <c r="DL1197" t="s">
        <v>120</v>
      </c>
      <c r="DM1197" t="s">
        <v>120</v>
      </c>
      <c r="DN1197" t="s">
        <v>120</v>
      </c>
    </row>
    <row r="1198" spans="1:118">
      <c r="A1198" t="str">
        <f>"002835"</f>
        <v>002835</v>
      </c>
      <c r="B1198" t="s">
        <v>6598</v>
      </c>
      <c r="C1198">
        <v>-0.3</v>
      </c>
      <c r="D1198">
        <v>-0.19</v>
      </c>
      <c r="E1198">
        <v>0</v>
      </c>
      <c r="F1198">
        <v>940</v>
      </c>
      <c r="G1198" t="s">
        <v>6599</v>
      </c>
      <c r="H1198">
        <v>2451.0700000000002</v>
      </c>
      <c r="I1198">
        <v>3.24</v>
      </c>
      <c r="J1198" t="s">
        <v>120</v>
      </c>
      <c r="K1198" t="s">
        <v>6600</v>
      </c>
      <c r="L1198">
        <v>1.92</v>
      </c>
      <c r="M1198">
        <v>10.08</v>
      </c>
      <c r="N1198">
        <v>1.02</v>
      </c>
      <c r="O1198">
        <v>2.67</v>
      </c>
      <c r="P1198">
        <v>10.38</v>
      </c>
      <c r="Q1198">
        <v>-0.3</v>
      </c>
      <c r="R1198">
        <v>10.08</v>
      </c>
      <c r="S1198">
        <v>10.11</v>
      </c>
      <c r="T1198">
        <v>24063</v>
      </c>
      <c r="U1198">
        <v>10.09</v>
      </c>
      <c r="V1198">
        <v>10.11</v>
      </c>
      <c r="W1198">
        <v>54.67</v>
      </c>
      <c r="X1198" t="s">
        <v>229</v>
      </c>
      <c r="Y1198" t="s">
        <v>123</v>
      </c>
      <c r="Z1198">
        <v>2.97</v>
      </c>
      <c r="AA1198">
        <v>10.19</v>
      </c>
      <c r="AB1198">
        <v>11800</v>
      </c>
      <c r="AC1198">
        <v>12263</v>
      </c>
      <c r="AD1198">
        <v>0.96</v>
      </c>
      <c r="AE1198">
        <v>134</v>
      </c>
      <c r="AF1198">
        <v>31</v>
      </c>
      <c r="AG1198" t="s">
        <v>120</v>
      </c>
      <c r="AH1198">
        <v>0</v>
      </c>
      <c r="AI1198" t="s">
        <v>120</v>
      </c>
      <c r="AJ1198">
        <v>1.25</v>
      </c>
      <c r="AK1198" t="s">
        <v>4209</v>
      </c>
      <c r="AL1198">
        <v>1.62</v>
      </c>
      <c r="AM1198">
        <v>1188</v>
      </c>
      <c r="AN1198">
        <v>20</v>
      </c>
      <c r="AO1198">
        <v>1.6000000000000001E-3</v>
      </c>
      <c r="AP1198">
        <v>-3</v>
      </c>
      <c r="AQ1198">
        <v>-0.2</v>
      </c>
      <c r="AR1198">
        <v>-2.52</v>
      </c>
      <c r="AS1198">
        <v>-0.6</v>
      </c>
      <c r="AT1198">
        <v>-19.55</v>
      </c>
      <c r="AU1198">
        <v>-19.3</v>
      </c>
      <c r="AV1198">
        <v>5</v>
      </c>
      <c r="AW1198">
        <v>3.05</v>
      </c>
      <c r="AX1198">
        <v>35.92</v>
      </c>
      <c r="AY1198">
        <v>36.299999999999997</v>
      </c>
      <c r="AZ1198">
        <v>31.42</v>
      </c>
      <c r="BA1198">
        <v>0.49</v>
      </c>
      <c r="BB1198" t="s">
        <v>143</v>
      </c>
      <c r="BF1198">
        <v>0.75</v>
      </c>
      <c r="BG1198">
        <v>-0.3</v>
      </c>
      <c r="BH1198">
        <v>-2.89</v>
      </c>
      <c r="BI1198">
        <v>0</v>
      </c>
      <c r="BJ1198">
        <v>20210827</v>
      </c>
      <c r="BK1198">
        <v>20161228</v>
      </c>
      <c r="BL1198">
        <v>2.2000000000000002</v>
      </c>
      <c r="BM1198" t="s">
        <v>120</v>
      </c>
      <c r="BN1198" t="s">
        <v>120</v>
      </c>
      <c r="BO1198">
        <v>10.98</v>
      </c>
      <c r="BP1198">
        <v>10.08</v>
      </c>
      <c r="BQ1198">
        <v>7.58</v>
      </c>
      <c r="BR1198" t="s">
        <v>120</v>
      </c>
      <c r="BS1198">
        <v>30.96</v>
      </c>
      <c r="BT1198">
        <v>7.69</v>
      </c>
      <c r="BU1198">
        <v>2.74</v>
      </c>
      <c r="BV1198">
        <v>0.24</v>
      </c>
      <c r="BW1198">
        <v>3.32</v>
      </c>
      <c r="BX1198">
        <v>3.02</v>
      </c>
      <c r="BY1198">
        <v>2.36</v>
      </c>
      <c r="BZ1198">
        <v>1.96</v>
      </c>
      <c r="CA1198" t="s">
        <v>120</v>
      </c>
      <c r="CB1198">
        <v>2.0299999999999998</v>
      </c>
      <c r="CC1198">
        <v>4.07</v>
      </c>
      <c r="CD1198">
        <v>2.95</v>
      </c>
      <c r="CE1198">
        <v>0.2</v>
      </c>
      <c r="CF1198">
        <v>0.01</v>
      </c>
      <c r="CG1198">
        <v>0.2</v>
      </c>
      <c r="CH1198">
        <v>0.2</v>
      </c>
      <c r="CI1198">
        <v>0.2</v>
      </c>
      <c r="CJ1198">
        <v>-0.03</v>
      </c>
      <c r="CK1198">
        <v>0.1</v>
      </c>
      <c r="CL1198">
        <v>3.04</v>
      </c>
      <c r="CM1198">
        <v>-0.38</v>
      </c>
      <c r="CN1198">
        <v>-0.4</v>
      </c>
      <c r="CO1198">
        <v>19422</v>
      </c>
      <c r="CP1198">
        <v>4061</v>
      </c>
      <c r="CQ1198" t="s">
        <v>2770</v>
      </c>
      <c r="CR1198">
        <v>-31.93</v>
      </c>
      <c r="CS1198">
        <v>41.48</v>
      </c>
      <c r="CT1198">
        <v>2.92</v>
      </c>
      <c r="CU1198">
        <v>-58.54</v>
      </c>
      <c r="CV1198">
        <v>5.45</v>
      </c>
      <c r="CW1198">
        <v>0.99</v>
      </c>
      <c r="CX1198" t="s">
        <v>329</v>
      </c>
      <c r="CY1198">
        <v>3.45</v>
      </c>
      <c r="CZ1198">
        <v>0</v>
      </c>
      <c r="DA1198">
        <v>0.92</v>
      </c>
      <c r="DB1198">
        <v>1.38</v>
      </c>
      <c r="DC1198">
        <v>-0.17</v>
      </c>
      <c r="DD1198">
        <v>69.040000000000006</v>
      </c>
      <c r="DE1198" t="s">
        <v>1846</v>
      </c>
      <c r="DF1198">
        <v>27.32</v>
      </c>
      <c r="DG1198">
        <v>4.8899999999999997</v>
      </c>
      <c r="DH1198">
        <v>4.9800000000000004</v>
      </c>
      <c r="DI1198">
        <v>0.63</v>
      </c>
      <c r="DJ1198">
        <v>1190</v>
      </c>
      <c r="DK1198">
        <v>2835</v>
      </c>
      <c r="DL1198" t="s">
        <v>120</v>
      </c>
      <c r="DM1198" t="s">
        <v>120</v>
      </c>
      <c r="DN1198" t="s">
        <v>120</v>
      </c>
    </row>
    <row r="1199" spans="1:118">
      <c r="A1199" t="str">
        <f>"002836"</f>
        <v>002836</v>
      </c>
      <c r="B1199" t="s">
        <v>6601</v>
      </c>
      <c r="C1199">
        <v>-1.38</v>
      </c>
      <c r="D1199">
        <v>0.35</v>
      </c>
      <c r="E1199">
        <v>-0.56999999999999995</v>
      </c>
      <c r="F1199">
        <v>80</v>
      </c>
      <c r="G1199" t="s">
        <v>6602</v>
      </c>
      <c r="H1199">
        <v>843.15</v>
      </c>
      <c r="I1199">
        <v>4.42</v>
      </c>
      <c r="J1199" t="s">
        <v>120</v>
      </c>
      <c r="K1199" t="s">
        <v>6603</v>
      </c>
      <c r="L1199">
        <v>0.61</v>
      </c>
      <c r="M1199">
        <v>8.59</v>
      </c>
      <c r="N1199">
        <v>0.97</v>
      </c>
      <c r="O1199">
        <v>0.69</v>
      </c>
      <c r="P1199">
        <v>8.77</v>
      </c>
      <c r="Q1199">
        <v>-2.41</v>
      </c>
      <c r="R1199">
        <v>8.5</v>
      </c>
      <c r="S1199">
        <v>8.66</v>
      </c>
      <c r="T1199">
        <v>9735</v>
      </c>
      <c r="U1199">
        <v>8.6</v>
      </c>
      <c r="V1199">
        <v>8.7100000000000009</v>
      </c>
      <c r="W1199">
        <v>89.86</v>
      </c>
      <c r="X1199" t="s">
        <v>339</v>
      </c>
      <c r="Y1199" t="s">
        <v>547</v>
      </c>
      <c r="Z1199">
        <v>3.1</v>
      </c>
      <c r="AA1199">
        <v>8.66</v>
      </c>
      <c r="AB1199">
        <v>5172</v>
      </c>
      <c r="AC1199">
        <v>4563</v>
      </c>
      <c r="AD1199">
        <v>1.1299999999999999</v>
      </c>
      <c r="AE1199">
        <v>174</v>
      </c>
      <c r="AF1199">
        <v>131</v>
      </c>
      <c r="AG1199" t="s">
        <v>120</v>
      </c>
      <c r="AH1199">
        <v>0.01</v>
      </c>
      <c r="AI1199" t="s">
        <v>120</v>
      </c>
      <c r="AJ1199">
        <v>1.6</v>
      </c>
      <c r="AK1199" t="s">
        <v>6603</v>
      </c>
      <c r="AL1199">
        <v>0.54</v>
      </c>
      <c r="AM1199">
        <v>765</v>
      </c>
      <c r="AN1199">
        <v>13</v>
      </c>
      <c r="AO1199">
        <v>8.0000000000000004E-4</v>
      </c>
      <c r="AP1199">
        <v>-1</v>
      </c>
      <c r="AQ1199">
        <v>0.81</v>
      </c>
      <c r="AR1199">
        <v>-0.35</v>
      </c>
      <c r="AS1199">
        <v>5.14</v>
      </c>
      <c r="AT1199">
        <v>-4.9800000000000004</v>
      </c>
      <c r="AU1199">
        <v>-9.77</v>
      </c>
      <c r="AV1199">
        <v>5</v>
      </c>
      <c r="AW1199">
        <v>2.1800000000000002</v>
      </c>
      <c r="AX1199">
        <v>27.85</v>
      </c>
      <c r="AY1199">
        <v>51.29</v>
      </c>
      <c r="AZ1199">
        <v>43.37</v>
      </c>
      <c r="BA1199">
        <v>0.39</v>
      </c>
      <c r="BB1199" t="s">
        <v>168</v>
      </c>
      <c r="BF1199">
        <v>-0.56000000000000005</v>
      </c>
      <c r="BG1199">
        <v>-0.81</v>
      </c>
      <c r="BH1199">
        <v>-2.0499999999999998</v>
      </c>
      <c r="BI1199">
        <v>1.06</v>
      </c>
      <c r="BJ1199">
        <v>20210827</v>
      </c>
      <c r="BK1199">
        <v>20161229</v>
      </c>
      <c r="BL1199">
        <v>1.6</v>
      </c>
      <c r="BM1199" t="s">
        <v>120</v>
      </c>
      <c r="BN1199" t="s">
        <v>120</v>
      </c>
      <c r="BO1199">
        <v>4.05</v>
      </c>
      <c r="BP1199">
        <v>8.59</v>
      </c>
      <c r="BQ1199">
        <v>3.59</v>
      </c>
      <c r="BR1199" t="s">
        <v>120</v>
      </c>
      <c r="BS1199">
        <v>11.46</v>
      </c>
      <c r="BT1199">
        <v>1.82</v>
      </c>
      <c r="BU1199">
        <v>1.25</v>
      </c>
      <c r="BV1199">
        <v>0.11</v>
      </c>
      <c r="BW1199">
        <v>0.42</v>
      </c>
      <c r="BX1199">
        <v>0.89</v>
      </c>
      <c r="BY1199">
        <v>0.13</v>
      </c>
      <c r="BZ1199">
        <v>0.04</v>
      </c>
      <c r="CA1199">
        <v>0</v>
      </c>
      <c r="CB1199">
        <v>0.35</v>
      </c>
      <c r="CC1199">
        <v>0.69</v>
      </c>
      <c r="CD1199">
        <v>0.42</v>
      </c>
      <c r="CE1199">
        <v>0.08</v>
      </c>
      <c r="CF1199">
        <v>0</v>
      </c>
      <c r="CG1199">
        <v>0.08</v>
      </c>
      <c r="CH1199">
        <v>0.08</v>
      </c>
      <c r="CI1199">
        <v>0.08</v>
      </c>
      <c r="CJ1199">
        <v>-0.12</v>
      </c>
      <c r="CK1199">
        <v>7.0000000000000007E-2</v>
      </c>
      <c r="CL1199">
        <v>1.19</v>
      </c>
      <c r="CM1199">
        <v>0.36</v>
      </c>
      <c r="CN1199">
        <v>0.66</v>
      </c>
      <c r="CO1199">
        <v>11615</v>
      </c>
      <c r="CP1199">
        <v>3836</v>
      </c>
      <c r="CQ1199" t="s">
        <v>2796</v>
      </c>
      <c r="CR1199">
        <v>-39.340000000000003</v>
      </c>
      <c r="CS1199">
        <v>-39.43</v>
      </c>
      <c r="CT1199">
        <v>3.83</v>
      </c>
      <c r="CU1199">
        <v>38.18</v>
      </c>
      <c r="CV1199">
        <v>20.04</v>
      </c>
      <c r="CW1199">
        <v>3.44</v>
      </c>
      <c r="CX1199" t="s">
        <v>1248</v>
      </c>
      <c r="CY1199">
        <v>2.2400000000000002</v>
      </c>
      <c r="CZ1199">
        <v>0</v>
      </c>
      <c r="DA1199">
        <v>0.22</v>
      </c>
      <c r="DB1199">
        <v>0.75</v>
      </c>
      <c r="DC1199">
        <v>0.22</v>
      </c>
      <c r="DD1199">
        <v>88.54</v>
      </c>
      <c r="DE1199" t="s">
        <v>1786</v>
      </c>
      <c r="DF1199">
        <v>38.18</v>
      </c>
      <c r="DG1199">
        <v>11.19</v>
      </c>
      <c r="DH1199">
        <v>11.15</v>
      </c>
      <c r="DI1199">
        <v>0.06</v>
      </c>
      <c r="DJ1199">
        <v>237</v>
      </c>
      <c r="DK1199">
        <v>2836</v>
      </c>
      <c r="DL1199" t="s">
        <v>120</v>
      </c>
      <c r="DM1199" t="s">
        <v>120</v>
      </c>
      <c r="DN1199" t="s">
        <v>120</v>
      </c>
    </row>
    <row r="1200" spans="1:118">
      <c r="A1200" t="str">
        <f>"002837"</f>
        <v>002837</v>
      </c>
      <c r="B1200" t="s">
        <v>6604</v>
      </c>
      <c r="C1200">
        <v>-0.23</v>
      </c>
      <c r="D1200">
        <v>-0.64</v>
      </c>
      <c r="E1200">
        <v>0.1</v>
      </c>
      <c r="F1200">
        <v>1837</v>
      </c>
      <c r="G1200" t="s">
        <v>6605</v>
      </c>
      <c r="H1200">
        <v>36523.49</v>
      </c>
      <c r="I1200">
        <v>58.71</v>
      </c>
      <c r="J1200" t="s">
        <v>120</v>
      </c>
      <c r="K1200" t="s">
        <v>6606</v>
      </c>
      <c r="L1200">
        <v>4.5999999999999996</v>
      </c>
      <c r="M1200">
        <v>30.8</v>
      </c>
      <c r="N1200">
        <v>1.22</v>
      </c>
      <c r="O1200">
        <v>4.63</v>
      </c>
      <c r="P1200">
        <v>32.299999999999997</v>
      </c>
      <c r="Q1200">
        <v>-0.91</v>
      </c>
      <c r="R1200">
        <v>30.59</v>
      </c>
      <c r="S1200">
        <v>30.9</v>
      </c>
      <c r="T1200">
        <v>116184</v>
      </c>
      <c r="U1200">
        <v>30.8</v>
      </c>
      <c r="V1200">
        <v>30.87</v>
      </c>
      <c r="W1200">
        <v>46.41</v>
      </c>
      <c r="X1200" t="s">
        <v>675</v>
      </c>
      <c r="Y1200" t="s">
        <v>123</v>
      </c>
      <c r="Z1200">
        <v>5.54</v>
      </c>
      <c r="AA1200">
        <v>31.44</v>
      </c>
      <c r="AB1200">
        <v>54522</v>
      </c>
      <c r="AC1200">
        <v>61662</v>
      </c>
      <c r="AD1200">
        <v>0.88</v>
      </c>
      <c r="AE1200">
        <v>4</v>
      </c>
      <c r="AF1200">
        <v>428</v>
      </c>
      <c r="AG1200" t="s">
        <v>120</v>
      </c>
      <c r="AH1200">
        <v>0.01</v>
      </c>
      <c r="AI1200" t="s">
        <v>120</v>
      </c>
      <c r="AJ1200">
        <v>2.5299999999999998</v>
      </c>
      <c r="AK1200" t="s">
        <v>6607</v>
      </c>
      <c r="AL1200">
        <v>1.69</v>
      </c>
      <c r="AM1200">
        <v>4255</v>
      </c>
      <c r="AN1200">
        <v>27</v>
      </c>
      <c r="AO1200">
        <v>1.1000000000000001E-3</v>
      </c>
      <c r="AP1200">
        <v>-1</v>
      </c>
      <c r="AQ1200">
        <v>2.15</v>
      </c>
      <c r="AR1200">
        <v>3.5</v>
      </c>
      <c r="AS1200">
        <v>-2.06</v>
      </c>
      <c r="AT1200">
        <v>58.52</v>
      </c>
      <c r="AU1200">
        <v>77.83</v>
      </c>
      <c r="AV1200">
        <v>9</v>
      </c>
      <c r="AW1200">
        <v>7.28</v>
      </c>
      <c r="AX1200">
        <v>49.55</v>
      </c>
      <c r="AY1200">
        <v>46.77</v>
      </c>
      <c r="AZ1200">
        <v>54.75</v>
      </c>
      <c r="BA1200">
        <v>0.5</v>
      </c>
      <c r="BB1200" t="s">
        <v>168</v>
      </c>
      <c r="BF1200">
        <v>1.83</v>
      </c>
      <c r="BG1200">
        <v>-0.32</v>
      </c>
      <c r="BH1200">
        <v>-4.6399999999999997</v>
      </c>
      <c r="BI1200">
        <v>0.69</v>
      </c>
      <c r="BJ1200">
        <v>20210904</v>
      </c>
      <c r="BK1200">
        <v>20161229</v>
      </c>
      <c r="BL1200">
        <v>3.22</v>
      </c>
      <c r="BM1200" t="s">
        <v>120</v>
      </c>
      <c r="BN1200" t="s">
        <v>120</v>
      </c>
      <c r="BO1200">
        <v>30.36</v>
      </c>
      <c r="BP1200">
        <v>30.76</v>
      </c>
      <c r="BQ1200">
        <v>14.56</v>
      </c>
      <c r="BR1200">
        <v>-0.02</v>
      </c>
      <c r="BS1200">
        <v>52.13</v>
      </c>
      <c r="BT1200">
        <v>22.82</v>
      </c>
      <c r="BU1200">
        <v>2.56</v>
      </c>
      <c r="BV1200">
        <v>0.86</v>
      </c>
      <c r="BW1200">
        <v>14.84</v>
      </c>
      <c r="BX1200">
        <v>2.99</v>
      </c>
      <c r="BY1200">
        <v>4.3899999999999997</v>
      </c>
      <c r="BZ1200">
        <v>9.66</v>
      </c>
      <c r="CA1200" t="s">
        <v>120</v>
      </c>
      <c r="CB1200">
        <v>4.5</v>
      </c>
      <c r="CC1200">
        <v>9.81</v>
      </c>
      <c r="CD1200">
        <v>6.73</v>
      </c>
      <c r="CE1200">
        <v>1.1499999999999999</v>
      </c>
      <c r="CF1200">
        <v>0</v>
      </c>
      <c r="CG1200">
        <v>1.1499999999999999</v>
      </c>
      <c r="CH1200">
        <v>1.04</v>
      </c>
      <c r="CI1200">
        <v>1.07</v>
      </c>
      <c r="CJ1200">
        <v>-7.0000000000000007E-2</v>
      </c>
      <c r="CK1200">
        <v>0.95</v>
      </c>
      <c r="CL1200">
        <v>6.35</v>
      </c>
      <c r="CM1200">
        <v>-1.76</v>
      </c>
      <c r="CN1200">
        <v>-1.33</v>
      </c>
      <c r="CO1200">
        <v>32900</v>
      </c>
      <c r="CP1200">
        <v>4853</v>
      </c>
      <c r="CQ1200" t="s">
        <v>6608</v>
      </c>
      <c r="CR1200">
        <v>40.81</v>
      </c>
      <c r="CS1200">
        <v>46.31</v>
      </c>
      <c r="CT1200">
        <v>6.82</v>
      </c>
      <c r="CU1200">
        <v>-56.3</v>
      </c>
      <c r="CV1200">
        <v>10.11</v>
      </c>
      <c r="CW1200">
        <v>0.57999999999999996</v>
      </c>
      <c r="CX1200" t="s">
        <v>2443</v>
      </c>
      <c r="CY1200">
        <v>4.5199999999999996</v>
      </c>
      <c r="CZ1200">
        <v>0</v>
      </c>
      <c r="DA1200">
        <v>1.4</v>
      </c>
      <c r="DB1200">
        <v>1.97</v>
      </c>
      <c r="DC1200">
        <v>-0.55000000000000004</v>
      </c>
      <c r="DD1200">
        <v>47.95</v>
      </c>
      <c r="DE1200" t="s">
        <v>6184</v>
      </c>
      <c r="DF1200">
        <v>31.43</v>
      </c>
      <c r="DG1200">
        <v>11.7</v>
      </c>
      <c r="DH1200">
        <v>10.9</v>
      </c>
      <c r="DI1200">
        <v>0.63</v>
      </c>
      <c r="DJ1200">
        <v>2347</v>
      </c>
      <c r="DK1200">
        <v>2837</v>
      </c>
      <c r="DL1200" t="s">
        <v>120</v>
      </c>
      <c r="DM1200" t="s">
        <v>120</v>
      </c>
      <c r="DN1200" t="s">
        <v>120</v>
      </c>
    </row>
    <row r="1201" spans="1:118">
      <c r="A1201" t="str">
        <f>"002838"</f>
        <v>002838</v>
      </c>
      <c r="B1201" t="s">
        <v>6609</v>
      </c>
      <c r="C1201">
        <v>1.84</v>
      </c>
      <c r="D1201">
        <v>-0.05</v>
      </c>
      <c r="E1201">
        <v>2.0299999999999998</v>
      </c>
      <c r="F1201">
        <v>647</v>
      </c>
      <c r="G1201" t="s">
        <v>6352</v>
      </c>
      <c r="H1201">
        <v>16814.830000000002</v>
      </c>
      <c r="I1201">
        <v>246.51</v>
      </c>
      <c r="J1201" t="s">
        <v>120</v>
      </c>
      <c r="K1201" t="s">
        <v>6610</v>
      </c>
      <c r="L1201">
        <v>2.87</v>
      </c>
      <c r="M1201">
        <v>16.57</v>
      </c>
      <c r="N1201">
        <v>1.96</v>
      </c>
      <c r="O1201">
        <v>6.82</v>
      </c>
      <c r="P1201">
        <v>17.38</v>
      </c>
      <c r="Q1201">
        <v>0.68</v>
      </c>
      <c r="R1201">
        <v>16.38</v>
      </c>
      <c r="S1201">
        <v>16.600000000000001</v>
      </c>
      <c r="T1201">
        <v>99717</v>
      </c>
      <c r="U1201">
        <v>16.57</v>
      </c>
      <c r="V1201">
        <v>16.27</v>
      </c>
      <c r="W1201">
        <v>30.67</v>
      </c>
      <c r="X1201" t="s">
        <v>2211</v>
      </c>
      <c r="Y1201" t="s">
        <v>638</v>
      </c>
      <c r="Z1201">
        <v>6.15</v>
      </c>
      <c r="AA1201">
        <v>16.86</v>
      </c>
      <c r="AB1201">
        <v>48790</v>
      </c>
      <c r="AC1201">
        <v>50927</v>
      </c>
      <c r="AD1201">
        <v>0.96</v>
      </c>
      <c r="AE1201">
        <v>93</v>
      </c>
      <c r="AF1201">
        <v>3</v>
      </c>
      <c r="AG1201" t="s">
        <v>120</v>
      </c>
      <c r="AH1201">
        <v>0.11</v>
      </c>
      <c r="AI1201" t="s">
        <v>120</v>
      </c>
      <c r="AJ1201">
        <v>3.48</v>
      </c>
      <c r="AK1201" t="s">
        <v>6611</v>
      </c>
      <c r="AL1201">
        <v>3.76</v>
      </c>
      <c r="AM1201">
        <v>2677</v>
      </c>
      <c r="AN1201">
        <v>37</v>
      </c>
      <c r="AO1201">
        <v>1.1000000000000001E-3</v>
      </c>
      <c r="AP1201">
        <v>2</v>
      </c>
      <c r="AQ1201">
        <v>2.46</v>
      </c>
      <c r="AR1201">
        <v>3.76</v>
      </c>
      <c r="AS1201">
        <v>8.16</v>
      </c>
      <c r="AT1201">
        <v>-9.75</v>
      </c>
      <c r="AU1201">
        <v>-35.130000000000003</v>
      </c>
      <c r="AV1201">
        <v>2</v>
      </c>
      <c r="AW1201">
        <v>7.47</v>
      </c>
      <c r="AX1201">
        <v>32.700000000000003</v>
      </c>
      <c r="AY1201">
        <v>17.47</v>
      </c>
      <c r="AZ1201">
        <v>7.76</v>
      </c>
      <c r="BA1201">
        <v>0.6</v>
      </c>
      <c r="BB1201" t="s">
        <v>700</v>
      </c>
      <c r="BF1201">
        <v>3.64</v>
      </c>
      <c r="BG1201">
        <v>-0.18</v>
      </c>
      <c r="BH1201">
        <v>-4.66</v>
      </c>
      <c r="BI1201">
        <v>1.1599999999999999</v>
      </c>
      <c r="BJ1201">
        <v>20210821</v>
      </c>
      <c r="BK1201">
        <v>20170106</v>
      </c>
      <c r="BL1201">
        <v>4.08</v>
      </c>
      <c r="BM1201" t="s">
        <v>120</v>
      </c>
      <c r="BN1201" t="s">
        <v>120</v>
      </c>
      <c r="BO1201">
        <v>29.83</v>
      </c>
      <c r="BP1201">
        <v>16.559999999999999</v>
      </c>
      <c r="BQ1201">
        <v>19.55</v>
      </c>
      <c r="BR1201">
        <v>0.95</v>
      </c>
      <c r="BS1201">
        <v>31.29</v>
      </c>
      <c r="BT1201">
        <v>20.14</v>
      </c>
      <c r="BU1201">
        <v>5.13</v>
      </c>
      <c r="BV1201">
        <v>1.0900000000000001</v>
      </c>
      <c r="BW1201">
        <v>5.57</v>
      </c>
      <c r="BX1201">
        <v>4.76</v>
      </c>
      <c r="BY1201">
        <v>4.34</v>
      </c>
      <c r="BZ1201">
        <v>6.36</v>
      </c>
      <c r="CA1201" t="s">
        <v>120</v>
      </c>
      <c r="CB1201">
        <v>0.99</v>
      </c>
      <c r="CC1201">
        <v>19.37</v>
      </c>
      <c r="CD1201">
        <v>16.829999999999998</v>
      </c>
      <c r="CE1201">
        <v>1.34</v>
      </c>
      <c r="CF1201">
        <v>0.09</v>
      </c>
      <c r="CG1201">
        <v>1.45</v>
      </c>
      <c r="CH1201">
        <v>1.22</v>
      </c>
      <c r="CI1201">
        <v>1.1000000000000001</v>
      </c>
      <c r="CJ1201">
        <v>0.3</v>
      </c>
      <c r="CK1201">
        <v>0.93</v>
      </c>
      <c r="CL1201">
        <v>12.21</v>
      </c>
      <c r="CM1201">
        <v>-0.89</v>
      </c>
      <c r="CN1201">
        <v>1.01</v>
      </c>
      <c r="CO1201">
        <v>46929</v>
      </c>
      <c r="CP1201">
        <v>2843</v>
      </c>
      <c r="CQ1201" t="s">
        <v>6612</v>
      </c>
      <c r="CR1201">
        <v>-81.17</v>
      </c>
      <c r="CS1201">
        <v>-14.85</v>
      </c>
      <c r="CT1201">
        <v>3.64</v>
      </c>
      <c r="CU1201">
        <v>-75.75</v>
      </c>
      <c r="CV1201">
        <v>3.49</v>
      </c>
      <c r="CW1201">
        <v>1.23</v>
      </c>
      <c r="CX1201" t="s">
        <v>1233</v>
      </c>
      <c r="CY1201">
        <v>4.5599999999999996</v>
      </c>
      <c r="CZ1201">
        <v>4.5599999999999996</v>
      </c>
      <c r="DA1201">
        <v>0.24</v>
      </c>
      <c r="DB1201">
        <v>2.99</v>
      </c>
      <c r="DC1201">
        <v>-0.22</v>
      </c>
      <c r="DD1201">
        <v>65.53</v>
      </c>
      <c r="DE1201" t="s">
        <v>1582</v>
      </c>
      <c r="DF1201">
        <v>13.11</v>
      </c>
      <c r="DG1201">
        <v>6.9</v>
      </c>
      <c r="DH1201">
        <v>5.69</v>
      </c>
      <c r="DI1201">
        <v>0.61</v>
      </c>
      <c r="DJ1201">
        <v>1221</v>
      </c>
      <c r="DK1201">
        <v>2838</v>
      </c>
      <c r="DL1201" t="s">
        <v>120</v>
      </c>
      <c r="DM1201" t="s">
        <v>120</v>
      </c>
      <c r="DN1201" t="s">
        <v>120</v>
      </c>
    </row>
    <row r="1202" spans="1:118">
      <c r="A1202" t="str">
        <f>"002839"</f>
        <v>002839</v>
      </c>
      <c r="B1202" t="s">
        <v>6613</v>
      </c>
      <c r="C1202">
        <v>0.34</v>
      </c>
      <c r="D1202">
        <v>-0.16</v>
      </c>
      <c r="E1202">
        <v>-0.34</v>
      </c>
      <c r="F1202">
        <v>5099</v>
      </c>
      <c r="G1202" t="s">
        <v>6614</v>
      </c>
      <c r="H1202">
        <v>25633.88</v>
      </c>
      <c r="I1202">
        <v>79.33</v>
      </c>
      <c r="J1202" t="s">
        <v>120</v>
      </c>
      <c r="K1202" t="s">
        <v>6615</v>
      </c>
      <c r="L1202">
        <v>2.79</v>
      </c>
      <c r="M1202">
        <v>5.96</v>
      </c>
      <c r="N1202">
        <v>0.92</v>
      </c>
      <c r="O1202">
        <v>3.54</v>
      </c>
      <c r="P1202">
        <v>6.15</v>
      </c>
      <c r="Q1202">
        <v>-0.34</v>
      </c>
      <c r="R1202">
        <v>5.92</v>
      </c>
      <c r="S1202">
        <v>5.92</v>
      </c>
      <c r="T1202">
        <v>425148</v>
      </c>
      <c r="U1202">
        <v>5.97</v>
      </c>
      <c r="V1202">
        <v>5.94</v>
      </c>
      <c r="W1202">
        <v>9.0299999999999994</v>
      </c>
      <c r="X1202" t="s">
        <v>122</v>
      </c>
      <c r="Y1202" t="s">
        <v>319</v>
      </c>
      <c r="Z1202">
        <v>3.87</v>
      </c>
      <c r="AA1202">
        <v>6.03</v>
      </c>
      <c r="AB1202">
        <v>212568</v>
      </c>
      <c r="AC1202">
        <v>212580</v>
      </c>
      <c r="AD1202">
        <v>1</v>
      </c>
      <c r="AE1202">
        <v>1430</v>
      </c>
      <c r="AF1202">
        <v>973</v>
      </c>
      <c r="AG1202" t="s">
        <v>120</v>
      </c>
      <c r="AH1202">
        <v>0.01</v>
      </c>
      <c r="AI1202" t="s">
        <v>120</v>
      </c>
      <c r="AJ1202">
        <v>15.22</v>
      </c>
      <c r="AK1202" t="s">
        <v>6616</v>
      </c>
      <c r="AL1202">
        <v>2.25</v>
      </c>
      <c r="AM1202">
        <v>3461</v>
      </c>
      <c r="AN1202">
        <v>123</v>
      </c>
      <c r="AO1202">
        <v>8.0000000000000004E-4</v>
      </c>
      <c r="AP1202">
        <v>1</v>
      </c>
      <c r="AQ1202">
        <v>-0.5</v>
      </c>
      <c r="AR1202">
        <v>-3.56</v>
      </c>
      <c r="AS1202">
        <v>4.74</v>
      </c>
      <c r="AT1202">
        <v>12.03</v>
      </c>
      <c r="AU1202">
        <v>0.34</v>
      </c>
      <c r="AV1202">
        <v>0</v>
      </c>
      <c r="AW1202">
        <v>3.35</v>
      </c>
      <c r="AX1202">
        <v>70.22</v>
      </c>
      <c r="AY1202">
        <v>9.73</v>
      </c>
      <c r="AZ1202">
        <v>10.73</v>
      </c>
      <c r="BA1202">
        <v>0.41</v>
      </c>
      <c r="BB1202" t="s">
        <v>143</v>
      </c>
      <c r="BF1202">
        <v>1.51</v>
      </c>
      <c r="BG1202">
        <v>0.68</v>
      </c>
      <c r="BH1202">
        <v>-3.09</v>
      </c>
      <c r="BI1202">
        <v>0.68</v>
      </c>
      <c r="BJ1202">
        <v>20210909</v>
      </c>
      <c r="BK1202">
        <v>20170124</v>
      </c>
      <c r="BL1202">
        <v>18.079999999999998</v>
      </c>
      <c r="BM1202" t="s">
        <v>120</v>
      </c>
      <c r="BN1202" t="s">
        <v>120</v>
      </c>
      <c r="BO1202">
        <v>1559.28</v>
      </c>
      <c r="BP1202">
        <v>5.96</v>
      </c>
      <c r="BQ1202">
        <v>135.93</v>
      </c>
      <c r="BR1202">
        <v>1.31</v>
      </c>
      <c r="BS1202">
        <v>91.2</v>
      </c>
      <c r="BT1202">
        <v>0</v>
      </c>
      <c r="BU1202">
        <v>8.52</v>
      </c>
      <c r="BV1202">
        <v>1.6</v>
      </c>
      <c r="BW1202">
        <v>0</v>
      </c>
      <c r="BX1202">
        <v>106.5</v>
      </c>
      <c r="BY1202">
        <v>0</v>
      </c>
      <c r="BZ1202">
        <v>0</v>
      </c>
      <c r="CA1202" t="s">
        <v>120</v>
      </c>
      <c r="CB1202">
        <v>8.65</v>
      </c>
      <c r="CC1202">
        <v>22.25</v>
      </c>
      <c r="CD1202">
        <v>0</v>
      </c>
      <c r="CE1202">
        <v>6.2</v>
      </c>
      <c r="CF1202">
        <v>3.84</v>
      </c>
      <c r="CG1202">
        <v>6.17</v>
      </c>
      <c r="CH1202">
        <v>6.11</v>
      </c>
      <c r="CI1202">
        <v>5.96</v>
      </c>
      <c r="CJ1202">
        <v>0.02</v>
      </c>
      <c r="CK1202">
        <v>5.84</v>
      </c>
      <c r="CL1202">
        <v>19.89</v>
      </c>
      <c r="CM1202">
        <v>-26.35</v>
      </c>
      <c r="CN1202">
        <v>-17.59</v>
      </c>
      <c r="CO1202">
        <v>76650</v>
      </c>
      <c r="CP1202">
        <v>16563</v>
      </c>
      <c r="CQ1202" t="s">
        <v>6617</v>
      </c>
      <c r="CR1202">
        <v>20.9</v>
      </c>
      <c r="CS1202">
        <v>4.93</v>
      </c>
      <c r="CT1202">
        <v>0.97</v>
      </c>
      <c r="CU1202">
        <v>-4.09</v>
      </c>
      <c r="CV1202">
        <v>4.84</v>
      </c>
      <c r="CW1202">
        <v>2.69</v>
      </c>
      <c r="CX1202" t="s">
        <v>2443</v>
      </c>
      <c r="CY1202">
        <v>6.16</v>
      </c>
      <c r="CZ1202">
        <v>6.16</v>
      </c>
      <c r="DA1202">
        <v>0.48</v>
      </c>
      <c r="DB1202">
        <v>1.1000000000000001</v>
      </c>
      <c r="DC1202">
        <v>-1.46</v>
      </c>
      <c r="DD1202">
        <v>8.7200000000000006</v>
      </c>
      <c r="DE1202" t="s">
        <v>2820</v>
      </c>
      <c r="DF1202" t="s">
        <v>120</v>
      </c>
      <c r="DG1202">
        <v>27.85</v>
      </c>
      <c r="DH1202">
        <v>26.8</v>
      </c>
      <c r="DI1202" t="s">
        <v>120</v>
      </c>
      <c r="DJ1202">
        <v>2370</v>
      </c>
      <c r="DK1202">
        <v>2839</v>
      </c>
      <c r="DL1202" t="s">
        <v>120</v>
      </c>
      <c r="DM1202" t="s">
        <v>120</v>
      </c>
      <c r="DN1202" t="s">
        <v>120</v>
      </c>
    </row>
    <row r="1203" spans="1:118">
      <c r="A1203" t="str">
        <f>"002840"</f>
        <v>002840</v>
      </c>
      <c r="B1203" t="s">
        <v>6618</v>
      </c>
      <c r="C1203">
        <v>10.029999999999999</v>
      </c>
      <c r="D1203">
        <v>0</v>
      </c>
      <c r="E1203">
        <v>-0.75</v>
      </c>
      <c r="F1203">
        <v>1321</v>
      </c>
      <c r="G1203" t="s">
        <v>1039</v>
      </c>
      <c r="H1203">
        <v>16106.65</v>
      </c>
      <c r="I1203">
        <v>82.03</v>
      </c>
      <c r="J1203">
        <v>1912.5</v>
      </c>
      <c r="K1203" t="s">
        <v>6619</v>
      </c>
      <c r="L1203">
        <v>3.72</v>
      </c>
      <c r="M1203">
        <v>10.31</v>
      </c>
      <c r="N1203">
        <v>2.19</v>
      </c>
      <c r="O1203">
        <v>10.029999999999999</v>
      </c>
      <c r="P1203">
        <v>10.31</v>
      </c>
      <c r="Q1203">
        <v>-1.28</v>
      </c>
      <c r="R1203">
        <v>9.25</v>
      </c>
      <c r="S1203">
        <v>9.3000000000000007</v>
      </c>
      <c r="T1203">
        <v>162042</v>
      </c>
      <c r="U1203" t="s">
        <v>120</v>
      </c>
      <c r="V1203">
        <v>9.3699999999999992</v>
      </c>
      <c r="W1203">
        <v>15.32</v>
      </c>
      <c r="X1203" t="s">
        <v>847</v>
      </c>
      <c r="Y1203" t="s">
        <v>585</v>
      </c>
      <c r="Z1203">
        <v>11.31</v>
      </c>
      <c r="AA1203">
        <v>9.94</v>
      </c>
      <c r="AB1203">
        <v>68532</v>
      </c>
      <c r="AC1203">
        <v>93510</v>
      </c>
      <c r="AD1203">
        <v>0.73</v>
      </c>
      <c r="AE1203">
        <v>18550</v>
      </c>
      <c r="AF1203">
        <v>0</v>
      </c>
      <c r="AG1203" t="s">
        <v>120</v>
      </c>
      <c r="AH1203">
        <v>0.05</v>
      </c>
      <c r="AI1203">
        <v>0.11</v>
      </c>
      <c r="AJ1203">
        <v>4.3600000000000003</v>
      </c>
      <c r="AK1203" t="s">
        <v>3913</v>
      </c>
      <c r="AL1203">
        <v>11.95</v>
      </c>
      <c r="AM1203">
        <v>2949</v>
      </c>
      <c r="AN1203">
        <v>55</v>
      </c>
      <c r="AO1203">
        <v>1.2999999999999999E-3</v>
      </c>
      <c r="AP1203">
        <v>4</v>
      </c>
      <c r="AQ1203">
        <v>0.75</v>
      </c>
      <c r="AR1203">
        <v>14.17</v>
      </c>
      <c r="AS1203">
        <v>14.05</v>
      </c>
      <c r="AT1203">
        <v>15.48</v>
      </c>
      <c r="AU1203">
        <v>-1.22</v>
      </c>
      <c r="AV1203">
        <v>0</v>
      </c>
      <c r="AW1203">
        <v>8.52</v>
      </c>
      <c r="AX1203">
        <v>42.47</v>
      </c>
      <c r="AY1203">
        <v>19.93</v>
      </c>
      <c r="AZ1203">
        <v>31.05</v>
      </c>
      <c r="BA1203">
        <v>0.42</v>
      </c>
      <c r="BB1203" t="s">
        <v>143</v>
      </c>
      <c r="BF1203">
        <v>6.08</v>
      </c>
      <c r="BG1203">
        <v>10.86</v>
      </c>
      <c r="BH1203">
        <v>0</v>
      </c>
      <c r="BI1203">
        <v>11.46</v>
      </c>
      <c r="BJ1203">
        <v>20210827</v>
      </c>
      <c r="BK1203">
        <v>20170110</v>
      </c>
      <c r="BL1203">
        <v>4.4800000000000004</v>
      </c>
      <c r="BM1203" t="s">
        <v>120</v>
      </c>
      <c r="BN1203" t="s">
        <v>120</v>
      </c>
      <c r="BO1203">
        <v>63.79</v>
      </c>
      <c r="BP1203">
        <v>10.31</v>
      </c>
      <c r="BQ1203">
        <v>18.5</v>
      </c>
      <c r="BR1203">
        <v>6.67</v>
      </c>
      <c r="BS1203">
        <v>60.54</v>
      </c>
      <c r="BT1203">
        <v>13.55</v>
      </c>
      <c r="BU1203">
        <v>20.239999999999998</v>
      </c>
      <c r="BV1203">
        <v>2.5499999999999998</v>
      </c>
      <c r="BW1203">
        <v>14.96</v>
      </c>
      <c r="BX1203">
        <v>5.79</v>
      </c>
      <c r="BY1203">
        <v>4.42</v>
      </c>
      <c r="BZ1203">
        <v>0.42</v>
      </c>
      <c r="CA1203">
        <v>0.04</v>
      </c>
      <c r="CB1203">
        <v>4.12</v>
      </c>
      <c r="CC1203">
        <v>46.16</v>
      </c>
      <c r="CD1203">
        <v>43.9</v>
      </c>
      <c r="CE1203">
        <v>1.94</v>
      </c>
      <c r="CF1203">
        <v>0.46</v>
      </c>
      <c r="CG1203">
        <v>1.93</v>
      </c>
      <c r="CH1203">
        <v>1.78</v>
      </c>
      <c r="CI1203">
        <v>1.51</v>
      </c>
      <c r="CJ1203">
        <v>0.94</v>
      </c>
      <c r="CK1203">
        <v>0.6</v>
      </c>
      <c r="CL1203">
        <v>9.27</v>
      </c>
      <c r="CM1203">
        <v>1.39</v>
      </c>
      <c r="CN1203">
        <v>0.02</v>
      </c>
      <c r="CO1203">
        <v>14796</v>
      </c>
      <c r="CP1203">
        <v>12849</v>
      </c>
      <c r="CQ1203" t="s">
        <v>6620</v>
      </c>
      <c r="CR1203">
        <v>100.22</v>
      </c>
      <c r="CS1203">
        <v>14.84</v>
      </c>
      <c r="CT1203">
        <v>2.56</v>
      </c>
      <c r="CU1203">
        <v>33.119999999999997</v>
      </c>
      <c r="CV1203">
        <v>1</v>
      </c>
      <c r="CW1203">
        <v>0.34</v>
      </c>
      <c r="CX1203" t="s">
        <v>269</v>
      </c>
      <c r="CY1203">
        <v>4.0199999999999996</v>
      </c>
      <c r="CZ1203">
        <v>4.0199999999999996</v>
      </c>
      <c r="DA1203">
        <v>0.92</v>
      </c>
      <c r="DB1203">
        <v>2.0699999999999998</v>
      </c>
      <c r="DC1203">
        <v>0.31</v>
      </c>
      <c r="DD1203">
        <v>29</v>
      </c>
      <c r="DE1203" t="s">
        <v>6621</v>
      </c>
      <c r="DF1203">
        <v>4.88</v>
      </c>
      <c r="DG1203">
        <v>4.1900000000000004</v>
      </c>
      <c r="DH1203">
        <v>3.26</v>
      </c>
      <c r="DI1203">
        <v>0.1</v>
      </c>
      <c r="DJ1203">
        <v>2908</v>
      </c>
      <c r="DK1203">
        <v>2840</v>
      </c>
      <c r="DL1203" t="s">
        <v>120</v>
      </c>
      <c r="DM1203" t="s">
        <v>120</v>
      </c>
      <c r="DN1203" t="s">
        <v>120</v>
      </c>
    </row>
    <row r="1204" spans="1:118">
      <c r="A1204" t="str">
        <f>"002841"</f>
        <v>002841</v>
      </c>
      <c r="B1204" t="s">
        <v>6622</v>
      </c>
      <c r="C1204">
        <v>-1.66</v>
      </c>
      <c r="D1204">
        <v>-0.11</v>
      </c>
      <c r="E1204">
        <v>-0.66</v>
      </c>
      <c r="F1204">
        <v>454</v>
      </c>
      <c r="G1204" t="s">
        <v>6623</v>
      </c>
      <c r="H1204">
        <v>10346.06</v>
      </c>
      <c r="I1204">
        <v>38.880000000000003</v>
      </c>
      <c r="J1204" t="s">
        <v>120</v>
      </c>
      <c r="K1204" t="s">
        <v>6624</v>
      </c>
      <c r="L1204">
        <v>0.28000000000000003</v>
      </c>
      <c r="M1204">
        <v>80.2</v>
      </c>
      <c r="N1204">
        <v>1.07</v>
      </c>
      <c r="O1204">
        <v>0.76</v>
      </c>
      <c r="P1204">
        <v>82.17</v>
      </c>
      <c r="Q1204">
        <v>-2.5099999999999998</v>
      </c>
      <c r="R1204">
        <v>79.5</v>
      </c>
      <c r="S1204">
        <v>81.010000000000005</v>
      </c>
      <c r="T1204">
        <v>12789</v>
      </c>
      <c r="U1204">
        <v>80.25</v>
      </c>
      <c r="V1204">
        <v>81.55</v>
      </c>
      <c r="W1204">
        <v>62.16</v>
      </c>
      <c r="X1204" t="s">
        <v>229</v>
      </c>
      <c r="Y1204" t="s">
        <v>547</v>
      </c>
      <c r="Z1204">
        <v>3.27</v>
      </c>
      <c r="AA1204">
        <v>80.900000000000006</v>
      </c>
      <c r="AB1204">
        <v>6029</v>
      </c>
      <c r="AC1204">
        <v>6760</v>
      </c>
      <c r="AD1204">
        <v>0.89</v>
      </c>
      <c r="AE1204">
        <v>11</v>
      </c>
      <c r="AF1204">
        <v>1</v>
      </c>
      <c r="AG1204" t="s">
        <v>120</v>
      </c>
      <c r="AH1204">
        <v>0</v>
      </c>
      <c r="AI1204" t="s">
        <v>120</v>
      </c>
      <c r="AJ1204">
        <v>4.51</v>
      </c>
      <c r="AK1204" t="s">
        <v>6625</v>
      </c>
      <c r="AL1204">
        <v>0.26</v>
      </c>
      <c r="AM1204">
        <v>2071</v>
      </c>
      <c r="AN1204">
        <v>6</v>
      </c>
      <c r="AO1204">
        <v>1E-4</v>
      </c>
      <c r="AP1204">
        <v>-2</v>
      </c>
      <c r="AQ1204">
        <v>-0.6</v>
      </c>
      <c r="AR1204">
        <v>-2.25</v>
      </c>
      <c r="AS1204">
        <v>-31.46</v>
      </c>
      <c r="AT1204">
        <v>-35.58</v>
      </c>
      <c r="AU1204">
        <v>-29.66</v>
      </c>
      <c r="AV1204">
        <v>2</v>
      </c>
      <c r="AW1204">
        <v>0.41</v>
      </c>
      <c r="AX1204">
        <v>46.93</v>
      </c>
      <c r="AY1204">
        <v>30.36</v>
      </c>
      <c r="AZ1204">
        <v>28.59</v>
      </c>
      <c r="BA1204">
        <v>0.92</v>
      </c>
      <c r="BB1204" t="s">
        <v>134</v>
      </c>
      <c r="BF1204">
        <v>-0.8</v>
      </c>
      <c r="BG1204">
        <v>-1</v>
      </c>
      <c r="BH1204">
        <v>-2.4</v>
      </c>
      <c r="BI1204">
        <v>0.88</v>
      </c>
      <c r="BJ1204">
        <v>20210913</v>
      </c>
      <c r="BK1204">
        <v>20170119</v>
      </c>
      <c r="BL1204">
        <v>6.67</v>
      </c>
      <c r="BM1204" t="s">
        <v>120</v>
      </c>
      <c r="BN1204" t="s">
        <v>120</v>
      </c>
      <c r="BO1204">
        <v>144.44</v>
      </c>
      <c r="BP1204">
        <v>80.2</v>
      </c>
      <c r="BQ1204">
        <v>69.760000000000005</v>
      </c>
      <c r="BR1204">
        <v>1.19</v>
      </c>
      <c r="BS1204">
        <v>50.87</v>
      </c>
      <c r="BT1204">
        <v>78.16</v>
      </c>
      <c r="BU1204">
        <v>14.02</v>
      </c>
      <c r="BV1204">
        <v>3.17</v>
      </c>
      <c r="BW1204">
        <v>70.36</v>
      </c>
      <c r="BX1204">
        <v>27.91</v>
      </c>
      <c r="BY1204">
        <v>38.57</v>
      </c>
      <c r="BZ1204">
        <v>1.62</v>
      </c>
      <c r="CA1204" t="s">
        <v>120</v>
      </c>
      <c r="CB1204">
        <v>17.57</v>
      </c>
      <c r="CC1204">
        <v>79.63</v>
      </c>
      <c r="CD1204">
        <v>60.15</v>
      </c>
      <c r="CE1204">
        <v>4.03</v>
      </c>
      <c r="CF1204">
        <v>0.94</v>
      </c>
      <c r="CG1204">
        <v>4.25</v>
      </c>
      <c r="CH1204">
        <v>4.29</v>
      </c>
      <c r="CI1204">
        <v>4.3</v>
      </c>
      <c r="CJ1204">
        <v>-1.35</v>
      </c>
      <c r="CK1204">
        <v>3.18</v>
      </c>
      <c r="CL1204">
        <v>43.18</v>
      </c>
      <c r="CM1204">
        <v>-0.98</v>
      </c>
      <c r="CN1204">
        <v>-7.36</v>
      </c>
      <c r="CO1204">
        <v>15277</v>
      </c>
      <c r="CP1204">
        <v>20475</v>
      </c>
      <c r="CQ1204" t="s">
        <v>6626</v>
      </c>
      <c r="CR1204">
        <v>-20.51</v>
      </c>
      <c r="CS1204">
        <v>27.5</v>
      </c>
      <c r="CT1204">
        <v>7.68</v>
      </c>
      <c r="CU1204">
        <v>-545.27</v>
      </c>
      <c r="CV1204">
        <v>6.71</v>
      </c>
      <c r="CW1204">
        <v>1.23</v>
      </c>
      <c r="CX1204" t="s">
        <v>2533</v>
      </c>
      <c r="CY1204">
        <v>10.44</v>
      </c>
      <c r="CZ1204">
        <v>10.44</v>
      </c>
      <c r="DA1204">
        <v>2.64</v>
      </c>
      <c r="DB1204">
        <v>6.48</v>
      </c>
      <c r="DC1204">
        <v>-0.15</v>
      </c>
      <c r="DD1204">
        <v>48.3</v>
      </c>
      <c r="DE1204" t="s">
        <v>6338</v>
      </c>
      <c r="DF1204">
        <v>24.46</v>
      </c>
      <c r="DG1204">
        <v>5.0599999999999996</v>
      </c>
      <c r="DH1204">
        <v>5.4</v>
      </c>
      <c r="DI1204">
        <v>4.88</v>
      </c>
      <c r="DJ1204">
        <v>4779</v>
      </c>
      <c r="DK1204">
        <v>2841</v>
      </c>
      <c r="DL1204" t="s">
        <v>120</v>
      </c>
      <c r="DM1204" t="s">
        <v>120</v>
      </c>
      <c r="DN1204" t="s">
        <v>120</v>
      </c>
    </row>
    <row r="1205" spans="1:118">
      <c r="A1205" t="str">
        <f>"002842"</f>
        <v>002842</v>
      </c>
      <c r="B1205" t="s">
        <v>6627</v>
      </c>
      <c r="C1205">
        <v>-3.2</v>
      </c>
      <c r="D1205">
        <v>-0.77</v>
      </c>
      <c r="E1205">
        <v>0.08</v>
      </c>
      <c r="F1205">
        <v>1892</v>
      </c>
      <c r="G1205" t="s">
        <v>6628</v>
      </c>
      <c r="H1205">
        <v>14658.19</v>
      </c>
      <c r="I1205">
        <v>61.64</v>
      </c>
      <c r="J1205" t="s">
        <v>120</v>
      </c>
      <c r="K1205" t="s">
        <v>6629</v>
      </c>
      <c r="L1205">
        <v>5.22</v>
      </c>
      <c r="M1205">
        <v>11.51</v>
      </c>
      <c r="N1205">
        <v>1.01</v>
      </c>
      <c r="O1205">
        <v>4.21</v>
      </c>
      <c r="P1205">
        <v>12.39</v>
      </c>
      <c r="Q1205">
        <v>-3.2</v>
      </c>
      <c r="R1205">
        <v>11.51</v>
      </c>
      <c r="S1205">
        <v>11.9</v>
      </c>
      <c r="T1205">
        <v>122229</v>
      </c>
      <c r="U1205">
        <v>11.54</v>
      </c>
      <c r="V1205">
        <v>11.89</v>
      </c>
      <c r="W1205">
        <v>64.72</v>
      </c>
      <c r="X1205" t="s">
        <v>1390</v>
      </c>
      <c r="Y1205" t="s">
        <v>547</v>
      </c>
      <c r="Z1205">
        <v>7.4</v>
      </c>
      <c r="AA1205">
        <v>11.99</v>
      </c>
      <c r="AB1205">
        <v>60504</v>
      </c>
      <c r="AC1205">
        <v>61725</v>
      </c>
      <c r="AD1205">
        <v>0.98</v>
      </c>
      <c r="AE1205">
        <v>84</v>
      </c>
      <c r="AF1205">
        <v>83</v>
      </c>
      <c r="AG1205" t="s">
        <v>120</v>
      </c>
      <c r="AH1205">
        <v>0.03</v>
      </c>
      <c r="AI1205" t="s">
        <v>120</v>
      </c>
      <c r="AJ1205">
        <v>2.34</v>
      </c>
      <c r="AK1205" t="s">
        <v>6630</v>
      </c>
      <c r="AL1205">
        <v>-1.28</v>
      </c>
      <c r="AM1205">
        <v>3336</v>
      </c>
      <c r="AN1205">
        <v>37</v>
      </c>
      <c r="AO1205">
        <v>1.6000000000000001E-3</v>
      </c>
      <c r="AP1205">
        <v>-1</v>
      </c>
      <c r="AQ1205">
        <v>3.3</v>
      </c>
      <c r="AR1205">
        <v>-6.12</v>
      </c>
      <c r="AS1205">
        <v>6.09</v>
      </c>
      <c r="AT1205">
        <v>27.46</v>
      </c>
      <c r="AU1205">
        <v>13.96</v>
      </c>
      <c r="AV1205">
        <v>3</v>
      </c>
      <c r="AW1205">
        <v>8.24</v>
      </c>
      <c r="AX1205">
        <v>54.32</v>
      </c>
      <c r="AY1205">
        <v>62.54</v>
      </c>
      <c r="AZ1205">
        <v>78.06</v>
      </c>
      <c r="BA1205">
        <v>0.6</v>
      </c>
      <c r="BB1205" t="s">
        <v>143</v>
      </c>
      <c r="BF1205">
        <v>0.86</v>
      </c>
      <c r="BG1205">
        <v>-3.28</v>
      </c>
      <c r="BH1205">
        <v>-7.1</v>
      </c>
      <c r="BI1205">
        <v>0</v>
      </c>
      <c r="BJ1205">
        <v>20210811</v>
      </c>
      <c r="BK1205">
        <v>20170119</v>
      </c>
      <c r="BL1205">
        <v>2.73</v>
      </c>
      <c r="BM1205" t="s">
        <v>120</v>
      </c>
      <c r="BN1205" t="s">
        <v>120</v>
      </c>
      <c r="BO1205">
        <v>23.33</v>
      </c>
      <c r="BP1205">
        <v>11.51</v>
      </c>
      <c r="BQ1205">
        <v>10.06</v>
      </c>
      <c r="BR1205" t="s">
        <v>120</v>
      </c>
      <c r="BS1205">
        <v>56.87</v>
      </c>
      <c r="BT1205">
        <v>13.25</v>
      </c>
      <c r="BU1205">
        <v>6.93</v>
      </c>
      <c r="BV1205">
        <v>1.17</v>
      </c>
      <c r="BW1205">
        <v>8.36</v>
      </c>
      <c r="BX1205">
        <v>2.13</v>
      </c>
      <c r="BY1205">
        <v>5.44</v>
      </c>
      <c r="BZ1205">
        <v>2.84</v>
      </c>
      <c r="CA1205" t="s">
        <v>120</v>
      </c>
      <c r="CB1205">
        <v>2</v>
      </c>
      <c r="CC1205">
        <v>7.76</v>
      </c>
      <c r="CD1205">
        <v>6.74</v>
      </c>
      <c r="CE1205">
        <v>0.25</v>
      </c>
      <c r="CF1205">
        <v>0</v>
      </c>
      <c r="CG1205">
        <v>0.25</v>
      </c>
      <c r="CH1205">
        <v>0.24</v>
      </c>
      <c r="CI1205">
        <v>0.24</v>
      </c>
      <c r="CJ1205">
        <v>-0.38</v>
      </c>
      <c r="CK1205">
        <v>0.22</v>
      </c>
      <c r="CL1205">
        <v>3.92</v>
      </c>
      <c r="CM1205">
        <v>0.11</v>
      </c>
      <c r="CN1205">
        <v>-0.28000000000000003</v>
      </c>
      <c r="CO1205">
        <v>21046</v>
      </c>
      <c r="CP1205">
        <v>7046</v>
      </c>
      <c r="CQ1205" t="s">
        <v>5581</v>
      </c>
      <c r="CR1205">
        <v>73.930000000000007</v>
      </c>
      <c r="CS1205">
        <v>27.09</v>
      </c>
      <c r="CT1205">
        <v>3.34</v>
      </c>
      <c r="CU1205">
        <v>294.41000000000003</v>
      </c>
      <c r="CV1205">
        <v>4.05</v>
      </c>
      <c r="CW1205">
        <v>0</v>
      </c>
      <c r="CX1205" t="s">
        <v>329</v>
      </c>
      <c r="CY1205">
        <v>3.44</v>
      </c>
      <c r="CZ1205">
        <v>3.44</v>
      </c>
      <c r="DA1205">
        <v>0.73</v>
      </c>
      <c r="DB1205">
        <v>1.43</v>
      </c>
      <c r="DC1205">
        <v>0.04</v>
      </c>
      <c r="DD1205">
        <v>43.13</v>
      </c>
      <c r="DE1205" t="s">
        <v>3085</v>
      </c>
      <c r="DF1205">
        <v>13.05</v>
      </c>
      <c r="DG1205">
        <v>3.19</v>
      </c>
      <c r="DH1205">
        <v>3.13</v>
      </c>
      <c r="DI1205">
        <v>0.28999999999999998</v>
      </c>
      <c r="DJ1205">
        <v>984</v>
      </c>
      <c r="DK1205">
        <v>2842</v>
      </c>
      <c r="DL1205" t="s">
        <v>120</v>
      </c>
      <c r="DM1205" t="s">
        <v>120</v>
      </c>
      <c r="DN1205" t="s">
        <v>120</v>
      </c>
    </row>
    <row r="1206" spans="1:118">
      <c r="A1206" t="str">
        <f>"002843"</f>
        <v>002843</v>
      </c>
      <c r="B1206" t="s">
        <v>6631</v>
      </c>
      <c r="C1206">
        <v>-1.36</v>
      </c>
      <c r="D1206">
        <v>-0.2</v>
      </c>
      <c r="E1206">
        <v>0.42</v>
      </c>
      <c r="F1206">
        <v>131</v>
      </c>
      <c r="G1206" t="s">
        <v>6632</v>
      </c>
      <c r="H1206">
        <v>2868.19</v>
      </c>
      <c r="I1206">
        <v>0.28999999999999998</v>
      </c>
      <c r="J1206" t="s">
        <v>120</v>
      </c>
      <c r="K1206" t="s">
        <v>6633</v>
      </c>
      <c r="L1206">
        <v>1.42</v>
      </c>
      <c r="M1206">
        <v>9.41</v>
      </c>
      <c r="N1206">
        <v>1.05</v>
      </c>
      <c r="O1206">
        <v>2.94</v>
      </c>
      <c r="P1206">
        <v>9.82</v>
      </c>
      <c r="Q1206">
        <v>-1.89</v>
      </c>
      <c r="R1206">
        <v>9.36</v>
      </c>
      <c r="S1206">
        <v>9.58</v>
      </c>
      <c r="T1206">
        <v>29807</v>
      </c>
      <c r="U1206">
        <v>9.43</v>
      </c>
      <c r="V1206">
        <v>9.5399999999999991</v>
      </c>
      <c r="W1206">
        <v>33</v>
      </c>
      <c r="X1206" t="s">
        <v>1925</v>
      </c>
      <c r="Y1206" t="s">
        <v>594</v>
      </c>
      <c r="Z1206">
        <v>4.82</v>
      </c>
      <c r="AA1206">
        <v>9.6199999999999992</v>
      </c>
      <c r="AB1206">
        <v>15149</v>
      </c>
      <c r="AC1206">
        <v>14658</v>
      </c>
      <c r="AD1206">
        <v>1.03</v>
      </c>
      <c r="AE1206">
        <v>331</v>
      </c>
      <c r="AF1206">
        <v>29</v>
      </c>
      <c r="AG1206" t="s">
        <v>120</v>
      </c>
      <c r="AH1206">
        <v>0</v>
      </c>
      <c r="AI1206" t="s">
        <v>120</v>
      </c>
      <c r="AJ1206">
        <v>2.1</v>
      </c>
      <c r="AK1206" t="s">
        <v>6633</v>
      </c>
      <c r="AL1206">
        <v>0.55000000000000004</v>
      </c>
      <c r="AM1206">
        <v>1647</v>
      </c>
      <c r="AN1206">
        <v>18</v>
      </c>
      <c r="AO1206">
        <v>8.9999999999999998E-4</v>
      </c>
      <c r="AP1206">
        <v>-1</v>
      </c>
      <c r="AQ1206">
        <v>1.17</v>
      </c>
      <c r="AR1206">
        <v>-2.1800000000000002</v>
      </c>
      <c r="AS1206">
        <v>-6.65</v>
      </c>
      <c r="AT1206">
        <v>15.46</v>
      </c>
      <c r="AU1206">
        <v>21.42</v>
      </c>
      <c r="AV1206">
        <v>2</v>
      </c>
      <c r="AW1206">
        <v>3.49</v>
      </c>
      <c r="AX1206">
        <v>40.71</v>
      </c>
      <c r="AY1206">
        <v>40.04</v>
      </c>
      <c r="AZ1206">
        <v>48.21</v>
      </c>
      <c r="BA1206">
        <v>0.61</v>
      </c>
      <c r="BB1206" t="s">
        <v>143</v>
      </c>
      <c r="BF1206">
        <v>0.87</v>
      </c>
      <c r="BG1206">
        <v>-1.77</v>
      </c>
      <c r="BH1206">
        <v>-4.18</v>
      </c>
      <c r="BI1206">
        <v>0.53</v>
      </c>
      <c r="BJ1206">
        <v>20210906</v>
      </c>
      <c r="BK1206">
        <v>20170120</v>
      </c>
      <c r="BL1206">
        <v>2.1</v>
      </c>
      <c r="BM1206" t="s">
        <v>120</v>
      </c>
      <c r="BN1206" t="s">
        <v>120</v>
      </c>
      <c r="BO1206">
        <v>9.43</v>
      </c>
      <c r="BP1206">
        <v>9.41</v>
      </c>
      <c r="BQ1206">
        <v>5.37</v>
      </c>
      <c r="BR1206" t="s">
        <v>120</v>
      </c>
      <c r="BS1206">
        <v>43.05</v>
      </c>
      <c r="BT1206">
        <v>4.13</v>
      </c>
      <c r="BU1206">
        <v>3.43</v>
      </c>
      <c r="BV1206">
        <v>0.1</v>
      </c>
      <c r="BW1206">
        <v>3.89</v>
      </c>
      <c r="BX1206">
        <v>1.03</v>
      </c>
      <c r="BY1206">
        <v>0.9</v>
      </c>
      <c r="BZ1206">
        <v>1.28</v>
      </c>
      <c r="CA1206" t="s">
        <v>120</v>
      </c>
      <c r="CB1206">
        <v>0.88</v>
      </c>
      <c r="CC1206">
        <v>2.5299999999999998</v>
      </c>
      <c r="CD1206">
        <v>1.55</v>
      </c>
      <c r="CE1206">
        <v>0.35</v>
      </c>
      <c r="CF1206">
        <v>-0.01</v>
      </c>
      <c r="CG1206">
        <v>0.34</v>
      </c>
      <c r="CH1206">
        <v>0.3</v>
      </c>
      <c r="CI1206">
        <v>0.3</v>
      </c>
      <c r="CJ1206">
        <v>-0.13</v>
      </c>
      <c r="CK1206">
        <v>0.28000000000000003</v>
      </c>
      <c r="CL1206">
        <v>1.78</v>
      </c>
      <c r="CM1206">
        <v>0.93</v>
      </c>
      <c r="CN1206">
        <v>0.37</v>
      </c>
      <c r="CO1206">
        <v>12499</v>
      </c>
      <c r="CP1206">
        <v>6840</v>
      </c>
      <c r="CQ1206" t="s">
        <v>3967</v>
      </c>
      <c r="CR1206">
        <v>39.51</v>
      </c>
      <c r="CS1206">
        <v>34.67</v>
      </c>
      <c r="CT1206">
        <v>3.68</v>
      </c>
      <c r="CU1206">
        <v>21.24</v>
      </c>
      <c r="CV1206">
        <v>7.82</v>
      </c>
      <c r="CW1206">
        <v>1</v>
      </c>
      <c r="CX1206" t="s">
        <v>373</v>
      </c>
      <c r="CY1206">
        <v>2.56</v>
      </c>
      <c r="CZ1206">
        <v>0</v>
      </c>
      <c r="DA1206">
        <v>0.42</v>
      </c>
      <c r="DB1206">
        <v>0.85</v>
      </c>
      <c r="DC1206">
        <v>0.44</v>
      </c>
      <c r="DD1206">
        <v>56.95</v>
      </c>
      <c r="DE1206" t="s">
        <v>5126</v>
      </c>
      <c r="DF1206">
        <v>38.700000000000003</v>
      </c>
      <c r="DG1206">
        <v>13.82</v>
      </c>
      <c r="DH1206">
        <v>11.85</v>
      </c>
      <c r="DI1206">
        <v>0.14000000000000001</v>
      </c>
      <c r="DJ1206">
        <v>418</v>
      </c>
      <c r="DK1206">
        <v>2843</v>
      </c>
      <c r="DL1206" t="s">
        <v>120</v>
      </c>
      <c r="DM1206" t="s">
        <v>120</v>
      </c>
      <c r="DN1206" t="s">
        <v>120</v>
      </c>
    </row>
    <row r="1207" spans="1:118">
      <c r="A1207" t="str">
        <f>"002845"</f>
        <v>002845</v>
      </c>
      <c r="B1207" t="s">
        <v>6634</v>
      </c>
      <c r="C1207">
        <v>-4.2</v>
      </c>
      <c r="D1207">
        <v>-0.16</v>
      </c>
      <c r="E1207">
        <v>0.03</v>
      </c>
      <c r="F1207">
        <v>567</v>
      </c>
      <c r="G1207" t="s">
        <v>6635</v>
      </c>
      <c r="H1207">
        <v>9103.2000000000007</v>
      </c>
      <c r="I1207">
        <v>10.68</v>
      </c>
      <c r="J1207" t="s">
        <v>120</v>
      </c>
      <c r="K1207" t="s">
        <v>539</v>
      </c>
      <c r="L1207">
        <v>1.91</v>
      </c>
      <c r="M1207">
        <v>29.23</v>
      </c>
      <c r="N1207">
        <v>0.96</v>
      </c>
      <c r="O1207">
        <v>7.0000000000000007E-2</v>
      </c>
      <c r="P1207">
        <v>30.53</v>
      </c>
      <c r="Q1207">
        <v>-4.6900000000000004</v>
      </c>
      <c r="R1207">
        <v>29.08</v>
      </c>
      <c r="S1207">
        <v>30.52</v>
      </c>
      <c r="T1207">
        <v>30657</v>
      </c>
      <c r="U1207">
        <v>29.23</v>
      </c>
      <c r="V1207">
        <v>30.51</v>
      </c>
      <c r="W1207">
        <v>13.96</v>
      </c>
      <c r="X1207" t="s">
        <v>229</v>
      </c>
      <c r="Y1207" t="s">
        <v>123</v>
      </c>
      <c r="Z1207">
        <v>4.75</v>
      </c>
      <c r="AA1207">
        <v>29.69</v>
      </c>
      <c r="AB1207">
        <v>19634</v>
      </c>
      <c r="AC1207">
        <v>11023</v>
      </c>
      <c r="AD1207">
        <v>1.78</v>
      </c>
      <c r="AE1207">
        <v>32</v>
      </c>
      <c r="AF1207">
        <v>89</v>
      </c>
      <c r="AG1207" t="s">
        <v>120</v>
      </c>
      <c r="AH1207">
        <v>0</v>
      </c>
      <c r="AI1207" t="s">
        <v>120</v>
      </c>
      <c r="AJ1207">
        <v>1.61</v>
      </c>
      <c r="AK1207" t="s">
        <v>6636</v>
      </c>
      <c r="AL1207">
        <v>-2.2799999999999998</v>
      </c>
      <c r="AM1207">
        <v>2441</v>
      </c>
      <c r="AN1207">
        <v>13</v>
      </c>
      <c r="AO1207">
        <v>8.0000000000000004E-4</v>
      </c>
      <c r="AP1207">
        <v>-1</v>
      </c>
      <c r="AQ1207">
        <v>1.46</v>
      </c>
      <c r="AR1207">
        <v>-5.07</v>
      </c>
      <c r="AS1207">
        <v>-13.39</v>
      </c>
      <c r="AT1207">
        <v>12.29</v>
      </c>
      <c r="AU1207">
        <v>8.66</v>
      </c>
      <c r="AV1207">
        <v>4</v>
      </c>
      <c r="AW1207">
        <v>2.57</v>
      </c>
      <c r="AX1207">
        <v>51</v>
      </c>
      <c r="AY1207">
        <v>16.989999999999998</v>
      </c>
      <c r="AZ1207">
        <v>27.71</v>
      </c>
      <c r="BA1207">
        <v>0.64</v>
      </c>
      <c r="BB1207" t="s">
        <v>143</v>
      </c>
      <c r="BF1207">
        <v>-2.68</v>
      </c>
      <c r="BG1207">
        <v>-4.2300000000000004</v>
      </c>
      <c r="BH1207">
        <v>-4.26</v>
      </c>
      <c r="BI1207">
        <v>0.52</v>
      </c>
      <c r="BJ1207">
        <v>20210907</v>
      </c>
      <c r="BK1207">
        <v>20170125</v>
      </c>
      <c r="BL1207">
        <v>2.34</v>
      </c>
      <c r="BM1207" t="s">
        <v>120</v>
      </c>
      <c r="BN1207" t="s">
        <v>120</v>
      </c>
      <c r="BO1207">
        <v>103.87</v>
      </c>
      <c r="BP1207">
        <v>29.22</v>
      </c>
      <c r="BQ1207">
        <v>25.89</v>
      </c>
      <c r="BR1207">
        <v>2.61</v>
      </c>
      <c r="BS1207">
        <v>72.55</v>
      </c>
      <c r="BT1207">
        <v>82.81</v>
      </c>
      <c r="BU1207">
        <v>11.93</v>
      </c>
      <c r="BV1207">
        <v>0.19</v>
      </c>
      <c r="BW1207">
        <v>71.69</v>
      </c>
      <c r="BX1207">
        <v>13.39</v>
      </c>
      <c r="BY1207">
        <v>22.83</v>
      </c>
      <c r="BZ1207">
        <v>32.58</v>
      </c>
      <c r="CA1207" t="s">
        <v>120</v>
      </c>
      <c r="CB1207">
        <v>13.67</v>
      </c>
      <c r="CC1207">
        <v>61.45</v>
      </c>
      <c r="CD1207">
        <v>55.23</v>
      </c>
      <c r="CE1207">
        <v>2.68</v>
      </c>
      <c r="CF1207">
        <v>0</v>
      </c>
      <c r="CG1207">
        <v>2.65</v>
      </c>
      <c r="CH1207">
        <v>2.56</v>
      </c>
      <c r="CI1207">
        <v>2.4500000000000002</v>
      </c>
      <c r="CJ1207">
        <v>-1.28</v>
      </c>
      <c r="CK1207">
        <v>2.06</v>
      </c>
      <c r="CL1207">
        <v>10.18</v>
      </c>
      <c r="CM1207">
        <v>5.41</v>
      </c>
      <c r="CN1207">
        <v>-5.0599999999999996</v>
      </c>
      <c r="CO1207">
        <v>18000</v>
      </c>
      <c r="CP1207">
        <v>6638</v>
      </c>
      <c r="CQ1207" t="s">
        <v>6637</v>
      </c>
      <c r="CR1207">
        <v>197.18</v>
      </c>
      <c r="CS1207">
        <v>48.9</v>
      </c>
      <c r="CT1207">
        <v>2.64</v>
      </c>
      <c r="CU1207">
        <v>12.66</v>
      </c>
      <c r="CV1207">
        <v>1.1100000000000001</v>
      </c>
      <c r="CW1207">
        <v>0.39</v>
      </c>
      <c r="CX1207" t="s">
        <v>6638</v>
      </c>
      <c r="CY1207">
        <v>11.05</v>
      </c>
      <c r="CZ1207">
        <v>0</v>
      </c>
      <c r="DA1207">
        <v>5.83</v>
      </c>
      <c r="DB1207">
        <v>4.3499999999999996</v>
      </c>
      <c r="DC1207">
        <v>2.31</v>
      </c>
      <c r="DD1207">
        <v>24.93</v>
      </c>
      <c r="DE1207" t="s">
        <v>6639</v>
      </c>
      <c r="DF1207">
        <v>10.119999999999999</v>
      </c>
      <c r="DG1207">
        <v>4.3600000000000003</v>
      </c>
      <c r="DH1207">
        <v>3.99</v>
      </c>
      <c r="DI1207">
        <v>1.65</v>
      </c>
      <c r="DJ1207">
        <v>10252</v>
      </c>
      <c r="DK1207">
        <v>2845</v>
      </c>
      <c r="DL1207" t="s">
        <v>120</v>
      </c>
      <c r="DM1207" t="s">
        <v>120</v>
      </c>
      <c r="DN1207" t="s">
        <v>120</v>
      </c>
    </row>
    <row r="1208" spans="1:118">
      <c r="A1208" t="str">
        <f>"002846"</f>
        <v>002846</v>
      </c>
      <c r="B1208" t="s">
        <v>6640</v>
      </c>
      <c r="C1208">
        <v>-0.13</v>
      </c>
      <c r="D1208">
        <v>0</v>
      </c>
      <c r="E1208">
        <v>0</v>
      </c>
      <c r="F1208">
        <v>247</v>
      </c>
      <c r="G1208" t="s">
        <v>6641</v>
      </c>
      <c r="H1208">
        <v>1439.37</v>
      </c>
      <c r="I1208">
        <v>2.9</v>
      </c>
      <c r="J1208" t="s">
        <v>120</v>
      </c>
      <c r="K1208" t="s">
        <v>4640</v>
      </c>
      <c r="L1208">
        <v>0.84</v>
      </c>
      <c r="M1208">
        <v>7.61</v>
      </c>
      <c r="N1208">
        <v>0.83</v>
      </c>
      <c r="O1208">
        <v>1.31</v>
      </c>
      <c r="P1208">
        <v>7.72</v>
      </c>
      <c r="Q1208">
        <v>-0.26</v>
      </c>
      <c r="R1208">
        <v>7.6</v>
      </c>
      <c r="S1208">
        <v>7.62</v>
      </c>
      <c r="T1208">
        <v>18812</v>
      </c>
      <c r="U1208">
        <v>7.61</v>
      </c>
      <c r="V1208">
        <v>7.62</v>
      </c>
      <c r="W1208">
        <v>37.020000000000003</v>
      </c>
      <c r="X1208" t="s">
        <v>339</v>
      </c>
      <c r="Y1208" t="s">
        <v>547</v>
      </c>
      <c r="Z1208">
        <v>1.57</v>
      </c>
      <c r="AA1208">
        <v>7.65</v>
      </c>
      <c r="AB1208">
        <v>9702</v>
      </c>
      <c r="AC1208">
        <v>9110</v>
      </c>
      <c r="AD1208">
        <v>1.06</v>
      </c>
      <c r="AE1208">
        <v>514</v>
      </c>
      <c r="AF1208">
        <v>19</v>
      </c>
      <c r="AG1208" t="s">
        <v>120</v>
      </c>
      <c r="AH1208">
        <v>0</v>
      </c>
      <c r="AI1208" t="s">
        <v>120</v>
      </c>
      <c r="AJ1208">
        <v>2.23</v>
      </c>
      <c r="AK1208" t="s">
        <v>742</v>
      </c>
      <c r="AL1208">
        <v>1.78</v>
      </c>
      <c r="AM1208">
        <v>639</v>
      </c>
      <c r="AN1208">
        <v>29</v>
      </c>
      <c r="AO1208">
        <v>1.2999999999999999E-3</v>
      </c>
      <c r="AP1208">
        <v>-1</v>
      </c>
      <c r="AQ1208">
        <v>0</v>
      </c>
      <c r="AR1208">
        <v>-1.3</v>
      </c>
      <c r="AS1208">
        <v>-0.13</v>
      </c>
      <c r="AT1208">
        <v>-14.4</v>
      </c>
      <c r="AU1208">
        <v>-10.41</v>
      </c>
      <c r="AV1208">
        <v>7</v>
      </c>
      <c r="AW1208">
        <v>1.72</v>
      </c>
      <c r="AX1208">
        <v>34.299999999999997</v>
      </c>
      <c r="AY1208">
        <v>38.15</v>
      </c>
      <c r="AZ1208">
        <v>31.26</v>
      </c>
      <c r="BA1208">
        <v>0.14000000000000001</v>
      </c>
      <c r="BB1208" t="s">
        <v>143</v>
      </c>
      <c r="BF1208">
        <v>0.41</v>
      </c>
      <c r="BG1208">
        <v>-0.13</v>
      </c>
      <c r="BH1208">
        <v>-1.42</v>
      </c>
      <c r="BI1208">
        <v>0.13</v>
      </c>
      <c r="BJ1208">
        <v>20210830</v>
      </c>
      <c r="BK1208">
        <v>20170207</v>
      </c>
      <c r="BL1208">
        <v>3.18</v>
      </c>
      <c r="BM1208" t="s">
        <v>120</v>
      </c>
      <c r="BN1208" t="s">
        <v>120</v>
      </c>
      <c r="BO1208">
        <v>21.73</v>
      </c>
      <c r="BP1208">
        <v>7.6</v>
      </c>
      <c r="BQ1208">
        <v>8.2899999999999991</v>
      </c>
      <c r="BR1208">
        <v>0.51</v>
      </c>
      <c r="BS1208">
        <v>59.47</v>
      </c>
      <c r="BT1208">
        <v>9.0299999999999994</v>
      </c>
      <c r="BU1208">
        <v>6.21</v>
      </c>
      <c r="BV1208">
        <v>1.1299999999999999</v>
      </c>
      <c r="BW1208">
        <v>7.48</v>
      </c>
      <c r="BX1208">
        <v>1.57</v>
      </c>
      <c r="BY1208">
        <v>3.12</v>
      </c>
      <c r="BZ1208">
        <v>2.94</v>
      </c>
      <c r="CA1208" t="s">
        <v>120</v>
      </c>
      <c r="CB1208">
        <v>1.55</v>
      </c>
      <c r="CC1208">
        <v>8.4600000000000009</v>
      </c>
      <c r="CD1208">
        <v>7.21</v>
      </c>
      <c r="CE1208">
        <v>0.4</v>
      </c>
      <c r="CF1208">
        <v>0</v>
      </c>
      <c r="CG1208">
        <v>0.4</v>
      </c>
      <c r="CH1208">
        <v>0.33</v>
      </c>
      <c r="CI1208">
        <v>0.33</v>
      </c>
      <c r="CJ1208">
        <v>-0.01</v>
      </c>
      <c r="CK1208">
        <v>0.28999999999999998</v>
      </c>
      <c r="CL1208">
        <v>2.74</v>
      </c>
      <c r="CM1208">
        <v>0.53</v>
      </c>
      <c r="CN1208">
        <v>0.33</v>
      </c>
      <c r="CO1208">
        <v>20307</v>
      </c>
      <c r="CP1208">
        <v>5377</v>
      </c>
      <c r="CQ1208" t="s">
        <v>2770</v>
      </c>
      <c r="CR1208">
        <v>-29.98</v>
      </c>
      <c r="CS1208">
        <v>62.26</v>
      </c>
      <c r="CT1208">
        <v>3.08</v>
      </c>
      <c r="CU1208">
        <v>45.34</v>
      </c>
      <c r="CV1208">
        <v>2.86</v>
      </c>
      <c r="CW1208">
        <v>1.23</v>
      </c>
      <c r="CX1208" t="s">
        <v>411</v>
      </c>
      <c r="CY1208">
        <v>2.4700000000000002</v>
      </c>
      <c r="CZ1208">
        <v>2.4700000000000002</v>
      </c>
      <c r="DA1208">
        <v>0.49</v>
      </c>
      <c r="DB1208">
        <v>0.86</v>
      </c>
      <c r="DC1208">
        <v>0.17</v>
      </c>
      <c r="DD1208">
        <v>38.159999999999997</v>
      </c>
      <c r="DE1208" t="s">
        <v>450</v>
      </c>
      <c r="DF1208">
        <v>14.78</v>
      </c>
      <c r="DG1208">
        <v>4.7300000000000004</v>
      </c>
      <c r="DH1208">
        <v>3.87</v>
      </c>
      <c r="DI1208">
        <v>0.24</v>
      </c>
      <c r="DJ1208">
        <v>1310</v>
      </c>
      <c r="DK1208">
        <v>2846</v>
      </c>
      <c r="DL1208" t="s">
        <v>120</v>
      </c>
      <c r="DM1208" t="s">
        <v>120</v>
      </c>
      <c r="DN1208" t="s">
        <v>120</v>
      </c>
    </row>
    <row r="1209" spans="1:118">
      <c r="A1209" t="str">
        <f>"002847"</f>
        <v>002847</v>
      </c>
      <c r="B1209" t="s">
        <v>6642</v>
      </c>
      <c r="C1209">
        <v>1.19</v>
      </c>
      <c r="D1209">
        <v>0.06</v>
      </c>
      <c r="E1209">
        <v>0</v>
      </c>
      <c r="F1209">
        <v>180</v>
      </c>
      <c r="G1209" t="s">
        <v>6643</v>
      </c>
      <c r="H1209">
        <v>8175.54</v>
      </c>
      <c r="I1209">
        <v>33.770000000000003</v>
      </c>
      <c r="J1209" t="s">
        <v>120</v>
      </c>
      <c r="K1209" t="s">
        <v>6644</v>
      </c>
      <c r="L1209">
        <v>1.35</v>
      </c>
      <c r="M1209">
        <v>53.4</v>
      </c>
      <c r="N1209">
        <v>0.91</v>
      </c>
      <c r="O1209">
        <v>2.33</v>
      </c>
      <c r="P1209">
        <v>54</v>
      </c>
      <c r="Q1209">
        <v>-0.4</v>
      </c>
      <c r="R1209">
        <v>52.56</v>
      </c>
      <c r="S1209">
        <v>52.77</v>
      </c>
      <c r="T1209">
        <v>15335</v>
      </c>
      <c r="U1209">
        <v>53.4</v>
      </c>
      <c r="V1209">
        <v>52.77</v>
      </c>
      <c r="W1209">
        <v>71.040000000000006</v>
      </c>
      <c r="X1209" t="s">
        <v>847</v>
      </c>
      <c r="Y1209" t="s">
        <v>594</v>
      </c>
      <c r="Z1209">
        <v>2.73</v>
      </c>
      <c r="AA1209">
        <v>53.31</v>
      </c>
      <c r="AB1209">
        <v>7866</v>
      </c>
      <c r="AC1209">
        <v>7469</v>
      </c>
      <c r="AD1209">
        <v>1.05</v>
      </c>
      <c r="AE1209">
        <v>2</v>
      </c>
      <c r="AF1209">
        <v>45</v>
      </c>
      <c r="AG1209" t="s">
        <v>120</v>
      </c>
      <c r="AH1209">
        <v>0.02</v>
      </c>
      <c r="AI1209" t="s">
        <v>120</v>
      </c>
      <c r="AJ1209">
        <v>1.1299999999999999</v>
      </c>
      <c r="AK1209" t="s">
        <v>6645</v>
      </c>
      <c r="AL1209">
        <v>3.11</v>
      </c>
      <c r="AM1209">
        <v>2117</v>
      </c>
      <c r="AN1209">
        <v>7</v>
      </c>
      <c r="AO1209">
        <v>5.9999999999999995E-4</v>
      </c>
      <c r="AP1209">
        <v>1</v>
      </c>
      <c r="AQ1209">
        <v>-1.82</v>
      </c>
      <c r="AR1209">
        <v>-2.48</v>
      </c>
      <c r="AS1209">
        <v>-6.31</v>
      </c>
      <c r="AT1209">
        <v>-44.91</v>
      </c>
      <c r="AU1209">
        <v>-51.1</v>
      </c>
      <c r="AV1209">
        <v>7</v>
      </c>
      <c r="AW1209">
        <v>3.78</v>
      </c>
      <c r="AX1209">
        <v>31.4</v>
      </c>
      <c r="AY1209">
        <v>42.55</v>
      </c>
      <c r="AZ1209">
        <v>28.23</v>
      </c>
      <c r="BA1209">
        <v>1.23</v>
      </c>
      <c r="BB1209" t="s">
        <v>143</v>
      </c>
      <c r="BF1209">
        <v>1.03</v>
      </c>
      <c r="BG1209">
        <v>1.19</v>
      </c>
      <c r="BH1209">
        <v>-1.1100000000000001</v>
      </c>
      <c r="BI1209">
        <v>1.6</v>
      </c>
      <c r="BJ1209">
        <v>20210820</v>
      </c>
      <c r="BK1209">
        <v>20170208</v>
      </c>
      <c r="BL1209">
        <v>1.29</v>
      </c>
      <c r="BM1209" t="s">
        <v>120</v>
      </c>
      <c r="BN1209" t="s">
        <v>120</v>
      </c>
      <c r="BO1209">
        <v>20.09</v>
      </c>
      <c r="BP1209">
        <v>53.39</v>
      </c>
      <c r="BQ1209">
        <v>7.46</v>
      </c>
      <c r="BR1209">
        <v>0.11</v>
      </c>
      <c r="BS1209">
        <v>62.35</v>
      </c>
      <c r="BT1209">
        <v>7.23</v>
      </c>
      <c r="BU1209">
        <v>9.26</v>
      </c>
      <c r="BV1209">
        <v>1.56</v>
      </c>
      <c r="BW1209">
        <v>11.55</v>
      </c>
      <c r="BX1209">
        <v>1.52</v>
      </c>
      <c r="BY1209">
        <v>2.81</v>
      </c>
      <c r="BZ1209">
        <v>1.79</v>
      </c>
      <c r="CA1209">
        <v>0.04</v>
      </c>
      <c r="CB1209">
        <v>3.43</v>
      </c>
      <c r="CC1209">
        <v>10.64</v>
      </c>
      <c r="CD1209">
        <v>6.33</v>
      </c>
      <c r="CE1209">
        <v>0.66</v>
      </c>
      <c r="CF1209">
        <v>0</v>
      </c>
      <c r="CG1209">
        <v>0.65</v>
      </c>
      <c r="CH1209">
        <v>0.52</v>
      </c>
      <c r="CI1209">
        <v>0.49</v>
      </c>
      <c r="CJ1209">
        <v>0.63</v>
      </c>
      <c r="CK1209">
        <v>0.18</v>
      </c>
      <c r="CL1209">
        <v>3.82</v>
      </c>
      <c r="CM1209">
        <v>2.1800000000000002</v>
      </c>
      <c r="CN1209">
        <v>-0.18</v>
      </c>
      <c r="CO1209">
        <v>15200</v>
      </c>
      <c r="CP1209">
        <v>2672</v>
      </c>
      <c r="CQ1209" t="s">
        <v>3291</v>
      </c>
      <c r="CR1209">
        <v>-62.59</v>
      </c>
      <c r="CS1209">
        <v>12.54</v>
      </c>
      <c r="CT1209">
        <v>9.26</v>
      </c>
      <c r="CU1209">
        <v>31.74</v>
      </c>
      <c r="CV1209">
        <v>6.49</v>
      </c>
      <c r="CW1209">
        <v>1.86</v>
      </c>
      <c r="CX1209" t="s">
        <v>1980</v>
      </c>
      <c r="CY1209">
        <v>5.77</v>
      </c>
      <c r="CZ1209">
        <v>0</v>
      </c>
      <c r="DA1209">
        <v>2.65</v>
      </c>
      <c r="DB1209">
        <v>2.95</v>
      </c>
      <c r="DC1209">
        <v>1.68</v>
      </c>
      <c r="DD1209">
        <v>37.119999999999997</v>
      </c>
      <c r="DE1209" t="s">
        <v>6646</v>
      </c>
      <c r="DF1209">
        <v>40.51</v>
      </c>
      <c r="DG1209">
        <v>6.19</v>
      </c>
      <c r="DH1209">
        <v>4.57</v>
      </c>
      <c r="DI1209">
        <v>0.32</v>
      </c>
      <c r="DJ1209">
        <v>3256</v>
      </c>
      <c r="DK1209">
        <v>2847</v>
      </c>
      <c r="DL1209" t="s">
        <v>120</v>
      </c>
      <c r="DM1209" t="s">
        <v>120</v>
      </c>
      <c r="DN1209" t="s">
        <v>120</v>
      </c>
    </row>
    <row r="1210" spans="1:118">
      <c r="A1210" t="str">
        <f>"002848"</f>
        <v>002848</v>
      </c>
      <c r="B1210" t="s">
        <v>6647</v>
      </c>
      <c r="C1210">
        <v>-1.02</v>
      </c>
      <c r="D1210">
        <v>-0.22</v>
      </c>
      <c r="E1210">
        <v>0.11</v>
      </c>
      <c r="F1210">
        <v>175</v>
      </c>
      <c r="G1210" t="s">
        <v>6648</v>
      </c>
      <c r="H1210">
        <v>1261.82</v>
      </c>
      <c r="I1210">
        <v>23.9</v>
      </c>
      <c r="J1210" t="s">
        <v>120</v>
      </c>
      <c r="K1210" t="s">
        <v>6649</v>
      </c>
      <c r="L1210">
        <v>0.89</v>
      </c>
      <c r="M1210">
        <v>8.75</v>
      </c>
      <c r="N1210">
        <v>0.9</v>
      </c>
      <c r="O1210">
        <v>0.9</v>
      </c>
      <c r="P1210">
        <v>8.92</v>
      </c>
      <c r="Q1210">
        <v>-1.1299999999999999</v>
      </c>
      <c r="R1210">
        <v>8.74</v>
      </c>
      <c r="S1210">
        <v>8.85</v>
      </c>
      <c r="T1210">
        <v>14302</v>
      </c>
      <c r="U1210">
        <v>8.77</v>
      </c>
      <c r="V1210">
        <v>8.84</v>
      </c>
      <c r="W1210" t="s">
        <v>120</v>
      </c>
      <c r="X1210" t="s">
        <v>462</v>
      </c>
      <c r="Y1210" t="s">
        <v>594</v>
      </c>
      <c r="Z1210">
        <v>2.04</v>
      </c>
      <c r="AA1210">
        <v>8.82</v>
      </c>
      <c r="AB1210">
        <v>8108</v>
      </c>
      <c r="AC1210">
        <v>6194</v>
      </c>
      <c r="AD1210">
        <v>1.31</v>
      </c>
      <c r="AE1210">
        <v>193</v>
      </c>
      <c r="AF1210">
        <v>10</v>
      </c>
      <c r="AG1210" t="s">
        <v>120</v>
      </c>
      <c r="AH1210">
        <v>0.03</v>
      </c>
      <c r="AI1210" t="s">
        <v>120</v>
      </c>
      <c r="AJ1210">
        <v>1.61</v>
      </c>
      <c r="AK1210" t="s">
        <v>3856</v>
      </c>
      <c r="AL1210">
        <v>0.9</v>
      </c>
      <c r="AM1210">
        <v>960</v>
      </c>
      <c r="AN1210">
        <v>15</v>
      </c>
      <c r="AO1210">
        <v>8.9999999999999998E-4</v>
      </c>
      <c r="AP1210">
        <v>-1</v>
      </c>
      <c r="AQ1210">
        <v>0</v>
      </c>
      <c r="AR1210">
        <v>-2.56</v>
      </c>
      <c r="AS1210">
        <v>-2.78</v>
      </c>
      <c r="AT1210">
        <v>-6.41</v>
      </c>
      <c r="AU1210">
        <v>-20.16</v>
      </c>
      <c r="AV1210">
        <v>3</v>
      </c>
      <c r="AW1210">
        <v>1.42</v>
      </c>
      <c r="AX1210">
        <v>60.17</v>
      </c>
      <c r="AY1210" t="s">
        <v>120</v>
      </c>
      <c r="AZ1210" t="s">
        <v>120</v>
      </c>
      <c r="BA1210">
        <v>0.62</v>
      </c>
      <c r="BB1210" t="s">
        <v>143</v>
      </c>
      <c r="BF1210">
        <v>-0.2</v>
      </c>
      <c r="BG1210">
        <v>-1.1299999999999999</v>
      </c>
      <c r="BH1210">
        <v>-1.91</v>
      </c>
      <c r="BI1210">
        <v>0.11</v>
      </c>
      <c r="BJ1210">
        <v>20210830</v>
      </c>
      <c r="BK1210">
        <v>20170213</v>
      </c>
      <c r="BL1210">
        <v>1.67</v>
      </c>
      <c r="BM1210" t="s">
        <v>120</v>
      </c>
      <c r="BN1210" t="s">
        <v>120</v>
      </c>
      <c r="BO1210">
        <v>7.69</v>
      </c>
      <c r="BP1210">
        <v>8.75</v>
      </c>
      <c r="BQ1210">
        <v>3.13</v>
      </c>
      <c r="BR1210">
        <v>0.01</v>
      </c>
      <c r="BS1210">
        <v>59.09</v>
      </c>
      <c r="BT1210">
        <v>4.6399999999999997</v>
      </c>
      <c r="BU1210">
        <v>1.41</v>
      </c>
      <c r="BV1210">
        <v>0.23</v>
      </c>
      <c r="BW1210">
        <v>4.07</v>
      </c>
      <c r="BX1210">
        <v>0.28999999999999998</v>
      </c>
      <c r="BY1210">
        <v>1.49</v>
      </c>
      <c r="BZ1210">
        <v>2.5299999999999998</v>
      </c>
      <c r="CA1210" t="s">
        <v>120</v>
      </c>
      <c r="CB1210">
        <v>2.42</v>
      </c>
      <c r="CC1210">
        <v>2.86</v>
      </c>
      <c r="CD1210">
        <v>2.61</v>
      </c>
      <c r="CE1210">
        <v>-0.38</v>
      </c>
      <c r="CF1210">
        <v>0</v>
      </c>
      <c r="CG1210">
        <v>-0.37</v>
      </c>
      <c r="CH1210">
        <v>-0.39</v>
      </c>
      <c r="CI1210">
        <v>-0.39</v>
      </c>
      <c r="CJ1210">
        <v>-0.09</v>
      </c>
      <c r="CK1210">
        <v>-0.45</v>
      </c>
      <c r="CL1210">
        <v>-1.27</v>
      </c>
      <c r="CM1210">
        <v>-0.57999999999999996</v>
      </c>
      <c r="CN1210">
        <v>-0.28999999999999998</v>
      </c>
      <c r="CO1210">
        <v>17982</v>
      </c>
      <c r="CP1210">
        <v>5593</v>
      </c>
      <c r="CQ1210" t="s">
        <v>5518</v>
      </c>
      <c r="CR1210">
        <v>1.62</v>
      </c>
      <c r="CS1210">
        <v>90.05</v>
      </c>
      <c r="CT1210">
        <v>4.67</v>
      </c>
      <c r="CU1210">
        <v>-25.01</v>
      </c>
      <c r="CV1210">
        <v>5.1100000000000003</v>
      </c>
      <c r="CW1210">
        <v>0</v>
      </c>
      <c r="CX1210" t="s">
        <v>6650</v>
      </c>
      <c r="CY1210">
        <v>1.87</v>
      </c>
      <c r="CZ1210">
        <v>0</v>
      </c>
      <c r="DA1210">
        <v>1.45</v>
      </c>
      <c r="DB1210">
        <v>-0.76</v>
      </c>
      <c r="DC1210">
        <v>-0.35</v>
      </c>
      <c r="DD1210">
        <v>40.71</v>
      </c>
      <c r="DE1210" t="s">
        <v>6651</v>
      </c>
      <c r="DF1210">
        <v>8.85</v>
      </c>
      <c r="DG1210">
        <v>-13.39</v>
      </c>
      <c r="DH1210">
        <v>-13.73</v>
      </c>
      <c r="DI1210">
        <v>0.24</v>
      </c>
      <c r="DJ1210">
        <v>1609</v>
      </c>
      <c r="DK1210">
        <v>2848</v>
      </c>
      <c r="DL1210" t="s">
        <v>120</v>
      </c>
      <c r="DM1210" t="s">
        <v>120</v>
      </c>
      <c r="DN1210" t="s">
        <v>120</v>
      </c>
    </row>
    <row r="1211" spans="1:118">
      <c r="A1211" t="str">
        <f>"002849"</f>
        <v>002849</v>
      </c>
      <c r="B1211" t="s">
        <v>6652</v>
      </c>
      <c r="C1211">
        <v>-0.91</v>
      </c>
      <c r="D1211">
        <v>0.08</v>
      </c>
      <c r="E1211">
        <v>-1.9</v>
      </c>
      <c r="F1211">
        <v>261</v>
      </c>
      <c r="G1211" t="s">
        <v>6653</v>
      </c>
      <c r="H1211">
        <v>3439.65</v>
      </c>
      <c r="I1211">
        <v>96.03</v>
      </c>
      <c r="J1211" t="s">
        <v>120</v>
      </c>
      <c r="K1211" t="s">
        <v>6654</v>
      </c>
      <c r="L1211">
        <v>2.6</v>
      </c>
      <c r="M1211">
        <v>13.02</v>
      </c>
      <c r="N1211">
        <v>2.1</v>
      </c>
      <c r="O1211">
        <v>1.6</v>
      </c>
      <c r="P1211">
        <v>13.35</v>
      </c>
      <c r="Q1211">
        <v>-1.9</v>
      </c>
      <c r="R1211">
        <v>12.89</v>
      </c>
      <c r="S1211">
        <v>12.89</v>
      </c>
      <c r="T1211">
        <v>26174</v>
      </c>
      <c r="U1211">
        <v>13.03</v>
      </c>
      <c r="V1211">
        <v>13.14</v>
      </c>
      <c r="W1211">
        <v>23.3</v>
      </c>
      <c r="X1211" t="s">
        <v>2717</v>
      </c>
      <c r="Y1211" t="s">
        <v>585</v>
      </c>
      <c r="Z1211">
        <v>3.5</v>
      </c>
      <c r="AA1211">
        <v>13.14</v>
      </c>
      <c r="AB1211">
        <v>14334</v>
      </c>
      <c r="AC1211">
        <v>11840</v>
      </c>
      <c r="AD1211">
        <v>1.21</v>
      </c>
      <c r="AE1211">
        <v>36</v>
      </c>
      <c r="AF1211">
        <v>23</v>
      </c>
      <c r="AG1211" t="s">
        <v>120</v>
      </c>
      <c r="AH1211">
        <v>0.1</v>
      </c>
      <c r="AI1211" t="s">
        <v>120</v>
      </c>
      <c r="AJ1211">
        <v>1.01</v>
      </c>
      <c r="AK1211" t="s">
        <v>6655</v>
      </c>
      <c r="AL1211">
        <v>1</v>
      </c>
      <c r="AM1211">
        <v>1440</v>
      </c>
      <c r="AN1211">
        <v>18</v>
      </c>
      <c r="AO1211">
        <v>1.8E-3</v>
      </c>
      <c r="AP1211">
        <v>-1</v>
      </c>
      <c r="AQ1211">
        <v>3.55</v>
      </c>
      <c r="AR1211">
        <v>1.89</v>
      </c>
      <c r="AS1211">
        <v>11.28</v>
      </c>
      <c r="AT1211">
        <v>0.69</v>
      </c>
      <c r="AU1211">
        <v>8.23</v>
      </c>
      <c r="AV1211">
        <v>2</v>
      </c>
      <c r="AW1211">
        <v>3.45</v>
      </c>
      <c r="AX1211">
        <v>57.32</v>
      </c>
      <c r="AY1211">
        <v>21.39</v>
      </c>
      <c r="AZ1211">
        <v>20.76</v>
      </c>
      <c r="BA1211">
        <v>0.71</v>
      </c>
      <c r="BB1211" t="s">
        <v>168</v>
      </c>
      <c r="BF1211">
        <v>0.01</v>
      </c>
      <c r="BG1211">
        <v>1.01</v>
      </c>
      <c r="BH1211">
        <v>-2.4700000000000002</v>
      </c>
      <c r="BI1211">
        <v>1.01</v>
      </c>
      <c r="BJ1211">
        <v>20210914</v>
      </c>
      <c r="BK1211">
        <v>20170217</v>
      </c>
      <c r="BL1211">
        <v>1.32</v>
      </c>
      <c r="BM1211" t="s">
        <v>120</v>
      </c>
      <c r="BN1211" t="s">
        <v>120</v>
      </c>
      <c r="BO1211">
        <v>17.73</v>
      </c>
      <c r="BP1211">
        <v>13.02</v>
      </c>
      <c r="BQ1211">
        <v>7.99</v>
      </c>
      <c r="BR1211">
        <v>0.71</v>
      </c>
      <c r="BS1211">
        <v>50.93</v>
      </c>
      <c r="BT1211">
        <v>14.32</v>
      </c>
      <c r="BU1211">
        <v>1.1299999999999999</v>
      </c>
      <c r="BV1211">
        <v>0.28999999999999998</v>
      </c>
      <c r="BW1211">
        <v>8.6199999999999992</v>
      </c>
      <c r="BX1211">
        <v>3.26</v>
      </c>
      <c r="BY1211">
        <v>3.08</v>
      </c>
      <c r="BZ1211">
        <v>7.45</v>
      </c>
      <c r="CA1211" t="s">
        <v>120</v>
      </c>
      <c r="CB1211">
        <v>2.57</v>
      </c>
      <c r="CC1211">
        <v>6.25</v>
      </c>
      <c r="CD1211">
        <v>4.63</v>
      </c>
      <c r="CE1211">
        <v>0.51</v>
      </c>
      <c r="CF1211">
        <v>0.06</v>
      </c>
      <c r="CG1211">
        <v>0.51</v>
      </c>
      <c r="CH1211">
        <v>0.42</v>
      </c>
      <c r="CI1211">
        <v>0.37</v>
      </c>
      <c r="CJ1211">
        <v>-0.12</v>
      </c>
      <c r="CK1211">
        <v>0.36</v>
      </c>
      <c r="CL1211">
        <v>3.77</v>
      </c>
      <c r="CM1211">
        <v>-0.59</v>
      </c>
      <c r="CN1211">
        <v>-0.65</v>
      </c>
      <c r="CO1211">
        <v>11217</v>
      </c>
      <c r="CP1211">
        <v>6764</v>
      </c>
      <c r="CQ1211" t="s">
        <v>6656</v>
      </c>
      <c r="CR1211">
        <v>-6.26</v>
      </c>
      <c r="CS1211">
        <v>9.39</v>
      </c>
      <c r="CT1211">
        <v>2.16</v>
      </c>
      <c r="CU1211">
        <v>-29.27</v>
      </c>
      <c r="CV1211">
        <v>2.76</v>
      </c>
      <c r="CW1211">
        <v>0.38</v>
      </c>
      <c r="CX1211" t="s">
        <v>1054</v>
      </c>
      <c r="CY1211">
        <v>6.04</v>
      </c>
      <c r="CZ1211">
        <v>0</v>
      </c>
      <c r="DA1211">
        <v>1.94</v>
      </c>
      <c r="DB1211">
        <v>2.85</v>
      </c>
      <c r="DC1211">
        <v>-0.44</v>
      </c>
      <c r="DD1211">
        <v>45.08</v>
      </c>
      <c r="DE1211" t="s">
        <v>6657</v>
      </c>
      <c r="DF1211">
        <v>25.85</v>
      </c>
      <c r="DG1211">
        <v>8.23</v>
      </c>
      <c r="DH1211">
        <v>5.92</v>
      </c>
      <c r="DI1211">
        <v>0.25</v>
      </c>
      <c r="DJ1211">
        <v>743</v>
      </c>
      <c r="DK1211">
        <v>2849</v>
      </c>
      <c r="DL1211" t="s">
        <v>120</v>
      </c>
      <c r="DM1211" t="s">
        <v>120</v>
      </c>
      <c r="DN1211" t="s">
        <v>120</v>
      </c>
    </row>
    <row r="1212" spans="1:118">
      <c r="A1212" t="str">
        <f>"002850"</f>
        <v>002850</v>
      </c>
      <c r="B1212" t="s">
        <v>6658</v>
      </c>
      <c r="C1212">
        <v>-8.41</v>
      </c>
      <c r="D1212">
        <v>0.54</v>
      </c>
      <c r="E1212">
        <v>0.1</v>
      </c>
      <c r="F1212">
        <v>198</v>
      </c>
      <c r="G1212" t="s">
        <v>6659</v>
      </c>
      <c r="H1212">
        <v>51030.76</v>
      </c>
      <c r="I1212">
        <v>131.36000000000001</v>
      </c>
      <c r="J1212" t="s">
        <v>120</v>
      </c>
      <c r="K1212" t="s">
        <v>6660</v>
      </c>
      <c r="L1212">
        <v>2.88</v>
      </c>
      <c r="M1212">
        <v>114.46</v>
      </c>
      <c r="N1212">
        <v>1.23</v>
      </c>
      <c r="O1212">
        <v>0.8</v>
      </c>
      <c r="P1212">
        <v>125.97</v>
      </c>
      <c r="Q1212">
        <v>-10</v>
      </c>
      <c r="R1212">
        <v>112.47</v>
      </c>
      <c r="S1212">
        <v>125.1</v>
      </c>
      <c r="T1212">
        <v>44382</v>
      </c>
      <c r="U1212">
        <v>114.46</v>
      </c>
      <c r="V1212">
        <v>124.97</v>
      </c>
      <c r="W1212">
        <v>61</v>
      </c>
      <c r="X1212" t="s">
        <v>959</v>
      </c>
      <c r="Y1212" t="s">
        <v>123</v>
      </c>
      <c r="Z1212">
        <v>10.8</v>
      </c>
      <c r="AA1212">
        <v>114.98</v>
      </c>
      <c r="AB1212">
        <v>26659</v>
      </c>
      <c r="AC1212">
        <v>17723</v>
      </c>
      <c r="AD1212">
        <v>1.5</v>
      </c>
      <c r="AE1212">
        <v>1</v>
      </c>
      <c r="AF1212">
        <v>10</v>
      </c>
      <c r="AG1212" t="s">
        <v>120</v>
      </c>
      <c r="AH1212">
        <v>0.01</v>
      </c>
      <c r="AI1212" t="s">
        <v>120</v>
      </c>
      <c r="AJ1212">
        <v>1.54</v>
      </c>
      <c r="AK1212" t="s">
        <v>6661</v>
      </c>
      <c r="AL1212">
        <v>-6.5</v>
      </c>
      <c r="AM1212">
        <v>3807</v>
      </c>
      <c r="AN1212">
        <v>12</v>
      </c>
      <c r="AO1212">
        <v>8.0000000000000004E-4</v>
      </c>
      <c r="AP1212">
        <v>-1</v>
      </c>
      <c r="AQ1212">
        <v>7.63</v>
      </c>
      <c r="AR1212">
        <v>2.89</v>
      </c>
      <c r="AS1212">
        <v>-3.96</v>
      </c>
      <c r="AT1212">
        <v>42.13</v>
      </c>
      <c r="AU1212">
        <v>22.03</v>
      </c>
      <c r="AV1212">
        <v>9</v>
      </c>
      <c r="AW1212">
        <v>3.67</v>
      </c>
      <c r="AX1212">
        <v>51.85</v>
      </c>
      <c r="AY1212">
        <v>83.08</v>
      </c>
      <c r="AZ1212">
        <v>162.94</v>
      </c>
      <c r="BA1212">
        <v>1.51</v>
      </c>
      <c r="BB1212" t="s">
        <v>751</v>
      </c>
      <c r="BF1212">
        <v>-7.99</v>
      </c>
      <c r="BG1212">
        <v>-8.51</v>
      </c>
      <c r="BH1212">
        <v>-9.14</v>
      </c>
      <c r="BI1212">
        <v>1.77</v>
      </c>
      <c r="BJ1212">
        <v>20210806</v>
      </c>
      <c r="BK1212">
        <v>20170302</v>
      </c>
      <c r="BL1212">
        <v>2.33</v>
      </c>
      <c r="BM1212" t="s">
        <v>120</v>
      </c>
      <c r="BN1212" t="s">
        <v>120</v>
      </c>
      <c r="BO1212">
        <v>60.88</v>
      </c>
      <c r="BP1212">
        <v>114.19</v>
      </c>
      <c r="BQ1212">
        <v>41.62</v>
      </c>
      <c r="BR1212">
        <v>0.85</v>
      </c>
      <c r="BS1212">
        <v>30.25</v>
      </c>
      <c r="BT1212">
        <v>31.46</v>
      </c>
      <c r="BU1212">
        <v>20.97</v>
      </c>
      <c r="BV1212">
        <v>2.67</v>
      </c>
      <c r="BW1212">
        <v>16.329999999999998</v>
      </c>
      <c r="BX1212">
        <v>3.87</v>
      </c>
      <c r="BY1212">
        <v>3.85</v>
      </c>
      <c r="BZ1212">
        <v>10.83</v>
      </c>
      <c r="CA1212">
        <v>0</v>
      </c>
      <c r="CB1212">
        <v>26.97</v>
      </c>
      <c r="CC1212">
        <v>18.02</v>
      </c>
      <c r="CD1212">
        <v>12.99</v>
      </c>
      <c r="CE1212">
        <v>2.46</v>
      </c>
      <c r="CF1212">
        <v>-0.04</v>
      </c>
      <c r="CG1212">
        <v>2.46</v>
      </c>
      <c r="CH1212">
        <v>2.21</v>
      </c>
      <c r="CI1212">
        <v>2.19</v>
      </c>
      <c r="CJ1212">
        <v>-10.51</v>
      </c>
      <c r="CK1212">
        <v>2.0499999999999998</v>
      </c>
      <c r="CL1212">
        <v>11.62</v>
      </c>
      <c r="CM1212">
        <v>0.85</v>
      </c>
      <c r="CN1212">
        <v>-4.7</v>
      </c>
      <c r="CO1212">
        <v>13631</v>
      </c>
      <c r="CP1212">
        <v>8860</v>
      </c>
      <c r="CQ1212" t="s">
        <v>6662</v>
      </c>
      <c r="CR1212">
        <v>367.01</v>
      </c>
      <c r="CS1212">
        <v>162.22</v>
      </c>
      <c r="CT1212">
        <v>6.41</v>
      </c>
      <c r="CU1212">
        <v>312.77</v>
      </c>
      <c r="CV1212">
        <v>14.79</v>
      </c>
      <c r="CW1212">
        <v>0.16</v>
      </c>
      <c r="CX1212" t="s">
        <v>3686</v>
      </c>
      <c r="CY1212">
        <v>17.87</v>
      </c>
      <c r="CZ1212">
        <v>0</v>
      </c>
      <c r="DA1212">
        <v>11.58</v>
      </c>
      <c r="DB1212">
        <v>4.99</v>
      </c>
      <c r="DC1212">
        <v>0.37</v>
      </c>
      <c r="DD1212">
        <v>68.36</v>
      </c>
      <c r="DE1212" t="s">
        <v>2474</v>
      </c>
      <c r="DF1212">
        <v>27.93</v>
      </c>
      <c r="DG1212">
        <v>13.66</v>
      </c>
      <c r="DH1212">
        <v>12.12</v>
      </c>
      <c r="DI1212">
        <v>0.97</v>
      </c>
      <c r="DJ1212">
        <v>3036</v>
      </c>
      <c r="DK1212">
        <v>2850</v>
      </c>
      <c r="DL1212" t="s">
        <v>120</v>
      </c>
      <c r="DM1212" t="s">
        <v>120</v>
      </c>
      <c r="DN1212" t="s">
        <v>120</v>
      </c>
    </row>
    <row r="1213" spans="1:118">
      <c r="A1213" t="str">
        <f>"002851"</f>
        <v>002851</v>
      </c>
      <c r="B1213" t="s">
        <v>6663</v>
      </c>
      <c r="C1213">
        <v>-3.35</v>
      </c>
      <c r="D1213">
        <v>-0.09</v>
      </c>
      <c r="E1213">
        <v>0</v>
      </c>
      <c r="F1213">
        <v>406</v>
      </c>
      <c r="G1213" t="s">
        <v>6664</v>
      </c>
      <c r="H1213">
        <v>7126.41</v>
      </c>
      <c r="I1213">
        <v>14.38</v>
      </c>
      <c r="J1213" t="s">
        <v>120</v>
      </c>
      <c r="K1213" t="s">
        <v>6665</v>
      </c>
      <c r="L1213">
        <v>0.59</v>
      </c>
      <c r="M1213">
        <v>30.88</v>
      </c>
      <c r="N1213">
        <v>0.47</v>
      </c>
      <c r="O1213">
        <v>0</v>
      </c>
      <c r="P1213">
        <v>31.95</v>
      </c>
      <c r="Q1213">
        <v>-3.41</v>
      </c>
      <c r="R1213">
        <v>30.86</v>
      </c>
      <c r="S1213">
        <v>31.95</v>
      </c>
      <c r="T1213">
        <v>22794</v>
      </c>
      <c r="U1213">
        <v>30.89</v>
      </c>
      <c r="V1213">
        <v>31.95</v>
      </c>
      <c r="W1213">
        <v>39.369999999999997</v>
      </c>
      <c r="X1213" t="s">
        <v>394</v>
      </c>
      <c r="Y1213" t="s">
        <v>123</v>
      </c>
      <c r="Z1213">
        <v>3.41</v>
      </c>
      <c r="AA1213">
        <v>31.26</v>
      </c>
      <c r="AB1213">
        <v>10347</v>
      </c>
      <c r="AC1213">
        <v>12447</v>
      </c>
      <c r="AD1213">
        <v>0.83</v>
      </c>
      <c r="AE1213">
        <v>35</v>
      </c>
      <c r="AF1213">
        <v>8</v>
      </c>
      <c r="AG1213" t="s">
        <v>120</v>
      </c>
      <c r="AH1213">
        <v>0</v>
      </c>
      <c r="AI1213" t="s">
        <v>120</v>
      </c>
      <c r="AJ1213">
        <v>3.84</v>
      </c>
      <c r="AK1213" t="s">
        <v>6666</v>
      </c>
      <c r="AL1213">
        <v>-1.44</v>
      </c>
      <c r="AM1213">
        <v>1684</v>
      </c>
      <c r="AN1213">
        <v>14</v>
      </c>
      <c r="AO1213">
        <v>4.0000000000000002E-4</v>
      </c>
      <c r="AP1213">
        <v>-2</v>
      </c>
      <c r="AQ1213">
        <v>-0.75</v>
      </c>
      <c r="AR1213">
        <v>-3.08</v>
      </c>
      <c r="AS1213">
        <v>-6.68</v>
      </c>
      <c r="AT1213">
        <v>-4.72</v>
      </c>
      <c r="AU1213">
        <v>-8.8800000000000008</v>
      </c>
      <c r="AV1213">
        <v>0</v>
      </c>
      <c r="AW1213">
        <v>0.72</v>
      </c>
      <c r="AX1213">
        <v>63.36</v>
      </c>
      <c r="AY1213">
        <v>35.79</v>
      </c>
      <c r="AZ1213">
        <v>39.450000000000003</v>
      </c>
      <c r="BA1213">
        <v>1.01</v>
      </c>
      <c r="BB1213" t="s">
        <v>143</v>
      </c>
      <c r="BF1213">
        <v>-2.15</v>
      </c>
      <c r="BG1213">
        <v>-3.35</v>
      </c>
      <c r="BH1213">
        <v>-3.35</v>
      </c>
      <c r="BI1213">
        <v>0.06</v>
      </c>
      <c r="BJ1213">
        <v>20210913</v>
      </c>
      <c r="BK1213">
        <v>20170306</v>
      </c>
      <c r="BL1213">
        <v>4.9800000000000004</v>
      </c>
      <c r="BM1213" t="s">
        <v>120</v>
      </c>
      <c r="BN1213" t="s">
        <v>120</v>
      </c>
      <c r="BO1213">
        <v>56.83</v>
      </c>
      <c r="BP1213">
        <v>30.88</v>
      </c>
      <c r="BQ1213">
        <v>31.82</v>
      </c>
      <c r="BR1213">
        <v>0.34</v>
      </c>
      <c r="BS1213">
        <v>43.42</v>
      </c>
      <c r="BT1213">
        <v>41.52</v>
      </c>
      <c r="BU1213">
        <v>5.16</v>
      </c>
      <c r="BV1213">
        <v>2.34</v>
      </c>
      <c r="BW1213">
        <v>24.02</v>
      </c>
      <c r="BX1213">
        <v>6.04</v>
      </c>
      <c r="BY1213">
        <v>11.45</v>
      </c>
      <c r="BZ1213">
        <v>10.08</v>
      </c>
      <c r="CA1213" t="s">
        <v>120</v>
      </c>
      <c r="CB1213">
        <v>12.19</v>
      </c>
      <c r="CC1213">
        <v>19.38</v>
      </c>
      <c r="CD1213">
        <v>14.15</v>
      </c>
      <c r="CE1213">
        <v>2.16</v>
      </c>
      <c r="CF1213">
        <v>0.14000000000000001</v>
      </c>
      <c r="CG1213">
        <v>2.15</v>
      </c>
      <c r="CH1213">
        <v>2</v>
      </c>
      <c r="CI1213">
        <v>1.95</v>
      </c>
      <c r="CJ1213">
        <v>-1.07</v>
      </c>
      <c r="CK1213">
        <v>1.64</v>
      </c>
      <c r="CL1213">
        <v>13.94</v>
      </c>
      <c r="CM1213">
        <v>0.46</v>
      </c>
      <c r="CN1213">
        <v>0.68</v>
      </c>
      <c r="CO1213">
        <v>15000</v>
      </c>
      <c r="CP1213">
        <v>21019</v>
      </c>
      <c r="CQ1213" t="s">
        <v>6667</v>
      </c>
      <c r="CR1213">
        <v>26.76</v>
      </c>
      <c r="CS1213">
        <v>25.7</v>
      </c>
      <c r="CT1213">
        <v>4.87</v>
      </c>
      <c r="CU1213">
        <v>333.56</v>
      </c>
      <c r="CV1213">
        <v>7.93</v>
      </c>
      <c r="CW1213">
        <v>0.54</v>
      </c>
      <c r="CX1213" t="s">
        <v>1980</v>
      </c>
      <c r="CY1213">
        <v>6.34</v>
      </c>
      <c r="CZ1213">
        <v>6.34</v>
      </c>
      <c r="DA1213">
        <v>2.4500000000000002</v>
      </c>
      <c r="DB1213">
        <v>2.8</v>
      </c>
      <c r="DC1213">
        <v>0.09</v>
      </c>
      <c r="DD1213">
        <v>55.99</v>
      </c>
      <c r="DE1213" t="s">
        <v>3432</v>
      </c>
      <c r="DF1213">
        <v>26.96</v>
      </c>
      <c r="DG1213">
        <v>11.13</v>
      </c>
      <c r="DH1213">
        <v>10.07</v>
      </c>
      <c r="DI1213">
        <v>2.0299999999999998</v>
      </c>
      <c r="DJ1213">
        <v>3481</v>
      </c>
      <c r="DK1213">
        <v>2851</v>
      </c>
      <c r="DL1213">
        <v>20200930</v>
      </c>
      <c r="DM1213">
        <v>33.25</v>
      </c>
      <c r="DN1213">
        <v>-6.62</v>
      </c>
    </row>
    <row r="1214" spans="1:118">
      <c r="A1214" t="str">
        <f>"002852"</f>
        <v>002852</v>
      </c>
      <c r="B1214" t="s">
        <v>6668</v>
      </c>
      <c r="C1214">
        <v>0</v>
      </c>
      <c r="D1214">
        <v>-0.06</v>
      </c>
      <c r="E1214">
        <v>0.96</v>
      </c>
      <c r="F1214">
        <v>291</v>
      </c>
      <c r="G1214" t="s">
        <v>3208</v>
      </c>
      <c r="H1214">
        <v>3856.13</v>
      </c>
      <c r="I1214">
        <v>8.74</v>
      </c>
      <c r="J1214" t="s">
        <v>120</v>
      </c>
      <c r="K1214" t="s">
        <v>6669</v>
      </c>
      <c r="L1214">
        <v>1.3</v>
      </c>
      <c r="M1214">
        <v>13.52</v>
      </c>
      <c r="N1214">
        <v>1.22</v>
      </c>
      <c r="O1214">
        <v>3.25</v>
      </c>
      <c r="P1214">
        <v>13.96</v>
      </c>
      <c r="Q1214">
        <v>0</v>
      </c>
      <c r="R1214">
        <v>13.52</v>
      </c>
      <c r="S1214">
        <v>13.65</v>
      </c>
      <c r="T1214">
        <v>27997</v>
      </c>
      <c r="U1214">
        <v>13.55</v>
      </c>
      <c r="V1214">
        <v>13.52</v>
      </c>
      <c r="W1214">
        <v>15.62</v>
      </c>
      <c r="X1214" t="s">
        <v>847</v>
      </c>
      <c r="Y1214" t="s">
        <v>594</v>
      </c>
      <c r="Z1214">
        <v>3.25</v>
      </c>
      <c r="AA1214">
        <v>13.77</v>
      </c>
      <c r="AB1214">
        <v>13079</v>
      </c>
      <c r="AC1214">
        <v>14918</v>
      </c>
      <c r="AD1214">
        <v>0.88</v>
      </c>
      <c r="AE1214">
        <v>131</v>
      </c>
      <c r="AF1214">
        <v>67</v>
      </c>
      <c r="AG1214" t="s">
        <v>120</v>
      </c>
      <c r="AH1214">
        <v>0.01</v>
      </c>
      <c r="AI1214" t="s">
        <v>120</v>
      </c>
      <c r="AJ1214">
        <v>2.16</v>
      </c>
      <c r="AK1214" t="s">
        <v>6670</v>
      </c>
      <c r="AL1214">
        <v>1.91</v>
      </c>
      <c r="AM1214">
        <v>1803</v>
      </c>
      <c r="AN1214">
        <v>16</v>
      </c>
      <c r="AO1214">
        <v>6.9999999999999999E-4</v>
      </c>
      <c r="AP1214">
        <v>0</v>
      </c>
      <c r="AQ1214">
        <v>1.88</v>
      </c>
      <c r="AR1214">
        <v>-0.23</v>
      </c>
      <c r="AS1214">
        <v>1.35</v>
      </c>
      <c r="AT1214">
        <v>-12.04</v>
      </c>
      <c r="AU1214">
        <v>-25.35</v>
      </c>
      <c r="AV1214">
        <v>4</v>
      </c>
      <c r="AW1214">
        <v>2.57</v>
      </c>
      <c r="AX1214">
        <v>37.729999999999997</v>
      </c>
      <c r="AY1214" t="s">
        <v>120</v>
      </c>
      <c r="AZ1214" t="s">
        <v>120</v>
      </c>
      <c r="BA1214">
        <v>0.74</v>
      </c>
      <c r="BB1214" t="s">
        <v>143</v>
      </c>
      <c r="BF1214">
        <v>1.88</v>
      </c>
      <c r="BG1214">
        <v>-0.95</v>
      </c>
      <c r="BH1214">
        <v>-3.15</v>
      </c>
      <c r="BI1214">
        <v>0</v>
      </c>
      <c r="BJ1214">
        <v>20210827</v>
      </c>
      <c r="BK1214">
        <v>20170310</v>
      </c>
      <c r="BL1214">
        <v>2.89</v>
      </c>
      <c r="BM1214" t="s">
        <v>120</v>
      </c>
      <c r="BN1214" t="s">
        <v>120</v>
      </c>
      <c r="BO1214">
        <v>36.71</v>
      </c>
      <c r="BP1214">
        <v>13.52</v>
      </c>
      <c r="BQ1214">
        <v>19.27</v>
      </c>
      <c r="BR1214">
        <v>0.64</v>
      </c>
      <c r="BS1214">
        <v>45.77</v>
      </c>
      <c r="BT1214">
        <v>17.559999999999999</v>
      </c>
      <c r="BU1214">
        <v>7.19</v>
      </c>
      <c r="BV1214">
        <v>1.59</v>
      </c>
      <c r="BW1214">
        <v>15.93</v>
      </c>
      <c r="BX1214">
        <v>1.03</v>
      </c>
      <c r="BY1214">
        <v>11.55</v>
      </c>
      <c r="BZ1214">
        <v>0.6</v>
      </c>
      <c r="CA1214" t="s">
        <v>120</v>
      </c>
      <c r="CB1214">
        <v>10.55</v>
      </c>
      <c r="CC1214">
        <v>21.16</v>
      </c>
      <c r="CD1214">
        <v>19.47</v>
      </c>
      <c r="CE1214">
        <v>1.22</v>
      </c>
      <c r="CF1214">
        <v>0.04</v>
      </c>
      <c r="CG1214">
        <v>1.24</v>
      </c>
      <c r="CH1214">
        <v>1.27</v>
      </c>
      <c r="CI1214">
        <v>1.25</v>
      </c>
      <c r="CJ1214">
        <v>0</v>
      </c>
      <c r="CK1214">
        <v>0.72</v>
      </c>
      <c r="CL1214">
        <v>7.13</v>
      </c>
      <c r="CM1214">
        <v>-0.36</v>
      </c>
      <c r="CN1214">
        <v>-2.76</v>
      </c>
      <c r="CO1214">
        <v>19816</v>
      </c>
      <c r="CP1214">
        <v>5502</v>
      </c>
      <c r="CQ1214" t="s">
        <v>6671</v>
      </c>
      <c r="CR1214">
        <v>22.79</v>
      </c>
      <c r="CS1214">
        <v>-7.62</v>
      </c>
      <c r="CT1214">
        <v>2.0299999999999998</v>
      </c>
      <c r="CU1214">
        <v>-107.74</v>
      </c>
      <c r="CV1214">
        <v>1.85</v>
      </c>
      <c r="CW1214">
        <v>0.7</v>
      </c>
      <c r="CX1214" t="s">
        <v>1631</v>
      </c>
      <c r="CY1214">
        <v>6.67</v>
      </c>
      <c r="CZ1214">
        <v>0</v>
      </c>
      <c r="DA1214">
        <v>3.65</v>
      </c>
      <c r="DB1214">
        <v>2.4700000000000002</v>
      </c>
      <c r="DC1214">
        <v>-0.13</v>
      </c>
      <c r="DD1214">
        <v>52.49</v>
      </c>
      <c r="DE1214" t="s">
        <v>6672</v>
      </c>
      <c r="DF1214">
        <v>8.01</v>
      </c>
      <c r="DG1214">
        <v>5.78</v>
      </c>
      <c r="DH1214">
        <v>5.91</v>
      </c>
      <c r="DI1214">
        <v>0.02</v>
      </c>
      <c r="DJ1214">
        <v>873</v>
      </c>
      <c r="DK1214">
        <v>2852</v>
      </c>
      <c r="DL1214" t="s">
        <v>120</v>
      </c>
      <c r="DM1214" t="s">
        <v>120</v>
      </c>
      <c r="DN1214" t="s">
        <v>120</v>
      </c>
    </row>
    <row r="1215" spans="1:118">
      <c r="A1215" t="str">
        <f>"002853"</f>
        <v>002853</v>
      </c>
      <c r="B1215" t="s">
        <v>6673</v>
      </c>
      <c r="C1215">
        <v>-4.62</v>
      </c>
      <c r="D1215">
        <v>0.06</v>
      </c>
      <c r="E1215">
        <v>0</v>
      </c>
      <c r="F1215">
        <v>601</v>
      </c>
      <c r="G1215" t="s">
        <v>6674</v>
      </c>
      <c r="H1215">
        <v>5024.38</v>
      </c>
      <c r="I1215">
        <v>14.71</v>
      </c>
      <c r="J1215" t="s">
        <v>120</v>
      </c>
      <c r="K1215" t="s">
        <v>1094</v>
      </c>
      <c r="L1215">
        <v>2.63</v>
      </c>
      <c r="M1215">
        <v>16.32</v>
      </c>
      <c r="N1215">
        <v>1.24</v>
      </c>
      <c r="O1215">
        <v>1.4</v>
      </c>
      <c r="P1215">
        <v>17.350000000000001</v>
      </c>
      <c r="Q1215">
        <v>-5.55</v>
      </c>
      <c r="R1215">
        <v>16.16</v>
      </c>
      <c r="S1215">
        <v>17.11</v>
      </c>
      <c r="T1215">
        <v>30135</v>
      </c>
      <c r="U1215">
        <v>16.32</v>
      </c>
      <c r="V1215">
        <v>17.11</v>
      </c>
      <c r="W1215">
        <v>15.59</v>
      </c>
      <c r="X1215" t="s">
        <v>2409</v>
      </c>
      <c r="Y1215" t="s">
        <v>547</v>
      </c>
      <c r="Z1215">
        <v>6.95</v>
      </c>
      <c r="AA1215">
        <v>16.670000000000002</v>
      </c>
      <c r="AB1215">
        <v>20418</v>
      </c>
      <c r="AC1215">
        <v>9717</v>
      </c>
      <c r="AD1215">
        <v>2.1</v>
      </c>
      <c r="AE1215">
        <v>42</v>
      </c>
      <c r="AF1215">
        <v>66</v>
      </c>
      <c r="AG1215" t="s">
        <v>120</v>
      </c>
      <c r="AH1215">
        <v>0.01</v>
      </c>
      <c r="AI1215" t="s">
        <v>120</v>
      </c>
      <c r="AJ1215">
        <v>1.1399999999999999</v>
      </c>
      <c r="AK1215" t="s">
        <v>2929</v>
      </c>
      <c r="AL1215">
        <v>-2.7</v>
      </c>
      <c r="AM1215">
        <v>1608</v>
      </c>
      <c r="AN1215">
        <v>19</v>
      </c>
      <c r="AO1215">
        <v>1.6000000000000001E-3</v>
      </c>
      <c r="AP1215">
        <v>-1</v>
      </c>
      <c r="AQ1215">
        <v>0</v>
      </c>
      <c r="AR1215">
        <v>-7.69</v>
      </c>
      <c r="AS1215">
        <v>-6.37</v>
      </c>
      <c r="AT1215">
        <v>-25.41</v>
      </c>
      <c r="AU1215">
        <v>-32.619999999999997</v>
      </c>
      <c r="AV1215">
        <v>1</v>
      </c>
      <c r="AW1215">
        <v>3.07</v>
      </c>
      <c r="AX1215">
        <v>52.64</v>
      </c>
      <c r="AY1215">
        <v>13.04</v>
      </c>
      <c r="AZ1215">
        <v>16.21</v>
      </c>
      <c r="BA1215">
        <v>0.39</v>
      </c>
      <c r="BB1215" t="s">
        <v>240</v>
      </c>
      <c r="BF1215">
        <v>-2.56</v>
      </c>
      <c r="BG1215">
        <v>-4.62</v>
      </c>
      <c r="BH1215">
        <v>-5.94</v>
      </c>
      <c r="BI1215">
        <v>0.99</v>
      </c>
      <c r="BJ1215">
        <v>20210826</v>
      </c>
      <c r="BK1215">
        <v>20170310</v>
      </c>
      <c r="BL1215">
        <v>1.87</v>
      </c>
      <c r="BM1215" t="s">
        <v>120</v>
      </c>
      <c r="BN1215" t="s">
        <v>120</v>
      </c>
      <c r="BO1215">
        <v>32</v>
      </c>
      <c r="BP1215">
        <v>16.309999999999999</v>
      </c>
      <c r="BQ1215">
        <v>20.18</v>
      </c>
      <c r="BR1215">
        <v>0.94</v>
      </c>
      <c r="BS1215">
        <v>34</v>
      </c>
      <c r="BT1215">
        <v>24.32</v>
      </c>
      <c r="BU1215">
        <v>3.72</v>
      </c>
      <c r="BV1215">
        <v>1.85</v>
      </c>
      <c r="BW1215">
        <v>9.61</v>
      </c>
      <c r="BX1215">
        <v>6.18</v>
      </c>
      <c r="BY1215">
        <v>2.4500000000000002</v>
      </c>
      <c r="BZ1215">
        <v>1.98</v>
      </c>
      <c r="CA1215" t="s">
        <v>120</v>
      </c>
      <c r="CB1215">
        <v>10.49</v>
      </c>
      <c r="CC1215">
        <v>8.44</v>
      </c>
      <c r="CD1215">
        <v>5.61</v>
      </c>
      <c r="CE1215">
        <v>1.28</v>
      </c>
      <c r="CF1215">
        <v>0.06</v>
      </c>
      <c r="CG1215">
        <v>1.27</v>
      </c>
      <c r="CH1215">
        <v>1.03</v>
      </c>
      <c r="CI1215">
        <v>0.98</v>
      </c>
      <c r="CJ1215">
        <v>-0.79</v>
      </c>
      <c r="CK1215">
        <v>0.91</v>
      </c>
      <c r="CL1215">
        <v>7.04</v>
      </c>
      <c r="CM1215">
        <v>-3.06</v>
      </c>
      <c r="CN1215">
        <v>-2.81</v>
      </c>
      <c r="CO1215">
        <v>11495</v>
      </c>
      <c r="CP1215">
        <v>8543</v>
      </c>
      <c r="CQ1215" t="s">
        <v>6675</v>
      </c>
      <c r="CR1215">
        <v>96.13</v>
      </c>
      <c r="CS1215">
        <v>64.290000000000006</v>
      </c>
      <c r="CT1215">
        <v>1.51</v>
      </c>
      <c r="CU1215">
        <v>-9.9600000000000009</v>
      </c>
      <c r="CV1215">
        <v>3.61</v>
      </c>
      <c r="CW1215">
        <v>1.46</v>
      </c>
      <c r="CX1215" t="s">
        <v>948</v>
      </c>
      <c r="CY1215">
        <v>10.82</v>
      </c>
      <c r="CZ1215">
        <v>0</v>
      </c>
      <c r="DA1215">
        <v>5.62</v>
      </c>
      <c r="DB1215">
        <v>3.77</v>
      </c>
      <c r="DC1215">
        <v>-1.64</v>
      </c>
      <c r="DD1215">
        <v>63.07</v>
      </c>
      <c r="DE1215" t="s">
        <v>2865</v>
      </c>
      <c r="DF1215">
        <v>33.61</v>
      </c>
      <c r="DG1215">
        <v>15.13</v>
      </c>
      <c r="DH1215">
        <v>11.56</v>
      </c>
      <c r="DI1215">
        <v>0.26</v>
      </c>
      <c r="DJ1215">
        <v>2679</v>
      </c>
      <c r="DK1215">
        <v>2853</v>
      </c>
      <c r="DL1215" t="s">
        <v>120</v>
      </c>
      <c r="DM1215" t="s">
        <v>120</v>
      </c>
      <c r="DN1215" t="s">
        <v>120</v>
      </c>
    </row>
    <row r="1216" spans="1:118">
      <c r="A1216" t="str">
        <f>"002855"</f>
        <v>002855</v>
      </c>
      <c r="B1216" t="s">
        <v>6676</v>
      </c>
      <c r="C1216">
        <v>-0.66</v>
      </c>
      <c r="D1216">
        <v>-0.1</v>
      </c>
      <c r="E1216">
        <v>0.22</v>
      </c>
      <c r="F1216">
        <v>49</v>
      </c>
      <c r="G1216" t="s">
        <v>6677</v>
      </c>
      <c r="H1216">
        <v>979.52</v>
      </c>
      <c r="I1216">
        <v>3.76</v>
      </c>
      <c r="J1216" t="s">
        <v>120</v>
      </c>
      <c r="K1216" t="s">
        <v>6678</v>
      </c>
      <c r="L1216">
        <v>0.43</v>
      </c>
      <c r="M1216">
        <v>9.08</v>
      </c>
      <c r="N1216">
        <v>1.0900000000000001</v>
      </c>
      <c r="O1216">
        <v>1.42</v>
      </c>
      <c r="P1216">
        <v>9.27</v>
      </c>
      <c r="Q1216">
        <v>-1.2</v>
      </c>
      <c r="R1216">
        <v>9.0299999999999994</v>
      </c>
      <c r="S1216">
        <v>9.16</v>
      </c>
      <c r="T1216">
        <v>10697</v>
      </c>
      <c r="U1216">
        <v>9.08</v>
      </c>
      <c r="V1216">
        <v>9.14</v>
      </c>
      <c r="W1216">
        <v>346.48</v>
      </c>
      <c r="X1216" t="s">
        <v>229</v>
      </c>
      <c r="Y1216" t="s">
        <v>547</v>
      </c>
      <c r="Z1216">
        <v>2.63</v>
      </c>
      <c r="AA1216">
        <v>9.16</v>
      </c>
      <c r="AB1216">
        <v>5896</v>
      </c>
      <c r="AC1216">
        <v>4801</v>
      </c>
      <c r="AD1216">
        <v>1.23</v>
      </c>
      <c r="AE1216">
        <v>55</v>
      </c>
      <c r="AF1216">
        <v>14</v>
      </c>
      <c r="AG1216" t="s">
        <v>120</v>
      </c>
      <c r="AH1216">
        <v>0</v>
      </c>
      <c r="AI1216" t="s">
        <v>120</v>
      </c>
      <c r="AJ1216">
        <v>2.46</v>
      </c>
      <c r="AK1216" t="s">
        <v>2568</v>
      </c>
      <c r="AL1216">
        <v>1.26</v>
      </c>
      <c r="AM1216">
        <v>560</v>
      </c>
      <c r="AN1216">
        <v>19</v>
      </c>
      <c r="AO1216">
        <v>8.0000000000000004E-4</v>
      </c>
      <c r="AP1216">
        <v>-1</v>
      </c>
      <c r="AQ1216">
        <v>0.55000000000000004</v>
      </c>
      <c r="AR1216">
        <v>-0.87</v>
      </c>
      <c r="AS1216">
        <v>-1.3</v>
      </c>
      <c r="AT1216">
        <v>-4.5199999999999996</v>
      </c>
      <c r="AU1216">
        <v>-11.89</v>
      </c>
      <c r="AV1216">
        <v>0</v>
      </c>
      <c r="AW1216">
        <v>1.2</v>
      </c>
      <c r="AX1216">
        <v>35.67</v>
      </c>
      <c r="AY1216">
        <v>23.09</v>
      </c>
      <c r="AZ1216">
        <v>22.4</v>
      </c>
      <c r="BA1216">
        <v>0.38</v>
      </c>
      <c r="BB1216" t="s">
        <v>143</v>
      </c>
      <c r="BF1216">
        <v>0.19</v>
      </c>
      <c r="BG1216">
        <v>-0.87</v>
      </c>
      <c r="BH1216">
        <v>-2.0499999999999998</v>
      </c>
      <c r="BI1216">
        <v>0.55000000000000004</v>
      </c>
      <c r="BJ1216">
        <v>20210830</v>
      </c>
      <c r="BK1216">
        <v>20170321</v>
      </c>
      <c r="BL1216">
        <v>2.5099999999999998</v>
      </c>
      <c r="BM1216" t="s">
        <v>120</v>
      </c>
      <c r="BN1216" t="s">
        <v>120</v>
      </c>
      <c r="BO1216">
        <v>28.11</v>
      </c>
      <c r="BP1216">
        <v>9.07</v>
      </c>
      <c r="BQ1216">
        <v>14.06</v>
      </c>
      <c r="BR1216">
        <v>-0.1</v>
      </c>
      <c r="BS1216">
        <v>50.33</v>
      </c>
      <c r="BT1216">
        <v>16.97</v>
      </c>
      <c r="BU1216">
        <v>6.65</v>
      </c>
      <c r="BV1216">
        <v>1.52</v>
      </c>
      <c r="BW1216">
        <v>13.1</v>
      </c>
      <c r="BX1216">
        <v>3.57</v>
      </c>
      <c r="BY1216">
        <v>5.63</v>
      </c>
      <c r="BZ1216">
        <v>4.7</v>
      </c>
      <c r="CA1216" t="s">
        <v>120</v>
      </c>
      <c r="CB1216">
        <v>5.84</v>
      </c>
      <c r="CC1216">
        <v>14.37</v>
      </c>
      <c r="CD1216">
        <v>12.79</v>
      </c>
      <c r="CE1216">
        <v>0.08</v>
      </c>
      <c r="CF1216">
        <v>0.01</v>
      </c>
      <c r="CG1216">
        <v>0.08</v>
      </c>
      <c r="CH1216">
        <v>0.02</v>
      </c>
      <c r="CI1216">
        <v>0.03</v>
      </c>
      <c r="CJ1216">
        <v>-0.06</v>
      </c>
      <c r="CK1216">
        <v>0.03</v>
      </c>
      <c r="CL1216">
        <v>5.51</v>
      </c>
      <c r="CM1216">
        <v>1.18</v>
      </c>
      <c r="CN1216">
        <v>-0.19</v>
      </c>
      <c r="CO1216">
        <v>18588</v>
      </c>
      <c r="CP1216">
        <v>4809</v>
      </c>
      <c r="CQ1216" t="s">
        <v>1675</v>
      </c>
      <c r="CR1216">
        <v>-48.09</v>
      </c>
      <c r="CS1216">
        <v>38.909999999999997</v>
      </c>
      <c r="CT1216">
        <v>1.62</v>
      </c>
      <c r="CU1216">
        <v>19.260000000000002</v>
      </c>
      <c r="CV1216">
        <v>1.58</v>
      </c>
      <c r="CW1216">
        <v>0.93</v>
      </c>
      <c r="CX1216" t="s">
        <v>178</v>
      </c>
      <c r="CY1216">
        <v>5.61</v>
      </c>
      <c r="CZ1216">
        <v>0</v>
      </c>
      <c r="DA1216">
        <v>2.33</v>
      </c>
      <c r="DB1216">
        <v>2.2000000000000002</v>
      </c>
      <c r="DC1216">
        <v>0.47</v>
      </c>
      <c r="DD1216">
        <v>50.04</v>
      </c>
      <c r="DE1216" t="s">
        <v>6679</v>
      </c>
      <c r="DF1216">
        <v>10.97</v>
      </c>
      <c r="DG1216">
        <v>0.57999999999999996</v>
      </c>
      <c r="DH1216">
        <v>0.23</v>
      </c>
      <c r="DI1216">
        <v>0.35</v>
      </c>
      <c r="DJ1216">
        <v>7121</v>
      </c>
      <c r="DK1216">
        <v>2855</v>
      </c>
      <c r="DL1216" t="s">
        <v>120</v>
      </c>
      <c r="DM1216" t="s">
        <v>120</v>
      </c>
      <c r="DN1216" t="s">
        <v>120</v>
      </c>
    </row>
    <row r="1217" spans="1:118">
      <c r="A1217" t="str">
        <f>"002856"</f>
        <v>002856</v>
      </c>
      <c r="B1217" t="s">
        <v>6680</v>
      </c>
      <c r="C1217">
        <v>-1.04</v>
      </c>
      <c r="D1217">
        <v>-0.34</v>
      </c>
      <c r="E1217">
        <v>-0.43</v>
      </c>
      <c r="F1217">
        <v>200</v>
      </c>
      <c r="G1217" t="s">
        <v>6681</v>
      </c>
      <c r="H1217">
        <v>1598.42</v>
      </c>
      <c r="I1217">
        <v>11.49</v>
      </c>
      <c r="J1217" t="s">
        <v>120</v>
      </c>
      <c r="K1217" t="s">
        <v>6682</v>
      </c>
      <c r="L1217">
        <v>1.43</v>
      </c>
      <c r="M1217">
        <v>11.42</v>
      </c>
      <c r="N1217">
        <v>0.65</v>
      </c>
      <c r="O1217">
        <v>0</v>
      </c>
      <c r="P1217">
        <v>11.54</v>
      </c>
      <c r="Q1217">
        <v>-1.56</v>
      </c>
      <c r="R1217">
        <v>11.36</v>
      </c>
      <c r="S1217">
        <v>11.49</v>
      </c>
      <c r="T1217">
        <v>13985</v>
      </c>
      <c r="U1217">
        <v>11.42</v>
      </c>
      <c r="V1217">
        <v>11.54</v>
      </c>
      <c r="W1217" t="s">
        <v>120</v>
      </c>
      <c r="X1217" t="s">
        <v>3122</v>
      </c>
      <c r="Y1217" t="s">
        <v>123</v>
      </c>
      <c r="Z1217">
        <v>1.56</v>
      </c>
      <c r="AA1217">
        <v>11.43</v>
      </c>
      <c r="AB1217">
        <v>7242</v>
      </c>
      <c r="AC1217">
        <v>6743</v>
      </c>
      <c r="AD1217">
        <v>1.07</v>
      </c>
      <c r="AE1217">
        <v>438</v>
      </c>
      <c r="AF1217">
        <v>17</v>
      </c>
      <c r="AG1217" t="s">
        <v>120</v>
      </c>
      <c r="AH1217">
        <v>0.02</v>
      </c>
      <c r="AI1217" t="s">
        <v>120</v>
      </c>
      <c r="AJ1217">
        <v>0.98</v>
      </c>
      <c r="AK1217" t="s">
        <v>3866</v>
      </c>
      <c r="AL1217">
        <v>0.87</v>
      </c>
      <c r="AM1217">
        <v>857</v>
      </c>
      <c r="AN1217">
        <v>16</v>
      </c>
      <c r="AO1217">
        <v>1.6999999999999999E-3</v>
      </c>
      <c r="AP1217">
        <v>-5</v>
      </c>
      <c r="AQ1217">
        <v>-0.09</v>
      </c>
      <c r="AR1217">
        <v>-1.39</v>
      </c>
      <c r="AS1217">
        <v>8.76</v>
      </c>
      <c r="AT1217">
        <v>-7.3</v>
      </c>
      <c r="AU1217">
        <v>-18.829999999999998</v>
      </c>
      <c r="AV1217">
        <v>1</v>
      </c>
      <c r="AW1217">
        <v>2.73</v>
      </c>
      <c r="AX1217">
        <v>37.869999999999997</v>
      </c>
      <c r="AY1217" t="s">
        <v>120</v>
      </c>
      <c r="AZ1217">
        <v>101.36</v>
      </c>
      <c r="BA1217">
        <v>0.34</v>
      </c>
      <c r="BB1217" t="s">
        <v>143</v>
      </c>
      <c r="BF1217">
        <v>-0.96</v>
      </c>
      <c r="BG1217">
        <v>-0.61</v>
      </c>
      <c r="BH1217">
        <v>-1.04</v>
      </c>
      <c r="BI1217">
        <v>0.53</v>
      </c>
      <c r="BJ1217">
        <v>20210821</v>
      </c>
      <c r="BK1217">
        <v>20170320</v>
      </c>
      <c r="BL1217">
        <v>1.35</v>
      </c>
      <c r="BM1217" t="s">
        <v>120</v>
      </c>
      <c r="BN1217" t="s">
        <v>120</v>
      </c>
      <c r="BO1217">
        <v>16.850000000000001</v>
      </c>
      <c r="BP1217">
        <v>11.38</v>
      </c>
      <c r="BQ1217">
        <v>8.15</v>
      </c>
      <c r="BR1217" t="s">
        <v>120</v>
      </c>
      <c r="BS1217">
        <v>51.65</v>
      </c>
      <c r="BT1217">
        <v>14.73</v>
      </c>
      <c r="BU1217">
        <v>0.48</v>
      </c>
      <c r="BV1217">
        <v>0.02</v>
      </c>
      <c r="BW1217">
        <v>8.43</v>
      </c>
      <c r="BX1217">
        <v>0.23</v>
      </c>
      <c r="BY1217">
        <v>0.48</v>
      </c>
      <c r="BZ1217">
        <v>8.67</v>
      </c>
      <c r="CA1217" t="s">
        <v>120</v>
      </c>
      <c r="CB1217">
        <v>4.4800000000000004</v>
      </c>
      <c r="CC1217">
        <v>3.47</v>
      </c>
      <c r="CD1217">
        <v>3.3</v>
      </c>
      <c r="CE1217">
        <v>-0.17</v>
      </c>
      <c r="CF1217">
        <v>-0.01</v>
      </c>
      <c r="CG1217">
        <v>-0.17</v>
      </c>
      <c r="CH1217">
        <v>-0.13</v>
      </c>
      <c r="CI1217">
        <v>-0.13</v>
      </c>
      <c r="CJ1217">
        <v>-0.12</v>
      </c>
      <c r="CK1217">
        <v>-0.13</v>
      </c>
      <c r="CL1217">
        <v>2</v>
      </c>
      <c r="CM1217">
        <v>-0.47</v>
      </c>
      <c r="CN1217">
        <v>-0.92</v>
      </c>
      <c r="CO1217">
        <v>9610</v>
      </c>
      <c r="CP1217">
        <v>5332</v>
      </c>
      <c r="CQ1217" t="s">
        <v>1139</v>
      </c>
      <c r="CR1217">
        <v>-639.38</v>
      </c>
      <c r="CS1217">
        <v>-13.9</v>
      </c>
      <c r="CT1217">
        <v>1.9</v>
      </c>
      <c r="CU1217">
        <v>-32.770000000000003</v>
      </c>
      <c r="CV1217">
        <v>4.45</v>
      </c>
      <c r="CW1217">
        <v>0</v>
      </c>
      <c r="CX1217" t="s">
        <v>4401</v>
      </c>
      <c r="CY1217">
        <v>6.02</v>
      </c>
      <c r="CZ1217">
        <v>0</v>
      </c>
      <c r="DA1217">
        <v>3.31</v>
      </c>
      <c r="DB1217">
        <v>1.48</v>
      </c>
      <c r="DC1217">
        <v>-0.35</v>
      </c>
      <c r="DD1217">
        <v>48.35</v>
      </c>
      <c r="DE1217" t="s">
        <v>6683</v>
      </c>
      <c r="DF1217">
        <v>4.9400000000000004</v>
      </c>
      <c r="DG1217">
        <v>-4.84</v>
      </c>
      <c r="DH1217">
        <v>-3.78</v>
      </c>
      <c r="DI1217" t="s">
        <v>120</v>
      </c>
      <c r="DJ1217">
        <v>685</v>
      </c>
      <c r="DK1217">
        <v>2856</v>
      </c>
      <c r="DL1217" t="s">
        <v>120</v>
      </c>
      <c r="DM1217" t="s">
        <v>120</v>
      </c>
      <c r="DN1217" t="s">
        <v>120</v>
      </c>
    </row>
    <row r="1218" spans="1:118">
      <c r="A1218" t="str">
        <f>"002857"</f>
        <v>002857</v>
      </c>
      <c r="B1218" t="s">
        <v>6684</v>
      </c>
      <c r="C1218">
        <v>-2.44</v>
      </c>
      <c r="D1218">
        <v>0.13</v>
      </c>
      <c r="E1218">
        <v>-0.26</v>
      </c>
      <c r="F1218">
        <v>8</v>
      </c>
      <c r="G1218" t="s">
        <v>6685</v>
      </c>
      <c r="H1218">
        <v>1277.92</v>
      </c>
      <c r="I1218">
        <v>15.4</v>
      </c>
      <c r="J1218" t="s">
        <v>120</v>
      </c>
      <c r="K1218" t="s">
        <v>3880</v>
      </c>
      <c r="L1218">
        <v>0.91</v>
      </c>
      <c r="M1218">
        <v>15.22</v>
      </c>
      <c r="N1218">
        <v>0.68</v>
      </c>
      <c r="O1218">
        <v>1.92</v>
      </c>
      <c r="P1218">
        <v>15.9</v>
      </c>
      <c r="Q1218">
        <v>-2.56</v>
      </c>
      <c r="R1218">
        <v>15.2</v>
      </c>
      <c r="S1218">
        <v>15.56</v>
      </c>
      <c r="T1218">
        <v>8265</v>
      </c>
      <c r="U1218">
        <v>15.22</v>
      </c>
      <c r="V1218">
        <v>15.6</v>
      </c>
      <c r="W1218" t="s">
        <v>120</v>
      </c>
      <c r="X1218" t="s">
        <v>2717</v>
      </c>
      <c r="Y1218" t="s">
        <v>645</v>
      </c>
      <c r="Z1218">
        <v>4.49</v>
      </c>
      <c r="AA1218">
        <v>15.46</v>
      </c>
      <c r="AB1218">
        <v>6192</v>
      </c>
      <c r="AC1218">
        <v>2073</v>
      </c>
      <c r="AD1218">
        <v>2.99</v>
      </c>
      <c r="AE1218">
        <v>3</v>
      </c>
      <c r="AF1218">
        <v>155</v>
      </c>
      <c r="AG1218" t="s">
        <v>120</v>
      </c>
      <c r="AH1218">
        <v>0.01</v>
      </c>
      <c r="AI1218" t="s">
        <v>120</v>
      </c>
      <c r="AJ1218">
        <v>0.91</v>
      </c>
      <c r="AK1218" t="s">
        <v>6686</v>
      </c>
      <c r="AL1218">
        <v>-0.52</v>
      </c>
      <c r="AM1218">
        <v>496</v>
      </c>
      <c r="AN1218">
        <v>17</v>
      </c>
      <c r="AO1218">
        <v>1.8E-3</v>
      </c>
      <c r="AP1218">
        <v>-2</v>
      </c>
      <c r="AQ1218">
        <v>-2.5</v>
      </c>
      <c r="AR1218">
        <v>-3.97</v>
      </c>
      <c r="AS1218">
        <v>0.86</v>
      </c>
      <c r="AT1218">
        <v>1.19</v>
      </c>
      <c r="AU1218">
        <v>31.77</v>
      </c>
      <c r="AV1218">
        <v>3</v>
      </c>
      <c r="AW1218">
        <v>1.1399999999999999</v>
      </c>
      <c r="AX1218">
        <v>56.57</v>
      </c>
      <c r="AY1218">
        <v>97.77</v>
      </c>
      <c r="AZ1218">
        <v>85.24</v>
      </c>
      <c r="BA1218">
        <v>1.1200000000000001</v>
      </c>
      <c r="BB1218" t="s">
        <v>125</v>
      </c>
      <c r="BF1218">
        <v>-0.88</v>
      </c>
      <c r="BG1218">
        <v>-2.19</v>
      </c>
      <c r="BH1218">
        <v>-4.28</v>
      </c>
      <c r="BI1218">
        <v>0.13</v>
      </c>
      <c r="BJ1218">
        <v>20210915</v>
      </c>
      <c r="BK1218">
        <v>20170323</v>
      </c>
      <c r="BL1218">
        <v>1.28</v>
      </c>
      <c r="BM1218" t="s">
        <v>120</v>
      </c>
      <c r="BN1218" t="s">
        <v>120</v>
      </c>
      <c r="BO1218">
        <v>5.96</v>
      </c>
      <c r="BP1218">
        <v>15.21</v>
      </c>
      <c r="BQ1218">
        <v>4.95</v>
      </c>
      <c r="BR1218" t="s">
        <v>120</v>
      </c>
      <c r="BS1218">
        <v>16.96</v>
      </c>
      <c r="BT1218">
        <v>4.6900000000000004</v>
      </c>
      <c r="BU1218">
        <v>0.09</v>
      </c>
      <c r="BV1218">
        <v>0.18</v>
      </c>
      <c r="BW1218">
        <v>1.01</v>
      </c>
      <c r="BX1218">
        <v>2</v>
      </c>
      <c r="BY1218">
        <v>0.57999999999999996</v>
      </c>
      <c r="BZ1218">
        <v>0.96</v>
      </c>
      <c r="CA1218" t="s">
        <v>120</v>
      </c>
      <c r="CB1218">
        <v>1.1599999999999999</v>
      </c>
      <c r="CC1218">
        <v>0.47</v>
      </c>
      <c r="CD1218">
        <v>0.27</v>
      </c>
      <c r="CE1218">
        <v>-0.01</v>
      </c>
      <c r="CF1218">
        <v>0.01</v>
      </c>
      <c r="CG1218">
        <v>0</v>
      </c>
      <c r="CH1218">
        <v>0</v>
      </c>
      <c r="CI1218">
        <v>0</v>
      </c>
      <c r="CJ1218">
        <v>-0.38</v>
      </c>
      <c r="CK1218">
        <v>0</v>
      </c>
      <c r="CL1218">
        <v>2.21</v>
      </c>
      <c r="CM1218">
        <v>0</v>
      </c>
      <c r="CN1218">
        <v>-0.04</v>
      </c>
      <c r="CO1218">
        <v>5523</v>
      </c>
      <c r="CP1218">
        <v>13110</v>
      </c>
      <c r="CQ1218" t="s">
        <v>6687</v>
      </c>
      <c r="CR1218">
        <v>-105.78</v>
      </c>
      <c r="CS1218">
        <v>2.33</v>
      </c>
      <c r="CT1218">
        <v>3.94</v>
      </c>
      <c r="CU1218">
        <v>28904.46</v>
      </c>
      <c r="CV1218">
        <v>41.61</v>
      </c>
      <c r="CW1218">
        <v>0</v>
      </c>
      <c r="CX1218" t="s">
        <v>6688</v>
      </c>
      <c r="CY1218">
        <v>3.86</v>
      </c>
      <c r="CZ1218">
        <v>0</v>
      </c>
      <c r="DA1218">
        <v>0.91</v>
      </c>
      <c r="DB1218">
        <v>1.73</v>
      </c>
      <c r="DC1218">
        <v>0</v>
      </c>
      <c r="DD1218">
        <v>83.04</v>
      </c>
      <c r="DE1218" t="s">
        <v>6689</v>
      </c>
      <c r="DF1218">
        <v>42.04</v>
      </c>
      <c r="DG1218">
        <v>-1.31</v>
      </c>
      <c r="DH1218">
        <v>-0.35</v>
      </c>
      <c r="DI1218">
        <v>7.0000000000000007E-2</v>
      </c>
      <c r="DJ1218">
        <v>425</v>
      </c>
      <c r="DK1218">
        <v>2857</v>
      </c>
      <c r="DL1218" t="s">
        <v>120</v>
      </c>
      <c r="DM1218" t="s">
        <v>120</v>
      </c>
      <c r="DN1218" t="s">
        <v>120</v>
      </c>
    </row>
    <row r="1219" spans="1:118">
      <c r="A1219" t="str">
        <f>"002858"</f>
        <v>002858</v>
      </c>
      <c r="B1219" t="s">
        <v>6690</v>
      </c>
      <c r="C1219">
        <v>-0.2</v>
      </c>
      <c r="D1219">
        <v>0.21</v>
      </c>
      <c r="E1219">
        <v>1.57</v>
      </c>
      <c r="F1219">
        <v>94</v>
      </c>
      <c r="G1219" t="s">
        <v>4290</v>
      </c>
      <c r="H1219">
        <v>6672.43</v>
      </c>
      <c r="I1219">
        <v>16.38</v>
      </c>
      <c r="J1219" t="s">
        <v>120</v>
      </c>
      <c r="K1219" t="s">
        <v>6691</v>
      </c>
      <c r="L1219">
        <v>4.58</v>
      </c>
      <c r="M1219">
        <v>14.63</v>
      </c>
      <c r="N1219">
        <v>1.4</v>
      </c>
      <c r="O1219">
        <v>4.16</v>
      </c>
      <c r="P1219">
        <v>15.27</v>
      </c>
      <c r="Q1219">
        <v>-0.68</v>
      </c>
      <c r="R1219">
        <v>14.56</v>
      </c>
      <c r="S1219">
        <v>14.89</v>
      </c>
      <c r="T1219">
        <v>44548</v>
      </c>
      <c r="U1219">
        <v>14.63</v>
      </c>
      <c r="V1219">
        <v>14.66</v>
      </c>
      <c r="W1219">
        <v>168.6</v>
      </c>
      <c r="X1219" t="s">
        <v>213</v>
      </c>
      <c r="Y1219" t="s">
        <v>1510</v>
      </c>
      <c r="Z1219">
        <v>4.84</v>
      </c>
      <c r="AA1219">
        <v>14.98</v>
      </c>
      <c r="AB1219">
        <v>21999</v>
      </c>
      <c r="AC1219">
        <v>22549</v>
      </c>
      <c r="AD1219">
        <v>0.98</v>
      </c>
      <c r="AE1219">
        <v>44</v>
      </c>
      <c r="AF1219">
        <v>23</v>
      </c>
      <c r="AG1219" t="s">
        <v>120</v>
      </c>
      <c r="AH1219">
        <v>0.01</v>
      </c>
      <c r="AI1219" t="s">
        <v>120</v>
      </c>
      <c r="AJ1219">
        <v>0.97</v>
      </c>
      <c r="AK1219" t="s">
        <v>6692</v>
      </c>
      <c r="AL1219">
        <v>1.71</v>
      </c>
      <c r="AM1219">
        <v>1860</v>
      </c>
      <c r="AN1219">
        <v>24</v>
      </c>
      <c r="AO1219">
        <v>2.5000000000000001E-3</v>
      </c>
      <c r="AP1219">
        <v>-3</v>
      </c>
      <c r="AQ1219">
        <v>-0.14000000000000001</v>
      </c>
      <c r="AR1219">
        <v>-2.73</v>
      </c>
      <c r="AS1219">
        <v>-19.18</v>
      </c>
      <c r="AT1219">
        <v>-18.73</v>
      </c>
      <c r="AU1219">
        <v>36.99</v>
      </c>
      <c r="AV1219">
        <v>6</v>
      </c>
      <c r="AW1219">
        <v>6.06</v>
      </c>
      <c r="AX1219">
        <v>45.94</v>
      </c>
      <c r="AY1219" t="s">
        <v>120</v>
      </c>
      <c r="AZ1219" t="s">
        <v>120</v>
      </c>
      <c r="BA1219">
        <v>0.99</v>
      </c>
      <c r="BB1219" t="s">
        <v>143</v>
      </c>
      <c r="BF1219">
        <v>2.17</v>
      </c>
      <c r="BG1219">
        <v>-1.75</v>
      </c>
      <c r="BH1219">
        <v>-4.1900000000000004</v>
      </c>
      <c r="BI1219">
        <v>0.48</v>
      </c>
      <c r="BJ1219">
        <v>20210827</v>
      </c>
      <c r="BK1219">
        <v>20170324</v>
      </c>
      <c r="BL1219">
        <v>1.6</v>
      </c>
      <c r="BM1219" t="s">
        <v>120</v>
      </c>
      <c r="BN1219" t="s">
        <v>120</v>
      </c>
      <c r="BO1219">
        <v>10.24</v>
      </c>
      <c r="BP1219">
        <v>14.61</v>
      </c>
      <c r="BQ1219">
        <v>7.28</v>
      </c>
      <c r="BR1219">
        <v>0.9</v>
      </c>
      <c r="BS1219">
        <v>20.13</v>
      </c>
      <c r="BT1219">
        <v>7.08</v>
      </c>
      <c r="BU1219">
        <v>0.95</v>
      </c>
      <c r="BV1219">
        <v>0.18</v>
      </c>
      <c r="BW1219">
        <v>1.75</v>
      </c>
      <c r="BX1219">
        <v>5.17</v>
      </c>
      <c r="BY1219">
        <v>0.56999999999999995</v>
      </c>
      <c r="BZ1219">
        <v>0.81</v>
      </c>
      <c r="CA1219" t="s">
        <v>120</v>
      </c>
      <c r="CB1219">
        <v>4.55</v>
      </c>
      <c r="CC1219">
        <v>1.17</v>
      </c>
      <c r="CD1219">
        <v>0.78</v>
      </c>
      <c r="CE1219">
        <v>0.21</v>
      </c>
      <c r="CF1219">
        <v>0</v>
      </c>
      <c r="CG1219">
        <v>0.21</v>
      </c>
      <c r="CH1219">
        <v>0.2</v>
      </c>
      <c r="CI1219">
        <v>7.0000000000000007E-2</v>
      </c>
      <c r="CJ1219">
        <v>-0.03</v>
      </c>
      <c r="CK1219">
        <v>-0.01</v>
      </c>
      <c r="CL1219">
        <v>1.47</v>
      </c>
      <c r="CM1219">
        <v>0.37</v>
      </c>
      <c r="CN1219">
        <v>4.0599999999999996</v>
      </c>
      <c r="CO1219">
        <v>7114</v>
      </c>
      <c r="CP1219">
        <v>10327</v>
      </c>
      <c r="CQ1219" t="s">
        <v>6693</v>
      </c>
      <c r="CR1219">
        <v>151.58000000000001</v>
      </c>
      <c r="CS1219">
        <v>81.48</v>
      </c>
      <c r="CT1219">
        <v>3.21</v>
      </c>
      <c r="CU1219">
        <v>63.37</v>
      </c>
      <c r="CV1219">
        <v>20.05</v>
      </c>
      <c r="CW1219">
        <v>0</v>
      </c>
      <c r="CX1219" t="s">
        <v>1064</v>
      </c>
      <c r="CY1219">
        <v>4.55</v>
      </c>
      <c r="CZ1219">
        <v>0</v>
      </c>
      <c r="DA1219">
        <v>2.84</v>
      </c>
      <c r="DB1219">
        <v>0.92</v>
      </c>
      <c r="DC1219">
        <v>0.23</v>
      </c>
      <c r="DD1219">
        <v>71.099999999999994</v>
      </c>
      <c r="DE1219" t="s">
        <v>344</v>
      </c>
      <c r="DF1219">
        <v>33.549999999999997</v>
      </c>
      <c r="DG1219">
        <v>18.29</v>
      </c>
      <c r="DH1219">
        <v>5.95</v>
      </c>
      <c r="DI1219">
        <v>0.05</v>
      </c>
      <c r="DJ1219">
        <v>354</v>
      </c>
      <c r="DK1219">
        <v>2858</v>
      </c>
      <c r="DL1219" t="s">
        <v>120</v>
      </c>
      <c r="DM1219" t="s">
        <v>120</v>
      </c>
      <c r="DN1219" t="s">
        <v>120</v>
      </c>
    </row>
    <row r="1220" spans="1:118">
      <c r="A1220" t="str">
        <f>"002859"</f>
        <v>002859</v>
      </c>
      <c r="B1220" t="s">
        <v>6694</v>
      </c>
      <c r="C1220">
        <v>-2.57</v>
      </c>
      <c r="D1220">
        <v>-0.23</v>
      </c>
      <c r="E1220">
        <v>-0.34</v>
      </c>
      <c r="F1220">
        <v>374</v>
      </c>
      <c r="G1220" t="s">
        <v>4525</v>
      </c>
      <c r="H1220">
        <v>17865.39</v>
      </c>
      <c r="I1220">
        <v>21.53</v>
      </c>
      <c r="J1220" t="s">
        <v>120</v>
      </c>
      <c r="K1220" t="s">
        <v>6695</v>
      </c>
      <c r="L1220">
        <v>1.53</v>
      </c>
      <c r="M1220">
        <v>28.83</v>
      </c>
      <c r="N1220">
        <v>1.19</v>
      </c>
      <c r="O1220">
        <v>0.47</v>
      </c>
      <c r="P1220">
        <v>29.73</v>
      </c>
      <c r="Q1220">
        <v>-3.35</v>
      </c>
      <c r="R1220">
        <v>28.6</v>
      </c>
      <c r="S1220">
        <v>29.49</v>
      </c>
      <c r="T1220">
        <v>61571</v>
      </c>
      <c r="U1220">
        <v>28.84</v>
      </c>
      <c r="V1220">
        <v>29.59</v>
      </c>
      <c r="W1220">
        <v>26.56</v>
      </c>
      <c r="X1220" t="s">
        <v>229</v>
      </c>
      <c r="Y1220" t="s">
        <v>585</v>
      </c>
      <c r="Z1220">
        <v>3.82</v>
      </c>
      <c r="AA1220">
        <v>29.02</v>
      </c>
      <c r="AB1220">
        <v>36794</v>
      </c>
      <c r="AC1220">
        <v>24777</v>
      </c>
      <c r="AD1220">
        <v>1.49</v>
      </c>
      <c r="AE1220">
        <v>26</v>
      </c>
      <c r="AF1220">
        <v>20</v>
      </c>
      <c r="AG1220" t="s">
        <v>120</v>
      </c>
      <c r="AH1220">
        <v>0</v>
      </c>
      <c r="AI1220" t="s">
        <v>120</v>
      </c>
      <c r="AJ1220">
        <v>4.03</v>
      </c>
      <c r="AK1220" t="s">
        <v>6696</v>
      </c>
      <c r="AL1220">
        <v>-0.65</v>
      </c>
      <c r="AM1220">
        <v>2658</v>
      </c>
      <c r="AN1220">
        <v>23</v>
      </c>
      <c r="AO1220">
        <v>5.9999999999999995E-4</v>
      </c>
      <c r="AP1220">
        <v>-2</v>
      </c>
      <c r="AQ1220">
        <v>-0.9</v>
      </c>
      <c r="AR1220">
        <v>-3.45</v>
      </c>
      <c r="AS1220">
        <v>-4.51</v>
      </c>
      <c r="AT1220">
        <v>-5.13</v>
      </c>
      <c r="AU1220">
        <v>14.68</v>
      </c>
      <c r="AV1220">
        <v>3</v>
      </c>
      <c r="AW1220">
        <v>3.31</v>
      </c>
      <c r="AX1220">
        <v>45.32</v>
      </c>
      <c r="AY1220">
        <v>33.090000000000003</v>
      </c>
      <c r="AZ1220">
        <v>41.94</v>
      </c>
      <c r="BA1220">
        <v>0.85</v>
      </c>
      <c r="BB1220" t="s">
        <v>134</v>
      </c>
      <c r="BF1220">
        <v>-1.94</v>
      </c>
      <c r="BG1220">
        <v>-2.2400000000000002</v>
      </c>
      <c r="BH1220">
        <v>-3.03</v>
      </c>
      <c r="BI1220">
        <v>0.8</v>
      </c>
      <c r="BJ1220">
        <v>20210902</v>
      </c>
      <c r="BK1220">
        <v>20170407</v>
      </c>
      <c r="BL1220">
        <v>4.0999999999999996</v>
      </c>
      <c r="BM1220" t="s">
        <v>120</v>
      </c>
      <c r="BN1220" t="s">
        <v>120</v>
      </c>
      <c r="BO1220">
        <v>36.11</v>
      </c>
      <c r="BP1220">
        <v>28.83</v>
      </c>
      <c r="BQ1220">
        <v>19.98</v>
      </c>
      <c r="BR1220" t="s">
        <v>120</v>
      </c>
      <c r="BS1220">
        <v>44.67</v>
      </c>
      <c r="BT1220">
        <v>15.77</v>
      </c>
      <c r="BU1220">
        <v>9.14</v>
      </c>
      <c r="BV1220">
        <v>1.6</v>
      </c>
      <c r="BW1220">
        <v>7.22</v>
      </c>
      <c r="BX1220">
        <v>5.7</v>
      </c>
      <c r="BY1220">
        <v>3.21</v>
      </c>
      <c r="BZ1220">
        <v>6.15</v>
      </c>
      <c r="CA1220" t="s">
        <v>120</v>
      </c>
      <c r="CB1220">
        <v>5.3</v>
      </c>
      <c r="CC1220">
        <v>9.75</v>
      </c>
      <c r="CD1220">
        <v>5.73</v>
      </c>
      <c r="CE1220">
        <v>2.48</v>
      </c>
      <c r="CF1220">
        <v>0.01</v>
      </c>
      <c r="CG1220">
        <v>2.48</v>
      </c>
      <c r="CH1220">
        <v>2.23</v>
      </c>
      <c r="CI1220">
        <v>2.23</v>
      </c>
      <c r="CJ1220">
        <v>-0.76</v>
      </c>
      <c r="CK1220">
        <v>2.2000000000000002</v>
      </c>
      <c r="CL1220">
        <v>9.7200000000000006</v>
      </c>
      <c r="CM1220">
        <v>2.15</v>
      </c>
      <c r="CN1220">
        <v>-1.49</v>
      </c>
      <c r="CO1220">
        <v>20687</v>
      </c>
      <c r="CP1220">
        <v>8983</v>
      </c>
      <c r="CQ1220" t="s">
        <v>6697</v>
      </c>
      <c r="CR1220">
        <v>53.36</v>
      </c>
      <c r="CS1220">
        <v>56.36</v>
      </c>
      <c r="CT1220">
        <v>6.25</v>
      </c>
      <c r="CU1220">
        <v>55.08</v>
      </c>
      <c r="CV1220">
        <v>12.13</v>
      </c>
      <c r="CW1220">
        <v>0.67</v>
      </c>
      <c r="CX1220" t="s">
        <v>1581</v>
      </c>
      <c r="CY1220">
        <v>4.6100000000000003</v>
      </c>
      <c r="CZ1220">
        <v>4.6100000000000003</v>
      </c>
      <c r="DA1220">
        <v>1.29</v>
      </c>
      <c r="DB1220">
        <v>2.37</v>
      </c>
      <c r="DC1220">
        <v>0.52</v>
      </c>
      <c r="DD1220">
        <v>55.33</v>
      </c>
      <c r="DE1220" t="s">
        <v>3876</v>
      </c>
      <c r="DF1220">
        <v>41.2</v>
      </c>
      <c r="DG1220">
        <v>25.44</v>
      </c>
      <c r="DH1220">
        <v>22.84</v>
      </c>
      <c r="DI1220">
        <v>0.47</v>
      </c>
      <c r="DJ1220">
        <v>2310</v>
      </c>
      <c r="DK1220">
        <v>2859</v>
      </c>
      <c r="DL1220" t="s">
        <v>120</v>
      </c>
      <c r="DM1220" t="s">
        <v>120</v>
      </c>
      <c r="DN1220" t="s">
        <v>120</v>
      </c>
    </row>
    <row r="1221" spans="1:118">
      <c r="A1221" t="str">
        <f>"002860"</f>
        <v>002860</v>
      </c>
      <c r="B1221" t="s">
        <v>6698</v>
      </c>
      <c r="C1221">
        <v>-2.95</v>
      </c>
      <c r="D1221">
        <v>0.16</v>
      </c>
      <c r="E1221">
        <v>0.74</v>
      </c>
      <c r="F1221">
        <v>391</v>
      </c>
      <c r="G1221" t="s">
        <v>6699</v>
      </c>
      <c r="H1221">
        <v>5208.29</v>
      </c>
      <c r="I1221">
        <v>7.28</v>
      </c>
      <c r="J1221" t="s">
        <v>120</v>
      </c>
      <c r="K1221" t="s">
        <v>6700</v>
      </c>
      <c r="L1221">
        <v>1.9</v>
      </c>
      <c r="M1221">
        <v>18.45</v>
      </c>
      <c r="N1221">
        <v>0.87</v>
      </c>
      <c r="O1221">
        <v>0.74</v>
      </c>
      <c r="P1221">
        <v>19.149999999999999</v>
      </c>
      <c r="Q1221">
        <v>-3.21</v>
      </c>
      <c r="R1221">
        <v>18.399999999999999</v>
      </c>
      <c r="S1221">
        <v>19.149999999999999</v>
      </c>
      <c r="T1221">
        <v>27957</v>
      </c>
      <c r="U1221">
        <v>18.46</v>
      </c>
      <c r="V1221">
        <v>19.010000000000002</v>
      </c>
      <c r="W1221">
        <v>22.03</v>
      </c>
      <c r="X1221" t="s">
        <v>394</v>
      </c>
      <c r="Y1221" t="s">
        <v>585</v>
      </c>
      <c r="Z1221">
        <v>3.95</v>
      </c>
      <c r="AA1221">
        <v>18.63</v>
      </c>
      <c r="AB1221">
        <v>18836</v>
      </c>
      <c r="AC1221">
        <v>9121</v>
      </c>
      <c r="AD1221">
        <v>2.0699999999999998</v>
      </c>
      <c r="AE1221">
        <v>43</v>
      </c>
      <c r="AF1221">
        <v>21</v>
      </c>
      <c r="AG1221" t="s">
        <v>120</v>
      </c>
      <c r="AH1221">
        <v>0</v>
      </c>
      <c r="AI1221" t="s">
        <v>120</v>
      </c>
      <c r="AJ1221">
        <v>1.47</v>
      </c>
      <c r="AK1221" t="s">
        <v>6701</v>
      </c>
      <c r="AL1221">
        <v>-1.03</v>
      </c>
      <c r="AM1221">
        <v>1503</v>
      </c>
      <c r="AN1221">
        <v>19</v>
      </c>
      <c r="AO1221">
        <v>1.2999999999999999E-3</v>
      </c>
      <c r="AP1221">
        <v>-1</v>
      </c>
      <c r="AQ1221">
        <v>1.17</v>
      </c>
      <c r="AR1221">
        <v>-2.64</v>
      </c>
      <c r="AS1221">
        <v>2.67</v>
      </c>
      <c r="AT1221">
        <v>12.78</v>
      </c>
      <c r="AU1221">
        <v>25.34</v>
      </c>
      <c r="AV1221">
        <v>0</v>
      </c>
      <c r="AW1221">
        <v>2.72</v>
      </c>
      <c r="AX1221">
        <v>50.42</v>
      </c>
      <c r="AY1221">
        <v>27.62</v>
      </c>
      <c r="AZ1221">
        <v>35.869999999999997</v>
      </c>
      <c r="BA1221">
        <v>0.69</v>
      </c>
      <c r="BB1221" t="s">
        <v>143</v>
      </c>
      <c r="BF1221">
        <v>-2</v>
      </c>
      <c r="BG1221">
        <v>-3.66</v>
      </c>
      <c r="BH1221">
        <v>-3.66</v>
      </c>
      <c r="BI1221">
        <v>0.27</v>
      </c>
      <c r="BJ1221">
        <v>20210913</v>
      </c>
      <c r="BK1221">
        <v>20170412</v>
      </c>
      <c r="BL1221">
        <v>2.04</v>
      </c>
      <c r="BM1221" t="s">
        <v>120</v>
      </c>
      <c r="BN1221" t="s">
        <v>120</v>
      </c>
      <c r="BO1221">
        <v>19.05</v>
      </c>
      <c r="BP1221">
        <v>18.45</v>
      </c>
      <c r="BQ1221">
        <v>11.11</v>
      </c>
      <c r="BR1221">
        <v>0.17</v>
      </c>
      <c r="BS1221">
        <v>40.76</v>
      </c>
      <c r="BT1221">
        <v>14.05</v>
      </c>
      <c r="BU1221">
        <v>3.05</v>
      </c>
      <c r="BV1221">
        <v>0.69</v>
      </c>
      <c r="BW1221">
        <v>5.37</v>
      </c>
      <c r="BX1221">
        <v>2.76</v>
      </c>
      <c r="BY1221">
        <v>2.4500000000000002</v>
      </c>
      <c r="BZ1221">
        <v>4.26</v>
      </c>
      <c r="CA1221" t="s">
        <v>120</v>
      </c>
      <c r="CB1221">
        <v>2.54</v>
      </c>
      <c r="CC1221">
        <v>7.34</v>
      </c>
      <c r="CD1221">
        <v>5.62</v>
      </c>
      <c r="CE1221">
        <v>0.99</v>
      </c>
      <c r="CF1221">
        <v>7.0000000000000007E-2</v>
      </c>
      <c r="CG1221">
        <v>1</v>
      </c>
      <c r="CH1221">
        <v>0.88</v>
      </c>
      <c r="CI1221">
        <v>0.85</v>
      </c>
      <c r="CJ1221">
        <v>-0.56000000000000005</v>
      </c>
      <c r="CK1221">
        <v>0.78</v>
      </c>
      <c r="CL1221">
        <v>5.47</v>
      </c>
      <c r="CM1221">
        <v>0.35</v>
      </c>
      <c r="CN1221">
        <v>0.65</v>
      </c>
      <c r="CO1221">
        <v>10000</v>
      </c>
      <c r="CP1221">
        <v>10261</v>
      </c>
      <c r="CQ1221" t="s">
        <v>1425</v>
      </c>
      <c r="CR1221">
        <v>60.68</v>
      </c>
      <c r="CS1221">
        <v>76.2</v>
      </c>
      <c r="CT1221">
        <v>3.54</v>
      </c>
      <c r="CU1221">
        <v>106.43</v>
      </c>
      <c r="CV1221">
        <v>5.12</v>
      </c>
      <c r="CW1221">
        <v>0.77</v>
      </c>
      <c r="CX1221" t="s">
        <v>1462</v>
      </c>
      <c r="CY1221">
        <v>5.22</v>
      </c>
      <c r="CZ1221">
        <v>5.22</v>
      </c>
      <c r="DA1221">
        <v>1.25</v>
      </c>
      <c r="DB1221">
        <v>2.69</v>
      </c>
      <c r="DC1221">
        <v>0.17</v>
      </c>
      <c r="DD1221">
        <v>58.34</v>
      </c>
      <c r="DE1221" t="s">
        <v>3613</v>
      </c>
      <c r="DF1221">
        <v>23.42</v>
      </c>
      <c r="DG1221">
        <v>13.44</v>
      </c>
      <c r="DH1221">
        <v>11.61</v>
      </c>
      <c r="DI1221">
        <v>0.19</v>
      </c>
      <c r="DJ1221">
        <v>1196</v>
      </c>
      <c r="DK1221">
        <v>2860</v>
      </c>
      <c r="DL1221" t="s">
        <v>120</v>
      </c>
      <c r="DM1221" t="s">
        <v>120</v>
      </c>
      <c r="DN1221" t="s">
        <v>120</v>
      </c>
    </row>
    <row r="1222" spans="1:118">
      <c r="A1222" t="str">
        <f>"002861"</f>
        <v>002861</v>
      </c>
      <c r="B1222" t="s">
        <v>6702</v>
      </c>
      <c r="C1222">
        <v>0.66</v>
      </c>
      <c r="D1222">
        <v>0</v>
      </c>
      <c r="E1222">
        <v>0.41</v>
      </c>
      <c r="F1222">
        <v>526</v>
      </c>
      <c r="G1222" t="s">
        <v>6703</v>
      </c>
      <c r="H1222">
        <v>1482.55</v>
      </c>
      <c r="I1222">
        <v>0.49</v>
      </c>
      <c r="J1222" t="s">
        <v>120</v>
      </c>
      <c r="K1222" t="s">
        <v>6704</v>
      </c>
      <c r="L1222">
        <v>1.1299999999999999</v>
      </c>
      <c r="M1222">
        <v>12.23</v>
      </c>
      <c r="N1222">
        <v>1.64</v>
      </c>
      <c r="O1222">
        <v>0.66</v>
      </c>
      <c r="P1222">
        <v>12.23</v>
      </c>
      <c r="Q1222">
        <v>-0.57999999999999996</v>
      </c>
      <c r="R1222">
        <v>12.08</v>
      </c>
      <c r="S1222">
        <v>12.2</v>
      </c>
      <c r="T1222">
        <v>12186</v>
      </c>
      <c r="U1222">
        <v>12.24</v>
      </c>
      <c r="V1222">
        <v>12.15</v>
      </c>
      <c r="W1222" t="s">
        <v>120</v>
      </c>
      <c r="X1222" t="s">
        <v>462</v>
      </c>
      <c r="Y1222" t="s">
        <v>763</v>
      </c>
      <c r="Z1222">
        <v>1.23</v>
      </c>
      <c r="AA1222">
        <v>12.17</v>
      </c>
      <c r="AB1222">
        <v>6045</v>
      </c>
      <c r="AC1222">
        <v>6141</v>
      </c>
      <c r="AD1222">
        <v>0.98</v>
      </c>
      <c r="AE1222">
        <v>947</v>
      </c>
      <c r="AF1222">
        <v>36</v>
      </c>
      <c r="AG1222" t="s">
        <v>120</v>
      </c>
      <c r="AH1222">
        <v>0</v>
      </c>
      <c r="AI1222" t="s">
        <v>120</v>
      </c>
      <c r="AJ1222">
        <v>1.08</v>
      </c>
      <c r="AK1222" t="s">
        <v>6705</v>
      </c>
      <c r="AL1222">
        <v>2.57</v>
      </c>
      <c r="AM1222">
        <v>697</v>
      </c>
      <c r="AN1222">
        <v>17</v>
      </c>
      <c r="AO1222">
        <v>1.6000000000000001E-3</v>
      </c>
      <c r="AP1222">
        <v>2</v>
      </c>
      <c r="AQ1222">
        <v>0.66</v>
      </c>
      <c r="AR1222">
        <v>-0.33</v>
      </c>
      <c r="AS1222">
        <v>-3.02</v>
      </c>
      <c r="AT1222">
        <v>-19.96</v>
      </c>
      <c r="AU1222">
        <v>-20.41</v>
      </c>
      <c r="AV1222">
        <v>1</v>
      </c>
      <c r="AW1222">
        <v>1.92</v>
      </c>
      <c r="AX1222">
        <v>40.409999999999997</v>
      </c>
      <c r="AY1222">
        <v>150.19999999999999</v>
      </c>
      <c r="AZ1222">
        <v>42.4</v>
      </c>
      <c r="BA1222">
        <v>0.51</v>
      </c>
      <c r="BB1222" t="s">
        <v>125</v>
      </c>
      <c r="BF1222">
        <v>0.13</v>
      </c>
      <c r="BG1222">
        <v>0.25</v>
      </c>
      <c r="BH1222">
        <v>0</v>
      </c>
      <c r="BI1222">
        <v>1.24</v>
      </c>
      <c r="BJ1222">
        <v>20210909</v>
      </c>
      <c r="BK1222">
        <v>20170413</v>
      </c>
      <c r="BL1222">
        <v>1.57</v>
      </c>
      <c r="BM1222" t="s">
        <v>120</v>
      </c>
      <c r="BN1222" t="s">
        <v>120</v>
      </c>
      <c r="BO1222">
        <v>17.53</v>
      </c>
      <c r="BP1222">
        <v>12.23</v>
      </c>
      <c r="BQ1222">
        <v>10.56</v>
      </c>
      <c r="BR1222" t="s">
        <v>120</v>
      </c>
      <c r="BS1222">
        <v>39.74</v>
      </c>
      <c r="BT1222">
        <v>9.35</v>
      </c>
      <c r="BU1222">
        <v>4.6900000000000004</v>
      </c>
      <c r="BV1222">
        <v>1.54</v>
      </c>
      <c r="BW1222">
        <v>3.49</v>
      </c>
      <c r="BX1222">
        <v>2.2599999999999998</v>
      </c>
      <c r="BY1222">
        <v>2.44</v>
      </c>
      <c r="BZ1222">
        <v>1.86</v>
      </c>
      <c r="CA1222" t="s">
        <v>120</v>
      </c>
      <c r="CB1222">
        <v>4.28</v>
      </c>
      <c r="CC1222">
        <v>4.75</v>
      </c>
      <c r="CD1222">
        <v>3.76</v>
      </c>
      <c r="CE1222">
        <v>-0.05</v>
      </c>
      <c r="CF1222">
        <v>0.02</v>
      </c>
      <c r="CG1222">
        <v>-0.05</v>
      </c>
      <c r="CH1222">
        <v>-0.1</v>
      </c>
      <c r="CI1222">
        <v>-0.1</v>
      </c>
      <c r="CJ1222">
        <v>0.08</v>
      </c>
      <c r="CK1222">
        <v>-0.15</v>
      </c>
      <c r="CL1222">
        <v>4.49</v>
      </c>
      <c r="CM1222">
        <v>0.63</v>
      </c>
      <c r="CN1222">
        <v>-1.94</v>
      </c>
      <c r="CO1222">
        <v>13148</v>
      </c>
      <c r="CP1222">
        <v>4818</v>
      </c>
      <c r="CQ1222" t="s">
        <v>6706</v>
      </c>
      <c r="CR1222">
        <v>-143.66999999999999</v>
      </c>
      <c r="CS1222">
        <v>-10.77</v>
      </c>
      <c r="CT1222">
        <v>1.83</v>
      </c>
      <c r="CU1222">
        <v>30.38</v>
      </c>
      <c r="CV1222">
        <v>4.03</v>
      </c>
      <c r="CW1222">
        <v>0.48</v>
      </c>
      <c r="CX1222" t="s">
        <v>2044</v>
      </c>
      <c r="CY1222">
        <v>6.67</v>
      </c>
      <c r="CZ1222">
        <v>6.67</v>
      </c>
      <c r="DA1222">
        <v>2.73</v>
      </c>
      <c r="DB1222">
        <v>2.87</v>
      </c>
      <c r="DC1222">
        <v>0.4</v>
      </c>
      <c r="DD1222">
        <v>60.26</v>
      </c>
      <c r="DE1222" t="s">
        <v>605</v>
      </c>
      <c r="DF1222">
        <v>20.86</v>
      </c>
      <c r="DG1222">
        <v>-0.96</v>
      </c>
      <c r="DH1222">
        <v>-2.06</v>
      </c>
      <c r="DI1222">
        <v>0.44</v>
      </c>
      <c r="DJ1222">
        <v>2801</v>
      </c>
      <c r="DK1222">
        <v>2861</v>
      </c>
      <c r="DL1222" t="s">
        <v>120</v>
      </c>
      <c r="DM1222" t="s">
        <v>120</v>
      </c>
      <c r="DN1222" t="s">
        <v>120</v>
      </c>
    </row>
    <row r="1223" spans="1:118">
      <c r="A1223" t="str">
        <f>"002862"</f>
        <v>002862</v>
      </c>
      <c r="B1223" t="s">
        <v>6707</v>
      </c>
      <c r="C1223">
        <v>1.62</v>
      </c>
      <c r="D1223">
        <v>0</v>
      </c>
      <c r="E1223">
        <v>0.06</v>
      </c>
      <c r="F1223">
        <v>487</v>
      </c>
      <c r="G1223" t="s">
        <v>2822</v>
      </c>
      <c r="H1223">
        <v>7816.68</v>
      </c>
      <c r="I1223">
        <v>11.25</v>
      </c>
      <c r="J1223" t="s">
        <v>120</v>
      </c>
      <c r="K1223" t="s">
        <v>6708</v>
      </c>
      <c r="L1223">
        <v>5.89</v>
      </c>
      <c r="M1223">
        <v>15.65</v>
      </c>
      <c r="N1223">
        <v>1.57</v>
      </c>
      <c r="O1223">
        <v>5.13</v>
      </c>
      <c r="P1223">
        <v>16.190000000000001</v>
      </c>
      <c r="Q1223">
        <v>-1.17</v>
      </c>
      <c r="R1223">
        <v>15.22</v>
      </c>
      <c r="S1223">
        <v>15.41</v>
      </c>
      <c r="T1223">
        <v>49106</v>
      </c>
      <c r="U1223">
        <v>15.66</v>
      </c>
      <c r="V1223">
        <v>15.4</v>
      </c>
      <c r="W1223">
        <v>221.02</v>
      </c>
      <c r="X1223" t="s">
        <v>213</v>
      </c>
      <c r="Y1223" t="s">
        <v>547</v>
      </c>
      <c r="Z1223">
        <v>6.3</v>
      </c>
      <c r="AA1223">
        <v>15.92</v>
      </c>
      <c r="AB1223">
        <v>21672</v>
      </c>
      <c r="AC1223">
        <v>27434</v>
      </c>
      <c r="AD1223">
        <v>0.79</v>
      </c>
      <c r="AE1223">
        <v>165</v>
      </c>
      <c r="AF1223">
        <v>31</v>
      </c>
      <c r="AG1223" t="s">
        <v>120</v>
      </c>
      <c r="AH1223">
        <v>0.01</v>
      </c>
      <c r="AI1223" t="s">
        <v>120</v>
      </c>
      <c r="AJ1223">
        <v>0.83</v>
      </c>
      <c r="AK1223" t="s">
        <v>6709</v>
      </c>
      <c r="AL1223">
        <v>3.54</v>
      </c>
      <c r="AM1223">
        <v>2001</v>
      </c>
      <c r="AN1223">
        <v>25</v>
      </c>
      <c r="AO1223">
        <v>2.8999999999999998E-3</v>
      </c>
      <c r="AP1223">
        <v>1</v>
      </c>
      <c r="AQ1223">
        <v>-2.96</v>
      </c>
      <c r="AR1223">
        <v>1.89</v>
      </c>
      <c r="AS1223">
        <v>4.34</v>
      </c>
      <c r="AT1223">
        <v>-1.64</v>
      </c>
      <c r="AU1223">
        <v>46.27</v>
      </c>
      <c r="AV1223">
        <v>17</v>
      </c>
      <c r="AW1223">
        <v>9.85</v>
      </c>
      <c r="AX1223">
        <v>41.52</v>
      </c>
      <c r="AY1223" t="s">
        <v>120</v>
      </c>
      <c r="AZ1223" t="s">
        <v>120</v>
      </c>
      <c r="BA1223">
        <v>0.24</v>
      </c>
      <c r="BB1223" t="s">
        <v>143</v>
      </c>
      <c r="BF1223">
        <v>3.36</v>
      </c>
      <c r="BG1223">
        <v>1.56</v>
      </c>
      <c r="BH1223">
        <v>-3.34</v>
      </c>
      <c r="BI1223">
        <v>2.83</v>
      </c>
      <c r="BJ1223">
        <v>20210912</v>
      </c>
      <c r="BK1223">
        <v>20170411</v>
      </c>
      <c r="BL1223">
        <v>1.2</v>
      </c>
      <c r="BM1223" t="s">
        <v>120</v>
      </c>
      <c r="BN1223" t="s">
        <v>120</v>
      </c>
      <c r="BO1223">
        <v>6.81</v>
      </c>
      <c r="BP1223">
        <v>15.65</v>
      </c>
      <c r="BQ1223">
        <v>5.28</v>
      </c>
      <c r="BR1223" t="s">
        <v>120</v>
      </c>
      <c r="BS1223">
        <v>22.52</v>
      </c>
      <c r="BT1223">
        <v>4.18</v>
      </c>
      <c r="BU1223">
        <v>1.71</v>
      </c>
      <c r="BV1223">
        <v>0.45</v>
      </c>
      <c r="BW1223">
        <v>1.34</v>
      </c>
      <c r="BX1223">
        <v>1.29</v>
      </c>
      <c r="BY1223">
        <v>1.04</v>
      </c>
      <c r="BZ1223">
        <v>0.82</v>
      </c>
      <c r="CA1223" t="s">
        <v>120</v>
      </c>
      <c r="CB1223">
        <v>2.74</v>
      </c>
      <c r="CC1223">
        <v>1.77</v>
      </c>
      <c r="CD1223">
        <v>1.49</v>
      </c>
      <c r="CE1223">
        <v>0.05</v>
      </c>
      <c r="CF1223">
        <v>0.02</v>
      </c>
      <c r="CG1223">
        <v>0.05</v>
      </c>
      <c r="CH1223">
        <v>0.04</v>
      </c>
      <c r="CI1223">
        <v>0.04</v>
      </c>
      <c r="CJ1223">
        <v>0.25</v>
      </c>
      <c r="CK1223">
        <v>-0.01</v>
      </c>
      <c r="CL1223">
        <v>1.22</v>
      </c>
      <c r="CM1223">
        <v>-0.24</v>
      </c>
      <c r="CN1223">
        <v>-0.57999999999999996</v>
      </c>
      <c r="CO1223">
        <v>8426</v>
      </c>
      <c r="CP1223">
        <v>5914</v>
      </c>
      <c r="CQ1223" t="s">
        <v>6710</v>
      </c>
      <c r="CR1223">
        <v>126.87</v>
      </c>
      <c r="CS1223">
        <v>68.25</v>
      </c>
      <c r="CT1223">
        <v>3.56</v>
      </c>
      <c r="CU1223">
        <v>-77.36</v>
      </c>
      <c r="CV1223">
        <v>10.6</v>
      </c>
      <c r="CW1223">
        <v>0</v>
      </c>
      <c r="CX1223" t="s">
        <v>208</v>
      </c>
      <c r="CY1223">
        <v>4.4000000000000004</v>
      </c>
      <c r="CZ1223">
        <v>0</v>
      </c>
      <c r="DA1223">
        <v>2.2799999999999998</v>
      </c>
      <c r="DB1223">
        <v>1.02</v>
      </c>
      <c r="DC1223">
        <v>-0.2</v>
      </c>
      <c r="DD1223">
        <v>77.48</v>
      </c>
      <c r="DE1223" t="s">
        <v>4633</v>
      </c>
      <c r="DF1223">
        <v>15.67</v>
      </c>
      <c r="DG1223">
        <v>2.68</v>
      </c>
      <c r="DH1223">
        <v>2.4</v>
      </c>
      <c r="DI1223">
        <v>0.05</v>
      </c>
      <c r="DJ1223">
        <v>520</v>
      </c>
      <c r="DK1223">
        <v>2862</v>
      </c>
      <c r="DL1223" t="s">
        <v>120</v>
      </c>
      <c r="DM1223" t="s">
        <v>120</v>
      </c>
      <c r="DN1223" t="s">
        <v>120</v>
      </c>
    </row>
    <row r="1224" spans="1:118">
      <c r="A1224" t="str">
        <f>"002863"</f>
        <v>002863</v>
      </c>
      <c r="B1224" t="s">
        <v>6711</v>
      </c>
      <c r="C1224">
        <v>-1.47</v>
      </c>
      <c r="D1224">
        <v>0</v>
      </c>
      <c r="E1224">
        <v>-0.37</v>
      </c>
      <c r="F1224">
        <v>1563</v>
      </c>
      <c r="G1224" t="s">
        <v>2937</v>
      </c>
      <c r="H1224">
        <v>3422.43</v>
      </c>
      <c r="I1224">
        <v>27.1</v>
      </c>
      <c r="J1224" t="s">
        <v>120</v>
      </c>
      <c r="K1224" t="s">
        <v>6712</v>
      </c>
      <c r="L1224">
        <v>1.27</v>
      </c>
      <c r="M1224">
        <v>5.36</v>
      </c>
      <c r="N1224">
        <v>0.64</v>
      </c>
      <c r="O1224">
        <v>0.55000000000000004</v>
      </c>
      <c r="P1224">
        <v>5.47</v>
      </c>
      <c r="Q1224">
        <v>-2.21</v>
      </c>
      <c r="R1224">
        <v>5.32</v>
      </c>
      <c r="S1224">
        <v>5.42</v>
      </c>
      <c r="T1224">
        <v>63551</v>
      </c>
      <c r="U1224">
        <v>5.37</v>
      </c>
      <c r="V1224">
        <v>5.44</v>
      </c>
      <c r="W1224">
        <v>36.85</v>
      </c>
      <c r="X1224" t="s">
        <v>289</v>
      </c>
      <c r="Y1224" t="s">
        <v>585</v>
      </c>
      <c r="Z1224">
        <v>2.76</v>
      </c>
      <c r="AA1224">
        <v>5.39</v>
      </c>
      <c r="AB1224">
        <v>40897</v>
      </c>
      <c r="AC1224">
        <v>22654</v>
      </c>
      <c r="AD1224">
        <v>1.81</v>
      </c>
      <c r="AE1224">
        <v>2132</v>
      </c>
      <c r="AF1224">
        <v>146</v>
      </c>
      <c r="AG1224" t="s">
        <v>120</v>
      </c>
      <c r="AH1224">
        <v>0.02</v>
      </c>
      <c r="AI1224" t="s">
        <v>120</v>
      </c>
      <c r="AJ1224">
        <v>4.99</v>
      </c>
      <c r="AK1224" t="s">
        <v>6712</v>
      </c>
      <c r="AL1224">
        <v>0.44</v>
      </c>
      <c r="AM1224">
        <v>1627</v>
      </c>
      <c r="AN1224">
        <v>39</v>
      </c>
      <c r="AO1224">
        <v>8.0000000000000004E-4</v>
      </c>
      <c r="AP1224">
        <v>-1</v>
      </c>
      <c r="AQ1224">
        <v>1.87</v>
      </c>
      <c r="AR1224">
        <v>-1.66</v>
      </c>
      <c r="AS1224">
        <v>5.72</v>
      </c>
      <c r="AT1224">
        <v>5.78</v>
      </c>
      <c r="AU1224">
        <v>-4.91</v>
      </c>
      <c r="AV1224">
        <v>5</v>
      </c>
      <c r="AW1224">
        <v>2.2400000000000002</v>
      </c>
      <c r="AX1224">
        <v>56.76</v>
      </c>
      <c r="AY1224">
        <v>37.31</v>
      </c>
      <c r="AZ1224">
        <v>41.91</v>
      </c>
      <c r="BA1224">
        <v>0.44</v>
      </c>
      <c r="BB1224" t="s">
        <v>184</v>
      </c>
      <c r="BF1224">
        <v>-1.01</v>
      </c>
      <c r="BG1224">
        <v>-1.1100000000000001</v>
      </c>
      <c r="BH1224">
        <v>-2.0099999999999998</v>
      </c>
      <c r="BI1224">
        <v>0.75</v>
      </c>
      <c r="BJ1224">
        <v>20210806</v>
      </c>
      <c r="BK1224">
        <v>20170418</v>
      </c>
      <c r="BL1224">
        <v>4.99</v>
      </c>
      <c r="BM1224" t="s">
        <v>120</v>
      </c>
      <c r="BN1224" t="s">
        <v>120</v>
      </c>
      <c r="BO1224">
        <v>55.62</v>
      </c>
      <c r="BP1224">
        <v>5.36</v>
      </c>
      <c r="BQ1224">
        <v>19.05</v>
      </c>
      <c r="BR1224">
        <v>0.06</v>
      </c>
      <c r="BS1224">
        <v>65.64</v>
      </c>
      <c r="BT1224">
        <v>24.35</v>
      </c>
      <c r="BU1224">
        <v>18.149999999999999</v>
      </c>
      <c r="BV1224">
        <v>2.61</v>
      </c>
      <c r="BW1224">
        <v>30.73</v>
      </c>
      <c r="BX1224">
        <v>4.17</v>
      </c>
      <c r="BY1224">
        <v>12.78</v>
      </c>
      <c r="BZ1224">
        <v>3.77</v>
      </c>
      <c r="CA1224">
        <v>0.25</v>
      </c>
      <c r="CB1224">
        <v>8.08</v>
      </c>
      <c r="CC1224">
        <v>17.37</v>
      </c>
      <c r="CD1224">
        <v>14.83</v>
      </c>
      <c r="CE1224">
        <v>0.41</v>
      </c>
      <c r="CF1224">
        <v>0</v>
      </c>
      <c r="CG1224">
        <v>0.38</v>
      </c>
      <c r="CH1224">
        <v>0.37</v>
      </c>
      <c r="CI1224">
        <v>0.36</v>
      </c>
      <c r="CJ1224">
        <v>-0.08</v>
      </c>
      <c r="CK1224">
        <v>0.19</v>
      </c>
      <c r="CL1224">
        <v>5.33</v>
      </c>
      <c r="CM1224">
        <v>2.11</v>
      </c>
      <c r="CN1224">
        <v>-2.17</v>
      </c>
      <c r="CO1224">
        <v>30499</v>
      </c>
      <c r="CP1224">
        <v>9282</v>
      </c>
      <c r="CQ1224" t="s">
        <v>6713</v>
      </c>
      <c r="CR1224">
        <v>28.27</v>
      </c>
      <c r="CS1224">
        <v>34.46</v>
      </c>
      <c r="CT1224">
        <v>1.42</v>
      </c>
      <c r="CU1224">
        <v>12.67</v>
      </c>
      <c r="CV1224">
        <v>1.54</v>
      </c>
      <c r="CW1224">
        <v>0.24</v>
      </c>
      <c r="CX1224" t="s">
        <v>679</v>
      </c>
      <c r="CY1224">
        <v>3.78</v>
      </c>
      <c r="CZ1224">
        <v>3.78</v>
      </c>
      <c r="DA1224">
        <v>1.62</v>
      </c>
      <c r="DB1224">
        <v>1.07</v>
      </c>
      <c r="DC1224">
        <v>0.42</v>
      </c>
      <c r="DD1224">
        <v>34.25</v>
      </c>
      <c r="DE1224" t="s">
        <v>5446</v>
      </c>
      <c r="DF1224">
        <v>14.63</v>
      </c>
      <c r="DG1224">
        <v>2.37</v>
      </c>
      <c r="DH1224">
        <v>2.09</v>
      </c>
      <c r="DI1224">
        <v>0.64</v>
      </c>
      <c r="DJ1224">
        <v>3952</v>
      </c>
      <c r="DK1224">
        <v>2863</v>
      </c>
      <c r="DL1224" t="s">
        <v>120</v>
      </c>
      <c r="DM1224" t="s">
        <v>120</v>
      </c>
      <c r="DN1224" t="s">
        <v>120</v>
      </c>
    </row>
    <row r="1225" spans="1:118">
      <c r="A1225" t="str">
        <f>"002864"</f>
        <v>002864</v>
      </c>
      <c r="B1225" t="s">
        <v>6714</v>
      </c>
      <c r="C1225">
        <v>-0.55000000000000004</v>
      </c>
      <c r="D1225">
        <v>0.09</v>
      </c>
      <c r="E1225">
        <v>-0.13</v>
      </c>
      <c r="F1225">
        <v>36</v>
      </c>
      <c r="G1225" t="s">
        <v>6715</v>
      </c>
      <c r="H1225">
        <v>1666.29</v>
      </c>
      <c r="I1225">
        <v>1.41</v>
      </c>
      <c r="J1225" t="s">
        <v>120</v>
      </c>
      <c r="K1225" t="s">
        <v>6716</v>
      </c>
      <c r="L1225">
        <v>1.28</v>
      </c>
      <c r="M1225">
        <v>23.36</v>
      </c>
      <c r="N1225">
        <v>0.76</v>
      </c>
      <c r="O1225">
        <v>1.1499999999999999</v>
      </c>
      <c r="P1225">
        <v>23.76</v>
      </c>
      <c r="Q1225">
        <v>-0.85</v>
      </c>
      <c r="R1225">
        <v>23.29</v>
      </c>
      <c r="S1225">
        <v>23.46</v>
      </c>
      <c r="T1225">
        <v>7088</v>
      </c>
      <c r="U1225">
        <v>23.4</v>
      </c>
      <c r="V1225">
        <v>23.49</v>
      </c>
      <c r="W1225">
        <v>23.86</v>
      </c>
      <c r="X1225" t="s">
        <v>771</v>
      </c>
      <c r="Y1225" t="s">
        <v>890</v>
      </c>
      <c r="Z1225">
        <v>2</v>
      </c>
      <c r="AA1225">
        <v>23.51</v>
      </c>
      <c r="AB1225">
        <v>3465</v>
      </c>
      <c r="AC1225">
        <v>3623</v>
      </c>
      <c r="AD1225">
        <v>0.96</v>
      </c>
      <c r="AE1225">
        <v>12</v>
      </c>
      <c r="AF1225">
        <v>39</v>
      </c>
      <c r="AG1225" t="s">
        <v>120</v>
      </c>
      <c r="AH1225">
        <v>0</v>
      </c>
      <c r="AI1225" t="s">
        <v>120</v>
      </c>
      <c r="AJ1225">
        <v>0.55000000000000004</v>
      </c>
      <c r="AK1225" t="s">
        <v>6717</v>
      </c>
      <c r="AL1225">
        <v>1.36</v>
      </c>
      <c r="AM1225">
        <v>732</v>
      </c>
      <c r="AN1225">
        <v>10</v>
      </c>
      <c r="AO1225">
        <v>1.8E-3</v>
      </c>
      <c r="AP1225">
        <v>-2</v>
      </c>
      <c r="AQ1225">
        <v>-0.84</v>
      </c>
      <c r="AR1225">
        <v>-0.42</v>
      </c>
      <c r="AS1225">
        <v>3.96</v>
      </c>
      <c r="AT1225">
        <v>-0.51</v>
      </c>
      <c r="AU1225">
        <v>-6.45</v>
      </c>
      <c r="AV1225">
        <v>0</v>
      </c>
      <c r="AW1225">
        <v>1.56</v>
      </c>
      <c r="AX1225">
        <v>52.59</v>
      </c>
      <c r="AY1225">
        <v>22.85</v>
      </c>
      <c r="AZ1225">
        <v>25.73</v>
      </c>
      <c r="BA1225">
        <v>0.42</v>
      </c>
      <c r="BB1225" t="s">
        <v>125</v>
      </c>
      <c r="BF1225">
        <v>0.08</v>
      </c>
      <c r="BG1225">
        <v>-0.43</v>
      </c>
      <c r="BH1225">
        <v>-1.68</v>
      </c>
      <c r="BI1225">
        <v>0.3</v>
      </c>
      <c r="BJ1225">
        <v>20210903</v>
      </c>
      <c r="BK1225">
        <v>20171116</v>
      </c>
      <c r="BL1225">
        <v>0.87</v>
      </c>
      <c r="BM1225" t="s">
        <v>120</v>
      </c>
      <c r="BN1225" t="s">
        <v>120</v>
      </c>
      <c r="BO1225">
        <v>12.38</v>
      </c>
      <c r="BP1225">
        <v>23.36</v>
      </c>
      <c r="BQ1225">
        <v>7.4</v>
      </c>
      <c r="BR1225">
        <v>0.16</v>
      </c>
      <c r="BS1225">
        <v>38.869999999999997</v>
      </c>
      <c r="BT1225">
        <v>9.0399999999999991</v>
      </c>
      <c r="BU1225">
        <v>1.1399999999999999</v>
      </c>
      <c r="BV1225">
        <v>0.56999999999999995</v>
      </c>
      <c r="BW1225">
        <v>4.03</v>
      </c>
      <c r="BX1225">
        <v>3.96</v>
      </c>
      <c r="BY1225">
        <v>0.66</v>
      </c>
      <c r="BZ1225">
        <v>3.63</v>
      </c>
      <c r="CA1225">
        <v>0</v>
      </c>
      <c r="CB1225">
        <v>2.71</v>
      </c>
      <c r="CC1225">
        <v>4.0199999999999996</v>
      </c>
      <c r="CD1225">
        <v>1.62</v>
      </c>
      <c r="CE1225">
        <v>0.54</v>
      </c>
      <c r="CF1225">
        <v>0</v>
      </c>
      <c r="CG1225">
        <v>0.5</v>
      </c>
      <c r="CH1225">
        <v>0.43</v>
      </c>
      <c r="CI1225">
        <v>0.42</v>
      </c>
      <c r="CJ1225">
        <v>-0.13</v>
      </c>
      <c r="CK1225">
        <v>0.44</v>
      </c>
      <c r="CL1225">
        <v>3.73</v>
      </c>
      <c r="CM1225">
        <v>0.38</v>
      </c>
      <c r="CN1225">
        <v>0.14000000000000001</v>
      </c>
      <c r="CO1225">
        <v>15365</v>
      </c>
      <c r="CP1225">
        <v>2966</v>
      </c>
      <c r="CQ1225" t="s">
        <v>6439</v>
      </c>
      <c r="CR1225">
        <v>30.75</v>
      </c>
      <c r="CS1225">
        <v>68.91</v>
      </c>
      <c r="CT1225">
        <v>2.73</v>
      </c>
      <c r="CU1225">
        <v>53.86</v>
      </c>
      <c r="CV1225">
        <v>5.04</v>
      </c>
      <c r="CW1225">
        <v>0.63</v>
      </c>
      <c r="CX1225" t="s">
        <v>550</v>
      </c>
      <c r="CY1225">
        <v>8.5399999999999991</v>
      </c>
      <c r="CZ1225">
        <v>0</v>
      </c>
      <c r="DA1225">
        <v>3.13</v>
      </c>
      <c r="DB1225">
        <v>4.3</v>
      </c>
      <c r="DC1225">
        <v>0.43</v>
      </c>
      <c r="DD1225">
        <v>59.81</v>
      </c>
      <c r="DE1225" t="s">
        <v>6718</v>
      </c>
      <c r="DF1225">
        <v>59.62</v>
      </c>
      <c r="DG1225">
        <v>13.33</v>
      </c>
      <c r="DH1225">
        <v>10.57</v>
      </c>
      <c r="DI1225">
        <v>0.03</v>
      </c>
      <c r="DJ1225">
        <v>859</v>
      </c>
      <c r="DK1225">
        <v>2864</v>
      </c>
      <c r="DL1225" t="s">
        <v>120</v>
      </c>
      <c r="DM1225" t="s">
        <v>120</v>
      </c>
      <c r="DN1225" t="s">
        <v>120</v>
      </c>
    </row>
    <row r="1226" spans="1:118">
      <c r="A1226" t="str">
        <f>"002865"</f>
        <v>002865</v>
      </c>
      <c r="B1226" t="s">
        <v>6719</v>
      </c>
      <c r="C1226">
        <v>10</v>
      </c>
      <c r="D1226">
        <v>0</v>
      </c>
      <c r="E1226">
        <v>0</v>
      </c>
      <c r="F1226">
        <v>236</v>
      </c>
      <c r="G1226" t="s">
        <v>6720</v>
      </c>
      <c r="H1226">
        <v>26591.94</v>
      </c>
      <c r="I1226">
        <v>29.77</v>
      </c>
      <c r="J1226">
        <v>64.53</v>
      </c>
      <c r="K1226" t="s">
        <v>6721</v>
      </c>
      <c r="L1226">
        <v>6.57</v>
      </c>
      <c r="M1226">
        <v>31.79</v>
      </c>
      <c r="N1226">
        <v>3.24</v>
      </c>
      <c r="O1226">
        <v>10</v>
      </c>
      <c r="P1226">
        <v>31.79</v>
      </c>
      <c r="Q1226">
        <v>-7.0000000000000007E-2</v>
      </c>
      <c r="R1226">
        <v>28.88</v>
      </c>
      <c r="S1226">
        <v>28.9</v>
      </c>
      <c r="T1226">
        <v>84797</v>
      </c>
      <c r="U1226" t="s">
        <v>120</v>
      </c>
      <c r="V1226">
        <v>28.9</v>
      </c>
      <c r="W1226" t="s">
        <v>120</v>
      </c>
      <c r="X1226" t="s">
        <v>289</v>
      </c>
      <c r="Y1226" t="s">
        <v>835</v>
      </c>
      <c r="Z1226">
        <v>10.07</v>
      </c>
      <c r="AA1226">
        <v>31.36</v>
      </c>
      <c r="AB1226">
        <v>48487</v>
      </c>
      <c r="AC1226">
        <v>36310</v>
      </c>
      <c r="AD1226">
        <v>1.34</v>
      </c>
      <c r="AE1226">
        <v>203</v>
      </c>
      <c r="AF1226">
        <v>0</v>
      </c>
      <c r="AG1226" t="s">
        <v>120</v>
      </c>
      <c r="AH1226">
        <v>0.02</v>
      </c>
      <c r="AI1226">
        <v>0</v>
      </c>
      <c r="AJ1226">
        <v>1.29</v>
      </c>
      <c r="AK1226" t="s">
        <v>5264</v>
      </c>
      <c r="AL1226">
        <v>11.91</v>
      </c>
      <c r="AM1226">
        <v>2308</v>
      </c>
      <c r="AN1226">
        <v>37</v>
      </c>
      <c r="AO1226">
        <v>2.8E-3</v>
      </c>
      <c r="AP1226">
        <v>2</v>
      </c>
      <c r="AQ1226">
        <v>5.74</v>
      </c>
      <c r="AR1226">
        <v>11.93</v>
      </c>
      <c r="AS1226">
        <v>14.43</v>
      </c>
      <c r="AT1226">
        <v>63.87</v>
      </c>
      <c r="AU1226">
        <v>77.89</v>
      </c>
      <c r="AV1226">
        <v>7</v>
      </c>
      <c r="AW1226">
        <v>16.809999999999999</v>
      </c>
      <c r="AX1226">
        <v>37.99</v>
      </c>
      <c r="AY1226" t="s">
        <v>120</v>
      </c>
      <c r="AZ1226">
        <v>283.27</v>
      </c>
      <c r="BA1226">
        <v>0.23</v>
      </c>
      <c r="BB1226" t="s">
        <v>143</v>
      </c>
      <c r="BF1226">
        <v>8.51</v>
      </c>
      <c r="BG1226">
        <v>10</v>
      </c>
      <c r="BH1226">
        <v>0</v>
      </c>
      <c r="BI1226">
        <v>10.08</v>
      </c>
      <c r="BJ1226">
        <v>20210913</v>
      </c>
      <c r="BK1226">
        <v>20170425</v>
      </c>
      <c r="BL1226">
        <v>1.33</v>
      </c>
      <c r="BM1226" t="s">
        <v>120</v>
      </c>
      <c r="BN1226" t="s">
        <v>120</v>
      </c>
      <c r="BO1226">
        <v>19.54</v>
      </c>
      <c r="BP1226">
        <v>31.79</v>
      </c>
      <c r="BQ1226">
        <v>10.58</v>
      </c>
      <c r="BR1226" t="s">
        <v>120</v>
      </c>
      <c r="BS1226">
        <v>45.85</v>
      </c>
      <c r="BT1226">
        <v>7.84</v>
      </c>
      <c r="BU1226">
        <v>4.32</v>
      </c>
      <c r="BV1226">
        <v>1.4</v>
      </c>
      <c r="BW1226">
        <v>6.48</v>
      </c>
      <c r="BX1226">
        <v>1.52</v>
      </c>
      <c r="BY1226">
        <v>3.01</v>
      </c>
      <c r="BZ1226">
        <v>2.1800000000000002</v>
      </c>
      <c r="CA1226" t="s">
        <v>120</v>
      </c>
      <c r="CB1226">
        <v>5.7</v>
      </c>
      <c r="CC1226">
        <v>5.95</v>
      </c>
      <c r="CD1226">
        <v>4.6100000000000003</v>
      </c>
      <c r="CE1226">
        <v>-0.37</v>
      </c>
      <c r="CF1226">
        <v>0</v>
      </c>
      <c r="CG1226">
        <v>-0.37</v>
      </c>
      <c r="CH1226">
        <v>-0.35</v>
      </c>
      <c r="CI1226">
        <v>-0.35</v>
      </c>
      <c r="CJ1226">
        <v>2.89</v>
      </c>
      <c r="CK1226">
        <v>-0.36</v>
      </c>
      <c r="CL1226">
        <v>3.05</v>
      </c>
      <c r="CM1226">
        <v>-0.27</v>
      </c>
      <c r="CN1226">
        <v>-1.86</v>
      </c>
      <c r="CO1226">
        <v>7572</v>
      </c>
      <c r="CP1226">
        <v>6662</v>
      </c>
      <c r="CQ1226" t="s">
        <v>6722</v>
      </c>
      <c r="CR1226">
        <v>-1132.51</v>
      </c>
      <c r="CS1226">
        <v>92.74</v>
      </c>
      <c r="CT1226">
        <v>4.07</v>
      </c>
      <c r="CU1226">
        <v>-158.4</v>
      </c>
      <c r="CV1226">
        <v>7.1</v>
      </c>
      <c r="CW1226">
        <v>0.17</v>
      </c>
      <c r="CX1226" t="s">
        <v>6723</v>
      </c>
      <c r="CY1226">
        <v>7.8</v>
      </c>
      <c r="CZ1226">
        <v>7.8</v>
      </c>
      <c r="DA1226">
        <v>4.29</v>
      </c>
      <c r="DB1226">
        <v>2.2999999999999998</v>
      </c>
      <c r="DC1226">
        <v>-0.2</v>
      </c>
      <c r="DD1226">
        <v>54.15</v>
      </c>
      <c r="DE1226" t="s">
        <v>6724</v>
      </c>
      <c r="DF1226">
        <v>22.57</v>
      </c>
      <c r="DG1226">
        <v>-6.21</v>
      </c>
      <c r="DH1226">
        <v>-5.84</v>
      </c>
      <c r="DI1226">
        <v>0.3</v>
      </c>
      <c r="DJ1226">
        <v>1738</v>
      </c>
      <c r="DK1226">
        <v>2865</v>
      </c>
      <c r="DL1226" t="s">
        <v>120</v>
      </c>
      <c r="DM1226" t="s">
        <v>120</v>
      </c>
      <c r="DN1226" t="s">
        <v>120</v>
      </c>
    </row>
    <row r="1227" spans="1:118">
      <c r="A1227" t="str">
        <f>"002866"</f>
        <v>002866</v>
      </c>
      <c r="B1227" t="s">
        <v>6725</v>
      </c>
      <c r="C1227">
        <v>0.6</v>
      </c>
      <c r="D1227">
        <v>0.3</v>
      </c>
      <c r="E1227">
        <v>0.98</v>
      </c>
      <c r="F1227">
        <v>415</v>
      </c>
      <c r="G1227" t="s">
        <v>4340</v>
      </c>
      <c r="H1227">
        <v>3112.01</v>
      </c>
      <c r="I1227">
        <v>11.52</v>
      </c>
      <c r="J1227" t="s">
        <v>120</v>
      </c>
      <c r="K1227" t="s">
        <v>6726</v>
      </c>
      <c r="L1227">
        <v>1.36</v>
      </c>
      <c r="M1227">
        <v>13.35</v>
      </c>
      <c r="N1227">
        <v>0.98</v>
      </c>
      <c r="O1227">
        <v>2.0299999999999998</v>
      </c>
      <c r="P1227">
        <v>13.54</v>
      </c>
      <c r="Q1227">
        <v>0</v>
      </c>
      <c r="R1227">
        <v>13.27</v>
      </c>
      <c r="S1227">
        <v>13.4</v>
      </c>
      <c r="T1227">
        <v>23280</v>
      </c>
      <c r="U1227">
        <v>13.36</v>
      </c>
      <c r="V1227">
        <v>13.27</v>
      </c>
      <c r="W1227">
        <v>17.89</v>
      </c>
      <c r="X1227" t="s">
        <v>238</v>
      </c>
      <c r="Y1227" t="s">
        <v>319</v>
      </c>
      <c r="Z1227">
        <v>2.0299999999999998</v>
      </c>
      <c r="AA1227">
        <v>13.37</v>
      </c>
      <c r="AB1227">
        <v>11999</v>
      </c>
      <c r="AC1227">
        <v>11281</v>
      </c>
      <c r="AD1227">
        <v>1.06</v>
      </c>
      <c r="AE1227">
        <v>28</v>
      </c>
      <c r="AF1227">
        <v>189</v>
      </c>
      <c r="AG1227" t="s">
        <v>120</v>
      </c>
      <c r="AH1227">
        <v>0.01</v>
      </c>
      <c r="AI1227" t="s">
        <v>120</v>
      </c>
      <c r="AJ1227">
        <v>1.71</v>
      </c>
      <c r="AK1227" t="s">
        <v>6727</v>
      </c>
      <c r="AL1227">
        <v>2.52</v>
      </c>
      <c r="AM1227">
        <v>1242</v>
      </c>
      <c r="AN1227">
        <v>19</v>
      </c>
      <c r="AO1227">
        <v>1.1000000000000001E-3</v>
      </c>
      <c r="AP1227">
        <v>2</v>
      </c>
      <c r="AQ1227">
        <v>0.61</v>
      </c>
      <c r="AR1227">
        <v>-1.25</v>
      </c>
      <c r="AS1227">
        <v>1.22</v>
      </c>
      <c r="AT1227">
        <v>-5.73</v>
      </c>
      <c r="AU1227">
        <v>-24.01</v>
      </c>
      <c r="AV1227">
        <v>1</v>
      </c>
      <c r="AW1227">
        <v>1.75</v>
      </c>
      <c r="AX1227">
        <v>46.35</v>
      </c>
      <c r="AY1227">
        <v>23.81</v>
      </c>
      <c r="AZ1227">
        <v>28.26</v>
      </c>
      <c r="BA1227">
        <v>0.3</v>
      </c>
      <c r="BB1227" t="s">
        <v>125</v>
      </c>
      <c r="BF1227">
        <v>0.74</v>
      </c>
      <c r="BG1227">
        <v>-0.37</v>
      </c>
      <c r="BH1227">
        <v>-1.4</v>
      </c>
      <c r="BI1227">
        <v>0.6</v>
      </c>
      <c r="BJ1227">
        <v>20210913</v>
      </c>
      <c r="BK1227">
        <v>20170426</v>
      </c>
      <c r="BL1227">
        <v>2.88</v>
      </c>
      <c r="BM1227" t="s">
        <v>120</v>
      </c>
      <c r="BN1227" t="s">
        <v>120</v>
      </c>
      <c r="BO1227">
        <v>30.63</v>
      </c>
      <c r="BP1227">
        <v>13.35</v>
      </c>
      <c r="BQ1227">
        <v>18.71</v>
      </c>
      <c r="BR1227" t="s">
        <v>120</v>
      </c>
      <c r="BS1227">
        <v>38.9</v>
      </c>
      <c r="BT1227">
        <v>22.29</v>
      </c>
      <c r="BU1227">
        <v>4.51</v>
      </c>
      <c r="BV1227">
        <v>0.25</v>
      </c>
      <c r="BW1227">
        <v>11.75</v>
      </c>
      <c r="BX1227">
        <v>5.61</v>
      </c>
      <c r="BY1227">
        <v>4.26</v>
      </c>
      <c r="BZ1227">
        <v>6.13</v>
      </c>
      <c r="CA1227" t="s">
        <v>120</v>
      </c>
      <c r="CB1227">
        <v>10.17</v>
      </c>
      <c r="CC1227">
        <v>9.44</v>
      </c>
      <c r="CD1227">
        <v>7.27</v>
      </c>
      <c r="CE1227">
        <v>1.2</v>
      </c>
      <c r="CF1227">
        <v>0.16</v>
      </c>
      <c r="CG1227">
        <v>1.2</v>
      </c>
      <c r="CH1227">
        <v>1.07</v>
      </c>
      <c r="CI1227">
        <v>1.07</v>
      </c>
      <c r="CJ1227">
        <v>0.08</v>
      </c>
      <c r="CK1227">
        <v>0.89</v>
      </c>
      <c r="CL1227">
        <v>5.38</v>
      </c>
      <c r="CM1227">
        <v>1.66</v>
      </c>
      <c r="CN1227">
        <v>0.2</v>
      </c>
      <c r="CO1227">
        <v>17227</v>
      </c>
      <c r="CP1227">
        <v>7740</v>
      </c>
      <c r="CQ1227" t="s">
        <v>6728</v>
      </c>
      <c r="CR1227">
        <v>30.68</v>
      </c>
      <c r="CS1227">
        <v>21.17</v>
      </c>
      <c r="CT1227">
        <v>2.0499999999999998</v>
      </c>
      <c r="CU1227">
        <v>23.07</v>
      </c>
      <c r="CV1227">
        <v>4.07</v>
      </c>
      <c r="CW1227">
        <v>0.75</v>
      </c>
      <c r="CX1227" t="s">
        <v>709</v>
      </c>
      <c r="CY1227">
        <v>6.51</v>
      </c>
      <c r="CZ1227">
        <v>0</v>
      </c>
      <c r="DA1227">
        <v>3.53</v>
      </c>
      <c r="DB1227">
        <v>1.87</v>
      </c>
      <c r="DC1227">
        <v>0.57999999999999996</v>
      </c>
      <c r="DD1227">
        <v>61.1</v>
      </c>
      <c r="DE1227" t="s">
        <v>6729</v>
      </c>
      <c r="DF1227">
        <v>22.99</v>
      </c>
      <c r="DG1227">
        <v>12.71</v>
      </c>
      <c r="DH1227">
        <v>11.37</v>
      </c>
      <c r="DI1227">
        <v>0.37</v>
      </c>
      <c r="DJ1227">
        <v>2008</v>
      </c>
      <c r="DK1227">
        <v>2866</v>
      </c>
      <c r="DL1227" t="s">
        <v>120</v>
      </c>
      <c r="DM1227" t="s">
        <v>120</v>
      </c>
      <c r="DN1227" t="s">
        <v>120</v>
      </c>
    </row>
    <row r="1228" spans="1:118">
      <c r="A1228" t="str">
        <f>"002867"</f>
        <v>002867</v>
      </c>
      <c r="B1228" t="s">
        <v>6730</v>
      </c>
      <c r="C1228">
        <v>-0.41</v>
      </c>
      <c r="D1228">
        <v>-0.04</v>
      </c>
      <c r="E1228">
        <v>0</v>
      </c>
      <c r="F1228">
        <v>506</v>
      </c>
      <c r="G1228" t="s">
        <v>6731</v>
      </c>
      <c r="H1228">
        <v>12196.67</v>
      </c>
      <c r="I1228">
        <v>450.87</v>
      </c>
      <c r="J1228" t="s">
        <v>120</v>
      </c>
      <c r="K1228" t="s">
        <v>6732</v>
      </c>
      <c r="L1228">
        <v>0.59</v>
      </c>
      <c r="M1228">
        <v>19.350000000000001</v>
      </c>
      <c r="N1228">
        <v>0.75</v>
      </c>
      <c r="O1228">
        <v>0.77</v>
      </c>
      <c r="P1228">
        <v>19.579999999999998</v>
      </c>
      <c r="Q1228">
        <v>-1.39</v>
      </c>
      <c r="R1228">
        <v>19.16</v>
      </c>
      <c r="S1228">
        <v>19.43</v>
      </c>
      <c r="T1228">
        <v>62942</v>
      </c>
      <c r="U1228">
        <v>19.36</v>
      </c>
      <c r="V1228">
        <v>19.43</v>
      </c>
      <c r="W1228">
        <v>17.39</v>
      </c>
      <c r="X1228" t="s">
        <v>2806</v>
      </c>
      <c r="Y1228" t="s">
        <v>123</v>
      </c>
      <c r="Z1228">
        <v>2.16</v>
      </c>
      <c r="AA1228">
        <v>19.38</v>
      </c>
      <c r="AB1228">
        <v>33279</v>
      </c>
      <c r="AC1228">
        <v>29663</v>
      </c>
      <c r="AD1228">
        <v>1.1200000000000001</v>
      </c>
      <c r="AE1228">
        <v>5</v>
      </c>
      <c r="AF1228">
        <v>146</v>
      </c>
      <c r="AG1228" t="s">
        <v>120</v>
      </c>
      <c r="AH1228">
        <v>0.06</v>
      </c>
      <c r="AI1228" t="s">
        <v>120</v>
      </c>
      <c r="AJ1228">
        <v>10.73</v>
      </c>
      <c r="AK1228" t="s">
        <v>6733</v>
      </c>
      <c r="AL1228">
        <v>1.5</v>
      </c>
      <c r="AM1228">
        <v>3086</v>
      </c>
      <c r="AN1228">
        <v>20</v>
      </c>
      <c r="AO1228">
        <v>2.0000000000000001E-4</v>
      </c>
      <c r="AP1228">
        <v>-4</v>
      </c>
      <c r="AQ1228">
        <v>-1.77</v>
      </c>
      <c r="AR1228">
        <v>-5.33</v>
      </c>
      <c r="AS1228">
        <v>5.27</v>
      </c>
      <c r="AT1228">
        <v>12.5</v>
      </c>
      <c r="AU1228">
        <v>11.42</v>
      </c>
      <c r="AV1228">
        <v>3</v>
      </c>
      <c r="AW1228">
        <v>1.63</v>
      </c>
      <c r="AX1228">
        <v>35.15</v>
      </c>
      <c r="AY1228">
        <v>16.48</v>
      </c>
      <c r="AZ1228">
        <v>21.02</v>
      </c>
      <c r="BA1228">
        <v>0.67</v>
      </c>
      <c r="BB1228" t="s">
        <v>143</v>
      </c>
      <c r="BF1228">
        <v>-0.27</v>
      </c>
      <c r="BG1228">
        <v>-0.41</v>
      </c>
      <c r="BH1228">
        <v>-1.17</v>
      </c>
      <c r="BI1228">
        <v>0.99</v>
      </c>
      <c r="BJ1228">
        <v>20210831</v>
      </c>
      <c r="BK1228">
        <v>20170427</v>
      </c>
      <c r="BL1228">
        <v>10.96</v>
      </c>
      <c r="BM1228" t="s">
        <v>120</v>
      </c>
      <c r="BN1228" t="s">
        <v>120</v>
      </c>
      <c r="BO1228">
        <v>67.239999999999995</v>
      </c>
      <c r="BP1228">
        <v>19.350000000000001</v>
      </c>
      <c r="BQ1228">
        <v>55.76</v>
      </c>
      <c r="BR1228">
        <v>0.04</v>
      </c>
      <c r="BS1228">
        <v>17.010000000000002</v>
      </c>
      <c r="BT1228">
        <v>46.71</v>
      </c>
      <c r="BU1228">
        <v>0.24</v>
      </c>
      <c r="BV1228">
        <v>4.17</v>
      </c>
      <c r="BW1228">
        <v>10.36</v>
      </c>
      <c r="BX1228">
        <v>10.6</v>
      </c>
      <c r="BY1228">
        <v>27.94</v>
      </c>
      <c r="BZ1228">
        <v>1.77</v>
      </c>
      <c r="CA1228">
        <v>0.52</v>
      </c>
      <c r="CB1228">
        <v>13.33</v>
      </c>
      <c r="CC1228">
        <v>27.89</v>
      </c>
      <c r="CD1228">
        <v>16.600000000000001</v>
      </c>
      <c r="CE1228">
        <v>7.87</v>
      </c>
      <c r="CF1228">
        <v>0.05</v>
      </c>
      <c r="CG1228">
        <v>7.93</v>
      </c>
      <c r="CH1228">
        <v>6.1</v>
      </c>
      <c r="CI1228">
        <v>6.1</v>
      </c>
      <c r="CJ1228">
        <v>-0.08</v>
      </c>
      <c r="CK1228">
        <v>5.81</v>
      </c>
      <c r="CL1228">
        <v>28.22</v>
      </c>
      <c r="CM1228">
        <v>-0.42</v>
      </c>
      <c r="CN1228">
        <v>-6.21</v>
      </c>
      <c r="CO1228">
        <v>31611</v>
      </c>
      <c r="CP1228">
        <v>12189</v>
      </c>
      <c r="CQ1228" t="s">
        <v>6734</v>
      </c>
      <c r="CR1228">
        <v>84.52</v>
      </c>
      <c r="CS1228">
        <v>66.67</v>
      </c>
      <c r="CT1228">
        <v>3.8</v>
      </c>
      <c r="CU1228">
        <v>-510.55</v>
      </c>
      <c r="CV1228">
        <v>7.61</v>
      </c>
      <c r="CW1228">
        <v>3.6</v>
      </c>
      <c r="CX1228" t="s">
        <v>1426</v>
      </c>
      <c r="CY1228">
        <v>5.09</v>
      </c>
      <c r="CZ1228">
        <v>0</v>
      </c>
      <c r="DA1228">
        <v>1.22</v>
      </c>
      <c r="DB1228">
        <v>2.57</v>
      </c>
      <c r="DC1228">
        <v>-0.04</v>
      </c>
      <c r="DD1228">
        <v>82.93</v>
      </c>
      <c r="DE1228" t="s">
        <v>6735</v>
      </c>
      <c r="DF1228">
        <v>40.46</v>
      </c>
      <c r="DG1228">
        <v>28.23</v>
      </c>
      <c r="DH1228">
        <v>21.87</v>
      </c>
      <c r="DI1228">
        <v>0.06</v>
      </c>
      <c r="DJ1228">
        <v>3068</v>
      </c>
      <c r="DK1228">
        <v>2867</v>
      </c>
      <c r="DL1228" t="s">
        <v>120</v>
      </c>
      <c r="DM1228" t="s">
        <v>120</v>
      </c>
      <c r="DN1228" t="s">
        <v>120</v>
      </c>
    </row>
    <row r="1229" spans="1:118">
      <c r="A1229" t="str">
        <f>"002868"</f>
        <v>002868</v>
      </c>
      <c r="B1229" t="s">
        <v>6736</v>
      </c>
      <c r="C1229">
        <v>-0.65</v>
      </c>
      <c r="D1229">
        <v>-0.18</v>
      </c>
      <c r="E1229">
        <v>0.37</v>
      </c>
      <c r="F1229">
        <v>223</v>
      </c>
      <c r="G1229" t="s">
        <v>6737</v>
      </c>
      <c r="H1229">
        <v>827.89</v>
      </c>
      <c r="I1229">
        <v>0</v>
      </c>
      <c r="J1229" t="s">
        <v>120</v>
      </c>
      <c r="K1229" t="s">
        <v>6738</v>
      </c>
      <c r="L1229">
        <v>0.49</v>
      </c>
      <c r="M1229">
        <v>10.66</v>
      </c>
      <c r="N1229">
        <v>1.87</v>
      </c>
      <c r="O1229">
        <v>2.33</v>
      </c>
      <c r="P1229">
        <v>10.98</v>
      </c>
      <c r="Q1229">
        <v>-0.65</v>
      </c>
      <c r="R1229">
        <v>10.66</v>
      </c>
      <c r="S1229">
        <v>10.77</v>
      </c>
      <c r="T1229">
        <v>7643</v>
      </c>
      <c r="U1229">
        <v>10.68</v>
      </c>
      <c r="V1229">
        <v>10.73</v>
      </c>
      <c r="W1229">
        <v>126.18</v>
      </c>
      <c r="X1229" t="s">
        <v>447</v>
      </c>
      <c r="Y1229" t="s">
        <v>937</v>
      </c>
      <c r="Z1229">
        <v>2.98</v>
      </c>
      <c r="AA1229">
        <v>10.83</v>
      </c>
      <c r="AB1229">
        <v>3922</v>
      </c>
      <c r="AC1229">
        <v>3721</v>
      </c>
      <c r="AD1229">
        <v>1.05</v>
      </c>
      <c r="AE1229">
        <v>36</v>
      </c>
      <c r="AF1229">
        <v>4</v>
      </c>
      <c r="AG1229" t="s">
        <v>120</v>
      </c>
      <c r="AH1229">
        <v>0</v>
      </c>
      <c r="AI1229" t="s">
        <v>120</v>
      </c>
      <c r="AJ1229">
        <v>1.55</v>
      </c>
      <c r="AK1229" t="s">
        <v>6738</v>
      </c>
      <c r="AL1229">
        <v>1.26</v>
      </c>
      <c r="AM1229">
        <v>554</v>
      </c>
      <c r="AN1229">
        <v>14</v>
      </c>
      <c r="AO1229">
        <v>8.9999999999999998E-4</v>
      </c>
      <c r="AP1229">
        <v>-1</v>
      </c>
      <c r="AQ1229">
        <v>0.66</v>
      </c>
      <c r="AR1229">
        <v>-1.39</v>
      </c>
      <c r="AS1229">
        <v>1.05</v>
      </c>
      <c r="AT1229">
        <v>-3.79</v>
      </c>
      <c r="AU1229">
        <v>-19.239999999999998</v>
      </c>
      <c r="AV1229">
        <v>0</v>
      </c>
      <c r="AW1229">
        <v>1.87</v>
      </c>
      <c r="AX1229">
        <v>26.33</v>
      </c>
      <c r="AY1229">
        <v>119.88</v>
      </c>
      <c r="AZ1229">
        <v>38.590000000000003</v>
      </c>
      <c r="BA1229">
        <v>0.34</v>
      </c>
      <c r="BB1229" t="s">
        <v>125</v>
      </c>
      <c r="BF1229">
        <v>0.95</v>
      </c>
      <c r="BG1229">
        <v>-1.02</v>
      </c>
      <c r="BH1229">
        <v>-2.91</v>
      </c>
      <c r="BI1229">
        <v>0</v>
      </c>
      <c r="BJ1229">
        <v>20210831</v>
      </c>
      <c r="BK1229">
        <v>20170503</v>
      </c>
      <c r="BL1229">
        <v>1.55</v>
      </c>
      <c r="BM1229" t="s">
        <v>120</v>
      </c>
      <c r="BN1229" t="s">
        <v>120</v>
      </c>
      <c r="BO1229">
        <v>9.99</v>
      </c>
      <c r="BP1229">
        <v>10.66</v>
      </c>
      <c r="BQ1229">
        <v>7.5</v>
      </c>
      <c r="BR1229">
        <v>0.05</v>
      </c>
      <c r="BS1229">
        <v>24.45</v>
      </c>
      <c r="BT1229">
        <v>1.95</v>
      </c>
      <c r="BU1229">
        <v>1.91</v>
      </c>
      <c r="BV1229">
        <v>0.41</v>
      </c>
      <c r="BW1229">
        <v>1.86</v>
      </c>
      <c r="BX1229">
        <v>0.5</v>
      </c>
      <c r="BY1229">
        <v>0.74</v>
      </c>
      <c r="BZ1229">
        <v>0.46</v>
      </c>
      <c r="CA1229" t="s">
        <v>120</v>
      </c>
      <c r="CB1229">
        <v>3.4</v>
      </c>
      <c r="CC1229">
        <v>1.74</v>
      </c>
      <c r="CD1229">
        <v>1.32</v>
      </c>
      <c r="CE1229">
        <v>0.06</v>
      </c>
      <c r="CF1229">
        <v>-0.02</v>
      </c>
      <c r="CG1229">
        <v>0.06</v>
      </c>
      <c r="CH1229">
        <v>0.06</v>
      </c>
      <c r="CI1229">
        <v>7.0000000000000007E-2</v>
      </c>
      <c r="CJ1229">
        <v>-7.0000000000000007E-2</v>
      </c>
      <c r="CK1229">
        <v>7.0000000000000007E-2</v>
      </c>
      <c r="CL1229">
        <v>2.29</v>
      </c>
      <c r="CM1229">
        <v>-0.18</v>
      </c>
      <c r="CN1229">
        <v>-1.44</v>
      </c>
      <c r="CO1229">
        <v>9285</v>
      </c>
      <c r="CP1229">
        <v>4407</v>
      </c>
      <c r="CQ1229" t="s">
        <v>5667</v>
      </c>
      <c r="CR1229">
        <v>-81.69</v>
      </c>
      <c r="CS1229">
        <v>-2.36</v>
      </c>
      <c r="CT1229">
        <v>2.21</v>
      </c>
      <c r="CU1229">
        <v>-90.27</v>
      </c>
      <c r="CV1229">
        <v>9.5299999999999994</v>
      </c>
      <c r="CW1229">
        <v>1.29</v>
      </c>
      <c r="CX1229" t="s">
        <v>145</v>
      </c>
      <c r="CY1229">
        <v>4.83</v>
      </c>
      <c r="CZ1229">
        <v>0</v>
      </c>
      <c r="DA1229">
        <v>2.19</v>
      </c>
      <c r="DB1229">
        <v>1.48</v>
      </c>
      <c r="DC1229">
        <v>-0.12</v>
      </c>
      <c r="DD1229">
        <v>75.08</v>
      </c>
      <c r="DE1229" t="s">
        <v>6739</v>
      </c>
      <c r="DF1229">
        <v>23.9</v>
      </c>
      <c r="DG1229">
        <v>3.49</v>
      </c>
      <c r="DH1229">
        <v>3.78</v>
      </c>
      <c r="DI1229">
        <v>0.13</v>
      </c>
      <c r="DJ1229">
        <v>656</v>
      </c>
      <c r="DK1229">
        <v>2868</v>
      </c>
      <c r="DL1229" t="s">
        <v>120</v>
      </c>
      <c r="DM1229" t="s">
        <v>120</v>
      </c>
      <c r="DN1229" t="s">
        <v>120</v>
      </c>
    </row>
    <row r="1230" spans="1:118">
      <c r="A1230" t="str">
        <f>"002869"</f>
        <v>002869</v>
      </c>
      <c r="B1230" t="s">
        <v>6740</v>
      </c>
      <c r="C1230">
        <v>-3.23</v>
      </c>
      <c r="D1230">
        <v>0.2</v>
      </c>
      <c r="E1230">
        <v>-0.19</v>
      </c>
      <c r="F1230">
        <v>460</v>
      </c>
      <c r="G1230" t="s">
        <v>3508</v>
      </c>
      <c r="H1230">
        <v>3562.14</v>
      </c>
      <c r="I1230">
        <v>20.36</v>
      </c>
      <c r="J1230" t="s">
        <v>120</v>
      </c>
      <c r="K1230" t="s">
        <v>6741</v>
      </c>
      <c r="L1230">
        <v>1.49</v>
      </c>
      <c r="M1230">
        <v>15.3</v>
      </c>
      <c r="N1230">
        <v>0.78</v>
      </c>
      <c r="O1230">
        <v>-0.19</v>
      </c>
      <c r="P1230">
        <v>15.78</v>
      </c>
      <c r="Q1230">
        <v>-3.42</v>
      </c>
      <c r="R1230">
        <v>15.27</v>
      </c>
      <c r="S1230">
        <v>15.78</v>
      </c>
      <c r="T1230">
        <v>22949</v>
      </c>
      <c r="U1230">
        <v>15.3</v>
      </c>
      <c r="V1230">
        <v>15.81</v>
      </c>
      <c r="W1230" t="s">
        <v>120</v>
      </c>
      <c r="X1230" t="s">
        <v>462</v>
      </c>
      <c r="Y1230" t="s">
        <v>123</v>
      </c>
      <c r="Z1230">
        <v>3.23</v>
      </c>
      <c r="AA1230">
        <v>15.52</v>
      </c>
      <c r="AB1230">
        <v>14902</v>
      </c>
      <c r="AC1230">
        <v>8047</v>
      </c>
      <c r="AD1230">
        <v>1.85</v>
      </c>
      <c r="AE1230">
        <v>78</v>
      </c>
      <c r="AF1230">
        <v>102</v>
      </c>
      <c r="AG1230" t="s">
        <v>120</v>
      </c>
      <c r="AH1230">
        <v>0.01</v>
      </c>
      <c r="AI1230" t="s">
        <v>120</v>
      </c>
      <c r="AJ1230">
        <v>1.54</v>
      </c>
      <c r="AK1230" t="s">
        <v>6742</v>
      </c>
      <c r="AL1230">
        <v>-1.31</v>
      </c>
      <c r="AM1230">
        <v>1484</v>
      </c>
      <c r="AN1230">
        <v>15</v>
      </c>
      <c r="AO1230">
        <v>1E-3</v>
      </c>
      <c r="AP1230">
        <v>-1</v>
      </c>
      <c r="AQ1230">
        <v>3.33</v>
      </c>
      <c r="AR1230">
        <v>-1.99</v>
      </c>
      <c r="AS1230">
        <v>-2.73</v>
      </c>
      <c r="AT1230">
        <v>-20.059999999999999</v>
      </c>
      <c r="AU1230">
        <v>-52.92</v>
      </c>
      <c r="AV1230">
        <v>5</v>
      </c>
      <c r="AW1230">
        <v>2.16</v>
      </c>
      <c r="AX1230">
        <v>58.83</v>
      </c>
      <c r="AY1230">
        <v>12.01</v>
      </c>
      <c r="AZ1230">
        <v>4.53</v>
      </c>
      <c r="BA1230">
        <v>0.91</v>
      </c>
      <c r="BB1230" t="s">
        <v>168</v>
      </c>
      <c r="BF1230">
        <v>-1.82</v>
      </c>
      <c r="BG1230">
        <v>-3.04</v>
      </c>
      <c r="BH1230">
        <v>-3.04</v>
      </c>
      <c r="BI1230">
        <v>0.2</v>
      </c>
      <c r="BJ1230">
        <v>20210831</v>
      </c>
      <c r="BK1230">
        <v>20170515</v>
      </c>
      <c r="BL1230">
        <v>1.81</v>
      </c>
      <c r="BM1230" t="s">
        <v>120</v>
      </c>
      <c r="BN1230" t="s">
        <v>120</v>
      </c>
      <c r="BO1230">
        <v>27.35</v>
      </c>
      <c r="BP1230">
        <v>15.29</v>
      </c>
      <c r="BQ1230">
        <v>21.57</v>
      </c>
      <c r="BR1230" t="s">
        <v>120</v>
      </c>
      <c r="BS1230">
        <v>21.12</v>
      </c>
      <c r="BT1230">
        <v>20.28</v>
      </c>
      <c r="BU1230">
        <v>3.44</v>
      </c>
      <c r="BV1230">
        <v>0.33</v>
      </c>
      <c r="BW1230">
        <v>5.31</v>
      </c>
      <c r="BX1230">
        <v>12.53</v>
      </c>
      <c r="BY1230">
        <v>2.36</v>
      </c>
      <c r="BZ1230">
        <v>3.54</v>
      </c>
      <c r="CA1230" t="s">
        <v>120</v>
      </c>
      <c r="CB1230">
        <v>7.18</v>
      </c>
      <c r="CC1230">
        <v>1.31</v>
      </c>
      <c r="CD1230">
        <v>0.73</v>
      </c>
      <c r="CE1230">
        <v>-0.28000000000000003</v>
      </c>
      <c r="CF1230">
        <v>0.08</v>
      </c>
      <c r="CG1230">
        <v>-0.3</v>
      </c>
      <c r="CH1230">
        <v>-0.3</v>
      </c>
      <c r="CI1230">
        <v>-0.3</v>
      </c>
      <c r="CJ1230">
        <v>-0.51</v>
      </c>
      <c r="CK1230">
        <v>-0.37</v>
      </c>
      <c r="CL1230">
        <v>11.87</v>
      </c>
      <c r="CM1230">
        <v>-0.75</v>
      </c>
      <c r="CN1230">
        <v>-1.86</v>
      </c>
      <c r="CO1230">
        <v>43335</v>
      </c>
      <c r="CP1230">
        <v>2452</v>
      </c>
      <c r="CQ1230" t="s">
        <v>3294</v>
      </c>
      <c r="CR1230">
        <v>-108.23</v>
      </c>
      <c r="CS1230">
        <v>-83.59</v>
      </c>
      <c r="CT1230">
        <v>1.28</v>
      </c>
      <c r="CU1230">
        <v>-36.89</v>
      </c>
      <c r="CV1230">
        <v>21.15</v>
      </c>
      <c r="CW1230">
        <v>6.7</v>
      </c>
      <c r="CX1230" t="s">
        <v>1513</v>
      </c>
      <c r="CY1230">
        <v>11.94</v>
      </c>
      <c r="CZ1230">
        <v>0</v>
      </c>
      <c r="DA1230">
        <v>3.98</v>
      </c>
      <c r="DB1230">
        <v>6.57</v>
      </c>
      <c r="DC1230">
        <v>-0.41</v>
      </c>
      <c r="DD1230">
        <v>78.88</v>
      </c>
      <c r="DE1230" t="s">
        <v>3728</v>
      </c>
      <c r="DF1230">
        <v>44.11</v>
      </c>
      <c r="DG1230">
        <v>-21.56</v>
      </c>
      <c r="DH1230">
        <v>-22.88</v>
      </c>
      <c r="DI1230">
        <v>0.41</v>
      </c>
      <c r="DJ1230">
        <v>722</v>
      </c>
      <c r="DK1230">
        <v>2869</v>
      </c>
      <c r="DL1230" t="s">
        <v>120</v>
      </c>
      <c r="DM1230" t="s">
        <v>120</v>
      </c>
      <c r="DN1230" t="s">
        <v>120</v>
      </c>
    </row>
    <row r="1231" spans="1:118">
      <c r="A1231" t="str">
        <f>"002870"</f>
        <v>002870</v>
      </c>
      <c r="B1231" t="s">
        <v>6743</v>
      </c>
      <c r="C1231">
        <v>-0.78</v>
      </c>
      <c r="D1231">
        <v>0.03</v>
      </c>
      <c r="E1231">
        <v>-0.3</v>
      </c>
      <c r="F1231">
        <v>63</v>
      </c>
      <c r="G1231" t="s">
        <v>6744</v>
      </c>
      <c r="H1231">
        <v>1696.04</v>
      </c>
      <c r="I1231">
        <v>13.6</v>
      </c>
      <c r="J1231" t="s">
        <v>120</v>
      </c>
      <c r="K1231" t="s">
        <v>6745</v>
      </c>
      <c r="L1231">
        <v>1.01</v>
      </c>
      <c r="M1231">
        <v>29.42</v>
      </c>
      <c r="N1231">
        <v>0.77</v>
      </c>
      <c r="O1231">
        <v>1.18</v>
      </c>
      <c r="P1231">
        <v>30</v>
      </c>
      <c r="Q1231">
        <v>-1.32</v>
      </c>
      <c r="R1231">
        <v>29.26</v>
      </c>
      <c r="S1231">
        <v>29.56</v>
      </c>
      <c r="T1231">
        <v>5742</v>
      </c>
      <c r="U1231">
        <v>29.42</v>
      </c>
      <c r="V1231">
        <v>29.65</v>
      </c>
      <c r="W1231">
        <v>21.56</v>
      </c>
      <c r="X1231" t="s">
        <v>289</v>
      </c>
      <c r="Y1231" t="s">
        <v>547</v>
      </c>
      <c r="Z1231">
        <v>2.5</v>
      </c>
      <c r="AA1231">
        <v>29.54</v>
      </c>
      <c r="AB1231">
        <v>3211</v>
      </c>
      <c r="AC1231">
        <v>2531</v>
      </c>
      <c r="AD1231">
        <v>1.27</v>
      </c>
      <c r="AE1231">
        <v>20</v>
      </c>
      <c r="AF1231">
        <v>2</v>
      </c>
      <c r="AG1231" t="s">
        <v>120</v>
      </c>
      <c r="AH1231">
        <v>0.02</v>
      </c>
      <c r="AI1231" t="s">
        <v>120</v>
      </c>
      <c r="AJ1231">
        <v>0.56999999999999995</v>
      </c>
      <c r="AK1231" t="s">
        <v>820</v>
      </c>
      <c r="AL1231">
        <v>1.1399999999999999</v>
      </c>
      <c r="AM1231">
        <v>575</v>
      </c>
      <c r="AN1231">
        <v>10</v>
      </c>
      <c r="AO1231">
        <v>1.8E-3</v>
      </c>
      <c r="AP1231">
        <v>-3</v>
      </c>
      <c r="AQ1231">
        <v>-2.08</v>
      </c>
      <c r="AR1231">
        <v>-4.38</v>
      </c>
      <c r="AS1231">
        <v>-12.7</v>
      </c>
      <c r="AT1231">
        <v>-6.24</v>
      </c>
      <c r="AU1231">
        <v>19.350000000000001</v>
      </c>
      <c r="AV1231">
        <v>6</v>
      </c>
      <c r="AW1231">
        <v>1.95</v>
      </c>
      <c r="AX1231">
        <v>26.63</v>
      </c>
      <c r="AY1231">
        <v>25.35</v>
      </c>
      <c r="AZ1231">
        <v>43.7</v>
      </c>
      <c r="BA1231">
        <v>1.1399999999999999</v>
      </c>
      <c r="BB1231" t="s">
        <v>134</v>
      </c>
      <c r="BF1231">
        <v>-0.38</v>
      </c>
      <c r="BG1231">
        <v>-0.47</v>
      </c>
      <c r="BH1231">
        <v>-1.93</v>
      </c>
      <c r="BI1231">
        <v>0.55000000000000004</v>
      </c>
      <c r="BJ1231">
        <v>20210831</v>
      </c>
      <c r="BK1231">
        <v>20170515</v>
      </c>
      <c r="BL1231">
        <v>1.1100000000000001</v>
      </c>
      <c r="BM1231" t="s">
        <v>120</v>
      </c>
      <c r="BN1231" t="s">
        <v>120</v>
      </c>
      <c r="BO1231">
        <v>64.959999999999994</v>
      </c>
      <c r="BP1231">
        <v>29.31</v>
      </c>
      <c r="BQ1231">
        <v>8.52</v>
      </c>
      <c r="BR1231">
        <v>10.08</v>
      </c>
      <c r="BS1231">
        <v>71.37</v>
      </c>
      <c r="BT1231">
        <v>26.8</v>
      </c>
      <c r="BU1231">
        <v>12.43</v>
      </c>
      <c r="BV1231">
        <v>9.66</v>
      </c>
      <c r="BW1231">
        <v>29.08</v>
      </c>
      <c r="BX1231">
        <v>6.16</v>
      </c>
      <c r="BY1231">
        <v>7.23</v>
      </c>
      <c r="BZ1231">
        <v>7.62</v>
      </c>
      <c r="CA1231" t="s">
        <v>120</v>
      </c>
      <c r="CB1231">
        <v>4.7300000000000004</v>
      </c>
      <c r="CC1231">
        <v>23.77</v>
      </c>
      <c r="CD1231">
        <v>18.420000000000002</v>
      </c>
      <c r="CE1231">
        <v>1.5</v>
      </c>
      <c r="CF1231">
        <v>7.0000000000000007E-2</v>
      </c>
      <c r="CG1231">
        <v>1.51</v>
      </c>
      <c r="CH1231">
        <v>1.23</v>
      </c>
      <c r="CI1231">
        <v>0.76</v>
      </c>
      <c r="CJ1231">
        <v>-0.23</v>
      </c>
      <c r="CK1231">
        <v>0.7</v>
      </c>
      <c r="CL1231">
        <v>2.29</v>
      </c>
      <c r="CM1231">
        <v>0.6</v>
      </c>
      <c r="CN1231">
        <v>0.53</v>
      </c>
      <c r="CO1231">
        <v>8257</v>
      </c>
      <c r="CP1231">
        <v>3569</v>
      </c>
      <c r="CQ1231" t="s">
        <v>6746</v>
      </c>
      <c r="CR1231">
        <v>257.14</v>
      </c>
      <c r="CS1231">
        <v>522.76</v>
      </c>
      <c r="CT1231">
        <v>3.82</v>
      </c>
      <c r="CU1231">
        <v>54.22</v>
      </c>
      <c r="CV1231">
        <v>1.37</v>
      </c>
      <c r="CW1231">
        <v>0.61</v>
      </c>
      <c r="CX1231" t="s">
        <v>527</v>
      </c>
      <c r="CY1231">
        <v>7.7</v>
      </c>
      <c r="CZ1231">
        <v>0</v>
      </c>
      <c r="DA1231">
        <v>4.2699999999999996</v>
      </c>
      <c r="DB1231">
        <v>2.0699999999999998</v>
      </c>
      <c r="DC1231">
        <v>0.54</v>
      </c>
      <c r="DD1231">
        <v>13.11</v>
      </c>
      <c r="DE1231" t="s">
        <v>3167</v>
      </c>
      <c r="DF1231">
        <v>22.53</v>
      </c>
      <c r="DG1231">
        <v>6.33</v>
      </c>
      <c r="DH1231">
        <v>3.18</v>
      </c>
      <c r="DI1231">
        <v>1.04</v>
      </c>
      <c r="DJ1231">
        <v>2511</v>
      </c>
      <c r="DK1231">
        <v>2870</v>
      </c>
      <c r="DL1231" t="s">
        <v>120</v>
      </c>
      <c r="DM1231" t="s">
        <v>120</v>
      </c>
      <c r="DN1231" t="s">
        <v>120</v>
      </c>
    </row>
    <row r="1232" spans="1:118">
      <c r="A1232" t="str">
        <f>"002871"</f>
        <v>002871</v>
      </c>
      <c r="B1232" t="s">
        <v>6747</v>
      </c>
      <c r="C1232">
        <v>0</v>
      </c>
      <c r="D1232">
        <v>0</v>
      </c>
      <c r="E1232">
        <v>0</v>
      </c>
      <c r="F1232">
        <v>124</v>
      </c>
      <c r="G1232" t="s">
        <v>6748</v>
      </c>
      <c r="H1232">
        <v>725.24</v>
      </c>
      <c r="I1232">
        <v>0</v>
      </c>
      <c r="J1232" t="s">
        <v>120</v>
      </c>
      <c r="K1232" t="s">
        <v>6749</v>
      </c>
      <c r="L1232">
        <v>0.82</v>
      </c>
      <c r="M1232">
        <v>9.92</v>
      </c>
      <c r="N1232">
        <v>0.79</v>
      </c>
      <c r="O1232">
        <v>2.12</v>
      </c>
      <c r="P1232">
        <v>10.130000000000001</v>
      </c>
      <c r="Q1232">
        <v>0</v>
      </c>
      <c r="R1232">
        <v>9.92</v>
      </c>
      <c r="S1232">
        <v>9.92</v>
      </c>
      <c r="T1232">
        <v>7234</v>
      </c>
      <c r="U1232">
        <v>9.93</v>
      </c>
      <c r="V1232">
        <v>9.92</v>
      </c>
      <c r="W1232">
        <v>36.03</v>
      </c>
      <c r="X1232" t="s">
        <v>959</v>
      </c>
      <c r="Y1232" t="s">
        <v>638</v>
      </c>
      <c r="Z1232">
        <v>2.12</v>
      </c>
      <c r="AA1232">
        <v>10.029999999999999</v>
      </c>
      <c r="AB1232">
        <v>3358</v>
      </c>
      <c r="AC1232">
        <v>3876</v>
      </c>
      <c r="AD1232">
        <v>0.87</v>
      </c>
      <c r="AE1232">
        <v>54</v>
      </c>
      <c r="AF1232">
        <v>35</v>
      </c>
      <c r="AG1232" t="s">
        <v>120</v>
      </c>
      <c r="AH1232">
        <v>0</v>
      </c>
      <c r="AI1232" t="s">
        <v>120</v>
      </c>
      <c r="AJ1232">
        <v>0.88</v>
      </c>
      <c r="AK1232" t="s">
        <v>1183</v>
      </c>
      <c r="AL1232">
        <v>1.91</v>
      </c>
      <c r="AM1232">
        <v>472</v>
      </c>
      <c r="AN1232">
        <v>15</v>
      </c>
      <c r="AO1232">
        <v>1.6999999999999999E-3</v>
      </c>
      <c r="AP1232">
        <v>0</v>
      </c>
      <c r="AQ1232">
        <v>0.51</v>
      </c>
      <c r="AR1232">
        <v>-0.39</v>
      </c>
      <c r="AS1232">
        <v>-1.68</v>
      </c>
      <c r="AT1232">
        <v>3.66</v>
      </c>
      <c r="AU1232">
        <v>-14.28</v>
      </c>
      <c r="AV1232">
        <v>1</v>
      </c>
      <c r="AW1232">
        <v>1.39</v>
      </c>
      <c r="AX1232">
        <v>30.66</v>
      </c>
      <c r="AY1232">
        <v>31.24</v>
      </c>
      <c r="AZ1232">
        <v>28.95</v>
      </c>
      <c r="BA1232">
        <v>0.63</v>
      </c>
      <c r="BB1232" t="s">
        <v>143</v>
      </c>
      <c r="BF1232">
        <v>1.06</v>
      </c>
      <c r="BG1232">
        <v>0</v>
      </c>
      <c r="BH1232">
        <v>-2.0699999999999998</v>
      </c>
      <c r="BI1232">
        <v>0</v>
      </c>
      <c r="BJ1232">
        <v>20210827</v>
      </c>
      <c r="BK1232">
        <v>20170511</v>
      </c>
      <c r="BL1232">
        <v>1.69</v>
      </c>
      <c r="BM1232" t="s">
        <v>120</v>
      </c>
      <c r="BN1232" t="s">
        <v>120</v>
      </c>
      <c r="BO1232">
        <v>8.18</v>
      </c>
      <c r="BP1232">
        <v>9.92</v>
      </c>
      <c r="BQ1232">
        <v>6.35</v>
      </c>
      <c r="BR1232" t="s">
        <v>120</v>
      </c>
      <c r="BS1232">
        <v>22.41</v>
      </c>
      <c r="BT1232">
        <v>5.03</v>
      </c>
      <c r="BU1232">
        <v>2.41</v>
      </c>
      <c r="BV1232">
        <v>0.35</v>
      </c>
      <c r="BW1232">
        <v>1.69</v>
      </c>
      <c r="BX1232">
        <v>0.43</v>
      </c>
      <c r="BY1232">
        <v>1.08</v>
      </c>
      <c r="BZ1232">
        <v>0.63</v>
      </c>
      <c r="CA1232" t="s">
        <v>120</v>
      </c>
      <c r="CB1232">
        <v>1.94</v>
      </c>
      <c r="CC1232">
        <v>1.8</v>
      </c>
      <c r="CD1232">
        <v>1.25</v>
      </c>
      <c r="CE1232">
        <v>0.27</v>
      </c>
      <c r="CF1232">
        <v>0.1</v>
      </c>
      <c r="CG1232">
        <v>0.27</v>
      </c>
      <c r="CH1232">
        <v>0.23</v>
      </c>
      <c r="CI1232">
        <v>0.23</v>
      </c>
      <c r="CJ1232">
        <v>0</v>
      </c>
      <c r="CK1232">
        <v>0.16</v>
      </c>
      <c r="CL1232">
        <v>2.23</v>
      </c>
      <c r="CM1232">
        <v>-0.17</v>
      </c>
      <c r="CN1232">
        <v>-0.1</v>
      </c>
      <c r="CO1232">
        <v>9096</v>
      </c>
      <c r="CP1232">
        <v>5703</v>
      </c>
      <c r="CQ1232" t="s">
        <v>6750</v>
      </c>
      <c r="CR1232">
        <v>-15.43</v>
      </c>
      <c r="CS1232">
        <v>18.7</v>
      </c>
      <c r="CT1232">
        <v>2.64</v>
      </c>
      <c r="CU1232">
        <v>-98.18</v>
      </c>
      <c r="CV1232">
        <v>9.31</v>
      </c>
      <c r="CW1232">
        <v>3.13</v>
      </c>
      <c r="CX1232" t="s">
        <v>300</v>
      </c>
      <c r="CY1232">
        <v>3.75</v>
      </c>
      <c r="CZ1232">
        <v>0</v>
      </c>
      <c r="DA1232">
        <v>1.1499999999999999</v>
      </c>
      <c r="DB1232">
        <v>1.32</v>
      </c>
      <c r="DC1232">
        <v>-0.1</v>
      </c>
      <c r="DD1232">
        <v>77.59</v>
      </c>
      <c r="DE1232" t="s">
        <v>4910</v>
      </c>
      <c r="DF1232">
        <v>30.85</v>
      </c>
      <c r="DG1232">
        <v>14.74</v>
      </c>
      <c r="DH1232">
        <v>12.92</v>
      </c>
      <c r="DI1232">
        <v>0.1</v>
      </c>
      <c r="DJ1232">
        <v>680</v>
      </c>
      <c r="DK1232">
        <v>2871</v>
      </c>
      <c r="DL1232" t="s">
        <v>120</v>
      </c>
      <c r="DM1232" t="s">
        <v>120</v>
      </c>
      <c r="DN1232" t="s">
        <v>120</v>
      </c>
    </row>
    <row r="1233" spans="1:118">
      <c r="A1233" t="str">
        <f>"002873"</f>
        <v>002873</v>
      </c>
      <c r="B1233" t="s">
        <v>6751</v>
      </c>
      <c r="C1233">
        <v>0.91</v>
      </c>
      <c r="D1233">
        <v>-0.21</v>
      </c>
      <c r="E1233">
        <v>-0.4</v>
      </c>
      <c r="F1233">
        <v>183</v>
      </c>
      <c r="G1233" t="s">
        <v>6752</v>
      </c>
      <c r="H1233">
        <v>3412.62</v>
      </c>
      <c r="I1233">
        <v>43.07</v>
      </c>
      <c r="J1233" t="s">
        <v>120</v>
      </c>
      <c r="K1233" t="s">
        <v>3833</v>
      </c>
      <c r="L1233">
        <v>1.72</v>
      </c>
      <c r="M1233">
        <v>17.739999999999998</v>
      </c>
      <c r="N1233">
        <v>1.35</v>
      </c>
      <c r="O1233">
        <v>2.96</v>
      </c>
      <c r="P1233">
        <v>18.100000000000001</v>
      </c>
      <c r="Q1233">
        <v>-0.4</v>
      </c>
      <c r="R1233">
        <v>17.510000000000002</v>
      </c>
      <c r="S1233">
        <v>17.510000000000002</v>
      </c>
      <c r="T1233">
        <v>19075</v>
      </c>
      <c r="U1233">
        <v>17.760000000000002</v>
      </c>
      <c r="V1233">
        <v>17.579999999999998</v>
      </c>
      <c r="W1233">
        <v>22.19</v>
      </c>
      <c r="X1233" t="s">
        <v>771</v>
      </c>
      <c r="Y1233" t="s">
        <v>1021</v>
      </c>
      <c r="Z1233">
        <v>3.36</v>
      </c>
      <c r="AA1233">
        <v>17.89</v>
      </c>
      <c r="AB1233">
        <v>8083</v>
      </c>
      <c r="AC1233">
        <v>10992</v>
      </c>
      <c r="AD1233">
        <v>0.74</v>
      </c>
      <c r="AE1233">
        <v>84</v>
      </c>
      <c r="AF1233">
        <v>23</v>
      </c>
      <c r="AG1233" t="s">
        <v>120</v>
      </c>
      <c r="AH1233">
        <v>0.05</v>
      </c>
      <c r="AI1233" t="s">
        <v>120</v>
      </c>
      <c r="AJ1233">
        <v>1.1100000000000001</v>
      </c>
      <c r="AK1233" t="s">
        <v>2000</v>
      </c>
      <c r="AL1233">
        <v>2.82</v>
      </c>
      <c r="AM1233">
        <v>1308</v>
      </c>
      <c r="AN1233">
        <v>15</v>
      </c>
      <c r="AO1233">
        <v>1.2999999999999999E-3</v>
      </c>
      <c r="AP1233">
        <v>1</v>
      </c>
      <c r="AQ1233">
        <v>-2.5499999999999998</v>
      </c>
      <c r="AR1233">
        <v>-1.06</v>
      </c>
      <c r="AS1233">
        <v>6.93</v>
      </c>
      <c r="AT1233">
        <v>-1.33</v>
      </c>
      <c r="AU1233">
        <v>9.91</v>
      </c>
      <c r="AV1233">
        <v>2</v>
      </c>
      <c r="AW1233">
        <v>3.62</v>
      </c>
      <c r="AX1233">
        <v>44.97</v>
      </c>
      <c r="AY1233">
        <v>21.51</v>
      </c>
      <c r="AZ1233">
        <v>27.79</v>
      </c>
      <c r="BA1233">
        <v>0.61</v>
      </c>
      <c r="BB1233" t="s">
        <v>125</v>
      </c>
      <c r="BF1233">
        <v>1.77</v>
      </c>
      <c r="BG1233">
        <v>1.31</v>
      </c>
      <c r="BH1233">
        <v>-1.99</v>
      </c>
      <c r="BI1233">
        <v>1.31</v>
      </c>
      <c r="BJ1233">
        <v>20210913</v>
      </c>
      <c r="BK1233">
        <v>20170519</v>
      </c>
      <c r="BL1233">
        <v>1.17</v>
      </c>
      <c r="BM1233" t="s">
        <v>120</v>
      </c>
      <c r="BN1233" t="s">
        <v>120</v>
      </c>
      <c r="BO1233">
        <v>15.34</v>
      </c>
      <c r="BP1233">
        <v>17.739999999999998</v>
      </c>
      <c r="BQ1233">
        <v>8.4600000000000009</v>
      </c>
      <c r="BR1233" t="s">
        <v>120</v>
      </c>
      <c r="BS1233">
        <v>44.84</v>
      </c>
      <c r="BT1233">
        <v>7.21</v>
      </c>
      <c r="BU1233">
        <v>3.08</v>
      </c>
      <c r="BV1233">
        <v>0.89</v>
      </c>
      <c r="BW1233">
        <v>4.8099999999999996</v>
      </c>
      <c r="BX1233">
        <v>3.16</v>
      </c>
      <c r="BY1233">
        <v>1.03</v>
      </c>
      <c r="BZ1233">
        <v>2.0699999999999998</v>
      </c>
      <c r="CA1233" t="s">
        <v>120</v>
      </c>
      <c r="CB1233">
        <v>2.62</v>
      </c>
      <c r="CC1233">
        <v>4.54</v>
      </c>
      <c r="CD1233">
        <v>0.93</v>
      </c>
      <c r="CE1233">
        <v>0.56000000000000005</v>
      </c>
      <c r="CF1233">
        <v>0</v>
      </c>
      <c r="CG1233">
        <v>0.55000000000000004</v>
      </c>
      <c r="CH1233">
        <v>0.47</v>
      </c>
      <c r="CI1233">
        <v>0.47</v>
      </c>
      <c r="CJ1233">
        <v>0.16</v>
      </c>
      <c r="CK1233">
        <v>0.47</v>
      </c>
      <c r="CL1233">
        <v>3.74</v>
      </c>
      <c r="CM1233">
        <v>0.6</v>
      </c>
      <c r="CN1233">
        <v>-0.14000000000000001</v>
      </c>
      <c r="CO1233">
        <v>11435</v>
      </c>
      <c r="CP1233">
        <v>4607</v>
      </c>
      <c r="CQ1233" t="s">
        <v>6121</v>
      </c>
      <c r="CR1233">
        <v>85.83</v>
      </c>
      <c r="CS1233">
        <v>49.91</v>
      </c>
      <c r="CT1233">
        <v>2.5299999999999998</v>
      </c>
      <c r="CU1233">
        <v>34.79</v>
      </c>
      <c r="CV1233">
        <v>4.58</v>
      </c>
      <c r="CW1233">
        <v>0.68</v>
      </c>
      <c r="CX1233" t="s">
        <v>803</v>
      </c>
      <c r="CY1233">
        <v>7.02</v>
      </c>
      <c r="CZ1233">
        <v>7.02</v>
      </c>
      <c r="DA1233">
        <v>2.23</v>
      </c>
      <c r="DB1233">
        <v>3.19</v>
      </c>
      <c r="DC1233">
        <v>0.51</v>
      </c>
      <c r="DD1233">
        <v>55.16</v>
      </c>
      <c r="DE1233" t="s">
        <v>6753</v>
      </c>
      <c r="DF1233">
        <v>79.430000000000007</v>
      </c>
      <c r="DG1233">
        <v>12.39</v>
      </c>
      <c r="DH1233">
        <v>10.32</v>
      </c>
      <c r="DI1233">
        <v>0.08</v>
      </c>
      <c r="DJ1233">
        <v>1054</v>
      </c>
      <c r="DK1233">
        <v>2873</v>
      </c>
      <c r="DL1233" t="s">
        <v>120</v>
      </c>
      <c r="DM1233" t="s">
        <v>120</v>
      </c>
      <c r="DN1233" t="s">
        <v>120</v>
      </c>
    </row>
    <row r="1234" spans="1:118">
      <c r="A1234" t="str">
        <f>"002875"</f>
        <v>002875</v>
      </c>
      <c r="B1234" t="s">
        <v>6754</v>
      </c>
      <c r="C1234">
        <v>-0.74</v>
      </c>
      <c r="D1234">
        <v>0.11</v>
      </c>
      <c r="E1234">
        <v>-0.42</v>
      </c>
      <c r="F1234">
        <v>110</v>
      </c>
      <c r="G1234" t="s">
        <v>6755</v>
      </c>
      <c r="H1234">
        <v>1256.6500000000001</v>
      </c>
      <c r="I1234">
        <v>4.4400000000000004</v>
      </c>
      <c r="J1234" t="s">
        <v>120</v>
      </c>
      <c r="K1234" t="s">
        <v>6756</v>
      </c>
      <c r="L1234">
        <v>1.67</v>
      </c>
      <c r="M1234">
        <v>9.41</v>
      </c>
      <c r="N1234">
        <v>0.9</v>
      </c>
      <c r="O1234">
        <v>1.69</v>
      </c>
      <c r="P1234">
        <v>9.64</v>
      </c>
      <c r="Q1234">
        <v>-0.95</v>
      </c>
      <c r="R1234">
        <v>9.39</v>
      </c>
      <c r="S1234">
        <v>9.44</v>
      </c>
      <c r="T1234">
        <v>13213</v>
      </c>
      <c r="U1234">
        <v>9.41</v>
      </c>
      <c r="V1234">
        <v>9.48</v>
      </c>
      <c r="W1234">
        <v>17.649999999999999</v>
      </c>
      <c r="X1234" t="s">
        <v>2806</v>
      </c>
      <c r="Y1234" t="s">
        <v>123</v>
      </c>
      <c r="Z1234">
        <v>2.64</v>
      </c>
      <c r="AA1234">
        <v>9.51</v>
      </c>
      <c r="AB1234">
        <v>6870</v>
      </c>
      <c r="AC1234">
        <v>6343</v>
      </c>
      <c r="AD1234">
        <v>1.08</v>
      </c>
      <c r="AE1234">
        <v>787</v>
      </c>
      <c r="AF1234">
        <v>6</v>
      </c>
      <c r="AG1234" t="s">
        <v>120</v>
      </c>
      <c r="AH1234">
        <v>0.01</v>
      </c>
      <c r="AI1234" t="s">
        <v>120</v>
      </c>
      <c r="AJ1234">
        <v>0.79</v>
      </c>
      <c r="AK1234" t="s">
        <v>6674</v>
      </c>
      <c r="AL1234">
        <v>1.18</v>
      </c>
      <c r="AM1234">
        <v>938</v>
      </c>
      <c r="AN1234">
        <v>14</v>
      </c>
      <c r="AO1234">
        <v>1.8E-3</v>
      </c>
      <c r="AP1234">
        <v>-1</v>
      </c>
      <c r="AQ1234">
        <v>1.17</v>
      </c>
      <c r="AR1234">
        <v>-1.1599999999999999</v>
      </c>
      <c r="AS1234">
        <v>3.06</v>
      </c>
      <c r="AT1234">
        <v>-10.38</v>
      </c>
      <c r="AU1234">
        <v>3.87</v>
      </c>
      <c r="AV1234">
        <v>4</v>
      </c>
      <c r="AW1234">
        <v>2.66</v>
      </c>
      <c r="AX1234">
        <v>29.19</v>
      </c>
      <c r="AY1234">
        <v>125.12</v>
      </c>
      <c r="AZ1234" t="s">
        <v>120</v>
      </c>
      <c r="BA1234">
        <v>0.5</v>
      </c>
      <c r="BB1234" t="s">
        <v>184</v>
      </c>
      <c r="BF1234">
        <v>0.32</v>
      </c>
      <c r="BG1234">
        <v>-0.32</v>
      </c>
      <c r="BH1234">
        <v>-2.39</v>
      </c>
      <c r="BI1234">
        <v>0.21</v>
      </c>
      <c r="BJ1234">
        <v>20210826</v>
      </c>
      <c r="BK1234">
        <v>20170601</v>
      </c>
      <c r="BL1234">
        <v>1.7</v>
      </c>
      <c r="BM1234" t="s">
        <v>120</v>
      </c>
      <c r="BN1234" t="s">
        <v>120</v>
      </c>
      <c r="BO1234">
        <v>12.54</v>
      </c>
      <c r="BP1234">
        <v>9.4</v>
      </c>
      <c r="BQ1234">
        <v>8.91</v>
      </c>
      <c r="BR1234" t="s">
        <v>120</v>
      </c>
      <c r="BS1234">
        <v>28.95</v>
      </c>
      <c r="BT1234">
        <v>9.76</v>
      </c>
      <c r="BU1234">
        <v>1.26</v>
      </c>
      <c r="BV1234">
        <v>0.13</v>
      </c>
      <c r="BW1234">
        <v>2.64</v>
      </c>
      <c r="BX1234">
        <v>5.73</v>
      </c>
      <c r="BY1234">
        <v>2.88</v>
      </c>
      <c r="BZ1234">
        <v>0.57999999999999996</v>
      </c>
      <c r="CA1234" t="s">
        <v>120</v>
      </c>
      <c r="CB1234">
        <v>3.72</v>
      </c>
      <c r="CC1234">
        <v>6.21</v>
      </c>
      <c r="CD1234">
        <v>2.4300000000000002</v>
      </c>
      <c r="CE1234">
        <v>0.48</v>
      </c>
      <c r="CF1234">
        <v>0</v>
      </c>
      <c r="CG1234">
        <v>0.48</v>
      </c>
      <c r="CH1234">
        <v>0.45</v>
      </c>
      <c r="CI1234">
        <v>0.45</v>
      </c>
      <c r="CJ1234">
        <v>-7.0000000000000007E-2</v>
      </c>
      <c r="CK1234">
        <v>0.39</v>
      </c>
      <c r="CL1234">
        <v>3.13</v>
      </c>
      <c r="CM1234">
        <v>0.89</v>
      </c>
      <c r="CN1234">
        <v>0.25</v>
      </c>
      <c r="CO1234">
        <v>14403</v>
      </c>
      <c r="CP1234">
        <v>3452</v>
      </c>
      <c r="CQ1234" t="s">
        <v>1254</v>
      </c>
      <c r="CR1234">
        <v>417.43</v>
      </c>
      <c r="CS1234">
        <v>26.37</v>
      </c>
      <c r="CT1234">
        <v>1.8</v>
      </c>
      <c r="CU1234">
        <v>18.100000000000001</v>
      </c>
      <c r="CV1234">
        <v>2.58</v>
      </c>
      <c r="CW1234">
        <v>0</v>
      </c>
      <c r="CX1234" t="s">
        <v>1233</v>
      </c>
      <c r="CY1234">
        <v>5.23</v>
      </c>
      <c r="CZ1234">
        <v>0</v>
      </c>
      <c r="DA1234">
        <v>2.19</v>
      </c>
      <c r="DB1234">
        <v>1.84</v>
      </c>
      <c r="DC1234">
        <v>0.52</v>
      </c>
      <c r="DD1234">
        <v>71.05</v>
      </c>
      <c r="DE1234" t="s">
        <v>3213</v>
      </c>
      <c r="DF1234">
        <v>60.87</v>
      </c>
      <c r="DG1234">
        <v>7.76</v>
      </c>
      <c r="DH1234">
        <v>7.31</v>
      </c>
      <c r="DI1234">
        <v>0.16</v>
      </c>
      <c r="DJ1234">
        <v>3155</v>
      </c>
      <c r="DK1234">
        <v>2875</v>
      </c>
      <c r="DL1234" t="s">
        <v>120</v>
      </c>
      <c r="DM1234" t="s">
        <v>120</v>
      </c>
      <c r="DN1234" t="s">
        <v>120</v>
      </c>
    </row>
    <row r="1235" spans="1:118">
      <c r="A1235" t="str">
        <f>"002876"</f>
        <v>002876</v>
      </c>
      <c r="B1235" t="s">
        <v>6757</v>
      </c>
      <c r="C1235">
        <v>-0.81</v>
      </c>
      <c r="D1235">
        <v>0</v>
      </c>
      <c r="E1235">
        <v>0.15</v>
      </c>
      <c r="F1235">
        <v>148</v>
      </c>
      <c r="G1235" t="s">
        <v>6758</v>
      </c>
      <c r="H1235">
        <v>14388.3</v>
      </c>
      <c r="I1235">
        <v>15.19</v>
      </c>
      <c r="J1235" t="s">
        <v>120</v>
      </c>
      <c r="K1235" t="s">
        <v>6759</v>
      </c>
      <c r="L1235">
        <v>1.83</v>
      </c>
      <c r="M1235">
        <v>53.74</v>
      </c>
      <c r="N1235">
        <v>1.02</v>
      </c>
      <c r="O1235">
        <v>3.32</v>
      </c>
      <c r="P1235">
        <v>55.98</v>
      </c>
      <c r="Q1235">
        <v>-0.89</v>
      </c>
      <c r="R1235">
        <v>53.7</v>
      </c>
      <c r="S1235">
        <v>54.26</v>
      </c>
      <c r="T1235">
        <v>26269</v>
      </c>
      <c r="U1235">
        <v>53.75</v>
      </c>
      <c r="V1235">
        <v>54.18</v>
      </c>
      <c r="W1235">
        <v>25.08</v>
      </c>
      <c r="X1235" t="s">
        <v>229</v>
      </c>
      <c r="Y1235" t="s">
        <v>123</v>
      </c>
      <c r="Z1235">
        <v>4.21</v>
      </c>
      <c r="AA1235">
        <v>54.77</v>
      </c>
      <c r="AB1235">
        <v>13173</v>
      </c>
      <c r="AC1235">
        <v>13096</v>
      </c>
      <c r="AD1235">
        <v>1.01</v>
      </c>
      <c r="AE1235">
        <v>10</v>
      </c>
      <c r="AF1235">
        <v>115</v>
      </c>
      <c r="AG1235" t="s">
        <v>120</v>
      </c>
      <c r="AH1235">
        <v>0</v>
      </c>
      <c r="AI1235" t="s">
        <v>120</v>
      </c>
      <c r="AJ1235">
        <v>1.43</v>
      </c>
      <c r="AK1235" t="s">
        <v>387</v>
      </c>
      <c r="AL1235">
        <v>1.1000000000000001</v>
      </c>
      <c r="AM1235">
        <v>2688</v>
      </c>
      <c r="AN1235">
        <v>10</v>
      </c>
      <c r="AO1235">
        <v>6.9999999999999999E-4</v>
      </c>
      <c r="AP1235">
        <v>-3</v>
      </c>
      <c r="AQ1235">
        <v>-3.39</v>
      </c>
      <c r="AR1235">
        <v>-5.0199999999999996</v>
      </c>
      <c r="AS1235">
        <v>2.2999999999999998</v>
      </c>
      <c r="AT1235">
        <v>-10.210000000000001</v>
      </c>
      <c r="AU1235">
        <v>54.21</v>
      </c>
      <c r="AV1235">
        <v>0</v>
      </c>
      <c r="AW1235">
        <v>2.2599999999999998</v>
      </c>
      <c r="AX1235">
        <v>66.87</v>
      </c>
      <c r="AY1235">
        <v>34.33</v>
      </c>
      <c r="AZ1235">
        <v>80.64</v>
      </c>
      <c r="BA1235">
        <v>0.7</v>
      </c>
      <c r="BB1235" t="s">
        <v>240</v>
      </c>
      <c r="BF1235">
        <v>1.0900000000000001</v>
      </c>
      <c r="BG1235">
        <v>-0.96</v>
      </c>
      <c r="BH1235">
        <v>-4</v>
      </c>
      <c r="BI1235">
        <v>7.0000000000000007E-2</v>
      </c>
      <c r="BJ1235">
        <v>20210827</v>
      </c>
      <c r="BK1235">
        <v>20170525</v>
      </c>
      <c r="BL1235">
        <v>1.74</v>
      </c>
      <c r="BM1235" t="s">
        <v>120</v>
      </c>
      <c r="BN1235" t="s">
        <v>120</v>
      </c>
      <c r="BO1235">
        <v>34.619999999999997</v>
      </c>
      <c r="BP1235">
        <v>53.74</v>
      </c>
      <c r="BQ1235">
        <v>19.64</v>
      </c>
      <c r="BR1235">
        <v>0.28000000000000003</v>
      </c>
      <c r="BS1235">
        <v>42.47</v>
      </c>
      <c r="BT1235">
        <v>21.45</v>
      </c>
      <c r="BU1235">
        <v>9.5500000000000007</v>
      </c>
      <c r="BV1235">
        <v>0.65</v>
      </c>
      <c r="BW1235">
        <v>12.11</v>
      </c>
      <c r="BX1235">
        <v>4.29</v>
      </c>
      <c r="BY1235">
        <v>4.04</v>
      </c>
      <c r="BZ1235">
        <v>7.36</v>
      </c>
      <c r="CA1235" t="s">
        <v>120</v>
      </c>
      <c r="CB1235">
        <v>11.32</v>
      </c>
      <c r="CC1235">
        <v>11.68</v>
      </c>
      <c r="CD1235">
        <v>8.58</v>
      </c>
      <c r="CE1235">
        <v>2.11</v>
      </c>
      <c r="CF1235">
        <v>-0.09</v>
      </c>
      <c r="CG1235">
        <v>2.1</v>
      </c>
      <c r="CH1235">
        <v>1.95</v>
      </c>
      <c r="CI1235">
        <v>1.86</v>
      </c>
      <c r="CJ1235">
        <v>-0.44</v>
      </c>
      <c r="CK1235">
        <v>1.84</v>
      </c>
      <c r="CL1235">
        <v>6.92</v>
      </c>
      <c r="CM1235">
        <v>1.33</v>
      </c>
      <c r="CN1235">
        <v>-2.31</v>
      </c>
      <c r="CO1235">
        <v>12907</v>
      </c>
      <c r="CP1235">
        <v>9009</v>
      </c>
      <c r="CQ1235" t="s">
        <v>6760</v>
      </c>
      <c r="CR1235">
        <v>548.08000000000004</v>
      </c>
      <c r="CS1235">
        <v>51.38</v>
      </c>
      <c r="CT1235">
        <v>4.76</v>
      </c>
      <c r="CU1235">
        <v>70.510000000000005</v>
      </c>
      <c r="CV1235">
        <v>8</v>
      </c>
      <c r="CW1235">
        <v>0.26</v>
      </c>
      <c r="CX1235" t="s">
        <v>6761</v>
      </c>
      <c r="CY1235">
        <v>11.29</v>
      </c>
      <c r="CZ1235">
        <v>0</v>
      </c>
      <c r="DA1235">
        <v>6.51</v>
      </c>
      <c r="DB1235">
        <v>3.98</v>
      </c>
      <c r="DC1235">
        <v>0.76</v>
      </c>
      <c r="DD1235">
        <v>56.73</v>
      </c>
      <c r="DE1235" t="s">
        <v>6762</v>
      </c>
      <c r="DF1235">
        <v>26.56</v>
      </c>
      <c r="DG1235">
        <v>18.07</v>
      </c>
      <c r="DH1235">
        <v>15.95</v>
      </c>
      <c r="DI1235">
        <v>0.48</v>
      </c>
      <c r="DJ1235">
        <v>2207</v>
      </c>
      <c r="DK1235">
        <v>2876</v>
      </c>
      <c r="DL1235" t="s">
        <v>120</v>
      </c>
      <c r="DM1235" t="s">
        <v>120</v>
      </c>
      <c r="DN1235" t="s">
        <v>120</v>
      </c>
    </row>
    <row r="1236" spans="1:118">
      <c r="A1236" t="str">
        <f>"002877"</f>
        <v>002877</v>
      </c>
      <c r="B1236" t="s">
        <v>6763</v>
      </c>
      <c r="C1236">
        <v>-0.9</v>
      </c>
      <c r="D1236">
        <v>-0.14000000000000001</v>
      </c>
      <c r="E1236">
        <v>0.75</v>
      </c>
      <c r="F1236">
        <v>614</v>
      </c>
      <c r="G1236" t="s">
        <v>6764</v>
      </c>
      <c r="H1236">
        <v>1611.51</v>
      </c>
      <c r="I1236">
        <v>0.47</v>
      </c>
      <c r="J1236" t="s">
        <v>120</v>
      </c>
      <c r="K1236" t="s">
        <v>1612</v>
      </c>
      <c r="L1236">
        <v>1.17</v>
      </c>
      <c r="M1236">
        <v>6.61</v>
      </c>
      <c r="N1236">
        <v>1.02</v>
      </c>
      <c r="O1236">
        <v>1.65</v>
      </c>
      <c r="P1236">
        <v>6.78</v>
      </c>
      <c r="Q1236">
        <v>-0.9</v>
      </c>
      <c r="R1236">
        <v>6.61</v>
      </c>
      <c r="S1236">
        <v>6.72</v>
      </c>
      <c r="T1236">
        <v>24045</v>
      </c>
      <c r="U1236">
        <v>6.62</v>
      </c>
      <c r="V1236">
        <v>6.67</v>
      </c>
      <c r="W1236">
        <v>48.74</v>
      </c>
      <c r="X1236" t="s">
        <v>2717</v>
      </c>
      <c r="Y1236" t="s">
        <v>319</v>
      </c>
      <c r="Z1236">
        <v>2.5499999999999998</v>
      </c>
      <c r="AA1236">
        <v>6.7</v>
      </c>
      <c r="AB1236">
        <v>13650</v>
      </c>
      <c r="AC1236">
        <v>10395</v>
      </c>
      <c r="AD1236">
        <v>1.31</v>
      </c>
      <c r="AE1236">
        <v>474</v>
      </c>
      <c r="AF1236">
        <v>13</v>
      </c>
      <c r="AG1236" t="s">
        <v>120</v>
      </c>
      <c r="AH1236">
        <v>0</v>
      </c>
      <c r="AI1236" t="s">
        <v>120</v>
      </c>
      <c r="AJ1236">
        <v>2.06</v>
      </c>
      <c r="AK1236" t="s">
        <v>6765</v>
      </c>
      <c r="AL1236">
        <v>1.01</v>
      </c>
      <c r="AM1236">
        <v>876</v>
      </c>
      <c r="AN1236">
        <v>27</v>
      </c>
      <c r="AO1236">
        <v>1.2999999999999999E-3</v>
      </c>
      <c r="AP1236">
        <v>-1</v>
      </c>
      <c r="AQ1236">
        <v>0.6</v>
      </c>
      <c r="AR1236">
        <v>-2.2200000000000002</v>
      </c>
      <c r="AS1236">
        <v>2.96</v>
      </c>
      <c r="AT1236">
        <v>-0.19</v>
      </c>
      <c r="AU1236">
        <v>-7.32</v>
      </c>
      <c r="AV1236">
        <v>0</v>
      </c>
      <c r="AW1236">
        <v>2.37</v>
      </c>
      <c r="AX1236">
        <v>30.5</v>
      </c>
      <c r="AY1236">
        <v>38.020000000000003</v>
      </c>
      <c r="AZ1236">
        <v>38.85</v>
      </c>
      <c r="BA1236">
        <v>0.63</v>
      </c>
      <c r="BB1236" t="s">
        <v>143</v>
      </c>
      <c r="BF1236">
        <v>0.48</v>
      </c>
      <c r="BG1236">
        <v>-1.64</v>
      </c>
      <c r="BH1236">
        <v>-2.5099999999999998</v>
      </c>
      <c r="BI1236">
        <v>0</v>
      </c>
      <c r="BJ1236">
        <v>20210821</v>
      </c>
      <c r="BK1236">
        <v>20170605</v>
      </c>
      <c r="BL1236">
        <v>3.33</v>
      </c>
      <c r="BM1236" t="s">
        <v>120</v>
      </c>
      <c r="BN1236" t="s">
        <v>120</v>
      </c>
      <c r="BO1236">
        <v>15.49</v>
      </c>
      <c r="BP1236">
        <v>6.61</v>
      </c>
      <c r="BQ1236">
        <v>7.86</v>
      </c>
      <c r="BR1236" t="s">
        <v>120</v>
      </c>
      <c r="BS1236">
        <v>49.3</v>
      </c>
      <c r="BT1236">
        <v>8.1199999999999992</v>
      </c>
      <c r="BU1236">
        <v>5.72</v>
      </c>
      <c r="BV1236">
        <v>0.79</v>
      </c>
      <c r="BW1236">
        <v>5.53</v>
      </c>
      <c r="BX1236">
        <v>0.96</v>
      </c>
      <c r="BY1236">
        <v>3.23</v>
      </c>
      <c r="BZ1236">
        <v>2.35</v>
      </c>
      <c r="CA1236" t="s">
        <v>120</v>
      </c>
      <c r="CB1236">
        <v>0.17</v>
      </c>
      <c r="CC1236">
        <v>3.41</v>
      </c>
      <c r="CD1236">
        <v>2.44</v>
      </c>
      <c r="CE1236">
        <v>0.26</v>
      </c>
      <c r="CF1236">
        <v>0</v>
      </c>
      <c r="CG1236">
        <v>0.26</v>
      </c>
      <c r="CH1236">
        <v>0.23</v>
      </c>
      <c r="CI1236">
        <v>0.23</v>
      </c>
      <c r="CJ1236">
        <v>-0.06</v>
      </c>
      <c r="CK1236">
        <v>0.22</v>
      </c>
      <c r="CL1236">
        <v>3.48</v>
      </c>
      <c r="CM1236">
        <v>0.28000000000000003</v>
      </c>
      <c r="CN1236">
        <v>0.36</v>
      </c>
      <c r="CO1236">
        <v>17384</v>
      </c>
      <c r="CP1236">
        <v>5834</v>
      </c>
      <c r="CQ1236" t="s">
        <v>2735</v>
      </c>
      <c r="CR1236">
        <v>5.9</v>
      </c>
      <c r="CS1236">
        <v>38.93</v>
      </c>
      <c r="CT1236">
        <v>2.97</v>
      </c>
      <c r="CU1236">
        <v>79.41</v>
      </c>
      <c r="CV1236">
        <v>6.44</v>
      </c>
      <c r="CW1236">
        <v>0.56999999999999995</v>
      </c>
      <c r="CX1236" t="s">
        <v>679</v>
      </c>
      <c r="CY1236">
        <v>2.2200000000000002</v>
      </c>
      <c r="CZ1236">
        <v>2.2200000000000002</v>
      </c>
      <c r="DA1236">
        <v>0.05</v>
      </c>
      <c r="DB1236">
        <v>1.05</v>
      </c>
      <c r="DC1236">
        <v>0.08</v>
      </c>
      <c r="DD1236">
        <v>50.7</v>
      </c>
      <c r="DE1236" t="s">
        <v>6766</v>
      </c>
      <c r="DF1236">
        <v>28.55</v>
      </c>
      <c r="DG1236">
        <v>7.57</v>
      </c>
      <c r="DH1236">
        <v>6.61</v>
      </c>
      <c r="DI1236">
        <v>0.11</v>
      </c>
      <c r="DJ1236">
        <v>783</v>
      </c>
      <c r="DK1236">
        <v>2877</v>
      </c>
      <c r="DL1236" t="s">
        <v>120</v>
      </c>
      <c r="DM1236" t="s">
        <v>120</v>
      </c>
      <c r="DN1236" t="s">
        <v>120</v>
      </c>
    </row>
    <row r="1237" spans="1:118">
      <c r="A1237" t="str">
        <f>"002878"</f>
        <v>002878</v>
      </c>
      <c r="B1237" t="s">
        <v>6767</v>
      </c>
      <c r="C1237">
        <v>-0.5</v>
      </c>
      <c r="D1237">
        <v>0</v>
      </c>
      <c r="E1237">
        <v>0.44</v>
      </c>
      <c r="F1237">
        <v>162</v>
      </c>
      <c r="G1237" t="s">
        <v>6768</v>
      </c>
      <c r="H1237">
        <v>2659.03</v>
      </c>
      <c r="I1237">
        <v>6.59</v>
      </c>
      <c r="J1237" t="s">
        <v>120</v>
      </c>
      <c r="K1237" t="s">
        <v>6769</v>
      </c>
      <c r="L1237">
        <v>0.88</v>
      </c>
      <c r="M1237">
        <v>15.93</v>
      </c>
      <c r="N1237">
        <v>0.64</v>
      </c>
      <c r="O1237">
        <v>2.56</v>
      </c>
      <c r="P1237">
        <v>16.420000000000002</v>
      </c>
      <c r="Q1237">
        <v>-1.1200000000000001</v>
      </c>
      <c r="R1237">
        <v>15.83</v>
      </c>
      <c r="S1237">
        <v>16.079999999999998</v>
      </c>
      <c r="T1237">
        <v>16523</v>
      </c>
      <c r="U1237">
        <v>15.94</v>
      </c>
      <c r="V1237">
        <v>16.010000000000002</v>
      </c>
      <c r="W1237">
        <v>30.97</v>
      </c>
      <c r="X1237" t="s">
        <v>213</v>
      </c>
      <c r="Y1237" t="s">
        <v>158</v>
      </c>
      <c r="Z1237">
        <v>3.69</v>
      </c>
      <c r="AA1237">
        <v>16.09</v>
      </c>
      <c r="AB1237">
        <v>8819</v>
      </c>
      <c r="AC1237">
        <v>7704</v>
      </c>
      <c r="AD1237">
        <v>1.1399999999999999</v>
      </c>
      <c r="AE1237">
        <v>87</v>
      </c>
      <c r="AF1237">
        <v>51</v>
      </c>
      <c r="AG1237" t="s">
        <v>120</v>
      </c>
      <c r="AH1237">
        <v>0.01</v>
      </c>
      <c r="AI1237" t="s">
        <v>120</v>
      </c>
      <c r="AJ1237">
        <v>1.88</v>
      </c>
      <c r="AK1237" t="s">
        <v>5982</v>
      </c>
      <c r="AL1237">
        <v>1.41</v>
      </c>
      <c r="AM1237">
        <v>1232</v>
      </c>
      <c r="AN1237">
        <v>13</v>
      </c>
      <c r="AO1237">
        <v>6.9999999999999999E-4</v>
      </c>
      <c r="AP1237">
        <v>-6</v>
      </c>
      <c r="AQ1237">
        <v>-1.05</v>
      </c>
      <c r="AR1237">
        <v>-4.67</v>
      </c>
      <c r="AS1237">
        <v>0.82</v>
      </c>
      <c r="AT1237">
        <v>-11.01</v>
      </c>
      <c r="AU1237">
        <v>-21.14</v>
      </c>
      <c r="AV1237">
        <v>3</v>
      </c>
      <c r="AW1237">
        <v>2.29</v>
      </c>
      <c r="AX1237">
        <v>32.590000000000003</v>
      </c>
      <c r="AY1237">
        <v>23.36</v>
      </c>
      <c r="AZ1237">
        <v>21.73</v>
      </c>
      <c r="BA1237">
        <v>0.35</v>
      </c>
      <c r="BB1237" t="s">
        <v>143</v>
      </c>
      <c r="BF1237">
        <v>0.52</v>
      </c>
      <c r="BG1237">
        <v>-0.93</v>
      </c>
      <c r="BH1237">
        <v>-2.98</v>
      </c>
      <c r="BI1237">
        <v>0.63</v>
      </c>
      <c r="BJ1237">
        <v>20210914</v>
      </c>
      <c r="BK1237">
        <v>20170606</v>
      </c>
      <c r="BL1237">
        <v>2.21</v>
      </c>
      <c r="BM1237" t="s">
        <v>120</v>
      </c>
      <c r="BN1237" t="s">
        <v>120</v>
      </c>
      <c r="BO1237">
        <v>13.39</v>
      </c>
      <c r="BP1237">
        <v>15.93</v>
      </c>
      <c r="BQ1237">
        <v>8.15</v>
      </c>
      <c r="BR1237">
        <v>0.45</v>
      </c>
      <c r="BS1237">
        <v>35.74</v>
      </c>
      <c r="BT1237">
        <v>10.64</v>
      </c>
      <c r="BU1237">
        <v>0.15</v>
      </c>
      <c r="BV1237">
        <v>0.14000000000000001</v>
      </c>
      <c r="BW1237">
        <v>4.58</v>
      </c>
      <c r="BX1237">
        <v>2.2799999999999998</v>
      </c>
      <c r="BY1237">
        <v>1.66</v>
      </c>
      <c r="BZ1237">
        <v>5.59</v>
      </c>
      <c r="CA1237" t="s">
        <v>120</v>
      </c>
      <c r="CB1237">
        <v>1.97</v>
      </c>
      <c r="CC1237">
        <v>9.32</v>
      </c>
      <c r="CD1237">
        <v>7.31</v>
      </c>
      <c r="CE1237">
        <v>0.78</v>
      </c>
      <c r="CF1237">
        <v>0.01</v>
      </c>
      <c r="CG1237">
        <v>0.78</v>
      </c>
      <c r="CH1237">
        <v>0.7</v>
      </c>
      <c r="CI1237">
        <v>0.56999999999999995</v>
      </c>
      <c r="CJ1237">
        <v>-0.08</v>
      </c>
      <c r="CK1237">
        <v>0.45</v>
      </c>
      <c r="CL1237">
        <v>3.35</v>
      </c>
      <c r="CM1237">
        <v>-0.23</v>
      </c>
      <c r="CN1237">
        <v>-1.48</v>
      </c>
      <c r="CO1237">
        <v>14889</v>
      </c>
      <c r="CP1237">
        <v>4846</v>
      </c>
      <c r="CQ1237" t="s">
        <v>3971</v>
      </c>
      <c r="CR1237">
        <v>-16.690000000000001</v>
      </c>
      <c r="CS1237">
        <v>9.81</v>
      </c>
      <c r="CT1237">
        <v>4.33</v>
      </c>
      <c r="CU1237">
        <v>-155.38</v>
      </c>
      <c r="CV1237">
        <v>3.79</v>
      </c>
      <c r="CW1237">
        <v>2.25</v>
      </c>
      <c r="CX1237" t="s">
        <v>670</v>
      </c>
      <c r="CY1237">
        <v>3.68</v>
      </c>
      <c r="CZ1237">
        <v>0</v>
      </c>
      <c r="DA1237">
        <v>0.89</v>
      </c>
      <c r="DB1237">
        <v>1.51</v>
      </c>
      <c r="DC1237">
        <v>-0.1</v>
      </c>
      <c r="DD1237">
        <v>60.91</v>
      </c>
      <c r="DE1237" t="s">
        <v>6770</v>
      </c>
      <c r="DF1237">
        <v>21.49</v>
      </c>
      <c r="DG1237">
        <v>8.41</v>
      </c>
      <c r="DH1237">
        <v>6.11</v>
      </c>
      <c r="DI1237">
        <v>0.41</v>
      </c>
      <c r="DJ1237">
        <v>725</v>
      </c>
      <c r="DK1237">
        <v>2878</v>
      </c>
      <c r="DL1237" t="s">
        <v>120</v>
      </c>
      <c r="DM1237" t="s">
        <v>120</v>
      </c>
      <c r="DN1237" t="s">
        <v>120</v>
      </c>
    </row>
    <row r="1238" spans="1:118">
      <c r="A1238" t="str">
        <f>"002879"</f>
        <v>002879</v>
      </c>
      <c r="B1238" t="s">
        <v>6771</v>
      </c>
      <c r="C1238">
        <v>-0.52</v>
      </c>
      <c r="D1238">
        <v>0</v>
      </c>
      <c r="E1238">
        <v>-0.09</v>
      </c>
      <c r="F1238">
        <v>487</v>
      </c>
      <c r="G1238" t="s">
        <v>6772</v>
      </c>
      <c r="H1238">
        <v>6808.92</v>
      </c>
      <c r="I1238">
        <v>5.91</v>
      </c>
      <c r="J1238" t="s">
        <v>120</v>
      </c>
      <c r="K1238" t="s">
        <v>6773</v>
      </c>
      <c r="L1238">
        <v>2.4300000000000002</v>
      </c>
      <c r="M1238">
        <v>21.01</v>
      </c>
      <c r="N1238">
        <v>0.92</v>
      </c>
      <c r="O1238">
        <v>1.7</v>
      </c>
      <c r="P1238">
        <v>21.48</v>
      </c>
      <c r="Q1238">
        <v>-2.46</v>
      </c>
      <c r="R1238">
        <v>20.6</v>
      </c>
      <c r="S1238">
        <v>21.1</v>
      </c>
      <c r="T1238">
        <v>32486</v>
      </c>
      <c r="U1238">
        <v>21.05</v>
      </c>
      <c r="V1238">
        <v>21.12</v>
      </c>
      <c r="W1238">
        <v>22.71</v>
      </c>
      <c r="X1238" t="s">
        <v>394</v>
      </c>
      <c r="Y1238" t="s">
        <v>594</v>
      </c>
      <c r="Z1238">
        <v>4.17</v>
      </c>
      <c r="AA1238">
        <v>20.96</v>
      </c>
      <c r="AB1238">
        <v>17672</v>
      </c>
      <c r="AC1238">
        <v>14814</v>
      </c>
      <c r="AD1238">
        <v>1.19</v>
      </c>
      <c r="AE1238">
        <v>104</v>
      </c>
      <c r="AF1238">
        <v>25</v>
      </c>
      <c r="AG1238" t="s">
        <v>120</v>
      </c>
      <c r="AH1238">
        <v>0</v>
      </c>
      <c r="AI1238" t="s">
        <v>120</v>
      </c>
      <c r="AJ1238">
        <v>1.34</v>
      </c>
      <c r="AK1238" t="s">
        <v>4823</v>
      </c>
      <c r="AL1238">
        <v>1.39</v>
      </c>
      <c r="AM1238">
        <v>1831</v>
      </c>
      <c r="AN1238">
        <v>18</v>
      </c>
      <c r="AO1238">
        <v>1.2999999999999999E-3</v>
      </c>
      <c r="AP1238">
        <v>-1</v>
      </c>
      <c r="AQ1238">
        <v>0.81</v>
      </c>
      <c r="AR1238">
        <v>0.28000000000000003</v>
      </c>
      <c r="AS1238">
        <v>19.37</v>
      </c>
      <c r="AT1238">
        <v>39.14</v>
      </c>
      <c r="AU1238">
        <v>42.16</v>
      </c>
      <c r="AV1238">
        <v>0</v>
      </c>
      <c r="AW1238">
        <v>2.76</v>
      </c>
      <c r="AX1238">
        <v>60.87</v>
      </c>
      <c r="AY1238">
        <v>23.84</v>
      </c>
      <c r="AZ1238">
        <v>25.24</v>
      </c>
      <c r="BA1238">
        <v>0.19</v>
      </c>
      <c r="BB1238" t="s">
        <v>184</v>
      </c>
      <c r="BF1238">
        <v>-0.76</v>
      </c>
      <c r="BG1238">
        <v>-0.43</v>
      </c>
      <c r="BH1238">
        <v>-2.19</v>
      </c>
      <c r="BI1238">
        <v>1.99</v>
      </c>
      <c r="BJ1238">
        <v>20210818</v>
      </c>
      <c r="BK1238">
        <v>20170707</v>
      </c>
      <c r="BL1238">
        <v>1.93</v>
      </c>
      <c r="BM1238" t="s">
        <v>120</v>
      </c>
      <c r="BN1238" t="s">
        <v>120</v>
      </c>
      <c r="BO1238">
        <v>19.54</v>
      </c>
      <c r="BP1238">
        <v>21.01</v>
      </c>
      <c r="BQ1238">
        <v>15.84</v>
      </c>
      <c r="BR1238" t="s">
        <v>120</v>
      </c>
      <c r="BS1238">
        <v>18.95</v>
      </c>
      <c r="BT1238">
        <v>16.010000000000002</v>
      </c>
      <c r="BU1238">
        <v>2.14</v>
      </c>
      <c r="BV1238">
        <v>0.44</v>
      </c>
      <c r="BW1238">
        <v>3.31</v>
      </c>
      <c r="BX1238">
        <v>1.92</v>
      </c>
      <c r="BY1238">
        <v>2.08</v>
      </c>
      <c r="BZ1238">
        <v>6.16</v>
      </c>
      <c r="CA1238" t="s">
        <v>120</v>
      </c>
      <c r="CB1238">
        <v>7.09</v>
      </c>
      <c r="CC1238">
        <v>4.9000000000000004</v>
      </c>
      <c r="CD1238">
        <v>2.37</v>
      </c>
      <c r="CE1238">
        <v>1</v>
      </c>
      <c r="CF1238">
        <v>0.03</v>
      </c>
      <c r="CG1238">
        <v>0.99</v>
      </c>
      <c r="CH1238">
        <v>0.89</v>
      </c>
      <c r="CI1238">
        <v>0.89</v>
      </c>
      <c r="CJ1238">
        <v>-0.11</v>
      </c>
      <c r="CK1238">
        <v>0.81</v>
      </c>
      <c r="CL1238">
        <v>7.74</v>
      </c>
      <c r="CM1238">
        <v>-0.65</v>
      </c>
      <c r="CN1238">
        <v>-2.4900000000000002</v>
      </c>
      <c r="CO1238">
        <v>13187</v>
      </c>
      <c r="CP1238">
        <v>8913</v>
      </c>
      <c r="CQ1238" t="s">
        <v>6774</v>
      </c>
      <c r="CR1238">
        <v>11.85</v>
      </c>
      <c r="CS1238">
        <v>16.62</v>
      </c>
      <c r="CT1238">
        <v>2.56</v>
      </c>
      <c r="CU1238">
        <v>-62.6</v>
      </c>
      <c r="CV1238">
        <v>8.27</v>
      </c>
      <c r="CW1238">
        <v>1.01</v>
      </c>
      <c r="CX1238" t="s">
        <v>550</v>
      </c>
      <c r="CY1238">
        <v>8.1999999999999993</v>
      </c>
      <c r="CZ1238">
        <v>0</v>
      </c>
      <c r="DA1238">
        <v>3.67</v>
      </c>
      <c r="DB1238">
        <v>4.01</v>
      </c>
      <c r="DC1238">
        <v>-0.34</v>
      </c>
      <c r="DD1238">
        <v>81.05</v>
      </c>
      <c r="DE1238" t="s">
        <v>1582</v>
      </c>
      <c r="DF1238">
        <v>51.75</v>
      </c>
      <c r="DG1238">
        <v>20.350000000000001</v>
      </c>
      <c r="DH1238">
        <v>18.22</v>
      </c>
      <c r="DI1238">
        <v>0.3</v>
      </c>
      <c r="DJ1238">
        <v>1371</v>
      </c>
      <c r="DK1238">
        <v>2879</v>
      </c>
      <c r="DL1238" t="s">
        <v>120</v>
      </c>
      <c r="DM1238" t="s">
        <v>120</v>
      </c>
      <c r="DN1238" t="s">
        <v>120</v>
      </c>
    </row>
    <row r="1239" spans="1:118">
      <c r="A1239" t="str">
        <f>"002880"</f>
        <v>002880</v>
      </c>
      <c r="B1239" t="s">
        <v>6775</v>
      </c>
      <c r="C1239">
        <v>1.85</v>
      </c>
      <c r="D1239">
        <v>0.03</v>
      </c>
      <c r="E1239">
        <v>0</v>
      </c>
      <c r="F1239">
        <v>47</v>
      </c>
      <c r="G1239" t="s">
        <v>6776</v>
      </c>
      <c r="H1239">
        <v>2871.97</v>
      </c>
      <c r="I1239">
        <v>4.84</v>
      </c>
      <c r="J1239" t="s">
        <v>120</v>
      </c>
      <c r="K1239" t="s">
        <v>6777</v>
      </c>
      <c r="L1239">
        <v>0.41</v>
      </c>
      <c r="M1239">
        <v>30.84</v>
      </c>
      <c r="N1239">
        <v>1.48</v>
      </c>
      <c r="O1239">
        <v>4.03</v>
      </c>
      <c r="P1239">
        <v>31.5</v>
      </c>
      <c r="Q1239">
        <v>-0.2</v>
      </c>
      <c r="R1239">
        <v>30.22</v>
      </c>
      <c r="S1239">
        <v>30.28</v>
      </c>
      <c r="T1239">
        <v>9261</v>
      </c>
      <c r="U1239">
        <v>30.85</v>
      </c>
      <c r="V1239">
        <v>30.28</v>
      </c>
      <c r="W1239">
        <v>49.99</v>
      </c>
      <c r="X1239" t="s">
        <v>666</v>
      </c>
      <c r="Y1239" t="s">
        <v>123</v>
      </c>
      <c r="Z1239">
        <v>4.2300000000000004</v>
      </c>
      <c r="AA1239">
        <v>31.01</v>
      </c>
      <c r="AB1239">
        <v>3387</v>
      </c>
      <c r="AC1239">
        <v>5874</v>
      </c>
      <c r="AD1239">
        <v>0.57999999999999996</v>
      </c>
      <c r="AE1239">
        <v>7</v>
      </c>
      <c r="AF1239">
        <v>116</v>
      </c>
      <c r="AG1239" t="s">
        <v>120</v>
      </c>
      <c r="AH1239">
        <v>0</v>
      </c>
      <c r="AI1239" t="s">
        <v>120</v>
      </c>
      <c r="AJ1239">
        <v>2.27</v>
      </c>
      <c r="AK1239" t="s">
        <v>6777</v>
      </c>
      <c r="AL1239">
        <v>3.76</v>
      </c>
      <c r="AM1239">
        <v>999</v>
      </c>
      <c r="AN1239">
        <v>9</v>
      </c>
      <c r="AO1239">
        <v>4.0000000000000002E-4</v>
      </c>
      <c r="AP1239">
        <v>2</v>
      </c>
      <c r="AQ1239">
        <v>0.46</v>
      </c>
      <c r="AR1239">
        <v>0.41</v>
      </c>
      <c r="AS1239">
        <v>-7.94</v>
      </c>
      <c r="AT1239">
        <v>-17.760000000000002</v>
      </c>
      <c r="AU1239">
        <v>-9.64</v>
      </c>
      <c r="AV1239">
        <v>1</v>
      </c>
      <c r="AW1239">
        <v>1.48</v>
      </c>
      <c r="AX1239">
        <v>27.5</v>
      </c>
      <c r="AY1239">
        <v>37.56</v>
      </c>
      <c r="AZ1239">
        <v>36.07</v>
      </c>
      <c r="BA1239">
        <v>0.7</v>
      </c>
      <c r="BB1239" t="s">
        <v>143</v>
      </c>
      <c r="BF1239">
        <v>2.41</v>
      </c>
      <c r="BG1239">
        <v>1.85</v>
      </c>
      <c r="BH1239">
        <v>-2.1</v>
      </c>
      <c r="BI1239">
        <v>2.0499999999999998</v>
      </c>
      <c r="BJ1239">
        <v>20210821</v>
      </c>
      <c r="BK1239">
        <v>20170616</v>
      </c>
      <c r="BL1239">
        <v>2.27</v>
      </c>
      <c r="BM1239" t="s">
        <v>120</v>
      </c>
      <c r="BN1239" t="s">
        <v>120</v>
      </c>
      <c r="BO1239">
        <v>17.96</v>
      </c>
      <c r="BP1239">
        <v>30.84</v>
      </c>
      <c r="BQ1239">
        <v>16.329999999999998</v>
      </c>
      <c r="BR1239">
        <v>0.2</v>
      </c>
      <c r="BS1239">
        <v>7.98</v>
      </c>
      <c r="BT1239">
        <v>9.69</v>
      </c>
      <c r="BU1239">
        <v>2.87</v>
      </c>
      <c r="BV1239">
        <v>0.77</v>
      </c>
      <c r="BW1239">
        <v>1.17</v>
      </c>
      <c r="BX1239">
        <v>2.99</v>
      </c>
      <c r="BY1239">
        <v>4.66</v>
      </c>
      <c r="BZ1239">
        <v>1.0900000000000001</v>
      </c>
      <c r="CA1239" t="s">
        <v>120</v>
      </c>
      <c r="CB1239">
        <v>5.75</v>
      </c>
      <c r="CC1239">
        <v>3.36</v>
      </c>
      <c r="CD1239">
        <v>2</v>
      </c>
      <c r="CE1239">
        <v>0.83</v>
      </c>
      <c r="CF1239">
        <v>0</v>
      </c>
      <c r="CG1239">
        <v>0.83</v>
      </c>
      <c r="CH1239">
        <v>0.7</v>
      </c>
      <c r="CI1239">
        <v>0.7</v>
      </c>
      <c r="CJ1239">
        <v>0.56000000000000005</v>
      </c>
      <c r="CK1239">
        <v>0.66</v>
      </c>
      <c r="CL1239">
        <v>7.18</v>
      </c>
      <c r="CM1239">
        <v>0.44</v>
      </c>
      <c r="CN1239">
        <v>-1.57</v>
      </c>
      <c r="CO1239">
        <v>10963</v>
      </c>
      <c r="CP1239">
        <v>5689</v>
      </c>
      <c r="CQ1239" t="s">
        <v>6778</v>
      </c>
      <c r="CR1239">
        <v>-9.73</v>
      </c>
      <c r="CS1239">
        <v>-17.61</v>
      </c>
      <c r="CT1239">
        <v>4.28</v>
      </c>
      <c r="CU1239">
        <v>157.69999999999999</v>
      </c>
      <c r="CV1239">
        <v>20.83</v>
      </c>
      <c r="CW1239">
        <v>0.59</v>
      </c>
      <c r="CX1239" t="s">
        <v>4152</v>
      </c>
      <c r="CY1239">
        <v>7.2</v>
      </c>
      <c r="CZ1239">
        <v>0</v>
      </c>
      <c r="DA1239">
        <v>2.5299999999999998</v>
      </c>
      <c r="DB1239">
        <v>3.16</v>
      </c>
      <c r="DC1239">
        <v>0.2</v>
      </c>
      <c r="DD1239">
        <v>90.93</v>
      </c>
      <c r="DE1239" t="s">
        <v>5343</v>
      </c>
      <c r="DF1239">
        <v>40.479999999999997</v>
      </c>
      <c r="DG1239">
        <v>24.7</v>
      </c>
      <c r="DH1239">
        <v>20.83</v>
      </c>
      <c r="DI1239">
        <v>0.2</v>
      </c>
      <c r="DJ1239">
        <v>714</v>
      </c>
      <c r="DK1239">
        <v>2880</v>
      </c>
      <c r="DL1239" t="s">
        <v>120</v>
      </c>
      <c r="DM1239" t="s">
        <v>120</v>
      </c>
      <c r="DN1239" t="s">
        <v>120</v>
      </c>
    </row>
    <row r="1240" spans="1:118">
      <c r="A1240" t="str">
        <f>"002881"</f>
        <v>002881</v>
      </c>
      <c r="B1240" t="s">
        <v>6779</v>
      </c>
      <c r="C1240">
        <v>-2.92</v>
      </c>
      <c r="D1240">
        <v>-0.06</v>
      </c>
      <c r="E1240">
        <v>-1.99</v>
      </c>
      <c r="F1240">
        <v>374</v>
      </c>
      <c r="G1240" t="s">
        <v>6780</v>
      </c>
      <c r="H1240">
        <v>6499.68</v>
      </c>
      <c r="I1240">
        <v>55.86</v>
      </c>
      <c r="J1240" t="s">
        <v>120</v>
      </c>
      <c r="K1240" t="s">
        <v>6781</v>
      </c>
      <c r="L1240">
        <v>2.21</v>
      </c>
      <c r="M1240">
        <v>28.23</v>
      </c>
      <c r="N1240">
        <v>0.84</v>
      </c>
      <c r="O1240">
        <v>0.69</v>
      </c>
      <c r="P1240">
        <v>29.28</v>
      </c>
      <c r="Q1240">
        <v>-3.71</v>
      </c>
      <c r="R1240">
        <v>28</v>
      </c>
      <c r="S1240">
        <v>28.5</v>
      </c>
      <c r="T1240">
        <v>22838</v>
      </c>
      <c r="U1240">
        <v>28.24</v>
      </c>
      <c r="V1240">
        <v>29.08</v>
      </c>
      <c r="W1240">
        <v>54.78</v>
      </c>
      <c r="X1240" t="s">
        <v>462</v>
      </c>
      <c r="Y1240" t="s">
        <v>123</v>
      </c>
      <c r="Z1240">
        <v>4.4000000000000004</v>
      </c>
      <c r="AA1240">
        <v>28.46</v>
      </c>
      <c r="AB1240">
        <v>13691</v>
      </c>
      <c r="AC1240">
        <v>9147</v>
      </c>
      <c r="AD1240">
        <v>1.5</v>
      </c>
      <c r="AE1240">
        <v>28</v>
      </c>
      <c r="AF1240">
        <v>67</v>
      </c>
      <c r="AG1240" t="s">
        <v>120</v>
      </c>
      <c r="AH1240">
        <v>0.05</v>
      </c>
      <c r="AI1240" t="s">
        <v>120</v>
      </c>
      <c r="AJ1240">
        <v>1.03</v>
      </c>
      <c r="AK1240" t="s">
        <v>6782</v>
      </c>
      <c r="AL1240">
        <v>-1.01</v>
      </c>
      <c r="AM1240">
        <v>1984</v>
      </c>
      <c r="AN1240">
        <v>12</v>
      </c>
      <c r="AO1240">
        <v>1.1000000000000001E-3</v>
      </c>
      <c r="AP1240">
        <v>-2</v>
      </c>
      <c r="AQ1240">
        <v>-5.95</v>
      </c>
      <c r="AR1240">
        <v>0.43</v>
      </c>
      <c r="AS1240">
        <v>-10.32</v>
      </c>
      <c r="AT1240">
        <v>-0.81</v>
      </c>
      <c r="AU1240">
        <v>42.58</v>
      </c>
      <c r="AV1240">
        <v>11</v>
      </c>
      <c r="AW1240">
        <v>5.53</v>
      </c>
      <c r="AX1240">
        <v>22.4</v>
      </c>
      <c r="AY1240">
        <v>88.38</v>
      </c>
      <c r="AZ1240">
        <v>195.52</v>
      </c>
      <c r="BA1240">
        <v>0.46</v>
      </c>
      <c r="BB1240" t="s">
        <v>143</v>
      </c>
      <c r="BF1240">
        <v>-2.13</v>
      </c>
      <c r="BG1240">
        <v>-0.95</v>
      </c>
      <c r="BH1240">
        <v>-3.59</v>
      </c>
      <c r="BI1240">
        <v>0.82</v>
      </c>
      <c r="BJ1240">
        <v>20210827</v>
      </c>
      <c r="BK1240">
        <v>20170622</v>
      </c>
      <c r="BL1240">
        <v>1.84</v>
      </c>
      <c r="BM1240" t="s">
        <v>120</v>
      </c>
      <c r="BN1240" t="s">
        <v>120</v>
      </c>
      <c r="BO1240">
        <v>13.56</v>
      </c>
      <c r="BP1240">
        <v>28.22</v>
      </c>
      <c r="BQ1240">
        <v>5.95</v>
      </c>
      <c r="BR1240" t="s">
        <v>120</v>
      </c>
      <c r="BS1240">
        <v>56.14</v>
      </c>
      <c r="BT1240">
        <v>10.96</v>
      </c>
      <c r="BU1240">
        <v>0.22</v>
      </c>
      <c r="BV1240">
        <v>0.46</v>
      </c>
      <c r="BW1240">
        <v>7.18</v>
      </c>
      <c r="BX1240">
        <v>2.2400000000000002</v>
      </c>
      <c r="BY1240">
        <v>4.6399999999999997</v>
      </c>
      <c r="BZ1240">
        <v>1.93</v>
      </c>
      <c r="CA1240">
        <v>0</v>
      </c>
      <c r="CB1240">
        <v>2.2799999999999998</v>
      </c>
      <c r="CC1240">
        <v>7.01</v>
      </c>
      <c r="CD1240">
        <v>5.72</v>
      </c>
      <c r="CE1240">
        <v>0.64</v>
      </c>
      <c r="CF1240">
        <v>-0.04</v>
      </c>
      <c r="CG1240">
        <v>0.64</v>
      </c>
      <c r="CH1240">
        <v>0.48</v>
      </c>
      <c r="CI1240">
        <v>0.48</v>
      </c>
      <c r="CJ1240">
        <v>-0.85</v>
      </c>
      <c r="CK1240">
        <v>0.16</v>
      </c>
      <c r="CL1240">
        <v>2.4500000000000002</v>
      </c>
      <c r="CM1240">
        <v>-1.82</v>
      </c>
      <c r="CN1240">
        <v>-0.03</v>
      </c>
      <c r="CO1240">
        <v>22394</v>
      </c>
      <c r="CP1240">
        <v>1845</v>
      </c>
      <c r="CQ1240" t="s">
        <v>2091</v>
      </c>
      <c r="CR1240">
        <v>233.07</v>
      </c>
      <c r="CS1240">
        <v>61.52</v>
      </c>
      <c r="CT1240">
        <v>8.76</v>
      </c>
      <c r="CU1240">
        <v>-28.66</v>
      </c>
      <c r="CV1240">
        <v>7.43</v>
      </c>
      <c r="CW1240">
        <v>7.0000000000000007E-2</v>
      </c>
      <c r="CX1240" t="s">
        <v>670</v>
      </c>
      <c r="CY1240">
        <v>3.22</v>
      </c>
      <c r="CZ1240">
        <v>3.22</v>
      </c>
      <c r="DA1240">
        <v>1.24</v>
      </c>
      <c r="DB1240">
        <v>1.33</v>
      </c>
      <c r="DC1240">
        <v>-0.98</v>
      </c>
      <c r="DD1240">
        <v>43.86</v>
      </c>
      <c r="DE1240" t="s">
        <v>6783</v>
      </c>
      <c r="DF1240">
        <v>18.350000000000001</v>
      </c>
      <c r="DG1240">
        <v>9.1999999999999993</v>
      </c>
      <c r="DH1240">
        <v>6.78</v>
      </c>
      <c r="DI1240">
        <v>0.55000000000000004</v>
      </c>
      <c r="DJ1240">
        <v>803</v>
      </c>
      <c r="DK1240">
        <v>2881</v>
      </c>
      <c r="DL1240" t="s">
        <v>120</v>
      </c>
      <c r="DM1240" t="s">
        <v>120</v>
      </c>
      <c r="DN1240" t="s">
        <v>120</v>
      </c>
    </row>
    <row r="1241" spans="1:118">
      <c r="A1241" t="str">
        <f>"002882"</f>
        <v>002882</v>
      </c>
      <c r="B1241" t="s">
        <v>6784</v>
      </c>
      <c r="C1241">
        <v>9.9700000000000006</v>
      </c>
      <c r="D1241">
        <v>0</v>
      </c>
      <c r="E1241">
        <v>2.64</v>
      </c>
      <c r="F1241">
        <v>804</v>
      </c>
      <c r="G1241" t="s">
        <v>6785</v>
      </c>
      <c r="H1241">
        <v>34046.400000000001</v>
      </c>
      <c r="I1241">
        <v>309.26</v>
      </c>
      <c r="J1241">
        <v>271.81</v>
      </c>
      <c r="K1241" t="s">
        <v>6786</v>
      </c>
      <c r="L1241">
        <v>6.01</v>
      </c>
      <c r="M1241">
        <v>13.35</v>
      </c>
      <c r="N1241">
        <v>3.41</v>
      </c>
      <c r="O1241">
        <v>9.9700000000000006</v>
      </c>
      <c r="P1241">
        <v>13.35</v>
      </c>
      <c r="Q1241">
        <v>1.65</v>
      </c>
      <c r="R1241">
        <v>12.34</v>
      </c>
      <c r="S1241">
        <v>12.46</v>
      </c>
      <c r="T1241">
        <v>259056</v>
      </c>
      <c r="U1241" t="s">
        <v>120</v>
      </c>
      <c r="V1241">
        <v>12.14</v>
      </c>
      <c r="W1241">
        <v>27.33</v>
      </c>
      <c r="X1241" t="s">
        <v>394</v>
      </c>
      <c r="Y1241" t="s">
        <v>123</v>
      </c>
      <c r="Z1241">
        <v>8.32</v>
      </c>
      <c r="AA1241">
        <v>13.14</v>
      </c>
      <c r="AB1241">
        <v>161069</v>
      </c>
      <c r="AC1241">
        <v>97987</v>
      </c>
      <c r="AD1241">
        <v>1.64</v>
      </c>
      <c r="AE1241">
        <v>2036</v>
      </c>
      <c r="AF1241">
        <v>0</v>
      </c>
      <c r="AG1241" t="s">
        <v>120</v>
      </c>
      <c r="AH1241">
        <v>0.28000000000000003</v>
      </c>
      <c r="AI1241">
        <v>0.01</v>
      </c>
      <c r="AJ1241">
        <v>4.3099999999999996</v>
      </c>
      <c r="AK1241" t="s">
        <v>6787</v>
      </c>
      <c r="AL1241">
        <v>11.88</v>
      </c>
      <c r="AM1241">
        <v>3263</v>
      </c>
      <c r="AN1241">
        <v>79</v>
      </c>
      <c r="AO1241">
        <v>1.8E-3</v>
      </c>
      <c r="AP1241">
        <v>3</v>
      </c>
      <c r="AQ1241">
        <v>1.25</v>
      </c>
      <c r="AR1241">
        <v>12.84</v>
      </c>
      <c r="AS1241">
        <v>-4.9800000000000004</v>
      </c>
      <c r="AT1241">
        <v>54.34</v>
      </c>
      <c r="AU1241">
        <v>50.51</v>
      </c>
      <c r="AV1241">
        <v>5</v>
      </c>
      <c r="AW1241">
        <v>29.06</v>
      </c>
      <c r="AX1241">
        <v>20.59</v>
      </c>
      <c r="AY1241">
        <v>22.41</v>
      </c>
      <c r="AZ1241">
        <v>27.38</v>
      </c>
      <c r="BA1241">
        <v>0</v>
      </c>
      <c r="BB1241" t="s">
        <v>143</v>
      </c>
      <c r="BF1241">
        <v>8.26</v>
      </c>
      <c r="BG1241">
        <v>7.14</v>
      </c>
      <c r="BH1241">
        <v>0</v>
      </c>
      <c r="BI1241">
        <v>8.18</v>
      </c>
      <c r="BJ1241">
        <v>20210901</v>
      </c>
      <c r="BK1241">
        <v>20170717</v>
      </c>
      <c r="BL1241">
        <v>4.33</v>
      </c>
      <c r="BM1241" t="s">
        <v>120</v>
      </c>
      <c r="BN1241" t="s">
        <v>120</v>
      </c>
      <c r="BO1241">
        <v>30.64</v>
      </c>
      <c r="BP1241">
        <v>13.35</v>
      </c>
      <c r="BQ1241">
        <v>19.25</v>
      </c>
      <c r="BR1241" t="s">
        <v>120</v>
      </c>
      <c r="BS1241">
        <v>37.18</v>
      </c>
      <c r="BT1241">
        <v>26.01</v>
      </c>
      <c r="BU1241">
        <v>3.16</v>
      </c>
      <c r="BV1241">
        <v>0.49</v>
      </c>
      <c r="BW1241">
        <v>11.21</v>
      </c>
      <c r="BX1241">
        <v>0.91</v>
      </c>
      <c r="BY1241">
        <v>9.65</v>
      </c>
      <c r="BZ1241">
        <v>10.98</v>
      </c>
      <c r="CA1241" t="s">
        <v>120</v>
      </c>
      <c r="CB1241">
        <v>6.23</v>
      </c>
      <c r="CC1241">
        <v>18.38</v>
      </c>
      <c r="CD1241">
        <v>15.92</v>
      </c>
      <c r="CE1241">
        <v>1.24</v>
      </c>
      <c r="CF1241">
        <v>0.01</v>
      </c>
      <c r="CG1241">
        <v>1.24</v>
      </c>
      <c r="CH1241">
        <v>1.06</v>
      </c>
      <c r="CI1241">
        <v>1.06</v>
      </c>
      <c r="CJ1241">
        <v>1.21</v>
      </c>
      <c r="CK1241">
        <v>1.05</v>
      </c>
      <c r="CL1241">
        <v>7.7</v>
      </c>
      <c r="CM1241">
        <v>-7.03</v>
      </c>
      <c r="CN1241">
        <v>-3.4</v>
      </c>
      <c r="CO1241">
        <v>24613</v>
      </c>
      <c r="CP1241">
        <v>3622</v>
      </c>
      <c r="CQ1241" t="s">
        <v>1174</v>
      </c>
      <c r="CR1241">
        <v>67.39</v>
      </c>
      <c r="CS1241">
        <v>42.51</v>
      </c>
      <c r="CT1241">
        <v>3</v>
      </c>
      <c r="CU1241">
        <v>-8.2200000000000006</v>
      </c>
      <c r="CV1241">
        <v>3.14</v>
      </c>
      <c r="CW1241">
        <v>2.4700000000000002</v>
      </c>
      <c r="CX1241" t="s">
        <v>4588</v>
      </c>
      <c r="CY1241">
        <v>4.45</v>
      </c>
      <c r="CZ1241">
        <v>0</v>
      </c>
      <c r="DA1241">
        <v>1.44</v>
      </c>
      <c r="DB1241">
        <v>1.78</v>
      </c>
      <c r="DC1241">
        <v>-1.63</v>
      </c>
      <c r="DD1241">
        <v>62.82</v>
      </c>
      <c r="DE1241" t="s">
        <v>4988</v>
      </c>
      <c r="DF1241">
        <v>13.37</v>
      </c>
      <c r="DG1241">
        <v>6.73</v>
      </c>
      <c r="DH1241">
        <v>5.75</v>
      </c>
      <c r="DI1241">
        <v>0.03</v>
      </c>
      <c r="DJ1241">
        <v>1208</v>
      </c>
      <c r="DK1241">
        <v>2882</v>
      </c>
      <c r="DL1241" t="s">
        <v>120</v>
      </c>
      <c r="DM1241" t="s">
        <v>120</v>
      </c>
      <c r="DN1241" t="s">
        <v>120</v>
      </c>
    </row>
    <row r="1242" spans="1:118">
      <c r="A1242" t="str">
        <f>"002883"</f>
        <v>002883</v>
      </c>
      <c r="B1242" t="s">
        <v>6788</v>
      </c>
      <c r="C1242">
        <v>-0.92</v>
      </c>
      <c r="D1242">
        <v>0</v>
      </c>
      <c r="E1242">
        <v>0</v>
      </c>
      <c r="F1242">
        <v>47</v>
      </c>
      <c r="G1242" t="s">
        <v>6789</v>
      </c>
      <c r="H1242">
        <v>1050.0999999999999</v>
      </c>
      <c r="I1242">
        <v>0</v>
      </c>
      <c r="J1242" t="s">
        <v>120</v>
      </c>
      <c r="K1242" t="s">
        <v>6790</v>
      </c>
      <c r="L1242">
        <v>1.08</v>
      </c>
      <c r="M1242">
        <v>10.82</v>
      </c>
      <c r="N1242">
        <v>0.95</v>
      </c>
      <c r="O1242">
        <v>1.1000000000000001</v>
      </c>
      <c r="P1242">
        <v>11.04</v>
      </c>
      <c r="Q1242">
        <v>-1.1000000000000001</v>
      </c>
      <c r="R1242">
        <v>10.8</v>
      </c>
      <c r="S1242">
        <v>10.92</v>
      </c>
      <c r="T1242">
        <v>9623</v>
      </c>
      <c r="U1242">
        <v>10.83</v>
      </c>
      <c r="V1242">
        <v>10.92</v>
      </c>
      <c r="W1242">
        <v>25.41</v>
      </c>
      <c r="X1242" t="s">
        <v>175</v>
      </c>
      <c r="Y1242" t="s">
        <v>319</v>
      </c>
      <c r="Z1242">
        <v>2.2000000000000002</v>
      </c>
      <c r="AA1242">
        <v>10.91</v>
      </c>
      <c r="AB1242">
        <v>6015</v>
      </c>
      <c r="AC1242">
        <v>3608</v>
      </c>
      <c r="AD1242">
        <v>1.67</v>
      </c>
      <c r="AE1242">
        <v>322</v>
      </c>
      <c r="AF1242">
        <v>3</v>
      </c>
      <c r="AG1242" t="s">
        <v>120</v>
      </c>
      <c r="AH1242">
        <v>0</v>
      </c>
      <c r="AI1242" t="s">
        <v>120</v>
      </c>
      <c r="AJ1242">
        <v>0.89</v>
      </c>
      <c r="AK1242" t="s">
        <v>6791</v>
      </c>
      <c r="AL1242">
        <v>1</v>
      </c>
      <c r="AM1242">
        <v>1031</v>
      </c>
      <c r="AN1242">
        <v>9</v>
      </c>
      <c r="AO1242">
        <v>1E-3</v>
      </c>
      <c r="AP1242">
        <v>-1</v>
      </c>
      <c r="AQ1242">
        <v>0.92</v>
      </c>
      <c r="AR1242">
        <v>-1.1000000000000001</v>
      </c>
      <c r="AS1242">
        <v>2.66</v>
      </c>
      <c r="AT1242">
        <v>-8.4600000000000009</v>
      </c>
      <c r="AU1242">
        <v>-14.33</v>
      </c>
      <c r="AV1242">
        <v>0</v>
      </c>
      <c r="AW1242">
        <v>1.56</v>
      </c>
      <c r="AX1242">
        <v>47.41</v>
      </c>
      <c r="AY1242">
        <v>18.52</v>
      </c>
      <c r="AZ1242">
        <v>19.3</v>
      </c>
      <c r="BA1242">
        <v>0.5</v>
      </c>
      <c r="BB1242" t="s">
        <v>143</v>
      </c>
      <c r="BF1242">
        <v>-7.0000000000000007E-2</v>
      </c>
      <c r="BG1242">
        <v>-0.92</v>
      </c>
      <c r="BH1242">
        <v>-1.99</v>
      </c>
      <c r="BI1242">
        <v>0.19</v>
      </c>
      <c r="BJ1242">
        <v>20210901</v>
      </c>
      <c r="BK1242">
        <v>20170620</v>
      </c>
      <c r="BL1242">
        <v>1.3</v>
      </c>
      <c r="BM1242" t="s">
        <v>120</v>
      </c>
      <c r="BN1242" t="s">
        <v>120</v>
      </c>
      <c r="BO1242">
        <v>9.8699999999999992</v>
      </c>
      <c r="BP1242">
        <v>10.82</v>
      </c>
      <c r="BQ1242">
        <v>5.66</v>
      </c>
      <c r="BR1242">
        <v>0.72</v>
      </c>
      <c r="BS1242">
        <v>35.28</v>
      </c>
      <c r="BT1242">
        <v>8.2799999999999994</v>
      </c>
      <c r="BU1242">
        <v>0.2</v>
      </c>
      <c r="BV1242">
        <v>0.23</v>
      </c>
      <c r="BW1242">
        <v>3.38</v>
      </c>
      <c r="BX1242">
        <v>1.59</v>
      </c>
      <c r="BY1242">
        <v>0</v>
      </c>
      <c r="BZ1242">
        <v>2.14</v>
      </c>
      <c r="CA1242" t="s">
        <v>120</v>
      </c>
      <c r="CB1242">
        <v>1.48</v>
      </c>
      <c r="CC1242">
        <v>2.56</v>
      </c>
      <c r="CD1242">
        <v>1.67</v>
      </c>
      <c r="CE1242">
        <v>0.36</v>
      </c>
      <c r="CF1242">
        <v>0.01</v>
      </c>
      <c r="CG1242">
        <v>0.36</v>
      </c>
      <c r="CH1242">
        <v>0.32</v>
      </c>
      <c r="CI1242">
        <v>0.28000000000000003</v>
      </c>
      <c r="CJ1242">
        <v>-0.1</v>
      </c>
      <c r="CK1242">
        <v>0.26</v>
      </c>
      <c r="CL1242">
        <v>2.65</v>
      </c>
      <c r="CM1242">
        <v>-0.1</v>
      </c>
      <c r="CN1242">
        <v>-0.24</v>
      </c>
      <c r="CO1242">
        <v>8116</v>
      </c>
      <c r="CP1242">
        <v>7609</v>
      </c>
      <c r="CQ1242" t="s">
        <v>5888</v>
      </c>
      <c r="CR1242">
        <v>12.47</v>
      </c>
      <c r="CS1242">
        <v>81.849999999999994</v>
      </c>
      <c r="CT1242">
        <v>2.4900000000000002</v>
      </c>
      <c r="CU1242">
        <v>-134.35</v>
      </c>
      <c r="CV1242">
        <v>5.51</v>
      </c>
      <c r="CW1242">
        <v>0.73</v>
      </c>
      <c r="CX1242" t="s">
        <v>2097</v>
      </c>
      <c r="CY1242">
        <v>4.3499999999999996</v>
      </c>
      <c r="CZ1242">
        <v>0</v>
      </c>
      <c r="DA1242">
        <v>1.1399999999999999</v>
      </c>
      <c r="DB1242">
        <v>2.04</v>
      </c>
      <c r="DC1242">
        <v>-0.08</v>
      </c>
      <c r="DD1242">
        <v>57.38</v>
      </c>
      <c r="DE1242" t="s">
        <v>619</v>
      </c>
      <c r="DF1242">
        <v>34.89</v>
      </c>
      <c r="DG1242">
        <v>14.14</v>
      </c>
      <c r="DH1242">
        <v>10.83</v>
      </c>
      <c r="DI1242">
        <v>0.13</v>
      </c>
      <c r="DJ1242">
        <v>733</v>
      </c>
      <c r="DK1242">
        <v>2883</v>
      </c>
      <c r="DL1242" t="s">
        <v>120</v>
      </c>
      <c r="DM1242" t="s">
        <v>120</v>
      </c>
      <c r="DN1242" t="s">
        <v>120</v>
      </c>
    </row>
    <row r="1243" spans="1:118">
      <c r="A1243" t="str">
        <f>"002884"</f>
        <v>002884</v>
      </c>
      <c r="B1243" t="s">
        <v>6792</v>
      </c>
      <c r="C1243">
        <v>-3.07</v>
      </c>
      <c r="D1243">
        <v>0</v>
      </c>
      <c r="E1243">
        <v>0.64</v>
      </c>
      <c r="F1243">
        <v>78</v>
      </c>
      <c r="G1243" t="s">
        <v>3387</v>
      </c>
      <c r="H1243">
        <v>2873.59</v>
      </c>
      <c r="I1243">
        <v>3.51</v>
      </c>
      <c r="J1243" t="s">
        <v>120</v>
      </c>
      <c r="K1243" t="s">
        <v>5802</v>
      </c>
      <c r="L1243">
        <v>0.49</v>
      </c>
      <c r="M1243">
        <v>21.12</v>
      </c>
      <c r="N1243">
        <v>1.03</v>
      </c>
      <c r="O1243">
        <v>1.47</v>
      </c>
      <c r="P1243">
        <v>22.11</v>
      </c>
      <c r="Q1243">
        <v>-3.12</v>
      </c>
      <c r="R1243">
        <v>21.11</v>
      </c>
      <c r="S1243">
        <v>21.93</v>
      </c>
      <c r="T1243">
        <v>13394</v>
      </c>
      <c r="U1243">
        <v>21.13</v>
      </c>
      <c r="V1243">
        <v>21.79</v>
      </c>
      <c r="W1243">
        <v>17.920000000000002</v>
      </c>
      <c r="X1243" t="s">
        <v>675</v>
      </c>
      <c r="Y1243" t="s">
        <v>547</v>
      </c>
      <c r="Z1243">
        <v>4.59</v>
      </c>
      <c r="AA1243">
        <v>21.45</v>
      </c>
      <c r="AB1243">
        <v>9344</v>
      </c>
      <c r="AC1243">
        <v>4050</v>
      </c>
      <c r="AD1243">
        <v>2.31</v>
      </c>
      <c r="AE1243">
        <v>91</v>
      </c>
      <c r="AF1243">
        <v>25</v>
      </c>
      <c r="AG1243" t="s">
        <v>120</v>
      </c>
      <c r="AH1243">
        <v>0</v>
      </c>
      <c r="AI1243" t="s">
        <v>120</v>
      </c>
      <c r="AJ1243">
        <v>2.71</v>
      </c>
      <c r="AK1243" t="s">
        <v>6793</v>
      </c>
      <c r="AL1243">
        <v>-1.1599999999999999</v>
      </c>
      <c r="AM1243">
        <v>1409</v>
      </c>
      <c r="AN1243">
        <v>10</v>
      </c>
      <c r="AO1243">
        <v>4.0000000000000002E-4</v>
      </c>
      <c r="AP1243">
        <v>-1</v>
      </c>
      <c r="AQ1243">
        <v>0.32</v>
      </c>
      <c r="AR1243">
        <v>-4.83</v>
      </c>
      <c r="AS1243">
        <v>1.93</v>
      </c>
      <c r="AT1243">
        <v>-6.34</v>
      </c>
      <c r="AU1243">
        <v>30.83</v>
      </c>
      <c r="AV1243">
        <v>1</v>
      </c>
      <c r="AW1243">
        <v>0.73</v>
      </c>
      <c r="AX1243">
        <v>51.7</v>
      </c>
      <c r="AY1243">
        <v>18.91</v>
      </c>
      <c r="AZ1243">
        <v>21.61</v>
      </c>
      <c r="BA1243">
        <v>0.65</v>
      </c>
      <c r="BB1243" t="s">
        <v>143</v>
      </c>
      <c r="BF1243">
        <v>-1.54</v>
      </c>
      <c r="BG1243">
        <v>-3.69</v>
      </c>
      <c r="BH1243">
        <v>-4.4800000000000004</v>
      </c>
      <c r="BI1243">
        <v>0.05</v>
      </c>
      <c r="BJ1243">
        <v>20210831</v>
      </c>
      <c r="BK1243">
        <v>20170711</v>
      </c>
      <c r="BL1243">
        <v>3.56</v>
      </c>
      <c r="BM1243" t="s">
        <v>120</v>
      </c>
      <c r="BN1243" t="s">
        <v>120</v>
      </c>
      <c r="BO1243">
        <v>21</v>
      </c>
      <c r="BP1243">
        <v>21.12</v>
      </c>
      <c r="BQ1243">
        <v>18.61</v>
      </c>
      <c r="BR1243" t="s">
        <v>120</v>
      </c>
      <c r="BS1243">
        <v>11.41</v>
      </c>
      <c r="BT1243">
        <v>18.13</v>
      </c>
      <c r="BU1243">
        <v>2.08</v>
      </c>
      <c r="BV1243">
        <v>0.06</v>
      </c>
      <c r="BW1243">
        <v>2.16</v>
      </c>
      <c r="BX1243">
        <v>11.57</v>
      </c>
      <c r="BY1243">
        <v>3.85</v>
      </c>
      <c r="BZ1243">
        <v>1.8</v>
      </c>
      <c r="CA1243" t="s">
        <v>120</v>
      </c>
      <c r="CB1243">
        <v>6.77</v>
      </c>
      <c r="CC1243">
        <v>9.2200000000000006</v>
      </c>
      <c r="CD1243">
        <v>6.4</v>
      </c>
      <c r="CE1243">
        <v>2.42</v>
      </c>
      <c r="CF1243">
        <v>0.02</v>
      </c>
      <c r="CG1243">
        <v>2.41</v>
      </c>
      <c r="CH1243">
        <v>2.1</v>
      </c>
      <c r="CI1243">
        <v>2.1</v>
      </c>
      <c r="CJ1243">
        <v>-0.67</v>
      </c>
      <c r="CK1243">
        <v>2.02</v>
      </c>
      <c r="CL1243">
        <v>6.17</v>
      </c>
      <c r="CM1243">
        <v>0.61</v>
      </c>
      <c r="CN1243">
        <v>6.6</v>
      </c>
      <c r="CO1243">
        <v>11705</v>
      </c>
      <c r="CP1243">
        <v>15706</v>
      </c>
      <c r="CQ1243" t="s">
        <v>6794</v>
      </c>
      <c r="CR1243">
        <v>32.32</v>
      </c>
      <c r="CS1243">
        <v>62.48</v>
      </c>
      <c r="CT1243">
        <v>4.04</v>
      </c>
      <c r="CU1243">
        <v>123.06</v>
      </c>
      <c r="CV1243">
        <v>8.14</v>
      </c>
      <c r="CW1243">
        <v>4.26</v>
      </c>
      <c r="CX1243" t="s">
        <v>597</v>
      </c>
      <c r="CY1243">
        <v>5.23</v>
      </c>
      <c r="CZ1243">
        <v>0</v>
      </c>
      <c r="DA1243">
        <v>1.9</v>
      </c>
      <c r="DB1243">
        <v>1.74</v>
      </c>
      <c r="DC1243">
        <v>0.17</v>
      </c>
      <c r="DD1243">
        <v>88.59</v>
      </c>
      <c r="DE1243" t="s">
        <v>6795</v>
      </c>
      <c r="DF1243">
        <v>30.64</v>
      </c>
      <c r="DG1243">
        <v>26.27</v>
      </c>
      <c r="DH1243">
        <v>22.72</v>
      </c>
      <c r="DI1243">
        <v>0.28999999999999998</v>
      </c>
      <c r="DJ1243">
        <v>1159</v>
      </c>
      <c r="DK1243">
        <v>2884</v>
      </c>
      <c r="DL1243">
        <v>20200901</v>
      </c>
      <c r="DM1243">
        <v>22.13</v>
      </c>
      <c r="DN1243">
        <v>39.479999999999997</v>
      </c>
    </row>
    <row r="1244" spans="1:118">
      <c r="A1244" t="str">
        <f>"002885"</f>
        <v>002885</v>
      </c>
      <c r="B1244" t="s">
        <v>6796</v>
      </c>
      <c r="C1244">
        <v>-1.84</v>
      </c>
      <c r="D1244">
        <v>-0.06</v>
      </c>
      <c r="E1244">
        <v>1.18</v>
      </c>
      <c r="F1244">
        <v>291</v>
      </c>
      <c r="G1244" t="s">
        <v>6797</v>
      </c>
      <c r="H1244">
        <v>2723.58</v>
      </c>
      <c r="I1244">
        <v>12.52</v>
      </c>
      <c r="J1244" t="s">
        <v>120</v>
      </c>
      <c r="K1244" t="s">
        <v>139</v>
      </c>
      <c r="L1244">
        <v>1.71</v>
      </c>
      <c r="M1244">
        <v>13.35</v>
      </c>
      <c r="N1244">
        <v>0.79</v>
      </c>
      <c r="O1244">
        <v>1.18</v>
      </c>
      <c r="P1244">
        <v>13.76</v>
      </c>
      <c r="Q1244">
        <v>-2.21</v>
      </c>
      <c r="R1244">
        <v>13.3</v>
      </c>
      <c r="S1244">
        <v>13.76</v>
      </c>
      <c r="T1244">
        <v>20199</v>
      </c>
      <c r="U1244">
        <v>13.36</v>
      </c>
      <c r="V1244">
        <v>13.6</v>
      </c>
      <c r="W1244">
        <v>280.17</v>
      </c>
      <c r="X1244" t="s">
        <v>229</v>
      </c>
      <c r="Y1244" t="s">
        <v>123</v>
      </c>
      <c r="Z1244">
        <v>3.38</v>
      </c>
      <c r="AA1244">
        <v>13.48</v>
      </c>
      <c r="AB1244">
        <v>12498</v>
      </c>
      <c r="AC1244">
        <v>7701</v>
      </c>
      <c r="AD1244">
        <v>1.62</v>
      </c>
      <c r="AE1244">
        <v>100</v>
      </c>
      <c r="AF1244">
        <v>114</v>
      </c>
      <c r="AG1244" t="s">
        <v>120</v>
      </c>
      <c r="AH1244">
        <v>0.01</v>
      </c>
      <c r="AI1244" t="s">
        <v>120</v>
      </c>
      <c r="AJ1244">
        <v>1.18</v>
      </c>
      <c r="AK1244" t="s">
        <v>6798</v>
      </c>
      <c r="AL1244">
        <v>0.08</v>
      </c>
      <c r="AM1244">
        <v>1208</v>
      </c>
      <c r="AN1244">
        <v>17</v>
      </c>
      <c r="AO1244">
        <v>1.4E-3</v>
      </c>
      <c r="AP1244">
        <v>-2</v>
      </c>
      <c r="AQ1244">
        <v>-1.31</v>
      </c>
      <c r="AR1244">
        <v>-2.27</v>
      </c>
      <c r="AS1244">
        <v>-2.91</v>
      </c>
      <c r="AT1244">
        <v>-18.59</v>
      </c>
      <c r="AU1244">
        <v>-13</v>
      </c>
      <c r="AV1244">
        <v>10</v>
      </c>
      <c r="AW1244">
        <v>2.61</v>
      </c>
      <c r="AX1244">
        <v>42.96</v>
      </c>
      <c r="AY1244">
        <v>435.87</v>
      </c>
      <c r="AZ1244">
        <v>74.64</v>
      </c>
      <c r="BA1244">
        <v>0.4</v>
      </c>
      <c r="BB1244" t="s">
        <v>143</v>
      </c>
      <c r="BF1244">
        <v>-0.86</v>
      </c>
      <c r="BG1244">
        <v>-2.98</v>
      </c>
      <c r="BH1244">
        <v>-2.98</v>
      </c>
      <c r="BI1244">
        <v>0.38</v>
      </c>
      <c r="BJ1244">
        <v>20210901</v>
      </c>
      <c r="BK1244">
        <v>20170627</v>
      </c>
      <c r="BL1244">
        <v>1.8</v>
      </c>
      <c r="BM1244" t="s">
        <v>120</v>
      </c>
      <c r="BN1244" t="s">
        <v>120</v>
      </c>
      <c r="BO1244">
        <v>17.57</v>
      </c>
      <c r="BP1244">
        <v>13.35</v>
      </c>
      <c r="BQ1244">
        <v>7.98</v>
      </c>
      <c r="BR1244">
        <v>-0.02</v>
      </c>
      <c r="BS1244">
        <v>54.7</v>
      </c>
      <c r="BT1244">
        <v>12.17</v>
      </c>
      <c r="BU1244">
        <v>3.72</v>
      </c>
      <c r="BV1244">
        <v>0.24</v>
      </c>
      <c r="BW1244">
        <v>8.56</v>
      </c>
      <c r="BX1244">
        <v>1.82</v>
      </c>
      <c r="BY1244">
        <v>4.47</v>
      </c>
      <c r="BZ1244">
        <v>4.62</v>
      </c>
      <c r="CA1244" t="s">
        <v>120</v>
      </c>
      <c r="CB1244">
        <v>2.41</v>
      </c>
      <c r="CC1244">
        <v>7.95</v>
      </c>
      <c r="CD1244">
        <v>7.05</v>
      </c>
      <c r="CE1244">
        <v>0.03</v>
      </c>
      <c r="CF1244">
        <v>0.11</v>
      </c>
      <c r="CG1244">
        <v>0.03</v>
      </c>
      <c r="CH1244">
        <v>0.04</v>
      </c>
      <c r="CI1244">
        <v>0.04</v>
      </c>
      <c r="CJ1244">
        <v>-0.25</v>
      </c>
      <c r="CK1244">
        <v>-0.04</v>
      </c>
      <c r="CL1244">
        <v>3.43</v>
      </c>
      <c r="CM1244">
        <v>-1.01</v>
      </c>
      <c r="CN1244">
        <v>-1.05</v>
      </c>
      <c r="CO1244">
        <v>19857</v>
      </c>
      <c r="CP1244">
        <v>3894</v>
      </c>
      <c r="CQ1244" t="s">
        <v>2321</v>
      </c>
      <c r="CR1244">
        <v>-86.37</v>
      </c>
      <c r="CS1244">
        <v>41.23</v>
      </c>
      <c r="CT1244">
        <v>3.01</v>
      </c>
      <c r="CU1244">
        <v>-23.72</v>
      </c>
      <c r="CV1244">
        <v>3.02</v>
      </c>
      <c r="CW1244">
        <v>0.26</v>
      </c>
      <c r="CX1244" t="s">
        <v>1896</v>
      </c>
      <c r="CY1244">
        <v>4.43</v>
      </c>
      <c r="CZ1244">
        <v>0</v>
      </c>
      <c r="DA1244">
        <v>1.34</v>
      </c>
      <c r="DB1244">
        <v>1.9</v>
      </c>
      <c r="DC1244">
        <v>-0.56000000000000005</v>
      </c>
      <c r="DD1244">
        <v>45.4</v>
      </c>
      <c r="DE1244" t="s">
        <v>6799</v>
      </c>
      <c r="DF1244">
        <v>11.29</v>
      </c>
      <c r="DG1244">
        <v>0.33</v>
      </c>
      <c r="DH1244">
        <v>0.54</v>
      </c>
      <c r="DI1244">
        <v>0.42</v>
      </c>
      <c r="DJ1244">
        <v>3549</v>
      </c>
      <c r="DK1244">
        <v>2885</v>
      </c>
      <c r="DL1244" t="s">
        <v>120</v>
      </c>
      <c r="DM1244" t="s">
        <v>120</v>
      </c>
      <c r="DN1244" t="s">
        <v>120</v>
      </c>
    </row>
    <row r="1245" spans="1:118">
      <c r="A1245" t="str">
        <f>"002886"</f>
        <v>002886</v>
      </c>
      <c r="B1245" t="s">
        <v>6800</v>
      </c>
      <c r="C1245">
        <v>-0.96</v>
      </c>
      <c r="D1245">
        <v>0</v>
      </c>
      <c r="E1245">
        <v>0.72</v>
      </c>
      <c r="F1245">
        <v>1502</v>
      </c>
      <c r="G1245" t="s">
        <v>4296</v>
      </c>
      <c r="H1245">
        <v>24041.14</v>
      </c>
      <c r="I1245">
        <v>1140.01</v>
      </c>
      <c r="J1245" t="s">
        <v>120</v>
      </c>
      <c r="K1245" t="s">
        <v>2939</v>
      </c>
      <c r="L1245">
        <v>5.59</v>
      </c>
      <c r="M1245">
        <v>24.7</v>
      </c>
      <c r="N1245">
        <v>1.01</v>
      </c>
      <c r="O1245">
        <v>3.41</v>
      </c>
      <c r="P1245">
        <v>25.79</v>
      </c>
      <c r="Q1245">
        <v>-2.04</v>
      </c>
      <c r="R1245">
        <v>24.43</v>
      </c>
      <c r="S1245">
        <v>25.12</v>
      </c>
      <c r="T1245">
        <v>96273</v>
      </c>
      <c r="U1245">
        <v>24.71</v>
      </c>
      <c r="V1245">
        <v>24.94</v>
      </c>
      <c r="W1245">
        <v>68.760000000000005</v>
      </c>
      <c r="X1245" t="s">
        <v>2211</v>
      </c>
      <c r="Y1245" t="s">
        <v>123</v>
      </c>
      <c r="Z1245">
        <v>5.45</v>
      </c>
      <c r="AA1245">
        <v>24.97</v>
      </c>
      <c r="AB1245">
        <v>49818</v>
      </c>
      <c r="AC1245">
        <v>46455</v>
      </c>
      <c r="AD1245">
        <v>1.07</v>
      </c>
      <c r="AE1245">
        <v>95</v>
      </c>
      <c r="AF1245">
        <v>268</v>
      </c>
      <c r="AG1245" t="s">
        <v>120</v>
      </c>
      <c r="AH1245">
        <v>0.39</v>
      </c>
      <c r="AI1245" t="s">
        <v>120</v>
      </c>
      <c r="AJ1245">
        <v>1.72</v>
      </c>
      <c r="AK1245" t="s">
        <v>6801</v>
      </c>
      <c r="AL1245">
        <v>0.95</v>
      </c>
      <c r="AM1245">
        <v>3178</v>
      </c>
      <c r="AN1245">
        <v>30</v>
      </c>
      <c r="AO1245">
        <v>1.8E-3</v>
      </c>
      <c r="AP1245">
        <v>-1</v>
      </c>
      <c r="AQ1245">
        <v>1.26</v>
      </c>
      <c r="AR1245">
        <v>10.31</v>
      </c>
      <c r="AS1245">
        <v>47.9</v>
      </c>
      <c r="AT1245">
        <v>66.89</v>
      </c>
      <c r="AU1245">
        <v>79.53</v>
      </c>
      <c r="AV1245">
        <v>5</v>
      </c>
      <c r="AW1245">
        <v>8.27</v>
      </c>
      <c r="AX1245">
        <v>51.39</v>
      </c>
      <c r="AY1245">
        <v>82.74</v>
      </c>
      <c r="AZ1245">
        <v>87.28</v>
      </c>
      <c r="BA1245">
        <v>0.4</v>
      </c>
      <c r="BB1245" t="s">
        <v>143</v>
      </c>
      <c r="BF1245">
        <v>0.13</v>
      </c>
      <c r="BG1245">
        <v>-1.67</v>
      </c>
      <c r="BH1245">
        <v>-4.2300000000000004</v>
      </c>
      <c r="BI1245">
        <v>1.1100000000000001</v>
      </c>
      <c r="BJ1245">
        <v>20210831</v>
      </c>
      <c r="BK1245">
        <v>20170627</v>
      </c>
      <c r="BL1245">
        <v>2.27</v>
      </c>
      <c r="BM1245" t="s">
        <v>120</v>
      </c>
      <c r="BN1245" t="s">
        <v>120</v>
      </c>
      <c r="BO1245">
        <v>18.64</v>
      </c>
      <c r="BP1245">
        <v>24.7</v>
      </c>
      <c r="BQ1245">
        <v>11.4</v>
      </c>
      <c r="BR1245">
        <v>0.49</v>
      </c>
      <c r="BS1245">
        <v>36.18</v>
      </c>
      <c r="BT1245">
        <v>11.92</v>
      </c>
      <c r="BU1245">
        <v>2.52</v>
      </c>
      <c r="BV1245">
        <v>1.48</v>
      </c>
      <c r="BW1245">
        <v>6.17</v>
      </c>
      <c r="BX1245">
        <v>1.98</v>
      </c>
      <c r="BY1245">
        <v>4.62</v>
      </c>
      <c r="BZ1245">
        <v>3.27</v>
      </c>
      <c r="CA1245" t="s">
        <v>120</v>
      </c>
      <c r="CB1245">
        <v>5.36</v>
      </c>
      <c r="CC1245">
        <v>7.58</v>
      </c>
      <c r="CD1245">
        <v>6.36</v>
      </c>
      <c r="CE1245">
        <v>0.48</v>
      </c>
      <c r="CF1245">
        <v>0.02</v>
      </c>
      <c r="CG1245">
        <v>0.47</v>
      </c>
      <c r="CH1245">
        <v>0.44</v>
      </c>
      <c r="CI1245">
        <v>0.41</v>
      </c>
      <c r="CJ1245">
        <v>-0.24</v>
      </c>
      <c r="CK1245">
        <v>0.28000000000000003</v>
      </c>
      <c r="CL1245">
        <v>3.49</v>
      </c>
      <c r="CM1245">
        <v>0.13</v>
      </c>
      <c r="CN1245">
        <v>-0.11</v>
      </c>
      <c r="CO1245">
        <v>17780</v>
      </c>
      <c r="CP1245">
        <v>6549</v>
      </c>
      <c r="CQ1245" t="s">
        <v>6802</v>
      </c>
      <c r="CR1245">
        <v>9.57</v>
      </c>
      <c r="CS1245">
        <v>54.78</v>
      </c>
      <c r="CT1245">
        <v>4.91</v>
      </c>
      <c r="CU1245">
        <v>444.88</v>
      </c>
      <c r="CV1245">
        <v>7.38</v>
      </c>
      <c r="CW1245">
        <v>0.24</v>
      </c>
      <c r="CX1245" t="s">
        <v>242</v>
      </c>
      <c r="CY1245">
        <v>5.03</v>
      </c>
      <c r="CZ1245">
        <v>0</v>
      </c>
      <c r="DA1245">
        <v>2.37</v>
      </c>
      <c r="DB1245">
        <v>1.54</v>
      </c>
      <c r="DC1245">
        <v>0.06</v>
      </c>
      <c r="DD1245">
        <v>61.19</v>
      </c>
      <c r="DE1245" t="s">
        <v>2386</v>
      </c>
      <c r="DF1245">
        <v>16.059999999999999</v>
      </c>
      <c r="DG1245">
        <v>6.28</v>
      </c>
      <c r="DH1245">
        <v>5.37</v>
      </c>
      <c r="DI1245">
        <v>0.34</v>
      </c>
      <c r="DJ1245">
        <v>793</v>
      </c>
      <c r="DK1245">
        <v>2886</v>
      </c>
      <c r="DL1245">
        <v>20210914</v>
      </c>
      <c r="DM1245">
        <v>24.63</v>
      </c>
      <c r="DN1245">
        <v>0.28000000000000003</v>
      </c>
    </row>
    <row r="1246" spans="1:118">
      <c r="A1246" t="str">
        <f>"002887"</f>
        <v>002887</v>
      </c>
      <c r="B1246" t="s">
        <v>6803</v>
      </c>
      <c r="C1246">
        <v>-0.93</v>
      </c>
      <c r="D1246">
        <v>0</v>
      </c>
      <c r="E1246">
        <v>1.1200000000000001</v>
      </c>
      <c r="F1246">
        <v>171</v>
      </c>
      <c r="G1246" t="s">
        <v>6804</v>
      </c>
      <c r="H1246">
        <v>2476.4</v>
      </c>
      <c r="I1246">
        <v>61.85</v>
      </c>
      <c r="J1246" t="s">
        <v>120</v>
      </c>
      <c r="K1246" t="s">
        <v>6805</v>
      </c>
      <c r="L1246">
        <v>1.44</v>
      </c>
      <c r="M1246">
        <v>10.63</v>
      </c>
      <c r="N1246">
        <v>0.82</v>
      </c>
      <c r="O1246">
        <v>1.49</v>
      </c>
      <c r="P1246">
        <v>10.89</v>
      </c>
      <c r="Q1246">
        <v>-1.1200000000000001</v>
      </c>
      <c r="R1246">
        <v>10.61</v>
      </c>
      <c r="S1246">
        <v>10.85</v>
      </c>
      <c r="T1246">
        <v>23086</v>
      </c>
      <c r="U1246">
        <v>10.63</v>
      </c>
      <c r="V1246">
        <v>10.73</v>
      </c>
      <c r="W1246">
        <v>15.05</v>
      </c>
      <c r="X1246" t="s">
        <v>318</v>
      </c>
      <c r="Y1246" t="s">
        <v>997</v>
      </c>
      <c r="Z1246">
        <v>2.61</v>
      </c>
      <c r="AA1246">
        <v>10.73</v>
      </c>
      <c r="AB1246">
        <v>14201</v>
      </c>
      <c r="AC1246">
        <v>8885</v>
      </c>
      <c r="AD1246">
        <v>1.6</v>
      </c>
      <c r="AE1246">
        <v>172</v>
      </c>
      <c r="AF1246">
        <v>77</v>
      </c>
      <c r="AG1246" t="s">
        <v>120</v>
      </c>
      <c r="AH1246">
        <v>0.06</v>
      </c>
      <c r="AI1246" t="s">
        <v>120</v>
      </c>
      <c r="AJ1246">
        <v>1.6</v>
      </c>
      <c r="AK1246" t="s">
        <v>1208</v>
      </c>
      <c r="AL1246">
        <v>0.98</v>
      </c>
      <c r="AM1246">
        <v>942</v>
      </c>
      <c r="AN1246">
        <v>25</v>
      </c>
      <c r="AO1246">
        <v>1.5E-3</v>
      </c>
      <c r="AP1246">
        <v>-1</v>
      </c>
      <c r="AQ1246">
        <v>0.56000000000000005</v>
      </c>
      <c r="AR1246">
        <v>-3.1</v>
      </c>
      <c r="AS1246">
        <v>1.72</v>
      </c>
      <c r="AT1246">
        <v>0.56000000000000005</v>
      </c>
      <c r="AU1246">
        <v>-4.32</v>
      </c>
      <c r="AV1246">
        <v>2</v>
      </c>
      <c r="AW1246">
        <v>2.2999999999999998</v>
      </c>
      <c r="AX1246">
        <v>32.159999999999997</v>
      </c>
      <c r="AY1246">
        <v>12.81</v>
      </c>
      <c r="AZ1246">
        <v>11.9</v>
      </c>
      <c r="BA1246">
        <v>0.38</v>
      </c>
      <c r="BB1246" t="s">
        <v>143</v>
      </c>
      <c r="BF1246">
        <v>-0.03</v>
      </c>
      <c r="BG1246">
        <v>-2.0299999999999998</v>
      </c>
      <c r="BH1246">
        <v>-2.39</v>
      </c>
      <c r="BI1246">
        <v>0.19</v>
      </c>
      <c r="BJ1246">
        <v>20210807</v>
      </c>
      <c r="BK1246">
        <v>20170801</v>
      </c>
      <c r="BL1246">
        <v>3.12</v>
      </c>
      <c r="BM1246" t="s">
        <v>120</v>
      </c>
      <c r="BN1246" t="s">
        <v>120</v>
      </c>
      <c r="BO1246">
        <v>43.67</v>
      </c>
      <c r="BP1246">
        <v>10.62</v>
      </c>
      <c r="BQ1246">
        <v>21.67</v>
      </c>
      <c r="BR1246">
        <v>0.59</v>
      </c>
      <c r="BS1246">
        <v>49.02</v>
      </c>
      <c r="BT1246">
        <v>28.91</v>
      </c>
      <c r="BU1246">
        <v>0.36</v>
      </c>
      <c r="BV1246">
        <v>0.2</v>
      </c>
      <c r="BW1246">
        <v>7.38</v>
      </c>
      <c r="BX1246">
        <v>15.64</v>
      </c>
      <c r="BY1246">
        <v>0.04</v>
      </c>
      <c r="BZ1246">
        <v>6.23</v>
      </c>
      <c r="CA1246" t="s">
        <v>120</v>
      </c>
      <c r="CB1246">
        <v>8.36</v>
      </c>
      <c r="CC1246">
        <v>3.66</v>
      </c>
      <c r="CD1246">
        <v>2.21</v>
      </c>
      <c r="CE1246">
        <v>1.29</v>
      </c>
      <c r="CF1246">
        <v>0.45</v>
      </c>
      <c r="CG1246">
        <v>1.3</v>
      </c>
      <c r="CH1246">
        <v>1.1100000000000001</v>
      </c>
      <c r="CI1246">
        <v>1.1000000000000001</v>
      </c>
      <c r="CJ1246">
        <v>-0.1</v>
      </c>
      <c r="CK1246">
        <v>0.94</v>
      </c>
      <c r="CL1246">
        <v>8.44</v>
      </c>
      <c r="CM1246">
        <v>-0.22</v>
      </c>
      <c r="CN1246">
        <v>-1.22</v>
      </c>
      <c r="CO1246">
        <v>19705</v>
      </c>
      <c r="CP1246">
        <v>5093</v>
      </c>
      <c r="CQ1246" t="s">
        <v>6806</v>
      </c>
      <c r="CR1246">
        <v>-15.37</v>
      </c>
      <c r="CS1246">
        <v>-15.66</v>
      </c>
      <c r="CT1246">
        <v>1.64</v>
      </c>
      <c r="CU1246">
        <v>-147.63999999999999</v>
      </c>
      <c r="CV1246">
        <v>9.06</v>
      </c>
      <c r="CW1246">
        <v>4.57</v>
      </c>
      <c r="CX1246" t="s">
        <v>6807</v>
      </c>
      <c r="CY1246">
        <v>6.48</v>
      </c>
      <c r="CZ1246">
        <v>6.48</v>
      </c>
      <c r="DA1246">
        <v>2.68</v>
      </c>
      <c r="DB1246">
        <v>2.71</v>
      </c>
      <c r="DC1246">
        <v>-7.0000000000000007E-2</v>
      </c>
      <c r="DD1246">
        <v>49.62</v>
      </c>
      <c r="DE1246" t="s">
        <v>6808</v>
      </c>
      <c r="DF1246">
        <v>39.659999999999997</v>
      </c>
      <c r="DG1246">
        <v>35.31</v>
      </c>
      <c r="DH1246">
        <v>30.1</v>
      </c>
      <c r="DI1246">
        <v>0.21</v>
      </c>
      <c r="DJ1246">
        <v>374</v>
      </c>
      <c r="DK1246">
        <v>2887</v>
      </c>
      <c r="DL1246" t="s">
        <v>120</v>
      </c>
      <c r="DM1246" t="s">
        <v>120</v>
      </c>
      <c r="DN1246" t="s">
        <v>120</v>
      </c>
    </row>
    <row r="1247" spans="1:118">
      <c r="A1247" t="str">
        <f>"002888"</f>
        <v>002888</v>
      </c>
      <c r="B1247" t="s">
        <v>6809</v>
      </c>
      <c r="C1247">
        <v>0.25</v>
      </c>
      <c r="D1247">
        <v>0.08</v>
      </c>
      <c r="E1247">
        <v>0</v>
      </c>
      <c r="F1247">
        <v>42</v>
      </c>
      <c r="G1247" t="s">
        <v>6810</v>
      </c>
      <c r="H1247">
        <v>1515.39</v>
      </c>
      <c r="I1247">
        <v>1.1000000000000001</v>
      </c>
      <c r="J1247" t="s">
        <v>120</v>
      </c>
      <c r="K1247" t="s">
        <v>6811</v>
      </c>
      <c r="L1247">
        <v>1.64</v>
      </c>
      <c r="M1247">
        <v>12.2</v>
      </c>
      <c r="N1247">
        <v>0.69</v>
      </c>
      <c r="O1247">
        <v>2.0499999999999998</v>
      </c>
      <c r="P1247">
        <v>12.42</v>
      </c>
      <c r="Q1247">
        <v>-0.66</v>
      </c>
      <c r="R1247">
        <v>12.09</v>
      </c>
      <c r="S1247">
        <v>12.17</v>
      </c>
      <c r="T1247">
        <v>12347</v>
      </c>
      <c r="U1247">
        <v>12.2</v>
      </c>
      <c r="V1247">
        <v>12.17</v>
      </c>
      <c r="W1247">
        <v>53.69</v>
      </c>
      <c r="X1247" t="s">
        <v>229</v>
      </c>
      <c r="Y1247" t="s">
        <v>547</v>
      </c>
      <c r="Z1247">
        <v>2.71</v>
      </c>
      <c r="AA1247">
        <v>12.27</v>
      </c>
      <c r="AB1247">
        <v>5564</v>
      </c>
      <c r="AC1247">
        <v>6783</v>
      </c>
      <c r="AD1247">
        <v>0.82</v>
      </c>
      <c r="AE1247">
        <v>74</v>
      </c>
      <c r="AF1247">
        <v>82</v>
      </c>
      <c r="AG1247" t="s">
        <v>120</v>
      </c>
      <c r="AH1247">
        <v>0</v>
      </c>
      <c r="AI1247" t="s">
        <v>120</v>
      </c>
      <c r="AJ1247">
        <v>0.75</v>
      </c>
      <c r="AK1247" t="s">
        <v>3042</v>
      </c>
      <c r="AL1247">
        <v>2.16</v>
      </c>
      <c r="AM1247">
        <v>733</v>
      </c>
      <c r="AN1247">
        <v>17</v>
      </c>
      <c r="AO1247">
        <v>2.2000000000000001E-3</v>
      </c>
      <c r="AP1247">
        <v>1</v>
      </c>
      <c r="AQ1247">
        <v>-2.33</v>
      </c>
      <c r="AR1247">
        <v>-3.18</v>
      </c>
      <c r="AS1247">
        <v>4.99</v>
      </c>
      <c r="AT1247">
        <v>-1.85</v>
      </c>
      <c r="AU1247">
        <v>-11.86</v>
      </c>
      <c r="AV1247">
        <v>0</v>
      </c>
      <c r="AW1247">
        <v>2.4900000000000002</v>
      </c>
      <c r="AX1247">
        <v>33.17</v>
      </c>
      <c r="AY1247">
        <v>55.07</v>
      </c>
      <c r="AZ1247">
        <v>59.44</v>
      </c>
      <c r="BA1247">
        <v>0.4</v>
      </c>
      <c r="BB1247" t="s">
        <v>143</v>
      </c>
      <c r="BF1247">
        <v>0.85</v>
      </c>
      <c r="BG1247">
        <v>0.25</v>
      </c>
      <c r="BH1247">
        <v>-1.77</v>
      </c>
      <c r="BI1247">
        <v>0.91</v>
      </c>
      <c r="BJ1247">
        <v>20210831</v>
      </c>
      <c r="BK1247">
        <v>20170721</v>
      </c>
      <c r="BL1247">
        <v>1.5</v>
      </c>
      <c r="BM1247" t="s">
        <v>120</v>
      </c>
      <c r="BN1247" t="s">
        <v>120</v>
      </c>
      <c r="BO1247">
        <v>5.16</v>
      </c>
      <c r="BP1247">
        <v>12.19</v>
      </c>
      <c r="BQ1247">
        <v>4.34</v>
      </c>
      <c r="BR1247" t="s">
        <v>120</v>
      </c>
      <c r="BS1247">
        <v>15.84</v>
      </c>
      <c r="BT1247">
        <v>4</v>
      </c>
      <c r="BU1247">
        <v>1.04</v>
      </c>
      <c r="BV1247">
        <v>0.05</v>
      </c>
      <c r="BW1247">
        <v>0.77</v>
      </c>
      <c r="BX1247">
        <v>1.07</v>
      </c>
      <c r="BY1247">
        <v>1.52</v>
      </c>
      <c r="BZ1247">
        <v>0.1</v>
      </c>
      <c r="CA1247">
        <v>0.05</v>
      </c>
      <c r="CB1247">
        <v>1.1399999999999999</v>
      </c>
      <c r="CC1247">
        <v>1.45</v>
      </c>
      <c r="CD1247">
        <v>0.9</v>
      </c>
      <c r="CE1247">
        <v>0.2</v>
      </c>
      <c r="CF1247">
        <v>0.01</v>
      </c>
      <c r="CG1247">
        <v>0.2</v>
      </c>
      <c r="CH1247">
        <v>0.17</v>
      </c>
      <c r="CI1247">
        <v>0.17</v>
      </c>
      <c r="CJ1247">
        <v>0.03</v>
      </c>
      <c r="CK1247">
        <v>0.16</v>
      </c>
      <c r="CL1247">
        <v>1.47</v>
      </c>
      <c r="CM1247">
        <v>-0.02</v>
      </c>
      <c r="CN1247">
        <v>-0.05</v>
      </c>
      <c r="CO1247">
        <v>13618</v>
      </c>
      <c r="CP1247">
        <v>3645</v>
      </c>
      <c r="CQ1247" t="s">
        <v>3827</v>
      </c>
      <c r="CR1247">
        <v>16.690000000000001</v>
      </c>
      <c r="CS1247">
        <v>28.14</v>
      </c>
      <c r="CT1247">
        <v>4.2</v>
      </c>
      <c r="CU1247">
        <v>-1067.0899999999999</v>
      </c>
      <c r="CV1247">
        <v>12.62</v>
      </c>
      <c r="CW1247">
        <v>0.55000000000000004</v>
      </c>
      <c r="CX1247" t="s">
        <v>1147</v>
      </c>
      <c r="CY1247">
        <v>2.9</v>
      </c>
      <c r="CZ1247">
        <v>0</v>
      </c>
      <c r="DA1247">
        <v>0.76</v>
      </c>
      <c r="DB1247">
        <v>0.98</v>
      </c>
      <c r="DC1247">
        <v>-0.01</v>
      </c>
      <c r="DD1247">
        <v>84.16</v>
      </c>
      <c r="DE1247" t="s">
        <v>2916</v>
      </c>
      <c r="DF1247">
        <v>37.67</v>
      </c>
      <c r="DG1247">
        <v>14.03</v>
      </c>
      <c r="DH1247">
        <v>11.75</v>
      </c>
      <c r="DI1247">
        <v>0.09</v>
      </c>
      <c r="DJ1247">
        <v>814</v>
      </c>
      <c r="DK1247">
        <v>2888</v>
      </c>
      <c r="DL1247" t="s">
        <v>120</v>
      </c>
      <c r="DM1247" t="s">
        <v>120</v>
      </c>
      <c r="DN1247" t="s">
        <v>120</v>
      </c>
    </row>
    <row r="1248" spans="1:118">
      <c r="A1248" t="str">
        <f>"002889"</f>
        <v>002889</v>
      </c>
      <c r="B1248" t="s">
        <v>6812</v>
      </c>
      <c r="C1248">
        <v>1.59</v>
      </c>
      <c r="D1248">
        <v>0.04</v>
      </c>
      <c r="E1248">
        <v>0.52</v>
      </c>
      <c r="F1248">
        <v>151</v>
      </c>
      <c r="G1248" t="s">
        <v>6813</v>
      </c>
      <c r="H1248">
        <v>4559.8900000000003</v>
      </c>
      <c r="I1248">
        <v>10.119999999999999</v>
      </c>
      <c r="J1248" t="s">
        <v>120</v>
      </c>
      <c r="K1248" t="s">
        <v>5002</v>
      </c>
      <c r="L1248">
        <v>1.97</v>
      </c>
      <c r="M1248">
        <v>25.57</v>
      </c>
      <c r="N1248">
        <v>1.8</v>
      </c>
      <c r="O1248">
        <v>4.29</v>
      </c>
      <c r="P1248">
        <v>26.25</v>
      </c>
      <c r="Q1248">
        <v>0.2</v>
      </c>
      <c r="R1248">
        <v>25.22</v>
      </c>
      <c r="S1248">
        <v>25.3</v>
      </c>
      <c r="T1248">
        <v>17694</v>
      </c>
      <c r="U1248">
        <v>25.57</v>
      </c>
      <c r="V1248">
        <v>25.17</v>
      </c>
      <c r="W1248">
        <v>15.74</v>
      </c>
      <c r="X1248" t="s">
        <v>2775</v>
      </c>
      <c r="Y1248" t="s">
        <v>123</v>
      </c>
      <c r="Z1248">
        <v>4.09</v>
      </c>
      <c r="AA1248">
        <v>25.77</v>
      </c>
      <c r="AB1248">
        <v>7737</v>
      </c>
      <c r="AC1248">
        <v>9957</v>
      </c>
      <c r="AD1248">
        <v>0.78</v>
      </c>
      <c r="AE1248">
        <v>9</v>
      </c>
      <c r="AF1248">
        <v>70</v>
      </c>
      <c r="AG1248" t="s">
        <v>120</v>
      </c>
      <c r="AH1248">
        <v>0.01</v>
      </c>
      <c r="AI1248" t="s">
        <v>120</v>
      </c>
      <c r="AJ1248">
        <v>0.9</v>
      </c>
      <c r="AK1248" t="s">
        <v>1989</v>
      </c>
      <c r="AL1248">
        <v>3.5</v>
      </c>
      <c r="AM1248">
        <v>1299</v>
      </c>
      <c r="AN1248">
        <v>14</v>
      </c>
      <c r="AO1248">
        <v>1.5E-3</v>
      </c>
      <c r="AP1248">
        <v>2</v>
      </c>
      <c r="AQ1248">
        <v>0.44</v>
      </c>
      <c r="AR1248">
        <v>0.43</v>
      </c>
      <c r="AS1248">
        <v>12.74</v>
      </c>
      <c r="AT1248">
        <v>-2.33</v>
      </c>
      <c r="AU1248">
        <v>8.64</v>
      </c>
      <c r="AV1248">
        <v>1</v>
      </c>
      <c r="AW1248">
        <v>3.36</v>
      </c>
      <c r="AX1248">
        <v>38.15</v>
      </c>
      <c r="AY1248">
        <v>16.559999999999999</v>
      </c>
      <c r="AZ1248">
        <v>17.66</v>
      </c>
      <c r="BA1248">
        <v>0.44</v>
      </c>
      <c r="BB1248" t="s">
        <v>143</v>
      </c>
      <c r="BF1248">
        <v>2.39</v>
      </c>
      <c r="BG1248">
        <v>1.07</v>
      </c>
      <c r="BH1248">
        <v>-2.59</v>
      </c>
      <c r="BI1248">
        <v>1.39</v>
      </c>
      <c r="BJ1248">
        <v>20210827</v>
      </c>
      <c r="BK1248">
        <v>20170731</v>
      </c>
      <c r="BL1248">
        <v>1.38</v>
      </c>
      <c r="BM1248" t="s">
        <v>120</v>
      </c>
      <c r="BN1248" t="s">
        <v>120</v>
      </c>
      <c r="BO1248">
        <v>46.32</v>
      </c>
      <c r="BP1248">
        <v>25.56</v>
      </c>
      <c r="BQ1248">
        <v>18.36</v>
      </c>
      <c r="BR1248">
        <v>0.56999999999999995</v>
      </c>
      <c r="BS1248">
        <v>59.12</v>
      </c>
      <c r="BT1248">
        <v>39.909999999999997</v>
      </c>
      <c r="BU1248">
        <v>2.0299999999999998</v>
      </c>
      <c r="BV1248">
        <v>0.6</v>
      </c>
      <c r="BW1248">
        <v>26.89</v>
      </c>
      <c r="BX1248">
        <v>14.26</v>
      </c>
      <c r="BY1248">
        <v>0.13</v>
      </c>
      <c r="BZ1248">
        <v>3.92</v>
      </c>
      <c r="CA1248" t="s">
        <v>120</v>
      </c>
      <c r="CB1248">
        <v>4.84</v>
      </c>
      <c r="CC1248">
        <v>12.62</v>
      </c>
      <c r="CD1248">
        <v>10.69</v>
      </c>
      <c r="CE1248">
        <v>1.44</v>
      </c>
      <c r="CF1248">
        <v>0.12</v>
      </c>
      <c r="CG1248">
        <v>1.44</v>
      </c>
      <c r="CH1248">
        <v>1.23</v>
      </c>
      <c r="CI1248">
        <v>1.1200000000000001</v>
      </c>
      <c r="CJ1248">
        <v>0.4</v>
      </c>
      <c r="CK1248">
        <v>1.07</v>
      </c>
      <c r="CL1248">
        <v>11.39</v>
      </c>
      <c r="CM1248">
        <v>-1.22</v>
      </c>
      <c r="CN1248">
        <v>0.79</v>
      </c>
      <c r="CO1248">
        <v>9696</v>
      </c>
      <c r="CP1248">
        <v>5434</v>
      </c>
      <c r="CQ1248" t="s">
        <v>6814</v>
      </c>
      <c r="CR1248">
        <v>13.17</v>
      </c>
      <c r="CS1248">
        <v>51.05</v>
      </c>
      <c r="CT1248">
        <v>1.92</v>
      </c>
      <c r="CU1248">
        <v>-28.83</v>
      </c>
      <c r="CV1248">
        <v>2.8</v>
      </c>
      <c r="CW1248">
        <v>0.56999999999999995</v>
      </c>
      <c r="CX1248" t="s">
        <v>2792</v>
      </c>
      <c r="CY1248">
        <v>13.29</v>
      </c>
      <c r="CZ1248">
        <v>0</v>
      </c>
      <c r="DA1248">
        <v>3.5</v>
      </c>
      <c r="DB1248">
        <v>8.25</v>
      </c>
      <c r="DC1248">
        <v>-0.89</v>
      </c>
      <c r="DD1248">
        <v>39.64</v>
      </c>
      <c r="DE1248" t="s">
        <v>6461</v>
      </c>
      <c r="DF1248">
        <v>15.26</v>
      </c>
      <c r="DG1248">
        <v>11.42</v>
      </c>
      <c r="DH1248">
        <v>8.89</v>
      </c>
      <c r="DI1248">
        <v>0.05</v>
      </c>
      <c r="DJ1248">
        <v>760</v>
      </c>
      <c r="DK1248">
        <v>2889</v>
      </c>
      <c r="DL1248" t="s">
        <v>120</v>
      </c>
      <c r="DM1248" t="s">
        <v>120</v>
      </c>
      <c r="DN1248" t="s">
        <v>120</v>
      </c>
    </row>
    <row r="1249" spans="1:118">
      <c r="A1249" t="str">
        <f>"002890"</f>
        <v>002890</v>
      </c>
      <c r="B1249" t="s">
        <v>6815</v>
      </c>
      <c r="C1249">
        <v>0.89</v>
      </c>
      <c r="D1249">
        <v>-0.15</v>
      </c>
      <c r="E1249">
        <v>9.9700000000000006</v>
      </c>
      <c r="F1249">
        <v>562</v>
      </c>
      <c r="G1249" t="s">
        <v>6816</v>
      </c>
      <c r="H1249">
        <v>12444.53</v>
      </c>
      <c r="I1249">
        <v>1172.3399999999999</v>
      </c>
      <c r="J1249" t="s">
        <v>120</v>
      </c>
      <c r="K1249" t="s">
        <v>5583</v>
      </c>
      <c r="L1249">
        <v>10</v>
      </c>
      <c r="M1249">
        <v>18.22</v>
      </c>
      <c r="N1249">
        <v>5.37</v>
      </c>
      <c r="O1249">
        <v>9.9700000000000006</v>
      </c>
      <c r="P1249">
        <v>19.86</v>
      </c>
      <c r="Q1249">
        <v>-0.94</v>
      </c>
      <c r="R1249">
        <v>17.89</v>
      </c>
      <c r="S1249">
        <v>19.86</v>
      </c>
      <c r="T1249">
        <v>67053</v>
      </c>
      <c r="U1249">
        <v>18.23</v>
      </c>
      <c r="V1249">
        <v>18.059999999999999</v>
      </c>
      <c r="W1249">
        <v>88.62</v>
      </c>
      <c r="X1249" t="s">
        <v>2079</v>
      </c>
      <c r="Y1249" t="s">
        <v>638</v>
      </c>
      <c r="Z1249">
        <v>10.91</v>
      </c>
      <c r="AA1249">
        <v>18.559999999999999</v>
      </c>
      <c r="AB1249">
        <v>38232</v>
      </c>
      <c r="AC1249">
        <v>28821</v>
      </c>
      <c r="AD1249">
        <v>1.33</v>
      </c>
      <c r="AE1249">
        <v>54</v>
      </c>
      <c r="AF1249">
        <v>267</v>
      </c>
      <c r="AG1249" t="s">
        <v>120</v>
      </c>
      <c r="AH1249">
        <v>1.34</v>
      </c>
      <c r="AI1249" t="s">
        <v>120</v>
      </c>
      <c r="AJ1249">
        <v>0.67</v>
      </c>
      <c r="AK1249" t="s">
        <v>6817</v>
      </c>
      <c r="AL1249">
        <v>2.8</v>
      </c>
      <c r="AM1249">
        <v>2282</v>
      </c>
      <c r="AN1249">
        <v>29</v>
      </c>
      <c r="AO1249">
        <v>4.4000000000000003E-3</v>
      </c>
      <c r="AP1249">
        <v>2</v>
      </c>
      <c r="AQ1249">
        <v>9.99</v>
      </c>
      <c r="AR1249">
        <v>8.4600000000000009</v>
      </c>
      <c r="AS1249">
        <v>16.73</v>
      </c>
      <c r="AT1249">
        <v>8.4499999999999993</v>
      </c>
      <c r="AU1249">
        <v>4.93</v>
      </c>
      <c r="AV1249">
        <v>8</v>
      </c>
      <c r="AW1249">
        <v>15.2</v>
      </c>
      <c r="AX1249">
        <v>47.26</v>
      </c>
      <c r="AY1249">
        <v>74.11</v>
      </c>
      <c r="AZ1249">
        <v>71.98</v>
      </c>
      <c r="BA1249">
        <v>0.64</v>
      </c>
      <c r="BB1249" t="s">
        <v>168</v>
      </c>
      <c r="BF1249">
        <v>2.76</v>
      </c>
      <c r="BG1249">
        <v>-8.26</v>
      </c>
      <c r="BH1249">
        <v>-8.26</v>
      </c>
      <c r="BI1249">
        <v>1.84</v>
      </c>
      <c r="BJ1249">
        <v>20210913</v>
      </c>
      <c r="BK1249">
        <v>20170802</v>
      </c>
      <c r="BL1249">
        <v>0.93</v>
      </c>
      <c r="BM1249" t="s">
        <v>120</v>
      </c>
      <c r="BN1249" t="s">
        <v>120</v>
      </c>
      <c r="BO1249">
        <v>6.76</v>
      </c>
      <c r="BP1249">
        <v>18.22</v>
      </c>
      <c r="BQ1249">
        <v>5.53</v>
      </c>
      <c r="BR1249" t="s">
        <v>120</v>
      </c>
      <c r="BS1249">
        <v>18.2</v>
      </c>
      <c r="BT1249">
        <v>4.92</v>
      </c>
      <c r="BU1249">
        <v>1.52</v>
      </c>
      <c r="BV1249">
        <v>0.27</v>
      </c>
      <c r="BW1249">
        <v>1.1399999999999999</v>
      </c>
      <c r="BX1249">
        <v>0.46</v>
      </c>
      <c r="BY1249">
        <v>1.1399999999999999</v>
      </c>
      <c r="BZ1249">
        <v>1.04</v>
      </c>
      <c r="CA1249" t="s">
        <v>120</v>
      </c>
      <c r="CB1249">
        <v>1.78</v>
      </c>
      <c r="CC1249">
        <v>2.12</v>
      </c>
      <c r="CD1249">
        <v>1.74</v>
      </c>
      <c r="CE1249">
        <v>0.1</v>
      </c>
      <c r="CF1249">
        <v>-0.01</v>
      </c>
      <c r="CG1249">
        <v>0.1</v>
      </c>
      <c r="CH1249">
        <v>0.1</v>
      </c>
      <c r="CI1249">
        <v>0.1</v>
      </c>
      <c r="CJ1249">
        <v>0.16</v>
      </c>
      <c r="CK1249">
        <v>0.08</v>
      </c>
      <c r="CL1249">
        <v>2.42</v>
      </c>
      <c r="CM1249">
        <v>-0.39</v>
      </c>
      <c r="CN1249">
        <v>-0.33</v>
      </c>
      <c r="CO1249">
        <v>8172</v>
      </c>
      <c r="CP1249">
        <v>5398</v>
      </c>
      <c r="CQ1249" t="s">
        <v>6033</v>
      </c>
      <c r="CR1249">
        <v>-6.56</v>
      </c>
      <c r="CS1249">
        <v>15.21</v>
      </c>
      <c r="CT1249">
        <v>3.08</v>
      </c>
      <c r="CU1249">
        <v>-43.14</v>
      </c>
      <c r="CV1249">
        <v>8.0399999999999991</v>
      </c>
      <c r="CW1249">
        <v>0.55000000000000004</v>
      </c>
      <c r="CX1249" t="s">
        <v>411</v>
      </c>
      <c r="CY1249">
        <v>5.92</v>
      </c>
      <c r="CZ1249">
        <v>0</v>
      </c>
      <c r="DA1249">
        <v>1.91</v>
      </c>
      <c r="DB1249">
        <v>2.59</v>
      </c>
      <c r="DC1249">
        <v>-0.42</v>
      </c>
      <c r="DD1249">
        <v>81.8</v>
      </c>
      <c r="DE1249" t="s">
        <v>6818</v>
      </c>
      <c r="DF1249">
        <v>17.55</v>
      </c>
      <c r="DG1249">
        <v>4.9400000000000004</v>
      </c>
      <c r="DH1249">
        <v>4.54</v>
      </c>
      <c r="DI1249">
        <v>0.09</v>
      </c>
      <c r="DJ1249">
        <v>699</v>
      </c>
      <c r="DK1249">
        <v>2890</v>
      </c>
      <c r="DL1249" t="s">
        <v>120</v>
      </c>
      <c r="DM1249" t="s">
        <v>120</v>
      </c>
      <c r="DN1249" t="s">
        <v>120</v>
      </c>
    </row>
    <row r="1250" spans="1:118">
      <c r="A1250" t="str">
        <f>"002891"</f>
        <v>002891</v>
      </c>
      <c r="B1250" t="s">
        <v>6819</v>
      </c>
      <c r="C1250">
        <v>0.45</v>
      </c>
      <c r="D1250">
        <v>7.0000000000000007E-2</v>
      </c>
      <c r="E1250">
        <v>-0.14000000000000001</v>
      </c>
      <c r="F1250">
        <v>237</v>
      </c>
      <c r="G1250" t="s">
        <v>6820</v>
      </c>
      <c r="H1250">
        <v>7756.97</v>
      </c>
      <c r="I1250">
        <v>46.55</v>
      </c>
      <c r="J1250" t="s">
        <v>120</v>
      </c>
      <c r="K1250" t="s">
        <v>6821</v>
      </c>
      <c r="L1250">
        <v>0.91</v>
      </c>
      <c r="M1250">
        <v>28.73</v>
      </c>
      <c r="N1250">
        <v>0.92</v>
      </c>
      <c r="O1250">
        <v>2.1</v>
      </c>
      <c r="P1250">
        <v>29.2</v>
      </c>
      <c r="Q1250">
        <v>-0.73</v>
      </c>
      <c r="R1250">
        <v>28.39</v>
      </c>
      <c r="S1250">
        <v>28.56</v>
      </c>
      <c r="T1250">
        <v>26892</v>
      </c>
      <c r="U1250">
        <v>28.73</v>
      </c>
      <c r="V1250">
        <v>28.6</v>
      </c>
      <c r="W1250">
        <v>69.62</v>
      </c>
      <c r="X1250" t="s">
        <v>386</v>
      </c>
      <c r="Y1250" t="s">
        <v>638</v>
      </c>
      <c r="Z1250">
        <v>2.83</v>
      </c>
      <c r="AA1250">
        <v>28.84</v>
      </c>
      <c r="AB1250">
        <v>15320</v>
      </c>
      <c r="AC1250">
        <v>11572</v>
      </c>
      <c r="AD1250">
        <v>1.32</v>
      </c>
      <c r="AE1250">
        <v>3</v>
      </c>
      <c r="AF1250">
        <v>47</v>
      </c>
      <c r="AG1250" t="s">
        <v>120</v>
      </c>
      <c r="AH1250">
        <v>0.01</v>
      </c>
      <c r="AI1250" t="s">
        <v>120</v>
      </c>
      <c r="AJ1250">
        <v>2.94</v>
      </c>
      <c r="AK1250" t="s">
        <v>6821</v>
      </c>
      <c r="AL1250">
        <v>2.37</v>
      </c>
      <c r="AM1250">
        <v>2424</v>
      </c>
      <c r="AN1250">
        <v>11</v>
      </c>
      <c r="AO1250">
        <v>4.0000000000000002E-4</v>
      </c>
      <c r="AP1250">
        <v>1</v>
      </c>
      <c r="AQ1250">
        <v>-2.2200000000000002</v>
      </c>
      <c r="AR1250">
        <v>-3.4</v>
      </c>
      <c r="AS1250">
        <v>-14.13</v>
      </c>
      <c r="AT1250">
        <v>-31.84</v>
      </c>
      <c r="AU1250">
        <v>-24.95</v>
      </c>
      <c r="AV1250">
        <v>1</v>
      </c>
      <c r="AW1250">
        <v>2</v>
      </c>
      <c r="AX1250">
        <v>45.77</v>
      </c>
      <c r="AY1250">
        <v>56.28</v>
      </c>
      <c r="AZ1250">
        <v>62.36</v>
      </c>
      <c r="BA1250">
        <v>0.62</v>
      </c>
      <c r="BB1250" t="s">
        <v>134</v>
      </c>
      <c r="BF1250">
        <v>0.85</v>
      </c>
      <c r="BG1250">
        <v>0.6</v>
      </c>
      <c r="BH1250">
        <v>-1.61</v>
      </c>
      <c r="BI1250">
        <v>1.2</v>
      </c>
      <c r="BJ1250">
        <v>20210831</v>
      </c>
      <c r="BK1250">
        <v>20170821</v>
      </c>
      <c r="BL1250">
        <v>2.94</v>
      </c>
      <c r="BM1250" t="s">
        <v>120</v>
      </c>
      <c r="BN1250" t="s">
        <v>120</v>
      </c>
      <c r="BO1250">
        <v>26.41</v>
      </c>
      <c r="BP1250">
        <v>28.72</v>
      </c>
      <c r="BQ1250">
        <v>17.690000000000001</v>
      </c>
      <c r="BR1250">
        <v>1.3</v>
      </c>
      <c r="BS1250">
        <v>28.09</v>
      </c>
      <c r="BT1250">
        <v>12.18</v>
      </c>
      <c r="BU1250">
        <v>6.73</v>
      </c>
      <c r="BV1250">
        <v>0.72</v>
      </c>
      <c r="BW1250">
        <v>5.52</v>
      </c>
      <c r="BX1250">
        <v>2.59</v>
      </c>
      <c r="BY1250">
        <v>4.53</v>
      </c>
      <c r="BZ1250">
        <v>3.98</v>
      </c>
      <c r="CA1250" t="s">
        <v>120</v>
      </c>
      <c r="CB1250">
        <v>10.34</v>
      </c>
      <c r="CC1250">
        <v>12.57</v>
      </c>
      <c r="CD1250">
        <v>9.8800000000000008</v>
      </c>
      <c r="CE1250">
        <v>0.87</v>
      </c>
      <c r="CF1250">
        <v>0.09</v>
      </c>
      <c r="CG1250">
        <v>0.86</v>
      </c>
      <c r="CH1250">
        <v>0.7</v>
      </c>
      <c r="CI1250">
        <v>0.61</v>
      </c>
      <c r="CJ1250">
        <v>0.13</v>
      </c>
      <c r="CK1250">
        <v>0.56000000000000005</v>
      </c>
      <c r="CL1250">
        <v>4.1900000000000004</v>
      </c>
      <c r="CM1250">
        <v>0.91</v>
      </c>
      <c r="CN1250">
        <v>-0.21</v>
      </c>
      <c r="CO1250">
        <v>29302</v>
      </c>
      <c r="CP1250">
        <v>4595</v>
      </c>
      <c r="CQ1250" t="s">
        <v>6822</v>
      </c>
      <c r="CR1250">
        <v>31.6</v>
      </c>
      <c r="CS1250">
        <v>27.21</v>
      </c>
      <c r="CT1250">
        <v>4.78</v>
      </c>
      <c r="CU1250">
        <v>92.82</v>
      </c>
      <c r="CV1250">
        <v>6.72</v>
      </c>
      <c r="CW1250">
        <v>0.16</v>
      </c>
      <c r="CX1250" t="s">
        <v>6823</v>
      </c>
      <c r="CY1250">
        <v>6.01</v>
      </c>
      <c r="CZ1250">
        <v>0</v>
      </c>
      <c r="DA1250">
        <v>3.51</v>
      </c>
      <c r="DB1250">
        <v>1.42</v>
      </c>
      <c r="DC1250">
        <v>0.31</v>
      </c>
      <c r="DD1250">
        <v>66.98</v>
      </c>
      <c r="DE1250" t="s">
        <v>4854</v>
      </c>
      <c r="DF1250">
        <v>21.46</v>
      </c>
      <c r="DG1250">
        <v>6.92</v>
      </c>
      <c r="DH1250">
        <v>4.83</v>
      </c>
      <c r="DI1250">
        <v>0.21</v>
      </c>
      <c r="DJ1250">
        <v>3003</v>
      </c>
      <c r="DK1250">
        <v>2891</v>
      </c>
      <c r="DL1250" t="s">
        <v>120</v>
      </c>
      <c r="DM1250" t="s">
        <v>120</v>
      </c>
      <c r="DN1250" t="s">
        <v>120</v>
      </c>
    </row>
    <row r="1251" spans="1:118">
      <c r="A1251" t="str">
        <f>"002892"</f>
        <v>002892</v>
      </c>
      <c r="B1251" t="s">
        <v>6824</v>
      </c>
      <c r="C1251">
        <v>-4.49</v>
      </c>
      <c r="D1251">
        <v>-0.06</v>
      </c>
      <c r="E1251">
        <v>0.23</v>
      </c>
      <c r="F1251">
        <v>568</v>
      </c>
      <c r="G1251" t="s">
        <v>6825</v>
      </c>
      <c r="H1251">
        <v>5349.64</v>
      </c>
      <c r="I1251">
        <v>4.96</v>
      </c>
      <c r="J1251" t="s">
        <v>120</v>
      </c>
      <c r="K1251" t="s">
        <v>6191</v>
      </c>
      <c r="L1251">
        <v>1.53</v>
      </c>
      <c r="M1251">
        <v>29.54</v>
      </c>
      <c r="N1251">
        <v>0.78</v>
      </c>
      <c r="O1251">
        <v>0.65</v>
      </c>
      <c r="P1251">
        <v>31.13</v>
      </c>
      <c r="Q1251">
        <v>-4.49</v>
      </c>
      <c r="R1251">
        <v>29.54</v>
      </c>
      <c r="S1251">
        <v>31</v>
      </c>
      <c r="T1251">
        <v>17732</v>
      </c>
      <c r="U1251">
        <v>29.56</v>
      </c>
      <c r="V1251">
        <v>30.93</v>
      </c>
      <c r="W1251">
        <v>75.84</v>
      </c>
      <c r="X1251" t="s">
        <v>394</v>
      </c>
      <c r="Y1251" t="s">
        <v>594</v>
      </c>
      <c r="Z1251">
        <v>5.14</v>
      </c>
      <c r="AA1251">
        <v>30.17</v>
      </c>
      <c r="AB1251">
        <v>11397</v>
      </c>
      <c r="AC1251">
        <v>6335</v>
      </c>
      <c r="AD1251">
        <v>1.8</v>
      </c>
      <c r="AE1251">
        <v>10</v>
      </c>
      <c r="AF1251">
        <v>87</v>
      </c>
      <c r="AG1251" t="s">
        <v>120</v>
      </c>
      <c r="AH1251">
        <v>0</v>
      </c>
      <c r="AI1251" t="s">
        <v>120</v>
      </c>
      <c r="AJ1251">
        <v>1.1599999999999999</v>
      </c>
      <c r="AK1251" t="s">
        <v>6826</v>
      </c>
      <c r="AL1251">
        <v>-2.58</v>
      </c>
      <c r="AM1251">
        <v>1328</v>
      </c>
      <c r="AN1251">
        <v>13</v>
      </c>
      <c r="AO1251">
        <v>1.1000000000000001E-3</v>
      </c>
      <c r="AP1251">
        <v>-1</v>
      </c>
      <c r="AQ1251">
        <v>0.32</v>
      </c>
      <c r="AR1251">
        <v>-1.93</v>
      </c>
      <c r="AS1251">
        <v>6.87</v>
      </c>
      <c r="AT1251">
        <v>70.19</v>
      </c>
      <c r="AU1251">
        <v>84.3</v>
      </c>
      <c r="AV1251">
        <v>12</v>
      </c>
      <c r="AW1251">
        <v>2.3199999999999998</v>
      </c>
      <c r="AX1251">
        <v>34</v>
      </c>
      <c r="AY1251">
        <v>70.47</v>
      </c>
      <c r="AZ1251">
        <v>70.84</v>
      </c>
      <c r="BA1251">
        <v>1.27</v>
      </c>
      <c r="BB1251" t="s">
        <v>143</v>
      </c>
      <c r="BF1251">
        <v>-2.46</v>
      </c>
      <c r="BG1251">
        <v>-4.71</v>
      </c>
      <c r="BH1251">
        <v>-5.1100000000000003</v>
      </c>
      <c r="BI1251">
        <v>0</v>
      </c>
      <c r="BJ1251">
        <v>20210827</v>
      </c>
      <c r="BK1251">
        <v>20170817</v>
      </c>
      <c r="BL1251">
        <v>2.25</v>
      </c>
      <c r="BM1251" t="s">
        <v>120</v>
      </c>
      <c r="BN1251" t="s">
        <v>120</v>
      </c>
      <c r="BO1251">
        <v>11.06</v>
      </c>
      <c r="BP1251">
        <v>29.54</v>
      </c>
      <c r="BQ1251">
        <v>6.99</v>
      </c>
      <c r="BR1251" t="s">
        <v>120</v>
      </c>
      <c r="BS1251">
        <v>36.840000000000003</v>
      </c>
      <c r="BT1251">
        <v>8.0299999999999994</v>
      </c>
      <c r="BU1251">
        <v>2.2999999999999998</v>
      </c>
      <c r="BV1251">
        <v>0.1</v>
      </c>
      <c r="BW1251">
        <v>3.65</v>
      </c>
      <c r="BX1251">
        <v>1.41</v>
      </c>
      <c r="BY1251">
        <v>2.7</v>
      </c>
      <c r="BZ1251">
        <v>3.09</v>
      </c>
      <c r="CA1251" t="s">
        <v>120</v>
      </c>
      <c r="CB1251">
        <v>2.98</v>
      </c>
      <c r="CC1251">
        <v>6.59</v>
      </c>
      <c r="CD1251">
        <v>5.39</v>
      </c>
      <c r="CE1251">
        <v>0.48</v>
      </c>
      <c r="CF1251">
        <v>0.02</v>
      </c>
      <c r="CG1251">
        <v>0.48</v>
      </c>
      <c r="CH1251">
        <v>0.44</v>
      </c>
      <c r="CI1251">
        <v>0.44</v>
      </c>
      <c r="CJ1251">
        <v>-1.39</v>
      </c>
      <c r="CK1251">
        <v>0.43</v>
      </c>
      <c r="CL1251">
        <v>2.1800000000000002</v>
      </c>
      <c r="CM1251">
        <v>-0.01</v>
      </c>
      <c r="CN1251">
        <v>-0.48</v>
      </c>
      <c r="CO1251">
        <v>16537</v>
      </c>
      <c r="CP1251">
        <v>4626</v>
      </c>
      <c r="CQ1251" t="s">
        <v>6827</v>
      </c>
      <c r="CR1251">
        <v>1.2</v>
      </c>
      <c r="CS1251">
        <v>70.75</v>
      </c>
      <c r="CT1251">
        <v>9.52</v>
      </c>
      <c r="CU1251">
        <v>-9488.6299999999992</v>
      </c>
      <c r="CV1251">
        <v>10.08</v>
      </c>
      <c r="CW1251">
        <v>0.92</v>
      </c>
      <c r="CX1251" t="s">
        <v>6828</v>
      </c>
      <c r="CY1251">
        <v>3.1</v>
      </c>
      <c r="CZ1251">
        <v>0</v>
      </c>
      <c r="DA1251">
        <v>1.32</v>
      </c>
      <c r="DB1251">
        <v>0.97</v>
      </c>
      <c r="DC1251">
        <v>0</v>
      </c>
      <c r="DD1251">
        <v>63.16</v>
      </c>
      <c r="DE1251" t="s">
        <v>4446</v>
      </c>
      <c r="DF1251">
        <v>18.23</v>
      </c>
      <c r="DG1251">
        <v>7.31</v>
      </c>
      <c r="DH1251">
        <v>6.65</v>
      </c>
      <c r="DI1251">
        <v>0.26</v>
      </c>
      <c r="DJ1251">
        <v>3312</v>
      </c>
      <c r="DK1251">
        <v>2892</v>
      </c>
      <c r="DL1251">
        <v>20210819</v>
      </c>
      <c r="DM1251">
        <v>27.64</v>
      </c>
      <c r="DN1251">
        <v>6.87</v>
      </c>
    </row>
    <row r="1252" spans="1:118">
      <c r="A1252" t="str">
        <f>"002893"</f>
        <v>002893</v>
      </c>
      <c r="B1252" t="s">
        <v>6829</v>
      </c>
      <c r="C1252">
        <v>-1.32</v>
      </c>
      <c r="D1252">
        <v>0</v>
      </c>
      <c r="E1252">
        <v>-0.1</v>
      </c>
      <c r="F1252">
        <v>431</v>
      </c>
      <c r="G1252" t="s">
        <v>6830</v>
      </c>
      <c r="H1252">
        <v>10586.17</v>
      </c>
      <c r="I1252">
        <v>12.36</v>
      </c>
      <c r="J1252" t="s">
        <v>120</v>
      </c>
      <c r="K1252" t="s">
        <v>6831</v>
      </c>
      <c r="L1252">
        <v>5.28</v>
      </c>
      <c r="M1252">
        <v>9.69</v>
      </c>
      <c r="N1252">
        <v>1.1499999999999999</v>
      </c>
      <c r="O1252">
        <v>3.26</v>
      </c>
      <c r="P1252">
        <v>10.14</v>
      </c>
      <c r="Q1252">
        <v>-1.43</v>
      </c>
      <c r="R1252">
        <v>9.68</v>
      </c>
      <c r="S1252">
        <v>9.81</v>
      </c>
      <c r="T1252">
        <v>106613</v>
      </c>
      <c r="U1252">
        <v>9.6999999999999993</v>
      </c>
      <c r="V1252">
        <v>9.82</v>
      </c>
      <c r="W1252">
        <v>13.46</v>
      </c>
      <c r="X1252" t="s">
        <v>684</v>
      </c>
      <c r="Y1252" t="s">
        <v>158</v>
      </c>
      <c r="Z1252">
        <v>4.68</v>
      </c>
      <c r="AA1252">
        <v>9.93</v>
      </c>
      <c r="AB1252">
        <v>53358</v>
      </c>
      <c r="AC1252">
        <v>53255</v>
      </c>
      <c r="AD1252">
        <v>1</v>
      </c>
      <c r="AE1252">
        <v>570</v>
      </c>
      <c r="AF1252">
        <v>218</v>
      </c>
      <c r="AG1252" t="s">
        <v>120</v>
      </c>
      <c r="AH1252">
        <v>0.01</v>
      </c>
      <c r="AI1252" t="s">
        <v>120</v>
      </c>
      <c r="AJ1252">
        <v>2.02</v>
      </c>
      <c r="AK1252" t="s">
        <v>6832</v>
      </c>
      <c r="AL1252">
        <v>0.59</v>
      </c>
      <c r="AM1252">
        <v>2694</v>
      </c>
      <c r="AN1252">
        <v>40</v>
      </c>
      <c r="AO1252">
        <v>2E-3</v>
      </c>
      <c r="AP1252">
        <v>-1</v>
      </c>
      <c r="AQ1252">
        <v>2.72</v>
      </c>
      <c r="AR1252">
        <v>-1.82</v>
      </c>
      <c r="AS1252">
        <v>2.98</v>
      </c>
      <c r="AT1252">
        <v>-11.1</v>
      </c>
      <c r="AU1252">
        <v>12.03</v>
      </c>
      <c r="AV1252">
        <v>11</v>
      </c>
      <c r="AW1252">
        <v>10.19</v>
      </c>
      <c r="AX1252">
        <v>51.58</v>
      </c>
      <c r="AY1252">
        <v>109.44</v>
      </c>
      <c r="AZ1252">
        <v>69.760000000000005</v>
      </c>
      <c r="BA1252">
        <v>0.53</v>
      </c>
      <c r="BB1252" t="s">
        <v>143</v>
      </c>
      <c r="BF1252">
        <v>1.1200000000000001</v>
      </c>
      <c r="BG1252">
        <v>-1.22</v>
      </c>
      <c r="BH1252">
        <v>-4.4400000000000004</v>
      </c>
      <c r="BI1252">
        <v>0.1</v>
      </c>
      <c r="BJ1252">
        <v>20210831</v>
      </c>
      <c r="BK1252">
        <v>20170915</v>
      </c>
      <c r="BL1252">
        <v>2.0299999999999998</v>
      </c>
      <c r="BM1252" t="s">
        <v>120</v>
      </c>
      <c r="BN1252" t="s">
        <v>120</v>
      </c>
      <c r="BO1252">
        <v>18.940000000000001</v>
      </c>
      <c r="BP1252">
        <v>9.69</v>
      </c>
      <c r="BQ1252">
        <v>6.78</v>
      </c>
      <c r="BR1252">
        <v>0.06</v>
      </c>
      <c r="BS1252">
        <v>63.87</v>
      </c>
      <c r="BT1252">
        <v>5.19</v>
      </c>
      <c r="BU1252">
        <v>7.96</v>
      </c>
      <c r="BV1252">
        <v>0.45</v>
      </c>
      <c r="BW1252">
        <v>8.7200000000000006</v>
      </c>
      <c r="BX1252">
        <v>0.34</v>
      </c>
      <c r="BY1252">
        <v>0.32</v>
      </c>
      <c r="BZ1252">
        <v>2.92</v>
      </c>
      <c r="CA1252" t="s">
        <v>120</v>
      </c>
      <c r="CB1252">
        <v>1.41</v>
      </c>
      <c r="CC1252">
        <v>5.96</v>
      </c>
      <c r="CD1252">
        <v>4.5999999999999996</v>
      </c>
      <c r="CE1252">
        <v>0.83</v>
      </c>
      <c r="CF1252">
        <v>0</v>
      </c>
      <c r="CG1252">
        <v>0.82</v>
      </c>
      <c r="CH1252">
        <v>0.74</v>
      </c>
      <c r="CI1252">
        <v>0.73</v>
      </c>
      <c r="CJ1252">
        <v>-0.13</v>
      </c>
      <c r="CK1252">
        <v>0.73</v>
      </c>
      <c r="CL1252">
        <v>3.16</v>
      </c>
      <c r="CM1252">
        <v>-2.19</v>
      </c>
      <c r="CN1252">
        <v>-2.52</v>
      </c>
      <c r="CO1252">
        <v>26346</v>
      </c>
      <c r="CP1252">
        <v>3970</v>
      </c>
      <c r="CQ1252" t="s">
        <v>6833</v>
      </c>
      <c r="CR1252">
        <v>-12.42</v>
      </c>
      <c r="CS1252">
        <v>1.47</v>
      </c>
      <c r="CT1252">
        <v>2.9</v>
      </c>
      <c r="CU1252">
        <v>-8.9600000000000009</v>
      </c>
      <c r="CV1252">
        <v>3.3</v>
      </c>
      <c r="CW1252">
        <v>0</v>
      </c>
      <c r="CX1252" t="s">
        <v>472</v>
      </c>
      <c r="CY1252">
        <v>3.35</v>
      </c>
      <c r="CZ1252">
        <v>0</v>
      </c>
      <c r="DA1252">
        <v>0.69</v>
      </c>
      <c r="DB1252">
        <v>1.56</v>
      </c>
      <c r="DC1252">
        <v>-1.08</v>
      </c>
      <c r="DD1252">
        <v>35.81</v>
      </c>
      <c r="DE1252" t="s">
        <v>6834</v>
      </c>
      <c r="DF1252">
        <v>22.74</v>
      </c>
      <c r="DG1252">
        <v>13.91</v>
      </c>
      <c r="DH1252">
        <v>12.26</v>
      </c>
      <c r="DI1252">
        <v>0.06</v>
      </c>
      <c r="DJ1252">
        <v>981</v>
      </c>
      <c r="DK1252">
        <v>2893</v>
      </c>
      <c r="DL1252" t="s">
        <v>120</v>
      </c>
      <c r="DM1252" t="s">
        <v>120</v>
      </c>
      <c r="DN1252" t="s">
        <v>120</v>
      </c>
    </row>
    <row r="1253" spans="1:118">
      <c r="A1253" t="str">
        <f>"002895"</f>
        <v>002895</v>
      </c>
      <c r="B1253" t="s">
        <v>6835</v>
      </c>
      <c r="C1253">
        <v>3.52</v>
      </c>
      <c r="D1253">
        <v>0.02</v>
      </c>
      <c r="E1253">
        <v>5.23</v>
      </c>
      <c r="F1253">
        <v>1393</v>
      </c>
      <c r="G1253" t="s">
        <v>6836</v>
      </c>
      <c r="H1253">
        <v>116041.55</v>
      </c>
      <c r="I1253">
        <v>2830.31</v>
      </c>
      <c r="J1253" t="s">
        <v>120</v>
      </c>
      <c r="K1253" t="s">
        <v>6837</v>
      </c>
      <c r="L1253">
        <v>4.93</v>
      </c>
      <c r="M1253">
        <v>48.5</v>
      </c>
      <c r="N1253">
        <v>1.06</v>
      </c>
      <c r="O1253">
        <v>8.86</v>
      </c>
      <c r="P1253">
        <v>51</v>
      </c>
      <c r="Q1253">
        <v>-4.16</v>
      </c>
      <c r="R1253">
        <v>44.9</v>
      </c>
      <c r="S1253">
        <v>49.3</v>
      </c>
      <c r="T1253">
        <v>238493</v>
      </c>
      <c r="U1253">
        <v>48.5</v>
      </c>
      <c r="V1253">
        <v>46.85</v>
      </c>
      <c r="W1253">
        <v>113.16</v>
      </c>
      <c r="X1253" t="s">
        <v>868</v>
      </c>
      <c r="Y1253" t="s">
        <v>1021</v>
      </c>
      <c r="Z1253">
        <v>13.02</v>
      </c>
      <c r="AA1253">
        <v>48.66</v>
      </c>
      <c r="AB1253">
        <v>119588</v>
      </c>
      <c r="AC1253">
        <v>118905</v>
      </c>
      <c r="AD1253">
        <v>1.01</v>
      </c>
      <c r="AE1253">
        <v>179</v>
      </c>
      <c r="AF1253">
        <v>73</v>
      </c>
      <c r="AG1253" t="s">
        <v>120</v>
      </c>
      <c r="AH1253">
        <v>0.33</v>
      </c>
      <c r="AI1253" t="s">
        <v>120</v>
      </c>
      <c r="AJ1253">
        <v>4.84</v>
      </c>
      <c r="AK1253" t="s">
        <v>6838</v>
      </c>
      <c r="AL1253">
        <v>5.44</v>
      </c>
      <c r="AM1253">
        <v>4494</v>
      </c>
      <c r="AN1253">
        <v>53</v>
      </c>
      <c r="AO1253">
        <v>1.1000000000000001E-3</v>
      </c>
      <c r="AP1253">
        <v>1</v>
      </c>
      <c r="AQ1253">
        <v>-5.16</v>
      </c>
      <c r="AR1253">
        <v>0.21</v>
      </c>
      <c r="AS1253">
        <v>113.47</v>
      </c>
      <c r="AT1253">
        <v>242.76</v>
      </c>
      <c r="AU1253">
        <v>339.71</v>
      </c>
      <c r="AV1253">
        <v>14</v>
      </c>
      <c r="AW1253">
        <v>13.8</v>
      </c>
      <c r="AX1253">
        <v>35.39</v>
      </c>
      <c r="AY1253">
        <v>139.13999999999999</v>
      </c>
      <c r="AZ1253">
        <v>160.44999999999999</v>
      </c>
      <c r="BA1253">
        <v>1.1200000000000001</v>
      </c>
      <c r="BB1253" t="s">
        <v>125</v>
      </c>
      <c r="BF1253">
        <v>3.86</v>
      </c>
      <c r="BG1253">
        <v>-1.62</v>
      </c>
      <c r="BH1253">
        <v>-4.9000000000000004</v>
      </c>
      <c r="BI1253">
        <v>8.02</v>
      </c>
      <c r="BJ1253">
        <v>20210901</v>
      </c>
      <c r="BK1253">
        <v>20170825</v>
      </c>
      <c r="BL1253">
        <v>4.88</v>
      </c>
      <c r="BM1253" t="s">
        <v>120</v>
      </c>
      <c r="BN1253" t="s">
        <v>120</v>
      </c>
      <c r="BO1253">
        <v>51.67</v>
      </c>
      <c r="BP1253">
        <v>48.49</v>
      </c>
      <c r="BQ1253">
        <v>30.54</v>
      </c>
      <c r="BR1253">
        <v>0.23</v>
      </c>
      <c r="BS1253">
        <v>40.44</v>
      </c>
      <c r="BT1253">
        <v>16.48</v>
      </c>
      <c r="BU1253">
        <v>9.2100000000000009</v>
      </c>
      <c r="BV1253">
        <v>11.77</v>
      </c>
      <c r="BW1253">
        <v>15.23</v>
      </c>
      <c r="BX1253">
        <v>3.87</v>
      </c>
      <c r="BY1253">
        <v>2.8</v>
      </c>
      <c r="BZ1253">
        <v>0.9</v>
      </c>
      <c r="CA1253" t="s">
        <v>120</v>
      </c>
      <c r="CB1253">
        <v>15.8</v>
      </c>
      <c r="CC1253">
        <v>10.06</v>
      </c>
      <c r="CD1253">
        <v>7.36</v>
      </c>
      <c r="CE1253">
        <v>1.32</v>
      </c>
      <c r="CF1253">
        <v>0.09</v>
      </c>
      <c r="CG1253">
        <v>1.31</v>
      </c>
      <c r="CH1253">
        <v>1.0900000000000001</v>
      </c>
      <c r="CI1253">
        <v>1.05</v>
      </c>
      <c r="CJ1253">
        <v>1.65</v>
      </c>
      <c r="CK1253">
        <v>0.9</v>
      </c>
      <c r="CL1253">
        <v>9.44</v>
      </c>
      <c r="CM1253">
        <v>0.41</v>
      </c>
      <c r="CN1253">
        <v>-1.21</v>
      </c>
      <c r="CO1253">
        <v>22872</v>
      </c>
      <c r="CP1253">
        <v>7557</v>
      </c>
      <c r="CQ1253" t="s">
        <v>6839</v>
      </c>
      <c r="CR1253">
        <v>26.37</v>
      </c>
      <c r="CS1253">
        <v>24.95</v>
      </c>
      <c r="CT1253">
        <v>7.76</v>
      </c>
      <c r="CU1253">
        <v>577.5</v>
      </c>
      <c r="CV1253">
        <v>23.56</v>
      </c>
      <c r="CW1253">
        <v>0</v>
      </c>
      <c r="CX1253" t="s">
        <v>3361</v>
      </c>
      <c r="CY1253">
        <v>6.25</v>
      </c>
      <c r="CZ1253">
        <v>0</v>
      </c>
      <c r="DA1253">
        <v>3.23</v>
      </c>
      <c r="DB1253">
        <v>1.93</v>
      </c>
      <c r="DC1253">
        <v>0.08</v>
      </c>
      <c r="DD1253">
        <v>59.12</v>
      </c>
      <c r="DE1253" t="s">
        <v>4854</v>
      </c>
      <c r="DF1253">
        <v>26.8</v>
      </c>
      <c r="DG1253">
        <v>13.08</v>
      </c>
      <c r="DH1253">
        <v>10.41</v>
      </c>
      <c r="DI1253">
        <v>0.14000000000000001</v>
      </c>
      <c r="DJ1253">
        <v>1394</v>
      </c>
      <c r="DK1253">
        <v>2895</v>
      </c>
      <c r="DL1253">
        <v>20210707</v>
      </c>
      <c r="DM1253">
        <v>18.25</v>
      </c>
      <c r="DN1253">
        <v>165.75</v>
      </c>
    </row>
    <row r="1254" spans="1:118">
      <c r="A1254" t="str">
        <f>"002896"</f>
        <v>002896</v>
      </c>
      <c r="B1254" t="s">
        <v>6840</v>
      </c>
      <c r="C1254">
        <v>-3.87</v>
      </c>
      <c r="D1254">
        <v>-0.08</v>
      </c>
      <c r="E1254">
        <v>-0.48</v>
      </c>
      <c r="F1254">
        <v>241</v>
      </c>
      <c r="G1254" t="s">
        <v>6841</v>
      </c>
      <c r="H1254">
        <v>3477.37</v>
      </c>
      <c r="I1254">
        <v>1.6</v>
      </c>
      <c r="J1254" t="s">
        <v>120</v>
      </c>
      <c r="K1254" t="s">
        <v>6842</v>
      </c>
      <c r="L1254">
        <v>1.49</v>
      </c>
      <c r="M1254">
        <v>22.09</v>
      </c>
      <c r="N1254">
        <v>1.04</v>
      </c>
      <c r="O1254">
        <v>0.44</v>
      </c>
      <c r="P1254">
        <v>23.08</v>
      </c>
      <c r="Q1254">
        <v>-4.22</v>
      </c>
      <c r="R1254">
        <v>22.01</v>
      </c>
      <c r="S1254">
        <v>22.87</v>
      </c>
      <c r="T1254">
        <v>15523</v>
      </c>
      <c r="U1254">
        <v>22.09</v>
      </c>
      <c r="V1254">
        <v>22.98</v>
      </c>
      <c r="W1254">
        <v>26.49</v>
      </c>
      <c r="X1254" t="s">
        <v>959</v>
      </c>
      <c r="Y1254" t="s">
        <v>585</v>
      </c>
      <c r="Z1254">
        <v>4.66</v>
      </c>
      <c r="AA1254">
        <v>22.4</v>
      </c>
      <c r="AB1254">
        <v>10656</v>
      </c>
      <c r="AC1254">
        <v>4867</v>
      </c>
      <c r="AD1254">
        <v>2.19</v>
      </c>
      <c r="AE1254">
        <v>6</v>
      </c>
      <c r="AF1254">
        <v>12</v>
      </c>
      <c r="AG1254" t="s">
        <v>120</v>
      </c>
      <c r="AH1254">
        <v>0</v>
      </c>
      <c r="AI1254" t="s">
        <v>120</v>
      </c>
      <c r="AJ1254">
        <v>1.04</v>
      </c>
      <c r="AK1254" t="s">
        <v>6842</v>
      </c>
      <c r="AL1254">
        <v>-1.96</v>
      </c>
      <c r="AM1254">
        <v>1610</v>
      </c>
      <c r="AN1254">
        <v>10</v>
      </c>
      <c r="AO1254">
        <v>8.9999999999999998E-4</v>
      </c>
      <c r="AP1254">
        <v>-1</v>
      </c>
      <c r="AQ1254">
        <v>1.73</v>
      </c>
      <c r="AR1254">
        <v>-2.2999999999999998</v>
      </c>
      <c r="AS1254">
        <v>-6.59</v>
      </c>
      <c r="AT1254">
        <v>15.35</v>
      </c>
      <c r="AU1254">
        <v>5.93</v>
      </c>
      <c r="AV1254">
        <v>1</v>
      </c>
      <c r="AW1254">
        <v>3.49</v>
      </c>
      <c r="AX1254">
        <v>42.81</v>
      </c>
      <c r="AY1254">
        <v>31.76</v>
      </c>
      <c r="AZ1254">
        <v>34.03</v>
      </c>
      <c r="BA1254">
        <v>0.74</v>
      </c>
      <c r="BB1254" t="s">
        <v>143</v>
      </c>
      <c r="BF1254">
        <v>-2.52</v>
      </c>
      <c r="BG1254">
        <v>-3.41</v>
      </c>
      <c r="BH1254">
        <v>-4.29</v>
      </c>
      <c r="BI1254">
        <v>0.36</v>
      </c>
      <c r="BJ1254">
        <v>20210825</v>
      </c>
      <c r="BK1254">
        <v>20170829</v>
      </c>
      <c r="BL1254">
        <v>1.04</v>
      </c>
      <c r="BM1254" t="s">
        <v>120</v>
      </c>
      <c r="BN1254" t="s">
        <v>120</v>
      </c>
      <c r="BO1254">
        <v>11.95</v>
      </c>
      <c r="BP1254">
        <v>22.08</v>
      </c>
      <c r="BQ1254">
        <v>7.04</v>
      </c>
      <c r="BR1254">
        <v>0</v>
      </c>
      <c r="BS1254">
        <v>41.05</v>
      </c>
      <c r="BT1254">
        <v>5.56</v>
      </c>
      <c r="BU1254">
        <v>5.39</v>
      </c>
      <c r="BV1254">
        <v>0.34</v>
      </c>
      <c r="BW1254">
        <v>4.07</v>
      </c>
      <c r="BX1254">
        <v>0.57999999999999996</v>
      </c>
      <c r="BY1254">
        <v>2.4900000000000002</v>
      </c>
      <c r="BZ1254">
        <v>1.84</v>
      </c>
      <c r="CA1254" t="s">
        <v>120</v>
      </c>
      <c r="CB1254">
        <v>2.99</v>
      </c>
      <c r="CC1254">
        <v>4.93</v>
      </c>
      <c r="CD1254">
        <v>3.68</v>
      </c>
      <c r="CE1254">
        <v>0.49</v>
      </c>
      <c r="CF1254">
        <v>0</v>
      </c>
      <c r="CG1254">
        <v>0.48</v>
      </c>
      <c r="CH1254">
        <v>0.43</v>
      </c>
      <c r="CI1254">
        <v>0.43</v>
      </c>
      <c r="CJ1254">
        <v>-0.89</v>
      </c>
      <c r="CK1254">
        <v>0.41</v>
      </c>
      <c r="CL1254">
        <v>2.7</v>
      </c>
      <c r="CM1254">
        <v>0.53</v>
      </c>
      <c r="CN1254">
        <v>-0.46</v>
      </c>
      <c r="CO1254">
        <v>9755</v>
      </c>
      <c r="CP1254">
        <v>4564</v>
      </c>
      <c r="CQ1254" t="s">
        <v>6843</v>
      </c>
      <c r="CR1254">
        <v>13.1</v>
      </c>
      <c r="CS1254">
        <v>47.58</v>
      </c>
      <c r="CT1254">
        <v>3.26</v>
      </c>
      <c r="CU1254">
        <v>43.15</v>
      </c>
      <c r="CV1254">
        <v>4.66</v>
      </c>
      <c r="CW1254">
        <v>1.34</v>
      </c>
      <c r="CX1254" t="s">
        <v>948</v>
      </c>
      <c r="CY1254">
        <v>6.77</v>
      </c>
      <c r="CZ1254">
        <v>0</v>
      </c>
      <c r="DA1254">
        <v>2.88</v>
      </c>
      <c r="DB1254">
        <v>2.59</v>
      </c>
      <c r="DC1254">
        <v>0.51</v>
      </c>
      <c r="DD1254">
        <v>58.94</v>
      </c>
      <c r="DE1254" t="s">
        <v>6338</v>
      </c>
      <c r="DF1254">
        <v>25.21</v>
      </c>
      <c r="DG1254">
        <v>9.92</v>
      </c>
      <c r="DH1254">
        <v>8.81</v>
      </c>
      <c r="DI1254">
        <v>0.27</v>
      </c>
      <c r="DJ1254">
        <v>1607</v>
      </c>
      <c r="DK1254">
        <v>2896</v>
      </c>
      <c r="DL1254" t="s">
        <v>120</v>
      </c>
      <c r="DM1254" t="s">
        <v>120</v>
      </c>
      <c r="DN1254" t="s">
        <v>120</v>
      </c>
    </row>
    <row r="1255" spans="1:118">
      <c r="A1255" t="str">
        <f>"002897"</f>
        <v>002897</v>
      </c>
      <c r="B1255" t="s">
        <v>6844</v>
      </c>
      <c r="C1255">
        <v>-1.99</v>
      </c>
      <c r="D1255">
        <v>1.1200000000000001</v>
      </c>
      <c r="E1255">
        <v>-0.96</v>
      </c>
      <c r="F1255">
        <v>528</v>
      </c>
      <c r="G1255" t="s">
        <v>1413</v>
      </c>
      <c r="H1255">
        <v>33054.18</v>
      </c>
      <c r="I1255">
        <v>173.49</v>
      </c>
      <c r="J1255" t="s">
        <v>120</v>
      </c>
      <c r="K1255" t="s">
        <v>1628</v>
      </c>
      <c r="L1255">
        <v>5.23</v>
      </c>
      <c r="M1255">
        <v>38.840000000000003</v>
      </c>
      <c r="N1255">
        <v>1.1000000000000001</v>
      </c>
      <c r="O1255">
        <v>5.0999999999999996</v>
      </c>
      <c r="P1255">
        <v>41.65</v>
      </c>
      <c r="Q1255">
        <v>-4.1100000000000003</v>
      </c>
      <c r="R1255">
        <v>38</v>
      </c>
      <c r="S1255">
        <v>39.25</v>
      </c>
      <c r="T1255">
        <v>82538</v>
      </c>
      <c r="U1255">
        <v>38.840000000000003</v>
      </c>
      <c r="V1255">
        <v>39.630000000000003</v>
      </c>
      <c r="W1255">
        <v>49.5</v>
      </c>
      <c r="X1255" t="s">
        <v>229</v>
      </c>
      <c r="Y1255" t="s">
        <v>585</v>
      </c>
      <c r="Z1255">
        <v>9.2100000000000009</v>
      </c>
      <c r="AA1255">
        <v>40.049999999999997</v>
      </c>
      <c r="AB1255">
        <v>42263</v>
      </c>
      <c r="AC1255">
        <v>40275</v>
      </c>
      <c r="AD1255">
        <v>1.05</v>
      </c>
      <c r="AE1255">
        <v>14</v>
      </c>
      <c r="AF1255">
        <v>13</v>
      </c>
      <c r="AG1255" t="s">
        <v>120</v>
      </c>
      <c r="AH1255">
        <v>0.06</v>
      </c>
      <c r="AI1255" t="s">
        <v>120</v>
      </c>
      <c r="AJ1255">
        <v>1.58</v>
      </c>
      <c r="AK1255" t="s">
        <v>6845</v>
      </c>
      <c r="AL1255">
        <v>-0.08</v>
      </c>
      <c r="AM1255">
        <v>3762</v>
      </c>
      <c r="AN1255">
        <v>22</v>
      </c>
      <c r="AO1255">
        <v>1.4E-3</v>
      </c>
      <c r="AP1255">
        <v>-2</v>
      </c>
      <c r="AQ1255">
        <v>-2</v>
      </c>
      <c r="AR1255">
        <v>0.89</v>
      </c>
      <c r="AS1255">
        <v>45.79</v>
      </c>
      <c r="AT1255">
        <v>74.95</v>
      </c>
      <c r="AU1255">
        <v>45.36</v>
      </c>
      <c r="AV1255">
        <v>11</v>
      </c>
      <c r="AW1255">
        <v>11.84</v>
      </c>
      <c r="AX1255">
        <v>40.840000000000003</v>
      </c>
      <c r="AY1255">
        <v>57.06</v>
      </c>
      <c r="AZ1255">
        <v>37.56</v>
      </c>
      <c r="BA1255">
        <v>0.46</v>
      </c>
      <c r="BB1255" t="s">
        <v>143</v>
      </c>
      <c r="BF1255">
        <v>1.05</v>
      </c>
      <c r="BG1255">
        <v>-1.04</v>
      </c>
      <c r="BH1255">
        <v>-6.75</v>
      </c>
      <c r="BI1255">
        <v>2.21</v>
      </c>
      <c r="BJ1255">
        <v>20210821</v>
      </c>
      <c r="BK1255">
        <v>20170907</v>
      </c>
      <c r="BL1255">
        <v>1.71</v>
      </c>
      <c r="BM1255" t="s">
        <v>120</v>
      </c>
      <c r="BN1255" t="s">
        <v>120</v>
      </c>
      <c r="BO1255">
        <v>42.78</v>
      </c>
      <c r="BP1255">
        <v>38.799999999999997</v>
      </c>
      <c r="BQ1255">
        <v>13.72</v>
      </c>
      <c r="BR1255">
        <v>0.33</v>
      </c>
      <c r="BS1255">
        <v>67.17</v>
      </c>
      <c r="BT1255">
        <v>26.79</v>
      </c>
      <c r="BU1255">
        <v>8.26</v>
      </c>
      <c r="BV1255">
        <v>1.23</v>
      </c>
      <c r="BW1255">
        <v>22.1</v>
      </c>
      <c r="BX1255">
        <v>2.66</v>
      </c>
      <c r="BY1255">
        <v>12.66</v>
      </c>
      <c r="BZ1255">
        <v>5.54</v>
      </c>
      <c r="CA1255" t="s">
        <v>120</v>
      </c>
      <c r="CB1255">
        <v>5.14</v>
      </c>
      <c r="CC1255">
        <v>19.2</v>
      </c>
      <c r="CD1255">
        <v>15.69</v>
      </c>
      <c r="CE1255">
        <v>0.82</v>
      </c>
      <c r="CF1255">
        <v>0.2</v>
      </c>
      <c r="CG1255">
        <v>0.81</v>
      </c>
      <c r="CH1255">
        <v>0.63</v>
      </c>
      <c r="CI1255">
        <v>0.67</v>
      </c>
      <c r="CJ1255">
        <v>-0.79</v>
      </c>
      <c r="CK1255">
        <v>0.6</v>
      </c>
      <c r="CL1255">
        <v>6.58</v>
      </c>
      <c r="CM1255">
        <v>-3.74</v>
      </c>
      <c r="CN1255">
        <v>-2.17</v>
      </c>
      <c r="CO1255">
        <v>22963</v>
      </c>
      <c r="CP1255">
        <v>3036</v>
      </c>
      <c r="CQ1255" t="s">
        <v>802</v>
      </c>
      <c r="CR1255">
        <v>-47.89</v>
      </c>
      <c r="CS1255">
        <v>15.22</v>
      </c>
      <c r="CT1255">
        <v>4.83</v>
      </c>
      <c r="CU1255">
        <v>-17.739999999999998</v>
      </c>
      <c r="CV1255">
        <v>3.45</v>
      </c>
      <c r="CW1255">
        <v>0.25</v>
      </c>
      <c r="CX1255" t="s">
        <v>1980</v>
      </c>
      <c r="CY1255">
        <v>8.0399999999999991</v>
      </c>
      <c r="CZ1255">
        <v>0</v>
      </c>
      <c r="DA1255">
        <v>3.01</v>
      </c>
      <c r="DB1255">
        <v>3.86</v>
      </c>
      <c r="DC1255">
        <v>-2.19</v>
      </c>
      <c r="DD1255">
        <v>32.06</v>
      </c>
      <c r="DE1255" t="s">
        <v>1206</v>
      </c>
      <c r="DF1255">
        <v>18.29</v>
      </c>
      <c r="DG1255">
        <v>4.25</v>
      </c>
      <c r="DH1255">
        <v>3.49</v>
      </c>
      <c r="DI1255">
        <v>1.02</v>
      </c>
      <c r="DJ1255">
        <v>7007</v>
      </c>
      <c r="DK1255">
        <v>2897</v>
      </c>
      <c r="DL1255">
        <v>20210726</v>
      </c>
      <c r="DM1255">
        <v>26.91</v>
      </c>
      <c r="DN1255">
        <v>44.33</v>
      </c>
    </row>
    <row r="1256" spans="1:118">
      <c r="A1256" t="str">
        <f>"002898"</f>
        <v>002898</v>
      </c>
      <c r="B1256" t="s">
        <v>6846</v>
      </c>
      <c r="C1256">
        <v>-3.95</v>
      </c>
      <c r="D1256">
        <v>0.1</v>
      </c>
      <c r="E1256">
        <v>0</v>
      </c>
      <c r="F1256">
        <v>1057</v>
      </c>
      <c r="G1256" t="s">
        <v>6847</v>
      </c>
      <c r="H1256">
        <v>2700.07</v>
      </c>
      <c r="I1256">
        <v>4.96</v>
      </c>
      <c r="J1256" t="s">
        <v>120</v>
      </c>
      <c r="K1256" t="s">
        <v>6848</v>
      </c>
      <c r="L1256">
        <v>2.7</v>
      </c>
      <c r="M1256">
        <v>9.7200000000000006</v>
      </c>
      <c r="N1256">
        <v>0.65</v>
      </c>
      <c r="O1256">
        <v>0.1</v>
      </c>
      <c r="P1256">
        <v>10.130000000000001</v>
      </c>
      <c r="Q1256">
        <v>-4.05</v>
      </c>
      <c r="R1256">
        <v>9.7100000000000009</v>
      </c>
      <c r="S1256">
        <v>10.119999999999999</v>
      </c>
      <c r="T1256">
        <v>27304</v>
      </c>
      <c r="U1256">
        <v>9.7200000000000006</v>
      </c>
      <c r="V1256">
        <v>10.119999999999999</v>
      </c>
      <c r="W1256">
        <v>90.84</v>
      </c>
      <c r="X1256" t="s">
        <v>569</v>
      </c>
      <c r="Y1256" t="s">
        <v>547</v>
      </c>
      <c r="Z1256">
        <v>4.1500000000000004</v>
      </c>
      <c r="AA1256">
        <v>9.89</v>
      </c>
      <c r="AB1256">
        <v>17061</v>
      </c>
      <c r="AC1256">
        <v>10243</v>
      </c>
      <c r="AD1256">
        <v>1.67</v>
      </c>
      <c r="AE1256">
        <v>80</v>
      </c>
      <c r="AF1256">
        <v>30</v>
      </c>
      <c r="AG1256" t="s">
        <v>120</v>
      </c>
      <c r="AH1256">
        <v>0.01</v>
      </c>
      <c r="AI1256" t="s">
        <v>120</v>
      </c>
      <c r="AJ1256">
        <v>1.01</v>
      </c>
      <c r="AK1256" t="s">
        <v>6849</v>
      </c>
      <c r="AL1256">
        <v>-2.04</v>
      </c>
      <c r="AM1256">
        <v>1101</v>
      </c>
      <c r="AN1256">
        <v>25</v>
      </c>
      <c r="AO1256">
        <v>2.5000000000000001E-3</v>
      </c>
      <c r="AP1256">
        <v>-2</v>
      </c>
      <c r="AQ1256">
        <v>-6.21</v>
      </c>
      <c r="AR1256">
        <v>-3.76</v>
      </c>
      <c r="AS1256">
        <v>3.96</v>
      </c>
      <c r="AT1256">
        <v>-3.18</v>
      </c>
      <c r="AU1256">
        <v>3.85</v>
      </c>
      <c r="AV1256">
        <v>2</v>
      </c>
      <c r="AW1256">
        <v>5.17</v>
      </c>
      <c r="AX1256">
        <v>29.99</v>
      </c>
      <c r="AY1256" t="s">
        <v>120</v>
      </c>
      <c r="AZ1256" t="s">
        <v>120</v>
      </c>
      <c r="BA1256">
        <v>0.37</v>
      </c>
      <c r="BB1256" t="s">
        <v>341</v>
      </c>
      <c r="BF1256">
        <v>-2.2799999999999998</v>
      </c>
      <c r="BG1256">
        <v>-3.95</v>
      </c>
      <c r="BH1256">
        <v>-4.05</v>
      </c>
      <c r="BI1256">
        <v>0.1</v>
      </c>
      <c r="BJ1256">
        <v>20210903</v>
      </c>
      <c r="BK1256">
        <v>20170912</v>
      </c>
      <c r="BL1256">
        <v>1.76</v>
      </c>
      <c r="BM1256" t="s">
        <v>120</v>
      </c>
      <c r="BN1256" t="s">
        <v>120</v>
      </c>
      <c r="BO1256">
        <v>8.64</v>
      </c>
      <c r="BP1256">
        <v>9.7100000000000009</v>
      </c>
      <c r="BQ1256">
        <v>5.96</v>
      </c>
      <c r="BR1256" t="s">
        <v>120</v>
      </c>
      <c r="BS1256">
        <v>30.98</v>
      </c>
      <c r="BT1256">
        <v>2.84</v>
      </c>
      <c r="BU1256">
        <v>3.32</v>
      </c>
      <c r="BV1256">
        <v>0.73</v>
      </c>
      <c r="BW1256">
        <v>2.11</v>
      </c>
      <c r="BX1256">
        <v>0.9</v>
      </c>
      <c r="BY1256">
        <v>0.56999999999999995</v>
      </c>
      <c r="BZ1256">
        <v>0.75</v>
      </c>
      <c r="CA1256" t="s">
        <v>120</v>
      </c>
      <c r="CB1256">
        <v>2.88</v>
      </c>
      <c r="CC1256">
        <v>1.29</v>
      </c>
      <c r="CD1256">
        <v>0.4</v>
      </c>
      <c r="CE1256">
        <v>0.12</v>
      </c>
      <c r="CF1256">
        <v>0.08</v>
      </c>
      <c r="CG1256">
        <v>0.12</v>
      </c>
      <c r="CH1256">
        <v>0.09</v>
      </c>
      <c r="CI1256">
        <v>0.09</v>
      </c>
      <c r="CJ1256">
        <v>-0.4</v>
      </c>
      <c r="CK1256">
        <v>0.01</v>
      </c>
      <c r="CL1256">
        <v>1.1499999999999999</v>
      </c>
      <c r="CM1256">
        <v>0.08</v>
      </c>
      <c r="CN1256">
        <v>0.32</v>
      </c>
      <c r="CO1256">
        <v>13139</v>
      </c>
      <c r="CP1256">
        <v>4017</v>
      </c>
      <c r="CQ1256" t="s">
        <v>2061</v>
      </c>
      <c r="CR1256">
        <v>171.26</v>
      </c>
      <c r="CS1256">
        <v>45.9</v>
      </c>
      <c r="CT1256">
        <v>2.87</v>
      </c>
      <c r="CU1256">
        <v>211.39</v>
      </c>
      <c r="CV1256">
        <v>13.26</v>
      </c>
      <c r="CW1256">
        <v>0</v>
      </c>
      <c r="CX1256" t="s">
        <v>343</v>
      </c>
      <c r="CY1256">
        <v>3.39</v>
      </c>
      <c r="CZ1256">
        <v>0</v>
      </c>
      <c r="DA1256">
        <v>1.64</v>
      </c>
      <c r="DB1256">
        <v>0.65</v>
      </c>
      <c r="DC1256">
        <v>0.05</v>
      </c>
      <c r="DD1256">
        <v>69.02</v>
      </c>
      <c r="DE1256" t="s">
        <v>6850</v>
      </c>
      <c r="DF1256">
        <v>69.38</v>
      </c>
      <c r="DG1256">
        <v>9.4</v>
      </c>
      <c r="DH1256">
        <v>7.3</v>
      </c>
      <c r="DI1256">
        <v>0.09</v>
      </c>
      <c r="DJ1256">
        <v>353</v>
      </c>
      <c r="DK1256">
        <v>2898</v>
      </c>
      <c r="DL1256" t="s">
        <v>120</v>
      </c>
      <c r="DM1256" t="s">
        <v>120</v>
      </c>
      <c r="DN1256" t="s">
        <v>120</v>
      </c>
    </row>
    <row r="1257" spans="1:118">
      <c r="A1257" t="str">
        <f>"002899"</f>
        <v>002899</v>
      </c>
      <c r="B1257" t="s">
        <v>6851</v>
      </c>
      <c r="C1257">
        <v>-2.57</v>
      </c>
      <c r="D1257">
        <v>7.0000000000000007E-2</v>
      </c>
      <c r="E1257">
        <v>0</v>
      </c>
      <c r="F1257">
        <v>378</v>
      </c>
      <c r="G1257" t="s">
        <v>5894</v>
      </c>
      <c r="H1257">
        <v>6123.1</v>
      </c>
      <c r="I1257">
        <v>14.02</v>
      </c>
      <c r="J1257" t="s">
        <v>120</v>
      </c>
      <c r="K1257" t="s">
        <v>6852</v>
      </c>
      <c r="L1257">
        <v>3.3</v>
      </c>
      <c r="M1257">
        <v>15.18</v>
      </c>
      <c r="N1257">
        <v>0.91</v>
      </c>
      <c r="O1257">
        <v>1.67</v>
      </c>
      <c r="P1257">
        <v>15.84</v>
      </c>
      <c r="Q1257">
        <v>-3.4</v>
      </c>
      <c r="R1257">
        <v>15.05</v>
      </c>
      <c r="S1257">
        <v>15.58</v>
      </c>
      <c r="T1257">
        <v>39547</v>
      </c>
      <c r="U1257">
        <v>15.18</v>
      </c>
      <c r="V1257">
        <v>15.58</v>
      </c>
      <c r="W1257">
        <v>46.34</v>
      </c>
      <c r="X1257" t="s">
        <v>213</v>
      </c>
      <c r="Y1257" t="s">
        <v>638</v>
      </c>
      <c r="Z1257">
        <v>5.07</v>
      </c>
      <c r="AA1257">
        <v>15.48</v>
      </c>
      <c r="AB1257">
        <v>24285</v>
      </c>
      <c r="AC1257">
        <v>15262</v>
      </c>
      <c r="AD1257">
        <v>1.59</v>
      </c>
      <c r="AE1257">
        <v>185</v>
      </c>
      <c r="AF1257">
        <v>45</v>
      </c>
      <c r="AG1257" t="s">
        <v>120</v>
      </c>
      <c r="AH1257">
        <v>0.01</v>
      </c>
      <c r="AI1257" t="s">
        <v>120</v>
      </c>
      <c r="AJ1257">
        <v>1.2</v>
      </c>
      <c r="AK1257" t="s">
        <v>6852</v>
      </c>
      <c r="AL1257">
        <v>-0.65</v>
      </c>
      <c r="AM1257">
        <v>1652</v>
      </c>
      <c r="AN1257">
        <v>24</v>
      </c>
      <c r="AO1257">
        <v>2E-3</v>
      </c>
      <c r="AP1257">
        <v>-1</v>
      </c>
      <c r="AQ1257">
        <v>0.84</v>
      </c>
      <c r="AR1257">
        <v>-4.82</v>
      </c>
      <c r="AS1257">
        <v>4.6100000000000003</v>
      </c>
      <c r="AT1257">
        <v>14.48</v>
      </c>
      <c r="AU1257">
        <v>16.940000000000001</v>
      </c>
      <c r="AV1257">
        <v>2</v>
      </c>
      <c r="AW1257">
        <v>5.73</v>
      </c>
      <c r="AX1257">
        <v>57.55</v>
      </c>
      <c r="AY1257">
        <v>42.52</v>
      </c>
      <c r="AZ1257">
        <v>47.26</v>
      </c>
      <c r="BA1257">
        <v>0.51</v>
      </c>
      <c r="BB1257" t="s">
        <v>143</v>
      </c>
      <c r="BF1257">
        <v>-0.62</v>
      </c>
      <c r="BG1257">
        <v>-2.57</v>
      </c>
      <c r="BH1257">
        <v>-4.17</v>
      </c>
      <c r="BI1257">
        <v>0.86</v>
      </c>
      <c r="BJ1257">
        <v>20210830</v>
      </c>
      <c r="BK1257">
        <v>20170915</v>
      </c>
      <c r="BL1257">
        <v>1.2</v>
      </c>
      <c r="BM1257" t="s">
        <v>120</v>
      </c>
      <c r="BN1257" t="s">
        <v>120</v>
      </c>
      <c r="BO1257">
        <v>15.85</v>
      </c>
      <c r="BP1257">
        <v>15.17</v>
      </c>
      <c r="BQ1257">
        <v>10.99</v>
      </c>
      <c r="BR1257" t="s">
        <v>120</v>
      </c>
      <c r="BS1257">
        <v>30.66</v>
      </c>
      <c r="BT1257">
        <v>11.73</v>
      </c>
      <c r="BU1257">
        <v>1.6</v>
      </c>
      <c r="BV1257">
        <v>0.9</v>
      </c>
      <c r="BW1257">
        <v>2.67</v>
      </c>
      <c r="BX1257">
        <v>7.32</v>
      </c>
      <c r="BY1257">
        <v>1.95</v>
      </c>
      <c r="BZ1257">
        <v>0.98</v>
      </c>
      <c r="CA1257" t="s">
        <v>120</v>
      </c>
      <c r="CB1257">
        <v>6.25</v>
      </c>
      <c r="CC1257">
        <v>4.45</v>
      </c>
      <c r="CD1257">
        <v>3.07</v>
      </c>
      <c r="CE1257">
        <v>0.23</v>
      </c>
      <c r="CF1257">
        <v>0.01</v>
      </c>
      <c r="CG1257">
        <v>0.24</v>
      </c>
      <c r="CH1257">
        <v>0.2</v>
      </c>
      <c r="CI1257">
        <v>0.2</v>
      </c>
      <c r="CJ1257">
        <v>-0.4</v>
      </c>
      <c r="CK1257">
        <v>0.17</v>
      </c>
      <c r="CL1257">
        <v>3.1</v>
      </c>
      <c r="CM1257">
        <v>0.32</v>
      </c>
      <c r="CN1257">
        <v>1.3</v>
      </c>
      <c r="CO1257">
        <v>12657</v>
      </c>
      <c r="CP1257">
        <v>5456</v>
      </c>
      <c r="CQ1257" t="s">
        <v>6853</v>
      </c>
      <c r="CR1257">
        <v>28.89</v>
      </c>
      <c r="CS1257">
        <v>26.54</v>
      </c>
      <c r="CT1257">
        <v>1.66</v>
      </c>
      <c r="CU1257">
        <v>56.46</v>
      </c>
      <c r="CV1257">
        <v>4.09</v>
      </c>
      <c r="CW1257">
        <v>0.25</v>
      </c>
      <c r="CX1257" t="s">
        <v>1091</v>
      </c>
      <c r="CY1257">
        <v>9.16</v>
      </c>
      <c r="CZ1257">
        <v>0</v>
      </c>
      <c r="DA1257">
        <v>5.21</v>
      </c>
      <c r="DB1257">
        <v>2.58</v>
      </c>
      <c r="DC1257">
        <v>0.27</v>
      </c>
      <c r="DD1257">
        <v>69.34</v>
      </c>
      <c r="DE1257" t="s">
        <v>6854</v>
      </c>
      <c r="DF1257">
        <v>30.93</v>
      </c>
      <c r="DG1257">
        <v>5.24</v>
      </c>
      <c r="DH1257">
        <v>4.42</v>
      </c>
      <c r="DI1257">
        <v>0.27</v>
      </c>
      <c r="DJ1257">
        <v>1563</v>
      </c>
      <c r="DK1257">
        <v>2899</v>
      </c>
      <c r="DL1257">
        <v>20210806</v>
      </c>
      <c r="DM1257">
        <v>15.9</v>
      </c>
      <c r="DN1257">
        <v>-4.53</v>
      </c>
    </row>
    <row r="1258" spans="1:118">
      <c r="A1258" t="str">
        <f>"002900"</f>
        <v>002900</v>
      </c>
      <c r="B1258" t="s">
        <v>6855</v>
      </c>
      <c r="C1258">
        <v>0.93</v>
      </c>
      <c r="D1258">
        <v>0</v>
      </c>
      <c r="E1258">
        <v>-1.03</v>
      </c>
      <c r="F1258">
        <v>711</v>
      </c>
      <c r="G1258" t="s">
        <v>6856</v>
      </c>
      <c r="H1258">
        <v>16409.82</v>
      </c>
      <c r="I1258">
        <v>18.36</v>
      </c>
      <c r="J1258" t="s">
        <v>120</v>
      </c>
      <c r="K1258" t="s">
        <v>6857</v>
      </c>
      <c r="L1258">
        <v>4.6500000000000004</v>
      </c>
      <c r="M1258">
        <v>20.58</v>
      </c>
      <c r="N1258">
        <v>1.56</v>
      </c>
      <c r="O1258">
        <v>3.73</v>
      </c>
      <c r="P1258">
        <v>21.15</v>
      </c>
      <c r="Q1258">
        <v>-1.81</v>
      </c>
      <c r="R1258">
        <v>20.02</v>
      </c>
      <c r="S1258">
        <v>20.18</v>
      </c>
      <c r="T1258">
        <v>79224</v>
      </c>
      <c r="U1258">
        <v>20.59</v>
      </c>
      <c r="V1258">
        <v>20.39</v>
      </c>
      <c r="W1258">
        <v>5.56</v>
      </c>
      <c r="X1258" t="s">
        <v>569</v>
      </c>
      <c r="Y1258" t="s">
        <v>1686</v>
      </c>
      <c r="Z1258">
        <v>5.54</v>
      </c>
      <c r="AA1258">
        <v>20.71</v>
      </c>
      <c r="AB1258">
        <v>35584</v>
      </c>
      <c r="AC1258">
        <v>43640</v>
      </c>
      <c r="AD1258">
        <v>0.82</v>
      </c>
      <c r="AE1258">
        <v>548</v>
      </c>
      <c r="AF1258">
        <v>94</v>
      </c>
      <c r="AG1258" t="s">
        <v>120</v>
      </c>
      <c r="AH1258">
        <v>0.01</v>
      </c>
      <c r="AI1258" t="s">
        <v>120</v>
      </c>
      <c r="AJ1258">
        <v>1.7</v>
      </c>
      <c r="AK1258" t="s">
        <v>6858</v>
      </c>
      <c r="AL1258">
        <v>2.85</v>
      </c>
      <c r="AM1258">
        <v>3107</v>
      </c>
      <c r="AN1258">
        <v>25</v>
      </c>
      <c r="AO1258">
        <v>1.5E-3</v>
      </c>
      <c r="AP1258">
        <v>2</v>
      </c>
      <c r="AQ1258">
        <v>0.34</v>
      </c>
      <c r="AR1258">
        <v>-1.3</v>
      </c>
      <c r="AS1258">
        <v>-13.09</v>
      </c>
      <c r="AT1258">
        <v>-36.799999999999997</v>
      </c>
      <c r="AU1258">
        <v>124.43</v>
      </c>
      <c r="AV1258">
        <v>24</v>
      </c>
      <c r="AW1258">
        <v>6.92</v>
      </c>
      <c r="AX1258">
        <v>36.18</v>
      </c>
      <c r="AY1258">
        <v>10.99</v>
      </c>
      <c r="AZ1258">
        <v>220.14</v>
      </c>
      <c r="BA1258">
        <v>1.4</v>
      </c>
      <c r="BB1258" t="s">
        <v>125</v>
      </c>
      <c r="BF1258">
        <v>1.58</v>
      </c>
      <c r="BG1258">
        <v>1.98</v>
      </c>
      <c r="BH1258">
        <v>-2.7</v>
      </c>
      <c r="BI1258">
        <v>2.8</v>
      </c>
      <c r="BJ1258">
        <v>20210830</v>
      </c>
      <c r="BK1258">
        <v>20170922</v>
      </c>
      <c r="BL1258">
        <v>3.17</v>
      </c>
      <c r="BM1258" t="s">
        <v>120</v>
      </c>
      <c r="BN1258" t="s">
        <v>120</v>
      </c>
      <c r="BO1258">
        <v>31.55</v>
      </c>
      <c r="BP1258">
        <v>20.58</v>
      </c>
      <c r="BQ1258">
        <v>23.37</v>
      </c>
      <c r="BR1258">
        <v>0.16</v>
      </c>
      <c r="BS1258">
        <v>25.44</v>
      </c>
      <c r="BT1258">
        <v>13.12</v>
      </c>
      <c r="BU1258">
        <v>7.44</v>
      </c>
      <c r="BV1258">
        <v>0.64</v>
      </c>
      <c r="BW1258">
        <v>5.01</v>
      </c>
      <c r="BX1258">
        <v>2.87</v>
      </c>
      <c r="BY1258">
        <v>1.49</v>
      </c>
      <c r="BZ1258">
        <v>1.46</v>
      </c>
      <c r="CA1258" t="s">
        <v>120</v>
      </c>
      <c r="CB1258">
        <v>10.73</v>
      </c>
      <c r="CC1258">
        <v>4.74</v>
      </c>
      <c r="CD1258">
        <v>1.59</v>
      </c>
      <c r="CE1258">
        <v>5.99</v>
      </c>
      <c r="CF1258">
        <v>5.78</v>
      </c>
      <c r="CG1258">
        <v>5.99</v>
      </c>
      <c r="CH1258">
        <v>5.86</v>
      </c>
      <c r="CI1258">
        <v>5.86</v>
      </c>
      <c r="CJ1258">
        <v>0.19</v>
      </c>
      <c r="CK1258">
        <v>-0.3</v>
      </c>
      <c r="CL1258">
        <v>8.75</v>
      </c>
      <c r="CM1258">
        <v>-0.19</v>
      </c>
      <c r="CN1258">
        <v>-3.77</v>
      </c>
      <c r="CO1258">
        <v>64725</v>
      </c>
      <c r="CP1258">
        <v>1770</v>
      </c>
      <c r="CQ1258" t="s">
        <v>6859</v>
      </c>
      <c r="CR1258">
        <v>1985.63</v>
      </c>
      <c r="CS1258">
        <v>-24.45</v>
      </c>
      <c r="CT1258">
        <v>2.79</v>
      </c>
      <c r="CU1258">
        <v>-343.92</v>
      </c>
      <c r="CV1258">
        <v>13.75</v>
      </c>
      <c r="CW1258">
        <v>0.38</v>
      </c>
      <c r="CX1258" t="s">
        <v>6860</v>
      </c>
      <c r="CY1258">
        <v>7.38</v>
      </c>
      <c r="CZ1258">
        <v>0</v>
      </c>
      <c r="DA1258">
        <v>3.39</v>
      </c>
      <c r="DB1258">
        <v>2.76</v>
      </c>
      <c r="DC1258">
        <v>-0.06</v>
      </c>
      <c r="DD1258">
        <v>74.06</v>
      </c>
      <c r="DE1258" t="s">
        <v>6861</v>
      </c>
      <c r="DF1258">
        <v>66.38</v>
      </c>
      <c r="DG1258">
        <v>126.39</v>
      </c>
      <c r="DH1258">
        <v>123.73</v>
      </c>
      <c r="DI1258">
        <v>0.48</v>
      </c>
      <c r="DJ1258">
        <v>1675</v>
      </c>
      <c r="DK1258">
        <v>2900</v>
      </c>
      <c r="DL1258" t="s">
        <v>120</v>
      </c>
      <c r="DM1258" t="s">
        <v>120</v>
      </c>
      <c r="DN1258" t="s">
        <v>120</v>
      </c>
    </row>
    <row r="1259" spans="1:118">
      <c r="A1259" t="str">
        <f>"002901"</f>
        <v>002901</v>
      </c>
      <c r="B1259" t="s">
        <v>6862</v>
      </c>
      <c r="C1259">
        <v>7.5</v>
      </c>
      <c r="D1259">
        <v>0.6</v>
      </c>
      <c r="E1259">
        <v>-2.5</v>
      </c>
      <c r="F1259">
        <v>788</v>
      </c>
      <c r="G1259" t="s">
        <v>6863</v>
      </c>
      <c r="H1259">
        <v>28205.02</v>
      </c>
      <c r="I1259">
        <v>206.9</v>
      </c>
      <c r="J1259" t="s">
        <v>120</v>
      </c>
      <c r="K1259" t="s">
        <v>6864</v>
      </c>
      <c r="L1259">
        <v>1.53</v>
      </c>
      <c r="M1259">
        <v>55.5</v>
      </c>
      <c r="N1259">
        <v>2.0699999999999998</v>
      </c>
      <c r="O1259">
        <v>9.94</v>
      </c>
      <c r="P1259">
        <v>56.76</v>
      </c>
      <c r="Q1259">
        <v>-2.5</v>
      </c>
      <c r="R1259">
        <v>50.34</v>
      </c>
      <c r="S1259">
        <v>50.34</v>
      </c>
      <c r="T1259">
        <v>52274</v>
      </c>
      <c r="U1259">
        <v>55.5</v>
      </c>
      <c r="V1259">
        <v>51.63</v>
      </c>
      <c r="W1259">
        <v>35.450000000000003</v>
      </c>
      <c r="X1259" t="s">
        <v>555</v>
      </c>
      <c r="Y1259" t="s">
        <v>937</v>
      </c>
      <c r="Z1259">
        <v>12.43</v>
      </c>
      <c r="AA1259">
        <v>53.96</v>
      </c>
      <c r="AB1259">
        <v>23884</v>
      </c>
      <c r="AC1259">
        <v>28390</v>
      </c>
      <c r="AD1259">
        <v>0.84</v>
      </c>
      <c r="AE1259">
        <v>12</v>
      </c>
      <c r="AF1259">
        <v>396</v>
      </c>
      <c r="AG1259" t="s">
        <v>120</v>
      </c>
      <c r="AH1259">
        <v>0.08</v>
      </c>
      <c r="AI1259" t="s">
        <v>120</v>
      </c>
      <c r="AJ1259">
        <v>3.41</v>
      </c>
      <c r="AK1259" t="s">
        <v>6865</v>
      </c>
      <c r="AL1259">
        <v>9.41</v>
      </c>
      <c r="AM1259">
        <v>3815</v>
      </c>
      <c r="AN1259">
        <v>14</v>
      </c>
      <c r="AO1259">
        <v>4.0000000000000002E-4</v>
      </c>
      <c r="AP1259">
        <v>1</v>
      </c>
      <c r="AQ1259">
        <v>-3.59</v>
      </c>
      <c r="AR1259">
        <v>14</v>
      </c>
      <c r="AS1259">
        <v>4.1100000000000003</v>
      </c>
      <c r="AT1259">
        <v>-21.74</v>
      </c>
      <c r="AU1259">
        <v>-23.9</v>
      </c>
      <c r="AV1259">
        <v>6</v>
      </c>
      <c r="AW1259">
        <v>10.8</v>
      </c>
      <c r="AX1259">
        <v>11.95</v>
      </c>
      <c r="AY1259">
        <v>31.77</v>
      </c>
      <c r="AZ1259">
        <v>34.54</v>
      </c>
      <c r="BA1259">
        <v>0.76</v>
      </c>
      <c r="BB1259" t="s">
        <v>143</v>
      </c>
      <c r="BF1259">
        <v>4.51</v>
      </c>
      <c r="BG1259">
        <v>10.25</v>
      </c>
      <c r="BH1259">
        <v>-2.2200000000000002</v>
      </c>
      <c r="BI1259">
        <v>10.25</v>
      </c>
      <c r="BJ1259">
        <v>20210827</v>
      </c>
      <c r="BK1259">
        <v>20170922</v>
      </c>
      <c r="BL1259">
        <v>4.05</v>
      </c>
      <c r="BM1259" t="s">
        <v>120</v>
      </c>
      <c r="BN1259" t="s">
        <v>120</v>
      </c>
      <c r="BO1259">
        <v>28.68</v>
      </c>
      <c r="BP1259">
        <v>55.49</v>
      </c>
      <c r="BQ1259">
        <v>21.09</v>
      </c>
      <c r="BR1259">
        <v>0.33</v>
      </c>
      <c r="BS1259">
        <v>25.31</v>
      </c>
      <c r="BT1259">
        <v>20.95</v>
      </c>
      <c r="BU1259">
        <v>5.77</v>
      </c>
      <c r="BV1259">
        <v>1.2</v>
      </c>
      <c r="BW1259">
        <v>6.7</v>
      </c>
      <c r="BX1259">
        <v>3.77</v>
      </c>
      <c r="BY1259">
        <v>5.83</v>
      </c>
      <c r="BZ1259">
        <v>3.65</v>
      </c>
      <c r="CA1259" t="s">
        <v>120</v>
      </c>
      <c r="CB1259">
        <v>5.48</v>
      </c>
      <c r="CC1259">
        <v>8.4700000000000006</v>
      </c>
      <c r="CD1259">
        <v>1.21</v>
      </c>
      <c r="CE1259">
        <v>3.75</v>
      </c>
      <c r="CF1259">
        <v>0.09</v>
      </c>
      <c r="CG1259">
        <v>3.74</v>
      </c>
      <c r="CH1259">
        <v>3.28</v>
      </c>
      <c r="CI1259">
        <v>3.17</v>
      </c>
      <c r="CJ1259">
        <v>3.87</v>
      </c>
      <c r="CK1259">
        <v>2.83</v>
      </c>
      <c r="CL1259">
        <v>10.45</v>
      </c>
      <c r="CM1259">
        <v>2.29</v>
      </c>
      <c r="CN1259">
        <v>-0.13</v>
      </c>
      <c r="CO1259">
        <v>25278</v>
      </c>
      <c r="CP1259">
        <v>1915</v>
      </c>
      <c r="CQ1259" t="s">
        <v>6866</v>
      </c>
      <c r="CR1259">
        <v>19.920000000000002</v>
      </c>
      <c r="CS1259">
        <v>25.83</v>
      </c>
      <c r="CT1259">
        <v>10.66</v>
      </c>
      <c r="CU1259">
        <v>98.39</v>
      </c>
      <c r="CV1259">
        <v>26.56</v>
      </c>
      <c r="CW1259">
        <v>1.55</v>
      </c>
      <c r="CX1259" t="s">
        <v>3993</v>
      </c>
      <c r="CY1259">
        <v>5.21</v>
      </c>
      <c r="CZ1259">
        <v>0</v>
      </c>
      <c r="DA1259">
        <v>1.35</v>
      </c>
      <c r="DB1259">
        <v>2.58</v>
      </c>
      <c r="DC1259">
        <v>0.56000000000000005</v>
      </c>
      <c r="DD1259">
        <v>73.55</v>
      </c>
      <c r="DE1259" t="s">
        <v>6867</v>
      </c>
      <c r="DF1259">
        <v>85.7</v>
      </c>
      <c r="DG1259">
        <v>44.25</v>
      </c>
      <c r="DH1259">
        <v>37.46</v>
      </c>
      <c r="DI1259">
        <v>0.67</v>
      </c>
      <c r="DJ1259">
        <v>2495</v>
      </c>
      <c r="DK1259">
        <v>2901</v>
      </c>
      <c r="DL1259" t="s">
        <v>120</v>
      </c>
      <c r="DM1259" t="s">
        <v>120</v>
      </c>
      <c r="DN1259" t="s">
        <v>120</v>
      </c>
    </row>
    <row r="1260" spans="1:118">
      <c r="A1260" t="str">
        <f>"002902"</f>
        <v>002902</v>
      </c>
      <c r="B1260" t="s">
        <v>6868</v>
      </c>
      <c r="C1260">
        <v>-0.72</v>
      </c>
      <c r="D1260">
        <v>-0.28000000000000003</v>
      </c>
      <c r="E1260">
        <v>0</v>
      </c>
      <c r="F1260">
        <v>569</v>
      </c>
      <c r="G1260" t="s">
        <v>6869</v>
      </c>
      <c r="H1260">
        <v>8901.6299999999992</v>
      </c>
      <c r="I1260">
        <v>18.23</v>
      </c>
      <c r="J1260" t="s">
        <v>120</v>
      </c>
      <c r="K1260" t="s">
        <v>6870</v>
      </c>
      <c r="L1260">
        <v>4.87</v>
      </c>
      <c r="M1260">
        <v>13.71</v>
      </c>
      <c r="N1260">
        <v>0.99</v>
      </c>
      <c r="O1260">
        <v>2.1</v>
      </c>
      <c r="P1260">
        <v>14.1</v>
      </c>
      <c r="Q1260">
        <v>-2.1</v>
      </c>
      <c r="R1260">
        <v>13.52</v>
      </c>
      <c r="S1260">
        <v>13.81</v>
      </c>
      <c r="T1260">
        <v>64448</v>
      </c>
      <c r="U1260">
        <v>13.74</v>
      </c>
      <c r="V1260">
        <v>13.81</v>
      </c>
      <c r="W1260">
        <v>453.1</v>
      </c>
      <c r="X1260" t="s">
        <v>229</v>
      </c>
      <c r="Y1260" t="s">
        <v>547</v>
      </c>
      <c r="Z1260">
        <v>4.2</v>
      </c>
      <c r="AA1260">
        <v>13.81</v>
      </c>
      <c r="AB1260">
        <v>38207</v>
      </c>
      <c r="AC1260">
        <v>26241</v>
      </c>
      <c r="AD1260">
        <v>1.46</v>
      </c>
      <c r="AE1260">
        <v>210</v>
      </c>
      <c r="AF1260">
        <v>8</v>
      </c>
      <c r="AG1260" t="s">
        <v>120</v>
      </c>
      <c r="AH1260">
        <v>0.01</v>
      </c>
      <c r="AI1260" t="s">
        <v>120</v>
      </c>
      <c r="AJ1260">
        <v>1.32</v>
      </c>
      <c r="AK1260" t="s">
        <v>6871</v>
      </c>
      <c r="AL1260">
        <v>1.19</v>
      </c>
      <c r="AM1260">
        <v>2605</v>
      </c>
      <c r="AN1260">
        <v>25</v>
      </c>
      <c r="AO1260">
        <v>1.9E-3</v>
      </c>
      <c r="AP1260">
        <v>-2</v>
      </c>
      <c r="AQ1260">
        <v>-2.13</v>
      </c>
      <c r="AR1260">
        <v>2.61</v>
      </c>
      <c r="AS1260">
        <v>0.8</v>
      </c>
      <c r="AT1260">
        <v>3.86</v>
      </c>
      <c r="AU1260">
        <v>4.74</v>
      </c>
      <c r="AV1260">
        <v>5</v>
      </c>
      <c r="AW1260">
        <v>5.62</v>
      </c>
      <c r="AX1260">
        <v>54.61</v>
      </c>
      <c r="AY1260">
        <v>224.08</v>
      </c>
      <c r="AZ1260">
        <v>667.68</v>
      </c>
      <c r="BA1260">
        <v>0.91</v>
      </c>
      <c r="BB1260" t="s">
        <v>143</v>
      </c>
      <c r="BF1260">
        <v>0.02</v>
      </c>
      <c r="BG1260">
        <v>-0.72</v>
      </c>
      <c r="BH1260">
        <v>-2.77</v>
      </c>
      <c r="BI1260">
        <v>1.41</v>
      </c>
      <c r="BJ1260">
        <v>20210824</v>
      </c>
      <c r="BK1260">
        <v>20170929</v>
      </c>
      <c r="BL1260">
        <v>2.1</v>
      </c>
      <c r="BM1260" t="s">
        <v>120</v>
      </c>
      <c r="BN1260" t="s">
        <v>120</v>
      </c>
      <c r="BO1260">
        <v>26.44</v>
      </c>
      <c r="BP1260">
        <v>13.71</v>
      </c>
      <c r="BQ1260">
        <v>10.66</v>
      </c>
      <c r="BR1260">
        <v>0.41</v>
      </c>
      <c r="BS1260">
        <v>58.13</v>
      </c>
      <c r="BT1260">
        <v>16.989999999999998</v>
      </c>
      <c r="BU1260">
        <v>5.96</v>
      </c>
      <c r="BV1260">
        <v>0.41</v>
      </c>
      <c r="BW1260">
        <v>13.92</v>
      </c>
      <c r="BX1260">
        <v>1.59</v>
      </c>
      <c r="BY1260">
        <v>5.63</v>
      </c>
      <c r="BZ1260">
        <v>7.3</v>
      </c>
      <c r="CA1260" t="s">
        <v>120</v>
      </c>
      <c r="CB1260">
        <v>4.53</v>
      </c>
      <c r="CC1260">
        <v>10.78</v>
      </c>
      <c r="CD1260">
        <v>9.5500000000000007</v>
      </c>
      <c r="CE1260">
        <v>0.05</v>
      </c>
      <c r="CF1260">
        <v>0</v>
      </c>
      <c r="CG1260">
        <v>0.05</v>
      </c>
      <c r="CH1260">
        <v>0.03</v>
      </c>
      <c r="CI1260">
        <v>0.03</v>
      </c>
      <c r="CJ1260">
        <v>-0.1</v>
      </c>
      <c r="CK1260">
        <v>0.01</v>
      </c>
      <c r="CL1260">
        <v>3.54</v>
      </c>
      <c r="CM1260">
        <v>-0.85</v>
      </c>
      <c r="CN1260">
        <v>-0.91</v>
      </c>
      <c r="CO1260">
        <v>30033</v>
      </c>
      <c r="CP1260">
        <v>3819</v>
      </c>
      <c r="CQ1260" t="s">
        <v>4367</v>
      </c>
      <c r="CR1260">
        <v>158.6</v>
      </c>
      <c r="CS1260">
        <v>56.19</v>
      </c>
      <c r="CT1260">
        <v>2.7</v>
      </c>
      <c r="CU1260">
        <v>-33.76</v>
      </c>
      <c r="CV1260">
        <v>2.67</v>
      </c>
      <c r="CW1260">
        <v>0</v>
      </c>
      <c r="CX1260" t="s">
        <v>1481</v>
      </c>
      <c r="CY1260">
        <v>5.07</v>
      </c>
      <c r="CZ1260">
        <v>0</v>
      </c>
      <c r="DA1260">
        <v>2.16</v>
      </c>
      <c r="DB1260">
        <v>1.69</v>
      </c>
      <c r="DC1260">
        <v>-0.41</v>
      </c>
      <c r="DD1260">
        <v>40.31</v>
      </c>
      <c r="DE1260" t="s">
        <v>6872</v>
      </c>
      <c r="DF1260">
        <v>11.4</v>
      </c>
      <c r="DG1260">
        <v>0.49</v>
      </c>
      <c r="DH1260">
        <v>0.28999999999999998</v>
      </c>
      <c r="DI1260">
        <v>0.46</v>
      </c>
      <c r="DJ1260">
        <v>4094</v>
      </c>
      <c r="DK1260">
        <v>2902</v>
      </c>
      <c r="DL1260" t="s">
        <v>120</v>
      </c>
      <c r="DM1260" t="s">
        <v>120</v>
      </c>
      <c r="DN1260" t="s">
        <v>120</v>
      </c>
    </row>
    <row r="1261" spans="1:118">
      <c r="A1261" t="str">
        <f>"002903"</f>
        <v>002903</v>
      </c>
      <c r="B1261" t="s">
        <v>6873</v>
      </c>
      <c r="C1261">
        <v>-0.1</v>
      </c>
      <c r="D1261">
        <v>0.05</v>
      </c>
      <c r="E1261">
        <v>-1.35</v>
      </c>
      <c r="F1261">
        <v>1193</v>
      </c>
      <c r="G1261" t="s">
        <v>6874</v>
      </c>
      <c r="H1261">
        <v>21450.99</v>
      </c>
      <c r="I1261">
        <v>78.45</v>
      </c>
      <c r="J1261" t="s">
        <v>120</v>
      </c>
      <c r="K1261" t="s">
        <v>6852</v>
      </c>
      <c r="L1261">
        <v>11.72</v>
      </c>
      <c r="M1261">
        <v>19.96</v>
      </c>
      <c r="N1261">
        <v>0.87</v>
      </c>
      <c r="O1261">
        <v>2.6</v>
      </c>
      <c r="P1261">
        <v>20.5</v>
      </c>
      <c r="Q1261">
        <v>-1.55</v>
      </c>
      <c r="R1261">
        <v>19.670000000000002</v>
      </c>
      <c r="S1261">
        <v>19.71</v>
      </c>
      <c r="T1261">
        <v>106981</v>
      </c>
      <c r="U1261">
        <v>19.97</v>
      </c>
      <c r="V1261">
        <v>19.98</v>
      </c>
      <c r="W1261">
        <v>36.229999999999997</v>
      </c>
      <c r="X1261" t="s">
        <v>2161</v>
      </c>
      <c r="Y1261" t="s">
        <v>594</v>
      </c>
      <c r="Z1261">
        <v>4.1500000000000004</v>
      </c>
      <c r="AA1261">
        <v>20.05</v>
      </c>
      <c r="AB1261">
        <v>53660</v>
      </c>
      <c r="AC1261">
        <v>53321</v>
      </c>
      <c r="AD1261">
        <v>1.01</v>
      </c>
      <c r="AE1261">
        <v>389</v>
      </c>
      <c r="AF1261">
        <v>31</v>
      </c>
      <c r="AG1261" t="s">
        <v>120</v>
      </c>
      <c r="AH1261">
        <v>0.06</v>
      </c>
      <c r="AI1261" t="s">
        <v>120</v>
      </c>
      <c r="AJ1261">
        <v>0.91</v>
      </c>
      <c r="AK1261" t="s">
        <v>6875</v>
      </c>
      <c r="AL1261">
        <v>1.81</v>
      </c>
      <c r="AM1261">
        <v>3540</v>
      </c>
      <c r="AN1261">
        <v>30</v>
      </c>
      <c r="AO1261">
        <v>3.3E-3</v>
      </c>
      <c r="AP1261">
        <v>-2</v>
      </c>
      <c r="AQ1261">
        <v>-1.62</v>
      </c>
      <c r="AR1261">
        <v>3.75</v>
      </c>
      <c r="AS1261">
        <v>29.53</v>
      </c>
      <c r="AT1261">
        <v>45.16</v>
      </c>
      <c r="AU1261">
        <v>56.3</v>
      </c>
      <c r="AV1261">
        <v>2</v>
      </c>
      <c r="AW1261">
        <v>15.6</v>
      </c>
      <c r="AX1261">
        <v>45</v>
      </c>
      <c r="AY1261">
        <v>38.47</v>
      </c>
      <c r="AZ1261">
        <v>70.23</v>
      </c>
      <c r="BA1261">
        <v>0.6</v>
      </c>
      <c r="BB1261" t="s">
        <v>184</v>
      </c>
      <c r="BF1261">
        <v>0.36</v>
      </c>
      <c r="BG1261">
        <v>1.27</v>
      </c>
      <c r="BH1261">
        <v>-2.63</v>
      </c>
      <c r="BI1261">
        <v>1.47</v>
      </c>
      <c r="BJ1261">
        <v>20210820</v>
      </c>
      <c r="BK1261">
        <v>20171013</v>
      </c>
      <c r="BL1261">
        <v>1.52</v>
      </c>
      <c r="BM1261" t="s">
        <v>120</v>
      </c>
      <c r="BN1261" t="s">
        <v>120</v>
      </c>
      <c r="BO1261">
        <v>10.16</v>
      </c>
      <c r="BP1261">
        <v>19.96</v>
      </c>
      <c r="BQ1261">
        <v>6.87</v>
      </c>
      <c r="BR1261">
        <v>0.14000000000000001</v>
      </c>
      <c r="BS1261">
        <v>31.01</v>
      </c>
      <c r="BT1261">
        <v>7.59</v>
      </c>
      <c r="BU1261">
        <v>1.86</v>
      </c>
      <c r="BV1261">
        <v>0.57999999999999996</v>
      </c>
      <c r="BW1261">
        <v>2.93</v>
      </c>
      <c r="BX1261">
        <v>3.45</v>
      </c>
      <c r="BY1261">
        <v>2.2400000000000002</v>
      </c>
      <c r="BZ1261">
        <v>0.72</v>
      </c>
      <c r="CA1261" t="s">
        <v>120</v>
      </c>
      <c r="CB1261">
        <v>2.63</v>
      </c>
      <c r="CC1261">
        <v>2.39</v>
      </c>
      <c r="CD1261">
        <v>1.39</v>
      </c>
      <c r="CE1261">
        <v>0.53</v>
      </c>
      <c r="CF1261">
        <v>0.01</v>
      </c>
      <c r="CG1261">
        <v>0.53</v>
      </c>
      <c r="CH1261">
        <v>0.45</v>
      </c>
      <c r="CI1261">
        <v>0.42</v>
      </c>
      <c r="CJ1261">
        <v>-0.02</v>
      </c>
      <c r="CK1261">
        <v>0.33</v>
      </c>
      <c r="CL1261">
        <v>2.37</v>
      </c>
      <c r="CM1261">
        <v>-0.05</v>
      </c>
      <c r="CN1261">
        <v>-1.1599999999999999</v>
      </c>
      <c r="CO1261">
        <v>19390</v>
      </c>
      <c r="CP1261">
        <v>3536</v>
      </c>
      <c r="CQ1261" t="s">
        <v>1272</v>
      </c>
      <c r="CR1261">
        <v>578.70000000000005</v>
      </c>
      <c r="CS1261">
        <v>233.78</v>
      </c>
      <c r="CT1261">
        <v>4.43</v>
      </c>
      <c r="CU1261">
        <v>-582.69000000000005</v>
      </c>
      <c r="CV1261">
        <v>12.74</v>
      </c>
      <c r="CW1261">
        <v>0.5</v>
      </c>
      <c r="CX1261" t="s">
        <v>1054</v>
      </c>
      <c r="CY1261">
        <v>4.51</v>
      </c>
      <c r="CZ1261">
        <v>0</v>
      </c>
      <c r="DA1261">
        <v>1.73</v>
      </c>
      <c r="DB1261">
        <v>1.55</v>
      </c>
      <c r="DC1261">
        <v>-0.03</v>
      </c>
      <c r="DD1261">
        <v>67.61</v>
      </c>
      <c r="DE1261" t="s">
        <v>6461</v>
      </c>
      <c r="DF1261">
        <v>41.59</v>
      </c>
      <c r="DG1261">
        <v>22.04</v>
      </c>
      <c r="DH1261">
        <v>17.579999999999998</v>
      </c>
      <c r="DI1261">
        <v>0.13</v>
      </c>
      <c r="DJ1261">
        <v>395</v>
      </c>
      <c r="DK1261">
        <v>2903</v>
      </c>
      <c r="DL1261" t="s">
        <v>120</v>
      </c>
      <c r="DM1261" t="s">
        <v>120</v>
      </c>
      <c r="DN1261" t="s">
        <v>120</v>
      </c>
    </row>
    <row r="1262" spans="1:118">
      <c r="A1262" t="str">
        <f>"002905"</f>
        <v>002905</v>
      </c>
      <c r="B1262" t="s">
        <v>6876</v>
      </c>
      <c r="C1262">
        <v>-2.58</v>
      </c>
      <c r="D1262">
        <v>0.14000000000000001</v>
      </c>
      <c r="E1262">
        <v>0.82</v>
      </c>
      <c r="F1262">
        <v>111</v>
      </c>
      <c r="G1262" t="s">
        <v>6877</v>
      </c>
      <c r="H1262">
        <v>1963.19</v>
      </c>
      <c r="I1262">
        <v>24.18</v>
      </c>
      <c r="J1262" t="s">
        <v>120</v>
      </c>
      <c r="K1262" t="s">
        <v>4702</v>
      </c>
      <c r="L1262">
        <v>0.77</v>
      </c>
      <c r="M1262">
        <v>7.17</v>
      </c>
      <c r="N1262">
        <v>0.83</v>
      </c>
      <c r="O1262">
        <v>1.22</v>
      </c>
      <c r="P1262">
        <v>7.45</v>
      </c>
      <c r="Q1262">
        <v>-2.85</v>
      </c>
      <c r="R1262">
        <v>7.15</v>
      </c>
      <c r="S1262">
        <v>7.42</v>
      </c>
      <c r="T1262">
        <v>27013</v>
      </c>
      <c r="U1262">
        <v>7.18</v>
      </c>
      <c r="V1262">
        <v>7.36</v>
      </c>
      <c r="W1262" t="s">
        <v>120</v>
      </c>
      <c r="X1262" t="s">
        <v>584</v>
      </c>
      <c r="Y1262" t="s">
        <v>547</v>
      </c>
      <c r="Z1262">
        <v>4.08</v>
      </c>
      <c r="AA1262">
        <v>7.27</v>
      </c>
      <c r="AB1262">
        <v>15841</v>
      </c>
      <c r="AC1262">
        <v>11172</v>
      </c>
      <c r="AD1262">
        <v>1.42</v>
      </c>
      <c r="AE1262">
        <v>167</v>
      </c>
      <c r="AF1262">
        <v>337</v>
      </c>
      <c r="AG1262" t="s">
        <v>120</v>
      </c>
      <c r="AH1262">
        <v>0.03</v>
      </c>
      <c r="AI1262" t="s">
        <v>120</v>
      </c>
      <c r="AJ1262">
        <v>3.49</v>
      </c>
      <c r="AK1262" t="s">
        <v>6878</v>
      </c>
      <c r="AL1262">
        <v>-0.67</v>
      </c>
      <c r="AM1262">
        <v>1306</v>
      </c>
      <c r="AN1262">
        <v>21</v>
      </c>
      <c r="AO1262">
        <v>5.9999999999999995E-4</v>
      </c>
      <c r="AP1262">
        <v>-1</v>
      </c>
      <c r="AQ1262">
        <v>3.37</v>
      </c>
      <c r="AR1262">
        <v>-1.92</v>
      </c>
      <c r="AS1262">
        <v>5.29</v>
      </c>
      <c r="AT1262">
        <v>-12.13</v>
      </c>
      <c r="AU1262">
        <v>-25.31</v>
      </c>
      <c r="AV1262">
        <v>2</v>
      </c>
      <c r="AW1262">
        <v>2.87</v>
      </c>
      <c r="AX1262">
        <v>25</v>
      </c>
      <c r="AY1262" t="s">
        <v>120</v>
      </c>
      <c r="AZ1262" t="s">
        <v>120</v>
      </c>
      <c r="BA1262">
        <v>0</v>
      </c>
      <c r="BB1262" t="s">
        <v>184</v>
      </c>
      <c r="BF1262">
        <v>-1.26</v>
      </c>
      <c r="BG1262">
        <v>-3.37</v>
      </c>
      <c r="BH1262">
        <v>-3.76</v>
      </c>
      <c r="BI1262">
        <v>0.28000000000000003</v>
      </c>
      <c r="BJ1262">
        <v>20210910</v>
      </c>
      <c r="BK1262">
        <v>20171016</v>
      </c>
      <c r="BL1262">
        <v>3.76</v>
      </c>
      <c r="BM1262" t="s">
        <v>120</v>
      </c>
      <c r="BN1262" t="s">
        <v>120</v>
      </c>
      <c r="BO1262">
        <v>50.88</v>
      </c>
      <c r="BP1262">
        <v>7.17</v>
      </c>
      <c r="BQ1262">
        <v>8.43</v>
      </c>
      <c r="BR1262">
        <v>0.06</v>
      </c>
      <c r="BS1262">
        <v>83.31</v>
      </c>
      <c r="BT1262">
        <v>9.7799999999999994</v>
      </c>
      <c r="BU1262">
        <v>6.16</v>
      </c>
      <c r="BV1262">
        <v>0.23</v>
      </c>
      <c r="BW1262">
        <v>9.3800000000000008</v>
      </c>
      <c r="BX1262">
        <v>4.32</v>
      </c>
      <c r="BY1262">
        <v>0.13</v>
      </c>
      <c r="BZ1262">
        <v>0.84</v>
      </c>
      <c r="CA1262">
        <v>0.03</v>
      </c>
      <c r="CB1262">
        <v>5.77</v>
      </c>
      <c r="CC1262">
        <v>7.62</v>
      </c>
      <c r="CD1262">
        <v>6.34</v>
      </c>
      <c r="CE1262">
        <v>-0.68</v>
      </c>
      <c r="CF1262">
        <v>0.06</v>
      </c>
      <c r="CG1262">
        <v>-0.68</v>
      </c>
      <c r="CH1262">
        <v>-0.7</v>
      </c>
      <c r="CI1262">
        <v>-0.7</v>
      </c>
      <c r="CJ1262">
        <v>-0.19</v>
      </c>
      <c r="CK1262">
        <v>-0.94</v>
      </c>
      <c r="CL1262">
        <v>-2.44</v>
      </c>
      <c r="CM1262">
        <v>1.38</v>
      </c>
      <c r="CN1262">
        <v>0.19</v>
      </c>
      <c r="CO1262">
        <v>23331</v>
      </c>
      <c r="CP1262">
        <v>4032</v>
      </c>
      <c r="CQ1262" t="s">
        <v>6879</v>
      </c>
      <c r="CR1262">
        <v>77.55</v>
      </c>
      <c r="CS1262">
        <v>1024.83</v>
      </c>
      <c r="CT1262">
        <v>3.2</v>
      </c>
      <c r="CU1262">
        <v>19.579999999999998</v>
      </c>
      <c r="CV1262">
        <v>3.54</v>
      </c>
      <c r="CW1262">
        <v>0</v>
      </c>
      <c r="CX1262" t="s">
        <v>716</v>
      </c>
      <c r="CY1262">
        <v>2.2400000000000002</v>
      </c>
      <c r="CZ1262">
        <v>0</v>
      </c>
      <c r="DA1262">
        <v>1.53</v>
      </c>
      <c r="DB1262">
        <v>-0.65</v>
      </c>
      <c r="DC1262">
        <v>0.37</v>
      </c>
      <c r="DD1262">
        <v>16.57</v>
      </c>
      <c r="DE1262" t="s">
        <v>6880</v>
      </c>
      <c r="DF1262">
        <v>16.75</v>
      </c>
      <c r="DG1262">
        <v>-8.89</v>
      </c>
      <c r="DH1262">
        <v>-9.25</v>
      </c>
      <c r="DI1262" t="s">
        <v>120</v>
      </c>
      <c r="DJ1262">
        <v>3103</v>
      </c>
      <c r="DK1262">
        <v>2905</v>
      </c>
      <c r="DL1262" t="s">
        <v>120</v>
      </c>
      <c r="DM1262" t="s">
        <v>120</v>
      </c>
      <c r="DN1262" t="s">
        <v>120</v>
      </c>
    </row>
    <row r="1263" spans="1:118">
      <c r="A1263" t="str">
        <f>"002906"</f>
        <v>002906</v>
      </c>
      <c r="B1263" t="s">
        <v>6881</v>
      </c>
      <c r="C1263">
        <v>2.5</v>
      </c>
      <c r="D1263">
        <v>-7.0000000000000007E-2</v>
      </c>
      <c r="E1263">
        <v>-1.0900000000000001</v>
      </c>
      <c r="F1263">
        <v>741</v>
      </c>
      <c r="G1263" t="s">
        <v>6882</v>
      </c>
      <c r="H1263">
        <v>21832.03</v>
      </c>
      <c r="I1263">
        <v>102.31</v>
      </c>
      <c r="J1263" t="s">
        <v>120</v>
      </c>
      <c r="K1263" t="s">
        <v>6883</v>
      </c>
      <c r="L1263">
        <v>1.26</v>
      </c>
      <c r="M1263">
        <v>37.729999999999997</v>
      </c>
      <c r="N1263">
        <v>1.29</v>
      </c>
      <c r="O1263">
        <v>2.96</v>
      </c>
      <c r="P1263">
        <v>37.9</v>
      </c>
      <c r="Q1263">
        <v>-3.29</v>
      </c>
      <c r="R1263">
        <v>35.6</v>
      </c>
      <c r="S1263">
        <v>36.409999999999997</v>
      </c>
      <c r="T1263">
        <v>59321</v>
      </c>
      <c r="U1263">
        <v>37.729999999999997</v>
      </c>
      <c r="V1263">
        <v>36.81</v>
      </c>
      <c r="W1263">
        <v>65.38</v>
      </c>
      <c r="X1263" t="s">
        <v>289</v>
      </c>
      <c r="Y1263" t="s">
        <v>547</v>
      </c>
      <c r="Z1263">
        <v>6.25</v>
      </c>
      <c r="AA1263">
        <v>36.799999999999997</v>
      </c>
      <c r="AB1263">
        <v>26364</v>
      </c>
      <c r="AC1263">
        <v>32957</v>
      </c>
      <c r="AD1263">
        <v>0.8</v>
      </c>
      <c r="AE1263">
        <v>9</v>
      </c>
      <c r="AF1263">
        <v>12</v>
      </c>
      <c r="AG1263" t="s">
        <v>120</v>
      </c>
      <c r="AH1263">
        <v>0.03</v>
      </c>
      <c r="AI1263" t="s">
        <v>120</v>
      </c>
      <c r="AJ1263">
        <v>4.72</v>
      </c>
      <c r="AK1263" t="s">
        <v>6884</v>
      </c>
      <c r="AL1263">
        <v>4.41</v>
      </c>
      <c r="AM1263">
        <v>3080</v>
      </c>
      <c r="AN1263">
        <v>19</v>
      </c>
      <c r="AO1263">
        <v>4.0000000000000002E-4</v>
      </c>
      <c r="AP1263">
        <v>1</v>
      </c>
      <c r="AQ1263">
        <v>-0.89</v>
      </c>
      <c r="AR1263">
        <v>0.56000000000000005</v>
      </c>
      <c r="AS1263">
        <v>-9.52</v>
      </c>
      <c r="AT1263">
        <v>21.28</v>
      </c>
      <c r="AU1263">
        <v>41</v>
      </c>
      <c r="AV1263">
        <v>12</v>
      </c>
      <c r="AW1263">
        <v>5.38</v>
      </c>
      <c r="AX1263">
        <v>23.26</v>
      </c>
      <c r="AY1263">
        <v>65.61</v>
      </c>
      <c r="AZ1263">
        <v>96.44</v>
      </c>
      <c r="BA1263">
        <v>1.21</v>
      </c>
      <c r="BB1263" t="s">
        <v>2725</v>
      </c>
      <c r="BF1263">
        <v>-0.02</v>
      </c>
      <c r="BG1263">
        <v>3.63</v>
      </c>
      <c r="BH1263">
        <v>-0.45</v>
      </c>
      <c r="BI1263">
        <v>5.98</v>
      </c>
      <c r="BJ1263">
        <v>20210913</v>
      </c>
      <c r="BK1263">
        <v>20171013</v>
      </c>
      <c r="BL1263">
        <v>4.74</v>
      </c>
      <c r="BM1263" t="s">
        <v>120</v>
      </c>
      <c r="BN1263" t="s">
        <v>120</v>
      </c>
      <c r="BO1263">
        <v>52.43</v>
      </c>
      <c r="BP1263">
        <v>37.72</v>
      </c>
      <c r="BQ1263">
        <v>36.46</v>
      </c>
      <c r="BR1263">
        <v>0</v>
      </c>
      <c r="BS1263">
        <v>30.47</v>
      </c>
      <c r="BT1263">
        <v>36.07</v>
      </c>
      <c r="BU1263">
        <v>10.18</v>
      </c>
      <c r="BV1263">
        <v>1.1200000000000001</v>
      </c>
      <c r="BW1263">
        <v>14.88</v>
      </c>
      <c r="BX1263">
        <v>4.6100000000000003</v>
      </c>
      <c r="BY1263">
        <v>8.7200000000000006</v>
      </c>
      <c r="BZ1263">
        <v>12.35</v>
      </c>
      <c r="CA1263">
        <v>0</v>
      </c>
      <c r="CB1263">
        <v>8.9700000000000006</v>
      </c>
      <c r="CC1263">
        <v>20.5</v>
      </c>
      <c r="CD1263">
        <v>15.85</v>
      </c>
      <c r="CE1263">
        <v>1.34</v>
      </c>
      <c r="CF1263">
        <v>0.28000000000000003</v>
      </c>
      <c r="CG1263">
        <v>1.33</v>
      </c>
      <c r="CH1263">
        <v>1.36</v>
      </c>
      <c r="CI1263">
        <v>1.37</v>
      </c>
      <c r="CJ1263">
        <v>0.92</v>
      </c>
      <c r="CK1263">
        <v>1.1299999999999999</v>
      </c>
      <c r="CL1263">
        <v>21.75</v>
      </c>
      <c r="CM1263">
        <v>-1.77</v>
      </c>
      <c r="CN1263">
        <v>-2.31</v>
      </c>
      <c r="CO1263">
        <v>21372</v>
      </c>
      <c r="CP1263">
        <v>5163</v>
      </c>
      <c r="CQ1263" t="s">
        <v>6885</v>
      </c>
      <c r="CR1263">
        <v>164.14</v>
      </c>
      <c r="CS1263">
        <v>69.150000000000006</v>
      </c>
      <c r="CT1263">
        <v>4.91</v>
      </c>
      <c r="CU1263">
        <v>-101.38</v>
      </c>
      <c r="CV1263">
        <v>8.73</v>
      </c>
      <c r="CW1263">
        <v>0.54</v>
      </c>
      <c r="CX1263" t="s">
        <v>293</v>
      </c>
      <c r="CY1263">
        <v>7.69</v>
      </c>
      <c r="CZ1263">
        <v>7.69</v>
      </c>
      <c r="DA1263">
        <v>1.89</v>
      </c>
      <c r="DB1263">
        <v>4.59</v>
      </c>
      <c r="DC1263">
        <v>-0.37</v>
      </c>
      <c r="DD1263">
        <v>69.53</v>
      </c>
      <c r="DE1263" t="s">
        <v>6886</v>
      </c>
      <c r="DF1263">
        <v>22.68</v>
      </c>
      <c r="DG1263">
        <v>6.54</v>
      </c>
      <c r="DH1263">
        <v>6.68</v>
      </c>
      <c r="DI1263">
        <v>1.54</v>
      </c>
      <c r="DJ1263">
        <v>4764</v>
      </c>
      <c r="DK1263">
        <v>2906</v>
      </c>
      <c r="DL1263" t="s">
        <v>120</v>
      </c>
      <c r="DM1263" t="s">
        <v>120</v>
      </c>
      <c r="DN1263" t="s">
        <v>120</v>
      </c>
    </row>
    <row r="1264" spans="1:118">
      <c r="A1264" t="str">
        <f>"002907"</f>
        <v>002907</v>
      </c>
      <c r="B1264" t="s">
        <v>6887</v>
      </c>
      <c r="C1264">
        <v>-0.25</v>
      </c>
      <c r="D1264">
        <v>0</v>
      </c>
      <c r="E1264">
        <v>0</v>
      </c>
      <c r="F1264">
        <v>22</v>
      </c>
      <c r="G1264" t="s">
        <v>6467</v>
      </c>
      <c r="H1264">
        <v>682.21</v>
      </c>
      <c r="I1264">
        <v>0.48</v>
      </c>
      <c r="J1264" t="s">
        <v>120</v>
      </c>
      <c r="K1264" t="s">
        <v>6888</v>
      </c>
      <c r="L1264">
        <v>0.2</v>
      </c>
      <c r="M1264">
        <v>12.08</v>
      </c>
      <c r="N1264">
        <v>0.67</v>
      </c>
      <c r="O1264">
        <v>1.32</v>
      </c>
      <c r="P1264">
        <v>12.27</v>
      </c>
      <c r="Q1264">
        <v>-0.41</v>
      </c>
      <c r="R1264">
        <v>12.06</v>
      </c>
      <c r="S1264">
        <v>12.11</v>
      </c>
      <c r="T1264">
        <v>5626</v>
      </c>
      <c r="U1264">
        <v>12.08</v>
      </c>
      <c r="V1264">
        <v>12.11</v>
      </c>
      <c r="W1264">
        <v>43.12</v>
      </c>
      <c r="X1264" t="s">
        <v>569</v>
      </c>
      <c r="Y1264" t="s">
        <v>883</v>
      </c>
      <c r="Z1264">
        <v>1.73</v>
      </c>
      <c r="AA1264">
        <v>12.13</v>
      </c>
      <c r="AB1264">
        <v>2929</v>
      </c>
      <c r="AC1264">
        <v>2697</v>
      </c>
      <c r="AD1264">
        <v>1.0900000000000001</v>
      </c>
      <c r="AE1264">
        <v>292</v>
      </c>
      <c r="AF1264">
        <v>61</v>
      </c>
      <c r="AG1264" t="s">
        <v>120</v>
      </c>
      <c r="AH1264">
        <v>0</v>
      </c>
      <c r="AI1264" t="s">
        <v>120</v>
      </c>
      <c r="AJ1264">
        <v>2.84</v>
      </c>
      <c r="AK1264" t="s">
        <v>6889</v>
      </c>
      <c r="AL1264">
        <v>1.67</v>
      </c>
      <c r="AM1264">
        <v>482</v>
      </c>
      <c r="AN1264">
        <v>12</v>
      </c>
      <c r="AO1264">
        <v>4.0000000000000002E-4</v>
      </c>
      <c r="AP1264">
        <v>-3</v>
      </c>
      <c r="AQ1264">
        <v>-1.22</v>
      </c>
      <c r="AR1264">
        <v>-2.74</v>
      </c>
      <c r="AS1264">
        <v>-1.1499999999999999</v>
      </c>
      <c r="AT1264">
        <v>-9.51</v>
      </c>
      <c r="AU1264">
        <v>-9.7899999999999991</v>
      </c>
      <c r="AV1264">
        <v>5</v>
      </c>
      <c r="AW1264">
        <v>0.95</v>
      </c>
      <c r="AX1264">
        <v>14.71</v>
      </c>
      <c r="AY1264">
        <v>43.19</v>
      </c>
      <c r="AZ1264">
        <v>40.81</v>
      </c>
      <c r="BA1264">
        <v>0.46</v>
      </c>
      <c r="BB1264" t="s">
        <v>143</v>
      </c>
      <c r="BF1264">
        <v>0.13</v>
      </c>
      <c r="BG1264">
        <v>-0.25</v>
      </c>
      <c r="BH1264">
        <v>-1.55</v>
      </c>
      <c r="BI1264">
        <v>0.17</v>
      </c>
      <c r="BJ1264">
        <v>20210818</v>
      </c>
      <c r="BK1264">
        <v>20171020</v>
      </c>
      <c r="BL1264">
        <v>4.0199999999999996</v>
      </c>
      <c r="BM1264" t="s">
        <v>120</v>
      </c>
      <c r="BN1264" t="s">
        <v>120</v>
      </c>
      <c r="BO1264">
        <v>18.13</v>
      </c>
      <c r="BP1264">
        <v>12.07</v>
      </c>
      <c r="BQ1264">
        <v>12.29</v>
      </c>
      <c r="BR1264" t="s">
        <v>120</v>
      </c>
      <c r="BS1264">
        <v>32.24</v>
      </c>
      <c r="BT1264">
        <v>9.86</v>
      </c>
      <c r="BU1264">
        <v>6.39</v>
      </c>
      <c r="BV1264">
        <v>0.5</v>
      </c>
      <c r="BW1264">
        <v>2.96</v>
      </c>
      <c r="BX1264">
        <v>5.23</v>
      </c>
      <c r="BY1264">
        <v>1.39</v>
      </c>
      <c r="BZ1264">
        <v>2.46</v>
      </c>
      <c r="CA1264">
        <v>0.01</v>
      </c>
      <c r="CB1264">
        <v>1.33</v>
      </c>
      <c r="CC1264">
        <v>4.3600000000000003</v>
      </c>
      <c r="CD1264">
        <v>2.06</v>
      </c>
      <c r="CE1264">
        <v>0.66</v>
      </c>
      <c r="CF1264">
        <v>-0.02</v>
      </c>
      <c r="CG1264">
        <v>0.66</v>
      </c>
      <c r="CH1264">
        <v>0.56000000000000005</v>
      </c>
      <c r="CI1264">
        <v>0.56000000000000005</v>
      </c>
      <c r="CJ1264">
        <v>-0.03</v>
      </c>
      <c r="CK1264">
        <v>0.53</v>
      </c>
      <c r="CL1264">
        <v>5.54</v>
      </c>
      <c r="CM1264">
        <v>0.41</v>
      </c>
      <c r="CN1264">
        <v>0.42</v>
      </c>
      <c r="CO1264">
        <v>21368</v>
      </c>
      <c r="CP1264">
        <v>2765</v>
      </c>
      <c r="CQ1264" t="s">
        <v>6890</v>
      </c>
      <c r="CR1264">
        <v>-10.45</v>
      </c>
      <c r="CS1264">
        <v>14.82</v>
      </c>
      <c r="CT1264">
        <v>4.2300000000000004</v>
      </c>
      <c r="CU1264">
        <v>117.31</v>
      </c>
      <c r="CV1264">
        <v>11.14</v>
      </c>
      <c r="CW1264">
        <v>0.23</v>
      </c>
      <c r="CX1264" t="s">
        <v>300</v>
      </c>
      <c r="CY1264">
        <v>2.85</v>
      </c>
      <c r="CZ1264">
        <v>2.85</v>
      </c>
      <c r="DA1264">
        <v>0.33</v>
      </c>
      <c r="DB1264">
        <v>1.38</v>
      </c>
      <c r="DC1264">
        <v>0.1</v>
      </c>
      <c r="DD1264">
        <v>67.760000000000005</v>
      </c>
      <c r="DE1264" t="s">
        <v>6891</v>
      </c>
      <c r="DF1264">
        <v>52.67</v>
      </c>
      <c r="DG1264">
        <v>15.19</v>
      </c>
      <c r="DH1264">
        <v>12.91</v>
      </c>
      <c r="DI1264">
        <v>0.17</v>
      </c>
      <c r="DJ1264">
        <v>1520</v>
      </c>
      <c r="DK1264">
        <v>2907</v>
      </c>
      <c r="DL1264" t="s">
        <v>120</v>
      </c>
      <c r="DM1264" t="s">
        <v>120</v>
      </c>
      <c r="DN1264" t="s">
        <v>120</v>
      </c>
    </row>
    <row r="1265" spans="1:118">
      <c r="A1265" t="str">
        <f>"002908"</f>
        <v>002908</v>
      </c>
      <c r="B1265" t="s">
        <v>6892</v>
      </c>
      <c r="C1265">
        <v>-2.83</v>
      </c>
      <c r="D1265">
        <v>-0.3</v>
      </c>
      <c r="E1265">
        <v>-0.06</v>
      </c>
      <c r="F1265">
        <v>420</v>
      </c>
      <c r="G1265" t="s">
        <v>6893</v>
      </c>
      <c r="H1265">
        <v>7205.51</v>
      </c>
      <c r="I1265">
        <v>32.68</v>
      </c>
      <c r="J1265" t="s">
        <v>120</v>
      </c>
      <c r="K1265" t="s">
        <v>6894</v>
      </c>
      <c r="L1265">
        <v>2.97</v>
      </c>
      <c r="M1265">
        <v>16.13</v>
      </c>
      <c r="N1265">
        <v>0.85</v>
      </c>
      <c r="O1265">
        <v>1.69</v>
      </c>
      <c r="P1265">
        <v>16.88</v>
      </c>
      <c r="Q1265">
        <v>-4.22</v>
      </c>
      <c r="R1265">
        <v>15.9</v>
      </c>
      <c r="S1265">
        <v>16.59</v>
      </c>
      <c r="T1265">
        <v>43958</v>
      </c>
      <c r="U1265">
        <v>16.14</v>
      </c>
      <c r="V1265">
        <v>16.600000000000001</v>
      </c>
      <c r="W1265">
        <v>63.04</v>
      </c>
      <c r="X1265" t="s">
        <v>229</v>
      </c>
      <c r="Y1265" t="s">
        <v>547</v>
      </c>
      <c r="Z1265">
        <v>5.9</v>
      </c>
      <c r="AA1265">
        <v>16.39</v>
      </c>
      <c r="AB1265">
        <v>26740</v>
      </c>
      <c r="AC1265">
        <v>17218</v>
      </c>
      <c r="AD1265">
        <v>1.55</v>
      </c>
      <c r="AE1265">
        <v>238</v>
      </c>
      <c r="AF1265">
        <v>44</v>
      </c>
      <c r="AG1265" t="s">
        <v>120</v>
      </c>
      <c r="AH1265">
        <v>0.02</v>
      </c>
      <c r="AI1265" t="s">
        <v>120</v>
      </c>
      <c r="AJ1265">
        <v>1.48</v>
      </c>
      <c r="AK1265" t="s">
        <v>6895</v>
      </c>
      <c r="AL1265">
        <v>-0.92</v>
      </c>
      <c r="AM1265">
        <v>1905</v>
      </c>
      <c r="AN1265">
        <v>23</v>
      </c>
      <c r="AO1265">
        <v>1.6000000000000001E-3</v>
      </c>
      <c r="AP1265">
        <v>-4</v>
      </c>
      <c r="AQ1265">
        <v>-1.1299999999999999</v>
      </c>
      <c r="AR1265">
        <v>-5.73</v>
      </c>
      <c r="AS1265">
        <v>11.24</v>
      </c>
      <c r="AT1265">
        <v>-12.05</v>
      </c>
      <c r="AU1265">
        <v>19.39</v>
      </c>
      <c r="AV1265">
        <v>8</v>
      </c>
      <c r="AW1265">
        <v>3.4</v>
      </c>
      <c r="AX1265">
        <v>64.37</v>
      </c>
      <c r="AY1265">
        <v>41.45</v>
      </c>
      <c r="AZ1265">
        <v>46.2</v>
      </c>
      <c r="BA1265">
        <v>0.55000000000000004</v>
      </c>
      <c r="BB1265" t="s">
        <v>240</v>
      </c>
      <c r="BF1265">
        <v>-1.25</v>
      </c>
      <c r="BG1265">
        <v>-2.77</v>
      </c>
      <c r="BH1265">
        <v>-4.4400000000000004</v>
      </c>
      <c r="BI1265">
        <v>1.45</v>
      </c>
      <c r="BJ1265">
        <v>20210813</v>
      </c>
      <c r="BK1265">
        <v>20171020</v>
      </c>
      <c r="BL1265">
        <v>2.0099999999999998</v>
      </c>
      <c r="BM1265" t="s">
        <v>120</v>
      </c>
      <c r="BN1265" t="s">
        <v>120</v>
      </c>
      <c r="BO1265">
        <v>10.37</v>
      </c>
      <c r="BP1265">
        <v>16.13</v>
      </c>
      <c r="BQ1265">
        <v>7.88</v>
      </c>
      <c r="BR1265">
        <v>0</v>
      </c>
      <c r="BS1265">
        <v>23.98</v>
      </c>
      <c r="BT1265">
        <v>7.7</v>
      </c>
      <c r="BU1265">
        <v>0.19</v>
      </c>
      <c r="BV1265">
        <v>2.2400000000000002</v>
      </c>
      <c r="BW1265">
        <v>2.41</v>
      </c>
      <c r="BX1265">
        <v>1.1200000000000001</v>
      </c>
      <c r="BY1265">
        <v>1.1399999999999999</v>
      </c>
      <c r="BZ1265">
        <v>5.15</v>
      </c>
      <c r="CA1265" t="s">
        <v>120</v>
      </c>
      <c r="CB1265">
        <v>3.12</v>
      </c>
      <c r="CC1265">
        <v>2.84</v>
      </c>
      <c r="CD1265">
        <v>1.72</v>
      </c>
      <c r="CE1265">
        <v>0.33</v>
      </c>
      <c r="CF1265">
        <v>0</v>
      </c>
      <c r="CG1265">
        <v>0.33</v>
      </c>
      <c r="CH1265">
        <v>0.26</v>
      </c>
      <c r="CI1265">
        <v>0.26</v>
      </c>
      <c r="CJ1265">
        <v>-0.47</v>
      </c>
      <c r="CK1265">
        <v>0.23</v>
      </c>
      <c r="CL1265">
        <v>2.36</v>
      </c>
      <c r="CM1265">
        <v>-1.61</v>
      </c>
      <c r="CN1265">
        <v>-1.86</v>
      </c>
      <c r="CO1265">
        <v>16385</v>
      </c>
      <c r="CP1265">
        <v>7890</v>
      </c>
      <c r="CQ1265" t="s">
        <v>6896</v>
      </c>
      <c r="CR1265">
        <v>47.5</v>
      </c>
      <c r="CS1265">
        <v>41.97</v>
      </c>
      <c r="CT1265">
        <v>4.1100000000000003</v>
      </c>
      <c r="CU1265">
        <v>-20.07</v>
      </c>
      <c r="CV1265">
        <v>11.43</v>
      </c>
      <c r="CW1265">
        <v>0.6</v>
      </c>
      <c r="CX1265" t="s">
        <v>986</v>
      </c>
      <c r="CY1265">
        <v>3.93</v>
      </c>
      <c r="CZ1265">
        <v>0</v>
      </c>
      <c r="DA1265">
        <v>1.55</v>
      </c>
      <c r="DB1265">
        <v>1.18</v>
      </c>
      <c r="DC1265">
        <v>-0.8</v>
      </c>
      <c r="DD1265">
        <v>75.98</v>
      </c>
      <c r="DE1265" t="s">
        <v>6897</v>
      </c>
      <c r="DF1265">
        <v>39.479999999999997</v>
      </c>
      <c r="DG1265">
        <v>11.62</v>
      </c>
      <c r="DH1265">
        <v>9.06</v>
      </c>
      <c r="DI1265">
        <v>0.33</v>
      </c>
      <c r="DJ1265">
        <v>1122</v>
      </c>
      <c r="DK1265">
        <v>2908</v>
      </c>
      <c r="DL1265" t="s">
        <v>120</v>
      </c>
      <c r="DM1265" t="s">
        <v>120</v>
      </c>
      <c r="DN1265" t="s">
        <v>120</v>
      </c>
    </row>
    <row r="1266" spans="1:118">
      <c r="A1266" t="str">
        <f>"002909"</f>
        <v>002909</v>
      </c>
      <c r="B1266" t="s">
        <v>6898</v>
      </c>
      <c r="C1266">
        <v>-0.44</v>
      </c>
      <c r="D1266">
        <v>0.44</v>
      </c>
      <c r="E1266">
        <v>0.87</v>
      </c>
      <c r="F1266">
        <v>253</v>
      </c>
      <c r="G1266" t="s">
        <v>6899</v>
      </c>
      <c r="H1266">
        <v>3369.35</v>
      </c>
      <c r="I1266">
        <v>53.09</v>
      </c>
      <c r="J1266" t="s">
        <v>120</v>
      </c>
      <c r="K1266" t="s">
        <v>6894</v>
      </c>
      <c r="L1266">
        <v>1.39</v>
      </c>
      <c r="M1266">
        <v>6.85</v>
      </c>
      <c r="N1266">
        <v>1.29</v>
      </c>
      <c r="O1266">
        <v>3.05</v>
      </c>
      <c r="P1266">
        <v>7.09</v>
      </c>
      <c r="Q1266">
        <v>-1.1599999999999999</v>
      </c>
      <c r="R1266">
        <v>6.8</v>
      </c>
      <c r="S1266">
        <v>6.94</v>
      </c>
      <c r="T1266">
        <v>48552</v>
      </c>
      <c r="U1266">
        <v>6.85</v>
      </c>
      <c r="V1266">
        <v>6.88</v>
      </c>
      <c r="W1266">
        <v>79.53</v>
      </c>
      <c r="X1266" t="s">
        <v>868</v>
      </c>
      <c r="Y1266" t="s">
        <v>547</v>
      </c>
      <c r="Z1266">
        <v>4.22</v>
      </c>
      <c r="AA1266">
        <v>6.94</v>
      </c>
      <c r="AB1266">
        <v>24064</v>
      </c>
      <c r="AC1266">
        <v>24488</v>
      </c>
      <c r="AD1266">
        <v>0.98</v>
      </c>
      <c r="AE1266">
        <v>233</v>
      </c>
      <c r="AF1266">
        <v>72</v>
      </c>
      <c r="AG1266" t="s">
        <v>120</v>
      </c>
      <c r="AH1266">
        <v>0.05</v>
      </c>
      <c r="AI1266" t="s">
        <v>120</v>
      </c>
      <c r="AJ1266">
        <v>3.48</v>
      </c>
      <c r="AK1266" t="s">
        <v>6900</v>
      </c>
      <c r="AL1266">
        <v>1.48</v>
      </c>
      <c r="AM1266">
        <v>1396</v>
      </c>
      <c r="AN1266">
        <v>35</v>
      </c>
      <c r="AO1266">
        <v>1E-3</v>
      </c>
      <c r="AP1266">
        <v>-1</v>
      </c>
      <c r="AQ1266">
        <v>1.47</v>
      </c>
      <c r="AR1266">
        <v>0.28999999999999998</v>
      </c>
      <c r="AS1266">
        <v>9.6</v>
      </c>
      <c r="AT1266">
        <v>3.68</v>
      </c>
      <c r="AU1266">
        <v>-5.51</v>
      </c>
      <c r="AV1266">
        <v>0</v>
      </c>
      <c r="AW1266">
        <v>2.93</v>
      </c>
      <c r="AX1266">
        <v>44.38</v>
      </c>
      <c r="AY1266">
        <v>32.75</v>
      </c>
      <c r="AZ1266">
        <v>22.95</v>
      </c>
      <c r="BA1266">
        <v>0.38</v>
      </c>
      <c r="BB1266" t="s">
        <v>751</v>
      </c>
      <c r="BF1266">
        <v>0.87</v>
      </c>
      <c r="BG1266">
        <v>-1.3</v>
      </c>
      <c r="BH1266">
        <v>-3.39</v>
      </c>
      <c r="BI1266">
        <v>0.74</v>
      </c>
      <c r="BJ1266">
        <v>20210820</v>
      </c>
      <c r="BK1266">
        <v>20171026</v>
      </c>
      <c r="BL1266">
        <v>3.73</v>
      </c>
      <c r="BM1266" t="s">
        <v>120</v>
      </c>
      <c r="BN1266" t="s">
        <v>120</v>
      </c>
      <c r="BO1266">
        <v>17.2</v>
      </c>
      <c r="BP1266">
        <v>6.83</v>
      </c>
      <c r="BQ1266">
        <v>8.2100000000000009</v>
      </c>
      <c r="BR1266">
        <v>7.0000000000000007E-2</v>
      </c>
      <c r="BS1266">
        <v>51.82</v>
      </c>
      <c r="BT1266">
        <v>10.56</v>
      </c>
      <c r="BU1266">
        <v>2.2999999999999998</v>
      </c>
      <c r="BV1266">
        <v>2.57</v>
      </c>
      <c r="BW1266">
        <v>8.27</v>
      </c>
      <c r="BX1266">
        <v>2.97</v>
      </c>
      <c r="BY1266">
        <v>1.21</v>
      </c>
      <c r="BZ1266">
        <v>5.43</v>
      </c>
      <c r="CA1266" t="s">
        <v>120</v>
      </c>
      <c r="CB1266">
        <v>3.56</v>
      </c>
      <c r="CC1266">
        <v>8.06</v>
      </c>
      <c r="CD1266">
        <v>6.49</v>
      </c>
      <c r="CE1266">
        <v>0.18</v>
      </c>
      <c r="CF1266">
        <v>0</v>
      </c>
      <c r="CG1266">
        <v>0.19</v>
      </c>
      <c r="CH1266">
        <v>0.15</v>
      </c>
      <c r="CI1266">
        <v>0.16</v>
      </c>
      <c r="CJ1266">
        <v>-0.03</v>
      </c>
      <c r="CK1266">
        <v>0.13</v>
      </c>
      <c r="CL1266">
        <v>1.73</v>
      </c>
      <c r="CM1266">
        <v>-1.4</v>
      </c>
      <c r="CN1266">
        <v>-2.2200000000000002</v>
      </c>
      <c r="CO1266">
        <v>11591</v>
      </c>
      <c r="CP1266">
        <v>14273</v>
      </c>
      <c r="CQ1266" t="s">
        <v>6901</v>
      </c>
      <c r="CR1266">
        <v>-67.569999999999993</v>
      </c>
      <c r="CS1266">
        <v>68.98</v>
      </c>
      <c r="CT1266">
        <v>3.11</v>
      </c>
      <c r="CU1266">
        <v>-18.21</v>
      </c>
      <c r="CV1266">
        <v>3.17</v>
      </c>
      <c r="CW1266">
        <v>1.55</v>
      </c>
      <c r="CX1266" t="s">
        <v>2831</v>
      </c>
      <c r="CY1266">
        <v>2.2000000000000002</v>
      </c>
      <c r="CZ1266">
        <v>0</v>
      </c>
      <c r="DA1266">
        <v>0.96</v>
      </c>
      <c r="DB1266">
        <v>0.46</v>
      </c>
      <c r="DC1266">
        <v>-0.38</v>
      </c>
      <c r="DD1266">
        <v>47.75</v>
      </c>
      <c r="DE1266" t="s">
        <v>1768</v>
      </c>
      <c r="DF1266">
        <v>19.420000000000002</v>
      </c>
      <c r="DG1266">
        <v>2.29</v>
      </c>
      <c r="DH1266">
        <v>1.99</v>
      </c>
      <c r="DI1266">
        <v>0.28999999999999998</v>
      </c>
      <c r="DJ1266">
        <v>893</v>
      </c>
      <c r="DK1266">
        <v>2909</v>
      </c>
      <c r="DL1266" t="s">
        <v>120</v>
      </c>
      <c r="DM1266" t="s">
        <v>120</v>
      </c>
      <c r="DN1266" t="s">
        <v>120</v>
      </c>
    </row>
    <row r="1267" spans="1:118">
      <c r="A1267" t="str">
        <f>"002910"</f>
        <v>002910</v>
      </c>
      <c r="B1267" t="s">
        <v>6902</v>
      </c>
      <c r="C1267">
        <v>3.39</v>
      </c>
      <c r="D1267">
        <v>0.28999999999999998</v>
      </c>
      <c r="E1267">
        <v>0.4</v>
      </c>
      <c r="F1267">
        <v>1278</v>
      </c>
      <c r="G1267" t="s">
        <v>6429</v>
      </c>
      <c r="H1267">
        <v>7459.18</v>
      </c>
      <c r="I1267">
        <v>6.15</v>
      </c>
      <c r="J1267" t="s">
        <v>120</v>
      </c>
      <c r="K1267" t="s">
        <v>4765</v>
      </c>
      <c r="L1267">
        <v>4.22</v>
      </c>
      <c r="M1267">
        <v>10.38</v>
      </c>
      <c r="N1267">
        <v>2.73</v>
      </c>
      <c r="O1267">
        <v>4.38</v>
      </c>
      <c r="P1267">
        <v>10.48</v>
      </c>
      <c r="Q1267">
        <v>0.4</v>
      </c>
      <c r="R1267">
        <v>10.08</v>
      </c>
      <c r="S1267">
        <v>10.08</v>
      </c>
      <c r="T1267">
        <v>72159</v>
      </c>
      <c r="U1267">
        <v>10.39</v>
      </c>
      <c r="V1267">
        <v>10.039999999999999</v>
      </c>
      <c r="W1267">
        <v>52.77</v>
      </c>
      <c r="X1267" t="s">
        <v>4454</v>
      </c>
      <c r="Y1267" t="s">
        <v>1082</v>
      </c>
      <c r="Z1267">
        <v>3.98</v>
      </c>
      <c r="AA1267">
        <v>10.34</v>
      </c>
      <c r="AB1267">
        <v>28039</v>
      </c>
      <c r="AC1267">
        <v>44120</v>
      </c>
      <c r="AD1267">
        <v>0.64</v>
      </c>
      <c r="AE1267">
        <v>43</v>
      </c>
      <c r="AF1267">
        <v>388</v>
      </c>
      <c r="AG1267" t="s">
        <v>120</v>
      </c>
      <c r="AH1267">
        <v>0.01</v>
      </c>
      <c r="AI1267" t="s">
        <v>120</v>
      </c>
      <c r="AJ1267">
        <v>1.71</v>
      </c>
      <c r="AK1267" t="s">
        <v>6903</v>
      </c>
      <c r="AL1267">
        <v>5.3</v>
      </c>
      <c r="AM1267">
        <v>2115</v>
      </c>
      <c r="AN1267">
        <v>34</v>
      </c>
      <c r="AO1267">
        <v>2E-3</v>
      </c>
      <c r="AP1267">
        <v>2</v>
      </c>
      <c r="AQ1267">
        <v>0.6</v>
      </c>
      <c r="AR1267">
        <v>1.27</v>
      </c>
      <c r="AS1267">
        <v>7.12</v>
      </c>
      <c r="AT1267">
        <v>-10.97</v>
      </c>
      <c r="AU1267">
        <v>12.34</v>
      </c>
      <c r="AV1267">
        <v>5</v>
      </c>
      <c r="AW1267">
        <v>9.11</v>
      </c>
      <c r="AX1267">
        <v>40.14</v>
      </c>
      <c r="AY1267">
        <v>66.13</v>
      </c>
      <c r="AZ1267">
        <v>223.19</v>
      </c>
      <c r="BA1267">
        <v>0.22</v>
      </c>
      <c r="BB1267" t="s">
        <v>2725</v>
      </c>
      <c r="BF1267">
        <v>2.96</v>
      </c>
      <c r="BG1267">
        <v>2.98</v>
      </c>
      <c r="BH1267">
        <v>-0.95</v>
      </c>
      <c r="BI1267">
        <v>2.98</v>
      </c>
      <c r="BJ1267">
        <v>20210901</v>
      </c>
      <c r="BK1267">
        <v>20171031</v>
      </c>
      <c r="BL1267">
        <v>2.3199999999999998</v>
      </c>
      <c r="BM1267" t="s">
        <v>120</v>
      </c>
      <c r="BN1267">
        <v>0.35</v>
      </c>
      <c r="BO1267">
        <v>27.13</v>
      </c>
      <c r="BP1267">
        <v>10.38</v>
      </c>
      <c r="BQ1267">
        <v>16.100000000000001</v>
      </c>
      <c r="BR1267" t="s">
        <v>120</v>
      </c>
      <c r="BS1267">
        <v>40.65</v>
      </c>
      <c r="BT1267">
        <v>5.96</v>
      </c>
      <c r="BU1267">
        <v>11.35</v>
      </c>
      <c r="BV1267">
        <v>0.97</v>
      </c>
      <c r="BW1267">
        <v>7.15</v>
      </c>
      <c r="BX1267">
        <v>4.4400000000000004</v>
      </c>
      <c r="BY1267">
        <v>0.92</v>
      </c>
      <c r="BZ1267">
        <v>0.37</v>
      </c>
      <c r="CA1267" t="s">
        <v>120</v>
      </c>
      <c r="CB1267">
        <v>8.4700000000000006</v>
      </c>
      <c r="CC1267">
        <v>4.8099999999999996</v>
      </c>
      <c r="CD1267">
        <v>3.31</v>
      </c>
      <c r="CE1267">
        <v>0.34</v>
      </c>
      <c r="CF1267">
        <v>-0.03</v>
      </c>
      <c r="CG1267">
        <v>0.26</v>
      </c>
      <c r="CH1267">
        <v>0.23</v>
      </c>
      <c r="CI1267">
        <v>0.23</v>
      </c>
      <c r="CJ1267">
        <v>0.34</v>
      </c>
      <c r="CK1267">
        <v>0.28999999999999998</v>
      </c>
      <c r="CL1267">
        <v>5.0199999999999996</v>
      </c>
      <c r="CM1267">
        <v>1.06</v>
      </c>
      <c r="CN1267">
        <v>-3.22</v>
      </c>
      <c r="CO1267">
        <v>19362</v>
      </c>
      <c r="CP1267">
        <v>4090</v>
      </c>
      <c r="CQ1267" t="s">
        <v>6904</v>
      </c>
      <c r="CR1267">
        <v>1257.1199999999999</v>
      </c>
      <c r="CS1267">
        <v>47.95</v>
      </c>
      <c r="CT1267">
        <v>1.5</v>
      </c>
      <c r="CU1267">
        <v>22.68</v>
      </c>
      <c r="CV1267">
        <v>5.0199999999999996</v>
      </c>
      <c r="CW1267">
        <v>0.17</v>
      </c>
      <c r="CX1267" t="s">
        <v>411</v>
      </c>
      <c r="CY1267">
        <v>6.93</v>
      </c>
      <c r="CZ1267">
        <v>0</v>
      </c>
      <c r="DA1267">
        <v>3.64</v>
      </c>
      <c r="DB1267">
        <v>2.16</v>
      </c>
      <c r="DC1267">
        <v>0.46</v>
      </c>
      <c r="DD1267">
        <v>59.35</v>
      </c>
      <c r="DE1267" t="s">
        <v>4198</v>
      </c>
      <c r="DF1267">
        <v>31.11</v>
      </c>
      <c r="DG1267">
        <v>7.16</v>
      </c>
      <c r="DH1267">
        <v>4.75</v>
      </c>
      <c r="DI1267">
        <v>0.04</v>
      </c>
      <c r="DJ1267">
        <v>1268</v>
      </c>
      <c r="DK1267">
        <v>2910</v>
      </c>
      <c r="DL1267" t="s">
        <v>120</v>
      </c>
      <c r="DM1267" t="s">
        <v>120</v>
      </c>
      <c r="DN1267" t="s">
        <v>120</v>
      </c>
    </row>
    <row r="1268" spans="1:118">
      <c r="A1268" t="str">
        <f>"002911"</f>
        <v>002911</v>
      </c>
      <c r="B1268" t="s">
        <v>6905</v>
      </c>
      <c r="C1268">
        <v>0.42</v>
      </c>
      <c r="D1268">
        <v>0</v>
      </c>
      <c r="E1268">
        <v>0.68</v>
      </c>
      <c r="F1268">
        <v>673</v>
      </c>
      <c r="G1268" t="s">
        <v>6906</v>
      </c>
      <c r="H1268">
        <v>18495.759999999998</v>
      </c>
      <c r="I1268">
        <v>57.81</v>
      </c>
      <c r="J1268" t="s">
        <v>120</v>
      </c>
      <c r="K1268" t="s">
        <v>6907</v>
      </c>
      <c r="L1268">
        <v>1.62</v>
      </c>
      <c r="M1268">
        <v>11.83</v>
      </c>
      <c r="N1268">
        <v>0.76</v>
      </c>
      <c r="O1268">
        <v>4.58</v>
      </c>
      <c r="P1268">
        <v>12.32</v>
      </c>
      <c r="Q1268">
        <v>0.08</v>
      </c>
      <c r="R1268">
        <v>11.79</v>
      </c>
      <c r="S1268">
        <v>11.86</v>
      </c>
      <c r="T1268">
        <v>152996</v>
      </c>
      <c r="U1268">
        <v>11.84</v>
      </c>
      <c r="V1268">
        <v>11.78</v>
      </c>
      <c r="W1268">
        <v>21.41</v>
      </c>
      <c r="X1268" t="s">
        <v>684</v>
      </c>
      <c r="Y1268" t="s">
        <v>547</v>
      </c>
      <c r="Z1268">
        <v>4.5</v>
      </c>
      <c r="AA1268">
        <v>12.09</v>
      </c>
      <c r="AB1268">
        <v>81869</v>
      </c>
      <c r="AC1268">
        <v>71127</v>
      </c>
      <c r="AD1268">
        <v>1.1499999999999999</v>
      </c>
      <c r="AE1268">
        <v>34</v>
      </c>
      <c r="AF1268">
        <v>232</v>
      </c>
      <c r="AG1268" t="s">
        <v>120</v>
      </c>
      <c r="AH1268">
        <v>0.05</v>
      </c>
      <c r="AI1268" t="s">
        <v>120</v>
      </c>
      <c r="AJ1268">
        <v>9.4499999999999993</v>
      </c>
      <c r="AK1268" t="s">
        <v>6908</v>
      </c>
      <c r="AL1268">
        <v>2.34</v>
      </c>
      <c r="AM1268">
        <v>3066</v>
      </c>
      <c r="AN1268">
        <v>50</v>
      </c>
      <c r="AO1268">
        <v>5.0000000000000001E-4</v>
      </c>
      <c r="AP1268">
        <v>2</v>
      </c>
      <c r="AQ1268">
        <v>0.86</v>
      </c>
      <c r="AR1268">
        <v>0.17</v>
      </c>
      <c r="AS1268">
        <v>16.32</v>
      </c>
      <c r="AT1268">
        <v>30.72</v>
      </c>
      <c r="AU1268">
        <v>15.19</v>
      </c>
      <c r="AV1268">
        <v>2</v>
      </c>
      <c r="AW1268">
        <v>14.68</v>
      </c>
      <c r="AX1268">
        <v>11.03</v>
      </c>
      <c r="AY1268">
        <v>22.4</v>
      </c>
      <c r="AZ1268">
        <v>23.73</v>
      </c>
      <c r="BA1268">
        <v>0.63</v>
      </c>
      <c r="BB1268" t="s">
        <v>143</v>
      </c>
      <c r="BF1268">
        <v>2.62</v>
      </c>
      <c r="BG1268">
        <v>-0.25</v>
      </c>
      <c r="BH1268">
        <v>-3.98</v>
      </c>
      <c r="BI1268">
        <v>0.34</v>
      </c>
      <c r="BJ1268">
        <v>20210825</v>
      </c>
      <c r="BK1268">
        <v>20171122</v>
      </c>
      <c r="BL1268">
        <v>9.4499999999999993</v>
      </c>
      <c r="BM1268" t="s">
        <v>120</v>
      </c>
      <c r="BN1268" t="s">
        <v>120</v>
      </c>
      <c r="BO1268">
        <v>124.84</v>
      </c>
      <c r="BP1268">
        <v>11.83</v>
      </c>
      <c r="BQ1268">
        <v>32.74</v>
      </c>
      <c r="BR1268">
        <v>13.41</v>
      </c>
      <c r="BS1268">
        <v>63.03</v>
      </c>
      <c r="BT1268">
        <v>33.25</v>
      </c>
      <c r="BU1268">
        <v>49.28</v>
      </c>
      <c r="BV1268">
        <v>17.850000000000001</v>
      </c>
      <c r="BW1268">
        <v>36.08</v>
      </c>
      <c r="BX1268">
        <v>12.97</v>
      </c>
      <c r="BY1268">
        <v>1.85</v>
      </c>
      <c r="BZ1268">
        <v>6.62</v>
      </c>
      <c r="CA1268" t="s">
        <v>120</v>
      </c>
      <c r="CB1268">
        <v>2.71</v>
      </c>
      <c r="CC1268">
        <v>54.31</v>
      </c>
      <c r="CD1268">
        <v>46.72</v>
      </c>
      <c r="CE1268">
        <v>4.0999999999999996</v>
      </c>
      <c r="CF1268">
        <v>0.04</v>
      </c>
      <c r="CG1268">
        <v>4.0999999999999996</v>
      </c>
      <c r="CH1268">
        <v>3.06</v>
      </c>
      <c r="CI1268">
        <v>2.61</v>
      </c>
      <c r="CJ1268">
        <v>0.05</v>
      </c>
      <c r="CK1268">
        <v>2.52</v>
      </c>
      <c r="CL1268">
        <v>13.89</v>
      </c>
      <c r="CM1268">
        <v>0.66</v>
      </c>
      <c r="CN1268">
        <v>-1.2</v>
      </c>
      <c r="CO1268">
        <v>20725</v>
      </c>
      <c r="CP1268">
        <v>5029</v>
      </c>
      <c r="CQ1268" t="s">
        <v>6909</v>
      </c>
      <c r="CR1268">
        <v>12.02</v>
      </c>
      <c r="CS1268">
        <v>82.77</v>
      </c>
      <c r="CT1268">
        <v>3.42</v>
      </c>
      <c r="CU1268">
        <v>168.53</v>
      </c>
      <c r="CV1268">
        <v>2.06</v>
      </c>
      <c r="CW1268">
        <v>3</v>
      </c>
      <c r="CX1268" t="s">
        <v>3399</v>
      </c>
      <c r="CY1268">
        <v>3.46</v>
      </c>
      <c r="CZ1268">
        <v>0</v>
      </c>
      <c r="DA1268">
        <v>0.28999999999999998</v>
      </c>
      <c r="DB1268">
        <v>1.47</v>
      </c>
      <c r="DC1268">
        <v>7.0000000000000007E-2</v>
      </c>
      <c r="DD1268">
        <v>26.22</v>
      </c>
      <c r="DE1268" t="s">
        <v>6910</v>
      </c>
      <c r="DF1268">
        <v>13.97</v>
      </c>
      <c r="DG1268">
        <v>7.56</v>
      </c>
      <c r="DH1268">
        <v>4.8099999999999996</v>
      </c>
      <c r="DI1268">
        <v>1.19</v>
      </c>
      <c r="DJ1268">
        <v>1923</v>
      </c>
      <c r="DK1268">
        <v>2911</v>
      </c>
      <c r="DL1268" t="s">
        <v>120</v>
      </c>
      <c r="DM1268" t="s">
        <v>120</v>
      </c>
      <c r="DN1268" t="s">
        <v>120</v>
      </c>
    </row>
    <row r="1269" spans="1:118">
      <c r="A1269" t="str">
        <f>"002912"</f>
        <v>002912</v>
      </c>
      <c r="B1269" t="s">
        <v>6911</v>
      </c>
      <c r="C1269">
        <v>-1.69</v>
      </c>
      <c r="D1269">
        <v>0</v>
      </c>
      <c r="E1269">
        <v>-0.31</v>
      </c>
      <c r="F1269">
        <v>191</v>
      </c>
      <c r="G1269" t="s">
        <v>3777</v>
      </c>
      <c r="H1269">
        <v>3341.98</v>
      </c>
      <c r="I1269">
        <v>22.3</v>
      </c>
      <c r="J1269" t="s">
        <v>120</v>
      </c>
      <c r="K1269" t="s">
        <v>6912</v>
      </c>
      <c r="L1269">
        <v>0.81</v>
      </c>
      <c r="M1269">
        <v>34.909999999999997</v>
      </c>
      <c r="N1269">
        <v>0.88</v>
      </c>
      <c r="O1269">
        <v>0.39</v>
      </c>
      <c r="P1269">
        <v>35.65</v>
      </c>
      <c r="Q1269">
        <v>-1.77</v>
      </c>
      <c r="R1269">
        <v>34.880000000000003</v>
      </c>
      <c r="S1269">
        <v>35.4</v>
      </c>
      <c r="T1269">
        <v>9504</v>
      </c>
      <c r="U1269">
        <v>34.909999999999997</v>
      </c>
      <c r="V1269">
        <v>35.51</v>
      </c>
      <c r="W1269" t="s">
        <v>120</v>
      </c>
      <c r="X1269" t="s">
        <v>141</v>
      </c>
      <c r="Y1269" t="s">
        <v>123</v>
      </c>
      <c r="Z1269">
        <v>2.17</v>
      </c>
      <c r="AA1269">
        <v>35.159999999999997</v>
      </c>
      <c r="AB1269">
        <v>6530</v>
      </c>
      <c r="AC1269">
        <v>2974</v>
      </c>
      <c r="AD1269">
        <v>2.2000000000000002</v>
      </c>
      <c r="AE1269">
        <v>89</v>
      </c>
      <c r="AF1269">
        <v>8</v>
      </c>
      <c r="AG1269" t="s">
        <v>120</v>
      </c>
      <c r="AH1269">
        <v>0.01</v>
      </c>
      <c r="AI1269" t="s">
        <v>120</v>
      </c>
      <c r="AJ1269">
        <v>1.17</v>
      </c>
      <c r="AK1269" t="s">
        <v>6913</v>
      </c>
      <c r="AL1269">
        <v>0.22</v>
      </c>
      <c r="AM1269">
        <v>1005</v>
      </c>
      <c r="AN1269">
        <v>9</v>
      </c>
      <c r="AO1269">
        <v>8.0000000000000004E-4</v>
      </c>
      <c r="AP1269">
        <v>-2</v>
      </c>
      <c r="AQ1269">
        <v>-1.63</v>
      </c>
      <c r="AR1269">
        <v>-1.72</v>
      </c>
      <c r="AS1269">
        <v>-0.37</v>
      </c>
      <c r="AT1269">
        <v>-15.33</v>
      </c>
      <c r="AU1269">
        <v>-39.35</v>
      </c>
      <c r="AV1269">
        <v>0</v>
      </c>
      <c r="AW1269">
        <v>1.07</v>
      </c>
      <c r="AX1269">
        <v>50.62</v>
      </c>
      <c r="AY1269">
        <v>45.92</v>
      </c>
      <c r="AZ1269">
        <v>25.09</v>
      </c>
      <c r="BA1269">
        <v>0.54</v>
      </c>
      <c r="BB1269" t="s">
        <v>143</v>
      </c>
      <c r="BF1269">
        <v>-0.97</v>
      </c>
      <c r="BG1269">
        <v>-1.38</v>
      </c>
      <c r="BH1269">
        <v>-2.08</v>
      </c>
      <c r="BI1269">
        <v>0.09</v>
      </c>
      <c r="BJ1269">
        <v>20210914</v>
      </c>
      <c r="BK1269">
        <v>20171121</v>
      </c>
      <c r="BL1269">
        <v>1.75</v>
      </c>
      <c r="BM1269" t="s">
        <v>120</v>
      </c>
      <c r="BN1269" t="s">
        <v>120</v>
      </c>
      <c r="BO1269">
        <v>23.16</v>
      </c>
      <c r="BP1269">
        <v>34.9</v>
      </c>
      <c r="BQ1269">
        <v>17</v>
      </c>
      <c r="BR1269" t="s">
        <v>120</v>
      </c>
      <c r="BS1269">
        <v>26.62</v>
      </c>
      <c r="BT1269">
        <v>19.18</v>
      </c>
      <c r="BU1269">
        <v>1.97</v>
      </c>
      <c r="BV1269">
        <v>0.27</v>
      </c>
      <c r="BW1269">
        <v>5.77</v>
      </c>
      <c r="BX1269">
        <v>8.1300000000000008</v>
      </c>
      <c r="BY1269">
        <v>2.35</v>
      </c>
      <c r="BZ1269">
        <v>3.5</v>
      </c>
      <c r="CA1269" t="s">
        <v>120</v>
      </c>
      <c r="CB1269">
        <v>7.39</v>
      </c>
      <c r="CC1269">
        <v>3.43</v>
      </c>
      <c r="CD1269">
        <v>0.96</v>
      </c>
      <c r="CE1269">
        <v>-0.5</v>
      </c>
      <c r="CF1269">
        <v>0.11</v>
      </c>
      <c r="CG1269">
        <v>-0.5</v>
      </c>
      <c r="CH1269">
        <v>-0.44</v>
      </c>
      <c r="CI1269">
        <v>-0.44</v>
      </c>
      <c r="CJ1269">
        <v>-0.6</v>
      </c>
      <c r="CK1269">
        <v>-0.47</v>
      </c>
      <c r="CL1269">
        <v>8.85</v>
      </c>
      <c r="CM1269">
        <v>-1.75</v>
      </c>
      <c r="CN1269">
        <v>-2.85</v>
      </c>
      <c r="CO1269">
        <v>26056</v>
      </c>
      <c r="CP1269">
        <v>3401</v>
      </c>
      <c r="CQ1269" t="s">
        <v>6564</v>
      </c>
      <c r="CR1269">
        <v>-165.14</v>
      </c>
      <c r="CS1269">
        <v>0.99</v>
      </c>
      <c r="CT1269">
        <v>3.6</v>
      </c>
      <c r="CU1269">
        <v>-34.869999999999997</v>
      </c>
      <c r="CV1269">
        <v>17.809999999999999</v>
      </c>
      <c r="CW1269">
        <v>1.1299999999999999</v>
      </c>
      <c r="CX1269" t="s">
        <v>6723</v>
      </c>
      <c r="CY1269">
        <v>9.7100000000000009</v>
      </c>
      <c r="CZ1269">
        <v>0</v>
      </c>
      <c r="DA1269">
        <v>4.22</v>
      </c>
      <c r="DB1269">
        <v>5.05</v>
      </c>
      <c r="DC1269">
        <v>-1</v>
      </c>
      <c r="DD1269">
        <v>73.38</v>
      </c>
      <c r="DE1269" t="s">
        <v>6914</v>
      </c>
      <c r="DF1269">
        <v>71.989999999999995</v>
      </c>
      <c r="DG1269">
        <v>-14.64</v>
      </c>
      <c r="DH1269">
        <v>-12.92</v>
      </c>
      <c r="DI1269">
        <v>1.49</v>
      </c>
      <c r="DJ1269">
        <v>1414</v>
      </c>
      <c r="DK1269">
        <v>2912</v>
      </c>
      <c r="DL1269" t="s">
        <v>120</v>
      </c>
      <c r="DM1269" t="s">
        <v>120</v>
      </c>
      <c r="DN1269" t="s">
        <v>120</v>
      </c>
    </row>
    <row r="1270" spans="1:118">
      <c r="A1270" t="str">
        <f>"002913"</f>
        <v>002913</v>
      </c>
      <c r="B1270" t="s">
        <v>6915</v>
      </c>
      <c r="C1270">
        <v>-3.53</v>
      </c>
      <c r="D1270">
        <v>0</v>
      </c>
      <c r="E1270">
        <v>-0.27</v>
      </c>
      <c r="F1270">
        <v>102</v>
      </c>
      <c r="G1270" t="s">
        <v>6916</v>
      </c>
      <c r="H1270">
        <v>6755.89</v>
      </c>
      <c r="I1270">
        <v>14.95</v>
      </c>
      <c r="J1270" t="s">
        <v>120</v>
      </c>
      <c r="K1270" t="s">
        <v>6917</v>
      </c>
      <c r="L1270">
        <v>0.61</v>
      </c>
      <c r="M1270">
        <v>85.1</v>
      </c>
      <c r="N1270">
        <v>1.02</v>
      </c>
      <c r="O1270">
        <v>2</v>
      </c>
      <c r="P1270">
        <v>89.97</v>
      </c>
      <c r="Q1270">
        <v>-4.38</v>
      </c>
      <c r="R1270">
        <v>84.35</v>
      </c>
      <c r="S1270">
        <v>87.97</v>
      </c>
      <c r="T1270">
        <v>7832</v>
      </c>
      <c r="U1270">
        <v>85.1</v>
      </c>
      <c r="V1270">
        <v>88.21</v>
      </c>
      <c r="W1270">
        <v>26.92</v>
      </c>
      <c r="X1270" t="s">
        <v>229</v>
      </c>
      <c r="Y1270" t="s">
        <v>594</v>
      </c>
      <c r="Z1270">
        <v>6.37</v>
      </c>
      <c r="AA1270">
        <v>86.26</v>
      </c>
      <c r="AB1270">
        <v>5036</v>
      </c>
      <c r="AC1270">
        <v>2796</v>
      </c>
      <c r="AD1270">
        <v>1.8</v>
      </c>
      <c r="AE1270">
        <v>25</v>
      </c>
      <c r="AF1270">
        <v>2</v>
      </c>
      <c r="AG1270" t="s">
        <v>120</v>
      </c>
      <c r="AH1270">
        <v>0</v>
      </c>
      <c r="AI1270" t="s">
        <v>120</v>
      </c>
      <c r="AJ1270">
        <v>1.29</v>
      </c>
      <c r="AK1270" t="s">
        <v>6918</v>
      </c>
      <c r="AL1270">
        <v>-1.61</v>
      </c>
      <c r="AM1270">
        <v>1186</v>
      </c>
      <c r="AN1270">
        <v>7</v>
      </c>
      <c r="AO1270">
        <v>5.0000000000000001E-4</v>
      </c>
      <c r="AP1270">
        <v>-1</v>
      </c>
      <c r="AQ1270">
        <v>1.27</v>
      </c>
      <c r="AR1270">
        <v>-1.03</v>
      </c>
      <c r="AS1270">
        <v>-17.079999999999998</v>
      </c>
      <c r="AT1270">
        <v>12.65</v>
      </c>
      <c r="AU1270">
        <v>44.34</v>
      </c>
      <c r="AV1270">
        <v>6</v>
      </c>
      <c r="AW1270">
        <v>2.09</v>
      </c>
      <c r="AX1270">
        <v>23.61</v>
      </c>
      <c r="AY1270">
        <v>29.09</v>
      </c>
      <c r="AZ1270">
        <v>40.1</v>
      </c>
      <c r="BA1270">
        <v>0.3</v>
      </c>
      <c r="BB1270" t="s">
        <v>168</v>
      </c>
      <c r="BF1270">
        <v>-2.21</v>
      </c>
      <c r="BG1270">
        <v>-3.26</v>
      </c>
      <c r="BH1270">
        <v>-5.41</v>
      </c>
      <c r="BI1270">
        <v>0.89</v>
      </c>
      <c r="BJ1270">
        <v>20210913</v>
      </c>
      <c r="BK1270">
        <v>20171201</v>
      </c>
      <c r="BL1270">
        <v>1.59</v>
      </c>
      <c r="BM1270" t="s">
        <v>120</v>
      </c>
      <c r="BN1270" t="s">
        <v>120</v>
      </c>
      <c r="BO1270">
        <v>58.6</v>
      </c>
      <c r="BP1270">
        <v>85.09</v>
      </c>
      <c r="BQ1270">
        <v>32.619999999999997</v>
      </c>
      <c r="BR1270" t="s">
        <v>120</v>
      </c>
      <c r="BS1270">
        <v>44.33</v>
      </c>
      <c r="BT1270">
        <v>29.9</v>
      </c>
      <c r="BU1270">
        <v>15.95</v>
      </c>
      <c r="BV1270">
        <v>1.55</v>
      </c>
      <c r="BW1270">
        <v>21.89</v>
      </c>
      <c r="BX1270">
        <v>3.76</v>
      </c>
      <c r="BY1270">
        <v>6.81</v>
      </c>
      <c r="BZ1270">
        <v>11.21</v>
      </c>
      <c r="CA1270" t="s">
        <v>120</v>
      </c>
      <c r="CB1270">
        <v>19.47</v>
      </c>
      <c r="CC1270">
        <v>19.59</v>
      </c>
      <c r="CD1270">
        <v>14.84</v>
      </c>
      <c r="CE1270">
        <v>2.83</v>
      </c>
      <c r="CF1270">
        <v>0.24</v>
      </c>
      <c r="CG1270">
        <v>2.86</v>
      </c>
      <c r="CH1270">
        <v>2.5099999999999998</v>
      </c>
      <c r="CI1270">
        <v>2.5099999999999998</v>
      </c>
      <c r="CJ1270">
        <v>-3.11</v>
      </c>
      <c r="CK1270">
        <v>2.1800000000000002</v>
      </c>
      <c r="CL1270">
        <v>10.88</v>
      </c>
      <c r="CM1270">
        <v>3.21</v>
      </c>
      <c r="CN1270">
        <v>1.01</v>
      </c>
      <c r="CO1270">
        <v>8180</v>
      </c>
      <c r="CP1270">
        <v>4582</v>
      </c>
      <c r="CQ1270" t="s">
        <v>6919</v>
      </c>
      <c r="CR1270">
        <v>111.47</v>
      </c>
      <c r="CS1270">
        <v>60.37</v>
      </c>
      <c r="CT1270">
        <v>4.1399999999999997</v>
      </c>
      <c r="CU1270">
        <v>42.08</v>
      </c>
      <c r="CV1270">
        <v>6.9</v>
      </c>
      <c r="CW1270">
        <v>1.42</v>
      </c>
      <c r="CX1270" t="s">
        <v>1449</v>
      </c>
      <c r="CY1270">
        <v>20.55</v>
      </c>
      <c r="CZ1270">
        <v>0</v>
      </c>
      <c r="DA1270">
        <v>12.26</v>
      </c>
      <c r="DB1270">
        <v>6.85</v>
      </c>
      <c r="DC1270">
        <v>2.02</v>
      </c>
      <c r="DD1270">
        <v>55.67</v>
      </c>
      <c r="DE1270" t="s">
        <v>6920</v>
      </c>
      <c r="DF1270">
        <v>24.27</v>
      </c>
      <c r="DG1270">
        <v>14.47</v>
      </c>
      <c r="DH1270">
        <v>12.81</v>
      </c>
      <c r="DI1270">
        <v>0.85</v>
      </c>
      <c r="DJ1270">
        <v>4601</v>
      </c>
      <c r="DK1270">
        <v>2913</v>
      </c>
      <c r="DL1270">
        <v>20210726</v>
      </c>
      <c r="DM1270">
        <v>94.45</v>
      </c>
      <c r="DN1270">
        <v>-9.9</v>
      </c>
    </row>
    <row r="1271" spans="1:118">
      <c r="A1271" t="str">
        <f>"002915"</f>
        <v>002915</v>
      </c>
      <c r="B1271" t="s">
        <v>6921</v>
      </c>
      <c r="C1271">
        <v>-8.9499999999999993</v>
      </c>
      <c r="D1271">
        <v>-0.06</v>
      </c>
      <c r="E1271">
        <v>1.31</v>
      </c>
      <c r="F1271">
        <v>406</v>
      </c>
      <c r="G1271" t="s">
        <v>1748</v>
      </c>
      <c r="H1271">
        <v>32644.04</v>
      </c>
      <c r="I1271">
        <v>359.5</v>
      </c>
      <c r="J1271" t="s">
        <v>120</v>
      </c>
      <c r="K1271" t="s">
        <v>6922</v>
      </c>
      <c r="L1271">
        <v>7.76</v>
      </c>
      <c r="M1271">
        <v>27.15</v>
      </c>
      <c r="N1271">
        <v>1.45</v>
      </c>
      <c r="O1271">
        <v>1.68</v>
      </c>
      <c r="P1271">
        <v>30.32</v>
      </c>
      <c r="Q1271">
        <v>-9.99</v>
      </c>
      <c r="R1271">
        <v>26.84</v>
      </c>
      <c r="S1271">
        <v>30.21</v>
      </c>
      <c r="T1271">
        <v>114736</v>
      </c>
      <c r="U1271">
        <v>27.16</v>
      </c>
      <c r="V1271">
        <v>29.82</v>
      </c>
      <c r="W1271">
        <v>39.380000000000003</v>
      </c>
      <c r="X1271" t="s">
        <v>868</v>
      </c>
      <c r="Y1271" t="s">
        <v>585</v>
      </c>
      <c r="Z1271">
        <v>11.67</v>
      </c>
      <c r="AA1271">
        <v>28.45</v>
      </c>
      <c r="AB1271">
        <v>69394</v>
      </c>
      <c r="AC1271">
        <v>45342</v>
      </c>
      <c r="AD1271">
        <v>1.53</v>
      </c>
      <c r="AE1271">
        <v>554</v>
      </c>
      <c r="AF1271">
        <v>29</v>
      </c>
      <c r="AG1271" t="s">
        <v>120</v>
      </c>
      <c r="AH1271">
        <v>0.1</v>
      </c>
      <c r="AI1271" t="s">
        <v>120</v>
      </c>
      <c r="AJ1271">
        <v>1.48</v>
      </c>
      <c r="AK1271" t="s">
        <v>6923</v>
      </c>
      <c r="AL1271">
        <v>-7.04</v>
      </c>
      <c r="AM1271">
        <v>3510</v>
      </c>
      <c r="AN1271">
        <v>33</v>
      </c>
      <c r="AO1271">
        <v>2.2000000000000001E-3</v>
      </c>
      <c r="AP1271">
        <v>-1</v>
      </c>
      <c r="AQ1271">
        <v>6.69</v>
      </c>
      <c r="AR1271">
        <v>-1.74</v>
      </c>
      <c r="AS1271">
        <v>18.559999999999999</v>
      </c>
      <c r="AT1271">
        <v>54.7</v>
      </c>
      <c r="AU1271">
        <v>70.430000000000007</v>
      </c>
      <c r="AV1271">
        <v>4</v>
      </c>
      <c r="AW1271">
        <v>9.2200000000000006</v>
      </c>
      <c r="AX1271">
        <v>53.25</v>
      </c>
      <c r="AY1271">
        <v>43.51</v>
      </c>
      <c r="AZ1271">
        <v>58.87</v>
      </c>
      <c r="BA1271">
        <v>1.04</v>
      </c>
      <c r="BB1271" t="s">
        <v>143</v>
      </c>
      <c r="BF1271">
        <v>-4.59</v>
      </c>
      <c r="BG1271">
        <v>-10.130000000000001</v>
      </c>
      <c r="BH1271">
        <v>-10.46</v>
      </c>
      <c r="BI1271">
        <v>1.1499999999999999</v>
      </c>
      <c r="BJ1271">
        <v>20210901</v>
      </c>
      <c r="BK1271">
        <v>20171205</v>
      </c>
      <c r="BL1271">
        <v>2.34</v>
      </c>
      <c r="BM1271" t="s">
        <v>120</v>
      </c>
      <c r="BN1271" t="s">
        <v>120</v>
      </c>
      <c r="BO1271">
        <v>17.350000000000001</v>
      </c>
      <c r="BP1271">
        <v>27.15</v>
      </c>
      <c r="BQ1271">
        <v>10.78</v>
      </c>
      <c r="BR1271" t="s">
        <v>120</v>
      </c>
      <c r="BS1271">
        <v>37.89</v>
      </c>
      <c r="BT1271">
        <v>6.93</v>
      </c>
      <c r="BU1271">
        <v>5.0599999999999996</v>
      </c>
      <c r="BV1271">
        <v>0.93</v>
      </c>
      <c r="BW1271">
        <v>5.15</v>
      </c>
      <c r="BX1271">
        <v>1.87</v>
      </c>
      <c r="BY1271">
        <v>1.81</v>
      </c>
      <c r="BZ1271">
        <v>2.13</v>
      </c>
      <c r="CA1271" t="s">
        <v>120</v>
      </c>
      <c r="CB1271">
        <v>5.88</v>
      </c>
      <c r="CC1271">
        <v>7.58</v>
      </c>
      <c r="CD1271">
        <v>5.85</v>
      </c>
      <c r="CE1271">
        <v>1.02</v>
      </c>
      <c r="CF1271">
        <v>0.01</v>
      </c>
      <c r="CG1271">
        <v>1.02</v>
      </c>
      <c r="CH1271">
        <v>0.81</v>
      </c>
      <c r="CI1271">
        <v>0.81</v>
      </c>
      <c r="CJ1271">
        <v>-2.67</v>
      </c>
      <c r="CK1271">
        <v>0.79</v>
      </c>
      <c r="CL1271">
        <v>2.38</v>
      </c>
      <c r="CM1271">
        <v>0.24</v>
      </c>
      <c r="CN1271">
        <v>-0.02</v>
      </c>
      <c r="CO1271">
        <v>15179</v>
      </c>
      <c r="CP1271">
        <v>8200</v>
      </c>
      <c r="CQ1271" t="s">
        <v>6924</v>
      </c>
      <c r="CR1271">
        <v>107.75</v>
      </c>
      <c r="CS1271">
        <v>63.37</v>
      </c>
      <c r="CT1271">
        <v>5.24</v>
      </c>
      <c r="CU1271">
        <v>263.12</v>
      </c>
      <c r="CV1271">
        <v>8.3699999999999992</v>
      </c>
      <c r="CW1271">
        <v>0.75</v>
      </c>
      <c r="CX1271" t="s">
        <v>1980</v>
      </c>
      <c r="CY1271">
        <v>5.19</v>
      </c>
      <c r="CZ1271">
        <v>5.19</v>
      </c>
      <c r="DA1271">
        <v>2.5099999999999998</v>
      </c>
      <c r="DB1271">
        <v>1.02</v>
      </c>
      <c r="DC1271">
        <v>0.1</v>
      </c>
      <c r="DD1271">
        <v>62.11</v>
      </c>
      <c r="DE1271" t="s">
        <v>920</v>
      </c>
      <c r="DF1271">
        <v>22.76</v>
      </c>
      <c r="DG1271">
        <v>13.41</v>
      </c>
      <c r="DH1271">
        <v>10.63</v>
      </c>
      <c r="DI1271">
        <v>0.16</v>
      </c>
      <c r="DJ1271">
        <v>696</v>
      </c>
      <c r="DK1271">
        <v>2915</v>
      </c>
      <c r="DL1271" t="s">
        <v>120</v>
      </c>
      <c r="DM1271" t="s">
        <v>120</v>
      </c>
      <c r="DN1271" t="s">
        <v>120</v>
      </c>
    </row>
    <row r="1272" spans="1:118">
      <c r="A1272" t="str">
        <f>"002916"</f>
        <v>002916</v>
      </c>
      <c r="B1272" t="s">
        <v>6925</v>
      </c>
      <c r="C1272">
        <v>-2.54</v>
      </c>
      <c r="D1272">
        <v>-0.05</v>
      </c>
      <c r="E1272">
        <v>-0.38</v>
      </c>
      <c r="F1272">
        <v>299</v>
      </c>
      <c r="G1272" t="s">
        <v>6926</v>
      </c>
      <c r="H1272">
        <v>17335.169999999998</v>
      </c>
      <c r="I1272">
        <v>13.83</v>
      </c>
      <c r="J1272" t="s">
        <v>120</v>
      </c>
      <c r="K1272" t="s">
        <v>6927</v>
      </c>
      <c r="L1272">
        <v>0.39</v>
      </c>
      <c r="M1272">
        <v>90.2</v>
      </c>
      <c r="N1272">
        <v>0.88</v>
      </c>
      <c r="O1272">
        <v>-0.12</v>
      </c>
      <c r="P1272">
        <v>92.44</v>
      </c>
      <c r="Q1272">
        <v>-2.74</v>
      </c>
      <c r="R1272">
        <v>90.01</v>
      </c>
      <c r="S1272">
        <v>92.2</v>
      </c>
      <c r="T1272">
        <v>19068</v>
      </c>
      <c r="U1272">
        <v>90.25</v>
      </c>
      <c r="V1272">
        <v>92.55</v>
      </c>
      <c r="W1272">
        <v>39.35</v>
      </c>
      <c r="X1272" t="s">
        <v>229</v>
      </c>
      <c r="Y1272" t="s">
        <v>123</v>
      </c>
      <c r="Z1272">
        <v>2.63</v>
      </c>
      <c r="AA1272">
        <v>90.91</v>
      </c>
      <c r="AB1272">
        <v>12233</v>
      </c>
      <c r="AC1272">
        <v>6835</v>
      </c>
      <c r="AD1272">
        <v>1.79</v>
      </c>
      <c r="AE1272">
        <v>76</v>
      </c>
      <c r="AF1272">
        <v>101</v>
      </c>
      <c r="AG1272" t="s">
        <v>120</v>
      </c>
      <c r="AH1272">
        <v>0</v>
      </c>
      <c r="AI1272" t="s">
        <v>120</v>
      </c>
      <c r="AJ1272">
        <v>4.84</v>
      </c>
      <c r="AK1272" t="s">
        <v>6928</v>
      </c>
      <c r="AL1272">
        <v>-0.63</v>
      </c>
      <c r="AM1272">
        <v>2578</v>
      </c>
      <c r="AN1272">
        <v>7</v>
      </c>
      <c r="AO1272">
        <v>2.0000000000000001E-4</v>
      </c>
      <c r="AP1272">
        <v>-2</v>
      </c>
      <c r="AQ1272">
        <v>-0.6</v>
      </c>
      <c r="AR1272">
        <v>-1.74</v>
      </c>
      <c r="AS1272">
        <v>-5.45</v>
      </c>
      <c r="AT1272">
        <v>-15.62</v>
      </c>
      <c r="AU1272">
        <v>-15.78</v>
      </c>
      <c r="AV1272">
        <v>2</v>
      </c>
      <c r="AW1272">
        <v>1.22</v>
      </c>
      <c r="AX1272">
        <v>31.86</v>
      </c>
      <c r="AY1272">
        <v>35.75</v>
      </c>
      <c r="AZ1272">
        <v>31.67</v>
      </c>
      <c r="BA1272">
        <v>0.63</v>
      </c>
      <c r="BB1272" t="s">
        <v>143</v>
      </c>
      <c r="BF1272">
        <v>-1.77</v>
      </c>
      <c r="BG1272">
        <v>-2.17</v>
      </c>
      <c r="BH1272">
        <v>-2.42</v>
      </c>
      <c r="BI1272">
        <v>0.21</v>
      </c>
      <c r="BJ1272">
        <v>20210820</v>
      </c>
      <c r="BK1272">
        <v>20171213</v>
      </c>
      <c r="BL1272">
        <v>4.8899999999999997</v>
      </c>
      <c r="BM1272" t="s">
        <v>120</v>
      </c>
      <c r="BN1272" t="s">
        <v>120</v>
      </c>
      <c r="BO1272">
        <v>150.4</v>
      </c>
      <c r="BP1272">
        <v>90.2</v>
      </c>
      <c r="BQ1272">
        <v>75.91</v>
      </c>
      <c r="BR1272">
        <v>0.04</v>
      </c>
      <c r="BS1272">
        <v>49.51</v>
      </c>
      <c r="BT1272">
        <v>64.680000000000007</v>
      </c>
      <c r="BU1272">
        <v>68.48</v>
      </c>
      <c r="BV1272">
        <v>3.34</v>
      </c>
      <c r="BW1272">
        <v>50.81</v>
      </c>
      <c r="BX1272">
        <v>5.43</v>
      </c>
      <c r="BY1272">
        <v>28.04</v>
      </c>
      <c r="BZ1272">
        <v>24.38</v>
      </c>
      <c r="CA1272">
        <v>0.02</v>
      </c>
      <c r="CB1272">
        <v>36.700000000000003</v>
      </c>
      <c r="CC1272">
        <v>58.81</v>
      </c>
      <c r="CD1272">
        <v>44.7</v>
      </c>
      <c r="CE1272">
        <v>6.14</v>
      </c>
      <c r="CF1272">
        <v>7.0000000000000007E-2</v>
      </c>
      <c r="CG1272">
        <v>6.12</v>
      </c>
      <c r="CH1272">
        <v>5.61</v>
      </c>
      <c r="CI1272">
        <v>5.61</v>
      </c>
      <c r="CJ1272">
        <v>-2.35</v>
      </c>
      <c r="CK1272">
        <v>4.8099999999999996</v>
      </c>
      <c r="CL1272">
        <v>32.31</v>
      </c>
      <c r="CM1272">
        <v>8.17</v>
      </c>
      <c r="CN1272">
        <v>0.45</v>
      </c>
      <c r="CO1272">
        <v>87340</v>
      </c>
      <c r="CP1272">
        <v>1785</v>
      </c>
      <c r="CQ1272" t="s">
        <v>6929</v>
      </c>
      <c r="CR1272">
        <v>-22.57</v>
      </c>
      <c r="CS1272">
        <v>-0.57999999999999996</v>
      </c>
      <c r="CT1272">
        <v>5.81</v>
      </c>
      <c r="CU1272">
        <v>54.02</v>
      </c>
      <c r="CV1272">
        <v>7.51</v>
      </c>
      <c r="CW1272">
        <v>1.03</v>
      </c>
      <c r="CX1272" t="s">
        <v>878</v>
      </c>
      <c r="CY1272">
        <v>15.51</v>
      </c>
      <c r="CZ1272">
        <v>0</v>
      </c>
      <c r="DA1272">
        <v>7.5</v>
      </c>
      <c r="DB1272">
        <v>6.6</v>
      </c>
      <c r="DC1272">
        <v>1.67</v>
      </c>
      <c r="DD1272">
        <v>50.47</v>
      </c>
      <c r="DE1272" t="s">
        <v>3560</v>
      </c>
      <c r="DF1272">
        <v>23.99</v>
      </c>
      <c r="DG1272">
        <v>10.44</v>
      </c>
      <c r="DH1272">
        <v>9.5399999999999991</v>
      </c>
      <c r="DI1272">
        <v>3.49</v>
      </c>
      <c r="DJ1272">
        <v>12823</v>
      </c>
      <c r="DK1272">
        <v>2916</v>
      </c>
      <c r="DL1272" t="s">
        <v>120</v>
      </c>
      <c r="DM1272" t="s">
        <v>120</v>
      </c>
      <c r="DN1272" t="s">
        <v>120</v>
      </c>
    </row>
    <row r="1273" spans="1:118">
      <c r="A1273" t="str">
        <f>"002917"</f>
        <v>002917</v>
      </c>
      <c r="B1273" t="s">
        <v>6930</v>
      </c>
      <c r="C1273">
        <v>-1.68</v>
      </c>
      <c r="D1273">
        <v>0</v>
      </c>
      <c r="E1273">
        <v>0.56000000000000005</v>
      </c>
      <c r="F1273">
        <v>199</v>
      </c>
      <c r="G1273" t="s">
        <v>1705</v>
      </c>
      <c r="H1273">
        <v>1718.09</v>
      </c>
      <c r="I1273">
        <v>21.1</v>
      </c>
      <c r="J1273" t="s">
        <v>120</v>
      </c>
      <c r="K1273" t="s">
        <v>6931</v>
      </c>
      <c r="L1273">
        <v>1.04</v>
      </c>
      <c r="M1273">
        <v>8.7799999999999994</v>
      </c>
      <c r="N1273">
        <v>1.24</v>
      </c>
      <c r="O1273">
        <v>1.01</v>
      </c>
      <c r="P1273">
        <v>9.02</v>
      </c>
      <c r="Q1273">
        <v>-1.79</v>
      </c>
      <c r="R1273">
        <v>8.77</v>
      </c>
      <c r="S1273">
        <v>8.98</v>
      </c>
      <c r="T1273">
        <v>19357</v>
      </c>
      <c r="U1273">
        <v>8.81</v>
      </c>
      <c r="V1273">
        <v>8.93</v>
      </c>
      <c r="W1273">
        <v>30.19</v>
      </c>
      <c r="X1273" t="s">
        <v>868</v>
      </c>
      <c r="Y1273" t="s">
        <v>123</v>
      </c>
      <c r="Z1273">
        <v>2.8</v>
      </c>
      <c r="AA1273">
        <v>8.8800000000000008</v>
      </c>
      <c r="AB1273">
        <v>12082</v>
      </c>
      <c r="AC1273">
        <v>7275</v>
      </c>
      <c r="AD1273">
        <v>1.66</v>
      </c>
      <c r="AE1273">
        <v>3</v>
      </c>
      <c r="AF1273">
        <v>46</v>
      </c>
      <c r="AG1273" t="s">
        <v>120</v>
      </c>
      <c r="AH1273">
        <v>0.03</v>
      </c>
      <c r="AI1273" t="s">
        <v>120</v>
      </c>
      <c r="AJ1273">
        <v>1.86</v>
      </c>
      <c r="AK1273" t="s">
        <v>6932</v>
      </c>
      <c r="AL1273">
        <v>0.23</v>
      </c>
      <c r="AM1273">
        <v>1027</v>
      </c>
      <c r="AN1273">
        <v>19</v>
      </c>
      <c r="AO1273">
        <v>1E-3</v>
      </c>
      <c r="AP1273">
        <v>-1</v>
      </c>
      <c r="AQ1273">
        <v>4.32</v>
      </c>
      <c r="AR1273">
        <v>-1.1200000000000001</v>
      </c>
      <c r="AS1273">
        <v>3.79</v>
      </c>
      <c r="AT1273">
        <v>0.92</v>
      </c>
      <c r="AU1273">
        <v>-5.49</v>
      </c>
      <c r="AV1273">
        <v>2</v>
      </c>
      <c r="AW1273">
        <v>2.38</v>
      </c>
      <c r="AX1273">
        <v>29.95</v>
      </c>
      <c r="AY1273">
        <v>36.39</v>
      </c>
      <c r="AZ1273">
        <v>35.36</v>
      </c>
      <c r="BA1273">
        <v>0.4</v>
      </c>
      <c r="BB1273" t="s">
        <v>751</v>
      </c>
      <c r="BF1273">
        <v>-0.61</v>
      </c>
      <c r="BG1273">
        <v>-2.23</v>
      </c>
      <c r="BH1273">
        <v>-2.66</v>
      </c>
      <c r="BI1273">
        <v>0.11</v>
      </c>
      <c r="BJ1273">
        <v>20210830</v>
      </c>
      <c r="BK1273">
        <v>20171208</v>
      </c>
      <c r="BL1273">
        <v>2.71</v>
      </c>
      <c r="BM1273" t="s">
        <v>120</v>
      </c>
      <c r="BN1273" t="s">
        <v>120</v>
      </c>
      <c r="BO1273">
        <v>14.58</v>
      </c>
      <c r="BP1273">
        <v>8.7799999999999994</v>
      </c>
      <c r="BQ1273">
        <v>7.71</v>
      </c>
      <c r="BR1273">
        <v>0.71</v>
      </c>
      <c r="BS1273">
        <v>42.2</v>
      </c>
      <c r="BT1273">
        <v>11.13</v>
      </c>
      <c r="BU1273">
        <v>1.6</v>
      </c>
      <c r="BV1273">
        <v>0.38</v>
      </c>
      <c r="BW1273">
        <v>4.29</v>
      </c>
      <c r="BX1273">
        <v>4.09</v>
      </c>
      <c r="BY1273">
        <v>1.19</v>
      </c>
      <c r="BZ1273">
        <v>2.42</v>
      </c>
      <c r="CA1273" t="s">
        <v>120</v>
      </c>
      <c r="CB1273">
        <v>1.86</v>
      </c>
      <c r="CC1273">
        <v>3.12</v>
      </c>
      <c r="CD1273">
        <v>2.11</v>
      </c>
      <c r="CE1273">
        <v>0.44</v>
      </c>
      <c r="CF1273">
        <v>0.05</v>
      </c>
      <c r="CG1273">
        <v>0.44</v>
      </c>
      <c r="CH1273">
        <v>0.41</v>
      </c>
      <c r="CI1273">
        <v>0.39</v>
      </c>
      <c r="CJ1273">
        <v>-0.15</v>
      </c>
      <c r="CK1273">
        <v>0.33</v>
      </c>
      <c r="CL1273">
        <v>2.77</v>
      </c>
      <c r="CM1273">
        <v>-0.13</v>
      </c>
      <c r="CN1273">
        <v>0.65</v>
      </c>
      <c r="CO1273">
        <v>16000</v>
      </c>
      <c r="CP1273">
        <v>5079</v>
      </c>
      <c r="CQ1273" t="s">
        <v>1046</v>
      </c>
      <c r="CR1273">
        <v>-4.68</v>
      </c>
      <c r="CS1273">
        <v>16.78</v>
      </c>
      <c r="CT1273">
        <v>3.09</v>
      </c>
      <c r="CU1273">
        <v>-184.28</v>
      </c>
      <c r="CV1273">
        <v>7.63</v>
      </c>
      <c r="CW1273">
        <v>1.1200000000000001</v>
      </c>
      <c r="CX1273" t="s">
        <v>2736</v>
      </c>
      <c r="CY1273">
        <v>2.84</v>
      </c>
      <c r="CZ1273">
        <v>0</v>
      </c>
      <c r="DA1273">
        <v>0.69</v>
      </c>
      <c r="DB1273">
        <v>1.02</v>
      </c>
      <c r="DC1273">
        <v>-0.05</v>
      </c>
      <c r="DD1273">
        <v>52.9</v>
      </c>
      <c r="DE1273" t="s">
        <v>4904</v>
      </c>
      <c r="DF1273">
        <v>32.53</v>
      </c>
      <c r="DG1273">
        <v>14.1</v>
      </c>
      <c r="DH1273">
        <v>12.63</v>
      </c>
      <c r="DI1273">
        <v>0.2</v>
      </c>
      <c r="DJ1273">
        <v>1163</v>
      </c>
      <c r="DK1273">
        <v>2917</v>
      </c>
      <c r="DL1273" t="s">
        <v>120</v>
      </c>
      <c r="DM1273" t="s">
        <v>120</v>
      </c>
      <c r="DN1273" t="s">
        <v>120</v>
      </c>
    </row>
    <row r="1274" spans="1:118">
      <c r="A1274" t="str">
        <f>"002918"</f>
        <v>002918</v>
      </c>
      <c r="B1274" t="s">
        <v>6933</v>
      </c>
      <c r="C1274">
        <v>-4.54</v>
      </c>
      <c r="D1274">
        <v>-0.03</v>
      </c>
      <c r="E1274">
        <v>0</v>
      </c>
      <c r="F1274">
        <v>461</v>
      </c>
      <c r="G1274" t="s">
        <v>3776</v>
      </c>
      <c r="H1274">
        <v>12797.87</v>
      </c>
      <c r="I1274">
        <v>48.48</v>
      </c>
      <c r="J1274" t="s">
        <v>120</v>
      </c>
      <c r="K1274" t="s">
        <v>6934</v>
      </c>
      <c r="L1274">
        <v>2.57</v>
      </c>
      <c r="M1274">
        <v>22.91</v>
      </c>
      <c r="N1274">
        <v>1.44</v>
      </c>
      <c r="O1274">
        <v>0</v>
      </c>
      <c r="P1274">
        <v>24</v>
      </c>
      <c r="Q1274">
        <v>-4.79</v>
      </c>
      <c r="R1274">
        <v>22.85</v>
      </c>
      <c r="S1274">
        <v>24</v>
      </c>
      <c r="T1274">
        <v>55006</v>
      </c>
      <c r="U1274">
        <v>22.91</v>
      </c>
      <c r="V1274">
        <v>24</v>
      </c>
      <c r="W1274">
        <v>16.66</v>
      </c>
      <c r="X1274" t="s">
        <v>247</v>
      </c>
      <c r="Y1274" t="s">
        <v>547</v>
      </c>
      <c r="Z1274">
        <v>4.79</v>
      </c>
      <c r="AA1274">
        <v>23.27</v>
      </c>
      <c r="AB1274">
        <v>29323</v>
      </c>
      <c r="AC1274">
        <v>25683</v>
      </c>
      <c r="AD1274">
        <v>1.1399999999999999</v>
      </c>
      <c r="AE1274">
        <v>79</v>
      </c>
      <c r="AF1274">
        <v>57</v>
      </c>
      <c r="AG1274" t="s">
        <v>120</v>
      </c>
      <c r="AH1274">
        <v>0.01</v>
      </c>
      <c r="AI1274" t="s">
        <v>120</v>
      </c>
      <c r="AJ1274">
        <v>2.14</v>
      </c>
      <c r="AK1274" t="s">
        <v>6935</v>
      </c>
      <c r="AL1274">
        <v>-2.63</v>
      </c>
      <c r="AM1274">
        <v>3260</v>
      </c>
      <c r="AN1274">
        <v>17</v>
      </c>
      <c r="AO1274">
        <v>8.0000000000000004E-4</v>
      </c>
      <c r="AP1274">
        <v>-4</v>
      </c>
      <c r="AQ1274">
        <v>-5.85</v>
      </c>
      <c r="AR1274">
        <v>-17.62</v>
      </c>
      <c r="AS1274">
        <v>-14.71</v>
      </c>
      <c r="AT1274">
        <v>-27.22</v>
      </c>
      <c r="AU1274">
        <v>-28.02</v>
      </c>
      <c r="AV1274">
        <v>1</v>
      </c>
      <c r="AW1274">
        <v>4.08</v>
      </c>
      <c r="AX1274">
        <v>32.92</v>
      </c>
      <c r="AY1274">
        <v>15.56</v>
      </c>
      <c r="AZ1274">
        <v>17.36</v>
      </c>
      <c r="BA1274">
        <v>0.68</v>
      </c>
      <c r="BB1274" t="s">
        <v>143</v>
      </c>
      <c r="BF1274">
        <v>-3.06</v>
      </c>
      <c r="BG1274">
        <v>-4.54</v>
      </c>
      <c r="BH1274">
        <v>-4.54</v>
      </c>
      <c r="BI1274">
        <v>0.26</v>
      </c>
      <c r="BJ1274">
        <v>20210826</v>
      </c>
      <c r="BK1274">
        <v>20171219</v>
      </c>
      <c r="BL1274">
        <v>4.0999999999999996</v>
      </c>
      <c r="BM1274" t="s">
        <v>120</v>
      </c>
      <c r="BN1274" t="s">
        <v>120</v>
      </c>
      <c r="BO1274">
        <v>99.13</v>
      </c>
      <c r="BP1274">
        <v>22.9</v>
      </c>
      <c r="BQ1274">
        <v>35.770000000000003</v>
      </c>
      <c r="BR1274">
        <v>4.33</v>
      </c>
      <c r="BS1274">
        <v>59.55</v>
      </c>
      <c r="BT1274">
        <v>58.65</v>
      </c>
      <c r="BU1274">
        <v>27.92</v>
      </c>
      <c r="BV1274">
        <v>2.87</v>
      </c>
      <c r="BW1274">
        <v>44.05</v>
      </c>
      <c r="BX1274">
        <v>18.38</v>
      </c>
      <c r="BY1274">
        <v>18.8</v>
      </c>
      <c r="BZ1274">
        <v>13.02</v>
      </c>
      <c r="CA1274" t="s">
        <v>120</v>
      </c>
      <c r="CB1274">
        <v>13.31</v>
      </c>
      <c r="CC1274">
        <v>30.8</v>
      </c>
      <c r="CD1274">
        <v>20.7</v>
      </c>
      <c r="CE1274">
        <v>3.36</v>
      </c>
      <c r="CF1274">
        <v>-0.1</v>
      </c>
      <c r="CG1274">
        <v>3.4</v>
      </c>
      <c r="CH1274">
        <v>2.95</v>
      </c>
      <c r="CI1274">
        <v>2.82</v>
      </c>
      <c r="CJ1274">
        <v>-1.0900000000000001</v>
      </c>
      <c r="CK1274">
        <v>2.64</v>
      </c>
      <c r="CL1274">
        <v>16.850000000000001</v>
      </c>
      <c r="CM1274">
        <v>1.68</v>
      </c>
      <c r="CN1274">
        <v>-3.08</v>
      </c>
      <c r="CO1274">
        <v>19318</v>
      </c>
      <c r="CP1274">
        <v>6983</v>
      </c>
      <c r="CQ1274" t="s">
        <v>6936</v>
      </c>
      <c r="CR1274">
        <v>30.3</v>
      </c>
      <c r="CS1274">
        <v>72.33</v>
      </c>
      <c r="CT1274">
        <v>2.62</v>
      </c>
      <c r="CU1274">
        <v>55.9</v>
      </c>
      <c r="CV1274">
        <v>3.05</v>
      </c>
      <c r="CW1274">
        <v>1.96</v>
      </c>
      <c r="CX1274" t="s">
        <v>2797</v>
      </c>
      <c r="CY1274">
        <v>8.73</v>
      </c>
      <c r="CZ1274">
        <v>0</v>
      </c>
      <c r="DA1274">
        <v>3.25</v>
      </c>
      <c r="DB1274">
        <v>4.1100000000000003</v>
      </c>
      <c r="DC1274">
        <v>0.41</v>
      </c>
      <c r="DD1274">
        <v>36.08</v>
      </c>
      <c r="DE1274" t="s">
        <v>4218</v>
      </c>
      <c r="DF1274">
        <v>32.82</v>
      </c>
      <c r="DG1274">
        <v>10.91</v>
      </c>
      <c r="DH1274">
        <v>9.14</v>
      </c>
      <c r="DI1274">
        <v>1.1499999999999999</v>
      </c>
      <c r="DJ1274">
        <v>4471</v>
      </c>
      <c r="DK1274">
        <v>2918</v>
      </c>
      <c r="DL1274" t="s">
        <v>120</v>
      </c>
      <c r="DM1274" t="s">
        <v>120</v>
      </c>
      <c r="DN1274" t="s">
        <v>120</v>
      </c>
    </row>
    <row r="1275" spans="1:118">
      <c r="A1275" t="str">
        <f>"002919"</f>
        <v>002919</v>
      </c>
      <c r="B1275" t="s">
        <v>6937</v>
      </c>
      <c r="C1275">
        <v>9.33</v>
      </c>
      <c r="D1275">
        <v>0</v>
      </c>
      <c r="E1275">
        <v>0</v>
      </c>
      <c r="F1275">
        <v>232</v>
      </c>
      <c r="G1275" t="s">
        <v>3577</v>
      </c>
      <c r="H1275">
        <v>9526.5400000000009</v>
      </c>
      <c r="I1275">
        <v>58.59</v>
      </c>
      <c r="J1275" t="s">
        <v>120</v>
      </c>
      <c r="K1275" t="s">
        <v>6938</v>
      </c>
      <c r="L1275">
        <v>3.27</v>
      </c>
      <c r="M1275">
        <v>44.18</v>
      </c>
      <c r="N1275">
        <v>2.1</v>
      </c>
      <c r="O1275">
        <v>9.82</v>
      </c>
      <c r="P1275">
        <v>44.38</v>
      </c>
      <c r="Q1275">
        <v>0</v>
      </c>
      <c r="R1275">
        <v>40.409999999999997</v>
      </c>
      <c r="S1275">
        <v>40.409999999999997</v>
      </c>
      <c r="T1275">
        <v>22170</v>
      </c>
      <c r="U1275">
        <v>44.19</v>
      </c>
      <c r="V1275">
        <v>40.409999999999997</v>
      </c>
      <c r="W1275">
        <v>27.28</v>
      </c>
      <c r="X1275" t="s">
        <v>1817</v>
      </c>
      <c r="Y1275" t="s">
        <v>547</v>
      </c>
      <c r="Z1275">
        <v>9.82</v>
      </c>
      <c r="AA1275">
        <v>42.97</v>
      </c>
      <c r="AB1275">
        <v>8399</v>
      </c>
      <c r="AC1275">
        <v>13771</v>
      </c>
      <c r="AD1275">
        <v>0.61</v>
      </c>
      <c r="AE1275">
        <v>23</v>
      </c>
      <c r="AF1275">
        <v>25</v>
      </c>
      <c r="AG1275" t="s">
        <v>120</v>
      </c>
      <c r="AH1275">
        <v>0.03</v>
      </c>
      <c r="AI1275" t="s">
        <v>120</v>
      </c>
      <c r="AJ1275">
        <v>0.68</v>
      </c>
      <c r="AK1275" t="s">
        <v>4900</v>
      </c>
      <c r="AL1275">
        <v>11.24</v>
      </c>
      <c r="AM1275">
        <v>2067</v>
      </c>
      <c r="AN1275">
        <v>11</v>
      </c>
      <c r="AO1275">
        <v>1.6000000000000001E-3</v>
      </c>
      <c r="AP1275">
        <v>3</v>
      </c>
      <c r="AQ1275">
        <v>9.99</v>
      </c>
      <c r="AR1275">
        <v>28.09</v>
      </c>
      <c r="AS1275">
        <v>14.78</v>
      </c>
      <c r="AT1275">
        <v>-0.15</v>
      </c>
      <c r="AU1275">
        <v>17.05</v>
      </c>
      <c r="AV1275">
        <v>3</v>
      </c>
      <c r="AW1275">
        <v>4.75</v>
      </c>
      <c r="AX1275">
        <v>38.17</v>
      </c>
      <c r="AY1275">
        <v>26.66</v>
      </c>
      <c r="AZ1275">
        <v>48.27</v>
      </c>
      <c r="BA1275">
        <v>0.74</v>
      </c>
      <c r="BB1275" t="s">
        <v>6939</v>
      </c>
      <c r="BF1275">
        <v>6.34</v>
      </c>
      <c r="BG1275">
        <v>9.33</v>
      </c>
      <c r="BH1275">
        <v>-0.45</v>
      </c>
      <c r="BI1275">
        <v>9.33</v>
      </c>
      <c r="BJ1275">
        <v>20210831</v>
      </c>
      <c r="BK1275">
        <v>20171218</v>
      </c>
      <c r="BL1275">
        <v>1.22</v>
      </c>
      <c r="BM1275" t="s">
        <v>120</v>
      </c>
      <c r="BN1275" t="s">
        <v>120</v>
      </c>
      <c r="BO1275">
        <v>9.15</v>
      </c>
      <c r="BP1275">
        <v>44.18</v>
      </c>
      <c r="BQ1275">
        <v>7.23</v>
      </c>
      <c r="BR1275" t="s">
        <v>120</v>
      </c>
      <c r="BS1275">
        <v>20.98</v>
      </c>
      <c r="BT1275">
        <v>6.93</v>
      </c>
      <c r="BU1275">
        <v>0.51</v>
      </c>
      <c r="BV1275">
        <v>0.11</v>
      </c>
      <c r="BW1275">
        <v>1.8</v>
      </c>
      <c r="BX1275">
        <v>1.1599999999999999</v>
      </c>
      <c r="BY1275">
        <v>1.29</v>
      </c>
      <c r="BZ1275">
        <v>2.19</v>
      </c>
      <c r="CA1275" t="s">
        <v>120</v>
      </c>
      <c r="CB1275">
        <v>3.23</v>
      </c>
      <c r="CC1275">
        <v>4.01</v>
      </c>
      <c r="CD1275">
        <v>1.83</v>
      </c>
      <c r="CE1275">
        <v>0.97</v>
      </c>
      <c r="CF1275">
        <v>0.01</v>
      </c>
      <c r="CG1275">
        <v>0.97</v>
      </c>
      <c r="CH1275">
        <v>0.99</v>
      </c>
      <c r="CI1275">
        <v>0.99</v>
      </c>
      <c r="CJ1275">
        <v>3.77</v>
      </c>
      <c r="CK1275">
        <v>0.98</v>
      </c>
      <c r="CL1275">
        <v>2.59</v>
      </c>
      <c r="CM1275">
        <v>-0.31</v>
      </c>
      <c r="CN1275">
        <v>-0.83</v>
      </c>
      <c r="CO1275">
        <v>4564</v>
      </c>
      <c r="CP1275">
        <v>10216</v>
      </c>
      <c r="CQ1275" t="s">
        <v>6940</v>
      </c>
      <c r="CR1275">
        <v>518.29999999999995</v>
      </c>
      <c r="CS1275">
        <v>67.709999999999994</v>
      </c>
      <c r="CT1275">
        <v>7.46</v>
      </c>
      <c r="CU1275">
        <v>-173.5</v>
      </c>
      <c r="CV1275">
        <v>13.45</v>
      </c>
      <c r="CW1275">
        <v>0.63</v>
      </c>
      <c r="CX1275" t="s">
        <v>2792</v>
      </c>
      <c r="CY1275">
        <v>5.92</v>
      </c>
      <c r="CZ1275">
        <v>0</v>
      </c>
      <c r="DA1275">
        <v>2.65</v>
      </c>
      <c r="DB1275">
        <v>2.12</v>
      </c>
      <c r="DC1275">
        <v>-0.25</v>
      </c>
      <c r="DD1275">
        <v>79.02</v>
      </c>
      <c r="DE1275" t="s">
        <v>6941</v>
      </c>
      <c r="DF1275">
        <v>54.46</v>
      </c>
      <c r="DG1275">
        <v>24.3</v>
      </c>
      <c r="DH1275">
        <v>24.65</v>
      </c>
      <c r="DI1275">
        <v>0.46</v>
      </c>
      <c r="DJ1275">
        <v>1529</v>
      </c>
      <c r="DK1275">
        <v>2919</v>
      </c>
      <c r="DL1275" t="s">
        <v>120</v>
      </c>
      <c r="DM1275" t="s">
        <v>120</v>
      </c>
      <c r="DN1275" t="s">
        <v>120</v>
      </c>
    </row>
    <row r="1276" spans="1:118">
      <c r="A1276" t="str">
        <f>"002920"</f>
        <v>002920</v>
      </c>
      <c r="B1276" t="s">
        <v>6942</v>
      </c>
      <c r="C1276">
        <v>-5.16</v>
      </c>
      <c r="D1276">
        <v>-0.04</v>
      </c>
      <c r="E1276">
        <v>-0.78</v>
      </c>
      <c r="F1276">
        <v>397</v>
      </c>
      <c r="G1276" t="s">
        <v>6943</v>
      </c>
      <c r="H1276">
        <v>29732.67</v>
      </c>
      <c r="I1276">
        <v>79.650000000000006</v>
      </c>
      <c r="J1276" t="s">
        <v>120</v>
      </c>
      <c r="K1276" t="s">
        <v>6944</v>
      </c>
      <c r="L1276">
        <v>0.69</v>
      </c>
      <c r="M1276">
        <v>76.900000000000006</v>
      </c>
      <c r="N1276">
        <v>1.19</v>
      </c>
      <c r="O1276">
        <v>-0.44</v>
      </c>
      <c r="P1276">
        <v>80.72</v>
      </c>
      <c r="Q1276">
        <v>-5.32</v>
      </c>
      <c r="R1276">
        <v>76.77</v>
      </c>
      <c r="S1276">
        <v>80.45</v>
      </c>
      <c r="T1276">
        <v>38068</v>
      </c>
      <c r="U1276">
        <v>76.900000000000006</v>
      </c>
      <c r="V1276">
        <v>81.08</v>
      </c>
      <c r="W1276">
        <v>57.21</v>
      </c>
      <c r="X1276" t="s">
        <v>289</v>
      </c>
      <c r="Y1276" t="s">
        <v>547</v>
      </c>
      <c r="Z1276">
        <v>4.87</v>
      </c>
      <c r="AA1276">
        <v>78.099999999999994</v>
      </c>
      <c r="AB1276">
        <v>21301</v>
      </c>
      <c r="AC1276">
        <v>16767</v>
      </c>
      <c r="AD1276">
        <v>1.27</v>
      </c>
      <c r="AE1276">
        <v>35</v>
      </c>
      <c r="AF1276">
        <v>11</v>
      </c>
      <c r="AG1276" t="s">
        <v>120</v>
      </c>
      <c r="AH1276">
        <v>0</v>
      </c>
      <c r="AI1276" t="s">
        <v>120</v>
      </c>
      <c r="AJ1276">
        <v>5.5</v>
      </c>
      <c r="AK1276" t="s">
        <v>6945</v>
      </c>
      <c r="AL1276">
        <v>-3.24</v>
      </c>
      <c r="AM1276">
        <v>3203</v>
      </c>
      <c r="AN1276">
        <v>12</v>
      </c>
      <c r="AO1276">
        <v>2.0000000000000001E-4</v>
      </c>
      <c r="AP1276">
        <v>-2</v>
      </c>
      <c r="AQ1276">
        <v>-2.84</v>
      </c>
      <c r="AR1276">
        <v>-5.56</v>
      </c>
      <c r="AS1276">
        <v>-16.75</v>
      </c>
      <c r="AT1276">
        <v>-28.67</v>
      </c>
      <c r="AU1276">
        <v>-8.2799999999999994</v>
      </c>
      <c r="AV1276">
        <v>3</v>
      </c>
      <c r="AW1276">
        <v>1.66</v>
      </c>
      <c r="AX1276">
        <v>41.68</v>
      </c>
      <c r="AY1276">
        <v>67.75</v>
      </c>
      <c r="AZ1276">
        <v>86.06</v>
      </c>
      <c r="BA1276">
        <v>0.84</v>
      </c>
      <c r="BB1276" t="s">
        <v>125</v>
      </c>
      <c r="BF1276">
        <v>-3.67</v>
      </c>
      <c r="BG1276">
        <v>-4.41</v>
      </c>
      <c r="BH1276">
        <v>-4.7300000000000004</v>
      </c>
      <c r="BI1276">
        <v>0.17</v>
      </c>
      <c r="BJ1276">
        <v>20210824</v>
      </c>
      <c r="BK1276">
        <v>20171226</v>
      </c>
      <c r="BL1276">
        <v>5.5</v>
      </c>
      <c r="BM1276" t="s">
        <v>120</v>
      </c>
      <c r="BN1276" t="s">
        <v>120</v>
      </c>
      <c r="BO1276">
        <v>78.05</v>
      </c>
      <c r="BP1276">
        <v>76.89</v>
      </c>
      <c r="BQ1276">
        <v>48.41</v>
      </c>
      <c r="BR1276">
        <v>0.02</v>
      </c>
      <c r="BS1276">
        <v>37.94</v>
      </c>
      <c r="BT1276">
        <v>56.16</v>
      </c>
      <c r="BU1276">
        <v>11.68</v>
      </c>
      <c r="BV1276">
        <v>3</v>
      </c>
      <c r="BW1276">
        <v>25.8</v>
      </c>
      <c r="BX1276">
        <v>6.96</v>
      </c>
      <c r="BY1276">
        <v>13.74</v>
      </c>
      <c r="BZ1276">
        <v>17.14</v>
      </c>
      <c r="CA1276" t="s">
        <v>120</v>
      </c>
      <c r="CB1276">
        <v>20.7</v>
      </c>
      <c r="CC1276">
        <v>40.83</v>
      </c>
      <c r="CD1276">
        <v>30.67</v>
      </c>
      <c r="CE1276">
        <v>4.33</v>
      </c>
      <c r="CF1276">
        <v>-0.15</v>
      </c>
      <c r="CG1276">
        <v>4.3499999999999996</v>
      </c>
      <c r="CH1276">
        <v>3.69</v>
      </c>
      <c r="CI1276">
        <v>3.7</v>
      </c>
      <c r="CJ1276">
        <v>-4.18</v>
      </c>
      <c r="CK1276">
        <v>3.61</v>
      </c>
      <c r="CL1276">
        <v>18.88</v>
      </c>
      <c r="CM1276">
        <v>2.11</v>
      </c>
      <c r="CN1276">
        <v>1.06</v>
      </c>
      <c r="CO1276">
        <v>23508</v>
      </c>
      <c r="CP1276">
        <v>9751</v>
      </c>
      <c r="CQ1276" t="s">
        <v>6946</v>
      </c>
      <c r="CR1276">
        <v>61.01</v>
      </c>
      <c r="CS1276">
        <v>57.25</v>
      </c>
      <c r="CT1276">
        <v>8.74</v>
      </c>
      <c r="CU1276">
        <v>200.61</v>
      </c>
      <c r="CV1276">
        <v>10.36</v>
      </c>
      <c r="CW1276">
        <v>0.37</v>
      </c>
      <c r="CX1276" t="s">
        <v>1469</v>
      </c>
      <c r="CY1276">
        <v>8.8000000000000007</v>
      </c>
      <c r="CZ1276">
        <v>0</v>
      </c>
      <c r="DA1276">
        <v>3.76</v>
      </c>
      <c r="DB1276">
        <v>3.43</v>
      </c>
      <c r="DC1276">
        <v>0.38</v>
      </c>
      <c r="DD1276">
        <v>62.03</v>
      </c>
      <c r="DE1276" t="s">
        <v>4011</v>
      </c>
      <c r="DF1276">
        <v>24.88</v>
      </c>
      <c r="DG1276">
        <v>10.6</v>
      </c>
      <c r="DH1276">
        <v>9.0500000000000007</v>
      </c>
      <c r="DI1276">
        <v>3.92</v>
      </c>
      <c r="DJ1276">
        <v>4296</v>
      </c>
      <c r="DK1276">
        <v>2920</v>
      </c>
      <c r="DL1276" t="s">
        <v>120</v>
      </c>
      <c r="DM1276" t="s">
        <v>120</v>
      </c>
      <c r="DN1276" t="s">
        <v>120</v>
      </c>
    </row>
    <row r="1277" spans="1:118">
      <c r="A1277" t="str">
        <f>"002921"</f>
        <v>002921</v>
      </c>
      <c r="B1277" t="s">
        <v>6947</v>
      </c>
      <c r="C1277">
        <v>-0.98</v>
      </c>
      <c r="D1277">
        <v>0.06</v>
      </c>
      <c r="E1277">
        <v>-0.24</v>
      </c>
      <c r="F1277">
        <v>58</v>
      </c>
      <c r="G1277" t="s">
        <v>6948</v>
      </c>
      <c r="H1277">
        <v>2784.87</v>
      </c>
      <c r="I1277">
        <v>1.47</v>
      </c>
      <c r="J1277" t="s">
        <v>120</v>
      </c>
      <c r="K1277" t="s">
        <v>6949</v>
      </c>
      <c r="L1277">
        <v>2.0699999999999998</v>
      </c>
      <c r="M1277">
        <v>16.190000000000001</v>
      </c>
      <c r="N1277">
        <v>1.19</v>
      </c>
      <c r="O1277">
        <v>2.5099999999999998</v>
      </c>
      <c r="P1277">
        <v>16.760000000000002</v>
      </c>
      <c r="Q1277">
        <v>-1.53</v>
      </c>
      <c r="R1277">
        <v>16.100000000000001</v>
      </c>
      <c r="S1277">
        <v>16.309999999999999</v>
      </c>
      <c r="T1277">
        <v>16918</v>
      </c>
      <c r="U1277">
        <v>16.2</v>
      </c>
      <c r="V1277">
        <v>16.350000000000001</v>
      </c>
      <c r="W1277">
        <v>17.829999999999998</v>
      </c>
      <c r="X1277" t="s">
        <v>289</v>
      </c>
      <c r="Y1277" t="s">
        <v>638</v>
      </c>
      <c r="Z1277">
        <v>4.04</v>
      </c>
      <c r="AA1277">
        <v>16.46</v>
      </c>
      <c r="AB1277">
        <v>9559</v>
      </c>
      <c r="AC1277">
        <v>7359</v>
      </c>
      <c r="AD1277">
        <v>1.3</v>
      </c>
      <c r="AE1277">
        <v>12</v>
      </c>
      <c r="AF1277">
        <v>7</v>
      </c>
      <c r="AG1277" t="s">
        <v>120</v>
      </c>
      <c r="AH1277">
        <v>0</v>
      </c>
      <c r="AI1277" t="s">
        <v>120</v>
      </c>
      <c r="AJ1277">
        <v>0.82</v>
      </c>
      <c r="AK1277" t="s">
        <v>6950</v>
      </c>
      <c r="AL1277">
        <v>0.94</v>
      </c>
      <c r="AM1277">
        <v>975</v>
      </c>
      <c r="AN1277">
        <v>17</v>
      </c>
      <c r="AO1277">
        <v>2.0999999999999999E-3</v>
      </c>
      <c r="AP1277">
        <v>-1</v>
      </c>
      <c r="AQ1277">
        <v>1.74</v>
      </c>
      <c r="AR1277">
        <v>-1.82</v>
      </c>
      <c r="AS1277">
        <v>6.66</v>
      </c>
      <c r="AT1277">
        <v>2.72</v>
      </c>
      <c r="AU1277">
        <v>10.08</v>
      </c>
      <c r="AV1277">
        <v>0</v>
      </c>
      <c r="AW1277">
        <v>3.09</v>
      </c>
      <c r="AX1277">
        <v>51.59</v>
      </c>
      <c r="AY1277">
        <v>20.170000000000002</v>
      </c>
      <c r="AZ1277">
        <v>24.11</v>
      </c>
      <c r="BA1277">
        <v>0.63</v>
      </c>
      <c r="BB1277" t="s">
        <v>143</v>
      </c>
      <c r="BF1277">
        <v>0.68</v>
      </c>
      <c r="BG1277">
        <v>-0.74</v>
      </c>
      <c r="BH1277">
        <v>-3.4</v>
      </c>
      <c r="BI1277">
        <v>0.56000000000000005</v>
      </c>
      <c r="BJ1277">
        <v>20210825</v>
      </c>
      <c r="BK1277">
        <v>20171227</v>
      </c>
      <c r="BL1277">
        <v>1.06</v>
      </c>
      <c r="BM1277" t="s">
        <v>120</v>
      </c>
      <c r="BN1277" t="s">
        <v>120</v>
      </c>
      <c r="BO1277">
        <v>17.170000000000002</v>
      </c>
      <c r="BP1277">
        <v>16.190000000000001</v>
      </c>
      <c r="BQ1277">
        <v>8.7100000000000009</v>
      </c>
      <c r="BR1277">
        <v>0.34</v>
      </c>
      <c r="BS1277">
        <v>47.28</v>
      </c>
      <c r="BT1277">
        <v>8.41</v>
      </c>
      <c r="BU1277">
        <v>5.75</v>
      </c>
      <c r="BV1277">
        <v>0.67</v>
      </c>
      <c r="BW1277">
        <v>4.67</v>
      </c>
      <c r="BX1277">
        <v>1.49</v>
      </c>
      <c r="BY1277">
        <v>3.4</v>
      </c>
      <c r="BZ1277">
        <v>2.44</v>
      </c>
      <c r="CA1277" t="s">
        <v>120</v>
      </c>
      <c r="CB1277">
        <v>4.18</v>
      </c>
      <c r="CC1277">
        <v>5.86</v>
      </c>
      <c r="CD1277">
        <v>4.4000000000000004</v>
      </c>
      <c r="CE1277">
        <v>0.6</v>
      </c>
      <c r="CF1277">
        <v>0</v>
      </c>
      <c r="CG1277">
        <v>0.61</v>
      </c>
      <c r="CH1277">
        <v>0.48</v>
      </c>
      <c r="CI1277">
        <v>0.48</v>
      </c>
      <c r="CJ1277">
        <v>-0.16</v>
      </c>
      <c r="CK1277">
        <v>0.45</v>
      </c>
      <c r="CL1277">
        <v>2.39</v>
      </c>
      <c r="CM1277">
        <v>0.43</v>
      </c>
      <c r="CN1277">
        <v>-0.84</v>
      </c>
      <c r="CO1277">
        <v>9858</v>
      </c>
      <c r="CP1277">
        <v>5552</v>
      </c>
      <c r="CQ1277" t="s">
        <v>6951</v>
      </c>
      <c r="CR1277">
        <v>41.33</v>
      </c>
      <c r="CS1277">
        <v>40.22</v>
      </c>
      <c r="CT1277">
        <v>2.2000000000000002</v>
      </c>
      <c r="CU1277">
        <v>39.590000000000003</v>
      </c>
      <c r="CV1277">
        <v>2.93</v>
      </c>
      <c r="CW1277">
        <v>1.88</v>
      </c>
      <c r="CX1277" t="s">
        <v>1631</v>
      </c>
      <c r="CY1277">
        <v>7.37</v>
      </c>
      <c r="CZ1277">
        <v>7.37</v>
      </c>
      <c r="DA1277">
        <v>3.94</v>
      </c>
      <c r="DB1277">
        <v>2.25</v>
      </c>
      <c r="DC1277">
        <v>0.41</v>
      </c>
      <c r="DD1277">
        <v>50.72</v>
      </c>
      <c r="DE1277" t="s">
        <v>6753</v>
      </c>
      <c r="DF1277">
        <v>24.94</v>
      </c>
      <c r="DG1277">
        <v>10.31</v>
      </c>
      <c r="DH1277">
        <v>8.2100000000000009</v>
      </c>
      <c r="DI1277">
        <v>0.15</v>
      </c>
      <c r="DJ1277">
        <v>1747</v>
      </c>
      <c r="DK1277">
        <v>2921</v>
      </c>
      <c r="DL1277" t="s">
        <v>120</v>
      </c>
      <c r="DM1277" t="s">
        <v>120</v>
      </c>
      <c r="DN1277" t="s">
        <v>120</v>
      </c>
    </row>
    <row r="1278" spans="1:118">
      <c r="A1278" t="str">
        <f>"002922"</f>
        <v>002922</v>
      </c>
      <c r="B1278" t="s">
        <v>6952</v>
      </c>
      <c r="C1278">
        <v>4.46</v>
      </c>
      <c r="D1278">
        <v>-0.06</v>
      </c>
      <c r="E1278">
        <v>-2.72</v>
      </c>
      <c r="F1278">
        <v>5810</v>
      </c>
      <c r="G1278" t="s">
        <v>6953</v>
      </c>
      <c r="H1278">
        <v>62594.39</v>
      </c>
      <c r="I1278">
        <v>1043.32</v>
      </c>
      <c r="J1278" t="s">
        <v>120</v>
      </c>
      <c r="K1278" t="s">
        <v>6954</v>
      </c>
      <c r="L1278">
        <v>15.67</v>
      </c>
      <c r="M1278">
        <v>14.98</v>
      </c>
      <c r="N1278">
        <v>1.58</v>
      </c>
      <c r="O1278">
        <v>9.9700000000000006</v>
      </c>
      <c r="P1278">
        <v>15.77</v>
      </c>
      <c r="Q1278">
        <v>-3.77</v>
      </c>
      <c r="R1278">
        <v>13.8</v>
      </c>
      <c r="S1278">
        <v>13.95</v>
      </c>
      <c r="T1278">
        <v>433629</v>
      </c>
      <c r="U1278">
        <v>14.98</v>
      </c>
      <c r="V1278">
        <v>14.34</v>
      </c>
      <c r="W1278">
        <v>15.61</v>
      </c>
      <c r="X1278" t="s">
        <v>394</v>
      </c>
      <c r="Y1278" t="s">
        <v>547</v>
      </c>
      <c r="Z1278">
        <v>13.74</v>
      </c>
      <c r="AA1278">
        <v>14.44</v>
      </c>
      <c r="AB1278">
        <v>213019</v>
      </c>
      <c r="AC1278">
        <v>220610</v>
      </c>
      <c r="AD1278">
        <v>0.97</v>
      </c>
      <c r="AE1278">
        <v>207</v>
      </c>
      <c r="AF1278">
        <v>375</v>
      </c>
      <c r="AG1278" t="s">
        <v>120</v>
      </c>
      <c r="AH1278">
        <v>0.43</v>
      </c>
      <c r="AI1278" t="s">
        <v>120</v>
      </c>
      <c r="AJ1278">
        <v>2.77</v>
      </c>
      <c r="AK1278" t="s">
        <v>6955</v>
      </c>
      <c r="AL1278">
        <v>6.38</v>
      </c>
      <c r="AM1278">
        <v>4241</v>
      </c>
      <c r="AN1278">
        <v>102</v>
      </c>
      <c r="AO1278">
        <v>3.7000000000000002E-3</v>
      </c>
      <c r="AP1278">
        <v>3</v>
      </c>
      <c r="AQ1278">
        <v>5.99</v>
      </c>
      <c r="AR1278">
        <v>21.79</v>
      </c>
      <c r="AS1278">
        <v>25.99</v>
      </c>
      <c r="AT1278">
        <v>20.41</v>
      </c>
      <c r="AU1278">
        <v>92.06</v>
      </c>
      <c r="AV1278">
        <v>10</v>
      </c>
      <c r="AW1278">
        <v>24.83</v>
      </c>
      <c r="AX1278">
        <v>58.94</v>
      </c>
      <c r="AY1278">
        <v>23.8</v>
      </c>
      <c r="AZ1278">
        <v>82.61</v>
      </c>
      <c r="BA1278">
        <v>0.52</v>
      </c>
      <c r="BB1278" t="s">
        <v>751</v>
      </c>
      <c r="BF1278">
        <v>0.66</v>
      </c>
      <c r="BG1278">
        <v>7.38</v>
      </c>
      <c r="BH1278">
        <v>-5.01</v>
      </c>
      <c r="BI1278">
        <v>8.5500000000000007</v>
      </c>
      <c r="BJ1278">
        <v>20210913</v>
      </c>
      <c r="BK1278">
        <v>20171229</v>
      </c>
      <c r="BL1278">
        <v>2.96</v>
      </c>
      <c r="BM1278" t="s">
        <v>120</v>
      </c>
      <c r="BN1278" t="s">
        <v>120</v>
      </c>
      <c r="BO1278">
        <v>25.55</v>
      </c>
      <c r="BP1278">
        <v>14.97</v>
      </c>
      <c r="BQ1278">
        <v>15.5</v>
      </c>
      <c r="BR1278">
        <v>0.11</v>
      </c>
      <c r="BS1278">
        <v>38.880000000000003</v>
      </c>
      <c r="BT1278">
        <v>18.07</v>
      </c>
      <c r="BU1278">
        <v>5.41</v>
      </c>
      <c r="BV1278">
        <v>0.63</v>
      </c>
      <c r="BW1278">
        <v>9.7100000000000009</v>
      </c>
      <c r="BX1278">
        <v>3.37</v>
      </c>
      <c r="BY1278">
        <v>3.9</v>
      </c>
      <c r="BZ1278">
        <v>4.97</v>
      </c>
      <c r="CA1278" t="s">
        <v>120</v>
      </c>
      <c r="CB1278">
        <v>8.25</v>
      </c>
      <c r="CC1278">
        <v>9.0399999999999991</v>
      </c>
      <c r="CD1278">
        <v>7.53</v>
      </c>
      <c r="CE1278">
        <v>1.62</v>
      </c>
      <c r="CF1278">
        <v>0.05</v>
      </c>
      <c r="CG1278">
        <v>1.62</v>
      </c>
      <c r="CH1278">
        <v>1.38</v>
      </c>
      <c r="CI1278">
        <v>1.42</v>
      </c>
      <c r="CJ1278">
        <v>0.64</v>
      </c>
      <c r="CK1278">
        <v>0.22</v>
      </c>
      <c r="CL1278">
        <v>3.4</v>
      </c>
      <c r="CM1278">
        <v>-1.08</v>
      </c>
      <c r="CN1278">
        <v>-0.7</v>
      </c>
      <c r="CO1278">
        <v>30678</v>
      </c>
      <c r="CP1278">
        <v>5693</v>
      </c>
      <c r="CQ1278" t="s">
        <v>6956</v>
      </c>
      <c r="CR1278">
        <v>841.8</v>
      </c>
      <c r="CS1278">
        <v>69.67</v>
      </c>
      <c r="CT1278">
        <v>2.86</v>
      </c>
      <c r="CU1278">
        <v>-41.28</v>
      </c>
      <c r="CV1278">
        <v>4.91</v>
      </c>
      <c r="CW1278">
        <v>0.82</v>
      </c>
      <c r="CX1278" t="s">
        <v>780</v>
      </c>
      <c r="CY1278">
        <v>5.23</v>
      </c>
      <c r="CZ1278">
        <v>0</v>
      </c>
      <c r="DA1278">
        <v>2.78</v>
      </c>
      <c r="DB1278">
        <v>1.1499999999999999</v>
      </c>
      <c r="DC1278">
        <v>-0.36</v>
      </c>
      <c r="DD1278">
        <v>60.69</v>
      </c>
      <c r="DE1278" t="s">
        <v>6957</v>
      </c>
      <c r="DF1278">
        <v>16.690000000000001</v>
      </c>
      <c r="DG1278">
        <v>17.93</v>
      </c>
      <c r="DH1278">
        <v>15.72</v>
      </c>
      <c r="DI1278">
        <v>0.38</v>
      </c>
      <c r="DJ1278">
        <v>2457</v>
      </c>
      <c r="DK1278">
        <v>2922</v>
      </c>
      <c r="DL1278">
        <v>20210916</v>
      </c>
      <c r="DM1278">
        <v>14.34</v>
      </c>
      <c r="DN1278">
        <v>4.46</v>
      </c>
    </row>
    <row r="1279" spans="1:118">
      <c r="A1279" t="str">
        <f>"002923"</f>
        <v>002923</v>
      </c>
      <c r="B1279" t="s">
        <v>6958</v>
      </c>
      <c r="C1279">
        <v>-1.29</v>
      </c>
      <c r="D1279">
        <v>-0.08</v>
      </c>
      <c r="E1279">
        <v>-0.35</v>
      </c>
      <c r="F1279">
        <v>133</v>
      </c>
      <c r="G1279" t="s">
        <v>6959</v>
      </c>
      <c r="H1279">
        <v>7918.02</v>
      </c>
      <c r="I1279">
        <v>27.95</v>
      </c>
      <c r="J1279" t="s">
        <v>120</v>
      </c>
      <c r="K1279" t="s">
        <v>340</v>
      </c>
      <c r="L1279">
        <v>1.63</v>
      </c>
      <c r="M1279">
        <v>33.76</v>
      </c>
      <c r="N1279">
        <v>0.52</v>
      </c>
      <c r="O1279">
        <v>3.36</v>
      </c>
      <c r="P1279">
        <v>35.35</v>
      </c>
      <c r="Q1279">
        <v>-2.34</v>
      </c>
      <c r="R1279">
        <v>33.4</v>
      </c>
      <c r="S1279">
        <v>34.08</v>
      </c>
      <c r="T1279">
        <v>23087</v>
      </c>
      <c r="U1279">
        <v>33.76</v>
      </c>
      <c r="V1279">
        <v>34.200000000000003</v>
      </c>
      <c r="W1279">
        <v>48.54</v>
      </c>
      <c r="X1279" t="s">
        <v>569</v>
      </c>
      <c r="Y1279" t="s">
        <v>547</v>
      </c>
      <c r="Z1279">
        <v>5.7</v>
      </c>
      <c r="AA1279">
        <v>34.299999999999997</v>
      </c>
      <c r="AB1279">
        <v>13263</v>
      </c>
      <c r="AC1279">
        <v>9824</v>
      </c>
      <c r="AD1279">
        <v>1.35</v>
      </c>
      <c r="AE1279">
        <v>56</v>
      </c>
      <c r="AF1279">
        <v>26</v>
      </c>
      <c r="AG1279" t="s">
        <v>120</v>
      </c>
      <c r="AH1279">
        <v>0.01</v>
      </c>
      <c r="AI1279" t="s">
        <v>120</v>
      </c>
      <c r="AJ1279">
        <v>1.42</v>
      </c>
      <c r="AK1279" t="s">
        <v>6960</v>
      </c>
      <c r="AL1279">
        <v>0.63</v>
      </c>
      <c r="AM1279">
        <v>1839</v>
      </c>
      <c r="AN1279">
        <v>13</v>
      </c>
      <c r="AO1279">
        <v>8.9999999999999998E-4</v>
      </c>
      <c r="AP1279">
        <v>-1</v>
      </c>
      <c r="AQ1279">
        <v>3.86</v>
      </c>
      <c r="AR1279">
        <v>1.26</v>
      </c>
      <c r="AS1279">
        <v>26.49</v>
      </c>
      <c r="AT1279">
        <v>46.46</v>
      </c>
      <c r="AU1279">
        <v>114.62</v>
      </c>
      <c r="AV1279">
        <v>4</v>
      </c>
      <c r="AW1279">
        <v>3.19</v>
      </c>
      <c r="AX1279">
        <v>38.909999999999997</v>
      </c>
      <c r="AY1279">
        <v>51.19</v>
      </c>
      <c r="AZ1279">
        <v>46.75</v>
      </c>
      <c r="BA1279">
        <v>1.6</v>
      </c>
      <c r="BB1279" t="s">
        <v>143</v>
      </c>
      <c r="BF1279">
        <v>0.28000000000000003</v>
      </c>
      <c r="BG1279">
        <v>-0.94</v>
      </c>
      <c r="BH1279">
        <v>-4.5</v>
      </c>
      <c r="BI1279">
        <v>1.08</v>
      </c>
      <c r="BJ1279">
        <v>20210826</v>
      </c>
      <c r="BK1279">
        <v>20180105</v>
      </c>
      <c r="BL1279">
        <v>1.86</v>
      </c>
      <c r="BM1279" t="s">
        <v>120</v>
      </c>
      <c r="BN1279" t="s">
        <v>120</v>
      </c>
      <c r="BO1279">
        <v>16.510000000000002</v>
      </c>
      <c r="BP1279">
        <v>33.74</v>
      </c>
      <c r="BQ1279">
        <v>10.48</v>
      </c>
      <c r="BR1279" t="s">
        <v>120</v>
      </c>
      <c r="BS1279">
        <v>36.54</v>
      </c>
      <c r="BT1279">
        <v>7.8</v>
      </c>
      <c r="BU1279">
        <v>4.8899999999999997</v>
      </c>
      <c r="BV1279">
        <v>0.72</v>
      </c>
      <c r="BW1279">
        <v>2.54</v>
      </c>
      <c r="BX1279">
        <v>2.4500000000000002</v>
      </c>
      <c r="BY1279">
        <v>3.31</v>
      </c>
      <c r="BZ1279">
        <v>1.1200000000000001</v>
      </c>
      <c r="CA1279" t="s">
        <v>120</v>
      </c>
      <c r="CB1279">
        <v>3.58</v>
      </c>
      <c r="CC1279">
        <v>5.75</v>
      </c>
      <c r="CD1279">
        <v>2.1800000000000002</v>
      </c>
      <c r="CE1279">
        <v>0.7</v>
      </c>
      <c r="CF1279">
        <v>0</v>
      </c>
      <c r="CG1279">
        <v>0.7</v>
      </c>
      <c r="CH1279">
        <v>0.65</v>
      </c>
      <c r="CI1279">
        <v>0.65</v>
      </c>
      <c r="CJ1279">
        <v>-0.44</v>
      </c>
      <c r="CK1279">
        <v>0.6</v>
      </c>
      <c r="CL1279">
        <v>4.43</v>
      </c>
      <c r="CM1279">
        <v>0.15</v>
      </c>
      <c r="CN1279">
        <v>0.21</v>
      </c>
      <c r="CO1279">
        <v>9451</v>
      </c>
      <c r="CP1279">
        <v>7646</v>
      </c>
      <c r="CQ1279" t="s">
        <v>6961</v>
      </c>
      <c r="CR1279">
        <v>-15.43</v>
      </c>
      <c r="CS1279">
        <v>-12.31</v>
      </c>
      <c r="CT1279">
        <v>5.99</v>
      </c>
      <c r="CU1279">
        <v>422.6</v>
      </c>
      <c r="CV1279">
        <v>10.91</v>
      </c>
      <c r="CW1279">
        <v>1.17</v>
      </c>
      <c r="CX1279" t="s">
        <v>269</v>
      </c>
      <c r="CY1279">
        <v>5.64</v>
      </c>
      <c r="CZ1279">
        <v>5.64</v>
      </c>
      <c r="DA1279">
        <v>1.93</v>
      </c>
      <c r="DB1279">
        <v>2.39</v>
      </c>
      <c r="DC1279">
        <v>0.08</v>
      </c>
      <c r="DD1279">
        <v>63.46</v>
      </c>
      <c r="DE1279" t="s">
        <v>6338</v>
      </c>
      <c r="DF1279">
        <v>62.1</v>
      </c>
      <c r="DG1279">
        <v>12.26</v>
      </c>
      <c r="DH1279">
        <v>11.24</v>
      </c>
      <c r="DI1279">
        <v>0.4</v>
      </c>
      <c r="DJ1279">
        <v>1479</v>
      </c>
      <c r="DK1279">
        <v>2923</v>
      </c>
      <c r="DL1279" t="s">
        <v>120</v>
      </c>
      <c r="DM1279" t="s">
        <v>120</v>
      </c>
      <c r="DN1279" t="s">
        <v>120</v>
      </c>
    </row>
    <row r="1280" spans="1:118">
      <c r="A1280" t="str">
        <f>"002925"</f>
        <v>002925</v>
      </c>
      <c r="B1280" t="s">
        <v>6962</v>
      </c>
      <c r="C1280">
        <v>-2.68</v>
      </c>
      <c r="D1280">
        <v>0.59</v>
      </c>
      <c r="E1280">
        <v>0.06</v>
      </c>
      <c r="F1280">
        <v>954</v>
      </c>
      <c r="G1280" t="s">
        <v>6963</v>
      </c>
      <c r="H1280">
        <v>4735.84</v>
      </c>
      <c r="I1280">
        <v>14.59</v>
      </c>
      <c r="J1280" t="s">
        <v>120</v>
      </c>
      <c r="K1280" t="s">
        <v>6964</v>
      </c>
      <c r="L1280">
        <v>0.21</v>
      </c>
      <c r="M1280">
        <v>30.85</v>
      </c>
      <c r="N1280">
        <v>1.04</v>
      </c>
      <c r="O1280">
        <v>0.09</v>
      </c>
      <c r="P1280">
        <v>31.73</v>
      </c>
      <c r="Q1280">
        <v>-3.28</v>
      </c>
      <c r="R1280">
        <v>30.66</v>
      </c>
      <c r="S1280">
        <v>31.72</v>
      </c>
      <c r="T1280">
        <v>15250</v>
      </c>
      <c r="U1280">
        <v>30.85</v>
      </c>
      <c r="V1280">
        <v>31.7</v>
      </c>
      <c r="W1280">
        <v>21.14</v>
      </c>
      <c r="X1280" t="s">
        <v>229</v>
      </c>
      <c r="Y1280" t="s">
        <v>937</v>
      </c>
      <c r="Z1280">
        <v>3.38</v>
      </c>
      <c r="AA1280">
        <v>31.06</v>
      </c>
      <c r="AB1280">
        <v>10221</v>
      </c>
      <c r="AC1280">
        <v>5029</v>
      </c>
      <c r="AD1280">
        <v>2.0299999999999998</v>
      </c>
      <c r="AE1280">
        <v>26</v>
      </c>
      <c r="AF1280">
        <v>198</v>
      </c>
      <c r="AG1280" t="s">
        <v>120</v>
      </c>
      <c r="AH1280">
        <v>0</v>
      </c>
      <c r="AI1280" t="s">
        <v>120</v>
      </c>
      <c r="AJ1280">
        <v>7.29</v>
      </c>
      <c r="AK1280" t="s">
        <v>6965</v>
      </c>
      <c r="AL1280">
        <v>-0.77</v>
      </c>
      <c r="AM1280">
        <v>1743</v>
      </c>
      <c r="AN1280">
        <v>9</v>
      </c>
      <c r="AO1280">
        <v>1E-4</v>
      </c>
      <c r="AP1280">
        <v>-1</v>
      </c>
      <c r="AQ1280">
        <v>0.44</v>
      </c>
      <c r="AR1280">
        <v>-2.78</v>
      </c>
      <c r="AS1280">
        <v>-16.170000000000002</v>
      </c>
      <c r="AT1280">
        <v>-20.16</v>
      </c>
      <c r="AU1280">
        <v>-17.190000000000001</v>
      </c>
      <c r="AV1280">
        <v>0</v>
      </c>
      <c r="AW1280">
        <v>0.65</v>
      </c>
      <c r="AX1280">
        <v>29.97</v>
      </c>
      <c r="AY1280">
        <v>20.54</v>
      </c>
      <c r="AZ1280">
        <v>24.18</v>
      </c>
      <c r="BA1280">
        <v>0.21</v>
      </c>
      <c r="BB1280" t="s">
        <v>143</v>
      </c>
      <c r="BF1280">
        <v>-2.0299999999999998</v>
      </c>
      <c r="BG1280">
        <v>-2.74</v>
      </c>
      <c r="BH1280">
        <v>-2.77</v>
      </c>
      <c r="BI1280">
        <v>0.62</v>
      </c>
      <c r="BJ1280">
        <v>20210821</v>
      </c>
      <c r="BK1280">
        <v>20180115</v>
      </c>
      <c r="BL1280">
        <v>7.82</v>
      </c>
      <c r="BM1280" t="s">
        <v>120</v>
      </c>
      <c r="BN1280" t="s">
        <v>120</v>
      </c>
      <c r="BO1280">
        <v>78.02</v>
      </c>
      <c r="BP1280">
        <v>30.68</v>
      </c>
      <c r="BQ1280">
        <v>49.05</v>
      </c>
      <c r="BR1280">
        <v>1.42</v>
      </c>
      <c r="BS1280">
        <v>35.32</v>
      </c>
      <c r="BT1280">
        <v>57.31</v>
      </c>
      <c r="BU1280">
        <v>8.2200000000000006</v>
      </c>
      <c r="BV1280">
        <v>0.68</v>
      </c>
      <c r="BW1280">
        <v>18.66</v>
      </c>
      <c r="BX1280">
        <v>17.34</v>
      </c>
      <c r="BY1280">
        <v>12.64</v>
      </c>
      <c r="BZ1280">
        <v>18.07</v>
      </c>
      <c r="CA1280" t="s">
        <v>120</v>
      </c>
      <c r="CB1280">
        <v>16.62</v>
      </c>
      <c r="CC1280">
        <v>36.53</v>
      </c>
      <c r="CD1280">
        <v>26.33</v>
      </c>
      <c r="CE1280">
        <v>6.66</v>
      </c>
      <c r="CF1280">
        <v>0.44</v>
      </c>
      <c r="CG1280">
        <v>6.66</v>
      </c>
      <c r="CH1280">
        <v>5.83</v>
      </c>
      <c r="CI1280">
        <v>5.7</v>
      </c>
      <c r="CJ1280">
        <v>-0.85</v>
      </c>
      <c r="CK1280">
        <v>5.17</v>
      </c>
      <c r="CL1280">
        <v>23.26</v>
      </c>
      <c r="CM1280">
        <v>2.98</v>
      </c>
      <c r="CN1280">
        <v>4.55</v>
      </c>
      <c r="CO1280">
        <v>19688</v>
      </c>
      <c r="CP1280">
        <v>11900</v>
      </c>
      <c r="CQ1280" t="s">
        <v>6966</v>
      </c>
      <c r="CR1280">
        <v>46.64</v>
      </c>
      <c r="CS1280">
        <v>113.4</v>
      </c>
      <c r="CT1280">
        <v>4.92</v>
      </c>
      <c r="CU1280">
        <v>81.03</v>
      </c>
      <c r="CV1280">
        <v>6.6</v>
      </c>
      <c r="CW1280">
        <v>1.86</v>
      </c>
      <c r="CX1280" t="s">
        <v>6967</v>
      </c>
      <c r="CY1280">
        <v>6.28</v>
      </c>
      <c r="CZ1280">
        <v>6.28</v>
      </c>
      <c r="DA1280">
        <v>2.13</v>
      </c>
      <c r="DB1280">
        <v>2.98</v>
      </c>
      <c r="DC1280">
        <v>0.38</v>
      </c>
      <c r="DD1280">
        <v>62.87</v>
      </c>
      <c r="DE1280" t="s">
        <v>6968</v>
      </c>
      <c r="DF1280">
        <v>27.93</v>
      </c>
      <c r="DG1280">
        <v>18.239999999999998</v>
      </c>
      <c r="DH1280">
        <v>15.61</v>
      </c>
      <c r="DI1280">
        <v>1.78</v>
      </c>
      <c r="DJ1280">
        <v>5737</v>
      </c>
      <c r="DK1280">
        <v>2925</v>
      </c>
      <c r="DL1280" t="s">
        <v>120</v>
      </c>
      <c r="DM1280" t="s">
        <v>120</v>
      </c>
      <c r="DN1280" t="s">
        <v>120</v>
      </c>
    </row>
    <row r="1281" spans="1:118">
      <c r="A1281" t="str">
        <f>"002926"</f>
        <v>002926</v>
      </c>
      <c r="B1281" t="s">
        <v>6969</v>
      </c>
      <c r="C1281">
        <v>-3.06</v>
      </c>
      <c r="D1281">
        <v>-0.4</v>
      </c>
      <c r="E1281">
        <v>-0.2</v>
      </c>
      <c r="F1281">
        <v>6382</v>
      </c>
      <c r="G1281" t="s">
        <v>6970</v>
      </c>
      <c r="H1281">
        <v>30937.61</v>
      </c>
      <c r="I1281">
        <v>161.05000000000001</v>
      </c>
      <c r="J1281" t="s">
        <v>120</v>
      </c>
      <c r="K1281" t="s">
        <v>6971</v>
      </c>
      <c r="L1281">
        <v>1.18</v>
      </c>
      <c r="M1281">
        <v>9.82</v>
      </c>
      <c r="N1281">
        <v>0.84</v>
      </c>
      <c r="O1281">
        <v>0.49</v>
      </c>
      <c r="P1281">
        <v>10.18</v>
      </c>
      <c r="Q1281">
        <v>-3.06</v>
      </c>
      <c r="R1281">
        <v>9.82</v>
      </c>
      <c r="S1281">
        <v>10.11</v>
      </c>
      <c r="T1281">
        <v>309615</v>
      </c>
      <c r="U1281">
        <v>9.83</v>
      </c>
      <c r="V1281">
        <v>10.130000000000001</v>
      </c>
      <c r="W1281">
        <v>13.86</v>
      </c>
      <c r="X1281" t="s">
        <v>616</v>
      </c>
      <c r="Y1281" t="s">
        <v>578</v>
      </c>
      <c r="Z1281">
        <v>3.55</v>
      </c>
      <c r="AA1281">
        <v>9.99</v>
      </c>
      <c r="AB1281">
        <v>180249</v>
      </c>
      <c r="AC1281">
        <v>129366</v>
      </c>
      <c r="AD1281">
        <v>1.39</v>
      </c>
      <c r="AE1281">
        <v>95</v>
      </c>
      <c r="AF1281">
        <v>113</v>
      </c>
      <c r="AG1281" t="s">
        <v>120</v>
      </c>
      <c r="AH1281">
        <v>0.01</v>
      </c>
      <c r="AI1281" t="s">
        <v>120</v>
      </c>
      <c r="AJ1281">
        <v>26.25</v>
      </c>
      <c r="AK1281" t="s">
        <v>6971</v>
      </c>
      <c r="AL1281">
        <v>-1.1499999999999999</v>
      </c>
      <c r="AM1281">
        <v>3621</v>
      </c>
      <c r="AN1281">
        <v>86</v>
      </c>
      <c r="AO1281">
        <v>2.9999999999999997E-4</v>
      </c>
      <c r="AP1281">
        <v>-1</v>
      </c>
      <c r="AQ1281">
        <v>2.0099999999999998</v>
      </c>
      <c r="AR1281">
        <v>-4.1100000000000003</v>
      </c>
      <c r="AS1281">
        <v>0.73</v>
      </c>
      <c r="AT1281">
        <v>4.8099999999999996</v>
      </c>
      <c r="AU1281">
        <v>-20.61</v>
      </c>
      <c r="AV1281">
        <v>0</v>
      </c>
      <c r="AW1281">
        <v>2.21</v>
      </c>
      <c r="AX1281">
        <v>53.34</v>
      </c>
      <c r="AY1281">
        <v>13.94</v>
      </c>
      <c r="AZ1281">
        <v>13.99</v>
      </c>
      <c r="BA1281">
        <v>0.4</v>
      </c>
      <c r="BB1281" t="s">
        <v>184</v>
      </c>
      <c r="BF1281">
        <v>-1.36</v>
      </c>
      <c r="BG1281">
        <v>-2.87</v>
      </c>
      <c r="BH1281">
        <v>-3.54</v>
      </c>
      <c r="BI1281">
        <v>0</v>
      </c>
      <c r="BJ1281">
        <v>20210813</v>
      </c>
      <c r="BK1281">
        <v>20180205</v>
      </c>
      <c r="BL1281">
        <v>26.25</v>
      </c>
      <c r="BM1281" t="s">
        <v>120</v>
      </c>
      <c r="BN1281" t="s">
        <v>120</v>
      </c>
      <c r="BO1281">
        <v>843.08</v>
      </c>
      <c r="BP1281">
        <v>9.82</v>
      </c>
      <c r="BQ1281">
        <v>219.95</v>
      </c>
      <c r="BR1281">
        <v>0.03</v>
      </c>
      <c r="BS1281">
        <v>73.91</v>
      </c>
      <c r="BT1281">
        <v>0</v>
      </c>
      <c r="BU1281">
        <v>5.89</v>
      </c>
      <c r="BV1281">
        <v>0.78</v>
      </c>
      <c r="BW1281">
        <v>0</v>
      </c>
      <c r="BX1281">
        <v>203.02</v>
      </c>
      <c r="BY1281">
        <v>0</v>
      </c>
      <c r="BZ1281">
        <v>0</v>
      </c>
      <c r="CA1281" t="s">
        <v>120</v>
      </c>
      <c r="CB1281">
        <v>81.14</v>
      </c>
      <c r="CC1281">
        <v>25.08</v>
      </c>
      <c r="CD1281">
        <v>0</v>
      </c>
      <c r="CE1281">
        <v>12.25</v>
      </c>
      <c r="CF1281">
        <v>8.9600000000000009</v>
      </c>
      <c r="CG1281">
        <v>12.23</v>
      </c>
      <c r="CH1281">
        <v>9.81</v>
      </c>
      <c r="CI1281">
        <v>9.3000000000000007</v>
      </c>
      <c r="CJ1281">
        <v>-0.31</v>
      </c>
      <c r="CK1281">
        <v>9.25</v>
      </c>
      <c r="CL1281">
        <v>72.010000000000005</v>
      </c>
      <c r="CM1281">
        <v>46.94</v>
      </c>
      <c r="CN1281">
        <v>27.17</v>
      </c>
      <c r="CO1281">
        <v>109364</v>
      </c>
      <c r="CP1281">
        <v>12802</v>
      </c>
      <c r="CQ1281" t="s">
        <v>248</v>
      </c>
      <c r="CR1281">
        <v>0.81</v>
      </c>
      <c r="CS1281">
        <v>19.79</v>
      </c>
      <c r="CT1281">
        <v>1.17</v>
      </c>
      <c r="CU1281">
        <v>5.49</v>
      </c>
      <c r="CV1281">
        <v>10.28</v>
      </c>
      <c r="CW1281">
        <v>1.1000000000000001</v>
      </c>
      <c r="CX1281" t="s">
        <v>269</v>
      </c>
      <c r="CY1281">
        <v>8.3800000000000008</v>
      </c>
      <c r="CZ1281">
        <v>0</v>
      </c>
      <c r="DA1281">
        <v>3.09</v>
      </c>
      <c r="DB1281">
        <v>2.74</v>
      </c>
      <c r="DC1281">
        <v>1.79</v>
      </c>
      <c r="DD1281">
        <v>26.09</v>
      </c>
      <c r="DE1281" t="s">
        <v>2582</v>
      </c>
      <c r="DF1281" t="s">
        <v>120</v>
      </c>
      <c r="DG1281">
        <v>48.86</v>
      </c>
      <c r="DH1281">
        <v>37.090000000000003</v>
      </c>
      <c r="DI1281" t="s">
        <v>120</v>
      </c>
      <c r="DJ1281">
        <v>4033</v>
      </c>
      <c r="DK1281">
        <v>2926</v>
      </c>
      <c r="DL1281" t="s">
        <v>120</v>
      </c>
      <c r="DM1281" t="s">
        <v>120</v>
      </c>
      <c r="DN1281" t="s">
        <v>120</v>
      </c>
    </row>
    <row r="1282" spans="1:118">
      <c r="A1282" t="str">
        <f>"002927"</f>
        <v>002927</v>
      </c>
      <c r="B1282" t="s">
        <v>6972</v>
      </c>
      <c r="C1282">
        <v>1.05</v>
      </c>
      <c r="D1282">
        <v>-0.5</v>
      </c>
      <c r="E1282">
        <v>0.52</v>
      </c>
      <c r="F1282">
        <v>1170</v>
      </c>
      <c r="G1282" t="s">
        <v>6973</v>
      </c>
      <c r="H1282">
        <v>5347.4</v>
      </c>
      <c r="I1282">
        <v>14.54</v>
      </c>
      <c r="J1282" t="s">
        <v>120</v>
      </c>
      <c r="K1282" t="s">
        <v>6388</v>
      </c>
      <c r="L1282">
        <v>2.09</v>
      </c>
      <c r="M1282">
        <v>11.6</v>
      </c>
      <c r="N1282">
        <v>1.24</v>
      </c>
      <c r="O1282">
        <v>1.92</v>
      </c>
      <c r="P1282">
        <v>11.7</v>
      </c>
      <c r="Q1282">
        <v>-2.09</v>
      </c>
      <c r="R1282">
        <v>11.24</v>
      </c>
      <c r="S1282">
        <v>11.54</v>
      </c>
      <c r="T1282">
        <v>46525</v>
      </c>
      <c r="U1282">
        <v>11.6</v>
      </c>
      <c r="V1282">
        <v>11.48</v>
      </c>
      <c r="W1282">
        <v>28.35</v>
      </c>
      <c r="X1282" t="s">
        <v>394</v>
      </c>
      <c r="Y1282" t="s">
        <v>1021</v>
      </c>
      <c r="Z1282">
        <v>4.01</v>
      </c>
      <c r="AA1282">
        <v>11.49</v>
      </c>
      <c r="AB1282">
        <v>24447</v>
      </c>
      <c r="AC1282">
        <v>22078</v>
      </c>
      <c r="AD1282">
        <v>1.1100000000000001</v>
      </c>
      <c r="AE1282">
        <v>20</v>
      </c>
      <c r="AF1282">
        <v>235</v>
      </c>
      <c r="AG1282" t="s">
        <v>120</v>
      </c>
      <c r="AH1282">
        <v>0.02</v>
      </c>
      <c r="AI1282" t="s">
        <v>120</v>
      </c>
      <c r="AJ1282">
        <v>2.2200000000000002</v>
      </c>
      <c r="AK1282" t="s">
        <v>6022</v>
      </c>
      <c r="AL1282">
        <v>2.96</v>
      </c>
      <c r="AM1282">
        <v>1851</v>
      </c>
      <c r="AN1282">
        <v>25</v>
      </c>
      <c r="AO1282">
        <v>1.1000000000000001E-3</v>
      </c>
      <c r="AP1282">
        <v>2</v>
      </c>
      <c r="AQ1282">
        <v>2.3199999999999998</v>
      </c>
      <c r="AR1282">
        <v>0.88</v>
      </c>
      <c r="AS1282">
        <v>9.43</v>
      </c>
      <c r="AT1282">
        <v>10.06</v>
      </c>
      <c r="AU1282">
        <v>-3.65</v>
      </c>
      <c r="AV1282">
        <v>1</v>
      </c>
      <c r="AW1282">
        <v>6.45</v>
      </c>
      <c r="AX1282">
        <v>32.29</v>
      </c>
      <c r="AY1282">
        <v>27.41</v>
      </c>
      <c r="AZ1282">
        <v>30.44</v>
      </c>
      <c r="BA1282">
        <v>0.4</v>
      </c>
      <c r="BB1282" t="s">
        <v>143</v>
      </c>
      <c r="BF1282">
        <v>0.12</v>
      </c>
      <c r="BG1282">
        <v>0.52</v>
      </c>
      <c r="BH1282">
        <v>-0.85</v>
      </c>
      <c r="BI1282">
        <v>3.2</v>
      </c>
      <c r="BJ1282">
        <v>20210915</v>
      </c>
      <c r="BK1282">
        <v>20180223</v>
      </c>
      <c r="BL1282">
        <v>2.23</v>
      </c>
      <c r="BM1282" t="s">
        <v>120</v>
      </c>
      <c r="BN1282" t="s">
        <v>120</v>
      </c>
      <c r="BO1282">
        <v>12.71</v>
      </c>
      <c r="BP1282">
        <v>11.59</v>
      </c>
      <c r="BQ1282">
        <v>8.6999999999999993</v>
      </c>
      <c r="BR1282">
        <v>0.73</v>
      </c>
      <c r="BS1282">
        <v>25.82</v>
      </c>
      <c r="BT1282">
        <v>9.61</v>
      </c>
      <c r="BU1282">
        <v>1.4</v>
      </c>
      <c r="BV1282">
        <v>0.31</v>
      </c>
      <c r="BW1282">
        <v>3.1</v>
      </c>
      <c r="BX1282">
        <v>1.31</v>
      </c>
      <c r="BY1282">
        <v>2.2000000000000002</v>
      </c>
      <c r="BZ1282">
        <v>4.3899999999999997</v>
      </c>
      <c r="CA1282" t="s">
        <v>120</v>
      </c>
      <c r="CB1282">
        <v>3.55</v>
      </c>
      <c r="CC1282">
        <v>4.3600000000000003</v>
      </c>
      <c r="CD1282">
        <v>2.85</v>
      </c>
      <c r="CE1282">
        <v>0.56000000000000005</v>
      </c>
      <c r="CF1282">
        <v>0</v>
      </c>
      <c r="CG1282">
        <v>0.56000000000000005</v>
      </c>
      <c r="CH1282">
        <v>0.52</v>
      </c>
      <c r="CI1282">
        <v>0.46</v>
      </c>
      <c r="CJ1282">
        <v>0.12</v>
      </c>
      <c r="CK1282">
        <v>0.43</v>
      </c>
      <c r="CL1282">
        <v>2.73</v>
      </c>
      <c r="CM1282">
        <v>-0.2</v>
      </c>
      <c r="CN1282">
        <v>-0.85</v>
      </c>
      <c r="CO1282">
        <v>16468</v>
      </c>
      <c r="CP1282">
        <v>4379</v>
      </c>
      <c r="CQ1282" t="s">
        <v>729</v>
      </c>
      <c r="CR1282">
        <v>25.58</v>
      </c>
      <c r="CS1282">
        <v>32.49</v>
      </c>
      <c r="CT1282">
        <v>2.98</v>
      </c>
      <c r="CU1282">
        <v>-129.6</v>
      </c>
      <c r="CV1282">
        <v>5.94</v>
      </c>
      <c r="CW1282">
        <v>1.05</v>
      </c>
      <c r="CX1282" t="s">
        <v>492</v>
      </c>
      <c r="CY1282">
        <v>3.9</v>
      </c>
      <c r="CZ1282">
        <v>0</v>
      </c>
      <c r="DA1282">
        <v>1.59</v>
      </c>
      <c r="DB1282">
        <v>1.22</v>
      </c>
      <c r="DC1282">
        <v>-0.09</v>
      </c>
      <c r="DD1282">
        <v>68.48</v>
      </c>
      <c r="DE1282" t="s">
        <v>2474</v>
      </c>
      <c r="DF1282">
        <v>34.53</v>
      </c>
      <c r="DG1282">
        <v>12.82</v>
      </c>
      <c r="DH1282">
        <v>10.48</v>
      </c>
      <c r="DI1282">
        <v>0.2</v>
      </c>
      <c r="DJ1282">
        <v>1276</v>
      </c>
      <c r="DK1282">
        <v>2927</v>
      </c>
      <c r="DL1282" t="s">
        <v>120</v>
      </c>
      <c r="DM1282" t="s">
        <v>120</v>
      </c>
      <c r="DN1282" t="s">
        <v>120</v>
      </c>
    </row>
    <row r="1283" spans="1:118">
      <c r="A1283" t="str">
        <f>"002928"</f>
        <v>002928</v>
      </c>
      <c r="B1283" t="s">
        <v>6974</v>
      </c>
      <c r="C1283">
        <v>-1.47</v>
      </c>
      <c r="D1283">
        <v>0</v>
      </c>
      <c r="E1283">
        <v>0</v>
      </c>
      <c r="F1283">
        <v>906</v>
      </c>
      <c r="G1283" t="s">
        <v>6975</v>
      </c>
      <c r="H1283">
        <v>10108.219999999999</v>
      </c>
      <c r="I1283">
        <v>69.09</v>
      </c>
      <c r="J1283" t="s">
        <v>120</v>
      </c>
      <c r="K1283" t="s">
        <v>6976</v>
      </c>
      <c r="L1283">
        <v>0.98</v>
      </c>
      <c r="M1283">
        <v>10.07</v>
      </c>
      <c r="N1283">
        <v>0.47</v>
      </c>
      <c r="O1283">
        <v>1.08</v>
      </c>
      <c r="P1283">
        <v>10.33</v>
      </c>
      <c r="Q1283">
        <v>-1.86</v>
      </c>
      <c r="R1283">
        <v>10.029999999999999</v>
      </c>
      <c r="S1283">
        <v>10.220000000000001</v>
      </c>
      <c r="T1283">
        <v>99484</v>
      </c>
      <c r="U1283">
        <v>10.08</v>
      </c>
      <c r="V1283">
        <v>10.220000000000001</v>
      </c>
      <c r="W1283">
        <v>437.7</v>
      </c>
      <c r="X1283" t="s">
        <v>540</v>
      </c>
      <c r="Y1283" t="s">
        <v>1021</v>
      </c>
      <c r="Z1283">
        <v>2.94</v>
      </c>
      <c r="AA1283">
        <v>10.16</v>
      </c>
      <c r="AB1283">
        <v>56408</v>
      </c>
      <c r="AC1283">
        <v>43076</v>
      </c>
      <c r="AD1283">
        <v>1.31</v>
      </c>
      <c r="AE1283">
        <v>567</v>
      </c>
      <c r="AF1283">
        <v>122</v>
      </c>
      <c r="AG1283" t="s">
        <v>120</v>
      </c>
      <c r="AH1283">
        <v>0.02</v>
      </c>
      <c r="AI1283" t="s">
        <v>120</v>
      </c>
      <c r="AJ1283">
        <v>10.14</v>
      </c>
      <c r="AK1283" t="s">
        <v>6976</v>
      </c>
      <c r="AL1283">
        <v>0.45</v>
      </c>
      <c r="AM1283">
        <v>2722</v>
      </c>
      <c r="AN1283">
        <v>37</v>
      </c>
      <c r="AO1283">
        <v>4.0000000000000002E-4</v>
      </c>
      <c r="AP1283">
        <v>-4</v>
      </c>
      <c r="AQ1283">
        <v>-1.06</v>
      </c>
      <c r="AR1283">
        <v>-7.27</v>
      </c>
      <c r="AS1283">
        <v>-10.33</v>
      </c>
      <c r="AT1283">
        <v>-37.57</v>
      </c>
      <c r="AU1283">
        <v>-20.010000000000002</v>
      </c>
      <c r="AV1283">
        <v>2</v>
      </c>
      <c r="AW1283">
        <v>2.33</v>
      </c>
      <c r="AX1283">
        <v>42.21</v>
      </c>
      <c r="AY1283">
        <v>16.809999999999999</v>
      </c>
      <c r="AZ1283">
        <v>16.899999999999999</v>
      </c>
      <c r="BA1283">
        <v>0.09</v>
      </c>
      <c r="BB1283" t="s">
        <v>125</v>
      </c>
      <c r="BF1283">
        <v>-0.57999999999999996</v>
      </c>
      <c r="BG1283">
        <v>-1.47</v>
      </c>
      <c r="BH1283">
        <v>-2.52</v>
      </c>
      <c r="BI1283">
        <v>0.4</v>
      </c>
      <c r="BJ1283">
        <v>20210827</v>
      </c>
      <c r="BK1283">
        <v>20180302</v>
      </c>
      <c r="BL1283">
        <v>10.14</v>
      </c>
      <c r="BM1283" t="s">
        <v>120</v>
      </c>
      <c r="BN1283" t="s">
        <v>120</v>
      </c>
      <c r="BO1283">
        <v>164.06</v>
      </c>
      <c r="BP1283">
        <v>10.07</v>
      </c>
      <c r="BQ1283">
        <v>37.99</v>
      </c>
      <c r="BR1283" t="s">
        <v>120</v>
      </c>
      <c r="BS1283">
        <v>76.849999999999994</v>
      </c>
      <c r="BT1283">
        <v>44.28</v>
      </c>
      <c r="BU1283">
        <v>15.17</v>
      </c>
      <c r="BV1283">
        <v>1.84</v>
      </c>
      <c r="BW1283">
        <v>45.48</v>
      </c>
      <c r="BX1283">
        <v>18.82</v>
      </c>
      <c r="BY1283">
        <v>1.32</v>
      </c>
      <c r="BZ1283">
        <v>12.96</v>
      </c>
      <c r="CA1283" t="s">
        <v>120</v>
      </c>
      <c r="CB1283">
        <v>11.51</v>
      </c>
      <c r="CC1283">
        <v>23.29</v>
      </c>
      <c r="CD1283">
        <v>20.48</v>
      </c>
      <c r="CE1283">
        <v>0.23</v>
      </c>
      <c r="CF1283">
        <v>0</v>
      </c>
      <c r="CG1283">
        <v>0.19</v>
      </c>
      <c r="CH1283">
        <v>0.12</v>
      </c>
      <c r="CI1283">
        <v>0.12</v>
      </c>
      <c r="CJ1283">
        <v>-0.15</v>
      </c>
      <c r="CK1283">
        <v>0.14000000000000001</v>
      </c>
      <c r="CL1283">
        <v>14.54</v>
      </c>
      <c r="CM1283">
        <v>1.44</v>
      </c>
      <c r="CN1283">
        <v>3.94</v>
      </c>
      <c r="CO1283">
        <v>18049</v>
      </c>
      <c r="CP1283">
        <v>23702</v>
      </c>
      <c r="CQ1283" t="s">
        <v>6977</v>
      </c>
      <c r="CR1283">
        <v>41.71</v>
      </c>
      <c r="CS1283">
        <v>17.41</v>
      </c>
      <c r="CT1283">
        <v>2.69</v>
      </c>
      <c r="CU1283">
        <v>70.66</v>
      </c>
      <c r="CV1283">
        <v>4.38</v>
      </c>
      <c r="CW1283">
        <v>0.6</v>
      </c>
      <c r="CX1283" t="s">
        <v>2327</v>
      </c>
      <c r="CY1283">
        <v>3.75</v>
      </c>
      <c r="CZ1283">
        <v>0</v>
      </c>
      <c r="DA1283">
        <v>1.1399999999999999</v>
      </c>
      <c r="DB1283">
        <v>1.43</v>
      </c>
      <c r="DC1283">
        <v>0.14000000000000001</v>
      </c>
      <c r="DD1283">
        <v>23.15</v>
      </c>
      <c r="DE1283" t="s">
        <v>6978</v>
      </c>
      <c r="DF1283">
        <v>12.07</v>
      </c>
      <c r="DG1283">
        <v>0.99</v>
      </c>
      <c r="DH1283">
        <v>0.5</v>
      </c>
      <c r="DI1283">
        <v>0.06</v>
      </c>
      <c r="DJ1283">
        <v>5045</v>
      </c>
      <c r="DK1283">
        <v>2928</v>
      </c>
      <c r="DL1283" t="s">
        <v>120</v>
      </c>
      <c r="DM1283" t="s">
        <v>120</v>
      </c>
      <c r="DN1283" t="s">
        <v>120</v>
      </c>
    </row>
    <row r="1284" spans="1:118">
      <c r="A1284" t="str">
        <f>"002929"</f>
        <v>002929</v>
      </c>
      <c r="B1284" t="s">
        <v>6979</v>
      </c>
      <c r="C1284">
        <v>-1.59</v>
      </c>
      <c r="D1284">
        <v>-0.15</v>
      </c>
      <c r="E1284">
        <v>0</v>
      </c>
      <c r="F1284">
        <v>127</v>
      </c>
      <c r="G1284" t="s">
        <v>6980</v>
      </c>
      <c r="H1284">
        <v>7801.05</v>
      </c>
      <c r="I1284">
        <v>52.05</v>
      </c>
      <c r="J1284" t="s">
        <v>120</v>
      </c>
      <c r="K1284" t="s">
        <v>6981</v>
      </c>
      <c r="L1284">
        <v>1.56</v>
      </c>
      <c r="M1284">
        <v>30.31</v>
      </c>
      <c r="N1284">
        <v>0.96</v>
      </c>
      <c r="O1284">
        <v>2.6</v>
      </c>
      <c r="P1284">
        <v>31.6</v>
      </c>
      <c r="Q1284">
        <v>-1.88</v>
      </c>
      <c r="R1284">
        <v>30.22</v>
      </c>
      <c r="S1284">
        <v>30.8</v>
      </c>
      <c r="T1284">
        <v>25312</v>
      </c>
      <c r="U1284">
        <v>30.31</v>
      </c>
      <c r="V1284">
        <v>30.8</v>
      </c>
      <c r="W1284">
        <v>20.22</v>
      </c>
      <c r="X1284" t="s">
        <v>462</v>
      </c>
      <c r="Y1284" t="s">
        <v>945</v>
      </c>
      <c r="Z1284">
        <v>4.4800000000000004</v>
      </c>
      <c r="AA1284">
        <v>30.82</v>
      </c>
      <c r="AB1284">
        <v>14613</v>
      </c>
      <c r="AC1284">
        <v>10699</v>
      </c>
      <c r="AD1284">
        <v>1.37</v>
      </c>
      <c r="AE1284">
        <v>62</v>
      </c>
      <c r="AF1284">
        <v>159</v>
      </c>
      <c r="AG1284" t="s">
        <v>120</v>
      </c>
      <c r="AH1284">
        <v>0.02</v>
      </c>
      <c r="AI1284" t="s">
        <v>120</v>
      </c>
      <c r="AJ1284">
        <v>1.62</v>
      </c>
      <c r="AK1284" t="s">
        <v>2361</v>
      </c>
      <c r="AL1284">
        <v>0.32</v>
      </c>
      <c r="AM1284">
        <v>2758</v>
      </c>
      <c r="AN1284">
        <v>9</v>
      </c>
      <c r="AO1284">
        <v>5.9999999999999995E-4</v>
      </c>
      <c r="AP1284">
        <v>-1</v>
      </c>
      <c r="AQ1284">
        <v>0.65</v>
      </c>
      <c r="AR1284">
        <v>-2.7</v>
      </c>
      <c r="AS1284">
        <v>8.7899999999999991</v>
      </c>
      <c r="AT1284">
        <v>16.489999999999998</v>
      </c>
      <c r="AU1284">
        <v>27.3</v>
      </c>
      <c r="AV1284">
        <v>1</v>
      </c>
      <c r="AW1284">
        <v>2.63</v>
      </c>
      <c r="AX1284">
        <v>43.58</v>
      </c>
      <c r="AY1284">
        <v>21.65</v>
      </c>
      <c r="AZ1284">
        <v>28.48</v>
      </c>
      <c r="BA1284">
        <v>0.76</v>
      </c>
      <c r="BB1284" t="s">
        <v>240</v>
      </c>
      <c r="BF1284">
        <v>0.06</v>
      </c>
      <c r="BG1284">
        <v>-1.59</v>
      </c>
      <c r="BH1284">
        <v>-4.08</v>
      </c>
      <c r="BI1284">
        <v>0.3</v>
      </c>
      <c r="BJ1284">
        <v>20210827</v>
      </c>
      <c r="BK1284">
        <v>20180301</v>
      </c>
      <c r="BL1284">
        <v>2.21</v>
      </c>
      <c r="BM1284" t="s">
        <v>120</v>
      </c>
      <c r="BN1284" t="s">
        <v>120</v>
      </c>
      <c r="BO1284">
        <v>82.96</v>
      </c>
      <c r="BP1284">
        <v>30.3</v>
      </c>
      <c r="BQ1284">
        <v>34.130000000000003</v>
      </c>
      <c r="BR1284">
        <v>1.3</v>
      </c>
      <c r="BS1284">
        <v>57.29</v>
      </c>
      <c r="BT1284">
        <v>65.83</v>
      </c>
      <c r="BU1284">
        <v>1.88</v>
      </c>
      <c r="BV1284">
        <v>0.37</v>
      </c>
      <c r="BW1284">
        <v>37.82</v>
      </c>
      <c r="BX1284">
        <v>17.43</v>
      </c>
      <c r="BY1284">
        <v>11.78</v>
      </c>
      <c r="BZ1284">
        <v>20.05</v>
      </c>
      <c r="CA1284" t="s">
        <v>120</v>
      </c>
      <c r="CB1284">
        <v>14.65</v>
      </c>
      <c r="CC1284">
        <v>29.33</v>
      </c>
      <c r="CD1284">
        <v>23.79</v>
      </c>
      <c r="CE1284">
        <v>2.1</v>
      </c>
      <c r="CF1284">
        <v>-0.01</v>
      </c>
      <c r="CG1284">
        <v>2.0699999999999998</v>
      </c>
      <c r="CH1284">
        <v>1.73</v>
      </c>
      <c r="CI1284">
        <v>1.65</v>
      </c>
      <c r="CJ1284">
        <v>-0.49</v>
      </c>
      <c r="CK1284">
        <v>1.63</v>
      </c>
      <c r="CL1284">
        <v>13.89</v>
      </c>
      <c r="CM1284">
        <v>-2.4300000000000002</v>
      </c>
      <c r="CN1284">
        <v>-3.21</v>
      </c>
      <c r="CO1284">
        <v>22790</v>
      </c>
      <c r="CP1284">
        <v>4222</v>
      </c>
      <c r="CQ1284" t="s">
        <v>6982</v>
      </c>
      <c r="CR1284">
        <v>83.71</v>
      </c>
      <c r="CS1284">
        <v>70.540000000000006</v>
      </c>
      <c r="CT1284">
        <v>2.0499999999999998</v>
      </c>
      <c r="CU1284">
        <v>-27.54</v>
      </c>
      <c r="CV1284">
        <v>2.2799999999999998</v>
      </c>
      <c r="CW1284">
        <v>0.49</v>
      </c>
      <c r="CX1284" t="s">
        <v>3015</v>
      </c>
      <c r="CY1284">
        <v>14.81</v>
      </c>
      <c r="CZ1284">
        <v>14.81</v>
      </c>
      <c r="DA1284">
        <v>6.64</v>
      </c>
      <c r="DB1284">
        <v>6.29</v>
      </c>
      <c r="DC1284">
        <v>-1.1000000000000001</v>
      </c>
      <c r="DD1284">
        <v>41.14</v>
      </c>
      <c r="DE1284" t="s">
        <v>2803</v>
      </c>
      <c r="DF1284">
        <v>18.899999999999999</v>
      </c>
      <c r="DG1284">
        <v>7.16</v>
      </c>
      <c r="DH1284">
        <v>5.64</v>
      </c>
      <c r="DI1284">
        <v>1.27</v>
      </c>
      <c r="DJ1284">
        <v>4182</v>
      </c>
      <c r="DK1284">
        <v>2929</v>
      </c>
      <c r="DL1284" t="s">
        <v>120</v>
      </c>
      <c r="DM1284" t="s">
        <v>120</v>
      </c>
      <c r="DN1284" t="s">
        <v>120</v>
      </c>
    </row>
    <row r="1285" spans="1:118">
      <c r="A1285" t="str">
        <f>"002930"</f>
        <v>002930</v>
      </c>
      <c r="B1285" t="s">
        <v>6983</v>
      </c>
      <c r="C1285">
        <v>-0.85</v>
      </c>
      <c r="D1285">
        <v>0.11</v>
      </c>
      <c r="E1285">
        <v>0.62</v>
      </c>
      <c r="F1285">
        <v>387</v>
      </c>
      <c r="G1285" t="s">
        <v>1854</v>
      </c>
      <c r="H1285">
        <v>4476.46</v>
      </c>
      <c r="I1285">
        <v>14.91</v>
      </c>
      <c r="J1285" t="s">
        <v>120</v>
      </c>
      <c r="K1285" t="s">
        <v>6984</v>
      </c>
      <c r="L1285">
        <v>0.59</v>
      </c>
      <c r="M1285">
        <v>17.489999999999998</v>
      </c>
      <c r="N1285">
        <v>0.96</v>
      </c>
      <c r="O1285">
        <v>1.98</v>
      </c>
      <c r="P1285">
        <v>17.989999999999998</v>
      </c>
      <c r="Q1285">
        <v>-1.25</v>
      </c>
      <c r="R1285">
        <v>17.420000000000002</v>
      </c>
      <c r="S1285">
        <v>17.75</v>
      </c>
      <c r="T1285">
        <v>25320</v>
      </c>
      <c r="U1285">
        <v>17.5</v>
      </c>
      <c r="V1285">
        <v>17.64</v>
      </c>
      <c r="W1285">
        <v>27.1</v>
      </c>
      <c r="X1285" t="s">
        <v>2775</v>
      </c>
      <c r="Y1285" t="s">
        <v>547</v>
      </c>
      <c r="Z1285">
        <v>3.23</v>
      </c>
      <c r="AA1285">
        <v>17.68</v>
      </c>
      <c r="AB1285">
        <v>13837</v>
      </c>
      <c r="AC1285">
        <v>11483</v>
      </c>
      <c r="AD1285">
        <v>1.2</v>
      </c>
      <c r="AE1285">
        <v>6</v>
      </c>
      <c r="AF1285">
        <v>36</v>
      </c>
      <c r="AG1285" t="s">
        <v>120</v>
      </c>
      <c r="AH1285">
        <v>0</v>
      </c>
      <c r="AI1285" t="s">
        <v>120</v>
      </c>
      <c r="AJ1285">
        <v>4.29</v>
      </c>
      <c r="AK1285" t="s">
        <v>6985</v>
      </c>
      <c r="AL1285">
        <v>1.06</v>
      </c>
      <c r="AM1285">
        <v>1460</v>
      </c>
      <c r="AN1285">
        <v>17</v>
      </c>
      <c r="AO1285">
        <v>4.0000000000000002E-4</v>
      </c>
      <c r="AP1285">
        <v>-1</v>
      </c>
      <c r="AQ1285">
        <v>0</v>
      </c>
      <c r="AR1285">
        <v>0.11</v>
      </c>
      <c r="AS1285">
        <v>1.81</v>
      </c>
      <c r="AT1285">
        <v>7.63</v>
      </c>
      <c r="AU1285">
        <v>-8.9499999999999993</v>
      </c>
      <c r="AV1285">
        <v>0</v>
      </c>
      <c r="AW1285">
        <v>1.26</v>
      </c>
      <c r="AX1285">
        <v>45.02</v>
      </c>
      <c r="AY1285">
        <v>27.55</v>
      </c>
      <c r="AZ1285">
        <v>34.5</v>
      </c>
      <c r="BA1285">
        <v>0.47</v>
      </c>
      <c r="BB1285" t="s">
        <v>143</v>
      </c>
      <c r="BF1285">
        <v>0.23</v>
      </c>
      <c r="BG1285">
        <v>-1.46</v>
      </c>
      <c r="BH1285">
        <v>-2.78</v>
      </c>
      <c r="BI1285">
        <v>0.4</v>
      </c>
      <c r="BJ1285">
        <v>20210818</v>
      </c>
      <c r="BK1285">
        <v>20180328</v>
      </c>
      <c r="BL1285">
        <v>4.45</v>
      </c>
      <c r="BM1285" t="s">
        <v>120</v>
      </c>
      <c r="BN1285" t="s">
        <v>120</v>
      </c>
      <c r="BO1285">
        <v>64.88</v>
      </c>
      <c r="BP1285">
        <v>17.489999999999998</v>
      </c>
      <c r="BQ1285">
        <v>21.84</v>
      </c>
      <c r="BR1285">
        <v>2.4900000000000002</v>
      </c>
      <c r="BS1285">
        <v>62.5</v>
      </c>
      <c r="BT1285">
        <v>8.59</v>
      </c>
      <c r="BU1285">
        <v>29.28</v>
      </c>
      <c r="BV1285">
        <v>8.7799999999999994</v>
      </c>
      <c r="BW1285">
        <v>7.45</v>
      </c>
      <c r="BX1285">
        <v>2.75</v>
      </c>
      <c r="BY1285">
        <v>0.04</v>
      </c>
      <c r="BZ1285">
        <v>1.25</v>
      </c>
      <c r="CA1285">
        <v>0</v>
      </c>
      <c r="CB1285">
        <v>8.75</v>
      </c>
      <c r="CC1285">
        <v>5.36</v>
      </c>
      <c r="CD1285">
        <v>1.83</v>
      </c>
      <c r="CE1285">
        <v>2.14</v>
      </c>
      <c r="CF1285">
        <v>0.03</v>
      </c>
      <c r="CG1285">
        <v>2.14</v>
      </c>
      <c r="CH1285">
        <v>1.59</v>
      </c>
      <c r="CI1285">
        <v>1.44</v>
      </c>
      <c r="CJ1285">
        <v>-0.15</v>
      </c>
      <c r="CK1285">
        <v>1.4</v>
      </c>
      <c r="CL1285">
        <v>6.52</v>
      </c>
      <c r="CM1285">
        <v>3.8</v>
      </c>
      <c r="CN1285">
        <v>-3.28</v>
      </c>
      <c r="CO1285">
        <v>20077</v>
      </c>
      <c r="CP1285">
        <v>9986</v>
      </c>
      <c r="CQ1285" t="s">
        <v>6986</v>
      </c>
      <c r="CR1285">
        <v>66.67</v>
      </c>
      <c r="CS1285">
        <v>61.19</v>
      </c>
      <c r="CT1285">
        <v>3.83</v>
      </c>
      <c r="CU1285">
        <v>20.51</v>
      </c>
      <c r="CV1285">
        <v>14.53</v>
      </c>
      <c r="CW1285">
        <v>1.7</v>
      </c>
      <c r="CX1285" t="s">
        <v>966</v>
      </c>
      <c r="CY1285">
        <v>4.5599999999999996</v>
      </c>
      <c r="CZ1285">
        <v>4.5599999999999996</v>
      </c>
      <c r="DA1285">
        <v>1.97</v>
      </c>
      <c r="DB1285">
        <v>1.46</v>
      </c>
      <c r="DC1285">
        <v>0.85</v>
      </c>
      <c r="DD1285">
        <v>33.67</v>
      </c>
      <c r="DE1285" t="s">
        <v>6987</v>
      </c>
      <c r="DF1285">
        <v>65.819999999999993</v>
      </c>
      <c r="DG1285">
        <v>39.85</v>
      </c>
      <c r="DH1285">
        <v>26.81</v>
      </c>
      <c r="DI1285">
        <v>0.05</v>
      </c>
      <c r="DJ1285">
        <v>1043</v>
      </c>
      <c r="DK1285">
        <v>2930</v>
      </c>
      <c r="DL1285" t="s">
        <v>120</v>
      </c>
      <c r="DM1285" t="s">
        <v>120</v>
      </c>
      <c r="DN1285" t="s">
        <v>120</v>
      </c>
    </row>
    <row r="1286" spans="1:118">
      <c r="A1286" t="str">
        <f>"002931"</f>
        <v>002931</v>
      </c>
      <c r="B1286" t="s">
        <v>6988</v>
      </c>
      <c r="C1286">
        <v>-2.2000000000000002</v>
      </c>
      <c r="D1286">
        <v>7.0000000000000007E-2</v>
      </c>
      <c r="E1286">
        <v>0.42</v>
      </c>
      <c r="F1286">
        <v>108</v>
      </c>
      <c r="G1286" t="s">
        <v>6989</v>
      </c>
      <c r="H1286">
        <v>3047.36</v>
      </c>
      <c r="I1286">
        <v>18.149999999999999</v>
      </c>
      <c r="J1286" t="s">
        <v>120</v>
      </c>
      <c r="K1286" t="s">
        <v>6161</v>
      </c>
      <c r="L1286">
        <v>1.22</v>
      </c>
      <c r="M1286">
        <v>13.81</v>
      </c>
      <c r="N1286">
        <v>0.78</v>
      </c>
      <c r="O1286">
        <v>0.92</v>
      </c>
      <c r="P1286">
        <v>14.25</v>
      </c>
      <c r="Q1286">
        <v>-2.27</v>
      </c>
      <c r="R1286">
        <v>13.8</v>
      </c>
      <c r="S1286">
        <v>14.18</v>
      </c>
      <c r="T1286">
        <v>21754</v>
      </c>
      <c r="U1286">
        <v>13.82</v>
      </c>
      <c r="V1286">
        <v>14.12</v>
      </c>
      <c r="W1286">
        <v>28.17</v>
      </c>
      <c r="X1286" t="s">
        <v>289</v>
      </c>
      <c r="Y1286" t="s">
        <v>585</v>
      </c>
      <c r="Z1286">
        <v>3.19</v>
      </c>
      <c r="AA1286">
        <v>14.01</v>
      </c>
      <c r="AB1286">
        <v>13827</v>
      </c>
      <c r="AC1286">
        <v>7927</v>
      </c>
      <c r="AD1286">
        <v>1.74</v>
      </c>
      <c r="AE1286">
        <v>3</v>
      </c>
      <c r="AF1286">
        <v>8</v>
      </c>
      <c r="AG1286" t="s">
        <v>120</v>
      </c>
      <c r="AH1286">
        <v>0.02</v>
      </c>
      <c r="AI1286" t="s">
        <v>120</v>
      </c>
      <c r="AJ1286">
        <v>1.79</v>
      </c>
      <c r="AK1286" t="s">
        <v>5071</v>
      </c>
      <c r="AL1286">
        <v>-0.28000000000000003</v>
      </c>
      <c r="AM1286">
        <v>1707</v>
      </c>
      <c r="AN1286">
        <v>13</v>
      </c>
      <c r="AO1286">
        <v>6.9999999999999999E-4</v>
      </c>
      <c r="AP1286">
        <v>-1</v>
      </c>
      <c r="AQ1286">
        <v>2.77</v>
      </c>
      <c r="AR1286">
        <v>-0.21</v>
      </c>
      <c r="AS1286">
        <v>13.66</v>
      </c>
      <c r="AT1286">
        <v>0.66</v>
      </c>
      <c r="AU1286">
        <v>8.1300000000000008</v>
      </c>
      <c r="AV1286">
        <v>8</v>
      </c>
      <c r="AW1286">
        <v>3.57</v>
      </c>
      <c r="AX1286">
        <v>30.62</v>
      </c>
      <c r="AY1286">
        <v>29.45</v>
      </c>
      <c r="AZ1286">
        <v>36.44</v>
      </c>
      <c r="BA1286">
        <v>0.7</v>
      </c>
      <c r="BB1286" t="s">
        <v>143</v>
      </c>
      <c r="BF1286">
        <v>-0.79</v>
      </c>
      <c r="BG1286">
        <v>-2.61</v>
      </c>
      <c r="BH1286">
        <v>-3.09</v>
      </c>
      <c r="BI1286">
        <v>7.0000000000000007E-2</v>
      </c>
      <c r="BJ1286">
        <v>20210908</v>
      </c>
      <c r="BK1286">
        <v>20180403</v>
      </c>
      <c r="BL1286">
        <v>1.99</v>
      </c>
      <c r="BM1286" t="s">
        <v>120</v>
      </c>
      <c r="BN1286" t="s">
        <v>120</v>
      </c>
      <c r="BO1286">
        <v>11.58</v>
      </c>
      <c r="BP1286">
        <v>13.81</v>
      </c>
      <c r="BQ1286">
        <v>6.9</v>
      </c>
      <c r="BR1286">
        <v>0.88</v>
      </c>
      <c r="BS1286">
        <v>32.880000000000003</v>
      </c>
      <c r="BT1286">
        <v>7.86</v>
      </c>
      <c r="BU1286">
        <v>1.8</v>
      </c>
      <c r="BV1286">
        <v>0.72</v>
      </c>
      <c r="BW1286">
        <v>1.92</v>
      </c>
      <c r="BX1286">
        <v>3.47</v>
      </c>
      <c r="BY1286">
        <v>1.75</v>
      </c>
      <c r="BZ1286">
        <v>1.67</v>
      </c>
      <c r="CA1286" t="s">
        <v>120</v>
      </c>
      <c r="CB1286">
        <v>1.51</v>
      </c>
      <c r="CC1286">
        <v>3.58</v>
      </c>
      <c r="CD1286">
        <v>2.4900000000000002</v>
      </c>
      <c r="CE1286">
        <v>0.62</v>
      </c>
      <c r="CF1286">
        <v>0.03</v>
      </c>
      <c r="CG1286">
        <v>0.62</v>
      </c>
      <c r="CH1286">
        <v>0.56000000000000005</v>
      </c>
      <c r="CI1286">
        <v>0.49</v>
      </c>
      <c r="CJ1286">
        <v>-0.31</v>
      </c>
      <c r="CK1286">
        <v>0.44</v>
      </c>
      <c r="CL1286">
        <v>2.57</v>
      </c>
      <c r="CM1286">
        <v>0.01</v>
      </c>
      <c r="CN1286">
        <v>2.14</v>
      </c>
      <c r="CO1286">
        <v>11546</v>
      </c>
      <c r="CP1286">
        <v>5280</v>
      </c>
      <c r="CQ1286" t="s">
        <v>6990</v>
      </c>
      <c r="CR1286">
        <v>60.08</v>
      </c>
      <c r="CS1286">
        <v>52.48</v>
      </c>
      <c r="CT1286">
        <v>4.38</v>
      </c>
      <c r="CU1286">
        <v>3975.49</v>
      </c>
      <c r="CV1286">
        <v>7.68</v>
      </c>
      <c r="CW1286">
        <v>0.76</v>
      </c>
      <c r="CX1286" t="s">
        <v>863</v>
      </c>
      <c r="CY1286">
        <v>3.15</v>
      </c>
      <c r="CZ1286">
        <v>3.15</v>
      </c>
      <c r="DA1286">
        <v>0.76</v>
      </c>
      <c r="DB1286">
        <v>1.29</v>
      </c>
      <c r="DC1286">
        <v>0</v>
      </c>
      <c r="DD1286">
        <v>59.54</v>
      </c>
      <c r="DE1286" t="s">
        <v>5021</v>
      </c>
      <c r="DF1286">
        <v>30.33</v>
      </c>
      <c r="DG1286">
        <v>17.39</v>
      </c>
      <c r="DH1286">
        <v>13.63</v>
      </c>
      <c r="DI1286">
        <v>0.21</v>
      </c>
      <c r="DJ1286">
        <v>854</v>
      </c>
      <c r="DK1286">
        <v>2931</v>
      </c>
      <c r="DL1286" t="s">
        <v>120</v>
      </c>
      <c r="DM1286" t="s">
        <v>120</v>
      </c>
      <c r="DN1286" t="s">
        <v>120</v>
      </c>
    </row>
    <row r="1287" spans="1:118">
      <c r="A1287" t="str">
        <f>"002932"</f>
        <v>002932</v>
      </c>
      <c r="B1287" t="s">
        <v>6991</v>
      </c>
      <c r="C1287">
        <v>-3.25</v>
      </c>
      <c r="D1287">
        <v>0</v>
      </c>
      <c r="E1287">
        <v>-0.02</v>
      </c>
      <c r="F1287">
        <v>234</v>
      </c>
      <c r="G1287" t="s">
        <v>6992</v>
      </c>
      <c r="H1287">
        <v>11232.04</v>
      </c>
      <c r="I1287">
        <v>95.63</v>
      </c>
      <c r="J1287" t="s">
        <v>120</v>
      </c>
      <c r="K1287" t="s">
        <v>6993</v>
      </c>
      <c r="L1287">
        <v>2.96</v>
      </c>
      <c r="M1287">
        <v>63.38</v>
      </c>
      <c r="N1287">
        <v>0.98</v>
      </c>
      <c r="O1287">
        <v>0</v>
      </c>
      <c r="P1287">
        <v>65.510000000000005</v>
      </c>
      <c r="Q1287">
        <v>-3.28</v>
      </c>
      <c r="R1287">
        <v>63.36</v>
      </c>
      <c r="S1287">
        <v>65.5</v>
      </c>
      <c r="T1287">
        <v>17472</v>
      </c>
      <c r="U1287">
        <v>63.39</v>
      </c>
      <c r="V1287">
        <v>65.510000000000005</v>
      </c>
      <c r="W1287">
        <v>5.28</v>
      </c>
      <c r="X1287" t="s">
        <v>555</v>
      </c>
      <c r="Y1287" t="s">
        <v>763</v>
      </c>
      <c r="Z1287">
        <v>3.28</v>
      </c>
      <c r="AA1287">
        <v>64.290000000000006</v>
      </c>
      <c r="AB1287">
        <v>10467</v>
      </c>
      <c r="AC1287">
        <v>7005</v>
      </c>
      <c r="AD1287">
        <v>1.49</v>
      </c>
      <c r="AE1287">
        <v>55</v>
      </c>
      <c r="AF1287">
        <v>4</v>
      </c>
      <c r="AG1287" t="s">
        <v>120</v>
      </c>
      <c r="AH1287">
        <v>0.2</v>
      </c>
      <c r="AI1287" t="s">
        <v>120</v>
      </c>
      <c r="AJ1287">
        <v>0.59</v>
      </c>
      <c r="AK1287" t="s">
        <v>6994</v>
      </c>
      <c r="AL1287">
        <v>-1.34</v>
      </c>
      <c r="AM1287">
        <v>2326</v>
      </c>
      <c r="AN1287">
        <v>8</v>
      </c>
      <c r="AO1287">
        <v>1.2999999999999999E-3</v>
      </c>
      <c r="AP1287">
        <v>-3</v>
      </c>
      <c r="AQ1287">
        <v>-3.03</v>
      </c>
      <c r="AR1287">
        <v>-6.61</v>
      </c>
      <c r="AS1287">
        <v>-8.9600000000000009</v>
      </c>
      <c r="AT1287">
        <v>-0.37</v>
      </c>
      <c r="AU1287">
        <v>50.55</v>
      </c>
      <c r="AV1287">
        <v>11</v>
      </c>
      <c r="AW1287">
        <v>23.7</v>
      </c>
      <c r="AX1287">
        <v>7.63</v>
      </c>
      <c r="AY1287">
        <v>7.46</v>
      </c>
      <c r="AZ1287">
        <v>13.5</v>
      </c>
      <c r="BA1287">
        <v>0.97</v>
      </c>
      <c r="BB1287" t="s">
        <v>143</v>
      </c>
      <c r="BF1287">
        <v>-1.87</v>
      </c>
      <c r="BG1287">
        <v>-3.24</v>
      </c>
      <c r="BH1287">
        <v>-3.25</v>
      </c>
      <c r="BI1287">
        <v>0.03</v>
      </c>
      <c r="BJ1287">
        <v>20210913</v>
      </c>
      <c r="BK1287">
        <v>20180710</v>
      </c>
      <c r="BL1287">
        <v>0.97</v>
      </c>
      <c r="BM1287" t="s">
        <v>120</v>
      </c>
      <c r="BN1287" t="s">
        <v>120</v>
      </c>
      <c r="BO1287">
        <v>20</v>
      </c>
      <c r="BP1287">
        <v>63.38</v>
      </c>
      <c r="BQ1287">
        <v>17.2</v>
      </c>
      <c r="BR1287">
        <v>0.28000000000000003</v>
      </c>
      <c r="BS1287">
        <v>12.62</v>
      </c>
      <c r="BT1287">
        <v>17.579999999999998</v>
      </c>
      <c r="BU1287">
        <v>1.2</v>
      </c>
      <c r="BV1287">
        <v>0.17</v>
      </c>
      <c r="BW1287">
        <v>2.4900000000000002</v>
      </c>
      <c r="BX1287">
        <v>8.61</v>
      </c>
      <c r="BY1287">
        <v>1.99</v>
      </c>
      <c r="BZ1287">
        <v>4.63</v>
      </c>
      <c r="CA1287" t="s">
        <v>120</v>
      </c>
      <c r="CB1287">
        <v>4.3899999999999997</v>
      </c>
      <c r="CC1287">
        <v>11.41</v>
      </c>
      <c r="CD1287">
        <v>2.7</v>
      </c>
      <c r="CE1287">
        <v>7.02</v>
      </c>
      <c r="CF1287">
        <v>0</v>
      </c>
      <c r="CG1287">
        <v>7.02</v>
      </c>
      <c r="CH1287">
        <v>5.95</v>
      </c>
      <c r="CI1287">
        <v>5.8</v>
      </c>
      <c r="CJ1287">
        <v>-2.13</v>
      </c>
      <c r="CK1287">
        <v>5.77</v>
      </c>
      <c r="CL1287">
        <v>11.89</v>
      </c>
      <c r="CM1287">
        <v>3.43</v>
      </c>
      <c r="CN1287">
        <v>1.93</v>
      </c>
      <c r="CO1287">
        <v>27669</v>
      </c>
      <c r="CP1287">
        <v>266</v>
      </c>
      <c r="CQ1287" t="s">
        <v>6995</v>
      </c>
      <c r="CR1287">
        <v>189.53</v>
      </c>
      <c r="CS1287">
        <v>216.54</v>
      </c>
      <c r="CT1287">
        <v>3.56</v>
      </c>
      <c r="CU1287">
        <v>17.87</v>
      </c>
      <c r="CV1287">
        <v>5.37</v>
      </c>
      <c r="CW1287">
        <v>4.47</v>
      </c>
      <c r="CX1287" t="s">
        <v>6996</v>
      </c>
      <c r="CY1287">
        <v>17.8</v>
      </c>
      <c r="CZ1287">
        <v>17.8</v>
      </c>
      <c r="DA1287">
        <v>4.54</v>
      </c>
      <c r="DB1287">
        <v>12.3</v>
      </c>
      <c r="DC1287">
        <v>3.55</v>
      </c>
      <c r="DD1287">
        <v>85.97</v>
      </c>
      <c r="DE1287" t="s">
        <v>6997</v>
      </c>
      <c r="DF1287">
        <v>76.36</v>
      </c>
      <c r="DG1287">
        <v>61.49</v>
      </c>
      <c r="DH1287">
        <v>50.78</v>
      </c>
      <c r="DI1287">
        <v>0.49</v>
      </c>
      <c r="DJ1287">
        <v>822</v>
      </c>
      <c r="DK1287">
        <v>2932</v>
      </c>
      <c r="DL1287" t="s">
        <v>120</v>
      </c>
      <c r="DM1287" t="s">
        <v>120</v>
      </c>
      <c r="DN1287" t="s">
        <v>120</v>
      </c>
    </row>
    <row r="1288" spans="1:118">
      <c r="A1288" t="str">
        <f>"002933"</f>
        <v>002933</v>
      </c>
      <c r="B1288" t="s">
        <v>6998</v>
      </c>
      <c r="C1288">
        <v>-0.84</v>
      </c>
      <c r="D1288">
        <v>7.0000000000000007E-2</v>
      </c>
      <c r="E1288">
        <v>-7.0000000000000007E-2</v>
      </c>
      <c r="F1288">
        <v>290</v>
      </c>
      <c r="G1288" t="s">
        <v>6704</v>
      </c>
      <c r="H1288">
        <v>3522.61</v>
      </c>
      <c r="I1288">
        <v>14.18</v>
      </c>
      <c r="J1288" t="s">
        <v>120</v>
      </c>
      <c r="K1288" t="s">
        <v>3415</v>
      </c>
      <c r="L1288">
        <v>1.91</v>
      </c>
      <c r="M1288">
        <v>27.05</v>
      </c>
      <c r="N1288">
        <v>0.56999999999999995</v>
      </c>
      <c r="O1288">
        <v>1.03</v>
      </c>
      <c r="P1288">
        <v>27.56</v>
      </c>
      <c r="Q1288">
        <v>-0.95</v>
      </c>
      <c r="R1288">
        <v>27.02</v>
      </c>
      <c r="S1288">
        <v>27.26</v>
      </c>
      <c r="T1288">
        <v>12927</v>
      </c>
      <c r="U1288">
        <v>27.06</v>
      </c>
      <c r="V1288">
        <v>27.28</v>
      </c>
      <c r="W1288" t="s">
        <v>120</v>
      </c>
      <c r="X1288" t="s">
        <v>1621</v>
      </c>
      <c r="Y1288" t="s">
        <v>158</v>
      </c>
      <c r="Z1288">
        <v>1.98</v>
      </c>
      <c r="AA1288">
        <v>27.25</v>
      </c>
      <c r="AB1288">
        <v>7094</v>
      </c>
      <c r="AC1288">
        <v>5833</v>
      </c>
      <c r="AD1288">
        <v>1.22</v>
      </c>
      <c r="AE1288">
        <v>44</v>
      </c>
      <c r="AF1288">
        <v>1</v>
      </c>
      <c r="AG1288" t="s">
        <v>120</v>
      </c>
      <c r="AH1288">
        <v>0.01</v>
      </c>
      <c r="AI1288" t="s">
        <v>120</v>
      </c>
      <c r="AJ1288">
        <v>0.68</v>
      </c>
      <c r="AK1288" t="s">
        <v>1968</v>
      </c>
      <c r="AL1288">
        <v>1.07</v>
      </c>
      <c r="AM1288">
        <v>1505</v>
      </c>
      <c r="AN1288">
        <v>9</v>
      </c>
      <c r="AO1288">
        <v>1.2999999999999999E-3</v>
      </c>
      <c r="AP1288">
        <v>-7</v>
      </c>
      <c r="AQ1288">
        <v>-1.1200000000000001</v>
      </c>
      <c r="AR1288">
        <v>-5.75</v>
      </c>
      <c r="AS1288">
        <v>-9.7799999999999994</v>
      </c>
      <c r="AT1288">
        <v>4.08</v>
      </c>
      <c r="AU1288">
        <v>-20.97</v>
      </c>
      <c r="AV1288">
        <v>2</v>
      </c>
      <c r="AW1288">
        <v>2.65</v>
      </c>
      <c r="AX1288">
        <v>41.63</v>
      </c>
      <c r="AY1288">
        <v>103.71</v>
      </c>
      <c r="AZ1288">
        <v>32.549999999999997</v>
      </c>
      <c r="BA1288">
        <v>0.5</v>
      </c>
      <c r="BB1288" t="s">
        <v>134</v>
      </c>
      <c r="BF1288">
        <v>-0.11</v>
      </c>
      <c r="BG1288">
        <v>-0.77</v>
      </c>
      <c r="BH1288">
        <v>-1.85</v>
      </c>
      <c r="BI1288">
        <v>0.11</v>
      </c>
      <c r="BJ1288">
        <v>20210827</v>
      </c>
      <c r="BK1288">
        <v>20180828</v>
      </c>
      <c r="BL1288">
        <v>1.17</v>
      </c>
      <c r="BM1288" t="s">
        <v>120</v>
      </c>
      <c r="BN1288" t="s">
        <v>120</v>
      </c>
      <c r="BO1288">
        <v>17.510000000000002</v>
      </c>
      <c r="BP1288">
        <v>27.05</v>
      </c>
      <c r="BQ1288">
        <v>15.26</v>
      </c>
      <c r="BR1288">
        <v>0.06</v>
      </c>
      <c r="BS1288">
        <v>12.53</v>
      </c>
      <c r="BT1288">
        <v>15.01</v>
      </c>
      <c r="BU1288">
        <v>0.24</v>
      </c>
      <c r="BV1288">
        <v>0.82</v>
      </c>
      <c r="BW1288">
        <v>1.31</v>
      </c>
      <c r="BX1288">
        <v>6.15</v>
      </c>
      <c r="BY1288">
        <v>1.66</v>
      </c>
      <c r="BZ1288">
        <v>1.9</v>
      </c>
      <c r="CA1288" t="s">
        <v>120</v>
      </c>
      <c r="CB1288">
        <v>6.49</v>
      </c>
      <c r="CC1288">
        <v>0.6</v>
      </c>
      <c r="CD1288">
        <v>0.24</v>
      </c>
      <c r="CE1288">
        <v>-0.22</v>
      </c>
      <c r="CF1288">
        <v>0.06</v>
      </c>
      <c r="CG1288">
        <v>-0.22</v>
      </c>
      <c r="CH1288">
        <v>-0.18</v>
      </c>
      <c r="CI1288">
        <v>-0.17</v>
      </c>
      <c r="CJ1288">
        <v>-0.23</v>
      </c>
      <c r="CK1288">
        <v>-0.22</v>
      </c>
      <c r="CL1288">
        <v>6.81</v>
      </c>
      <c r="CM1288">
        <v>0.05</v>
      </c>
      <c r="CN1288">
        <v>-0.08</v>
      </c>
      <c r="CO1288">
        <v>16075</v>
      </c>
      <c r="CP1288">
        <v>3039</v>
      </c>
      <c r="CQ1288" t="s">
        <v>6999</v>
      </c>
      <c r="CR1288">
        <v>-132.75</v>
      </c>
      <c r="CS1288">
        <v>-56.9</v>
      </c>
      <c r="CT1288">
        <v>2.08</v>
      </c>
      <c r="CU1288">
        <v>598.04999999999995</v>
      </c>
      <c r="CV1288">
        <v>52.97</v>
      </c>
      <c r="CW1288">
        <v>1.1299999999999999</v>
      </c>
      <c r="CX1288" t="s">
        <v>932</v>
      </c>
      <c r="CY1288">
        <v>13.01</v>
      </c>
      <c r="CZ1288">
        <v>0</v>
      </c>
      <c r="DA1288">
        <v>5.53</v>
      </c>
      <c r="DB1288">
        <v>5.81</v>
      </c>
      <c r="DC1288">
        <v>0.05</v>
      </c>
      <c r="DD1288">
        <v>87.16</v>
      </c>
      <c r="DE1288" t="s">
        <v>6249</v>
      </c>
      <c r="DF1288">
        <v>59.98</v>
      </c>
      <c r="DG1288">
        <v>-36.93</v>
      </c>
      <c r="DH1288">
        <v>-27.77</v>
      </c>
      <c r="DI1288">
        <v>0.15</v>
      </c>
      <c r="DJ1288">
        <v>322</v>
      </c>
      <c r="DK1288">
        <v>2933</v>
      </c>
      <c r="DL1288" t="s">
        <v>120</v>
      </c>
      <c r="DM1288" t="s">
        <v>120</v>
      </c>
      <c r="DN1288" t="s">
        <v>120</v>
      </c>
    </row>
    <row r="1289" spans="1:118">
      <c r="A1289" t="str">
        <f>"002935"</f>
        <v>002935</v>
      </c>
      <c r="B1289" t="s">
        <v>7000</v>
      </c>
      <c r="C1289">
        <v>-1.17</v>
      </c>
      <c r="D1289">
        <v>0.12</v>
      </c>
      <c r="E1289">
        <v>0.78</v>
      </c>
      <c r="F1289">
        <v>854</v>
      </c>
      <c r="G1289" t="s">
        <v>7001</v>
      </c>
      <c r="H1289">
        <v>15920.77</v>
      </c>
      <c r="I1289">
        <v>101.71</v>
      </c>
      <c r="J1289" t="s">
        <v>120</v>
      </c>
      <c r="K1289" t="s">
        <v>7002</v>
      </c>
      <c r="L1289">
        <v>3.12</v>
      </c>
      <c r="M1289">
        <v>25.25</v>
      </c>
      <c r="N1289">
        <v>0.73</v>
      </c>
      <c r="O1289">
        <v>2.78</v>
      </c>
      <c r="P1289">
        <v>26.26</v>
      </c>
      <c r="Q1289">
        <v>-1.37</v>
      </c>
      <c r="R1289">
        <v>25.2</v>
      </c>
      <c r="S1289">
        <v>25.75</v>
      </c>
      <c r="T1289">
        <v>62147</v>
      </c>
      <c r="U1289">
        <v>25.26</v>
      </c>
      <c r="V1289">
        <v>25.55</v>
      </c>
      <c r="W1289">
        <v>76.88</v>
      </c>
      <c r="X1289" t="s">
        <v>229</v>
      </c>
      <c r="Y1289" t="s">
        <v>578</v>
      </c>
      <c r="Z1289">
        <v>4.1500000000000004</v>
      </c>
      <c r="AA1289">
        <v>25.62</v>
      </c>
      <c r="AB1289">
        <v>38289</v>
      </c>
      <c r="AC1289">
        <v>23858</v>
      </c>
      <c r="AD1289">
        <v>1.6</v>
      </c>
      <c r="AE1289">
        <v>394</v>
      </c>
      <c r="AF1289">
        <v>1</v>
      </c>
      <c r="AG1289" t="s">
        <v>120</v>
      </c>
      <c r="AH1289">
        <v>0.04</v>
      </c>
      <c r="AI1289" t="s">
        <v>120</v>
      </c>
      <c r="AJ1289">
        <v>1.99</v>
      </c>
      <c r="AK1289" t="s">
        <v>7003</v>
      </c>
      <c r="AL1289">
        <v>0.74</v>
      </c>
      <c r="AM1289">
        <v>3107</v>
      </c>
      <c r="AN1289">
        <v>20</v>
      </c>
      <c r="AO1289">
        <v>1E-3</v>
      </c>
      <c r="AP1289">
        <v>-5</v>
      </c>
      <c r="AQ1289">
        <v>-1.01</v>
      </c>
      <c r="AR1289">
        <v>-2.89</v>
      </c>
      <c r="AS1289">
        <v>19.61</v>
      </c>
      <c r="AT1289">
        <v>11.87</v>
      </c>
      <c r="AU1289">
        <v>-8.94</v>
      </c>
      <c r="AV1289">
        <v>1</v>
      </c>
      <c r="AW1289">
        <v>5.69</v>
      </c>
      <c r="AX1289">
        <v>52.52</v>
      </c>
      <c r="AY1289">
        <v>48.07</v>
      </c>
      <c r="AZ1289">
        <v>52.39</v>
      </c>
      <c r="BA1289">
        <v>0.76</v>
      </c>
      <c r="BB1289" t="s">
        <v>143</v>
      </c>
      <c r="BF1289">
        <v>0.27</v>
      </c>
      <c r="BG1289">
        <v>-1.94</v>
      </c>
      <c r="BH1289">
        <v>-3.85</v>
      </c>
      <c r="BI1289">
        <v>0.2</v>
      </c>
      <c r="BJ1289">
        <v>20210902</v>
      </c>
      <c r="BK1289">
        <v>20180903</v>
      </c>
      <c r="BL1289">
        <v>2.08</v>
      </c>
      <c r="BM1289" t="s">
        <v>120</v>
      </c>
      <c r="BN1289" t="s">
        <v>120</v>
      </c>
      <c r="BO1289">
        <v>19.559999999999999</v>
      </c>
      <c r="BP1289">
        <v>25.25</v>
      </c>
      <c r="BQ1289">
        <v>13.29</v>
      </c>
      <c r="BR1289" t="s">
        <v>120</v>
      </c>
      <c r="BS1289">
        <v>32.07</v>
      </c>
      <c r="BT1289">
        <v>17.100000000000001</v>
      </c>
      <c r="BU1289">
        <v>0.31</v>
      </c>
      <c r="BV1289">
        <v>0.09</v>
      </c>
      <c r="BW1289">
        <v>5.91</v>
      </c>
      <c r="BX1289">
        <v>2.17</v>
      </c>
      <c r="BY1289">
        <v>5.97</v>
      </c>
      <c r="BZ1289">
        <v>5.25</v>
      </c>
      <c r="CA1289" t="s">
        <v>120</v>
      </c>
      <c r="CB1289">
        <v>4.43</v>
      </c>
      <c r="CC1289">
        <v>3.66</v>
      </c>
      <c r="CD1289">
        <v>2.61</v>
      </c>
      <c r="CE1289">
        <v>0.35</v>
      </c>
      <c r="CF1289">
        <v>0.03</v>
      </c>
      <c r="CG1289">
        <v>0.35</v>
      </c>
      <c r="CH1289">
        <v>0.34</v>
      </c>
      <c r="CI1289">
        <v>0.34</v>
      </c>
      <c r="CJ1289">
        <v>-0.3</v>
      </c>
      <c r="CK1289">
        <v>0.31</v>
      </c>
      <c r="CL1289">
        <v>5.93</v>
      </c>
      <c r="CM1289">
        <v>-0.85</v>
      </c>
      <c r="CN1289">
        <v>-1.67</v>
      </c>
      <c r="CO1289">
        <v>20287</v>
      </c>
      <c r="CP1289">
        <v>5385</v>
      </c>
      <c r="CQ1289" t="s">
        <v>7004</v>
      </c>
      <c r="CR1289">
        <v>36.4</v>
      </c>
      <c r="CS1289">
        <v>27.3</v>
      </c>
      <c r="CT1289">
        <v>3.95</v>
      </c>
      <c r="CU1289">
        <v>-61.56</v>
      </c>
      <c r="CV1289">
        <v>14.35</v>
      </c>
      <c r="CW1289">
        <v>0.98</v>
      </c>
      <c r="CX1289" t="s">
        <v>3394</v>
      </c>
      <c r="CY1289">
        <v>6.39</v>
      </c>
      <c r="CZ1289">
        <v>0</v>
      </c>
      <c r="DA1289">
        <v>2.13</v>
      </c>
      <c r="DB1289">
        <v>2.85</v>
      </c>
      <c r="DC1289">
        <v>-0.41</v>
      </c>
      <c r="DD1289">
        <v>67.930000000000007</v>
      </c>
      <c r="DE1289" t="s">
        <v>703</v>
      </c>
      <c r="DF1289">
        <v>28.76</v>
      </c>
      <c r="DG1289">
        <v>9.57</v>
      </c>
      <c r="DH1289">
        <v>9.33</v>
      </c>
      <c r="DI1289">
        <v>0.32</v>
      </c>
      <c r="DJ1289">
        <v>590</v>
      </c>
      <c r="DK1289">
        <v>2935</v>
      </c>
      <c r="DL1289" t="s">
        <v>120</v>
      </c>
      <c r="DM1289" t="s">
        <v>120</v>
      </c>
      <c r="DN1289" t="s">
        <v>120</v>
      </c>
    </row>
    <row r="1290" spans="1:118">
      <c r="A1290" t="str">
        <f>"002936"</f>
        <v>002936</v>
      </c>
      <c r="B1290" t="s">
        <v>7005</v>
      </c>
      <c r="C1290">
        <v>-1.43</v>
      </c>
      <c r="D1290">
        <v>-0.85</v>
      </c>
      <c r="E1290">
        <v>0.28999999999999998</v>
      </c>
      <c r="F1290">
        <v>29197</v>
      </c>
      <c r="G1290" t="s">
        <v>7006</v>
      </c>
      <c r="H1290">
        <v>5548.23</v>
      </c>
      <c r="I1290">
        <v>68.97</v>
      </c>
      <c r="J1290" t="s">
        <v>120</v>
      </c>
      <c r="K1290" t="s">
        <v>7006</v>
      </c>
      <c r="L1290">
        <v>0.72</v>
      </c>
      <c r="M1290">
        <v>3.45</v>
      </c>
      <c r="N1290">
        <v>0.88</v>
      </c>
      <c r="O1290">
        <v>0.56999999999999995</v>
      </c>
      <c r="P1290">
        <v>3.52</v>
      </c>
      <c r="Q1290">
        <v>-1.43</v>
      </c>
      <c r="R1290">
        <v>3.45</v>
      </c>
      <c r="S1290">
        <v>3.51</v>
      </c>
      <c r="T1290">
        <v>158905</v>
      </c>
      <c r="U1290">
        <v>3.45</v>
      </c>
      <c r="V1290">
        <v>3.5</v>
      </c>
      <c r="W1290">
        <v>5.28</v>
      </c>
      <c r="X1290" t="s">
        <v>122</v>
      </c>
      <c r="Y1290" t="s">
        <v>645</v>
      </c>
      <c r="Z1290">
        <v>2</v>
      </c>
      <c r="AA1290">
        <v>3.49</v>
      </c>
      <c r="AB1290">
        <v>87476</v>
      </c>
      <c r="AC1290">
        <v>71429</v>
      </c>
      <c r="AD1290">
        <v>1.22</v>
      </c>
      <c r="AE1290">
        <v>1999</v>
      </c>
      <c r="AF1290">
        <v>2741</v>
      </c>
      <c r="AG1290" t="s">
        <v>120</v>
      </c>
      <c r="AH1290">
        <v>0.01</v>
      </c>
      <c r="AI1290" t="s">
        <v>120</v>
      </c>
      <c r="AJ1290">
        <v>22</v>
      </c>
      <c r="AK1290" t="s">
        <v>7007</v>
      </c>
      <c r="AL1290">
        <v>0.49</v>
      </c>
      <c r="AM1290">
        <v>1951</v>
      </c>
      <c r="AN1290">
        <v>81</v>
      </c>
      <c r="AO1290">
        <v>4.0000000000000002E-4</v>
      </c>
      <c r="AP1290">
        <v>-4</v>
      </c>
      <c r="AQ1290">
        <v>-0.56999999999999995</v>
      </c>
      <c r="AR1290">
        <v>-2.82</v>
      </c>
      <c r="AS1290">
        <v>0</v>
      </c>
      <c r="AT1290">
        <v>-6.25</v>
      </c>
      <c r="AU1290">
        <v>-22.64</v>
      </c>
      <c r="AV1290">
        <v>2</v>
      </c>
      <c r="AW1290">
        <v>0.72</v>
      </c>
      <c r="AX1290">
        <v>37.64</v>
      </c>
      <c r="AY1290">
        <v>8.2100000000000009</v>
      </c>
      <c r="AZ1290">
        <v>8.3000000000000007</v>
      </c>
      <c r="BA1290">
        <v>0.17</v>
      </c>
      <c r="BB1290" t="s">
        <v>4676</v>
      </c>
      <c r="BF1290">
        <v>-0.24</v>
      </c>
      <c r="BG1290">
        <v>-1.71</v>
      </c>
      <c r="BH1290">
        <v>-1.99</v>
      </c>
      <c r="BI1290">
        <v>0</v>
      </c>
      <c r="BJ1290">
        <v>20210830</v>
      </c>
      <c r="BK1290">
        <v>20180919</v>
      </c>
      <c r="BL1290">
        <v>75.14</v>
      </c>
      <c r="BM1290" t="s">
        <v>120</v>
      </c>
      <c r="BN1290">
        <v>16.7</v>
      </c>
      <c r="BO1290">
        <v>5719.7</v>
      </c>
      <c r="BP1290">
        <v>3.44</v>
      </c>
      <c r="BQ1290">
        <v>473.81</v>
      </c>
      <c r="BR1290">
        <v>15.6</v>
      </c>
      <c r="BS1290">
        <v>91.44</v>
      </c>
      <c r="BT1290">
        <v>0</v>
      </c>
      <c r="BU1290">
        <v>27.07</v>
      </c>
      <c r="BV1290">
        <v>10.17</v>
      </c>
      <c r="BW1290">
        <v>0</v>
      </c>
      <c r="BX1290">
        <v>332.34</v>
      </c>
      <c r="BY1290">
        <v>0</v>
      </c>
      <c r="BZ1290">
        <v>0</v>
      </c>
      <c r="CA1290" t="s">
        <v>120</v>
      </c>
      <c r="CB1290">
        <v>82.04</v>
      </c>
      <c r="CC1290">
        <v>69.48</v>
      </c>
      <c r="CD1290">
        <v>0</v>
      </c>
      <c r="CE1290">
        <v>31.65</v>
      </c>
      <c r="CF1290">
        <v>4.75</v>
      </c>
      <c r="CG1290">
        <v>31.61</v>
      </c>
      <c r="CH1290">
        <v>25.4</v>
      </c>
      <c r="CI1290">
        <v>24.54</v>
      </c>
      <c r="CJ1290">
        <v>-0.05</v>
      </c>
      <c r="CK1290">
        <v>24.44</v>
      </c>
      <c r="CL1290">
        <v>141.09</v>
      </c>
      <c r="CM1290">
        <v>-55.64</v>
      </c>
      <c r="CN1290">
        <v>-53.42</v>
      </c>
      <c r="CO1290">
        <v>107365</v>
      </c>
      <c r="CP1290">
        <v>20489</v>
      </c>
      <c r="CQ1290" t="s">
        <v>7008</v>
      </c>
      <c r="CR1290">
        <v>1.49</v>
      </c>
      <c r="CS1290">
        <v>-9.8699999999999992</v>
      </c>
      <c r="CT1290">
        <v>0.66</v>
      </c>
      <c r="CU1290">
        <v>-4.66</v>
      </c>
      <c r="CV1290">
        <v>3.73</v>
      </c>
      <c r="CW1290">
        <v>0</v>
      </c>
      <c r="CX1290" t="s">
        <v>2443</v>
      </c>
      <c r="CY1290">
        <v>5.26</v>
      </c>
      <c r="CZ1290">
        <v>5.26</v>
      </c>
      <c r="DA1290">
        <v>1.0900000000000001</v>
      </c>
      <c r="DB1290">
        <v>1.88</v>
      </c>
      <c r="DC1290">
        <v>-0.74</v>
      </c>
      <c r="DD1290">
        <v>8.2799999999999994</v>
      </c>
      <c r="DE1290" t="s">
        <v>153</v>
      </c>
      <c r="DF1290" t="s">
        <v>120</v>
      </c>
      <c r="DG1290">
        <v>45.56</v>
      </c>
      <c r="DH1290">
        <v>35.32</v>
      </c>
      <c r="DI1290" t="s">
        <v>120</v>
      </c>
      <c r="DJ1290">
        <v>5384</v>
      </c>
      <c r="DK1290">
        <v>2936</v>
      </c>
      <c r="DL1290" t="s">
        <v>120</v>
      </c>
      <c r="DM1290" t="s">
        <v>120</v>
      </c>
      <c r="DN1290" t="s">
        <v>120</v>
      </c>
    </row>
    <row r="1291" spans="1:118">
      <c r="A1291" t="str">
        <f>"002937"</f>
        <v>002937</v>
      </c>
      <c r="B1291" t="s">
        <v>7009</v>
      </c>
      <c r="C1291">
        <v>-0.32</v>
      </c>
      <c r="D1291">
        <v>0</v>
      </c>
      <c r="E1291">
        <v>-0.32</v>
      </c>
      <c r="F1291">
        <v>154</v>
      </c>
      <c r="G1291" t="s">
        <v>929</v>
      </c>
      <c r="H1291">
        <v>1499.22</v>
      </c>
      <c r="I1291">
        <v>0</v>
      </c>
      <c r="J1291" t="s">
        <v>120</v>
      </c>
      <c r="K1291" t="s">
        <v>929</v>
      </c>
      <c r="L1291">
        <v>1.24</v>
      </c>
      <c r="M1291">
        <v>12.35</v>
      </c>
      <c r="N1291">
        <v>0.76</v>
      </c>
      <c r="O1291">
        <v>0.73</v>
      </c>
      <c r="P1291">
        <v>12.48</v>
      </c>
      <c r="Q1291">
        <v>-0.73</v>
      </c>
      <c r="R1291">
        <v>12.3</v>
      </c>
      <c r="S1291">
        <v>12.35</v>
      </c>
      <c r="T1291">
        <v>12117</v>
      </c>
      <c r="U1291">
        <v>12.35</v>
      </c>
      <c r="V1291">
        <v>12.39</v>
      </c>
      <c r="W1291">
        <v>29.21</v>
      </c>
      <c r="X1291" t="s">
        <v>229</v>
      </c>
      <c r="Y1291" t="s">
        <v>585</v>
      </c>
      <c r="Z1291">
        <v>1.45</v>
      </c>
      <c r="AA1291">
        <v>12.37</v>
      </c>
      <c r="AB1291">
        <v>7288</v>
      </c>
      <c r="AC1291">
        <v>4829</v>
      </c>
      <c r="AD1291">
        <v>1.51</v>
      </c>
      <c r="AE1291">
        <v>29</v>
      </c>
      <c r="AF1291">
        <v>36</v>
      </c>
      <c r="AG1291" t="s">
        <v>120</v>
      </c>
      <c r="AH1291">
        <v>0</v>
      </c>
      <c r="AI1291" t="s">
        <v>120</v>
      </c>
      <c r="AJ1291">
        <v>0.98</v>
      </c>
      <c r="AK1291" t="s">
        <v>5737</v>
      </c>
      <c r="AL1291">
        <v>1.59</v>
      </c>
      <c r="AM1291">
        <v>753</v>
      </c>
      <c r="AN1291">
        <v>16</v>
      </c>
      <c r="AO1291">
        <v>1.6000000000000001E-3</v>
      </c>
      <c r="AP1291">
        <v>-3</v>
      </c>
      <c r="AQ1291">
        <v>-1.43</v>
      </c>
      <c r="AR1291">
        <v>-3.05</v>
      </c>
      <c r="AS1291">
        <v>-16.27</v>
      </c>
      <c r="AT1291">
        <v>-9.4499999999999993</v>
      </c>
      <c r="AU1291">
        <v>-0.56000000000000005</v>
      </c>
      <c r="AV1291">
        <v>1</v>
      </c>
      <c r="AW1291">
        <v>1.24</v>
      </c>
      <c r="AX1291">
        <v>32.79</v>
      </c>
      <c r="AY1291">
        <v>27.87</v>
      </c>
      <c r="AZ1291">
        <v>28.97</v>
      </c>
      <c r="BA1291">
        <v>0.76</v>
      </c>
      <c r="BB1291" t="s">
        <v>143</v>
      </c>
      <c r="BF1291">
        <v>-0.14000000000000001</v>
      </c>
      <c r="BG1291">
        <v>0</v>
      </c>
      <c r="BH1291">
        <v>-1.04</v>
      </c>
      <c r="BI1291">
        <v>0.41</v>
      </c>
      <c r="BJ1291">
        <v>20210914</v>
      </c>
      <c r="BK1291">
        <v>20180926</v>
      </c>
      <c r="BL1291">
        <v>2.98</v>
      </c>
      <c r="BM1291" t="s">
        <v>120</v>
      </c>
      <c r="BN1291" t="s">
        <v>120</v>
      </c>
      <c r="BO1291">
        <v>12.59</v>
      </c>
      <c r="BP1291">
        <v>12.34</v>
      </c>
      <c r="BQ1291">
        <v>10.029999999999999</v>
      </c>
      <c r="BR1291">
        <v>0</v>
      </c>
      <c r="BS1291">
        <v>20.36</v>
      </c>
      <c r="BT1291">
        <v>8.8000000000000007</v>
      </c>
      <c r="BU1291">
        <v>2.5499999999999998</v>
      </c>
      <c r="BV1291">
        <v>0.59</v>
      </c>
      <c r="BW1291">
        <v>2.4700000000000002</v>
      </c>
      <c r="BX1291">
        <v>3.74</v>
      </c>
      <c r="BY1291">
        <v>1.02</v>
      </c>
      <c r="BZ1291">
        <v>2.92</v>
      </c>
      <c r="CA1291" t="s">
        <v>120</v>
      </c>
      <c r="CB1291">
        <v>3.47</v>
      </c>
      <c r="CC1291">
        <v>5.84</v>
      </c>
      <c r="CD1291">
        <v>4.24</v>
      </c>
      <c r="CE1291">
        <v>0.69</v>
      </c>
      <c r="CF1291">
        <v>0.05</v>
      </c>
      <c r="CG1291">
        <v>0.69</v>
      </c>
      <c r="CH1291">
        <v>0.63</v>
      </c>
      <c r="CI1291">
        <v>0.63</v>
      </c>
      <c r="CJ1291">
        <v>-0.04</v>
      </c>
      <c r="CK1291">
        <v>0.57999999999999996</v>
      </c>
      <c r="CL1291">
        <v>3.55</v>
      </c>
      <c r="CM1291">
        <v>0.5</v>
      </c>
      <c r="CN1291">
        <v>-0.64</v>
      </c>
      <c r="CO1291">
        <v>17426</v>
      </c>
      <c r="CP1291">
        <v>5599</v>
      </c>
      <c r="CQ1291" t="s">
        <v>7010</v>
      </c>
      <c r="CR1291">
        <v>8.75</v>
      </c>
      <c r="CS1291">
        <v>26.96</v>
      </c>
      <c r="CT1291">
        <v>3.66</v>
      </c>
      <c r="CU1291">
        <v>73.23</v>
      </c>
      <c r="CV1291">
        <v>6.3</v>
      </c>
      <c r="CW1291">
        <v>1.45</v>
      </c>
      <c r="CX1291" t="s">
        <v>2097</v>
      </c>
      <c r="CY1291">
        <v>3.37</v>
      </c>
      <c r="CZ1291">
        <v>0</v>
      </c>
      <c r="DA1291">
        <v>1.17</v>
      </c>
      <c r="DB1291">
        <v>1.19</v>
      </c>
      <c r="DC1291">
        <v>0.17</v>
      </c>
      <c r="DD1291">
        <v>79.64</v>
      </c>
      <c r="DE1291" t="s">
        <v>4446</v>
      </c>
      <c r="DF1291">
        <v>27.42</v>
      </c>
      <c r="DG1291">
        <v>11.77</v>
      </c>
      <c r="DH1291">
        <v>10.78</v>
      </c>
      <c r="DI1291">
        <v>0.26</v>
      </c>
      <c r="DJ1291">
        <v>2819</v>
      </c>
      <c r="DK1291">
        <v>2937</v>
      </c>
      <c r="DL1291" t="s">
        <v>120</v>
      </c>
      <c r="DM1291" t="s">
        <v>120</v>
      </c>
      <c r="DN1291" t="s">
        <v>120</v>
      </c>
    </row>
    <row r="1292" spans="1:118">
      <c r="A1292" t="str">
        <f>"002938"</f>
        <v>002938</v>
      </c>
      <c r="B1292" t="s">
        <v>7011</v>
      </c>
      <c r="C1292">
        <v>7.0000000000000007E-2</v>
      </c>
      <c r="D1292">
        <v>-0.16</v>
      </c>
      <c r="E1292">
        <v>-0.2</v>
      </c>
      <c r="F1292">
        <v>2410</v>
      </c>
      <c r="G1292" t="s">
        <v>7012</v>
      </c>
      <c r="H1292">
        <v>25421.47</v>
      </c>
      <c r="I1292">
        <v>93.22</v>
      </c>
      <c r="J1292" t="s">
        <v>120</v>
      </c>
      <c r="K1292" t="s">
        <v>7013</v>
      </c>
      <c r="L1292">
        <v>1.65</v>
      </c>
      <c r="M1292">
        <v>30.15</v>
      </c>
      <c r="N1292">
        <v>1.26</v>
      </c>
      <c r="O1292">
        <v>0.76</v>
      </c>
      <c r="P1292">
        <v>30.36</v>
      </c>
      <c r="Q1292">
        <v>-3.29</v>
      </c>
      <c r="R1292">
        <v>29.14</v>
      </c>
      <c r="S1292">
        <v>30.07</v>
      </c>
      <c r="T1292">
        <v>85165</v>
      </c>
      <c r="U1292">
        <v>30.18</v>
      </c>
      <c r="V1292">
        <v>30.13</v>
      </c>
      <c r="W1292">
        <v>55.26</v>
      </c>
      <c r="X1292" t="s">
        <v>229</v>
      </c>
      <c r="Y1292" t="s">
        <v>123</v>
      </c>
      <c r="Z1292">
        <v>4.05</v>
      </c>
      <c r="AA1292">
        <v>29.85</v>
      </c>
      <c r="AB1292">
        <v>36386</v>
      </c>
      <c r="AC1292">
        <v>48779</v>
      </c>
      <c r="AD1292">
        <v>0.75</v>
      </c>
      <c r="AE1292">
        <v>35</v>
      </c>
      <c r="AF1292">
        <v>30</v>
      </c>
      <c r="AG1292" t="s">
        <v>120</v>
      </c>
      <c r="AH1292">
        <v>0.01</v>
      </c>
      <c r="AI1292" t="s">
        <v>120</v>
      </c>
      <c r="AJ1292">
        <v>5.17</v>
      </c>
      <c r="AK1292" t="s">
        <v>7014</v>
      </c>
      <c r="AL1292">
        <v>1.98</v>
      </c>
      <c r="AM1292">
        <v>3421</v>
      </c>
      <c r="AN1292">
        <v>25</v>
      </c>
      <c r="AO1292">
        <v>5.0000000000000001E-4</v>
      </c>
      <c r="AP1292">
        <v>1</v>
      </c>
      <c r="AQ1292">
        <v>-0.17</v>
      </c>
      <c r="AR1292">
        <v>-1.57</v>
      </c>
      <c r="AS1292">
        <v>-12.1</v>
      </c>
      <c r="AT1292">
        <v>-15.75</v>
      </c>
      <c r="AU1292">
        <v>-38.68</v>
      </c>
      <c r="AV1292">
        <v>2</v>
      </c>
      <c r="AW1292">
        <v>1.68</v>
      </c>
      <c r="AX1292">
        <v>21.8</v>
      </c>
      <c r="AY1292">
        <v>26.07</v>
      </c>
      <c r="AZ1292">
        <v>24.62</v>
      </c>
      <c r="BA1292">
        <v>0.35</v>
      </c>
      <c r="BB1292" t="s">
        <v>134</v>
      </c>
      <c r="BF1292">
        <v>-0.93</v>
      </c>
      <c r="BG1292">
        <v>0.27</v>
      </c>
      <c r="BH1292">
        <v>-0.69</v>
      </c>
      <c r="BI1292">
        <v>3.47</v>
      </c>
      <c r="BJ1292">
        <v>20210831</v>
      </c>
      <c r="BK1292">
        <v>20180918</v>
      </c>
      <c r="BL1292">
        <v>23.21</v>
      </c>
      <c r="BM1292" t="s">
        <v>120</v>
      </c>
      <c r="BN1292" t="s">
        <v>120</v>
      </c>
      <c r="BO1292">
        <v>318.88</v>
      </c>
      <c r="BP1292">
        <v>30.15</v>
      </c>
      <c r="BQ1292">
        <v>212.4</v>
      </c>
      <c r="BR1292">
        <v>0</v>
      </c>
      <c r="BS1292">
        <v>33.39</v>
      </c>
      <c r="BT1292">
        <v>133.44999999999999</v>
      </c>
      <c r="BU1292">
        <v>134.43</v>
      </c>
      <c r="BV1292">
        <v>17.5</v>
      </c>
      <c r="BW1292">
        <v>99.72</v>
      </c>
      <c r="BX1292">
        <v>36.17</v>
      </c>
      <c r="BY1292">
        <v>41.02</v>
      </c>
      <c r="BZ1292">
        <v>45.23</v>
      </c>
      <c r="CA1292" t="s">
        <v>120</v>
      </c>
      <c r="CB1292">
        <v>125.41</v>
      </c>
      <c r="CC1292">
        <v>119.65</v>
      </c>
      <c r="CD1292">
        <v>97.16</v>
      </c>
      <c r="CE1292">
        <v>7.48</v>
      </c>
      <c r="CF1292">
        <v>0.01</v>
      </c>
      <c r="CG1292">
        <v>7.53</v>
      </c>
      <c r="CH1292">
        <v>6.32</v>
      </c>
      <c r="CI1292">
        <v>6.33</v>
      </c>
      <c r="CJ1292">
        <v>0.02</v>
      </c>
      <c r="CK1292">
        <v>4.59</v>
      </c>
      <c r="CL1292">
        <v>58.47</v>
      </c>
      <c r="CM1292">
        <v>18.97</v>
      </c>
      <c r="CN1292">
        <v>-20.260000000000002</v>
      </c>
      <c r="CO1292">
        <v>85150</v>
      </c>
      <c r="CP1292">
        <v>5942</v>
      </c>
      <c r="CQ1292" t="s">
        <v>4282</v>
      </c>
      <c r="CR1292">
        <v>-20</v>
      </c>
      <c r="CS1292">
        <v>18.29</v>
      </c>
      <c r="CT1292">
        <v>3.3</v>
      </c>
      <c r="CU1292">
        <v>36.9</v>
      </c>
      <c r="CV1292">
        <v>5.85</v>
      </c>
      <c r="CW1292">
        <v>1.65</v>
      </c>
      <c r="CX1292" t="s">
        <v>1233</v>
      </c>
      <c r="CY1292">
        <v>9.15</v>
      </c>
      <c r="CZ1292">
        <v>0</v>
      </c>
      <c r="DA1292">
        <v>5.4</v>
      </c>
      <c r="DB1292">
        <v>2.52</v>
      </c>
      <c r="DC1292">
        <v>0.82</v>
      </c>
      <c r="DD1292">
        <v>66.61</v>
      </c>
      <c r="DE1292" t="s">
        <v>3152</v>
      </c>
      <c r="DF1292">
        <v>18.79</v>
      </c>
      <c r="DG1292">
        <v>6.25</v>
      </c>
      <c r="DH1292">
        <v>5.29</v>
      </c>
      <c r="DI1292">
        <v>7.61</v>
      </c>
      <c r="DJ1292">
        <v>43567</v>
      </c>
      <c r="DK1292">
        <v>2938</v>
      </c>
      <c r="DL1292" t="s">
        <v>120</v>
      </c>
      <c r="DM1292" t="s">
        <v>120</v>
      </c>
      <c r="DN1292" t="s">
        <v>120</v>
      </c>
    </row>
    <row r="1293" spans="1:118">
      <c r="A1293" t="str">
        <f>"002939"</f>
        <v>002939</v>
      </c>
      <c r="B1293" t="s">
        <v>7015</v>
      </c>
      <c r="C1293">
        <v>-2.16</v>
      </c>
      <c r="D1293">
        <v>-0.46</v>
      </c>
      <c r="E1293">
        <v>1.08</v>
      </c>
      <c r="F1293">
        <v>9526</v>
      </c>
      <c r="G1293" t="s">
        <v>7016</v>
      </c>
      <c r="H1293">
        <v>72564.27</v>
      </c>
      <c r="I1293">
        <v>683.42</v>
      </c>
      <c r="J1293" t="s">
        <v>120</v>
      </c>
      <c r="K1293" t="s">
        <v>7017</v>
      </c>
      <c r="L1293">
        <v>3.38</v>
      </c>
      <c r="M1293">
        <v>12.69</v>
      </c>
      <c r="N1293">
        <v>0.67</v>
      </c>
      <c r="O1293">
        <v>1.85</v>
      </c>
      <c r="P1293">
        <v>13.21</v>
      </c>
      <c r="Q1293">
        <v>-2.78</v>
      </c>
      <c r="R1293">
        <v>12.61</v>
      </c>
      <c r="S1293">
        <v>13.11</v>
      </c>
      <c r="T1293">
        <v>562961</v>
      </c>
      <c r="U1293">
        <v>12.7</v>
      </c>
      <c r="V1293">
        <v>12.97</v>
      </c>
      <c r="W1293">
        <v>23.63</v>
      </c>
      <c r="X1293" t="s">
        <v>616</v>
      </c>
      <c r="Y1293" t="s">
        <v>123</v>
      </c>
      <c r="Z1293">
        <v>4.63</v>
      </c>
      <c r="AA1293">
        <v>12.89</v>
      </c>
      <c r="AB1293">
        <v>271372</v>
      </c>
      <c r="AC1293">
        <v>291589</v>
      </c>
      <c r="AD1293">
        <v>0.93</v>
      </c>
      <c r="AE1293">
        <v>179</v>
      </c>
      <c r="AF1293">
        <v>110</v>
      </c>
      <c r="AG1293" t="s">
        <v>120</v>
      </c>
      <c r="AH1293">
        <v>0.06</v>
      </c>
      <c r="AI1293" t="s">
        <v>120</v>
      </c>
      <c r="AJ1293">
        <v>16.64</v>
      </c>
      <c r="AK1293" t="s">
        <v>7018</v>
      </c>
      <c r="AL1293">
        <v>-0.25</v>
      </c>
      <c r="AM1293">
        <v>4475</v>
      </c>
      <c r="AN1293">
        <v>126</v>
      </c>
      <c r="AO1293">
        <v>8.0000000000000004E-4</v>
      </c>
      <c r="AP1293">
        <v>-2</v>
      </c>
      <c r="AQ1293">
        <v>-3.06</v>
      </c>
      <c r="AR1293">
        <v>-3.86</v>
      </c>
      <c r="AS1293">
        <v>8.09</v>
      </c>
      <c r="AT1293">
        <v>27.79</v>
      </c>
      <c r="AU1293">
        <v>-0.62</v>
      </c>
      <c r="AV1293">
        <v>4</v>
      </c>
      <c r="AW1293">
        <v>6.35</v>
      </c>
      <c r="AX1293">
        <v>28.57</v>
      </c>
      <c r="AY1293">
        <v>24.13</v>
      </c>
      <c r="AZ1293">
        <v>26.8</v>
      </c>
      <c r="BA1293">
        <v>0.65</v>
      </c>
      <c r="BB1293" t="s">
        <v>125</v>
      </c>
      <c r="BF1293">
        <v>-0.62</v>
      </c>
      <c r="BG1293">
        <v>-3.2</v>
      </c>
      <c r="BH1293">
        <v>-3.94</v>
      </c>
      <c r="BI1293">
        <v>0.63</v>
      </c>
      <c r="BJ1293">
        <v>20210913</v>
      </c>
      <c r="BK1293">
        <v>20181026</v>
      </c>
      <c r="BL1293">
        <v>31.03</v>
      </c>
      <c r="BM1293" t="s">
        <v>120</v>
      </c>
      <c r="BN1293" t="s">
        <v>120</v>
      </c>
      <c r="BO1293">
        <v>880.89</v>
      </c>
      <c r="BP1293">
        <v>12.69</v>
      </c>
      <c r="BQ1293">
        <v>185.93</v>
      </c>
      <c r="BR1293">
        <v>4.7300000000000004</v>
      </c>
      <c r="BS1293">
        <v>78.36</v>
      </c>
      <c r="BT1293">
        <v>0</v>
      </c>
      <c r="BU1293">
        <v>1.56</v>
      </c>
      <c r="BV1293">
        <v>0.9</v>
      </c>
      <c r="BW1293">
        <v>0</v>
      </c>
      <c r="BX1293">
        <v>196.4</v>
      </c>
      <c r="BY1293">
        <v>0</v>
      </c>
      <c r="BZ1293">
        <v>0</v>
      </c>
      <c r="CA1293" t="s">
        <v>120</v>
      </c>
      <c r="CB1293">
        <v>92.2</v>
      </c>
      <c r="CC1293">
        <v>36.549999999999997</v>
      </c>
      <c r="CD1293">
        <v>0</v>
      </c>
      <c r="CE1293">
        <v>10.35</v>
      </c>
      <c r="CF1293">
        <v>9.39</v>
      </c>
      <c r="CG1293">
        <v>10.09</v>
      </c>
      <c r="CH1293">
        <v>8.56</v>
      </c>
      <c r="CI1293">
        <v>8.33</v>
      </c>
      <c r="CJ1293">
        <v>-0.28000000000000003</v>
      </c>
      <c r="CK1293">
        <v>8.35</v>
      </c>
      <c r="CL1293">
        <v>34.75</v>
      </c>
      <c r="CM1293">
        <v>-5.6</v>
      </c>
      <c r="CN1293">
        <v>42.88</v>
      </c>
      <c r="CO1293">
        <v>79927</v>
      </c>
      <c r="CP1293">
        <v>11095</v>
      </c>
      <c r="CQ1293" t="s">
        <v>6402</v>
      </c>
      <c r="CR1293">
        <v>24.93</v>
      </c>
      <c r="CS1293">
        <v>19.64</v>
      </c>
      <c r="CT1293">
        <v>2.12</v>
      </c>
      <c r="CU1293">
        <v>-70.34</v>
      </c>
      <c r="CV1293">
        <v>10.77</v>
      </c>
      <c r="CW1293">
        <v>0.77</v>
      </c>
      <c r="CX1293" t="s">
        <v>1233</v>
      </c>
      <c r="CY1293">
        <v>5.99</v>
      </c>
      <c r="CZ1293">
        <v>0</v>
      </c>
      <c r="DA1293">
        <v>2.97</v>
      </c>
      <c r="DB1293">
        <v>1.1200000000000001</v>
      </c>
      <c r="DC1293">
        <v>-0.18</v>
      </c>
      <c r="DD1293">
        <v>21.11</v>
      </c>
      <c r="DE1293" t="s">
        <v>7019</v>
      </c>
      <c r="DF1293" t="s">
        <v>120</v>
      </c>
      <c r="DG1293">
        <v>28.32</v>
      </c>
      <c r="DH1293">
        <v>22.8</v>
      </c>
      <c r="DI1293" t="s">
        <v>120</v>
      </c>
      <c r="DJ1293">
        <v>3314</v>
      </c>
      <c r="DK1293">
        <v>2939</v>
      </c>
      <c r="DL1293">
        <v>20210819</v>
      </c>
      <c r="DM1293">
        <v>11.74</v>
      </c>
      <c r="DN1293">
        <v>8.09</v>
      </c>
    </row>
    <row r="1294" spans="1:118">
      <c r="A1294" t="str">
        <f>"002940"</f>
        <v>002940</v>
      </c>
      <c r="B1294" t="s">
        <v>7020</v>
      </c>
      <c r="C1294">
        <v>-0.81</v>
      </c>
      <c r="D1294">
        <v>0.1</v>
      </c>
      <c r="E1294">
        <v>0</v>
      </c>
      <c r="F1294">
        <v>103</v>
      </c>
      <c r="G1294" t="s">
        <v>7021</v>
      </c>
      <c r="H1294">
        <v>2639.78</v>
      </c>
      <c r="I1294">
        <v>3.41</v>
      </c>
      <c r="J1294" t="s">
        <v>120</v>
      </c>
      <c r="K1294" t="s">
        <v>7022</v>
      </c>
      <c r="L1294">
        <v>1.7</v>
      </c>
      <c r="M1294">
        <v>30.76</v>
      </c>
      <c r="N1294">
        <v>0.94</v>
      </c>
      <c r="O1294">
        <v>0.77</v>
      </c>
      <c r="P1294">
        <v>31.25</v>
      </c>
      <c r="Q1294">
        <v>-0.9</v>
      </c>
      <c r="R1294">
        <v>30.73</v>
      </c>
      <c r="S1294">
        <v>31.01</v>
      </c>
      <c r="T1294">
        <v>8531</v>
      </c>
      <c r="U1294">
        <v>30.77</v>
      </c>
      <c r="V1294">
        <v>31.01</v>
      </c>
      <c r="W1294">
        <v>22.5</v>
      </c>
      <c r="X1294" t="s">
        <v>569</v>
      </c>
      <c r="Y1294" t="s">
        <v>585</v>
      </c>
      <c r="Z1294">
        <v>1.68</v>
      </c>
      <c r="AA1294">
        <v>30.94</v>
      </c>
      <c r="AB1294">
        <v>4983</v>
      </c>
      <c r="AC1294">
        <v>3548</v>
      </c>
      <c r="AD1294">
        <v>1.4</v>
      </c>
      <c r="AE1294">
        <v>101</v>
      </c>
      <c r="AF1294">
        <v>3</v>
      </c>
      <c r="AG1294" t="s">
        <v>120</v>
      </c>
      <c r="AH1294">
        <v>0</v>
      </c>
      <c r="AI1294" t="s">
        <v>120</v>
      </c>
      <c r="AJ1294">
        <v>0.5</v>
      </c>
      <c r="AK1294" t="s">
        <v>7023</v>
      </c>
      <c r="AL1294">
        <v>1.1100000000000001</v>
      </c>
      <c r="AM1294">
        <v>735</v>
      </c>
      <c r="AN1294">
        <v>12</v>
      </c>
      <c r="AO1294">
        <v>2.3E-3</v>
      </c>
      <c r="AP1294">
        <v>-3</v>
      </c>
      <c r="AQ1294">
        <v>-1.08</v>
      </c>
      <c r="AR1294">
        <v>-2.59</v>
      </c>
      <c r="AS1294">
        <v>-3.81</v>
      </c>
      <c r="AT1294">
        <v>-5.68</v>
      </c>
      <c r="AU1294">
        <v>-24.72</v>
      </c>
      <c r="AV1294">
        <v>5</v>
      </c>
      <c r="AW1294">
        <v>1.72</v>
      </c>
      <c r="AX1294">
        <v>51.68</v>
      </c>
      <c r="AY1294">
        <v>20.63</v>
      </c>
      <c r="AZ1294">
        <v>18.170000000000002</v>
      </c>
      <c r="BA1294">
        <v>0.88</v>
      </c>
      <c r="BB1294" t="s">
        <v>143</v>
      </c>
      <c r="BF1294">
        <v>-0.21</v>
      </c>
      <c r="BG1294">
        <v>-0.81</v>
      </c>
      <c r="BH1294">
        <v>-1.57</v>
      </c>
      <c r="BI1294">
        <v>0.1</v>
      </c>
      <c r="BJ1294">
        <v>20210821</v>
      </c>
      <c r="BK1294">
        <v>20181023</v>
      </c>
      <c r="BL1294">
        <v>0.96</v>
      </c>
      <c r="BM1294" t="s">
        <v>120</v>
      </c>
      <c r="BN1294" t="s">
        <v>120</v>
      </c>
      <c r="BO1294">
        <v>19.29</v>
      </c>
      <c r="BP1294">
        <v>30.76</v>
      </c>
      <c r="BQ1294">
        <v>12.83</v>
      </c>
      <c r="BR1294">
        <v>0.69</v>
      </c>
      <c r="BS1294">
        <v>29.89</v>
      </c>
      <c r="BT1294">
        <v>13.73</v>
      </c>
      <c r="BU1294">
        <v>2.59</v>
      </c>
      <c r="BV1294">
        <v>0.36</v>
      </c>
      <c r="BW1294">
        <v>5.61</v>
      </c>
      <c r="BX1294">
        <v>8.59</v>
      </c>
      <c r="BY1294">
        <v>2.9</v>
      </c>
      <c r="BZ1294">
        <v>1.53</v>
      </c>
      <c r="CA1294">
        <v>0</v>
      </c>
      <c r="CB1294">
        <v>8.25</v>
      </c>
      <c r="CC1294">
        <v>6.34</v>
      </c>
      <c r="CD1294">
        <v>1.98</v>
      </c>
      <c r="CE1294">
        <v>0.88</v>
      </c>
      <c r="CF1294">
        <v>-0.06</v>
      </c>
      <c r="CG1294">
        <v>0.87</v>
      </c>
      <c r="CH1294">
        <v>0.76</v>
      </c>
      <c r="CI1294">
        <v>0.66</v>
      </c>
      <c r="CJ1294">
        <v>-0.25</v>
      </c>
      <c r="CK1294">
        <v>0.62</v>
      </c>
      <c r="CL1294">
        <v>3.78</v>
      </c>
      <c r="CM1294">
        <v>1.32</v>
      </c>
      <c r="CN1294">
        <v>0.11</v>
      </c>
      <c r="CO1294">
        <v>15669</v>
      </c>
      <c r="CP1294">
        <v>3165</v>
      </c>
      <c r="CQ1294" t="s">
        <v>7024</v>
      </c>
      <c r="CR1294">
        <v>-22.91</v>
      </c>
      <c r="CS1294">
        <v>4.24</v>
      </c>
      <c r="CT1294">
        <v>2.2999999999999998</v>
      </c>
      <c r="CU1294">
        <v>22.43</v>
      </c>
      <c r="CV1294">
        <v>4.66</v>
      </c>
      <c r="CW1294">
        <v>1.58</v>
      </c>
      <c r="CX1294" t="s">
        <v>527</v>
      </c>
      <c r="CY1294">
        <v>13.37</v>
      </c>
      <c r="CZ1294">
        <v>0</v>
      </c>
      <c r="DA1294">
        <v>8.59</v>
      </c>
      <c r="DB1294">
        <v>3.94</v>
      </c>
      <c r="DC1294">
        <v>1.37</v>
      </c>
      <c r="DD1294">
        <v>66.510000000000005</v>
      </c>
      <c r="DE1294" t="s">
        <v>4904</v>
      </c>
      <c r="DF1294">
        <v>68.819999999999993</v>
      </c>
      <c r="DG1294">
        <v>13.87</v>
      </c>
      <c r="DH1294">
        <v>10.35</v>
      </c>
      <c r="DI1294">
        <v>0.23</v>
      </c>
      <c r="DJ1294">
        <v>910</v>
      </c>
      <c r="DK1294">
        <v>2940</v>
      </c>
      <c r="DL1294" t="s">
        <v>120</v>
      </c>
      <c r="DM1294" t="s">
        <v>120</v>
      </c>
      <c r="DN1294" t="s">
        <v>120</v>
      </c>
    </row>
    <row r="1295" spans="1:118">
      <c r="A1295" t="str">
        <f>"002941"</f>
        <v>002941</v>
      </c>
      <c r="B1295" t="s">
        <v>7025</v>
      </c>
      <c r="C1295">
        <v>2.09</v>
      </c>
      <c r="D1295">
        <v>0</v>
      </c>
      <c r="E1295">
        <v>0.8</v>
      </c>
      <c r="F1295">
        <v>2765</v>
      </c>
      <c r="G1295" t="s">
        <v>2776</v>
      </c>
      <c r="H1295">
        <v>29586.98</v>
      </c>
      <c r="I1295">
        <v>104.5</v>
      </c>
      <c r="J1295" t="s">
        <v>120</v>
      </c>
      <c r="K1295" t="s">
        <v>5487</v>
      </c>
      <c r="L1295">
        <v>11.99</v>
      </c>
      <c r="M1295">
        <v>12.69</v>
      </c>
      <c r="N1295">
        <v>0.94</v>
      </c>
      <c r="O1295">
        <v>5.47</v>
      </c>
      <c r="P1295">
        <v>13.11</v>
      </c>
      <c r="Q1295">
        <v>-0.24</v>
      </c>
      <c r="R1295">
        <v>12.4</v>
      </c>
      <c r="S1295">
        <v>12.53</v>
      </c>
      <c r="T1295">
        <v>230947</v>
      </c>
      <c r="U1295">
        <v>12.7</v>
      </c>
      <c r="V1295">
        <v>12.43</v>
      </c>
      <c r="W1295">
        <v>53.28</v>
      </c>
      <c r="X1295" t="s">
        <v>175</v>
      </c>
      <c r="Y1295" t="s">
        <v>609</v>
      </c>
      <c r="Z1295">
        <v>5.71</v>
      </c>
      <c r="AA1295">
        <v>12.81</v>
      </c>
      <c r="AB1295">
        <v>113244</v>
      </c>
      <c r="AC1295">
        <v>117703</v>
      </c>
      <c r="AD1295">
        <v>0.96</v>
      </c>
      <c r="AE1295">
        <v>124</v>
      </c>
      <c r="AF1295">
        <v>352</v>
      </c>
      <c r="AG1295" t="s">
        <v>120</v>
      </c>
      <c r="AH1295">
        <v>0.05</v>
      </c>
      <c r="AI1295" t="s">
        <v>120</v>
      </c>
      <c r="AJ1295">
        <v>1.93</v>
      </c>
      <c r="AK1295" t="s">
        <v>7026</v>
      </c>
      <c r="AL1295">
        <v>4.01</v>
      </c>
      <c r="AM1295">
        <v>3748</v>
      </c>
      <c r="AN1295">
        <v>62</v>
      </c>
      <c r="AO1295">
        <v>3.2000000000000002E-3</v>
      </c>
      <c r="AP1295">
        <v>1</v>
      </c>
      <c r="AQ1295">
        <v>-1.1100000000000001</v>
      </c>
      <c r="AR1295">
        <v>-1.63</v>
      </c>
      <c r="AS1295">
        <v>5.84</v>
      </c>
      <c r="AT1295">
        <v>17.72</v>
      </c>
      <c r="AU1295">
        <v>15.78</v>
      </c>
      <c r="AV1295">
        <v>10</v>
      </c>
      <c r="AW1295">
        <v>13.4</v>
      </c>
      <c r="AX1295">
        <v>26.72</v>
      </c>
      <c r="AY1295">
        <v>85.75</v>
      </c>
      <c r="AZ1295">
        <v>69.92</v>
      </c>
      <c r="BA1295">
        <v>0</v>
      </c>
      <c r="BB1295" t="s">
        <v>240</v>
      </c>
      <c r="BF1295">
        <v>3.07</v>
      </c>
      <c r="BG1295">
        <v>1.28</v>
      </c>
      <c r="BH1295">
        <v>-3.2</v>
      </c>
      <c r="BI1295">
        <v>2.34</v>
      </c>
      <c r="BJ1295">
        <v>20210913</v>
      </c>
      <c r="BK1295">
        <v>20181128</v>
      </c>
      <c r="BL1295">
        <v>6.45</v>
      </c>
      <c r="BM1295" t="s">
        <v>120</v>
      </c>
      <c r="BN1295" t="s">
        <v>120</v>
      </c>
      <c r="BO1295">
        <v>167.13</v>
      </c>
      <c r="BP1295">
        <v>12.69</v>
      </c>
      <c r="BQ1295">
        <v>26.46</v>
      </c>
      <c r="BR1295">
        <v>12.83</v>
      </c>
      <c r="BS1295">
        <v>76.5</v>
      </c>
      <c r="BT1295">
        <v>101.96</v>
      </c>
      <c r="BU1295">
        <v>2.68</v>
      </c>
      <c r="BV1295">
        <v>2.4900000000000002</v>
      </c>
      <c r="BW1295">
        <v>82.38</v>
      </c>
      <c r="BX1295">
        <v>39.380000000000003</v>
      </c>
      <c r="BY1295">
        <v>4.3099999999999996</v>
      </c>
      <c r="BZ1295">
        <v>14.33</v>
      </c>
      <c r="CA1295" t="s">
        <v>120</v>
      </c>
      <c r="CB1295">
        <v>7.24</v>
      </c>
      <c r="CC1295">
        <v>28.47</v>
      </c>
      <c r="CD1295">
        <v>26.3</v>
      </c>
      <c r="CE1295">
        <v>0.99</v>
      </c>
      <c r="CF1295">
        <v>0.14000000000000001</v>
      </c>
      <c r="CG1295">
        <v>1.04</v>
      </c>
      <c r="CH1295">
        <v>0.75</v>
      </c>
      <c r="CI1295">
        <v>0.77</v>
      </c>
      <c r="CJ1295">
        <v>0.26</v>
      </c>
      <c r="CK1295">
        <v>0.63</v>
      </c>
      <c r="CL1295">
        <v>9.3800000000000008</v>
      </c>
      <c r="CM1295">
        <v>8.11</v>
      </c>
      <c r="CN1295">
        <v>11.52</v>
      </c>
      <c r="CO1295">
        <v>50526</v>
      </c>
      <c r="CP1295">
        <v>3411</v>
      </c>
      <c r="CQ1295" t="s">
        <v>2301</v>
      </c>
      <c r="CR1295">
        <v>-21.6</v>
      </c>
      <c r="CS1295">
        <v>52.05</v>
      </c>
      <c r="CT1295">
        <v>3.25</v>
      </c>
      <c r="CU1295">
        <v>10.1</v>
      </c>
      <c r="CV1295">
        <v>2.88</v>
      </c>
      <c r="CW1295">
        <v>0.32</v>
      </c>
      <c r="CX1295" t="s">
        <v>850</v>
      </c>
      <c r="CY1295">
        <v>3.91</v>
      </c>
      <c r="CZ1295">
        <v>3.91</v>
      </c>
      <c r="DA1295">
        <v>1.1200000000000001</v>
      </c>
      <c r="DB1295">
        <v>1.45</v>
      </c>
      <c r="DC1295">
        <v>1.26</v>
      </c>
      <c r="DD1295">
        <v>15.83</v>
      </c>
      <c r="DE1295" t="s">
        <v>7027</v>
      </c>
      <c r="DF1295">
        <v>7.62</v>
      </c>
      <c r="DG1295">
        <v>3.47</v>
      </c>
      <c r="DH1295">
        <v>2.7</v>
      </c>
      <c r="DI1295">
        <v>0.05</v>
      </c>
      <c r="DJ1295">
        <v>1991</v>
      </c>
      <c r="DK1295">
        <v>2941</v>
      </c>
      <c r="DL1295">
        <v>20210906</v>
      </c>
      <c r="DM1295">
        <v>13.52</v>
      </c>
      <c r="DN1295">
        <v>-6.14</v>
      </c>
    </row>
    <row r="1296" spans="1:118">
      <c r="A1296" t="str">
        <f>"002942"</f>
        <v>002942</v>
      </c>
      <c r="B1296" t="s">
        <v>7028</v>
      </c>
      <c r="C1296">
        <v>7.27</v>
      </c>
      <c r="D1296">
        <v>0</v>
      </c>
      <c r="E1296">
        <v>-0.71</v>
      </c>
      <c r="F1296">
        <v>1258</v>
      </c>
      <c r="G1296" t="s">
        <v>7029</v>
      </c>
      <c r="H1296">
        <v>15205.65</v>
      </c>
      <c r="I1296">
        <v>81.98</v>
      </c>
      <c r="J1296" t="s">
        <v>120</v>
      </c>
      <c r="K1296" t="s">
        <v>7029</v>
      </c>
      <c r="L1296">
        <v>14.78</v>
      </c>
      <c r="M1296">
        <v>19.77</v>
      </c>
      <c r="N1296">
        <v>1.38</v>
      </c>
      <c r="O1296">
        <v>8.52</v>
      </c>
      <c r="P1296">
        <v>20</v>
      </c>
      <c r="Q1296">
        <v>-1.74</v>
      </c>
      <c r="R1296">
        <v>18.11</v>
      </c>
      <c r="S1296">
        <v>18.3</v>
      </c>
      <c r="T1296">
        <v>78371</v>
      </c>
      <c r="U1296">
        <v>19.78</v>
      </c>
      <c r="V1296">
        <v>18.43</v>
      </c>
      <c r="W1296">
        <v>16.54</v>
      </c>
      <c r="X1296" t="s">
        <v>690</v>
      </c>
      <c r="Y1296" t="s">
        <v>585</v>
      </c>
      <c r="Z1296">
        <v>10.26</v>
      </c>
      <c r="AA1296">
        <v>19.399999999999999</v>
      </c>
      <c r="AB1296">
        <v>37616</v>
      </c>
      <c r="AC1296">
        <v>40755</v>
      </c>
      <c r="AD1296">
        <v>0.92</v>
      </c>
      <c r="AE1296">
        <v>843</v>
      </c>
      <c r="AF1296">
        <v>173</v>
      </c>
      <c r="AG1296" t="s">
        <v>120</v>
      </c>
      <c r="AH1296">
        <v>0.08</v>
      </c>
      <c r="AI1296" t="s">
        <v>120</v>
      </c>
      <c r="AJ1296">
        <v>0.53</v>
      </c>
      <c r="AK1296" t="s">
        <v>7030</v>
      </c>
      <c r="AL1296">
        <v>9.18</v>
      </c>
      <c r="AM1296">
        <v>2857</v>
      </c>
      <c r="AN1296">
        <v>27</v>
      </c>
      <c r="AO1296">
        <v>5.1999999999999998E-3</v>
      </c>
      <c r="AP1296">
        <v>1</v>
      </c>
      <c r="AQ1296">
        <v>-1.86</v>
      </c>
      <c r="AR1296">
        <v>13.23</v>
      </c>
      <c r="AS1296">
        <v>31.8</v>
      </c>
      <c r="AT1296">
        <v>15.31</v>
      </c>
      <c r="AU1296">
        <v>-8.18</v>
      </c>
      <c r="AV1296">
        <v>1</v>
      </c>
      <c r="AW1296">
        <v>14.78</v>
      </c>
      <c r="AX1296">
        <v>34</v>
      </c>
      <c r="AY1296">
        <v>18.84</v>
      </c>
      <c r="AZ1296">
        <v>16.41</v>
      </c>
      <c r="BA1296">
        <v>0.3</v>
      </c>
      <c r="BB1296" t="s">
        <v>184</v>
      </c>
      <c r="BF1296">
        <v>5.27</v>
      </c>
      <c r="BG1296">
        <v>8.0299999999999994</v>
      </c>
      <c r="BH1296">
        <v>-1.1499999999999999</v>
      </c>
      <c r="BI1296">
        <v>9.17</v>
      </c>
      <c r="BJ1296">
        <v>20210825</v>
      </c>
      <c r="BK1296">
        <v>20181205</v>
      </c>
      <c r="BL1296">
        <v>1.56</v>
      </c>
      <c r="BM1296" t="s">
        <v>120</v>
      </c>
      <c r="BN1296" t="s">
        <v>120</v>
      </c>
      <c r="BO1296">
        <v>15.13</v>
      </c>
      <c r="BP1296">
        <v>19.77</v>
      </c>
      <c r="BQ1296">
        <v>11.31</v>
      </c>
      <c r="BR1296" t="s">
        <v>120</v>
      </c>
      <c r="BS1296">
        <v>25.23</v>
      </c>
      <c r="BT1296">
        <v>8.84</v>
      </c>
      <c r="BU1296">
        <v>3.5</v>
      </c>
      <c r="BV1296">
        <v>0.42</v>
      </c>
      <c r="BW1296">
        <v>3.61</v>
      </c>
      <c r="BX1296">
        <v>1.51</v>
      </c>
      <c r="BY1296">
        <v>1.1000000000000001</v>
      </c>
      <c r="BZ1296">
        <v>1.48</v>
      </c>
      <c r="CA1296" t="s">
        <v>120</v>
      </c>
      <c r="CB1296">
        <v>3.57</v>
      </c>
      <c r="CC1296">
        <v>6.17</v>
      </c>
      <c r="CD1296">
        <v>4.12</v>
      </c>
      <c r="CE1296">
        <v>1.04</v>
      </c>
      <c r="CF1296">
        <v>0.12</v>
      </c>
      <c r="CG1296">
        <v>1.04</v>
      </c>
      <c r="CH1296">
        <v>0.93</v>
      </c>
      <c r="CI1296">
        <v>0.93</v>
      </c>
      <c r="CJ1296">
        <v>1.34</v>
      </c>
      <c r="CK1296">
        <v>0.83</v>
      </c>
      <c r="CL1296">
        <v>5.09</v>
      </c>
      <c r="CM1296">
        <v>0.61</v>
      </c>
      <c r="CN1296">
        <v>-0.75</v>
      </c>
      <c r="CO1296">
        <v>9334</v>
      </c>
      <c r="CP1296">
        <v>5682</v>
      </c>
      <c r="CQ1296" t="s">
        <v>7031</v>
      </c>
      <c r="CR1296">
        <v>-19.54</v>
      </c>
      <c r="CS1296">
        <v>-8.39</v>
      </c>
      <c r="CT1296">
        <v>2.73</v>
      </c>
      <c r="CU1296">
        <v>50.21</v>
      </c>
      <c r="CV1296">
        <v>5</v>
      </c>
      <c r="CW1296">
        <v>1.25</v>
      </c>
      <c r="CX1296" t="s">
        <v>7032</v>
      </c>
      <c r="CY1296">
        <v>7.25</v>
      </c>
      <c r="CZ1296">
        <v>0</v>
      </c>
      <c r="DA1296">
        <v>2.29</v>
      </c>
      <c r="DB1296">
        <v>3.26</v>
      </c>
      <c r="DC1296">
        <v>0.39</v>
      </c>
      <c r="DD1296">
        <v>74.77</v>
      </c>
      <c r="DE1296" t="s">
        <v>2885</v>
      </c>
      <c r="DF1296">
        <v>33.130000000000003</v>
      </c>
      <c r="DG1296">
        <v>16.91</v>
      </c>
      <c r="DH1296">
        <v>15.12</v>
      </c>
      <c r="DI1296">
        <v>0.4</v>
      </c>
      <c r="DJ1296">
        <v>1287</v>
      </c>
      <c r="DK1296">
        <v>2942</v>
      </c>
      <c r="DL1296" t="s">
        <v>120</v>
      </c>
      <c r="DM1296" t="s">
        <v>120</v>
      </c>
      <c r="DN1296" t="s">
        <v>120</v>
      </c>
    </row>
    <row r="1297" spans="1:118">
      <c r="A1297" t="str">
        <f>"002943"</f>
        <v>002943</v>
      </c>
      <c r="B1297" t="s">
        <v>7033</v>
      </c>
      <c r="C1297">
        <v>-3.44</v>
      </c>
      <c r="D1297">
        <v>-0.04</v>
      </c>
      <c r="E1297">
        <v>-0.28000000000000003</v>
      </c>
      <c r="F1297">
        <v>369</v>
      </c>
      <c r="G1297" t="s">
        <v>414</v>
      </c>
      <c r="H1297">
        <v>9426.09</v>
      </c>
      <c r="I1297">
        <v>57.39</v>
      </c>
      <c r="J1297" t="s">
        <v>120</v>
      </c>
      <c r="K1297" t="s">
        <v>414</v>
      </c>
      <c r="L1297">
        <v>8.32</v>
      </c>
      <c r="M1297">
        <v>21.05</v>
      </c>
      <c r="N1297">
        <v>0.94</v>
      </c>
      <c r="O1297">
        <v>0.83</v>
      </c>
      <c r="P1297">
        <v>21.98</v>
      </c>
      <c r="Q1297">
        <v>-3.44</v>
      </c>
      <c r="R1297">
        <v>21.05</v>
      </c>
      <c r="S1297">
        <v>21.74</v>
      </c>
      <c r="T1297">
        <v>43968</v>
      </c>
      <c r="U1297">
        <v>21.06</v>
      </c>
      <c r="V1297">
        <v>21.8</v>
      </c>
      <c r="W1297">
        <v>856.11</v>
      </c>
      <c r="X1297" t="s">
        <v>2161</v>
      </c>
      <c r="Y1297" t="s">
        <v>594</v>
      </c>
      <c r="Z1297">
        <v>4.2699999999999996</v>
      </c>
      <c r="AA1297">
        <v>21.44</v>
      </c>
      <c r="AB1297">
        <v>25692</v>
      </c>
      <c r="AC1297">
        <v>18276</v>
      </c>
      <c r="AD1297">
        <v>1.41</v>
      </c>
      <c r="AE1297">
        <v>770</v>
      </c>
      <c r="AF1297">
        <v>141</v>
      </c>
      <c r="AG1297" t="s">
        <v>120</v>
      </c>
      <c r="AH1297">
        <v>0.05</v>
      </c>
      <c r="AI1297" t="s">
        <v>120</v>
      </c>
      <c r="AJ1297">
        <v>0.53</v>
      </c>
      <c r="AK1297" t="s">
        <v>7034</v>
      </c>
      <c r="AL1297">
        <v>-1.53</v>
      </c>
      <c r="AM1297">
        <v>2402</v>
      </c>
      <c r="AN1297">
        <v>18</v>
      </c>
      <c r="AO1297">
        <v>3.5000000000000001E-3</v>
      </c>
      <c r="AP1297">
        <v>-1</v>
      </c>
      <c r="AQ1297">
        <v>2.44</v>
      </c>
      <c r="AR1297">
        <v>2.83</v>
      </c>
      <c r="AS1297">
        <v>14.09</v>
      </c>
      <c r="AT1297">
        <v>24.34</v>
      </c>
      <c r="AU1297">
        <v>16.62</v>
      </c>
      <c r="AV1297">
        <v>12</v>
      </c>
      <c r="AW1297">
        <v>8.32</v>
      </c>
      <c r="AX1297">
        <v>52.85</v>
      </c>
      <c r="AY1297">
        <v>773.25</v>
      </c>
      <c r="AZ1297" t="s">
        <v>120</v>
      </c>
      <c r="BA1297">
        <v>0.6</v>
      </c>
      <c r="BB1297" t="s">
        <v>143</v>
      </c>
      <c r="BF1297">
        <v>-1.66</v>
      </c>
      <c r="BG1297">
        <v>-3.17</v>
      </c>
      <c r="BH1297">
        <v>-4.2300000000000004</v>
      </c>
      <c r="BI1297">
        <v>0</v>
      </c>
      <c r="BJ1297">
        <v>20210827</v>
      </c>
      <c r="BK1297">
        <v>20181129</v>
      </c>
      <c r="BL1297">
        <v>1</v>
      </c>
      <c r="BM1297" t="s">
        <v>120</v>
      </c>
      <c r="BN1297" t="s">
        <v>120</v>
      </c>
      <c r="BO1297">
        <v>11.66</v>
      </c>
      <c r="BP1297">
        <v>21.05</v>
      </c>
      <c r="BQ1297">
        <v>7.7</v>
      </c>
      <c r="BR1297">
        <v>0.21</v>
      </c>
      <c r="BS1297">
        <v>32.200000000000003</v>
      </c>
      <c r="BT1297">
        <v>7</v>
      </c>
      <c r="BU1297">
        <v>2.89</v>
      </c>
      <c r="BV1297">
        <v>0.75</v>
      </c>
      <c r="BW1297">
        <v>2.63</v>
      </c>
      <c r="BX1297">
        <v>0.85</v>
      </c>
      <c r="BY1297">
        <v>2.11</v>
      </c>
      <c r="BZ1297">
        <v>1.72</v>
      </c>
      <c r="CA1297" t="s">
        <v>120</v>
      </c>
      <c r="CB1297">
        <v>4.47</v>
      </c>
      <c r="CC1297">
        <v>1.72</v>
      </c>
      <c r="CD1297">
        <v>1.31</v>
      </c>
      <c r="CE1297">
        <v>0.06</v>
      </c>
      <c r="CF1297">
        <v>0.01</v>
      </c>
      <c r="CG1297">
        <v>0.06</v>
      </c>
      <c r="CH1297">
        <v>0.03</v>
      </c>
      <c r="CI1297">
        <v>0.01</v>
      </c>
      <c r="CJ1297">
        <v>-0.75</v>
      </c>
      <c r="CK1297">
        <v>-0.01</v>
      </c>
      <c r="CL1297">
        <v>1.92</v>
      </c>
      <c r="CM1297">
        <v>-0.45</v>
      </c>
      <c r="CN1297">
        <v>-0.37</v>
      </c>
      <c r="CO1297">
        <v>11511</v>
      </c>
      <c r="CP1297">
        <v>4592</v>
      </c>
      <c r="CQ1297" t="s">
        <v>241</v>
      </c>
      <c r="CR1297">
        <v>116.25</v>
      </c>
      <c r="CS1297">
        <v>-2.2400000000000002</v>
      </c>
      <c r="CT1297">
        <v>2.74</v>
      </c>
      <c r="CU1297">
        <v>-46.44</v>
      </c>
      <c r="CV1297">
        <v>12.26</v>
      </c>
      <c r="CW1297">
        <v>0</v>
      </c>
      <c r="CX1297" t="s">
        <v>2327</v>
      </c>
      <c r="CY1297">
        <v>7.7</v>
      </c>
      <c r="CZ1297">
        <v>0</v>
      </c>
      <c r="DA1297">
        <v>4.47</v>
      </c>
      <c r="DB1297">
        <v>1.92</v>
      </c>
      <c r="DC1297">
        <v>-0.45</v>
      </c>
      <c r="DD1297">
        <v>66</v>
      </c>
      <c r="DE1297" t="s">
        <v>1098</v>
      </c>
      <c r="DF1297">
        <v>23.76</v>
      </c>
      <c r="DG1297">
        <v>3.61</v>
      </c>
      <c r="DH1297">
        <v>0.72</v>
      </c>
      <c r="DI1297">
        <v>0.1</v>
      </c>
      <c r="DJ1297">
        <v>587</v>
      </c>
      <c r="DK1297">
        <v>2943</v>
      </c>
      <c r="DL1297">
        <v>20210822</v>
      </c>
      <c r="DM1297">
        <v>20.3</v>
      </c>
      <c r="DN1297">
        <v>3.69</v>
      </c>
    </row>
    <row r="1298" spans="1:118">
      <c r="A1298" t="str">
        <f>"002945"</f>
        <v>002945</v>
      </c>
      <c r="B1298" t="s">
        <v>7035</v>
      </c>
      <c r="C1298">
        <v>-2.46</v>
      </c>
      <c r="D1298">
        <v>-0.15</v>
      </c>
      <c r="E1298">
        <v>-0.23</v>
      </c>
      <c r="F1298">
        <v>7571</v>
      </c>
      <c r="G1298" t="s">
        <v>7036</v>
      </c>
      <c r="H1298">
        <v>14834.32</v>
      </c>
      <c r="I1298">
        <v>28.95</v>
      </c>
      <c r="J1298" t="s">
        <v>120</v>
      </c>
      <c r="K1298" t="s">
        <v>7037</v>
      </c>
      <c r="L1298">
        <v>1.53</v>
      </c>
      <c r="M1298">
        <v>12.69</v>
      </c>
      <c r="N1298">
        <v>0.68</v>
      </c>
      <c r="O1298">
        <v>0.23</v>
      </c>
      <c r="P1298">
        <v>13.04</v>
      </c>
      <c r="Q1298">
        <v>-2.77</v>
      </c>
      <c r="R1298">
        <v>12.65</v>
      </c>
      <c r="S1298">
        <v>12.98</v>
      </c>
      <c r="T1298">
        <v>115589</v>
      </c>
      <c r="U1298">
        <v>12.69</v>
      </c>
      <c r="V1298">
        <v>13.01</v>
      </c>
      <c r="W1298">
        <v>41.53</v>
      </c>
      <c r="X1298" t="s">
        <v>616</v>
      </c>
      <c r="Y1298" t="s">
        <v>1886</v>
      </c>
      <c r="Z1298">
        <v>3</v>
      </c>
      <c r="AA1298">
        <v>12.83</v>
      </c>
      <c r="AB1298">
        <v>66471</v>
      </c>
      <c r="AC1298">
        <v>49118</v>
      </c>
      <c r="AD1298">
        <v>1.35</v>
      </c>
      <c r="AE1298">
        <v>491</v>
      </c>
      <c r="AF1298">
        <v>442</v>
      </c>
      <c r="AG1298" t="s">
        <v>120</v>
      </c>
      <c r="AH1298">
        <v>0.01</v>
      </c>
      <c r="AI1298" t="s">
        <v>120</v>
      </c>
      <c r="AJ1298">
        <v>7.55</v>
      </c>
      <c r="AK1298" t="s">
        <v>7038</v>
      </c>
      <c r="AL1298">
        <v>-0.55000000000000004</v>
      </c>
      <c r="AM1298">
        <v>3193</v>
      </c>
      <c r="AN1298">
        <v>36</v>
      </c>
      <c r="AO1298">
        <v>5.0000000000000001E-4</v>
      </c>
      <c r="AP1298">
        <v>-1</v>
      </c>
      <c r="AQ1298">
        <v>0.7</v>
      </c>
      <c r="AR1298">
        <v>-4.9400000000000004</v>
      </c>
      <c r="AS1298">
        <v>1.28</v>
      </c>
      <c r="AT1298">
        <v>-1.02</v>
      </c>
      <c r="AU1298">
        <v>-15.29</v>
      </c>
      <c r="AV1298">
        <v>1</v>
      </c>
      <c r="AW1298">
        <v>4.28</v>
      </c>
      <c r="AX1298">
        <v>10</v>
      </c>
      <c r="AY1298">
        <v>37.35</v>
      </c>
      <c r="AZ1298">
        <v>43.23</v>
      </c>
      <c r="BA1298">
        <v>0.24</v>
      </c>
      <c r="BB1298" t="s">
        <v>240</v>
      </c>
      <c r="BF1298">
        <v>-1.36</v>
      </c>
      <c r="BG1298">
        <v>-2.23</v>
      </c>
      <c r="BH1298">
        <v>-2.68</v>
      </c>
      <c r="BI1298">
        <v>0.32</v>
      </c>
      <c r="BJ1298">
        <v>20210913</v>
      </c>
      <c r="BK1298">
        <v>20190117</v>
      </c>
      <c r="BL1298">
        <v>27</v>
      </c>
      <c r="BM1298" t="s">
        <v>120</v>
      </c>
      <c r="BN1298" t="s">
        <v>120</v>
      </c>
      <c r="BO1298">
        <v>329.37</v>
      </c>
      <c r="BP1298">
        <v>12.68</v>
      </c>
      <c r="BQ1298">
        <v>61.83</v>
      </c>
      <c r="BR1298" t="s">
        <v>120</v>
      </c>
      <c r="BS1298">
        <v>81.23</v>
      </c>
      <c r="BT1298">
        <v>0</v>
      </c>
      <c r="BU1298">
        <v>0.63</v>
      </c>
      <c r="BV1298">
        <v>1.33</v>
      </c>
      <c r="BW1298">
        <v>0</v>
      </c>
      <c r="BX1298">
        <v>77.22</v>
      </c>
      <c r="BY1298">
        <v>0</v>
      </c>
      <c r="BZ1298">
        <v>0</v>
      </c>
      <c r="CA1298" t="s">
        <v>120</v>
      </c>
      <c r="CB1298">
        <v>6.77</v>
      </c>
      <c r="CC1298">
        <v>7.78</v>
      </c>
      <c r="CD1298">
        <v>0</v>
      </c>
      <c r="CE1298">
        <v>4.5599999999999996</v>
      </c>
      <c r="CF1298">
        <v>0.19</v>
      </c>
      <c r="CG1298">
        <v>4.57</v>
      </c>
      <c r="CH1298">
        <v>4.12</v>
      </c>
      <c r="CI1298">
        <v>4.12</v>
      </c>
      <c r="CJ1298">
        <v>-0.32</v>
      </c>
      <c r="CK1298">
        <v>3.78</v>
      </c>
      <c r="CL1298">
        <v>17.14</v>
      </c>
      <c r="CM1298">
        <v>55.54</v>
      </c>
      <c r="CN1298">
        <v>2.52</v>
      </c>
      <c r="CO1298">
        <v>52662</v>
      </c>
      <c r="CP1298">
        <v>5127</v>
      </c>
      <c r="CQ1298" t="s">
        <v>3772</v>
      </c>
      <c r="CR1298">
        <v>44.93</v>
      </c>
      <c r="CS1298">
        <v>35.450000000000003</v>
      </c>
      <c r="CT1298">
        <v>5.54</v>
      </c>
      <c r="CU1298">
        <v>6.17</v>
      </c>
      <c r="CV1298">
        <v>44.04</v>
      </c>
      <c r="CW1298">
        <v>0.7</v>
      </c>
      <c r="CX1298" t="s">
        <v>373</v>
      </c>
      <c r="CY1298">
        <v>2.29</v>
      </c>
      <c r="CZ1298">
        <v>0</v>
      </c>
      <c r="DA1298">
        <v>0.25</v>
      </c>
      <c r="DB1298">
        <v>0.63</v>
      </c>
      <c r="DC1298">
        <v>2.06</v>
      </c>
      <c r="DD1298">
        <v>18.77</v>
      </c>
      <c r="DE1298" t="s">
        <v>3774</v>
      </c>
      <c r="DF1298" t="s">
        <v>120</v>
      </c>
      <c r="DG1298">
        <v>58.67</v>
      </c>
      <c r="DH1298">
        <v>53.02</v>
      </c>
      <c r="DI1298" t="s">
        <v>120</v>
      </c>
      <c r="DJ1298">
        <v>1290</v>
      </c>
      <c r="DK1298">
        <v>2945</v>
      </c>
      <c r="DL1298" t="s">
        <v>120</v>
      </c>
      <c r="DM1298" t="s">
        <v>120</v>
      </c>
      <c r="DN1298" t="s">
        <v>120</v>
      </c>
    </row>
    <row r="1299" spans="1:118">
      <c r="A1299" t="str">
        <f>"002946"</f>
        <v>002946</v>
      </c>
      <c r="B1299" t="s">
        <v>7039</v>
      </c>
      <c r="C1299">
        <v>-2.21</v>
      </c>
      <c r="D1299">
        <v>0.14000000000000001</v>
      </c>
      <c r="E1299">
        <v>-0.69</v>
      </c>
      <c r="F1299">
        <v>935</v>
      </c>
      <c r="G1299" t="s">
        <v>1607</v>
      </c>
      <c r="H1299">
        <v>7116.22</v>
      </c>
      <c r="I1299">
        <v>3.59</v>
      </c>
      <c r="J1299" t="s">
        <v>120</v>
      </c>
      <c r="K1299" t="s">
        <v>7040</v>
      </c>
      <c r="L1299">
        <v>3.37</v>
      </c>
      <c r="M1299">
        <v>14.15</v>
      </c>
      <c r="N1299">
        <v>1.22</v>
      </c>
      <c r="O1299">
        <v>2.42</v>
      </c>
      <c r="P1299">
        <v>14.82</v>
      </c>
      <c r="Q1299">
        <v>-2.4900000000000002</v>
      </c>
      <c r="R1299">
        <v>14.11</v>
      </c>
      <c r="S1299">
        <v>14.37</v>
      </c>
      <c r="T1299">
        <v>49268</v>
      </c>
      <c r="U1299">
        <v>14.2</v>
      </c>
      <c r="V1299">
        <v>14.47</v>
      </c>
      <c r="W1299">
        <v>41.99</v>
      </c>
      <c r="X1299" t="s">
        <v>4454</v>
      </c>
      <c r="Y1299" t="s">
        <v>578</v>
      </c>
      <c r="Z1299">
        <v>4.91</v>
      </c>
      <c r="AA1299">
        <v>14.44</v>
      </c>
      <c r="AB1299">
        <v>25742</v>
      </c>
      <c r="AC1299">
        <v>23526</v>
      </c>
      <c r="AD1299">
        <v>1.0900000000000001</v>
      </c>
      <c r="AE1299">
        <v>2</v>
      </c>
      <c r="AF1299">
        <v>141</v>
      </c>
      <c r="AG1299" t="s">
        <v>120</v>
      </c>
      <c r="AH1299">
        <v>0</v>
      </c>
      <c r="AI1299" t="s">
        <v>120</v>
      </c>
      <c r="AJ1299">
        <v>1.46</v>
      </c>
      <c r="AK1299" t="s">
        <v>7041</v>
      </c>
      <c r="AL1299">
        <v>-0.3</v>
      </c>
      <c r="AM1299">
        <v>2370</v>
      </c>
      <c r="AN1299">
        <v>21</v>
      </c>
      <c r="AO1299">
        <v>1.4E-3</v>
      </c>
      <c r="AP1299">
        <v>-1</v>
      </c>
      <c r="AQ1299">
        <v>0.42</v>
      </c>
      <c r="AR1299">
        <v>-4.3899999999999997</v>
      </c>
      <c r="AS1299">
        <v>5.44</v>
      </c>
      <c r="AT1299">
        <v>-9.41</v>
      </c>
      <c r="AU1299">
        <v>-19.32</v>
      </c>
      <c r="AV1299">
        <v>4</v>
      </c>
      <c r="AW1299">
        <v>3.74</v>
      </c>
      <c r="AX1299">
        <v>15.2</v>
      </c>
      <c r="AY1299">
        <v>36.86</v>
      </c>
      <c r="AZ1299">
        <v>46.31</v>
      </c>
      <c r="BA1299">
        <v>0.49</v>
      </c>
      <c r="BB1299" t="s">
        <v>143</v>
      </c>
      <c r="BF1299">
        <v>-0.18</v>
      </c>
      <c r="BG1299">
        <v>-1.53</v>
      </c>
      <c r="BH1299">
        <v>-4.5199999999999996</v>
      </c>
      <c r="BI1299">
        <v>0.28000000000000003</v>
      </c>
      <c r="BJ1299">
        <v>20210901</v>
      </c>
      <c r="BK1299">
        <v>20190125</v>
      </c>
      <c r="BL1299">
        <v>8.67</v>
      </c>
      <c r="BM1299" t="s">
        <v>120</v>
      </c>
      <c r="BN1299" t="s">
        <v>120</v>
      </c>
      <c r="BO1299">
        <v>88.9</v>
      </c>
      <c r="BP1299">
        <v>14.15</v>
      </c>
      <c r="BQ1299">
        <v>26.47</v>
      </c>
      <c r="BR1299">
        <v>2.2400000000000002</v>
      </c>
      <c r="BS1299">
        <v>67.709999999999994</v>
      </c>
      <c r="BT1299">
        <v>18.03</v>
      </c>
      <c r="BU1299">
        <v>27.58</v>
      </c>
      <c r="BV1299">
        <v>7.14</v>
      </c>
      <c r="BW1299">
        <v>34.33</v>
      </c>
      <c r="BX1299">
        <v>4.79</v>
      </c>
      <c r="BY1299">
        <v>4.4000000000000004</v>
      </c>
      <c r="BZ1299">
        <v>6.31</v>
      </c>
      <c r="CA1299" t="s">
        <v>120</v>
      </c>
      <c r="CB1299">
        <v>6.38</v>
      </c>
      <c r="CC1299">
        <v>43.16</v>
      </c>
      <c r="CD1299">
        <v>31.99</v>
      </c>
      <c r="CE1299">
        <v>1.84</v>
      </c>
      <c r="CF1299">
        <v>0.23</v>
      </c>
      <c r="CG1299">
        <v>1.86</v>
      </c>
      <c r="CH1299">
        <v>1.64</v>
      </c>
      <c r="CI1299">
        <v>1.46</v>
      </c>
      <c r="CJ1299">
        <v>-0.32</v>
      </c>
      <c r="CK1299">
        <v>1.19</v>
      </c>
      <c r="CL1299">
        <v>9.26</v>
      </c>
      <c r="CM1299">
        <v>5.95</v>
      </c>
      <c r="CN1299">
        <v>-0.6</v>
      </c>
      <c r="CO1299">
        <v>28839</v>
      </c>
      <c r="CP1299">
        <v>4571</v>
      </c>
      <c r="CQ1299" t="s">
        <v>1737</v>
      </c>
      <c r="CR1299">
        <v>90.58</v>
      </c>
      <c r="CS1299">
        <v>68.849999999999994</v>
      </c>
      <c r="CT1299">
        <v>4.8099999999999996</v>
      </c>
      <c r="CU1299">
        <v>20.63</v>
      </c>
      <c r="CV1299">
        <v>2.84</v>
      </c>
      <c r="CW1299">
        <v>0.48</v>
      </c>
      <c r="CX1299" t="s">
        <v>1193</v>
      </c>
      <c r="CY1299">
        <v>2.94</v>
      </c>
      <c r="CZ1299">
        <v>2.94</v>
      </c>
      <c r="DA1299">
        <v>0.74</v>
      </c>
      <c r="DB1299">
        <v>1.07</v>
      </c>
      <c r="DC1299">
        <v>0.69</v>
      </c>
      <c r="DD1299">
        <v>29.77</v>
      </c>
      <c r="DE1299" t="s">
        <v>2293</v>
      </c>
      <c r="DF1299">
        <v>25.88</v>
      </c>
      <c r="DG1299">
        <v>4.26</v>
      </c>
      <c r="DH1299">
        <v>3.39</v>
      </c>
      <c r="DI1299">
        <v>0.22</v>
      </c>
      <c r="DJ1299">
        <v>8923</v>
      </c>
      <c r="DK1299">
        <v>2946</v>
      </c>
      <c r="DL1299" t="s">
        <v>120</v>
      </c>
      <c r="DM1299" t="s">
        <v>120</v>
      </c>
      <c r="DN1299" t="s">
        <v>120</v>
      </c>
    </row>
    <row r="1300" spans="1:118">
      <c r="A1300" t="str">
        <f>"002947"</f>
        <v>002947</v>
      </c>
      <c r="B1300" t="s">
        <v>7042</v>
      </c>
      <c r="C1300">
        <v>-3.56</v>
      </c>
      <c r="D1300">
        <v>0.11</v>
      </c>
      <c r="E1300">
        <v>0.54</v>
      </c>
      <c r="F1300">
        <v>298</v>
      </c>
      <c r="G1300" t="s">
        <v>7043</v>
      </c>
      <c r="H1300">
        <v>3613.7</v>
      </c>
      <c r="I1300">
        <v>6.43</v>
      </c>
      <c r="J1300" t="s">
        <v>120</v>
      </c>
      <c r="K1300" t="s">
        <v>7043</v>
      </c>
      <c r="L1300">
        <v>2.08</v>
      </c>
      <c r="M1300">
        <v>26.82</v>
      </c>
      <c r="N1300">
        <v>1.22</v>
      </c>
      <c r="O1300">
        <v>0.9</v>
      </c>
      <c r="P1300">
        <v>28.06</v>
      </c>
      <c r="Q1300">
        <v>-3.96</v>
      </c>
      <c r="R1300">
        <v>26.71</v>
      </c>
      <c r="S1300">
        <v>27.96</v>
      </c>
      <c r="T1300">
        <v>13229</v>
      </c>
      <c r="U1300">
        <v>26.83</v>
      </c>
      <c r="V1300">
        <v>27.81</v>
      </c>
      <c r="W1300">
        <v>72.3</v>
      </c>
      <c r="X1300" t="s">
        <v>229</v>
      </c>
      <c r="Y1300" t="s">
        <v>319</v>
      </c>
      <c r="Z1300">
        <v>4.8499999999999996</v>
      </c>
      <c r="AA1300">
        <v>27.32</v>
      </c>
      <c r="AB1300">
        <v>8788</v>
      </c>
      <c r="AC1300">
        <v>4441</v>
      </c>
      <c r="AD1300">
        <v>1.98</v>
      </c>
      <c r="AE1300">
        <v>63</v>
      </c>
      <c r="AF1300">
        <v>25</v>
      </c>
      <c r="AG1300" t="s">
        <v>120</v>
      </c>
      <c r="AH1300">
        <v>0</v>
      </c>
      <c r="AI1300" t="s">
        <v>120</v>
      </c>
      <c r="AJ1300">
        <v>0.64</v>
      </c>
      <c r="AK1300" t="s">
        <v>7044</v>
      </c>
      <c r="AL1300">
        <v>-1.65</v>
      </c>
      <c r="AM1300">
        <v>931</v>
      </c>
      <c r="AN1300">
        <v>14</v>
      </c>
      <c r="AO1300">
        <v>2.2000000000000001E-3</v>
      </c>
      <c r="AP1300">
        <v>-1</v>
      </c>
      <c r="AQ1300">
        <v>1.2</v>
      </c>
      <c r="AR1300">
        <v>-5.43</v>
      </c>
      <c r="AS1300">
        <v>2.8</v>
      </c>
      <c r="AT1300">
        <v>3.35</v>
      </c>
      <c r="AU1300">
        <v>-14.94</v>
      </c>
      <c r="AV1300">
        <v>1</v>
      </c>
      <c r="AW1300">
        <v>2.08</v>
      </c>
      <c r="AX1300">
        <v>35.39</v>
      </c>
      <c r="AY1300">
        <v>65.989999999999995</v>
      </c>
      <c r="AZ1300">
        <v>48.2</v>
      </c>
      <c r="BA1300">
        <v>0.57999999999999996</v>
      </c>
      <c r="BB1300" t="s">
        <v>143</v>
      </c>
      <c r="BF1300">
        <v>-1.78</v>
      </c>
      <c r="BG1300">
        <v>-4.08</v>
      </c>
      <c r="BH1300">
        <v>-4.42</v>
      </c>
      <c r="BI1300">
        <v>0.41</v>
      </c>
      <c r="BJ1300">
        <v>20210915</v>
      </c>
      <c r="BK1300">
        <v>20190201</v>
      </c>
      <c r="BL1300">
        <v>1.8</v>
      </c>
      <c r="BM1300" t="s">
        <v>120</v>
      </c>
      <c r="BN1300" t="s">
        <v>120</v>
      </c>
      <c r="BO1300">
        <v>15.49</v>
      </c>
      <c r="BP1300">
        <v>26.82</v>
      </c>
      <c r="BQ1300">
        <v>12.63</v>
      </c>
      <c r="BR1300">
        <v>0.12</v>
      </c>
      <c r="BS1300">
        <v>17.649999999999999</v>
      </c>
      <c r="BT1300">
        <v>12.26</v>
      </c>
      <c r="BU1300">
        <v>1.92</v>
      </c>
      <c r="BV1300">
        <v>0.23</v>
      </c>
      <c r="BW1300">
        <v>2.71</v>
      </c>
      <c r="BX1300">
        <v>5.91</v>
      </c>
      <c r="BY1300">
        <v>1.01</v>
      </c>
      <c r="BZ1300">
        <v>2.77</v>
      </c>
      <c r="CA1300" t="s">
        <v>120</v>
      </c>
      <c r="CB1300">
        <v>7.82</v>
      </c>
      <c r="CC1300">
        <v>3.63</v>
      </c>
      <c r="CD1300">
        <v>2.59</v>
      </c>
      <c r="CE1300">
        <v>0.36</v>
      </c>
      <c r="CF1300">
        <v>0.1</v>
      </c>
      <c r="CG1300">
        <v>0.38</v>
      </c>
      <c r="CH1300">
        <v>0.32</v>
      </c>
      <c r="CI1300">
        <v>0.33</v>
      </c>
      <c r="CJ1300">
        <v>-0.99</v>
      </c>
      <c r="CK1300">
        <v>0.22</v>
      </c>
      <c r="CL1300">
        <v>3.91</v>
      </c>
      <c r="CM1300">
        <v>0.21</v>
      </c>
      <c r="CN1300">
        <v>2.67</v>
      </c>
      <c r="CO1300">
        <v>10417</v>
      </c>
      <c r="CP1300">
        <v>6118</v>
      </c>
      <c r="CQ1300" t="s">
        <v>7045</v>
      </c>
      <c r="CR1300">
        <v>-45.88</v>
      </c>
      <c r="CS1300">
        <v>65.52</v>
      </c>
      <c r="CT1300">
        <v>3.5</v>
      </c>
      <c r="CU1300">
        <v>230.99</v>
      </c>
      <c r="CV1300">
        <v>13.31</v>
      </c>
      <c r="CW1300">
        <v>0.75</v>
      </c>
      <c r="CX1300" t="s">
        <v>2097</v>
      </c>
      <c r="CY1300">
        <v>7.67</v>
      </c>
      <c r="CZ1300">
        <v>7.67</v>
      </c>
      <c r="DA1300">
        <v>4.34</v>
      </c>
      <c r="DB1300">
        <v>2.17</v>
      </c>
      <c r="DC1300">
        <v>0.12</v>
      </c>
      <c r="DD1300">
        <v>81.569999999999993</v>
      </c>
      <c r="DE1300" t="s">
        <v>4616</v>
      </c>
      <c r="DF1300">
        <v>28.51</v>
      </c>
      <c r="DG1300">
        <v>9.9700000000000006</v>
      </c>
      <c r="DH1300">
        <v>9.1999999999999993</v>
      </c>
      <c r="DI1300">
        <v>0.27</v>
      </c>
      <c r="DJ1300">
        <v>1364</v>
      </c>
      <c r="DK1300">
        <v>2947</v>
      </c>
      <c r="DL1300" t="s">
        <v>120</v>
      </c>
      <c r="DM1300" t="s">
        <v>120</v>
      </c>
      <c r="DN1300" t="s">
        <v>120</v>
      </c>
    </row>
    <row r="1301" spans="1:118">
      <c r="A1301" t="str">
        <f>"002948"</f>
        <v>002948</v>
      </c>
      <c r="B1301" t="s">
        <v>7046</v>
      </c>
      <c r="C1301">
        <v>0.62</v>
      </c>
      <c r="D1301">
        <v>1.03</v>
      </c>
      <c r="E1301">
        <v>0.41</v>
      </c>
      <c r="F1301">
        <v>7682</v>
      </c>
      <c r="G1301" t="s">
        <v>7047</v>
      </c>
      <c r="H1301">
        <v>5000.9399999999996</v>
      </c>
      <c r="I1301">
        <v>31.1</v>
      </c>
      <c r="J1301" t="s">
        <v>120</v>
      </c>
      <c r="K1301" t="s">
        <v>7047</v>
      </c>
      <c r="L1301">
        <v>1.69</v>
      </c>
      <c r="M1301">
        <v>4.9000000000000004</v>
      </c>
      <c r="N1301">
        <v>0.63</v>
      </c>
      <c r="O1301">
        <v>1.23</v>
      </c>
      <c r="P1301">
        <v>4.93</v>
      </c>
      <c r="Q1301">
        <v>-0.82</v>
      </c>
      <c r="R1301">
        <v>4.83</v>
      </c>
      <c r="S1301">
        <v>4.8899999999999997</v>
      </c>
      <c r="T1301">
        <v>102404</v>
      </c>
      <c r="U1301">
        <v>4.9000000000000004</v>
      </c>
      <c r="V1301">
        <v>4.87</v>
      </c>
      <c r="W1301">
        <v>6.15</v>
      </c>
      <c r="X1301" t="s">
        <v>122</v>
      </c>
      <c r="Y1301" t="s">
        <v>638</v>
      </c>
      <c r="Z1301">
        <v>2.0499999999999998</v>
      </c>
      <c r="AA1301">
        <v>4.88</v>
      </c>
      <c r="AB1301">
        <v>51224</v>
      </c>
      <c r="AC1301">
        <v>51180</v>
      </c>
      <c r="AD1301">
        <v>1</v>
      </c>
      <c r="AE1301">
        <v>23</v>
      </c>
      <c r="AF1301">
        <v>3300</v>
      </c>
      <c r="AG1301" t="s">
        <v>120</v>
      </c>
      <c r="AH1301">
        <v>0.01</v>
      </c>
      <c r="AI1301" t="s">
        <v>120</v>
      </c>
      <c r="AJ1301">
        <v>6.05</v>
      </c>
      <c r="AK1301" t="s">
        <v>7048</v>
      </c>
      <c r="AL1301">
        <v>2.5299999999999998</v>
      </c>
      <c r="AM1301">
        <v>2686</v>
      </c>
      <c r="AN1301">
        <v>38</v>
      </c>
      <c r="AO1301">
        <v>5.9999999999999995E-4</v>
      </c>
      <c r="AP1301">
        <v>1</v>
      </c>
      <c r="AQ1301">
        <v>0</v>
      </c>
      <c r="AR1301">
        <v>-1.01</v>
      </c>
      <c r="AS1301">
        <v>3.59</v>
      </c>
      <c r="AT1301">
        <v>-1.61</v>
      </c>
      <c r="AU1301">
        <v>-14.78</v>
      </c>
      <c r="AV1301">
        <v>4</v>
      </c>
      <c r="AW1301">
        <v>1.69</v>
      </c>
      <c r="AX1301">
        <v>22.03</v>
      </c>
      <c r="AY1301">
        <v>8.25</v>
      </c>
      <c r="AZ1301">
        <v>9.17</v>
      </c>
      <c r="BA1301">
        <v>0.31</v>
      </c>
      <c r="BB1301" t="s">
        <v>143</v>
      </c>
      <c r="BF1301">
        <v>0.28000000000000003</v>
      </c>
      <c r="BG1301">
        <v>0.2</v>
      </c>
      <c r="BH1301">
        <v>-0.61</v>
      </c>
      <c r="BI1301">
        <v>1.45</v>
      </c>
      <c r="BJ1301">
        <v>20210831</v>
      </c>
      <c r="BK1301">
        <v>20190116</v>
      </c>
      <c r="BL1301">
        <v>45.1</v>
      </c>
      <c r="BM1301" t="s">
        <v>120</v>
      </c>
      <c r="BN1301">
        <v>17.63</v>
      </c>
      <c r="BO1301">
        <v>5016.37</v>
      </c>
      <c r="BP1301">
        <v>4.87</v>
      </c>
      <c r="BQ1301">
        <v>316.33</v>
      </c>
      <c r="BR1301" t="s">
        <v>120</v>
      </c>
      <c r="BS1301">
        <v>93.69</v>
      </c>
      <c r="BT1301">
        <v>0</v>
      </c>
      <c r="BU1301">
        <v>29.92</v>
      </c>
      <c r="BV1301">
        <v>2.57</v>
      </c>
      <c r="BW1301">
        <v>0</v>
      </c>
      <c r="BX1301">
        <v>509.95</v>
      </c>
      <c r="BY1301">
        <v>0</v>
      </c>
      <c r="BZ1301">
        <v>0</v>
      </c>
      <c r="CA1301" t="s">
        <v>120</v>
      </c>
      <c r="CB1301">
        <v>83.38</v>
      </c>
      <c r="CC1301">
        <v>53.27</v>
      </c>
      <c r="CD1301">
        <v>0</v>
      </c>
      <c r="CE1301">
        <v>21.4</v>
      </c>
      <c r="CF1301">
        <v>4.66</v>
      </c>
      <c r="CG1301">
        <v>21.41</v>
      </c>
      <c r="CH1301">
        <v>24.48</v>
      </c>
      <c r="CI1301">
        <v>17.98</v>
      </c>
      <c r="CJ1301">
        <v>0.03</v>
      </c>
      <c r="CK1301">
        <v>17.920000000000002</v>
      </c>
      <c r="CL1301">
        <v>36.049999999999997</v>
      </c>
      <c r="CM1301">
        <v>-98.21</v>
      </c>
      <c r="CN1301">
        <v>-12.12</v>
      </c>
      <c r="CO1301">
        <v>75304</v>
      </c>
      <c r="CP1301">
        <v>8035</v>
      </c>
      <c r="CQ1301" t="s">
        <v>7049</v>
      </c>
      <c r="CR1301">
        <v>17.45</v>
      </c>
      <c r="CS1301">
        <v>-12.45</v>
      </c>
      <c r="CT1301">
        <v>0.93</v>
      </c>
      <c r="CU1301">
        <v>-2.25</v>
      </c>
      <c r="CV1301">
        <v>4.1500000000000004</v>
      </c>
      <c r="CW1301">
        <v>3.7</v>
      </c>
      <c r="CX1301" t="s">
        <v>3527</v>
      </c>
      <c r="CY1301">
        <v>5.27</v>
      </c>
      <c r="CZ1301">
        <v>5.27</v>
      </c>
      <c r="DA1301">
        <v>1.85</v>
      </c>
      <c r="DB1301">
        <v>0.8</v>
      </c>
      <c r="DC1301">
        <v>-2.1800000000000002</v>
      </c>
      <c r="DD1301">
        <v>6.31</v>
      </c>
      <c r="DE1301" t="s">
        <v>7050</v>
      </c>
      <c r="DF1301" t="s">
        <v>120</v>
      </c>
      <c r="DG1301">
        <v>40.18</v>
      </c>
      <c r="DH1301">
        <v>33.75</v>
      </c>
      <c r="DI1301" t="s">
        <v>120</v>
      </c>
      <c r="DJ1301">
        <v>4329</v>
      </c>
      <c r="DK1301">
        <v>2948</v>
      </c>
      <c r="DL1301" t="s">
        <v>120</v>
      </c>
      <c r="DM1301" t="s">
        <v>120</v>
      </c>
      <c r="DN1301" t="s">
        <v>120</v>
      </c>
    </row>
    <row r="1302" spans="1:118">
      <c r="A1302" t="str">
        <f>"002949"</f>
        <v>002949</v>
      </c>
      <c r="B1302" t="s">
        <v>7051</v>
      </c>
      <c r="C1302">
        <v>-0.56999999999999995</v>
      </c>
      <c r="D1302">
        <v>0</v>
      </c>
      <c r="E1302">
        <v>0.38</v>
      </c>
      <c r="F1302">
        <v>175</v>
      </c>
      <c r="G1302" t="s">
        <v>2507</v>
      </c>
      <c r="H1302">
        <v>3552.79</v>
      </c>
      <c r="I1302">
        <v>3.47</v>
      </c>
      <c r="J1302" t="s">
        <v>120</v>
      </c>
      <c r="K1302" t="s">
        <v>7052</v>
      </c>
      <c r="L1302">
        <v>2.4</v>
      </c>
      <c r="M1302">
        <v>15.61</v>
      </c>
      <c r="N1302">
        <v>1.18</v>
      </c>
      <c r="O1302">
        <v>3.06</v>
      </c>
      <c r="P1302">
        <v>16.18</v>
      </c>
      <c r="Q1302">
        <v>-0.64</v>
      </c>
      <c r="R1302">
        <v>15.6</v>
      </c>
      <c r="S1302">
        <v>15.76</v>
      </c>
      <c r="T1302">
        <v>22435</v>
      </c>
      <c r="U1302">
        <v>15.62</v>
      </c>
      <c r="V1302">
        <v>15.7</v>
      </c>
      <c r="W1302">
        <v>23.58</v>
      </c>
      <c r="X1302" t="s">
        <v>175</v>
      </c>
      <c r="Y1302" t="s">
        <v>123</v>
      </c>
      <c r="Z1302">
        <v>3.69</v>
      </c>
      <c r="AA1302">
        <v>15.84</v>
      </c>
      <c r="AB1302">
        <v>11562</v>
      </c>
      <c r="AC1302">
        <v>10873</v>
      </c>
      <c r="AD1302">
        <v>1.06</v>
      </c>
      <c r="AE1302">
        <v>201</v>
      </c>
      <c r="AF1302">
        <v>15</v>
      </c>
      <c r="AG1302" t="s">
        <v>120</v>
      </c>
      <c r="AH1302">
        <v>0</v>
      </c>
      <c r="AI1302" t="s">
        <v>120</v>
      </c>
      <c r="AJ1302">
        <v>0.94</v>
      </c>
      <c r="AK1302" t="s">
        <v>1634</v>
      </c>
      <c r="AL1302">
        <v>1.34</v>
      </c>
      <c r="AM1302">
        <v>1489</v>
      </c>
      <c r="AN1302">
        <v>15</v>
      </c>
      <c r="AO1302">
        <v>1.6000000000000001E-3</v>
      </c>
      <c r="AP1302">
        <v>-3</v>
      </c>
      <c r="AQ1302">
        <v>-1.44</v>
      </c>
      <c r="AR1302">
        <v>-5.44</v>
      </c>
      <c r="AS1302">
        <v>-0.63</v>
      </c>
      <c r="AT1302">
        <v>-9.98</v>
      </c>
      <c r="AU1302">
        <v>-14.93</v>
      </c>
      <c r="AV1302">
        <v>1</v>
      </c>
      <c r="AW1302">
        <v>3.04</v>
      </c>
      <c r="AX1302">
        <v>37.6</v>
      </c>
      <c r="AY1302">
        <v>15.48</v>
      </c>
      <c r="AZ1302">
        <v>17.760000000000002</v>
      </c>
      <c r="BA1302">
        <v>0.46</v>
      </c>
      <c r="BB1302" t="s">
        <v>240</v>
      </c>
      <c r="BF1302">
        <v>0.87</v>
      </c>
      <c r="BG1302">
        <v>-0.95</v>
      </c>
      <c r="BH1302">
        <v>-3.52</v>
      </c>
      <c r="BI1302">
        <v>0.06</v>
      </c>
      <c r="BJ1302">
        <v>20210915</v>
      </c>
      <c r="BK1302">
        <v>20190226</v>
      </c>
      <c r="BL1302">
        <v>1.96</v>
      </c>
      <c r="BM1302" t="s">
        <v>120</v>
      </c>
      <c r="BN1302" t="s">
        <v>120</v>
      </c>
      <c r="BO1302">
        <v>28.12</v>
      </c>
      <c r="BP1302">
        <v>15.61</v>
      </c>
      <c r="BQ1302">
        <v>13.87</v>
      </c>
      <c r="BR1302">
        <v>0.5</v>
      </c>
      <c r="BS1302">
        <v>48.9</v>
      </c>
      <c r="BT1302">
        <v>17.809999999999999</v>
      </c>
      <c r="BU1302">
        <v>3.4</v>
      </c>
      <c r="BV1302">
        <v>1.99</v>
      </c>
      <c r="BW1302">
        <v>9.19</v>
      </c>
      <c r="BX1302">
        <v>4.13</v>
      </c>
      <c r="BY1302">
        <v>0</v>
      </c>
      <c r="BZ1302">
        <v>5.46</v>
      </c>
      <c r="CA1302" t="s">
        <v>120</v>
      </c>
      <c r="CB1302">
        <v>6.43</v>
      </c>
      <c r="CC1302">
        <v>10.5</v>
      </c>
      <c r="CD1302">
        <v>8.2799999999999994</v>
      </c>
      <c r="CE1302">
        <v>0.76</v>
      </c>
      <c r="CF1302">
        <v>0.08</v>
      </c>
      <c r="CG1302">
        <v>0.76</v>
      </c>
      <c r="CH1302">
        <v>0.67</v>
      </c>
      <c r="CI1302">
        <v>0.65</v>
      </c>
      <c r="CJ1302">
        <v>-0.09</v>
      </c>
      <c r="CK1302">
        <v>0.51</v>
      </c>
      <c r="CL1302">
        <v>3.62</v>
      </c>
      <c r="CM1302">
        <v>-1.51</v>
      </c>
      <c r="CN1302">
        <v>-0.27</v>
      </c>
      <c r="CO1302">
        <v>13302</v>
      </c>
      <c r="CP1302">
        <v>5542</v>
      </c>
      <c r="CQ1302" t="s">
        <v>7053</v>
      </c>
      <c r="CR1302">
        <v>65.2</v>
      </c>
      <c r="CS1302">
        <v>78.95</v>
      </c>
      <c r="CT1302">
        <v>2.41</v>
      </c>
      <c r="CU1302">
        <v>-20.32</v>
      </c>
      <c r="CV1302">
        <v>2.91</v>
      </c>
      <c r="CW1302">
        <v>2.5499999999999998</v>
      </c>
      <c r="CX1302" t="s">
        <v>7054</v>
      </c>
      <c r="CY1302">
        <v>6.48</v>
      </c>
      <c r="CZ1302">
        <v>6.48</v>
      </c>
      <c r="DA1302">
        <v>3.28</v>
      </c>
      <c r="DB1302">
        <v>1.85</v>
      </c>
      <c r="DC1302">
        <v>-0.77</v>
      </c>
      <c r="DD1302">
        <v>49.34</v>
      </c>
      <c r="DE1302" t="s">
        <v>7055</v>
      </c>
      <c r="DF1302">
        <v>21.16</v>
      </c>
      <c r="DG1302">
        <v>7.23</v>
      </c>
      <c r="DH1302">
        <v>6.18</v>
      </c>
      <c r="DI1302">
        <v>0.43</v>
      </c>
      <c r="DJ1302">
        <v>4941</v>
      </c>
      <c r="DK1302">
        <v>2949</v>
      </c>
      <c r="DL1302" t="s">
        <v>120</v>
      </c>
      <c r="DM1302" t="s">
        <v>120</v>
      </c>
      <c r="DN1302" t="s">
        <v>120</v>
      </c>
    </row>
    <row r="1303" spans="1:118">
      <c r="A1303" t="str">
        <f>"002950"</f>
        <v>002950</v>
      </c>
      <c r="B1303" t="s">
        <v>7056</v>
      </c>
      <c r="C1303">
        <v>-0.83</v>
      </c>
      <c r="D1303">
        <v>0.15</v>
      </c>
      <c r="E1303">
        <v>-1.75</v>
      </c>
      <c r="F1303">
        <v>284</v>
      </c>
      <c r="G1303" t="s">
        <v>7057</v>
      </c>
      <c r="H1303">
        <v>4579.88</v>
      </c>
      <c r="I1303">
        <v>121.47</v>
      </c>
      <c r="J1303" t="s">
        <v>120</v>
      </c>
      <c r="K1303" t="s">
        <v>7058</v>
      </c>
      <c r="L1303">
        <v>1.51</v>
      </c>
      <c r="M1303">
        <v>13.07</v>
      </c>
      <c r="N1303">
        <v>1.39</v>
      </c>
      <c r="O1303">
        <v>0.83</v>
      </c>
      <c r="P1303">
        <v>13.29</v>
      </c>
      <c r="Q1303">
        <v>-1.75</v>
      </c>
      <c r="R1303">
        <v>12.95</v>
      </c>
      <c r="S1303">
        <v>12.95</v>
      </c>
      <c r="T1303">
        <v>34981</v>
      </c>
      <c r="U1303">
        <v>13.08</v>
      </c>
      <c r="V1303">
        <v>13.18</v>
      </c>
      <c r="W1303">
        <v>17.41</v>
      </c>
      <c r="X1303" t="s">
        <v>555</v>
      </c>
      <c r="Y1303" t="s">
        <v>763</v>
      </c>
      <c r="Z1303">
        <v>2.58</v>
      </c>
      <c r="AA1303">
        <v>13.09</v>
      </c>
      <c r="AB1303">
        <v>17425</v>
      </c>
      <c r="AC1303">
        <v>17556</v>
      </c>
      <c r="AD1303">
        <v>0.99</v>
      </c>
      <c r="AE1303">
        <v>16</v>
      </c>
      <c r="AF1303">
        <v>186</v>
      </c>
      <c r="AG1303" t="s">
        <v>120</v>
      </c>
      <c r="AH1303">
        <v>0.05</v>
      </c>
      <c r="AI1303" t="s">
        <v>120</v>
      </c>
      <c r="AJ1303">
        <v>2.3199999999999998</v>
      </c>
      <c r="AK1303" t="s">
        <v>7059</v>
      </c>
      <c r="AL1303">
        <v>1.08</v>
      </c>
      <c r="AM1303">
        <v>1636</v>
      </c>
      <c r="AN1303">
        <v>21</v>
      </c>
      <c r="AO1303">
        <v>8.9999999999999998E-4</v>
      </c>
      <c r="AP1303">
        <v>-6</v>
      </c>
      <c r="AQ1303">
        <v>-1.1299999999999999</v>
      </c>
      <c r="AR1303">
        <v>-2.91</v>
      </c>
      <c r="AS1303">
        <v>-8.15</v>
      </c>
      <c r="AT1303">
        <v>-24.93</v>
      </c>
      <c r="AU1303">
        <v>-32.74</v>
      </c>
      <c r="AV1303">
        <v>1</v>
      </c>
      <c r="AW1303">
        <v>1.89</v>
      </c>
      <c r="AX1303">
        <v>29.22</v>
      </c>
      <c r="AY1303">
        <v>12.21</v>
      </c>
      <c r="AZ1303">
        <v>7.21</v>
      </c>
      <c r="BA1303">
        <v>0.54</v>
      </c>
      <c r="BB1303" t="s">
        <v>134</v>
      </c>
      <c r="BF1303">
        <v>-0.66</v>
      </c>
      <c r="BG1303">
        <v>0.93</v>
      </c>
      <c r="BH1303">
        <v>-1.66</v>
      </c>
      <c r="BI1303">
        <v>0.93</v>
      </c>
      <c r="BJ1303">
        <v>20210830</v>
      </c>
      <c r="BK1303">
        <v>20190311</v>
      </c>
      <c r="BL1303">
        <v>6.33</v>
      </c>
      <c r="BM1303" t="s">
        <v>120</v>
      </c>
      <c r="BN1303" t="s">
        <v>120</v>
      </c>
      <c r="BO1303">
        <v>48.45</v>
      </c>
      <c r="BP1303">
        <v>13.07</v>
      </c>
      <c r="BQ1303">
        <v>25.82</v>
      </c>
      <c r="BR1303">
        <v>0.14000000000000001</v>
      </c>
      <c r="BS1303">
        <v>46.41</v>
      </c>
      <c r="BT1303">
        <v>22.61</v>
      </c>
      <c r="BU1303">
        <v>11.61</v>
      </c>
      <c r="BV1303">
        <v>2.2200000000000002</v>
      </c>
      <c r="BW1303">
        <v>15.91</v>
      </c>
      <c r="BX1303">
        <v>4.22</v>
      </c>
      <c r="BY1303">
        <v>8.1999999999999993</v>
      </c>
      <c r="BZ1303">
        <v>4.1900000000000004</v>
      </c>
      <c r="CA1303" t="s">
        <v>120</v>
      </c>
      <c r="CB1303">
        <v>5.73</v>
      </c>
      <c r="CC1303">
        <v>14.97</v>
      </c>
      <c r="CD1303">
        <v>10.43</v>
      </c>
      <c r="CE1303">
        <v>2.93</v>
      </c>
      <c r="CF1303">
        <v>0.13</v>
      </c>
      <c r="CG1303">
        <v>2.93</v>
      </c>
      <c r="CH1303">
        <v>2.4</v>
      </c>
      <c r="CI1303">
        <v>2.38</v>
      </c>
      <c r="CJ1303">
        <v>-0.11</v>
      </c>
      <c r="CK1303">
        <v>1.98</v>
      </c>
      <c r="CL1303">
        <v>12.8</v>
      </c>
      <c r="CM1303">
        <v>0.7</v>
      </c>
      <c r="CN1303">
        <v>-8.7899999999999991</v>
      </c>
      <c r="CO1303">
        <v>57467</v>
      </c>
      <c r="CP1303">
        <v>3220</v>
      </c>
      <c r="CQ1303" t="s">
        <v>7060</v>
      </c>
      <c r="CR1303">
        <v>-66.59</v>
      </c>
      <c r="CS1303">
        <v>-33.65</v>
      </c>
      <c r="CT1303">
        <v>3.21</v>
      </c>
      <c r="CU1303">
        <v>118.13</v>
      </c>
      <c r="CV1303">
        <v>5.53</v>
      </c>
      <c r="CW1303">
        <v>6.68</v>
      </c>
      <c r="CX1303" t="s">
        <v>7061</v>
      </c>
      <c r="CY1303">
        <v>4.08</v>
      </c>
      <c r="CZ1303">
        <v>0</v>
      </c>
      <c r="DA1303">
        <v>0.9</v>
      </c>
      <c r="DB1303">
        <v>2.02</v>
      </c>
      <c r="DC1303">
        <v>0.11</v>
      </c>
      <c r="DD1303">
        <v>53.3</v>
      </c>
      <c r="DE1303" t="s">
        <v>7062</v>
      </c>
      <c r="DF1303">
        <v>30.3</v>
      </c>
      <c r="DG1303">
        <v>19.579999999999998</v>
      </c>
      <c r="DH1303">
        <v>15.89</v>
      </c>
      <c r="DI1303">
        <v>0.4</v>
      </c>
      <c r="DJ1303">
        <v>5426</v>
      </c>
      <c r="DK1303">
        <v>2950</v>
      </c>
      <c r="DL1303" t="s">
        <v>120</v>
      </c>
      <c r="DM1303" t="s">
        <v>120</v>
      </c>
      <c r="DN1303" t="s">
        <v>120</v>
      </c>
    </row>
    <row r="1304" spans="1:118">
      <c r="A1304" t="str">
        <f>"002951"</f>
        <v>002951</v>
      </c>
      <c r="B1304" t="s">
        <v>7063</v>
      </c>
      <c r="C1304">
        <v>-1.1399999999999999</v>
      </c>
      <c r="D1304">
        <v>0.21</v>
      </c>
      <c r="E1304">
        <v>-0.21</v>
      </c>
      <c r="F1304">
        <v>116</v>
      </c>
      <c r="G1304" t="s">
        <v>7064</v>
      </c>
      <c r="H1304">
        <v>1066.1500000000001</v>
      </c>
      <c r="I1304">
        <v>0</v>
      </c>
      <c r="J1304" t="s">
        <v>120</v>
      </c>
      <c r="K1304" t="s">
        <v>7064</v>
      </c>
      <c r="L1304">
        <v>1.55</v>
      </c>
      <c r="M1304">
        <v>9.52</v>
      </c>
      <c r="N1304">
        <v>1.07</v>
      </c>
      <c r="O1304">
        <v>1.45</v>
      </c>
      <c r="P1304">
        <v>9.77</v>
      </c>
      <c r="Q1304">
        <v>-1.45</v>
      </c>
      <c r="R1304">
        <v>9.49</v>
      </c>
      <c r="S1304">
        <v>9.61</v>
      </c>
      <c r="T1304">
        <v>11089</v>
      </c>
      <c r="U1304">
        <v>9.5299999999999994</v>
      </c>
      <c r="V1304">
        <v>9.6300000000000008</v>
      </c>
      <c r="W1304">
        <v>48.26</v>
      </c>
      <c r="X1304" t="s">
        <v>339</v>
      </c>
      <c r="Y1304" t="s">
        <v>578</v>
      </c>
      <c r="Z1304">
        <v>2.91</v>
      </c>
      <c r="AA1304">
        <v>9.61</v>
      </c>
      <c r="AB1304">
        <v>7490</v>
      </c>
      <c r="AC1304">
        <v>3599</v>
      </c>
      <c r="AD1304">
        <v>2.08</v>
      </c>
      <c r="AE1304">
        <v>39</v>
      </c>
      <c r="AF1304">
        <v>29</v>
      </c>
      <c r="AG1304" t="s">
        <v>120</v>
      </c>
      <c r="AH1304">
        <v>0</v>
      </c>
      <c r="AI1304" t="s">
        <v>120</v>
      </c>
      <c r="AJ1304">
        <v>0.72</v>
      </c>
      <c r="AK1304" t="s">
        <v>7065</v>
      </c>
      <c r="AL1304">
        <v>0.77</v>
      </c>
      <c r="AM1304">
        <v>623</v>
      </c>
      <c r="AN1304">
        <v>18</v>
      </c>
      <c r="AO1304">
        <v>2.5000000000000001E-3</v>
      </c>
      <c r="AP1304">
        <v>-1</v>
      </c>
      <c r="AQ1304">
        <v>0.31</v>
      </c>
      <c r="AR1304">
        <v>-2.86</v>
      </c>
      <c r="AS1304">
        <v>-0.52</v>
      </c>
      <c r="AT1304">
        <v>-10.95</v>
      </c>
      <c r="AU1304">
        <v>-25.1</v>
      </c>
      <c r="AV1304">
        <v>2</v>
      </c>
      <c r="AW1304">
        <v>1.55</v>
      </c>
      <c r="AX1304">
        <v>17.7</v>
      </c>
      <c r="AY1304">
        <v>25.21</v>
      </c>
      <c r="AZ1304">
        <v>20.62</v>
      </c>
      <c r="BA1304">
        <v>0.51</v>
      </c>
      <c r="BB1304" t="s">
        <v>143</v>
      </c>
      <c r="BF1304">
        <v>-0.16</v>
      </c>
      <c r="BG1304">
        <v>-0.94</v>
      </c>
      <c r="BH1304">
        <v>-2.56</v>
      </c>
      <c r="BI1304">
        <v>0.32</v>
      </c>
      <c r="BJ1304">
        <v>20210826</v>
      </c>
      <c r="BK1304">
        <v>20190315</v>
      </c>
      <c r="BL1304">
        <v>4.05</v>
      </c>
      <c r="BM1304" t="s">
        <v>120</v>
      </c>
      <c r="BN1304" t="s">
        <v>120</v>
      </c>
      <c r="BO1304">
        <v>16.48</v>
      </c>
      <c r="BP1304">
        <v>9.52</v>
      </c>
      <c r="BQ1304">
        <v>14.17</v>
      </c>
      <c r="BR1304">
        <v>0.1</v>
      </c>
      <c r="BS1304">
        <v>13.41</v>
      </c>
      <c r="BT1304">
        <v>6.68</v>
      </c>
      <c r="BU1304">
        <v>2.72</v>
      </c>
      <c r="BV1304">
        <v>0.86</v>
      </c>
      <c r="BW1304">
        <v>2.1</v>
      </c>
      <c r="BX1304">
        <v>3.51</v>
      </c>
      <c r="BY1304">
        <v>0.86</v>
      </c>
      <c r="BZ1304">
        <v>0.56000000000000005</v>
      </c>
      <c r="CA1304" t="s">
        <v>120</v>
      </c>
      <c r="CB1304">
        <v>5.37</v>
      </c>
      <c r="CC1304">
        <v>2.23</v>
      </c>
      <c r="CD1304">
        <v>1.39</v>
      </c>
      <c r="CE1304">
        <v>0.47</v>
      </c>
      <c r="CF1304">
        <v>0.01</v>
      </c>
      <c r="CG1304">
        <v>0.47</v>
      </c>
      <c r="CH1304">
        <v>0.4</v>
      </c>
      <c r="CI1304">
        <v>0.4</v>
      </c>
      <c r="CJ1304">
        <v>-0.11</v>
      </c>
      <c r="CK1304">
        <v>0.36</v>
      </c>
      <c r="CL1304">
        <v>3.95</v>
      </c>
      <c r="CM1304">
        <v>1.06</v>
      </c>
      <c r="CN1304">
        <v>-0.91</v>
      </c>
      <c r="CO1304">
        <v>19916</v>
      </c>
      <c r="CP1304">
        <v>3598</v>
      </c>
      <c r="CQ1304" t="s">
        <v>7066</v>
      </c>
      <c r="CR1304">
        <v>-46.33</v>
      </c>
      <c r="CS1304">
        <v>-18.989999999999998</v>
      </c>
      <c r="CT1304">
        <v>2.72</v>
      </c>
      <c r="CU1304">
        <v>36.46</v>
      </c>
      <c r="CV1304">
        <v>17.32</v>
      </c>
      <c r="CW1304">
        <v>1.56</v>
      </c>
      <c r="CX1304" t="s">
        <v>411</v>
      </c>
      <c r="CY1304">
        <v>3.5</v>
      </c>
      <c r="CZ1304">
        <v>0</v>
      </c>
      <c r="DA1304">
        <v>1.33</v>
      </c>
      <c r="DB1304">
        <v>0.97</v>
      </c>
      <c r="DC1304">
        <v>0.26</v>
      </c>
      <c r="DD1304">
        <v>86</v>
      </c>
      <c r="DE1304" t="s">
        <v>7067</v>
      </c>
      <c r="DF1304">
        <v>37.72</v>
      </c>
      <c r="DG1304">
        <v>21.13</v>
      </c>
      <c r="DH1304">
        <v>17.940000000000001</v>
      </c>
      <c r="DI1304">
        <v>0.05</v>
      </c>
      <c r="DJ1304">
        <v>528</v>
      </c>
      <c r="DK1304">
        <v>2951</v>
      </c>
      <c r="DL1304" t="s">
        <v>120</v>
      </c>
      <c r="DM1304" t="s">
        <v>120</v>
      </c>
      <c r="DN1304" t="s">
        <v>120</v>
      </c>
    </row>
    <row r="1305" spans="1:118">
      <c r="A1305" t="str">
        <f>"002952"</f>
        <v>002952</v>
      </c>
      <c r="B1305" t="s">
        <v>7068</v>
      </c>
      <c r="C1305">
        <v>2.42</v>
      </c>
      <c r="D1305">
        <v>0</v>
      </c>
      <c r="E1305">
        <v>0</v>
      </c>
      <c r="F1305">
        <v>538</v>
      </c>
      <c r="G1305" t="s">
        <v>7069</v>
      </c>
      <c r="H1305">
        <v>2849.61</v>
      </c>
      <c r="I1305">
        <v>3.96</v>
      </c>
      <c r="J1305" t="s">
        <v>120</v>
      </c>
      <c r="K1305" t="s">
        <v>7070</v>
      </c>
      <c r="L1305">
        <v>3.04</v>
      </c>
      <c r="M1305">
        <v>13.52</v>
      </c>
      <c r="N1305">
        <v>3.16</v>
      </c>
      <c r="O1305">
        <v>2.65</v>
      </c>
      <c r="P1305">
        <v>13.55</v>
      </c>
      <c r="Q1305">
        <v>-0.38</v>
      </c>
      <c r="R1305">
        <v>13.15</v>
      </c>
      <c r="S1305">
        <v>13.2</v>
      </c>
      <c r="T1305">
        <v>21233</v>
      </c>
      <c r="U1305">
        <v>13.53</v>
      </c>
      <c r="V1305">
        <v>13.2</v>
      </c>
      <c r="W1305">
        <v>48.24</v>
      </c>
      <c r="X1305" t="s">
        <v>229</v>
      </c>
      <c r="Y1305" t="s">
        <v>432</v>
      </c>
      <c r="Z1305">
        <v>3.03</v>
      </c>
      <c r="AA1305">
        <v>13.42</v>
      </c>
      <c r="AB1305">
        <v>9017</v>
      </c>
      <c r="AC1305">
        <v>12216</v>
      </c>
      <c r="AD1305">
        <v>0.74</v>
      </c>
      <c r="AE1305">
        <v>266</v>
      </c>
      <c r="AF1305">
        <v>368</v>
      </c>
      <c r="AG1305" t="s">
        <v>120</v>
      </c>
      <c r="AH1305">
        <v>0.01</v>
      </c>
      <c r="AI1305" t="s">
        <v>120</v>
      </c>
      <c r="AJ1305">
        <v>0.7</v>
      </c>
      <c r="AK1305" t="s">
        <v>7071</v>
      </c>
      <c r="AL1305">
        <v>4.34</v>
      </c>
      <c r="AM1305">
        <v>1121</v>
      </c>
      <c r="AN1305">
        <v>19</v>
      </c>
      <c r="AO1305">
        <v>2.7000000000000001E-3</v>
      </c>
      <c r="AP1305">
        <v>3</v>
      </c>
      <c r="AQ1305">
        <v>0.76</v>
      </c>
      <c r="AR1305">
        <v>3.36</v>
      </c>
      <c r="AS1305">
        <v>5.37</v>
      </c>
      <c r="AT1305">
        <v>-3.5</v>
      </c>
      <c r="AU1305">
        <v>-10.16</v>
      </c>
      <c r="AV1305">
        <v>1</v>
      </c>
      <c r="AW1305">
        <v>4.6900000000000004</v>
      </c>
      <c r="AX1305">
        <v>27.54</v>
      </c>
      <c r="AY1305">
        <v>38.520000000000003</v>
      </c>
      <c r="AZ1305">
        <v>25.15</v>
      </c>
      <c r="BA1305">
        <v>0.35</v>
      </c>
      <c r="BB1305" t="s">
        <v>168</v>
      </c>
      <c r="BF1305">
        <v>1.67</v>
      </c>
      <c r="BG1305">
        <v>2.42</v>
      </c>
      <c r="BH1305">
        <v>-0.22</v>
      </c>
      <c r="BI1305">
        <v>2.81</v>
      </c>
      <c r="BJ1305">
        <v>20210827</v>
      </c>
      <c r="BK1305">
        <v>20190328</v>
      </c>
      <c r="BL1305">
        <v>1.64</v>
      </c>
      <c r="BM1305" t="s">
        <v>120</v>
      </c>
      <c r="BN1305" t="s">
        <v>120</v>
      </c>
      <c r="BO1305">
        <v>10.11</v>
      </c>
      <c r="BP1305">
        <v>13.52</v>
      </c>
      <c r="BQ1305">
        <v>8.1</v>
      </c>
      <c r="BR1305" t="s">
        <v>120</v>
      </c>
      <c r="BS1305">
        <v>19.86</v>
      </c>
      <c r="BT1305">
        <v>8.68</v>
      </c>
      <c r="BU1305">
        <v>0.56999999999999995</v>
      </c>
      <c r="BV1305">
        <v>0.16</v>
      </c>
      <c r="BW1305">
        <v>1.75</v>
      </c>
      <c r="BX1305">
        <v>1.85</v>
      </c>
      <c r="BY1305">
        <v>1.91</v>
      </c>
      <c r="BZ1305">
        <v>0.93</v>
      </c>
      <c r="CA1305" t="s">
        <v>120</v>
      </c>
      <c r="CB1305">
        <v>3.63</v>
      </c>
      <c r="CC1305">
        <v>2.56</v>
      </c>
      <c r="CD1305">
        <v>2.14</v>
      </c>
      <c r="CE1305">
        <v>0.26</v>
      </c>
      <c r="CF1305">
        <v>0.09</v>
      </c>
      <c r="CG1305">
        <v>0.26</v>
      </c>
      <c r="CH1305">
        <v>0.23</v>
      </c>
      <c r="CI1305">
        <v>0.23</v>
      </c>
      <c r="CJ1305">
        <v>0.32</v>
      </c>
      <c r="CK1305">
        <v>0.13</v>
      </c>
      <c r="CL1305">
        <v>2.3199999999999998</v>
      </c>
      <c r="CM1305">
        <v>-0.51</v>
      </c>
      <c r="CN1305">
        <v>0.42</v>
      </c>
      <c r="CO1305">
        <v>13610</v>
      </c>
      <c r="CP1305">
        <v>3326</v>
      </c>
      <c r="CQ1305" t="s">
        <v>3044</v>
      </c>
      <c r="CR1305">
        <v>-56.52</v>
      </c>
      <c r="CS1305">
        <v>19.41</v>
      </c>
      <c r="CT1305">
        <v>2.74</v>
      </c>
      <c r="CU1305">
        <v>-43.74</v>
      </c>
      <c r="CV1305">
        <v>8.68</v>
      </c>
      <c r="CW1305">
        <v>2.27</v>
      </c>
      <c r="CX1305" t="s">
        <v>300</v>
      </c>
      <c r="CY1305">
        <v>4.93</v>
      </c>
      <c r="CZ1305">
        <v>0</v>
      </c>
      <c r="DA1305">
        <v>2.21</v>
      </c>
      <c r="DB1305">
        <v>1.41</v>
      </c>
      <c r="DC1305">
        <v>-0.31</v>
      </c>
      <c r="DD1305">
        <v>80.14</v>
      </c>
      <c r="DE1305" t="s">
        <v>1335</v>
      </c>
      <c r="DF1305">
        <v>16.34</v>
      </c>
      <c r="DG1305">
        <v>10.199999999999999</v>
      </c>
      <c r="DH1305">
        <v>9</v>
      </c>
      <c r="DI1305">
        <v>0.09</v>
      </c>
      <c r="DJ1305">
        <v>1877</v>
      </c>
      <c r="DK1305">
        <v>2952</v>
      </c>
      <c r="DL1305" t="s">
        <v>120</v>
      </c>
      <c r="DM1305" t="s">
        <v>120</v>
      </c>
      <c r="DN1305" t="s">
        <v>120</v>
      </c>
    </row>
    <row r="1306" spans="1:118">
      <c r="A1306" t="str">
        <f>"002953"</f>
        <v>002953</v>
      </c>
      <c r="B1306" t="s">
        <v>7072</v>
      </c>
      <c r="C1306">
        <v>-3.07</v>
      </c>
      <c r="D1306">
        <v>-0.2</v>
      </c>
      <c r="E1306">
        <v>0.68</v>
      </c>
      <c r="F1306">
        <v>428</v>
      </c>
      <c r="G1306" t="s">
        <v>1214</v>
      </c>
      <c r="H1306">
        <v>3928.54</v>
      </c>
      <c r="I1306">
        <v>10.32</v>
      </c>
      <c r="J1306" t="s">
        <v>120</v>
      </c>
      <c r="K1306" t="s">
        <v>1214</v>
      </c>
      <c r="L1306">
        <v>3.69</v>
      </c>
      <c r="M1306">
        <v>14.19</v>
      </c>
      <c r="N1306">
        <v>0.81</v>
      </c>
      <c r="O1306">
        <v>0.82</v>
      </c>
      <c r="P1306">
        <v>14.76</v>
      </c>
      <c r="Q1306">
        <v>-3.14</v>
      </c>
      <c r="R1306">
        <v>14.18</v>
      </c>
      <c r="S1306">
        <v>14.74</v>
      </c>
      <c r="T1306">
        <v>27202</v>
      </c>
      <c r="U1306">
        <v>14.19</v>
      </c>
      <c r="V1306">
        <v>14.64</v>
      </c>
      <c r="W1306">
        <v>21.73</v>
      </c>
      <c r="X1306" t="s">
        <v>394</v>
      </c>
      <c r="Y1306" t="s">
        <v>547</v>
      </c>
      <c r="Z1306">
        <v>3.96</v>
      </c>
      <c r="AA1306">
        <v>14.44</v>
      </c>
      <c r="AB1306">
        <v>17525</v>
      </c>
      <c r="AC1306">
        <v>9677</v>
      </c>
      <c r="AD1306">
        <v>1.81</v>
      </c>
      <c r="AE1306">
        <v>54</v>
      </c>
      <c r="AF1306">
        <v>6</v>
      </c>
      <c r="AG1306" t="s">
        <v>120</v>
      </c>
      <c r="AH1306">
        <v>0.01</v>
      </c>
      <c r="AI1306" t="s">
        <v>120</v>
      </c>
      <c r="AJ1306">
        <v>0.74</v>
      </c>
      <c r="AK1306" t="s">
        <v>3970</v>
      </c>
      <c r="AL1306">
        <v>-1.1599999999999999</v>
      </c>
      <c r="AM1306">
        <v>1665</v>
      </c>
      <c r="AN1306">
        <v>16</v>
      </c>
      <c r="AO1306">
        <v>2.2000000000000001E-3</v>
      </c>
      <c r="AP1306">
        <v>-1</v>
      </c>
      <c r="AQ1306">
        <v>1.24</v>
      </c>
      <c r="AR1306">
        <v>-3.54</v>
      </c>
      <c r="AS1306">
        <v>4.87</v>
      </c>
      <c r="AT1306">
        <v>-3.8</v>
      </c>
      <c r="AU1306">
        <v>3.41</v>
      </c>
      <c r="AV1306">
        <v>3</v>
      </c>
      <c r="AW1306">
        <v>3.69</v>
      </c>
      <c r="AX1306">
        <v>30.32</v>
      </c>
      <c r="AY1306">
        <v>26.56</v>
      </c>
      <c r="AZ1306">
        <v>33.96</v>
      </c>
      <c r="BA1306">
        <v>0.47</v>
      </c>
      <c r="BB1306" t="s">
        <v>143</v>
      </c>
      <c r="BF1306">
        <v>-1.35</v>
      </c>
      <c r="BG1306">
        <v>-3.73</v>
      </c>
      <c r="BH1306">
        <v>-3.86</v>
      </c>
      <c r="BI1306">
        <v>7.0000000000000007E-2</v>
      </c>
      <c r="BJ1306">
        <v>20210827</v>
      </c>
      <c r="BK1306">
        <v>20190509</v>
      </c>
      <c r="BL1306">
        <v>2.4300000000000002</v>
      </c>
      <c r="BM1306" t="s">
        <v>120</v>
      </c>
      <c r="BN1306" t="s">
        <v>120</v>
      </c>
      <c r="BO1306">
        <v>23.85</v>
      </c>
      <c r="BP1306">
        <v>14.18</v>
      </c>
      <c r="BQ1306">
        <v>11.89</v>
      </c>
      <c r="BR1306">
        <v>0.03</v>
      </c>
      <c r="BS1306">
        <v>49.99</v>
      </c>
      <c r="BT1306">
        <v>18.91</v>
      </c>
      <c r="BU1306">
        <v>1.81</v>
      </c>
      <c r="BV1306">
        <v>0.78</v>
      </c>
      <c r="BW1306">
        <v>7.75</v>
      </c>
      <c r="BX1306">
        <v>0.89</v>
      </c>
      <c r="BY1306">
        <v>3.99</v>
      </c>
      <c r="BZ1306">
        <v>8.08</v>
      </c>
      <c r="CA1306" t="s">
        <v>120</v>
      </c>
      <c r="CB1306">
        <v>3.16</v>
      </c>
      <c r="CC1306">
        <v>15.13</v>
      </c>
      <c r="CD1306">
        <v>13.04</v>
      </c>
      <c r="CE1306">
        <v>0.86</v>
      </c>
      <c r="CF1306">
        <v>0.04</v>
      </c>
      <c r="CG1306">
        <v>0.86</v>
      </c>
      <c r="CH1306">
        <v>0.79</v>
      </c>
      <c r="CI1306">
        <v>0.79</v>
      </c>
      <c r="CJ1306">
        <v>-0.45</v>
      </c>
      <c r="CK1306">
        <v>0.73</v>
      </c>
      <c r="CL1306">
        <v>4.9000000000000004</v>
      </c>
      <c r="CM1306">
        <v>-2.27</v>
      </c>
      <c r="CN1306">
        <v>0.28000000000000003</v>
      </c>
      <c r="CO1306">
        <v>17789</v>
      </c>
      <c r="CP1306">
        <v>4147</v>
      </c>
      <c r="CQ1306" t="s">
        <v>6706</v>
      </c>
      <c r="CR1306">
        <v>58.17</v>
      </c>
      <c r="CS1306">
        <v>109.83</v>
      </c>
      <c r="CT1306">
        <v>3.17</v>
      </c>
      <c r="CU1306">
        <v>-15.23</v>
      </c>
      <c r="CV1306">
        <v>2.2799999999999998</v>
      </c>
      <c r="CW1306">
        <v>0.59</v>
      </c>
      <c r="CX1306" t="s">
        <v>2443</v>
      </c>
      <c r="CY1306">
        <v>4.47</v>
      </c>
      <c r="CZ1306">
        <v>4.47</v>
      </c>
      <c r="DA1306">
        <v>1.3</v>
      </c>
      <c r="DB1306">
        <v>2.0099999999999998</v>
      </c>
      <c r="DC1306">
        <v>-0.93</v>
      </c>
      <c r="DD1306">
        <v>49.88</v>
      </c>
      <c r="DE1306" t="s">
        <v>7073</v>
      </c>
      <c r="DF1306">
        <v>13.78</v>
      </c>
      <c r="DG1306">
        <v>5.69</v>
      </c>
      <c r="DH1306">
        <v>5.25</v>
      </c>
      <c r="DI1306">
        <v>0.42</v>
      </c>
      <c r="DJ1306">
        <v>1903</v>
      </c>
      <c r="DK1306">
        <v>2953</v>
      </c>
      <c r="DL1306" t="s">
        <v>120</v>
      </c>
      <c r="DM1306" t="s">
        <v>120</v>
      </c>
      <c r="DN1306" t="s">
        <v>120</v>
      </c>
    </row>
    <row r="1307" spans="1:118">
      <c r="A1307" t="str">
        <f>"002955"</f>
        <v>002955</v>
      </c>
      <c r="B1307" t="s">
        <v>7074</v>
      </c>
      <c r="C1307">
        <v>-0.76</v>
      </c>
      <c r="D1307">
        <v>0</v>
      </c>
      <c r="E1307">
        <v>0.35</v>
      </c>
      <c r="F1307">
        <v>117</v>
      </c>
      <c r="G1307" t="s">
        <v>7075</v>
      </c>
      <c r="H1307">
        <v>1836.23</v>
      </c>
      <c r="I1307">
        <v>16.96</v>
      </c>
      <c r="J1307" t="s">
        <v>120</v>
      </c>
      <c r="K1307" t="s">
        <v>228</v>
      </c>
      <c r="L1307">
        <v>1.1100000000000001</v>
      </c>
      <c r="M1307">
        <v>16.940000000000001</v>
      </c>
      <c r="N1307">
        <v>0.76</v>
      </c>
      <c r="O1307">
        <v>0.76</v>
      </c>
      <c r="P1307">
        <v>17.2</v>
      </c>
      <c r="Q1307">
        <v>-0.82</v>
      </c>
      <c r="R1307">
        <v>16.93</v>
      </c>
      <c r="S1307">
        <v>17.13</v>
      </c>
      <c r="T1307">
        <v>10773</v>
      </c>
      <c r="U1307">
        <v>16.95</v>
      </c>
      <c r="V1307">
        <v>17.07</v>
      </c>
      <c r="W1307">
        <v>76.06</v>
      </c>
      <c r="X1307" t="s">
        <v>238</v>
      </c>
      <c r="Y1307" t="s">
        <v>158</v>
      </c>
      <c r="Z1307">
        <v>1.58</v>
      </c>
      <c r="AA1307">
        <v>17.04</v>
      </c>
      <c r="AB1307">
        <v>6786</v>
      </c>
      <c r="AC1307">
        <v>3987</v>
      </c>
      <c r="AD1307">
        <v>1.7</v>
      </c>
      <c r="AE1307">
        <v>163</v>
      </c>
      <c r="AF1307">
        <v>140</v>
      </c>
      <c r="AG1307" t="s">
        <v>120</v>
      </c>
      <c r="AH1307">
        <v>0.01</v>
      </c>
      <c r="AI1307" t="s">
        <v>120</v>
      </c>
      <c r="AJ1307">
        <v>0.97</v>
      </c>
      <c r="AK1307" t="s">
        <v>7076</v>
      </c>
      <c r="AL1307">
        <v>1.1499999999999999</v>
      </c>
      <c r="AM1307">
        <v>1230</v>
      </c>
      <c r="AN1307">
        <v>9</v>
      </c>
      <c r="AO1307">
        <v>8.9999999999999998E-4</v>
      </c>
      <c r="AP1307">
        <v>-1</v>
      </c>
      <c r="AQ1307">
        <v>0.06</v>
      </c>
      <c r="AR1307">
        <v>-1.34</v>
      </c>
      <c r="AS1307">
        <v>-6.97</v>
      </c>
      <c r="AT1307">
        <v>-10.71</v>
      </c>
      <c r="AU1307">
        <v>-22.54</v>
      </c>
      <c r="AV1307">
        <v>2</v>
      </c>
      <c r="AW1307">
        <v>1.34</v>
      </c>
      <c r="AX1307">
        <v>34.15</v>
      </c>
      <c r="AY1307">
        <v>28.55</v>
      </c>
      <c r="AZ1307">
        <v>49.12</v>
      </c>
      <c r="BA1307">
        <v>0.51</v>
      </c>
      <c r="BB1307" t="s">
        <v>143</v>
      </c>
      <c r="BF1307">
        <v>-0.15</v>
      </c>
      <c r="BG1307">
        <v>-1.1100000000000001</v>
      </c>
      <c r="BH1307">
        <v>-1.51</v>
      </c>
      <c r="BI1307">
        <v>0.06</v>
      </c>
      <c r="BJ1307">
        <v>20210827</v>
      </c>
      <c r="BK1307">
        <v>20190523</v>
      </c>
      <c r="BL1307">
        <v>2.35</v>
      </c>
      <c r="BM1307" t="s">
        <v>120</v>
      </c>
      <c r="BN1307" t="s">
        <v>120</v>
      </c>
      <c r="BO1307">
        <v>43.23</v>
      </c>
      <c r="BP1307">
        <v>16.940000000000001</v>
      </c>
      <c r="BQ1307">
        <v>30.38</v>
      </c>
      <c r="BR1307">
        <v>0.35</v>
      </c>
      <c r="BS1307">
        <v>28.92</v>
      </c>
      <c r="BT1307">
        <v>32.770000000000003</v>
      </c>
      <c r="BU1307">
        <v>6.18</v>
      </c>
      <c r="BV1307">
        <v>0.68</v>
      </c>
      <c r="BW1307">
        <v>11.6</v>
      </c>
      <c r="BX1307">
        <v>7.2</v>
      </c>
      <c r="BY1307">
        <v>9.43</v>
      </c>
      <c r="BZ1307">
        <v>8.2200000000000006</v>
      </c>
      <c r="CA1307" t="s">
        <v>120</v>
      </c>
      <c r="CB1307">
        <v>19.84</v>
      </c>
      <c r="CC1307">
        <v>21.26</v>
      </c>
      <c r="CD1307">
        <v>16.71</v>
      </c>
      <c r="CE1307">
        <v>0.51</v>
      </c>
      <c r="CF1307">
        <v>0.12</v>
      </c>
      <c r="CG1307">
        <v>0.49</v>
      </c>
      <c r="CH1307">
        <v>0.38</v>
      </c>
      <c r="CI1307">
        <v>0.26</v>
      </c>
      <c r="CJ1307">
        <v>-0.13</v>
      </c>
      <c r="CK1307">
        <v>0.15</v>
      </c>
      <c r="CL1307">
        <v>7.88</v>
      </c>
      <c r="CM1307">
        <v>-3.59</v>
      </c>
      <c r="CN1307">
        <v>-6.3</v>
      </c>
      <c r="CO1307">
        <v>21418</v>
      </c>
      <c r="CP1307">
        <v>3747</v>
      </c>
      <c r="CQ1307" t="s">
        <v>4121</v>
      </c>
      <c r="CR1307">
        <v>180.05</v>
      </c>
      <c r="CS1307">
        <v>85.81</v>
      </c>
      <c r="CT1307">
        <v>1.32</v>
      </c>
      <c r="CU1307">
        <v>-11.1</v>
      </c>
      <c r="CV1307">
        <v>1.87</v>
      </c>
      <c r="CW1307">
        <v>0</v>
      </c>
      <c r="CX1307" t="s">
        <v>1147</v>
      </c>
      <c r="CY1307">
        <v>12.86</v>
      </c>
      <c r="CZ1307">
        <v>12.86</v>
      </c>
      <c r="DA1307">
        <v>8.44</v>
      </c>
      <c r="DB1307">
        <v>3.35</v>
      </c>
      <c r="DC1307">
        <v>-1.53</v>
      </c>
      <c r="DD1307">
        <v>70.28</v>
      </c>
      <c r="DE1307" t="s">
        <v>3901</v>
      </c>
      <c r="DF1307">
        <v>21.43</v>
      </c>
      <c r="DG1307">
        <v>2.42</v>
      </c>
      <c r="DH1307">
        <v>1.23</v>
      </c>
      <c r="DI1307">
        <v>0.87</v>
      </c>
      <c r="DJ1307">
        <v>2853</v>
      </c>
      <c r="DK1307">
        <v>2955</v>
      </c>
      <c r="DL1307" t="s">
        <v>120</v>
      </c>
      <c r="DM1307" t="s">
        <v>120</v>
      </c>
      <c r="DN1307" t="s">
        <v>120</v>
      </c>
    </row>
    <row r="1308" spans="1:118">
      <c r="A1308" t="str">
        <f>"002956"</f>
        <v>002956</v>
      </c>
      <c r="B1308" t="s">
        <v>7077</v>
      </c>
      <c r="C1308">
        <v>0.06</v>
      </c>
      <c r="D1308">
        <v>0.06</v>
      </c>
      <c r="E1308">
        <v>0.06</v>
      </c>
      <c r="F1308">
        <v>62</v>
      </c>
      <c r="G1308" t="s">
        <v>7078</v>
      </c>
      <c r="H1308">
        <v>2465.77</v>
      </c>
      <c r="I1308">
        <v>6.32</v>
      </c>
      <c r="J1308" t="s">
        <v>120</v>
      </c>
      <c r="K1308" t="s">
        <v>7079</v>
      </c>
      <c r="L1308">
        <v>1.5</v>
      </c>
      <c r="M1308">
        <v>17.07</v>
      </c>
      <c r="N1308">
        <v>0.97</v>
      </c>
      <c r="O1308">
        <v>2.11</v>
      </c>
      <c r="P1308">
        <v>17.420000000000002</v>
      </c>
      <c r="Q1308">
        <v>-0.06</v>
      </c>
      <c r="R1308">
        <v>17.05</v>
      </c>
      <c r="S1308">
        <v>17.07</v>
      </c>
      <c r="T1308">
        <v>14361</v>
      </c>
      <c r="U1308">
        <v>17.079999999999998</v>
      </c>
      <c r="V1308">
        <v>17.059999999999999</v>
      </c>
      <c r="W1308">
        <v>24.03</v>
      </c>
      <c r="X1308" t="s">
        <v>847</v>
      </c>
      <c r="Y1308" t="s">
        <v>945</v>
      </c>
      <c r="Z1308">
        <v>2.17</v>
      </c>
      <c r="AA1308">
        <v>17.170000000000002</v>
      </c>
      <c r="AB1308">
        <v>7128</v>
      </c>
      <c r="AC1308">
        <v>7233</v>
      </c>
      <c r="AD1308">
        <v>0.99</v>
      </c>
      <c r="AE1308">
        <v>18</v>
      </c>
      <c r="AF1308">
        <v>90</v>
      </c>
      <c r="AG1308" t="s">
        <v>120</v>
      </c>
      <c r="AH1308">
        <v>0.01</v>
      </c>
      <c r="AI1308" t="s">
        <v>120</v>
      </c>
      <c r="AJ1308">
        <v>0.96</v>
      </c>
      <c r="AK1308" t="s">
        <v>7080</v>
      </c>
      <c r="AL1308">
        <v>1.97</v>
      </c>
      <c r="AM1308">
        <v>1131</v>
      </c>
      <c r="AN1308">
        <v>13</v>
      </c>
      <c r="AO1308">
        <v>1.2999999999999999E-3</v>
      </c>
      <c r="AP1308">
        <v>1</v>
      </c>
      <c r="AQ1308">
        <v>-0.64</v>
      </c>
      <c r="AR1308">
        <v>-2.29</v>
      </c>
      <c r="AS1308">
        <v>-0.93</v>
      </c>
      <c r="AT1308">
        <v>-20.82</v>
      </c>
      <c r="AU1308">
        <v>-14.45</v>
      </c>
      <c r="AV1308">
        <v>5</v>
      </c>
      <c r="AW1308">
        <v>1.95</v>
      </c>
      <c r="AX1308">
        <v>32.880000000000003</v>
      </c>
      <c r="AY1308">
        <v>28.81</v>
      </c>
      <c r="AZ1308">
        <v>28.9</v>
      </c>
      <c r="BA1308">
        <v>0.74</v>
      </c>
      <c r="BB1308" t="s">
        <v>143</v>
      </c>
      <c r="BF1308">
        <v>0.65</v>
      </c>
      <c r="BG1308">
        <v>0</v>
      </c>
      <c r="BH1308">
        <v>-2.0099999999999998</v>
      </c>
      <c r="BI1308">
        <v>0.12</v>
      </c>
      <c r="BJ1308">
        <v>20210909</v>
      </c>
      <c r="BK1308">
        <v>20190619</v>
      </c>
      <c r="BL1308">
        <v>2.2400000000000002</v>
      </c>
      <c r="BM1308" t="s">
        <v>120</v>
      </c>
      <c r="BN1308" t="s">
        <v>120</v>
      </c>
      <c r="BO1308">
        <v>17.47</v>
      </c>
      <c r="BP1308">
        <v>17.07</v>
      </c>
      <c r="BQ1308">
        <v>13.25</v>
      </c>
      <c r="BR1308" t="s">
        <v>120</v>
      </c>
      <c r="BS1308">
        <v>24.14</v>
      </c>
      <c r="BT1308">
        <v>13.79</v>
      </c>
      <c r="BU1308">
        <v>2.66</v>
      </c>
      <c r="BV1308">
        <v>0.23</v>
      </c>
      <c r="BW1308">
        <v>4.09</v>
      </c>
      <c r="BX1308">
        <v>2.2799999999999998</v>
      </c>
      <c r="BY1308">
        <v>1</v>
      </c>
      <c r="BZ1308">
        <v>0.65</v>
      </c>
      <c r="CA1308">
        <v>0</v>
      </c>
      <c r="CB1308">
        <v>7.3</v>
      </c>
      <c r="CC1308">
        <v>5.52</v>
      </c>
      <c r="CD1308">
        <v>2.92</v>
      </c>
      <c r="CE1308">
        <v>0.93</v>
      </c>
      <c r="CF1308">
        <v>0</v>
      </c>
      <c r="CG1308">
        <v>0.93</v>
      </c>
      <c r="CH1308">
        <v>0.8</v>
      </c>
      <c r="CI1308">
        <v>0.8</v>
      </c>
      <c r="CJ1308">
        <v>0.01</v>
      </c>
      <c r="CK1308">
        <v>0.65</v>
      </c>
      <c r="CL1308">
        <v>4</v>
      </c>
      <c r="CM1308">
        <v>0.09</v>
      </c>
      <c r="CN1308">
        <v>-0.12</v>
      </c>
      <c r="CO1308">
        <v>20812</v>
      </c>
      <c r="CP1308">
        <v>3539</v>
      </c>
      <c r="CQ1308" t="s">
        <v>992</v>
      </c>
      <c r="CR1308">
        <v>0.55000000000000004</v>
      </c>
      <c r="CS1308">
        <v>26.65</v>
      </c>
      <c r="CT1308">
        <v>2.89</v>
      </c>
      <c r="CU1308">
        <v>421.07</v>
      </c>
      <c r="CV1308">
        <v>6.93</v>
      </c>
      <c r="CW1308">
        <v>1.57</v>
      </c>
      <c r="CX1308" t="s">
        <v>7081</v>
      </c>
      <c r="CY1308">
        <v>5.92</v>
      </c>
      <c r="CZ1308">
        <v>0</v>
      </c>
      <c r="DA1308">
        <v>3.26</v>
      </c>
      <c r="DB1308">
        <v>1.79</v>
      </c>
      <c r="DC1308">
        <v>0.04</v>
      </c>
      <c r="DD1308">
        <v>75.86</v>
      </c>
      <c r="DE1308" t="s">
        <v>1002</v>
      </c>
      <c r="DF1308">
        <v>47.05</v>
      </c>
      <c r="DG1308">
        <v>16.809999999999999</v>
      </c>
      <c r="DH1308">
        <v>14.41</v>
      </c>
      <c r="DI1308">
        <v>0.03</v>
      </c>
      <c r="DJ1308">
        <v>2828</v>
      </c>
      <c r="DK1308">
        <v>2956</v>
      </c>
      <c r="DL1308" t="s">
        <v>120</v>
      </c>
      <c r="DM1308" t="s">
        <v>120</v>
      </c>
      <c r="DN1308" t="s">
        <v>120</v>
      </c>
    </row>
    <row r="1309" spans="1:118">
      <c r="A1309" t="str">
        <f>"002957"</f>
        <v>002957</v>
      </c>
      <c r="B1309" t="s">
        <v>7082</v>
      </c>
      <c r="C1309">
        <v>-4.1500000000000004</v>
      </c>
      <c r="D1309">
        <v>0.32</v>
      </c>
      <c r="E1309">
        <v>0.04</v>
      </c>
      <c r="F1309">
        <v>273</v>
      </c>
      <c r="G1309" t="s">
        <v>7083</v>
      </c>
      <c r="H1309">
        <v>7209.13</v>
      </c>
      <c r="I1309">
        <v>11.03</v>
      </c>
      <c r="J1309" t="s">
        <v>120</v>
      </c>
      <c r="K1309" t="s">
        <v>7084</v>
      </c>
      <c r="L1309">
        <v>1.83</v>
      </c>
      <c r="M1309">
        <v>25.15</v>
      </c>
      <c r="N1309">
        <v>0.71</v>
      </c>
      <c r="O1309">
        <v>0.8</v>
      </c>
      <c r="P1309">
        <v>26.45</v>
      </c>
      <c r="Q1309">
        <v>-4.6500000000000004</v>
      </c>
      <c r="R1309">
        <v>25.02</v>
      </c>
      <c r="S1309">
        <v>26.25</v>
      </c>
      <c r="T1309">
        <v>28102</v>
      </c>
      <c r="U1309">
        <v>25.15</v>
      </c>
      <c r="V1309">
        <v>26.24</v>
      </c>
      <c r="W1309">
        <v>55.73</v>
      </c>
      <c r="X1309" t="s">
        <v>675</v>
      </c>
      <c r="Y1309" t="s">
        <v>123</v>
      </c>
      <c r="Z1309">
        <v>5.45</v>
      </c>
      <c r="AA1309">
        <v>25.65</v>
      </c>
      <c r="AB1309">
        <v>18729</v>
      </c>
      <c r="AC1309">
        <v>9373</v>
      </c>
      <c r="AD1309">
        <v>2</v>
      </c>
      <c r="AE1309">
        <v>2</v>
      </c>
      <c r="AF1309">
        <v>11</v>
      </c>
      <c r="AG1309" t="s">
        <v>120</v>
      </c>
      <c r="AH1309">
        <v>0</v>
      </c>
      <c r="AI1309" t="s">
        <v>120</v>
      </c>
      <c r="AJ1309">
        <v>1.54</v>
      </c>
      <c r="AK1309" t="s">
        <v>7085</v>
      </c>
      <c r="AL1309">
        <v>-2.2400000000000002</v>
      </c>
      <c r="AM1309">
        <v>2025</v>
      </c>
      <c r="AN1309">
        <v>14</v>
      </c>
      <c r="AO1309">
        <v>8.9999999999999998E-4</v>
      </c>
      <c r="AP1309">
        <v>-1</v>
      </c>
      <c r="AQ1309">
        <v>1.9</v>
      </c>
      <c r="AR1309">
        <v>-3.16</v>
      </c>
      <c r="AS1309">
        <v>1.41</v>
      </c>
      <c r="AT1309">
        <v>3.54</v>
      </c>
      <c r="AU1309">
        <v>24.38</v>
      </c>
      <c r="AV1309">
        <v>6</v>
      </c>
      <c r="AW1309">
        <v>2.63</v>
      </c>
      <c r="AX1309">
        <v>25.99</v>
      </c>
      <c r="AY1309">
        <v>41.03</v>
      </c>
      <c r="AZ1309">
        <v>36.86</v>
      </c>
      <c r="BA1309">
        <v>0.96</v>
      </c>
      <c r="BB1309" t="s">
        <v>143</v>
      </c>
      <c r="BF1309">
        <v>-2.23</v>
      </c>
      <c r="BG1309">
        <v>-4.1900000000000004</v>
      </c>
      <c r="BH1309">
        <v>-4.91</v>
      </c>
      <c r="BI1309">
        <v>0.52</v>
      </c>
      <c r="BJ1309">
        <v>20210913</v>
      </c>
      <c r="BK1309">
        <v>20190726</v>
      </c>
      <c r="BL1309">
        <v>4.12</v>
      </c>
      <c r="BM1309" t="s">
        <v>120</v>
      </c>
      <c r="BN1309" t="s">
        <v>120</v>
      </c>
      <c r="BO1309">
        <v>39.869999999999997</v>
      </c>
      <c r="BP1309">
        <v>25.1</v>
      </c>
      <c r="BQ1309">
        <v>25.34</v>
      </c>
      <c r="BR1309">
        <v>2.4900000000000002</v>
      </c>
      <c r="BS1309">
        <v>30.18</v>
      </c>
      <c r="BT1309">
        <v>31.9</v>
      </c>
      <c r="BU1309">
        <v>4.45</v>
      </c>
      <c r="BV1309">
        <v>0.82</v>
      </c>
      <c r="BW1309">
        <v>11.63</v>
      </c>
      <c r="BX1309">
        <v>10.43</v>
      </c>
      <c r="BY1309">
        <v>5.04</v>
      </c>
      <c r="BZ1309">
        <v>11.23</v>
      </c>
      <c r="CA1309" t="s">
        <v>120</v>
      </c>
      <c r="CB1309">
        <v>7.91</v>
      </c>
      <c r="CC1309">
        <v>10.84</v>
      </c>
      <c r="CD1309">
        <v>6.97</v>
      </c>
      <c r="CE1309">
        <v>1.39</v>
      </c>
      <c r="CF1309">
        <v>0.1</v>
      </c>
      <c r="CG1309">
        <v>1.38</v>
      </c>
      <c r="CH1309">
        <v>1.31</v>
      </c>
      <c r="CI1309">
        <v>0.93</v>
      </c>
      <c r="CJ1309">
        <v>-1.0900000000000001</v>
      </c>
      <c r="CK1309">
        <v>0.69</v>
      </c>
      <c r="CL1309">
        <v>12.24</v>
      </c>
      <c r="CM1309">
        <v>-0.4</v>
      </c>
      <c r="CN1309">
        <v>-1.1399999999999999</v>
      </c>
      <c r="CO1309">
        <v>17295</v>
      </c>
      <c r="CP1309">
        <v>6189</v>
      </c>
      <c r="CQ1309" t="s">
        <v>7086</v>
      </c>
      <c r="CR1309">
        <v>-24.26</v>
      </c>
      <c r="CS1309">
        <v>36.729999999999997</v>
      </c>
      <c r="CT1309">
        <v>4.09</v>
      </c>
      <c r="CU1309">
        <v>-260</v>
      </c>
      <c r="CV1309">
        <v>9.56</v>
      </c>
      <c r="CW1309">
        <v>0.88</v>
      </c>
      <c r="CX1309" t="s">
        <v>694</v>
      </c>
      <c r="CY1309">
        <v>6.15</v>
      </c>
      <c r="CZ1309">
        <v>0</v>
      </c>
      <c r="DA1309">
        <v>1.92</v>
      </c>
      <c r="DB1309">
        <v>2.97</v>
      </c>
      <c r="DC1309">
        <v>-0.1</v>
      </c>
      <c r="DD1309">
        <v>63.56</v>
      </c>
      <c r="DE1309" t="s">
        <v>4910</v>
      </c>
      <c r="DF1309">
        <v>35.67</v>
      </c>
      <c r="DG1309">
        <v>12.84</v>
      </c>
      <c r="DH1309">
        <v>8.57</v>
      </c>
      <c r="DI1309">
        <v>1.46</v>
      </c>
      <c r="DJ1309">
        <v>2407</v>
      </c>
      <c r="DK1309">
        <v>2957</v>
      </c>
      <c r="DL1309">
        <v>20210824</v>
      </c>
      <c r="DM1309">
        <v>28.48</v>
      </c>
      <c r="DN1309">
        <v>-11.69</v>
      </c>
    </row>
    <row r="1310" spans="1:118">
      <c r="A1310" t="str">
        <f>"002958"</f>
        <v>002958</v>
      </c>
      <c r="B1310" t="s">
        <v>7087</v>
      </c>
      <c r="C1310">
        <v>-0.5</v>
      </c>
      <c r="D1310">
        <v>0.25</v>
      </c>
      <c r="E1310">
        <v>0</v>
      </c>
      <c r="F1310">
        <v>10835</v>
      </c>
      <c r="G1310" t="s">
        <v>7088</v>
      </c>
      <c r="H1310">
        <v>7615.38</v>
      </c>
      <c r="I1310">
        <v>30.53</v>
      </c>
      <c r="J1310" t="s">
        <v>120</v>
      </c>
      <c r="K1310" t="s">
        <v>7088</v>
      </c>
      <c r="L1310">
        <v>0.71</v>
      </c>
      <c r="M1310">
        <v>3.96</v>
      </c>
      <c r="N1310">
        <v>0.75</v>
      </c>
      <c r="O1310">
        <v>0.5</v>
      </c>
      <c r="P1310">
        <v>4</v>
      </c>
      <c r="Q1310">
        <v>-1.01</v>
      </c>
      <c r="R1310">
        <v>3.94</v>
      </c>
      <c r="S1310">
        <v>3.98</v>
      </c>
      <c r="T1310">
        <v>191723</v>
      </c>
      <c r="U1310">
        <v>3.96</v>
      </c>
      <c r="V1310">
        <v>3.98</v>
      </c>
      <c r="W1310">
        <v>6.61</v>
      </c>
      <c r="X1310" t="s">
        <v>122</v>
      </c>
      <c r="Y1310" t="s">
        <v>638</v>
      </c>
      <c r="Z1310">
        <v>1.51</v>
      </c>
      <c r="AA1310">
        <v>3.97</v>
      </c>
      <c r="AB1310">
        <v>129854</v>
      </c>
      <c r="AC1310">
        <v>61869</v>
      </c>
      <c r="AD1310">
        <v>2.1</v>
      </c>
      <c r="AE1310">
        <v>194</v>
      </c>
      <c r="AF1310">
        <v>232</v>
      </c>
      <c r="AG1310" t="s">
        <v>120</v>
      </c>
      <c r="AH1310">
        <v>0</v>
      </c>
      <c r="AI1310" t="s">
        <v>120</v>
      </c>
      <c r="AJ1310">
        <v>26.96</v>
      </c>
      <c r="AK1310" t="s">
        <v>7089</v>
      </c>
      <c r="AL1310">
        <v>1.41</v>
      </c>
      <c r="AM1310">
        <v>2569</v>
      </c>
      <c r="AN1310">
        <v>75</v>
      </c>
      <c r="AO1310">
        <v>2.9999999999999997E-4</v>
      </c>
      <c r="AP1310">
        <v>-1</v>
      </c>
      <c r="AQ1310">
        <v>0.25</v>
      </c>
      <c r="AR1310">
        <v>-2.4700000000000002</v>
      </c>
      <c r="AS1310">
        <v>0.76</v>
      </c>
      <c r="AT1310">
        <v>-4.34</v>
      </c>
      <c r="AU1310">
        <v>-19.829999999999998</v>
      </c>
      <c r="AV1310">
        <v>0</v>
      </c>
      <c r="AW1310">
        <v>0.71</v>
      </c>
      <c r="AX1310">
        <v>48.52</v>
      </c>
      <c r="AY1310">
        <v>7.04</v>
      </c>
      <c r="AZ1310">
        <v>7.47</v>
      </c>
      <c r="BA1310">
        <v>0.26</v>
      </c>
      <c r="BB1310" t="s">
        <v>2725</v>
      </c>
      <c r="BF1310">
        <v>-0.2</v>
      </c>
      <c r="BG1310">
        <v>-0.5</v>
      </c>
      <c r="BH1310">
        <v>-1</v>
      </c>
      <c r="BI1310">
        <v>0.51</v>
      </c>
      <c r="BJ1310">
        <v>20210828</v>
      </c>
      <c r="BK1310">
        <v>20190326</v>
      </c>
      <c r="BL1310">
        <v>55.56</v>
      </c>
      <c r="BM1310" t="s">
        <v>120</v>
      </c>
      <c r="BN1310" t="s">
        <v>120</v>
      </c>
      <c r="BO1310">
        <v>4307.88</v>
      </c>
      <c r="BP1310">
        <v>3.95</v>
      </c>
      <c r="BQ1310">
        <v>327.84</v>
      </c>
      <c r="BR1310">
        <v>8.76</v>
      </c>
      <c r="BS1310">
        <v>92.19</v>
      </c>
      <c r="BT1310">
        <v>0</v>
      </c>
      <c r="BU1310">
        <v>31.39</v>
      </c>
      <c r="BV1310">
        <v>0.82</v>
      </c>
      <c r="BW1310">
        <v>0</v>
      </c>
      <c r="BX1310">
        <v>314.63</v>
      </c>
      <c r="BY1310">
        <v>0</v>
      </c>
      <c r="BZ1310">
        <v>0</v>
      </c>
      <c r="CA1310" t="s">
        <v>120</v>
      </c>
      <c r="CB1310">
        <v>38.18</v>
      </c>
      <c r="CC1310">
        <v>55.03</v>
      </c>
      <c r="CD1310">
        <v>0</v>
      </c>
      <c r="CE1310">
        <v>17.86</v>
      </c>
      <c r="CF1310">
        <v>8.4600000000000009</v>
      </c>
      <c r="CG1310">
        <v>17.86</v>
      </c>
      <c r="CH1310">
        <v>16.809999999999999</v>
      </c>
      <c r="CI1310">
        <v>16.64</v>
      </c>
      <c r="CJ1310">
        <v>-0.02</v>
      </c>
      <c r="CK1310">
        <v>16.47</v>
      </c>
      <c r="CL1310">
        <v>82.28</v>
      </c>
      <c r="CM1310">
        <v>-25.8</v>
      </c>
      <c r="CN1310">
        <v>-20.260000000000002</v>
      </c>
      <c r="CO1310">
        <v>121365</v>
      </c>
      <c r="CP1310">
        <v>22210</v>
      </c>
      <c r="CQ1310" t="s">
        <v>7090</v>
      </c>
      <c r="CR1310">
        <v>12.14</v>
      </c>
      <c r="CS1310">
        <v>9.1</v>
      </c>
      <c r="CT1310">
        <v>0.79</v>
      </c>
      <c r="CU1310">
        <v>-8.5299999999999994</v>
      </c>
      <c r="CV1310">
        <v>4</v>
      </c>
      <c r="CW1310">
        <v>3.77</v>
      </c>
      <c r="CX1310" t="s">
        <v>1340</v>
      </c>
      <c r="CY1310">
        <v>5</v>
      </c>
      <c r="CZ1310">
        <v>5</v>
      </c>
      <c r="DA1310">
        <v>0.69</v>
      </c>
      <c r="DB1310">
        <v>1.48</v>
      </c>
      <c r="DC1310">
        <v>-0.46</v>
      </c>
      <c r="DD1310">
        <v>7.61</v>
      </c>
      <c r="DE1310" t="s">
        <v>3677</v>
      </c>
      <c r="DF1310" t="s">
        <v>120</v>
      </c>
      <c r="DG1310">
        <v>32.44</v>
      </c>
      <c r="DH1310">
        <v>30.24</v>
      </c>
      <c r="DI1310" t="s">
        <v>120</v>
      </c>
      <c r="DJ1310">
        <v>5145</v>
      </c>
      <c r="DK1310">
        <v>2958</v>
      </c>
      <c r="DL1310" t="s">
        <v>120</v>
      </c>
      <c r="DM1310" t="s">
        <v>120</v>
      </c>
      <c r="DN1310" t="s">
        <v>120</v>
      </c>
    </row>
    <row r="1311" spans="1:118">
      <c r="A1311" t="str">
        <f>"002959"</f>
        <v>002959</v>
      </c>
      <c r="B1311" t="s">
        <v>7091</v>
      </c>
      <c r="C1311">
        <v>-1.1599999999999999</v>
      </c>
      <c r="D1311">
        <v>0.17</v>
      </c>
      <c r="E1311">
        <v>-0.11</v>
      </c>
      <c r="F1311">
        <v>116</v>
      </c>
      <c r="G1311" t="s">
        <v>4266</v>
      </c>
      <c r="H1311">
        <v>3330.16</v>
      </c>
      <c r="I1311">
        <v>14.7</v>
      </c>
      <c r="J1311" t="s">
        <v>120</v>
      </c>
      <c r="K1311" t="s">
        <v>7092</v>
      </c>
      <c r="L1311">
        <v>0.93</v>
      </c>
      <c r="M1311">
        <v>46.91</v>
      </c>
      <c r="N1311">
        <v>0.8</v>
      </c>
      <c r="O1311">
        <v>0.11</v>
      </c>
      <c r="P1311">
        <v>47.51</v>
      </c>
      <c r="Q1311">
        <v>-1.62</v>
      </c>
      <c r="R1311">
        <v>46.69</v>
      </c>
      <c r="S1311">
        <v>47.41</v>
      </c>
      <c r="T1311">
        <v>7090</v>
      </c>
      <c r="U1311">
        <v>46.94</v>
      </c>
      <c r="V1311">
        <v>47.46</v>
      </c>
      <c r="W1311">
        <v>26.4</v>
      </c>
      <c r="X1311" t="s">
        <v>205</v>
      </c>
      <c r="Y1311" t="s">
        <v>547</v>
      </c>
      <c r="Z1311">
        <v>1.73</v>
      </c>
      <c r="AA1311">
        <v>46.97</v>
      </c>
      <c r="AB1311">
        <v>4054</v>
      </c>
      <c r="AC1311">
        <v>3036</v>
      </c>
      <c r="AD1311">
        <v>1.34</v>
      </c>
      <c r="AE1311">
        <v>7</v>
      </c>
      <c r="AF1311">
        <v>8</v>
      </c>
      <c r="AG1311" t="s">
        <v>120</v>
      </c>
      <c r="AH1311">
        <v>0.01</v>
      </c>
      <c r="AI1311" t="s">
        <v>120</v>
      </c>
      <c r="AJ1311">
        <v>0.76</v>
      </c>
      <c r="AK1311" t="s">
        <v>7093</v>
      </c>
      <c r="AL1311">
        <v>0.75</v>
      </c>
      <c r="AM1311">
        <v>1197</v>
      </c>
      <c r="AN1311">
        <v>6</v>
      </c>
      <c r="AO1311">
        <v>8.0000000000000004E-4</v>
      </c>
      <c r="AP1311">
        <v>-1</v>
      </c>
      <c r="AQ1311">
        <v>0.34</v>
      </c>
      <c r="AR1311">
        <v>-1.92</v>
      </c>
      <c r="AS1311">
        <v>-19.649999999999999</v>
      </c>
      <c r="AT1311">
        <v>-31.02</v>
      </c>
      <c r="AU1311">
        <v>-58.17</v>
      </c>
      <c r="AV1311">
        <v>2</v>
      </c>
      <c r="AW1311">
        <v>1.64</v>
      </c>
      <c r="AX1311">
        <v>27.68</v>
      </c>
      <c r="AY1311">
        <v>23.72</v>
      </c>
      <c r="AZ1311">
        <v>17.34</v>
      </c>
      <c r="BA1311">
        <v>0.8</v>
      </c>
      <c r="BB1311" t="s">
        <v>143</v>
      </c>
      <c r="BF1311">
        <v>-1.03</v>
      </c>
      <c r="BG1311">
        <v>-1.05</v>
      </c>
      <c r="BH1311">
        <v>-1.26</v>
      </c>
      <c r="BI1311">
        <v>0.47</v>
      </c>
      <c r="BJ1311">
        <v>20210902</v>
      </c>
      <c r="BK1311">
        <v>20190823</v>
      </c>
      <c r="BL1311">
        <v>1.56</v>
      </c>
      <c r="BM1311" t="s">
        <v>120</v>
      </c>
      <c r="BN1311" t="s">
        <v>120</v>
      </c>
      <c r="BO1311">
        <v>31.76</v>
      </c>
      <c r="BP1311">
        <v>46.91</v>
      </c>
      <c r="BQ1311">
        <v>19.25</v>
      </c>
      <c r="BR1311" t="s">
        <v>120</v>
      </c>
      <c r="BS1311">
        <v>39.380000000000003</v>
      </c>
      <c r="BT1311">
        <v>23.44</v>
      </c>
      <c r="BU1311">
        <v>4.59</v>
      </c>
      <c r="BV1311">
        <v>1.94</v>
      </c>
      <c r="BW1311">
        <v>12.27</v>
      </c>
      <c r="BX1311">
        <v>6.61</v>
      </c>
      <c r="BY1311">
        <v>4.96</v>
      </c>
      <c r="BZ1311">
        <v>1.68</v>
      </c>
      <c r="CA1311" t="s">
        <v>120</v>
      </c>
      <c r="CB1311">
        <v>9.52</v>
      </c>
      <c r="CC1311">
        <v>16.34</v>
      </c>
      <c r="CD1311">
        <v>10.71</v>
      </c>
      <c r="CE1311">
        <v>1.68</v>
      </c>
      <c r="CF1311">
        <v>0.16</v>
      </c>
      <c r="CG1311">
        <v>1.68</v>
      </c>
      <c r="CH1311">
        <v>1.39</v>
      </c>
      <c r="CI1311">
        <v>1.39</v>
      </c>
      <c r="CJ1311">
        <v>-0.55000000000000004</v>
      </c>
      <c r="CK1311">
        <v>1.25</v>
      </c>
      <c r="CL1311">
        <v>7.56</v>
      </c>
      <c r="CM1311">
        <v>-2.8</v>
      </c>
      <c r="CN1311">
        <v>-1.76</v>
      </c>
      <c r="CO1311">
        <v>34348</v>
      </c>
      <c r="CP1311">
        <v>1261</v>
      </c>
      <c r="CQ1311" t="s">
        <v>7094</v>
      </c>
      <c r="CR1311">
        <v>-45.3</v>
      </c>
      <c r="CS1311">
        <v>-4.8899999999999997</v>
      </c>
      <c r="CT1311">
        <v>3.81</v>
      </c>
      <c r="CU1311">
        <v>-26.23</v>
      </c>
      <c r="CV1311">
        <v>4.49</v>
      </c>
      <c r="CW1311">
        <v>2.5299999999999998</v>
      </c>
      <c r="CX1311" t="s">
        <v>6180</v>
      </c>
      <c r="CY1311">
        <v>12.31</v>
      </c>
      <c r="CZ1311">
        <v>0</v>
      </c>
      <c r="DA1311">
        <v>6.08</v>
      </c>
      <c r="DB1311">
        <v>4.83</v>
      </c>
      <c r="DC1311">
        <v>-1.79</v>
      </c>
      <c r="DD1311">
        <v>60.62</v>
      </c>
      <c r="DE1311" t="s">
        <v>7095</v>
      </c>
      <c r="DF1311">
        <v>34.43</v>
      </c>
      <c r="DG1311">
        <v>10.31</v>
      </c>
      <c r="DH1311">
        <v>8.51</v>
      </c>
      <c r="DI1311">
        <v>0.6</v>
      </c>
      <c r="DJ1311">
        <v>4273</v>
      </c>
      <c r="DK1311">
        <v>2959</v>
      </c>
      <c r="DL1311" t="s">
        <v>120</v>
      </c>
      <c r="DM1311" t="s">
        <v>120</v>
      </c>
      <c r="DN1311" t="s">
        <v>120</v>
      </c>
    </row>
    <row r="1312" spans="1:118">
      <c r="A1312" t="str">
        <f>"002960"</f>
        <v>002960</v>
      </c>
      <c r="B1312" t="s">
        <v>7096</v>
      </c>
      <c r="C1312">
        <v>-4.5599999999999996</v>
      </c>
      <c r="D1312">
        <v>0.15</v>
      </c>
      <c r="E1312">
        <v>0.11</v>
      </c>
      <c r="F1312">
        <v>474</v>
      </c>
      <c r="G1312" t="s">
        <v>7097</v>
      </c>
      <c r="H1312">
        <v>9007.4599999999991</v>
      </c>
      <c r="I1312">
        <v>0.56000000000000005</v>
      </c>
      <c r="J1312" t="s">
        <v>120</v>
      </c>
      <c r="K1312" t="s">
        <v>7098</v>
      </c>
      <c r="L1312">
        <v>1.9</v>
      </c>
      <c r="M1312">
        <v>26.8</v>
      </c>
      <c r="N1312">
        <v>1.49</v>
      </c>
      <c r="O1312">
        <v>0.14000000000000001</v>
      </c>
      <c r="P1312">
        <v>28.12</v>
      </c>
      <c r="Q1312">
        <v>-5.56</v>
      </c>
      <c r="R1312">
        <v>26.52</v>
      </c>
      <c r="S1312">
        <v>28.11</v>
      </c>
      <c r="T1312">
        <v>33171</v>
      </c>
      <c r="U1312">
        <v>26.8</v>
      </c>
      <c r="V1312">
        <v>28.08</v>
      </c>
      <c r="W1312">
        <v>22.82</v>
      </c>
      <c r="X1312" t="s">
        <v>675</v>
      </c>
      <c r="Y1312" t="s">
        <v>602</v>
      </c>
      <c r="Z1312">
        <v>5.7</v>
      </c>
      <c r="AA1312">
        <v>27.15</v>
      </c>
      <c r="AB1312">
        <v>22956</v>
      </c>
      <c r="AC1312">
        <v>10215</v>
      </c>
      <c r="AD1312">
        <v>2.25</v>
      </c>
      <c r="AE1312">
        <v>4</v>
      </c>
      <c r="AF1312">
        <v>1124</v>
      </c>
      <c r="AG1312" t="s">
        <v>120</v>
      </c>
      <c r="AH1312">
        <v>0</v>
      </c>
      <c r="AI1312" t="s">
        <v>120</v>
      </c>
      <c r="AJ1312">
        <v>1.74</v>
      </c>
      <c r="AK1312" t="s">
        <v>7099</v>
      </c>
      <c r="AL1312">
        <v>-2.64</v>
      </c>
      <c r="AM1312">
        <v>1853</v>
      </c>
      <c r="AN1312">
        <v>18</v>
      </c>
      <c r="AO1312">
        <v>1E-3</v>
      </c>
      <c r="AP1312">
        <v>-1</v>
      </c>
      <c r="AQ1312">
        <v>0.32</v>
      </c>
      <c r="AR1312">
        <v>-6.98</v>
      </c>
      <c r="AS1312">
        <v>-7.27</v>
      </c>
      <c r="AT1312">
        <v>1.1299999999999999</v>
      </c>
      <c r="AU1312">
        <v>1.44</v>
      </c>
      <c r="AV1312">
        <v>5</v>
      </c>
      <c r="AW1312">
        <v>2.31</v>
      </c>
      <c r="AX1312">
        <v>41.22</v>
      </c>
      <c r="AY1312">
        <v>19.97</v>
      </c>
      <c r="AZ1312">
        <v>22.72</v>
      </c>
      <c r="BA1312">
        <v>0.9</v>
      </c>
      <c r="BB1312" t="s">
        <v>143</v>
      </c>
      <c r="BF1312">
        <v>-3.3</v>
      </c>
      <c r="BG1312">
        <v>-4.66</v>
      </c>
      <c r="BH1312">
        <v>-4.6900000000000004</v>
      </c>
      <c r="BI1312">
        <v>1.06</v>
      </c>
      <c r="BJ1312">
        <v>20210902</v>
      </c>
      <c r="BK1312">
        <v>20190809</v>
      </c>
      <c r="BL1312">
        <v>3.48</v>
      </c>
      <c r="BM1312" t="s">
        <v>120</v>
      </c>
      <c r="BN1312" t="s">
        <v>120</v>
      </c>
      <c r="BO1312">
        <v>46.07</v>
      </c>
      <c r="BP1312">
        <v>26.79</v>
      </c>
      <c r="BQ1312">
        <v>32.35</v>
      </c>
      <c r="BR1312">
        <v>0.98</v>
      </c>
      <c r="BS1312">
        <v>27.65</v>
      </c>
      <c r="BT1312">
        <v>38.520000000000003</v>
      </c>
      <c r="BU1312">
        <v>2.88</v>
      </c>
      <c r="BV1312">
        <v>0.53</v>
      </c>
      <c r="BW1312">
        <v>11.93</v>
      </c>
      <c r="BX1312">
        <v>12.22</v>
      </c>
      <c r="BY1312">
        <v>6.28</v>
      </c>
      <c r="BZ1312">
        <v>16.39</v>
      </c>
      <c r="CA1312">
        <v>0.36</v>
      </c>
      <c r="CB1312">
        <v>8.3800000000000008</v>
      </c>
      <c r="CC1312">
        <v>13.96</v>
      </c>
      <c r="CD1312">
        <v>8.2200000000000006</v>
      </c>
      <c r="CE1312">
        <v>2.35</v>
      </c>
      <c r="CF1312">
        <v>-0.01</v>
      </c>
      <c r="CG1312">
        <v>2.34</v>
      </c>
      <c r="CH1312">
        <v>2.1</v>
      </c>
      <c r="CI1312">
        <v>2.04</v>
      </c>
      <c r="CJ1312">
        <v>-1.28</v>
      </c>
      <c r="CK1312">
        <v>1.99</v>
      </c>
      <c r="CL1312">
        <v>19.8</v>
      </c>
      <c r="CM1312">
        <v>-2.98</v>
      </c>
      <c r="CN1312">
        <v>-2.7</v>
      </c>
      <c r="CO1312">
        <v>13651</v>
      </c>
      <c r="CP1312">
        <v>10508</v>
      </c>
      <c r="CQ1312" t="s">
        <v>4993</v>
      </c>
      <c r="CR1312">
        <v>40.89</v>
      </c>
      <c r="CS1312">
        <v>65.459999999999994</v>
      </c>
      <c r="CT1312">
        <v>2.86</v>
      </c>
      <c r="CU1312">
        <v>-31.33</v>
      </c>
      <c r="CV1312">
        <v>6.68</v>
      </c>
      <c r="CW1312">
        <v>1.1299999999999999</v>
      </c>
      <c r="CX1312" t="s">
        <v>597</v>
      </c>
      <c r="CY1312">
        <v>9.36</v>
      </c>
      <c r="CZ1312">
        <v>9.36</v>
      </c>
      <c r="DA1312">
        <v>2.41</v>
      </c>
      <c r="DB1312">
        <v>5.69</v>
      </c>
      <c r="DC1312">
        <v>-0.86</v>
      </c>
      <c r="DD1312">
        <v>70.22</v>
      </c>
      <c r="DE1312" t="s">
        <v>1421</v>
      </c>
      <c r="DF1312">
        <v>41.08</v>
      </c>
      <c r="DG1312">
        <v>16.829999999999998</v>
      </c>
      <c r="DH1312">
        <v>14.64</v>
      </c>
      <c r="DI1312">
        <v>0.77</v>
      </c>
      <c r="DJ1312">
        <v>2918</v>
      </c>
      <c r="DK1312">
        <v>2960</v>
      </c>
      <c r="DL1312" t="s">
        <v>120</v>
      </c>
      <c r="DM1312" t="s">
        <v>120</v>
      </c>
      <c r="DN1312" t="s">
        <v>120</v>
      </c>
    </row>
    <row r="1313" spans="1:118">
      <c r="A1313" t="str">
        <f>"002961"</f>
        <v>002961</v>
      </c>
      <c r="B1313" t="s">
        <v>7100</v>
      </c>
      <c r="C1313">
        <v>-2.48</v>
      </c>
      <c r="D1313">
        <v>0.12</v>
      </c>
      <c r="E1313">
        <v>0.9</v>
      </c>
      <c r="F1313">
        <v>478</v>
      </c>
      <c r="G1313" t="s">
        <v>407</v>
      </c>
      <c r="H1313">
        <v>9696.4599999999991</v>
      </c>
      <c r="I1313">
        <v>100.76</v>
      </c>
      <c r="J1313" t="s">
        <v>120</v>
      </c>
      <c r="K1313" t="s">
        <v>7101</v>
      </c>
      <c r="L1313">
        <v>3.4</v>
      </c>
      <c r="M1313">
        <v>25.97</v>
      </c>
      <c r="N1313">
        <v>0.53</v>
      </c>
      <c r="O1313">
        <v>0.9</v>
      </c>
      <c r="P1313">
        <v>26.87</v>
      </c>
      <c r="Q1313">
        <v>-3.15</v>
      </c>
      <c r="R1313">
        <v>25.79</v>
      </c>
      <c r="S1313">
        <v>26.87</v>
      </c>
      <c r="T1313">
        <v>36954</v>
      </c>
      <c r="U1313">
        <v>25.98</v>
      </c>
      <c r="V1313">
        <v>26.63</v>
      </c>
      <c r="W1313">
        <v>24.28</v>
      </c>
      <c r="X1313" t="s">
        <v>721</v>
      </c>
      <c r="Y1313" t="s">
        <v>937</v>
      </c>
      <c r="Z1313">
        <v>4.0599999999999996</v>
      </c>
      <c r="AA1313">
        <v>26.24</v>
      </c>
      <c r="AB1313">
        <v>18495</v>
      </c>
      <c r="AC1313">
        <v>18459</v>
      </c>
      <c r="AD1313">
        <v>1</v>
      </c>
      <c r="AE1313">
        <v>22</v>
      </c>
      <c r="AF1313">
        <v>15</v>
      </c>
      <c r="AG1313" t="s">
        <v>120</v>
      </c>
      <c r="AH1313">
        <v>0.04</v>
      </c>
      <c r="AI1313" t="s">
        <v>120</v>
      </c>
      <c r="AJ1313">
        <v>1.0900000000000001</v>
      </c>
      <c r="AK1313" t="s">
        <v>7102</v>
      </c>
      <c r="AL1313">
        <v>-0.56000000000000005</v>
      </c>
      <c r="AM1313">
        <v>2697</v>
      </c>
      <c r="AN1313">
        <v>14</v>
      </c>
      <c r="AO1313">
        <v>1.2999999999999999E-3</v>
      </c>
      <c r="AP1313">
        <v>-1</v>
      </c>
      <c r="AQ1313">
        <v>1.29</v>
      </c>
      <c r="AR1313">
        <v>-3.21</v>
      </c>
      <c r="AS1313">
        <v>23.55</v>
      </c>
      <c r="AT1313">
        <v>19.18</v>
      </c>
      <c r="AU1313">
        <v>9.44</v>
      </c>
      <c r="AV1313">
        <v>1</v>
      </c>
      <c r="AW1313">
        <v>3.77</v>
      </c>
      <c r="AX1313">
        <v>22</v>
      </c>
      <c r="AY1313">
        <v>28.53</v>
      </c>
      <c r="AZ1313">
        <v>47.62</v>
      </c>
      <c r="BA1313">
        <v>0.64</v>
      </c>
      <c r="BB1313" t="s">
        <v>143</v>
      </c>
      <c r="BF1313">
        <v>-1.47</v>
      </c>
      <c r="BG1313">
        <v>-3.35</v>
      </c>
      <c r="BH1313">
        <v>-3.35</v>
      </c>
      <c r="BI1313">
        <v>0.7</v>
      </c>
      <c r="BJ1313">
        <v>20210913</v>
      </c>
      <c r="BK1313">
        <v>20190905</v>
      </c>
      <c r="BL1313">
        <v>4.45</v>
      </c>
      <c r="BM1313" t="s">
        <v>120</v>
      </c>
      <c r="BN1313" t="s">
        <v>120</v>
      </c>
      <c r="BO1313">
        <v>157.22</v>
      </c>
      <c r="BP1313">
        <v>25.97</v>
      </c>
      <c r="BQ1313">
        <v>20.99</v>
      </c>
      <c r="BR1313" t="s">
        <v>120</v>
      </c>
      <c r="BS1313">
        <v>86.65</v>
      </c>
      <c r="BT1313">
        <v>0</v>
      </c>
      <c r="BU1313">
        <v>1.1299999999999999</v>
      </c>
      <c r="BV1313">
        <v>0.64</v>
      </c>
      <c r="BW1313">
        <v>0</v>
      </c>
      <c r="BX1313">
        <v>90.24</v>
      </c>
      <c r="BY1313">
        <v>0.02</v>
      </c>
      <c r="BZ1313">
        <v>0</v>
      </c>
      <c r="CA1313" t="s">
        <v>120</v>
      </c>
      <c r="CB1313">
        <v>2.67</v>
      </c>
      <c r="CC1313">
        <v>10.63</v>
      </c>
      <c r="CD1313">
        <v>0</v>
      </c>
      <c r="CE1313">
        <v>3.27</v>
      </c>
      <c r="CF1313">
        <v>0.78</v>
      </c>
      <c r="CG1313">
        <v>3.27</v>
      </c>
      <c r="CH1313">
        <v>2.38</v>
      </c>
      <c r="CI1313">
        <v>2.38</v>
      </c>
      <c r="CJ1313">
        <v>-0.66</v>
      </c>
      <c r="CK1313">
        <v>2.33</v>
      </c>
      <c r="CL1313">
        <v>9.93</v>
      </c>
      <c r="CM1313">
        <v>-4.22</v>
      </c>
      <c r="CN1313">
        <v>-1.1100000000000001</v>
      </c>
      <c r="CO1313">
        <v>16066</v>
      </c>
      <c r="CP1313">
        <v>6095</v>
      </c>
      <c r="CQ1313" t="s">
        <v>7103</v>
      </c>
      <c r="CR1313">
        <v>233.36</v>
      </c>
      <c r="CS1313">
        <v>138.43</v>
      </c>
      <c r="CT1313">
        <v>5.81</v>
      </c>
      <c r="CU1313">
        <v>-27.41</v>
      </c>
      <c r="CV1313">
        <v>10.88</v>
      </c>
      <c r="CW1313">
        <v>1.01</v>
      </c>
      <c r="CX1313" t="s">
        <v>2391</v>
      </c>
      <c r="CY1313">
        <v>4.47</v>
      </c>
      <c r="CZ1313">
        <v>4.47</v>
      </c>
      <c r="DA1313">
        <v>0.6</v>
      </c>
      <c r="DB1313">
        <v>2.23</v>
      </c>
      <c r="DC1313">
        <v>-0.95</v>
      </c>
      <c r="DD1313">
        <v>13.35</v>
      </c>
      <c r="DE1313" t="s">
        <v>7104</v>
      </c>
      <c r="DF1313" t="s">
        <v>120</v>
      </c>
      <c r="DG1313">
        <v>30.77</v>
      </c>
      <c r="DH1313">
        <v>22.39</v>
      </c>
      <c r="DI1313" t="s">
        <v>120</v>
      </c>
      <c r="DJ1313">
        <v>545</v>
      </c>
      <c r="DK1313">
        <v>2961</v>
      </c>
      <c r="DL1313" t="s">
        <v>120</v>
      </c>
      <c r="DM1313" t="s">
        <v>120</v>
      </c>
      <c r="DN1313" t="s">
        <v>120</v>
      </c>
    </row>
    <row r="1314" spans="1:118">
      <c r="A1314" t="str">
        <f>"002962"</f>
        <v>002962</v>
      </c>
      <c r="B1314" t="s">
        <v>7105</v>
      </c>
      <c r="C1314">
        <v>1.01</v>
      </c>
      <c r="D1314">
        <v>-7.0000000000000007E-2</v>
      </c>
      <c r="E1314">
        <v>0.31</v>
      </c>
      <c r="F1314">
        <v>172</v>
      </c>
      <c r="G1314" t="s">
        <v>6950</v>
      </c>
      <c r="H1314">
        <v>3126.35</v>
      </c>
      <c r="I1314">
        <v>5.31</v>
      </c>
      <c r="J1314" t="s">
        <v>120</v>
      </c>
      <c r="K1314" t="s">
        <v>3326</v>
      </c>
      <c r="L1314">
        <v>1.45</v>
      </c>
      <c r="M1314">
        <v>13.03</v>
      </c>
      <c r="N1314">
        <v>1.03</v>
      </c>
      <c r="O1314">
        <v>2.33</v>
      </c>
      <c r="P1314">
        <v>13.2</v>
      </c>
      <c r="Q1314">
        <v>0.16</v>
      </c>
      <c r="R1314">
        <v>12.92</v>
      </c>
      <c r="S1314">
        <v>12.94</v>
      </c>
      <c r="T1314">
        <v>23903</v>
      </c>
      <c r="U1314">
        <v>13.04</v>
      </c>
      <c r="V1314">
        <v>12.9</v>
      </c>
      <c r="W1314">
        <v>44.37</v>
      </c>
      <c r="X1314" t="s">
        <v>229</v>
      </c>
      <c r="Y1314" t="s">
        <v>763</v>
      </c>
      <c r="Z1314">
        <v>2.17</v>
      </c>
      <c r="AA1314">
        <v>13.08</v>
      </c>
      <c r="AB1314">
        <v>12363</v>
      </c>
      <c r="AC1314">
        <v>11540</v>
      </c>
      <c r="AD1314">
        <v>1.07</v>
      </c>
      <c r="AE1314">
        <v>244</v>
      </c>
      <c r="AF1314">
        <v>84</v>
      </c>
      <c r="AG1314" t="s">
        <v>120</v>
      </c>
      <c r="AH1314">
        <v>0</v>
      </c>
      <c r="AI1314" t="s">
        <v>120</v>
      </c>
      <c r="AJ1314">
        <v>1.65</v>
      </c>
      <c r="AK1314" t="s">
        <v>7106</v>
      </c>
      <c r="AL1314">
        <v>2.92</v>
      </c>
      <c r="AM1314">
        <v>1092</v>
      </c>
      <c r="AN1314">
        <v>22</v>
      </c>
      <c r="AO1314">
        <v>1.2999999999999999E-3</v>
      </c>
      <c r="AP1314">
        <v>1</v>
      </c>
      <c r="AQ1314">
        <v>-0.85</v>
      </c>
      <c r="AR1314">
        <v>-0.76</v>
      </c>
      <c r="AS1314">
        <v>-14.1</v>
      </c>
      <c r="AT1314">
        <v>2.2799999999999998</v>
      </c>
      <c r="AU1314">
        <v>-11.21</v>
      </c>
      <c r="AV1314">
        <v>3</v>
      </c>
      <c r="AW1314">
        <v>1.81</v>
      </c>
      <c r="AX1314">
        <v>44.88</v>
      </c>
      <c r="AY1314">
        <v>34.020000000000003</v>
      </c>
      <c r="AZ1314">
        <v>27.27</v>
      </c>
      <c r="BA1314">
        <v>0.2</v>
      </c>
      <c r="BB1314" t="s">
        <v>134</v>
      </c>
      <c r="BF1314">
        <v>1.39</v>
      </c>
      <c r="BG1314">
        <v>0.7</v>
      </c>
      <c r="BH1314">
        <v>-1.29</v>
      </c>
      <c r="BI1314">
        <v>0.85</v>
      </c>
      <c r="BJ1314">
        <v>20210826</v>
      </c>
      <c r="BK1314">
        <v>20190917</v>
      </c>
      <c r="BL1314">
        <v>2.94</v>
      </c>
      <c r="BM1314" t="s">
        <v>120</v>
      </c>
      <c r="BN1314" t="s">
        <v>120</v>
      </c>
      <c r="BO1314">
        <v>19.25</v>
      </c>
      <c r="BP1314">
        <v>13.03</v>
      </c>
      <c r="BQ1314">
        <v>17.32</v>
      </c>
      <c r="BR1314">
        <v>0.1</v>
      </c>
      <c r="BS1314">
        <v>9.5299999999999994</v>
      </c>
      <c r="BT1314">
        <v>13.02</v>
      </c>
      <c r="BU1314">
        <v>5.14</v>
      </c>
      <c r="BV1314">
        <v>0.77</v>
      </c>
      <c r="BW1314">
        <v>1.56</v>
      </c>
      <c r="BX1314">
        <v>9.6199999999999992</v>
      </c>
      <c r="BY1314">
        <v>0.48</v>
      </c>
      <c r="BZ1314">
        <v>1.33</v>
      </c>
      <c r="CA1314" t="s">
        <v>120</v>
      </c>
      <c r="CB1314">
        <v>9.74</v>
      </c>
      <c r="CC1314">
        <v>2.5099999999999998</v>
      </c>
      <c r="CD1314">
        <v>1.75</v>
      </c>
      <c r="CE1314">
        <v>0.48</v>
      </c>
      <c r="CF1314">
        <v>0</v>
      </c>
      <c r="CG1314">
        <v>0.48</v>
      </c>
      <c r="CH1314">
        <v>0.42</v>
      </c>
      <c r="CI1314">
        <v>0.43</v>
      </c>
      <c r="CJ1314">
        <v>0.13</v>
      </c>
      <c r="CK1314">
        <v>0.36</v>
      </c>
      <c r="CL1314">
        <v>4.45</v>
      </c>
      <c r="CM1314">
        <v>0.43</v>
      </c>
      <c r="CN1314">
        <v>-1.25</v>
      </c>
      <c r="CO1314">
        <v>24457</v>
      </c>
      <c r="CP1314">
        <v>5387</v>
      </c>
      <c r="CQ1314" t="s">
        <v>3365</v>
      </c>
      <c r="CR1314">
        <v>-39.020000000000003</v>
      </c>
      <c r="CS1314">
        <v>-1.31</v>
      </c>
      <c r="CT1314">
        <v>2.21</v>
      </c>
      <c r="CU1314">
        <v>88.27</v>
      </c>
      <c r="CV1314">
        <v>15.26</v>
      </c>
      <c r="CW1314">
        <v>1.29</v>
      </c>
      <c r="CX1314" t="s">
        <v>373</v>
      </c>
      <c r="CY1314">
        <v>5.9</v>
      </c>
      <c r="CZ1314">
        <v>0</v>
      </c>
      <c r="DA1314">
        <v>3.32</v>
      </c>
      <c r="DB1314">
        <v>1.51</v>
      </c>
      <c r="DC1314">
        <v>0.15</v>
      </c>
      <c r="DD1314">
        <v>89.93</v>
      </c>
      <c r="DE1314" t="s">
        <v>7107</v>
      </c>
      <c r="DF1314">
        <v>30.06</v>
      </c>
      <c r="DG1314">
        <v>19.04</v>
      </c>
      <c r="DH1314">
        <v>17.190000000000001</v>
      </c>
      <c r="DI1314">
        <v>0.19</v>
      </c>
      <c r="DJ1314">
        <v>1326</v>
      </c>
      <c r="DK1314">
        <v>2962</v>
      </c>
      <c r="DL1314" t="s">
        <v>120</v>
      </c>
      <c r="DM1314" t="s">
        <v>120</v>
      </c>
      <c r="DN1314" t="s">
        <v>120</v>
      </c>
    </row>
    <row r="1315" spans="1:118">
      <c r="A1315" t="str">
        <f>"002963"</f>
        <v>002963</v>
      </c>
      <c r="B1315" t="s">
        <v>7108</v>
      </c>
      <c r="C1315">
        <v>3.13</v>
      </c>
      <c r="D1315">
        <v>0.06</v>
      </c>
      <c r="E1315">
        <v>-0.11</v>
      </c>
      <c r="F1315">
        <v>704</v>
      </c>
      <c r="G1315" t="s">
        <v>7109</v>
      </c>
      <c r="H1315">
        <v>6588.09</v>
      </c>
      <c r="I1315">
        <v>5.0999999999999996</v>
      </c>
      <c r="J1315" t="s">
        <v>120</v>
      </c>
      <c r="K1315" t="s">
        <v>7109</v>
      </c>
      <c r="L1315">
        <v>5.29</v>
      </c>
      <c r="M1315">
        <v>18.14</v>
      </c>
      <c r="N1315">
        <v>2.62</v>
      </c>
      <c r="O1315">
        <v>4.5999999999999996</v>
      </c>
      <c r="P1315">
        <v>18.399999999999999</v>
      </c>
      <c r="Q1315">
        <v>-0.74</v>
      </c>
      <c r="R1315">
        <v>17.46</v>
      </c>
      <c r="S1315">
        <v>17.57</v>
      </c>
      <c r="T1315">
        <v>36478</v>
      </c>
      <c r="U1315">
        <v>18.14</v>
      </c>
      <c r="V1315">
        <v>17.59</v>
      </c>
      <c r="W1315">
        <v>31.46</v>
      </c>
      <c r="X1315" t="s">
        <v>3122</v>
      </c>
      <c r="Y1315" t="s">
        <v>158</v>
      </c>
      <c r="Z1315">
        <v>5.34</v>
      </c>
      <c r="AA1315">
        <v>18.059999999999999</v>
      </c>
      <c r="AB1315">
        <v>15874</v>
      </c>
      <c r="AC1315">
        <v>20604</v>
      </c>
      <c r="AD1315">
        <v>0.77</v>
      </c>
      <c r="AE1315">
        <v>79</v>
      </c>
      <c r="AF1315">
        <v>193</v>
      </c>
      <c r="AG1315" t="s">
        <v>120</v>
      </c>
      <c r="AH1315">
        <v>0</v>
      </c>
      <c r="AI1315" t="s">
        <v>120</v>
      </c>
      <c r="AJ1315">
        <v>0.69</v>
      </c>
      <c r="AK1315" t="s">
        <v>6125</v>
      </c>
      <c r="AL1315">
        <v>5.04</v>
      </c>
      <c r="AM1315">
        <v>1676</v>
      </c>
      <c r="AN1315">
        <v>22</v>
      </c>
      <c r="AO1315">
        <v>3.2000000000000002E-3</v>
      </c>
      <c r="AP1315">
        <v>2</v>
      </c>
      <c r="AQ1315">
        <v>1.1499999999999999</v>
      </c>
      <c r="AR1315">
        <v>2.2599999999999998</v>
      </c>
      <c r="AS1315">
        <v>4.67</v>
      </c>
      <c r="AT1315">
        <v>16.5</v>
      </c>
      <c r="AU1315">
        <v>-0.93</v>
      </c>
      <c r="AV1315">
        <v>0</v>
      </c>
      <c r="AW1315">
        <v>5.29</v>
      </c>
      <c r="AX1315">
        <v>45.89</v>
      </c>
      <c r="AY1315">
        <v>44.11</v>
      </c>
      <c r="AZ1315">
        <v>61.87</v>
      </c>
      <c r="BA1315">
        <v>0.68</v>
      </c>
      <c r="BB1315" t="s">
        <v>143</v>
      </c>
      <c r="BF1315">
        <v>2.67</v>
      </c>
      <c r="BG1315">
        <v>3.24</v>
      </c>
      <c r="BH1315">
        <v>-1.41</v>
      </c>
      <c r="BI1315">
        <v>3.89</v>
      </c>
      <c r="BJ1315">
        <v>20210818</v>
      </c>
      <c r="BK1315">
        <v>20191028</v>
      </c>
      <c r="BL1315">
        <v>1.5</v>
      </c>
      <c r="BM1315" t="s">
        <v>120</v>
      </c>
      <c r="BN1315" t="s">
        <v>120</v>
      </c>
      <c r="BO1315">
        <v>21.63</v>
      </c>
      <c r="BP1315">
        <v>18.13</v>
      </c>
      <c r="BQ1315">
        <v>16.95</v>
      </c>
      <c r="BR1315" t="s">
        <v>120</v>
      </c>
      <c r="BS1315">
        <v>21.67</v>
      </c>
      <c r="BT1315">
        <v>20.58</v>
      </c>
      <c r="BU1315">
        <v>0.15</v>
      </c>
      <c r="BV1315">
        <v>0.01</v>
      </c>
      <c r="BW1315">
        <v>4.4800000000000004</v>
      </c>
      <c r="BX1315">
        <v>1.62</v>
      </c>
      <c r="BY1315">
        <v>0.37</v>
      </c>
      <c r="BZ1315">
        <v>5.26</v>
      </c>
      <c r="CA1315" t="s">
        <v>120</v>
      </c>
      <c r="CB1315">
        <v>10.27</v>
      </c>
      <c r="CC1315">
        <v>4.68</v>
      </c>
      <c r="CD1315">
        <v>3.15</v>
      </c>
      <c r="CE1315">
        <v>0.49</v>
      </c>
      <c r="CF1315">
        <v>0.13</v>
      </c>
      <c r="CG1315">
        <v>0.49</v>
      </c>
      <c r="CH1315">
        <v>0.43</v>
      </c>
      <c r="CI1315">
        <v>0.43</v>
      </c>
      <c r="CJ1315">
        <v>0.55000000000000004</v>
      </c>
      <c r="CK1315">
        <v>0.32</v>
      </c>
      <c r="CL1315">
        <v>4.66</v>
      </c>
      <c r="CM1315">
        <v>-0.65</v>
      </c>
      <c r="CN1315">
        <v>-4.13</v>
      </c>
      <c r="CO1315">
        <v>17978</v>
      </c>
      <c r="CP1315">
        <v>3838</v>
      </c>
      <c r="CQ1315" t="s">
        <v>5355</v>
      </c>
      <c r="CR1315">
        <v>65.84</v>
      </c>
      <c r="CS1315">
        <v>84.55</v>
      </c>
      <c r="CT1315">
        <v>1.61</v>
      </c>
      <c r="CU1315">
        <v>-41.86</v>
      </c>
      <c r="CV1315">
        <v>5.83</v>
      </c>
      <c r="CW1315">
        <v>0.17</v>
      </c>
      <c r="CX1315" t="s">
        <v>293</v>
      </c>
      <c r="CY1315">
        <v>11.27</v>
      </c>
      <c r="CZ1315">
        <v>0</v>
      </c>
      <c r="DA1315">
        <v>6.83</v>
      </c>
      <c r="DB1315">
        <v>3.1</v>
      </c>
      <c r="DC1315">
        <v>-0.43</v>
      </c>
      <c r="DD1315">
        <v>78.33</v>
      </c>
      <c r="DE1315" t="s">
        <v>5546</v>
      </c>
      <c r="DF1315">
        <v>32.619999999999997</v>
      </c>
      <c r="DG1315">
        <v>10.42</v>
      </c>
      <c r="DH1315">
        <v>9.26</v>
      </c>
      <c r="DI1315">
        <v>0.23</v>
      </c>
      <c r="DJ1315">
        <v>467</v>
      </c>
      <c r="DK1315">
        <v>2963</v>
      </c>
      <c r="DL1315" t="s">
        <v>120</v>
      </c>
      <c r="DM1315" t="s">
        <v>120</v>
      </c>
      <c r="DN1315" t="s">
        <v>120</v>
      </c>
    </row>
    <row r="1316" spans="1:118">
      <c r="A1316" t="str">
        <f>"002965"</f>
        <v>002965</v>
      </c>
      <c r="B1316" t="s">
        <v>7110</v>
      </c>
      <c r="C1316">
        <v>-3.43</v>
      </c>
      <c r="D1316">
        <v>0</v>
      </c>
      <c r="E1316">
        <v>1.36</v>
      </c>
      <c r="F1316">
        <v>268</v>
      </c>
      <c r="G1316" t="s">
        <v>5557</v>
      </c>
      <c r="H1316">
        <v>6242.79</v>
      </c>
      <c r="I1316">
        <v>184.4</v>
      </c>
      <c r="J1316" t="s">
        <v>120</v>
      </c>
      <c r="K1316" t="s">
        <v>219</v>
      </c>
      <c r="L1316">
        <v>3.2</v>
      </c>
      <c r="M1316">
        <v>25.65</v>
      </c>
      <c r="N1316">
        <v>0.81</v>
      </c>
      <c r="O1316">
        <v>1.36</v>
      </c>
      <c r="P1316">
        <v>26.92</v>
      </c>
      <c r="Q1316">
        <v>-3.43</v>
      </c>
      <c r="R1316">
        <v>25.65</v>
      </c>
      <c r="S1316">
        <v>26.92</v>
      </c>
      <c r="T1316">
        <v>23968</v>
      </c>
      <c r="U1316">
        <v>25.65</v>
      </c>
      <c r="V1316">
        <v>26.56</v>
      </c>
      <c r="W1316">
        <v>39.79</v>
      </c>
      <c r="X1316" t="s">
        <v>289</v>
      </c>
      <c r="Y1316" t="s">
        <v>547</v>
      </c>
      <c r="Z1316">
        <v>4.78</v>
      </c>
      <c r="AA1316">
        <v>26.05</v>
      </c>
      <c r="AB1316">
        <v>15530</v>
      </c>
      <c r="AC1316">
        <v>8438</v>
      </c>
      <c r="AD1316">
        <v>1.84</v>
      </c>
      <c r="AE1316">
        <v>1</v>
      </c>
      <c r="AF1316">
        <v>16</v>
      </c>
      <c r="AG1316" t="s">
        <v>120</v>
      </c>
      <c r="AH1316">
        <v>0.12</v>
      </c>
      <c r="AI1316" t="s">
        <v>120</v>
      </c>
      <c r="AJ1316">
        <v>0.75</v>
      </c>
      <c r="AK1316" t="s">
        <v>7111</v>
      </c>
      <c r="AL1316">
        <v>-1.51</v>
      </c>
      <c r="AM1316">
        <v>1530</v>
      </c>
      <c r="AN1316">
        <v>16</v>
      </c>
      <c r="AO1316">
        <v>2.0999999999999999E-3</v>
      </c>
      <c r="AP1316">
        <v>-1</v>
      </c>
      <c r="AQ1316">
        <v>5.69</v>
      </c>
      <c r="AR1316">
        <v>2.4</v>
      </c>
      <c r="AS1316">
        <v>11.91</v>
      </c>
      <c r="AT1316">
        <v>0.55000000000000004</v>
      </c>
      <c r="AU1316">
        <v>-19.3</v>
      </c>
      <c r="AV1316">
        <v>1</v>
      </c>
      <c r="AW1316">
        <v>4.03</v>
      </c>
      <c r="AX1316">
        <v>39.43</v>
      </c>
      <c r="AY1316">
        <v>30.28</v>
      </c>
      <c r="AZ1316">
        <v>24.77</v>
      </c>
      <c r="BA1316">
        <v>0.81</v>
      </c>
      <c r="BB1316" t="s">
        <v>1103</v>
      </c>
      <c r="BF1316">
        <v>-1.93</v>
      </c>
      <c r="BG1316">
        <v>-4.72</v>
      </c>
      <c r="BH1316">
        <v>-4.72</v>
      </c>
      <c r="BI1316">
        <v>0</v>
      </c>
      <c r="BJ1316">
        <v>20210830</v>
      </c>
      <c r="BK1316">
        <v>20191025</v>
      </c>
      <c r="BL1316">
        <v>1.51</v>
      </c>
      <c r="BM1316" t="s">
        <v>120</v>
      </c>
      <c r="BN1316" t="s">
        <v>120</v>
      </c>
      <c r="BO1316">
        <v>33.89</v>
      </c>
      <c r="BP1316">
        <v>25.64</v>
      </c>
      <c r="BQ1316">
        <v>18.72</v>
      </c>
      <c r="BR1316" t="s">
        <v>120</v>
      </c>
      <c r="BS1316">
        <v>44.76</v>
      </c>
      <c r="BT1316">
        <v>24.93</v>
      </c>
      <c r="BU1316">
        <v>4.55</v>
      </c>
      <c r="BV1316">
        <v>1.87</v>
      </c>
      <c r="BW1316">
        <v>8.82</v>
      </c>
      <c r="BX1316">
        <v>3.66</v>
      </c>
      <c r="BY1316">
        <v>6</v>
      </c>
      <c r="BZ1316">
        <v>4.82</v>
      </c>
      <c r="CA1316" t="s">
        <v>120</v>
      </c>
      <c r="CB1316">
        <v>7.92</v>
      </c>
      <c r="CC1316">
        <v>10.09</v>
      </c>
      <c r="CD1316">
        <v>8.26</v>
      </c>
      <c r="CE1316">
        <v>0.53</v>
      </c>
      <c r="CF1316">
        <v>-0.01</v>
      </c>
      <c r="CG1316">
        <v>0.53</v>
      </c>
      <c r="CH1316">
        <v>0.49</v>
      </c>
      <c r="CI1316">
        <v>0.49</v>
      </c>
      <c r="CJ1316">
        <v>-0.91</v>
      </c>
      <c r="CK1316">
        <v>0.34</v>
      </c>
      <c r="CL1316">
        <v>7.08</v>
      </c>
      <c r="CM1316">
        <v>-0.36</v>
      </c>
      <c r="CN1316">
        <v>-5.23</v>
      </c>
      <c r="CO1316">
        <v>16981</v>
      </c>
      <c r="CP1316">
        <v>3500</v>
      </c>
      <c r="CQ1316" t="s">
        <v>816</v>
      </c>
      <c r="CR1316">
        <v>-37.72</v>
      </c>
      <c r="CS1316">
        <v>20.87</v>
      </c>
      <c r="CT1316">
        <v>2.23</v>
      </c>
      <c r="CU1316">
        <v>-106.01</v>
      </c>
      <c r="CV1316">
        <v>3.83</v>
      </c>
      <c r="CW1316">
        <v>1.22</v>
      </c>
      <c r="CX1316" t="s">
        <v>7112</v>
      </c>
      <c r="CY1316">
        <v>11.52</v>
      </c>
      <c r="CZ1316">
        <v>11.52</v>
      </c>
      <c r="DA1316">
        <v>5.25</v>
      </c>
      <c r="DB1316">
        <v>4.7</v>
      </c>
      <c r="DC1316">
        <v>-0.24</v>
      </c>
      <c r="DD1316">
        <v>55.24</v>
      </c>
      <c r="DE1316" t="s">
        <v>3839</v>
      </c>
      <c r="DF1316">
        <v>18.13</v>
      </c>
      <c r="DG1316">
        <v>5.25</v>
      </c>
      <c r="DH1316">
        <v>4.8099999999999996</v>
      </c>
      <c r="DI1316">
        <v>0.38</v>
      </c>
      <c r="DJ1316">
        <v>2904</v>
      </c>
      <c r="DK1316">
        <v>2965</v>
      </c>
      <c r="DL1316" t="s">
        <v>120</v>
      </c>
      <c r="DM1316" t="s">
        <v>120</v>
      </c>
      <c r="DN1316" t="s">
        <v>120</v>
      </c>
    </row>
    <row r="1317" spans="1:118">
      <c r="A1317" t="str">
        <f>"002966"</f>
        <v>002966</v>
      </c>
      <c r="B1317" t="s">
        <v>7113</v>
      </c>
      <c r="C1317">
        <v>-0.43</v>
      </c>
      <c r="D1317">
        <v>0.28999999999999998</v>
      </c>
      <c r="E1317">
        <v>0.28999999999999998</v>
      </c>
      <c r="F1317">
        <v>7244</v>
      </c>
      <c r="G1317" t="s">
        <v>7114</v>
      </c>
      <c r="H1317">
        <v>11279.44</v>
      </c>
      <c r="I1317">
        <v>66.349999999999994</v>
      </c>
      <c r="J1317" t="s">
        <v>120</v>
      </c>
      <c r="K1317" t="s">
        <v>7114</v>
      </c>
      <c r="L1317">
        <v>1</v>
      </c>
      <c r="M1317">
        <v>6.92</v>
      </c>
      <c r="N1317">
        <v>0.77</v>
      </c>
      <c r="O1317">
        <v>0.86</v>
      </c>
      <c r="P1317">
        <v>7.01</v>
      </c>
      <c r="Q1317">
        <v>-1.01</v>
      </c>
      <c r="R1317">
        <v>6.88</v>
      </c>
      <c r="S1317">
        <v>6.97</v>
      </c>
      <c r="T1317">
        <v>162503</v>
      </c>
      <c r="U1317">
        <v>6.92</v>
      </c>
      <c r="V1317">
        <v>6.95</v>
      </c>
      <c r="W1317">
        <v>6.63</v>
      </c>
      <c r="X1317" t="s">
        <v>122</v>
      </c>
      <c r="Y1317" t="s">
        <v>319</v>
      </c>
      <c r="Z1317">
        <v>1.87</v>
      </c>
      <c r="AA1317">
        <v>6.94</v>
      </c>
      <c r="AB1317">
        <v>91207</v>
      </c>
      <c r="AC1317">
        <v>71296</v>
      </c>
      <c r="AD1317">
        <v>1.28</v>
      </c>
      <c r="AE1317">
        <v>225</v>
      </c>
      <c r="AF1317">
        <v>2186</v>
      </c>
      <c r="AG1317" t="s">
        <v>120</v>
      </c>
      <c r="AH1317">
        <v>0.01</v>
      </c>
      <c r="AI1317" t="s">
        <v>120</v>
      </c>
      <c r="AJ1317">
        <v>16.25</v>
      </c>
      <c r="AK1317" t="s">
        <v>7115</v>
      </c>
      <c r="AL1317">
        <v>1.48</v>
      </c>
      <c r="AM1317">
        <v>2826</v>
      </c>
      <c r="AN1317">
        <v>58</v>
      </c>
      <c r="AO1317">
        <v>4.0000000000000002E-4</v>
      </c>
      <c r="AP1317">
        <v>-4</v>
      </c>
      <c r="AQ1317">
        <v>-0.71</v>
      </c>
      <c r="AR1317">
        <v>-2.67</v>
      </c>
      <c r="AS1317">
        <v>-1.1399999999999999</v>
      </c>
      <c r="AT1317">
        <v>-9.7799999999999994</v>
      </c>
      <c r="AU1317">
        <v>-6.99</v>
      </c>
      <c r="AV1317">
        <v>0</v>
      </c>
      <c r="AW1317">
        <v>1</v>
      </c>
      <c r="AX1317">
        <v>48.75</v>
      </c>
      <c r="AY1317">
        <v>8.23</v>
      </c>
      <c r="AZ1317">
        <v>9.01</v>
      </c>
      <c r="BA1317">
        <v>0.23</v>
      </c>
      <c r="BB1317" t="s">
        <v>143</v>
      </c>
      <c r="BF1317">
        <v>-0.13</v>
      </c>
      <c r="BG1317">
        <v>-0.72</v>
      </c>
      <c r="BH1317">
        <v>-1.28</v>
      </c>
      <c r="BI1317">
        <v>0.57999999999999996</v>
      </c>
      <c r="BJ1317">
        <v>20210830</v>
      </c>
      <c r="BK1317">
        <v>20190802</v>
      </c>
      <c r="BL1317">
        <v>33.33</v>
      </c>
      <c r="BM1317" t="s">
        <v>120</v>
      </c>
      <c r="BN1317" t="s">
        <v>120</v>
      </c>
      <c r="BO1317">
        <v>4395.22</v>
      </c>
      <c r="BP1317">
        <v>6.9</v>
      </c>
      <c r="BQ1317">
        <v>311.3</v>
      </c>
      <c r="BR1317">
        <v>15.63</v>
      </c>
      <c r="BS1317">
        <v>92.56</v>
      </c>
      <c r="BT1317">
        <v>0</v>
      </c>
      <c r="BU1317">
        <v>26.76</v>
      </c>
      <c r="BV1317">
        <v>4.6500000000000004</v>
      </c>
      <c r="BW1317">
        <v>0</v>
      </c>
      <c r="BX1317">
        <v>286.87</v>
      </c>
      <c r="BY1317">
        <v>0</v>
      </c>
      <c r="BZ1317">
        <v>0</v>
      </c>
      <c r="CA1317" t="s">
        <v>120</v>
      </c>
      <c r="CB1317">
        <v>108.29</v>
      </c>
      <c r="CC1317">
        <v>55.11</v>
      </c>
      <c r="CD1317">
        <v>0</v>
      </c>
      <c r="CE1317">
        <v>21.18</v>
      </c>
      <c r="CF1317">
        <v>6.48</v>
      </c>
      <c r="CG1317">
        <v>21.14</v>
      </c>
      <c r="CH1317">
        <v>18.41</v>
      </c>
      <c r="CI1317">
        <v>17.399999999999999</v>
      </c>
      <c r="CJ1317">
        <v>-0.03</v>
      </c>
      <c r="CK1317">
        <v>16.989999999999998</v>
      </c>
      <c r="CL1317">
        <v>92.62</v>
      </c>
      <c r="CM1317">
        <v>-75.3</v>
      </c>
      <c r="CN1317">
        <v>5.94</v>
      </c>
      <c r="CO1317">
        <v>85836</v>
      </c>
      <c r="CP1317">
        <v>18930</v>
      </c>
      <c r="CQ1317" t="s">
        <v>7116</v>
      </c>
      <c r="CR1317">
        <v>16.14</v>
      </c>
      <c r="CS1317">
        <v>1.69</v>
      </c>
      <c r="CT1317">
        <v>0.74</v>
      </c>
      <c r="CU1317">
        <v>-3.06</v>
      </c>
      <c r="CV1317">
        <v>4.1900000000000004</v>
      </c>
      <c r="CW1317">
        <v>3.45</v>
      </c>
      <c r="CX1317" t="s">
        <v>948</v>
      </c>
      <c r="CY1317">
        <v>9.34</v>
      </c>
      <c r="CZ1317">
        <v>9.34</v>
      </c>
      <c r="DA1317">
        <v>3.25</v>
      </c>
      <c r="DB1317">
        <v>2.78</v>
      </c>
      <c r="DC1317">
        <v>-2.2599999999999998</v>
      </c>
      <c r="DD1317">
        <v>7.08</v>
      </c>
      <c r="DE1317" t="s">
        <v>7117</v>
      </c>
      <c r="DF1317" t="s">
        <v>120</v>
      </c>
      <c r="DG1317">
        <v>38.44</v>
      </c>
      <c r="DH1317">
        <v>31.58</v>
      </c>
      <c r="DI1317" t="s">
        <v>120</v>
      </c>
      <c r="DJ1317">
        <v>4495</v>
      </c>
      <c r="DK1317">
        <v>2966</v>
      </c>
      <c r="DL1317" t="s">
        <v>120</v>
      </c>
      <c r="DM1317" t="s">
        <v>120</v>
      </c>
      <c r="DN1317" t="s">
        <v>120</v>
      </c>
    </row>
    <row r="1318" spans="1:118">
      <c r="A1318" t="str">
        <f>"002967"</f>
        <v>002967</v>
      </c>
      <c r="B1318" t="s">
        <v>7118</v>
      </c>
      <c r="C1318">
        <v>-2.2400000000000002</v>
      </c>
      <c r="D1318">
        <v>0.03</v>
      </c>
      <c r="E1318">
        <v>0.28999999999999998</v>
      </c>
      <c r="F1318">
        <v>273</v>
      </c>
      <c r="G1318" t="s">
        <v>6787</v>
      </c>
      <c r="H1318">
        <v>9306.23</v>
      </c>
      <c r="I1318">
        <v>25.97</v>
      </c>
      <c r="J1318" t="s">
        <v>120</v>
      </c>
      <c r="K1318" t="s">
        <v>6787</v>
      </c>
      <c r="L1318">
        <v>1.59</v>
      </c>
      <c r="M1318">
        <v>30.5</v>
      </c>
      <c r="N1318">
        <v>1.19</v>
      </c>
      <c r="O1318">
        <v>0.32</v>
      </c>
      <c r="P1318">
        <v>31.3</v>
      </c>
      <c r="Q1318">
        <v>-2.88</v>
      </c>
      <c r="R1318">
        <v>30.3</v>
      </c>
      <c r="S1318">
        <v>31.29</v>
      </c>
      <c r="T1318">
        <v>30193</v>
      </c>
      <c r="U1318">
        <v>30.5</v>
      </c>
      <c r="V1318">
        <v>31.2</v>
      </c>
      <c r="W1318" t="s">
        <v>120</v>
      </c>
      <c r="X1318" t="s">
        <v>166</v>
      </c>
      <c r="Y1318" t="s">
        <v>547</v>
      </c>
      <c r="Z1318">
        <v>3.21</v>
      </c>
      <c r="AA1318">
        <v>30.82</v>
      </c>
      <c r="AB1318">
        <v>17325</v>
      </c>
      <c r="AC1318">
        <v>12868</v>
      </c>
      <c r="AD1318">
        <v>1.35</v>
      </c>
      <c r="AE1318">
        <v>11</v>
      </c>
      <c r="AF1318">
        <v>1</v>
      </c>
      <c r="AG1318" t="s">
        <v>120</v>
      </c>
      <c r="AH1318">
        <v>0</v>
      </c>
      <c r="AI1318" t="s">
        <v>120</v>
      </c>
      <c r="AJ1318">
        <v>1.89</v>
      </c>
      <c r="AK1318" t="s">
        <v>7119</v>
      </c>
      <c r="AL1318">
        <v>-0.33</v>
      </c>
      <c r="AM1318">
        <v>2312</v>
      </c>
      <c r="AN1318">
        <v>13</v>
      </c>
      <c r="AO1318">
        <v>6.9999999999999999E-4</v>
      </c>
      <c r="AP1318">
        <v>-4</v>
      </c>
      <c r="AQ1318">
        <v>-2.23</v>
      </c>
      <c r="AR1318">
        <v>-6.22</v>
      </c>
      <c r="AS1318">
        <v>-14.9</v>
      </c>
      <c r="AT1318">
        <v>-32.54</v>
      </c>
      <c r="AU1318">
        <v>-16.78</v>
      </c>
      <c r="AV1318">
        <v>1</v>
      </c>
      <c r="AW1318">
        <v>1.59</v>
      </c>
      <c r="AX1318">
        <v>32.94</v>
      </c>
      <c r="AY1318">
        <v>67.59</v>
      </c>
      <c r="AZ1318">
        <v>76.25</v>
      </c>
      <c r="BA1318">
        <v>0.95</v>
      </c>
      <c r="BB1318" t="s">
        <v>134</v>
      </c>
      <c r="BF1318">
        <v>-1.21</v>
      </c>
      <c r="BG1318">
        <v>-2.52</v>
      </c>
      <c r="BH1318">
        <v>-2.56</v>
      </c>
      <c r="BI1318">
        <v>0.66</v>
      </c>
      <c r="BJ1318">
        <v>20210820</v>
      </c>
      <c r="BK1318">
        <v>20191108</v>
      </c>
      <c r="BL1318">
        <v>5.75</v>
      </c>
      <c r="BM1318" t="s">
        <v>120</v>
      </c>
      <c r="BN1318" t="s">
        <v>120</v>
      </c>
      <c r="BO1318">
        <v>48.7</v>
      </c>
      <c r="BP1318">
        <v>30.49</v>
      </c>
      <c r="BQ1318">
        <v>31.9</v>
      </c>
      <c r="BR1318">
        <v>0.51</v>
      </c>
      <c r="BS1318">
        <v>33.450000000000003</v>
      </c>
      <c r="BT1318">
        <v>26.72</v>
      </c>
      <c r="BU1318">
        <v>11.92</v>
      </c>
      <c r="BV1318">
        <v>0.51</v>
      </c>
      <c r="BW1318">
        <v>11.6</v>
      </c>
      <c r="BX1318">
        <v>11.81</v>
      </c>
      <c r="BY1318">
        <v>0.18</v>
      </c>
      <c r="BZ1318">
        <v>9.3800000000000008</v>
      </c>
      <c r="CA1318" t="s">
        <v>120</v>
      </c>
      <c r="CB1318">
        <v>19.82</v>
      </c>
      <c r="CC1318">
        <v>8.25</v>
      </c>
      <c r="CD1318">
        <v>5.22</v>
      </c>
      <c r="CE1318">
        <v>-0.4</v>
      </c>
      <c r="CF1318">
        <v>0.01</v>
      </c>
      <c r="CG1318">
        <v>-0.39</v>
      </c>
      <c r="CH1318">
        <v>-0.18</v>
      </c>
      <c r="CI1318">
        <v>-0.19</v>
      </c>
      <c r="CJ1318">
        <v>-0.7</v>
      </c>
      <c r="CK1318">
        <v>-0.31</v>
      </c>
      <c r="CL1318">
        <v>5.83</v>
      </c>
      <c r="CM1318">
        <v>0.38</v>
      </c>
      <c r="CN1318">
        <v>8.5399999999999991</v>
      </c>
      <c r="CO1318">
        <v>19423</v>
      </c>
      <c r="CP1318">
        <v>9755</v>
      </c>
      <c r="CQ1318" t="s">
        <v>7120</v>
      </c>
      <c r="CR1318">
        <v>61.08</v>
      </c>
      <c r="CS1318">
        <v>43.85</v>
      </c>
      <c r="CT1318">
        <v>5.5</v>
      </c>
      <c r="CU1318">
        <v>462.7</v>
      </c>
      <c r="CV1318">
        <v>21.26</v>
      </c>
      <c r="CW1318">
        <v>0</v>
      </c>
      <c r="CX1318" t="s">
        <v>1255</v>
      </c>
      <c r="CY1318">
        <v>5.55</v>
      </c>
      <c r="CZ1318">
        <v>0</v>
      </c>
      <c r="DA1318">
        <v>3.45</v>
      </c>
      <c r="DB1318">
        <v>1.01</v>
      </c>
      <c r="DC1318">
        <v>7.0000000000000007E-2</v>
      </c>
      <c r="DD1318">
        <v>65.510000000000005</v>
      </c>
      <c r="DE1318" t="s">
        <v>7121</v>
      </c>
      <c r="DF1318">
        <v>36.72</v>
      </c>
      <c r="DG1318">
        <v>-4.9000000000000004</v>
      </c>
      <c r="DH1318">
        <v>-2.33</v>
      </c>
      <c r="DI1318">
        <v>1.1100000000000001</v>
      </c>
      <c r="DJ1318">
        <v>4786</v>
      </c>
      <c r="DK1318">
        <v>2967</v>
      </c>
      <c r="DL1318" t="s">
        <v>120</v>
      </c>
      <c r="DM1318" t="s">
        <v>120</v>
      </c>
      <c r="DN1318" t="s">
        <v>120</v>
      </c>
    </row>
    <row r="1319" spans="1:118">
      <c r="A1319" t="str">
        <f>"002968"</f>
        <v>002968</v>
      </c>
      <c r="B1319" t="s">
        <v>7122</v>
      </c>
      <c r="C1319">
        <v>0.63</v>
      </c>
      <c r="D1319">
        <v>0</v>
      </c>
      <c r="E1319">
        <v>-0.2</v>
      </c>
      <c r="F1319">
        <v>21</v>
      </c>
      <c r="G1319" t="s">
        <v>7123</v>
      </c>
      <c r="H1319">
        <v>1011.88</v>
      </c>
      <c r="I1319">
        <v>3.82</v>
      </c>
      <c r="J1319" t="s">
        <v>120</v>
      </c>
      <c r="K1319" t="s">
        <v>7123</v>
      </c>
      <c r="L1319">
        <v>0.41</v>
      </c>
      <c r="M1319">
        <v>35</v>
      </c>
      <c r="N1319">
        <v>0.56999999999999995</v>
      </c>
      <c r="O1319">
        <v>1.98</v>
      </c>
      <c r="P1319">
        <v>35.47</v>
      </c>
      <c r="Q1319">
        <v>-0.46</v>
      </c>
      <c r="R1319">
        <v>34.619999999999997</v>
      </c>
      <c r="S1319">
        <v>34.71</v>
      </c>
      <c r="T1319">
        <v>2881</v>
      </c>
      <c r="U1319">
        <v>35.01</v>
      </c>
      <c r="V1319">
        <v>34.78</v>
      </c>
      <c r="W1319">
        <v>38.29</v>
      </c>
      <c r="X1319" t="s">
        <v>416</v>
      </c>
      <c r="Y1319" t="s">
        <v>883</v>
      </c>
      <c r="Z1319">
        <v>2.44</v>
      </c>
      <c r="AA1319">
        <v>35.119999999999997</v>
      </c>
      <c r="AB1319">
        <v>1103</v>
      </c>
      <c r="AC1319">
        <v>1778</v>
      </c>
      <c r="AD1319">
        <v>0.62</v>
      </c>
      <c r="AE1319">
        <v>116</v>
      </c>
      <c r="AF1319">
        <v>11</v>
      </c>
      <c r="AG1319" t="s">
        <v>120</v>
      </c>
      <c r="AH1319">
        <v>0</v>
      </c>
      <c r="AI1319" t="s">
        <v>120</v>
      </c>
      <c r="AJ1319">
        <v>0.7</v>
      </c>
      <c r="AK1319" t="s">
        <v>7124</v>
      </c>
      <c r="AL1319">
        <v>2.5499999999999998</v>
      </c>
      <c r="AM1319">
        <v>602</v>
      </c>
      <c r="AN1319">
        <v>5</v>
      </c>
      <c r="AO1319">
        <v>6.9999999999999999E-4</v>
      </c>
      <c r="AP1319">
        <v>1</v>
      </c>
      <c r="AQ1319">
        <v>-0.06</v>
      </c>
      <c r="AR1319">
        <v>-0.14000000000000001</v>
      </c>
      <c r="AS1319">
        <v>-11.3</v>
      </c>
      <c r="AT1319">
        <v>-21.93</v>
      </c>
      <c r="AU1319">
        <v>7.14</v>
      </c>
      <c r="AV1319">
        <v>2</v>
      </c>
      <c r="AW1319">
        <v>0.41</v>
      </c>
      <c r="AX1319">
        <v>42.81</v>
      </c>
      <c r="AY1319">
        <v>37.29</v>
      </c>
      <c r="AZ1319">
        <v>43.15</v>
      </c>
      <c r="BA1319">
        <v>0.21</v>
      </c>
      <c r="BB1319" t="s">
        <v>143</v>
      </c>
      <c r="BF1319">
        <v>0.99</v>
      </c>
      <c r="BG1319">
        <v>0.84</v>
      </c>
      <c r="BH1319">
        <v>-1.33</v>
      </c>
      <c r="BI1319">
        <v>1.1000000000000001</v>
      </c>
      <c r="BJ1319">
        <v>20210722</v>
      </c>
      <c r="BK1319">
        <v>20191203</v>
      </c>
      <c r="BL1319">
        <v>1.63</v>
      </c>
      <c r="BM1319" t="s">
        <v>120</v>
      </c>
      <c r="BN1319" t="s">
        <v>120</v>
      </c>
      <c r="BO1319">
        <v>12.1</v>
      </c>
      <c r="BP1319">
        <v>35</v>
      </c>
      <c r="BQ1319">
        <v>8.9600000000000009</v>
      </c>
      <c r="BR1319">
        <v>0.08</v>
      </c>
      <c r="BS1319">
        <v>25.3</v>
      </c>
      <c r="BT1319">
        <v>9.42</v>
      </c>
      <c r="BU1319">
        <v>1.34</v>
      </c>
      <c r="BV1319">
        <v>0.05</v>
      </c>
      <c r="BW1319">
        <v>2.96</v>
      </c>
      <c r="BX1319">
        <v>4.37</v>
      </c>
      <c r="BY1319">
        <v>0.03</v>
      </c>
      <c r="BZ1319">
        <v>3.31</v>
      </c>
      <c r="CA1319" t="s">
        <v>120</v>
      </c>
      <c r="CB1319">
        <v>4.37</v>
      </c>
      <c r="CC1319">
        <v>8.9600000000000009</v>
      </c>
      <c r="CD1319">
        <v>7.23</v>
      </c>
      <c r="CE1319">
        <v>0.86</v>
      </c>
      <c r="CF1319">
        <v>0.01</v>
      </c>
      <c r="CG1319">
        <v>0.86</v>
      </c>
      <c r="CH1319">
        <v>0.74</v>
      </c>
      <c r="CI1319">
        <v>0.74</v>
      </c>
      <c r="CJ1319">
        <v>0.22</v>
      </c>
      <c r="CK1319">
        <v>0.69</v>
      </c>
      <c r="CL1319">
        <v>2.44</v>
      </c>
      <c r="CM1319">
        <v>-1.59</v>
      </c>
      <c r="CN1319">
        <v>-2.42</v>
      </c>
      <c r="CO1319">
        <v>4500</v>
      </c>
      <c r="CP1319">
        <v>15485</v>
      </c>
      <c r="CQ1319" t="s">
        <v>7125</v>
      </c>
      <c r="CR1319">
        <v>38.36</v>
      </c>
      <c r="CS1319">
        <v>58</v>
      </c>
      <c r="CT1319">
        <v>6.36</v>
      </c>
      <c r="CU1319">
        <v>-35.9</v>
      </c>
      <c r="CV1319">
        <v>6.36</v>
      </c>
      <c r="CW1319">
        <v>1.04</v>
      </c>
      <c r="CX1319" t="s">
        <v>1631</v>
      </c>
      <c r="CY1319">
        <v>5.5</v>
      </c>
      <c r="CZ1319">
        <v>0</v>
      </c>
      <c r="DA1319">
        <v>2.68</v>
      </c>
      <c r="DB1319">
        <v>1.5</v>
      </c>
      <c r="DC1319">
        <v>-0.97</v>
      </c>
      <c r="DD1319">
        <v>74.06</v>
      </c>
      <c r="DE1319" t="s">
        <v>7126</v>
      </c>
      <c r="DF1319">
        <v>19.32</v>
      </c>
      <c r="DG1319">
        <v>9.64</v>
      </c>
      <c r="DH1319">
        <v>8.3000000000000007</v>
      </c>
      <c r="DI1319" t="s">
        <v>120</v>
      </c>
      <c r="DJ1319">
        <v>24629</v>
      </c>
      <c r="DK1319">
        <v>2968</v>
      </c>
      <c r="DL1319" t="s">
        <v>120</v>
      </c>
      <c r="DM1319" t="s">
        <v>120</v>
      </c>
      <c r="DN1319" t="s">
        <v>120</v>
      </c>
    </row>
    <row r="1320" spans="1:118">
      <c r="A1320" t="str">
        <f>"002969"</f>
        <v>002969</v>
      </c>
      <c r="B1320" t="s">
        <v>7127</v>
      </c>
      <c r="C1320">
        <v>1.65</v>
      </c>
      <c r="D1320">
        <v>0</v>
      </c>
      <c r="E1320">
        <v>-1.1000000000000001</v>
      </c>
      <c r="F1320">
        <v>1185</v>
      </c>
      <c r="G1320" t="s">
        <v>7128</v>
      </c>
      <c r="H1320">
        <v>6167.08</v>
      </c>
      <c r="I1320">
        <v>89.37</v>
      </c>
      <c r="J1320" t="s">
        <v>120</v>
      </c>
      <c r="K1320" t="s">
        <v>2744</v>
      </c>
      <c r="L1320">
        <v>2.4900000000000002</v>
      </c>
      <c r="M1320">
        <v>5.55</v>
      </c>
      <c r="N1320">
        <v>1.42</v>
      </c>
      <c r="O1320">
        <v>4.76</v>
      </c>
      <c r="P1320">
        <v>5.72</v>
      </c>
      <c r="Q1320">
        <v>-1.1000000000000001</v>
      </c>
      <c r="R1320">
        <v>5.4</v>
      </c>
      <c r="S1320">
        <v>5.4</v>
      </c>
      <c r="T1320">
        <v>110552</v>
      </c>
      <c r="U1320">
        <v>5.56</v>
      </c>
      <c r="V1320">
        <v>5.46</v>
      </c>
      <c r="W1320">
        <v>36.43</v>
      </c>
      <c r="X1320" t="s">
        <v>339</v>
      </c>
      <c r="Y1320" t="s">
        <v>570</v>
      </c>
      <c r="Z1320">
        <v>5.86</v>
      </c>
      <c r="AA1320">
        <v>5.58</v>
      </c>
      <c r="AB1320">
        <v>50231</v>
      </c>
      <c r="AC1320">
        <v>60321</v>
      </c>
      <c r="AD1320">
        <v>0.83</v>
      </c>
      <c r="AE1320">
        <v>176</v>
      </c>
      <c r="AF1320">
        <v>702</v>
      </c>
      <c r="AG1320" t="s">
        <v>120</v>
      </c>
      <c r="AH1320">
        <v>0.08</v>
      </c>
      <c r="AI1320" t="s">
        <v>120</v>
      </c>
      <c r="AJ1320">
        <v>4.4400000000000004</v>
      </c>
      <c r="AK1320" t="s">
        <v>7129</v>
      </c>
      <c r="AL1320">
        <v>3.56</v>
      </c>
      <c r="AM1320">
        <v>1802</v>
      </c>
      <c r="AN1320">
        <v>61</v>
      </c>
      <c r="AO1320">
        <v>1.4E-3</v>
      </c>
      <c r="AP1320">
        <v>2</v>
      </c>
      <c r="AQ1320">
        <v>0.92</v>
      </c>
      <c r="AR1320">
        <v>-0.36</v>
      </c>
      <c r="AS1320">
        <v>9.0399999999999991</v>
      </c>
      <c r="AT1320">
        <v>12.81</v>
      </c>
      <c r="AU1320">
        <v>-1.94</v>
      </c>
      <c r="AV1320">
        <v>5</v>
      </c>
      <c r="AW1320">
        <v>5.56</v>
      </c>
      <c r="AX1320">
        <v>20.7</v>
      </c>
      <c r="AY1320">
        <v>39</v>
      </c>
      <c r="AZ1320">
        <v>151.81</v>
      </c>
      <c r="BA1320">
        <v>0.28000000000000003</v>
      </c>
      <c r="BB1320" t="s">
        <v>143</v>
      </c>
      <c r="BF1320">
        <v>2.17</v>
      </c>
      <c r="BG1320">
        <v>2.78</v>
      </c>
      <c r="BH1320">
        <v>-2.97</v>
      </c>
      <c r="BI1320">
        <v>2.78</v>
      </c>
      <c r="BJ1320">
        <v>20210910</v>
      </c>
      <c r="BK1320">
        <v>20191202</v>
      </c>
      <c r="BL1320">
        <v>9.6</v>
      </c>
      <c r="BM1320" t="s">
        <v>120</v>
      </c>
      <c r="BN1320" t="s">
        <v>120</v>
      </c>
      <c r="BO1320">
        <v>35.46</v>
      </c>
      <c r="BP1320">
        <v>5.55</v>
      </c>
      <c r="BQ1320">
        <v>21.65</v>
      </c>
      <c r="BR1320" t="s">
        <v>120</v>
      </c>
      <c r="BS1320">
        <v>38.94</v>
      </c>
      <c r="BT1320">
        <v>12.97</v>
      </c>
      <c r="BU1320">
        <v>18.059999999999999</v>
      </c>
      <c r="BV1320">
        <v>1.87</v>
      </c>
      <c r="BW1320">
        <v>12.54</v>
      </c>
      <c r="BX1320">
        <v>4.46</v>
      </c>
      <c r="BY1320">
        <v>4.46</v>
      </c>
      <c r="BZ1320">
        <v>3.44</v>
      </c>
      <c r="CA1320" t="s">
        <v>120</v>
      </c>
      <c r="CB1320">
        <v>7.45</v>
      </c>
      <c r="CC1320">
        <v>14.29</v>
      </c>
      <c r="CD1320">
        <v>12.32</v>
      </c>
      <c r="CE1320">
        <v>0.95</v>
      </c>
      <c r="CF1320">
        <v>0</v>
      </c>
      <c r="CG1320">
        <v>0.94</v>
      </c>
      <c r="CH1320">
        <v>0.73</v>
      </c>
      <c r="CI1320">
        <v>0.73</v>
      </c>
      <c r="CJ1320">
        <v>0.09</v>
      </c>
      <c r="CK1320">
        <v>0.71</v>
      </c>
      <c r="CL1320">
        <v>4.32</v>
      </c>
      <c r="CM1320">
        <v>1.67</v>
      </c>
      <c r="CN1320">
        <v>-1.3</v>
      </c>
      <c r="CO1320">
        <v>20626</v>
      </c>
      <c r="CP1320">
        <v>9636</v>
      </c>
      <c r="CQ1320" t="s">
        <v>2603</v>
      </c>
      <c r="CR1320">
        <v>373.33</v>
      </c>
      <c r="CS1320">
        <v>144.87</v>
      </c>
      <c r="CT1320">
        <v>2.46</v>
      </c>
      <c r="CU1320">
        <v>31.92</v>
      </c>
      <c r="CV1320">
        <v>3.73</v>
      </c>
      <c r="CW1320">
        <v>0.18</v>
      </c>
      <c r="CX1320" t="s">
        <v>7130</v>
      </c>
      <c r="CY1320">
        <v>2.25</v>
      </c>
      <c r="CZ1320">
        <v>0</v>
      </c>
      <c r="DA1320">
        <v>0.78</v>
      </c>
      <c r="DB1320">
        <v>0.45</v>
      </c>
      <c r="DC1320">
        <v>0.17</v>
      </c>
      <c r="DD1320">
        <v>61.06</v>
      </c>
      <c r="DE1320" t="s">
        <v>543</v>
      </c>
      <c r="DF1320">
        <v>13.75</v>
      </c>
      <c r="DG1320">
        <v>6.63</v>
      </c>
      <c r="DH1320">
        <v>5.12</v>
      </c>
      <c r="DI1320">
        <v>0.04</v>
      </c>
      <c r="DJ1320">
        <v>2549</v>
      </c>
      <c r="DK1320">
        <v>2969</v>
      </c>
      <c r="DL1320" t="s">
        <v>120</v>
      </c>
      <c r="DM1320" t="s">
        <v>120</v>
      </c>
      <c r="DN1320" t="s">
        <v>120</v>
      </c>
    </row>
    <row r="1321" spans="1:118">
      <c r="A1321" t="str">
        <f>"002970"</f>
        <v>002970</v>
      </c>
      <c r="B1321" t="s">
        <v>7131</v>
      </c>
      <c r="C1321">
        <v>-1.43</v>
      </c>
      <c r="D1321">
        <v>0</v>
      </c>
      <c r="E1321">
        <v>0.66</v>
      </c>
      <c r="F1321">
        <v>94</v>
      </c>
      <c r="G1321" t="s">
        <v>7132</v>
      </c>
      <c r="H1321">
        <v>2874.9</v>
      </c>
      <c r="I1321">
        <v>33.82</v>
      </c>
      <c r="J1321" t="s">
        <v>120</v>
      </c>
      <c r="K1321" t="s">
        <v>7133</v>
      </c>
      <c r="L1321">
        <v>0.77</v>
      </c>
      <c r="M1321">
        <v>43.58</v>
      </c>
      <c r="N1321">
        <v>0.85</v>
      </c>
      <c r="O1321">
        <v>2.15</v>
      </c>
      <c r="P1321">
        <v>45.16</v>
      </c>
      <c r="Q1321">
        <v>-2.2799999999999998</v>
      </c>
      <c r="R1321">
        <v>43.2</v>
      </c>
      <c r="S1321">
        <v>44.5</v>
      </c>
      <c r="T1321">
        <v>6547</v>
      </c>
      <c r="U1321">
        <v>43.6</v>
      </c>
      <c r="V1321">
        <v>44.21</v>
      </c>
      <c r="W1321">
        <v>71.58</v>
      </c>
      <c r="X1321" t="s">
        <v>462</v>
      </c>
      <c r="Y1321" t="s">
        <v>123</v>
      </c>
      <c r="Z1321">
        <v>4.43</v>
      </c>
      <c r="AA1321">
        <v>43.91</v>
      </c>
      <c r="AB1321">
        <v>3663</v>
      </c>
      <c r="AC1321">
        <v>2884</v>
      </c>
      <c r="AD1321">
        <v>1.27</v>
      </c>
      <c r="AE1321">
        <v>21</v>
      </c>
      <c r="AF1321">
        <v>29</v>
      </c>
      <c r="AG1321" t="s">
        <v>120</v>
      </c>
      <c r="AH1321">
        <v>0.01</v>
      </c>
      <c r="AI1321" t="s">
        <v>120</v>
      </c>
      <c r="AJ1321">
        <v>0.85</v>
      </c>
      <c r="AK1321" t="s">
        <v>7134</v>
      </c>
      <c r="AL1321">
        <v>0.49</v>
      </c>
      <c r="AM1321">
        <v>883</v>
      </c>
      <c r="AN1321">
        <v>7</v>
      </c>
      <c r="AO1321">
        <v>8.9999999999999998E-4</v>
      </c>
      <c r="AP1321">
        <v>-2</v>
      </c>
      <c r="AQ1321">
        <v>-1.8</v>
      </c>
      <c r="AR1321">
        <v>-3.2</v>
      </c>
      <c r="AS1321">
        <v>-0.93</v>
      </c>
      <c r="AT1321">
        <v>4.6100000000000003</v>
      </c>
      <c r="AU1321">
        <v>-17.010000000000002</v>
      </c>
      <c r="AV1321">
        <v>3</v>
      </c>
      <c r="AW1321">
        <v>1.18</v>
      </c>
      <c r="AX1321">
        <v>31.93</v>
      </c>
      <c r="AY1321">
        <v>37.89</v>
      </c>
      <c r="AZ1321">
        <v>32.590000000000003</v>
      </c>
      <c r="BA1321">
        <v>0.86</v>
      </c>
      <c r="BB1321" t="s">
        <v>143</v>
      </c>
      <c r="BF1321">
        <v>-0.67</v>
      </c>
      <c r="BG1321">
        <v>-2.0699999999999998</v>
      </c>
      <c r="BH1321">
        <v>-3.5</v>
      </c>
      <c r="BI1321">
        <v>0.88</v>
      </c>
      <c r="BJ1321">
        <v>20210831</v>
      </c>
      <c r="BK1321">
        <v>20191217</v>
      </c>
      <c r="BL1321">
        <v>1.73</v>
      </c>
      <c r="BM1321" t="s">
        <v>120</v>
      </c>
      <c r="BN1321" t="s">
        <v>120</v>
      </c>
      <c r="BO1321">
        <v>25.3</v>
      </c>
      <c r="BP1321">
        <v>43.58</v>
      </c>
      <c r="BQ1321">
        <v>15.2</v>
      </c>
      <c r="BR1321">
        <v>0.27</v>
      </c>
      <c r="BS1321">
        <v>38.840000000000003</v>
      </c>
      <c r="BT1321">
        <v>19.86</v>
      </c>
      <c r="BU1321">
        <v>1.94</v>
      </c>
      <c r="BV1321">
        <v>0.33</v>
      </c>
      <c r="BW1321">
        <v>9.19</v>
      </c>
      <c r="BX1321">
        <v>4.58</v>
      </c>
      <c r="BY1321">
        <v>5.78</v>
      </c>
      <c r="BZ1321">
        <v>4.33</v>
      </c>
      <c r="CA1321" t="s">
        <v>120</v>
      </c>
      <c r="CB1321">
        <v>7.32</v>
      </c>
      <c r="CC1321">
        <v>8.42</v>
      </c>
      <c r="CD1321">
        <v>5.25</v>
      </c>
      <c r="CE1321">
        <v>0.52</v>
      </c>
      <c r="CF1321">
        <v>0.02</v>
      </c>
      <c r="CG1321">
        <v>0.52</v>
      </c>
      <c r="CH1321">
        <v>0.49</v>
      </c>
      <c r="CI1321">
        <v>0.53</v>
      </c>
      <c r="CJ1321">
        <v>-0.63</v>
      </c>
      <c r="CK1321">
        <v>0.39</v>
      </c>
      <c r="CL1321">
        <v>5.6</v>
      </c>
      <c r="CM1321">
        <v>-0.81</v>
      </c>
      <c r="CN1321">
        <v>-5.03</v>
      </c>
      <c r="CO1321">
        <v>15289</v>
      </c>
      <c r="CP1321">
        <v>3616</v>
      </c>
      <c r="CQ1321" t="s">
        <v>7135</v>
      </c>
      <c r="CR1321">
        <v>-38.4</v>
      </c>
      <c r="CS1321">
        <v>36.83</v>
      </c>
      <c r="CT1321">
        <v>4.96</v>
      </c>
      <c r="CU1321">
        <v>-93.56</v>
      </c>
      <c r="CV1321">
        <v>8.9600000000000009</v>
      </c>
      <c r="CW1321">
        <v>1.1299999999999999</v>
      </c>
      <c r="CX1321" t="s">
        <v>1340</v>
      </c>
      <c r="CY1321">
        <v>8.7799999999999994</v>
      </c>
      <c r="CZ1321">
        <v>8.7799999999999994</v>
      </c>
      <c r="DA1321">
        <v>4.2300000000000004</v>
      </c>
      <c r="DB1321">
        <v>3.23</v>
      </c>
      <c r="DC1321">
        <v>-0.47</v>
      </c>
      <c r="DD1321">
        <v>60.09</v>
      </c>
      <c r="DE1321" t="s">
        <v>2135</v>
      </c>
      <c r="DF1321">
        <v>37.619999999999997</v>
      </c>
      <c r="DG1321">
        <v>6.22</v>
      </c>
      <c r="DH1321">
        <v>6.26</v>
      </c>
      <c r="DI1321">
        <v>1.24</v>
      </c>
      <c r="DJ1321">
        <v>2069</v>
      </c>
      <c r="DK1321">
        <v>2970</v>
      </c>
      <c r="DL1321" t="s">
        <v>120</v>
      </c>
      <c r="DM1321" t="s">
        <v>120</v>
      </c>
      <c r="DN1321" t="s">
        <v>120</v>
      </c>
    </row>
    <row r="1322" spans="1:118">
      <c r="A1322" t="str">
        <f>"002971"</f>
        <v>002971</v>
      </c>
      <c r="B1322" t="s">
        <v>7136</v>
      </c>
      <c r="C1322">
        <v>-0.1</v>
      </c>
      <c r="D1322">
        <v>0</v>
      </c>
      <c r="E1322">
        <v>0.26</v>
      </c>
      <c r="F1322">
        <v>125</v>
      </c>
      <c r="G1322" t="s">
        <v>7137</v>
      </c>
      <c r="H1322">
        <v>4356.2700000000004</v>
      </c>
      <c r="I1322">
        <v>19.28</v>
      </c>
      <c r="J1322" t="s">
        <v>120</v>
      </c>
      <c r="K1322" t="s">
        <v>6903</v>
      </c>
      <c r="L1322">
        <v>2.1</v>
      </c>
      <c r="M1322">
        <v>19.399999999999999</v>
      </c>
      <c r="N1322">
        <v>0.97</v>
      </c>
      <c r="O1322">
        <v>2.99</v>
      </c>
      <c r="P1322">
        <v>20</v>
      </c>
      <c r="Q1322">
        <v>-1.1299999999999999</v>
      </c>
      <c r="R1322">
        <v>19.2</v>
      </c>
      <c r="S1322">
        <v>19.47</v>
      </c>
      <c r="T1322">
        <v>22177</v>
      </c>
      <c r="U1322">
        <v>19.41</v>
      </c>
      <c r="V1322">
        <v>19.420000000000002</v>
      </c>
      <c r="W1322">
        <v>36.94</v>
      </c>
      <c r="X1322" t="s">
        <v>868</v>
      </c>
      <c r="Y1322" t="s">
        <v>763</v>
      </c>
      <c r="Z1322">
        <v>4.12</v>
      </c>
      <c r="AA1322">
        <v>19.64</v>
      </c>
      <c r="AB1322">
        <v>10340</v>
      </c>
      <c r="AC1322">
        <v>11837</v>
      </c>
      <c r="AD1322">
        <v>0.87</v>
      </c>
      <c r="AE1322">
        <v>42</v>
      </c>
      <c r="AF1322">
        <v>13</v>
      </c>
      <c r="AG1322" t="s">
        <v>120</v>
      </c>
      <c r="AH1322">
        <v>0.02</v>
      </c>
      <c r="AI1322" t="s">
        <v>120</v>
      </c>
      <c r="AJ1322">
        <v>1.06</v>
      </c>
      <c r="AK1322" t="s">
        <v>7138</v>
      </c>
      <c r="AL1322">
        <v>1.81</v>
      </c>
      <c r="AM1322">
        <v>1341</v>
      </c>
      <c r="AN1322">
        <v>17</v>
      </c>
      <c r="AO1322">
        <v>1.6000000000000001E-3</v>
      </c>
      <c r="AP1322">
        <v>-2</v>
      </c>
      <c r="AQ1322">
        <v>-0.1</v>
      </c>
      <c r="AR1322">
        <v>0.06</v>
      </c>
      <c r="AS1322">
        <v>-7.05</v>
      </c>
      <c r="AT1322">
        <v>11.81</v>
      </c>
      <c r="AU1322">
        <v>11.05</v>
      </c>
      <c r="AV1322">
        <v>4</v>
      </c>
      <c r="AW1322">
        <v>3.66</v>
      </c>
      <c r="AX1322">
        <v>37.89</v>
      </c>
      <c r="AY1322">
        <v>33.46</v>
      </c>
      <c r="AZ1322">
        <v>35.68</v>
      </c>
      <c r="BA1322">
        <v>0.57999999999999996</v>
      </c>
      <c r="BB1322" t="s">
        <v>143</v>
      </c>
      <c r="BF1322">
        <v>1.1499999999999999</v>
      </c>
      <c r="BG1322">
        <v>-0.36</v>
      </c>
      <c r="BH1322">
        <v>-3</v>
      </c>
      <c r="BI1322">
        <v>1.04</v>
      </c>
      <c r="BJ1322">
        <v>20210812</v>
      </c>
      <c r="BK1322">
        <v>20200113</v>
      </c>
      <c r="BL1322">
        <v>1.6</v>
      </c>
      <c r="BM1322" t="s">
        <v>120</v>
      </c>
      <c r="BN1322" t="s">
        <v>120</v>
      </c>
      <c r="BO1322">
        <v>20.88</v>
      </c>
      <c r="BP1322">
        <v>19.399999999999999</v>
      </c>
      <c r="BQ1322">
        <v>10.97</v>
      </c>
      <c r="BR1322" t="s">
        <v>120</v>
      </c>
      <c r="BS1322">
        <v>47.47</v>
      </c>
      <c r="BT1322">
        <v>7.23</v>
      </c>
      <c r="BU1322">
        <v>5.68</v>
      </c>
      <c r="BV1322">
        <v>0.43</v>
      </c>
      <c r="BW1322">
        <v>8.8000000000000007</v>
      </c>
      <c r="BX1322">
        <v>1.75</v>
      </c>
      <c r="BY1322">
        <v>0.3</v>
      </c>
      <c r="BZ1322">
        <v>1.9</v>
      </c>
      <c r="CA1322" t="s">
        <v>120</v>
      </c>
      <c r="CB1322">
        <v>4.9000000000000004</v>
      </c>
      <c r="CC1322">
        <v>4.78</v>
      </c>
      <c r="CD1322">
        <v>3.16</v>
      </c>
      <c r="CE1322">
        <v>0.47</v>
      </c>
      <c r="CF1322">
        <v>0</v>
      </c>
      <c r="CG1322">
        <v>0.5</v>
      </c>
      <c r="CH1322">
        <v>0.42</v>
      </c>
      <c r="CI1322">
        <v>0.42</v>
      </c>
      <c r="CJ1322">
        <v>-0.02</v>
      </c>
      <c r="CK1322">
        <v>0.34</v>
      </c>
      <c r="CL1322">
        <v>4.18</v>
      </c>
      <c r="CM1322">
        <v>0.03</v>
      </c>
      <c r="CN1322">
        <v>-1.57</v>
      </c>
      <c r="CO1322">
        <v>15606</v>
      </c>
      <c r="CP1322">
        <v>3885</v>
      </c>
      <c r="CQ1322" t="s">
        <v>2363</v>
      </c>
      <c r="CR1322">
        <v>15.93</v>
      </c>
      <c r="CS1322">
        <v>30.08</v>
      </c>
      <c r="CT1322">
        <v>2.83</v>
      </c>
      <c r="CU1322">
        <v>903.64</v>
      </c>
      <c r="CV1322">
        <v>6.5</v>
      </c>
      <c r="CW1322">
        <v>1.03</v>
      </c>
      <c r="CX1322" t="s">
        <v>670</v>
      </c>
      <c r="CY1322">
        <v>6.85</v>
      </c>
      <c r="CZ1322">
        <v>0</v>
      </c>
      <c r="DA1322">
        <v>3.06</v>
      </c>
      <c r="DB1322">
        <v>2.61</v>
      </c>
      <c r="DC1322">
        <v>0.02</v>
      </c>
      <c r="DD1322">
        <v>52.53</v>
      </c>
      <c r="DE1322" t="s">
        <v>4426</v>
      </c>
      <c r="DF1322">
        <v>33.82</v>
      </c>
      <c r="DG1322">
        <v>9.8000000000000007</v>
      </c>
      <c r="DH1322">
        <v>8.7899999999999991</v>
      </c>
      <c r="DI1322">
        <v>0.08</v>
      </c>
      <c r="DJ1322">
        <v>850</v>
      </c>
      <c r="DK1322">
        <v>2971</v>
      </c>
      <c r="DL1322" t="s">
        <v>120</v>
      </c>
      <c r="DM1322" t="s">
        <v>120</v>
      </c>
      <c r="DN1322" t="s">
        <v>120</v>
      </c>
    </row>
    <row r="1323" spans="1:118">
      <c r="A1323" t="str">
        <f>"002972"</f>
        <v>002972</v>
      </c>
      <c r="B1323" t="s">
        <v>7139</v>
      </c>
      <c r="C1323">
        <v>-0.55000000000000004</v>
      </c>
      <c r="D1323">
        <v>0.17</v>
      </c>
      <c r="E1323">
        <v>-0.94</v>
      </c>
      <c r="F1323">
        <v>71</v>
      </c>
      <c r="G1323" t="s">
        <v>7140</v>
      </c>
      <c r="H1323">
        <v>1509.88</v>
      </c>
      <c r="I1323">
        <v>3.42</v>
      </c>
      <c r="J1323" t="s">
        <v>120</v>
      </c>
      <c r="K1323" t="s">
        <v>7140</v>
      </c>
      <c r="L1323">
        <v>1.42</v>
      </c>
      <c r="M1323">
        <v>18.079999999999998</v>
      </c>
      <c r="N1323">
        <v>0.84</v>
      </c>
      <c r="O1323">
        <v>1.49</v>
      </c>
      <c r="P1323">
        <v>18.45</v>
      </c>
      <c r="Q1323">
        <v>-0.99</v>
      </c>
      <c r="R1323">
        <v>18</v>
      </c>
      <c r="S1323">
        <v>18.010000000000002</v>
      </c>
      <c r="T1323">
        <v>8311</v>
      </c>
      <c r="U1323">
        <v>18.13</v>
      </c>
      <c r="V1323">
        <v>18.18</v>
      </c>
      <c r="W1323">
        <v>21.84</v>
      </c>
      <c r="X1323" t="s">
        <v>157</v>
      </c>
      <c r="Y1323" t="s">
        <v>123</v>
      </c>
      <c r="Z1323">
        <v>2.48</v>
      </c>
      <c r="AA1323">
        <v>18.170000000000002</v>
      </c>
      <c r="AB1323">
        <v>4983</v>
      </c>
      <c r="AC1323">
        <v>3328</v>
      </c>
      <c r="AD1323">
        <v>1.5</v>
      </c>
      <c r="AE1323">
        <v>30</v>
      </c>
      <c r="AF1323">
        <v>8</v>
      </c>
      <c r="AG1323" t="s">
        <v>120</v>
      </c>
      <c r="AH1323">
        <v>0</v>
      </c>
      <c r="AI1323" t="s">
        <v>120</v>
      </c>
      <c r="AJ1323">
        <v>0.59</v>
      </c>
      <c r="AK1323" t="s">
        <v>7141</v>
      </c>
      <c r="AL1323">
        <v>1.36</v>
      </c>
      <c r="AM1323">
        <v>465</v>
      </c>
      <c r="AN1323">
        <v>18</v>
      </c>
      <c r="AO1323">
        <v>3.0999999999999999E-3</v>
      </c>
      <c r="AP1323">
        <v>-1</v>
      </c>
      <c r="AQ1323">
        <v>1.28</v>
      </c>
      <c r="AR1323">
        <v>-1.31</v>
      </c>
      <c r="AS1323">
        <v>3.02</v>
      </c>
      <c r="AT1323">
        <v>5.61</v>
      </c>
      <c r="AU1323">
        <v>4.2</v>
      </c>
      <c r="AV1323">
        <v>0</v>
      </c>
      <c r="AW1323">
        <v>1.42</v>
      </c>
      <c r="AX1323">
        <v>33.200000000000003</v>
      </c>
      <c r="AY1323">
        <v>22.04</v>
      </c>
      <c r="AZ1323">
        <v>23.33</v>
      </c>
      <c r="BA1323">
        <v>0.18</v>
      </c>
      <c r="BB1323" t="s">
        <v>143</v>
      </c>
      <c r="BF1323">
        <v>-0.08</v>
      </c>
      <c r="BG1323">
        <v>0.39</v>
      </c>
      <c r="BH1323">
        <v>-2.0099999999999998</v>
      </c>
      <c r="BI1323">
        <v>0.44</v>
      </c>
      <c r="BJ1323">
        <v>20210819</v>
      </c>
      <c r="BK1323">
        <v>20191227</v>
      </c>
      <c r="BL1323">
        <v>1.76</v>
      </c>
      <c r="BM1323" t="s">
        <v>120</v>
      </c>
      <c r="BN1323" t="s">
        <v>120</v>
      </c>
      <c r="BO1323">
        <v>13.08</v>
      </c>
      <c r="BP1323">
        <v>18.079999999999998</v>
      </c>
      <c r="BQ1323">
        <v>11.63</v>
      </c>
      <c r="BR1323">
        <v>0.01</v>
      </c>
      <c r="BS1323">
        <v>11.04</v>
      </c>
      <c r="BT1323">
        <v>11.55</v>
      </c>
      <c r="BU1323">
        <v>0.35</v>
      </c>
      <c r="BV1323">
        <v>0.03</v>
      </c>
      <c r="BW1323">
        <v>1.27</v>
      </c>
      <c r="BX1323">
        <v>3.08</v>
      </c>
      <c r="BY1323">
        <v>0.9</v>
      </c>
      <c r="BZ1323">
        <v>3.82</v>
      </c>
      <c r="CA1323" t="s">
        <v>120</v>
      </c>
      <c r="CB1323">
        <v>4.68</v>
      </c>
      <c r="CC1323">
        <v>1.91</v>
      </c>
      <c r="CD1323">
        <v>0.71</v>
      </c>
      <c r="CE1323">
        <v>0.83</v>
      </c>
      <c r="CF1323">
        <v>0.03</v>
      </c>
      <c r="CG1323">
        <v>0.83</v>
      </c>
      <c r="CH1323">
        <v>0.73</v>
      </c>
      <c r="CI1323">
        <v>0.73</v>
      </c>
      <c r="CJ1323">
        <v>-0.1</v>
      </c>
      <c r="CK1323">
        <v>0.67</v>
      </c>
      <c r="CL1323">
        <v>4.82</v>
      </c>
      <c r="CM1323">
        <v>-0.25</v>
      </c>
      <c r="CN1323">
        <v>-3.74</v>
      </c>
      <c r="CO1323">
        <v>13713</v>
      </c>
      <c r="CP1323">
        <v>4269</v>
      </c>
      <c r="CQ1323" t="s">
        <v>3971</v>
      </c>
      <c r="CR1323">
        <v>12.43</v>
      </c>
      <c r="CS1323">
        <v>10.5</v>
      </c>
      <c r="CT1323">
        <v>2.74</v>
      </c>
      <c r="CU1323">
        <v>-127.75</v>
      </c>
      <c r="CV1323">
        <v>16.71</v>
      </c>
      <c r="CW1323">
        <v>1.0900000000000001</v>
      </c>
      <c r="CX1323" t="s">
        <v>803</v>
      </c>
      <c r="CY1323">
        <v>6.6</v>
      </c>
      <c r="CZ1323">
        <v>0</v>
      </c>
      <c r="DA1323">
        <v>2.65</v>
      </c>
      <c r="DB1323">
        <v>2.73</v>
      </c>
      <c r="DC1323">
        <v>-0.14000000000000001</v>
      </c>
      <c r="DD1323">
        <v>88.92</v>
      </c>
      <c r="DE1323" t="s">
        <v>4446</v>
      </c>
      <c r="DF1323">
        <v>62.88</v>
      </c>
      <c r="DG1323">
        <v>43.54</v>
      </c>
      <c r="DH1323">
        <v>38.26</v>
      </c>
      <c r="DI1323">
        <v>0.18</v>
      </c>
      <c r="DJ1323">
        <v>357</v>
      </c>
      <c r="DK1323">
        <v>2972</v>
      </c>
      <c r="DL1323" t="s">
        <v>120</v>
      </c>
      <c r="DM1323" t="s">
        <v>120</v>
      </c>
      <c r="DN1323" t="s">
        <v>120</v>
      </c>
    </row>
    <row r="1324" spans="1:118">
      <c r="A1324" t="str">
        <f>"002973"</f>
        <v>002973</v>
      </c>
      <c r="B1324" t="s">
        <v>7142</v>
      </c>
      <c r="C1324">
        <v>2.06</v>
      </c>
      <c r="D1324">
        <v>0</v>
      </c>
      <c r="E1324">
        <v>0.26</v>
      </c>
      <c r="F1324">
        <v>155</v>
      </c>
      <c r="G1324" t="s">
        <v>7143</v>
      </c>
      <c r="H1324">
        <v>3545.33</v>
      </c>
      <c r="I1324">
        <v>0.47</v>
      </c>
      <c r="J1324" t="s">
        <v>120</v>
      </c>
      <c r="K1324" t="s">
        <v>7143</v>
      </c>
      <c r="L1324">
        <v>2.0699999999999998</v>
      </c>
      <c r="M1324">
        <v>15.89</v>
      </c>
      <c r="N1324">
        <v>1.48</v>
      </c>
      <c r="O1324">
        <v>5.91</v>
      </c>
      <c r="P1324">
        <v>16.489999999999998</v>
      </c>
      <c r="Q1324">
        <v>0.26</v>
      </c>
      <c r="R1324">
        <v>15.61</v>
      </c>
      <c r="S1324">
        <v>15.61</v>
      </c>
      <c r="T1324">
        <v>21993</v>
      </c>
      <c r="U1324">
        <v>15.89</v>
      </c>
      <c r="V1324">
        <v>15.57</v>
      </c>
      <c r="W1324">
        <v>21.6</v>
      </c>
      <c r="X1324" t="s">
        <v>318</v>
      </c>
      <c r="Y1324" t="s">
        <v>547</v>
      </c>
      <c r="Z1324">
        <v>5.65</v>
      </c>
      <c r="AA1324">
        <v>16.12</v>
      </c>
      <c r="AB1324">
        <v>9868</v>
      </c>
      <c r="AC1324">
        <v>12125</v>
      </c>
      <c r="AD1324">
        <v>0.81</v>
      </c>
      <c r="AE1324">
        <v>119</v>
      </c>
      <c r="AF1324">
        <v>30</v>
      </c>
      <c r="AG1324" t="s">
        <v>120</v>
      </c>
      <c r="AH1324">
        <v>0</v>
      </c>
      <c r="AI1324" t="s">
        <v>120</v>
      </c>
      <c r="AJ1324">
        <v>1.06</v>
      </c>
      <c r="AK1324" t="s">
        <v>7144</v>
      </c>
      <c r="AL1324">
        <v>3.97</v>
      </c>
      <c r="AM1324">
        <v>1268</v>
      </c>
      <c r="AN1324">
        <v>17</v>
      </c>
      <c r="AO1324">
        <v>1.6000000000000001E-3</v>
      </c>
      <c r="AP1324">
        <v>1</v>
      </c>
      <c r="AQ1324">
        <v>-1.77</v>
      </c>
      <c r="AR1324">
        <v>-1.86</v>
      </c>
      <c r="AS1324">
        <v>1.34</v>
      </c>
      <c r="AT1324">
        <v>-1.36</v>
      </c>
      <c r="AU1324">
        <v>-20.149999999999999</v>
      </c>
      <c r="AV1324">
        <v>0</v>
      </c>
      <c r="AW1324">
        <v>2.0699999999999998</v>
      </c>
      <c r="AX1324">
        <v>26.05</v>
      </c>
      <c r="AY1324">
        <v>18.739999999999998</v>
      </c>
      <c r="AZ1324">
        <v>16.940000000000001</v>
      </c>
      <c r="BA1324">
        <v>0.46</v>
      </c>
      <c r="BB1324" t="s">
        <v>2411</v>
      </c>
      <c r="BF1324">
        <v>3.53</v>
      </c>
      <c r="BG1324">
        <v>1.79</v>
      </c>
      <c r="BH1324">
        <v>-3.64</v>
      </c>
      <c r="BI1324">
        <v>1.79</v>
      </c>
      <c r="BJ1324">
        <v>20210820</v>
      </c>
      <c r="BK1324">
        <v>20200106</v>
      </c>
      <c r="BL1324">
        <v>4.09</v>
      </c>
      <c r="BM1324" t="s">
        <v>120</v>
      </c>
      <c r="BN1324" t="s">
        <v>120</v>
      </c>
      <c r="BO1324">
        <v>50.92</v>
      </c>
      <c r="BP1324">
        <v>15.88</v>
      </c>
      <c r="BQ1324">
        <v>15.56</v>
      </c>
      <c r="BR1324">
        <v>2.78</v>
      </c>
      <c r="BS1324">
        <v>63.98</v>
      </c>
      <c r="BT1324">
        <v>24.61</v>
      </c>
      <c r="BU1324">
        <v>7.87</v>
      </c>
      <c r="BV1324">
        <v>12.64</v>
      </c>
      <c r="BW1324">
        <v>21.72</v>
      </c>
      <c r="BX1324">
        <v>6.21</v>
      </c>
      <c r="BY1324">
        <v>0</v>
      </c>
      <c r="BZ1324">
        <v>5.56</v>
      </c>
      <c r="CA1324" t="s">
        <v>120</v>
      </c>
      <c r="CB1324">
        <v>2.67</v>
      </c>
      <c r="CC1324">
        <v>15.58</v>
      </c>
      <c r="CD1324">
        <v>11.66</v>
      </c>
      <c r="CE1324">
        <v>1.87</v>
      </c>
      <c r="CF1324">
        <v>0</v>
      </c>
      <c r="CG1324">
        <v>1.85</v>
      </c>
      <c r="CH1324">
        <v>1.77</v>
      </c>
      <c r="CI1324">
        <v>1.5</v>
      </c>
      <c r="CJ1324">
        <v>0.32</v>
      </c>
      <c r="CK1324">
        <v>1.51</v>
      </c>
      <c r="CL1324">
        <v>8.07</v>
      </c>
      <c r="CM1324">
        <v>2.04</v>
      </c>
      <c r="CN1324">
        <v>-0.37</v>
      </c>
      <c r="CO1324">
        <v>16420</v>
      </c>
      <c r="CP1324">
        <v>6484</v>
      </c>
      <c r="CQ1324" t="s">
        <v>1232</v>
      </c>
      <c r="CR1324">
        <v>-19.37</v>
      </c>
      <c r="CS1324">
        <v>7.41</v>
      </c>
      <c r="CT1324">
        <v>4.25</v>
      </c>
      <c r="CU1324">
        <v>31.83</v>
      </c>
      <c r="CV1324">
        <v>4.17</v>
      </c>
      <c r="CW1324">
        <v>0.64</v>
      </c>
      <c r="CX1324" t="s">
        <v>709</v>
      </c>
      <c r="CY1324">
        <v>3.74</v>
      </c>
      <c r="CZ1324">
        <v>3.74</v>
      </c>
      <c r="DA1324">
        <v>0.65</v>
      </c>
      <c r="DB1324">
        <v>1.97</v>
      </c>
      <c r="DC1324">
        <v>0.5</v>
      </c>
      <c r="DD1324">
        <v>30.56</v>
      </c>
      <c r="DE1324" t="s">
        <v>7145</v>
      </c>
      <c r="DF1324">
        <v>25.2</v>
      </c>
      <c r="DG1324">
        <v>12.02</v>
      </c>
      <c r="DH1324">
        <v>9.65</v>
      </c>
      <c r="DI1324">
        <v>0.04</v>
      </c>
      <c r="DJ1324">
        <v>44510</v>
      </c>
      <c r="DK1324">
        <v>2973</v>
      </c>
      <c r="DL1324" t="s">
        <v>120</v>
      </c>
      <c r="DM1324" t="s">
        <v>120</v>
      </c>
      <c r="DN1324" t="s">
        <v>120</v>
      </c>
    </row>
    <row r="1325" spans="1:118">
      <c r="A1325" t="str">
        <f>"002975"</f>
        <v>002975</v>
      </c>
      <c r="B1325" t="s">
        <v>7146</v>
      </c>
      <c r="C1325">
        <v>-5.15</v>
      </c>
      <c r="D1325">
        <v>0</v>
      </c>
      <c r="E1325">
        <v>0.53</v>
      </c>
      <c r="F1325">
        <v>173</v>
      </c>
      <c r="G1325" t="s">
        <v>7147</v>
      </c>
      <c r="H1325">
        <v>7966.83</v>
      </c>
      <c r="I1325">
        <v>35.950000000000003</v>
      </c>
      <c r="J1325" t="s">
        <v>120</v>
      </c>
      <c r="K1325" t="s">
        <v>7147</v>
      </c>
      <c r="L1325">
        <v>3.6</v>
      </c>
      <c r="M1325">
        <v>55.61</v>
      </c>
      <c r="N1325">
        <v>1.62</v>
      </c>
      <c r="O1325">
        <v>0.63</v>
      </c>
      <c r="P1325">
        <v>59</v>
      </c>
      <c r="Q1325">
        <v>-5.25</v>
      </c>
      <c r="R1325">
        <v>55.55</v>
      </c>
      <c r="S1325">
        <v>58.94</v>
      </c>
      <c r="T1325">
        <v>14010</v>
      </c>
      <c r="U1325">
        <v>55.61</v>
      </c>
      <c r="V1325">
        <v>58.63</v>
      </c>
      <c r="W1325">
        <v>38.1</v>
      </c>
      <c r="X1325" t="s">
        <v>675</v>
      </c>
      <c r="Y1325" t="s">
        <v>547</v>
      </c>
      <c r="Z1325">
        <v>5.88</v>
      </c>
      <c r="AA1325">
        <v>56.86</v>
      </c>
      <c r="AB1325">
        <v>8325</v>
      </c>
      <c r="AC1325">
        <v>5685</v>
      </c>
      <c r="AD1325">
        <v>1.46</v>
      </c>
      <c r="AE1325">
        <v>12</v>
      </c>
      <c r="AF1325">
        <v>20</v>
      </c>
      <c r="AG1325" t="s">
        <v>120</v>
      </c>
      <c r="AH1325">
        <v>0.02</v>
      </c>
      <c r="AI1325" t="s">
        <v>120</v>
      </c>
      <c r="AJ1325">
        <v>0.39</v>
      </c>
      <c r="AK1325" t="s">
        <v>7148</v>
      </c>
      <c r="AL1325">
        <v>-3.24</v>
      </c>
      <c r="AM1325">
        <v>1847</v>
      </c>
      <c r="AN1325">
        <v>8</v>
      </c>
      <c r="AO1325">
        <v>1.9E-3</v>
      </c>
      <c r="AP1325">
        <v>-8</v>
      </c>
      <c r="AQ1325">
        <v>-4.0599999999999996</v>
      </c>
      <c r="AR1325">
        <v>-9.0500000000000007</v>
      </c>
      <c r="AS1325">
        <v>-15.83</v>
      </c>
      <c r="AT1325">
        <v>-33.380000000000003</v>
      </c>
      <c r="AU1325">
        <v>-49.62</v>
      </c>
      <c r="AV1325">
        <v>5</v>
      </c>
      <c r="AW1325">
        <v>3.6</v>
      </c>
      <c r="AX1325">
        <v>27.87</v>
      </c>
      <c r="AY1325">
        <v>22.84</v>
      </c>
      <c r="AZ1325">
        <v>24</v>
      </c>
      <c r="BA1325">
        <v>0.5</v>
      </c>
      <c r="BB1325" t="s">
        <v>1723</v>
      </c>
      <c r="BF1325">
        <v>-3.01</v>
      </c>
      <c r="BG1325">
        <v>-5.65</v>
      </c>
      <c r="BH1325">
        <v>-5.75</v>
      </c>
      <c r="BI1325">
        <v>0.11</v>
      </c>
      <c r="BJ1325">
        <v>20210904</v>
      </c>
      <c r="BK1325">
        <v>20200205</v>
      </c>
      <c r="BL1325">
        <v>1.4</v>
      </c>
      <c r="BM1325" t="s">
        <v>120</v>
      </c>
      <c r="BN1325" t="s">
        <v>120</v>
      </c>
      <c r="BO1325">
        <v>17.27</v>
      </c>
      <c r="BP1325">
        <v>55.6</v>
      </c>
      <c r="BQ1325">
        <v>13.54</v>
      </c>
      <c r="BR1325">
        <v>0.2</v>
      </c>
      <c r="BS1325">
        <v>20.45</v>
      </c>
      <c r="BT1325">
        <v>14.02</v>
      </c>
      <c r="BU1325">
        <v>0.43</v>
      </c>
      <c r="BV1325">
        <v>0.5</v>
      </c>
      <c r="BW1325">
        <v>3.39</v>
      </c>
      <c r="BX1325">
        <v>4.83</v>
      </c>
      <c r="BY1325">
        <v>2.62</v>
      </c>
      <c r="BZ1325">
        <v>3.51</v>
      </c>
      <c r="CA1325" t="s">
        <v>120</v>
      </c>
      <c r="CB1325">
        <v>7.28</v>
      </c>
      <c r="CC1325">
        <v>5.46</v>
      </c>
      <c r="CD1325">
        <v>2.76</v>
      </c>
      <c r="CE1325">
        <v>1.1599999999999999</v>
      </c>
      <c r="CF1325">
        <v>0.06</v>
      </c>
      <c r="CG1325">
        <v>1.1599999999999999</v>
      </c>
      <c r="CH1325">
        <v>1.06</v>
      </c>
      <c r="CI1325">
        <v>1.02</v>
      </c>
      <c r="CJ1325">
        <v>-3.02</v>
      </c>
      <c r="CK1325">
        <v>0.93</v>
      </c>
      <c r="CL1325">
        <v>4.78</v>
      </c>
      <c r="CM1325">
        <v>0.54</v>
      </c>
      <c r="CN1325">
        <v>0.81</v>
      </c>
      <c r="CO1325">
        <v>18691</v>
      </c>
      <c r="CP1325">
        <v>2083</v>
      </c>
      <c r="CQ1325" t="s">
        <v>2971</v>
      </c>
      <c r="CR1325">
        <v>20.440000000000001</v>
      </c>
      <c r="CS1325">
        <v>27.17</v>
      </c>
      <c r="CT1325">
        <v>5.74</v>
      </c>
      <c r="CU1325">
        <v>144.87</v>
      </c>
      <c r="CV1325">
        <v>14.23</v>
      </c>
      <c r="CW1325">
        <v>1.25</v>
      </c>
      <c r="CX1325" t="s">
        <v>6967</v>
      </c>
      <c r="CY1325">
        <v>9.69</v>
      </c>
      <c r="CZ1325">
        <v>0</v>
      </c>
      <c r="DA1325">
        <v>5.21</v>
      </c>
      <c r="DB1325">
        <v>3.42</v>
      </c>
      <c r="DC1325">
        <v>0.38</v>
      </c>
      <c r="DD1325">
        <v>78.39</v>
      </c>
      <c r="DE1325" t="s">
        <v>2798</v>
      </c>
      <c r="DF1325">
        <v>49.41</v>
      </c>
      <c r="DG1325">
        <v>21.19</v>
      </c>
      <c r="DH1325">
        <v>18.68</v>
      </c>
      <c r="DI1325">
        <v>0.68</v>
      </c>
      <c r="DJ1325">
        <v>2041</v>
      </c>
      <c r="DK1325">
        <v>2975</v>
      </c>
      <c r="DL1325" t="s">
        <v>120</v>
      </c>
      <c r="DM1325" t="s">
        <v>120</v>
      </c>
      <c r="DN1325" t="s">
        <v>120</v>
      </c>
    </row>
    <row r="1326" spans="1:118">
      <c r="A1326" t="str">
        <f>"002976"</f>
        <v>002976</v>
      </c>
      <c r="B1326" t="s">
        <v>7149</v>
      </c>
      <c r="C1326">
        <v>-3.21</v>
      </c>
      <c r="D1326">
        <v>-0.04</v>
      </c>
      <c r="E1326">
        <v>0.32</v>
      </c>
      <c r="F1326">
        <v>472</v>
      </c>
      <c r="G1326" t="s">
        <v>7150</v>
      </c>
      <c r="H1326">
        <v>3340.95</v>
      </c>
      <c r="I1326">
        <v>14.45</v>
      </c>
      <c r="J1326" t="s">
        <v>120</v>
      </c>
      <c r="K1326" t="s">
        <v>7150</v>
      </c>
      <c r="L1326">
        <v>4.41</v>
      </c>
      <c r="M1326">
        <v>21.13</v>
      </c>
      <c r="N1326">
        <v>0.65</v>
      </c>
      <c r="O1326">
        <v>1.56</v>
      </c>
      <c r="P1326">
        <v>22.17</v>
      </c>
      <c r="Q1326">
        <v>-3.39</v>
      </c>
      <c r="R1326">
        <v>21.09</v>
      </c>
      <c r="S1326">
        <v>21.9</v>
      </c>
      <c r="T1326">
        <v>15543</v>
      </c>
      <c r="U1326">
        <v>21.13</v>
      </c>
      <c r="V1326">
        <v>21.83</v>
      </c>
      <c r="W1326">
        <v>49.29</v>
      </c>
      <c r="X1326" t="s">
        <v>229</v>
      </c>
      <c r="Y1326" t="s">
        <v>319</v>
      </c>
      <c r="Z1326">
        <v>4.95</v>
      </c>
      <c r="AA1326">
        <v>21.5</v>
      </c>
      <c r="AB1326">
        <v>9942</v>
      </c>
      <c r="AC1326">
        <v>5601</v>
      </c>
      <c r="AD1326">
        <v>1.78</v>
      </c>
      <c r="AE1326">
        <v>12</v>
      </c>
      <c r="AF1326">
        <v>84</v>
      </c>
      <c r="AG1326" t="s">
        <v>120</v>
      </c>
      <c r="AH1326">
        <v>0.02</v>
      </c>
      <c r="AI1326" t="s">
        <v>120</v>
      </c>
      <c r="AJ1326">
        <v>0.35</v>
      </c>
      <c r="AK1326" t="s">
        <v>2590</v>
      </c>
      <c r="AL1326">
        <v>-1.29</v>
      </c>
      <c r="AM1326">
        <v>1262</v>
      </c>
      <c r="AN1326">
        <v>12</v>
      </c>
      <c r="AO1326">
        <v>3.5000000000000001E-3</v>
      </c>
      <c r="AP1326">
        <v>-1</v>
      </c>
      <c r="AQ1326">
        <v>0.6</v>
      </c>
      <c r="AR1326">
        <v>-6.5</v>
      </c>
      <c r="AS1326">
        <v>0.76</v>
      </c>
      <c r="AT1326">
        <v>-13.12</v>
      </c>
      <c r="AU1326">
        <v>-3.15</v>
      </c>
      <c r="AV1326">
        <v>5</v>
      </c>
      <c r="AW1326">
        <v>4.41</v>
      </c>
      <c r="AX1326">
        <v>29.39</v>
      </c>
      <c r="AY1326">
        <v>50.22</v>
      </c>
      <c r="AZ1326">
        <v>47.18</v>
      </c>
      <c r="BA1326">
        <v>0.71</v>
      </c>
      <c r="BB1326" t="s">
        <v>143</v>
      </c>
      <c r="BF1326">
        <v>-1.53</v>
      </c>
      <c r="BG1326">
        <v>-3.52</v>
      </c>
      <c r="BH1326">
        <v>-4.6900000000000004</v>
      </c>
      <c r="BI1326">
        <v>0.19</v>
      </c>
      <c r="BJ1326">
        <v>20210831</v>
      </c>
      <c r="BK1326">
        <v>20200306</v>
      </c>
      <c r="BL1326">
        <v>1.2</v>
      </c>
      <c r="BM1326" t="s">
        <v>120</v>
      </c>
      <c r="BN1326" t="s">
        <v>120</v>
      </c>
      <c r="BO1326">
        <v>11.2</v>
      </c>
      <c r="BP1326">
        <v>21.12</v>
      </c>
      <c r="BQ1326">
        <v>7.71</v>
      </c>
      <c r="BR1326">
        <v>0.05</v>
      </c>
      <c r="BS1326">
        <v>30.7</v>
      </c>
      <c r="BT1326">
        <v>8.09</v>
      </c>
      <c r="BU1326">
        <v>2.09</v>
      </c>
      <c r="BV1326">
        <v>0.36</v>
      </c>
      <c r="BW1326">
        <v>2.2799999999999998</v>
      </c>
      <c r="BX1326">
        <v>2.2999999999999998</v>
      </c>
      <c r="BY1326">
        <v>1.59</v>
      </c>
      <c r="BZ1326">
        <v>1.94</v>
      </c>
      <c r="CA1326" t="s">
        <v>120</v>
      </c>
      <c r="CB1326">
        <v>4.42</v>
      </c>
      <c r="CC1326">
        <v>3.51</v>
      </c>
      <c r="CD1326">
        <v>2.67</v>
      </c>
      <c r="CE1326">
        <v>0.25</v>
      </c>
      <c r="CF1326">
        <v>0.02</v>
      </c>
      <c r="CG1326">
        <v>0.28000000000000003</v>
      </c>
      <c r="CH1326">
        <v>0.25</v>
      </c>
      <c r="CI1326">
        <v>0.26</v>
      </c>
      <c r="CJ1326">
        <v>-0.7</v>
      </c>
      <c r="CK1326">
        <v>0.2</v>
      </c>
      <c r="CL1326">
        <v>1.84</v>
      </c>
      <c r="CM1326">
        <v>0.38</v>
      </c>
      <c r="CN1326">
        <v>-1.03</v>
      </c>
      <c r="CO1326">
        <v>14748</v>
      </c>
      <c r="CP1326">
        <v>2391</v>
      </c>
      <c r="CQ1326" t="s">
        <v>358</v>
      </c>
      <c r="CR1326">
        <v>-11.58</v>
      </c>
      <c r="CS1326">
        <v>42.09</v>
      </c>
      <c r="CT1326">
        <v>3.29</v>
      </c>
      <c r="CU1326">
        <v>67.45</v>
      </c>
      <c r="CV1326">
        <v>7.23</v>
      </c>
      <c r="CW1326">
        <v>0.38</v>
      </c>
      <c r="CX1326" t="s">
        <v>2097</v>
      </c>
      <c r="CY1326">
        <v>6.43</v>
      </c>
      <c r="CZ1326">
        <v>0</v>
      </c>
      <c r="DA1326">
        <v>3.68</v>
      </c>
      <c r="DB1326">
        <v>1.54</v>
      </c>
      <c r="DC1326">
        <v>0.31</v>
      </c>
      <c r="DD1326">
        <v>68.84</v>
      </c>
      <c r="DE1326" t="s">
        <v>6440</v>
      </c>
      <c r="DF1326">
        <v>23.8</v>
      </c>
      <c r="DG1326">
        <v>7.08</v>
      </c>
      <c r="DH1326">
        <v>7.33</v>
      </c>
      <c r="DI1326">
        <v>0.2</v>
      </c>
      <c r="DJ1326">
        <v>917</v>
      </c>
      <c r="DK1326">
        <v>2976</v>
      </c>
      <c r="DL1326" t="s">
        <v>120</v>
      </c>
      <c r="DM1326" t="s">
        <v>120</v>
      </c>
      <c r="DN1326" t="s">
        <v>120</v>
      </c>
    </row>
    <row r="1327" spans="1:118">
      <c r="A1327" t="str">
        <f>"002977"</f>
        <v>002977</v>
      </c>
      <c r="B1327" t="s">
        <v>7151</v>
      </c>
      <c r="C1327">
        <v>-6.04</v>
      </c>
      <c r="D1327">
        <v>7.0000000000000007E-2</v>
      </c>
      <c r="E1327">
        <v>0.56000000000000005</v>
      </c>
      <c r="F1327">
        <v>256</v>
      </c>
      <c r="G1327" t="s">
        <v>7152</v>
      </c>
      <c r="H1327">
        <v>10079.950000000001</v>
      </c>
      <c r="I1327">
        <v>23.75</v>
      </c>
      <c r="J1327" t="s">
        <v>120</v>
      </c>
      <c r="K1327" t="s">
        <v>4347</v>
      </c>
      <c r="L1327">
        <v>4</v>
      </c>
      <c r="M1327">
        <v>76.5</v>
      </c>
      <c r="N1327">
        <v>1.78</v>
      </c>
      <c r="O1327">
        <v>0.59</v>
      </c>
      <c r="P1327">
        <v>81.900000000000006</v>
      </c>
      <c r="Q1327">
        <v>-6.15</v>
      </c>
      <c r="R1327">
        <v>76.41</v>
      </c>
      <c r="S1327">
        <v>81.88</v>
      </c>
      <c r="T1327">
        <v>12828</v>
      </c>
      <c r="U1327">
        <v>76.510000000000005</v>
      </c>
      <c r="V1327">
        <v>81.42</v>
      </c>
      <c r="W1327">
        <v>56.92</v>
      </c>
      <c r="X1327" t="s">
        <v>462</v>
      </c>
      <c r="Y1327" t="s">
        <v>578</v>
      </c>
      <c r="Z1327">
        <v>6.74</v>
      </c>
      <c r="AA1327">
        <v>78.58</v>
      </c>
      <c r="AB1327">
        <v>8174</v>
      </c>
      <c r="AC1327">
        <v>4654</v>
      </c>
      <c r="AD1327">
        <v>1.76</v>
      </c>
      <c r="AE1327">
        <v>12</v>
      </c>
      <c r="AF1327">
        <v>1</v>
      </c>
      <c r="AG1327" t="s">
        <v>120</v>
      </c>
      <c r="AH1327">
        <v>0.01</v>
      </c>
      <c r="AI1327" t="s">
        <v>120</v>
      </c>
      <c r="AJ1327">
        <v>0.32</v>
      </c>
      <c r="AK1327" t="s">
        <v>7153</v>
      </c>
      <c r="AL1327">
        <v>-4.13</v>
      </c>
      <c r="AM1327">
        <v>1784</v>
      </c>
      <c r="AN1327">
        <v>7</v>
      </c>
      <c r="AO1327">
        <v>2.2000000000000001E-3</v>
      </c>
      <c r="AP1327">
        <v>-2</v>
      </c>
      <c r="AQ1327">
        <v>-1.65</v>
      </c>
      <c r="AR1327">
        <v>-7.12</v>
      </c>
      <c r="AS1327">
        <v>-16.11</v>
      </c>
      <c r="AT1327">
        <v>-12.86</v>
      </c>
      <c r="AU1327">
        <v>-44.92</v>
      </c>
      <c r="AV1327">
        <v>5</v>
      </c>
      <c r="AW1327">
        <v>5.0599999999999996</v>
      </c>
      <c r="AX1327">
        <v>35.47</v>
      </c>
      <c r="AY1327">
        <v>57.04</v>
      </c>
      <c r="AZ1327">
        <v>70.680000000000007</v>
      </c>
      <c r="BA1327">
        <v>0.54</v>
      </c>
      <c r="BB1327" t="s">
        <v>134</v>
      </c>
      <c r="BF1327">
        <v>-3.49</v>
      </c>
      <c r="BG1327">
        <v>-6.57</v>
      </c>
      <c r="BH1327">
        <v>-6.59</v>
      </c>
      <c r="BI1327">
        <v>0.12</v>
      </c>
      <c r="BJ1327">
        <v>20210913</v>
      </c>
      <c r="BK1327">
        <v>20200317</v>
      </c>
      <c r="BL1327">
        <v>0.72</v>
      </c>
      <c r="BM1327" t="s">
        <v>120</v>
      </c>
      <c r="BN1327" t="s">
        <v>120</v>
      </c>
      <c r="BO1327">
        <v>11.94</v>
      </c>
      <c r="BP1327">
        <v>76.5</v>
      </c>
      <c r="BQ1327">
        <v>9.51</v>
      </c>
      <c r="BR1327" t="s">
        <v>120</v>
      </c>
      <c r="BS1327">
        <v>20.39</v>
      </c>
      <c r="BT1327">
        <v>10.43</v>
      </c>
      <c r="BU1327">
        <v>0.03</v>
      </c>
      <c r="BV1327">
        <v>0.49</v>
      </c>
      <c r="BW1327">
        <v>2.2999999999999998</v>
      </c>
      <c r="BX1327">
        <v>3.57</v>
      </c>
      <c r="BY1327">
        <v>0.78</v>
      </c>
      <c r="BZ1327">
        <v>4.5</v>
      </c>
      <c r="CA1327" t="s">
        <v>120</v>
      </c>
      <c r="CB1327">
        <v>6.15</v>
      </c>
      <c r="CC1327">
        <v>1.67</v>
      </c>
      <c r="CD1327">
        <v>0.78</v>
      </c>
      <c r="CE1327">
        <v>0.56999999999999995</v>
      </c>
      <c r="CF1327">
        <v>0.01</v>
      </c>
      <c r="CG1327">
        <v>0.56999999999999995</v>
      </c>
      <c r="CH1327">
        <v>0.48</v>
      </c>
      <c r="CI1327">
        <v>0.48</v>
      </c>
      <c r="CJ1327">
        <v>-4.92</v>
      </c>
      <c r="CK1327">
        <v>0.43</v>
      </c>
      <c r="CL1327">
        <v>2.33</v>
      </c>
      <c r="CM1327">
        <v>-0.31</v>
      </c>
      <c r="CN1327">
        <v>-1</v>
      </c>
      <c r="CO1327">
        <v>15703</v>
      </c>
      <c r="CP1327">
        <v>1615</v>
      </c>
      <c r="CQ1327" t="s">
        <v>7154</v>
      </c>
      <c r="CR1327">
        <v>69.44</v>
      </c>
      <c r="CS1327">
        <v>84.59</v>
      </c>
      <c r="CT1327">
        <v>5.75</v>
      </c>
      <c r="CU1327">
        <v>-174.02</v>
      </c>
      <c r="CV1327">
        <v>32.78</v>
      </c>
      <c r="CW1327">
        <v>0.37</v>
      </c>
      <c r="CX1327" t="s">
        <v>1469</v>
      </c>
      <c r="CY1327">
        <v>13.3</v>
      </c>
      <c r="CZ1327">
        <v>0</v>
      </c>
      <c r="DA1327">
        <v>8.6</v>
      </c>
      <c r="DB1327">
        <v>3.26</v>
      </c>
      <c r="DC1327">
        <v>-0.44</v>
      </c>
      <c r="DD1327">
        <v>79.61</v>
      </c>
      <c r="DE1327" t="s">
        <v>710</v>
      </c>
      <c r="DF1327">
        <v>53.16</v>
      </c>
      <c r="DG1327">
        <v>33.880000000000003</v>
      </c>
      <c r="DH1327">
        <v>28.8</v>
      </c>
      <c r="DI1327">
        <v>0.05</v>
      </c>
      <c r="DJ1327">
        <v>165</v>
      </c>
      <c r="DK1327">
        <v>2977</v>
      </c>
      <c r="DL1327" t="s">
        <v>120</v>
      </c>
      <c r="DM1327" t="s">
        <v>120</v>
      </c>
      <c r="DN1327" t="s">
        <v>120</v>
      </c>
    </row>
    <row r="1328" spans="1:118">
      <c r="A1328" t="str">
        <f>"002978"</f>
        <v>002978</v>
      </c>
      <c r="B1328" t="s">
        <v>7155</v>
      </c>
      <c r="C1328">
        <v>-3.42</v>
      </c>
      <c r="D1328">
        <v>-0.01</v>
      </c>
      <c r="E1328">
        <v>0.14000000000000001</v>
      </c>
      <c r="F1328">
        <v>496</v>
      </c>
      <c r="G1328" t="s">
        <v>5820</v>
      </c>
      <c r="H1328">
        <v>33805.760000000002</v>
      </c>
      <c r="I1328">
        <v>125.82</v>
      </c>
      <c r="J1328" t="s">
        <v>120</v>
      </c>
      <c r="K1328" t="s">
        <v>7156</v>
      </c>
      <c r="L1328">
        <v>6.09</v>
      </c>
      <c r="M1328">
        <v>56.97</v>
      </c>
      <c r="N1328">
        <v>1.18</v>
      </c>
      <c r="O1328">
        <v>2.34</v>
      </c>
      <c r="P1328">
        <v>60.37</v>
      </c>
      <c r="Q1328">
        <v>-3.73</v>
      </c>
      <c r="R1328">
        <v>56.79</v>
      </c>
      <c r="S1328">
        <v>59.07</v>
      </c>
      <c r="T1328">
        <v>57856</v>
      </c>
      <c r="U1328">
        <v>56.97</v>
      </c>
      <c r="V1328">
        <v>58.99</v>
      </c>
      <c r="W1328">
        <v>14.98</v>
      </c>
      <c r="X1328" t="s">
        <v>1390</v>
      </c>
      <c r="Y1328" t="s">
        <v>578</v>
      </c>
      <c r="Z1328">
        <v>6.07</v>
      </c>
      <c r="AA1328">
        <v>58.43</v>
      </c>
      <c r="AB1328">
        <v>34584</v>
      </c>
      <c r="AC1328">
        <v>23272</v>
      </c>
      <c r="AD1328">
        <v>1.49</v>
      </c>
      <c r="AE1328">
        <v>3</v>
      </c>
      <c r="AF1328">
        <v>83</v>
      </c>
      <c r="AG1328" t="s">
        <v>120</v>
      </c>
      <c r="AH1328">
        <v>0.03</v>
      </c>
      <c r="AI1328" t="s">
        <v>120</v>
      </c>
      <c r="AJ1328">
        <v>0.95</v>
      </c>
      <c r="AK1328" t="s">
        <v>7157</v>
      </c>
      <c r="AL1328">
        <v>-1.51</v>
      </c>
      <c r="AM1328">
        <v>3455</v>
      </c>
      <c r="AN1328">
        <v>17</v>
      </c>
      <c r="AO1328">
        <v>1.8E-3</v>
      </c>
      <c r="AP1328">
        <v>-1</v>
      </c>
      <c r="AQ1328">
        <v>4.28</v>
      </c>
      <c r="AR1328">
        <v>-2.59</v>
      </c>
      <c r="AS1328">
        <v>12.26</v>
      </c>
      <c r="AT1328">
        <v>-5.34</v>
      </c>
      <c r="AU1328">
        <v>29.18</v>
      </c>
      <c r="AV1328">
        <v>1</v>
      </c>
      <c r="AW1328">
        <v>9.48</v>
      </c>
      <c r="AX1328">
        <v>15.21</v>
      </c>
      <c r="AY1328">
        <v>21.32</v>
      </c>
      <c r="AZ1328">
        <v>33.770000000000003</v>
      </c>
      <c r="BA1328">
        <v>0.56999999999999995</v>
      </c>
      <c r="BB1328" t="s">
        <v>751</v>
      </c>
      <c r="BF1328">
        <v>-0.95</v>
      </c>
      <c r="BG1328">
        <v>-3.56</v>
      </c>
      <c r="BH1328">
        <v>-5.63</v>
      </c>
      <c r="BI1328">
        <v>0.32</v>
      </c>
      <c r="BJ1328">
        <v>20210901</v>
      </c>
      <c r="BK1328">
        <v>20200417</v>
      </c>
      <c r="BL1328">
        <v>4.01</v>
      </c>
      <c r="BM1328" t="s">
        <v>120</v>
      </c>
      <c r="BN1328" t="s">
        <v>120</v>
      </c>
      <c r="BO1328">
        <v>53.28</v>
      </c>
      <c r="BP1328">
        <v>56.96</v>
      </c>
      <c r="BQ1328">
        <v>46.21</v>
      </c>
      <c r="BR1328" t="s">
        <v>120</v>
      </c>
      <c r="BS1328">
        <v>13.27</v>
      </c>
      <c r="BT1328">
        <v>28.84</v>
      </c>
      <c r="BU1328">
        <v>9.86</v>
      </c>
      <c r="BV1328">
        <v>3.02</v>
      </c>
      <c r="BW1328">
        <v>5.39</v>
      </c>
      <c r="BX1328">
        <v>11.2</v>
      </c>
      <c r="BY1328">
        <v>0.75</v>
      </c>
      <c r="BZ1328">
        <v>0.14000000000000001</v>
      </c>
      <c r="CA1328" t="s">
        <v>120</v>
      </c>
      <c r="CB1328">
        <v>10.25</v>
      </c>
      <c r="CC1328">
        <v>12.15</v>
      </c>
      <c r="CD1328">
        <v>2.84</v>
      </c>
      <c r="CE1328">
        <v>8.92</v>
      </c>
      <c r="CF1328">
        <v>0.83</v>
      </c>
      <c r="CG1328">
        <v>8.92</v>
      </c>
      <c r="CH1328">
        <v>7.63</v>
      </c>
      <c r="CI1328">
        <v>7.63</v>
      </c>
      <c r="CJ1328">
        <v>-2.02</v>
      </c>
      <c r="CK1328">
        <v>7.42</v>
      </c>
      <c r="CL1328">
        <v>28.9</v>
      </c>
      <c r="CM1328">
        <v>2.52</v>
      </c>
      <c r="CN1328">
        <v>-0.01</v>
      </c>
      <c r="CO1328">
        <v>23341</v>
      </c>
      <c r="CP1328">
        <v>2613</v>
      </c>
      <c r="CQ1328" t="s">
        <v>3844</v>
      </c>
      <c r="CR1328">
        <v>115.71</v>
      </c>
      <c r="CS1328">
        <v>42.98</v>
      </c>
      <c r="CT1328">
        <v>4.9400000000000004</v>
      </c>
      <c r="CU1328">
        <v>90.63</v>
      </c>
      <c r="CV1328">
        <v>18.8</v>
      </c>
      <c r="CW1328">
        <v>2.97</v>
      </c>
      <c r="CX1328" t="s">
        <v>7158</v>
      </c>
      <c r="CY1328">
        <v>11.52</v>
      </c>
      <c r="CZ1328">
        <v>0</v>
      </c>
      <c r="DA1328">
        <v>2.56</v>
      </c>
      <c r="DB1328">
        <v>7.21</v>
      </c>
      <c r="DC1328">
        <v>0.63</v>
      </c>
      <c r="DD1328">
        <v>86.73</v>
      </c>
      <c r="DE1328" t="s">
        <v>7159</v>
      </c>
      <c r="DF1328">
        <v>76.64</v>
      </c>
      <c r="DG1328">
        <v>73.45</v>
      </c>
      <c r="DH1328">
        <v>62.78</v>
      </c>
      <c r="DI1328">
        <v>0.32</v>
      </c>
      <c r="DJ1328">
        <v>1019</v>
      </c>
      <c r="DK1328">
        <v>2978</v>
      </c>
      <c r="DL1328" t="s">
        <v>120</v>
      </c>
      <c r="DM1328" t="s">
        <v>120</v>
      </c>
      <c r="DN1328" t="s">
        <v>120</v>
      </c>
    </row>
    <row r="1329" spans="1:118">
      <c r="A1329" t="str">
        <f>"002979"</f>
        <v>002979</v>
      </c>
      <c r="B1329" t="s">
        <v>7160</v>
      </c>
      <c r="C1329">
        <v>0.69</v>
      </c>
      <c r="D1329">
        <v>0</v>
      </c>
      <c r="E1329">
        <v>0</v>
      </c>
      <c r="F1329">
        <v>395</v>
      </c>
      <c r="G1329" t="s">
        <v>7161</v>
      </c>
      <c r="H1329">
        <v>7587.99</v>
      </c>
      <c r="I1329">
        <v>17.68</v>
      </c>
      <c r="J1329" t="s">
        <v>120</v>
      </c>
      <c r="K1329" t="s">
        <v>5863</v>
      </c>
      <c r="L1329">
        <v>1.65</v>
      </c>
      <c r="M1329">
        <v>29.18</v>
      </c>
      <c r="N1329">
        <v>0.92</v>
      </c>
      <c r="O1329">
        <v>1.45</v>
      </c>
      <c r="P1329">
        <v>29.4</v>
      </c>
      <c r="Q1329">
        <v>-0.97</v>
      </c>
      <c r="R1329">
        <v>28.7</v>
      </c>
      <c r="S1329">
        <v>28.98</v>
      </c>
      <c r="T1329">
        <v>26048</v>
      </c>
      <c r="U1329">
        <v>29.19</v>
      </c>
      <c r="V1329">
        <v>28.98</v>
      </c>
      <c r="W1329">
        <v>33.369999999999997</v>
      </c>
      <c r="X1329" t="s">
        <v>675</v>
      </c>
      <c r="Y1329" t="s">
        <v>123</v>
      </c>
      <c r="Z1329">
        <v>2.42</v>
      </c>
      <c r="AA1329">
        <v>29.13</v>
      </c>
      <c r="AB1329">
        <v>13088</v>
      </c>
      <c r="AC1329">
        <v>12960</v>
      </c>
      <c r="AD1329">
        <v>1.01</v>
      </c>
      <c r="AE1329">
        <v>132</v>
      </c>
      <c r="AF1329">
        <v>74</v>
      </c>
      <c r="AG1329" t="s">
        <v>120</v>
      </c>
      <c r="AH1329">
        <v>0</v>
      </c>
      <c r="AI1329" t="s">
        <v>120</v>
      </c>
      <c r="AJ1329">
        <v>1.57</v>
      </c>
      <c r="AK1329" t="s">
        <v>7162</v>
      </c>
      <c r="AL1329">
        <v>2.6</v>
      </c>
      <c r="AM1329">
        <v>2114</v>
      </c>
      <c r="AN1329">
        <v>12</v>
      </c>
      <c r="AO1329">
        <v>8.0000000000000004E-4</v>
      </c>
      <c r="AP1329">
        <v>3</v>
      </c>
      <c r="AQ1329">
        <v>1.47</v>
      </c>
      <c r="AR1329">
        <v>2.78</v>
      </c>
      <c r="AS1329">
        <v>-16.23</v>
      </c>
      <c r="AT1329">
        <v>0.24</v>
      </c>
      <c r="AU1329">
        <v>-3.49</v>
      </c>
      <c r="AV1329">
        <v>4</v>
      </c>
      <c r="AW1329">
        <v>1.97</v>
      </c>
      <c r="AX1329">
        <v>43.8</v>
      </c>
      <c r="AY1329">
        <v>40.700000000000003</v>
      </c>
      <c r="AZ1329">
        <v>49.66</v>
      </c>
      <c r="BA1329">
        <v>1.1000000000000001</v>
      </c>
      <c r="BB1329" t="s">
        <v>143</v>
      </c>
      <c r="BF1329">
        <v>0.52</v>
      </c>
      <c r="BG1329">
        <v>0.69</v>
      </c>
      <c r="BH1329">
        <v>-0.75</v>
      </c>
      <c r="BI1329">
        <v>1.67</v>
      </c>
      <c r="BJ1329">
        <v>20210913</v>
      </c>
      <c r="BK1329">
        <v>20200408</v>
      </c>
      <c r="BL1329">
        <v>3.02</v>
      </c>
      <c r="BM1329" t="s">
        <v>120</v>
      </c>
      <c r="BN1329" t="s">
        <v>120</v>
      </c>
      <c r="BO1329">
        <v>16.329999999999998</v>
      </c>
      <c r="BP1329">
        <v>29.18</v>
      </c>
      <c r="BQ1329">
        <v>11.18</v>
      </c>
      <c r="BR1329">
        <v>0.32</v>
      </c>
      <c r="BS1329">
        <v>29.58</v>
      </c>
      <c r="BT1329">
        <v>12.53</v>
      </c>
      <c r="BU1329">
        <v>0.92</v>
      </c>
      <c r="BV1329">
        <v>0.18</v>
      </c>
      <c r="BW1329">
        <v>4.6900000000000004</v>
      </c>
      <c r="BX1329">
        <v>2.68</v>
      </c>
      <c r="BY1329">
        <v>3.4</v>
      </c>
      <c r="BZ1329">
        <v>3.18</v>
      </c>
      <c r="CA1329" t="s">
        <v>120</v>
      </c>
      <c r="CB1329">
        <v>4.03</v>
      </c>
      <c r="CC1329">
        <v>6.44</v>
      </c>
      <c r="CD1329">
        <v>3.7</v>
      </c>
      <c r="CE1329">
        <v>1.51</v>
      </c>
      <c r="CF1329">
        <v>-0.01</v>
      </c>
      <c r="CG1329">
        <v>1.51</v>
      </c>
      <c r="CH1329">
        <v>1.4</v>
      </c>
      <c r="CI1329">
        <v>1.32</v>
      </c>
      <c r="CJ1329">
        <v>0.2</v>
      </c>
      <c r="CK1329">
        <v>1.23</v>
      </c>
      <c r="CL1329">
        <v>3.46</v>
      </c>
      <c r="CM1329">
        <v>0.71</v>
      </c>
      <c r="CN1329">
        <v>-2.61</v>
      </c>
      <c r="CO1329">
        <v>18972</v>
      </c>
      <c r="CP1329">
        <v>6964</v>
      </c>
      <c r="CQ1329" t="s">
        <v>7163</v>
      </c>
      <c r="CR1329">
        <v>41.64</v>
      </c>
      <c r="CS1329">
        <v>47.98</v>
      </c>
      <c r="CT1329">
        <v>7.87</v>
      </c>
      <c r="CU1329">
        <v>124.83</v>
      </c>
      <c r="CV1329">
        <v>13.66</v>
      </c>
      <c r="CW1329">
        <v>1.19</v>
      </c>
      <c r="CX1329" t="s">
        <v>194</v>
      </c>
      <c r="CY1329">
        <v>3.71</v>
      </c>
      <c r="CZ1329">
        <v>0</v>
      </c>
      <c r="DA1329">
        <v>1.34</v>
      </c>
      <c r="DB1329">
        <v>1.1499999999999999</v>
      </c>
      <c r="DC1329">
        <v>0.23</v>
      </c>
      <c r="DD1329">
        <v>68.47</v>
      </c>
      <c r="DE1329" t="s">
        <v>7164</v>
      </c>
      <c r="DF1329">
        <v>42.59</v>
      </c>
      <c r="DG1329">
        <v>23.48</v>
      </c>
      <c r="DH1329">
        <v>20.47</v>
      </c>
      <c r="DI1329">
        <v>0.63</v>
      </c>
      <c r="DJ1329">
        <v>846</v>
      </c>
      <c r="DK1329">
        <v>2979</v>
      </c>
      <c r="DL1329" t="s">
        <v>120</v>
      </c>
      <c r="DM1329" t="s">
        <v>120</v>
      </c>
      <c r="DN1329" t="s">
        <v>120</v>
      </c>
    </row>
    <row r="1330" spans="1:118">
      <c r="A1330" t="str">
        <f>"002980"</f>
        <v>002980</v>
      </c>
      <c r="B1330" t="s">
        <v>7165</v>
      </c>
      <c r="C1330">
        <v>0.45</v>
      </c>
      <c r="D1330">
        <v>0.19</v>
      </c>
      <c r="E1330">
        <v>-0.13</v>
      </c>
      <c r="F1330">
        <v>150</v>
      </c>
      <c r="G1330" t="s">
        <v>5894</v>
      </c>
      <c r="H1330">
        <v>989.65</v>
      </c>
      <c r="I1330">
        <v>0.31</v>
      </c>
      <c r="J1330" t="s">
        <v>120</v>
      </c>
      <c r="K1330" t="s">
        <v>5894</v>
      </c>
      <c r="L1330">
        <v>0.95</v>
      </c>
      <c r="M1330">
        <v>31.43</v>
      </c>
      <c r="N1330">
        <v>0.94</v>
      </c>
      <c r="O1330">
        <v>0.67</v>
      </c>
      <c r="P1330">
        <v>31.5</v>
      </c>
      <c r="Q1330">
        <v>-0.8</v>
      </c>
      <c r="R1330">
        <v>31.04</v>
      </c>
      <c r="S1330">
        <v>31.25</v>
      </c>
      <c r="T1330">
        <v>3165</v>
      </c>
      <c r="U1330">
        <v>31.43</v>
      </c>
      <c r="V1330">
        <v>31.29</v>
      </c>
      <c r="W1330">
        <v>24.39</v>
      </c>
      <c r="X1330" t="s">
        <v>2717</v>
      </c>
      <c r="Y1330" t="s">
        <v>123</v>
      </c>
      <c r="Z1330">
        <v>1.47</v>
      </c>
      <c r="AA1330">
        <v>31.27</v>
      </c>
      <c r="AB1330">
        <v>1471</v>
      </c>
      <c r="AC1330">
        <v>1694</v>
      </c>
      <c r="AD1330">
        <v>0.87</v>
      </c>
      <c r="AE1330">
        <v>2</v>
      </c>
      <c r="AF1330">
        <v>10</v>
      </c>
      <c r="AG1330" t="s">
        <v>120</v>
      </c>
      <c r="AH1330">
        <v>0</v>
      </c>
      <c r="AI1330" t="s">
        <v>120</v>
      </c>
      <c r="AJ1330">
        <v>0.33</v>
      </c>
      <c r="AK1330" t="s">
        <v>7166</v>
      </c>
      <c r="AL1330">
        <v>2.36</v>
      </c>
      <c r="AM1330">
        <v>433</v>
      </c>
      <c r="AN1330">
        <v>7</v>
      </c>
      <c r="AO1330">
        <v>2.2000000000000001E-3</v>
      </c>
      <c r="AP1330">
        <v>2</v>
      </c>
      <c r="AQ1330">
        <v>0.22</v>
      </c>
      <c r="AR1330">
        <v>-0.54</v>
      </c>
      <c r="AS1330">
        <v>0.8</v>
      </c>
      <c r="AT1330">
        <v>-12.98</v>
      </c>
      <c r="AU1330">
        <v>-28.57</v>
      </c>
      <c r="AV1330">
        <v>2</v>
      </c>
      <c r="AW1330">
        <v>0.95</v>
      </c>
      <c r="AX1330">
        <v>25</v>
      </c>
      <c r="AY1330">
        <v>26.65</v>
      </c>
      <c r="AZ1330">
        <v>12.36</v>
      </c>
      <c r="BA1330">
        <v>0.67</v>
      </c>
      <c r="BB1330" t="s">
        <v>143</v>
      </c>
      <c r="BF1330">
        <v>-0.08</v>
      </c>
      <c r="BG1330">
        <v>0.57999999999999996</v>
      </c>
      <c r="BH1330">
        <v>-0.22</v>
      </c>
      <c r="BI1330">
        <v>1.26</v>
      </c>
      <c r="BJ1330">
        <v>20210830</v>
      </c>
      <c r="BK1330">
        <v>20200415</v>
      </c>
      <c r="BL1330">
        <v>1.33</v>
      </c>
      <c r="BM1330" t="s">
        <v>120</v>
      </c>
      <c r="BN1330" t="s">
        <v>120</v>
      </c>
      <c r="BO1330">
        <v>11.66</v>
      </c>
      <c r="BP1330">
        <v>31.35</v>
      </c>
      <c r="BQ1330">
        <v>9.98</v>
      </c>
      <c r="BR1330">
        <v>0</v>
      </c>
      <c r="BS1330">
        <v>14.44</v>
      </c>
      <c r="BT1330">
        <v>10.61</v>
      </c>
      <c r="BU1330">
        <v>0.22</v>
      </c>
      <c r="BV1330">
        <v>0.05</v>
      </c>
      <c r="BW1330">
        <v>1.3</v>
      </c>
      <c r="BX1330">
        <v>5.01</v>
      </c>
      <c r="BY1330">
        <v>2.14</v>
      </c>
      <c r="BZ1330">
        <v>1.19</v>
      </c>
      <c r="CA1330" t="s">
        <v>120</v>
      </c>
      <c r="CB1330">
        <v>5.56</v>
      </c>
      <c r="CC1330">
        <v>3.57</v>
      </c>
      <c r="CD1330">
        <v>2.1</v>
      </c>
      <c r="CE1330">
        <v>0.98</v>
      </c>
      <c r="CF1330">
        <v>0.01</v>
      </c>
      <c r="CG1330">
        <v>0.98</v>
      </c>
      <c r="CH1330">
        <v>0.86</v>
      </c>
      <c r="CI1330">
        <v>0.86</v>
      </c>
      <c r="CJ1330">
        <v>0.14000000000000001</v>
      </c>
      <c r="CK1330">
        <v>0.78</v>
      </c>
      <c r="CL1330">
        <v>2.42</v>
      </c>
      <c r="CM1330">
        <v>0.25</v>
      </c>
      <c r="CN1330">
        <v>1.36</v>
      </c>
      <c r="CO1330">
        <v>19380</v>
      </c>
      <c r="CP1330">
        <v>1720</v>
      </c>
      <c r="CQ1330" t="s">
        <v>6806</v>
      </c>
      <c r="CR1330">
        <v>-67.819999999999993</v>
      </c>
      <c r="CS1330">
        <v>-40.31</v>
      </c>
      <c r="CT1330">
        <v>4.2</v>
      </c>
      <c r="CU1330">
        <v>170.11</v>
      </c>
      <c r="CV1330">
        <v>11.74</v>
      </c>
      <c r="CW1330">
        <v>3.52</v>
      </c>
      <c r="CX1330" t="s">
        <v>2039</v>
      </c>
      <c r="CY1330">
        <v>7.48</v>
      </c>
      <c r="CZ1330">
        <v>0</v>
      </c>
      <c r="DA1330">
        <v>4.17</v>
      </c>
      <c r="DB1330">
        <v>1.82</v>
      </c>
      <c r="DC1330">
        <v>0.18</v>
      </c>
      <c r="DD1330">
        <v>85.54</v>
      </c>
      <c r="DE1330" t="s">
        <v>6381</v>
      </c>
      <c r="DF1330">
        <v>41.21</v>
      </c>
      <c r="DG1330">
        <v>27.49</v>
      </c>
      <c r="DH1330">
        <v>24.06</v>
      </c>
      <c r="DI1330">
        <v>0.21</v>
      </c>
      <c r="DJ1330">
        <v>1319</v>
      </c>
      <c r="DK1330">
        <v>2980</v>
      </c>
      <c r="DL1330" t="s">
        <v>120</v>
      </c>
      <c r="DM1330" t="s">
        <v>120</v>
      </c>
      <c r="DN1330" t="s">
        <v>120</v>
      </c>
    </row>
    <row r="1331" spans="1:118">
      <c r="A1331" t="str">
        <f>"002981"</f>
        <v>002981</v>
      </c>
      <c r="B1331" t="s">
        <v>7167</v>
      </c>
      <c r="C1331">
        <v>-0.81</v>
      </c>
      <c r="D1331">
        <v>0.14000000000000001</v>
      </c>
      <c r="E1331">
        <v>0.45</v>
      </c>
      <c r="F1331">
        <v>149</v>
      </c>
      <c r="G1331" t="s">
        <v>7168</v>
      </c>
      <c r="H1331">
        <v>1639.83</v>
      </c>
      <c r="I1331">
        <v>0</v>
      </c>
      <c r="J1331" t="s">
        <v>120</v>
      </c>
      <c r="K1331" t="s">
        <v>7168</v>
      </c>
      <c r="L1331">
        <v>3.07</v>
      </c>
      <c r="M1331">
        <v>22.02</v>
      </c>
      <c r="N1331">
        <v>1.28</v>
      </c>
      <c r="O1331">
        <v>1.76</v>
      </c>
      <c r="P1331">
        <v>22.59</v>
      </c>
      <c r="Q1331">
        <v>-1.8</v>
      </c>
      <c r="R1331">
        <v>21.8</v>
      </c>
      <c r="S1331">
        <v>22.3</v>
      </c>
      <c r="T1331">
        <v>7372</v>
      </c>
      <c r="U1331">
        <v>22.02</v>
      </c>
      <c r="V1331">
        <v>22.2</v>
      </c>
      <c r="W1331">
        <v>221.99</v>
      </c>
      <c r="X1331" t="s">
        <v>229</v>
      </c>
      <c r="Y1331" t="s">
        <v>547</v>
      </c>
      <c r="Z1331">
        <v>3.56</v>
      </c>
      <c r="AA1331">
        <v>22.24</v>
      </c>
      <c r="AB1331">
        <v>3558</v>
      </c>
      <c r="AC1331">
        <v>3814</v>
      </c>
      <c r="AD1331">
        <v>0.93</v>
      </c>
      <c r="AE1331">
        <v>30</v>
      </c>
      <c r="AF1331">
        <v>3</v>
      </c>
      <c r="AG1331" t="s">
        <v>120</v>
      </c>
      <c r="AH1331">
        <v>0</v>
      </c>
      <c r="AI1331" t="s">
        <v>120</v>
      </c>
      <c r="AJ1331">
        <v>0.24</v>
      </c>
      <c r="AK1331" t="s">
        <v>7169</v>
      </c>
      <c r="AL1331">
        <v>1.1000000000000001</v>
      </c>
      <c r="AM1331">
        <v>575</v>
      </c>
      <c r="AN1331">
        <v>13</v>
      </c>
      <c r="AO1331">
        <v>5.3E-3</v>
      </c>
      <c r="AP1331">
        <v>-2</v>
      </c>
      <c r="AQ1331">
        <v>-1.25</v>
      </c>
      <c r="AR1331">
        <v>-0.86</v>
      </c>
      <c r="AS1331">
        <v>1.38</v>
      </c>
      <c r="AT1331">
        <v>-14.69</v>
      </c>
      <c r="AU1331">
        <v>-20.94</v>
      </c>
      <c r="AV1331">
        <v>3</v>
      </c>
      <c r="AW1331">
        <v>3.07</v>
      </c>
      <c r="AX1331">
        <v>25</v>
      </c>
      <c r="AY1331">
        <v>62.31</v>
      </c>
      <c r="AZ1331">
        <v>46.88</v>
      </c>
      <c r="BA1331">
        <v>0.75</v>
      </c>
      <c r="BB1331" t="s">
        <v>125</v>
      </c>
      <c r="BF1331">
        <v>0.2</v>
      </c>
      <c r="BG1331">
        <v>-1.26</v>
      </c>
      <c r="BH1331">
        <v>-2.52</v>
      </c>
      <c r="BI1331">
        <v>1.01</v>
      </c>
      <c r="BJ1331">
        <v>20210827</v>
      </c>
      <c r="BK1331">
        <v>20200417</v>
      </c>
      <c r="BL1331">
        <v>0.96</v>
      </c>
      <c r="BM1331" t="s">
        <v>120</v>
      </c>
      <c r="BN1331" t="s">
        <v>120</v>
      </c>
      <c r="BO1331">
        <v>13.2</v>
      </c>
      <c r="BP1331">
        <v>21.98</v>
      </c>
      <c r="BQ1331">
        <v>8.35</v>
      </c>
      <c r="BR1331" t="s">
        <v>120</v>
      </c>
      <c r="BS1331">
        <v>36.72</v>
      </c>
      <c r="BT1331">
        <v>8.77</v>
      </c>
      <c r="BU1331">
        <v>1.63</v>
      </c>
      <c r="BV1331">
        <v>0.7</v>
      </c>
      <c r="BW1331">
        <v>4.8</v>
      </c>
      <c r="BX1331">
        <v>1.41</v>
      </c>
      <c r="BY1331">
        <v>2.72</v>
      </c>
      <c r="BZ1331">
        <v>3.47</v>
      </c>
      <c r="CA1331" t="s">
        <v>120</v>
      </c>
      <c r="CB1331">
        <v>4.58</v>
      </c>
      <c r="CC1331">
        <v>5.85</v>
      </c>
      <c r="CD1331">
        <v>5.29</v>
      </c>
      <c r="CE1331">
        <v>0.05</v>
      </c>
      <c r="CF1331">
        <v>0.01</v>
      </c>
      <c r="CG1331">
        <v>0.05</v>
      </c>
      <c r="CH1331">
        <v>0.05</v>
      </c>
      <c r="CI1331">
        <v>0.05</v>
      </c>
      <c r="CJ1331">
        <v>-0.18</v>
      </c>
      <c r="CK1331">
        <v>0.02</v>
      </c>
      <c r="CL1331">
        <v>2.59</v>
      </c>
      <c r="CM1331">
        <v>-0.2</v>
      </c>
      <c r="CN1331">
        <v>-1.05</v>
      </c>
      <c r="CO1331">
        <v>11832</v>
      </c>
      <c r="CP1331">
        <v>2028</v>
      </c>
      <c r="CQ1331" t="s">
        <v>3511</v>
      </c>
      <c r="CR1331">
        <v>-70.28</v>
      </c>
      <c r="CS1331">
        <v>72.349999999999994</v>
      </c>
      <c r="CT1331">
        <v>2.5299999999999998</v>
      </c>
      <c r="CU1331">
        <v>-106.06</v>
      </c>
      <c r="CV1331">
        <v>3.61</v>
      </c>
      <c r="CW1331">
        <v>0.23</v>
      </c>
      <c r="CX1331" t="s">
        <v>1248</v>
      </c>
      <c r="CY1331">
        <v>8.6999999999999993</v>
      </c>
      <c r="CZ1331">
        <v>0</v>
      </c>
      <c r="DA1331">
        <v>4.7699999999999996</v>
      </c>
      <c r="DB1331">
        <v>2.7</v>
      </c>
      <c r="DC1331">
        <v>-0.21</v>
      </c>
      <c r="DD1331">
        <v>63.28</v>
      </c>
      <c r="DE1331" t="s">
        <v>7170</v>
      </c>
      <c r="DF1331">
        <v>9.64</v>
      </c>
      <c r="DG1331">
        <v>0.83</v>
      </c>
      <c r="DH1331">
        <v>0.81</v>
      </c>
      <c r="DI1331">
        <v>0.18</v>
      </c>
      <c r="DJ1331">
        <v>2997</v>
      </c>
      <c r="DK1331">
        <v>2981</v>
      </c>
      <c r="DL1331" t="s">
        <v>120</v>
      </c>
      <c r="DM1331" t="s">
        <v>120</v>
      </c>
      <c r="DN1331" t="s">
        <v>120</v>
      </c>
    </row>
    <row r="1332" spans="1:118">
      <c r="A1332" t="str">
        <f>"002982"</f>
        <v>002982</v>
      </c>
      <c r="B1332" t="s">
        <v>7171</v>
      </c>
      <c r="C1332">
        <v>5.7</v>
      </c>
      <c r="D1332">
        <v>0.08</v>
      </c>
      <c r="E1332">
        <v>0.03</v>
      </c>
      <c r="F1332">
        <v>252</v>
      </c>
      <c r="G1332" t="s">
        <v>7172</v>
      </c>
      <c r="H1332">
        <v>9981.59</v>
      </c>
      <c r="I1332">
        <v>4.67</v>
      </c>
      <c r="J1332" t="s">
        <v>120</v>
      </c>
      <c r="K1332" t="s">
        <v>6302</v>
      </c>
      <c r="L1332">
        <v>5.62</v>
      </c>
      <c r="M1332">
        <v>37.99</v>
      </c>
      <c r="N1332">
        <v>3.94</v>
      </c>
      <c r="O1332">
        <v>9.18</v>
      </c>
      <c r="P1332">
        <v>39.24</v>
      </c>
      <c r="Q1332">
        <v>-0.11</v>
      </c>
      <c r="R1332">
        <v>35.9</v>
      </c>
      <c r="S1332">
        <v>35.950000000000003</v>
      </c>
      <c r="T1332">
        <v>26502</v>
      </c>
      <c r="U1332">
        <v>38</v>
      </c>
      <c r="V1332">
        <v>35.94</v>
      </c>
      <c r="W1332" t="s">
        <v>120</v>
      </c>
      <c r="X1332" t="s">
        <v>447</v>
      </c>
      <c r="Y1332" t="s">
        <v>594</v>
      </c>
      <c r="Z1332">
        <v>9.2899999999999991</v>
      </c>
      <c r="AA1332">
        <v>37.659999999999997</v>
      </c>
      <c r="AB1332">
        <v>12499</v>
      </c>
      <c r="AC1332">
        <v>14003</v>
      </c>
      <c r="AD1332">
        <v>0.89</v>
      </c>
      <c r="AE1332">
        <v>2</v>
      </c>
      <c r="AF1332">
        <v>101</v>
      </c>
      <c r="AG1332" t="s">
        <v>120</v>
      </c>
      <c r="AH1332">
        <v>0</v>
      </c>
      <c r="AI1332" t="s">
        <v>120</v>
      </c>
      <c r="AJ1332">
        <v>0.47</v>
      </c>
      <c r="AK1332" t="s">
        <v>7084</v>
      </c>
      <c r="AL1332">
        <v>7.62</v>
      </c>
      <c r="AM1332">
        <v>2212</v>
      </c>
      <c r="AN1332">
        <v>12</v>
      </c>
      <c r="AO1332">
        <v>2.5000000000000001E-3</v>
      </c>
      <c r="AP1332">
        <v>2</v>
      </c>
      <c r="AQ1332">
        <v>0.28000000000000003</v>
      </c>
      <c r="AR1332">
        <v>4.4800000000000004</v>
      </c>
      <c r="AS1332">
        <v>-0.36</v>
      </c>
      <c r="AT1332">
        <v>-11.65</v>
      </c>
      <c r="AU1332">
        <v>-41.64</v>
      </c>
      <c r="AV1332">
        <v>3</v>
      </c>
      <c r="AW1332">
        <v>7.13</v>
      </c>
      <c r="AX1332">
        <v>36.5</v>
      </c>
      <c r="AY1332">
        <v>123.74</v>
      </c>
      <c r="AZ1332">
        <v>20.99</v>
      </c>
      <c r="BA1332">
        <v>0.74</v>
      </c>
      <c r="BB1332" t="s">
        <v>240</v>
      </c>
      <c r="BF1332">
        <v>4.79</v>
      </c>
      <c r="BG1332">
        <v>5.67</v>
      </c>
      <c r="BH1332">
        <v>-3.19</v>
      </c>
      <c r="BI1332">
        <v>5.82</v>
      </c>
      <c r="BJ1332">
        <v>20210826</v>
      </c>
      <c r="BK1332">
        <v>20200424</v>
      </c>
      <c r="BL1332">
        <v>1.02</v>
      </c>
      <c r="BM1332" t="s">
        <v>120</v>
      </c>
      <c r="BN1332" t="s">
        <v>120</v>
      </c>
      <c r="BO1332">
        <v>25.21</v>
      </c>
      <c r="BP1332">
        <v>37.99</v>
      </c>
      <c r="BQ1332">
        <v>15.79</v>
      </c>
      <c r="BR1332">
        <v>0.56000000000000005</v>
      </c>
      <c r="BS1332">
        <v>35.119999999999997</v>
      </c>
      <c r="BT1332">
        <v>9.58</v>
      </c>
      <c r="BU1332">
        <v>10.11</v>
      </c>
      <c r="BV1332">
        <v>1.04</v>
      </c>
      <c r="BW1332">
        <v>5.85</v>
      </c>
      <c r="BX1332">
        <v>3.52</v>
      </c>
      <c r="BY1332">
        <v>3.5</v>
      </c>
      <c r="BZ1332">
        <v>1.71</v>
      </c>
      <c r="CA1332" t="s">
        <v>120</v>
      </c>
      <c r="CB1332">
        <v>7.26</v>
      </c>
      <c r="CC1332">
        <v>13.95</v>
      </c>
      <c r="CD1332">
        <v>11.54</v>
      </c>
      <c r="CE1332">
        <v>-0.04</v>
      </c>
      <c r="CF1332">
        <v>0.01</v>
      </c>
      <c r="CG1332">
        <v>-0.04</v>
      </c>
      <c r="CH1332">
        <v>-0.06</v>
      </c>
      <c r="CI1332">
        <v>-0.05</v>
      </c>
      <c r="CJ1332">
        <v>2.0499999999999998</v>
      </c>
      <c r="CK1332">
        <v>-0.15</v>
      </c>
      <c r="CL1332">
        <v>7</v>
      </c>
      <c r="CM1332">
        <v>-0.82</v>
      </c>
      <c r="CN1332">
        <v>-3.1</v>
      </c>
      <c r="CO1332">
        <v>14577</v>
      </c>
      <c r="CP1332">
        <v>2551</v>
      </c>
      <c r="CQ1332" t="s">
        <v>3714</v>
      </c>
      <c r="CR1332">
        <v>-103.61</v>
      </c>
      <c r="CS1332">
        <v>41.13</v>
      </c>
      <c r="CT1332">
        <v>2.4500000000000002</v>
      </c>
      <c r="CU1332">
        <v>-47.18</v>
      </c>
      <c r="CV1332">
        <v>2.78</v>
      </c>
      <c r="CW1332">
        <v>0.56000000000000005</v>
      </c>
      <c r="CX1332" t="s">
        <v>2044</v>
      </c>
      <c r="CY1332">
        <v>15.5</v>
      </c>
      <c r="CZ1332">
        <v>0</v>
      </c>
      <c r="DA1332">
        <v>7.13</v>
      </c>
      <c r="DB1332">
        <v>6.87</v>
      </c>
      <c r="DC1332">
        <v>-0.81</v>
      </c>
      <c r="DD1332">
        <v>62.64</v>
      </c>
      <c r="DE1332" t="s">
        <v>7173</v>
      </c>
      <c r="DF1332">
        <v>17.28</v>
      </c>
      <c r="DG1332">
        <v>-0.27</v>
      </c>
      <c r="DH1332">
        <v>-0.36</v>
      </c>
      <c r="DI1332">
        <v>0.08</v>
      </c>
      <c r="DJ1332">
        <v>6801</v>
      </c>
      <c r="DK1332">
        <v>2982</v>
      </c>
      <c r="DL1332" t="s">
        <v>120</v>
      </c>
      <c r="DM1332" t="s">
        <v>120</v>
      </c>
      <c r="DN1332" t="s">
        <v>120</v>
      </c>
    </row>
    <row r="1333" spans="1:118">
      <c r="A1333" t="str">
        <f>"002983"</f>
        <v>002983</v>
      </c>
      <c r="B1333" t="s">
        <v>7174</v>
      </c>
      <c r="C1333">
        <v>-1.98</v>
      </c>
      <c r="D1333">
        <v>0</v>
      </c>
      <c r="E1333">
        <v>0.41</v>
      </c>
      <c r="F1333">
        <v>37</v>
      </c>
      <c r="G1333" t="s">
        <v>7175</v>
      </c>
      <c r="H1333">
        <v>2194.2399999999998</v>
      </c>
      <c r="I1333">
        <v>0.65</v>
      </c>
      <c r="J1333" t="s">
        <v>120</v>
      </c>
      <c r="K1333" t="s">
        <v>7175</v>
      </c>
      <c r="L1333">
        <v>1.98</v>
      </c>
      <c r="M1333">
        <v>21.29</v>
      </c>
      <c r="N1333">
        <v>0.93</v>
      </c>
      <c r="O1333">
        <v>0.83</v>
      </c>
      <c r="P1333">
        <v>21.9</v>
      </c>
      <c r="Q1333">
        <v>-2.16</v>
      </c>
      <c r="R1333">
        <v>21.25</v>
      </c>
      <c r="S1333">
        <v>21.81</v>
      </c>
      <c r="T1333">
        <v>10217</v>
      </c>
      <c r="U1333">
        <v>21.3</v>
      </c>
      <c r="V1333">
        <v>21.72</v>
      </c>
      <c r="W1333">
        <v>52.9</v>
      </c>
      <c r="X1333" t="s">
        <v>229</v>
      </c>
      <c r="Y1333" t="s">
        <v>570</v>
      </c>
      <c r="Z1333">
        <v>2.99</v>
      </c>
      <c r="AA1333">
        <v>21.48</v>
      </c>
      <c r="AB1333">
        <v>6751</v>
      </c>
      <c r="AC1333">
        <v>3466</v>
      </c>
      <c r="AD1333">
        <v>1.95</v>
      </c>
      <c r="AE1333">
        <v>102</v>
      </c>
      <c r="AF1333">
        <v>10</v>
      </c>
      <c r="AG1333" t="s">
        <v>120</v>
      </c>
      <c r="AH1333">
        <v>0</v>
      </c>
      <c r="AI1333" t="s">
        <v>120</v>
      </c>
      <c r="AJ1333">
        <v>0.52</v>
      </c>
      <c r="AK1333" t="s">
        <v>7176</v>
      </c>
      <c r="AL1333">
        <v>-7.0000000000000007E-2</v>
      </c>
      <c r="AM1333">
        <v>935</v>
      </c>
      <c r="AN1333">
        <v>11</v>
      </c>
      <c r="AO1333">
        <v>2.0999999999999999E-3</v>
      </c>
      <c r="AP1333">
        <v>-4</v>
      </c>
      <c r="AQ1333">
        <v>-0.41</v>
      </c>
      <c r="AR1333">
        <v>-3.05</v>
      </c>
      <c r="AS1333">
        <v>-6.91</v>
      </c>
      <c r="AT1333">
        <v>-9.5</v>
      </c>
      <c r="AU1333">
        <v>-9.16</v>
      </c>
      <c r="AV1333">
        <v>2</v>
      </c>
      <c r="AW1333">
        <v>1.98</v>
      </c>
      <c r="AX1333">
        <v>28.01</v>
      </c>
      <c r="AY1333">
        <v>44.82</v>
      </c>
      <c r="AZ1333">
        <v>45.78</v>
      </c>
      <c r="BA1333">
        <v>0.9</v>
      </c>
      <c r="BB1333" t="s">
        <v>134</v>
      </c>
      <c r="BF1333">
        <v>-1.1200000000000001</v>
      </c>
      <c r="BG1333">
        <v>-2.38</v>
      </c>
      <c r="BH1333">
        <v>-2.79</v>
      </c>
      <c r="BI1333">
        <v>0.19</v>
      </c>
      <c r="BJ1333">
        <v>20210817</v>
      </c>
      <c r="BK1333">
        <v>20200428</v>
      </c>
      <c r="BL1333">
        <v>1.84</v>
      </c>
      <c r="BM1333" t="s">
        <v>120</v>
      </c>
      <c r="BN1333" t="s">
        <v>120</v>
      </c>
      <c r="BO1333">
        <v>14.23</v>
      </c>
      <c r="BP1333">
        <v>21.29</v>
      </c>
      <c r="BQ1333">
        <v>10.23</v>
      </c>
      <c r="BR1333" t="s">
        <v>120</v>
      </c>
      <c r="BS1333">
        <v>28.09</v>
      </c>
      <c r="BT1333">
        <v>12.16</v>
      </c>
      <c r="BU1333">
        <v>1.57</v>
      </c>
      <c r="BV1333">
        <v>0.15</v>
      </c>
      <c r="BW1333">
        <v>3.81</v>
      </c>
      <c r="BX1333">
        <v>1.71</v>
      </c>
      <c r="BY1333">
        <v>1.49</v>
      </c>
      <c r="BZ1333">
        <v>2.41</v>
      </c>
      <c r="CA1333" t="s">
        <v>120</v>
      </c>
      <c r="CB1333">
        <v>5.7</v>
      </c>
      <c r="CC1333">
        <v>3.17</v>
      </c>
      <c r="CD1333">
        <v>2.56</v>
      </c>
      <c r="CE1333">
        <v>0.42</v>
      </c>
      <c r="CF1333">
        <v>0.1</v>
      </c>
      <c r="CG1333">
        <v>0.42</v>
      </c>
      <c r="CH1333">
        <v>0.37</v>
      </c>
      <c r="CI1333">
        <v>0.37</v>
      </c>
      <c r="CJ1333">
        <v>-0.43</v>
      </c>
      <c r="CK1333">
        <v>0.24</v>
      </c>
      <c r="CL1333">
        <v>2.8</v>
      </c>
      <c r="CM1333">
        <v>-1.69</v>
      </c>
      <c r="CN1333">
        <v>0.52</v>
      </c>
      <c r="CO1333">
        <v>22341</v>
      </c>
      <c r="CP1333">
        <v>2309</v>
      </c>
      <c r="CQ1333" t="s">
        <v>1567</v>
      </c>
      <c r="CR1333">
        <v>5.29</v>
      </c>
      <c r="CS1333">
        <v>54.38</v>
      </c>
      <c r="CT1333">
        <v>3.83</v>
      </c>
      <c r="CU1333">
        <v>-23.17</v>
      </c>
      <c r="CV1333">
        <v>12.37</v>
      </c>
      <c r="CW1333">
        <v>1.06</v>
      </c>
      <c r="CX1333" t="s">
        <v>1637</v>
      </c>
      <c r="CY1333">
        <v>5.55</v>
      </c>
      <c r="CZ1333">
        <v>0</v>
      </c>
      <c r="DA1333">
        <v>3.09</v>
      </c>
      <c r="DB1333">
        <v>1.52</v>
      </c>
      <c r="DC1333">
        <v>-0.92</v>
      </c>
      <c r="DD1333">
        <v>71.91</v>
      </c>
      <c r="DE1333" t="s">
        <v>7177</v>
      </c>
      <c r="DF1333">
        <v>19.25</v>
      </c>
      <c r="DG1333">
        <v>13.15</v>
      </c>
      <c r="DH1333">
        <v>11.7</v>
      </c>
      <c r="DI1333">
        <v>0.12</v>
      </c>
      <c r="DJ1333">
        <v>679</v>
      </c>
      <c r="DK1333">
        <v>2983</v>
      </c>
      <c r="DL1333" t="s">
        <v>120</v>
      </c>
      <c r="DM1333" t="s">
        <v>120</v>
      </c>
      <c r="DN1333" t="s">
        <v>120</v>
      </c>
    </row>
    <row r="1334" spans="1:118">
      <c r="A1334" t="str">
        <f>"002984"</f>
        <v>002984</v>
      </c>
      <c r="B1334" t="s">
        <v>7178</v>
      </c>
      <c r="C1334">
        <v>-1.18</v>
      </c>
      <c r="D1334">
        <v>-0.06</v>
      </c>
      <c r="E1334">
        <v>0</v>
      </c>
      <c r="F1334">
        <v>741</v>
      </c>
      <c r="G1334" t="s">
        <v>7179</v>
      </c>
      <c r="H1334">
        <v>4288.6899999999996</v>
      </c>
      <c r="I1334">
        <v>6.8</v>
      </c>
      <c r="J1334" t="s">
        <v>120</v>
      </c>
      <c r="K1334" t="s">
        <v>7180</v>
      </c>
      <c r="L1334">
        <v>0.49</v>
      </c>
      <c r="M1334">
        <v>26.88</v>
      </c>
      <c r="N1334">
        <v>0.45</v>
      </c>
      <c r="O1334">
        <v>1.07</v>
      </c>
      <c r="P1334">
        <v>27.49</v>
      </c>
      <c r="Q1334">
        <v>-1.21</v>
      </c>
      <c r="R1334">
        <v>26.87</v>
      </c>
      <c r="S1334">
        <v>27.2</v>
      </c>
      <c r="T1334">
        <v>15837</v>
      </c>
      <c r="U1334">
        <v>26.88</v>
      </c>
      <c r="V1334">
        <v>27.2</v>
      </c>
      <c r="W1334">
        <v>22</v>
      </c>
      <c r="X1334" t="s">
        <v>289</v>
      </c>
      <c r="Y1334" t="s">
        <v>638</v>
      </c>
      <c r="Z1334">
        <v>2.2799999999999998</v>
      </c>
      <c r="AA1334">
        <v>27.08</v>
      </c>
      <c r="AB1334">
        <v>9408</v>
      </c>
      <c r="AC1334">
        <v>6429</v>
      </c>
      <c r="AD1334">
        <v>1.46</v>
      </c>
      <c r="AE1334">
        <v>29</v>
      </c>
      <c r="AF1334">
        <v>1</v>
      </c>
      <c r="AG1334" t="s">
        <v>120</v>
      </c>
      <c r="AH1334">
        <v>0</v>
      </c>
      <c r="AI1334" t="s">
        <v>120</v>
      </c>
      <c r="AJ1334">
        <v>3.23</v>
      </c>
      <c r="AK1334" t="s">
        <v>7181</v>
      </c>
      <c r="AL1334">
        <v>0.74</v>
      </c>
      <c r="AM1334">
        <v>1316</v>
      </c>
      <c r="AN1334">
        <v>12</v>
      </c>
      <c r="AO1334">
        <v>4.0000000000000002E-4</v>
      </c>
      <c r="AP1334">
        <v>-4</v>
      </c>
      <c r="AQ1334">
        <v>-0.69</v>
      </c>
      <c r="AR1334">
        <v>-2.21</v>
      </c>
      <c r="AS1334">
        <v>-13.06</v>
      </c>
      <c r="AT1334">
        <v>-31.11</v>
      </c>
      <c r="AU1334">
        <v>6.56</v>
      </c>
      <c r="AV1334">
        <v>1</v>
      </c>
      <c r="AW1334">
        <v>0.68</v>
      </c>
      <c r="AX1334">
        <v>35.68</v>
      </c>
      <c r="AY1334">
        <v>17.8</v>
      </c>
      <c r="AZ1334">
        <v>18.02</v>
      </c>
      <c r="BA1334">
        <v>0.36</v>
      </c>
      <c r="BB1334" t="s">
        <v>240</v>
      </c>
      <c r="BF1334">
        <v>-0.44</v>
      </c>
      <c r="BG1334">
        <v>-1.18</v>
      </c>
      <c r="BH1334">
        <v>-2.2200000000000002</v>
      </c>
      <c r="BI1334">
        <v>0.04</v>
      </c>
      <c r="BJ1334">
        <v>20210910</v>
      </c>
      <c r="BK1334">
        <v>20200911</v>
      </c>
      <c r="BL1334">
        <v>6.5</v>
      </c>
      <c r="BM1334" t="s">
        <v>120</v>
      </c>
      <c r="BN1334" t="s">
        <v>120</v>
      </c>
      <c r="BO1334">
        <v>80.17</v>
      </c>
      <c r="BP1334">
        <v>26.87</v>
      </c>
      <c r="BQ1334">
        <v>59.3</v>
      </c>
      <c r="BR1334" t="s">
        <v>120</v>
      </c>
      <c r="BS1334">
        <v>26.03</v>
      </c>
      <c r="BT1334">
        <v>29.67</v>
      </c>
      <c r="BU1334">
        <v>31.42</v>
      </c>
      <c r="BV1334">
        <v>1.41</v>
      </c>
      <c r="BW1334">
        <v>15.61</v>
      </c>
      <c r="BX1334">
        <v>6.4</v>
      </c>
      <c r="BY1334">
        <v>13.59</v>
      </c>
      <c r="BZ1334">
        <v>6.39</v>
      </c>
      <c r="CA1334" t="s">
        <v>120</v>
      </c>
      <c r="CB1334">
        <v>23.08</v>
      </c>
      <c r="CC1334">
        <v>25.31</v>
      </c>
      <c r="CD1334">
        <v>18.41</v>
      </c>
      <c r="CE1334">
        <v>4.1900000000000004</v>
      </c>
      <c r="CF1334">
        <v>-0.15</v>
      </c>
      <c r="CG1334">
        <v>4.2</v>
      </c>
      <c r="CH1334">
        <v>3.97</v>
      </c>
      <c r="CI1334">
        <v>3.97</v>
      </c>
      <c r="CJ1334">
        <v>-0.32</v>
      </c>
      <c r="CK1334">
        <v>4.1900000000000004</v>
      </c>
      <c r="CL1334">
        <v>29.56</v>
      </c>
      <c r="CM1334">
        <v>0.53</v>
      </c>
      <c r="CN1334">
        <v>-9.01</v>
      </c>
      <c r="CO1334">
        <v>20232</v>
      </c>
      <c r="CP1334">
        <v>11459</v>
      </c>
      <c r="CQ1334" t="s">
        <v>7182</v>
      </c>
      <c r="CR1334">
        <v>3.14</v>
      </c>
      <c r="CS1334">
        <v>18.059999999999999</v>
      </c>
      <c r="CT1334">
        <v>2.94</v>
      </c>
      <c r="CU1334">
        <v>328.44</v>
      </c>
      <c r="CV1334">
        <v>6.9</v>
      </c>
      <c r="CW1334">
        <v>0</v>
      </c>
      <c r="CX1334" t="s">
        <v>1656</v>
      </c>
      <c r="CY1334">
        <v>9.1300000000000008</v>
      </c>
      <c r="CZ1334">
        <v>0</v>
      </c>
      <c r="DA1334">
        <v>3.55</v>
      </c>
      <c r="DB1334">
        <v>4.55</v>
      </c>
      <c r="DC1334">
        <v>0.08</v>
      </c>
      <c r="DD1334">
        <v>73.97</v>
      </c>
      <c r="DE1334" t="s">
        <v>1187</v>
      </c>
      <c r="DF1334">
        <v>27.27</v>
      </c>
      <c r="DG1334">
        <v>16.579999999999998</v>
      </c>
      <c r="DH1334">
        <v>15.68</v>
      </c>
      <c r="DI1334">
        <v>0.53</v>
      </c>
      <c r="DJ1334">
        <v>2511</v>
      </c>
      <c r="DK1334">
        <v>2984</v>
      </c>
      <c r="DL1334" t="s">
        <v>120</v>
      </c>
      <c r="DM1334" t="s">
        <v>120</v>
      </c>
      <c r="DN1334" t="s">
        <v>120</v>
      </c>
    </row>
    <row r="1335" spans="1:118">
      <c r="A1335" t="str">
        <f>"002985"</f>
        <v>002985</v>
      </c>
      <c r="B1335" t="s">
        <v>7183</v>
      </c>
      <c r="C1335">
        <v>-2.1800000000000002</v>
      </c>
      <c r="D1335">
        <v>-0.74</v>
      </c>
      <c r="E1335">
        <v>0.51</v>
      </c>
      <c r="F1335">
        <v>397</v>
      </c>
      <c r="G1335" t="s">
        <v>7184</v>
      </c>
      <c r="H1335">
        <v>18916.62</v>
      </c>
      <c r="I1335">
        <v>25.73</v>
      </c>
      <c r="J1335" t="s">
        <v>120</v>
      </c>
      <c r="K1335" t="s">
        <v>7185</v>
      </c>
      <c r="L1335">
        <v>1.31</v>
      </c>
      <c r="M1335">
        <v>108.88</v>
      </c>
      <c r="N1335">
        <v>0.87</v>
      </c>
      <c r="O1335">
        <v>0.66</v>
      </c>
      <c r="P1335">
        <v>112.05</v>
      </c>
      <c r="Q1335">
        <v>-2.59</v>
      </c>
      <c r="R1335">
        <v>108.43</v>
      </c>
      <c r="S1335">
        <v>111.88</v>
      </c>
      <c r="T1335">
        <v>17203</v>
      </c>
      <c r="U1335">
        <v>109.52</v>
      </c>
      <c r="V1335">
        <v>111.31</v>
      </c>
      <c r="W1335">
        <v>61.4</v>
      </c>
      <c r="X1335" t="s">
        <v>1621</v>
      </c>
      <c r="Y1335" t="s">
        <v>158</v>
      </c>
      <c r="Z1335">
        <v>3.25</v>
      </c>
      <c r="AA1335">
        <v>109.96</v>
      </c>
      <c r="AB1335">
        <v>9819</v>
      </c>
      <c r="AC1335">
        <v>7384</v>
      </c>
      <c r="AD1335">
        <v>1.33</v>
      </c>
      <c r="AE1335">
        <v>123</v>
      </c>
      <c r="AF1335">
        <v>1</v>
      </c>
      <c r="AG1335" t="s">
        <v>120</v>
      </c>
      <c r="AH1335">
        <v>0</v>
      </c>
      <c r="AI1335" t="s">
        <v>120</v>
      </c>
      <c r="AJ1335">
        <v>1.31</v>
      </c>
      <c r="AK1335" t="s">
        <v>7186</v>
      </c>
      <c r="AL1335">
        <v>-0.27</v>
      </c>
      <c r="AM1335">
        <v>2550</v>
      </c>
      <c r="AN1335">
        <v>7</v>
      </c>
      <c r="AO1335">
        <v>5.0000000000000001E-4</v>
      </c>
      <c r="AP1335">
        <v>-1</v>
      </c>
      <c r="AQ1335">
        <v>3.34</v>
      </c>
      <c r="AR1335">
        <v>-0.98</v>
      </c>
      <c r="AS1335">
        <v>-14.37</v>
      </c>
      <c r="AT1335">
        <v>11.04</v>
      </c>
      <c r="AU1335">
        <v>-4.09</v>
      </c>
      <c r="AV1335">
        <v>2</v>
      </c>
      <c r="AW1335">
        <v>1.35</v>
      </c>
      <c r="AX1335">
        <v>49.96</v>
      </c>
      <c r="AY1335">
        <v>65.34</v>
      </c>
      <c r="AZ1335">
        <v>89.78</v>
      </c>
      <c r="BA1335">
        <v>0.5</v>
      </c>
      <c r="BB1335" t="s">
        <v>168</v>
      </c>
      <c r="BF1335">
        <v>-1.21</v>
      </c>
      <c r="BG1335">
        <v>-2.68</v>
      </c>
      <c r="BH1335">
        <v>-2.83</v>
      </c>
      <c r="BI1335">
        <v>0.42</v>
      </c>
      <c r="BJ1335">
        <v>20210804</v>
      </c>
      <c r="BK1335">
        <v>20200429</v>
      </c>
      <c r="BL1335">
        <v>2.5499999999999998</v>
      </c>
      <c r="BM1335" t="s">
        <v>120</v>
      </c>
      <c r="BN1335" t="s">
        <v>120</v>
      </c>
      <c r="BO1335">
        <v>31.15</v>
      </c>
      <c r="BP1335">
        <v>108.88</v>
      </c>
      <c r="BQ1335">
        <v>22.52</v>
      </c>
      <c r="BR1335">
        <v>2.97</v>
      </c>
      <c r="BS1335">
        <v>18.18</v>
      </c>
      <c r="BT1335">
        <v>24.23</v>
      </c>
      <c r="BU1335">
        <v>1.7</v>
      </c>
      <c r="BV1335">
        <v>0.56000000000000005</v>
      </c>
      <c r="BW1335">
        <v>4.84</v>
      </c>
      <c r="BX1335">
        <v>6.26</v>
      </c>
      <c r="BY1335">
        <v>2.84</v>
      </c>
      <c r="BZ1335">
        <v>13.85</v>
      </c>
      <c r="CA1335" t="s">
        <v>120</v>
      </c>
      <c r="CB1335">
        <v>12.65</v>
      </c>
      <c r="CC1335">
        <v>5.79</v>
      </c>
      <c r="CD1335">
        <v>1.28</v>
      </c>
      <c r="CE1335">
        <v>3.57</v>
      </c>
      <c r="CF1335">
        <v>0</v>
      </c>
      <c r="CG1335">
        <v>3.57</v>
      </c>
      <c r="CH1335">
        <v>3.02</v>
      </c>
      <c r="CI1335">
        <v>2.2599999999999998</v>
      </c>
      <c r="CJ1335">
        <v>-2.4300000000000002</v>
      </c>
      <c r="CK1335">
        <v>2.23</v>
      </c>
      <c r="CL1335">
        <v>6.19</v>
      </c>
      <c r="CM1335">
        <v>0.06</v>
      </c>
      <c r="CN1335">
        <v>-0.97</v>
      </c>
      <c r="CO1335">
        <v>27181</v>
      </c>
      <c r="CP1335">
        <v>4692</v>
      </c>
      <c r="CQ1335" t="s">
        <v>7187</v>
      </c>
      <c r="CR1335">
        <v>109.65</v>
      </c>
      <c r="CS1335">
        <v>153.24</v>
      </c>
      <c r="CT1335">
        <v>12.34</v>
      </c>
      <c r="CU1335">
        <v>4432.8599999999997</v>
      </c>
      <c r="CV1335">
        <v>48</v>
      </c>
      <c r="CW1335">
        <v>0.16</v>
      </c>
      <c r="CX1335" t="s">
        <v>6180</v>
      </c>
      <c r="CY1335">
        <v>8.82</v>
      </c>
      <c r="CZ1335">
        <v>0</v>
      </c>
      <c r="DA1335">
        <v>4.96</v>
      </c>
      <c r="DB1335">
        <v>2.4300000000000002</v>
      </c>
      <c r="DC1335">
        <v>0.02</v>
      </c>
      <c r="DD1335">
        <v>72.28</v>
      </c>
      <c r="DE1335" t="s">
        <v>7188</v>
      </c>
      <c r="DF1335">
        <v>77.83</v>
      </c>
      <c r="DG1335">
        <v>61.65</v>
      </c>
      <c r="DH1335">
        <v>39.090000000000003</v>
      </c>
      <c r="DI1335">
        <v>0.31</v>
      </c>
      <c r="DJ1335">
        <v>729</v>
      </c>
      <c r="DK1335">
        <v>2985</v>
      </c>
      <c r="DL1335" t="s">
        <v>120</v>
      </c>
      <c r="DM1335" t="s">
        <v>120</v>
      </c>
      <c r="DN1335" t="s">
        <v>120</v>
      </c>
    </row>
    <row r="1336" spans="1:118">
      <c r="A1336" t="str">
        <f>"002986"</f>
        <v>002986</v>
      </c>
      <c r="B1336" t="s">
        <v>7189</v>
      </c>
      <c r="C1336">
        <v>-2.02</v>
      </c>
      <c r="D1336">
        <v>0</v>
      </c>
      <c r="E1336">
        <v>2.2999999999999998</v>
      </c>
      <c r="F1336">
        <v>233</v>
      </c>
      <c r="G1336" t="s">
        <v>7190</v>
      </c>
      <c r="H1336">
        <v>9037.34</v>
      </c>
      <c r="I1336">
        <v>43.17</v>
      </c>
      <c r="J1336" t="s">
        <v>120</v>
      </c>
      <c r="K1336" t="s">
        <v>7191</v>
      </c>
      <c r="L1336">
        <v>1.96</v>
      </c>
      <c r="M1336">
        <v>42.63</v>
      </c>
      <c r="N1336">
        <v>0.79</v>
      </c>
      <c r="O1336">
        <v>3.08</v>
      </c>
      <c r="P1336">
        <v>44.85</v>
      </c>
      <c r="Q1336">
        <v>-2.92</v>
      </c>
      <c r="R1336">
        <v>42.24</v>
      </c>
      <c r="S1336">
        <v>44.51</v>
      </c>
      <c r="T1336">
        <v>20934</v>
      </c>
      <c r="U1336">
        <v>42.63</v>
      </c>
      <c r="V1336">
        <v>43.51</v>
      </c>
      <c r="W1336">
        <v>30.94</v>
      </c>
      <c r="X1336" t="s">
        <v>868</v>
      </c>
      <c r="Y1336" t="s">
        <v>594</v>
      </c>
      <c r="Z1336">
        <v>6</v>
      </c>
      <c r="AA1336">
        <v>43.17</v>
      </c>
      <c r="AB1336">
        <v>11790</v>
      </c>
      <c r="AC1336">
        <v>9144</v>
      </c>
      <c r="AD1336">
        <v>1.29</v>
      </c>
      <c r="AE1336">
        <v>13</v>
      </c>
      <c r="AF1336">
        <v>84</v>
      </c>
      <c r="AG1336" t="s">
        <v>120</v>
      </c>
      <c r="AH1336">
        <v>0.01</v>
      </c>
      <c r="AI1336" t="s">
        <v>120</v>
      </c>
      <c r="AJ1336">
        <v>1.07</v>
      </c>
      <c r="AK1336" t="s">
        <v>7192</v>
      </c>
      <c r="AL1336">
        <v>-0.11</v>
      </c>
      <c r="AM1336">
        <v>2135</v>
      </c>
      <c r="AN1336">
        <v>10</v>
      </c>
      <c r="AO1336">
        <v>8.9999999999999998E-4</v>
      </c>
      <c r="AP1336">
        <v>-1</v>
      </c>
      <c r="AQ1336">
        <v>0.79</v>
      </c>
      <c r="AR1336">
        <v>-3.22</v>
      </c>
      <c r="AS1336">
        <v>-8.1999999999999993</v>
      </c>
      <c r="AT1336">
        <v>65.81</v>
      </c>
      <c r="AU1336">
        <v>65.19</v>
      </c>
      <c r="AV1336">
        <v>4</v>
      </c>
      <c r="AW1336">
        <v>2.61</v>
      </c>
      <c r="AX1336">
        <v>50.48</v>
      </c>
      <c r="AY1336">
        <v>82.64</v>
      </c>
      <c r="AZ1336">
        <v>210.1</v>
      </c>
      <c r="BA1336">
        <v>0.48</v>
      </c>
      <c r="BB1336" t="s">
        <v>143</v>
      </c>
      <c r="BF1336">
        <v>-0.78</v>
      </c>
      <c r="BG1336">
        <v>-4.22</v>
      </c>
      <c r="BH1336">
        <v>-4.95</v>
      </c>
      <c r="BI1336">
        <v>0.92</v>
      </c>
      <c r="BJ1336">
        <v>20210804</v>
      </c>
      <c r="BK1336">
        <v>20200602</v>
      </c>
      <c r="BL1336">
        <v>1.59</v>
      </c>
      <c r="BM1336" t="s">
        <v>120</v>
      </c>
      <c r="BN1336" t="s">
        <v>120</v>
      </c>
      <c r="BO1336">
        <v>24.25</v>
      </c>
      <c r="BP1336">
        <v>42.62</v>
      </c>
      <c r="BQ1336">
        <v>20.05</v>
      </c>
      <c r="BR1336">
        <v>1.1100000000000001</v>
      </c>
      <c r="BS1336">
        <v>12.76</v>
      </c>
      <c r="BT1336">
        <v>8.7200000000000006</v>
      </c>
      <c r="BU1336">
        <v>3.36</v>
      </c>
      <c r="BV1336">
        <v>1.6</v>
      </c>
      <c r="BW1336">
        <v>2.48</v>
      </c>
      <c r="BX1336">
        <v>4.53</v>
      </c>
      <c r="BY1336">
        <v>1.31</v>
      </c>
      <c r="BZ1336">
        <v>0.06</v>
      </c>
      <c r="CA1336" t="s">
        <v>120</v>
      </c>
      <c r="CB1336">
        <v>10.58</v>
      </c>
      <c r="CC1336">
        <v>13.33</v>
      </c>
      <c r="CD1336">
        <v>11.34</v>
      </c>
      <c r="CE1336">
        <v>1.21</v>
      </c>
      <c r="CF1336">
        <v>0.01</v>
      </c>
      <c r="CG1336">
        <v>1.21</v>
      </c>
      <c r="CH1336">
        <v>1.06</v>
      </c>
      <c r="CI1336">
        <v>1.0900000000000001</v>
      </c>
      <c r="CJ1336">
        <v>-0.88</v>
      </c>
      <c r="CK1336">
        <v>1.04</v>
      </c>
      <c r="CL1336">
        <v>7.37</v>
      </c>
      <c r="CM1336">
        <v>1.65</v>
      </c>
      <c r="CN1336">
        <v>-2.48</v>
      </c>
      <c r="CO1336">
        <v>14468</v>
      </c>
      <c r="CP1336">
        <v>5536</v>
      </c>
      <c r="CQ1336" t="s">
        <v>7193</v>
      </c>
      <c r="CR1336">
        <v>86.42</v>
      </c>
      <c r="CS1336">
        <v>10.3</v>
      </c>
      <c r="CT1336">
        <v>3.37</v>
      </c>
      <c r="CU1336">
        <v>41.07</v>
      </c>
      <c r="CV1336">
        <v>5.08</v>
      </c>
      <c r="CW1336">
        <v>0.2</v>
      </c>
      <c r="CX1336" t="s">
        <v>2797</v>
      </c>
      <c r="CY1336">
        <v>12.63</v>
      </c>
      <c r="CZ1336">
        <v>0</v>
      </c>
      <c r="DA1336">
        <v>6.67</v>
      </c>
      <c r="DB1336">
        <v>4.6399999999999997</v>
      </c>
      <c r="DC1336">
        <v>1.04</v>
      </c>
      <c r="DD1336">
        <v>82.68</v>
      </c>
      <c r="DE1336" t="s">
        <v>3549</v>
      </c>
      <c r="DF1336">
        <v>14.87</v>
      </c>
      <c r="DG1336">
        <v>9.1199999999999992</v>
      </c>
      <c r="DH1336">
        <v>8.1999999999999993</v>
      </c>
      <c r="DI1336">
        <v>0.52</v>
      </c>
      <c r="DJ1336">
        <v>379</v>
      </c>
      <c r="DK1336">
        <v>2986</v>
      </c>
      <c r="DL1336" t="s">
        <v>120</v>
      </c>
      <c r="DM1336" t="s">
        <v>120</v>
      </c>
      <c r="DN1336" t="s">
        <v>120</v>
      </c>
    </row>
    <row r="1337" spans="1:118">
      <c r="A1337" t="str">
        <f>"002987"</f>
        <v>002987</v>
      </c>
      <c r="B1337" t="s">
        <v>7194</v>
      </c>
      <c r="C1337">
        <v>-1.36</v>
      </c>
      <c r="D1337">
        <v>0.3</v>
      </c>
      <c r="E1337">
        <v>7.0000000000000007E-2</v>
      </c>
      <c r="F1337">
        <v>134</v>
      </c>
      <c r="G1337" t="s">
        <v>7195</v>
      </c>
      <c r="H1337">
        <v>2559.23</v>
      </c>
      <c r="I1337">
        <v>13.11</v>
      </c>
      <c r="J1337" t="s">
        <v>120</v>
      </c>
      <c r="K1337" t="s">
        <v>7195</v>
      </c>
      <c r="L1337">
        <v>1.02</v>
      </c>
      <c r="M1337">
        <v>26.93</v>
      </c>
      <c r="N1337">
        <v>0.46</v>
      </c>
      <c r="O1337">
        <v>0.18</v>
      </c>
      <c r="P1337">
        <v>27.35</v>
      </c>
      <c r="Q1337">
        <v>-1.94</v>
      </c>
      <c r="R1337">
        <v>26.77</v>
      </c>
      <c r="S1337">
        <v>27.32</v>
      </c>
      <c r="T1337">
        <v>9489</v>
      </c>
      <c r="U1337">
        <v>26.93</v>
      </c>
      <c r="V1337">
        <v>27.3</v>
      </c>
      <c r="W1337">
        <v>24.78</v>
      </c>
      <c r="X1337" t="s">
        <v>141</v>
      </c>
      <c r="Y1337" t="s">
        <v>158</v>
      </c>
      <c r="Z1337">
        <v>2.12</v>
      </c>
      <c r="AA1337">
        <v>26.97</v>
      </c>
      <c r="AB1337">
        <v>6316</v>
      </c>
      <c r="AC1337">
        <v>3173</v>
      </c>
      <c r="AD1337">
        <v>1.99</v>
      </c>
      <c r="AE1337">
        <v>21</v>
      </c>
      <c r="AF1337">
        <v>17</v>
      </c>
      <c r="AG1337" t="s">
        <v>120</v>
      </c>
      <c r="AH1337">
        <v>0.01</v>
      </c>
      <c r="AI1337" t="s">
        <v>120</v>
      </c>
      <c r="AJ1337">
        <v>0.93</v>
      </c>
      <c r="AK1337" t="s">
        <v>4351</v>
      </c>
      <c r="AL1337">
        <v>0.56000000000000005</v>
      </c>
      <c r="AM1337">
        <v>895</v>
      </c>
      <c r="AN1337">
        <v>11</v>
      </c>
      <c r="AO1337">
        <v>1.1000000000000001E-3</v>
      </c>
      <c r="AP1337">
        <v>-4</v>
      </c>
      <c r="AQ1337">
        <v>-7.0000000000000007E-2</v>
      </c>
      <c r="AR1337">
        <v>-1.97</v>
      </c>
      <c r="AS1337">
        <v>-6.33</v>
      </c>
      <c r="AT1337">
        <v>-12.59</v>
      </c>
      <c r="AU1337">
        <v>-20.69</v>
      </c>
      <c r="AV1337">
        <v>2</v>
      </c>
      <c r="AW1337">
        <v>1.02</v>
      </c>
      <c r="AX1337">
        <v>41.34</v>
      </c>
      <c r="AY1337">
        <v>20.07</v>
      </c>
      <c r="AZ1337">
        <v>22.24</v>
      </c>
      <c r="BA1337">
        <v>0.28000000000000003</v>
      </c>
      <c r="BB1337" t="s">
        <v>143</v>
      </c>
      <c r="BF1337">
        <v>-1.21</v>
      </c>
      <c r="BG1337">
        <v>-1.43</v>
      </c>
      <c r="BH1337">
        <v>-1.54</v>
      </c>
      <c r="BI1337">
        <v>0.6</v>
      </c>
      <c r="BJ1337">
        <v>20210907</v>
      </c>
      <c r="BK1337">
        <v>20200507</v>
      </c>
      <c r="BL1337">
        <v>2.25</v>
      </c>
      <c r="BM1337" t="s">
        <v>120</v>
      </c>
      <c r="BN1337" t="s">
        <v>120</v>
      </c>
      <c r="BO1337">
        <v>22.94</v>
      </c>
      <c r="BP1337">
        <v>26.85</v>
      </c>
      <c r="BQ1337">
        <v>18.62</v>
      </c>
      <c r="BR1337" t="s">
        <v>120</v>
      </c>
      <c r="BS1337">
        <v>18.8</v>
      </c>
      <c r="BT1337">
        <v>21.96</v>
      </c>
      <c r="BU1337">
        <v>0.65</v>
      </c>
      <c r="BV1337">
        <v>0</v>
      </c>
      <c r="BW1337">
        <v>4.2</v>
      </c>
      <c r="BX1337">
        <v>5.53</v>
      </c>
      <c r="BY1337">
        <v>0.24</v>
      </c>
      <c r="BZ1337">
        <v>10.06</v>
      </c>
      <c r="CA1337" t="s">
        <v>120</v>
      </c>
      <c r="CB1337">
        <v>9.85</v>
      </c>
      <c r="CC1337">
        <v>14.36</v>
      </c>
      <c r="CD1337">
        <v>10.86</v>
      </c>
      <c r="CE1337">
        <v>1.19</v>
      </c>
      <c r="CF1337">
        <v>0.06</v>
      </c>
      <c r="CG1337">
        <v>1.18</v>
      </c>
      <c r="CH1337">
        <v>1.22</v>
      </c>
      <c r="CI1337">
        <v>1.22</v>
      </c>
      <c r="CJ1337">
        <v>-0.37</v>
      </c>
      <c r="CK1337">
        <v>1.1100000000000001</v>
      </c>
      <c r="CL1337">
        <v>5.89</v>
      </c>
      <c r="CM1337">
        <v>-4.5</v>
      </c>
      <c r="CN1337">
        <v>-0.71</v>
      </c>
      <c r="CO1337">
        <v>22502</v>
      </c>
      <c r="CP1337">
        <v>4132</v>
      </c>
      <c r="CQ1337" t="s">
        <v>1400</v>
      </c>
      <c r="CR1337">
        <v>32.32</v>
      </c>
      <c r="CS1337">
        <v>48.57</v>
      </c>
      <c r="CT1337">
        <v>3.25</v>
      </c>
      <c r="CU1337">
        <v>-13.45</v>
      </c>
      <c r="CV1337">
        <v>4.22</v>
      </c>
      <c r="CW1337">
        <v>0.52</v>
      </c>
      <c r="CX1337" t="s">
        <v>263</v>
      </c>
      <c r="CY1337">
        <v>8.2799999999999994</v>
      </c>
      <c r="CZ1337">
        <v>0</v>
      </c>
      <c r="DA1337">
        <v>4.38</v>
      </c>
      <c r="DB1337">
        <v>2.62</v>
      </c>
      <c r="DC1337">
        <v>-2</v>
      </c>
      <c r="DD1337">
        <v>81.2</v>
      </c>
      <c r="DE1337" t="s">
        <v>3004</v>
      </c>
      <c r="DF1337">
        <v>24.39</v>
      </c>
      <c r="DG1337">
        <v>8.25</v>
      </c>
      <c r="DH1337">
        <v>8.51</v>
      </c>
      <c r="DI1337">
        <v>1.32</v>
      </c>
      <c r="DJ1337">
        <v>22011</v>
      </c>
      <c r="DK1337">
        <v>2987</v>
      </c>
      <c r="DL1337" t="s">
        <v>120</v>
      </c>
      <c r="DM1337" t="s">
        <v>120</v>
      </c>
      <c r="DN1337" t="s">
        <v>120</v>
      </c>
    </row>
    <row r="1338" spans="1:118">
      <c r="A1338" t="str">
        <f>"002988"</f>
        <v>002988</v>
      </c>
      <c r="B1338" t="s">
        <v>7196</v>
      </c>
      <c r="C1338">
        <v>-4.0999999999999996</v>
      </c>
      <c r="D1338">
        <v>-0.04</v>
      </c>
      <c r="E1338">
        <v>-0.86</v>
      </c>
      <c r="F1338">
        <v>128</v>
      </c>
      <c r="G1338" t="s">
        <v>7197</v>
      </c>
      <c r="H1338">
        <v>5233.6499999999996</v>
      </c>
      <c r="I1338">
        <v>2.29</v>
      </c>
      <c r="J1338" t="s">
        <v>120</v>
      </c>
      <c r="K1338" t="s">
        <v>7197</v>
      </c>
      <c r="L1338">
        <v>3.04</v>
      </c>
      <c r="M1338">
        <v>20.100000000000001</v>
      </c>
      <c r="N1338">
        <v>0.96</v>
      </c>
      <c r="O1338">
        <v>1.1499999999999999</v>
      </c>
      <c r="P1338">
        <v>21.2</v>
      </c>
      <c r="Q1338">
        <v>-4.82</v>
      </c>
      <c r="R1338">
        <v>19.95</v>
      </c>
      <c r="S1338">
        <v>20.78</v>
      </c>
      <c r="T1338">
        <v>25605</v>
      </c>
      <c r="U1338">
        <v>20.100000000000001</v>
      </c>
      <c r="V1338">
        <v>20.96</v>
      </c>
      <c r="W1338">
        <v>37.94</v>
      </c>
      <c r="X1338" t="s">
        <v>1325</v>
      </c>
      <c r="Y1338" t="s">
        <v>547</v>
      </c>
      <c r="Z1338">
        <v>5.96</v>
      </c>
      <c r="AA1338">
        <v>20.440000000000001</v>
      </c>
      <c r="AB1338">
        <v>13984</v>
      </c>
      <c r="AC1338">
        <v>11621</v>
      </c>
      <c r="AD1338">
        <v>1.2</v>
      </c>
      <c r="AE1338">
        <v>30</v>
      </c>
      <c r="AF1338">
        <v>9</v>
      </c>
      <c r="AG1338" t="s">
        <v>120</v>
      </c>
      <c r="AH1338">
        <v>0</v>
      </c>
      <c r="AI1338" t="s">
        <v>120</v>
      </c>
      <c r="AJ1338">
        <v>0.84</v>
      </c>
      <c r="AK1338" t="s">
        <v>4279</v>
      </c>
      <c r="AL1338">
        <v>-2.19</v>
      </c>
      <c r="AM1338">
        <v>1555</v>
      </c>
      <c r="AN1338">
        <v>16</v>
      </c>
      <c r="AO1338">
        <v>2E-3</v>
      </c>
      <c r="AP1338">
        <v>-3</v>
      </c>
      <c r="AQ1338">
        <v>-0.56999999999999995</v>
      </c>
      <c r="AR1338">
        <v>-6.69</v>
      </c>
      <c r="AS1338">
        <v>8.18</v>
      </c>
      <c r="AT1338">
        <v>47.9</v>
      </c>
      <c r="AU1338">
        <v>38.24</v>
      </c>
      <c r="AV1338">
        <v>5</v>
      </c>
      <c r="AW1338">
        <v>3.04</v>
      </c>
      <c r="AX1338">
        <v>36.18</v>
      </c>
      <c r="AY1338">
        <v>37.69</v>
      </c>
      <c r="AZ1338">
        <v>42.09</v>
      </c>
      <c r="BA1338">
        <v>0.54</v>
      </c>
      <c r="BB1338" t="s">
        <v>125</v>
      </c>
      <c r="BF1338">
        <v>-2.48</v>
      </c>
      <c r="BG1338">
        <v>-3.27</v>
      </c>
      <c r="BH1338">
        <v>-5.19</v>
      </c>
      <c r="BI1338">
        <v>0.75</v>
      </c>
      <c r="BJ1338">
        <v>20210826</v>
      </c>
      <c r="BK1338">
        <v>20200518</v>
      </c>
      <c r="BL1338">
        <v>2.33</v>
      </c>
      <c r="BM1338" t="s">
        <v>120</v>
      </c>
      <c r="BN1338" t="s">
        <v>120</v>
      </c>
      <c r="BO1338">
        <v>45.09</v>
      </c>
      <c r="BP1338">
        <v>20.09</v>
      </c>
      <c r="BQ1338">
        <v>21.52</v>
      </c>
      <c r="BR1338">
        <v>0</v>
      </c>
      <c r="BS1338">
        <v>52.27</v>
      </c>
      <c r="BT1338">
        <v>27.47</v>
      </c>
      <c r="BU1338">
        <v>13.63</v>
      </c>
      <c r="BV1338">
        <v>2.6</v>
      </c>
      <c r="BW1338">
        <v>21.46</v>
      </c>
      <c r="BX1338">
        <v>4.38</v>
      </c>
      <c r="BY1338">
        <v>6.47</v>
      </c>
      <c r="BZ1338">
        <v>11.6</v>
      </c>
      <c r="CA1338" t="s">
        <v>120</v>
      </c>
      <c r="CB1338">
        <v>10.37</v>
      </c>
      <c r="CC1338">
        <v>24.19</v>
      </c>
      <c r="CD1338">
        <v>21.28</v>
      </c>
      <c r="CE1338">
        <v>0.62</v>
      </c>
      <c r="CF1338">
        <v>0.02</v>
      </c>
      <c r="CG1338">
        <v>0.62</v>
      </c>
      <c r="CH1338">
        <v>0.61</v>
      </c>
      <c r="CI1338">
        <v>0.62</v>
      </c>
      <c r="CJ1338">
        <v>-0.86</v>
      </c>
      <c r="CK1338">
        <v>0.56000000000000005</v>
      </c>
      <c r="CL1338">
        <v>7.99</v>
      </c>
      <c r="CM1338">
        <v>-3.59</v>
      </c>
      <c r="CN1338">
        <v>-3.6</v>
      </c>
      <c r="CO1338">
        <v>23059</v>
      </c>
      <c r="CP1338">
        <v>3652</v>
      </c>
      <c r="CQ1338" t="s">
        <v>7198</v>
      </c>
      <c r="CR1338">
        <v>28.07</v>
      </c>
      <c r="CS1338">
        <v>76.209999999999994</v>
      </c>
      <c r="CT1338">
        <v>2.17</v>
      </c>
      <c r="CU1338">
        <v>-13.03</v>
      </c>
      <c r="CV1338">
        <v>1.93</v>
      </c>
      <c r="CW1338">
        <v>0.62</v>
      </c>
      <c r="CX1338" t="s">
        <v>7199</v>
      </c>
      <c r="CY1338">
        <v>9.24</v>
      </c>
      <c r="CZ1338">
        <v>0</v>
      </c>
      <c r="DA1338">
        <v>4.45</v>
      </c>
      <c r="DB1338">
        <v>3.43</v>
      </c>
      <c r="DC1338">
        <v>-1.54</v>
      </c>
      <c r="DD1338">
        <v>47.73</v>
      </c>
      <c r="DE1338" t="s">
        <v>6766</v>
      </c>
      <c r="DF1338">
        <v>12.04</v>
      </c>
      <c r="DG1338">
        <v>2.56</v>
      </c>
      <c r="DH1338">
        <v>2.5499999999999998</v>
      </c>
      <c r="DI1338">
        <v>0.81</v>
      </c>
      <c r="DJ1338">
        <v>3623</v>
      </c>
      <c r="DK1338">
        <v>2988</v>
      </c>
      <c r="DL1338">
        <v>20210816</v>
      </c>
      <c r="DM1338">
        <v>18.489999999999998</v>
      </c>
      <c r="DN1338">
        <v>8.7100000000000009</v>
      </c>
    </row>
    <row r="1339" spans="1:118">
      <c r="A1339" t="str">
        <f>"002989"</f>
        <v>002989</v>
      </c>
      <c r="B1339" t="s">
        <v>7200</v>
      </c>
      <c r="C1339">
        <v>-0.93</v>
      </c>
      <c r="D1339">
        <v>-0.08</v>
      </c>
      <c r="E1339">
        <v>0.57999999999999996</v>
      </c>
      <c r="F1339">
        <v>110</v>
      </c>
      <c r="G1339" t="s">
        <v>7201</v>
      </c>
      <c r="H1339">
        <v>2554.14</v>
      </c>
      <c r="I1339">
        <v>4.99</v>
      </c>
      <c r="J1339" t="s">
        <v>120</v>
      </c>
      <c r="K1339" t="s">
        <v>7202</v>
      </c>
      <c r="L1339">
        <v>1.49</v>
      </c>
      <c r="M1339">
        <v>22.35</v>
      </c>
      <c r="N1339">
        <v>1.48</v>
      </c>
      <c r="O1339">
        <v>1.68</v>
      </c>
      <c r="P1339">
        <v>22.94</v>
      </c>
      <c r="Q1339">
        <v>-2.04</v>
      </c>
      <c r="R1339">
        <v>22.1</v>
      </c>
      <c r="S1339">
        <v>22.69</v>
      </c>
      <c r="T1339">
        <v>11373</v>
      </c>
      <c r="U1339">
        <v>22.36</v>
      </c>
      <c r="V1339">
        <v>22.56</v>
      </c>
      <c r="W1339">
        <v>24.74</v>
      </c>
      <c r="X1339" t="s">
        <v>3122</v>
      </c>
      <c r="Y1339" t="s">
        <v>123</v>
      </c>
      <c r="Z1339">
        <v>3.72</v>
      </c>
      <c r="AA1339">
        <v>22.46</v>
      </c>
      <c r="AB1339">
        <v>5699</v>
      </c>
      <c r="AC1339">
        <v>5674</v>
      </c>
      <c r="AD1339">
        <v>1</v>
      </c>
      <c r="AE1339">
        <v>26</v>
      </c>
      <c r="AF1339">
        <v>7</v>
      </c>
      <c r="AG1339" t="s">
        <v>120</v>
      </c>
      <c r="AH1339">
        <v>0.01</v>
      </c>
      <c r="AI1339" t="s">
        <v>120</v>
      </c>
      <c r="AJ1339">
        <v>0.76</v>
      </c>
      <c r="AK1339" t="s">
        <v>7203</v>
      </c>
      <c r="AL1339">
        <v>0.98</v>
      </c>
      <c r="AM1339">
        <v>1063</v>
      </c>
      <c r="AN1339">
        <v>11</v>
      </c>
      <c r="AO1339">
        <v>1.4E-3</v>
      </c>
      <c r="AP1339">
        <v>-3</v>
      </c>
      <c r="AQ1339">
        <v>-1.18</v>
      </c>
      <c r="AR1339">
        <v>-3.87</v>
      </c>
      <c r="AS1339">
        <v>-12.28</v>
      </c>
      <c r="AT1339">
        <v>-31.82</v>
      </c>
      <c r="AU1339">
        <v>-39.1</v>
      </c>
      <c r="AV1339">
        <v>3</v>
      </c>
      <c r="AW1339">
        <v>3</v>
      </c>
      <c r="AX1339">
        <v>25</v>
      </c>
      <c r="AY1339">
        <v>20.25</v>
      </c>
      <c r="AZ1339">
        <v>18.09</v>
      </c>
      <c r="BA1339">
        <v>0.67</v>
      </c>
      <c r="BB1339" t="s">
        <v>134</v>
      </c>
      <c r="BF1339">
        <v>-0.45</v>
      </c>
      <c r="BG1339">
        <v>-1.5</v>
      </c>
      <c r="BH1339">
        <v>-2.57</v>
      </c>
      <c r="BI1339">
        <v>1.1299999999999999</v>
      </c>
      <c r="BJ1339">
        <v>20210901</v>
      </c>
      <c r="BK1339">
        <v>20200610</v>
      </c>
      <c r="BL1339">
        <v>1.51</v>
      </c>
      <c r="BM1339" t="s">
        <v>120</v>
      </c>
      <c r="BN1339" t="s">
        <v>120</v>
      </c>
      <c r="BO1339">
        <v>30.46</v>
      </c>
      <c r="BP1339">
        <v>22.35</v>
      </c>
      <c r="BQ1339">
        <v>16.93</v>
      </c>
      <c r="BR1339" t="s">
        <v>120</v>
      </c>
      <c r="BS1339">
        <v>44.41</v>
      </c>
      <c r="BT1339">
        <v>28.05</v>
      </c>
      <c r="BU1339">
        <v>0.86</v>
      </c>
      <c r="BV1339">
        <v>0.08</v>
      </c>
      <c r="BW1339">
        <v>13.5</v>
      </c>
      <c r="BX1339">
        <v>8.27</v>
      </c>
      <c r="BY1339">
        <v>0.28999999999999998</v>
      </c>
      <c r="BZ1339">
        <v>0</v>
      </c>
      <c r="CA1339" t="s">
        <v>120</v>
      </c>
      <c r="CB1339">
        <v>8.26</v>
      </c>
      <c r="CC1339">
        <v>10.16</v>
      </c>
      <c r="CD1339">
        <v>8.5399999999999991</v>
      </c>
      <c r="CE1339">
        <v>0.8</v>
      </c>
      <c r="CF1339">
        <v>0.11</v>
      </c>
      <c r="CG1339">
        <v>0.8</v>
      </c>
      <c r="CH1339">
        <v>0.68</v>
      </c>
      <c r="CI1339">
        <v>0.68</v>
      </c>
      <c r="CJ1339">
        <v>-0.21</v>
      </c>
      <c r="CK1339">
        <v>0.62</v>
      </c>
      <c r="CL1339">
        <v>6.41</v>
      </c>
      <c r="CM1339">
        <v>-1.26</v>
      </c>
      <c r="CN1339">
        <v>1.88</v>
      </c>
      <c r="CO1339">
        <v>11694</v>
      </c>
      <c r="CP1339">
        <v>3237</v>
      </c>
      <c r="CQ1339" t="s">
        <v>7204</v>
      </c>
      <c r="CR1339">
        <v>-22.78</v>
      </c>
      <c r="CS1339">
        <v>-6.42</v>
      </c>
      <c r="CT1339">
        <v>2</v>
      </c>
      <c r="CU1339">
        <v>-26.83</v>
      </c>
      <c r="CV1339">
        <v>3.33</v>
      </c>
      <c r="CW1339">
        <v>1.77</v>
      </c>
      <c r="CX1339" t="s">
        <v>1520</v>
      </c>
      <c r="CY1339">
        <v>11.18</v>
      </c>
      <c r="CZ1339">
        <v>0</v>
      </c>
      <c r="DA1339">
        <v>5.46</v>
      </c>
      <c r="DB1339">
        <v>4.2300000000000004</v>
      </c>
      <c r="DC1339">
        <v>-0.83</v>
      </c>
      <c r="DD1339">
        <v>55.59</v>
      </c>
      <c r="DE1339" t="s">
        <v>7205</v>
      </c>
      <c r="DF1339">
        <v>15.93</v>
      </c>
      <c r="DG1339">
        <v>7.89</v>
      </c>
      <c r="DH1339">
        <v>6.73</v>
      </c>
      <c r="DI1339">
        <v>0.35</v>
      </c>
      <c r="DJ1339">
        <v>1392</v>
      </c>
      <c r="DK1339">
        <v>2989</v>
      </c>
      <c r="DL1339" t="s">
        <v>120</v>
      </c>
      <c r="DM1339" t="s">
        <v>120</v>
      </c>
      <c r="DN1339" t="s">
        <v>120</v>
      </c>
    </row>
    <row r="1340" spans="1:118">
      <c r="A1340" t="str">
        <f>"002990"</f>
        <v>002990</v>
      </c>
      <c r="B1340" t="s">
        <v>7206</v>
      </c>
      <c r="C1340">
        <v>-2.09</v>
      </c>
      <c r="D1340">
        <v>0</v>
      </c>
      <c r="E1340">
        <v>0</v>
      </c>
      <c r="F1340">
        <v>81</v>
      </c>
      <c r="G1340" t="s">
        <v>4895</v>
      </c>
      <c r="H1340">
        <v>2601.42</v>
      </c>
      <c r="I1340">
        <v>0</v>
      </c>
      <c r="J1340" t="s">
        <v>120</v>
      </c>
      <c r="K1340" t="s">
        <v>4895</v>
      </c>
      <c r="L1340">
        <v>1.46</v>
      </c>
      <c r="M1340">
        <v>28.04</v>
      </c>
      <c r="N1340">
        <v>1.07</v>
      </c>
      <c r="O1340">
        <v>0.35</v>
      </c>
      <c r="P1340">
        <v>28.74</v>
      </c>
      <c r="Q1340">
        <v>-2.86</v>
      </c>
      <c r="R1340">
        <v>27.82</v>
      </c>
      <c r="S1340">
        <v>28.64</v>
      </c>
      <c r="T1340">
        <v>9204</v>
      </c>
      <c r="U1340">
        <v>28.05</v>
      </c>
      <c r="V1340">
        <v>28.64</v>
      </c>
      <c r="W1340">
        <v>28.44</v>
      </c>
      <c r="X1340" t="s">
        <v>141</v>
      </c>
      <c r="Y1340" t="s">
        <v>123</v>
      </c>
      <c r="Z1340">
        <v>3.21</v>
      </c>
      <c r="AA1340">
        <v>28.26</v>
      </c>
      <c r="AB1340">
        <v>6049</v>
      </c>
      <c r="AC1340">
        <v>3155</v>
      </c>
      <c r="AD1340">
        <v>1.92</v>
      </c>
      <c r="AE1340">
        <v>65</v>
      </c>
      <c r="AF1340">
        <v>15</v>
      </c>
      <c r="AG1340" t="s">
        <v>120</v>
      </c>
      <c r="AH1340">
        <v>0</v>
      </c>
      <c r="AI1340" t="s">
        <v>120</v>
      </c>
      <c r="AJ1340">
        <v>0.63</v>
      </c>
      <c r="AK1340" t="s">
        <v>7207</v>
      </c>
      <c r="AL1340">
        <v>-0.18</v>
      </c>
      <c r="AM1340">
        <v>912</v>
      </c>
      <c r="AN1340">
        <v>10</v>
      </c>
      <c r="AO1340">
        <v>1.6000000000000001E-3</v>
      </c>
      <c r="AP1340">
        <v>-4</v>
      </c>
      <c r="AQ1340">
        <v>-0.14000000000000001</v>
      </c>
      <c r="AR1340">
        <v>-3.11</v>
      </c>
      <c r="AS1340">
        <v>-1.03</v>
      </c>
      <c r="AT1340">
        <v>-14.23</v>
      </c>
      <c r="AU1340">
        <v>-34.56</v>
      </c>
      <c r="AV1340">
        <v>1</v>
      </c>
      <c r="AW1340">
        <v>1.46</v>
      </c>
      <c r="AX1340">
        <v>24.56</v>
      </c>
      <c r="AY1340">
        <v>31.23</v>
      </c>
      <c r="AZ1340">
        <v>32.799999999999997</v>
      </c>
      <c r="BA1340">
        <v>0.86</v>
      </c>
      <c r="BB1340" t="s">
        <v>143</v>
      </c>
      <c r="BF1340">
        <v>-1.32</v>
      </c>
      <c r="BG1340">
        <v>-2.09</v>
      </c>
      <c r="BH1340">
        <v>-2.44</v>
      </c>
      <c r="BI1340">
        <v>0.79</v>
      </c>
      <c r="BJ1340">
        <v>20210826</v>
      </c>
      <c r="BK1340">
        <v>20200525</v>
      </c>
      <c r="BL1340">
        <v>2.57</v>
      </c>
      <c r="BM1340" t="s">
        <v>120</v>
      </c>
      <c r="BN1340" t="s">
        <v>120</v>
      </c>
      <c r="BO1340">
        <v>28.01</v>
      </c>
      <c r="BP1340">
        <v>28.04</v>
      </c>
      <c r="BQ1340">
        <v>19.5</v>
      </c>
      <c r="BR1340" t="s">
        <v>120</v>
      </c>
      <c r="BS1340">
        <v>30.37</v>
      </c>
      <c r="BT1340">
        <v>26.85</v>
      </c>
      <c r="BU1340">
        <v>0.42</v>
      </c>
      <c r="BV1340">
        <v>0.35</v>
      </c>
      <c r="BW1340">
        <v>8.06</v>
      </c>
      <c r="BX1340">
        <v>16.54</v>
      </c>
      <c r="BY1340">
        <v>3.83</v>
      </c>
      <c r="BZ1340">
        <v>5.49</v>
      </c>
      <c r="CA1340" t="s">
        <v>120</v>
      </c>
      <c r="CB1340">
        <v>10.029999999999999</v>
      </c>
      <c r="CC1340">
        <v>5.24</v>
      </c>
      <c r="CD1340">
        <v>2.9</v>
      </c>
      <c r="CE1340">
        <v>1.42</v>
      </c>
      <c r="CF1340">
        <v>0.1</v>
      </c>
      <c r="CG1340">
        <v>1.42</v>
      </c>
      <c r="CH1340">
        <v>1.27</v>
      </c>
      <c r="CI1340">
        <v>1.27</v>
      </c>
      <c r="CJ1340">
        <v>-0.6</v>
      </c>
      <c r="CK1340">
        <v>1.1000000000000001</v>
      </c>
      <c r="CL1340">
        <v>6.92</v>
      </c>
      <c r="CM1340">
        <v>0.7</v>
      </c>
      <c r="CN1340">
        <v>0.8</v>
      </c>
      <c r="CO1340">
        <v>18399</v>
      </c>
      <c r="CP1340">
        <v>3431</v>
      </c>
      <c r="CQ1340" t="s">
        <v>4556</v>
      </c>
      <c r="CR1340">
        <v>9.74</v>
      </c>
      <c r="CS1340">
        <v>19.71</v>
      </c>
      <c r="CT1340">
        <v>3.7</v>
      </c>
      <c r="CU1340">
        <v>103.1</v>
      </c>
      <c r="CV1340">
        <v>13.74</v>
      </c>
      <c r="CW1340">
        <v>0.86</v>
      </c>
      <c r="CX1340" t="s">
        <v>550</v>
      </c>
      <c r="CY1340">
        <v>7.59</v>
      </c>
      <c r="CZ1340">
        <v>0</v>
      </c>
      <c r="DA1340">
        <v>3.9</v>
      </c>
      <c r="DB1340">
        <v>2.69</v>
      </c>
      <c r="DC1340">
        <v>0.27</v>
      </c>
      <c r="DD1340">
        <v>69.63</v>
      </c>
      <c r="DE1340" t="s">
        <v>3395</v>
      </c>
      <c r="DF1340">
        <v>44.72</v>
      </c>
      <c r="DG1340">
        <v>27.14</v>
      </c>
      <c r="DH1340">
        <v>24.15</v>
      </c>
      <c r="DI1340">
        <v>0.55000000000000004</v>
      </c>
      <c r="DJ1340">
        <v>940</v>
      </c>
      <c r="DK1340">
        <v>2990</v>
      </c>
      <c r="DL1340" t="s">
        <v>120</v>
      </c>
      <c r="DM1340" t="s">
        <v>120</v>
      </c>
      <c r="DN1340" t="s">
        <v>120</v>
      </c>
    </row>
    <row r="1341" spans="1:118">
      <c r="A1341" t="str">
        <f>"002991"</f>
        <v>002991</v>
      </c>
      <c r="B1341" t="s">
        <v>7208</v>
      </c>
      <c r="C1341">
        <v>0.82</v>
      </c>
      <c r="D1341">
        <v>0.21</v>
      </c>
      <c r="E1341">
        <v>0</v>
      </c>
      <c r="F1341">
        <v>74</v>
      </c>
      <c r="G1341" t="s">
        <v>7209</v>
      </c>
      <c r="H1341">
        <v>2307.27</v>
      </c>
      <c r="I1341">
        <v>6.51</v>
      </c>
      <c r="J1341" t="s">
        <v>120</v>
      </c>
      <c r="K1341" t="s">
        <v>7210</v>
      </c>
      <c r="L1341">
        <v>1.2</v>
      </c>
      <c r="M1341">
        <v>46.88</v>
      </c>
      <c r="N1341">
        <v>1.2</v>
      </c>
      <c r="O1341">
        <v>2.02</v>
      </c>
      <c r="P1341">
        <v>47.44</v>
      </c>
      <c r="Q1341">
        <v>-1.05</v>
      </c>
      <c r="R1341">
        <v>46.01</v>
      </c>
      <c r="S1341">
        <v>46.5</v>
      </c>
      <c r="T1341">
        <v>4911</v>
      </c>
      <c r="U1341">
        <v>46.88</v>
      </c>
      <c r="V1341">
        <v>46.5</v>
      </c>
      <c r="W1341">
        <v>59.02</v>
      </c>
      <c r="X1341" t="s">
        <v>847</v>
      </c>
      <c r="Y1341" t="s">
        <v>676</v>
      </c>
      <c r="Z1341">
        <v>3.08</v>
      </c>
      <c r="AA1341">
        <v>46.98</v>
      </c>
      <c r="AB1341">
        <v>2414</v>
      </c>
      <c r="AC1341">
        <v>2497</v>
      </c>
      <c r="AD1341">
        <v>0.97</v>
      </c>
      <c r="AE1341">
        <v>3</v>
      </c>
      <c r="AF1341">
        <v>2</v>
      </c>
      <c r="AG1341" t="s">
        <v>120</v>
      </c>
      <c r="AH1341">
        <v>0.01</v>
      </c>
      <c r="AI1341" t="s">
        <v>120</v>
      </c>
      <c r="AJ1341">
        <v>0.41</v>
      </c>
      <c r="AK1341" t="s">
        <v>7211</v>
      </c>
      <c r="AL1341">
        <v>2.73</v>
      </c>
      <c r="AM1341">
        <v>903</v>
      </c>
      <c r="AN1341">
        <v>5</v>
      </c>
      <c r="AO1341">
        <v>1.2999999999999999E-3</v>
      </c>
      <c r="AP1341">
        <v>1</v>
      </c>
      <c r="AQ1341">
        <v>-1.06</v>
      </c>
      <c r="AR1341">
        <v>-3.33</v>
      </c>
      <c r="AS1341">
        <v>-4.93</v>
      </c>
      <c r="AT1341">
        <v>-26.75</v>
      </c>
      <c r="AU1341">
        <v>-42.26</v>
      </c>
      <c r="AV1341">
        <v>2</v>
      </c>
      <c r="AW1341">
        <v>1.83</v>
      </c>
      <c r="AX1341">
        <v>28.73</v>
      </c>
      <c r="AY1341">
        <v>29.38</v>
      </c>
      <c r="AZ1341">
        <v>24.18</v>
      </c>
      <c r="BA1341">
        <v>0.62</v>
      </c>
      <c r="BB1341" t="s">
        <v>143</v>
      </c>
      <c r="BF1341">
        <v>1.04</v>
      </c>
      <c r="BG1341">
        <v>0.82</v>
      </c>
      <c r="BH1341">
        <v>-1.18</v>
      </c>
      <c r="BI1341">
        <v>1.89</v>
      </c>
      <c r="BJ1341">
        <v>20210913</v>
      </c>
      <c r="BK1341">
        <v>20200731</v>
      </c>
      <c r="BL1341">
        <v>0.93</v>
      </c>
      <c r="BM1341" t="s">
        <v>120</v>
      </c>
      <c r="BN1341" t="s">
        <v>120</v>
      </c>
      <c r="BO1341">
        <v>16.809999999999999</v>
      </c>
      <c r="BP1341">
        <v>46.84</v>
      </c>
      <c r="BQ1341">
        <v>13.88</v>
      </c>
      <c r="BR1341" t="s">
        <v>120</v>
      </c>
      <c r="BS1341">
        <v>17.43</v>
      </c>
      <c r="BT1341">
        <v>10.8</v>
      </c>
      <c r="BU1341">
        <v>3.03</v>
      </c>
      <c r="BV1341">
        <v>0.99</v>
      </c>
      <c r="BW1341">
        <v>1.61</v>
      </c>
      <c r="BX1341">
        <v>6.98</v>
      </c>
      <c r="BY1341">
        <v>0.76</v>
      </c>
      <c r="BZ1341">
        <v>0.06</v>
      </c>
      <c r="CA1341" t="s">
        <v>120</v>
      </c>
      <c r="CB1341">
        <v>9.58</v>
      </c>
      <c r="CC1341">
        <v>5.44</v>
      </c>
      <c r="CD1341">
        <v>3.42</v>
      </c>
      <c r="CE1341">
        <v>0.51</v>
      </c>
      <c r="CF1341">
        <v>0.1</v>
      </c>
      <c r="CG1341">
        <v>0.5</v>
      </c>
      <c r="CH1341">
        <v>0.37</v>
      </c>
      <c r="CI1341">
        <v>0.37</v>
      </c>
      <c r="CJ1341">
        <v>0.38</v>
      </c>
      <c r="CK1341">
        <v>0.27</v>
      </c>
      <c r="CL1341">
        <v>2.76</v>
      </c>
      <c r="CM1341">
        <v>0.15</v>
      </c>
      <c r="CN1341">
        <v>5.49</v>
      </c>
      <c r="CO1341">
        <v>12688</v>
      </c>
      <c r="CP1341">
        <v>2111</v>
      </c>
      <c r="CQ1341" t="s">
        <v>3431</v>
      </c>
      <c r="CR1341">
        <v>-46.16</v>
      </c>
      <c r="CS1341">
        <v>10.92</v>
      </c>
      <c r="CT1341">
        <v>3.15</v>
      </c>
      <c r="CU1341">
        <v>293.54000000000002</v>
      </c>
      <c r="CV1341">
        <v>8.0399999999999991</v>
      </c>
      <c r="CW1341">
        <v>1.61</v>
      </c>
      <c r="CX1341" t="s">
        <v>3527</v>
      </c>
      <c r="CY1341">
        <v>14.89</v>
      </c>
      <c r="CZ1341">
        <v>0</v>
      </c>
      <c r="DA1341">
        <v>10.28</v>
      </c>
      <c r="DB1341">
        <v>2.96</v>
      </c>
      <c r="DC1341">
        <v>0.16</v>
      </c>
      <c r="DD1341">
        <v>82.57</v>
      </c>
      <c r="DE1341" t="s">
        <v>1846</v>
      </c>
      <c r="DF1341">
        <v>37.159999999999997</v>
      </c>
      <c r="DG1341">
        <v>9.3800000000000008</v>
      </c>
      <c r="DH1341">
        <v>6.81</v>
      </c>
      <c r="DI1341">
        <v>0.06</v>
      </c>
      <c r="DJ1341">
        <v>2018</v>
      </c>
      <c r="DK1341">
        <v>2991</v>
      </c>
      <c r="DL1341" t="s">
        <v>120</v>
      </c>
      <c r="DM1341" t="s">
        <v>120</v>
      </c>
      <c r="DN1341" t="s">
        <v>120</v>
      </c>
    </row>
    <row r="1342" spans="1:118">
      <c r="A1342" t="str">
        <f>"002992"</f>
        <v>002992</v>
      </c>
      <c r="B1342" t="s">
        <v>7212</v>
      </c>
      <c r="C1342">
        <v>-0.28000000000000003</v>
      </c>
      <c r="D1342">
        <v>0</v>
      </c>
      <c r="E1342">
        <v>-0.14000000000000001</v>
      </c>
      <c r="F1342">
        <v>134</v>
      </c>
      <c r="G1342" t="s">
        <v>6417</v>
      </c>
      <c r="H1342">
        <v>723.57</v>
      </c>
      <c r="I1342">
        <v>0</v>
      </c>
      <c r="J1342" t="s">
        <v>120</v>
      </c>
      <c r="K1342" t="s">
        <v>6417</v>
      </c>
      <c r="L1342">
        <v>0.68</v>
      </c>
      <c r="M1342">
        <v>14.28</v>
      </c>
      <c r="N1342">
        <v>0.84</v>
      </c>
      <c r="O1342">
        <v>0.56000000000000005</v>
      </c>
      <c r="P1342">
        <v>14.4</v>
      </c>
      <c r="Q1342">
        <v>-0.49</v>
      </c>
      <c r="R1342">
        <v>14.25</v>
      </c>
      <c r="S1342">
        <v>14.3</v>
      </c>
      <c r="T1342">
        <v>5056</v>
      </c>
      <c r="U1342">
        <v>14.29</v>
      </c>
      <c r="V1342">
        <v>14.32</v>
      </c>
      <c r="W1342" t="s">
        <v>120</v>
      </c>
      <c r="X1342" t="s">
        <v>229</v>
      </c>
      <c r="Y1342" t="s">
        <v>123</v>
      </c>
      <c r="Z1342">
        <v>1.05</v>
      </c>
      <c r="AA1342">
        <v>14.31</v>
      </c>
      <c r="AB1342">
        <v>3337</v>
      </c>
      <c r="AC1342">
        <v>1719</v>
      </c>
      <c r="AD1342">
        <v>1.94</v>
      </c>
      <c r="AE1342">
        <v>53</v>
      </c>
      <c r="AF1342">
        <v>24</v>
      </c>
      <c r="AG1342" t="s">
        <v>120</v>
      </c>
      <c r="AH1342">
        <v>0</v>
      </c>
      <c r="AI1342" t="s">
        <v>120</v>
      </c>
      <c r="AJ1342">
        <v>0.74</v>
      </c>
      <c r="AK1342" t="s">
        <v>4066</v>
      </c>
      <c r="AL1342">
        <v>1.63</v>
      </c>
      <c r="AM1342">
        <v>397</v>
      </c>
      <c r="AN1342">
        <v>13</v>
      </c>
      <c r="AO1342">
        <v>1.6999999999999999E-3</v>
      </c>
      <c r="AP1342">
        <v>-1</v>
      </c>
      <c r="AQ1342">
        <v>0.35</v>
      </c>
      <c r="AR1342">
        <v>-1.72</v>
      </c>
      <c r="AS1342">
        <v>-2.86</v>
      </c>
      <c r="AT1342">
        <v>-15.2</v>
      </c>
      <c r="AU1342">
        <v>-29.82</v>
      </c>
      <c r="AV1342">
        <v>5</v>
      </c>
      <c r="AW1342">
        <v>0.68</v>
      </c>
      <c r="AX1342">
        <v>41.29</v>
      </c>
      <c r="AY1342" t="s">
        <v>120</v>
      </c>
      <c r="AZ1342">
        <v>83.15</v>
      </c>
      <c r="BA1342">
        <v>0.36</v>
      </c>
      <c r="BB1342" t="s">
        <v>143</v>
      </c>
      <c r="BF1342">
        <v>-0.05</v>
      </c>
      <c r="BG1342">
        <v>-0.14000000000000001</v>
      </c>
      <c r="BH1342">
        <v>-0.83</v>
      </c>
      <c r="BI1342">
        <v>0.21</v>
      </c>
      <c r="BJ1342">
        <v>20210909</v>
      </c>
      <c r="BK1342">
        <v>20200803</v>
      </c>
      <c r="BL1342">
        <v>1.79</v>
      </c>
      <c r="BM1342" t="s">
        <v>120</v>
      </c>
      <c r="BN1342" t="s">
        <v>120</v>
      </c>
      <c r="BO1342">
        <v>26.03</v>
      </c>
      <c r="BP1342">
        <v>14.28</v>
      </c>
      <c r="BQ1342">
        <v>13.78</v>
      </c>
      <c r="BR1342">
        <v>-0.05</v>
      </c>
      <c r="BS1342">
        <v>47.24</v>
      </c>
      <c r="BT1342">
        <v>16.12</v>
      </c>
      <c r="BU1342">
        <v>6.65</v>
      </c>
      <c r="BV1342">
        <v>0.36</v>
      </c>
      <c r="BW1342">
        <v>11.19</v>
      </c>
      <c r="BX1342">
        <v>7.13</v>
      </c>
      <c r="BY1342">
        <v>1.55</v>
      </c>
      <c r="BZ1342">
        <v>4.1900000000000004</v>
      </c>
      <c r="CA1342" t="s">
        <v>120</v>
      </c>
      <c r="CB1342">
        <v>8.23</v>
      </c>
      <c r="CC1342">
        <v>5.53</v>
      </c>
      <c r="CD1342">
        <v>5.6</v>
      </c>
      <c r="CE1342">
        <v>-1.1200000000000001</v>
      </c>
      <c r="CF1342">
        <v>0</v>
      </c>
      <c r="CG1342">
        <v>-1.1200000000000001</v>
      </c>
      <c r="CH1342">
        <v>-0.88</v>
      </c>
      <c r="CI1342">
        <v>-0.89</v>
      </c>
      <c r="CJ1342">
        <v>-0.04</v>
      </c>
      <c r="CK1342">
        <v>-0.92</v>
      </c>
      <c r="CL1342">
        <v>3.12</v>
      </c>
      <c r="CM1342">
        <v>0.97</v>
      </c>
      <c r="CN1342">
        <v>-0.77</v>
      </c>
      <c r="CO1342">
        <v>17660</v>
      </c>
      <c r="CP1342">
        <v>4193</v>
      </c>
      <c r="CQ1342" t="s">
        <v>7213</v>
      </c>
      <c r="CR1342">
        <v>-293.14999999999998</v>
      </c>
      <c r="CS1342">
        <v>-10.78</v>
      </c>
      <c r="CT1342">
        <v>1.86</v>
      </c>
      <c r="CU1342">
        <v>26.36</v>
      </c>
      <c r="CV1342">
        <v>4.63</v>
      </c>
      <c r="CW1342">
        <v>1.99</v>
      </c>
      <c r="CX1342" t="s">
        <v>7214</v>
      </c>
      <c r="CY1342">
        <v>7.68</v>
      </c>
      <c r="CZ1342">
        <v>0</v>
      </c>
      <c r="DA1342">
        <v>4.59</v>
      </c>
      <c r="DB1342">
        <v>1.74</v>
      </c>
      <c r="DC1342">
        <v>0.54</v>
      </c>
      <c r="DD1342">
        <v>52.95</v>
      </c>
      <c r="DE1342" t="s">
        <v>7215</v>
      </c>
      <c r="DF1342">
        <v>-1.32</v>
      </c>
      <c r="DG1342">
        <v>-20.309999999999999</v>
      </c>
      <c r="DH1342">
        <v>-16.05</v>
      </c>
      <c r="DI1342">
        <v>0.46</v>
      </c>
      <c r="DJ1342">
        <v>2290</v>
      </c>
      <c r="DK1342">
        <v>2992</v>
      </c>
      <c r="DL1342" t="s">
        <v>120</v>
      </c>
      <c r="DM1342" t="s">
        <v>120</v>
      </c>
      <c r="DN1342" t="s">
        <v>120</v>
      </c>
    </row>
    <row r="1343" spans="1:118">
      <c r="A1343" t="str">
        <f>"002993"</f>
        <v>002993</v>
      </c>
      <c r="B1343" t="s">
        <v>7216</v>
      </c>
      <c r="C1343">
        <v>-0.66</v>
      </c>
      <c r="D1343">
        <v>0.25</v>
      </c>
      <c r="E1343">
        <v>-0.41</v>
      </c>
      <c r="F1343">
        <v>201</v>
      </c>
      <c r="G1343" t="s">
        <v>4955</v>
      </c>
      <c r="H1343">
        <v>5321.04</v>
      </c>
      <c r="I1343">
        <v>4.68</v>
      </c>
      <c r="J1343" t="s">
        <v>120</v>
      </c>
      <c r="K1343" t="s">
        <v>4955</v>
      </c>
      <c r="L1343">
        <v>2.46</v>
      </c>
      <c r="M1343">
        <v>35.92</v>
      </c>
      <c r="N1343">
        <v>0.72</v>
      </c>
      <c r="O1343">
        <v>1.1599999999999999</v>
      </c>
      <c r="P1343">
        <v>36.58</v>
      </c>
      <c r="Q1343">
        <v>-1.24</v>
      </c>
      <c r="R1343">
        <v>35.71</v>
      </c>
      <c r="S1343">
        <v>36.01</v>
      </c>
      <c r="T1343">
        <v>14750</v>
      </c>
      <c r="U1343">
        <v>35.92</v>
      </c>
      <c r="V1343">
        <v>36.159999999999997</v>
      </c>
      <c r="W1343">
        <v>25.82</v>
      </c>
      <c r="X1343" t="s">
        <v>229</v>
      </c>
      <c r="Y1343" t="s">
        <v>547</v>
      </c>
      <c r="Z1343">
        <v>2.41</v>
      </c>
      <c r="AA1343">
        <v>36.07</v>
      </c>
      <c r="AB1343">
        <v>8134</v>
      </c>
      <c r="AC1343">
        <v>6616</v>
      </c>
      <c r="AD1343">
        <v>1.23</v>
      </c>
      <c r="AE1343">
        <v>1</v>
      </c>
      <c r="AF1343">
        <v>98</v>
      </c>
      <c r="AG1343" t="s">
        <v>120</v>
      </c>
      <c r="AH1343">
        <v>0</v>
      </c>
      <c r="AI1343" t="s">
        <v>120</v>
      </c>
      <c r="AJ1343">
        <v>0.6</v>
      </c>
      <c r="AK1343" t="s">
        <v>7217</v>
      </c>
      <c r="AL1343">
        <v>1.25</v>
      </c>
      <c r="AM1343">
        <v>1508</v>
      </c>
      <c r="AN1343">
        <v>10</v>
      </c>
      <c r="AO1343">
        <v>1.6000000000000001E-3</v>
      </c>
      <c r="AP1343">
        <v>-1</v>
      </c>
      <c r="AQ1343">
        <v>0.44</v>
      </c>
      <c r="AR1343">
        <v>-2.61</v>
      </c>
      <c r="AS1343">
        <v>-1.24</v>
      </c>
      <c r="AT1343">
        <v>-19.34</v>
      </c>
      <c r="AU1343">
        <v>-29.31</v>
      </c>
      <c r="AV1343">
        <v>8</v>
      </c>
      <c r="AW1343">
        <v>2.46</v>
      </c>
      <c r="AX1343">
        <v>25.5</v>
      </c>
      <c r="AY1343">
        <v>23.54</v>
      </c>
      <c r="AZ1343">
        <v>25.83</v>
      </c>
      <c r="BA1343">
        <v>0.74</v>
      </c>
      <c r="BB1343" t="s">
        <v>143</v>
      </c>
      <c r="BF1343">
        <v>-0.24</v>
      </c>
      <c r="BG1343">
        <v>-0.25</v>
      </c>
      <c r="BH1343">
        <v>-1.8</v>
      </c>
      <c r="BI1343">
        <v>0.59</v>
      </c>
      <c r="BJ1343">
        <v>20210816</v>
      </c>
      <c r="BK1343">
        <v>20200817</v>
      </c>
      <c r="BL1343">
        <v>2.35</v>
      </c>
      <c r="BM1343" t="s">
        <v>120</v>
      </c>
      <c r="BN1343" t="s">
        <v>120</v>
      </c>
      <c r="BO1343">
        <v>46.16</v>
      </c>
      <c r="BP1343">
        <v>35.880000000000003</v>
      </c>
      <c r="BQ1343">
        <v>23.21</v>
      </c>
      <c r="BR1343">
        <v>0.02</v>
      </c>
      <c r="BS1343">
        <v>49.67</v>
      </c>
      <c r="BT1343">
        <v>37.229999999999997</v>
      </c>
      <c r="BU1343">
        <v>6.03</v>
      </c>
      <c r="BV1343">
        <v>1.1599999999999999</v>
      </c>
      <c r="BW1343">
        <v>22.09</v>
      </c>
      <c r="BX1343">
        <v>17.79</v>
      </c>
      <c r="BY1343">
        <v>5.33</v>
      </c>
      <c r="BZ1343">
        <v>11.55</v>
      </c>
      <c r="CA1343" t="s">
        <v>120</v>
      </c>
      <c r="CB1343">
        <v>12.02</v>
      </c>
      <c r="CC1343">
        <v>18.64</v>
      </c>
      <c r="CD1343">
        <v>15.1</v>
      </c>
      <c r="CE1343">
        <v>1.83</v>
      </c>
      <c r="CF1343">
        <v>0.11</v>
      </c>
      <c r="CG1343">
        <v>1.83</v>
      </c>
      <c r="CH1343">
        <v>1.63</v>
      </c>
      <c r="CI1343">
        <v>1.63</v>
      </c>
      <c r="CJ1343">
        <v>-0.24</v>
      </c>
      <c r="CK1343">
        <v>1.51</v>
      </c>
      <c r="CL1343">
        <v>8.81</v>
      </c>
      <c r="CM1343">
        <v>0.71</v>
      </c>
      <c r="CN1343">
        <v>-1.69</v>
      </c>
      <c r="CO1343">
        <v>36616</v>
      </c>
      <c r="CP1343">
        <v>1637</v>
      </c>
      <c r="CQ1343" t="s">
        <v>7218</v>
      </c>
      <c r="CR1343">
        <v>24.36</v>
      </c>
      <c r="CS1343">
        <v>63.39</v>
      </c>
      <c r="CT1343">
        <v>3.64</v>
      </c>
      <c r="CU1343">
        <v>118.48</v>
      </c>
      <c r="CV1343">
        <v>4.53</v>
      </c>
      <c r="CW1343">
        <v>0.64</v>
      </c>
      <c r="CX1343" t="s">
        <v>2021</v>
      </c>
      <c r="CY1343">
        <v>9.8800000000000008</v>
      </c>
      <c r="CZ1343">
        <v>0</v>
      </c>
      <c r="DA1343">
        <v>5.12</v>
      </c>
      <c r="DB1343">
        <v>3.75</v>
      </c>
      <c r="DC1343">
        <v>0.3</v>
      </c>
      <c r="DD1343">
        <v>50.28</v>
      </c>
      <c r="DE1343" t="s">
        <v>7219</v>
      </c>
      <c r="DF1343">
        <v>18.989999999999998</v>
      </c>
      <c r="DG1343">
        <v>9.82</v>
      </c>
      <c r="DH1343">
        <v>8.77</v>
      </c>
      <c r="DI1343">
        <v>0.85</v>
      </c>
      <c r="DJ1343">
        <v>5595</v>
      </c>
      <c r="DK1343">
        <v>2993</v>
      </c>
      <c r="DL1343" t="s">
        <v>120</v>
      </c>
      <c r="DM1343" t="s">
        <v>120</v>
      </c>
      <c r="DN1343" t="s">
        <v>120</v>
      </c>
    </row>
    <row r="1344" spans="1:118">
      <c r="A1344" t="str">
        <f>"002995"</f>
        <v>002995</v>
      </c>
      <c r="B1344" t="s">
        <v>7220</v>
      </c>
      <c r="C1344">
        <v>0.15</v>
      </c>
      <c r="D1344">
        <v>0.11</v>
      </c>
      <c r="E1344">
        <v>0.15</v>
      </c>
      <c r="F1344">
        <v>85</v>
      </c>
      <c r="G1344" t="s">
        <v>7221</v>
      </c>
      <c r="H1344">
        <v>1335.56</v>
      </c>
      <c r="I1344">
        <v>0</v>
      </c>
      <c r="J1344" t="s">
        <v>120</v>
      </c>
      <c r="K1344" t="s">
        <v>7222</v>
      </c>
      <c r="L1344">
        <v>1.24</v>
      </c>
      <c r="M1344">
        <v>26.39</v>
      </c>
      <c r="N1344">
        <v>1.17</v>
      </c>
      <c r="O1344">
        <v>1.52</v>
      </c>
      <c r="P1344">
        <v>26.75</v>
      </c>
      <c r="Q1344">
        <v>-0.23</v>
      </c>
      <c r="R1344">
        <v>26.29</v>
      </c>
      <c r="S1344">
        <v>26.39</v>
      </c>
      <c r="T1344">
        <v>5039</v>
      </c>
      <c r="U1344">
        <v>26.39</v>
      </c>
      <c r="V1344">
        <v>26.35</v>
      </c>
      <c r="W1344">
        <v>28.43</v>
      </c>
      <c r="X1344" t="s">
        <v>1531</v>
      </c>
      <c r="Y1344" t="s">
        <v>158</v>
      </c>
      <c r="Z1344">
        <v>1.75</v>
      </c>
      <c r="AA1344">
        <v>26.5</v>
      </c>
      <c r="AB1344">
        <v>2761</v>
      </c>
      <c r="AC1344">
        <v>2278</v>
      </c>
      <c r="AD1344">
        <v>1.21</v>
      </c>
      <c r="AE1344">
        <v>203</v>
      </c>
      <c r="AF1344">
        <v>31</v>
      </c>
      <c r="AG1344" t="s">
        <v>120</v>
      </c>
      <c r="AH1344">
        <v>0</v>
      </c>
      <c r="AI1344" t="s">
        <v>120</v>
      </c>
      <c r="AJ1344">
        <v>0.41</v>
      </c>
      <c r="AK1344" t="s">
        <v>7223</v>
      </c>
      <c r="AL1344">
        <v>2.0699999999999998</v>
      </c>
      <c r="AM1344">
        <v>592</v>
      </c>
      <c r="AN1344">
        <v>9</v>
      </c>
      <c r="AO1344">
        <v>2.0999999999999999E-3</v>
      </c>
      <c r="AP1344">
        <v>2</v>
      </c>
      <c r="AQ1344">
        <v>1.04</v>
      </c>
      <c r="AR1344">
        <v>-0.53</v>
      </c>
      <c r="AS1344">
        <v>-0.04</v>
      </c>
      <c r="AT1344">
        <v>-17.29</v>
      </c>
      <c r="AU1344">
        <v>-25.08</v>
      </c>
      <c r="AV1344">
        <v>2</v>
      </c>
      <c r="AW1344">
        <v>1.87</v>
      </c>
      <c r="AX1344">
        <v>29.69</v>
      </c>
      <c r="AY1344">
        <v>21.02</v>
      </c>
      <c r="AZ1344">
        <v>22.74</v>
      </c>
      <c r="BA1344">
        <v>0.06</v>
      </c>
      <c r="BB1344" t="s">
        <v>143</v>
      </c>
      <c r="BF1344">
        <v>0.57999999999999996</v>
      </c>
      <c r="BG1344">
        <v>0</v>
      </c>
      <c r="BH1344">
        <v>-1.35</v>
      </c>
      <c r="BI1344">
        <v>0.38</v>
      </c>
      <c r="BJ1344">
        <v>20210828</v>
      </c>
      <c r="BK1344">
        <v>20200805</v>
      </c>
      <c r="BL1344">
        <v>0.91</v>
      </c>
      <c r="BM1344" t="s">
        <v>120</v>
      </c>
      <c r="BN1344" t="s">
        <v>120</v>
      </c>
      <c r="BO1344">
        <v>16.48</v>
      </c>
      <c r="BP1344">
        <v>26.36</v>
      </c>
      <c r="BQ1344">
        <v>10.46</v>
      </c>
      <c r="BR1344" t="s">
        <v>120</v>
      </c>
      <c r="BS1344">
        <v>36.56</v>
      </c>
      <c r="BT1344">
        <v>14.63</v>
      </c>
      <c r="BU1344">
        <v>0.53</v>
      </c>
      <c r="BV1344">
        <v>0.01</v>
      </c>
      <c r="BW1344">
        <v>6.03</v>
      </c>
      <c r="BX1344">
        <v>2.9</v>
      </c>
      <c r="BY1344">
        <v>0</v>
      </c>
      <c r="BZ1344">
        <v>2.12</v>
      </c>
      <c r="CA1344" t="s">
        <v>120</v>
      </c>
      <c r="CB1344">
        <v>5.42</v>
      </c>
      <c r="CC1344">
        <v>21.53</v>
      </c>
      <c r="CD1344">
        <v>20.5</v>
      </c>
      <c r="CE1344">
        <v>0.44</v>
      </c>
      <c r="CF1344">
        <v>0.05</v>
      </c>
      <c r="CG1344">
        <v>0.49</v>
      </c>
      <c r="CH1344">
        <v>0.42</v>
      </c>
      <c r="CI1344">
        <v>0.42</v>
      </c>
      <c r="CJ1344">
        <v>0.04</v>
      </c>
      <c r="CK1344">
        <v>0.36</v>
      </c>
      <c r="CL1344">
        <v>3.78</v>
      </c>
      <c r="CM1344">
        <v>-1.34</v>
      </c>
      <c r="CN1344">
        <v>-0.49</v>
      </c>
      <c r="CO1344">
        <v>11422</v>
      </c>
      <c r="CP1344">
        <v>2354</v>
      </c>
      <c r="CQ1344" t="s">
        <v>5822</v>
      </c>
      <c r="CR1344">
        <v>25.65</v>
      </c>
      <c r="CS1344">
        <v>77.22</v>
      </c>
      <c r="CT1344">
        <v>2.29</v>
      </c>
      <c r="CU1344">
        <v>-17.77</v>
      </c>
      <c r="CV1344">
        <v>1.1100000000000001</v>
      </c>
      <c r="CW1344">
        <v>1.36</v>
      </c>
      <c r="CX1344" t="s">
        <v>7224</v>
      </c>
      <c r="CY1344">
        <v>11.55</v>
      </c>
      <c r="CZ1344">
        <v>0</v>
      </c>
      <c r="DA1344">
        <v>5.98</v>
      </c>
      <c r="DB1344">
        <v>4.18</v>
      </c>
      <c r="DC1344">
        <v>-1.49</v>
      </c>
      <c r="DD1344">
        <v>63.44</v>
      </c>
      <c r="DE1344" t="s">
        <v>1363</v>
      </c>
      <c r="DF1344">
        <v>4.75</v>
      </c>
      <c r="DG1344">
        <v>2.06</v>
      </c>
      <c r="DH1344">
        <v>1.95</v>
      </c>
      <c r="DI1344">
        <v>0.32</v>
      </c>
      <c r="DJ1344">
        <v>988</v>
      </c>
      <c r="DK1344">
        <v>2995</v>
      </c>
      <c r="DL1344" t="s">
        <v>120</v>
      </c>
      <c r="DM1344" t="s">
        <v>120</v>
      </c>
      <c r="DN1344" t="s">
        <v>120</v>
      </c>
    </row>
    <row r="1345" spans="1:118">
      <c r="A1345" t="str">
        <f>"002996"</f>
        <v>002996</v>
      </c>
      <c r="B1345" t="s">
        <v>7225</v>
      </c>
      <c r="C1345">
        <v>-3.26</v>
      </c>
      <c r="D1345">
        <v>-0.1</v>
      </c>
      <c r="E1345">
        <v>0.88</v>
      </c>
      <c r="F1345">
        <v>751</v>
      </c>
      <c r="G1345" t="s">
        <v>7226</v>
      </c>
      <c r="H1345">
        <v>19970.97</v>
      </c>
      <c r="I1345">
        <v>38.75</v>
      </c>
      <c r="J1345" t="s">
        <v>120</v>
      </c>
      <c r="K1345" t="s">
        <v>7226</v>
      </c>
      <c r="L1345">
        <v>8.3000000000000007</v>
      </c>
      <c r="M1345">
        <v>18.670000000000002</v>
      </c>
      <c r="N1345">
        <v>0.56000000000000005</v>
      </c>
      <c r="O1345">
        <v>1.71</v>
      </c>
      <c r="P1345">
        <v>19.63</v>
      </c>
      <c r="Q1345">
        <v>-3.99</v>
      </c>
      <c r="R1345">
        <v>18.53</v>
      </c>
      <c r="S1345">
        <v>19.47</v>
      </c>
      <c r="T1345">
        <v>104579</v>
      </c>
      <c r="U1345">
        <v>18.68</v>
      </c>
      <c r="V1345">
        <v>19.3</v>
      </c>
      <c r="W1345">
        <v>26.35</v>
      </c>
      <c r="X1345" t="s">
        <v>1325</v>
      </c>
      <c r="Y1345" t="s">
        <v>883</v>
      </c>
      <c r="Z1345">
        <v>5.7</v>
      </c>
      <c r="AA1345">
        <v>19.100000000000001</v>
      </c>
      <c r="AB1345">
        <v>64500</v>
      </c>
      <c r="AC1345">
        <v>40079</v>
      </c>
      <c r="AD1345">
        <v>1.61</v>
      </c>
      <c r="AE1345">
        <v>145</v>
      </c>
      <c r="AF1345">
        <v>73</v>
      </c>
      <c r="AG1345" t="s">
        <v>120</v>
      </c>
      <c r="AH1345">
        <v>0.02</v>
      </c>
      <c r="AI1345" t="s">
        <v>120</v>
      </c>
      <c r="AJ1345">
        <v>1.26</v>
      </c>
      <c r="AK1345" t="s">
        <v>7227</v>
      </c>
      <c r="AL1345">
        <v>-1.35</v>
      </c>
      <c r="AM1345">
        <v>3412</v>
      </c>
      <c r="AN1345">
        <v>31</v>
      </c>
      <c r="AO1345">
        <v>2.3999999999999998E-3</v>
      </c>
      <c r="AP1345">
        <v>-3</v>
      </c>
      <c r="AQ1345">
        <v>-0.56999999999999995</v>
      </c>
      <c r="AR1345">
        <v>-10.89</v>
      </c>
      <c r="AS1345">
        <v>0.22</v>
      </c>
      <c r="AT1345">
        <v>4.59</v>
      </c>
      <c r="AU1345">
        <v>15.46</v>
      </c>
      <c r="AV1345">
        <v>20</v>
      </c>
      <c r="AW1345">
        <v>8.3000000000000007</v>
      </c>
      <c r="AX1345">
        <v>28.72</v>
      </c>
      <c r="AY1345">
        <v>30.56</v>
      </c>
      <c r="AZ1345">
        <v>43.27</v>
      </c>
      <c r="BA1345">
        <v>0.57999999999999996</v>
      </c>
      <c r="BB1345" t="s">
        <v>125</v>
      </c>
      <c r="BF1345">
        <v>-1.05</v>
      </c>
      <c r="BG1345">
        <v>-4.1100000000000003</v>
      </c>
      <c r="BH1345">
        <v>-4.8899999999999997</v>
      </c>
      <c r="BI1345">
        <v>0.76</v>
      </c>
      <c r="BJ1345">
        <v>20210827</v>
      </c>
      <c r="BK1345">
        <v>20200828</v>
      </c>
      <c r="BL1345">
        <v>4.3899999999999997</v>
      </c>
      <c r="BM1345" t="s">
        <v>120</v>
      </c>
      <c r="BN1345" t="s">
        <v>120</v>
      </c>
      <c r="BO1345">
        <v>36.67</v>
      </c>
      <c r="BP1345">
        <v>18.670000000000002</v>
      </c>
      <c r="BQ1345">
        <v>19.91</v>
      </c>
      <c r="BR1345">
        <v>1.8</v>
      </c>
      <c r="BS1345">
        <v>40.78</v>
      </c>
      <c r="BT1345">
        <v>29.66</v>
      </c>
      <c r="BU1345">
        <v>5.01</v>
      </c>
      <c r="BV1345">
        <v>1.2</v>
      </c>
      <c r="BW1345">
        <v>14.33</v>
      </c>
      <c r="BX1345">
        <v>3.82</v>
      </c>
      <c r="BY1345">
        <v>5.48</v>
      </c>
      <c r="BZ1345">
        <v>15.62</v>
      </c>
      <c r="CA1345" t="s">
        <v>120</v>
      </c>
      <c r="CB1345">
        <v>6.09</v>
      </c>
      <c r="CC1345">
        <v>42.02</v>
      </c>
      <c r="CD1345">
        <v>39.090000000000003</v>
      </c>
      <c r="CE1345">
        <v>2.08</v>
      </c>
      <c r="CF1345">
        <v>0.01</v>
      </c>
      <c r="CG1345">
        <v>2.09</v>
      </c>
      <c r="CH1345">
        <v>1.81</v>
      </c>
      <c r="CI1345">
        <v>1.56</v>
      </c>
      <c r="CJ1345">
        <v>-0.63</v>
      </c>
      <c r="CK1345">
        <v>1.38</v>
      </c>
      <c r="CL1345">
        <v>8.73</v>
      </c>
      <c r="CM1345">
        <v>-2.3199999999999998</v>
      </c>
      <c r="CN1345">
        <v>-0.99</v>
      </c>
      <c r="CO1345">
        <v>25652</v>
      </c>
      <c r="CP1345">
        <v>4914</v>
      </c>
      <c r="CQ1345" t="s">
        <v>7228</v>
      </c>
      <c r="CR1345">
        <v>109.93</v>
      </c>
      <c r="CS1345">
        <v>134.33000000000001</v>
      </c>
      <c r="CT1345">
        <v>4.12</v>
      </c>
      <c r="CU1345">
        <v>-35.32</v>
      </c>
      <c r="CV1345">
        <v>1.95</v>
      </c>
      <c r="CW1345">
        <v>0.52</v>
      </c>
      <c r="CX1345" t="s">
        <v>269</v>
      </c>
      <c r="CY1345">
        <v>4.54</v>
      </c>
      <c r="CZ1345">
        <v>0</v>
      </c>
      <c r="DA1345">
        <v>1.39</v>
      </c>
      <c r="DB1345">
        <v>1.99</v>
      </c>
      <c r="DC1345">
        <v>-0.53</v>
      </c>
      <c r="DD1345">
        <v>54.3</v>
      </c>
      <c r="DE1345" t="s">
        <v>5171</v>
      </c>
      <c r="DF1345">
        <v>6.96</v>
      </c>
      <c r="DG1345">
        <v>4.9400000000000004</v>
      </c>
      <c r="DH1345">
        <v>3.7</v>
      </c>
      <c r="DI1345" t="s">
        <v>120</v>
      </c>
      <c r="DJ1345">
        <v>1121</v>
      </c>
      <c r="DK1345">
        <v>2996</v>
      </c>
      <c r="DL1345" t="s">
        <v>120</v>
      </c>
      <c r="DM1345" t="s">
        <v>120</v>
      </c>
      <c r="DN1345" t="s">
        <v>120</v>
      </c>
    </row>
    <row r="1346" spans="1:118">
      <c r="A1346" t="str">
        <f>"002997"</f>
        <v>002997</v>
      </c>
      <c r="B1346" t="s">
        <v>7229</v>
      </c>
      <c r="C1346">
        <v>-0.86</v>
      </c>
      <c r="D1346">
        <v>7.0000000000000007E-2</v>
      </c>
      <c r="E1346">
        <v>7.0000000000000007E-2</v>
      </c>
      <c r="F1346">
        <v>207</v>
      </c>
      <c r="G1346" t="s">
        <v>6708</v>
      </c>
      <c r="H1346">
        <v>1703.08</v>
      </c>
      <c r="I1346">
        <v>3.47</v>
      </c>
      <c r="J1346" t="s">
        <v>120</v>
      </c>
      <c r="K1346" t="s">
        <v>7043</v>
      </c>
      <c r="L1346">
        <v>0.99</v>
      </c>
      <c r="M1346">
        <v>14.93</v>
      </c>
      <c r="N1346">
        <v>0.83</v>
      </c>
      <c r="O1346">
        <v>0.86</v>
      </c>
      <c r="P1346">
        <v>15.19</v>
      </c>
      <c r="Q1346">
        <v>-1</v>
      </c>
      <c r="R1346">
        <v>14.91</v>
      </c>
      <c r="S1346">
        <v>15.07</v>
      </c>
      <c r="T1346">
        <v>11323</v>
      </c>
      <c r="U1346">
        <v>14.94</v>
      </c>
      <c r="V1346">
        <v>15.06</v>
      </c>
      <c r="W1346">
        <v>23.95</v>
      </c>
      <c r="X1346" t="s">
        <v>289</v>
      </c>
      <c r="Y1346" t="s">
        <v>570</v>
      </c>
      <c r="Z1346">
        <v>1.86</v>
      </c>
      <c r="AA1346">
        <v>15.04</v>
      </c>
      <c r="AB1346">
        <v>7030</v>
      </c>
      <c r="AC1346">
        <v>4293</v>
      </c>
      <c r="AD1346">
        <v>1.64</v>
      </c>
      <c r="AE1346">
        <v>16</v>
      </c>
      <c r="AF1346">
        <v>15</v>
      </c>
      <c r="AG1346" t="s">
        <v>120</v>
      </c>
      <c r="AH1346">
        <v>0</v>
      </c>
      <c r="AI1346" t="s">
        <v>120</v>
      </c>
      <c r="AJ1346">
        <v>1.1399999999999999</v>
      </c>
      <c r="AK1346" t="s">
        <v>7230</v>
      </c>
      <c r="AL1346">
        <v>1.05</v>
      </c>
      <c r="AM1346">
        <v>922</v>
      </c>
      <c r="AN1346">
        <v>12</v>
      </c>
      <c r="AO1346">
        <v>1.1000000000000001E-3</v>
      </c>
      <c r="AP1346">
        <v>-1</v>
      </c>
      <c r="AQ1346">
        <v>0</v>
      </c>
      <c r="AR1346">
        <v>-3.11</v>
      </c>
      <c r="AS1346">
        <v>-6.28</v>
      </c>
      <c r="AT1346">
        <v>-20.8</v>
      </c>
      <c r="AU1346">
        <v>-8.58</v>
      </c>
      <c r="AV1346">
        <v>8</v>
      </c>
      <c r="AW1346">
        <v>1.29</v>
      </c>
      <c r="AX1346">
        <v>47.63</v>
      </c>
      <c r="AY1346">
        <v>28.42</v>
      </c>
      <c r="AZ1346">
        <v>26.75</v>
      </c>
      <c r="BA1346">
        <v>0.38</v>
      </c>
      <c r="BB1346" t="s">
        <v>143</v>
      </c>
      <c r="BF1346">
        <v>-0.13</v>
      </c>
      <c r="BG1346">
        <v>-0.93</v>
      </c>
      <c r="BH1346">
        <v>-1.71</v>
      </c>
      <c r="BI1346">
        <v>0.13</v>
      </c>
      <c r="BJ1346">
        <v>20210902</v>
      </c>
      <c r="BK1346">
        <v>20200903</v>
      </c>
      <c r="BL1346">
        <v>1.84</v>
      </c>
      <c r="BM1346" t="s">
        <v>120</v>
      </c>
      <c r="BN1346" t="s">
        <v>120</v>
      </c>
      <c r="BO1346">
        <v>26.12</v>
      </c>
      <c r="BP1346">
        <v>14.93</v>
      </c>
      <c r="BQ1346">
        <v>11</v>
      </c>
      <c r="BR1346">
        <v>0.54</v>
      </c>
      <c r="BS1346">
        <v>55.81</v>
      </c>
      <c r="BT1346">
        <v>20.149999999999999</v>
      </c>
      <c r="BU1346">
        <v>3.37</v>
      </c>
      <c r="BV1346">
        <v>0.39</v>
      </c>
      <c r="BW1346">
        <v>13.99</v>
      </c>
      <c r="BX1346">
        <v>3.17</v>
      </c>
      <c r="BY1346">
        <v>9.0299999999999994</v>
      </c>
      <c r="BZ1346">
        <v>3.71</v>
      </c>
      <c r="CA1346">
        <v>0</v>
      </c>
      <c r="CB1346">
        <v>5.55</v>
      </c>
      <c r="CC1346">
        <v>4.3499999999999996</v>
      </c>
      <c r="CD1346">
        <v>3.18</v>
      </c>
      <c r="CE1346">
        <v>0.59</v>
      </c>
      <c r="CF1346">
        <v>0.14000000000000001</v>
      </c>
      <c r="CG1346">
        <v>0.65</v>
      </c>
      <c r="CH1346">
        <v>0.57999999999999996</v>
      </c>
      <c r="CI1346">
        <v>0.56999999999999995</v>
      </c>
      <c r="CJ1346">
        <v>-0.13</v>
      </c>
      <c r="CK1346">
        <v>0.44</v>
      </c>
      <c r="CL1346">
        <v>3.22</v>
      </c>
      <c r="CM1346">
        <v>-0.43</v>
      </c>
      <c r="CN1346">
        <v>-2.4700000000000002</v>
      </c>
      <c r="CO1346">
        <v>23564</v>
      </c>
      <c r="CP1346">
        <v>3711</v>
      </c>
      <c r="CQ1346" t="s">
        <v>3857</v>
      </c>
      <c r="CR1346">
        <v>-9.61</v>
      </c>
      <c r="CS1346">
        <v>-1.21</v>
      </c>
      <c r="CT1346">
        <v>2.4900000000000002</v>
      </c>
      <c r="CU1346">
        <v>-63.39</v>
      </c>
      <c r="CV1346">
        <v>6.29</v>
      </c>
      <c r="CW1346">
        <v>1.33</v>
      </c>
      <c r="CX1346" t="s">
        <v>2752</v>
      </c>
      <c r="CY1346">
        <v>5.99</v>
      </c>
      <c r="CZ1346">
        <v>0</v>
      </c>
      <c r="DA1346">
        <v>3.02</v>
      </c>
      <c r="DB1346">
        <v>1.75</v>
      </c>
      <c r="DC1346">
        <v>-0.24</v>
      </c>
      <c r="DD1346">
        <v>42.12</v>
      </c>
      <c r="DE1346" t="s">
        <v>5226</v>
      </c>
      <c r="DF1346">
        <v>26.98</v>
      </c>
      <c r="DG1346">
        <v>13.62</v>
      </c>
      <c r="DH1346">
        <v>13.14</v>
      </c>
      <c r="DI1346">
        <v>0.31</v>
      </c>
      <c r="DJ1346">
        <v>1536</v>
      </c>
      <c r="DK1346">
        <v>2997</v>
      </c>
      <c r="DL1346" t="s">
        <v>120</v>
      </c>
      <c r="DM1346" t="s">
        <v>120</v>
      </c>
      <c r="DN1346" t="s">
        <v>120</v>
      </c>
    </row>
    <row r="1347" spans="1:118">
      <c r="A1347" t="str">
        <f>"002998"</f>
        <v>002998</v>
      </c>
      <c r="B1347" t="s">
        <v>7231</v>
      </c>
      <c r="C1347">
        <v>0.19</v>
      </c>
      <c r="D1347">
        <v>0</v>
      </c>
      <c r="E1347">
        <v>-0.28999999999999998</v>
      </c>
      <c r="F1347">
        <v>294</v>
      </c>
      <c r="G1347" t="s">
        <v>6989</v>
      </c>
      <c r="H1347">
        <v>5569.69</v>
      </c>
      <c r="I1347">
        <v>12.02</v>
      </c>
      <c r="J1347" t="s">
        <v>120</v>
      </c>
      <c r="K1347" t="s">
        <v>6989</v>
      </c>
      <c r="L1347">
        <v>6.52</v>
      </c>
      <c r="M1347">
        <v>10.32</v>
      </c>
      <c r="N1347">
        <v>1.44</v>
      </c>
      <c r="O1347">
        <v>3.01</v>
      </c>
      <c r="P1347">
        <v>10.61</v>
      </c>
      <c r="Q1347">
        <v>-0.49</v>
      </c>
      <c r="R1347">
        <v>10.25</v>
      </c>
      <c r="S1347">
        <v>10.27</v>
      </c>
      <c r="T1347">
        <v>53238</v>
      </c>
      <c r="U1347">
        <v>10.35</v>
      </c>
      <c r="V1347">
        <v>10.3</v>
      </c>
      <c r="W1347">
        <v>28.03</v>
      </c>
      <c r="X1347" t="s">
        <v>623</v>
      </c>
      <c r="Y1347" t="s">
        <v>319</v>
      </c>
      <c r="Z1347">
        <v>3.5</v>
      </c>
      <c r="AA1347">
        <v>10.46</v>
      </c>
      <c r="AB1347">
        <v>24336</v>
      </c>
      <c r="AC1347">
        <v>28902</v>
      </c>
      <c r="AD1347">
        <v>0.84</v>
      </c>
      <c r="AE1347">
        <v>354</v>
      </c>
      <c r="AF1347">
        <v>66</v>
      </c>
      <c r="AG1347" t="s">
        <v>120</v>
      </c>
      <c r="AH1347">
        <v>0.01</v>
      </c>
      <c r="AI1347" t="s">
        <v>120</v>
      </c>
      <c r="AJ1347">
        <v>0.82</v>
      </c>
      <c r="AK1347" t="s">
        <v>7232</v>
      </c>
      <c r="AL1347">
        <v>2.11</v>
      </c>
      <c r="AM1347">
        <v>1645</v>
      </c>
      <c r="AN1347">
        <v>32</v>
      </c>
      <c r="AO1347">
        <v>4.0000000000000001E-3</v>
      </c>
      <c r="AP1347">
        <v>2</v>
      </c>
      <c r="AQ1347">
        <v>0.1</v>
      </c>
      <c r="AR1347">
        <v>-2.4500000000000002</v>
      </c>
      <c r="AS1347">
        <v>2.79</v>
      </c>
      <c r="AT1347">
        <v>0.79</v>
      </c>
      <c r="AU1347">
        <v>11.45</v>
      </c>
      <c r="AV1347">
        <v>12</v>
      </c>
      <c r="AW1347">
        <v>6.52</v>
      </c>
      <c r="AX1347">
        <v>25</v>
      </c>
      <c r="AY1347">
        <v>22.88</v>
      </c>
      <c r="AZ1347">
        <v>24.87</v>
      </c>
      <c r="BA1347">
        <v>0.39</v>
      </c>
      <c r="BB1347" t="s">
        <v>240</v>
      </c>
      <c r="BF1347">
        <v>1.57</v>
      </c>
      <c r="BG1347">
        <v>0.49</v>
      </c>
      <c r="BH1347">
        <v>-2.73</v>
      </c>
      <c r="BI1347">
        <v>0.68</v>
      </c>
      <c r="BJ1347">
        <v>20210913</v>
      </c>
      <c r="BK1347">
        <v>20200925</v>
      </c>
      <c r="BL1347">
        <v>3.26</v>
      </c>
      <c r="BM1347" t="s">
        <v>120</v>
      </c>
      <c r="BN1347" t="s">
        <v>120</v>
      </c>
      <c r="BO1347">
        <v>16.41</v>
      </c>
      <c r="BP1347">
        <v>10.32</v>
      </c>
      <c r="BQ1347">
        <v>14.59</v>
      </c>
      <c r="BR1347" t="s">
        <v>120</v>
      </c>
      <c r="BS1347">
        <v>11.08</v>
      </c>
      <c r="BT1347">
        <v>6.02</v>
      </c>
      <c r="BU1347">
        <v>6.42</v>
      </c>
      <c r="BV1347">
        <v>1.1599999999999999</v>
      </c>
      <c r="BW1347">
        <v>1.68</v>
      </c>
      <c r="BX1347">
        <v>1.37</v>
      </c>
      <c r="BY1347">
        <v>2.27</v>
      </c>
      <c r="BZ1347">
        <v>1.56</v>
      </c>
      <c r="CA1347" t="s">
        <v>120</v>
      </c>
      <c r="CB1347">
        <v>5.73</v>
      </c>
      <c r="CC1347">
        <v>6.97</v>
      </c>
      <c r="CD1347">
        <v>6.01</v>
      </c>
      <c r="CE1347">
        <v>0.71</v>
      </c>
      <c r="CF1347">
        <v>0</v>
      </c>
      <c r="CG1347">
        <v>0.7</v>
      </c>
      <c r="CH1347">
        <v>0.6</v>
      </c>
      <c r="CI1347">
        <v>0.6</v>
      </c>
      <c r="CJ1347">
        <v>0.02</v>
      </c>
      <c r="CK1347">
        <v>0.59</v>
      </c>
      <c r="CL1347">
        <v>5.23</v>
      </c>
      <c r="CM1347">
        <v>-1.59</v>
      </c>
      <c r="CN1347">
        <v>-1.49</v>
      </c>
      <c r="CO1347">
        <v>24500</v>
      </c>
      <c r="CP1347">
        <v>3331</v>
      </c>
      <c r="CQ1347" t="s">
        <v>3648</v>
      </c>
      <c r="CR1347">
        <v>24.39</v>
      </c>
      <c r="CS1347">
        <v>11.27</v>
      </c>
      <c r="CT1347">
        <v>2.31</v>
      </c>
      <c r="CU1347">
        <v>-21.21</v>
      </c>
      <c r="CV1347">
        <v>4.83</v>
      </c>
      <c r="CW1347">
        <v>0.97</v>
      </c>
      <c r="CX1347" t="s">
        <v>7233</v>
      </c>
      <c r="CY1347">
        <v>4.47</v>
      </c>
      <c r="CZ1347">
        <v>0</v>
      </c>
      <c r="DA1347">
        <v>1.76</v>
      </c>
      <c r="DB1347">
        <v>1.6</v>
      </c>
      <c r="DC1347">
        <v>-0.49</v>
      </c>
      <c r="DD1347">
        <v>88.92</v>
      </c>
      <c r="DE1347" t="s">
        <v>7234</v>
      </c>
      <c r="DF1347">
        <v>13.71</v>
      </c>
      <c r="DG1347">
        <v>10.14</v>
      </c>
      <c r="DH1347">
        <v>8.6199999999999992</v>
      </c>
      <c r="DI1347">
        <v>0.1</v>
      </c>
      <c r="DJ1347">
        <v>973</v>
      </c>
      <c r="DK1347">
        <v>2998</v>
      </c>
      <c r="DL1347" t="s">
        <v>120</v>
      </c>
      <c r="DM1347" t="s">
        <v>120</v>
      </c>
      <c r="DN1347" t="s">
        <v>120</v>
      </c>
    </row>
    <row r="1348" spans="1:118">
      <c r="A1348" t="str">
        <f>"002999"</f>
        <v>002999</v>
      </c>
      <c r="B1348" t="s">
        <v>7235</v>
      </c>
      <c r="C1348">
        <v>1.1499999999999999</v>
      </c>
      <c r="D1348">
        <v>0</v>
      </c>
      <c r="E1348">
        <v>0.14000000000000001</v>
      </c>
      <c r="F1348">
        <v>864</v>
      </c>
      <c r="G1348" t="s">
        <v>6704</v>
      </c>
      <c r="H1348">
        <v>6620.01</v>
      </c>
      <c r="I1348">
        <v>24.01</v>
      </c>
      <c r="J1348" t="s">
        <v>120</v>
      </c>
      <c r="K1348" t="s">
        <v>139</v>
      </c>
      <c r="L1348">
        <v>4.1900000000000004</v>
      </c>
      <c r="M1348">
        <v>7.05</v>
      </c>
      <c r="N1348">
        <v>1.66</v>
      </c>
      <c r="O1348">
        <v>2.2999999999999998</v>
      </c>
      <c r="P1348">
        <v>7.13</v>
      </c>
      <c r="Q1348">
        <v>0.14000000000000001</v>
      </c>
      <c r="R1348">
        <v>6.98</v>
      </c>
      <c r="S1348">
        <v>6.98</v>
      </c>
      <c r="T1348">
        <v>93882</v>
      </c>
      <c r="U1348">
        <v>7.06</v>
      </c>
      <c r="V1348">
        <v>6.97</v>
      </c>
      <c r="W1348">
        <v>18.43</v>
      </c>
      <c r="X1348" t="s">
        <v>454</v>
      </c>
      <c r="Y1348" t="s">
        <v>547</v>
      </c>
      <c r="Z1348">
        <v>2.15</v>
      </c>
      <c r="AA1348">
        <v>7.05</v>
      </c>
      <c r="AB1348">
        <v>39958</v>
      </c>
      <c r="AC1348">
        <v>53924</v>
      </c>
      <c r="AD1348">
        <v>0.74</v>
      </c>
      <c r="AE1348">
        <v>179</v>
      </c>
      <c r="AF1348">
        <v>676</v>
      </c>
      <c r="AG1348" t="s">
        <v>120</v>
      </c>
      <c r="AH1348">
        <v>0.02</v>
      </c>
      <c r="AI1348" t="s">
        <v>120</v>
      </c>
      <c r="AJ1348">
        <v>2.2400000000000002</v>
      </c>
      <c r="AK1348" t="s">
        <v>7236</v>
      </c>
      <c r="AL1348">
        <v>3.06</v>
      </c>
      <c r="AM1348">
        <v>1965</v>
      </c>
      <c r="AN1348">
        <v>48</v>
      </c>
      <c r="AO1348">
        <v>2.0999999999999999E-3</v>
      </c>
      <c r="AP1348">
        <v>2</v>
      </c>
      <c r="AQ1348">
        <v>1.46</v>
      </c>
      <c r="AR1348">
        <v>0.43</v>
      </c>
      <c r="AS1348">
        <v>1.1499999999999999</v>
      </c>
      <c r="AT1348">
        <v>-11.32</v>
      </c>
      <c r="AU1348">
        <v>-15.86</v>
      </c>
      <c r="AV1348">
        <v>5</v>
      </c>
      <c r="AW1348">
        <v>5.01</v>
      </c>
      <c r="AX1348">
        <v>53.92</v>
      </c>
      <c r="AY1348">
        <v>29.91</v>
      </c>
      <c r="AZ1348">
        <v>30.47</v>
      </c>
      <c r="BA1348">
        <v>0.47</v>
      </c>
      <c r="BB1348" t="s">
        <v>143</v>
      </c>
      <c r="BF1348">
        <v>1.17</v>
      </c>
      <c r="BG1348">
        <v>1</v>
      </c>
      <c r="BH1348">
        <v>-1.1200000000000001</v>
      </c>
      <c r="BI1348">
        <v>1</v>
      </c>
      <c r="BJ1348">
        <v>20210902</v>
      </c>
      <c r="BK1348">
        <v>20200903</v>
      </c>
      <c r="BL1348">
        <v>3.48</v>
      </c>
      <c r="BM1348" t="s">
        <v>120</v>
      </c>
      <c r="BN1348" t="s">
        <v>120</v>
      </c>
      <c r="BO1348">
        <v>54.91</v>
      </c>
      <c r="BP1348">
        <v>7.05</v>
      </c>
      <c r="BQ1348">
        <v>10.57</v>
      </c>
      <c r="BR1348">
        <v>2.29</v>
      </c>
      <c r="BS1348">
        <v>76.58</v>
      </c>
      <c r="BT1348">
        <v>45.13</v>
      </c>
      <c r="BU1348">
        <v>2.06</v>
      </c>
      <c r="BV1348">
        <v>2.06</v>
      </c>
      <c r="BW1348">
        <v>35.700000000000003</v>
      </c>
      <c r="BX1348">
        <v>8.26</v>
      </c>
      <c r="BY1348">
        <v>21.41</v>
      </c>
      <c r="BZ1348">
        <v>4.34</v>
      </c>
      <c r="CA1348" t="s">
        <v>120</v>
      </c>
      <c r="CB1348">
        <v>3.23</v>
      </c>
      <c r="CC1348">
        <v>63.91</v>
      </c>
      <c r="CD1348">
        <v>58.64</v>
      </c>
      <c r="CE1348">
        <v>1.25</v>
      </c>
      <c r="CF1348">
        <v>0</v>
      </c>
      <c r="CG1348">
        <v>1.26</v>
      </c>
      <c r="CH1348">
        <v>0.98</v>
      </c>
      <c r="CI1348">
        <v>0.66</v>
      </c>
      <c r="CJ1348">
        <v>0.08</v>
      </c>
      <c r="CK1348">
        <v>0.63</v>
      </c>
      <c r="CL1348">
        <v>3.31</v>
      </c>
      <c r="CM1348">
        <v>-10.92</v>
      </c>
      <c r="CN1348">
        <v>-1.27</v>
      </c>
      <c r="CO1348">
        <v>21694</v>
      </c>
      <c r="CP1348">
        <v>8639</v>
      </c>
      <c r="CQ1348" t="s">
        <v>1139</v>
      </c>
      <c r="CR1348">
        <v>2.27</v>
      </c>
      <c r="CS1348">
        <v>26.29</v>
      </c>
      <c r="CT1348">
        <v>2.3199999999999998</v>
      </c>
      <c r="CU1348">
        <v>-2.2400000000000002</v>
      </c>
      <c r="CV1348">
        <v>0.38</v>
      </c>
      <c r="CW1348">
        <v>1.54</v>
      </c>
      <c r="CX1348" t="s">
        <v>442</v>
      </c>
      <c r="CY1348">
        <v>3.04</v>
      </c>
      <c r="CZ1348">
        <v>0</v>
      </c>
      <c r="DA1348">
        <v>0.93</v>
      </c>
      <c r="DB1348">
        <v>0.95</v>
      </c>
      <c r="DC1348">
        <v>-3.14</v>
      </c>
      <c r="DD1348">
        <v>19.239999999999998</v>
      </c>
      <c r="DE1348" t="s">
        <v>7237</v>
      </c>
      <c r="DF1348">
        <v>8.25</v>
      </c>
      <c r="DG1348">
        <v>1.96</v>
      </c>
      <c r="DH1348">
        <v>1.04</v>
      </c>
      <c r="DI1348">
        <v>0.01</v>
      </c>
      <c r="DJ1348">
        <v>1973</v>
      </c>
      <c r="DK1348">
        <v>2999</v>
      </c>
      <c r="DL1348" t="s">
        <v>120</v>
      </c>
      <c r="DM1348" t="s">
        <v>120</v>
      </c>
      <c r="DN1348" t="s">
        <v>120</v>
      </c>
    </row>
    <row r="1349" spans="1:118">
      <c r="A1349" t="str">
        <f>"003000"</f>
        <v>003000</v>
      </c>
      <c r="B1349" t="s">
        <v>7238</v>
      </c>
      <c r="C1349">
        <v>0.1</v>
      </c>
      <c r="D1349">
        <v>-0.09</v>
      </c>
      <c r="E1349">
        <v>0</v>
      </c>
      <c r="F1349">
        <v>257</v>
      </c>
      <c r="G1349" t="s">
        <v>5812</v>
      </c>
      <c r="H1349">
        <v>1365.79</v>
      </c>
      <c r="I1349">
        <v>10.56</v>
      </c>
      <c r="J1349" t="s">
        <v>120</v>
      </c>
      <c r="K1349" t="s">
        <v>7239</v>
      </c>
      <c r="L1349">
        <v>0.56999999999999995</v>
      </c>
      <c r="M1349">
        <v>9.9700000000000006</v>
      </c>
      <c r="N1349">
        <v>0.68</v>
      </c>
      <c r="O1349">
        <v>1.31</v>
      </c>
      <c r="P1349">
        <v>10.09</v>
      </c>
      <c r="Q1349">
        <v>-0.7</v>
      </c>
      <c r="R1349">
        <v>9.89</v>
      </c>
      <c r="S1349">
        <v>9.9600000000000009</v>
      </c>
      <c r="T1349">
        <v>13660</v>
      </c>
      <c r="U1349">
        <v>9.98</v>
      </c>
      <c r="V1349">
        <v>9.9600000000000009</v>
      </c>
      <c r="W1349">
        <v>48.89</v>
      </c>
      <c r="X1349" t="s">
        <v>847</v>
      </c>
      <c r="Y1349" t="s">
        <v>594</v>
      </c>
      <c r="Z1349">
        <v>2.0099999999999998</v>
      </c>
      <c r="AA1349">
        <v>10</v>
      </c>
      <c r="AB1349">
        <v>7750</v>
      </c>
      <c r="AC1349">
        <v>5910</v>
      </c>
      <c r="AD1349">
        <v>1.31</v>
      </c>
      <c r="AE1349">
        <v>518</v>
      </c>
      <c r="AF1349">
        <v>104</v>
      </c>
      <c r="AG1349" t="s">
        <v>120</v>
      </c>
      <c r="AH1349">
        <v>0.01</v>
      </c>
      <c r="AI1349" t="s">
        <v>120</v>
      </c>
      <c r="AJ1349">
        <v>2.39</v>
      </c>
      <c r="AK1349" t="s">
        <v>7240</v>
      </c>
      <c r="AL1349">
        <v>2.0099999999999998</v>
      </c>
      <c r="AM1349">
        <v>748</v>
      </c>
      <c r="AN1349">
        <v>18</v>
      </c>
      <c r="AO1349">
        <v>8.0000000000000004E-4</v>
      </c>
      <c r="AP1349">
        <v>1</v>
      </c>
      <c r="AQ1349">
        <v>-2.92</v>
      </c>
      <c r="AR1349">
        <v>-2.73</v>
      </c>
      <c r="AS1349">
        <v>-13.15</v>
      </c>
      <c r="AT1349">
        <v>-26.26</v>
      </c>
      <c r="AU1349">
        <v>-31.19</v>
      </c>
      <c r="AV1349">
        <v>10</v>
      </c>
      <c r="AW1349">
        <v>1.1499999999999999</v>
      </c>
      <c r="AX1349">
        <v>29.41</v>
      </c>
      <c r="AY1349">
        <v>49.89</v>
      </c>
      <c r="AZ1349">
        <v>38.880000000000003</v>
      </c>
      <c r="BA1349">
        <v>0.59</v>
      </c>
      <c r="BB1349" t="s">
        <v>134</v>
      </c>
      <c r="BF1349">
        <v>0.39</v>
      </c>
      <c r="BG1349">
        <v>0.1</v>
      </c>
      <c r="BH1349">
        <v>-1.19</v>
      </c>
      <c r="BI1349">
        <v>0.81</v>
      </c>
      <c r="BJ1349">
        <v>20210915</v>
      </c>
      <c r="BK1349">
        <v>20200914</v>
      </c>
      <c r="BL1349">
        <v>4.03</v>
      </c>
      <c r="BM1349" t="s">
        <v>120</v>
      </c>
      <c r="BN1349" t="s">
        <v>120</v>
      </c>
      <c r="BO1349">
        <v>9.68</v>
      </c>
      <c r="BP1349">
        <v>9.9700000000000006</v>
      </c>
      <c r="BQ1349">
        <v>8.32</v>
      </c>
      <c r="BR1349" t="s">
        <v>120</v>
      </c>
      <c r="BS1349">
        <v>14.13</v>
      </c>
      <c r="BT1349">
        <v>6.81</v>
      </c>
      <c r="BU1349">
        <v>2.2400000000000002</v>
      </c>
      <c r="BV1349">
        <v>0.28999999999999998</v>
      </c>
      <c r="BW1349">
        <v>1.17</v>
      </c>
      <c r="BX1349">
        <v>4.26</v>
      </c>
      <c r="BY1349">
        <v>1.98</v>
      </c>
      <c r="BZ1349">
        <v>0.01</v>
      </c>
      <c r="CA1349" t="s">
        <v>120</v>
      </c>
      <c r="CB1349">
        <v>2.75</v>
      </c>
      <c r="CC1349">
        <v>4.72</v>
      </c>
      <c r="CD1349">
        <v>3.44</v>
      </c>
      <c r="CE1349">
        <v>0.46</v>
      </c>
      <c r="CF1349">
        <v>0.01</v>
      </c>
      <c r="CG1349">
        <v>0.48</v>
      </c>
      <c r="CH1349">
        <v>0.41</v>
      </c>
      <c r="CI1349">
        <v>0.41</v>
      </c>
      <c r="CJ1349">
        <v>0.01</v>
      </c>
      <c r="CK1349">
        <v>0.32</v>
      </c>
      <c r="CL1349">
        <v>1.45</v>
      </c>
      <c r="CM1349">
        <v>0.54</v>
      </c>
      <c r="CN1349">
        <v>-0.14000000000000001</v>
      </c>
      <c r="CO1349">
        <v>14306</v>
      </c>
      <c r="CP1349">
        <v>8290</v>
      </c>
      <c r="CQ1349" t="s">
        <v>870</v>
      </c>
      <c r="CR1349">
        <v>-35.659999999999997</v>
      </c>
      <c r="CS1349">
        <v>4.63</v>
      </c>
      <c r="CT1349">
        <v>4.83</v>
      </c>
      <c r="CU1349">
        <v>74.58</v>
      </c>
      <c r="CV1349">
        <v>8.51</v>
      </c>
      <c r="CW1349">
        <v>1.99</v>
      </c>
      <c r="CX1349" t="s">
        <v>411</v>
      </c>
      <c r="CY1349">
        <v>2.06</v>
      </c>
      <c r="CZ1349">
        <v>0</v>
      </c>
      <c r="DA1349">
        <v>0.68</v>
      </c>
      <c r="DB1349">
        <v>0.36</v>
      </c>
      <c r="DC1349">
        <v>0.13</v>
      </c>
      <c r="DD1349">
        <v>85.87</v>
      </c>
      <c r="DE1349" t="s">
        <v>7241</v>
      </c>
      <c r="DF1349">
        <v>27.08</v>
      </c>
      <c r="DG1349">
        <v>9.83</v>
      </c>
      <c r="DH1349">
        <v>8.6999999999999993</v>
      </c>
      <c r="DI1349">
        <v>0.11</v>
      </c>
      <c r="DJ1349">
        <v>1787</v>
      </c>
      <c r="DK1349">
        <v>3000</v>
      </c>
      <c r="DL1349" t="s">
        <v>120</v>
      </c>
      <c r="DM1349" t="s">
        <v>120</v>
      </c>
      <c r="DN1349" t="s">
        <v>120</v>
      </c>
    </row>
    <row r="1350" spans="1:118">
      <c r="A1350" t="str">
        <f>"003001"</f>
        <v>003001</v>
      </c>
      <c r="B1350" t="s">
        <v>7242</v>
      </c>
      <c r="C1350">
        <v>1.88</v>
      </c>
      <c r="D1350">
        <v>0</v>
      </c>
      <c r="E1350">
        <v>0.63</v>
      </c>
      <c r="F1350">
        <v>244</v>
      </c>
      <c r="G1350" t="s">
        <v>7243</v>
      </c>
      <c r="H1350">
        <v>4206.17</v>
      </c>
      <c r="I1350">
        <v>4.05</v>
      </c>
      <c r="J1350" t="s">
        <v>120</v>
      </c>
      <c r="K1350" t="s">
        <v>7243</v>
      </c>
      <c r="L1350">
        <v>5.87</v>
      </c>
      <c r="M1350">
        <v>22.79</v>
      </c>
      <c r="N1350">
        <v>0.92</v>
      </c>
      <c r="O1350">
        <v>2.82</v>
      </c>
      <c r="P1350">
        <v>23</v>
      </c>
      <c r="Q1350">
        <v>-0.49</v>
      </c>
      <c r="R1350">
        <v>22.26</v>
      </c>
      <c r="S1350">
        <v>22.51</v>
      </c>
      <c r="T1350">
        <v>18500</v>
      </c>
      <c r="U1350">
        <v>22.79</v>
      </c>
      <c r="V1350">
        <v>22.37</v>
      </c>
      <c r="W1350">
        <v>26.57</v>
      </c>
      <c r="X1350" t="s">
        <v>175</v>
      </c>
      <c r="Y1350" t="s">
        <v>158</v>
      </c>
      <c r="Z1350">
        <v>3.31</v>
      </c>
      <c r="AA1350">
        <v>22.74</v>
      </c>
      <c r="AB1350">
        <v>6968</v>
      </c>
      <c r="AC1350">
        <v>11532</v>
      </c>
      <c r="AD1350">
        <v>0.6</v>
      </c>
      <c r="AE1350">
        <v>53</v>
      </c>
      <c r="AF1350">
        <v>161</v>
      </c>
      <c r="AG1350" t="s">
        <v>120</v>
      </c>
      <c r="AH1350">
        <v>0.01</v>
      </c>
      <c r="AI1350" t="s">
        <v>120</v>
      </c>
      <c r="AJ1350">
        <v>0.31</v>
      </c>
      <c r="AK1350" t="s">
        <v>5521</v>
      </c>
      <c r="AL1350">
        <v>3.79</v>
      </c>
      <c r="AM1350">
        <v>1211</v>
      </c>
      <c r="AN1350">
        <v>15</v>
      </c>
      <c r="AO1350">
        <v>4.8999999999999998E-3</v>
      </c>
      <c r="AP1350">
        <v>1</v>
      </c>
      <c r="AQ1350">
        <v>-0.09</v>
      </c>
      <c r="AR1350">
        <v>1.02</v>
      </c>
      <c r="AS1350">
        <v>-8.98</v>
      </c>
      <c r="AT1350">
        <v>-8.8800000000000008</v>
      </c>
      <c r="AU1350">
        <v>-3.25</v>
      </c>
      <c r="AV1350">
        <v>9</v>
      </c>
      <c r="AW1350">
        <v>5.87</v>
      </c>
      <c r="AX1350">
        <v>24.69</v>
      </c>
      <c r="AY1350">
        <v>31.42</v>
      </c>
      <c r="AZ1350">
        <v>28.22</v>
      </c>
      <c r="BA1350">
        <v>0.81</v>
      </c>
      <c r="BB1350" t="s">
        <v>143</v>
      </c>
      <c r="BF1350">
        <v>1.64</v>
      </c>
      <c r="BG1350">
        <v>1.24</v>
      </c>
      <c r="BH1350">
        <v>-0.91</v>
      </c>
      <c r="BI1350">
        <v>2.38</v>
      </c>
      <c r="BJ1350">
        <v>20210827</v>
      </c>
      <c r="BK1350">
        <v>20201013</v>
      </c>
      <c r="BL1350">
        <v>1.28</v>
      </c>
      <c r="BM1350" t="s">
        <v>120</v>
      </c>
      <c r="BN1350" t="s">
        <v>120</v>
      </c>
      <c r="BO1350">
        <v>20.86</v>
      </c>
      <c r="BP1350">
        <v>22.78</v>
      </c>
      <c r="BQ1350">
        <v>12.98</v>
      </c>
      <c r="BR1350">
        <v>0.04</v>
      </c>
      <c r="BS1350">
        <v>37.58</v>
      </c>
      <c r="BT1350">
        <v>19.170000000000002</v>
      </c>
      <c r="BU1350">
        <v>0.81</v>
      </c>
      <c r="BV1350">
        <v>0.01</v>
      </c>
      <c r="BW1350">
        <v>7.8</v>
      </c>
      <c r="BX1350">
        <v>5.37</v>
      </c>
      <c r="BY1350">
        <v>0.25</v>
      </c>
      <c r="BZ1350">
        <v>6.71</v>
      </c>
      <c r="CA1350" t="s">
        <v>120</v>
      </c>
      <c r="CB1350">
        <v>7.57</v>
      </c>
      <c r="CC1350">
        <v>6.67</v>
      </c>
      <c r="CD1350">
        <v>5.19</v>
      </c>
      <c r="CE1350">
        <v>0.57999999999999996</v>
      </c>
      <c r="CF1350">
        <v>0.03</v>
      </c>
      <c r="CG1350">
        <v>0.61</v>
      </c>
      <c r="CH1350">
        <v>0.55000000000000004</v>
      </c>
      <c r="CI1350">
        <v>0.55000000000000004</v>
      </c>
      <c r="CJ1350">
        <v>0.42</v>
      </c>
      <c r="CK1350">
        <v>0.5</v>
      </c>
      <c r="CL1350">
        <v>3.87</v>
      </c>
      <c r="CM1350">
        <v>-2.77</v>
      </c>
      <c r="CN1350">
        <v>-3.66</v>
      </c>
      <c r="CO1350">
        <v>17869</v>
      </c>
      <c r="CP1350">
        <v>1762</v>
      </c>
      <c r="CQ1350" t="s">
        <v>1539</v>
      </c>
      <c r="CR1350">
        <v>-15.85</v>
      </c>
      <c r="CS1350">
        <v>31.53</v>
      </c>
      <c r="CT1350">
        <v>2.2400000000000002</v>
      </c>
      <c r="CU1350">
        <v>-10.48</v>
      </c>
      <c r="CV1350">
        <v>4.3499999999999996</v>
      </c>
      <c r="CW1350">
        <v>1.23</v>
      </c>
      <c r="CX1350" t="s">
        <v>263</v>
      </c>
      <c r="CY1350">
        <v>10.18</v>
      </c>
      <c r="CZ1350">
        <v>0</v>
      </c>
      <c r="DA1350">
        <v>5.94</v>
      </c>
      <c r="DB1350">
        <v>3.04</v>
      </c>
      <c r="DC1350">
        <v>-2.17</v>
      </c>
      <c r="DD1350">
        <v>62.23</v>
      </c>
      <c r="DE1350" t="s">
        <v>2365</v>
      </c>
      <c r="DF1350">
        <v>22.23</v>
      </c>
      <c r="DG1350">
        <v>8.6199999999999992</v>
      </c>
      <c r="DH1350">
        <v>8.19</v>
      </c>
      <c r="DI1350">
        <v>0.31</v>
      </c>
      <c r="DJ1350">
        <v>361</v>
      </c>
      <c r="DK1350">
        <v>3001</v>
      </c>
      <c r="DL1350" t="s">
        <v>120</v>
      </c>
      <c r="DM1350" t="s">
        <v>120</v>
      </c>
      <c r="DN1350" t="s">
        <v>120</v>
      </c>
    </row>
    <row r="1351" spans="1:118">
      <c r="A1351" t="str">
        <f>"003002"</f>
        <v>003002</v>
      </c>
      <c r="B1351" t="s">
        <v>7244</v>
      </c>
      <c r="C1351">
        <v>-0.08</v>
      </c>
      <c r="D1351">
        <v>0</v>
      </c>
      <c r="E1351">
        <v>0</v>
      </c>
      <c r="F1351">
        <v>209</v>
      </c>
      <c r="G1351" t="s">
        <v>7069</v>
      </c>
      <c r="H1351">
        <v>2333.0300000000002</v>
      </c>
      <c r="I1351">
        <v>6.86</v>
      </c>
      <c r="J1351" t="s">
        <v>120</v>
      </c>
      <c r="K1351" t="s">
        <v>7069</v>
      </c>
      <c r="L1351">
        <v>3.76</v>
      </c>
      <c r="M1351">
        <v>12.24</v>
      </c>
      <c r="N1351">
        <v>0.69</v>
      </c>
      <c r="O1351">
        <v>2.86</v>
      </c>
      <c r="P1351">
        <v>12.6</v>
      </c>
      <c r="Q1351">
        <v>-0.49</v>
      </c>
      <c r="R1351">
        <v>12.19</v>
      </c>
      <c r="S1351">
        <v>12.25</v>
      </c>
      <c r="T1351">
        <v>18784</v>
      </c>
      <c r="U1351">
        <v>12.24</v>
      </c>
      <c r="V1351">
        <v>12.25</v>
      </c>
      <c r="W1351">
        <v>24.25</v>
      </c>
      <c r="X1351" t="s">
        <v>868</v>
      </c>
      <c r="Y1351" t="s">
        <v>667</v>
      </c>
      <c r="Z1351">
        <v>3.35</v>
      </c>
      <c r="AA1351">
        <v>12.42</v>
      </c>
      <c r="AB1351">
        <v>9413</v>
      </c>
      <c r="AC1351">
        <v>9371</v>
      </c>
      <c r="AD1351">
        <v>1</v>
      </c>
      <c r="AE1351">
        <v>270</v>
      </c>
      <c r="AF1351">
        <v>27</v>
      </c>
      <c r="AG1351" t="s">
        <v>120</v>
      </c>
      <c r="AH1351">
        <v>0.01</v>
      </c>
      <c r="AI1351" t="s">
        <v>120</v>
      </c>
      <c r="AJ1351">
        <v>0.5</v>
      </c>
      <c r="AK1351" t="s">
        <v>7245</v>
      </c>
      <c r="AL1351">
        <v>1.83</v>
      </c>
      <c r="AM1351">
        <v>1018</v>
      </c>
      <c r="AN1351">
        <v>18</v>
      </c>
      <c r="AO1351">
        <v>3.7000000000000002E-3</v>
      </c>
      <c r="AP1351">
        <v>-1</v>
      </c>
      <c r="AQ1351">
        <v>0.74</v>
      </c>
      <c r="AR1351">
        <v>-1.92</v>
      </c>
      <c r="AS1351">
        <v>6.15</v>
      </c>
      <c r="AT1351">
        <v>-4.3</v>
      </c>
      <c r="AU1351">
        <v>-17.41</v>
      </c>
      <c r="AV1351">
        <v>8</v>
      </c>
      <c r="AW1351">
        <v>3.76</v>
      </c>
      <c r="AX1351">
        <v>25</v>
      </c>
      <c r="AY1351">
        <v>23.82</v>
      </c>
      <c r="AZ1351">
        <v>25.28</v>
      </c>
      <c r="BA1351">
        <v>0.4</v>
      </c>
      <c r="BB1351" t="s">
        <v>143</v>
      </c>
      <c r="BF1351">
        <v>1.39</v>
      </c>
      <c r="BG1351">
        <v>-0.08</v>
      </c>
      <c r="BH1351">
        <v>-2.86</v>
      </c>
      <c r="BI1351">
        <v>0.41</v>
      </c>
      <c r="BJ1351">
        <v>20210907</v>
      </c>
      <c r="BK1351">
        <v>20200922</v>
      </c>
      <c r="BL1351">
        <v>2</v>
      </c>
      <c r="BM1351" t="s">
        <v>120</v>
      </c>
      <c r="BN1351" t="s">
        <v>120</v>
      </c>
      <c r="BO1351">
        <v>14.05</v>
      </c>
      <c r="BP1351">
        <v>12.23</v>
      </c>
      <c r="BQ1351">
        <v>10.14</v>
      </c>
      <c r="BR1351">
        <v>1.52</v>
      </c>
      <c r="BS1351">
        <v>17.05</v>
      </c>
      <c r="BT1351">
        <v>7.11</v>
      </c>
      <c r="BU1351">
        <v>2.41</v>
      </c>
      <c r="BV1351">
        <v>2.11</v>
      </c>
      <c r="BW1351">
        <v>1.77</v>
      </c>
      <c r="BX1351">
        <v>2.86</v>
      </c>
      <c r="BY1351">
        <v>0.48</v>
      </c>
      <c r="BZ1351">
        <v>1.55</v>
      </c>
      <c r="CA1351" t="s">
        <v>120</v>
      </c>
      <c r="CB1351">
        <v>3.76</v>
      </c>
      <c r="CC1351">
        <v>3.06</v>
      </c>
      <c r="CD1351">
        <v>1.67</v>
      </c>
      <c r="CE1351">
        <v>0.61</v>
      </c>
      <c r="CF1351">
        <v>0.14000000000000001</v>
      </c>
      <c r="CG1351">
        <v>0.62</v>
      </c>
      <c r="CH1351">
        <v>0.55000000000000004</v>
      </c>
      <c r="CI1351">
        <v>0.5</v>
      </c>
      <c r="CJ1351">
        <v>-0.01</v>
      </c>
      <c r="CK1351">
        <v>0.47</v>
      </c>
      <c r="CL1351">
        <v>3.65</v>
      </c>
      <c r="CM1351">
        <v>0.34</v>
      </c>
      <c r="CN1351">
        <v>0.72</v>
      </c>
      <c r="CO1351">
        <v>16400</v>
      </c>
      <c r="CP1351">
        <v>3049</v>
      </c>
      <c r="CQ1351" t="s">
        <v>1608</v>
      </c>
      <c r="CR1351">
        <v>13.34</v>
      </c>
      <c r="CS1351">
        <v>35.14</v>
      </c>
      <c r="CT1351">
        <v>2.41</v>
      </c>
      <c r="CU1351">
        <v>71.66</v>
      </c>
      <c r="CV1351">
        <v>8.01</v>
      </c>
      <c r="CW1351">
        <v>3.27</v>
      </c>
      <c r="CX1351" t="s">
        <v>863</v>
      </c>
      <c r="CY1351">
        <v>5.07</v>
      </c>
      <c r="CZ1351">
        <v>0</v>
      </c>
      <c r="DA1351">
        <v>1.88</v>
      </c>
      <c r="DB1351">
        <v>1.83</v>
      </c>
      <c r="DC1351">
        <v>0.17</v>
      </c>
      <c r="DD1351">
        <v>72.16</v>
      </c>
      <c r="DE1351" t="s">
        <v>137</v>
      </c>
      <c r="DF1351">
        <v>45.44</v>
      </c>
      <c r="DG1351">
        <v>19.809999999999999</v>
      </c>
      <c r="DH1351">
        <v>16.52</v>
      </c>
      <c r="DI1351">
        <v>0.1</v>
      </c>
      <c r="DJ1351">
        <v>1700</v>
      </c>
      <c r="DK1351">
        <v>3002</v>
      </c>
      <c r="DL1351" t="s">
        <v>120</v>
      </c>
      <c r="DM1351" t="s">
        <v>120</v>
      </c>
      <c r="DN1351" t="s">
        <v>120</v>
      </c>
    </row>
    <row r="1352" spans="1:118">
      <c r="A1352" t="str">
        <f>"003003"</f>
        <v>003003</v>
      </c>
      <c r="B1352" t="s">
        <v>7246</v>
      </c>
      <c r="C1352">
        <v>9.98</v>
      </c>
      <c r="D1352">
        <v>0</v>
      </c>
      <c r="E1352">
        <v>0.38</v>
      </c>
      <c r="F1352">
        <v>248</v>
      </c>
      <c r="G1352" t="s">
        <v>7247</v>
      </c>
      <c r="H1352">
        <v>16233.31</v>
      </c>
      <c r="I1352">
        <v>31.11</v>
      </c>
      <c r="J1352">
        <v>207.21</v>
      </c>
      <c r="K1352" t="s">
        <v>7247</v>
      </c>
      <c r="L1352">
        <v>25.91</v>
      </c>
      <c r="M1352">
        <v>14.32</v>
      </c>
      <c r="N1352">
        <v>10.15</v>
      </c>
      <c r="O1352">
        <v>9.98</v>
      </c>
      <c r="P1352">
        <v>14.32</v>
      </c>
      <c r="Q1352">
        <v>0.08</v>
      </c>
      <c r="R1352">
        <v>13.03</v>
      </c>
      <c r="S1352">
        <v>13.07</v>
      </c>
      <c r="T1352">
        <v>114512</v>
      </c>
      <c r="U1352" t="s">
        <v>120</v>
      </c>
      <c r="V1352">
        <v>13.02</v>
      </c>
      <c r="W1352">
        <v>56.54</v>
      </c>
      <c r="X1352" t="s">
        <v>339</v>
      </c>
      <c r="Y1352" t="s">
        <v>547</v>
      </c>
      <c r="Z1352">
        <v>9.91</v>
      </c>
      <c r="AA1352">
        <v>14.18</v>
      </c>
      <c r="AB1352">
        <v>76437</v>
      </c>
      <c r="AC1352">
        <v>38075</v>
      </c>
      <c r="AD1352">
        <v>2.0099999999999998</v>
      </c>
      <c r="AE1352">
        <v>1447</v>
      </c>
      <c r="AF1352">
        <v>0</v>
      </c>
      <c r="AG1352" t="s">
        <v>120</v>
      </c>
      <c r="AH1352">
        <v>0.05</v>
      </c>
      <c r="AI1352">
        <v>0.01</v>
      </c>
      <c r="AJ1352">
        <v>0.44</v>
      </c>
      <c r="AK1352" t="s">
        <v>7248</v>
      </c>
      <c r="AL1352">
        <v>11.9</v>
      </c>
      <c r="AM1352">
        <v>2310</v>
      </c>
      <c r="AN1352">
        <v>50</v>
      </c>
      <c r="AO1352">
        <v>1.12E-2</v>
      </c>
      <c r="AP1352">
        <v>2</v>
      </c>
      <c r="AQ1352">
        <v>0.77</v>
      </c>
      <c r="AR1352">
        <v>9.9</v>
      </c>
      <c r="AS1352">
        <v>12.84</v>
      </c>
      <c r="AT1352">
        <v>-2.4500000000000002</v>
      </c>
      <c r="AU1352">
        <v>-2.85</v>
      </c>
      <c r="AV1352">
        <v>8</v>
      </c>
      <c r="AW1352">
        <v>25.91</v>
      </c>
      <c r="AX1352">
        <v>25.01</v>
      </c>
      <c r="AY1352">
        <v>47.12</v>
      </c>
      <c r="AZ1352">
        <v>39.08</v>
      </c>
      <c r="BA1352">
        <v>0.55000000000000004</v>
      </c>
      <c r="BB1352" t="s">
        <v>143</v>
      </c>
      <c r="BF1352">
        <v>8.8800000000000008</v>
      </c>
      <c r="BG1352">
        <v>9.56</v>
      </c>
      <c r="BH1352">
        <v>0</v>
      </c>
      <c r="BI1352">
        <v>9.9</v>
      </c>
      <c r="BJ1352">
        <v>20210831</v>
      </c>
      <c r="BK1352">
        <v>20200921</v>
      </c>
      <c r="BL1352">
        <v>1.77</v>
      </c>
      <c r="BM1352" t="s">
        <v>120</v>
      </c>
      <c r="BN1352" t="s">
        <v>120</v>
      </c>
      <c r="BO1352">
        <v>17.52</v>
      </c>
      <c r="BP1352">
        <v>14.32</v>
      </c>
      <c r="BQ1352">
        <v>12.18</v>
      </c>
      <c r="BR1352">
        <v>0.02</v>
      </c>
      <c r="BS1352">
        <v>30.34</v>
      </c>
      <c r="BT1352">
        <v>10.82</v>
      </c>
      <c r="BU1352">
        <v>3.73</v>
      </c>
      <c r="BV1352">
        <v>0.96</v>
      </c>
      <c r="BW1352">
        <v>3.53</v>
      </c>
      <c r="BX1352">
        <v>0.38</v>
      </c>
      <c r="BY1352">
        <v>3.04</v>
      </c>
      <c r="BZ1352">
        <v>2.19</v>
      </c>
      <c r="CA1352" t="s">
        <v>120</v>
      </c>
      <c r="CB1352">
        <v>6.85</v>
      </c>
      <c r="CC1352">
        <v>5.83</v>
      </c>
      <c r="CD1352">
        <v>5.07</v>
      </c>
      <c r="CE1352">
        <v>0.25</v>
      </c>
      <c r="CF1352">
        <v>0.02</v>
      </c>
      <c r="CG1352">
        <v>0.26</v>
      </c>
      <c r="CH1352">
        <v>0.22</v>
      </c>
      <c r="CI1352">
        <v>0.22</v>
      </c>
      <c r="CJ1352">
        <v>1.3</v>
      </c>
      <c r="CK1352">
        <v>0.11</v>
      </c>
      <c r="CL1352">
        <v>3.26</v>
      </c>
      <c r="CM1352">
        <v>-0.45</v>
      </c>
      <c r="CN1352">
        <v>-0.26</v>
      </c>
      <c r="CO1352">
        <v>19362</v>
      </c>
      <c r="CP1352">
        <v>2283</v>
      </c>
      <c r="CQ1352" t="s">
        <v>6393</v>
      </c>
      <c r="CR1352">
        <v>-30.98</v>
      </c>
      <c r="CS1352">
        <v>28.25</v>
      </c>
      <c r="CT1352">
        <v>2.08</v>
      </c>
      <c r="CU1352">
        <v>-56.4</v>
      </c>
      <c r="CV1352">
        <v>4.34</v>
      </c>
      <c r="CW1352">
        <v>1.1499999999999999</v>
      </c>
      <c r="CX1352" t="s">
        <v>986</v>
      </c>
      <c r="CY1352">
        <v>6.89</v>
      </c>
      <c r="CZ1352">
        <v>0</v>
      </c>
      <c r="DA1352">
        <v>3.87</v>
      </c>
      <c r="DB1352">
        <v>1.85</v>
      </c>
      <c r="DC1352">
        <v>-0.25</v>
      </c>
      <c r="DD1352">
        <v>69.52</v>
      </c>
      <c r="DE1352" t="s">
        <v>4306</v>
      </c>
      <c r="DF1352">
        <v>12.98</v>
      </c>
      <c r="DG1352">
        <v>4.3499999999999996</v>
      </c>
      <c r="DH1352">
        <v>3.84</v>
      </c>
      <c r="DI1352">
        <v>0.22</v>
      </c>
      <c r="DJ1352">
        <v>1260</v>
      </c>
      <c r="DK1352">
        <v>3003</v>
      </c>
      <c r="DL1352" t="s">
        <v>120</v>
      </c>
      <c r="DM1352" t="s">
        <v>120</v>
      </c>
      <c r="DN1352" t="s">
        <v>120</v>
      </c>
    </row>
    <row r="1353" spans="1:118">
      <c r="A1353" t="str">
        <f>"003004"</f>
        <v>003004</v>
      </c>
      <c r="B1353" t="s">
        <v>7249</v>
      </c>
      <c r="C1353">
        <v>-2.78</v>
      </c>
      <c r="D1353">
        <v>-0.19</v>
      </c>
      <c r="E1353">
        <v>-0.42</v>
      </c>
      <c r="F1353">
        <v>113</v>
      </c>
      <c r="G1353" t="s">
        <v>7250</v>
      </c>
      <c r="H1353">
        <v>1920.11</v>
      </c>
      <c r="I1353">
        <v>1.57</v>
      </c>
      <c r="J1353" t="s">
        <v>120</v>
      </c>
      <c r="K1353" t="s">
        <v>7250</v>
      </c>
      <c r="L1353">
        <v>3.6</v>
      </c>
      <c r="M1353">
        <v>25.56</v>
      </c>
      <c r="N1353">
        <v>1.4</v>
      </c>
      <c r="O1353">
        <v>0.84</v>
      </c>
      <c r="P1353">
        <v>26.51</v>
      </c>
      <c r="Q1353">
        <v>-2.78</v>
      </c>
      <c r="R1353">
        <v>25.56</v>
      </c>
      <c r="S1353">
        <v>26.18</v>
      </c>
      <c r="T1353">
        <v>7372</v>
      </c>
      <c r="U1353">
        <v>25.59</v>
      </c>
      <c r="V1353">
        <v>26.29</v>
      </c>
      <c r="W1353">
        <v>112.4</v>
      </c>
      <c r="X1353" t="s">
        <v>141</v>
      </c>
      <c r="Y1353" t="s">
        <v>158</v>
      </c>
      <c r="Z1353">
        <v>3.61</v>
      </c>
      <c r="AA1353">
        <v>26.04</v>
      </c>
      <c r="AB1353">
        <v>4521</v>
      </c>
      <c r="AC1353">
        <v>2851</v>
      </c>
      <c r="AD1353">
        <v>1.59</v>
      </c>
      <c r="AE1353">
        <v>72</v>
      </c>
      <c r="AF1353">
        <v>4</v>
      </c>
      <c r="AG1353" t="s">
        <v>120</v>
      </c>
      <c r="AH1353">
        <v>0</v>
      </c>
      <c r="AI1353" t="s">
        <v>120</v>
      </c>
      <c r="AJ1353">
        <v>0.2</v>
      </c>
      <c r="AK1353" t="s">
        <v>7251</v>
      </c>
      <c r="AL1353">
        <v>-0.86</v>
      </c>
      <c r="AM1353">
        <v>707</v>
      </c>
      <c r="AN1353">
        <v>10</v>
      </c>
      <c r="AO1353">
        <v>5.1000000000000004E-3</v>
      </c>
      <c r="AP1353">
        <v>-1</v>
      </c>
      <c r="AQ1353">
        <v>2.2999999999999998</v>
      </c>
      <c r="AR1353">
        <v>-0.54</v>
      </c>
      <c r="AS1353">
        <v>3.36</v>
      </c>
      <c r="AT1353">
        <v>-9.26</v>
      </c>
      <c r="AU1353">
        <v>-20.94</v>
      </c>
      <c r="AV1353">
        <v>4</v>
      </c>
      <c r="AW1353">
        <v>3.6</v>
      </c>
      <c r="AX1353">
        <v>25</v>
      </c>
      <c r="AY1353">
        <v>36.15</v>
      </c>
      <c r="AZ1353">
        <v>32.53</v>
      </c>
      <c r="BA1353">
        <v>0.76</v>
      </c>
      <c r="BB1353" t="s">
        <v>700</v>
      </c>
      <c r="BF1353">
        <v>-0.93</v>
      </c>
      <c r="BG1353">
        <v>-2.37</v>
      </c>
      <c r="BH1353">
        <v>-3.58</v>
      </c>
      <c r="BI1353">
        <v>0</v>
      </c>
      <c r="BJ1353">
        <v>20210820</v>
      </c>
      <c r="BK1353">
        <v>20201126</v>
      </c>
      <c r="BL1353">
        <v>0.82</v>
      </c>
      <c r="BM1353" t="s">
        <v>120</v>
      </c>
      <c r="BN1353" t="s">
        <v>120</v>
      </c>
      <c r="BO1353">
        <v>7.83</v>
      </c>
      <c r="BP1353">
        <v>25.56</v>
      </c>
      <c r="BQ1353">
        <v>6.85</v>
      </c>
      <c r="BR1353">
        <v>0.14000000000000001</v>
      </c>
      <c r="BS1353">
        <v>10.75</v>
      </c>
      <c r="BT1353">
        <v>5.19</v>
      </c>
      <c r="BU1353">
        <v>0.05</v>
      </c>
      <c r="BV1353">
        <v>0.08</v>
      </c>
      <c r="BW1353">
        <v>0.78</v>
      </c>
      <c r="BX1353">
        <v>2.02</v>
      </c>
      <c r="BY1353">
        <v>0.2</v>
      </c>
      <c r="BZ1353">
        <v>1.7</v>
      </c>
      <c r="CA1353" t="s">
        <v>120</v>
      </c>
      <c r="CB1353">
        <v>3.65</v>
      </c>
      <c r="CC1353">
        <v>0.75</v>
      </c>
      <c r="CD1353">
        <v>0.4</v>
      </c>
      <c r="CE1353">
        <v>0.09</v>
      </c>
      <c r="CF1353">
        <v>0.01</v>
      </c>
      <c r="CG1353">
        <v>0.12</v>
      </c>
      <c r="CH1353">
        <v>0.11</v>
      </c>
      <c r="CI1353">
        <v>0.09</v>
      </c>
      <c r="CJ1353">
        <v>-0.73</v>
      </c>
      <c r="CK1353">
        <v>0.05</v>
      </c>
      <c r="CL1353">
        <v>2.0299999999999998</v>
      </c>
      <c r="CM1353">
        <v>-7.0000000000000007E-2</v>
      </c>
      <c r="CN1353">
        <v>-1.48</v>
      </c>
      <c r="CO1353">
        <v>13111</v>
      </c>
      <c r="CP1353">
        <v>1561</v>
      </c>
      <c r="CQ1353" t="s">
        <v>7252</v>
      </c>
      <c r="CR1353">
        <v>-41.62</v>
      </c>
      <c r="CS1353">
        <v>-0.28000000000000003</v>
      </c>
      <c r="CT1353">
        <v>3.05</v>
      </c>
      <c r="CU1353">
        <v>-303.60000000000002</v>
      </c>
      <c r="CV1353">
        <v>27.99</v>
      </c>
      <c r="CW1353">
        <v>1.1399999999999999</v>
      </c>
      <c r="CX1353" t="s">
        <v>1047</v>
      </c>
      <c r="CY1353">
        <v>8.3699999999999992</v>
      </c>
      <c r="CZ1353">
        <v>0</v>
      </c>
      <c r="DA1353">
        <v>4.46</v>
      </c>
      <c r="DB1353">
        <v>2.48</v>
      </c>
      <c r="DC1353">
        <v>-0.08</v>
      </c>
      <c r="DD1353">
        <v>87.46</v>
      </c>
      <c r="DE1353" t="s">
        <v>980</v>
      </c>
      <c r="DF1353">
        <v>47.11</v>
      </c>
      <c r="DG1353">
        <v>12.15</v>
      </c>
      <c r="DH1353">
        <v>12.45</v>
      </c>
      <c r="DI1353">
        <v>0.1</v>
      </c>
      <c r="DJ1353">
        <v>596</v>
      </c>
      <c r="DK1353">
        <v>3004</v>
      </c>
      <c r="DL1353" t="s">
        <v>120</v>
      </c>
      <c r="DM1353" t="s">
        <v>120</v>
      </c>
      <c r="DN1353" t="s">
        <v>120</v>
      </c>
    </row>
    <row r="1354" spans="1:118">
      <c r="A1354" t="str">
        <f>"003005"</f>
        <v>003005</v>
      </c>
      <c r="B1354" t="s">
        <v>7253</v>
      </c>
      <c r="C1354">
        <v>-1.17</v>
      </c>
      <c r="D1354">
        <v>-0.02</v>
      </c>
      <c r="E1354">
        <v>0</v>
      </c>
      <c r="F1354">
        <v>62</v>
      </c>
      <c r="G1354" t="s">
        <v>7254</v>
      </c>
      <c r="H1354">
        <v>1373.63</v>
      </c>
      <c r="I1354">
        <v>1.66</v>
      </c>
      <c r="J1354" t="s">
        <v>120</v>
      </c>
      <c r="K1354" t="s">
        <v>7254</v>
      </c>
      <c r="L1354">
        <v>1.57</v>
      </c>
      <c r="M1354">
        <v>32.82</v>
      </c>
      <c r="N1354">
        <v>0.83</v>
      </c>
      <c r="O1354">
        <v>0.12</v>
      </c>
      <c r="P1354">
        <v>33.25</v>
      </c>
      <c r="Q1354">
        <v>-1.93</v>
      </c>
      <c r="R1354">
        <v>32.57</v>
      </c>
      <c r="S1354">
        <v>33.21</v>
      </c>
      <c r="T1354">
        <v>4170</v>
      </c>
      <c r="U1354">
        <v>32.82</v>
      </c>
      <c r="V1354">
        <v>33.21</v>
      </c>
      <c r="W1354">
        <v>19.850000000000001</v>
      </c>
      <c r="X1354" t="s">
        <v>141</v>
      </c>
      <c r="Y1354" t="s">
        <v>158</v>
      </c>
      <c r="Z1354">
        <v>2.0499999999999998</v>
      </c>
      <c r="AA1354">
        <v>32.94</v>
      </c>
      <c r="AB1354">
        <v>2916</v>
      </c>
      <c r="AC1354">
        <v>1254</v>
      </c>
      <c r="AD1354">
        <v>2.33</v>
      </c>
      <c r="AE1354">
        <v>13</v>
      </c>
      <c r="AF1354">
        <v>6</v>
      </c>
      <c r="AG1354" t="s">
        <v>120</v>
      </c>
      <c r="AH1354">
        <v>0</v>
      </c>
      <c r="AI1354" t="s">
        <v>120</v>
      </c>
      <c r="AJ1354">
        <v>0.27</v>
      </c>
      <c r="AK1354" t="s">
        <v>4687</v>
      </c>
      <c r="AL1354">
        <v>0.74</v>
      </c>
      <c r="AM1354">
        <v>515</v>
      </c>
      <c r="AN1354">
        <v>8</v>
      </c>
      <c r="AO1354">
        <v>3.0999999999999999E-3</v>
      </c>
      <c r="AP1354">
        <v>-1</v>
      </c>
      <c r="AQ1354">
        <v>0.36</v>
      </c>
      <c r="AR1354">
        <v>-1.35</v>
      </c>
      <c r="AS1354">
        <v>-5.47</v>
      </c>
      <c r="AT1354">
        <v>-13.31</v>
      </c>
      <c r="AU1354">
        <v>-33.26</v>
      </c>
      <c r="AV1354">
        <v>1</v>
      </c>
      <c r="AW1354">
        <v>1.57</v>
      </c>
      <c r="AX1354">
        <v>25</v>
      </c>
      <c r="AY1354">
        <v>22.77</v>
      </c>
      <c r="AZ1354">
        <v>23.8</v>
      </c>
      <c r="BA1354">
        <v>0.82</v>
      </c>
      <c r="BB1354" t="s">
        <v>143</v>
      </c>
      <c r="BF1354">
        <v>-0.82</v>
      </c>
      <c r="BG1354">
        <v>-1.17</v>
      </c>
      <c r="BH1354">
        <v>-1.29</v>
      </c>
      <c r="BI1354">
        <v>0.77</v>
      </c>
      <c r="BJ1354">
        <v>20210902</v>
      </c>
      <c r="BK1354">
        <v>20200922</v>
      </c>
      <c r="BL1354">
        <v>1.06</v>
      </c>
      <c r="BM1354" t="s">
        <v>120</v>
      </c>
      <c r="BN1354" t="s">
        <v>120</v>
      </c>
      <c r="BO1354">
        <v>19.43</v>
      </c>
      <c r="BP1354">
        <v>32.79</v>
      </c>
      <c r="BQ1354">
        <v>14.62</v>
      </c>
      <c r="BR1354">
        <v>0.01</v>
      </c>
      <c r="BS1354">
        <v>24.71</v>
      </c>
      <c r="BT1354">
        <v>16.38</v>
      </c>
      <c r="BU1354">
        <v>1</v>
      </c>
      <c r="BV1354">
        <v>0.86</v>
      </c>
      <c r="BW1354">
        <v>4.6100000000000003</v>
      </c>
      <c r="BX1354">
        <v>4.4000000000000004</v>
      </c>
      <c r="BY1354">
        <v>1.91</v>
      </c>
      <c r="BZ1354">
        <v>3.48</v>
      </c>
      <c r="CA1354">
        <v>0</v>
      </c>
      <c r="CB1354">
        <v>7.83</v>
      </c>
      <c r="CC1354">
        <v>3.38</v>
      </c>
      <c r="CD1354">
        <v>1.8</v>
      </c>
      <c r="CE1354">
        <v>0.98</v>
      </c>
      <c r="CF1354">
        <v>0.12</v>
      </c>
      <c r="CG1354">
        <v>1.01</v>
      </c>
      <c r="CH1354">
        <v>0.87</v>
      </c>
      <c r="CI1354">
        <v>0.88</v>
      </c>
      <c r="CJ1354">
        <v>-0.39</v>
      </c>
      <c r="CK1354">
        <v>0.81</v>
      </c>
      <c r="CL1354">
        <v>5.42</v>
      </c>
      <c r="CM1354">
        <v>-0.82</v>
      </c>
      <c r="CN1354">
        <v>-4.92</v>
      </c>
      <c r="CO1354">
        <v>13231</v>
      </c>
      <c r="CP1354">
        <v>2003</v>
      </c>
      <c r="CQ1354" t="s">
        <v>4202</v>
      </c>
      <c r="CR1354">
        <v>8.26</v>
      </c>
      <c r="CS1354">
        <v>15.15</v>
      </c>
      <c r="CT1354">
        <v>2.38</v>
      </c>
      <c r="CU1354">
        <v>-42.58</v>
      </c>
      <c r="CV1354">
        <v>10.29</v>
      </c>
      <c r="CW1354">
        <v>1.05</v>
      </c>
      <c r="CX1354" t="s">
        <v>7255</v>
      </c>
      <c r="CY1354">
        <v>13.79</v>
      </c>
      <c r="CZ1354">
        <v>0</v>
      </c>
      <c r="DA1354">
        <v>7.39</v>
      </c>
      <c r="DB1354">
        <v>5.12</v>
      </c>
      <c r="DC1354">
        <v>-0.77</v>
      </c>
      <c r="DD1354">
        <v>75.23</v>
      </c>
      <c r="DE1354" t="s">
        <v>1002</v>
      </c>
      <c r="DF1354">
        <v>46.8</v>
      </c>
      <c r="DG1354">
        <v>29.07</v>
      </c>
      <c r="DH1354">
        <v>25.92</v>
      </c>
      <c r="DI1354">
        <v>0.23</v>
      </c>
      <c r="DJ1354">
        <v>597</v>
      </c>
      <c r="DK1354">
        <v>3005</v>
      </c>
      <c r="DL1354" t="s">
        <v>120</v>
      </c>
      <c r="DM1354" t="s">
        <v>120</v>
      </c>
      <c r="DN1354" t="s">
        <v>120</v>
      </c>
    </row>
    <row r="1355" spans="1:118">
      <c r="A1355" t="str">
        <f>"003006"</f>
        <v>003006</v>
      </c>
      <c r="B1355" t="s">
        <v>7256</v>
      </c>
      <c r="C1355">
        <v>-3.51</v>
      </c>
      <c r="D1355">
        <v>0</v>
      </c>
      <c r="E1355">
        <v>-0.43</v>
      </c>
      <c r="F1355">
        <v>87</v>
      </c>
      <c r="G1355" t="s">
        <v>7257</v>
      </c>
      <c r="H1355">
        <v>3348.53</v>
      </c>
      <c r="I1355">
        <v>1.86</v>
      </c>
      <c r="J1355" t="s">
        <v>120</v>
      </c>
      <c r="K1355" t="s">
        <v>7257</v>
      </c>
      <c r="L1355">
        <v>3.85</v>
      </c>
      <c r="M1355">
        <v>20.059999999999999</v>
      </c>
      <c r="N1355">
        <v>0.97</v>
      </c>
      <c r="O1355">
        <v>0.82</v>
      </c>
      <c r="P1355">
        <v>20.96</v>
      </c>
      <c r="Q1355">
        <v>-3.8</v>
      </c>
      <c r="R1355">
        <v>20</v>
      </c>
      <c r="S1355">
        <v>20.7</v>
      </c>
      <c r="T1355">
        <v>16456</v>
      </c>
      <c r="U1355">
        <v>20.059999999999999</v>
      </c>
      <c r="V1355">
        <v>20.79</v>
      </c>
      <c r="W1355">
        <v>32.5</v>
      </c>
      <c r="X1355" t="s">
        <v>814</v>
      </c>
      <c r="Y1355" t="s">
        <v>883</v>
      </c>
      <c r="Z1355">
        <v>4.62</v>
      </c>
      <c r="AA1355">
        <v>20.350000000000001</v>
      </c>
      <c r="AB1355">
        <v>9678</v>
      </c>
      <c r="AC1355">
        <v>6778</v>
      </c>
      <c r="AD1355">
        <v>1.43</v>
      </c>
      <c r="AE1355">
        <v>30</v>
      </c>
      <c r="AF1355">
        <v>41</v>
      </c>
      <c r="AG1355" t="s">
        <v>120</v>
      </c>
      <c r="AH1355">
        <v>0</v>
      </c>
      <c r="AI1355" t="s">
        <v>120</v>
      </c>
      <c r="AJ1355">
        <v>0.43</v>
      </c>
      <c r="AK1355" t="s">
        <v>7258</v>
      </c>
      <c r="AL1355">
        <v>-1.6</v>
      </c>
      <c r="AM1355">
        <v>1507</v>
      </c>
      <c r="AN1355">
        <v>11</v>
      </c>
      <c r="AO1355">
        <v>2.5999999999999999E-3</v>
      </c>
      <c r="AP1355">
        <v>-4</v>
      </c>
      <c r="AQ1355">
        <v>-0.56999999999999995</v>
      </c>
      <c r="AR1355">
        <v>-4.74</v>
      </c>
      <c r="AS1355">
        <v>-22.55</v>
      </c>
      <c r="AT1355">
        <v>-20.87</v>
      </c>
      <c r="AU1355">
        <v>-19.28</v>
      </c>
      <c r="AV1355">
        <v>5</v>
      </c>
      <c r="AW1355">
        <v>3.85</v>
      </c>
      <c r="AX1355">
        <v>10</v>
      </c>
      <c r="AY1355">
        <v>39.46</v>
      </c>
      <c r="AZ1355">
        <v>48.73</v>
      </c>
      <c r="BA1355">
        <v>0.76</v>
      </c>
      <c r="BB1355" t="s">
        <v>134</v>
      </c>
      <c r="BF1355">
        <v>-2.13</v>
      </c>
      <c r="BG1355">
        <v>-3.09</v>
      </c>
      <c r="BH1355">
        <v>-4.29</v>
      </c>
      <c r="BI1355">
        <v>0.3</v>
      </c>
      <c r="BJ1355">
        <v>20210803</v>
      </c>
      <c r="BK1355">
        <v>20200921</v>
      </c>
      <c r="BL1355">
        <v>4.28</v>
      </c>
      <c r="BM1355" t="s">
        <v>120</v>
      </c>
      <c r="BN1355" t="s">
        <v>120</v>
      </c>
      <c r="BO1355">
        <v>14.41</v>
      </c>
      <c r="BP1355">
        <v>20.05</v>
      </c>
      <c r="BQ1355">
        <v>11.28</v>
      </c>
      <c r="BR1355">
        <v>0</v>
      </c>
      <c r="BS1355">
        <v>21.72</v>
      </c>
      <c r="BT1355">
        <v>8.31</v>
      </c>
      <c r="BU1355">
        <v>4.2300000000000004</v>
      </c>
      <c r="BV1355">
        <v>0.66</v>
      </c>
      <c r="BW1355">
        <v>3.06</v>
      </c>
      <c r="BX1355">
        <v>2.33</v>
      </c>
      <c r="BY1355">
        <v>1.05</v>
      </c>
      <c r="BZ1355">
        <v>1.1200000000000001</v>
      </c>
      <c r="CA1355" t="s">
        <v>120</v>
      </c>
      <c r="CB1355">
        <v>2.61</v>
      </c>
      <c r="CC1355">
        <v>7.6</v>
      </c>
      <c r="CD1355">
        <v>4.13</v>
      </c>
      <c r="CE1355">
        <v>1.54</v>
      </c>
      <c r="CF1355">
        <v>0.03</v>
      </c>
      <c r="CG1355">
        <v>1.54</v>
      </c>
      <c r="CH1355">
        <v>1.33</v>
      </c>
      <c r="CI1355">
        <v>1.32</v>
      </c>
      <c r="CJ1355">
        <v>-0.73</v>
      </c>
      <c r="CK1355">
        <v>1.23</v>
      </c>
      <c r="CL1355">
        <v>3.83</v>
      </c>
      <c r="CM1355">
        <v>1.1200000000000001</v>
      </c>
      <c r="CN1355">
        <v>-0.14000000000000001</v>
      </c>
      <c r="CO1355">
        <v>10182</v>
      </c>
      <c r="CP1355">
        <v>4201</v>
      </c>
      <c r="CQ1355" t="s">
        <v>3925</v>
      </c>
      <c r="CR1355">
        <v>48.04</v>
      </c>
      <c r="CS1355">
        <v>25.35</v>
      </c>
      <c r="CT1355">
        <v>7.61</v>
      </c>
      <c r="CU1355">
        <v>76.67</v>
      </c>
      <c r="CV1355">
        <v>11.29</v>
      </c>
      <c r="CW1355">
        <v>1.44</v>
      </c>
      <c r="CX1355" t="s">
        <v>2752</v>
      </c>
      <c r="CY1355">
        <v>2.64</v>
      </c>
      <c r="CZ1355">
        <v>0</v>
      </c>
      <c r="DA1355">
        <v>0.61</v>
      </c>
      <c r="DB1355">
        <v>0.9</v>
      </c>
      <c r="DC1355">
        <v>0.26</v>
      </c>
      <c r="DD1355">
        <v>78.28</v>
      </c>
      <c r="DE1355" t="s">
        <v>7259</v>
      </c>
      <c r="DF1355">
        <v>45.66</v>
      </c>
      <c r="DG1355">
        <v>20.25</v>
      </c>
      <c r="DH1355">
        <v>17.37</v>
      </c>
      <c r="DI1355">
        <v>0.27</v>
      </c>
      <c r="DJ1355">
        <v>2049</v>
      </c>
      <c r="DK1355">
        <v>3006</v>
      </c>
      <c r="DL1355" t="s">
        <v>120</v>
      </c>
      <c r="DM1355" t="s">
        <v>120</v>
      </c>
      <c r="DN1355" t="s">
        <v>120</v>
      </c>
    </row>
    <row r="1356" spans="1:118">
      <c r="A1356" t="str">
        <f>"003007"</f>
        <v>003007</v>
      </c>
      <c r="B1356" t="s">
        <v>7260</v>
      </c>
      <c r="C1356">
        <v>-0.63</v>
      </c>
      <c r="D1356">
        <v>0</v>
      </c>
      <c r="E1356">
        <v>0.06</v>
      </c>
      <c r="F1356">
        <v>173</v>
      </c>
      <c r="G1356" t="s">
        <v>7261</v>
      </c>
      <c r="H1356">
        <v>835.8</v>
      </c>
      <c r="I1356">
        <v>0.52</v>
      </c>
      <c r="J1356" t="s">
        <v>120</v>
      </c>
      <c r="K1356" t="s">
        <v>7261</v>
      </c>
      <c r="L1356">
        <v>1.85</v>
      </c>
      <c r="M1356">
        <v>17.27</v>
      </c>
      <c r="N1356">
        <v>0.87</v>
      </c>
      <c r="O1356">
        <v>1.0900000000000001</v>
      </c>
      <c r="P1356">
        <v>17.57</v>
      </c>
      <c r="Q1356">
        <v>-0.69</v>
      </c>
      <c r="R1356">
        <v>17.260000000000002</v>
      </c>
      <c r="S1356">
        <v>17.39</v>
      </c>
      <c r="T1356">
        <v>4799</v>
      </c>
      <c r="U1356">
        <v>17.29</v>
      </c>
      <c r="V1356">
        <v>17.38</v>
      </c>
      <c r="W1356" t="s">
        <v>120</v>
      </c>
      <c r="X1356" t="s">
        <v>141</v>
      </c>
      <c r="Y1356" t="s">
        <v>158</v>
      </c>
      <c r="Z1356">
        <v>1.78</v>
      </c>
      <c r="AA1356">
        <v>17.420000000000002</v>
      </c>
      <c r="AB1356">
        <v>2888</v>
      </c>
      <c r="AC1356">
        <v>1911</v>
      </c>
      <c r="AD1356">
        <v>1.51</v>
      </c>
      <c r="AE1356">
        <v>85</v>
      </c>
      <c r="AF1356">
        <v>1</v>
      </c>
      <c r="AG1356" t="s">
        <v>120</v>
      </c>
      <c r="AH1356">
        <v>0</v>
      </c>
      <c r="AI1356" t="s">
        <v>120</v>
      </c>
      <c r="AJ1356">
        <v>0.26</v>
      </c>
      <c r="AK1356" t="s">
        <v>1412</v>
      </c>
      <c r="AL1356">
        <v>1.28</v>
      </c>
      <c r="AM1356">
        <v>479</v>
      </c>
      <c r="AN1356">
        <v>10</v>
      </c>
      <c r="AO1356">
        <v>3.8999999999999998E-3</v>
      </c>
      <c r="AP1356">
        <v>-1</v>
      </c>
      <c r="AQ1356">
        <v>0</v>
      </c>
      <c r="AR1356">
        <v>-1.37</v>
      </c>
      <c r="AS1356">
        <v>-5.05</v>
      </c>
      <c r="AT1356">
        <v>-16.32</v>
      </c>
      <c r="AU1356">
        <v>-24.91</v>
      </c>
      <c r="AV1356">
        <v>4</v>
      </c>
      <c r="AW1356">
        <v>1.85</v>
      </c>
      <c r="AX1356">
        <v>25</v>
      </c>
      <c r="AY1356">
        <v>288.5</v>
      </c>
      <c r="AZ1356">
        <v>27.21</v>
      </c>
      <c r="BA1356">
        <v>0.79</v>
      </c>
      <c r="BB1356" t="s">
        <v>143</v>
      </c>
      <c r="BF1356">
        <v>0.21</v>
      </c>
      <c r="BG1356">
        <v>-0.69</v>
      </c>
      <c r="BH1356">
        <v>-1.71</v>
      </c>
      <c r="BI1356">
        <v>0.06</v>
      </c>
      <c r="BJ1356">
        <v>20210825</v>
      </c>
      <c r="BK1356">
        <v>20200923</v>
      </c>
      <c r="BL1356">
        <v>1.04</v>
      </c>
      <c r="BM1356" t="s">
        <v>120</v>
      </c>
      <c r="BN1356" t="s">
        <v>120</v>
      </c>
      <c r="BO1356">
        <v>9.69</v>
      </c>
      <c r="BP1356">
        <v>17.27</v>
      </c>
      <c r="BQ1356">
        <v>8.23</v>
      </c>
      <c r="BR1356">
        <v>-0.01</v>
      </c>
      <c r="BS1356">
        <v>15.17</v>
      </c>
      <c r="BT1356">
        <v>7.79</v>
      </c>
      <c r="BU1356">
        <v>1.17</v>
      </c>
      <c r="BV1356">
        <v>0.02</v>
      </c>
      <c r="BW1356">
        <v>1.45</v>
      </c>
      <c r="BX1356">
        <v>2.2999999999999998</v>
      </c>
      <c r="BY1356">
        <v>0.57999999999999996</v>
      </c>
      <c r="BZ1356">
        <v>1.36</v>
      </c>
      <c r="CA1356" t="s">
        <v>120</v>
      </c>
      <c r="CB1356">
        <v>3.79</v>
      </c>
      <c r="CC1356">
        <v>0.9</v>
      </c>
      <c r="CD1356">
        <v>0.56000000000000005</v>
      </c>
      <c r="CE1356">
        <v>-0.61</v>
      </c>
      <c r="CF1356">
        <v>0.06</v>
      </c>
      <c r="CG1356">
        <v>-0.57999999999999996</v>
      </c>
      <c r="CH1356">
        <v>-0.62</v>
      </c>
      <c r="CI1356">
        <v>-0.61</v>
      </c>
      <c r="CJ1356">
        <v>-0.11</v>
      </c>
      <c r="CK1356">
        <v>-0.68</v>
      </c>
      <c r="CL1356">
        <v>2.86</v>
      </c>
      <c r="CM1356">
        <v>-0.54</v>
      </c>
      <c r="CN1356">
        <v>-2.23</v>
      </c>
      <c r="CO1356">
        <v>12067</v>
      </c>
      <c r="CP1356">
        <v>2155</v>
      </c>
      <c r="CQ1356" t="s">
        <v>708</v>
      </c>
      <c r="CR1356">
        <v>-5394.71</v>
      </c>
      <c r="CS1356">
        <v>-31.57</v>
      </c>
      <c r="CT1356">
        <v>2.1800000000000002</v>
      </c>
      <c r="CU1356">
        <v>-33.28</v>
      </c>
      <c r="CV1356">
        <v>19.989999999999998</v>
      </c>
      <c r="CW1356">
        <v>1.77</v>
      </c>
      <c r="CX1356" t="s">
        <v>7262</v>
      </c>
      <c r="CY1356">
        <v>7.91</v>
      </c>
      <c r="CZ1356">
        <v>0</v>
      </c>
      <c r="DA1356">
        <v>3.64</v>
      </c>
      <c r="DB1356">
        <v>2.75</v>
      </c>
      <c r="DC1356">
        <v>-0.52</v>
      </c>
      <c r="DD1356">
        <v>84.92</v>
      </c>
      <c r="DE1356" t="s">
        <v>7263</v>
      </c>
      <c r="DF1356">
        <v>37.96</v>
      </c>
      <c r="DG1356">
        <v>-68.319999999999993</v>
      </c>
      <c r="DH1356">
        <v>-68.19</v>
      </c>
      <c r="DI1356">
        <v>0.69</v>
      </c>
      <c r="DJ1356">
        <v>884</v>
      </c>
      <c r="DK1356">
        <v>3007</v>
      </c>
      <c r="DL1356" t="s">
        <v>120</v>
      </c>
      <c r="DM1356" t="s">
        <v>120</v>
      </c>
      <c r="DN1356" t="s">
        <v>120</v>
      </c>
    </row>
    <row r="1357" spans="1:118">
      <c r="A1357" t="str">
        <f>"003008"</f>
        <v>003008</v>
      </c>
      <c r="B1357" t="s">
        <v>7264</v>
      </c>
      <c r="C1357">
        <v>-0.56000000000000005</v>
      </c>
      <c r="D1357">
        <v>0.63</v>
      </c>
      <c r="E1357">
        <v>-0.97</v>
      </c>
      <c r="F1357">
        <v>105</v>
      </c>
      <c r="G1357" t="s">
        <v>7265</v>
      </c>
      <c r="H1357">
        <v>1001.64</v>
      </c>
      <c r="I1357">
        <v>2.21</v>
      </c>
      <c r="J1357" t="s">
        <v>120</v>
      </c>
      <c r="K1357" t="s">
        <v>7265</v>
      </c>
      <c r="L1357">
        <v>1.59</v>
      </c>
      <c r="M1357">
        <v>31.7</v>
      </c>
      <c r="N1357">
        <v>0.88</v>
      </c>
      <c r="O1357">
        <v>0.06</v>
      </c>
      <c r="P1357">
        <v>31.9</v>
      </c>
      <c r="Q1357">
        <v>-1.35</v>
      </c>
      <c r="R1357">
        <v>31.45</v>
      </c>
      <c r="S1357">
        <v>31.57</v>
      </c>
      <c r="T1357">
        <v>3171</v>
      </c>
      <c r="U1357">
        <v>31.7</v>
      </c>
      <c r="V1357">
        <v>31.88</v>
      </c>
      <c r="W1357">
        <v>36.1</v>
      </c>
      <c r="X1357" t="s">
        <v>394</v>
      </c>
      <c r="Y1357" t="s">
        <v>645</v>
      </c>
      <c r="Z1357">
        <v>1.41</v>
      </c>
      <c r="AA1357">
        <v>31.59</v>
      </c>
      <c r="AB1357">
        <v>1932</v>
      </c>
      <c r="AC1357">
        <v>1239</v>
      </c>
      <c r="AD1357">
        <v>1.56</v>
      </c>
      <c r="AE1357">
        <v>20</v>
      </c>
      <c r="AF1357">
        <v>2</v>
      </c>
      <c r="AG1357" t="s">
        <v>120</v>
      </c>
      <c r="AH1357">
        <v>0</v>
      </c>
      <c r="AI1357" t="s">
        <v>120</v>
      </c>
      <c r="AJ1357">
        <v>0.2</v>
      </c>
      <c r="AK1357" t="s">
        <v>2590</v>
      </c>
      <c r="AL1357">
        <v>1.35</v>
      </c>
      <c r="AM1357">
        <v>384</v>
      </c>
      <c r="AN1357">
        <v>8</v>
      </c>
      <c r="AO1357">
        <v>4.1000000000000003E-3</v>
      </c>
      <c r="AP1357">
        <v>-1</v>
      </c>
      <c r="AQ1357">
        <v>1.08</v>
      </c>
      <c r="AR1357">
        <v>-0.03</v>
      </c>
      <c r="AS1357">
        <v>-3.5</v>
      </c>
      <c r="AT1357">
        <v>-1.34</v>
      </c>
      <c r="AU1357">
        <v>-15.15</v>
      </c>
      <c r="AV1357">
        <v>1</v>
      </c>
      <c r="AW1357">
        <v>1.59</v>
      </c>
      <c r="AX1357">
        <v>25</v>
      </c>
      <c r="AY1357">
        <v>42.6</v>
      </c>
      <c r="AZ1357">
        <v>34.340000000000003</v>
      </c>
      <c r="BA1357">
        <v>0.38</v>
      </c>
      <c r="BB1357" t="s">
        <v>143</v>
      </c>
      <c r="BF1357">
        <v>-0.9</v>
      </c>
      <c r="BG1357">
        <v>0.41</v>
      </c>
      <c r="BH1357">
        <v>-0.63</v>
      </c>
      <c r="BI1357">
        <v>0.79</v>
      </c>
      <c r="BJ1357">
        <v>20210820</v>
      </c>
      <c r="BK1357">
        <v>20200923</v>
      </c>
      <c r="BL1357">
        <v>0.8</v>
      </c>
      <c r="BM1357" t="s">
        <v>120</v>
      </c>
      <c r="BN1357" t="s">
        <v>120</v>
      </c>
      <c r="BO1357">
        <v>10.23</v>
      </c>
      <c r="BP1357">
        <v>31.57</v>
      </c>
      <c r="BQ1357">
        <v>9.91</v>
      </c>
      <c r="BR1357" t="s">
        <v>120</v>
      </c>
      <c r="BS1357">
        <v>3.09</v>
      </c>
      <c r="BT1357">
        <v>6.82</v>
      </c>
      <c r="BU1357">
        <v>1.84</v>
      </c>
      <c r="BV1357">
        <v>0.25</v>
      </c>
      <c r="BW1357">
        <v>0.28999999999999998</v>
      </c>
      <c r="BX1357">
        <v>3.15</v>
      </c>
      <c r="BY1357">
        <v>0.01</v>
      </c>
      <c r="BZ1357">
        <v>0.11</v>
      </c>
      <c r="CA1357" t="s">
        <v>120</v>
      </c>
      <c r="CB1357">
        <v>6.4</v>
      </c>
      <c r="CC1357">
        <v>0.68</v>
      </c>
      <c r="CD1357">
        <v>0.2</v>
      </c>
      <c r="CE1357">
        <v>0.41</v>
      </c>
      <c r="CF1357">
        <v>0.04</v>
      </c>
      <c r="CG1357">
        <v>0.41</v>
      </c>
      <c r="CH1357">
        <v>0.35</v>
      </c>
      <c r="CI1357">
        <v>0.35</v>
      </c>
      <c r="CJ1357">
        <v>-0.18</v>
      </c>
      <c r="CK1357">
        <v>0.3</v>
      </c>
      <c r="CL1357">
        <v>2.38</v>
      </c>
      <c r="CM1357">
        <v>0.34</v>
      </c>
      <c r="CN1357">
        <v>0.69</v>
      </c>
      <c r="CO1357">
        <v>13126</v>
      </c>
      <c r="CP1357">
        <v>1524</v>
      </c>
      <c r="CQ1357" t="s">
        <v>1174</v>
      </c>
      <c r="CR1357">
        <v>-29.06</v>
      </c>
      <c r="CS1357">
        <v>-20.399999999999999</v>
      </c>
      <c r="CT1357">
        <v>2.56</v>
      </c>
      <c r="CU1357">
        <v>74.400000000000006</v>
      </c>
      <c r="CV1357">
        <v>37.200000000000003</v>
      </c>
      <c r="CW1357">
        <v>1.88</v>
      </c>
      <c r="CX1357" t="s">
        <v>194</v>
      </c>
      <c r="CY1357">
        <v>12.39</v>
      </c>
      <c r="CZ1357">
        <v>0</v>
      </c>
      <c r="DA1357">
        <v>7.99</v>
      </c>
      <c r="DB1357">
        <v>2.97</v>
      </c>
      <c r="DC1357">
        <v>0.43</v>
      </c>
      <c r="DD1357">
        <v>96.91</v>
      </c>
      <c r="DE1357" t="s">
        <v>1130</v>
      </c>
      <c r="DF1357">
        <v>70.97</v>
      </c>
      <c r="DG1357">
        <v>60.67</v>
      </c>
      <c r="DH1357">
        <v>51.52</v>
      </c>
      <c r="DI1357">
        <v>0.04</v>
      </c>
      <c r="DJ1357">
        <v>85</v>
      </c>
      <c r="DK1357">
        <v>3008</v>
      </c>
      <c r="DL1357" t="s">
        <v>120</v>
      </c>
      <c r="DM1357" t="s">
        <v>120</v>
      </c>
      <c r="DN1357" t="s">
        <v>120</v>
      </c>
    </row>
    <row r="1358" spans="1:118">
      <c r="A1358" t="str">
        <f>"003009"</f>
        <v>003009</v>
      </c>
      <c r="B1358" t="s">
        <v>7266</v>
      </c>
      <c r="C1358">
        <v>-5.3</v>
      </c>
      <c r="D1358">
        <v>-0.16</v>
      </c>
      <c r="E1358">
        <v>-0.74</v>
      </c>
      <c r="F1358">
        <v>289</v>
      </c>
      <c r="G1358" t="s">
        <v>1710</v>
      </c>
      <c r="H1358">
        <v>18381.86</v>
      </c>
      <c r="I1358">
        <v>63.33</v>
      </c>
      <c r="J1358" t="s">
        <v>120</v>
      </c>
      <c r="K1358" t="s">
        <v>1710</v>
      </c>
      <c r="L1358">
        <v>7.69</v>
      </c>
      <c r="M1358">
        <v>59.82</v>
      </c>
      <c r="N1358">
        <v>0.9</v>
      </c>
      <c r="O1358">
        <v>0.81</v>
      </c>
      <c r="P1358">
        <v>63.68</v>
      </c>
      <c r="Q1358">
        <v>-5.56</v>
      </c>
      <c r="R1358">
        <v>59.66</v>
      </c>
      <c r="S1358">
        <v>62.7</v>
      </c>
      <c r="T1358">
        <v>29855</v>
      </c>
      <c r="U1358">
        <v>59.83</v>
      </c>
      <c r="V1358">
        <v>63.17</v>
      </c>
      <c r="W1358">
        <v>50.37</v>
      </c>
      <c r="X1358" t="s">
        <v>1621</v>
      </c>
      <c r="Y1358" t="s">
        <v>890</v>
      </c>
      <c r="Z1358">
        <v>6.36</v>
      </c>
      <c r="AA1358">
        <v>61.57</v>
      </c>
      <c r="AB1358">
        <v>18085</v>
      </c>
      <c r="AC1358">
        <v>11770</v>
      </c>
      <c r="AD1358">
        <v>1.54</v>
      </c>
      <c r="AE1358">
        <v>58</v>
      </c>
      <c r="AF1358">
        <v>8</v>
      </c>
      <c r="AG1358" t="s">
        <v>120</v>
      </c>
      <c r="AH1358">
        <v>0.03</v>
      </c>
      <c r="AI1358" t="s">
        <v>120</v>
      </c>
      <c r="AJ1358">
        <v>0.39</v>
      </c>
      <c r="AK1358" t="s">
        <v>7267</v>
      </c>
      <c r="AL1358">
        <v>-3.39</v>
      </c>
      <c r="AM1358">
        <v>2954</v>
      </c>
      <c r="AN1358">
        <v>10</v>
      </c>
      <c r="AO1358">
        <v>2.5999999999999999E-3</v>
      </c>
      <c r="AP1358">
        <v>-2</v>
      </c>
      <c r="AQ1358">
        <v>-1.4</v>
      </c>
      <c r="AR1358">
        <v>-6.4</v>
      </c>
      <c r="AS1358">
        <v>-9.61</v>
      </c>
      <c r="AT1358">
        <v>6.72</v>
      </c>
      <c r="AU1358">
        <v>-17.87</v>
      </c>
      <c r="AV1358">
        <v>8</v>
      </c>
      <c r="AW1358">
        <v>7.69</v>
      </c>
      <c r="AX1358">
        <v>25</v>
      </c>
      <c r="AY1358">
        <v>72.790000000000006</v>
      </c>
      <c r="AZ1358">
        <v>94.9</v>
      </c>
      <c r="BA1358">
        <v>0.76</v>
      </c>
      <c r="BB1358" t="s">
        <v>134</v>
      </c>
      <c r="BF1358">
        <v>-2.5299999999999998</v>
      </c>
      <c r="BG1358">
        <v>-4.59</v>
      </c>
      <c r="BH1358">
        <v>-6.06</v>
      </c>
      <c r="BI1358">
        <v>0.27</v>
      </c>
      <c r="BJ1358">
        <v>20210913</v>
      </c>
      <c r="BK1358">
        <v>20200925</v>
      </c>
      <c r="BL1358">
        <v>1.55</v>
      </c>
      <c r="BM1358" t="s">
        <v>120</v>
      </c>
      <c r="BN1358" t="s">
        <v>120</v>
      </c>
      <c r="BO1358">
        <v>18.079999999999998</v>
      </c>
      <c r="BP1358">
        <v>59.82</v>
      </c>
      <c r="BQ1358">
        <v>13.16</v>
      </c>
      <c r="BR1358" t="s">
        <v>120</v>
      </c>
      <c r="BS1358">
        <v>27.21</v>
      </c>
      <c r="BT1358">
        <v>13.04</v>
      </c>
      <c r="BU1358">
        <v>3.35</v>
      </c>
      <c r="BV1358">
        <v>0.83</v>
      </c>
      <c r="BW1358">
        <v>4.66</v>
      </c>
      <c r="BX1358">
        <v>2.95</v>
      </c>
      <c r="BY1358">
        <v>2.09</v>
      </c>
      <c r="BZ1358">
        <v>4.62</v>
      </c>
      <c r="CA1358" t="s">
        <v>120</v>
      </c>
      <c r="CB1358">
        <v>6.24</v>
      </c>
      <c r="CC1358">
        <v>5.09</v>
      </c>
      <c r="CD1358">
        <v>3.37</v>
      </c>
      <c r="CE1358">
        <v>0.99</v>
      </c>
      <c r="CF1358">
        <v>0</v>
      </c>
      <c r="CG1358">
        <v>1.06</v>
      </c>
      <c r="CH1358">
        <v>0.92</v>
      </c>
      <c r="CI1358">
        <v>0.92</v>
      </c>
      <c r="CJ1358">
        <v>-3.35</v>
      </c>
      <c r="CK1358">
        <v>0.8</v>
      </c>
      <c r="CL1358">
        <v>4.8499999999999996</v>
      </c>
      <c r="CM1358">
        <v>-0.45</v>
      </c>
      <c r="CN1358">
        <v>-3.72</v>
      </c>
      <c r="CO1358">
        <v>27775</v>
      </c>
      <c r="CP1358">
        <v>1399</v>
      </c>
      <c r="CQ1358" t="s">
        <v>7268</v>
      </c>
      <c r="CR1358">
        <v>51.63</v>
      </c>
      <c r="CS1358">
        <v>34.65</v>
      </c>
      <c r="CT1358">
        <v>7.06</v>
      </c>
      <c r="CU1358">
        <v>-208.31</v>
      </c>
      <c r="CV1358">
        <v>18.25</v>
      </c>
      <c r="CW1358">
        <v>0.11</v>
      </c>
      <c r="CX1358" t="s">
        <v>597</v>
      </c>
      <c r="CY1358">
        <v>8.4700000000000006</v>
      </c>
      <c r="CZ1358">
        <v>0</v>
      </c>
      <c r="DA1358">
        <v>4.0199999999999996</v>
      </c>
      <c r="DB1358">
        <v>3.12</v>
      </c>
      <c r="DC1358">
        <v>-0.28999999999999998</v>
      </c>
      <c r="DD1358">
        <v>72.790000000000006</v>
      </c>
      <c r="DE1358" t="s">
        <v>7269</v>
      </c>
      <c r="DF1358">
        <v>33.880000000000003</v>
      </c>
      <c r="DG1358">
        <v>19.46</v>
      </c>
      <c r="DH1358">
        <v>18.11</v>
      </c>
      <c r="DI1358">
        <v>0.16</v>
      </c>
      <c r="DJ1358">
        <v>723</v>
      </c>
      <c r="DK1358">
        <v>3009</v>
      </c>
      <c r="DL1358" t="s">
        <v>120</v>
      </c>
      <c r="DM1358" t="s">
        <v>120</v>
      </c>
      <c r="DN1358" t="s">
        <v>120</v>
      </c>
    </row>
    <row r="1359" spans="1:118">
      <c r="A1359" t="str">
        <f>"003010"</f>
        <v>003010</v>
      </c>
      <c r="B1359" t="s">
        <v>7270</v>
      </c>
      <c r="C1359">
        <v>-3.05</v>
      </c>
      <c r="D1359">
        <v>0</v>
      </c>
      <c r="E1359">
        <v>0.31</v>
      </c>
      <c r="F1359">
        <v>86</v>
      </c>
      <c r="G1359" t="s">
        <v>7271</v>
      </c>
      <c r="H1359">
        <v>3102.74</v>
      </c>
      <c r="I1359">
        <v>0.22</v>
      </c>
      <c r="J1359" t="s">
        <v>120</v>
      </c>
      <c r="K1359" t="s">
        <v>7271</v>
      </c>
      <c r="L1359">
        <v>4.67</v>
      </c>
      <c r="M1359">
        <v>21.59</v>
      </c>
      <c r="N1359">
        <v>1.6</v>
      </c>
      <c r="O1359">
        <v>0.49</v>
      </c>
      <c r="P1359">
        <v>22.38</v>
      </c>
      <c r="Q1359">
        <v>-3.14</v>
      </c>
      <c r="R1359">
        <v>21.57</v>
      </c>
      <c r="S1359">
        <v>22.34</v>
      </c>
      <c r="T1359">
        <v>14203</v>
      </c>
      <c r="U1359">
        <v>21.6</v>
      </c>
      <c r="V1359">
        <v>22.27</v>
      </c>
      <c r="W1359">
        <v>32.99</v>
      </c>
      <c r="X1359" t="s">
        <v>1531</v>
      </c>
      <c r="Y1359" t="s">
        <v>547</v>
      </c>
      <c r="Z1359">
        <v>3.64</v>
      </c>
      <c r="AA1359">
        <v>21.85</v>
      </c>
      <c r="AB1359">
        <v>9707</v>
      </c>
      <c r="AC1359">
        <v>4496</v>
      </c>
      <c r="AD1359">
        <v>2.16</v>
      </c>
      <c r="AE1359">
        <v>230</v>
      </c>
      <c r="AF1359">
        <v>31</v>
      </c>
      <c r="AG1359" t="s">
        <v>120</v>
      </c>
      <c r="AH1359">
        <v>0</v>
      </c>
      <c r="AI1359" t="s">
        <v>120</v>
      </c>
      <c r="AJ1359">
        <v>0.3</v>
      </c>
      <c r="AK1359" t="s">
        <v>7272</v>
      </c>
      <c r="AL1359">
        <v>-1.1399999999999999</v>
      </c>
      <c r="AM1359">
        <v>939</v>
      </c>
      <c r="AN1359">
        <v>15</v>
      </c>
      <c r="AO1359">
        <v>5.0000000000000001E-3</v>
      </c>
      <c r="AP1359">
        <v>-6</v>
      </c>
      <c r="AQ1359">
        <v>-1.2</v>
      </c>
      <c r="AR1359">
        <v>-5.15</v>
      </c>
      <c r="AS1359">
        <v>-3.88</v>
      </c>
      <c r="AT1359">
        <v>-22.31</v>
      </c>
      <c r="AU1359">
        <v>-31.81</v>
      </c>
      <c r="AV1359">
        <v>4</v>
      </c>
      <c r="AW1359">
        <v>4.67</v>
      </c>
      <c r="AX1359">
        <v>25</v>
      </c>
      <c r="AY1359">
        <v>31.49</v>
      </c>
      <c r="AZ1359">
        <v>30.62</v>
      </c>
      <c r="BA1359">
        <v>0.75</v>
      </c>
      <c r="BB1359" t="s">
        <v>240</v>
      </c>
      <c r="BF1359">
        <v>-1.91</v>
      </c>
      <c r="BG1359">
        <v>-3.36</v>
      </c>
      <c r="BH1359">
        <v>-3.53</v>
      </c>
      <c r="BI1359">
        <v>0.09</v>
      </c>
      <c r="BJ1359">
        <v>20210910</v>
      </c>
      <c r="BK1359">
        <v>20200925</v>
      </c>
      <c r="BL1359">
        <v>1.22</v>
      </c>
      <c r="BM1359" t="s">
        <v>120</v>
      </c>
      <c r="BN1359" t="s">
        <v>120</v>
      </c>
      <c r="BO1359">
        <v>12.04</v>
      </c>
      <c r="BP1359">
        <v>21.59</v>
      </c>
      <c r="BQ1359">
        <v>10.79</v>
      </c>
      <c r="BR1359">
        <v>0.01</v>
      </c>
      <c r="BS1359">
        <v>10.26</v>
      </c>
      <c r="BT1359">
        <v>11.49</v>
      </c>
      <c r="BU1359">
        <v>7.0000000000000007E-2</v>
      </c>
      <c r="BV1359">
        <v>0.08</v>
      </c>
      <c r="BW1359">
        <v>1.0900000000000001</v>
      </c>
      <c r="BX1359">
        <v>4.74</v>
      </c>
      <c r="BY1359">
        <v>3.74</v>
      </c>
      <c r="BZ1359">
        <v>1.22</v>
      </c>
      <c r="CA1359" t="s">
        <v>120</v>
      </c>
      <c r="CB1359">
        <v>6.11</v>
      </c>
      <c r="CC1359">
        <v>5.98</v>
      </c>
      <c r="CD1359">
        <v>3.98</v>
      </c>
      <c r="CE1359">
        <v>0.44</v>
      </c>
      <c r="CF1359">
        <v>0.02</v>
      </c>
      <c r="CG1359">
        <v>0.48</v>
      </c>
      <c r="CH1359">
        <v>0.4</v>
      </c>
      <c r="CI1359">
        <v>0.4</v>
      </c>
      <c r="CJ1359">
        <v>-0.68</v>
      </c>
      <c r="CK1359">
        <v>0.31</v>
      </c>
      <c r="CL1359">
        <v>3.31</v>
      </c>
      <c r="CM1359">
        <v>-0.76</v>
      </c>
      <c r="CN1359">
        <v>-0.92</v>
      </c>
      <c r="CO1359">
        <v>14557</v>
      </c>
      <c r="CP1359">
        <v>2090</v>
      </c>
      <c r="CQ1359" t="s">
        <v>7273</v>
      </c>
      <c r="CR1359">
        <v>-5.81</v>
      </c>
      <c r="CS1359">
        <v>7.81</v>
      </c>
      <c r="CT1359">
        <v>2.4300000000000002</v>
      </c>
      <c r="CU1359">
        <v>-34.549999999999997</v>
      </c>
      <c r="CV1359">
        <v>4.4000000000000004</v>
      </c>
      <c r="CW1359">
        <v>0.36</v>
      </c>
      <c r="CX1359" t="s">
        <v>2443</v>
      </c>
      <c r="CY1359">
        <v>8.8699999999999992</v>
      </c>
      <c r="CZ1359">
        <v>0</v>
      </c>
      <c r="DA1359">
        <v>5.0199999999999996</v>
      </c>
      <c r="DB1359">
        <v>2.72</v>
      </c>
      <c r="DC1359">
        <v>-0.62</v>
      </c>
      <c r="DD1359">
        <v>89.64</v>
      </c>
      <c r="DE1359" t="s">
        <v>270</v>
      </c>
      <c r="DF1359">
        <v>33.49</v>
      </c>
      <c r="DG1359">
        <v>7.39</v>
      </c>
      <c r="DH1359">
        <v>6.66</v>
      </c>
      <c r="DI1359">
        <v>0.17</v>
      </c>
      <c r="DJ1359">
        <v>899</v>
      </c>
      <c r="DK1359">
        <v>3010</v>
      </c>
      <c r="DL1359" t="s">
        <v>120</v>
      </c>
      <c r="DM1359" t="s">
        <v>120</v>
      </c>
      <c r="DN1359" t="s">
        <v>120</v>
      </c>
    </row>
    <row r="1360" spans="1:118">
      <c r="A1360" t="str">
        <f>"003011"</f>
        <v>003011</v>
      </c>
      <c r="B1360" t="s">
        <v>7274</v>
      </c>
      <c r="C1360">
        <v>-1.76</v>
      </c>
      <c r="D1360">
        <v>0</v>
      </c>
      <c r="E1360">
        <v>2.93</v>
      </c>
      <c r="F1360">
        <v>123</v>
      </c>
      <c r="G1360" t="s">
        <v>7275</v>
      </c>
      <c r="H1360">
        <v>1083.8599999999999</v>
      </c>
      <c r="I1360">
        <v>67.430000000000007</v>
      </c>
      <c r="J1360" t="s">
        <v>120</v>
      </c>
      <c r="K1360" t="s">
        <v>7275</v>
      </c>
      <c r="L1360">
        <v>1.49</v>
      </c>
      <c r="M1360">
        <v>27.86</v>
      </c>
      <c r="N1360">
        <v>0.69</v>
      </c>
      <c r="O1360">
        <v>2.93</v>
      </c>
      <c r="P1360">
        <v>29.19</v>
      </c>
      <c r="Q1360">
        <v>-1.83</v>
      </c>
      <c r="R1360">
        <v>27.84</v>
      </c>
      <c r="S1360">
        <v>29.19</v>
      </c>
      <c r="T1360">
        <v>3821</v>
      </c>
      <c r="U1360">
        <v>27.96</v>
      </c>
      <c r="V1360">
        <v>28.36</v>
      </c>
      <c r="W1360">
        <v>27.19</v>
      </c>
      <c r="X1360" t="s">
        <v>2409</v>
      </c>
      <c r="Y1360" t="s">
        <v>585</v>
      </c>
      <c r="Z1360">
        <v>4.76</v>
      </c>
      <c r="AA1360">
        <v>28.37</v>
      </c>
      <c r="AB1360">
        <v>2400</v>
      </c>
      <c r="AC1360">
        <v>1421</v>
      </c>
      <c r="AD1360">
        <v>1.69</v>
      </c>
      <c r="AE1360">
        <v>161</v>
      </c>
      <c r="AF1360">
        <v>13</v>
      </c>
      <c r="AG1360" t="s">
        <v>120</v>
      </c>
      <c r="AH1360">
        <v>0.09</v>
      </c>
      <c r="AI1360" t="s">
        <v>120</v>
      </c>
      <c r="AJ1360">
        <v>0.26</v>
      </c>
      <c r="AK1360" t="s">
        <v>7276</v>
      </c>
      <c r="AL1360">
        <v>0.15</v>
      </c>
      <c r="AM1360">
        <v>412</v>
      </c>
      <c r="AN1360">
        <v>9</v>
      </c>
      <c r="AO1360">
        <v>3.5999999999999999E-3</v>
      </c>
      <c r="AP1360">
        <v>-1</v>
      </c>
      <c r="AQ1360">
        <v>0.21</v>
      </c>
      <c r="AR1360">
        <v>-3.8</v>
      </c>
      <c r="AS1360">
        <v>-0.56999999999999995</v>
      </c>
      <c r="AT1360">
        <v>-15.16</v>
      </c>
      <c r="AU1360">
        <v>-36.94</v>
      </c>
      <c r="AV1360">
        <v>3</v>
      </c>
      <c r="AW1360">
        <v>1.49</v>
      </c>
      <c r="AX1360">
        <v>25.01</v>
      </c>
      <c r="AY1360">
        <v>19.79</v>
      </c>
      <c r="AZ1360">
        <v>15.47</v>
      </c>
      <c r="BA1360">
        <v>0.65</v>
      </c>
      <c r="BB1360" t="s">
        <v>143</v>
      </c>
      <c r="BF1360">
        <v>0.02</v>
      </c>
      <c r="BG1360">
        <v>-4.5599999999999996</v>
      </c>
      <c r="BH1360">
        <v>-4.5599999999999996</v>
      </c>
      <c r="BI1360">
        <v>7.0000000000000007E-2</v>
      </c>
      <c r="BJ1360">
        <v>20210818</v>
      </c>
      <c r="BK1360">
        <v>20200930</v>
      </c>
      <c r="BL1360">
        <v>1.03</v>
      </c>
      <c r="BM1360" t="s">
        <v>120</v>
      </c>
      <c r="BN1360" t="s">
        <v>120</v>
      </c>
      <c r="BO1360">
        <v>20.38</v>
      </c>
      <c r="BP1360">
        <v>27.86</v>
      </c>
      <c r="BQ1360">
        <v>12.38</v>
      </c>
      <c r="BR1360" t="s">
        <v>120</v>
      </c>
      <c r="BS1360">
        <v>39.270000000000003</v>
      </c>
      <c r="BT1360">
        <v>12.09</v>
      </c>
      <c r="BU1360">
        <v>4.78</v>
      </c>
      <c r="BV1360">
        <v>0.55000000000000004</v>
      </c>
      <c r="BW1360">
        <v>7.85</v>
      </c>
      <c r="BX1360">
        <v>4.66</v>
      </c>
      <c r="BY1360">
        <v>3.58</v>
      </c>
      <c r="BZ1360">
        <v>3.02</v>
      </c>
      <c r="CA1360" t="s">
        <v>120</v>
      </c>
      <c r="CB1360">
        <v>7.19</v>
      </c>
      <c r="CC1360">
        <v>8.26</v>
      </c>
      <c r="CD1360">
        <v>6.55</v>
      </c>
      <c r="CE1360">
        <v>0.57999999999999996</v>
      </c>
      <c r="CF1360">
        <v>0.03</v>
      </c>
      <c r="CG1360">
        <v>0.56000000000000005</v>
      </c>
      <c r="CH1360">
        <v>0.53</v>
      </c>
      <c r="CI1360">
        <v>0.53</v>
      </c>
      <c r="CJ1360">
        <v>-0.5</v>
      </c>
      <c r="CK1360">
        <v>0.5</v>
      </c>
      <c r="CL1360">
        <v>3.93</v>
      </c>
      <c r="CM1360">
        <v>-1.51</v>
      </c>
      <c r="CN1360">
        <v>1.1399999999999999</v>
      </c>
      <c r="CO1360">
        <v>10597</v>
      </c>
      <c r="CP1360">
        <v>2423</v>
      </c>
      <c r="CQ1360" t="s">
        <v>2461</v>
      </c>
      <c r="CR1360">
        <v>-43.91</v>
      </c>
      <c r="CS1360">
        <v>43.98</v>
      </c>
      <c r="CT1360">
        <v>2.31</v>
      </c>
      <c r="CU1360">
        <v>-18.93</v>
      </c>
      <c r="CV1360">
        <v>3.46</v>
      </c>
      <c r="CW1360">
        <v>0.76</v>
      </c>
      <c r="CX1360" t="s">
        <v>1001</v>
      </c>
      <c r="CY1360">
        <v>12.06</v>
      </c>
      <c r="CZ1360">
        <v>0</v>
      </c>
      <c r="DA1360">
        <v>7</v>
      </c>
      <c r="DB1360">
        <v>3.82</v>
      </c>
      <c r="DC1360">
        <v>-1.47</v>
      </c>
      <c r="DD1360">
        <v>60.73</v>
      </c>
      <c r="DE1360" t="s">
        <v>3181</v>
      </c>
      <c r="DF1360">
        <v>20.74</v>
      </c>
      <c r="DG1360">
        <v>7.05</v>
      </c>
      <c r="DH1360">
        <v>6.37</v>
      </c>
      <c r="DI1360">
        <v>0.22</v>
      </c>
      <c r="DJ1360">
        <v>1433</v>
      </c>
      <c r="DK1360">
        <v>3011</v>
      </c>
      <c r="DL1360" t="s">
        <v>120</v>
      </c>
      <c r="DM1360" t="s">
        <v>120</v>
      </c>
      <c r="DN1360" t="s">
        <v>120</v>
      </c>
    </row>
    <row r="1361" spans="1:118">
      <c r="A1361" t="str">
        <f>"003012"</f>
        <v>003012</v>
      </c>
      <c r="B1361" t="s">
        <v>7277</v>
      </c>
      <c r="C1361">
        <v>-2.13</v>
      </c>
      <c r="D1361">
        <v>-0.14000000000000001</v>
      </c>
      <c r="E1361">
        <v>0</v>
      </c>
      <c r="F1361">
        <v>759</v>
      </c>
      <c r="G1361" t="s">
        <v>6322</v>
      </c>
      <c r="H1361">
        <v>7724.44</v>
      </c>
      <c r="I1361">
        <v>11.3</v>
      </c>
      <c r="J1361" t="s">
        <v>120</v>
      </c>
      <c r="K1361" t="s">
        <v>6322</v>
      </c>
      <c r="L1361">
        <v>4</v>
      </c>
      <c r="M1361">
        <v>13.32</v>
      </c>
      <c r="N1361">
        <v>1.4</v>
      </c>
      <c r="O1361">
        <v>1.03</v>
      </c>
      <c r="P1361">
        <v>13.75</v>
      </c>
      <c r="Q1361">
        <v>-2.57</v>
      </c>
      <c r="R1361">
        <v>13.26</v>
      </c>
      <c r="S1361">
        <v>13.61</v>
      </c>
      <c r="T1361">
        <v>57219</v>
      </c>
      <c r="U1361">
        <v>13.33</v>
      </c>
      <c r="V1361">
        <v>13.61</v>
      </c>
      <c r="W1361">
        <v>20.48</v>
      </c>
      <c r="X1361" t="s">
        <v>3653</v>
      </c>
      <c r="Y1361" t="s">
        <v>547</v>
      </c>
      <c r="Z1361">
        <v>3.6</v>
      </c>
      <c r="AA1361">
        <v>13.5</v>
      </c>
      <c r="AB1361">
        <v>37352</v>
      </c>
      <c r="AC1361">
        <v>19867</v>
      </c>
      <c r="AD1361">
        <v>1.88</v>
      </c>
      <c r="AE1361">
        <v>292</v>
      </c>
      <c r="AF1361">
        <v>9</v>
      </c>
      <c r="AG1361" t="s">
        <v>120</v>
      </c>
      <c r="AH1361">
        <v>0.01</v>
      </c>
      <c r="AI1361" t="s">
        <v>120</v>
      </c>
      <c r="AJ1361">
        <v>1.43</v>
      </c>
      <c r="AK1361" t="s">
        <v>7278</v>
      </c>
      <c r="AL1361">
        <v>-0.22</v>
      </c>
      <c r="AM1361">
        <v>1882</v>
      </c>
      <c r="AN1361">
        <v>30</v>
      </c>
      <c r="AO1361">
        <v>2.0999999999999999E-3</v>
      </c>
      <c r="AP1361">
        <v>-5</v>
      </c>
      <c r="AQ1361">
        <v>-1.52</v>
      </c>
      <c r="AR1361">
        <v>-4.72</v>
      </c>
      <c r="AS1361">
        <v>-7.18</v>
      </c>
      <c r="AT1361">
        <v>-19.95</v>
      </c>
      <c r="AU1361">
        <v>-5.54</v>
      </c>
      <c r="AV1361">
        <v>4</v>
      </c>
      <c r="AW1361">
        <v>4</v>
      </c>
      <c r="AX1361">
        <v>12.01</v>
      </c>
      <c r="AY1361">
        <v>15.84</v>
      </c>
      <c r="AZ1361">
        <v>19.02</v>
      </c>
      <c r="BA1361">
        <v>0.72</v>
      </c>
      <c r="BB1361" t="s">
        <v>1723</v>
      </c>
      <c r="BF1361">
        <v>-0.81</v>
      </c>
      <c r="BG1361">
        <v>-2.13</v>
      </c>
      <c r="BH1361">
        <v>-3.13</v>
      </c>
      <c r="BI1361">
        <v>0.45</v>
      </c>
      <c r="BJ1361">
        <v>20210830</v>
      </c>
      <c r="BK1361">
        <v>20201019</v>
      </c>
      <c r="BL1361">
        <v>11.91</v>
      </c>
      <c r="BM1361" t="s">
        <v>120</v>
      </c>
      <c r="BN1361" t="s">
        <v>120</v>
      </c>
      <c r="BO1361">
        <v>130.96</v>
      </c>
      <c r="BP1361">
        <v>13.32</v>
      </c>
      <c r="BQ1361">
        <v>75.38</v>
      </c>
      <c r="BR1361">
        <v>0.12</v>
      </c>
      <c r="BS1361">
        <v>42.35</v>
      </c>
      <c r="BT1361">
        <v>75.349999999999994</v>
      </c>
      <c r="BU1361">
        <v>40.880000000000003</v>
      </c>
      <c r="BV1361">
        <v>7.56</v>
      </c>
      <c r="BW1361">
        <v>51.61</v>
      </c>
      <c r="BX1361">
        <v>32.44</v>
      </c>
      <c r="BY1361">
        <v>15.09</v>
      </c>
      <c r="BZ1361">
        <v>11.64</v>
      </c>
      <c r="CA1361" t="s">
        <v>120</v>
      </c>
      <c r="CB1361">
        <v>22.98</v>
      </c>
      <c r="CC1361">
        <v>36.25</v>
      </c>
      <c r="CD1361">
        <v>25.55</v>
      </c>
      <c r="CE1361">
        <v>4.49</v>
      </c>
      <c r="CF1361">
        <v>0.19</v>
      </c>
      <c r="CG1361">
        <v>4.5199999999999996</v>
      </c>
      <c r="CH1361">
        <v>3.84</v>
      </c>
      <c r="CI1361">
        <v>3.87</v>
      </c>
      <c r="CJ1361">
        <v>-0.28999999999999998</v>
      </c>
      <c r="CK1361">
        <v>3.16</v>
      </c>
      <c r="CL1361">
        <v>37.22</v>
      </c>
      <c r="CM1361">
        <v>4.78</v>
      </c>
      <c r="CN1361">
        <v>-13.04</v>
      </c>
      <c r="CO1361">
        <v>32160</v>
      </c>
      <c r="CP1361">
        <v>4446</v>
      </c>
      <c r="CQ1361" t="s">
        <v>2706</v>
      </c>
      <c r="CR1361">
        <v>79.260000000000005</v>
      </c>
      <c r="CS1361">
        <v>39.020000000000003</v>
      </c>
      <c r="CT1361">
        <v>2.0699999999999998</v>
      </c>
      <c r="CU1361">
        <v>33.18</v>
      </c>
      <c r="CV1361">
        <v>4.37</v>
      </c>
      <c r="CW1361">
        <v>2.17</v>
      </c>
      <c r="CX1361" t="s">
        <v>2443</v>
      </c>
      <c r="CY1361">
        <v>6.43</v>
      </c>
      <c r="CZ1361">
        <v>6.43</v>
      </c>
      <c r="DA1361">
        <v>1.93</v>
      </c>
      <c r="DB1361">
        <v>3.13</v>
      </c>
      <c r="DC1361">
        <v>0.4</v>
      </c>
      <c r="DD1361">
        <v>57.56</v>
      </c>
      <c r="DE1361" t="s">
        <v>3095</v>
      </c>
      <c r="DF1361">
        <v>29.52</v>
      </c>
      <c r="DG1361">
        <v>12.38</v>
      </c>
      <c r="DH1361">
        <v>10.68</v>
      </c>
      <c r="DI1361">
        <v>0.69</v>
      </c>
      <c r="DJ1361">
        <v>10413</v>
      </c>
      <c r="DK1361">
        <v>3012</v>
      </c>
      <c r="DL1361" t="s">
        <v>120</v>
      </c>
      <c r="DM1361" t="s">
        <v>120</v>
      </c>
      <c r="DN1361" t="s">
        <v>120</v>
      </c>
    </row>
    <row r="1362" spans="1:118">
      <c r="A1362" t="str">
        <f>"003013"</f>
        <v>003013</v>
      </c>
      <c r="B1362" t="s">
        <v>7279</v>
      </c>
      <c r="C1362">
        <v>-0.92</v>
      </c>
      <c r="D1362">
        <v>0</v>
      </c>
      <c r="E1362">
        <v>-0.15</v>
      </c>
      <c r="F1362">
        <v>122</v>
      </c>
      <c r="G1362" t="s">
        <v>7280</v>
      </c>
      <c r="H1362">
        <v>2475.88</v>
      </c>
      <c r="I1362">
        <v>3.7</v>
      </c>
      <c r="J1362" t="s">
        <v>120</v>
      </c>
      <c r="K1362" t="s">
        <v>7280</v>
      </c>
      <c r="L1362">
        <v>3.17</v>
      </c>
      <c r="M1362">
        <v>19.32</v>
      </c>
      <c r="N1362">
        <v>0.76</v>
      </c>
      <c r="O1362">
        <v>1.95</v>
      </c>
      <c r="P1362">
        <v>19.88</v>
      </c>
      <c r="Q1362">
        <v>-1.03</v>
      </c>
      <c r="R1362">
        <v>19.3</v>
      </c>
      <c r="S1362">
        <v>19.47</v>
      </c>
      <c r="T1362">
        <v>12687</v>
      </c>
      <c r="U1362">
        <v>19.32</v>
      </c>
      <c r="V1362">
        <v>19.5</v>
      </c>
      <c r="W1362">
        <v>16.149999999999999</v>
      </c>
      <c r="X1362" t="s">
        <v>175</v>
      </c>
      <c r="Y1362" t="s">
        <v>547</v>
      </c>
      <c r="Z1362">
        <v>2.97</v>
      </c>
      <c r="AA1362">
        <v>19.52</v>
      </c>
      <c r="AB1362">
        <v>8350</v>
      </c>
      <c r="AC1362">
        <v>4337</v>
      </c>
      <c r="AD1362">
        <v>1.93</v>
      </c>
      <c r="AE1362">
        <v>292</v>
      </c>
      <c r="AF1362">
        <v>80</v>
      </c>
      <c r="AG1362" t="s">
        <v>120</v>
      </c>
      <c r="AH1362">
        <v>0</v>
      </c>
      <c r="AI1362" t="s">
        <v>120</v>
      </c>
      <c r="AJ1362">
        <v>0.4</v>
      </c>
      <c r="AK1362" t="s">
        <v>7281</v>
      </c>
      <c r="AL1362">
        <v>0.99</v>
      </c>
      <c r="AM1362">
        <v>1321</v>
      </c>
      <c r="AN1362">
        <v>10</v>
      </c>
      <c r="AO1362">
        <v>2.3999999999999998E-3</v>
      </c>
      <c r="AP1362">
        <v>-4</v>
      </c>
      <c r="AQ1362">
        <v>-0.15</v>
      </c>
      <c r="AR1362">
        <v>-3.16</v>
      </c>
      <c r="AS1362">
        <v>-3.45</v>
      </c>
      <c r="AT1362">
        <v>-16.47</v>
      </c>
      <c r="AU1362">
        <v>7.93</v>
      </c>
      <c r="AV1362">
        <v>4</v>
      </c>
      <c r="AW1362">
        <v>3.17</v>
      </c>
      <c r="AX1362">
        <v>10</v>
      </c>
      <c r="AY1362">
        <v>21.94</v>
      </c>
      <c r="AZ1362">
        <v>27.23</v>
      </c>
      <c r="BA1362">
        <v>0.41</v>
      </c>
      <c r="BB1362" t="s">
        <v>143</v>
      </c>
      <c r="BF1362">
        <v>0.08</v>
      </c>
      <c r="BG1362">
        <v>-0.77</v>
      </c>
      <c r="BH1362">
        <v>-2.82</v>
      </c>
      <c r="BI1362">
        <v>0.1</v>
      </c>
      <c r="BJ1362">
        <v>20210913</v>
      </c>
      <c r="BK1362">
        <v>20201022</v>
      </c>
      <c r="BL1362">
        <v>4</v>
      </c>
      <c r="BM1362" t="s">
        <v>120</v>
      </c>
      <c r="BN1362" t="s">
        <v>120</v>
      </c>
      <c r="BO1362">
        <v>39.32</v>
      </c>
      <c r="BP1362">
        <v>19.309999999999999</v>
      </c>
      <c r="BQ1362">
        <v>18.03</v>
      </c>
      <c r="BR1362">
        <v>0.18</v>
      </c>
      <c r="BS1362">
        <v>53.68</v>
      </c>
      <c r="BT1362">
        <v>27.86</v>
      </c>
      <c r="BU1362">
        <v>1.54</v>
      </c>
      <c r="BV1362">
        <v>6.48</v>
      </c>
      <c r="BW1362">
        <v>20.399999999999999</v>
      </c>
      <c r="BX1362">
        <v>7.25</v>
      </c>
      <c r="BY1362">
        <v>5.12</v>
      </c>
      <c r="BZ1362">
        <v>2.17</v>
      </c>
      <c r="CA1362" t="s">
        <v>120</v>
      </c>
      <c r="CB1362">
        <v>8.57</v>
      </c>
      <c r="CC1362">
        <v>11.2</v>
      </c>
      <c r="CD1362">
        <v>6.59</v>
      </c>
      <c r="CE1362">
        <v>2.83</v>
      </c>
      <c r="CF1362">
        <v>-0.01</v>
      </c>
      <c r="CG1362">
        <v>2.85</v>
      </c>
      <c r="CH1362">
        <v>2.42</v>
      </c>
      <c r="CI1362">
        <v>2.39</v>
      </c>
      <c r="CJ1362">
        <v>-0.18</v>
      </c>
      <c r="CK1362">
        <v>2.35</v>
      </c>
      <c r="CL1362">
        <v>3.53</v>
      </c>
      <c r="CM1362">
        <v>-3.32</v>
      </c>
      <c r="CN1362">
        <v>-6.51</v>
      </c>
      <c r="CO1362">
        <v>16512</v>
      </c>
      <c r="CP1362">
        <v>2423</v>
      </c>
      <c r="CQ1362" t="s">
        <v>7282</v>
      </c>
      <c r="CR1362">
        <v>40.61</v>
      </c>
      <c r="CS1362">
        <v>20.94</v>
      </c>
      <c r="CT1362">
        <v>4.29</v>
      </c>
      <c r="CU1362">
        <v>-23.3</v>
      </c>
      <c r="CV1362">
        <v>6.9</v>
      </c>
      <c r="CW1362">
        <v>3.38</v>
      </c>
      <c r="CX1362" t="s">
        <v>817</v>
      </c>
      <c r="CY1362">
        <v>4.51</v>
      </c>
      <c r="CZ1362">
        <v>0</v>
      </c>
      <c r="DA1362">
        <v>2.14</v>
      </c>
      <c r="DB1362">
        <v>0.88</v>
      </c>
      <c r="DC1362">
        <v>-0.83</v>
      </c>
      <c r="DD1362">
        <v>45.86</v>
      </c>
      <c r="DE1362" t="s">
        <v>7283</v>
      </c>
      <c r="DF1362">
        <v>41.17</v>
      </c>
      <c r="DG1362">
        <v>25.29</v>
      </c>
      <c r="DH1362">
        <v>21.36</v>
      </c>
      <c r="DI1362">
        <v>0.45</v>
      </c>
      <c r="DJ1362">
        <v>1565</v>
      </c>
      <c r="DK1362">
        <v>3013</v>
      </c>
      <c r="DL1362" t="s">
        <v>120</v>
      </c>
      <c r="DM1362" t="s">
        <v>120</v>
      </c>
      <c r="DN1362" t="s">
        <v>120</v>
      </c>
    </row>
    <row r="1363" spans="1:118">
      <c r="A1363" t="str">
        <f>"003015"</f>
        <v>003015</v>
      </c>
      <c r="B1363" t="s">
        <v>7284</v>
      </c>
      <c r="C1363">
        <v>-4.03</v>
      </c>
      <c r="D1363">
        <v>0.14000000000000001</v>
      </c>
      <c r="E1363">
        <v>-0.27</v>
      </c>
      <c r="F1363">
        <v>1659</v>
      </c>
      <c r="G1363" t="s">
        <v>7285</v>
      </c>
      <c r="H1363">
        <v>15076.85</v>
      </c>
      <c r="I1363">
        <v>59.32</v>
      </c>
      <c r="J1363" t="s">
        <v>120</v>
      </c>
      <c r="K1363" t="s">
        <v>7285</v>
      </c>
      <c r="L1363">
        <v>14.85</v>
      </c>
      <c r="M1363">
        <v>14.27</v>
      </c>
      <c r="N1363">
        <v>0.5</v>
      </c>
      <c r="O1363">
        <v>0.67</v>
      </c>
      <c r="P1363">
        <v>14.97</v>
      </c>
      <c r="Q1363">
        <v>-5.31</v>
      </c>
      <c r="R1363">
        <v>14.08</v>
      </c>
      <c r="S1363">
        <v>14.83</v>
      </c>
      <c r="T1363">
        <v>104313</v>
      </c>
      <c r="U1363">
        <v>14.28</v>
      </c>
      <c r="V1363">
        <v>14.87</v>
      </c>
      <c r="W1363">
        <v>44.74</v>
      </c>
      <c r="X1363" t="s">
        <v>229</v>
      </c>
      <c r="Y1363" t="s">
        <v>319</v>
      </c>
      <c r="Z1363">
        <v>5.99</v>
      </c>
      <c r="AA1363">
        <v>14.45</v>
      </c>
      <c r="AB1363">
        <v>60444</v>
      </c>
      <c r="AC1363">
        <v>43869</v>
      </c>
      <c r="AD1363">
        <v>1.38</v>
      </c>
      <c r="AE1363">
        <v>168</v>
      </c>
      <c r="AF1363">
        <v>91</v>
      </c>
      <c r="AG1363" t="s">
        <v>120</v>
      </c>
      <c r="AH1363">
        <v>0.06</v>
      </c>
      <c r="AI1363" t="s">
        <v>120</v>
      </c>
      <c r="AJ1363">
        <v>0.7</v>
      </c>
      <c r="AK1363" t="s">
        <v>7286</v>
      </c>
      <c r="AL1363">
        <v>-2.12</v>
      </c>
      <c r="AM1363">
        <v>3039</v>
      </c>
      <c r="AN1363">
        <v>34</v>
      </c>
      <c r="AO1363">
        <v>4.8999999999999998E-3</v>
      </c>
      <c r="AP1363">
        <v>-4</v>
      </c>
      <c r="AQ1363">
        <v>-3.44</v>
      </c>
      <c r="AR1363">
        <v>-13.52</v>
      </c>
      <c r="AS1363">
        <v>9.02</v>
      </c>
      <c r="AT1363">
        <v>8.43</v>
      </c>
      <c r="AU1363">
        <v>-3.32</v>
      </c>
      <c r="AV1363">
        <v>7</v>
      </c>
      <c r="AW1363">
        <v>14.85</v>
      </c>
      <c r="AX1363">
        <v>25</v>
      </c>
      <c r="AY1363">
        <v>40.04</v>
      </c>
      <c r="AZ1363">
        <v>42.18</v>
      </c>
      <c r="BA1363">
        <v>0.78</v>
      </c>
      <c r="BB1363" t="s">
        <v>240</v>
      </c>
      <c r="BF1363">
        <v>-2.8</v>
      </c>
      <c r="BG1363">
        <v>-3.78</v>
      </c>
      <c r="BH1363">
        <v>-4.68</v>
      </c>
      <c r="BI1363">
        <v>1.35</v>
      </c>
      <c r="BJ1363">
        <v>20210823</v>
      </c>
      <c r="BK1363">
        <v>20201021</v>
      </c>
      <c r="BL1363">
        <v>2.81</v>
      </c>
      <c r="BM1363" t="s">
        <v>120</v>
      </c>
      <c r="BN1363" t="s">
        <v>120</v>
      </c>
      <c r="BO1363">
        <v>13.96</v>
      </c>
      <c r="BP1363">
        <v>14.27</v>
      </c>
      <c r="BQ1363">
        <v>11.3</v>
      </c>
      <c r="BR1363" t="s">
        <v>120</v>
      </c>
      <c r="BS1363">
        <v>19.04</v>
      </c>
      <c r="BT1363">
        <v>8.17</v>
      </c>
      <c r="BU1363">
        <v>4.43</v>
      </c>
      <c r="BV1363">
        <v>0.38</v>
      </c>
      <c r="BW1363">
        <v>2.04</v>
      </c>
      <c r="BX1363">
        <v>3.87</v>
      </c>
      <c r="BY1363">
        <v>1.61</v>
      </c>
      <c r="BZ1363">
        <v>1.5</v>
      </c>
      <c r="CA1363" t="s">
        <v>120</v>
      </c>
      <c r="CB1363">
        <v>5.27</v>
      </c>
      <c r="CC1363">
        <v>2.15</v>
      </c>
      <c r="CD1363">
        <v>1.29</v>
      </c>
      <c r="CE1363">
        <v>0.52</v>
      </c>
      <c r="CF1363">
        <v>0</v>
      </c>
      <c r="CG1363">
        <v>0.52</v>
      </c>
      <c r="CH1363">
        <v>0.45</v>
      </c>
      <c r="CI1363">
        <v>0.45</v>
      </c>
      <c r="CJ1363">
        <v>-0.6</v>
      </c>
      <c r="CK1363">
        <v>0.44</v>
      </c>
      <c r="CL1363">
        <v>2.85</v>
      </c>
      <c r="CM1363">
        <v>0.74</v>
      </c>
      <c r="CN1363">
        <v>0.91</v>
      </c>
      <c r="CO1363">
        <v>30132</v>
      </c>
      <c r="CP1363">
        <v>2332</v>
      </c>
      <c r="CQ1363" t="s">
        <v>7287</v>
      </c>
      <c r="CR1363">
        <v>13.38</v>
      </c>
      <c r="CS1363">
        <v>-9</v>
      </c>
      <c r="CT1363">
        <v>3.55</v>
      </c>
      <c r="CU1363">
        <v>54.4</v>
      </c>
      <c r="CV1363">
        <v>18.649999999999999</v>
      </c>
      <c r="CW1363">
        <v>1.01</v>
      </c>
      <c r="CX1363" t="s">
        <v>1091</v>
      </c>
      <c r="CY1363">
        <v>4.0199999999999996</v>
      </c>
      <c r="CZ1363">
        <v>0</v>
      </c>
      <c r="DA1363">
        <v>1.88</v>
      </c>
      <c r="DB1363">
        <v>1.01</v>
      </c>
      <c r="DC1363">
        <v>0.26</v>
      </c>
      <c r="DD1363">
        <v>80.959999999999994</v>
      </c>
      <c r="DE1363" t="s">
        <v>1307</v>
      </c>
      <c r="DF1363">
        <v>40.049999999999997</v>
      </c>
      <c r="DG1363">
        <v>24.01</v>
      </c>
      <c r="DH1363">
        <v>20.85</v>
      </c>
      <c r="DI1363">
        <v>0.11</v>
      </c>
      <c r="DJ1363">
        <v>431</v>
      </c>
      <c r="DK1363">
        <v>3015</v>
      </c>
      <c r="DL1363" t="s">
        <v>120</v>
      </c>
      <c r="DM1363" t="s">
        <v>120</v>
      </c>
      <c r="DN1363" t="s">
        <v>120</v>
      </c>
    </row>
    <row r="1364" spans="1:118">
      <c r="A1364" t="str">
        <f>"003016"</f>
        <v>003016</v>
      </c>
      <c r="B1364" t="s">
        <v>7288</v>
      </c>
      <c r="C1364">
        <v>-2.95</v>
      </c>
      <c r="D1364">
        <v>-0.15</v>
      </c>
      <c r="E1364">
        <v>0</v>
      </c>
      <c r="F1364">
        <v>173</v>
      </c>
      <c r="G1364" t="s">
        <v>7289</v>
      </c>
      <c r="H1364">
        <v>4316.93</v>
      </c>
      <c r="I1364">
        <v>1.41</v>
      </c>
      <c r="J1364" t="s">
        <v>120</v>
      </c>
      <c r="K1364" t="s">
        <v>7289</v>
      </c>
      <c r="L1364">
        <v>3.19</v>
      </c>
      <c r="M1364">
        <v>12.48</v>
      </c>
      <c r="N1364">
        <v>0.86</v>
      </c>
      <c r="O1364">
        <v>1.79</v>
      </c>
      <c r="P1364">
        <v>13.09</v>
      </c>
      <c r="Q1364">
        <v>-3.58</v>
      </c>
      <c r="R1364">
        <v>12.4</v>
      </c>
      <c r="S1364">
        <v>12.86</v>
      </c>
      <c r="T1364">
        <v>34023</v>
      </c>
      <c r="U1364">
        <v>12.48</v>
      </c>
      <c r="V1364">
        <v>12.86</v>
      </c>
      <c r="W1364">
        <v>14</v>
      </c>
      <c r="X1364" t="s">
        <v>2806</v>
      </c>
      <c r="Y1364" t="s">
        <v>937</v>
      </c>
      <c r="Z1364">
        <v>5.37</v>
      </c>
      <c r="AA1364">
        <v>12.69</v>
      </c>
      <c r="AB1364">
        <v>21128</v>
      </c>
      <c r="AC1364">
        <v>12895</v>
      </c>
      <c r="AD1364">
        <v>1.64</v>
      </c>
      <c r="AE1364">
        <v>254</v>
      </c>
      <c r="AF1364">
        <v>39</v>
      </c>
      <c r="AG1364" t="s">
        <v>120</v>
      </c>
      <c r="AH1364">
        <v>0</v>
      </c>
      <c r="AI1364" t="s">
        <v>120</v>
      </c>
      <c r="AJ1364">
        <v>1.07</v>
      </c>
      <c r="AK1364" t="s">
        <v>7290</v>
      </c>
      <c r="AL1364">
        <v>-1.04</v>
      </c>
      <c r="AM1364">
        <v>1953</v>
      </c>
      <c r="AN1364">
        <v>17</v>
      </c>
      <c r="AO1364">
        <v>1.6000000000000001E-3</v>
      </c>
      <c r="AP1364">
        <v>-6</v>
      </c>
      <c r="AQ1364">
        <v>-1.23</v>
      </c>
      <c r="AR1364">
        <v>-6.66</v>
      </c>
      <c r="AS1364">
        <v>-12.42</v>
      </c>
      <c r="AT1364">
        <v>-11.74</v>
      </c>
      <c r="AU1364">
        <v>38.82</v>
      </c>
      <c r="AV1364">
        <v>11</v>
      </c>
      <c r="AW1364">
        <v>3.19</v>
      </c>
      <c r="AX1364">
        <v>24.71</v>
      </c>
      <c r="AY1364">
        <v>18.72</v>
      </c>
      <c r="AZ1364">
        <v>31.14</v>
      </c>
      <c r="BA1364">
        <v>0.84</v>
      </c>
      <c r="BB1364" t="s">
        <v>134</v>
      </c>
      <c r="BF1364">
        <v>-1.33</v>
      </c>
      <c r="BG1364">
        <v>-2.95</v>
      </c>
      <c r="BH1364">
        <v>-4.66</v>
      </c>
      <c r="BI1364">
        <v>0.65</v>
      </c>
      <c r="BJ1364">
        <v>20210830</v>
      </c>
      <c r="BK1364">
        <v>20201026</v>
      </c>
      <c r="BL1364">
        <v>4.32</v>
      </c>
      <c r="BM1364" t="s">
        <v>120</v>
      </c>
      <c r="BN1364" t="s">
        <v>120</v>
      </c>
      <c r="BO1364">
        <v>37.42</v>
      </c>
      <c r="BP1364">
        <v>12.47</v>
      </c>
      <c r="BQ1364">
        <v>29.43</v>
      </c>
      <c r="BR1364" t="s">
        <v>120</v>
      </c>
      <c r="BS1364">
        <v>21.35</v>
      </c>
      <c r="BT1364">
        <v>25.73</v>
      </c>
      <c r="BU1364">
        <v>2.85</v>
      </c>
      <c r="BV1364">
        <v>0.93</v>
      </c>
      <c r="BW1364">
        <v>7.46</v>
      </c>
      <c r="BX1364">
        <v>13.79</v>
      </c>
      <c r="BY1364">
        <v>5.73</v>
      </c>
      <c r="BZ1364">
        <v>1.81</v>
      </c>
      <c r="CA1364" t="s">
        <v>120</v>
      </c>
      <c r="CB1364">
        <v>12.5</v>
      </c>
      <c r="CC1364">
        <v>10.47</v>
      </c>
      <c r="CD1364">
        <v>2.61</v>
      </c>
      <c r="CE1364">
        <v>2.61</v>
      </c>
      <c r="CF1364">
        <v>0.02</v>
      </c>
      <c r="CG1364">
        <v>2.58</v>
      </c>
      <c r="CH1364">
        <v>1.92</v>
      </c>
      <c r="CI1364">
        <v>1.92</v>
      </c>
      <c r="CJ1364">
        <v>-0.38</v>
      </c>
      <c r="CK1364">
        <v>1.87</v>
      </c>
      <c r="CL1364">
        <v>10.77</v>
      </c>
      <c r="CM1364">
        <v>2.4900000000000002</v>
      </c>
      <c r="CN1364">
        <v>-5.35</v>
      </c>
      <c r="CO1364">
        <v>19612</v>
      </c>
      <c r="CP1364">
        <v>5439</v>
      </c>
      <c r="CQ1364" t="s">
        <v>3500</v>
      </c>
      <c r="CR1364">
        <v>159.62</v>
      </c>
      <c r="CS1364">
        <v>35.36</v>
      </c>
      <c r="CT1364">
        <v>1.83</v>
      </c>
      <c r="CU1364">
        <v>21.67</v>
      </c>
      <c r="CV1364">
        <v>5.15</v>
      </c>
      <c r="CW1364">
        <v>3.11</v>
      </c>
      <c r="CX1364" t="s">
        <v>1520</v>
      </c>
      <c r="CY1364">
        <v>6.82</v>
      </c>
      <c r="CZ1364">
        <v>0</v>
      </c>
      <c r="DA1364">
        <v>2.9</v>
      </c>
      <c r="DB1364">
        <v>2.5</v>
      </c>
      <c r="DC1364">
        <v>0.57999999999999996</v>
      </c>
      <c r="DD1364">
        <v>78.650000000000006</v>
      </c>
      <c r="DE1364" t="s">
        <v>7291</v>
      </c>
      <c r="DF1364">
        <v>75.11</v>
      </c>
      <c r="DG1364">
        <v>24.93</v>
      </c>
      <c r="DH1364">
        <v>18.39</v>
      </c>
      <c r="DI1364">
        <v>0.33</v>
      </c>
      <c r="DJ1364">
        <v>4551</v>
      </c>
      <c r="DK1364">
        <v>3016</v>
      </c>
      <c r="DL1364" t="s">
        <v>120</v>
      </c>
      <c r="DM1364" t="s">
        <v>120</v>
      </c>
      <c r="DN1364" t="s">
        <v>120</v>
      </c>
    </row>
    <row r="1365" spans="1:118">
      <c r="A1365" t="str">
        <f>"003017"</f>
        <v>003017</v>
      </c>
      <c r="B1365" t="s">
        <v>7292</v>
      </c>
      <c r="C1365">
        <v>-0.71</v>
      </c>
      <c r="D1365">
        <v>-0.01</v>
      </c>
      <c r="E1365">
        <v>-0.95</v>
      </c>
      <c r="F1365">
        <v>166</v>
      </c>
      <c r="G1365" t="s">
        <v>7293</v>
      </c>
      <c r="H1365">
        <v>4359.7</v>
      </c>
      <c r="I1365">
        <v>14.98</v>
      </c>
      <c r="J1365" t="s">
        <v>120</v>
      </c>
      <c r="K1365" t="s">
        <v>7293</v>
      </c>
      <c r="L1365">
        <v>7.01</v>
      </c>
      <c r="M1365">
        <v>41.71</v>
      </c>
      <c r="N1365">
        <v>1.29</v>
      </c>
      <c r="O1365">
        <v>0.67</v>
      </c>
      <c r="P1365">
        <v>42.29</v>
      </c>
      <c r="Q1365">
        <v>-2.62</v>
      </c>
      <c r="R1365">
        <v>40.909999999999997</v>
      </c>
      <c r="S1365">
        <v>41.61</v>
      </c>
      <c r="T1365">
        <v>10511</v>
      </c>
      <c r="U1365">
        <v>41.72</v>
      </c>
      <c r="V1365">
        <v>42.01</v>
      </c>
      <c r="W1365">
        <v>23.82</v>
      </c>
      <c r="X1365" t="s">
        <v>868</v>
      </c>
      <c r="Y1365" t="s">
        <v>585</v>
      </c>
      <c r="Z1365">
        <v>3.28</v>
      </c>
      <c r="AA1365">
        <v>41.48</v>
      </c>
      <c r="AB1365">
        <v>6112</v>
      </c>
      <c r="AC1365">
        <v>4399</v>
      </c>
      <c r="AD1365">
        <v>1.39</v>
      </c>
      <c r="AE1365">
        <v>7</v>
      </c>
      <c r="AF1365">
        <v>49</v>
      </c>
      <c r="AG1365" t="s">
        <v>120</v>
      </c>
      <c r="AH1365">
        <v>0.02</v>
      </c>
      <c r="AI1365" t="s">
        <v>120</v>
      </c>
      <c r="AJ1365">
        <v>0.15</v>
      </c>
      <c r="AK1365" t="s">
        <v>7294</v>
      </c>
      <c r="AL1365">
        <v>1.2</v>
      </c>
      <c r="AM1365">
        <v>1134</v>
      </c>
      <c r="AN1365">
        <v>9</v>
      </c>
      <c r="AO1365">
        <v>6.1999999999999998E-3</v>
      </c>
      <c r="AP1365">
        <v>-1</v>
      </c>
      <c r="AQ1365">
        <v>4.55</v>
      </c>
      <c r="AR1365">
        <v>1.8</v>
      </c>
      <c r="AS1365">
        <v>-1.0900000000000001</v>
      </c>
      <c r="AT1365">
        <v>5.92</v>
      </c>
      <c r="AU1365">
        <v>-18.46</v>
      </c>
      <c r="AV1365">
        <v>4</v>
      </c>
      <c r="AW1365">
        <v>7.01</v>
      </c>
      <c r="AX1365">
        <v>25</v>
      </c>
      <c r="AY1365">
        <v>27.26</v>
      </c>
      <c r="AZ1365">
        <v>27.52</v>
      </c>
      <c r="BA1365">
        <v>0.64</v>
      </c>
      <c r="BB1365" t="s">
        <v>700</v>
      </c>
      <c r="BF1365">
        <v>-1.27</v>
      </c>
      <c r="BG1365">
        <v>0.24</v>
      </c>
      <c r="BH1365">
        <v>-1.37</v>
      </c>
      <c r="BI1365">
        <v>1.96</v>
      </c>
      <c r="BJ1365">
        <v>20210901</v>
      </c>
      <c r="BK1365">
        <v>20201026</v>
      </c>
      <c r="BL1365">
        <v>0.6</v>
      </c>
      <c r="BM1365" t="s">
        <v>120</v>
      </c>
      <c r="BN1365" t="s">
        <v>120</v>
      </c>
      <c r="BO1365">
        <v>12.59</v>
      </c>
      <c r="BP1365">
        <v>41.62</v>
      </c>
      <c r="BQ1365">
        <v>9.75</v>
      </c>
      <c r="BR1365" t="s">
        <v>120</v>
      </c>
      <c r="BS1365">
        <v>22.57</v>
      </c>
      <c r="BT1365">
        <v>6.68</v>
      </c>
      <c r="BU1365">
        <v>3.81</v>
      </c>
      <c r="BV1365">
        <v>0.56999999999999995</v>
      </c>
      <c r="BW1365">
        <v>2.09</v>
      </c>
      <c r="BX1365">
        <v>0.56000000000000005</v>
      </c>
      <c r="BY1365">
        <v>1.1299999999999999</v>
      </c>
      <c r="BZ1365">
        <v>0.43</v>
      </c>
      <c r="CA1365" t="s">
        <v>120</v>
      </c>
      <c r="CB1365">
        <v>5.64</v>
      </c>
      <c r="CC1365">
        <v>3.86</v>
      </c>
      <c r="CD1365">
        <v>3</v>
      </c>
      <c r="CE1365">
        <v>0.61</v>
      </c>
      <c r="CF1365">
        <v>0.06</v>
      </c>
      <c r="CG1365">
        <v>0.6</v>
      </c>
      <c r="CH1365">
        <v>0.53</v>
      </c>
      <c r="CI1365">
        <v>0.53</v>
      </c>
      <c r="CJ1365">
        <v>-0.3</v>
      </c>
      <c r="CK1365">
        <v>0.43</v>
      </c>
      <c r="CL1365">
        <v>3.2</v>
      </c>
      <c r="CM1365">
        <v>0.17</v>
      </c>
      <c r="CN1365">
        <v>-0.13</v>
      </c>
      <c r="CO1365">
        <v>9747</v>
      </c>
      <c r="CP1365">
        <v>1539</v>
      </c>
      <c r="CQ1365" t="s">
        <v>4250</v>
      </c>
      <c r="CR1365">
        <v>1.65</v>
      </c>
      <c r="CS1365">
        <v>19.670000000000002</v>
      </c>
      <c r="CT1365">
        <v>2.57</v>
      </c>
      <c r="CU1365">
        <v>143.44</v>
      </c>
      <c r="CV1365">
        <v>6.48</v>
      </c>
      <c r="CW1365">
        <v>1.43</v>
      </c>
      <c r="CX1365" t="s">
        <v>465</v>
      </c>
      <c r="CY1365">
        <v>16.25</v>
      </c>
      <c r="CZ1365">
        <v>0</v>
      </c>
      <c r="DA1365">
        <v>9.4</v>
      </c>
      <c r="DB1365">
        <v>5.34</v>
      </c>
      <c r="DC1365">
        <v>0.28999999999999998</v>
      </c>
      <c r="DD1365">
        <v>77.430000000000007</v>
      </c>
      <c r="DE1365" t="s">
        <v>2423</v>
      </c>
      <c r="DF1365">
        <v>22.17</v>
      </c>
      <c r="DG1365">
        <v>15.72</v>
      </c>
      <c r="DH1365">
        <v>13.61</v>
      </c>
      <c r="DI1365">
        <v>0.1</v>
      </c>
      <c r="DJ1365">
        <v>908</v>
      </c>
      <c r="DK1365">
        <v>3017</v>
      </c>
      <c r="DL1365" t="s">
        <v>120</v>
      </c>
      <c r="DM1365" t="s">
        <v>120</v>
      </c>
      <c r="DN1365" t="s">
        <v>120</v>
      </c>
    </row>
    <row r="1366" spans="1:118">
      <c r="A1366" t="str">
        <f>"003018"</f>
        <v>003018</v>
      </c>
      <c r="B1366" t="s">
        <v>7295</v>
      </c>
      <c r="C1366">
        <v>5.44</v>
      </c>
      <c r="D1366">
        <v>0</v>
      </c>
      <c r="E1366">
        <v>0.28000000000000003</v>
      </c>
      <c r="F1366">
        <v>931</v>
      </c>
      <c r="G1366" t="s">
        <v>7296</v>
      </c>
      <c r="H1366">
        <v>9822.1200000000008</v>
      </c>
      <c r="I1366">
        <v>8.6999999999999993</v>
      </c>
      <c r="J1366" t="s">
        <v>120</v>
      </c>
      <c r="K1366" t="s">
        <v>7297</v>
      </c>
      <c r="L1366">
        <v>13.17</v>
      </c>
      <c r="M1366">
        <v>11.44</v>
      </c>
      <c r="N1366">
        <v>6.15</v>
      </c>
      <c r="O1366">
        <v>9.9499999999999993</v>
      </c>
      <c r="P1366">
        <v>11.93</v>
      </c>
      <c r="Q1366">
        <v>0</v>
      </c>
      <c r="R1366">
        <v>10.85</v>
      </c>
      <c r="S1366">
        <v>10.88</v>
      </c>
      <c r="T1366">
        <v>85605</v>
      </c>
      <c r="U1366">
        <v>11.44</v>
      </c>
      <c r="V1366">
        <v>10.85</v>
      </c>
      <c r="W1366">
        <v>26.42</v>
      </c>
      <c r="X1366" t="s">
        <v>2211</v>
      </c>
      <c r="Y1366" t="s">
        <v>547</v>
      </c>
      <c r="Z1366">
        <v>9.9499999999999993</v>
      </c>
      <c r="AA1366">
        <v>11.47</v>
      </c>
      <c r="AB1366">
        <v>31521</v>
      </c>
      <c r="AC1366">
        <v>54084</v>
      </c>
      <c r="AD1366">
        <v>0.57999999999999996</v>
      </c>
      <c r="AE1366">
        <v>71</v>
      </c>
      <c r="AF1366">
        <v>152</v>
      </c>
      <c r="AG1366" t="s">
        <v>120</v>
      </c>
      <c r="AH1366">
        <v>0.01</v>
      </c>
      <c r="AI1366" t="s">
        <v>120</v>
      </c>
      <c r="AJ1366">
        <v>0.65</v>
      </c>
      <c r="AK1366" t="s">
        <v>7298</v>
      </c>
      <c r="AL1366">
        <v>7.35</v>
      </c>
      <c r="AM1366">
        <v>2267</v>
      </c>
      <c r="AN1366">
        <v>38</v>
      </c>
      <c r="AO1366">
        <v>5.7999999999999996E-3</v>
      </c>
      <c r="AP1366">
        <v>1</v>
      </c>
      <c r="AQ1366">
        <v>-1</v>
      </c>
      <c r="AR1366">
        <v>1.61</v>
      </c>
      <c r="AS1366">
        <v>4.38</v>
      </c>
      <c r="AT1366">
        <v>-2.2200000000000002</v>
      </c>
      <c r="AU1366">
        <v>-5.38</v>
      </c>
      <c r="AV1366">
        <v>3</v>
      </c>
      <c r="AW1366">
        <v>13.28</v>
      </c>
      <c r="AX1366">
        <v>24.8</v>
      </c>
      <c r="AY1366">
        <v>26.12</v>
      </c>
      <c r="AZ1366">
        <v>31.98</v>
      </c>
      <c r="BA1366">
        <v>0.51</v>
      </c>
      <c r="BB1366" t="s">
        <v>2725</v>
      </c>
      <c r="BF1366">
        <v>5.75</v>
      </c>
      <c r="BG1366">
        <v>5.15</v>
      </c>
      <c r="BH1366">
        <v>-4.1100000000000003</v>
      </c>
      <c r="BI1366">
        <v>5.44</v>
      </c>
      <c r="BJ1366">
        <v>20210824</v>
      </c>
      <c r="BK1366">
        <v>20201106</v>
      </c>
      <c r="BL1366">
        <v>2.6</v>
      </c>
      <c r="BM1366" t="s">
        <v>120</v>
      </c>
      <c r="BN1366" t="s">
        <v>120</v>
      </c>
      <c r="BO1366">
        <v>13.12</v>
      </c>
      <c r="BP1366">
        <v>11.43</v>
      </c>
      <c r="BQ1366">
        <v>12.47</v>
      </c>
      <c r="BR1366" t="s">
        <v>120</v>
      </c>
      <c r="BS1366">
        <v>4.9400000000000004</v>
      </c>
      <c r="BT1366">
        <v>8.61</v>
      </c>
      <c r="BU1366">
        <v>3.16</v>
      </c>
      <c r="BV1366">
        <v>0.23</v>
      </c>
      <c r="BW1366">
        <v>0.47</v>
      </c>
      <c r="BX1366">
        <v>4.8499999999999996</v>
      </c>
      <c r="BY1366">
        <v>1.1299999999999999</v>
      </c>
      <c r="BZ1366">
        <v>1.72</v>
      </c>
      <c r="CA1366" t="s">
        <v>120</v>
      </c>
      <c r="CB1366">
        <v>6.15</v>
      </c>
      <c r="CC1366">
        <v>3.41</v>
      </c>
      <c r="CD1366">
        <v>2.52</v>
      </c>
      <c r="CE1366">
        <v>0.69</v>
      </c>
      <c r="CF1366">
        <v>0.01</v>
      </c>
      <c r="CG1366">
        <v>0.69</v>
      </c>
      <c r="CH1366">
        <v>0.56000000000000005</v>
      </c>
      <c r="CI1366">
        <v>0.56000000000000005</v>
      </c>
      <c r="CJ1366">
        <v>0.59</v>
      </c>
      <c r="CK1366">
        <v>0.55000000000000004</v>
      </c>
      <c r="CL1366">
        <v>3.42</v>
      </c>
      <c r="CM1366">
        <v>0.18</v>
      </c>
      <c r="CN1366">
        <v>-1.4</v>
      </c>
      <c r="CO1366">
        <v>28323</v>
      </c>
      <c r="CP1366">
        <v>2276</v>
      </c>
      <c r="CQ1366" t="s">
        <v>7299</v>
      </c>
      <c r="CR1366">
        <v>54.3</v>
      </c>
      <c r="CS1366">
        <v>29.97</v>
      </c>
      <c r="CT1366">
        <v>2.39</v>
      </c>
      <c r="CU1366">
        <v>167.33</v>
      </c>
      <c r="CV1366">
        <v>8.7100000000000009</v>
      </c>
      <c r="CW1366">
        <v>3.5</v>
      </c>
      <c r="CX1366" t="s">
        <v>3361</v>
      </c>
      <c r="CY1366">
        <v>4.8</v>
      </c>
      <c r="CZ1366">
        <v>0</v>
      </c>
      <c r="DA1366">
        <v>2.36</v>
      </c>
      <c r="DB1366">
        <v>1.32</v>
      </c>
      <c r="DC1366">
        <v>7.0000000000000007E-2</v>
      </c>
      <c r="DD1366">
        <v>95.06</v>
      </c>
      <c r="DE1366" t="s">
        <v>7300</v>
      </c>
      <c r="DF1366">
        <v>26.28</v>
      </c>
      <c r="DG1366">
        <v>20.170000000000002</v>
      </c>
      <c r="DH1366">
        <v>16.489999999999998</v>
      </c>
      <c r="DI1366">
        <v>7.0000000000000007E-2</v>
      </c>
      <c r="DJ1366">
        <v>546</v>
      </c>
      <c r="DK1366">
        <v>3018</v>
      </c>
      <c r="DL1366" t="s">
        <v>120</v>
      </c>
      <c r="DM1366" t="s">
        <v>120</v>
      </c>
      <c r="DN1366" t="s">
        <v>120</v>
      </c>
    </row>
    <row r="1367" spans="1:118">
      <c r="A1367" t="str">
        <f>"003019"</f>
        <v>003019</v>
      </c>
      <c r="B1367" t="s">
        <v>7301</v>
      </c>
      <c r="C1367">
        <v>-2.67</v>
      </c>
      <c r="D1367">
        <v>0</v>
      </c>
      <c r="E1367">
        <v>-0.76</v>
      </c>
      <c r="F1367">
        <v>234</v>
      </c>
      <c r="G1367" t="s">
        <v>7302</v>
      </c>
      <c r="H1367">
        <v>2575.75</v>
      </c>
      <c r="I1367">
        <v>2.34</v>
      </c>
      <c r="J1367" t="s">
        <v>120</v>
      </c>
      <c r="K1367" t="s">
        <v>7302</v>
      </c>
      <c r="L1367">
        <v>3.12</v>
      </c>
      <c r="M1367">
        <v>25.51</v>
      </c>
      <c r="N1367">
        <v>0.37</v>
      </c>
      <c r="O1367">
        <v>-0.23</v>
      </c>
      <c r="P1367">
        <v>26.15</v>
      </c>
      <c r="Q1367">
        <v>-2.67</v>
      </c>
      <c r="R1367">
        <v>25.51</v>
      </c>
      <c r="S1367">
        <v>26.01</v>
      </c>
      <c r="T1367">
        <v>9980</v>
      </c>
      <c r="U1367">
        <v>25.52</v>
      </c>
      <c r="V1367">
        <v>26.21</v>
      </c>
      <c r="W1367">
        <v>25.15</v>
      </c>
      <c r="X1367" t="s">
        <v>229</v>
      </c>
      <c r="Y1367" t="s">
        <v>937</v>
      </c>
      <c r="Z1367">
        <v>2.44</v>
      </c>
      <c r="AA1367">
        <v>25.81</v>
      </c>
      <c r="AB1367">
        <v>6605</v>
      </c>
      <c r="AC1367">
        <v>3375</v>
      </c>
      <c r="AD1367">
        <v>1.96</v>
      </c>
      <c r="AE1367">
        <v>42</v>
      </c>
      <c r="AF1367">
        <v>69</v>
      </c>
      <c r="AG1367" t="s">
        <v>120</v>
      </c>
      <c r="AH1367">
        <v>0</v>
      </c>
      <c r="AI1367" t="s">
        <v>120</v>
      </c>
      <c r="AJ1367">
        <v>0.32</v>
      </c>
      <c r="AK1367" t="s">
        <v>5013</v>
      </c>
      <c r="AL1367">
        <v>-0.76</v>
      </c>
      <c r="AM1367">
        <v>1055</v>
      </c>
      <c r="AN1367">
        <v>9</v>
      </c>
      <c r="AO1367">
        <v>3.0000000000000001E-3</v>
      </c>
      <c r="AP1367">
        <v>-1</v>
      </c>
      <c r="AQ1367">
        <v>0.92</v>
      </c>
      <c r="AR1367">
        <v>-4.3899999999999997</v>
      </c>
      <c r="AS1367">
        <v>4.21</v>
      </c>
      <c r="AT1367">
        <v>-1.4</v>
      </c>
      <c r="AU1367">
        <v>-13.99</v>
      </c>
      <c r="AV1367">
        <v>2</v>
      </c>
      <c r="AW1367">
        <v>3.12</v>
      </c>
      <c r="AX1367">
        <v>25</v>
      </c>
      <c r="AY1367">
        <v>32.729999999999997</v>
      </c>
      <c r="AZ1367">
        <v>30.17</v>
      </c>
      <c r="BA1367">
        <v>0.62</v>
      </c>
      <c r="BB1367" t="s">
        <v>125</v>
      </c>
      <c r="BF1367">
        <v>-1.53</v>
      </c>
      <c r="BG1367">
        <v>-1.92</v>
      </c>
      <c r="BH1367">
        <v>-2.4500000000000002</v>
      </c>
      <c r="BI1367">
        <v>0</v>
      </c>
      <c r="BJ1367">
        <v>20210901</v>
      </c>
      <c r="BK1367">
        <v>20201117</v>
      </c>
      <c r="BL1367">
        <v>1.28</v>
      </c>
      <c r="BM1367" t="s">
        <v>120</v>
      </c>
      <c r="BN1367" t="s">
        <v>120</v>
      </c>
      <c r="BO1367">
        <v>16.8</v>
      </c>
      <c r="BP1367">
        <v>25.51</v>
      </c>
      <c r="BQ1367">
        <v>12.2</v>
      </c>
      <c r="BR1367" t="s">
        <v>120</v>
      </c>
      <c r="BS1367">
        <v>27.36</v>
      </c>
      <c r="BT1367">
        <v>14.92</v>
      </c>
      <c r="BU1367">
        <v>1.07</v>
      </c>
      <c r="BV1367">
        <v>0.04</v>
      </c>
      <c r="BW1367">
        <v>4.45</v>
      </c>
      <c r="BX1367">
        <v>1.04</v>
      </c>
      <c r="BY1367">
        <v>4.3899999999999997</v>
      </c>
      <c r="BZ1367">
        <v>3.26</v>
      </c>
      <c r="CA1367" t="s">
        <v>120</v>
      </c>
      <c r="CB1367">
        <v>8.6300000000000008</v>
      </c>
      <c r="CC1367">
        <v>6.78</v>
      </c>
      <c r="CD1367">
        <v>5.15</v>
      </c>
      <c r="CE1367">
        <v>0.81</v>
      </c>
      <c r="CF1367">
        <v>0.06</v>
      </c>
      <c r="CG1367">
        <v>0.81</v>
      </c>
      <c r="CH1367">
        <v>0.65</v>
      </c>
      <c r="CI1367">
        <v>0.65</v>
      </c>
      <c r="CJ1367">
        <v>-0.7</v>
      </c>
      <c r="CK1367">
        <v>0.56000000000000005</v>
      </c>
      <c r="CL1367">
        <v>1.88</v>
      </c>
      <c r="CM1367">
        <v>-1.88</v>
      </c>
      <c r="CN1367">
        <v>-1.72</v>
      </c>
      <c r="CO1367">
        <v>17124</v>
      </c>
      <c r="CP1367">
        <v>1869</v>
      </c>
      <c r="CQ1367" t="s">
        <v>4952</v>
      </c>
      <c r="CR1367">
        <v>-11.8</v>
      </c>
      <c r="CS1367">
        <v>-0.64</v>
      </c>
      <c r="CT1367">
        <v>2.68</v>
      </c>
      <c r="CU1367">
        <v>-17.34</v>
      </c>
      <c r="CV1367">
        <v>4.8099999999999996</v>
      </c>
      <c r="CW1367">
        <v>1.64</v>
      </c>
      <c r="CX1367" t="s">
        <v>1001</v>
      </c>
      <c r="CY1367">
        <v>9.5299999999999994</v>
      </c>
      <c r="CZ1367">
        <v>0</v>
      </c>
      <c r="DA1367">
        <v>6.74</v>
      </c>
      <c r="DB1367">
        <v>1.47</v>
      </c>
      <c r="DC1367">
        <v>-1.47</v>
      </c>
      <c r="DD1367">
        <v>72.64</v>
      </c>
      <c r="DE1367" t="s">
        <v>5283</v>
      </c>
      <c r="DF1367">
        <v>24.01</v>
      </c>
      <c r="DG1367">
        <v>11.92</v>
      </c>
      <c r="DH1367">
        <v>9.57</v>
      </c>
      <c r="DI1367">
        <v>0.25</v>
      </c>
      <c r="DJ1367">
        <v>742</v>
      </c>
      <c r="DK1367">
        <v>3019</v>
      </c>
      <c r="DL1367" t="s">
        <v>120</v>
      </c>
      <c r="DM1367" t="s">
        <v>120</v>
      </c>
      <c r="DN1367" t="s">
        <v>120</v>
      </c>
    </row>
    <row r="1368" spans="1:118">
      <c r="A1368" t="str">
        <f>"003020"</f>
        <v>003020</v>
      </c>
      <c r="B1368" t="s">
        <v>7303</v>
      </c>
      <c r="C1368">
        <v>-0.46</v>
      </c>
      <c r="D1368">
        <v>-0.08</v>
      </c>
      <c r="E1368">
        <v>-0.48</v>
      </c>
      <c r="F1368">
        <v>104</v>
      </c>
      <c r="G1368" t="s">
        <v>7304</v>
      </c>
      <c r="H1368">
        <v>3135.1</v>
      </c>
      <c r="I1368">
        <v>30.23</v>
      </c>
      <c r="J1368" t="s">
        <v>120</v>
      </c>
      <c r="K1368" t="s">
        <v>7304</v>
      </c>
      <c r="L1368">
        <v>3.12</v>
      </c>
      <c r="M1368">
        <v>43.19</v>
      </c>
      <c r="N1368">
        <v>0.59</v>
      </c>
      <c r="O1368">
        <v>1.82</v>
      </c>
      <c r="P1368">
        <v>44.18</v>
      </c>
      <c r="Q1368">
        <v>-1.36</v>
      </c>
      <c r="R1368">
        <v>42.8</v>
      </c>
      <c r="S1368">
        <v>43.18</v>
      </c>
      <c r="T1368">
        <v>7224</v>
      </c>
      <c r="U1368">
        <v>43.23</v>
      </c>
      <c r="V1368">
        <v>43.39</v>
      </c>
      <c r="W1368">
        <v>23.93</v>
      </c>
      <c r="X1368" t="s">
        <v>569</v>
      </c>
      <c r="Y1368" t="s">
        <v>570</v>
      </c>
      <c r="Z1368">
        <v>3.18</v>
      </c>
      <c r="AA1368">
        <v>43.4</v>
      </c>
      <c r="AB1368">
        <v>3292</v>
      </c>
      <c r="AC1368">
        <v>3932</v>
      </c>
      <c r="AD1368">
        <v>0.84</v>
      </c>
      <c r="AE1368">
        <v>2</v>
      </c>
      <c r="AF1368">
        <v>18</v>
      </c>
      <c r="AG1368" t="s">
        <v>120</v>
      </c>
      <c r="AH1368">
        <v>0.03</v>
      </c>
      <c r="AI1368" t="s">
        <v>120</v>
      </c>
      <c r="AJ1368">
        <v>0.23</v>
      </c>
      <c r="AK1368" t="s">
        <v>7305</v>
      </c>
      <c r="AL1368">
        <v>1.45</v>
      </c>
      <c r="AM1368">
        <v>993</v>
      </c>
      <c r="AN1368">
        <v>7</v>
      </c>
      <c r="AO1368">
        <v>3.0999999999999999E-3</v>
      </c>
      <c r="AP1368">
        <v>-2</v>
      </c>
      <c r="AQ1368">
        <v>-5.37</v>
      </c>
      <c r="AR1368">
        <v>-3.79</v>
      </c>
      <c r="AS1368">
        <v>2.78</v>
      </c>
      <c r="AT1368">
        <v>-16.399999999999999</v>
      </c>
      <c r="AU1368">
        <v>27.48</v>
      </c>
      <c r="AV1368">
        <v>7</v>
      </c>
      <c r="AW1368">
        <v>3.12</v>
      </c>
      <c r="AX1368">
        <v>25</v>
      </c>
      <c r="AY1368">
        <v>26.33</v>
      </c>
      <c r="AZ1368">
        <v>29.75</v>
      </c>
      <c r="BA1368">
        <v>1.25</v>
      </c>
      <c r="BB1368" t="s">
        <v>125</v>
      </c>
      <c r="BF1368">
        <v>0.03</v>
      </c>
      <c r="BG1368">
        <v>0.02</v>
      </c>
      <c r="BH1368">
        <v>-2.2400000000000002</v>
      </c>
      <c r="BI1368">
        <v>0.91</v>
      </c>
      <c r="BJ1368">
        <v>20210914</v>
      </c>
      <c r="BK1368">
        <v>20201215</v>
      </c>
      <c r="BL1368">
        <v>0.93</v>
      </c>
      <c r="BM1368" t="s">
        <v>120</v>
      </c>
      <c r="BN1368" t="s">
        <v>120</v>
      </c>
      <c r="BO1368">
        <v>16.14</v>
      </c>
      <c r="BP1368">
        <v>43.19</v>
      </c>
      <c r="BQ1368">
        <v>12.11</v>
      </c>
      <c r="BR1368" t="s">
        <v>120</v>
      </c>
      <c r="BS1368">
        <v>24.94</v>
      </c>
      <c r="BT1368">
        <v>12.5</v>
      </c>
      <c r="BU1368">
        <v>1.46</v>
      </c>
      <c r="BV1368">
        <v>0.39</v>
      </c>
      <c r="BW1368">
        <v>3.53</v>
      </c>
      <c r="BX1368">
        <v>1.74</v>
      </c>
      <c r="BY1368">
        <v>2.19</v>
      </c>
      <c r="BZ1368">
        <v>3.16</v>
      </c>
      <c r="CA1368" t="s">
        <v>120</v>
      </c>
      <c r="CB1368">
        <v>5.22</v>
      </c>
      <c r="CC1368">
        <v>10.74</v>
      </c>
      <c r="CD1368">
        <v>6.39</v>
      </c>
      <c r="CE1368">
        <v>0.93</v>
      </c>
      <c r="CF1368">
        <v>0.03</v>
      </c>
      <c r="CG1368">
        <v>0.96</v>
      </c>
      <c r="CH1368">
        <v>0.84</v>
      </c>
      <c r="CI1368">
        <v>0.84</v>
      </c>
      <c r="CJ1368">
        <v>-0.2</v>
      </c>
      <c r="CK1368">
        <v>0.77</v>
      </c>
      <c r="CL1368">
        <v>5.48</v>
      </c>
      <c r="CM1368">
        <v>0.41</v>
      </c>
      <c r="CN1368">
        <v>-5.82</v>
      </c>
      <c r="CO1368">
        <v>9462</v>
      </c>
      <c r="CP1368">
        <v>2448</v>
      </c>
      <c r="CQ1368" t="s">
        <v>3185</v>
      </c>
      <c r="CR1368">
        <v>26.55</v>
      </c>
      <c r="CS1368">
        <v>20.38</v>
      </c>
      <c r="CT1368">
        <v>3.3</v>
      </c>
      <c r="CU1368">
        <v>97.03</v>
      </c>
      <c r="CV1368">
        <v>3.73</v>
      </c>
      <c r="CW1368">
        <v>1.1499999999999999</v>
      </c>
      <c r="CX1368" t="s">
        <v>397</v>
      </c>
      <c r="CY1368">
        <v>13.07</v>
      </c>
      <c r="CZ1368">
        <v>0</v>
      </c>
      <c r="DA1368">
        <v>5.64</v>
      </c>
      <c r="DB1368">
        <v>5.92</v>
      </c>
      <c r="DC1368">
        <v>0.45</v>
      </c>
      <c r="DD1368">
        <v>75.06</v>
      </c>
      <c r="DE1368" t="s">
        <v>2269</v>
      </c>
      <c r="DF1368">
        <v>40.47</v>
      </c>
      <c r="DG1368">
        <v>8.65</v>
      </c>
      <c r="DH1368">
        <v>7.78</v>
      </c>
      <c r="DI1368">
        <v>0.28999999999999998</v>
      </c>
      <c r="DJ1368">
        <v>975</v>
      </c>
      <c r="DK1368">
        <v>3020</v>
      </c>
      <c r="DL1368" t="s">
        <v>120</v>
      </c>
      <c r="DM1368" t="s">
        <v>120</v>
      </c>
      <c r="DN1368" t="s">
        <v>120</v>
      </c>
    </row>
    <row r="1369" spans="1:118">
      <c r="A1369" t="str">
        <f>"003021"</f>
        <v>003021</v>
      </c>
      <c r="B1369" t="s">
        <v>7306</v>
      </c>
      <c r="C1369">
        <v>-3.03</v>
      </c>
      <c r="D1369">
        <v>-0.84</v>
      </c>
      <c r="E1369">
        <v>-0.02</v>
      </c>
      <c r="F1369">
        <v>179</v>
      </c>
      <c r="G1369" t="s">
        <v>7307</v>
      </c>
      <c r="H1369">
        <v>4228.74</v>
      </c>
      <c r="I1369">
        <v>10.56</v>
      </c>
      <c r="J1369" t="s">
        <v>120</v>
      </c>
      <c r="K1369" t="s">
        <v>7307</v>
      </c>
      <c r="L1369">
        <v>1.52</v>
      </c>
      <c r="M1369">
        <v>64</v>
      </c>
      <c r="N1369">
        <v>0.9</v>
      </c>
      <c r="O1369">
        <v>2.06</v>
      </c>
      <c r="P1369">
        <v>67.36</v>
      </c>
      <c r="Q1369">
        <v>-3.33</v>
      </c>
      <c r="R1369">
        <v>63.8</v>
      </c>
      <c r="S1369">
        <v>65.989999999999995</v>
      </c>
      <c r="T1369">
        <v>6493</v>
      </c>
      <c r="U1369">
        <v>64</v>
      </c>
      <c r="V1369">
        <v>66</v>
      </c>
      <c r="W1369">
        <v>61.91</v>
      </c>
      <c r="X1369" t="s">
        <v>229</v>
      </c>
      <c r="Y1369" t="s">
        <v>123</v>
      </c>
      <c r="Z1369">
        <v>5.39</v>
      </c>
      <c r="AA1369">
        <v>65.13</v>
      </c>
      <c r="AB1369">
        <v>3767</v>
      </c>
      <c r="AC1369">
        <v>2726</v>
      </c>
      <c r="AD1369">
        <v>1.38</v>
      </c>
      <c r="AE1369">
        <v>1</v>
      </c>
      <c r="AF1369">
        <v>29</v>
      </c>
      <c r="AG1369" t="s">
        <v>120</v>
      </c>
      <c r="AH1369">
        <v>0</v>
      </c>
      <c r="AI1369" t="s">
        <v>120</v>
      </c>
      <c r="AJ1369">
        <v>0.43</v>
      </c>
      <c r="AK1369" t="s">
        <v>7308</v>
      </c>
      <c r="AL1369">
        <v>-1.1200000000000001</v>
      </c>
      <c r="AM1369">
        <v>1059</v>
      </c>
      <c r="AN1369">
        <v>6</v>
      </c>
      <c r="AO1369">
        <v>1.4E-3</v>
      </c>
      <c r="AP1369">
        <v>-2</v>
      </c>
      <c r="AQ1369">
        <v>-5.85</v>
      </c>
      <c r="AR1369">
        <v>-8.51</v>
      </c>
      <c r="AS1369">
        <v>-19.5</v>
      </c>
      <c r="AT1369">
        <v>-3.78</v>
      </c>
      <c r="AU1369">
        <v>46.03</v>
      </c>
      <c r="AV1369">
        <v>1</v>
      </c>
      <c r="AW1369">
        <v>1.52</v>
      </c>
      <c r="AX1369">
        <v>24.89</v>
      </c>
      <c r="AY1369">
        <v>50.65</v>
      </c>
      <c r="AZ1369">
        <v>46.23</v>
      </c>
      <c r="BA1369">
        <v>0.8</v>
      </c>
      <c r="BB1369" t="s">
        <v>125</v>
      </c>
      <c r="BF1369">
        <v>-1.32</v>
      </c>
      <c r="BG1369">
        <v>-3.02</v>
      </c>
      <c r="BH1369">
        <v>-4.99</v>
      </c>
      <c r="BI1369">
        <v>0.31</v>
      </c>
      <c r="BJ1369">
        <v>20210806</v>
      </c>
      <c r="BK1369">
        <v>20201204</v>
      </c>
      <c r="BL1369">
        <v>1.71</v>
      </c>
      <c r="BM1369" t="s">
        <v>120</v>
      </c>
      <c r="BN1369" t="s">
        <v>120</v>
      </c>
      <c r="BO1369">
        <v>31.72</v>
      </c>
      <c r="BP1369">
        <v>63.99</v>
      </c>
      <c r="BQ1369">
        <v>27.62</v>
      </c>
      <c r="BR1369" t="s">
        <v>120</v>
      </c>
      <c r="BS1369">
        <v>12.95</v>
      </c>
      <c r="BT1369">
        <v>25.84</v>
      </c>
      <c r="BU1369">
        <v>2.93</v>
      </c>
      <c r="BV1369">
        <v>0.4</v>
      </c>
      <c r="BW1369">
        <v>3.25</v>
      </c>
      <c r="BX1369">
        <v>4.97</v>
      </c>
      <c r="BY1369">
        <v>1.85</v>
      </c>
      <c r="BZ1369">
        <v>2.8</v>
      </c>
      <c r="CA1369" t="s">
        <v>120</v>
      </c>
      <c r="CB1369">
        <v>19.09</v>
      </c>
      <c r="CC1369">
        <v>5.35</v>
      </c>
      <c r="CD1369">
        <v>3.67</v>
      </c>
      <c r="CE1369">
        <v>0.96</v>
      </c>
      <c r="CF1369">
        <v>0.06</v>
      </c>
      <c r="CG1369">
        <v>0.96</v>
      </c>
      <c r="CH1369">
        <v>0.89</v>
      </c>
      <c r="CI1369">
        <v>0.89</v>
      </c>
      <c r="CJ1369">
        <v>-2</v>
      </c>
      <c r="CK1369">
        <v>0.75</v>
      </c>
      <c r="CL1369">
        <v>6.37</v>
      </c>
      <c r="CM1369">
        <v>1.1399999999999999</v>
      </c>
      <c r="CN1369">
        <v>-11.85</v>
      </c>
      <c r="CO1369">
        <v>14785</v>
      </c>
      <c r="CP1369">
        <v>2886</v>
      </c>
      <c r="CQ1369" t="s">
        <v>7309</v>
      </c>
      <c r="CR1369">
        <v>-19.420000000000002</v>
      </c>
      <c r="CS1369">
        <v>-2.72</v>
      </c>
      <c r="CT1369">
        <v>3.97</v>
      </c>
      <c r="CU1369">
        <v>95.99</v>
      </c>
      <c r="CV1369">
        <v>20.49</v>
      </c>
      <c r="CW1369">
        <v>0.94</v>
      </c>
      <c r="CX1369" t="s">
        <v>948</v>
      </c>
      <c r="CY1369">
        <v>16.11</v>
      </c>
      <c r="CZ1369">
        <v>0</v>
      </c>
      <c r="DA1369">
        <v>11.14</v>
      </c>
      <c r="DB1369">
        <v>3.72</v>
      </c>
      <c r="DC1369">
        <v>0.67</v>
      </c>
      <c r="DD1369">
        <v>87.05</v>
      </c>
      <c r="DE1369" t="s">
        <v>7310</v>
      </c>
      <c r="DF1369">
        <v>31.43</v>
      </c>
      <c r="DG1369">
        <v>17.86</v>
      </c>
      <c r="DH1369">
        <v>16.55</v>
      </c>
      <c r="DI1369">
        <v>0.61</v>
      </c>
      <c r="DJ1369">
        <v>1765</v>
      </c>
      <c r="DK1369">
        <v>3021</v>
      </c>
      <c r="DL1369" t="s">
        <v>120</v>
      </c>
      <c r="DM1369" t="s">
        <v>120</v>
      </c>
      <c r="DN1369" t="s">
        <v>120</v>
      </c>
    </row>
    <row r="1370" spans="1:118">
      <c r="A1370" t="str">
        <f>"003022"</f>
        <v>003022</v>
      </c>
      <c r="B1370" t="s">
        <v>7311</v>
      </c>
      <c r="C1370">
        <v>-2.93</v>
      </c>
      <c r="D1370">
        <v>-0.45</v>
      </c>
      <c r="E1370">
        <v>0.2</v>
      </c>
      <c r="F1370">
        <v>1534</v>
      </c>
      <c r="G1370" t="s">
        <v>7312</v>
      </c>
      <c r="H1370">
        <v>81842.91</v>
      </c>
      <c r="I1370">
        <v>224.25</v>
      </c>
      <c r="J1370" t="s">
        <v>120</v>
      </c>
      <c r="K1370" t="s">
        <v>7312</v>
      </c>
      <c r="L1370">
        <v>5.76</v>
      </c>
      <c r="M1370">
        <v>72.900000000000006</v>
      </c>
      <c r="N1370">
        <v>0.73</v>
      </c>
      <c r="O1370">
        <v>3.81</v>
      </c>
      <c r="P1370">
        <v>77.959999999999994</v>
      </c>
      <c r="Q1370">
        <v>-6.13</v>
      </c>
      <c r="R1370">
        <v>70.5</v>
      </c>
      <c r="S1370">
        <v>75.25</v>
      </c>
      <c r="T1370">
        <v>110389</v>
      </c>
      <c r="U1370">
        <v>73</v>
      </c>
      <c r="V1370">
        <v>75.099999999999994</v>
      </c>
      <c r="W1370">
        <v>89.94</v>
      </c>
      <c r="X1370" t="s">
        <v>868</v>
      </c>
      <c r="Y1370" t="s">
        <v>638</v>
      </c>
      <c r="Z1370">
        <v>9.93</v>
      </c>
      <c r="AA1370">
        <v>74.14</v>
      </c>
      <c r="AB1370">
        <v>59929</v>
      </c>
      <c r="AC1370">
        <v>50460</v>
      </c>
      <c r="AD1370">
        <v>1.19</v>
      </c>
      <c r="AE1370">
        <v>12</v>
      </c>
      <c r="AF1370">
        <v>11</v>
      </c>
      <c r="AG1370" t="s">
        <v>120</v>
      </c>
      <c r="AH1370">
        <v>0.02</v>
      </c>
      <c r="AI1370" t="s">
        <v>120</v>
      </c>
      <c r="AJ1370">
        <v>1.92</v>
      </c>
      <c r="AK1370" t="s">
        <v>7313</v>
      </c>
      <c r="AL1370">
        <v>-1.02</v>
      </c>
      <c r="AM1370">
        <v>4070</v>
      </c>
      <c r="AN1370">
        <v>27</v>
      </c>
      <c r="AO1370">
        <v>1.4E-3</v>
      </c>
      <c r="AP1370">
        <v>-1</v>
      </c>
      <c r="AQ1370">
        <v>1.21</v>
      </c>
      <c r="AR1370">
        <v>4.17</v>
      </c>
      <c r="AS1370">
        <v>97.99</v>
      </c>
      <c r="AT1370">
        <v>143.65</v>
      </c>
      <c r="AU1370">
        <v>520.22</v>
      </c>
      <c r="AV1370">
        <v>21</v>
      </c>
      <c r="AW1370">
        <v>5.76</v>
      </c>
      <c r="AX1370">
        <v>14.34</v>
      </c>
      <c r="AY1370">
        <v>105.32</v>
      </c>
      <c r="AZ1370">
        <v>156.57</v>
      </c>
      <c r="BA1370">
        <v>1.01</v>
      </c>
      <c r="BB1370" t="s">
        <v>184</v>
      </c>
      <c r="BF1370">
        <v>-1.28</v>
      </c>
      <c r="BG1370">
        <v>-3.12</v>
      </c>
      <c r="BH1370">
        <v>-6.49</v>
      </c>
      <c r="BI1370">
        <v>3.4</v>
      </c>
      <c r="BJ1370">
        <v>20210811</v>
      </c>
      <c r="BK1370">
        <v>20201208</v>
      </c>
      <c r="BL1370">
        <v>13.36</v>
      </c>
      <c r="BM1370" t="s">
        <v>120</v>
      </c>
      <c r="BN1370" t="s">
        <v>120</v>
      </c>
      <c r="BO1370">
        <v>123.1</v>
      </c>
      <c r="BP1370">
        <v>72.900000000000006</v>
      </c>
      <c r="BQ1370">
        <v>57.87</v>
      </c>
      <c r="BR1370">
        <v>1.03</v>
      </c>
      <c r="BS1370">
        <v>52.16</v>
      </c>
      <c r="BT1370">
        <v>36.71</v>
      </c>
      <c r="BU1370">
        <v>70.959999999999994</v>
      </c>
      <c r="BV1370">
        <v>9.4</v>
      </c>
      <c r="BW1370">
        <v>44.21</v>
      </c>
      <c r="BX1370">
        <v>20.8</v>
      </c>
      <c r="BY1370">
        <v>5.98</v>
      </c>
      <c r="BZ1370">
        <v>1.74</v>
      </c>
      <c r="CA1370">
        <v>0.25</v>
      </c>
      <c r="CB1370">
        <v>27.22</v>
      </c>
      <c r="CC1370">
        <v>38.26</v>
      </c>
      <c r="CD1370">
        <v>28.15</v>
      </c>
      <c r="CE1370">
        <v>6.37</v>
      </c>
      <c r="CF1370">
        <v>0.28999999999999998</v>
      </c>
      <c r="CG1370">
        <v>6.38</v>
      </c>
      <c r="CH1370">
        <v>5.48</v>
      </c>
      <c r="CI1370">
        <v>5.41</v>
      </c>
      <c r="CJ1370">
        <v>-2.2000000000000002</v>
      </c>
      <c r="CK1370">
        <v>4.9000000000000004</v>
      </c>
      <c r="CL1370">
        <v>15.62</v>
      </c>
      <c r="CM1370">
        <v>6.45</v>
      </c>
      <c r="CN1370">
        <v>-11.83</v>
      </c>
      <c r="CO1370">
        <v>40616</v>
      </c>
      <c r="CP1370">
        <v>4717</v>
      </c>
      <c r="CQ1370" t="s">
        <v>7314</v>
      </c>
      <c r="CR1370">
        <v>135.82</v>
      </c>
      <c r="CS1370">
        <v>46.64</v>
      </c>
      <c r="CT1370">
        <v>16.82</v>
      </c>
      <c r="CU1370">
        <v>151.01</v>
      </c>
      <c r="CV1370">
        <v>25.45</v>
      </c>
      <c r="CW1370">
        <v>0.2</v>
      </c>
      <c r="CX1370" t="s">
        <v>803</v>
      </c>
      <c r="CY1370">
        <v>4.33</v>
      </c>
      <c r="CZ1370">
        <v>0</v>
      </c>
      <c r="DA1370">
        <v>2.04</v>
      </c>
      <c r="DB1370">
        <v>1.17</v>
      </c>
      <c r="DC1370">
        <v>0.48</v>
      </c>
      <c r="DD1370">
        <v>47.01</v>
      </c>
      <c r="DE1370" t="s">
        <v>2766</v>
      </c>
      <c r="DF1370">
        <v>26.41</v>
      </c>
      <c r="DG1370">
        <v>16.66</v>
      </c>
      <c r="DH1370">
        <v>14.15</v>
      </c>
      <c r="DI1370">
        <v>1.08</v>
      </c>
      <c r="DJ1370">
        <v>1045</v>
      </c>
      <c r="DK1370">
        <v>3022</v>
      </c>
      <c r="DL1370">
        <v>20210711</v>
      </c>
      <c r="DM1370">
        <v>36</v>
      </c>
      <c r="DN1370">
        <v>102.5</v>
      </c>
    </row>
    <row r="1371" spans="1:118">
      <c r="A1371" t="str">
        <f>"003023"</f>
        <v>003023</v>
      </c>
      <c r="B1371" t="s">
        <v>7315</v>
      </c>
      <c r="C1371">
        <v>-0.81</v>
      </c>
      <c r="D1371">
        <v>-0.06</v>
      </c>
      <c r="E1371">
        <v>0.04</v>
      </c>
      <c r="F1371">
        <v>45</v>
      </c>
      <c r="G1371" t="s">
        <v>7316</v>
      </c>
      <c r="H1371">
        <v>1259.6500000000001</v>
      </c>
      <c r="I1371">
        <v>0</v>
      </c>
      <c r="J1371" t="s">
        <v>120</v>
      </c>
      <c r="K1371" t="s">
        <v>7316</v>
      </c>
      <c r="L1371">
        <v>2.27</v>
      </c>
      <c r="M1371">
        <v>27.08</v>
      </c>
      <c r="N1371">
        <v>0.69</v>
      </c>
      <c r="O1371">
        <v>0.62</v>
      </c>
      <c r="P1371">
        <v>27.47</v>
      </c>
      <c r="Q1371">
        <v>-0.81</v>
      </c>
      <c r="R1371">
        <v>27.08</v>
      </c>
      <c r="S1371">
        <v>27.31</v>
      </c>
      <c r="T1371">
        <v>4616</v>
      </c>
      <c r="U1371">
        <v>27.1</v>
      </c>
      <c r="V1371">
        <v>27.3</v>
      </c>
      <c r="W1371">
        <v>13.18</v>
      </c>
      <c r="X1371" t="s">
        <v>205</v>
      </c>
      <c r="Y1371" t="s">
        <v>578</v>
      </c>
      <c r="Z1371">
        <v>1.43</v>
      </c>
      <c r="AA1371">
        <v>27.29</v>
      </c>
      <c r="AB1371">
        <v>2780</v>
      </c>
      <c r="AC1371">
        <v>1836</v>
      </c>
      <c r="AD1371">
        <v>1.51</v>
      </c>
      <c r="AE1371">
        <v>23</v>
      </c>
      <c r="AF1371">
        <v>36</v>
      </c>
      <c r="AG1371" t="s">
        <v>120</v>
      </c>
      <c r="AH1371">
        <v>0</v>
      </c>
      <c r="AI1371" t="s">
        <v>120</v>
      </c>
      <c r="AJ1371">
        <v>0.2</v>
      </c>
      <c r="AK1371" t="s">
        <v>6027</v>
      </c>
      <c r="AL1371">
        <v>1.1100000000000001</v>
      </c>
      <c r="AM1371">
        <v>639</v>
      </c>
      <c r="AN1371">
        <v>7</v>
      </c>
      <c r="AO1371">
        <v>3.5999999999999999E-3</v>
      </c>
      <c r="AP1371">
        <v>-2</v>
      </c>
      <c r="AQ1371">
        <v>-1.1200000000000001</v>
      </c>
      <c r="AR1371">
        <v>-1.67</v>
      </c>
      <c r="AS1371">
        <v>-0.7</v>
      </c>
      <c r="AT1371">
        <v>-10.6</v>
      </c>
      <c r="AU1371">
        <v>-28.07</v>
      </c>
      <c r="AV1371">
        <v>2</v>
      </c>
      <c r="AW1371">
        <v>2.27</v>
      </c>
      <c r="AX1371">
        <v>25.05</v>
      </c>
      <c r="AY1371">
        <v>18</v>
      </c>
      <c r="AZ1371">
        <v>19.649999999999999</v>
      </c>
      <c r="BA1371">
        <v>0.52</v>
      </c>
      <c r="BB1371" t="s">
        <v>125</v>
      </c>
      <c r="BF1371">
        <v>-0.04</v>
      </c>
      <c r="BG1371">
        <v>-0.84</v>
      </c>
      <c r="BH1371">
        <v>-1.42</v>
      </c>
      <c r="BI1371">
        <v>0</v>
      </c>
      <c r="BJ1371">
        <v>20210913</v>
      </c>
      <c r="BK1371">
        <v>20201211</v>
      </c>
      <c r="BL1371">
        <v>0.81</v>
      </c>
      <c r="BM1371" t="s">
        <v>120</v>
      </c>
      <c r="BN1371" t="s">
        <v>120</v>
      </c>
      <c r="BO1371">
        <v>19.32</v>
      </c>
      <c r="BP1371">
        <v>27.08</v>
      </c>
      <c r="BQ1371">
        <v>13.19</v>
      </c>
      <c r="BR1371">
        <v>0.31</v>
      </c>
      <c r="BS1371">
        <v>30.11</v>
      </c>
      <c r="BT1371">
        <v>15.29</v>
      </c>
      <c r="BU1371">
        <v>2.89</v>
      </c>
      <c r="BV1371">
        <v>0.64</v>
      </c>
      <c r="BW1371">
        <v>5.76</v>
      </c>
      <c r="BX1371">
        <v>8.77</v>
      </c>
      <c r="BY1371">
        <v>4.93</v>
      </c>
      <c r="BZ1371">
        <v>1.04</v>
      </c>
      <c r="CA1371" t="s">
        <v>120</v>
      </c>
      <c r="CB1371">
        <v>4.4400000000000004</v>
      </c>
      <c r="CC1371">
        <v>5.96</v>
      </c>
      <c r="CD1371">
        <v>3.19</v>
      </c>
      <c r="CE1371">
        <v>1.01</v>
      </c>
      <c r="CF1371">
        <v>0</v>
      </c>
      <c r="CG1371">
        <v>1.01</v>
      </c>
      <c r="CH1371">
        <v>0.86</v>
      </c>
      <c r="CI1371">
        <v>0.83</v>
      </c>
      <c r="CJ1371">
        <v>-0.22</v>
      </c>
      <c r="CK1371">
        <v>0.81</v>
      </c>
      <c r="CL1371">
        <v>6.74</v>
      </c>
      <c r="CM1371">
        <v>0.86</v>
      </c>
      <c r="CN1371">
        <v>-0.06</v>
      </c>
      <c r="CO1371">
        <v>12605</v>
      </c>
      <c r="CP1371">
        <v>1610</v>
      </c>
      <c r="CQ1371" t="s">
        <v>425</v>
      </c>
      <c r="CR1371">
        <v>14.14</v>
      </c>
      <c r="CS1371">
        <v>22.75</v>
      </c>
      <c r="CT1371">
        <v>1.66</v>
      </c>
      <c r="CU1371">
        <v>25.39</v>
      </c>
      <c r="CV1371">
        <v>3.68</v>
      </c>
      <c r="CW1371">
        <v>1.47</v>
      </c>
      <c r="CX1371" t="s">
        <v>3130</v>
      </c>
      <c r="CY1371">
        <v>16.28</v>
      </c>
      <c r="CZ1371">
        <v>0</v>
      </c>
      <c r="DA1371">
        <v>5.48</v>
      </c>
      <c r="DB1371">
        <v>8.32</v>
      </c>
      <c r="DC1371">
        <v>1.07</v>
      </c>
      <c r="DD1371">
        <v>68.290000000000006</v>
      </c>
      <c r="DE1371" t="s">
        <v>7317</v>
      </c>
      <c r="DF1371">
        <v>46.48</v>
      </c>
      <c r="DG1371">
        <v>16.940000000000001</v>
      </c>
      <c r="DH1371">
        <v>13.97</v>
      </c>
      <c r="DI1371">
        <v>0.15</v>
      </c>
      <c r="DJ1371">
        <v>3158</v>
      </c>
      <c r="DK1371">
        <v>3023</v>
      </c>
      <c r="DL1371" t="s">
        <v>120</v>
      </c>
      <c r="DM1371" t="s">
        <v>120</v>
      </c>
      <c r="DN1371" t="s">
        <v>120</v>
      </c>
    </row>
    <row r="1372" spans="1:118">
      <c r="A1372" t="str">
        <f>"003025"</f>
        <v>003025</v>
      </c>
      <c r="B1372" t="s">
        <v>7318</v>
      </c>
      <c r="C1372">
        <v>-1.49</v>
      </c>
      <c r="D1372">
        <v>0</v>
      </c>
      <c r="E1372">
        <v>-0.06</v>
      </c>
      <c r="F1372">
        <v>203</v>
      </c>
      <c r="G1372" t="s">
        <v>5745</v>
      </c>
      <c r="H1372">
        <v>5253.91</v>
      </c>
      <c r="I1372">
        <v>12.57</v>
      </c>
      <c r="J1372" t="s">
        <v>120</v>
      </c>
      <c r="K1372" t="s">
        <v>5745</v>
      </c>
      <c r="L1372">
        <v>5.99</v>
      </c>
      <c r="M1372">
        <v>30.97</v>
      </c>
      <c r="N1372">
        <v>0.56000000000000005</v>
      </c>
      <c r="O1372">
        <v>1.56</v>
      </c>
      <c r="P1372">
        <v>31.93</v>
      </c>
      <c r="Q1372">
        <v>-2.19</v>
      </c>
      <c r="R1372">
        <v>30.75</v>
      </c>
      <c r="S1372">
        <v>31.42</v>
      </c>
      <c r="T1372">
        <v>16845</v>
      </c>
      <c r="U1372">
        <v>30.98</v>
      </c>
      <c r="V1372">
        <v>31.44</v>
      </c>
      <c r="W1372">
        <v>27.06</v>
      </c>
      <c r="X1372" t="s">
        <v>959</v>
      </c>
      <c r="Y1372" t="s">
        <v>585</v>
      </c>
      <c r="Z1372">
        <v>3.75</v>
      </c>
      <c r="AA1372">
        <v>31.19</v>
      </c>
      <c r="AB1372">
        <v>10133</v>
      </c>
      <c r="AC1372">
        <v>6712</v>
      </c>
      <c r="AD1372">
        <v>1.51</v>
      </c>
      <c r="AE1372">
        <v>20</v>
      </c>
      <c r="AF1372">
        <v>3</v>
      </c>
      <c r="AG1372" t="s">
        <v>120</v>
      </c>
      <c r="AH1372">
        <v>0.01</v>
      </c>
      <c r="AI1372" t="s">
        <v>120</v>
      </c>
      <c r="AJ1372">
        <v>0.28000000000000003</v>
      </c>
      <c r="AK1372" t="s">
        <v>7319</v>
      </c>
      <c r="AL1372">
        <v>0.42</v>
      </c>
      <c r="AM1372">
        <v>1692</v>
      </c>
      <c r="AN1372">
        <v>10</v>
      </c>
      <c r="AO1372">
        <v>3.5000000000000001E-3</v>
      </c>
      <c r="AP1372">
        <v>-2</v>
      </c>
      <c r="AQ1372">
        <v>-2.15</v>
      </c>
      <c r="AR1372">
        <v>-1.24</v>
      </c>
      <c r="AS1372">
        <v>15</v>
      </c>
      <c r="AT1372">
        <v>2.35</v>
      </c>
      <c r="AU1372">
        <v>24.77</v>
      </c>
      <c r="AV1372">
        <v>4</v>
      </c>
      <c r="AW1372">
        <v>5.99</v>
      </c>
      <c r="AX1372">
        <v>25</v>
      </c>
      <c r="AY1372">
        <v>33.159999999999997</v>
      </c>
      <c r="AZ1372">
        <v>37.79</v>
      </c>
      <c r="BA1372">
        <v>0.85</v>
      </c>
      <c r="BB1372" t="s">
        <v>143</v>
      </c>
      <c r="BF1372">
        <v>-0.79</v>
      </c>
      <c r="BG1372">
        <v>-1.43</v>
      </c>
      <c r="BH1372">
        <v>-3.01</v>
      </c>
      <c r="BI1372">
        <v>0.72</v>
      </c>
      <c r="BJ1372">
        <v>20210827</v>
      </c>
      <c r="BK1372">
        <v>20201211</v>
      </c>
      <c r="BL1372">
        <v>1.1299999999999999</v>
      </c>
      <c r="BM1372" t="s">
        <v>120</v>
      </c>
      <c r="BN1372" t="s">
        <v>120</v>
      </c>
      <c r="BO1372">
        <v>10.29</v>
      </c>
      <c r="BP1372">
        <v>30.97</v>
      </c>
      <c r="BQ1372">
        <v>8.56</v>
      </c>
      <c r="BR1372" t="s">
        <v>120</v>
      </c>
      <c r="BS1372">
        <v>16.829999999999998</v>
      </c>
      <c r="BT1372">
        <v>7.39</v>
      </c>
      <c r="BU1372">
        <v>1.0900000000000001</v>
      </c>
      <c r="BV1372">
        <v>0.44</v>
      </c>
      <c r="BW1372">
        <v>1.54</v>
      </c>
      <c r="BX1372">
        <v>1.69</v>
      </c>
      <c r="BY1372">
        <v>1.54</v>
      </c>
      <c r="BZ1372">
        <v>0.56000000000000005</v>
      </c>
      <c r="CA1372" t="s">
        <v>120</v>
      </c>
      <c r="CB1372">
        <v>4.07</v>
      </c>
      <c r="CC1372">
        <v>2.46</v>
      </c>
      <c r="CD1372">
        <v>1.48</v>
      </c>
      <c r="CE1372">
        <v>0.77</v>
      </c>
      <c r="CF1372">
        <v>0</v>
      </c>
      <c r="CG1372">
        <v>0.77</v>
      </c>
      <c r="CH1372">
        <v>0.64</v>
      </c>
      <c r="CI1372">
        <v>0.64</v>
      </c>
      <c r="CJ1372">
        <v>-0.47</v>
      </c>
      <c r="CK1372">
        <v>0.62</v>
      </c>
      <c r="CL1372">
        <v>2.98</v>
      </c>
      <c r="CM1372">
        <v>0.63</v>
      </c>
      <c r="CN1372">
        <v>-3.37</v>
      </c>
      <c r="CO1372">
        <v>11653</v>
      </c>
      <c r="CP1372">
        <v>2415</v>
      </c>
      <c r="CQ1372" t="s">
        <v>1380</v>
      </c>
      <c r="CR1372">
        <v>25.49</v>
      </c>
      <c r="CS1372">
        <v>43.35</v>
      </c>
      <c r="CT1372">
        <v>4.07</v>
      </c>
      <c r="CU1372">
        <v>55.69</v>
      </c>
      <c r="CV1372">
        <v>14.19</v>
      </c>
      <c r="CW1372">
        <v>1.23</v>
      </c>
      <c r="CX1372" t="s">
        <v>1881</v>
      </c>
      <c r="CY1372">
        <v>7.61</v>
      </c>
      <c r="CZ1372">
        <v>0</v>
      </c>
      <c r="DA1372">
        <v>3.62</v>
      </c>
      <c r="DB1372">
        <v>2.65</v>
      </c>
      <c r="DC1372">
        <v>0.56000000000000005</v>
      </c>
      <c r="DD1372">
        <v>83.17</v>
      </c>
      <c r="DE1372" t="s">
        <v>7320</v>
      </c>
      <c r="DF1372">
        <v>39.869999999999997</v>
      </c>
      <c r="DG1372">
        <v>31.21</v>
      </c>
      <c r="DH1372">
        <v>26.21</v>
      </c>
      <c r="DI1372">
        <v>0.08</v>
      </c>
      <c r="DJ1372">
        <v>310</v>
      </c>
      <c r="DK1372">
        <v>3025</v>
      </c>
      <c r="DL1372" t="s">
        <v>120</v>
      </c>
      <c r="DM1372" t="s">
        <v>120</v>
      </c>
      <c r="DN1372" t="s">
        <v>120</v>
      </c>
    </row>
    <row r="1373" spans="1:118">
      <c r="A1373" t="str">
        <f>"003026"</f>
        <v>003026</v>
      </c>
      <c r="B1373" t="s">
        <v>7321</v>
      </c>
      <c r="C1373">
        <v>-6.02</v>
      </c>
      <c r="D1373">
        <v>0</v>
      </c>
      <c r="E1373">
        <v>-0.88</v>
      </c>
      <c r="F1373">
        <v>324</v>
      </c>
      <c r="G1373" t="s">
        <v>3363</v>
      </c>
      <c r="H1373">
        <v>11309.74</v>
      </c>
      <c r="I1373">
        <v>85.55</v>
      </c>
      <c r="J1373" t="s">
        <v>120</v>
      </c>
      <c r="K1373" t="s">
        <v>3363</v>
      </c>
      <c r="L1373">
        <v>5.87</v>
      </c>
      <c r="M1373">
        <v>75.099999999999994</v>
      </c>
      <c r="N1373">
        <v>1.22</v>
      </c>
      <c r="O1373">
        <v>0.06</v>
      </c>
      <c r="P1373">
        <v>79.959999999999994</v>
      </c>
      <c r="Q1373">
        <v>-6.02</v>
      </c>
      <c r="R1373">
        <v>75.099999999999994</v>
      </c>
      <c r="S1373">
        <v>79.209999999999994</v>
      </c>
      <c r="T1373">
        <v>14637</v>
      </c>
      <c r="U1373">
        <v>75.099999999999994</v>
      </c>
      <c r="V1373">
        <v>79.91</v>
      </c>
      <c r="W1373">
        <v>51.41</v>
      </c>
      <c r="X1373" t="s">
        <v>3245</v>
      </c>
      <c r="Y1373" t="s">
        <v>585</v>
      </c>
      <c r="Z1373">
        <v>6.08</v>
      </c>
      <c r="AA1373">
        <v>77.27</v>
      </c>
      <c r="AB1373">
        <v>9280</v>
      </c>
      <c r="AC1373">
        <v>5357</v>
      </c>
      <c r="AD1373">
        <v>1.73</v>
      </c>
      <c r="AE1373">
        <v>1</v>
      </c>
      <c r="AF1373">
        <v>159</v>
      </c>
      <c r="AG1373" t="s">
        <v>120</v>
      </c>
      <c r="AH1373">
        <v>0.04</v>
      </c>
      <c r="AI1373" t="s">
        <v>120</v>
      </c>
      <c r="AJ1373">
        <v>0.25</v>
      </c>
      <c r="AK1373" t="s">
        <v>7322</v>
      </c>
      <c r="AL1373">
        <v>-4.1100000000000003</v>
      </c>
      <c r="AM1373">
        <v>2421</v>
      </c>
      <c r="AN1373">
        <v>6</v>
      </c>
      <c r="AO1373">
        <v>2.3999999999999998E-3</v>
      </c>
      <c r="AP1373">
        <v>-3</v>
      </c>
      <c r="AQ1373">
        <v>-0.87</v>
      </c>
      <c r="AR1373">
        <v>-8.07</v>
      </c>
      <c r="AS1373">
        <v>-16.170000000000002</v>
      </c>
      <c r="AT1373">
        <v>-14.66</v>
      </c>
      <c r="AU1373">
        <v>62.7</v>
      </c>
      <c r="AV1373">
        <v>10</v>
      </c>
      <c r="AW1373">
        <v>5.87</v>
      </c>
      <c r="AX1373">
        <v>25.01</v>
      </c>
      <c r="AY1373">
        <v>65.69</v>
      </c>
      <c r="AZ1373">
        <v>91.92</v>
      </c>
      <c r="BA1373">
        <v>0.69</v>
      </c>
      <c r="BB1373" t="s">
        <v>143</v>
      </c>
      <c r="BF1373">
        <v>-3.31</v>
      </c>
      <c r="BG1373">
        <v>-5.19</v>
      </c>
      <c r="BH1373">
        <v>-6.08</v>
      </c>
      <c r="BI1373">
        <v>0</v>
      </c>
      <c r="BJ1373">
        <v>20210826</v>
      </c>
      <c r="BK1373">
        <v>20201218</v>
      </c>
      <c r="BL1373">
        <v>1</v>
      </c>
      <c r="BM1373" t="s">
        <v>120</v>
      </c>
      <c r="BN1373" t="s">
        <v>120</v>
      </c>
      <c r="BO1373">
        <v>9.56</v>
      </c>
      <c r="BP1373">
        <v>75.09</v>
      </c>
      <c r="BQ1373">
        <v>7.2</v>
      </c>
      <c r="BR1373" t="s">
        <v>120</v>
      </c>
      <c r="BS1373">
        <v>24.61</v>
      </c>
      <c r="BT1373">
        <v>6.18</v>
      </c>
      <c r="BU1373">
        <v>2.09</v>
      </c>
      <c r="BV1373">
        <v>0.47</v>
      </c>
      <c r="BW1373">
        <v>2.16</v>
      </c>
      <c r="BX1373">
        <v>3.27</v>
      </c>
      <c r="BY1373">
        <v>0.76</v>
      </c>
      <c r="BZ1373">
        <v>1.05</v>
      </c>
      <c r="CA1373" t="s">
        <v>120</v>
      </c>
      <c r="CB1373">
        <v>3.57</v>
      </c>
      <c r="CC1373">
        <v>1.85</v>
      </c>
      <c r="CD1373">
        <v>0.87</v>
      </c>
      <c r="CE1373">
        <v>0.8</v>
      </c>
      <c r="CF1373">
        <v>0</v>
      </c>
      <c r="CG1373">
        <v>0.84</v>
      </c>
      <c r="CH1373">
        <v>0.73</v>
      </c>
      <c r="CI1373">
        <v>0.73</v>
      </c>
      <c r="CJ1373">
        <v>-4.8099999999999996</v>
      </c>
      <c r="CK1373">
        <v>0.68</v>
      </c>
      <c r="CL1373">
        <v>2.39</v>
      </c>
      <c r="CM1373">
        <v>0.46</v>
      </c>
      <c r="CN1373">
        <v>-1.04</v>
      </c>
      <c r="CO1373">
        <v>29738</v>
      </c>
      <c r="CP1373">
        <v>839</v>
      </c>
      <c r="CQ1373" t="s">
        <v>4921</v>
      </c>
      <c r="CR1373">
        <v>90.54</v>
      </c>
      <c r="CS1373">
        <v>46.52</v>
      </c>
      <c r="CT1373">
        <v>10.4</v>
      </c>
      <c r="CU1373">
        <v>162.41</v>
      </c>
      <c r="CV1373">
        <v>40.57</v>
      </c>
      <c r="CW1373">
        <v>1.25</v>
      </c>
      <c r="CX1373" t="s">
        <v>6967</v>
      </c>
      <c r="CY1373">
        <v>7.22</v>
      </c>
      <c r="CZ1373">
        <v>0</v>
      </c>
      <c r="DA1373">
        <v>3.58</v>
      </c>
      <c r="DB1373">
        <v>2.4</v>
      </c>
      <c r="DC1373">
        <v>0.46</v>
      </c>
      <c r="DD1373">
        <v>75.39</v>
      </c>
      <c r="DE1373" t="s">
        <v>7323</v>
      </c>
      <c r="DF1373">
        <v>52.83</v>
      </c>
      <c r="DG1373">
        <v>43.06</v>
      </c>
      <c r="DH1373">
        <v>39.450000000000003</v>
      </c>
      <c r="DI1373">
        <v>0.06</v>
      </c>
      <c r="DJ1373">
        <v>535</v>
      </c>
      <c r="DK1373">
        <v>3026</v>
      </c>
      <c r="DL1373" t="s">
        <v>120</v>
      </c>
      <c r="DM1373" t="s">
        <v>120</v>
      </c>
      <c r="DN1373" t="s">
        <v>120</v>
      </c>
    </row>
    <row r="1374" spans="1:118">
      <c r="A1374" t="str">
        <f>"003027"</f>
        <v>003027</v>
      </c>
      <c r="B1374" t="s">
        <v>7324</v>
      </c>
      <c r="C1374">
        <v>-1.46</v>
      </c>
      <c r="D1374">
        <v>0.04</v>
      </c>
      <c r="E1374">
        <v>0.35</v>
      </c>
      <c r="F1374">
        <v>783</v>
      </c>
      <c r="G1374" t="s">
        <v>7325</v>
      </c>
      <c r="H1374">
        <v>2741.23</v>
      </c>
      <c r="I1374">
        <v>4.08</v>
      </c>
      <c r="J1374" t="s">
        <v>120</v>
      </c>
      <c r="K1374" t="s">
        <v>7325</v>
      </c>
      <c r="L1374">
        <v>3.33</v>
      </c>
      <c r="M1374">
        <v>25.04</v>
      </c>
      <c r="N1374">
        <v>0.65</v>
      </c>
      <c r="O1374">
        <v>1.06</v>
      </c>
      <c r="P1374">
        <v>25.68</v>
      </c>
      <c r="Q1374">
        <v>-1.57</v>
      </c>
      <c r="R1374">
        <v>25.01</v>
      </c>
      <c r="S1374">
        <v>25.5</v>
      </c>
      <c r="T1374">
        <v>10823</v>
      </c>
      <c r="U1374">
        <v>25.04</v>
      </c>
      <c r="V1374">
        <v>25.41</v>
      </c>
      <c r="W1374">
        <v>19.98</v>
      </c>
      <c r="X1374" t="s">
        <v>318</v>
      </c>
      <c r="Y1374" t="s">
        <v>570</v>
      </c>
      <c r="Z1374">
        <v>2.64</v>
      </c>
      <c r="AA1374">
        <v>25.33</v>
      </c>
      <c r="AB1374">
        <v>5761</v>
      </c>
      <c r="AC1374">
        <v>5062</v>
      </c>
      <c r="AD1374">
        <v>1.1399999999999999</v>
      </c>
      <c r="AE1374">
        <v>121</v>
      </c>
      <c r="AF1374">
        <v>4</v>
      </c>
      <c r="AG1374" t="s">
        <v>120</v>
      </c>
      <c r="AH1374">
        <v>0</v>
      </c>
      <c r="AI1374" t="s">
        <v>120</v>
      </c>
      <c r="AJ1374">
        <v>0.33</v>
      </c>
      <c r="AK1374" t="s">
        <v>6187</v>
      </c>
      <c r="AL1374">
        <v>0.46</v>
      </c>
      <c r="AM1374">
        <v>967</v>
      </c>
      <c r="AN1374">
        <v>11</v>
      </c>
      <c r="AO1374">
        <v>3.3999999999999998E-3</v>
      </c>
      <c r="AP1374">
        <v>-3</v>
      </c>
      <c r="AQ1374">
        <v>-0.08</v>
      </c>
      <c r="AR1374">
        <v>-5.51</v>
      </c>
      <c r="AS1374">
        <v>0.49</v>
      </c>
      <c r="AT1374">
        <v>-12.05</v>
      </c>
      <c r="AU1374">
        <v>-5.25</v>
      </c>
      <c r="AV1374">
        <v>9</v>
      </c>
      <c r="AW1374">
        <v>3.33</v>
      </c>
      <c r="AX1374">
        <v>25</v>
      </c>
      <c r="AY1374">
        <v>18.61</v>
      </c>
      <c r="AZ1374">
        <v>21.44</v>
      </c>
      <c r="BA1374">
        <v>0.41</v>
      </c>
      <c r="BB1374" t="s">
        <v>2725</v>
      </c>
      <c r="BF1374">
        <v>-0.32</v>
      </c>
      <c r="BG1374">
        <v>-1.8</v>
      </c>
      <c r="BH1374">
        <v>-2.4900000000000002</v>
      </c>
      <c r="BI1374">
        <v>0.12</v>
      </c>
      <c r="BJ1374">
        <v>20210826</v>
      </c>
      <c r="BK1374">
        <v>20201218</v>
      </c>
      <c r="BL1374">
        <v>1.3</v>
      </c>
      <c r="BM1374" t="s">
        <v>120</v>
      </c>
      <c r="BN1374" t="s">
        <v>120</v>
      </c>
      <c r="BO1374">
        <v>20.38</v>
      </c>
      <c r="BP1374">
        <v>25.03</v>
      </c>
      <c r="BQ1374">
        <v>15.18</v>
      </c>
      <c r="BR1374">
        <v>0.75</v>
      </c>
      <c r="BS1374">
        <v>21.83</v>
      </c>
      <c r="BT1374">
        <v>17.14</v>
      </c>
      <c r="BU1374">
        <v>1.85</v>
      </c>
      <c r="BV1374">
        <v>0.28000000000000003</v>
      </c>
      <c r="BW1374">
        <v>4.29</v>
      </c>
      <c r="BX1374">
        <v>4.05</v>
      </c>
      <c r="BY1374">
        <v>1.36</v>
      </c>
      <c r="BZ1374">
        <v>2.72</v>
      </c>
      <c r="CA1374" t="s">
        <v>120</v>
      </c>
      <c r="CB1374">
        <v>8.3699999999999992</v>
      </c>
      <c r="CC1374">
        <v>4.2699999999999996</v>
      </c>
      <c r="CD1374">
        <v>2.65</v>
      </c>
      <c r="CE1374">
        <v>1.02</v>
      </c>
      <c r="CF1374">
        <v>0.01</v>
      </c>
      <c r="CG1374">
        <v>1.08</v>
      </c>
      <c r="CH1374">
        <v>0.93</v>
      </c>
      <c r="CI1374">
        <v>0.81</v>
      </c>
      <c r="CJ1374">
        <v>-0.37</v>
      </c>
      <c r="CK1374">
        <v>0.74</v>
      </c>
      <c r="CL1374">
        <v>5.0999999999999996</v>
      </c>
      <c r="CM1374">
        <v>-0.68</v>
      </c>
      <c r="CN1374">
        <v>-4.79</v>
      </c>
      <c r="CO1374">
        <v>17620</v>
      </c>
      <c r="CP1374">
        <v>1845</v>
      </c>
      <c r="CQ1374" t="s">
        <v>3282</v>
      </c>
      <c r="CR1374">
        <v>40.42</v>
      </c>
      <c r="CS1374">
        <v>35.81</v>
      </c>
      <c r="CT1374">
        <v>2.14</v>
      </c>
      <c r="CU1374">
        <v>-48.09</v>
      </c>
      <c r="CV1374">
        <v>7.63</v>
      </c>
      <c r="CW1374">
        <v>1.31</v>
      </c>
      <c r="CX1374" t="s">
        <v>4650</v>
      </c>
      <c r="CY1374">
        <v>11.68</v>
      </c>
      <c r="CZ1374">
        <v>0</v>
      </c>
      <c r="DA1374">
        <v>6.44</v>
      </c>
      <c r="DB1374">
        <v>3.92</v>
      </c>
      <c r="DC1374">
        <v>-0.52</v>
      </c>
      <c r="DD1374">
        <v>74.48</v>
      </c>
      <c r="DE1374" t="s">
        <v>1216</v>
      </c>
      <c r="DF1374">
        <v>37.94</v>
      </c>
      <c r="DG1374">
        <v>23.89</v>
      </c>
      <c r="DH1374">
        <v>19.100000000000001</v>
      </c>
      <c r="DI1374">
        <v>0.19</v>
      </c>
      <c r="DJ1374">
        <v>645</v>
      </c>
      <c r="DK1374">
        <v>3027</v>
      </c>
      <c r="DL1374" t="s">
        <v>120</v>
      </c>
      <c r="DM1374" t="s">
        <v>120</v>
      </c>
      <c r="DN1374" t="s">
        <v>120</v>
      </c>
    </row>
    <row r="1375" spans="1:118">
      <c r="A1375" t="str">
        <f>"003028"</f>
        <v>003028</v>
      </c>
      <c r="B1375" t="s">
        <v>7326</v>
      </c>
      <c r="C1375">
        <v>-1.41</v>
      </c>
      <c r="D1375">
        <v>-0.11</v>
      </c>
      <c r="E1375">
        <v>0.12</v>
      </c>
      <c r="F1375">
        <v>251</v>
      </c>
      <c r="G1375" t="s">
        <v>2507</v>
      </c>
      <c r="H1375">
        <v>3984.14</v>
      </c>
      <c r="I1375">
        <v>31.56</v>
      </c>
      <c r="J1375" t="s">
        <v>120</v>
      </c>
      <c r="K1375" t="s">
        <v>2507</v>
      </c>
      <c r="L1375">
        <v>3.43</v>
      </c>
      <c r="M1375">
        <v>42</v>
      </c>
      <c r="N1375">
        <v>0.83</v>
      </c>
      <c r="O1375">
        <v>0.68</v>
      </c>
      <c r="P1375">
        <v>42.89</v>
      </c>
      <c r="Q1375">
        <v>-1.53</v>
      </c>
      <c r="R1375">
        <v>41.95</v>
      </c>
      <c r="S1375">
        <v>42.65</v>
      </c>
      <c r="T1375">
        <v>9404</v>
      </c>
      <c r="U1375">
        <v>42.01</v>
      </c>
      <c r="V1375">
        <v>42.6</v>
      </c>
      <c r="W1375">
        <v>24.08</v>
      </c>
      <c r="X1375" t="s">
        <v>229</v>
      </c>
      <c r="Y1375" t="s">
        <v>123</v>
      </c>
      <c r="Z1375">
        <v>2.21</v>
      </c>
      <c r="AA1375">
        <v>42.37</v>
      </c>
      <c r="AB1375">
        <v>5868</v>
      </c>
      <c r="AC1375">
        <v>3536</v>
      </c>
      <c r="AD1375">
        <v>1.66</v>
      </c>
      <c r="AE1375">
        <v>7</v>
      </c>
      <c r="AF1375">
        <v>115</v>
      </c>
      <c r="AG1375" t="s">
        <v>120</v>
      </c>
      <c r="AH1375">
        <v>0.03</v>
      </c>
      <c r="AI1375" t="s">
        <v>120</v>
      </c>
      <c r="AJ1375">
        <v>0.27</v>
      </c>
      <c r="AK1375" t="s">
        <v>7327</v>
      </c>
      <c r="AL1375">
        <v>0.51</v>
      </c>
      <c r="AM1375">
        <v>1108</v>
      </c>
      <c r="AN1375">
        <v>8</v>
      </c>
      <c r="AO1375">
        <v>3.0999999999999999E-3</v>
      </c>
      <c r="AP1375">
        <v>-4</v>
      </c>
      <c r="AQ1375">
        <v>-3.4</v>
      </c>
      <c r="AR1375">
        <v>-6.14</v>
      </c>
      <c r="AS1375">
        <v>0.74</v>
      </c>
      <c r="AT1375">
        <v>-21.19</v>
      </c>
      <c r="AU1375">
        <v>1.47</v>
      </c>
      <c r="AV1375">
        <v>3</v>
      </c>
      <c r="AW1375">
        <v>3.43</v>
      </c>
      <c r="AX1375">
        <v>24.68</v>
      </c>
      <c r="AY1375">
        <v>21.87</v>
      </c>
      <c r="AZ1375">
        <v>27.23</v>
      </c>
      <c r="BA1375">
        <v>0.91</v>
      </c>
      <c r="BB1375" t="s">
        <v>143</v>
      </c>
      <c r="BF1375">
        <v>-0.55000000000000004</v>
      </c>
      <c r="BG1375">
        <v>-1.52</v>
      </c>
      <c r="BH1375">
        <v>-2.08</v>
      </c>
      <c r="BI1375">
        <v>0.12</v>
      </c>
      <c r="BJ1375">
        <v>20210826</v>
      </c>
      <c r="BK1375">
        <v>20201228</v>
      </c>
      <c r="BL1375">
        <v>1.1100000000000001</v>
      </c>
      <c r="BM1375" t="s">
        <v>120</v>
      </c>
      <c r="BN1375" t="s">
        <v>120</v>
      </c>
      <c r="BO1375">
        <v>16.16</v>
      </c>
      <c r="BP1375">
        <v>42</v>
      </c>
      <c r="BQ1375">
        <v>10.99</v>
      </c>
      <c r="BR1375" t="s">
        <v>120</v>
      </c>
      <c r="BS1375">
        <v>32.020000000000003</v>
      </c>
      <c r="BT1375">
        <v>15.32</v>
      </c>
      <c r="BU1375">
        <v>0.54</v>
      </c>
      <c r="BV1375">
        <v>0.03</v>
      </c>
      <c r="BW1375">
        <v>4.95</v>
      </c>
      <c r="BX1375">
        <v>3.16</v>
      </c>
      <c r="BY1375">
        <v>3.72</v>
      </c>
      <c r="BZ1375">
        <v>3.11</v>
      </c>
      <c r="CA1375" t="s">
        <v>120</v>
      </c>
      <c r="CB1375">
        <v>6.61</v>
      </c>
      <c r="CC1375">
        <v>6.04</v>
      </c>
      <c r="CD1375">
        <v>4.5</v>
      </c>
      <c r="CE1375">
        <v>1.1299999999999999</v>
      </c>
      <c r="CF1375">
        <v>0</v>
      </c>
      <c r="CG1375">
        <v>1.1200000000000001</v>
      </c>
      <c r="CH1375">
        <v>0.97</v>
      </c>
      <c r="CI1375">
        <v>0.97</v>
      </c>
      <c r="CJ1375">
        <v>-0.6</v>
      </c>
      <c r="CK1375">
        <v>0.9</v>
      </c>
      <c r="CL1375">
        <v>2.88</v>
      </c>
      <c r="CM1375">
        <v>-0.18</v>
      </c>
      <c r="CN1375">
        <v>-4.42</v>
      </c>
      <c r="CO1375">
        <v>13856</v>
      </c>
      <c r="CP1375">
        <v>1977</v>
      </c>
      <c r="CQ1375" t="s">
        <v>3146</v>
      </c>
      <c r="CR1375">
        <v>78.53</v>
      </c>
      <c r="CS1375">
        <v>95.63</v>
      </c>
      <c r="CT1375">
        <v>4.24</v>
      </c>
      <c r="CU1375">
        <v>-263.8</v>
      </c>
      <c r="CV1375">
        <v>7.71</v>
      </c>
      <c r="CW1375">
        <v>0.7</v>
      </c>
      <c r="CX1375" t="s">
        <v>465</v>
      </c>
      <c r="CY1375">
        <v>9.9</v>
      </c>
      <c r="CZ1375">
        <v>0</v>
      </c>
      <c r="DA1375">
        <v>5.95</v>
      </c>
      <c r="DB1375">
        <v>2.59</v>
      </c>
      <c r="DC1375">
        <v>-0.16</v>
      </c>
      <c r="DD1375">
        <v>67.98</v>
      </c>
      <c r="DE1375" t="s">
        <v>7328</v>
      </c>
      <c r="DF1375">
        <v>25.54</v>
      </c>
      <c r="DG1375">
        <v>18.690000000000001</v>
      </c>
      <c r="DH1375">
        <v>16.02</v>
      </c>
      <c r="DI1375">
        <v>0.24</v>
      </c>
      <c r="DJ1375">
        <v>1165</v>
      </c>
      <c r="DK1375">
        <v>3028</v>
      </c>
      <c r="DL1375" t="s">
        <v>120</v>
      </c>
      <c r="DM1375" t="s">
        <v>120</v>
      </c>
      <c r="DN1375" t="s">
        <v>120</v>
      </c>
    </row>
    <row r="1376" spans="1:118">
      <c r="A1376" t="str">
        <f>"003029"</f>
        <v>003029</v>
      </c>
      <c r="B1376" t="s">
        <v>7329</v>
      </c>
      <c r="C1376">
        <v>0.52</v>
      </c>
      <c r="D1376">
        <v>-0.08</v>
      </c>
      <c r="E1376">
        <v>0.52</v>
      </c>
      <c r="F1376">
        <v>160</v>
      </c>
      <c r="G1376" t="s">
        <v>7330</v>
      </c>
      <c r="H1376">
        <v>1849.86</v>
      </c>
      <c r="I1376">
        <v>11.04</v>
      </c>
      <c r="J1376" t="s">
        <v>120</v>
      </c>
      <c r="K1376" t="s">
        <v>7330</v>
      </c>
      <c r="L1376">
        <v>1.78</v>
      </c>
      <c r="M1376">
        <v>23</v>
      </c>
      <c r="N1376">
        <v>0.74</v>
      </c>
      <c r="O1376">
        <v>2.3199999999999998</v>
      </c>
      <c r="P1376">
        <v>23.41</v>
      </c>
      <c r="Q1376">
        <v>0</v>
      </c>
      <c r="R1376">
        <v>22.88</v>
      </c>
      <c r="S1376">
        <v>23</v>
      </c>
      <c r="T1376">
        <v>8010</v>
      </c>
      <c r="U1376">
        <v>23.01</v>
      </c>
      <c r="V1376">
        <v>22.88</v>
      </c>
      <c r="W1376">
        <v>109.12</v>
      </c>
      <c r="X1376" t="s">
        <v>141</v>
      </c>
      <c r="Y1376" t="s">
        <v>290</v>
      </c>
      <c r="Z1376">
        <v>2.3199999999999998</v>
      </c>
      <c r="AA1376">
        <v>23.1</v>
      </c>
      <c r="AB1376">
        <v>4196</v>
      </c>
      <c r="AC1376">
        <v>3814</v>
      </c>
      <c r="AD1376">
        <v>1.1000000000000001</v>
      </c>
      <c r="AE1376">
        <v>78</v>
      </c>
      <c r="AF1376">
        <v>1</v>
      </c>
      <c r="AG1376" t="s">
        <v>120</v>
      </c>
      <c r="AH1376">
        <v>0.01</v>
      </c>
      <c r="AI1376" t="s">
        <v>120</v>
      </c>
      <c r="AJ1376">
        <v>0.45</v>
      </c>
      <c r="AK1376" t="s">
        <v>2491</v>
      </c>
      <c r="AL1376">
        <v>2.44</v>
      </c>
      <c r="AM1376">
        <v>783</v>
      </c>
      <c r="AN1376">
        <v>10</v>
      </c>
      <c r="AO1376">
        <v>2.3E-3</v>
      </c>
      <c r="AP1376">
        <v>1</v>
      </c>
      <c r="AQ1376">
        <v>-1.1200000000000001</v>
      </c>
      <c r="AR1376">
        <v>-0.43</v>
      </c>
      <c r="AS1376">
        <v>-5.24</v>
      </c>
      <c r="AT1376">
        <v>-5.78</v>
      </c>
      <c r="AU1376">
        <v>-11.45</v>
      </c>
      <c r="AV1376">
        <v>6</v>
      </c>
      <c r="AW1376">
        <v>1.78</v>
      </c>
      <c r="AX1376">
        <v>24.33</v>
      </c>
      <c r="AY1376">
        <v>39.229999999999997</v>
      </c>
      <c r="AZ1376">
        <v>39.53</v>
      </c>
      <c r="BA1376">
        <v>0.71</v>
      </c>
      <c r="BB1376" t="s">
        <v>143</v>
      </c>
      <c r="BF1376">
        <v>0.94</v>
      </c>
      <c r="BG1376">
        <v>0</v>
      </c>
      <c r="BH1376">
        <v>-1.75</v>
      </c>
      <c r="BI1376">
        <v>0.52</v>
      </c>
      <c r="BJ1376">
        <v>20210825</v>
      </c>
      <c r="BK1376">
        <v>20201224</v>
      </c>
      <c r="BL1376">
        <v>1.85</v>
      </c>
      <c r="BM1376" t="s">
        <v>120</v>
      </c>
      <c r="BN1376" t="s">
        <v>120</v>
      </c>
      <c r="BO1376">
        <v>17.010000000000002</v>
      </c>
      <c r="BP1376">
        <v>23</v>
      </c>
      <c r="BQ1376">
        <v>12.43</v>
      </c>
      <c r="BR1376">
        <v>0.18</v>
      </c>
      <c r="BS1376">
        <v>25.88</v>
      </c>
      <c r="BT1376">
        <v>16.239999999999998</v>
      </c>
      <c r="BU1376">
        <v>0.08</v>
      </c>
      <c r="BV1376">
        <v>0.03</v>
      </c>
      <c r="BW1376">
        <v>4.37</v>
      </c>
      <c r="BX1376">
        <v>11.13</v>
      </c>
      <c r="BY1376">
        <v>1.45</v>
      </c>
      <c r="BZ1376">
        <v>3.15</v>
      </c>
      <c r="CA1376" t="s">
        <v>120</v>
      </c>
      <c r="CB1376">
        <v>8.1</v>
      </c>
      <c r="CC1376">
        <v>2.61</v>
      </c>
      <c r="CD1376">
        <v>1.1100000000000001</v>
      </c>
      <c r="CE1376">
        <v>0.31</v>
      </c>
      <c r="CF1376">
        <v>-0.01</v>
      </c>
      <c r="CG1376">
        <v>0.33</v>
      </c>
      <c r="CH1376">
        <v>0.23</v>
      </c>
      <c r="CI1376">
        <v>0.2</v>
      </c>
      <c r="CJ1376">
        <v>0.12</v>
      </c>
      <c r="CK1376">
        <v>0.17</v>
      </c>
      <c r="CL1376">
        <v>2.67</v>
      </c>
      <c r="CM1376">
        <v>-0.56000000000000005</v>
      </c>
      <c r="CN1376">
        <v>-0.47</v>
      </c>
      <c r="CO1376">
        <v>21844</v>
      </c>
      <c r="CP1376">
        <v>2065</v>
      </c>
      <c r="CQ1376" t="s">
        <v>5640</v>
      </c>
      <c r="CR1376">
        <v>4.34</v>
      </c>
      <c r="CS1376">
        <v>40.479999999999997</v>
      </c>
      <c r="CT1376">
        <v>3.43</v>
      </c>
      <c r="CU1376">
        <v>-76.77</v>
      </c>
      <c r="CV1376">
        <v>16.329999999999998</v>
      </c>
      <c r="CW1376">
        <v>0.71</v>
      </c>
      <c r="CX1376" t="s">
        <v>1147</v>
      </c>
      <c r="CY1376">
        <v>6.7</v>
      </c>
      <c r="CZ1376">
        <v>0</v>
      </c>
      <c r="DA1376">
        <v>4.37</v>
      </c>
      <c r="DB1376">
        <v>1.44</v>
      </c>
      <c r="DC1376">
        <v>-0.3</v>
      </c>
      <c r="DD1376">
        <v>73.05</v>
      </c>
      <c r="DE1376" t="s">
        <v>4096</v>
      </c>
      <c r="DF1376">
        <v>57.57</v>
      </c>
      <c r="DG1376">
        <v>11.71</v>
      </c>
      <c r="DH1376">
        <v>7.48</v>
      </c>
      <c r="DI1376">
        <v>0.33</v>
      </c>
      <c r="DJ1376">
        <v>855</v>
      </c>
      <c r="DK1376">
        <v>3029</v>
      </c>
      <c r="DL1376" t="s">
        <v>120</v>
      </c>
      <c r="DM1376" t="s">
        <v>120</v>
      </c>
      <c r="DN1376" t="s">
        <v>120</v>
      </c>
    </row>
    <row r="1377" spans="1:118">
      <c r="A1377" t="str">
        <f>"003030"</f>
        <v>003030</v>
      </c>
      <c r="B1377" t="s">
        <v>7331</v>
      </c>
      <c r="C1377">
        <v>0.17</v>
      </c>
      <c r="D1377">
        <v>0</v>
      </c>
      <c r="E1377">
        <v>-0.12</v>
      </c>
      <c r="F1377">
        <v>58</v>
      </c>
      <c r="G1377" t="s">
        <v>7332</v>
      </c>
      <c r="H1377">
        <v>1481.4</v>
      </c>
      <c r="I1377">
        <v>0</v>
      </c>
      <c r="J1377" t="s">
        <v>120</v>
      </c>
      <c r="K1377" t="s">
        <v>7332</v>
      </c>
      <c r="L1377">
        <v>1.96</v>
      </c>
      <c r="M1377">
        <v>24.19</v>
      </c>
      <c r="N1377">
        <v>1.21</v>
      </c>
      <c r="O1377">
        <v>1.82</v>
      </c>
      <c r="P1377">
        <v>24.59</v>
      </c>
      <c r="Q1377">
        <v>-0.54</v>
      </c>
      <c r="R1377">
        <v>24.02</v>
      </c>
      <c r="S1377">
        <v>24.12</v>
      </c>
      <c r="T1377">
        <v>6104</v>
      </c>
      <c r="U1377">
        <v>24.2</v>
      </c>
      <c r="V1377">
        <v>24.15</v>
      </c>
      <c r="W1377">
        <v>47.88</v>
      </c>
      <c r="X1377" t="s">
        <v>847</v>
      </c>
      <c r="Y1377" t="s">
        <v>585</v>
      </c>
      <c r="Z1377">
        <v>2.36</v>
      </c>
      <c r="AA1377">
        <v>24.27</v>
      </c>
      <c r="AB1377">
        <v>3344</v>
      </c>
      <c r="AC1377">
        <v>2760</v>
      </c>
      <c r="AD1377">
        <v>1.21</v>
      </c>
      <c r="AE1377">
        <v>94</v>
      </c>
      <c r="AF1377">
        <v>3</v>
      </c>
      <c r="AG1377" t="s">
        <v>120</v>
      </c>
      <c r="AH1377">
        <v>0</v>
      </c>
      <c r="AI1377" t="s">
        <v>120</v>
      </c>
      <c r="AJ1377">
        <v>0.31</v>
      </c>
      <c r="AK1377" t="s">
        <v>7333</v>
      </c>
      <c r="AL1377">
        <v>2.08</v>
      </c>
      <c r="AM1377">
        <v>759</v>
      </c>
      <c r="AN1377">
        <v>8</v>
      </c>
      <c r="AO1377">
        <v>2.5999999999999999E-3</v>
      </c>
      <c r="AP1377">
        <v>1</v>
      </c>
      <c r="AQ1377">
        <v>-0.12</v>
      </c>
      <c r="AR1377">
        <v>-2.0699999999999998</v>
      </c>
      <c r="AS1377">
        <v>0.79</v>
      </c>
      <c r="AT1377">
        <v>-15</v>
      </c>
      <c r="AU1377">
        <v>62.02</v>
      </c>
      <c r="AV1377">
        <v>3</v>
      </c>
      <c r="AW1377">
        <v>1.96</v>
      </c>
      <c r="AX1377">
        <v>25</v>
      </c>
      <c r="AY1377">
        <v>36.340000000000003</v>
      </c>
      <c r="AZ1377">
        <v>29.84</v>
      </c>
      <c r="BA1377">
        <v>1.01</v>
      </c>
      <c r="BB1377" t="s">
        <v>143</v>
      </c>
      <c r="BF1377">
        <v>0.49</v>
      </c>
      <c r="BG1377">
        <v>0.28999999999999998</v>
      </c>
      <c r="BH1377">
        <v>-1.63</v>
      </c>
      <c r="BI1377">
        <v>0.71</v>
      </c>
      <c r="BJ1377">
        <v>20210823</v>
      </c>
      <c r="BK1377">
        <v>20210106</v>
      </c>
      <c r="BL1377">
        <v>1.25</v>
      </c>
      <c r="BM1377" t="s">
        <v>120</v>
      </c>
      <c r="BN1377" t="s">
        <v>120</v>
      </c>
      <c r="BO1377">
        <v>15.27</v>
      </c>
      <c r="BP1377">
        <v>24.19</v>
      </c>
      <c r="BQ1377">
        <v>9.92</v>
      </c>
      <c r="BR1377" t="s">
        <v>120</v>
      </c>
      <c r="BS1377">
        <v>35.03</v>
      </c>
      <c r="BT1377">
        <v>5.89</v>
      </c>
      <c r="BU1377">
        <v>8.19</v>
      </c>
      <c r="BV1377">
        <v>0.3</v>
      </c>
      <c r="BW1377">
        <v>2.88</v>
      </c>
      <c r="BX1377">
        <v>2.61</v>
      </c>
      <c r="BY1377">
        <v>0.81</v>
      </c>
      <c r="BZ1377">
        <v>1.18</v>
      </c>
      <c r="CA1377" t="s">
        <v>120</v>
      </c>
      <c r="CB1377">
        <v>5.27</v>
      </c>
      <c r="CC1377">
        <v>6.18</v>
      </c>
      <c r="CD1377">
        <v>4.43</v>
      </c>
      <c r="CE1377">
        <v>0.41</v>
      </c>
      <c r="CF1377">
        <v>0</v>
      </c>
      <c r="CG1377">
        <v>0.4</v>
      </c>
      <c r="CH1377">
        <v>0.32</v>
      </c>
      <c r="CI1377">
        <v>0.32</v>
      </c>
      <c r="CJ1377">
        <v>0.04</v>
      </c>
      <c r="CK1377">
        <v>0.31</v>
      </c>
      <c r="CL1377">
        <v>3.12</v>
      </c>
      <c r="CM1377">
        <v>0.36</v>
      </c>
      <c r="CN1377">
        <v>-2.15</v>
      </c>
      <c r="CO1377">
        <v>14110</v>
      </c>
      <c r="CP1377">
        <v>2211</v>
      </c>
      <c r="CQ1377" t="s">
        <v>2603</v>
      </c>
      <c r="CR1377">
        <v>-36.44</v>
      </c>
      <c r="CS1377">
        <v>8.69</v>
      </c>
      <c r="CT1377">
        <v>3.04</v>
      </c>
      <c r="CU1377">
        <v>83.06</v>
      </c>
      <c r="CV1377">
        <v>4.8899999999999997</v>
      </c>
      <c r="CW1377">
        <v>1.04</v>
      </c>
      <c r="CX1377" t="s">
        <v>863</v>
      </c>
      <c r="CY1377">
        <v>7.95</v>
      </c>
      <c r="CZ1377">
        <v>0</v>
      </c>
      <c r="DA1377">
        <v>4.22</v>
      </c>
      <c r="DB1377">
        <v>2.5</v>
      </c>
      <c r="DC1377">
        <v>0.28999999999999998</v>
      </c>
      <c r="DD1377">
        <v>64.97</v>
      </c>
      <c r="DE1377" t="s">
        <v>6196</v>
      </c>
      <c r="DF1377">
        <v>28.24</v>
      </c>
      <c r="DG1377">
        <v>6.6</v>
      </c>
      <c r="DH1377">
        <v>5.0999999999999996</v>
      </c>
      <c r="DI1377">
        <v>0.04</v>
      </c>
      <c r="DJ1377">
        <v>3259</v>
      </c>
      <c r="DK1377">
        <v>3030</v>
      </c>
      <c r="DL1377" t="s">
        <v>120</v>
      </c>
      <c r="DM1377" t="s">
        <v>120</v>
      </c>
      <c r="DN1377" t="s">
        <v>120</v>
      </c>
    </row>
    <row r="1378" spans="1:118">
      <c r="A1378" t="str">
        <f>"003031"</f>
        <v>003031</v>
      </c>
      <c r="B1378" t="s">
        <v>7334</v>
      </c>
      <c r="C1378">
        <v>0.61</v>
      </c>
      <c r="D1378">
        <v>-0.13</v>
      </c>
      <c r="E1378">
        <v>-0.85</v>
      </c>
      <c r="F1378">
        <v>178</v>
      </c>
      <c r="G1378" t="s">
        <v>3661</v>
      </c>
      <c r="H1378">
        <v>6205.56</v>
      </c>
      <c r="I1378">
        <v>26.16</v>
      </c>
      <c r="J1378" t="s">
        <v>120</v>
      </c>
      <c r="K1378" t="s">
        <v>3661</v>
      </c>
      <c r="L1378">
        <v>2.56</v>
      </c>
      <c r="M1378">
        <v>64.739999999999995</v>
      </c>
      <c r="N1378">
        <v>0.65</v>
      </c>
      <c r="O1378">
        <v>2.42</v>
      </c>
      <c r="P1378">
        <v>65.91</v>
      </c>
      <c r="Q1378">
        <v>-0.99</v>
      </c>
      <c r="R1378">
        <v>63.71</v>
      </c>
      <c r="S1378">
        <v>63.8</v>
      </c>
      <c r="T1378">
        <v>9541</v>
      </c>
      <c r="U1378">
        <v>64.8</v>
      </c>
      <c r="V1378">
        <v>64.349999999999994</v>
      </c>
      <c r="W1378">
        <v>85.25</v>
      </c>
      <c r="X1378" t="s">
        <v>229</v>
      </c>
      <c r="Y1378" t="s">
        <v>602</v>
      </c>
      <c r="Z1378">
        <v>3.42</v>
      </c>
      <c r="AA1378">
        <v>65.040000000000006</v>
      </c>
      <c r="AB1378">
        <v>5234</v>
      </c>
      <c r="AC1378">
        <v>4307</v>
      </c>
      <c r="AD1378">
        <v>1.22</v>
      </c>
      <c r="AE1378">
        <v>3</v>
      </c>
      <c r="AF1378">
        <v>3</v>
      </c>
      <c r="AG1378" t="s">
        <v>120</v>
      </c>
      <c r="AH1378">
        <v>0.01</v>
      </c>
      <c r="AI1378" t="s">
        <v>120</v>
      </c>
      <c r="AJ1378">
        <v>0.37</v>
      </c>
      <c r="AK1378" t="s">
        <v>799</v>
      </c>
      <c r="AL1378">
        <v>2.52</v>
      </c>
      <c r="AM1378">
        <v>1500</v>
      </c>
      <c r="AN1378">
        <v>6</v>
      </c>
      <c r="AO1378">
        <v>1.6999999999999999E-3</v>
      </c>
      <c r="AP1378">
        <v>1</v>
      </c>
      <c r="AQ1378">
        <v>-2.85</v>
      </c>
      <c r="AR1378">
        <v>3.63</v>
      </c>
      <c r="AS1378">
        <v>-16.55</v>
      </c>
      <c r="AT1378">
        <v>15.19</v>
      </c>
      <c r="AU1378">
        <v>503.84</v>
      </c>
      <c r="AV1378">
        <v>5</v>
      </c>
      <c r="AW1378">
        <v>2.56</v>
      </c>
      <c r="AX1378">
        <v>25</v>
      </c>
      <c r="AY1378">
        <v>87.6</v>
      </c>
      <c r="AZ1378">
        <v>97.91</v>
      </c>
      <c r="BA1378">
        <v>0.55000000000000004</v>
      </c>
      <c r="BB1378" t="s">
        <v>143</v>
      </c>
      <c r="BF1378">
        <v>1.07</v>
      </c>
      <c r="BG1378">
        <v>1.47</v>
      </c>
      <c r="BH1378">
        <v>-1.78</v>
      </c>
      <c r="BI1378">
        <v>1.62</v>
      </c>
      <c r="BJ1378">
        <v>20210912</v>
      </c>
      <c r="BK1378">
        <v>20210104</v>
      </c>
      <c r="BL1378">
        <v>1.49</v>
      </c>
      <c r="BM1378" t="s">
        <v>120</v>
      </c>
      <c r="BN1378" t="s">
        <v>120</v>
      </c>
      <c r="BO1378">
        <v>15.21</v>
      </c>
      <c r="BP1378">
        <v>64.73</v>
      </c>
      <c r="BQ1378">
        <v>10.64</v>
      </c>
      <c r="BR1378" t="s">
        <v>120</v>
      </c>
      <c r="BS1378">
        <v>30.03</v>
      </c>
      <c r="BT1378">
        <v>11.08</v>
      </c>
      <c r="BU1378">
        <v>3.59</v>
      </c>
      <c r="BV1378">
        <v>0.14000000000000001</v>
      </c>
      <c r="BW1378">
        <v>3.88</v>
      </c>
      <c r="BX1378">
        <v>1.78</v>
      </c>
      <c r="BY1378">
        <v>2.37</v>
      </c>
      <c r="BZ1378">
        <v>1.9</v>
      </c>
      <c r="CA1378" t="s">
        <v>120</v>
      </c>
      <c r="CB1378">
        <v>7.06</v>
      </c>
      <c r="CC1378">
        <v>4.96</v>
      </c>
      <c r="CD1378">
        <v>3.5</v>
      </c>
      <c r="CE1378">
        <v>0.67</v>
      </c>
      <c r="CF1378">
        <v>0.01</v>
      </c>
      <c r="CG1378">
        <v>0.6</v>
      </c>
      <c r="CH1378">
        <v>0.56999999999999995</v>
      </c>
      <c r="CI1378">
        <v>0.56999999999999995</v>
      </c>
      <c r="CJ1378">
        <v>0.39</v>
      </c>
      <c r="CK1378">
        <v>0.55000000000000004</v>
      </c>
      <c r="CL1378">
        <v>1.33</v>
      </c>
      <c r="CM1378">
        <v>0.7</v>
      </c>
      <c r="CN1378">
        <v>-2.77</v>
      </c>
      <c r="CO1378">
        <v>14227</v>
      </c>
      <c r="CP1378">
        <v>2624</v>
      </c>
      <c r="CQ1378" t="s">
        <v>6139</v>
      </c>
      <c r="CR1378">
        <v>25.59</v>
      </c>
      <c r="CS1378">
        <v>40.340000000000003</v>
      </c>
      <c r="CT1378">
        <v>9.08</v>
      </c>
      <c r="CU1378">
        <v>137.21</v>
      </c>
      <c r="CV1378">
        <v>19.48</v>
      </c>
      <c r="CW1378">
        <v>0.28999999999999998</v>
      </c>
      <c r="CX1378" t="s">
        <v>2429</v>
      </c>
      <c r="CY1378">
        <v>7.13</v>
      </c>
      <c r="CZ1378">
        <v>0</v>
      </c>
      <c r="DA1378">
        <v>4.7300000000000004</v>
      </c>
      <c r="DB1378">
        <v>0.89</v>
      </c>
      <c r="DC1378">
        <v>0.47</v>
      </c>
      <c r="DD1378">
        <v>69.97</v>
      </c>
      <c r="DE1378" t="s">
        <v>2753</v>
      </c>
      <c r="DF1378">
        <v>29.36</v>
      </c>
      <c r="DG1378">
        <v>13.45</v>
      </c>
      <c r="DH1378">
        <v>11.43</v>
      </c>
      <c r="DI1378">
        <v>0.63</v>
      </c>
      <c r="DJ1378">
        <v>391</v>
      </c>
      <c r="DK1378">
        <v>3031</v>
      </c>
      <c r="DL1378">
        <v>20210603</v>
      </c>
      <c r="DM1378">
        <v>81.59</v>
      </c>
      <c r="DN1378">
        <v>11.41</v>
      </c>
    </row>
    <row r="1379" spans="1:118">
      <c r="A1379" t="str">
        <f>"003032"</f>
        <v>003032</v>
      </c>
      <c r="B1379" t="s">
        <v>7335</v>
      </c>
      <c r="C1379">
        <v>-5.27</v>
      </c>
      <c r="D1379">
        <v>0</v>
      </c>
      <c r="E1379">
        <v>-0.57999999999999996</v>
      </c>
      <c r="F1379">
        <v>771</v>
      </c>
      <c r="G1379" t="s">
        <v>7336</v>
      </c>
      <c r="H1379">
        <v>12235.84</v>
      </c>
      <c r="I1379">
        <v>150.22999999999999</v>
      </c>
      <c r="J1379" t="s">
        <v>120</v>
      </c>
      <c r="K1379" t="s">
        <v>7336</v>
      </c>
      <c r="L1379">
        <v>13.07</v>
      </c>
      <c r="M1379">
        <v>22.83</v>
      </c>
      <c r="N1379">
        <v>0.95</v>
      </c>
      <c r="O1379">
        <v>-0.57999999999999996</v>
      </c>
      <c r="P1379">
        <v>23.96</v>
      </c>
      <c r="Q1379">
        <v>-5.6</v>
      </c>
      <c r="R1379">
        <v>22.75</v>
      </c>
      <c r="S1379">
        <v>23.96</v>
      </c>
      <c r="T1379">
        <v>52619</v>
      </c>
      <c r="U1379">
        <v>22.84</v>
      </c>
      <c r="V1379">
        <v>24.1</v>
      </c>
      <c r="W1379">
        <v>175.83</v>
      </c>
      <c r="X1379" t="s">
        <v>213</v>
      </c>
      <c r="Y1379" t="s">
        <v>319</v>
      </c>
      <c r="Z1379">
        <v>5.0199999999999996</v>
      </c>
      <c r="AA1379">
        <v>23.25</v>
      </c>
      <c r="AB1379">
        <v>29262</v>
      </c>
      <c r="AC1379">
        <v>23357</v>
      </c>
      <c r="AD1379">
        <v>1.25</v>
      </c>
      <c r="AE1379">
        <v>159</v>
      </c>
      <c r="AF1379">
        <v>159</v>
      </c>
      <c r="AG1379" t="s">
        <v>120</v>
      </c>
      <c r="AH1379">
        <v>0.16</v>
      </c>
      <c r="AI1379" t="s">
        <v>120</v>
      </c>
      <c r="AJ1379">
        <v>0.4</v>
      </c>
      <c r="AK1379" t="s">
        <v>7337</v>
      </c>
      <c r="AL1379">
        <v>-3.36</v>
      </c>
      <c r="AM1379">
        <v>2999</v>
      </c>
      <c r="AN1379">
        <v>18</v>
      </c>
      <c r="AO1379">
        <v>4.4000000000000003E-3</v>
      </c>
      <c r="AP1379">
        <v>-2</v>
      </c>
      <c r="AQ1379">
        <v>-5.82</v>
      </c>
      <c r="AR1379">
        <v>-1.84</v>
      </c>
      <c r="AS1379">
        <v>-20.23</v>
      </c>
      <c r="AT1379">
        <v>-34.42</v>
      </c>
      <c r="AU1379">
        <v>170.4</v>
      </c>
      <c r="AV1379">
        <v>17</v>
      </c>
      <c r="AW1379">
        <v>13.07</v>
      </c>
      <c r="AX1379">
        <v>10</v>
      </c>
      <c r="AY1379">
        <v>79.52</v>
      </c>
      <c r="AZ1379">
        <v>149.06</v>
      </c>
      <c r="BA1379">
        <v>1.01</v>
      </c>
      <c r="BB1379" t="s">
        <v>143</v>
      </c>
      <c r="BF1379">
        <v>-3.51</v>
      </c>
      <c r="BG1379">
        <v>-4.72</v>
      </c>
      <c r="BH1379">
        <v>-4.72</v>
      </c>
      <c r="BI1379">
        <v>0.35</v>
      </c>
      <c r="BJ1379">
        <v>20210818</v>
      </c>
      <c r="BK1379">
        <v>20210112</v>
      </c>
      <c r="BL1379">
        <v>4.0199999999999996</v>
      </c>
      <c r="BM1379" t="s">
        <v>120</v>
      </c>
      <c r="BN1379" t="s">
        <v>120</v>
      </c>
      <c r="BO1379">
        <v>17.350000000000001</v>
      </c>
      <c r="BP1379">
        <v>22.83</v>
      </c>
      <c r="BQ1379">
        <v>11.63</v>
      </c>
      <c r="BR1379" t="s">
        <v>120</v>
      </c>
      <c r="BS1379">
        <v>33</v>
      </c>
      <c r="BT1379">
        <v>11.91</v>
      </c>
      <c r="BU1379">
        <v>0.03</v>
      </c>
      <c r="BV1379">
        <v>0.04</v>
      </c>
      <c r="BW1379">
        <v>2.96</v>
      </c>
      <c r="BX1379">
        <v>7.74</v>
      </c>
      <c r="BY1379">
        <v>0</v>
      </c>
      <c r="BZ1379">
        <v>0.09</v>
      </c>
      <c r="CA1379" t="s">
        <v>120</v>
      </c>
      <c r="CB1379">
        <v>2.76</v>
      </c>
      <c r="CC1379">
        <v>3.04</v>
      </c>
      <c r="CD1379">
        <v>1.64</v>
      </c>
      <c r="CE1379">
        <v>0.25</v>
      </c>
      <c r="CF1379">
        <v>0.09</v>
      </c>
      <c r="CG1379">
        <v>0.26</v>
      </c>
      <c r="CH1379">
        <v>0.26</v>
      </c>
      <c r="CI1379">
        <v>0.26</v>
      </c>
      <c r="CJ1379">
        <v>-1.27</v>
      </c>
      <c r="CK1379">
        <v>0.13</v>
      </c>
      <c r="CL1379">
        <v>4.25</v>
      </c>
      <c r="CM1379">
        <v>0.41</v>
      </c>
      <c r="CN1379">
        <v>-0.83</v>
      </c>
      <c r="CO1379">
        <v>24340</v>
      </c>
      <c r="CP1379">
        <v>1653</v>
      </c>
      <c r="CQ1379" t="s">
        <v>7338</v>
      </c>
      <c r="CR1379">
        <v>184.92</v>
      </c>
      <c r="CS1379">
        <v>15.21</v>
      </c>
      <c r="CT1379">
        <v>7.9</v>
      </c>
      <c r="CU1379">
        <v>223.56</v>
      </c>
      <c r="CV1379">
        <v>30.26</v>
      </c>
      <c r="CW1379">
        <v>7.0000000000000007E-2</v>
      </c>
      <c r="CX1379" t="s">
        <v>679</v>
      </c>
      <c r="CY1379">
        <v>2.89</v>
      </c>
      <c r="CZ1379">
        <v>0</v>
      </c>
      <c r="DA1379">
        <v>0.69</v>
      </c>
      <c r="DB1379">
        <v>1.06</v>
      </c>
      <c r="DC1379">
        <v>0.1</v>
      </c>
      <c r="DD1379">
        <v>67</v>
      </c>
      <c r="DE1379" t="s">
        <v>2649</v>
      </c>
      <c r="DF1379">
        <v>45.88</v>
      </c>
      <c r="DG1379">
        <v>8.2200000000000006</v>
      </c>
      <c r="DH1379">
        <v>8.6</v>
      </c>
      <c r="DI1379">
        <v>0.38</v>
      </c>
      <c r="DJ1379">
        <v>1652</v>
      </c>
      <c r="DK1379">
        <v>3032</v>
      </c>
      <c r="DL1379">
        <v>20210809</v>
      </c>
      <c r="DM1379">
        <v>27.25</v>
      </c>
      <c r="DN1379">
        <v>-16.22</v>
      </c>
    </row>
    <row r="1380" spans="1:118">
      <c r="A1380" t="str">
        <f>"003033"</f>
        <v>003033</v>
      </c>
      <c r="B1380" t="s">
        <v>7339</v>
      </c>
      <c r="C1380">
        <v>-1.93</v>
      </c>
      <c r="D1380">
        <v>-0.13</v>
      </c>
      <c r="E1380">
        <v>0</v>
      </c>
      <c r="F1380">
        <v>132</v>
      </c>
      <c r="G1380" t="s">
        <v>7340</v>
      </c>
      <c r="H1380">
        <v>1488.75</v>
      </c>
      <c r="I1380">
        <v>2.85</v>
      </c>
      <c r="J1380" t="s">
        <v>120</v>
      </c>
      <c r="K1380" t="s">
        <v>7340</v>
      </c>
      <c r="L1380">
        <v>2.57</v>
      </c>
      <c r="M1380">
        <v>27.96</v>
      </c>
      <c r="N1380">
        <v>0.5</v>
      </c>
      <c r="O1380">
        <v>0.81</v>
      </c>
      <c r="P1380">
        <v>28.74</v>
      </c>
      <c r="Q1380">
        <v>-2.0699999999999998</v>
      </c>
      <c r="R1380">
        <v>27.92</v>
      </c>
      <c r="S1380">
        <v>28.51</v>
      </c>
      <c r="T1380">
        <v>5253</v>
      </c>
      <c r="U1380">
        <v>27.97</v>
      </c>
      <c r="V1380">
        <v>28.51</v>
      </c>
      <c r="W1380">
        <v>30.07</v>
      </c>
      <c r="X1380" t="s">
        <v>959</v>
      </c>
      <c r="Y1380" t="s">
        <v>638</v>
      </c>
      <c r="Z1380">
        <v>2.88</v>
      </c>
      <c r="AA1380">
        <v>28.34</v>
      </c>
      <c r="AB1380">
        <v>3215</v>
      </c>
      <c r="AC1380">
        <v>2038</v>
      </c>
      <c r="AD1380">
        <v>1.58</v>
      </c>
      <c r="AE1380">
        <v>8</v>
      </c>
      <c r="AF1380">
        <v>23</v>
      </c>
      <c r="AG1380" t="s">
        <v>120</v>
      </c>
      <c r="AH1380">
        <v>0</v>
      </c>
      <c r="AI1380" t="s">
        <v>120</v>
      </c>
      <c r="AJ1380">
        <v>0.2</v>
      </c>
      <c r="AK1380" t="s">
        <v>6353</v>
      </c>
      <c r="AL1380">
        <v>-0.02</v>
      </c>
      <c r="AM1380">
        <v>700</v>
      </c>
      <c r="AN1380">
        <v>8</v>
      </c>
      <c r="AO1380">
        <v>3.7000000000000002E-3</v>
      </c>
      <c r="AP1380">
        <v>-5</v>
      </c>
      <c r="AQ1380">
        <v>-0.28000000000000003</v>
      </c>
      <c r="AR1380">
        <v>-3.58</v>
      </c>
      <c r="AS1380">
        <v>-8.2899999999999991</v>
      </c>
      <c r="AT1380">
        <v>-11.24</v>
      </c>
      <c r="AU1380">
        <v>22.21</v>
      </c>
      <c r="AV1380">
        <v>9</v>
      </c>
      <c r="AW1380">
        <v>2.57</v>
      </c>
      <c r="AX1380">
        <v>25.02</v>
      </c>
      <c r="AY1380">
        <v>25.46</v>
      </c>
      <c r="AZ1380">
        <v>21.42</v>
      </c>
      <c r="BA1380">
        <v>0.89</v>
      </c>
      <c r="BB1380" t="s">
        <v>143</v>
      </c>
      <c r="BF1380">
        <v>-0.59</v>
      </c>
      <c r="BG1380">
        <v>-1.93</v>
      </c>
      <c r="BH1380">
        <v>-2.71</v>
      </c>
      <c r="BI1380">
        <v>0.14000000000000001</v>
      </c>
      <c r="BJ1380">
        <v>20210825</v>
      </c>
      <c r="BK1380">
        <v>20210111</v>
      </c>
      <c r="BL1380">
        <v>0.82</v>
      </c>
      <c r="BM1380" t="s">
        <v>120</v>
      </c>
      <c r="BN1380" t="s">
        <v>120</v>
      </c>
      <c r="BO1380">
        <v>11.84</v>
      </c>
      <c r="BP1380">
        <v>27.93</v>
      </c>
      <c r="BQ1380">
        <v>9.06</v>
      </c>
      <c r="BR1380" t="s">
        <v>120</v>
      </c>
      <c r="BS1380">
        <v>23.47</v>
      </c>
      <c r="BT1380">
        <v>7.52</v>
      </c>
      <c r="BU1380">
        <v>2.4700000000000002</v>
      </c>
      <c r="BV1380">
        <v>0.27</v>
      </c>
      <c r="BW1380">
        <v>2.17</v>
      </c>
      <c r="BX1380">
        <v>2.2799999999999998</v>
      </c>
      <c r="BY1380">
        <v>2.34</v>
      </c>
      <c r="BZ1380">
        <v>1.77</v>
      </c>
      <c r="CA1380" t="s">
        <v>120</v>
      </c>
      <c r="CB1380">
        <v>4.5199999999999996</v>
      </c>
      <c r="CC1380">
        <v>6.02</v>
      </c>
      <c r="CD1380">
        <v>4.92</v>
      </c>
      <c r="CE1380">
        <v>0.45</v>
      </c>
      <c r="CF1380">
        <v>0</v>
      </c>
      <c r="CG1380">
        <v>0.45</v>
      </c>
      <c r="CH1380">
        <v>0.38</v>
      </c>
      <c r="CI1380">
        <v>0.38</v>
      </c>
      <c r="CJ1380">
        <v>-0.55000000000000004</v>
      </c>
      <c r="CK1380">
        <v>0.34</v>
      </c>
      <c r="CL1380">
        <v>3.52</v>
      </c>
      <c r="CM1380">
        <v>-0.49</v>
      </c>
      <c r="CN1380">
        <v>1.7</v>
      </c>
      <c r="CO1380">
        <v>14009</v>
      </c>
      <c r="CP1380">
        <v>1460</v>
      </c>
      <c r="CQ1380" t="s">
        <v>7341</v>
      </c>
      <c r="CR1380">
        <v>-31.22</v>
      </c>
      <c r="CS1380">
        <v>50.39</v>
      </c>
      <c r="CT1380">
        <v>2.52</v>
      </c>
      <c r="CU1380">
        <v>-46.29</v>
      </c>
      <c r="CV1380">
        <v>3.8</v>
      </c>
      <c r="CW1380">
        <v>1.4</v>
      </c>
      <c r="CX1380" t="s">
        <v>3347</v>
      </c>
      <c r="CY1380">
        <v>11.09</v>
      </c>
      <c r="CZ1380">
        <v>0</v>
      </c>
      <c r="DA1380">
        <v>5.53</v>
      </c>
      <c r="DB1380">
        <v>4.3</v>
      </c>
      <c r="DC1380">
        <v>-0.6</v>
      </c>
      <c r="DD1380">
        <v>76.53</v>
      </c>
      <c r="DE1380" t="s">
        <v>1055</v>
      </c>
      <c r="DF1380">
        <v>18.23</v>
      </c>
      <c r="DG1380">
        <v>7.52</v>
      </c>
      <c r="DH1380">
        <v>6.31</v>
      </c>
      <c r="DI1380">
        <v>0.25</v>
      </c>
      <c r="DJ1380">
        <v>1545</v>
      </c>
      <c r="DK1380">
        <v>3033</v>
      </c>
      <c r="DL1380" t="s">
        <v>120</v>
      </c>
      <c r="DM1380" t="s">
        <v>120</v>
      </c>
      <c r="DN1380" t="s">
        <v>120</v>
      </c>
    </row>
    <row r="1381" spans="1:118">
      <c r="A1381" t="str">
        <f>"003035"</f>
        <v>003035</v>
      </c>
      <c r="B1381" t="s">
        <v>7342</v>
      </c>
      <c r="C1381">
        <v>-3.56</v>
      </c>
      <c r="D1381">
        <v>0</v>
      </c>
      <c r="E1381">
        <v>-1.26</v>
      </c>
      <c r="F1381">
        <v>3593</v>
      </c>
      <c r="G1381" t="s">
        <v>7343</v>
      </c>
      <c r="H1381">
        <v>34128.269999999997</v>
      </c>
      <c r="I1381">
        <v>207.07</v>
      </c>
      <c r="J1381" t="s">
        <v>120</v>
      </c>
      <c r="K1381" t="s">
        <v>7343</v>
      </c>
      <c r="L1381">
        <v>5.3</v>
      </c>
      <c r="M1381">
        <v>8.41</v>
      </c>
      <c r="N1381">
        <v>0.47</v>
      </c>
      <c r="O1381">
        <v>-0.56999999999999995</v>
      </c>
      <c r="P1381">
        <v>8.67</v>
      </c>
      <c r="Q1381">
        <v>-3.67</v>
      </c>
      <c r="R1381">
        <v>8.4</v>
      </c>
      <c r="S1381">
        <v>8.61</v>
      </c>
      <c r="T1381">
        <v>401160</v>
      </c>
      <c r="U1381">
        <v>8.42</v>
      </c>
      <c r="V1381">
        <v>8.7200000000000006</v>
      </c>
      <c r="W1381">
        <v>96.46</v>
      </c>
      <c r="X1381" t="s">
        <v>356</v>
      </c>
      <c r="Y1381" t="s">
        <v>547</v>
      </c>
      <c r="Z1381">
        <v>3.1</v>
      </c>
      <c r="AA1381">
        <v>8.51</v>
      </c>
      <c r="AB1381">
        <v>228320</v>
      </c>
      <c r="AC1381">
        <v>172840</v>
      </c>
      <c r="AD1381">
        <v>1.32</v>
      </c>
      <c r="AE1381">
        <v>698</v>
      </c>
      <c r="AF1381">
        <v>864</v>
      </c>
      <c r="AG1381" t="s">
        <v>120</v>
      </c>
      <c r="AH1381">
        <v>0.03</v>
      </c>
      <c r="AI1381" t="s">
        <v>120</v>
      </c>
      <c r="AJ1381">
        <v>7.58</v>
      </c>
      <c r="AK1381" t="s">
        <v>7344</v>
      </c>
      <c r="AL1381">
        <v>-1.64</v>
      </c>
      <c r="AM1381">
        <v>4312</v>
      </c>
      <c r="AN1381">
        <v>93</v>
      </c>
      <c r="AO1381">
        <v>1.1999999999999999E-3</v>
      </c>
      <c r="AP1381">
        <v>-1</v>
      </c>
      <c r="AQ1381">
        <v>2.59</v>
      </c>
      <c r="AR1381">
        <v>-4.32</v>
      </c>
      <c r="AS1381">
        <v>3.06</v>
      </c>
      <c r="AT1381">
        <v>-19.45</v>
      </c>
      <c r="AU1381">
        <v>505.3</v>
      </c>
      <c r="AV1381">
        <v>13</v>
      </c>
      <c r="AW1381">
        <v>5.3</v>
      </c>
      <c r="AX1381">
        <v>20</v>
      </c>
      <c r="AY1381">
        <v>75.45</v>
      </c>
      <c r="AZ1381">
        <v>82.87</v>
      </c>
      <c r="BA1381">
        <v>0.65</v>
      </c>
      <c r="BB1381" t="s">
        <v>143</v>
      </c>
      <c r="BF1381">
        <v>-2.44</v>
      </c>
      <c r="BG1381">
        <v>-2.3199999999999998</v>
      </c>
      <c r="BH1381">
        <v>-3</v>
      </c>
      <c r="BI1381">
        <v>0.12</v>
      </c>
      <c r="BJ1381">
        <v>20210913</v>
      </c>
      <c r="BK1381">
        <v>20210119</v>
      </c>
      <c r="BL1381">
        <v>37.880000000000003</v>
      </c>
      <c r="BM1381" t="s">
        <v>120</v>
      </c>
      <c r="BN1381" t="s">
        <v>120</v>
      </c>
      <c r="BO1381">
        <v>126.85</v>
      </c>
      <c r="BP1381">
        <v>8.41</v>
      </c>
      <c r="BQ1381">
        <v>56.35</v>
      </c>
      <c r="BR1381">
        <v>4.5</v>
      </c>
      <c r="BS1381">
        <v>52.03</v>
      </c>
      <c r="BT1381">
        <v>32.299999999999997</v>
      </c>
      <c r="BU1381">
        <v>76.89</v>
      </c>
      <c r="BV1381">
        <v>1.28</v>
      </c>
      <c r="BW1381">
        <v>23.4</v>
      </c>
      <c r="BX1381">
        <v>10.62</v>
      </c>
      <c r="BY1381">
        <v>0.68</v>
      </c>
      <c r="BZ1381">
        <v>16.27</v>
      </c>
      <c r="CA1381" t="s">
        <v>120</v>
      </c>
      <c r="CB1381">
        <v>10.68</v>
      </c>
      <c r="CC1381">
        <v>10.78</v>
      </c>
      <c r="CD1381">
        <v>6.48</v>
      </c>
      <c r="CE1381">
        <v>2.09</v>
      </c>
      <c r="CF1381">
        <v>0.11</v>
      </c>
      <c r="CG1381">
        <v>2.0699999999999998</v>
      </c>
      <c r="CH1381">
        <v>1.89</v>
      </c>
      <c r="CI1381">
        <v>1.65</v>
      </c>
      <c r="CJ1381">
        <v>-0.31</v>
      </c>
      <c r="CK1381">
        <v>1.59</v>
      </c>
      <c r="CL1381">
        <v>7.35</v>
      </c>
      <c r="CM1381">
        <v>1.55</v>
      </c>
      <c r="CN1381">
        <v>5.41</v>
      </c>
      <c r="CO1381">
        <v>230195</v>
      </c>
      <c r="CP1381">
        <v>3291</v>
      </c>
      <c r="CQ1381" t="s">
        <v>6088</v>
      </c>
      <c r="CR1381">
        <v>31.15</v>
      </c>
      <c r="CS1381">
        <v>29.46</v>
      </c>
      <c r="CT1381">
        <v>5.65</v>
      </c>
      <c r="CU1381">
        <v>205.04</v>
      </c>
      <c r="CV1381">
        <v>29.55</v>
      </c>
      <c r="CW1381">
        <v>0.12</v>
      </c>
      <c r="CX1381" t="s">
        <v>1248</v>
      </c>
      <c r="CY1381">
        <v>1.49</v>
      </c>
      <c r="CZ1381">
        <v>0</v>
      </c>
      <c r="DA1381">
        <v>0.28000000000000003</v>
      </c>
      <c r="DB1381">
        <v>0.19</v>
      </c>
      <c r="DC1381">
        <v>0.04</v>
      </c>
      <c r="DD1381">
        <v>44.42</v>
      </c>
      <c r="DE1381" t="s">
        <v>7345</v>
      </c>
      <c r="DF1381">
        <v>39.869999999999997</v>
      </c>
      <c r="DG1381">
        <v>19.43</v>
      </c>
      <c r="DH1381">
        <v>15.32</v>
      </c>
      <c r="DI1381">
        <v>0.02</v>
      </c>
      <c r="DJ1381">
        <v>534</v>
      </c>
      <c r="DK1381">
        <v>3035</v>
      </c>
      <c r="DL1381" t="s">
        <v>120</v>
      </c>
      <c r="DM1381" t="s">
        <v>120</v>
      </c>
      <c r="DN1381" t="s">
        <v>120</v>
      </c>
    </row>
    <row r="1382" spans="1:118">
      <c r="A1382" t="str">
        <f>"003036"</f>
        <v>003036</v>
      </c>
      <c r="B1382" t="s">
        <v>7346</v>
      </c>
      <c r="C1382">
        <v>-2.48</v>
      </c>
      <c r="D1382">
        <v>-7.0000000000000007E-2</v>
      </c>
      <c r="E1382">
        <v>1.0900000000000001</v>
      </c>
      <c r="F1382">
        <v>216</v>
      </c>
      <c r="G1382" t="s">
        <v>7347</v>
      </c>
      <c r="H1382">
        <v>2004.59</v>
      </c>
      <c r="I1382">
        <v>18.75</v>
      </c>
      <c r="J1382" t="s">
        <v>120</v>
      </c>
      <c r="K1382" t="s">
        <v>7347</v>
      </c>
      <c r="L1382">
        <v>2.92</v>
      </c>
      <c r="M1382">
        <v>12.56</v>
      </c>
      <c r="N1382">
        <v>0.92</v>
      </c>
      <c r="O1382">
        <v>1.0900000000000001</v>
      </c>
      <c r="P1382">
        <v>13.02</v>
      </c>
      <c r="Q1382">
        <v>-2.56</v>
      </c>
      <c r="R1382">
        <v>12.55</v>
      </c>
      <c r="S1382">
        <v>13.02</v>
      </c>
      <c r="T1382">
        <v>15753</v>
      </c>
      <c r="U1382">
        <v>12.56</v>
      </c>
      <c r="V1382">
        <v>12.88</v>
      </c>
      <c r="W1382">
        <v>47.56</v>
      </c>
      <c r="X1382" t="s">
        <v>3820</v>
      </c>
      <c r="Y1382" t="s">
        <v>585</v>
      </c>
      <c r="Z1382">
        <v>3.65</v>
      </c>
      <c r="AA1382">
        <v>12.72</v>
      </c>
      <c r="AB1382">
        <v>11759</v>
      </c>
      <c r="AC1382">
        <v>3994</v>
      </c>
      <c r="AD1382">
        <v>2.94</v>
      </c>
      <c r="AE1382">
        <v>198</v>
      </c>
      <c r="AF1382">
        <v>4</v>
      </c>
      <c r="AG1382" t="s">
        <v>120</v>
      </c>
      <c r="AH1382">
        <v>0.03</v>
      </c>
      <c r="AI1382" t="s">
        <v>120</v>
      </c>
      <c r="AJ1382">
        <v>0.54</v>
      </c>
      <c r="AK1382" t="s">
        <v>2060</v>
      </c>
      <c r="AL1382">
        <v>-0.56999999999999995</v>
      </c>
      <c r="AM1382">
        <v>1059</v>
      </c>
      <c r="AN1382">
        <v>15</v>
      </c>
      <c r="AO1382">
        <v>2.8E-3</v>
      </c>
      <c r="AP1382">
        <v>-6</v>
      </c>
      <c r="AQ1382">
        <v>-0.08</v>
      </c>
      <c r="AR1382">
        <v>-2.86</v>
      </c>
      <c r="AS1382">
        <v>-11.17</v>
      </c>
      <c r="AT1382">
        <v>-17.850000000000001</v>
      </c>
      <c r="AU1382">
        <v>121.87</v>
      </c>
      <c r="AV1382">
        <v>14</v>
      </c>
      <c r="AW1382">
        <v>2.92</v>
      </c>
      <c r="AX1382">
        <v>25</v>
      </c>
      <c r="AY1382">
        <v>38.96</v>
      </c>
      <c r="AZ1382">
        <v>46.45</v>
      </c>
      <c r="BA1382">
        <v>0.93</v>
      </c>
      <c r="BB1382" t="s">
        <v>143</v>
      </c>
      <c r="BF1382">
        <v>-1.21</v>
      </c>
      <c r="BG1382">
        <v>-3.53</v>
      </c>
      <c r="BH1382">
        <v>-3.53</v>
      </c>
      <c r="BI1382">
        <v>0.08</v>
      </c>
      <c r="BJ1382">
        <v>20210913</v>
      </c>
      <c r="BK1382">
        <v>20210128</v>
      </c>
      <c r="BL1382">
        <v>2.16</v>
      </c>
      <c r="BM1382" t="s">
        <v>120</v>
      </c>
      <c r="BN1382" t="s">
        <v>120</v>
      </c>
      <c r="BO1382">
        <v>19.920000000000002</v>
      </c>
      <c r="BP1382">
        <v>12.55</v>
      </c>
      <c r="BQ1382">
        <v>10.96</v>
      </c>
      <c r="BR1382">
        <v>0.16</v>
      </c>
      <c r="BS1382">
        <v>44.15</v>
      </c>
      <c r="BT1382">
        <v>17.190000000000001</v>
      </c>
      <c r="BU1382">
        <v>1.1599999999999999</v>
      </c>
      <c r="BV1382">
        <v>0.41</v>
      </c>
      <c r="BW1382">
        <v>8.49</v>
      </c>
      <c r="BX1382">
        <v>6.02</v>
      </c>
      <c r="BY1382">
        <v>2.15</v>
      </c>
      <c r="BZ1382">
        <v>4.42</v>
      </c>
      <c r="CA1382" t="s">
        <v>120</v>
      </c>
      <c r="CB1382">
        <v>4.1900000000000004</v>
      </c>
      <c r="CC1382">
        <v>5.0599999999999996</v>
      </c>
      <c r="CD1382">
        <v>4.3</v>
      </c>
      <c r="CE1382">
        <v>0.31</v>
      </c>
      <c r="CF1382">
        <v>0.01</v>
      </c>
      <c r="CG1382">
        <v>0.32</v>
      </c>
      <c r="CH1382">
        <v>0.28999999999999998</v>
      </c>
      <c r="CI1382">
        <v>0.28999999999999998</v>
      </c>
      <c r="CJ1382">
        <v>-0.32</v>
      </c>
      <c r="CK1382">
        <v>0.26</v>
      </c>
      <c r="CL1382">
        <v>3.51</v>
      </c>
      <c r="CM1382">
        <v>-1.56</v>
      </c>
      <c r="CN1382">
        <v>-0.65</v>
      </c>
      <c r="CO1382">
        <v>23449</v>
      </c>
      <c r="CP1382">
        <v>2303</v>
      </c>
      <c r="CQ1382" t="s">
        <v>6879</v>
      </c>
      <c r="CR1382">
        <v>67.8</v>
      </c>
      <c r="CS1382">
        <v>107.25</v>
      </c>
      <c r="CT1382">
        <v>2.4700000000000002</v>
      </c>
      <c r="CU1382">
        <v>-17.41</v>
      </c>
      <c r="CV1382">
        <v>5.37</v>
      </c>
      <c r="CW1382">
        <v>0.46</v>
      </c>
      <c r="CX1382" t="s">
        <v>300</v>
      </c>
      <c r="CY1382">
        <v>5.08</v>
      </c>
      <c r="CZ1382">
        <v>0</v>
      </c>
      <c r="DA1382">
        <v>1.94</v>
      </c>
      <c r="DB1382">
        <v>1.62</v>
      </c>
      <c r="DC1382">
        <v>-0.72</v>
      </c>
      <c r="DD1382">
        <v>55.04</v>
      </c>
      <c r="DE1382" t="s">
        <v>3597</v>
      </c>
      <c r="DF1382">
        <v>14.96</v>
      </c>
      <c r="DG1382">
        <v>6.22</v>
      </c>
      <c r="DH1382">
        <v>5.64</v>
      </c>
      <c r="DI1382">
        <v>0.16</v>
      </c>
      <c r="DJ1382">
        <v>668</v>
      </c>
      <c r="DK1382">
        <v>3036</v>
      </c>
      <c r="DL1382" t="s">
        <v>120</v>
      </c>
      <c r="DM1382" t="s">
        <v>120</v>
      </c>
      <c r="DN1382" t="s">
        <v>120</v>
      </c>
    </row>
    <row r="1383" spans="1:118">
      <c r="A1383" t="str">
        <f>"003037"</f>
        <v>003037</v>
      </c>
      <c r="B1383" t="s">
        <v>7348</v>
      </c>
      <c r="C1383">
        <v>-1.07</v>
      </c>
      <c r="D1383">
        <v>-7.0000000000000007E-2</v>
      </c>
      <c r="E1383">
        <v>-0.08</v>
      </c>
      <c r="F1383">
        <v>475</v>
      </c>
      <c r="G1383" t="s">
        <v>7349</v>
      </c>
      <c r="H1383">
        <v>3479.2</v>
      </c>
      <c r="I1383">
        <v>6.04</v>
      </c>
      <c r="J1383" t="s">
        <v>120</v>
      </c>
      <c r="K1383" t="s">
        <v>7349</v>
      </c>
      <c r="L1383">
        <v>3.9</v>
      </c>
      <c r="M1383">
        <v>13</v>
      </c>
      <c r="N1383">
        <v>0.48</v>
      </c>
      <c r="O1383">
        <v>1.45</v>
      </c>
      <c r="P1383">
        <v>13.33</v>
      </c>
      <c r="Q1383">
        <v>-1.45</v>
      </c>
      <c r="R1383">
        <v>12.95</v>
      </c>
      <c r="S1383">
        <v>13.13</v>
      </c>
      <c r="T1383">
        <v>26554</v>
      </c>
      <c r="U1383">
        <v>13.01</v>
      </c>
      <c r="V1383">
        <v>13.14</v>
      </c>
      <c r="W1383">
        <v>42.51</v>
      </c>
      <c r="X1383" t="s">
        <v>653</v>
      </c>
      <c r="Y1383" t="s">
        <v>547</v>
      </c>
      <c r="Z1383">
        <v>2.89</v>
      </c>
      <c r="AA1383">
        <v>13.1</v>
      </c>
      <c r="AB1383">
        <v>16567</v>
      </c>
      <c r="AC1383">
        <v>9987</v>
      </c>
      <c r="AD1383">
        <v>1.66</v>
      </c>
      <c r="AE1383">
        <v>325</v>
      </c>
      <c r="AF1383">
        <v>178</v>
      </c>
      <c r="AG1383" t="s">
        <v>120</v>
      </c>
      <c r="AH1383">
        <v>0.01</v>
      </c>
      <c r="AI1383" t="s">
        <v>120</v>
      </c>
      <c r="AJ1383">
        <v>0.68</v>
      </c>
      <c r="AK1383" t="s">
        <v>2212</v>
      </c>
      <c r="AL1383">
        <v>0.85</v>
      </c>
      <c r="AM1383">
        <v>1315</v>
      </c>
      <c r="AN1383">
        <v>20</v>
      </c>
      <c r="AO1383">
        <v>3.0000000000000001E-3</v>
      </c>
      <c r="AP1383">
        <v>-1</v>
      </c>
      <c r="AQ1383">
        <v>0.46</v>
      </c>
      <c r="AR1383">
        <v>-4.41</v>
      </c>
      <c r="AS1383">
        <v>-4.41</v>
      </c>
      <c r="AT1383">
        <v>-3.77</v>
      </c>
      <c r="AU1383">
        <v>108.03</v>
      </c>
      <c r="AV1383">
        <v>10</v>
      </c>
      <c r="AW1383">
        <v>3.9</v>
      </c>
      <c r="AX1383">
        <v>13.5</v>
      </c>
      <c r="AY1383">
        <v>25.56</v>
      </c>
      <c r="AZ1383">
        <v>20.02</v>
      </c>
      <c r="BA1383">
        <v>0.62</v>
      </c>
      <c r="BB1383" t="s">
        <v>143</v>
      </c>
      <c r="BF1383">
        <v>-0.28000000000000003</v>
      </c>
      <c r="BG1383">
        <v>-0.99</v>
      </c>
      <c r="BH1383">
        <v>-2.48</v>
      </c>
      <c r="BI1383">
        <v>0.39</v>
      </c>
      <c r="BJ1383">
        <v>20210906</v>
      </c>
      <c r="BK1383">
        <v>20210204</v>
      </c>
      <c r="BL1383">
        <v>5.04</v>
      </c>
      <c r="BM1383" t="s">
        <v>120</v>
      </c>
      <c r="BN1383" t="s">
        <v>120</v>
      </c>
      <c r="BO1383">
        <v>48.78</v>
      </c>
      <c r="BP1383">
        <v>13</v>
      </c>
      <c r="BQ1383">
        <v>16.899999999999999</v>
      </c>
      <c r="BR1383">
        <v>0.13</v>
      </c>
      <c r="BS1383">
        <v>65.099999999999994</v>
      </c>
      <c r="BT1383">
        <v>29.57</v>
      </c>
      <c r="BU1383">
        <v>10.73</v>
      </c>
      <c r="BV1383">
        <v>3.09</v>
      </c>
      <c r="BW1383">
        <v>29.64</v>
      </c>
      <c r="BX1383">
        <v>10.9</v>
      </c>
      <c r="BY1383">
        <v>6.12</v>
      </c>
      <c r="BZ1383">
        <v>4.55</v>
      </c>
      <c r="CA1383" t="s">
        <v>120</v>
      </c>
      <c r="CB1383">
        <v>6.03</v>
      </c>
      <c r="CC1383">
        <v>42</v>
      </c>
      <c r="CD1383">
        <v>35.659999999999997</v>
      </c>
      <c r="CE1383">
        <v>0.94</v>
      </c>
      <c r="CF1383">
        <v>0</v>
      </c>
      <c r="CG1383">
        <v>0.97</v>
      </c>
      <c r="CH1383">
        <v>0.76</v>
      </c>
      <c r="CI1383">
        <v>0.77</v>
      </c>
      <c r="CJ1383">
        <v>-0.14000000000000001</v>
      </c>
      <c r="CK1383">
        <v>0.59</v>
      </c>
      <c r="CL1383">
        <v>4.79</v>
      </c>
      <c r="CM1383">
        <v>-2.17</v>
      </c>
      <c r="CN1383">
        <v>-1.22</v>
      </c>
      <c r="CO1383">
        <v>29140</v>
      </c>
      <c r="CP1383">
        <v>2334</v>
      </c>
      <c r="CQ1383" t="s">
        <v>5738</v>
      </c>
      <c r="CR1383">
        <v>-48.19</v>
      </c>
      <c r="CS1383">
        <v>44.9</v>
      </c>
      <c r="CT1383">
        <v>3.88</v>
      </c>
      <c r="CU1383">
        <v>-30.16</v>
      </c>
      <c r="CV1383">
        <v>1.56</v>
      </c>
      <c r="CW1383">
        <v>1</v>
      </c>
      <c r="CX1383" t="s">
        <v>1091</v>
      </c>
      <c r="CY1383">
        <v>3.35</v>
      </c>
      <c r="CZ1383">
        <v>0</v>
      </c>
      <c r="DA1383">
        <v>1.2</v>
      </c>
      <c r="DB1383">
        <v>0.95</v>
      </c>
      <c r="DC1383">
        <v>-0.43</v>
      </c>
      <c r="DD1383">
        <v>34.64</v>
      </c>
      <c r="DE1383" t="s">
        <v>5919</v>
      </c>
      <c r="DF1383">
        <v>15.09</v>
      </c>
      <c r="DG1383">
        <v>2.25</v>
      </c>
      <c r="DH1383">
        <v>1.83</v>
      </c>
      <c r="DI1383">
        <v>0.28999999999999998</v>
      </c>
      <c r="DJ1383">
        <v>5501</v>
      </c>
      <c r="DK1383">
        <v>3037</v>
      </c>
      <c r="DL1383" t="s">
        <v>120</v>
      </c>
      <c r="DM1383" t="s">
        <v>120</v>
      </c>
      <c r="DN1383" t="s">
        <v>120</v>
      </c>
    </row>
    <row r="1384" spans="1:118">
      <c r="A1384" t="str">
        <f>"003038"</f>
        <v>003038</v>
      </c>
      <c r="B1384" t="s">
        <v>7350</v>
      </c>
      <c r="C1384">
        <v>-3.99</v>
      </c>
      <c r="D1384">
        <v>0</v>
      </c>
      <c r="E1384">
        <v>-1.23</v>
      </c>
      <c r="F1384">
        <v>167</v>
      </c>
      <c r="G1384" t="s">
        <v>7351</v>
      </c>
      <c r="H1384">
        <v>14760.15</v>
      </c>
      <c r="I1384">
        <v>65.52</v>
      </c>
      <c r="J1384" t="s">
        <v>120</v>
      </c>
      <c r="K1384" t="s">
        <v>7351</v>
      </c>
      <c r="L1384">
        <v>10.55</v>
      </c>
      <c r="M1384">
        <v>50.55</v>
      </c>
      <c r="N1384">
        <v>1.3</v>
      </c>
      <c r="O1384">
        <v>5.75</v>
      </c>
      <c r="P1384">
        <v>55.68</v>
      </c>
      <c r="Q1384">
        <v>-4.9400000000000004</v>
      </c>
      <c r="R1384">
        <v>50.05</v>
      </c>
      <c r="S1384">
        <v>52</v>
      </c>
      <c r="T1384">
        <v>28072</v>
      </c>
      <c r="U1384">
        <v>50.6</v>
      </c>
      <c r="V1384">
        <v>52.65</v>
      </c>
      <c r="W1384">
        <v>48.51</v>
      </c>
      <c r="X1384" t="s">
        <v>1325</v>
      </c>
      <c r="Y1384" t="s">
        <v>570</v>
      </c>
      <c r="Z1384">
        <v>10.69</v>
      </c>
      <c r="AA1384">
        <v>52.58</v>
      </c>
      <c r="AB1384">
        <v>15010</v>
      </c>
      <c r="AC1384">
        <v>13062</v>
      </c>
      <c r="AD1384">
        <v>1.1499999999999999</v>
      </c>
      <c r="AE1384">
        <v>4</v>
      </c>
      <c r="AF1384">
        <v>102</v>
      </c>
      <c r="AG1384" t="s">
        <v>120</v>
      </c>
      <c r="AH1384">
        <v>0.05</v>
      </c>
      <c r="AI1384" t="s">
        <v>120</v>
      </c>
      <c r="AJ1384">
        <v>0.27</v>
      </c>
      <c r="AK1384" t="s">
        <v>7352</v>
      </c>
      <c r="AL1384">
        <v>-2.0699999999999998</v>
      </c>
      <c r="AM1384">
        <v>2867</v>
      </c>
      <c r="AN1384">
        <v>10</v>
      </c>
      <c r="AO1384">
        <v>3.7000000000000002E-3</v>
      </c>
      <c r="AP1384">
        <v>-7</v>
      </c>
      <c r="AQ1384">
        <v>-1.9</v>
      </c>
      <c r="AR1384">
        <v>-8.2200000000000006</v>
      </c>
      <c r="AS1384">
        <v>23.68</v>
      </c>
      <c r="AT1384">
        <v>75.52</v>
      </c>
      <c r="AU1384">
        <v>179.59</v>
      </c>
      <c r="AV1384">
        <v>14</v>
      </c>
      <c r="AW1384">
        <v>10.55</v>
      </c>
      <c r="AX1384">
        <v>25</v>
      </c>
      <c r="AY1384">
        <v>50.29</v>
      </c>
      <c r="AZ1384">
        <v>61.6</v>
      </c>
      <c r="BA1384">
        <v>0.28000000000000003</v>
      </c>
      <c r="BB1384" t="s">
        <v>143</v>
      </c>
      <c r="BF1384">
        <v>-0.14000000000000001</v>
      </c>
      <c r="BG1384">
        <v>-2.79</v>
      </c>
      <c r="BH1384">
        <v>-9.2100000000000009</v>
      </c>
      <c r="BI1384">
        <v>1</v>
      </c>
      <c r="BJ1384">
        <v>20210910</v>
      </c>
      <c r="BK1384">
        <v>20210210</v>
      </c>
      <c r="BL1384">
        <v>1.06</v>
      </c>
      <c r="BM1384" t="s">
        <v>120</v>
      </c>
      <c r="BN1384" t="s">
        <v>120</v>
      </c>
      <c r="BO1384">
        <v>15.34</v>
      </c>
      <c r="BP1384">
        <v>50.55</v>
      </c>
      <c r="BQ1384">
        <v>8.9</v>
      </c>
      <c r="BR1384" t="s">
        <v>120</v>
      </c>
      <c r="BS1384">
        <v>41.97</v>
      </c>
      <c r="BT1384">
        <v>9.5</v>
      </c>
      <c r="BU1384">
        <v>3.04</v>
      </c>
      <c r="BV1384">
        <v>0.3</v>
      </c>
      <c r="BW1384">
        <v>5.65</v>
      </c>
      <c r="BX1384">
        <v>2.5</v>
      </c>
      <c r="BY1384">
        <v>1.44</v>
      </c>
      <c r="BZ1384">
        <v>4.3</v>
      </c>
      <c r="CA1384" t="s">
        <v>120</v>
      </c>
      <c r="CB1384">
        <v>5.43</v>
      </c>
      <c r="CC1384">
        <v>10.050000000000001</v>
      </c>
      <c r="CD1384">
        <v>8.49</v>
      </c>
      <c r="CE1384">
        <v>0.5</v>
      </c>
      <c r="CF1384">
        <v>0</v>
      </c>
      <c r="CG1384">
        <v>0.6</v>
      </c>
      <c r="CH1384">
        <v>0.55000000000000004</v>
      </c>
      <c r="CI1384">
        <v>0.55000000000000004</v>
      </c>
      <c r="CJ1384">
        <v>-2.1</v>
      </c>
      <c r="CK1384">
        <v>0.45</v>
      </c>
      <c r="CL1384">
        <v>2.2999999999999998</v>
      </c>
      <c r="CM1384">
        <v>-2.1</v>
      </c>
      <c r="CN1384">
        <v>1.05</v>
      </c>
      <c r="CO1384">
        <v>16686</v>
      </c>
      <c r="CP1384">
        <v>1595</v>
      </c>
      <c r="CQ1384" t="s">
        <v>519</v>
      </c>
      <c r="CR1384">
        <v>0</v>
      </c>
      <c r="CS1384">
        <v>0</v>
      </c>
      <c r="CT1384">
        <v>6.04</v>
      </c>
      <c r="CU1384">
        <v>-25.58</v>
      </c>
      <c r="CV1384">
        <v>5.35</v>
      </c>
      <c r="CW1384">
        <v>0</v>
      </c>
      <c r="CX1384" t="s">
        <v>1881</v>
      </c>
      <c r="CY1384">
        <v>8.3699999999999992</v>
      </c>
      <c r="CZ1384">
        <v>0</v>
      </c>
      <c r="DA1384">
        <v>5.0999999999999996</v>
      </c>
      <c r="DB1384">
        <v>2.16</v>
      </c>
      <c r="DC1384">
        <v>-1.98</v>
      </c>
      <c r="DD1384">
        <v>58.03</v>
      </c>
      <c r="DE1384" t="s">
        <v>3273</v>
      </c>
      <c r="DF1384">
        <v>15.48</v>
      </c>
      <c r="DG1384">
        <v>4.93</v>
      </c>
      <c r="DH1384">
        <v>5.52</v>
      </c>
      <c r="DI1384">
        <v>0.52</v>
      </c>
      <c r="DJ1384">
        <v>1412</v>
      </c>
      <c r="DK1384">
        <v>3038</v>
      </c>
      <c r="DL1384">
        <v>20210721</v>
      </c>
      <c r="DM1384">
        <v>37.39</v>
      </c>
      <c r="DN1384">
        <v>35.200000000000003</v>
      </c>
    </row>
    <row r="1385" spans="1:118">
      <c r="A1385" t="str">
        <f>"003039"</f>
        <v>003039</v>
      </c>
      <c r="B1385" t="s">
        <v>7353</v>
      </c>
      <c r="C1385">
        <v>-3.33</v>
      </c>
      <c r="D1385">
        <v>0</v>
      </c>
      <c r="E1385">
        <v>-0.18</v>
      </c>
      <c r="F1385">
        <v>1010</v>
      </c>
      <c r="G1385" t="s">
        <v>3984</v>
      </c>
      <c r="H1385">
        <v>16179.83</v>
      </c>
      <c r="I1385">
        <v>23.95</v>
      </c>
      <c r="J1385" t="s">
        <v>120</v>
      </c>
      <c r="K1385" t="s">
        <v>3984</v>
      </c>
      <c r="L1385">
        <v>8</v>
      </c>
      <c r="M1385">
        <v>32.21</v>
      </c>
      <c r="N1385">
        <v>0.47</v>
      </c>
      <c r="O1385">
        <v>0.84</v>
      </c>
      <c r="P1385">
        <v>33.6</v>
      </c>
      <c r="Q1385">
        <v>-3.36</v>
      </c>
      <c r="R1385">
        <v>32.200000000000003</v>
      </c>
      <c r="S1385">
        <v>33.26</v>
      </c>
      <c r="T1385">
        <v>49581</v>
      </c>
      <c r="U1385">
        <v>32.22</v>
      </c>
      <c r="V1385">
        <v>33.32</v>
      </c>
      <c r="W1385">
        <v>90.39</v>
      </c>
      <c r="X1385" t="s">
        <v>1271</v>
      </c>
      <c r="Y1385" t="s">
        <v>547</v>
      </c>
      <c r="Z1385">
        <v>4.2</v>
      </c>
      <c r="AA1385">
        <v>32.630000000000003</v>
      </c>
      <c r="AB1385">
        <v>31165</v>
      </c>
      <c r="AC1385">
        <v>18416</v>
      </c>
      <c r="AD1385">
        <v>1.69</v>
      </c>
      <c r="AE1385">
        <v>374</v>
      </c>
      <c r="AF1385">
        <v>1</v>
      </c>
      <c r="AG1385" t="s">
        <v>120</v>
      </c>
      <c r="AH1385">
        <v>0.01</v>
      </c>
      <c r="AI1385" t="s">
        <v>120</v>
      </c>
      <c r="AJ1385">
        <v>0.62</v>
      </c>
      <c r="AK1385" t="s">
        <v>7354</v>
      </c>
      <c r="AL1385">
        <v>-1.42</v>
      </c>
      <c r="AM1385">
        <v>3192</v>
      </c>
      <c r="AN1385">
        <v>16</v>
      </c>
      <c r="AO1385">
        <v>2.5000000000000001E-3</v>
      </c>
      <c r="AP1385">
        <v>-1</v>
      </c>
      <c r="AQ1385">
        <v>1.22</v>
      </c>
      <c r="AR1385">
        <v>-5.54</v>
      </c>
      <c r="AS1385">
        <v>-13.46</v>
      </c>
      <c r="AT1385">
        <v>-25.46</v>
      </c>
      <c r="AU1385">
        <v>461.54</v>
      </c>
      <c r="AV1385">
        <v>24</v>
      </c>
      <c r="AW1385">
        <v>8</v>
      </c>
      <c r="AX1385">
        <v>10.039999999999999</v>
      </c>
      <c r="AY1385">
        <v>73.27</v>
      </c>
      <c r="AZ1385">
        <v>76.790000000000006</v>
      </c>
      <c r="BA1385">
        <v>0.73</v>
      </c>
      <c r="BB1385" t="s">
        <v>143</v>
      </c>
      <c r="BF1385">
        <v>-2.06</v>
      </c>
      <c r="BG1385">
        <v>-3.16</v>
      </c>
      <c r="BH1385">
        <v>-4.1399999999999997</v>
      </c>
      <c r="BI1385">
        <v>0.03</v>
      </c>
      <c r="BJ1385">
        <v>20210824</v>
      </c>
      <c r="BK1385">
        <v>20210308</v>
      </c>
      <c r="BL1385">
        <v>6.18</v>
      </c>
      <c r="BM1385" t="s">
        <v>120</v>
      </c>
      <c r="BN1385" t="s">
        <v>120</v>
      </c>
      <c r="BO1385">
        <v>43.84</v>
      </c>
      <c r="BP1385">
        <v>32.21</v>
      </c>
      <c r="BQ1385">
        <v>20.77</v>
      </c>
      <c r="BR1385">
        <v>5.57</v>
      </c>
      <c r="BS1385">
        <v>39.92</v>
      </c>
      <c r="BT1385">
        <v>11.13</v>
      </c>
      <c r="BU1385">
        <v>12.66</v>
      </c>
      <c r="BV1385">
        <v>16.329999999999998</v>
      </c>
      <c r="BW1385">
        <v>10.82</v>
      </c>
      <c r="BX1385">
        <v>8.65</v>
      </c>
      <c r="BY1385">
        <v>0.43</v>
      </c>
      <c r="BZ1385">
        <v>1.3</v>
      </c>
      <c r="CA1385" t="s">
        <v>120</v>
      </c>
      <c r="CB1385">
        <v>5.49</v>
      </c>
      <c r="CC1385">
        <v>6.25</v>
      </c>
      <c r="CD1385">
        <v>3.28</v>
      </c>
      <c r="CE1385">
        <v>1.83</v>
      </c>
      <c r="CF1385">
        <v>0</v>
      </c>
      <c r="CG1385">
        <v>1.84</v>
      </c>
      <c r="CH1385">
        <v>1.61</v>
      </c>
      <c r="CI1385">
        <v>1.1000000000000001</v>
      </c>
      <c r="CJ1385">
        <v>-1.1100000000000001</v>
      </c>
      <c r="CK1385">
        <v>1.07</v>
      </c>
      <c r="CL1385">
        <v>8.33</v>
      </c>
      <c r="CM1385">
        <v>2.61</v>
      </c>
      <c r="CN1385">
        <v>-0.22</v>
      </c>
      <c r="CO1385">
        <v>56043</v>
      </c>
      <c r="CP1385">
        <v>1106</v>
      </c>
      <c r="CQ1385" t="s">
        <v>7355</v>
      </c>
      <c r="CR1385">
        <v>13.27</v>
      </c>
      <c r="CS1385">
        <v>13.07</v>
      </c>
      <c r="CT1385">
        <v>9.58</v>
      </c>
      <c r="CU1385">
        <v>76.349999999999994</v>
      </c>
      <c r="CV1385">
        <v>31.84</v>
      </c>
      <c r="CW1385">
        <v>0.37</v>
      </c>
      <c r="CX1385" t="s">
        <v>442</v>
      </c>
      <c r="CY1385">
        <v>3.36</v>
      </c>
      <c r="CZ1385">
        <v>0</v>
      </c>
      <c r="DA1385">
        <v>0.89</v>
      </c>
      <c r="DB1385">
        <v>1.35</v>
      </c>
      <c r="DC1385">
        <v>0.42</v>
      </c>
      <c r="DD1385">
        <v>47.37</v>
      </c>
      <c r="DE1385" t="s">
        <v>7356</v>
      </c>
      <c r="DF1385">
        <v>47.47</v>
      </c>
      <c r="DG1385">
        <v>29.28</v>
      </c>
      <c r="DH1385">
        <v>17.62</v>
      </c>
      <c r="DI1385">
        <v>0.04</v>
      </c>
      <c r="DJ1385">
        <v>1378</v>
      </c>
      <c r="DK1385">
        <v>3039</v>
      </c>
      <c r="DL1385" t="s">
        <v>120</v>
      </c>
      <c r="DM1385" t="s">
        <v>120</v>
      </c>
      <c r="DN1385" t="s">
        <v>120</v>
      </c>
    </row>
    <row r="1386" spans="1:118">
      <c r="A1386" t="str">
        <f>"003040"</f>
        <v>003040</v>
      </c>
      <c r="B1386" t="s">
        <v>7357</v>
      </c>
      <c r="C1386">
        <v>-1.95</v>
      </c>
      <c r="D1386">
        <v>-0.15</v>
      </c>
      <c r="E1386">
        <v>-1.83</v>
      </c>
      <c r="F1386">
        <v>932</v>
      </c>
      <c r="G1386" t="s">
        <v>7358</v>
      </c>
      <c r="H1386">
        <v>14843.45</v>
      </c>
      <c r="I1386">
        <v>108.97</v>
      </c>
      <c r="J1386" t="s">
        <v>120</v>
      </c>
      <c r="K1386" t="s">
        <v>7358</v>
      </c>
      <c r="L1386">
        <v>7.31</v>
      </c>
      <c r="M1386">
        <v>25.67</v>
      </c>
      <c r="N1386">
        <v>0.67</v>
      </c>
      <c r="O1386">
        <v>1.07</v>
      </c>
      <c r="P1386">
        <v>26.46</v>
      </c>
      <c r="Q1386">
        <v>-2.6</v>
      </c>
      <c r="R1386">
        <v>25.5</v>
      </c>
      <c r="S1386">
        <v>25.7</v>
      </c>
      <c r="T1386">
        <v>57308</v>
      </c>
      <c r="U1386">
        <v>25.67</v>
      </c>
      <c r="V1386">
        <v>26.18</v>
      </c>
      <c r="W1386">
        <v>240.09</v>
      </c>
      <c r="X1386" t="s">
        <v>229</v>
      </c>
      <c r="Y1386" t="s">
        <v>547</v>
      </c>
      <c r="Z1386">
        <v>3.67</v>
      </c>
      <c r="AA1386">
        <v>25.9</v>
      </c>
      <c r="AB1386">
        <v>33146</v>
      </c>
      <c r="AC1386">
        <v>24162</v>
      </c>
      <c r="AD1386">
        <v>1.37</v>
      </c>
      <c r="AE1386">
        <v>34</v>
      </c>
      <c r="AF1386">
        <v>228</v>
      </c>
      <c r="AG1386" t="s">
        <v>120</v>
      </c>
      <c r="AH1386">
        <v>0.05</v>
      </c>
      <c r="AI1386" t="s">
        <v>120</v>
      </c>
      <c r="AJ1386">
        <v>0.78</v>
      </c>
      <c r="AK1386" t="s">
        <v>5827</v>
      </c>
      <c r="AL1386">
        <v>-0.03</v>
      </c>
      <c r="AM1386">
        <v>2861</v>
      </c>
      <c r="AN1386">
        <v>20</v>
      </c>
      <c r="AO1386">
        <v>2.5999999999999999E-3</v>
      </c>
      <c r="AP1386">
        <v>-1</v>
      </c>
      <c r="AQ1386">
        <v>1.32</v>
      </c>
      <c r="AR1386">
        <v>-0.15</v>
      </c>
      <c r="AS1386">
        <v>-5.17</v>
      </c>
      <c r="AT1386">
        <v>-12.03</v>
      </c>
      <c r="AU1386">
        <v>465.42</v>
      </c>
      <c r="AV1386">
        <v>11</v>
      </c>
      <c r="AW1386">
        <v>7.31</v>
      </c>
      <c r="AX1386">
        <v>17</v>
      </c>
      <c r="AY1386">
        <v>128.4</v>
      </c>
      <c r="AZ1386">
        <v>115.88</v>
      </c>
      <c r="BA1386">
        <v>1.64</v>
      </c>
      <c r="BB1386" t="s">
        <v>240</v>
      </c>
      <c r="BF1386">
        <v>-1.07</v>
      </c>
      <c r="BG1386">
        <v>-0.12</v>
      </c>
      <c r="BH1386">
        <v>-2.99</v>
      </c>
      <c r="BI1386">
        <v>0.67</v>
      </c>
      <c r="BJ1386">
        <v>20210828</v>
      </c>
      <c r="BK1386">
        <v>20210322</v>
      </c>
      <c r="BL1386">
        <v>4.6100000000000003</v>
      </c>
      <c r="BM1386" t="s">
        <v>120</v>
      </c>
      <c r="BN1386" t="s">
        <v>120</v>
      </c>
      <c r="BO1386">
        <v>20.56</v>
      </c>
      <c r="BP1386">
        <v>25.66</v>
      </c>
      <c r="BQ1386">
        <v>13.44</v>
      </c>
      <c r="BR1386">
        <v>-0.04</v>
      </c>
      <c r="BS1386">
        <v>34.82</v>
      </c>
      <c r="BT1386">
        <v>18.190000000000001</v>
      </c>
      <c r="BU1386">
        <v>1.63</v>
      </c>
      <c r="BV1386">
        <v>0.43</v>
      </c>
      <c r="BW1386">
        <v>6.85</v>
      </c>
      <c r="BX1386">
        <v>4.5199999999999996</v>
      </c>
      <c r="BY1386">
        <v>3.27</v>
      </c>
      <c r="BZ1386">
        <v>6.56</v>
      </c>
      <c r="CA1386" t="s">
        <v>120</v>
      </c>
      <c r="CB1386">
        <v>7.53</v>
      </c>
      <c r="CC1386">
        <v>4.9000000000000004</v>
      </c>
      <c r="CD1386">
        <v>3.44</v>
      </c>
      <c r="CE1386">
        <v>0.24</v>
      </c>
      <c r="CF1386">
        <v>0.02</v>
      </c>
      <c r="CG1386">
        <v>0.25</v>
      </c>
      <c r="CH1386">
        <v>0.24</v>
      </c>
      <c r="CI1386">
        <v>0.25</v>
      </c>
      <c r="CJ1386">
        <v>-0.51</v>
      </c>
      <c r="CK1386">
        <v>0.21</v>
      </c>
      <c r="CL1386">
        <v>1.06</v>
      </c>
      <c r="CM1386">
        <v>-3.04</v>
      </c>
      <c r="CN1386">
        <v>-2.76</v>
      </c>
      <c r="CO1386">
        <v>60322</v>
      </c>
      <c r="CP1386">
        <v>1300</v>
      </c>
      <c r="CQ1386" t="s">
        <v>6890</v>
      </c>
      <c r="CR1386">
        <v>-29.18</v>
      </c>
      <c r="CS1386">
        <v>6.37</v>
      </c>
      <c r="CT1386">
        <v>8.81</v>
      </c>
      <c r="CU1386">
        <v>-38.96</v>
      </c>
      <c r="CV1386">
        <v>24.15</v>
      </c>
      <c r="CW1386">
        <v>0.31</v>
      </c>
      <c r="CX1386" t="s">
        <v>1064</v>
      </c>
      <c r="CY1386">
        <v>2.91</v>
      </c>
      <c r="CZ1386">
        <v>0</v>
      </c>
      <c r="DA1386">
        <v>1.63</v>
      </c>
      <c r="DB1386">
        <v>0.23</v>
      </c>
      <c r="DC1386">
        <v>-0.66</v>
      </c>
      <c r="DD1386">
        <v>65.349999999999994</v>
      </c>
      <c r="DE1386" t="s">
        <v>7359</v>
      </c>
      <c r="DF1386">
        <v>29.84</v>
      </c>
      <c r="DG1386">
        <v>4.9400000000000004</v>
      </c>
      <c r="DH1386">
        <v>5.03</v>
      </c>
      <c r="DI1386">
        <v>0.42</v>
      </c>
      <c r="DJ1386">
        <v>1513</v>
      </c>
      <c r="DK1386">
        <v>3040</v>
      </c>
      <c r="DL1386" t="s">
        <v>120</v>
      </c>
      <c r="DM1386" t="s">
        <v>120</v>
      </c>
      <c r="DN1386" t="s">
        <v>120</v>
      </c>
    </row>
    <row r="1387" spans="1:118">
      <c r="A1387" t="str">
        <f>"003041"</f>
        <v>003041</v>
      </c>
      <c r="B1387" t="s">
        <v>7360</v>
      </c>
      <c r="C1387">
        <v>0.09</v>
      </c>
      <c r="D1387">
        <v>0.04</v>
      </c>
      <c r="E1387">
        <v>0.04</v>
      </c>
      <c r="F1387">
        <v>131</v>
      </c>
      <c r="G1387" t="s">
        <v>7361</v>
      </c>
      <c r="H1387">
        <v>1402.14</v>
      </c>
      <c r="I1387">
        <v>6.5</v>
      </c>
      <c r="J1387" t="s">
        <v>120</v>
      </c>
      <c r="K1387" t="s">
        <v>7361</v>
      </c>
      <c r="L1387">
        <v>2.4</v>
      </c>
      <c r="M1387">
        <v>23.23</v>
      </c>
      <c r="N1387">
        <v>0.56999999999999995</v>
      </c>
      <c r="O1387">
        <v>1.25</v>
      </c>
      <c r="P1387">
        <v>23.5</v>
      </c>
      <c r="Q1387">
        <v>0</v>
      </c>
      <c r="R1387">
        <v>23.21</v>
      </c>
      <c r="S1387">
        <v>23.22</v>
      </c>
      <c r="T1387">
        <v>6007</v>
      </c>
      <c r="U1387">
        <v>23.23</v>
      </c>
      <c r="V1387">
        <v>23.21</v>
      </c>
      <c r="W1387">
        <v>27.29</v>
      </c>
      <c r="X1387" t="s">
        <v>1766</v>
      </c>
      <c r="Y1387" t="s">
        <v>585</v>
      </c>
      <c r="Z1387">
        <v>1.25</v>
      </c>
      <c r="AA1387">
        <v>23.34</v>
      </c>
      <c r="AB1387">
        <v>3280</v>
      </c>
      <c r="AC1387">
        <v>2727</v>
      </c>
      <c r="AD1387">
        <v>1.2</v>
      </c>
      <c r="AE1387">
        <v>7</v>
      </c>
      <c r="AF1387">
        <v>59</v>
      </c>
      <c r="AG1387" t="s">
        <v>120</v>
      </c>
      <c r="AH1387">
        <v>0.01</v>
      </c>
      <c r="AI1387" t="s">
        <v>120</v>
      </c>
      <c r="AJ1387">
        <v>0.25</v>
      </c>
      <c r="AK1387" t="s">
        <v>7362</v>
      </c>
      <c r="AL1387">
        <v>2</v>
      </c>
      <c r="AM1387">
        <v>740</v>
      </c>
      <c r="AN1387">
        <v>8</v>
      </c>
      <c r="AO1387">
        <v>3.2000000000000002E-3</v>
      </c>
      <c r="AP1387">
        <v>1</v>
      </c>
      <c r="AQ1387">
        <v>-0.64</v>
      </c>
      <c r="AR1387">
        <v>-1.78</v>
      </c>
      <c r="AS1387">
        <v>-2.3199999999999998</v>
      </c>
      <c r="AT1387">
        <v>-20.03</v>
      </c>
      <c r="AU1387">
        <v>29.05</v>
      </c>
      <c r="AV1387">
        <v>3</v>
      </c>
      <c r="AW1387">
        <v>2.4</v>
      </c>
      <c r="AX1387">
        <v>25</v>
      </c>
      <c r="AY1387">
        <v>18.260000000000002</v>
      </c>
      <c r="AZ1387">
        <v>19.07</v>
      </c>
      <c r="BA1387">
        <v>0.57999999999999996</v>
      </c>
      <c r="BB1387" t="s">
        <v>240</v>
      </c>
      <c r="BF1387">
        <v>0.56999999999999995</v>
      </c>
      <c r="BG1387">
        <v>0.04</v>
      </c>
      <c r="BH1387">
        <v>-1.1499999999999999</v>
      </c>
      <c r="BI1387">
        <v>0.09</v>
      </c>
      <c r="BJ1387">
        <v>20210914</v>
      </c>
      <c r="BK1387">
        <v>20210406</v>
      </c>
      <c r="BL1387">
        <v>1</v>
      </c>
      <c r="BM1387" t="s">
        <v>120</v>
      </c>
      <c r="BN1387" t="s">
        <v>120</v>
      </c>
      <c r="BO1387">
        <v>12.81</v>
      </c>
      <c r="BP1387">
        <v>23.22</v>
      </c>
      <c r="BQ1387">
        <v>10.67</v>
      </c>
      <c r="BR1387" t="s">
        <v>120</v>
      </c>
      <c r="BS1387">
        <v>16.670000000000002</v>
      </c>
      <c r="BT1387">
        <v>8.65</v>
      </c>
      <c r="BU1387">
        <v>1.74</v>
      </c>
      <c r="BV1387">
        <v>0.53</v>
      </c>
      <c r="BW1387">
        <v>1.81</v>
      </c>
      <c r="BX1387">
        <v>1.72</v>
      </c>
      <c r="BY1387">
        <v>2.19</v>
      </c>
      <c r="BZ1387">
        <v>1.05</v>
      </c>
      <c r="CA1387" t="s">
        <v>120</v>
      </c>
      <c r="CB1387">
        <v>4.4000000000000004</v>
      </c>
      <c r="CC1387">
        <v>3.49</v>
      </c>
      <c r="CD1387">
        <v>2.58</v>
      </c>
      <c r="CE1387">
        <v>0.46</v>
      </c>
      <c r="CF1387">
        <v>0.01</v>
      </c>
      <c r="CG1387">
        <v>0.47</v>
      </c>
      <c r="CH1387">
        <v>0.43</v>
      </c>
      <c r="CI1387">
        <v>0.43</v>
      </c>
      <c r="CJ1387">
        <v>0.02</v>
      </c>
      <c r="CK1387">
        <v>0.41</v>
      </c>
      <c r="CL1387">
        <v>5.1100000000000003</v>
      </c>
      <c r="CM1387">
        <v>-0.53</v>
      </c>
      <c r="CN1387">
        <v>-1.02</v>
      </c>
      <c r="CO1387">
        <v>15176</v>
      </c>
      <c r="CP1387">
        <v>1647</v>
      </c>
      <c r="CQ1387" t="s">
        <v>3176</v>
      </c>
      <c r="CR1387">
        <v>14.53</v>
      </c>
      <c r="CS1387">
        <v>10.58</v>
      </c>
      <c r="CT1387">
        <v>2.1800000000000002</v>
      </c>
      <c r="CU1387">
        <v>-43.82</v>
      </c>
      <c r="CV1387">
        <v>6.66</v>
      </c>
      <c r="CW1387">
        <v>0</v>
      </c>
      <c r="CX1387" t="s">
        <v>648</v>
      </c>
      <c r="CY1387">
        <v>10.67</v>
      </c>
      <c r="CZ1387">
        <v>0</v>
      </c>
      <c r="DA1387">
        <v>4.4000000000000004</v>
      </c>
      <c r="DB1387">
        <v>5.1100000000000003</v>
      </c>
      <c r="DC1387">
        <v>-0.53</v>
      </c>
      <c r="DD1387">
        <v>83.33</v>
      </c>
      <c r="DE1387" t="s">
        <v>7363</v>
      </c>
      <c r="DF1387">
        <v>25.92</v>
      </c>
      <c r="DG1387">
        <v>13.14</v>
      </c>
      <c r="DH1387">
        <v>12.2</v>
      </c>
      <c r="DI1387">
        <v>0.16</v>
      </c>
      <c r="DJ1387">
        <v>1656</v>
      </c>
      <c r="DK1387">
        <v>3041</v>
      </c>
      <c r="DL1387" t="s">
        <v>120</v>
      </c>
      <c r="DM1387" t="s">
        <v>120</v>
      </c>
      <c r="DN1387" t="s">
        <v>120</v>
      </c>
    </row>
    <row r="1388" spans="1:118">
      <c r="A1388" t="str">
        <f>"003042"</f>
        <v>003042</v>
      </c>
      <c r="B1388" t="s">
        <v>7364</v>
      </c>
      <c r="C1388">
        <v>1.81</v>
      </c>
      <c r="D1388">
        <v>0</v>
      </c>
      <c r="E1388">
        <v>0.08</v>
      </c>
      <c r="F1388">
        <v>446</v>
      </c>
      <c r="G1388" t="s">
        <v>7365</v>
      </c>
      <c r="H1388">
        <v>5426.49</v>
      </c>
      <c r="I1388">
        <v>7.28</v>
      </c>
      <c r="J1388" t="s">
        <v>120</v>
      </c>
      <c r="K1388" t="s">
        <v>7365</v>
      </c>
      <c r="L1388">
        <v>7.46</v>
      </c>
      <c r="M1388">
        <v>26.45</v>
      </c>
      <c r="N1388">
        <v>1.2</v>
      </c>
      <c r="O1388">
        <v>3.54</v>
      </c>
      <c r="P1388">
        <v>26.9</v>
      </c>
      <c r="Q1388">
        <v>0.08</v>
      </c>
      <c r="R1388">
        <v>26</v>
      </c>
      <c r="S1388">
        <v>26</v>
      </c>
      <c r="T1388">
        <v>20447</v>
      </c>
      <c r="U1388">
        <v>26.45</v>
      </c>
      <c r="V1388">
        <v>25.98</v>
      </c>
      <c r="W1388">
        <v>64.78</v>
      </c>
      <c r="X1388" t="s">
        <v>690</v>
      </c>
      <c r="Y1388" t="s">
        <v>638</v>
      </c>
      <c r="Z1388">
        <v>3.46</v>
      </c>
      <c r="AA1388">
        <v>26.54</v>
      </c>
      <c r="AB1388">
        <v>9698</v>
      </c>
      <c r="AC1388">
        <v>10749</v>
      </c>
      <c r="AD1388">
        <v>0.9</v>
      </c>
      <c r="AE1388">
        <v>26</v>
      </c>
      <c r="AF1388">
        <v>148</v>
      </c>
      <c r="AG1388" t="s">
        <v>120</v>
      </c>
      <c r="AH1388">
        <v>0.01</v>
      </c>
      <c r="AI1388" t="s">
        <v>120</v>
      </c>
      <c r="AJ1388">
        <v>0.27</v>
      </c>
      <c r="AK1388" t="s">
        <v>6158</v>
      </c>
      <c r="AL1388">
        <v>3.72</v>
      </c>
      <c r="AM1388">
        <v>1648</v>
      </c>
      <c r="AN1388">
        <v>12</v>
      </c>
      <c r="AO1388">
        <v>4.4999999999999997E-3</v>
      </c>
      <c r="AP1388">
        <v>2</v>
      </c>
      <c r="AQ1388">
        <v>0.27</v>
      </c>
      <c r="AR1388">
        <v>-0.75</v>
      </c>
      <c r="AS1388">
        <v>5.21</v>
      </c>
      <c r="AT1388">
        <v>-8.58</v>
      </c>
      <c r="AU1388">
        <v>22.68</v>
      </c>
      <c r="AV1388">
        <v>3</v>
      </c>
      <c r="AW1388">
        <v>7.46</v>
      </c>
      <c r="AX1388">
        <v>25</v>
      </c>
      <c r="AY1388">
        <v>57.49</v>
      </c>
      <c r="AZ1388">
        <v>27.5</v>
      </c>
      <c r="BA1388">
        <v>0.56000000000000005</v>
      </c>
      <c r="BB1388" t="s">
        <v>143</v>
      </c>
      <c r="BF1388">
        <v>2.15</v>
      </c>
      <c r="BG1388">
        <v>1.73</v>
      </c>
      <c r="BH1388">
        <v>-1.67</v>
      </c>
      <c r="BI1388">
        <v>1.73</v>
      </c>
      <c r="BJ1388">
        <v>20210903</v>
      </c>
      <c r="BK1388">
        <v>20210406</v>
      </c>
      <c r="BL1388">
        <v>1.1000000000000001</v>
      </c>
      <c r="BM1388" t="s">
        <v>120</v>
      </c>
      <c r="BN1388" t="s">
        <v>120</v>
      </c>
      <c r="BO1388">
        <v>28.99</v>
      </c>
      <c r="BP1388">
        <v>26.44</v>
      </c>
      <c r="BQ1388">
        <v>15.53</v>
      </c>
      <c r="BR1388" t="s">
        <v>120</v>
      </c>
      <c r="BS1388">
        <v>46.44</v>
      </c>
      <c r="BT1388">
        <v>15.25</v>
      </c>
      <c r="BU1388">
        <v>7.7</v>
      </c>
      <c r="BV1388">
        <v>1.37</v>
      </c>
      <c r="BW1388">
        <v>10.84</v>
      </c>
      <c r="BX1388">
        <v>4.13</v>
      </c>
      <c r="BY1388">
        <v>2.54</v>
      </c>
      <c r="BZ1388">
        <v>3.78</v>
      </c>
      <c r="CA1388" t="s">
        <v>120</v>
      </c>
      <c r="CB1388">
        <v>8.42</v>
      </c>
      <c r="CC1388">
        <v>8.11</v>
      </c>
      <c r="CD1388">
        <v>6.59</v>
      </c>
      <c r="CE1388">
        <v>0.25</v>
      </c>
      <c r="CF1388">
        <v>0</v>
      </c>
      <c r="CG1388">
        <v>0.25</v>
      </c>
      <c r="CH1388">
        <v>0.22</v>
      </c>
      <c r="CI1388">
        <v>0.22</v>
      </c>
      <c r="CJ1388">
        <v>0.47</v>
      </c>
      <c r="CK1388">
        <v>0.2</v>
      </c>
      <c r="CL1388">
        <v>5.58</v>
      </c>
      <c r="CM1388">
        <v>-1.1499999999999999</v>
      </c>
      <c r="CN1388">
        <v>0.55000000000000004</v>
      </c>
      <c r="CO1388">
        <v>17736</v>
      </c>
      <c r="CP1388">
        <v>1545</v>
      </c>
      <c r="CQ1388" t="s">
        <v>2770</v>
      </c>
      <c r="CR1388">
        <v>-70.7</v>
      </c>
      <c r="CS1388">
        <v>-6.17</v>
      </c>
      <c r="CT1388">
        <v>1.87</v>
      </c>
      <c r="CU1388">
        <v>-25.28</v>
      </c>
      <c r="CV1388">
        <v>3.57</v>
      </c>
      <c r="CW1388">
        <v>0</v>
      </c>
      <c r="CX1388" t="s">
        <v>694</v>
      </c>
      <c r="CY1388">
        <v>14.17</v>
      </c>
      <c r="CZ1388">
        <v>0</v>
      </c>
      <c r="DA1388">
        <v>7.68</v>
      </c>
      <c r="DB1388">
        <v>5.09</v>
      </c>
      <c r="DC1388">
        <v>-1.05</v>
      </c>
      <c r="DD1388">
        <v>53.56</v>
      </c>
      <c r="DE1388" t="s">
        <v>5646</v>
      </c>
      <c r="DF1388">
        <v>18.739999999999998</v>
      </c>
      <c r="DG1388">
        <v>3.11</v>
      </c>
      <c r="DH1388">
        <v>2.76</v>
      </c>
      <c r="DI1388">
        <v>0.27</v>
      </c>
      <c r="DJ1388">
        <v>1700</v>
      </c>
      <c r="DK1388">
        <v>3042</v>
      </c>
      <c r="DL1388" t="s">
        <v>120</v>
      </c>
      <c r="DM1388" t="s">
        <v>120</v>
      </c>
      <c r="DN1388" t="s">
        <v>120</v>
      </c>
    </row>
    <row r="1389" spans="1:118">
      <c r="A1389" t="str">
        <f>"003043"</f>
        <v>003043</v>
      </c>
      <c r="B1389" t="s">
        <v>7366</v>
      </c>
      <c r="C1389">
        <v>-3.71</v>
      </c>
      <c r="D1389">
        <v>0.14000000000000001</v>
      </c>
      <c r="E1389">
        <v>0</v>
      </c>
      <c r="F1389">
        <v>144</v>
      </c>
      <c r="G1389" t="s">
        <v>7367</v>
      </c>
      <c r="H1389">
        <v>5279.6</v>
      </c>
      <c r="I1389">
        <v>13.68</v>
      </c>
      <c r="J1389" t="s">
        <v>120</v>
      </c>
      <c r="K1389" t="s">
        <v>7367</v>
      </c>
      <c r="L1389">
        <v>5.28</v>
      </c>
      <c r="M1389">
        <v>48.77</v>
      </c>
      <c r="N1389">
        <v>1.1000000000000001</v>
      </c>
      <c r="O1389">
        <v>1.07</v>
      </c>
      <c r="P1389">
        <v>51.19</v>
      </c>
      <c r="Q1389">
        <v>-4.05</v>
      </c>
      <c r="R1389">
        <v>48.6</v>
      </c>
      <c r="S1389">
        <v>50.65</v>
      </c>
      <c r="T1389">
        <v>10568</v>
      </c>
      <c r="U1389">
        <v>48.92</v>
      </c>
      <c r="V1389">
        <v>50.65</v>
      </c>
      <c r="W1389">
        <v>40.770000000000003</v>
      </c>
      <c r="X1389" t="s">
        <v>675</v>
      </c>
      <c r="Y1389" t="s">
        <v>319</v>
      </c>
      <c r="Z1389">
        <v>5.1100000000000003</v>
      </c>
      <c r="AA1389">
        <v>49.96</v>
      </c>
      <c r="AB1389">
        <v>6788</v>
      </c>
      <c r="AC1389">
        <v>3780</v>
      </c>
      <c r="AD1389">
        <v>1.8</v>
      </c>
      <c r="AE1389">
        <v>31</v>
      </c>
      <c r="AF1389">
        <v>31</v>
      </c>
      <c r="AG1389" t="s">
        <v>120</v>
      </c>
      <c r="AH1389">
        <v>0.01</v>
      </c>
      <c r="AI1389" t="s">
        <v>120</v>
      </c>
      <c r="AJ1389">
        <v>0.2</v>
      </c>
      <c r="AK1389" t="s">
        <v>7368</v>
      </c>
      <c r="AL1389">
        <v>-1.8</v>
      </c>
      <c r="AM1389">
        <v>1415</v>
      </c>
      <c r="AN1389">
        <v>7</v>
      </c>
      <c r="AO1389">
        <v>3.7000000000000002E-3</v>
      </c>
      <c r="AP1389">
        <v>-4</v>
      </c>
      <c r="AQ1389">
        <v>-1.59</v>
      </c>
      <c r="AR1389">
        <v>-7.53</v>
      </c>
      <c r="AS1389">
        <v>-25.72</v>
      </c>
      <c r="AT1389">
        <v>-6.41</v>
      </c>
      <c r="AU1389">
        <v>146.19</v>
      </c>
      <c r="AV1389">
        <v>12</v>
      </c>
      <c r="AW1389">
        <v>5.28</v>
      </c>
      <c r="AX1389">
        <v>25</v>
      </c>
      <c r="AY1389">
        <v>49.33</v>
      </c>
      <c r="AZ1389">
        <v>56.42</v>
      </c>
      <c r="BA1389">
        <v>0.31</v>
      </c>
      <c r="BB1389" t="s">
        <v>134</v>
      </c>
      <c r="BF1389">
        <v>-1.37</v>
      </c>
      <c r="BG1389">
        <v>-3.71</v>
      </c>
      <c r="BH1389">
        <v>-4.7300000000000004</v>
      </c>
      <c r="BI1389">
        <v>0.35</v>
      </c>
      <c r="BJ1389">
        <v>20210915</v>
      </c>
      <c r="BK1389">
        <v>20210406</v>
      </c>
      <c r="BL1389">
        <v>0.8</v>
      </c>
      <c r="BM1389" t="s">
        <v>120</v>
      </c>
      <c r="BN1389" t="s">
        <v>120</v>
      </c>
      <c r="BO1389">
        <v>9.1</v>
      </c>
      <c r="BP1389">
        <v>48.77</v>
      </c>
      <c r="BQ1389">
        <v>7.96</v>
      </c>
      <c r="BR1389">
        <v>0.01</v>
      </c>
      <c r="BS1389">
        <v>12.34</v>
      </c>
      <c r="BT1389">
        <v>8.0299999999999994</v>
      </c>
      <c r="BU1389">
        <v>0.78</v>
      </c>
      <c r="BV1389">
        <v>0.18</v>
      </c>
      <c r="BW1389">
        <v>1.1200000000000001</v>
      </c>
      <c r="BX1389">
        <v>2.2000000000000002</v>
      </c>
      <c r="BY1389">
        <v>0.82</v>
      </c>
      <c r="BZ1389">
        <v>1.82</v>
      </c>
      <c r="CA1389" t="s">
        <v>120</v>
      </c>
      <c r="CB1389">
        <v>4.9400000000000004</v>
      </c>
      <c r="CC1389">
        <v>2.33</v>
      </c>
      <c r="CD1389">
        <v>1.4</v>
      </c>
      <c r="CE1389">
        <v>0.56000000000000005</v>
      </c>
      <c r="CF1389">
        <v>0</v>
      </c>
      <c r="CG1389">
        <v>0.56000000000000005</v>
      </c>
      <c r="CH1389">
        <v>0.48</v>
      </c>
      <c r="CI1389">
        <v>0.48</v>
      </c>
      <c r="CJ1389">
        <v>-1.88</v>
      </c>
      <c r="CK1389">
        <v>0.46</v>
      </c>
      <c r="CL1389">
        <v>1.99</v>
      </c>
      <c r="CM1389">
        <v>-0.04</v>
      </c>
      <c r="CN1389">
        <v>0.38</v>
      </c>
      <c r="CO1389">
        <v>11527</v>
      </c>
      <c r="CP1389">
        <v>1735</v>
      </c>
      <c r="CQ1389" t="s">
        <v>328</v>
      </c>
      <c r="CR1389">
        <v>0</v>
      </c>
      <c r="CS1389">
        <v>0</v>
      </c>
      <c r="CT1389">
        <v>4.9000000000000004</v>
      </c>
      <c r="CU1389">
        <v>-1047.07</v>
      </c>
      <c r="CV1389">
        <v>16.760000000000002</v>
      </c>
      <c r="CW1389">
        <v>0</v>
      </c>
      <c r="CX1389" t="s">
        <v>527</v>
      </c>
      <c r="CY1389">
        <v>9.9499999999999993</v>
      </c>
      <c r="CZ1389">
        <v>0</v>
      </c>
      <c r="DA1389">
        <v>6.17</v>
      </c>
      <c r="DB1389">
        <v>2.4900000000000002</v>
      </c>
      <c r="DC1389">
        <v>-0.05</v>
      </c>
      <c r="DD1389">
        <v>87.56</v>
      </c>
      <c r="DE1389" t="s">
        <v>1856</v>
      </c>
      <c r="DF1389">
        <v>39.840000000000003</v>
      </c>
      <c r="DG1389">
        <v>24.03</v>
      </c>
      <c r="DH1389">
        <v>20.55</v>
      </c>
      <c r="DI1389">
        <v>0.08</v>
      </c>
      <c r="DJ1389">
        <v>629</v>
      </c>
      <c r="DK1389">
        <v>3043</v>
      </c>
      <c r="DL1389" t="s">
        <v>120</v>
      </c>
      <c r="DM1389" t="s">
        <v>120</v>
      </c>
      <c r="DN1389" t="s">
        <v>120</v>
      </c>
    </row>
    <row r="1390" spans="1:118">
      <c r="A1390" t="str">
        <f>"003816"</f>
        <v>003816</v>
      </c>
      <c r="B1390" t="s">
        <v>7369</v>
      </c>
      <c r="C1390">
        <v>-2.33</v>
      </c>
      <c r="D1390">
        <v>0</v>
      </c>
      <c r="E1390">
        <v>0.67</v>
      </c>
      <c r="F1390">
        <v>20284</v>
      </c>
      <c r="G1390" t="s">
        <v>7370</v>
      </c>
      <c r="H1390">
        <v>69733.89</v>
      </c>
      <c r="I1390">
        <v>355.42</v>
      </c>
      <c r="J1390" t="s">
        <v>120</v>
      </c>
      <c r="K1390" t="s">
        <v>7371</v>
      </c>
      <c r="L1390">
        <v>2.4</v>
      </c>
      <c r="M1390">
        <v>2.93</v>
      </c>
      <c r="N1390">
        <v>0.71</v>
      </c>
      <c r="O1390">
        <v>1.67</v>
      </c>
      <c r="P1390">
        <v>3.05</v>
      </c>
      <c r="Q1390">
        <v>-2.67</v>
      </c>
      <c r="R1390">
        <v>2.92</v>
      </c>
      <c r="S1390">
        <v>3.02</v>
      </c>
      <c r="T1390">
        <v>2344038</v>
      </c>
      <c r="U1390">
        <v>2.93</v>
      </c>
      <c r="V1390">
        <v>3</v>
      </c>
      <c r="W1390">
        <v>13.46</v>
      </c>
      <c r="X1390" t="s">
        <v>356</v>
      </c>
      <c r="Y1390" t="s">
        <v>123</v>
      </c>
      <c r="Z1390">
        <v>4.33</v>
      </c>
      <c r="AA1390">
        <v>2.97</v>
      </c>
      <c r="AB1390">
        <v>1416280</v>
      </c>
      <c r="AC1390">
        <v>927758</v>
      </c>
      <c r="AD1390">
        <v>1.53</v>
      </c>
      <c r="AE1390">
        <v>56963</v>
      </c>
      <c r="AF1390">
        <v>2896</v>
      </c>
      <c r="AG1390" t="s">
        <v>120</v>
      </c>
      <c r="AH1390">
        <v>0.02</v>
      </c>
      <c r="AI1390" t="s">
        <v>120</v>
      </c>
      <c r="AJ1390">
        <v>97.54</v>
      </c>
      <c r="AK1390" t="s">
        <v>7372</v>
      </c>
      <c r="AL1390">
        <v>-0.42</v>
      </c>
      <c r="AM1390">
        <v>4552</v>
      </c>
      <c r="AN1390">
        <v>515</v>
      </c>
      <c r="AO1390">
        <v>5.0000000000000001E-4</v>
      </c>
      <c r="AP1390">
        <v>-1</v>
      </c>
      <c r="AQ1390">
        <v>1.01</v>
      </c>
      <c r="AR1390">
        <v>-5.48</v>
      </c>
      <c r="AS1390">
        <v>14.9</v>
      </c>
      <c r="AT1390">
        <v>11.83</v>
      </c>
      <c r="AU1390">
        <v>6.94</v>
      </c>
      <c r="AV1390">
        <v>0</v>
      </c>
      <c r="AW1390">
        <v>3.71</v>
      </c>
      <c r="AX1390">
        <v>16.079999999999998</v>
      </c>
      <c r="AY1390">
        <v>15.37</v>
      </c>
      <c r="AZ1390">
        <v>15.84</v>
      </c>
      <c r="BA1390">
        <v>0.1</v>
      </c>
      <c r="BB1390" t="s">
        <v>143</v>
      </c>
      <c r="BF1390">
        <v>-0.84</v>
      </c>
      <c r="BG1390">
        <v>-2.98</v>
      </c>
      <c r="BH1390">
        <v>-3.93</v>
      </c>
      <c r="BI1390">
        <v>0.34</v>
      </c>
      <c r="BJ1390">
        <v>20210902</v>
      </c>
      <c r="BK1390">
        <v>20190826</v>
      </c>
      <c r="BL1390">
        <v>504.99</v>
      </c>
      <c r="BM1390" t="s">
        <v>120</v>
      </c>
      <c r="BN1390">
        <v>111.64</v>
      </c>
      <c r="BO1390">
        <v>3983.85</v>
      </c>
      <c r="BP1390">
        <v>2.92</v>
      </c>
      <c r="BQ1390">
        <v>967.13</v>
      </c>
      <c r="BR1390">
        <v>468.35</v>
      </c>
      <c r="BS1390">
        <v>63.97</v>
      </c>
      <c r="BT1390">
        <v>690.37</v>
      </c>
      <c r="BU1390">
        <v>2435.9499999999998</v>
      </c>
      <c r="BV1390">
        <v>50.2</v>
      </c>
      <c r="BW1390">
        <v>840.82</v>
      </c>
      <c r="BX1390">
        <v>143.31</v>
      </c>
      <c r="BY1390">
        <v>139.81</v>
      </c>
      <c r="BZ1390">
        <v>102.92</v>
      </c>
      <c r="CA1390" t="s">
        <v>120</v>
      </c>
      <c r="CB1390">
        <v>107.96</v>
      </c>
      <c r="CC1390">
        <v>368.66</v>
      </c>
      <c r="CD1390">
        <v>231.74</v>
      </c>
      <c r="CE1390">
        <v>98.65</v>
      </c>
      <c r="CF1390">
        <v>6.49</v>
      </c>
      <c r="CG1390">
        <v>98.56</v>
      </c>
      <c r="CH1390">
        <v>86.7</v>
      </c>
      <c r="CI1390">
        <v>54.98</v>
      </c>
      <c r="CJ1390">
        <v>-7.0000000000000007E-2</v>
      </c>
      <c r="CK1390">
        <v>54.32</v>
      </c>
      <c r="CL1390">
        <v>304.44</v>
      </c>
      <c r="CM1390">
        <v>157.35</v>
      </c>
      <c r="CN1390">
        <v>38.61</v>
      </c>
      <c r="CO1390">
        <v>303767</v>
      </c>
      <c r="CP1390">
        <v>20825</v>
      </c>
      <c r="CQ1390" t="s">
        <v>6421</v>
      </c>
      <c r="CR1390">
        <v>5.63</v>
      </c>
      <c r="CS1390">
        <v>17.010000000000002</v>
      </c>
      <c r="CT1390">
        <v>1.53</v>
      </c>
      <c r="CU1390">
        <v>9.4</v>
      </c>
      <c r="CV1390">
        <v>4.01</v>
      </c>
      <c r="CW1390">
        <v>2.08</v>
      </c>
      <c r="CX1390" t="s">
        <v>1147</v>
      </c>
      <c r="CY1390">
        <v>1.92</v>
      </c>
      <c r="CZ1390">
        <v>0</v>
      </c>
      <c r="DA1390">
        <v>0.21</v>
      </c>
      <c r="DB1390">
        <v>0.6</v>
      </c>
      <c r="DC1390">
        <v>0.31</v>
      </c>
      <c r="DD1390">
        <v>24.28</v>
      </c>
      <c r="DE1390" t="s">
        <v>5626</v>
      </c>
      <c r="DF1390">
        <v>37.14</v>
      </c>
      <c r="DG1390">
        <v>26.76</v>
      </c>
      <c r="DH1390">
        <v>14.91</v>
      </c>
      <c r="DI1390">
        <v>5.21</v>
      </c>
      <c r="DJ1390">
        <v>18264</v>
      </c>
      <c r="DK1390">
        <v>3816</v>
      </c>
      <c r="DL1390" t="s">
        <v>120</v>
      </c>
      <c r="DM1390" t="s">
        <v>120</v>
      </c>
      <c r="DN1390" t="s">
        <v>120</v>
      </c>
    </row>
    <row r="1391" spans="1:118">
      <c r="A1391" t="str">
        <f>"300001"</f>
        <v>300001</v>
      </c>
      <c r="B1391" t="s">
        <v>7373</v>
      </c>
      <c r="C1391">
        <v>-6.1</v>
      </c>
      <c r="D1391">
        <v>-0.1</v>
      </c>
      <c r="E1391">
        <v>0.5</v>
      </c>
      <c r="F1391">
        <v>4693</v>
      </c>
      <c r="G1391" t="s">
        <v>7374</v>
      </c>
      <c r="H1391">
        <v>71231.97</v>
      </c>
      <c r="I1391">
        <v>157.99</v>
      </c>
      <c r="J1391" t="s">
        <v>120</v>
      </c>
      <c r="K1391" t="s">
        <v>7375</v>
      </c>
      <c r="L1391">
        <v>2.61</v>
      </c>
      <c r="M1391">
        <v>28.01</v>
      </c>
      <c r="N1391">
        <v>1.3</v>
      </c>
      <c r="O1391">
        <v>1.24</v>
      </c>
      <c r="P1391">
        <v>30.2</v>
      </c>
      <c r="Q1391">
        <v>-6.37</v>
      </c>
      <c r="R1391">
        <v>27.93</v>
      </c>
      <c r="S1391">
        <v>29.98</v>
      </c>
      <c r="T1391">
        <v>247376</v>
      </c>
      <c r="U1391">
        <v>28.02</v>
      </c>
      <c r="V1391">
        <v>29.83</v>
      </c>
      <c r="W1391">
        <v>677.41</v>
      </c>
      <c r="X1391" t="s">
        <v>394</v>
      </c>
      <c r="Y1391" t="s">
        <v>638</v>
      </c>
      <c r="Z1391">
        <v>7.61</v>
      </c>
      <c r="AA1391">
        <v>28.79</v>
      </c>
      <c r="AB1391">
        <v>148596</v>
      </c>
      <c r="AC1391">
        <v>98780</v>
      </c>
      <c r="AD1391">
        <v>1.5</v>
      </c>
      <c r="AE1391">
        <v>147</v>
      </c>
      <c r="AF1391">
        <v>171</v>
      </c>
      <c r="AG1391" t="s">
        <v>120</v>
      </c>
      <c r="AH1391">
        <v>0.01</v>
      </c>
      <c r="AI1391" t="s">
        <v>120</v>
      </c>
      <c r="AJ1391">
        <v>9.48</v>
      </c>
      <c r="AK1391" t="s">
        <v>7376</v>
      </c>
      <c r="AL1391">
        <v>-4.1900000000000004</v>
      </c>
      <c r="AM1391">
        <v>4309</v>
      </c>
      <c r="AN1391">
        <v>57</v>
      </c>
      <c r="AO1391">
        <v>5.9999999999999995E-4</v>
      </c>
      <c r="AP1391">
        <v>-1</v>
      </c>
      <c r="AQ1391">
        <v>0.67</v>
      </c>
      <c r="AR1391">
        <v>-4.9000000000000004</v>
      </c>
      <c r="AS1391">
        <v>-5.59</v>
      </c>
      <c r="AT1391">
        <v>-10.66</v>
      </c>
      <c r="AU1391">
        <v>-4.4400000000000004</v>
      </c>
      <c r="AV1391">
        <v>0</v>
      </c>
      <c r="AW1391">
        <v>4.5199999999999996</v>
      </c>
      <c r="AX1391">
        <v>52.62</v>
      </c>
      <c r="AY1391">
        <v>170.03</v>
      </c>
      <c r="AZ1391">
        <v>179.4</v>
      </c>
      <c r="BA1391">
        <v>1.03</v>
      </c>
      <c r="BB1391" t="s">
        <v>143</v>
      </c>
      <c r="BF1391">
        <v>-3.47</v>
      </c>
      <c r="BG1391">
        <v>-6.57</v>
      </c>
      <c r="BH1391">
        <v>-7.25</v>
      </c>
      <c r="BI1391">
        <v>0.28999999999999998</v>
      </c>
      <c r="BJ1391">
        <v>20210830</v>
      </c>
      <c r="BK1391">
        <v>20091030</v>
      </c>
      <c r="BL1391">
        <v>10.41</v>
      </c>
      <c r="BM1391" t="s">
        <v>120</v>
      </c>
      <c r="BN1391" t="s">
        <v>120</v>
      </c>
      <c r="BO1391">
        <v>180.33</v>
      </c>
      <c r="BP1391">
        <v>28.01</v>
      </c>
      <c r="BQ1391">
        <v>59.25</v>
      </c>
      <c r="BR1391">
        <v>9.2100000000000009</v>
      </c>
      <c r="BS1391">
        <v>62.03</v>
      </c>
      <c r="BT1391">
        <v>116.38</v>
      </c>
      <c r="BU1391">
        <v>25.94</v>
      </c>
      <c r="BV1391">
        <v>8.1999999999999993</v>
      </c>
      <c r="BW1391">
        <v>89.92</v>
      </c>
      <c r="BX1391">
        <v>18.239999999999998</v>
      </c>
      <c r="BY1391">
        <v>13.82</v>
      </c>
      <c r="BZ1391">
        <v>48.81</v>
      </c>
      <c r="CA1391" t="s">
        <v>120</v>
      </c>
      <c r="CB1391">
        <v>32.04</v>
      </c>
      <c r="CC1391">
        <v>33.909999999999997</v>
      </c>
      <c r="CD1391">
        <v>27.78</v>
      </c>
      <c r="CE1391">
        <v>-0.62</v>
      </c>
      <c r="CF1391">
        <v>0.46</v>
      </c>
      <c r="CG1391">
        <v>-0.7</v>
      </c>
      <c r="CH1391">
        <v>-0.27</v>
      </c>
      <c r="CI1391">
        <v>0.22</v>
      </c>
      <c r="CJ1391">
        <v>-1.82</v>
      </c>
      <c r="CK1391">
        <v>0.01</v>
      </c>
      <c r="CL1391">
        <v>14.96</v>
      </c>
      <c r="CM1391">
        <v>-7.94</v>
      </c>
      <c r="CN1391">
        <v>-3.41</v>
      </c>
      <c r="CO1391">
        <v>69128</v>
      </c>
      <c r="CP1391">
        <v>7921</v>
      </c>
      <c r="CQ1391" t="s">
        <v>7377</v>
      </c>
      <c r="CR1391">
        <v>79.62</v>
      </c>
      <c r="CS1391">
        <v>28.15</v>
      </c>
      <c r="CT1391">
        <v>4.92</v>
      </c>
      <c r="CU1391">
        <v>-36.71</v>
      </c>
      <c r="CV1391">
        <v>8.6</v>
      </c>
      <c r="CW1391">
        <v>0.17</v>
      </c>
      <c r="CX1391" t="s">
        <v>499</v>
      </c>
      <c r="CY1391">
        <v>5.69</v>
      </c>
      <c r="CZ1391">
        <v>0</v>
      </c>
      <c r="DA1391">
        <v>3.08</v>
      </c>
      <c r="DB1391">
        <v>1.44</v>
      </c>
      <c r="DC1391">
        <v>-0.76</v>
      </c>
      <c r="DD1391">
        <v>32.86</v>
      </c>
      <c r="DE1391" t="s">
        <v>3639</v>
      </c>
      <c r="DF1391">
        <v>18.07</v>
      </c>
      <c r="DG1391">
        <v>-1.83</v>
      </c>
      <c r="DH1391">
        <v>0.63</v>
      </c>
      <c r="DI1391">
        <v>1.1599999999999999</v>
      </c>
      <c r="DJ1391">
        <v>6562</v>
      </c>
      <c r="DK1391">
        <v>300001</v>
      </c>
      <c r="DL1391" t="s">
        <v>120</v>
      </c>
      <c r="DM1391" t="s">
        <v>120</v>
      </c>
      <c r="DN1391" t="s">
        <v>120</v>
      </c>
    </row>
    <row r="1392" spans="1:118">
      <c r="A1392" t="str">
        <f>"300002"</f>
        <v>300002</v>
      </c>
      <c r="B1392" t="s">
        <v>7378</v>
      </c>
      <c r="C1392">
        <v>-2.72</v>
      </c>
      <c r="D1392">
        <v>0.19</v>
      </c>
      <c r="E1392">
        <v>0.91</v>
      </c>
      <c r="F1392">
        <v>9413</v>
      </c>
      <c r="G1392" t="s">
        <v>7379</v>
      </c>
      <c r="H1392">
        <v>40505.64</v>
      </c>
      <c r="I1392">
        <v>261.49</v>
      </c>
      <c r="J1392" t="s">
        <v>120</v>
      </c>
      <c r="K1392" t="s">
        <v>7380</v>
      </c>
      <c r="L1392">
        <v>4.41</v>
      </c>
      <c r="M1392">
        <v>5.36</v>
      </c>
      <c r="N1392">
        <v>0.77</v>
      </c>
      <c r="O1392">
        <v>1.27</v>
      </c>
      <c r="P1392">
        <v>5.58</v>
      </c>
      <c r="Q1392">
        <v>-3.09</v>
      </c>
      <c r="R1392">
        <v>5.34</v>
      </c>
      <c r="S1392">
        <v>5.56</v>
      </c>
      <c r="T1392">
        <v>741524</v>
      </c>
      <c r="U1392">
        <v>5.37</v>
      </c>
      <c r="V1392">
        <v>5.51</v>
      </c>
      <c r="W1392">
        <v>34.17</v>
      </c>
      <c r="X1392" t="s">
        <v>141</v>
      </c>
      <c r="Y1392" t="s">
        <v>158</v>
      </c>
      <c r="Z1392">
        <v>4.3600000000000003</v>
      </c>
      <c r="AA1392">
        <v>5.46</v>
      </c>
      <c r="AB1392">
        <v>402324</v>
      </c>
      <c r="AC1392">
        <v>339200</v>
      </c>
      <c r="AD1392">
        <v>1.19</v>
      </c>
      <c r="AE1392">
        <v>561</v>
      </c>
      <c r="AF1392">
        <v>2273</v>
      </c>
      <c r="AG1392" t="s">
        <v>120</v>
      </c>
      <c r="AH1392">
        <v>0.03</v>
      </c>
      <c r="AI1392" t="s">
        <v>120</v>
      </c>
      <c r="AJ1392">
        <v>16.809999999999999</v>
      </c>
      <c r="AK1392" t="s">
        <v>7381</v>
      </c>
      <c r="AL1392">
        <v>-0.81</v>
      </c>
      <c r="AM1392">
        <v>3995</v>
      </c>
      <c r="AN1392">
        <v>186</v>
      </c>
      <c r="AO1392">
        <v>1.1000000000000001E-3</v>
      </c>
      <c r="AP1392">
        <v>-1</v>
      </c>
      <c r="AQ1392">
        <v>1.1000000000000001</v>
      </c>
      <c r="AR1392">
        <v>-4.62</v>
      </c>
      <c r="AS1392">
        <v>4.28</v>
      </c>
      <c r="AT1392">
        <v>10.74</v>
      </c>
      <c r="AU1392">
        <v>4.8899999999999997</v>
      </c>
      <c r="AV1392">
        <v>1</v>
      </c>
      <c r="AW1392">
        <v>4.5199999999999996</v>
      </c>
      <c r="AX1392">
        <v>83.72</v>
      </c>
      <c r="AY1392">
        <v>25.87</v>
      </c>
      <c r="AZ1392">
        <v>30.77</v>
      </c>
      <c r="BA1392">
        <v>0.83</v>
      </c>
      <c r="BB1392" t="s">
        <v>143</v>
      </c>
      <c r="BF1392">
        <v>-0.86</v>
      </c>
      <c r="BG1392">
        <v>-3.6</v>
      </c>
      <c r="BH1392">
        <v>-3.94</v>
      </c>
      <c r="BI1392">
        <v>0.37</v>
      </c>
      <c r="BJ1392">
        <v>20210830</v>
      </c>
      <c r="BK1392">
        <v>20091030</v>
      </c>
      <c r="BL1392">
        <v>19.61</v>
      </c>
      <c r="BM1392" t="s">
        <v>120</v>
      </c>
      <c r="BN1392" t="s">
        <v>120</v>
      </c>
      <c r="BO1392">
        <v>52.43</v>
      </c>
      <c r="BP1392">
        <v>5.36</v>
      </c>
      <c r="BQ1392">
        <v>40.85</v>
      </c>
      <c r="BR1392">
        <v>0.18</v>
      </c>
      <c r="BS1392">
        <v>21.74</v>
      </c>
      <c r="BT1392">
        <v>19.73</v>
      </c>
      <c r="BU1392">
        <v>3.73</v>
      </c>
      <c r="BV1392">
        <v>3.68</v>
      </c>
      <c r="BW1392">
        <v>10.96</v>
      </c>
      <c r="BX1392">
        <v>9.26</v>
      </c>
      <c r="BY1392">
        <v>2.98</v>
      </c>
      <c r="BZ1392">
        <v>6.05</v>
      </c>
      <c r="CA1392">
        <v>0.02</v>
      </c>
      <c r="CB1392">
        <v>5.84</v>
      </c>
      <c r="CC1392">
        <v>19.73</v>
      </c>
      <c r="CD1392">
        <v>7.39</v>
      </c>
      <c r="CE1392">
        <v>1.95</v>
      </c>
      <c r="CF1392">
        <v>-0.14000000000000001</v>
      </c>
      <c r="CG1392">
        <v>1.96</v>
      </c>
      <c r="CH1392">
        <v>1.42</v>
      </c>
      <c r="CI1392">
        <v>1.54</v>
      </c>
      <c r="CJ1392">
        <v>-0.15</v>
      </c>
      <c r="CK1392">
        <v>1.1499999999999999</v>
      </c>
      <c r="CL1392">
        <v>14.27</v>
      </c>
      <c r="CM1392">
        <v>0.77</v>
      </c>
      <c r="CN1392">
        <v>0.78</v>
      </c>
      <c r="CO1392">
        <v>81140</v>
      </c>
      <c r="CP1392">
        <v>20234</v>
      </c>
      <c r="CQ1392" t="s">
        <v>4677</v>
      </c>
      <c r="CR1392">
        <v>76.36</v>
      </c>
      <c r="CS1392">
        <v>52.23</v>
      </c>
      <c r="CT1392">
        <v>2.57</v>
      </c>
      <c r="CU1392">
        <v>135.97</v>
      </c>
      <c r="CV1392">
        <v>5.33</v>
      </c>
      <c r="CW1392">
        <v>0</v>
      </c>
      <c r="CX1392" t="s">
        <v>535</v>
      </c>
      <c r="CY1392">
        <v>2.08</v>
      </c>
      <c r="CZ1392">
        <v>0</v>
      </c>
      <c r="DA1392">
        <v>0.3</v>
      </c>
      <c r="DB1392">
        <v>0.73</v>
      </c>
      <c r="DC1392">
        <v>0.04</v>
      </c>
      <c r="DD1392">
        <v>77.92</v>
      </c>
      <c r="DE1392" t="s">
        <v>2098</v>
      </c>
      <c r="DF1392">
        <v>62.54</v>
      </c>
      <c r="DG1392">
        <v>9.91</v>
      </c>
      <c r="DH1392">
        <v>7.8</v>
      </c>
      <c r="DI1392">
        <v>1.2</v>
      </c>
      <c r="DJ1392">
        <v>3062</v>
      </c>
      <c r="DK1392">
        <v>300002</v>
      </c>
      <c r="DL1392" t="s">
        <v>120</v>
      </c>
      <c r="DM1392" t="s">
        <v>120</v>
      </c>
      <c r="DN1392" t="s">
        <v>120</v>
      </c>
    </row>
    <row r="1393" spans="1:118">
      <c r="A1393" t="str">
        <f>"300003"</f>
        <v>300003</v>
      </c>
      <c r="B1393" t="s">
        <v>7382</v>
      </c>
      <c r="C1393">
        <v>0.08</v>
      </c>
      <c r="D1393">
        <v>-0.11</v>
      </c>
      <c r="E1393">
        <v>-0.2</v>
      </c>
      <c r="F1393">
        <v>1938</v>
      </c>
      <c r="G1393" t="s">
        <v>7383</v>
      </c>
      <c r="H1393">
        <v>42804.42</v>
      </c>
      <c r="I1393">
        <v>246.89</v>
      </c>
      <c r="J1393" t="s">
        <v>120</v>
      </c>
      <c r="K1393" t="s">
        <v>7384</v>
      </c>
      <c r="L1393">
        <v>1.1100000000000001</v>
      </c>
      <c r="M1393">
        <v>25.11</v>
      </c>
      <c r="N1393">
        <v>0.76</v>
      </c>
      <c r="O1393">
        <v>1.28</v>
      </c>
      <c r="P1393">
        <v>25.41</v>
      </c>
      <c r="Q1393">
        <v>-1.1200000000000001</v>
      </c>
      <c r="R1393">
        <v>24.81</v>
      </c>
      <c r="S1393">
        <v>25.04</v>
      </c>
      <c r="T1393">
        <v>170113</v>
      </c>
      <c r="U1393">
        <v>25.12</v>
      </c>
      <c r="V1393">
        <v>25.09</v>
      </c>
      <c r="W1393">
        <v>13.13</v>
      </c>
      <c r="X1393" t="s">
        <v>555</v>
      </c>
      <c r="Y1393" t="s">
        <v>158</v>
      </c>
      <c r="Z1393">
        <v>2.39</v>
      </c>
      <c r="AA1393">
        <v>25.16</v>
      </c>
      <c r="AB1393">
        <v>79152</v>
      </c>
      <c r="AC1393">
        <v>90961</v>
      </c>
      <c r="AD1393">
        <v>0.87</v>
      </c>
      <c r="AE1393">
        <v>161</v>
      </c>
      <c r="AF1393">
        <v>12</v>
      </c>
      <c r="AG1393" t="s">
        <v>120</v>
      </c>
      <c r="AH1393">
        <v>0.01</v>
      </c>
      <c r="AI1393" t="s">
        <v>120</v>
      </c>
      <c r="AJ1393">
        <v>15.39</v>
      </c>
      <c r="AK1393" t="s">
        <v>7385</v>
      </c>
      <c r="AL1393">
        <v>1.99</v>
      </c>
      <c r="AM1393">
        <v>4240</v>
      </c>
      <c r="AN1393">
        <v>40</v>
      </c>
      <c r="AO1393">
        <v>2.9999999999999997E-4</v>
      </c>
      <c r="AP1393">
        <v>1</v>
      </c>
      <c r="AQ1393">
        <v>-4.3099999999999996</v>
      </c>
      <c r="AR1393">
        <v>-4.8499999999999996</v>
      </c>
      <c r="AS1393">
        <v>-4.05</v>
      </c>
      <c r="AT1393">
        <v>-18.91</v>
      </c>
      <c r="AU1393">
        <v>-6.84</v>
      </c>
      <c r="AV1393">
        <v>0</v>
      </c>
      <c r="AW1393">
        <v>1.54</v>
      </c>
      <c r="AX1393">
        <v>61.13</v>
      </c>
      <c r="AY1393">
        <v>18.97</v>
      </c>
      <c r="AZ1393">
        <v>25.13</v>
      </c>
      <c r="BA1393">
        <v>0.74</v>
      </c>
      <c r="BB1393" t="s">
        <v>143</v>
      </c>
      <c r="BF1393">
        <v>0.28999999999999998</v>
      </c>
      <c r="BG1393">
        <v>0.28000000000000003</v>
      </c>
      <c r="BH1393">
        <v>-1.18</v>
      </c>
      <c r="BI1393">
        <v>1.21</v>
      </c>
      <c r="BJ1393">
        <v>20210830</v>
      </c>
      <c r="BK1393">
        <v>20091030</v>
      </c>
      <c r="BL1393">
        <v>18.05</v>
      </c>
      <c r="BM1393" t="s">
        <v>120</v>
      </c>
      <c r="BN1393" t="s">
        <v>120</v>
      </c>
      <c r="BO1393">
        <v>214.62</v>
      </c>
      <c r="BP1393">
        <v>25.11</v>
      </c>
      <c r="BQ1393">
        <v>116.12</v>
      </c>
      <c r="BR1393">
        <v>7.17</v>
      </c>
      <c r="BS1393">
        <v>42.55</v>
      </c>
      <c r="BT1393">
        <v>92.41</v>
      </c>
      <c r="BU1393">
        <v>21.17</v>
      </c>
      <c r="BV1393">
        <v>13.78</v>
      </c>
      <c r="BW1393">
        <v>40.72</v>
      </c>
      <c r="BX1393">
        <v>43.34</v>
      </c>
      <c r="BY1393">
        <v>18.97</v>
      </c>
      <c r="BZ1393">
        <v>21.96</v>
      </c>
      <c r="CA1393" t="s">
        <v>120</v>
      </c>
      <c r="CB1393">
        <v>9.83</v>
      </c>
      <c r="CC1393">
        <v>65.209999999999994</v>
      </c>
      <c r="CD1393">
        <v>24.28</v>
      </c>
      <c r="CE1393">
        <v>21.66</v>
      </c>
      <c r="CF1393">
        <v>-0.71</v>
      </c>
      <c r="CG1393">
        <v>21.72</v>
      </c>
      <c r="CH1393">
        <v>18.16</v>
      </c>
      <c r="CI1393">
        <v>17.260000000000002</v>
      </c>
      <c r="CJ1393">
        <v>0.02</v>
      </c>
      <c r="CK1393">
        <v>17.18</v>
      </c>
      <c r="CL1393">
        <v>82.38</v>
      </c>
      <c r="CM1393">
        <v>21.34</v>
      </c>
      <c r="CN1393">
        <v>19</v>
      </c>
      <c r="CO1393">
        <v>112589</v>
      </c>
      <c r="CP1393">
        <v>9798</v>
      </c>
      <c r="CQ1393" t="s">
        <v>7386</v>
      </c>
      <c r="CR1393">
        <v>51.34</v>
      </c>
      <c r="CS1393">
        <v>53.87</v>
      </c>
      <c r="CT1393">
        <v>3.98</v>
      </c>
      <c r="CU1393">
        <v>21.24</v>
      </c>
      <c r="CV1393">
        <v>6.95</v>
      </c>
      <c r="CW1393">
        <v>0.9</v>
      </c>
      <c r="CX1393" t="s">
        <v>4116</v>
      </c>
      <c r="CY1393">
        <v>6.3</v>
      </c>
      <c r="CZ1393">
        <v>6.3</v>
      </c>
      <c r="DA1393">
        <v>0.54</v>
      </c>
      <c r="DB1393">
        <v>4.57</v>
      </c>
      <c r="DC1393">
        <v>1.18</v>
      </c>
      <c r="DD1393">
        <v>54.11</v>
      </c>
      <c r="DE1393" t="s">
        <v>7387</v>
      </c>
      <c r="DF1393">
        <v>62.76</v>
      </c>
      <c r="DG1393">
        <v>33.22</v>
      </c>
      <c r="DH1393">
        <v>26.47</v>
      </c>
      <c r="DI1393">
        <v>3.73</v>
      </c>
      <c r="DJ1393">
        <v>9388</v>
      </c>
      <c r="DK1393">
        <v>300003</v>
      </c>
      <c r="DL1393" t="s">
        <v>120</v>
      </c>
      <c r="DM1393" t="s">
        <v>120</v>
      </c>
      <c r="DN1393" t="s">
        <v>120</v>
      </c>
    </row>
    <row r="1394" spans="1:118">
      <c r="A1394" t="str">
        <f>"300004"</f>
        <v>300004</v>
      </c>
      <c r="B1394" t="s">
        <v>7388</v>
      </c>
      <c r="C1394">
        <v>-3.51</v>
      </c>
      <c r="D1394">
        <v>-0.15</v>
      </c>
      <c r="E1394">
        <v>0.76</v>
      </c>
      <c r="F1394">
        <v>1226</v>
      </c>
      <c r="G1394" t="s">
        <v>7389</v>
      </c>
      <c r="H1394">
        <v>6305.96</v>
      </c>
      <c r="I1394">
        <v>18.18</v>
      </c>
      <c r="J1394" t="s">
        <v>120</v>
      </c>
      <c r="K1394" t="s">
        <v>5212</v>
      </c>
      <c r="L1394">
        <v>2.0099999999999998</v>
      </c>
      <c r="M1394">
        <v>6.33</v>
      </c>
      <c r="N1394">
        <v>1.32</v>
      </c>
      <c r="O1394">
        <v>4.42</v>
      </c>
      <c r="P1394">
        <v>6.85</v>
      </c>
      <c r="Q1394">
        <v>-3.66</v>
      </c>
      <c r="R1394">
        <v>6.32</v>
      </c>
      <c r="S1394">
        <v>6.61</v>
      </c>
      <c r="T1394">
        <v>95785</v>
      </c>
      <c r="U1394">
        <v>6.34</v>
      </c>
      <c r="V1394">
        <v>6.56</v>
      </c>
      <c r="W1394" t="s">
        <v>120</v>
      </c>
      <c r="X1394" t="s">
        <v>394</v>
      </c>
      <c r="Y1394" t="s">
        <v>547</v>
      </c>
      <c r="Z1394">
        <v>8.08</v>
      </c>
      <c r="AA1394">
        <v>6.58</v>
      </c>
      <c r="AB1394">
        <v>55169</v>
      </c>
      <c r="AC1394">
        <v>40616</v>
      </c>
      <c r="AD1394">
        <v>1.36</v>
      </c>
      <c r="AE1394">
        <v>75</v>
      </c>
      <c r="AF1394">
        <v>746</v>
      </c>
      <c r="AG1394" t="s">
        <v>120</v>
      </c>
      <c r="AH1394">
        <v>0.01</v>
      </c>
      <c r="AI1394" t="s">
        <v>120</v>
      </c>
      <c r="AJ1394">
        <v>4.78</v>
      </c>
      <c r="AK1394" t="s">
        <v>7390</v>
      </c>
      <c r="AL1394">
        <v>-1.59</v>
      </c>
      <c r="AM1394">
        <v>2182</v>
      </c>
      <c r="AN1394">
        <v>44</v>
      </c>
      <c r="AO1394">
        <v>8.9999999999999998E-4</v>
      </c>
      <c r="AP1394">
        <v>-1</v>
      </c>
      <c r="AQ1394">
        <v>1.39</v>
      </c>
      <c r="AR1394">
        <v>-6.09</v>
      </c>
      <c r="AS1394">
        <v>2.93</v>
      </c>
      <c r="AT1394">
        <v>4.8</v>
      </c>
      <c r="AU1394">
        <v>5.15</v>
      </c>
      <c r="AV1394">
        <v>1</v>
      </c>
      <c r="AW1394">
        <v>3.51</v>
      </c>
      <c r="AX1394">
        <v>56.88</v>
      </c>
      <c r="AY1394">
        <v>72.709999999999994</v>
      </c>
      <c r="AZ1394">
        <v>21.19</v>
      </c>
      <c r="BA1394">
        <v>0.53</v>
      </c>
      <c r="BB1394" t="s">
        <v>143</v>
      </c>
      <c r="BF1394">
        <v>0.36</v>
      </c>
      <c r="BG1394">
        <v>-4.24</v>
      </c>
      <c r="BH1394">
        <v>-7.59</v>
      </c>
      <c r="BI1394">
        <v>0.16</v>
      </c>
      <c r="BJ1394">
        <v>20210828</v>
      </c>
      <c r="BK1394">
        <v>20091030</v>
      </c>
      <c r="BL1394">
        <v>4.8</v>
      </c>
      <c r="BM1394" t="s">
        <v>120</v>
      </c>
      <c r="BN1394" t="s">
        <v>120</v>
      </c>
      <c r="BO1394">
        <v>29.27</v>
      </c>
      <c r="BP1394">
        <v>6.33</v>
      </c>
      <c r="BQ1394">
        <v>23.03</v>
      </c>
      <c r="BR1394">
        <v>0</v>
      </c>
      <c r="BS1394">
        <v>21.32</v>
      </c>
      <c r="BT1394">
        <v>17.21</v>
      </c>
      <c r="BU1394">
        <v>8.4600000000000009</v>
      </c>
      <c r="BV1394">
        <v>1.53</v>
      </c>
      <c r="BW1394">
        <v>5.75</v>
      </c>
      <c r="BX1394">
        <v>3.41</v>
      </c>
      <c r="BY1394">
        <v>8.91</v>
      </c>
      <c r="BZ1394">
        <v>3.37</v>
      </c>
      <c r="CA1394">
        <v>0</v>
      </c>
      <c r="CB1394">
        <v>22.43</v>
      </c>
      <c r="CC1394">
        <v>3.85</v>
      </c>
      <c r="CD1394">
        <v>3.09</v>
      </c>
      <c r="CE1394">
        <v>-0.26</v>
      </c>
      <c r="CF1394">
        <v>0.01</v>
      </c>
      <c r="CG1394">
        <v>-0.27</v>
      </c>
      <c r="CH1394">
        <v>-0.24</v>
      </c>
      <c r="CI1394">
        <v>-0.24</v>
      </c>
      <c r="CJ1394">
        <v>-0.23</v>
      </c>
      <c r="CK1394">
        <v>-0.25</v>
      </c>
      <c r="CL1394">
        <v>-4.76</v>
      </c>
      <c r="CM1394">
        <v>0.11</v>
      </c>
      <c r="CN1394">
        <v>-0.06</v>
      </c>
      <c r="CO1394">
        <v>23043</v>
      </c>
      <c r="CP1394">
        <v>11848</v>
      </c>
      <c r="CQ1394" t="s">
        <v>7391</v>
      </c>
      <c r="CR1394">
        <v>-129.13999999999999</v>
      </c>
      <c r="CS1394">
        <v>67.08</v>
      </c>
      <c r="CT1394">
        <v>1.32</v>
      </c>
      <c r="CU1394">
        <v>288.92</v>
      </c>
      <c r="CV1394">
        <v>7.9</v>
      </c>
      <c r="CW1394">
        <v>0</v>
      </c>
      <c r="CX1394" t="s">
        <v>161</v>
      </c>
      <c r="CY1394">
        <v>4.8</v>
      </c>
      <c r="CZ1394">
        <v>0</v>
      </c>
      <c r="DA1394">
        <v>4.67</v>
      </c>
      <c r="DB1394">
        <v>-0.99</v>
      </c>
      <c r="DC1394">
        <v>0.02</v>
      </c>
      <c r="DD1394">
        <v>78.67</v>
      </c>
      <c r="DE1394" t="s">
        <v>7392</v>
      </c>
      <c r="DF1394">
        <v>19.600000000000001</v>
      </c>
      <c r="DG1394">
        <v>-6.77</v>
      </c>
      <c r="DH1394">
        <v>-6.18</v>
      </c>
      <c r="DI1394">
        <v>0.15</v>
      </c>
      <c r="DJ1394">
        <v>991</v>
      </c>
      <c r="DK1394">
        <v>300004</v>
      </c>
      <c r="DL1394" t="s">
        <v>120</v>
      </c>
      <c r="DM1394" t="s">
        <v>120</v>
      </c>
      <c r="DN1394" t="s">
        <v>120</v>
      </c>
    </row>
    <row r="1395" spans="1:118">
      <c r="A1395" t="str">
        <f>"300005"</f>
        <v>300005</v>
      </c>
      <c r="B1395" t="s">
        <v>7393</v>
      </c>
      <c r="C1395">
        <v>7.14</v>
      </c>
      <c r="D1395">
        <v>0</v>
      </c>
      <c r="E1395">
        <v>0.46</v>
      </c>
      <c r="F1395">
        <v>5405</v>
      </c>
      <c r="G1395" t="s">
        <v>7394</v>
      </c>
      <c r="H1395">
        <v>44449.56</v>
      </c>
      <c r="I1395">
        <v>74.930000000000007</v>
      </c>
      <c r="J1395" t="s">
        <v>120</v>
      </c>
      <c r="K1395" t="s">
        <v>7395</v>
      </c>
      <c r="L1395">
        <v>5.53</v>
      </c>
      <c r="M1395">
        <v>11.7</v>
      </c>
      <c r="N1395">
        <v>2.39</v>
      </c>
      <c r="O1395">
        <v>7.6</v>
      </c>
      <c r="P1395">
        <v>11.75</v>
      </c>
      <c r="Q1395">
        <v>-0.64</v>
      </c>
      <c r="R1395">
        <v>10.85</v>
      </c>
      <c r="S1395">
        <v>10.97</v>
      </c>
      <c r="T1395">
        <v>387339</v>
      </c>
      <c r="U1395">
        <v>11.7</v>
      </c>
      <c r="V1395">
        <v>10.92</v>
      </c>
      <c r="W1395">
        <v>363</v>
      </c>
      <c r="X1395" t="s">
        <v>2806</v>
      </c>
      <c r="Y1395" t="s">
        <v>158</v>
      </c>
      <c r="Z1395">
        <v>8.24</v>
      </c>
      <c r="AA1395">
        <v>11.48</v>
      </c>
      <c r="AB1395">
        <v>152079</v>
      </c>
      <c r="AC1395">
        <v>235260</v>
      </c>
      <c r="AD1395">
        <v>0.65</v>
      </c>
      <c r="AE1395">
        <v>752</v>
      </c>
      <c r="AF1395">
        <v>2450</v>
      </c>
      <c r="AG1395" t="s">
        <v>120</v>
      </c>
      <c r="AH1395">
        <v>0.01</v>
      </c>
      <c r="AI1395" t="s">
        <v>120</v>
      </c>
      <c r="AJ1395">
        <v>7.01</v>
      </c>
      <c r="AK1395" t="s">
        <v>7396</v>
      </c>
      <c r="AL1395">
        <v>9.06</v>
      </c>
      <c r="AM1395">
        <v>3725</v>
      </c>
      <c r="AN1395">
        <v>104</v>
      </c>
      <c r="AO1395">
        <v>1.5E-3</v>
      </c>
      <c r="AP1395">
        <v>2</v>
      </c>
      <c r="AQ1395">
        <v>5.61</v>
      </c>
      <c r="AR1395">
        <v>13.15</v>
      </c>
      <c r="AS1395">
        <v>8.94</v>
      </c>
      <c r="AT1395">
        <v>24.47</v>
      </c>
      <c r="AU1395">
        <v>81.39</v>
      </c>
      <c r="AV1395">
        <v>0</v>
      </c>
      <c r="AW1395">
        <v>6.78</v>
      </c>
      <c r="AX1395">
        <v>64.650000000000006</v>
      </c>
      <c r="AY1395" t="s">
        <v>120</v>
      </c>
      <c r="AZ1395" t="s">
        <v>120</v>
      </c>
      <c r="BA1395">
        <v>0.82</v>
      </c>
      <c r="BB1395" t="s">
        <v>168</v>
      </c>
      <c r="BF1395">
        <v>5.09</v>
      </c>
      <c r="BG1395">
        <v>6.65</v>
      </c>
      <c r="BH1395">
        <v>-0.43</v>
      </c>
      <c r="BI1395">
        <v>7.83</v>
      </c>
      <c r="BJ1395">
        <v>20210903</v>
      </c>
      <c r="BK1395">
        <v>20091030</v>
      </c>
      <c r="BL1395">
        <v>8.84</v>
      </c>
      <c r="BM1395" t="s">
        <v>120</v>
      </c>
      <c r="BN1395" t="s">
        <v>120</v>
      </c>
      <c r="BO1395">
        <v>24.22</v>
      </c>
      <c r="BP1395">
        <v>11.69</v>
      </c>
      <c r="BQ1395">
        <v>21.24</v>
      </c>
      <c r="BR1395">
        <v>7.0000000000000007E-2</v>
      </c>
      <c r="BS1395">
        <v>12</v>
      </c>
      <c r="BT1395">
        <v>20.100000000000001</v>
      </c>
      <c r="BU1395">
        <v>1.76</v>
      </c>
      <c r="BV1395">
        <v>0.04</v>
      </c>
      <c r="BW1395">
        <v>2.57</v>
      </c>
      <c r="BX1395">
        <v>7.21</v>
      </c>
      <c r="BY1395">
        <v>3.11</v>
      </c>
      <c r="BZ1395">
        <v>3.31</v>
      </c>
      <c r="CA1395" t="s">
        <v>120</v>
      </c>
      <c r="CB1395">
        <v>9.48</v>
      </c>
      <c r="CC1395">
        <v>4.09</v>
      </c>
      <c r="CD1395">
        <v>2.13</v>
      </c>
      <c r="CE1395">
        <v>0.15</v>
      </c>
      <c r="CF1395">
        <v>0.08</v>
      </c>
      <c r="CG1395">
        <v>0.16</v>
      </c>
      <c r="CH1395">
        <v>0.14000000000000001</v>
      </c>
      <c r="CI1395">
        <v>0.14000000000000001</v>
      </c>
      <c r="CJ1395">
        <v>0.78</v>
      </c>
      <c r="CK1395">
        <v>0.03</v>
      </c>
      <c r="CL1395">
        <v>1.49</v>
      </c>
      <c r="CM1395">
        <v>0.05</v>
      </c>
      <c r="CN1395">
        <v>1.66</v>
      </c>
      <c r="CO1395">
        <v>23520</v>
      </c>
      <c r="CP1395">
        <v>24291</v>
      </c>
      <c r="CQ1395" t="s">
        <v>7397</v>
      </c>
      <c r="CR1395">
        <v>109.81</v>
      </c>
      <c r="CS1395">
        <v>37.67</v>
      </c>
      <c r="CT1395">
        <v>4.87</v>
      </c>
      <c r="CU1395">
        <v>2004.36</v>
      </c>
      <c r="CV1395">
        <v>25.27</v>
      </c>
      <c r="CW1395">
        <v>0</v>
      </c>
      <c r="CX1395" t="s">
        <v>3900</v>
      </c>
      <c r="CY1395">
        <v>2.4</v>
      </c>
      <c r="CZ1395">
        <v>0</v>
      </c>
      <c r="DA1395">
        <v>1.07</v>
      </c>
      <c r="DB1395">
        <v>0.17</v>
      </c>
      <c r="DC1395">
        <v>0.01</v>
      </c>
      <c r="DD1395">
        <v>87.73</v>
      </c>
      <c r="DE1395" t="s">
        <v>2592</v>
      </c>
      <c r="DF1395">
        <v>47.93</v>
      </c>
      <c r="DG1395">
        <v>3.64</v>
      </c>
      <c r="DH1395">
        <v>3.48</v>
      </c>
      <c r="DI1395">
        <v>0.16</v>
      </c>
      <c r="DJ1395">
        <v>469</v>
      </c>
      <c r="DK1395">
        <v>300005</v>
      </c>
      <c r="DL1395" t="s">
        <v>120</v>
      </c>
      <c r="DM1395" t="s">
        <v>120</v>
      </c>
      <c r="DN1395" t="s">
        <v>120</v>
      </c>
    </row>
    <row r="1396" spans="1:118">
      <c r="A1396" t="str">
        <f>"300006"</f>
        <v>300006</v>
      </c>
      <c r="B1396" t="s">
        <v>7398</v>
      </c>
      <c r="C1396">
        <v>0</v>
      </c>
      <c r="D1396">
        <v>0.13</v>
      </c>
      <c r="E1396">
        <v>0.76</v>
      </c>
      <c r="F1396">
        <v>1772</v>
      </c>
      <c r="G1396" t="s">
        <v>7399</v>
      </c>
      <c r="H1396">
        <v>15736.04</v>
      </c>
      <c r="I1396">
        <v>32.4</v>
      </c>
      <c r="J1396" t="s">
        <v>120</v>
      </c>
      <c r="K1396" t="s">
        <v>7400</v>
      </c>
      <c r="L1396">
        <v>2.44</v>
      </c>
      <c r="M1396">
        <v>7.94</v>
      </c>
      <c r="N1396">
        <v>0.6</v>
      </c>
      <c r="O1396">
        <v>2.14</v>
      </c>
      <c r="P1396">
        <v>8.11</v>
      </c>
      <c r="Q1396">
        <v>-2.14</v>
      </c>
      <c r="R1396">
        <v>7.77</v>
      </c>
      <c r="S1396">
        <v>8</v>
      </c>
      <c r="T1396">
        <v>198359</v>
      </c>
      <c r="U1396">
        <v>7.94</v>
      </c>
      <c r="V1396">
        <v>7.94</v>
      </c>
      <c r="W1396">
        <v>129.41</v>
      </c>
      <c r="X1396" t="s">
        <v>569</v>
      </c>
      <c r="Y1396" t="s">
        <v>883</v>
      </c>
      <c r="Z1396">
        <v>4.28</v>
      </c>
      <c r="AA1396">
        <v>7.93</v>
      </c>
      <c r="AB1396">
        <v>106417</v>
      </c>
      <c r="AC1396">
        <v>91942</v>
      </c>
      <c r="AD1396">
        <v>1.1599999999999999</v>
      </c>
      <c r="AE1396">
        <v>442</v>
      </c>
      <c r="AF1396">
        <v>240</v>
      </c>
      <c r="AG1396" t="s">
        <v>120</v>
      </c>
      <c r="AH1396">
        <v>0.01</v>
      </c>
      <c r="AI1396" t="s">
        <v>120</v>
      </c>
      <c r="AJ1396">
        <v>8.1199999999999992</v>
      </c>
      <c r="AK1396" t="s">
        <v>7401</v>
      </c>
      <c r="AL1396">
        <v>1.91</v>
      </c>
      <c r="AM1396">
        <v>2883</v>
      </c>
      <c r="AN1396">
        <v>69</v>
      </c>
      <c r="AO1396">
        <v>8.0000000000000004E-4</v>
      </c>
      <c r="AP1396">
        <v>0</v>
      </c>
      <c r="AQ1396">
        <v>-1.98</v>
      </c>
      <c r="AR1396">
        <v>-1.86</v>
      </c>
      <c r="AS1396">
        <v>-21.77</v>
      </c>
      <c r="AT1396">
        <v>13.11</v>
      </c>
      <c r="AU1396">
        <v>6.86</v>
      </c>
      <c r="AV1396">
        <v>1</v>
      </c>
      <c r="AW1396">
        <v>3.65</v>
      </c>
      <c r="AX1396">
        <v>51.44</v>
      </c>
      <c r="AY1396" t="s">
        <v>120</v>
      </c>
      <c r="AZ1396" t="s">
        <v>120</v>
      </c>
      <c r="BA1396">
        <v>0.67</v>
      </c>
      <c r="BB1396" t="s">
        <v>134</v>
      </c>
      <c r="BF1396">
        <v>-0.09</v>
      </c>
      <c r="BG1396">
        <v>-0.75</v>
      </c>
      <c r="BH1396">
        <v>-2.1</v>
      </c>
      <c r="BI1396">
        <v>2.19</v>
      </c>
      <c r="BJ1396">
        <v>20210731</v>
      </c>
      <c r="BK1396">
        <v>20091030</v>
      </c>
      <c r="BL1396">
        <v>10.56</v>
      </c>
      <c r="BM1396" t="s">
        <v>120</v>
      </c>
      <c r="BN1396" t="s">
        <v>120</v>
      </c>
      <c r="BO1396">
        <v>30.93</v>
      </c>
      <c r="BP1396">
        <v>7.93</v>
      </c>
      <c r="BQ1396">
        <v>22.76</v>
      </c>
      <c r="BR1396">
        <v>0.5</v>
      </c>
      <c r="BS1396">
        <v>24.78</v>
      </c>
      <c r="BT1396">
        <v>19.399999999999999</v>
      </c>
      <c r="BU1396">
        <v>3.8</v>
      </c>
      <c r="BV1396">
        <v>1.2</v>
      </c>
      <c r="BW1396">
        <v>6.97</v>
      </c>
      <c r="BX1396">
        <v>7.68</v>
      </c>
      <c r="BY1396">
        <v>2.34</v>
      </c>
      <c r="BZ1396">
        <v>4.21</v>
      </c>
      <c r="CA1396" t="s">
        <v>120</v>
      </c>
      <c r="CB1396">
        <v>14.59</v>
      </c>
      <c r="CC1396">
        <v>6.12</v>
      </c>
      <c r="CD1396">
        <v>1.74</v>
      </c>
      <c r="CE1396">
        <v>0.39</v>
      </c>
      <c r="CF1396">
        <v>0.53</v>
      </c>
      <c r="CG1396">
        <v>0.39</v>
      </c>
      <c r="CH1396">
        <v>0.31</v>
      </c>
      <c r="CI1396">
        <v>0.32</v>
      </c>
      <c r="CJ1396">
        <v>0</v>
      </c>
      <c r="CK1396">
        <v>-0.28999999999999998</v>
      </c>
      <c r="CL1396">
        <v>-2.93</v>
      </c>
      <c r="CM1396">
        <v>0.09</v>
      </c>
      <c r="CN1396">
        <v>4.49</v>
      </c>
      <c r="CO1396">
        <v>21474</v>
      </c>
      <c r="CP1396">
        <v>25295</v>
      </c>
      <c r="CQ1396" t="s">
        <v>7402</v>
      </c>
      <c r="CR1396">
        <v>499.74</v>
      </c>
      <c r="CS1396">
        <v>2.23</v>
      </c>
      <c r="CT1396">
        <v>3.68</v>
      </c>
      <c r="CU1396">
        <v>912.17</v>
      </c>
      <c r="CV1396">
        <v>13.7</v>
      </c>
      <c r="CW1396">
        <v>0</v>
      </c>
      <c r="CX1396" t="s">
        <v>2074</v>
      </c>
      <c r="CY1396">
        <v>2.16</v>
      </c>
      <c r="CZ1396">
        <v>0</v>
      </c>
      <c r="DA1396">
        <v>1.38</v>
      </c>
      <c r="DB1396">
        <v>-0.28000000000000003</v>
      </c>
      <c r="DC1396">
        <v>0.01</v>
      </c>
      <c r="DD1396">
        <v>73.59</v>
      </c>
      <c r="DE1396" t="s">
        <v>4198</v>
      </c>
      <c r="DF1396">
        <v>71.599999999999994</v>
      </c>
      <c r="DG1396">
        <v>6.41</v>
      </c>
      <c r="DH1396">
        <v>5.29</v>
      </c>
      <c r="DI1396">
        <v>0.27</v>
      </c>
      <c r="DJ1396">
        <v>1438</v>
      </c>
      <c r="DK1396">
        <v>300006</v>
      </c>
      <c r="DL1396">
        <v>20210825</v>
      </c>
      <c r="DM1396">
        <v>10.15</v>
      </c>
      <c r="DN1396">
        <v>-21.77</v>
      </c>
    </row>
    <row r="1397" spans="1:118">
      <c r="A1397" t="str">
        <f>"300007"</f>
        <v>300007</v>
      </c>
      <c r="B1397" t="s">
        <v>7403</v>
      </c>
      <c r="C1397">
        <v>0.62</v>
      </c>
      <c r="D1397">
        <v>0.19</v>
      </c>
      <c r="E1397">
        <v>-0.08</v>
      </c>
      <c r="F1397">
        <v>1328</v>
      </c>
      <c r="G1397" t="s">
        <v>5114</v>
      </c>
      <c r="H1397">
        <v>25860.25</v>
      </c>
      <c r="I1397">
        <v>52.06</v>
      </c>
      <c r="J1397" t="s">
        <v>120</v>
      </c>
      <c r="K1397" t="s">
        <v>156</v>
      </c>
      <c r="L1397">
        <v>3.99</v>
      </c>
      <c r="M1397">
        <v>25.95</v>
      </c>
      <c r="N1397">
        <v>0.81</v>
      </c>
      <c r="O1397">
        <v>2.91</v>
      </c>
      <c r="P1397">
        <v>26.54</v>
      </c>
      <c r="Q1397">
        <v>-1.01</v>
      </c>
      <c r="R1397">
        <v>25.53</v>
      </c>
      <c r="S1397">
        <v>25.77</v>
      </c>
      <c r="T1397">
        <v>99467</v>
      </c>
      <c r="U1397">
        <v>25.96</v>
      </c>
      <c r="V1397">
        <v>25.79</v>
      </c>
      <c r="W1397">
        <v>30.29</v>
      </c>
      <c r="X1397" t="s">
        <v>2717</v>
      </c>
      <c r="Y1397" t="s">
        <v>645</v>
      </c>
      <c r="Z1397">
        <v>3.92</v>
      </c>
      <c r="AA1397">
        <v>26</v>
      </c>
      <c r="AB1397">
        <v>55467</v>
      </c>
      <c r="AC1397">
        <v>44000</v>
      </c>
      <c r="AD1397">
        <v>1.26</v>
      </c>
      <c r="AE1397">
        <v>203</v>
      </c>
      <c r="AF1397">
        <v>404</v>
      </c>
      <c r="AG1397" t="s">
        <v>120</v>
      </c>
      <c r="AH1397">
        <v>0.01</v>
      </c>
      <c r="AI1397" t="s">
        <v>120</v>
      </c>
      <c r="AJ1397">
        <v>2.4900000000000002</v>
      </c>
      <c r="AK1397" t="s">
        <v>7404</v>
      </c>
      <c r="AL1397">
        <v>2.5299999999999998</v>
      </c>
      <c r="AM1397">
        <v>3281</v>
      </c>
      <c r="AN1397">
        <v>30</v>
      </c>
      <c r="AO1397">
        <v>1.1999999999999999E-3</v>
      </c>
      <c r="AP1397">
        <v>1</v>
      </c>
      <c r="AQ1397">
        <v>-3.05</v>
      </c>
      <c r="AR1397">
        <v>4.38</v>
      </c>
      <c r="AS1397">
        <v>-2.23</v>
      </c>
      <c r="AT1397">
        <v>34.729999999999997</v>
      </c>
      <c r="AU1397">
        <v>67.42</v>
      </c>
      <c r="AV1397">
        <v>0</v>
      </c>
      <c r="AW1397">
        <v>4.57</v>
      </c>
      <c r="AX1397">
        <v>67.099999999999994</v>
      </c>
      <c r="AY1397">
        <v>37.9</v>
      </c>
      <c r="AZ1397">
        <v>40.700000000000003</v>
      </c>
      <c r="BA1397">
        <v>0.93</v>
      </c>
      <c r="BB1397" t="s">
        <v>143</v>
      </c>
      <c r="BF1397">
        <v>0.81</v>
      </c>
      <c r="BG1397">
        <v>0.7</v>
      </c>
      <c r="BH1397">
        <v>-2.2200000000000002</v>
      </c>
      <c r="BI1397">
        <v>1.65</v>
      </c>
      <c r="BJ1397">
        <v>20210903</v>
      </c>
      <c r="BK1397">
        <v>20091030</v>
      </c>
      <c r="BL1397">
        <v>3.24</v>
      </c>
      <c r="BM1397" t="s">
        <v>120</v>
      </c>
      <c r="BN1397" t="s">
        <v>120</v>
      </c>
      <c r="BO1397">
        <v>52.61</v>
      </c>
      <c r="BP1397">
        <v>25.95</v>
      </c>
      <c r="BQ1397">
        <v>16.809999999999999</v>
      </c>
      <c r="BR1397">
        <v>5.84</v>
      </c>
      <c r="BS1397">
        <v>56.95</v>
      </c>
      <c r="BT1397">
        <v>23.39</v>
      </c>
      <c r="BU1397">
        <v>11.41</v>
      </c>
      <c r="BV1397">
        <v>5.76</v>
      </c>
      <c r="BW1397">
        <v>14.37</v>
      </c>
      <c r="BX1397">
        <v>10.36</v>
      </c>
      <c r="BY1397">
        <v>2.95</v>
      </c>
      <c r="BZ1397">
        <v>7.59</v>
      </c>
      <c r="CA1397">
        <v>0.04</v>
      </c>
      <c r="CB1397">
        <v>6.13</v>
      </c>
      <c r="CC1397">
        <v>11</v>
      </c>
      <c r="CD1397">
        <v>7.34</v>
      </c>
      <c r="CE1397">
        <v>2.02</v>
      </c>
      <c r="CF1397">
        <v>-0.05</v>
      </c>
      <c r="CG1397">
        <v>2.02</v>
      </c>
      <c r="CH1397">
        <v>1.73</v>
      </c>
      <c r="CI1397">
        <v>1.39</v>
      </c>
      <c r="CJ1397">
        <v>0.16</v>
      </c>
      <c r="CK1397">
        <v>0.99</v>
      </c>
      <c r="CL1397">
        <v>7.16</v>
      </c>
      <c r="CM1397">
        <v>-0.79</v>
      </c>
      <c r="CN1397">
        <v>-3.09</v>
      </c>
      <c r="CO1397">
        <v>32159</v>
      </c>
      <c r="CP1397">
        <v>6768</v>
      </c>
      <c r="CQ1397" t="s">
        <v>6083</v>
      </c>
      <c r="CR1397">
        <v>12.3</v>
      </c>
      <c r="CS1397">
        <v>21.27</v>
      </c>
      <c r="CT1397">
        <v>4.5199999999999996</v>
      </c>
      <c r="CU1397">
        <v>-106.88</v>
      </c>
      <c r="CV1397">
        <v>7.65</v>
      </c>
      <c r="CW1397">
        <v>0.21</v>
      </c>
      <c r="CX1397" t="s">
        <v>1071</v>
      </c>
      <c r="CY1397">
        <v>5.74</v>
      </c>
      <c r="CZ1397">
        <v>5.74</v>
      </c>
      <c r="DA1397">
        <v>1.89</v>
      </c>
      <c r="DB1397">
        <v>2.21</v>
      </c>
      <c r="DC1397">
        <v>-0.24</v>
      </c>
      <c r="DD1397">
        <v>31.94</v>
      </c>
      <c r="DE1397" t="s">
        <v>825</v>
      </c>
      <c r="DF1397">
        <v>33.32</v>
      </c>
      <c r="DG1397">
        <v>18.39</v>
      </c>
      <c r="DH1397">
        <v>12.62</v>
      </c>
      <c r="DI1397">
        <v>0.61</v>
      </c>
      <c r="DJ1397">
        <v>2548</v>
      </c>
      <c r="DK1397">
        <v>300007</v>
      </c>
      <c r="DL1397" t="s">
        <v>120</v>
      </c>
      <c r="DM1397" t="s">
        <v>120</v>
      </c>
      <c r="DN1397" t="s">
        <v>120</v>
      </c>
    </row>
    <row r="1398" spans="1:118">
      <c r="A1398" t="str">
        <f>"300008"</f>
        <v>300008</v>
      </c>
      <c r="B1398" t="s">
        <v>7405</v>
      </c>
      <c r="C1398">
        <v>-2.39</v>
      </c>
      <c r="D1398">
        <v>-0.36</v>
      </c>
      <c r="E1398">
        <v>-0.37</v>
      </c>
      <c r="F1398">
        <v>13423</v>
      </c>
      <c r="G1398" t="s">
        <v>7406</v>
      </c>
      <c r="H1398">
        <v>25300.5</v>
      </c>
      <c r="I1398">
        <v>108.27</v>
      </c>
      <c r="J1398" t="s">
        <v>120</v>
      </c>
      <c r="K1398" t="s">
        <v>7407</v>
      </c>
      <c r="L1398">
        <v>3.64</v>
      </c>
      <c r="M1398">
        <v>5.32</v>
      </c>
      <c r="N1398">
        <v>0.73</v>
      </c>
      <c r="O1398">
        <v>0.73</v>
      </c>
      <c r="P1398">
        <v>5.49</v>
      </c>
      <c r="Q1398">
        <v>-2.39</v>
      </c>
      <c r="R1398">
        <v>5.32</v>
      </c>
      <c r="S1398">
        <v>5.43</v>
      </c>
      <c r="T1398">
        <v>468860</v>
      </c>
      <c r="U1398">
        <v>5.33</v>
      </c>
      <c r="V1398">
        <v>5.45</v>
      </c>
      <c r="W1398">
        <v>145.72</v>
      </c>
      <c r="X1398" t="s">
        <v>7408</v>
      </c>
      <c r="Y1398" t="s">
        <v>1510</v>
      </c>
      <c r="Z1398">
        <v>3.12</v>
      </c>
      <c r="AA1398">
        <v>5.4</v>
      </c>
      <c r="AB1398">
        <v>297616</v>
      </c>
      <c r="AC1398">
        <v>171244</v>
      </c>
      <c r="AD1398">
        <v>1.74</v>
      </c>
      <c r="AE1398">
        <v>2290</v>
      </c>
      <c r="AF1398">
        <v>258</v>
      </c>
      <c r="AG1398" t="s">
        <v>120</v>
      </c>
      <c r="AH1398">
        <v>0.02</v>
      </c>
      <c r="AI1398" t="s">
        <v>120</v>
      </c>
      <c r="AJ1398">
        <v>12.87</v>
      </c>
      <c r="AK1398" t="s">
        <v>7409</v>
      </c>
      <c r="AL1398">
        <v>-0.47</v>
      </c>
      <c r="AM1398">
        <v>3510</v>
      </c>
      <c r="AN1398">
        <v>134</v>
      </c>
      <c r="AO1398">
        <v>1E-3</v>
      </c>
      <c r="AP1398">
        <v>-1</v>
      </c>
      <c r="AQ1398">
        <v>0.74</v>
      </c>
      <c r="AR1398">
        <v>-4.66</v>
      </c>
      <c r="AS1398">
        <v>-6.34</v>
      </c>
      <c r="AT1398">
        <v>-15.42</v>
      </c>
      <c r="AU1398">
        <v>-6.67</v>
      </c>
      <c r="AV1398">
        <v>0</v>
      </c>
      <c r="AW1398">
        <v>3.97</v>
      </c>
      <c r="AX1398">
        <v>68.3</v>
      </c>
      <c r="AY1398">
        <v>573.79999999999995</v>
      </c>
      <c r="AZ1398">
        <v>368.49</v>
      </c>
      <c r="BA1398">
        <v>0.27</v>
      </c>
      <c r="BB1398" t="s">
        <v>143</v>
      </c>
      <c r="BF1398">
        <v>-0.99</v>
      </c>
      <c r="BG1398">
        <v>-2.0299999999999998</v>
      </c>
      <c r="BH1398">
        <v>-3.1</v>
      </c>
      <c r="BI1398">
        <v>0</v>
      </c>
      <c r="BJ1398">
        <v>20210906</v>
      </c>
      <c r="BK1398">
        <v>20091030</v>
      </c>
      <c r="BL1398">
        <v>17.28</v>
      </c>
      <c r="BM1398" t="s">
        <v>120</v>
      </c>
      <c r="BN1398" t="s">
        <v>120</v>
      </c>
      <c r="BO1398">
        <v>23.16</v>
      </c>
      <c r="BP1398">
        <v>5.32</v>
      </c>
      <c r="BQ1398">
        <v>16.79</v>
      </c>
      <c r="BR1398">
        <v>-0.04</v>
      </c>
      <c r="BS1398">
        <v>27.65</v>
      </c>
      <c r="BT1398">
        <v>11.65</v>
      </c>
      <c r="BU1398">
        <v>3.49</v>
      </c>
      <c r="BV1398">
        <v>0.94</v>
      </c>
      <c r="BW1398">
        <v>5.88</v>
      </c>
      <c r="BX1398">
        <v>2.91</v>
      </c>
      <c r="BY1398">
        <v>1.38</v>
      </c>
      <c r="BZ1398">
        <v>2.41</v>
      </c>
      <c r="CA1398">
        <v>0.25</v>
      </c>
      <c r="CB1398">
        <v>16.09</v>
      </c>
      <c r="CC1398">
        <v>5.84</v>
      </c>
      <c r="CD1398">
        <v>4.96</v>
      </c>
      <c r="CE1398">
        <v>0.33</v>
      </c>
      <c r="CF1398">
        <v>0.03</v>
      </c>
      <c r="CG1398">
        <v>0.33</v>
      </c>
      <c r="CH1398">
        <v>0.32</v>
      </c>
      <c r="CI1398">
        <v>0.32</v>
      </c>
      <c r="CJ1398">
        <v>-0.13</v>
      </c>
      <c r="CK1398">
        <v>0.28000000000000003</v>
      </c>
      <c r="CL1398">
        <v>-17.23</v>
      </c>
      <c r="CM1398">
        <v>-1.5</v>
      </c>
      <c r="CN1398">
        <v>-1.51</v>
      </c>
      <c r="CO1398">
        <v>126301</v>
      </c>
      <c r="CP1398">
        <v>9345</v>
      </c>
      <c r="CQ1398" t="s">
        <v>7410</v>
      </c>
      <c r="CR1398">
        <v>-22.48</v>
      </c>
      <c r="CS1398">
        <v>151.01</v>
      </c>
      <c r="CT1398">
        <v>5.48</v>
      </c>
      <c r="CU1398">
        <v>-61.2</v>
      </c>
      <c r="CV1398">
        <v>15.75</v>
      </c>
      <c r="CW1398">
        <v>0</v>
      </c>
      <c r="CX1398" t="s">
        <v>1819</v>
      </c>
      <c r="CY1398">
        <v>0.97</v>
      </c>
      <c r="CZ1398">
        <v>0</v>
      </c>
      <c r="DA1398">
        <v>0.93</v>
      </c>
      <c r="DB1398">
        <v>-1</v>
      </c>
      <c r="DC1398">
        <v>-0.09</v>
      </c>
      <c r="DD1398">
        <v>72.510000000000005</v>
      </c>
      <c r="DE1398" t="s">
        <v>7411</v>
      </c>
      <c r="DF1398">
        <v>15.07</v>
      </c>
      <c r="DG1398">
        <v>5.65</v>
      </c>
      <c r="DH1398">
        <v>5.4</v>
      </c>
      <c r="DI1398">
        <v>0.32</v>
      </c>
      <c r="DJ1398">
        <v>779</v>
      </c>
      <c r="DK1398">
        <v>300008</v>
      </c>
      <c r="DL1398" t="s">
        <v>120</v>
      </c>
      <c r="DM1398" t="s">
        <v>120</v>
      </c>
      <c r="DN1398" t="s">
        <v>120</v>
      </c>
    </row>
    <row r="1399" spans="1:118">
      <c r="A1399" t="str">
        <f>"300009"</f>
        <v>300009</v>
      </c>
      <c r="B1399" t="s">
        <v>7412</v>
      </c>
      <c r="C1399">
        <v>1.3</v>
      </c>
      <c r="D1399">
        <v>0.08</v>
      </c>
      <c r="E1399">
        <v>-0.56999999999999995</v>
      </c>
      <c r="F1399">
        <v>1335</v>
      </c>
      <c r="G1399" t="s">
        <v>7413</v>
      </c>
      <c r="H1399">
        <v>27589.86</v>
      </c>
      <c r="I1399">
        <v>141.1</v>
      </c>
      <c r="J1399" t="s">
        <v>120</v>
      </c>
      <c r="K1399" t="s">
        <v>7414</v>
      </c>
      <c r="L1399">
        <v>1.91</v>
      </c>
      <c r="M1399">
        <v>12.51</v>
      </c>
      <c r="N1399">
        <v>1.17</v>
      </c>
      <c r="O1399">
        <v>2.75</v>
      </c>
      <c r="P1399">
        <v>12.69</v>
      </c>
      <c r="Q1399">
        <v>-1.1299999999999999</v>
      </c>
      <c r="R1399">
        <v>12.21</v>
      </c>
      <c r="S1399">
        <v>12.28</v>
      </c>
      <c r="T1399">
        <v>221227</v>
      </c>
      <c r="U1399">
        <v>12.51</v>
      </c>
      <c r="V1399">
        <v>12.35</v>
      </c>
      <c r="W1399">
        <v>42</v>
      </c>
      <c r="X1399" t="s">
        <v>666</v>
      </c>
      <c r="Y1399" t="s">
        <v>570</v>
      </c>
      <c r="Z1399">
        <v>3.89</v>
      </c>
      <c r="AA1399">
        <v>12.47</v>
      </c>
      <c r="AB1399">
        <v>101524</v>
      </c>
      <c r="AC1399">
        <v>119703</v>
      </c>
      <c r="AD1399">
        <v>0.85</v>
      </c>
      <c r="AE1399">
        <v>745</v>
      </c>
      <c r="AF1399">
        <v>550</v>
      </c>
      <c r="AG1399" t="s">
        <v>120</v>
      </c>
      <c r="AH1399">
        <v>0.01</v>
      </c>
      <c r="AI1399" t="s">
        <v>120</v>
      </c>
      <c r="AJ1399">
        <v>11.59</v>
      </c>
      <c r="AK1399" t="s">
        <v>7415</v>
      </c>
      <c r="AL1399">
        <v>3.21</v>
      </c>
      <c r="AM1399">
        <v>3408</v>
      </c>
      <c r="AN1399">
        <v>65</v>
      </c>
      <c r="AO1399">
        <v>5.9999999999999995E-4</v>
      </c>
      <c r="AP1399">
        <v>1</v>
      </c>
      <c r="AQ1399">
        <v>-2.4500000000000002</v>
      </c>
      <c r="AR1399">
        <v>0.72</v>
      </c>
      <c r="AS1399">
        <v>-3.32</v>
      </c>
      <c r="AT1399">
        <v>-15.07</v>
      </c>
      <c r="AU1399">
        <v>3.68</v>
      </c>
      <c r="AV1399">
        <v>0</v>
      </c>
      <c r="AW1399">
        <v>2.17</v>
      </c>
      <c r="AX1399">
        <v>62.36</v>
      </c>
      <c r="AY1399">
        <v>45.93</v>
      </c>
      <c r="AZ1399">
        <v>56.37</v>
      </c>
      <c r="BA1399">
        <v>1.03</v>
      </c>
      <c r="BB1399" t="s">
        <v>143</v>
      </c>
      <c r="BF1399">
        <v>0.98</v>
      </c>
      <c r="BG1399">
        <v>1.87</v>
      </c>
      <c r="BH1399">
        <v>-1.42</v>
      </c>
      <c r="BI1399">
        <v>2.46</v>
      </c>
      <c r="BJ1399">
        <v>20210903</v>
      </c>
      <c r="BK1399">
        <v>20091030</v>
      </c>
      <c r="BL1399">
        <v>16.38</v>
      </c>
      <c r="BM1399" t="s">
        <v>120</v>
      </c>
      <c r="BN1399" t="s">
        <v>120</v>
      </c>
      <c r="BO1399">
        <v>34.659999999999997</v>
      </c>
      <c r="BP1399">
        <v>12.5</v>
      </c>
      <c r="BQ1399">
        <v>28</v>
      </c>
      <c r="BR1399">
        <v>1.03</v>
      </c>
      <c r="BS1399">
        <v>16.239999999999998</v>
      </c>
      <c r="BT1399">
        <v>15.58</v>
      </c>
      <c r="BU1399">
        <v>6.05</v>
      </c>
      <c r="BV1399">
        <v>1.1100000000000001</v>
      </c>
      <c r="BW1399">
        <v>4.42</v>
      </c>
      <c r="BX1399">
        <v>2.37</v>
      </c>
      <c r="BY1399">
        <v>1.69</v>
      </c>
      <c r="BZ1399">
        <v>4.22</v>
      </c>
      <c r="CA1399" t="s">
        <v>120</v>
      </c>
      <c r="CB1399">
        <v>1.63</v>
      </c>
      <c r="CC1399">
        <v>9.69</v>
      </c>
      <c r="CD1399">
        <v>1.83</v>
      </c>
      <c r="CE1399">
        <v>2.88</v>
      </c>
      <c r="CF1399">
        <v>0</v>
      </c>
      <c r="CG1399">
        <v>2.88</v>
      </c>
      <c r="CH1399">
        <v>2.4700000000000002</v>
      </c>
      <c r="CI1399">
        <v>2.44</v>
      </c>
      <c r="CJ1399">
        <v>0.16</v>
      </c>
      <c r="CK1399">
        <v>2.2799999999999998</v>
      </c>
      <c r="CL1399">
        <v>8.18</v>
      </c>
      <c r="CM1399">
        <v>1.93</v>
      </c>
      <c r="CN1399">
        <v>-0.33</v>
      </c>
      <c r="CO1399">
        <v>86200</v>
      </c>
      <c r="CP1399">
        <v>11853</v>
      </c>
      <c r="CQ1399" t="s">
        <v>7416</v>
      </c>
      <c r="CR1399">
        <v>50.27</v>
      </c>
      <c r="CS1399">
        <v>36.119999999999997</v>
      </c>
      <c r="CT1399">
        <v>7.32</v>
      </c>
      <c r="CU1399">
        <v>106.29</v>
      </c>
      <c r="CV1399">
        <v>21.15</v>
      </c>
      <c r="CW1399">
        <v>1.35</v>
      </c>
      <c r="CX1399" t="s">
        <v>373</v>
      </c>
      <c r="CY1399">
        <v>1.71</v>
      </c>
      <c r="CZ1399">
        <v>0</v>
      </c>
      <c r="DA1399">
        <v>0.1</v>
      </c>
      <c r="DB1399">
        <v>0.5</v>
      </c>
      <c r="DC1399">
        <v>0.12</v>
      </c>
      <c r="DD1399">
        <v>80.78</v>
      </c>
      <c r="DE1399" t="s">
        <v>7417</v>
      </c>
      <c r="DF1399">
        <v>81.069999999999993</v>
      </c>
      <c r="DG1399">
        <v>29.75</v>
      </c>
      <c r="DH1399">
        <v>25.17</v>
      </c>
      <c r="DI1399">
        <v>0.57999999999999996</v>
      </c>
      <c r="DJ1399">
        <v>2384</v>
      </c>
      <c r="DK1399">
        <v>300009</v>
      </c>
      <c r="DL1399" t="s">
        <v>120</v>
      </c>
      <c r="DM1399" t="s">
        <v>120</v>
      </c>
      <c r="DN1399" t="s">
        <v>120</v>
      </c>
    </row>
    <row r="1400" spans="1:118">
      <c r="A1400" t="str">
        <f>"300010"</f>
        <v>300010</v>
      </c>
      <c r="B1400" t="s">
        <v>7418</v>
      </c>
      <c r="C1400">
        <v>-3.85</v>
      </c>
      <c r="D1400">
        <v>-0.49</v>
      </c>
      <c r="E1400">
        <v>0.48</v>
      </c>
      <c r="F1400">
        <v>14659</v>
      </c>
      <c r="G1400" t="s">
        <v>7419</v>
      </c>
      <c r="H1400">
        <v>18174.61</v>
      </c>
      <c r="I1400">
        <v>91.83</v>
      </c>
      <c r="J1400" t="s">
        <v>120</v>
      </c>
      <c r="K1400" t="s">
        <v>4856</v>
      </c>
      <c r="L1400">
        <v>5.98</v>
      </c>
      <c r="M1400">
        <v>4</v>
      </c>
      <c r="N1400">
        <v>0.91</v>
      </c>
      <c r="O1400">
        <v>1.2</v>
      </c>
      <c r="P1400">
        <v>4.21</v>
      </c>
      <c r="Q1400">
        <v>-4.09</v>
      </c>
      <c r="R1400">
        <v>3.99</v>
      </c>
      <c r="S1400">
        <v>4.18</v>
      </c>
      <c r="T1400">
        <v>444186</v>
      </c>
      <c r="U1400">
        <v>4.01</v>
      </c>
      <c r="V1400">
        <v>4.16</v>
      </c>
      <c r="W1400" t="s">
        <v>120</v>
      </c>
      <c r="X1400" t="s">
        <v>141</v>
      </c>
      <c r="Y1400" t="s">
        <v>158</v>
      </c>
      <c r="Z1400">
        <v>5.29</v>
      </c>
      <c r="AA1400">
        <v>4.09</v>
      </c>
      <c r="AB1400">
        <v>243180</v>
      </c>
      <c r="AC1400">
        <v>201006</v>
      </c>
      <c r="AD1400">
        <v>1.21</v>
      </c>
      <c r="AE1400">
        <v>2272</v>
      </c>
      <c r="AF1400">
        <v>617</v>
      </c>
      <c r="AG1400" t="s">
        <v>120</v>
      </c>
      <c r="AH1400">
        <v>0.03</v>
      </c>
      <c r="AI1400" t="s">
        <v>120</v>
      </c>
      <c r="AJ1400">
        <v>7.43</v>
      </c>
      <c r="AK1400" t="s">
        <v>7420</v>
      </c>
      <c r="AL1400">
        <v>-1.93</v>
      </c>
      <c r="AM1400">
        <v>3103</v>
      </c>
      <c r="AN1400">
        <v>143</v>
      </c>
      <c r="AO1400">
        <v>1.9E-3</v>
      </c>
      <c r="AP1400">
        <v>-6</v>
      </c>
      <c r="AQ1400">
        <v>-0.72</v>
      </c>
      <c r="AR1400">
        <v>-6.1</v>
      </c>
      <c r="AS1400">
        <v>-18.03</v>
      </c>
      <c r="AT1400">
        <v>-31.04</v>
      </c>
      <c r="AU1400">
        <v>-59.02</v>
      </c>
      <c r="AV1400">
        <v>5</v>
      </c>
      <c r="AW1400">
        <v>6.53</v>
      </c>
      <c r="AX1400">
        <v>78.3</v>
      </c>
      <c r="AY1400" t="s">
        <v>120</v>
      </c>
      <c r="AZ1400" t="s">
        <v>120</v>
      </c>
      <c r="BA1400">
        <v>2.79</v>
      </c>
      <c r="BB1400" t="s">
        <v>143</v>
      </c>
      <c r="BF1400">
        <v>-1.64</v>
      </c>
      <c r="BG1400">
        <v>-4.3099999999999996</v>
      </c>
      <c r="BH1400">
        <v>-4.99</v>
      </c>
      <c r="BI1400">
        <v>0.25</v>
      </c>
      <c r="BJ1400">
        <v>20210830</v>
      </c>
      <c r="BK1400">
        <v>20091030</v>
      </c>
      <c r="BL1400">
        <v>8.68</v>
      </c>
      <c r="BM1400" t="s">
        <v>120</v>
      </c>
      <c r="BN1400" t="s">
        <v>120</v>
      </c>
      <c r="BO1400">
        <v>43.22</v>
      </c>
      <c r="BP1400">
        <v>4</v>
      </c>
      <c r="BQ1400">
        <v>5.7</v>
      </c>
      <c r="BR1400">
        <v>0.71</v>
      </c>
      <c r="BS1400">
        <v>85.16</v>
      </c>
      <c r="BT1400">
        <v>20.329999999999998</v>
      </c>
      <c r="BU1400">
        <v>2.78</v>
      </c>
      <c r="BV1400">
        <v>4.1399999999999997</v>
      </c>
      <c r="BW1400">
        <v>31.67</v>
      </c>
      <c r="BX1400">
        <v>1.33</v>
      </c>
      <c r="BY1400">
        <v>5.82</v>
      </c>
      <c r="BZ1400">
        <v>4.7699999999999996</v>
      </c>
      <c r="CA1400" t="s">
        <v>120</v>
      </c>
      <c r="CB1400">
        <v>29.41</v>
      </c>
      <c r="CC1400">
        <v>4.7300000000000004</v>
      </c>
      <c r="CD1400">
        <v>3.05</v>
      </c>
      <c r="CE1400">
        <v>-2.23</v>
      </c>
      <c r="CF1400">
        <v>-0.19</v>
      </c>
      <c r="CG1400">
        <v>-2.23</v>
      </c>
      <c r="CH1400">
        <v>-2.1800000000000002</v>
      </c>
      <c r="CI1400">
        <v>-2.13</v>
      </c>
      <c r="CJ1400">
        <v>-0.16</v>
      </c>
      <c r="CK1400">
        <v>-2.04</v>
      </c>
      <c r="CL1400">
        <v>-32.75</v>
      </c>
      <c r="CM1400">
        <v>-0.48</v>
      </c>
      <c r="CN1400">
        <v>-1.72</v>
      </c>
      <c r="CO1400">
        <v>56724</v>
      </c>
      <c r="CP1400">
        <v>11986</v>
      </c>
      <c r="CQ1400" t="s">
        <v>199</v>
      </c>
      <c r="CR1400">
        <v>-126.67</v>
      </c>
      <c r="CS1400">
        <v>-8.34</v>
      </c>
      <c r="CT1400">
        <v>6.09</v>
      </c>
      <c r="CU1400">
        <v>-71.92</v>
      </c>
      <c r="CV1400">
        <v>7.34</v>
      </c>
      <c r="CW1400">
        <v>0</v>
      </c>
      <c r="CX1400" t="s">
        <v>7421</v>
      </c>
      <c r="CY1400">
        <v>0.66</v>
      </c>
      <c r="CZ1400">
        <v>0</v>
      </c>
      <c r="DA1400">
        <v>3.39</v>
      </c>
      <c r="DB1400">
        <v>-3.77</v>
      </c>
      <c r="DC1400">
        <v>-0.06</v>
      </c>
      <c r="DD1400">
        <v>13.2</v>
      </c>
      <c r="DE1400" t="s">
        <v>7422</v>
      </c>
      <c r="DF1400">
        <v>35.479999999999997</v>
      </c>
      <c r="DG1400">
        <v>-47.1</v>
      </c>
      <c r="DH1400">
        <v>-44.91</v>
      </c>
      <c r="DI1400">
        <v>0.32</v>
      </c>
      <c r="DJ1400">
        <v>2420</v>
      </c>
      <c r="DK1400">
        <v>300010</v>
      </c>
      <c r="DL1400">
        <v>20210825</v>
      </c>
      <c r="DM1400">
        <v>5.35</v>
      </c>
      <c r="DN1400">
        <v>-25.23</v>
      </c>
    </row>
    <row r="1401" spans="1:118">
      <c r="A1401" t="str">
        <f>"300011"</f>
        <v>300011</v>
      </c>
      <c r="B1401" t="s">
        <v>7423</v>
      </c>
      <c r="C1401">
        <v>4.0599999999999996</v>
      </c>
      <c r="D1401">
        <v>0</v>
      </c>
      <c r="E1401">
        <v>-0.55000000000000004</v>
      </c>
      <c r="F1401">
        <v>12899</v>
      </c>
      <c r="G1401" t="s">
        <v>5639</v>
      </c>
      <c r="H1401">
        <v>67492.11</v>
      </c>
      <c r="I1401">
        <v>264.82</v>
      </c>
      <c r="J1401" t="s">
        <v>120</v>
      </c>
      <c r="K1401" t="s">
        <v>7424</v>
      </c>
      <c r="L1401">
        <v>14.33</v>
      </c>
      <c r="M1401">
        <v>9.48</v>
      </c>
      <c r="N1401">
        <v>1.06</v>
      </c>
      <c r="O1401">
        <v>6.37</v>
      </c>
      <c r="P1401">
        <v>9.69</v>
      </c>
      <c r="Q1401">
        <v>-1.98</v>
      </c>
      <c r="R1401">
        <v>8.93</v>
      </c>
      <c r="S1401">
        <v>9.06</v>
      </c>
      <c r="T1401">
        <v>717565</v>
      </c>
      <c r="U1401">
        <v>9.48</v>
      </c>
      <c r="V1401">
        <v>9.11</v>
      </c>
      <c r="W1401">
        <v>213.35</v>
      </c>
      <c r="X1401" t="s">
        <v>157</v>
      </c>
      <c r="Y1401" t="s">
        <v>158</v>
      </c>
      <c r="Z1401">
        <v>8.34</v>
      </c>
      <c r="AA1401">
        <v>9.41</v>
      </c>
      <c r="AB1401">
        <v>337112</v>
      </c>
      <c r="AC1401">
        <v>380453</v>
      </c>
      <c r="AD1401">
        <v>0.89</v>
      </c>
      <c r="AE1401">
        <v>945</v>
      </c>
      <c r="AF1401">
        <v>3234</v>
      </c>
      <c r="AG1401" t="s">
        <v>120</v>
      </c>
      <c r="AH1401">
        <v>0.08</v>
      </c>
      <c r="AI1401" t="s">
        <v>120</v>
      </c>
      <c r="AJ1401">
        <v>5.01</v>
      </c>
      <c r="AK1401" t="s">
        <v>7425</v>
      </c>
      <c r="AL1401">
        <v>5.98</v>
      </c>
      <c r="AM1401">
        <v>4417</v>
      </c>
      <c r="AN1401">
        <v>162</v>
      </c>
      <c r="AO1401">
        <v>3.2000000000000002E-3</v>
      </c>
      <c r="AP1401">
        <v>1</v>
      </c>
      <c r="AQ1401">
        <v>-3.19</v>
      </c>
      <c r="AR1401">
        <v>4.29</v>
      </c>
      <c r="AS1401">
        <v>33.9</v>
      </c>
      <c r="AT1401">
        <v>62.33</v>
      </c>
      <c r="AU1401">
        <v>39.619999999999997</v>
      </c>
      <c r="AV1401">
        <v>3</v>
      </c>
      <c r="AW1401">
        <v>19.53</v>
      </c>
      <c r="AX1401">
        <v>65.77</v>
      </c>
      <c r="AY1401" t="s">
        <v>120</v>
      </c>
      <c r="AZ1401" t="s">
        <v>120</v>
      </c>
      <c r="BA1401">
        <v>1.8</v>
      </c>
      <c r="BB1401" t="s">
        <v>240</v>
      </c>
      <c r="BF1401">
        <v>3.25</v>
      </c>
      <c r="BG1401">
        <v>4.6399999999999997</v>
      </c>
      <c r="BH1401">
        <v>-2.17</v>
      </c>
      <c r="BI1401">
        <v>6.16</v>
      </c>
      <c r="BJ1401">
        <v>20210830</v>
      </c>
      <c r="BK1401">
        <v>20091030</v>
      </c>
      <c r="BL1401">
        <v>5.59</v>
      </c>
      <c r="BM1401" t="s">
        <v>120</v>
      </c>
      <c r="BN1401" t="s">
        <v>120</v>
      </c>
      <c r="BO1401">
        <v>33.35</v>
      </c>
      <c r="BP1401">
        <v>9.4700000000000006</v>
      </c>
      <c r="BQ1401">
        <v>14.83</v>
      </c>
      <c r="BR1401" t="s">
        <v>120</v>
      </c>
      <c r="BS1401">
        <v>55.53</v>
      </c>
      <c r="BT1401">
        <v>21.8</v>
      </c>
      <c r="BU1401">
        <v>4.5599999999999996</v>
      </c>
      <c r="BV1401">
        <v>2.63</v>
      </c>
      <c r="BW1401">
        <v>14.5</v>
      </c>
      <c r="BX1401">
        <v>2.14</v>
      </c>
      <c r="BY1401">
        <v>3.5</v>
      </c>
      <c r="BZ1401">
        <v>11.14</v>
      </c>
      <c r="CA1401" t="s">
        <v>120</v>
      </c>
      <c r="CB1401">
        <v>11.56</v>
      </c>
      <c r="CC1401">
        <v>5.91</v>
      </c>
      <c r="CD1401">
        <v>3.74</v>
      </c>
      <c r="CE1401">
        <v>0.1</v>
      </c>
      <c r="CF1401">
        <v>0</v>
      </c>
      <c r="CG1401">
        <v>0.15</v>
      </c>
      <c r="CH1401">
        <v>0.12</v>
      </c>
      <c r="CI1401">
        <v>0.12</v>
      </c>
      <c r="CJ1401">
        <v>0.37</v>
      </c>
      <c r="CK1401">
        <v>0.1</v>
      </c>
      <c r="CL1401">
        <v>-2.85</v>
      </c>
      <c r="CM1401">
        <v>0.11</v>
      </c>
      <c r="CN1401">
        <v>-1.33</v>
      </c>
      <c r="CO1401">
        <v>26181</v>
      </c>
      <c r="CP1401">
        <v>14035</v>
      </c>
      <c r="CQ1401" t="s">
        <v>7426</v>
      </c>
      <c r="CR1401">
        <v>-50.05</v>
      </c>
      <c r="CS1401">
        <v>8.9600000000000009</v>
      </c>
      <c r="CT1401">
        <v>3.57</v>
      </c>
      <c r="CU1401">
        <v>503.29</v>
      </c>
      <c r="CV1401">
        <v>8.9700000000000006</v>
      </c>
      <c r="CW1401">
        <v>0</v>
      </c>
      <c r="CX1401" t="s">
        <v>1241</v>
      </c>
      <c r="CY1401">
        <v>2.65</v>
      </c>
      <c r="CZ1401">
        <v>0</v>
      </c>
      <c r="DA1401">
        <v>2.0699999999999998</v>
      </c>
      <c r="DB1401">
        <v>-0.51</v>
      </c>
      <c r="DC1401">
        <v>0.02</v>
      </c>
      <c r="DD1401">
        <v>44.47</v>
      </c>
      <c r="DE1401" t="s">
        <v>4026</v>
      </c>
      <c r="DF1401">
        <v>36.74</v>
      </c>
      <c r="DG1401">
        <v>1.69</v>
      </c>
      <c r="DH1401">
        <v>2.1</v>
      </c>
      <c r="DI1401">
        <v>0.26</v>
      </c>
      <c r="DJ1401">
        <v>1915</v>
      </c>
      <c r="DK1401">
        <v>300011</v>
      </c>
      <c r="DL1401">
        <v>20210802</v>
      </c>
      <c r="DM1401">
        <v>7.67</v>
      </c>
      <c r="DN1401">
        <v>23.6</v>
      </c>
    </row>
    <row r="1402" spans="1:118">
      <c r="A1402" t="str">
        <f>"300012"</f>
        <v>300012</v>
      </c>
      <c r="B1402" t="s">
        <v>7427</v>
      </c>
      <c r="C1402">
        <v>-2.42</v>
      </c>
      <c r="D1402">
        <v>-0.15</v>
      </c>
      <c r="E1402">
        <v>-0.04</v>
      </c>
      <c r="F1402">
        <v>1096</v>
      </c>
      <c r="G1402" t="s">
        <v>7428</v>
      </c>
      <c r="H1402">
        <v>31525.3</v>
      </c>
      <c r="I1402">
        <v>82.49</v>
      </c>
      <c r="J1402" t="s">
        <v>120</v>
      </c>
      <c r="K1402" t="s">
        <v>7429</v>
      </c>
      <c r="L1402">
        <v>0.84</v>
      </c>
      <c r="M1402">
        <v>24.55</v>
      </c>
      <c r="N1402">
        <v>0.81</v>
      </c>
      <c r="O1402">
        <v>0.95</v>
      </c>
      <c r="P1402">
        <v>25.4</v>
      </c>
      <c r="Q1402">
        <v>-2.62</v>
      </c>
      <c r="R1402">
        <v>24.5</v>
      </c>
      <c r="S1402">
        <v>25.15</v>
      </c>
      <c r="T1402">
        <v>127607</v>
      </c>
      <c r="U1402">
        <v>24.57</v>
      </c>
      <c r="V1402">
        <v>25.16</v>
      </c>
      <c r="W1402">
        <v>68.150000000000006</v>
      </c>
      <c r="X1402" t="s">
        <v>2717</v>
      </c>
      <c r="Y1402" t="s">
        <v>123</v>
      </c>
      <c r="Z1402">
        <v>3.58</v>
      </c>
      <c r="AA1402">
        <v>24.7</v>
      </c>
      <c r="AB1402">
        <v>73983</v>
      </c>
      <c r="AC1402">
        <v>53624</v>
      </c>
      <c r="AD1402">
        <v>1.38</v>
      </c>
      <c r="AE1402">
        <v>338</v>
      </c>
      <c r="AF1402">
        <v>2</v>
      </c>
      <c r="AG1402" t="s">
        <v>120</v>
      </c>
      <c r="AH1402">
        <v>0</v>
      </c>
      <c r="AI1402" t="s">
        <v>120</v>
      </c>
      <c r="AJ1402">
        <v>15.16</v>
      </c>
      <c r="AK1402" t="s">
        <v>7430</v>
      </c>
      <c r="AL1402">
        <v>-0.51</v>
      </c>
      <c r="AM1402">
        <v>3840</v>
      </c>
      <c r="AN1402">
        <v>33</v>
      </c>
      <c r="AO1402">
        <v>2.0000000000000001E-4</v>
      </c>
      <c r="AP1402">
        <v>-1</v>
      </c>
      <c r="AQ1402">
        <v>0.04</v>
      </c>
      <c r="AR1402">
        <v>-1.96</v>
      </c>
      <c r="AS1402">
        <v>-8.67</v>
      </c>
      <c r="AT1402">
        <v>-30.25</v>
      </c>
      <c r="AU1402">
        <v>-10.19</v>
      </c>
      <c r="AV1402">
        <v>0</v>
      </c>
      <c r="AW1402">
        <v>0.96</v>
      </c>
      <c r="AX1402">
        <v>79.78</v>
      </c>
      <c r="AY1402">
        <v>61.29</v>
      </c>
      <c r="AZ1402">
        <v>72.849999999999994</v>
      </c>
      <c r="BA1402">
        <v>0.43</v>
      </c>
      <c r="BB1402" t="s">
        <v>134</v>
      </c>
      <c r="BF1402">
        <v>-1.81</v>
      </c>
      <c r="BG1402">
        <v>-2.39</v>
      </c>
      <c r="BH1402">
        <v>-3.35</v>
      </c>
      <c r="BI1402">
        <v>0.2</v>
      </c>
      <c r="BJ1402">
        <v>20210825</v>
      </c>
      <c r="BK1402">
        <v>20091030</v>
      </c>
      <c r="BL1402">
        <v>16.72</v>
      </c>
      <c r="BM1402" t="s">
        <v>120</v>
      </c>
      <c r="BN1402" t="s">
        <v>120</v>
      </c>
      <c r="BO1402">
        <v>56.44</v>
      </c>
      <c r="BP1402">
        <v>24.55</v>
      </c>
      <c r="BQ1402">
        <v>39.94</v>
      </c>
      <c r="BR1402">
        <v>0.89</v>
      </c>
      <c r="BS1402">
        <v>27.66</v>
      </c>
      <c r="BT1402">
        <v>25.33</v>
      </c>
      <c r="BU1402">
        <v>14.11</v>
      </c>
      <c r="BV1402">
        <v>1.46</v>
      </c>
      <c r="BW1402">
        <v>11.16</v>
      </c>
      <c r="BX1402">
        <v>5.23</v>
      </c>
      <c r="BY1402">
        <v>0.56999999999999995</v>
      </c>
      <c r="BZ1402">
        <v>8.98</v>
      </c>
      <c r="CA1402" t="s">
        <v>120</v>
      </c>
      <c r="CB1402">
        <v>1.79</v>
      </c>
      <c r="CC1402">
        <v>18.09</v>
      </c>
      <c r="CD1402">
        <v>8.68</v>
      </c>
      <c r="CE1402">
        <v>3.41</v>
      </c>
      <c r="CF1402">
        <v>0.17</v>
      </c>
      <c r="CG1402">
        <v>3.45</v>
      </c>
      <c r="CH1402">
        <v>3.1</v>
      </c>
      <c r="CI1402">
        <v>3.01</v>
      </c>
      <c r="CJ1402">
        <v>-0.61</v>
      </c>
      <c r="CK1402">
        <v>2.4500000000000002</v>
      </c>
      <c r="CL1402">
        <v>19.489999999999998</v>
      </c>
      <c r="CM1402">
        <v>1.56</v>
      </c>
      <c r="CN1402">
        <v>-0.38</v>
      </c>
      <c r="CO1402">
        <v>37298</v>
      </c>
      <c r="CP1402">
        <v>35772</v>
      </c>
      <c r="CQ1402" t="s">
        <v>7431</v>
      </c>
      <c r="CR1402">
        <v>56.67</v>
      </c>
      <c r="CS1402">
        <v>35.08</v>
      </c>
      <c r="CT1402">
        <v>10.28</v>
      </c>
      <c r="CU1402">
        <v>263.99</v>
      </c>
      <c r="CV1402">
        <v>22.7</v>
      </c>
      <c r="CW1402">
        <v>0.14000000000000001</v>
      </c>
      <c r="CX1402" t="s">
        <v>242</v>
      </c>
      <c r="CY1402">
        <v>2.39</v>
      </c>
      <c r="CZ1402">
        <v>0</v>
      </c>
      <c r="DA1402">
        <v>0.11</v>
      </c>
      <c r="DB1402">
        <v>1.17</v>
      </c>
      <c r="DC1402">
        <v>0.09</v>
      </c>
      <c r="DD1402">
        <v>70.760000000000005</v>
      </c>
      <c r="DE1402" t="s">
        <v>7432</v>
      </c>
      <c r="DF1402">
        <v>51.99</v>
      </c>
      <c r="DG1402">
        <v>18.86</v>
      </c>
      <c r="DH1402">
        <v>16.66</v>
      </c>
      <c r="DI1402">
        <v>1.81</v>
      </c>
      <c r="DJ1402">
        <v>10069</v>
      </c>
      <c r="DK1402">
        <v>300012</v>
      </c>
      <c r="DL1402" t="s">
        <v>120</v>
      </c>
      <c r="DM1402" t="s">
        <v>120</v>
      </c>
      <c r="DN1402" t="s">
        <v>120</v>
      </c>
    </row>
    <row r="1403" spans="1:118">
      <c r="A1403" t="str">
        <f>"300013"</f>
        <v>300013</v>
      </c>
      <c r="B1403" t="s">
        <v>7433</v>
      </c>
      <c r="C1403">
        <v>-0.92</v>
      </c>
      <c r="D1403">
        <v>-0.22</v>
      </c>
      <c r="E1403">
        <v>-0.23</v>
      </c>
      <c r="F1403">
        <v>1023</v>
      </c>
      <c r="G1403" t="s">
        <v>7434</v>
      </c>
      <c r="H1403">
        <v>7144.7</v>
      </c>
      <c r="I1403">
        <v>48.32</v>
      </c>
      <c r="J1403" t="s">
        <v>120</v>
      </c>
      <c r="K1403" t="s">
        <v>6705</v>
      </c>
      <c r="L1403">
        <v>3.66</v>
      </c>
      <c r="M1403">
        <v>4.3</v>
      </c>
      <c r="N1403">
        <v>0.7</v>
      </c>
      <c r="O1403">
        <v>3</v>
      </c>
      <c r="P1403">
        <v>4.47</v>
      </c>
      <c r="Q1403">
        <v>-0.92</v>
      </c>
      <c r="R1403">
        <v>4.3</v>
      </c>
      <c r="S1403">
        <v>4.33</v>
      </c>
      <c r="T1403">
        <v>163274</v>
      </c>
      <c r="U1403">
        <v>4.3099999999999996</v>
      </c>
      <c r="V1403">
        <v>4.34</v>
      </c>
      <c r="W1403" t="s">
        <v>120</v>
      </c>
      <c r="X1403" t="s">
        <v>2775</v>
      </c>
      <c r="Y1403" t="s">
        <v>319</v>
      </c>
      <c r="Z1403">
        <v>3.92</v>
      </c>
      <c r="AA1403">
        <v>4.38</v>
      </c>
      <c r="AB1403">
        <v>76006</v>
      </c>
      <c r="AC1403">
        <v>87268</v>
      </c>
      <c r="AD1403">
        <v>0.87</v>
      </c>
      <c r="AE1403">
        <v>1457</v>
      </c>
      <c r="AF1403">
        <v>596</v>
      </c>
      <c r="AG1403" t="s">
        <v>120</v>
      </c>
      <c r="AH1403">
        <v>0.03</v>
      </c>
      <c r="AI1403" t="s">
        <v>120</v>
      </c>
      <c r="AJ1403">
        <v>4.46</v>
      </c>
      <c r="AK1403" t="s">
        <v>7435</v>
      </c>
      <c r="AL1403">
        <v>0.99</v>
      </c>
      <c r="AM1403">
        <v>1811</v>
      </c>
      <c r="AN1403">
        <v>90</v>
      </c>
      <c r="AO1403">
        <v>2E-3</v>
      </c>
      <c r="AP1403">
        <v>-3</v>
      </c>
      <c r="AQ1403">
        <v>-1.1399999999999999</v>
      </c>
      <c r="AR1403">
        <v>-4.87</v>
      </c>
      <c r="AS1403">
        <v>6.44</v>
      </c>
      <c r="AT1403">
        <v>-8.7100000000000009</v>
      </c>
      <c r="AU1403">
        <v>-41.89</v>
      </c>
      <c r="AV1403">
        <v>1</v>
      </c>
      <c r="AW1403">
        <v>4.92</v>
      </c>
      <c r="AX1403">
        <v>74.239999999999995</v>
      </c>
      <c r="AY1403" t="s">
        <v>120</v>
      </c>
      <c r="AZ1403" t="s">
        <v>120</v>
      </c>
      <c r="BA1403">
        <v>0.73</v>
      </c>
      <c r="BB1403" t="s">
        <v>143</v>
      </c>
      <c r="BF1403">
        <v>0.83</v>
      </c>
      <c r="BG1403">
        <v>-0.69</v>
      </c>
      <c r="BH1403">
        <v>-3.8</v>
      </c>
      <c r="BI1403">
        <v>0</v>
      </c>
      <c r="BJ1403">
        <v>20210830</v>
      </c>
      <c r="BK1403">
        <v>20091030</v>
      </c>
      <c r="BL1403">
        <v>4.47</v>
      </c>
      <c r="BM1403" t="s">
        <v>120</v>
      </c>
      <c r="BN1403" t="s">
        <v>120</v>
      </c>
      <c r="BO1403">
        <v>11.3</v>
      </c>
      <c r="BP1403">
        <v>4.3</v>
      </c>
      <c r="BQ1403">
        <v>1.53</v>
      </c>
      <c r="BR1403">
        <v>0.3</v>
      </c>
      <c r="BS1403">
        <v>83.84</v>
      </c>
      <c r="BT1403">
        <v>4.54</v>
      </c>
      <c r="BU1403">
        <v>2.68</v>
      </c>
      <c r="BV1403">
        <v>0.78</v>
      </c>
      <c r="BW1403">
        <v>6.59</v>
      </c>
      <c r="BX1403">
        <v>0.55000000000000004</v>
      </c>
      <c r="BY1403">
        <v>0.3</v>
      </c>
      <c r="BZ1403">
        <v>2.64</v>
      </c>
      <c r="CA1403">
        <v>0</v>
      </c>
      <c r="CB1403">
        <v>7.57</v>
      </c>
      <c r="CC1403">
        <v>4.2300000000000004</v>
      </c>
      <c r="CD1403">
        <v>3.06</v>
      </c>
      <c r="CE1403">
        <v>-0.5</v>
      </c>
      <c r="CF1403">
        <v>0.12</v>
      </c>
      <c r="CG1403">
        <v>-0.5</v>
      </c>
      <c r="CH1403">
        <v>-0.56999999999999995</v>
      </c>
      <c r="CI1403">
        <v>-0.56000000000000005</v>
      </c>
      <c r="CJ1403">
        <v>-0.04</v>
      </c>
      <c r="CK1403">
        <v>-0.64</v>
      </c>
      <c r="CL1403">
        <v>-10.66</v>
      </c>
      <c r="CM1403">
        <v>0.56999999999999995</v>
      </c>
      <c r="CN1403">
        <v>-0.23</v>
      </c>
      <c r="CO1403">
        <v>24679</v>
      </c>
      <c r="CP1403">
        <v>13437</v>
      </c>
      <c r="CQ1403" t="s">
        <v>5560</v>
      </c>
      <c r="CR1403">
        <v>-381.57</v>
      </c>
      <c r="CS1403">
        <v>16.760000000000002</v>
      </c>
      <c r="CT1403">
        <v>12.59</v>
      </c>
      <c r="CU1403">
        <v>33.57</v>
      </c>
      <c r="CV1403">
        <v>4.55</v>
      </c>
      <c r="CW1403">
        <v>0</v>
      </c>
      <c r="CX1403" t="s">
        <v>359</v>
      </c>
      <c r="CY1403">
        <v>0.34</v>
      </c>
      <c r="CZ1403">
        <v>0</v>
      </c>
      <c r="DA1403">
        <v>1.69</v>
      </c>
      <c r="DB1403">
        <v>-2.39</v>
      </c>
      <c r="DC1403">
        <v>0.13</v>
      </c>
      <c r="DD1403">
        <v>13.5</v>
      </c>
      <c r="DE1403" t="s">
        <v>7436</v>
      </c>
      <c r="DF1403">
        <v>27.58</v>
      </c>
      <c r="DG1403">
        <v>-11.9</v>
      </c>
      <c r="DH1403">
        <v>-13.33</v>
      </c>
      <c r="DI1403">
        <v>0.21</v>
      </c>
      <c r="DJ1403">
        <v>2347</v>
      </c>
      <c r="DK1403">
        <v>300013</v>
      </c>
      <c r="DL1403" t="s">
        <v>120</v>
      </c>
      <c r="DM1403" t="s">
        <v>120</v>
      </c>
      <c r="DN1403" t="s">
        <v>120</v>
      </c>
    </row>
    <row r="1404" spans="1:118">
      <c r="A1404" t="str">
        <f>"300014"</f>
        <v>300014</v>
      </c>
      <c r="B1404" t="s">
        <v>7437</v>
      </c>
      <c r="C1404">
        <v>-3.26</v>
      </c>
      <c r="D1404">
        <v>0.24</v>
      </c>
      <c r="E1404">
        <v>-0.1</v>
      </c>
      <c r="F1404">
        <v>2891</v>
      </c>
      <c r="G1404" t="s">
        <v>7438</v>
      </c>
      <c r="H1404">
        <v>279343.2</v>
      </c>
      <c r="I1404">
        <v>867.32</v>
      </c>
      <c r="J1404" t="s">
        <v>120</v>
      </c>
      <c r="K1404" t="s">
        <v>7439</v>
      </c>
      <c r="L1404">
        <v>1.67</v>
      </c>
      <c r="M1404">
        <v>90.31</v>
      </c>
      <c r="N1404">
        <v>0.74</v>
      </c>
      <c r="O1404">
        <v>0.46</v>
      </c>
      <c r="P1404">
        <v>93.78</v>
      </c>
      <c r="Q1404">
        <v>-3.72</v>
      </c>
      <c r="R1404">
        <v>89.88</v>
      </c>
      <c r="S1404">
        <v>93.26</v>
      </c>
      <c r="T1404">
        <v>306795</v>
      </c>
      <c r="U1404">
        <v>90.33</v>
      </c>
      <c r="V1404">
        <v>93.35</v>
      </c>
      <c r="W1404">
        <v>57.27</v>
      </c>
      <c r="X1404" t="s">
        <v>394</v>
      </c>
      <c r="Y1404" t="s">
        <v>547</v>
      </c>
      <c r="Z1404">
        <v>4.18</v>
      </c>
      <c r="AA1404">
        <v>91.05</v>
      </c>
      <c r="AB1404">
        <v>151714</v>
      </c>
      <c r="AC1404">
        <v>155081</v>
      </c>
      <c r="AD1404">
        <v>0.98</v>
      </c>
      <c r="AE1404">
        <v>3</v>
      </c>
      <c r="AF1404">
        <v>3</v>
      </c>
      <c r="AG1404" t="s">
        <v>120</v>
      </c>
      <c r="AH1404">
        <v>0.01</v>
      </c>
      <c r="AI1404" t="s">
        <v>120</v>
      </c>
      <c r="AJ1404">
        <v>18.36</v>
      </c>
      <c r="AK1404" t="s">
        <v>7440</v>
      </c>
      <c r="AL1404">
        <v>-1.34</v>
      </c>
      <c r="AM1404">
        <v>4728</v>
      </c>
      <c r="AN1404">
        <v>65</v>
      </c>
      <c r="AO1404">
        <v>4.0000000000000002E-4</v>
      </c>
      <c r="AP1404">
        <v>-2</v>
      </c>
      <c r="AQ1404">
        <v>-3.37</v>
      </c>
      <c r="AR1404">
        <v>-2.4700000000000002</v>
      </c>
      <c r="AS1404">
        <v>-12.73</v>
      </c>
      <c r="AT1404">
        <v>-12.21</v>
      </c>
      <c r="AU1404">
        <v>10.85</v>
      </c>
      <c r="AV1404">
        <v>0</v>
      </c>
      <c r="AW1404">
        <v>2.5499999999999998</v>
      </c>
      <c r="AX1404">
        <v>63.52</v>
      </c>
      <c r="AY1404">
        <v>63.58</v>
      </c>
      <c r="AZ1404">
        <v>107.12</v>
      </c>
      <c r="BA1404">
        <v>2.4</v>
      </c>
      <c r="BB1404" t="s">
        <v>125</v>
      </c>
      <c r="BF1404">
        <v>-2.46</v>
      </c>
      <c r="BG1404">
        <v>-3.16</v>
      </c>
      <c r="BH1404">
        <v>-3.7</v>
      </c>
      <c r="BI1404">
        <v>0.48</v>
      </c>
      <c r="BJ1404">
        <v>20210902</v>
      </c>
      <c r="BK1404">
        <v>20091030</v>
      </c>
      <c r="BL1404">
        <v>18.96</v>
      </c>
      <c r="BM1404" t="s">
        <v>120</v>
      </c>
      <c r="BN1404" t="s">
        <v>120</v>
      </c>
      <c r="BO1404">
        <v>318.07</v>
      </c>
      <c r="BP1404">
        <v>90.31</v>
      </c>
      <c r="BQ1404">
        <v>162.88999999999999</v>
      </c>
      <c r="BR1404">
        <v>22.55</v>
      </c>
      <c r="BS1404">
        <v>41.7</v>
      </c>
      <c r="BT1404">
        <v>132.69</v>
      </c>
      <c r="BU1404">
        <v>69.44</v>
      </c>
      <c r="BV1404">
        <v>5.84</v>
      </c>
      <c r="BW1404">
        <v>106.15</v>
      </c>
      <c r="BX1404">
        <v>44.94</v>
      </c>
      <c r="BY1404">
        <v>27.15</v>
      </c>
      <c r="BZ1404">
        <v>37.93</v>
      </c>
      <c r="CA1404" t="s">
        <v>120</v>
      </c>
      <c r="CB1404">
        <v>82.07</v>
      </c>
      <c r="CC1404">
        <v>65.599999999999994</v>
      </c>
      <c r="CD1404">
        <v>49</v>
      </c>
      <c r="CE1404">
        <v>16.399999999999999</v>
      </c>
      <c r="CF1404">
        <v>9.09</v>
      </c>
      <c r="CG1404">
        <v>16.149999999999999</v>
      </c>
      <c r="CH1404">
        <v>16.399999999999999</v>
      </c>
      <c r="CI1404">
        <v>14.95</v>
      </c>
      <c r="CJ1404">
        <v>-3.04</v>
      </c>
      <c r="CK1404">
        <v>14.25</v>
      </c>
      <c r="CL1404">
        <v>58.7</v>
      </c>
      <c r="CM1404">
        <v>3.34</v>
      </c>
      <c r="CN1404">
        <v>4.6900000000000004</v>
      </c>
      <c r="CO1404">
        <v>162253</v>
      </c>
      <c r="CP1404">
        <v>7422</v>
      </c>
      <c r="CQ1404" t="s">
        <v>7441</v>
      </c>
      <c r="CR1404">
        <v>311.49</v>
      </c>
      <c r="CS1404">
        <v>106.54</v>
      </c>
      <c r="CT1404">
        <v>10.47</v>
      </c>
      <c r="CU1404">
        <v>511.92</v>
      </c>
      <c r="CV1404">
        <v>26.1</v>
      </c>
      <c r="CW1404">
        <v>0.03</v>
      </c>
      <c r="CX1404" t="s">
        <v>3050</v>
      </c>
      <c r="CY1404">
        <v>8.6300000000000008</v>
      </c>
      <c r="CZ1404">
        <v>8.6300000000000008</v>
      </c>
      <c r="DA1404">
        <v>4.33</v>
      </c>
      <c r="DB1404">
        <v>3.1</v>
      </c>
      <c r="DC1404">
        <v>0.18</v>
      </c>
      <c r="DD1404">
        <v>51.21</v>
      </c>
      <c r="DE1404" t="s">
        <v>7442</v>
      </c>
      <c r="DF1404">
        <v>25.3</v>
      </c>
      <c r="DG1404">
        <v>24.99</v>
      </c>
      <c r="DH1404">
        <v>22.79</v>
      </c>
      <c r="DI1404">
        <v>5.51</v>
      </c>
      <c r="DJ1404">
        <v>9669</v>
      </c>
      <c r="DK1404">
        <v>300014</v>
      </c>
      <c r="DL1404" t="s">
        <v>120</v>
      </c>
      <c r="DM1404" t="s">
        <v>120</v>
      </c>
      <c r="DN1404" t="s">
        <v>120</v>
      </c>
    </row>
    <row r="1405" spans="1:118">
      <c r="A1405" t="str">
        <f>"300015"</f>
        <v>300015</v>
      </c>
      <c r="B1405" t="s">
        <v>7443</v>
      </c>
      <c r="C1405">
        <v>6.24</v>
      </c>
      <c r="D1405">
        <v>-0.24</v>
      </c>
      <c r="E1405">
        <v>-1.1599999999999999</v>
      </c>
      <c r="F1405">
        <v>8417</v>
      </c>
      <c r="G1405" t="s">
        <v>7444</v>
      </c>
      <c r="H1405">
        <v>380731.56</v>
      </c>
      <c r="I1405">
        <v>817.28</v>
      </c>
      <c r="J1405" t="s">
        <v>120</v>
      </c>
      <c r="K1405" t="s">
        <v>7445</v>
      </c>
      <c r="L1405">
        <v>1.79</v>
      </c>
      <c r="M1405">
        <v>48.69</v>
      </c>
      <c r="N1405">
        <v>1.93</v>
      </c>
      <c r="O1405">
        <v>9.23</v>
      </c>
      <c r="P1405">
        <v>50.06</v>
      </c>
      <c r="Q1405">
        <v>-2.12</v>
      </c>
      <c r="R1405">
        <v>44.86</v>
      </c>
      <c r="S1405">
        <v>45.3</v>
      </c>
      <c r="T1405">
        <v>797594</v>
      </c>
      <c r="U1405">
        <v>48.7</v>
      </c>
      <c r="V1405">
        <v>45.83</v>
      </c>
      <c r="W1405">
        <v>117.94</v>
      </c>
      <c r="X1405" t="s">
        <v>555</v>
      </c>
      <c r="Y1405" t="s">
        <v>594</v>
      </c>
      <c r="Z1405">
        <v>11.35</v>
      </c>
      <c r="AA1405">
        <v>47.74</v>
      </c>
      <c r="AB1405">
        <v>357111</v>
      </c>
      <c r="AC1405">
        <v>440483</v>
      </c>
      <c r="AD1405">
        <v>0.81</v>
      </c>
      <c r="AE1405">
        <v>375</v>
      </c>
      <c r="AF1405">
        <v>125</v>
      </c>
      <c r="AG1405" t="s">
        <v>120</v>
      </c>
      <c r="AH1405">
        <v>0.01</v>
      </c>
      <c r="AI1405" t="s">
        <v>120</v>
      </c>
      <c r="AJ1405">
        <v>44.59</v>
      </c>
      <c r="AK1405" t="s">
        <v>7446</v>
      </c>
      <c r="AL1405">
        <v>8.15</v>
      </c>
      <c r="AM1405">
        <v>4753</v>
      </c>
      <c r="AN1405">
        <v>168</v>
      </c>
      <c r="AO1405">
        <v>4.0000000000000002E-4</v>
      </c>
      <c r="AP1405">
        <v>1</v>
      </c>
      <c r="AQ1405">
        <v>-2.2799999999999998</v>
      </c>
      <c r="AR1405">
        <v>6.31</v>
      </c>
      <c r="AS1405">
        <v>-2.76</v>
      </c>
      <c r="AT1405">
        <v>-24.94</v>
      </c>
      <c r="AU1405">
        <v>-15.54</v>
      </c>
      <c r="AV1405">
        <v>0</v>
      </c>
      <c r="AW1405">
        <v>3.64</v>
      </c>
      <c r="AX1405">
        <v>40.49</v>
      </c>
      <c r="AY1405">
        <v>114.51</v>
      </c>
      <c r="AZ1405">
        <v>143.71</v>
      </c>
      <c r="BA1405">
        <v>1.77</v>
      </c>
      <c r="BB1405" t="s">
        <v>143</v>
      </c>
      <c r="BF1405">
        <v>4.16</v>
      </c>
      <c r="BG1405">
        <v>7.48</v>
      </c>
      <c r="BH1405">
        <v>-2.74</v>
      </c>
      <c r="BI1405">
        <v>8.5399999999999991</v>
      </c>
      <c r="BJ1405">
        <v>20210827</v>
      </c>
      <c r="BK1405">
        <v>20091030</v>
      </c>
      <c r="BL1405">
        <v>54.06</v>
      </c>
      <c r="BM1405" t="s">
        <v>120</v>
      </c>
      <c r="BN1405" t="s">
        <v>120</v>
      </c>
      <c r="BO1405">
        <v>210.96</v>
      </c>
      <c r="BP1405">
        <v>48.69</v>
      </c>
      <c r="BQ1405">
        <v>101.21</v>
      </c>
      <c r="BR1405">
        <v>8.0399999999999991</v>
      </c>
      <c r="BS1405">
        <v>48.21</v>
      </c>
      <c r="BT1405">
        <v>73.319999999999993</v>
      </c>
      <c r="BU1405">
        <v>21.33</v>
      </c>
      <c r="BV1405">
        <v>5.34</v>
      </c>
      <c r="BW1405">
        <v>58.91</v>
      </c>
      <c r="BX1405">
        <v>42.28</v>
      </c>
      <c r="BY1405">
        <v>5.36</v>
      </c>
      <c r="BZ1405">
        <v>17.190000000000001</v>
      </c>
      <c r="CA1405" t="s">
        <v>120</v>
      </c>
      <c r="CB1405">
        <v>21.71</v>
      </c>
      <c r="CC1405">
        <v>73.48</v>
      </c>
      <c r="CD1405">
        <v>37.67</v>
      </c>
      <c r="CE1405">
        <v>17.399999999999999</v>
      </c>
      <c r="CF1405">
        <v>0.25</v>
      </c>
      <c r="CG1405">
        <v>16.14</v>
      </c>
      <c r="CH1405">
        <v>12.33</v>
      </c>
      <c r="CI1405">
        <v>11.16</v>
      </c>
      <c r="CJ1405">
        <v>2.86</v>
      </c>
      <c r="CK1405">
        <v>12.27</v>
      </c>
      <c r="CL1405">
        <v>32.65</v>
      </c>
      <c r="CM1405">
        <v>19.12</v>
      </c>
      <c r="CN1405">
        <v>11.78</v>
      </c>
      <c r="CO1405">
        <v>195528</v>
      </c>
      <c r="CP1405">
        <v>11193</v>
      </c>
      <c r="CQ1405" t="s">
        <v>7447</v>
      </c>
      <c r="CR1405">
        <v>65.03</v>
      </c>
      <c r="CS1405">
        <v>76.47</v>
      </c>
      <c r="CT1405">
        <v>26</v>
      </c>
      <c r="CU1405">
        <v>137.65</v>
      </c>
      <c r="CV1405">
        <v>35.82</v>
      </c>
      <c r="CW1405">
        <v>0.25</v>
      </c>
      <c r="CX1405" t="s">
        <v>2097</v>
      </c>
      <c r="CY1405">
        <v>1.87</v>
      </c>
      <c r="CZ1405">
        <v>0</v>
      </c>
      <c r="DA1405">
        <v>0.4</v>
      </c>
      <c r="DB1405">
        <v>0.6</v>
      </c>
      <c r="DC1405">
        <v>0.35</v>
      </c>
      <c r="DD1405">
        <v>47.98</v>
      </c>
      <c r="DE1405" t="s">
        <v>3302</v>
      </c>
      <c r="DF1405">
        <v>48.74</v>
      </c>
      <c r="DG1405">
        <v>23.67</v>
      </c>
      <c r="DH1405">
        <v>15.18</v>
      </c>
      <c r="DI1405">
        <v>1.03</v>
      </c>
      <c r="DJ1405">
        <v>22808</v>
      </c>
      <c r="DK1405">
        <v>300015</v>
      </c>
      <c r="DL1405" t="s">
        <v>120</v>
      </c>
      <c r="DM1405" t="s">
        <v>120</v>
      </c>
      <c r="DN1405" t="s">
        <v>120</v>
      </c>
    </row>
    <row r="1406" spans="1:118">
      <c r="A1406" t="str">
        <f>"300016"</f>
        <v>300016</v>
      </c>
      <c r="B1406" t="s">
        <v>7448</v>
      </c>
      <c r="C1406">
        <v>-3.21</v>
      </c>
      <c r="D1406">
        <v>0.11</v>
      </c>
      <c r="E1406">
        <v>-1.24</v>
      </c>
      <c r="F1406">
        <v>687</v>
      </c>
      <c r="G1406" t="s">
        <v>7449</v>
      </c>
      <c r="H1406">
        <v>9151.34</v>
      </c>
      <c r="I1406">
        <v>188.61</v>
      </c>
      <c r="J1406" t="s">
        <v>120</v>
      </c>
      <c r="K1406" t="s">
        <v>7450</v>
      </c>
      <c r="L1406">
        <v>2.37</v>
      </c>
      <c r="M1406">
        <v>9.36</v>
      </c>
      <c r="N1406">
        <v>0.86</v>
      </c>
      <c r="O1406">
        <v>-0.21</v>
      </c>
      <c r="P1406">
        <v>9.65</v>
      </c>
      <c r="Q1406">
        <v>-3.41</v>
      </c>
      <c r="R1406">
        <v>9.34</v>
      </c>
      <c r="S1406">
        <v>9.5500000000000007</v>
      </c>
      <c r="T1406">
        <v>96349</v>
      </c>
      <c r="U1406">
        <v>9.3699999999999992</v>
      </c>
      <c r="V1406">
        <v>9.67</v>
      </c>
      <c r="W1406">
        <v>19.8</v>
      </c>
      <c r="X1406" t="s">
        <v>771</v>
      </c>
      <c r="Y1406" t="s">
        <v>158</v>
      </c>
      <c r="Z1406">
        <v>3.21</v>
      </c>
      <c r="AA1406">
        <v>9.5</v>
      </c>
      <c r="AB1406">
        <v>54973</v>
      </c>
      <c r="AC1406">
        <v>41376</v>
      </c>
      <c r="AD1406">
        <v>1.33</v>
      </c>
      <c r="AE1406">
        <v>264</v>
      </c>
      <c r="AF1406">
        <v>33</v>
      </c>
      <c r="AG1406" t="s">
        <v>120</v>
      </c>
      <c r="AH1406">
        <v>0.06</v>
      </c>
      <c r="AI1406" t="s">
        <v>120</v>
      </c>
      <c r="AJ1406">
        <v>4.07</v>
      </c>
      <c r="AK1406" t="s">
        <v>7451</v>
      </c>
      <c r="AL1406">
        <v>-1.29</v>
      </c>
      <c r="AM1406">
        <v>2234</v>
      </c>
      <c r="AN1406">
        <v>43</v>
      </c>
      <c r="AO1406">
        <v>1.1000000000000001E-3</v>
      </c>
      <c r="AP1406">
        <v>-1</v>
      </c>
      <c r="AQ1406">
        <v>1.79</v>
      </c>
      <c r="AR1406">
        <v>-0.32</v>
      </c>
      <c r="AS1406">
        <v>4.58</v>
      </c>
      <c r="AT1406">
        <v>3.66</v>
      </c>
      <c r="AU1406">
        <v>-1.47</v>
      </c>
      <c r="AV1406">
        <v>0</v>
      </c>
      <c r="AW1406">
        <v>2.82</v>
      </c>
      <c r="AX1406">
        <v>69.36</v>
      </c>
      <c r="AY1406">
        <v>23.87</v>
      </c>
      <c r="AZ1406">
        <v>27.28</v>
      </c>
      <c r="BA1406">
        <v>0.5</v>
      </c>
      <c r="BB1406" t="s">
        <v>125</v>
      </c>
      <c r="BF1406">
        <v>-1.78</v>
      </c>
      <c r="BG1406">
        <v>-1.99</v>
      </c>
      <c r="BH1406">
        <v>-3.01</v>
      </c>
      <c r="BI1406">
        <v>0.21</v>
      </c>
      <c r="BJ1406">
        <v>20210826</v>
      </c>
      <c r="BK1406">
        <v>20091030</v>
      </c>
      <c r="BL1406">
        <v>4.93</v>
      </c>
      <c r="BM1406" t="s">
        <v>120</v>
      </c>
      <c r="BN1406" t="s">
        <v>120</v>
      </c>
      <c r="BO1406">
        <v>29.07</v>
      </c>
      <c r="BP1406">
        <v>9.36</v>
      </c>
      <c r="BQ1406">
        <v>18.309999999999999</v>
      </c>
      <c r="BR1406">
        <v>1.43</v>
      </c>
      <c r="BS1406">
        <v>32.119999999999997</v>
      </c>
      <c r="BT1406">
        <v>13.9</v>
      </c>
      <c r="BU1406">
        <v>6.32</v>
      </c>
      <c r="BV1406">
        <v>1.31</v>
      </c>
      <c r="BW1406">
        <v>3.25</v>
      </c>
      <c r="BX1406">
        <v>8.81</v>
      </c>
      <c r="BY1406">
        <v>1.44</v>
      </c>
      <c r="BZ1406">
        <v>2.62</v>
      </c>
      <c r="CA1406" t="s">
        <v>120</v>
      </c>
      <c r="CB1406">
        <v>1.84</v>
      </c>
      <c r="CC1406">
        <v>5.35</v>
      </c>
      <c r="CD1406">
        <v>1.96</v>
      </c>
      <c r="CE1406">
        <v>1.27</v>
      </c>
      <c r="CF1406">
        <v>0.05</v>
      </c>
      <c r="CG1406">
        <v>1.24</v>
      </c>
      <c r="CH1406">
        <v>1.0900000000000001</v>
      </c>
      <c r="CI1406">
        <v>1.1599999999999999</v>
      </c>
      <c r="CJ1406">
        <v>-0.31</v>
      </c>
      <c r="CK1406">
        <v>1.08</v>
      </c>
      <c r="CL1406">
        <v>9.0299999999999994</v>
      </c>
      <c r="CM1406">
        <v>1.03</v>
      </c>
      <c r="CN1406">
        <v>-1.39</v>
      </c>
      <c r="CO1406">
        <v>31928</v>
      </c>
      <c r="CP1406">
        <v>10706</v>
      </c>
      <c r="CQ1406" t="s">
        <v>6233</v>
      </c>
      <c r="CR1406">
        <v>27.21</v>
      </c>
      <c r="CS1406">
        <v>45.61</v>
      </c>
      <c r="CT1406">
        <v>2.72</v>
      </c>
      <c r="CU1406">
        <v>44.97</v>
      </c>
      <c r="CV1406">
        <v>8.6199999999999992</v>
      </c>
      <c r="CW1406">
        <v>0.62</v>
      </c>
      <c r="CX1406" t="s">
        <v>626</v>
      </c>
      <c r="CY1406">
        <v>3.44</v>
      </c>
      <c r="CZ1406">
        <v>3.44</v>
      </c>
      <c r="DA1406">
        <v>0.37</v>
      </c>
      <c r="DB1406">
        <v>1.83</v>
      </c>
      <c r="DC1406">
        <v>0.21</v>
      </c>
      <c r="DD1406">
        <v>62.96</v>
      </c>
      <c r="DE1406" t="s">
        <v>987</v>
      </c>
      <c r="DF1406">
        <v>63.38</v>
      </c>
      <c r="DG1406">
        <v>23.77</v>
      </c>
      <c r="DH1406">
        <v>21.76</v>
      </c>
      <c r="DI1406">
        <v>0.24</v>
      </c>
      <c r="DJ1406">
        <v>827</v>
      </c>
      <c r="DK1406">
        <v>300016</v>
      </c>
      <c r="DL1406" t="s">
        <v>120</v>
      </c>
      <c r="DM1406" t="s">
        <v>120</v>
      </c>
      <c r="DN1406" t="s">
        <v>120</v>
      </c>
    </row>
    <row r="1407" spans="1:118">
      <c r="A1407" t="str">
        <f>"300017"</f>
        <v>300017</v>
      </c>
      <c r="B1407" t="s">
        <v>7452</v>
      </c>
      <c r="C1407">
        <v>-3.16</v>
      </c>
      <c r="D1407">
        <v>-0.61</v>
      </c>
      <c r="E1407">
        <v>-0.45</v>
      </c>
      <c r="F1407">
        <v>20011</v>
      </c>
      <c r="G1407" t="s">
        <v>7453</v>
      </c>
      <c r="H1407">
        <v>48484.41</v>
      </c>
      <c r="I1407">
        <v>383.71</v>
      </c>
      <c r="J1407" t="s">
        <v>120</v>
      </c>
      <c r="K1407" t="s">
        <v>7454</v>
      </c>
      <c r="L1407">
        <v>3.27</v>
      </c>
      <c r="M1407">
        <v>6.43</v>
      </c>
      <c r="N1407">
        <v>0.92</v>
      </c>
      <c r="O1407">
        <v>0.6</v>
      </c>
      <c r="P1407">
        <v>6.68</v>
      </c>
      <c r="Q1407">
        <v>-3.16</v>
      </c>
      <c r="R1407">
        <v>6.43</v>
      </c>
      <c r="S1407">
        <v>6.61</v>
      </c>
      <c r="T1407">
        <v>741822</v>
      </c>
      <c r="U1407">
        <v>6.46</v>
      </c>
      <c r="V1407">
        <v>6.64</v>
      </c>
      <c r="W1407">
        <v>86.19</v>
      </c>
      <c r="X1407" t="s">
        <v>3322</v>
      </c>
      <c r="Y1407" t="s">
        <v>1510</v>
      </c>
      <c r="Z1407">
        <v>3.77</v>
      </c>
      <c r="AA1407">
        <v>6.54</v>
      </c>
      <c r="AB1407">
        <v>426286</v>
      </c>
      <c r="AC1407">
        <v>315536</v>
      </c>
      <c r="AD1407">
        <v>1.35</v>
      </c>
      <c r="AE1407">
        <v>5312</v>
      </c>
      <c r="AF1407">
        <v>155</v>
      </c>
      <c r="AG1407" t="s">
        <v>120</v>
      </c>
      <c r="AH1407">
        <v>0.03</v>
      </c>
      <c r="AI1407" t="s">
        <v>120</v>
      </c>
      <c r="AJ1407">
        <v>22.67</v>
      </c>
      <c r="AK1407" t="s">
        <v>1069</v>
      </c>
      <c r="AL1407">
        <v>-1.25</v>
      </c>
      <c r="AM1407">
        <v>4164</v>
      </c>
      <c r="AN1407">
        <v>178</v>
      </c>
      <c r="AO1407">
        <v>8.0000000000000004E-4</v>
      </c>
      <c r="AP1407">
        <v>-1</v>
      </c>
      <c r="AQ1407">
        <v>4.7300000000000004</v>
      </c>
      <c r="AR1407">
        <v>-0.77</v>
      </c>
      <c r="AS1407">
        <v>0.47</v>
      </c>
      <c r="AT1407">
        <v>8.07</v>
      </c>
      <c r="AU1407">
        <v>-6.54</v>
      </c>
      <c r="AV1407">
        <v>0</v>
      </c>
      <c r="AW1407">
        <v>3.79</v>
      </c>
      <c r="AX1407">
        <v>79.89</v>
      </c>
      <c r="AY1407">
        <v>120.82</v>
      </c>
      <c r="AZ1407">
        <v>73.86</v>
      </c>
      <c r="BA1407">
        <v>0.5</v>
      </c>
      <c r="BB1407" t="s">
        <v>700</v>
      </c>
      <c r="BF1407">
        <v>-1.57</v>
      </c>
      <c r="BG1407">
        <v>-2.72</v>
      </c>
      <c r="BH1407">
        <v>-3.74</v>
      </c>
      <c r="BI1407">
        <v>0</v>
      </c>
      <c r="BJ1407">
        <v>20210818</v>
      </c>
      <c r="BK1407">
        <v>20091030</v>
      </c>
      <c r="BL1407">
        <v>24.47</v>
      </c>
      <c r="BM1407" t="s">
        <v>120</v>
      </c>
      <c r="BN1407" t="s">
        <v>120</v>
      </c>
      <c r="BO1407">
        <v>103.58</v>
      </c>
      <c r="BP1407">
        <v>6.43</v>
      </c>
      <c r="BQ1407">
        <v>87.49</v>
      </c>
      <c r="BR1407">
        <v>0.01</v>
      </c>
      <c r="BS1407">
        <v>15.53</v>
      </c>
      <c r="BT1407">
        <v>70.150000000000006</v>
      </c>
      <c r="BU1407">
        <v>12.24</v>
      </c>
      <c r="BV1407">
        <v>2.62</v>
      </c>
      <c r="BW1407">
        <v>15.4</v>
      </c>
      <c r="BX1407">
        <v>20.49</v>
      </c>
      <c r="BY1407">
        <v>0.2</v>
      </c>
      <c r="BZ1407">
        <v>15.52</v>
      </c>
      <c r="CA1407">
        <v>0.01</v>
      </c>
      <c r="CB1407">
        <v>23.37</v>
      </c>
      <c r="CC1407">
        <v>20.55</v>
      </c>
      <c r="CD1407">
        <v>15.18</v>
      </c>
      <c r="CE1407">
        <v>0.85</v>
      </c>
      <c r="CF1407">
        <v>0.36</v>
      </c>
      <c r="CG1407">
        <v>0.86</v>
      </c>
      <c r="CH1407">
        <v>0.91</v>
      </c>
      <c r="CI1407">
        <v>0.91</v>
      </c>
      <c r="CJ1407">
        <v>-0.21</v>
      </c>
      <c r="CK1407">
        <v>-0.19</v>
      </c>
      <c r="CL1407">
        <v>37.18</v>
      </c>
      <c r="CM1407">
        <v>3.91</v>
      </c>
      <c r="CN1407">
        <v>0.28999999999999998</v>
      </c>
      <c r="CO1407">
        <v>127005</v>
      </c>
      <c r="CP1407">
        <v>15394</v>
      </c>
      <c r="CQ1407" t="s">
        <v>3431</v>
      </c>
      <c r="CR1407">
        <v>-48.37</v>
      </c>
      <c r="CS1407">
        <v>-32.99</v>
      </c>
      <c r="CT1407">
        <v>1.8</v>
      </c>
      <c r="CU1407">
        <v>40.25</v>
      </c>
      <c r="CV1407">
        <v>7.66</v>
      </c>
      <c r="CW1407">
        <v>0.15</v>
      </c>
      <c r="CX1407" t="s">
        <v>1540</v>
      </c>
      <c r="CY1407">
        <v>3.58</v>
      </c>
      <c r="CZ1407">
        <v>3.58</v>
      </c>
      <c r="DA1407">
        <v>0.96</v>
      </c>
      <c r="DB1407">
        <v>1.52</v>
      </c>
      <c r="DC1407">
        <v>0.16</v>
      </c>
      <c r="DD1407">
        <v>84.47</v>
      </c>
      <c r="DE1407" t="s">
        <v>5767</v>
      </c>
      <c r="DF1407">
        <v>26.11</v>
      </c>
      <c r="DG1407">
        <v>4.13</v>
      </c>
      <c r="DH1407">
        <v>4.4400000000000004</v>
      </c>
      <c r="DI1407">
        <v>2.58</v>
      </c>
      <c r="DJ1407">
        <v>2374</v>
      </c>
      <c r="DK1407">
        <v>300017</v>
      </c>
      <c r="DL1407" t="s">
        <v>120</v>
      </c>
      <c r="DM1407" t="s">
        <v>120</v>
      </c>
      <c r="DN1407" t="s">
        <v>120</v>
      </c>
    </row>
    <row r="1408" spans="1:118">
      <c r="A1408" t="str">
        <f>"300018"</f>
        <v>300018</v>
      </c>
      <c r="B1408" t="s">
        <v>7455</v>
      </c>
      <c r="C1408">
        <v>-6.51</v>
      </c>
      <c r="D1408">
        <v>-0.13</v>
      </c>
      <c r="E1408">
        <v>-3.95</v>
      </c>
      <c r="F1408">
        <v>4209</v>
      </c>
      <c r="G1408" t="s">
        <v>7456</v>
      </c>
      <c r="H1408">
        <v>26923.67</v>
      </c>
      <c r="I1408">
        <v>514.29999999999995</v>
      </c>
      <c r="J1408" t="s">
        <v>120</v>
      </c>
      <c r="K1408" t="s">
        <v>1970</v>
      </c>
      <c r="L1408">
        <v>8.8699999999999992</v>
      </c>
      <c r="M1408">
        <v>7.33</v>
      </c>
      <c r="N1408">
        <v>0.76</v>
      </c>
      <c r="O1408">
        <v>-2.42</v>
      </c>
      <c r="P1408">
        <v>7.65</v>
      </c>
      <c r="Q1408">
        <v>-6.51</v>
      </c>
      <c r="R1408">
        <v>7.33</v>
      </c>
      <c r="S1408">
        <v>7.53</v>
      </c>
      <c r="T1408">
        <v>359403</v>
      </c>
      <c r="U1408">
        <v>7.34</v>
      </c>
      <c r="V1408">
        <v>7.84</v>
      </c>
      <c r="W1408">
        <v>29.9</v>
      </c>
      <c r="X1408" t="s">
        <v>394</v>
      </c>
      <c r="Y1408" t="s">
        <v>763</v>
      </c>
      <c r="Z1408">
        <v>4.08</v>
      </c>
      <c r="AA1408">
        <v>7.49</v>
      </c>
      <c r="AB1408">
        <v>210275</v>
      </c>
      <c r="AC1408">
        <v>149128</v>
      </c>
      <c r="AD1408">
        <v>1.41</v>
      </c>
      <c r="AE1408">
        <v>847</v>
      </c>
      <c r="AF1408">
        <v>235</v>
      </c>
      <c r="AG1408" t="s">
        <v>120</v>
      </c>
      <c r="AH1408">
        <v>0.19</v>
      </c>
      <c r="AI1408" t="s">
        <v>120</v>
      </c>
      <c r="AJ1408">
        <v>4.05</v>
      </c>
      <c r="AK1408" t="s">
        <v>7457</v>
      </c>
      <c r="AL1408">
        <v>-4.59</v>
      </c>
      <c r="AM1408">
        <v>3615</v>
      </c>
      <c r="AN1408">
        <v>99</v>
      </c>
      <c r="AO1408">
        <v>2.5000000000000001E-3</v>
      </c>
      <c r="AP1408">
        <v>-1</v>
      </c>
      <c r="AQ1408">
        <v>1.55</v>
      </c>
      <c r="AR1408">
        <v>-10.51</v>
      </c>
      <c r="AS1408">
        <v>3.98</v>
      </c>
      <c r="AT1408">
        <v>26.82</v>
      </c>
      <c r="AU1408">
        <v>12.94</v>
      </c>
      <c r="AV1408">
        <v>2</v>
      </c>
      <c r="AW1408">
        <v>9.76</v>
      </c>
      <c r="AX1408">
        <v>76.59</v>
      </c>
      <c r="AY1408">
        <v>36.44</v>
      </c>
      <c r="AZ1408">
        <v>82.32</v>
      </c>
      <c r="BA1408">
        <v>0.7</v>
      </c>
      <c r="BB1408" t="s">
        <v>143</v>
      </c>
      <c r="BF1408">
        <v>-4.45</v>
      </c>
      <c r="BG1408">
        <v>-2.66</v>
      </c>
      <c r="BH1408">
        <v>-4.18</v>
      </c>
      <c r="BI1408">
        <v>0</v>
      </c>
      <c r="BJ1408">
        <v>20210901</v>
      </c>
      <c r="BK1408">
        <v>20091030</v>
      </c>
      <c r="BL1408">
        <v>4.8099999999999996</v>
      </c>
      <c r="BM1408" t="s">
        <v>120</v>
      </c>
      <c r="BN1408" t="s">
        <v>120</v>
      </c>
      <c r="BO1408">
        <v>13.56</v>
      </c>
      <c r="BP1408">
        <v>7.33</v>
      </c>
      <c r="BQ1408">
        <v>11.5</v>
      </c>
      <c r="BR1408">
        <v>0.6</v>
      </c>
      <c r="BS1408">
        <v>10.76</v>
      </c>
      <c r="BT1408">
        <v>9.42</v>
      </c>
      <c r="BU1408">
        <v>0.54</v>
      </c>
      <c r="BV1408">
        <v>0.27</v>
      </c>
      <c r="BW1408">
        <v>1.39</v>
      </c>
      <c r="BX1408">
        <v>2.56</v>
      </c>
      <c r="BY1408">
        <v>1.54</v>
      </c>
      <c r="BZ1408">
        <v>1.79</v>
      </c>
      <c r="CA1408">
        <v>0</v>
      </c>
      <c r="CB1408">
        <v>5.96</v>
      </c>
      <c r="CC1408">
        <v>1.62</v>
      </c>
      <c r="CD1408">
        <v>0.84</v>
      </c>
      <c r="CE1408">
        <v>0.56999999999999995</v>
      </c>
      <c r="CF1408">
        <v>0.15</v>
      </c>
      <c r="CG1408">
        <v>0.57999999999999996</v>
      </c>
      <c r="CH1408">
        <v>0.56000000000000005</v>
      </c>
      <c r="CI1408">
        <v>0.59</v>
      </c>
      <c r="CJ1408">
        <v>-0.51</v>
      </c>
      <c r="CK1408">
        <v>0</v>
      </c>
      <c r="CL1408">
        <v>0.32</v>
      </c>
      <c r="CM1408">
        <v>-0.2</v>
      </c>
      <c r="CN1408">
        <v>-2.96</v>
      </c>
      <c r="CO1408">
        <v>30744</v>
      </c>
      <c r="CP1408">
        <v>11979</v>
      </c>
      <c r="CQ1408" t="s">
        <v>3020</v>
      </c>
      <c r="CR1408">
        <v>4468.3100000000004</v>
      </c>
      <c r="CS1408">
        <v>27.31</v>
      </c>
      <c r="CT1408">
        <v>3.06</v>
      </c>
      <c r="CU1408">
        <v>-172.51</v>
      </c>
      <c r="CV1408">
        <v>21.74</v>
      </c>
      <c r="CW1408">
        <v>0</v>
      </c>
      <c r="CX1408" t="s">
        <v>850</v>
      </c>
      <c r="CY1408">
        <v>2.39</v>
      </c>
      <c r="CZ1408">
        <v>0</v>
      </c>
      <c r="DA1408">
        <v>1.24</v>
      </c>
      <c r="DB1408">
        <v>7.0000000000000007E-2</v>
      </c>
      <c r="DC1408">
        <v>-0.04</v>
      </c>
      <c r="DD1408">
        <v>84.81</v>
      </c>
      <c r="DE1408" t="s">
        <v>2624</v>
      </c>
      <c r="DF1408">
        <v>48.14</v>
      </c>
      <c r="DG1408">
        <v>35.090000000000003</v>
      </c>
      <c r="DH1408">
        <v>36.36</v>
      </c>
      <c r="DI1408">
        <v>0.37</v>
      </c>
      <c r="DJ1408">
        <v>1026</v>
      </c>
      <c r="DK1408">
        <v>300018</v>
      </c>
      <c r="DL1408" t="s">
        <v>120</v>
      </c>
      <c r="DM1408" t="s">
        <v>120</v>
      </c>
      <c r="DN1408" t="s">
        <v>120</v>
      </c>
    </row>
    <row r="1409" spans="1:118">
      <c r="A1409" t="str">
        <f>"300019"</f>
        <v>300019</v>
      </c>
      <c r="B1409" t="s">
        <v>7458</v>
      </c>
      <c r="C1409">
        <v>-7.83</v>
      </c>
      <c r="D1409">
        <v>0</v>
      </c>
      <c r="E1409">
        <v>-0.04</v>
      </c>
      <c r="F1409">
        <v>2263</v>
      </c>
      <c r="G1409" t="s">
        <v>7459</v>
      </c>
      <c r="H1409">
        <v>52718.57</v>
      </c>
      <c r="I1409">
        <v>92.12</v>
      </c>
      <c r="J1409" t="s">
        <v>120</v>
      </c>
      <c r="K1409" t="s">
        <v>6963</v>
      </c>
      <c r="L1409">
        <v>7.03</v>
      </c>
      <c r="M1409">
        <v>21.67</v>
      </c>
      <c r="N1409">
        <v>0.88</v>
      </c>
      <c r="O1409">
        <v>0.51</v>
      </c>
      <c r="P1409">
        <v>23.63</v>
      </c>
      <c r="Q1409">
        <v>-8.51</v>
      </c>
      <c r="R1409">
        <v>21.51</v>
      </c>
      <c r="S1409">
        <v>23.5</v>
      </c>
      <c r="T1409">
        <v>234638</v>
      </c>
      <c r="U1409">
        <v>21.68</v>
      </c>
      <c r="V1409">
        <v>23.51</v>
      </c>
      <c r="W1409">
        <v>45.4</v>
      </c>
      <c r="X1409" t="s">
        <v>868</v>
      </c>
      <c r="Y1409" t="s">
        <v>578</v>
      </c>
      <c r="Z1409">
        <v>9.02</v>
      </c>
      <c r="AA1409">
        <v>22.47</v>
      </c>
      <c r="AB1409">
        <v>132334</v>
      </c>
      <c r="AC1409">
        <v>102304</v>
      </c>
      <c r="AD1409">
        <v>1.29</v>
      </c>
      <c r="AE1409">
        <v>34</v>
      </c>
      <c r="AF1409">
        <v>45</v>
      </c>
      <c r="AG1409" t="s">
        <v>120</v>
      </c>
      <c r="AH1409">
        <v>0.02</v>
      </c>
      <c r="AI1409" t="s">
        <v>120</v>
      </c>
      <c r="AJ1409">
        <v>3.34</v>
      </c>
      <c r="AK1409" t="s">
        <v>7460</v>
      </c>
      <c r="AL1409">
        <v>-5.91</v>
      </c>
      <c r="AM1409">
        <v>4259</v>
      </c>
      <c r="AN1409">
        <v>55</v>
      </c>
      <c r="AO1409">
        <v>1.6999999999999999E-3</v>
      </c>
      <c r="AP1409">
        <v>-3</v>
      </c>
      <c r="AQ1409">
        <v>-4.43</v>
      </c>
      <c r="AR1409">
        <v>-12.12</v>
      </c>
      <c r="AS1409">
        <v>-7.98</v>
      </c>
      <c r="AT1409">
        <v>33.85</v>
      </c>
      <c r="AU1409">
        <v>26.8</v>
      </c>
      <c r="AV1409">
        <v>2</v>
      </c>
      <c r="AW1409">
        <v>12.03</v>
      </c>
      <c r="AX1409">
        <v>49.87</v>
      </c>
      <c r="AY1409">
        <v>41.26</v>
      </c>
      <c r="AZ1409">
        <v>45.69</v>
      </c>
      <c r="BA1409">
        <v>0.78</v>
      </c>
      <c r="BB1409" t="s">
        <v>143</v>
      </c>
      <c r="BF1409">
        <v>-4.43</v>
      </c>
      <c r="BG1409">
        <v>-7.79</v>
      </c>
      <c r="BH1409">
        <v>-8.2899999999999991</v>
      </c>
      <c r="BI1409">
        <v>0.74</v>
      </c>
      <c r="BJ1409">
        <v>20210914</v>
      </c>
      <c r="BK1409">
        <v>20091030</v>
      </c>
      <c r="BL1409">
        <v>3.91</v>
      </c>
      <c r="BM1409" t="s">
        <v>120</v>
      </c>
      <c r="BN1409" t="s">
        <v>120</v>
      </c>
      <c r="BO1409">
        <v>24.17</v>
      </c>
      <c r="BP1409">
        <v>21.67</v>
      </c>
      <c r="BQ1409">
        <v>18.989999999999998</v>
      </c>
      <c r="BR1409" t="s">
        <v>120</v>
      </c>
      <c r="BS1409">
        <v>21.42</v>
      </c>
      <c r="BT1409">
        <v>16.59</v>
      </c>
      <c r="BU1409">
        <v>4.5</v>
      </c>
      <c r="BV1409">
        <v>0.86</v>
      </c>
      <c r="BW1409">
        <v>4.83</v>
      </c>
      <c r="BX1409">
        <v>4.46</v>
      </c>
      <c r="BY1409">
        <v>2.87</v>
      </c>
      <c r="BZ1409">
        <v>4.6399999999999997</v>
      </c>
      <c r="CA1409" t="s">
        <v>120</v>
      </c>
      <c r="CB1409">
        <v>8.23</v>
      </c>
      <c r="CC1409">
        <v>10.08</v>
      </c>
      <c r="CD1409">
        <v>7.79</v>
      </c>
      <c r="CE1409">
        <v>1.06</v>
      </c>
      <c r="CF1409">
        <v>0.01</v>
      </c>
      <c r="CG1409">
        <v>1.06</v>
      </c>
      <c r="CH1409">
        <v>0.93</v>
      </c>
      <c r="CI1409">
        <v>0.93</v>
      </c>
      <c r="CJ1409">
        <v>-1.84</v>
      </c>
      <c r="CK1409">
        <v>0.87</v>
      </c>
      <c r="CL1409">
        <v>6.34</v>
      </c>
      <c r="CM1409">
        <v>-0.5</v>
      </c>
      <c r="CN1409">
        <v>0.92</v>
      </c>
      <c r="CO1409">
        <v>32536</v>
      </c>
      <c r="CP1409">
        <v>5995</v>
      </c>
      <c r="CQ1409" t="s">
        <v>7461</v>
      </c>
      <c r="CR1409">
        <v>30.08</v>
      </c>
      <c r="CS1409">
        <v>85.26</v>
      </c>
      <c r="CT1409">
        <v>4.46</v>
      </c>
      <c r="CU1409">
        <v>-167.95</v>
      </c>
      <c r="CV1409">
        <v>8.41</v>
      </c>
      <c r="CW1409">
        <v>0.85</v>
      </c>
      <c r="CX1409" t="s">
        <v>863</v>
      </c>
      <c r="CY1409">
        <v>4.8499999999999996</v>
      </c>
      <c r="CZ1409">
        <v>0</v>
      </c>
      <c r="DA1409">
        <v>2.1</v>
      </c>
      <c r="DB1409">
        <v>1.62</v>
      </c>
      <c r="DC1409">
        <v>-0.13</v>
      </c>
      <c r="DD1409">
        <v>78.58</v>
      </c>
      <c r="DE1409" t="s">
        <v>4297</v>
      </c>
      <c r="DF1409">
        <v>22.75</v>
      </c>
      <c r="DG1409">
        <v>10.52</v>
      </c>
      <c r="DH1409">
        <v>9.26</v>
      </c>
      <c r="DI1409">
        <v>0.51</v>
      </c>
      <c r="DJ1409">
        <v>1123</v>
      </c>
      <c r="DK1409">
        <v>300019</v>
      </c>
      <c r="DL1409">
        <v>20210819</v>
      </c>
      <c r="DM1409">
        <v>23.55</v>
      </c>
      <c r="DN1409">
        <v>-7.98</v>
      </c>
    </row>
    <row r="1410" spans="1:118">
      <c r="A1410" t="str">
        <f>"300020"</f>
        <v>300020</v>
      </c>
      <c r="B1410" t="s">
        <v>7462</v>
      </c>
      <c r="C1410">
        <v>-5.6</v>
      </c>
      <c r="D1410">
        <v>0.11</v>
      </c>
      <c r="E1410">
        <v>-0.32</v>
      </c>
      <c r="F1410">
        <v>2741</v>
      </c>
      <c r="G1410" t="s">
        <v>7463</v>
      </c>
      <c r="H1410">
        <v>23659.51</v>
      </c>
      <c r="I1410">
        <v>183.71</v>
      </c>
      <c r="J1410" t="s">
        <v>120</v>
      </c>
      <c r="K1410" t="s">
        <v>7464</v>
      </c>
      <c r="L1410">
        <v>4.1900000000000004</v>
      </c>
      <c r="M1410">
        <v>8.76</v>
      </c>
      <c r="N1410">
        <v>1.68</v>
      </c>
      <c r="O1410">
        <v>-0.32</v>
      </c>
      <c r="P1410">
        <v>9.25</v>
      </c>
      <c r="Q1410">
        <v>-6.14</v>
      </c>
      <c r="R1410">
        <v>8.7100000000000009</v>
      </c>
      <c r="S1410">
        <v>9.25</v>
      </c>
      <c r="T1410">
        <v>262878</v>
      </c>
      <c r="U1410">
        <v>8.76</v>
      </c>
      <c r="V1410">
        <v>9.2799999999999994</v>
      </c>
      <c r="W1410">
        <v>30.5</v>
      </c>
      <c r="X1410" t="s">
        <v>141</v>
      </c>
      <c r="Y1410" t="s">
        <v>585</v>
      </c>
      <c r="Z1410">
        <v>5.82</v>
      </c>
      <c r="AA1410">
        <v>9</v>
      </c>
      <c r="AB1410">
        <v>151094</v>
      </c>
      <c r="AC1410">
        <v>111784</v>
      </c>
      <c r="AD1410">
        <v>1.35</v>
      </c>
      <c r="AE1410">
        <v>2927</v>
      </c>
      <c r="AF1410">
        <v>794</v>
      </c>
      <c r="AG1410" t="s">
        <v>120</v>
      </c>
      <c r="AH1410">
        <v>0.04</v>
      </c>
      <c r="AI1410" t="s">
        <v>120</v>
      </c>
      <c r="AJ1410">
        <v>6.27</v>
      </c>
      <c r="AK1410" t="s">
        <v>7465</v>
      </c>
      <c r="AL1410">
        <v>-3.69</v>
      </c>
      <c r="AM1410">
        <v>2891</v>
      </c>
      <c r="AN1410">
        <v>91</v>
      </c>
      <c r="AO1410">
        <v>1.4E-3</v>
      </c>
      <c r="AP1410">
        <v>-2</v>
      </c>
      <c r="AQ1410">
        <v>-0.75</v>
      </c>
      <c r="AR1410">
        <v>-5.2</v>
      </c>
      <c r="AS1410">
        <v>-8.27</v>
      </c>
      <c r="AT1410">
        <v>7.75</v>
      </c>
      <c r="AU1410">
        <v>6.18</v>
      </c>
      <c r="AV1410">
        <v>0</v>
      </c>
      <c r="AW1410">
        <v>5.23</v>
      </c>
      <c r="AX1410">
        <v>76.61</v>
      </c>
      <c r="AY1410">
        <v>44.62</v>
      </c>
      <c r="AZ1410">
        <v>38.590000000000003</v>
      </c>
      <c r="BA1410">
        <v>0.71</v>
      </c>
      <c r="BB1410" t="s">
        <v>168</v>
      </c>
      <c r="BF1410">
        <v>-3.02</v>
      </c>
      <c r="BG1410">
        <v>-5.3</v>
      </c>
      <c r="BH1410">
        <v>-5.3</v>
      </c>
      <c r="BI1410">
        <v>0.56999999999999995</v>
      </c>
      <c r="BJ1410">
        <v>20210821</v>
      </c>
      <c r="BK1410">
        <v>20091030</v>
      </c>
      <c r="BL1410">
        <v>6.56</v>
      </c>
      <c r="BM1410" t="s">
        <v>120</v>
      </c>
      <c r="BN1410" t="s">
        <v>120</v>
      </c>
      <c r="BO1410">
        <v>65.89</v>
      </c>
      <c r="BP1410">
        <v>8.75</v>
      </c>
      <c r="BQ1410">
        <v>34.979999999999997</v>
      </c>
      <c r="BR1410">
        <v>0.3</v>
      </c>
      <c r="BS1410">
        <v>46.45</v>
      </c>
      <c r="BT1410">
        <v>47.4</v>
      </c>
      <c r="BU1410">
        <v>0.93</v>
      </c>
      <c r="BV1410">
        <v>2.0099999999999998</v>
      </c>
      <c r="BW1410">
        <v>30.57</v>
      </c>
      <c r="BX1410">
        <v>4.4000000000000004</v>
      </c>
      <c r="BY1410">
        <v>1.65</v>
      </c>
      <c r="BZ1410">
        <v>18.25</v>
      </c>
      <c r="CA1410" t="s">
        <v>120</v>
      </c>
      <c r="CB1410">
        <v>15.5</v>
      </c>
      <c r="CC1410">
        <v>10.9</v>
      </c>
      <c r="CD1410">
        <v>8.11</v>
      </c>
      <c r="CE1410">
        <v>1.01</v>
      </c>
      <c r="CF1410">
        <v>0.01</v>
      </c>
      <c r="CG1410">
        <v>1.1299999999999999</v>
      </c>
      <c r="CH1410">
        <v>0.92</v>
      </c>
      <c r="CI1410">
        <v>0.94</v>
      </c>
      <c r="CJ1410">
        <v>-0.52</v>
      </c>
      <c r="CK1410">
        <v>0.81</v>
      </c>
      <c r="CL1410">
        <v>11.24</v>
      </c>
      <c r="CM1410">
        <v>-3.88</v>
      </c>
      <c r="CN1410">
        <v>-2.8</v>
      </c>
      <c r="CO1410">
        <v>47378</v>
      </c>
      <c r="CP1410">
        <v>10604</v>
      </c>
      <c r="CQ1410" t="s">
        <v>7466</v>
      </c>
      <c r="CR1410">
        <v>-18.45</v>
      </c>
      <c r="CS1410">
        <v>0.05</v>
      </c>
      <c r="CT1410">
        <v>1.64</v>
      </c>
      <c r="CU1410">
        <v>-14.79</v>
      </c>
      <c r="CV1410">
        <v>5.27</v>
      </c>
      <c r="CW1410">
        <v>0</v>
      </c>
      <c r="CX1410" t="s">
        <v>300</v>
      </c>
      <c r="CY1410">
        <v>5.33</v>
      </c>
      <c r="CZ1410">
        <v>0</v>
      </c>
      <c r="DA1410">
        <v>2.36</v>
      </c>
      <c r="DB1410">
        <v>1.71</v>
      </c>
      <c r="DC1410">
        <v>-0.59</v>
      </c>
      <c r="DD1410">
        <v>53.09</v>
      </c>
      <c r="DE1410" t="s">
        <v>7467</v>
      </c>
      <c r="DF1410">
        <v>25.62</v>
      </c>
      <c r="DG1410">
        <v>9.31</v>
      </c>
      <c r="DH1410">
        <v>8.64</v>
      </c>
      <c r="DI1410">
        <v>0.35</v>
      </c>
      <c r="DJ1410">
        <v>650</v>
      </c>
      <c r="DK1410">
        <v>300020</v>
      </c>
      <c r="DL1410" t="s">
        <v>120</v>
      </c>
      <c r="DM1410" t="s">
        <v>120</v>
      </c>
      <c r="DN1410" t="s">
        <v>120</v>
      </c>
    </row>
    <row r="1411" spans="1:118">
      <c r="A1411" t="str">
        <f>"300021"</f>
        <v>300021</v>
      </c>
      <c r="B1411" t="s">
        <v>7468</v>
      </c>
      <c r="C1411">
        <v>-1.8</v>
      </c>
      <c r="D1411">
        <v>0.18</v>
      </c>
      <c r="E1411">
        <v>1.62</v>
      </c>
      <c r="F1411">
        <v>2709</v>
      </c>
      <c r="G1411" t="s">
        <v>7469</v>
      </c>
      <c r="H1411">
        <v>20306.41</v>
      </c>
      <c r="I1411">
        <v>680.47</v>
      </c>
      <c r="J1411" t="s">
        <v>120</v>
      </c>
      <c r="K1411" t="s">
        <v>7470</v>
      </c>
      <c r="L1411">
        <v>5.74</v>
      </c>
      <c r="M1411">
        <v>5.45</v>
      </c>
      <c r="N1411">
        <v>1.33</v>
      </c>
      <c r="O1411">
        <v>2.88</v>
      </c>
      <c r="P1411">
        <v>5.71</v>
      </c>
      <c r="Q1411">
        <v>-2.52</v>
      </c>
      <c r="R1411">
        <v>5.41</v>
      </c>
      <c r="S1411">
        <v>5.64</v>
      </c>
      <c r="T1411">
        <v>366761</v>
      </c>
      <c r="U1411">
        <v>5.45</v>
      </c>
      <c r="V1411">
        <v>5.55</v>
      </c>
      <c r="W1411">
        <v>69.569999999999993</v>
      </c>
      <c r="X1411" t="s">
        <v>447</v>
      </c>
      <c r="Y1411" t="s">
        <v>1082</v>
      </c>
      <c r="Z1411">
        <v>5.41</v>
      </c>
      <c r="AA1411">
        <v>5.54</v>
      </c>
      <c r="AB1411">
        <v>201842</v>
      </c>
      <c r="AC1411">
        <v>164919</v>
      </c>
      <c r="AD1411">
        <v>1.22</v>
      </c>
      <c r="AE1411">
        <v>1260</v>
      </c>
      <c r="AF1411">
        <v>934</v>
      </c>
      <c r="AG1411" t="s">
        <v>120</v>
      </c>
      <c r="AH1411">
        <v>0.3</v>
      </c>
      <c r="AI1411" t="s">
        <v>120</v>
      </c>
      <c r="AJ1411">
        <v>6.39</v>
      </c>
      <c r="AK1411" t="s">
        <v>7471</v>
      </c>
      <c r="AL1411">
        <v>0.11</v>
      </c>
      <c r="AM1411">
        <v>2672</v>
      </c>
      <c r="AN1411">
        <v>137</v>
      </c>
      <c r="AO1411">
        <v>2.0999999999999999E-3</v>
      </c>
      <c r="AP1411">
        <v>-1</v>
      </c>
      <c r="AQ1411">
        <v>1.28</v>
      </c>
      <c r="AR1411">
        <v>0.37</v>
      </c>
      <c r="AS1411">
        <v>0.93</v>
      </c>
      <c r="AT1411">
        <v>1.67</v>
      </c>
      <c r="AU1411">
        <v>1.87</v>
      </c>
      <c r="AV1411">
        <v>0</v>
      </c>
      <c r="AW1411">
        <v>8.98</v>
      </c>
      <c r="AX1411">
        <v>51.01</v>
      </c>
      <c r="AY1411">
        <v>43.13</v>
      </c>
      <c r="AZ1411">
        <v>45.01</v>
      </c>
      <c r="BA1411">
        <v>0.34</v>
      </c>
      <c r="BB1411" t="s">
        <v>143</v>
      </c>
      <c r="BF1411">
        <v>-0.24</v>
      </c>
      <c r="BG1411">
        <v>-3.37</v>
      </c>
      <c r="BH1411">
        <v>-4.55</v>
      </c>
      <c r="BI1411">
        <v>0.74</v>
      </c>
      <c r="BJ1411">
        <v>20210824</v>
      </c>
      <c r="BK1411">
        <v>20091030</v>
      </c>
      <c r="BL1411">
        <v>8.01</v>
      </c>
      <c r="BM1411" t="s">
        <v>120</v>
      </c>
      <c r="BN1411" t="s">
        <v>120</v>
      </c>
      <c r="BO1411">
        <v>54.81</v>
      </c>
      <c r="BP1411">
        <v>5.44</v>
      </c>
      <c r="BQ1411">
        <v>16.16</v>
      </c>
      <c r="BR1411">
        <v>3</v>
      </c>
      <c r="BS1411">
        <v>65.05</v>
      </c>
      <c r="BT1411">
        <v>39.369999999999997</v>
      </c>
      <c r="BU1411">
        <v>4.24</v>
      </c>
      <c r="BV1411">
        <v>1.39</v>
      </c>
      <c r="BW1411">
        <v>23.86</v>
      </c>
      <c r="BX1411">
        <v>9.14</v>
      </c>
      <c r="BY1411">
        <v>6.42</v>
      </c>
      <c r="BZ1411">
        <v>14.77</v>
      </c>
      <c r="CA1411" t="s">
        <v>120</v>
      </c>
      <c r="CB1411">
        <v>2.37</v>
      </c>
      <c r="CC1411">
        <v>10.37</v>
      </c>
      <c r="CD1411">
        <v>7.88</v>
      </c>
      <c r="CE1411">
        <v>0.32</v>
      </c>
      <c r="CF1411">
        <v>0.01</v>
      </c>
      <c r="CG1411">
        <v>0.3</v>
      </c>
      <c r="CH1411">
        <v>0.26</v>
      </c>
      <c r="CI1411">
        <v>0.31</v>
      </c>
      <c r="CJ1411">
        <v>-0.1</v>
      </c>
      <c r="CK1411">
        <v>0.24</v>
      </c>
      <c r="CL1411">
        <v>3.89</v>
      </c>
      <c r="CM1411">
        <v>-2.2599999999999998</v>
      </c>
      <c r="CN1411">
        <v>-0.97</v>
      </c>
      <c r="CO1411">
        <v>38158</v>
      </c>
      <c r="CP1411">
        <v>10708</v>
      </c>
      <c r="CQ1411" t="s">
        <v>151</v>
      </c>
      <c r="CR1411">
        <v>15.86</v>
      </c>
      <c r="CS1411">
        <v>41.56</v>
      </c>
      <c r="CT1411">
        <v>2.99</v>
      </c>
      <c r="CU1411">
        <v>-19.32</v>
      </c>
      <c r="CV1411">
        <v>4.21</v>
      </c>
      <c r="CW1411">
        <v>1.77</v>
      </c>
      <c r="CX1411" t="s">
        <v>145</v>
      </c>
      <c r="CY1411">
        <v>1.82</v>
      </c>
      <c r="CZ1411">
        <v>1.82</v>
      </c>
      <c r="DA1411">
        <v>0.3</v>
      </c>
      <c r="DB1411">
        <v>0.49</v>
      </c>
      <c r="DC1411">
        <v>-0.28000000000000003</v>
      </c>
      <c r="DD1411">
        <v>29.48</v>
      </c>
      <c r="DE1411" t="s">
        <v>5805</v>
      </c>
      <c r="DF1411">
        <v>24.05</v>
      </c>
      <c r="DG1411">
        <v>3.07</v>
      </c>
      <c r="DH1411">
        <v>3.03</v>
      </c>
      <c r="DI1411">
        <v>0.13</v>
      </c>
      <c r="DJ1411">
        <v>2401</v>
      </c>
      <c r="DK1411">
        <v>300021</v>
      </c>
      <c r="DL1411" t="s">
        <v>120</v>
      </c>
      <c r="DM1411" t="s">
        <v>120</v>
      </c>
      <c r="DN1411" t="s">
        <v>120</v>
      </c>
    </row>
    <row r="1412" spans="1:118">
      <c r="A1412" t="str">
        <f>"300022"</f>
        <v>300022</v>
      </c>
      <c r="B1412" t="s">
        <v>7472</v>
      </c>
      <c r="C1412">
        <v>-0.77</v>
      </c>
      <c r="D1412">
        <v>0.19</v>
      </c>
      <c r="E1412">
        <v>1.1499999999999999</v>
      </c>
      <c r="F1412">
        <v>2387</v>
      </c>
      <c r="G1412" t="s">
        <v>896</v>
      </c>
      <c r="H1412">
        <v>7221.04</v>
      </c>
      <c r="I1412">
        <v>49.12</v>
      </c>
      <c r="J1412" t="s">
        <v>120</v>
      </c>
      <c r="K1412" t="s">
        <v>5192</v>
      </c>
      <c r="L1412">
        <v>3.99</v>
      </c>
      <c r="M1412">
        <v>5.17</v>
      </c>
      <c r="N1412">
        <v>1.0900000000000001</v>
      </c>
      <c r="O1412">
        <v>3.07</v>
      </c>
      <c r="P1412">
        <v>5.37</v>
      </c>
      <c r="Q1412">
        <v>-1.73</v>
      </c>
      <c r="R1412">
        <v>5.12</v>
      </c>
      <c r="S1412">
        <v>5.27</v>
      </c>
      <c r="T1412">
        <v>137688</v>
      </c>
      <c r="U1412">
        <v>5.18</v>
      </c>
      <c r="V1412">
        <v>5.21</v>
      </c>
      <c r="W1412" t="s">
        <v>120</v>
      </c>
      <c r="X1412" t="s">
        <v>2079</v>
      </c>
      <c r="Y1412" t="s">
        <v>578</v>
      </c>
      <c r="Z1412">
        <v>4.8</v>
      </c>
      <c r="AA1412">
        <v>5.24</v>
      </c>
      <c r="AB1412">
        <v>69170</v>
      </c>
      <c r="AC1412">
        <v>68518</v>
      </c>
      <c r="AD1412">
        <v>1.01</v>
      </c>
      <c r="AE1412">
        <v>53</v>
      </c>
      <c r="AF1412">
        <v>52</v>
      </c>
      <c r="AG1412" t="s">
        <v>120</v>
      </c>
      <c r="AH1412">
        <v>0.03</v>
      </c>
      <c r="AI1412" t="s">
        <v>120</v>
      </c>
      <c r="AJ1412">
        <v>3.45</v>
      </c>
      <c r="AK1412" t="s">
        <v>7473</v>
      </c>
      <c r="AL1412">
        <v>1.1499999999999999</v>
      </c>
      <c r="AM1412">
        <v>2152</v>
      </c>
      <c r="AN1412">
        <v>64</v>
      </c>
      <c r="AO1412">
        <v>1.9E-3</v>
      </c>
      <c r="AP1412">
        <v>-1</v>
      </c>
      <c r="AQ1412">
        <v>0.97</v>
      </c>
      <c r="AR1412">
        <v>1.98</v>
      </c>
      <c r="AS1412">
        <v>12.15</v>
      </c>
      <c r="AT1412">
        <v>7.71</v>
      </c>
      <c r="AU1412">
        <v>6.38</v>
      </c>
      <c r="AV1412">
        <v>2</v>
      </c>
      <c r="AW1412">
        <v>4.82</v>
      </c>
      <c r="AX1412">
        <v>75.09</v>
      </c>
      <c r="AY1412" t="s">
        <v>120</v>
      </c>
      <c r="AZ1412" t="s">
        <v>120</v>
      </c>
      <c r="BA1412">
        <v>1.24</v>
      </c>
      <c r="BB1412" t="s">
        <v>143</v>
      </c>
      <c r="BF1412">
        <v>0.66</v>
      </c>
      <c r="BG1412">
        <v>-1.9</v>
      </c>
      <c r="BH1412">
        <v>-3.72</v>
      </c>
      <c r="BI1412">
        <v>0.98</v>
      </c>
      <c r="BJ1412">
        <v>20210830</v>
      </c>
      <c r="BK1412">
        <v>20091030</v>
      </c>
      <c r="BL1412">
        <v>3.8</v>
      </c>
      <c r="BM1412" t="s">
        <v>120</v>
      </c>
      <c r="BN1412" t="s">
        <v>120</v>
      </c>
      <c r="BO1412">
        <v>18.89</v>
      </c>
      <c r="BP1412">
        <v>5.17</v>
      </c>
      <c r="BQ1412">
        <v>0.6</v>
      </c>
      <c r="BR1412">
        <v>2.35</v>
      </c>
      <c r="BS1412">
        <v>84.35</v>
      </c>
      <c r="BT1412">
        <v>15.68</v>
      </c>
      <c r="BU1412">
        <v>1.48</v>
      </c>
      <c r="BV1412">
        <v>0.48</v>
      </c>
      <c r="BW1412">
        <v>15.73</v>
      </c>
      <c r="BX1412">
        <v>2.99</v>
      </c>
      <c r="BY1412">
        <v>5.78</v>
      </c>
      <c r="BZ1412">
        <v>4.2699999999999996</v>
      </c>
      <c r="CA1412" t="s">
        <v>120</v>
      </c>
      <c r="CB1412">
        <v>2.08</v>
      </c>
      <c r="CC1412">
        <v>11.13</v>
      </c>
      <c r="CD1412">
        <v>9.25</v>
      </c>
      <c r="CE1412">
        <v>0.31</v>
      </c>
      <c r="CF1412">
        <v>0</v>
      </c>
      <c r="CG1412">
        <v>0.32</v>
      </c>
      <c r="CH1412">
        <v>0.17</v>
      </c>
      <c r="CI1412">
        <v>-0.05</v>
      </c>
      <c r="CJ1412">
        <v>-0.04</v>
      </c>
      <c r="CK1412">
        <v>-7.0000000000000007E-2</v>
      </c>
      <c r="CL1412">
        <v>-5.46</v>
      </c>
      <c r="CM1412">
        <v>0.24</v>
      </c>
      <c r="CN1412">
        <v>-0.22</v>
      </c>
      <c r="CO1412">
        <v>32824</v>
      </c>
      <c r="CP1412">
        <v>8699</v>
      </c>
      <c r="CQ1412" t="s">
        <v>3044</v>
      </c>
      <c r="CR1412">
        <v>-59.3</v>
      </c>
      <c r="CS1412">
        <v>-5.85</v>
      </c>
      <c r="CT1412">
        <v>32.549999999999997</v>
      </c>
      <c r="CU1412">
        <v>82.79</v>
      </c>
      <c r="CV1412">
        <v>1.77</v>
      </c>
      <c r="CW1412">
        <v>0</v>
      </c>
      <c r="CX1412" t="s">
        <v>7474</v>
      </c>
      <c r="CY1412">
        <v>0.16</v>
      </c>
      <c r="CZ1412">
        <v>0</v>
      </c>
      <c r="DA1412">
        <v>0.55000000000000004</v>
      </c>
      <c r="DB1412">
        <v>-1.44</v>
      </c>
      <c r="DC1412">
        <v>0.06</v>
      </c>
      <c r="DD1412">
        <v>3.2</v>
      </c>
      <c r="DE1412" t="s">
        <v>7475</v>
      </c>
      <c r="DF1412">
        <v>16.95</v>
      </c>
      <c r="DG1412">
        <v>2.83</v>
      </c>
      <c r="DH1412">
        <v>-0.49</v>
      </c>
      <c r="DI1412">
        <v>0</v>
      </c>
      <c r="DJ1412">
        <v>1010</v>
      </c>
      <c r="DK1412">
        <v>300022</v>
      </c>
      <c r="DL1412" t="s">
        <v>120</v>
      </c>
      <c r="DM1412" t="s">
        <v>120</v>
      </c>
      <c r="DN1412" t="s">
        <v>120</v>
      </c>
    </row>
    <row r="1413" spans="1:118">
      <c r="A1413" t="str">
        <f>"300024"</f>
        <v>300024</v>
      </c>
      <c r="B1413" t="s">
        <v>7476</v>
      </c>
      <c r="C1413">
        <v>-2.62</v>
      </c>
      <c r="D1413">
        <v>-0.08</v>
      </c>
      <c r="E1413">
        <v>-0.72</v>
      </c>
      <c r="F1413">
        <v>2571</v>
      </c>
      <c r="G1413" t="s">
        <v>7477</v>
      </c>
      <c r="H1413">
        <v>17834.259999999998</v>
      </c>
      <c r="I1413">
        <v>84.04</v>
      </c>
      <c r="J1413" t="s">
        <v>120</v>
      </c>
      <c r="K1413" t="s">
        <v>7478</v>
      </c>
      <c r="L1413">
        <v>1.08</v>
      </c>
      <c r="M1413">
        <v>10.79</v>
      </c>
      <c r="N1413">
        <v>0.77</v>
      </c>
      <c r="O1413">
        <v>-0.27</v>
      </c>
      <c r="P1413">
        <v>11.05</v>
      </c>
      <c r="Q1413">
        <v>-2.71</v>
      </c>
      <c r="R1413">
        <v>10.78</v>
      </c>
      <c r="S1413">
        <v>11</v>
      </c>
      <c r="T1413">
        <v>163564</v>
      </c>
      <c r="U1413">
        <v>10.79</v>
      </c>
      <c r="V1413">
        <v>11.08</v>
      </c>
      <c r="W1413" t="s">
        <v>120</v>
      </c>
      <c r="X1413" t="s">
        <v>675</v>
      </c>
      <c r="Y1413" t="s">
        <v>432</v>
      </c>
      <c r="Z1413">
        <v>2.44</v>
      </c>
      <c r="AA1413">
        <v>10.9</v>
      </c>
      <c r="AB1413">
        <v>107265</v>
      </c>
      <c r="AC1413">
        <v>56299</v>
      </c>
      <c r="AD1413">
        <v>1.91</v>
      </c>
      <c r="AE1413">
        <v>1077</v>
      </c>
      <c r="AF1413">
        <v>451</v>
      </c>
      <c r="AG1413" t="s">
        <v>120</v>
      </c>
      <c r="AH1413">
        <v>0.01</v>
      </c>
      <c r="AI1413" t="s">
        <v>120</v>
      </c>
      <c r="AJ1413">
        <v>15.17</v>
      </c>
      <c r="AK1413" t="s">
        <v>7479</v>
      </c>
      <c r="AL1413">
        <v>-0.7</v>
      </c>
      <c r="AM1413">
        <v>3071</v>
      </c>
      <c r="AN1413">
        <v>53</v>
      </c>
      <c r="AO1413">
        <v>4.0000000000000002E-4</v>
      </c>
      <c r="AP1413">
        <v>-1</v>
      </c>
      <c r="AQ1413">
        <v>0.82</v>
      </c>
      <c r="AR1413">
        <v>-2.7</v>
      </c>
      <c r="AS1413">
        <v>-12.71</v>
      </c>
      <c r="AT1413">
        <v>5.57</v>
      </c>
      <c r="AU1413">
        <v>-12.28</v>
      </c>
      <c r="AV1413">
        <v>1</v>
      </c>
      <c r="AW1413">
        <v>1.46</v>
      </c>
      <c r="AX1413">
        <v>71.97</v>
      </c>
      <c r="AY1413" t="s">
        <v>120</v>
      </c>
      <c r="AZ1413" t="s">
        <v>120</v>
      </c>
      <c r="BA1413">
        <v>1.4</v>
      </c>
      <c r="BB1413" t="s">
        <v>143</v>
      </c>
      <c r="BF1413">
        <v>-1.59</v>
      </c>
      <c r="BG1413">
        <v>-1.91</v>
      </c>
      <c r="BH1413">
        <v>-2.35</v>
      </c>
      <c r="BI1413">
        <v>0.09</v>
      </c>
      <c r="BJ1413">
        <v>20210826</v>
      </c>
      <c r="BK1413">
        <v>20091030</v>
      </c>
      <c r="BL1413">
        <v>15.6</v>
      </c>
      <c r="BM1413" t="s">
        <v>120</v>
      </c>
      <c r="BN1413" t="s">
        <v>120</v>
      </c>
      <c r="BO1413">
        <v>113.58</v>
      </c>
      <c r="BP1413">
        <v>10.78</v>
      </c>
      <c r="BQ1413">
        <v>45.5</v>
      </c>
      <c r="BR1413">
        <v>1.4</v>
      </c>
      <c r="BS1413">
        <v>58.71</v>
      </c>
      <c r="BT1413">
        <v>74.98</v>
      </c>
      <c r="BU1413">
        <v>15.82</v>
      </c>
      <c r="BV1413">
        <v>5.44</v>
      </c>
      <c r="BW1413">
        <v>52.11</v>
      </c>
      <c r="BX1413">
        <v>16.489999999999998</v>
      </c>
      <c r="BY1413">
        <v>35.54</v>
      </c>
      <c r="BZ1413">
        <v>8.8000000000000007</v>
      </c>
      <c r="CA1413">
        <v>0</v>
      </c>
      <c r="CB1413">
        <v>26.39</v>
      </c>
      <c r="CC1413">
        <v>11.95</v>
      </c>
      <c r="CD1413">
        <v>10.39</v>
      </c>
      <c r="CE1413">
        <v>-2.14</v>
      </c>
      <c r="CF1413">
        <v>0.26</v>
      </c>
      <c r="CG1413">
        <v>-2.15</v>
      </c>
      <c r="CH1413">
        <v>-1.74</v>
      </c>
      <c r="CI1413">
        <v>-1.98</v>
      </c>
      <c r="CJ1413">
        <v>-0.28999999999999998</v>
      </c>
      <c r="CK1413">
        <v>-2.78</v>
      </c>
      <c r="CL1413">
        <v>2.99</v>
      </c>
      <c r="CM1413">
        <v>-2.0699999999999998</v>
      </c>
      <c r="CN1413">
        <v>1.42</v>
      </c>
      <c r="CO1413">
        <v>128837</v>
      </c>
      <c r="CP1413">
        <v>8715</v>
      </c>
      <c r="CQ1413" t="s">
        <v>7480</v>
      </c>
      <c r="CR1413">
        <v>-249.66</v>
      </c>
      <c r="CS1413">
        <v>-3.19</v>
      </c>
      <c r="CT1413">
        <v>3.7</v>
      </c>
      <c r="CU1413">
        <v>-81.22</v>
      </c>
      <c r="CV1413">
        <v>14.09</v>
      </c>
      <c r="CW1413">
        <v>0</v>
      </c>
      <c r="CX1413" t="s">
        <v>7481</v>
      </c>
      <c r="CY1413">
        <v>2.92</v>
      </c>
      <c r="CZ1413">
        <v>0</v>
      </c>
      <c r="DA1413">
        <v>1.69</v>
      </c>
      <c r="DB1413">
        <v>0.19</v>
      </c>
      <c r="DC1413">
        <v>-0.13</v>
      </c>
      <c r="DD1413">
        <v>40.06</v>
      </c>
      <c r="DE1413" t="s">
        <v>7482</v>
      </c>
      <c r="DF1413">
        <v>13.08</v>
      </c>
      <c r="DG1413">
        <v>-17.89</v>
      </c>
      <c r="DH1413">
        <v>-16.59</v>
      </c>
      <c r="DI1413">
        <v>1.03</v>
      </c>
      <c r="DJ1413">
        <v>4309</v>
      </c>
      <c r="DK1413">
        <v>300024</v>
      </c>
      <c r="DL1413" t="s">
        <v>120</v>
      </c>
      <c r="DM1413" t="s">
        <v>120</v>
      </c>
      <c r="DN1413" t="s">
        <v>120</v>
      </c>
    </row>
    <row r="1414" spans="1:118">
      <c r="A1414" t="str">
        <f>"300025"</f>
        <v>300025</v>
      </c>
      <c r="B1414" t="s">
        <v>7483</v>
      </c>
      <c r="C1414">
        <v>-2.39</v>
      </c>
      <c r="D1414">
        <v>0</v>
      </c>
      <c r="E1414">
        <v>-0.48</v>
      </c>
      <c r="F1414">
        <v>646</v>
      </c>
      <c r="G1414" t="s">
        <v>7484</v>
      </c>
      <c r="H1414">
        <v>4267.1499999999996</v>
      </c>
      <c r="I1414">
        <v>2</v>
      </c>
      <c r="J1414" t="s">
        <v>120</v>
      </c>
      <c r="K1414" t="s">
        <v>7485</v>
      </c>
      <c r="L1414">
        <v>2.4</v>
      </c>
      <c r="M1414">
        <v>4.09</v>
      </c>
      <c r="N1414">
        <v>0.89</v>
      </c>
      <c r="O1414">
        <v>0.72</v>
      </c>
      <c r="P1414">
        <v>4.22</v>
      </c>
      <c r="Q1414">
        <v>-2.86</v>
      </c>
      <c r="R1414">
        <v>4.07</v>
      </c>
      <c r="S1414">
        <v>4.17</v>
      </c>
      <c r="T1414">
        <v>102993</v>
      </c>
      <c r="U1414">
        <v>4.09</v>
      </c>
      <c r="V1414">
        <v>4.1900000000000004</v>
      </c>
      <c r="W1414" t="s">
        <v>120</v>
      </c>
      <c r="X1414" t="s">
        <v>462</v>
      </c>
      <c r="Y1414" t="s">
        <v>585</v>
      </c>
      <c r="Z1414">
        <v>3.58</v>
      </c>
      <c r="AA1414">
        <v>4.1399999999999997</v>
      </c>
      <c r="AB1414">
        <v>58183</v>
      </c>
      <c r="AC1414">
        <v>44810</v>
      </c>
      <c r="AD1414">
        <v>1.3</v>
      </c>
      <c r="AE1414">
        <v>1984</v>
      </c>
      <c r="AF1414">
        <v>129</v>
      </c>
      <c r="AG1414" t="s">
        <v>120</v>
      </c>
      <c r="AH1414">
        <v>0</v>
      </c>
      <c r="AI1414" t="s">
        <v>120</v>
      </c>
      <c r="AJ1414">
        <v>4.28</v>
      </c>
      <c r="AK1414" t="s">
        <v>7486</v>
      </c>
      <c r="AL1414">
        <v>-0.47</v>
      </c>
      <c r="AM1414">
        <v>1495</v>
      </c>
      <c r="AN1414">
        <v>69</v>
      </c>
      <c r="AO1414">
        <v>1.6000000000000001E-3</v>
      </c>
      <c r="AP1414">
        <v>-1</v>
      </c>
      <c r="AQ1414">
        <v>0.72</v>
      </c>
      <c r="AR1414">
        <v>-3.99</v>
      </c>
      <c r="AS1414">
        <v>-13.35</v>
      </c>
      <c r="AT1414">
        <v>0.25</v>
      </c>
      <c r="AU1414">
        <v>-9.91</v>
      </c>
      <c r="AV1414">
        <v>1</v>
      </c>
      <c r="AW1414">
        <v>2.85</v>
      </c>
      <c r="AX1414">
        <v>84.36</v>
      </c>
      <c r="AY1414" t="s">
        <v>120</v>
      </c>
      <c r="AZ1414" t="s">
        <v>120</v>
      </c>
      <c r="BA1414">
        <v>0.69</v>
      </c>
      <c r="BB1414" t="s">
        <v>2725</v>
      </c>
      <c r="BF1414">
        <v>-1.1200000000000001</v>
      </c>
      <c r="BG1414">
        <v>-1.92</v>
      </c>
      <c r="BH1414">
        <v>-3.08</v>
      </c>
      <c r="BI1414">
        <v>0.49</v>
      </c>
      <c r="BJ1414">
        <v>20210830</v>
      </c>
      <c r="BK1414">
        <v>20091030</v>
      </c>
      <c r="BL1414">
        <v>4.29</v>
      </c>
      <c r="BM1414" t="s">
        <v>120</v>
      </c>
      <c r="BN1414" t="s">
        <v>120</v>
      </c>
      <c r="BO1414">
        <v>8.7200000000000006</v>
      </c>
      <c r="BP1414">
        <v>4.08</v>
      </c>
      <c r="BQ1414">
        <v>3.1</v>
      </c>
      <c r="BR1414">
        <v>0.01</v>
      </c>
      <c r="BS1414">
        <v>64.349999999999994</v>
      </c>
      <c r="BT1414">
        <v>6.88</v>
      </c>
      <c r="BU1414">
        <v>0.24</v>
      </c>
      <c r="BV1414">
        <v>0.02</v>
      </c>
      <c r="BW1414">
        <v>5.61</v>
      </c>
      <c r="BX1414">
        <v>0.39</v>
      </c>
      <c r="BY1414">
        <v>0.62</v>
      </c>
      <c r="BZ1414">
        <v>5.55</v>
      </c>
      <c r="CA1414">
        <v>0.03</v>
      </c>
      <c r="CB1414">
        <v>0.32</v>
      </c>
      <c r="CC1414">
        <v>3.3</v>
      </c>
      <c r="CD1414">
        <v>2.89</v>
      </c>
      <c r="CE1414">
        <v>-0.14000000000000001</v>
      </c>
      <c r="CF1414">
        <v>0</v>
      </c>
      <c r="CG1414">
        <v>-0.14000000000000001</v>
      </c>
      <c r="CH1414">
        <v>-0.13</v>
      </c>
      <c r="CI1414">
        <v>-0.13</v>
      </c>
      <c r="CJ1414">
        <v>-0.1</v>
      </c>
      <c r="CK1414">
        <v>-0.22</v>
      </c>
      <c r="CL1414">
        <v>-0.87</v>
      </c>
      <c r="CM1414">
        <v>-0.26</v>
      </c>
      <c r="CN1414">
        <v>-0.77</v>
      </c>
      <c r="CO1414">
        <v>26333</v>
      </c>
      <c r="CP1414">
        <v>13728</v>
      </c>
      <c r="CQ1414" t="s">
        <v>4267</v>
      </c>
      <c r="CR1414">
        <v>65.2</v>
      </c>
      <c r="CS1414">
        <v>-1.71</v>
      </c>
      <c r="CT1414">
        <v>5.66</v>
      </c>
      <c r="CU1414">
        <v>-66.95</v>
      </c>
      <c r="CV1414">
        <v>5.32</v>
      </c>
      <c r="CW1414">
        <v>0</v>
      </c>
      <c r="CX1414" t="s">
        <v>3727</v>
      </c>
      <c r="CY1414">
        <v>0.72</v>
      </c>
      <c r="CZ1414">
        <v>0</v>
      </c>
      <c r="DA1414">
        <v>7.0000000000000007E-2</v>
      </c>
      <c r="DB1414">
        <v>-0.2</v>
      </c>
      <c r="DC1414">
        <v>-0.06</v>
      </c>
      <c r="DD1414">
        <v>35.520000000000003</v>
      </c>
      <c r="DE1414" t="s">
        <v>7487</v>
      </c>
      <c r="DF1414">
        <v>12.28</v>
      </c>
      <c r="DG1414">
        <v>-4.2300000000000004</v>
      </c>
      <c r="DH1414">
        <v>-4.01</v>
      </c>
      <c r="DI1414">
        <v>0.14000000000000001</v>
      </c>
      <c r="DJ1414">
        <v>1447</v>
      </c>
      <c r="DK1414">
        <v>300025</v>
      </c>
      <c r="DL1414" t="s">
        <v>120</v>
      </c>
      <c r="DM1414" t="s">
        <v>120</v>
      </c>
      <c r="DN1414" t="s">
        <v>120</v>
      </c>
    </row>
    <row r="1415" spans="1:118">
      <c r="A1415" t="str">
        <f>"300026"</f>
        <v>300026</v>
      </c>
      <c r="B1415" t="s">
        <v>7488</v>
      </c>
      <c r="C1415">
        <v>-1.08</v>
      </c>
      <c r="D1415">
        <v>0.22</v>
      </c>
      <c r="E1415">
        <v>0.22</v>
      </c>
      <c r="F1415">
        <v>5675</v>
      </c>
      <c r="G1415" t="s">
        <v>7489</v>
      </c>
      <c r="H1415">
        <v>20248.490000000002</v>
      </c>
      <c r="I1415">
        <v>64.22</v>
      </c>
      <c r="J1415" t="s">
        <v>120</v>
      </c>
      <c r="K1415" t="s">
        <v>7490</v>
      </c>
      <c r="L1415">
        <v>1.63</v>
      </c>
      <c r="M1415">
        <v>4.58</v>
      </c>
      <c r="N1415">
        <v>0.82</v>
      </c>
      <c r="O1415">
        <v>1.51</v>
      </c>
      <c r="P1415">
        <v>4.7</v>
      </c>
      <c r="Q1415">
        <v>-1.51</v>
      </c>
      <c r="R1415">
        <v>4.5599999999999996</v>
      </c>
      <c r="S1415">
        <v>4.6399999999999997</v>
      </c>
      <c r="T1415">
        <v>436578</v>
      </c>
      <c r="U1415">
        <v>4.58</v>
      </c>
      <c r="V1415">
        <v>4.63</v>
      </c>
      <c r="W1415">
        <v>15.71</v>
      </c>
      <c r="X1415" t="s">
        <v>771</v>
      </c>
      <c r="Y1415" t="s">
        <v>997</v>
      </c>
      <c r="Z1415">
        <v>3.02</v>
      </c>
      <c r="AA1415">
        <v>4.6399999999999997</v>
      </c>
      <c r="AB1415">
        <v>223551</v>
      </c>
      <c r="AC1415">
        <v>213027</v>
      </c>
      <c r="AD1415">
        <v>1.05</v>
      </c>
      <c r="AE1415">
        <v>823</v>
      </c>
      <c r="AF1415">
        <v>3500</v>
      </c>
      <c r="AG1415" t="s">
        <v>120</v>
      </c>
      <c r="AH1415">
        <v>0.01</v>
      </c>
      <c r="AI1415" t="s">
        <v>120</v>
      </c>
      <c r="AJ1415">
        <v>26.82</v>
      </c>
      <c r="AK1415" t="s">
        <v>7491</v>
      </c>
      <c r="AL1415">
        <v>0.83</v>
      </c>
      <c r="AM1415">
        <v>3397</v>
      </c>
      <c r="AN1415">
        <v>129</v>
      </c>
      <c r="AO1415">
        <v>5.0000000000000001E-4</v>
      </c>
      <c r="AP1415">
        <v>-1</v>
      </c>
      <c r="AQ1415">
        <v>0.43</v>
      </c>
      <c r="AR1415">
        <v>-3.18</v>
      </c>
      <c r="AS1415">
        <v>2.92</v>
      </c>
      <c r="AT1415">
        <v>12.81</v>
      </c>
      <c r="AU1415">
        <v>0.88</v>
      </c>
      <c r="AV1415">
        <v>0</v>
      </c>
      <c r="AW1415">
        <v>2.56</v>
      </c>
      <c r="AX1415">
        <v>56.81</v>
      </c>
      <c r="AY1415">
        <v>20.84</v>
      </c>
      <c r="AZ1415">
        <v>24.26</v>
      </c>
      <c r="BA1415">
        <v>0.27</v>
      </c>
      <c r="BB1415" t="s">
        <v>143</v>
      </c>
      <c r="BF1415">
        <v>0.17</v>
      </c>
      <c r="BG1415">
        <v>-1.29</v>
      </c>
      <c r="BH1415">
        <v>-2.5499999999999998</v>
      </c>
      <c r="BI1415">
        <v>0.44</v>
      </c>
      <c r="BJ1415">
        <v>20210830</v>
      </c>
      <c r="BK1415">
        <v>20091030</v>
      </c>
      <c r="BL1415">
        <v>30.04</v>
      </c>
      <c r="BM1415" t="s">
        <v>120</v>
      </c>
      <c r="BN1415" t="s">
        <v>120</v>
      </c>
      <c r="BO1415">
        <v>105.27</v>
      </c>
      <c r="BP1415">
        <v>4.57</v>
      </c>
      <c r="BQ1415">
        <v>75.150000000000006</v>
      </c>
      <c r="BR1415">
        <v>1.93</v>
      </c>
      <c r="BS1415">
        <v>26.78</v>
      </c>
      <c r="BT1415">
        <v>58.43</v>
      </c>
      <c r="BU1415">
        <v>24.7</v>
      </c>
      <c r="BV1415">
        <v>2.5099999999999998</v>
      </c>
      <c r="BW1415">
        <v>17.63</v>
      </c>
      <c r="BX1415">
        <v>9.92</v>
      </c>
      <c r="BY1415">
        <v>13.8</v>
      </c>
      <c r="BZ1415">
        <v>29.25</v>
      </c>
      <c r="CA1415" t="s">
        <v>120</v>
      </c>
      <c r="CB1415">
        <v>5.89</v>
      </c>
      <c r="CC1415">
        <v>34.86</v>
      </c>
      <c r="CD1415">
        <v>15.52</v>
      </c>
      <c r="CE1415">
        <v>5.21</v>
      </c>
      <c r="CF1415">
        <v>0.02</v>
      </c>
      <c r="CG1415">
        <v>5.34</v>
      </c>
      <c r="CH1415">
        <v>4.3</v>
      </c>
      <c r="CI1415">
        <v>4.38</v>
      </c>
      <c r="CJ1415">
        <v>-0.05</v>
      </c>
      <c r="CK1415">
        <v>4.25</v>
      </c>
      <c r="CL1415">
        <v>37.6</v>
      </c>
      <c r="CM1415">
        <v>1.98</v>
      </c>
      <c r="CN1415">
        <v>-0.99</v>
      </c>
      <c r="CO1415">
        <v>100073</v>
      </c>
      <c r="CP1415">
        <v>17054</v>
      </c>
      <c r="CQ1415" t="s">
        <v>1717</v>
      </c>
      <c r="CR1415">
        <v>27.37</v>
      </c>
      <c r="CS1415">
        <v>25.31</v>
      </c>
      <c r="CT1415">
        <v>1.83</v>
      </c>
      <c r="CU1415">
        <v>69.66</v>
      </c>
      <c r="CV1415">
        <v>3.95</v>
      </c>
      <c r="CW1415">
        <v>0.86</v>
      </c>
      <c r="CX1415" t="s">
        <v>373</v>
      </c>
      <c r="CY1415">
        <v>2.5</v>
      </c>
      <c r="CZ1415">
        <v>0</v>
      </c>
      <c r="DA1415">
        <v>0.2</v>
      </c>
      <c r="DB1415">
        <v>1.25</v>
      </c>
      <c r="DC1415">
        <v>7.0000000000000007E-2</v>
      </c>
      <c r="DD1415">
        <v>71.38</v>
      </c>
      <c r="DE1415" t="s">
        <v>1929</v>
      </c>
      <c r="DF1415">
        <v>55.48</v>
      </c>
      <c r="DG1415">
        <v>14.96</v>
      </c>
      <c r="DH1415">
        <v>12.56</v>
      </c>
      <c r="DI1415">
        <v>0.78</v>
      </c>
      <c r="DJ1415">
        <v>5784</v>
      </c>
      <c r="DK1415">
        <v>300026</v>
      </c>
      <c r="DL1415" t="s">
        <v>120</v>
      </c>
      <c r="DM1415" t="s">
        <v>120</v>
      </c>
      <c r="DN1415" t="s">
        <v>120</v>
      </c>
    </row>
    <row r="1416" spans="1:118">
      <c r="A1416" t="str">
        <f>"300027"</f>
        <v>300027</v>
      </c>
      <c r="B1416" t="s">
        <v>7492</v>
      </c>
      <c r="C1416">
        <v>-2.16</v>
      </c>
      <c r="D1416">
        <v>-0.26</v>
      </c>
      <c r="E1416">
        <v>0.27</v>
      </c>
      <c r="F1416">
        <v>3494</v>
      </c>
      <c r="G1416" t="s">
        <v>7493</v>
      </c>
      <c r="H1416">
        <v>9863.27</v>
      </c>
      <c r="I1416">
        <v>50</v>
      </c>
      <c r="J1416" t="s">
        <v>120</v>
      </c>
      <c r="K1416" t="s">
        <v>7494</v>
      </c>
      <c r="L1416">
        <v>1.18</v>
      </c>
      <c r="M1416">
        <v>3.63</v>
      </c>
      <c r="N1416">
        <v>1.1200000000000001</v>
      </c>
      <c r="O1416">
        <v>2.16</v>
      </c>
      <c r="P1416">
        <v>3.79</v>
      </c>
      <c r="Q1416">
        <v>-2.7</v>
      </c>
      <c r="R1416">
        <v>3.61</v>
      </c>
      <c r="S1416">
        <v>3.72</v>
      </c>
      <c r="T1416">
        <v>265925</v>
      </c>
      <c r="U1416">
        <v>3.64</v>
      </c>
      <c r="V1416">
        <v>3.71</v>
      </c>
      <c r="W1416">
        <v>47.66</v>
      </c>
      <c r="X1416" t="s">
        <v>584</v>
      </c>
      <c r="Y1416" t="s">
        <v>585</v>
      </c>
      <c r="Z1416">
        <v>4.8499999999999996</v>
      </c>
      <c r="AA1416">
        <v>3.71</v>
      </c>
      <c r="AB1416">
        <v>124655</v>
      </c>
      <c r="AC1416">
        <v>141270</v>
      </c>
      <c r="AD1416">
        <v>0.88</v>
      </c>
      <c r="AE1416">
        <v>3251</v>
      </c>
      <c r="AF1416">
        <v>278</v>
      </c>
      <c r="AG1416" t="s">
        <v>120</v>
      </c>
      <c r="AH1416">
        <v>0.01</v>
      </c>
      <c r="AI1416" t="s">
        <v>120</v>
      </c>
      <c r="AJ1416">
        <v>22.45</v>
      </c>
      <c r="AK1416" t="s">
        <v>7495</v>
      </c>
      <c r="AL1416">
        <v>-0.24</v>
      </c>
      <c r="AM1416">
        <v>2439</v>
      </c>
      <c r="AN1416">
        <v>109</v>
      </c>
      <c r="AO1416">
        <v>5.0000000000000001E-4</v>
      </c>
      <c r="AP1416">
        <v>-1</v>
      </c>
      <c r="AQ1416">
        <v>0.82</v>
      </c>
      <c r="AR1416">
        <v>-3.97</v>
      </c>
      <c r="AS1416">
        <v>5.83</v>
      </c>
      <c r="AT1416">
        <v>1.4</v>
      </c>
      <c r="AU1416">
        <v>-15.58</v>
      </c>
      <c r="AV1416">
        <v>0</v>
      </c>
      <c r="AW1416">
        <v>1.64</v>
      </c>
      <c r="AX1416">
        <v>58.43</v>
      </c>
      <c r="AY1416" t="s">
        <v>120</v>
      </c>
      <c r="AZ1416" t="s">
        <v>120</v>
      </c>
      <c r="BA1416">
        <v>0.19</v>
      </c>
      <c r="BB1416" t="s">
        <v>143</v>
      </c>
      <c r="BF1416">
        <v>-0.03</v>
      </c>
      <c r="BG1416">
        <v>-2.42</v>
      </c>
      <c r="BH1416">
        <v>-4.22</v>
      </c>
      <c r="BI1416">
        <v>0.55000000000000004</v>
      </c>
      <c r="BJ1416">
        <v>20210821</v>
      </c>
      <c r="BK1416">
        <v>20091030</v>
      </c>
      <c r="BL1416">
        <v>27.79</v>
      </c>
      <c r="BM1416" t="s">
        <v>120</v>
      </c>
      <c r="BN1416" t="s">
        <v>120</v>
      </c>
      <c r="BO1416">
        <v>100.53</v>
      </c>
      <c r="BP1416">
        <v>3.63</v>
      </c>
      <c r="BQ1416">
        <v>30.74</v>
      </c>
      <c r="BR1416">
        <v>5.65</v>
      </c>
      <c r="BS1416">
        <v>63.8</v>
      </c>
      <c r="BT1416">
        <v>32.44</v>
      </c>
      <c r="BU1416">
        <v>7.73</v>
      </c>
      <c r="BV1416">
        <v>0.23</v>
      </c>
      <c r="BW1416">
        <v>47.36</v>
      </c>
      <c r="BX1416">
        <v>9.1</v>
      </c>
      <c r="BY1416">
        <v>6.97</v>
      </c>
      <c r="BZ1416">
        <v>4.47</v>
      </c>
      <c r="CA1416" t="s">
        <v>120</v>
      </c>
      <c r="CB1416">
        <v>24.93</v>
      </c>
      <c r="CC1416">
        <v>5.79</v>
      </c>
      <c r="CD1416">
        <v>3.49</v>
      </c>
      <c r="CE1416">
        <v>1.2</v>
      </c>
      <c r="CF1416">
        <v>1.76</v>
      </c>
      <c r="CG1416">
        <v>1.2</v>
      </c>
      <c r="CH1416">
        <v>1.18</v>
      </c>
      <c r="CI1416">
        <v>1.06</v>
      </c>
      <c r="CJ1416">
        <v>-0.08</v>
      </c>
      <c r="CK1416">
        <v>-2.27</v>
      </c>
      <c r="CL1416">
        <v>-21.93</v>
      </c>
      <c r="CM1416">
        <v>3.46</v>
      </c>
      <c r="CN1416">
        <v>3.15</v>
      </c>
      <c r="CO1416">
        <v>103336</v>
      </c>
      <c r="CP1416">
        <v>15715</v>
      </c>
      <c r="CQ1416" t="s">
        <v>5224</v>
      </c>
      <c r="CR1416">
        <v>145.75</v>
      </c>
      <c r="CS1416">
        <v>78.37</v>
      </c>
      <c r="CT1416">
        <v>3.28</v>
      </c>
      <c r="CU1416">
        <v>29.16</v>
      </c>
      <c r="CV1416">
        <v>17.440000000000001</v>
      </c>
      <c r="CW1416">
        <v>0</v>
      </c>
      <c r="CX1416" t="s">
        <v>145</v>
      </c>
      <c r="CY1416">
        <v>1.1100000000000001</v>
      </c>
      <c r="CZ1416">
        <v>0</v>
      </c>
      <c r="DA1416">
        <v>0.9</v>
      </c>
      <c r="DB1416">
        <v>-0.79</v>
      </c>
      <c r="DC1416">
        <v>0.12</v>
      </c>
      <c r="DD1416">
        <v>30.58</v>
      </c>
      <c r="DE1416" t="s">
        <v>405</v>
      </c>
      <c r="DF1416">
        <v>39.64</v>
      </c>
      <c r="DG1416">
        <v>20.68</v>
      </c>
      <c r="DH1416">
        <v>18.3</v>
      </c>
      <c r="DI1416">
        <v>0.03</v>
      </c>
      <c r="DJ1416">
        <v>800</v>
      </c>
      <c r="DK1416">
        <v>300027</v>
      </c>
      <c r="DL1416" t="s">
        <v>120</v>
      </c>
      <c r="DM1416" t="s">
        <v>120</v>
      </c>
      <c r="DN1416" t="s">
        <v>120</v>
      </c>
    </row>
    <row r="1417" spans="1:118">
      <c r="A1417" t="str">
        <f>"300030"</f>
        <v>300030</v>
      </c>
      <c r="B1417" t="s">
        <v>7496</v>
      </c>
      <c r="C1417">
        <v>-0.2</v>
      </c>
      <c r="D1417">
        <v>0.1</v>
      </c>
      <c r="E1417">
        <v>0.2</v>
      </c>
      <c r="F1417">
        <v>250</v>
      </c>
      <c r="G1417" t="s">
        <v>5516</v>
      </c>
      <c r="H1417">
        <v>2660.78</v>
      </c>
      <c r="I1417">
        <v>1.79</v>
      </c>
      <c r="J1417" t="s">
        <v>120</v>
      </c>
      <c r="K1417" t="s">
        <v>4435</v>
      </c>
      <c r="L1417">
        <v>1.05</v>
      </c>
      <c r="M1417">
        <v>9.92</v>
      </c>
      <c r="N1417">
        <v>0.82</v>
      </c>
      <c r="O1417">
        <v>1.21</v>
      </c>
      <c r="P1417">
        <v>10.06</v>
      </c>
      <c r="Q1417">
        <v>-0.4</v>
      </c>
      <c r="R1417">
        <v>9.9</v>
      </c>
      <c r="S1417">
        <v>9.9600000000000009</v>
      </c>
      <c r="T1417">
        <v>26704</v>
      </c>
      <c r="U1417">
        <v>9.92</v>
      </c>
      <c r="V1417">
        <v>9.94</v>
      </c>
      <c r="W1417">
        <v>17.059999999999999</v>
      </c>
      <c r="X1417" t="s">
        <v>555</v>
      </c>
      <c r="Y1417" t="s">
        <v>547</v>
      </c>
      <c r="Z1417">
        <v>1.61</v>
      </c>
      <c r="AA1417">
        <v>9.9600000000000009</v>
      </c>
      <c r="AB1417">
        <v>16403</v>
      </c>
      <c r="AC1417">
        <v>10301</v>
      </c>
      <c r="AD1417">
        <v>1.59</v>
      </c>
      <c r="AE1417">
        <v>521</v>
      </c>
      <c r="AF1417">
        <v>254</v>
      </c>
      <c r="AG1417" t="s">
        <v>120</v>
      </c>
      <c r="AH1417">
        <v>0</v>
      </c>
      <c r="AI1417" t="s">
        <v>120</v>
      </c>
      <c r="AJ1417">
        <v>2.54</v>
      </c>
      <c r="AK1417" t="s">
        <v>7497</v>
      </c>
      <c r="AL1417">
        <v>1.71</v>
      </c>
      <c r="AM1417">
        <v>1042</v>
      </c>
      <c r="AN1417">
        <v>26</v>
      </c>
      <c r="AO1417">
        <v>1E-3</v>
      </c>
      <c r="AP1417">
        <v>-3</v>
      </c>
      <c r="AQ1417">
        <v>-1.39</v>
      </c>
      <c r="AR1417">
        <v>-2.84</v>
      </c>
      <c r="AS1417">
        <v>-2.08</v>
      </c>
      <c r="AT1417">
        <v>-17.61</v>
      </c>
      <c r="AU1417">
        <v>-19.14</v>
      </c>
      <c r="AV1417">
        <v>0</v>
      </c>
      <c r="AW1417">
        <v>1.23</v>
      </c>
      <c r="AX1417">
        <v>70.08</v>
      </c>
      <c r="AY1417">
        <v>20.88</v>
      </c>
      <c r="AZ1417">
        <v>18.89</v>
      </c>
      <c r="BA1417">
        <v>0.42</v>
      </c>
      <c r="BB1417" t="s">
        <v>143</v>
      </c>
      <c r="BF1417">
        <v>0.24</v>
      </c>
      <c r="BG1417">
        <v>-0.4</v>
      </c>
      <c r="BH1417">
        <v>-1.39</v>
      </c>
      <c r="BI1417">
        <v>0.2</v>
      </c>
      <c r="BJ1417">
        <v>20210902</v>
      </c>
      <c r="BK1417">
        <v>20091225</v>
      </c>
      <c r="BL1417">
        <v>3.09</v>
      </c>
      <c r="BM1417" t="s">
        <v>120</v>
      </c>
      <c r="BN1417" t="s">
        <v>120</v>
      </c>
      <c r="BO1417">
        <v>18.09</v>
      </c>
      <c r="BP1417">
        <v>9.91</v>
      </c>
      <c r="BQ1417">
        <v>10.93</v>
      </c>
      <c r="BR1417">
        <v>0.28000000000000003</v>
      </c>
      <c r="BS1417">
        <v>38.020000000000003</v>
      </c>
      <c r="BT1417">
        <v>7.73</v>
      </c>
      <c r="BU1417">
        <v>2.72</v>
      </c>
      <c r="BV1417">
        <v>1.27</v>
      </c>
      <c r="BW1417">
        <v>6.07</v>
      </c>
      <c r="BX1417">
        <v>2.0499999999999998</v>
      </c>
      <c r="BY1417">
        <v>1.59</v>
      </c>
      <c r="BZ1417">
        <v>2.11</v>
      </c>
      <c r="CA1417" t="s">
        <v>120</v>
      </c>
      <c r="CB1417">
        <v>4.16</v>
      </c>
      <c r="CC1417">
        <v>4.16</v>
      </c>
      <c r="CD1417">
        <v>2.35</v>
      </c>
      <c r="CE1417">
        <v>0.97</v>
      </c>
      <c r="CF1417">
        <v>0.7</v>
      </c>
      <c r="CG1417">
        <v>0.96</v>
      </c>
      <c r="CH1417">
        <v>0.9</v>
      </c>
      <c r="CI1417">
        <v>0.9</v>
      </c>
      <c r="CJ1417">
        <v>-0.02</v>
      </c>
      <c r="CK1417">
        <v>0.78</v>
      </c>
      <c r="CL1417">
        <v>3.15</v>
      </c>
      <c r="CM1417">
        <v>1.21</v>
      </c>
      <c r="CN1417">
        <v>-0.11</v>
      </c>
      <c r="CO1417">
        <v>34800</v>
      </c>
      <c r="CP1417">
        <v>6218</v>
      </c>
      <c r="CQ1417" t="s">
        <v>3881</v>
      </c>
      <c r="CR1417">
        <v>-14.74</v>
      </c>
      <c r="CS1417">
        <v>3.59</v>
      </c>
      <c r="CT1417">
        <v>2.8</v>
      </c>
      <c r="CU1417">
        <v>25.38</v>
      </c>
      <c r="CV1417">
        <v>7.36</v>
      </c>
      <c r="CW1417">
        <v>0.32</v>
      </c>
      <c r="CX1417" t="s">
        <v>293</v>
      </c>
      <c r="CY1417">
        <v>3.54</v>
      </c>
      <c r="CZ1417">
        <v>0</v>
      </c>
      <c r="DA1417">
        <v>1.35</v>
      </c>
      <c r="DB1417">
        <v>1.02</v>
      </c>
      <c r="DC1417">
        <v>0.39</v>
      </c>
      <c r="DD1417">
        <v>60.44</v>
      </c>
      <c r="DE1417" t="s">
        <v>7498</v>
      </c>
      <c r="DF1417">
        <v>43.66</v>
      </c>
      <c r="DG1417">
        <v>23.31</v>
      </c>
      <c r="DH1417">
        <v>21.57</v>
      </c>
      <c r="DI1417">
        <v>0.18</v>
      </c>
      <c r="DJ1417">
        <v>928</v>
      </c>
      <c r="DK1417">
        <v>300030</v>
      </c>
      <c r="DL1417" t="s">
        <v>120</v>
      </c>
      <c r="DM1417" t="s">
        <v>120</v>
      </c>
      <c r="DN1417" t="s">
        <v>120</v>
      </c>
    </row>
    <row r="1418" spans="1:118">
      <c r="A1418" t="str">
        <f>"300031"</f>
        <v>300031</v>
      </c>
      <c r="B1418" t="s">
        <v>7499</v>
      </c>
      <c r="C1418">
        <v>-2.8</v>
      </c>
      <c r="D1418">
        <v>-0.28999999999999998</v>
      </c>
      <c r="E1418">
        <v>0.68</v>
      </c>
      <c r="F1418">
        <v>7086</v>
      </c>
      <c r="G1418" t="s">
        <v>7500</v>
      </c>
      <c r="H1418">
        <v>100850.28</v>
      </c>
      <c r="I1418">
        <v>1285.05</v>
      </c>
      <c r="J1418" t="s">
        <v>120</v>
      </c>
      <c r="K1418" t="s">
        <v>7501</v>
      </c>
      <c r="L1418">
        <v>13.15</v>
      </c>
      <c r="M1418">
        <v>22.91</v>
      </c>
      <c r="N1418">
        <v>0.82</v>
      </c>
      <c r="O1418">
        <v>5.22</v>
      </c>
      <c r="P1418">
        <v>24.8</v>
      </c>
      <c r="Q1418">
        <v>-3.9</v>
      </c>
      <c r="R1418">
        <v>22.65</v>
      </c>
      <c r="S1418">
        <v>23.73</v>
      </c>
      <c r="T1418">
        <v>426909</v>
      </c>
      <c r="U1418">
        <v>22.92</v>
      </c>
      <c r="V1418">
        <v>23.57</v>
      </c>
      <c r="W1418">
        <v>18.25</v>
      </c>
      <c r="X1418" t="s">
        <v>1531</v>
      </c>
      <c r="Y1418" t="s">
        <v>319</v>
      </c>
      <c r="Z1418">
        <v>9.1199999999999992</v>
      </c>
      <c r="AA1418">
        <v>23.62</v>
      </c>
      <c r="AB1418">
        <v>223207</v>
      </c>
      <c r="AC1418">
        <v>203702</v>
      </c>
      <c r="AD1418">
        <v>1.1000000000000001</v>
      </c>
      <c r="AE1418">
        <v>121</v>
      </c>
      <c r="AF1418">
        <v>727</v>
      </c>
      <c r="AG1418" t="s">
        <v>120</v>
      </c>
      <c r="AH1418">
        <v>0.18</v>
      </c>
      <c r="AI1418" t="s">
        <v>120</v>
      </c>
      <c r="AJ1418">
        <v>3.25</v>
      </c>
      <c r="AK1418" t="s">
        <v>4241</v>
      </c>
      <c r="AL1418">
        <v>-0.89</v>
      </c>
      <c r="AM1418">
        <v>4428</v>
      </c>
      <c r="AN1418">
        <v>96</v>
      </c>
      <c r="AO1418">
        <v>3.0000000000000001E-3</v>
      </c>
      <c r="AP1418">
        <v>-1</v>
      </c>
      <c r="AQ1418">
        <v>10.039999999999999</v>
      </c>
      <c r="AR1418">
        <v>-0.35</v>
      </c>
      <c r="AS1418">
        <v>71.739999999999995</v>
      </c>
      <c r="AT1418">
        <v>37.35</v>
      </c>
      <c r="AU1418">
        <v>19.82</v>
      </c>
      <c r="AV1418">
        <v>2</v>
      </c>
      <c r="AW1418">
        <v>13.8</v>
      </c>
      <c r="AX1418">
        <v>77.95</v>
      </c>
      <c r="AY1418">
        <v>20.77</v>
      </c>
      <c r="AZ1418">
        <v>21.41</v>
      </c>
      <c r="BA1418">
        <v>1.45</v>
      </c>
      <c r="BB1418" t="s">
        <v>168</v>
      </c>
      <c r="BF1418">
        <v>0.23</v>
      </c>
      <c r="BG1418">
        <v>-3.46</v>
      </c>
      <c r="BH1418">
        <v>-7.62</v>
      </c>
      <c r="BI1418">
        <v>1.1499999999999999</v>
      </c>
      <c r="BJ1418">
        <v>20210827</v>
      </c>
      <c r="BK1418">
        <v>20091225</v>
      </c>
      <c r="BL1418">
        <v>3.97</v>
      </c>
      <c r="BM1418" t="s">
        <v>120</v>
      </c>
      <c r="BN1418" t="s">
        <v>120</v>
      </c>
      <c r="BO1418">
        <v>49.63</v>
      </c>
      <c r="BP1418">
        <v>22.91</v>
      </c>
      <c r="BQ1418">
        <v>32</v>
      </c>
      <c r="BR1418">
        <v>0.86</v>
      </c>
      <c r="BS1418">
        <v>33.799999999999997</v>
      </c>
      <c r="BT1418">
        <v>20</v>
      </c>
      <c r="BU1418">
        <v>2.12</v>
      </c>
      <c r="BV1418">
        <v>0.81</v>
      </c>
      <c r="BW1418">
        <v>12.18</v>
      </c>
      <c r="BX1418">
        <v>5.97</v>
      </c>
      <c r="BY1418">
        <v>2.74</v>
      </c>
      <c r="BZ1418">
        <v>5.34</v>
      </c>
      <c r="CA1418" t="s">
        <v>120</v>
      </c>
      <c r="CB1418">
        <v>9.84</v>
      </c>
      <c r="CC1418">
        <v>13.34</v>
      </c>
      <c r="CD1418">
        <v>7.42</v>
      </c>
      <c r="CE1418">
        <v>3</v>
      </c>
      <c r="CF1418">
        <v>0.75</v>
      </c>
      <c r="CG1418">
        <v>2.98</v>
      </c>
      <c r="CH1418">
        <v>2.54</v>
      </c>
      <c r="CI1418">
        <v>2.4900000000000002</v>
      </c>
      <c r="CJ1418">
        <v>-0.66</v>
      </c>
      <c r="CK1418">
        <v>2.42</v>
      </c>
      <c r="CL1418">
        <v>15.95</v>
      </c>
      <c r="CM1418">
        <v>0.84</v>
      </c>
      <c r="CN1418">
        <v>-0.76</v>
      </c>
      <c r="CO1418">
        <v>24152</v>
      </c>
      <c r="CP1418">
        <v>12805</v>
      </c>
      <c r="CQ1418" t="s">
        <v>7502</v>
      </c>
      <c r="CR1418">
        <v>5.77</v>
      </c>
      <c r="CS1418">
        <v>1.63</v>
      </c>
      <c r="CT1418">
        <v>2.95</v>
      </c>
      <c r="CU1418">
        <v>108.81</v>
      </c>
      <c r="CV1418">
        <v>6.81</v>
      </c>
      <c r="CW1418">
        <v>1.24</v>
      </c>
      <c r="CX1418" t="s">
        <v>2783</v>
      </c>
      <c r="CY1418">
        <v>7.76</v>
      </c>
      <c r="CZ1418">
        <v>7.76</v>
      </c>
      <c r="DA1418">
        <v>2.48</v>
      </c>
      <c r="DB1418">
        <v>4.0199999999999996</v>
      </c>
      <c r="DC1418">
        <v>0.21</v>
      </c>
      <c r="DD1418">
        <v>64.47</v>
      </c>
      <c r="DE1418" t="s">
        <v>5049</v>
      </c>
      <c r="DF1418">
        <v>44.37</v>
      </c>
      <c r="DG1418">
        <v>22.47</v>
      </c>
      <c r="DH1418">
        <v>18.66</v>
      </c>
      <c r="DI1418">
        <v>0.42</v>
      </c>
      <c r="DJ1418">
        <v>1194</v>
      </c>
      <c r="DK1418">
        <v>300031</v>
      </c>
      <c r="DL1418">
        <v>20210907</v>
      </c>
      <c r="DM1418">
        <v>20.27</v>
      </c>
      <c r="DN1418">
        <v>13.02</v>
      </c>
    </row>
    <row r="1419" spans="1:118">
      <c r="A1419" t="str">
        <f>"300032"</f>
        <v>300032</v>
      </c>
      <c r="B1419" t="s">
        <v>7503</v>
      </c>
      <c r="C1419">
        <v>-7.83</v>
      </c>
      <c r="D1419">
        <v>-0.14000000000000001</v>
      </c>
      <c r="E1419">
        <v>-1.71</v>
      </c>
      <c r="F1419">
        <v>8735</v>
      </c>
      <c r="G1419" t="s">
        <v>7504</v>
      </c>
      <c r="H1419">
        <v>35641.019999999997</v>
      </c>
      <c r="I1419">
        <v>93.98</v>
      </c>
      <c r="J1419" t="s">
        <v>120</v>
      </c>
      <c r="K1419" t="s">
        <v>7505</v>
      </c>
      <c r="L1419">
        <v>6.6</v>
      </c>
      <c r="M1419">
        <v>6.47</v>
      </c>
      <c r="N1419">
        <v>0.7</v>
      </c>
      <c r="O1419">
        <v>0.85</v>
      </c>
      <c r="P1419">
        <v>7.08</v>
      </c>
      <c r="Q1419">
        <v>-7.83</v>
      </c>
      <c r="R1419">
        <v>6.47</v>
      </c>
      <c r="S1419">
        <v>6.9</v>
      </c>
      <c r="T1419">
        <v>530454</v>
      </c>
      <c r="U1419">
        <v>6.47</v>
      </c>
      <c r="V1419">
        <v>7.02</v>
      </c>
      <c r="W1419">
        <v>14.2</v>
      </c>
      <c r="X1419" t="s">
        <v>229</v>
      </c>
      <c r="Y1419" t="s">
        <v>585</v>
      </c>
      <c r="Z1419">
        <v>8.69</v>
      </c>
      <c r="AA1419">
        <v>6.72</v>
      </c>
      <c r="AB1419">
        <v>308737</v>
      </c>
      <c r="AC1419">
        <v>221717</v>
      </c>
      <c r="AD1419">
        <v>1.39</v>
      </c>
      <c r="AE1419">
        <v>1344</v>
      </c>
      <c r="AF1419">
        <v>63</v>
      </c>
      <c r="AG1419" t="s">
        <v>120</v>
      </c>
      <c r="AH1419">
        <v>0.02</v>
      </c>
      <c r="AI1419" t="s">
        <v>120</v>
      </c>
      <c r="AJ1419">
        <v>8.0299999999999994</v>
      </c>
      <c r="AK1419" t="s">
        <v>7506</v>
      </c>
      <c r="AL1419">
        <v>-5.92</v>
      </c>
      <c r="AM1419">
        <v>4106</v>
      </c>
      <c r="AN1419">
        <v>129</v>
      </c>
      <c r="AO1419">
        <v>1.6000000000000001E-3</v>
      </c>
      <c r="AP1419">
        <v>-1</v>
      </c>
      <c r="AQ1419">
        <v>3.24</v>
      </c>
      <c r="AR1419">
        <v>-10.51</v>
      </c>
      <c r="AS1419">
        <v>28.88</v>
      </c>
      <c r="AT1419">
        <v>22.77</v>
      </c>
      <c r="AU1419">
        <v>26.87</v>
      </c>
      <c r="AV1419">
        <v>1</v>
      </c>
      <c r="AW1419">
        <v>8.26</v>
      </c>
      <c r="AX1419">
        <v>79.92</v>
      </c>
      <c r="AY1419" t="s">
        <v>120</v>
      </c>
      <c r="AZ1419" t="s">
        <v>120</v>
      </c>
      <c r="BA1419">
        <v>0.31</v>
      </c>
      <c r="BB1419" t="s">
        <v>184</v>
      </c>
      <c r="BF1419">
        <v>-4.29</v>
      </c>
      <c r="BG1419">
        <v>-6.23</v>
      </c>
      <c r="BH1419">
        <v>-8.6199999999999992</v>
      </c>
      <c r="BI1419">
        <v>0</v>
      </c>
      <c r="BJ1419">
        <v>20210830</v>
      </c>
      <c r="BK1419">
        <v>20091225</v>
      </c>
      <c r="BL1419">
        <v>8.0299999999999994</v>
      </c>
      <c r="BM1419" t="s">
        <v>120</v>
      </c>
      <c r="BN1419" t="s">
        <v>120</v>
      </c>
      <c r="BO1419">
        <v>25.8</v>
      </c>
      <c r="BP1419">
        <v>6.46</v>
      </c>
      <c r="BQ1419">
        <v>14.26</v>
      </c>
      <c r="BR1419">
        <v>-0.44</v>
      </c>
      <c r="BS1419">
        <v>46.42</v>
      </c>
      <c r="BT1419">
        <v>11.03</v>
      </c>
      <c r="BU1419">
        <v>6.12</v>
      </c>
      <c r="BV1419">
        <v>0.98</v>
      </c>
      <c r="BW1419">
        <v>5.44</v>
      </c>
      <c r="BX1419">
        <v>3.24</v>
      </c>
      <c r="BY1419">
        <v>1.79</v>
      </c>
      <c r="BZ1419">
        <v>3.66</v>
      </c>
      <c r="CA1419" t="s">
        <v>120</v>
      </c>
      <c r="CB1419">
        <v>29.9</v>
      </c>
      <c r="CC1419">
        <v>8.3800000000000008</v>
      </c>
      <c r="CD1419">
        <v>6.85</v>
      </c>
      <c r="CE1419">
        <v>0.16</v>
      </c>
      <c r="CF1419">
        <v>0.2</v>
      </c>
      <c r="CG1419">
        <v>1.87</v>
      </c>
      <c r="CH1419">
        <v>1.83</v>
      </c>
      <c r="CI1419">
        <v>1.83</v>
      </c>
      <c r="CJ1419">
        <v>-0.55000000000000004</v>
      </c>
      <c r="CK1419">
        <v>0.02</v>
      </c>
      <c r="CL1419">
        <v>-25.07</v>
      </c>
      <c r="CM1419">
        <v>0.55000000000000004</v>
      </c>
      <c r="CN1419">
        <v>1.97</v>
      </c>
      <c r="CO1419">
        <v>23355</v>
      </c>
      <c r="CP1419">
        <v>27485</v>
      </c>
      <c r="CQ1419" t="s">
        <v>7507</v>
      </c>
      <c r="CR1419">
        <v>697.1</v>
      </c>
      <c r="CS1419">
        <v>34.96</v>
      </c>
      <c r="CT1419">
        <v>3.64</v>
      </c>
      <c r="CU1419">
        <v>95.35</v>
      </c>
      <c r="CV1419">
        <v>6.2</v>
      </c>
      <c r="CW1419">
        <v>0</v>
      </c>
      <c r="CX1419" t="s">
        <v>2473</v>
      </c>
      <c r="CY1419">
        <v>1.78</v>
      </c>
      <c r="CZ1419">
        <v>0</v>
      </c>
      <c r="DA1419">
        <v>3.72</v>
      </c>
      <c r="DB1419">
        <v>-3.12</v>
      </c>
      <c r="DC1419">
        <v>7.0000000000000007E-2</v>
      </c>
      <c r="DD1419">
        <v>55.29</v>
      </c>
      <c r="DE1419" t="s">
        <v>7508</v>
      </c>
      <c r="DF1419">
        <v>18.29</v>
      </c>
      <c r="DG1419">
        <v>1.95</v>
      </c>
      <c r="DH1419">
        <v>21.83</v>
      </c>
      <c r="DI1419">
        <v>0.28999999999999998</v>
      </c>
      <c r="DJ1419">
        <v>5635</v>
      </c>
      <c r="DK1419">
        <v>300032</v>
      </c>
      <c r="DL1419">
        <v>20210830</v>
      </c>
      <c r="DM1419">
        <v>5.88</v>
      </c>
      <c r="DN1419">
        <v>10.029999999999999</v>
      </c>
    </row>
    <row r="1420" spans="1:118">
      <c r="A1420" t="str">
        <f>"300033"</f>
        <v>300033</v>
      </c>
      <c r="B1420" t="s">
        <v>7509</v>
      </c>
      <c r="C1420">
        <v>-2.46</v>
      </c>
      <c r="D1420">
        <v>0</v>
      </c>
      <c r="E1420">
        <v>0.15</v>
      </c>
      <c r="F1420">
        <v>1208</v>
      </c>
      <c r="G1420" t="s">
        <v>7510</v>
      </c>
      <c r="H1420">
        <v>93287.72</v>
      </c>
      <c r="I1420">
        <v>1399.16</v>
      </c>
      <c r="J1420" t="s">
        <v>120</v>
      </c>
      <c r="K1420" t="s">
        <v>7511</v>
      </c>
      <c r="L1420">
        <v>2.62</v>
      </c>
      <c r="M1420">
        <v>129.53</v>
      </c>
      <c r="N1420">
        <v>0.64</v>
      </c>
      <c r="O1420">
        <v>0.9</v>
      </c>
      <c r="P1420">
        <v>134</v>
      </c>
      <c r="Q1420">
        <v>-3.18</v>
      </c>
      <c r="R1420">
        <v>128.58000000000001</v>
      </c>
      <c r="S1420">
        <v>133</v>
      </c>
      <c r="T1420">
        <v>71180</v>
      </c>
      <c r="U1420">
        <v>129.54</v>
      </c>
      <c r="V1420">
        <v>132.80000000000001</v>
      </c>
      <c r="W1420">
        <v>60.32</v>
      </c>
      <c r="X1420" t="s">
        <v>141</v>
      </c>
      <c r="Y1420" t="s">
        <v>585</v>
      </c>
      <c r="Z1420">
        <v>4.08</v>
      </c>
      <c r="AA1420">
        <v>131.06</v>
      </c>
      <c r="AB1420">
        <v>33199</v>
      </c>
      <c r="AC1420">
        <v>37981</v>
      </c>
      <c r="AD1420">
        <v>0.87</v>
      </c>
      <c r="AE1420">
        <v>22</v>
      </c>
      <c r="AF1420">
        <v>29</v>
      </c>
      <c r="AG1420" t="s">
        <v>120</v>
      </c>
      <c r="AH1420">
        <v>0.05</v>
      </c>
      <c r="AI1420" t="s">
        <v>120</v>
      </c>
      <c r="AJ1420">
        <v>2.72</v>
      </c>
      <c r="AK1420" t="s">
        <v>7512</v>
      </c>
      <c r="AL1420">
        <v>-0.55000000000000004</v>
      </c>
      <c r="AM1420">
        <v>4291</v>
      </c>
      <c r="AN1420">
        <v>17</v>
      </c>
      <c r="AO1420">
        <v>5.9999999999999995E-4</v>
      </c>
      <c r="AP1420">
        <v>-3</v>
      </c>
      <c r="AQ1420">
        <v>-2.52</v>
      </c>
      <c r="AR1420">
        <v>-7.74</v>
      </c>
      <c r="AS1420">
        <v>11.51</v>
      </c>
      <c r="AT1420">
        <v>15.73</v>
      </c>
      <c r="AU1420">
        <v>5.5</v>
      </c>
      <c r="AV1420">
        <v>0</v>
      </c>
      <c r="AW1420">
        <v>3.64</v>
      </c>
      <c r="AX1420">
        <v>36.35</v>
      </c>
      <c r="AY1420">
        <v>38.340000000000003</v>
      </c>
      <c r="AZ1420">
        <v>41.41</v>
      </c>
      <c r="BA1420">
        <v>1.1399999999999999</v>
      </c>
      <c r="BB1420" t="s">
        <v>143</v>
      </c>
      <c r="BF1420">
        <v>-1.31</v>
      </c>
      <c r="BG1420">
        <v>-2.61</v>
      </c>
      <c r="BH1420">
        <v>-3.34</v>
      </c>
      <c r="BI1420">
        <v>0.74</v>
      </c>
      <c r="BJ1420">
        <v>20210821</v>
      </c>
      <c r="BK1420">
        <v>20091225</v>
      </c>
      <c r="BL1420">
        <v>5.38</v>
      </c>
      <c r="BM1420" t="s">
        <v>120</v>
      </c>
      <c r="BN1420" t="s">
        <v>120</v>
      </c>
      <c r="BO1420">
        <v>86.63</v>
      </c>
      <c r="BP1420">
        <v>129.53</v>
      </c>
      <c r="BQ1420">
        <v>51.51</v>
      </c>
      <c r="BR1420" t="s">
        <v>120</v>
      </c>
      <c r="BS1420">
        <v>40.54</v>
      </c>
      <c r="BT1420">
        <v>76.8</v>
      </c>
      <c r="BU1420">
        <v>4.0999999999999996</v>
      </c>
      <c r="BV1420">
        <v>3.59</v>
      </c>
      <c r="BW1420">
        <v>33.6</v>
      </c>
      <c r="BX1420">
        <v>75.86</v>
      </c>
      <c r="BY1420">
        <v>0</v>
      </c>
      <c r="BZ1420">
        <v>0.55000000000000004</v>
      </c>
      <c r="CA1420" t="s">
        <v>120</v>
      </c>
      <c r="CB1420">
        <v>3.57</v>
      </c>
      <c r="CC1420">
        <v>13.27</v>
      </c>
      <c r="CD1420">
        <v>1.55</v>
      </c>
      <c r="CE1420">
        <v>6.57</v>
      </c>
      <c r="CF1420">
        <v>0</v>
      </c>
      <c r="CG1420">
        <v>6.54</v>
      </c>
      <c r="CH1420">
        <v>5.77</v>
      </c>
      <c r="CI1420">
        <v>5.77</v>
      </c>
      <c r="CJ1420">
        <v>-3.27</v>
      </c>
      <c r="CK1420">
        <v>5.74</v>
      </c>
      <c r="CL1420">
        <v>39.17</v>
      </c>
      <c r="CM1420">
        <v>5.69</v>
      </c>
      <c r="CN1420">
        <v>-0.79</v>
      </c>
      <c r="CO1420">
        <v>75731</v>
      </c>
      <c r="CP1420">
        <v>2581</v>
      </c>
      <c r="CQ1420" t="s">
        <v>350</v>
      </c>
      <c r="CR1420">
        <v>31.42</v>
      </c>
      <c r="CS1420">
        <v>33.869999999999997</v>
      </c>
      <c r="CT1420">
        <v>13.52</v>
      </c>
      <c r="CU1420">
        <v>122.38</v>
      </c>
      <c r="CV1420">
        <v>52.46</v>
      </c>
      <c r="CW1420">
        <v>0.9</v>
      </c>
      <c r="CX1420" t="s">
        <v>6761</v>
      </c>
      <c r="CY1420">
        <v>9.58</v>
      </c>
      <c r="CZ1420">
        <v>0</v>
      </c>
      <c r="DA1420">
        <v>0.66</v>
      </c>
      <c r="DB1420">
        <v>7.29</v>
      </c>
      <c r="DC1420">
        <v>1.06</v>
      </c>
      <c r="DD1420">
        <v>59.46</v>
      </c>
      <c r="DE1420" t="s">
        <v>7513</v>
      </c>
      <c r="DF1420">
        <v>88.32</v>
      </c>
      <c r="DG1420">
        <v>49.48</v>
      </c>
      <c r="DH1420">
        <v>43.48</v>
      </c>
      <c r="DI1420">
        <v>3.69</v>
      </c>
      <c r="DJ1420">
        <v>4058</v>
      </c>
      <c r="DK1420">
        <v>300033</v>
      </c>
      <c r="DL1420" t="s">
        <v>120</v>
      </c>
      <c r="DM1420" t="s">
        <v>120</v>
      </c>
      <c r="DN1420" t="s">
        <v>120</v>
      </c>
    </row>
    <row r="1421" spans="1:118">
      <c r="A1421" t="str">
        <f>"300034"</f>
        <v>300034</v>
      </c>
      <c r="B1421" t="s">
        <v>7514</v>
      </c>
      <c r="C1421">
        <v>-7.14</v>
      </c>
      <c r="D1421">
        <v>-0.99</v>
      </c>
      <c r="E1421">
        <v>-0.62</v>
      </c>
      <c r="F1421">
        <v>1994</v>
      </c>
      <c r="G1421" t="s">
        <v>7515</v>
      </c>
      <c r="H1421">
        <v>58880.14</v>
      </c>
      <c r="I1421">
        <v>27.81</v>
      </c>
      <c r="J1421" t="s">
        <v>120</v>
      </c>
      <c r="K1421" t="s">
        <v>7516</v>
      </c>
      <c r="L1421">
        <v>3.44</v>
      </c>
      <c r="M1421">
        <v>38.78</v>
      </c>
      <c r="N1421">
        <v>1.71</v>
      </c>
      <c r="O1421">
        <v>-0.62</v>
      </c>
      <c r="P1421">
        <v>41.5</v>
      </c>
      <c r="Q1421">
        <v>-8.76</v>
      </c>
      <c r="R1421">
        <v>38.1</v>
      </c>
      <c r="S1421">
        <v>41.5</v>
      </c>
      <c r="T1421">
        <v>149102</v>
      </c>
      <c r="U1421">
        <v>38.78</v>
      </c>
      <c r="V1421">
        <v>41.76</v>
      </c>
      <c r="W1421">
        <v>53.51</v>
      </c>
      <c r="X1421" t="s">
        <v>1390</v>
      </c>
      <c r="Y1421" t="s">
        <v>158</v>
      </c>
      <c r="Z1421">
        <v>8.14</v>
      </c>
      <c r="AA1421">
        <v>39.49</v>
      </c>
      <c r="AB1421">
        <v>76799</v>
      </c>
      <c r="AC1421">
        <v>72303</v>
      </c>
      <c r="AD1421">
        <v>1.06</v>
      </c>
      <c r="AE1421">
        <v>1</v>
      </c>
      <c r="AF1421">
        <v>1587</v>
      </c>
      <c r="AG1421" t="s">
        <v>120</v>
      </c>
      <c r="AH1421">
        <v>0</v>
      </c>
      <c r="AI1421" t="s">
        <v>120</v>
      </c>
      <c r="AJ1421">
        <v>4.34</v>
      </c>
      <c r="AK1421" t="s">
        <v>7517</v>
      </c>
      <c r="AL1421">
        <v>-5.22</v>
      </c>
      <c r="AM1421">
        <v>4200</v>
      </c>
      <c r="AN1421">
        <v>36</v>
      </c>
      <c r="AO1421">
        <v>8.0000000000000004E-4</v>
      </c>
      <c r="AP1421">
        <v>-2</v>
      </c>
      <c r="AQ1421">
        <v>-0.14000000000000001</v>
      </c>
      <c r="AR1421">
        <v>-6.33</v>
      </c>
      <c r="AS1421">
        <v>-12.28</v>
      </c>
      <c r="AT1421">
        <v>28.25</v>
      </c>
      <c r="AU1421">
        <v>8.2799999999999994</v>
      </c>
      <c r="AV1421">
        <v>0</v>
      </c>
      <c r="AW1421">
        <v>6.34</v>
      </c>
      <c r="AX1421">
        <v>48.35</v>
      </c>
      <c r="AY1421">
        <v>69.77</v>
      </c>
      <c r="AZ1421">
        <v>99.67</v>
      </c>
      <c r="BA1421">
        <v>1.48</v>
      </c>
      <c r="BB1421" t="s">
        <v>143</v>
      </c>
      <c r="BF1421">
        <v>-5.44</v>
      </c>
      <c r="BG1421">
        <v>-6.55</v>
      </c>
      <c r="BH1421">
        <v>-6.55</v>
      </c>
      <c r="BI1421">
        <v>1.78</v>
      </c>
      <c r="BJ1421">
        <v>20210813</v>
      </c>
      <c r="BK1421">
        <v>20091225</v>
      </c>
      <c r="BL1421">
        <v>4.8600000000000003</v>
      </c>
      <c r="BM1421" t="s">
        <v>120</v>
      </c>
      <c r="BN1421" t="s">
        <v>120</v>
      </c>
      <c r="BO1421">
        <v>43.81</v>
      </c>
      <c r="BP1421">
        <v>38.76</v>
      </c>
      <c r="BQ1421">
        <v>26.65</v>
      </c>
      <c r="BR1421">
        <v>2.0099999999999998</v>
      </c>
      <c r="BS1421">
        <v>34.590000000000003</v>
      </c>
      <c r="BT1421">
        <v>27.58</v>
      </c>
      <c r="BU1421">
        <v>5.09</v>
      </c>
      <c r="BV1421">
        <v>1.7</v>
      </c>
      <c r="BW1421">
        <v>12.25</v>
      </c>
      <c r="BX1421">
        <v>3.48</v>
      </c>
      <c r="BY1421">
        <v>8.58</v>
      </c>
      <c r="BZ1421">
        <v>7.68</v>
      </c>
      <c r="CA1421" t="s">
        <v>120</v>
      </c>
      <c r="CB1421">
        <v>12.3</v>
      </c>
      <c r="CC1421">
        <v>8.3000000000000007</v>
      </c>
      <c r="CD1421">
        <v>5.61</v>
      </c>
      <c r="CE1421">
        <v>2.08</v>
      </c>
      <c r="CF1421">
        <v>0.48</v>
      </c>
      <c r="CG1421">
        <v>2.16</v>
      </c>
      <c r="CH1421">
        <v>1.91</v>
      </c>
      <c r="CI1421">
        <v>1.76</v>
      </c>
      <c r="CJ1421">
        <v>-2.98</v>
      </c>
      <c r="CK1421">
        <v>1.6</v>
      </c>
      <c r="CL1421">
        <v>9.06</v>
      </c>
      <c r="CM1421">
        <v>-2.14</v>
      </c>
      <c r="CN1421">
        <v>0.01</v>
      </c>
      <c r="CO1421">
        <v>28016</v>
      </c>
      <c r="CP1421">
        <v>8388</v>
      </c>
      <c r="CQ1421" t="s">
        <v>7518</v>
      </c>
      <c r="CR1421">
        <v>98.19</v>
      </c>
      <c r="CS1421">
        <v>24.12</v>
      </c>
      <c r="CT1421">
        <v>7.07</v>
      </c>
      <c r="CU1421">
        <v>-88.06</v>
      </c>
      <c r="CV1421">
        <v>22.72</v>
      </c>
      <c r="CW1421">
        <v>0.32</v>
      </c>
      <c r="CX1421" t="s">
        <v>2429</v>
      </c>
      <c r="CY1421">
        <v>5.48</v>
      </c>
      <c r="CZ1421">
        <v>0</v>
      </c>
      <c r="DA1421">
        <v>2.5299999999999998</v>
      </c>
      <c r="DB1421">
        <v>1.86</v>
      </c>
      <c r="DC1421">
        <v>-0.44</v>
      </c>
      <c r="DD1421">
        <v>60.83</v>
      </c>
      <c r="DE1421" t="s">
        <v>1401</v>
      </c>
      <c r="DF1421">
        <v>32.340000000000003</v>
      </c>
      <c r="DG1421">
        <v>25.1</v>
      </c>
      <c r="DH1421">
        <v>21.23</v>
      </c>
      <c r="DI1421">
        <v>0.34</v>
      </c>
      <c r="DJ1421">
        <v>1166</v>
      </c>
      <c r="DK1421">
        <v>300034</v>
      </c>
      <c r="DL1421" t="s">
        <v>120</v>
      </c>
      <c r="DM1421" t="s">
        <v>120</v>
      </c>
      <c r="DN1421" t="s">
        <v>120</v>
      </c>
    </row>
    <row r="1422" spans="1:118">
      <c r="A1422" t="str">
        <f>"300035"</f>
        <v>300035</v>
      </c>
      <c r="B1422" t="s">
        <v>7519</v>
      </c>
      <c r="C1422">
        <v>-1.01</v>
      </c>
      <c r="D1422">
        <v>-0.23</v>
      </c>
      <c r="E1422">
        <v>2.23</v>
      </c>
      <c r="F1422">
        <v>5803</v>
      </c>
      <c r="G1422" t="s">
        <v>6178</v>
      </c>
      <c r="H1422">
        <v>202522.58</v>
      </c>
      <c r="I1422">
        <v>2352.94</v>
      </c>
      <c r="J1422" t="s">
        <v>120</v>
      </c>
      <c r="K1422" t="s">
        <v>7520</v>
      </c>
      <c r="L1422">
        <v>11.3</v>
      </c>
      <c r="M1422">
        <v>33.36</v>
      </c>
      <c r="N1422">
        <v>1.1200000000000001</v>
      </c>
      <c r="O1422">
        <v>6.38</v>
      </c>
      <c r="P1422">
        <v>35.85</v>
      </c>
      <c r="Q1422">
        <v>-3.26</v>
      </c>
      <c r="R1422">
        <v>32.6</v>
      </c>
      <c r="S1422">
        <v>34.450000000000003</v>
      </c>
      <c r="T1422">
        <v>596669</v>
      </c>
      <c r="U1422">
        <v>33.36</v>
      </c>
      <c r="V1422">
        <v>33.700000000000003</v>
      </c>
      <c r="W1422">
        <v>67.2</v>
      </c>
      <c r="X1422" t="s">
        <v>394</v>
      </c>
      <c r="Y1422" t="s">
        <v>594</v>
      </c>
      <c r="Z1422">
        <v>9.64</v>
      </c>
      <c r="AA1422">
        <v>33.94</v>
      </c>
      <c r="AB1422">
        <v>323237</v>
      </c>
      <c r="AC1422">
        <v>273432</v>
      </c>
      <c r="AD1422">
        <v>1.18</v>
      </c>
      <c r="AE1422">
        <v>13</v>
      </c>
      <c r="AF1422">
        <v>2990</v>
      </c>
      <c r="AG1422" t="s">
        <v>120</v>
      </c>
      <c r="AH1422">
        <v>0.13</v>
      </c>
      <c r="AI1422" t="s">
        <v>120</v>
      </c>
      <c r="AJ1422">
        <v>5.28</v>
      </c>
      <c r="AK1422" t="s">
        <v>7521</v>
      </c>
      <c r="AL1422">
        <v>0.9</v>
      </c>
      <c r="AM1422">
        <v>4682</v>
      </c>
      <c r="AN1422">
        <v>127</v>
      </c>
      <c r="AO1422">
        <v>2.3999999999999998E-3</v>
      </c>
      <c r="AP1422">
        <v>-1</v>
      </c>
      <c r="AQ1422">
        <v>8.0500000000000007</v>
      </c>
      <c r="AR1422">
        <v>28.36</v>
      </c>
      <c r="AS1422">
        <v>57.5</v>
      </c>
      <c r="AT1422">
        <v>47.15</v>
      </c>
      <c r="AU1422">
        <v>174.57</v>
      </c>
      <c r="AV1422">
        <v>1</v>
      </c>
      <c r="AW1422">
        <v>11.75</v>
      </c>
      <c r="AX1422">
        <v>79.06</v>
      </c>
      <c r="AY1422">
        <v>82.17</v>
      </c>
      <c r="AZ1422">
        <v>132.16</v>
      </c>
      <c r="BA1422">
        <v>1.32</v>
      </c>
      <c r="BB1422" t="s">
        <v>184</v>
      </c>
      <c r="BF1422">
        <v>0.72</v>
      </c>
      <c r="BG1422">
        <v>-3.16</v>
      </c>
      <c r="BH1422">
        <v>-6.95</v>
      </c>
      <c r="BI1422">
        <v>2.33</v>
      </c>
      <c r="BJ1422">
        <v>20210825</v>
      </c>
      <c r="BK1422">
        <v>20091225</v>
      </c>
      <c r="BL1422">
        <v>6.42</v>
      </c>
      <c r="BM1422" t="s">
        <v>120</v>
      </c>
      <c r="BN1422" t="s">
        <v>120</v>
      </c>
      <c r="BO1422">
        <v>36.56</v>
      </c>
      <c r="BP1422">
        <v>33.35</v>
      </c>
      <c r="BQ1422">
        <v>22.15</v>
      </c>
      <c r="BR1422">
        <v>0</v>
      </c>
      <c r="BS1422">
        <v>39.42</v>
      </c>
      <c r="BT1422">
        <v>21.31</v>
      </c>
      <c r="BU1422">
        <v>4.8099999999999996</v>
      </c>
      <c r="BV1422">
        <v>1.61</v>
      </c>
      <c r="BW1422">
        <v>12.84</v>
      </c>
      <c r="BX1422">
        <v>3.49</v>
      </c>
      <c r="BY1422">
        <v>5.38</v>
      </c>
      <c r="BZ1422">
        <v>6.2</v>
      </c>
      <c r="CA1422" t="s">
        <v>120</v>
      </c>
      <c r="CB1422">
        <v>8.7899999999999991</v>
      </c>
      <c r="CC1422">
        <v>8.23</v>
      </c>
      <c r="CD1422">
        <v>5.37</v>
      </c>
      <c r="CE1422">
        <v>1.8</v>
      </c>
      <c r="CF1422">
        <v>0.08</v>
      </c>
      <c r="CG1422">
        <v>1.79</v>
      </c>
      <c r="CH1422">
        <v>1.59</v>
      </c>
      <c r="CI1422">
        <v>1.59</v>
      </c>
      <c r="CJ1422">
        <v>-0.34</v>
      </c>
      <c r="CK1422">
        <v>1.57</v>
      </c>
      <c r="CL1422">
        <v>6.6</v>
      </c>
      <c r="CM1422">
        <v>-3.42</v>
      </c>
      <c r="CN1422">
        <v>0.15</v>
      </c>
      <c r="CO1422">
        <v>20547</v>
      </c>
      <c r="CP1422">
        <v>24718</v>
      </c>
      <c r="CQ1422" t="s">
        <v>7522</v>
      </c>
      <c r="CR1422">
        <v>166.61</v>
      </c>
      <c r="CS1422">
        <v>125.67</v>
      </c>
      <c r="CT1422">
        <v>9.67</v>
      </c>
      <c r="CU1422">
        <v>-62.73</v>
      </c>
      <c r="CV1422">
        <v>26.05</v>
      </c>
      <c r="CW1422">
        <v>0.3</v>
      </c>
      <c r="CX1422" t="s">
        <v>863</v>
      </c>
      <c r="CY1422">
        <v>3.45</v>
      </c>
      <c r="CZ1422">
        <v>0</v>
      </c>
      <c r="DA1422">
        <v>1.37</v>
      </c>
      <c r="DB1422">
        <v>1.03</v>
      </c>
      <c r="DC1422">
        <v>-0.53</v>
      </c>
      <c r="DD1422">
        <v>60.58</v>
      </c>
      <c r="DE1422" t="s">
        <v>7523</v>
      </c>
      <c r="DF1422">
        <v>34.72</v>
      </c>
      <c r="DG1422">
        <v>21.88</v>
      </c>
      <c r="DH1422">
        <v>19.38</v>
      </c>
      <c r="DI1422">
        <v>0.42</v>
      </c>
      <c r="DJ1422">
        <v>1087</v>
      </c>
      <c r="DK1422">
        <v>300035</v>
      </c>
      <c r="DL1422">
        <v>20210629</v>
      </c>
      <c r="DM1422">
        <v>22.88</v>
      </c>
      <c r="DN1422">
        <v>45.8</v>
      </c>
    </row>
    <row r="1423" spans="1:118">
      <c r="A1423" t="str">
        <f>"300036"</f>
        <v>300036</v>
      </c>
      <c r="B1423" t="s">
        <v>7524</v>
      </c>
      <c r="C1423">
        <v>-4.3099999999999996</v>
      </c>
      <c r="D1423">
        <v>-0.1</v>
      </c>
      <c r="E1423">
        <v>2.2400000000000002</v>
      </c>
      <c r="F1423">
        <v>4359</v>
      </c>
      <c r="G1423" t="s">
        <v>7525</v>
      </c>
      <c r="H1423">
        <v>74393.05</v>
      </c>
      <c r="I1423">
        <v>475.29</v>
      </c>
      <c r="J1423" t="s">
        <v>120</v>
      </c>
      <c r="K1423" t="s">
        <v>7526</v>
      </c>
      <c r="L1423">
        <v>6.58</v>
      </c>
      <c r="M1423">
        <v>27.75</v>
      </c>
      <c r="N1423">
        <v>0.85</v>
      </c>
      <c r="O1423">
        <v>3.97</v>
      </c>
      <c r="P1423">
        <v>30.15</v>
      </c>
      <c r="Q1423">
        <v>-5</v>
      </c>
      <c r="R1423">
        <v>27.55</v>
      </c>
      <c r="S1423">
        <v>29.65</v>
      </c>
      <c r="T1423">
        <v>259570</v>
      </c>
      <c r="U1423">
        <v>27.75</v>
      </c>
      <c r="V1423">
        <v>29</v>
      </c>
      <c r="W1423">
        <v>122.5</v>
      </c>
      <c r="X1423" t="s">
        <v>141</v>
      </c>
      <c r="Y1423" t="s">
        <v>158</v>
      </c>
      <c r="Z1423">
        <v>8.9700000000000006</v>
      </c>
      <c r="AA1423">
        <v>28.66</v>
      </c>
      <c r="AB1423">
        <v>145755</v>
      </c>
      <c r="AC1423">
        <v>113815</v>
      </c>
      <c r="AD1423">
        <v>1.28</v>
      </c>
      <c r="AE1423">
        <v>377</v>
      </c>
      <c r="AF1423">
        <v>291</v>
      </c>
      <c r="AG1423" t="s">
        <v>120</v>
      </c>
      <c r="AH1423">
        <v>0.04</v>
      </c>
      <c r="AI1423" t="s">
        <v>120</v>
      </c>
      <c r="AJ1423">
        <v>3.94</v>
      </c>
      <c r="AK1423" t="s">
        <v>7527</v>
      </c>
      <c r="AL1423">
        <v>-2.4</v>
      </c>
      <c r="AM1423">
        <v>4386</v>
      </c>
      <c r="AN1423">
        <v>59</v>
      </c>
      <c r="AO1423">
        <v>1.5E-3</v>
      </c>
      <c r="AP1423">
        <v>-2</v>
      </c>
      <c r="AQ1423">
        <v>-4.16</v>
      </c>
      <c r="AR1423">
        <v>-1.7</v>
      </c>
      <c r="AS1423">
        <v>5.35</v>
      </c>
      <c r="AT1423">
        <v>17.88</v>
      </c>
      <c r="AU1423">
        <v>50.91</v>
      </c>
      <c r="AV1423">
        <v>1</v>
      </c>
      <c r="AW1423">
        <v>6.8</v>
      </c>
      <c r="AX1423">
        <v>77.98</v>
      </c>
      <c r="AY1423">
        <v>57.14</v>
      </c>
      <c r="AZ1423">
        <v>60.5</v>
      </c>
      <c r="BA1423">
        <v>0.97</v>
      </c>
      <c r="BB1423" t="s">
        <v>143</v>
      </c>
      <c r="BF1423">
        <v>-1.17</v>
      </c>
      <c r="BG1423">
        <v>-6.41</v>
      </c>
      <c r="BH1423">
        <v>-7.96</v>
      </c>
      <c r="BI1423">
        <v>0.73</v>
      </c>
      <c r="BJ1423">
        <v>20210914</v>
      </c>
      <c r="BK1423">
        <v>20091225</v>
      </c>
      <c r="BL1423">
        <v>4.9000000000000004</v>
      </c>
      <c r="BM1423" t="s">
        <v>120</v>
      </c>
      <c r="BN1423" t="s">
        <v>120</v>
      </c>
      <c r="BO1423">
        <v>35.49</v>
      </c>
      <c r="BP1423">
        <v>27.74</v>
      </c>
      <c r="BQ1423">
        <v>21.85</v>
      </c>
      <c r="BR1423">
        <v>-0.05</v>
      </c>
      <c r="BS1423">
        <v>38.57</v>
      </c>
      <c r="BT1423">
        <v>21.6</v>
      </c>
      <c r="BU1423">
        <v>1.48</v>
      </c>
      <c r="BV1423">
        <v>1.31</v>
      </c>
      <c r="BW1423">
        <v>13.44</v>
      </c>
      <c r="BX1423">
        <v>4.96</v>
      </c>
      <c r="BY1423">
        <v>4.3600000000000003</v>
      </c>
      <c r="BZ1423">
        <v>8.25</v>
      </c>
      <c r="CA1423" t="s">
        <v>120</v>
      </c>
      <c r="CB1423">
        <v>8.91</v>
      </c>
      <c r="CC1423">
        <v>6.24</v>
      </c>
      <c r="CD1423">
        <v>2.98</v>
      </c>
      <c r="CE1423">
        <v>0.56000000000000005</v>
      </c>
      <c r="CF1423">
        <v>0.02</v>
      </c>
      <c r="CG1423">
        <v>0.59</v>
      </c>
      <c r="CH1423">
        <v>0.54</v>
      </c>
      <c r="CI1423">
        <v>0.55000000000000004</v>
      </c>
      <c r="CJ1423">
        <v>-1.25</v>
      </c>
      <c r="CK1423">
        <v>0.51</v>
      </c>
      <c r="CL1423">
        <v>7.78</v>
      </c>
      <c r="CM1423">
        <v>-3.69</v>
      </c>
      <c r="CN1423">
        <v>-6</v>
      </c>
      <c r="CO1423">
        <v>38000</v>
      </c>
      <c r="CP1423">
        <v>10046</v>
      </c>
      <c r="CQ1423" t="s">
        <v>7528</v>
      </c>
      <c r="CR1423">
        <v>33.130000000000003</v>
      </c>
      <c r="CS1423">
        <v>19.25</v>
      </c>
      <c r="CT1423">
        <v>5.75</v>
      </c>
      <c r="CU1423">
        <v>-36.79</v>
      </c>
      <c r="CV1423">
        <v>21.77</v>
      </c>
      <c r="CW1423">
        <v>0.17</v>
      </c>
      <c r="CX1423" t="s">
        <v>850</v>
      </c>
      <c r="CY1423">
        <v>4.83</v>
      </c>
      <c r="CZ1423">
        <v>4.83</v>
      </c>
      <c r="DA1423">
        <v>1.82</v>
      </c>
      <c r="DB1423">
        <v>1.59</v>
      </c>
      <c r="DC1423">
        <v>-0.75</v>
      </c>
      <c r="DD1423">
        <v>61.56</v>
      </c>
      <c r="DE1423" t="s">
        <v>3064</v>
      </c>
      <c r="DF1423">
        <v>52.32</v>
      </c>
      <c r="DG1423">
        <v>8.98</v>
      </c>
      <c r="DH1423">
        <v>8.89</v>
      </c>
      <c r="DI1423">
        <v>0.99</v>
      </c>
      <c r="DJ1423">
        <v>3762</v>
      </c>
      <c r="DK1423">
        <v>300036</v>
      </c>
      <c r="DL1423">
        <v>20210907</v>
      </c>
      <c r="DM1423">
        <v>31.7</v>
      </c>
      <c r="DN1423">
        <v>-12.46</v>
      </c>
    </row>
    <row r="1424" spans="1:118">
      <c r="A1424" t="str">
        <f>"300037"</f>
        <v>300037</v>
      </c>
      <c r="B1424" t="s">
        <v>7529</v>
      </c>
      <c r="C1424">
        <v>-3.13</v>
      </c>
      <c r="D1424">
        <v>1.64</v>
      </c>
      <c r="E1424">
        <v>-0.95</v>
      </c>
      <c r="F1424">
        <v>1607</v>
      </c>
      <c r="G1424" t="s">
        <v>7530</v>
      </c>
      <c r="H1424">
        <v>115647.86</v>
      </c>
      <c r="I1424">
        <v>248.81</v>
      </c>
      <c r="J1424" t="s">
        <v>120</v>
      </c>
      <c r="K1424" t="s">
        <v>7531</v>
      </c>
      <c r="L1424">
        <v>2.75</v>
      </c>
      <c r="M1424">
        <v>142.30000000000001</v>
      </c>
      <c r="N1424">
        <v>0.87</v>
      </c>
      <c r="O1424">
        <v>-0.61</v>
      </c>
      <c r="P1424">
        <v>146</v>
      </c>
      <c r="Q1424">
        <v>-5.38</v>
      </c>
      <c r="R1424">
        <v>139</v>
      </c>
      <c r="S1424">
        <v>145.5</v>
      </c>
      <c r="T1424">
        <v>81454</v>
      </c>
      <c r="U1424">
        <v>142.30000000000001</v>
      </c>
      <c r="V1424">
        <v>146.9</v>
      </c>
      <c r="W1424">
        <v>66.89</v>
      </c>
      <c r="X1424" t="s">
        <v>868</v>
      </c>
      <c r="Y1424" t="s">
        <v>123</v>
      </c>
      <c r="Z1424">
        <v>4.7699999999999996</v>
      </c>
      <c r="AA1424">
        <v>141.97999999999999</v>
      </c>
      <c r="AB1424">
        <v>36287</v>
      </c>
      <c r="AC1424">
        <v>45167</v>
      </c>
      <c r="AD1424">
        <v>0.8</v>
      </c>
      <c r="AE1424">
        <v>102</v>
      </c>
      <c r="AF1424">
        <v>56</v>
      </c>
      <c r="AG1424" t="s">
        <v>120</v>
      </c>
      <c r="AH1424">
        <v>0.01</v>
      </c>
      <c r="AI1424" t="s">
        <v>120</v>
      </c>
      <c r="AJ1424">
        <v>2.96</v>
      </c>
      <c r="AK1424" t="s">
        <v>7532</v>
      </c>
      <c r="AL1424">
        <v>-1.22</v>
      </c>
      <c r="AM1424">
        <v>4296</v>
      </c>
      <c r="AN1424">
        <v>19</v>
      </c>
      <c r="AO1424">
        <v>5.9999999999999995E-4</v>
      </c>
      <c r="AP1424">
        <v>-1</v>
      </c>
      <c r="AQ1424">
        <v>1.72</v>
      </c>
      <c r="AR1424">
        <v>-0.06</v>
      </c>
      <c r="AS1424">
        <v>24.6</v>
      </c>
      <c r="AT1424">
        <v>57.41</v>
      </c>
      <c r="AU1424">
        <v>40.9</v>
      </c>
      <c r="AV1424">
        <v>1</v>
      </c>
      <c r="AW1424">
        <v>3.19</v>
      </c>
      <c r="AX1424">
        <v>62.19</v>
      </c>
      <c r="AY1424">
        <v>84.16</v>
      </c>
      <c r="AZ1424">
        <v>116.55</v>
      </c>
      <c r="BA1424">
        <v>1.82</v>
      </c>
      <c r="BB1424" t="s">
        <v>184</v>
      </c>
      <c r="BF1424">
        <v>-3.35</v>
      </c>
      <c r="BG1424">
        <v>-2.2000000000000002</v>
      </c>
      <c r="BH1424">
        <v>-2.5299999999999998</v>
      </c>
      <c r="BI1424">
        <v>2.37</v>
      </c>
      <c r="BJ1424">
        <v>20210803</v>
      </c>
      <c r="BK1424">
        <v>20100108</v>
      </c>
      <c r="BL1424">
        <v>4.1100000000000003</v>
      </c>
      <c r="BM1424" t="s">
        <v>120</v>
      </c>
      <c r="BN1424" t="s">
        <v>120</v>
      </c>
      <c r="BO1424">
        <v>83.33</v>
      </c>
      <c r="BP1424">
        <v>142.11000000000001</v>
      </c>
      <c r="BQ1424">
        <v>55.48</v>
      </c>
      <c r="BR1424">
        <v>1.85</v>
      </c>
      <c r="BS1424">
        <v>31.2</v>
      </c>
      <c r="BT1424">
        <v>47.4</v>
      </c>
      <c r="BU1424">
        <v>13.45</v>
      </c>
      <c r="BV1424">
        <v>3.42</v>
      </c>
      <c r="BW1424">
        <v>20.03</v>
      </c>
      <c r="BX1424">
        <v>11.24</v>
      </c>
      <c r="BY1424">
        <v>5.65</v>
      </c>
      <c r="BZ1424">
        <v>13.59</v>
      </c>
      <c r="CA1424">
        <v>0.01</v>
      </c>
      <c r="CB1424">
        <v>24.28</v>
      </c>
      <c r="CC1424">
        <v>25.57</v>
      </c>
      <c r="CD1424">
        <v>16.87</v>
      </c>
      <c r="CE1424">
        <v>5.13</v>
      </c>
      <c r="CF1424">
        <v>0.18</v>
      </c>
      <c r="CG1424">
        <v>5.12</v>
      </c>
      <c r="CH1424">
        <v>4.55</v>
      </c>
      <c r="CI1424">
        <v>4.37</v>
      </c>
      <c r="CJ1424">
        <v>-4.5999999999999996</v>
      </c>
      <c r="CK1424">
        <v>3.99</v>
      </c>
      <c r="CL1424">
        <v>20.85</v>
      </c>
      <c r="CM1424">
        <v>-0.66</v>
      </c>
      <c r="CN1424">
        <v>-3.33</v>
      </c>
      <c r="CO1424">
        <v>18449</v>
      </c>
      <c r="CP1424">
        <v>13847</v>
      </c>
      <c r="CQ1424" t="s">
        <v>7533</v>
      </c>
      <c r="CR1424">
        <v>83.85</v>
      </c>
      <c r="CS1424">
        <v>114.23</v>
      </c>
      <c r="CT1424">
        <v>10.54</v>
      </c>
      <c r="CU1424">
        <v>-890.33</v>
      </c>
      <c r="CV1424">
        <v>22.87</v>
      </c>
      <c r="CW1424">
        <v>0.27</v>
      </c>
      <c r="CX1424" t="s">
        <v>3039</v>
      </c>
      <c r="CY1424">
        <v>13.51</v>
      </c>
      <c r="CZ1424">
        <v>0</v>
      </c>
      <c r="DA1424">
        <v>5.91</v>
      </c>
      <c r="DB1424">
        <v>5.08</v>
      </c>
      <c r="DC1424">
        <v>-0.16</v>
      </c>
      <c r="DD1424">
        <v>66.58</v>
      </c>
      <c r="DE1424" t="s">
        <v>4218</v>
      </c>
      <c r="DF1424">
        <v>34.01</v>
      </c>
      <c r="DG1424">
        <v>20.059999999999999</v>
      </c>
      <c r="DH1424">
        <v>17.09</v>
      </c>
      <c r="DI1424">
        <v>1.73</v>
      </c>
      <c r="DJ1424">
        <v>2405</v>
      </c>
      <c r="DK1424">
        <v>300037</v>
      </c>
      <c r="DL1424">
        <v>20210907</v>
      </c>
      <c r="DM1424">
        <v>133.96</v>
      </c>
      <c r="DN1424">
        <v>6.23</v>
      </c>
    </row>
    <row r="1425" spans="1:118">
      <c r="A1425" t="str">
        <f>"300039"</f>
        <v>300039</v>
      </c>
      <c r="B1425" t="s">
        <v>7534</v>
      </c>
      <c r="C1425">
        <v>-1.4</v>
      </c>
      <c r="D1425">
        <v>0</v>
      </c>
      <c r="E1425">
        <v>0</v>
      </c>
      <c r="F1425">
        <v>2055</v>
      </c>
      <c r="G1425" t="s">
        <v>7030</v>
      </c>
      <c r="H1425">
        <v>5919.47</v>
      </c>
      <c r="I1425">
        <v>43.5</v>
      </c>
      <c r="J1425" t="s">
        <v>120</v>
      </c>
      <c r="K1425" t="s">
        <v>7535</v>
      </c>
      <c r="L1425">
        <v>1.29</v>
      </c>
      <c r="M1425">
        <v>4.93</v>
      </c>
      <c r="N1425">
        <v>0.62</v>
      </c>
      <c r="O1425">
        <v>1</v>
      </c>
      <c r="P1425">
        <v>5.05</v>
      </c>
      <c r="Q1425">
        <v>-1.6</v>
      </c>
      <c r="R1425">
        <v>4.92</v>
      </c>
      <c r="S1425">
        <v>5</v>
      </c>
      <c r="T1425">
        <v>118628</v>
      </c>
      <c r="U1425">
        <v>4.93</v>
      </c>
      <c r="V1425">
        <v>5</v>
      </c>
      <c r="W1425">
        <v>31.52</v>
      </c>
      <c r="X1425" t="s">
        <v>771</v>
      </c>
      <c r="Y1425" t="s">
        <v>1510</v>
      </c>
      <c r="Z1425">
        <v>2.6</v>
      </c>
      <c r="AA1425">
        <v>4.99</v>
      </c>
      <c r="AB1425">
        <v>65614</v>
      </c>
      <c r="AC1425">
        <v>53014</v>
      </c>
      <c r="AD1425">
        <v>1.24</v>
      </c>
      <c r="AE1425">
        <v>2108</v>
      </c>
      <c r="AF1425">
        <v>985</v>
      </c>
      <c r="AG1425" t="s">
        <v>120</v>
      </c>
      <c r="AH1425">
        <v>0.01</v>
      </c>
      <c r="AI1425" t="s">
        <v>120</v>
      </c>
      <c r="AJ1425">
        <v>9.17</v>
      </c>
      <c r="AK1425" t="s">
        <v>7536</v>
      </c>
      <c r="AL1425">
        <v>0.51</v>
      </c>
      <c r="AM1425">
        <v>1396</v>
      </c>
      <c r="AN1425">
        <v>85</v>
      </c>
      <c r="AO1425">
        <v>8.9999999999999998E-4</v>
      </c>
      <c r="AP1425">
        <v>-1</v>
      </c>
      <c r="AQ1425">
        <v>0.2</v>
      </c>
      <c r="AR1425">
        <v>-2.76</v>
      </c>
      <c r="AS1425">
        <v>-1.79</v>
      </c>
      <c r="AT1425">
        <v>1.23</v>
      </c>
      <c r="AU1425">
        <v>1.86</v>
      </c>
      <c r="AV1425">
        <v>0</v>
      </c>
      <c r="AW1425">
        <v>1.9</v>
      </c>
      <c r="AX1425">
        <v>59.8</v>
      </c>
      <c r="AY1425">
        <v>47.13</v>
      </c>
      <c r="AZ1425">
        <v>49.28</v>
      </c>
      <c r="BA1425">
        <v>0.46</v>
      </c>
      <c r="BB1425" t="s">
        <v>143</v>
      </c>
      <c r="BF1425">
        <v>-0.2</v>
      </c>
      <c r="BG1425">
        <v>-1.4</v>
      </c>
      <c r="BH1425">
        <v>-2.38</v>
      </c>
      <c r="BI1425">
        <v>0.2</v>
      </c>
      <c r="BJ1425">
        <v>20210827</v>
      </c>
      <c r="BK1425">
        <v>20100108</v>
      </c>
      <c r="BL1425">
        <v>10.46</v>
      </c>
      <c r="BM1425" t="s">
        <v>120</v>
      </c>
      <c r="BN1425" t="s">
        <v>120</v>
      </c>
      <c r="BO1425">
        <v>29.08</v>
      </c>
      <c r="BP1425">
        <v>4.92</v>
      </c>
      <c r="BQ1425">
        <v>26.29</v>
      </c>
      <c r="BR1425" t="s">
        <v>120</v>
      </c>
      <c r="BS1425">
        <v>9.59</v>
      </c>
      <c r="BT1425">
        <v>22.35</v>
      </c>
      <c r="BU1425">
        <v>2.79</v>
      </c>
      <c r="BV1425">
        <v>0.44</v>
      </c>
      <c r="BW1425">
        <v>2.2000000000000002</v>
      </c>
      <c r="BX1425">
        <v>13.18</v>
      </c>
      <c r="BY1425">
        <v>1.97</v>
      </c>
      <c r="BZ1425">
        <v>3.23</v>
      </c>
      <c r="CA1425" t="s">
        <v>120</v>
      </c>
      <c r="CB1425">
        <v>0.09</v>
      </c>
      <c r="CC1425">
        <v>5.38</v>
      </c>
      <c r="CD1425">
        <v>1.06</v>
      </c>
      <c r="CE1425">
        <v>1</v>
      </c>
      <c r="CF1425">
        <v>-0.01</v>
      </c>
      <c r="CG1425">
        <v>1</v>
      </c>
      <c r="CH1425">
        <v>0.82</v>
      </c>
      <c r="CI1425">
        <v>0.82</v>
      </c>
      <c r="CJ1425">
        <v>-7.0000000000000007E-2</v>
      </c>
      <c r="CK1425">
        <v>0.78</v>
      </c>
      <c r="CL1425">
        <v>13.37</v>
      </c>
      <c r="CM1425">
        <v>0.85</v>
      </c>
      <c r="CN1425">
        <v>0.11</v>
      </c>
      <c r="CO1425">
        <v>38641</v>
      </c>
      <c r="CP1425">
        <v>16187</v>
      </c>
      <c r="CQ1425" t="s">
        <v>823</v>
      </c>
      <c r="CR1425">
        <v>6.3</v>
      </c>
      <c r="CS1425">
        <v>13.13</v>
      </c>
      <c r="CT1425">
        <v>1.96</v>
      </c>
      <c r="CU1425">
        <v>60.86</v>
      </c>
      <c r="CV1425">
        <v>9.58</v>
      </c>
      <c r="CW1425">
        <v>0.6</v>
      </c>
      <c r="CX1425" t="s">
        <v>2357</v>
      </c>
      <c r="CY1425">
        <v>2.5099999999999998</v>
      </c>
      <c r="CZ1425">
        <v>0</v>
      </c>
      <c r="DA1425">
        <v>0.01</v>
      </c>
      <c r="DB1425">
        <v>1.28</v>
      </c>
      <c r="DC1425">
        <v>0.08</v>
      </c>
      <c r="DD1425">
        <v>90.41</v>
      </c>
      <c r="DE1425" t="s">
        <v>7537</v>
      </c>
      <c r="DF1425">
        <v>80.37</v>
      </c>
      <c r="DG1425">
        <v>18.670000000000002</v>
      </c>
      <c r="DH1425">
        <v>15.2</v>
      </c>
      <c r="DI1425">
        <v>0.25</v>
      </c>
      <c r="DJ1425">
        <v>1640</v>
      </c>
      <c r="DK1425">
        <v>300039</v>
      </c>
      <c r="DL1425" t="s">
        <v>120</v>
      </c>
      <c r="DM1425" t="s">
        <v>120</v>
      </c>
      <c r="DN1425" t="s">
        <v>120</v>
      </c>
    </row>
    <row r="1426" spans="1:118">
      <c r="A1426" t="str">
        <f>"300040"</f>
        <v>300040</v>
      </c>
      <c r="B1426" t="s">
        <v>7538</v>
      </c>
      <c r="C1426">
        <v>-6.59</v>
      </c>
      <c r="D1426">
        <v>-0.1</v>
      </c>
      <c r="E1426">
        <v>-1.57</v>
      </c>
      <c r="F1426">
        <v>6668</v>
      </c>
      <c r="G1426" t="s">
        <v>5639</v>
      </c>
      <c r="H1426">
        <v>59038.42</v>
      </c>
      <c r="I1426">
        <v>497.8</v>
      </c>
      <c r="J1426" t="s">
        <v>120</v>
      </c>
      <c r="K1426" t="s">
        <v>7539</v>
      </c>
      <c r="L1426">
        <v>15.1</v>
      </c>
      <c r="M1426">
        <v>9.49</v>
      </c>
      <c r="N1426">
        <v>0.89</v>
      </c>
      <c r="O1426">
        <v>-0.89</v>
      </c>
      <c r="P1426">
        <v>10.07</v>
      </c>
      <c r="Q1426">
        <v>-6.69</v>
      </c>
      <c r="R1426">
        <v>9.48</v>
      </c>
      <c r="S1426">
        <v>10</v>
      </c>
      <c r="T1426">
        <v>604351</v>
      </c>
      <c r="U1426">
        <v>9.5</v>
      </c>
      <c r="V1426">
        <v>10.16</v>
      </c>
      <c r="W1426">
        <v>29.28</v>
      </c>
      <c r="X1426" t="s">
        <v>394</v>
      </c>
      <c r="Y1426" t="s">
        <v>1686</v>
      </c>
      <c r="Z1426">
        <v>5.81</v>
      </c>
      <c r="AA1426">
        <v>9.77</v>
      </c>
      <c r="AB1426">
        <v>349159</v>
      </c>
      <c r="AC1426">
        <v>255192</v>
      </c>
      <c r="AD1426">
        <v>1.37</v>
      </c>
      <c r="AE1426">
        <v>1570</v>
      </c>
      <c r="AF1426">
        <v>1022</v>
      </c>
      <c r="AG1426" t="s">
        <v>120</v>
      </c>
      <c r="AH1426">
        <v>0.14000000000000001</v>
      </c>
      <c r="AI1426" t="s">
        <v>120</v>
      </c>
      <c r="AJ1426">
        <v>4</v>
      </c>
      <c r="AK1426" t="s">
        <v>7540</v>
      </c>
      <c r="AL1426">
        <v>-4.68</v>
      </c>
      <c r="AM1426">
        <v>4172</v>
      </c>
      <c r="AN1426">
        <v>145</v>
      </c>
      <c r="AO1426">
        <v>3.5999999999999999E-3</v>
      </c>
      <c r="AP1426">
        <v>-1</v>
      </c>
      <c r="AQ1426">
        <v>5.39</v>
      </c>
      <c r="AR1426">
        <v>0.84</v>
      </c>
      <c r="AS1426">
        <v>5.56</v>
      </c>
      <c r="AT1426">
        <v>37.67</v>
      </c>
      <c r="AU1426">
        <v>75.72</v>
      </c>
      <c r="AV1426">
        <v>1</v>
      </c>
      <c r="AW1426">
        <v>16.47</v>
      </c>
      <c r="AX1426">
        <v>68.91</v>
      </c>
      <c r="AY1426">
        <v>47.12</v>
      </c>
      <c r="AZ1426">
        <v>77.180000000000007</v>
      </c>
      <c r="BA1426">
        <v>1.23</v>
      </c>
      <c r="BB1426" t="s">
        <v>700</v>
      </c>
      <c r="BF1426">
        <v>-3.85</v>
      </c>
      <c r="BG1426">
        <v>-5.0999999999999996</v>
      </c>
      <c r="BH1426">
        <v>-5.76</v>
      </c>
      <c r="BI1426">
        <v>0.11</v>
      </c>
      <c r="BJ1426">
        <v>20210826</v>
      </c>
      <c r="BK1426">
        <v>20100108</v>
      </c>
      <c r="BL1426">
        <v>5.33</v>
      </c>
      <c r="BM1426" t="s">
        <v>120</v>
      </c>
      <c r="BN1426" t="s">
        <v>120</v>
      </c>
      <c r="BO1426">
        <v>70.47</v>
      </c>
      <c r="BP1426">
        <v>9.49</v>
      </c>
      <c r="BQ1426">
        <v>24.21</v>
      </c>
      <c r="BR1426">
        <v>0.45</v>
      </c>
      <c r="BS1426">
        <v>65.02</v>
      </c>
      <c r="BT1426">
        <v>27.87</v>
      </c>
      <c r="BU1426">
        <v>9.51</v>
      </c>
      <c r="BV1426">
        <v>2.17</v>
      </c>
      <c r="BW1426">
        <v>10.31</v>
      </c>
      <c r="BX1426">
        <v>3.09</v>
      </c>
      <c r="BY1426">
        <v>2.91</v>
      </c>
      <c r="BZ1426">
        <v>13.39</v>
      </c>
      <c r="CA1426">
        <v>0.05</v>
      </c>
      <c r="CB1426">
        <v>9.74</v>
      </c>
      <c r="CC1426">
        <v>6.51</v>
      </c>
      <c r="CD1426">
        <v>3.97</v>
      </c>
      <c r="CE1426">
        <v>0.92</v>
      </c>
      <c r="CF1426">
        <v>0.1</v>
      </c>
      <c r="CG1426">
        <v>0.92</v>
      </c>
      <c r="CH1426">
        <v>0.89</v>
      </c>
      <c r="CI1426">
        <v>0.86</v>
      </c>
      <c r="CJ1426">
        <v>-0.67</v>
      </c>
      <c r="CK1426">
        <v>0.67</v>
      </c>
      <c r="CL1426">
        <v>8.26</v>
      </c>
      <c r="CM1426">
        <v>-0.99</v>
      </c>
      <c r="CN1426">
        <v>-3.71</v>
      </c>
      <c r="CO1426">
        <v>27894</v>
      </c>
      <c r="CP1426">
        <v>13159</v>
      </c>
      <c r="CQ1426" t="s">
        <v>7541</v>
      </c>
      <c r="CR1426">
        <v>107.59</v>
      </c>
      <c r="CS1426">
        <v>25.94</v>
      </c>
      <c r="CT1426">
        <v>2.09</v>
      </c>
      <c r="CU1426">
        <v>-50.92</v>
      </c>
      <c r="CV1426">
        <v>7.76</v>
      </c>
      <c r="CW1426">
        <v>0.35</v>
      </c>
      <c r="CX1426" t="s">
        <v>7542</v>
      </c>
      <c r="CY1426">
        <v>4.54</v>
      </c>
      <c r="CZ1426">
        <v>0</v>
      </c>
      <c r="DA1426">
        <v>1.83</v>
      </c>
      <c r="DB1426">
        <v>1.55</v>
      </c>
      <c r="DC1426">
        <v>-0.19</v>
      </c>
      <c r="DD1426">
        <v>34.35</v>
      </c>
      <c r="DE1426" t="s">
        <v>2386</v>
      </c>
      <c r="DF1426">
        <v>39.1</v>
      </c>
      <c r="DG1426">
        <v>14.11</v>
      </c>
      <c r="DH1426">
        <v>13.26</v>
      </c>
      <c r="DI1426">
        <v>0.12</v>
      </c>
      <c r="DJ1426">
        <v>1309</v>
      </c>
      <c r="DK1426">
        <v>300040</v>
      </c>
      <c r="DL1426">
        <v>20210907</v>
      </c>
      <c r="DM1426">
        <v>9.26</v>
      </c>
      <c r="DN1426">
        <v>2.48</v>
      </c>
    </row>
    <row r="1427" spans="1:118">
      <c r="A1427" t="str">
        <f>"300041"</f>
        <v>300041</v>
      </c>
      <c r="B1427" t="s">
        <v>7543</v>
      </c>
      <c r="C1427">
        <v>-4.6900000000000004</v>
      </c>
      <c r="D1427">
        <v>-0.04</v>
      </c>
      <c r="E1427">
        <v>-0.1</v>
      </c>
      <c r="F1427">
        <v>3664</v>
      </c>
      <c r="G1427" t="s">
        <v>7544</v>
      </c>
      <c r="H1427">
        <v>51707.55</v>
      </c>
      <c r="I1427">
        <v>138.52000000000001</v>
      </c>
      <c r="J1427" t="s">
        <v>120</v>
      </c>
      <c r="K1427" t="s">
        <v>7545</v>
      </c>
      <c r="L1427">
        <v>7.66</v>
      </c>
      <c r="M1427">
        <v>18.510000000000002</v>
      </c>
      <c r="N1427">
        <v>1.4</v>
      </c>
      <c r="O1427">
        <v>3.35</v>
      </c>
      <c r="P1427">
        <v>20.07</v>
      </c>
      <c r="Q1427">
        <v>-4.6900000000000004</v>
      </c>
      <c r="R1427">
        <v>18.510000000000002</v>
      </c>
      <c r="S1427">
        <v>19.399999999999999</v>
      </c>
      <c r="T1427">
        <v>267058</v>
      </c>
      <c r="U1427">
        <v>18.52</v>
      </c>
      <c r="V1427">
        <v>19.420000000000002</v>
      </c>
      <c r="W1427">
        <v>26.77</v>
      </c>
      <c r="X1427" t="s">
        <v>868</v>
      </c>
      <c r="Y1427" t="s">
        <v>763</v>
      </c>
      <c r="Z1427">
        <v>8.0299999999999994</v>
      </c>
      <c r="AA1427">
        <v>19.36</v>
      </c>
      <c r="AB1427">
        <v>145800</v>
      </c>
      <c r="AC1427">
        <v>121258</v>
      </c>
      <c r="AD1427">
        <v>1.2</v>
      </c>
      <c r="AE1427">
        <v>270</v>
      </c>
      <c r="AF1427">
        <v>544</v>
      </c>
      <c r="AG1427" t="s">
        <v>120</v>
      </c>
      <c r="AH1427">
        <v>0.02</v>
      </c>
      <c r="AI1427" t="s">
        <v>120</v>
      </c>
      <c r="AJ1427">
        <v>3.49</v>
      </c>
      <c r="AK1427" t="s">
        <v>7546</v>
      </c>
      <c r="AL1427">
        <v>-2.77</v>
      </c>
      <c r="AM1427">
        <v>3638</v>
      </c>
      <c r="AN1427">
        <v>73</v>
      </c>
      <c r="AO1427">
        <v>2.0999999999999999E-3</v>
      </c>
      <c r="AP1427">
        <v>-1</v>
      </c>
      <c r="AQ1427">
        <v>2.2599999999999998</v>
      </c>
      <c r="AR1427">
        <v>-1.18</v>
      </c>
      <c r="AS1427">
        <v>-0.27</v>
      </c>
      <c r="AT1427">
        <v>27.22</v>
      </c>
      <c r="AU1427">
        <v>29.53</v>
      </c>
      <c r="AV1427">
        <v>0</v>
      </c>
      <c r="AW1427">
        <v>8.1300000000000008</v>
      </c>
      <c r="AX1427">
        <v>76.22</v>
      </c>
      <c r="AY1427">
        <v>35.020000000000003</v>
      </c>
      <c r="AZ1427">
        <v>38.35</v>
      </c>
      <c r="BA1427">
        <v>0.69</v>
      </c>
      <c r="BB1427" t="s">
        <v>143</v>
      </c>
      <c r="BF1427">
        <v>-0.3</v>
      </c>
      <c r="BG1427">
        <v>-4.59</v>
      </c>
      <c r="BH1427">
        <v>-7.77</v>
      </c>
      <c r="BI1427">
        <v>0</v>
      </c>
      <c r="BJ1427">
        <v>20210827</v>
      </c>
      <c r="BK1427">
        <v>20100108</v>
      </c>
      <c r="BL1427">
        <v>4.3099999999999996</v>
      </c>
      <c r="BM1427" t="s">
        <v>120</v>
      </c>
      <c r="BN1427" t="s">
        <v>120</v>
      </c>
      <c r="BO1427">
        <v>36.53</v>
      </c>
      <c r="BP1427">
        <v>18.510000000000002</v>
      </c>
      <c r="BQ1427">
        <v>21.12</v>
      </c>
      <c r="BR1427">
        <v>0.11</v>
      </c>
      <c r="BS1427">
        <v>41.91</v>
      </c>
      <c r="BT1427">
        <v>23.28</v>
      </c>
      <c r="BU1427">
        <v>7.1</v>
      </c>
      <c r="BV1427">
        <v>1.75</v>
      </c>
      <c r="BW1427">
        <v>14.15</v>
      </c>
      <c r="BX1427">
        <v>4.2300000000000004</v>
      </c>
      <c r="BY1427">
        <v>3.65</v>
      </c>
      <c r="BZ1427">
        <v>8.1999999999999993</v>
      </c>
      <c r="CA1427" t="s">
        <v>120</v>
      </c>
      <c r="CB1427">
        <v>9.26</v>
      </c>
      <c r="CC1427">
        <v>14.09</v>
      </c>
      <c r="CD1427">
        <v>10.55</v>
      </c>
      <c r="CE1427">
        <v>1.7</v>
      </c>
      <c r="CF1427">
        <v>0.01</v>
      </c>
      <c r="CG1427">
        <v>1.71</v>
      </c>
      <c r="CH1427">
        <v>1.5</v>
      </c>
      <c r="CI1427">
        <v>1.49</v>
      </c>
      <c r="CJ1427">
        <v>-0.91</v>
      </c>
      <c r="CK1427">
        <v>1.32</v>
      </c>
      <c r="CL1427">
        <v>7.6</v>
      </c>
      <c r="CM1427">
        <v>0.12</v>
      </c>
      <c r="CN1427">
        <v>-0.86</v>
      </c>
      <c r="CO1427">
        <v>23404</v>
      </c>
      <c r="CP1427">
        <v>14033</v>
      </c>
      <c r="CQ1427" t="s">
        <v>7547</v>
      </c>
      <c r="CR1427">
        <v>16.18</v>
      </c>
      <c r="CS1427">
        <v>37.54</v>
      </c>
      <c r="CT1427">
        <v>3.78</v>
      </c>
      <c r="CU1427">
        <v>644.9</v>
      </c>
      <c r="CV1427">
        <v>5.66</v>
      </c>
      <c r="CW1427">
        <v>0</v>
      </c>
      <c r="CX1427" t="s">
        <v>709</v>
      </c>
      <c r="CY1427">
        <v>4.9000000000000004</v>
      </c>
      <c r="CZ1427">
        <v>0</v>
      </c>
      <c r="DA1427">
        <v>2.15</v>
      </c>
      <c r="DB1427">
        <v>1.76</v>
      </c>
      <c r="DC1427">
        <v>0.03</v>
      </c>
      <c r="DD1427">
        <v>57.8</v>
      </c>
      <c r="DE1427" t="s">
        <v>6037</v>
      </c>
      <c r="DF1427">
        <v>25.15</v>
      </c>
      <c r="DG1427">
        <v>12.04</v>
      </c>
      <c r="DH1427">
        <v>10.57</v>
      </c>
      <c r="DI1427">
        <v>0.45</v>
      </c>
      <c r="DJ1427">
        <v>1412</v>
      </c>
      <c r="DK1427">
        <v>300041</v>
      </c>
      <c r="DL1427" t="s">
        <v>120</v>
      </c>
      <c r="DM1427" t="s">
        <v>120</v>
      </c>
      <c r="DN1427" t="s">
        <v>120</v>
      </c>
    </row>
    <row r="1428" spans="1:118">
      <c r="A1428" t="str">
        <f>"300042"</f>
        <v>300042</v>
      </c>
      <c r="B1428" t="s">
        <v>7548</v>
      </c>
      <c r="C1428">
        <v>-4.95</v>
      </c>
      <c r="D1428">
        <v>-0.06</v>
      </c>
      <c r="E1428">
        <v>-0.71</v>
      </c>
      <c r="F1428">
        <v>756</v>
      </c>
      <c r="G1428" t="s">
        <v>5437</v>
      </c>
      <c r="H1428">
        <v>7455.43</v>
      </c>
      <c r="I1428">
        <v>20.079999999999998</v>
      </c>
      <c r="J1428" t="s">
        <v>120</v>
      </c>
      <c r="K1428" t="s">
        <v>4346</v>
      </c>
      <c r="L1428">
        <v>3.1</v>
      </c>
      <c r="M1428">
        <v>13.44</v>
      </c>
      <c r="N1428">
        <v>1.33</v>
      </c>
      <c r="O1428">
        <v>0.35</v>
      </c>
      <c r="P1428">
        <v>14.19</v>
      </c>
      <c r="Q1428">
        <v>-5.23</v>
      </c>
      <c r="R1428">
        <v>13.4</v>
      </c>
      <c r="S1428">
        <v>14.04</v>
      </c>
      <c r="T1428">
        <v>54134</v>
      </c>
      <c r="U1428">
        <v>13.44</v>
      </c>
      <c r="V1428">
        <v>14.14</v>
      </c>
      <c r="W1428">
        <v>31.34</v>
      </c>
      <c r="X1428" t="s">
        <v>238</v>
      </c>
      <c r="Y1428" t="s">
        <v>123</v>
      </c>
      <c r="Z1428">
        <v>5.59</v>
      </c>
      <c r="AA1428">
        <v>13.77</v>
      </c>
      <c r="AB1428">
        <v>33399</v>
      </c>
      <c r="AC1428">
        <v>20735</v>
      </c>
      <c r="AD1428">
        <v>1.61</v>
      </c>
      <c r="AE1428">
        <v>151</v>
      </c>
      <c r="AF1428">
        <v>150</v>
      </c>
      <c r="AG1428" t="s">
        <v>120</v>
      </c>
      <c r="AH1428">
        <v>0.01</v>
      </c>
      <c r="AI1428" t="s">
        <v>120</v>
      </c>
      <c r="AJ1428">
        <v>1.74</v>
      </c>
      <c r="AK1428" t="s">
        <v>6629</v>
      </c>
      <c r="AL1428">
        <v>-3.04</v>
      </c>
      <c r="AM1428">
        <v>1675</v>
      </c>
      <c r="AN1428">
        <v>32</v>
      </c>
      <c r="AO1428">
        <v>1.9E-3</v>
      </c>
      <c r="AP1428">
        <v>-4</v>
      </c>
      <c r="AQ1428">
        <v>-0.14000000000000001</v>
      </c>
      <c r="AR1428">
        <v>-7.94</v>
      </c>
      <c r="AS1428">
        <v>-18.45</v>
      </c>
      <c r="AT1428">
        <v>-8.01</v>
      </c>
      <c r="AU1428">
        <v>-3.79</v>
      </c>
      <c r="AV1428">
        <v>0</v>
      </c>
      <c r="AW1428">
        <v>4.68</v>
      </c>
      <c r="AX1428">
        <v>57.75</v>
      </c>
      <c r="AY1428">
        <v>43.01</v>
      </c>
      <c r="AZ1428">
        <v>40.11</v>
      </c>
      <c r="BA1428">
        <v>0.49</v>
      </c>
      <c r="BB1428" t="s">
        <v>134</v>
      </c>
      <c r="BF1428">
        <v>-2.6</v>
      </c>
      <c r="BG1428">
        <v>-4.2699999999999996</v>
      </c>
      <c r="BH1428">
        <v>-5.29</v>
      </c>
      <c r="BI1428">
        <v>0.3</v>
      </c>
      <c r="BJ1428">
        <v>20210827</v>
      </c>
      <c r="BK1428">
        <v>20100108</v>
      </c>
      <c r="BL1428">
        <v>2</v>
      </c>
      <c r="BM1428" t="s">
        <v>120</v>
      </c>
      <c r="BN1428" t="s">
        <v>120</v>
      </c>
      <c r="BO1428">
        <v>12.26</v>
      </c>
      <c r="BP1428">
        <v>13.43</v>
      </c>
      <c r="BQ1428">
        <v>11.05</v>
      </c>
      <c r="BR1428" t="s">
        <v>120</v>
      </c>
      <c r="BS1428">
        <v>9.81</v>
      </c>
      <c r="BT1428">
        <v>10</v>
      </c>
      <c r="BU1428">
        <v>0.43</v>
      </c>
      <c r="BV1428">
        <v>0.08</v>
      </c>
      <c r="BW1428">
        <v>1.1599999999999999</v>
      </c>
      <c r="BX1428">
        <v>1.01</v>
      </c>
      <c r="BY1428">
        <v>2.84</v>
      </c>
      <c r="BZ1428">
        <v>0.82</v>
      </c>
      <c r="CA1428" t="s">
        <v>120</v>
      </c>
      <c r="CB1428">
        <v>5.36</v>
      </c>
      <c r="CC1428">
        <v>9.17</v>
      </c>
      <c r="CD1428">
        <v>8.11</v>
      </c>
      <c r="CE1428">
        <v>0.52</v>
      </c>
      <c r="CF1428">
        <v>0.01</v>
      </c>
      <c r="CG1428">
        <v>0.52</v>
      </c>
      <c r="CH1428">
        <v>0.43</v>
      </c>
      <c r="CI1428">
        <v>0.43</v>
      </c>
      <c r="CJ1428">
        <v>-0.7</v>
      </c>
      <c r="CK1428">
        <v>0.33</v>
      </c>
      <c r="CL1428">
        <v>3.38</v>
      </c>
      <c r="CM1428">
        <v>0.15</v>
      </c>
      <c r="CN1428">
        <v>0.21</v>
      </c>
      <c r="CO1428">
        <v>21700</v>
      </c>
      <c r="CP1428">
        <v>5333</v>
      </c>
      <c r="CQ1428" t="s">
        <v>1414</v>
      </c>
      <c r="CR1428">
        <v>-9.99</v>
      </c>
      <c r="CS1428">
        <v>56.16</v>
      </c>
      <c r="CT1428">
        <v>2.44</v>
      </c>
      <c r="CU1428">
        <v>178.51</v>
      </c>
      <c r="CV1428">
        <v>2.94</v>
      </c>
      <c r="CW1428">
        <v>0.35</v>
      </c>
      <c r="CX1428" t="s">
        <v>7549</v>
      </c>
      <c r="CY1428">
        <v>5.52</v>
      </c>
      <c r="CZ1428">
        <v>0</v>
      </c>
      <c r="DA1428">
        <v>2.67</v>
      </c>
      <c r="DB1428">
        <v>1.69</v>
      </c>
      <c r="DC1428">
        <v>0.08</v>
      </c>
      <c r="DD1428">
        <v>90.19</v>
      </c>
      <c r="DE1428" t="s">
        <v>4509</v>
      </c>
      <c r="DF1428">
        <v>11.54</v>
      </c>
      <c r="DG1428">
        <v>5.68</v>
      </c>
      <c r="DH1428">
        <v>4.6900000000000004</v>
      </c>
      <c r="DI1428">
        <v>0.12</v>
      </c>
      <c r="DJ1428">
        <v>443</v>
      </c>
      <c r="DK1428">
        <v>300042</v>
      </c>
      <c r="DL1428" t="s">
        <v>120</v>
      </c>
      <c r="DM1428" t="s">
        <v>120</v>
      </c>
      <c r="DN1428" t="s">
        <v>120</v>
      </c>
    </row>
    <row r="1429" spans="1:118">
      <c r="A1429" t="str">
        <f>"300043"</f>
        <v>300043</v>
      </c>
      <c r="B1429" t="s">
        <v>7550</v>
      </c>
      <c r="C1429">
        <v>-2.12</v>
      </c>
      <c r="D1429">
        <v>0</v>
      </c>
      <c r="E1429">
        <v>0</v>
      </c>
      <c r="F1429">
        <v>3156</v>
      </c>
      <c r="G1429" t="s">
        <v>7551</v>
      </c>
      <c r="H1429">
        <v>6959.34</v>
      </c>
      <c r="I1429">
        <v>8.68</v>
      </c>
      <c r="J1429" t="s">
        <v>120</v>
      </c>
      <c r="K1429" t="s">
        <v>4857</v>
      </c>
      <c r="L1429">
        <v>2.25</v>
      </c>
      <c r="M1429">
        <v>3.23</v>
      </c>
      <c r="N1429">
        <v>0.49</v>
      </c>
      <c r="O1429">
        <v>1.82</v>
      </c>
      <c r="P1429">
        <v>3.36</v>
      </c>
      <c r="Q1429">
        <v>-2.12</v>
      </c>
      <c r="R1429">
        <v>3.23</v>
      </c>
      <c r="S1429">
        <v>3.3</v>
      </c>
      <c r="T1429">
        <v>211371</v>
      </c>
      <c r="U1429">
        <v>3.24</v>
      </c>
      <c r="V1429">
        <v>3.3</v>
      </c>
      <c r="W1429" t="s">
        <v>120</v>
      </c>
      <c r="X1429" t="s">
        <v>213</v>
      </c>
      <c r="Y1429" t="s">
        <v>547</v>
      </c>
      <c r="Z1429">
        <v>3.94</v>
      </c>
      <c r="AA1429">
        <v>3.29</v>
      </c>
      <c r="AB1429">
        <v>128091</v>
      </c>
      <c r="AC1429">
        <v>83280</v>
      </c>
      <c r="AD1429">
        <v>1.54</v>
      </c>
      <c r="AE1429">
        <v>1402</v>
      </c>
      <c r="AF1429">
        <v>386</v>
      </c>
      <c r="AG1429" t="s">
        <v>120</v>
      </c>
      <c r="AH1429">
        <v>0</v>
      </c>
      <c r="AI1429" t="s">
        <v>120</v>
      </c>
      <c r="AJ1429">
        <v>9.3800000000000008</v>
      </c>
      <c r="AK1429" t="s">
        <v>7552</v>
      </c>
      <c r="AL1429">
        <v>-0.21</v>
      </c>
      <c r="AM1429">
        <v>1649</v>
      </c>
      <c r="AN1429">
        <v>128</v>
      </c>
      <c r="AO1429">
        <v>1.4E-3</v>
      </c>
      <c r="AP1429">
        <v>-1</v>
      </c>
      <c r="AQ1429">
        <v>0.61</v>
      </c>
      <c r="AR1429">
        <v>-5.28</v>
      </c>
      <c r="AS1429">
        <v>3.86</v>
      </c>
      <c r="AT1429">
        <v>-4.71</v>
      </c>
      <c r="AU1429">
        <v>-5.28</v>
      </c>
      <c r="AV1429">
        <v>0</v>
      </c>
      <c r="AW1429">
        <v>2.92</v>
      </c>
      <c r="AX1429">
        <v>58.14</v>
      </c>
      <c r="AY1429" t="s">
        <v>120</v>
      </c>
      <c r="AZ1429">
        <v>157.83000000000001</v>
      </c>
      <c r="BA1429">
        <v>0.57999999999999996</v>
      </c>
      <c r="BB1429" t="s">
        <v>341</v>
      </c>
      <c r="BF1429">
        <v>-0.23</v>
      </c>
      <c r="BG1429">
        <v>-2.12</v>
      </c>
      <c r="BH1429">
        <v>-3.87</v>
      </c>
      <c r="BI1429">
        <v>0</v>
      </c>
      <c r="BJ1429">
        <v>20210830</v>
      </c>
      <c r="BK1429">
        <v>20100120</v>
      </c>
      <c r="BL1429">
        <v>12.44</v>
      </c>
      <c r="BM1429" t="s">
        <v>120</v>
      </c>
      <c r="BN1429" t="s">
        <v>120</v>
      </c>
      <c r="BO1429">
        <v>50.75</v>
      </c>
      <c r="BP1429">
        <v>3.23</v>
      </c>
      <c r="BQ1429">
        <v>26.88</v>
      </c>
      <c r="BR1429">
        <v>0</v>
      </c>
      <c r="BS1429">
        <v>47.03</v>
      </c>
      <c r="BT1429">
        <v>5.36</v>
      </c>
      <c r="BU1429">
        <v>12.2</v>
      </c>
      <c r="BV1429">
        <v>9.24</v>
      </c>
      <c r="BW1429">
        <v>17.78</v>
      </c>
      <c r="BX1429">
        <v>1.36</v>
      </c>
      <c r="BY1429">
        <v>0.72</v>
      </c>
      <c r="BZ1429">
        <v>2.21</v>
      </c>
      <c r="CA1429" t="s">
        <v>120</v>
      </c>
      <c r="CB1429">
        <v>0.51</v>
      </c>
      <c r="CC1429">
        <v>5.3</v>
      </c>
      <c r="CD1429">
        <v>5.03</v>
      </c>
      <c r="CE1429">
        <v>-2.79</v>
      </c>
      <c r="CF1429">
        <v>-0.05</v>
      </c>
      <c r="CG1429">
        <v>-2.8</v>
      </c>
      <c r="CH1429">
        <v>-1.98</v>
      </c>
      <c r="CI1429">
        <v>-1.97</v>
      </c>
      <c r="CJ1429">
        <v>-7.0000000000000007E-2</v>
      </c>
      <c r="CK1429">
        <v>-2.0299999999999998</v>
      </c>
      <c r="CL1429">
        <v>13.33</v>
      </c>
      <c r="CM1429">
        <v>-0.38</v>
      </c>
      <c r="CN1429">
        <v>-2.33</v>
      </c>
      <c r="CO1429">
        <v>50065</v>
      </c>
      <c r="CP1429">
        <v>14448</v>
      </c>
      <c r="CQ1429" t="s">
        <v>7553</v>
      </c>
      <c r="CR1429">
        <v>-348.28</v>
      </c>
      <c r="CS1429">
        <v>-37.47</v>
      </c>
      <c r="CT1429">
        <v>1.49</v>
      </c>
      <c r="CU1429">
        <v>-104.94</v>
      </c>
      <c r="CV1429">
        <v>7.59</v>
      </c>
      <c r="CW1429">
        <v>0.3</v>
      </c>
      <c r="CX1429" t="s">
        <v>893</v>
      </c>
      <c r="CY1429">
        <v>2.16</v>
      </c>
      <c r="CZ1429">
        <v>0</v>
      </c>
      <c r="DA1429">
        <v>0.04</v>
      </c>
      <c r="DB1429">
        <v>1.07</v>
      </c>
      <c r="DC1429">
        <v>-0.03</v>
      </c>
      <c r="DD1429">
        <v>52.97</v>
      </c>
      <c r="DE1429" t="s">
        <v>7554</v>
      </c>
      <c r="DF1429">
        <v>5.0999999999999996</v>
      </c>
      <c r="DG1429">
        <v>-52.71</v>
      </c>
      <c r="DH1429">
        <v>-37.26</v>
      </c>
      <c r="DI1429">
        <v>0.11</v>
      </c>
      <c r="DJ1429">
        <v>2388</v>
      </c>
      <c r="DK1429">
        <v>300043</v>
      </c>
      <c r="DL1429" t="s">
        <v>120</v>
      </c>
      <c r="DM1429" t="s">
        <v>120</v>
      </c>
      <c r="DN1429" t="s">
        <v>120</v>
      </c>
    </row>
    <row r="1430" spans="1:118">
      <c r="A1430" t="str">
        <f>"300045"</f>
        <v>300045</v>
      </c>
      <c r="B1430" t="s">
        <v>7555</v>
      </c>
      <c r="C1430">
        <v>-1.17</v>
      </c>
      <c r="D1430">
        <v>-0.19</v>
      </c>
      <c r="E1430">
        <v>-0.57999999999999996</v>
      </c>
      <c r="F1430">
        <v>1514</v>
      </c>
      <c r="G1430" t="s">
        <v>5623</v>
      </c>
      <c r="H1430">
        <v>11784.19</v>
      </c>
      <c r="I1430">
        <v>96.49</v>
      </c>
      <c r="J1430" t="s">
        <v>120</v>
      </c>
      <c r="K1430" t="s">
        <v>6106</v>
      </c>
      <c r="L1430">
        <v>2.59</v>
      </c>
      <c r="M1430">
        <v>10.14</v>
      </c>
      <c r="N1430">
        <v>0.86</v>
      </c>
      <c r="O1430">
        <v>2.14</v>
      </c>
      <c r="P1430">
        <v>10.48</v>
      </c>
      <c r="Q1430">
        <v>-1.17</v>
      </c>
      <c r="R1430">
        <v>10.14</v>
      </c>
      <c r="S1430">
        <v>10.199999999999999</v>
      </c>
      <c r="T1430">
        <v>114112</v>
      </c>
      <c r="U1430">
        <v>10.15</v>
      </c>
      <c r="V1430">
        <v>10.26</v>
      </c>
      <c r="W1430">
        <v>177.33</v>
      </c>
      <c r="X1430" t="s">
        <v>238</v>
      </c>
      <c r="Y1430" t="s">
        <v>158</v>
      </c>
      <c r="Z1430">
        <v>3.31</v>
      </c>
      <c r="AA1430">
        <v>10.33</v>
      </c>
      <c r="AB1430">
        <v>52506</v>
      </c>
      <c r="AC1430">
        <v>61606</v>
      </c>
      <c r="AD1430">
        <v>0.85</v>
      </c>
      <c r="AE1430">
        <v>905</v>
      </c>
      <c r="AF1430">
        <v>66</v>
      </c>
      <c r="AG1430" t="s">
        <v>120</v>
      </c>
      <c r="AH1430">
        <v>0.02</v>
      </c>
      <c r="AI1430" t="s">
        <v>120</v>
      </c>
      <c r="AJ1430">
        <v>4.41</v>
      </c>
      <c r="AK1430" t="s">
        <v>4794</v>
      </c>
      <c r="AL1430">
        <v>0.74</v>
      </c>
      <c r="AM1430">
        <v>2293</v>
      </c>
      <c r="AN1430">
        <v>50</v>
      </c>
      <c r="AO1430">
        <v>1.1000000000000001E-3</v>
      </c>
      <c r="AP1430">
        <v>-1</v>
      </c>
      <c r="AQ1430">
        <v>0</v>
      </c>
      <c r="AR1430">
        <v>-3.98</v>
      </c>
      <c r="AS1430">
        <v>-5.5</v>
      </c>
      <c r="AT1430">
        <v>5.63</v>
      </c>
      <c r="AU1430">
        <v>3.05</v>
      </c>
      <c r="AV1430">
        <v>0</v>
      </c>
      <c r="AW1430">
        <v>2.97</v>
      </c>
      <c r="AX1430">
        <v>62.45</v>
      </c>
      <c r="AY1430">
        <v>448.8</v>
      </c>
      <c r="AZ1430">
        <v>226.3</v>
      </c>
      <c r="BA1430">
        <v>0.46</v>
      </c>
      <c r="BB1430" t="s">
        <v>125</v>
      </c>
      <c r="BF1430">
        <v>0.65</v>
      </c>
      <c r="BG1430">
        <v>-0.59</v>
      </c>
      <c r="BH1430">
        <v>-3.24</v>
      </c>
      <c r="BI1430">
        <v>0</v>
      </c>
      <c r="BJ1430">
        <v>20210827</v>
      </c>
      <c r="BK1430">
        <v>20100120</v>
      </c>
      <c r="BL1430">
        <v>6.14</v>
      </c>
      <c r="BM1430" t="s">
        <v>120</v>
      </c>
      <c r="BN1430" t="s">
        <v>120</v>
      </c>
      <c r="BO1430">
        <v>24</v>
      </c>
      <c r="BP1430">
        <v>10.14</v>
      </c>
      <c r="BQ1430">
        <v>17.59</v>
      </c>
      <c r="BR1430">
        <v>0.08</v>
      </c>
      <c r="BS1430">
        <v>26.41</v>
      </c>
      <c r="BT1430">
        <v>15.47</v>
      </c>
      <c r="BU1430">
        <v>1.05</v>
      </c>
      <c r="BV1430">
        <v>4.1100000000000003</v>
      </c>
      <c r="BW1430">
        <v>5.64</v>
      </c>
      <c r="BX1430">
        <v>0.84</v>
      </c>
      <c r="BY1430">
        <v>3.54</v>
      </c>
      <c r="BZ1430">
        <v>8.81</v>
      </c>
      <c r="CA1430" t="s">
        <v>120</v>
      </c>
      <c r="CB1430">
        <v>7.77</v>
      </c>
      <c r="CC1430">
        <v>3.45</v>
      </c>
      <c r="CD1430">
        <v>2.0699999999999998</v>
      </c>
      <c r="CE1430">
        <v>0.2</v>
      </c>
      <c r="CF1430">
        <v>-0.01</v>
      </c>
      <c r="CG1430">
        <v>0.21</v>
      </c>
      <c r="CH1430">
        <v>0.18</v>
      </c>
      <c r="CI1430">
        <v>0.18</v>
      </c>
      <c r="CJ1430">
        <v>-0.12</v>
      </c>
      <c r="CK1430">
        <v>0.13</v>
      </c>
      <c r="CL1430">
        <v>3.3</v>
      </c>
      <c r="CM1430">
        <v>-1.1200000000000001</v>
      </c>
      <c r="CN1430">
        <v>-1.64</v>
      </c>
      <c r="CO1430">
        <v>56199</v>
      </c>
      <c r="CP1430">
        <v>6825</v>
      </c>
      <c r="CQ1430" t="s">
        <v>7556</v>
      </c>
      <c r="CR1430">
        <v>-44.02</v>
      </c>
      <c r="CS1430">
        <v>-2.9</v>
      </c>
      <c r="CT1430">
        <v>3.54</v>
      </c>
      <c r="CU1430">
        <v>-55.37</v>
      </c>
      <c r="CV1430">
        <v>18.059999999999999</v>
      </c>
      <c r="CW1430">
        <v>0.1</v>
      </c>
      <c r="CX1430" t="s">
        <v>3882</v>
      </c>
      <c r="CY1430">
        <v>2.86</v>
      </c>
      <c r="CZ1430">
        <v>0</v>
      </c>
      <c r="DA1430">
        <v>1.26</v>
      </c>
      <c r="DB1430">
        <v>0.54</v>
      </c>
      <c r="DC1430">
        <v>-0.18</v>
      </c>
      <c r="DD1430">
        <v>73.27</v>
      </c>
      <c r="DE1430" t="s">
        <v>1302</v>
      </c>
      <c r="DF1430">
        <v>40.06</v>
      </c>
      <c r="DG1430">
        <v>5.89</v>
      </c>
      <c r="DH1430">
        <v>5.09</v>
      </c>
      <c r="DI1430">
        <v>0.25</v>
      </c>
      <c r="DJ1430">
        <v>725</v>
      </c>
      <c r="DK1430">
        <v>300045</v>
      </c>
      <c r="DL1430" t="s">
        <v>120</v>
      </c>
      <c r="DM1430" t="s">
        <v>120</v>
      </c>
      <c r="DN1430" t="s">
        <v>120</v>
      </c>
    </row>
    <row r="1431" spans="1:118">
      <c r="A1431" t="str">
        <f>"300046"</f>
        <v>300046</v>
      </c>
      <c r="B1431" t="s">
        <v>7557</v>
      </c>
      <c r="C1431">
        <v>-3.63</v>
      </c>
      <c r="D1431">
        <v>0</v>
      </c>
      <c r="E1431">
        <v>1.03</v>
      </c>
      <c r="F1431">
        <v>1252</v>
      </c>
      <c r="G1431" t="s">
        <v>7558</v>
      </c>
      <c r="H1431">
        <v>16409.61</v>
      </c>
      <c r="I1431">
        <v>56.86</v>
      </c>
      <c r="J1431" t="s">
        <v>120</v>
      </c>
      <c r="K1431" t="s">
        <v>7559</v>
      </c>
      <c r="L1431">
        <v>3.23</v>
      </c>
      <c r="M1431">
        <v>23.38</v>
      </c>
      <c r="N1431">
        <v>0.72</v>
      </c>
      <c r="O1431">
        <v>1.03</v>
      </c>
      <c r="P1431">
        <v>24.51</v>
      </c>
      <c r="Q1431">
        <v>-3.75</v>
      </c>
      <c r="R1431">
        <v>23.35</v>
      </c>
      <c r="S1431">
        <v>24.51</v>
      </c>
      <c r="T1431">
        <v>68860</v>
      </c>
      <c r="U1431">
        <v>23.39</v>
      </c>
      <c r="V1431">
        <v>24.26</v>
      </c>
      <c r="W1431">
        <v>83.68</v>
      </c>
      <c r="X1431" t="s">
        <v>3245</v>
      </c>
      <c r="Y1431" t="s">
        <v>763</v>
      </c>
      <c r="Z1431">
        <v>4.78</v>
      </c>
      <c r="AA1431">
        <v>23.83</v>
      </c>
      <c r="AB1431">
        <v>43002</v>
      </c>
      <c r="AC1431">
        <v>25858</v>
      </c>
      <c r="AD1431">
        <v>1.66</v>
      </c>
      <c r="AE1431">
        <v>234</v>
      </c>
      <c r="AF1431">
        <v>82</v>
      </c>
      <c r="AG1431" t="s">
        <v>120</v>
      </c>
      <c r="AH1431">
        <v>0.02</v>
      </c>
      <c r="AI1431" t="s">
        <v>120</v>
      </c>
      <c r="AJ1431">
        <v>2.13</v>
      </c>
      <c r="AK1431" t="s">
        <v>7560</v>
      </c>
      <c r="AL1431">
        <v>-1.71</v>
      </c>
      <c r="AM1431">
        <v>3088</v>
      </c>
      <c r="AN1431">
        <v>22</v>
      </c>
      <c r="AO1431">
        <v>1E-3</v>
      </c>
      <c r="AP1431">
        <v>-2</v>
      </c>
      <c r="AQ1431">
        <v>-2.2599999999999998</v>
      </c>
      <c r="AR1431">
        <v>-5.73</v>
      </c>
      <c r="AS1431">
        <v>-11.4</v>
      </c>
      <c r="AT1431">
        <v>-31.11</v>
      </c>
      <c r="AU1431">
        <v>-6.66</v>
      </c>
      <c r="AV1431">
        <v>1</v>
      </c>
      <c r="AW1431">
        <v>4.62</v>
      </c>
      <c r="AX1431">
        <v>63.05</v>
      </c>
      <c r="AY1431">
        <v>123.01</v>
      </c>
      <c r="AZ1431">
        <v>177.96</v>
      </c>
      <c r="BA1431">
        <v>0.56000000000000005</v>
      </c>
      <c r="BB1431" t="s">
        <v>143</v>
      </c>
      <c r="BF1431">
        <v>-1.77</v>
      </c>
      <c r="BG1431">
        <v>-4.6100000000000003</v>
      </c>
      <c r="BH1431">
        <v>-4.6100000000000003</v>
      </c>
      <c r="BI1431">
        <v>0.13</v>
      </c>
      <c r="BJ1431">
        <v>20210724</v>
      </c>
      <c r="BK1431">
        <v>20100120</v>
      </c>
      <c r="BL1431">
        <v>2.37</v>
      </c>
      <c r="BM1431" t="s">
        <v>120</v>
      </c>
      <c r="BN1431" t="s">
        <v>120</v>
      </c>
      <c r="BO1431">
        <v>10.95</v>
      </c>
      <c r="BP1431">
        <v>23.38</v>
      </c>
      <c r="BQ1431">
        <v>10.18</v>
      </c>
      <c r="BR1431">
        <v>0.03</v>
      </c>
      <c r="BS1431">
        <v>6.76</v>
      </c>
      <c r="BT1431">
        <v>9.7200000000000006</v>
      </c>
      <c r="BU1431">
        <v>0.98</v>
      </c>
      <c r="BV1431">
        <v>0.11</v>
      </c>
      <c r="BW1431">
        <v>0.72</v>
      </c>
      <c r="BX1431">
        <v>3.48</v>
      </c>
      <c r="BY1431">
        <v>0.98</v>
      </c>
      <c r="BZ1431">
        <v>0.82</v>
      </c>
      <c r="CA1431" t="s">
        <v>120</v>
      </c>
      <c r="CB1431">
        <v>8.1199999999999992</v>
      </c>
      <c r="CC1431">
        <v>1.61</v>
      </c>
      <c r="CD1431">
        <v>1.07</v>
      </c>
      <c r="CE1431">
        <v>0.39</v>
      </c>
      <c r="CF1431">
        <v>0.02</v>
      </c>
      <c r="CG1431">
        <v>0.39</v>
      </c>
      <c r="CH1431">
        <v>0.33</v>
      </c>
      <c r="CI1431">
        <v>0.33</v>
      </c>
      <c r="CJ1431">
        <v>-0.88</v>
      </c>
      <c r="CK1431">
        <v>0.31</v>
      </c>
      <c r="CL1431">
        <v>-0.87</v>
      </c>
      <c r="CM1431">
        <v>-0.01</v>
      </c>
      <c r="CN1431">
        <v>0.23</v>
      </c>
      <c r="CO1431">
        <v>56238</v>
      </c>
      <c r="CP1431">
        <v>2652</v>
      </c>
      <c r="CQ1431" t="s">
        <v>7561</v>
      </c>
      <c r="CR1431">
        <v>77.27</v>
      </c>
      <c r="CS1431">
        <v>30.86</v>
      </c>
      <c r="CT1431">
        <v>5.43</v>
      </c>
      <c r="CU1431">
        <v>-6400.58</v>
      </c>
      <c r="CV1431">
        <v>34.409999999999997</v>
      </c>
      <c r="CW1431">
        <v>0</v>
      </c>
      <c r="CX1431" t="s">
        <v>373</v>
      </c>
      <c r="CY1431">
        <v>4.3</v>
      </c>
      <c r="CZ1431">
        <v>0</v>
      </c>
      <c r="DA1431">
        <v>3.43</v>
      </c>
      <c r="DB1431">
        <v>-0.37</v>
      </c>
      <c r="DC1431">
        <v>0</v>
      </c>
      <c r="DD1431">
        <v>93</v>
      </c>
      <c r="DE1431" t="s">
        <v>4432</v>
      </c>
      <c r="DF1431">
        <v>33.58</v>
      </c>
      <c r="DG1431">
        <v>24.01</v>
      </c>
      <c r="DH1431">
        <v>20.56</v>
      </c>
      <c r="DI1431">
        <v>0.05</v>
      </c>
      <c r="DJ1431">
        <v>520</v>
      </c>
      <c r="DK1431">
        <v>300046</v>
      </c>
      <c r="DL1431" t="s">
        <v>120</v>
      </c>
      <c r="DM1431" t="s">
        <v>120</v>
      </c>
      <c r="DN1431" t="s">
        <v>120</v>
      </c>
    </row>
    <row r="1432" spans="1:118">
      <c r="A1432" t="str">
        <f>"300047"</f>
        <v>300047</v>
      </c>
      <c r="B1432" t="s">
        <v>7562</v>
      </c>
      <c r="C1432">
        <v>-2.2400000000000002</v>
      </c>
      <c r="D1432">
        <v>0</v>
      </c>
      <c r="E1432">
        <v>0.66</v>
      </c>
      <c r="F1432">
        <v>3568</v>
      </c>
      <c r="G1432" t="s">
        <v>7563</v>
      </c>
      <c r="H1432">
        <v>14994.4</v>
      </c>
      <c r="I1432">
        <v>205.02</v>
      </c>
      <c r="J1432" t="s">
        <v>120</v>
      </c>
      <c r="K1432" t="s">
        <v>7564</v>
      </c>
      <c r="L1432">
        <v>3.76</v>
      </c>
      <c r="M1432">
        <v>7.41</v>
      </c>
      <c r="N1432">
        <v>0.74</v>
      </c>
      <c r="O1432">
        <v>1.32</v>
      </c>
      <c r="P1432">
        <v>7.68</v>
      </c>
      <c r="Q1432">
        <v>-2.64</v>
      </c>
      <c r="R1432">
        <v>7.38</v>
      </c>
      <c r="S1432">
        <v>7.63</v>
      </c>
      <c r="T1432">
        <v>199398</v>
      </c>
      <c r="U1432">
        <v>7.42</v>
      </c>
      <c r="V1432">
        <v>7.58</v>
      </c>
      <c r="W1432">
        <v>55.17</v>
      </c>
      <c r="X1432" t="s">
        <v>141</v>
      </c>
      <c r="Y1432" t="s">
        <v>123</v>
      </c>
      <c r="Z1432">
        <v>3.96</v>
      </c>
      <c r="AA1432">
        <v>7.52</v>
      </c>
      <c r="AB1432">
        <v>113387</v>
      </c>
      <c r="AC1432">
        <v>86011</v>
      </c>
      <c r="AD1432">
        <v>1.32</v>
      </c>
      <c r="AE1432">
        <v>268</v>
      </c>
      <c r="AF1432">
        <v>239</v>
      </c>
      <c r="AG1432" t="s">
        <v>120</v>
      </c>
      <c r="AH1432">
        <v>0.05</v>
      </c>
      <c r="AI1432" t="s">
        <v>120</v>
      </c>
      <c r="AJ1432">
        <v>5.31</v>
      </c>
      <c r="AK1432" t="s">
        <v>2222</v>
      </c>
      <c r="AL1432">
        <v>-0.33</v>
      </c>
      <c r="AM1432">
        <v>2886</v>
      </c>
      <c r="AN1432">
        <v>69</v>
      </c>
      <c r="AO1432">
        <v>1.2999999999999999E-3</v>
      </c>
      <c r="AP1432">
        <v>-1</v>
      </c>
      <c r="AQ1432">
        <v>4.12</v>
      </c>
      <c r="AR1432">
        <v>0.14000000000000001</v>
      </c>
      <c r="AS1432">
        <v>-1.2</v>
      </c>
      <c r="AT1432">
        <v>3.78</v>
      </c>
      <c r="AU1432">
        <v>-2.0499999999999998</v>
      </c>
      <c r="AV1432">
        <v>0</v>
      </c>
      <c r="AW1432">
        <v>3.92</v>
      </c>
      <c r="AX1432">
        <v>79.819999999999993</v>
      </c>
      <c r="AY1432">
        <v>42.31</v>
      </c>
      <c r="AZ1432">
        <v>36.590000000000003</v>
      </c>
      <c r="BA1432">
        <v>0.66</v>
      </c>
      <c r="BB1432" t="s">
        <v>143</v>
      </c>
      <c r="BF1432">
        <v>-0.79</v>
      </c>
      <c r="BG1432">
        <v>-2.88</v>
      </c>
      <c r="BH1432">
        <v>-3.52</v>
      </c>
      <c r="BI1432">
        <v>0.41</v>
      </c>
      <c r="BJ1432">
        <v>20210909</v>
      </c>
      <c r="BK1432">
        <v>20100120</v>
      </c>
      <c r="BL1432">
        <v>6.38</v>
      </c>
      <c r="BM1432" t="s">
        <v>120</v>
      </c>
      <c r="BN1432" t="s">
        <v>120</v>
      </c>
      <c r="BO1432">
        <v>61.14</v>
      </c>
      <c r="BP1432">
        <v>7.41</v>
      </c>
      <c r="BQ1432">
        <v>33</v>
      </c>
      <c r="BR1432">
        <v>1.84</v>
      </c>
      <c r="BS1432">
        <v>43</v>
      </c>
      <c r="BT1432">
        <v>42.25</v>
      </c>
      <c r="BU1432">
        <v>2.98</v>
      </c>
      <c r="BV1432">
        <v>2.87</v>
      </c>
      <c r="BW1432">
        <v>25.71</v>
      </c>
      <c r="BX1432">
        <v>3.89</v>
      </c>
      <c r="BY1432">
        <v>17.32</v>
      </c>
      <c r="BZ1432">
        <v>14.22</v>
      </c>
      <c r="CA1432">
        <v>0.03</v>
      </c>
      <c r="CB1432">
        <v>14.73</v>
      </c>
      <c r="CC1432">
        <v>23.77</v>
      </c>
      <c r="CD1432">
        <v>20.2</v>
      </c>
      <c r="CE1432">
        <v>0.73</v>
      </c>
      <c r="CF1432">
        <v>-0.04</v>
      </c>
      <c r="CG1432">
        <v>0.73</v>
      </c>
      <c r="CH1432">
        <v>0.6</v>
      </c>
      <c r="CI1432">
        <v>0.43</v>
      </c>
      <c r="CJ1432">
        <v>-0.17</v>
      </c>
      <c r="CK1432">
        <v>0.27</v>
      </c>
      <c r="CL1432">
        <v>10.61</v>
      </c>
      <c r="CM1432">
        <v>3.72</v>
      </c>
      <c r="CN1432">
        <v>0.67</v>
      </c>
      <c r="CO1432">
        <v>34640</v>
      </c>
      <c r="CP1432">
        <v>14696</v>
      </c>
      <c r="CQ1432" t="s">
        <v>2664</v>
      </c>
      <c r="CR1432">
        <v>-29.43</v>
      </c>
      <c r="CS1432">
        <v>25.07</v>
      </c>
      <c r="CT1432">
        <v>1.43</v>
      </c>
      <c r="CU1432">
        <v>12.7</v>
      </c>
      <c r="CV1432">
        <v>1.99</v>
      </c>
      <c r="CW1432">
        <v>0.33</v>
      </c>
      <c r="CX1432" t="s">
        <v>1845</v>
      </c>
      <c r="CY1432">
        <v>5.17</v>
      </c>
      <c r="CZ1432">
        <v>0</v>
      </c>
      <c r="DA1432">
        <v>2.31</v>
      </c>
      <c r="DB1432">
        <v>1.66</v>
      </c>
      <c r="DC1432">
        <v>0.57999999999999996</v>
      </c>
      <c r="DD1432">
        <v>53.98</v>
      </c>
      <c r="DE1432" t="s">
        <v>7565</v>
      </c>
      <c r="DF1432">
        <v>15.03</v>
      </c>
      <c r="DG1432">
        <v>3.07</v>
      </c>
      <c r="DH1432">
        <v>1.8</v>
      </c>
      <c r="DI1432">
        <v>1.25</v>
      </c>
      <c r="DJ1432">
        <v>5218</v>
      </c>
      <c r="DK1432">
        <v>300047</v>
      </c>
      <c r="DL1432" t="s">
        <v>120</v>
      </c>
      <c r="DM1432" t="s">
        <v>120</v>
      </c>
      <c r="DN1432" t="s">
        <v>120</v>
      </c>
    </row>
    <row r="1433" spans="1:118">
      <c r="A1433" t="str">
        <f>"300048"</f>
        <v>300048</v>
      </c>
      <c r="B1433" t="s">
        <v>7566</v>
      </c>
      <c r="C1433">
        <v>-4.5999999999999996</v>
      </c>
      <c r="D1433">
        <v>-0.17</v>
      </c>
      <c r="E1433">
        <v>-0.68</v>
      </c>
      <c r="F1433">
        <v>3036</v>
      </c>
      <c r="G1433" t="s">
        <v>7567</v>
      </c>
      <c r="H1433">
        <v>10576.7</v>
      </c>
      <c r="I1433">
        <v>14.34</v>
      </c>
      <c r="J1433" t="s">
        <v>120</v>
      </c>
      <c r="K1433" t="s">
        <v>7568</v>
      </c>
      <c r="L1433">
        <v>1.7</v>
      </c>
      <c r="M1433">
        <v>5.6</v>
      </c>
      <c r="N1433">
        <v>0.9</v>
      </c>
      <c r="O1433">
        <v>0.51</v>
      </c>
      <c r="P1433">
        <v>5.9</v>
      </c>
      <c r="Q1433">
        <v>-4.5999999999999996</v>
      </c>
      <c r="R1433">
        <v>5.6</v>
      </c>
      <c r="S1433">
        <v>5.83</v>
      </c>
      <c r="T1433">
        <v>184807</v>
      </c>
      <c r="U1433">
        <v>5.61</v>
      </c>
      <c r="V1433">
        <v>5.87</v>
      </c>
      <c r="W1433">
        <v>94.66</v>
      </c>
      <c r="X1433" t="s">
        <v>394</v>
      </c>
      <c r="Y1433" t="s">
        <v>158</v>
      </c>
      <c r="Z1433">
        <v>5.1100000000000003</v>
      </c>
      <c r="AA1433">
        <v>5.72</v>
      </c>
      <c r="AB1433">
        <v>113534</v>
      </c>
      <c r="AC1433">
        <v>71273</v>
      </c>
      <c r="AD1433">
        <v>1.59</v>
      </c>
      <c r="AE1433">
        <v>3608</v>
      </c>
      <c r="AF1433">
        <v>23</v>
      </c>
      <c r="AG1433" t="s">
        <v>120</v>
      </c>
      <c r="AH1433">
        <v>0</v>
      </c>
      <c r="AI1433" t="s">
        <v>120</v>
      </c>
      <c r="AJ1433">
        <v>10.9</v>
      </c>
      <c r="AK1433" t="s">
        <v>7569</v>
      </c>
      <c r="AL1433">
        <v>-2.69</v>
      </c>
      <c r="AM1433">
        <v>2486</v>
      </c>
      <c r="AN1433">
        <v>74</v>
      </c>
      <c r="AO1433">
        <v>6.9999999999999999E-4</v>
      </c>
      <c r="AP1433">
        <v>-1</v>
      </c>
      <c r="AQ1433">
        <v>4.82</v>
      </c>
      <c r="AR1433">
        <v>-2.61</v>
      </c>
      <c r="AS1433">
        <v>-2.78</v>
      </c>
      <c r="AT1433">
        <v>17.899999999999999</v>
      </c>
      <c r="AU1433">
        <v>16.43</v>
      </c>
      <c r="AV1433">
        <v>0</v>
      </c>
      <c r="AW1433">
        <v>2.2000000000000002</v>
      </c>
      <c r="AX1433">
        <v>76.17</v>
      </c>
      <c r="AY1433" t="s">
        <v>120</v>
      </c>
      <c r="AZ1433" t="s">
        <v>120</v>
      </c>
      <c r="BA1433">
        <v>0.08</v>
      </c>
      <c r="BB1433" t="s">
        <v>168</v>
      </c>
      <c r="BF1433">
        <v>-2.5</v>
      </c>
      <c r="BG1433">
        <v>-3.95</v>
      </c>
      <c r="BH1433">
        <v>-5.08</v>
      </c>
      <c r="BI1433">
        <v>0</v>
      </c>
      <c r="BJ1433">
        <v>20210910</v>
      </c>
      <c r="BK1433">
        <v>20100120</v>
      </c>
      <c r="BL1433">
        <v>11.02</v>
      </c>
      <c r="BM1433" t="s">
        <v>120</v>
      </c>
      <c r="BN1433" t="s">
        <v>120</v>
      </c>
      <c r="BO1433">
        <v>25.53</v>
      </c>
      <c r="BP1433">
        <v>5.6</v>
      </c>
      <c r="BQ1433">
        <v>17.73</v>
      </c>
      <c r="BR1433">
        <v>0.4</v>
      </c>
      <c r="BS1433">
        <v>28.99</v>
      </c>
      <c r="BT1433">
        <v>15.62</v>
      </c>
      <c r="BU1433">
        <v>6.78</v>
      </c>
      <c r="BV1433">
        <v>1.05</v>
      </c>
      <c r="BW1433">
        <v>6.81</v>
      </c>
      <c r="BX1433">
        <v>1.93</v>
      </c>
      <c r="BY1433">
        <v>3.17</v>
      </c>
      <c r="BZ1433">
        <v>7.41</v>
      </c>
      <c r="CA1433" t="s">
        <v>120</v>
      </c>
      <c r="CB1433">
        <v>8.4700000000000006</v>
      </c>
      <c r="CC1433">
        <v>6.17</v>
      </c>
      <c r="CD1433">
        <v>4.0599999999999996</v>
      </c>
      <c r="CE1433">
        <v>0.34</v>
      </c>
      <c r="CF1433">
        <v>0.15</v>
      </c>
      <c r="CG1433">
        <v>0.35</v>
      </c>
      <c r="CH1433">
        <v>0.28999999999999998</v>
      </c>
      <c r="CI1433">
        <v>0.33</v>
      </c>
      <c r="CJ1433">
        <v>-0.27</v>
      </c>
      <c r="CK1433">
        <v>0.34</v>
      </c>
      <c r="CL1433">
        <v>-2.34</v>
      </c>
      <c r="CM1433">
        <v>0.68</v>
      </c>
      <c r="CN1433">
        <v>-0.06</v>
      </c>
      <c r="CO1433">
        <v>32669</v>
      </c>
      <c r="CP1433">
        <v>25699</v>
      </c>
      <c r="CQ1433" t="s">
        <v>5323</v>
      </c>
      <c r="CR1433">
        <v>121.51</v>
      </c>
      <c r="CS1433">
        <v>25.75</v>
      </c>
      <c r="CT1433">
        <v>3.5</v>
      </c>
      <c r="CU1433">
        <v>90.62</v>
      </c>
      <c r="CV1433">
        <v>10.01</v>
      </c>
      <c r="CW1433">
        <v>0</v>
      </c>
      <c r="CX1433" t="s">
        <v>2074</v>
      </c>
      <c r="CY1433">
        <v>1.6</v>
      </c>
      <c r="CZ1433">
        <v>1.6</v>
      </c>
      <c r="DA1433">
        <v>0.77</v>
      </c>
      <c r="DB1433">
        <v>-0.21</v>
      </c>
      <c r="DC1433">
        <v>0.06</v>
      </c>
      <c r="DD1433">
        <v>69.44</v>
      </c>
      <c r="DE1433" t="s">
        <v>4306</v>
      </c>
      <c r="DF1433">
        <v>34.18</v>
      </c>
      <c r="DG1433">
        <v>5.5</v>
      </c>
      <c r="DH1433">
        <v>5.29</v>
      </c>
      <c r="DI1433">
        <v>0.34</v>
      </c>
      <c r="DJ1433">
        <v>1224</v>
      </c>
      <c r="DK1433">
        <v>300048</v>
      </c>
      <c r="DL1433" t="s">
        <v>120</v>
      </c>
      <c r="DM1433" t="s">
        <v>120</v>
      </c>
      <c r="DN1433" t="s">
        <v>120</v>
      </c>
    </row>
    <row r="1434" spans="1:118">
      <c r="A1434" t="str">
        <f>"300049"</f>
        <v>300049</v>
      </c>
      <c r="B1434" t="s">
        <v>7570</v>
      </c>
      <c r="C1434">
        <v>-1.72</v>
      </c>
      <c r="D1434">
        <v>0</v>
      </c>
      <c r="E1434">
        <v>-2.42</v>
      </c>
      <c r="F1434">
        <v>534</v>
      </c>
      <c r="G1434" t="s">
        <v>7571</v>
      </c>
      <c r="H1434">
        <v>9025.2199999999993</v>
      </c>
      <c r="I1434">
        <v>228</v>
      </c>
      <c r="J1434" t="s">
        <v>120</v>
      </c>
      <c r="K1434" t="s">
        <v>7572</v>
      </c>
      <c r="L1434">
        <v>3.07</v>
      </c>
      <c r="M1434">
        <v>12.59</v>
      </c>
      <c r="N1434">
        <v>1.01</v>
      </c>
      <c r="O1434">
        <v>2.11</v>
      </c>
      <c r="P1434">
        <v>13.08</v>
      </c>
      <c r="Q1434">
        <v>-3.2</v>
      </c>
      <c r="R1434">
        <v>12.4</v>
      </c>
      <c r="S1434">
        <v>12.5</v>
      </c>
      <c r="T1434">
        <v>70701</v>
      </c>
      <c r="U1434">
        <v>12.6</v>
      </c>
      <c r="V1434">
        <v>12.81</v>
      </c>
      <c r="W1434">
        <v>39.21</v>
      </c>
      <c r="X1434" t="s">
        <v>555</v>
      </c>
      <c r="Y1434" t="s">
        <v>785</v>
      </c>
      <c r="Z1434">
        <v>5.31</v>
      </c>
      <c r="AA1434">
        <v>12.77</v>
      </c>
      <c r="AB1434">
        <v>36010</v>
      </c>
      <c r="AC1434">
        <v>34691</v>
      </c>
      <c r="AD1434">
        <v>1.04</v>
      </c>
      <c r="AE1434">
        <v>204</v>
      </c>
      <c r="AF1434">
        <v>50</v>
      </c>
      <c r="AG1434" t="s">
        <v>120</v>
      </c>
      <c r="AH1434">
        <v>0.09</v>
      </c>
      <c r="AI1434" t="s">
        <v>120</v>
      </c>
      <c r="AJ1434">
        <v>2.2999999999999998</v>
      </c>
      <c r="AK1434" t="s">
        <v>7573</v>
      </c>
      <c r="AL1434">
        <v>0.2</v>
      </c>
      <c r="AM1434">
        <v>2755</v>
      </c>
      <c r="AN1434">
        <v>26</v>
      </c>
      <c r="AO1434">
        <v>1.1000000000000001E-3</v>
      </c>
      <c r="AP1434">
        <v>-2</v>
      </c>
      <c r="AQ1434">
        <v>-4.33</v>
      </c>
      <c r="AR1434">
        <v>-2.02</v>
      </c>
      <c r="AS1434">
        <v>-11.53</v>
      </c>
      <c r="AT1434">
        <v>9.2899999999999991</v>
      </c>
      <c r="AU1434">
        <v>54.29</v>
      </c>
      <c r="AV1434">
        <v>1</v>
      </c>
      <c r="AW1434">
        <v>3.61</v>
      </c>
      <c r="AX1434">
        <v>74.400000000000006</v>
      </c>
      <c r="AY1434">
        <v>37.9</v>
      </c>
      <c r="AZ1434">
        <v>54.43</v>
      </c>
      <c r="BA1434">
        <v>1.41</v>
      </c>
      <c r="BB1434" t="s">
        <v>134</v>
      </c>
      <c r="BF1434">
        <v>-0.35</v>
      </c>
      <c r="BG1434">
        <v>0.72</v>
      </c>
      <c r="BH1434">
        <v>-3.75</v>
      </c>
      <c r="BI1434">
        <v>1.53</v>
      </c>
      <c r="BJ1434">
        <v>20210910</v>
      </c>
      <c r="BK1434">
        <v>20100120</v>
      </c>
      <c r="BL1434">
        <v>2.63</v>
      </c>
      <c r="BM1434" t="s">
        <v>120</v>
      </c>
      <c r="BN1434" t="s">
        <v>120</v>
      </c>
      <c r="BO1434">
        <v>24.37</v>
      </c>
      <c r="BP1434">
        <v>12.59</v>
      </c>
      <c r="BQ1434">
        <v>14.36</v>
      </c>
      <c r="BR1434">
        <v>2.85</v>
      </c>
      <c r="BS1434">
        <v>29.39</v>
      </c>
      <c r="BT1434">
        <v>11.01</v>
      </c>
      <c r="BU1434">
        <v>0.88</v>
      </c>
      <c r="BV1434">
        <v>4.29</v>
      </c>
      <c r="BW1434">
        <v>2.77</v>
      </c>
      <c r="BX1434">
        <v>4.9400000000000004</v>
      </c>
      <c r="BY1434">
        <v>1.17</v>
      </c>
      <c r="BZ1434">
        <v>2.82</v>
      </c>
      <c r="CA1434">
        <v>0.03</v>
      </c>
      <c r="CB1434">
        <v>6.74</v>
      </c>
      <c r="CC1434">
        <v>3.87</v>
      </c>
      <c r="CD1434">
        <v>1.05</v>
      </c>
      <c r="CE1434">
        <v>0.78</v>
      </c>
      <c r="CF1434">
        <v>0.04</v>
      </c>
      <c r="CG1434">
        <v>0.78</v>
      </c>
      <c r="CH1434">
        <v>0.6</v>
      </c>
      <c r="CI1434">
        <v>0.42</v>
      </c>
      <c r="CJ1434">
        <v>-0.22</v>
      </c>
      <c r="CK1434">
        <v>0.38</v>
      </c>
      <c r="CL1434">
        <v>5.28</v>
      </c>
      <c r="CM1434">
        <v>0.9</v>
      </c>
      <c r="CN1434">
        <v>0.38</v>
      </c>
      <c r="CO1434">
        <v>18958</v>
      </c>
      <c r="CP1434">
        <v>10324</v>
      </c>
      <c r="CQ1434" t="s">
        <v>7574</v>
      </c>
      <c r="CR1434">
        <v>177.26</v>
      </c>
      <c r="CS1434">
        <v>6.88</v>
      </c>
      <c r="CT1434">
        <v>2.31</v>
      </c>
      <c r="CU1434">
        <v>36.770000000000003</v>
      </c>
      <c r="CV1434">
        <v>8.5500000000000007</v>
      </c>
      <c r="CW1434">
        <v>0</v>
      </c>
      <c r="CX1434" t="s">
        <v>1091</v>
      </c>
      <c r="CY1434">
        <v>5.46</v>
      </c>
      <c r="CZ1434">
        <v>0</v>
      </c>
      <c r="DA1434">
        <v>2.56</v>
      </c>
      <c r="DB1434">
        <v>2.0099999999999998</v>
      </c>
      <c r="DC1434">
        <v>0.34</v>
      </c>
      <c r="DD1434">
        <v>58.9</v>
      </c>
      <c r="DE1434" t="s">
        <v>4288</v>
      </c>
      <c r="DF1434">
        <v>72.92</v>
      </c>
      <c r="DG1434">
        <v>20.03</v>
      </c>
      <c r="DH1434">
        <v>10.9</v>
      </c>
      <c r="DI1434">
        <v>0.28999999999999998</v>
      </c>
      <c r="DJ1434">
        <v>508</v>
      </c>
      <c r="DK1434">
        <v>300049</v>
      </c>
      <c r="DL1434" t="s">
        <v>120</v>
      </c>
      <c r="DM1434" t="s">
        <v>120</v>
      </c>
      <c r="DN1434" t="s">
        <v>120</v>
      </c>
    </row>
    <row r="1435" spans="1:118">
      <c r="A1435" t="str">
        <f>"300050"</f>
        <v>300050</v>
      </c>
      <c r="B1435" t="s">
        <v>7575</v>
      </c>
      <c r="C1435">
        <v>-1.18</v>
      </c>
      <c r="D1435">
        <v>0.2</v>
      </c>
      <c r="E1435">
        <v>-0.59</v>
      </c>
      <c r="F1435">
        <v>1204</v>
      </c>
      <c r="G1435" t="s">
        <v>7576</v>
      </c>
      <c r="H1435">
        <v>4885.26</v>
      </c>
      <c r="I1435">
        <v>30.01</v>
      </c>
      <c r="J1435" t="s">
        <v>120</v>
      </c>
      <c r="K1435" t="s">
        <v>7577</v>
      </c>
      <c r="L1435">
        <v>1.92</v>
      </c>
      <c r="M1435">
        <v>5.04</v>
      </c>
      <c r="N1435">
        <v>1.01</v>
      </c>
      <c r="O1435">
        <v>1.96</v>
      </c>
      <c r="P1435">
        <v>5.2</v>
      </c>
      <c r="Q1435">
        <v>-1.57</v>
      </c>
      <c r="R1435">
        <v>5.0199999999999996</v>
      </c>
      <c r="S1435">
        <v>5.07</v>
      </c>
      <c r="T1435">
        <v>95652</v>
      </c>
      <c r="U1435">
        <v>5.04</v>
      </c>
      <c r="V1435">
        <v>5.0999999999999996</v>
      </c>
      <c r="W1435" t="s">
        <v>120</v>
      </c>
      <c r="X1435" t="s">
        <v>141</v>
      </c>
      <c r="Y1435" t="s">
        <v>547</v>
      </c>
      <c r="Z1435">
        <v>3.53</v>
      </c>
      <c r="AA1435">
        <v>5.1100000000000003</v>
      </c>
      <c r="AB1435">
        <v>55440</v>
      </c>
      <c r="AC1435">
        <v>40212</v>
      </c>
      <c r="AD1435">
        <v>1.38</v>
      </c>
      <c r="AE1435">
        <v>360</v>
      </c>
      <c r="AF1435">
        <v>1113</v>
      </c>
      <c r="AG1435" t="s">
        <v>120</v>
      </c>
      <c r="AH1435">
        <v>0.02</v>
      </c>
      <c r="AI1435" t="s">
        <v>120</v>
      </c>
      <c r="AJ1435">
        <v>4.9800000000000004</v>
      </c>
      <c r="AK1435" t="s">
        <v>7101</v>
      </c>
      <c r="AL1435">
        <v>0.74</v>
      </c>
      <c r="AM1435">
        <v>1503</v>
      </c>
      <c r="AN1435">
        <v>64</v>
      </c>
      <c r="AO1435">
        <v>1.2999999999999999E-3</v>
      </c>
      <c r="AP1435">
        <v>-1</v>
      </c>
      <c r="AQ1435">
        <v>0.79</v>
      </c>
      <c r="AR1435">
        <v>-1.75</v>
      </c>
      <c r="AS1435">
        <v>-3.45</v>
      </c>
      <c r="AT1435">
        <v>-6.84</v>
      </c>
      <c r="AU1435">
        <v>-9.02</v>
      </c>
      <c r="AV1435">
        <v>1</v>
      </c>
      <c r="AW1435">
        <v>2.4300000000000002</v>
      </c>
      <c r="AX1435">
        <v>70.17</v>
      </c>
      <c r="AY1435" t="s">
        <v>120</v>
      </c>
      <c r="AZ1435">
        <v>110.18</v>
      </c>
      <c r="BA1435">
        <v>0.84</v>
      </c>
      <c r="BB1435" t="s">
        <v>143</v>
      </c>
      <c r="BF1435">
        <v>0.14000000000000001</v>
      </c>
      <c r="BG1435">
        <v>-0.59</v>
      </c>
      <c r="BH1435">
        <v>-3.08</v>
      </c>
      <c r="BI1435">
        <v>0.4</v>
      </c>
      <c r="BJ1435">
        <v>20210826</v>
      </c>
      <c r="BK1435">
        <v>20100120</v>
      </c>
      <c r="BL1435">
        <v>5.6</v>
      </c>
      <c r="BM1435" t="s">
        <v>120</v>
      </c>
      <c r="BN1435" t="s">
        <v>120</v>
      </c>
      <c r="BO1435">
        <v>29.6</v>
      </c>
      <c r="BP1435">
        <v>5.03</v>
      </c>
      <c r="BQ1435">
        <v>23.9</v>
      </c>
      <c r="BR1435">
        <v>-0.04</v>
      </c>
      <c r="BS1435">
        <v>19.38</v>
      </c>
      <c r="BT1435">
        <v>11.35</v>
      </c>
      <c r="BU1435">
        <v>2.4700000000000002</v>
      </c>
      <c r="BV1435">
        <v>0.25</v>
      </c>
      <c r="BW1435">
        <v>5.57</v>
      </c>
      <c r="BX1435">
        <v>1.75</v>
      </c>
      <c r="BY1435">
        <v>1.2</v>
      </c>
      <c r="BZ1435">
        <v>6.26</v>
      </c>
      <c r="CA1435" t="s">
        <v>120</v>
      </c>
      <c r="CB1435">
        <v>17.649999999999999</v>
      </c>
      <c r="CC1435">
        <v>3</v>
      </c>
      <c r="CD1435">
        <v>2.11</v>
      </c>
      <c r="CE1435">
        <v>-0.42</v>
      </c>
      <c r="CF1435">
        <v>0</v>
      </c>
      <c r="CG1435">
        <v>-0.47</v>
      </c>
      <c r="CH1435">
        <v>-0.46</v>
      </c>
      <c r="CI1435">
        <v>-0.44</v>
      </c>
      <c r="CJ1435">
        <v>-0.06</v>
      </c>
      <c r="CK1435">
        <v>-0.42</v>
      </c>
      <c r="CL1435">
        <v>0.54</v>
      </c>
      <c r="CM1435">
        <v>-1.02</v>
      </c>
      <c r="CN1435">
        <v>-1.85</v>
      </c>
      <c r="CO1435">
        <v>29463</v>
      </c>
      <c r="CP1435">
        <v>13339</v>
      </c>
      <c r="CQ1435" t="s">
        <v>4601</v>
      </c>
      <c r="CR1435">
        <v>-397.44</v>
      </c>
      <c r="CS1435">
        <v>7.33</v>
      </c>
      <c r="CT1435">
        <v>1.18</v>
      </c>
      <c r="CU1435">
        <v>-27.79</v>
      </c>
      <c r="CV1435">
        <v>9.42</v>
      </c>
      <c r="CW1435">
        <v>0</v>
      </c>
      <c r="CX1435" t="s">
        <v>1320</v>
      </c>
      <c r="CY1435">
        <v>4.2699999999999996</v>
      </c>
      <c r="CZ1435">
        <v>0</v>
      </c>
      <c r="DA1435">
        <v>3.15</v>
      </c>
      <c r="DB1435">
        <v>0.1</v>
      </c>
      <c r="DC1435">
        <v>-0.18</v>
      </c>
      <c r="DD1435">
        <v>80.75</v>
      </c>
      <c r="DE1435" t="s">
        <v>7578</v>
      </c>
      <c r="DF1435">
        <v>29.58</v>
      </c>
      <c r="DG1435">
        <v>-13.92</v>
      </c>
      <c r="DH1435">
        <v>-14.79</v>
      </c>
      <c r="DI1435">
        <v>0.22</v>
      </c>
      <c r="DJ1435">
        <v>1153</v>
      </c>
      <c r="DK1435">
        <v>300050</v>
      </c>
      <c r="DL1435" t="s">
        <v>120</v>
      </c>
      <c r="DM1435" t="s">
        <v>120</v>
      </c>
      <c r="DN1435" t="s">
        <v>120</v>
      </c>
    </row>
    <row r="1436" spans="1:118">
      <c r="A1436" t="str">
        <f>"300052"</f>
        <v>300052</v>
      </c>
      <c r="B1436" t="s">
        <v>7579</v>
      </c>
      <c r="C1436">
        <v>11.73</v>
      </c>
      <c r="D1436">
        <v>0.05</v>
      </c>
      <c r="E1436">
        <v>0.95</v>
      </c>
      <c r="F1436">
        <v>18907</v>
      </c>
      <c r="G1436" t="s">
        <v>7580</v>
      </c>
      <c r="H1436">
        <v>185128.26</v>
      </c>
      <c r="I1436">
        <v>1413.07</v>
      </c>
      <c r="J1436" t="s">
        <v>120</v>
      </c>
      <c r="K1436" t="s">
        <v>7581</v>
      </c>
      <c r="L1436">
        <v>36.68</v>
      </c>
      <c r="M1436">
        <v>20</v>
      </c>
      <c r="N1436">
        <v>0.94</v>
      </c>
      <c r="O1436">
        <v>14.92</v>
      </c>
      <c r="P1436">
        <v>20.57</v>
      </c>
      <c r="Q1436">
        <v>0</v>
      </c>
      <c r="R1436">
        <v>17.899999999999999</v>
      </c>
      <c r="S1436">
        <v>18.07</v>
      </c>
      <c r="T1436">
        <v>958091</v>
      </c>
      <c r="U1436">
        <v>20.010000000000002</v>
      </c>
      <c r="V1436">
        <v>17.899999999999999</v>
      </c>
      <c r="W1436">
        <v>228</v>
      </c>
      <c r="X1436" t="s">
        <v>1531</v>
      </c>
      <c r="Y1436" t="s">
        <v>123</v>
      </c>
      <c r="Z1436">
        <v>14.92</v>
      </c>
      <c r="AA1436">
        <v>19.32</v>
      </c>
      <c r="AB1436">
        <v>427796</v>
      </c>
      <c r="AC1436">
        <v>530295</v>
      </c>
      <c r="AD1436">
        <v>0.81</v>
      </c>
      <c r="AE1436">
        <v>1884</v>
      </c>
      <c r="AF1436">
        <v>447</v>
      </c>
      <c r="AG1436" t="s">
        <v>120</v>
      </c>
      <c r="AH1436">
        <v>0.37</v>
      </c>
      <c r="AI1436" t="s">
        <v>120</v>
      </c>
      <c r="AJ1436">
        <v>2.61</v>
      </c>
      <c r="AK1436" t="s">
        <v>5373</v>
      </c>
      <c r="AL1436">
        <v>13.65</v>
      </c>
      <c r="AM1436">
        <v>4648</v>
      </c>
      <c r="AN1436">
        <v>206</v>
      </c>
      <c r="AO1436">
        <v>7.9000000000000008E-3</v>
      </c>
      <c r="AP1436">
        <v>1</v>
      </c>
      <c r="AQ1436">
        <v>-5.04</v>
      </c>
      <c r="AR1436">
        <v>12.55</v>
      </c>
      <c r="AS1436">
        <v>149.06</v>
      </c>
      <c r="AT1436">
        <v>138.94999999999999</v>
      </c>
      <c r="AU1436">
        <v>115.98</v>
      </c>
      <c r="AV1436">
        <v>4</v>
      </c>
      <c r="AW1436">
        <v>45.78</v>
      </c>
      <c r="AX1436">
        <v>79.5</v>
      </c>
      <c r="AY1436" t="s">
        <v>120</v>
      </c>
      <c r="AZ1436" t="s">
        <v>120</v>
      </c>
      <c r="BA1436">
        <v>1.43</v>
      </c>
      <c r="BB1436" t="s">
        <v>341</v>
      </c>
      <c r="BF1436">
        <v>7.95</v>
      </c>
      <c r="BG1436">
        <v>10.68</v>
      </c>
      <c r="BH1436">
        <v>-2.77</v>
      </c>
      <c r="BI1436">
        <v>11.73</v>
      </c>
      <c r="BJ1436">
        <v>20210826</v>
      </c>
      <c r="BK1436">
        <v>20100211</v>
      </c>
      <c r="BL1436">
        <v>2.63</v>
      </c>
      <c r="BM1436" t="s">
        <v>120</v>
      </c>
      <c r="BN1436" t="s">
        <v>120</v>
      </c>
      <c r="BO1436">
        <v>9.9600000000000009</v>
      </c>
      <c r="BP1436">
        <v>20</v>
      </c>
      <c r="BQ1436">
        <v>7.09</v>
      </c>
      <c r="BR1436">
        <v>0.05</v>
      </c>
      <c r="BS1436">
        <v>28.35</v>
      </c>
      <c r="BT1436">
        <v>3.33</v>
      </c>
      <c r="BU1436">
        <v>2.31</v>
      </c>
      <c r="BV1436">
        <v>0.14000000000000001</v>
      </c>
      <c r="BW1436">
        <v>2.2200000000000002</v>
      </c>
      <c r="BX1436">
        <v>0.51</v>
      </c>
      <c r="BY1436">
        <v>0</v>
      </c>
      <c r="BZ1436">
        <v>1.66</v>
      </c>
      <c r="CA1436" t="s">
        <v>120</v>
      </c>
      <c r="CB1436">
        <v>3.81</v>
      </c>
      <c r="CC1436">
        <v>1.64</v>
      </c>
      <c r="CD1436">
        <v>0.81</v>
      </c>
      <c r="CE1436">
        <v>0.12</v>
      </c>
      <c r="CF1436">
        <v>0.01</v>
      </c>
      <c r="CG1436">
        <v>0.12</v>
      </c>
      <c r="CH1436">
        <v>0.17</v>
      </c>
      <c r="CI1436">
        <v>0.12</v>
      </c>
      <c r="CJ1436">
        <v>2.1</v>
      </c>
      <c r="CK1436">
        <v>0.09</v>
      </c>
      <c r="CL1436">
        <v>0.44</v>
      </c>
      <c r="CM1436">
        <v>0.38</v>
      </c>
      <c r="CN1436">
        <v>-0.59</v>
      </c>
      <c r="CO1436">
        <v>39945</v>
      </c>
      <c r="CP1436">
        <v>5239</v>
      </c>
      <c r="CQ1436" t="s">
        <v>7582</v>
      </c>
      <c r="CR1436">
        <v>30.31</v>
      </c>
      <c r="CS1436">
        <v>25.09</v>
      </c>
      <c r="CT1436">
        <v>7.39</v>
      </c>
      <c r="CU1436">
        <v>139.86000000000001</v>
      </c>
      <c r="CV1436">
        <v>32.07</v>
      </c>
      <c r="CW1436">
        <v>0</v>
      </c>
      <c r="CX1436" t="s">
        <v>145</v>
      </c>
      <c r="CY1436">
        <v>2.71</v>
      </c>
      <c r="CZ1436">
        <v>2.71</v>
      </c>
      <c r="DA1436">
        <v>1.45</v>
      </c>
      <c r="DB1436">
        <v>0.17</v>
      </c>
      <c r="DC1436">
        <v>0.14000000000000001</v>
      </c>
      <c r="DD1436">
        <v>71.180000000000007</v>
      </c>
      <c r="DE1436" t="s">
        <v>7583</v>
      </c>
      <c r="DF1436">
        <v>50.44</v>
      </c>
      <c r="DG1436">
        <v>7.54</v>
      </c>
      <c r="DH1436">
        <v>7.03</v>
      </c>
      <c r="DI1436">
        <v>0.24</v>
      </c>
      <c r="DJ1436">
        <v>404</v>
      </c>
      <c r="DK1436">
        <v>300052</v>
      </c>
      <c r="DL1436">
        <v>20210907</v>
      </c>
      <c r="DM1436">
        <v>9.84</v>
      </c>
      <c r="DN1436">
        <v>103.25</v>
      </c>
    </row>
    <row r="1437" spans="1:118">
      <c r="A1437" t="str">
        <f>"300053"</f>
        <v>300053</v>
      </c>
      <c r="B1437" t="s">
        <v>7584</v>
      </c>
      <c r="C1437">
        <v>-0.99</v>
      </c>
      <c r="D1437">
        <v>-0.09</v>
      </c>
      <c r="E1437">
        <v>0.1</v>
      </c>
      <c r="F1437">
        <v>1429</v>
      </c>
      <c r="G1437" t="s">
        <v>7585</v>
      </c>
      <c r="H1437">
        <v>11683.4</v>
      </c>
      <c r="I1437">
        <v>35.82</v>
      </c>
      <c r="J1437" t="s">
        <v>120</v>
      </c>
      <c r="K1437" t="s">
        <v>7586</v>
      </c>
      <c r="L1437">
        <v>1.83</v>
      </c>
      <c r="M1437">
        <v>10.01</v>
      </c>
      <c r="N1437">
        <v>0.63</v>
      </c>
      <c r="O1437">
        <v>1.0900000000000001</v>
      </c>
      <c r="P1437">
        <v>10.220000000000001</v>
      </c>
      <c r="Q1437">
        <v>-1.38</v>
      </c>
      <c r="R1437">
        <v>9.9700000000000006</v>
      </c>
      <c r="S1437">
        <v>10.119999999999999</v>
      </c>
      <c r="T1437">
        <v>115847</v>
      </c>
      <c r="U1437">
        <v>10.02</v>
      </c>
      <c r="V1437">
        <v>10.11</v>
      </c>
      <c r="W1437">
        <v>108.07</v>
      </c>
      <c r="X1437" t="s">
        <v>3245</v>
      </c>
      <c r="Y1437" t="s">
        <v>547</v>
      </c>
      <c r="Z1437">
        <v>2.4700000000000002</v>
      </c>
      <c r="AA1437">
        <v>10.09</v>
      </c>
      <c r="AB1437">
        <v>70283</v>
      </c>
      <c r="AC1437">
        <v>45564</v>
      </c>
      <c r="AD1437">
        <v>1.54</v>
      </c>
      <c r="AE1437">
        <v>935</v>
      </c>
      <c r="AF1437">
        <v>261</v>
      </c>
      <c r="AG1437" t="s">
        <v>120</v>
      </c>
      <c r="AH1437">
        <v>0.01</v>
      </c>
      <c r="AI1437" t="s">
        <v>120</v>
      </c>
      <c r="AJ1437">
        <v>6.33</v>
      </c>
      <c r="AK1437" t="s">
        <v>7587</v>
      </c>
      <c r="AL1437">
        <v>0.92</v>
      </c>
      <c r="AM1437">
        <v>2189</v>
      </c>
      <c r="AN1437">
        <v>53</v>
      </c>
      <c r="AO1437">
        <v>8.0000000000000004E-4</v>
      </c>
      <c r="AP1437">
        <v>-1</v>
      </c>
      <c r="AQ1437">
        <v>0.6</v>
      </c>
      <c r="AR1437">
        <v>-1.86</v>
      </c>
      <c r="AS1437">
        <v>0.1</v>
      </c>
      <c r="AT1437">
        <v>7.17</v>
      </c>
      <c r="AU1437">
        <v>10.73</v>
      </c>
      <c r="AV1437">
        <v>0</v>
      </c>
      <c r="AW1437">
        <v>2.27</v>
      </c>
      <c r="AX1437">
        <v>72.819999999999993</v>
      </c>
      <c r="AY1437">
        <v>65.03</v>
      </c>
      <c r="AZ1437">
        <v>65.66</v>
      </c>
      <c r="BA1437">
        <v>0.91</v>
      </c>
      <c r="BB1437" t="s">
        <v>143</v>
      </c>
      <c r="BF1437">
        <v>-0.25</v>
      </c>
      <c r="BG1437">
        <v>-1.0900000000000001</v>
      </c>
      <c r="BH1437">
        <v>-2.0499999999999998</v>
      </c>
      <c r="BI1437">
        <v>0.4</v>
      </c>
      <c r="BJ1437">
        <v>20210830</v>
      </c>
      <c r="BK1437">
        <v>20100211</v>
      </c>
      <c r="BL1437">
        <v>7.02</v>
      </c>
      <c r="BM1437" t="s">
        <v>120</v>
      </c>
      <c r="BN1437" t="s">
        <v>120</v>
      </c>
      <c r="BO1437">
        <v>38.57</v>
      </c>
      <c r="BP1437">
        <v>10.01</v>
      </c>
      <c r="BQ1437">
        <v>30.63</v>
      </c>
      <c r="BR1437">
        <v>0.01</v>
      </c>
      <c r="BS1437">
        <v>20.55</v>
      </c>
      <c r="BT1437">
        <v>17.41</v>
      </c>
      <c r="BU1437">
        <v>4.92</v>
      </c>
      <c r="BV1437">
        <v>3.85</v>
      </c>
      <c r="BW1437">
        <v>6.88</v>
      </c>
      <c r="BX1437">
        <v>2.69</v>
      </c>
      <c r="BY1437">
        <v>4.0199999999999996</v>
      </c>
      <c r="BZ1437">
        <v>6.94</v>
      </c>
      <c r="CA1437" t="s">
        <v>120</v>
      </c>
      <c r="CB1437">
        <v>20.329999999999998</v>
      </c>
      <c r="CC1437">
        <v>3.29</v>
      </c>
      <c r="CD1437">
        <v>2.06</v>
      </c>
      <c r="CE1437">
        <v>0.38</v>
      </c>
      <c r="CF1437">
        <v>0.01</v>
      </c>
      <c r="CG1437">
        <v>0.38</v>
      </c>
      <c r="CH1437">
        <v>0.32</v>
      </c>
      <c r="CI1437">
        <v>0.33</v>
      </c>
      <c r="CJ1437">
        <v>-0.1</v>
      </c>
      <c r="CK1437">
        <v>0.23</v>
      </c>
      <c r="CL1437">
        <v>3.27</v>
      </c>
      <c r="CM1437">
        <v>-1</v>
      </c>
      <c r="CN1437">
        <v>-1.55</v>
      </c>
      <c r="CO1437">
        <v>50519</v>
      </c>
      <c r="CP1437">
        <v>10121</v>
      </c>
      <c r="CQ1437" t="s">
        <v>4936</v>
      </c>
      <c r="CR1437">
        <v>3.33</v>
      </c>
      <c r="CS1437">
        <v>-3.7</v>
      </c>
      <c r="CT1437">
        <v>2.29</v>
      </c>
      <c r="CU1437">
        <v>-70.540000000000006</v>
      </c>
      <c r="CV1437">
        <v>21.39</v>
      </c>
      <c r="CW1437">
        <v>0</v>
      </c>
      <c r="CX1437" t="s">
        <v>2068</v>
      </c>
      <c r="CY1437">
        <v>4.3600000000000003</v>
      </c>
      <c r="CZ1437">
        <v>0</v>
      </c>
      <c r="DA1437">
        <v>2.9</v>
      </c>
      <c r="DB1437">
        <v>0.47</v>
      </c>
      <c r="DC1437">
        <v>-0.14000000000000001</v>
      </c>
      <c r="DD1437">
        <v>79.41</v>
      </c>
      <c r="DE1437" t="s">
        <v>4331</v>
      </c>
      <c r="DF1437">
        <v>37.17</v>
      </c>
      <c r="DG1437">
        <v>11.65</v>
      </c>
      <c r="DH1437">
        <v>9.9</v>
      </c>
      <c r="DI1437">
        <v>0.24</v>
      </c>
      <c r="DJ1437">
        <v>1072</v>
      </c>
      <c r="DK1437">
        <v>300053</v>
      </c>
      <c r="DL1437" t="s">
        <v>120</v>
      </c>
      <c r="DM1437" t="s">
        <v>120</v>
      </c>
      <c r="DN1437" t="s">
        <v>120</v>
      </c>
    </row>
    <row r="1438" spans="1:118">
      <c r="A1438" t="str">
        <f>"300054"</f>
        <v>300054</v>
      </c>
      <c r="B1438" t="s">
        <v>7588</v>
      </c>
      <c r="C1438">
        <v>-4.13</v>
      </c>
      <c r="D1438">
        <v>0.7</v>
      </c>
      <c r="E1438">
        <v>1.19</v>
      </c>
      <c r="F1438">
        <v>2765</v>
      </c>
      <c r="G1438" t="s">
        <v>7589</v>
      </c>
      <c r="H1438">
        <v>32792.69</v>
      </c>
      <c r="I1438">
        <v>172.43</v>
      </c>
      <c r="J1438" t="s">
        <v>120</v>
      </c>
      <c r="K1438" t="s">
        <v>7590</v>
      </c>
      <c r="L1438">
        <v>2.2400000000000002</v>
      </c>
      <c r="M1438">
        <v>20.22</v>
      </c>
      <c r="N1438">
        <v>0.9</v>
      </c>
      <c r="O1438">
        <v>1.23</v>
      </c>
      <c r="P1438">
        <v>21.35</v>
      </c>
      <c r="Q1438">
        <v>-4.88</v>
      </c>
      <c r="R1438">
        <v>20.059999999999999</v>
      </c>
      <c r="S1438">
        <v>21.34</v>
      </c>
      <c r="T1438">
        <v>160046</v>
      </c>
      <c r="U1438">
        <v>20.23</v>
      </c>
      <c r="V1438">
        <v>21.09</v>
      </c>
      <c r="W1438">
        <v>103.86</v>
      </c>
      <c r="X1438" t="s">
        <v>868</v>
      </c>
      <c r="Y1438" t="s">
        <v>763</v>
      </c>
      <c r="Z1438">
        <v>6.12</v>
      </c>
      <c r="AA1438">
        <v>20.49</v>
      </c>
      <c r="AB1438">
        <v>95815</v>
      </c>
      <c r="AC1438">
        <v>64231</v>
      </c>
      <c r="AD1438">
        <v>1.49</v>
      </c>
      <c r="AE1438">
        <v>5</v>
      </c>
      <c r="AF1438">
        <v>288</v>
      </c>
      <c r="AG1438" t="s">
        <v>120</v>
      </c>
      <c r="AH1438">
        <v>0.01</v>
      </c>
      <c r="AI1438" t="s">
        <v>120</v>
      </c>
      <c r="AJ1438">
        <v>7.16</v>
      </c>
      <c r="AK1438" t="s">
        <v>7591</v>
      </c>
      <c r="AL1438">
        <v>-2.21</v>
      </c>
      <c r="AM1438">
        <v>3090</v>
      </c>
      <c r="AN1438">
        <v>52</v>
      </c>
      <c r="AO1438">
        <v>6.9999999999999999E-4</v>
      </c>
      <c r="AP1438">
        <v>-4</v>
      </c>
      <c r="AQ1438">
        <v>-0.94</v>
      </c>
      <c r="AR1438">
        <v>-8.1300000000000008</v>
      </c>
      <c r="AS1438">
        <v>-5.96</v>
      </c>
      <c r="AT1438">
        <v>12.96</v>
      </c>
      <c r="AU1438">
        <v>7.1</v>
      </c>
      <c r="AV1438">
        <v>0</v>
      </c>
      <c r="AW1438">
        <v>2.48</v>
      </c>
      <c r="AX1438">
        <v>68.84</v>
      </c>
      <c r="AY1438" t="s">
        <v>120</v>
      </c>
      <c r="AZ1438" t="s">
        <v>120</v>
      </c>
      <c r="BA1438">
        <v>1.23</v>
      </c>
      <c r="BB1438" t="s">
        <v>143</v>
      </c>
      <c r="BF1438">
        <v>-2.85</v>
      </c>
      <c r="BG1438">
        <v>-5.25</v>
      </c>
      <c r="BH1438">
        <v>-5.29</v>
      </c>
      <c r="BI1438">
        <v>0.8</v>
      </c>
      <c r="BJ1438">
        <v>20210913</v>
      </c>
      <c r="BK1438">
        <v>20100211</v>
      </c>
      <c r="BL1438">
        <v>9.39</v>
      </c>
      <c r="BM1438" t="s">
        <v>120</v>
      </c>
      <c r="BN1438" t="s">
        <v>120</v>
      </c>
      <c r="BO1438">
        <v>46.9</v>
      </c>
      <c r="BP1438">
        <v>20.22</v>
      </c>
      <c r="BQ1438">
        <v>37.880000000000003</v>
      </c>
      <c r="BR1438">
        <v>1.92</v>
      </c>
      <c r="BS1438">
        <v>15.15</v>
      </c>
      <c r="BT1438">
        <v>25.12</v>
      </c>
      <c r="BU1438">
        <v>5.86</v>
      </c>
      <c r="BV1438">
        <v>3.59</v>
      </c>
      <c r="BW1438">
        <v>4.74</v>
      </c>
      <c r="BX1438">
        <v>8.6</v>
      </c>
      <c r="BY1438">
        <v>4.72</v>
      </c>
      <c r="BZ1438">
        <v>5.29</v>
      </c>
      <c r="CA1438" t="s">
        <v>120</v>
      </c>
      <c r="CB1438">
        <v>17.25</v>
      </c>
      <c r="CC1438">
        <v>10.96</v>
      </c>
      <c r="CD1438">
        <v>7.33</v>
      </c>
      <c r="CE1438">
        <v>1.49</v>
      </c>
      <c r="CF1438">
        <v>0.17</v>
      </c>
      <c r="CG1438">
        <v>1.48</v>
      </c>
      <c r="CH1438">
        <v>1.0900000000000001</v>
      </c>
      <c r="CI1438">
        <v>0.91</v>
      </c>
      <c r="CJ1438">
        <v>-0.87</v>
      </c>
      <c r="CK1438">
        <v>0.95</v>
      </c>
      <c r="CL1438">
        <v>9.51</v>
      </c>
      <c r="CM1438">
        <v>-0.56000000000000005</v>
      </c>
      <c r="CN1438">
        <v>-1.87</v>
      </c>
      <c r="CO1438">
        <v>32000</v>
      </c>
      <c r="CP1438">
        <v>20201</v>
      </c>
      <c r="CQ1438" t="s">
        <v>7592</v>
      </c>
      <c r="CR1438">
        <v>-54.1</v>
      </c>
      <c r="CS1438">
        <v>35.18</v>
      </c>
      <c r="CT1438">
        <v>5.01</v>
      </c>
      <c r="CU1438">
        <v>-340.58</v>
      </c>
      <c r="CV1438">
        <v>17.32</v>
      </c>
      <c r="CW1438">
        <v>0.14000000000000001</v>
      </c>
      <c r="CX1438" t="s">
        <v>411</v>
      </c>
      <c r="CY1438">
        <v>4.03</v>
      </c>
      <c r="CZ1438">
        <v>4.03</v>
      </c>
      <c r="DA1438">
        <v>1.84</v>
      </c>
      <c r="DB1438">
        <v>1.01</v>
      </c>
      <c r="DC1438">
        <v>-0.06</v>
      </c>
      <c r="DD1438">
        <v>80.75</v>
      </c>
      <c r="DE1438" t="s">
        <v>3085</v>
      </c>
      <c r="DF1438">
        <v>33.159999999999997</v>
      </c>
      <c r="DG1438">
        <v>13.58</v>
      </c>
      <c r="DH1438">
        <v>8.34</v>
      </c>
      <c r="DI1438">
        <v>1.1399999999999999</v>
      </c>
      <c r="DJ1438">
        <v>3010</v>
      </c>
      <c r="DK1438">
        <v>300054</v>
      </c>
      <c r="DL1438" t="s">
        <v>120</v>
      </c>
      <c r="DM1438" t="s">
        <v>120</v>
      </c>
      <c r="DN1438" t="s">
        <v>120</v>
      </c>
    </row>
    <row r="1439" spans="1:118">
      <c r="A1439" t="str">
        <f>"300055"</f>
        <v>300055</v>
      </c>
      <c r="B1439" t="s">
        <v>7593</v>
      </c>
      <c r="C1439">
        <v>-1.97</v>
      </c>
      <c r="D1439">
        <v>-0.1</v>
      </c>
      <c r="E1439">
        <v>2.33</v>
      </c>
      <c r="F1439">
        <v>5393</v>
      </c>
      <c r="G1439" t="s">
        <v>7594</v>
      </c>
      <c r="H1439">
        <v>74240.479999999996</v>
      </c>
      <c r="I1439">
        <v>474.92</v>
      </c>
      <c r="J1439" t="s">
        <v>120</v>
      </c>
      <c r="K1439" t="s">
        <v>7595</v>
      </c>
      <c r="L1439">
        <v>4.41</v>
      </c>
      <c r="M1439">
        <v>18.95</v>
      </c>
      <c r="N1439">
        <v>0.79</v>
      </c>
      <c r="O1439">
        <v>4.45</v>
      </c>
      <c r="P1439">
        <v>20.190000000000001</v>
      </c>
      <c r="Q1439">
        <v>-2.33</v>
      </c>
      <c r="R1439">
        <v>18.88</v>
      </c>
      <c r="S1439">
        <v>19.78</v>
      </c>
      <c r="T1439">
        <v>380784</v>
      </c>
      <c r="U1439">
        <v>18.95</v>
      </c>
      <c r="V1439">
        <v>19.329999999999998</v>
      </c>
      <c r="W1439">
        <v>49.88</v>
      </c>
      <c r="X1439" t="s">
        <v>318</v>
      </c>
      <c r="Y1439" t="s">
        <v>158</v>
      </c>
      <c r="Z1439">
        <v>6.78</v>
      </c>
      <c r="AA1439">
        <v>19.5</v>
      </c>
      <c r="AB1439">
        <v>215995</v>
      </c>
      <c r="AC1439">
        <v>164789</v>
      </c>
      <c r="AD1439">
        <v>1.31</v>
      </c>
      <c r="AE1439">
        <v>38</v>
      </c>
      <c r="AF1439">
        <v>69</v>
      </c>
      <c r="AG1439" t="s">
        <v>120</v>
      </c>
      <c r="AH1439">
        <v>0.04</v>
      </c>
      <c r="AI1439" t="s">
        <v>120</v>
      </c>
      <c r="AJ1439">
        <v>8.6300000000000008</v>
      </c>
      <c r="AK1439" t="s">
        <v>7596</v>
      </c>
      <c r="AL1439">
        <v>-0.05</v>
      </c>
      <c r="AM1439">
        <v>4259</v>
      </c>
      <c r="AN1439">
        <v>89</v>
      </c>
      <c r="AO1439">
        <v>1E-3</v>
      </c>
      <c r="AP1439">
        <v>-2</v>
      </c>
      <c r="AQ1439">
        <v>-0.87</v>
      </c>
      <c r="AR1439">
        <v>3.32</v>
      </c>
      <c r="AS1439">
        <v>57.91</v>
      </c>
      <c r="AT1439">
        <v>103.66</v>
      </c>
      <c r="AU1439">
        <v>214</v>
      </c>
      <c r="AV1439">
        <v>1</v>
      </c>
      <c r="AW1439">
        <v>6.09</v>
      </c>
      <c r="AX1439">
        <v>72.260000000000005</v>
      </c>
      <c r="AY1439" t="s">
        <v>120</v>
      </c>
      <c r="AZ1439" t="s">
        <v>120</v>
      </c>
      <c r="BA1439">
        <v>0.69</v>
      </c>
      <c r="BB1439" t="s">
        <v>143</v>
      </c>
      <c r="BF1439">
        <v>0.86</v>
      </c>
      <c r="BG1439">
        <v>-4.2</v>
      </c>
      <c r="BH1439">
        <v>-6.14</v>
      </c>
      <c r="BI1439">
        <v>0.37</v>
      </c>
      <c r="BJ1439">
        <v>20210821</v>
      </c>
      <c r="BK1439">
        <v>20100226</v>
      </c>
      <c r="BL1439">
        <v>8.65</v>
      </c>
      <c r="BM1439" t="s">
        <v>120</v>
      </c>
      <c r="BN1439" t="s">
        <v>120</v>
      </c>
      <c r="BO1439">
        <v>71.48</v>
      </c>
      <c r="BP1439">
        <v>18.940000000000001</v>
      </c>
      <c r="BQ1439">
        <v>50.67</v>
      </c>
      <c r="BR1439">
        <v>4.0199999999999996</v>
      </c>
      <c r="BS1439">
        <v>23.49</v>
      </c>
      <c r="BT1439">
        <v>39.130000000000003</v>
      </c>
      <c r="BU1439">
        <v>21.32</v>
      </c>
      <c r="BV1439">
        <v>3.48</v>
      </c>
      <c r="BW1439">
        <v>11.1</v>
      </c>
      <c r="BX1439">
        <v>10.06</v>
      </c>
      <c r="BY1439">
        <v>2.0499999999999998</v>
      </c>
      <c r="BZ1439">
        <v>6.89</v>
      </c>
      <c r="CA1439" t="s">
        <v>120</v>
      </c>
      <c r="CB1439">
        <v>36.15</v>
      </c>
      <c r="CC1439">
        <v>7.88</v>
      </c>
      <c r="CD1439">
        <v>6.17</v>
      </c>
      <c r="CE1439">
        <v>2.0099999999999998</v>
      </c>
      <c r="CF1439">
        <v>0.9</v>
      </c>
      <c r="CG1439">
        <v>2.0099999999999998</v>
      </c>
      <c r="CH1439">
        <v>1.92</v>
      </c>
      <c r="CI1439">
        <v>1.64</v>
      </c>
      <c r="CJ1439">
        <v>-0.38</v>
      </c>
      <c r="CK1439">
        <v>0.62</v>
      </c>
      <c r="CL1439">
        <v>9.4499999999999993</v>
      </c>
      <c r="CM1439">
        <v>0.31</v>
      </c>
      <c r="CN1439">
        <v>1.75</v>
      </c>
      <c r="CO1439">
        <v>38898</v>
      </c>
      <c r="CP1439">
        <v>16072</v>
      </c>
      <c r="CQ1439" t="s">
        <v>7597</v>
      </c>
      <c r="CR1439">
        <v>145.06</v>
      </c>
      <c r="CS1439">
        <v>191.24</v>
      </c>
      <c r="CT1439">
        <v>3.24</v>
      </c>
      <c r="CU1439">
        <v>537.17999999999995</v>
      </c>
      <c r="CV1439">
        <v>20.81</v>
      </c>
      <c r="CW1439">
        <v>7.0000000000000007E-2</v>
      </c>
      <c r="CX1439" t="s">
        <v>442</v>
      </c>
      <c r="CY1439">
        <v>5.86</v>
      </c>
      <c r="CZ1439">
        <v>0</v>
      </c>
      <c r="DA1439">
        <v>4.18</v>
      </c>
      <c r="DB1439">
        <v>1.0900000000000001</v>
      </c>
      <c r="DC1439">
        <v>0.04</v>
      </c>
      <c r="DD1439">
        <v>70.89</v>
      </c>
      <c r="DE1439" t="s">
        <v>5870</v>
      </c>
      <c r="DF1439">
        <v>21.63</v>
      </c>
      <c r="DG1439">
        <v>25.51</v>
      </c>
      <c r="DH1439">
        <v>20.86</v>
      </c>
      <c r="DI1439">
        <v>0.25</v>
      </c>
      <c r="DJ1439">
        <v>1153</v>
      </c>
      <c r="DK1439">
        <v>300055</v>
      </c>
      <c r="DL1439">
        <v>20210905</v>
      </c>
      <c r="DM1439">
        <v>14</v>
      </c>
      <c r="DN1439">
        <v>35.36</v>
      </c>
    </row>
    <row r="1440" spans="1:118">
      <c r="A1440" t="str">
        <f>"300056"</f>
        <v>300056</v>
      </c>
      <c r="B1440" t="s">
        <v>7598</v>
      </c>
      <c r="C1440">
        <v>-2.42</v>
      </c>
      <c r="D1440">
        <v>-0.15</v>
      </c>
      <c r="E1440">
        <v>0.97</v>
      </c>
      <c r="F1440">
        <v>566</v>
      </c>
      <c r="G1440" t="s">
        <v>7599</v>
      </c>
      <c r="H1440">
        <v>3009.47</v>
      </c>
      <c r="I1440">
        <v>14.73</v>
      </c>
      <c r="J1440" t="s">
        <v>120</v>
      </c>
      <c r="K1440" t="s">
        <v>7551</v>
      </c>
      <c r="L1440">
        <v>1.27</v>
      </c>
      <c r="M1440">
        <v>6.06</v>
      </c>
      <c r="N1440">
        <v>0.84</v>
      </c>
      <c r="O1440">
        <v>0.97</v>
      </c>
      <c r="P1440">
        <v>6.27</v>
      </c>
      <c r="Q1440">
        <v>-2.42</v>
      </c>
      <c r="R1440">
        <v>6.06</v>
      </c>
      <c r="S1440">
        <v>6.27</v>
      </c>
      <c r="T1440">
        <v>48926</v>
      </c>
      <c r="U1440">
        <v>6.07</v>
      </c>
      <c r="V1440">
        <v>6.21</v>
      </c>
      <c r="W1440" t="s">
        <v>120</v>
      </c>
      <c r="X1440" t="s">
        <v>318</v>
      </c>
      <c r="Y1440" t="s">
        <v>937</v>
      </c>
      <c r="Z1440">
        <v>3.38</v>
      </c>
      <c r="AA1440">
        <v>6.15</v>
      </c>
      <c r="AB1440">
        <v>30284</v>
      </c>
      <c r="AC1440">
        <v>18642</v>
      </c>
      <c r="AD1440">
        <v>1.62</v>
      </c>
      <c r="AE1440">
        <v>1612</v>
      </c>
      <c r="AF1440">
        <v>4</v>
      </c>
      <c r="AG1440" t="s">
        <v>120</v>
      </c>
      <c r="AH1440">
        <v>0.01</v>
      </c>
      <c r="AI1440" t="s">
        <v>120</v>
      </c>
      <c r="AJ1440">
        <v>3.85</v>
      </c>
      <c r="AK1440" t="s">
        <v>7551</v>
      </c>
      <c r="AL1440">
        <v>-0.5</v>
      </c>
      <c r="AM1440">
        <v>1228</v>
      </c>
      <c r="AN1440">
        <v>40</v>
      </c>
      <c r="AO1440">
        <v>1E-3</v>
      </c>
      <c r="AP1440">
        <v>-1</v>
      </c>
      <c r="AQ1440">
        <v>1.97</v>
      </c>
      <c r="AR1440">
        <v>-2.88</v>
      </c>
      <c r="AS1440">
        <v>-14.89</v>
      </c>
      <c r="AT1440">
        <v>-12.55</v>
      </c>
      <c r="AU1440">
        <v>1</v>
      </c>
      <c r="AV1440">
        <v>1</v>
      </c>
      <c r="AW1440">
        <v>2.4500000000000002</v>
      </c>
      <c r="AX1440">
        <v>51.77</v>
      </c>
      <c r="AY1440" t="s">
        <v>120</v>
      </c>
      <c r="AZ1440">
        <v>114.34</v>
      </c>
      <c r="BA1440">
        <v>0.33</v>
      </c>
      <c r="BB1440" t="s">
        <v>7600</v>
      </c>
      <c r="BF1440">
        <v>-0.95</v>
      </c>
      <c r="BG1440">
        <v>-3.35</v>
      </c>
      <c r="BH1440">
        <v>-3.35</v>
      </c>
      <c r="BI1440">
        <v>0</v>
      </c>
      <c r="BJ1440">
        <v>20210830</v>
      </c>
      <c r="BK1440">
        <v>20100226</v>
      </c>
      <c r="BL1440">
        <v>3.85</v>
      </c>
      <c r="BM1440" t="s">
        <v>120</v>
      </c>
      <c r="BN1440" t="s">
        <v>120</v>
      </c>
      <c r="BO1440">
        <v>15.51</v>
      </c>
      <c r="BP1440">
        <v>6.06</v>
      </c>
      <c r="BQ1440">
        <v>9.24</v>
      </c>
      <c r="BR1440">
        <v>1.35</v>
      </c>
      <c r="BS1440">
        <v>31.67</v>
      </c>
      <c r="BT1440">
        <v>9.09</v>
      </c>
      <c r="BU1440">
        <v>2.09</v>
      </c>
      <c r="BV1440">
        <v>0.26</v>
      </c>
      <c r="BW1440">
        <v>4.09</v>
      </c>
      <c r="BX1440">
        <v>1.37</v>
      </c>
      <c r="BY1440">
        <v>3.82</v>
      </c>
      <c r="BZ1440">
        <v>2.2999999999999998</v>
      </c>
      <c r="CA1440">
        <v>0</v>
      </c>
      <c r="CB1440">
        <v>8.85</v>
      </c>
      <c r="CC1440">
        <v>5.48</v>
      </c>
      <c r="CD1440">
        <v>4.5599999999999996</v>
      </c>
      <c r="CE1440">
        <v>0.1</v>
      </c>
      <c r="CF1440">
        <v>-0.03</v>
      </c>
      <c r="CG1440">
        <v>0</v>
      </c>
      <c r="CH1440">
        <v>-0.05</v>
      </c>
      <c r="CI1440">
        <v>-0.19</v>
      </c>
      <c r="CJ1440">
        <v>-0.15</v>
      </c>
      <c r="CK1440">
        <v>-0.11</v>
      </c>
      <c r="CL1440">
        <v>-3.7</v>
      </c>
      <c r="CM1440">
        <v>-0.72</v>
      </c>
      <c r="CN1440">
        <v>-1.1499999999999999</v>
      </c>
      <c r="CO1440">
        <v>21109</v>
      </c>
      <c r="CP1440">
        <v>9455</v>
      </c>
      <c r="CQ1440" t="s">
        <v>1461</v>
      </c>
      <c r="CR1440">
        <v>-568.45000000000005</v>
      </c>
      <c r="CS1440">
        <v>-21.87</v>
      </c>
      <c r="CT1440">
        <v>2.5299999999999998</v>
      </c>
      <c r="CU1440">
        <v>-32.630000000000003</v>
      </c>
      <c r="CV1440">
        <v>4.26</v>
      </c>
      <c r="CW1440">
        <v>0</v>
      </c>
      <c r="CX1440" t="s">
        <v>161</v>
      </c>
      <c r="CY1440">
        <v>2.4</v>
      </c>
      <c r="CZ1440">
        <v>0</v>
      </c>
      <c r="DA1440">
        <v>2.2999999999999998</v>
      </c>
      <c r="DB1440">
        <v>-0.96</v>
      </c>
      <c r="DC1440">
        <v>-0.19</v>
      </c>
      <c r="DD1440">
        <v>59.62</v>
      </c>
      <c r="DE1440" t="s">
        <v>7601</v>
      </c>
      <c r="DF1440">
        <v>16.87</v>
      </c>
      <c r="DG1440">
        <v>1.78</v>
      </c>
      <c r="DH1440">
        <v>-3.42</v>
      </c>
      <c r="DI1440">
        <v>0.13</v>
      </c>
      <c r="DJ1440">
        <v>1485</v>
      </c>
      <c r="DK1440">
        <v>300056</v>
      </c>
      <c r="DL1440" t="s">
        <v>120</v>
      </c>
      <c r="DM1440" t="s">
        <v>120</v>
      </c>
      <c r="DN1440" t="s">
        <v>120</v>
      </c>
    </row>
    <row r="1441" spans="1:118">
      <c r="A1441" t="str">
        <f>"300057"</f>
        <v>300057</v>
      </c>
      <c r="B1441" t="s">
        <v>7602</v>
      </c>
      <c r="C1441">
        <v>-3.23</v>
      </c>
      <c r="D1441">
        <v>-0.11</v>
      </c>
      <c r="E1441">
        <v>1.5</v>
      </c>
      <c r="F1441">
        <v>1359</v>
      </c>
      <c r="G1441" t="s">
        <v>1854</v>
      </c>
      <c r="H1441">
        <v>20892.240000000002</v>
      </c>
      <c r="I1441">
        <v>121.75</v>
      </c>
      <c r="J1441" t="s">
        <v>120</v>
      </c>
      <c r="K1441" t="s">
        <v>3373</v>
      </c>
      <c r="L1441">
        <v>4.88</v>
      </c>
      <c r="M1441">
        <v>8.4</v>
      </c>
      <c r="N1441">
        <v>1.05</v>
      </c>
      <c r="O1441">
        <v>3</v>
      </c>
      <c r="P1441">
        <v>8.94</v>
      </c>
      <c r="Q1441">
        <v>-3.23</v>
      </c>
      <c r="R1441">
        <v>8.4</v>
      </c>
      <c r="S1441">
        <v>8.81</v>
      </c>
      <c r="T1441">
        <v>242321</v>
      </c>
      <c r="U1441">
        <v>8.41</v>
      </c>
      <c r="V1441">
        <v>8.68</v>
      </c>
      <c r="W1441">
        <v>155.61000000000001</v>
      </c>
      <c r="X1441" t="s">
        <v>339</v>
      </c>
      <c r="Y1441" t="s">
        <v>547</v>
      </c>
      <c r="Z1441">
        <v>6.22</v>
      </c>
      <c r="AA1441">
        <v>8.6199999999999992</v>
      </c>
      <c r="AB1441">
        <v>147195</v>
      </c>
      <c r="AC1441">
        <v>95126</v>
      </c>
      <c r="AD1441">
        <v>1.55</v>
      </c>
      <c r="AE1441">
        <v>1681</v>
      </c>
      <c r="AF1441">
        <v>435</v>
      </c>
      <c r="AG1441" t="s">
        <v>120</v>
      </c>
      <c r="AH1441">
        <v>0.03</v>
      </c>
      <c r="AI1441" t="s">
        <v>120</v>
      </c>
      <c r="AJ1441">
        <v>4.97</v>
      </c>
      <c r="AK1441" t="s">
        <v>4320</v>
      </c>
      <c r="AL1441">
        <v>-1.31</v>
      </c>
      <c r="AM1441">
        <v>3200</v>
      </c>
      <c r="AN1441">
        <v>76</v>
      </c>
      <c r="AO1441">
        <v>1.5E-3</v>
      </c>
      <c r="AP1441">
        <v>-1</v>
      </c>
      <c r="AQ1441">
        <v>5.98</v>
      </c>
      <c r="AR1441">
        <v>2.68</v>
      </c>
      <c r="AS1441">
        <v>-5.83</v>
      </c>
      <c r="AT1441">
        <v>41.17</v>
      </c>
      <c r="AU1441">
        <v>66.66</v>
      </c>
      <c r="AV1441">
        <v>1</v>
      </c>
      <c r="AW1441">
        <v>5.81</v>
      </c>
      <c r="AX1441">
        <v>61.86</v>
      </c>
      <c r="AY1441">
        <v>97.11</v>
      </c>
      <c r="AZ1441">
        <v>75.95</v>
      </c>
      <c r="BA1441">
        <v>0.84</v>
      </c>
      <c r="BB1441" t="s">
        <v>751</v>
      </c>
      <c r="BF1441">
        <v>-0.67</v>
      </c>
      <c r="BG1441">
        <v>-4.6500000000000004</v>
      </c>
      <c r="BH1441">
        <v>-6.04</v>
      </c>
      <c r="BI1441">
        <v>0</v>
      </c>
      <c r="BJ1441">
        <v>20210913</v>
      </c>
      <c r="BK1441">
        <v>20100226</v>
      </c>
      <c r="BL1441">
        <v>6.75</v>
      </c>
      <c r="BM1441" t="s">
        <v>120</v>
      </c>
      <c r="BN1441" t="s">
        <v>120</v>
      </c>
      <c r="BO1441">
        <v>80.14</v>
      </c>
      <c r="BP1441">
        <v>8.4</v>
      </c>
      <c r="BQ1441">
        <v>35.590000000000003</v>
      </c>
      <c r="BR1441">
        <v>-0.02</v>
      </c>
      <c r="BS1441">
        <v>55.62</v>
      </c>
      <c r="BT1441">
        <v>44</v>
      </c>
      <c r="BU1441">
        <v>16.95</v>
      </c>
      <c r="BV1441">
        <v>2.36</v>
      </c>
      <c r="BW1441">
        <v>31.24</v>
      </c>
      <c r="BX1441">
        <v>13.79</v>
      </c>
      <c r="BY1441">
        <v>7.15</v>
      </c>
      <c r="BZ1441">
        <v>13.97</v>
      </c>
      <c r="CA1441" t="s">
        <v>120</v>
      </c>
      <c r="CB1441">
        <v>20.6</v>
      </c>
      <c r="CC1441">
        <v>28.62</v>
      </c>
      <c r="CD1441">
        <v>26.38</v>
      </c>
      <c r="CE1441">
        <v>0.26</v>
      </c>
      <c r="CF1441">
        <v>-0.01</v>
      </c>
      <c r="CG1441">
        <v>0.28999999999999998</v>
      </c>
      <c r="CH1441">
        <v>0.17</v>
      </c>
      <c r="CI1441">
        <v>0.18</v>
      </c>
      <c r="CJ1441">
        <v>-0.28000000000000003</v>
      </c>
      <c r="CK1441">
        <v>0.14000000000000001</v>
      </c>
      <c r="CL1441">
        <v>8.6</v>
      </c>
      <c r="CM1441">
        <v>-0.42</v>
      </c>
      <c r="CN1441">
        <v>-4.93</v>
      </c>
      <c r="CO1441">
        <v>25650</v>
      </c>
      <c r="CP1441">
        <v>16271</v>
      </c>
      <c r="CQ1441" t="s">
        <v>7603</v>
      </c>
      <c r="CR1441">
        <v>-47.99</v>
      </c>
      <c r="CS1441">
        <v>27.19</v>
      </c>
      <c r="CT1441">
        <v>1.59</v>
      </c>
      <c r="CU1441">
        <v>-133.74</v>
      </c>
      <c r="CV1441">
        <v>1.98</v>
      </c>
      <c r="CW1441">
        <v>0.45</v>
      </c>
      <c r="CX1441" t="s">
        <v>2074</v>
      </c>
      <c r="CY1441">
        <v>5.28</v>
      </c>
      <c r="CZ1441">
        <v>5.28</v>
      </c>
      <c r="DA1441">
        <v>3.05</v>
      </c>
      <c r="DB1441">
        <v>1.28</v>
      </c>
      <c r="DC1441">
        <v>-0.06</v>
      </c>
      <c r="DD1441">
        <v>44.41</v>
      </c>
      <c r="DE1441" t="s">
        <v>7604</v>
      </c>
      <c r="DF1441">
        <v>7.81</v>
      </c>
      <c r="DG1441">
        <v>0.91</v>
      </c>
      <c r="DH1441">
        <v>0.64</v>
      </c>
      <c r="DI1441">
        <v>0.61</v>
      </c>
      <c r="DJ1441">
        <v>1584</v>
      </c>
      <c r="DK1441">
        <v>300057</v>
      </c>
      <c r="DL1441" t="s">
        <v>120</v>
      </c>
      <c r="DM1441" t="s">
        <v>120</v>
      </c>
      <c r="DN1441" t="s">
        <v>120</v>
      </c>
    </row>
    <row r="1442" spans="1:118">
      <c r="A1442" t="str">
        <f>"300058"</f>
        <v>300058</v>
      </c>
      <c r="B1442" t="s">
        <v>7605</v>
      </c>
      <c r="C1442">
        <v>-1.45</v>
      </c>
      <c r="D1442">
        <v>-0.32</v>
      </c>
      <c r="E1442">
        <v>1.62</v>
      </c>
      <c r="F1442">
        <v>9836</v>
      </c>
      <c r="G1442" t="s">
        <v>7606</v>
      </c>
      <c r="H1442">
        <v>24939.87</v>
      </c>
      <c r="I1442">
        <v>285.94</v>
      </c>
      <c r="J1442" t="s">
        <v>120</v>
      </c>
      <c r="K1442" t="s">
        <v>7607</v>
      </c>
      <c r="L1442">
        <v>1.68</v>
      </c>
      <c r="M1442">
        <v>6.1</v>
      </c>
      <c r="N1442">
        <v>1.01</v>
      </c>
      <c r="O1442">
        <v>2.42</v>
      </c>
      <c r="P1442">
        <v>6.34</v>
      </c>
      <c r="Q1442">
        <v>-1.45</v>
      </c>
      <c r="R1442">
        <v>6.1</v>
      </c>
      <c r="S1442">
        <v>6.29</v>
      </c>
      <c r="T1442">
        <v>400423</v>
      </c>
      <c r="U1442">
        <v>6.12</v>
      </c>
      <c r="V1442">
        <v>6.19</v>
      </c>
      <c r="W1442">
        <v>13.19</v>
      </c>
      <c r="X1442" t="s">
        <v>339</v>
      </c>
      <c r="Y1442" t="s">
        <v>158</v>
      </c>
      <c r="Z1442">
        <v>3.88</v>
      </c>
      <c r="AA1442">
        <v>6.23</v>
      </c>
      <c r="AB1442">
        <v>199816</v>
      </c>
      <c r="AC1442">
        <v>200607</v>
      </c>
      <c r="AD1442">
        <v>1</v>
      </c>
      <c r="AE1442">
        <v>2840</v>
      </c>
      <c r="AF1442">
        <v>178</v>
      </c>
      <c r="AG1442" t="s">
        <v>120</v>
      </c>
      <c r="AH1442">
        <v>0.02</v>
      </c>
      <c r="AI1442" t="s">
        <v>120</v>
      </c>
      <c r="AJ1442">
        <v>23.81</v>
      </c>
      <c r="AK1442" t="s">
        <v>7608</v>
      </c>
      <c r="AL1442">
        <v>0.46</v>
      </c>
      <c r="AM1442">
        <v>3853</v>
      </c>
      <c r="AN1442">
        <v>104</v>
      </c>
      <c r="AO1442">
        <v>4.0000000000000002E-4</v>
      </c>
      <c r="AP1442">
        <v>-3</v>
      </c>
      <c r="AQ1442">
        <v>-0.16</v>
      </c>
      <c r="AR1442">
        <v>-3.18</v>
      </c>
      <c r="AS1442">
        <v>10.3</v>
      </c>
      <c r="AT1442">
        <v>-1.3</v>
      </c>
      <c r="AU1442">
        <v>2.7</v>
      </c>
      <c r="AV1442">
        <v>0</v>
      </c>
      <c r="AW1442">
        <v>1.89</v>
      </c>
      <c r="AX1442">
        <v>85.13</v>
      </c>
      <c r="AY1442">
        <v>15.84</v>
      </c>
      <c r="AZ1442">
        <v>21.29</v>
      </c>
      <c r="BA1442">
        <v>0.44</v>
      </c>
      <c r="BB1442" t="s">
        <v>143</v>
      </c>
      <c r="BF1442">
        <v>0.62</v>
      </c>
      <c r="BG1442">
        <v>-3.02</v>
      </c>
      <c r="BH1442">
        <v>-3.79</v>
      </c>
      <c r="BI1442">
        <v>0</v>
      </c>
      <c r="BJ1442">
        <v>20210824</v>
      </c>
      <c r="BK1442">
        <v>20100226</v>
      </c>
      <c r="BL1442">
        <v>24.91</v>
      </c>
      <c r="BM1442" t="s">
        <v>120</v>
      </c>
      <c r="BN1442" t="s">
        <v>120</v>
      </c>
      <c r="BO1442">
        <v>222.7</v>
      </c>
      <c r="BP1442">
        <v>6.1</v>
      </c>
      <c r="BQ1442">
        <v>93.97</v>
      </c>
      <c r="BR1442">
        <v>0.02</v>
      </c>
      <c r="BS1442">
        <v>57.8</v>
      </c>
      <c r="BT1442">
        <v>137.06</v>
      </c>
      <c r="BU1442">
        <v>1.1599999999999999</v>
      </c>
      <c r="BV1442">
        <v>12.43</v>
      </c>
      <c r="BW1442">
        <v>117.93</v>
      </c>
      <c r="BX1442">
        <v>22.21</v>
      </c>
      <c r="BY1442">
        <v>0</v>
      </c>
      <c r="BZ1442">
        <v>96.6</v>
      </c>
      <c r="CA1442" t="s">
        <v>120</v>
      </c>
      <c r="CB1442">
        <v>34.56</v>
      </c>
      <c r="CC1442">
        <v>221.13</v>
      </c>
      <c r="CD1442">
        <v>206.74</v>
      </c>
      <c r="CE1442">
        <v>6.78</v>
      </c>
      <c r="CF1442">
        <v>2.68</v>
      </c>
      <c r="CG1442">
        <v>6.8</v>
      </c>
      <c r="CH1442">
        <v>5.73</v>
      </c>
      <c r="CI1442">
        <v>5.76</v>
      </c>
      <c r="CJ1442">
        <v>-0.09</v>
      </c>
      <c r="CK1442">
        <v>4.32</v>
      </c>
      <c r="CL1442">
        <v>35.69</v>
      </c>
      <c r="CM1442">
        <v>1.1299999999999999</v>
      </c>
      <c r="CN1442">
        <v>-1.79</v>
      </c>
      <c r="CO1442">
        <v>98054</v>
      </c>
      <c r="CP1442">
        <v>21627</v>
      </c>
      <c r="CQ1442" t="s">
        <v>7609</v>
      </c>
      <c r="CR1442">
        <v>76.41</v>
      </c>
      <c r="CS1442">
        <v>27.27</v>
      </c>
      <c r="CT1442">
        <v>1.62</v>
      </c>
      <c r="CU1442">
        <v>134.51</v>
      </c>
      <c r="CV1442">
        <v>0.69</v>
      </c>
      <c r="CW1442">
        <v>0.97</v>
      </c>
      <c r="CX1442" t="s">
        <v>694</v>
      </c>
      <c r="CY1442">
        <v>3.77</v>
      </c>
      <c r="CZ1442">
        <v>0</v>
      </c>
      <c r="DA1442">
        <v>1.39</v>
      </c>
      <c r="DB1442">
        <v>1.43</v>
      </c>
      <c r="DC1442">
        <v>0.05</v>
      </c>
      <c r="DD1442">
        <v>42.19</v>
      </c>
      <c r="DE1442" t="s">
        <v>3432</v>
      </c>
      <c r="DF1442">
        <v>6.51</v>
      </c>
      <c r="DG1442">
        <v>3.07</v>
      </c>
      <c r="DH1442">
        <v>2.61</v>
      </c>
      <c r="DI1442">
        <v>0.2</v>
      </c>
      <c r="DJ1442">
        <v>5058</v>
      </c>
      <c r="DK1442">
        <v>300058</v>
      </c>
      <c r="DL1442" t="s">
        <v>120</v>
      </c>
      <c r="DM1442" t="s">
        <v>120</v>
      </c>
      <c r="DN1442" t="s">
        <v>120</v>
      </c>
    </row>
    <row r="1443" spans="1:118">
      <c r="A1443" t="str">
        <f>"300059"</f>
        <v>300059</v>
      </c>
      <c r="B1443" t="s">
        <v>7610</v>
      </c>
      <c r="C1443">
        <v>-3.48</v>
      </c>
      <c r="D1443">
        <v>0.71</v>
      </c>
      <c r="E1443">
        <v>0.42</v>
      </c>
      <c r="F1443">
        <v>41423</v>
      </c>
      <c r="G1443" t="s">
        <v>7611</v>
      </c>
      <c r="H1443">
        <v>753906</v>
      </c>
      <c r="I1443">
        <v>2785.38</v>
      </c>
      <c r="J1443" t="s">
        <v>120</v>
      </c>
      <c r="K1443" t="s">
        <v>7612</v>
      </c>
      <c r="L1443">
        <v>2.57</v>
      </c>
      <c r="M1443">
        <v>34.08</v>
      </c>
      <c r="N1443">
        <v>0.96</v>
      </c>
      <c r="O1443">
        <v>0.56999999999999995</v>
      </c>
      <c r="P1443">
        <v>35.51</v>
      </c>
      <c r="Q1443">
        <v>-4.9800000000000004</v>
      </c>
      <c r="R1443">
        <v>33.549999999999997</v>
      </c>
      <c r="S1443">
        <v>35.46</v>
      </c>
      <c r="T1443">
        <v>2195665</v>
      </c>
      <c r="U1443">
        <v>34.08</v>
      </c>
      <c r="V1443">
        <v>35.31</v>
      </c>
      <c r="W1443">
        <v>47.26</v>
      </c>
      <c r="X1443" t="s">
        <v>616</v>
      </c>
      <c r="Y1443" t="s">
        <v>1510</v>
      </c>
      <c r="Z1443">
        <v>5.55</v>
      </c>
      <c r="AA1443">
        <v>34.340000000000003</v>
      </c>
      <c r="AB1443">
        <v>1103864</v>
      </c>
      <c r="AC1443">
        <v>1091801</v>
      </c>
      <c r="AD1443">
        <v>1.01</v>
      </c>
      <c r="AE1443">
        <v>13</v>
      </c>
      <c r="AF1443">
        <v>106</v>
      </c>
      <c r="AG1443" t="s">
        <v>120</v>
      </c>
      <c r="AH1443">
        <v>0.01</v>
      </c>
      <c r="AI1443" t="s">
        <v>120</v>
      </c>
      <c r="AJ1443">
        <v>85.34</v>
      </c>
      <c r="AK1443" t="s">
        <v>7613</v>
      </c>
      <c r="AL1443">
        <v>-1.57</v>
      </c>
      <c r="AM1443">
        <v>4766</v>
      </c>
      <c r="AN1443">
        <v>461</v>
      </c>
      <c r="AO1443">
        <v>5.0000000000000001E-4</v>
      </c>
      <c r="AP1443">
        <v>-3</v>
      </c>
      <c r="AQ1443">
        <v>-0.25</v>
      </c>
      <c r="AR1443">
        <v>-5.75</v>
      </c>
      <c r="AS1443">
        <v>6.24</v>
      </c>
      <c r="AT1443">
        <v>11.74</v>
      </c>
      <c r="AU1443">
        <v>32.18</v>
      </c>
      <c r="AV1443">
        <v>0</v>
      </c>
      <c r="AW1443">
        <v>2.88</v>
      </c>
      <c r="AX1443">
        <v>73.680000000000007</v>
      </c>
      <c r="AY1443">
        <v>54.5</v>
      </c>
      <c r="AZ1443">
        <v>76.38</v>
      </c>
      <c r="BA1443">
        <v>1.78</v>
      </c>
      <c r="BB1443" t="s">
        <v>143</v>
      </c>
      <c r="BF1443">
        <v>-2.76</v>
      </c>
      <c r="BG1443">
        <v>-3.89</v>
      </c>
      <c r="BH1443">
        <v>-4.03</v>
      </c>
      <c r="BI1443">
        <v>1.58</v>
      </c>
      <c r="BJ1443">
        <v>20210803</v>
      </c>
      <c r="BK1443">
        <v>20100319</v>
      </c>
      <c r="BL1443">
        <v>103.36</v>
      </c>
      <c r="BM1443" t="s">
        <v>120</v>
      </c>
      <c r="BN1443" t="s">
        <v>120</v>
      </c>
      <c r="BO1443">
        <v>1600.63</v>
      </c>
      <c r="BP1443">
        <v>34.020000000000003</v>
      </c>
      <c r="BQ1443">
        <v>384.51</v>
      </c>
      <c r="BR1443" t="s">
        <v>120</v>
      </c>
      <c r="BS1443">
        <v>75.98</v>
      </c>
      <c r="BT1443">
        <v>1462.38</v>
      </c>
      <c r="BU1443">
        <v>17.350000000000001</v>
      </c>
      <c r="BV1443">
        <v>1.65</v>
      </c>
      <c r="BW1443">
        <v>1043.1600000000001</v>
      </c>
      <c r="BX1443">
        <v>545.91999999999996</v>
      </c>
      <c r="BY1443">
        <v>0</v>
      </c>
      <c r="BZ1443">
        <v>13.29</v>
      </c>
      <c r="CA1443">
        <v>0.01</v>
      </c>
      <c r="CB1443">
        <v>127.29</v>
      </c>
      <c r="CC1443">
        <v>25.55</v>
      </c>
      <c r="CD1443">
        <v>3.4</v>
      </c>
      <c r="CE1443">
        <v>44.87</v>
      </c>
      <c r="CF1443">
        <v>2.9</v>
      </c>
      <c r="CG1443">
        <v>44.85</v>
      </c>
      <c r="CH1443">
        <v>37.270000000000003</v>
      </c>
      <c r="CI1443">
        <v>37.270000000000003</v>
      </c>
      <c r="CJ1443">
        <v>-1.23</v>
      </c>
      <c r="CK1443">
        <v>36.270000000000003</v>
      </c>
      <c r="CL1443">
        <v>127.49</v>
      </c>
      <c r="CM1443">
        <v>13</v>
      </c>
      <c r="CN1443">
        <v>150.65</v>
      </c>
      <c r="CO1443">
        <v>614372</v>
      </c>
      <c r="CP1443">
        <v>12396</v>
      </c>
      <c r="CQ1443" t="s">
        <v>7614</v>
      </c>
      <c r="CR1443">
        <v>106.08</v>
      </c>
      <c r="CS1443">
        <v>101.66</v>
      </c>
      <c r="CT1443">
        <v>9.68</v>
      </c>
      <c r="CU1443">
        <v>271</v>
      </c>
      <c r="CV1443">
        <v>137.85</v>
      </c>
      <c r="CW1443">
        <v>0.14000000000000001</v>
      </c>
      <c r="CX1443" t="s">
        <v>472</v>
      </c>
      <c r="CY1443">
        <v>3.52</v>
      </c>
      <c r="CZ1443">
        <v>3.52</v>
      </c>
      <c r="DA1443">
        <v>1.23</v>
      </c>
      <c r="DB1443">
        <v>1.23</v>
      </c>
      <c r="DC1443">
        <v>0.13</v>
      </c>
      <c r="DD1443">
        <v>24.02</v>
      </c>
      <c r="DE1443" t="s">
        <v>7615</v>
      </c>
      <c r="DF1443">
        <v>86.7</v>
      </c>
      <c r="DG1443">
        <v>175.61</v>
      </c>
      <c r="DH1443">
        <v>145.86000000000001</v>
      </c>
      <c r="DI1443">
        <v>2.76</v>
      </c>
      <c r="DJ1443">
        <v>4927</v>
      </c>
      <c r="DK1443">
        <v>300059</v>
      </c>
      <c r="DL1443">
        <v>20210906</v>
      </c>
      <c r="DM1443">
        <v>32.6</v>
      </c>
      <c r="DN1443">
        <v>4.54</v>
      </c>
    </row>
    <row r="1444" spans="1:118">
      <c r="A1444" t="str">
        <f>"300061"</f>
        <v>300061</v>
      </c>
      <c r="B1444" t="s">
        <v>7616</v>
      </c>
      <c r="C1444">
        <v>-3.5</v>
      </c>
      <c r="D1444">
        <v>0</v>
      </c>
      <c r="E1444">
        <v>-0.84</v>
      </c>
      <c r="F1444">
        <v>3065</v>
      </c>
      <c r="G1444" t="s">
        <v>7617</v>
      </c>
      <c r="H1444">
        <v>12636.55</v>
      </c>
      <c r="I1444">
        <v>41.42</v>
      </c>
      <c r="J1444" t="s">
        <v>120</v>
      </c>
      <c r="K1444" t="s">
        <v>7618</v>
      </c>
      <c r="L1444">
        <v>3.32</v>
      </c>
      <c r="M1444">
        <v>6.89</v>
      </c>
      <c r="N1444">
        <v>0.73</v>
      </c>
      <c r="O1444">
        <v>0.14000000000000001</v>
      </c>
      <c r="P1444">
        <v>7.15</v>
      </c>
      <c r="Q1444">
        <v>-3.64</v>
      </c>
      <c r="R1444">
        <v>6.88</v>
      </c>
      <c r="S1444">
        <v>7.08</v>
      </c>
      <c r="T1444">
        <v>180464</v>
      </c>
      <c r="U1444">
        <v>6.89</v>
      </c>
      <c r="V1444">
        <v>7.14</v>
      </c>
      <c r="W1444" t="s">
        <v>120</v>
      </c>
      <c r="X1444" t="s">
        <v>1531</v>
      </c>
      <c r="Y1444" t="s">
        <v>1510</v>
      </c>
      <c r="Z1444">
        <v>3.78</v>
      </c>
      <c r="AA1444">
        <v>7</v>
      </c>
      <c r="AB1444">
        <v>115071</v>
      </c>
      <c r="AC1444">
        <v>65393</v>
      </c>
      <c r="AD1444">
        <v>1.76</v>
      </c>
      <c r="AE1444">
        <v>2624</v>
      </c>
      <c r="AF1444">
        <v>1530</v>
      </c>
      <c r="AG1444" t="s">
        <v>120</v>
      </c>
      <c r="AH1444">
        <v>0.02</v>
      </c>
      <c r="AI1444" t="s">
        <v>120</v>
      </c>
      <c r="AJ1444">
        <v>5.44</v>
      </c>
      <c r="AK1444" t="s">
        <v>7619</v>
      </c>
      <c r="AL1444">
        <v>-1.59</v>
      </c>
      <c r="AM1444">
        <v>2529</v>
      </c>
      <c r="AN1444">
        <v>71</v>
      </c>
      <c r="AO1444">
        <v>1.2999999999999999E-3</v>
      </c>
      <c r="AP1444">
        <v>-1</v>
      </c>
      <c r="AQ1444">
        <v>0.71</v>
      </c>
      <c r="AR1444">
        <v>-3.36</v>
      </c>
      <c r="AS1444">
        <v>-13.55</v>
      </c>
      <c r="AT1444">
        <v>-29.69</v>
      </c>
      <c r="AU1444">
        <v>42.94</v>
      </c>
      <c r="AV1444">
        <v>6</v>
      </c>
      <c r="AW1444">
        <v>5.23</v>
      </c>
      <c r="AX1444">
        <v>52.21</v>
      </c>
      <c r="AY1444" t="s">
        <v>120</v>
      </c>
      <c r="AZ1444" t="s">
        <v>120</v>
      </c>
      <c r="BA1444">
        <v>0.85</v>
      </c>
      <c r="BB1444" t="s">
        <v>143</v>
      </c>
      <c r="BF1444">
        <v>-1.93</v>
      </c>
      <c r="BG1444">
        <v>-2.68</v>
      </c>
      <c r="BH1444">
        <v>-3.64</v>
      </c>
      <c r="BI1444">
        <v>0.15</v>
      </c>
      <c r="BJ1444">
        <v>20210830</v>
      </c>
      <c r="BK1444">
        <v>20100319</v>
      </c>
      <c r="BL1444">
        <v>6.61</v>
      </c>
      <c r="BM1444" t="s">
        <v>120</v>
      </c>
      <c r="BN1444" t="s">
        <v>120</v>
      </c>
      <c r="BO1444">
        <v>19.86</v>
      </c>
      <c r="BP1444">
        <v>6.88</v>
      </c>
      <c r="BQ1444">
        <v>12.85</v>
      </c>
      <c r="BR1444">
        <v>0.12</v>
      </c>
      <c r="BS1444">
        <v>34.700000000000003</v>
      </c>
      <c r="BT1444">
        <v>10.32</v>
      </c>
      <c r="BU1444">
        <v>0.15</v>
      </c>
      <c r="BV1444">
        <v>1.04</v>
      </c>
      <c r="BW1444">
        <v>6.54</v>
      </c>
      <c r="BX1444">
        <v>2.29</v>
      </c>
      <c r="BY1444">
        <v>0.35</v>
      </c>
      <c r="BZ1444">
        <v>4.28</v>
      </c>
      <c r="CA1444" t="s">
        <v>120</v>
      </c>
      <c r="CB1444">
        <v>16.39</v>
      </c>
      <c r="CC1444">
        <v>5.34</v>
      </c>
      <c r="CD1444">
        <v>3.23</v>
      </c>
      <c r="CE1444">
        <v>-0.09</v>
      </c>
      <c r="CF1444">
        <v>0</v>
      </c>
      <c r="CG1444">
        <v>-0.09</v>
      </c>
      <c r="CH1444">
        <v>-0.15</v>
      </c>
      <c r="CI1444">
        <v>-0.15</v>
      </c>
      <c r="CJ1444">
        <v>-0.25</v>
      </c>
      <c r="CK1444">
        <v>-0.21</v>
      </c>
      <c r="CL1444">
        <v>-10.220000000000001</v>
      </c>
      <c r="CM1444">
        <v>-0.93</v>
      </c>
      <c r="CN1444">
        <v>-1.86</v>
      </c>
      <c r="CO1444">
        <v>44106</v>
      </c>
      <c r="CP1444">
        <v>7824</v>
      </c>
      <c r="CQ1444" t="s">
        <v>794</v>
      </c>
      <c r="CR1444">
        <v>88.15</v>
      </c>
      <c r="CS1444">
        <v>-3.34</v>
      </c>
      <c r="CT1444">
        <v>3.54</v>
      </c>
      <c r="CU1444">
        <v>-49.13</v>
      </c>
      <c r="CV1444">
        <v>8.5299999999999994</v>
      </c>
      <c r="CW1444">
        <v>0</v>
      </c>
      <c r="CX1444" t="s">
        <v>419</v>
      </c>
      <c r="CY1444">
        <v>1.94</v>
      </c>
      <c r="CZ1444">
        <v>0</v>
      </c>
      <c r="DA1444">
        <v>2.48</v>
      </c>
      <c r="DB1444">
        <v>-1.55</v>
      </c>
      <c r="DC1444">
        <v>-0.14000000000000001</v>
      </c>
      <c r="DD1444">
        <v>64.69</v>
      </c>
      <c r="DE1444" t="s">
        <v>7620</v>
      </c>
      <c r="DF1444">
        <v>39.479999999999997</v>
      </c>
      <c r="DG1444">
        <v>-1.61</v>
      </c>
      <c r="DH1444">
        <v>-2.73</v>
      </c>
      <c r="DI1444">
        <v>0.22</v>
      </c>
      <c r="DJ1444">
        <v>2550</v>
      </c>
      <c r="DK1444">
        <v>300061</v>
      </c>
      <c r="DL1444" t="s">
        <v>120</v>
      </c>
      <c r="DM1444" t="s">
        <v>120</v>
      </c>
      <c r="DN1444" t="s">
        <v>120</v>
      </c>
    </row>
    <row r="1445" spans="1:118">
      <c r="A1445" t="str">
        <f>"300062"</f>
        <v>300062</v>
      </c>
      <c r="B1445" t="s">
        <v>7621</v>
      </c>
      <c r="C1445">
        <v>-4.41</v>
      </c>
      <c r="D1445">
        <v>0.17</v>
      </c>
      <c r="E1445">
        <v>-0.17</v>
      </c>
      <c r="F1445">
        <v>652</v>
      </c>
      <c r="G1445" t="s">
        <v>7622</v>
      </c>
      <c r="H1445">
        <v>14625.54</v>
      </c>
      <c r="I1445">
        <v>222.53</v>
      </c>
      <c r="J1445" t="s">
        <v>120</v>
      </c>
      <c r="K1445" t="s">
        <v>7469</v>
      </c>
      <c r="L1445">
        <v>6.44</v>
      </c>
      <c r="M1445">
        <v>11.48</v>
      </c>
      <c r="N1445">
        <v>0.92</v>
      </c>
      <c r="O1445">
        <v>0.83</v>
      </c>
      <c r="P1445">
        <v>12.11</v>
      </c>
      <c r="Q1445">
        <v>-5.33</v>
      </c>
      <c r="R1445">
        <v>11.37</v>
      </c>
      <c r="S1445">
        <v>11.99</v>
      </c>
      <c r="T1445">
        <v>124846</v>
      </c>
      <c r="U1445">
        <v>11.48</v>
      </c>
      <c r="V1445">
        <v>12.01</v>
      </c>
      <c r="W1445">
        <v>149.19</v>
      </c>
      <c r="X1445" t="s">
        <v>394</v>
      </c>
      <c r="Y1445" t="s">
        <v>937</v>
      </c>
      <c r="Z1445">
        <v>6.16</v>
      </c>
      <c r="AA1445">
        <v>11.71</v>
      </c>
      <c r="AB1445">
        <v>77394</v>
      </c>
      <c r="AC1445">
        <v>47452</v>
      </c>
      <c r="AD1445">
        <v>1.63</v>
      </c>
      <c r="AE1445">
        <v>49</v>
      </c>
      <c r="AF1445">
        <v>334</v>
      </c>
      <c r="AG1445" t="s">
        <v>120</v>
      </c>
      <c r="AH1445">
        <v>0.12</v>
      </c>
      <c r="AI1445" t="s">
        <v>120</v>
      </c>
      <c r="AJ1445">
        <v>1.94</v>
      </c>
      <c r="AK1445" t="s">
        <v>3962</v>
      </c>
      <c r="AL1445">
        <v>-2.5</v>
      </c>
      <c r="AM1445">
        <v>2920</v>
      </c>
      <c r="AN1445">
        <v>43</v>
      </c>
      <c r="AO1445">
        <v>2.2000000000000001E-3</v>
      </c>
      <c r="AP1445">
        <v>-1</v>
      </c>
      <c r="AQ1445">
        <v>3.62</v>
      </c>
      <c r="AR1445">
        <v>-1.72</v>
      </c>
      <c r="AS1445">
        <v>-14.01</v>
      </c>
      <c r="AT1445">
        <v>10.38</v>
      </c>
      <c r="AU1445">
        <v>8.7100000000000009</v>
      </c>
      <c r="AV1445">
        <v>7</v>
      </c>
      <c r="AW1445">
        <v>8</v>
      </c>
      <c r="AX1445">
        <v>50.65</v>
      </c>
      <c r="AY1445">
        <v>82.56</v>
      </c>
      <c r="AZ1445">
        <v>270.43</v>
      </c>
      <c r="BA1445">
        <v>0.92</v>
      </c>
      <c r="BB1445" t="s">
        <v>143</v>
      </c>
      <c r="BF1445">
        <v>-2.46</v>
      </c>
      <c r="BG1445">
        <v>-4.25</v>
      </c>
      <c r="BH1445">
        <v>-5.2</v>
      </c>
      <c r="BI1445">
        <v>0.97</v>
      </c>
      <c r="BJ1445">
        <v>20210830</v>
      </c>
      <c r="BK1445">
        <v>20100319</v>
      </c>
      <c r="BL1445">
        <v>3.08</v>
      </c>
      <c r="BM1445" t="s">
        <v>120</v>
      </c>
      <c r="BN1445" t="s">
        <v>120</v>
      </c>
      <c r="BO1445">
        <v>19.63</v>
      </c>
      <c r="BP1445">
        <v>11.47</v>
      </c>
      <c r="BQ1445">
        <v>8.0299999999999994</v>
      </c>
      <c r="BR1445">
        <v>0.04</v>
      </c>
      <c r="BS1445">
        <v>58.93</v>
      </c>
      <c r="BT1445">
        <v>13.24</v>
      </c>
      <c r="BU1445">
        <v>4.72</v>
      </c>
      <c r="BV1445">
        <v>0.74</v>
      </c>
      <c r="BW1445">
        <v>10.69</v>
      </c>
      <c r="BX1445">
        <v>2.0499999999999998</v>
      </c>
      <c r="BY1445">
        <v>0.84</v>
      </c>
      <c r="BZ1445">
        <v>8.59</v>
      </c>
      <c r="CA1445">
        <v>0</v>
      </c>
      <c r="CB1445">
        <v>2.2599999999999998</v>
      </c>
      <c r="CC1445">
        <v>4.42</v>
      </c>
      <c r="CD1445">
        <v>3.4</v>
      </c>
      <c r="CE1445">
        <v>0.17</v>
      </c>
      <c r="CF1445">
        <v>0</v>
      </c>
      <c r="CG1445">
        <v>0.17</v>
      </c>
      <c r="CH1445">
        <v>0.12</v>
      </c>
      <c r="CI1445">
        <v>0.12</v>
      </c>
      <c r="CJ1445">
        <v>-0.53</v>
      </c>
      <c r="CK1445">
        <v>0.11</v>
      </c>
      <c r="CL1445">
        <v>2.37</v>
      </c>
      <c r="CM1445">
        <v>7.0000000000000007E-2</v>
      </c>
      <c r="CN1445">
        <v>-0.63</v>
      </c>
      <c r="CO1445">
        <v>32574</v>
      </c>
      <c r="CP1445">
        <v>4789</v>
      </c>
      <c r="CQ1445" t="s">
        <v>1493</v>
      </c>
      <c r="CR1445">
        <v>161.47999999999999</v>
      </c>
      <c r="CS1445">
        <v>24.02</v>
      </c>
      <c r="CT1445">
        <v>4.4000000000000004</v>
      </c>
      <c r="CU1445">
        <v>491.18</v>
      </c>
      <c r="CV1445">
        <v>8</v>
      </c>
      <c r="CW1445">
        <v>0.17</v>
      </c>
      <c r="CX1445" t="s">
        <v>145</v>
      </c>
      <c r="CY1445">
        <v>2.61</v>
      </c>
      <c r="CZ1445">
        <v>0</v>
      </c>
      <c r="DA1445">
        <v>0.73</v>
      </c>
      <c r="DB1445">
        <v>0.77</v>
      </c>
      <c r="DC1445">
        <v>0.02</v>
      </c>
      <c r="DD1445">
        <v>40.880000000000003</v>
      </c>
      <c r="DE1445" t="s">
        <v>680</v>
      </c>
      <c r="DF1445">
        <v>22.97</v>
      </c>
      <c r="DG1445">
        <v>3.95</v>
      </c>
      <c r="DH1445">
        <v>2.68</v>
      </c>
      <c r="DI1445">
        <v>0.14000000000000001</v>
      </c>
      <c r="DJ1445">
        <v>967</v>
      </c>
      <c r="DK1445">
        <v>300062</v>
      </c>
      <c r="DL1445" t="s">
        <v>120</v>
      </c>
      <c r="DM1445" t="s">
        <v>120</v>
      </c>
      <c r="DN1445" t="s">
        <v>120</v>
      </c>
    </row>
    <row r="1446" spans="1:118">
      <c r="A1446" t="str">
        <f>"300063"</f>
        <v>300063</v>
      </c>
      <c r="B1446" t="s">
        <v>7623</v>
      </c>
      <c r="C1446">
        <v>0.68</v>
      </c>
      <c r="D1446">
        <v>-0.21</v>
      </c>
      <c r="E1446">
        <v>0.68</v>
      </c>
      <c r="F1446">
        <v>2958</v>
      </c>
      <c r="G1446" t="s">
        <v>2800</v>
      </c>
      <c r="H1446">
        <v>8585.67</v>
      </c>
      <c r="I1446">
        <v>30.37</v>
      </c>
      <c r="J1446" t="s">
        <v>120</v>
      </c>
      <c r="K1446" t="s">
        <v>7624</v>
      </c>
      <c r="L1446">
        <v>3.11</v>
      </c>
      <c r="M1446">
        <v>4.46</v>
      </c>
      <c r="N1446">
        <v>1.29</v>
      </c>
      <c r="O1446">
        <v>3.84</v>
      </c>
      <c r="P1446">
        <v>4.5999999999999996</v>
      </c>
      <c r="Q1446">
        <v>0</v>
      </c>
      <c r="R1446">
        <v>4.43</v>
      </c>
      <c r="S1446">
        <v>4.46</v>
      </c>
      <c r="T1446">
        <v>190327</v>
      </c>
      <c r="U1446">
        <v>4.46</v>
      </c>
      <c r="V1446">
        <v>4.43</v>
      </c>
      <c r="W1446">
        <v>22.63</v>
      </c>
      <c r="X1446" t="s">
        <v>1531</v>
      </c>
      <c r="Y1446" t="s">
        <v>547</v>
      </c>
      <c r="Z1446">
        <v>3.84</v>
      </c>
      <c r="AA1446">
        <v>4.51</v>
      </c>
      <c r="AB1446">
        <v>98827</v>
      </c>
      <c r="AC1446">
        <v>91500</v>
      </c>
      <c r="AD1446">
        <v>1.08</v>
      </c>
      <c r="AE1446">
        <v>999</v>
      </c>
      <c r="AF1446">
        <v>625</v>
      </c>
      <c r="AG1446" t="s">
        <v>120</v>
      </c>
      <c r="AH1446">
        <v>0.01</v>
      </c>
      <c r="AI1446" t="s">
        <v>120</v>
      </c>
      <c r="AJ1446">
        <v>6.11</v>
      </c>
      <c r="AK1446" t="s">
        <v>7625</v>
      </c>
      <c r="AL1446">
        <v>2.59</v>
      </c>
      <c r="AM1446">
        <v>2158</v>
      </c>
      <c r="AN1446">
        <v>88</v>
      </c>
      <c r="AO1446">
        <v>1.4E-3</v>
      </c>
      <c r="AP1446">
        <v>2</v>
      </c>
      <c r="AQ1446">
        <v>1.1399999999999999</v>
      </c>
      <c r="AR1446">
        <v>-0.89</v>
      </c>
      <c r="AS1446">
        <v>7.72</v>
      </c>
      <c r="AT1446">
        <v>-3.46</v>
      </c>
      <c r="AU1446">
        <v>-13.57</v>
      </c>
      <c r="AV1446">
        <v>1</v>
      </c>
      <c r="AW1446">
        <v>3.93</v>
      </c>
      <c r="AX1446">
        <v>64.540000000000006</v>
      </c>
      <c r="AY1446">
        <v>25.91</v>
      </c>
      <c r="AZ1446">
        <v>27.13</v>
      </c>
      <c r="BA1446">
        <v>0.67</v>
      </c>
      <c r="BB1446" t="s">
        <v>143</v>
      </c>
      <c r="BF1446">
        <v>1.83</v>
      </c>
      <c r="BG1446">
        <v>0</v>
      </c>
      <c r="BH1446">
        <v>-3.04</v>
      </c>
      <c r="BI1446">
        <v>0.68</v>
      </c>
      <c r="BJ1446">
        <v>20210830</v>
      </c>
      <c r="BK1446">
        <v>20100326</v>
      </c>
      <c r="BL1446">
        <v>7.5</v>
      </c>
      <c r="BM1446" t="s">
        <v>120</v>
      </c>
      <c r="BN1446" t="s">
        <v>120</v>
      </c>
      <c r="BO1446">
        <v>32.36</v>
      </c>
      <c r="BP1446">
        <v>4.45</v>
      </c>
      <c r="BQ1446">
        <v>13.21</v>
      </c>
      <c r="BR1446">
        <v>0.77</v>
      </c>
      <c r="BS1446">
        <v>56.79</v>
      </c>
      <c r="BT1446">
        <v>28.47</v>
      </c>
      <c r="BU1446">
        <v>1.7</v>
      </c>
      <c r="BV1446">
        <v>0.54</v>
      </c>
      <c r="BW1446">
        <v>17.53</v>
      </c>
      <c r="BX1446">
        <v>2.17</v>
      </c>
      <c r="BY1446">
        <v>2</v>
      </c>
      <c r="BZ1446">
        <v>19.47</v>
      </c>
      <c r="CA1446">
        <v>0</v>
      </c>
      <c r="CB1446">
        <v>12.54</v>
      </c>
      <c r="CC1446">
        <v>53.98</v>
      </c>
      <c r="CD1446">
        <v>50.56</v>
      </c>
      <c r="CE1446">
        <v>0.87</v>
      </c>
      <c r="CF1446">
        <v>0</v>
      </c>
      <c r="CG1446">
        <v>0.91</v>
      </c>
      <c r="CH1446">
        <v>0.83</v>
      </c>
      <c r="CI1446">
        <v>0.74</v>
      </c>
      <c r="CJ1446">
        <v>0.03</v>
      </c>
      <c r="CK1446">
        <v>0.5</v>
      </c>
      <c r="CL1446">
        <v>-6.78</v>
      </c>
      <c r="CM1446">
        <v>-1.93</v>
      </c>
      <c r="CN1446">
        <v>-0.79</v>
      </c>
      <c r="CO1446">
        <v>41250</v>
      </c>
      <c r="CP1446">
        <v>11738</v>
      </c>
      <c r="CQ1446" t="s">
        <v>4367</v>
      </c>
      <c r="CR1446">
        <v>8.4</v>
      </c>
      <c r="CS1446">
        <v>9.67</v>
      </c>
      <c r="CT1446">
        <v>2.5299999999999998</v>
      </c>
      <c r="CU1446">
        <v>-17.3</v>
      </c>
      <c r="CV1446">
        <v>0.62</v>
      </c>
      <c r="CW1446">
        <v>0</v>
      </c>
      <c r="CX1446" t="s">
        <v>411</v>
      </c>
      <c r="CY1446">
        <v>1.76</v>
      </c>
      <c r="CZ1446">
        <v>0</v>
      </c>
      <c r="DA1446">
        <v>1.67</v>
      </c>
      <c r="DB1446">
        <v>-0.9</v>
      </c>
      <c r="DC1446">
        <v>-0.26</v>
      </c>
      <c r="DD1446">
        <v>40.82</v>
      </c>
      <c r="DE1446" t="s">
        <v>2955</v>
      </c>
      <c r="DF1446">
        <v>6.34</v>
      </c>
      <c r="DG1446">
        <v>1.61</v>
      </c>
      <c r="DH1446">
        <v>1.37</v>
      </c>
      <c r="DI1446">
        <v>0.23</v>
      </c>
      <c r="DJ1446">
        <v>1955</v>
      </c>
      <c r="DK1446">
        <v>300063</v>
      </c>
      <c r="DL1446" t="s">
        <v>120</v>
      </c>
      <c r="DM1446" t="s">
        <v>120</v>
      </c>
      <c r="DN1446" t="s">
        <v>120</v>
      </c>
    </row>
    <row r="1447" spans="1:118">
      <c r="A1447" t="str">
        <f>"300065"</f>
        <v>300065</v>
      </c>
      <c r="B1447" t="s">
        <v>7626</v>
      </c>
      <c r="C1447">
        <v>-2.31</v>
      </c>
      <c r="D1447">
        <v>0.92</v>
      </c>
      <c r="E1447">
        <v>0.89</v>
      </c>
      <c r="F1447">
        <v>6926</v>
      </c>
      <c r="G1447" t="s">
        <v>7627</v>
      </c>
      <c r="H1447">
        <v>29224.240000000002</v>
      </c>
      <c r="I1447">
        <v>193.46</v>
      </c>
      <c r="J1447" t="s">
        <v>120</v>
      </c>
      <c r="K1447" t="s">
        <v>7628</v>
      </c>
      <c r="L1447">
        <v>5.12</v>
      </c>
      <c r="M1447">
        <v>10.98</v>
      </c>
      <c r="N1447">
        <v>0.73</v>
      </c>
      <c r="O1447">
        <v>0.89</v>
      </c>
      <c r="P1447">
        <v>11.34</v>
      </c>
      <c r="Q1447">
        <v>-3.91</v>
      </c>
      <c r="R1447">
        <v>10.8</v>
      </c>
      <c r="S1447">
        <v>11.34</v>
      </c>
      <c r="T1447">
        <v>263033</v>
      </c>
      <c r="U1447">
        <v>10.98</v>
      </c>
      <c r="V1447">
        <v>11.24</v>
      </c>
      <c r="W1447">
        <v>471.58</v>
      </c>
      <c r="X1447" t="s">
        <v>141</v>
      </c>
      <c r="Y1447" t="s">
        <v>158</v>
      </c>
      <c r="Z1447">
        <v>4.8</v>
      </c>
      <c r="AA1447">
        <v>11.11</v>
      </c>
      <c r="AB1447">
        <v>151314</v>
      </c>
      <c r="AC1447">
        <v>111719</v>
      </c>
      <c r="AD1447">
        <v>1.35</v>
      </c>
      <c r="AE1447">
        <v>5</v>
      </c>
      <c r="AF1447">
        <v>350</v>
      </c>
      <c r="AG1447" t="s">
        <v>120</v>
      </c>
      <c r="AH1447">
        <v>0.04</v>
      </c>
      <c r="AI1447" t="s">
        <v>120</v>
      </c>
      <c r="AJ1447">
        <v>5.13</v>
      </c>
      <c r="AK1447" t="s">
        <v>7629</v>
      </c>
      <c r="AL1447">
        <v>-0.4</v>
      </c>
      <c r="AM1447">
        <v>3030</v>
      </c>
      <c r="AN1447">
        <v>87</v>
      </c>
      <c r="AO1447">
        <v>1.6999999999999999E-3</v>
      </c>
      <c r="AP1447">
        <v>-2</v>
      </c>
      <c r="AQ1447">
        <v>-1.66</v>
      </c>
      <c r="AR1447">
        <v>1.95</v>
      </c>
      <c r="AS1447">
        <v>5.07</v>
      </c>
      <c r="AT1447">
        <v>41.26</v>
      </c>
      <c r="AU1447">
        <v>14.45</v>
      </c>
      <c r="AV1447">
        <v>2</v>
      </c>
      <c r="AW1447">
        <v>5.76</v>
      </c>
      <c r="AX1447">
        <v>74.599999999999994</v>
      </c>
      <c r="AY1447">
        <v>112.86</v>
      </c>
      <c r="AZ1447">
        <v>120.51</v>
      </c>
      <c r="BA1447">
        <v>0.65</v>
      </c>
      <c r="BB1447" t="s">
        <v>143</v>
      </c>
      <c r="BF1447">
        <v>-1.1499999999999999</v>
      </c>
      <c r="BG1447">
        <v>-3.17</v>
      </c>
      <c r="BH1447">
        <v>-3.17</v>
      </c>
      <c r="BI1447">
        <v>1.67</v>
      </c>
      <c r="BJ1447">
        <v>20210915</v>
      </c>
      <c r="BK1447">
        <v>20100326</v>
      </c>
      <c r="BL1447">
        <v>6.13</v>
      </c>
      <c r="BM1447" t="s">
        <v>120</v>
      </c>
      <c r="BN1447" t="s">
        <v>120</v>
      </c>
      <c r="BO1447">
        <v>28.56</v>
      </c>
      <c r="BP1447">
        <v>10.93</v>
      </c>
      <c r="BQ1447">
        <v>16.38</v>
      </c>
      <c r="BR1447">
        <v>0.22</v>
      </c>
      <c r="BS1447">
        <v>41.89</v>
      </c>
      <c r="BT1447">
        <v>18.690000000000001</v>
      </c>
      <c r="BU1447">
        <v>1.34</v>
      </c>
      <c r="BV1447">
        <v>3.03</v>
      </c>
      <c r="BW1447">
        <v>4.8899999999999997</v>
      </c>
      <c r="BX1447">
        <v>4.2300000000000004</v>
      </c>
      <c r="BY1447">
        <v>2.48</v>
      </c>
      <c r="BZ1447">
        <v>4.4800000000000004</v>
      </c>
      <c r="CA1447" t="s">
        <v>120</v>
      </c>
      <c r="CB1447">
        <v>7.39</v>
      </c>
      <c r="CC1447">
        <v>3.84</v>
      </c>
      <c r="CD1447">
        <v>2.67</v>
      </c>
      <c r="CE1447">
        <v>0.04</v>
      </c>
      <c r="CF1447">
        <v>0.03</v>
      </c>
      <c r="CG1447">
        <v>0.08</v>
      </c>
      <c r="CH1447">
        <v>0.05</v>
      </c>
      <c r="CI1447">
        <v>7.0000000000000007E-2</v>
      </c>
      <c r="CJ1447">
        <v>-0.26</v>
      </c>
      <c r="CK1447">
        <v>-0.11</v>
      </c>
      <c r="CL1447">
        <v>3.68</v>
      </c>
      <c r="CM1447">
        <v>-1.29</v>
      </c>
      <c r="CN1447">
        <v>-6.38</v>
      </c>
      <c r="CO1447">
        <v>24334</v>
      </c>
      <c r="CP1447">
        <v>18777</v>
      </c>
      <c r="CQ1447" t="s">
        <v>7630</v>
      </c>
      <c r="CR1447">
        <v>119.08</v>
      </c>
      <c r="CS1447">
        <v>32.03</v>
      </c>
      <c r="CT1447">
        <v>4.32</v>
      </c>
      <c r="CU1447">
        <v>-52.11</v>
      </c>
      <c r="CV1447">
        <v>17.5</v>
      </c>
      <c r="CW1447">
        <v>0</v>
      </c>
      <c r="CX1447" t="s">
        <v>178</v>
      </c>
      <c r="CY1447">
        <v>2.54</v>
      </c>
      <c r="CZ1447">
        <v>2.54</v>
      </c>
      <c r="DA1447">
        <v>1.21</v>
      </c>
      <c r="DB1447">
        <v>0.6</v>
      </c>
      <c r="DC1447">
        <v>-0.21</v>
      </c>
      <c r="DD1447">
        <v>57.34</v>
      </c>
      <c r="DE1447" t="s">
        <v>5068</v>
      </c>
      <c r="DF1447">
        <v>30.62</v>
      </c>
      <c r="DG1447">
        <v>1.17</v>
      </c>
      <c r="DH1447">
        <v>1.86</v>
      </c>
      <c r="DI1447">
        <v>0.24</v>
      </c>
      <c r="DJ1447">
        <v>489</v>
      </c>
      <c r="DK1447">
        <v>300065</v>
      </c>
      <c r="DL1447" t="s">
        <v>120</v>
      </c>
      <c r="DM1447" t="s">
        <v>120</v>
      </c>
      <c r="DN1447" t="s">
        <v>120</v>
      </c>
    </row>
    <row r="1448" spans="1:118">
      <c r="A1448" t="str">
        <f>"300066"</f>
        <v>300066</v>
      </c>
      <c r="B1448" t="s">
        <v>7631</v>
      </c>
      <c r="C1448">
        <v>-4.5999999999999996</v>
      </c>
      <c r="D1448">
        <v>0.2</v>
      </c>
      <c r="E1448">
        <v>-0.56999999999999995</v>
      </c>
      <c r="F1448">
        <v>4452</v>
      </c>
      <c r="G1448" t="s">
        <v>7632</v>
      </c>
      <c r="H1448">
        <v>12528.02</v>
      </c>
      <c r="I1448">
        <v>37.58</v>
      </c>
      <c r="J1448" t="s">
        <v>120</v>
      </c>
      <c r="K1448" t="s">
        <v>7633</v>
      </c>
      <c r="L1448">
        <v>2.4500000000000002</v>
      </c>
      <c r="M1448">
        <v>4.9800000000000004</v>
      </c>
      <c r="N1448">
        <v>1.03</v>
      </c>
      <c r="O1448">
        <v>0.38</v>
      </c>
      <c r="P1448">
        <v>5.24</v>
      </c>
      <c r="Q1448">
        <v>-4.79</v>
      </c>
      <c r="R1448">
        <v>4.97</v>
      </c>
      <c r="S1448">
        <v>5.19</v>
      </c>
      <c r="T1448">
        <v>245530</v>
      </c>
      <c r="U1448">
        <v>4.99</v>
      </c>
      <c r="V1448">
        <v>5.22</v>
      </c>
      <c r="W1448">
        <v>30.93</v>
      </c>
      <c r="X1448" t="s">
        <v>2717</v>
      </c>
      <c r="Y1448" t="s">
        <v>676</v>
      </c>
      <c r="Z1448">
        <v>5.17</v>
      </c>
      <c r="AA1448">
        <v>5.0999999999999996</v>
      </c>
      <c r="AB1448">
        <v>161632</v>
      </c>
      <c r="AC1448">
        <v>83898</v>
      </c>
      <c r="AD1448">
        <v>1.93</v>
      </c>
      <c r="AE1448">
        <v>152</v>
      </c>
      <c r="AF1448">
        <v>746</v>
      </c>
      <c r="AG1448" t="s">
        <v>120</v>
      </c>
      <c r="AH1448">
        <v>0.01</v>
      </c>
      <c r="AI1448" t="s">
        <v>120</v>
      </c>
      <c r="AJ1448">
        <v>10.029999999999999</v>
      </c>
      <c r="AK1448" t="s">
        <v>364</v>
      </c>
      <c r="AL1448">
        <v>-2.68</v>
      </c>
      <c r="AM1448">
        <v>2596</v>
      </c>
      <c r="AN1448">
        <v>95</v>
      </c>
      <c r="AO1448">
        <v>8.9999999999999998E-4</v>
      </c>
      <c r="AP1448">
        <v>-3</v>
      </c>
      <c r="AQ1448">
        <v>-0.76</v>
      </c>
      <c r="AR1448">
        <v>-7.26</v>
      </c>
      <c r="AS1448">
        <v>0.6</v>
      </c>
      <c r="AT1448">
        <v>1.01</v>
      </c>
      <c r="AU1448">
        <v>3.53</v>
      </c>
      <c r="AV1448">
        <v>0</v>
      </c>
      <c r="AW1448">
        <v>4.24</v>
      </c>
      <c r="AX1448">
        <v>55.64</v>
      </c>
      <c r="AY1448">
        <v>25.04</v>
      </c>
      <c r="AZ1448">
        <v>25.52</v>
      </c>
      <c r="BA1448">
        <v>0.63</v>
      </c>
      <c r="BB1448" t="s">
        <v>125</v>
      </c>
      <c r="BF1448">
        <v>-2.25</v>
      </c>
      <c r="BG1448">
        <v>-4.05</v>
      </c>
      <c r="BH1448">
        <v>-4.96</v>
      </c>
      <c r="BI1448">
        <v>0.2</v>
      </c>
      <c r="BJ1448">
        <v>20210913</v>
      </c>
      <c r="BK1448">
        <v>20100326</v>
      </c>
      <c r="BL1448">
        <v>10.4</v>
      </c>
      <c r="BM1448" t="s">
        <v>120</v>
      </c>
      <c r="BN1448" t="s">
        <v>120</v>
      </c>
      <c r="BO1448">
        <v>23.4</v>
      </c>
      <c r="BP1448">
        <v>4.9800000000000004</v>
      </c>
      <c r="BQ1448">
        <v>19.420000000000002</v>
      </c>
      <c r="BR1448">
        <v>1.18</v>
      </c>
      <c r="BS1448">
        <v>11.95</v>
      </c>
      <c r="BT1448">
        <v>15.41</v>
      </c>
      <c r="BU1448">
        <v>2.4900000000000002</v>
      </c>
      <c r="BV1448">
        <v>0.65</v>
      </c>
      <c r="BW1448">
        <v>2.52</v>
      </c>
      <c r="BX1448">
        <v>1.55</v>
      </c>
      <c r="BY1448">
        <v>2.5299999999999998</v>
      </c>
      <c r="BZ1448">
        <v>6.22</v>
      </c>
      <c r="CA1448" t="s">
        <v>120</v>
      </c>
      <c r="CB1448">
        <v>0.33</v>
      </c>
      <c r="CC1448">
        <v>4.04</v>
      </c>
      <c r="CD1448">
        <v>2.65</v>
      </c>
      <c r="CE1448">
        <v>0.93</v>
      </c>
      <c r="CF1448">
        <v>0.39</v>
      </c>
      <c r="CG1448">
        <v>0.93</v>
      </c>
      <c r="CH1448">
        <v>0.86</v>
      </c>
      <c r="CI1448">
        <v>0.84</v>
      </c>
      <c r="CJ1448">
        <v>-0.24</v>
      </c>
      <c r="CK1448">
        <v>0.77</v>
      </c>
      <c r="CL1448">
        <v>7.3</v>
      </c>
      <c r="CM1448">
        <v>-0.28000000000000003</v>
      </c>
      <c r="CN1448">
        <v>-1.74</v>
      </c>
      <c r="CO1448">
        <v>41739</v>
      </c>
      <c r="CP1448">
        <v>13864</v>
      </c>
      <c r="CQ1448" t="s">
        <v>3419</v>
      </c>
      <c r="CR1448">
        <v>5.0999999999999996</v>
      </c>
      <c r="CS1448">
        <v>17.670000000000002</v>
      </c>
      <c r="CT1448">
        <v>2.67</v>
      </c>
      <c r="CU1448">
        <v>-187.83</v>
      </c>
      <c r="CV1448">
        <v>12.82</v>
      </c>
      <c r="CW1448">
        <v>0.77</v>
      </c>
      <c r="CX1448" t="s">
        <v>535</v>
      </c>
      <c r="CY1448">
        <v>1.87</v>
      </c>
      <c r="CZ1448">
        <v>0</v>
      </c>
      <c r="DA1448">
        <v>0.03</v>
      </c>
      <c r="DB1448">
        <v>0.7</v>
      </c>
      <c r="DC1448">
        <v>-0.03</v>
      </c>
      <c r="DD1448">
        <v>83</v>
      </c>
      <c r="DE1448" t="s">
        <v>1476</v>
      </c>
      <c r="DF1448">
        <v>34.49</v>
      </c>
      <c r="DG1448">
        <v>23.04</v>
      </c>
      <c r="DH1448">
        <v>20.72</v>
      </c>
      <c r="DI1448">
        <v>0.28000000000000003</v>
      </c>
      <c r="DJ1448">
        <v>1493</v>
      </c>
      <c r="DK1448">
        <v>300066</v>
      </c>
      <c r="DL1448" t="s">
        <v>120</v>
      </c>
      <c r="DM1448" t="s">
        <v>120</v>
      </c>
      <c r="DN1448" t="s">
        <v>120</v>
      </c>
    </row>
    <row r="1449" spans="1:118">
      <c r="A1449" t="str">
        <f>"300067"</f>
        <v>300067</v>
      </c>
      <c r="B1449" t="s">
        <v>7634</v>
      </c>
      <c r="C1449">
        <v>-1.77</v>
      </c>
      <c r="D1449">
        <v>0.2</v>
      </c>
      <c r="E1449">
        <v>-0.98</v>
      </c>
      <c r="F1449">
        <v>6614</v>
      </c>
      <c r="G1449" t="s">
        <v>6900</v>
      </c>
      <c r="H1449">
        <v>23539.69</v>
      </c>
      <c r="I1449">
        <v>276.95</v>
      </c>
      <c r="J1449" t="s">
        <v>120</v>
      </c>
      <c r="K1449" t="s">
        <v>5697</v>
      </c>
      <c r="L1449">
        <v>7.17</v>
      </c>
      <c r="M1449">
        <v>4.99</v>
      </c>
      <c r="N1449">
        <v>1.31</v>
      </c>
      <c r="O1449">
        <v>1.77</v>
      </c>
      <c r="P1449">
        <v>5.17</v>
      </c>
      <c r="Q1449">
        <v>-3.35</v>
      </c>
      <c r="R1449">
        <v>4.91</v>
      </c>
      <c r="S1449">
        <v>5.03</v>
      </c>
      <c r="T1449">
        <v>467960</v>
      </c>
      <c r="U1449">
        <v>4.99</v>
      </c>
      <c r="V1449">
        <v>5.08</v>
      </c>
      <c r="W1449">
        <v>41.07</v>
      </c>
      <c r="X1449" t="s">
        <v>1145</v>
      </c>
      <c r="Y1449" t="s">
        <v>1510</v>
      </c>
      <c r="Z1449">
        <v>5.12</v>
      </c>
      <c r="AA1449">
        <v>5.03</v>
      </c>
      <c r="AB1449">
        <v>272681</v>
      </c>
      <c r="AC1449">
        <v>195279</v>
      </c>
      <c r="AD1449">
        <v>1.4</v>
      </c>
      <c r="AE1449">
        <v>822</v>
      </c>
      <c r="AF1449">
        <v>559</v>
      </c>
      <c r="AG1449" t="s">
        <v>120</v>
      </c>
      <c r="AH1449">
        <v>0.11</v>
      </c>
      <c r="AI1449" t="s">
        <v>120</v>
      </c>
      <c r="AJ1449">
        <v>6.53</v>
      </c>
      <c r="AK1449" t="s">
        <v>7635</v>
      </c>
      <c r="AL1449">
        <v>0.14000000000000001</v>
      </c>
      <c r="AM1449">
        <v>3529</v>
      </c>
      <c r="AN1449">
        <v>133</v>
      </c>
      <c r="AO1449">
        <v>2E-3</v>
      </c>
      <c r="AP1449">
        <v>-1</v>
      </c>
      <c r="AQ1449">
        <v>5.18</v>
      </c>
      <c r="AR1449">
        <v>0.82</v>
      </c>
      <c r="AS1449">
        <v>6.4</v>
      </c>
      <c r="AT1449">
        <v>16.59</v>
      </c>
      <c r="AU1449">
        <v>12.38</v>
      </c>
      <c r="AV1449">
        <v>0</v>
      </c>
      <c r="AW1449">
        <v>9.15</v>
      </c>
      <c r="AX1449">
        <v>48.59</v>
      </c>
      <c r="AY1449">
        <v>50.35</v>
      </c>
      <c r="AZ1449">
        <v>46.44</v>
      </c>
      <c r="BA1449">
        <v>0.61</v>
      </c>
      <c r="BB1449" t="s">
        <v>143</v>
      </c>
      <c r="BF1449">
        <v>-0.98</v>
      </c>
      <c r="BG1449">
        <v>-0.8</v>
      </c>
      <c r="BH1449">
        <v>-3.48</v>
      </c>
      <c r="BI1449">
        <v>1.63</v>
      </c>
      <c r="BJ1449">
        <v>20210827</v>
      </c>
      <c r="BK1449">
        <v>20100421</v>
      </c>
      <c r="BL1449">
        <v>10.53</v>
      </c>
      <c r="BM1449" t="s">
        <v>120</v>
      </c>
      <c r="BN1449" t="s">
        <v>120</v>
      </c>
      <c r="BO1449">
        <v>26.51</v>
      </c>
      <c r="BP1449">
        <v>4.9800000000000004</v>
      </c>
      <c r="BQ1449">
        <v>22.46</v>
      </c>
      <c r="BR1449">
        <v>0.17</v>
      </c>
      <c r="BS1449">
        <v>14.65</v>
      </c>
      <c r="BT1449">
        <v>13.94</v>
      </c>
      <c r="BU1449">
        <v>4.53</v>
      </c>
      <c r="BV1449">
        <v>0.92</v>
      </c>
      <c r="BW1449">
        <v>3.78</v>
      </c>
      <c r="BX1449">
        <v>3.58</v>
      </c>
      <c r="BY1449">
        <v>4.22</v>
      </c>
      <c r="BZ1449">
        <v>2.54</v>
      </c>
      <c r="CA1449" t="s">
        <v>120</v>
      </c>
      <c r="CB1449">
        <v>4.96</v>
      </c>
      <c r="CC1449">
        <v>5.49</v>
      </c>
      <c r="CD1449">
        <v>4.1500000000000004</v>
      </c>
      <c r="CE1449">
        <v>0.69</v>
      </c>
      <c r="CF1449">
        <v>0.21</v>
      </c>
      <c r="CG1449">
        <v>0.69</v>
      </c>
      <c r="CH1449">
        <v>0.65</v>
      </c>
      <c r="CI1449">
        <v>0.64</v>
      </c>
      <c r="CJ1449">
        <v>-0.09</v>
      </c>
      <c r="CK1449">
        <v>0.46</v>
      </c>
      <c r="CL1449">
        <v>6.66</v>
      </c>
      <c r="CM1449">
        <v>1</v>
      </c>
      <c r="CN1449">
        <v>1.66</v>
      </c>
      <c r="CO1449">
        <v>38770</v>
      </c>
      <c r="CP1449">
        <v>13196</v>
      </c>
      <c r="CQ1449" t="s">
        <v>4553</v>
      </c>
      <c r="CR1449">
        <v>-12.27</v>
      </c>
      <c r="CS1449">
        <v>12.89</v>
      </c>
      <c r="CT1449">
        <v>2.34</v>
      </c>
      <c r="CU1449">
        <v>52.33</v>
      </c>
      <c r="CV1449">
        <v>9.57</v>
      </c>
      <c r="CW1449">
        <v>0</v>
      </c>
      <c r="CX1449" t="s">
        <v>679</v>
      </c>
      <c r="CY1449">
        <v>2.13</v>
      </c>
      <c r="CZ1449">
        <v>0</v>
      </c>
      <c r="DA1449">
        <v>0.47</v>
      </c>
      <c r="DB1449">
        <v>0.63</v>
      </c>
      <c r="DC1449">
        <v>0.1</v>
      </c>
      <c r="DD1449">
        <v>84.72</v>
      </c>
      <c r="DE1449" t="s">
        <v>1113</v>
      </c>
      <c r="DF1449">
        <v>24.5</v>
      </c>
      <c r="DG1449">
        <v>12.56</v>
      </c>
      <c r="DH1449">
        <v>11.65</v>
      </c>
      <c r="DI1449">
        <v>0.17</v>
      </c>
      <c r="DJ1449">
        <v>808</v>
      </c>
      <c r="DK1449">
        <v>300067</v>
      </c>
      <c r="DL1449" t="s">
        <v>120</v>
      </c>
      <c r="DM1449" t="s">
        <v>120</v>
      </c>
      <c r="DN1449" t="s">
        <v>120</v>
      </c>
    </row>
    <row r="1450" spans="1:118">
      <c r="A1450" t="str">
        <f>"300068"</f>
        <v>300068</v>
      </c>
      <c r="B1450" t="s">
        <v>7636</v>
      </c>
      <c r="C1450">
        <v>-3.48</v>
      </c>
      <c r="D1450">
        <v>0.16</v>
      </c>
      <c r="E1450">
        <v>-0.23</v>
      </c>
      <c r="F1450">
        <v>2390</v>
      </c>
      <c r="G1450" t="s">
        <v>7637</v>
      </c>
      <c r="H1450">
        <v>40278.730000000003</v>
      </c>
      <c r="I1450">
        <v>285.31</v>
      </c>
      <c r="J1450" t="s">
        <v>120</v>
      </c>
      <c r="K1450" t="s">
        <v>7638</v>
      </c>
      <c r="L1450">
        <v>3.87</v>
      </c>
      <c r="M1450">
        <v>12.49</v>
      </c>
      <c r="N1450">
        <v>0.98</v>
      </c>
      <c r="O1450">
        <v>-0.23</v>
      </c>
      <c r="P1450">
        <v>12.91</v>
      </c>
      <c r="Q1450">
        <v>-4.17</v>
      </c>
      <c r="R1450">
        <v>12.4</v>
      </c>
      <c r="S1450">
        <v>12.91</v>
      </c>
      <c r="T1450">
        <v>320074</v>
      </c>
      <c r="U1450">
        <v>12.5</v>
      </c>
      <c r="V1450">
        <v>12.94</v>
      </c>
      <c r="W1450">
        <v>143.88</v>
      </c>
      <c r="X1450" t="s">
        <v>394</v>
      </c>
      <c r="Y1450" t="s">
        <v>585</v>
      </c>
      <c r="Z1450">
        <v>3.94</v>
      </c>
      <c r="AA1450">
        <v>12.58</v>
      </c>
      <c r="AB1450">
        <v>197553</v>
      </c>
      <c r="AC1450">
        <v>122521</v>
      </c>
      <c r="AD1450">
        <v>1.61</v>
      </c>
      <c r="AE1450">
        <v>485</v>
      </c>
      <c r="AF1450">
        <v>976</v>
      </c>
      <c r="AG1450" t="s">
        <v>120</v>
      </c>
      <c r="AH1450">
        <v>0.03</v>
      </c>
      <c r="AI1450" t="s">
        <v>120</v>
      </c>
      <c r="AJ1450">
        <v>8.27</v>
      </c>
      <c r="AK1450" t="s">
        <v>7639</v>
      </c>
      <c r="AL1450">
        <v>-1.56</v>
      </c>
      <c r="AM1450">
        <v>3551</v>
      </c>
      <c r="AN1450">
        <v>90</v>
      </c>
      <c r="AO1450">
        <v>1.1000000000000001E-3</v>
      </c>
      <c r="AP1450">
        <v>-1</v>
      </c>
      <c r="AQ1450">
        <v>5.2</v>
      </c>
      <c r="AR1450">
        <v>1.62</v>
      </c>
      <c r="AS1450">
        <v>-15.38</v>
      </c>
      <c r="AT1450">
        <v>16.91</v>
      </c>
      <c r="AU1450">
        <v>-17.79</v>
      </c>
      <c r="AV1450">
        <v>0</v>
      </c>
      <c r="AW1450">
        <v>4.7699999999999996</v>
      </c>
      <c r="AX1450">
        <v>78.34</v>
      </c>
      <c r="AY1450" t="s">
        <v>120</v>
      </c>
      <c r="AZ1450" t="s">
        <v>120</v>
      </c>
      <c r="BA1450">
        <v>0.19</v>
      </c>
      <c r="BB1450" t="s">
        <v>168</v>
      </c>
      <c r="BF1450">
        <v>-2.75</v>
      </c>
      <c r="BG1450">
        <v>-3.25</v>
      </c>
      <c r="BH1450">
        <v>-3.25</v>
      </c>
      <c r="BI1450">
        <v>0.73</v>
      </c>
      <c r="BJ1450">
        <v>20210823</v>
      </c>
      <c r="BK1450">
        <v>20100421</v>
      </c>
      <c r="BL1450">
        <v>8.57</v>
      </c>
      <c r="BM1450" t="s">
        <v>120</v>
      </c>
      <c r="BN1450" t="s">
        <v>120</v>
      </c>
      <c r="BO1450">
        <v>144.15</v>
      </c>
      <c r="BP1450">
        <v>12.49</v>
      </c>
      <c r="BQ1450">
        <v>60.74</v>
      </c>
      <c r="BR1450">
        <v>-2.4500000000000002</v>
      </c>
      <c r="BS1450">
        <v>59.56</v>
      </c>
      <c r="BT1450">
        <v>77.45</v>
      </c>
      <c r="BU1450">
        <v>39.159999999999997</v>
      </c>
      <c r="BV1450">
        <v>3.8</v>
      </c>
      <c r="BW1450">
        <v>68.63</v>
      </c>
      <c r="BX1450">
        <v>6.41</v>
      </c>
      <c r="BY1450">
        <v>37.74</v>
      </c>
      <c r="BZ1450">
        <v>24.19</v>
      </c>
      <c r="CA1450" t="s">
        <v>120</v>
      </c>
      <c r="CB1450">
        <v>37.39</v>
      </c>
      <c r="CC1450">
        <v>65.98</v>
      </c>
      <c r="CD1450">
        <v>60.19</v>
      </c>
      <c r="CE1450">
        <v>0.34</v>
      </c>
      <c r="CF1450">
        <v>7.0000000000000007E-2</v>
      </c>
      <c r="CG1450">
        <v>0.3</v>
      </c>
      <c r="CH1450">
        <v>0.3</v>
      </c>
      <c r="CI1450">
        <v>0.37</v>
      </c>
      <c r="CJ1450">
        <v>-0.45</v>
      </c>
      <c r="CK1450">
        <v>-0.18</v>
      </c>
      <c r="CL1450">
        <v>13.32</v>
      </c>
      <c r="CM1450">
        <v>0.95</v>
      </c>
      <c r="CN1450">
        <v>-4.37</v>
      </c>
      <c r="CO1450">
        <v>47939</v>
      </c>
      <c r="CP1450">
        <v>14007</v>
      </c>
      <c r="CQ1450" t="s">
        <v>7640</v>
      </c>
      <c r="CR1450">
        <v>-87.71</v>
      </c>
      <c r="CS1450">
        <v>60.59</v>
      </c>
      <c r="CT1450">
        <v>1.76</v>
      </c>
      <c r="CU1450">
        <v>113.03</v>
      </c>
      <c r="CV1450">
        <v>1.62</v>
      </c>
      <c r="CW1450">
        <v>0.28000000000000003</v>
      </c>
      <c r="CX1450" t="s">
        <v>145</v>
      </c>
      <c r="CY1450">
        <v>7.09</v>
      </c>
      <c r="CZ1450">
        <v>7.09</v>
      </c>
      <c r="DA1450">
        <v>4.3600000000000003</v>
      </c>
      <c r="DB1450">
        <v>1.55</v>
      </c>
      <c r="DC1450">
        <v>0.11</v>
      </c>
      <c r="DD1450">
        <v>42.14</v>
      </c>
      <c r="DE1450" t="s">
        <v>2004</v>
      </c>
      <c r="DF1450">
        <v>8.7799999999999994</v>
      </c>
      <c r="DG1450">
        <v>0.52</v>
      </c>
      <c r="DH1450">
        <v>0.56000000000000005</v>
      </c>
      <c r="DI1450">
        <v>1.55</v>
      </c>
      <c r="DJ1450">
        <v>7469</v>
      </c>
      <c r="DK1450">
        <v>300068</v>
      </c>
      <c r="DL1450" t="s">
        <v>120</v>
      </c>
      <c r="DM1450" t="s">
        <v>120</v>
      </c>
      <c r="DN1450" t="s">
        <v>120</v>
      </c>
    </row>
    <row r="1451" spans="1:118">
      <c r="A1451" t="str">
        <f>"300069"</f>
        <v>300069</v>
      </c>
      <c r="B1451" t="s">
        <v>7641</v>
      </c>
      <c r="C1451">
        <v>1.34</v>
      </c>
      <c r="D1451">
        <v>0.08</v>
      </c>
      <c r="E1451">
        <v>-0.84</v>
      </c>
      <c r="F1451">
        <v>272</v>
      </c>
      <c r="G1451" t="s">
        <v>7642</v>
      </c>
      <c r="H1451">
        <v>2643.98</v>
      </c>
      <c r="I1451">
        <v>0.47</v>
      </c>
      <c r="J1451" t="s">
        <v>120</v>
      </c>
      <c r="K1451" t="s">
        <v>6126</v>
      </c>
      <c r="L1451">
        <v>0.94</v>
      </c>
      <c r="M1451">
        <v>24.17</v>
      </c>
      <c r="N1451">
        <v>0.56999999999999995</v>
      </c>
      <c r="O1451">
        <v>1.93</v>
      </c>
      <c r="P1451">
        <v>24.31</v>
      </c>
      <c r="Q1451">
        <v>-1.84</v>
      </c>
      <c r="R1451">
        <v>23.41</v>
      </c>
      <c r="S1451">
        <v>23.65</v>
      </c>
      <c r="T1451">
        <v>11038</v>
      </c>
      <c r="U1451">
        <v>24.18</v>
      </c>
      <c r="V1451">
        <v>23.85</v>
      </c>
      <c r="W1451">
        <v>2864.56</v>
      </c>
      <c r="X1451" t="s">
        <v>394</v>
      </c>
      <c r="Y1451" t="s">
        <v>585</v>
      </c>
      <c r="Z1451">
        <v>3.77</v>
      </c>
      <c r="AA1451">
        <v>23.95</v>
      </c>
      <c r="AB1451">
        <v>5011</v>
      </c>
      <c r="AC1451">
        <v>6027</v>
      </c>
      <c r="AD1451">
        <v>0.83</v>
      </c>
      <c r="AE1451">
        <v>4</v>
      </c>
      <c r="AF1451">
        <v>13</v>
      </c>
      <c r="AG1451" t="s">
        <v>120</v>
      </c>
      <c r="AH1451">
        <v>0</v>
      </c>
      <c r="AI1451" t="s">
        <v>120</v>
      </c>
      <c r="AJ1451">
        <v>1.17</v>
      </c>
      <c r="AK1451" t="s">
        <v>6126</v>
      </c>
      <c r="AL1451">
        <v>3.26</v>
      </c>
      <c r="AM1451">
        <v>631</v>
      </c>
      <c r="AN1451">
        <v>17</v>
      </c>
      <c r="AO1451">
        <v>1.5E-3</v>
      </c>
      <c r="AP1451">
        <v>2</v>
      </c>
      <c r="AQ1451">
        <v>0.21</v>
      </c>
      <c r="AR1451">
        <v>-1.27</v>
      </c>
      <c r="AS1451">
        <v>-1.42</v>
      </c>
      <c r="AT1451">
        <v>9.86</v>
      </c>
      <c r="AU1451">
        <v>57.97</v>
      </c>
      <c r="AV1451">
        <v>1</v>
      </c>
      <c r="AW1451">
        <v>1.66</v>
      </c>
      <c r="AX1451">
        <v>56.78</v>
      </c>
      <c r="AY1451" t="s">
        <v>120</v>
      </c>
      <c r="AZ1451" t="s">
        <v>120</v>
      </c>
      <c r="BA1451">
        <v>0.65</v>
      </c>
      <c r="BB1451" t="s">
        <v>143</v>
      </c>
      <c r="BF1451">
        <v>0.44</v>
      </c>
      <c r="BG1451">
        <v>2.2000000000000002</v>
      </c>
      <c r="BH1451">
        <v>-0.57999999999999996</v>
      </c>
      <c r="BI1451">
        <v>3.25</v>
      </c>
      <c r="BJ1451">
        <v>20210827</v>
      </c>
      <c r="BK1451">
        <v>20100421</v>
      </c>
      <c r="BL1451">
        <v>1.17</v>
      </c>
      <c r="BM1451" t="s">
        <v>120</v>
      </c>
      <c r="BN1451" t="s">
        <v>120</v>
      </c>
      <c r="BO1451">
        <v>5.33</v>
      </c>
      <c r="BP1451">
        <v>24.17</v>
      </c>
      <c r="BQ1451">
        <v>3.03</v>
      </c>
      <c r="BR1451">
        <v>0.17</v>
      </c>
      <c r="BS1451">
        <v>39.92</v>
      </c>
      <c r="BT1451">
        <v>2.9</v>
      </c>
      <c r="BU1451">
        <v>1.34</v>
      </c>
      <c r="BV1451">
        <v>0.22</v>
      </c>
      <c r="BW1451">
        <v>2.1</v>
      </c>
      <c r="BX1451">
        <v>0.75</v>
      </c>
      <c r="BY1451">
        <v>0.96</v>
      </c>
      <c r="BZ1451">
        <v>0.85</v>
      </c>
      <c r="CA1451">
        <v>0.01</v>
      </c>
      <c r="CB1451">
        <v>2.61</v>
      </c>
      <c r="CC1451">
        <v>0.83</v>
      </c>
      <c r="CD1451">
        <v>0.51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0.32</v>
      </c>
      <c r="CK1451">
        <v>-0.04</v>
      </c>
      <c r="CL1451">
        <v>-0.94</v>
      </c>
      <c r="CM1451">
        <v>-0.28999999999999998</v>
      </c>
      <c r="CN1451">
        <v>-7.0000000000000007E-2</v>
      </c>
      <c r="CO1451">
        <v>4816</v>
      </c>
      <c r="CP1451">
        <v>13795</v>
      </c>
      <c r="CQ1451" t="s">
        <v>7643</v>
      </c>
      <c r="CR1451">
        <v>107.2</v>
      </c>
      <c r="CS1451">
        <v>10.52</v>
      </c>
      <c r="CT1451">
        <v>9.33</v>
      </c>
      <c r="CU1451">
        <v>-98.77</v>
      </c>
      <c r="CV1451">
        <v>33.869999999999997</v>
      </c>
      <c r="CW1451">
        <v>0</v>
      </c>
      <c r="CX1451" t="s">
        <v>1902</v>
      </c>
      <c r="CY1451">
        <v>2.59</v>
      </c>
      <c r="CZ1451">
        <v>0</v>
      </c>
      <c r="DA1451">
        <v>2.23</v>
      </c>
      <c r="DB1451">
        <v>-0.8</v>
      </c>
      <c r="DC1451">
        <v>-0.24</v>
      </c>
      <c r="DD1451">
        <v>56.87</v>
      </c>
      <c r="DE1451" t="s">
        <v>1098</v>
      </c>
      <c r="DF1451">
        <v>38.94</v>
      </c>
      <c r="DG1451">
        <v>0.48</v>
      </c>
      <c r="DH1451">
        <v>0.59</v>
      </c>
      <c r="DI1451">
        <v>0.04</v>
      </c>
      <c r="DJ1451">
        <v>241</v>
      </c>
      <c r="DK1451">
        <v>300069</v>
      </c>
      <c r="DL1451" t="s">
        <v>120</v>
      </c>
      <c r="DM1451" t="s">
        <v>120</v>
      </c>
      <c r="DN1451" t="s">
        <v>120</v>
      </c>
    </row>
    <row r="1452" spans="1:118">
      <c r="A1452" t="str">
        <f>"300070"</f>
        <v>300070</v>
      </c>
      <c r="B1452" t="s">
        <v>7644</v>
      </c>
      <c r="C1452">
        <v>-1.97</v>
      </c>
      <c r="D1452">
        <v>0</v>
      </c>
      <c r="E1452">
        <v>0</v>
      </c>
      <c r="F1452">
        <v>8273</v>
      </c>
      <c r="G1452" t="s">
        <v>7645</v>
      </c>
      <c r="H1452">
        <v>47435.97</v>
      </c>
      <c r="I1452">
        <v>120.63</v>
      </c>
      <c r="J1452" t="s">
        <v>120</v>
      </c>
      <c r="K1452" t="s">
        <v>7646</v>
      </c>
      <c r="L1452">
        <v>2.38</v>
      </c>
      <c r="M1452">
        <v>7.98</v>
      </c>
      <c r="N1452">
        <v>0.87</v>
      </c>
      <c r="O1452">
        <v>1.6</v>
      </c>
      <c r="P1452">
        <v>8.27</v>
      </c>
      <c r="Q1452">
        <v>-2.58</v>
      </c>
      <c r="R1452">
        <v>7.93</v>
      </c>
      <c r="S1452">
        <v>8.14</v>
      </c>
      <c r="T1452">
        <v>585694</v>
      </c>
      <c r="U1452">
        <v>7.99</v>
      </c>
      <c r="V1452">
        <v>8.14</v>
      </c>
      <c r="W1452">
        <v>111.93</v>
      </c>
      <c r="X1452" t="s">
        <v>318</v>
      </c>
      <c r="Y1452" t="s">
        <v>158</v>
      </c>
      <c r="Z1452">
        <v>4.18</v>
      </c>
      <c r="AA1452">
        <v>8.1</v>
      </c>
      <c r="AB1452">
        <v>289248</v>
      </c>
      <c r="AC1452">
        <v>296446</v>
      </c>
      <c r="AD1452">
        <v>0.98</v>
      </c>
      <c r="AE1452">
        <v>856</v>
      </c>
      <c r="AF1452">
        <v>874</v>
      </c>
      <c r="AG1452" t="s">
        <v>120</v>
      </c>
      <c r="AH1452">
        <v>0.01</v>
      </c>
      <c r="AI1452" t="s">
        <v>120</v>
      </c>
      <c r="AJ1452">
        <v>24.62</v>
      </c>
      <c r="AK1452" t="s">
        <v>7647</v>
      </c>
      <c r="AL1452">
        <v>-0.05</v>
      </c>
      <c r="AM1452">
        <v>4025</v>
      </c>
      <c r="AN1452">
        <v>146</v>
      </c>
      <c r="AO1452">
        <v>5.9999999999999995E-4</v>
      </c>
      <c r="AP1452">
        <v>-3</v>
      </c>
      <c r="AQ1452">
        <v>-1.33</v>
      </c>
      <c r="AR1452">
        <v>-6.44</v>
      </c>
      <c r="AS1452">
        <v>10.52</v>
      </c>
      <c r="AT1452">
        <v>7.11</v>
      </c>
      <c r="AU1452">
        <v>5.07</v>
      </c>
      <c r="AV1452">
        <v>0</v>
      </c>
      <c r="AW1452">
        <v>3.02</v>
      </c>
      <c r="AX1452">
        <v>61.2</v>
      </c>
      <c r="AY1452">
        <v>21.64</v>
      </c>
      <c r="AZ1452">
        <v>22.53</v>
      </c>
      <c r="BA1452">
        <v>0.31</v>
      </c>
      <c r="BB1452" t="s">
        <v>143</v>
      </c>
      <c r="BF1452">
        <v>-0.5</v>
      </c>
      <c r="BG1452">
        <v>-1.97</v>
      </c>
      <c r="BH1452">
        <v>-3.51</v>
      </c>
      <c r="BI1452">
        <v>0.63</v>
      </c>
      <c r="BJ1452">
        <v>20210910</v>
      </c>
      <c r="BK1452">
        <v>20100421</v>
      </c>
      <c r="BL1452">
        <v>31.65</v>
      </c>
      <c r="BM1452" t="s">
        <v>120</v>
      </c>
      <c r="BN1452" t="s">
        <v>120</v>
      </c>
      <c r="BO1452">
        <v>713.57</v>
      </c>
      <c r="BP1452">
        <v>7.98</v>
      </c>
      <c r="BQ1452">
        <v>211.24</v>
      </c>
      <c r="BR1452">
        <v>30.26</v>
      </c>
      <c r="BS1452">
        <v>66.16</v>
      </c>
      <c r="BT1452">
        <v>238.94</v>
      </c>
      <c r="BU1452">
        <v>6.74</v>
      </c>
      <c r="BV1452">
        <v>192.65</v>
      </c>
      <c r="BW1452">
        <v>240.73</v>
      </c>
      <c r="BX1452">
        <v>48.96</v>
      </c>
      <c r="BY1452">
        <v>3.56</v>
      </c>
      <c r="BZ1452">
        <v>82.75</v>
      </c>
      <c r="CA1452" t="s">
        <v>120</v>
      </c>
      <c r="CB1452">
        <v>68.400000000000006</v>
      </c>
      <c r="CC1452">
        <v>48.43</v>
      </c>
      <c r="CD1452">
        <v>35.36</v>
      </c>
      <c r="CE1452">
        <v>1.68</v>
      </c>
      <c r="CF1452">
        <v>-0.6</v>
      </c>
      <c r="CG1452">
        <v>1.79</v>
      </c>
      <c r="CH1452">
        <v>1.31</v>
      </c>
      <c r="CI1452">
        <v>1.1299999999999999</v>
      </c>
      <c r="CJ1452">
        <v>-0.16</v>
      </c>
      <c r="CK1452">
        <v>1</v>
      </c>
      <c r="CL1452">
        <v>105</v>
      </c>
      <c r="CM1452">
        <v>-11.62</v>
      </c>
      <c r="CN1452">
        <v>-12.11</v>
      </c>
      <c r="CO1452">
        <v>83262</v>
      </c>
      <c r="CP1452">
        <v>23262</v>
      </c>
      <c r="CQ1452" t="s">
        <v>7648</v>
      </c>
      <c r="CR1452">
        <v>71.58</v>
      </c>
      <c r="CS1452">
        <v>48.83</v>
      </c>
      <c r="CT1452">
        <v>1.2</v>
      </c>
      <c r="CU1452">
        <v>-21.73</v>
      </c>
      <c r="CV1452">
        <v>5.21</v>
      </c>
      <c r="CW1452">
        <v>0.68</v>
      </c>
      <c r="CX1452" t="s">
        <v>926</v>
      </c>
      <c r="CY1452">
        <v>6.68</v>
      </c>
      <c r="CZ1452">
        <v>0</v>
      </c>
      <c r="DA1452">
        <v>2.16</v>
      </c>
      <c r="DB1452">
        <v>3.32</v>
      </c>
      <c r="DC1452">
        <v>-0.37</v>
      </c>
      <c r="DD1452">
        <v>29.6</v>
      </c>
      <c r="DE1452" t="s">
        <v>4457</v>
      </c>
      <c r="DF1452">
        <v>26.99</v>
      </c>
      <c r="DG1452">
        <v>3.48</v>
      </c>
      <c r="DH1452">
        <v>2.33</v>
      </c>
      <c r="DI1452">
        <v>0.9</v>
      </c>
      <c r="DJ1452">
        <v>6151</v>
      </c>
      <c r="DK1452">
        <v>300070</v>
      </c>
      <c r="DL1452" t="s">
        <v>120</v>
      </c>
      <c r="DM1452" t="s">
        <v>120</v>
      </c>
      <c r="DN1452" t="s">
        <v>120</v>
      </c>
    </row>
    <row r="1453" spans="1:118">
      <c r="A1453" t="str">
        <f>"300072"</f>
        <v>300072</v>
      </c>
      <c r="B1453" t="s">
        <v>7649</v>
      </c>
      <c r="C1453">
        <v>-2.82</v>
      </c>
      <c r="D1453">
        <v>-0.27</v>
      </c>
      <c r="E1453">
        <v>-0.27</v>
      </c>
      <c r="F1453">
        <v>7387</v>
      </c>
      <c r="G1453" t="s">
        <v>7650</v>
      </c>
      <c r="H1453">
        <v>33715.32</v>
      </c>
      <c r="I1453">
        <v>449.15</v>
      </c>
      <c r="J1453" t="s">
        <v>120</v>
      </c>
      <c r="K1453" t="s">
        <v>7651</v>
      </c>
      <c r="L1453">
        <v>1.97</v>
      </c>
      <c r="M1453">
        <v>7.25</v>
      </c>
      <c r="N1453">
        <v>0.77</v>
      </c>
      <c r="O1453">
        <v>1.07</v>
      </c>
      <c r="P1453">
        <v>7.54</v>
      </c>
      <c r="Q1453">
        <v>-3.89</v>
      </c>
      <c r="R1453">
        <v>7.17</v>
      </c>
      <c r="S1453">
        <v>7.44</v>
      </c>
      <c r="T1453">
        <v>459870</v>
      </c>
      <c r="U1453">
        <v>7.25</v>
      </c>
      <c r="V1453">
        <v>7.46</v>
      </c>
      <c r="W1453" t="s">
        <v>120</v>
      </c>
      <c r="X1453" t="s">
        <v>318</v>
      </c>
      <c r="Y1453" t="s">
        <v>158</v>
      </c>
      <c r="Z1453">
        <v>4.96</v>
      </c>
      <c r="AA1453">
        <v>7.33</v>
      </c>
      <c r="AB1453">
        <v>267864</v>
      </c>
      <c r="AC1453">
        <v>192006</v>
      </c>
      <c r="AD1453">
        <v>1.4</v>
      </c>
      <c r="AE1453">
        <v>75</v>
      </c>
      <c r="AF1453">
        <v>516</v>
      </c>
      <c r="AG1453" t="s">
        <v>120</v>
      </c>
      <c r="AH1453">
        <v>0.05</v>
      </c>
      <c r="AI1453" t="s">
        <v>120</v>
      </c>
      <c r="AJ1453">
        <v>23.3</v>
      </c>
      <c r="AK1453" t="s">
        <v>7652</v>
      </c>
      <c r="AL1453">
        <v>-0.9</v>
      </c>
      <c r="AM1453">
        <v>3551</v>
      </c>
      <c r="AN1453">
        <v>130</v>
      </c>
      <c r="AO1453">
        <v>5.9999999999999995E-4</v>
      </c>
      <c r="AP1453">
        <v>-1</v>
      </c>
      <c r="AQ1453">
        <v>7.34</v>
      </c>
      <c r="AR1453">
        <v>1.83</v>
      </c>
      <c r="AS1453">
        <v>16.93</v>
      </c>
      <c r="AT1453">
        <v>21.44</v>
      </c>
      <c r="AU1453">
        <v>27.64</v>
      </c>
      <c r="AV1453">
        <v>0</v>
      </c>
      <c r="AW1453">
        <v>3.71</v>
      </c>
      <c r="AX1453">
        <v>52.7</v>
      </c>
      <c r="AY1453" t="s">
        <v>120</v>
      </c>
      <c r="AZ1453" t="s">
        <v>120</v>
      </c>
      <c r="BA1453">
        <v>0.32</v>
      </c>
      <c r="BB1453" t="s">
        <v>168</v>
      </c>
      <c r="BF1453">
        <v>-1.72</v>
      </c>
      <c r="BG1453">
        <v>-2.5499999999999998</v>
      </c>
      <c r="BH1453">
        <v>-3.85</v>
      </c>
      <c r="BI1453">
        <v>1.1200000000000001</v>
      </c>
      <c r="BJ1453">
        <v>20210827</v>
      </c>
      <c r="BK1453">
        <v>20100427</v>
      </c>
      <c r="BL1453">
        <v>23.5</v>
      </c>
      <c r="BM1453" t="s">
        <v>120</v>
      </c>
      <c r="BN1453" t="s">
        <v>120</v>
      </c>
      <c r="BO1453">
        <v>138.38999999999999</v>
      </c>
      <c r="BP1453">
        <v>7.24</v>
      </c>
      <c r="BQ1453">
        <v>77.56</v>
      </c>
      <c r="BR1453">
        <v>3.04</v>
      </c>
      <c r="BS1453">
        <v>41.76</v>
      </c>
      <c r="BT1453">
        <v>90.18</v>
      </c>
      <c r="BU1453">
        <v>15.46</v>
      </c>
      <c r="BV1453">
        <v>5.3</v>
      </c>
      <c r="BW1453">
        <v>54.39</v>
      </c>
      <c r="BX1453">
        <v>5.81</v>
      </c>
      <c r="BY1453">
        <v>19.93</v>
      </c>
      <c r="BZ1453">
        <v>41.81</v>
      </c>
      <c r="CA1453" t="s">
        <v>120</v>
      </c>
      <c r="CB1453">
        <v>11.24</v>
      </c>
      <c r="CC1453">
        <v>34.659999999999997</v>
      </c>
      <c r="CD1453">
        <v>30.39</v>
      </c>
      <c r="CE1453">
        <v>-3.18</v>
      </c>
      <c r="CF1453">
        <v>0.69</v>
      </c>
      <c r="CG1453">
        <v>-3.18</v>
      </c>
      <c r="CH1453">
        <v>-2.88</v>
      </c>
      <c r="CI1453">
        <v>-3.31</v>
      </c>
      <c r="CJ1453">
        <v>-0.21</v>
      </c>
      <c r="CK1453">
        <v>-4.13</v>
      </c>
      <c r="CL1453">
        <v>36.03</v>
      </c>
      <c r="CM1453">
        <v>1.73</v>
      </c>
      <c r="CN1453">
        <v>-12.81</v>
      </c>
      <c r="CO1453">
        <v>45250</v>
      </c>
      <c r="CP1453">
        <v>27367</v>
      </c>
      <c r="CQ1453" t="s">
        <v>7653</v>
      </c>
      <c r="CR1453">
        <v>-29.76</v>
      </c>
      <c r="CS1453">
        <v>25.5</v>
      </c>
      <c r="CT1453">
        <v>2.29</v>
      </c>
      <c r="CU1453">
        <v>98.68</v>
      </c>
      <c r="CV1453">
        <v>4.91</v>
      </c>
      <c r="CW1453">
        <v>0</v>
      </c>
      <c r="CX1453" t="s">
        <v>7654</v>
      </c>
      <c r="CY1453">
        <v>3.17</v>
      </c>
      <c r="CZ1453">
        <v>3.17</v>
      </c>
      <c r="DA1453">
        <v>0.48</v>
      </c>
      <c r="DB1453">
        <v>1.53</v>
      </c>
      <c r="DC1453">
        <v>7.0000000000000007E-2</v>
      </c>
      <c r="DD1453">
        <v>56.05</v>
      </c>
      <c r="DE1453" t="s">
        <v>7655</v>
      </c>
      <c r="DF1453">
        <v>12.32</v>
      </c>
      <c r="DG1453">
        <v>-9.17</v>
      </c>
      <c r="DH1453">
        <v>-9.5399999999999991</v>
      </c>
      <c r="DI1453">
        <v>1.21</v>
      </c>
      <c r="DJ1453">
        <v>5511</v>
      </c>
      <c r="DK1453">
        <v>300072</v>
      </c>
      <c r="DL1453">
        <v>20210915</v>
      </c>
      <c r="DM1453">
        <v>7.53</v>
      </c>
      <c r="DN1453">
        <v>-3.72</v>
      </c>
    </row>
    <row r="1454" spans="1:118">
      <c r="A1454" t="str">
        <f>"300073"</f>
        <v>300073</v>
      </c>
      <c r="B1454" t="s">
        <v>7656</v>
      </c>
      <c r="C1454">
        <v>-0.59</v>
      </c>
      <c r="D1454">
        <v>0.01</v>
      </c>
      <c r="E1454">
        <v>0.24</v>
      </c>
      <c r="F1454">
        <v>1574</v>
      </c>
      <c r="G1454" t="s">
        <v>7657</v>
      </c>
      <c r="H1454">
        <v>221122.89</v>
      </c>
      <c r="I1454">
        <v>678.26</v>
      </c>
      <c r="J1454" t="s">
        <v>120</v>
      </c>
      <c r="K1454" t="s">
        <v>7658</v>
      </c>
      <c r="L1454">
        <v>5.73</v>
      </c>
      <c r="M1454">
        <v>86.46</v>
      </c>
      <c r="N1454">
        <v>1.17</v>
      </c>
      <c r="O1454">
        <v>7.08</v>
      </c>
      <c r="P1454">
        <v>93.13</v>
      </c>
      <c r="Q1454">
        <v>-1.58</v>
      </c>
      <c r="R1454">
        <v>85.6</v>
      </c>
      <c r="S1454">
        <v>87.18</v>
      </c>
      <c r="T1454">
        <v>249737</v>
      </c>
      <c r="U1454">
        <v>86.47</v>
      </c>
      <c r="V1454">
        <v>86.97</v>
      </c>
      <c r="W1454">
        <v>43.87</v>
      </c>
      <c r="X1454" t="s">
        <v>394</v>
      </c>
      <c r="Y1454" t="s">
        <v>158</v>
      </c>
      <c r="Z1454">
        <v>8.66</v>
      </c>
      <c r="AA1454">
        <v>88.54</v>
      </c>
      <c r="AB1454">
        <v>128236</v>
      </c>
      <c r="AC1454">
        <v>121501</v>
      </c>
      <c r="AD1454">
        <v>1.06</v>
      </c>
      <c r="AE1454">
        <v>4</v>
      </c>
      <c r="AF1454">
        <v>9</v>
      </c>
      <c r="AG1454" t="s">
        <v>120</v>
      </c>
      <c r="AH1454">
        <v>0.02</v>
      </c>
      <c r="AI1454" t="s">
        <v>120</v>
      </c>
      <c r="AJ1454">
        <v>4.3600000000000003</v>
      </c>
      <c r="AK1454" t="s">
        <v>7659</v>
      </c>
      <c r="AL1454">
        <v>1.33</v>
      </c>
      <c r="AM1454">
        <v>4635</v>
      </c>
      <c r="AN1454">
        <v>54</v>
      </c>
      <c r="AO1454">
        <v>1.1999999999999999E-3</v>
      </c>
      <c r="AP1454">
        <v>-1</v>
      </c>
      <c r="AQ1454">
        <v>0.65</v>
      </c>
      <c r="AR1454">
        <v>2.93</v>
      </c>
      <c r="AS1454">
        <v>23.32</v>
      </c>
      <c r="AT1454">
        <v>49.09</v>
      </c>
      <c r="AU1454">
        <v>33.659999999999997</v>
      </c>
      <c r="AV1454">
        <v>3</v>
      </c>
      <c r="AW1454">
        <v>7.4</v>
      </c>
      <c r="AX1454">
        <v>74.36</v>
      </c>
      <c r="AY1454">
        <v>57.52</v>
      </c>
      <c r="AZ1454">
        <v>102.5</v>
      </c>
      <c r="BA1454">
        <v>1.9</v>
      </c>
      <c r="BB1454" t="s">
        <v>184</v>
      </c>
      <c r="BF1454">
        <v>1.81</v>
      </c>
      <c r="BG1454">
        <v>-0.83</v>
      </c>
      <c r="BH1454">
        <v>-7.16</v>
      </c>
      <c r="BI1454">
        <v>1</v>
      </c>
      <c r="BJ1454">
        <v>20210824</v>
      </c>
      <c r="BK1454">
        <v>20100427</v>
      </c>
      <c r="BL1454">
        <v>4.54</v>
      </c>
      <c r="BM1454" t="s">
        <v>120</v>
      </c>
      <c r="BN1454" t="s">
        <v>120</v>
      </c>
      <c r="BO1454">
        <v>68.59</v>
      </c>
      <c r="BP1454">
        <v>86.46</v>
      </c>
      <c r="BQ1454">
        <v>41.83</v>
      </c>
      <c r="BR1454" t="s">
        <v>120</v>
      </c>
      <c r="BS1454">
        <v>39.01</v>
      </c>
      <c r="BT1454">
        <v>49.16</v>
      </c>
      <c r="BU1454">
        <v>9.9700000000000006</v>
      </c>
      <c r="BV1454">
        <v>1.54</v>
      </c>
      <c r="BW1454">
        <v>24.08</v>
      </c>
      <c r="BX1454">
        <v>14.52</v>
      </c>
      <c r="BY1454">
        <v>9.14</v>
      </c>
      <c r="BZ1454">
        <v>15.96</v>
      </c>
      <c r="CA1454">
        <v>0.02</v>
      </c>
      <c r="CB1454">
        <v>25.94</v>
      </c>
      <c r="CC1454">
        <v>29.89</v>
      </c>
      <c r="CD1454">
        <v>23.56</v>
      </c>
      <c r="CE1454">
        <v>5.31</v>
      </c>
      <c r="CF1454">
        <v>0.32</v>
      </c>
      <c r="CG1454">
        <v>5.32</v>
      </c>
      <c r="CH1454">
        <v>4.47</v>
      </c>
      <c r="CI1454">
        <v>4.47</v>
      </c>
      <c r="CJ1454">
        <v>-0.51</v>
      </c>
      <c r="CK1454">
        <v>2.91</v>
      </c>
      <c r="CL1454">
        <v>10.58</v>
      </c>
      <c r="CM1454">
        <v>-1.0900000000000001</v>
      </c>
      <c r="CN1454">
        <v>-2.67</v>
      </c>
      <c r="CO1454">
        <v>44005</v>
      </c>
      <c r="CP1454">
        <v>7666</v>
      </c>
      <c r="CQ1454" t="s">
        <v>7660</v>
      </c>
      <c r="CR1454">
        <v>206.02</v>
      </c>
      <c r="CS1454">
        <v>174.08</v>
      </c>
      <c r="CT1454">
        <v>9.3800000000000008</v>
      </c>
      <c r="CU1454">
        <v>-360.14</v>
      </c>
      <c r="CV1454">
        <v>13.12</v>
      </c>
      <c r="CW1454">
        <v>0.19</v>
      </c>
      <c r="CX1454" t="s">
        <v>7661</v>
      </c>
      <c r="CY1454">
        <v>9.2200000000000006</v>
      </c>
      <c r="CZ1454">
        <v>0</v>
      </c>
      <c r="DA1454">
        <v>5.72</v>
      </c>
      <c r="DB1454">
        <v>2.33</v>
      </c>
      <c r="DC1454">
        <v>-0.24</v>
      </c>
      <c r="DD1454">
        <v>60.99</v>
      </c>
      <c r="DE1454" t="s">
        <v>7662</v>
      </c>
      <c r="DF1454">
        <v>21.17</v>
      </c>
      <c r="DG1454">
        <v>17.78</v>
      </c>
      <c r="DH1454">
        <v>14.96</v>
      </c>
      <c r="DI1454">
        <v>1.42</v>
      </c>
      <c r="DJ1454">
        <v>1149</v>
      </c>
      <c r="DK1454">
        <v>300073</v>
      </c>
      <c r="DL1454" t="s">
        <v>120</v>
      </c>
      <c r="DM1454" t="s">
        <v>120</v>
      </c>
      <c r="DN1454" t="s">
        <v>120</v>
      </c>
    </row>
    <row r="1455" spans="1:118">
      <c r="A1455" t="str">
        <f>"300074"</f>
        <v>300074</v>
      </c>
      <c r="B1455" t="s">
        <v>7663</v>
      </c>
      <c r="C1455">
        <v>-1.46</v>
      </c>
      <c r="D1455">
        <v>0.25</v>
      </c>
      <c r="E1455">
        <v>0</v>
      </c>
      <c r="F1455">
        <v>520</v>
      </c>
      <c r="G1455" t="s">
        <v>7664</v>
      </c>
      <c r="H1455">
        <v>2448</v>
      </c>
      <c r="I1455">
        <v>3.41</v>
      </c>
      <c r="J1455" t="s">
        <v>120</v>
      </c>
      <c r="K1455" t="s">
        <v>7665</v>
      </c>
      <c r="L1455">
        <v>1.1200000000000001</v>
      </c>
      <c r="M1455">
        <v>4.05</v>
      </c>
      <c r="N1455">
        <v>0.74</v>
      </c>
      <c r="O1455">
        <v>1.95</v>
      </c>
      <c r="P1455">
        <v>4.1900000000000004</v>
      </c>
      <c r="Q1455">
        <v>-1.7</v>
      </c>
      <c r="R1455">
        <v>4.04</v>
      </c>
      <c r="S1455">
        <v>4.1100000000000003</v>
      </c>
      <c r="T1455">
        <v>59489</v>
      </c>
      <c r="U1455">
        <v>4.05</v>
      </c>
      <c r="V1455">
        <v>4.1100000000000003</v>
      </c>
      <c r="W1455" t="s">
        <v>120</v>
      </c>
      <c r="X1455" t="s">
        <v>141</v>
      </c>
      <c r="Y1455" t="s">
        <v>1510</v>
      </c>
      <c r="Z1455">
        <v>3.65</v>
      </c>
      <c r="AA1455">
        <v>4.12</v>
      </c>
      <c r="AB1455">
        <v>34386</v>
      </c>
      <c r="AC1455">
        <v>25103</v>
      </c>
      <c r="AD1455">
        <v>1.37</v>
      </c>
      <c r="AE1455">
        <v>1817</v>
      </c>
      <c r="AF1455">
        <v>486</v>
      </c>
      <c r="AG1455" t="s">
        <v>120</v>
      </c>
      <c r="AH1455">
        <v>0</v>
      </c>
      <c r="AI1455" t="s">
        <v>120</v>
      </c>
      <c r="AJ1455">
        <v>5.31</v>
      </c>
      <c r="AK1455" t="s">
        <v>7666</v>
      </c>
      <c r="AL1455">
        <v>0.45</v>
      </c>
      <c r="AM1455">
        <v>1698</v>
      </c>
      <c r="AN1455">
        <v>35</v>
      </c>
      <c r="AO1455">
        <v>6.9999999999999999E-4</v>
      </c>
      <c r="AP1455">
        <v>-1</v>
      </c>
      <c r="AQ1455">
        <v>0.74</v>
      </c>
      <c r="AR1455">
        <v>-2.87</v>
      </c>
      <c r="AS1455">
        <v>-0.49</v>
      </c>
      <c r="AT1455">
        <v>-3.11</v>
      </c>
      <c r="AU1455">
        <v>-4.26</v>
      </c>
      <c r="AV1455">
        <v>0</v>
      </c>
      <c r="AW1455">
        <v>1.44</v>
      </c>
      <c r="AX1455">
        <v>77.39</v>
      </c>
      <c r="AY1455">
        <v>66.47</v>
      </c>
      <c r="AZ1455">
        <v>96.81</v>
      </c>
      <c r="BA1455">
        <v>0.66</v>
      </c>
      <c r="BB1455" t="s">
        <v>125</v>
      </c>
      <c r="BF1455">
        <v>0.12</v>
      </c>
      <c r="BG1455">
        <v>-1.46</v>
      </c>
      <c r="BH1455">
        <v>-3.34</v>
      </c>
      <c r="BI1455">
        <v>0.25</v>
      </c>
      <c r="BJ1455">
        <v>20210830</v>
      </c>
      <c r="BK1455">
        <v>20100427</v>
      </c>
      <c r="BL1455">
        <v>5.34</v>
      </c>
      <c r="BM1455" t="s">
        <v>120</v>
      </c>
      <c r="BN1455" t="s">
        <v>120</v>
      </c>
      <c r="BO1455">
        <v>14.95</v>
      </c>
      <c r="BP1455">
        <v>4.04</v>
      </c>
      <c r="BQ1455">
        <v>11.53</v>
      </c>
      <c r="BR1455">
        <v>0.09</v>
      </c>
      <c r="BS1455">
        <v>22.24</v>
      </c>
      <c r="BT1455">
        <v>7.28</v>
      </c>
      <c r="BU1455">
        <v>3.09</v>
      </c>
      <c r="BV1455">
        <v>0.17</v>
      </c>
      <c r="BW1455">
        <v>2.98</v>
      </c>
      <c r="BX1455">
        <v>0.55000000000000004</v>
      </c>
      <c r="BY1455">
        <v>1.1100000000000001</v>
      </c>
      <c r="BZ1455">
        <v>4.4800000000000004</v>
      </c>
      <c r="CA1455" t="s">
        <v>120</v>
      </c>
      <c r="CB1455">
        <v>1.99</v>
      </c>
      <c r="CC1455">
        <v>1.94</v>
      </c>
      <c r="CD1455">
        <v>1.1299999999999999</v>
      </c>
      <c r="CE1455">
        <v>-0.04</v>
      </c>
      <c r="CF1455">
        <v>0.06</v>
      </c>
      <c r="CG1455">
        <v>-0.04</v>
      </c>
      <c r="CH1455">
        <v>-0.02</v>
      </c>
      <c r="CI1455">
        <v>-0.03</v>
      </c>
      <c r="CJ1455">
        <v>-0.06</v>
      </c>
      <c r="CK1455">
        <v>-0.04</v>
      </c>
      <c r="CL1455">
        <v>3.75</v>
      </c>
      <c r="CM1455">
        <v>-0.3</v>
      </c>
      <c r="CN1455">
        <v>-2.2599999999999998</v>
      </c>
      <c r="CO1455">
        <v>29889</v>
      </c>
      <c r="CP1455">
        <v>13824</v>
      </c>
      <c r="CQ1455" t="s">
        <v>7667</v>
      </c>
      <c r="CR1455">
        <v>79.25</v>
      </c>
      <c r="CS1455">
        <v>7.32</v>
      </c>
      <c r="CT1455">
        <v>1.88</v>
      </c>
      <c r="CU1455">
        <v>-71.84</v>
      </c>
      <c r="CV1455">
        <v>11.16</v>
      </c>
      <c r="CW1455">
        <v>0</v>
      </c>
      <c r="CX1455" t="s">
        <v>7668</v>
      </c>
      <c r="CY1455">
        <v>2.16</v>
      </c>
      <c r="CZ1455">
        <v>0</v>
      </c>
      <c r="DA1455">
        <v>0.37</v>
      </c>
      <c r="DB1455">
        <v>0.7</v>
      </c>
      <c r="DC1455">
        <v>-0.06</v>
      </c>
      <c r="DD1455">
        <v>77.13</v>
      </c>
      <c r="DE1455" t="s">
        <v>7669</v>
      </c>
      <c r="DF1455">
        <v>41.64</v>
      </c>
      <c r="DG1455">
        <v>-2.23</v>
      </c>
      <c r="DH1455">
        <v>-1.4</v>
      </c>
      <c r="DI1455">
        <v>0.17</v>
      </c>
      <c r="DJ1455">
        <v>459</v>
      </c>
      <c r="DK1455">
        <v>300074</v>
      </c>
      <c r="DL1455" t="s">
        <v>120</v>
      </c>
      <c r="DM1455" t="s">
        <v>120</v>
      </c>
      <c r="DN1455" t="s">
        <v>120</v>
      </c>
    </row>
    <row r="1456" spans="1:118">
      <c r="A1456" t="str">
        <f>"300075"</f>
        <v>300075</v>
      </c>
      <c r="B1456" t="s">
        <v>7670</v>
      </c>
      <c r="C1456">
        <v>-3.02</v>
      </c>
      <c r="D1456">
        <v>0</v>
      </c>
      <c r="E1456">
        <v>0</v>
      </c>
      <c r="F1456">
        <v>2266</v>
      </c>
      <c r="G1456" t="s">
        <v>7671</v>
      </c>
      <c r="H1456">
        <v>18543.990000000002</v>
      </c>
      <c r="I1456">
        <v>73.53</v>
      </c>
      <c r="J1456" t="s">
        <v>120</v>
      </c>
      <c r="K1456" t="s">
        <v>5405</v>
      </c>
      <c r="L1456">
        <v>3.79</v>
      </c>
      <c r="M1456">
        <v>12.51</v>
      </c>
      <c r="N1456">
        <v>0.82</v>
      </c>
      <c r="O1456">
        <v>1.24</v>
      </c>
      <c r="P1456">
        <v>13.06</v>
      </c>
      <c r="Q1456">
        <v>-3.41</v>
      </c>
      <c r="R1456">
        <v>12.46</v>
      </c>
      <c r="S1456">
        <v>12.9</v>
      </c>
      <c r="T1456">
        <v>145974</v>
      </c>
      <c r="U1456">
        <v>12.51</v>
      </c>
      <c r="V1456">
        <v>12.9</v>
      </c>
      <c r="W1456">
        <v>27.51</v>
      </c>
      <c r="X1456" t="s">
        <v>141</v>
      </c>
      <c r="Y1456" t="s">
        <v>158</v>
      </c>
      <c r="Z1456">
        <v>4.6500000000000004</v>
      </c>
      <c r="AA1456">
        <v>12.7</v>
      </c>
      <c r="AB1456">
        <v>87720</v>
      </c>
      <c r="AC1456">
        <v>58254</v>
      </c>
      <c r="AD1456">
        <v>1.51</v>
      </c>
      <c r="AE1456">
        <v>218</v>
      </c>
      <c r="AF1456">
        <v>612</v>
      </c>
      <c r="AG1456" t="s">
        <v>120</v>
      </c>
      <c r="AH1456">
        <v>0.02</v>
      </c>
      <c r="AI1456" t="s">
        <v>120</v>
      </c>
      <c r="AJ1456">
        <v>3.85</v>
      </c>
      <c r="AK1456" t="s">
        <v>7672</v>
      </c>
      <c r="AL1456">
        <v>-1.1100000000000001</v>
      </c>
      <c r="AM1456">
        <v>3050</v>
      </c>
      <c r="AN1456">
        <v>48</v>
      </c>
      <c r="AO1456">
        <v>1.1999999999999999E-3</v>
      </c>
      <c r="AP1456">
        <v>-1</v>
      </c>
      <c r="AQ1456">
        <v>1.57</v>
      </c>
      <c r="AR1456">
        <v>-0.96</v>
      </c>
      <c r="AS1456">
        <v>3.56</v>
      </c>
      <c r="AT1456">
        <v>9.74</v>
      </c>
      <c r="AU1456">
        <v>7.38</v>
      </c>
      <c r="AV1456">
        <v>0</v>
      </c>
      <c r="AW1456">
        <v>4.1100000000000003</v>
      </c>
      <c r="AX1456">
        <v>73.42</v>
      </c>
      <c r="AY1456">
        <v>31.63</v>
      </c>
      <c r="AZ1456">
        <v>39.35</v>
      </c>
      <c r="BA1456">
        <v>0.78</v>
      </c>
      <c r="BB1456" t="s">
        <v>143</v>
      </c>
      <c r="BF1456">
        <v>-1.52</v>
      </c>
      <c r="BG1456">
        <v>-3.02</v>
      </c>
      <c r="BH1456">
        <v>-4.21</v>
      </c>
      <c r="BI1456">
        <v>0.4</v>
      </c>
      <c r="BJ1456">
        <v>20210827</v>
      </c>
      <c r="BK1456">
        <v>20100427</v>
      </c>
      <c r="BL1456">
        <v>4.84</v>
      </c>
      <c r="BM1456" t="s">
        <v>120</v>
      </c>
      <c r="BN1456" t="s">
        <v>120</v>
      </c>
      <c r="BO1456">
        <v>40.72</v>
      </c>
      <c r="BP1456">
        <v>12.5</v>
      </c>
      <c r="BQ1456">
        <v>32.51</v>
      </c>
      <c r="BR1456">
        <v>0.08</v>
      </c>
      <c r="BS1456">
        <v>19.98</v>
      </c>
      <c r="BT1456">
        <v>30.97</v>
      </c>
      <c r="BU1456">
        <v>0.96</v>
      </c>
      <c r="BV1456">
        <v>1.19</v>
      </c>
      <c r="BW1456">
        <v>6.89</v>
      </c>
      <c r="BX1456">
        <v>6.73</v>
      </c>
      <c r="BY1456">
        <v>2.39</v>
      </c>
      <c r="BZ1456">
        <v>12.76</v>
      </c>
      <c r="CA1456" t="s">
        <v>120</v>
      </c>
      <c r="CB1456">
        <v>16.920000000000002</v>
      </c>
      <c r="CC1456">
        <v>6.64</v>
      </c>
      <c r="CD1456">
        <v>4.01</v>
      </c>
      <c r="CE1456">
        <v>1.24</v>
      </c>
      <c r="CF1456">
        <v>0.02</v>
      </c>
      <c r="CG1456">
        <v>1.26</v>
      </c>
      <c r="CH1456">
        <v>1.1000000000000001</v>
      </c>
      <c r="CI1456">
        <v>1.1000000000000001</v>
      </c>
      <c r="CJ1456">
        <v>-0.39</v>
      </c>
      <c r="CK1456">
        <v>1.06</v>
      </c>
      <c r="CL1456">
        <v>9.7899999999999991</v>
      </c>
      <c r="CM1456">
        <v>-1.45</v>
      </c>
      <c r="CN1456">
        <v>-9.0500000000000007</v>
      </c>
      <c r="CO1456">
        <v>48102</v>
      </c>
      <c r="CP1456">
        <v>7387</v>
      </c>
      <c r="CQ1456" t="s">
        <v>7673</v>
      </c>
      <c r="CR1456">
        <v>54.25</v>
      </c>
      <c r="CS1456">
        <v>36.450000000000003</v>
      </c>
      <c r="CT1456">
        <v>1.86</v>
      </c>
      <c r="CU1456">
        <v>-41.63</v>
      </c>
      <c r="CV1456">
        <v>9.1199999999999992</v>
      </c>
      <c r="CW1456">
        <v>0.31</v>
      </c>
      <c r="CX1456" t="s">
        <v>694</v>
      </c>
      <c r="CY1456">
        <v>6.72</v>
      </c>
      <c r="CZ1456">
        <v>0</v>
      </c>
      <c r="DA1456">
        <v>3.5</v>
      </c>
      <c r="DB1456">
        <v>2.02</v>
      </c>
      <c r="DC1456">
        <v>-0.3</v>
      </c>
      <c r="DD1456">
        <v>79.83</v>
      </c>
      <c r="DE1456" t="s">
        <v>543</v>
      </c>
      <c r="DF1456">
        <v>39.57</v>
      </c>
      <c r="DG1456">
        <v>18.7</v>
      </c>
      <c r="DH1456">
        <v>16.57</v>
      </c>
      <c r="DI1456">
        <v>0.48</v>
      </c>
      <c r="DJ1456">
        <v>8323</v>
      </c>
      <c r="DK1456">
        <v>300075</v>
      </c>
      <c r="DL1456" t="s">
        <v>120</v>
      </c>
      <c r="DM1456" t="s">
        <v>120</v>
      </c>
      <c r="DN1456" t="s">
        <v>120</v>
      </c>
    </row>
    <row r="1457" spans="1:118">
      <c r="A1457" t="str">
        <f>"300076"</f>
        <v>300076</v>
      </c>
      <c r="B1457" t="s">
        <v>7674</v>
      </c>
      <c r="C1457">
        <v>-3.23</v>
      </c>
      <c r="D1457">
        <v>0</v>
      </c>
      <c r="E1457">
        <v>0</v>
      </c>
      <c r="F1457">
        <v>2297</v>
      </c>
      <c r="G1457" t="s">
        <v>5746</v>
      </c>
      <c r="H1457">
        <v>6069.91</v>
      </c>
      <c r="I1457">
        <v>11.07</v>
      </c>
      <c r="J1457" t="s">
        <v>120</v>
      </c>
      <c r="K1457" t="s">
        <v>7675</v>
      </c>
      <c r="L1457">
        <v>2.98</v>
      </c>
      <c r="M1457">
        <v>5.0999999999999996</v>
      </c>
      <c r="N1457">
        <v>0.62</v>
      </c>
      <c r="O1457">
        <v>1.33</v>
      </c>
      <c r="P1457">
        <v>5.34</v>
      </c>
      <c r="Q1457">
        <v>-3.23</v>
      </c>
      <c r="R1457">
        <v>5.0999999999999996</v>
      </c>
      <c r="S1457">
        <v>5.27</v>
      </c>
      <c r="T1457">
        <v>116705</v>
      </c>
      <c r="U1457">
        <v>5.1100000000000003</v>
      </c>
      <c r="V1457">
        <v>5.27</v>
      </c>
      <c r="W1457" t="s">
        <v>120</v>
      </c>
      <c r="X1457" t="s">
        <v>238</v>
      </c>
      <c r="Y1457" t="s">
        <v>585</v>
      </c>
      <c r="Z1457">
        <v>4.55</v>
      </c>
      <c r="AA1457">
        <v>5.2</v>
      </c>
      <c r="AB1457">
        <v>74020</v>
      </c>
      <c r="AC1457">
        <v>42685</v>
      </c>
      <c r="AD1457">
        <v>1.73</v>
      </c>
      <c r="AE1457">
        <v>1714</v>
      </c>
      <c r="AF1457">
        <v>663</v>
      </c>
      <c r="AG1457" t="s">
        <v>120</v>
      </c>
      <c r="AH1457">
        <v>0.01</v>
      </c>
      <c r="AI1457" t="s">
        <v>120</v>
      </c>
      <c r="AJ1457">
        <v>3.92</v>
      </c>
      <c r="AK1457" t="s">
        <v>7666</v>
      </c>
      <c r="AL1457">
        <v>-1.31</v>
      </c>
      <c r="AM1457">
        <v>2158</v>
      </c>
      <c r="AN1457">
        <v>54</v>
      </c>
      <c r="AO1457">
        <v>1.4E-3</v>
      </c>
      <c r="AP1457">
        <v>-3</v>
      </c>
      <c r="AQ1457">
        <v>-0.38</v>
      </c>
      <c r="AR1457">
        <v>-6.43</v>
      </c>
      <c r="AS1457">
        <v>-4.49</v>
      </c>
      <c r="AT1457">
        <v>-25.44</v>
      </c>
      <c r="AU1457">
        <v>-0.39</v>
      </c>
      <c r="AV1457">
        <v>2</v>
      </c>
      <c r="AW1457">
        <v>4.75</v>
      </c>
      <c r="AX1457">
        <v>57.97</v>
      </c>
      <c r="AY1457" t="s">
        <v>120</v>
      </c>
      <c r="AZ1457">
        <v>140.71</v>
      </c>
      <c r="BA1457">
        <v>0.94</v>
      </c>
      <c r="BB1457" t="s">
        <v>143</v>
      </c>
      <c r="BF1457">
        <v>-1.31</v>
      </c>
      <c r="BG1457">
        <v>-3.23</v>
      </c>
      <c r="BH1457">
        <v>-4.49</v>
      </c>
      <c r="BI1457">
        <v>0</v>
      </c>
      <c r="BJ1457">
        <v>20210830</v>
      </c>
      <c r="BK1457">
        <v>20100430</v>
      </c>
      <c r="BL1457">
        <v>4.24</v>
      </c>
      <c r="BM1457" t="s">
        <v>120</v>
      </c>
      <c r="BN1457" t="s">
        <v>120</v>
      </c>
      <c r="BO1457">
        <v>11.12</v>
      </c>
      <c r="BP1457">
        <v>5.0999999999999996</v>
      </c>
      <c r="BQ1457">
        <v>10.220000000000001</v>
      </c>
      <c r="BR1457">
        <v>0.04</v>
      </c>
      <c r="BS1457">
        <v>7.8</v>
      </c>
      <c r="BT1457">
        <v>9.25</v>
      </c>
      <c r="BU1457">
        <v>0.63</v>
      </c>
      <c r="BV1457">
        <v>0.43</v>
      </c>
      <c r="BW1457">
        <v>0.83</v>
      </c>
      <c r="BX1457">
        <v>2.74</v>
      </c>
      <c r="BY1457">
        <v>0.53</v>
      </c>
      <c r="BZ1457">
        <v>1.18</v>
      </c>
      <c r="CA1457" t="s">
        <v>120</v>
      </c>
      <c r="CB1457">
        <v>5.08</v>
      </c>
      <c r="CC1457">
        <v>0.69</v>
      </c>
      <c r="CD1457">
        <v>0.55000000000000004</v>
      </c>
      <c r="CE1457">
        <v>-0.1</v>
      </c>
      <c r="CF1457">
        <v>0.06</v>
      </c>
      <c r="CG1457">
        <v>-0.1</v>
      </c>
      <c r="CH1457">
        <v>-0.1</v>
      </c>
      <c r="CI1457">
        <v>-0.1</v>
      </c>
      <c r="CJ1457">
        <v>-0.17</v>
      </c>
      <c r="CK1457">
        <v>-0.15</v>
      </c>
      <c r="CL1457">
        <v>0.59</v>
      </c>
      <c r="CM1457">
        <v>-1.5</v>
      </c>
      <c r="CN1457">
        <v>0.08</v>
      </c>
      <c r="CO1457">
        <v>35997</v>
      </c>
      <c r="CP1457">
        <v>6829</v>
      </c>
      <c r="CQ1457" t="s">
        <v>978</v>
      </c>
      <c r="CR1457">
        <v>-213.55</v>
      </c>
      <c r="CS1457">
        <v>12</v>
      </c>
      <c r="CT1457">
        <v>2.12</v>
      </c>
      <c r="CU1457">
        <v>-14.44</v>
      </c>
      <c r="CV1457">
        <v>31.11</v>
      </c>
      <c r="CW1457">
        <v>0</v>
      </c>
      <c r="CX1457" t="s">
        <v>419</v>
      </c>
      <c r="CY1457">
        <v>2.41</v>
      </c>
      <c r="CZ1457">
        <v>0</v>
      </c>
      <c r="DA1457">
        <v>1.2</v>
      </c>
      <c r="DB1457">
        <v>0.14000000000000001</v>
      </c>
      <c r="DC1457">
        <v>-0.35</v>
      </c>
      <c r="DD1457">
        <v>91.88</v>
      </c>
      <c r="DE1457" t="s">
        <v>7676</v>
      </c>
      <c r="DF1457">
        <v>21.06</v>
      </c>
      <c r="DG1457">
        <v>-14.95</v>
      </c>
      <c r="DH1457">
        <v>-14.07</v>
      </c>
      <c r="DI1457">
        <v>0.03</v>
      </c>
      <c r="DJ1457">
        <v>233</v>
      </c>
      <c r="DK1457">
        <v>300076</v>
      </c>
      <c r="DL1457" t="s">
        <v>120</v>
      </c>
      <c r="DM1457" t="s">
        <v>120</v>
      </c>
      <c r="DN1457" t="s">
        <v>120</v>
      </c>
    </row>
    <row r="1458" spans="1:118">
      <c r="A1458" t="str">
        <f>"300077"</f>
        <v>300077</v>
      </c>
      <c r="B1458" t="s">
        <v>7677</v>
      </c>
      <c r="C1458">
        <v>-6.48</v>
      </c>
      <c r="D1458">
        <v>0</v>
      </c>
      <c r="E1458">
        <v>-0.55000000000000004</v>
      </c>
      <c r="F1458">
        <v>6158</v>
      </c>
      <c r="G1458" t="s">
        <v>7678</v>
      </c>
      <c r="H1458">
        <v>112944.28</v>
      </c>
      <c r="I1458">
        <v>434.62</v>
      </c>
      <c r="J1458" t="s">
        <v>120</v>
      </c>
      <c r="K1458" t="s">
        <v>7678</v>
      </c>
      <c r="L1458">
        <v>6.81</v>
      </c>
      <c r="M1458">
        <v>29.15</v>
      </c>
      <c r="N1458">
        <v>0.71</v>
      </c>
      <c r="O1458">
        <v>2.69</v>
      </c>
      <c r="P1458">
        <v>32.01</v>
      </c>
      <c r="Q1458">
        <v>-6.71</v>
      </c>
      <c r="R1458">
        <v>29.08</v>
      </c>
      <c r="S1458">
        <v>31</v>
      </c>
      <c r="T1458">
        <v>370957</v>
      </c>
      <c r="U1458">
        <v>29.15</v>
      </c>
      <c r="V1458">
        <v>31.17</v>
      </c>
      <c r="W1458">
        <v>200.2</v>
      </c>
      <c r="X1458" t="s">
        <v>3245</v>
      </c>
      <c r="Y1458" t="s">
        <v>123</v>
      </c>
      <c r="Z1458">
        <v>9.4</v>
      </c>
      <c r="AA1458">
        <v>30.45</v>
      </c>
      <c r="AB1458">
        <v>199542</v>
      </c>
      <c r="AC1458">
        <v>171415</v>
      </c>
      <c r="AD1458">
        <v>1.1599999999999999</v>
      </c>
      <c r="AE1458">
        <v>230</v>
      </c>
      <c r="AF1458">
        <v>276</v>
      </c>
      <c r="AG1458" t="s">
        <v>120</v>
      </c>
      <c r="AH1458">
        <v>0.03</v>
      </c>
      <c r="AI1458" t="s">
        <v>120</v>
      </c>
      <c r="AJ1458">
        <v>5.45</v>
      </c>
      <c r="AK1458" t="s">
        <v>7679</v>
      </c>
      <c r="AL1458">
        <v>-4.57</v>
      </c>
      <c r="AM1458">
        <v>4604</v>
      </c>
      <c r="AN1458">
        <v>81</v>
      </c>
      <c r="AO1458">
        <v>1.5E-3</v>
      </c>
      <c r="AP1458">
        <v>-2</v>
      </c>
      <c r="AQ1458">
        <v>-5.0599999999999996</v>
      </c>
      <c r="AR1458">
        <v>-8.4499999999999993</v>
      </c>
      <c r="AS1458">
        <v>-4.6500000000000004</v>
      </c>
      <c r="AT1458">
        <v>107.03</v>
      </c>
      <c r="AU1458">
        <v>255.93</v>
      </c>
      <c r="AV1458">
        <v>6</v>
      </c>
      <c r="AW1458">
        <v>6.81</v>
      </c>
      <c r="AX1458">
        <v>91.97</v>
      </c>
      <c r="AY1458">
        <v>212.88</v>
      </c>
      <c r="AZ1458">
        <v>1644.3</v>
      </c>
      <c r="BA1458">
        <v>1.04</v>
      </c>
      <c r="BB1458" t="s">
        <v>125</v>
      </c>
      <c r="BF1458">
        <v>-2.3199999999999998</v>
      </c>
      <c r="BG1458">
        <v>-5.97</v>
      </c>
      <c r="BH1458">
        <v>-8.93</v>
      </c>
      <c r="BI1458">
        <v>0.24</v>
      </c>
      <c r="BJ1458">
        <v>20210828</v>
      </c>
      <c r="BK1458">
        <v>20100430</v>
      </c>
      <c r="BL1458">
        <v>5.93</v>
      </c>
      <c r="BM1458" t="s">
        <v>120</v>
      </c>
      <c r="BN1458" t="s">
        <v>120</v>
      </c>
      <c r="BO1458">
        <v>20.43</v>
      </c>
      <c r="BP1458">
        <v>29.14</v>
      </c>
      <c r="BQ1458">
        <v>11.47</v>
      </c>
      <c r="BR1458">
        <v>-0.19</v>
      </c>
      <c r="BS1458">
        <v>44.83</v>
      </c>
      <c r="BT1458">
        <v>8.66</v>
      </c>
      <c r="BU1458">
        <v>3.56</v>
      </c>
      <c r="BV1458">
        <v>1.06</v>
      </c>
      <c r="BW1458">
        <v>5.29</v>
      </c>
      <c r="BX1458">
        <v>2.1</v>
      </c>
      <c r="BY1458">
        <v>2.4300000000000002</v>
      </c>
      <c r="BZ1458">
        <v>1.89</v>
      </c>
      <c r="CA1458" t="s">
        <v>120</v>
      </c>
      <c r="CB1458">
        <v>19.760000000000002</v>
      </c>
      <c r="CC1458">
        <v>2.81</v>
      </c>
      <c r="CD1458">
        <v>1.62</v>
      </c>
      <c r="CE1458">
        <v>0.47</v>
      </c>
      <c r="CF1458">
        <v>0.69</v>
      </c>
      <c r="CG1458">
        <v>0.49</v>
      </c>
      <c r="CH1458">
        <v>0.39</v>
      </c>
      <c r="CI1458">
        <v>0.43</v>
      </c>
      <c r="CJ1458">
        <v>-2.02</v>
      </c>
      <c r="CK1458">
        <v>-0.47</v>
      </c>
      <c r="CL1458">
        <v>-15.89</v>
      </c>
      <c r="CM1458">
        <v>-0.96</v>
      </c>
      <c r="CN1458">
        <v>-0.91</v>
      </c>
      <c r="CO1458">
        <v>72936</v>
      </c>
      <c r="CP1458">
        <v>7473</v>
      </c>
      <c r="CQ1458" t="s">
        <v>7680</v>
      </c>
      <c r="CR1458">
        <v>233.18</v>
      </c>
      <c r="CS1458">
        <v>66.12</v>
      </c>
      <c r="CT1458">
        <v>14.18</v>
      </c>
      <c r="CU1458">
        <v>-179.13</v>
      </c>
      <c r="CV1458">
        <v>61.52</v>
      </c>
      <c r="CW1458">
        <v>0</v>
      </c>
      <c r="CX1458" t="s">
        <v>535</v>
      </c>
      <c r="CY1458">
        <v>2.06</v>
      </c>
      <c r="CZ1458">
        <v>2.06</v>
      </c>
      <c r="DA1458">
        <v>3.33</v>
      </c>
      <c r="DB1458">
        <v>-2.68</v>
      </c>
      <c r="DC1458">
        <v>-0.16</v>
      </c>
      <c r="DD1458">
        <v>56.11</v>
      </c>
      <c r="DE1458" t="s">
        <v>2098</v>
      </c>
      <c r="DF1458">
        <v>42.23</v>
      </c>
      <c r="DG1458">
        <v>16.79</v>
      </c>
      <c r="DH1458">
        <v>15.36</v>
      </c>
      <c r="DI1458">
        <v>0.72</v>
      </c>
      <c r="DJ1458">
        <v>754</v>
      </c>
      <c r="DK1458">
        <v>300077</v>
      </c>
      <c r="DL1458">
        <v>20210820</v>
      </c>
      <c r="DM1458">
        <v>29.45</v>
      </c>
      <c r="DN1458">
        <v>-1.02</v>
      </c>
    </row>
    <row r="1459" spans="1:118">
      <c r="A1459" t="str">
        <f>"300078"</f>
        <v>300078</v>
      </c>
      <c r="B1459" t="s">
        <v>7681</v>
      </c>
      <c r="C1459">
        <v>-3.24</v>
      </c>
      <c r="D1459">
        <v>-1.04</v>
      </c>
      <c r="E1459">
        <v>0</v>
      </c>
      <c r="F1459">
        <v>8128</v>
      </c>
      <c r="G1459" t="s">
        <v>7671</v>
      </c>
      <c r="H1459">
        <v>6531.74</v>
      </c>
      <c r="I1459">
        <v>5.0199999999999996</v>
      </c>
      <c r="J1459" t="s">
        <v>120</v>
      </c>
      <c r="K1459" t="s">
        <v>7464</v>
      </c>
      <c r="L1459">
        <v>1.1599999999999999</v>
      </c>
      <c r="M1459">
        <v>6.57</v>
      </c>
      <c r="N1459">
        <v>0.98</v>
      </c>
      <c r="O1459">
        <v>0.28999999999999998</v>
      </c>
      <c r="P1459">
        <v>6.81</v>
      </c>
      <c r="Q1459">
        <v>-3.24</v>
      </c>
      <c r="R1459">
        <v>6.57</v>
      </c>
      <c r="S1459">
        <v>6.79</v>
      </c>
      <c r="T1459">
        <v>97390</v>
      </c>
      <c r="U1459">
        <v>6.58</v>
      </c>
      <c r="V1459">
        <v>6.79</v>
      </c>
      <c r="W1459">
        <v>103.8</v>
      </c>
      <c r="X1459" t="s">
        <v>141</v>
      </c>
      <c r="Y1459" t="s">
        <v>585</v>
      </c>
      <c r="Z1459">
        <v>3.53</v>
      </c>
      <c r="AA1459">
        <v>6.71</v>
      </c>
      <c r="AB1459">
        <v>62092</v>
      </c>
      <c r="AC1459">
        <v>35298</v>
      </c>
      <c r="AD1459">
        <v>1.76</v>
      </c>
      <c r="AE1459">
        <v>1489</v>
      </c>
      <c r="AF1459">
        <v>424</v>
      </c>
      <c r="AG1459" t="s">
        <v>120</v>
      </c>
      <c r="AH1459">
        <v>0</v>
      </c>
      <c r="AI1459" t="s">
        <v>120</v>
      </c>
      <c r="AJ1459">
        <v>8.36</v>
      </c>
      <c r="AK1459" t="s">
        <v>7682</v>
      </c>
      <c r="AL1459">
        <v>-1.33</v>
      </c>
      <c r="AM1459">
        <v>1555</v>
      </c>
      <c r="AN1459">
        <v>63</v>
      </c>
      <c r="AO1459">
        <v>6.9999999999999999E-4</v>
      </c>
      <c r="AP1459">
        <v>-2</v>
      </c>
      <c r="AQ1459">
        <v>-0.28999999999999998</v>
      </c>
      <c r="AR1459">
        <v>-2.23</v>
      </c>
      <c r="AS1459">
        <v>-4.09</v>
      </c>
      <c r="AT1459">
        <v>-8.58</v>
      </c>
      <c r="AU1459">
        <v>-27.29</v>
      </c>
      <c r="AV1459">
        <v>0</v>
      </c>
      <c r="AW1459">
        <v>1.44</v>
      </c>
      <c r="AX1459">
        <v>78.11</v>
      </c>
      <c r="AY1459">
        <v>68.48</v>
      </c>
      <c r="AZ1459">
        <v>56.07</v>
      </c>
      <c r="BA1459">
        <v>0.66</v>
      </c>
      <c r="BB1459" t="s">
        <v>143</v>
      </c>
      <c r="BF1459">
        <v>-1.23</v>
      </c>
      <c r="BG1459">
        <v>-3.24</v>
      </c>
      <c r="BH1459">
        <v>-3.52</v>
      </c>
      <c r="BI1459">
        <v>0</v>
      </c>
      <c r="BJ1459">
        <v>20210910</v>
      </c>
      <c r="BK1459">
        <v>20100430</v>
      </c>
      <c r="BL1459">
        <v>8.66</v>
      </c>
      <c r="BM1459" t="s">
        <v>120</v>
      </c>
      <c r="BN1459" t="s">
        <v>120</v>
      </c>
      <c r="BO1459">
        <v>52.63</v>
      </c>
      <c r="BP1459">
        <v>6.57</v>
      </c>
      <c r="BQ1459">
        <v>29.36</v>
      </c>
      <c r="BR1459">
        <v>0.34</v>
      </c>
      <c r="BS1459">
        <v>43.57</v>
      </c>
      <c r="BT1459">
        <v>28.34</v>
      </c>
      <c r="BU1459">
        <v>4</v>
      </c>
      <c r="BV1459">
        <v>1.39</v>
      </c>
      <c r="BW1459">
        <v>7.72</v>
      </c>
      <c r="BX1459">
        <v>6.01</v>
      </c>
      <c r="BY1459">
        <v>2</v>
      </c>
      <c r="BZ1459">
        <v>11.98</v>
      </c>
      <c r="CA1459" t="s">
        <v>120</v>
      </c>
      <c r="CB1459">
        <v>13.82</v>
      </c>
      <c r="CC1459">
        <v>6.5</v>
      </c>
      <c r="CD1459">
        <v>4.0199999999999996</v>
      </c>
      <c r="CE1459">
        <v>0.32</v>
      </c>
      <c r="CF1459">
        <v>0.1</v>
      </c>
      <c r="CG1459">
        <v>0.32</v>
      </c>
      <c r="CH1459">
        <v>0.26</v>
      </c>
      <c r="CI1459">
        <v>0.27</v>
      </c>
      <c r="CJ1459">
        <v>-0.22</v>
      </c>
      <c r="CK1459">
        <v>0.08</v>
      </c>
      <c r="CL1459">
        <v>6.99</v>
      </c>
      <c r="CM1459">
        <v>0.88</v>
      </c>
      <c r="CN1459">
        <v>2</v>
      </c>
      <c r="CO1459">
        <v>52915</v>
      </c>
      <c r="CP1459">
        <v>12785</v>
      </c>
      <c r="CQ1459" t="s">
        <v>661</v>
      </c>
      <c r="CR1459">
        <v>-40.950000000000003</v>
      </c>
      <c r="CS1459">
        <v>-9.5500000000000007</v>
      </c>
      <c r="CT1459">
        <v>2.1</v>
      </c>
      <c r="CU1459">
        <v>64.69</v>
      </c>
      <c r="CV1459">
        <v>8.76</v>
      </c>
      <c r="CW1459">
        <v>0.18</v>
      </c>
      <c r="CX1459" t="s">
        <v>2074</v>
      </c>
      <c r="CY1459">
        <v>3.13</v>
      </c>
      <c r="CZ1459">
        <v>3.13</v>
      </c>
      <c r="DA1459">
        <v>1.6</v>
      </c>
      <c r="DB1459">
        <v>0.81</v>
      </c>
      <c r="DC1459">
        <v>0.1</v>
      </c>
      <c r="DD1459">
        <v>55.78</v>
      </c>
      <c r="DE1459" t="s">
        <v>4005</v>
      </c>
      <c r="DF1459">
        <v>38.14</v>
      </c>
      <c r="DG1459">
        <v>4.99</v>
      </c>
      <c r="DH1459">
        <v>4.22</v>
      </c>
      <c r="DI1459">
        <v>0.73</v>
      </c>
      <c r="DJ1459">
        <v>2304</v>
      </c>
      <c r="DK1459">
        <v>300078</v>
      </c>
      <c r="DL1459" t="s">
        <v>120</v>
      </c>
      <c r="DM1459" t="s">
        <v>120</v>
      </c>
      <c r="DN1459" t="s">
        <v>120</v>
      </c>
    </row>
    <row r="1460" spans="1:118">
      <c r="A1460" t="str">
        <f>"300079"</f>
        <v>300079</v>
      </c>
      <c r="B1460" t="s">
        <v>7683</v>
      </c>
      <c r="C1460">
        <v>-9.8800000000000008</v>
      </c>
      <c r="D1460">
        <v>-0.09</v>
      </c>
      <c r="E1460">
        <v>0.36</v>
      </c>
      <c r="F1460">
        <v>14740</v>
      </c>
      <c r="G1460" t="s">
        <v>7684</v>
      </c>
      <c r="H1460">
        <v>192373.42</v>
      </c>
      <c r="I1460">
        <v>1347.51</v>
      </c>
      <c r="J1460" t="s">
        <v>120</v>
      </c>
      <c r="K1460" t="s">
        <v>7685</v>
      </c>
      <c r="L1460">
        <v>14.21</v>
      </c>
      <c r="M1460">
        <v>10.130000000000001</v>
      </c>
      <c r="N1460">
        <v>0.95</v>
      </c>
      <c r="O1460">
        <v>2.4</v>
      </c>
      <c r="P1460">
        <v>11.51</v>
      </c>
      <c r="Q1460">
        <v>-10.14</v>
      </c>
      <c r="R1460">
        <v>10.1</v>
      </c>
      <c r="S1460">
        <v>11.28</v>
      </c>
      <c r="T1460">
        <v>1799974</v>
      </c>
      <c r="U1460">
        <v>10.14</v>
      </c>
      <c r="V1460">
        <v>11.24</v>
      </c>
      <c r="W1460">
        <v>103.77</v>
      </c>
      <c r="X1460" t="s">
        <v>462</v>
      </c>
      <c r="Y1460" t="s">
        <v>158</v>
      </c>
      <c r="Z1460">
        <v>12.54</v>
      </c>
      <c r="AA1460">
        <v>10.69</v>
      </c>
      <c r="AB1460">
        <v>1024818</v>
      </c>
      <c r="AC1460">
        <v>775156</v>
      </c>
      <c r="AD1460">
        <v>1.32</v>
      </c>
      <c r="AE1460">
        <v>1729</v>
      </c>
      <c r="AF1460">
        <v>1625</v>
      </c>
      <c r="AG1460" t="s">
        <v>120</v>
      </c>
      <c r="AH1460">
        <v>0.1</v>
      </c>
      <c r="AI1460" t="s">
        <v>120</v>
      </c>
      <c r="AJ1460">
        <v>12.67</v>
      </c>
      <c r="AK1460" t="s">
        <v>7686</v>
      </c>
      <c r="AL1460">
        <v>-7.96</v>
      </c>
      <c r="AM1460">
        <v>4672</v>
      </c>
      <c r="AN1460">
        <v>385</v>
      </c>
      <c r="AO1460">
        <v>3.0000000000000001E-3</v>
      </c>
      <c r="AP1460">
        <v>-1</v>
      </c>
      <c r="AQ1460">
        <v>2.1800000000000002</v>
      </c>
      <c r="AR1460">
        <v>-10.35</v>
      </c>
      <c r="AS1460">
        <v>6.86</v>
      </c>
      <c r="AT1460">
        <v>34.17</v>
      </c>
      <c r="AU1460">
        <v>116.92</v>
      </c>
      <c r="AV1460">
        <v>5</v>
      </c>
      <c r="AW1460">
        <v>14.84</v>
      </c>
      <c r="AX1460">
        <v>84.9</v>
      </c>
      <c r="AY1460">
        <v>113.24</v>
      </c>
      <c r="AZ1460">
        <v>209.33</v>
      </c>
      <c r="BA1460">
        <v>1.55</v>
      </c>
      <c r="BB1460" t="s">
        <v>143</v>
      </c>
      <c r="BF1460">
        <v>-4.91</v>
      </c>
      <c r="BG1460">
        <v>-10.199999999999999</v>
      </c>
      <c r="BH1460">
        <v>-11.99</v>
      </c>
      <c r="BI1460">
        <v>0.3</v>
      </c>
      <c r="BJ1460">
        <v>20210909</v>
      </c>
      <c r="BK1460">
        <v>20100430</v>
      </c>
      <c r="BL1460">
        <v>14.29</v>
      </c>
      <c r="BM1460" t="s">
        <v>120</v>
      </c>
      <c r="BN1460" t="s">
        <v>120</v>
      </c>
      <c r="BO1460">
        <v>46.4</v>
      </c>
      <c r="BP1460">
        <v>10.130000000000001</v>
      </c>
      <c r="BQ1460">
        <v>39.729999999999997</v>
      </c>
      <c r="BR1460">
        <v>0.39</v>
      </c>
      <c r="BS1460">
        <v>13.54</v>
      </c>
      <c r="BT1460">
        <v>30.8</v>
      </c>
      <c r="BU1460">
        <v>3.39</v>
      </c>
      <c r="BV1460">
        <v>5.37</v>
      </c>
      <c r="BW1460">
        <v>6.22</v>
      </c>
      <c r="BX1460">
        <v>20.09</v>
      </c>
      <c r="BY1460">
        <v>3.58</v>
      </c>
      <c r="BZ1460">
        <v>3.99</v>
      </c>
      <c r="CA1460">
        <v>0.16</v>
      </c>
      <c r="CB1460">
        <v>8.9700000000000006</v>
      </c>
      <c r="CC1460">
        <v>4.7300000000000004</v>
      </c>
      <c r="CD1460">
        <v>2.56</v>
      </c>
      <c r="CE1460">
        <v>0.62</v>
      </c>
      <c r="CF1460">
        <v>0.12</v>
      </c>
      <c r="CG1460">
        <v>0.62</v>
      </c>
      <c r="CH1460">
        <v>0.74</v>
      </c>
      <c r="CI1460">
        <v>0.7</v>
      </c>
      <c r="CJ1460">
        <v>-1.1100000000000001</v>
      </c>
      <c r="CK1460">
        <v>0.46</v>
      </c>
      <c r="CL1460">
        <v>15.42</v>
      </c>
      <c r="CM1460">
        <v>0.39</v>
      </c>
      <c r="CN1460">
        <v>0.35</v>
      </c>
      <c r="CO1460">
        <v>81000</v>
      </c>
      <c r="CP1460">
        <v>14978</v>
      </c>
      <c r="CQ1460" t="s">
        <v>7687</v>
      </c>
      <c r="CR1460">
        <v>1404.67</v>
      </c>
      <c r="CS1460">
        <v>19.18</v>
      </c>
      <c r="CT1460">
        <v>3.64</v>
      </c>
      <c r="CU1460">
        <v>375.48</v>
      </c>
      <c r="CV1460">
        <v>30.6</v>
      </c>
      <c r="CW1460">
        <v>0</v>
      </c>
      <c r="CX1460" t="s">
        <v>1248</v>
      </c>
      <c r="CY1460">
        <v>2.78</v>
      </c>
      <c r="CZ1460">
        <v>0</v>
      </c>
      <c r="DA1460">
        <v>0.63</v>
      </c>
      <c r="DB1460">
        <v>1.08</v>
      </c>
      <c r="DC1460">
        <v>0.03</v>
      </c>
      <c r="DD1460">
        <v>85.63</v>
      </c>
      <c r="DE1460" t="s">
        <v>6403</v>
      </c>
      <c r="DF1460">
        <v>45.8</v>
      </c>
      <c r="DG1460">
        <v>13.14</v>
      </c>
      <c r="DH1460">
        <v>14.74</v>
      </c>
      <c r="DI1460">
        <v>0.42</v>
      </c>
      <c r="DJ1460">
        <v>736</v>
      </c>
      <c r="DK1460">
        <v>300079</v>
      </c>
      <c r="DL1460">
        <v>20210908</v>
      </c>
      <c r="DM1460">
        <v>11.98</v>
      </c>
      <c r="DN1460">
        <v>-15.44</v>
      </c>
    </row>
    <row r="1461" spans="1:118">
      <c r="A1461" t="str">
        <f>"300080"</f>
        <v>300080</v>
      </c>
      <c r="B1461" t="s">
        <v>7688</v>
      </c>
      <c r="C1461">
        <v>2.91</v>
      </c>
      <c r="D1461">
        <v>-0.12</v>
      </c>
      <c r="E1461">
        <v>0.53</v>
      </c>
      <c r="F1461">
        <v>9154</v>
      </c>
      <c r="G1461" t="s">
        <v>7689</v>
      </c>
      <c r="H1461">
        <v>126645.16</v>
      </c>
      <c r="I1461">
        <v>3345.64</v>
      </c>
      <c r="J1461" t="s">
        <v>120</v>
      </c>
      <c r="K1461" t="s">
        <v>7690</v>
      </c>
      <c r="L1461">
        <v>14.95</v>
      </c>
      <c r="M1461">
        <v>7.78</v>
      </c>
      <c r="N1461">
        <v>3.46</v>
      </c>
      <c r="O1461">
        <v>9.1300000000000008</v>
      </c>
      <c r="P1461">
        <v>8.25</v>
      </c>
      <c r="Q1461">
        <v>-1.06</v>
      </c>
      <c r="R1461">
        <v>7.48</v>
      </c>
      <c r="S1461">
        <v>7.6</v>
      </c>
      <c r="T1461">
        <v>1632086</v>
      </c>
      <c r="U1461">
        <v>7.78</v>
      </c>
      <c r="V1461">
        <v>7.56</v>
      </c>
      <c r="W1461">
        <v>675.26</v>
      </c>
      <c r="X1461" t="s">
        <v>394</v>
      </c>
      <c r="Y1461" t="s">
        <v>645</v>
      </c>
      <c r="Z1461">
        <v>10.19</v>
      </c>
      <c r="AA1461">
        <v>7.76</v>
      </c>
      <c r="AB1461">
        <v>813834</v>
      </c>
      <c r="AC1461">
        <v>818252</v>
      </c>
      <c r="AD1461">
        <v>0.99</v>
      </c>
      <c r="AE1461">
        <v>329</v>
      </c>
      <c r="AF1461">
        <v>3949</v>
      </c>
      <c r="AG1461" t="s">
        <v>120</v>
      </c>
      <c r="AH1461">
        <v>0.8</v>
      </c>
      <c r="AI1461" t="s">
        <v>120</v>
      </c>
      <c r="AJ1461">
        <v>10.92</v>
      </c>
      <c r="AK1461" t="s">
        <v>7691</v>
      </c>
      <c r="AL1461">
        <v>4.82</v>
      </c>
      <c r="AM1461">
        <v>4542</v>
      </c>
      <c r="AN1461">
        <v>359</v>
      </c>
      <c r="AO1461">
        <v>3.3E-3</v>
      </c>
      <c r="AP1461">
        <v>4</v>
      </c>
      <c r="AQ1461">
        <v>20</v>
      </c>
      <c r="AR1461">
        <v>27.75</v>
      </c>
      <c r="AS1461">
        <v>32.99</v>
      </c>
      <c r="AT1461">
        <v>41.97</v>
      </c>
      <c r="AU1461">
        <v>27.12</v>
      </c>
      <c r="AV1461">
        <v>2</v>
      </c>
      <c r="AW1461">
        <v>29.6</v>
      </c>
      <c r="AX1461">
        <v>25.51</v>
      </c>
      <c r="AY1461" t="s">
        <v>120</v>
      </c>
      <c r="AZ1461" t="s">
        <v>120</v>
      </c>
      <c r="BA1461">
        <v>0.8</v>
      </c>
      <c r="BB1461" t="s">
        <v>751</v>
      </c>
      <c r="BF1461">
        <v>2.64</v>
      </c>
      <c r="BG1461">
        <v>2.37</v>
      </c>
      <c r="BH1461">
        <v>-5.7</v>
      </c>
      <c r="BI1461">
        <v>4.01</v>
      </c>
      <c r="BJ1461">
        <v>20210910</v>
      </c>
      <c r="BK1461">
        <v>20100625</v>
      </c>
      <c r="BL1461">
        <v>21.62</v>
      </c>
      <c r="BM1461" t="s">
        <v>120</v>
      </c>
      <c r="BN1461" t="s">
        <v>120</v>
      </c>
      <c r="BO1461">
        <v>97.02</v>
      </c>
      <c r="BP1461">
        <v>7.77</v>
      </c>
      <c r="BQ1461">
        <v>48.53</v>
      </c>
      <c r="BR1461">
        <v>5.81</v>
      </c>
      <c r="BS1461">
        <v>44</v>
      </c>
      <c r="BT1461">
        <v>47.03</v>
      </c>
      <c r="BU1461">
        <v>33.39</v>
      </c>
      <c r="BV1461">
        <v>2.34</v>
      </c>
      <c r="BW1461">
        <v>35.57</v>
      </c>
      <c r="BX1461">
        <v>20.67</v>
      </c>
      <c r="BY1461">
        <v>13.26</v>
      </c>
      <c r="BZ1461">
        <v>4.72</v>
      </c>
      <c r="CA1461" t="s">
        <v>120</v>
      </c>
      <c r="CB1461">
        <v>8.77</v>
      </c>
      <c r="CC1461">
        <v>27.8</v>
      </c>
      <c r="CD1461">
        <v>25.83</v>
      </c>
      <c r="CE1461">
        <v>0.05</v>
      </c>
      <c r="CF1461">
        <v>0.01</v>
      </c>
      <c r="CG1461">
        <v>0.05</v>
      </c>
      <c r="CH1461">
        <v>0.02</v>
      </c>
      <c r="CI1461">
        <v>0.12</v>
      </c>
      <c r="CJ1461">
        <v>0.22</v>
      </c>
      <c r="CK1461">
        <v>-0.32</v>
      </c>
      <c r="CL1461">
        <v>18.54</v>
      </c>
      <c r="CM1461">
        <v>0.02</v>
      </c>
      <c r="CN1461">
        <v>-4.4800000000000004</v>
      </c>
      <c r="CO1461">
        <v>36452</v>
      </c>
      <c r="CP1461">
        <v>15129</v>
      </c>
      <c r="CQ1461" t="s">
        <v>5776</v>
      </c>
      <c r="CR1461">
        <v>-24.05</v>
      </c>
      <c r="CS1461">
        <v>68.260000000000005</v>
      </c>
      <c r="CT1461">
        <v>3.35</v>
      </c>
      <c r="CU1461">
        <v>9520.7900000000009</v>
      </c>
      <c r="CV1461">
        <v>6.05</v>
      </c>
      <c r="CW1461">
        <v>0</v>
      </c>
      <c r="CX1461" t="s">
        <v>178</v>
      </c>
      <c r="CY1461">
        <v>2.3199999999999998</v>
      </c>
      <c r="CZ1461">
        <v>2.3199999999999998</v>
      </c>
      <c r="DA1461">
        <v>0.41</v>
      </c>
      <c r="DB1461">
        <v>0.86</v>
      </c>
      <c r="DC1461">
        <v>0</v>
      </c>
      <c r="DD1461">
        <v>50.02</v>
      </c>
      <c r="DE1461" t="s">
        <v>7692</v>
      </c>
      <c r="DF1461">
        <v>7.09</v>
      </c>
      <c r="DG1461">
        <v>0.18</v>
      </c>
      <c r="DH1461">
        <v>0.45</v>
      </c>
      <c r="DI1461">
        <v>0.47</v>
      </c>
      <c r="DJ1461">
        <v>4416</v>
      </c>
      <c r="DK1461">
        <v>300080</v>
      </c>
      <c r="DL1461">
        <v>20210915</v>
      </c>
      <c r="DM1461">
        <v>7.56</v>
      </c>
      <c r="DN1461">
        <v>2.91</v>
      </c>
    </row>
    <row r="1462" spans="1:118">
      <c r="A1462" t="str">
        <f>"300081"</f>
        <v>300081</v>
      </c>
      <c r="B1462" t="s">
        <v>7693</v>
      </c>
      <c r="C1462">
        <v>0.64</v>
      </c>
      <c r="D1462">
        <v>0.21</v>
      </c>
      <c r="E1462">
        <v>1.17</v>
      </c>
      <c r="F1462">
        <v>2033</v>
      </c>
      <c r="G1462" t="s">
        <v>7694</v>
      </c>
      <c r="H1462">
        <v>18029.669999999998</v>
      </c>
      <c r="I1462">
        <v>45.6</v>
      </c>
      <c r="J1462" t="s">
        <v>120</v>
      </c>
      <c r="K1462" t="s">
        <v>6558</v>
      </c>
      <c r="L1462">
        <v>4.95</v>
      </c>
      <c r="M1462">
        <v>9.4700000000000006</v>
      </c>
      <c r="N1462">
        <v>0.5</v>
      </c>
      <c r="O1462">
        <v>6.27</v>
      </c>
      <c r="P1462">
        <v>10</v>
      </c>
      <c r="Q1462">
        <v>-0.11</v>
      </c>
      <c r="R1462">
        <v>9.4</v>
      </c>
      <c r="S1462">
        <v>9.52</v>
      </c>
      <c r="T1462">
        <v>187038</v>
      </c>
      <c r="U1462">
        <v>9.4700000000000006</v>
      </c>
      <c r="V1462">
        <v>9.41</v>
      </c>
      <c r="W1462">
        <v>237.45</v>
      </c>
      <c r="X1462" t="s">
        <v>213</v>
      </c>
      <c r="Y1462" t="s">
        <v>158</v>
      </c>
      <c r="Z1462">
        <v>6.38</v>
      </c>
      <c r="AA1462">
        <v>9.64</v>
      </c>
      <c r="AB1462">
        <v>84637</v>
      </c>
      <c r="AC1462">
        <v>102401</v>
      </c>
      <c r="AD1462">
        <v>0.83</v>
      </c>
      <c r="AE1462">
        <v>671</v>
      </c>
      <c r="AF1462">
        <v>373</v>
      </c>
      <c r="AG1462" t="s">
        <v>120</v>
      </c>
      <c r="AH1462">
        <v>0.01</v>
      </c>
      <c r="AI1462" t="s">
        <v>120</v>
      </c>
      <c r="AJ1462">
        <v>3.78</v>
      </c>
      <c r="AK1462" t="s">
        <v>7695</v>
      </c>
      <c r="AL1462">
        <v>2.5499999999999998</v>
      </c>
      <c r="AM1462">
        <v>3573</v>
      </c>
      <c r="AN1462">
        <v>52</v>
      </c>
      <c r="AO1462">
        <v>1.4E-3</v>
      </c>
      <c r="AP1462">
        <v>2</v>
      </c>
      <c r="AQ1462">
        <v>0.64</v>
      </c>
      <c r="AR1462">
        <v>-2.97</v>
      </c>
      <c r="AS1462">
        <v>21.72</v>
      </c>
      <c r="AT1462">
        <v>22.67</v>
      </c>
      <c r="AU1462">
        <v>4.41</v>
      </c>
      <c r="AV1462">
        <v>0</v>
      </c>
      <c r="AW1462">
        <v>5.15</v>
      </c>
      <c r="AX1462">
        <v>68.67</v>
      </c>
      <c r="AY1462" t="s">
        <v>120</v>
      </c>
      <c r="AZ1462" t="s">
        <v>120</v>
      </c>
      <c r="BA1462">
        <v>0.31</v>
      </c>
      <c r="BB1462" t="s">
        <v>341</v>
      </c>
      <c r="BF1462">
        <v>2.44</v>
      </c>
      <c r="BG1462">
        <v>-0.53</v>
      </c>
      <c r="BH1462">
        <v>-5.3</v>
      </c>
      <c r="BI1462">
        <v>0.74</v>
      </c>
      <c r="BJ1462">
        <v>20210817</v>
      </c>
      <c r="BK1462">
        <v>20100520</v>
      </c>
      <c r="BL1462">
        <v>5.29</v>
      </c>
      <c r="BM1462" t="s">
        <v>120</v>
      </c>
      <c r="BN1462" t="s">
        <v>120</v>
      </c>
      <c r="BO1462">
        <v>25.21</v>
      </c>
      <c r="BP1462">
        <v>9.4499999999999993</v>
      </c>
      <c r="BQ1462">
        <v>20.22</v>
      </c>
      <c r="BR1462">
        <v>0.05</v>
      </c>
      <c r="BS1462">
        <v>19.600000000000001</v>
      </c>
      <c r="BT1462">
        <v>13.36</v>
      </c>
      <c r="BU1462">
        <v>0.2</v>
      </c>
      <c r="BV1462">
        <v>1.53</v>
      </c>
      <c r="BW1462">
        <v>4.5599999999999996</v>
      </c>
      <c r="BX1462">
        <v>1.55</v>
      </c>
      <c r="BY1462">
        <v>5.13</v>
      </c>
      <c r="BZ1462">
        <v>2.66</v>
      </c>
      <c r="CA1462" t="s">
        <v>120</v>
      </c>
      <c r="CB1462">
        <v>15.43</v>
      </c>
      <c r="CC1462">
        <v>2.57</v>
      </c>
      <c r="CD1462">
        <v>1.86</v>
      </c>
      <c r="CE1462">
        <v>0.19</v>
      </c>
      <c r="CF1462">
        <v>0.04</v>
      </c>
      <c r="CG1462">
        <v>0.19</v>
      </c>
      <c r="CH1462">
        <v>0.13</v>
      </c>
      <c r="CI1462">
        <v>0.11</v>
      </c>
      <c r="CJ1462">
        <v>0.06</v>
      </c>
      <c r="CK1462">
        <v>-0.45</v>
      </c>
      <c r="CL1462">
        <v>0.22</v>
      </c>
      <c r="CM1462">
        <v>-0.56999999999999995</v>
      </c>
      <c r="CN1462">
        <v>-0.03</v>
      </c>
      <c r="CO1462">
        <v>22424</v>
      </c>
      <c r="CP1462">
        <v>16204</v>
      </c>
      <c r="CQ1462" t="s">
        <v>7696</v>
      </c>
      <c r="CR1462">
        <v>127.05</v>
      </c>
      <c r="CS1462">
        <v>35.15</v>
      </c>
      <c r="CT1462">
        <v>2.48</v>
      </c>
      <c r="CU1462">
        <v>-87.39</v>
      </c>
      <c r="CV1462">
        <v>19.53</v>
      </c>
      <c r="CW1462">
        <v>0</v>
      </c>
      <c r="CX1462" t="s">
        <v>499</v>
      </c>
      <c r="CY1462">
        <v>3.82</v>
      </c>
      <c r="CZ1462">
        <v>0</v>
      </c>
      <c r="DA1462">
        <v>2.92</v>
      </c>
      <c r="DB1462">
        <v>0.04</v>
      </c>
      <c r="DC1462">
        <v>-0.11</v>
      </c>
      <c r="DD1462">
        <v>80.209999999999994</v>
      </c>
      <c r="DE1462" t="s">
        <v>2746</v>
      </c>
      <c r="DF1462">
        <v>27.54</v>
      </c>
      <c r="DG1462">
        <v>7.33</v>
      </c>
      <c r="DH1462">
        <v>4.1100000000000003</v>
      </c>
      <c r="DI1462">
        <v>0.3</v>
      </c>
      <c r="DJ1462">
        <v>702</v>
      </c>
      <c r="DK1462">
        <v>300081</v>
      </c>
      <c r="DL1462" t="s">
        <v>120</v>
      </c>
      <c r="DM1462" t="s">
        <v>120</v>
      </c>
      <c r="DN1462" t="s">
        <v>120</v>
      </c>
    </row>
    <row r="1463" spans="1:118">
      <c r="A1463" t="str">
        <f>"300082"</f>
        <v>300082</v>
      </c>
      <c r="B1463" t="s">
        <v>7697</v>
      </c>
      <c r="C1463">
        <v>-0.39</v>
      </c>
      <c r="D1463">
        <v>-0.38</v>
      </c>
      <c r="E1463">
        <v>-1.36</v>
      </c>
      <c r="F1463">
        <v>4912</v>
      </c>
      <c r="G1463" t="s">
        <v>7698</v>
      </c>
      <c r="H1463">
        <v>176121.74</v>
      </c>
      <c r="I1463">
        <v>2505.88</v>
      </c>
      <c r="J1463" t="s">
        <v>120</v>
      </c>
      <c r="K1463" t="s">
        <v>7699</v>
      </c>
      <c r="L1463">
        <v>9.09</v>
      </c>
      <c r="M1463">
        <v>27.88</v>
      </c>
      <c r="N1463">
        <v>0.99</v>
      </c>
      <c r="O1463">
        <v>8.61</v>
      </c>
      <c r="P1463">
        <v>30.4</v>
      </c>
      <c r="Q1463">
        <v>-3.54</v>
      </c>
      <c r="R1463">
        <v>27</v>
      </c>
      <c r="S1463">
        <v>27.61</v>
      </c>
      <c r="T1463">
        <v>615834</v>
      </c>
      <c r="U1463">
        <v>27.89</v>
      </c>
      <c r="V1463">
        <v>27.99</v>
      </c>
      <c r="W1463">
        <v>113.59</v>
      </c>
      <c r="X1463" t="s">
        <v>868</v>
      </c>
      <c r="Y1463" t="s">
        <v>432</v>
      </c>
      <c r="Z1463">
        <v>12.15</v>
      </c>
      <c r="AA1463">
        <v>28.6</v>
      </c>
      <c r="AB1463">
        <v>298003</v>
      </c>
      <c r="AC1463">
        <v>317831</v>
      </c>
      <c r="AD1463">
        <v>0.94</v>
      </c>
      <c r="AE1463">
        <v>56</v>
      </c>
      <c r="AF1463">
        <v>33</v>
      </c>
      <c r="AG1463" t="s">
        <v>120</v>
      </c>
      <c r="AH1463">
        <v>0.28999999999999998</v>
      </c>
      <c r="AI1463" t="s">
        <v>120</v>
      </c>
      <c r="AJ1463">
        <v>6.78</v>
      </c>
      <c r="AK1463" t="s">
        <v>7700</v>
      </c>
      <c r="AL1463">
        <v>1.52</v>
      </c>
      <c r="AM1463">
        <v>4629</v>
      </c>
      <c r="AN1463">
        <v>133</v>
      </c>
      <c r="AO1463">
        <v>2E-3</v>
      </c>
      <c r="AP1463">
        <v>-1</v>
      </c>
      <c r="AQ1463">
        <v>8.8699999999999992</v>
      </c>
      <c r="AR1463">
        <v>12.88</v>
      </c>
      <c r="AS1463">
        <v>61.62</v>
      </c>
      <c r="AT1463">
        <v>160.31</v>
      </c>
      <c r="AU1463">
        <v>177.06</v>
      </c>
      <c r="AV1463">
        <v>6</v>
      </c>
      <c r="AW1463">
        <v>19.37</v>
      </c>
      <c r="AX1463">
        <v>46.75</v>
      </c>
      <c r="AY1463">
        <v>55.22</v>
      </c>
      <c r="AZ1463">
        <v>47.27</v>
      </c>
      <c r="BA1463">
        <v>1.83</v>
      </c>
      <c r="BB1463" t="s">
        <v>184</v>
      </c>
      <c r="BF1463">
        <v>2.1800000000000002</v>
      </c>
      <c r="BG1463">
        <v>0.98</v>
      </c>
      <c r="BH1463">
        <v>-8.2899999999999991</v>
      </c>
      <c r="BI1463">
        <v>3.26</v>
      </c>
      <c r="BJ1463">
        <v>20210827</v>
      </c>
      <c r="BK1463">
        <v>20100520</v>
      </c>
      <c r="BL1463">
        <v>6.8</v>
      </c>
      <c r="BM1463" t="s">
        <v>120</v>
      </c>
      <c r="BN1463" t="s">
        <v>120</v>
      </c>
      <c r="BO1463">
        <v>56.13</v>
      </c>
      <c r="BP1463">
        <v>27.88</v>
      </c>
      <c r="BQ1463">
        <v>31.3</v>
      </c>
      <c r="BR1463">
        <v>2.41</v>
      </c>
      <c r="BS1463">
        <v>39.94</v>
      </c>
      <c r="BT1463">
        <v>22.31</v>
      </c>
      <c r="BU1463">
        <v>18.32</v>
      </c>
      <c r="BV1463">
        <v>3.71</v>
      </c>
      <c r="BW1463">
        <v>21.54</v>
      </c>
      <c r="BX1463">
        <v>6.74</v>
      </c>
      <c r="BY1463">
        <v>3.79</v>
      </c>
      <c r="BZ1463">
        <v>3.18</v>
      </c>
      <c r="CA1463" t="s">
        <v>120</v>
      </c>
      <c r="CB1463">
        <v>15.88</v>
      </c>
      <c r="CC1463">
        <v>31.17</v>
      </c>
      <c r="CD1463">
        <v>29.03</v>
      </c>
      <c r="CE1463">
        <v>1.07</v>
      </c>
      <c r="CF1463">
        <v>0.21</v>
      </c>
      <c r="CG1463">
        <v>1.07</v>
      </c>
      <c r="CH1463">
        <v>0.91</v>
      </c>
      <c r="CI1463">
        <v>0.83</v>
      </c>
      <c r="CJ1463">
        <v>-0.11</v>
      </c>
      <c r="CK1463">
        <v>0.7</v>
      </c>
      <c r="CL1463">
        <v>6.32</v>
      </c>
      <c r="CM1463">
        <v>1.83</v>
      </c>
      <c r="CN1463">
        <v>0.11</v>
      </c>
      <c r="CO1463">
        <v>29898</v>
      </c>
      <c r="CP1463">
        <v>10635</v>
      </c>
      <c r="CQ1463" t="s">
        <v>7701</v>
      </c>
      <c r="CR1463">
        <v>-40.99</v>
      </c>
      <c r="CS1463">
        <v>32.35</v>
      </c>
      <c r="CT1463">
        <v>6.06</v>
      </c>
      <c r="CU1463">
        <v>103.84</v>
      </c>
      <c r="CV1463">
        <v>6.08</v>
      </c>
      <c r="CW1463">
        <v>1.28</v>
      </c>
      <c r="CX1463" t="s">
        <v>850</v>
      </c>
      <c r="CY1463">
        <v>4.5999999999999996</v>
      </c>
      <c r="CZ1463">
        <v>0</v>
      </c>
      <c r="DA1463">
        <v>2.33</v>
      </c>
      <c r="DB1463">
        <v>0.93</v>
      </c>
      <c r="DC1463">
        <v>0.27</v>
      </c>
      <c r="DD1463">
        <v>55.76</v>
      </c>
      <c r="DE1463" t="s">
        <v>1846</v>
      </c>
      <c r="DF1463">
        <v>6.87</v>
      </c>
      <c r="DG1463">
        <v>3.44</v>
      </c>
      <c r="DH1463">
        <v>2.68</v>
      </c>
      <c r="DI1463">
        <v>0.24</v>
      </c>
      <c r="DJ1463">
        <v>1545</v>
      </c>
      <c r="DK1463">
        <v>300082</v>
      </c>
      <c r="DL1463">
        <v>20210915</v>
      </c>
      <c r="DM1463">
        <v>28.63</v>
      </c>
      <c r="DN1463">
        <v>-2.62</v>
      </c>
    </row>
    <row r="1464" spans="1:118">
      <c r="A1464" t="str">
        <f>"300083"</f>
        <v>300083</v>
      </c>
      <c r="B1464" t="s">
        <v>7702</v>
      </c>
      <c r="C1464" t="s">
        <v>120</v>
      </c>
      <c r="D1464" t="s">
        <v>120</v>
      </c>
      <c r="E1464" t="s">
        <v>120</v>
      </c>
      <c r="F1464">
        <v>0</v>
      </c>
      <c r="G1464" t="s">
        <v>7703</v>
      </c>
      <c r="H1464">
        <v>0</v>
      </c>
      <c r="I1464">
        <v>0</v>
      </c>
      <c r="J1464" t="s">
        <v>120</v>
      </c>
      <c r="K1464" t="s">
        <v>7704</v>
      </c>
      <c r="L1464" t="s">
        <v>120</v>
      </c>
      <c r="M1464">
        <v>15.52</v>
      </c>
      <c r="N1464">
        <v>0</v>
      </c>
      <c r="O1464" t="s">
        <v>120</v>
      </c>
      <c r="P1464" t="s">
        <v>120</v>
      </c>
      <c r="Q1464" t="s">
        <v>120</v>
      </c>
      <c r="R1464" t="s">
        <v>120</v>
      </c>
      <c r="S1464" t="s">
        <v>120</v>
      </c>
      <c r="T1464">
        <v>0</v>
      </c>
      <c r="U1464" t="s">
        <v>120</v>
      </c>
      <c r="V1464">
        <v>15.52</v>
      </c>
      <c r="W1464">
        <v>48.4</v>
      </c>
      <c r="X1464" t="s">
        <v>959</v>
      </c>
      <c r="Y1464" t="s">
        <v>547</v>
      </c>
      <c r="Z1464">
        <v>0</v>
      </c>
      <c r="AA1464">
        <v>15.52</v>
      </c>
      <c r="AB1464">
        <v>0</v>
      </c>
      <c r="AC1464">
        <v>0</v>
      </c>
      <c r="AD1464" t="s">
        <v>120</v>
      </c>
      <c r="AE1464">
        <v>0</v>
      </c>
      <c r="AF1464">
        <v>0</v>
      </c>
      <c r="AG1464" t="s">
        <v>120</v>
      </c>
      <c r="AH1464">
        <v>0</v>
      </c>
      <c r="AI1464" t="s">
        <v>120</v>
      </c>
      <c r="AJ1464">
        <v>13.08</v>
      </c>
      <c r="AK1464" t="s">
        <v>6838</v>
      </c>
      <c r="AL1464">
        <v>1.91</v>
      </c>
      <c r="AM1464">
        <v>0</v>
      </c>
      <c r="AN1464" t="s">
        <v>120</v>
      </c>
      <c r="AO1464" t="s">
        <v>120</v>
      </c>
      <c r="AP1464">
        <v>-2</v>
      </c>
      <c r="AQ1464">
        <v>-1.34</v>
      </c>
      <c r="AR1464">
        <v>2.72</v>
      </c>
      <c r="AS1464">
        <v>44.78</v>
      </c>
      <c r="AT1464">
        <v>38.08</v>
      </c>
      <c r="AU1464">
        <v>31.75</v>
      </c>
      <c r="AV1464">
        <v>1</v>
      </c>
      <c r="AW1464" t="s">
        <v>120</v>
      </c>
      <c r="AX1464">
        <v>73.319999999999993</v>
      </c>
      <c r="AY1464" t="s">
        <v>120</v>
      </c>
      <c r="AZ1464" t="s">
        <v>120</v>
      </c>
      <c r="BA1464">
        <v>1.03</v>
      </c>
      <c r="BB1464" t="s">
        <v>184</v>
      </c>
      <c r="BF1464">
        <v>0</v>
      </c>
      <c r="BG1464" t="s">
        <v>120</v>
      </c>
      <c r="BH1464" t="s">
        <v>120</v>
      </c>
      <c r="BI1464" t="s">
        <v>120</v>
      </c>
      <c r="BJ1464">
        <v>20210830</v>
      </c>
      <c r="BK1464">
        <v>20100520</v>
      </c>
      <c r="BL1464">
        <v>15.26</v>
      </c>
      <c r="BM1464" t="s">
        <v>120</v>
      </c>
      <c r="BN1464" t="s">
        <v>120</v>
      </c>
      <c r="BO1464">
        <v>96.87</v>
      </c>
      <c r="BQ1464">
        <v>28.11</v>
      </c>
      <c r="BR1464">
        <v>-0.01</v>
      </c>
      <c r="BS1464">
        <v>70.989999999999995</v>
      </c>
      <c r="BT1464">
        <v>64.849999999999994</v>
      </c>
      <c r="BU1464">
        <v>3.93</v>
      </c>
      <c r="BV1464">
        <v>3.47</v>
      </c>
      <c r="BW1464">
        <v>55.1</v>
      </c>
      <c r="BX1464">
        <v>15.72</v>
      </c>
      <c r="BY1464">
        <v>21.57</v>
      </c>
      <c r="BZ1464">
        <v>13</v>
      </c>
      <c r="CA1464" t="s">
        <v>120</v>
      </c>
      <c r="CB1464">
        <v>40.270000000000003</v>
      </c>
      <c r="CC1464">
        <v>23.49</v>
      </c>
      <c r="CD1464">
        <v>16.100000000000001</v>
      </c>
      <c r="CE1464">
        <v>2.73</v>
      </c>
      <c r="CF1464">
        <v>0.12</v>
      </c>
      <c r="CG1464">
        <v>2.92</v>
      </c>
      <c r="CH1464">
        <v>2.42</v>
      </c>
      <c r="CI1464">
        <v>2.4500000000000002</v>
      </c>
      <c r="CJ1464" t="s">
        <v>120</v>
      </c>
      <c r="CK1464">
        <v>1.78</v>
      </c>
      <c r="CL1464">
        <v>-28.4</v>
      </c>
      <c r="CM1464">
        <v>-0.81</v>
      </c>
      <c r="CN1464">
        <v>6</v>
      </c>
      <c r="CO1464">
        <v>48338</v>
      </c>
      <c r="CP1464">
        <v>23151</v>
      </c>
      <c r="CQ1464" t="s">
        <v>7705</v>
      </c>
      <c r="CR1464">
        <v>70.819999999999993</v>
      </c>
      <c r="CS1464">
        <v>51.8</v>
      </c>
      <c r="CT1464">
        <v>8.4499999999999993</v>
      </c>
      <c r="CU1464">
        <v>-294.08</v>
      </c>
      <c r="CV1464">
        <v>10.08</v>
      </c>
      <c r="CW1464">
        <v>0</v>
      </c>
      <c r="CX1464" t="s">
        <v>1193</v>
      </c>
      <c r="CY1464">
        <v>1.84</v>
      </c>
      <c r="CZ1464">
        <v>1.84</v>
      </c>
      <c r="DA1464">
        <v>2.64</v>
      </c>
      <c r="DB1464">
        <v>-1.86</v>
      </c>
      <c r="DC1464">
        <v>-0.05</v>
      </c>
      <c r="DD1464">
        <v>29.02</v>
      </c>
      <c r="DE1464" t="s">
        <v>7706</v>
      </c>
      <c r="DF1464">
        <v>31.47</v>
      </c>
      <c r="DG1464">
        <v>11.6</v>
      </c>
      <c r="DH1464">
        <v>10.42</v>
      </c>
      <c r="DI1464">
        <v>1.18</v>
      </c>
      <c r="DJ1464">
        <v>2356</v>
      </c>
      <c r="DK1464">
        <v>300083</v>
      </c>
      <c r="DL1464" t="s">
        <v>120</v>
      </c>
      <c r="DM1464" t="s">
        <v>120</v>
      </c>
      <c r="DN1464" t="s">
        <v>120</v>
      </c>
    </row>
    <row r="1465" spans="1:118">
      <c r="A1465" t="str">
        <f>"300084"</f>
        <v>300084</v>
      </c>
      <c r="B1465" t="s">
        <v>7707</v>
      </c>
      <c r="C1465">
        <v>-6.64</v>
      </c>
      <c r="D1465">
        <v>-0.26</v>
      </c>
      <c r="E1465">
        <v>-0.38</v>
      </c>
      <c r="F1465">
        <v>11735</v>
      </c>
      <c r="G1465" t="s">
        <v>4811</v>
      </c>
      <c r="H1465">
        <v>64921.37</v>
      </c>
      <c r="I1465">
        <v>866.03</v>
      </c>
      <c r="J1465" t="s">
        <v>120</v>
      </c>
      <c r="K1465" t="s">
        <v>7708</v>
      </c>
      <c r="L1465">
        <v>26.13</v>
      </c>
      <c r="M1465">
        <v>7.31</v>
      </c>
      <c r="N1465">
        <v>0.88</v>
      </c>
      <c r="O1465">
        <v>1.66</v>
      </c>
      <c r="P1465">
        <v>7.96</v>
      </c>
      <c r="Q1465">
        <v>-7.92</v>
      </c>
      <c r="R1465">
        <v>7.21</v>
      </c>
      <c r="S1465">
        <v>7.8</v>
      </c>
      <c r="T1465">
        <v>861757</v>
      </c>
      <c r="U1465">
        <v>7.31</v>
      </c>
      <c r="V1465">
        <v>7.83</v>
      </c>
      <c r="W1465" t="s">
        <v>120</v>
      </c>
      <c r="X1465" t="s">
        <v>3867</v>
      </c>
      <c r="Y1465" t="s">
        <v>1082</v>
      </c>
      <c r="Z1465">
        <v>9.58</v>
      </c>
      <c r="AA1465">
        <v>7.53</v>
      </c>
      <c r="AB1465">
        <v>505228</v>
      </c>
      <c r="AC1465">
        <v>356529</v>
      </c>
      <c r="AD1465">
        <v>1.42</v>
      </c>
      <c r="AE1465">
        <v>3817</v>
      </c>
      <c r="AF1465">
        <v>405</v>
      </c>
      <c r="AG1465" t="s">
        <v>120</v>
      </c>
      <c r="AH1465">
        <v>0.36</v>
      </c>
      <c r="AI1465" t="s">
        <v>120</v>
      </c>
      <c r="AJ1465">
        <v>3.3</v>
      </c>
      <c r="AK1465" t="s">
        <v>5023</v>
      </c>
      <c r="AL1465">
        <v>-4.7300000000000004</v>
      </c>
      <c r="AM1465">
        <v>4373</v>
      </c>
      <c r="AN1465">
        <v>197</v>
      </c>
      <c r="AO1465">
        <v>6.0000000000000001E-3</v>
      </c>
      <c r="AP1465">
        <v>-1</v>
      </c>
      <c r="AQ1465">
        <v>12.82</v>
      </c>
      <c r="AR1465">
        <v>2.38</v>
      </c>
      <c r="AS1465">
        <v>52.93</v>
      </c>
      <c r="AT1465">
        <v>56.2</v>
      </c>
      <c r="AU1465">
        <v>74.88</v>
      </c>
      <c r="AV1465">
        <v>2</v>
      </c>
      <c r="AW1465">
        <v>27.83</v>
      </c>
      <c r="AX1465">
        <v>80.47</v>
      </c>
      <c r="AY1465" t="s">
        <v>120</v>
      </c>
      <c r="AZ1465" t="s">
        <v>120</v>
      </c>
      <c r="BA1465">
        <v>0.91</v>
      </c>
      <c r="BB1465" t="s">
        <v>700</v>
      </c>
      <c r="BF1465">
        <v>-3.79</v>
      </c>
      <c r="BG1465">
        <v>-6.28</v>
      </c>
      <c r="BH1465">
        <v>-8.17</v>
      </c>
      <c r="BI1465">
        <v>1.39</v>
      </c>
      <c r="BJ1465">
        <v>20210827</v>
      </c>
      <c r="BK1465">
        <v>20100520</v>
      </c>
      <c r="BL1465">
        <v>3.85</v>
      </c>
      <c r="BM1465" t="s">
        <v>120</v>
      </c>
      <c r="BN1465" t="s">
        <v>120</v>
      </c>
      <c r="BO1465">
        <v>22.19</v>
      </c>
      <c r="BP1465">
        <v>7.3</v>
      </c>
      <c r="BQ1465">
        <v>12.5</v>
      </c>
      <c r="BR1465">
        <v>0.06</v>
      </c>
      <c r="BS1465">
        <v>43.4</v>
      </c>
      <c r="BT1465">
        <v>11.7</v>
      </c>
      <c r="BU1465">
        <v>3.25</v>
      </c>
      <c r="BV1465">
        <v>1.33</v>
      </c>
      <c r="BW1465">
        <v>7.52</v>
      </c>
      <c r="BX1465">
        <v>1.53</v>
      </c>
      <c r="BY1465">
        <v>4.5599999999999996</v>
      </c>
      <c r="BZ1465">
        <v>4.07</v>
      </c>
      <c r="CA1465">
        <v>7.0000000000000007E-2</v>
      </c>
      <c r="CB1465">
        <v>12.2</v>
      </c>
      <c r="CC1465">
        <v>1.87</v>
      </c>
      <c r="CD1465">
        <v>1.17</v>
      </c>
      <c r="CE1465">
        <v>-0.28999999999999998</v>
      </c>
      <c r="CF1465">
        <v>0</v>
      </c>
      <c r="CG1465">
        <v>-0.27</v>
      </c>
      <c r="CH1465">
        <v>-0.28999999999999998</v>
      </c>
      <c r="CI1465">
        <v>-0.28000000000000003</v>
      </c>
      <c r="CJ1465">
        <v>-0.52</v>
      </c>
      <c r="CK1465">
        <v>-0.28999999999999998</v>
      </c>
      <c r="CL1465">
        <v>-3.96</v>
      </c>
      <c r="CM1465">
        <v>0.39</v>
      </c>
      <c r="CN1465">
        <v>-0.7</v>
      </c>
      <c r="CO1465">
        <v>22262</v>
      </c>
      <c r="CP1465">
        <v>13908</v>
      </c>
      <c r="CQ1465" t="s">
        <v>7709</v>
      </c>
      <c r="CR1465">
        <v>95.19</v>
      </c>
      <c r="CS1465">
        <v>45.21</v>
      </c>
      <c r="CT1465">
        <v>2.25</v>
      </c>
      <c r="CU1465">
        <v>71.959999999999994</v>
      </c>
      <c r="CV1465">
        <v>15.04</v>
      </c>
      <c r="CW1465">
        <v>0</v>
      </c>
      <c r="CX1465" t="s">
        <v>7710</v>
      </c>
      <c r="CY1465">
        <v>3.25</v>
      </c>
      <c r="CZ1465">
        <v>0</v>
      </c>
      <c r="DA1465">
        <v>3.17</v>
      </c>
      <c r="DB1465">
        <v>-1.03</v>
      </c>
      <c r="DC1465">
        <v>0.1</v>
      </c>
      <c r="DD1465">
        <v>56.31</v>
      </c>
      <c r="DE1465" t="s">
        <v>7711</v>
      </c>
      <c r="DF1465">
        <v>37.44</v>
      </c>
      <c r="DG1465">
        <v>-15.6</v>
      </c>
      <c r="DH1465">
        <v>-14.76</v>
      </c>
      <c r="DI1465">
        <v>0.14000000000000001</v>
      </c>
      <c r="DJ1465">
        <v>912</v>
      </c>
      <c r="DK1465">
        <v>300084</v>
      </c>
      <c r="DL1465">
        <v>20210906</v>
      </c>
      <c r="DM1465">
        <v>6.06</v>
      </c>
      <c r="DN1465">
        <v>20.63</v>
      </c>
    </row>
    <row r="1466" spans="1:118">
      <c r="A1466" t="str">
        <f>"300085"</f>
        <v>300085</v>
      </c>
      <c r="B1466" t="s">
        <v>7712</v>
      </c>
      <c r="C1466">
        <v>0.19</v>
      </c>
      <c r="D1466">
        <v>0.95</v>
      </c>
      <c r="E1466">
        <v>-0.38</v>
      </c>
      <c r="F1466">
        <v>3207</v>
      </c>
      <c r="G1466" t="s">
        <v>4552</v>
      </c>
      <c r="H1466">
        <v>16554.87</v>
      </c>
      <c r="I1466">
        <v>88.21</v>
      </c>
      <c r="J1466" t="s">
        <v>120</v>
      </c>
      <c r="K1466" t="s">
        <v>7713</v>
      </c>
      <c r="L1466">
        <v>2</v>
      </c>
      <c r="M1466">
        <v>15.87</v>
      </c>
      <c r="N1466">
        <v>0.69</v>
      </c>
      <c r="O1466">
        <v>2.02</v>
      </c>
      <c r="P1466">
        <v>16.16</v>
      </c>
      <c r="Q1466">
        <v>-0.82</v>
      </c>
      <c r="R1466">
        <v>15.71</v>
      </c>
      <c r="S1466">
        <v>15.78</v>
      </c>
      <c r="T1466">
        <v>104285</v>
      </c>
      <c r="U1466">
        <v>15.88</v>
      </c>
      <c r="V1466">
        <v>15.84</v>
      </c>
      <c r="W1466" t="s">
        <v>120</v>
      </c>
      <c r="X1466" t="s">
        <v>141</v>
      </c>
      <c r="Y1466" t="s">
        <v>123</v>
      </c>
      <c r="Z1466">
        <v>2.84</v>
      </c>
      <c r="AA1466">
        <v>15.87</v>
      </c>
      <c r="AB1466">
        <v>53968</v>
      </c>
      <c r="AC1466">
        <v>50317</v>
      </c>
      <c r="AD1466">
        <v>1.07</v>
      </c>
      <c r="AE1466">
        <v>301</v>
      </c>
      <c r="AF1466">
        <v>45</v>
      </c>
      <c r="AG1466" t="s">
        <v>120</v>
      </c>
      <c r="AH1466">
        <v>0.02</v>
      </c>
      <c r="AI1466" t="s">
        <v>120</v>
      </c>
      <c r="AJ1466">
        <v>5.22</v>
      </c>
      <c r="AK1466" t="s">
        <v>7714</v>
      </c>
      <c r="AL1466">
        <v>2.1</v>
      </c>
      <c r="AM1466">
        <v>2546</v>
      </c>
      <c r="AN1466">
        <v>41</v>
      </c>
      <c r="AO1466">
        <v>8.0000000000000004E-4</v>
      </c>
      <c r="AP1466">
        <v>1</v>
      </c>
      <c r="AQ1466">
        <v>-1.98</v>
      </c>
      <c r="AR1466">
        <v>-2.46</v>
      </c>
      <c r="AS1466">
        <v>-1.18</v>
      </c>
      <c r="AT1466">
        <v>-10.79</v>
      </c>
      <c r="AU1466">
        <v>-14.13</v>
      </c>
      <c r="AV1466">
        <v>0</v>
      </c>
      <c r="AW1466">
        <v>3.08</v>
      </c>
      <c r="AX1466">
        <v>47.92</v>
      </c>
      <c r="AY1466" t="s">
        <v>120</v>
      </c>
      <c r="AZ1466">
        <v>536.63</v>
      </c>
      <c r="BA1466">
        <v>0.77</v>
      </c>
      <c r="BB1466" t="s">
        <v>125</v>
      </c>
      <c r="BF1466">
        <v>0.22</v>
      </c>
      <c r="BG1466">
        <v>0.56999999999999995</v>
      </c>
      <c r="BH1466">
        <v>-1.79</v>
      </c>
      <c r="BI1466">
        <v>1.02</v>
      </c>
      <c r="BJ1466">
        <v>20210830</v>
      </c>
      <c r="BK1466">
        <v>20100526</v>
      </c>
      <c r="BL1466">
        <v>7.07</v>
      </c>
      <c r="BM1466" t="s">
        <v>120</v>
      </c>
      <c r="BN1466" t="s">
        <v>120</v>
      </c>
      <c r="BO1466">
        <v>19.41</v>
      </c>
      <c r="BP1466">
        <v>15.87</v>
      </c>
      <c r="BQ1466">
        <v>13.13</v>
      </c>
      <c r="BR1466">
        <v>0.24</v>
      </c>
      <c r="BS1466">
        <v>31.14</v>
      </c>
      <c r="BT1466">
        <v>11.02</v>
      </c>
      <c r="BU1466">
        <v>0.17</v>
      </c>
      <c r="BV1466">
        <v>0.44</v>
      </c>
      <c r="BW1466">
        <v>5.96</v>
      </c>
      <c r="BX1466">
        <v>2.33</v>
      </c>
      <c r="BY1466">
        <v>1.6</v>
      </c>
      <c r="BZ1466">
        <v>3.33</v>
      </c>
      <c r="CA1466" t="s">
        <v>120</v>
      </c>
      <c r="CB1466">
        <v>3.65</v>
      </c>
      <c r="CC1466">
        <v>6.19</v>
      </c>
      <c r="CD1466">
        <v>4.93</v>
      </c>
      <c r="CE1466">
        <v>-0.43</v>
      </c>
      <c r="CF1466">
        <v>-0.03</v>
      </c>
      <c r="CG1466">
        <v>-0.43</v>
      </c>
      <c r="CH1466">
        <v>-0.36</v>
      </c>
      <c r="CI1466">
        <v>-0.38</v>
      </c>
      <c r="CJ1466">
        <v>0.03</v>
      </c>
      <c r="CK1466">
        <v>-0.42</v>
      </c>
      <c r="CL1466">
        <v>2.1</v>
      </c>
      <c r="CM1466">
        <v>-0.98</v>
      </c>
      <c r="CN1466">
        <v>-2.6</v>
      </c>
      <c r="CO1466">
        <v>57479</v>
      </c>
      <c r="CP1466">
        <v>5892</v>
      </c>
      <c r="CQ1466" t="s">
        <v>3346</v>
      </c>
      <c r="CR1466">
        <v>-175.94</v>
      </c>
      <c r="CS1466">
        <v>5.04</v>
      </c>
      <c r="CT1466">
        <v>8.5399999999999991</v>
      </c>
      <c r="CU1466">
        <v>-114.98</v>
      </c>
      <c r="CV1466">
        <v>18.13</v>
      </c>
      <c r="CW1466">
        <v>0.06</v>
      </c>
      <c r="CX1466" t="s">
        <v>7715</v>
      </c>
      <c r="CY1466">
        <v>1.86</v>
      </c>
      <c r="CZ1466">
        <v>0</v>
      </c>
      <c r="DA1466">
        <v>0.52</v>
      </c>
      <c r="DB1466">
        <v>0.3</v>
      </c>
      <c r="DC1466">
        <v>-0.14000000000000001</v>
      </c>
      <c r="DD1466">
        <v>67.64</v>
      </c>
      <c r="DE1466" t="s">
        <v>7716</v>
      </c>
      <c r="DF1466">
        <v>20.260000000000002</v>
      </c>
      <c r="DG1466">
        <v>-6.96</v>
      </c>
      <c r="DH1466">
        <v>-6.16</v>
      </c>
      <c r="DI1466">
        <v>0.35</v>
      </c>
      <c r="DJ1466">
        <v>1031</v>
      </c>
      <c r="DK1466">
        <v>300085</v>
      </c>
      <c r="DL1466" t="s">
        <v>120</v>
      </c>
      <c r="DM1466" t="s">
        <v>120</v>
      </c>
      <c r="DN1466" t="s">
        <v>120</v>
      </c>
    </row>
    <row r="1467" spans="1:118">
      <c r="A1467" t="str">
        <f>"300086"</f>
        <v>300086</v>
      </c>
      <c r="B1467" t="s">
        <v>7717</v>
      </c>
      <c r="C1467">
        <v>-0.94</v>
      </c>
      <c r="D1467">
        <v>-0.37</v>
      </c>
      <c r="E1467">
        <v>0.38</v>
      </c>
      <c r="F1467">
        <v>1625</v>
      </c>
      <c r="G1467" t="s">
        <v>1342</v>
      </c>
      <c r="H1467">
        <v>4489.1400000000003</v>
      </c>
      <c r="I1467">
        <v>58.42</v>
      </c>
      <c r="J1467" t="s">
        <v>120</v>
      </c>
      <c r="K1467" t="s">
        <v>3898</v>
      </c>
      <c r="L1467">
        <v>1.92</v>
      </c>
      <c r="M1467">
        <v>5.26</v>
      </c>
      <c r="N1467">
        <v>1.25</v>
      </c>
      <c r="O1467">
        <v>2.64</v>
      </c>
      <c r="P1467">
        <v>5.45</v>
      </c>
      <c r="Q1467">
        <v>-0.94</v>
      </c>
      <c r="R1467">
        <v>5.26</v>
      </c>
      <c r="S1467">
        <v>5.33</v>
      </c>
      <c r="T1467">
        <v>83808</v>
      </c>
      <c r="U1467">
        <v>5.27</v>
      </c>
      <c r="V1467">
        <v>5.31</v>
      </c>
      <c r="W1467" t="s">
        <v>120</v>
      </c>
      <c r="X1467" t="s">
        <v>569</v>
      </c>
      <c r="Y1467" t="s">
        <v>835</v>
      </c>
      <c r="Z1467">
        <v>3.58</v>
      </c>
      <c r="AA1467">
        <v>5.36</v>
      </c>
      <c r="AB1467">
        <v>41335</v>
      </c>
      <c r="AC1467">
        <v>42473</v>
      </c>
      <c r="AD1467">
        <v>0.97</v>
      </c>
      <c r="AE1467">
        <v>416</v>
      </c>
      <c r="AF1467">
        <v>97</v>
      </c>
      <c r="AG1467" t="s">
        <v>120</v>
      </c>
      <c r="AH1467">
        <v>0.04</v>
      </c>
      <c r="AI1467" t="s">
        <v>120</v>
      </c>
      <c r="AJ1467">
        <v>4.3600000000000003</v>
      </c>
      <c r="AK1467" t="s">
        <v>7718</v>
      </c>
      <c r="AL1467">
        <v>0.97</v>
      </c>
      <c r="AM1467">
        <v>1216</v>
      </c>
      <c r="AN1467">
        <v>69</v>
      </c>
      <c r="AO1467">
        <v>1.6000000000000001E-3</v>
      </c>
      <c r="AP1467">
        <v>-1</v>
      </c>
      <c r="AQ1467">
        <v>1.34</v>
      </c>
      <c r="AR1467">
        <v>-1.1200000000000001</v>
      </c>
      <c r="AS1467">
        <v>-4.71</v>
      </c>
      <c r="AT1467">
        <v>-6.07</v>
      </c>
      <c r="AU1467">
        <v>-6.07</v>
      </c>
      <c r="AV1467">
        <v>0</v>
      </c>
      <c r="AW1467">
        <v>3.44</v>
      </c>
      <c r="AX1467">
        <v>54.18</v>
      </c>
      <c r="AY1467" t="s">
        <v>120</v>
      </c>
      <c r="AZ1467">
        <v>255.86</v>
      </c>
      <c r="BA1467">
        <v>0.43</v>
      </c>
      <c r="BB1467" t="s">
        <v>143</v>
      </c>
      <c r="BF1467">
        <v>0.87</v>
      </c>
      <c r="BG1467">
        <v>-1.31</v>
      </c>
      <c r="BH1467">
        <v>-3.49</v>
      </c>
      <c r="BI1467">
        <v>0</v>
      </c>
      <c r="BJ1467">
        <v>20210901</v>
      </c>
      <c r="BK1467">
        <v>20100526</v>
      </c>
      <c r="BL1467">
        <v>4.5</v>
      </c>
      <c r="BM1467" t="s">
        <v>120</v>
      </c>
      <c r="BN1467" t="s">
        <v>120</v>
      </c>
      <c r="BO1467">
        <v>25.8</v>
      </c>
      <c r="BP1467">
        <v>5.26</v>
      </c>
      <c r="BQ1467">
        <v>14.36</v>
      </c>
      <c r="BR1467">
        <v>0.86</v>
      </c>
      <c r="BS1467">
        <v>41.04</v>
      </c>
      <c r="BT1467">
        <v>6.06</v>
      </c>
      <c r="BU1467">
        <v>3.2</v>
      </c>
      <c r="BV1467">
        <v>1.61</v>
      </c>
      <c r="BW1467">
        <v>5.71</v>
      </c>
      <c r="BX1467">
        <v>1.92</v>
      </c>
      <c r="BY1467">
        <v>2.21</v>
      </c>
      <c r="BZ1467">
        <v>0.98</v>
      </c>
      <c r="CA1467" t="s">
        <v>120</v>
      </c>
      <c r="CB1467">
        <v>8.1999999999999993</v>
      </c>
      <c r="CC1467">
        <v>4.24</v>
      </c>
      <c r="CD1467">
        <v>2.48</v>
      </c>
      <c r="CE1467">
        <v>-0.49</v>
      </c>
      <c r="CF1467">
        <v>0.01</v>
      </c>
      <c r="CG1467">
        <v>-0.5</v>
      </c>
      <c r="CH1467">
        <v>-0.56000000000000005</v>
      </c>
      <c r="CI1467">
        <v>-0.57999999999999996</v>
      </c>
      <c r="CJ1467">
        <v>-0.05</v>
      </c>
      <c r="CK1467">
        <v>-0.59</v>
      </c>
      <c r="CL1467">
        <v>0.66</v>
      </c>
      <c r="CM1467">
        <v>-0.09</v>
      </c>
      <c r="CN1467">
        <v>-0.66</v>
      </c>
      <c r="CO1467">
        <v>34403</v>
      </c>
      <c r="CP1467">
        <v>7087</v>
      </c>
      <c r="CQ1467" t="s">
        <v>1608</v>
      </c>
      <c r="CR1467">
        <v>-873.6</v>
      </c>
      <c r="CS1467">
        <v>2.97</v>
      </c>
      <c r="CT1467">
        <v>1.65</v>
      </c>
      <c r="CU1467">
        <v>-265.56</v>
      </c>
      <c r="CV1467">
        <v>5.59</v>
      </c>
      <c r="CW1467">
        <v>0.38</v>
      </c>
      <c r="CX1467" t="s">
        <v>7719</v>
      </c>
      <c r="CY1467">
        <v>3.19</v>
      </c>
      <c r="CZ1467">
        <v>0</v>
      </c>
      <c r="DA1467">
        <v>1.82</v>
      </c>
      <c r="DB1467">
        <v>0.15</v>
      </c>
      <c r="DC1467">
        <v>-0.02</v>
      </c>
      <c r="DD1467">
        <v>55.64</v>
      </c>
      <c r="DE1467" t="s">
        <v>7720</v>
      </c>
      <c r="DF1467">
        <v>41.53</v>
      </c>
      <c r="DG1467">
        <v>-11.6</v>
      </c>
      <c r="DH1467">
        <v>-13.61</v>
      </c>
      <c r="DI1467">
        <v>0.09</v>
      </c>
      <c r="DJ1467">
        <v>1348</v>
      </c>
      <c r="DK1467">
        <v>300086</v>
      </c>
      <c r="DL1467" t="s">
        <v>120</v>
      </c>
      <c r="DM1467" t="s">
        <v>120</v>
      </c>
      <c r="DN1467" t="s">
        <v>120</v>
      </c>
    </row>
    <row r="1468" spans="1:118">
      <c r="A1468" t="str">
        <f>"300087"</f>
        <v>300087</v>
      </c>
      <c r="B1468" t="s">
        <v>7721</v>
      </c>
      <c r="C1468">
        <v>0.56000000000000005</v>
      </c>
      <c r="D1468">
        <v>-0.49</v>
      </c>
      <c r="E1468">
        <v>-1.26</v>
      </c>
      <c r="F1468">
        <v>4144</v>
      </c>
      <c r="G1468" t="s">
        <v>7722</v>
      </c>
      <c r="H1468">
        <v>100340.87</v>
      </c>
      <c r="I1468">
        <v>561</v>
      </c>
      <c r="J1468" t="s">
        <v>120</v>
      </c>
      <c r="K1468" t="s">
        <v>7723</v>
      </c>
      <c r="L1468">
        <v>6.9</v>
      </c>
      <c r="M1468">
        <v>36</v>
      </c>
      <c r="N1468">
        <v>1.22</v>
      </c>
      <c r="O1468">
        <v>5.39</v>
      </c>
      <c r="P1468">
        <v>37.729999999999997</v>
      </c>
      <c r="Q1468">
        <v>-1.65</v>
      </c>
      <c r="R1468">
        <v>35.21</v>
      </c>
      <c r="S1468">
        <v>35.35</v>
      </c>
      <c r="T1468">
        <v>275337</v>
      </c>
      <c r="U1468">
        <v>36</v>
      </c>
      <c r="V1468">
        <v>35.799999999999997</v>
      </c>
      <c r="W1468" t="s">
        <v>120</v>
      </c>
      <c r="X1468" t="s">
        <v>1700</v>
      </c>
      <c r="Y1468" t="s">
        <v>570</v>
      </c>
      <c r="Z1468">
        <v>7.04</v>
      </c>
      <c r="AA1468">
        <v>36.44</v>
      </c>
      <c r="AB1468">
        <v>138361</v>
      </c>
      <c r="AC1468">
        <v>136976</v>
      </c>
      <c r="AD1468">
        <v>1.01</v>
      </c>
      <c r="AE1468">
        <v>21</v>
      </c>
      <c r="AF1468">
        <v>81</v>
      </c>
      <c r="AG1468" t="s">
        <v>120</v>
      </c>
      <c r="AH1468">
        <v>0.06</v>
      </c>
      <c r="AI1468" t="s">
        <v>120</v>
      </c>
      <c r="AJ1468">
        <v>3.99</v>
      </c>
      <c r="AK1468" t="s">
        <v>7724</v>
      </c>
      <c r="AL1468">
        <v>2.4700000000000002</v>
      </c>
      <c r="AM1468">
        <v>4340</v>
      </c>
      <c r="AN1468">
        <v>63</v>
      </c>
      <c r="AO1468">
        <v>1.6000000000000001E-3</v>
      </c>
      <c r="AP1468">
        <v>3</v>
      </c>
      <c r="AQ1468">
        <v>5.2</v>
      </c>
      <c r="AR1468">
        <v>5.82</v>
      </c>
      <c r="AS1468">
        <v>11.77</v>
      </c>
      <c r="AT1468">
        <v>51.7</v>
      </c>
      <c r="AU1468">
        <v>17.920000000000002</v>
      </c>
      <c r="AV1468">
        <v>0</v>
      </c>
      <c r="AW1468">
        <v>10</v>
      </c>
      <c r="AX1468">
        <v>60.65</v>
      </c>
      <c r="AY1468">
        <v>142.71</v>
      </c>
      <c r="AZ1468">
        <v>121.82</v>
      </c>
      <c r="BA1468">
        <v>0.31</v>
      </c>
      <c r="BB1468" t="s">
        <v>143</v>
      </c>
      <c r="BF1468">
        <v>1.8</v>
      </c>
      <c r="BG1468">
        <v>1.84</v>
      </c>
      <c r="BH1468">
        <v>-4.59</v>
      </c>
      <c r="BI1468">
        <v>2.2400000000000002</v>
      </c>
      <c r="BJ1468">
        <v>20210826</v>
      </c>
      <c r="BK1468">
        <v>20100526</v>
      </c>
      <c r="BL1468">
        <v>4.54</v>
      </c>
      <c r="BM1468" t="s">
        <v>120</v>
      </c>
      <c r="BN1468" t="s">
        <v>120</v>
      </c>
      <c r="BO1468">
        <v>24.57</v>
      </c>
      <c r="BP1468">
        <v>35.99</v>
      </c>
      <c r="BQ1468">
        <v>6.47</v>
      </c>
      <c r="BR1468">
        <v>2.15</v>
      </c>
      <c r="BS1468">
        <v>64.95</v>
      </c>
      <c r="BT1468">
        <v>17.61</v>
      </c>
      <c r="BU1468">
        <v>2.36</v>
      </c>
      <c r="BV1468">
        <v>1.54</v>
      </c>
      <c r="BW1468">
        <v>9.9</v>
      </c>
      <c r="BX1468">
        <v>2.59</v>
      </c>
      <c r="BY1468">
        <v>9.0500000000000007</v>
      </c>
      <c r="BZ1468">
        <v>1.58</v>
      </c>
      <c r="CA1468" t="s">
        <v>120</v>
      </c>
      <c r="CB1468">
        <v>0.36</v>
      </c>
      <c r="CC1468">
        <v>6.78</v>
      </c>
      <c r="CD1468">
        <v>5.26</v>
      </c>
      <c r="CE1468">
        <v>-0.12</v>
      </c>
      <c r="CF1468">
        <v>0.01</v>
      </c>
      <c r="CG1468">
        <v>-0.13</v>
      </c>
      <c r="CH1468">
        <v>-0.13</v>
      </c>
      <c r="CI1468">
        <v>-0.09</v>
      </c>
      <c r="CJ1468">
        <v>0.2</v>
      </c>
      <c r="CK1468">
        <v>-0.12</v>
      </c>
      <c r="CL1468">
        <v>2.4900000000000002</v>
      </c>
      <c r="CM1468">
        <v>-1.61</v>
      </c>
      <c r="CN1468">
        <v>-1.79</v>
      </c>
      <c r="CO1468">
        <v>34675</v>
      </c>
      <c r="CP1468">
        <v>7943</v>
      </c>
      <c r="CQ1468" t="s">
        <v>7725</v>
      </c>
      <c r="CR1468">
        <v>-194.04</v>
      </c>
      <c r="CS1468">
        <v>20.66</v>
      </c>
      <c r="CT1468">
        <v>23.95</v>
      </c>
      <c r="CU1468">
        <v>-101.5</v>
      </c>
      <c r="CV1468">
        <v>24.12</v>
      </c>
      <c r="CW1468">
        <v>0.26</v>
      </c>
      <c r="CX1468" t="s">
        <v>419</v>
      </c>
      <c r="CY1468">
        <v>1.5</v>
      </c>
      <c r="CZ1468">
        <v>1.5</v>
      </c>
      <c r="DA1468">
        <v>0.08</v>
      </c>
      <c r="DB1468">
        <v>0.55000000000000004</v>
      </c>
      <c r="DC1468">
        <v>-0.35</v>
      </c>
      <c r="DD1468">
        <v>26.32</v>
      </c>
      <c r="DE1468" t="s">
        <v>7726</v>
      </c>
      <c r="DF1468">
        <v>22.45</v>
      </c>
      <c r="DG1468">
        <v>-1.76</v>
      </c>
      <c r="DH1468">
        <v>-1.4</v>
      </c>
      <c r="DI1468">
        <v>0.26</v>
      </c>
      <c r="DJ1468">
        <v>928</v>
      </c>
      <c r="DK1468">
        <v>300087</v>
      </c>
      <c r="DL1468" t="s">
        <v>120</v>
      </c>
      <c r="DM1468" t="s">
        <v>120</v>
      </c>
      <c r="DN1468" t="s">
        <v>120</v>
      </c>
    </row>
    <row r="1469" spans="1:118">
      <c r="A1469" t="str">
        <f>"300088"</f>
        <v>300088</v>
      </c>
      <c r="B1469" t="s">
        <v>7727</v>
      </c>
      <c r="C1469">
        <v>1.44</v>
      </c>
      <c r="D1469">
        <v>0.36</v>
      </c>
      <c r="E1469">
        <v>1.8</v>
      </c>
      <c r="F1469">
        <v>14179</v>
      </c>
      <c r="G1469" t="s">
        <v>7728</v>
      </c>
      <c r="H1469">
        <v>92270.89</v>
      </c>
      <c r="I1469">
        <v>845.24</v>
      </c>
      <c r="J1469" t="s">
        <v>120</v>
      </c>
      <c r="K1469" t="s">
        <v>7729</v>
      </c>
      <c r="L1469">
        <v>4.38</v>
      </c>
      <c r="M1469">
        <v>8.4700000000000006</v>
      </c>
      <c r="N1469">
        <v>0.77</v>
      </c>
      <c r="O1469">
        <v>6.11</v>
      </c>
      <c r="P1469">
        <v>8.86</v>
      </c>
      <c r="Q1469">
        <v>0.84</v>
      </c>
      <c r="R1469">
        <v>8.42</v>
      </c>
      <c r="S1469">
        <v>8.5</v>
      </c>
      <c r="T1469">
        <v>1068677</v>
      </c>
      <c r="U1469">
        <v>8.4700000000000006</v>
      </c>
      <c r="V1469">
        <v>8.35</v>
      </c>
      <c r="W1469">
        <v>22.25</v>
      </c>
      <c r="X1469" t="s">
        <v>229</v>
      </c>
      <c r="Y1469" t="s">
        <v>570</v>
      </c>
      <c r="Z1469">
        <v>5.27</v>
      </c>
      <c r="AA1469">
        <v>8.6300000000000008</v>
      </c>
      <c r="AB1469">
        <v>512379</v>
      </c>
      <c r="AC1469">
        <v>556298</v>
      </c>
      <c r="AD1469">
        <v>0.92</v>
      </c>
      <c r="AE1469">
        <v>34</v>
      </c>
      <c r="AF1469">
        <v>3457</v>
      </c>
      <c r="AG1469" t="s">
        <v>120</v>
      </c>
      <c r="AH1469">
        <v>0.05</v>
      </c>
      <c r="AI1469" t="s">
        <v>120</v>
      </c>
      <c r="AJ1469">
        <v>24.43</v>
      </c>
      <c r="AK1469" t="s">
        <v>7730</v>
      </c>
      <c r="AL1469">
        <v>3.35</v>
      </c>
      <c r="AM1469">
        <v>4479</v>
      </c>
      <c r="AN1469">
        <v>239</v>
      </c>
      <c r="AO1469">
        <v>1E-3</v>
      </c>
      <c r="AP1469">
        <v>1</v>
      </c>
      <c r="AQ1469">
        <v>-3.13</v>
      </c>
      <c r="AR1469">
        <v>-4.4000000000000004</v>
      </c>
      <c r="AS1469">
        <v>4.05</v>
      </c>
      <c r="AT1469">
        <v>0.12</v>
      </c>
      <c r="AU1469">
        <v>-3.64</v>
      </c>
      <c r="AV1469">
        <v>0</v>
      </c>
      <c r="AW1469">
        <v>5.44</v>
      </c>
      <c r="AX1469">
        <v>80.05</v>
      </c>
      <c r="AY1469">
        <v>25.3</v>
      </c>
      <c r="AZ1469">
        <v>24.57</v>
      </c>
      <c r="BA1469">
        <v>0.18</v>
      </c>
      <c r="BB1469" t="s">
        <v>143</v>
      </c>
      <c r="BF1469">
        <v>3.4</v>
      </c>
      <c r="BG1469">
        <v>-0.35</v>
      </c>
      <c r="BH1469">
        <v>-4.4000000000000004</v>
      </c>
      <c r="BI1469">
        <v>0.59</v>
      </c>
      <c r="BJ1469">
        <v>20210827</v>
      </c>
      <c r="BK1469">
        <v>20100526</v>
      </c>
      <c r="BL1469">
        <v>24.55</v>
      </c>
      <c r="BM1469" t="s">
        <v>120</v>
      </c>
      <c r="BN1469" t="s">
        <v>120</v>
      </c>
      <c r="BO1469">
        <v>107.82</v>
      </c>
      <c r="BP1469">
        <v>8.4600000000000009</v>
      </c>
      <c r="BQ1469">
        <v>72.489999999999995</v>
      </c>
      <c r="BR1469">
        <v>3.94</v>
      </c>
      <c r="BS1469">
        <v>29.12</v>
      </c>
      <c r="BT1469">
        <v>40.74</v>
      </c>
      <c r="BU1469">
        <v>39.93</v>
      </c>
      <c r="BV1469">
        <v>1.95</v>
      </c>
      <c r="BW1469">
        <v>27.06</v>
      </c>
      <c r="BX1469">
        <v>14.77</v>
      </c>
      <c r="BY1469">
        <v>4.71</v>
      </c>
      <c r="BZ1469">
        <v>15.89</v>
      </c>
      <c r="CA1469" t="s">
        <v>120</v>
      </c>
      <c r="CB1469">
        <v>10.94</v>
      </c>
      <c r="CC1469">
        <v>32.549999999999997</v>
      </c>
      <c r="CD1469">
        <v>23.94</v>
      </c>
      <c r="CE1469">
        <v>5.56</v>
      </c>
      <c r="CF1469">
        <v>0.01</v>
      </c>
      <c r="CG1469">
        <v>5.6</v>
      </c>
      <c r="CH1469">
        <v>4.7699999999999996</v>
      </c>
      <c r="CI1469">
        <v>4.67</v>
      </c>
      <c r="CJ1469">
        <v>0.12</v>
      </c>
      <c r="CK1469">
        <v>4.46</v>
      </c>
      <c r="CL1469">
        <v>33.090000000000003</v>
      </c>
      <c r="CM1469">
        <v>2.15</v>
      </c>
      <c r="CN1469">
        <v>-2.2799999999999998</v>
      </c>
      <c r="CO1469">
        <v>162856</v>
      </c>
      <c r="CP1469">
        <v>12066</v>
      </c>
      <c r="CQ1469" t="s">
        <v>7731</v>
      </c>
      <c r="CR1469">
        <v>-4.92</v>
      </c>
      <c r="CS1469">
        <v>4.66</v>
      </c>
      <c r="CT1469">
        <v>2.88</v>
      </c>
      <c r="CU1469">
        <v>96.83</v>
      </c>
      <c r="CV1469">
        <v>6.39</v>
      </c>
      <c r="CW1469">
        <v>1.2</v>
      </c>
      <c r="CX1469" t="s">
        <v>442</v>
      </c>
      <c r="CY1469">
        <v>2.94</v>
      </c>
      <c r="CZ1469">
        <v>2.94</v>
      </c>
      <c r="DA1469">
        <v>0.45</v>
      </c>
      <c r="DB1469">
        <v>1.35</v>
      </c>
      <c r="DC1469">
        <v>0.09</v>
      </c>
      <c r="DD1469">
        <v>67.23</v>
      </c>
      <c r="DE1469" t="s">
        <v>7732</v>
      </c>
      <c r="DF1469">
        <v>26.44</v>
      </c>
      <c r="DG1469">
        <v>17.09</v>
      </c>
      <c r="DH1469">
        <v>14.35</v>
      </c>
      <c r="DI1469">
        <v>1.61</v>
      </c>
      <c r="DJ1469">
        <v>13230</v>
      </c>
      <c r="DK1469">
        <v>300088</v>
      </c>
      <c r="DL1469" t="s">
        <v>120</v>
      </c>
      <c r="DM1469" t="s">
        <v>120</v>
      </c>
      <c r="DN1469" t="s">
        <v>120</v>
      </c>
    </row>
    <row r="1470" spans="1:118">
      <c r="A1470" t="str">
        <f>"300089"</f>
        <v>300089</v>
      </c>
      <c r="B1470" t="s">
        <v>7733</v>
      </c>
      <c r="C1470">
        <v>1.05</v>
      </c>
      <c r="D1470">
        <v>-0.61</v>
      </c>
      <c r="E1470">
        <v>-2.09</v>
      </c>
      <c r="F1470">
        <v>350</v>
      </c>
      <c r="G1470" t="s">
        <v>7734</v>
      </c>
      <c r="H1470">
        <v>4086.4</v>
      </c>
      <c r="I1470">
        <v>9.73</v>
      </c>
      <c r="J1470" t="s">
        <v>120</v>
      </c>
      <c r="K1470" t="s">
        <v>7734</v>
      </c>
      <c r="L1470">
        <v>3.41</v>
      </c>
      <c r="M1470">
        <v>4.83</v>
      </c>
      <c r="N1470">
        <v>1.29</v>
      </c>
      <c r="O1470">
        <v>5.65</v>
      </c>
      <c r="P1470">
        <v>5.05</v>
      </c>
      <c r="Q1470">
        <v>-2.09</v>
      </c>
      <c r="R1470">
        <v>4.68</v>
      </c>
      <c r="S1470">
        <v>4.68</v>
      </c>
      <c r="T1470">
        <v>83190</v>
      </c>
      <c r="U1470">
        <v>4.8499999999999996</v>
      </c>
      <c r="V1470">
        <v>4.78</v>
      </c>
      <c r="W1470" t="s">
        <v>120</v>
      </c>
      <c r="X1470" t="s">
        <v>213</v>
      </c>
      <c r="Y1470" t="s">
        <v>547</v>
      </c>
      <c r="Z1470">
        <v>7.74</v>
      </c>
      <c r="AA1470">
        <v>4.91</v>
      </c>
      <c r="AB1470">
        <v>35818</v>
      </c>
      <c r="AC1470">
        <v>47372</v>
      </c>
      <c r="AD1470">
        <v>0.76</v>
      </c>
      <c r="AE1470">
        <v>147</v>
      </c>
      <c r="AF1470">
        <v>18</v>
      </c>
      <c r="AG1470" t="s">
        <v>120</v>
      </c>
      <c r="AH1470">
        <v>0.01</v>
      </c>
      <c r="AI1470" t="s">
        <v>120</v>
      </c>
      <c r="AJ1470">
        <v>2.44</v>
      </c>
      <c r="AK1470" t="s">
        <v>1710</v>
      </c>
      <c r="AL1470">
        <v>2.96</v>
      </c>
      <c r="AM1470">
        <v>1374</v>
      </c>
      <c r="AN1470">
        <v>61</v>
      </c>
      <c r="AO1470">
        <v>2.5000000000000001E-3</v>
      </c>
      <c r="AP1470">
        <v>1</v>
      </c>
      <c r="AQ1470">
        <v>-2.85</v>
      </c>
      <c r="AR1470">
        <v>-3.21</v>
      </c>
      <c r="AS1470">
        <v>17.23</v>
      </c>
      <c r="AT1470">
        <v>-25.35</v>
      </c>
      <c r="AU1470">
        <v>-18.420000000000002</v>
      </c>
      <c r="AV1470">
        <v>1</v>
      </c>
      <c r="AW1470">
        <v>3.41</v>
      </c>
      <c r="AX1470">
        <v>50.75</v>
      </c>
      <c r="AY1470" t="s">
        <v>120</v>
      </c>
      <c r="AZ1470" t="s">
        <v>120</v>
      </c>
      <c r="BA1470">
        <v>0</v>
      </c>
      <c r="BB1470" t="s">
        <v>7600</v>
      </c>
      <c r="BF1470">
        <v>2.76</v>
      </c>
      <c r="BG1470">
        <v>3.21</v>
      </c>
      <c r="BH1470">
        <v>-4.3600000000000003</v>
      </c>
      <c r="BI1470">
        <v>3.21</v>
      </c>
      <c r="BJ1470">
        <v>20210831</v>
      </c>
      <c r="BK1470">
        <v>20100625</v>
      </c>
      <c r="BL1470">
        <v>4.8099999999999996</v>
      </c>
      <c r="BM1470" t="s">
        <v>120</v>
      </c>
      <c r="BN1470" t="s">
        <v>120</v>
      </c>
      <c r="BO1470">
        <v>17.79</v>
      </c>
      <c r="BP1470">
        <v>4.83</v>
      </c>
      <c r="BQ1470">
        <v>0.51</v>
      </c>
      <c r="BR1470">
        <v>0</v>
      </c>
      <c r="BS1470">
        <v>97.09</v>
      </c>
      <c r="BT1470">
        <v>4.6399999999999997</v>
      </c>
      <c r="BU1470">
        <v>1.25</v>
      </c>
      <c r="BV1470">
        <v>1.25</v>
      </c>
      <c r="BW1470">
        <v>16.440000000000001</v>
      </c>
      <c r="BX1470">
        <v>0.02</v>
      </c>
      <c r="BY1470">
        <v>0.26</v>
      </c>
      <c r="BZ1470">
        <v>1.22</v>
      </c>
      <c r="CA1470" t="s">
        <v>120</v>
      </c>
      <c r="CB1470">
        <v>13.49</v>
      </c>
      <c r="CC1470">
        <v>0.39</v>
      </c>
      <c r="CD1470">
        <v>0.28999999999999998</v>
      </c>
      <c r="CE1470">
        <v>-0.5</v>
      </c>
      <c r="CF1470">
        <v>0</v>
      </c>
      <c r="CG1470">
        <v>-0.5</v>
      </c>
      <c r="CH1470">
        <v>-0.5</v>
      </c>
      <c r="CI1470">
        <v>-0.5</v>
      </c>
      <c r="CJ1470">
        <v>0.05</v>
      </c>
      <c r="CK1470">
        <v>-0.51</v>
      </c>
      <c r="CL1470">
        <v>-5.94</v>
      </c>
      <c r="CM1470">
        <v>-0.15</v>
      </c>
      <c r="CN1470">
        <v>-7.0000000000000007E-2</v>
      </c>
      <c r="CO1470">
        <v>10139</v>
      </c>
      <c r="CP1470">
        <v>24078</v>
      </c>
      <c r="CQ1470" t="s">
        <v>596</v>
      </c>
      <c r="CR1470">
        <v>-1.49</v>
      </c>
      <c r="CS1470">
        <v>9.35</v>
      </c>
      <c r="CT1470">
        <v>45.17</v>
      </c>
      <c r="CU1470">
        <v>-151.57</v>
      </c>
      <c r="CV1470">
        <v>60.07</v>
      </c>
      <c r="CW1470">
        <v>0</v>
      </c>
      <c r="CX1470" t="s">
        <v>381</v>
      </c>
      <c r="CY1470">
        <v>0.11</v>
      </c>
      <c r="CZ1470">
        <v>0</v>
      </c>
      <c r="DA1470">
        <v>2.8</v>
      </c>
      <c r="DB1470">
        <v>-1.23</v>
      </c>
      <c r="DC1470">
        <v>-0.03</v>
      </c>
      <c r="DD1470">
        <v>2.89</v>
      </c>
      <c r="DE1470" t="s">
        <v>7735</v>
      </c>
      <c r="DF1470">
        <v>25.51</v>
      </c>
      <c r="DG1470">
        <v>-129.37</v>
      </c>
      <c r="DH1470">
        <v>-129.52000000000001</v>
      </c>
      <c r="DI1470">
        <v>0.04</v>
      </c>
      <c r="DJ1470">
        <v>548</v>
      </c>
      <c r="DK1470">
        <v>300089</v>
      </c>
      <c r="DL1470" t="s">
        <v>120</v>
      </c>
      <c r="DM1470" t="s">
        <v>120</v>
      </c>
      <c r="DN1470" t="s">
        <v>120</v>
      </c>
    </row>
    <row r="1471" spans="1:118">
      <c r="A1471" t="str">
        <f>"300091"</f>
        <v>300091</v>
      </c>
      <c r="B1471" t="s">
        <v>7736</v>
      </c>
      <c r="C1471">
        <v>-4.25</v>
      </c>
      <c r="D1471">
        <v>0.21</v>
      </c>
      <c r="E1471">
        <v>-0.2</v>
      </c>
      <c r="F1471">
        <v>6575</v>
      </c>
      <c r="G1471" t="s">
        <v>7737</v>
      </c>
      <c r="H1471">
        <v>17757.59</v>
      </c>
      <c r="I1471">
        <v>6.11</v>
      </c>
      <c r="J1471" t="s">
        <v>120</v>
      </c>
      <c r="K1471" t="s">
        <v>2228</v>
      </c>
      <c r="L1471">
        <v>3.4</v>
      </c>
      <c r="M1471">
        <v>4.7300000000000004</v>
      </c>
      <c r="N1471">
        <v>0.86</v>
      </c>
      <c r="O1471">
        <v>1.62</v>
      </c>
      <c r="P1471">
        <v>5.0199999999999996</v>
      </c>
      <c r="Q1471">
        <v>-4.45</v>
      </c>
      <c r="R1471">
        <v>4.72</v>
      </c>
      <c r="S1471">
        <v>4.93</v>
      </c>
      <c r="T1471">
        <v>363512</v>
      </c>
      <c r="U1471">
        <v>4.7300000000000004</v>
      </c>
      <c r="V1471">
        <v>4.9400000000000004</v>
      </c>
      <c r="W1471">
        <v>68.569999999999993</v>
      </c>
      <c r="X1471" t="s">
        <v>959</v>
      </c>
      <c r="Y1471" t="s">
        <v>319</v>
      </c>
      <c r="Z1471">
        <v>6.07</v>
      </c>
      <c r="AA1471">
        <v>4.8899999999999997</v>
      </c>
      <c r="AB1471">
        <v>207190</v>
      </c>
      <c r="AC1471">
        <v>156322</v>
      </c>
      <c r="AD1471">
        <v>1.33</v>
      </c>
      <c r="AE1471">
        <v>1780</v>
      </c>
      <c r="AF1471">
        <v>2051</v>
      </c>
      <c r="AG1471" t="s">
        <v>120</v>
      </c>
      <c r="AH1471">
        <v>0</v>
      </c>
      <c r="AI1471" t="s">
        <v>120</v>
      </c>
      <c r="AJ1471">
        <v>10.7</v>
      </c>
      <c r="AK1471" t="s">
        <v>7738</v>
      </c>
      <c r="AL1471">
        <v>-2.34</v>
      </c>
      <c r="AM1471">
        <v>2611</v>
      </c>
      <c r="AN1471">
        <v>139</v>
      </c>
      <c r="AO1471">
        <v>1.2999999999999999E-3</v>
      </c>
      <c r="AP1471">
        <v>-1</v>
      </c>
      <c r="AQ1471">
        <v>0.82</v>
      </c>
      <c r="AR1471">
        <v>-4.05</v>
      </c>
      <c r="AS1471">
        <v>-19.28</v>
      </c>
      <c r="AT1471">
        <v>12.67</v>
      </c>
      <c r="AU1471">
        <v>13.48</v>
      </c>
      <c r="AV1471">
        <v>0</v>
      </c>
      <c r="AW1471">
        <v>4.22</v>
      </c>
      <c r="AX1471">
        <v>57.84</v>
      </c>
      <c r="AY1471">
        <v>92.57</v>
      </c>
      <c r="AZ1471">
        <v>125.43</v>
      </c>
      <c r="BA1471">
        <v>0.93</v>
      </c>
      <c r="BB1471" t="s">
        <v>143</v>
      </c>
      <c r="BF1471">
        <v>-1.1100000000000001</v>
      </c>
      <c r="BG1471">
        <v>-4.0599999999999996</v>
      </c>
      <c r="BH1471">
        <v>-5.78</v>
      </c>
      <c r="BI1471">
        <v>0.21</v>
      </c>
      <c r="BJ1471">
        <v>20210818</v>
      </c>
      <c r="BK1471">
        <v>20100625</v>
      </c>
      <c r="BL1471">
        <v>14.89</v>
      </c>
      <c r="BM1471" t="s">
        <v>120</v>
      </c>
      <c r="BN1471" t="s">
        <v>120</v>
      </c>
      <c r="BO1471">
        <v>65.260000000000005</v>
      </c>
      <c r="BP1471">
        <v>4.72</v>
      </c>
      <c r="BQ1471">
        <v>33</v>
      </c>
      <c r="BR1471">
        <v>0.06</v>
      </c>
      <c r="BS1471">
        <v>49.33</v>
      </c>
      <c r="BT1471">
        <v>43.1</v>
      </c>
      <c r="BU1471">
        <v>9.66</v>
      </c>
      <c r="BV1471">
        <v>1.75</v>
      </c>
      <c r="BW1471">
        <v>30.34</v>
      </c>
      <c r="BX1471">
        <v>4.84</v>
      </c>
      <c r="BY1471">
        <v>5.44</v>
      </c>
      <c r="BZ1471">
        <v>10.199999999999999</v>
      </c>
      <c r="CA1471" t="s">
        <v>120</v>
      </c>
      <c r="CB1471">
        <v>13.5</v>
      </c>
      <c r="CC1471">
        <v>10.52</v>
      </c>
      <c r="CD1471">
        <v>8.3800000000000008</v>
      </c>
      <c r="CE1471">
        <v>0.61</v>
      </c>
      <c r="CF1471">
        <v>-0.04</v>
      </c>
      <c r="CG1471">
        <v>0.62</v>
      </c>
      <c r="CH1471">
        <v>0.53</v>
      </c>
      <c r="CI1471">
        <v>0.51</v>
      </c>
      <c r="CJ1471">
        <v>-0.21</v>
      </c>
      <c r="CK1471">
        <v>0.43</v>
      </c>
      <c r="CL1471">
        <v>4.1399999999999997</v>
      </c>
      <c r="CM1471">
        <v>-0.28000000000000003</v>
      </c>
      <c r="CN1471">
        <v>0.09</v>
      </c>
      <c r="CO1471">
        <v>41071</v>
      </c>
      <c r="CP1471">
        <v>20972</v>
      </c>
      <c r="CQ1471" t="s">
        <v>7739</v>
      </c>
      <c r="CR1471">
        <v>68.16</v>
      </c>
      <c r="CS1471">
        <v>43.7</v>
      </c>
      <c r="CT1471">
        <v>2.13</v>
      </c>
      <c r="CU1471">
        <v>-248.13</v>
      </c>
      <c r="CV1471">
        <v>6.69</v>
      </c>
      <c r="CW1471">
        <v>0.24</v>
      </c>
      <c r="CX1471" t="s">
        <v>145</v>
      </c>
      <c r="CY1471">
        <v>2.2200000000000002</v>
      </c>
      <c r="CZ1471">
        <v>0</v>
      </c>
      <c r="DA1471">
        <v>0.91</v>
      </c>
      <c r="DB1471">
        <v>0.28000000000000003</v>
      </c>
      <c r="DC1471">
        <v>-0.02</v>
      </c>
      <c r="DD1471">
        <v>50.57</v>
      </c>
      <c r="DE1471" t="s">
        <v>7740</v>
      </c>
      <c r="DF1471">
        <v>20.38</v>
      </c>
      <c r="DG1471">
        <v>5.83</v>
      </c>
      <c r="DH1471">
        <v>4.88</v>
      </c>
      <c r="DI1471">
        <v>0.3</v>
      </c>
      <c r="DJ1471">
        <v>1364</v>
      </c>
      <c r="DK1471">
        <v>300091</v>
      </c>
      <c r="DL1471" t="s">
        <v>120</v>
      </c>
      <c r="DM1471" t="s">
        <v>120</v>
      </c>
      <c r="DN1471" t="s">
        <v>120</v>
      </c>
    </row>
    <row r="1472" spans="1:118">
      <c r="A1472" t="str">
        <f>"300092"</f>
        <v>300092</v>
      </c>
      <c r="B1472" t="s">
        <v>7741</v>
      </c>
      <c r="C1472">
        <v>6.07</v>
      </c>
      <c r="D1472">
        <v>0</v>
      </c>
      <c r="E1472">
        <v>-0.08</v>
      </c>
      <c r="F1472">
        <v>7668</v>
      </c>
      <c r="G1472" t="s">
        <v>1709</v>
      </c>
      <c r="H1472">
        <v>28630.86</v>
      </c>
      <c r="I1472">
        <v>14.65</v>
      </c>
      <c r="J1472" t="s">
        <v>120</v>
      </c>
      <c r="K1472" t="s">
        <v>7742</v>
      </c>
      <c r="L1472">
        <v>13.77</v>
      </c>
      <c r="M1472">
        <v>12.75</v>
      </c>
      <c r="N1472">
        <v>1.6</v>
      </c>
      <c r="O1472">
        <v>6.07</v>
      </c>
      <c r="P1472">
        <v>12.75</v>
      </c>
      <c r="Q1472">
        <v>-0.92</v>
      </c>
      <c r="R1472">
        <v>11.91</v>
      </c>
      <c r="S1472">
        <v>12.01</v>
      </c>
      <c r="T1472">
        <v>230579</v>
      </c>
      <c r="U1472">
        <v>12.76</v>
      </c>
      <c r="V1472">
        <v>12.02</v>
      </c>
      <c r="W1472">
        <v>28.53</v>
      </c>
      <c r="X1472" t="s">
        <v>675</v>
      </c>
      <c r="Y1472" t="s">
        <v>578</v>
      </c>
      <c r="Z1472">
        <v>6.99</v>
      </c>
      <c r="AA1472">
        <v>12.42</v>
      </c>
      <c r="AB1472">
        <v>103925</v>
      </c>
      <c r="AC1472">
        <v>126654</v>
      </c>
      <c r="AD1472">
        <v>0.82</v>
      </c>
      <c r="AE1472">
        <v>1941</v>
      </c>
      <c r="AF1472">
        <v>97</v>
      </c>
      <c r="AG1472" t="s">
        <v>120</v>
      </c>
      <c r="AH1472">
        <v>0.01</v>
      </c>
      <c r="AI1472" t="s">
        <v>120</v>
      </c>
      <c r="AJ1472">
        <v>1.67</v>
      </c>
      <c r="AK1472" t="s">
        <v>7743</v>
      </c>
      <c r="AL1472">
        <v>7.99</v>
      </c>
      <c r="AM1472">
        <v>3469</v>
      </c>
      <c r="AN1472">
        <v>66</v>
      </c>
      <c r="AO1472">
        <v>4.0000000000000001E-3</v>
      </c>
      <c r="AP1472">
        <v>1</v>
      </c>
      <c r="AQ1472">
        <v>-1.56</v>
      </c>
      <c r="AR1472">
        <v>5.89</v>
      </c>
      <c r="AS1472">
        <v>34.93</v>
      </c>
      <c r="AT1472">
        <v>40.57</v>
      </c>
      <c r="AU1472">
        <v>36.799999999999997</v>
      </c>
      <c r="AV1472">
        <v>1</v>
      </c>
      <c r="AW1472">
        <v>19.510000000000002</v>
      </c>
      <c r="AX1472">
        <v>51.04</v>
      </c>
      <c r="AY1472">
        <v>31.83</v>
      </c>
      <c r="AZ1472">
        <v>34.799999999999997</v>
      </c>
      <c r="BA1472">
        <v>1.08</v>
      </c>
      <c r="BB1472" t="s">
        <v>143</v>
      </c>
      <c r="BF1472">
        <v>3.3</v>
      </c>
      <c r="BG1472">
        <v>6.16</v>
      </c>
      <c r="BH1472">
        <v>0</v>
      </c>
      <c r="BI1472">
        <v>7.05</v>
      </c>
      <c r="BJ1472">
        <v>20210901</v>
      </c>
      <c r="BK1472">
        <v>20100708</v>
      </c>
      <c r="BL1472">
        <v>2.3199999999999998</v>
      </c>
      <c r="BM1472" t="s">
        <v>120</v>
      </c>
      <c r="BN1472" t="s">
        <v>120</v>
      </c>
      <c r="BO1472">
        <v>11.3</v>
      </c>
      <c r="BP1472">
        <v>12.75</v>
      </c>
      <c r="BQ1472">
        <v>6.97</v>
      </c>
      <c r="BR1472">
        <v>0.09</v>
      </c>
      <c r="BS1472">
        <v>37.520000000000003</v>
      </c>
      <c r="BT1472">
        <v>9.09</v>
      </c>
      <c r="BU1472">
        <v>1.82</v>
      </c>
      <c r="BV1472">
        <v>0.23</v>
      </c>
      <c r="BW1472">
        <v>4.1900000000000004</v>
      </c>
      <c r="BX1472">
        <v>0.57999999999999996</v>
      </c>
      <c r="BY1472">
        <v>2.94</v>
      </c>
      <c r="BZ1472">
        <v>1.23</v>
      </c>
      <c r="CA1472">
        <v>0</v>
      </c>
      <c r="CB1472">
        <v>2.4</v>
      </c>
      <c r="CC1472">
        <v>4.59</v>
      </c>
      <c r="CD1472">
        <v>3.44</v>
      </c>
      <c r="CE1472">
        <v>0.57999999999999996</v>
      </c>
      <c r="CF1472">
        <v>0</v>
      </c>
      <c r="CG1472">
        <v>0.57999999999999996</v>
      </c>
      <c r="CH1472">
        <v>0.51</v>
      </c>
      <c r="CI1472">
        <v>0.52</v>
      </c>
      <c r="CJ1472">
        <v>0.73</v>
      </c>
      <c r="CK1472">
        <v>0.5</v>
      </c>
      <c r="CL1472">
        <v>1.99</v>
      </c>
      <c r="CM1472">
        <v>-0.13</v>
      </c>
      <c r="CN1472">
        <v>-0.2</v>
      </c>
      <c r="CO1472">
        <v>23448</v>
      </c>
      <c r="CP1472">
        <v>5041</v>
      </c>
      <c r="CQ1472" t="s">
        <v>5423</v>
      </c>
      <c r="CR1472">
        <v>16.899999999999999</v>
      </c>
      <c r="CS1472">
        <v>28.54</v>
      </c>
      <c r="CT1472">
        <v>4.24</v>
      </c>
      <c r="CU1472">
        <v>-229.81</v>
      </c>
      <c r="CV1472">
        <v>6.43</v>
      </c>
      <c r="CW1472">
        <v>0.42</v>
      </c>
      <c r="CX1472" t="s">
        <v>2840</v>
      </c>
      <c r="CY1472">
        <v>3.01</v>
      </c>
      <c r="CZ1472">
        <v>0</v>
      </c>
      <c r="DA1472">
        <v>1.03</v>
      </c>
      <c r="DB1472">
        <v>0.86</v>
      </c>
      <c r="DC1472">
        <v>-0.06</v>
      </c>
      <c r="DD1472">
        <v>61.64</v>
      </c>
      <c r="DE1472" t="s">
        <v>2772</v>
      </c>
      <c r="DF1472">
        <v>25.1</v>
      </c>
      <c r="DG1472">
        <v>12.55</v>
      </c>
      <c r="DH1472">
        <v>11.28</v>
      </c>
      <c r="DI1472">
        <v>0.15</v>
      </c>
      <c r="DJ1472">
        <v>667</v>
      </c>
      <c r="DK1472">
        <v>300092</v>
      </c>
      <c r="DL1472" t="s">
        <v>120</v>
      </c>
      <c r="DM1472" t="s">
        <v>120</v>
      </c>
      <c r="DN1472" t="s">
        <v>120</v>
      </c>
    </row>
    <row r="1473" spans="1:118">
      <c r="A1473" t="str">
        <f>"300093"</f>
        <v>300093</v>
      </c>
      <c r="B1473" t="s">
        <v>7744</v>
      </c>
      <c r="C1473">
        <v>-3.8</v>
      </c>
      <c r="D1473">
        <v>0.05</v>
      </c>
      <c r="E1473">
        <v>0</v>
      </c>
      <c r="F1473">
        <v>470</v>
      </c>
      <c r="G1473" t="s">
        <v>7745</v>
      </c>
      <c r="H1473">
        <v>5712.96</v>
      </c>
      <c r="I1473">
        <v>10.48</v>
      </c>
      <c r="J1473" t="s">
        <v>120</v>
      </c>
      <c r="K1473" t="s">
        <v>7746</v>
      </c>
      <c r="L1473">
        <v>1.44</v>
      </c>
      <c r="M1473">
        <v>19.760000000000002</v>
      </c>
      <c r="N1473">
        <v>0.93</v>
      </c>
      <c r="O1473">
        <v>0.97</v>
      </c>
      <c r="P1473">
        <v>20.74</v>
      </c>
      <c r="Q1473">
        <v>-4.82</v>
      </c>
      <c r="R1473">
        <v>19.55</v>
      </c>
      <c r="S1473">
        <v>20.54</v>
      </c>
      <c r="T1473">
        <v>28428</v>
      </c>
      <c r="U1473">
        <v>19.760000000000002</v>
      </c>
      <c r="V1473">
        <v>20.54</v>
      </c>
      <c r="W1473">
        <v>2077.37</v>
      </c>
      <c r="X1473" t="s">
        <v>191</v>
      </c>
      <c r="Y1473" t="s">
        <v>547</v>
      </c>
      <c r="Z1473">
        <v>5.79</v>
      </c>
      <c r="AA1473">
        <v>20.100000000000001</v>
      </c>
      <c r="AB1473">
        <v>15285</v>
      </c>
      <c r="AC1473">
        <v>13143</v>
      </c>
      <c r="AD1473">
        <v>1.1599999999999999</v>
      </c>
      <c r="AE1473">
        <v>26</v>
      </c>
      <c r="AF1473">
        <v>3</v>
      </c>
      <c r="AG1473" t="s">
        <v>120</v>
      </c>
      <c r="AH1473">
        <v>0</v>
      </c>
      <c r="AI1473" t="s">
        <v>120</v>
      </c>
      <c r="AJ1473">
        <v>1.97</v>
      </c>
      <c r="AK1473" t="s">
        <v>7747</v>
      </c>
      <c r="AL1473">
        <v>-1.88</v>
      </c>
      <c r="AM1473">
        <v>1627</v>
      </c>
      <c r="AN1473">
        <v>17</v>
      </c>
      <c r="AO1473">
        <v>8.9999999999999998E-4</v>
      </c>
      <c r="AP1473">
        <v>-1</v>
      </c>
      <c r="AQ1473">
        <v>1.23</v>
      </c>
      <c r="AR1473">
        <v>-4.96</v>
      </c>
      <c r="AS1473">
        <v>11.26</v>
      </c>
      <c r="AT1473">
        <v>4.4400000000000004</v>
      </c>
      <c r="AU1473">
        <v>114.55</v>
      </c>
      <c r="AV1473">
        <v>2</v>
      </c>
      <c r="AW1473">
        <v>1.95</v>
      </c>
      <c r="AX1473">
        <v>67.5</v>
      </c>
      <c r="AY1473" t="s">
        <v>120</v>
      </c>
      <c r="AZ1473" t="s">
        <v>120</v>
      </c>
      <c r="BA1473">
        <v>1.1000000000000001</v>
      </c>
      <c r="BB1473" t="s">
        <v>143</v>
      </c>
      <c r="BF1473">
        <v>-2.16</v>
      </c>
      <c r="BG1473">
        <v>-3.8</v>
      </c>
      <c r="BH1473">
        <v>-4.7300000000000004</v>
      </c>
      <c r="BI1473">
        <v>1.07</v>
      </c>
      <c r="BJ1473">
        <v>20210824</v>
      </c>
      <c r="BK1473">
        <v>20100708</v>
      </c>
      <c r="BL1473">
        <v>2.16</v>
      </c>
      <c r="BM1473" t="s">
        <v>120</v>
      </c>
      <c r="BN1473" t="s">
        <v>120</v>
      </c>
      <c r="BO1473">
        <v>10.61</v>
      </c>
      <c r="BP1473">
        <v>19.75</v>
      </c>
      <c r="BQ1473">
        <v>5.1100000000000003</v>
      </c>
      <c r="BR1473">
        <v>-0.02</v>
      </c>
      <c r="BS1473">
        <v>51.99</v>
      </c>
      <c r="BT1473">
        <v>6.28</v>
      </c>
      <c r="BU1473">
        <v>3.43</v>
      </c>
      <c r="BV1473">
        <v>0.39</v>
      </c>
      <c r="BW1473">
        <v>5.1100000000000003</v>
      </c>
      <c r="BX1473">
        <v>0.73</v>
      </c>
      <c r="BY1473">
        <v>1.23</v>
      </c>
      <c r="BZ1473">
        <v>3.2</v>
      </c>
      <c r="CA1473" t="s">
        <v>120</v>
      </c>
      <c r="CB1473">
        <v>3.87</v>
      </c>
      <c r="CC1473">
        <v>1.84</v>
      </c>
      <c r="CD1473">
        <v>1.26</v>
      </c>
      <c r="CE1473">
        <v>0.04</v>
      </c>
      <c r="CF1473">
        <v>0</v>
      </c>
      <c r="CG1473">
        <v>0.03</v>
      </c>
      <c r="CH1473">
        <v>0.01</v>
      </c>
      <c r="CI1473">
        <v>0.01</v>
      </c>
      <c r="CJ1473">
        <v>-0.78</v>
      </c>
      <c r="CK1473">
        <v>0</v>
      </c>
      <c r="CL1473">
        <v>-1.48</v>
      </c>
      <c r="CM1473">
        <v>0.51</v>
      </c>
      <c r="CN1473">
        <v>-7.0000000000000007E-2</v>
      </c>
      <c r="CO1473">
        <v>12268</v>
      </c>
      <c r="CP1473">
        <v>11885</v>
      </c>
      <c r="CQ1473" t="s">
        <v>7748</v>
      </c>
      <c r="CR1473">
        <v>104.09</v>
      </c>
      <c r="CS1473">
        <v>57.21</v>
      </c>
      <c r="CT1473">
        <v>8.35</v>
      </c>
      <c r="CU1473">
        <v>83.76</v>
      </c>
      <c r="CV1473">
        <v>23.24</v>
      </c>
      <c r="CW1473">
        <v>0</v>
      </c>
      <c r="CX1473" t="s">
        <v>4638</v>
      </c>
      <c r="CY1473">
        <v>2.37</v>
      </c>
      <c r="CZ1473">
        <v>0</v>
      </c>
      <c r="DA1473">
        <v>1.79</v>
      </c>
      <c r="DB1473">
        <v>-0.68</v>
      </c>
      <c r="DC1473">
        <v>0.24</v>
      </c>
      <c r="DD1473">
        <v>48.19</v>
      </c>
      <c r="DE1473" t="s">
        <v>7749</v>
      </c>
      <c r="DF1473">
        <v>31.3</v>
      </c>
      <c r="DG1473">
        <v>1.95</v>
      </c>
      <c r="DH1473">
        <v>0.56000000000000005</v>
      </c>
      <c r="DI1473">
        <v>0.03</v>
      </c>
      <c r="DJ1473">
        <v>719</v>
      </c>
      <c r="DK1473">
        <v>300093</v>
      </c>
      <c r="DL1473" t="s">
        <v>120</v>
      </c>
      <c r="DM1473" t="s">
        <v>120</v>
      </c>
      <c r="DN1473" t="s">
        <v>120</v>
      </c>
    </row>
    <row r="1474" spans="1:118">
      <c r="A1474" t="str">
        <f>"300094"</f>
        <v>300094</v>
      </c>
      <c r="B1474" t="s">
        <v>7750</v>
      </c>
      <c r="C1474">
        <v>5.12</v>
      </c>
      <c r="D1474">
        <v>-0.22</v>
      </c>
      <c r="E1474">
        <v>3.66</v>
      </c>
      <c r="F1474">
        <v>6270</v>
      </c>
      <c r="G1474" t="s">
        <v>7751</v>
      </c>
      <c r="H1474">
        <v>53528.61</v>
      </c>
      <c r="I1474">
        <v>348.54</v>
      </c>
      <c r="J1474" t="s">
        <v>120</v>
      </c>
      <c r="K1474" t="s">
        <v>7752</v>
      </c>
      <c r="L1474">
        <v>14.06</v>
      </c>
      <c r="M1474">
        <v>4.3099999999999996</v>
      </c>
      <c r="N1474">
        <v>3.32</v>
      </c>
      <c r="O1474">
        <v>12.68</v>
      </c>
      <c r="P1474">
        <v>4.62</v>
      </c>
      <c r="Q1474">
        <v>3.66</v>
      </c>
      <c r="R1474">
        <v>4.25</v>
      </c>
      <c r="S1474">
        <v>4.25</v>
      </c>
      <c r="T1474">
        <v>1226148</v>
      </c>
      <c r="U1474">
        <v>4.32</v>
      </c>
      <c r="V1474">
        <v>4.0999999999999996</v>
      </c>
      <c r="W1474">
        <v>194.26</v>
      </c>
      <c r="X1474" t="s">
        <v>2008</v>
      </c>
      <c r="Y1474" t="s">
        <v>547</v>
      </c>
      <c r="Z1474">
        <v>9.02</v>
      </c>
      <c r="AA1474">
        <v>4.37</v>
      </c>
      <c r="AB1474">
        <v>560015</v>
      </c>
      <c r="AC1474">
        <v>666133</v>
      </c>
      <c r="AD1474">
        <v>0.84</v>
      </c>
      <c r="AE1474">
        <v>4383</v>
      </c>
      <c r="AF1474">
        <v>2673</v>
      </c>
      <c r="AG1474" t="s">
        <v>120</v>
      </c>
      <c r="AH1474">
        <v>0.15</v>
      </c>
      <c r="AI1474" t="s">
        <v>120</v>
      </c>
      <c r="AJ1474">
        <v>8.7200000000000006</v>
      </c>
      <c r="AK1474" t="s">
        <v>2780</v>
      </c>
      <c r="AL1474">
        <v>7.04</v>
      </c>
      <c r="AM1474">
        <v>4215</v>
      </c>
      <c r="AN1474">
        <v>291</v>
      </c>
      <c r="AO1474">
        <v>3.3E-3</v>
      </c>
      <c r="AP1474">
        <v>2</v>
      </c>
      <c r="AQ1474">
        <v>0.74</v>
      </c>
      <c r="AR1474">
        <v>3.86</v>
      </c>
      <c r="AS1474">
        <v>1.41</v>
      </c>
      <c r="AT1474">
        <v>1.41</v>
      </c>
      <c r="AU1474">
        <v>-15.32</v>
      </c>
      <c r="AV1474">
        <v>3</v>
      </c>
      <c r="AW1474">
        <v>22.51</v>
      </c>
      <c r="AX1474">
        <v>59.23</v>
      </c>
      <c r="AY1474" t="s">
        <v>120</v>
      </c>
      <c r="AZ1474" t="s">
        <v>120</v>
      </c>
      <c r="BA1474">
        <v>0.71</v>
      </c>
      <c r="BB1474" t="s">
        <v>125</v>
      </c>
      <c r="BF1474">
        <v>6.48</v>
      </c>
      <c r="BG1474">
        <v>1.41</v>
      </c>
      <c r="BH1474">
        <v>-6.71</v>
      </c>
      <c r="BI1474">
        <v>1.41</v>
      </c>
      <c r="BJ1474">
        <v>20210909</v>
      </c>
      <c r="BK1474">
        <v>20100708</v>
      </c>
      <c r="BL1474">
        <v>9.1999999999999993</v>
      </c>
      <c r="BM1474" t="s">
        <v>120</v>
      </c>
      <c r="BN1474" t="s">
        <v>120</v>
      </c>
      <c r="BO1474">
        <v>49.37</v>
      </c>
      <c r="BP1474">
        <v>4.3099999999999996</v>
      </c>
      <c r="BQ1474">
        <v>21.09</v>
      </c>
      <c r="BR1474">
        <v>0.3</v>
      </c>
      <c r="BS1474">
        <v>56.67</v>
      </c>
      <c r="BT1474">
        <v>35.69</v>
      </c>
      <c r="BU1474">
        <v>11.08</v>
      </c>
      <c r="BV1474">
        <v>1.1100000000000001</v>
      </c>
      <c r="BW1474">
        <v>24.63</v>
      </c>
      <c r="BX1474">
        <v>2.4900000000000002</v>
      </c>
      <c r="BY1474">
        <v>26.11</v>
      </c>
      <c r="BZ1474">
        <v>5.27</v>
      </c>
      <c r="CA1474" t="s">
        <v>120</v>
      </c>
      <c r="CB1474">
        <v>11.58</v>
      </c>
      <c r="CC1474">
        <v>20.99</v>
      </c>
      <c r="CD1474">
        <v>17.25</v>
      </c>
      <c r="CE1474">
        <v>0.33</v>
      </c>
      <c r="CF1474">
        <v>0</v>
      </c>
      <c r="CG1474">
        <v>0.34</v>
      </c>
      <c r="CH1474">
        <v>0.11</v>
      </c>
      <c r="CI1474">
        <v>0.1</v>
      </c>
      <c r="CJ1474">
        <v>0.21</v>
      </c>
      <c r="CK1474">
        <v>-0.03</v>
      </c>
      <c r="CL1474">
        <v>-0.56000000000000005</v>
      </c>
      <c r="CM1474">
        <v>2.4900000000000002</v>
      </c>
      <c r="CN1474">
        <v>-0.37</v>
      </c>
      <c r="CO1474">
        <v>35461</v>
      </c>
      <c r="CP1474">
        <v>15359</v>
      </c>
      <c r="CQ1474" t="s">
        <v>7753</v>
      </c>
      <c r="CR1474">
        <v>109.02</v>
      </c>
      <c r="CS1474">
        <v>-0.28000000000000003</v>
      </c>
      <c r="CT1474">
        <v>1.87</v>
      </c>
      <c r="CU1474">
        <v>15.94</v>
      </c>
      <c r="CV1474">
        <v>1.89</v>
      </c>
      <c r="CW1474">
        <v>0</v>
      </c>
      <c r="CX1474" t="s">
        <v>178</v>
      </c>
      <c r="CY1474">
        <v>2.2999999999999998</v>
      </c>
      <c r="CZ1474">
        <v>2.2999999999999998</v>
      </c>
      <c r="DA1474">
        <v>1.26</v>
      </c>
      <c r="DB1474">
        <v>-0.06</v>
      </c>
      <c r="DC1474">
        <v>0.27</v>
      </c>
      <c r="DD1474">
        <v>42.73</v>
      </c>
      <c r="DE1474" t="s">
        <v>7754</v>
      </c>
      <c r="DF1474">
        <v>17.82</v>
      </c>
      <c r="DG1474">
        <v>1.57</v>
      </c>
      <c r="DH1474">
        <v>0.49</v>
      </c>
      <c r="DI1474">
        <v>0.18</v>
      </c>
      <c r="DJ1474">
        <v>4463</v>
      </c>
      <c r="DK1474">
        <v>300094</v>
      </c>
      <c r="DL1474" t="s">
        <v>120</v>
      </c>
      <c r="DM1474" t="s">
        <v>120</v>
      </c>
      <c r="DN1474" t="s">
        <v>120</v>
      </c>
    </row>
    <row r="1475" spans="1:118">
      <c r="A1475" t="str">
        <f>"300095"</f>
        <v>300095</v>
      </c>
      <c r="B1475" t="s">
        <v>7755</v>
      </c>
      <c r="C1475">
        <v>-6.23</v>
      </c>
      <c r="D1475">
        <v>-7.0000000000000007E-2</v>
      </c>
      <c r="E1475">
        <v>-1.3</v>
      </c>
      <c r="F1475">
        <v>1139</v>
      </c>
      <c r="G1475" t="s">
        <v>7756</v>
      </c>
      <c r="H1475">
        <v>23583.67</v>
      </c>
      <c r="I1475">
        <v>80.28</v>
      </c>
      <c r="J1475" t="s">
        <v>120</v>
      </c>
      <c r="K1475" t="s">
        <v>7757</v>
      </c>
      <c r="L1475">
        <v>6.09</v>
      </c>
      <c r="M1475">
        <v>12.95</v>
      </c>
      <c r="N1475">
        <v>1.33</v>
      </c>
      <c r="O1475">
        <v>-7.0000000000000007E-2</v>
      </c>
      <c r="P1475">
        <v>13.8</v>
      </c>
      <c r="Q1475">
        <v>-7.46</v>
      </c>
      <c r="R1475">
        <v>12.78</v>
      </c>
      <c r="S1475">
        <v>13.63</v>
      </c>
      <c r="T1475">
        <v>177679</v>
      </c>
      <c r="U1475">
        <v>12.95</v>
      </c>
      <c r="V1475">
        <v>13.81</v>
      </c>
      <c r="W1475">
        <v>21.31</v>
      </c>
      <c r="X1475" t="s">
        <v>959</v>
      </c>
      <c r="Y1475" t="s">
        <v>676</v>
      </c>
      <c r="Z1475">
        <v>7.39</v>
      </c>
      <c r="AA1475">
        <v>13.27</v>
      </c>
      <c r="AB1475">
        <v>108839</v>
      </c>
      <c r="AC1475">
        <v>68840</v>
      </c>
      <c r="AD1475">
        <v>1.58</v>
      </c>
      <c r="AE1475">
        <v>18</v>
      </c>
      <c r="AF1475">
        <v>918</v>
      </c>
      <c r="AG1475" t="s">
        <v>120</v>
      </c>
      <c r="AH1475">
        <v>0.03</v>
      </c>
      <c r="AI1475" t="s">
        <v>120</v>
      </c>
      <c r="AJ1475">
        <v>2.92</v>
      </c>
      <c r="AK1475" t="s">
        <v>6934</v>
      </c>
      <c r="AL1475">
        <v>-4.3099999999999996</v>
      </c>
      <c r="AM1475">
        <v>2969</v>
      </c>
      <c r="AN1475">
        <v>60</v>
      </c>
      <c r="AO1475">
        <v>2.0999999999999999E-3</v>
      </c>
      <c r="AP1475">
        <v>-1</v>
      </c>
      <c r="AQ1475">
        <v>3.83</v>
      </c>
      <c r="AR1475">
        <v>-3.14</v>
      </c>
      <c r="AS1475">
        <v>9.84</v>
      </c>
      <c r="AT1475">
        <v>31.87</v>
      </c>
      <c r="AU1475">
        <v>26.96</v>
      </c>
      <c r="AV1475">
        <v>0</v>
      </c>
      <c r="AW1475">
        <v>8.65</v>
      </c>
      <c r="AX1475">
        <v>54.23</v>
      </c>
      <c r="AY1475">
        <v>26.89</v>
      </c>
      <c r="AZ1475">
        <v>31.82</v>
      </c>
      <c r="BA1475">
        <v>0.99</v>
      </c>
      <c r="BB1475" t="s">
        <v>143</v>
      </c>
      <c r="BF1475">
        <v>-3.89</v>
      </c>
      <c r="BG1475">
        <v>-4.99</v>
      </c>
      <c r="BH1475">
        <v>-6.16</v>
      </c>
      <c r="BI1475">
        <v>1.33</v>
      </c>
      <c r="BJ1475">
        <v>20210901</v>
      </c>
      <c r="BK1475">
        <v>20100728</v>
      </c>
      <c r="BL1475">
        <v>3.79</v>
      </c>
      <c r="BM1475" t="s">
        <v>120</v>
      </c>
      <c r="BN1475" t="s">
        <v>120</v>
      </c>
      <c r="BO1475">
        <v>31.6</v>
      </c>
      <c r="BP1475">
        <v>12.94</v>
      </c>
      <c r="BQ1475">
        <v>15.26</v>
      </c>
      <c r="BR1475">
        <v>1.69</v>
      </c>
      <c r="BS1475">
        <v>46.38</v>
      </c>
      <c r="BT1475">
        <v>20.190000000000001</v>
      </c>
      <c r="BU1475">
        <v>3.67</v>
      </c>
      <c r="BV1475">
        <v>1.51</v>
      </c>
      <c r="BW1475">
        <v>13.58</v>
      </c>
      <c r="BX1475">
        <v>2.57</v>
      </c>
      <c r="BY1475">
        <v>5.88</v>
      </c>
      <c r="BZ1475">
        <v>9.01</v>
      </c>
      <c r="CA1475" t="s">
        <v>120</v>
      </c>
      <c r="CB1475">
        <v>5.82</v>
      </c>
      <c r="CC1475">
        <v>7.17</v>
      </c>
      <c r="CD1475">
        <v>4.29</v>
      </c>
      <c r="CE1475">
        <v>1.35</v>
      </c>
      <c r="CF1475">
        <v>0</v>
      </c>
      <c r="CG1475">
        <v>1.34</v>
      </c>
      <c r="CH1475">
        <v>1.1100000000000001</v>
      </c>
      <c r="CI1475">
        <v>1.1499999999999999</v>
      </c>
      <c r="CJ1475">
        <v>-0.86</v>
      </c>
      <c r="CK1475">
        <v>1.1299999999999999</v>
      </c>
      <c r="CL1475">
        <v>5.19</v>
      </c>
      <c r="CM1475">
        <v>-0.47</v>
      </c>
      <c r="CN1475">
        <v>-0.97</v>
      </c>
      <c r="CO1475">
        <v>26105</v>
      </c>
      <c r="CP1475">
        <v>7867</v>
      </c>
      <c r="CQ1475" t="s">
        <v>7758</v>
      </c>
      <c r="CR1475">
        <v>35.479999999999997</v>
      </c>
      <c r="CS1475">
        <v>25.83</v>
      </c>
      <c r="CT1475">
        <v>3.21</v>
      </c>
      <c r="CU1475">
        <v>-103.49</v>
      </c>
      <c r="CV1475">
        <v>6.84</v>
      </c>
      <c r="CW1475">
        <v>0.36</v>
      </c>
      <c r="CX1475" t="s">
        <v>7759</v>
      </c>
      <c r="CY1475">
        <v>4.03</v>
      </c>
      <c r="CZ1475">
        <v>0</v>
      </c>
      <c r="DA1475">
        <v>1.54</v>
      </c>
      <c r="DB1475">
        <v>1.37</v>
      </c>
      <c r="DC1475">
        <v>-0.13</v>
      </c>
      <c r="DD1475">
        <v>48.28</v>
      </c>
      <c r="DE1475" t="s">
        <v>7432</v>
      </c>
      <c r="DF1475">
        <v>40.14</v>
      </c>
      <c r="DG1475">
        <v>18.79</v>
      </c>
      <c r="DH1475">
        <v>16.05</v>
      </c>
      <c r="DI1475">
        <v>0.23</v>
      </c>
      <c r="DJ1475">
        <v>1862</v>
      </c>
      <c r="DK1475">
        <v>300095</v>
      </c>
      <c r="DL1475" t="s">
        <v>120</v>
      </c>
      <c r="DM1475" t="s">
        <v>120</v>
      </c>
      <c r="DN1475" t="s">
        <v>120</v>
      </c>
    </row>
    <row r="1476" spans="1:118">
      <c r="A1476" t="str">
        <f>"300096"</f>
        <v>300096</v>
      </c>
      <c r="B1476" t="s">
        <v>7760</v>
      </c>
      <c r="C1476">
        <v>-2.74</v>
      </c>
      <c r="D1476">
        <v>0</v>
      </c>
      <c r="E1476">
        <v>-1.48</v>
      </c>
      <c r="F1476">
        <v>3028</v>
      </c>
      <c r="G1476" t="s">
        <v>7761</v>
      </c>
      <c r="H1476">
        <v>15569.14</v>
      </c>
      <c r="I1476">
        <v>79.569999999999993</v>
      </c>
      <c r="J1476" t="s">
        <v>120</v>
      </c>
      <c r="K1476" t="s">
        <v>7762</v>
      </c>
      <c r="L1476">
        <v>4.82</v>
      </c>
      <c r="M1476">
        <v>8.5299999999999994</v>
      </c>
      <c r="N1476">
        <v>0.71</v>
      </c>
      <c r="O1476">
        <v>0.46</v>
      </c>
      <c r="P1476">
        <v>8.81</v>
      </c>
      <c r="Q1476">
        <v>-4.33</v>
      </c>
      <c r="R1476">
        <v>8.39</v>
      </c>
      <c r="S1476">
        <v>8.64</v>
      </c>
      <c r="T1476">
        <v>181306</v>
      </c>
      <c r="U1476">
        <v>8.5299999999999994</v>
      </c>
      <c r="V1476">
        <v>8.77</v>
      </c>
      <c r="W1476" t="s">
        <v>120</v>
      </c>
      <c r="X1476" t="s">
        <v>141</v>
      </c>
      <c r="Y1476" t="s">
        <v>937</v>
      </c>
      <c r="Z1476">
        <v>4.79</v>
      </c>
      <c r="AA1476">
        <v>8.59</v>
      </c>
      <c r="AB1476">
        <v>100610</v>
      </c>
      <c r="AC1476">
        <v>80696</v>
      </c>
      <c r="AD1476">
        <v>1.25</v>
      </c>
      <c r="AE1476">
        <v>119</v>
      </c>
      <c r="AF1476">
        <v>26</v>
      </c>
      <c r="AG1476" t="s">
        <v>120</v>
      </c>
      <c r="AH1476">
        <v>0.03</v>
      </c>
      <c r="AI1476" t="s">
        <v>120</v>
      </c>
      <c r="AJ1476">
        <v>3.77</v>
      </c>
      <c r="AK1476" t="s">
        <v>3000</v>
      </c>
      <c r="AL1476">
        <v>-0.82</v>
      </c>
      <c r="AM1476">
        <v>3124</v>
      </c>
      <c r="AN1476">
        <v>58</v>
      </c>
      <c r="AO1476">
        <v>1.5E-3</v>
      </c>
      <c r="AP1476">
        <v>-2</v>
      </c>
      <c r="AQ1476">
        <v>-3.41</v>
      </c>
      <c r="AR1476">
        <v>-0.57999999999999996</v>
      </c>
      <c r="AS1476">
        <v>10.06</v>
      </c>
      <c r="AT1476">
        <v>-18.489999999999998</v>
      </c>
      <c r="AU1476">
        <v>6.03</v>
      </c>
      <c r="AV1476">
        <v>2</v>
      </c>
      <c r="AW1476">
        <v>6.52</v>
      </c>
      <c r="AX1476">
        <v>64.680000000000007</v>
      </c>
      <c r="AY1476" t="s">
        <v>120</v>
      </c>
      <c r="AZ1476">
        <v>328.6</v>
      </c>
      <c r="BA1476">
        <v>0.49</v>
      </c>
      <c r="BB1476" t="s">
        <v>341</v>
      </c>
      <c r="BF1476">
        <v>-2.08</v>
      </c>
      <c r="BG1476">
        <v>-1.27</v>
      </c>
      <c r="BH1476">
        <v>-3.18</v>
      </c>
      <c r="BI1476">
        <v>1.67</v>
      </c>
      <c r="BJ1476">
        <v>20210914</v>
      </c>
      <c r="BK1476">
        <v>20100728</v>
      </c>
      <c r="BL1476">
        <v>4.3</v>
      </c>
      <c r="BM1476" t="s">
        <v>120</v>
      </c>
      <c r="BN1476" t="s">
        <v>120</v>
      </c>
      <c r="BO1476">
        <v>17.39</v>
      </c>
      <c r="BP1476">
        <v>8.52</v>
      </c>
      <c r="BQ1476">
        <v>6.33</v>
      </c>
      <c r="BR1476">
        <v>1.49</v>
      </c>
      <c r="BS1476">
        <v>55.02</v>
      </c>
      <c r="BT1476">
        <v>10.29</v>
      </c>
      <c r="BU1476">
        <v>0.61</v>
      </c>
      <c r="BV1476">
        <v>0.55000000000000004</v>
      </c>
      <c r="BW1476">
        <v>9.15</v>
      </c>
      <c r="BX1476">
        <v>2.62</v>
      </c>
      <c r="BY1476">
        <v>2.4300000000000002</v>
      </c>
      <c r="BZ1476">
        <v>2.9</v>
      </c>
      <c r="CA1476">
        <v>0.02</v>
      </c>
      <c r="CB1476">
        <v>0.67</v>
      </c>
      <c r="CC1476">
        <v>2.56</v>
      </c>
      <c r="CD1476">
        <v>1.51</v>
      </c>
      <c r="CE1476">
        <v>-1.2</v>
      </c>
      <c r="CF1476">
        <v>0.14000000000000001</v>
      </c>
      <c r="CG1476">
        <v>-1.2</v>
      </c>
      <c r="CH1476">
        <v>-1.03</v>
      </c>
      <c r="CI1476">
        <v>-0.78</v>
      </c>
      <c r="CJ1476">
        <v>-0.24</v>
      </c>
      <c r="CK1476">
        <v>-0.94</v>
      </c>
      <c r="CL1476">
        <v>1.0900000000000001</v>
      </c>
      <c r="CM1476">
        <v>-2.77</v>
      </c>
      <c r="CN1476">
        <v>-1.85</v>
      </c>
      <c r="CO1476">
        <v>36683</v>
      </c>
      <c r="CP1476">
        <v>7581</v>
      </c>
      <c r="CQ1476" t="s">
        <v>1737</v>
      </c>
      <c r="CR1476">
        <v>-69.39</v>
      </c>
      <c r="CS1476">
        <v>-19.57</v>
      </c>
      <c r="CT1476">
        <v>5.79</v>
      </c>
      <c r="CU1476">
        <v>-13.26</v>
      </c>
      <c r="CV1476">
        <v>14.33</v>
      </c>
      <c r="CW1476">
        <v>0.06</v>
      </c>
      <c r="CX1476" t="s">
        <v>7763</v>
      </c>
      <c r="CY1476">
        <v>1.47</v>
      </c>
      <c r="CZ1476">
        <v>0</v>
      </c>
      <c r="DA1476">
        <v>0.16</v>
      </c>
      <c r="DB1476">
        <v>0.25</v>
      </c>
      <c r="DC1476">
        <v>-0.64</v>
      </c>
      <c r="DD1476">
        <v>36.43</v>
      </c>
      <c r="DE1476" t="s">
        <v>7764</v>
      </c>
      <c r="DF1476">
        <v>40.9</v>
      </c>
      <c r="DG1476">
        <v>-46.8</v>
      </c>
      <c r="DH1476">
        <v>-30.62</v>
      </c>
      <c r="DI1476">
        <v>0.93</v>
      </c>
      <c r="DJ1476">
        <v>2891</v>
      </c>
      <c r="DK1476">
        <v>300096</v>
      </c>
      <c r="DL1476" t="s">
        <v>120</v>
      </c>
      <c r="DM1476" t="s">
        <v>120</v>
      </c>
      <c r="DN1476" t="s">
        <v>120</v>
      </c>
    </row>
    <row r="1477" spans="1:118">
      <c r="A1477" t="str">
        <f>"300097"</f>
        <v>300097</v>
      </c>
      <c r="B1477" t="s">
        <v>7765</v>
      </c>
      <c r="C1477">
        <v>-2.35</v>
      </c>
      <c r="D1477">
        <v>-0.43</v>
      </c>
      <c r="E1477">
        <v>0.32</v>
      </c>
      <c r="F1477">
        <v>1289</v>
      </c>
      <c r="G1477" t="s">
        <v>7766</v>
      </c>
      <c r="H1477">
        <v>4641.54</v>
      </c>
      <c r="I1477">
        <v>8.18</v>
      </c>
      <c r="J1477" t="s">
        <v>120</v>
      </c>
      <c r="K1477" t="s">
        <v>7767</v>
      </c>
      <c r="L1477">
        <v>1.85</v>
      </c>
      <c r="M1477">
        <v>9.15</v>
      </c>
      <c r="N1477">
        <v>0.7</v>
      </c>
      <c r="O1477">
        <v>1.17</v>
      </c>
      <c r="P1477">
        <v>9.48</v>
      </c>
      <c r="Q1477">
        <v>-2.35</v>
      </c>
      <c r="R1477">
        <v>9.15</v>
      </c>
      <c r="S1477">
        <v>9.4</v>
      </c>
      <c r="T1477">
        <v>49911</v>
      </c>
      <c r="U1477">
        <v>9.16</v>
      </c>
      <c r="V1477">
        <v>9.3699999999999992</v>
      </c>
      <c r="W1477" t="s">
        <v>120</v>
      </c>
      <c r="X1477" t="s">
        <v>2717</v>
      </c>
      <c r="Y1477" t="s">
        <v>432</v>
      </c>
      <c r="Z1477">
        <v>3.52</v>
      </c>
      <c r="AA1477">
        <v>9.3000000000000007</v>
      </c>
      <c r="AB1477">
        <v>31608</v>
      </c>
      <c r="AC1477">
        <v>18303</v>
      </c>
      <c r="AD1477">
        <v>1.73</v>
      </c>
      <c r="AE1477">
        <v>386</v>
      </c>
      <c r="AF1477">
        <v>62</v>
      </c>
      <c r="AG1477" t="s">
        <v>120</v>
      </c>
      <c r="AH1477">
        <v>0</v>
      </c>
      <c r="AI1477" t="s">
        <v>120</v>
      </c>
      <c r="AJ1477">
        <v>2.7</v>
      </c>
      <c r="AK1477" t="s">
        <v>3825</v>
      </c>
      <c r="AL1477">
        <v>-0.43</v>
      </c>
      <c r="AM1477">
        <v>1514</v>
      </c>
      <c r="AN1477">
        <v>33</v>
      </c>
      <c r="AO1477">
        <v>1.1999999999999999E-3</v>
      </c>
      <c r="AP1477">
        <v>-1</v>
      </c>
      <c r="AQ1477">
        <v>0.75</v>
      </c>
      <c r="AR1477">
        <v>-3.79</v>
      </c>
      <c r="AS1477">
        <v>-11.94</v>
      </c>
      <c r="AT1477">
        <v>8.67</v>
      </c>
      <c r="AU1477">
        <v>-11.85</v>
      </c>
      <c r="AV1477">
        <v>1</v>
      </c>
      <c r="AW1477">
        <v>2.54</v>
      </c>
      <c r="AX1477">
        <v>68.16</v>
      </c>
      <c r="AY1477" t="s">
        <v>120</v>
      </c>
      <c r="AZ1477">
        <v>74.61</v>
      </c>
      <c r="BA1477">
        <v>0.36</v>
      </c>
      <c r="BB1477" t="s">
        <v>143</v>
      </c>
      <c r="BF1477">
        <v>-0.75</v>
      </c>
      <c r="BG1477">
        <v>-2.66</v>
      </c>
      <c r="BH1477">
        <v>-3.48</v>
      </c>
      <c r="BI1477">
        <v>0</v>
      </c>
      <c r="BJ1477">
        <v>20210825</v>
      </c>
      <c r="BK1477">
        <v>20100728</v>
      </c>
      <c r="BL1477">
        <v>2.89</v>
      </c>
      <c r="BM1477" t="s">
        <v>120</v>
      </c>
      <c r="BN1477" t="s">
        <v>120</v>
      </c>
      <c r="BO1477">
        <v>24.28</v>
      </c>
      <c r="BP1477">
        <v>9.15</v>
      </c>
      <c r="BQ1477">
        <v>12.99</v>
      </c>
      <c r="BR1477">
        <v>0.24</v>
      </c>
      <c r="BS1477">
        <v>45.49</v>
      </c>
      <c r="BT1477">
        <v>12.86</v>
      </c>
      <c r="BU1477">
        <v>0.97</v>
      </c>
      <c r="BV1477">
        <v>1.68</v>
      </c>
      <c r="BW1477">
        <v>10.81</v>
      </c>
      <c r="BX1477">
        <v>0.4</v>
      </c>
      <c r="BY1477">
        <v>5.83</v>
      </c>
      <c r="BZ1477">
        <v>5.21</v>
      </c>
      <c r="CA1477" t="s">
        <v>120</v>
      </c>
      <c r="CB1477">
        <v>12.26</v>
      </c>
      <c r="CC1477">
        <v>3.26</v>
      </c>
      <c r="CD1477">
        <v>2.33</v>
      </c>
      <c r="CE1477">
        <v>-0.88</v>
      </c>
      <c r="CF1477">
        <v>0</v>
      </c>
      <c r="CG1477">
        <v>-0.9</v>
      </c>
      <c r="CH1477">
        <v>-0.87</v>
      </c>
      <c r="CI1477">
        <v>-0.87</v>
      </c>
      <c r="CJ1477">
        <v>-0.22</v>
      </c>
      <c r="CK1477">
        <v>-0.9</v>
      </c>
      <c r="CL1477">
        <v>-2.5299999999999998</v>
      </c>
      <c r="CM1477">
        <v>-0.73</v>
      </c>
      <c r="CN1477">
        <v>-0.6</v>
      </c>
      <c r="CO1477">
        <v>26860</v>
      </c>
      <c r="CP1477">
        <v>7322</v>
      </c>
      <c r="CQ1477" t="s">
        <v>5813</v>
      </c>
      <c r="CR1477">
        <v>-467.17</v>
      </c>
      <c r="CS1477">
        <v>-29.03</v>
      </c>
      <c r="CT1477">
        <v>2.0299999999999998</v>
      </c>
      <c r="CU1477">
        <v>-36.39</v>
      </c>
      <c r="CV1477">
        <v>8.09</v>
      </c>
      <c r="CW1477">
        <v>0</v>
      </c>
      <c r="CX1477" t="s">
        <v>7768</v>
      </c>
      <c r="CY1477">
        <v>4.5</v>
      </c>
      <c r="CZ1477">
        <v>0</v>
      </c>
      <c r="DA1477">
        <v>4.25</v>
      </c>
      <c r="DB1477">
        <v>-0.88</v>
      </c>
      <c r="DC1477">
        <v>-0.25</v>
      </c>
      <c r="DD1477">
        <v>53.52</v>
      </c>
      <c r="DE1477" t="s">
        <v>7769</v>
      </c>
      <c r="DF1477">
        <v>28.7</v>
      </c>
      <c r="DG1477">
        <v>-26.86</v>
      </c>
      <c r="DH1477">
        <v>-26.55</v>
      </c>
      <c r="DI1477">
        <v>0.53</v>
      </c>
      <c r="DJ1477">
        <v>1154</v>
      </c>
      <c r="DK1477">
        <v>300097</v>
      </c>
      <c r="DL1477" t="s">
        <v>120</v>
      </c>
      <c r="DM1477" t="s">
        <v>120</v>
      </c>
      <c r="DN1477" t="s">
        <v>120</v>
      </c>
    </row>
    <row r="1478" spans="1:118">
      <c r="A1478" t="str">
        <f>"300098"</f>
        <v>300098</v>
      </c>
      <c r="B1478" t="s">
        <v>7770</v>
      </c>
      <c r="C1478">
        <v>0.46</v>
      </c>
      <c r="D1478">
        <v>0</v>
      </c>
      <c r="E1478">
        <v>-0.46</v>
      </c>
      <c r="F1478">
        <v>3787</v>
      </c>
      <c r="G1478" t="s">
        <v>7771</v>
      </c>
      <c r="H1478">
        <v>20834.68</v>
      </c>
      <c r="I1478">
        <v>21.98</v>
      </c>
      <c r="J1478" t="s">
        <v>120</v>
      </c>
      <c r="K1478" t="s">
        <v>7772</v>
      </c>
      <c r="L1478">
        <v>3.22</v>
      </c>
      <c r="M1478">
        <v>4.41</v>
      </c>
      <c r="N1478">
        <v>0.92</v>
      </c>
      <c r="O1478">
        <v>3.42</v>
      </c>
      <c r="P1478">
        <v>4.54</v>
      </c>
      <c r="Q1478">
        <v>-0.91</v>
      </c>
      <c r="R1478">
        <v>4.3499999999999996</v>
      </c>
      <c r="S1478">
        <v>4.37</v>
      </c>
      <c r="T1478">
        <v>468990</v>
      </c>
      <c r="U1478">
        <v>4.42</v>
      </c>
      <c r="V1478">
        <v>4.3899999999999997</v>
      </c>
      <c r="W1478" t="s">
        <v>120</v>
      </c>
      <c r="X1478" t="s">
        <v>462</v>
      </c>
      <c r="Y1478" t="s">
        <v>547</v>
      </c>
      <c r="Z1478">
        <v>4.33</v>
      </c>
      <c r="AA1478">
        <v>4.4400000000000004</v>
      </c>
      <c r="AB1478">
        <v>221351</v>
      </c>
      <c r="AC1478">
        <v>247639</v>
      </c>
      <c r="AD1478">
        <v>0.89</v>
      </c>
      <c r="AE1478">
        <v>6040</v>
      </c>
      <c r="AF1478">
        <v>5982</v>
      </c>
      <c r="AG1478" t="s">
        <v>120</v>
      </c>
      <c r="AH1478">
        <v>0</v>
      </c>
      <c r="AI1478" t="s">
        <v>120</v>
      </c>
      <c r="AJ1478">
        <v>14.58</v>
      </c>
      <c r="AK1478" t="s">
        <v>7773</v>
      </c>
      <c r="AL1478">
        <v>2.37</v>
      </c>
      <c r="AM1478">
        <v>3028</v>
      </c>
      <c r="AN1478">
        <v>155</v>
      </c>
      <c r="AO1478">
        <v>1.1000000000000001E-3</v>
      </c>
      <c r="AP1478">
        <v>2</v>
      </c>
      <c r="AQ1478">
        <v>1.1499999999999999</v>
      </c>
      <c r="AR1478">
        <v>0.23</v>
      </c>
      <c r="AS1478">
        <v>2.3199999999999998</v>
      </c>
      <c r="AT1478">
        <v>-24.23</v>
      </c>
      <c r="AU1478">
        <v>9.16</v>
      </c>
      <c r="AV1478">
        <v>4</v>
      </c>
      <c r="AW1478">
        <v>3.47</v>
      </c>
      <c r="AX1478">
        <v>77.77</v>
      </c>
      <c r="AY1478" t="s">
        <v>120</v>
      </c>
      <c r="AZ1478" t="s">
        <v>120</v>
      </c>
      <c r="BA1478">
        <v>0.74</v>
      </c>
      <c r="BB1478" t="s">
        <v>125</v>
      </c>
      <c r="BF1478">
        <v>1.19</v>
      </c>
      <c r="BG1478">
        <v>0.92</v>
      </c>
      <c r="BH1478">
        <v>-2.86</v>
      </c>
      <c r="BI1478">
        <v>1.38</v>
      </c>
      <c r="BJ1478">
        <v>20210830</v>
      </c>
      <c r="BK1478">
        <v>20100728</v>
      </c>
      <c r="BL1478">
        <v>17.38</v>
      </c>
      <c r="BM1478" t="s">
        <v>120</v>
      </c>
      <c r="BN1478" t="s">
        <v>120</v>
      </c>
      <c r="BO1478">
        <v>57.36</v>
      </c>
      <c r="BP1478">
        <v>4.41</v>
      </c>
      <c r="BQ1478">
        <v>32.99</v>
      </c>
      <c r="BR1478">
        <v>0.65</v>
      </c>
      <c r="BS1478">
        <v>41.35</v>
      </c>
      <c r="BT1478">
        <v>35.97</v>
      </c>
      <c r="BU1478">
        <v>2.33</v>
      </c>
      <c r="BV1478">
        <v>0.73</v>
      </c>
      <c r="BW1478">
        <v>20.66</v>
      </c>
      <c r="BX1478">
        <v>5.37</v>
      </c>
      <c r="BY1478">
        <v>7.41</v>
      </c>
      <c r="BZ1478">
        <v>16.059999999999999</v>
      </c>
      <c r="CA1478" t="s">
        <v>120</v>
      </c>
      <c r="CB1478">
        <v>24.9</v>
      </c>
      <c r="CC1478">
        <v>10.59</v>
      </c>
      <c r="CD1478">
        <v>7.75</v>
      </c>
      <c r="CE1478">
        <v>-0.57999999999999996</v>
      </c>
      <c r="CF1478">
        <v>-0.04</v>
      </c>
      <c r="CG1478">
        <v>-0.59</v>
      </c>
      <c r="CH1478">
        <v>-0.47</v>
      </c>
      <c r="CI1478">
        <v>-0.39</v>
      </c>
      <c r="CJ1478">
        <v>0.02</v>
      </c>
      <c r="CK1478">
        <v>-0.6</v>
      </c>
      <c r="CL1478">
        <v>-9.89</v>
      </c>
      <c r="CM1478">
        <v>-1.44</v>
      </c>
      <c r="CN1478">
        <v>-3.91</v>
      </c>
      <c r="CO1478">
        <v>92760</v>
      </c>
      <c r="CP1478">
        <v>14570</v>
      </c>
      <c r="CQ1478" t="s">
        <v>5423</v>
      </c>
      <c r="CR1478">
        <v>31</v>
      </c>
      <c r="CS1478">
        <v>12.78</v>
      </c>
      <c r="CT1478">
        <v>2.3199999999999998</v>
      </c>
      <c r="CU1478">
        <v>-53.4</v>
      </c>
      <c r="CV1478">
        <v>7.24</v>
      </c>
      <c r="CW1478">
        <v>0</v>
      </c>
      <c r="CX1478" t="s">
        <v>419</v>
      </c>
      <c r="CY1478">
        <v>1.9</v>
      </c>
      <c r="CZ1478">
        <v>1.9</v>
      </c>
      <c r="DA1478">
        <v>1.43</v>
      </c>
      <c r="DB1478">
        <v>-0.56999999999999995</v>
      </c>
      <c r="DC1478">
        <v>-0.08</v>
      </c>
      <c r="DD1478">
        <v>57.52</v>
      </c>
      <c r="DE1478" t="s">
        <v>2853</v>
      </c>
      <c r="DF1478">
        <v>26.83</v>
      </c>
      <c r="DG1478">
        <v>-5.52</v>
      </c>
      <c r="DH1478">
        <v>-3.7</v>
      </c>
      <c r="DI1478">
        <v>1.63</v>
      </c>
      <c r="DJ1478">
        <v>3274</v>
      </c>
      <c r="DK1478">
        <v>300098</v>
      </c>
      <c r="DL1478" t="s">
        <v>120</v>
      </c>
      <c r="DM1478" t="s">
        <v>120</v>
      </c>
      <c r="DN1478" t="s">
        <v>120</v>
      </c>
    </row>
    <row r="1479" spans="1:118">
      <c r="A1479" t="str">
        <f>"300099"</f>
        <v>300099</v>
      </c>
      <c r="B1479" t="s">
        <v>7774</v>
      </c>
      <c r="C1479">
        <v>-3.94</v>
      </c>
      <c r="D1479">
        <v>0</v>
      </c>
      <c r="E1479">
        <v>-1.39</v>
      </c>
      <c r="F1479">
        <v>4016</v>
      </c>
      <c r="G1479" t="s">
        <v>7775</v>
      </c>
      <c r="H1479">
        <v>23868.52</v>
      </c>
      <c r="I1479">
        <v>334.39</v>
      </c>
      <c r="J1479" t="s">
        <v>120</v>
      </c>
      <c r="K1479" t="s">
        <v>7776</v>
      </c>
      <c r="L1479">
        <v>5.1100000000000003</v>
      </c>
      <c r="M1479">
        <v>9.01</v>
      </c>
      <c r="N1479">
        <v>1.01</v>
      </c>
      <c r="O1479">
        <v>0.32</v>
      </c>
      <c r="P1479">
        <v>9.41</v>
      </c>
      <c r="Q1479">
        <v>-3.94</v>
      </c>
      <c r="R1479">
        <v>9.01</v>
      </c>
      <c r="S1479">
        <v>9.25</v>
      </c>
      <c r="T1479">
        <v>259893</v>
      </c>
      <c r="U1479">
        <v>9.01</v>
      </c>
      <c r="V1479">
        <v>9.3800000000000008</v>
      </c>
      <c r="W1479">
        <v>47.03</v>
      </c>
      <c r="X1479" t="s">
        <v>2717</v>
      </c>
      <c r="Y1479" t="s">
        <v>638</v>
      </c>
      <c r="Z1479">
        <v>4.26</v>
      </c>
      <c r="AA1479">
        <v>9.18</v>
      </c>
      <c r="AB1479">
        <v>150182</v>
      </c>
      <c r="AC1479">
        <v>109711</v>
      </c>
      <c r="AD1479">
        <v>1.37</v>
      </c>
      <c r="AE1479">
        <v>2456</v>
      </c>
      <c r="AF1479">
        <v>1974</v>
      </c>
      <c r="AG1479" t="s">
        <v>120</v>
      </c>
      <c r="AH1479">
        <v>0.1</v>
      </c>
      <c r="AI1479" t="s">
        <v>120</v>
      </c>
      <c r="AJ1479">
        <v>5.09</v>
      </c>
      <c r="AK1479" t="s">
        <v>4085</v>
      </c>
      <c r="AL1479">
        <v>-2.0299999999999998</v>
      </c>
      <c r="AM1479">
        <v>2924</v>
      </c>
      <c r="AN1479">
        <v>89</v>
      </c>
      <c r="AO1479">
        <v>1.6999999999999999E-3</v>
      </c>
      <c r="AP1479">
        <v>-1</v>
      </c>
      <c r="AQ1479">
        <v>3.3</v>
      </c>
      <c r="AR1479">
        <v>-0.23</v>
      </c>
      <c r="AS1479">
        <v>-11.24</v>
      </c>
      <c r="AT1479">
        <v>18.55</v>
      </c>
      <c r="AU1479">
        <v>26.9</v>
      </c>
      <c r="AV1479">
        <v>0</v>
      </c>
      <c r="AW1479">
        <v>7.18</v>
      </c>
      <c r="AX1479">
        <v>54.27</v>
      </c>
      <c r="AY1479">
        <v>34.25</v>
      </c>
      <c r="AZ1479">
        <v>52.56</v>
      </c>
      <c r="BA1479">
        <v>0.5</v>
      </c>
      <c r="BB1479" t="s">
        <v>143</v>
      </c>
      <c r="BF1479">
        <v>-2.09</v>
      </c>
      <c r="BG1479">
        <v>-2.59</v>
      </c>
      <c r="BH1479">
        <v>-4.25</v>
      </c>
      <c r="BI1479">
        <v>0</v>
      </c>
      <c r="BJ1479">
        <v>20210913</v>
      </c>
      <c r="BK1479">
        <v>20100806</v>
      </c>
      <c r="BL1479">
        <v>6.67</v>
      </c>
      <c r="BM1479" t="s">
        <v>120</v>
      </c>
      <c r="BN1479" t="s">
        <v>120</v>
      </c>
      <c r="BO1479">
        <v>21.4</v>
      </c>
      <c r="BP1479">
        <v>9</v>
      </c>
      <c r="BQ1479">
        <v>18.39</v>
      </c>
      <c r="BR1479">
        <v>0.24</v>
      </c>
      <c r="BS1479">
        <v>12.96</v>
      </c>
      <c r="BT1479">
        <v>11.48</v>
      </c>
      <c r="BU1479">
        <v>1.95</v>
      </c>
      <c r="BV1479">
        <v>0.5</v>
      </c>
      <c r="BW1479">
        <v>2.74</v>
      </c>
      <c r="BX1479">
        <v>1.39</v>
      </c>
      <c r="BY1479">
        <v>2.89</v>
      </c>
      <c r="BZ1479">
        <v>3.06</v>
      </c>
      <c r="CA1479" t="s">
        <v>120</v>
      </c>
      <c r="CB1479">
        <v>7.79</v>
      </c>
      <c r="CC1479">
        <v>2.71</v>
      </c>
      <c r="CD1479">
        <v>1.34</v>
      </c>
      <c r="CE1479">
        <v>0.66</v>
      </c>
      <c r="CF1479">
        <v>-0.01</v>
      </c>
      <c r="CG1479">
        <v>0.66</v>
      </c>
      <c r="CH1479">
        <v>0.62</v>
      </c>
      <c r="CI1479">
        <v>0.64</v>
      </c>
      <c r="CJ1479">
        <v>-0.37</v>
      </c>
      <c r="CK1479">
        <v>0.61</v>
      </c>
      <c r="CL1479">
        <v>3.23</v>
      </c>
      <c r="CM1479">
        <v>0.22</v>
      </c>
      <c r="CN1479">
        <v>0.09</v>
      </c>
      <c r="CO1479">
        <v>49300</v>
      </c>
      <c r="CP1479">
        <v>7347</v>
      </c>
      <c r="CQ1479" t="s">
        <v>7753</v>
      </c>
      <c r="CR1479">
        <v>23002.6</v>
      </c>
      <c r="CS1479">
        <v>125.75</v>
      </c>
      <c r="CT1479">
        <v>3.27</v>
      </c>
      <c r="CU1479">
        <v>270.11</v>
      </c>
      <c r="CV1479">
        <v>22.21</v>
      </c>
      <c r="CW1479">
        <v>1.07</v>
      </c>
      <c r="CX1479" t="s">
        <v>7777</v>
      </c>
      <c r="CY1479">
        <v>2.76</v>
      </c>
      <c r="CZ1479">
        <v>0</v>
      </c>
      <c r="DA1479">
        <v>1.17</v>
      </c>
      <c r="DB1479">
        <v>0.48</v>
      </c>
      <c r="DC1479">
        <v>0.03</v>
      </c>
      <c r="DD1479">
        <v>85.92</v>
      </c>
      <c r="DE1479" t="s">
        <v>1437</v>
      </c>
      <c r="DF1479">
        <v>50.47</v>
      </c>
      <c r="DG1479">
        <v>24.55</v>
      </c>
      <c r="DH1479">
        <v>23.62</v>
      </c>
      <c r="DI1479">
        <v>0.27</v>
      </c>
      <c r="DJ1479">
        <v>551</v>
      </c>
      <c r="DK1479">
        <v>300099</v>
      </c>
      <c r="DL1479" t="s">
        <v>120</v>
      </c>
      <c r="DM1479" t="s">
        <v>120</v>
      </c>
      <c r="DN1479" t="s">
        <v>120</v>
      </c>
    </row>
    <row r="1480" spans="1:118">
      <c r="A1480" t="str">
        <f>"300100"</f>
        <v>300100</v>
      </c>
      <c r="B1480" t="s">
        <v>7778</v>
      </c>
      <c r="C1480">
        <v>-4.24</v>
      </c>
      <c r="D1480">
        <v>-0.09</v>
      </c>
      <c r="E1480">
        <v>-0.39</v>
      </c>
      <c r="F1480">
        <v>1721</v>
      </c>
      <c r="G1480" t="s">
        <v>3386</v>
      </c>
      <c r="H1480">
        <v>9460.27</v>
      </c>
      <c r="I1480">
        <v>8.59</v>
      </c>
      <c r="J1480" t="s">
        <v>120</v>
      </c>
      <c r="K1480" t="s">
        <v>7779</v>
      </c>
      <c r="L1480">
        <v>2.5099999999999998</v>
      </c>
      <c r="M1480">
        <v>9.7200000000000006</v>
      </c>
      <c r="N1480">
        <v>0.86</v>
      </c>
      <c r="O1480">
        <v>-0.2</v>
      </c>
      <c r="P1480">
        <v>10.130000000000001</v>
      </c>
      <c r="Q1480">
        <v>-4.43</v>
      </c>
      <c r="R1480">
        <v>9.6999999999999993</v>
      </c>
      <c r="S1480">
        <v>10.11</v>
      </c>
      <c r="T1480">
        <v>95507</v>
      </c>
      <c r="U1480">
        <v>9.73</v>
      </c>
      <c r="V1480">
        <v>10.15</v>
      </c>
      <c r="W1480">
        <v>24.11</v>
      </c>
      <c r="X1480" t="s">
        <v>253</v>
      </c>
      <c r="Y1480" t="s">
        <v>585</v>
      </c>
      <c r="Z1480">
        <v>4.24</v>
      </c>
      <c r="AA1480">
        <v>9.91</v>
      </c>
      <c r="AB1480">
        <v>61049</v>
      </c>
      <c r="AC1480">
        <v>34458</v>
      </c>
      <c r="AD1480">
        <v>1.77</v>
      </c>
      <c r="AE1480">
        <v>684</v>
      </c>
      <c r="AF1480">
        <v>28</v>
      </c>
      <c r="AG1480" t="s">
        <v>120</v>
      </c>
      <c r="AH1480">
        <v>0</v>
      </c>
      <c r="AI1480" t="s">
        <v>120</v>
      </c>
      <c r="AJ1480">
        <v>3.81</v>
      </c>
      <c r="AK1480" t="s">
        <v>7780</v>
      </c>
      <c r="AL1480">
        <v>-2.3199999999999998</v>
      </c>
      <c r="AM1480">
        <v>2404</v>
      </c>
      <c r="AN1480">
        <v>40</v>
      </c>
      <c r="AO1480">
        <v>1E-3</v>
      </c>
      <c r="AP1480">
        <v>-1</v>
      </c>
      <c r="AQ1480">
        <v>1.7</v>
      </c>
      <c r="AR1480">
        <v>-6.18</v>
      </c>
      <c r="AS1480">
        <v>-15.7</v>
      </c>
      <c r="AT1480">
        <v>-8.0399999999999991</v>
      </c>
      <c r="AU1480">
        <v>-16.93</v>
      </c>
      <c r="AV1480">
        <v>3</v>
      </c>
      <c r="AW1480">
        <v>4.93</v>
      </c>
      <c r="AX1480">
        <v>48.18</v>
      </c>
      <c r="AY1480">
        <v>33.51</v>
      </c>
      <c r="AZ1480">
        <v>44.96</v>
      </c>
      <c r="BA1480">
        <v>0.93</v>
      </c>
      <c r="BB1480" t="s">
        <v>143</v>
      </c>
      <c r="BF1480">
        <v>-2.41</v>
      </c>
      <c r="BG1480">
        <v>-3.86</v>
      </c>
      <c r="BH1480">
        <v>-4.05</v>
      </c>
      <c r="BI1480">
        <v>0.21</v>
      </c>
      <c r="BJ1480">
        <v>20210908</v>
      </c>
      <c r="BK1480">
        <v>20100806</v>
      </c>
      <c r="BL1480">
        <v>4.0199999999999996</v>
      </c>
      <c r="BM1480" t="s">
        <v>120</v>
      </c>
      <c r="BN1480" t="s">
        <v>120</v>
      </c>
      <c r="BO1480">
        <v>54.9</v>
      </c>
      <c r="BP1480">
        <v>9.7200000000000006</v>
      </c>
      <c r="BQ1480">
        <v>18.32</v>
      </c>
      <c r="BR1480">
        <v>0.11</v>
      </c>
      <c r="BS1480">
        <v>66.42</v>
      </c>
      <c r="BT1480">
        <v>29.6</v>
      </c>
      <c r="BU1480">
        <v>18.34</v>
      </c>
      <c r="BV1480">
        <v>4.3099999999999996</v>
      </c>
      <c r="BW1480">
        <v>29.78</v>
      </c>
      <c r="BX1480">
        <v>4.1900000000000004</v>
      </c>
      <c r="BY1480">
        <v>7.95</v>
      </c>
      <c r="BZ1480">
        <v>7.68</v>
      </c>
      <c r="CA1480" t="s">
        <v>120</v>
      </c>
      <c r="CB1480">
        <v>10.17</v>
      </c>
      <c r="CC1480">
        <v>19.559999999999999</v>
      </c>
      <c r="CD1480">
        <v>16.079999999999998</v>
      </c>
      <c r="CE1480">
        <v>1.01</v>
      </c>
      <c r="CF1480">
        <v>0</v>
      </c>
      <c r="CG1480">
        <v>1.02</v>
      </c>
      <c r="CH1480">
        <v>0.8</v>
      </c>
      <c r="CI1480">
        <v>0.81</v>
      </c>
      <c r="CJ1480">
        <v>-0.43</v>
      </c>
      <c r="CK1480">
        <v>0.64</v>
      </c>
      <c r="CL1480">
        <v>3.07</v>
      </c>
      <c r="CM1480">
        <v>2.12</v>
      </c>
      <c r="CN1480">
        <v>0.82</v>
      </c>
      <c r="CO1480">
        <v>39108</v>
      </c>
      <c r="CP1480">
        <v>4954</v>
      </c>
      <c r="CQ1480" t="s">
        <v>5525</v>
      </c>
      <c r="CR1480">
        <v>62.03</v>
      </c>
      <c r="CS1480">
        <v>31.03</v>
      </c>
      <c r="CT1480">
        <v>2.13</v>
      </c>
      <c r="CU1480">
        <v>18.399999999999999</v>
      </c>
      <c r="CV1480">
        <v>2</v>
      </c>
      <c r="CW1480">
        <v>0</v>
      </c>
      <c r="CX1480" t="s">
        <v>4763</v>
      </c>
      <c r="CY1480">
        <v>4.5599999999999996</v>
      </c>
      <c r="CZ1480">
        <v>0</v>
      </c>
      <c r="DA1480">
        <v>2.5299999999999998</v>
      </c>
      <c r="DB1480">
        <v>0.76</v>
      </c>
      <c r="DC1480">
        <v>0.53</v>
      </c>
      <c r="DD1480">
        <v>33.369999999999997</v>
      </c>
      <c r="DE1480" t="s">
        <v>3697</v>
      </c>
      <c r="DF1480">
        <v>17.77</v>
      </c>
      <c r="DG1480">
        <v>5.16</v>
      </c>
      <c r="DH1480">
        <v>4.1399999999999997</v>
      </c>
      <c r="DI1480">
        <v>0.78</v>
      </c>
      <c r="DJ1480">
        <v>4372</v>
      </c>
      <c r="DK1480">
        <v>300100</v>
      </c>
      <c r="DL1480" t="s">
        <v>120</v>
      </c>
      <c r="DM1480" t="s">
        <v>120</v>
      </c>
      <c r="DN1480" t="s">
        <v>120</v>
      </c>
    </row>
    <row r="1481" spans="1:118">
      <c r="A1481" t="str">
        <f>"300101"</f>
        <v>300101</v>
      </c>
      <c r="B1481" t="s">
        <v>7781</v>
      </c>
      <c r="C1481">
        <v>-2.79</v>
      </c>
      <c r="D1481">
        <v>0.49</v>
      </c>
      <c r="E1481">
        <v>0.04</v>
      </c>
      <c r="F1481">
        <v>2045</v>
      </c>
      <c r="G1481" t="s">
        <v>7782</v>
      </c>
      <c r="H1481">
        <v>56260.91</v>
      </c>
      <c r="I1481">
        <v>132.66999999999999</v>
      </c>
      <c r="J1481" t="s">
        <v>120</v>
      </c>
      <c r="K1481" t="s">
        <v>7783</v>
      </c>
      <c r="L1481">
        <v>3.69</v>
      </c>
      <c r="M1481">
        <v>26.86</v>
      </c>
      <c r="N1481">
        <v>0.82</v>
      </c>
      <c r="O1481">
        <v>2.75</v>
      </c>
      <c r="P1481">
        <v>28.39</v>
      </c>
      <c r="Q1481">
        <v>-3.44</v>
      </c>
      <c r="R1481">
        <v>26.68</v>
      </c>
      <c r="S1481">
        <v>27.64</v>
      </c>
      <c r="T1481">
        <v>205344</v>
      </c>
      <c r="U1481">
        <v>26.86</v>
      </c>
      <c r="V1481">
        <v>27.63</v>
      </c>
      <c r="W1481">
        <v>94.59</v>
      </c>
      <c r="X1481" t="s">
        <v>462</v>
      </c>
      <c r="Y1481" t="s">
        <v>578</v>
      </c>
      <c r="Z1481">
        <v>6.19</v>
      </c>
      <c r="AA1481">
        <v>27.4</v>
      </c>
      <c r="AB1481">
        <v>115334</v>
      </c>
      <c r="AC1481">
        <v>90010</v>
      </c>
      <c r="AD1481">
        <v>1.28</v>
      </c>
      <c r="AE1481">
        <v>17</v>
      </c>
      <c r="AF1481">
        <v>658</v>
      </c>
      <c r="AG1481" t="s">
        <v>120</v>
      </c>
      <c r="AH1481">
        <v>0.01</v>
      </c>
      <c r="AI1481" t="s">
        <v>120</v>
      </c>
      <c r="AJ1481">
        <v>5.56</v>
      </c>
      <c r="AK1481" t="s">
        <v>7784</v>
      </c>
      <c r="AL1481">
        <v>-0.87</v>
      </c>
      <c r="AM1481">
        <v>4341</v>
      </c>
      <c r="AN1481">
        <v>47</v>
      </c>
      <c r="AO1481">
        <v>8.9999999999999998E-4</v>
      </c>
      <c r="AP1481">
        <v>-2</v>
      </c>
      <c r="AQ1481">
        <v>-1.74</v>
      </c>
      <c r="AR1481">
        <v>-3.24</v>
      </c>
      <c r="AS1481">
        <v>-10.52</v>
      </c>
      <c r="AT1481">
        <v>49.72</v>
      </c>
      <c r="AU1481">
        <v>66.62</v>
      </c>
      <c r="AV1481">
        <v>1</v>
      </c>
      <c r="AW1481">
        <v>5.26</v>
      </c>
      <c r="AX1481">
        <v>69.89</v>
      </c>
      <c r="AY1481">
        <v>104.01</v>
      </c>
      <c r="AZ1481">
        <v>191.43</v>
      </c>
      <c r="BA1481">
        <v>1.46</v>
      </c>
      <c r="BB1481" t="s">
        <v>143</v>
      </c>
      <c r="BF1481">
        <v>-0.84</v>
      </c>
      <c r="BG1481">
        <v>-2.82</v>
      </c>
      <c r="BH1481">
        <v>-5.39</v>
      </c>
      <c r="BI1481">
        <v>0.67</v>
      </c>
      <c r="BJ1481">
        <v>20210906</v>
      </c>
      <c r="BK1481">
        <v>20100806</v>
      </c>
      <c r="BL1481">
        <v>5.58</v>
      </c>
      <c r="BM1481" t="s">
        <v>120</v>
      </c>
      <c r="BN1481" t="s">
        <v>120</v>
      </c>
      <c r="BO1481">
        <v>20.149999999999999</v>
      </c>
      <c r="BP1481">
        <v>26.85</v>
      </c>
      <c r="BQ1481">
        <v>10.95</v>
      </c>
      <c r="BR1481">
        <v>1.97</v>
      </c>
      <c r="BS1481">
        <v>35.869999999999997</v>
      </c>
      <c r="BT1481">
        <v>14.59</v>
      </c>
      <c r="BU1481">
        <v>1.27</v>
      </c>
      <c r="BV1481">
        <v>2.19</v>
      </c>
      <c r="BW1481">
        <v>5.6</v>
      </c>
      <c r="BX1481">
        <v>2.06</v>
      </c>
      <c r="BY1481">
        <v>5.23</v>
      </c>
      <c r="BZ1481">
        <v>5.46</v>
      </c>
      <c r="CA1481" t="s">
        <v>120</v>
      </c>
      <c r="CB1481">
        <v>1.18</v>
      </c>
      <c r="CC1481">
        <v>3.6</v>
      </c>
      <c r="CD1481">
        <v>1.47</v>
      </c>
      <c r="CE1481">
        <v>0.92</v>
      </c>
      <c r="CF1481">
        <v>0</v>
      </c>
      <c r="CG1481">
        <v>0.95</v>
      </c>
      <c r="CH1481">
        <v>0.83</v>
      </c>
      <c r="CI1481">
        <v>0.79</v>
      </c>
      <c r="CJ1481">
        <v>-0.77</v>
      </c>
      <c r="CK1481">
        <v>0.67</v>
      </c>
      <c r="CL1481">
        <v>3.99</v>
      </c>
      <c r="CM1481">
        <v>-0.88</v>
      </c>
      <c r="CN1481">
        <v>-1.36</v>
      </c>
      <c r="CO1481">
        <v>56650</v>
      </c>
      <c r="CP1481">
        <v>6890</v>
      </c>
      <c r="CQ1481" t="s">
        <v>3754</v>
      </c>
      <c r="CR1481">
        <v>586.80999999999995</v>
      </c>
      <c r="CS1481">
        <v>111.6</v>
      </c>
      <c r="CT1481">
        <v>13.7</v>
      </c>
      <c r="CU1481">
        <v>-170.38</v>
      </c>
      <c r="CV1481">
        <v>41.65</v>
      </c>
      <c r="CW1481">
        <v>0</v>
      </c>
      <c r="CX1481" t="s">
        <v>2604</v>
      </c>
      <c r="CY1481">
        <v>1.96</v>
      </c>
      <c r="CZ1481">
        <v>0</v>
      </c>
      <c r="DA1481">
        <v>0.21</v>
      </c>
      <c r="DB1481">
        <v>0.71</v>
      </c>
      <c r="DC1481">
        <v>-0.16</v>
      </c>
      <c r="DD1481">
        <v>54.36</v>
      </c>
      <c r="DE1481" t="s">
        <v>7785</v>
      </c>
      <c r="DF1481">
        <v>59.27</v>
      </c>
      <c r="DG1481">
        <v>25.57</v>
      </c>
      <c r="DH1481">
        <v>22.02</v>
      </c>
      <c r="DI1481">
        <v>0.46</v>
      </c>
      <c r="DJ1481">
        <v>804</v>
      </c>
      <c r="DK1481">
        <v>300101</v>
      </c>
      <c r="DL1481" t="s">
        <v>120</v>
      </c>
      <c r="DM1481" t="s">
        <v>120</v>
      </c>
      <c r="DN1481" t="s">
        <v>120</v>
      </c>
    </row>
    <row r="1482" spans="1:118">
      <c r="A1482" t="str">
        <f>"300102"</f>
        <v>300102</v>
      </c>
      <c r="B1482" t="s">
        <v>7786</v>
      </c>
      <c r="C1482">
        <v>-4.46</v>
      </c>
      <c r="D1482">
        <v>0</v>
      </c>
      <c r="E1482">
        <v>-0.35</v>
      </c>
      <c r="F1482">
        <v>5289</v>
      </c>
      <c r="G1482" t="s">
        <v>7787</v>
      </c>
      <c r="H1482">
        <v>26214.93</v>
      </c>
      <c r="I1482">
        <v>63</v>
      </c>
      <c r="J1482" t="s">
        <v>120</v>
      </c>
      <c r="K1482" t="s">
        <v>6786</v>
      </c>
      <c r="L1482">
        <v>4.4400000000000004</v>
      </c>
      <c r="M1482">
        <v>8.14</v>
      </c>
      <c r="N1482">
        <v>0.84</v>
      </c>
      <c r="O1482">
        <v>0.59</v>
      </c>
      <c r="P1482">
        <v>8.57</v>
      </c>
      <c r="Q1482">
        <v>-4.46</v>
      </c>
      <c r="R1482">
        <v>8.14</v>
      </c>
      <c r="S1482">
        <v>8.49</v>
      </c>
      <c r="T1482">
        <v>314187</v>
      </c>
      <c r="U1482">
        <v>8.15</v>
      </c>
      <c r="V1482">
        <v>8.52</v>
      </c>
      <c r="W1482">
        <v>25.02</v>
      </c>
      <c r="X1482" t="s">
        <v>3245</v>
      </c>
      <c r="Y1482" t="s">
        <v>937</v>
      </c>
      <c r="Z1482">
        <v>5.05</v>
      </c>
      <c r="AA1482">
        <v>8.34</v>
      </c>
      <c r="AB1482">
        <v>198026</v>
      </c>
      <c r="AC1482">
        <v>116161</v>
      </c>
      <c r="AD1482">
        <v>1.7</v>
      </c>
      <c r="AE1482">
        <v>1952</v>
      </c>
      <c r="AF1482">
        <v>2988</v>
      </c>
      <c r="AG1482" t="s">
        <v>120</v>
      </c>
      <c r="AH1482">
        <v>0.01</v>
      </c>
      <c r="AI1482" t="s">
        <v>120</v>
      </c>
      <c r="AJ1482">
        <v>7.07</v>
      </c>
      <c r="AK1482" t="s">
        <v>6610</v>
      </c>
      <c r="AL1482">
        <v>-2.5499999999999998</v>
      </c>
      <c r="AM1482">
        <v>3637</v>
      </c>
      <c r="AN1482">
        <v>86</v>
      </c>
      <c r="AO1482">
        <v>1.1999999999999999E-3</v>
      </c>
      <c r="AP1482">
        <v>-4</v>
      </c>
      <c r="AQ1482">
        <v>-0.23</v>
      </c>
      <c r="AR1482">
        <v>-5.79</v>
      </c>
      <c r="AS1482">
        <v>-11.42</v>
      </c>
      <c r="AT1482">
        <v>-9.35</v>
      </c>
      <c r="AU1482">
        <v>36.119999999999997</v>
      </c>
      <c r="AV1482">
        <v>2</v>
      </c>
      <c r="AW1482">
        <v>5.55</v>
      </c>
      <c r="AX1482">
        <v>80.040000000000006</v>
      </c>
      <c r="AY1482">
        <v>131.65</v>
      </c>
      <c r="AZ1482" t="s">
        <v>120</v>
      </c>
      <c r="BA1482">
        <v>0.67</v>
      </c>
      <c r="BB1482" t="s">
        <v>134</v>
      </c>
      <c r="BF1482">
        <v>-2.0699999999999998</v>
      </c>
      <c r="BG1482">
        <v>-4.12</v>
      </c>
      <c r="BH1482">
        <v>-5.0199999999999996</v>
      </c>
      <c r="BI1482">
        <v>0</v>
      </c>
      <c r="BJ1482">
        <v>20210906</v>
      </c>
      <c r="BK1482">
        <v>20100812</v>
      </c>
      <c r="BL1482">
        <v>7.07</v>
      </c>
      <c r="BM1482" t="s">
        <v>120</v>
      </c>
      <c r="BN1482" t="s">
        <v>120</v>
      </c>
      <c r="BO1482">
        <v>61.43</v>
      </c>
      <c r="BP1482">
        <v>8.14</v>
      </c>
      <c r="BQ1482">
        <v>24.71</v>
      </c>
      <c r="BR1482">
        <v>0.02</v>
      </c>
      <c r="BS1482">
        <v>59.74</v>
      </c>
      <c r="BT1482">
        <v>23.18</v>
      </c>
      <c r="BU1482">
        <v>32.58</v>
      </c>
      <c r="BV1482">
        <v>1.61</v>
      </c>
      <c r="BW1482">
        <v>15.06</v>
      </c>
      <c r="BX1482">
        <v>4.43</v>
      </c>
      <c r="BY1482">
        <v>3.7</v>
      </c>
      <c r="BZ1482">
        <v>8.86</v>
      </c>
      <c r="CA1482" t="s">
        <v>120</v>
      </c>
      <c r="CB1482">
        <v>15.37</v>
      </c>
      <c r="CC1482">
        <v>9.73</v>
      </c>
      <c r="CD1482">
        <v>7.23</v>
      </c>
      <c r="CE1482">
        <v>1.44</v>
      </c>
      <c r="CF1482">
        <v>-0.03</v>
      </c>
      <c r="CG1482">
        <v>1.44</v>
      </c>
      <c r="CH1482">
        <v>1.1499999999999999</v>
      </c>
      <c r="CI1482">
        <v>1.1499999999999999</v>
      </c>
      <c r="CJ1482">
        <v>-0.38</v>
      </c>
      <c r="CK1482">
        <v>0.55000000000000004</v>
      </c>
      <c r="CL1482">
        <v>1.6</v>
      </c>
      <c r="CM1482">
        <v>1.51</v>
      </c>
      <c r="CN1482">
        <v>-0.47</v>
      </c>
      <c r="CO1482">
        <v>88000</v>
      </c>
      <c r="CP1482">
        <v>6434</v>
      </c>
      <c r="CQ1482" t="s">
        <v>4367</v>
      </c>
      <c r="CR1482">
        <v>164.77</v>
      </c>
      <c r="CS1482">
        <v>97.92</v>
      </c>
      <c r="CT1482">
        <v>2.33</v>
      </c>
      <c r="CU1482">
        <v>38.19</v>
      </c>
      <c r="CV1482">
        <v>5.92</v>
      </c>
      <c r="CW1482">
        <v>0</v>
      </c>
      <c r="CX1482" t="s">
        <v>1091</v>
      </c>
      <c r="CY1482">
        <v>3.49</v>
      </c>
      <c r="CZ1482">
        <v>0</v>
      </c>
      <c r="DA1482">
        <v>2.17</v>
      </c>
      <c r="DB1482">
        <v>0.23</v>
      </c>
      <c r="DC1482">
        <v>0.21</v>
      </c>
      <c r="DD1482">
        <v>40.229999999999997</v>
      </c>
      <c r="DE1482" t="s">
        <v>128</v>
      </c>
      <c r="DF1482">
        <v>25.73</v>
      </c>
      <c r="DG1482">
        <v>14.79</v>
      </c>
      <c r="DH1482">
        <v>11.82</v>
      </c>
      <c r="DI1482">
        <v>0.39</v>
      </c>
      <c r="DJ1482">
        <v>2247</v>
      </c>
      <c r="DK1482">
        <v>300102</v>
      </c>
      <c r="DL1482" t="s">
        <v>120</v>
      </c>
      <c r="DM1482" t="s">
        <v>120</v>
      </c>
      <c r="DN1482" t="s">
        <v>120</v>
      </c>
    </row>
    <row r="1483" spans="1:118">
      <c r="A1483" t="str">
        <f>"300103"</f>
        <v>300103</v>
      </c>
      <c r="B1483" t="s">
        <v>7788</v>
      </c>
      <c r="C1483">
        <v>-1.51</v>
      </c>
      <c r="D1483">
        <v>0</v>
      </c>
      <c r="E1483">
        <v>-0.75</v>
      </c>
      <c r="F1483">
        <v>487</v>
      </c>
      <c r="G1483" t="s">
        <v>7789</v>
      </c>
      <c r="H1483">
        <v>2515.23</v>
      </c>
      <c r="I1483">
        <v>0</v>
      </c>
      <c r="J1483" t="s">
        <v>120</v>
      </c>
      <c r="K1483" t="s">
        <v>7790</v>
      </c>
      <c r="L1483">
        <v>0.97</v>
      </c>
      <c r="M1483">
        <v>10.44</v>
      </c>
      <c r="N1483">
        <v>0.8</v>
      </c>
      <c r="O1483">
        <v>1.89</v>
      </c>
      <c r="P1483">
        <v>10.8</v>
      </c>
      <c r="Q1483">
        <v>-1.7</v>
      </c>
      <c r="R1483">
        <v>10.42</v>
      </c>
      <c r="S1483">
        <v>10.52</v>
      </c>
      <c r="T1483">
        <v>23727</v>
      </c>
      <c r="U1483">
        <v>10.44</v>
      </c>
      <c r="V1483">
        <v>10.6</v>
      </c>
      <c r="W1483">
        <v>94.63</v>
      </c>
      <c r="X1483" t="s">
        <v>318</v>
      </c>
      <c r="Y1483" t="s">
        <v>890</v>
      </c>
      <c r="Z1483">
        <v>3.58</v>
      </c>
      <c r="AA1483">
        <v>10.6</v>
      </c>
      <c r="AB1483">
        <v>14451</v>
      </c>
      <c r="AC1483">
        <v>9276</v>
      </c>
      <c r="AD1483">
        <v>1.56</v>
      </c>
      <c r="AE1483">
        <v>20</v>
      </c>
      <c r="AF1483">
        <v>686</v>
      </c>
      <c r="AG1483" t="s">
        <v>120</v>
      </c>
      <c r="AH1483">
        <v>0</v>
      </c>
      <c r="AI1483" t="s">
        <v>120</v>
      </c>
      <c r="AJ1483">
        <v>2.4300000000000002</v>
      </c>
      <c r="AK1483" t="s">
        <v>7791</v>
      </c>
      <c r="AL1483">
        <v>0.4</v>
      </c>
      <c r="AM1483">
        <v>1072</v>
      </c>
      <c r="AN1483">
        <v>22</v>
      </c>
      <c r="AO1483">
        <v>8.9999999999999998E-4</v>
      </c>
      <c r="AP1483">
        <v>-1</v>
      </c>
      <c r="AQ1483">
        <v>1.1499999999999999</v>
      </c>
      <c r="AR1483">
        <v>-3.06</v>
      </c>
      <c r="AS1483">
        <v>-3.77</v>
      </c>
      <c r="AT1483">
        <v>8.86</v>
      </c>
      <c r="AU1483">
        <v>-1.1399999999999999</v>
      </c>
      <c r="AV1483">
        <v>0</v>
      </c>
      <c r="AW1483">
        <v>1.83</v>
      </c>
      <c r="AX1483">
        <v>40.81</v>
      </c>
      <c r="AY1483">
        <v>107.37</v>
      </c>
      <c r="AZ1483">
        <v>52.31</v>
      </c>
      <c r="BA1483">
        <v>7.0000000000000007E-2</v>
      </c>
      <c r="BB1483" t="s">
        <v>143</v>
      </c>
      <c r="BF1483">
        <v>0.01</v>
      </c>
      <c r="BG1483">
        <v>-0.76</v>
      </c>
      <c r="BH1483">
        <v>-3.33</v>
      </c>
      <c r="BI1483">
        <v>0.19</v>
      </c>
      <c r="BJ1483">
        <v>20210827</v>
      </c>
      <c r="BK1483">
        <v>20100812</v>
      </c>
      <c r="BL1483">
        <v>3.18</v>
      </c>
      <c r="BM1483" t="s">
        <v>120</v>
      </c>
      <c r="BN1483" t="s">
        <v>120</v>
      </c>
      <c r="BO1483">
        <v>23.1</v>
      </c>
      <c r="BP1483">
        <v>10.43</v>
      </c>
      <c r="BQ1483">
        <v>10.77</v>
      </c>
      <c r="BR1483">
        <v>2.98</v>
      </c>
      <c r="BS1483">
        <v>40.5</v>
      </c>
      <c r="BT1483">
        <v>12.05</v>
      </c>
      <c r="BU1483">
        <v>3.65</v>
      </c>
      <c r="BV1483">
        <v>1</v>
      </c>
      <c r="BW1483">
        <v>7.39</v>
      </c>
      <c r="BX1483">
        <v>0.8</v>
      </c>
      <c r="BY1483">
        <v>8.1300000000000008</v>
      </c>
      <c r="BZ1483">
        <v>1.5</v>
      </c>
      <c r="CA1483">
        <v>0</v>
      </c>
      <c r="CB1483">
        <v>2.5099999999999998</v>
      </c>
      <c r="CC1483">
        <v>4.53</v>
      </c>
      <c r="CD1483">
        <v>3.55</v>
      </c>
      <c r="CE1483">
        <v>0.35</v>
      </c>
      <c r="CF1483">
        <v>-0.02</v>
      </c>
      <c r="CG1483">
        <v>0.35</v>
      </c>
      <c r="CH1483">
        <v>0.33</v>
      </c>
      <c r="CI1483">
        <v>0.18</v>
      </c>
      <c r="CJ1483">
        <v>-0.16</v>
      </c>
      <c r="CK1483">
        <v>0.14000000000000001</v>
      </c>
      <c r="CL1483">
        <v>4.49</v>
      </c>
      <c r="CM1483">
        <v>0.56999999999999995</v>
      </c>
      <c r="CN1483">
        <v>-1.2</v>
      </c>
      <c r="CO1483">
        <v>12679</v>
      </c>
      <c r="CP1483">
        <v>10224</v>
      </c>
      <c r="CQ1483" t="s">
        <v>7792</v>
      </c>
      <c r="CR1483">
        <v>-65.319999999999993</v>
      </c>
      <c r="CS1483">
        <v>-30.52</v>
      </c>
      <c r="CT1483">
        <v>3.08</v>
      </c>
      <c r="CU1483">
        <v>58.64</v>
      </c>
      <c r="CV1483">
        <v>7.32</v>
      </c>
      <c r="CW1483">
        <v>0.38</v>
      </c>
      <c r="CX1483" t="s">
        <v>1958</v>
      </c>
      <c r="CY1483">
        <v>3.39</v>
      </c>
      <c r="CZ1483">
        <v>0</v>
      </c>
      <c r="DA1483">
        <v>0.79</v>
      </c>
      <c r="DB1483">
        <v>1.41</v>
      </c>
      <c r="DC1483">
        <v>0.18</v>
      </c>
      <c r="DD1483">
        <v>46.61</v>
      </c>
      <c r="DE1483" t="s">
        <v>7583</v>
      </c>
      <c r="DF1483">
        <v>21.6</v>
      </c>
      <c r="DG1483">
        <v>7.63</v>
      </c>
      <c r="DH1483">
        <v>3.87</v>
      </c>
      <c r="DI1483">
        <v>0.15</v>
      </c>
      <c r="DJ1483">
        <v>621</v>
      </c>
      <c r="DK1483">
        <v>300103</v>
      </c>
      <c r="DL1483" t="s">
        <v>120</v>
      </c>
      <c r="DM1483" t="s">
        <v>120</v>
      </c>
      <c r="DN1483" t="s">
        <v>120</v>
      </c>
    </row>
    <row r="1484" spans="1:118">
      <c r="A1484" t="str">
        <f>"300105"</f>
        <v>300105</v>
      </c>
      <c r="B1484" t="s">
        <v>7793</v>
      </c>
      <c r="C1484">
        <v>-4.21</v>
      </c>
      <c r="D1484">
        <v>0</v>
      </c>
      <c r="E1484">
        <v>-0.16</v>
      </c>
      <c r="F1484">
        <v>1535</v>
      </c>
      <c r="G1484" t="s">
        <v>3415</v>
      </c>
      <c r="H1484">
        <v>10678.65</v>
      </c>
      <c r="I1484">
        <v>91.21</v>
      </c>
      <c r="J1484" t="s">
        <v>120</v>
      </c>
      <c r="K1484" t="s">
        <v>7794</v>
      </c>
      <c r="L1484">
        <v>3.31</v>
      </c>
      <c r="M1484">
        <v>6.15</v>
      </c>
      <c r="N1484">
        <v>1.23</v>
      </c>
      <c r="O1484">
        <v>0.93</v>
      </c>
      <c r="P1484">
        <v>6.48</v>
      </c>
      <c r="Q1484">
        <v>-4.3600000000000003</v>
      </c>
      <c r="R1484">
        <v>6.14</v>
      </c>
      <c r="S1484">
        <v>6.41</v>
      </c>
      <c r="T1484">
        <v>169801</v>
      </c>
      <c r="U1484">
        <v>6.16</v>
      </c>
      <c r="V1484">
        <v>6.42</v>
      </c>
      <c r="W1484" t="s">
        <v>120</v>
      </c>
      <c r="X1484" t="s">
        <v>2717</v>
      </c>
      <c r="Y1484" t="s">
        <v>638</v>
      </c>
      <c r="Z1484">
        <v>5.3</v>
      </c>
      <c r="AA1484">
        <v>6.29</v>
      </c>
      <c r="AB1484">
        <v>93298</v>
      </c>
      <c r="AC1484">
        <v>76503</v>
      </c>
      <c r="AD1484">
        <v>1.22</v>
      </c>
      <c r="AE1484">
        <v>1499</v>
      </c>
      <c r="AF1484">
        <v>897</v>
      </c>
      <c r="AG1484" t="s">
        <v>120</v>
      </c>
      <c r="AH1484">
        <v>0.05</v>
      </c>
      <c r="AI1484" t="s">
        <v>120</v>
      </c>
      <c r="AJ1484">
        <v>5.13</v>
      </c>
      <c r="AK1484" t="s">
        <v>7795</v>
      </c>
      <c r="AL1484">
        <v>-2.29</v>
      </c>
      <c r="AM1484">
        <v>2253</v>
      </c>
      <c r="AN1484">
        <v>75</v>
      </c>
      <c r="AO1484">
        <v>1.5E-3</v>
      </c>
      <c r="AP1484">
        <v>-1</v>
      </c>
      <c r="AQ1484">
        <v>7.54</v>
      </c>
      <c r="AR1484">
        <v>0.66</v>
      </c>
      <c r="AS1484">
        <v>-1.92</v>
      </c>
      <c r="AT1484">
        <v>20.12</v>
      </c>
      <c r="AU1484">
        <v>43.63</v>
      </c>
      <c r="AV1484">
        <v>3</v>
      </c>
      <c r="AW1484">
        <v>5.7</v>
      </c>
      <c r="AX1484">
        <v>56.96</v>
      </c>
      <c r="AY1484">
        <v>216.09</v>
      </c>
      <c r="AZ1484">
        <v>342.49</v>
      </c>
      <c r="BA1484">
        <v>0.54</v>
      </c>
      <c r="BB1484" t="s">
        <v>168</v>
      </c>
      <c r="BF1484">
        <v>-2.04</v>
      </c>
      <c r="BG1484">
        <v>-4.0599999999999996</v>
      </c>
      <c r="BH1484">
        <v>-5.09</v>
      </c>
      <c r="BI1484">
        <v>0.16</v>
      </c>
      <c r="BJ1484">
        <v>20210827</v>
      </c>
      <c r="BK1484">
        <v>20100820</v>
      </c>
      <c r="BL1484">
        <v>5.23</v>
      </c>
      <c r="BM1484" t="s">
        <v>120</v>
      </c>
      <c r="BN1484" t="s">
        <v>120</v>
      </c>
      <c r="BO1484">
        <v>22.25</v>
      </c>
      <c r="BP1484">
        <v>6.15</v>
      </c>
      <c r="BQ1484">
        <v>17.93</v>
      </c>
      <c r="BR1484" t="s">
        <v>120</v>
      </c>
      <c r="BS1484">
        <v>19.399999999999999</v>
      </c>
      <c r="BT1484">
        <v>20.170000000000002</v>
      </c>
      <c r="BU1484">
        <v>1.29</v>
      </c>
      <c r="BV1484">
        <v>0.44</v>
      </c>
      <c r="BW1484">
        <v>4.2</v>
      </c>
      <c r="BX1484">
        <v>12.74</v>
      </c>
      <c r="BY1484">
        <v>2.0699999999999998</v>
      </c>
      <c r="BZ1484">
        <v>3.05</v>
      </c>
      <c r="CA1484" t="s">
        <v>120</v>
      </c>
      <c r="CB1484">
        <v>7.02</v>
      </c>
      <c r="CC1484">
        <v>1.41</v>
      </c>
      <c r="CD1484">
        <v>1.1100000000000001</v>
      </c>
      <c r="CE1484">
        <v>-0.15</v>
      </c>
      <c r="CF1484">
        <v>0.01</v>
      </c>
      <c r="CG1484">
        <v>-0.14000000000000001</v>
      </c>
      <c r="CH1484">
        <v>-0.14000000000000001</v>
      </c>
      <c r="CI1484">
        <v>-0.14000000000000001</v>
      </c>
      <c r="CJ1484">
        <v>-0.27</v>
      </c>
      <c r="CK1484">
        <v>-0.17</v>
      </c>
      <c r="CL1484">
        <v>4.9000000000000004</v>
      </c>
      <c r="CM1484">
        <v>0.21</v>
      </c>
      <c r="CN1484">
        <v>0.62</v>
      </c>
      <c r="CO1484">
        <v>23019</v>
      </c>
      <c r="CP1484">
        <v>12931</v>
      </c>
      <c r="CQ1484" t="s">
        <v>7796</v>
      </c>
      <c r="CR1484">
        <v>29</v>
      </c>
      <c r="CS1484">
        <v>78.930000000000007</v>
      </c>
      <c r="CT1484">
        <v>1.79</v>
      </c>
      <c r="CU1484">
        <v>156.37</v>
      </c>
      <c r="CV1484">
        <v>22.74</v>
      </c>
      <c r="CW1484">
        <v>1.53</v>
      </c>
      <c r="CX1484" t="s">
        <v>479</v>
      </c>
      <c r="CY1484">
        <v>3.43</v>
      </c>
      <c r="CZ1484">
        <v>0</v>
      </c>
      <c r="DA1484">
        <v>1.34</v>
      </c>
      <c r="DB1484">
        <v>0.94</v>
      </c>
      <c r="DC1484">
        <v>0.04</v>
      </c>
      <c r="DD1484">
        <v>80.599999999999994</v>
      </c>
      <c r="DE1484" t="s">
        <v>4141</v>
      </c>
      <c r="DF1484">
        <v>21.23</v>
      </c>
      <c r="DG1484">
        <v>-10.86</v>
      </c>
      <c r="DH1484">
        <v>-9.93</v>
      </c>
      <c r="DI1484">
        <v>0.21</v>
      </c>
      <c r="DJ1484">
        <v>574</v>
      </c>
      <c r="DK1484">
        <v>300105</v>
      </c>
      <c r="DL1484">
        <v>20210714</v>
      </c>
      <c r="DM1484">
        <v>6.54</v>
      </c>
      <c r="DN1484">
        <v>-5.96</v>
      </c>
    </row>
    <row r="1485" spans="1:118">
      <c r="A1485" t="str">
        <f>"300106"</f>
        <v>300106</v>
      </c>
      <c r="B1485" t="s">
        <v>7797</v>
      </c>
      <c r="C1485">
        <v>9.2100000000000009</v>
      </c>
      <c r="D1485">
        <v>0.25</v>
      </c>
      <c r="E1485">
        <v>0</v>
      </c>
      <c r="F1485">
        <v>5027</v>
      </c>
      <c r="G1485" t="s">
        <v>7798</v>
      </c>
      <c r="H1485">
        <v>39984.720000000001</v>
      </c>
      <c r="I1485">
        <v>14.18</v>
      </c>
      <c r="J1485" t="s">
        <v>120</v>
      </c>
      <c r="K1485" t="s">
        <v>5579</v>
      </c>
      <c r="L1485">
        <v>15.81</v>
      </c>
      <c r="M1485">
        <v>12.1</v>
      </c>
      <c r="N1485">
        <v>2.5499999999999998</v>
      </c>
      <c r="O1485">
        <v>18.23</v>
      </c>
      <c r="P1485">
        <v>13.1</v>
      </c>
      <c r="Q1485">
        <v>-0.54</v>
      </c>
      <c r="R1485">
        <v>11.02</v>
      </c>
      <c r="S1485">
        <v>11.08</v>
      </c>
      <c r="T1485">
        <v>334196</v>
      </c>
      <c r="U1485">
        <v>12.1</v>
      </c>
      <c r="V1485">
        <v>11.08</v>
      </c>
      <c r="W1485">
        <v>99.84</v>
      </c>
      <c r="X1485" t="s">
        <v>447</v>
      </c>
      <c r="Y1485" t="s">
        <v>609</v>
      </c>
      <c r="Z1485">
        <v>18.77</v>
      </c>
      <c r="AA1485">
        <v>11.96</v>
      </c>
      <c r="AB1485">
        <v>140846</v>
      </c>
      <c r="AC1485">
        <v>193350</v>
      </c>
      <c r="AD1485">
        <v>0.73</v>
      </c>
      <c r="AE1485">
        <v>7</v>
      </c>
      <c r="AF1485">
        <v>63</v>
      </c>
      <c r="AG1485" t="s">
        <v>120</v>
      </c>
      <c r="AH1485">
        <v>0.01</v>
      </c>
      <c r="AI1485" t="s">
        <v>120</v>
      </c>
      <c r="AJ1485">
        <v>2.11</v>
      </c>
      <c r="AK1485" t="s">
        <v>5579</v>
      </c>
      <c r="AL1485">
        <v>11.12</v>
      </c>
      <c r="AM1485">
        <v>4129</v>
      </c>
      <c r="AN1485">
        <v>81</v>
      </c>
      <c r="AO1485">
        <v>3.8E-3</v>
      </c>
      <c r="AP1485">
        <v>1</v>
      </c>
      <c r="AQ1485">
        <v>-2.0299999999999998</v>
      </c>
      <c r="AR1485">
        <v>6.14</v>
      </c>
      <c r="AS1485">
        <v>-3.43</v>
      </c>
      <c r="AT1485">
        <v>30.25</v>
      </c>
      <c r="AU1485">
        <v>-7.28</v>
      </c>
      <c r="AV1485">
        <v>2</v>
      </c>
      <c r="AW1485">
        <v>27.18</v>
      </c>
      <c r="AX1485">
        <v>58.18</v>
      </c>
      <c r="AY1485">
        <v>103.2</v>
      </c>
      <c r="AZ1485">
        <v>196.02</v>
      </c>
      <c r="BA1485">
        <v>0.24</v>
      </c>
      <c r="BB1485" t="s">
        <v>240</v>
      </c>
      <c r="BF1485">
        <v>7.98</v>
      </c>
      <c r="BG1485">
        <v>9.2100000000000009</v>
      </c>
      <c r="BH1485">
        <v>-7.63</v>
      </c>
      <c r="BI1485">
        <v>9.8000000000000007</v>
      </c>
      <c r="BJ1485">
        <v>20210914</v>
      </c>
      <c r="BK1485">
        <v>20100820</v>
      </c>
      <c r="BL1485">
        <v>2.11</v>
      </c>
      <c r="BM1485" t="s">
        <v>120</v>
      </c>
      <c r="BN1485" t="s">
        <v>120</v>
      </c>
      <c r="BO1485">
        <v>11.56</v>
      </c>
      <c r="BP1485">
        <v>12.09</v>
      </c>
      <c r="BQ1485">
        <v>5.91</v>
      </c>
      <c r="BR1485">
        <v>0.91</v>
      </c>
      <c r="BS1485">
        <v>41.04</v>
      </c>
      <c r="BT1485">
        <v>5.86</v>
      </c>
      <c r="BU1485">
        <v>3.67</v>
      </c>
      <c r="BV1485">
        <v>0.66</v>
      </c>
      <c r="BW1485">
        <v>4.3</v>
      </c>
      <c r="BX1485">
        <v>2.37</v>
      </c>
      <c r="BY1485">
        <v>0.93</v>
      </c>
      <c r="BZ1485">
        <v>1.37</v>
      </c>
      <c r="CA1485" t="s">
        <v>120</v>
      </c>
      <c r="CB1485">
        <v>6.21</v>
      </c>
      <c r="CC1485">
        <v>5.23</v>
      </c>
      <c r="CD1485">
        <v>4.41</v>
      </c>
      <c r="CE1485">
        <v>0.28999999999999998</v>
      </c>
      <c r="CF1485">
        <v>0.03</v>
      </c>
      <c r="CG1485">
        <v>0.28000000000000003</v>
      </c>
      <c r="CH1485">
        <v>0.27</v>
      </c>
      <c r="CI1485">
        <v>0.13</v>
      </c>
      <c r="CJ1485">
        <v>1.02</v>
      </c>
      <c r="CK1485">
        <v>0.14000000000000001</v>
      </c>
      <c r="CL1485">
        <v>-2.63</v>
      </c>
      <c r="CM1485">
        <v>0.14000000000000001</v>
      </c>
      <c r="CN1485">
        <v>0.23</v>
      </c>
      <c r="CO1485">
        <v>28300</v>
      </c>
      <c r="CP1485">
        <v>4345</v>
      </c>
      <c r="CQ1485" t="s">
        <v>7799</v>
      </c>
      <c r="CR1485">
        <v>521.36</v>
      </c>
      <c r="CS1485">
        <v>48.6</v>
      </c>
      <c r="CT1485">
        <v>4.33</v>
      </c>
      <c r="CU1485">
        <v>186.68</v>
      </c>
      <c r="CV1485">
        <v>4.8899999999999997</v>
      </c>
      <c r="CW1485">
        <v>0</v>
      </c>
      <c r="CX1485" t="s">
        <v>7800</v>
      </c>
      <c r="CY1485">
        <v>2.8</v>
      </c>
      <c r="CZ1485">
        <v>0</v>
      </c>
      <c r="DA1485">
        <v>2.94</v>
      </c>
      <c r="DB1485">
        <v>-1.24</v>
      </c>
      <c r="DC1485">
        <v>0.06</v>
      </c>
      <c r="DD1485">
        <v>51.12</v>
      </c>
      <c r="DE1485" t="s">
        <v>7801</v>
      </c>
      <c r="DF1485">
        <v>15.67</v>
      </c>
      <c r="DG1485">
        <v>5.45</v>
      </c>
      <c r="DH1485">
        <v>2.4500000000000002</v>
      </c>
      <c r="DI1485">
        <v>0.02</v>
      </c>
      <c r="DJ1485">
        <v>668</v>
      </c>
      <c r="DK1485">
        <v>300106</v>
      </c>
      <c r="DL1485">
        <v>20210728</v>
      </c>
      <c r="DM1485">
        <v>11.88</v>
      </c>
      <c r="DN1485">
        <v>1.85</v>
      </c>
    </row>
    <row r="1486" spans="1:118">
      <c r="A1486" t="str">
        <f>"300107"</f>
        <v>300107</v>
      </c>
      <c r="B1486" t="s">
        <v>7802</v>
      </c>
      <c r="C1486">
        <v>1.39</v>
      </c>
      <c r="D1486">
        <v>0</v>
      </c>
      <c r="E1486">
        <v>-0.93</v>
      </c>
      <c r="F1486">
        <v>3511</v>
      </c>
      <c r="G1486" t="s">
        <v>7803</v>
      </c>
      <c r="H1486">
        <v>14784.53</v>
      </c>
      <c r="I1486">
        <v>96.34</v>
      </c>
      <c r="J1486" t="s">
        <v>120</v>
      </c>
      <c r="K1486" t="s">
        <v>6352</v>
      </c>
      <c r="L1486">
        <v>6.7</v>
      </c>
      <c r="M1486">
        <v>6.56</v>
      </c>
      <c r="N1486">
        <v>1.66</v>
      </c>
      <c r="O1486">
        <v>4.33</v>
      </c>
      <c r="P1486">
        <v>6.75</v>
      </c>
      <c r="Q1486">
        <v>-1.7</v>
      </c>
      <c r="R1486">
        <v>6.36</v>
      </c>
      <c r="S1486">
        <v>6.41</v>
      </c>
      <c r="T1486">
        <v>225754</v>
      </c>
      <c r="U1486">
        <v>6.56</v>
      </c>
      <c r="V1486">
        <v>6.47</v>
      </c>
      <c r="W1486">
        <v>253.09</v>
      </c>
      <c r="X1486" t="s">
        <v>868</v>
      </c>
      <c r="Y1486" t="s">
        <v>602</v>
      </c>
      <c r="Z1486">
        <v>6.03</v>
      </c>
      <c r="AA1486">
        <v>6.55</v>
      </c>
      <c r="AB1486">
        <v>112893</v>
      </c>
      <c r="AC1486">
        <v>112861</v>
      </c>
      <c r="AD1486">
        <v>1</v>
      </c>
      <c r="AE1486">
        <v>593</v>
      </c>
      <c r="AF1486">
        <v>452</v>
      </c>
      <c r="AG1486" t="s">
        <v>120</v>
      </c>
      <c r="AH1486">
        <v>0.06</v>
      </c>
      <c r="AI1486" t="s">
        <v>120</v>
      </c>
      <c r="AJ1486">
        <v>3.37</v>
      </c>
      <c r="AK1486" t="s">
        <v>4355</v>
      </c>
      <c r="AL1486">
        <v>3.3</v>
      </c>
      <c r="AM1486">
        <v>2516</v>
      </c>
      <c r="AN1486">
        <v>90</v>
      </c>
      <c r="AO1486">
        <v>2.7000000000000001E-3</v>
      </c>
      <c r="AP1486">
        <v>4</v>
      </c>
      <c r="AQ1486">
        <v>2.0499999999999998</v>
      </c>
      <c r="AR1486">
        <v>6.15</v>
      </c>
      <c r="AS1486">
        <v>8.61</v>
      </c>
      <c r="AT1486">
        <v>16.100000000000001</v>
      </c>
      <c r="AU1486">
        <v>11</v>
      </c>
      <c r="AV1486">
        <v>0</v>
      </c>
      <c r="AW1486">
        <v>8.39</v>
      </c>
      <c r="AX1486">
        <v>48.81</v>
      </c>
      <c r="AY1486" t="s">
        <v>120</v>
      </c>
      <c r="AZ1486">
        <v>78.55</v>
      </c>
      <c r="BA1486">
        <v>0.71</v>
      </c>
      <c r="BB1486" t="s">
        <v>143</v>
      </c>
      <c r="BF1486">
        <v>1.22</v>
      </c>
      <c r="BG1486">
        <v>2.34</v>
      </c>
      <c r="BH1486">
        <v>-2.81</v>
      </c>
      <c r="BI1486">
        <v>3.14</v>
      </c>
      <c r="BJ1486">
        <v>20210830</v>
      </c>
      <c r="BK1486">
        <v>20100820</v>
      </c>
      <c r="BL1486">
        <v>5.51</v>
      </c>
      <c r="BM1486" t="s">
        <v>120</v>
      </c>
      <c r="BN1486" t="s">
        <v>120</v>
      </c>
      <c r="BO1486">
        <v>15.78</v>
      </c>
      <c r="BP1486">
        <v>6.55</v>
      </c>
      <c r="BQ1486">
        <v>14.33</v>
      </c>
      <c r="BR1486" t="s">
        <v>120</v>
      </c>
      <c r="BS1486">
        <v>9.16</v>
      </c>
      <c r="BT1486">
        <v>8.32</v>
      </c>
      <c r="BU1486">
        <v>4.3499999999999996</v>
      </c>
      <c r="BV1486">
        <v>2.16</v>
      </c>
      <c r="BW1486">
        <v>1.2</v>
      </c>
      <c r="BX1486">
        <v>6.16</v>
      </c>
      <c r="BY1486">
        <v>0.8</v>
      </c>
      <c r="BZ1486">
        <v>0.94</v>
      </c>
      <c r="CA1486" t="s">
        <v>120</v>
      </c>
      <c r="CB1486">
        <v>2.1</v>
      </c>
      <c r="CC1486">
        <v>2.93</v>
      </c>
      <c r="CD1486">
        <v>2.6</v>
      </c>
      <c r="CE1486">
        <v>0.06</v>
      </c>
      <c r="CF1486">
        <v>0</v>
      </c>
      <c r="CG1486">
        <v>7.0000000000000007E-2</v>
      </c>
      <c r="CH1486">
        <v>7.0000000000000007E-2</v>
      </c>
      <c r="CI1486">
        <v>7.0000000000000007E-2</v>
      </c>
      <c r="CJ1486">
        <v>0.09</v>
      </c>
      <c r="CK1486">
        <v>0.04</v>
      </c>
      <c r="CL1486">
        <v>5.32</v>
      </c>
      <c r="CM1486">
        <v>0.84</v>
      </c>
      <c r="CN1486">
        <v>-2.71</v>
      </c>
      <c r="CO1486">
        <v>28010</v>
      </c>
      <c r="CP1486">
        <v>9605</v>
      </c>
      <c r="CQ1486" t="s">
        <v>4921</v>
      </c>
      <c r="CR1486">
        <v>-87.07</v>
      </c>
      <c r="CS1486">
        <v>-4.99</v>
      </c>
      <c r="CT1486">
        <v>2.52</v>
      </c>
      <c r="CU1486">
        <v>43.29</v>
      </c>
      <c r="CV1486">
        <v>12.34</v>
      </c>
      <c r="CW1486">
        <v>1.55</v>
      </c>
      <c r="CX1486" t="s">
        <v>4456</v>
      </c>
      <c r="CY1486">
        <v>2.6</v>
      </c>
      <c r="CZ1486">
        <v>0</v>
      </c>
      <c r="DA1486">
        <v>0.38</v>
      </c>
      <c r="DB1486">
        <v>0.97</v>
      </c>
      <c r="DC1486">
        <v>0.15</v>
      </c>
      <c r="DD1486">
        <v>90.84</v>
      </c>
      <c r="DE1486" t="s">
        <v>5823</v>
      </c>
      <c r="DF1486">
        <v>11.36</v>
      </c>
      <c r="DG1486">
        <v>2.19</v>
      </c>
      <c r="DH1486">
        <v>2.44</v>
      </c>
      <c r="DI1486">
        <v>0.12</v>
      </c>
      <c r="DJ1486">
        <v>895</v>
      </c>
      <c r="DK1486">
        <v>300107</v>
      </c>
      <c r="DL1486" t="s">
        <v>120</v>
      </c>
      <c r="DM1486" t="s">
        <v>120</v>
      </c>
      <c r="DN1486" t="s">
        <v>120</v>
      </c>
    </row>
    <row r="1487" spans="1:118">
      <c r="A1487" t="str">
        <f>"300108"</f>
        <v>300108</v>
      </c>
      <c r="B1487" t="s">
        <v>7804</v>
      </c>
      <c r="C1487">
        <v>1.31</v>
      </c>
      <c r="D1487">
        <v>0</v>
      </c>
      <c r="E1487">
        <v>0.79</v>
      </c>
      <c r="F1487">
        <v>2103</v>
      </c>
      <c r="G1487" t="s">
        <v>7805</v>
      </c>
      <c r="H1487">
        <v>7119.8</v>
      </c>
      <c r="I1487">
        <v>32.11</v>
      </c>
      <c r="J1487" t="s">
        <v>120</v>
      </c>
      <c r="K1487" t="s">
        <v>7806</v>
      </c>
      <c r="L1487">
        <v>4.09</v>
      </c>
      <c r="M1487">
        <v>3.87</v>
      </c>
      <c r="N1487">
        <v>1.56</v>
      </c>
      <c r="O1487">
        <v>4.97</v>
      </c>
      <c r="P1487">
        <v>4.01</v>
      </c>
      <c r="Q1487">
        <v>0.26</v>
      </c>
      <c r="R1487">
        <v>3.83</v>
      </c>
      <c r="S1487">
        <v>3.85</v>
      </c>
      <c r="T1487">
        <v>181540</v>
      </c>
      <c r="U1487">
        <v>3.88</v>
      </c>
      <c r="V1487">
        <v>3.82</v>
      </c>
      <c r="W1487" t="s">
        <v>120</v>
      </c>
      <c r="X1487" t="s">
        <v>771</v>
      </c>
      <c r="Y1487" t="s">
        <v>290</v>
      </c>
      <c r="Z1487">
        <v>4.71</v>
      </c>
      <c r="AA1487">
        <v>3.92</v>
      </c>
      <c r="AB1487">
        <v>96217</v>
      </c>
      <c r="AC1487">
        <v>85323</v>
      </c>
      <c r="AD1487">
        <v>1.1299999999999999</v>
      </c>
      <c r="AE1487">
        <v>453</v>
      </c>
      <c r="AF1487">
        <v>1119</v>
      </c>
      <c r="AG1487" t="s">
        <v>120</v>
      </c>
      <c r="AH1487">
        <v>0.02</v>
      </c>
      <c r="AI1487" t="s">
        <v>120</v>
      </c>
      <c r="AJ1487">
        <v>4.4400000000000004</v>
      </c>
      <c r="AK1487" t="s">
        <v>2458</v>
      </c>
      <c r="AL1487">
        <v>3.22</v>
      </c>
      <c r="AM1487">
        <v>1714</v>
      </c>
      <c r="AN1487">
        <v>106</v>
      </c>
      <c r="AO1487">
        <v>2.3999999999999998E-3</v>
      </c>
      <c r="AP1487">
        <v>1</v>
      </c>
      <c r="AQ1487">
        <v>-3.05</v>
      </c>
      <c r="AR1487">
        <v>-2.77</v>
      </c>
      <c r="AS1487">
        <v>-5.14</v>
      </c>
      <c r="AT1487">
        <v>14.83</v>
      </c>
      <c r="AU1487">
        <v>-0.26</v>
      </c>
      <c r="AV1487">
        <v>4</v>
      </c>
      <c r="AW1487">
        <v>4.84</v>
      </c>
      <c r="AX1487">
        <v>56.31</v>
      </c>
      <c r="AY1487" t="s">
        <v>120</v>
      </c>
      <c r="AZ1487" t="s">
        <v>120</v>
      </c>
      <c r="BA1487">
        <v>0.27</v>
      </c>
      <c r="BB1487" t="s">
        <v>125</v>
      </c>
      <c r="BF1487">
        <v>2.67</v>
      </c>
      <c r="BG1487">
        <v>0.52</v>
      </c>
      <c r="BH1487">
        <v>-3.49</v>
      </c>
      <c r="BI1487">
        <v>1.04</v>
      </c>
      <c r="BJ1487">
        <v>20210901</v>
      </c>
      <c r="BK1487">
        <v>20100825</v>
      </c>
      <c r="BL1487">
        <v>6.66</v>
      </c>
      <c r="BM1487" t="s">
        <v>120</v>
      </c>
      <c r="BN1487" t="s">
        <v>120</v>
      </c>
      <c r="BO1487">
        <v>25.43</v>
      </c>
      <c r="BP1487">
        <v>3.87</v>
      </c>
      <c r="BQ1487">
        <v>-2.0299999999999998</v>
      </c>
      <c r="BR1487">
        <v>-7.0000000000000007E-2</v>
      </c>
      <c r="BS1487">
        <v>108.25</v>
      </c>
      <c r="BT1487">
        <v>7.51</v>
      </c>
      <c r="BU1487">
        <v>6.76</v>
      </c>
      <c r="BV1487">
        <v>2.2999999999999998</v>
      </c>
      <c r="BW1487">
        <v>22.1</v>
      </c>
      <c r="BX1487">
        <v>0.22</v>
      </c>
      <c r="BY1487">
        <v>3.04</v>
      </c>
      <c r="BZ1487">
        <v>2.59</v>
      </c>
      <c r="CA1487" t="s">
        <v>120</v>
      </c>
      <c r="CB1487">
        <v>8.15</v>
      </c>
      <c r="CC1487">
        <v>3.49</v>
      </c>
      <c r="CD1487">
        <v>2.42</v>
      </c>
      <c r="CE1487">
        <v>-2.27</v>
      </c>
      <c r="CF1487">
        <v>0</v>
      </c>
      <c r="CG1487">
        <v>-2.34</v>
      </c>
      <c r="CH1487">
        <v>-2.37</v>
      </c>
      <c r="CI1487">
        <v>-2.34</v>
      </c>
      <c r="CJ1487">
        <v>0.05</v>
      </c>
      <c r="CK1487">
        <v>-2.2799999999999998</v>
      </c>
      <c r="CL1487">
        <v>-17.34</v>
      </c>
      <c r="CM1487">
        <v>0.4</v>
      </c>
      <c r="CN1487">
        <v>-0.14000000000000001</v>
      </c>
      <c r="CO1487">
        <v>34886</v>
      </c>
      <c r="CP1487">
        <v>10751</v>
      </c>
      <c r="CQ1487" t="s">
        <v>2174</v>
      </c>
      <c r="CR1487">
        <v>-169.92</v>
      </c>
      <c r="CS1487">
        <v>7.51</v>
      </c>
      <c r="CT1487">
        <v>-12.7</v>
      </c>
      <c r="CU1487">
        <v>64.760000000000005</v>
      </c>
      <c r="CV1487">
        <v>7.38</v>
      </c>
      <c r="CW1487">
        <v>0</v>
      </c>
      <c r="CX1487" t="s">
        <v>7807</v>
      </c>
      <c r="CY1487">
        <v>-0.3</v>
      </c>
      <c r="CZ1487">
        <v>0</v>
      </c>
      <c r="DA1487">
        <v>1.22</v>
      </c>
      <c r="DB1487">
        <v>-2.6</v>
      </c>
      <c r="DC1487">
        <v>0.06</v>
      </c>
      <c r="DD1487">
        <v>-7.98</v>
      </c>
      <c r="DE1487" t="s">
        <v>120</v>
      </c>
      <c r="DF1487">
        <v>30.56</v>
      </c>
      <c r="DG1487">
        <v>-64.94</v>
      </c>
      <c r="DH1487">
        <v>-67.14</v>
      </c>
      <c r="DI1487">
        <v>0.09</v>
      </c>
      <c r="DJ1487">
        <v>1338</v>
      </c>
      <c r="DK1487">
        <v>300108</v>
      </c>
      <c r="DL1487">
        <v>20210728</v>
      </c>
      <c r="DM1487">
        <v>4.1900000000000004</v>
      </c>
      <c r="DN1487">
        <v>-7.64</v>
      </c>
    </row>
    <row r="1488" spans="1:118">
      <c r="A1488" t="str">
        <f>"300109"</f>
        <v>300109</v>
      </c>
      <c r="B1488" t="s">
        <v>7808</v>
      </c>
      <c r="C1488">
        <v>0.69</v>
      </c>
      <c r="D1488">
        <v>-0.04</v>
      </c>
      <c r="E1488">
        <v>2.4900000000000002</v>
      </c>
      <c r="F1488">
        <v>2055</v>
      </c>
      <c r="G1488" t="s">
        <v>7809</v>
      </c>
      <c r="H1488">
        <v>35742.300000000003</v>
      </c>
      <c r="I1488">
        <v>300.16000000000003</v>
      </c>
      <c r="J1488" t="s">
        <v>120</v>
      </c>
      <c r="K1488" t="s">
        <v>7810</v>
      </c>
      <c r="L1488">
        <v>6.06</v>
      </c>
      <c r="M1488">
        <v>19</v>
      </c>
      <c r="N1488">
        <v>1.21</v>
      </c>
      <c r="O1488">
        <v>7.42</v>
      </c>
      <c r="P1488">
        <v>20.27</v>
      </c>
      <c r="Q1488">
        <v>0</v>
      </c>
      <c r="R1488">
        <v>18.87</v>
      </c>
      <c r="S1488">
        <v>19.34</v>
      </c>
      <c r="T1488">
        <v>182952</v>
      </c>
      <c r="U1488">
        <v>19.010000000000002</v>
      </c>
      <c r="V1488">
        <v>18.87</v>
      </c>
      <c r="W1488">
        <v>39.11</v>
      </c>
      <c r="X1488" t="s">
        <v>868</v>
      </c>
      <c r="Y1488" t="s">
        <v>645</v>
      </c>
      <c r="Z1488">
        <v>7.42</v>
      </c>
      <c r="AA1488">
        <v>19.54</v>
      </c>
      <c r="AB1488">
        <v>89439</v>
      </c>
      <c r="AC1488">
        <v>93513</v>
      </c>
      <c r="AD1488">
        <v>0.96</v>
      </c>
      <c r="AE1488">
        <v>2228</v>
      </c>
      <c r="AF1488">
        <v>130</v>
      </c>
      <c r="AG1488" t="s">
        <v>120</v>
      </c>
      <c r="AH1488">
        <v>7.0000000000000007E-2</v>
      </c>
      <c r="AI1488" t="s">
        <v>120</v>
      </c>
      <c r="AJ1488">
        <v>3.02</v>
      </c>
      <c r="AK1488" t="s">
        <v>7811</v>
      </c>
      <c r="AL1488">
        <v>2.6</v>
      </c>
      <c r="AM1488">
        <v>3384</v>
      </c>
      <c r="AN1488">
        <v>54</v>
      </c>
      <c r="AO1488">
        <v>1.8E-3</v>
      </c>
      <c r="AP1488">
        <v>4</v>
      </c>
      <c r="AQ1488">
        <v>1.45</v>
      </c>
      <c r="AR1488">
        <v>4</v>
      </c>
      <c r="AS1488">
        <v>13.98</v>
      </c>
      <c r="AT1488">
        <v>28.9</v>
      </c>
      <c r="AU1488">
        <v>38.89</v>
      </c>
      <c r="AV1488">
        <v>0</v>
      </c>
      <c r="AW1488">
        <v>8.83</v>
      </c>
      <c r="AX1488">
        <v>60.32</v>
      </c>
      <c r="AY1488">
        <v>83.74</v>
      </c>
      <c r="AZ1488">
        <v>145.46</v>
      </c>
      <c r="BA1488">
        <v>0.56999999999999995</v>
      </c>
      <c r="BB1488" t="s">
        <v>184</v>
      </c>
      <c r="BF1488">
        <v>3.53</v>
      </c>
      <c r="BG1488">
        <v>-1.76</v>
      </c>
      <c r="BH1488">
        <v>-6.27</v>
      </c>
      <c r="BI1488">
        <v>0.69</v>
      </c>
      <c r="BJ1488">
        <v>20210906</v>
      </c>
      <c r="BK1488">
        <v>20100825</v>
      </c>
      <c r="BL1488">
        <v>3.44</v>
      </c>
      <c r="BM1488" t="s">
        <v>120</v>
      </c>
      <c r="BN1488" t="s">
        <v>120</v>
      </c>
      <c r="BO1488">
        <v>43.6</v>
      </c>
      <c r="BP1488">
        <v>19</v>
      </c>
      <c r="BQ1488">
        <v>31.7</v>
      </c>
      <c r="BR1488">
        <v>-0.05</v>
      </c>
      <c r="BS1488">
        <v>27.41</v>
      </c>
      <c r="BT1488">
        <v>12.81</v>
      </c>
      <c r="BU1488">
        <v>5.07</v>
      </c>
      <c r="BV1488">
        <v>1.18</v>
      </c>
      <c r="BW1488">
        <v>11.18</v>
      </c>
      <c r="BX1488">
        <v>3.72</v>
      </c>
      <c r="BY1488">
        <v>2.4300000000000002</v>
      </c>
      <c r="BZ1488">
        <v>3.05</v>
      </c>
      <c r="CA1488" t="s">
        <v>120</v>
      </c>
      <c r="CB1488">
        <v>23.76</v>
      </c>
      <c r="CC1488">
        <v>5.36</v>
      </c>
      <c r="CD1488">
        <v>2.86</v>
      </c>
      <c r="CE1488">
        <v>1.1000000000000001</v>
      </c>
      <c r="CF1488">
        <v>0.08</v>
      </c>
      <c r="CG1488">
        <v>1.1100000000000001</v>
      </c>
      <c r="CH1488">
        <v>0.81</v>
      </c>
      <c r="CI1488">
        <v>0.83</v>
      </c>
      <c r="CJ1488">
        <v>0.13</v>
      </c>
      <c r="CK1488">
        <v>0.51</v>
      </c>
      <c r="CL1488">
        <v>5.23</v>
      </c>
      <c r="CM1488">
        <v>0.32</v>
      </c>
      <c r="CN1488">
        <v>1.1499999999999999</v>
      </c>
      <c r="CO1488">
        <v>16821</v>
      </c>
      <c r="CP1488">
        <v>12322</v>
      </c>
      <c r="CQ1488" t="s">
        <v>7812</v>
      </c>
      <c r="CR1488">
        <v>64.92</v>
      </c>
      <c r="CS1488">
        <v>20.56</v>
      </c>
      <c r="CT1488">
        <v>2.06</v>
      </c>
      <c r="CU1488">
        <v>201.12</v>
      </c>
      <c r="CV1488">
        <v>12.17</v>
      </c>
      <c r="CW1488">
        <v>0.1</v>
      </c>
      <c r="CX1488" t="s">
        <v>670</v>
      </c>
      <c r="CY1488">
        <v>9.23</v>
      </c>
      <c r="CZ1488">
        <v>0</v>
      </c>
      <c r="DA1488">
        <v>6.92</v>
      </c>
      <c r="DB1488">
        <v>1.52</v>
      </c>
      <c r="DC1488">
        <v>0.09</v>
      </c>
      <c r="DD1488">
        <v>72.72</v>
      </c>
      <c r="DE1488" t="s">
        <v>1861</v>
      </c>
      <c r="DF1488">
        <v>46.77</v>
      </c>
      <c r="DG1488">
        <v>20.54</v>
      </c>
      <c r="DH1488">
        <v>15.56</v>
      </c>
      <c r="DI1488">
        <v>0.39</v>
      </c>
      <c r="DJ1488">
        <v>962</v>
      </c>
      <c r="DK1488">
        <v>300109</v>
      </c>
      <c r="DL1488" t="s">
        <v>120</v>
      </c>
      <c r="DM1488" t="s">
        <v>120</v>
      </c>
      <c r="DN1488" t="s">
        <v>120</v>
      </c>
    </row>
    <row r="1489" spans="1:118">
      <c r="A1489" t="str">
        <f>"300110"</f>
        <v>300110</v>
      </c>
      <c r="B1489" t="s">
        <v>7813</v>
      </c>
      <c r="C1489">
        <v>0.68</v>
      </c>
      <c r="D1489">
        <v>0</v>
      </c>
      <c r="E1489">
        <v>0.23</v>
      </c>
      <c r="F1489">
        <v>1882</v>
      </c>
      <c r="G1489" t="s">
        <v>6126</v>
      </c>
      <c r="H1489">
        <v>9828.36</v>
      </c>
      <c r="I1489">
        <v>27.34</v>
      </c>
      <c r="J1489" t="s">
        <v>120</v>
      </c>
      <c r="K1489" t="s">
        <v>7814</v>
      </c>
      <c r="L1489">
        <v>1.86</v>
      </c>
      <c r="M1489">
        <v>4.43</v>
      </c>
      <c r="N1489">
        <v>1.1399999999999999</v>
      </c>
      <c r="O1489">
        <v>2.73</v>
      </c>
      <c r="P1489">
        <v>4.5199999999999996</v>
      </c>
      <c r="Q1489">
        <v>0</v>
      </c>
      <c r="R1489">
        <v>4.4000000000000004</v>
      </c>
      <c r="S1489">
        <v>4.41</v>
      </c>
      <c r="T1489">
        <v>219706</v>
      </c>
      <c r="U1489">
        <v>4.43</v>
      </c>
      <c r="V1489">
        <v>4.4000000000000004</v>
      </c>
      <c r="W1489">
        <v>35.619999999999997</v>
      </c>
      <c r="X1489" t="s">
        <v>569</v>
      </c>
      <c r="Y1489" t="s">
        <v>638</v>
      </c>
      <c r="Z1489">
        <v>2.73</v>
      </c>
      <c r="AA1489">
        <v>4.47</v>
      </c>
      <c r="AB1489">
        <v>89624</v>
      </c>
      <c r="AC1489">
        <v>130082</v>
      </c>
      <c r="AD1489">
        <v>0.69</v>
      </c>
      <c r="AE1489">
        <v>3942</v>
      </c>
      <c r="AF1489">
        <v>586</v>
      </c>
      <c r="AG1489" t="s">
        <v>120</v>
      </c>
      <c r="AH1489">
        <v>0.01</v>
      </c>
      <c r="AI1489" t="s">
        <v>120</v>
      </c>
      <c r="AJ1489">
        <v>11.81</v>
      </c>
      <c r="AK1489" t="s">
        <v>7815</v>
      </c>
      <c r="AL1489">
        <v>2.6</v>
      </c>
      <c r="AM1489">
        <v>2414</v>
      </c>
      <c r="AN1489">
        <v>91</v>
      </c>
      <c r="AO1489">
        <v>8.0000000000000004E-4</v>
      </c>
      <c r="AP1489">
        <v>2</v>
      </c>
      <c r="AQ1489">
        <v>0.46</v>
      </c>
      <c r="AR1489">
        <v>-0.22</v>
      </c>
      <c r="AS1489">
        <v>1.61</v>
      </c>
      <c r="AT1489">
        <v>1.1399999999999999</v>
      </c>
      <c r="AU1489">
        <v>-6.04</v>
      </c>
      <c r="AV1489">
        <v>0</v>
      </c>
      <c r="AW1489">
        <v>3.44</v>
      </c>
      <c r="AX1489">
        <v>53.99</v>
      </c>
      <c r="AY1489">
        <v>39.11</v>
      </c>
      <c r="AZ1489">
        <v>54.97</v>
      </c>
      <c r="BA1489">
        <v>0.47</v>
      </c>
      <c r="BB1489" t="s">
        <v>125</v>
      </c>
      <c r="BF1489">
        <v>1.67</v>
      </c>
      <c r="BG1489">
        <v>0.45</v>
      </c>
      <c r="BH1489">
        <v>-1.99</v>
      </c>
      <c r="BI1489">
        <v>0.68</v>
      </c>
      <c r="BJ1489">
        <v>20210825</v>
      </c>
      <c r="BK1489">
        <v>20100825</v>
      </c>
      <c r="BL1489">
        <v>11.82</v>
      </c>
      <c r="BM1489" t="s">
        <v>120</v>
      </c>
      <c r="BN1489" t="s">
        <v>120</v>
      </c>
      <c r="BO1489">
        <v>45.87</v>
      </c>
      <c r="BP1489">
        <v>4.42</v>
      </c>
      <c r="BQ1489">
        <v>23.14</v>
      </c>
      <c r="BR1489">
        <v>0.73</v>
      </c>
      <c r="BS1489">
        <v>47.96</v>
      </c>
      <c r="BT1489">
        <v>28.09</v>
      </c>
      <c r="BU1489">
        <v>12.27</v>
      </c>
      <c r="BV1489">
        <v>1.51</v>
      </c>
      <c r="BW1489">
        <v>21.15</v>
      </c>
      <c r="BX1489">
        <v>4.25</v>
      </c>
      <c r="BY1489">
        <v>2.92</v>
      </c>
      <c r="BZ1489">
        <v>18.46</v>
      </c>
      <c r="CA1489" t="s">
        <v>120</v>
      </c>
      <c r="CB1489">
        <v>5.28</v>
      </c>
      <c r="CC1489">
        <v>25.25</v>
      </c>
      <c r="CD1489">
        <v>21.75</v>
      </c>
      <c r="CE1489">
        <v>0.87</v>
      </c>
      <c r="CF1489">
        <v>0.01</v>
      </c>
      <c r="CG1489">
        <v>0.89</v>
      </c>
      <c r="CH1489">
        <v>0.76</v>
      </c>
      <c r="CI1489">
        <v>0.74</v>
      </c>
      <c r="CJ1489">
        <v>0.03</v>
      </c>
      <c r="CK1489">
        <v>0.66</v>
      </c>
      <c r="CL1489">
        <v>5.37</v>
      </c>
      <c r="CM1489">
        <v>-5.75</v>
      </c>
      <c r="CN1489">
        <v>0.94</v>
      </c>
      <c r="CO1489">
        <v>49509</v>
      </c>
      <c r="CP1489">
        <v>12892</v>
      </c>
      <c r="CQ1489" t="s">
        <v>542</v>
      </c>
      <c r="CR1489">
        <v>109.34</v>
      </c>
      <c r="CS1489">
        <v>330.63</v>
      </c>
      <c r="CT1489">
        <v>2.2599999999999998</v>
      </c>
      <c r="CU1489">
        <v>-9.11</v>
      </c>
      <c r="CV1489">
        <v>2.0699999999999998</v>
      </c>
      <c r="CW1489">
        <v>0.34</v>
      </c>
      <c r="CX1489" t="s">
        <v>7816</v>
      </c>
      <c r="CY1489">
        <v>1.96</v>
      </c>
      <c r="CZ1489">
        <v>0</v>
      </c>
      <c r="DA1489">
        <v>0.45</v>
      </c>
      <c r="DB1489">
        <v>0.45</v>
      </c>
      <c r="DC1489">
        <v>-0.49</v>
      </c>
      <c r="DD1489">
        <v>50.45</v>
      </c>
      <c r="DE1489" t="s">
        <v>6196</v>
      </c>
      <c r="DF1489">
        <v>13.87</v>
      </c>
      <c r="DG1489">
        <v>3.45</v>
      </c>
      <c r="DH1489">
        <v>2.91</v>
      </c>
      <c r="DI1489">
        <v>0.34</v>
      </c>
      <c r="DJ1489">
        <v>2532</v>
      </c>
      <c r="DK1489">
        <v>300110</v>
      </c>
      <c r="DL1489" t="s">
        <v>120</v>
      </c>
      <c r="DM1489" t="s">
        <v>120</v>
      </c>
      <c r="DN1489" t="s">
        <v>120</v>
      </c>
    </row>
    <row r="1490" spans="1:118">
      <c r="A1490" t="str">
        <f>"300111"</f>
        <v>300111</v>
      </c>
      <c r="B1490" t="s">
        <v>7817</v>
      </c>
      <c r="C1490">
        <v>-0.98</v>
      </c>
      <c r="D1490">
        <v>0</v>
      </c>
      <c r="E1490">
        <v>0</v>
      </c>
      <c r="F1490">
        <v>1822</v>
      </c>
      <c r="G1490" t="s">
        <v>3662</v>
      </c>
      <c r="H1490">
        <v>5236.2700000000004</v>
      </c>
      <c r="I1490">
        <v>4.8499999999999996</v>
      </c>
      <c r="J1490" t="s">
        <v>120</v>
      </c>
      <c r="K1490" t="s">
        <v>7818</v>
      </c>
      <c r="L1490">
        <v>1.53</v>
      </c>
      <c r="M1490">
        <v>3.02</v>
      </c>
      <c r="N1490">
        <v>0.99</v>
      </c>
      <c r="O1490">
        <v>1.97</v>
      </c>
      <c r="P1490">
        <v>3.11</v>
      </c>
      <c r="Q1490">
        <v>-0.98</v>
      </c>
      <c r="R1490">
        <v>3.02</v>
      </c>
      <c r="S1490">
        <v>3.05</v>
      </c>
      <c r="T1490">
        <v>170966</v>
      </c>
      <c r="U1490">
        <v>3.03</v>
      </c>
      <c r="V1490">
        <v>3.05</v>
      </c>
      <c r="W1490">
        <v>1761.17</v>
      </c>
      <c r="X1490" t="s">
        <v>569</v>
      </c>
      <c r="Y1490" t="s">
        <v>585</v>
      </c>
      <c r="Z1490">
        <v>2.95</v>
      </c>
      <c r="AA1490">
        <v>3.06</v>
      </c>
      <c r="AB1490">
        <v>97377</v>
      </c>
      <c r="AC1490">
        <v>73589</v>
      </c>
      <c r="AD1490">
        <v>1.32</v>
      </c>
      <c r="AE1490">
        <v>8067</v>
      </c>
      <c r="AF1490">
        <v>1450</v>
      </c>
      <c r="AG1490" t="s">
        <v>120</v>
      </c>
      <c r="AH1490">
        <v>0</v>
      </c>
      <c r="AI1490" t="s">
        <v>120</v>
      </c>
      <c r="AJ1490">
        <v>11.17</v>
      </c>
      <c r="AK1490" t="s">
        <v>7819</v>
      </c>
      <c r="AL1490">
        <v>0.93</v>
      </c>
      <c r="AM1490">
        <v>1402</v>
      </c>
      <c r="AN1490">
        <v>122</v>
      </c>
      <c r="AO1490">
        <v>1.1000000000000001E-3</v>
      </c>
      <c r="AP1490">
        <v>-1</v>
      </c>
      <c r="AQ1490">
        <v>0.66</v>
      </c>
      <c r="AR1490">
        <v>-2.89</v>
      </c>
      <c r="AS1490">
        <v>-9.31</v>
      </c>
      <c r="AT1490">
        <v>1.34</v>
      </c>
      <c r="AU1490">
        <v>-5.63</v>
      </c>
      <c r="AV1490">
        <v>0</v>
      </c>
      <c r="AW1490">
        <v>1.9</v>
      </c>
      <c r="AX1490">
        <v>80.260000000000005</v>
      </c>
      <c r="AY1490">
        <v>95.56</v>
      </c>
      <c r="AZ1490">
        <v>61.13</v>
      </c>
      <c r="BA1490">
        <v>0.69</v>
      </c>
      <c r="BB1490" t="s">
        <v>143</v>
      </c>
      <c r="BF1490">
        <v>0.42</v>
      </c>
      <c r="BG1490">
        <v>-0.98</v>
      </c>
      <c r="BH1490">
        <v>-2.89</v>
      </c>
      <c r="BI1490">
        <v>0</v>
      </c>
      <c r="BJ1490">
        <v>20210830</v>
      </c>
      <c r="BK1490">
        <v>20100827</v>
      </c>
      <c r="BL1490">
        <v>11.2</v>
      </c>
      <c r="BM1490" t="s">
        <v>120</v>
      </c>
      <c r="BN1490" t="s">
        <v>120</v>
      </c>
      <c r="BO1490">
        <v>4.7</v>
      </c>
      <c r="BP1490">
        <v>3.02</v>
      </c>
      <c r="BQ1490">
        <v>1.51</v>
      </c>
      <c r="BR1490">
        <v>1.17</v>
      </c>
      <c r="BS1490">
        <v>42.95</v>
      </c>
      <c r="BT1490">
        <v>3.02</v>
      </c>
      <c r="BU1490">
        <v>1.35</v>
      </c>
      <c r="BV1490">
        <v>0.18</v>
      </c>
      <c r="BW1490">
        <v>1.05</v>
      </c>
      <c r="BX1490">
        <v>1.73</v>
      </c>
      <c r="BY1490">
        <v>0.72</v>
      </c>
      <c r="BZ1490">
        <v>0.31</v>
      </c>
      <c r="CA1490">
        <v>0.06</v>
      </c>
      <c r="CB1490">
        <v>2.4900000000000002</v>
      </c>
      <c r="CC1490">
        <v>1.02</v>
      </c>
      <c r="CD1490">
        <v>0.74</v>
      </c>
      <c r="CE1490">
        <v>-0.15</v>
      </c>
      <c r="CF1490">
        <v>0</v>
      </c>
      <c r="CG1490">
        <v>-0.03</v>
      </c>
      <c r="CH1490">
        <v>-0.03</v>
      </c>
      <c r="CI1490">
        <v>0.01</v>
      </c>
      <c r="CJ1490">
        <v>-0.03</v>
      </c>
      <c r="CK1490">
        <v>-0.13</v>
      </c>
      <c r="CL1490">
        <v>-12.85</v>
      </c>
      <c r="CM1490">
        <v>0.19</v>
      </c>
      <c r="CN1490">
        <v>0.21</v>
      </c>
      <c r="CO1490">
        <v>95575</v>
      </c>
      <c r="CP1490">
        <v>9404</v>
      </c>
      <c r="CQ1490" t="s">
        <v>6041</v>
      </c>
      <c r="CR1490">
        <v>-95.45</v>
      </c>
      <c r="CS1490">
        <v>-33.479999999999997</v>
      </c>
      <c r="CT1490">
        <v>22.38</v>
      </c>
      <c r="CU1490">
        <v>177.53</v>
      </c>
      <c r="CV1490">
        <v>33.08</v>
      </c>
      <c r="CW1490">
        <v>0</v>
      </c>
      <c r="CX1490" t="s">
        <v>1415</v>
      </c>
      <c r="CY1490">
        <v>0.13</v>
      </c>
      <c r="CZ1490">
        <v>0</v>
      </c>
      <c r="DA1490">
        <v>0.22</v>
      </c>
      <c r="DB1490">
        <v>-1.1499999999999999</v>
      </c>
      <c r="DC1490">
        <v>0.02</v>
      </c>
      <c r="DD1490">
        <v>32.159999999999997</v>
      </c>
      <c r="DE1490" t="s">
        <v>7820</v>
      </c>
      <c r="DF1490">
        <v>27.67</v>
      </c>
      <c r="DG1490">
        <v>-14.46</v>
      </c>
      <c r="DH1490">
        <v>0.94</v>
      </c>
      <c r="DI1490">
        <v>0.06</v>
      </c>
      <c r="DJ1490">
        <v>287</v>
      </c>
      <c r="DK1490">
        <v>300111</v>
      </c>
      <c r="DL1490" t="s">
        <v>120</v>
      </c>
      <c r="DM1490" t="s">
        <v>120</v>
      </c>
      <c r="DN1490" t="s">
        <v>120</v>
      </c>
    </row>
    <row r="1491" spans="1:118">
      <c r="A1491" t="str">
        <f>"300112"</f>
        <v>300112</v>
      </c>
      <c r="B1491" t="s">
        <v>7821</v>
      </c>
      <c r="C1491">
        <v>-4.38</v>
      </c>
      <c r="D1491">
        <v>-0.18</v>
      </c>
      <c r="E1491">
        <v>-0.73</v>
      </c>
      <c r="F1491">
        <v>1578</v>
      </c>
      <c r="G1491" t="s">
        <v>7822</v>
      </c>
      <c r="H1491">
        <v>11135.48</v>
      </c>
      <c r="I1491">
        <v>13.93</v>
      </c>
      <c r="J1491" t="s">
        <v>120</v>
      </c>
      <c r="K1491" t="s">
        <v>7823</v>
      </c>
      <c r="L1491">
        <v>5.15</v>
      </c>
      <c r="M1491">
        <v>10.48</v>
      </c>
      <c r="N1491">
        <v>0.97</v>
      </c>
      <c r="O1491">
        <v>0.64</v>
      </c>
      <c r="P1491">
        <v>11.03</v>
      </c>
      <c r="Q1491">
        <v>-4.38</v>
      </c>
      <c r="R1491">
        <v>10.48</v>
      </c>
      <c r="S1491">
        <v>10.88</v>
      </c>
      <c r="T1491">
        <v>103617</v>
      </c>
      <c r="U1491">
        <v>10.49</v>
      </c>
      <c r="V1491">
        <v>10.96</v>
      </c>
      <c r="W1491">
        <v>41.74</v>
      </c>
      <c r="X1491" t="s">
        <v>2717</v>
      </c>
      <c r="Y1491" t="s">
        <v>123</v>
      </c>
      <c r="Z1491">
        <v>5.0199999999999996</v>
      </c>
      <c r="AA1491">
        <v>10.75</v>
      </c>
      <c r="AB1491">
        <v>61063</v>
      </c>
      <c r="AC1491">
        <v>42554</v>
      </c>
      <c r="AD1491">
        <v>1.43</v>
      </c>
      <c r="AE1491">
        <v>164</v>
      </c>
      <c r="AF1491">
        <v>404</v>
      </c>
      <c r="AG1491" t="s">
        <v>120</v>
      </c>
      <c r="AH1491">
        <v>0.01</v>
      </c>
      <c r="AI1491" t="s">
        <v>120</v>
      </c>
      <c r="AJ1491">
        <v>2.0099999999999998</v>
      </c>
      <c r="AK1491" t="s">
        <v>1066</v>
      </c>
      <c r="AL1491">
        <v>-2.4700000000000002</v>
      </c>
      <c r="AM1491">
        <v>2431</v>
      </c>
      <c r="AN1491">
        <v>43</v>
      </c>
      <c r="AO1491">
        <v>2.0999999999999999E-3</v>
      </c>
      <c r="AP1491">
        <v>-1</v>
      </c>
      <c r="AQ1491">
        <v>0.64</v>
      </c>
      <c r="AR1491">
        <v>-2.0499999999999998</v>
      </c>
      <c r="AS1491">
        <v>-6.51</v>
      </c>
      <c r="AT1491">
        <v>18.149999999999999</v>
      </c>
      <c r="AU1491">
        <v>19.63</v>
      </c>
      <c r="AV1491">
        <v>1</v>
      </c>
      <c r="AW1491">
        <v>6.14</v>
      </c>
      <c r="AX1491">
        <v>59.07</v>
      </c>
      <c r="AY1491">
        <v>29.55</v>
      </c>
      <c r="AZ1491">
        <v>34.630000000000003</v>
      </c>
      <c r="BA1491">
        <v>0.76</v>
      </c>
      <c r="BB1491" t="s">
        <v>143</v>
      </c>
      <c r="BF1491">
        <v>-1.95</v>
      </c>
      <c r="BG1491">
        <v>-3.68</v>
      </c>
      <c r="BH1491">
        <v>-4.99</v>
      </c>
      <c r="BI1491">
        <v>0</v>
      </c>
      <c r="BJ1491">
        <v>20210824</v>
      </c>
      <c r="BK1491">
        <v>20100827</v>
      </c>
      <c r="BL1491">
        <v>2.86</v>
      </c>
      <c r="BM1491" t="s">
        <v>120</v>
      </c>
      <c r="BN1491" t="s">
        <v>120</v>
      </c>
      <c r="BO1491">
        <v>16.05</v>
      </c>
      <c r="BP1491">
        <v>10.48</v>
      </c>
      <c r="BQ1491">
        <v>11.05</v>
      </c>
      <c r="BR1491">
        <v>0.7</v>
      </c>
      <c r="BS1491">
        <v>26.77</v>
      </c>
      <c r="BT1491">
        <v>9.02</v>
      </c>
      <c r="BU1491">
        <v>2.82</v>
      </c>
      <c r="BV1491">
        <v>0.61</v>
      </c>
      <c r="BW1491">
        <v>2.2799999999999998</v>
      </c>
      <c r="BX1491">
        <v>3.82</v>
      </c>
      <c r="BY1491">
        <v>1.8</v>
      </c>
      <c r="BZ1491">
        <v>2.19</v>
      </c>
      <c r="CA1491" t="s">
        <v>120</v>
      </c>
      <c r="CB1491">
        <v>4.87</v>
      </c>
      <c r="CC1491">
        <v>3.74</v>
      </c>
      <c r="CD1491">
        <v>1.81</v>
      </c>
      <c r="CE1491">
        <v>0.45</v>
      </c>
      <c r="CF1491">
        <v>-0.02</v>
      </c>
      <c r="CG1491">
        <v>0.44</v>
      </c>
      <c r="CH1491">
        <v>0.36</v>
      </c>
      <c r="CI1491">
        <v>0.36</v>
      </c>
      <c r="CJ1491">
        <v>-0.48</v>
      </c>
      <c r="CK1491">
        <v>0.34</v>
      </c>
      <c r="CL1491">
        <v>2.48</v>
      </c>
      <c r="CM1491">
        <v>0.22</v>
      </c>
      <c r="CN1491">
        <v>1.29</v>
      </c>
      <c r="CO1491">
        <v>19362</v>
      </c>
      <c r="CP1491">
        <v>8717</v>
      </c>
      <c r="CQ1491" t="s">
        <v>1963</v>
      </c>
      <c r="CR1491">
        <v>76.42</v>
      </c>
      <c r="CS1491">
        <v>30.68</v>
      </c>
      <c r="CT1491">
        <v>2.87</v>
      </c>
      <c r="CU1491">
        <v>135.01</v>
      </c>
      <c r="CV1491">
        <v>8</v>
      </c>
      <c r="CW1491">
        <v>1.82</v>
      </c>
      <c r="CX1491" t="s">
        <v>986</v>
      </c>
      <c r="CY1491">
        <v>3.65</v>
      </c>
      <c r="CZ1491">
        <v>3.65</v>
      </c>
      <c r="DA1491">
        <v>1.7</v>
      </c>
      <c r="DB1491">
        <v>0.87</v>
      </c>
      <c r="DC1491">
        <v>0.08</v>
      </c>
      <c r="DD1491">
        <v>68.84</v>
      </c>
      <c r="DE1491" t="s">
        <v>4432</v>
      </c>
      <c r="DF1491">
        <v>51.63</v>
      </c>
      <c r="DG1491">
        <v>11.99</v>
      </c>
      <c r="DH1491">
        <v>9.58</v>
      </c>
      <c r="DI1491">
        <v>0.31</v>
      </c>
      <c r="DJ1491">
        <v>1275</v>
      </c>
      <c r="DK1491">
        <v>300112</v>
      </c>
      <c r="DL1491">
        <v>20210703</v>
      </c>
      <c r="DM1491">
        <v>9.18</v>
      </c>
      <c r="DN1491">
        <v>14.16</v>
      </c>
    </row>
    <row r="1492" spans="1:118">
      <c r="A1492" t="str">
        <f>"300113"</f>
        <v>300113</v>
      </c>
      <c r="B1492" t="s">
        <v>7824</v>
      </c>
      <c r="C1492">
        <v>-7.0000000000000007E-2</v>
      </c>
      <c r="D1492">
        <v>-0.13</v>
      </c>
      <c r="E1492">
        <v>-0.65</v>
      </c>
      <c r="F1492">
        <v>5623</v>
      </c>
      <c r="G1492" t="s">
        <v>3111</v>
      </c>
      <c r="H1492">
        <v>57991.69</v>
      </c>
      <c r="I1492">
        <v>192.36</v>
      </c>
      <c r="J1492" t="s">
        <v>120</v>
      </c>
      <c r="K1492" t="s">
        <v>7825</v>
      </c>
      <c r="L1492">
        <v>8.5399999999999991</v>
      </c>
      <c r="M1492">
        <v>13.84</v>
      </c>
      <c r="N1492">
        <v>0.67</v>
      </c>
      <c r="O1492">
        <v>5.05</v>
      </c>
      <c r="P1492">
        <v>14.55</v>
      </c>
      <c r="Q1492">
        <v>-1.95</v>
      </c>
      <c r="R1492">
        <v>13.58</v>
      </c>
      <c r="S1492">
        <v>13.76</v>
      </c>
      <c r="T1492">
        <v>413163</v>
      </c>
      <c r="U1492">
        <v>13.85</v>
      </c>
      <c r="V1492">
        <v>13.85</v>
      </c>
      <c r="W1492">
        <v>68.81</v>
      </c>
      <c r="X1492" t="s">
        <v>1531</v>
      </c>
      <c r="Y1492" t="s">
        <v>585</v>
      </c>
      <c r="Z1492">
        <v>7</v>
      </c>
      <c r="AA1492">
        <v>14.04</v>
      </c>
      <c r="AB1492">
        <v>214143</v>
      </c>
      <c r="AC1492">
        <v>199020</v>
      </c>
      <c r="AD1492">
        <v>1.08</v>
      </c>
      <c r="AE1492">
        <v>317</v>
      </c>
      <c r="AF1492">
        <v>205</v>
      </c>
      <c r="AG1492" t="s">
        <v>120</v>
      </c>
      <c r="AH1492">
        <v>0.03</v>
      </c>
      <c r="AI1492" t="s">
        <v>120</v>
      </c>
      <c r="AJ1492">
        <v>4.84</v>
      </c>
      <c r="AK1492" t="s">
        <v>7826</v>
      </c>
      <c r="AL1492">
        <v>1.84</v>
      </c>
      <c r="AM1492">
        <v>4065</v>
      </c>
      <c r="AN1492">
        <v>102</v>
      </c>
      <c r="AO1492">
        <v>2.0999999999999999E-3</v>
      </c>
      <c r="AP1492">
        <v>-3</v>
      </c>
      <c r="AQ1492">
        <v>-1.77</v>
      </c>
      <c r="AR1492">
        <v>-7.36</v>
      </c>
      <c r="AS1492">
        <v>26.63</v>
      </c>
      <c r="AT1492">
        <v>4.29</v>
      </c>
      <c r="AU1492">
        <v>-18.920000000000002</v>
      </c>
      <c r="AV1492">
        <v>1</v>
      </c>
      <c r="AW1492">
        <v>9.5500000000000007</v>
      </c>
      <c r="AX1492">
        <v>62.29</v>
      </c>
      <c r="AY1492">
        <v>88.09</v>
      </c>
      <c r="AZ1492">
        <v>105.79</v>
      </c>
      <c r="BA1492">
        <v>0.53</v>
      </c>
      <c r="BB1492" t="s">
        <v>341</v>
      </c>
      <c r="BF1492">
        <v>1.34</v>
      </c>
      <c r="BG1492">
        <v>0.57999999999999996</v>
      </c>
      <c r="BH1492">
        <v>-4.88</v>
      </c>
      <c r="BI1492">
        <v>1.91</v>
      </c>
      <c r="BJ1492">
        <v>20210827</v>
      </c>
      <c r="BK1492">
        <v>20100827</v>
      </c>
      <c r="BL1492">
        <v>6.94</v>
      </c>
      <c r="BM1492" t="s">
        <v>120</v>
      </c>
      <c r="BN1492" t="s">
        <v>120</v>
      </c>
      <c r="BO1492">
        <v>29.81</v>
      </c>
      <c r="BP1492">
        <v>13.84</v>
      </c>
      <c r="BQ1492">
        <v>24.47</v>
      </c>
      <c r="BR1492">
        <v>0.86</v>
      </c>
      <c r="BS1492">
        <v>15.03</v>
      </c>
      <c r="BT1492">
        <v>13.4</v>
      </c>
      <c r="BU1492">
        <v>0.75</v>
      </c>
      <c r="BV1492">
        <v>0.2</v>
      </c>
      <c r="BW1492">
        <v>3.99</v>
      </c>
      <c r="BX1492">
        <v>10.58</v>
      </c>
      <c r="BY1492">
        <v>0.13</v>
      </c>
      <c r="BZ1492">
        <v>0.81</v>
      </c>
      <c r="CA1492" t="s">
        <v>120</v>
      </c>
      <c r="CB1492">
        <v>2.93</v>
      </c>
      <c r="CC1492">
        <v>5</v>
      </c>
      <c r="CD1492">
        <v>1.7</v>
      </c>
      <c r="CE1492">
        <v>1.06</v>
      </c>
      <c r="CF1492">
        <v>0</v>
      </c>
      <c r="CG1492">
        <v>1.06</v>
      </c>
      <c r="CH1492">
        <v>0.87</v>
      </c>
      <c r="CI1492">
        <v>0.7</v>
      </c>
      <c r="CJ1492">
        <v>-0.01</v>
      </c>
      <c r="CK1492">
        <v>0.64</v>
      </c>
      <c r="CL1492">
        <v>15.68</v>
      </c>
      <c r="CM1492">
        <v>1.33</v>
      </c>
      <c r="CN1492">
        <v>2.2799999999999998</v>
      </c>
      <c r="CO1492">
        <v>44393</v>
      </c>
      <c r="CP1492">
        <v>9742</v>
      </c>
      <c r="CQ1492" t="s">
        <v>7827</v>
      </c>
      <c r="CR1492">
        <v>35.43</v>
      </c>
      <c r="CS1492">
        <v>14.51</v>
      </c>
      <c r="CT1492">
        <v>3.93</v>
      </c>
      <c r="CU1492">
        <v>72.260000000000005</v>
      </c>
      <c r="CV1492">
        <v>19.22</v>
      </c>
      <c r="CW1492">
        <v>0.56999999999999995</v>
      </c>
      <c r="CX1492" t="s">
        <v>411</v>
      </c>
      <c r="CY1492">
        <v>3.52</v>
      </c>
      <c r="CZ1492">
        <v>0</v>
      </c>
      <c r="DA1492">
        <v>0.42</v>
      </c>
      <c r="DB1492">
        <v>2.2599999999999998</v>
      </c>
      <c r="DC1492">
        <v>0.19</v>
      </c>
      <c r="DD1492">
        <v>82.08</v>
      </c>
      <c r="DE1492" t="s">
        <v>1113</v>
      </c>
      <c r="DF1492">
        <v>65.930000000000007</v>
      </c>
      <c r="DG1492">
        <v>21.28</v>
      </c>
      <c r="DH1492">
        <v>13.96</v>
      </c>
      <c r="DI1492">
        <v>0.92</v>
      </c>
      <c r="DJ1492">
        <v>1469</v>
      </c>
      <c r="DK1492">
        <v>300113</v>
      </c>
      <c r="DL1492">
        <v>20210908</v>
      </c>
      <c r="DM1492">
        <v>13.54</v>
      </c>
      <c r="DN1492">
        <v>2.2200000000000002</v>
      </c>
    </row>
    <row r="1493" spans="1:118">
      <c r="A1493" t="str">
        <f>"300114"</f>
        <v>300114</v>
      </c>
      <c r="B1493" t="s">
        <v>7828</v>
      </c>
      <c r="C1493">
        <v>-2.76</v>
      </c>
      <c r="D1493">
        <v>0.06</v>
      </c>
      <c r="E1493">
        <v>-0.28999999999999998</v>
      </c>
      <c r="F1493">
        <v>306</v>
      </c>
      <c r="G1493" t="s">
        <v>7829</v>
      </c>
      <c r="H1493">
        <v>11377.72</v>
      </c>
      <c r="I1493">
        <v>30.71</v>
      </c>
      <c r="J1493" t="s">
        <v>120</v>
      </c>
      <c r="K1493" t="s">
        <v>7830</v>
      </c>
      <c r="L1493">
        <v>1.1299999999999999</v>
      </c>
      <c r="M1493">
        <v>16.920000000000002</v>
      </c>
      <c r="N1493">
        <v>0.76</v>
      </c>
      <c r="O1493">
        <v>0.56999999999999995</v>
      </c>
      <c r="P1493">
        <v>17.5</v>
      </c>
      <c r="Q1493">
        <v>-3.74</v>
      </c>
      <c r="R1493">
        <v>16.75</v>
      </c>
      <c r="S1493">
        <v>17.350000000000001</v>
      </c>
      <c r="T1493">
        <v>66479</v>
      </c>
      <c r="U1493">
        <v>16.93</v>
      </c>
      <c r="V1493">
        <v>17.399999999999999</v>
      </c>
      <c r="W1493">
        <v>26.61</v>
      </c>
      <c r="X1493" t="s">
        <v>2717</v>
      </c>
      <c r="Y1493" t="s">
        <v>890</v>
      </c>
      <c r="Z1493">
        <v>4.3099999999999996</v>
      </c>
      <c r="AA1493">
        <v>17.11</v>
      </c>
      <c r="AB1493">
        <v>35293</v>
      </c>
      <c r="AC1493">
        <v>31186</v>
      </c>
      <c r="AD1493">
        <v>1.1299999999999999</v>
      </c>
      <c r="AE1493">
        <v>5</v>
      </c>
      <c r="AF1493">
        <v>19</v>
      </c>
      <c r="AG1493" t="s">
        <v>120</v>
      </c>
      <c r="AH1493">
        <v>0.01</v>
      </c>
      <c r="AI1493" t="s">
        <v>120</v>
      </c>
      <c r="AJ1493">
        <v>5.91</v>
      </c>
      <c r="AK1493" t="s">
        <v>7830</v>
      </c>
      <c r="AL1493">
        <v>-0.84</v>
      </c>
      <c r="AM1493">
        <v>2652</v>
      </c>
      <c r="AN1493">
        <v>25</v>
      </c>
      <c r="AO1493">
        <v>4.0000000000000002E-4</v>
      </c>
      <c r="AP1493">
        <v>-5</v>
      </c>
      <c r="AQ1493">
        <v>-1.08</v>
      </c>
      <c r="AR1493">
        <v>-4.46</v>
      </c>
      <c r="AS1493">
        <v>-18.66</v>
      </c>
      <c r="AT1493">
        <v>11.61</v>
      </c>
      <c r="AU1493">
        <v>13.56</v>
      </c>
      <c r="AV1493">
        <v>0</v>
      </c>
      <c r="AW1493">
        <v>2.4</v>
      </c>
      <c r="AX1493">
        <v>46.82</v>
      </c>
      <c r="AY1493">
        <v>33.46</v>
      </c>
      <c r="AZ1493">
        <v>39.159999999999997</v>
      </c>
      <c r="BA1493">
        <v>1.1200000000000001</v>
      </c>
      <c r="BB1493" t="s">
        <v>143</v>
      </c>
      <c r="BF1493">
        <v>-1.64</v>
      </c>
      <c r="BG1493">
        <v>-2.48</v>
      </c>
      <c r="BH1493">
        <v>-3.31</v>
      </c>
      <c r="BI1493">
        <v>1.01</v>
      </c>
      <c r="BJ1493">
        <v>20210915</v>
      </c>
      <c r="BK1493">
        <v>20100827</v>
      </c>
      <c r="BL1493">
        <v>5.91</v>
      </c>
      <c r="BM1493" t="s">
        <v>120</v>
      </c>
      <c r="BN1493" t="s">
        <v>120</v>
      </c>
      <c r="BO1493">
        <v>30.06</v>
      </c>
      <c r="BP1493">
        <v>16.920000000000002</v>
      </c>
      <c r="BQ1493">
        <v>20.09</v>
      </c>
      <c r="BR1493">
        <v>0.68</v>
      </c>
      <c r="BS1493">
        <v>30.92</v>
      </c>
      <c r="BT1493">
        <v>19.96</v>
      </c>
      <c r="BU1493">
        <v>4.76</v>
      </c>
      <c r="BV1493">
        <v>1.88</v>
      </c>
      <c r="BW1493">
        <v>8.99</v>
      </c>
      <c r="BX1493">
        <v>4.3</v>
      </c>
      <c r="BY1493">
        <v>6.15</v>
      </c>
      <c r="BZ1493">
        <v>7.96</v>
      </c>
      <c r="CA1493">
        <v>0</v>
      </c>
      <c r="CB1493">
        <v>0.96</v>
      </c>
      <c r="CC1493">
        <v>10.35</v>
      </c>
      <c r="CD1493">
        <v>6.42</v>
      </c>
      <c r="CE1493">
        <v>2.1800000000000002</v>
      </c>
      <c r="CF1493">
        <v>0.14000000000000001</v>
      </c>
      <c r="CG1493">
        <v>2.1800000000000002</v>
      </c>
      <c r="CH1493">
        <v>1.92</v>
      </c>
      <c r="CI1493">
        <v>1.88</v>
      </c>
      <c r="CJ1493">
        <v>-0.48</v>
      </c>
      <c r="CK1493">
        <v>1.8</v>
      </c>
      <c r="CL1493">
        <v>10.78</v>
      </c>
      <c r="CM1493">
        <v>-0.93</v>
      </c>
      <c r="CN1493">
        <v>-2.81</v>
      </c>
      <c r="CO1493">
        <v>21176</v>
      </c>
      <c r="CP1493">
        <v>13062</v>
      </c>
      <c r="CQ1493" t="s">
        <v>6212</v>
      </c>
      <c r="CR1493">
        <v>31.23</v>
      </c>
      <c r="CS1493">
        <v>25.93</v>
      </c>
      <c r="CT1493">
        <v>4.9800000000000004</v>
      </c>
      <c r="CU1493">
        <v>-106.94</v>
      </c>
      <c r="CV1493">
        <v>9.66</v>
      </c>
      <c r="CW1493">
        <v>0.28999999999999998</v>
      </c>
      <c r="CX1493" t="s">
        <v>966</v>
      </c>
      <c r="CY1493">
        <v>3.4</v>
      </c>
      <c r="CZ1493">
        <v>0</v>
      </c>
      <c r="DA1493">
        <v>0.16</v>
      </c>
      <c r="DB1493">
        <v>1.83</v>
      </c>
      <c r="DC1493">
        <v>-0.16</v>
      </c>
      <c r="DD1493">
        <v>66.819999999999993</v>
      </c>
      <c r="DE1493" t="s">
        <v>2766</v>
      </c>
      <c r="DF1493">
        <v>37.94</v>
      </c>
      <c r="DG1493">
        <v>21.02</v>
      </c>
      <c r="DH1493">
        <v>18.149999999999999</v>
      </c>
      <c r="DI1493">
        <v>0.49</v>
      </c>
      <c r="DJ1493">
        <v>3559</v>
      </c>
      <c r="DK1493">
        <v>300114</v>
      </c>
      <c r="DL1493">
        <v>20210820</v>
      </c>
      <c r="DM1493">
        <v>20.8</v>
      </c>
      <c r="DN1493">
        <v>-18.649999999999999</v>
      </c>
    </row>
    <row r="1494" spans="1:118">
      <c r="A1494" t="str">
        <f>"300115"</f>
        <v>300115</v>
      </c>
      <c r="B1494" t="s">
        <v>7831</v>
      </c>
      <c r="C1494">
        <v>-2.4900000000000002</v>
      </c>
      <c r="D1494">
        <v>-0.11</v>
      </c>
      <c r="E1494">
        <v>0.06</v>
      </c>
      <c r="F1494">
        <v>3471</v>
      </c>
      <c r="G1494" t="s">
        <v>5415</v>
      </c>
      <c r="H1494">
        <v>26817.96</v>
      </c>
      <c r="I1494">
        <v>41.78</v>
      </c>
      <c r="J1494" t="s">
        <v>120</v>
      </c>
      <c r="K1494" t="s">
        <v>7832</v>
      </c>
      <c r="L1494">
        <v>1.38</v>
      </c>
      <c r="M1494">
        <v>16.03</v>
      </c>
      <c r="N1494">
        <v>0.71</v>
      </c>
      <c r="O1494">
        <v>0.43</v>
      </c>
      <c r="P1494">
        <v>16.510000000000002</v>
      </c>
      <c r="Q1494">
        <v>-2.4900000000000002</v>
      </c>
      <c r="R1494">
        <v>16.03</v>
      </c>
      <c r="S1494">
        <v>16.45</v>
      </c>
      <c r="T1494">
        <v>164800</v>
      </c>
      <c r="U1494">
        <v>16.03</v>
      </c>
      <c r="V1494">
        <v>16.440000000000001</v>
      </c>
      <c r="W1494">
        <v>40.799999999999997</v>
      </c>
      <c r="X1494" t="s">
        <v>229</v>
      </c>
      <c r="Y1494" t="s">
        <v>123</v>
      </c>
      <c r="Z1494">
        <v>2.92</v>
      </c>
      <c r="AA1494">
        <v>16.27</v>
      </c>
      <c r="AB1494">
        <v>92556</v>
      </c>
      <c r="AC1494">
        <v>72244</v>
      </c>
      <c r="AD1494">
        <v>1.28</v>
      </c>
      <c r="AE1494">
        <v>966</v>
      </c>
      <c r="AF1494">
        <v>644</v>
      </c>
      <c r="AG1494" t="s">
        <v>120</v>
      </c>
      <c r="AH1494">
        <v>0</v>
      </c>
      <c r="AI1494" t="s">
        <v>120</v>
      </c>
      <c r="AJ1494">
        <v>11.96</v>
      </c>
      <c r="AK1494" t="s">
        <v>7833</v>
      </c>
      <c r="AL1494">
        <v>-0.57999999999999996</v>
      </c>
      <c r="AM1494">
        <v>3771</v>
      </c>
      <c r="AN1494">
        <v>44</v>
      </c>
      <c r="AO1494">
        <v>4.0000000000000002E-4</v>
      </c>
      <c r="AP1494">
        <v>-2</v>
      </c>
      <c r="AQ1494">
        <v>-2.84</v>
      </c>
      <c r="AR1494">
        <v>-4.24</v>
      </c>
      <c r="AS1494">
        <v>-8.19</v>
      </c>
      <c r="AT1494">
        <v>-25.06</v>
      </c>
      <c r="AU1494">
        <v>-21.64</v>
      </c>
      <c r="AV1494">
        <v>0</v>
      </c>
      <c r="AW1494">
        <v>2.19</v>
      </c>
      <c r="AX1494">
        <v>62.63</v>
      </c>
      <c r="AY1494">
        <v>32.53</v>
      </c>
      <c r="AZ1494">
        <v>32.9</v>
      </c>
      <c r="BA1494">
        <v>0.56999999999999995</v>
      </c>
      <c r="BB1494" t="s">
        <v>125</v>
      </c>
      <c r="BF1494">
        <v>-1.02</v>
      </c>
      <c r="BG1494">
        <v>-2.5499999999999998</v>
      </c>
      <c r="BH1494">
        <v>-2.91</v>
      </c>
      <c r="BI1494">
        <v>0</v>
      </c>
      <c r="BJ1494">
        <v>20210830</v>
      </c>
      <c r="BK1494">
        <v>20100902</v>
      </c>
      <c r="BL1494">
        <v>12.01</v>
      </c>
      <c r="BM1494" t="s">
        <v>120</v>
      </c>
      <c r="BN1494" t="s">
        <v>120</v>
      </c>
      <c r="BO1494">
        <v>160.49</v>
      </c>
      <c r="BP1494">
        <v>16.02</v>
      </c>
      <c r="BQ1494">
        <v>68.39</v>
      </c>
      <c r="BR1494">
        <v>2.35</v>
      </c>
      <c r="BS1494">
        <v>55.92</v>
      </c>
      <c r="BT1494">
        <v>87.8</v>
      </c>
      <c r="BU1494">
        <v>36.700000000000003</v>
      </c>
      <c r="BV1494">
        <v>1.95</v>
      </c>
      <c r="BW1494">
        <v>69.2</v>
      </c>
      <c r="BX1494">
        <v>13.94</v>
      </c>
      <c r="BY1494">
        <v>40.65</v>
      </c>
      <c r="BZ1494">
        <v>18.420000000000002</v>
      </c>
      <c r="CA1494" t="s">
        <v>120</v>
      </c>
      <c r="CB1494">
        <v>28.95</v>
      </c>
      <c r="CC1494">
        <v>45.22</v>
      </c>
      <c r="CD1494">
        <v>32.08</v>
      </c>
      <c r="CE1494">
        <v>2.41</v>
      </c>
      <c r="CF1494">
        <v>0.49</v>
      </c>
      <c r="CG1494">
        <v>2.4</v>
      </c>
      <c r="CH1494">
        <v>2.09</v>
      </c>
      <c r="CI1494">
        <v>2.36</v>
      </c>
      <c r="CJ1494">
        <v>-0.41</v>
      </c>
      <c r="CK1494">
        <v>1.19</v>
      </c>
      <c r="CL1494">
        <v>24.97</v>
      </c>
      <c r="CM1494">
        <v>2.78</v>
      </c>
      <c r="CN1494">
        <v>-5.46</v>
      </c>
      <c r="CO1494">
        <v>54174</v>
      </c>
      <c r="CP1494">
        <v>13884</v>
      </c>
      <c r="CQ1494" t="s">
        <v>6924</v>
      </c>
      <c r="CR1494">
        <v>3.01</v>
      </c>
      <c r="CS1494">
        <v>12.87</v>
      </c>
      <c r="CT1494">
        <v>2.81</v>
      </c>
      <c r="CU1494">
        <v>69.239999999999995</v>
      </c>
      <c r="CV1494">
        <v>4.26</v>
      </c>
      <c r="CW1494">
        <v>0.51</v>
      </c>
      <c r="CX1494" t="s">
        <v>492</v>
      </c>
      <c r="CY1494">
        <v>5.69</v>
      </c>
      <c r="CZ1494">
        <v>0</v>
      </c>
      <c r="DA1494">
        <v>2.41</v>
      </c>
      <c r="DB1494">
        <v>2.08</v>
      </c>
      <c r="DC1494">
        <v>0.23</v>
      </c>
      <c r="DD1494">
        <v>42.61</v>
      </c>
      <c r="DE1494" t="s">
        <v>285</v>
      </c>
      <c r="DF1494">
        <v>29.07</v>
      </c>
      <c r="DG1494">
        <v>5.32</v>
      </c>
      <c r="DH1494">
        <v>5.22</v>
      </c>
      <c r="DI1494">
        <v>5.53</v>
      </c>
      <c r="DJ1494">
        <v>24298</v>
      </c>
      <c r="DK1494">
        <v>300115</v>
      </c>
      <c r="DL1494" t="s">
        <v>120</v>
      </c>
      <c r="DM1494" t="s">
        <v>120</v>
      </c>
      <c r="DN1494" t="s">
        <v>120</v>
      </c>
    </row>
    <row r="1495" spans="1:118">
      <c r="A1495" t="str">
        <f>"300116"</f>
        <v>300116</v>
      </c>
      <c r="B1495" t="s">
        <v>7834</v>
      </c>
      <c r="C1495">
        <v>-5.44</v>
      </c>
      <c r="D1495">
        <v>0</v>
      </c>
      <c r="E1495">
        <v>0</v>
      </c>
      <c r="F1495">
        <v>17957</v>
      </c>
      <c r="G1495" t="s">
        <v>7835</v>
      </c>
      <c r="H1495">
        <v>68424.740000000005</v>
      </c>
      <c r="I1495">
        <v>466.34</v>
      </c>
      <c r="J1495" t="s">
        <v>120</v>
      </c>
      <c r="K1495" t="s">
        <v>7836</v>
      </c>
      <c r="L1495">
        <v>5.99</v>
      </c>
      <c r="M1495">
        <v>2.78</v>
      </c>
      <c r="N1495">
        <v>1.1299999999999999</v>
      </c>
      <c r="O1495">
        <v>0.34</v>
      </c>
      <c r="P1495">
        <v>2.95</v>
      </c>
      <c r="Q1495">
        <v>-5.78</v>
      </c>
      <c r="R1495">
        <v>2.77</v>
      </c>
      <c r="S1495">
        <v>2.94</v>
      </c>
      <c r="T1495">
        <v>2397397</v>
      </c>
      <c r="U1495">
        <v>2.78</v>
      </c>
      <c r="V1495">
        <v>2.94</v>
      </c>
      <c r="W1495" t="s">
        <v>120</v>
      </c>
      <c r="X1495" t="s">
        <v>394</v>
      </c>
      <c r="Y1495" t="s">
        <v>890</v>
      </c>
      <c r="Z1495">
        <v>6.12</v>
      </c>
      <c r="AA1495">
        <v>2.85</v>
      </c>
      <c r="AB1495">
        <v>1320787</v>
      </c>
      <c r="AC1495">
        <v>1076610</v>
      </c>
      <c r="AD1495">
        <v>1.23</v>
      </c>
      <c r="AE1495">
        <v>21607</v>
      </c>
      <c r="AF1495">
        <v>5296</v>
      </c>
      <c r="AG1495" t="s">
        <v>120</v>
      </c>
      <c r="AH1495">
        <v>0.06</v>
      </c>
      <c r="AI1495" t="s">
        <v>120</v>
      </c>
      <c r="AJ1495">
        <v>40</v>
      </c>
      <c r="AK1495" t="s">
        <v>7837</v>
      </c>
      <c r="AL1495">
        <v>-3.53</v>
      </c>
      <c r="AM1495">
        <v>4456</v>
      </c>
      <c r="AN1495">
        <v>538</v>
      </c>
      <c r="AO1495">
        <v>1.2999999999999999E-3</v>
      </c>
      <c r="AP1495">
        <v>-1</v>
      </c>
      <c r="AQ1495">
        <v>2.44</v>
      </c>
      <c r="AR1495">
        <v>-0.35</v>
      </c>
      <c r="AS1495">
        <v>2.96</v>
      </c>
      <c r="AT1495">
        <v>29.9</v>
      </c>
      <c r="AU1495">
        <v>38.31</v>
      </c>
      <c r="AV1495">
        <v>2</v>
      </c>
      <c r="AW1495">
        <v>8.36</v>
      </c>
      <c r="AX1495">
        <v>67</v>
      </c>
      <c r="AY1495" t="s">
        <v>120</v>
      </c>
      <c r="AZ1495" t="s">
        <v>120</v>
      </c>
      <c r="BA1495">
        <v>1.1499999999999999</v>
      </c>
      <c r="BB1495" t="s">
        <v>168</v>
      </c>
      <c r="BF1495">
        <v>-2.92</v>
      </c>
      <c r="BG1495">
        <v>-5.44</v>
      </c>
      <c r="BH1495">
        <v>-5.76</v>
      </c>
      <c r="BI1495">
        <v>0.36</v>
      </c>
      <c r="BJ1495">
        <v>20210830</v>
      </c>
      <c r="BK1495">
        <v>20100902</v>
      </c>
      <c r="BL1495">
        <v>42.81</v>
      </c>
      <c r="BM1495" t="s">
        <v>120</v>
      </c>
      <c r="BN1495" t="s">
        <v>120</v>
      </c>
      <c r="BO1495">
        <v>7.79</v>
      </c>
      <c r="BP1495">
        <v>2.77</v>
      </c>
      <c r="BQ1495">
        <v>3.38</v>
      </c>
      <c r="BR1495">
        <v>0.11</v>
      </c>
      <c r="BS1495">
        <v>55.18</v>
      </c>
      <c r="BT1495">
        <v>4.5599999999999996</v>
      </c>
      <c r="BU1495">
        <v>0.43</v>
      </c>
      <c r="BV1495">
        <v>0</v>
      </c>
      <c r="BW1495">
        <v>3.32</v>
      </c>
      <c r="BX1495">
        <v>0.24</v>
      </c>
      <c r="BY1495">
        <v>1.5</v>
      </c>
      <c r="BZ1495">
        <v>1.44</v>
      </c>
      <c r="CA1495" t="s">
        <v>120</v>
      </c>
      <c r="CB1495">
        <v>31.39</v>
      </c>
      <c r="CC1495">
        <v>0.85</v>
      </c>
      <c r="CD1495">
        <v>0.96</v>
      </c>
      <c r="CE1495">
        <v>-0.56999999999999995</v>
      </c>
      <c r="CF1495">
        <v>-0.01</v>
      </c>
      <c r="CG1495">
        <v>-0.56999999999999995</v>
      </c>
      <c r="CH1495">
        <v>-0.56999999999999995</v>
      </c>
      <c r="CI1495">
        <v>-0.55000000000000004</v>
      </c>
      <c r="CJ1495">
        <v>-0.16</v>
      </c>
      <c r="CK1495">
        <v>-0.55000000000000004</v>
      </c>
      <c r="CL1495">
        <v>-70.7</v>
      </c>
      <c r="CM1495">
        <v>-0.34</v>
      </c>
      <c r="CN1495">
        <v>-1.21</v>
      </c>
      <c r="CO1495">
        <v>142000</v>
      </c>
      <c r="CP1495">
        <v>20200</v>
      </c>
      <c r="CQ1495" t="s">
        <v>5313</v>
      </c>
      <c r="CR1495">
        <v>-12.45</v>
      </c>
      <c r="CS1495">
        <v>411.14</v>
      </c>
      <c r="CT1495">
        <v>35.24</v>
      </c>
      <c r="CU1495">
        <v>-351.14</v>
      </c>
      <c r="CV1495">
        <v>139.44</v>
      </c>
      <c r="CW1495">
        <v>0</v>
      </c>
      <c r="CX1495" t="s">
        <v>6145</v>
      </c>
      <c r="CY1495">
        <v>0.08</v>
      </c>
      <c r="CZ1495">
        <v>0</v>
      </c>
      <c r="DA1495">
        <v>0.73</v>
      </c>
      <c r="DB1495">
        <v>-1.65</v>
      </c>
      <c r="DC1495">
        <v>-0.01</v>
      </c>
      <c r="DD1495">
        <v>43.35</v>
      </c>
      <c r="DE1495" t="s">
        <v>6414</v>
      </c>
      <c r="DF1495">
        <v>-12.17</v>
      </c>
      <c r="DG1495">
        <v>-66.930000000000007</v>
      </c>
      <c r="DH1495">
        <v>-64.5</v>
      </c>
      <c r="DI1495">
        <v>0.06</v>
      </c>
      <c r="DJ1495">
        <v>809</v>
      </c>
      <c r="DK1495">
        <v>300116</v>
      </c>
      <c r="DL1495" t="s">
        <v>120</v>
      </c>
      <c r="DM1495" t="s">
        <v>120</v>
      </c>
      <c r="DN1495" t="s">
        <v>120</v>
      </c>
    </row>
    <row r="1496" spans="1:118">
      <c r="A1496" t="str">
        <f>"300117"</f>
        <v>300117</v>
      </c>
      <c r="B1496" t="s">
        <v>7838</v>
      </c>
      <c r="C1496">
        <v>-5.79</v>
      </c>
      <c r="D1496">
        <v>-0.19</v>
      </c>
      <c r="E1496">
        <v>-1.35</v>
      </c>
      <c r="F1496">
        <v>7584</v>
      </c>
      <c r="G1496" t="s">
        <v>7839</v>
      </c>
      <c r="H1496">
        <v>27387.74</v>
      </c>
      <c r="I1496">
        <v>1538.16</v>
      </c>
      <c r="J1496" t="s">
        <v>120</v>
      </c>
      <c r="K1496" t="s">
        <v>734</v>
      </c>
      <c r="L1496">
        <v>7.58</v>
      </c>
      <c r="M1496">
        <v>4.88</v>
      </c>
      <c r="N1496">
        <v>1.34</v>
      </c>
      <c r="O1496">
        <v>0.57999999999999996</v>
      </c>
      <c r="P1496">
        <v>5.21</v>
      </c>
      <c r="Q1496">
        <v>-5.98</v>
      </c>
      <c r="R1496">
        <v>4.87</v>
      </c>
      <c r="S1496">
        <v>5.1100000000000003</v>
      </c>
      <c r="T1496">
        <v>543388</v>
      </c>
      <c r="U1496">
        <v>4.88</v>
      </c>
      <c r="V1496">
        <v>5.18</v>
      </c>
      <c r="W1496" t="s">
        <v>120</v>
      </c>
      <c r="X1496" t="s">
        <v>3122</v>
      </c>
      <c r="Y1496" t="s">
        <v>158</v>
      </c>
      <c r="Z1496">
        <v>6.56</v>
      </c>
      <c r="AA1496">
        <v>5.04</v>
      </c>
      <c r="AB1496">
        <v>325853</v>
      </c>
      <c r="AC1496">
        <v>217535</v>
      </c>
      <c r="AD1496">
        <v>1.5</v>
      </c>
      <c r="AE1496">
        <v>1116</v>
      </c>
      <c r="AF1496">
        <v>313</v>
      </c>
      <c r="AG1496" t="s">
        <v>120</v>
      </c>
      <c r="AH1496">
        <v>0.72</v>
      </c>
      <c r="AI1496" t="s">
        <v>120</v>
      </c>
      <c r="AJ1496">
        <v>7.17</v>
      </c>
      <c r="AK1496" t="s">
        <v>734</v>
      </c>
      <c r="AL1496">
        <v>-3.88</v>
      </c>
      <c r="AM1496">
        <v>3398</v>
      </c>
      <c r="AN1496">
        <v>160</v>
      </c>
      <c r="AO1496">
        <v>2.2000000000000001E-3</v>
      </c>
      <c r="AP1496">
        <v>-1</v>
      </c>
      <c r="AQ1496">
        <v>3.81</v>
      </c>
      <c r="AR1496">
        <v>1.89</v>
      </c>
      <c r="AS1496">
        <v>-2.73</v>
      </c>
      <c r="AT1496">
        <v>10.23</v>
      </c>
      <c r="AU1496">
        <v>23.02</v>
      </c>
      <c r="AV1496">
        <v>5</v>
      </c>
      <c r="AW1496">
        <v>12.99</v>
      </c>
      <c r="AX1496">
        <v>58.34</v>
      </c>
      <c r="AY1496">
        <v>51.79</v>
      </c>
      <c r="AZ1496">
        <v>45.94</v>
      </c>
      <c r="BA1496">
        <v>0.59</v>
      </c>
      <c r="BB1496" t="s">
        <v>751</v>
      </c>
      <c r="BF1496">
        <v>-2.7</v>
      </c>
      <c r="BG1496">
        <v>-4.5</v>
      </c>
      <c r="BH1496">
        <v>-6.33</v>
      </c>
      <c r="BI1496">
        <v>0.21</v>
      </c>
      <c r="BJ1496">
        <v>20210823</v>
      </c>
      <c r="BK1496">
        <v>20100902</v>
      </c>
      <c r="BL1496">
        <v>7.17</v>
      </c>
      <c r="BM1496" t="s">
        <v>120</v>
      </c>
      <c r="BN1496" t="s">
        <v>120</v>
      </c>
      <c r="BO1496">
        <v>58.5</v>
      </c>
      <c r="BP1496">
        <v>4.87</v>
      </c>
      <c r="BQ1496">
        <v>13.99</v>
      </c>
      <c r="BR1496" t="s">
        <v>120</v>
      </c>
      <c r="BS1496">
        <v>76.09</v>
      </c>
      <c r="BT1496">
        <v>51.33</v>
      </c>
      <c r="BU1496">
        <v>3.54</v>
      </c>
      <c r="BV1496">
        <v>1.18</v>
      </c>
      <c r="BW1496">
        <v>44.02</v>
      </c>
      <c r="BX1496">
        <v>3.48</v>
      </c>
      <c r="BY1496">
        <v>9.86</v>
      </c>
      <c r="BZ1496">
        <v>9.27</v>
      </c>
      <c r="CA1496">
        <v>0.04</v>
      </c>
      <c r="CB1496">
        <v>1.48</v>
      </c>
      <c r="CC1496">
        <v>6.33</v>
      </c>
      <c r="CD1496">
        <v>5.69</v>
      </c>
      <c r="CE1496">
        <v>-0.63</v>
      </c>
      <c r="CF1496">
        <v>0</v>
      </c>
      <c r="CG1496">
        <v>-0.66</v>
      </c>
      <c r="CH1496">
        <v>-0.55000000000000004</v>
      </c>
      <c r="CI1496">
        <v>-0.55000000000000004</v>
      </c>
      <c r="CJ1496">
        <v>-0.3</v>
      </c>
      <c r="CK1496">
        <v>-0.59</v>
      </c>
      <c r="CL1496">
        <v>4.74</v>
      </c>
      <c r="CM1496">
        <v>0.17</v>
      </c>
      <c r="CN1496">
        <v>0.56999999999999995</v>
      </c>
      <c r="CO1496">
        <v>41573</v>
      </c>
      <c r="CP1496">
        <v>10059</v>
      </c>
      <c r="CQ1496" t="s">
        <v>3333</v>
      </c>
      <c r="CR1496">
        <v>-19.82</v>
      </c>
      <c r="CS1496">
        <v>-11.61</v>
      </c>
      <c r="CT1496">
        <v>2.5</v>
      </c>
      <c r="CU1496">
        <v>206.65</v>
      </c>
      <c r="CV1496">
        <v>5.52</v>
      </c>
      <c r="CW1496">
        <v>0.25</v>
      </c>
      <c r="CX1496" t="s">
        <v>1320</v>
      </c>
      <c r="CY1496">
        <v>1.95</v>
      </c>
      <c r="CZ1496">
        <v>0</v>
      </c>
      <c r="DA1496">
        <v>0.21</v>
      </c>
      <c r="DB1496">
        <v>0.66</v>
      </c>
      <c r="DC1496">
        <v>0.02</v>
      </c>
      <c r="DD1496">
        <v>23.91</v>
      </c>
      <c r="DE1496" t="s">
        <v>7840</v>
      </c>
      <c r="DF1496">
        <v>10.11</v>
      </c>
      <c r="DG1496">
        <v>-9.99</v>
      </c>
      <c r="DH1496">
        <v>-8.7200000000000006</v>
      </c>
      <c r="DI1496">
        <v>0.17</v>
      </c>
      <c r="DJ1496">
        <v>906</v>
      </c>
      <c r="DK1496">
        <v>300117</v>
      </c>
      <c r="DL1496" t="s">
        <v>120</v>
      </c>
      <c r="DM1496" t="s">
        <v>120</v>
      </c>
      <c r="DN1496" t="s">
        <v>120</v>
      </c>
    </row>
    <row r="1497" spans="1:118">
      <c r="A1497" t="str">
        <f>"300118"</f>
        <v>300118</v>
      </c>
      <c r="B1497" t="s">
        <v>7841</v>
      </c>
      <c r="C1497">
        <v>-6.83</v>
      </c>
      <c r="D1497">
        <v>0</v>
      </c>
      <c r="E1497">
        <v>-0.66</v>
      </c>
      <c r="F1497">
        <v>3763</v>
      </c>
      <c r="G1497" t="s">
        <v>7842</v>
      </c>
      <c r="H1497">
        <v>102849.72</v>
      </c>
      <c r="I1497">
        <v>633.28</v>
      </c>
      <c r="J1497" t="s">
        <v>120</v>
      </c>
      <c r="K1497" t="s">
        <v>7843</v>
      </c>
      <c r="L1497">
        <v>5.23</v>
      </c>
      <c r="M1497">
        <v>21.28</v>
      </c>
      <c r="N1497">
        <v>0.96</v>
      </c>
      <c r="O1497">
        <v>-0.66</v>
      </c>
      <c r="P1497">
        <v>22.69</v>
      </c>
      <c r="Q1497">
        <v>-7.4</v>
      </c>
      <c r="R1497">
        <v>21.15</v>
      </c>
      <c r="S1497">
        <v>22.69</v>
      </c>
      <c r="T1497">
        <v>470385</v>
      </c>
      <c r="U1497">
        <v>21.29</v>
      </c>
      <c r="V1497">
        <v>22.84</v>
      </c>
      <c r="W1497" t="s">
        <v>120</v>
      </c>
      <c r="X1497" t="s">
        <v>394</v>
      </c>
      <c r="Y1497" t="s">
        <v>585</v>
      </c>
      <c r="Z1497">
        <v>6.74</v>
      </c>
      <c r="AA1497">
        <v>21.87</v>
      </c>
      <c r="AB1497">
        <v>278644</v>
      </c>
      <c r="AC1497">
        <v>191741</v>
      </c>
      <c r="AD1497">
        <v>1.45</v>
      </c>
      <c r="AE1497">
        <v>1022</v>
      </c>
      <c r="AF1497">
        <v>334</v>
      </c>
      <c r="AG1497" t="s">
        <v>120</v>
      </c>
      <c r="AH1497">
        <v>0.04</v>
      </c>
      <c r="AI1497" t="s">
        <v>120</v>
      </c>
      <c r="AJ1497">
        <v>8.99</v>
      </c>
      <c r="AK1497" t="s">
        <v>7844</v>
      </c>
      <c r="AL1497">
        <v>-4.92</v>
      </c>
      <c r="AM1497">
        <v>4408</v>
      </c>
      <c r="AN1497">
        <v>107</v>
      </c>
      <c r="AO1497">
        <v>1.1999999999999999E-3</v>
      </c>
      <c r="AP1497">
        <v>-1</v>
      </c>
      <c r="AQ1497">
        <v>5.16</v>
      </c>
      <c r="AR1497">
        <v>0.38</v>
      </c>
      <c r="AS1497">
        <v>6.99</v>
      </c>
      <c r="AT1497">
        <v>20.29</v>
      </c>
      <c r="AU1497">
        <v>-25.67</v>
      </c>
      <c r="AV1497">
        <v>1</v>
      </c>
      <c r="AW1497">
        <v>7.39</v>
      </c>
      <c r="AX1497">
        <v>70.59</v>
      </c>
      <c r="AY1497" t="s">
        <v>120</v>
      </c>
      <c r="AZ1497">
        <v>124.51</v>
      </c>
      <c r="BA1497">
        <v>1.04</v>
      </c>
      <c r="BB1497" t="s">
        <v>143</v>
      </c>
      <c r="BF1497">
        <v>-4.2699999999999996</v>
      </c>
      <c r="BG1497">
        <v>-6.21</v>
      </c>
      <c r="BH1497">
        <v>-6.21</v>
      </c>
      <c r="BI1497">
        <v>0.61</v>
      </c>
      <c r="BJ1497">
        <v>20210827</v>
      </c>
      <c r="BK1497">
        <v>20100902</v>
      </c>
      <c r="BL1497">
        <v>9.01</v>
      </c>
      <c r="BM1497" t="s">
        <v>120</v>
      </c>
      <c r="BN1497" t="s">
        <v>120</v>
      </c>
      <c r="BO1497">
        <v>309.99</v>
      </c>
      <c r="BP1497">
        <v>21.28</v>
      </c>
      <c r="BQ1497">
        <v>82.01</v>
      </c>
      <c r="BR1497">
        <v>15.27</v>
      </c>
      <c r="BS1497">
        <v>68.62</v>
      </c>
      <c r="BT1497">
        <v>160.49</v>
      </c>
      <c r="BU1497">
        <v>100.73</v>
      </c>
      <c r="BV1497">
        <v>7.16</v>
      </c>
      <c r="BW1497">
        <v>173.3</v>
      </c>
      <c r="BX1497">
        <v>56.3</v>
      </c>
      <c r="BY1497">
        <v>24.03</v>
      </c>
      <c r="BZ1497">
        <v>34.82</v>
      </c>
      <c r="CA1497">
        <v>0.51</v>
      </c>
      <c r="CB1497">
        <v>52.16</v>
      </c>
      <c r="CC1497">
        <v>83.38</v>
      </c>
      <c r="CD1497">
        <v>76.02</v>
      </c>
      <c r="CE1497">
        <v>-0.54</v>
      </c>
      <c r="CF1497">
        <v>0.39</v>
      </c>
      <c r="CG1497">
        <v>-0.68</v>
      </c>
      <c r="CH1497">
        <v>-0.59</v>
      </c>
      <c r="CI1497">
        <v>-0.91</v>
      </c>
      <c r="CJ1497">
        <v>-1.56</v>
      </c>
      <c r="CK1497">
        <v>-1.98</v>
      </c>
      <c r="CL1497">
        <v>21.11</v>
      </c>
      <c r="CM1497">
        <v>1.97</v>
      </c>
      <c r="CN1497">
        <v>-7</v>
      </c>
      <c r="CO1497">
        <v>78401</v>
      </c>
      <c r="CP1497">
        <v>8116</v>
      </c>
      <c r="CQ1497" t="s">
        <v>7845</v>
      </c>
      <c r="CR1497">
        <v>-126.41</v>
      </c>
      <c r="CS1497">
        <v>9.07</v>
      </c>
      <c r="CT1497">
        <v>2.34</v>
      </c>
      <c r="CU1497">
        <v>97.34</v>
      </c>
      <c r="CV1497">
        <v>2.2999999999999998</v>
      </c>
      <c r="CW1497">
        <v>0.84</v>
      </c>
      <c r="CX1497" t="s">
        <v>4684</v>
      </c>
      <c r="CY1497">
        <v>9.1</v>
      </c>
      <c r="CZ1497">
        <v>0</v>
      </c>
      <c r="DA1497">
        <v>5.79</v>
      </c>
      <c r="DB1497">
        <v>2.34</v>
      </c>
      <c r="DC1497">
        <v>0.22</v>
      </c>
      <c r="DD1497">
        <v>26.46</v>
      </c>
      <c r="DE1497" t="s">
        <v>7846</v>
      </c>
      <c r="DF1497">
        <v>8.84</v>
      </c>
      <c r="DG1497">
        <v>-0.64</v>
      </c>
      <c r="DH1497">
        <v>-1.0900000000000001</v>
      </c>
      <c r="DI1497">
        <v>3.68</v>
      </c>
      <c r="DJ1497">
        <v>8554</v>
      </c>
      <c r="DK1497">
        <v>300118</v>
      </c>
      <c r="DL1497">
        <v>20210624</v>
      </c>
      <c r="DM1497">
        <v>17.7</v>
      </c>
      <c r="DN1497">
        <v>21.36</v>
      </c>
    </row>
    <row r="1498" spans="1:118">
      <c r="A1498" t="str">
        <f>"300119"</f>
        <v>300119</v>
      </c>
      <c r="B1498" t="s">
        <v>7847</v>
      </c>
      <c r="C1498">
        <v>4.6100000000000003</v>
      </c>
      <c r="D1498">
        <v>0.08</v>
      </c>
      <c r="E1498">
        <v>0.04</v>
      </c>
      <c r="F1498">
        <v>1278</v>
      </c>
      <c r="G1498" t="s">
        <v>7848</v>
      </c>
      <c r="H1498">
        <v>20907.87</v>
      </c>
      <c r="I1498">
        <v>53.82</v>
      </c>
      <c r="J1498" t="s">
        <v>120</v>
      </c>
      <c r="K1498" t="s">
        <v>7849</v>
      </c>
      <c r="L1498">
        <v>3.5</v>
      </c>
      <c r="M1498">
        <v>24.05</v>
      </c>
      <c r="N1498">
        <v>1.89</v>
      </c>
      <c r="O1498">
        <v>5.61</v>
      </c>
      <c r="P1498">
        <v>24.28</v>
      </c>
      <c r="Q1498">
        <v>-1.22</v>
      </c>
      <c r="R1498">
        <v>22.71</v>
      </c>
      <c r="S1498">
        <v>23</v>
      </c>
      <c r="T1498">
        <v>88414</v>
      </c>
      <c r="U1498">
        <v>24.05</v>
      </c>
      <c r="V1498">
        <v>22.99</v>
      </c>
      <c r="W1498">
        <v>23.88</v>
      </c>
      <c r="X1498" t="s">
        <v>447</v>
      </c>
      <c r="Y1498" t="s">
        <v>997</v>
      </c>
      <c r="Z1498">
        <v>6.83</v>
      </c>
      <c r="AA1498">
        <v>23.65</v>
      </c>
      <c r="AB1498">
        <v>40478</v>
      </c>
      <c r="AC1498">
        <v>47936</v>
      </c>
      <c r="AD1498">
        <v>0.84</v>
      </c>
      <c r="AE1498">
        <v>341</v>
      </c>
      <c r="AF1498">
        <v>452</v>
      </c>
      <c r="AG1498" t="s">
        <v>120</v>
      </c>
      <c r="AH1498">
        <v>0.01</v>
      </c>
      <c r="AI1498" t="s">
        <v>120</v>
      </c>
      <c r="AJ1498">
        <v>2.52</v>
      </c>
      <c r="AK1498" t="s">
        <v>7850</v>
      </c>
      <c r="AL1498">
        <v>6.52</v>
      </c>
      <c r="AM1498">
        <v>3142</v>
      </c>
      <c r="AN1498">
        <v>28</v>
      </c>
      <c r="AO1498">
        <v>1.1000000000000001E-3</v>
      </c>
      <c r="AP1498">
        <v>1</v>
      </c>
      <c r="AQ1498">
        <v>-2.46</v>
      </c>
      <c r="AR1498">
        <v>5.53</v>
      </c>
      <c r="AS1498">
        <v>3.08</v>
      </c>
      <c r="AT1498">
        <v>-28.63</v>
      </c>
      <c r="AU1498">
        <v>30.14</v>
      </c>
      <c r="AV1498">
        <v>0</v>
      </c>
      <c r="AW1498">
        <v>4.91</v>
      </c>
      <c r="AX1498">
        <v>44.51</v>
      </c>
      <c r="AY1498">
        <v>20.45</v>
      </c>
      <c r="AZ1498">
        <v>23.35</v>
      </c>
      <c r="BA1498">
        <v>1.1000000000000001</v>
      </c>
      <c r="BB1498" t="s">
        <v>125</v>
      </c>
      <c r="BF1498">
        <v>2.86</v>
      </c>
      <c r="BG1498">
        <v>4.57</v>
      </c>
      <c r="BH1498">
        <v>-0.95</v>
      </c>
      <c r="BI1498">
        <v>5.9</v>
      </c>
      <c r="BJ1498">
        <v>20210827</v>
      </c>
      <c r="BK1498">
        <v>20100917</v>
      </c>
      <c r="BL1498">
        <v>4.04</v>
      </c>
      <c r="BM1498" t="s">
        <v>120</v>
      </c>
      <c r="BN1498" t="s">
        <v>120</v>
      </c>
      <c r="BO1498">
        <v>40.869999999999997</v>
      </c>
      <c r="BP1498">
        <v>24.04</v>
      </c>
      <c r="BQ1498">
        <v>25.03</v>
      </c>
      <c r="BR1498">
        <v>2.91</v>
      </c>
      <c r="BS1498">
        <v>31.65</v>
      </c>
      <c r="BT1498">
        <v>17.38</v>
      </c>
      <c r="BU1498">
        <v>6.66</v>
      </c>
      <c r="BV1498">
        <v>2.5099999999999998</v>
      </c>
      <c r="BW1498">
        <v>10.4</v>
      </c>
      <c r="BX1498">
        <v>4.3600000000000003</v>
      </c>
      <c r="BY1498">
        <v>3.67</v>
      </c>
      <c r="BZ1498">
        <v>5.81</v>
      </c>
      <c r="CA1498">
        <v>0.01</v>
      </c>
      <c r="CB1498">
        <v>9.66</v>
      </c>
      <c r="CC1498">
        <v>10.41</v>
      </c>
      <c r="CD1498">
        <v>4.9000000000000004</v>
      </c>
      <c r="CE1498">
        <v>2.5499999999999998</v>
      </c>
      <c r="CF1498">
        <v>0.14000000000000001</v>
      </c>
      <c r="CG1498">
        <v>2.5299999999999998</v>
      </c>
      <c r="CH1498">
        <v>2.2400000000000002</v>
      </c>
      <c r="CI1498">
        <v>2.04</v>
      </c>
      <c r="CJ1498">
        <v>1.06</v>
      </c>
      <c r="CK1498">
        <v>1.8</v>
      </c>
      <c r="CL1498">
        <v>10.6</v>
      </c>
      <c r="CM1498">
        <v>1.29</v>
      </c>
      <c r="CN1498">
        <v>1.5</v>
      </c>
      <c r="CO1498">
        <v>20053</v>
      </c>
      <c r="CP1498">
        <v>8976</v>
      </c>
      <c r="CQ1498" t="s">
        <v>7851</v>
      </c>
      <c r="CR1498">
        <v>38.21</v>
      </c>
      <c r="CS1498">
        <v>12.59</v>
      </c>
      <c r="CT1498">
        <v>3.89</v>
      </c>
      <c r="CU1498">
        <v>75.33</v>
      </c>
      <c r="CV1498">
        <v>9.34</v>
      </c>
      <c r="CW1498">
        <v>1.72</v>
      </c>
      <c r="CX1498" t="s">
        <v>1001</v>
      </c>
      <c r="CY1498">
        <v>6.19</v>
      </c>
      <c r="CZ1498">
        <v>0</v>
      </c>
      <c r="DA1498">
        <v>2.39</v>
      </c>
      <c r="DB1498">
        <v>2.62</v>
      </c>
      <c r="DC1498">
        <v>0.32</v>
      </c>
      <c r="DD1498">
        <v>61.24</v>
      </c>
      <c r="DE1498" t="s">
        <v>7852</v>
      </c>
      <c r="DF1498">
        <v>52.93</v>
      </c>
      <c r="DG1498">
        <v>24.52</v>
      </c>
      <c r="DH1498">
        <v>19.559999999999999</v>
      </c>
      <c r="DI1498">
        <v>0.54</v>
      </c>
      <c r="DJ1498">
        <v>2260</v>
      </c>
      <c r="DK1498">
        <v>300119</v>
      </c>
      <c r="DL1498" t="s">
        <v>120</v>
      </c>
      <c r="DM1498" t="s">
        <v>120</v>
      </c>
      <c r="DN1498" t="s">
        <v>120</v>
      </c>
    </row>
    <row r="1499" spans="1:118">
      <c r="A1499" t="str">
        <f>"300120"</f>
        <v>300120</v>
      </c>
      <c r="B1499" t="s">
        <v>7853</v>
      </c>
      <c r="C1499">
        <v>-1.8</v>
      </c>
      <c r="D1499">
        <v>-0.1</v>
      </c>
      <c r="E1499">
        <v>-1.01</v>
      </c>
      <c r="F1499">
        <v>1027</v>
      </c>
      <c r="G1499" t="s">
        <v>7854</v>
      </c>
      <c r="H1499">
        <v>7326.43</v>
      </c>
      <c r="I1499">
        <v>22.05</v>
      </c>
      <c r="J1499" t="s">
        <v>120</v>
      </c>
      <c r="K1499" t="s">
        <v>2168</v>
      </c>
      <c r="L1499">
        <v>2.16</v>
      </c>
      <c r="M1499">
        <v>8.75</v>
      </c>
      <c r="N1499">
        <v>0.74</v>
      </c>
      <c r="O1499">
        <v>1.35</v>
      </c>
      <c r="P1499">
        <v>9.0299999999999994</v>
      </c>
      <c r="Q1499">
        <v>-2.02</v>
      </c>
      <c r="R1499">
        <v>8.73</v>
      </c>
      <c r="S1499">
        <v>8.82</v>
      </c>
      <c r="T1499">
        <v>82397</v>
      </c>
      <c r="U1499">
        <v>8.76</v>
      </c>
      <c r="V1499">
        <v>8.91</v>
      </c>
      <c r="W1499">
        <v>77.28</v>
      </c>
      <c r="X1499" t="s">
        <v>229</v>
      </c>
      <c r="Y1499" t="s">
        <v>997</v>
      </c>
      <c r="Z1499">
        <v>3.37</v>
      </c>
      <c r="AA1499">
        <v>8.89</v>
      </c>
      <c r="AB1499">
        <v>48811</v>
      </c>
      <c r="AC1499">
        <v>33586</v>
      </c>
      <c r="AD1499">
        <v>1.45</v>
      </c>
      <c r="AE1499">
        <v>280</v>
      </c>
      <c r="AF1499">
        <v>538</v>
      </c>
      <c r="AG1499" t="s">
        <v>120</v>
      </c>
      <c r="AH1499">
        <v>0.01</v>
      </c>
      <c r="AI1499" t="s">
        <v>120</v>
      </c>
      <c r="AJ1499">
        <v>3.82</v>
      </c>
      <c r="AK1499" t="s">
        <v>6407</v>
      </c>
      <c r="AL1499">
        <v>0.12</v>
      </c>
      <c r="AM1499">
        <v>1702</v>
      </c>
      <c r="AN1499">
        <v>48</v>
      </c>
      <c r="AO1499">
        <v>1.2999999999999999E-3</v>
      </c>
      <c r="AP1499">
        <v>-1</v>
      </c>
      <c r="AQ1499">
        <v>0.68</v>
      </c>
      <c r="AR1499">
        <v>-1.36</v>
      </c>
      <c r="AS1499">
        <v>-19.13</v>
      </c>
      <c r="AT1499">
        <v>-3.32</v>
      </c>
      <c r="AU1499">
        <v>-15.87</v>
      </c>
      <c r="AV1499">
        <v>2</v>
      </c>
      <c r="AW1499">
        <v>2.59</v>
      </c>
      <c r="AX1499">
        <v>68.58</v>
      </c>
      <c r="AY1499">
        <v>65</v>
      </c>
      <c r="AZ1499">
        <v>52</v>
      </c>
      <c r="BA1499">
        <v>0.53</v>
      </c>
      <c r="BB1499" t="s">
        <v>168</v>
      </c>
      <c r="BF1499">
        <v>-0.21</v>
      </c>
      <c r="BG1499">
        <v>-0.79</v>
      </c>
      <c r="BH1499">
        <v>-3.1</v>
      </c>
      <c r="BI1499">
        <v>0.23</v>
      </c>
      <c r="BJ1499">
        <v>20210830</v>
      </c>
      <c r="BK1499">
        <v>20100917</v>
      </c>
      <c r="BL1499">
        <v>4.6399999999999997</v>
      </c>
      <c r="BM1499" t="s">
        <v>120</v>
      </c>
      <c r="BN1499" t="s">
        <v>120</v>
      </c>
      <c r="BO1499">
        <v>41.51</v>
      </c>
      <c r="BP1499">
        <v>8.75</v>
      </c>
      <c r="BQ1499">
        <v>24.73</v>
      </c>
      <c r="BR1499">
        <v>0.81</v>
      </c>
      <c r="BS1499">
        <v>38.46</v>
      </c>
      <c r="BT1499">
        <v>20.13</v>
      </c>
      <c r="BU1499">
        <v>7.76</v>
      </c>
      <c r="BV1499">
        <v>2.29</v>
      </c>
      <c r="BW1499">
        <v>14.17</v>
      </c>
      <c r="BX1499">
        <v>2.79</v>
      </c>
      <c r="BY1499">
        <v>7.12</v>
      </c>
      <c r="BZ1499">
        <v>8.31</v>
      </c>
      <c r="CA1499" t="s">
        <v>120</v>
      </c>
      <c r="CB1499">
        <v>16.98</v>
      </c>
      <c r="CC1499">
        <v>15.47</v>
      </c>
      <c r="CD1499">
        <v>13.41</v>
      </c>
      <c r="CE1499">
        <v>0.31</v>
      </c>
      <c r="CF1499">
        <v>-0.03</v>
      </c>
      <c r="CG1499">
        <v>0.31</v>
      </c>
      <c r="CH1499">
        <v>0.3</v>
      </c>
      <c r="CI1499">
        <v>0.26</v>
      </c>
      <c r="CJ1499">
        <v>-0.16</v>
      </c>
      <c r="CK1499">
        <v>0.22</v>
      </c>
      <c r="CL1499">
        <v>2.94</v>
      </c>
      <c r="CM1499">
        <v>0.03</v>
      </c>
      <c r="CN1499">
        <v>-0.63</v>
      </c>
      <c r="CO1499">
        <v>29234</v>
      </c>
      <c r="CP1499">
        <v>10897</v>
      </c>
      <c r="CQ1499" t="s">
        <v>7855</v>
      </c>
      <c r="CR1499">
        <v>-37.700000000000003</v>
      </c>
      <c r="CS1499">
        <v>20.3</v>
      </c>
      <c r="CT1499">
        <v>1.64</v>
      </c>
      <c r="CU1499">
        <v>1547.26</v>
      </c>
      <c r="CV1499">
        <v>2.63</v>
      </c>
      <c r="CW1499">
        <v>0.9</v>
      </c>
      <c r="CX1499" t="s">
        <v>1301</v>
      </c>
      <c r="CY1499">
        <v>5.32</v>
      </c>
      <c r="CZ1499">
        <v>0</v>
      </c>
      <c r="DA1499">
        <v>3.66</v>
      </c>
      <c r="DB1499">
        <v>0.63</v>
      </c>
      <c r="DC1499">
        <v>0.01</v>
      </c>
      <c r="DD1499">
        <v>59.57</v>
      </c>
      <c r="DE1499" t="s">
        <v>4331</v>
      </c>
      <c r="DF1499">
        <v>13.28</v>
      </c>
      <c r="DG1499">
        <v>2.0299999999999998</v>
      </c>
      <c r="DH1499">
        <v>1.7</v>
      </c>
      <c r="DI1499">
        <v>0.43</v>
      </c>
      <c r="DJ1499">
        <v>2500</v>
      </c>
      <c r="DK1499">
        <v>300120</v>
      </c>
      <c r="DL1499" t="s">
        <v>120</v>
      </c>
      <c r="DM1499" t="s">
        <v>120</v>
      </c>
      <c r="DN1499" t="s">
        <v>120</v>
      </c>
    </row>
    <row r="1500" spans="1:118">
      <c r="A1500" t="str">
        <f>"300121"</f>
        <v>300121</v>
      </c>
      <c r="B1500" t="s">
        <v>7856</v>
      </c>
      <c r="C1500">
        <v>-0.98</v>
      </c>
      <c r="D1500">
        <v>-0.37</v>
      </c>
      <c r="E1500">
        <v>0.76</v>
      </c>
      <c r="F1500">
        <v>1980</v>
      </c>
      <c r="G1500" t="s">
        <v>7857</v>
      </c>
      <c r="H1500">
        <v>19702.13</v>
      </c>
      <c r="I1500">
        <v>67.8</v>
      </c>
      <c r="J1500" t="s">
        <v>120</v>
      </c>
      <c r="K1500" t="s">
        <v>7858</v>
      </c>
      <c r="L1500">
        <v>4.08</v>
      </c>
      <c r="M1500">
        <v>13.09</v>
      </c>
      <c r="N1500">
        <v>1.53</v>
      </c>
      <c r="O1500">
        <v>4.6900000000000004</v>
      </c>
      <c r="P1500">
        <v>13.84</v>
      </c>
      <c r="Q1500">
        <v>-0.98</v>
      </c>
      <c r="R1500">
        <v>13.09</v>
      </c>
      <c r="S1500">
        <v>13.32</v>
      </c>
      <c r="T1500">
        <v>146828</v>
      </c>
      <c r="U1500">
        <v>13.09</v>
      </c>
      <c r="V1500">
        <v>13.22</v>
      </c>
      <c r="W1500">
        <v>13.57</v>
      </c>
      <c r="X1500" t="s">
        <v>868</v>
      </c>
      <c r="Y1500" t="s">
        <v>638</v>
      </c>
      <c r="Z1500">
        <v>5.67</v>
      </c>
      <c r="AA1500">
        <v>13.42</v>
      </c>
      <c r="AB1500">
        <v>78829</v>
      </c>
      <c r="AC1500">
        <v>67999</v>
      </c>
      <c r="AD1500">
        <v>1.1599999999999999</v>
      </c>
      <c r="AE1500">
        <v>32</v>
      </c>
      <c r="AF1500">
        <v>131</v>
      </c>
      <c r="AG1500" t="s">
        <v>120</v>
      </c>
      <c r="AH1500">
        <v>0.02</v>
      </c>
      <c r="AI1500" t="s">
        <v>120</v>
      </c>
      <c r="AJ1500">
        <v>3.6</v>
      </c>
      <c r="AK1500" t="s">
        <v>7859</v>
      </c>
      <c r="AL1500">
        <v>0.93</v>
      </c>
      <c r="AM1500">
        <v>3217</v>
      </c>
      <c r="AN1500">
        <v>46</v>
      </c>
      <c r="AO1500">
        <v>1.2999999999999999E-3</v>
      </c>
      <c r="AP1500">
        <v>-1</v>
      </c>
      <c r="AQ1500">
        <v>1.07</v>
      </c>
      <c r="AR1500">
        <v>1.08</v>
      </c>
      <c r="AS1500">
        <v>17.71</v>
      </c>
      <c r="AT1500">
        <v>7.29</v>
      </c>
      <c r="AU1500">
        <v>10.84</v>
      </c>
      <c r="AV1500">
        <v>0</v>
      </c>
      <c r="AW1500">
        <v>6.54</v>
      </c>
      <c r="AX1500">
        <v>59.84</v>
      </c>
      <c r="AY1500">
        <v>17.690000000000001</v>
      </c>
      <c r="AZ1500">
        <v>39.43</v>
      </c>
      <c r="BA1500">
        <v>0.68</v>
      </c>
      <c r="BB1500" t="s">
        <v>143</v>
      </c>
      <c r="BF1500">
        <v>1.5</v>
      </c>
      <c r="BG1500">
        <v>-1.73</v>
      </c>
      <c r="BH1500">
        <v>-5.42</v>
      </c>
      <c r="BI1500">
        <v>0</v>
      </c>
      <c r="BJ1500">
        <v>20210819</v>
      </c>
      <c r="BK1500">
        <v>20100917</v>
      </c>
      <c r="BL1500">
        <v>3.75</v>
      </c>
      <c r="BM1500" t="s">
        <v>120</v>
      </c>
      <c r="BN1500" t="s">
        <v>120</v>
      </c>
      <c r="BO1500">
        <v>24.99</v>
      </c>
      <c r="BP1500">
        <v>13.08</v>
      </c>
      <c r="BQ1500">
        <v>17.82</v>
      </c>
      <c r="BR1500" t="s">
        <v>120</v>
      </c>
      <c r="BS1500">
        <v>28.68</v>
      </c>
      <c r="BT1500">
        <v>13.05</v>
      </c>
      <c r="BU1500">
        <v>8.35</v>
      </c>
      <c r="BV1500">
        <v>0.75</v>
      </c>
      <c r="BW1500">
        <v>6.93</v>
      </c>
      <c r="BX1500">
        <v>1.0900000000000001</v>
      </c>
      <c r="BY1500">
        <v>2.81</v>
      </c>
      <c r="BZ1500">
        <v>6.58</v>
      </c>
      <c r="CA1500" t="s">
        <v>120</v>
      </c>
      <c r="CB1500">
        <v>6.8</v>
      </c>
      <c r="CC1500">
        <v>12.59</v>
      </c>
      <c r="CD1500">
        <v>9.41</v>
      </c>
      <c r="CE1500">
        <v>2.2400000000000002</v>
      </c>
      <c r="CF1500">
        <v>0.01</v>
      </c>
      <c r="CG1500">
        <v>2.2400000000000002</v>
      </c>
      <c r="CH1500">
        <v>1.81</v>
      </c>
      <c r="CI1500">
        <v>1.81</v>
      </c>
      <c r="CJ1500">
        <v>-0.13</v>
      </c>
      <c r="CK1500">
        <v>1.69</v>
      </c>
      <c r="CL1500">
        <v>6.75</v>
      </c>
      <c r="CM1500">
        <v>0.75</v>
      </c>
      <c r="CN1500">
        <v>-0.49</v>
      </c>
      <c r="CO1500">
        <v>12876</v>
      </c>
      <c r="CP1500">
        <v>17435</v>
      </c>
      <c r="CQ1500" t="s">
        <v>3634</v>
      </c>
      <c r="CR1500">
        <v>585.69000000000005</v>
      </c>
      <c r="CS1500">
        <v>52.68</v>
      </c>
      <c r="CT1500">
        <v>2.76</v>
      </c>
      <c r="CU1500">
        <v>65.319999999999993</v>
      </c>
      <c r="CV1500">
        <v>3.9</v>
      </c>
      <c r="CW1500">
        <v>1.1200000000000001</v>
      </c>
      <c r="CX1500" t="s">
        <v>3347</v>
      </c>
      <c r="CY1500">
        <v>4.75</v>
      </c>
      <c r="CZ1500">
        <v>0</v>
      </c>
      <c r="DA1500">
        <v>1.81</v>
      </c>
      <c r="DB1500">
        <v>1.8</v>
      </c>
      <c r="DC1500">
        <v>0.2</v>
      </c>
      <c r="DD1500">
        <v>71.319999999999993</v>
      </c>
      <c r="DE1500" t="s">
        <v>7860</v>
      </c>
      <c r="DF1500">
        <v>25.28</v>
      </c>
      <c r="DG1500">
        <v>17.809999999999999</v>
      </c>
      <c r="DH1500">
        <v>14.37</v>
      </c>
      <c r="DI1500">
        <v>0.17</v>
      </c>
      <c r="DJ1500">
        <v>1698</v>
      </c>
      <c r="DK1500">
        <v>300121</v>
      </c>
      <c r="DL1500" t="s">
        <v>120</v>
      </c>
      <c r="DM1500" t="s">
        <v>120</v>
      </c>
      <c r="DN1500" t="s">
        <v>120</v>
      </c>
    </row>
    <row r="1501" spans="1:118">
      <c r="A1501" t="str">
        <f>"300122"</f>
        <v>300122</v>
      </c>
      <c r="B1501" t="s">
        <v>7861</v>
      </c>
      <c r="C1501">
        <v>-1.96</v>
      </c>
      <c r="D1501">
        <v>0.09</v>
      </c>
      <c r="E1501">
        <v>0.53</v>
      </c>
      <c r="F1501">
        <v>1092</v>
      </c>
      <c r="G1501" t="s">
        <v>7862</v>
      </c>
      <c r="H1501">
        <v>153379.17000000001</v>
      </c>
      <c r="I1501">
        <v>504.9</v>
      </c>
      <c r="J1501" t="s">
        <v>120</v>
      </c>
      <c r="K1501" t="s">
        <v>7863</v>
      </c>
      <c r="L1501">
        <v>1.1100000000000001</v>
      </c>
      <c r="M1501">
        <v>149.22</v>
      </c>
      <c r="N1501">
        <v>1.1299999999999999</v>
      </c>
      <c r="O1501">
        <v>0.81</v>
      </c>
      <c r="P1501">
        <v>153.43</v>
      </c>
      <c r="Q1501">
        <v>-2.33</v>
      </c>
      <c r="R1501">
        <v>148.65</v>
      </c>
      <c r="S1501">
        <v>153</v>
      </c>
      <c r="T1501">
        <v>102250</v>
      </c>
      <c r="U1501">
        <v>149.22</v>
      </c>
      <c r="V1501">
        <v>152.19999999999999</v>
      </c>
      <c r="W1501">
        <v>21.74</v>
      </c>
      <c r="X1501" t="s">
        <v>666</v>
      </c>
      <c r="Y1501" t="s">
        <v>883</v>
      </c>
      <c r="Z1501">
        <v>3.14</v>
      </c>
      <c r="AA1501">
        <v>150</v>
      </c>
      <c r="AB1501">
        <v>52956</v>
      </c>
      <c r="AC1501">
        <v>49294</v>
      </c>
      <c r="AD1501">
        <v>1.07</v>
      </c>
      <c r="AE1501">
        <v>20</v>
      </c>
      <c r="AF1501">
        <v>62</v>
      </c>
      <c r="AG1501" t="s">
        <v>120</v>
      </c>
      <c r="AH1501">
        <v>0</v>
      </c>
      <c r="AI1501" t="s">
        <v>120</v>
      </c>
      <c r="AJ1501">
        <v>9.2200000000000006</v>
      </c>
      <c r="AK1501" t="s">
        <v>7864</v>
      </c>
      <c r="AL1501">
        <v>-0.04</v>
      </c>
      <c r="AM1501">
        <v>4555</v>
      </c>
      <c r="AN1501">
        <v>22</v>
      </c>
      <c r="AO1501">
        <v>2.0000000000000001E-4</v>
      </c>
      <c r="AP1501">
        <v>-2</v>
      </c>
      <c r="AQ1501">
        <v>-3.55</v>
      </c>
      <c r="AR1501">
        <v>-5.14</v>
      </c>
      <c r="AS1501">
        <v>-1.24</v>
      </c>
      <c r="AT1501">
        <v>-15.99</v>
      </c>
      <c r="AU1501">
        <v>1.23</v>
      </c>
      <c r="AV1501">
        <v>0</v>
      </c>
      <c r="AW1501">
        <v>1.46</v>
      </c>
      <c r="AX1501">
        <v>43.91</v>
      </c>
      <c r="AY1501">
        <v>33.42</v>
      </c>
      <c r="AZ1501">
        <v>73.760000000000005</v>
      </c>
      <c r="BA1501">
        <v>1.59</v>
      </c>
      <c r="BB1501" t="s">
        <v>143</v>
      </c>
      <c r="BF1501">
        <v>-1.44</v>
      </c>
      <c r="BG1501">
        <v>-2.4700000000000002</v>
      </c>
      <c r="BH1501">
        <v>-2.74</v>
      </c>
      <c r="BI1501">
        <v>0.38</v>
      </c>
      <c r="BJ1501">
        <v>20210910</v>
      </c>
      <c r="BK1501">
        <v>20100928</v>
      </c>
      <c r="BL1501">
        <v>16</v>
      </c>
      <c r="BM1501" t="s">
        <v>120</v>
      </c>
      <c r="BN1501" t="s">
        <v>120</v>
      </c>
      <c r="BO1501">
        <v>239.14</v>
      </c>
      <c r="BP1501">
        <v>149.21</v>
      </c>
      <c r="BQ1501">
        <v>137.38999999999999</v>
      </c>
      <c r="BR1501" t="s">
        <v>120</v>
      </c>
      <c r="BS1501">
        <v>42.55</v>
      </c>
      <c r="BT1501">
        <v>187.79</v>
      </c>
      <c r="BU1501">
        <v>16.5</v>
      </c>
      <c r="BV1501">
        <v>3.31</v>
      </c>
      <c r="BW1501">
        <v>99.34</v>
      </c>
      <c r="BX1501">
        <v>50.94</v>
      </c>
      <c r="BY1501">
        <v>48.38</v>
      </c>
      <c r="BZ1501">
        <v>87.56</v>
      </c>
      <c r="CA1501">
        <v>6.63</v>
      </c>
      <c r="CB1501">
        <v>2.08</v>
      </c>
      <c r="CC1501">
        <v>131.71</v>
      </c>
      <c r="CD1501">
        <v>54.92</v>
      </c>
      <c r="CE1501">
        <v>64.03</v>
      </c>
      <c r="CF1501">
        <v>0</v>
      </c>
      <c r="CG1501">
        <v>63.78</v>
      </c>
      <c r="CH1501">
        <v>54.91</v>
      </c>
      <c r="CI1501">
        <v>54.91</v>
      </c>
      <c r="CJ1501">
        <v>-2.98</v>
      </c>
      <c r="CK1501">
        <v>55.03</v>
      </c>
      <c r="CL1501">
        <v>111.47</v>
      </c>
      <c r="CM1501">
        <v>65.31</v>
      </c>
      <c r="CN1501">
        <v>36.700000000000003</v>
      </c>
      <c r="CO1501">
        <v>110606</v>
      </c>
      <c r="CP1501">
        <v>6352</v>
      </c>
      <c r="CQ1501" t="s">
        <v>7865</v>
      </c>
      <c r="CR1501">
        <v>264.94</v>
      </c>
      <c r="CS1501">
        <v>88.33</v>
      </c>
      <c r="CT1501">
        <v>17.38</v>
      </c>
      <c r="CU1501">
        <v>36.56</v>
      </c>
      <c r="CV1501">
        <v>18.13</v>
      </c>
      <c r="CW1501">
        <v>0.33</v>
      </c>
      <c r="CX1501" t="s">
        <v>7866</v>
      </c>
      <c r="CY1501">
        <v>8.59</v>
      </c>
      <c r="CZ1501">
        <v>0</v>
      </c>
      <c r="DA1501">
        <v>0.13</v>
      </c>
      <c r="DB1501">
        <v>6.97</v>
      </c>
      <c r="DC1501">
        <v>4.08</v>
      </c>
      <c r="DD1501">
        <v>57.45</v>
      </c>
      <c r="DE1501" t="s">
        <v>7867</v>
      </c>
      <c r="DF1501">
        <v>58.3</v>
      </c>
      <c r="DG1501">
        <v>48.62</v>
      </c>
      <c r="DH1501">
        <v>41.69</v>
      </c>
      <c r="DI1501">
        <v>1.63</v>
      </c>
      <c r="DJ1501">
        <v>3380</v>
      </c>
      <c r="DK1501">
        <v>300122</v>
      </c>
      <c r="DL1501" t="s">
        <v>120</v>
      </c>
      <c r="DM1501" t="s">
        <v>120</v>
      </c>
      <c r="DN1501" t="s">
        <v>120</v>
      </c>
    </row>
    <row r="1502" spans="1:118">
      <c r="A1502" t="str">
        <f>"300123"</f>
        <v>300123</v>
      </c>
      <c r="B1502" t="s">
        <v>7868</v>
      </c>
      <c r="C1502">
        <v>-4.49</v>
      </c>
      <c r="D1502">
        <v>0.2</v>
      </c>
      <c r="E1502">
        <v>0.56000000000000005</v>
      </c>
      <c r="F1502">
        <v>5132</v>
      </c>
      <c r="G1502" t="s">
        <v>7869</v>
      </c>
      <c r="H1502">
        <v>30055.73</v>
      </c>
      <c r="I1502">
        <v>51.34</v>
      </c>
      <c r="J1502" t="s">
        <v>120</v>
      </c>
      <c r="K1502" t="s">
        <v>7870</v>
      </c>
      <c r="L1502">
        <v>2.91</v>
      </c>
      <c r="M1502">
        <v>10.199999999999999</v>
      </c>
      <c r="N1502">
        <v>1.1299999999999999</v>
      </c>
      <c r="O1502">
        <v>1.1200000000000001</v>
      </c>
      <c r="P1502">
        <v>10.8</v>
      </c>
      <c r="Q1502">
        <v>-4.68</v>
      </c>
      <c r="R1502">
        <v>10.18</v>
      </c>
      <c r="S1502">
        <v>10.74</v>
      </c>
      <c r="T1502">
        <v>287842</v>
      </c>
      <c r="U1502">
        <v>10.199999999999999</v>
      </c>
      <c r="V1502">
        <v>10.68</v>
      </c>
      <c r="W1502">
        <v>102.5</v>
      </c>
      <c r="X1502" t="s">
        <v>3245</v>
      </c>
      <c r="Y1502" t="s">
        <v>594</v>
      </c>
      <c r="Z1502">
        <v>5.81</v>
      </c>
      <c r="AA1502">
        <v>10.44</v>
      </c>
      <c r="AB1502">
        <v>159179</v>
      </c>
      <c r="AC1502">
        <v>128663</v>
      </c>
      <c r="AD1502">
        <v>1.24</v>
      </c>
      <c r="AE1502">
        <v>460</v>
      </c>
      <c r="AF1502">
        <v>128</v>
      </c>
      <c r="AG1502" t="s">
        <v>120</v>
      </c>
      <c r="AH1502">
        <v>0.01</v>
      </c>
      <c r="AI1502" t="s">
        <v>120</v>
      </c>
      <c r="AJ1502">
        <v>9.8800000000000008</v>
      </c>
      <c r="AK1502" t="s">
        <v>7871</v>
      </c>
      <c r="AL1502">
        <v>-2.58</v>
      </c>
      <c r="AM1502">
        <v>3605</v>
      </c>
      <c r="AN1502">
        <v>80</v>
      </c>
      <c r="AO1502">
        <v>8.0000000000000004E-4</v>
      </c>
      <c r="AP1502">
        <v>-4</v>
      </c>
      <c r="AQ1502">
        <v>-0.37</v>
      </c>
      <c r="AR1502">
        <v>-7.77</v>
      </c>
      <c r="AS1502">
        <v>-9.34</v>
      </c>
      <c r="AT1502">
        <v>-9.74</v>
      </c>
      <c r="AU1502">
        <v>-18.399999999999999</v>
      </c>
      <c r="AV1502">
        <v>1</v>
      </c>
      <c r="AW1502">
        <v>4.2</v>
      </c>
      <c r="AX1502">
        <v>67.959999999999994</v>
      </c>
      <c r="AY1502">
        <v>298.87</v>
      </c>
      <c r="AZ1502">
        <v>306.45999999999998</v>
      </c>
      <c r="BA1502">
        <v>0.89</v>
      </c>
      <c r="BB1502" t="s">
        <v>143</v>
      </c>
      <c r="BF1502">
        <v>-2.23</v>
      </c>
      <c r="BG1502">
        <v>-5.03</v>
      </c>
      <c r="BH1502">
        <v>-5.56</v>
      </c>
      <c r="BI1502">
        <v>0.2</v>
      </c>
      <c r="BJ1502">
        <v>20210913</v>
      </c>
      <c r="BK1502">
        <v>20100928</v>
      </c>
      <c r="BL1502">
        <v>10.08</v>
      </c>
      <c r="BM1502" t="s">
        <v>120</v>
      </c>
      <c r="BN1502" t="s">
        <v>120</v>
      </c>
      <c r="BO1502">
        <v>86.1</v>
      </c>
      <c r="BP1502">
        <v>10.19</v>
      </c>
      <c r="BQ1502">
        <v>51.74</v>
      </c>
      <c r="BR1502">
        <v>2.08</v>
      </c>
      <c r="BS1502">
        <v>37.49</v>
      </c>
      <c r="BT1502">
        <v>39.36</v>
      </c>
      <c r="BU1502">
        <v>11.71</v>
      </c>
      <c r="BV1502">
        <v>3.59</v>
      </c>
      <c r="BW1502">
        <v>28.84</v>
      </c>
      <c r="BX1502">
        <v>4.67</v>
      </c>
      <c r="BY1502">
        <v>10.73</v>
      </c>
      <c r="BZ1502">
        <v>15.48</v>
      </c>
      <c r="CA1502">
        <v>0.25</v>
      </c>
      <c r="CB1502">
        <v>34.19</v>
      </c>
      <c r="CC1502">
        <v>7.19</v>
      </c>
      <c r="CD1502">
        <v>4.7300000000000004</v>
      </c>
      <c r="CE1502">
        <v>0.44</v>
      </c>
      <c r="CF1502">
        <v>0</v>
      </c>
      <c r="CG1502">
        <v>0.72</v>
      </c>
      <c r="CH1502">
        <v>0.56999999999999995</v>
      </c>
      <c r="CI1502">
        <v>0.5</v>
      </c>
      <c r="CJ1502">
        <v>-0.48</v>
      </c>
      <c r="CK1502">
        <v>0.17</v>
      </c>
      <c r="CL1502">
        <v>7.38</v>
      </c>
      <c r="CM1502">
        <v>-0.87</v>
      </c>
      <c r="CN1502">
        <v>-1.41</v>
      </c>
      <c r="CO1502">
        <v>85801</v>
      </c>
      <c r="CP1502">
        <v>7981</v>
      </c>
      <c r="CQ1502" t="s">
        <v>5202</v>
      </c>
      <c r="CR1502">
        <v>1.81</v>
      </c>
      <c r="CS1502">
        <v>-20.96</v>
      </c>
      <c r="CT1502">
        <v>1.99</v>
      </c>
      <c r="CU1502">
        <v>-118.21</v>
      </c>
      <c r="CV1502">
        <v>14.3</v>
      </c>
      <c r="CW1502">
        <v>0</v>
      </c>
      <c r="CX1502" t="s">
        <v>1248</v>
      </c>
      <c r="CY1502">
        <v>5.13</v>
      </c>
      <c r="CZ1502">
        <v>0</v>
      </c>
      <c r="DA1502">
        <v>3.39</v>
      </c>
      <c r="DB1502">
        <v>0.73</v>
      </c>
      <c r="DC1502">
        <v>-0.09</v>
      </c>
      <c r="DD1502">
        <v>60.09</v>
      </c>
      <c r="DE1502" t="s">
        <v>2075</v>
      </c>
      <c r="DF1502">
        <v>34.270000000000003</v>
      </c>
      <c r="DG1502">
        <v>6.17</v>
      </c>
      <c r="DH1502">
        <v>6.97</v>
      </c>
      <c r="DI1502">
        <v>0.23</v>
      </c>
      <c r="DJ1502">
        <v>2049</v>
      </c>
      <c r="DK1502">
        <v>300123</v>
      </c>
      <c r="DL1502" t="s">
        <v>120</v>
      </c>
      <c r="DM1502" t="s">
        <v>120</v>
      </c>
      <c r="DN1502" t="s">
        <v>120</v>
      </c>
    </row>
    <row r="1503" spans="1:118">
      <c r="A1503" t="str">
        <f>"300124"</f>
        <v>300124</v>
      </c>
      <c r="B1503" t="s">
        <v>7872</v>
      </c>
      <c r="C1503">
        <v>-0.37</v>
      </c>
      <c r="D1503">
        <v>0.25</v>
      </c>
      <c r="E1503">
        <v>0.93</v>
      </c>
      <c r="F1503">
        <v>3091</v>
      </c>
      <c r="G1503" t="s">
        <v>7873</v>
      </c>
      <c r="H1503">
        <v>184634.79</v>
      </c>
      <c r="I1503">
        <v>1536.48</v>
      </c>
      <c r="J1503" t="s">
        <v>120</v>
      </c>
      <c r="K1503" t="s">
        <v>7874</v>
      </c>
      <c r="L1503">
        <v>1.36</v>
      </c>
      <c r="M1503">
        <v>65.150000000000006</v>
      </c>
      <c r="N1503">
        <v>1.24</v>
      </c>
      <c r="O1503">
        <v>2.0499999999999998</v>
      </c>
      <c r="P1503">
        <v>66.73</v>
      </c>
      <c r="Q1503">
        <v>-1.1200000000000001</v>
      </c>
      <c r="R1503">
        <v>64.66</v>
      </c>
      <c r="S1503">
        <v>66</v>
      </c>
      <c r="T1503">
        <v>282270</v>
      </c>
      <c r="U1503">
        <v>65.150000000000006</v>
      </c>
      <c r="V1503">
        <v>65.39</v>
      </c>
      <c r="W1503">
        <v>54.63</v>
      </c>
      <c r="X1503" t="s">
        <v>2717</v>
      </c>
      <c r="Y1503" t="s">
        <v>123</v>
      </c>
      <c r="Z1503">
        <v>3.17</v>
      </c>
      <c r="AA1503">
        <v>65.41</v>
      </c>
      <c r="AB1503">
        <v>127923</v>
      </c>
      <c r="AC1503">
        <v>154347</v>
      </c>
      <c r="AD1503">
        <v>0.83</v>
      </c>
      <c r="AE1503">
        <v>3</v>
      </c>
      <c r="AF1503">
        <v>249</v>
      </c>
      <c r="AG1503" t="s">
        <v>120</v>
      </c>
      <c r="AH1503">
        <v>0.01</v>
      </c>
      <c r="AI1503" t="s">
        <v>120</v>
      </c>
      <c r="AJ1503">
        <v>20.76</v>
      </c>
      <c r="AK1503" t="s">
        <v>7875</v>
      </c>
      <c r="AL1503">
        <v>1.55</v>
      </c>
      <c r="AM1503">
        <v>4674</v>
      </c>
      <c r="AN1503">
        <v>60</v>
      </c>
      <c r="AO1503">
        <v>2.9999999999999997E-4</v>
      </c>
      <c r="AP1503">
        <v>-2</v>
      </c>
      <c r="AQ1503">
        <v>-4.05</v>
      </c>
      <c r="AR1503">
        <v>-4.1500000000000004</v>
      </c>
      <c r="AS1503">
        <v>-8.49</v>
      </c>
      <c r="AT1503">
        <v>1.33</v>
      </c>
      <c r="AU1503">
        <v>5.15</v>
      </c>
      <c r="AV1503">
        <v>1</v>
      </c>
      <c r="AW1503">
        <v>1.79</v>
      </c>
      <c r="AX1503">
        <v>60.2</v>
      </c>
      <c r="AY1503">
        <v>59.33</v>
      </c>
      <c r="AZ1503">
        <v>81.61</v>
      </c>
      <c r="BA1503">
        <v>1.72</v>
      </c>
      <c r="BB1503" t="s">
        <v>1723</v>
      </c>
      <c r="BF1503">
        <v>0.03</v>
      </c>
      <c r="BG1503">
        <v>-1.29</v>
      </c>
      <c r="BH1503">
        <v>-2.37</v>
      </c>
      <c r="BI1503">
        <v>0.76</v>
      </c>
      <c r="BJ1503">
        <v>20210913</v>
      </c>
      <c r="BK1503">
        <v>20100928</v>
      </c>
      <c r="BL1503">
        <v>26.21</v>
      </c>
      <c r="BM1503" t="s">
        <v>120</v>
      </c>
      <c r="BN1503" t="s">
        <v>120</v>
      </c>
      <c r="BO1503">
        <v>232.03</v>
      </c>
      <c r="BP1503">
        <v>65.099999999999994</v>
      </c>
      <c r="BQ1503">
        <v>139.03</v>
      </c>
      <c r="BR1503">
        <v>4.47</v>
      </c>
      <c r="BS1503">
        <v>38.15</v>
      </c>
      <c r="BT1503">
        <v>159.87</v>
      </c>
      <c r="BU1503">
        <v>13.66</v>
      </c>
      <c r="BV1503">
        <v>4.58</v>
      </c>
      <c r="BW1503">
        <v>71.849999999999994</v>
      </c>
      <c r="BX1503">
        <v>44.19</v>
      </c>
      <c r="BY1503">
        <v>33.14</v>
      </c>
      <c r="BZ1503">
        <v>42.66</v>
      </c>
      <c r="CA1503" t="s">
        <v>120</v>
      </c>
      <c r="CB1503">
        <v>42.57</v>
      </c>
      <c r="CC1503">
        <v>82.74</v>
      </c>
      <c r="CD1503">
        <v>51.04</v>
      </c>
      <c r="CE1503">
        <v>17.670000000000002</v>
      </c>
      <c r="CF1503">
        <v>-0.18</v>
      </c>
      <c r="CG1503">
        <v>17.649999999999999</v>
      </c>
      <c r="CH1503">
        <v>16.43</v>
      </c>
      <c r="CI1503">
        <v>15.63</v>
      </c>
      <c r="CJ1503">
        <v>-0.24</v>
      </c>
      <c r="CK1503">
        <v>15.23</v>
      </c>
      <c r="CL1503">
        <v>63.96</v>
      </c>
      <c r="CM1503">
        <v>3.85</v>
      </c>
      <c r="CN1503">
        <v>10.98</v>
      </c>
      <c r="CO1503">
        <v>105781</v>
      </c>
      <c r="CP1503">
        <v>14916</v>
      </c>
      <c r="CQ1503" t="s">
        <v>7876</v>
      </c>
      <c r="CR1503">
        <v>101.81</v>
      </c>
      <c r="CS1503">
        <v>72.95</v>
      </c>
      <c r="CT1503">
        <v>12.27</v>
      </c>
      <c r="CU1503">
        <v>442.95</v>
      </c>
      <c r="CV1503">
        <v>20.64</v>
      </c>
      <c r="CW1503">
        <v>0.36</v>
      </c>
      <c r="CX1503" t="s">
        <v>1656</v>
      </c>
      <c r="CY1503">
        <v>5.31</v>
      </c>
      <c r="CZ1503">
        <v>5.31</v>
      </c>
      <c r="DA1503">
        <v>1.62</v>
      </c>
      <c r="DB1503">
        <v>2.44</v>
      </c>
      <c r="DC1503">
        <v>0.15</v>
      </c>
      <c r="DD1503">
        <v>59.92</v>
      </c>
      <c r="DE1503" t="s">
        <v>7877</v>
      </c>
      <c r="DF1503">
        <v>38.32</v>
      </c>
      <c r="DG1503">
        <v>21.36</v>
      </c>
      <c r="DH1503">
        <v>18.89</v>
      </c>
      <c r="DI1503">
        <v>6.81</v>
      </c>
      <c r="DJ1503">
        <v>12866</v>
      </c>
      <c r="DK1503">
        <v>300124</v>
      </c>
      <c r="DL1503" t="s">
        <v>120</v>
      </c>
      <c r="DM1503" t="s">
        <v>120</v>
      </c>
      <c r="DN1503" t="s">
        <v>120</v>
      </c>
    </row>
    <row r="1504" spans="1:118">
      <c r="A1504" t="str">
        <f>"300125"</f>
        <v>300125</v>
      </c>
      <c r="B1504" t="s">
        <v>7878</v>
      </c>
      <c r="C1504">
        <v>-4.24</v>
      </c>
      <c r="D1504">
        <v>0</v>
      </c>
      <c r="E1504">
        <v>-0.72</v>
      </c>
      <c r="F1504">
        <v>634</v>
      </c>
      <c r="G1504" t="s">
        <v>5432</v>
      </c>
      <c r="H1504">
        <v>7379.7</v>
      </c>
      <c r="I1504">
        <v>79.52</v>
      </c>
      <c r="J1504" t="s">
        <v>120</v>
      </c>
      <c r="K1504" t="s">
        <v>1917</v>
      </c>
      <c r="L1504">
        <v>2.08</v>
      </c>
      <c r="M1504">
        <v>13.31</v>
      </c>
      <c r="N1504">
        <v>0.85</v>
      </c>
      <c r="O1504">
        <v>-0.28999999999999998</v>
      </c>
      <c r="P1504">
        <v>13.86</v>
      </c>
      <c r="Q1504">
        <v>-4.96</v>
      </c>
      <c r="R1504">
        <v>13.21</v>
      </c>
      <c r="S1504">
        <v>13.8</v>
      </c>
      <c r="T1504">
        <v>54631</v>
      </c>
      <c r="U1504">
        <v>13.31</v>
      </c>
      <c r="V1504">
        <v>13.9</v>
      </c>
      <c r="W1504" t="s">
        <v>120</v>
      </c>
      <c r="X1504" t="s">
        <v>394</v>
      </c>
      <c r="Y1504" t="s">
        <v>432</v>
      </c>
      <c r="Z1504">
        <v>4.68</v>
      </c>
      <c r="AA1504">
        <v>13.51</v>
      </c>
      <c r="AB1504">
        <v>36623</v>
      </c>
      <c r="AC1504">
        <v>18008</v>
      </c>
      <c r="AD1504">
        <v>2.0299999999999998</v>
      </c>
      <c r="AE1504">
        <v>103</v>
      </c>
      <c r="AF1504">
        <v>56</v>
      </c>
      <c r="AG1504" t="s">
        <v>120</v>
      </c>
      <c r="AH1504">
        <v>0.03</v>
      </c>
      <c r="AI1504" t="s">
        <v>120</v>
      </c>
      <c r="AJ1504">
        <v>2.63</v>
      </c>
      <c r="AK1504" t="s">
        <v>7879</v>
      </c>
      <c r="AL1504">
        <v>-2.33</v>
      </c>
      <c r="AM1504">
        <v>1795</v>
      </c>
      <c r="AN1504">
        <v>30</v>
      </c>
      <c r="AO1504">
        <v>1.1999999999999999E-3</v>
      </c>
      <c r="AP1504">
        <v>-1</v>
      </c>
      <c r="AQ1504">
        <v>2.21</v>
      </c>
      <c r="AR1504">
        <v>-1.33</v>
      </c>
      <c r="AS1504">
        <v>-9.1999999999999993</v>
      </c>
      <c r="AT1504">
        <v>-3.41</v>
      </c>
      <c r="AU1504">
        <v>-4.18</v>
      </c>
      <c r="AV1504">
        <v>0</v>
      </c>
      <c r="AW1504">
        <v>2.67</v>
      </c>
      <c r="AX1504">
        <v>77.12</v>
      </c>
      <c r="AY1504" t="s">
        <v>120</v>
      </c>
      <c r="AZ1504" t="s">
        <v>120</v>
      </c>
      <c r="BA1504">
        <v>0.54</v>
      </c>
      <c r="BB1504" t="s">
        <v>143</v>
      </c>
      <c r="BF1504">
        <v>-2.82</v>
      </c>
      <c r="BG1504">
        <v>-3.55</v>
      </c>
      <c r="BH1504">
        <v>-3.97</v>
      </c>
      <c r="BI1504">
        <v>0.76</v>
      </c>
      <c r="BJ1504">
        <v>20210830</v>
      </c>
      <c r="BK1504">
        <v>20101013</v>
      </c>
      <c r="BL1504">
        <v>2.66</v>
      </c>
      <c r="BM1504" t="s">
        <v>120</v>
      </c>
      <c r="BN1504" t="s">
        <v>120</v>
      </c>
      <c r="BO1504">
        <v>24.55</v>
      </c>
      <c r="BP1504">
        <v>13.3</v>
      </c>
      <c r="BQ1504">
        <v>7.5</v>
      </c>
      <c r="BR1504">
        <v>1.21</v>
      </c>
      <c r="BS1504">
        <v>64.540000000000006</v>
      </c>
      <c r="BT1504">
        <v>9.86</v>
      </c>
      <c r="BU1504">
        <v>11.71</v>
      </c>
      <c r="BV1504">
        <v>0.81</v>
      </c>
      <c r="BW1504">
        <v>12.89</v>
      </c>
      <c r="BX1504">
        <v>3.67</v>
      </c>
      <c r="BY1504">
        <v>0.92</v>
      </c>
      <c r="BZ1504">
        <v>1.68</v>
      </c>
      <c r="CA1504" t="s">
        <v>120</v>
      </c>
      <c r="CB1504">
        <v>6.49</v>
      </c>
      <c r="CC1504">
        <v>5.67</v>
      </c>
      <c r="CD1504">
        <v>5.25</v>
      </c>
      <c r="CE1504">
        <v>0</v>
      </c>
      <c r="CF1504">
        <v>0.06</v>
      </c>
      <c r="CG1504">
        <v>0</v>
      </c>
      <c r="CH1504">
        <v>0</v>
      </c>
      <c r="CI1504">
        <v>-0.01</v>
      </c>
      <c r="CJ1504">
        <v>-0.59</v>
      </c>
      <c r="CK1504">
        <v>-0.28000000000000003</v>
      </c>
      <c r="CL1504">
        <v>-1.89</v>
      </c>
      <c r="CM1504">
        <v>-1.22</v>
      </c>
      <c r="CN1504">
        <v>-0.52</v>
      </c>
      <c r="CO1504">
        <v>5226</v>
      </c>
      <c r="CP1504">
        <v>39182</v>
      </c>
      <c r="CQ1504" t="s">
        <v>7880</v>
      </c>
      <c r="CR1504">
        <v>75.34</v>
      </c>
      <c r="CS1504">
        <v>1567.29</v>
      </c>
      <c r="CT1504">
        <v>4.71</v>
      </c>
      <c r="CU1504">
        <v>-28.86</v>
      </c>
      <c r="CV1504">
        <v>6.23</v>
      </c>
      <c r="CW1504">
        <v>0</v>
      </c>
      <c r="CX1504" t="s">
        <v>7881</v>
      </c>
      <c r="CY1504">
        <v>2.83</v>
      </c>
      <c r="CZ1504">
        <v>0</v>
      </c>
      <c r="DA1504">
        <v>2.44</v>
      </c>
      <c r="DB1504">
        <v>-0.71</v>
      </c>
      <c r="DC1504">
        <v>-0.46</v>
      </c>
      <c r="DD1504">
        <v>30.55</v>
      </c>
      <c r="DE1504" t="s">
        <v>7882</v>
      </c>
      <c r="DF1504">
        <v>7.48</v>
      </c>
      <c r="DG1504">
        <v>0.05</v>
      </c>
      <c r="DH1504">
        <v>-0.18</v>
      </c>
      <c r="DI1504">
        <v>0.23</v>
      </c>
      <c r="DJ1504">
        <v>749</v>
      </c>
      <c r="DK1504">
        <v>300125</v>
      </c>
      <c r="DL1504" t="s">
        <v>120</v>
      </c>
      <c r="DM1504" t="s">
        <v>120</v>
      </c>
      <c r="DN1504" t="s">
        <v>120</v>
      </c>
    </row>
    <row r="1505" spans="1:118">
      <c r="A1505" t="str">
        <f>"300126"</f>
        <v>300126</v>
      </c>
      <c r="B1505" t="s">
        <v>7883</v>
      </c>
      <c r="C1505">
        <v>-3.24</v>
      </c>
      <c r="D1505">
        <v>-0.26</v>
      </c>
      <c r="E1505">
        <v>0.13</v>
      </c>
      <c r="F1505">
        <v>1953</v>
      </c>
      <c r="G1505" t="s">
        <v>6500</v>
      </c>
      <c r="H1505">
        <v>5003.8100000000004</v>
      </c>
      <c r="I1505">
        <v>15.36</v>
      </c>
      <c r="J1505" t="s">
        <v>120</v>
      </c>
      <c r="K1505" t="s">
        <v>6869</v>
      </c>
      <c r="L1505">
        <v>3.12</v>
      </c>
      <c r="M1505">
        <v>7.46</v>
      </c>
      <c r="N1505">
        <v>0.78</v>
      </c>
      <c r="O1505">
        <v>1.17</v>
      </c>
      <c r="P1505">
        <v>7.8</v>
      </c>
      <c r="Q1505">
        <v>-3.37</v>
      </c>
      <c r="R1505">
        <v>7.45</v>
      </c>
      <c r="S1505">
        <v>7.72</v>
      </c>
      <c r="T1505">
        <v>65691</v>
      </c>
      <c r="U1505">
        <v>7.47</v>
      </c>
      <c r="V1505">
        <v>7.71</v>
      </c>
      <c r="W1505">
        <v>90.01</v>
      </c>
      <c r="X1505" t="s">
        <v>348</v>
      </c>
      <c r="Y1505" t="s">
        <v>1510</v>
      </c>
      <c r="Z1505">
        <v>4.54</v>
      </c>
      <c r="AA1505">
        <v>7.62</v>
      </c>
      <c r="AB1505">
        <v>43042</v>
      </c>
      <c r="AC1505">
        <v>22649</v>
      </c>
      <c r="AD1505">
        <v>1.9</v>
      </c>
      <c r="AE1505">
        <v>511</v>
      </c>
      <c r="AF1505">
        <v>573</v>
      </c>
      <c r="AG1505" t="s">
        <v>120</v>
      </c>
      <c r="AH1505">
        <v>0.01</v>
      </c>
      <c r="AI1505" t="s">
        <v>120</v>
      </c>
      <c r="AJ1505">
        <v>2.11</v>
      </c>
      <c r="AK1505" t="s">
        <v>7884</v>
      </c>
      <c r="AL1505">
        <v>-1.33</v>
      </c>
      <c r="AM1505">
        <v>1449</v>
      </c>
      <c r="AN1505">
        <v>45</v>
      </c>
      <c r="AO1505">
        <v>2.2000000000000001E-3</v>
      </c>
      <c r="AP1505">
        <v>-1</v>
      </c>
      <c r="AQ1505">
        <v>2.5299999999999998</v>
      </c>
      <c r="AR1505">
        <v>-1.84</v>
      </c>
      <c r="AS1505">
        <v>-2.1</v>
      </c>
      <c r="AT1505">
        <v>5.21</v>
      </c>
      <c r="AU1505">
        <v>-2.74</v>
      </c>
      <c r="AV1505">
        <v>3</v>
      </c>
      <c r="AW1505">
        <v>4.58</v>
      </c>
      <c r="AX1505">
        <v>47.19</v>
      </c>
      <c r="AY1505">
        <v>311.91000000000003</v>
      </c>
      <c r="AZ1505">
        <v>203.17</v>
      </c>
      <c r="BA1505">
        <v>1.29</v>
      </c>
      <c r="BB1505" t="s">
        <v>143</v>
      </c>
      <c r="BF1505">
        <v>-1.2</v>
      </c>
      <c r="BG1505">
        <v>-3.37</v>
      </c>
      <c r="BH1505">
        <v>-4.3600000000000003</v>
      </c>
      <c r="BI1505">
        <v>0.13</v>
      </c>
      <c r="BJ1505">
        <v>20210826</v>
      </c>
      <c r="BK1505">
        <v>20101013</v>
      </c>
      <c r="BL1505">
        <v>3.04</v>
      </c>
      <c r="BM1505" t="s">
        <v>120</v>
      </c>
      <c r="BN1505" t="s">
        <v>120</v>
      </c>
      <c r="BO1505">
        <v>14.39</v>
      </c>
      <c r="BP1505">
        <v>7.46</v>
      </c>
      <c r="BQ1505">
        <v>10.95</v>
      </c>
      <c r="BR1505">
        <v>-0.02</v>
      </c>
      <c r="BS1505">
        <v>24.05</v>
      </c>
      <c r="BT1505">
        <v>8.2100000000000009</v>
      </c>
      <c r="BU1505">
        <v>1.29</v>
      </c>
      <c r="BV1505">
        <v>0.45</v>
      </c>
      <c r="BW1505">
        <v>3.41</v>
      </c>
      <c r="BX1505">
        <v>1.03</v>
      </c>
      <c r="BY1505">
        <v>1.59</v>
      </c>
      <c r="BZ1505">
        <v>1.51</v>
      </c>
      <c r="CA1505" t="s">
        <v>120</v>
      </c>
      <c r="CB1505">
        <v>4.7300000000000004</v>
      </c>
      <c r="CC1505">
        <v>3.4</v>
      </c>
      <c r="CD1505">
        <v>2.88</v>
      </c>
      <c r="CE1505">
        <v>0.12</v>
      </c>
      <c r="CF1505">
        <v>0.11</v>
      </c>
      <c r="CG1505">
        <v>0.12</v>
      </c>
      <c r="CH1505">
        <v>0.13</v>
      </c>
      <c r="CI1505">
        <v>0.13</v>
      </c>
      <c r="CJ1505">
        <v>-0.25</v>
      </c>
      <c r="CK1505">
        <v>0.12</v>
      </c>
      <c r="CL1505">
        <v>2.63</v>
      </c>
      <c r="CM1505">
        <v>-0.22</v>
      </c>
      <c r="CN1505">
        <v>-0.01</v>
      </c>
      <c r="CO1505">
        <v>22232</v>
      </c>
      <c r="CP1505">
        <v>6452</v>
      </c>
      <c r="CQ1505" t="s">
        <v>3351</v>
      </c>
      <c r="CR1505">
        <v>-24.2</v>
      </c>
      <c r="CS1505">
        <v>65.75</v>
      </c>
      <c r="CT1505">
        <v>2.0699999999999998</v>
      </c>
      <c r="CU1505">
        <v>-105.23</v>
      </c>
      <c r="CV1505">
        <v>6.67</v>
      </c>
      <c r="CW1505">
        <v>0.13</v>
      </c>
      <c r="CX1505" t="s">
        <v>145</v>
      </c>
      <c r="CY1505">
        <v>3.6</v>
      </c>
      <c r="CZ1505">
        <v>0</v>
      </c>
      <c r="DA1505">
        <v>1.56</v>
      </c>
      <c r="DB1505">
        <v>0.86</v>
      </c>
      <c r="DC1505">
        <v>-7.0000000000000007E-2</v>
      </c>
      <c r="DD1505">
        <v>76.08</v>
      </c>
      <c r="DE1505" t="s">
        <v>7885</v>
      </c>
      <c r="DF1505">
        <v>15.43</v>
      </c>
      <c r="DG1505">
        <v>3.66</v>
      </c>
      <c r="DH1505">
        <v>3.7</v>
      </c>
      <c r="DI1505">
        <v>0.13</v>
      </c>
      <c r="DJ1505">
        <v>1022</v>
      </c>
      <c r="DK1505">
        <v>300126</v>
      </c>
      <c r="DL1505" t="s">
        <v>120</v>
      </c>
      <c r="DM1505" t="s">
        <v>120</v>
      </c>
      <c r="DN1505" t="s">
        <v>120</v>
      </c>
    </row>
    <row r="1506" spans="1:118">
      <c r="A1506" t="str">
        <f>"300127"</f>
        <v>300127</v>
      </c>
      <c r="B1506" t="s">
        <v>7886</v>
      </c>
      <c r="C1506">
        <v>-7.98</v>
      </c>
      <c r="D1506">
        <v>0</v>
      </c>
      <c r="E1506">
        <v>-0.71</v>
      </c>
      <c r="F1506">
        <v>1042</v>
      </c>
      <c r="G1506" t="s">
        <v>7887</v>
      </c>
      <c r="H1506">
        <v>26713.1</v>
      </c>
      <c r="I1506">
        <v>96.36</v>
      </c>
      <c r="J1506" t="s">
        <v>120</v>
      </c>
      <c r="K1506" t="s">
        <v>7888</v>
      </c>
      <c r="L1506">
        <v>5.44</v>
      </c>
      <c r="M1506">
        <v>20.77</v>
      </c>
      <c r="N1506">
        <v>1.07</v>
      </c>
      <c r="O1506">
        <v>-0.27</v>
      </c>
      <c r="P1506">
        <v>22.51</v>
      </c>
      <c r="Q1506">
        <v>-8.86</v>
      </c>
      <c r="R1506">
        <v>20.57</v>
      </c>
      <c r="S1506">
        <v>22.41</v>
      </c>
      <c r="T1506">
        <v>123889</v>
      </c>
      <c r="U1506">
        <v>20.77</v>
      </c>
      <c r="V1506">
        <v>22.57</v>
      </c>
      <c r="W1506">
        <v>34.6</v>
      </c>
      <c r="X1506" t="s">
        <v>229</v>
      </c>
      <c r="Y1506" t="s">
        <v>578</v>
      </c>
      <c r="Z1506">
        <v>8.6</v>
      </c>
      <c r="AA1506">
        <v>21.56</v>
      </c>
      <c r="AB1506">
        <v>71712</v>
      </c>
      <c r="AC1506">
        <v>52177</v>
      </c>
      <c r="AD1506">
        <v>1.37</v>
      </c>
      <c r="AE1506">
        <v>254</v>
      </c>
      <c r="AF1506">
        <v>371</v>
      </c>
      <c r="AG1506" t="s">
        <v>120</v>
      </c>
      <c r="AH1506">
        <v>0.04</v>
      </c>
      <c r="AI1506" t="s">
        <v>120</v>
      </c>
      <c r="AJ1506">
        <v>2.2799999999999998</v>
      </c>
      <c r="AK1506" t="s">
        <v>7889</v>
      </c>
      <c r="AL1506">
        <v>-6.06</v>
      </c>
      <c r="AM1506">
        <v>3492</v>
      </c>
      <c r="AN1506">
        <v>35</v>
      </c>
      <c r="AO1506">
        <v>1.6000000000000001E-3</v>
      </c>
      <c r="AP1506">
        <v>-2</v>
      </c>
      <c r="AQ1506">
        <v>-2.5499999999999998</v>
      </c>
      <c r="AR1506">
        <v>-5.81</v>
      </c>
      <c r="AS1506">
        <v>-13.03</v>
      </c>
      <c r="AT1506">
        <v>21.6</v>
      </c>
      <c r="AU1506">
        <v>23.49</v>
      </c>
      <c r="AV1506">
        <v>1</v>
      </c>
      <c r="AW1506">
        <v>12.51</v>
      </c>
      <c r="AX1506">
        <v>30.65</v>
      </c>
      <c r="AY1506">
        <v>43.15</v>
      </c>
      <c r="AZ1506">
        <v>49.36</v>
      </c>
      <c r="BA1506">
        <v>0.87</v>
      </c>
      <c r="BB1506" t="s">
        <v>143</v>
      </c>
      <c r="BF1506">
        <v>-4.47</v>
      </c>
      <c r="BG1506">
        <v>-7.32</v>
      </c>
      <c r="BH1506">
        <v>-7.73</v>
      </c>
      <c r="BI1506">
        <v>0.97</v>
      </c>
      <c r="BJ1506">
        <v>20210826</v>
      </c>
      <c r="BK1506">
        <v>20101013</v>
      </c>
      <c r="BL1506">
        <v>3.23</v>
      </c>
      <c r="BM1506" t="s">
        <v>120</v>
      </c>
      <c r="BN1506" t="s">
        <v>120</v>
      </c>
      <c r="BO1506">
        <v>13.48</v>
      </c>
      <c r="BP1506">
        <v>20.76</v>
      </c>
      <c r="BQ1506">
        <v>12.78</v>
      </c>
      <c r="BR1506">
        <v>7.0000000000000007E-2</v>
      </c>
      <c r="BS1506">
        <v>4.6900000000000004</v>
      </c>
      <c r="BT1506">
        <v>10.4</v>
      </c>
      <c r="BU1506">
        <v>2.6</v>
      </c>
      <c r="BV1506">
        <v>0.23</v>
      </c>
      <c r="BW1506">
        <v>0.63</v>
      </c>
      <c r="BX1506">
        <v>5.33</v>
      </c>
      <c r="BY1506">
        <v>1.56</v>
      </c>
      <c r="BZ1506">
        <v>2.1800000000000002</v>
      </c>
      <c r="CA1506" t="s">
        <v>120</v>
      </c>
      <c r="CB1506">
        <v>4.96</v>
      </c>
      <c r="CC1506">
        <v>3.92</v>
      </c>
      <c r="CD1506">
        <v>2.4500000000000002</v>
      </c>
      <c r="CE1506">
        <v>1.1599999999999999</v>
      </c>
      <c r="CF1506">
        <v>0.02</v>
      </c>
      <c r="CG1506">
        <v>1.1599999999999999</v>
      </c>
      <c r="CH1506">
        <v>0.99</v>
      </c>
      <c r="CI1506">
        <v>0.97</v>
      </c>
      <c r="CJ1506">
        <v>-1.8</v>
      </c>
      <c r="CK1506">
        <v>0.96</v>
      </c>
      <c r="CL1506">
        <v>2.97</v>
      </c>
      <c r="CM1506">
        <v>-0.12</v>
      </c>
      <c r="CN1506">
        <v>-0.71</v>
      </c>
      <c r="CO1506">
        <v>25471</v>
      </c>
      <c r="CP1506">
        <v>3888</v>
      </c>
      <c r="CQ1506" t="s">
        <v>7890</v>
      </c>
      <c r="CR1506">
        <v>28.09</v>
      </c>
      <c r="CS1506">
        <v>36.130000000000003</v>
      </c>
      <c r="CT1506">
        <v>5.25</v>
      </c>
      <c r="CU1506">
        <v>-559.64</v>
      </c>
      <c r="CV1506">
        <v>17.11</v>
      </c>
      <c r="CW1506">
        <v>1.55</v>
      </c>
      <c r="CX1506" t="s">
        <v>1340</v>
      </c>
      <c r="CY1506">
        <v>3.95</v>
      </c>
      <c r="CZ1506">
        <v>0</v>
      </c>
      <c r="DA1506">
        <v>1.54</v>
      </c>
      <c r="DB1506">
        <v>0.92</v>
      </c>
      <c r="DC1506">
        <v>-0.04</v>
      </c>
      <c r="DD1506">
        <v>94.76</v>
      </c>
      <c r="DE1506" t="s">
        <v>5401</v>
      </c>
      <c r="DF1506">
        <v>37.44</v>
      </c>
      <c r="DG1506">
        <v>29.52</v>
      </c>
      <c r="DH1506">
        <v>24.73</v>
      </c>
      <c r="DI1506">
        <v>0.15</v>
      </c>
      <c r="DJ1506">
        <v>1060</v>
      </c>
      <c r="DK1506">
        <v>300127</v>
      </c>
      <c r="DL1506" t="s">
        <v>120</v>
      </c>
      <c r="DM1506" t="s">
        <v>120</v>
      </c>
      <c r="DN1506" t="s">
        <v>120</v>
      </c>
    </row>
    <row r="1507" spans="1:118">
      <c r="A1507" t="str">
        <f>"300128"</f>
        <v>300128</v>
      </c>
      <c r="B1507" t="s">
        <v>7891</v>
      </c>
      <c r="C1507">
        <v>1.3</v>
      </c>
      <c r="D1507">
        <v>-0.25</v>
      </c>
      <c r="E1507">
        <v>0.52</v>
      </c>
      <c r="F1507">
        <v>6938</v>
      </c>
      <c r="G1507" t="s">
        <v>7892</v>
      </c>
      <c r="H1507">
        <v>14253.48</v>
      </c>
      <c r="I1507">
        <v>83.46</v>
      </c>
      <c r="J1507" t="s">
        <v>120</v>
      </c>
      <c r="K1507" t="s">
        <v>3121</v>
      </c>
      <c r="L1507">
        <v>3.34</v>
      </c>
      <c r="M1507">
        <v>3.91</v>
      </c>
      <c r="N1507">
        <v>1.4</v>
      </c>
      <c r="O1507">
        <v>2.59</v>
      </c>
      <c r="P1507">
        <v>3.96</v>
      </c>
      <c r="Q1507">
        <v>-0.26</v>
      </c>
      <c r="R1507">
        <v>3.85</v>
      </c>
      <c r="S1507">
        <v>3.88</v>
      </c>
      <c r="T1507">
        <v>364598</v>
      </c>
      <c r="U1507">
        <v>3.92</v>
      </c>
      <c r="V1507">
        <v>3.86</v>
      </c>
      <c r="W1507" t="s">
        <v>120</v>
      </c>
      <c r="X1507" t="s">
        <v>229</v>
      </c>
      <c r="Y1507" t="s">
        <v>319</v>
      </c>
      <c r="Z1507">
        <v>2.85</v>
      </c>
      <c r="AA1507">
        <v>3.91</v>
      </c>
      <c r="AB1507">
        <v>156300</v>
      </c>
      <c r="AC1507">
        <v>208298</v>
      </c>
      <c r="AD1507">
        <v>0.75</v>
      </c>
      <c r="AE1507">
        <v>7785</v>
      </c>
      <c r="AF1507">
        <v>2393</v>
      </c>
      <c r="AG1507" t="s">
        <v>120</v>
      </c>
      <c r="AH1507">
        <v>0.03</v>
      </c>
      <c r="AI1507" t="s">
        <v>120</v>
      </c>
      <c r="AJ1507">
        <v>10.93</v>
      </c>
      <c r="AK1507" t="s">
        <v>7893</v>
      </c>
      <c r="AL1507">
        <v>3.21</v>
      </c>
      <c r="AM1507">
        <v>2032</v>
      </c>
      <c r="AN1507">
        <v>179</v>
      </c>
      <c r="AO1507">
        <v>1.6000000000000001E-3</v>
      </c>
      <c r="AP1507">
        <v>2</v>
      </c>
      <c r="AQ1507">
        <v>1.05</v>
      </c>
      <c r="AR1507">
        <v>1.56</v>
      </c>
      <c r="AS1507">
        <v>-6.23</v>
      </c>
      <c r="AT1507">
        <v>-3.7</v>
      </c>
      <c r="AU1507">
        <v>10.45</v>
      </c>
      <c r="AV1507">
        <v>1</v>
      </c>
      <c r="AW1507">
        <v>4.6100000000000003</v>
      </c>
      <c r="AX1507">
        <v>72.290000000000006</v>
      </c>
      <c r="AY1507" t="s">
        <v>120</v>
      </c>
      <c r="AZ1507">
        <v>188.93</v>
      </c>
      <c r="BA1507">
        <v>0.97</v>
      </c>
      <c r="BB1507" t="s">
        <v>125</v>
      </c>
      <c r="BF1507">
        <v>1.28</v>
      </c>
      <c r="BG1507">
        <v>0.77</v>
      </c>
      <c r="BH1507">
        <v>-1.26</v>
      </c>
      <c r="BI1507">
        <v>1.56</v>
      </c>
      <c r="BJ1507">
        <v>20210821</v>
      </c>
      <c r="BK1507">
        <v>20101013</v>
      </c>
      <c r="BL1507">
        <v>10.94</v>
      </c>
      <c r="BM1507" t="s">
        <v>120</v>
      </c>
      <c r="BN1507" t="s">
        <v>120</v>
      </c>
      <c r="BO1507">
        <v>21.98</v>
      </c>
      <c r="BP1507">
        <v>3.91</v>
      </c>
      <c r="BQ1507">
        <v>11.85</v>
      </c>
      <c r="BR1507">
        <v>0.55000000000000004</v>
      </c>
      <c r="BS1507">
        <v>43.59</v>
      </c>
      <c r="BT1507">
        <v>9.77</v>
      </c>
      <c r="BU1507">
        <v>3.47</v>
      </c>
      <c r="BV1507">
        <v>0.51</v>
      </c>
      <c r="BW1507">
        <v>8.56</v>
      </c>
      <c r="BX1507">
        <v>2.66</v>
      </c>
      <c r="BY1507">
        <v>1.55</v>
      </c>
      <c r="BZ1507">
        <v>3.14</v>
      </c>
      <c r="CA1507" t="s">
        <v>120</v>
      </c>
      <c r="CB1507">
        <v>4.04</v>
      </c>
      <c r="CC1507">
        <v>5.27</v>
      </c>
      <c r="CD1507">
        <v>4.4800000000000004</v>
      </c>
      <c r="CE1507">
        <v>-0.52</v>
      </c>
      <c r="CF1507">
        <v>0</v>
      </c>
      <c r="CG1507">
        <v>-0.51</v>
      </c>
      <c r="CH1507">
        <v>-0.35</v>
      </c>
      <c r="CI1507">
        <v>-0.39</v>
      </c>
      <c r="CJ1507">
        <v>0.05</v>
      </c>
      <c r="CK1507">
        <v>-0.39</v>
      </c>
      <c r="CL1507">
        <v>-3.18</v>
      </c>
      <c r="CM1507">
        <v>0.97</v>
      </c>
      <c r="CN1507">
        <v>-0.87</v>
      </c>
      <c r="CO1507">
        <v>37052</v>
      </c>
      <c r="CP1507">
        <v>21348</v>
      </c>
      <c r="CQ1507" t="s">
        <v>6203</v>
      </c>
      <c r="CR1507">
        <v>-174.06</v>
      </c>
      <c r="CS1507">
        <v>-10.050000000000001</v>
      </c>
      <c r="CT1507">
        <v>3.61</v>
      </c>
      <c r="CU1507">
        <v>44.06</v>
      </c>
      <c r="CV1507">
        <v>8.1199999999999992</v>
      </c>
      <c r="CW1507">
        <v>0</v>
      </c>
      <c r="CX1507" t="s">
        <v>7894</v>
      </c>
      <c r="CY1507">
        <v>1.08</v>
      </c>
      <c r="CZ1507">
        <v>0</v>
      </c>
      <c r="DA1507">
        <v>0.37</v>
      </c>
      <c r="DB1507">
        <v>-0.28999999999999998</v>
      </c>
      <c r="DC1507">
        <v>0.09</v>
      </c>
      <c r="DD1507">
        <v>53.92</v>
      </c>
      <c r="DE1507" t="s">
        <v>7895</v>
      </c>
      <c r="DF1507">
        <v>14.94</v>
      </c>
      <c r="DG1507">
        <v>-9.83</v>
      </c>
      <c r="DH1507">
        <v>-7.46</v>
      </c>
      <c r="DI1507">
        <v>0.21</v>
      </c>
      <c r="DJ1507">
        <v>1548</v>
      </c>
      <c r="DK1507">
        <v>300128</v>
      </c>
      <c r="DL1507" t="s">
        <v>120</v>
      </c>
      <c r="DM1507" t="s">
        <v>120</v>
      </c>
      <c r="DN1507" t="s">
        <v>120</v>
      </c>
    </row>
    <row r="1508" spans="1:118">
      <c r="A1508" t="str">
        <f>"300129"</f>
        <v>300129</v>
      </c>
      <c r="B1508" t="s">
        <v>7896</v>
      </c>
      <c r="C1508">
        <v>-5.31</v>
      </c>
      <c r="D1508">
        <v>0.81</v>
      </c>
      <c r="E1508">
        <v>-1.42</v>
      </c>
      <c r="F1508">
        <v>9521</v>
      </c>
      <c r="G1508" t="s">
        <v>2190</v>
      </c>
      <c r="H1508">
        <v>102576.13</v>
      </c>
      <c r="I1508">
        <v>1624.35</v>
      </c>
      <c r="J1508" t="s">
        <v>120</v>
      </c>
      <c r="K1508" t="s">
        <v>7897</v>
      </c>
      <c r="L1508">
        <v>17.350000000000001</v>
      </c>
      <c r="M1508">
        <v>9.98</v>
      </c>
      <c r="N1508">
        <v>1.23</v>
      </c>
      <c r="O1508">
        <v>1.52</v>
      </c>
      <c r="P1508">
        <v>10.7</v>
      </c>
      <c r="Q1508">
        <v>-6.26</v>
      </c>
      <c r="R1508">
        <v>9.8800000000000008</v>
      </c>
      <c r="S1508">
        <v>10.39</v>
      </c>
      <c r="T1508">
        <v>1001825</v>
      </c>
      <c r="U1508">
        <v>9.98</v>
      </c>
      <c r="V1508">
        <v>10.54</v>
      </c>
      <c r="W1508">
        <v>20.100000000000001</v>
      </c>
      <c r="X1508" t="s">
        <v>394</v>
      </c>
      <c r="Y1508" t="s">
        <v>1510</v>
      </c>
      <c r="Z1508">
        <v>7.78</v>
      </c>
      <c r="AA1508">
        <v>10.24</v>
      </c>
      <c r="AB1508">
        <v>520330</v>
      </c>
      <c r="AC1508">
        <v>481495</v>
      </c>
      <c r="AD1508">
        <v>1.08</v>
      </c>
      <c r="AE1508">
        <v>299</v>
      </c>
      <c r="AF1508">
        <v>130</v>
      </c>
      <c r="AG1508" t="s">
        <v>120</v>
      </c>
      <c r="AH1508">
        <v>0.28999999999999998</v>
      </c>
      <c r="AI1508" t="s">
        <v>120</v>
      </c>
      <c r="AJ1508">
        <v>5.77</v>
      </c>
      <c r="AK1508" t="s">
        <v>7898</v>
      </c>
      <c r="AL1508">
        <v>-3.4</v>
      </c>
      <c r="AM1508">
        <v>4489</v>
      </c>
      <c r="AN1508">
        <v>223</v>
      </c>
      <c r="AO1508">
        <v>3.8999999999999998E-3</v>
      </c>
      <c r="AP1508">
        <v>-1</v>
      </c>
      <c r="AQ1508">
        <v>11.89</v>
      </c>
      <c r="AR1508">
        <v>5.61</v>
      </c>
      <c r="AS1508">
        <v>16.309999999999999</v>
      </c>
      <c r="AT1508">
        <v>59.68</v>
      </c>
      <c r="AU1508">
        <v>33.06</v>
      </c>
      <c r="AV1508">
        <v>1</v>
      </c>
      <c r="AW1508">
        <v>18.59</v>
      </c>
      <c r="AX1508">
        <v>74.92</v>
      </c>
      <c r="AY1508">
        <v>18.39</v>
      </c>
      <c r="AZ1508">
        <v>21.73</v>
      </c>
      <c r="BA1508">
        <v>0</v>
      </c>
      <c r="BB1508" t="s">
        <v>751</v>
      </c>
      <c r="BF1508">
        <v>-2.86</v>
      </c>
      <c r="BG1508">
        <v>-3.95</v>
      </c>
      <c r="BH1508">
        <v>-6.73</v>
      </c>
      <c r="BI1508">
        <v>1.01</v>
      </c>
      <c r="BJ1508">
        <v>20210827</v>
      </c>
      <c r="BK1508">
        <v>20101019</v>
      </c>
      <c r="BL1508">
        <v>7.19</v>
      </c>
      <c r="BM1508" t="s">
        <v>120</v>
      </c>
      <c r="BN1508" t="s">
        <v>120</v>
      </c>
      <c r="BO1508">
        <v>50.42</v>
      </c>
      <c r="BP1508">
        <v>9.9700000000000006</v>
      </c>
      <c r="BQ1508">
        <v>26.95</v>
      </c>
      <c r="BR1508">
        <v>0.24</v>
      </c>
      <c r="BS1508">
        <v>46.07</v>
      </c>
      <c r="BT1508">
        <v>39.72</v>
      </c>
      <c r="BU1508">
        <v>6.41</v>
      </c>
      <c r="BV1508">
        <v>2.2000000000000002</v>
      </c>
      <c r="BW1508">
        <v>22.7</v>
      </c>
      <c r="BX1508">
        <v>6.77</v>
      </c>
      <c r="BY1508">
        <v>15.05</v>
      </c>
      <c r="BZ1508">
        <v>13.29</v>
      </c>
      <c r="CA1508" t="s">
        <v>120</v>
      </c>
      <c r="CB1508">
        <v>7.12</v>
      </c>
      <c r="CC1508">
        <v>13.94</v>
      </c>
      <c r="CD1508">
        <v>11.34</v>
      </c>
      <c r="CE1508">
        <v>2.1</v>
      </c>
      <c r="CF1508">
        <v>0.05</v>
      </c>
      <c r="CG1508">
        <v>2.1</v>
      </c>
      <c r="CH1508">
        <v>1.77</v>
      </c>
      <c r="CI1508">
        <v>1.79</v>
      </c>
      <c r="CJ1508">
        <v>-0.56000000000000005</v>
      </c>
      <c r="CK1508">
        <v>1.66</v>
      </c>
      <c r="CL1508">
        <v>11.9</v>
      </c>
      <c r="CM1508">
        <v>0.73</v>
      </c>
      <c r="CN1508">
        <v>0.15</v>
      </c>
      <c r="CO1508">
        <v>64364</v>
      </c>
      <c r="CP1508">
        <v>8371</v>
      </c>
      <c r="CQ1508" t="s">
        <v>6203</v>
      </c>
      <c r="CR1508">
        <v>54.96</v>
      </c>
      <c r="CS1508">
        <v>21.99</v>
      </c>
      <c r="CT1508">
        <v>2.66</v>
      </c>
      <c r="CU1508">
        <v>97.78</v>
      </c>
      <c r="CV1508">
        <v>5.15</v>
      </c>
      <c r="CW1508">
        <v>0.95</v>
      </c>
      <c r="CX1508" t="s">
        <v>7899</v>
      </c>
      <c r="CY1508">
        <v>3.75</v>
      </c>
      <c r="CZ1508">
        <v>0</v>
      </c>
      <c r="DA1508">
        <v>0.99</v>
      </c>
      <c r="DB1508">
        <v>1.65</v>
      </c>
      <c r="DC1508">
        <v>0.1</v>
      </c>
      <c r="DD1508">
        <v>53.46</v>
      </c>
      <c r="DE1508" t="s">
        <v>1521</v>
      </c>
      <c r="DF1508">
        <v>18.62</v>
      </c>
      <c r="DG1508">
        <v>15.08</v>
      </c>
      <c r="DH1508">
        <v>12.81</v>
      </c>
      <c r="DI1508">
        <v>0.45</v>
      </c>
      <c r="DJ1508">
        <v>863</v>
      </c>
      <c r="DK1508">
        <v>300129</v>
      </c>
      <c r="DL1508">
        <v>20210803</v>
      </c>
      <c r="DM1508">
        <v>8.91</v>
      </c>
      <c r="DN1508">
        <v>12.01</v>
      </c>
    </row>
    <row r="1509" spans="1:118">
      <c r="A1509" t="str">
        <f>"300130"</f>
        <v>300130</v>
      </c>
      <c r="B1509" t="s">
        <v>7900</v>
      </c>
      <c r="C1509">
        <v>-2.15</v>
      </c>
      <c r="D1509">
        <v>0</v>
      </c>
      <c r="E1509">
        <v>0.82</v>
      </c>
      <c r="F1509">
        <v>168</v>
      </c>
      <c r="G1509" t="s">
        <v>7901</v>
      </c>
      <c r="H1509">
        <v>5752.1</v>
      </c>
      <c r="I1509">
        <v>39.93</v>
      </c>
      <c r="J1509" t="s">
        <v>120</v>
      </c>
      <c r="K1509" t="s">
        <v>7902</v>
      </c>
      <c r="L1509">
        <v>1.67</v>
      </c>
      <c r="M1509">
        <v>9.57</v>
      </c>
      <c r="N1509">
        <v>0.96</v>
      </c>
      <c r="O1509">
        <v>0.82</v>
      </c>
      <c r="P1509">
        <v>9.86</v>
      </c>
      <c r="Q1509">
        <v>-2.35</v>
      </c>
      <c r="R1509">
        <v>9.5500000000000007</v>
      </c>
      <c r="S1509">
        <v>9.86</v>
      </c>
      <c r="T1509">
        <v>59303</v>
      </c>
      <c r="U1509">
        <v>9.58</v>
      </c>
      <c r="V1509">
        <v>9.7799999999999994</v>
      </c>
      <c r="W1509">
        <v>25.13</v>
      </c>
      <c r="X1509" t="s">
        <v>238</v>
      </c>
      <c r="Y1509" t="s">
        <v>123</v>
      </c>
      <c r="Z1509">
        <v>3.17</v>
      </c>
      <c r="AA1509">
        <v>9.6999999999999993</v>
      </c>
      <c r="AB1509">
        <v>38567</v>
      </c>
      <c r="AC1509">
        <v>20736</v>
      </c>
      <c r="AD1509">
        <v>1.86</v>
      </c>
      <c r="AE1509">
        <v>55</v>
      </c>
      <c r="AF1509">
        <v>18</v>
      </c>
      <c r="AG1509" t="s">
        <v>120</v>
      </c>
      <c r="AH1509">
        <v>0.01</v>
      </c>
      <c r="AI1509" t="s">
        <v>120</v>
      </c>
      <c r="AJ1509">
        <v>3.55</v>
      </c>
      <c r="AK1509" t="s">
        <v>4918</v>
      </c>
      <c r="AL1509">
        <v>-0.23</v>
      </c>
      <c r="AM1509">
        <v>2202</v>
      </c>
      <c r="AN1509">
        <v>27</v>
      </c>
      <c r="AO1509">
        <v>8.0000000000000004E-4</v>
      </c>
      <c r="AP1509">
        <v>-6</v>
      </c>
      <c r="AQ1509">
        <v>-0.71</v>
      </c>
      <c r="AR1509">
        <v>-3.34</v>
      </c>
      <c r="AS1509">
        <v>-3.92</v>
      </c>
      <c r="AT1509">
        <v>-14.63</v>
      </c>
      <c r="AU1509">
        <v>-15.61</v>
      </c>
      <c r="AV1509">
        <v>0</v>
      </c>
      <c r="AW1509">
        <v>2.0099999999999998</v>
      </c>
      <c r="AX1509">
        <v>60.32</v>
      </c>
      <c r="AY1509">
        <v>88.13</v>
      </c>
      <c r="AZ1509">
        <v>55.31</v>
      </c>
      <c r="BA1509">
        <v>0.83</v>
      </c>
      <c r="BB1509" t="s">
        <v>125</v>
      </c>
      <c r="BF1509">
        <v>-0.82</v>
      </c>
      <c r="BG1509">
        <v>-2.94</v>
      </c>
      <c r="BH1509">
        <v>-2.94</v>
      </c>
      <c r="BI1509">
        <v>0.21</v>
      </c>
      <c r="BJ1509">
        <v>20210819</v>
      </c>
      <c r="BK1509">
        <v>20101019</v>
      </c>
      <c r="BL1509">
        <v>4.8899999999999997</v>
      </c>
      <c r="BM1509" t="s">
        <v>120</v>
      </c>
      <c r="BN1509" t="s">
        <v>120</v>
      </c>
      <c r="BO1509">
        <v>36.9</v>
      </c>
      <c r="BP1509">
        <v>9.57</v>
      </c>
      <c r="BQ1509">
        <v>24.05</v>
      </c>
      <c r="BR1509">
        <v>-0.01</v>
      </c>
      <c r="BS1509">
        <v>34.85</v>
      </c>
      <c r="BT1509">
        <v>25.7</v>
      </c>
      <c r="BU1509">
        <v>0.88</v>
      </c>
      <c r="BV1509">
        <v>0.04</v>
      </c>
      <c r="BW1509">
        <v>9.16</v>
      </c>
      <c r="BX1509">
        <v>14.71</v>
      </c>
      <c r="BY1509">
        <v>3.31</v>
      </c>
      <c r="BZ1509">
        <v>5.26</v>
      </c>
      <c r="CA1509" t="s">
        <v>120</v>
      </c>
      <c r="CB1509">
        <v>10.69</v>
      </c>
      <c r="CC1509">
        <v>16.11</v>
      </c>
      <c r="CD1509">
        <v>12.56</v>
      </c>
      <c r="CE1509">
        <v>0.98</v>
      </c>
      <c r="CF1509">
        <v>-0.01</v>
      </c>
      <c r="CG1509">
        <v>0.97</v>
      </c>
      <c r="CH1509">
        <v>0.93</v>
      </c>
      <c r="CI1509">
        <v>0.93</v>
      </c>
      <c r="CJ1509">
        <v>-0.21</v>
      </c>
      <c r="CK1509">
        <v>0.59</v>
      </c>
      <c r="CL1509">
        <v>8.19</v>
      </c>
      <c r="CM1509">
        <v>0.27</v>
      </c>
      <c r="CN1509">
        <v>-1.44</v>
      </c>
      <c r="CO1509">
        <v>29122</v>
      </c>
      <c r="CP1509">
        <v>10133</v>
      </c>
      <c r="CQ1509" t="s">
        <v>3602</v>
      </c>
      <c r="CR1509">
        <v>-25.7</v>
      </c>
      <c r="CS1509">
        <v>34.43</v>
      </c>
      <c r="CT1509">
        <v>1.95</v>
      </c>
      <c r="CU1509">
        <v>175.49</v>
      </c>
      <c r="CV1509">
        <v>2.91</v>
      </c>
      <c r="CW1509">
        <v>2.54</v>
      </c>
      <c r="CX1509" t="s">
        <v>442</v>
      </c>
      <c r="CY1509">
        <v>4.92</v>
      </c>
      <c r="CZ1509">
        <v>0</v>
      </c>
      <c r="DA1509">
        <v>2.19</v>
      </c>
      <c r="DB1509">
        <v>1.67</v>
      </c>
      <c r="DC1509">
        <v>0.05</v>
      </c>
      <c r="DD1509">
        <v>65.17</v>
      </c>
      <c r="DE1509" t="s">
        <v>1148</v>
      </c>
      <c r="DF1509">
        <v>22.01</v>
      </c>
      <c r="DG1509">
        <v>6.06</v>
      </c>
      <c r="DH1509">
        <v>5.78</v>
      </c>
      <c r="DI1509">
        <v>1.23</v>
      </c>
      <c r="DJ1509">
        <v>2428</v>
      </c>
      <c r="DK1509">
        <v>300130</v>
      </c>
      <c r="DL1509" t="s">
        <v>120</v>
      </c>
      <c r="DM1509" t="s">
        <v>120</v>
      </c>
      <c r="DN1509" t="s">
        <v>120</v>
      </c>
    </row>
    <row r="1510" spans="1:118">
      <c r="A1510" t="str">
        <f>"300131"</f>
        <v>300131</v>
      </c>
      <c r="B1510" t="s">
        <v>7903</v>
      </c>
      <c r="C1510">
        <v>-3.92</v>
      </c>
      <c r="D1510">
        <v>0.14000000000000001</v>
      </c>
      <c r="E1510">
        <v>-0.14000000000000001</v>
      </c>
      <c r="F1510">
        <v>4735</v>
      </c>
      <c r="G1510" t="s">
        <v>7904</v>
      </c>
      <c r="H1510">
        <v>29198.080000000002</v>
      </c>
      <c r="I1510">
        <v>193.28</v>
      </c>
      <c r="J1510" t="s">
        <v>120</v>
      </c>
      <c r="K1510" t="s">
        <v>7905</v>
      </c>
      <c r="L1510">
        <v>4.32</v>
      </c>
      <c r="M1510">
        <v>7.1</v>
      </c>
      <c r="N1510">
        <v>0.82</v>
      </c>
      <c r="O1510">
        <v>0.14000000000000001</v>
      </c>
      <c r="P1510">
        <v>7.4</v>
      </c>
      <c r="Q1510">
        <v>-4.47</v>
      </c>
      <c r="R1510">
        <v>7.06</v>
      </c>
      <c r="S1510">
        <v>7.38</v>
      </c>
      <c r="T1510">
        <v>403547</v>
      </c>
      <c r="U1510">
        <v>7.1</v>
      </c>
      <c r="V1510">
        <v>7.39</v>
      </c>
      <c r="W1510">
        <v>121.79</v>
      </c>
      <c r="X1510" t="s">
        <v>229</v>
      </c>
      <c r="Y1510" t="s">
        <v>123</v>
      </c>
      <c r="Z1510">
        <v>4.5999999999999996</v>
      </c>
      <c r="AA1510">
        <v>7.24</v>
      </c>
      <c r="AB1510">
        <v>226354</v>
      </c>
      <c r="AC1510">
        <v>177193</v>
      </c>
      <c r="AD1510">
        <v>1.28</v>
      </c>
      <c r="AE1510">
        <v>2358</v>
      </c>
      <c r="AF1510">
        <v>1589</v>
      </c>
      <c r="AG1510" t="s">
        <v>120</v>
      </c>
      <c r="AH1510">
        <v>0.03</v>
      </c>
      <c r="AI1510" t="s">
        <v>120</v>
      </c>
      <c r="AJ1510">
        <v>9.34</v>
      </c>
      <c r="AK1510" t="s">
        <v>7906</v>
      </c>
      <c r="AL1510">
        <v>-2.0099999999999998</v>
      </c>
      <c r="AM1510">
        <v>3636</v>
      </c>
      <c r="AN1510">
        <v>111</v>
      </c>
      <c r="AO1510">
        <v>1.1999999999999999E-3</v>
      </c>
      <c r="AP1510">
        <v>-1</v>
      </c>
      <c r="AQ1510">
        <v>0.41</v>
      </c>
      <c r="AR1510">
        <v>-3.53</v>
      </c>
      <c r="AS1510">
        <v>-13.42</v>
      </c>
      <c r="AT1510">
        <v>-11.48</v>
      </c>
      <c r="AU1510">
        <v>-15.07</v>
      </c>
      <c r="AV1510">
        <v>1</v>
      </c>
      <c r="AW1510">
        <v>4.54</v>
      </c>
      <c r="AX1510">
        <v>83.04</v>
      </c>
      <c r="AY1510">
        <v>24</v>
      </c>
      <c r="AZ1510">
        <v>29.39</v>
      </c>
      <c r="BA1510">
        <v>0.89</v>
      </c>
      <c r="BB1510" t="s">
        <v>143</v>
      </c>
      <c r="BF1510">
        <v>-2.09</v>
      </c>
      <c r="BG1510">
        <v>-3.79</v>
      </c>
      <c r="BH1510">
        <v>-4.05</v>
      </c>
      <c r="BI1510">
        <v>0.56999999999999995</v>
      </c>
      <c r="BJ1510">
        <v>20210830</v>
      </c>
      <c r="BK1510">
        <v>20101019</v>
      </c>
      <c r="BL1510">
        <v>10.7</v>
      </c>
      <c r="BM1510" t="s">
        <v>120</v>
      </c>
      <c r="BN1510" t="s">
        <v>120</v>
      </c>
      <c r="BO1510">
        <v>35.53</v>
      </c>
      <c r="BP1510">
        <v>7.09</v>
      </c>
      <c r="BQ1510">
        <v>14.83</v>
      </c>
      <c r="BR1510">
        <v>0.52</v>
      </c>
      <c r="BS1510">
        <v>56.78</v>
      </c>
      <c r="BT1510">
        <v>27.11</v>
      </c>
      <c r="BU1510">
        <v>1.4</v>
      </c>
      <c r="BV1510">
        <v>1.08</v>
      </c>
      <c r="BW1510">
        <v>19.010000000000002</v>
      </c>
      <c r="BX1510">
        <v>4.01</v>
      </c>
      <c r="BY1510">
        <v>8.48</v>
      </c>
      <c r="BZ1510">
        <v>10.57</v>
      </c>
      <c r="CA1510" t="s">
        <v>120</v>
      </c>
      <c r="CB1510">
        <v>0.3</v>
      </c>
      <c r="CC1510">
        <v>32.47</v>
      </c>
      <c r="CD1510">
        <v>29.1</v>
      </c>
      <c r="CE1510">
        <v>1.31</v>
      </c>
      <c r="CF1510">
        <v>0.26</v>
      </c>
      <c r="CG1510">
        <v>0.63</v>
      </c>
      <c r="CH1510">
        <v>0.35</v>
      </c>
      <c r="CI1510">
        <v>0.31</v>
      </c>
      <c r="CJ1510">
        <v>-0.28999999999999998</v>
      </c>
      <c r="CK1510">
        <v>0.7</v>
      </c>
      <c r="CL1510">
        <v>3.7</v>
      </c>
      <c r="CM1510">
        <v>0.97</v>
      </c>
      <c r="CN1510">
        <v>0.45</v>
      </c>
      <c r="CO1510">
        <v>78641</v>
      </c>
      <c r="CP1510">
        <v>11294</v>
      </c>
      <c r="CQ1510" t="s">
        <v>7907</v>
      </c>
      <c r="CR1510">
        <v>206.82</v>
      </c>
      <c r="CS1510">
        <v>-40.97</v>
      </c>
      <c r="CT1510">
        <v>5.12</v>
      </c>
      <c r="CU1510">
        <v>77.95</v>
      </c>
      <c r="CV1510">
        <v>2.34</v>
      </c>
      <c r="CW1510">
        <v>0</v>
      </c>
      <c r="CX1510" t="s">
        <v>2074</v>
      </c>
      <c r="CY1510">
        <v>1.39</v>
      </c>
      <c r="CZ1510">
        <v>0</v>
      </c>
      <c r="DA1510">
        <v>0.03</v>
      </c>
      <c r="DB1510">
        <v>0.35</v>
      </c>
      <c r="DC1510">
        <v>0.09</v>
      </c>
      <c r="DD1510">
        <v>41.75</v>
      </c>
      <c r="DE1510" t="s">
        <v>7908</v>
      </c>
      <c r="DF1510">
        <v>10.4</v>
      </c>
      <c r="DG1510">
        <v>4.04</v>
      </c>
      <c r="DH1510">
        <v>0.96</v>
      </c>
      <c r="DI1510">
        <v>0.12</v>
      </c>
      <c r="DJ1510">
        <v>718</v>
      </c>
      <c r="DK1510">
        <v>300131</v>
      </c>
      <c r="DL1510" t="s">
        <v>120</v>
      </c>
      <c r="DM1510" t="s">
        <v>120</v>
      </c>
      <c r="DN1510" t="s">
        <v>120</v>
      </c>
    </row>
    <row r="1511" spans="1:118">
      <c r="A1511" t="str">
        <f>"300132"</f>
        <v>300132</v>
      </c>
      <c r="B1511" t="s">
        <v>7909</v>
      </c>
      <c r="C1511">
        <v>3.94</v>
      </c>
      <c r="D1511">
        <v>7.0000000000000007E-2</v>
      </c>
      <c r="E1511">
        <v>0.34</v>
      </c>
      <c r="F1511">
        <v>1000</v>
      </c>
      <c r="G1511" t="s">
        <v>2914</v>
      </c>
      <c r="H1511">
        <v>31430.61</v>
      </c>
      <c r="I1511">
        <v>18.3</v>
      </c>
      <c r="J1511" t="s">
        <v>120</v>
      </c>
      <c r="K1511" t="s">
        <v>7910</v>
      </c>
      <c r="L1511">
        <v>4.29</v>
      </c>
      <c r="M1511">
        <v>15.29</v>
      </c>
      <c r="N1511">
        <v>3.8</v>
      </c>
      <c r="O1511">
        <v>8.57</v>
      </c>
      <c r="P1511">
        <v>15.97</v>
      </c>
      <c r="Q1511">
        <v>0.34</v>
      </c>
      <c r="R1511">
        <v>14.76</v>
      </c>
      <c r="S1511">
        <v>14.76</v>
      </c>
      <c r="T1511">
        <v>203162</v>
      </c>
      <c r="U1511">
        <v>15.3</v>
      </c>
      <c r="V1511">
        <v>14.71</v>
      </c>
      <c r="W1511">
        <v>21.86</v>
      </c>
      <c r="X1511" t="s">
        <v>868</v>
      </c>
      <c r="Y1511" t="s">
        <v>937</v>
      </c>
      <c r="Z1511">
        <v>8.23</v>
      </c>
      <c r="AA1511">
        <v>15.47</v>
      </c>
      <c r="AB1511">
        <v>89983</v>
      </c>
      <c r="AC1511">
        <v>113179</v>
      </c>
      <c r="AD1511">
        <v>0.8</v>
      </c>
      <c r="AE1511">
        <v>1</v>
      </c>
      <c r="AF1511">
        <v>107</v>
      </c>
      <c r="AG1511" t="s">
        <v>120</v>
      </c>
      <c r="AH1511">
        <v>0</v>
      </c>
      <c r="AI1511" t="s">
        <v>120</v>
      </c>
      <c r="AJ1511">
        <v>4.74</v>
      </c>
      <c r="AK1511" t="s">
        <v>7911</v>
      </c>
      <c r="AL1511">
        <v>5.86</v>
      </c>
      <c r="AM1511">
        <v>2926</v>
      </c>
      <c r="AN1511">
        <v>69</v>
      </c>
      <c r="AO1511">
        <v>1.5E-3</v>
      </c>
      <c r="AP1511">
        <v>1</v>
      </c>
      <c r="AQ1511">
        <v>-0.14000000000000001</v>
      </c>
      <c r="AR1511">
        <v>1.79</v>
      </c>
      <c r="AS1511">
        <v>0.66</v>
      </c>
      <c r="AT1511">
        <v>-32.340000000000003</v>
      </c>
      <c r="AU1511">
        <v>-17.84</v>
      </c>
      <c r="AV1511">
        <v>1</v>
      </c>
      <c r="AW1511">
        <v>5.07</v>
      </c>
      <c r="AX1511">
        <v>77.55</v>
      </c>
      <c r="AY1511">
        <v>18.29</v>
      </c>
      <c r="AZ1511">
        <v>16.489999999999998</v>
      </c>
      <c r="BA1511">
        <v>0.87</v>
      </c>
      <c r="BB1511" t="s">
        <v>143</v>
      </c>
      <c r="BF1511">
        <v>5.17</v>
      </c>
      <c r="BG1511">
        <v>3.59</v>
      </c>
      <c r="BH1511">
        <v>-4.26</v>
      </c>
      <c r="BI1511">
        <v>3.59</v>
      </c>
      <c r="BJ1511">
        <v>20210830</v>
      </c>
      <c r="BK1511">
        <v>20101026</v>
      </c>
      <c r="BL1511">
        <v>5.17</v>
      </c>
      <c r="BM1511" t="s">
        <v>120</v>
      </c>
      <c r="BN1511" t="s">
        <v>120</v>
      </c>
      <c r="BO1511">
        <v>48.4</v>
      </c>
      <c r="BP1511">
        <v>15.29</v>
      </c>
      <c r="BQ1511">
        <v>32.25</v>
      </c>
      <c r="BR1511">
        <v>0.01</v>
      </c>
      <c r="BS1511">
        <v>33.35</v>
      </c>
      <c r="BT1511">
        <v>21.08</v>
      </c>
      <c r="BU1511">
        <v>6.39</v>
      </c>
      <c r="BV1511">
        <v>1.07</v>
      </c>
      <c r="BW1511">
        <v>10.78</v>
      </c>
      <c r="BX1511">
        <v>2.2599999999999998</v>
      </c>
      <c r="BY1511">
        <v>10.14</v>
      </c>
      <c r="BZ1511">
        <v>7.37</v>
      </c>
      <c r="CA1511" t="s">
        <v>120</v>
      </c>
      <c r="CB1511">
        <v>11.62</v>
      </c>
      <c r="CC1511">
        <v>19.11</v>
      </c>
      <c r="CD1511">
        <v>14.99</v>
      </c>
      <c r="CE1511">
        <v>2.12</v>
      </c>
      <c r="CF1511">
        <v>0</v>
      </c>
      <c r="CG1511">
        <v>2.11</v>
      </c>
      <c r="CH1511">
        <v>1.8</v>
      </c>
      <c r="CI1511">
        <v>1.81</v>
      </c>
      <c r="CJ1511">
        <v>0.57999999999999996</v>
      </c>
      <c r="CK1511">
        <v>1.78</v>
      </c>
      <c r="CL1511">
        <v>14.09</v>
      </c>
      <c r="CM1511">
        <v>0.88</v>
      </c>
      <c r="CN1511">
        <v>-2.87</v>
      </c>
      <c r="CO1511">
        <v>15296</v>
      </c>
      <c r="CP1511">
        <v>26189</v>
      </c>
      <c r="CQ1511" t="s">
        <v>7912</v>
      </c>
      <c r="CR1511">
        <v>-20.079999999999998</v>
      </c>
      <c r="CS1511">
        <v>6.45</v>
      </c>
      <c r="CT1511">
        <v>2.4500000000000002</v>
      </c>
      <c r="CU1511">
        <v>89.5</v>
      </c>
      <c r="CV1511">
        <v>4.13</v>
      </c>
      <c r="CW1511">
        <v>1.22</v>
      </c>
      <c r="CX1511" t="s">
        <v>269</v>
      </c>
      <c r="CY1511">
        <v>6.24</v>
      </c>
      <c r="CZ1511">
        <v>0</v>
      </c>
      <c r="DA1511">
        <v>2.25</v>
      </c>
      <c r="DB1511">
        <v>2.73</v>
      </c>
      <c r="DC1511">
        <v>0.17</v>
      </c>
      <c r="DD1511">
        <v>66.64</v>
      </c>
      <c r="DE1511" t="s">
        <v>2955</v>
      </c>
      <c r="DF1511">
        <v>21.57</v>
      </c>
      <c r="DG1511">
        <v>11.1</v>
      </c>
      <c r="DH1511">
        <v>9.4499999999999993</v>
      </c>
      <c r="DI1511">
        <v>0.53</v>
      </c>
      <c r="DJ1511">
        <v>7904</v>
      </c>
      <c r="DK1511">
        <v>300132</v>
      </c>
      <c r="DL1511" t="s">
        <v>120</v>
      </c>
      <c r="DM1511" t="s">
        <v>120</v>
      </c>
      <c r="DN1511" t="s">
        <v>120</v>
      </c>
    </row>
    <row r="1512" spans="1:118">
      <c r="A1512" t="str">
        <f>"300133"</f>
        <v>300133</v>
      </c>
      <c r="B1512" t="s">
        <v>7913</v>
      </c>
      <c r="C1512">
        <v>-0.98</v>
      </c>
      <c r="D1512">
        <v>1.17</v>
      </c>
      <c r="E1512">
        <v>0.49</v>
      </c>
      <c r="F1512">
        <v>6994</v>
      </c>
      <c r="G1512" t="s">
        <v>7914</v>
      </c>
      <c r="H1512">
        <v>9950.49</v>
      </c>
      <c r="I1512">
        <v>32.159999999999997</v>
      </c>
      <c r="J1512" t="s">
        <v>120</v>
      </c>
      <c r="K1512" t="s">
        <v>7915</v>
      </c>
      <c r="L1512">
        <v>1.1299999999999999</v>
      </c>
      <c r="M1512">
        <v>6.07</v>
      </c>
      <c r="N1512">
        <v>0.8</v>
      </c>
      <c r="O1512">
        <v>0.82</v>
      </c>
      <c r="P1512">
        <v>6.18</v>
      </c>
      <c r="Q1512">
        <v>-2.12</v>
      </c>
      <c r="R1512">
        <v>6</v>
      </c>
      <c r="S1512">
        <v>6.16</v>
      </c>
      <c r="T1512">
        <v>163587</v>
      </c>
      <c r="U1512">
        <v>6.07</v>
      </c>
      <c r="V1512">
        <v>6.13</v>
      </c>
      <c r="W1512">
        <v>24.68</v>
      </c>
      <c r="X1512" t="s">
        <v>584</v>
      </c>
      <c r="Y1512" t="s">
        <v>585</v>
      </c>
      <c r="Z1512">
        <v>2.94</v>
      </c>
      <c r="AA1512">
        <v>6.08</v>
      </c>
      <c r="AB1512">
        <v>88565</v>
      </c>
      <c r="AC1512">
        <v>75022</v>
      </c>
      <c r="AD1512">
        <v>1.18</v>
      </c>
      <c r="AE1512">
        <v>466</v>
      </c>
      <c r="AF1512">
        <v>16</v>
      </c>
      <c r="AG1512" t="s">
        <v>120</v>
      </c>
      <c r="AH1512">
        <v>0.01</v>
      </c>
      <c r="AI1512" t="s">
        <v>120</v>
      </c>
      <c r="AJ1512">
        <v>14.48</v>
      </c>
      <c r="AK1512" t="s">
        <v>7916</v>
      </c>
      <c r="AL1512">
        <v>0.93</v>
      </c>
      <c r="AM1512">
        <v>2325</v>
      </c>
      <c r="AN1512">
        <v>70</v>
      </c>
      <c r="AO1512">
        <v>5.0000000000000001E-4</v>
      </c>
      <c r="AP1512">
        <v>-1</v>
      </c>
      <c r="AQ1512">
        <v>3.2</v>
      </c>
      <c r="AR1512">
        <v>-0.16</v>
      </c>
      <c r="AS1512">
        <v>12.41</v>
      </c>
      <c r="AT1512">
        <v>0.66</v>
      </c>
      <c r="AU1512">
        <v>-1.44</v>
      </c>
      <c r="AV1512">
        <v>0</v>
      </c>
      <c r="AW1512">
        <v>1.59</v>
      </c>
      <c r="AX1512">
        <v>53.96</v>
      </c>
      <c r="AY1512">
        <v>24</v>
      </c>
      <c r="AZ1512">
        <v>29.19</v>
      </c>
      <c r="BA1512">
        <v>0.22</v>
      </c>
      <c r="BB1512" t="s">
        <v>184</v>
      </c>
      <c r="BF1512">
        <v>-0.77</v>
      </c>
      <c r="BG1512">
        <v>-1.46</v>
      </c>
      <c r="BH1512">
        <v>-1.78</v>
      </c>
      <c r="BI1512">
        <v>1.17</v>
      </c>
      <c r="BJ1512">
        <v>20210910</v>
      </c>
      <c r="BK1512">
        <v>20101026</v>
      </c>
      <c r="BL1512">
        <v>19.010000000000002</v>
      </c>
      <c r="BM1512" t="s">
        <v>120</v>
      </c>
      <c r="BN1512" t="s">
        <v>120</v>
      </c>
      <c r="BO1512">
        <v>93.55</v>
      </c>
      <c r="BP1512">
        <v>6.05</v>
      </c>
      <c r="BQ1512">
        <v>64.98</v>
      </c>
      <c r="BR1512">
        <v>0.53</v>
      </c>
      <c r="BS1512">
        <v>29.97</v>
      </c>
      <c r="BT1512">
        <v>76.650000000000006</v>
      </c>
      <c r="BU1512">
        <v>0.65</v>
      </c>
      <c r="BV1512">
        <v>0.04</v>
      </c>
      <c r="BW1512">
        <v>26.92</v>
      </c>
      <c r="BX1512">
        <v>35.07</v>
      </c>
      <c r="BY1512">
        <v>22.5</v>
      </c>
      <c r="BZ1512">
        <v>9.65</v>
      </c>
      <c r="CA1512">
        <v>0.61</v>
      </c>
      <c r="CB1512">
        <v>35.299999999999997</v>
      </c>
      <c r="CC1512">
        <v>22.13</v>
      </c>
      <c r="CD1512">
        <v>16.25</v>
      </c>
      <c r="CE1512">
        <v>2.59</v>
      </c>
      <c r="CF1512">
        <v>-0.05</v>
      </c>
      <c r="CG1512">
        <v>3.28</v>
      </c>
      <c r="CH1512">
        <v>2.4900000000000002</v>
      </c>
      <c r="CI1512">
        <v>2.34</v>
      </c>
      <c r="CJ1512">
        <v>-0.06</v>
      </c>
      <c r="CK1512">
        <v>1.59</v>
      </c>
      <c r="CL1512">
        <v>13.54</v>
      </c>
      <c r="CM1512">
        <v>11.14</v>
      </c>
      <c r="CN1512">
        <v>14.52</v>
      </c>
      <c r="CO1512">
        <v>39777</v>
      </c>
      <c r="CP1512">
        <v>25791</v>
      </c>
      <c r="CQ1512" t="s">
        <v>7917</v>
      </c>
      <c r="CR1512">
        <v>58.71</v>
      </c>
      <c r="CS1512">
        <v>98.77</v>
      </c>
      <c r="CT1512">
        <v>1.78</v>
      </c>
      <c r="CU1512">
        <v>10.36</v>
      </c>
      <c r="CV1512">
        <v>5.21</v>
      </c>
      <c r="CW1512">
        <v>0.34</v>
      </c>
      <c r="CX1512" t="s">
        <v>986</v>
      </c>
      <c r="CY1512">
        <v>3.42</v>
      </c>
      <c r="CZ1512">
        <v>0</v>
      </c>
      <c r="DA1512">
        <v>1.86</v>
      </c>
      <c r="DB1512">
        <v>0.71</v>
      </c>
      <c r="DC1512">
        <v>0.59</v>
      </c>
      <c r="DD1512">
        <v>69.459999999999994</v>
      </c>
      <c r="DE1512" t="s">
        <v>1060</v>
      </c>
      <c r="DF1512">
        <v>26.6</v>
      </c>
      <c r="DG1512">
        <v>11.69</v>
      </c>
      <c r="DH1512">
        <v>10.56</v>
      </c>
      <c r="DI1512">
        <v>0.06</v>
      </c>
      <c r="DJ1512">
        <v>660</v>
      </c>
      <c r="DK1512">
        <v>300133</v>
      </c>
      <c r="DL1512" t="s">
        <v>120</v>
      </c>
      <c r="DM1512" t="s">
        <v>120</v>
      </c>
      <c r="DN1512" t="s">
        <v>120</v>
      </c>
    </row>
    <row r="1513" spans="1:118">
      <c r="A1513" t="str">
        <f>"300134"</f>
        <v>300134</v>
      </c>
      <c r="B1513" t="s">
        <v>7918</v>
      </c>
      <c r="C1513">
        <v>-3.25</v>
      </c>
      <c r="D1513">
        <v>0</v>
      </c>
      <c r="E1513">
        <v>-0.39</v>
      </c>
      <c r="F1513">
        <v>2037</v>
      </c>
      <c r="G1513" t="s">
        <v>2245</v>
      </c>
      <c r="H1513">
        <v>8098.49</v>
      </c>
      <c r="I1513">
        <v>46.76</v>
      </c>
      <c r="J1513" t="s">
        <v>120</v>
      </c>
      <c r="K1513" t="s">
        <v>7919</v>
      </c>
      <c r="L1513">
        <v>1.1399999999999999</v>
      </c>
      <c r="M1513">
        <v>9.81</v>
      </c>
      <c r="N1513">
        <v>0.77</v>
      </c>
      <c r="O1513">
        <v>0.59</v>
      </c>
      <c r="P1513">
        <v>10.199999999999999</v>
      </c>
      <c r="Q1513">
        <v>-3.35</v>
      </c>
      <c r="R1513">
        <v>9.8000000000000007</v>
      </c>
      <c r="S1513">
        <v>10.1</v>
      </c>
      <c r="T1513">
        <v>81234</v>
      </c>
      <c r="U1513">
        <v>9.81</v>
      </c>
      <c r="V1513">
        <v>10.14</v>
      </c>
      <c r="W1513" t="s">
        <v>120</v>
      </c>
      <c r="X1513" t="s">
        <v>462</v>
      </c>
      <c r="Y1513" t="s">
        <v>570</v>
      </c>
      <c r="Z1513">
        <v>3.94</v>
      </c>
      <c r="AA1513">
        <v>9.9700000000000006</v>
      </c>
      <c r="AB1513">
        <v>47637</v>
      </c>
      <c r="AC1513">
        <v>33597</v>
      </c>
      <c r="AD1513">
        <v>1.42</v>
      </c>
      <c r="AE1513">
        <v>1088</v>
      </c>
      <c r="AF1513">
        <v>72</v>
      </c>
      <c r="AG1513" t="s">
        <v>120</v>
      </c>
      <c r="AH1513">
        <v>0.01</v>
      </c>
      <c r="AI1513" t="s">
        <v>120</v>
      </c>
      <c r="AJ1513">
        <v>7.12</v>
      </c>
      <c r="AK1513" t="s">
        <v>7920</v>
      </c>
      <c r="AL1513">
        <v>-1.34</v>
      </c>
      <c r="AM1513">
        <v>2127</v>
      </c>
      <c r="AN1513">
        <v>38</v>
      </c>
      <c r="AO1513">
        <v>5.0000000000000001E-4</v>
      </c>
      <c r="AP1513">
        <v>-1</v>
      </c>
      <c r="AQ1513">
        <v>0.2</v>
      </c>
      <c r="AR1513">
        <v>-5.67</v>
      </c>
      <c r="AS1513">
        <v>-9.17</v>
      </c>
      <c r="AT1513">
        <v>-19.53</v>
      </c>
      <c r="AU1513">
        <v>-5.03</v>
      </c>
      <c r="AV1513">
        <v>1</v>
      </c>
      <c r="AW1513">
        <v>2.37</v>
      </c>
      <c r="AX1513">
        <v>44.7</v>
      </c>
      <c r="AY1513" t="s">
        <v>120</v>
      </c>
      <c r="AZ1513">
        <v>218.9</v>
      </c>
      <c r="BA1513">
        <v>0.75</v>
      </c>
      <c r="BB1513" t="s">
        <v>143</v>
      </c>
      <c r="BF1513">
        <v>-1.68</v>
      </c>
      <c r="BG1513">
        <v>-2.87</v>
      </c>
      <c r="BH1513">
        <v>-3.82</v>
      </c>
      <c r="BI1513">
        <v>0.1</v>
      </c>
      <c r="BJ1513">
        <v>20210827</v>
      </c>
      <c r="BK1513">
        <v>20101026</v>
      </c>
      <c r="BL1513">
        <v>7.67</v>
      </c>
      <c r="BM1513" t="s">
        <v>120</v>
      </c>
      <c r="BN1513" t="s">
        <v>120</v>
      </c>
      <c r="BO1513">
        <v>64.010000000000005</v>
      </c>
      <c r="BP1513">
        <v>9.8000000000000007</v>
      </c>
      <c r="BQ1513">
        <v>49.35</v>
      </c>
      <c r="BR1513">
        <v>0.91</v>
      </c>
      <c r="BS1513">
        <v>21.48</v>
      </c>
      <c r="BT1513">
        <v>36.69</v>
      </c>
      <c r="BU1513">
        <v>11.94</v>
      </c>
      <c r="BV1513">
        <v>3.55</v>
      </c>
      <c r="BW1513">
        <v>11.87</v>
      </c>
      <c r="BX1513">
        <v>7.91</v>
      </c>
      <c r="BY1513">
        <v>5.85</v>
      </c>
      <c r="BZ1513">
        <v>5.75</v>
      </c>
      <c r="CA1513" t="s">
        <v>120</v>
      </c>
      <c r="CB1513">
        <v>48.48</v>
      </c>
      <c r="CC1513">
        <v>10.52</v>
      </c>
      <c r="CD1513">
        <v>9.26</v>
      </c>
      <c r="CE1513">
        <v>-0.35</v>
      </c>
      <c r="CF1513">
        <v>0.33</v>
      </c>
      <c r="CG1513">
        <v>-0.36</v>
      </c>
      <c r="CH1513">
        <v>-0.15</v>
      </c>
      <c r="CI1513">
        <v>-0.35</v>
      </c>
      <c r="CJ1513">
        <v>-0.33</v>
      </c>
      <c r="CK1513">
        <v>-0.81</v>
      </c>
      <c r="CL1513">
        <v>-7.24</v>
      </c>
      <c r="CM1513">
        <v>0.8</v>
      </c>
      <c r="CN1513">
        <v>-1.27</v>
      </c>
      <c r="CO1513">
        <v>45872</v>
      </c>
      <c r="CP1513">
        <v>7478</v>
      </c>
      <c r="CQ1513" t="s">
        <v>7198</v>
      </c>
      <c r="CR1513">
        <v>-253.84</v>
      </c>
      <c r="CS1513">
        <v>-6.1</v>
      </c>
      <c r="CT1513">
        <v>1.53</v>
      </c>
      <c r="CU1513">
        <v>93.78</v>
      </c>
      <c r="CV1513">
        <v>7.16</v>
      </c>
      <c r="CW1513">
        <v>0</v>
      </c>
      <c r="CX1513" t="s">
        <v>161</v>
      </c>
      <c r="CY1513">
        <v>6.43</v>
      </c>
      <c r="CZ1513">
        <v>0</v>
      </c>
      <c r="DA1513">
        <v>6.32</v>
      </c>
      <c r="DB1513">
        <v>-0.94</v>
      </c>
      <c r="DC1513">
        <v>0.1</v>
      </c>
      <c r="DD1513">
        <v>77.09</v>
      </c>
      <c r="DE1513" t="s">
        <v>7921</v>
      </c>
      <c r="DF1513">
        <v>11.99</v>
      </c>
      <c r="DG1513">
        <v>-3.36</v>
      </c>
      <c r="DH1513">
        <v>-3.31</v>
      </c>
      <c r="DI1513">
        <v>1.1299999999999999</v>
      </c>
      <c r="DJ1513">
        <v>4773</v>
      </c>
      <c r="DK1513">
        <v>300134</v>
      </c>
      <c r="DL1513" t="s">
        <v>120</v>
      </c>
      <c r="DM1513" t="s">
        <v>120</v>
      </c>
      <c r="DN1513" t="s">
        <v>120</v>
      </c>
    </row>
    <row r="1514" spans="1:118">
      <c r="A1514" t="str">
        <f>"300135"</f>
        <v>300135</v>
      </c>
      <c r="B1514" t="s">
        <v>7922</v>
      </c>
      <c r="C1514">
        <v>-3.94</v>
      </c>
      <c r="D1514">
        <v>0</v>
      </c>
      <c r="E1514">
        <v>0</v>
      </c>
      <c r="F1514">
        <v>6909</v>
      </c>
      <c r="G1514" t="s">
        <v>7923</v>
      </c>
      <c r="H1514">
        <v>11169.9</v>
      </c>
      <c r="I1514">
        <v>136.19</v>
      </c>
      <c r="J1514" t="s">
        <v>120</v>
      </c>
      <c r="K1514" t="s">
        <v>7924</v>
      </c>
      <c r="L1514">
        <v>5.38</v>
      </c>
      <c r="M1514">
        <v>3.17</v>
      </c>
      <c r="N1514">
        <v>0.99</v>
      </c>
      <c r="O1514">
        <v>2.12</v>
      </c>
      <c r="P1514">
        <v>3.37</v>
      </c>
      <c r="Q1514">
        <v>-3.94</v>
      </c>
      <c r="R1514">
        <v>3.17</v>
      </c>
      <c r="S1514">
        <v>3.3</v>
      </c>
      <c r="T1514">
        <v>344138</v>
      </c>
      <c r="U1514">
        <v>3.17</v>
      </c>
      <c r="V1514">
        <v>3.3</v>
      </c>
      <c r="W1514">
        <v>835.95</v>
      </c>
      <c r="X1514" t="s">
        <v>868</v>
      </c>
      <c r="Y1514" t="s">
        <v>319</v>
      </c>
      <c r="Z1514">
        <v>6.06</v>
      </c>
      <c r="AA1514">
        <v>3.25</v>
      </c>
      <c r="AB1514">
        <v>201621</v>
      </c>
      <c r="AC1514">
        <v>142517</v>
      </c>
      <c r="AD1514">
        <v>1.41</v>
      </c>
      <c r="AE1514">
        <v>1436</v>
      </c>
      <c r="AF1514">
        <v>23</v>
      </c>
      <c r="AG1514" t="s">
        <v>120</v>
      </c>
      <c r="AH1514">
        <v>7.0000000000000007E-2</v>
      </c>
      <c r="AI1514" t="s">
        <v>120</v>
      </c>
      <c r="AJ1514">
        <v>6.39</v>
      </c>
      <c r="AK1514" t="s">
        <v>6781</v>
      </c>
      <c r="AL1514">
        <v>-2.0299999999999998</v>
      </c>
      <c r="AM1514">
        <v>2834</v>
      </c>
      <c r="AN1514">
        <v>121</v>
      </c>
      <c r="AO1514">
        <v>1.9E-3</v>
      </c>
      <c r="AP1514">
        <v>-1</v>
      </c>
      <c r="AQ1514">
        <v>5.0999999999999996</v>
      </c>
      <c r="AR1514">
        <v>0.96</v>
      </c>
      <c r="AS1514">
        <v>11.62</v>
      </c>
      <c r="AT1514">
        <v>22.87</v>
      </c>
      <c r="AU1514">
        <v>22.87</v>
      </c>
      <c r="AV1514">
        <v>0</v>
      </c>
      <c r="AW1514">
        <v>5.78</v>
      </c>
      <c r="AX1514">
        <v>64.63</v>
      </c>
      <c r="AY1514">
        <v>83.43</v>
      </c>
      <c r="AZ1514">
        <v>770.19</v>
      </c>
      <c r="BA1514">
        <v>0.71</v>
      </c>
      <c r="BB1514" t="s">
        <v>168</v>
      </c>
      <c r="BF1514">
        <v>-1.64</v>
      </c>
      <c r="BG1514">
        <v>-3.94</v>
      </c>
      <c r="BH1514">
        <v>-5.93</v>
      </c>
      <c r="BI1514">
        <v>0</v>
      </c>
      <c r="BJ1514">
        <v>20210827</v>
      </c>
      <c r="BK1514">
        <v>20101026</v>
      </c>
      <c r="BL1514">
        <v>9.2200000000000006</v>
      </c>
      <c r="BM1514" t="s">
        <v>120</v>
      </c>
      <c r="BN1514" t="s">
        <v>120</v>
      </c>
      <c r="BO1514">
        <v>26.12</v>
      </c>
      <c r="BP1514">
        <v>3.16</v>
      </c>
      <c r="BQ1514">
        <v>12.36</v>
      </c>
      <c r="BR1514">
        <v>-0.06</v>
      </c>
      <c r="BS1514">
        <v>52.9</v>
      </c>
      <c r="BT1514">
        <v>17.95</v>
      </c>
      <c r="BU1514">
        <v>6.11</v>
      </c>
      <c r="BV1514">
        <v>0.84</v>
      </c>
      <c r="BW1514">
        <v>12.59</v>
      </c>
      <c r="BX1514">
        <v>4.5</v>
      </c>
      <c r="BY1514">
        <v>3.51</v>
      </c>
      <c r="BZ1514">
        <v>4.82</v>
      </c>
      <c r="CA1514">
        <v>0.02</v>
      </c>
      <c r="CB1514">
        <v>0.35</v>
      </c>
      <c r="CC1514">
        <v>10.11</v>
      </c>
      <c r="CD1514">
        <v>9.08</v>
      </c>
      <c r="CE1514">
        <v>0.1</v>
      </c>
      <c r="CF1514">
        <v>0</v>
      </c>
      <c r="CG1514">
        <v>0.05</v>
      </c>
      <c r="CH1514">
        <v>0.02</v>
      </c>
      <c r="CI1514">
        <v>0.02</v>
      </c>
      <c r="CJ1514">
        <v>-0.13</v>
      </c>
      <c r="CK1514">
        <v>0.03</v>
      </c>
      <c r="CL1514">
        <v>2.38</v>
      </c>
      <c r="CM1514">
        <v>-1.85</v>
      </c>
      <c r="CN1514">
        <v>-2.3199999999999998</v>
      </c>
      <c r="CO1514">
        <v>46905</v>
      </c>
      <c r="CP1514">
        <v>12698</v>
      </c>
      <c r="CQ1514" t="s">
        <v>483</v>
      </c>
      <c r="CR1514">
        <v>105.68</v>
      </c>
      <c r="CS1514">
        <v>75.5</v>
      </c>
      <c r="CT1514">
        <v>2.36</v>
      </c>
      <c r="CU1514">
        <v>-15.8</v>
      </c>
      <c r="CV1514">
        <v>2.89</v>
      </c>
      <c r="CW1514">
        <v>0.3</v>
      </c>
      <c r="CX1514" t="s">
        <v>216</v>
      </c>
      <c r="CY1514">
        <v>1.34</v>
      </c>
      <c r="CZ1514">
        <v>0</v>
      </c>
      <c r="DA1514">
        <v>0.04</v>
      </c>
      <c r="DB1514">
        <v>0.26</v>
      </c>
      <c r="DC1514">
        <v>-0.2</v>
      </c>
      <c r="DD1514">
        <v>47.34</v>
      </c>
      <c r="DE1514" t="s">
        <v>5537</v>
      </c>
      <c r="DF1514">
        <v>10.18</v>
      </c>
      <c r="DG1514">
        <v>1.02</v>
      </c>
      <c r="DH1514">
        <v>0.17</v>
      </c>
      <c r="DI1514">
        <v>0.22</v>
      </c>
      <c r="DJ1514">
        <v>401</v>
      </c>
      <c r="DK1514">
        <v>300135</v>
      </c>
      <c r="DL1514">
        <v>20200915</v>
      </c>
      <c r="DM1514">
        <v>3.91</v>
      </c>
      <c r="DN1514">
        <v>-18.670000000000002</v>
      </c>
    </row>
    <row r="1515" spans="1:118">
      <c r="A1515" t="str">
        <f>"300136"</f>
        <v>300136</v>
      </c>
      <c r="B1515" t="s">
        <v>7925</v>
      </c>
      <c r="C1515">
        <v>-2.2000000000000002</v>
      </c>
      <c r="D1515">
        <v>0.09</v>
      </c>
      <c r="E1515">
        <v>0.13</v>
      </c>
      <c r="F1515">
        <v>1452</v>
      </c>
      <c r="G1515" t="s">
        <v>7926</v>
      </c>
      <c r="H1515">
        <v>26581.85</v>
      </c>
      <c r="I1515">
        <v>53.4</v>
      </c>
      <c r="J1515" t="s">
        <v>120</v>
      </c>
      <c r="K1515" t="s">
        <v>7927</v>
      </c>
      <c r="L1515">
        <v>1.38</v>
      </c>
      <c r="M1515">
        <v>23.08</v>
      </c>
      <c r="N1515">
        <v>0.87</v>
      </c>
      <c r="O1515">
        <v>0.85</v>
      </c>
      <c r="P1515">
        <v>23.8</v>
      </c>
      <c r="Q1515">
        <v>-2.42</v>
      </c>
      <c r="R1515">
        <v>23.03</v>
      </c>
      <c r="S1515">
        <v>23.63</v>
      </c>
      <c r="T1515">
        <v>113980</v>
      </c>
      <c r="U1515">
        <v>23.08</v>
      </c>
      <c r="V1515">
        <v>23.6</v>
      </c>
      <c r="W1515">
        <v>64.75</v>
      </c>
      <c r="X1515" t="s">
        <v>462</v>
      </c>
      <c r="Y1515" t="s">
        <v>123</v>
      </c>
      <c r="Z1515">
        <v>3.26</v>
      </c>
      <c r="AA1515">
        <v>23.32</v>
      </c>
      <c r="AB1515">
        <v>62274</v>
      </c>
      <c r="AC1515">
        <v>51706</v>
      </c>
      <c r="AD1515">
        <v>1.2</v>
      </c>
      <c r="AE1515">
        <v>33</v>
      </c>
      <c r="AF1515">
        <v>75</v>
      </c>
      <c r="AG1515" t="s">
        <v>120</v>
      </c>
      <c r="AH1515">
        <v>0</v>
      </c>
      <c r="AI1515" t="s">
        <v>120</v>
      </c>
      <c r="AJ1515">
        <v>8.24</v>
      </c>
      <c r="AK1515" t="s">
        <v>7928</v>
      </c>
      <c r="AL1515">
        <v>-0.28999999999999998</v>
      </c>
      <c r="AM1515">
        <v>3488</v>
      </c>
      <c r="AN1515">
        <v>33</v>
      </c>
      <c r="AO1515">
        <v>4.0000000000000002E-4</v>
      </c>
      <c r="AP1515">
        <v>-3</v>
      </c>
      <c r="AQ1515">
        <v>-0.34</v>
      </c>
      <c r="AR1515">
        <v>-4.9800000000000004</v>
      </c>
      <c r="AS1515">
        <v>-9.64</v>
      </c>
      <c r="AT1515">
        <v>-27.17</v>
      </c>
      <c r="AU1515">
        <v>-35.49</v>
      </c>
      <c r="AV1515">
        <v>0</v>
      </c>
      <c r="AW1515">
        <v>1.47</v>
      </c>
      <c r="AX1515">
        <v>80.25</v>
      </c>
      <c r="AY1515">
        <v>27.98</v>
      </c>
      <c r="AZ1515">
        <v>23.48</v>
      </c>
      <c r="BA1515">
        <v>0.41</v>
      </c>
      <c r="BB1515" t="s">
        <v>143</v>
      </c>
      <c r="BF1515">
        <v>-1.18</v>
      </c>
      <c r="BG1515">
        <v>-2.33</v>
      </c>
      <c r="BH1515">
        <v>-3.03</v>
      </c>
      <c r="BI1515">
        <v>0.22</v>
      </c>
      <c r="BJ1515">
        <v>20210905</v>
      </c>
      <c r="BK1515">
        <v>20101105</v>
      </c>
      <c r="BL1515">
        <v>9.68</v>
      </c>
      <c r="BM1515" t="s">
        <v>120</v>
      </c>
      <c r="BN1515" t="s">
        <v>120</v>
      </c>
      <c r="BO1515">
        <v>103.72</v>
      </c>
      <c r="BP1515">
        <v>23.07</v>
      </c>
      <c r="BQ1515">
        <v>57.09</v>
      </c>
      <c r="BR1515">
        <v>0.42</v>
      </c>
      <c r="BS1515">
        <v>44.56</v>
      </c>
      <c r="BT1515">
        <v>57.76</v>
      </c>
      <c r="BU1515">
        <v>21.04</v>
      </c>
      <c r="BV1515">
        <v>2.72</v>
      </c>
      <c r="BW1515">
        <v>31.58</v>
      </c>
      <c r="BX1515">
        <v>12.66</v>
      </c>
      <c r="BY1515">
        <v>22.75</v>
      </c>
      <c r="BZ1515">
        <v>18.62</v>
      </c>
      <c r="CA1515" t="s">
        <v>120</v>
      </c>
      <c r="CB1515">
        <v>3.87</v>
      </c>
      <c r="CC1515">
        <v>30.55</v>
      </c>
      <c r="CD1515">
        <v>24.83</v>
      </c>
      <c r="CE1515">
        <v>2.06</v>
      </c>
      <c r="CF1515">
        <v>0.05</v>
      </c>
      <c r="CG1515">
        <v>2.0299999999999998</v>
      </c>
      <c r="CH1515">
        <v>1.74</v>
      </c>
      <c r="CI1515">
        <v>1.72</v>
      </c>
      <c r="CJ1515">
        <v>-0.52</v>
      </c>
      <c r="CK1515">
        <v>1.27</v>
      </c>
      <c r="CL1515">
        <v>40.4</v>
      </c>
      <c r="CM1515">
        <v>4.9400000000000004</v>
      </c>
      <c r="CN1515">
        <v>-4.78</v>
      </c>
      <c r="CO1515">
        <v>116156</v>
      </c>
      <c r="CP1515">
        <v>6685</v>
      </c>
      <c r="CQ1515" t="s">
        <v>3658</v>
      </c>
      <c r="CR1515">
        <v>-47.53</v>
      </c>
      <c r="CS1515">
        <v>19.48</v>
      </c>
      <c r="CT1515">
        <v>3.91</v>
      </c>
      <c r="CU1515">
        <v>45.22</v>
      </c>
      <c r="CV1515">
        <v>7.31</v>
      </c>
      <c r="CW1515">
        <v>0.42</v>
      </c>
      <c r="CX1515" t="s">
        <v>242</v>
      </c>
      <c r="CY1515">
        <v>5.9</v>
      </c>
      <c r="CZ1515">
        <v>0</v>
      </c>
      <c r="DA1515">
        <v>0.4</v>
      </c>
      <c r="DB1515">
        <v>4.18</v>
      </c>
      <c r="DC1515">
        <v>0.51</v>
      </c>
      <c r="DD1515">
        <v>55.04</v>
      </c>
      <c r="DE1515" t="s">
        <v>7929</v>
      </c>
      <c r="DF1515">
        <v>18.73</v>
      </c>
      <c r="DG1515">
        <v>6.74</v>
      </c>
      <c r="DH1515">
        <v>5.64</v>
      </c>
      <c r="DI1515">
        <v>2.7</v>
      </c>
      <c r="DJ1515">
        <v>10494</v>
      </c>
      <c r="DK1515">
        <v>300136</v>
      </c>
      <c r="DL1515" t="s">
        <v>120</v>
      </c>
      <c r="DM1515" t="s">
        <v>120</v>
      </c>
      <c r="DN1515" t="s">
        <v>120</v>
      </c>
    </row>
    <row r="1516" spans="1:118">
      <c r="A1516" t="str">
        <f>"300137"</f>
        <v>300137</v>
      </c>
      <c r="B1516" t="s">
        <v>7930</v>
      </c>
      <c r="C1516">
        <v>-4.18</v>
      </c>
      <c r="D1516">
        <v>0</v>
      </c>
      <c r="E1516">
        <v>-0.13</v>
      </c>
      <c r="F1516">
        <v>1456</v>
      </c>
      <c r="G1516" t="s">
        <v>7931</v>
      </c>
      <c r="H1516">
        <v>11906.19</v>
      </c>
      <c r="I1516">
        <v>12.53</v>
      </c>
      <c r="J1516" t="s">
        <v>120</v>
      </c>
      <c r="K1516" t="s">
        <v>7932</v>
      </c>
      <c r="L1516">
        <v>3.24</v>
      </c>
      <c r="M1516">
        <v>7.56</v>
      </c>
      <c r="N1516">
        <v>0.73</v>
      </c>
      <c r="O1516">
        <v>-0.13</v>
      </c>
      <c r="P1516">
        <v>7.88</v>
      </c>
      <c r="Q1516">
        <v>-4.4400000000000004</v>
      </c>
      <c r="R1516">
        <v>7.54</v>
      </c>
      <c r="S1516">
        <v>7.88</v>
      </c>
      <c r="T1516">
        <v>154508</v>
      </c>
      <c r="U1516">
        <v>7.57</v>
      </c>
      <c r="V1516">
        <v>7.89</v>
      </c>
      <c r="W1516">
        <v>35.83</v>
      </c>
      <c r="X1516" t="s">
        <v>318</v>
      </c>
      <c r="Y1516" t="s">
        <v>602</v>
      </c>
      <c r="Z1516">
        <v>4.3099999999999996</v>
      </c>
      <c r="AA1516">
        <v>7.71</v>
      </c>
      <c r="AB1516">
        <v>100325</v>
      </c>
      <c r="AC1516">
        <v>54183</v>
      </c>
      <c r="AD1516">
        <v>1.85</v>
      </c>
      <c r="AE1516">
        <v>75</v>
      </c>
      <c r="AF1516">
        <v>297</v>
      </c>
      <c r="AG1516" t="s">
        <v>120</v>
      </c>
      <c r="AH1516">
        <v>0</v>
      </c>
      <c r="AI1516" t="s">
        <v>120</v>
      </c>
      <c r="AJ1516">
        <v>4.76</v>
      </c>
      <c r="AK1516" t="s">
        <v>1894</v>
      </c>
      <c r="AL1516">
        <v>-2.27</v>
      </c>
      <c r="AM1516">
        <v>2292</v>
      </c>
      <c r="AN1516">
        <v>67</v>
      </c>
      <c r="AO1516">
        <v>1.4E-3</v>
      </c>
      <c r="AP1516">
        <v>-1</v>
      </c>
      <c r="AQ1516">
        <v>0.51</v>
      </c>
      <c r="AR1516">
        <v>-7.01</v>
      </c>
      <c r="AS1516">
        <v>-1.82</v>
      </c>
      <c r="AT1516">
        <v>-10.75</v>
      </c>
      <c r="AU1516">
        <v>16.489999999999998</v>
      </c>
      <c r="AV1516">
        <v>0</v>
      </c>
      <c r="AW1516">
        <v>3.39</v>
      </c>
      <c r="AX1516">
        <v>82.69</v>
      </c>
      <c r="AY1516">
        <v>35.29</v>
      </c>
      <c r="AZ1516">
        <v>32.409999999999997</v>
      </c>
      <c r="BA1516">
        <v>0.45</v>
      </c>
      <c r="BB1516" t="s">
        <v>143</v>
      </c>
      <c r="BF1516">
        <v>-2.33</v>
      </c>
      <c r="BG1516">
        <v>-4.0599999999999996</v>
      </c>
      <c r="BH1516">
        <v>-4.0599999999999996</v>
      </c>
      <c r="BI1516">
        <v>0.27</v>
      </c>
      <c r="BJ1516">
        <v>20210915</v>
      </c>
      <c r="BK1516">
        <v>20101105</v>
      </c>
      <c r="BL1516">
        <v>5.51</v>
      </c>
      <c r="BM1516" t="s">
        <v>120</v>
      </c>
      <c r="BN1516" t="s">
        <v>120</v>
      </c>
      <c r="BO1516">
        <v>25</v>
      </c>
      <c r="BP1516">
        <v>7.56</v>
      </c>
      <c r="BQ1516">
        <v>20.75</v>
      </c>
      <c r="BR1516">
        <v>0.34</v>
      </c>
      <c r="BS1516">
        <v>15.61</v>
      </c>
      <c r="BT1516">
        <v>19.45</v>
      </c>
      <c r="BU1516">
        <v>2.39</v>
      </c>
      <c r="BV1516">
        <v>0.19</v>
      </c>
      <c r="BW1516">
        <v>3.83</v>
      </c>
      <c r="BX1516">
        <v>5.88</v>
      </c>
      <c r="BY1516">
        <v>3.82</v>
      </c>
      <c r="BZ1516">
        <v>8.32</v>
      </c>
      <c r="CA1516" t="s">
        <v>120</v>
      </c>
      <c r="CB1516">
        <v>4.71</v>
      </c>
      <c r="CC1516">
        <v>5.39</v>
      </c>
      <c r="CD1516">
        <v>2.91</v>
      </c>
      <c r="CE1516">
        <v>0.81</v>
      </c>
      <c r="CF1516">
        <v>0</v>
      </c>
      <c r="CG1516">
        <v>0.82</v>
      </c>
      <c r="CH1516">
        <v>0.59</v>
      </c>
      <c r="CI1516">
        <v>0.57999999999999996</v>
      </c>
      <c r="CJ1516">
        <v>-0.33</v>
      </c>
      <c r="CK1516">
        <v>0.53</v>
      </c>
      <c r="CL1516">
        <v>10.16</v>
      </c>
      <c r="CM1516">
        <v>-1.27</v>
      </c>
      <c r="CN1516">
        <v>-1.87</v>
      </c>
      <c r="CO1516">
        <v>48358</v>
      </c>
      <c r="CP1516">
        <v>9423</v>
      </c>
      <c r="CQ1516" t="s">
        <v>7933</v>
      </c>
      <c r="CR1516">
        <v>-15.85</v>
      </c>
      <c r="CS1516">
        <v>12.48</v>
      </c>
      <c r="CT1516">
        <v>2.0099999999999998</v>
      </c>
      <c r="CU1516">
        <v>-32.76</v>
      </c>
      <c r="CV1516">
        <v>7.73</v>
      </c>
      <c r="CW1516">
        <v>1.23</v>
      </c>
      <c r="CX1516" t="s">
        <v>1147</v>
      </c>
      <c r="CY1516">
        <v>3.77</v>
      </c>
      <c r="CZ1516">
        <v>0</v>
      </c>
      <c r="DA1516">
        <v>0.86</v>
      </c>
      <c r="DB1516">
        <v>1.84</v>
      </c>
      <c r="DC1516">
        <v>-0.23</v>
      </c>
      <c r="DD1516">
        <v>83.02</v>
      </c>
      <c r="DE1516" t="s">
        <v>2028</v>
      </c>
      <c r="DF1516">
        <v>45.97</v>
      </c>
      <c r="DG1516">
        <v>15.03</v>
      </c>
      <c r="DH1516">
        <v>10.79</v>
      </c>
      <c r="DI1516">
        <v>0.38</v>
      </c>
      <c r="DJ1516">
        <v>2092</v>
      </c>
      <c r="DK1516">
        <v>300137</v>
      </c>
      <c r="DL1516" t="s">
        <v>120</v>
      </c>
      <c r="DM1516" t="s">
        <v>120</v>
      </c>
      <c r="DN1516" t="s">
        <v>120</v>
      </c>
    </row>
    <row r="1517" spans="1:118">
      <c r="A1517" t="str">
        <f>"300138"</f>
        <v>300138</v>
      </c>
      <c r="B1517" t="s">
        <v>7934</v>
      </c>
      <c r="C1517">
        <v>-0.5</v>
      </c>
      <c r="D1517">
        <v>0</v>
      </c>
      <c r="E1517">
        <v>-0.36</v>
      </c>
      <c r="F1517">
        <v>182</v>
      </c>
      <c r="G1517" t="s">
        <v>7935</v>
      </c>
      <c r="H1517">
        <v>4540.54</v>
      </c>
      <c r="I1517">
        <v>18.14</v>
      </c>
      <c r="J1517" t="s">
        <v>120</v>
      </c>
      <c r="K1517" t="s">
        <v>7936</v>
      </c>
      <c r="L1517">
        <v>0.76</v>
      </c>
      <c r="M1517">
        <v>13.83</v>
      </c>
      <c r="N1517">
        <v>0.9</v>
      </c>
      <c r="O1517">
        <v>2.37</v>
      </c>
      <c r="P1517">
        <v>14.23</v>
      </c>
      <c r="Q1517">
        <v>-0.86</v>
      </c>
      <c r="R1517">
        <v>13.78</v>
      </c>
      <c r="S1517">
        <v>13.85</v>
      </c>
      <c r="T1517">
        <v>32580</v>
      </c>
      <c r="U1517">
        <v>13.83</v>
      </c>
      <c r="V1517">
        <v>13.9</v>
      </c>
      <c r="W1517">
        <v>19.52</v>
      </c>
      <c r="X1517" t="s">
        <v>847</v>
      </c>
      <c r="Y1517" t="s">
        <v>602</v>
      </c>
      <c r="Z1517">
        <v>3.24</v>
      </c>
      <c r="AA1517">
        <v>13.94</v>
      </c>
      <c r="AB1517">
        <v>16098</v>
      </c>
      <c r="AC1517">
        <v>16482</v>
      </c>
      <c r="AD1517">
        <v>0.98</v>
      </c>
      <c r="AE1517">
        <v>50</v>
      </c>
      <c r="AF1517">
        <v>198</v>
      </c>
      <c r="AG1517" t="s">
        <v>120</v>
      </c>
      <c r="AH1517">
        <v>0</v>
      </c>
      <c r="AI1517" t="s">
        <v>120</v>
      </c>
      <c r="AJ1517">
        <v>4.2699999999999996</v>
      </c>
      <c r="AK1517" t="s">
        <v>7937</v>
      </c>
      <c r="AL1517">
        <v>1.41</v>
      </c>
      <c r="AM1517">
        <v>1853</v>
      </c>
      <c r="AN1517">
        <v>18</v>
      </c>
      <c r="AO1517">
        <v>4.0000000000000002E-4</v>
      </c>
      <c r="AP1517">
        <v>-1</v>
      </c>
      <c r="AQ1517">
        <v>0.36</v>
      </c>
      <c r="AR1517">
        <v>-0.79</v>
      </c>
      <c r="AS1517">
        <v>-9.49</v>
      </c>
      <c r="AT1517">
        <v>-2.95</v>
      </c>
      <c r="AU1517">
        <v>-27.4</v>
      </c>
      <c r="AV1517">
        <v>0</v>
      </c>
      <c r="AW1517">
        <v>0.81</v>
      </c>
      <c r="AX1517">
        <v>75.62</v>
      </c>
      <c r="AY1517">
        <v>24.33</v>
      </c>
      <c r="AZ1517">
        <v>27.66</v>
      </c>
      <c r="BA1517">
        <v>0.46</v>
      </c>
      <c r="BB1517" t="s">
        <v>168</v>
      </c>
      <c r="BF1517">
        <v>0.26</v>
      </c>
      <c r="BG1517">
        <v>-0.14000000000000001</v>
      </c>
      <c r="BH1517">
        <v>-2.81</v>
      </c>
      <c r="BI1517">
        <v>0.36</v>
      </c>
      <c r="BJ1517">
        <v>20210824</v>
      </c>
      <c r="BK1517">
        <v>20101105</v>
      </c>
      <c r="BL1517">
        <v>5.33</v>
      </c>
      <c r="BM1517" t="s">
        <v>120</v>
      </c>
      <c r="BN1517" t="s">
        <v>120</v>
      </c>
      <c r="BO1517">
        <v>44.96</v>
      </c>
      <c r="BP1517">
        <v>13.82</v>
      </c>
      <c r="BQ1517">
        <v>26.28</v>
      </c>
      <c r="BR1517">
        <v>-0.01</v>
      </c>
      <c r="BS1517">
        <v>41.56</v>
      </c>
      <c r="BT1517">
        <v>26.02</v>
      </c>
      <c r="BU1517">
        <v>11.76</v>
      </c>
      <c r="BV1517">
        <v>2.61</v>
      </c>
      <c r="BW1517">
        <v>11.21</v>
      </c>
      <c r="BX1517">
        <v>4.7300000000000004</v>
      </c>
      <c r="BY1517">
        <v>12.99</v>
      </c>
      <c r="BZ1517">
        <v>2.5499999999999998</v>
      </c>
      <c r="CA1517">
        <v>0.01</v>
      </c>
      <c r="CB1517">
        <v>10.26</v>
      </c>
      <c r="CC1517">
        <v>20.99</v>
      </c>
      <c r="CD1517">
        <v>17.850000000000001</v>
      </c>
      <c r="CE1517">
        <v>2.0499999999999998</v>
      </c>
      <c r="CF1517">
        <v>0.25</v>
      </c>
      <c r="CG1517">
        <v>2.13</v>
      </c>
      <c r="CH1517">
        <v>1.88</v>
      </c>
      <c r="CI1517">
        <v>1.89</v>
      </c>
      <c r="CJ1517">
        <v>-7.0000000000000007E-2</v>
      </c>
      <c r="CK1517">
        <v>1.61</v>
      </c>
      <c r="CL1517">
        <v>10.41</v>
      </c>
      <c r="CM1517">
        <v>7.83</v>
      </c>
      <c r="CN1517">
        <v>-0.02</v>
      </c>
      <c r="CO1517">
        <v>14263</v>
      </c>
      <c r="CP1517">
        <v>28248</v>
      </c>
      <c r="CQ1517" t="s">
        <v>1952</v>
      </c>
      <c r="CR1517">
        <v>24.11</v>
      </c>
      <c r="CS1517">
        <v>14.96</v>
      </c>
      <c r="CT1517">
        <v>2.8</v>
      </c>
      <c r="CU1517">
        <v>9.41</v>
      </c>
      <c r="CV1517">
        <v>3.51</v>
      </c>
      <c r="CW1517">
        <v>0.72</v>
      </c>
      <c r="CX1517" t="s">
        <v>2429</v>
      </c>
      <c r="CY1517">
        <v>4.93</v>
      </c>
      <c r="CZ1517">
        <v>0</v>
      </c>
      <c r="DA1517">
        <v>1.93</v>
      </c>
      <c r="DB1517">
        <v>1.95</v>
      </c>
      <c r="DC1517">
        <v>1.47</v>
      </c>
      <c r="DD1517">
        <v>58.45</v>
      </c>
      <c r="DE1517" t="s">
        <v>7938</v>
      </c>
      <c r="DF1517">
        <v>14.94</v>
      </c>
      <c r="DG1517">
        <v>9.7899999999999991</v>
      </c>
      <c r="DH1517">
        <v>8.99</v>
      </c>
      <c r="DI1517">
        <v>0.33</v>
      </c>
      <c r="DJ1517">
        <v>1351</v>
      </c>
      <c r="DK1517">
        <v>300138</v>
      </c>
      <c r="DL1517" t="s">
        <v>120</v>
      </c>
      <c r="DM1517" t="s">
        <v>120</v>
      </c>
      <c r="DN1517" t="s">
        <v>120</v>
      </c>
    </row>
    <row r="1518" spans="1:118">
      <c r="A1518" t="str">
        <f>"300139"</f>
        <v>300139</v>
      </c>
      <c r="B1518" t="s">
        <v>7939</v>
      </c>
      <c r="C1518">
        <v>-3.89</v>
      </c>
      <c r="D1518">
        <v>0</v>
      </c>
      <c r="E1518">
        <v>-0.6</v>
      </c>
      <c r="F1518">
        <v>1550</v>
      </c>
      <c r="G1518" t="s">
        <v>7940</v>
      </c>
      <c r="H1518">
        <v>8746.5499999999993</v>
      </c>
      <c r="I1518">
        <v>39.94</v>
      </c>
      <c r="J1518" t="s">
        <v>120</v>
      </c>
      <c r="K1518" t="s">
        <v>4061</v>
      </c>
      <c r="L1518">
        <v>3.82</v>
      </c>
      <c r="M1518">
        <v>9.6300000000000008</v>
      </c>
      <c r="N1518">
        <v>0.65</v>
      </c>
      <c r="O1518">
        <v>0.5</v>
      </c>
      <c r="P1518">
        <v>10.07</v>
      </c>
      <c r="Q1518">
        <v>-3.99</v>
      </c>
      <c r="R1518">
        <v>9.6199999999999992</v>
      </c>
      <c r="S1518">
        <v>9.9600000000000009</v>
      </c>
      <c r="T1518">
        <v>88909</v>
      </c>
      <c r="U1518">
        <v>9.64</v>
      </c>
      <c r="V1518">
        <v>10.02</v>
      </c>
      <c r="W1518">
        <v>194.36</v>
      </c>
      <c r="X1518" t="s">
        <v>229</v>
      </c>
      <c r="Y1518" t="s">
        <v>158</v>
      </c>
      <c r="Z1518">
        <v>4.49</v>
      </c>
      <c r="AA1518">
        <v>9.84</v>
      </c>
      <c r="AB1518">
        <v>59301</v>
      </c>
      <c r="AC1518">
        <v>29608</v>
      </c>
      <c r="AD1518">
        <v>2</v>
      </c>
      <c r="AE1518">
        <v>1037</v>
      </c>
      <c r="AF1518">
        <v>86</v>
      </c>
      <c r="AG1518" t="s">
        <v>120</v>
      </c>
      <c r="AH1518">
        <v>0.02</v>
      </c>
      <c r="AI1518" t="s">
        <v>120</v>
      </c>
      <c r="AJ1518">
        <v>2.33</v>
      </c>
      <c r="AK1518" t="s">
        <v>7941</v>
      </c>
      <c r="AL1518">
        <v>-1.98</v>
      </c>
      <c r="AM1518">
        <v>2167</v>
      </c>
      <c r="AN1518">
        <v>41</v>
      </c>
      <c r="AO1518">
        <v>1.8E-3</v>
      </c>
      <c r="AP1518">
        <v>-1</v>
      </c>
      <c r="AQ1518">
        <v>1.31</v>
      </c>
      <c r="AR1518">
        <v>-5.87</v>
      </c>
      <c r="AS1518">
        <v>-5.4</v>
      </c>
      <c r="AT1518">
        <v>-2.73</v>
      </c>
      <c r="AU1518">
        <v>-9.15</v>
      </c>
      <c r="AV1518">
        <v>0</v>
      </c>
      <c r="AW1518">
        <v>4.03</v>
      </c>
      <c r="AX1518">
        <v>80.459999999999994</v>
      </c>
      <c r="AY1518" t="s">
        <v>120</v>
      </c>
      <c r="AZ1518" t="s">
        <v>120</v>
      </c>
      <c r="BA1518">
        <v>1.0900000000000001</v>
      </c>
      <c r="BB1518" t="s">
        <v>143</v>
      </c>
      <c r="BF1518">
        <v>-1.82</v>
      </c>
      <c r="BG1518">
        <v>-3.31</v>
      </c>
      <c r="BH1518">
        <v>-4.37</v>
      </c>
      <c r="BI1518">
        <v>0.1</v>
      </c>
      <c r="BJ1518">
        <v>20210907</v>
      </c>
      <c r="BK1518">
        <v>20101112</v>
      </c>
      <c r="BL1518">
        <v>2.74</v>
      </c>
      <c r="BM1518" t="s">
        <v>120</v>
      </c>
      <c r="BN1518" t="s">
        <v>120</v>
      </c>
      <c r="BO1518">
        <v>11.22</v>
      </c>
      <c r="BP1518">
        <v>9.6300000000000008</v>
      </c>
      <c r="BQ1518">
        <v>9.61</v>
      </c>
      <c r="BR1518">
        <v>0.22</v>
      </c>
      <c r="BS1518">
        <v>12.33</v>
      </c>
      <c r="BT1518">
        <v>7.66</v>
      </c>
      <c r="BU1518">
        <v>1.76</v>
      </c>
      <c r="BV1518">
        <v>1.03</v>
      </c>
      <c r="BW1518">
        <v>1.1399999999999999</v>
      </c>
      <c r="BX1518">
        <v>2.79</v>
      </c>
      <c r="BY1518">
        <v>0.66</v>
      </c>
      <c r="BZ1518">
        <v>3.99</v>
      </c>
      <c r="CA1518">
        <v>0</v>
      </c>
      <c r="CB1518">
        <v>5.8</v>
      </c>
      <c r="CC1518">
        <v>0.82</v>
      </c>
      <c r="CD1518">
        <v>0.46</v>
      </c>
      <c r="CE1518">
        <v>0.09</v>
      </c>
      <c r="CF1518">
        <v>0</v>
      </c>
      <c r="CG1518">
        <v>0.1</v>
      </c>
      <c r="CH1518">
        <v>0.1</v>
      </c>
      <c r="CI1518">
        <v>7.0000000000000007E-2</v>
      </c>
      <c r="CJ1518">
        <v>-0.39</v>
      </c>
      <c r="CK1518">
        <v>0.06</v>
      </c>
      <c r="CL1518">
        <v>0.21</v>
      </c>
      <c r="CM1518">
        <v>2.02</v>
      </c>
      <c r="CN1518">
        <v>1.88</v>
      </c>
      <c r="CO1518">
        <v>48324</v>
      </c>
      <c r="CP1518">
        <v>4562</v>
      </c>
      <c r="CQ1518" t="s">
        <v>283</v>
      </c>
      <c r="CR1518">
        <v>87.22</v>
      </c>
      <c r="CS1518">
        <v>2.16</v>
      </c>
      <c r="CT1518">
        <v>2.74</v>
      </c>
      <c r="CU1518">
        <v>13.07</v>
      </c>
      <c r="CV1518">
        <v>32.229999999999997</v>
      </c>
      <c r="CW1518">
        <v>0</v>
      </c>
      <c r="CX1518" t="s">
        <v>233</v>
      </c>
      <c r="CY1518">
        <v>3.51</v>
      </c>
      <c r="CZ1518">
        <v>0</v>
      </c>
      <c r="DA1518">
        <v>2.12</v>
      </c>
      <c r="DB1518">
        <v>0.08</v>
      </c>
      <c r="DC1518">
        <v>0.74</v>
      </c>
      <c r="DD1518">
        <v>85.67</v>
      </c>
      <c r="DE1518" t="s">
        <v>7942</v>
      </c>
      <c r="DF1518">
        <v>43.87</v>
      </c>
      <c r="DG1518">
        <v>10.76</v>
      </c>
      <c r="DH1518">
        <v>8.2899999999999991</v>
      </c>
      <c r="DI1518">
        <v>0.03</v>
      </c>
      <c r="DJ1518">
        <v>103</v>
      </c>
      <c r="DK1518">
        <v>300139</v>
      </c>
      <c r="DL1518" t="s">
        <v>120</v>
      </c>
      <c r="DM1518" t="s">
        <v>120</v>
      </c>
      <c r="DN1518" t="s">
        <v>120</v>
      </c>
    </row>
    <row r="1519" spans="1:118">
      <c r="A1519" t="str">
        <f>"300140"</f>
        <v>300140</v>
      </c>
      <c r="B1519" t="s">
        <v>7943</v>
      </c>
      <c r="C1519">
        <v>-2.97</v>
      </c>
      <c r="D1519">
        <v>0</v>
      </c>
      <c r="E1519">
        <v>-0.37</v>
      </c>
      <c r="F1519">
        <v>2298</v>
      </c>
      <c r="G1519" t="s">
        <v>7944</v>
      </c>
      <c r="H1519">
        <v>16520.87</v>
      </c>
      <c r="I1519">
        <v>83.37</v>
      </c>
      <c r="J1519" t="s">
        <v>120</v>
      </c>
      <c r="K1519" t="s">
        <v>7945</v>
      </c>
      <c r="L1519">
        <v>5.41</v>
      </c>
      <c r="M1519">
        <v>7.83</v>
      </c>
      <c r="N1519">
        <v>0.8</v>
      </c>
      <c r="O1519">
        <v>1.24</v>
      </c>
      <c r="P1519">
        <v>8.17</v>
      </c>
      <c r="Q1519">
        <v>-4.09</v>
      </c>
      <c r="R1519">
        <v>7.74</v>
      </c>
      <c r="S1519">
        <v>8.0399999999999991</v>
      </c>
      <c r="T1519">
        <v>208554</v>
      </c>
      <c r="U1519">
        <v>7.83</v>
      </c>
      <c r="V1519">
        <v>8.07</v>
      </c>
      <c r="W1519" t="s">
        <v>120</v>
      </c>
      <c r="X1519" t="s">
        <v>318</v>
      </c>
      <c r="Y1519" t="s">
        <v>890</v>
      </c>
      <c r="Z1519">
        <v>5.33</v>
      </c>
      <c r="AA1519">
        <v>7.92</v>
      </c>
      <c r="AB1519">
        <v>121534</v>
      </c>
      <c r="AC1519">
        <v>87020</v>
      </c>
      <c r="AD1519">
        <v>1.4</v>
      </c>
      <c r="AE1519">
        <v>20</v>
      </c>
      <c r="AF1519">
        <v>795</v>
      </c>
      <c r="AG1519" t="s">
        <v>120</v>
      </c>
      <c r="AH1519">
        <v>0.04</v>
      </c>
      <c r="AI1519" t="s">
        <v>120</v>
      </c>
      <c r="AJ1519">
        <v>3.86</v>
      </c>
      <c r="AK1519" t="s">
        <v>2168</v>
      </c>
      <c r="AL1519">
        <v>-1.06</v>
      </c>
      <c r="AM1519">
        <v>2848</v>
      </c>
      <c r="AN1519">
        <v>73</v>
      </c>
      <c r="AO1519">
        <v>1.9E-3</v>
      </c>
      <c r="AP1519">
        <v>-1</v>
      </c>
      <c r="AQ1519">
        <v>0.75</v>
      </c>
      <c r="AR1519">
        <v>-0.51</v>
      </c>
      <c r="AS1519">
        <v>9.36</v>
      </c>
      <c r="AT1519">
        <v>16.690000000000001</v>
      </c>
      <c r="AU1519">
        <v>9.06</v>
      </c>
      <c r="AV1519">
        <v>1</v>
      </c>
      <c r="AW1519">
        <v>8</v>
      </c>
      <c r="AX1519">
        <v>61.04</v>
      </c>
      <c r="AY1519" t="s">
        <v>120</v>
      </c>
      <c r="AZ1519" t="s">
        <v>120</v>
      </c>
      <c r="BA1519">
        <v>0.37</v>
      </c>
      <c r="BB1519" t="s">
        <v>143</v>
      </c>
      <c r="BF1519">
        <v>-1.84</v>
      </c>
      <c r="BG1519">
        <v>-2.61</v>
      </c>
      <c r="BH1519">
        <v>-4.16</v>
      </c>
      <c r="BI1519">
        <v>1.1599999999999999</v>
      </c>
      <c r="BJ1519">
        <v>20210827</v>
      </c>
      <c r="BK1519">
        <v>20101112</v>
      </c>
      <c r="BL1519">
        <v>4.2699999999999996</v>
      </c>
      <c r="BM1519" t="s">
        <v>120</v>
      </c>
      <c r="BN1519" t="s">
        <v>120</v>
      </c>
      <c r="BO1519">
        <v>35.75</v>
      </c>
      <c r="BP1519">
        <v>7.81</v>
      </c>
      <c r="BQ1519">
        <v>17.62</v>
      </c>
      <c r="BR1519">
        <v>1.32</v>
      </c>
      <c r="BS1519">
        <v>47.02</v>
      </c>
      <c r="BT1519">
        <v>25.34</v>
      </c>
      <c r="BU1519">
        <v>4.79</v>
      </c>
      <c r="BV1519">
        <v>1.0900000000000001</v>
      </c>
      <c r="BW1519">
        <v>12.24</v>
      </c>
      <c r="BX1519">
        <v>5.6</v>
      </c>
      <c r="BY1519">
        <v>3.21</v>
      </c>
      <c r="BZ1519">
        <v>13.13</v>
      </c>
      <c r="CA1519" t="s">
        <v>120</v>
      </c>
      <c r="CB1519">
        <v>14.22</v>
      </c>
      <c r="CC1519">
        <v>4.75</v>
      </c>
      <c r="CD1519">
        <v>3.55</v>
      </c>
      <c r="CE1519">
        <v>-0.4</v>
      </c>
      <c r="CF1519">
        <v>0.27</v>
      </c>
      <c r="CG1519">
        <v>-0.39</v>
      </c>
      <c r="CH1519">
        <v>-0.41</v>
      </c>
      <c r="CI1519">
        <v>-0.41</v>
      </c>
      <c r="CJ1519">
        <v>-0.24</v>
      </c>
      <c r="CK1519">
        <v>-0.79</v>
      </c>
      <c r="CL1519">
        <v>-1.42</v>
      </c>
      <c r="CM1519">
        <v>1.83</v>
      </c>
      <c r="CN1519">
        <v>1.58</v>
      </c>
      <c r="CO1519">
        <v>23955</v>
      </c>
      <c r="CP1519">
        <v>10887</v>
      </c>
      <c r="CQ1519" t="s">
        <v>836</v>
      </c>
      <c r="CR1519">
        <v>-51.43</v>
      </c>
      <c r="CS1519">
        <v>-43.97</v>
      </c>
      <c r="CT1519">
        <v>1.9</v>
      </c>
      <c r="CU1519">
        <v>18.25</v>
      </c>
      <c r="CV1519">
        <v>7.05</v>
      </c>
      <c r="CW1519">
        <v>0</v>
      </c>
      <c r="CX1519" t="s">
        <v>7946</v>
      </c>
      <c r="CY1519">
        <v>4.12</v>
      </c>
      <c r="CZ1519">
        <v>0</v>
      </c>
      <c r="DA1519">
        <v>3.33</v>
      </c>
      <c r="DB1519">
        <v>-0.33</v>
      </c>
      <c r="DC1519">
        <v>0.43</v>
      </c>
      <c r="DD1519">
        <v>49.28</v>
      </c>
      <c r="DE1519" t="s">
        <v>162</v>
      </c>
      <c r="DF1519">
        <v>25.29</v>
      </c>
      <c r="DG1519">
        <v>-8.35</v>
      </c>
      <c r="DH1519">
        <v>-8.66</v>
      </c>
      <c r="DI1519">
        <v>0.27</v>
      </c>
      <c r="DJ1519">
        <v>1986</v>
      </c>
      <c r="DK1519">
        <v>300140</v>
      </c>
      <c r="DL1519" t="s">
        <v>120</v>
      </c>
      <c r="DM1519" t="s">
        <v>120</v>
      </c>
      <c r="DN1519" t="s">
        <v>120</v>
      </c>
    </row>
    <row r="1520" spans="1:118">
      <c r="A1520" t="str">
        <f>"300141"</f>
        <v>300141</v>
      </c>
      <c r="B1520" t="s">
        <v>7947</v>
      </c>
      <c r="C1520">
        <v>0.63</v>
      </c>
      <c r="D1520">
        <v>0</v>
      </c>
      <c r="E1520">
        <v>1.89</v>
      </c>
      <c r="F1520">
        <v>2446</v>
      </c>
      <c r="G1520" t="s">
        <v>6525</v>
      </c>
      <c r="H1520">
        <v>29198.93</v>
      </c>
      <c r="I1520">
        <v>361.2</v>
      </c>
      <c r="J1520" t="s">
        <v>120</v>
      </c>
      <c r="K1520" t="s">
        <v>7948</v>
      </c>
      <c r="L1520">
        <v>12.18</v>
      </c>
      <c r="M1520">
        <v>12.8</v>
      </c>
      <c r="N1520">
        <v>2.0299999999999998</v>
      </c>
      <c r="O1520">
        <v>5.35</v>
      </c>
      <c r="P1520">
        <v>13.4</v>
      </c>
      <c r="Q1520">
        <v>-3.69</v>
      </c>
      <c r="R1520">
        <v>12.25</v>
      </c>
      <c r="S1520">
        <v>12.96</v>
      </c>
      <c r="T1520">
        <v>224999</v>
      </c>
      <c r="U1520">
        <v>12.8</v>
      </c>
      <c r="V1520">
        <v>12.72</v>
      </c>
      <c r="W1520">
        <v>2187.7800000000002</v>
      </c>
      <c r="X1520" t="s">
        <v>394</v>
      </c>
      <c r="Y1520" t="s">
        <v>319</v>
      </c>
      <c r="Z1520">
        <v>9.0399999999999991</v>
      </c>
      <c r="AA1520">
        <v>12.98</v>
      </c>
      <c r="AB1520">
        <v>123375</v>
      </c>
      <c r="AC1520">
        <v>101624</v>
      </c>
      <c r="AD1520">
        <v>1.21</v>
      </c>
      <c r="AE1520">
        <v>159</v>
      </c>
      <c r="AF1520">
        <v>499</v>
      </c>
      <c r="AG1520" t="s">
        <v>120</v>
      </c>
      <c r="AH1520">
        <v>0.26</v>
      </c>
      <c r="AI1520" t="s">
        <v>120</v>
      </c>
      <c r="AJ1520">
        <v>1.85</v>
      </c>
      <c r="AK1520" t="s">
        <v>5480</v>
      </c>
      <c r="AL1520">
        <v>2.54</v>
      </c>
      <c r="AM1520">
        <v>3761</v>
      </c>
      <c r="AN1520">
        <v>60</v>
      </c>
      <c r="AO1520">
        <v>3.2000000000000002E-3</v>
      </c>
      <c r="AP1520">
        <v>3</v>
      </c>
      <c r="AQ1520">
        <v>7.8</v>
      </c>
      <c r="AR1520">
        <v>8.94</v>
      </c>
      <c r="AS1520">
        <v>-9.09</v>
      </c>
      <c r="AT1520">
        <v>21.33</v>
      </c>
      <c r="AU1520">
        <v>26.11</v>
      </c>
      <c r="AV1520">
        <v>7</v>
      </c>
      <c r="AW1520">
        <v>20.86</v>
      </c>
      <c r="AX1520">
        <v>42.49</v>
      </c>
      <c r="AY1520" t="s">
        <v>120</v>
      </c>
      <c r="AZ1520" t="s">
        <v>120</v>
      </c>
      <c r="BA1520">
        <v>0.92</v>
      </c>
      <c r="BB1520" t="s">
        <v>168</v>
      </c>
      <c r="BF1520">
        <v>2.02</v>
      </c>
      <c r="BG1520">
        <v>-1.23</v>
      </c>
      <c r="BH1520">
        <v>-4.4800000000000004</v>
      </c>
      <c r="BI1520">
        <v>4.49</v>
      </c>
      <c r="BJ1520">
        <v>20210830</v>
      </c>
      <c r="BK1520">
        <v>20101112</v>
      </c>
      <c r="BL1520">
        <v>2.54</v>
      </c>
      <c r="BM1520" t="s">
        <v>120</v>
      </c>
      <c r="BN1520" t="s">
        <v>120</v>
      </c>
      <c r="BO1520">
        <v>9.9499999999999993</v>
      </c>
      <c r="BP1520">
        <v>12.79</v>
      </c>
      <c r="BQ1520">
        <v>6.67</v>
      </c>
      <c r="BR1520">
        <v>0.12</v>
      </c>
      <c r="BS1520">
        <v>31.73</v>
      </c>
      <c r="BT1520">
        <v>6.93</v>
      </c>
      <c r="BU1520">
        <v>2.21</v>
      </c>
      <c r="BV1520">
        <v>7.0000000000000007E-2</v>
      </c>
      <c r="BW1520">
        <v>3.16</v>
      </c>
      <c r="BX1520">
        <v>1.81</v>
      </c>
      <c r="BY1520">
        <v>0.55000000000000004</v>
      </c>
      <c r="BZ1520">
        <v>4.04</v>
      </c>
      <c r="CA1520" t="s">
        <v>120</v>
      </c>
      <c r="CB1520">
        <v>2.35</v>
      </c>
      <c r="CC1520">
        <v>1.56</v>
      </c>
      <c r="CD1520">
        <v>1.25</v>
      </c>
      <c r="CE1520">
        <v>0.01</v>
      </c>
      <c r="CF1520">
        <v>0.01</v>
      </c>
      <c r="CG1520">
        <v>0.01</v>
      </c>
      <c r="CH1520">
        <v>0.01</v>
      </c>
      <c r="CI1520">
        <v>0.01</v>
      </c>
      <c r="CJ1520">
        <v>0.08</v>
      </c>
      <c r="CK1520">
        <v>0.01</v>
      </c>
      <c r="CL1520">
        <v>1.47</v>
      </c>
      <c r="CM1520">
        <v>-0.13</v>
      </c>
      <c r="CN1520">
        <v>-0.22</v>
      </c>
      <c r="CO1520">
        <v>21157</v>
      </c>
      <c r="CP1520">
        <v>5099</v>
      </c>
      <c r="CQ1520" t="s">
        <v>7949</v>
      </c>
      <c r="CR1520">
        <v>110.52</v>
      </c>
      <c r="CS1520">
        <v>5.18</v>
      </c>
      <c r="CT1520">
        <v>4.87</v>
      </c>
      <c r="CU1520">
        <v>-251.21</v>
      </c>
      <c r="CV1520">
        <v>20.78</v>
      </c>
      <c r="CW1520">
        <v>0</v>
      </c>
      <c r="CX1520" t="s">
        <v>1097</v>
      </c>
      <c r="CY1520">
        <v>2.63</v>
      </c>
      <c r="CZ1520">
        <v>0</v>
      </c>
      <c r="DA1520">
        <v>0.93</v>
      </c>
      <c r="DB1520">
        <v>0.57999999999999996</v>
      </c>
      <c r="DC1520">
        <v>-0.05</v>
      </c>
      <c r="DD1520">
        <v>67.05</v>
      </c>
      <c r="DE1520" t="s">
        <v>7950</v>
      </c>
      <c r="DF1520">
        <v>19.850000000000001</v>
      </c>
      <c r="DG1520">
        <v>0.82</v>
      </c>
      <c r="DH1520">
        <v>0.48</v>
      </c>
      <c r="DI1520">
        <v>0.1</v>
      </c>
      <c r="DJ1520">
        <v>237</v>
      </c>
      <c r="DK1520">
        <v>300141</v>
      </c>
      <c r="DL1520" t="s">
        <v>120</v>
      </c>
      <c r="DM1520" t="s">
        <v>120</v>
      </c>
      <c r="DN1520" t="s">
        <v>120</v>
      </c>
    </row>
    <row r="1521" spans="1:118">
      <c r="A1521" t="str">
        <f>"300142"</f>
        <v>300142</v>
      </c>
      <c r="B1521" t="s">
        <v>7951</v>
      </c>
      <c r="C1521">
        <v>-1.75</v>
      </c>
      <c r="D1521">
        <v>0</v>
      </c>
      <c r="E1521">
        <v>1.54</v>
      </c>
      <c r="F1521">
        <v>3099</v>
      </c>
      <c r="G1521" t="s">
        <v>7952</v>
      </c>
      <c r="H1521">
        <v>259737.49</v>
      </c>
      <c r="I1521">
        <v>2606.5700000000002</v>
      </c>
      <c r="J1521" t="s">
        <v>120</v>
      </c>
      <c r="K1521" t="s">
        <v>7952</v>
      </c>
      <c r="L1521">
        <v>2.52</v>
      </c>
      <c r="M1521">
        <v>66.790000000000006</v>
      </c>
      <c r="N1521">
        <v>0.96</v>
      </c>
      <c r="O1521">
        <v>3.68</v>
      </c>
      <c r="P1521">
        <v>70.48</v>
      </c>
      <c r="Q1521">
        <v>-2.1800000000000002</v>
      </c>
      <c r="R1521">
        <v>66.5</v>
      </c>
      <c r="S1521">
        <v>69.03</v>
      </c>
      <c r="T1521">
        <v>381183</v>
      </c>
      <c r="U1521">
        <v>66.8</v>
      </c>
      <c r="V1521">
        <v>67.98</v>
      </c>
      <c r="W1521">
        <v>163.86</v>
      </c>
      <c r="X1521" t="s">
        <v>666</v>
      </c>
      <c r="Y1521" t="s">
        <v>1006</v>
      </c>
      <c r="Z1521">
        <v>5.85</v>
      </c>
      <c r="AA1521">
        <v>68.14</v>
      </c>
      <c r="AB1521">
        <v>199538</v>
      </c>
      <c r="AC1521">
        <v>181645</v>
      </c>
      <c r="AD1521">
        <v>1.1000000000000001</v>
      </c>
      <c r="AE1521">
        <v>655</v>
      </c>
      <c r="AF1521">
        <v>201</v>
      </c>
      <c r="AG1521" t="s">
        <v>120</v>
      </c>
      <c r="AH1521">
        <v>0.02</v>
      </c>
      <c r="AI1521" t="s">
        <v>120</v>
      </c>
      <c r="AJ1521">
        <v>15.15</v>
      </c>
      <c r="AK1521" t="s">
        <v>7953</v>
      </c>
      <c r="AL1521">
        <v>0.16</v>
      </c>
      <c r="AM1521">
        <v>4694</v>
      </c>
      <c r="AN1521">
        <v>81</v>
      </c>
      <c r="AO1521">
        <v>5.0000000000000001E-4</v>
      </c>
      <c r="AP1521">
        <v>-4</v>
      </c>
      <c r="AQ1521">
        <v>-4.68</v>
      </c>
      <c r="AR1521">
        <v>-7.17</v>
      </c>
      <c r="AS1521">
        <v>-17.61</v>
      </c>
      <c r="AT1521">
        <v>11.82</v>
      </c>
      <c r="AU1521">
        <v>73.44</v>
      </c>
      <c r="AV1521">
        <v>0</v>
      </c>
      <c r="AW1521">
        <v>2.52</v>
      </c>
      <c r="AX1521">
        <v>96.73</v>
      </c>
      <c r="AY1521">
        <v>84.44</v>
      </c>
      <c r="AZ1521">
        <v>106.13</v>
      </c>
      <c r="BA1521">
        <v>1.56</v>
      </c>
      <c r="BB1521" t="s">
        <v>134</v>
      </c>
      <c r="BF1521">
        <v>0.24</v>
      </c>
      <c r="BG1521">
        <v>-3.24</v>
      </c>
      <c r="BH1521">
        <v>-5.24</v>
      </c>
      <c r="BI1521">
        <v>0.44</v>
      </c>
      <c r="BJ1521">
        <v>20210828</v>
      </c>
      <c r="BK1521">
        <v>20101112</v>
      </c>
      <c r="BL1521">
        <v>15.66</v>
      </c>
      <c r="BM1521" t="s">
        <v>120</v>
      </c>
      <c r="BN1521" t="s">
        <v>120</v>
      </c>
      <c r="BO1521">
        <v>109.69</v>
      </c>
      <c r="BP1521">
        <v>66.790000000000006</v>
      </c>
      <c r="BQ1521">
        <v>73.92</v>
      </c>
      <c r="BR1521">
        <v>14.14</v>
      </c>
      <c r="BS1521">
        <v>19.72</v>
      </c>
      <c r="BT1521">
        <v>56.07</v>
      </c>
      <c r="BU1521">
        <v>8.15</v>
      </c>
      <c r="BV1521">
        <v>3.32</v>
      </c>
      <c r="BW1521">
        <v>17.739999999999998</v>
      </c>
      <c r="BX1521">
        <v>22.22</v>
      </c>
      <c r="BY1521">
        <v>6.26</v>
      </c>
      <c r="BZ1521">
        <v>22.85</v>
      </c>
      <c r="CA1521" t="s">
        <v>120</v>
      </c>
      <c r="CB1521">
        <v>38.49</v>
      </c>
      <c r="CC1521">
        <v>13.5</v>
      </c>
      <c r="CD1521">
        <v>1.66</v>
      </c>
      <c r="CE1521">
        <v>4.66</v>
      </c>
      <c r="CF1521">
        <v>0.57999999999999996</v>
      </c>
      <c r="CG1521">
        <v>4.66</v>
      </c>
      <c r="CH1521">
        <v>4.08</v>
      </c>
      <c r="CI1521">
        <v>3.19</v>
      </c>
      <c r="CJ1521">
        <v>-1.19</v>
      </c>
      <c r="CK1521">
        <v>2.4</v>
      </c>
      <c r="CL1521">
        <v>17.190000000000001</v>
      </c>
      <c r="CM1521">
        <v>-0.11</v>
      </c>
      <c r="CN1521">
        <v>2.6</v>
      </c>
      <c r="CO1521">
        <v>135405</v>
      </c>
      <c r="CP1521">
        <v>11188</v>
      </c>
      <c r="CQ1521" t="s">
        <v>7954</v>
      </c>
      <c r="CR1521">
        <v>419.09</v>
      </c>
      <c r="CS1521">
        <v>135.37</v>
      </c>
      <c r="CT1521">
        <v>14.15</v>
      </c>
      <c r="CU1521">
        <v>-9569.6299999999992</v>
      </c>
      <c r="CV1521">
        <v>77.5</v>
      </c>
      <c r="CW1521">
        <v>7.0000000000000007E-2</v>
      </c>
      <c r="CX1521" t="s">
        <v>492</v>
      </c>
      <c r="CY1521">
        <v>4.72</v>
      </c>
      <c r="CZ1521">
        <v>0</v>
      </c>
      <c r="DA1521">
        <v>2.46</v>
      </c>
      <c r="DB1521">
        <v>1.1000000000000001</v>
      </c>
      <c r="DC1521">
        <v>-0.01</v>
      </c>
      <c r="DD1521">
        <v>67.39</v>
      </c>
      <c r="DE1521" t="s">
        <v>2237</v>
      </c>
      <c r="DF1521">
        <v>87.69</v>
      </c>
      <c r="DG1521">
        <v>34.56</v>
      </c>
      <c r="DH1521">
        <v>23.65</v>
      </c>
      <c r="DI1521">
        <v>1.87</v>
      </c>
      <c r="DJ1521">
        <v>1481</v>
      </c>
      <c r="DK1521">
        <v>300142</v>
      </c>
      <c r="DL1521" t="s">
        <v>120</v>
      </c>
      <c r="DM1521" t="s">
        <v>120</v>
      </c>
      <c r="DN1521" t="s">
        <v>120</v>
      </c>
    </row>
    <row r="1522" spans="1:118">
      <c r="A1522" t="str">
        <f>"300143"</f>
        <v>300143</v>
      </c>
      <c r="B1522" t="s">
        <v>7955</v>
      </c>
      <c r="C1522">
        <v>-1.5</v>
      </c>
      <c r="D1522">
        <v>-7.0000000000000007E-2</v>
      </c>
      <c r="E1522">
        <v>-1.28</v>
      </c>
      <c r="F1522">
        <v>1522</v>
      </c>
      <c r="G1522" t="s">
        <v>3212</v>
      </c>
      <c r="H1522">
        <v>10387.870000000001</v>
      </c>
      <c r="I1522">
        <v>116.99</v>
      </c>
      <c r="J1522" t="s">
        <v>120</v>
      </c>
      <c r="K1522" t="s">
        <v>7956</v>
      </c>
      <c r="L1522">
        <v>1.43</v>
      </c>
      <c r="M1522">
        <v>13.13</v>
      </c>
      <c r="N1522">
        <v>0.66</v>
      </c>
      <c r="O1522">
        <v>1.88</v>
      </c>
      <c r="P1522">
        <v>13.58</v>
      </c>
      <c r="Q1522">
        <v>-1.95</v>
      </c>
      <c r="R1522">
        <v>13.07</v>
      </c>
      <c r="S1522">
        <v>13.16</v>
      </c>
      <c r="T1522">
        <v>77955</v>
      </c>
      <c r="U1522">
        <v>13.14</v>
      </c>
      <c r="V1522">
        <v>13.33</v>
      </c>
      <c r="W1522">
        <v>178.27</v>
      </c>
      <c r="X1522" t="s">
        <v>555</v>
      </c>
      <c r="Y1522" t="s">
        <v>638</v>
      </c>
      <c r="Z1522">
        <v>3.83</v>
      </c>
      <c r="AA1522">
        <v>13.33</v>
      </c>
      <c r="AB1522">
        <v>30419</v>
      </c>
      <c r="AC1522">
        <v>47536</v>
      </c>
      <c r="AD1522">
        <v>0.64</v>
      </c>
      <c r="AE1522">
        <v>124</v>
      </c>
      <c r="AF1522">
        <v>41</v>
      </c>
      <c r="AG1522" t="s">
        <v>120</v>
      </c>
      <c r="AH1522">
        <v>0.02</v>
      </c>
      <c r="AI1522" t="s">
        <v>120</v>
      </c>
      <c r="AJ1522">
        <v>5.46</v>
      </c>
      <c r="AK1522" t="s">
        <v>7957</v>
      </c>
      <c r="AL1522">
        <v>0.41</v>
      </c>
      <c r="AM1522">
        <v>2560</v>
      </c>
      <c r="AN1522">
        <v>30</v>
      </c>
      <c r="AO1522">
        <v>5.9999999999999995E-4</v>
      </c>
      <c r="AP1522">
        <v>-5</v>
      </c>
      <c r="AQ1522">
        <v>-3.89</v>
      </c>
      <c r="AR1522">
        <v>-5.67</v>
      </c>
      <c r="AS1522">
        <v>-26.97</v>
      </c>
      <c r="AT1522">
        <v>-51.09</v>
      </c>
      <c r="AU1522">
        <v>-33.69</v>
      </c>
      <c r="AV1522">
        <v>0</v>
      </c>
      <c r="AW1522">
        <v>2.0099999999999998</v>
      </c>
      <c r="AX1522">
        <v>60.31</v>
      </c>
      <c r="AY1522">
        <v>68.569999999999993</v>
      </c>
      <c r="AZ1522">
        <v>66.819999999999993</v>
      </c>
      <c r="BA1522">
        <v>1.34</v>
      </c>
      <c r="BB1522" t="s">
        <v>134</v>
      </c>
      <c r="BF1522">
        <v>-0.03</v>
      </c>
      <c r="BG1522">
        <v>-0.23</v>
      </c>
      <c r="BH1522">
        <v>-3.31</v>
      </c>
      <c r="BI1522">
        <v>0.46</v>
      </c>
      <c r="BJ1522">
        <v>20210912</v>
      </c>
      <c r="BK1522">
        <v>20101209</v>
      </c>
      <c r="BL1522">
        <v>6.42</v>
      </c>
      <c r="BM1522" t="s">
        <v>120</v>
      </c>
      <c r="BN1522" t="s">
        <v>120</v>
      </c>
      <c r="BO1522">
        <v>26.67</v>
      </c>
      <c r="BP1522">
        <v>13.13</v>
      </c>
      <c r="BQ1522">
        <v>21.84</v>
      </c>
      <c r="BR1522">
        <v>0.3</v>
      </c>
      <c r="BS1522">
        <v>16.989999999999998</v>
      </c>
      <c r="BT1522">
        <v>8.64</v>
      </c>
      <c r="BU1522">
        <v>1.57</v>
      </c>
      <c r="BV1522">
        <v>0.99</v>
      </c>
      <c r="BW1522">
        <v>2.4300000000000002</v>
      </c>
      <c r="BX1522">
        <v>1.78</v>
      </c>
      <c r="BY1522">
        <v>0.25</v>
      </c>
      <c r="BZ1522">
        <v>1.24</v>
      </c>
      <c r="CA1522" t="s">
        <v>120</v>
      </c>
      <c r="CB1522">
        <v>22.54</v>
      </c>
      <c r="CC1522">
        <v>2.99</v>
      </c>
      <c r="CD1522">
        <v>2.1</v>
      </c>
      <c r="CE1522">
        <v>0.38</v>
      </c>
      <c r="CF1522">
        <v>0.3</v>
      </c>
      <c r="CG1522">
        <v>0.39</v>
      </c>
      <c r="CH1522">
        <v>0.28999999999999998</v>
      </c>
      <c r="CI1522">
        <v>0.24</v>
      </c>
      <c r="CJ1522">
        <v>-0.2</v>
      </c>
      <c r="CK1522">
        <v>-7.0000000000000007E-2</v>
      </c>
      <c r="CL1522">
        <v>-6.72</v>
      </c>
      <c r="CM1522">
        <v>0.68</v>
      </c>
      <c r="CN1522">
        <v>-3.05</v>
      </c>
      <c r="CO1522">
        <v>17657</v>
      </c>
      <c r="CP1522">
        <v>21934</v>
      </c>
      <c r="CQ1522" t="s">
        <v>7958</v>
      </c>
      <c r="CR1522">
        <v>-12.17</v>
      </c>
      <c r="CS1522">
        <v>5.42</v>
      </c>
      <c r="CT1522">
        <v>3.86</v>
      </c>
      <c r="CU1522">
        <v>123.13</v>
      </c>
      <c r="CV1522">
        <v>28.22</v>
      </c>
      <c r="CW1522">
        <v>0</v>
      </c>
      <c r="CX1522" t="s">
        <v>145</v>
      </c>
      <c r="CY1522">
        <v>3.4</v>
      </c>
      <c r="CZ1522">
        <v>0</v>
      </c>
      <c r="DA1522">
        <v>3.51</v>
      </c>
      <c r="DB1522">
        <v>-1.05</v>
      </c>
      <c r="DC1522">
        <v>0.11</v>
      </c>
      <c r="DD1522">
        <v>81.900000000000006</v>
      </c>
      <c r="DE1522" t="s">
        <v>3972</v>
      </c>
      <c r="DF1522">
        <v>29.81</v>
      </c>
      <c r="DG1522">
        <v>12.72</v>
      </c>
      <c r="DH1522">
        <v>7.92</v>
      </c>
      <c r="DI1522">
        <v>0.13</v>
      </c>
      <c r="DJ1522">
        <v>1360</v>
      </c>
      <c r="DK1522">
        <v>300143</v>
      </c>
      <c r="DL1522" t="s">
        <v>120</v>
      </c>
      <c r="DM1522" t="s">
        <v>120</v>
      </c>
      <c r="DN1522" t="s">
        <v>120</v>
      </c>
    </row>
    <row r="1523" spans="1:118">
      <c r="A1523" t="str">
        <f>"300144"</f>
        <v>300144</v>
      </c>
      <c r="B1523" t="s">
        <v>7959</v>
      </c>
      <c r="C1523">
        <v>0.82</v>
      </c>
      <c r="D1523">
        <v>-0.46</v>
      </c>
      <c r="E1523">
        <v>1.03</v>
      </c>
      <c r="F1523">
        <v>2674</v>
      </c>
      <c r="G1523" t="s">
        <v>7960</v>
      </c>
      <c r="H1523">
        <v>25765.72</v>
      </c>
      <c r="I1523">
        <v>244.26</v>
      </c>
      <c r="J1523" t="s">
        <v>120</v>
      </c>
      <c r="K1523" t="s">
        <v>7961</v>
      </c>
      <c r="L1523">
        <v>0.76</v>
      </c>
      <c r="M1523">
        <v>14.72</v>
      </c>
      <c r="N1523">
        <v>0.55000000000000004</v>
      </c>
      <c r="O1523">
        <v>2.19</v>
      </c>
      <c r="P1523">
        <v>14.92</v>
      </c>
      <c r="Q1523">
        <v>0</v>
      </c>
      <c r="R1523">
        <v>14.6</v>
      </c>
      <c r="S1523">
        <v>14.75</v>
      </c>
      <c r="T1523">
        <v>174419</v>
      </c>
      <c r="U1523">
        <v>14.73</v>
      </c>
      <c r="V1523">
        <v>14.6</v>
      </c>
      <c r="W1523">
        <v>50.87</v>
      </c>
      <c r="X1523" t="s">
        <v>489</v>
      </c>
      <c r="Y1523" t="s">
        <v>585</v>
      </c>
      <c r="Z1523">
        <v>2.19</v>
      </c>
      <c r="AA1523">
        <v>14.77</v>
      </c>
      <c r="AB1523">
        <v>87639</v>
      </c>
      <c r="AC1523">
        <v>86780</v>
      </c>
      <c r="AD1523">
        <v>1.01</v>
      </c>
      <c r="AE1523">
        <v>654</v>
      </c>
      <c r="AF1523">
        <v>51</v>
      </c>
      <c r="AG1523" t="s">
        <v>120</v>
      </c>
      <c r="AH1523">
        <v>0.01</v>
      </c>
      <c r="AI1523" t="s">
        <v>120</v>
      </c>
      <c r="AJ1523">
        <v>22.88</v>
      </c>
      <c r="AK1523" t="s">
        <v>7962</v>
      </c>
      <c r="AL1523">
        <v>2.74</v>
      </c>
      <c r="AM1523">
        <v>3635</v>
      </c>
      <c r="AN1523">
        <v>48</v>
      </c>
      <c r="AO1523">
        <v>2.0000000000000001E-4</v>
      </c>
      <c r="AP1523">
        <v>1</v>
      </c>
      <c r="AQ1523">
        <v>-1.95</v>
      </c>
      <c r="AR1523">
        <v>-3.16</v>
      </c>
      <c r="AS1523">
        <v>8.5500000000000007</v>
      </c>
      <c r="AT1523">
        <v>-13</v>
      </c>
      <c r="AU1523">
        <v>-16.690000000000001</v>
      </c>
      <c r="AV1523">
        <v>0</v>
      </c>
      <c r="AW1523">
        <v>1.23</v>
      </c>
      <c r="AX1523">
        <v>54.24</v>
      </c>
      <c r="AY1523" t="s">
        <v>120</v>
      </c>
      <c r="AZ1523" t="s">
        <v>120</v>
      </c>
      <c r="BA1523">
        <v>0.51</v>
      </c>
      <c r="BB1523" t="s">
        <v>240</v>
      </c>
      <c r="BF1523">
        <v>1.18</v>
      </c>
      <c r="BG1523">
        <v>-0.2</v>
      </c>
      <c r="BH1523">
        <v>-1.34</v>
      </c>
      <c r="BI1523">
        <v>0.82</v>
      </c>
      <c r="BJ1523">
        <v>20210901</v>
      </c>
      <c r="BK1523">
        <v>20101209</v>
      </c>
      <c r="BL1523">
        <v>26.15</v>
      </c>
      <c r="BM1523" t="s">
        <v>120</v>
      </c>
      <c r="BN1523" t="s">
        <v>120</v>
      </c>
      <c r="BO1523">
        <v>98.64</v>
      </c>
      <c r="BP1523">
        <v>14.72</v>
      </c>
      <c r="BQ1523">
        <v>76.61</v>
      </c>
      <c r="BR1523">
        <v>3.22</v>
      </c>
      <c r="BS1523">
        <v>19.07</v>
      </c>
      <c r="BT1523">
        <v>19.21</v>
      </c>
      <c r="BU1523">
        <v>25.55</v>
      </c>
      <c r="BV1523">
        <v>17.54</v>
      </c>
      <c r="BW1523">
        <v>7.4</v>
      </c>
      <c r="BX1523">
        <v>8.7799999999999994</v>
      </c>
      <c r="BY1523">
        <v>0.15</v>
      </c>
      <c r="BZ1523">
        <v>0.04</v>
      </c>
      <c r="CA1523">
        <v>0.19</v>
      </c>
      <c r="CB1523">
        <v>12.3</v>
      </c>
      <c r="CC1523">
        <v>7.35</v>
      </c>
      <c r="CD1523">
        <v>2.66</v>
      </c>
      <c r="CE1523">
        <v>4.3099999999999996</v>
      </c>
      <c r="CF1523">
        <v>1.0900000000000001</v>
      </c>
      <c r="CG1523">
        <v>4.2699999999999996</v>
      </c>
      <c r="CH1523">
        <v>3.78</v>
      </c>
      <c r="CI1523">
        <v>3.78</v>
      </c>
      <c r="CJ1523">
        <v>0.12</v>
      </c>
      <c r="CK1523">
        <v>3.18</v>
      </c>
      <c r="CL1523">
        <v>33.79</v>
      </c>
      <c r="CM1523">
        <v>4.8099999999999996</v>
      </c>
      <c r="CN1523">
        <v>-4.6100000000000003</v>
      </c>
      <c r="CO1523">
        <v>69281</v>
      </c>
      <c r="CP1523">
        <v>20469</v>
      </c>
      <c r="CQ1523" t="s">
        <v>7963</v>
      </c>
      <c r="CR1523">
        <v>849.43</v>
      </c>
      <c r="CS1523">
        <v>159.66</v>
      </c>
      <c r="CT1523">
        <v>5.0199999999999996</v>
      </c>
      <c r="CU1523">
        <v>80.010000000000005</v>
      </c>
      <c r="CV1523">
        <v>52.4</v>
      </c>
      <c r="CW1523">
        <v>0.34</v>
      </c>
      <c r="CX1523" t="s">
        <v>2736</v>
      </c>
      <c r="CY1523">
        <v>2.93</v>
      </c>
      <c r="CZ1523">
        <v>0</v>
      </c>
      <c r="DA1523">
        <v>0.47</v>
      </c>
      <c r="DB1523">
        <v>1.29</v>
      </c>
      <c r="DC1523">
        <v>0.18</v>
      </c>
      <c r="DD1523">
        <v>77.66</v>
      </c>
      <c r="DE1523" t="s">
        <v>7241</v>
      </c>
      <c r="DF1523">
        <v>63.77</v>
      </c>
      <c r="DG1523">
        <v>58.69</v>
      </c>
      <c r="DH1523">
        <v>51.51</v>
      </c>
      <c r="DI1523">
        <v>0.23</v>
      </c>
      <c r="DJ1523">
        <v>1441</v>
      </c>
      <c r="DK1523">
        <v>300144</v>
      </c>
      <c r="DL1523" t="s">
        <v>120</v>
      </c>
      <c r="DM1523" t="s">
        <v>120</v>
      </c>
      <c r="DN1523" t="s">
        <v>120</v>
      </c>
    </row>
    <row r="1524" spans="1:118">
      <c r="A1524" t="str">
        <f>"300145"</f>
        <v>300145</v>
      </c>
      <c r="B1524" t="s">
        <v>7964</v>
      </c>
      <c r="C1524">
        <v>1.1499999999999999</v>
      </c>
      <c r="D1524">
        <v>0.28000000000000003</v>
      </c>
      <c r="E1524">
        <v>1.72</v>
      </c>
      <c r="F1524">
        <v>7680</v>
      </c>
      <c r="G1524" t="s">
        <v>7965</v>
      </c>
      <c r="H1524">
        <v>33404.980000000003</v>
      </c>
      <c r="I1524">
        <v>63.4</v>
      </c>
      <c r="J1524" t="s">
        <v>120</v>
      </c>
      <c r="K1524" t="s">
        <v>7966</v>
      </c>
      <c r="L1524">
        <v>5.29</v>
      </c>
      <c r="M1524">
        <v>3.53</v>
      </c>
      <c r="N1524">
        <v>1.82</v>
      </c>
      <c r="O1524">
        <v>6.59</v>
      </c>
      <c r="P1524">
        <v>3.72</v>
      </c>
      <c r="Q1524">
        <v>0.56999999999999995</v>
      </c>
      <c r="R1524">
        <v>3.51</v>
      </c>
      <c r="S1524">
        <v>3.55</v>
      </c>
      <c r="T1524">
        <v>919579</v>
      </c>
      <c r="U1524">
        <v>3.53</v>
      </c>
      <c r="V1524">
        <v>3.49</v>
      </c>
      <c r="W1524">
        <v>24.66</v>
      </c>
      <c r="X1524" t="s">
        <v>675</v>
      </c>
      <c r="Y1524" t="s">
        <v>585</v>
      </c>
      <c r="Z1524">
        <v>6.02</v>
      </c>
      <c r="AA1524">
        <v>3.63</v>
      </c>
      <c r="AB1524">
        <v>398048</v>
      </c>
      <c r="AC1524">
        <v>521531</v>
      </c>
      <c r="AD1524">
        <v>0.76</v>
      </c>
      <c r="AE1524">
        <v>6368</v>
      </c>
      <c r="AF1524">
        <v>2336</v>
      </c>
      <c r="AG1524" t="s">
        <v>120</v>
      </c>
      <c r="AH1524">
        <v>0.01</v>
      </c>
      <c r="AI1524" t="s">
        <v>120</v>
      </c>
      <c r="AJ1524">
        <v>17.38</v>
      </c>
      <c r="AK1524" t="s">
        <v>7967</v>
      </c>
      <c r="AL1524">
        <v>3.06</v>
      </c>
      <c r="AM1524">
        <v>3286</v>
      </c>
      <c r="AN1524">
        <v>280</v>
      </c>
      <c r="AO1524">
        <v>1.6000000000000001E-3</v>
      </c>
      <c r="AP1524">
        <v>1</v>
      </c>
      <c r="AQ1524">
        <v>-0.56999999999999995</v>
      </c>
      <c r="AR1524">
        <v>-3.82</v>
      </c>
      <c r="AS1524">
        <v>3.52</v>
      </c>
      <c r="AT1524">
        <v>14.61</v>
      </c>
      <c r="AU1524">
        <v>14.61</v>
      </c>
      <c r="AV1524">
        <v>0</v>
      </c>
      <c r="AW1524">
        <v>7.17</v>
      </c>
      <c r="AX1524">
        <v>66.7</v>
      </c>
      <c r="AY1524" t="s">
        <v>120</v>
      </c>
      <c r="AZ1524" t="s">
        <v>120</v>
      </c>
      <c r="BA1524">
        <v>0.34</v>
      </c>
      <c r="BB1524" t="s">
        <v>2411</v>
      </c>
      <c r="BF1524">
        <v>4.09</v>
      </c>
      <c r="BG1524">
        <v>-0.56000000000000005</v>
      </c>
      <c r="BH1524">
        <v>-5.1100000000000003</v>
      </c>
      <c r="BI1524">
        <v>0.56999999999999995</v>
      </c>
      <c r="BJ1524">
        <v>20210818</v>
      </c>
      <c r="BK1524">
        <v>20101209</v>
      </c>
      <c r="BL1524">
        <v>19.23</v>
      </c>
      <c r="BM1524" t="s">
        <v>120</v>
      </c>
      <c r="BN1524" t="s">
        <v>120</v>
      </c>
      <c r="BO1524">
        <v>85.67</v>
      </c>
      <c r="BP1524">
        <v>3.52</v>
      </c>
      <c r="BQ1524">
        <v>29.61</v>
      </c>
      <c r="BR1524">
        <v>1.42</v>
      </c>
      <c r="BS1524">
        <v>63.78</v>
      </c>
      <c r="BT1524">
        <v>38.54</v>
      </c>
      <c r="BU1524">
        <v>14.59</v>
      </c>
      <c r="BV1524">
        <v>19.420000000000002</v>
      </c>
      <c r="BW1524">
        <v>29.99</v>
      </c>
      <c r="BX1524">
        <v>7.22</v>
      </c>
      <c r="BY1524">
        <v>9.81</v>
      </c>
      <c r="BZ1524">
        <v>13.87</v>
      </c>
      <c r="CA1524" t="s">
        <v>120</v>
      </c>
      <c r="CB1524">
        <v>7.46</v>
      </c>
      <c r="CC1524">
        <v>23.26</v>
      </c>
      <c r="CD1524">
        <v>14.96</v>
      </c>
      <c r="CE1524">
        <v>1.81</v>
      </c>
      <c r="CF1524">
        <v>-0.25</v>
      </c>
      <c r="CG1524">
        <v>1.8</v>
      </c>
      <c r="CH1524">
        <v>1.48</v>
      </c>
      <c r="CI1524">
        <v>1.38</v>
      </c>
      <c r="CJ1524">
        <v>0.04</v>
      </c>
      <c r="CK1524">
        <v>1.48</v>
      </c>
      <c r="CL1524">
        <v>1.46</v>
      </c>
      <c r="CM1524">
        <v>1.1200000000000001</v>
      </c>
      <c r="CN1524">
        <v>-4.8499999999999996</v>
      </c>
      <c r="CO1524">
        <v>39402</v>
      </c>
      <c r="CP1524">
        <v>32560</v>
      </c>
      <c r="CQ1524" t="s">
        <v>7968</v>
      </c>
      <c r="CR1524">
        <v>146.16999999999999</v>
      </c>
      <c r="CS1524">
        <v>57.15</v>
      </c>
      <c r="CT1524">
        <v>2.29</v>
      </c>
      <c r="CU1524">
        <v>60.87</v>
      </c>
      <c r="CV1524">
        <v>2.92</v>
      </c>
      <c r="CW1524">
        <v>0</v>
      </c>
      <c r="CX1524" t="s">
        <v>679</v>
      </c>
      <c r="CY1524">
        <v>1.54</v>
      </c>
      <c r="CZ1524">
        <v>0</v>
      </c>
      <c r="DA1524">
        <v>0.39</v>
      </c>
      <c r="DB1524">
        <v>0.08</v>
      </c>
      <c r="DC1524">
        <v>0.06</v>
      </c>
      <c r="DD1524">
        <v>34.56</v>
      </c>
      <c r="DE1524" t="s">
        <v>473</v>
      </c>
      <c r="DF1524">
        <v>35.67</v>
      </c>
      <c r="DG1524">
        <v>7.78</v>
      </c>
      <c r="DH1524">
        <v>5.92</v>
      </c>
      <c r="DI1524">
        <v>1</v>
      </c>
      <c r="DJ1524">
        <v>6373</v>
      </c>
      <c r="DK1524">
        <v>300145</v>
      </c>
      <c r="DL1524" t="s">
        <v>120</v>
      </c>
      <c r="DM1524" t="s">
        <v>120</v>
      </c>
      <c r="DN1524" t="s">
        <v>120</v>
      </c>
    </row>
    <row r="1525" spans="1:118">
      <c r="A1525" t="str">
        <f>"300146"</f>
        <v>300146</v>
      </c>
      <c r="B1525" t="s">
        <v>7969</v>
      </c>
      <c r="C1525">
        <v>-1.33</v>
      </c>
      <c r="D1525">
        <v>-7.0000000000000007E-2</v>
      </c>
      <c r="E1525">
        <v>-0.38</v>
      </c>
      <c r="F1525">
        <v>1938</v>
      </c>
      <c r="G1525" t="s">
        <v>7970</v>
      </c>
      <c r="H1525">
        <v>22335</v>
      </c>
      <c r="I1525">
        <v>71.260000000000005</v>
      </c>
      <c r="J1525" t="s">
        <v>120</v>
      </c>
      <c r="K1525" t="s">
        <v>7971</v>
      </c>
      <c r="L1525">
        <v>0.95</v>
      </c>
      <c r="M1525">
        <v>25.95</v>
      </c>
      <c r="N1525">
        <v>0.77</v>
      </c>
      <c r="O1525">
        <v>1.83</v>
      </c>
      <c r="P1525">
        <v>26.78</v>
      </c>
      <c r="Q1525">
        <v>-1.9</v>
      </c>
      <c r="R1525">
        <v>25.8</v>
      </c>
      <c r="S1525">
        <v>26.2</v>
      </c>
      <c r="T1525">
        <v>85120</v>
      </c>
      <c r="U1525">
        <v>25.95</v>
      </c>
      <c r="V1525">
        <v>26.3</v>
      </c>
      <c r="W1525">
        <v>16.09</v>
      </c>
      <c r="X1525" t="s">
        <v>555</v>
      </c>
      <c r="Y1525" t="s">
        <v>547</v>
      </c>
      <c r="Z1525">
        <v>3.73</v>
      </c>
      <c r="AA1525">
        <v>26.24</v>
      </c>
      <c r="AB1525">
        <v>44373</v>
      </c>
      <c r="AC1525">
        <v>40747</v>
      </c>
      <c r="AD1525">
        <v>1.0900000000000001</v>
      </c>
      <c r="AE1525">
        <v>33</v>
      </c>
      <c r="AF1525">
        <v>3</v>
      </c>
      <c r="AG1525" t="s">
        <v>120</v>
      </c>
      <c r="AH1525">
        <v>0</v>
      </c>
      <c r="AI1525" t="s">
        <v>120</v>
      </c>
      <c r="AJ1525">
        <v>8.93</v>
      </c>
      <c r="AK1525" t="s">
        <v>7972</v>
      </c>
      <c r="AL1525">
        <v>0.57999999999999996</v>
      </c>
      <c r="AM1525">
        <v>3606</v>
      </c>
      <c r="AN1525">
        <v>24</v>
      </c>
      <c r="AO1525">
        <v>2.9999999999999997E-4</v>
      </c>
      <c r="AP1525">
        <v>-3</v>
      </c>
      <c r="AQ1525">
        <v>-2.74</v>
      </c>
      <c r="AR1525">
        <v>-4.95</v>
      </c>
      <c r="AS1525">
        <v>-7.02</v>
      </c>
      <c r="AT1525">
        <v>-22.77</v>
      </c>
      <c r="AU1525">
        <v>10.66</v>
      </c>
      <c r="AV1525">
        <v>0</v>
      </c>
      <c r="AW1525">
        <v>1.19</v>
      </c>
      <c r="AX1525">
        <v>42.06</v>
      </c>
      <c r="AY1525">
        <v>23.13</v>
      </c>
      <c r="AZ1525">
        <v>29.34</v>
      </c>
      <c r="BA1525">
        <v>0.91</v>
      </c>
      <c r="BB1525" t="s">
        <v>143</v>
      </c>
      <c r="BF1525">
        <v>-0.23</v>
      </c>
      <c r="BG1525">
        <v>-0.95</v>
      </c>
      <c r="BH1525">
        <v>-3.1</v>
      </c>
      <c r="BI1525">
        <v>0.57999999999999996</v>
      </c>
      <c r="BJ1525">
        <v>20210806</v>
      </c>
      <c r="BK1525">
        <v>20101215</v>
      </c>
      <c r="BL1525">
        <v>17</v>
      </c>
      <c r="BM1525" t="s">
        <v>120</v>
      </c>
      <c r="BN1525" t="s">
        <v>120</v>
      </c>
      <c r="BO1525">
        <v>118.87</v>
      </c>
      <c r="BP1525">
        <v>25.94</v>
      </c>
      <c r="BQ1525">
        <v>101.84</v>
      </c>
      <c r="BR1525">
        <v>0.44</v>
      </c>
      <c r="BS1525">
        <v>13.96</v>
      </c>
      <c r="BT1525">
        <v>71.849999999999994</v>
      </c>
      <c r="BU1525">
        <v>8.3800000000000008</v>
      </c>
      <c r="BV1525">
        <v>8.74</v>
      </c>
      <c r="BW1525">
        <v>13.1</v>
      </c>
      <c r="BX1525">
        <v>28.21</v>
      </c>
      <c r="BY1525">
        <v>7.01</v>
      </c>
      <c r="BZ1525">
        <v>3.76</v>
      </c>
      <c r="CA1525" t="s">
        <v>120</v>
      </c>
      <c r="CB1525">
        <v>61.85</v>
      </c>
      <c r="CC1525">
        <v>41.98</v>
      </c>
      <c r="CD1525">
        <v>13.88</v>
      </c>
      <c r="CE1525">
        <v>16.399999999999999</v>
      </c>
      <c r="CF1525">
        <v>0.42</v>
      </c>
      <c r="CG1525">
        <v>17.36</v>
      </c>
      <c r="CH1525">
        <v>13.88</v>
      </c>
      <c r="CI1525">
        <v>13.71</v>
      </c>
      <c r="CJ1525">
        <v>-0.35</v>
      </c>
      <c r="CK1525">
        <v>12.46</v>
      </c>
      <c r="CL1525">
        <v>18.04</v>
      </c>
      <c r="CM1525">
        <v>7.32</v>
      </c>
      <c r="CN1525">
        <v>10.02</v>
      </c>
      <c r="CO1525">
        <v>44596</v>
      </c>
      <c r="CP1525">
        <v>16035</v>
      </c>
      <c r="CQ1525" t="s">
        <v>7973</v>
      </c>
      <c r="CR1525">
        <v>42.55</v>
      </c>
      <c r="CS1525">
        <v>34.32</v>
      </c>
      <c r="CT1525">
        <v>4.33</v>
      </c>
      <c r="CU1525">
        <v>60.24</v>
      </c>
      <c r="CV1525">
        <v>10.51</v>
      </c>
      <c r="CW1525">
        <v>2.4700000000000002</v>
      </c>
      <c r="CX1525" t="s">
        <v>3253</v>
      </c>
      <c r="CY1525">
        <v>5.99</v>
      </c>
      <c r="CZ1525">
        <v>0</v>
      </c>
      <c r="DA1525">
        <v>3.64</v>
      </c>
      <c r="DB1525">
        <v>1.06</v>
      </c>
      <c r="DC1525">
        <v>0.43</v>
      </c>
      <c r="DD1525">
        <v>85.68</v>
      </c>
      <c r="DE1525" t="s">
        <v>7974</v>
      </c>
      <c r="DF1525">
        <v>66.930000000000007</v>
      </c>
      <c r="DG1525">
        <v>39.06</v>
      </c>
      <c r="DH1525">
        <v>32.659999999999997</v>
      </c>
      <c r="DI1525">
        <v>0.5</v>
      </c>
      <c r="DJ1525">
        <v>3299</v>
      </c>
      <c r="DK1525">
        <v>300146</v>
      </c>
      <c r="DL1525" t="s">
        <v>120</v>
      </c>
      <c r="DM1525" t="s">
        <v>120</v>
      </c>
      <c r="DN1525" t="s">
        <v>120</v>
      </c>
    </row>
    <row r="1526" spans="1:118">
      <c r="A1526" t="str">
        <f>"300147"</f>
        <v>300147</v>
      </c>
      <c r="B1526" t="s">
        <v>7975</v>
      </c>
      <c r="C1526">
        <v>-0.55000000000000004</v>
      </c>
      <c r="D1526">
        <v>0</v>
      </c>
      <c r="E1526">
        <v>0</v>
      </c>
      <c r="F1526">
        <v>1257</v>
      </c>
      <c r="G1526" t="s">
        <v>7976</v>
      </c>
      <c r="H1526">
        <v>5720.52</v>
      </c>
      <c r="I1526">
        <v>4.4000000000000004</v>
      </c>
      <c r="J1526" t="s">
        <v>120</v>
      </c>
      <c r="K1526" t="s">
        <v>7977</v>
      </c>
      <c r="L1526">
        <v>1.21</v>
      </c>
      <c r="M1526">
        <v>7.18</v>
      </c>
      <c r="N1526">
        <v>0.73</v>
      </c>
      <c r="O1526">
        <v>1.39</v>
      </c>
      <c r="P1526">
        <v>7.32</v>
      </c>
      <c r="Q1526">
        <v>-0.55000000000000004</v>
      </c>
      <c r="R1526">
        <v>7.18</v>
      </c>
      <c r="S1526">
        <v>7.22</v>
      </c>
      <c r="T1526">
        <v>79099</v>
      </c>
      <c r="U1526">
        <v>7.18</v>
      </c>
      <c r="V1526">
        <v>7.22</v>
      </c>
      <c r="W1526">
        <v>47.2</v>
      </c>
      <c r="X1526" t="s">
        <v>771</v>
      </c>
      <c r="Y1526" t="s">
        <v>547</v>
      </c>
      <c r="Z1526">
        <v>1.94</v>
      </c>
      <c r="AA1526">
        <v>7.23</v>
      </c>
      <c r="AB1526">
        <v>42139</v>
      </c>
      <c r="AC1526">
        <v>36960</v>
      </c>
      <c r="AD1526">
        <v>1.1399999999999999</v>
      </c>
      <c r="AE1526">
        <v>1152</v>
      </c>
      <c r="AF1526">
        <v>143</v>
      </c>
      <c r="AG1526" t="s">
        <v>120</v>
      </c>
      <c r="AH1526">
        <v>0</v>
      </c>
      <c r="AI1526" t="s">
        <v>120</v>
      </c>
      <c r="AJ1526">
        <v>6.54</v>
      </c>
      <c r="AK1526" t="s">
        <v>7978</v>
      </c>
      <c r="AL1526">
        <v>1.36</v>
      </c>
      <c r="AM1526">
        <v>1489</v>
      </c>
      <c r="AN1526">
        <v>53</v>
      </c>
      <c r="AO1526">
        <v>8.0000000000000004E-4</v>
      </c>
      <c r="AP1526">
        <v>-3</v>
      </c>
      <c r="AQ1526">
        <v>-0.14000000000000001</v>
      </c>
      <c r="AR1526">
        <v>-3.49</v>
      </c>
      <c r="AS1526">
        <v>-3.1</v>
      </c>
      <c r="AT1526">
        <v>-4.6500000000000004</v>
      </c>
      <c r="AU1526">
        <v>-19.78</v>
      </c>
      <c r="AV1526">
        <v>2</v>
      </c>
      <c r="AW1526">
        <v>1.7</v>
      </c>
      <c r="AX1526">
        <v>70.400000000000006</v>
      </c>
      <c r="AY1526">
        <v>629.05999999999995</v>
      </c>
      <c r="AZ1526">
        <v>48.52</v>
      </c>
      <c r="BA1526">
        <v>0.67</v>
      </c>
      <c r="BB1526" t="s">
        <v>143</v>
      </c>
      <c r="BF1526">
        <v>0.17</v>
      </c>
      <c r="BG1526">
        <v>-0.55000000000000004</v>
      </c>
      <c r="BH1526">
        <v>-1.91</v>
      </c>
      <c r="BI1526">
        <v>0</v>
      </c>
      <c r="BJ1526">
        <v>20210901</v>
      </c>
      <c r="BK1526">
        <v>20101215</v>
      </c>
      <c r="BL1526">
        <v>6.61</v>
      </c>
      <c r="BM1526" t="s">
        <v>120</v>
      </c>
      <c r="BN1526" t="s">
        <v>120</v>
      </c>
      <c r="BO1526">
        <v>116.05</v>
      </c>
      <c r="BP1526">
        <v>7.17</v>
      </c>
      <c r="BQ1526">
        <v>36.76</v>
      </c>
      <c r="BR1526">
        <v>7.71</v>
      </c>
      <c r="BS1526">
        <v>61.68</v>
      </c>
      <c r="BT1526">
        <v>26.97</v>
      </c>
      <c r="BU1526">
        <v>19.96</v>
      </c>
      <c r="BV1526">
        <v>10.71</v>
      </c>
      <c r="BW1526">
        <v>60.82</v>
      </c>
      <c r="BX1526">
        <v>2.15</v>
      </c>
      <c r="BY1526">
        <v>8.5</v>
      </c>
      <c r="BZ1526">
        <v>11.01</v>
      </c>
      <c r="CA1526" t="s">
        <v>120</v>
      </c>
      <c r="CB1526">
        <v>21.55</v>
      </c>
      <c r="CC1526">
        <v>15.36</v>
      </c>
      <c r="CD1526">
        <v>10.85</v>
      </c>
      <c r="CE1526">
        <v>0.88</v>
      </c>
      <c r="CF1526">
        <v>-0.03</v>
      </c>
      <c r="CG1526">
        <v>0.81</v>
      </c>
      <c r="CH1526">
        <v>0.73</v>
      </c>
      <c r="CI1526">
        <v>0.5</v>
      </c>
      <c r="CJ1526">
        <v>-0.04</v>
      </c>
      <c r="CK1526">
        <v>0.22</v>
      </c>
      <c r="CL1526">
        <v>7.71</v>
      </c>
      <c r="CM1526">
        <v>1.21</v>
      </c>
      <c r="CN1526">
        <v>-2.66</v>
      </c>
      <c r="CO1526">
        <v>54114</v>
      </c>
      <c r="CP1526">
        <v>8604</v>
      </c>
      <c r="CQ1526" t="s">
        <v>6469</v>
      </c>
      <c r="CR1526">
        <v>-64.36</v>
      </c>
      <c r="CS1526">
        <v>-15.47</v>
      </c>
      <c r="CT1526">
        <v>1.29</v>
      </c>
      <c r="CU1526">
        <v>39.229999999999997</v>
      </c>
      <c r="CV1526">
        <v>3.09</v>
      </c>
      <c r="CW1526">
        <v>0</v>
      </c>
      <c r="CX1526" t="s">
        <v>535</v>
      </c>
      <c r="CY1526">
        <v>5.56</v>
      </c>
      <c r="CZ1526">
        <v>0</v>
      </c>
      <c r="DA1526">
        <v>3.26</v>
      </c>
      <c r="DB1526">
        <v>1.17</v>
      </c>
      <c r="DC1526">
        <v>0.18</v>
      </c>
      <c r="DD1526">
        <v>31.68</v>
      </c>
      <c r="DE1526" t="s">
        <v>7979</v>
      </c>
      <c r="DF1526">
        <v>29.34</v>
      </c>
      <c r="DG1526">
        <v>5.76</v>
      </c>
      <c r="DH1526">
        <v>3.28</v>
      </c>
      <c r="DI1526">
        <v>0.23</v>
      </c>
      <c r="DJ1526">
        <v>3326</v>
      </c>
      <c r="DK1526">
        <v>300147</v>
      </c>
      <c r="DL1526" t="s">
        <v>120</v>
      </c>
      <c r="DM1526" t="s">
        <v>120</v>
      </c>
      <c r="DN1526" t="s">
        <v>120</v>
      </c>
    </row>
    <row r="1527" spans="1:118">
      <c r="A1527" t="str">
        <f>"300148"</f>
        <v>300148</v>
      </c>
      <c r="B1527" t="s">
        <v>7980</v>
      </c>
      <c r="C1527">
        <v>-3.85</v>
      </c>
      <c r="D1527">
        <v>0</v>
      </c>
      <c r="E1527">
        <v>0.51</v>
      </c>
      <c r="F1527">
        <v>9450</v>
      </c>
      <c r="G1527" t="s">
        <v>7981</v>
      </c>
      <c r="H1527">
        <v>24856.799999999999</v>
      </c>
      <c r="I1527">
        <v>81.099999999999994</v>
      </c>
      <c r="J1527" t="s">
        <v>120</v>
      </c>
      <c r="K1527" t="s">
        <v>7982</v>
      </c>
      <c r="L1527">
        <v>8.43</v>
      </c>
      <c r="M1527">
        <v>3.75</v>
      </c>
      <c r="N1527">
        <v>0.55000000000000004</v>
      </c>
      <c r="O1527">
        <v>3.33</v>
      </c>
      <c r="P1527">
        <v>4.03</v>
      </c>
      <c r="Q1527">
        <v>-4.0999999999999996</v>
      </c>
      <c r="R1527">
        <v>3.74</v>
      </c>
      <c r="S1527">
        <v>3.92</v>
      </c>
      <c r="T1527">
        <v>642666</v>
      </c>
      <c r="U1527">
        <v>3.76</v>
      </c>
      <c r="V1527">
        <v>3.9</v>
      </c>
      <c r="W1527">
        <v>34.880000000000003</v>
      </c>
      <c r="X1527" t="s">
        <v>1531</v>
      </c>
      <c r="Y1527" t="s">
        <v>594</v>
      </c>
      <c r="Z1527">
        <v>7.44</v>
      </c>
      <c r="AA1527">
        <v>3.87</v>
      </c>
      <c r="AB1527">
        <v>376481</v>
      </c>
      <c r="AC1527">
        <v>266185</v>
      </c>
      <c r="AD1527">
        <v>1.41</v>
      </c>
      <c r="AE1527">
        <v>1405</v>
      </c>
      <c r="AF1527">
        <v>1167</v>
      </c>
      <c r="AG1527" t="s">
        <v>120</v>
      </c>
      <c r="AH1527">
        <v>0.03</v>
      </c>
      <c r="AI1527" t="s">
        <v>120</v>
      </c>
      <c r="AJ1527">
        <v>7.62</v>
      </c>
      <c r="AK1527" t="s">
        <v>7983</v>
      </c>
      <c r="AL1527">
        <v>-1.93</v>
      </c>
      <c r="AM1527">
        <v>3613</v>
      </c>
      <c r="AN1527">
        <v>178</v>
      </c>
      <c r="AO1527">
        <v>2.3E-3</v>
      </c>
      <c r="AP1527">
        <v>-1</v>
      </c>
      <c r="AQ1527">
        <v>0</v>
      </c>
      <c r="AR1527">
        <v>-7.63</v>
      </c>
      <c r="AS1527">
        <v>21.36</v>
      </c>
      <c r="AT1527">
        <v>6.84</v>
      </c>
      <c r="AU1527">
        <v>7.76</v>
      </c>
      <c r="AV1527">
        <v>1</v>
      </c>
      <c r="AW1527">
        <v>10.31</v>
      </c>
      <c r="AX1527">
        <v>73.819999999999993</v>
      </c>
      <c r="AY1527" t="s">
        <v>120</v>
      </c>
      <c r="AZ1527" t="s">
        <v>120</v>
      </c>
      <c r="BA1527">
        <v>1.1599999999999999</v>
      </c>
      <c r="BB1527" t="s">
        <v>341</v>
      </c>
      <c r="BF1527">
        <v>-0.83</v>
      </c>
      <c r="BG1527">
        <v>-4.34</v>
      </c>
      <c r="BH1527">
        <v>-6.95</v>
      </c>
      <c r="BI1527">
        <v>0.27</v>
      </c>
      <c r="BJ1527">
        <v>20210827</v>
      </c>
      <c r="BK1527">
        <v>20101215</v>
      </c>
      <c r="BL1527">
        <v>8.44</v>
      </c>
      <c r="BM1527" t="s">
        <v>120</v>
      </c>
      <c r="BN1527" t="s">
        <v>120</v>
      </c>
      <c r="BO1527">
        <v>28.9</v>
      </c>
      <c r="BP1527">
        <v>3.75</v>
      </c>
      <c r="BQ1527">
        <v>23.83</v>
      </c>
      <c r="BR1527">
        <v>1.1200000000000001</v>
      </c>
      <c r="BS1527">
        <v>13.67</v>
      </c>
      <c r="BT1527">
        <v>10.77</v>
      </c>
      <c r="BU1527">
        <v>1.89</v>
      </c>
      <c r="BV1527">
        <v>1.43</v>
      </c>
      <c r="BW1527">
        <v>2.66</v>
      </c>
      <c r="BX1527">
        <v>4.1900000000000004</v>
      </c>
      <c r="BY1527">
        <v>0.2</v>
      </c>
      <c r="BZ1527">
        <v>1.5</v>
      </c>
      <c r="CA1527" t="s">
        <v>120</v>
      </c>
      <c r="CB1527">
        <v>27.32</v>
      </c>
      <c r="CC1527">
        <v>2.65</v>
      </c>
      <c r="CD1527">
        <v>1.24</v>
      </c>
      <c r="CE1527">
        <v>0.46</v>
      </c>
      <c r="CF1527">
        <v>0.16</v>
      </c>
      <c r="CG1527">
        <v>0.46</v>
      </c>
      <c r="CH1527">
        <v>0.43</v>
      </c>
      <c r="CI1527">
        <v>0.45</v>
      </c>
      <c r="CJ1527">
        <v>-0.15</v>
      </c>
      <c r="CK1527">
        <v>0.43</v>
      </c>
      <c r="CL1527">
        <v>-12.57</v>
      </c>
      <c r="CM1527">
        <v>-0.28000000000000003</v>
      </c>
      <c r="CN1527">
        <v>0.33</v>
      </c>
      <c r="CO1527">
        <v>31588</v>
      </c>
      <c r="CP1527">
        <v>19733</v>
      </c>
      <c r="CQ1527" t="s">
        <v>7984</v>
      </c>
      <c r="CR1527">
        <v>6.56</v>
      </c>
      <c r="CS1527">
        <v>-29.78</v>
      </c>
      <c r="CT1527">
        <v>1.33</v>
      </c>
      <c r="CU1527">
        <v>-113.86</v>
      </c>
      <c r="CV1527">
        <v>11.93</v>
      </c>
      <c r="CW1527">
        <v>0</v>
      </c>
      <c r="CX1527" t="s">
        <v>1248</v>
      </c>
      <c r="CY1527">
        <v>2.82</v>
      </c>
      <c r="CZ1527">
        <v>0</v>
      </c>
      <c r="DA1527">
        <v>3.24</v>
      </c>
      <c r="DB1527">
        <v>-1.49</v>
      </c>
      <c r="DC1527">
        <v>-0.03</v>
      </c>
      <c r="DD1527">
        <v>82.45</v>
      </c>
      <c r="DE1527" t="s">
        <v>5446</v>
      </c>
      <c r="DF1527">
        <v>53.37</v>
      </c>
      <c r="DG1527">
        <v>17.43</v>
      </c>
      <c r="DH1527">
        <v>17.11</v>
      </c>
      <c r="DI1527">
        <v>0.47</v>
      </c>
      <c r="DJ1527">
        <v>737</v>
      </c>
      <c r="DK1527">
        <v>300148</v>
      </c>
      <c r="DL1527" t="s">
        <v>120</v>
      </c>
      <c r="DM1527" t="s">
        <v>120</v>
      </c>
      <c r="DN1527" t="s">
        <v>120</v>
      </c>
    </row>
    <row r="1528" spans="1:118">
      <c r="A1528" t="str">
        <f>"300149"</f>
        <v>300149</v>
      </c>
      <c r="B1528" t="s">
        <v>7985</v>
      </c>
      <c r="C1528">
        <v>-0.41</v>
      </c>
      <c r="D1528">
        <v>-0.06</v>
      </c>
      <c r="E1528">
        <v>1.85</v>
      </c>
      <c r="F1528">
        <v>1524</v>
      </c>
      <c r="G1528" t="s">
        <v>3643</v>
      </c>
      <c r="H1528">
        <v>7231.34</v>
      </c>
      <c r="I1528">
        <v>115.62</v>
      </c>
      <c r="J1528" t="s">
        <v>120</v>
      </c>
      <c r="K1528" t="s">
        <v>7986</v>
      </c>
      <c r="L1528">
        <v>1.08</v>
      </c>
      <c r="M1528">
        <v>14.57</v>
      </c>
      <c r="N1528">
        <v>0.77</v>
      </c>
      <c r="O1528">
        <v>1.85</v>
      </c>
      <c r="P1528">
        <v>14.9</v>
      </c>
      <c r="Q1528">
        <v>-1.5</v>
      </c>
      <c r="R1528">
        <v>14.41</v>
      </c>
      <c r="S1528">
        <v>14.9</v>
      </c>
      <c r="T1528">
        <v>49334</v>
      </c>
      <c r="U1528">
        <v>14.58</v>
      </c>
      <c r="V1528">
        <v>14.63</v>
      </c>
      <c r="W1528">
        <v>708.64</v>
      </c>
      <c r="X1528" t="s">
        <v>666</v>
      </c>
      <c r="Y1528" t="s">
        <v>547</v>
      </c>
      <c r="Z1528">
        <v>3.35</v>
      </c>
      <c r="AA1528">
        <v>14.66</v>
      </c>
      <c r="AB1528">
        <v>27489</v>
      </c>
      <c r="AC1528">
        <v>21845</v>
      </c>
      <c r="AD1528">
        <v>1.26</v>
      </c>
      <c r="AE1528">
        <v>25</v>
      </c>
      <c r="AF1528">
        <v>95</v>
      </c>
      <c r="AG1528" t="s">
        <v>120</v>
      </c>
      <c r="AH1528">
        <v>0.03</v>
      </c>
      <c r="AI1528" t="s">
        <v>120</v>
      </c>
      <c r="AJ1528">
        <v>4.58</v>
      </c>
      <c r="AK1528" t="s">
        <v>7987</v>
      </c>
      <c r="AL1528">
        <v>1.5</v>
      </c>
      <c r="AM1528">
        <v>2317</v>
      </c>
      <c r="AN1528">
        <v>21</v>
      </c>
      <c r="AO1528">
        <v>5.0000000000000001E-4</v>
      </c>
      <c r="AP1528">
        <v>-2</v>
      </c>
      <c r="AQ1528">
        <v>-3.75</v>
      </c>
      <c r="AR1528">
        <v>6.12</v>
      </c>
      <c r="AS1528">
        <v>-3.83</v>
      </c>
      <c r="AT1528">
        <v>-17.260000000000002</v>
      </c>
      <c r="AU1528">
        <v>-0.61</v>
      </c>
      <c r="AV1528">
        <v>0</v>
      </c>
      <c r="AW1528">
        <v>1.65</v>
      </c>
      <c r="AX1528">
        <v>59.65</v>
      </c>
      <c r="AY1528">
        <v>61.55</v>
      </c>
      <c r="AZ1528">
        <v>47.31</v>
      </c>
      <c r="BA1528">
        <v>1.19</v>
      </c>
      <c r="BB1528" t="s">
        <v>143</v>
      </c>
      <c r="BF1528">
        <v>0.19</v>
      </c>
      <c r="BG1528">
        <v>-2.21</v>
      </c>
      <c r="BH1528">
        <v>-2.21</v>
      </c>
      <c r="BI1528">
        <v>1.1100000000000001</v>
      </c>
      <c r="BJ1528">
        <v>20210830</v>
      </c>
      <c r="BK1528">
        <v>20101222</v>
      </c>
      <c r="BL1528">
        <v>5</v>
      </c>
      <c r="BM1528" t="s">
        <v>120</v>
      </c>
      <c r="BN1528" t="s">
        <v>120</v>
      </c>
      <c r="BO1528">
        <v>47.41</v>
      </c>
      <c r="BP1528">
        <v>14.57</v>
      </c>
      <c r="BQ1528">
        <v>23.76</v>
      </c>
      <c r="BR1528">
        <v>0.24</v>
      </c>
      <c r="BS1528">
        <v>49.37</v>
      </c>
      <c r="BT1528">
        <v>9.1</v>
      </c>
      <c r="BU1528">
        <v>6.98</v>
      </c>
      <c r="BV1528">
        <v>1.55</v>
      </c>
      <c r="BW1528">
        <v>9.7200000000000006</v>
      </c>
      <c r="BX1528">
        <v>2.83</v>
      </c>
      <c r="BY1528">
        <v>0.56000000000000005</v>
      </c>
      <c r="BZ1528">
        <v>3.84</v>
      </c>
      <c r="CA1528" t="s">
        <v>120</v>
      </c>
      <c r="CB1528">
        <v>12.29</v>
      </c>
      <c r="CC1528">
        <v>8.4499999999999993</v>
      </c>
      <c r="CD1528">
        <v>6.01</v>
      </c>
      <c r="CE1528">
        <v>0.01</v>
      </c>
      <c r="CF1528">
        <v>0.04</v>
      </c>
      <c r="CG1528">
        <v>0.01</v>
      </c>
      <c r="CH1528">
        <v>0.05</v>
      </c>
      <c r="CI1528">
        <v>0.05</v>
      </c>
      <c r="CJ1528">
        <v>-0.06</v>
      </c>
      <c r="CK1528">
        <v>-0.01</v>
      </c>
      <c r="CL1528">
        <v>6.19</v>
      </c>
      <c r="CM1528">
        <v>1.69</v>
      </c>
      <c r="CN1528">
        <v>0.27</v>
      </c>
      <c r="CO1528">
        <v>15180</v>
      </c>
      <c r="CP1528">
        <v>19639</v>
      </c>
      <c r="CQ1528" t="s">
        <v>7988</v>
      </c>
      <c r="CR1528">
        <v>-87.43</v>
      </c>
      <c r="CS1528">
        <v>26.14</v>
      </c>
      <c r="CT1528">
        <v>3.06</v>
      </c>
      <c r="CU1528">
        <v>43.13</v>
      </c>
      <c r="CV1528">
        <v>8.61</v>
      </c>
      <c r="CW1528">
        <v>0.48</v>
      </c>
      <c r="CX1528" t="s">
        <v>178</v>
      </c>
      <c r="CY1528">
        <v>4.75</v>
      </c>
      <c r="CZ1528">
        <v>0</v>
      </c>
      <c r="DA1528">
        <v>2.46</v>
      </c>
      <c r="DB1528">
        <v>1.24</v>
      </c>
      <c r="DC1528">
        <v>0.34</v>
      </c>
      <c r="DD1528">
        <v>50.11</v>
      </c>
      <c r="DE1528" t="s">
        <v>1024</v>
      </c>
      <c r="DF1528">
        <v>28.88</v>
      </c>
      <c r="DG1528">
        <v>0.15</v>
      </c>
      <c r="DH1528">
        <v>0.61</v>
      </c>
      <c r="DI1528">
        <v>0.59</v>
      </c>
      <c r="DJ1528">
        <v>2657</v>
      </c>
      <c r="DK1528">
        <v>300149</v>
      </c>
      <c r="DL1528" t="s">
        <v>120</v>
      </c>
      <c r="DM1528" t="s">
        <v>120</v>
      </c>
      <c r="DN1528" t="s">
        <v>120</v>
      </c>
    </row>
    <row r="1529" spans="1:118">
      <c r="A1529" t="str">
        <f>"300150"</f>
        <v>300150</v>
      </c>
      <c r="B1529" t="s">
        <v>7989</v>
      </c>
      <c r="C1529">
        <v>-3.51</v>
      </c>
      <c r="D1529">
        <v>0</v>
      </c>
      <c r="E1529">
        <v>-0.62</v>
      </c>
      <c r="F1529">
        <v>1679</v>
      </c>
      <c r="G1529" t="s">
        <v>4540</v>
      </c>
      <c r="H1529">
        <v>7413.7</v>
      </c>
      <c r="I1529">
        <v>22.51</v>
      </c>
      <c r="J1529" t="s">
        <v>120</v>
      </c>
      <c r="K1529" t="s">
        <v>3418</v>
      </c>
      <c r="L1529">
        <v>3.04</v>
      </c>
      <c r="M1529">
        <v>4.68</v>
      </c>
      <c r="N1529">
        <v>0.74</v>
      </c>
      <c r="O1529">
        <v>0.82</v>
      </c>
      <c r="P1529">
        <v>4.8899999999999997</v>
      </c>
      <c r="Q1529">
        <v>-3.71</v>
      </c>
      <c r="R1529">
        <v>4.67</v>
      </c>
      <c r="S1529">
        <v>4.82</v>
      </c>
      <c r="T1529">
        <v>155467</v>
      </c>
      <c r="U1529">
        <v>4.68</v>
      </c>
      <c r="V1529">
        <v>4.8499999999999996</v>
      </c>
      <c r="W1529" t="s">
        <v>120</v>
      </c>
      <c r="X1529" t="s">
        <v>141</v>
      </c>
      <c r="Y1529" t="s">
        <v>158</v>
      </c>
      <c r="Z1529">
        <v>4.54</v>
      </c>
      <c r="AA1529">
        <v>4.7699999999999996</v>
      </c>
      <c r="AB1529">
        <v>95051</v>
      </c>
      <c r="AC1529">
        <v>60416</v>
      </c>
      <c r="AD1529">
        <v>1.57</v>
      </c>
      <c r="AE1529">
        <v>1717</v>
      </c>
      <c r="AF1529">
        <v>2144</v>
      </c>
      <c r="AG1529" t="s">
        <v>120</v>
      </c>
      <c r="AH1529">
        <v>0.01</v>
      </c>
      <c r="AI1529" t="s">
        <v>120</v>
      </c>
      <c r="AJ1529">
        <v>5.1100000000000003</v>
      </c>
      <c r="AK1529" t="s">
        <v>1995</v>
      </c>
      <c r="AL1529">
        <v>-1.59</v>
      </c>
      <c r="AM1529">
        <v>2248</v>
      </c>
      <c r="AN1529">
        <v>69</v>
      </c>
      <c r="AO1529">
        <v>1.4E-3</v>
      </c>
      <c r="AP1529">
        <v>-1</v>
      </c>
      <c r="AQ1529">
        <v>0</v>
      </c>
      <c r="AR1529">
        <v>-5.83</v>
      </c>
      <c r="AS1529">
        <v>10.38</v>
      </c>
      <c r="AT1529">
        <v>8.33</v>
      </c>
      <c r="AU1529">
        <v>0.43</v>
      </c>
      <c r="AV1529">
        <v>1</v>
      </c>
      <c r="AW1529">
        <v>4.7</v>
      </c>
      <c r="AX1529">
        <v>56.55</v>
      </c>
      <c r="AY1529" t="s">
        <v>120</v>
      </c>
      <c r="AZ1529" t="s">
        <v>120</v>
      </c>
      <c r="BA1529">
        <v>0.77</v>
      </c>
      <c r="BB1529" t="s">
        <v>341</v>
      </c>
      <c r="BF1529">
        <v>-1.68</v>
      </c>
      <c r="BG1529">
        <v>-2.9</v>
      </c>
      <c r="BH1529">
        <v>-4.29</v>
      </c>
      <c r="BI1529">
        <v>0.21</v>
      </c>
      <c r="BJ1529">
        <v>20210825</v>
      </c>
      <c r="BK1529">
        <v>20101222</v>
      </c>
      <c r="BL1529">
        <v>5.85</v>
      </c>
      <c r="BM1529" t="s">
        <v>120</v>
      </c>
      <c r="BN1529" t="s">
        <v>120</v>
      </c>
      <c r="BO1529">
        <v>22.51</v>
      </c>
      <c r="BP1529">
        <v>4.67</v>
      </c>
      <c r="BQ1529">
        <v>18.86</v>
      </c>
      <c r="BR1529">
        <v>0.06</v>
      </c>
      <c r="BS1529">
        <v>15.96</v>
      </c>
      <c r="BT1529">
        <v>15.39</v>
      </c>
      <c r="BU1529">
        <v>0.47</v>
      </c>
      <c r="BV1529">
        <v>0.38</v>
      </c>
      <c r="BW1529">
        <v>3.59</v>
      </c>
      <c r="BX1529">
        <v>2.33</v>
      </c>
      <c r="BY1529">
        <v>3.51</v>
      </c>
      <c r="BZ1529">
        <v>6.58</v>
      </c>
      <c r="CA1529" t="s">
        <v>120</v>
      </c>
      <c r="CB1529">
        <v>10.94</v>
      </c>
      <c r="CC1529">
        <v>2.83</v>
      </c>
      <c r="CD1529">
        <v>1.82</v>
      </c>
      <c r="CE1529">
        <v>-0.12</v>
      </c>
      <c r="CF1529">
        <v>-0.04</v>
      </c>
      <c r="CG1529">
        <v>-0.11</v>
      </c>
      <c r="CH1529">
        <v>-0.11</v>
      </c>
      <c r="CI1529">
        <v>-0.1</v>
      </c>
      <c r="CJ1529">
        <v>-0.17</v>
      </c>
      <c r="CK1529">
        <v>-0.13</v>
      </c>
      <c r="CL1529">
        <v>1.17</v>
      </c>
      <c r="CM1529">
        <v>-1.72</v>
      </c>
      <c r="CN1529">
        <v>-1.59</v>
      </c>
      <c r="CO1529">
        <v>26096</v>
      </c>
      <c r="CP1529">
        <v>12680</v>
      </c>
      <c r="CQ1529" t="s">
        <v>3124</v>
      </c>
      <c r="CR1529">
        <v>56.14</v>
      </c>
      <c r="CS1529">
        <v>49.92</v>
      </c>
      <c r="CT1529">
        <v>1.45</v>
      </c>
      <c r="CU1529">
        <v>-15.92</v>
      </c>
      <c r="CV1529">
        <v>9.66</v>
      </c>
      <c r="CW1529">
        <v>0</v>
      </c>
      <c r="CX1529" t="s">
        <v>419</v>
      </c>
      <c r="CY1529">
        <v>3.22</v>
      </c>
      <c r="CZ1529">
        <v>0</v>
      </c>
      <c r="DA1529">
        <v>1.87</v>
      </c>
      <c r="DB1529">
        <v>0.2</v>
      </c>
      <c r="DC1529">
        <v>-0.28999999999999998</v>
      </c>
      <c r="DD1529">
        <v>83.76</v>
      </c>
      <c r="DE1529" t="s">
        <v>7990</v>
      </c>
      <c r="DF1529">
        <v>35.799999999999997</v>
      </c>
      <c r="DG1529">
        <v>-4.16</v>
      </c>
      <c r="DH1529">
        <v>-3.6</v>
      </c>
      <c r="DI1529">
        <v>0.37</v>
      </c>
      <c r="DJ1529">
        <v>871</v>
      </c>
      <c r="DK1529">
        <v>300150</v>
      </c>
      <c r="DL1529" t="s">
        <v>120</v>
      </c>
      <c r="DM1529" t="s">
        <v>120</v>
      </c>
      <c r="DN1529" t="s">
        <v>120</v>
      </c>
    </row>
    <row r="1530" spans="1:118">
      <c r="A1530" t="str">
        <f>"300151"</f>
        <v>300151</v>
      </c>
      <c r="B1530" t="s">
        <v>7991</v>
      </c>
      <c r="C1530">
        <v>-6.45</v>
      </c>
      <c r="D1530">
        <v>0.04</v>
      </c>
      <c r="E1530">
        <v>-0.72</v>
      </c>
      <c r="F1530">
        <v>135</v>
      </c>
      <c r="G1530" t="s">
        <v>7992</v>
      </c>
      <c r="H1530">
        <v>13310.88</v>
      </c>
      <c r="I1530">
        <v>32.99</v>
      </c>
      <c r="J1530" t="s">
        <v>120</v>
      </c>
      <c r="K1530" t="s">
        <v>7993</v>
      </c>
      <c r="L1530">
        <v>1.58</v>
      </c>
      <c r="M1530">
        <v>26.12</v>
      </c>
      <c r="N1530">
        <v>1.4</v>
      </c>
      <c r="O1530">
        <v>0.28999999999999998</v>
      </c>
      <c r="P1530">
        <v>28</v>
      </c>
      <c r="Q1530">
        <v>-6.55</v>
      </c>
      <c r="R1530">
        <v>26.09</v>
      </c>
      <c r="S1530">
        <v>27.72</v>
      </c>
      <c r="T1530">
        <v>49914</v>
      </c>
      <c r="U1530">
        <v>26.15</v>
      </c>
      <c r="V1530">
        <v>27.92</v>
      </c>
      <c r="W1530">
        <v>121.77</v>
      </c>
      <c r="X1530" t="s">
        <v>959</v>
      </c>
      <c r="Y1530" t="s">
        <v>123</v>
      </c>
      <c r="Z1530">
        <v>6.84</v>
      </c>
      <c r="AA1530">
        <v>26.67</v>
      </c>
      <c r="AB1530">
        <v>32513</v>
      </c>
      <c r="AC1530">
        <v>17401</v>
      </c>
      <c r="AD1530">
        <v>1.87</v>
      </c>
      <c r="AE1530">
        <v>13</v>
      </c>
      <c r="AF1530">
        <v>15</v>
      </c>
      <c r="AG1530" t="s">
        <v>120</v>
      </c>
      <c r="AH1530">
        <v>0</v>
      </c>
      <c r="AI1530" t="s">
        <v>120</v>
      </c>
      <c r="AJ1530">
        <v>3.16</v>
      </c>
      <c r="AK1530" t="s">
        <v>7994</v>
      </c>
      <c r="AL1530">
        <v>-4.53</v>
      </c>
      <c r="AM1530">
        <v>2041</v>
      </c>
      <c r="AN1530">
        <v>24</v>
      </c>
      <c r="AO1530">
        <v>8.0000000000000004E-4</v>
      </c>
      <c r="AP1530">
        <v>-1</v>
      </c>
      <c r="AQ1530">
        <v>0.47</v>
      </c>
      <c r="AR1530">
        <v>-6.67</v>
      </c>
      <c r="AS1530">
        <v>-5.12</v>
      </c>
      <c r="AT1530">
        <v>-5.09</v>
      </c>
      <c r="AU1530">
        <v>-4.04</v>
      </c>
      <c r="AV1530">
        <v>0</v>
      </c>
      <c r="AW1530">
        <v>1.9</v>
      </c>
      <c r="AX1530">
        <v>52.24</v>
      </c>
      <c r="AY1530">
        <v>117.57</v>
      </c>
      <c r="AZ1530">
        <v>83.08</v>
      </c>
      <c r="BA1530">
        <v>0.93</v>
      </c>
      <c r="BB1530" t="s">
        <v>143</v>
      </c>
      <c r="BF1530">
        <v>-4.4800000000000004</v>
      </c>
      <c r="BG1530">
        <v>-5.77</v>
      </c>
      <c r="BH1530">
        <v>-6.71</v>
      </c>
      <c r="BI1530">
        <v>0.11</v>
      </c>
      <c r="BJ1530">
        <v>20210821</v>
      </c>
      <c r="BK1530">
        <v>20101222</v>
      </c>
      <c r="BL1530">
        <v>5.03</v>
      </c>
      <c r="BM1530" t="s">
        <v>120</v>
      </c>
      <c r="BN1530" t="s">
        <v>120</v>
      </c>
      <c r="BO1530">
        <v>17.309999999999999</v>
      </c>
      <c r="BP1530">
        <v>26.12</v>
      </c>
      <c r="BQ1530">
        <v>10.85</v>
      </c>
      <c r="BR1530">
        <v>0.19</v>
      </c>
      <c r="BS1530">
        <v>36.229999999999997</v>
      </c>
      <c r="BT1530">
        <v>10.36</v>
      </c>
      <c r="BU1530">
        <v>3.21</v>
      </c>
      <c r="BV1530">
        <v>0.63</v>
      </c>
      <c r="BW1530">
        <v>2.21</v>
      </c>
      <c r="BX1530">
        <v>4.49</v>
      </c>
      <c r="BY1530">
        <v>1.8</v>
      </c>
      <c r="BZ1530">
        <v>2.36</v>
      </c>
      <c r="CA1530" t="s">
        <v>120</v>
      </c>
      <c r="CB1530">
        <v>1.1000000000000001</v>
      </c>
      <c r="CC1530">
        <v>5.49</v>
      </c>
      <c r="CD1530">
        <v>3.74</v>
      </c>
      <c r="CE1530">
        <v>0.67</v>
      </c>
      <c r="CF1530">
        <v>0.02</v>
      </c>
      <c r="CG1530">
        <v>0.66</v>
      </c>
      <c r="CH1530">
        <v>0.56999999999999995</v>
      </c>
      <c r="CI1530">
        <v>0.54</v>
      </c>
      <c r="CJ1530">
        <v>-1.8</v>
      </c>
      <c r="CK1530">
        <v>0.49</v>
      </c>
      <c r="CL1530">
        <v>3.8</v>
      </c>
      <c r="CM1530">
        <v>0.24</v>
      </c>
      <c r="CN1530">
        <v>0.37</v>
      </c>
      <c r="CO1530">
        <v>15342</v>
      </c>
      <c r="CP1530">
        <v>17110</v>
      </c>
      <c r="CQ1530" t="s">
        <v>7995</v>
      </c>
      <c r="CR1530">
        <v>-47.89</v>
      </c>
      <c r="CS1530">
        <v>6.33</v>
      </c>
      <c r="CT1530">
        <v>13.18</v>
      </c>
      <c r="CU1530">
        <v>536.87</v>
      </c>
      <c r="CV1530">
        <v>23.91</v>
      </c>
      <c r="CW1530">
        <v>0.71</v>
      </c>
      <c r="CX1530" t="s">
        <v>850</v>
      </c>
      <c r="CY1530">
        <v>1.98</v>
      </c>
      <c r="CZ1530">
        <v>1.98</v>
      </c>
      <c r="DA1530">
        <v>0.22</v>
      </c>
      <c r="DB1530">
        <v>0.76</v>
      </c>
      <c r="DC1530">
        <v>0.05</v>
      </c>
      <c r="DD1530">
        <v>62.67</v>
      </c>
      <c r="DE1530" t="s">
        <v>5005</v>
      </c>
      <c r="DF1530">
        <v>31.8</v>
      </c>
      <c r="DG1530">
        <v>12.21</v>
      </c>
      <c r="DH1530">
        <v>9.82</v>
      </c>
      <c r="DI1530">
        <v>0.22</v>
      </c>
      <c r="DJ1530">
        <v>2094</v>
      </c>
      <c r="DK1530">
        <v>300151</v>
      </c>
      <c r="DL1530" t="s">
        <v>120</v>
      </c>
      <c r="DM1530" t="s">
        <v>120</v>
      </c>
      <c r="DN1530" t="s">
        <v>120</v>
      </c>
    </row>
    <row r="1531" spans="1:118">
      <c r="A1531" t="str">
        <f>"300152"</f>
        <v>300152</v>
      </c>
      <c r="B1531" t="s">
        <v>7996</v>
      </c>
      <c r="C1531">
        <v>-4.76</v>
      </c>
      <c r="D1531">
        <v>0</v>
      </c>
      <c r="E1531">
        <v>0.68</v>
      </c>
      <c r="F1531">
        <v>3669</v>
      </c>
      <c r="G1531" t="s">
        <v>7169</v>
      </c>
      <c r="H1531">
        <v>17731.54</v>
      </c>
      <c r="I1531">
        <v>66.02</v>
      </c>
      <c r="J1531" t="s">
        <v>120</v>
      </c>
      <c r="K1531" t="s">
        <v>7997</v>
      </c>
      <c r="L1531">
        <v>5.79</v>
      </c>
      <c r="M1531">
        <v>4.2</v>
      </c>
      <c r="N1531">
        <v>0.71</v>
      </c>
      <c r="O1531">
        <v>0.68</v>
      </c>
      <c r="P1531">
        <v>4.4400000000000004</v>
      </c>
      <c r="Q1531">
        <v>-5.22</v>
      </c>
      <c r="R1531">
        <v>4.18</v>
      </c>
      <c r="S1531">
        <v>4.4400000000000004</v>
      </c>
      <c r="T1531">
        <v>412360</v>
      </c>
      <c r="U1531">
        <v>4.2</v>
      </c>
      <c r="V1531">
        <v>4.41</v>
      </c>
      <c r="W1531" t="s">
        <v>120</v>
      </c>
      <c r="X1531" t="s">
        <v>318</v>
      </c>
      <c r="Y1531" t="s">
        <v>602</v>
      </c>
      <c r="Z1531">
        <v>5.9</v>
      </c>
      <c r="AA1531">
        <v>4.3</v>
      </c>
      <c r="AB1531">
        <v>265635</v>
      </c>
      <c r="AC1531">
        <v>146725</v>
      </c>
      <c r="AD1531">
        <v>1.81</v>
      </c>
      <c r="AE1531">
        <v>3410</v>
      </c>
      <c r="AF1531">
        <v>1552</v>
      </c>
      <c r="AG1531" t="s">
        <v>120</v>
      </c>
      <c r="AH1531">
        <v>0.03</v>
      </c>
      <c r="AI1531" t="s">
        <v>120</v>
      </c>
      <c r="AJ1531">
        <v>7.12</v>
      </c>
      <c r="AK1531" t="s">
        <v>7998</v>
      </c>
      <c r="AL1531">
        <v>-2.85</v>
      </c>
      <c r="AM1531">
        <v>3112</v>
      </c>
      <c r="AN1531">
        <v>133</v>
      </c>
      <c r="AO1531">
        <v>1.9E-3</v>
      </c>
      <c r="AP1531">
        <v>-3</v>
      </c>
      <c r="AQ1531">
        <v>-0.9</v>
      </c>
      <c r="AR1531">
        <v>-8.6999999999999993</v>
      </c>
      <c r="AS1531">
        <v>-21.35</v>
      </c>
      <c r="AT1531">
        <v>16.34</v>
      </c>
      <c r="AU1531">
        <v>50.53</v>
      </c>
      <c r="AV1531">
        <v>4</v>
      </c>
      <c r="AW1531">
        <v>8.19</v>
      </c>
      <c r="AX1531">
        <v>70.62</v>
      </c>
      <c r="AY1531">
        <v>166.17</v>
      </c>
      <c r="AZ1531">
        <v>241.96</v>
      </c>
      <c r="BA1531">
        <v>0.04</v>
      </c>
      <c r="BB1531" t="s">
        <v>125</v>
      </c>
      <c r="BF1531">
        <v>-2.4900000000000002</v>
      </c>
      <c r="BG1531">
        <v>-5.41</v>
      </c>
      <c r="BH1531">
        <v>-5.41</v>
      </c>
      <c r="BI1531">
        <v>0.48</v>
      </c>
      <c r="BJ1531">
        <v>20210830</v>
      </c>
      <c r="BK1531">
        <v>20101229</v>
      </c>
      <c r="BL1531">
        <v>7.13</v>
      </c>
      <c r="BM1531" t="s">
        <v>120</v>
      </c>
      <c r="BN1531" t="s">
        <v>120</v>
      </c>
      <c r="BO1531">
        <v>11.19</v>
      </c>
      <c r="BP1531">
        <v>4.1900000000000004</v>
      </c>
      <c r="BQ1531">
        <v>7.29</v>
      </c>
      <c r="BR1531" t="s">
        <v>120</v>
      </c>
      <c r="BS1531">
        <v>34.840000000000003</v>
      </c>
      <c r="BT1531">
        <v>4.58</v>
      </c>
      <c r="BU1531">
        <v>1.5</v>
      </c>
      <c r="BV1531">
        <v>2.98</v>
      </c>
      <c r="BW1531">
        <v>3.47</v>
      </c>
      <c r="BX1531">
        <v>0.18</v>
      </c>
      <c r="BY1531">
        <v>1.18</v>
      </c>
      <c r="BZ1531">
        <v>1.65</v>
      </c>
      <c r="CA1531" t="s">
        <v>120</v>
      </c>
      <c r="CB1531">
        <v>5.91</v>
      </c>
      <c r="CC1531">
        <v>0.85</v>
      </c>
      <c r="CD1531">
        <v>0.7</v>
      </c>
      <c r="CE1531">
        <v>-0.26</v>
      </c>
      <c r="CF1531">
        <v>0</v>
      </c>
      <c r="CG1531">
        <v>-0.27</v>
      </c>
      <c r="CH1531">
        <v>-0.27</v>
      </c>
      <c r="CI1531">
        <v>-0.27</v>
      </c>
      <c r="CJ1531">
        <v>-0.21</v>
      </c>
      <c r="CK1531">
        <v>-0.32</v>
      </c>
      <c r="CL1531">
        <v>-6.22</v>
      </c>
      <c r="CM1531">
        <v>0</v>
      </c>
      <c r="CN1531">
        <v>-1.65</v>
      </c>
      <c r="CO1531">
        <v>53423</v>
      </c>
      <c r="CP1531">
        <v>9422</v>
      </c>
      <c r="CQ1531" t="s">
        <v>1749</v>
      </c>
      <c r="CR1531">
        <v>18.149999999999999</v>
      </c>
      <c r="CS1531">
        <v>-51.17</v>
      </c>
      <c r="CT1531">
        <v>4.1100000000000003</v>
      </c>
      <c r="CU1531">
        <v>9303.17</v>
      </c>
      <c r="CV1531">
        <v>35.03</v>
      </c>
      <c r="CW1531">
        <v>0</v>
      </c>
      <c r="CX1531" t="s">
        <v>1255</v>
      </c>
      <c r="CY1531">
        <v>1.02</v>
      </c>
      <c r="CZ1531">
        <v>0</v>
      </c>
      <c r="DA1531">
        <v>0.83</v>
      </c>
      <c r="DB1531">
        <v>-0.87</v>
      </c>
      <c r="DC1531">
        <v>0</v>
      </c>
      <c r="DD1531">
        <v>65.16</v>
      </c>
      <c r="DE1531" t="s">
        <v>7999</v>
      </c>
      <c r="DF1531">
        <v>18.420000000000002</v>
      </c>
      <c r="DG1531">
        <v>-30.57</v>
      </c>
      <c r="DH1531">
        <v>-31.26</v>
      </c>
      <c r="DI1531">
        <v>0.03</v>
      </c>
      <c r="DJ1531">
        <v>309</v>
      </c>
      <c r="DK1531">
        <v>300152</v>
      </c>
      <c r="DL1531" t="s">
        <v>120</v>
      </c>
      <c r="DM1531" t="s">
        <v>120</v>
      </c>
      <c r="DN1531" t="s">
        <v>120</v>
      </c>
    </row>
    <row r="1532" spans="1:118">
      <c r="A1532" t="str">
        <f>"300153"</f>
        <v>300153</v>
      </c>
      <c r="B1532" t="s">
        <v>8000</v>
      </c>
      <c r="C1532">
        <v>-5.08</v>
      </c>
      <c r="D1532">
        <v>0</v>
      </c>
      <c r="E1532">
        <v>-1.17</v>
      </c>
      <c r="F1532">
        <v>5055</v>
      </c>
      <c r="G1532" t="s">
        <v>5516</v>
      </c>
      <c r="H1532">
        <v>57789.53</v>
      </c>
      <c r="I1532">
        <v>258.44</v>
      </c>
      <c r="J1532" t="s">
        <v>120</v>
      </c>
      <c r="K1532" t="s">
        <v>7065</v>
      </c>
      <c r="L1532">
        <v>14.18</v>
      </c>
      <c r="M1532">
        <v>12.15</v>
      </c>
      <c r="N1532">
        <v>1.44</v>
      </c>
      <c r="O1532">
        <v>6.09</v>
      </c>
      <c r="P1532">
        <v>13.58</v>
      </c>
      <c r="Q1532">
        <v>-5.62</v>
      </c>
      <c r="R1532">
        <v>12.08</v>
      </c>
      <c r="S1532">
        <v>12.65</v>
      </c>
      <c r="T1532">
        <v>450071</v>
      </c>
      <c r="U1532">
        <v>12.15</v>
      </c>
      <c r="V1532">
        <v>12.8</v>
      </c>
      <c r="W1532">
        <v>212.15</v>
      </c>
      <c r="X1532" t="s">
        <v>394</v>
      </c>
      <c r="Y1532" t="s">
        <v>1510</v>
      </c>
      <c r="Z1532">
        <v>11.72</v>
      </c>
      <c r="AA1532">
        <v>12.84</v>
      </c>
      <c r="AB1532">
        <v>236704</v>
      </c>
      <c r="AC1532">
        <v>213367</v>
      </c>
      <c r="AD1532">
        <v>1.1100000000000001</v>
      </c>
      <c r="AE1532">
        <v>185</v>
      </c>
      <c r="AF1532">
        <v>1175</v>
      </c>
      <c r="AG1532" t="s">
        <v>120</v>
      </c>
      <c r="AH1532">
        <v>0.12</v>
      </c>
      <c r="AI1532" t="s">
        <v>120</v>
      </c>
      <c r="AJ1532">
        <v>3.17</v>
      </c>
      <c r="AK1532" t="s">
        <v>2024</v>
      </c>
      <c r="AL1532">
        <v>-3.16</v>
      </c>
      <c r="AM1532">
        <v>4277</v>
      </c>
      <c r="AN1532">
        <v>105</v>
      </c>
      <c r="AO1532">
        <v>3.3E-3</v>
      </c>
      <c r="AP1532">
        <v>-1</v>
      </c>
      <c r="AQ1532">
        <v>7.11</v>
      </c>
      <c r="AR1532">
        <v>5.55</v>
      </c>
      <c r="AS1532">
        <v>-8.7799999999999994</v>
      </c>
      <c r="AT1532">
        <v>54.78</v>
      </c>
      <c r="AU1532">
        <v>90.14</v>
      </c>
      <c r="AV1532">
        <v>8</v>
      </c>
      <c r="AW1532">
        <v>25.47</v>
      </c>
      <c r="AX1532">
        <v>55.22</v>
      </c>
      <c r="AY1532" t="s">
        <v>120</v>
      </c>
      <c r="AZ1532" t="s">
        <v>120</v>
      </c>
      <c r="BA1532">
        <v>0.81</v>
      </c>
      <c r="BB1532" t="s">
        <v>143</v>
      </c>
      <c r="BF1532">
        <v>0.31</v>
      </c>
      <c r="BG1532">
        <v>-3.95</v>
      </c>
      <c r="BH1532">
        <v>-10.53</v>
      </c>
      <c r="BI1532">
        <v>0.57999999999999996</v>
      </c>
      <c r="BJ1532">
        <v>20210810</v>
      </c>
      <c r="BK1532">
        <v>20101229</v>
      </c>
      <c r="BL1532">
        <v>3.2</v>
      </c>
      <c r="BM1532" t="s">
        <v>120</v>
      </c>
      <c r="BN1532" t="s">
        <v>120</v>
      </c>
      <c r="BO1532">
        <v>12.74</v>
      </c>
      <c r="BP1532">
        <v>12.14</v>
      </c>
      <c r="BQ1532">
        <v>7.63</v>
      </c>
      <c r="BR1532">
        <v>0.08</v>
      </c>
      <c r="BS1532">
        <v>39.56</v>
      </c>
      <c r="BT1532">
        <v>8.5</v>
      </c>
      <c r="BU1532">
        <v>1.1499999999999999</v>
      </c>
      <c r="BV1532">
        <v>0.21</v>
      </c>
      <c r="BW1532">
        <v>4.18</v>
      </c>
      <c r="BX1532">
        <v>2.02</v>
      </c>
      <c r="BY1532">
        <v>2.46</v>
      </c>
      <c r="BZ1532">
        <v>3.21</v>
      </c>
      <c r="CA1532" t="s">
        <v>120</v>
      </c>
      <c r="CB1532">
        <v>4.8899999999999997</v>
      </c>
      <c r="CC1532">
        <v>4.3</v>
      </c>
      <c r="CD1532">
        <v>3.71</v>
      </c>
      <c r="CE1532">
        <v>0.05</v>
      </c>
      <c r="CF1532">
        <v>-0.02</v>
      </c>
      <c r="CG1532">
        <v>7.0000000000000007E-2</v>
      </c>
      <c r="CH1532">
        <v>0.09</v>
      </c>
      <c r="CI1532">
        <v>0.09</v>
      </c>
      <c r="CJ1532">
        <v>-0.65</v>
      </c>
      <c r="CK1532">
        <v>7.0000000000000007E-2</v>
      </c>
      <c r="CL1532">
        <v>-0.81</v>
      </c>
      <c r="CM1532">
        <v>0.48</v>
      </c>
      <c r="CN1532">
        <v>0.39</v>
      </c>
      <c r="CO1532">
        <v>32777</v>
      </c>
      <c r="CP1532">
        <v>5391</v>
      </c>
      <c r="CQ1532" t="s">
        <v>2543</v>
      </c>
      <c r="CR1532">
        <v>164.98</v>
      </c>
      <c r="CS1532">
        <v>28.27</v>
      </c>
      <c r="CT1532">
        <v>5.0999999999999996</v>
      </c>
      <c r="CU1532">
        <v>80.56</v>
      </c>
      <c r="CV1532">
        <v>9.0500000000000007</v>
      </c>
      <c r="CW1532">
        <v>0</v>
      </c>
      <c r="CX1532" t="s">
        <v>3882</v>
      </c>
      <c r="CY1532">
        <v>2.38</v>
      </c>
      <c r="CZ1532">
        <v>0</v>
      </c>
      <c r="DA1532">
        <v>1.53</v>
      </c>
      <c r="DB1532">
        <v>-0.25</v>
      </c>
      <c r="DC1532">
        <v>0.15</v>
      </c>
      <c r="DD1532">
        <v>59.83</v>
      </c>
      <c r="DE1532" t="s">
        <v>2832</v>
      </c>
      <c r="DF1532">
        <v>13.75</v>
      </c>
      <c r="DG1532">
        <v>1.25</v>
      </c>
      <c r="DH1532">
        <v>2.13</v>
      </c>
      <c r="DI1532">
        <v>0.1</v>
      </c>
      <c r="DJ1532">
        <v>322</v>
      </c>
      <c r="DK1532">
        <v>300153</v>
      </c>
      <c r="DL1532" t="s">
        <v>120</v>
      </c>
      <c r="DM1532" t="s">
        <v>120</v>
      </c>
      <c r="DN1532" t="s">
        <v>120</v>
      </c>
    </row>
    <row r="1533" spans="1:118">
      <c r="A1533" t="str">
        <f>"300154"</f>
        <v>300154</v>
      </c>
      <c r="B1533" t="s">
        <v>8001</v>
      </c>
      <c r="C1533">
        <v>-0.45</v>
      </c>
      <c r="D1533">
        <v>0</v>
      </c>
      <c r="E1533">
        <v>0.15</v>
      </c>
      <c r="F1533">
        <v>184</v>
      </c>
      <c r="G1533" t="s">
        <v>8002</v>
      </c>
      <c r="H1533">
        <v>2000.09</v>
      </c>
      <c r="I1533">
        <v>3.97</v>
      </c>
      <c r="J1533" t="s">
        <v>120</v>
      </c>
      <c r="K1533" t="s">
        <v>7169</v>
      </c>
      <c r="L1533">
        <v>0.94</v>
      </c>
      <c r="M1533">
        <v>6.58</v>
      </c>
      <c r="N1533">
        <v>0.7</v>
      </c>
      <c r="O1533">
        <v>1.66</v>
      </c>
      <c r="P1533">
        <v>6.72</v>
      </c>
      <c r="Q1533">
        <v>-0.76</v>
      </c>
      <c r="R1533">
        <v>6.56</v>
      </c>
      <c r="S1533">
        <v>6.62</v>
      </c>
      <c r="T1533">
        <v>30123</v>
      </c>
      <c r="U1533">
        <v>6.58</v>
      </c>
      <c r="V1533">
        <v>6.61</v>
      </c>
      <c r="W1533">
        <v>25.5</v>
      </c>
      <c r="X1533" t="s">
        <v>229</v>
      </c>
      <c r="Y1533" t="s">
        <v>123</v>
      </c>
      <c r="Z1533">
        <v>2.42</v>
      </c>
      <c r="AA1533">
        <v>6.64</v>
      </c>
      <c r="AB1533">
        <v>18183</v>
      </c>
      <c r="AC1533">
        <v>11940</v>
      </c>
      <c r="AD1533">
        <v>1.52</v>
      </c>
      <c r="AE1533">
        <v>62</v>
      </c>
      <c r="AF1533">
        <v>18</v>
      </c>
      <c r="AG1533" t="s">
        <v>120</v>
      </c>
      <c r="AH1533">
        <v>0</v>
      </c>
      <c r="AI1533" t="s">
        <v>120</v>
      </c>
      <c r="AJ1533">
        <v>3.21</v>
      </c>
      <c r="AK1533" t="s">
        <v>8003</v>
      </c>
      <c r="AL1533">
        <v>1.46</v>
      </c>
      <c r="AM1533">
        <v>1213</v>
      </c>
      <c r="AN1533">
        <v>25</v>
      </c>
      <c r="AO1533">
        <v>8.0000000000000004E-4</v>
      </c>
      <c r="AP1533">
        <v>-1</v>
      </c>
      <c r="AQ1533">
        <v>0</v>
      </c>
      <c r="AR1533">
        <v>-2.66</v>
      </c>
      <c r="AS1533">
        <v>-5.19</v>
      </c>
      <c r="AT1533">
        <v>5.1100000000000003</v>
      </c>
      <c r="AU1533">
        <v>18.559999999999999</v>
      </c>
      <c r="AV1533">
        <v>0</v>
      </c>
      <c r="AW1533">
        <v>1.96</v>
      </c>
      <c r="AX1533">
        <v>33.700000000000003</v>
      </c>
      <c r="AY1533">
        <v>36.619999999999997</v>
      </c>
      <c r="AZ1533">
        <v>45</v>
      </c>
      <c r="BA1533">
        <v>1.01</v>
      </c>
      <c r="BB1533" t="s">
        <v>2725</v>
      </c>
      <c r="BF1533">
        <v>0.45</v>
      </c>
      <c r="BG1533">
        <v>-0.6</v>
      </c>
      <c r="BH1533">
        <v>-2.08</v>
      </c>
      <c r="BI1533">
        <v>0.3</v>
      </c>
      <c r="BJ1533">
        <v>20210824</v>
      </c>
      <c r="BK1533">
        <v>20101229</v>
      </c>
      <c r="BL1533">
        <v>4.55</v>
      </c>
      <c r="BM1533" t="s">
        <v>120</v>
      </c>
      <c r="BN1533" t="s">
        <v>120</v>
      </c>
      <c r="BO1533">
        <v>21.2</v>
      </c>
      <c r="BP1533">
        <v>6.57</v>
      </c>
      <c r="BQ1533">
        <v>15.75</v>
      </c>
      <c r="BR1533">
        <v>0.45</v>
      </c>
      <c r="BS1533">
        <v>23.6</v>
      </c>
      <c r="BT1533">
        <v>18.09</v>
      </c>
      <c r="BU1533">
        <v>1.51</v>
      </c>
      <c r="BV1533">
        <v>0.35</v>
      </c>
      <c r="BW1533">
        <v>4.29</v>
      </c>
      <c r="BX1533">
        <v>10.75</v>
      </c>
      <c r="BY1533">
        <v>1.8</v>
      </c>
      <c r="BZ1533">
        <v>1.28</v>
      </c>
      <c r="CA1533" t="s">
        <v>120</v>
      </c>
      <c r="CB1533">
        <v>7.42</v>
      </c>
      <c r="CC1533">
        <v>5.07</v>
      </c>
      <c r="CD1533">
        <v>3.96</v>
      </c>
      <c r="CE1533">
        <v>0.65</v>
      </c>
      <c r="CF1533">
        <v>0.05</v>
      </c>
      <c r="CG1533">
        <v>0.65</v>
      </c>
      <c r="CH1533">
        <v>0.56999999999999995</v>
      </c>
      <c r="CI1533">
        <v>0.59</v>
      </c>
      <c r="CJ1533">
        <v>-0.03</v>
      </c>
      <c r="CK1533">
        <v>0.56999999999999995</v>
      </c>
      <c r="CL1533">
        <v>3.09</v>
      </c>
      <c r="CM1533">
        <v>-0.04</v>
      </c>
      <c r="CN1533">
        <v>0.6</v>
      </c>
      <c r="CO1533">
        <v>16048</v>
      </c>
      <c r="CP1533">
        <v>9562</v>
      </c>
      <c r="CQ1533" t="s">
        <v>1550</v>
      </c>
      <c r="CR1533">
        <v>35.21</v>
      </c>
      <c r="CS1533">
        <v>161.1</v>
      </c>
      <c r="CT1533">
        <v>1.9</v>
      </c>
      <c r="CU1533">
        <v>-699.95</v>
      </c>
      <c r="CV1533">
        <v>5.91</v>
      </c>
      <c r="CW1533">
        <v>2.23</v>
      </c>
      <c r="CX1533" t="s">
        <v>449</v>
      </c>
      <c r="CY1533">
        <v>3.46</v>
      </c>
      <c r="CZ1533">
        <v>0</v>
      </c>
      <c r="DA1533">
        <v>1.63</v>
      </c>
      <c r="DB1533">
        <v>0.68</v>
      </c>
      <c r="DC1533">
        <v>-0.01</v>
      </c>
      <c r="DD1533">
        <v>74.27</v>
      </c>
      <c r="DE1533" t="s">
        <v>4130</v>
      </c>
      <c r="DF1533">
        <v>21.85</v>
      </c>
      <c r="DG1533">
        <v>12.87</v>
      </c>
      <c r="DH1533">
        <v>11.58</v>
      </c>
      <c r="DI1533">
        <v>0.16</v>
      </c>
      <c r="DJ1533">
        <v>908</v>
      </c>
      <c r="DK1533">
        <v>300154</v>
      </c>
      <c r="DL1533" t="s">
        <v>120</v>
      </c>
      <c r="DM1533" t="s">
        <v>120</v>
      </c>
      <c r="DN1533" t="s">
        <v>120</v>
      </c>
    </row>
    <row r="1534" spans="1:118">
      <c r="A1534" t="str">
        <f>"300155"</f>
        <v>300155</v>
      </c>
      <c r="B1534" t="s">
        <v>8004</v>
      </c>
      <c r="C1534">
        <v>-3.42</v>
      </c>
      <c r="D1534">
        <v>0</v>
      </c>
      <c r="E1534">
        <v>-0.43</v>
      </c>
      <c r="F1534">
        <v>1363</v>
      </c>
      <c r="G1534" t="s">
        <v>8005</v>
      </c>
      <c r="H1534">
        <v>4326.03</v>
      </c>
      <c r="I1534">
        <v>14.26</v>
      </c>
      <c r="J1534" t="s">
        <v>120</v>
      </c>
      <c r="K1534" t="s">
        <v>7152</v>
      </c>
      <c r="L1534">
        <v>2.1800000000000002</v>
      </c>
      <c r="M1534">
        <v>6.78</v>
      </c>
      <c r="N1534">
        <v>0.91</v>
      </c>
      <c r="O1534">
        <v>0.85</v>
      </c>
      <c r="P1534">
        <v>7.08</v>
      </c>
      <c r="Q1534">
        <v>-3.56</v>
      </c>
      <c r="R1534">
        <v>6.77</v>
      </c>
      <c r="S1534">
        <v>6.99</v>
      </c>
      <c r="T1534">
        <v>62314</v>
      </c>
      <c r="U1534">
        <v>6.79</v>
      </c>
      <c r="V1534">
        <v>7.02</v>
      </c>
      <c r="W1534">
        <v>84.95</v>
      </c>
      <c r="X1534" t="s">
        <v>229</v>
      </c>
      <c r="Y1534" t="s">
        <v>547</v>
      </c>
      <c r="Z1534">
        <v>4.42</v>
      </c>
      <c r="AA1534">
        <v>6.94</v>
      </c>
      <c r="AB1534">
        <v>41636</v>
      </c>
      <c r="AC1534">
        <v>20678</v>
      </c>
      <c r="AD1534">
        <v>2.0099999999999998</v>
      </c>
      <c r="AE1534">
        <v>117</v>
      </c>
      <c r="AF1534">
        <v>153</v>
      </c>
      <c r="AG1534" t="s">
        <v>120</v>
      </c>
      <c r="AH1534">
        <v>0.01</v>
      </c>
      <c r="AI1534" t="s">
        <v>120</v>
      </c>
      <c r="AJ1534">
        <v>2.86</v>
      </c>
      <c r="AK1534" t="s">
        <v>8006</v>
      </c>
      <c r="AL1534">
        <v>-1.51</v>
      </c>
      <c r="AM1534">
        <v>1326</v>
      </c>
      <c r="AN1534">
        <v>47</v>
      </c>
      <c r="AO1534">
        <v>1.6000000000000001E-3</v>
      </c>
      <c r="AP1534">
        <v>-1</v>
      </c>
      <c r="AQ1534">
        <v>0.86</v>
      </c>
      <c r="AR1534">
        <v>-1.02</v>
      </c>
      <c r="AS1534">
        <v>-5.18</v>
      </c>
      <c r="AT1534">
        <v>1.34</v>
      </c>
      <c r="AU1534">
        <v>-0.63</v>
      </c>
      <c r="AV1534">
        <v>0</v>
      </c>
      <c r="AW1534">
        <v>3.1</v>
      </c>
      <c r="AX1534">
        <v>37.020000000000003</v>
      </c>
      <c r="AY1534">
        <v>40.67</v>
      </c>
      <c r="AZ1534">
        <v>36.49</v>
      </c>
      <c r="BA1534">
        <v>0</v>
      </c>
      <c r="BB1534" t="s">
        <v>143</v>
      </c>
      <c r="BF1534">
        <v>-1.1100000000000001</v>
      </c>
      <c r="BG1534">
        <v>-3</v>
      </c>
      <c r="BH1534">
        <v>-4.24</v>
      </c>
      <c r="BI1534">
        <v>0.15</v>
      </c>
      <c r="BJ1534">
        <v>20210827</v>
      </c>
      <c r="BK1534">
        <v>20110107</v>
      </c>
      <c r="BL1534">
        <v>5.43</v>
      </c>
      <c r="BM1534" t="s">
        <v>120</v>
      </c>
      <c r="BN1534" t="s">
        <v>120</v>
      </c>
      <c r="BO1534">
        <v>16.66</v>
      </c>
      <c r="BP1534">
        <v>6.78</v>
      </c>
      <c r="BQ1534">
        <v>13.16</v>
      </c>
      <c r="BR1534">
        <v>0.28999999999999998</v>
      </c>
      <c r="BS1534">
        <v>19.260000000000002</v>
      </c>
      <c r="BT1534">
        <v>12.54</v>
      </c>
      <c r="BU1534">
        <v>1.7</v>
      </c>
      <c r="BV1534">
        <v>0.25</v>
      </c>
      <c r="BW1534">
        <v>2.95</v>
      </c>
      <c r="BX1534">
        <v>3.12</v>
      </c>
      <c r="BY1534">
        <v>2.58</v>
      </c>
      <c r="BZ1534">
        <v>4.01</v>
      </c>
      <c r="CA1534" t="s">
        <v>120</v>
      </c>
      <c r="CB1534">
        <v>3.57</v>
      </c>
      <c r="CC1534">
        <v>3.51</v>
      </c>
      <c r="CD1534">
        <v>2.33</v>
      </c>
      <c r="CE1534">
        <v>0.25</v>
      </c>
      <c r="CF1534">
        <v>0</v>
      </c>
      <c r="CG1534">
        <v>0.25</v>
      </c>
      <c r="CH1534">
        <v>0.22</v>
      </c>
      <c r="CI1534">
        <v>0.22</v>
      </c>
      <c r="CJ1534">
        <v>-0.24</v>
      </c>
      <c r="CK1534">
        <v>0.19</v>
      </c>
      <c r="CL1534">
        <v>3.46</v>
      </c>
      <c r="CM1534">
        <v>-0.66</v>
      </c>
      <c r="CN1534">
        <v>-1.01</v>
      </c>
      <c r="CO1534">
        <v>29027</v>
      </c>
      <c r="CP1534">
        <v>6930</v>
      </c>
      <c r="CQ1534" t="s">
        <v>5667</v>
      </c>
      <c r="CR1534">
        <v>-33.17</v>
      </c>
      <c r="CS1534">
        <v>1.0900000000000001</v>
      </c>
      <c r="CT1534">
        <v>2.8</v>
      </c>
      <c r="CU1534">
        <v>-56.05</v>
      </c>
      <c r="CV1534">
        <v>10.49</v>
      </c>
      <c r="CW1534">
        <v>0.53</v>
      </c>
      <c r="CX1534" t="s">
        <v>145</v>
      </c>
      <c r="CY1534">
        <v>2.42</v>
      </c>
      <c r="CZ1534">
        <v>0</v>
      </c>
      <c r="DA1534">
        <v>0.66</v>
      </c>
      <c r="DB1534">
        <v>0.64</v>
      </c>
      <c r="DC1534">
        <v>-0.12</v>
      </c>
      <c r="DD1534">
        <v>78.98</v>
      </c>
      <c r="DE1534" t="s">
        <v>8007</v>
      </c>
      <c r="DF1534">
        <v>33.79</v>
      </c>
      <c r="DG1534">
        <v>7.13</v>
      </c>
      <c r="DH1534">
        <v>6.17</v>
      </c>
      <c r="DI1534">
        <v>0.4</v>
      </c>
      <c r="DJ1534">
        <v>1313</v>
      </c>
      <c r="DK1534">
        <v>300155</v>
      </c>
      <c r="DL1534">
        <v>20210727</v>
      </c>
      <c r="DM1534">
        <v>8.0299999999999994</v>
      </c>
      <c r="DN1534">
        <v>-15.57</v>
      </c>
    </row>
    <row r="1535" spans="1:118">
      <c r="A1535" t="str">
        <f>"300157"</f>
        <v>300157</v>
      </c>
      <c r="B1535" t="s">
        <v>8008</v>
      </c>
      <c r="C1535">
        <v>-4.33</v>
      </c>
      <c r="D1535">
        <v>-0.19</v>
      </c>
      <c r="E1535">
        <v>3.77</v>
      </c>
      <c r="F1535">
        <v>12050</v>
      </c>
      <c r="G1535" t="s">
        <v>8009</v>
      </c>
      <c r="H1535">
        <v>33255.99</v>
      </c>
      <c r="I1535">
        <v>434.02</v>
      </c>
      <c r="J1535" t="s">
        <v>120</v>
      </c>
      <c r="K1535" t="s">
        <v>2396</v>
      </c>
      <c r="L1535">
        <v>8.91</v>
      </c>
      <c r="M1535">
        <v>5.08</v>
      </c>
      <c r="N1535">
        <v>0.67</v>
      </c>
      <c r="O1535">
        <v>6.59</v>
      </c>
      <c r="P1535">
        <v>5.66</v>
      </c>
      <c r="Q1535">
        <v>-4.33</v>
      </c>
      <c r="R1535">
        <v>5.08</v>
      </c>
      <c r="S1535">
        <v>5.51</v>
      </c>
      <c r="T1535">
        <v>631249</v>
      </c>
      <c r="U1535">
        <v>5.09</v>
      </c>
      <c r="V1535">
        <v>5.31</v>
      </c>
      <c r="W1535" t="s">
        <v>120</v>
      </c>
      <c r="X1535" t="s">
        <v>3867</v>
      </c>
      <c r="Y1535" t="s">
        <v>158</v>
      </c>
      <c r="Z1535">
        <v>10.92</v>
      </c>
      <c r="AA1535">
        <v>5.27</v>
      </c>
      <c r="AB1535">
        <v>344523</v>
      </c>
      <c r="AC1535">
        <v>286726</v>
      </c>
      <c r="AD1535">
        <v>1.2</v>
      </c>
      <c r="AE1535">
        <v>2147</v>
      </c>
      <c r="AF1535">
        <v>2579</v>
      </c>
      <c r="AG1535" t="s">
        <v>120</v>
      </c>
      <c r="AH1535">
        <v>0.16</v>
      </c>
      <c r="AI1535" t="s">
        <v>120</v>
      </c>
      <c r="AJ1535">
        <v>7.08</v>
      </c>
      <c r="AK1535" t="s">
        <v>5263</v>
      </c>
      <c r="AL1535">
        <v>-2.42</v>
      </c>
      <c r="AM1535">
        <v>3770</v>
      </c>
      <c r="AN1535">
        <v>167</v>
      </c>
      <c r="AO1535">
        <v>2.3999999999999998E-3</v>
      </c>
      <c r="AP1535">
        <v>-1</v>
      </c>
      <c r="AQ1535">
        <v>1.92</v>
      </c>
      <c r="AR1535">
        <v>0.39</v>
      </c>
      <c r="AS1535">
        <v>19.53</v>
      </c>
      <c r="AT1535">
        <v>6.28</v>
      </c>
      <c r="AU1535">
        <v>30.93</v>
      </c>
      <c r="AV1535">
        <v>3</v>
      </c>
      <c r="AW1535">
        <v>13.07</v>
      </c>
      <c r="AX1535">
        <v>67.83</v>
      </c>
      <c r="AY1535" t="s">
        <v>120</v>
      </c>
      <c r="AZ1535" t="s">
        <v>120</v>
      </c>
      <c r="BA1535">
        <v>0.69</v>
      </c>
      <c r="BB1535" t="s">
        <v>184</v>
      </c>
      <c r="BF1535">
        <v>-0.79</v>
      </c>
      <c r="BG1535">
        <v>-7.8</v>
      </c>
      <c r="BH1535">
        <v>-10.25</v>
      </c>
      <c r="BI1535">
        <v>0</v>
      </c>
      <c r="BJ1535">
        <v>20210827</v>
      </c>
      <c r="BK1535">
        <v>20110107</v>
      </c>
      <c r="BL1535">
        <v>7.12</v>
      </c>
      <c r="BM1535" t="s">
        <v>120</v>
      </c>
      <c r="BN1535" t="s">
        <v>120</v>
      </c>
      <c r="BO1535">
        <v>28.24</v>
      </c>
      <c r="BP1535">
        <v>5.08</v>
      </c>
      <c r="BQ1535">
        <v>8.27</v>
      </c>
      <c r="BR1535">
        <v>1.1399999999999999</v>
      </c>
      <c r="BS1535">
        <v>66.7</v>
      </c>
      <c r="BT1535">
        <v>11.26</v>
      </c>
      <c r="BU1535">
        <v>2.33</v>
      </c>
      <c r="BV1535">
        <v>1.1000000000000001</v>
      </c>
      <c r="BW1535">
        <v>16.8</v>
      </c>
      <c r="BX1535">
        <v>0.89</v>
      </c>
      <c r="BY1535">
        <v>1.7</v>
      </c>
      <c r="BZ1535">
        <v>4.6500000000000004</v>
      </c>
      <c r="CA1535">
        <v>0</v>
      </c>
      <c r="CB1535">
        <v>25.32</v>
      </c>
      <c r="CC1535">
        <v>2.31</v>
      </c>
      <c r="CD1535">
        <v>2.0299999999999998</v>
      </c>
      <c r="CE1535">
        <v>-0.8</v>
      </c>
      <c r="CF1535">
        <v>0.26</v>
      </c>
      <c r="CG1535">
        <v>-1.01</v>
      </c>
      <c r="CH1535">
        <v>-1.01</v>
      </c>
      <c r="CI1535">
        <v>-0.94</v>
      </c>
      <c r="CJ1535">
        <v>-0.23</v>
      </c>
      <c r="CK1535">
        <v>-1.07</v>
      </c>
      <c r="CL1535">
        <v>-24.3</v>
      </c>
      <c r="CM1535">
        <v>-0.32</v>
      </c>
      <c r="CN1535">
        <v>-0.84</v>
      </c>
      <c r="CO1535">
        <v>32805</v>
      </c>
      <c r="CP1535">
        <v>14724</v>
      </c>
      <c r="CQ1535" t="s">
        <v>1380</v>
      </c>
      <c r="CR1535">
        <v>7.97</v>
      </c>
      <c r="CS1535">
        <v>-20.37</v>
      </c>
      <c r="CT1535">
        <v>4.38</v>
      </c>
      <c r="CU1535">
        <v>-113.97</v>
      </c>
      <c r="CV1535">
        <v>15.63</v>
      </c>
      <c r="CW1535">
        <v>0</v>
      </c>
      <c r="CX1535" t="s">
        <v>359</v>
      </c>
      <c r="CY1535">
        <v>1.1599999999999999</v>
      </c>
      <c r="CZ1535">
        <v>0</v>
      </c>
      <c r="DA1535">
        <v>3.56</v>
      </c>
      <c r="DB1535">
        <v>-3.41</v>
      </c>
      <c r="DC1535">
        <v>-0.04</v>
      </c>
      <c r="DD1535">
        <v>29.28</v>
      </c>
      <c r="DE1535" t="s">
        <v>1154</v>
      </c>
      <c r="DF1535">
        <v>12.43</v>
      </c>
      <c r="DG1535">
        <v>-34.42</v>
      </c>
      <c r="DH1535">
        <v>-40.6</v>
      </c>
      <c r="DI1535">
        <v>0.16</v>
      </c>
      <c r="DJ1535">
        <v>1368</v>
      </c>
      <c r="DK1535">
        <v>300157</v>
      </c>
      <c r="DL1535" t="s">
        <v>120</v>
      </c>
      <c r="DM1535" t="s">
        <v>120</v>
      </c>
      <c r="DN1535" t="s">
        <v>120</v>
      </c>
    </row>
    <row r="1536" spans="1:118">
      <c r="A1536" t="str">
        <f>"300158"</f>
        <v>300158</v>
      </c>
      <c r="B1536" t="s">
        <v>8010</v>
      </c>
      <c r="C1536">
        <v>-2.85</v>
      </c>
      <c r="D1536">
        <v>0.26</v>
      </c>
      <c r="E1536">
        <v>-0.74</v>
      </c>
      <c r="F1536">
        <v>2632</v>
      </c>
      <c r="G1536" t="s">
        <v>333</v>
      </c>
      <c r="H1536">
        <v>27668.85</v>
      </c>
      <c r="I1536">
        <v>42.93</v>
      </c>
      <c r="J1536" t="s">
        <v>120</v>
      </c>
      <c r="K1536" t="s">
        <v>4191</v>
      </c>
      <c r="L1536">
        <v>3.43</v>
      </c>
      <c r="M1536">
        <v>7.84</v>
      </c>
      <c r="N1536">
        <v>1.04</v>
      </c>
      <c r="O1536">
        <v>0.99</v>
      </c>
      <c r="P1536">
        <v>8.15</v>
      </c>
      <c r="Q1536">
        <v>-3.35</v>
      </c>
      <c r="R1536">
        <v>7.8</v>
      </c>
      <c r="S1536">
        <v>8.01</v>
      </c>
      <c r="T1536">
        <v>347449</v>
      </c>
      <c r="U1536">
        <v>7.85</v>
      </c>
      <c r="V1536">
        <v>8.07</v>
      </c>
      <c r="W1536">
        <v>18.25</v>
      </c>
      <c r="X1536" t="s">
        <v>569</v>
      </c>
      <c r="Y1536" t="s">
        <v>667</v>
      </c>
      <c r="Z1536">
        <v>4.34</v>
      </c>
      <c r="AA1536">
        <v>7.96</v>
      </c>
      <c r="AB1536">
        <v>158875</v>
      </c>
      <c r="AC1536">
        <v>188574</v>
      </c>
      <c r="AD1536">
        <v>0.84</v>
      </c>
      <c r="AE1536">
        <v>51</v>
      </c>
      <c r="AF1536">
        <v>830</v>
      </c>
      <c r="AG1536" t="s">
        <v>120</v>
      </c>
      <c r="AH1536">
        <v>0.01</v>
      </c>
      <c r="AI1536" t="s">
        <v>120</v>
      </c>
      <c r="AJ1536">
        <v>10.14</v>
      </c>
      <c r="AK1536" t="s">
        <v>8011</v>
      </c>
      <c r="AL1536">
        <v>-0.94</v>
      </c>
      <c r="AM1536">
        <v>3683</v>
      </c>
      <c r="AN1536">
        <v>94</v>
      </c>
      <c r="AO1536">
        <v>8.9999999999999998E-4</v>
      </c>
      <c r="AP1536">
        <v>-1</v>
      </c>
      <c r="AQ1536">
        <v>1.64</v>
      </c>
      <c r="AR1536">
        <v>0.78</v>
      </c>
      <c r="AS1536">
        <v>11.84</v>
      </c>
      <c r="AT1536">
        <v>-0.26</v>
      </c>
      <c r="AU1536">
        <v>47.09</v>
      </c>
      <c r="AV1536">
        <v>2</v>
      </c>
      <c r="AW1536">
        <v>5.57</v>
      </c>
      <c r="AX1536">
        <v>60.68</v>
      </c>
      <c r="AY1536">
        <v>22.72</v>
      </c>
      <c r="AZ1536">
        <v>31.65</v>
      </c>
      <c r="BA1536">
        <v>0.75</v>
      </c>
      <c r="BB1536" t="s">
        <v>143</v>
      </c>
      <c r="BF1536">
        <v>-1.32</v>
      </c>
      <c r="BG1536">
        <v>-2.12</v>
      </c>
      <c r="BH1536">
        <v>-3.8</v>
      </c>
      <c r="BI1536">
        <v>0.51</v>
      </c>
      <c r="BJ1536">
        <v>20210912</v>
      </c>
      <c r="BK1536">
        <v>20110107</v>
      </c>
      <c r="BL1536">
        <v>10.27</v>
      </c>
      <c r="BM1536" t="s">
        <v>120</v>
      </c>
      <c r="BN1536" t="s">
        <v>120</v>
      </c>
      <c r="BO1536">
        <v>75.56</v>
      </c>
      <c r="BP1536">
        <v>7.84</v>
      </c>
      <c r="BQ1536">
        <v>57.85</v>
      </c>
      <c r="BR1536">
        <v>-0.2</v>
      </c>
      <c r="BS1536">
        <v>23.7</v>
      </c>
      <c r="BT1536">
        <v>35.56</v>
      </c>
      <c r="BU1536">
        <v>10.37</v>
      </c>
      <c r="BV1536">
        <v>2.64</v>
      </c>
      <c r="BW1536">
        <v>16.010000000000002</v>
      </c>
      <c r="BX1536">
        <v>6.84</v>
      </c>
      <c r="BY1536">
        <v>9.32</v>
      </c>
      <c r="BZ1536">
        <v>11.82</v>
      </c>
      <c r="CA1536" t="s">
        <v>120</v>
      </c>
      <c r="CB1536">
        <v>37.619999999999997</v>
      </c>
      <c r="CC1536">
        <v>26.47</v>
      </c>
      <c r="CD1536">
        <v>9.7799999999999994</v>
      </c>
      <c r="CE1536">
        <v>2.76</v>
      </c>
      <c r="CF1536">
        <v>0.01</v>
      </c>
      <c r="CG1536">
        <v>2.75</v>
      </c>
      <c r="CH1536">
        <v>2.13</v>
      </c>
      <c r="CI1536">
        <v>2.21</v>
      </c>
      <c r="CJ1536">
        <v>-0.23</v>
      </c>
      <c r="CK1536">
        <v>1.7</v>
      </c>
      <c r="CL1536">
        <v>8.89</v>
      </c>
      <c r="CM1536">
        <v>-0.36</v>
      </c>
      <c r="CN1536">
        <v>-2.72</v>
      </c>
      <c r="CO1536">
        <v>37243</v>
      </c>
      <c r="CP1536">
        <v>16740</v>
      </c>
      <c r="CQ1536" t="s">
        <v>8012</v>
      </c>
      <c r="CR1536">
        <v>87.44</v>
      </c>
      <c r="CS1536">
        <v>34.03</v>
      </c>
      <c r="CT1536">
        <v>1.39</v>
      </c>
      <c r="CU1536">
        <v>-224.06</v>
      </c>
      <c r="CV1536">
        <v>3.04</v>
      </c>
      <c r="CW1536">
        <v>2.11</v>
      </c>
      <c r="CX1536" t="s">
        <v>8013</v>
      </c>
      <c r="CY1536">
        <v>5.63</v>
      </c>
      <c r="CZ1536">
        <v>0</v>
      </c>
      <c r="DA1536">
        <v>3.66</v>
      </c>
      <c r="DB1536">
        <v>0.87</v>
      </c>
      <c r="DC1536">
        <v>-0.03</v>
      </c>
      <c r="DD1536">
        <v>76.569999999999993</v>
      </c>
      <c r="DE1536" t="s">
        <v>1125</v>
      </c>
      <c r="DF1536">
        <v>63.04</v>
      </c>
      <c r="DG1536">
        <v>10.45</v>
      </c>
      <c r="DH1536">
        <v>8.34</v>
      </c>
      <c r="DI1536">
        <v>0.86</v>
      </c>
      <c r="DJ1536">
        <v>4557</v>
      </c>
      <c r="DK1536">
        <v>300158</v>
      </c>
      <c r="DL1536" t="s">
        <v>120</v>
      </c>
      <c r="DM1536" t="s">
        <v>120</v>
      </c>
      <c r="DN1536" t="s">
        <v>120</v>
      </c>
    </row>
    <row r="1537" spans="1:118">
      <c r="A1537" t="str">
        <f>"300159"</f>
        <v>300159</v>
      </c>
      <c r="B1537" t="s">
        <v>8014</v>
      </c>
      <c r="C1537">
        <v>-4.04</v>
      </c>
      <c r="D1537">
        <v>0</v>
      </c>
      <c r="E1537">
        <v>2.02</v>
      </c>
      <c r="F1537">
        <v>15638</v>
      </c>
      <c r="G1537" t="s">
        <v>8015</v>
      </c>
      <c r="H1537">
        <v>49923.13</v>
      </c>
      <c r="I1537">
        <v>1044.1199999999999</v>
      </c>
      <c r="J1537" t="s">
        <v>120</v>
      </c>
      <c r="K1537" t="s">
        <v>8016</v>
      </c>
      <c r="L1537">
        <v>6.54</v>
      </c>
      <c r="M1537">
        <v>5.22</v>
      </c>
      <c r="N1537">
        <v>0.73</v>
      </c>
      <c r="O1537">
        <v>2.39</v>
      </c>
      <c r="P1537">
        <v>5.57</v>
      </c>
      <c r="Q1537">
        <v>-4.2300000000000004</v>
      </c>
      <c r="R1537">
        <v>5.21</v>
      </c>
      <c r="S1537">
        <v>5.55</v>
      </c>
      <c r="T1537">
        <v>929595</v>
      </c>
      <c r="U1537">
        <v>5.22</v>
      </c>
      <c r="V1537">
        <v>5.44</v>
      </c>
      <c r="W1537" t="s">
        <v>120</v>
      </c>
      <c r="X1537" t="s">
        <v>1621</v>
      </c>
      <c r="Y1537" t="s">
        <v>609</v>
      </c>
      <c r="Z1537">
        <v>6.62</v>
      </c>
      <c r="AA1537">
        <v>5.37</v>
      </c>
      <c r="AB1537">
        <v>543011</v>
      </c>
      <c r="AC1537">
        <v>386584</v>
      </c>
      <c r="AD1537">
        <v>1.4</v>
      </c>
      <c r="AE1537">
        <v>9178</v>
      </c>
      <c r="AF1537">
        <v>2080</v>
      </c>
      <c r="AG1537" t="s">
        <v>120</v>
      </c>
      <c r="AH1537">
        <v>0.15</v>
      </c>
      <c r="AI1537" t="s">
        <v>120</v>
      </c>
      <c r="AJ1537">
        <v>14.2</v>
      </c>
      <c r="AK1537" t="s">
        <v>2389</v>
      </c>
      <c r="AL1537">
        <v>-2.13</v>
      </c>
      <c r="AM1537">
        <v>4273</v>
      </c>
      <c r="AN1537">
        <v>218</v>
      </c>
      <c r="AO1537">
        <v>1.5E-3</v>
      </c>
      <c r="AP1537">
        <v>-1</v>
      </c>
      <c r="AQ1537">
        <v>0.37</v>
      </c>
      <c r="AR1537">
        <v>-3.33</v>
      </c>
      <c r="AS1537">
        <v>-36.19</v>
      </c>
      <c r="AT1537">
        <v>50</v>
      </c>
      <c r="AU1537">
        <v>13.48</v>
      </c>
      <c r="AV1537">
        <v>6</v>
      </c>
      <c r="AW1537">
        <v>7.48</v>
      </c>
      <c r="AX1537">
        <v>83.43</v>
      </c>
      <c r="AY1537" t="s">
        <v>120</v>
      </c>
      <c r="AZ1537" t="s">
        <v>120</v>
      </c>
      <c r="BA1537">
        <v>0.1</v>
      </c>
      <c r="BB1537" t="s">
        <v>143</v>
      </c>
      <c r="BF1537">
        <v>-1.28</v>
      </c>
      <c r="BG1537">
        <v>-5.95</v>
      </c>
      <c r="BH1537">
        <v>-6.28</v>
      </c>
      <c r="BI1537">
        <v>0.19</v>
      </c>
      <c r="BJ1537">
        <v>20210830</v>
      </c>
      <c r="BK1537">
        <v>20110107</v>
      </c>
      <c r="BL1537">
        <v>14.9</v>
      </c>
      <c r="BM1537" t="s">
        <v>120</v>
      </c>
      <c r="BN1537" t="s">
        <v>120</v>
      </c>
      <c r="BO1537">
        <v>50.56</v>
      </c>
      <c r="BP1537">
        <v>5.21</v>
      </c>
      <c r="BQ1537">
        <v>13.01</v>
      </c>
      <c r="BR1537">
        <v>2.48</v>
      </c>
      <c r="BS1537">
        <v>69.36</v>
      </c>
      <c r="BT1537">
        <v>28.24</v>
      </c>
      <c r="BU1537">
        <v>13.28</v>
      </c>
      <c r="BV1537">
        <v>2.35</v>
      </c>
      <c r="BW1537">
        <v>33.06</v>
      </c>
      <c r="BX1537">
        <v>2.81</v>
      </c>
      <c r="BY1537">
        <v>7.81</v>
      </c>
      <c r="BZ1537">
        <v>11.9</v>
      </c>
      <c r="CA1537" t="s">
        <v>120</v>
      </c>
      <c r="CB1537">
        <v>33.64</v>
      </c>
      <c r="CC1537">
        <v>4.0199999999999996</v>
      </c>
      <c r="CD1537">
        <v>3.09</v>
      </c>
      <c r="CE1537">
        <v>-2.52</v>
      </c>
      <c r="CF1537">
        <v>0.01</v>
      </c>
      <c r="CG1537">
        <v>-2.5099999999999998</v>
      </c>
      <c r="CH1537">
        <v>-2.5499999999999998</v>
      </c>
      <c r="CI1537">
        <v>-2.39</v>
      </c>
      <c r="CJ1537">
        <v>-0.22</v>
      </c>
      <c r="CK1537">
        <v>-2.5</v>
      </c>
      <c r="CL1537">
        <v>-36.35</v>
      </c>
      <c r="CM1537">
        <v>0.13</v>
      </c>
      <c r="CN1537">
        <v>-0.53</v>
      </c>
      <c r="CO1537">
        <v>63330</v>
      </c>
      <c r="CP1537">
        <v>19635</v>
      </c>
      <c r="CQ1537" t="s">
        <v>2026</v>
      </c>
      <c r="CR1537">
        <v>-1910.68</v>
      </c>
      <c r="CS1537">
        <v>-12.66</v>
      </c>
      <c r="CT1537">
        <v>5.98</v>
      </c>
      <c r="CU1537">
        <v>579.28</v>
      </c>
      <c r="CV1537">
        <v>19.329999999999998</v>
      </c>
      <c r="CW1537">
        <v>0</v>
      </c>
      <c r="CX1537" t="s">
        <v>893</v>
      </c>
      <c r="CY1537">
        <v>0.87</v>
      </c>
      <c r="CZ1537">
        <v>0</v>
      </c>
      <c r="DA1537">
        <v>2.2599999999999998</v>
      </c>
      <c r="DB1537">
        <v>-2.44</v>
      </c>
      <c r="DC1537">
        <v>0.01</v>
      </c>
      <c r="DD1537">
        <v>25.73</v>
      </c>
      <c r="DE1537" t="s">
        <v>8017</v>
      </c>
      <c r="DF1537">
        <v>23.25</v>
      </c>
      <c r="DG1537">
        <v>-62.58</v>
      </c>
      <c r="DH1537">
        <v>-59.38</v>
      </c>
      <c r="DI1537">
        <v>0.24</v>
      </c>
      <c r="DJ1537">
        <v>1793</v>
      </c>
      <c r="DK1537">
        <v>300159</v>
      </c>
      <c r="DL1537">
        <v>20210805</v>
      </c>
      <c r="DM1537">
        <v>4.49</v>
      </c>
      <c r="DN1537">
        <v>16.260000000000002</v>
      </c>
    </row>
    <row r="1538" spans="1:118">
      <c r="A1538" t="str">
        <f>"300160"</f>
        <v>300160</v>
      </c>
      <c r="B1538" t="s">
        <v>8018</v>
      </c>
      <c r="C1538">
        <v>-4.55</v>
      </c>
      <c r="D1538">
        <v>-0.12</v>
      </c>
      <c r="E1538">
        <v>-2.16</v>
      </c>
      <c r="F1538">
        <v>2656</v>
      </c>
      <c r="G1538" t="s">
        <v>8019</v>
      </c>
      <c r="H1538">
        <v>24139.24</v>
      </c>
      <c r="I1538">
        <v>806.22</v>
      </c>
      <c r="J1538" t="s">
        <v>120</v>
      </c>
      <c r="K1538" t="s">
        <v>2072</v>
      </c>
      <c r="L1538">
        <v>4.97</v>
      </c>
      <c r="M1538">
        <v>7.97</v>
      </c>
      <c r="N1538">
        <v>1.21</v>
      </c>
      <c r="O1538">
        <v>1.8</v>
      </c>
      <c r="P1538">
        <v>8.5</v>
      </c>
      <c r="Q1538">
        <v>-4.79</v>
      </c>
      <c r="R1538">
        <v>7.95</v>
      </c>
      <c r="S1538">
        <v>8.17</v>
      </c>
      <c r="T1538">
        <v>294457</v>
      </c>
      <c r="U1538">
        <v>7.98</v>
      </c>
      <c r="V1538">
        <v>8.35</v>
      </c>
      <c r="W1538">
        <v>51.25</v>
      </c>
      <c r="X1538" t="s">
        <v>191</v>
      </c>
      <c r="Y1538" t="s">
        <v>319</v>
      </c>
      <c r="Z1538">
        <v>6.59</v>
      </c>
      <c r="AA1538">
        <v>8.1999999999999993</v>
      </c>
      <c r="AB1538">
        <v>168827</v>
      </c>
      <c r="AC1538">
        <v>125630</v>
      </c>
      <c r="AD1538">
        <v>1.34</v>
      </c>
      <c r="AE1538">
        <v>155</v>
      </c>
      <c r="AF1538">
        <v>384</v>
      </c>
      <c r="AG1538" t="s">
        <v>120</v>
      </c>
      <c r="AH1538">
        <v>0.31</v>
      </c>
      <c r="AI1538" t="s">
        <v>120</v>
      </c>
      <c r="AJ1538">
        <v>5.92</v>
      </c>
      <c r="AK1538" t="s">
        <v>8020</v>
      </c>
      <c r="AL1538">
        <v>-2.64</v>
      </c>
      <c r="AM1538">
        <v>3306</v>
      </c>
      <c r="AN1538">
        <v>89</v>
      </c>
      <c r="AO1538">
        <v>1.5E-3</v>
      </c>
      <c r="AP1538">
        <v>-1</v>
      </c>
      <c r="AQ1538">
        <v>1.33</v>
      </c>
      <c r="AR1538">
        <v>-0.13</v>
      </c>
      <c r="AS1538">
        <v>1.66</v>
      </c>
      <c r="AT1538">
        <v>-2.09</v>
      </c>
      <c r="AU1538">
        <v>-1.85</v>
      </c>
      <c r="AV1538">
        <v>2</v>
      </c>
      <c r="AW1538">
        <v>9.26</v>
      </c>
      <c r="AX1538">
        <v>51.42</v>
      </c>
      <c r="AY1538">
        <v>45.76</v>
      </c>
      <c r="AZ1538">
        <v>42.35</v>
      </c>
      <c r="BA1538">
        <v>0.84</v>
      </c>
      <c r="BB1538" t="s">
        <v>751</v>
      </c>
      <c r="BF1538">
        <v>-1.82</v>
      </c>
      <c r="BG1538">
        <v>-2.4500000000000002</v>
      </c>
      <c r="BH1538">
        <v>-6.24</v>
      </c>
      <c r="BI1538">
        <v>0.25</v>
      </c>
      <c r="BJ1538">
        <v>20210814</v>
      </c>
      <c r="BK1538">
        <v>20110113</v>
      </c>
      <c r="BL1538">
        <v>6.19</v>
      </c>
      <c r="BM1538" t="s">
        <v>120</v>
      </c>
      <c r="BN1538" t="s">
        <v>120</v>
      </c>
      <c r="BO1538">
        <v>17.82</v>
      </c>
      <c r="BP1538">
        <v>7.97</v>
      </c>
      <c r="BQ1538">
        <v>10.79</v>
      </c>
      <c r="BR1538">
        <v>0.01</v>
      </c>
      <c r="BS1538">
        <v>39.380000000000003</v>
      </c>
      <c r="BT1538">
        <v>12.22</v>
      </c>
      <c r="BU1538">
        <v>3.96</v>
      </c>
      <c r="BV1538">
        <v>0.33</v>
      </c>
      <c r="BW1538">
        <v>6.76</v>
      </c>
      <c r="BX1538">
        <v>2.89</v>
      </c>
      <c r="BY1538">
        <v>2.08</v>
      </c>
      <c r="BZ1538">
        <v>2.9</v>
      </c>
      <c r="CA1538" t="s">
        <v>120</v>
      </c>
      <c r="CB1538">
        <v>2.14</v>
      </c>
      <c r="CC1538">
        <v>6.51</v>
      </c>
      <c r="CD1538">
        <v>5.27</v>
      </c>
      <c r="CE1538">
        <v>0.47</v>
      </c>
      <c r="CF1538">
        <v>0</v>
      </c>
      <c r="CG1538">
        <v>0.46</v>
      </c>
      <c r="CH1538">
        <v>0.48</v>
      </c>
      <c r="CI1538">
        <v>0.48</v>
      </c>
      <c r="CJ1538">
        <v>-0.38</v>
      </c>
      <c r="CK1538">
        <v>0.31</v>
      </c>
      <c r="CL1538">
        <v>2.0699999999999998</v>
      </c>
      <c r="CM1538">
        <v>0.96</v>
      </c>
      <c r="CN1538">
        <v>1.21</v>
      </c>
      <c r="CO1538">
        <v>57885</v>
      </c>
      <c r="CP1538">
        <v>5494</v>
      </c>
      <c r="CQ1538" t="s">
        <v>4492</v>
      </c>
      <c r="CR1538">
        <v>-15.86</v>
      </c>
      <c r="CS1538">
        <v>21.72</v>
      </c>
      <c r="CT1538">
        <v>4.57</v>
      </c>
      <c r="CU1538">
        <v>51.17</v>
      </c>
      <c r="CV1538">
        <v>7.58</v>
      </c>
      <c r="CW1538">
        <v>0</v>
      </c>
      <c r="CX1538" t="s">
        <v>2357</v>
      </c>
      <c r="CY1538">
        <v>1.75</v>
      </c>
      <c r="CZ1538">
        <v>0</v>
      </c>
      <c r="DA1538">
        <v>0.35</v>
      </c>
      <c r="DB1538">
        <v>0.33</v>
      </c>
      <c r="DC1538">
        <v>0.16</v>
      </c>
      <c r="DD1538">
        <v>60.58</v>
      </c>
      <c r="DE1538" t="s">
        <v>8021</v>
      </c>
      <c r="DF1538">
        <v>19.04</v>
      </c>
      <c r="DG1538">
        <v>7.23</v>
      </c>
      <c r="DH1538">
        <v>7.39</v>
      </c>
      <c r="DI1538">
        <v>0.24</v>
      </c>
      <c r="DJ1538">
        <v>1994</v>
      </c>
      <c r="DK1538">
        <v>300160</v>
      </c>
      <c r="DL1538" t="s">
        <v>120</v>
      </c>
      <c r="DM1538" t="s">
        <v>120</v>
      </c>
      <c r="DN1538" t="s">
        <v>120</v>
      </c>
    </row>
    <row r="1539" spans="1:118">
      <c r="A1539" t="str">
        <f>"300161"</f>
        <v>300161</v>
      </c>
      <c r="B1539" t="s">
        <v>8022</v>
      </c>
      <c r="C1539">
        <v>0.93</v>
      </c>
      <c r="D1539">
        <v>-0.02</v>
      </c>
      <c r="E1539">
        <v>-1.76</v>
      </c>
      <c r="F1539">
        <v>1068</v>
      </c>
      <c r="G1539" t="s">
        <v>8023</v>
      </c>
      <c r="H1539">
        <v>45556.51</v>
      </c>
      <c r="I1539">
        <v>177.22</v>
      </c>
      <c r="J1539" t="s">
        <v>120</v>
      </c>
      <c r="K1539" t="s">
        <v>8024</v>
      </c>
      <c r="L1539">
        <v>9.2200000000000006</v>
      </c>
      <c r="M1539">
        <v>29.18</v>
      </c>
      <c r="N1539">
        <v>0.94</v>
      </c>
      <c r="O1539">
        <v>5.5</v>
      </c>
      <c r="P1539">
        <v>30.5</v>
      </c>
      <c r="Q1539">
        <v>-3.46</v>
      </c>
      <c r="R1539">
        <v>27.91</v>
      </c>
      <c r="S1539">
        <v>28.4</v>
      </c>
      <c r="T1539">
        <v>154923</v>
      </c>
      <c r="U1539">
        <v>29.19</v>
      </c>
      <c r="V1539">
        <v>28.91</v>
      </c>
      <c r="W1539" t="s">
        <v>120</v>
      </c>
      <c r="X1539" t="s">
        <v>2161</v>
      </c>
      <c r="Y1539" t="s">
        <v>763</v>
      </c>
      <c r="Z1539">
        <v>8.9600000000000009</v>
      </c>
      <c r="AA1539">
        <v>29.41</v>
      </c>
      <c r="AB1539">
        <v>76011</v>
      </c>
      <c r="AC1539">
        <v>78912</v>
      </c>
      <c r="AD1539">
        <v>0.96</v>
      </c>
      <c r="AE1539">
        <v>493</v>
      </c>
      <c r="AF1539">
        <v>192</v>
      </c>
      <c r="AG1539" t="s">
        <v>120</v>
      </c>
      <c r="AH1539">
        <v>0.06</v>
      </c>
      <c r="AI1539" t="s">
        <v>120</v>
      </c>
      <c r="AJ1539">
        <v>1.68</v>
      </c>
      <c r="AK1539" t="s">
        <v>4235</v>
      </c>
      <c r="AL1539">
        <v>2.85</v>
      </c>
      <c r="AM1539">
        <v>3983</v>
      </c>
      <c r="AN1539">
        <v>39</v>
      </c>
      <c r="AO1539">
        <v>2.3E-3</v>
      </c>
      <c r="AP1539">
        <v>1</v>
      </c>
      <c r="AQ1539">
        <v>-3.7</v>
      </c>
      <c r="AR1539">
        <v>2.56</v>
      </c>
      <c r="AS1539">
        <v>30.27</v>
      </c>
      <c r="AT1539">
        <v>42.06</v>
      </c>
      <c r="AU1539">
        <v>69.36</v>
      </c>
      <c r="AV1539">
        <v>2</v>
      </c>
      <c r="AW1539">
        <v>14.42</v>
      </c>
      <c r="AX1539">
        <v>54.07</v>
      </c>
      <c r="AY1539" t="s">
        <v>120</v>
      </c>
      <c r="AZ1539">
        <v>206.82</v>
      </c>
      <c r="BA1539">
        <v>0.47</v>
      </c>
      <c r="BB1539" t="s">
        <v>143</v>
      </c>
      <c r="BF1539">
        <v>1.72</v>
      </c>
      <c r="BG1539">
        <v>2.75</v>
      </c>
      <c r="BH1539">
        <v>-4.33</v>
      </c>
      <c r="BI1539">
        <v>4.55</v>
      </c>
      <c r="BJ1539">
        <v>20210830</v>
      </c>
      <c r="BK1539">
        <v>20110113</v>
      </c>
      <c r="BL1539">
        <v>1.99</v>
      </c>
      <c r="BM1539" t="s">
        <v>120</v>
      </c>
      <c r="BN1539" t="s">
        <v>120</v>
      </c>
      <c r="BO1539">
        <v>32.57</v>
      </c>
      <c r="BP1539">
        <v>29.18</v>
      </c>
      <c r="BQ1539">
        <v>15.63</v>
      </c>
      <c r="BR1539">
        <v>1.76</v>
      </c>
      <c r="BS1539">
        <v>46.6</v>
      </c>
      <c r="BT1539">
        <v>26.46</v>
      </c>
      <c r="BU1539">
        <v>2.73</v>
      </c>
      <c r="BV1539">
        <v>1.27</v>
      </c>
      <c r="BW1539">
        <v>12.79</v>
      </c>
      <c r="BX1539">
        <v>7.02</v>
      </c>
      <c r="BY1539">
        <v>9.3699999999999992</v>
      </c>
      <c r="BZ1539">
        <v>6.57</v>
      </c>
      <c r="CA1539" t="s">
        <v>120</v>
      </c>
      <c r="CB1539">
        <v>11.46</v>
      </c>
      <c r="CC1539">
        <v>6.64</v>
      </c>
      <c r="CD1539">
        <v>4.55</v>
      </c>
      <c r="CE1539">
        <v>-0.43</v>
      </c>
      <c r="CF1539">
        <v>0</v>
      </c>
      <c r="CG1539">
        <v>-0.44</v>
      </c>
      <c r="CH1539">
        <v>-0.46</v>
      </c>
      <c r="CI1539">
        <v>-0.39</v>
      </c>
      <c r="CJ1539">
        <v>0.27</v>
      </c>
      <c r="CK1539">
        <v>-0.56999999999999995</v>
      </c>
      <c r="CL1539">
        <v>1.78</v>
      </c>
      <c r="CM1539">
        <v>-1.48</v>
      </c>
      <c r="CN1539">
        <v>0.96</v>
      </c>
      <c r="CO1539">
        <v>15060</v>
      </c>
      <c r="CP1539">
        <v>7134</v>
      </c>
      <c r="CQ1539" t="s">
        <v>8025</v>
      </c>
      <c r="CR1539">
        <v>-226.24</v>
      </c>
      <c r="CS1539">
        <v>12.44</v>
      </c>
      <c r="CT1539">
        <v>3.71</v>
      </c>
      <c r="CU1539">
        <v>-39.090000000000003</v>
      </c>
      <c r="CV1539">
        <v>8.73</v>
      </c>
      <c r="CW1539">
        <v>0</v>
      </c>
      <c r="CX1539" t="s">
        <v>313</v>
      </c>
      <c r="CY1539">
        <v>7.87</v>
      </c>
      <c r="CZ1539">
        <v>0</v>
      </c>
      <c r="DA1539">
        <v>5.77</v>
      </c>
      <c r="DB1539">
        <v>0.89</v>
      </c>
      <c r="DC1539">
        <v>-0.75</v>
      </c>
      <c r="DD1539">
        <v>48</v>
      </c>
      <c r="DE1539" t="s">
        <v>8026</v>
      </c>
      <c r="DF1539">
        <v>31.53</v>
      </c>
      <c r="DG1539">
        <v>-6.52</v>
      </c>
      <c r="DH1539">
        <v>-5.83</v>
      </c>
      <c r="DI1539">
        <v>0.98</v>
      </c>
      <c r="DJ1539">
        <v>2464</v>
      </c>
      <c r="DK1539">
        <v>300161</v>
      </c>
      <c r="DL1539">
        <v>20210823</v>
      </c>
      <c r="DM1539">
        <v>28.6</v>
      </c>
      <c r="DN1539">
        <v>2.0299999999999998</v>
      </c>
    </row>
    <row r="1540" spans="1:118">
      <c r="A1540" t="str">
        <f>"300162"</f>
        <v>300162</v>
      </c>
      <c r="B1540" t="s">
        <v>8027</v>
      </c>
      <c r="C1540">
        <v>-5.7</v>
      </c>
      <c r="D1540">
        <v>-0.09</v>
      </c>
      <c r="E1540">
        <v>0.49</v>
      </c>
      <c r="F1540">
        <v>6446</v>
      </c>
      <c r="G1540" t="s">
        <v>8028</v>
      </c>
      <c r="H1540">
        <v>14333.06</v>
      </c>
      <c r="I1540">
        <v>89.72</v>
      </c>
      <c r="J1540" t="s">
        <v>120</v>
      </c>
      <c r="K1540" t="s">
        <v>2590</v>
      </c>
      <c r="L1540">
        <v>5.48</v>
      </c>
      <c r="M1540">
        <v>9.6</v>
      </c>
      <c r="N1540">
        <v>1</v>
      </c>
      <c r="O1540">
        <v>1.08</v>
      </c>
      <c r="P1540">
        <v>10.29</v>
      </c>
      <c r="Q1540">
        <v>-5.7</v>
      </c>
      <c r="R1540">
        <v>9.6</v>
      </c>
      <c r="S1540">
        <v>10.23</v>
      </c>
      <c r="T1540">
        <v>144784</v>
      </c>
      <c r="U1540">
        <v>9.61</v>
      </c>
      <c r="V1540">
        <v>10.18</v>
      </c>
      <c r="W1540">
        <v>82.25</v>
      </c>
      <c r="X1540" t="s">
        <v>229</v>
      </c>
      <c r="Y1540" t="s">
        <v>123</v>
      </c>
      <c r="Z1540">
        <v>6.78</v>
      </c>
      <c r="AA1540">
        <v>9.9</v>
      </c>
      <c r="AB1540">
        <v>78165</v>
      </c>
      <c r="AC1540">
        <v>66619</v>
      </c>
      <c r="AD1540">
        <v>1.17</v>
      </c>
      <c r="AE1540">
        <v>3154</v>
      </c>
      <c r="AF1540">
        <v>296</v>
      </c>
      <c r="AG1540" t="s">
        <v>120</v>
      </c>
      <c r="AH1540">
        <v>0.05</v>
      </c>
      <c r="AI1540" t="s">
        <v>120</v>
      </c>
      <c r="AJ1540">
        <v>2.64</v>
      </c>
      <c r="AK1540" t="s">
        <v>1050</v>
      </c>
      <c r="AL1540">
        <v>-3.78</v>
      </c>
      <c r="AM1540">
        <v>3027</v>
      </c>
      <c r="AN1540">
        <v>48</v>
      </c>
      <c r="AO1540">
        <v>1.8E-3</v>
      </c>
      <c r="AP1540">
        <v>-1</v>
      </c>
      <c r="AQ1540">
        <v>0.69</v>
      </c>
      <c r="AR1540">
        <v>-9.01</v>
      </c>
      <c r="AS1540">
        <v>-1.1299999999999999</v>
      </c>
      <c r="AT1540">
        <v>21.67</v>
      </c>
      <c r="AU1540">
        <v>36.950000000000003</v>
      </c>
      <c r="AV1540">
        <v>3</v>
      </c>
      <c r="AW1540">
        <v>7.57</v>
      </c>
      <c r="AX1540">
        <v>54.75</v>
      </c>
      <c r="AY1540" t="s">
        <v>120</v>
      </c>
      <c r="AZ1540" t="s">
        <v>120</v>
      </c>
      <c r="BA1540">
        <v>0.82</v>
      </c>
      <c r="BB1540" t="s">
        <v>125</v>
      </c>
      <c r="BF1540">
        <v>-2.75</v>
      </c>
      <c r="BG1540">
        <v>-6.16</v>
      </c>
      <c r="BH1540">
        <v>-6.71</v>
      </c>
      <c r="BI1540">
        <v>0</v>
      </c>
      <c r="BJ1540">
        <v>20210813</v>
      </c>
      <c r="BK1540">
        <v>20110113</v>
      </c>
      <c r="BL1540">
        <v>3.5</v>
      </c>
      <c r="BM1540" t="s">
        <v>120</v>
      </c>
      <c r="BN1540" t="s">
        <v>120</v>
      </c>
      <c r="BO1540">
        <v>13.28</v>
      </c>
      <c r="BP1540">
        <v>9.6</v>
      </c>
      <c r="BQ1540">
        <v>6.09</v>
      </c>
      <c r="BR1540">
        <v>0.26</v>
      </c>
      <c r="BS1540">
        <v>52.21</v>
      </c>
      <c r="BT1540">
        <v>8.8699999999999992</v>
      </c>
      <c r="BU1540">
        <v>2.29</v>
      </c>
      <c r="BV1540">
        <v>0.14000000000000001</v>
      </c>
      <c r="BW1540">
        <v>6.14</v>
      </c>
      <c r="BX1540">
        <v>1.96</v>
      </c>
      <c r="BY1540">
        <v>3.59</v>
      </c>
      <c r="BZ1540">
        <v>2.16</v>
      </c>
      <c r="CA1540">
        <v>0.01</v>
      </c>
      <c r="CB1540">
        <v>6.42</v>
      </c>
      <c r="CC1540">
        <v>5.68</v>
      </c>
      <c r="CD1540">
        <v>4.3600000000000003</v>
      </c>
      <c r="CE1540">
        <v>0.22</v>
      </c>
      <c r="CF1540">
        <v>0.01</v>
      </c>
      <c r="CG1540">
        <v>0.21</v>
      </c>
      <c r="CH1540">
        <v>0.2</v>
      </c>
      <c r="CI1540">
        <v>0.2</v>
      </c>
      <c r="CJ1540">
        <v>-0.57999999999999996</v>
      </c>
      <c r="CK1540">
        <v>0.16</v>
      </c>
      <c r="CL1540">
        <v>-2.37</v>
      </c>
      <c r="CM1540">
        <v>0.12</v>
      </c>
      <c r="CN1540">
        <v>-0.7</v>
      </c>
      <c r="CO1540">
        <v>24013</v>
      </c>
      <c r="CP1540">
        <v>7968</v>
      </c>
      <c r="CQ1540" t="s">
        <v>8029</v>
      </c>
      <c r="CR1540">
        <v>259.92</v>
      </c>
      <c r="CS1540">
        <v>44.51</v>
      </c>
      <c r="CT1540">
        <v>5.51</v>
      </c>
      <c r="CU1540">
        <v>283.73</v>
      </c>
      <c r="CV1540">
        <v>5.91</v>
      </c>
      <c r="CW1540">
        <v>0</v>
      </c>
      <c r="CX1540" t="s">
        <v>1064</v>
      </c>
      <c r="CY1540">
        <v>1.74</v>
      </c>
      <c r="CZ1540">
        <v>0</v>
      </c>
      <c r="DA1540">
        <v>1.84</v>
      </c>
      <c r="DB1540">
        <v>-0.68</v>
      </c>
      <c r="DC1540">
        <v>0.03</v>
      </c>
      <c r="DD1540">
        <v>45.81</v>
      </c>
      <c r="DE1540" t="s">
        <v>739</v>
      </c>
      <c r="DF1540">
        <v>23.25</v>
      </c>
      <c r="DG1540">
        <v>3.79</v>
      </c>
      <c r="DH1540">
        <v>3.59</v>
      </c>
      <c r="DI1540">
        <v>0.23</v>
      </c>
      <c r="DJ1540">
        <v>1516</v>
      </c>
      <c r="DK1540">
        <v>300162</v>
      </c>
      <c r="DL1540">
        <v>20210804</v>
      </c>
      <c r="DM1540">
        <v>9.82</v>
      </c>
      <c r="DN1540">
        <v>-2.2400000000000002</v>
      </c>
    </row>
    <row r="1541" spans="1:118">
      <c r="A1541" t="str">
        <f>"300163"</f>
        <v>300163</v>
      </c>
      <c r="B1541" t="s">
        <v>8030</v>
      </c>
      <c r="C1541">
        <v>-1.94</v>
      </c>
      <c r="D1541">
        <v>0</v>
      </c>
      <c r="E1541">
        <v>0</v>
      </c>
      <c r="F1541">
        <v>1893</v>
      </c>
      <c r="G1541" t="s">
        <v>8031</v>
      </c>
      <c r="H1541">
        <v>12019.48</v>
      </c>
      <c r="I1541">
        <v>32.090000000000003</v>
      </c>
      <c r="J1541" t="s">
        <v>120</v>
      </c>
      <c r="K1541" t="s">
        <v>8032</v>
      </c>
      <c r="L1541">
        <v>6.08</v>
      </c>
      <c r="M1541">
        <v>4.05</v>
      </c>
      <c r="N1541">
        <v>1.46</v>
      </c>
      <c r="O1541">
        <v>3.87</v>
      </c>
      <c r="P1541">
        <v>4.29</v>
      </c>
      <c r="Q1541">
        <v>-2.42</v>
      </c>
      <c r="R1541">
        <v>4.03</v>
      </c>
      <c r="S1541">
        <v>4.13</v>
      </c>
      <c r="T1541">
        <v>287988</v>
      </c>
      <c r="U1541">
        <v>4.05</v>
      </c>
      <c r="V1541">
        <v>4.13</v>
      </c>
      <c r="W1541">
        <v>135.66999999999999</v>
      </c>
      <c r="X1541" t="s">
        <v>247</v>
      </c>
      <c r="Y1541" t="s">
        <v>585</v>
      </c>
      <c r="Z1541">
        <v>6.3</v>
      </c>
      <c r="AA1541">
        <v>4.17</v>
      </c>
      <c r="AB1541">
        <v>148159</v>
      </c>
      <c r="AC1541">
        <v>139829</v>
      </c>
      <c r="AD1541">
        <v>1.06</v>
      </c>
      <c r="AE1541">
        <v>1344</v>
      </c>
      <c r="AF1541">
        <v>316</v>
      </c>
      <c r="AG1541" t="s">
        <v>120</v>
      </c>
      <c r="AH1541">
        <v>0.02</v>
      </c>
      <c r="AI1541" t="s">
        <v>120</v>
      </c>
      <c r="AJ1541">
        <v>4.74</v>
      </c>
      <c r="AK1541" t="s">
        <v>8033</v>
      </c>
      <c r="AL1541">
        <v>-0.02</v>
      </c>
      <c r="AM1541">
        <v>2200</v>
      </c>
      <c r="AN1541">
        <v>131</v>
      </c>
      <c r="AO1541">
        <v>2.8E-3</v>
      </c>
      <c r="AP1541">
        <v>-1</v>
      </c>
      <c r="AQ1541">
        <v>2.99</v>
      </c>
      <c r="AR1541">
        <v>-1.23</v>
      </c>
      <c r="AS1541">
        <v>-2.41</v>
      </c>
      <c r="AT1541">
        <v>8.8699999999999992</v>
      </c>
      <c r="AU1541">
        <v>15.38</v>
      </c>
      <c r="AV1541">
        <v>0</v>
      </c>
      <c r="AW1541">
        <v>8.59</v>
      </c>
      <c r="AX1541">
        <v>70.739999999999995</v>
      </c>
      <c r="AY1541">
        <v>120.32</v>
      </c>
      <c r="AZ1541">
        <v>107.67</v>
      </c>
      <c r="BA1541">
        <v>0.78</v>
      </c>
      <c r="BB1541" t="s">
        <v>751</v>
      </c>
      <c r="BF1541">
        <v>1.06</v>
      </c>
      <c r="BG1541">
        <v>-1.94</v>
      </c>
      <c r="BH1541">
        <v>-5.59</v>
      </c>
      <c r="BI1541">
        <v>0.5</v>
      </c>
      <c r="BJ1541">
        <v>20210827</v>
      </c>
      <c r="BK1541">
        <v>20110113</v>
      </c>
      <c r="BL1541">
        <v>4.74</v>
      </c>
      <c r="BM1541" t="s">
        <v>120</v>
      </c>
      <c r="BN1541" t="s">
        <v>120</v>
      </c>
      <c r="BO1541">
        <v>7.18</v>
      </c>
      <c r="BP1541">
        <v>4.04</v>
      </c>
      <c r="BQ1541">
        <v>6.05</v>
      </c>
      <c r="BR1541">
        <v>0</v>
      </c>
      <c r="BS1541">
        <v>15.74</v>
      </c>
      <c r="BT1541">
        <v>4.05</v>
      </c>
      <c r="BU1541">
        <v>2.44</v>
      </c>
      <c r="BV1541">
        <v>0.4</v>
      </c>
      <c r="BW1541">
        <v>1.04</v>
      </c>
      <c r="BX1541">
        <v>0.24</v>
      </c>
      <c r="BY1541">
        <v>1.64</v>
      </c>
      <c r="BZ1541">
        <v>1.25</v>
      </c>
      <c r="CA1541" t="s">
        <v>120</v>
      </c>
      <c r="CB1541">
        <v>1.3</v>
      </c>
      <c r="CC1541">
        <v>1.65</v>
      </c>
      <c r="CD1541">
        <v>1.33</v>
      </c>
      <c r="CE1541">
        <v>0.03</v>
      </c>
      <c r="CF1541">
        <v>0.01</v>
      </c>
      <c r="CG1541">
        <v>0.08</v>
      </c>
      <c r="CH1541">
        <v>7.0000000000000007E-2</v>
      </c>
      <c r="CI1541">
        <v>7.0000000000000007E-2</v>
      </c>
      <c r="CJ1541">
        <v>-0.08</v>
      </c>
      <c r="CK1541">
        <v>0.02</v>
      </c>
      <c r="CL1541">
        <v>-0.31</v>
      </c>
      <c r="CM1541">
        <v>-0.15</v>
      </c>
      <c r="CN1541">
        <v>-0.53</v>
      </c>
      <c r="CO1541">
        <v>26028</v>
      </c>
      <c r="CP1541">
        <v>12883</v>
      </c>
      <c r="CQ1541" t="s">
        <v>701</v>
      </c>
      <c r="CR1541">
        <v>-21.28</v>
      </c>
      <c r="CS1541">
        <v>20.260000000000002</v>
      </c>
      <c r="CT1541">
        <v>3.17</v>
      </c>
      <c r="CU1541">
        <v>-129.34</v>
      </c>
      <c r="CV1541">
        <v>11.61</v>
      </c>
      <c r="CW1541">
        <v>0</v>
      </c>
      <c r="CX1541" t="s">
        <v>1481</v>
      </c>
      <c r="CY1541">
        <v>1.28</v>
      </c>
      <c r="CZ1541">
        <v>0</v>
      </c>
      <c r="DA1541">
        <v>0.27</v>
      </c>
      <c r="DB1541">
        <v>-0.06</v>
      </c>
      <c r="DC1541">
        <v>-0.03</v>
      </c>
      <c r="DD1541">
        <v>84.29</v>
      </c>
      <c r="DE1541" t="s">
        <v>1921</v>
      </c>
      <c r="DF1541">
        <v>19.29</v>
      </c>
      <c r="DG1541">
        <v>1.63</v>
      </c>
      <c r="DH1541">
        <v>4.28</v>
      </c>
      <c r="DI1541">
        <v>0.05</v>
      </c>
      <c r="DJ1541">
        <v>677</v>
      </c>
      <c r="DK1541">
        <v>300163</v>
      </c>
      <c r="DL1541" t="s">
        <v>120</v>
      </c>
      <c r="DM1541" t="s">
        <v>120</v>
      </c>
      <c r="DN1541" t="s">
        <v>120</v>
      </c>
    </row>
    <row r="1542" spans="1:118">
      <c r="A1542" t="str">
        <f>"300164"</f>
        <v>300164</v>
      </c>
      <c r="B1542" t="s">
        <v>8034</v>
      </c>
      <c r="C1542">
        <v>-5.6</v>
      </c>
      <c r="D1542">
        <v>-0.18</v>
      </c>
      <c r="E1542">
        <v>1.81</v>
      </c>
      <c r="F1542">
        <v>10069</v>
      </c>
      <c r="G1542" t="s">
        <v>8035</v>
      </c>
      <c r="H1542">
        <v>37828.81</v>
      </c>
      <c r="I1542">
        <v>552.72</v>
      </c>
      <c r="J1542" t="s">
        <v>120</v>
      </c>
      <c r="K1542" t="s">
        <v>8036</v>
      </c>
      <c r="L1542">
        <v>15.73</v>
      </c>
      <c r="M1542">
        <v>5.23</v>
      </c>
      <c r="N1542">
        <v>0.79</v>
      </c>
      <c r="O1542">
        <v>3.97</v>
      </c>
      <c r="P1542">
        <v>5.76</v>
      </c>
      <c r="Q1542">
        <v>-6.86</v>
      </c>
      <c r="R1542">
        <v>5.16</v>
      </c>
      <c r="S1542">
        <v>5.64</v>
      </c>
      <c r="T1542">
        <v>701989</v>
      </c>
      <c r="U1542">
        <v>5.24</v>
      </c>
      <c r="V1542">
        <v>5.54</v>
      </c>
      <c r="W1542">
        <v>74.680000000000007</v>
      </c>
      <c r="X1542" t="s">
        <v>3867</v>
      </c>
      <c r="Y1542" t="s">
        <v>890</v>
      </c>
      <c r="Z1542">
        <v>10.83</v>
      </c>
      <c r="AA1542">
        <v>5.39</v>
      </c>
      <c r="AB1542">
        <v>427435</v>
      </c>
      <c r="AC1542">
        <v>274554</v>
      </c>
      <c r="AD1542">
        <v>1.56</v>
      </c>
      <c r="AE1542">
        <v>256</v>
      </c>
      <c r="AF1542">
        <v>446</v>
      </c>
      <c r="AG1542" t="s">
        <v>120</v>
      </c>
      <c r="AH1542">
        <v>0.25</v>
      </c>
      <c r="AI1542" t="s">
        <v>120</v>
      </c>
      <c r="AJ1542">
        <v>4.46</v>
      </c>
      <c r="AK1542" t="s">
        <v>2634</v>
      </c>
      <c r="AL1542">
        <v>-3.68</v>
      </c>
      <c r="AM1542">
        <v>4120</v>
      </c>
      <c r="AN1542">
        <v>170</v>
      </c>
      <c r="AO1542">
        <v>3.8E-3</v>
      </c>
      <c r="AP1542">
        <v>-1</v>
      </c>
      <c r="AQ1542">
        <v>1.28</v>
      </c>
      <c r="AR1542">
        <v>9.65</v>
      </c>
      <c r="AS1542">
        <v>28.18</v>
      </c>
      <c r="AT1542">
        <v>15.2</v>
      </c>
      <c r="AU1542">
        <v>35.14</v>
      </c>
      <c r="AV1542">
        <v>1</v>
      </c>
      <c r="AW1542">
        <v>18.11</v>
      </c>
      <c r="AX1542">
        <v>75.5</v>
      </c>
      <c r="AY1542" t="s">
        <v>120</v>
      </c>
      <c r="AZ1542" t="s">
        <v>120</v>
      </c>
      <c r="BA1542">
        <v>0.19</v>
      </c>
      <c r="BB1542" t="s">
        <v>184</v>
      </c>
      <c r="BF1542">
        <v>-2.73</v>
      </c>
      <c r="BG1542">
        <v>-7.27</v>
      </c>
      <c r="BH1542">
        <v>-9.1999999999999993</v>
      </c>
      <c r="BI1542">
        <v>1.36</v>
      </c>
      <c r="BJ1542">
        <v>20210827</v>
      </c>
      <c r="BK1542">
        <v>20110113</v>
      </c>
      <c r="BL1542">
        <v>5.14</v>
      </c>
      <c r="BM1542" t="s">
        <v>120</v>
      </c>
      <c r="BN1542" t="s">
        <v>120</v>
      </c>
      <c r="BO1542">
        <v>16.34</v>
      </c>
      <c r="BP1542">
        <v>5.23</v>
      </c>
      <c r="BQ1542">
        <v>9.19</v>
      </c>
      <c r="BR1542">
        <v>0.35</v>
      </c>
      <c r="BS1542">
        <v>41.61</v>
      </c>
      <c r="BT1542">
        <v>6.99</v>
      </c>
      <c r="BU1542">
        <v>2.56</v>
      </c>
      <c r="BV1542">
        <v>0.32</v>
      </c>
      <c r="BW1542">
        <v>3.93</v>
      </c>
      <c r="BX1542">
        <v>1</v>
      </c>
      <c r="BY1542">
        <v>1.46</v>
      </c>
      <c r="BZ1542">
        <v>3.13</v>
      </c>
      <c r="CA1542">
        <v>0</v>
      </c>
      <c r="CB1542">
        <v>11.13</v>
      </c>
      <c r="CC1542">
        <v>3.62</v>
      </c>
      <c r="CD1542">
        <v>2.4500000000000002</v>
      </c>
      <c r="CE1542">
        <v>0.16</v>
      </c>
      <c r="CF1542">
        <v>0.23</v>
      </c>
      <c r="CG1542">
        <v>0.16</v>
      </c>
      <c r="CH1542">
        <v>0.15</v>
      </c>
      <c r="CI1542">
        <v>0.18</v>
      </c>
      <c r="CJ1542">
        <v>-0.31</v>
      </c>
      <c r="CK1542">
        <v>0.01</v>
      </c>
      <c r="CL1542">
        <v>-7.31</v>
      </c>
      <c r="CM1542">
        <v>0.28000000000000003</v>
      </c>
      <c r="CN1542">
        <v>0.51</v>
      </c>
      <c r="CO1542">
        <v>24601</v>
      </c>
      <c r="CP1542">
        <v>15761</v>
      </c>
      <c r="CQ1542" t="s">
        <v>8037</v>
      </c>
      <c r="CR1542">
        <v>126.35</v>
      </c>
      <c r="CS1542">
        <v>6.88</v>
      </c>
      <c r="CT1542">
        <v>2.92</v>
      </c>
      <c r="CU1542">
        <v>94.43</v>
      </c>
      <c r="CV1542">
        <v>7.42</v>
      </c>
      <c r="CW1542">
        <v>0</v>
      </c>
      <c r="CX1542" t="s">
        <v>208</v>
      </c>
      <c r="CY1542">
        <v>1.79</v>
      </c>
      <c r="CZ1542">
        <v>0</v>
      </c>
      <c r="DA1542">
        <v>2.17</v>
      </c>
      <c r="DB1542">
        <v>-1.42</v>
      </c>
      <c r="DC1542">
        <v>0.06</v>
      </c>
      <c r="DD1542">
        <v>56.26</v>
      </c>
      <c r="DE1542" t="s">
        <v>3532</v>
      </c>
      <c r="DF1542">
        <v>32.24</v>
      </c>
      <c r="DG1542">
        <v>4.49</v>
      </c>
      <c r="DH1542">
        <v>4.97</v>
      </c>
      <c r="DI1542">
        <v>0.06</v>
      </c>
      <c r="DJ1542">
        <v>640</v>
      </c>
      <c r="DK1542">
        <v>300164</v>
      </c>
      <c r="DL1542">
        <v>20210914</v>
      </c>
      <c r="DM1542">
        <v>5.72</v>
      </c>
      <c r="DN1542">
        <v>-8.57</v>
      </c>
    </row>
    <row r="1543" spans="1:118">
      <c r="A1543" t="str">
        <f>"300165"</f>
        <v>300165</v>
      </c>
      <c r="B1543" t="s">
        <v>8038</v>
      </c>
      <c r="C1543">
        <v>0.37</v>
      </c>
      <c r="D1543">
        <v>-0.18</v>
      </c>
      <c r="E1543">
        <v>0.19</v>
      </c>
      <c r="F1543">
        <v>1282</v>
      </c>
      <c r="G1543" t="s">
        <v>8039</v>
      </c>
      <c r="H1543">
        <v>6105.64</v>
      </c>
      <c r="I1543">
        <v>40.35</v>
      </c>
      <c r="J1543" t="s">
        <v>120</v>
      </c>
      <c r="K1543" t="s">
        <v>3508</v>
      </c>
      <c r="L1543">
        <v>3.72</v>
      </c>
      <c r="M1543">
        <v>5.39</v>
      </c>
      <c r="N1543">
        <v>1.42</v>
      </c>
      <c r="O1543">
        <v>3.17</v>
      </c>
      <c r="P1543">
        <v>5.54</v>
      </c>
      <c r="Q1543">
        <v>-0.93</v>
      </c>
      <c r="R1543">
        <v>5.32</v>
      </c>
      <c r="S1543">
        <v>5.38</v>
      </c>
      <c r="T1543">
        <v>112210</v>
      </c>
      <c r="U1543">
        <v>5.4</v>
      </c>
      <c r="V1543">
        <v>5.37</v>
      </c>
      <c r="W1543">
        <v>89.99</v>
      </c>
      <c r="X1543" t="s">
        <v>2717</v>
      </c>
      <c r="Y1543" t="s">
        <v>319</v>
      </c>
      <c r="Z1543">
        <v>4.0999999999999996</v>
      </c>
      <c r="AA1543">
        <v>5.44</v>
      </c>
      <c r="AB1543">
        <v>57090</v>
      </c>
      <c r="AC1543">
        <v>55120</v>
      </c>
      <c r="AD1543">
        <v>1.04</v>
      </c>
      <c r="AE1543">
        <v>342</v>
      </c>
      <c r="AF1543">
        <v>40</v>
      </c>
      <c r="AG1543" t="s">
        <v>120</v>
      </c>
      <c r="AH1543">
        <v>0.03</v>
      </c>
      <c r="AI1543" t="s">
        <v>120</v>
      </c>
      <c r="AJ1543">
        <v>3.02</v>
      </c>
      <c r="AK1543" t="s">
        <v>8040</v>
      </c>
      <c r="AL1543">
        <v>2.29</v>
      </c>
      <c r="AM1543">
        <v>1888</v>
      </c>
      <c r="AN1543">
        <v>59</v>
      </c>
      <c r="AO1543">
        <v>2E-3</v>
      </c>
      <c r="AP1543">
        <v>2</v>
      </c>
      <c r="AQ1543">
        <v>1.1299999999999999</v>
      </c>
      <c r="AR1543">
        <v>-0.92</v>
      </c>
      <c r="AS1543">
        <v>-1.46</v>
      </c>
      <c r="AT1543">
        <v>9.56</v>
      </c>
      <c r="AU1543">
        <v>8.86</v>
      </c>
      <c r="AV1543">
        <v>0</v>
      </c>
      <c r="AW1543">
        <v>3.77</v>
      </c>
      <c r="AX1543">
        <v>59.81</v>
      </c>
      <c r="AY1543">
        <v>48.91</v>
      </c>
      <c r="AZ1543">
        <v>126.45</v>
      </c>
      <c r="BA1543">
        <v>0.52</v>
      </c>
      <c r="BB1543" t="s">
        <v>143</v>
      </c>
      <c r="BF1543">
        <v>1.33</v>
      </c>
      <c r="BG1543">
        <v>0.19</v>
      </c>
      <c r="BH1543">
        <v>-2.71</v>
      </c>
      <c r="BI1543">
        <v>1.32</v>
      </c>
      <c r="BJ1543">
        <v>20210913</v>
      </c>
      <c r="BK1543">
        <v>20110125</v>
      </c>
      <c r="BL1543">
        <v>4.97</v>
      </c>
      <c r="BM1543" t="s">
        <v>120</v>
      </c>
      <c r="BN1543" t="s">
        <v>120</v>
      </c>
      <c r="BO1543">
        <v>29.16</v>
      </c>
      <c r="BP1543">
        <v>5.39</v>
      </c>
      <c r="BQ1543">
        <v>17.02</v>
      </c>
      <c r="BR1543">
        <v>0.46</v>
      </c>
      <c r="BS1543">
        <v>40.07</v>
      </c>
      <c r="BT1543">
        <v>15.69</v>
      </c>
      <c r="BU1543">
        <v>1.99</v>
      </c>
      <c r="BV1543">
        <v>0.22</v>
      </c>
      <c r="BW1543">
        <v>8.3000000000000007</v>
      </c>
      <c r="BX1543">
        <v>2.97</v>
      </c>
      <c r="BY1543">
        <v>5.83</v>
      </c>
      <c r="BZ1543">
        <v>2.92</v>
      </c>
      <c r="CA1543">
        <v>0.01</v>
      </c>
      <c r="CB1543">
        <v>7.87</v>
      </c>
      <c r="CC1543">
        <v>4.05</v>
      </c>
      <c r="CD1543">
        <v>1.95</v>
      </c>
      <c r="CE1543">
        <v>0.2</v>
      </c>
      <c r="CF1543">
        <v>0</v>
      </c>
      <c r="CG1543">
        <v>0.2</v>
      </c>
      <c r="CH1543">
        <v>0.14000000000000001</v>
      </c>
      <c r="CI1543">
        <v>0.15</v>
      </c>
      <c r="CJ1543">
        <v>0.02</v>
      </c>
      <c r="CK1543">
        <v>0.14000000000000001</v>
      </c>
      <c r="CL1543">
        <v>3.32</v>
      </c>
      <c r="CM1543">
        <v>-2.65</v>
      </c>
      <c r="CN1543">
        <v>-1.87</v>
      </c>
      <c r="CO1543">
        <v>22905</v>
      </c>
      <c r="CP1543">
        <v>12978</v>
      </c>
      <c r="CQ1543" t="s">
        <v>8041</v>
      </c>
      <c r="CR1543">
        <v>180.12</v>
      </c>
      <c r="CS1543">
        <v>32.479999999999997</v>
      </c>
      <c r="CT1543">
        <v>1.57</v>
      </c>
      <c r="CU1543">
        <v>-10.11</v>
      </c>
      <c r="CV1543">
        <v>6.61</v>
      </c>
      <c r="CW1543">
        <v>0.17</v>
      </c>
      <c r="CX1543" t="s">
        <v>2074</v>
      </c>
      <c r="CY1543">
        <v>3.43</v>
      </c>
      <c r="CZ1543">
        <v>0</v>
      </c>
      <c r="DA1543">
        <v>1.58</v>
      </c>
      <c r="DB1543">
        <v>0.67</v>
      </c>
      <c r="DC1543">
        <v>-0.53</v>
      </c>
      <c r="DD1543">
        <v>58.37</v>
      </c>
      <c r="DE1543" t="s">
        <v>6204</v>
      </c>
      <c r="DF1543">
        <v>51.97</v>
      </c>
      <c r="DG1543">
        <v>5.0199999999999996</v>
      </c>
      <c r="DH1543">
        <v>3.67</v>
      </c>
      <c r="DI1543">
        <v>0.39</v>
      </c>
      <c r="DJ1543">
        <v>1544</v>
      </c>
      <c r="DK1543">
        <v>300165</v>
      </c>
      <c r="DL1543" t="s">
        <v>120</v>
      </c>
      <c r="DM1543" t="s">
        <v>120</v>
      </c>
      <c r="DN1543" t="s">
        <v>120</v>
      </c>
    </row>
    <row r="1544" spans="1:118">
      <c r="A1544" t="str">
        <f>"300166"</f>
        <v>300166</v>
      </c>
      <c r="B1544" t="s">
        <v>8042</v>
      </c>
      <c r="C1544">
        <v>-2.21</v>
      </c>
      <c r="D1544">
        <v>0</v>
      </c>
      <c r="E1544">
        <v>-0.3</v>
      </c>
      <c r="F1544">
        <v>5035</v>
      </c>
      <c r="G1544" t="s">
        <v>8043</v>
      </c>
      <c r="H1544">
        <v>16281.38</v>
      </c>
      <c r="I1544">
        <v>29.76</v>
      </c>
      <c r="J1544" t="s">
        <v>120</v>
      </c>
      <c r="K1544" t="s">
        <v>8044</v>
      </c>
      <c r="L1544">
        <v>2.02</v>
      </c>
      <c r="M1544">
        <v>9.73</v>
      </c>
      <c r="N1544">
        <v>0.86</v>
      </c>
      <c r="O1544">
        <v>0.6</v>
      </c>
      <c r="P1544">
        <v>10.01</v>
      </c>
      <c r="Q1544">
        <v>-2.41</v>
      </c>
      <c r="R1544">
        <v>9.7100000000000009</v>
      </c>
      <c r="S1544">
        <v>9.92</v>
      </c>
      <c r="T1544">
        <v>165271</v>
      </c>
      <c r="U1544">
        <v>9.74</v>
      </c>
      <c r="V1544">
        <v>9.9499999999999993</v>
      </c>
      <c r="W1544">
        <v>53.03</v>
      </c>
      <c r="X1544" t="s">
        <v>141</v>
      </c>
      <c r="Y1544" t="s">
        <v>158</v>
      </c>
      <c r="Z1544">
        <v>3.02</v>
      </c>
      <c r="AA1544">
        <v>9.85</v>
      </c>
      <c r="AB1544">
        <v>99694</v>
      </c>
      <c r="AC1544">
        <v>65577</v>
      </c>
      <c r="AD1544">
        <v>1.52</v>
      </c>
      <c r="AE1544">
        <v>197</v>
      </c>
      <c r="AF1544">
        <v>753</v>
      </c>
      <c r="AG1544" t="s">
        <v>120</v>
      </c>
      <c r="AH1544">
        <v>0</v>
      </c>
      <c r="AI1544" t="s">
        <v>120</v>
      </c>
      <c r="AJ1544">
        <v>8.18</v>
      </c>
      <c r="AK1544" t="s">
        <v>8045</v>
      </c>
      <c r="AL1544">
        <v>-0.3</v>
      </c>
      <c r="AM1544">
        <v>2712</v>
      </c>
      <c r="AN1544">
        <v>61</v>
      </c>
      <c r="AO1544">
        <v>6.9999999999999999E-4</v>
      </c>
      <c r="AP1544">
        <v>-2</v>
      </c>
      <c r="AQ1544">
        <v>-1.39</v>
      </c>
      <c r="AR1544">
        <v>-1.62</v>
      </c>
      <c r="AS1544">
        <v>-4.7</v>
      </c>
      <c r="AT1544">
        <v>-3.67</v>
      </c>
      <c r="AU1544">
        <v>-11.14</v>
      </c>
      <c r="AV1544">
        <v>0</v>
      </c>
      <c r="AW1544">
        <v>2.23</v>
      </c>
      <c r="AX1544">
        <v>64</v>
      </c>
      <c r="AY1544">
        <v>35.92</v>
      </c>
      <c r="AZ1544">
        <v>38.159999999999997</v>
      </c>
      <c r="BA1544">
        <v>0.77</v>
      </c>
      <c r="BB1544" t="s">
        <v>125</v>
      </c>
      <c r="BF1544">
        <v>-0.99</v>
      </c>
      <c r="BG1544">
        <v>-1.92</v>
      </c>
      <c r="BH1544">
        <v>-2.8</v>
      </c>
      <c r="BI1544">
        <v>0.21</v>
      </c>
      <c r="BJ1544">
        <v>20210827</v>
      </c>
      <c r="BK1544">
        <v>20110125</v>
      </c>
      <c r="BL1544">
        <v>11.58</v>
      </c>
      <c r="BM1544" t="s">
        <v>120</v>
      </c>
      <c r="BN1544" t="s">
        <v>120</v>
      </c>
      <c r="BO1544">
        <v>84.11</v>
      </c>
      <c r="BP1544">
        <v>9.73</v>
      </c>
      <c r="BQ1544">
        <v>67.22</v>
      </c>
      <c r="BR1544">
        <v>1.4</v>
      </c>
      <c r="BS1544">
        <v>18.420000000000002</v>
      </c>
      <c r="BT1544">
        <v>44.72</v>
      </c>
      <c r="BU1544">
        <v>3.63</v>
      </c>
      <c r="BV1544">
        <v>12.26</v>
      </c>
      <c r="BW1544">
        <v>10.61</v>
      </c>
      <c r="BX1544">
        <v>12.53</v>
      </c>
      <c r="BY1544">
        <v>8.14</v>
      </c>
      <c r="BZ1544">
        <v>15.65</v>
      </c>
      <c r="CA1544" t="s">
        <v>120</v>
      </c>
      <c r="CB1544">
        <v>28.75</v>
      </c>
      <c r="CC1544">
        <v>8.69</v>
      </c>
      <c r="CD1544">
        <v>4.6900000000000004</v>
      </c>
      <c r="CE1544">
        <v>1.08</v>
      </c>
      <c r="CF1544">
        <v>0.02</v>
      </c>
      <c r="CG1544">
        <v>1.1499999999999999</v>
      </c>
      <c r="CH1544">
        <v>1.1000000000000001</v>
      </c>
      <c r="CI1544">
        <v>1.06</v>
      </c>
      <c r="CJ1544">
        <v>-0.22</v>
      </c>
      <c r="CK1544">
        <v>0.66</v>
      </c>
      <c r="CL1544">
        <v>25.11</v>
      </c>
      <c r="CM1544">
        <v>-3.18</v>
      </c>
      <c r="CN1544">
        <v>2.99</v>
      </c>
      <c r="CO1544">
        <v>73978</v>
      </c>
      <c r="CP1544">
        <v>10015</v>
      </c>
      <c r="CQ1544" t="s">
        <v>8046</v>
      </c>
      <c r="CR1544">
        <v>21.52</v>
      </c>
      <c r="CS1544">
        <v>23.31</v>
      </c>
      <c r="CT1544">
        <v>1.68</v>
      </c>
      <c r="CU1544">
        <v>-35.409999999999997</v>
      </c>
      <c r="CV1544">
        <v>12.96</v>
      </c>
      <c r="CW1544">
        <v>0</v>
      </c>
      <c r="CX1544" t="s">
        <v>411</v>
      </c>
      <c r="CY1544">
        <v>5.81</v>
      </c>
      <c r="CZ1544">
        <v>0</v>
      </c>
      <c r="DA1544">
        <v>2.48</v>
      </c>
      <c r="DB1544">
        <v>2.17</v>
      </c>
      <c r="DC1544">
        <v>-0.27</v>
      </c>
      <c r="DD1544">
        <v>79.91</v>
      </c>
      <c r="DE1544" t="s">
        <v>6850</v>
      </c>
      <c r="DF1544">
        <v>46.03</v>
      </c>
      <c r="DG1544">
        <v>12.38</v>
      </c>
      <c r="DH1544">
        <v>12.22</v>
      </c>
      <c r="DI1544">
        <v>1.82</v>
      </c>
      <c r="DJ1544">
        <v>7847</v>
      </c>
      <c r="DK1544">
        <v>300166</v>
      </c>
      <c r="DL1544" t="s">
        <v>120</v>
      </c>
      <c r="DM1544" t="s">
        <v>120</v>
      </c>
      <c r="DN1544" t="s">
        <v>120</v>
      </c>
    </row>
    <row r="1545" spans="1:118">
      <c r="A1545" t="str">
        <f>"300167"</f>
        <v>300167</v>
      </c>
      <c r="B1545" t="s">
        <v>8047</v>
      </c>
      <c r="C1545">
        <v>-4.0599999999999996</v>
      </c>
      <c r="D1545">
        <v>-1.08</v>
      </c>
      <c r="E1545">
        <v>0</v>
      </c>
      <c r="F1545">
        <v>2260</v>
      </c>
      <c r="G1545" t="s">
        <v>4810</v>
      </c>
      <c r="H1545">
        <v>4109.76</v>
      </c>
      <c r="I1545">
        <v>0</v>
      </c>
      <c r="J1545" t="s">
        <v>120</v>
      </c>
      <c r="K1545" t="s">
        <v>8048</v>
      </c>
      <c r="L1545">
        <v>2.4500000000000002</v>
      </c>
      <c r="M1545">
        <v>5.43</v>
      </c>
      <c r="N1545">
        <v>1.05</v>
      </c>
      <c r="O1545">
        <v>2.12</v>
      </c>
      <c r="P1545">
        <v>5.78</v>
      </c>
      <c r="Q1545">
        <v>-4.0599999999999996</v>
      </c>
      <c r="R1545">
        <v>5.43</v>
      </c>
      <c r="S1545">
        <v>5.66</v>
      </c>
      <c r="T1545">
        <v>73532</v>
      </c>
      <c r="U1545">
        <v>5.43</v>
      </c>
      <c r="V1545">
        <v>5.66</v>
      </c>
      <c r="W1545" t="s">
        <v>120</v>
      </c>
      <c r="X1545" t="s">
        <v>141</v>
      </c>
      <c r="Y1545" t="s">
        <v>123</v>
      </c>
      <c r="Z1545">
        <v>6.18</v>
      </c>
      <c r="AA1545">
        <v>5.59</v>
      </c>
      <c r="AB1545">
        <v>43372</v>
      </c>
      <c r="AC1545">
        <v>30160</v>
      </c>
      <c r="AD1545">
        <v>1.44</v>
      </c>
      <c r="AE1545">
        <v>305</v>
      </c>
      <c r="AF1545">
        <v>1136</v>
      </c>
      <c r="AG1545" t="s">
        <v>120</v>
      </c>
      <c r="AH1545">
        <v>0</v>
      </c>
      <c r="AI1545" t="s">
        <v>120</v>
      </c>
      <c r="AJ1545">
        <v>3</v>
      </c>
      <c r="AK1545" t="s">
        <v>8048</v>
      </c>
      <c r="AL1545">
        <v>-2.15</v>
      </c>
      <c r="AM1545">
        <v>1448</v>
      </c>
      <c r="AN1545">
        <v>51</v>
      </c>
      <c r="AO1545">
        <v>1.6999999999999999E-3</v>
      </c>
      <c r="AP1545">
        <v>-3</v>
      </c>
      <c r="AQ1545">
        <v>-1.39</v>
      </c>
      <c r="AR1545">
        <v>-7.34</v>
      </c>
      <c r="AS1545">
        <v>-16.2</v>
      </c>
      <c r="AT1545">
        <v>8.82</v>
      </c>
      <c r="AU1545">
        <v>11.27</v>
      </c>
      <c r="AV1545">
        <v>1</v>
      </c>
      <c r="AW1545">
        <v>3.82</v>
      </c>
      <c r="AX1545">
        <v>64.16</v>
      </c>
      <c r="AY1545" t="s">
        <v>120</v>
      </c>
      <c r="AZ1545" t="s">
        <v>120</v>
      </c>
      <c r="BA1545">
        <v>0.95</v>
      </c>
      <c r="BB1545" t="s">
        <v>134</v>
      </c>
      <c r="BF1545">
        <v>-1.25</v>
      </c>
      <c r="BG1545">
        <v>-4.0599999999999996</v>
      </c>
      <c r="BH1545">
        <v>-6.06</v>
      </c>
      <c r="BI1545">
        <v>0</v>
      </c>
      <c r="BJ1545">
        <v>20210914</v>
      </c>
      <c r="BK1545">
        <v>20110125</v>
      </c>
      <c r="BL1545">
        <v>3</v>
      </c>
      <c r="BM1545" t="s">
        <v>120</v>
      </c>
      <c r="BN1545" t="s">
        <v>120</v>
      </c>
      <c r="BO1545">
        <v>7.26</v>
      </c>
      <c r="BP1545">
        <v>5.42</v>
      </c>
      <c r="BQ1545">
        <v>3.56</v>
      </c>
      <c r="BR1545">
        <v>0.56999999999999995</v>
      </c>
      <c r="BS1545">
        <v>43.11</v>
      </c>
      <c r="BT1545">
        <v>5.31</v>
      </c>
      <c r="BU1545">
        <v>0.3</v>
      </c>
      <c r="BV1545">
        <v>0.12</v>
      </c>
      <c r="BW1545">
        <v>3.12</v>
      </c>
      <c r="BX1545">
        <v>0.51</v>
      </c>
      <c r="BY1545">
        <v>0.51</v>
      </c>
      <c r="BZ1545">
        <v>2.58</v>
      </c>
      <c r="CA1545" t="s">
        <v>120</v>
      </c>
      <c r="CB1545">
        <v>3.12</v>
      </c>
      <c r="CC1545">
        <v>1.04</v>
      </c>
      <c r="CD1545">
        <v>0.81</v>
      </c>
      <c r="CE1545">
        <v>-0.51</v>
      </c>
      <c r="CF1545">
        <v>0</v>
      </c>
      <c r="CG1545">
        <v>-0.61</v>
      </c>
      <c r="CH1545">
        <v>-0.59</v>
      </c>
      <c r="CI1545">
        <v>-0.57999999999999996</v>
      </c>
      <c r="CJ1545">
        <v>-0.23</v>
      </c>
      <c r="CK1545">
        <v>-0.49</v>
      </c>
      <c r="CL1545">
        <v>-2.69</v>
      </c>
      <c r="CM1545">
        <v>0.03</v>
      </c>
      <c r="CN1545">
        <v>-0.21</v>
      </c>
      <c r="CO1545">
        <v>16600</v>
      </c>
      <c r="CP1545">
        <v>11605</v>
      </c>
      <c r="CQ1545" t="s">
        <v>4921</v>
      </c>
      <c r="CR1545">
        <v>-133.71</v>
      </c>
      <c r="CS1545">
        <v>-10.36</v>
      </c>
      <c r="CT1545">
        <v>4.58</v>
      </c>
      <c r="CU1545">
        <v>504.53</v>
      </c>
      <c r="CV1545">
        <v>15.75</v>
      </c>
      <c r="CW1545">
        <v>0</v>
      </c>
      <c r="CX1545" t="s">
        <v>8049</v>
      </c>
      <c r="CY1545">
        <v>1.18</v>
      </c>
      <c r="CZ1545">
        <v>0</v>
      </c>
      <c r="DA1545">
        <v>1.04</v>
      </c>
      <c r="DB1545">
        <v>-0.89</v>
      </c>
      <c r="DC1545">
        <v>0.01</v>
      </c>
      <c r="DD1545">
        <v>49</v>
      </c>
      <c r="DE1545" t="s">
        <v>8050</v>
      </c>
      <c r="DF1545">
        <v>21.49</v>
      </c>
      <c r="DG1545">
        <v>-49.73</v>
      </c>
      <c r="DH1545">
        <v>-55.86</v>
      </c>
      <c r="DI1545">
        <v>0.11</v>
      </c>
      <c r="DJ1545">
        <v>705</v>
      </c>
      <c r="DK1545">
        <v>300167</v>
      </c>
      <c r="DL1545" t="s">
        <v>120</v>
      </c>
      <c r="DM1545" t="s">
        <v>120</v>
      </c>
      <c r="DN1545" t="s">
        <v>120</v>
      </c>
    </row>
    <row r="1546" spans="1:118">
      <c r="A1546" t="str">
        <f>"300168"</f>
        <v>300168</v>
      </c>
      <c r="B1546" t="s">
        <v>8051</v>
      </c>
      <c r="C1546">
        <v>4.82</v>
      </c>
      <c r="D1546">
        <v>0</v>
      </c>
      <c r="E1546">
        <v>1.17</v>
      </c>
      <c r="F1546">
        <v>2121</v>
      </c>
      <c r="G1546" t="s">
        <v>8052</v>
      </c>
      <c r="H1546">
        <v>37331.040000000001</v>
      </c>
      <c r="I1546">
        <v>112.23</v>
      </c>
      <c r="J1546" t="s">
        <v>120</v>
      </c>
      <c r="K1546" t="s">
        <v>8053</v>
      </c>
      <c r="L1546">
        <v>2.34</v>
      </c>
      <c r="M1546">
        <v>13.49</v>
      </c>
      <c r="N1546">
        <v>1.87</v>
      </c>
      <c r="O1546">
        <v>6.22</v>
      </c>
      <c r="P1546">
        <v>13.67</v>
      </c>
      <c r="Q1546">
        <v>-0.16</v>
      </c>
      <c r="R1546">
        <v>12.85</v>
      </c>
      <c r="S1546">
        <v>13.02</v>
      </c>
      <c r="T1546">
        <v>278124</v>
      </c>
      <c r="U1546">
        <v>13.5</v>
      </c>
      <c r="V1546">
        <v>12.87</v>
      </c>
      <c r="W1546">
        <v>300.10000000000002</v>
      </c>
      <c r="X1546" t="s">
        <v>141</v>
      </c>
      <c r="Y1546" t="s">
        <v>1510</v>
      </c>
      <c r="Z1546">
        <v>6.37</v>
      </c>
      <c r="AA1546">
        <v>13.42</v>
      </c>
      <c r="AB1546">
        <v>119111</v>
      </c>
      <c r="AC1546">
        <v>159013</v>
      </c>
      <c r="AD1546">
        <v>0.75</v>
      </c>
      <c r="AE1546">
        <v>365</v>
      </c>
      <c r="AF1546">
        <v>949</v>
      </c>
      <c r="AG1546" t="s">
        <v>120</v>
      </c>
      <c r="AH1546">
        <v>0.01</v>
      </c>
      <c r="AI1546" t="s">
        <v>120</v>
      </c>
      <c r="AJ1546">
        <v>11.86</v>
      </c>
      <c r="AK1546" t="s">
        <v>8054</v>
      </c>
      <c r="AL1546">
        <v>6.73</v>
      </c>
      <c r="AM1546">
        <v>3779</v>
      </c>
      <c r="AN1546">
        <v>74</v>
      </c>
      <c r="AO1546">
        <v>5.9999999999999995E-4</v>
      </c>
      <c r="AP1546">
        <v>1</v>
      </c>
      <c r="AQ1546">
        <v>-2.87</v>
      </c>
      <c r="AR1546">
        <v>7.57</v>
      </c>
      <c r="AS1546">
        <v>8.8699999999999992</v>
      </c>
      <c r="AT1546">
        <v>-9.15</v>
      </c>
      <c r="AU1546">
        <v>-37.799999999999997</v>
      </c>
      <c r="AV1546">
        <v>0</v>
      </c>
      <c r="AW1546">
        <v>3.26</v>
      </c>
      <c r="AX1546">
        <v>71.84</v>
      </c>
      <c r="AY1546" t="s">
        <v>120</v>
      </c>
      <c r="AZ1546" t="s">
        <v>120</v>
      </c>
      <c r="BA1546">
        <v>0.38</v>
      </c>
      <c r="BB1546" t="s">
        <v>143</v>
      </c>
      <c r="BF1546">
        <v>4.29</v>
      </c>
      <c r="BG1546">
        <v>3.61</v>
      </c>
      <c r="BH1546">
        <v>-1.32</v>
      </c>
      <c r="BI1546">
        <v>4.9800000000000004</v>
      </c>
      <c r="BJ1546">
        <v>20210914</v>
      </c>
      <c r="BK1546">
        <v>20110125</v>
      </c>
      <c r="BL1546">
        <v>11.88</v>
      </c>
      <c r="BM1546" t="s">
        <v>120</v>
      </c>
      <c r="BN1546" t="s">
        <v>120</v>
      </c>
      <c r="BO1546">
        <v>68.760000000000005</v>
      </c>
      <c r="BP1546">
        <v>13.49</v>
      </c>
      <c r="BQ1546">
        <v>15.12</v>
      </c>
      <c r="BR1546">
        <v>-0.04</v>
      </c>
      <c r="BS1546">
        <v>78.069999999999993</v>
      </c>
      <c r="BT1546">
        <v>37.21</v>
      </c>
      <c r="BU1546">
        <v>3.67</v>
      </c>
      <c r="BV1546">
        <v>4.7</v>
      </c>
      <c r="BW1546">
        <v>49.2</v>
      </c>
      <c r="BX1546">
        <v>7.27</v>
      </c>
      <c r="BY1546">
        <v>9.41</v>
      </c>
      <c r="BZ1546">
        <v>7.64</v>
      </c>
      <c r="CA1546" t="s">
        <v>120</v>
      </c>
      <c r="CB1546">
        <v>22.18</v>
      </c>
      <c r="CC1546">
        <v>17.53</v>
      </c>
      <c r="CD1546">
        <v>11.45</v>
      </c>
      <c r="CE1546">
        <v>0.17</v>
      </c>
      <c r="CF1546">
        <v>0.05</v>
      </c>
      <c r="CG1546">
        <v>0.17</v>
      </c>
      <c r="CH1546">
        <v>0.14000000000000001</v>
      </c>
      <c r="CI1546">
        <v>0.27</v>
      </c>
      <c r="CJ1546">
        <v>0.62</v>
      </c>
      <c r="CK1546">
        <v>0.13</v>
      </c>
      <c r="CL1546">
        <v>-20.149999999999999</v>
      </c>
      <c r="CM1546">
        <v>-8.3000000000000007</v>
      </c>
      <c r="CN1546">
        <v>-6.31</v>
      </c>
      <c r="CO1546">
        <v>44800</v>
      </c>
      <c r="CP1546">
        <v>19044</v>
      </c>
      <c r="CQ1546" t="s">
        <v>4487</v>
      </c>
      <c r="CR1546">
        <v>112.52</v>
      </c>
      <c r="CS1546">
        <v>120.52</v>
      </c>
      <c r="CT1546">
        <v>10.6</v>
      </c>
      <c r="CU1546">
        <v>-19.3</v>
      </c>
      <c r="CV1546">
        <v>9.14</v>
      </c>
      <c r="CW1546">
        <v>0</v>
      </c>
      <c r="CX1546" t="s">
        <v>1241</v>
      </c>
      <c r="CY1546">
        <v>1.27</v>
      </c>
      <c r="CZ1546">
        <v>0</v>
      </c>
      <c r="DA1546">
        <v>1.87</v>
      </c>
      <c r="DB1546">
        <v>-1.7</v>
      </c>
      <c r="DC1546">
        <v>-0.7</v>
      </c>
      <c r="DD1546">
        <v>21.99</v>
      </c>
      <c r="DE1546" t="s">
        <v>8055</v>
      </c>
      <c r="DF1546">
        <v>34.659999999999997</v>
      </c>
      <c r="DG1546">
        <v>0.96</v>
      </c>
      <c r="DH1546">
        <v>1.52</v>
      </c>
      <c r="DI1546">
        <v>2.4700000000000002</v>
      </c>
      <c r="DJ1546">
        <v>6615</v>
      </c>
      <c r="DK1546">
        <v>300168</v>
      </c>
      <c r="DL1546" t="s">
        <v>120</v>
      </c>
      <c r="DM1546" t="s">
        <v>120</v>
      </c>
      <c r="DN1546" t="s">
        <v>120</v>
      </c>
    </row>
    <row r="1547" spans="1:118">
      <c r="A1547" t="str">
        <f>"300169"</f>
        <v>300169</v>
      </c>
      <c r="B1547" t="s">
        <v>8056</v>
      </c>
      <c r="C1547">
        <v>9.02</v>
      </c>
      <c r="D1547">
        <v>-0.13</v>
      </c>
      <c r="E1547">
        <v>0.75</v>
      </c>
      <c r="F1547">
        <v>3116</v>
      </c>
      <c r="G1547" t="s">
        <v>6170</v>
      </c>
      <c r="H1547">
        <v>23131.17</v>
      </c>
      <c r="I1547">
        <v>24.05</v>
      </c>
      <c r="J1547" t="s">
        <v>120</v>
      </c>
      <c r="K1547" t="s">
        <v>8057</v>
      </c>
      <c r="L1547">
        <v>10.52</v>
      </c>
      <c r="M1547">
        <v>7.25</v>
      </c>
      <c r="N1547">
        <v>5.39</v>
      </c>
      <c r="O1547">
        <v>19.850000000000001</v>
      </c>
      <c r="P1547">
        <v>7.97</v>
      </c>
      <c r="Q1547">
        <v>0.3</v>
      </c>
      <c r="R1547">
        <v>6.67</v>
      </c>
      <c r="S1547">
        <v>6.7</v>
      </c>
      <c r="T1547">
        <v>315563</v>
      </c>
      <c r="U1547">
        <v>7.25</v>
      </c>
      <c r="V1547">
        <v>6.65</v>
      </c>
      <c r="W1547">
        <v>370.9</v>
      </c>
      <c r="X1547" t="s">
        <v>2211</v>
      </c>
      <c r="Y1547" t="s">
        <v>319</v>
      </c>
      <c r="Z1547">
        <v>19.55</v>
      </c>
      <c r="AA1547">
        <v>7.33</v>
      </c>
      <c r="AB1547">
        <v>135157</v>
      </c>
      <c r="AC1547">
        <v>180406</v>
      </c>
      <c r="AD1547">
        <v>0.75</v>
      </c>
      <c r="AE1547">
        <v>627</v>
      </c>
      <c r="AF1547">
        <v>222</v>
      </c>
      <c r="AG1547" t="s">
        <v>120</v>
      </c>
      <c r="AH1547">
        <v>0.01</v>
      </c>
      <c r="AI1547" t="s">
        <v>120</v>
      </c>
      <c r="AJ1547">
        <v>3</v>
      </c>
      <c r="AK1547" t="s">
        <v>8058</v>
      </c>
      <c r="AL1547">
        <v>10.94</v>
      </c>
      <c r="AM1547">
        <v>2970</v>
      </c>
      <c r="AN1547">
        <v>106</v>
      </c>
      <c r="AO1547">
        <v>3.5000000000000001E-3</v>
      </c>
      <c r="AP1547">
        <v>1</v>
      </c>
      <c r="AQ1547">
        <v>-0.3</v>
      </c>
      <c r="AR1547">
        <v>8.3699999999999992</v>
      </c>
      <c r="AS1547">
        <v>4.3099999999999996</v>
      </c>
      <c r="AT1547">
        <v>-2.56</v>
      </c>
      <c r="AU1547">
        <v>13.63</v>
      </c>
      <c r="AV1547">
        <v>4</v>
      </c>
      <c r="AW1547">
        <v>13.04</v>
      </c>
      <c r="AX1547">
        <v>74.23</v>
      </c>
      <c r="AY1547" t="s">
        <v>120</v>
      </c>
      <c r="AZ1547" t="s">
        <v>120</v>
      </c>
      <c r="BA1547">
        <v>0.72</v>
      </c>
      <c r="BB1547" t="s">
        <v>134</v>
      </c>
      <c r="BF1547">
        <v>10.23</v>
      </c>
      <c r="BG1547">
        <v>8.2100000000000009</v>
      </c>
      <c r="BH1547">
        <v>-9.0299999999999994</v>
      </c>
      <c r="BI1547">
        <v>8.6999999999999993</v>
      </c>
      <c r="BJ1547">
        <v>20210826</v>
      </c>
      <c r="BK1547">
        <v>20110125</v>
      </c>
      <c r="BL1547">
        <v>3.26</v>
      </c>
      <c r="BM1547" t="s">
        <v>120</v>
      </c>
      <c r="BN1547" t="s">
        <v>120</v>
      </c>
      <c r="BO1547">
        <v>17.32</v>
      </c>
      <c r="BP1547">
        <v>7.24</v>
      </c>
      <c r="BQ1547">
        <v>6.22</v>
      </c>
      <c r="BR1547">
        <v>-0.01</v>
      </c>
      <c r="BS1547">
        <v>64.180000000000007</v>
      </c>
      <c r="BT1547">
        <v>11.47</v>
      </c>
      <c r="BU1547">
        <v>3.65</v>
      </c>
      <c r="BV1547">
        <v>1.46</v>
      </c>
      <c r="BW1547">
        <v>10.95</v>
      </c>
      <c r="BX1547">
        <v>1.07</v>
      </c>
      <c r="BY1547">
        <v>2.06</v>
      </c>
      <c r="BZ1547">
        <v>7.24</v>
      </c>
      <c r="CA1547" t="s">
        <v>120</v>
      </c>
      <c r="CB1547">
        <v>8.2899999999999991</v>
      </c>
      <c r="CC1547">
        <v>4.18</v>
      </c>
      <c r="CD1547">
        <v>3.33</v>
      </c>
      <c r="CE1547">
        <v>0.01</v>
      </c>
      <c r="CF1547">
        <v>-0.01</v>
      </c>
      <c r="CG1547">
        <v>0.01</v>
      </c>
      <c r="CH1547">
        <v>0.03</v>
      </c>
      <c r="CI1547">
        <v>0.03</v>
      </c>
      <c r="CJ1547">
        <v>0.6</v>
      </c>
      <c r="CK1547">
        <v>0.02</v>
      </c>
      <c r="CL1547">
        <v>-5.5</v>
      </c>
      <c r="CM1547">
        <v>0.59</v>
      </c>
      <c r="CN1547">
        <v>0.26</v>
      </c>
      <c r="CO1547">
        <v>10867</v>
      </c>
      <c r="CP1547">
        <v>22267</v>
      </c>
      <c r="CQ1547" t="s">
        <v>5892</v>
      </c>
      <c r="CR1547">
        <v>137.13999999999999</v>
      </c>
      <c r="CS1547">
        <v>1.23</v>
      </c>
      <c r="CT1547">
        <v>3.8</v>
      </c>
      <c r="CU1547">
        <v>40.35</v>
      </c>
      <c r="CV1547">
        <v>5.65</v>
      </c>
      <c r="CW1547">
        <v>0</v>
      </c>
      <c r="CX1547" t="s">
        <v>178</v>
      </c>
      <c r="CY1547">
        <v>1.91</v>
      </c>
      <c r="CZ1547">
        <v>0</v>
      </c>
      <c r="DA1547">
        <v>2.54</v>
      </c>
      <c r="DB1547">
        <v>-1.69</v>
      </c>
      <c r="DC1547">
        <v>0.18</v>
      </c>
      <c r="DD1547">
        <v>35.880000000000003</v>
      </c>
      <c r="DE1547" t="s">
        <v>7604</v>
      </c>
      <c r="DF1547">
        <v>20.45</v>
      </c>
      <c r="DG1547">
        <v>0.14000000000000001</v>
      </c>
      <c r="DH1547">
        <v>0.76</v>
      </c>
      <c r="DI1547">
        <v>7.0000000000000007E-2</v>
      </c>
      <c r="DJ1547">
        <v>779</v>
      </c>
      <c r="DK1547">
        <v>300169</v>
      </c>
      <c r="DL1547" t="s">
        <v>120</v>
      </c>
      <c r="DM1547" t="s">
        <v>120</v>
      </c>
      <c r="DN1547" t="s">
        <v>120</v>
      </c>
    </row>
    <row r="1548" spans="1:118">
      <c r="A1548" t="str">
        <f>"300170"</f>
        <v>300170</v>
      </c>
      <c r="B1548" t="s">
        <v>8059</v>
      </c>
      <c r="C1548">
        <v>-5.89</v>
      </c>
      <c r="D1548">
        <v>0</v>
      </c>
      <c r="E1548">
        <v>-0.51</v>
      </c>
      <c r="F1548">
        <v>2173</v>
      </c>
      <c r="G1548" t="s">
        <v>2558</v>
      </c>
      <c r="H1548">
        <v>18118.79</v>
      </c>
      <c r="I1548">
        <v>165.97</v>
      </c>
      <c r="J1548" t="s">
        <v>120</v>
      </c>
      <c r="K1548" t="s">
        <v>8060</v>
      </c>
      <c r="L1548">
        <v>2.99</v>
      </c>
      <c r="M1548">
        <v>7.35</v>
      </c>
      <c r="N1548">
        <v>1.43</v>
      </c>
      <c r="O1548">
        <v>0</v>
      </c>
      <c r="P1548">
        <v>7.81</v>
      </c>
      <c r="Q1548">
        <v>-6.15</v>
      </c>
      <c r="R1548">
        <v>7.33</v>
      </c>
      <c r="S1548">
        <v>7.77</v>
      </c>
      <c r="T1548">
        <v>240001</v>
      </c>
      <c r="U1548">
        <v>7.35</v>
      </c>
      <c r="V1548">
        <v>7.81</v>
      </c>
      <c r="W1548">
        <v>102.46</v>
      </c>
      <c r="X1548" t="s">
        <v>141</v>
      </c>
      <c r="Y1548" t="s">
        <v>1510</v>
      </c>
      <c r="Z1548">
        <v>6.15</v>
      </c>
      <c r="AA1548">
        <v>7.55</v>
      </c>
      <c r="AB1548">
        <v>138966</v>
      </c>
      <c r="AC1548">
        <v>101035</v>
      </c>
      <c r="AD1548">
        <v>1.38</v>
      </c>
      <c r="AE1548">
        <v>451</v>
      </c>
      <c r="AF1548">
        <v>1842</v>
      </c>
      <c r="AG1548" t="s">
        <v>120</v>
      </c>
      <c r="AH1548">
        <v>0.03</v>
      </c>
      <c r="AI1548" t="s">
        <v>120</v>
      </c>
      <c r="AJ1548">
        <v>8.0299999999999994</v>
      </c>
      <c r="AK1548" t="s">
        <v>8061</v>
      </c>
      <c r="AL1548">
        <v>-3.98</v>
      </c>
      <c r="AM1548">
        <v>2965</v>
      </c>
      <c r="AN1548">
        <v>81</v>
      </c>
      <c r="AO1548">
        <v>1E-3</v>
      </c>
      <c r="AP1548">
        <v>-1</v>
      </c>
      <c r="AQ1548">
        <v>2.63</v>
      </c>
      <c r="AR1548">
        <v>-6.01</v>
      </c>
      <c r="AS1548">
        <v>-3.29</v>
      </c>
      <c r="AT1548">
        <v>-1.48</v>
      </c>
      <c r="AU1548">
        <v>-6.13</v>
      </c>
      <c r="AV1548">
        <v>1</v>
      </c>
      <c r="AW1548">
        <v>3.59</v>
      </c>
      <c r="AX1548">
        <v>75.62</v>
      </c>
      <c r="AY1548">
        <v>96.07</v>
      </c>
      <c r="AZ1548">
        <v>105.07</v>
      </c>
      <c r="BA1548">
        <v>0.79</v>
      </c>
      <c r="BB1548" t="s">
        <v>143</v>
      </c>
      <c r="BF1548">
        <v>-3.34</v>
      </c>
      <c r="BG1548">
        <v>-5.41</v>
      </c>
      <c r="BH1548">
        <v>-5.89</v>
      </c>
      <c r="BI1548">
        <v>0.27</v>
      </c>
      <c r="BJ1548">
        <v>20210827</v>
      </c>
      <c r="BK1548">
        <v>20110201</v>
      </c>
      <c r="BL1548">
        <v>8.84</v>
      </c>
      <c r="BM1548" t="s">
        <v>120</v>
      </c>
      <c r="BN1548" t="s">
        <v>120</v>
      </c>
      <c r="BO1548">
        <v>49.81</v>
      </c>
      <c r="BP1548">
        <v>7.34</v>
      </c>
      <c r="BQ1548">
        <v>33.28</v>
      </c>
      <c r="BR1548">
        <v>-7.0000000000000007E-2</v>
      </c>
      <c r="BS1548">
        <v>33.33</v>
      </c>
      <c r="BT1548">
        <v>34.56</v>
      </c>
      <c r="BU1548">
        <v>2.86</v>
      </c>
      <c r="BV1548">
        <v>4.67</v>
      </c>
      <c r="BW1548">
        <v>8.27</v>
      </c>
      <c r="BX1548">
        <v>16.07</v>
      </c>
      <c r="BY1548">
        <v>2.48</v>
      </c>
      <c r="BZ1548">
        <v>11.47</v>
      </c>
      <c r="CA1548" t="s">
        <v>120</v>
      </c>
      <c r="CB1548">
        <v>9.24</v>
      </c>
      <c r="CC1548">
        <v>13.39</v>
      </c>
      <c r="CD1548">
        <v>9.7200000000000006</v>
      </c>
      <c r="CE1548">
        <v>0.22</v>
      </c>
      <c r="CF1548">
        <v>0.42</v>
      </c>
      <c r="CG1548">
        <v>0.26</v>
      </c>
      <c r="CH1548">
        <v>0.26</v>
      </c>
      <c r="CI1548">
        <v>0.32</v>
      </c>
      <c r="CJ1548">
        <v>-0.46</v>
      </c>
      <c r="CK1548">
        <v>-0.45</v>
      </c>
      <c r="CL1548">
        <v>14.06</v>
      </c>
      <c r="CM1548">
        <v>-1.51</v>
      </c>
      <c r="CN1548">
        <v>-4.34</v>
      </c>
      <c r="CO1548">
        <v>52803</v>
      </c>
      <c r="CP1548">
        <v>12660</v>
      </c>
      <c r="CQ1548" t="s">
        <v>6309</v>
      </c>
      <c r="CR1548">
        <v>24.09</v>
      </c>
      <c r="CS1548">
        <v>12.58</v>
      </c>
      <c r="CT1548">
        <v>2.06</v>
      </c>
      <c r="CU1548">
        <v>-43.1</v>
      </c>
      <c r="CV1548">
        <v>4.8499999999999996</v>
      </c>
      <c r="CW1548">
        <v>0.38</v>
      </c>
      <c r="CX1548" t="s">
        <v>145</v>
      </c>
      <c r="CY1548">
        <v>3.57</v>
      </c>
      <c r="CZ1548">
        <v>3.57</v>
      </c>
      <c r="DA1548">
        <v>1.04</v>
      </c>
      <c r="DB1548">
        <v>1.59</v>
      </c>
      <c r="DC1548">
        <v>-0.17</v>
      </c>
      <c r="DD1548">
        <v>66.81</v>
      </c>
      <c r="DE1548" t="s">
        <v>344</v>
      </c>
      <c r="DF1548">
        <v>27.43</v>
      </c>
      <c r="DG1548">
        <v>1.64</v>
      </c>
      <c r="DH1548">
        <v>2.37</v>
      </c>
      <c r="DI1548">
        <v>1.1299999999999999</v>
      </c>
      <c r="DJ1548">
        <v>8915</v>
      </c>
      <c r="DK1548">
        <v>300170</v>
      </c>
      <c r="DL1548" t="s">
        <v>120</v>
      </c>
      <c r="DM1548" t="s">
        <v>120</v>
      </c>
      <c r="DN1548" t="s">
        <v>120</v>
      </c>
    </row>
    <row r="1549" spans="1:118">
      <c r="A1549" t="str">
        <f>"300171"</f>
        <v>300171</v>
      </c>
      <c r="B1549" t="s">
        <v>8062</v>
      </c>
      <c r="C1549">
        <v>-4.93</v>
      </c>
      <c r="D1549">
        <v>0.15</v>
      </c>
      <c r="E1549">
        <v>-1.47</v>
      </c>
      <c r="F1549">
        <v>1237</v>
      </c>
      <c r="G1549" t="s">
        <v>8063</v>
      </c>
      <c r="H1549">
        <v>24403.919999999998</v>
      </c>
      <c r="I1549">
        <v>230.26</v>
      </c>
      <c r="J1549" t="s">
        <v>120</v>
      </c>
      <c r="K1549" t="s">
        <v>1197</v>
      </c>
      <c r="L1549">
        <v>1.36</v>
      </c>
      <c r="M1549">
        <v>41.3</v>
      </c>
      <c r="N1549">
        <v>0.51</v>
      </c>
      <c r="O1549">
        <v>-0.39</v>
      </c>
      <c r="P1549">
        <v>43.27</v>
      </c>
      <c r="Q1549">
        <v>-5.1100000000000003</v>
      </c>
      <c r="R1549">
        <v>41.22</v>
      </c>
      <c r="S1549">
        <v>42.8</v>
      </c>
      <c r="T1549">
        <v>58005</v>
      </c>
      <c r="U1549">
        <v>41.3</v>
      </c>
      <c r="V1549">
        <v>43.44</v>
      </c>
      <c r="W1549">
        <v>38.130000000000003</v>
      </c>
      <c r="X1549" t="s">
        <v>555</v>
      </c>
      <c r="Y1549" t="s">
        <v>1510</v>
      </c>
      <c r="Z1549">
        <v>4.72</v>
      </c>
      <c r="AA1549">
        <v>42.07</v>
      </c>
      <c r="AB1549">
        <v>30080</v>
      </c>
      <c r="AC1549">
        <v>27925</v>
      </c>
      <c r="AD1549">
        <v>1.08</v>
      </c>
      <c r="AE1549">
        <v>1</v>
      </c>
      <c r="AF1549">
        <v>19</v>
      </c>
      <c r="AG1549" t="s">
        <v>120</v>
      </c>
      <c r="AH1549">
        <v>0.02</v>
      </c>
      <c r="AI1549" t="s">
        <v>120</v>
      </c>
      <c r="AJ1549">
        <v>4.28</v>
      </c>
      <c r="AK1549" t="s">
        <v>8064</v>
      </c>
      <c r="AL1549">
        <v>-3.01</v>
      </c>
      <c r="AM1549">
        <v>3880</v>
      </c>
      <c r="AN1549">
        <v>15</v>
      </c>
      <c r="AO1549">
        <v>2.9999999999999997E-4</v>
      </c>
      <c r="AP1549">
        <v>-1</v>
      </c>
      <c r="AQ1549">
        <v>1.4</v>
      </c>
      <c r="AR1549">
        <v>-4.7300000000000004</v>
      </c>
      <c r="AS1549">
        <v>-30.02</v>
      </c>
      <c r="AT1549">
        <v>0.88</v>
      </c>
      <c r="AU1549">
        <v>159.26</v>
      </c>
      <c r="AV1549">
        <v>0</v>
      </c>
      <c r="AW1549">
        <v>2.44</v>
      </c>
      <c r="AX1549">
        <v>37.78</v>
      </c>
      <c r="AY1549">
        <v>43.21</v>
      </c>
      <c r="AZ1549">
        <v>58.89</v>
      </c>
      <c r="BA1549">
        <v>1.66</v>
      </c>
      <c r="BB1549" t="s">
        <v>2725</v>
      </c>
      <c r="BF1549">
        <v>-3.15</v>
      </c>
      <c r="BG1549">
        <v>-3.5</v>
      </c>
      <c r="BH1549">
        <v>-4.55</v>
      </c>
      <c r="BI1549">
        <v>0.19</v>
      </c>
      <c r="BJ1549">
        <v>20210823</v>
      </c>
      <c r="BK1549">
        <v>20110201</v>
      </c>
      <c r="BL1549">
        <v>6.28</v>
      </c>
      <c r="BM1549" t="s">
        <v>120</v>
      </c>
      <c r="BN1549" t="s">
        <v>120</v>
      </c>
      <c r="BO1549">
        <v>78.95</v>
      </c>
      <c r="BP1549">
        <v>41.29</v>
      </c>
      <c r="BQ1549">
        <v>37.729999999999997</v>
      </c>
      <c r="BR1549">
        <v>1.37</v>
      </c>
      <c r="BS1549">
        <v>50.48</v>
      </c>
      <c r="BT1549">
        <v>70.3</v>
      </c>
      <c r="BU1549">
        <v>3.24</v>
      </c>
      <c r="BV1549">
        <v>0.9</v>
      </c>
      <c r="BW1549">
        <v>39.28</v>
      </c>
      <c r="BX1549">
        <v>23.9</v>
      </c>
      <c r="BY1549">
        <v>22.49</v>
      </c>
      <c r="BZ1549">
        <v>7.57</v>
      </c>
      <c r="CA1549" t="s">
        <v>120</v>
      </c>
      <c r="CB1549">
        <v>10.77</v>
      </c>
      <c r="CC1549">
        <v>18.100000000000001</v>
      </c>
      <c r="CD1549">
        <v>9.93</v>
      </c>
      <c r="CE1549">
        <v>4.4400000000000004</v>
      </c>
      <c r="CF1549">
        <v>-0.01</v>
      </c>
      <c r="CG1549">
        <v>4.47</v>
      </c>
      <c r="CH1549">
        <v>3.83</v>
      </c>
      <c r="CI1549">
        <v>3.4</v>
      </c>
      <c r="CJ1549">
        <v>-2.14</v>
      </c>
      <c r="CK1549">
        <v>3.06</v>
      </c>
      <c r="CL1549">
        <v>17.28</v>
      </c>
      <c r="CM1549">
        <v>5.96</v>
      </c>
      <c r="CN1549">
        <v>6.36</v>
      </c>
      <c r="CO1549">
        <v>15948</v>
      </c>
      <c r="CP1549">
        <v>14887</v>
      </c>
      <c r="CQ1549" t="s">
        <v>8065</v>
      </c>
      <c r="CR1549">
        <v>97.74</v>
      </c>
      <c r="CS1549">
        <v>52.22</v>
      </c>
      <c r="CT1549">
        <v>6.88</v>
      </c>
      <c r="CU1549">
        <v>43.58</v>
      </c>
      <c r="CV1549">
        <v>14.34</v>
      </c>
      <c r="CW1549">
        <v>0.51</v>
      </c>
      <c r="CX1549" t="s">
        <v>8066</v>
      </c>
      <c r="CY1549">
        <v>6</v>
      </c>
      <c r="CZ1549">
        <v>0</v>
      </c>
      <c r="DA1549">
        <v>1.71</v>
      </c>
      <c r="DB1549">
        <v>2.75</v>
      </c>
      <c r="DC1549">
        <v>0.95</v>
      </c>
      <c r="DD1549">
        <v>47.78</v>
      </c>
      <c r="DE1549" t="s">
        <v>8067</v>
      </c>
      <c r="DF1549">
        <v>45.12</v>
      </c>
      <c r="DG1549">
        <v>24.54</v>
      </c>
      <c r="DH1549">
        <v>18.8</v>
      </c>
      <c r="DI1549">
        <v>0.99</v>
      </c>
      <c r="DJ1549">
        <v>2661</v>
      </c>
      <c r="DK1549">
        <v>300171</v>
      </c>
      <c r="DL1549" t="s">
        <v>120</v>
      </c>
      <c r="DM1549" t="s">
        <v>120</v>
      </c>
      <c r="DN1549" t="s">
        <v>120</v>
      </c>
    </row>
    <row r="1550" spans="1:118">
      <c r="A1550" t="str">
        <f>"300172"</f>
        <v>300172</v>
      </c>
      <c r="B1550" t="s">
        <v>8068</v>
      </c>
      <c r="C1550">
        <v>-2.83</v>
      </c>
      <c r="D1550">
        <v>0.39</v>
      </c>
      <c r="E1550">
        <v>0.19</v>
      </c>
      <c r="F1550">
        <v>2955</v>
      </c>
      <c r="G1550" t="s">
        <v>8069</v>
      </c>
      <c r="H1550">
        <v>12224.61</v>
      </c>
      <c r="I1550">
        <v>27.45</v>
      </c>
      <c r="J1550" t="s">
        <v>120</v>
      </c>
      <c r="K1550" t="s">
        <v>8070</v>
      </c>
      <c r="L1550">
        <v>4.7300000000000004</v>
      </c>
      <c r="M1550">
        <v>5.15</v>
      </c>
      <c r="N1550">
        <v>0.74</v>
      </c>
      <c r="O1550">
        <v>0.75</v>
      </c>
      <c r="P1550">
        <v>5.34</v>
      </c>
      <c r="Q1550">
        <v>-3.4</v>
      </c>
      <c r="R1550">
        <v>5.12</v>
      </c>
      <c r="S1550">
        <v>5.31</v>
      </c>
      <c r="T1550">
        <v>234812</v>
      </c>
      <c r="U1550">
        <v>5.15</v>
      </c>
      <c r="V1550">
        <v>5.3</v>
      </c>
      <c r="W1550">
        <v>28.4</v>
      </c>
      <c r="X1550" t="s">
        <v>318</v>
      </c>
      <c r="Y1550" t="s">
        <v>319</v>
      </c>
      <c r="Z1550">
        <v>4.1500000000000004</v>
      </c>
      <c r="AA1550">
        <v>5.21</v>
      </c>
      <c r="AB1550">
        <v>135000</v>
      </c>
      <c r="AC1550">
        <v>99812</v>
      </c>
      <c r="AD1550">
        <v>1.35</v>
      </c>
      <c r="AE1550">
        <v>284</v>
      </c>
      <c r="AF1550">
        <v>14</v>
      </c>
      <c r="AG1550" t="s">
        <v>120</v>
      </c>
      <c r="AH1550">
        <v>0.01</v>
      </c>
      <c r="AI1550" t="s">
        <v>120</v>
      </c>
      <c r="AJ1550">
        <v>4.96</v>
      </c>
      <c r="AK1550" t="s">
        <v>8071</v>
      </c>
      <c r="AL1550">
        <v>-0.92</v>
      </c>
      <c r="AM1550">
        <v>2556</v>
      </c>
      <c r="AN1550">
        <v>92</v>
      </c>
      <c r="AO1550">
        <v>1.9E-3</v>
      </c>
      <c r="AP1550">
        <v>-1</v>
      </c>
      <c r="AQ1550">
        <v>0.38</v>
      </c>
      <c r="AR1550">
        <v>-3.91</v>
      </c>
      <c r="AS1550">
        <v>6.19</v>
      </c>
      <c r="AT1550">
        <v>5.0999999999999996</v>
      </c>
      <c r="AU1550">
        <v>15.43</v>
      </c>
      <c r="AV1550">
        <v>1</v>
      </c>
      <c r="AW1550">
        <v>5.24</v>
      </c>
      <c r="AX1550">
        <v>66.239999999999995</v>
      </c>
      <c r="AY1550">
        <v>21.53</v>
      </c>
      <c r="AZ1550">
        <v>20.260000000000002</v>
      </c>
      <c r="BA1550">
        <v>0.01</v>
      </c>
      <c r="BB1550" t="s">
        <v>184</v>
      </c>
      <c r="BF1550">
        <v>-1.77</v>
      </c>
      <c r="BG1550">
        <v>-3.01</v>
      </c>
      <c r="BH1550">
        <v>-3.56</v>
      </c>
      <c r="BI1550">
        <v>0.59</v>
      </c>
      <c r="BJ1550">
        <v>20210910</v>
      </c>
      <c r="BK1550">
        <v>20110201</v>
      </c>
      <c r="BL1550">
        <v>6.77</v>
      </c>
      <c r="BM1550" t="s">
        <v>120</v>
      </c>
      <c r="BN1550" t="s">
        <v>120</v>
      </c>
      <c r="BO1550">
        <v>27.24</v>
      </c>
      <c r="BP1550">
        <v>5.14</v>
      </c>
      <c r="BQ1550">
        <v>16.899999999999999</v>
      </c>
      <c r="BR1550">
        <v>0.61</v>
      </c>
      <c r="BS1550">
        <v>35.74</v>
      </c>
      <c r="BT1550">
        <v>16.3</v>
      </c>
      <c r="BU1550">
        <v>1.03</v>
      </c>
      <c r="BV1550">
        <v>6.63</v>
      </c>
      <c r="BW1550">
        <v>6.08</v>
      </c>
      <c r="BX1550">
        <v>1.1399999999999999</v>
      </c>
      <c r="BY1550">
        <v>0.43</v>
      </c>
      <c r="BZ1550">
        <v>6.42</v>
      </c>
      <c r="CA1550">
        <v>0.01</v>
      </c>
      <c r="CB1550">
        <v>0.44</v>
      </c>
      <c r="CC1550">
        <v>4.09</v>
      </c>
      <c r="CD1550">
        <v>2.79</v>
      </c>
      <c r="CE1550">
        <v>0.73</v>
      </c>
      <c r="CF1550">
        <v>0.04</v>
      </c>
      <c r="CG1550">
        <v>0.73</v>
      </c>
      <c r="CH1550">
        <v>0.63</v>
      </c>
      <c r="CI1550">
        <v>0.61</v>
      </c>
      <c r="CJ1550">
        <v>-0.15</v>
      </c>
      <c r="CK1550">
        <v>0.43</v>
      </c>
      <c r="CL1550">
        <v>8.81</v>
      </c>
      <c r="CM1550">
        <v>0.35</v>
      </c>
      <c r="CN1550">
        <v>-0.18</v>
      </c>
      <c r="CO1550">
        <v>39943</v>
      </c>
      <c r="CP1550">
        <v>11223</v>
      </c>
      <c r="CQ1550" t="s">
        <v>5560</v>
      </c>
      <c r="CR1550">
        <v>-14.53</v>
      </c>
      <c r="CS1550">
        <v>2.95</v>
      </c>
      <c r="CT1550">
        <v>2.06</v>
      </c>
      <c r="CU1550">
        <v>99.98</v>
      </c>
      <c r="CV1550">
        <v>8.52</v>
      </c>
      <c r="CW1550">
        <v>0.73</v>
      </c>
      <c r="CX1550" t="s">
        <v>1147</v>
      </c>
      <c r="CY1550">
        <v>2.5</v>
      </c>
      <c r="CZ1550">
        <v>0</v>
      </c>
      <c r="DA1550">
        <v>0.06</v>
      </c>
      <c r="DB1550">
        <v>1.3</v>
      </c>
      <c r="DC1550">
        <v>0.05</v>
      </c>
      <c r="DD1550">
        <v>62.02</v>
      </c>
      <c r="DE1550" t="s">
        <v>8072</v>
      </c>
      <c r="DF1550">
        <v>31.89</v>
      </c>
      <c r="DG1550">
        <v>17.809999999999999</v>
      </c>
      <c r="DH1550">
        <v>15.01</v>
      </c>
      <c r="DI1550">
        <v>0.16</v>
      </c>
      <c r="DJ1550">
        <v>577</v>
      </c>
      <c r="DK1550">
        <v>300172</v>
      </c>
      <c r="DL1550" t="s">
        <v>120</v>
      </c>
      <c r="DM1550" t="s">
        <v>120</v>
      </c>
      <c r="DN1550" t="s">
        <v>120</v>
      </c>
    </row>
    <row r="1551" spans="1:118">
      <c r="A1551" t="str">
        <f>"300173"</f>
        <v>300173</v>
      </c>
      <c r="B1551" t="s">
        <v>8073</v>
      </c>
      <c r="C1551">
        <v>-4.95</v>
      </c>
      <c r="D1551">
        <v>-0.26</v>
      </c>
      <c r="E1551">
        <v>0.91</v>
      </c>
      <c r="F1551">
        <v>3670</v>
      </c>
      <c r="G1551" t="s">
        <v>7791</v>
      </c>
      <c r="H1551">
        <v>23494.92</v>
      </c>
      <c r="I1551">
        <v>97.96</v>
      </c>
      <c r="J1551" t="s">
        <v>120</v>
      </c>
      <c r="K1551" t="s">
        <v>8074</v>
      </c>
      <c r="L1551">
        <v>4.72</v>
      </c>
      <c r="M1551">
        <v>7.3</v>
      </c>
      <c r="N1551">
        <v>1.03</v>
      </c>
      <c r="O1551">
        <v>1.82</v>
      </c>
      <c r="P1551">
        <v>7.82</v>
      </c>
      <c r="Q1551">
        <v>-4.95</v>
      </c>
      <c r="R1551">
        <v>7.3</v>
      </c>
      <c r="S1551">
        <v>7.75</v>
      </c>
      <c r="T1551">
        <v>313006</v>
      </c>
      <c r="U1551">
        <v>7.31</v>
      </c>
      <c r="V1551">
        <v>7.68</v>
      </c>
      <c r="W1551">
        <v>104.6</v>
      </c>
      <c r="X1551" t="s">
        <v>348</v>
      </c>
      <c r="Y1551" t="s">
        <v>547</v>
      </c>
      <c r="Z1551">
        <v>6.77</v>
      </c>
      <c r="AA1551">
        <v>7.51</v>
      </c>
      <c r="AB1551">
        <v>191999</v>
      </c>
      <c r="AC1551">
        <v>121007</v>
      </c>
      <c r="AD1551">
        <v>1.59</v>
      </c>
      <c r="AE1551">
        <v>915</v>
      </c>
      <c r="AF1551">
        <v>600</v>
      </c>
      <c r="AG1551" t="s">
        <v>120</v>
      </c>
      <c r="AH1551">
        <v>0.03</v>
      </c>
      <c r="AI1551" t="s">
        <v>120</v>
      </c>
      <c r="AJ1551">
        <v>6.64</v>
      </c>
      <c r="AK1551" t="s">
        <v>8075</v>
      </c>
      <c r="AL1551">
        <v>-3.03</v>
      </c>
      <c r="AM1551">
        <v>3393</v>
      </c>
      <c r="AN1551">
        <v>92</v>
      </c>
      <c r="AO1551">
        <v>1.4E-3</v>
      </c>
      <c r="AP1551">
        <v>-1</v>
      </c>
      <c r="AQ1551">
        <v>3.92</v>
      </c>
      <c r="AR1551">
        <v>0.41</v>
      </c>
      <c r="AS1551">
        <v>-9.09</v>
      </c>
      <c r="AT1551">
        <v>20.86</v>
      </c>
      <c r="AU1551">
        <v>1.25</v>
      </c>
      <c r="AV1551">
        <v>1</v>
      </c>
      <c r="AW1551">
        <v>6.89</v>
      </c>
      <c r="AX1551">
        <v>61.83</v>
      </c>
      <c r="AY1551">
        <v>163.53</v>
      </c>
      <c r="AZ1551">
        <v>486.84</v>
      </c>
      <c r="BA1551">
        <v>0.99</v>
      </c>
      <c r="BB1551" t="s">
        <v>143</v>
      </c>
      <c r="BF1551">
        <v>-2.2599999999999998</v>
      </c>
      <c r="BG1551">
        <v>-5.81</v>
      </c>
      <c r="BH1551">
        <v>-6.65</v>
      </c>
      <c r="BI1551">
        <v>0</v>
      </c>
      <c r="BJ1551">
        <v>20210907</v>
      </c>
      <c r="BK1551">
        <v>20110201</v>
      </c>
      <c r="BL1551">
        <v>7.35</v>
      </c>
      <c r="BM1551" t="s">
        <v>120</v>
      </c>
      <c r="BN1551" t="s">
        <v>120</v>
      </c>
      <c r="BO1551">
        <v>41.19</v>
      </c>
      <c r="BP1551">
        <v>7.3</v>
      </c>
      <c r="BQ1551">
        <v>15.4</v>
      </c>
      <c r="BR1551">
        <v>0.83</v>
      </c>
      <c r="BS1551">
        <v>60.59</v>
      </c>
      <c r="BT1551">
        <v>31.47</v>
      </c>
      <c r="BU1551">
        <v>1.48</v>
      </c>
      <c r="BV1551">
        <v>1.27</v>
      </c>
      <c r="BW1551">
        <v>24.57</v>
      </c>
      <c r="BX1551">
        <v>2.39</v>
      </c>
      <c r="BY1551">
        <v>15.31</v>
      </c>
      <c r="BZ1551">
        <v>3.89</v>
      </c>
      <c r="CA1551">
        <v>0.75</v>
      </c>
      <c r="CB1551">
        <v>14.99</v>
      </c>
      <c r="CC1551">
        <v>7.91</v>
      </c>
      <c r="CD1551">
        <v>5.95</v>
      </c>
      <c r="CE1551">
        <v>0.44</v>
      </c>
      <c r="CF1551">
        <v>-0.11</v>
      </c>
      <c r="CG1551">
        <v>0.46</v>
      </c>
      <c r="CH1551">
        <v>0.35</v>
      </c>
      <c r="CI1551">
        <v>0.26</v>
      </c>
      <c r="CJ1551">
        <v>-0.38</v>
      </c>
      <c r="CK1551">
        <v>0.2</v>
      </c>
      <c r="CL1551">
        <v>-7.11</v>
      </c>
      <c r="CM1551">
        <v>-1.77</v>
      </c>
      <c r="CN1551">
        <v>-0.53</v>
      </c>
      <c r="CO1551">
        <v>44070</v>
      </c>
      <c r="CP1551">
        <v>10308</v>
      </c>
      <c r="CQ1551" t="s">
        <v>1015</v>
      </c>
      <c r="CR1551">
        <v>841.58</v>
      </c>
      <c r="CS1551">
        <v>256.88</v>
      </c>
      <c r="CT1551">
        <v>3.48</v>
      </c>
      <c r="CU1551">
        <v>-30.23</v>
      </c>
      <c r="CV1551">
        <v>6.78</v>
      </c>
      <c r="CW1551">
        <v>0</v>
      </c>
      <c r="CX1551" t="s">
        <v>208</v>
      </c>
      <c r="CY1551">
        <v>2.1</v>
      </c>
      <c r="CZ1551">
        <v>0</v>
      </c>
      <c r="DA1551">
        <v>2.04</v>
      </c>
      <c r="DB1551">
        <v>-0.97</v>
      </c>
      <c r="DC1551">
        <v>-0.24</v>
      </c>
      <c r="DD1551">
        <v>37.39</v>
      </c>
      <c r="DE1551" t="s">
        <v>2405</v>
      </c>
      <c r="DF1551">
        <v>24.78</v>
      </c>
      <c r="DG1551">
        <v>5.55</v>
      </c>
      <c r="DH1551">
        <v>3.24</v>
      </c>
      <c r="DI1551">
        <v>0.41</v>
      </c>
      <c r="DJ1551">
        <v>1635</v>
      </c>
      <c r="DK1551">
        <v>300173</v>
      </c>
      <c r="DL1551" t="s">
        <v>120</v>
      </c>
      <c r="DM1551" t="s">
        <v>120</v>
      </c>
      <c r="DN1551" t="s">
        <v>120</v>
      </c>
    </row>
    <row r="1552" spans="1:118">
      <c r="A1552" t="str">
        <f>"300174"</f>
        <v>300174</v>
      </c>
      <c r="B1552" t="s">
        <v>8076</v>
      </c>
      <c r="C1552">
        <v>-1.92</v>
      </c>
      <c r="D1552">
        <v>0</v>
      </c>
      <c r="E1552">
        <v>0.31</v>
      </c>
      <c r="F1552">
        <v>467</v>
      </c>
      <c r="G1552" t="s">
        <v>7138</v>
      </c>
      <c r="H1552">
        <v>5970.95</v>
      </c>
      <c r="I1552">
        <v>19.440000000000001</v>
      </c>
      <c r="J1552" t="s">
        <v>120</v>
      </c>
      <c r="K1552" t="s">
        <v>6288</v>
      </c>
      <c r="L1552">
        <v>1.2</v>
      </c>
      <c r="M1552">
        <v>15.84</v>
      </c>
      <c r="N1552">
        <v>0.89</v>
      </c>
      <c r="O1552">
        <v>2.17</v>
      </c>
      <c r="P1552">
        <v>16.5</v>
      </c>
      <c r="Q1552">
        <v>-2.04</v>
      </c>
      <c r="R1552">
        <v>15.82</v>
      </c>
      <c r="S1552">
        <v>16.2</v>
      </c>
      <c r="T1552">
        <v>37002</v>
      </c>
      <c r="U1552">
        <v>15.86</v>
      </c>
      <c r="V1552">
        <v>16.149999999999999</v>
      </c>
      <c r="W1552">
        <v>43.9</v>
      </c>
      <c r="X1552" t="s">
        <v>868</v>
      </c>
      <c r="Y1552" t="s">
        <v>937</v>
      </c>
      <c r="Z1552">
        <v>4.21</v>
      </c>
      <c r="AA1552">
        <v>16.14</v>
      </c>
      <c r="AB1552">
        <v>25071</v>
      </c>
      <c r="AC1552">
        <v>11931</v>
      </c>
      <c r="AD1552">
        <v>2.1</v>
      </c>
      <c r="AE1552">
        <v>289</v>
      </c>
      <c r="AF1552">
        <v>35</v>
      </c>
      <c r="AG1552" t="s">
        <v>120</v>
      </c>
      <c r="AH1552">
        <v>0.01</v>
      </c>
      <c r="AI1552" t="s">
        <v>120</v>
      </c>
      <c r="AJ1552">
        <v>3.1</v>
      </c>
      <c r="AK1552" t="s">
        <v>8077</v>
      </c>
      <c r="AL1552">
        <v>-0.01</v>
      </c>
      <c r="AM1552">
        <v>1478</v>
      </c>
      <c r="AN1552">
        <v>25</v>
      </c>
      <c r="AO1552">
        <v>8.0000000000000004E-4</v>
      </c>
      <c r="AP1552">
        <v>-3</v>
      </c>
      <c r="AQ1552">
        <v>-1.7</v>
      </c>
      <c r="AR1552">
        <v>-5.49</v>
      </c>
      <c r="AS1552">
        <v>-0.81</v>
      </c>
      <c r="AT1552">
        <v>5.25</v>
      </c>
      <c r="AU1552">
        <v>-5.15</v>
      </c>
      <c r="AV1552">
        <v>0</v>
      </c>
      <c r="AW1552">
        <v>1.89</v>
      </c>
      <c r="AX1552">
        <v>62.75</v>
      </c>
      <c r="AY1552">
        <v>40.770000000000003</v>
      </c>
      <c r="AZ1552">
        <v>40.020000000000003</v>
      </c>
      <c r="BA1552">
        <v>0.77</v>
      </c>
      <c r="BB1552" t="s">
        <v>134</v>
      </c>
      <c r="BF1552">
        <v>-0.08</v>
      </c>
      <c r="BG1552">
        <v>-2.2200000000000002</v>
      </c>
      <c r="BH1552">
        <v>-4</v>
      </c>
      <c r="BI1552">
        <v>0.13</v>
      </c>
      <c r="BJ1552">
        <v>20210809</v>
      </c>
      <c r="BK1552">
        <v>20110201</v>
      </c>
      <c r="BL1552">
        <v>3.12</v>
      </c>
      <c r="BM1552" t="s">
        <v>120</v>
      </c>
      <c r="BN1552" t="s">
        <v>120</v>
      </c>
      <c r="BO1552">
        <v>20.7</v>
      </c>
      <c r="BP1552">
        <v>15.84</v>
      </c>
      <c r="BQ1552">
        <v>17.190000000000001</v>
      </c>
      <c r="BR1552">
        <v>1.94</v>
      </c>
      <c r="BS1552">
        <v>7.61</v>
      </c>
      <c r="BT1552">
        <v>10.07</v>
      </c>
      <c r="BU1552">
        <v>6.97</v>
      </c>
      <c r="BV1552">
        <v>1.1499999999999999</v>
      </c>
      <c r="BW1552">
        <v>1.4</v>
      </c>
      <c r="BX1552">
        <v>5.86</v>
      </c>
      <c r="BY1552">
        <v>1.48</v>
      </c>
      <c r="BZ1552">
        <v>1.42</v>
      </c>
      <c r="CA1552" t="s">
        <v>120</v>
      </c>
      <c r="CB1552">
        <v>9.74</v>
      </c>
      <c r="CC1552">
        <v>6.92</v>
      </c>
      <c r="CD1552">
        <v>5.45</v>
      </c>
      <c r="CE1552">
        <v>0.72</v>
      </c>
      <c r="CF1552">
        <v>0.13</v>
      </c>
      <c r="CG1552">
        <v>0.72</v>
      </c>
      <c r="CH1552">
        <v>0.71</v>
      </c>
      <c r="CI1552">
        <v>0.56000000000000005</v>
      </c>
      <c r="CJ1552">
        <v>-0.31</v>
      </c>
      <c r="CK1552">
        <v>0.54</v>
      </c>
      <c r="CL1552">
        <v>4.03</v>
      </c>
      <c r="CM1552">
        <v>1.08</v>
      </c>
      <c r="CN1552">
        <v>0.65</v>
      </c>
      <c r="CO1552">
        <v>7943</v>
      </c>
      <c r="CP1552">
        <v>24668</v>
      </c>
      <c r="CQ1552" t="s">
        <v>1952</v>
      </c>
      <c r="CR1552">
        <v>-3.94</v>
      </c>
      <c r="CS1552">
        <v>31.17</v>
      </c>
      <c r="CT1552">
        <v>2.86</v>
      </c>
      <c r="CU1552">
        <v>45.76</v>
      </c>
      <c r="CV1552">
        <v>7.15</v>
      </c>
      <c r="CW1552">
        <v>0.61</v>
      </c>
      <c r="CX1552" t="s">
        <v>242</v>
      </c>
      <c r="CY1552">
        <v>5.55</v>
      </c>
      <c r="CZ1552">
        <v>5.55</v>
      </c>
      <c r="DA1552">
        <v>3.12</v>
      </c>
      <c r="DB1552">
        <v>1.29</v>
      </c>
      <c r="DC1552">
        <v>0.35</v>
      </c>
      <c r="DD1552">
        <v>83.02</v>
      </c>
      <c r="DE1552" t="s">
        <v>2930</v>
      </c>
      <c r="DF1552">
        <v>21.22</v>
      </c>
      <c r="DG1552">
        <v>10.46</v>
      </c>
      <c r="DH1552">
        <v>8.14</v>
      </c>
      <c r="DI1552">
        <v>0.22</v>
      </c>
      <c r="DJ1552">
        <v>1748</v>
      </c>
      <c r="DK1552">
        <v>300174</v>
      </c>
      <c r="DL1552" t="s">
        <v>120</v>
      </c>
      <c r="DM1552" t="s">
        <v>120</v>
      </c>
      <c r="DN1552" t="s">
        <v>120</v>
      </c>
    </row>
    <row r="1553" spans="1:118">
      <c r="A1553" t="str">
        <f>"300175"</f>
        <v>300175</v>
      </c>
      <c r="B1553" t="s">
        <v>8078</v>
      </c>
      <c r="C1553">
        <v>0.21</v>
      </c>
      <c r="D1553">
        <v>0</v>
      </c>
      <c r="E1553">
        <v>0</v>
      </c>
      <c r="F1553">
        <v>1240</v>
      </c>
      <c r="G1553" t="s">
        <v>8079</v>
      </c>
      <c r="H1553">
        <v>6093.45</v>
      </c>
      <c r="I1553">
        <v>10.01</v>
      </c>
      <c r="J1553" t="s">
        <v>120</v>
      </c>
      <c r="K1553" t="s">
        <v>8080</v>
      </c>
      <c r="L1553">
        <v>2.72</v>
      </c>
      <c r="M1553">
        <v>4.71</v>
      </c>
      <c r="N1553">
        <v>1.33</v>
      </c>
      <c r="O1553">
        <v>3.19</v>
      </c>
      <c r="P1553">
        <v>4.8499999999999996</v>
      </c>
      <c r="Q1553">
        <v>-0.21</v>
      </c>
      <c r="R1553">
        <v>4.6900000000000004</v>
      </c>
      <c r="S1553">
        <v>4.7</v>
      </c>
      <c r="T1553">
        <v>127843</v>
      </c>
      <c r="U1553">
        <v>4.72</v>
      </c>
      <c r="V1553">
        <v>4.7</v>
      </c>
      <c r="W1553" t="s">
        <v>120</v>
      </c>
      <c r="X1553" t="s">
        <v>847</v>
      </c>
      <c r="Y1553" t="s">
        <v>638</v>
      </c>
      <c r="Z1553">
        <v>3.4</v>
      </c>
      <c r="AA1553">
        <v>4.7699999999999996</v>
      </c>
      <c r="AB1553">
        <v>54858</v>
      </c>
      <c r="AC1553">
        <v>72985</v>
      </c>
      <c r="AD1553">
        <v>0.75</v>
      </c>
      <c r="AE1553">
        <v>184</v>
      </c>
      <c r="AF1553">
        <v>632</v>
      </c>
      <c r="AG1553" t="s">
        <v>120</v>
      </c>
      <c r="AH1553">
        <v>0.01</v>
      </c>
      <c r="AI1553" t="s">
        <v>120</v>
      </c>
      <c r="AJ1553">
        <v>4.71</v>
      </c>
      <c r="AK1553" t="s">
        <v>8080</v>
      </c>
      <c r="AL1553">
        <v>2.13</v>
      </c>
      <c r="AM1553">
        <v>1836</v>
      </c>
      <c r="AN1553">
        <v>70</v>
      </c>
      <c r="AO1553">
        <v>1.5E-3</v>
      </c>
      <c r="AP1553">
        <v>3</v>
      </c>
      <c r="AQ1553">
        <v>1.08</v>
      </c>
      <c r="AR1553">
        <v>1.73</v>
      </c>
      <c r="AS1553">
        <v>9.0299999999999994</v>
      </c>
      <c r="AT1553">
        <v>-2.68</v>
      </c>
      <c r="AU1553">
        <v>3.97</v>
      </c>
      <c r="AV1553">
        <v>0</v>
      </c>
      <c r="AW1553">
        <v>3.57</v>
      </c>
      <c r="AX1553">
        <v>76.05</v>
      </c>
      <c r="AY1553" t="s">
        <v>120</v>
      </c>
      <c r="AZ1553" t="s">
        <v>120</v>
      </c>
      <c r="BA1553">
        <v>0.7</v>
      </c>
      <c r="BB1553" t="s">
        <v>184</v>
      </c>
      <c r="BF1553">
        <v>1.41</v>
      </c>
      <c r="BG1553">
        <v>0.21</v>
      </c>
      <c r="BH1553">
        <v>-2.89</v>
      </c>
      <c r="BI1553">
        <v>0.43</v>
      </c>
      <c r="BJ1553">
        <v>20210830</v>
      </c>
      <c r="BK1553">
        <v>20110215</v>
      </c>
      <c r="BL1553">
        <v>4.71</v>
      </c>
      <c r="BM1553" t="s">
        <v>120</v>
      </c>
      <c r="BN1553" t="s">
        <v>120</v>
      </c>
      <c r="BO1553">
        <v>9.25</v>
      </c>
      <c r="BP1553">
        <v>4.71</v>
      </c>
      <c r="BQ1553">
        <v>6.12</v>
      </c>
      <c r="BR1553">
        <v>0.05</v>
      </c>
      <c r="BS1553">
        <v>33.25</v>
      </c>
      <c r="BT1553">
        <v>4.83</v>
      </c>
      <c r="BU1553">
        <v>3.2</v>
      </c>
      <c r="BV1553">
        <v>0.21</v>
      </c>
      <c r="BW1553">
        <v>2.9</v>
      </c>
      <c r="BX1553">
        <v>0.36</v>
      </c>
      <c r="BY1553">
        <v>2.0499999999999998</v>
      </c>
      <c r="BZ1553">
        <v>1.18</v>
      </c>
      <c r="CA1553" t="s">
        <v>120</v>
      </c>
      <c r="CB1553">
        <v>0.62</v>
      </c>
      <c r="CC1553">
        <v>1.0900000000000001</v>
      </c>
      <c r="CD1553">
        <v>0.88</v>
      </c>
      <c r="CE1553">
        <v>-0.27</v>
      </c>
      <c r="CF1553">
        <v>0.03</v>
      </c>
      <c r="CG1553">
        <v>-0.36</v>
      </c>
      <c r="CH1553">
        <v>-0.38</v>
      </c>
      <c r="CI1553">
        <v>-0.25</v>
      </c>
      <c r="CJ1553">
        <v>0.01</v>
      </c>
      <c r="CK1553">
        <v>-0.21</v>
      </c>
      <c r="CL1553">
        <v>0.32</v>
      </c>
      <c r="CM1553">
        <v>0.12</v>
      </c>
      <c r="CN1553">
        <v>0.08</v>
      </c>
      <c r="CO1553">
        <v>22651</v>
      </c>
      <c r="CP1553">
        <v>15807</v>
      </c>
      <c r="CQ1553" t="s">
        <v>8081</v>
      </c>
      <c r="CR1553">
        <v>-886.1</v>
      </c>
      <c r="CS1553">
        <v>-7.66</v>
      </c>
      <c r="CT1553">
        <v>3.62</v>
      </c>
      <c r="CU1553">
        <v>187.47</v>
      </c>
      <c r="CV1553">
        <v>20.29</v>
      </c>
      <c r="CW1553">
        <v>0</v>
      </c>
      <c r="CX1553" t="s">
        <v>7715</v>
      </c>
      <c r="CY1553">
        <v>1.3</v>
      </c>
      <c r="CZ1553">
        <v>0</v>
      </c>
      <c r="DA1553">
        <v>0.13</v>
      </c>
      <c r="DB1553">
        <v>7.0000000000000007E-2</v>
      </c>
      <c r="DC1553">
        <v>0.03</v>
      </c>
      <c r="DD1553">
        <v>66.180000000000007</v>
      </c>
      <c r="DE1553" t="s">
        <v>8082</v>
      </c>
      <c r="DF1553">
        <v>19.809999999999999</v>
      </c>
      <c r="DG1553">
        <v>-24.83</v>
      </c>
      <c r="DH1553">
        <v>-23.12</v>
      </c>
      <c r="DI1553" t="s">
        <v>120</v>
      </c>
      <c r="DJ1553">
        <v>315</v>
      </c>
      <c r="DK1553">
        <v>300175</v>
      </c>
      <c r="DL1553" t="s">
        <v>120</v>
      </c>
      <c r="DM1553" t="s">
        <v>120</v>
      </c>
      <c r="DN1553" t="s">
        <v>120</v>
      </c>
    </row>
    <row r="1554" spans="1:118">
      <c r="A1554" t="str">
        <f>"300176"</f>
        <v>300176</v>
      </c>
      <c r="B1554" t="s">
        <v>8083</v>
      </c>
      <c r="C1554">
        <v>-0.86</v>
      </c>
      <c r="D1554">
        <v>0</v>
      </c>
      <c r="E1554">
        <v>0.14000000000000001</v>
      </c>
      <c r="F1554">
        <v>365</v>
      </c>
      <c r="G1554" t="s">
        <v>8084</v>
      </c>
      <c r="H1554">
        <v>5742.98</v>
      </c>
      <c r="I1554">
        <v>1.04</v>
      </c>
      <c r="J1554" t="s">
        <v>120</v>
      </c>
      <c r="K1554" t="s">
        <v>8085</v>
      </c>
      <c r="L1554">
        <v>2.1800000000000002</v>
      </c>
      <c r="M1554">
        <v>6.88</v>
      </c>
      <c r="N1554">
        <v>1.61</v>
      </c>
      <c r="O1554">
        <v>3.6</v>
      </c>
      <c r="P1554">
        <v>7.19</v>
      </c>
      <c r="Q1554">
        <v>-1.01</v>
      </c>
      <c r="R1554">
        <v>6.87</v>
      </c>
      <c r="S1554">
        <v>6.95</v>
      </c>
      <c r="T1554">
        <v>81752</v>
      </c>
      <c r="U1554">
        <v>6.89</v>
      </c>
      <c r="V1554">
        <v>6.94</v>
      </c>
      <c r="W1554">
        <v>376.63</v>
      </c>
      <c r="X1554" t="s">
        <v>289</v>
      </c>
      <c r="Y1554" t="s">
        <v>547</v>
      </c>
      <c r="Z1554">
        <v>4.6100000000000003</v>
      </c>
      <c r="AA1554">
        <v>7.02</v>
      </c>
      <c r="AB1554">
        <v>38265</v>
      </c>
      <c r="AC1554">
        <v>43487</v>
      </c>
      <c r="AD1554">
        <v>0.88</v>
      </c>
      <c r="AE1554">
        <v>443</v>
      </c>
      <c r="AF1554">
        <v>385</v>
      </c>
      <c r="AG1554" t="s">
        <v>120</v>
      </c>
      <c r="AH1554">
        <v>0</v>
      </c>
      <c r="AI1554" t="s">
        <v>120</v>
      </c>
      <c r="AJ1554">
        <v>3.75</v>
      </c>
      <c r="AK1554" t="s">
        <v>8086</v>
      </c>
      <c r="AL1554">
        <v>1.05</v>
      </c>
      <c r="AM1554">
        <v>1628</v>
      </c>
      <c r="AN1554">
        <v>50</v>
      </c>
      <c r="AO1554">
        <v>1.2999999999999999E-3</v>
      </c>
      <c r="AP1554">
        <v>-1</v>
      </c>
      <c r="AQ1554">
        <v>0.57999999999999996</v>
      </c>
      <c r="AR1554">
        <v>-1.44</v>
      </c>
      <c r="AS1554">
        <v>-8.14</v>
      </c>
      <c r="AT1554">
        <v>-8.14</v>
      </c>
      <c r="AU1554">
        <v>-9.83</v>
      </c>
      <c r="AV1554">
        <v>1</v>
      </c>
      <c r="AW1554">
        <v>3.12</v>
      </c>
      <c r="AX1554">
        <v>67.64</v>
      </c>
      <c r="AY1554">
        <v>119.54</v>
      </c>
      <c r="AZ1554">
        <v>172.93</v>
      </c>
      <c r="BA1554">
        <v>0.74</v>
      </c>
      <c r="BB1554" t="s">
        <v>143</v>
      </c>
      <c r="BF1554">
        <v>1.22</v>
      </c>
      <c r="BG1554">
        <v>-1.01</v>
      </c>
      <c r="BH1554">
        <v>-4.3099999999999996</v>
      </c>
      <c r="BI1554">
        <v>0.15</v>
      </c>
      <c r="BJ1554">
        <v>20210901</v>
      </c>
      <c r="BK1554">
        <v>20110215</v>
      </c>
      <c r="BL1554">
        <v>3.87</v>
      </c>
      <c r="BM1554" t="s">
        <v>120</v>
      </c>
      <c r="BN1554" t="s">
        <v>120</v>
      </c>
      <c r="BO1554">
        <v>18.98</v>
      </c>
      <c r="BP1554">
        <v>6.88</v>
      </c>
      <c r="BQ1554">
        <v>9.42</v>
      </c>
      <c r="BR1554" t="s">
        <v>120</v>
      </c>
      <c r="BS1554">
        <v>50.35</v>
      </c>
      <c r="BT1554">
        <v>8.68</v>
      </c>
      <c r="BU1554">
        <v>7.99</v>
      </c>
      <c r="BV1554">
        <v>1.05</v>
      </c>
      <c r="BW1554">
        <v>9.11</v>
      </c>
      <c r="BX1554">
        <v>2.09</v>
      </c>
      <c r="BY1554">
        <v>3.14</v>
      </c>
      <c r="BZ1554">
        <v>3.02</v>
      </c>
      <c r="CA1554" t="s">
        <v>120</v>
      </c>
      <c r="CB1554">
        <v>0.39</v>
      </c>
      <c r="CC1554">
        <v>5.91</v>
      </c>
      <c r="CD1554">
        <v>4.7</v>
      </c>
      <c r="CE1554">
        <v>0.1</v>
      </c>
      <c r="CF1554">
        <v>0</v>
      </c>
      <c r="CG1554">
        <v>0.11</v>
      </c>
      <c r="CH1554">
        <v>0.04</v>
      </c>
      <c r="CI1554">
        <v>0.04</v>
      </c>
      <c r="CJ1554">
        <v>-0.06</v>
      </c>
      <c r="CK1554">
        <v>0.02</v>
      </c>
      <c r="CL1554">
        <v>4.26</v>
      </c>
      <c r="CM1554">
        <v>0.37</v>
      </c>
      <c r="CN1554">
        <v>0.1</v>
      </c>
      <c r="CO1554">
        <v>27979</v>
      </c>
      <c r="CP1554">
        <v>9363</v>
      </c>
      <c r="CQ1554" t="s">
        <v>3967</v>
      </c>
      <c r="CR1554">
        <v>203.93</v>
      </c>
      <c r="CS1554">
        <v>20.010000000000002</v>
      </c>
      <c r="CT1554">
        <v>2.83</v>
      </c>
      <c r="CU1554">
        <v>71.66</v>
      </c>
      <c r="CV1554">
        <v>4.51</v>
      </c>
      <c r="CW1554">
        <v>0</v>
      </c>
      <c r="CX1554" t="s">
        <v>4667</v>
      </c>
      <c r="CY1554">
        <v>2.4300000000000002</v>
      </c>
      <c r="CZ1554">
        <v>0</v>
      </c>
      <c r="DA1554">
        <v>0.1</v>
      </c>
      <c r="DB1554">
        <v>1.1000000000000001</v>
      </c>
      <c r="DC1554">
        <v>0.1</v>
      </c>
      <c r="DD1554">
        <v>49.65</v>
      </c>
      <c r="DE1554" t="s">
        <v>4357</v>
      </c>
      <c r="DF1554">
        <v>20.43</v>
      </c>
      <c r="DG1554">
        <v>1.66</v>
      </c>
      <c r="DH1554">
        <v>0.6</v>
      </c>
      <c r="DI1554">
        <v>0.23</v>
      </c>
      <c r="DJ1554">
        <v>2725</v>
      </c>
      <c r="DK1554">
        <v>300176</v>
      </c>
      <c r="DL1554" t="s">
        <v>120</v>
      </c>
      <c r="DM1554" t="s">
        <v>120</v>
      </c>
      <c r="DN1554" t="s">
        <v>120</v>
      </c>
    </row>
    <row r="1555" spans="1:118">
      <c r="A1555" t="str">
        <f>"300177"</f>
        <v>300177</v>
      </c>
      <c r="B1555" t="s">
        <v>8087</v>
      </c>
      <c r="C1555">
        <v>-3.79</v>
      </c>
      <c r="D1555">
        <v>0.09</v>
      </c>
      <c r="E1555">
        <v>-0.27</v>
      </c>
      <c r="F1555">
        <v>2358</v>
      </c>
      <c r="G1555" t="s">
        <v>8088</v>
      </c>
      <c r="H1555">
        <v>30255.68</v>
      </c>
      <c r="I1555">
        <v>54.76</v>
      </c>
      <c r="J1555" t="s">
        <v>120</v>
      </c>
      <c r="K1555" t="s">
        <v>8089</v>
      </c>
      <c r="L1555">
        <v>4.74</v>
      </c>
      <c r="M1555">
        <v>10.65</v>
      </c>
      <c r="N1555">
        <v>1.07</v>
      </c>
      <c r="O1555">
        <v>0.9</v>
      </c>
      <c r="P1555">
        <v>11.17</v>
      </c>
      <c r="Q1555">
        <v>-3.97</v>
      </c>
      <c r="R1555">
        <v>10.63</v>
      </c>
      <c r="S1555">
        <v>11.04</v>
      </c>
      <c r="T1555">
        <v>279270</v>
      </c>
      <c r="U1555">
        <v>10.66</v>
      </c>
      <c r="V1555">
        <v>11.07</v>
      </c>
      <c r="W1555">
        <v>58.14</v>
      </c>
      <c r="X1555" t="s">
        <v>462</v>
      </c>
      <c r="Y1555" t="s">
        <v>547</v>
      </c>
      <c r="Z1555">
        <v>4.88</v>
      </c>
      <c r="AA1555">
        <v>10.83</v>
      </c>
      <c r="AB1555">
        <v>177589</v>
      </c>
      <c r="AC1555">
        <v>101681</v>
      </c>
      <c r="AD1555">
        <v>1.75</v>
      </c>
      <c r="AE1555">
        <v>45</v>
      </c>
      <c r="AF1555">
        <v>96</v>
      </c>
      <c r="AG1555" t="s">
        <v>120</v>
      </c>
      <c r="AH1555">
        <v>0.01</v>
      </c>
      <c r="AI1555" t="s">
        <v>120</v>
      </c>
      <c r="AJ1555">
        <v>5.89</v>
      </c>
      <c r="AK1555" t="s">
        <v>8090</v>
      </c>
      <c r="AL1555">
        <v>-1.88</v>
      </c>
      <c r="AM1555">
        <v>3545</v>
      </c>
      <c r="AN1555">
        <v>79</v>
      </c>
      <c r="AO1555">
        <v>1.2999999999999999E-3</v>
      </c>
      <c r="AP1555">
        <v>-1</v>
      </c>
      <c r="AQ1555">
        <v>1.47</v>
      </c>
      <c r="AR1555">
        <v>-2.02</v>
      </c>
      <c r="AS1555">
        <v>2.31</v>
      </c>
      <c r="AT1555">
        <v>10.37</v>
      </c>
      <c r="AU1555">
        <v>2.86</v>
      </c>
      <c r="AV1555">
        <v>0</v>
      </c>
      <c r="AW1555">
        <v>5.2</v>
      </c>
      <c r="AX1555">
        <v>72.239999999999995</v>
      </c>
      <c r="AY1555">
        <v>70.73</v>
      </c>
      <c r="AZ1555">
        <v>95.9</v>
      </c>
      <c r="BA1555">
        <v>0.72</v>
      </c>
      <c r="BB1555" t="s">
        <v>143</v>
      </c>
      <c r="BF1555">
        <v>-2.13</v>
      </c>
      <c r="BG1555">
        <v>-3.53</v>
      </c>
      <c r="BH1555">
        <v>-4.66</v>
      </c>
      <c r="BI1555">
        <v>0.19</v>
      </c>
      <c r="BJ1555">
        <v>20210913</v>
      </c>
      <c r="BK1555">
        <v>20110215</v>
      </c>
      <c r="BL1555">
        <v>7.44</v>
      </c>
      <c r="BM1555" t="s">
        <v>120</v>
      </c>
      <c r="BN1555" t="s">
        <v>120</v>
      </c>
      <c r="BO1555">
        <v>38.880000000000003</v>
      </c>
      <c r="BP1555">
        <v>10.65</v>
      </c>
      <c r="BQ1555">
        <v>23.39</v>
      </c>
      <c r="BR1555">
        <v>2.99</v>
      </c>
      <c r="BS1555">
        <v>32.15</v>
      </c>
      <c r="BT1555">
        <v>26.38</v>
      </c>
      <c r="BU1555">
        <v>2.4500000000000002</v>
      </c>
      <c r="BV1555">
        <v>1.76</v>
      </c>
      <c r="BW1555">
        <v>11.57</v>
      </c>
      <c r="BX1555">
        <v>6.29</v>
      </c>
      <c r="BY1555">
        <v>5.44</v>
      </c>
      <c r="BZ1555">
        <v>11.24</v>
      </c>
      <c r="CA1555">
        <v>0</v>
      </c>
      <c r="CB1555">
        <v>11.93</v>
      </c>
      <c r="CC1555">
        <v>8.3699999999999992</v>
      </c>
      <c r="CD1555">
        <v>4.55</v>
      </c>
      <c r="CE1555">
        <v>1.05</v>
      </c>
      <c r="CF1555">
        <v>-0.05</v>
      </c>
      <c r="CG1555">
        <v>1.05</v>
      </c>
      <c r="CH1555">
        <v>0.92</v>
      </c>
      <c r="CI1555">
        <v>0.68</v>
      </c>
      <c r="CJ1555">
        <v>-0.42</v>
      </c>
      <c r="CK1555">
        <v>0.55000000000000004</v>
      </c>
      <c r="CL1555">
        <v>3.41</v>
      </c>
      <c r="CM1555">
        <v>-3.47</v>
      </c>
      <c r="CN1555">
        <v>1.06</v>
      </c>
      <c r="CO1555">
        <v>48418</v>
      </c>
      <c r="CP1555">
        <v>11103</v>
      </c>
      <c r="CQ1555" t="s">
        <v>8091</v>
      </c>
      <c r="CR1555">
        <v>81.349999999999994</v>
      </c>
      <c r="CS1555">
        <v>51.53</v>
      </c>
      <c r="CT1555">
        <v>3.39</v>
      </c>
      <c r="CU1555">
        <v>-22.81</v>
      </c>
      <c r="CV1555">
        <v>9.4700000000000006</v>
      </c>
      <c r="CW1555">
        <v>0.14000000000000001</v>
      </c>
      <c r="CX1555" t="s">
        <v>329</v>
      </c>
      <c r="CY1555">
        <v>3.14</v>
      </c>
      <c r="CZ1555">
        <v>0</v>
      </c>
      <c r="DA1555">
        <v>1.6</v>
      </c>
      <c r="DB1555">
        <v>0.46</v>
      </c>
      <c r="DC1555">
        <v>-0.47</v>
      </c>
      <c r="DD1555">
        <v>60.16</v>
      </c>
      <c r="DE1555" t="s">
        <v>323</v>
      </c>
      <c r="DF1555">
        <v>45.68</v>
      </c>
      <c r="DG1555">
        <v>12.53</v>
      </c>
      <c r="DH1555">
        <v>8.14</v>
      </c>
      <c r="DI1555">
        <v>0.98</v>
      </c>
      <c r="DJ1555">
        <v>2822</v>
      </c>
      <c r="DK1555">
        <v>300177</v>
      </c>
      <c r="DL1555" t="s">
        <v>120</v>
      </c>
      <c r="DM1555" t="s">
        <v>120</v>
      </c>
      <c r="DN1555" t="s">
        <v>120</v>
      </c>
    </row>
    <row r="1556" spans="1:118">
      <c r="A1556" t="str">
        <f>"300179"</f>
        <v>300179</v>
      </c>
      <c r="B1556" t="s">
        <v>8092</v>
      </c>
      <c r="C1556">
        <v>3.21</v>
      </c>
      <c r="D1556">
        <v>0.1</v>
      </c>
      <c r="E1556">
        <v>0.3</v>
      </c>
      <c r="F1556">
        <v>3194</v>
      </c>
      <c r="G1556" t="s">
        <v>8093</v>
      </c>
      <c r="H1556">
        <v>51330.46</v>
      </c>
      <c r="I1556">
        <v>169.6</v>
      </c>
      <c r="J1556" t="s">
        <v>120</v>
      </c>
      <c r="K1556" t="s">
        <v>8094</v>
      </c>
      <c r="L1556">
        <v>14.93</v>
      </c>
      <c r="M1556">
        <v>10.29</v>
      </c>
      <c r="N1556">
        <v>1.24</v>
      </c>
      <c r="O1556">
        <v>9.83</v>
      </c>
      <c r="P1556">
        <v>10.95</v>
      </c>
      <c r="Q1556">
        <v>-0.6</v>
      </c>
      <c r="R1556">
        <v>9.91</v>
      </c>
      <c r="S1556">
        <v>10</v>
      </c>
      <c r="T1556">
        <v>491768</v>
      </c>
      <c r="U1556">
        <v>10.29</v>
      </c>
      <c r="V1556">
        <v>9.9700000000000006</v>
      </c>
      <c r="W1556">
        <v>51.42</v>
      </c>
      <c r="X1556" t="s">
        <v>1991</v>
      </c>
      <c r="Y1556" t="s">
        <v>645</v>
      </c>
      <c r="Z1556">
        <v>10.43</v>
      </c>
      <c r="AA1556">
        <v>10.44</v>
      </c>
      <c r="AB1556">
        <v>253865</v>
      </c>
      <c r="AC1556">
        <v>237903</v>
      </c>
      <c r="AD1556">
        <v>1.07</v>
      </c>
      <c r="AE1556">
        <v>2012</v>
      </c>
      <c r="AF1556">
        <v>706</v>
      </c>
      <c r="AG1556" t="s">
        <v>120</v>
      </c>
      <c r="AH1556">
        <v>0.06</v>
      </c>
      <c r="AI1556" t="s">
        <v>120</v>
      </c>
      <c r="AJ1556">
        <v>3.29</v>
      </c>
      <c r="AK1556" t="s">
        <v>8095</v>
      </c>
      <c r="AL1556">
        <v>5.12</v>
      </c>
      <c r="AM1556">
        <v>4105</v>
      </c>
      <c r="AN1556">
        <v>120</v>
      </c>
      <c r="AO1556">
        <v>3.5999999999999999E-3</v>
      </c>
      <c r="AP1556">
        <v>1</v>
      </c>
      <c r="AQ1556">
        <v>-1.58</v>
      </c>
      <c r="AR1556">
        <v>7.19</v>
      </c>
      <c r="AS1556">
        <v>41.74</v>
      </c>
      <c r="AT1556">
        <v>60.53</v>
      </c>
      <c r="AU1556">
        <v>65.430000000000007</v>
      </c>
      <c r="AV1556">
        <v>5</v>
      </c>
      <c r="AW1556">
        <v>16.97</v>
      </c>
      <c r="AX1556">
        <v>59.39</v>
      </c>
      <c r="AY1556">
        <v>59.83</v>
      </c>
      <c r="AZ1556">
        <v>64.62</v>
      </c>
      <c r="BA1556">
        <v>0.79</v>
      </c>
      <c r="BB1556" t="s">
        <v>143</v>
      </c>
      <c r="BF1556">
        <v>4.6900000000000004</v>
      </c>
      <c r="BG1556">
        <v>2.9</v>
      </c>
      <c r="BH1556">
        <v>-6.03</v>
      </c>
      <c r="BI1556">
        <v>3.83</v>
      </c>
      <c r="BJ1556">
        <v>20210803</v>
      </c>
      <c r="BK1556">
        <v>20110215</v>
      </c>
      <c r="BL1556">
        <v>4.88</v>
      </c>
      <c r="BM1556" t="s">
        <v>120</v>
      </c>
      <c r="BN1556" t="s">
        <v>120</v>
      </c>
      <c r="BO1556">
        <v>11.05</v>
      </c>
      <c r="BP1556">
        <v>10.28</v>
      </c>
      <c r="BQ1556">
        <v>8.9</v>
      </c>
      <c r="BR1556">
        <v>0.01</v>
      </c>
      <c r="BS1556">
        <v>19.38</v>
      </c>
      <c r="BT1556">
        <v>6.77</v>
      </c>
      <c r="BU1556">
        <v>2.2000000000000002</v>
      </c>
      <c r="BV1556">
        <v>0.24</v>
      </c>
      <c r="BW1556">
        <v>1.28</v>
      </c>
      <c r="BX1556">
        <v>1.24</v>
      </c>
      <c r="BY1556">
        <v>0.81</v>
      </c>
      <c r="BZ1556">
        <v>1.47</v>
      </c>
      <c r="CA1556" t="s">
        <v>120</v>
      </c>
      <c r="CB1556">
        <v>1.24</v>
      </c>
      <c r="CC1556">
        <v>1.97</v>
      </c>
      <c r="CD1556">
        <v>0.91</v>
      </c>
      <c r="CE1556">
        <v>0.54</v>
      </c>
      <c r="CF1556">
        <v>0.03</v>
      </c>
      <c r="CG1556">
        <v>0.54</v>
      </c>
      <c r="CH1556">
        <v>0.49</v>
      </c>
      <c r="CI1556">
        <v>0.49</v>
      </c>
      <c r="CJ1556">
        <v>0.32</v>
      </c>
      <c r="CK1556">
        <v>0.39</v>
      </c>
      <c r="CL1556">
        <v>2.2200000000000002</v>
      </c>
      <c r="CM1556">
        <v>0.46</v>
      </c>
      <c r="CN1556">
        <v>-0.72</v>
      </c>
      <c r="CO1556">
        <v>32227</v>
      </c>
      <c r="CP1556">
        <v>8993</v>
      </c>
      <c r="CQ1556" t="s">
        <v>8096</v>
      </c>
      <c r="CR1556">
        <v>14.09</v>
      </c>
      <c r="CS1556">
        <v>14.51</v>
      </c>
      <c r="CT1556">
        <v>5.64</v>
      </c>
      <c r="CU1556">
        <v>109.62</v>
      </c>
      <c r="CV1556">
        <v>25.44</v>
      </c>
      <c r="CW1556">
        <v>1.52</v>
      </c>
      <c r="CX1556" t="s">
        <v>411</v>
      </c>
      <c r="CY1556">
        <v>1.82</v>
      </c>
      <c r="CZ1556">
        <v>0</v>
      </c>
      <c r="DA1556">
        <v>0.26</v>
      </c>
      <c r="DB1556">
        <v>0.46</v>
      </c>
      <c r="DC1556">
        <v>0.09</v>
      </c>
      <c r="DD1556">
        <v>80.56</v>
      </c>
      <c r="DE1556" t="s">
        <v>225</v>
      </c>
      <c r="DF1556">
        <v>54.08</v>
      </c>
      <c r="DG1556">
        <v>27.13</v>
      </c>
      <c r="DH1556">
        <v>24.74</v>
      </c>
      <c r="DI1556">
        <v>0.21</v>
      </c>
      <c r="DJ1556">
        <v>527</v>
      </c>
      <c r="DK1556">
        <v>300179</v>
      </c>
      <c r="DL1556">
        <v>20210811</v>
      </c>
      <c r="DM1556">
        <v>7.39</v>
      </c>
      <c r="DN1556">
        <v>39.24</v>
      </c>
    </row>
    <row r="1557" spans="1:118">
      <c r="A1557" t="str">
        <f>"300180"</f>
        <v>300180</v>
      </c>
      <c r="B1557" t="s">
        <v>8097</v>
      </c>
      <c r="C1557">
        <v>-2.92</v>
      </c>
      <c r="D1557">
        <v>0</v>
      </c>
      <c r="E1557">
        <v>0</v>
      </c>
      <c r="F1557">
        <v>4519</v>
      </c>
      <c r="G1557" t="s">
        <v>8098</v>
      </c>
      <c r="H1557">
        <v>23201</v>
      </c>
      <c r="I1557">
        <v>40.68</v>
      </c>
      <c r="J1557" t="s">
        <v>120</v>
      </c>
      <c r="K1557" t="s">
        <v>3184</v>
      </c>
      <c r="L1557">
        <v>2.95</v>
      </c>
      <c r="M1557">
        <v>5.65</v>
      </c>
      <c r="N1557">
        <v>0.95</v>
      </c>
      <c r="O1557">
        <v>2.06</v>
      </c>
      <c r="P1557">
        <v>5.94</v>
      </c>
      <c r="Q1557">
        <v>-3.26</v>
      </c>
      <c r="R1557">
        <v>5.63</v>
      </c>
      <c r="S1557">
        <v>5.82</v>
      </c>
      <c r="T1557">
        <v>402853</v>
      </c>
      <c r="U1557">
        <v>5.65</v>
      </c>
      <c r="V1557">
        <v>5.82</v>
      </c>
      <c r="W1557">
        <v>43.44</v>
      </c>
      <c r="X1557" t="s">
        <v>623</v>
      </c>
      <c r="Y1557" t="s">
        <v>1510</v>
      </c>
      <c r="Z1557">
        <v>5.33</v>
      </c>
      <c r="AA1557">
        <v>5.76</v>
      </c>
      <c r="AB1557">
        <v>222480</v>
      </c>
      <c r="AC1557">
        <v>180373</v>
      </c>
      <c r="AD1557">
        <v>1.23</v>
      </c>
      <c r="AE1557">
        <v>436</v>
      </c>
      <c r="AF1557">
        <v>5531</v>
      </c>
      <c r="AG1557" t="s">
        <v>120</v>
      </c>
      <c r="AH1557">
        <v>0.01</v>
      </c>
      <c r="AI1557" t="s">
        <v>120</v>
      </c>
      <c r="AJ1557">
        <v>13.66</v>
      </c>
      <c r="AK1557" t="s">
        <v>8099</v>
      </c>
      <c r="AL1557">
        <v>-1.01</v>
      </c>
      <c r="AM1557">
        <v>3293</v>
      </c>
      <c r="AN1557">
        <v>122</v>
      </c>
      <c r="AO1557">
        <v>8.9999999999999998E-4</v>
      </c>
      <c r="AP1557">
        <v>-1</v>
      </c>
      <c r="AQ1557">
        <v>0.34</v>
      </c>
      <c r="AR1557">
        <v>-3.58</v>
      </c>
      <c r="AS1557">
        <v>6.6</v>
      </c>
      <c r="AT1557">
        <v>14.37</v>
      </c>
      <c r="AU1557">
        <v>-4.4000000000000004</v>
      </c>
      <c r="AV1557">
        <v>0</v>
      </c>
      <c r="AW1557">
        <v>3.54</v>
      </c>
      <c r="AX1557">
        <v>64.59</v>
      </c>
      <c r="AY1557" t="s">
        <v>120</v>
      </c>
      <c r="AZ1557" t="s">
        <v>120</v>
      </c>
      <c r="BA1557">
        <v>0.57999999999999996</v>
      </c>
      <c r="BB1557" t="s">
        <v>125</v>
      </c>
      <c r="BF1557">
        <v>-1.05</v>
      </c>
      <c r="BG1557">
        <v>-2.92</v>
      </c>
      <c r="BH1557">
        <v>-4.88</v>
      </c>
      <c r="BI1557">
        <v>0.36</v>
      </c>
      <c r="BJ1557">
        <v>20210826</v>
      </c>
      <c r="BK1557">
        <v>20110222</v>
      </c>
      <c r="BL1557">
        <v>17.61</v>
      </c>
      <c r="BM1557" t="s">
        <v>120</v>
      </c>
      <c r="BN1557" t="s">
        <v>120</v>
      </c>
      <c r="BO1557">
        <v>81.48</v>
      </c>
      <c r="BP1557">
        <v>5.64</v>
      </c>
      <c r="BQ1557">
        <v>51.95</v>
      </c>
      <c r="BR1557">
        <v>0.04</v>
      </c>
      <c r="BS1557">
        <v>36.200000000000003</v>
      </c>
      <c r="BT1557">
        <v>24.2</v>
      </c>
      <c r="BU1557">
        <v>34.44</v>
      </c>
      <c r="BV1557">
        <v>5</v>
      </c>
      <c r="BW1557">
        <v>21.76</v>
      </c>
      <c r="BX1557">
        <v>1.85</v>
      </c>
      <c r="BY1557">
        <v>7.45</v>
      </c>
      <c r="BZ1557">
        <v>6.61</v>
      </c>
      <c r="CA1557" t="s">
        <v>120</v>
      </c>
      <c r="CB1557">
        <v>25.85</v>
      </c>
      <c r="CC1557">
        <v>19.75</v>
      </c>
      <c r="CD1557">
        <v>15.53</v>
      </c>
      <c r="CE1557">
        <v>1.3</v>
      </c>
      <c r="CF1557">
        <v>-0.02</v>
      </c>
      <c r="CG1557">
        <v>1.3</v>
      </c>
      <c r="CH1557">
        <v>1.1399999999999999</v>
      </c>
      <c r="CI1557">
        <v>1.1499999999999999</v>
      </c>
      <c r="CJ1557">
        <v>-0.17</v>
      </c>
      <c r="CK1557">
        <v>0.86</v>
      </c>
      <c r="CL1557">
        <v>7.78</v>
      </c>
      <c r="CM1557">
        <v>-0.79</v>
      </c>
      <c r="CN1557">
        <v>-1.59</v>
      </c>
      <c r="CO1557">
        <v>29095</v>
      </c>
      <c r="CP1557">
        <v>39092</v>
      </c>
      <c r="CQ1557" t="s">
        <v>8100</v>
      </c>
      <c r="CR1557">
        <v>143.04</v>
      </c>
      <c r="CS1557">
        <v>81.400000000000006</v>
      </c>
      <c r="CT1557">
        <v>1.92</v>
      </c>
      <c r="CU1557">
        <v>-126.15</v>
      </c>
      <c r="CV1557">
        <v>5.04</v>
      </c>
      <c r="CW1557">
        <v>0</v>
      </c>
      <c r="CX1557" t="s">
        <v>679</v>
      </c>
      <c r="CY1557">
        <v>2.95</v>
      </c>
      <c r="CZ1557">
        <v>0</v>
      </c>
      <c r="DA1557">
        <v>1.47</v>
      </c>
      <c r="DB1557">
        <v>0.44</v>
      </c>
      <c r="DC1557">
        <v>-0.04</v>
      </c>
      <c r="DD1557">
        <v>63.75</v>
      </c>
      <c r="DE1557" t="s">
        <v>1974</v>
      </c>
      <c r="DF1557">
        <v>21.4</v>
      </c>
      <c r="DG1557">
        <v>6.58</v>
      </c>
      <c r="DH1557">
        <v>5.8</v>
      </c>
      <c r="DI1557">
        <v>0.94</v>
      </c>
      <c r="DJ1557">
        <v>2027</v>
      </c>
      <c r="DK1557">
        <v>300180</v>
      </c>
      <c r="DL1557" t="s">
        <v>120</v>
      </c>
      <c r="DM1557" t="s">
        <v>120</v>
      </c>
      <c r="DN1557" t="s">
        <v>120</v>
      </c>
    </row>
    <row r="1558" spans="1:118">
      <c r="A1558" t="str">
        <f>"300181"</f>
        <v>300181</v>
      </c>
      <c r="B1558" t="s">
        <v>8101</v>
      </c>
      <c r="C1558">
        <v>-3.35</v>
      </c>
      <c r="D1558">
        <v>0</v>
      </c>
      <c r="E1558">
        <v>-0.96</v>
      </c>
      <c r="F1558">
        <v>2121</v>
      </c>
      <c r="G1558" t="s">
        <v>8102</v>
      </c>
      <c r="H1558">
        <v>12584.79</v>
      </c>
      <c r="I1558">
        <v>55.48</v>
      </c>
      <c r="J1558" t="s">
        <v>120</v>
      </c>
      <c r="K1558" t="s">
        <v>8103</v>
      </c>
      <c r="L1558">
        <v>3.09</v>
      </c>
      <c r="M1558">
        <v>8.08</v>
      </c>
      <c r="N1558">
        <v>0.7</v>
      </c>
      <c r="O1558">
        <v>0.96</v>
      </c>
      <c r="P1558">
        <v>8.44</v>
      </c>
      <c r="Q1558">
        <v>-3.47</v>
      </c>
      <c r="R1558">
        <v>8.07</v>
      </c>
      <c r="S1558">
        <v>8.2799999999999994</v>
      </c>
      <c r="T1558">
        <v>152655</v>
      </c>
      <c r="U1558">
        <v>8.08</v>
      </c>
      <c r="V1558">
        <v>8.36</v>
      </c>
      <c r="W1558">
        <v>28.41</v>
      </c>
      <c r="X1558" t="s">
        <v>771</v>
      </c>
      <c r="Y1558" t="s">
        <v>585</v>
      </c>
      <c r="Z1558">
        <v>4.43</v>
      </c>
      <c r="AA1558">
        <v>8.24</v>
      </c>
      <c r="AB1558">
        <v>85161</v>
      </c>
      <c r="AC1558">
        <v>67494</v>
      </c>
      <c r="AD1558">
        <v>1.26</v>
      </c>
      <c r="AE1558">
        <v>289</v>
      </c>
      <c r="AF1558">
        <v>155</v>
      </c>
      <c r="AG1558" t="s">
        <v>120</v>
      </c>
      <c r="AH1558">
        <v>0.02</v>
      </c>
      <c r="AI1558" t="s">
        <v>120</v>
      </c>
      <c r="AJ1558">
        <v>4.9400000000000004</v>
      </c>
      <c r="AK1558" t="s">
        <v>8104</v>
      </c>
      <c r="AL1558">
        <v>-1.44</v>
      </c>
      <c r="AM1558">
        <v>2564</v>
      </c>
      <c r="AN1558">
        <v>60</v>
      </c>
      <c r="AO1558">
        <v>1.1999999999999999E-3</v>
      </c>
      <c r="AP1558">
        <v>-1</v>
      </c>
      <c r="AQ1558">
        <v>0.36</v>
      </c>
      <c r="AR1558">
        <v>-4.5</v>
      </c>
      <c r="AS1558">
        <v>9.7899999999999991</v>
      </c>
      <c r="AT1558">
        <v>8.4499999999999993</v>
      </c>
      <c r="AU1558">
        <v>39.31</v>
      </c>
      <c r="AV1558">
        <v>0</v>
      </c>
      <c r="AW1558">
        <v>3.65</v>
      </c>
      <c r="AX1558">
        <v>68.64</v>
      </c>
      <c r="AY1558">
        <v>35.17</v>
      </c>
      <c r="AZ1558">
        <v>57.3</v>
      </c>
      <c r="BA1558">
        <v>0.67</v>
      </c>
      <c r="BB1558" t="s">
        <v>143</v>
      </c>
      <c r="BF1558">
        <v>-1.39</v>
      </c>
      <c r="BG1558">
        <v>-2.42</v>
      </c>
      <c r="BH1558">
        <v>-4.2699999999999996</v>
      </c>
      <c r="BI1558">
        <v>0.12</v>
      </c>
      <c r="BJ1558">
        <v>20210803</v>
      </c>
      <c r="BK1558">
        <v>20110222</v>
      </c>
      <c r="BL1558">
        <v>6.09</v>
      </c>
      <c r="BM1558" t="s">
        <v>120</v>
      </c>
      <c r="BN1558" t="s">
        <v>120</v>
      </c>
      <c r="BO1558">
        <v>26.84</v>
      </c>
      <c r="BP1558">
        <v>8.07</v>
      </c>
      <c r="BQ1558">
        <v>18.07</v>
      </c>
      <c r="BR1558">
        <v>1.38</v>
      </c>
      <c r="BS1558">
        <v>27.53</v>
      </c>
      <c r="BT1558">
        <v>8.94</v>
      </c>
      <c r="BU1558">
        <v>7.32</v>
      </c>
      <c r="BV1558">
        <v>0.68</v>
      </c>
      <c r="BW1558">
        <v>5.07</v>
      </c>
      <c r="BX1558">
        <v>2.13</v>
      </c>
      <c r="BY1558">
        <v>2.1800000000000002</v>
      </c>
      <c r="BZ1558">
        <v>2.94</v>
      </c>
      <c r="CA1558">
        <v>0.01</v>
      </c>
      <c r="CB1558">
        <v>3.4</v>
      </c>
      <c r="CC1558">
        <v>6.98</v>
      </c>
      <c r="CD1558">
        <v>1.95</v>
      </c>
      <c r="CE1558">
        <v>1.06</v>
      </c>
      <c r="CF1558">
        <v>0.01</v>
      </c>
      <c r="CG1558">
        <v>1.06</v>
      </c>
      <c r="CH1558">
        <v>0.93</v>
      </c>
      <c r="CI1558">
        <v>0.87</v>
      </c>
      <c r="CJ1558">
        <v>-0.28000000000000003</v>
      </c>
      <c r="CK1558">
        <v>0.82</v>
      </c>
      <c r="CL1558">
        <v>3.61</v>
      </c>
      <c r="CM1558">
        <v>0.94</v>
      </c>
      <c r="CN1558">
        <v>-0.42</v>
      </c>
      <c r="CO1558">
        <v>38110</v>
      </c>
      <c r="CP1558">
        <v>10962</v>
      </c>
      <c r="CQ1558" t="s">
        <v>3765</v>
      </c>
      <c r="CR1558">
        <v>181.9</v>
      </c>
      <c r="CS1558">
        <v>49.46</v>
      </c>
      <c r="CT1558">
        <v>2.72</v>
      </c>
      <c r="CU1558">
        <v>52.55</v>
      </c>
      <c r="CV1558">
        <v>7.05</v>
      </c>
      <c r="CW1558">
        <v>1.2</v>
      </c>
      <c r="CX1558" t="s">
        <v>2604</v>
      </c>
      <c r="CY1558">
        <v>2.97</v>
      </c>
      <c r="CZ1558">
        <v>0</v>
      </c>
      <c r="DA1558">
        <v>0.56000000000000005</v>
      </c>
      <c r="DB1558">
        <v>0.59</v>
      </c>
      <c r="DC1558">
        <v>0.15</v>
      </c>
      <c r="DD1558">
        <v>67.34</v>
      </c>
      <c r="DE1558" t="s">
        <v>1943</v>
      </c>
      <c r="DF1558">
        <v>72.099999999999994</v>
      </c>
      <c r="DG1558">
        <v>15.22</v>
      </c>
      <c r="DH1558">
        <v>12.41</v>
      </c>
      <c r="DI1558">
        <v>0.17</v>
      </c>
      <c r="DJ1558">
        <v>1991</v>
      </c>
      <c r="DK1558">
        <v>300181</v>
      </c>
      <c r="DL1558" t="s">
        <v>120</v>
      </c>
      <c r="DM1558" t="s">
        <v>120</v>
      </c>
      <c r="DN1558" t="s">
        <v>120</v>
      </c>
    </row>
    <row r="1559" spans="1:118">
      <c r="A1559" t="str">
        <f>"300182"</f>
        <v>300182</v>
      </c>
      <c r="B1559" t="s">
        <v>8105</v>
      </c>
      <c r="C1559">
        <v>0.62</v>
      </c>
      <c r="D1559">
        <v>0.21</v>
      </c>
      <c r="E1559">
        <v>-0.21</v>
      </c>
      <c r="F1559">
        <v>10241</v>
      </c>
      <c r="G1559" t="s">
        <v>8106</v>
      </c>
      <c r="H1559">
        <v>21854.42</v>
      </c>
      <c r="I1559">
        <v>28.27</v>
      </c>
      <c r="J1559" t="s">
        <v>120</v>
      </c>
      <c r="K1559" t="s">
        <v>8107</v>
      </c>
      <c r="L1559">
        <v>2.14</v>
      </c>
      <c r="M1559">
        <v>4.88</v>
      </c>
      <c r="N1559">
        <v>0.59</v>
      </c>
      <c r="O1559">
        <v>2.06</v>
      </c>
      <c r="P1559">
        <v>4.95</v>
      </c>
      <c r="Q1559">
        <v>-0.82</v>
      </c>
      <c r="R1559">
        <v>4.8099999999999996</v>
      </c>
      <c r="S1559">
        <v>4.84</v>
      </c>
      <c r="T1559">
        <v>448827</v>
      </c>
      <c r="U1559">
        <v>4.8899999999999997</v>
      </c>
      <c r="V1559">
        <v>4.8499999999999996</v>
      </c>
      <c r="W1559">
        <v>20.71</v>
      </c>
      <c r="X1559" t="s">
        <v>584</v>
      </c>
      <c r="Y1559" t="s">
        <v>158</v>
      </c>
      <c r="Z1559">
        <v>2.89</v>
      </c>
      <c r="AA1559">
        <v>4.87</v>
      </c>
      <c r="AB1559">
        <v>233767</v>
      </c>
      <c r="AC1559">
        <v>215060</v>
      </c>
      <c r="AD1559">
        <v>1.0900000000000001</v>
      </c>
      <c r="AE1559">
        <v>636</v>
      </c>
      <c r="AF1559">
        <v>6140</v>
      </c>
      <c r="AG1559" t="s">
        <v>120</v>
      </c>
      <c r="AH1559">
        <v>0</v>
      </c>
      <c r="AI1559" t="s">
        <v>120</v>
      </c>
      <c r="AJ1559">
        <v>20.92</v>
      </c>
      <c r="AK1559" t="s">
        <v>8108</v>
      </c>
      <c r="AL1559">
        <v>2.5299999999999998</v>
      </c>
      <c r="AM1559">
        <v>3388</v>
      </c>
      <c r="AN1559">
        <v>132</v>
      </c>
      <c r="AO1559">
        <v>5.9999999999999995E-4</v>
      </c>
      <c r="AP1559">
        <v>2</v>
      </c>
      <c r="AQ1559">
        <v>0.21</v>
      </c>
      <c r="AR1559">
        <v>-2</v>
      </c>
      <c r="AS1559">
        <v>1.24</v>
      </c>
      <c r="AT1559">
        <v>4.49</v>
      </c>
      <c r="AU1559">
        <v>51.08</v>
      </c>
      <c r="AV1559">
        <v>1</v>
      </c>
      <c r="AW1559">
        <v>2.31</v>
      </c>
      <c r="AX1559">
        <v>75.37</v>
      </c>
      <c r="AY1559" t="s">
        <v>120</v>
      </c>
      <c r="AZ1559" t="s">
        <v>120</v>
      </c>
      <c r="BA1559">
        <v>0.48</v>
      </c>
      <c r="BB1559" t="s">
        <v>143</v>
      </c>
      <c r="BF1559">
        <v>0.4</v>
      </c>
      <c r="BG1559">
        <v>0.83</v>
      </c>
      <c r="BH1559">
        <v>-1.41</v>
      </c>
      <c r="BI1559">
        <v>1.46</v>
      </c>
      <c r="BJ1559">
        <v>20210830</v>
      </c>
      <c r="BK1559">
        <v>20110222</v>
      </c>
      <c r="BL1559">
        <v>25.75</v>
      </c>
      <c r="BM1559" t="s">
        <v>120</v>
      </c>
      <c r="BN1559" t="s">
        <v>120</v>
      </c>
      <c r="BO1559">
        <v>108.71</v>
      </c>
      <c r="BP1559">
        <v>4.88</v>
      </c>
      <c r="BQ1559">
        <v>65.739999999999995</v>
      </c>
      <c r="BR1559">
        <v>1.4</v>
      </c>
      <c r="BS1559">
        <v>38.24</v>
      </c>
      <c r="BT1559">
        <v>41.04</v>
      </c>
      <c r="BU1559">
        <v>0.27</v>
      </c>
      <c r="BV1559">
        <v>21.08</v>
      </c>
      <c r="BW1559">
        <v>41.19</v>
      </c>
      <c r="BX1559">
        <v>2.57</v>
      </c>
      <c r="BY1559">
        <v>5.77</v>
      </c>
      <c r="BZ1559">
        <v>10.32</v>
      </c>
      <c r="CA1559" t="s">
        <v>120</v>
      </c>
      <c r="CB1559">
        <v>45.05</v>
      </c>
      <c r="CC1559">
        <v>18.579999999999998</v>
      </c>
      <c r="CD1559">
        <v>13.42</v>
      </c>
      <c r="CE1559">
        <v>3.36</v>
      </c>
      <c r="CF1559">
        <v>0.66</v>
      </c>
      <c r="CG1559">
        <v>3.36</v>
      </c>
      <c r="CH1559">
        <v>3.15</v>
      </c>
      <c r="CI1559">
        <v>3.03</v>
      </c>
      <c r="CJ1559">
        <v>0.03</v>
      </c>
      <c r="CK1559">
        <v>2.41</v>
      </c>
      <c r="CL1559">
        <v>-6.31</v>
      </c>
      <c r="CM1559">
        <v>10.31</v>
      </c>
      <c r="CN1559">
        <v>0.15</v>
      </c>
      <c r="CO1559">
        <v>44000</v>
      </c>
      <c r="CP1559">
        <v>44106</v>
      </c>
      <c r="CQ1559" t="s">
        <v>8109</v>
      </c>
      <c r="CR1559">
        <v>137.13999999999999</v>
      </c>
      <c r="CS1559">
        <v>40.409999999999997</v>
      </c>
      <c r="CT1559">
        <v>1.9</v>
      </c>
      <c r="CU1559">
        <v>12.18</v>
      </c>
      <c r="CV1559">
        <v>6.76</v>
      </c>
      <c r="CW1559">
        <v>0</v>
      </c>
      <c r="CX1559" t="s">
        <v>850</v>
      </c>
      <c r="CY1559">
        <v>2.57</v>
      </c>
      <c r="CZ1559">
        <v>2.57</v>
      </c>
      <c r="DA1559">
        <v>1.75</v>
      </c>
      <c r="DB1559">
        <v>-0.25</v>
      </c>
      <c r="DC1559">
        <v>0.4</v>
      </c>
      <c r="DD1559">
        <v>60.47</v>
      </c>
      <c r="DE1559" t="s">
        <v>5715</v>
      </c>
      <c r="DF1559">
        <v>27.77</v>
      </c>
      <c r="DG1559">
        <v>18.079999999999998</v>
      </c>
      <c r="DH1559">
        <v>16.329999999999998</v>
      </c>
      <c r="DI1559">
        <v>0.11</v>
      </c>
      <c r="DJ1559">
        <v>840</v>
      </c>
      <c r="DK1559">
        <v>300182</v>
      </c>
      <c r="DL1559" t="s">
        <v>120</v>
      </c>
      <c r="DM1559" t="s">
        <v>120</v>
      </c>
      <c r="DN1559" t="s">
        <v>120</v>
      </c>
    </row>
    <row r="1560" spans="1:118">
      <c r="A1560" t="str">
        <f>"300183"</f>
        <v>300183</v>
      </c>
      <c r="B1560" t="s">
        <v>8110</v>
      </c>
      <c r="C1560">
        <v>-7.2</v>
      </c>
      <c r="D1560">
        <v>-0.09</v>
      </c>
      <c r="E1560">
        <v>-0.83</v>
      </c>
      <c r="F1560">
        <v>2722</v>
      </c>
      <c r="G1560" t="s">
        <v>2734</v>
      </c>
      <c r="H1560">
        <v>40360.06</v>
      </c>
      <c r="I1560">
        <v>113.56</v>
      </c>
      <c r="J1560" t="s">
        <v>120</v>
      </c>
      <c r="K1560" t="s">
        <v>8111</v>
      </c>
      <c r="L1560">
        <v>6.43</v>
      </c>
      <c r="M1560">
        <v>20.239999999999998</v>
      </c>
      <c r="N1560">
        <v>0.81</v>
      </c>
      <c r="O1560">
        <v>1.28</v>
      </c>
      <c r="P1560">
        <v>22.09</v>
      </c>
      <c r="Q1560">
        <v>-7.24</v>
      </c>
      <c r="R1560">
        <v>20.23</v>
      </c>
      <c r="S1560">
        <v>21.63</v>
      </c>
      <c r="T1560">
        <v>191502</v>
      </c>
      <c r="U1560">
        <v>20.239999999999998</v>
      </c>
      <c r="V1560">
        <v>21.81</v>
      </c>
      <c r="W1560">
        <v>151.38999999999999</v>
      </c>
      <c r="X1560" t="s">
        <v>462</v>
      </c>
      <c r="Y1560" t="s">
        <v>638</v>
      </c>
      <c r="Z1560">
        <v>8.5299999999999994</v>
      </c>
      <c r="AA1560">
        <v>21.08</v>
      </c>
      <c r="AB1560">
        <v>116464</v>
      </c>
      <c r="AC1560">
        <v>75038</v>
      </c>
      <c r="AD1560">
        <v>1.55</v>
      </c>
      <c r="AE1560">
        <v>833</v>
      </c>
      <c r="AF1560">
        <v>45</v>
      </c>
      <c r="AG1560" t="s">
        <v>120</v>
      </c>
      <c r="AH1560">
        <v>0.02</v>
      </c>
      <c r="AI1560" t="s">
        <v>120</v>
      </c>
      <c r="AJ1560">
        <v>2.98</v>
      </c>
      <c r="AK1560" t="s">
        <v>5570</v>
      </c>
      <c r="AL1560">
        <v>-5.28</v>
      </c>
      <c r="AM1560">
        <v>3751</v>
      </c>
      <c r="AN1560">
        <v>51</v>
      </c>
      <c r="AO1560">
        <v>1.6999999999999999E-3</v>
      </c>
      <c r="AP1560">
        <v>-2</v>
      </c>
      <c r="AQ1560">
        <v>-2.59</v>
      </c>
      <c r="AR1560">
        <v>-3.48</v>
      </c>
      <c r="AS1560">
        <v>-10</v>
      </c>
      <c r="AT1560">
        <v>18.71</v>
      </c>
      <c r="AU1560">
        <v>22</v>
      </c>
      <c r="AV1560">
        <v>2</v>
      </c>
      <c r="AW1560">
        <v>8.5299999999999994</v>
      </c>
      <c r="AX1560">
        <v>48.52</v>
      </c>
      <c r="AY1560">
        <v>64.349999999999994</v>
      </c>
      <c r="AZ1560">
        <v>54.45</v>
      </c>
      <c r="BA1560">
        <v>0.6</v>
      </c>
      <c r="BB1560" t="s">
        <v>143</v>
      </c>
      <c r="BF1560">
        <v>-3.37</v>
      </c>
      <c r="BG1560">
        <v>-6.43</v>
      </c>
      <c r="BH1560">
        <v>-8.3699999999999992</v>
      </c>
      <c r="BI1560">
        <v>0.05</v>
      </c>
      <c r="BJ1560">
        <v>20210821</v>
      </c>
      <c r="BK1560">
        <v>20110222</v>
      </c>
      <c r="BL1560">
        <v>4.63</v>
      </c>
      <c r="BM1560" t="s">
        <v>120</v>
      </c>
      <c r="BN1560" t="s">
        <v>120</v>
      </c>
      <c r="BO1560">
        <v>31.59</v>
      </c>
      <c r="BP1560">
        <v>20.23</v>
      </c>
      <c r="BQ1560">
        <v>29.49</v>
      </c>
      <c r="BR1560">
        <v>0.12</v>
      </c>
      <c r="BS1560">
        <v>6.29</v>
      </c>
      <c r="BT1560">
        <v>23.36</v>
      </c>
      <c r="BU1560">
        <v>4.16</v>
      </c>
      <c r="BV1560">
        <v>1.0900000000000001</v>
      </c>
      <c r="BW1560">
        <v>1.55</v>
      </c>
      <c r="BX1560">
        <v>18.64</v>
      </c>
      <c r="BY1560">
        <v>1.79</v>
      </c>
      <c r="BZ1560">
        <v>2.2999999999999998</v>
      </c>
      <c r="CA1560" t="s">
        <v>120</v>
      </c>
      <c r="CB1560">
        <v>10.08</v>
      </c>
      <c r="CC1560">
        <v>2.88</v>
      </c>
      <c r="CD1560">
        <v>1.58</v>
      </c>
      <c r="CE1560">
        <v>0.27</v>
      </c>
      <c r="CF1560">
        <v>0.02</v>
      </c>
      <c r="CG1560">
        <v>0.27</v>
      </c>
      <c r="CH1560">
        <v>0.31</v>
      </c>
      <c r="CI1560">
        <v>0.31</v>
      </c>
      <c r="CJ1560">
        <v>-1.57</v>
      </c>
      <c r="CK1560">
        <v>0.23</v>
      </c>
      <c r="CL1560">
        <v>12.41</v>
      </c>
      <c r="CM1560">
        <v>0.7</v>
      </c>
      <c r="CN1560">
        <v>-0.77</v>
      </c>
      <c r="CO1560">
        <v>33897</v>
      </c>
      <c r="CP1560">
        <v>6622</v>
      </c>
      <c r="CQ1560" t="s">
        <v>8112</v>
      </c>
      <c r="CR1560">
        <v>-47.96</v>
      </c>
      <c r="CS1560">
        <v>-2.87</v>
      </c>
      <c r="CT1560">
        <v>3.18</v>
      </c>
      <c r="CU1560">
        <v>133.46</v>
      </c>
      <c r="CV1560">
        <v>32.549999999999997</v>
      </c>
      <c r="CW1560">
        <v>0.92</v>
      </c>
      <c r="CX1560" t="s">
        <v>1845</v>
      </c>
      <c r="CY1560">
        <v>6.37</v>
      </c>
      <c r="CZ1560">
        <v>0</v>
      </c>
      <c r="DA1560">
        <v>2.1800000000000002</v>
      </c>
      <c r="DB1560">
        <v>2.68</v>
      </c>
      <c r="DC1560">
        <v>0.15</v>
      </c>
      <c r="DD1560">
        <v>93.34</v>
      </c>
      <c r="DE1560" t="s">
        <v>249</v>
      </c>
      <c r="DF1560">
        <v>44.91</v>
      </c>
      <c r="DG1560">
        <v>9.36</v>
      </c>
      <c r="DH1560">
        <v>10.75</v>
      </c>
      <c r="DI1560">
        <v>0.69</v>
      </c>
      <c r="DJ1560">
        <v>899</v>
      </c>
      <c r="DK1560">
        <v>300183</v>
      </c>
      <c r="DL1560" t="s">
        <v>120</v>
      </c>
      <c r="DM1560" t="s">
        <v>120</v>
      </c>
      <c r="DN1560" t="s">
        <v>120</v>
      </c>
    </row>
    <row r="1561" spans="1:118">
      <c r="A1561" t="str">
        <f>"300184"</f>
        <v>300184</v>
      </c>
      <c r="B1561" t="s">
        <v>8113</v>
      </c>
      <c r="C1561">
        <v>-4.74</v>
      </c>
      <c r="D1561">
        <v>-0.33</v>
      </c>
      <c r="E1561">
        <v>-0.49</v>
      </c>
      <c r="F1561">
        <v>4403</v>
      </c>
      <c r="G1561" t="s">
        <v>409</v>
      </c>
      <c r="H1561">
        <v>21014.34</v>
      </c>
      <c r="I1561">
        <v>10.6</v>
      </c>
      <c r="J1561" t="s">
        <v>120</v>
      </c>
      <c r="K1561" t="s">
        <v>8114</v>
      </c>
      <c r="L1561">
        <v>3.48</v>
      </c>
      <c r="M1561">
        <v>5.83</v>
      </c>
      <c r="N1561">
        <v>0.96</v>
      </c>
      <c r="O1561">
        <v>0.65</v>
      </c>
      <c r="P1561">
        <v>6.16</v>
      </c>
      <c r="Q1561">
        <v>-4.9000000000000004</v>
      </c>
      <c r="R1561">
        <v>5.82</v>
      </c>
      <c r="S1561">
        <v>6.09</v>
      </c>
      <c r="T1561">
        <v>351031</v>
      </c>
      <c r="U1561">
        <v>5.83</v>
      </c>
      <c r="V1561">
        <v>6.12</v>
      </c>
      <c r="W1561">
        <v>18.95</v>
      </c>
      <c r="X1561" t="s">
        <v>229</v>
      </c>
      <c r="Y1561" t="s">
        <v>763</v>
      </c>
      <c r="Z1561">
        <v>5.56</v>
      </c>
      <c r="AA1561">
        <v>5.99</v>
      </c>
      <c r="AB1561">
        <v>204686</v>
      </c>
      <c r="AC1561">
        <v>146345</v>
      </c>
      <c r="AD1561">
        <v>1.4</v>
      </c>
      <c r="AE1561">
        <v>2334</v>
      </c>
      <c r="AF1561">
        <v>166</v>
      </c>
      <c r="AG1561" t="s">
        <v>120</v>
      </c>
      <c r="AH1561">
        <v>0</v>
      </c>
      <c r="AI1561" t="s">
        <v>120</v>
      </c>
      <c r="AJ1561">
        <v>10.08</v>
      </c>
      <c r="AK1561" t="s">
        <v>748</v>
      </c>
      <c r="AL1561">
        <v>-2.82</v>
      </c>
      <c r="AM1561">
        <v>3256</v>
      </c>
      <c r="AN1561">
        <v>108</v>
      </c>
      <c r="AO1561">
        <v>1.1000000000000001E-3</v>
      </c>
      <c r="AP1561">
        <v>-2</v>
      </c>
      <c r="AQ1561">
        <v>-0.16</v>
      </c>
      <c r="AR1561">
        <v>-4.74</v>
      </c>
      <c r="AS1561">
        <v>-1.19</v>
      </c>
      <c r="AT1561">
        <v>-3.8</v>
      </c>
      <c r="AU1561">
        <v>14.76</v>
      </c>
      <c r="AV1561">
        <v>1</v>
      </c>
      <c r="AW1561">
        <v>4.0599999999999996</v>
      </c>
      <c r="AX1561">
        <v>73.319999999999993</v>
      </c>
      <c r="AY1561" t="s">
        <v>120</v>
      </c>
      <c r="AZ1561" t="s">
        <v>120</v>
      </c>
      <c r="BA1561">
        <v>0.75</v>
      </c>
      <c r="BB1561" t="s">
        <v>125</v>
      </c>
      <c r="BF1561">
        <v>-2.1800000000000002</v>
      </c>
      <c r="BG1561">
        <v>-4.2699999999999996</v>
      </c>
      <c r="BH1561">
        <v>-5.36</v>
      </c>
      <c r="BI1561">
        <v>0.17</v>
      </c>
      <c r="BJ1561">
        <v>20210913</v>
      </c>
      <c r="BK1561">
        <v>20110222</v>
      </c>
      <c r="BL1561">
        <v>11.78</v>
      </c>
      <c r="BM1561" t="s">
        <v>120</v>
      </c>
      <c r="BN1561" t="s">
        <v>120</v>
      </c>
      <c r="BO1561">
        <v>50.09</v>
      </c>
      <c r="BP1561">
        <v>5.82</v>
      </c>
      <c r="BQ1561">
        <v>30.59</v>
      </c>
      <c r="BR1561" t="s">
        <v>120</v>
      </c>
      <c r="BS1561">
        <v>38.92</v>
      </c>
      <c r="BT1561">
        <v>42.46</v>
      </c>
      <c r="BU1561">
        <v>2.19</v>
      </c>
      <c r="BV1561">
        <v>0.52</v>
      </c>
      <c r="BW1561">
        <v>18.91</v>
      </c>
      <c r="BX1561">
        <v>7.41</v>
      </c>
      <c r="BY1561">
        <v>11.34</v>
      </c>
      <c r="BZ1561">
        <v>19.43</v>
      </c>
      <c r="CA1561" t="s">
        <v>120</v>
      </c>
      <c r="CB1561">
        <v>25.12</v>
      </c>
      <c r="CC1561">
        <v>55.85</v>
      </c>
      <c r="CD1561">
        <v>51.86</v>
      </c>
      <c r="CE1561">
        <v>2.2200000000000002</v>
      </c>
      <c r="CF1561">
        <v>0</v>
      </c>
      <c r="CG1561">
        <v>2.2200000000000002</v>
      </c>
      <c r="CH1561">
        <v>1.81</v>
      </c>
      <c r="CI1561">
        <v>1.81</v>
      </c>
      <c r="CJ1561">
        <v>-0.28999999999999998</v>
      </c>
      <c r="CK1561">
        <v>1.8</v>
      </c>
      <c r="CL1561">
        <v>-6.4</v>
      </c>
      <c r="CM1561">
        <v>1.38</v>
      </c>
      <c r="CN1561">
        <v>7.0000000000000007E-2</v>
      </c>
      <c r="CO1561">
        <v>74000</v>
      </c>
      <c r="CP1561">
        <v>11673</v>
      </c>
      <c r="CQ1561" t="s">
        <v>6222</v>
      </c>
      <c r="CR1561">
        <v>69.040000000000006</v>
      </c>
      <c r="CS1561">
        <v>2.62</v>
      </c>
      <c r="CT1561">
        <v>2.25</v>
      </c>
      <c r="CU1561">
        <v>49.85</v>
      </c>
      <c r="CV1561">
        <v>1.23</v>
      </c>
      <c r="CW1561">
        <v>0</v>
      </c>
      <c r="CX1561" t="s">
        <v>4049</v>
      </c>
      <c r="CY1561">
        <v>2.6</v>
      </c>
      <c r="CZ1561">
        <v>0</v>
      </c>
      <c r="DA1561">
        <v>2.13</v>
      </c>
      <c r="DB1561">
        <v>-0.54</v>
      </c>
      <c r="DC1561">
        <v>0.12</v>
      </c>
      <c r="DD1561">
        <v>61.08</v>
      </c>
      <c r="DE1561" t="s">
        <v>8115</v>
      </c>
      <c r="DF1561">
        <v>7.13</v>
      </c>
      <c r="DG1561">
        <v>3.98</v>
      </c>
      <c r="DH1561">
        <v>3.24</v>
      </c>
      <c r="DI1561">
        <v>0.26</v>
      </c>
      <c r="DJ1561">
        <v>1360</v>
      </c>
      <c r="DK1561">
        <v>300184</v>
      </c>
      <c r="DL1561" t="s">
        <v>120</v>
      </c>
      <c r="DM1561" t="s">
        <v>120</v>
      </c>
      <c r="DN1561" t="s">
        <v>120</v>
      </c>
    </row>
    <row r="1562" spans="1:118">
      <c r="A1562" t="str">
        <f>"300185"</f>
        <v>300185</v>
      </c>
      <c r="B1562" t="s">
        <v>8116</v>
      </c>
      <c r="C1562">
        <v>-0.5</v>
      </c>
      <c r="D1562">
        <v>0</v>
      </c>
      <c r="E1562">
        <v>0.25</v>
      </c>
      <c r="F1562">
        <v>31114</v>
      </c>
      <c r="G1562" t="s">
        <v>8117</v>
      </c>
      <c r="H1562">
        <v>155594.06</v>
      </c>
      <c r="I1562">
        <v>1370.61</v>
      </c>
      <c r="J1562" t="s">
        <v>120</v>
      </c>
      <c r="K1562" t="s">
        <v>2349</v>
      </c>
      <c r="L1562">
        <v>12.27</v>
      </c>
      <c r="M1562">
        <v>4.01</v>
      </c>
      <c r="N1562">
        <v>1.84</v>
      </c>
      <c r="O1562">
        <v>7.2</v>
      </c>
      <c r="P1562">
        <v>4.32</v>
      </c>
      <c r="Q1562">
        <v>-0.99</v>
      </c>
      <c r="R1562">
        <v>3.99</v>
      </c>
      <c r="S1562">
        <v>4.04</v>
      </c>
      <c r="T1562">
        <v>3761557</v>
      </c>
      <c r="U1562">
        <v>4.0199999999999996</v>
      </c>
      <c r="V1562">
        <v>4.03</v>
      </c>
      <c r="W1562">
        <v>38.61</v>
      </c>
      <c r="X1562" t="s">
        <v>593</v>
      </c>
      <c r="Y1562" t="s">
        <v>638</v>
      </c>
      <c r="Z1562">
        <v>8.19</v>
      </c>
      <c r="AA1562">
        <v>4.1399999999999997</v>
      </c>
      <c r="AB1562">
        <v>1794283</v>
      </c>
      <c r="AC1562">
        <v>1967273</v>
      </c>
      <c r="AD1562">
        <v>0.91</v>
      </c>
      <c r="AE1562">
        <v>1646</v>
      </c>
      <c r="AF1562">
        <v>14798</v>
      </c>
      <c r="AG1562" t="s">
        <v>120</v>
      </c>
      <c r="AH1562">
        <v>0.12</v>
      </c>
      <c r="AI1562" t="s">
        <v>120</v>
      </c>
      <c r="AJ1562">
        <v>30.66</v>
      </c>
      <c r="AK1562" t="s">
        <v>8118</v>
      </c>
      <c r="AL1562">
        <v>1.42</v>
      </c>
      <c r="AM1562">
        <v>4629</v>
      </c>
      <c r="AN1562">
        <v>813</v>
      </c>
      <c r="AO1562">
        <v>2.7000000000000001E-3</v>
      </c>
      <c r="AP1562">
        <v>-1</v>
      </c>
      <c r="AQ1562">
        <v>4.4000000000000004</v>
      </c>
      <c r="AR1562">
        <v>0.5</v>
      </c>
      <c r="AS1562">
        <v>14.9</v>
      </c>
      <c r="AT1562">
        <v>32.340000000000003</v>
      </c>
      <c r="AU1562">
        <v>4.7</v>
      </c>
      <c r="AV1562">
        <v>0</v>
      </c>
      <c r="AW1562">
        <v>13.25</v>
      </c>
      <c r="AX1562">
        <v>72.86</v>
      </c>
      <c r="AY1562">
        <v>39.26</v>
      </c>
      <c r="AZ1562">
        <v>41.18</v>
      </c>
      <c r="BA1562">
        <v>0.56000000000000005</v>
      </c>
      <c r="BB1562" t="s">
        <v>184</v>
      </c>
      <c r="BF1562">
        <v>2.64</v>
      </c>
      <c r="BG1562">
        <v>-0.74</v>
      </c>
      <c r="BH1562">
        <v>-7.18</v>
      </c>
      <c r="BI1562">
        <v>0.5</v>
      </c>
      <c r="BJ1562">
        <v>20210813</v>
      </c>
      <c r="BK1562">
        <v>20110308</v>
      </c>
      <c r="BL1562">
        <v>38.97</v>
      </c>
      <c r="BM1562" t="s">
        <v>120</v>
      </c>
      <c r="BN1562" t="s">
        <v>120</v>
      </c>
      <c r="BO1562">
        <v>128.57</v>
      </c>
      <c r="BP1562">
        <v>4.01</v>
      </c>
      <c r="BQ1562">
        <v>64.290000000000006</v>
      </c>
      <c r="BR1562">
        <v>0.42</v>
      </c>
      <c r="BS1562">
        <v>49.67</v>
      </c>
      <c r="BT1562">
        <v>68.349999999999994</v>
      </c>
      <c r="BU1562">
        <v>48.5</v>
      </c>
      <c r="BV1562">
        <v>4.7300000000000004</v>
      </c>
      <c r="BW1562">
        <v>57.73</v>
      </c>
      <c r="BX1562">
        <v>10.98</v>
      </c>
      <c r="BY1562">
        <v>23.14</v>
      </c>
      <c r="BZ1562">
        <v>16.350000000000001</v>
      </c>
      <c r="CA1562" t="s">
        <v>120</v>
      </c>
      <c r="CB1562">
        <v>13.7</v>
      </c>
      <c r="CC1562">
        <v>28.73</v>
      </c>
      <c r="CD1562">
        <v>23.15</v>
      </c>
      <c r="CE1562">
        <v>2.59</v>
      </c>
      <c r="CF1562">
        <v>0.02</v>
      </c>
      <c r="CG1562">
        <v>2.6</v>
      </c>
      <c r="CH1562">
        <v>2.16</v>
      </c>
      <c r="CI1562">
        <v>2.02</v>
      </c>
      <c r="CJ1562">
        <v>-0.02</v>
      </c>
      <c r="CK1562">
        <v>1.84</v>
      </c>
      <c r="CL1562">
        <v>9.8800000000000008</v>
      </c>
      <c r="CM1562">
        <v>1.64</v>
      </c>
      <c r="CN1562">
        <v>0.09</v>
      </c>
      <c r="CO1562">
        <v>181906</v>
      </c>
      <c r="CP1562">
        <v>15608</v>
      </c>
      <c r="CQ1562" t="s">
        <v>8119</v>
      </c>
      <c r="CR1562">
        <v>10.18</v>
      </c>
      <c r="CS1562">
        <v>15.14</v>
      </c>
      <c r="CT1562">
        <v>2.4300000000000002</v>
      </c>
      <c r="CU1562">
        <v>95.25</v>
      </c>
      <c r="CV1562">
        <v>5.44</v>
      </c>
      <c r="CW1562">
        <v>1.24</v>
      </c>
      <c r="CX1562" t="s">
        <v>1248</v>
      </c>
      <c r="CY1562">
        <v>1.65</v>
      </c>
      <c r="CZ1562">
        <v>0</v>
      </c>
      <c r="DA1562">
        <v>0.35</v>
      </c>
      <c r="DB1562">
        <v>0.25</v>
      </c>
      <c r="DC1562">
        <v>0.04</v>
      </c>
      <c r="DD1562">
        <v>50</v>
      </c>
      <c r="DE1562" t="s">
        <v>589</v>
      </c>
      <c r="DF1562">
        <v>19.420000000000002</v>
      </c>
      <c r="DG1562">
        <v>9.02</v>
      </c>
      <c r="DH1562">
        <v>7.04</v>
      </c>
      <c r="DI1562">
        <v>0.68</v>
      </c>
      <c r="DJ1562">
        <v>4525</v>
      </c>
      <c r="DK1562">
        <v>300185</v>
      </c>
      <c r="DL1562" t="s">
        <v>120</v>
      </c>
      <c r="DM1562" t="s">
        <v>120</v>
      </c>
      <c r="DN1562" t="s">
        <v>120</v>
      </c>
    </row>
    <row r="1563" spans="1:118">
      <c r="A1563" t="str">
        <f>"300187"</f>
        <v>300187</v>
      </c>
      <c r="B1563" t="s">
        <v>8120</v>
      </c>
      <c r="C1563">
        <v>-3.99</v>
      </c>
      <c r="D1563">
        <v>-0.11</v>
      </c>
      <c r="E1563">
        <v>1.37</v>
      </c>
      <c r="F1563">
        <v>3628</v>
      </c>
      <c r="G1563" t="s">
        <v>7251</v>
      </c>
      <c r="H1563">
        <v>23503.78</v>
      </c>
      <c r="I1563">
        <v>112.19</v>
      </c>
      <c r="J1563" t="s">
        <v>120</v>
      </c>
      <c r="K1563" t="s">
        <v>8121</v>
      </c>
      <c r="L1563">
        <v>4.21</v>
      </c>
      <c r="M1563">
        <v>8.42</v>
      </c>
      <c r="N1563">
        <v>0.65</v>
      </c>
      <c r="O1563">
        <v>3.53</v>
      </c>
      <c r="P1563">
        <v>9.08</v>
      </c>
      <c r="Q1563">
        <v>-4.68</v>
      </c>
      <c r="R1563">
        <v>8.36</v>
      </c>
      <c r="S1563">
        <v>8.89</v>
      </c>
      <c r="T1563">
        <v>270881</v>
      </c>
      <c r="U1563">
        <v>8.43</v>
      </c>
      <c r="V1563">
        <v>8.77</v>
      </c>
      <c r="W1563">
        <v>59.7</v>
      </c>
      <c r="X1563" t="s">
        <v>318</v>
      </c>
      <c r="Y1563" t="s">
        <v>594</v>
      </c>
      <c r="Z1563">
        <v>8.2100000000000009</v>
      </c>
      <c r="AA1563">
        <v>8.68</v>
      </c>
      <c r="AB1563">
        <v>157984</v>
      </c>
      <c r="AC1563">
        <v>112897</v>
      </c>
      <c r="AD1563">
        <v>1.4</v>
      </c>
      <c r="AE1563">
        <v>760</v>
      </c>
      <c r="AF1563">
        <v>1166</v>
      </c>
      <c r="AG1563" t="s">
        <v>120</v>
      </c>
      <c r="AH1563">
        <v>0.05</v>
      </c>
      <c r="AI1563" t="s">
        <v>120</v>
      </c>
      <c r="AJ1563">
        <v>6.44</v>
      </c>
      <c r="AK1563" t="s">
        <v>8122</v>
      </c>
      <c r="AL1563">
        <v>-2.08</v>
      </c>
      <c r="AM1563">
        <v>3531</v>
      </c>
      <c r="AN1563">
        <v>77</v>
      </c>
      <c r="AO1563">
        <v>1.1999999999999999E-3</v>
      </c>
      <c r="AP1563">
        <v>-3</v>
      </c>
      <c r="AQ1563">
        <v>-2.23</v>
      </c>
      <c r="AR1563">
        <v>-10.23</v>
      </c>
      <c r="AS1563">
        <v>20.29</v>
      </c>
      <c r="AT1563">
        <v>14.25</v>
      </c>
      <c r="AU1563">
        <v>24.19</v>
      </c>
      <c r="AV1563">
        <v>1</v>
      </c>
      <c r="AW1563">
        <v>10.9</v>
      </c>
      <c r="AX1563">
        <v>38.54</v>
      </c>
      <c r="AY1563">
        <v>145.62</v>
      </c>
      <c r="AZ1563">
        <v>173.64</v>
      </c>
      <c r="BA1563">
        <v>0.13</v>
      </c>
      <c r="BB1563" t="s">
        <v>240</v>
      </c>
      <c r="BF1563">
        <v>-1.06</v>
      </c>
      <c r="BG1563">
        <v>-5.29</v>
      </c>
      <c r="BH1563">
        <v>-7.27</v>
      </c>
      <c r="BI1563">
        <v>0.72</v>
      </c>
      <c r="BJ1563">
        <v>20210914</v>
      </c>
      <c r="BK1563">
        <v>20110308</v>
      </c>
      <c r="BL1563">
        <v>6.45</v>
      </c>
      <c r="BM1563" t="s">
        <v>120</v>
      </c>
      <c r="BN1563" t="s">
        <v>120</v>
      </c>
      <c r="BO1563">
        <v>37.770000000000003</v>
      </c>
      <c r="BP1563">
        <v>8.42</v>
      </c>
      <c r="BQ1563">
        <v>14.9</v>
      </c>
      <c r="BR1563">
        <v>1.17</v>
      </c>
      <c r="BS1563">
        <v>57.46</v>
      </c>
      <c r="BT1563">
        <v>13.99</v>
      </c>
      <c r="BU1563">
        <v>4.57</v>
      </c>
      <c r="BV1563">
        <v>8.2200000000000006</v>
      </c>
      <c r="BW1563">
        <v>13.54</v>
      </c>
      <c r="BX1563">
        <v>2.97</v>
      </c>
      <c r="BY1563">
        <v>0.85</v>
      </c>
      <c r="BZ1563">
        <v>4.26</v>
      </c>
      <c r="CA1563" t="s">
        <v>120</v>
      </c>
      <c r="CB1563">
        <v>3.64</v>
      </c>
      <c r="CC1563">
        <v>4</v>
      </c>
      <c r="CD1563">
        <v>2.83</v>
      </c>
      <c r="CE1563">
        <v>0.75</v>
      </c>
      <c r="CF1563">
        <v>0.18</v>
      </c>
      <c r="CG1563">
        <v>0.75</v>
      </c>
      <c r="CH1563">
        <v>0.63</v>
      </c>
      <c r="CI1563">
        <v>0.45</v>
      </c>
      <c r="CJ1563">
        <v>-0.35</v>
      </c>
      <c r="CK1563">
        <v>0.41</v>
      </c>
      <c r="CL1563">
        <v>3.3</v>
      </c>
      <c r="CM1563">
        <v>0.91</v>
      </c>
      <c r="CN1563">
        <v>0.09</v>
      </c>
      <c r="CO1563">
        <v>32800</v>
      </c>
      <c r="CP1563">
        <v>7573</v>
      </c>
      <c r="CQ1563" t="s">
        <v>3287</v>
      </c>
      <c r="CR1563">
        <v>15.98</v>
      </c>
      <c r="CS1563">
        <v>45.22</v>
      </c>
      <c r="CT1563">
        <v>3.64</v>
      </c>
      <c r="CU1563">
        <v>59.65</v>
      </c>
      <c r="CV1563">
        <v>13.56</v>
      </c>
      <c r="CW1563">
        <v>0</v>
      </c>
      <c r="CX1563" t="s">
        <v>8123</v>
      </c>
      <c r="CY1563">
        <v>2.31</v>
      </c>
      <c r="CZ1563">
        <v>0</v>
      </c>
      <c r="DA1563">
        <v>0.56000000000000005</v>
      </c>
      <c r="DB1563">
        <v>0.51</v>
      </c>
      <c r="DC1563">
        <v>0.14000000000000001</v>
      </c>
      <c r="DD1563">
        <v>39.450000000000003</v>
      </c>
      <c r="DE1563" t="s">
        <v>4017</v>
      </c>
      <c r="DF1563">
        <v>29.38</v>
      </c>
      <c r="DG1563">
        <v>18.739999999999998</v>
      </c>
      <c r="DH1563">
        <v>11.36</v>
      </c>
      <c r="DI1563">
        <v>0.1</v>
      </c>
      <c r="DJ1563">
        <v>837</v>
      </c>
      <c r="DK1563">
        <v>300187</v>
      </c>
      <c r="DL1563">
        <v>20210831</v>
      </c>
      <c r="DM1563">
        <v>8.8000000000000007</v>
      </c>
      <c r="DN1563">
        <v>-4.32</v>
      </c>
    </row>
    <row r="1564" spans="1:118">
      <c r="A1564" t="str">
        <f>"300188"</f>
        <v>300188</v>
      </c>
      <c r="B1564" t="s">
        <v>8124</v>
      </c>
      <c r="C1564">
        <v>-2.5</v>
      </c>
      <c r="D1564">
        <v>-0.64</v>
      </c>
      <c r="E1564">
        <v>0.12</v>
      </c>
      <c r="F1564">
        <v>4702</v>
      </c>
      <c r="G1564" t="s">
        <v>8125</v>
      </c>
      <c r="H1564">
        <v>16509.830000000002</v>
      </c>
      <c r="I1564">
        <v>43.3</v>
      </c>
      <c r="J1564" t="s">
        <v>120</v>
      </c>
      <c r="K1564" t="s">
        <v>8126</v>
      </c>
      <c r="L1564">
        <v>1.59</v>
      </c>
      <c r="M1564">
        <v>16.8</v>
      </c>
      <c r="N1564">
        <v>0.86</v>
      </c>
      <c r="O1564">
        <v>1.1599999999999999</v>
      </c>
      <c r="P1564">
        <v>17.43</v>
      </c>
      <c r="Q1564">
        <v>-2.5</v>
      </c>
      <c r="R1564">
        <v>16.8</v>
      </c>
      <c r="S1564">
        <v>17.25</v>
      </c>
      <c r="T1564">
        <v>96573</v>
      </c>
      <c r="U1564">
        <v>16.86</v>
      </c>
      <c r="V1564">
        <v>17.23</v>
      </c>
      <c r="W1564">
        <v>837.68</v>
      </c>
      <c r="X1564" t="s">
        <v>141</v>
      </c>
      <c r="Y1564" t="s">
        <v>937</v>
      </c>
      <c r="Z1564">
        <v>3.66</v>
      </c>
      <c r="AA1564">
        <v>17.100000000000001</v>
      </c>
      <c r="AB1564">
        <v>55865</v>
      </c>
      <c r="AC1564">
        <v>40708</v>
      </c>
      <c r="AD1564">
        <v>1.37</v>
      </c>
      <c r="AE1564">
        <v>516</v>
      </c>
      <c r="AF1564">
        <v>6</v>
      </c>
      <c r="AG1564" t="s">
        <v>120</v>
      </c>
      <c r="AH1564">
        <v>0.01</v>
      </c>
      <c r="AI1564" t="s">
        <v>120</v>
      </c>
      <c r="AJ1564">
        <v>6.08</v>
      </c>
      <c r="AK1564" t="s">
        <v>3258</v>
      </c>
      <c r="AL1564">
        <v>-0.57999999999999996</v>
      </c>
      <c r="AM1564">
        <v>2506</v>
      </c>
      <c r="AN1564">
        <v>39</v>
      </c>
      <c r="AO1564">
        <v>5.9999999999999995E-4</v>
      </c>
      <c r="AP1564">
        <v>-2</v>
      </c>
      <c r="AQ1564">
        <v>-2.1</v>
      </c>
      <c r="AR1564">
        <v>-4.22</v>
      </c>
      <c r="AS1564">
        <v>-10.16</v>
      </c>
      <c r="AT1564">
        <v>-1.1200000000000001</v>
      </c>
      <c r="AU1564">
        <v>-21.53</v>
      </c>
      <c r="AV1564">
        <v>1</v>
      </c>
      <c r="AW1564">
        <v>2.2799999999999998</v>
      </c>
      <c r="AX1564">
        <v>52.49</v>
      </c>
      <c r="AY1564">
        <v>36.659999999999997</v>
      </c>
      <c r="AZ1564">
        <v>37.090000000000003</v>
      </c>
      <c r="BA1564">
        <v>1.1200000000000001</v>
      </c>
      <c r="BB1564" t="s">
        <v>134</v>
      </c>
      <c r="BF1564">
        <v>-0.78</v>
      </c>
      <c r="BG1564">
        <v>-2.61</v>
      </c>
      <c r="BH1564">
        <v>-3.61</v>
      </c>
      <c r="BI1564">
        <v>0</v>
      </c>
      <c r="BJ1564">
        <v>20210914</v>
      </c>
      <c r="BK1564">
        <v>20110316</v>
      </c>
      <c r="BL1564">
        <v>8.06</v>
      </c>
      <c r="BM1564" t="s">
        <v>120</v>
      </c>
      <c r="BN1564" t="s">
        <v>120</v>
      </c>
      <c r="BO1564">
        <v>41.51</v>
      </c>
      <c r="BP1564">
        <v>16.8</v>
      </c>
      <c r="BQ1564">
        <v>31.66</v>
      </c>
      <c r="BR1564">
        <v>0.37</v>
      </c>
      <c r="BS1564">
        <v>22.84</v>
      </c>
      <c r="BT1564">
        <v>25.11</v>
      </c>
      <c r="BU1564">
        <v>4.46</v>
      </c>
      <c r="BV1564">
        <v>1.48</v>
      </c>
      <c r="BW1564">
        <v>8.4</v>
      </c>
      <c r="BX1564">
        <v>5.7</v>
      </c>
      <c r="BY1564">
        <v>6.33</v>
      </c>
      <c r="BZ1564">
        <v>7.24</v>
      </c>
      <c r="CA1564" t="s">
        <v>120</v>
      </c>
      <c r="CB1564">
        <v>7.45</v>
      </c>
      <c r="CC1564">
        <v>7.9</v>
      </c>
      <c r="CD1564">
        <v>3.14</v>
      </c>
      <c r="CE1564">
        <v>0.03</v>
      </c>
      <c r="CF1564">
        <v>-0.02</v>
      </c>
      <c r="CG1564">
        <v>0.02</v>
      </c>
      <c r="CH1564">
        <v>0</v>
      </c>
      <c r="CI1564">
        <v>0.08</v>
      </c>
      <c r="CJ1564">
        <v>-0.43</v>
      </c>
      <c r="CK1564">
        <v>-0.08</v>
      </c>
      <c r="CL1564">
        <v>14.05</v>
      </c>
      <c r="CM1564">
        <v>-4.93</v>
      </c>
      <c r="CN1564">
        <v>-5.51</v>
      </c>
      <c r="CO1564">
        <v>43419</v>
      </c>
      <c r="CP1564">
        <v>9749</v>
      </c>
      <c r="CQ1564" t="s">
        <v>8127</v>
      </c>
      <c r="CR1564">
        <v>116.02</v>
      </c>
      <c r="CS1564">
        <v>29.24</v>
      </c>
      <c r="CT1564">
        <v>4.28</v>
      </c>
      <c r="CU1564">
        <v>-27.45</v>
      </c>
      <c r="CV1564">
        <v>17.14</v>
      </c>
      <c r="CW1564">
        <v>0.75</v>
      </c>
      <c r="CX1564" t="s">
        <v>178</v>
      </c>
      <c r="CY1564">
        <v>3.93</v>
      </c>
      <c r="CZ1564">
        <v>0</v>
      </c>
      <c r="DA1564">
        <v>0.92</v>
      </c>
      <c r="DB1564">
        <v>1.74</v>
      </c>
      <c r="DC1564">
        <v>-0.61</v>
      </c>
      <c r="DD1564">
        <v>76.27</v>
      </c>
      <c r="DE1564" t="s">
        <v>7692</v>
      </c>
      <c r="DF1564">
        <v>60.26</v>
      </c>
      <c r="DG1564">
        <v>0.39</v>
      </c>
      <c r="DH1564">
        <v>1.02</v>
      </c>
      <c r="DI1564">
        <v>2.16</v>
      </c>
      <c r="DJ1564">
        <v>3745</v>
      </c>
      <c r="DK1564">
        <v>300188</v>
      </c>
      <c r="DL1564" t="s">
        <v>120</v>
      </c>
      <c r="DM1564" t="s">
        <v>120</v>
      </c>
      <c r="DN1564" t="s">
        <v>120</v>
      </c>
    </row>
    <row r="1565" spans="1:118">
      <c r="A1565" t="str">
        <f>"300189"</f>
        <v>300189</v>
      </c>
      <c r="B1565" t="s">
        <v>8128</v>
      </c>
      <c r="C1565">
        <v>0.19</v>
      </c>
      <c r="D1565">
        <v>0</v>
      </c>
      <c r="E1565">
        <v>-0.57999999999999996</v>
      </c>
      <c r="F1565">
        <v>7823</v>
      </c>
      <c r="G1565" t="s">
        <v>4505</v>
      </c>
      <c r="H1565">
        <v>46304.31</v>
      </c>
      <c r="I1565">
        <v>101.94</v>
      </c>
      <c r="J1565" t="s">
        <v>120</v>
      </c>
      <c r="K1565" t="s">
        <v>5884</v>
      </c>
      <c r="L1565">
        <v>9.2100000000000009</v>
      </c>
      <c r="M1565">
        <v>5.16</v>
      </c>
      <c r="N1565">
        <v>1.28</v>
      </c>
      <c r="O1565">
        <v>3.88</v>
      </c>
      <c r="P1565">
        <v>5.35</v>
      </c>
      <c r="Q1565">
        <v>-1.17</v>
      </c>
      <c r="R1565">
        <v>5.09</v>
      </c>
      <c r="S1565">
        <v>5.12</v>
      </c>
      <c r="T1565">
        <v>886915</v>
      </c>
      <c r="U1565">
        <v>5.17</v>
      </c>
      <c r="V1565">
        <v>5.15</v>
      </c>
      <c r="W1565" t="s">
        <v>120</v>
      </c>
      <c r="X1565" t="s">
        <v>1700</v>
      </c>
      <c r="Y1565" t="s">
        <v>835</v>
      </c>
      <c r="Z1565">
        <v>5.05</v>
      </c>
      <c r="AA1565">
        <v>5.22</v>
      </c>
      <c r="AB1565">
        <v>423774</v>
      </c>
      <c r="AC1565">
        <v>463141</v>
      </c>
      <c r="AD1565">
        <v>0.91</v>
      </c>
      <c r="AE1565">
        <v>1680</v>
      </c>
      <c r="AF1565">
        <v>5556</v>
      </c>
      <c r="AG1565" t="s">
        <v>120</v>
      </c>
      <c r="AH1565">
        <v>0.03</v>
      </c>
      <c r="AI1565" t="s">
        <v>120</v>
      </c>
      <c r="AJ1565">
        <v>9.6300000000000008</v>
      </c>
      <c r="AK1565" t="s">
        <v>8129</v>
      </c>
      <c r="AL1565">
        <v>2.11</v>
      </c>
      <c r="AM1565">
        <v>3855</v>
      </c>
      <c r="AN1565">
        <v>230</v>
      </c>
      <c r="AO1565">
        <v>2.3999999999999998E-3</v>
      </c>
      <c r="AP1565">
        <v>2</v>
      </c>
      <c r="AQ1565">
        <v>1.98</v>
      </c>
      <c r="AR1565">
        <v>0.39</v>
      </c>
      <c r="AS1565">
        <v>2.38</v>
      </c>
      <c r="AT1565">
        <v>10.73</v>
      </c>
      <c r="AU1565">
        <v>-18.09</v>
      </c>
      <c r="AV1565">
        <v>1</v>
      </c>
      <c r="AW1565">
        <v>12.81</v>
      </c>
      <c r="AX1565">
        <v>67.599999999999994</v>
      </c>
      <c r="AY1565" t="s">
        <v>120</v>
      </c>
      <c r="AZ1565" t="s">
        <v>120</v>
      </c>
      <c r="BA1565">
        <v>0.39</v>
      </c>
      <c r="BB1565" t="s">
        <v>143</v>
      </c>
      <c r="BF1565">
        <v>1.38</v>
      </c>
      <c r="BG1565">
        <v>0.78</v>
      </c>
      <c r="BH1565">
        <v>-3.55</v>
      </c>
      <c r="BI1565">
        <v>1.38</v>
      </c>
      <c r="BJ1565">
        <v>20210830</v>
      </c>
      <c r="BK1565">
        <v>20110316</v>
      </c>
      <c r="BL1565">
        <v>10.24</v>
      </c>
      <c r="BM1565" t="s">
        <v>120</v>
      </c>
      <c r="BN1565" t="s">
        <v>120</v>
      </c>
      <c r="BO1565">
        <v>11.21</v>
      </c>
      <c r="BP1565">
        <v>5.16</v>
      </c>
      <c r="BQ1565">
        <v>9.15</v>
      </c>
      <c r="BR1565">
        <v>0.78</v>
      </c>
      <c r="BS1565">
        <v>11.44</v>
      </c>
      <c r="BT1565">
        <v>3.77</v>
      </c>
      <c r="BU1565">
        <v>2.52</v>
      </c>
      <c r="BV1565">
        <v>1.59</v>
      </c>
      <c r="BW1565">
        <v>1.1499999999999999</v>
      </c>
      <c r="BX1565">
        <v>2.16</v>
      </c>
      <c r="BY1565">
        <v>0.4</v>
      </c>
      <c r="BZ1565">
        <v>0.46</v>
      </c>
      <c r="CA1565">
        <v>0.03</v>
      </c>
      <c r="CB1565">
        <v>2.75</v>
      </c>
      <c r="CC1565">
        <v>0.74</v>
      </c>
      <c r="CD1565">
        <v>0.57999999999999996</v>
      </c>
      <c r="CE1565">
        <v>-0.22</v>
      </c>
      <c r="CF1565">
        <v>0.02</v>
      </c>
      <c r="CG1565">
        <v>-0.16</v>
      </c>
      <c r="CH1565">
        <v>-0.16</v>
      </c>
      <c r="CI1565">
        <v>-0.14000000000000001</v>
      </c>
      <c r="CJ1565">
        <v>0.01</v>
      </c>
      <c r="CK1565">
        <v>-0.27</v>
      </c>
      <c r="CL1565">
        <v>-4.05</v>
      </c>
      <c r="CM1565">
        <v>-0.04</v>
      </c>
      <c r="CN1565">
        <v>0.13</v>
      </c>
      <c r="CO1565">
        <v>78042</v>
      </c>
      <c r="CP1565">
        <v>8869</v>
      </c>
      <c r="CQ1565" t="s">
        <v>3986</v>
      </c>
      <c r="CR1565">
        <v>-128.79</v>
      </c>
      <c r="CS1565">
        <v>47.08</v>
      </c>
      <c r="CT1565">
        <v>5.78</v>
      </c>
      <c r="CU1565">
        <v>-1389.72</v>
      </c>
      <c r="CV1565">
        <v>71.540000000000006</v>
      </c>
      <c r="CW1565">
        <v>0</v>
      </c>
      <c r="CX1565" t="s">
        <v>7474</v>
      </c>
      <c r="CY1565">
        <v>0.89</v>
      </c>
      <c r="CZ1565">
        <v>0</v>
      </c>
      <c r="DA1565">
        <v>0.27</v>
      </c>
      <c r="DB1565">
        <v>-0.4</v>
      </c>
      <c r="DC1565">
        <v>0</v>
      </c>
      <c r="DD1565">
        <v>81.62</v>
      </c>
      <c r="DE1565" t="s">
        <v>8130</v>
      </c>
      <c r="DF1565">
        <v>20.84</v>
      </c>
      <c r="DG1565">
        <v>-30.38</v>
      </c>
      <c r="DH1565">
        <v>-18.77</v>
      </c>
      <c r="DI1565">
        <v>7.0000000000000007E-2</v>
      </c>
      <c r="DJ1565">
        <v>183</v>
      </c>
      <c r="DK1565">
        <v>300189</v>
      </c>
      <c r="DL1565" t="s">
        <v>120</v>
      </c>
      <c r="DM1565" t="s">
        <v>120</v>
      </c>
      <c r="DN1565" t="s">
        <v>120</v>
      </c>
    </row>
    <row r="1566" spans="1:118">
      <c r="A1566" t="str">
        <f>"300190"</f>
        <v>300190</v>
      </c>
      <c r="B1566" t="s">
        <v>8131</v>
      </c>
      <c r="C1566">
        <v>-2.54</v>
      </c>
      <c r="D1566">
        <v>0</v>
      </c>
      <c r="E1566">
        <v>1.05</v>
      </c>
      <c r="F1566">
        <v>2050</v>
      </c>
      <c r="G1566" t="s">
        <v>8132</v>
      </c>
      <c r="H1566">
        <v>6883.22</v>
      </c>
      <c r="I1566">
        <v>110.73</v>
      </c>
      <c r="J1566" t="s">
        <v>120</v>
      </c>
      <c r="K1566" t="s">
        <v>8133</v>
      </c>
      <c r="L1566">
        <v>1.36</v>
      </c>
      <c r="M1566">
        <v>6.52</v>
      </c>
      <c r="N1566">
        <v>0.64</v>
      </c>
      <c r="O1566">
        <v>1.49</v>
      </c>
      <c r="P1566">
        <v>6.79</v>
      </c>
      <c r="Q1566">
        <v>-2.69</v>
      </c>
      <c r="R1566">
        <v>6.51</v>
      </c>
      <c r="S1566">
        <v>6.76</v>
      </c>
      <c r="T1566">
        <v>103866</v>
      </c>
      <c r="U1566">
        <v>6.53</v>
      </c>
      <c r="V1566">
        <v>6.69</v>
      </c>
      <c r="W1566">
        <v>19.43</v>
      </c>
      <c r="X1566" t="s">
        <v>318</v>
      </c>
      <c r="Y1566" t="s">
        <v>319</v>
      </c>
      <c r="Z1566">
        <v>4.1900000000000004</v>
      </c>
      <c r="AA1566">
        <v>6.63</v>
      </c>
      <c r="AB1566">
        <v>61752</v>
      </c>
      <c r="AC1566">
        <v>42114</v>
      </c>
      <c r="AD1566">
        <v>1.47</v>
      </c>
      <c r="AE1566">
        <v>580</v>
      </c>
      <c r="AF1566">
        <v>526</v>
      </c>
      <c r="AG1566" t="s">
        <v>120</v>
      </c>
      <c r="AH1566">
        <v>0.03</v>
      </c>
      <c r="AI1566" t="s">
        <v>120</v>
      </c>
      <c r="AJ1566">
        <v>7.61</v>
      </c>
      <c r="AK1566" t="s">
        <v>8134</v>
      </c>
      <c r="AL1566">
        <v>-0.63</v>
      </c>
      <c r="AM1566">
        <v>1762</v>
      </c>
      <c r="AN1566">
        <v>59</v>
      </c>
      <c r="AO1566">
        <v>8.0000000000000004E-4</v>
      </c>
      <c r="AP1566">
        <v>-1</v>
      </c>
      <c r="AQ1566">
        <v>0.3</v>
      </c>
      <c r="AR1566">
        <v>-5.5</v>
      </c>
      <c r="AS1566">
        <v>6.88</v>
      </c>
      <c r="AT1566">
        <v>-2.98</v>
      </c>
      <c r="AU1566">
        <v>-12.72</v>
      </c>
      <c r="AV1566">
        <v>0</v>
      </c>
      <c r="AW1566">
        <v>2.14</v>
      </c>
      <c r="AX1566">
        <v>62.12</v>
      </c>
      <c r="AY1566">
        <v>16.07</v>
      </c>
      <c r="AZ1566">
        <v>14.63</v>
      </c>
      <c r="BA1566">
        <v>0.4</v>
      </c>
      <c r="BB1566" t="s">
        <v>143</v>
      </c>
      <c r="BF1566">
        <v>-0.94</v>
      </c>
      <c r="BG1566">
        <v>-3.55</v>
      </c>
      <c r="BH1566">
        <v>-3.98</v>
      </c>
      <c r="BI1566">
        <v>0.15</v>
      </c>
      <c r="BJ1566">
        <v>20210906</v>
      </c>
      <c r="BK1566">
        <v>20110316</v>
      </c>
      <c r="BL1566">
        <v>7.82</v>
      </c>
      <c r="BM1566" t="s">
        <v>120</v>
      </c>
      <c r="BN1566" t="s">
        <v>120</v>
      </c>
      <c r="BO1566">
        <v>101.46</v>
      </c>
      <c r="BP1566">
        <v>6.52</v>
      </c>
      <c r="BQ1566">
        <v>43.26</v>
      </c>
      <c r="BR1566">
        <v>1.31</v>
      </c>
      <c r="BS1566">
        <v>56.07</v>
      </c>
      <c r="BT1566">
        <v>57.48</v>
      </c>
      <c r="BU1566">
        <v>4.4800000000000004</v>
      </c>
      <c r="BV1566">
        <v>17.13</v>
      </c>
      <c r="BW1566">
        <v>38</v>
      </c>
      <c r="BX1566">
        <v>8.07</v>
      </c>
      <c r="BY1566">
        <v>6.88</v>
      </c>
      <c r="BZ1566">
        <v>20.51</v>
      </c>
      <c r="CA1566" t="s">
        <v>120</v>
      </c>
      <c r="CB1566">
        <v>22.76</v>
      </c>
      <c r="CC1566">
        <v>15.86</v>
      </c>
      <c r="CD1566">
        <v>11.67</v>
      </c>
      <c r="CE1566">
        <v>1.35</v>
      </c>
      <c r="CF1566">
        <v>0.03</v>
      </c>
      <c r="CG1566">
        <v>1.43</v>
      </c>
      <c r="CH1566">
        <v>1.29</v>
      </c>
      <c r="CI1566">
        <v>1.31</v>
      </c>
      <c r="CJ1566">
        <v>-0.17</v>
      </c>
      <c r="CK1566">
        <v>1.23</v>
      </c>
      <c r="CL1566">
        <v>11.66</v>
      </c>
      <c r="CM1566">
        <v>-1.1200000000000001</v>
      </c>
      <c r="CN1566">
        <v>-0.09</v>
      </c>
      <c r="CO1566">
        <v>28000</v>
      </c>
      <c r="CP1566">
        <v>17339</v>
      </c>
      <c r="CQ1566" t="s">
        <v>8135</v>
      </c>
      <c r="CR1566">
        <v>-19.57</v>
      </c>
      <c r="CS1566">
        <v>23.28</v>
      </c>
      <c r="CT1566">
        <v>1.18</v>
      </c>
      <c r="CU1566">
        <v>-45.62</v>
      </c>
      <c r="CV1566">
        <v>3.21</v>
      </c>
      <c r="CW1566">
        <v>1.49</v>
      </c>
      <c r="CX1566" t="s">
        <v>1193</v>
      </c>
      <c r="CY1566">
        <v>5.53</v>
      </c>
      <c r="CZ1566">
        <v>0</v>
      </c>
      <c r="DA1566">
        <v>2.91</v>
      </c>
      <c r="DB1566">
        <v>1.49</v>
      </c>
      <c r="DC1566">
        <v>-0.14000000000000001</v>
      </c>
      <c r="DD1566">
        <v>42.63</v>
      </c>
      <c r="DE1566" t="s">
        <v>8136</v>
      </c>
      <c r="DF1566">
        <v>26.41</v>
      </c>
      <c r="DG1566">
        <v>8.5</v>
      </c>
      <c r="DH1566">
        <v>8.27</v>
      </c>
      <c r="DI1566">
        <v>0.57999999999999996</v>
      </c>
      <c r="DJ1566">
        <v>2283</v>
      </c>
      <c r="DK1566">
        <v>300190</v>
      </c>
      <c r="DL1566" t="s">
        <v>120</v>
      </c>
      <c r="DM1566" t="s">
        <v>120</v>
      </c>
      <c r="DN1566" t="s">
        <v>120</v>
      </c>
    </row>
    <row r="1567" spans="1:118">
      <c r="A1567" t="str">
        <f>"300191"</f>
        <v>300191</v>
      </c>
      <c r="B1567" t="s">
        <v>8137</v>
      </c>
      <c r="C1567">
        <v>-5.48</v>
      </c>
      <c r="D1567">
        <v>-0.32</v>
      </c>
      <c r="E1567">
        <v>1.59</v>
      </c>
      <c r="F1567">
        <v>1267</v>
      </c>
      <c r="G1567" t="s">
        <v>8138</v>
      </c>
      <c r="H1567">
        <v>36160.36</v>
      </c>
      <c r="I1567">
        <v>394.34</v>
      </c>
      <c r="J1567" t="s">
        <v>120</v>
      </c>
      <c r="K1567" t="s">
        <v>8020</v>
      </c>
      <c r="L1567">
        <v>7.05</v>
      </c>
      <c r="M1567">
        <v>23.81</v>
      </c>
      <c r="N1567">
        <v>0.91</v>
      </c>
      <c r="O1567">
        <v>3.85</v>
      </c>
      <c r="P1567">
        <v>26.16</v>
      </c>
      <c r="Q1567">
        <v>-5.68</v>
      </c>
      <c r="R1567">
        <v>23.76</v>
      </c>
      <c r="S1567">
        <v>25.59</v>
      </c>
      <c r="T1567">
        <v>145974</v>
      </c>
      <c r="U1567">
        <v>23.82</v>
      </c>
      <c r="V1567">
        <v>25.19</v>
      </c>
      <c r="W1567">
        <v>253.92</v>
      </c>
      <c r="X1567" t="s">
        <v>3867</v>
      </c>
      <c r="Y1567" t="s">
        <v>158</v>
      </c>
      <c r="Z1567">
        <v>9.5299999999999994</v>
      </c>
      <c r="AA1567">
        <v>24.77</v>
      </c>
      <c r="AB1567">
        <v>80286</v>
      </c>
      <c r="AC1567">
        <v>65688</v>
      </c>
      <c r="AD1567">
        <v>1.22</v>
      </c>
      <c r="AE1567">
        <v>6</v>
      </c>
      <c r="AF1567">
        <v>85</v>
      </c>
      <c r="AG1567" t="s">
        <v>120</v>
      </c>
      <c r="AH1567">
        <v>0.11</v>
      </c>
      <c r="AI1567" t="s">
        <v>120</v>
      </c>
      <c r="AJ1567">
        <v>2.0699999999999998</v>
      </c>
      <c r="AK1567" t="s">
        <v>8139</v>
      </c>
      <c r="AL1567">
        <v>-3.56</v>
      </c>
      <c r="AM1567">
        <v>3330</v>
      </c>
      <c r="AN1567">
        <v>44</v>
      </c>
      <c r="AO1567">
        <v>2.0999999999999999E-3</v>
      </c>
      <c r="AP1567">
        <v>-1</v>
      </c>
      <c r="AQ1567">
        <v>5.49</v>
      </c>
      <c r="AR1567">
        <v>3.98</v>
      </c>
      <c r="AS1567">
        <v>18.809999999999999</v>
      </c>
      <c r="AT1567">
        <v>0</v>
      </c>
      <c r="AU1567">
        <v>39.49</v>
      </c>
      <c r="AV1567">
        <v>1</v>
      </c>
      <c r="AW1567">
        <v>10.49</v>
      </c>
      <c r="AX1567">
        <v>43.5</v>
      </c>
      <c r="AY1567">
        <v>389.27</v>
      </c>
      <c r="AZ1567">
        <v>768.89</v>
      </c>
      <c r="BA1567">
        <v>0.53</v>
      </c>
      <c r="BB1567" t="s">
        <v>168</v>
      </c>
      <c r="BF1567">
        <v>-1.66</v>
      </c>
      <c r="BG1567">
        <v>-6.96</v>
      </c>
      <c r="BH1567">
        <v>-8.98</v>
      </c>
      <c r="BI1567">
        <v>0.21</v>
      </c>
      <c r="BJ1567">
        <v>20210830</v>
      </c>
      <c r="BK1567">
        <v>20110316</v>
      </c>
      <c r="BL1567">
        <v>3.2</v>
      </c>
      <c r="BM1567" t="s">
        <v>120</v>
      </c>
      <c r="BN1567" t="s">
        <v>120</v>
      </c>
      <c r="BO1567">
        <v>15.64</v>
      </c>
      <c r="BP1567">
        <v>23.81</v>
      </c>
      <c r="BQ1567">
        <v>12.11</v>
      </c>
      <c r="BR1567">
        <v>0.03</v>
      </c>
      <c r="BS1567">
        <v>22.38</v>
      </c>
      <c r="BT1567">
        <v>7.46</v>
      </c>
      <c r="BU1567">
        <v>1.37</v>
      </c>
      <c r="BV1567">
        <v>0.17</v>
      </c>
      <c r="BW1567">
        <v>0.77</v>
      </c>
      <c r="BX1567">
        <v>5.23</v>
      </c>
      <c r="BY1567">
        <v>0.01</v>
      </c>
      <c r="BZ1567">
        <v>0.55000000000000004</v>
      </c>
      <c r="CA1567">
        <v>0</v>
      </c>
      <c r="CB1567">
        <v>5.5</v>
      </c>
      <c r="CC1567">
        <v>1.99</v>
      </c>
      <c r="CD1567">
        <v>1.1100000000000001</v>
      </c>
      <c r="CE1567">
        <v>0.22</v>
      </c>
      <c r="CF1567">
        <v>0.02</v>
      </c>
      <c r="CG1567">
        <v>0.22</v>
      </c>
      <c r="CH1567">
        <v>0.15</v>
      </c>
      <c r="CI1567">
        <v>0.15</v>
      </c>
      <c r="CJ1567">
        <v>-1.38</v>
      </c>
      <c r="CK1567">
        <v>0.15</v>
      </c>
      <c r="CL1567">
        <v>2.58</v>
      </c>
      <c r="CM1567">
        <v>-0.04</v>
      </c>
      <c r="CN1567">
        <v>0.78</v>
      </c>
      <c r="CO1567">
        <v>17395</v>
      </c>
      <c r="CP1567">
        <v>8002</v>
      </c>
      <c r="CQ1567" t="s">
        <v>8140</v>
      </c>
      <c r="CR1567">
        <v>213.91</v>
      </c>
      <c r="CS1567">
        <v>-9.76</v>
      </c>
      <c r="CT1567">
        <v>6.29</v>
      </c>
      <c r="CU1567">
        <v>-1968.99</v>
      </c>
      <c r="CV1567">
        <v>38.29</v>
      </c>
      <c r="CW1567">
        <v>0.08</v>
      </c>
      <c r="CX1567" t="s">
        <v>8141</v>
      </c>
      <c r="CY1567">
        <v>3.78</v>
      </c>
      <c r="CZ1567">
        <v>0</v>
      </c>
      <c r="DA1567">
        <v>1.72</v>
      </c>
      <c r="DB1567">
        <v>0.81</v>
      </c>
      <c r="DC1567">
        <v>-0.01</v>
      </c>
      <c r="DD1567">
        <v>77.45</v>
      </c>
      <c r="DE1567" t="s">
        <v>3334</v>
      </c>
      <c r="DF1567">
        <v>44.02</v>
      </c>
      <c r="DG1567">
        <v>10.96</v>
      </c>
      <c r="DH1567">
        <v>7.54</v>
      </c>
      <c r="DI1567" t="s">
        <v>120</v>
      </c>
      <c r="DJ1567">
        <v>88</v>
      </c>
      <c r="DK1567">
        <v>300191</v>
      </c>
      <c r="DL1567" t="s">
        <v>120</v>
      </c>
      <c r="DM1567" t="s">
        <v>120</v>
      </c>
      <c r="DN1567" t="s">
        <v>120</v>
      </c>
    </row>
    <row r="1568" spans="1:118">
      <c r="A1568" t="str">
        <f>"300192"</f>
        <v>300192</v>
      </c>
      <c r="B1568" t="s">
        <v>8142</v>
      </c>
      <c r="C1568">
        <v>-2.69</v>
      </c>
      <c r="D1568">
        <v>0</v>
      </c>
      <c r="E1568">
        <v>-0.24</v>
      </c>
      <c r="F1568">
        <v>960</v>
      </c>
      <c r="G1568" t="s">
        <v>3562</v>
      </c>
      <c r="H1568">
        <v>4866.62</v>
      </c>
      <c r="I1568">
        <v>9.94</v>
      </c>
      <c r="J1568" t="s">
        <v>120</v>
      </c>
      <c r="K1568" t="s">
        <v>6849</v>
      </c>
      <c r="L1568">
        <v>2.8</v>
      </c>
      <c r="M1568">
        <v>7.95</v>
      </c>
      <c r="N1568">
        <v>0.62</v>
      </c>
      <c r="O1568">
        <v>0.37</v>
      </c>
      <c r="P1568">
        <v>8.1999999999999993</v>
      </c>
      <c r="Q1568">
        <v>-2.82</v>
      </c>
      <c r="R1568">
        <v>7.94</v>
      </c>
      <c r="S1568">
        <v>8.15</v>
      </c>
      <c r="T1568">
        <v>60202</v>
      </c>
      <c r="U1568">
        <v>7.96</v>
      </c>
      <c r="V1568">
        <v>8.17</v>
      </c>
      <c r="W1568">
        <v>26.09</v>
      </c>
      <c r="X1568" t="s">
        <v>213</v>
      </c>
      <c r="Y1568" t="s">
        <v>319</v>
      </c>
      <c r="Z1568">
        <v>3.18</v>
      </c>
      <c r="AA1568">
        <v>8.08</v>
      </c>
      <c r="AB1568">
        <v>35303</v>
      </c>
      <c r="AC1568">
        <v>24899</v>
      </c>
      <c r="AD1568">
        <v>1.42</v>
      </c>
      <c r="AE1568">
        <v>91</v>
      </c>
      <c r="AF1568">
        <v>379</v>
      </c>
      <c r="AG1568" t="s">
        <v>120</v>
      </c>
      <c r="AH1568">
        <v>0.01</v>
      </c>
      <c r="AI1568" t="s">
        <v>120</v>
      </c>
      <c r="AJ1568">
        <v>2.15</v>
      </c>
      <c r="AK1568" t="s">
        <v>2030</v>
      </c>
      <c r="AL1568">
        <v>-0.78</v>
      </c>
      <c r="AM1568">
        <v>1321</v>
      </c>
      <c r="AN1568">
        <v>46</v>
      </c>
      <c r="AO1568">
        <v>2.0999999999999999E-3</v>
      </c>
      <c r="AP1568">
        <v>-1</v>
      </c>
      <c r="AQ1568">
        <v>0.49</v>
      </c>
      <c r="AR1568">
        <v>-3.63</v>
      </c>
      <c r="AS1568">
        <v>-8.93</v>
      </c>
      <c r="AT1568">
        <v>-22.06</v>
      </c>
      <c r="AU1568">
        <v>-47.1</v>
      </c>
      <c r="AV1568">
        <v>2</v>
      </c>
      <c r="AW1568">
        <v>3.59</v>
      </c>
      <c r="AX1568">
        <v>50.91</v>
      </c>
      <c r="AY1568">
        <v>26.19</v>
      </c>
      <c r="AZ1568">
        <v>23.52</v>
      </c>
      <c r="BA1568">
        <v>1.54</v>
      </c>
      <c r="BB1568" t="s">
        <v>143</v>
      </c>
      <c r="BF1568">
        <v>-1.06</v>
      </c>
      <c r="BG1568">
        <v>-2.4500000000000002</v>
      </c>
      <c r="BH1568">
        <v>-3.05</v>
      </c>
      <c r="BI1568">
        <v>0.13</v>
      </c>
      <c r="BJ1568">
        <v>20210907</v>
      </c>
      <c r="BK1568">
        <v>20110322</v>
      </c>
      <c r="BL1568">
        <v>3.29</v>
      </c>
      <c r="BM1568" t="s">
        <v>120</v>
      </c>
      <c r="BN1568" t="s">
        <v>120</v>
      </c>
      <c r="BO1568">
        <v>16.850000000000001</v>
      </c>
      <c r="BP1568">
        <v>7.95</v>
      </c>
      <c r="BQ1568">
        <v>9.6199999999999992</v>
      </c>
      <c r="BR1568">
        <v>0.21</v>
      </c>
      <c r="BS1568">
        <v>41.64</v>
      </c>
      <c r="BT1568">
        <v>7.54</v>
      </c>
      <c r="BU1568">
        <v>1.81</v>
      </c>
      <c r="BV1568">
        <v>0.56000000000000005</v>
      </c>
      <c r="BW1568">
        <v>4.01</v>
      </c>
      <c r="BX1568">
        <v>4.3499999999999996</v>
      </c>
      <c r="BY1568">
        <v>0.66</v>
      </c>
      <c r="BZ1568">
        <v>1.1200000000000001</v>
      </c>
      <c r="CA1568">
        <v>0.01</v>
      </c>
      <c r="CB1568">
        <v>1.22</v>
      </c>
      <c r="CC1568">
        <v>4.4400000000000004</v>
      </c>
      <c r="CD1568">
        <v>2.77</v>
      </c>
      <c r="CE1568">
        <v>0.71</v>
      </c>
      <c r="CF1568">
        <v>0</v>
      </c>
      <c r="CG1568">
        <v>0.73</v>
      </c>
      <c r="CH1568">
        <v>0.63</v>
      </c>
      <c r="CI1568">
        <v>0.5</v>
      </c>
      <c r="CJ1568">
        <v>-0.22</v>
      </c>
      <c r="CK1568">
        <v>0.49</v>
      </c>
      <c r="CL1568">
        <v>4.96</v>
      </c>
      <c r="CM1568">
        <v>0.7</v>
      </c>
      <c r="CN1568">
        <v>-0.87</v>
      </c>
      <c r="CO1568">
        <v>20237</v>
      </c>
      <c r="CP1568">
        <v>8281</v>
      </c>
      <c r="CQ1568" t="s">
        <v>4553</v>
      </c>
      <c r="CR1568">
        <v>-18.899999999999999</v>
      </c>
      <c r="CS1568">
        <v>15.69</v>
      </c>
      <c r="CT1568">
        <v>2.48</v>
      </c>
      <c r="CU1568">
        <v>37.340000000000003</v>
      </c>
      <c r="CV1568">
        <v>5.89</v>
      </c>
      <c r="CW1568">
        <v>3.67</v>
      </c>
      <c r="CX1568" t="s">
        <v>1193</v>
      </c>
      <c r="CY1568">
        <v>3.2</v>
      </c>
      <c r="CZ1568">
        <v>3.2</v>
      </c>
      <c r="DA1568">
        <v>0.37</v>
      </c>
      <c r="DB1568">
        <v>1.51</v>
      </c>
      <c r="DC1568">
        <v>0.21</v>
      </c>
      <c r="DD1568">
        <v>57.09</v>
      </c>
      <c r="DE1568" t="s">
        <v>8143</v>
      </c>
      <c r="DF1568">
        <v>37.71</v>
      </c>
      <c r="DG1568">
        <v>16.079999999999998</v>
      </c>
      <c r="DH1568">
        <v>11.28</v>
      </c>
      <c r="DI1568">
        <v>0.12</v>
      </c>
      <c r="DJ1568">
        <v>1995</v>
      </c>
      <c r="DK1568">
        <v>300192</v>
      </c>
      <c r="DL1568" t="s">
        <v>120</v>
      </c>
      <c r="DM1568" t="s">
        <v>120</v>
      </c>
      <c r="DN1568" t="s">
        <v>120</v>
      </c>
    </row>
    <row r="1569" spans="1:118">
      <c r="A1569" t="str">
        <f>"300193"</f>
        <v>300193</v>
      </c>
      <c r="B1569" t="s">
        <v>8144</v>
      </c>
      <c r="C1569">
        <v>-6.13</v>
      </c>
      <c r="D1569">
        <v>0.2</v>
      </c>
      <c r="E1569">
        <v>0.5</v>
      </c>
      <c r="F1569">
        <v>442</v>
      </c>
      <c r="G1569" t="s">
        <v>8145</v>
      </c>
      <c r="H1569">
        <v>8543.2199999999993</v>
      </c>
      <c r="I1569">
        <v>40.06</v>
      </c>
      <c r="J1569" t="s">
        <v>120</v>
      </c>
      <c r="K1569" t="s">
        <v>3276</v>
      </c>
      <c r="L1569">
        <v>1.27</v>
      </c>
      <c r="M1569">
        <v>15.15</v>
      </c>
      <c r="N1569">
        <v>1.1499999999999999</v>
      </c>
      <c r="O1569">
        <v>1.61</v>
      </c>
      <c r="P1569">
        <v>16.399999999999999</v>
      </c>
      <c r="Q1569">
        <v>-6.44</v>
      </c>
      <c r="R1569">
        <v>15.1</v>
      </c>
      <c r="S1569">
        <v>16.22</v>
      </c>
      <c r="T1569">
        <v>54553</v>
      </c>
      <c r="U1569">
        <v>15.15</v>
      </c>
      <c r="V1569">
        <v>16.14</v>
      </c>
      <c r="W1569">
        <v>29.74</v>
      </c>
      <c r="X1569" t="s">
        <v>675</v>
      </c>
      <c r="Y1569" t="s">
        <v>123</v>
      </c>
      <c r="Z1569">
        <v>8.0500000000000007</v>
      </c>
      <c r="AA1569">
        <v>15.66</v>
      </c>
      <c r="AB1569">
        <v>29077</v>
      </c>
      <c r="AC1569">
        <v>25476</v>
      </c>
      <c r="AD1569">
        <v>1.1399999999999999</v>
      </c>
      <c r="AE1569">
        <v>1</v>
      </c>
      <c r="AF1569">
        <v>513</v>
      </c>
      <c r="AG1569" t="s">
        <v>120</v>
      </c>
      <c r="AH1569">
        <v>0.01</v>
      </c>
      <c r="AI1569" t="s">
        <v>120</v>
      </c>
      <c r="AJ1569">
        <v>4.3</v>
      </c>
      <c r="AK1569" t="s">
        <v>8146</v>
      </c>
      <c r="AL1569">
        <v>-4.22</v>
      </c>
      <c r="AM1569">
        <v>2190</v>
      </c>
      <c r="AN1569">
        <v>25</v>
      </c>
      <c r="AO1569">
        <v>5.9999999999999995E-4</v>
      </c>
      <c r="AP1569">
        <v>-4</v>
      </c>
      <c r="AQ1569">
        <v>-2.2400000000000002</v>
      </c>
      <c r="AR1569">
        <v>-9.8699999999999992</v>
      </c>
      <c r="AS1569">
        <v>0.2</v>
      </c>
      <c r="AT1569">
        <v>6.02</v>
      </c>
      <c r="AU1569">
        <v>125.79</v>
      </c>
      <c r="AV1569">
        <v>0</v>
      </c>
      <c r="AW1569">
        <v>1.83</v>
      </c>
      <c r="AX1569">
        <v>61.74</v>
      </c>
      <c r="AY1569">
        <v>40.700000000000003</v>
      </c>
      <c r="AZ1569">
        <v>47.95</v>
      </c>
      <c r="BA1569">
        <v>1.1200000000000001</v>
      </c>
      <c r="BB1569" t="s">
        <v>143</v>
      </c>
      <c r="BF1569">
        <v>-2.97</v>
      </c>
      <c r="BG1569">
        <v>-6.6</v>
      </c>
      <c r="BH1569">
        <v>-7.62</v>
      </c>
      <c r="BI1569">
        <v>0.33</v>
      </c>
      <c r="BJ1569">
        <v>20210810</v>
      </c>
      <c r="BK1569">
        <v>20110322</v>
      </c>
      <c r="BL1569">
        <v>4.83</v>
      </c>
      <c r="BM1569" t="s">
        <v>120</v>
      </c>
      <c r="BN1569" t="s">
        <v>120</v>
      </c>
      <c r="BO1569">
        <v>26.94</v>
      </c>
      <c r="BP1569">
        <v>15.14</v>
      </c>
      <c r="BQ1569">
        <v>21.52</v>
      </c>
      <c r="BR1569">
        <v>0.05</v>
      </c>
      <c r="BS1569">
        <v>19.920000000000002</v>
      </c>
      <c r="BT1569">
        <v>22.4</v>
      </c>
      <c r="BU1569">
        <v>2.04</v>
      </c>
      <c r="BV1569">
        <v>0.19</v>
      </c>
      <c r="BW1569">
        <v>5.15</v>
      </c>
      <c r="BX1569">
        <v>10.06</v>
      </c>
      <c r="BY1569">
        <v>2.68</v>
      </c>
      <c r="BZ1569">
        <v>2.13</v>
      </c>
      <c r="CA1569">
        <v>0.03</v>
      </c>
      <c r="CB1569">
        <v>10.49</v>
      </c>
      <c r="CC1569">
        <v>6.71</v>
      </c>
      <c r="CD1569">
        <v>4.58</v>
      </c>
      <c r="CE1569">
        <v>1.42</v>
      </c>
      <c r="CF1569">
        <v>0.02</v>
      </c>
      <c r="CG1569">
        <v>1.42</v>
      </c>
      <c r="CH1569">
        <v>1.24</v>
      </c>
      <c r="CI1569">
        <v>1.23</v>
      </c>
      <c r="CJ1569">
        <v>-0.99</v>
      </c>
      <c r="CK1569">
        <v>1.01</v>
      </c>
      <c r="CL1569">
        <v>4.59</v>
      </c>
      <c r="CM1569">
        <v>0.6</v>
      </c>
      <c r="CN1569">
        <v>-2.35</v>
      </c>
      <c r="CO1569">
        <v>18587</v>
      </c>
      <c r="CP1569">
        <v>16042</v>
      </c>
      <c r="CQ1569" t="s">
        <v>8147</v>
      </c>
      <c r="CR1569">
        <v>30.81</v>
      </c>
      <c r="CS1569">
        <v>62.94</v>
      </c>
      <c r="CT1569">
        <v>3.37</v>
      </c>
      <c r="CU1569">
        <v>121.79</v>
      </c>
      <c r="CV1569">
        <v>10.9</v>
      </c>
      <c r="CW1569">
        <v>3.07</v>
      </c>
      <c r="CX1569" t="s">
        <v>670</v>
      </c>
      <c r="CY1569">
        <v>4.5</v>
      </c>
      <c r="CZ1569">
        <v>4.5</v>
      </c>
      <c r="DA1569">
        <v>2.17</v>
      </c>
      <c r="DB1569">
        <v>0.95</v>
      </c>
      <c r="DC1569">
        <v>0.12</v>
      </c>
      <c r="DD1569">
        <v>79.88</v>
      </c>
      <c r="DE1569" t="s">
        <v>3074</v>
      </c>
      <c r="DF1569">
        <v>31.74</v>
      </c>
      <c r="DG1569">
        <v>21.13</v>
      </c>
      <c r="DH1569">
        <v>18.32</v>
      </c>
      <c r="DI1569">
        <v>0.32</v>
      </c>
      <c r="DJ1569">
        <v>951</v>
      </c>
      <c r="DK1569">
        <v>300193</v>
      </c>
      <c r="DL1569" t="s">
        <v>120</v>
      </c>
      <c r="DM1569" t="s">
        <v>120</v>
      </c>
      <c r="DN1569" t="s">
        <v>120</v>
      </c>
    </row>
    <row r="1570" spans="1:118">
      <c r="A1570" t="str">
        <f>"300194"</f>
        <v>300194</v>
      </c>
      <c r="B1570" t="s">
        <v>8148</v>
      </c>
      <c r="C1570">
        <v>-1.37</v>
      </c>
      <c r="D1570">
        <v>0</v>
      </c>
      <c r="E1570">
        <v>0</v>
      </c>
      <c r="F1570">
        <v>1334</v>
      </c>
      <c r="G1570" t="s">
        <v>8149</v>
      </c>
      <c r="H1570">
        <v>7529.18</v>
      </c>
      <c r="I1570">
        <v>51.22</v>
      </c>
      <c r="J1570" t="s">
        <v>120</v>
      </c>
      <c r="K1570" t="s">
        <v>1957</v>
      </c>
      <c r="L1570">
        <v>1.84</v>
      </c>
      <c r="M1570">
        <v>4.3099999999999996</v>
      </c>
      <c r="N1570">
        <v>0.72</v>
      </c>
      <c r="O1570">
        <v>0.69</v>
      </c>
      <c r="P1570">
        <v>4.4000000000000004</v>
      </c>
      <c r="Q1570">
        <v>-1.83</v>
      </c>
      <c r="R1570">
        <v>4.29</v>
      </c>
      <c r="S1570">
        <v>4.37</v>
      </c>
      <c r="T1570">
        <v>173154</v>
      </c>
      <c r="U1570">
        <v>4.3099999999999996</v>
      </c>
      <c r="V1570">
        <v>4.37</v>
      </c>
      <c r="W1570">
        <v>24.02</v>
      </c>
      <c r="X1570" t="s">
        <v>569</v>
      </c>
      <c r="Y1570" t="s">
        <v>883</v>
      </c>
      <c r="Z1570">
        <v>2.52</v>
      </c>
      <c r="AA1570">
        <v>4.3499999999999996</v>
      </c>
      <c r="AB1570">
        <v>102723</v>
      </c>
      <c r="AC1570">
        <v>70431</v>
      </c>
      <c r="AD1570">
        <v>1.46</v>
      </c>
      <c r="AE1570">
        <v>6366</v>
      </c>
      <c r="AF1570">
        <v>51</v>
      </c>
      <c r="AG1570" t="s">
        <v>120</v>
      </c>
      <c r="AH1570">
        <v>0.01</v>
      </c>
      <c r="AI1570" t="s">
        <v>120</v>
      </c>
      <c r="AJ1570">
        <v>9.43</v>
      </c>
      <c r="AK1570" t="s">
        <v>8150</v>
      </c>
      <c r="AL1570">
        <v>0.54</v>
      </c>
      <c r="AM1570">
        <v>1725</v>
      </c>
      <c r="AN1570">
        <v>100</v>
      </c>
      <c r="AO1570">
        <v>1.1000000000000001E-3</v>
      </c>
      <c r="AP1570">
        <v>-1</v>
      </c>
      <c r="AQ1570">
        <v>0.69</v>
      </c>
      <c r="AR1570">
        <v>-2.93</v>
      </c>
      <c r="AS1570">
        <v>-0.92</v>
      </c>
      <c r="AT1570">
        <v>-3.37</v>
      </c>
      <c r="AU1570">
        <v>-11.68</v>
      </c>
      <c r="AV1570">
        <v>0</v>
      </c>
      <c r="AW1570">
        <v>1.99</v>
      </c>
      <c r="AX1570">
        <v>73.28</v>
      </c>
      <c r="AY1570">
        <v>28.29</v>
      </c>
      <c r="AZ1570">
        <v>24.83</v>
      </c>
      <c r="BA1570">
        <v>0.62</v>
      </c>
      <c r="BB1570" t="s">
        <v>143</v>
      </c>
      <c r="BF1570">
        <v>-0.5</v>
      </c>
      <c r="BG1570">
        <v>-1.37</v>
      </c>
      <c r="BH1570">
        <v>-2.0499999999999998</v>
      </c>
      <c r="BI1570">
        <v>0.47</v>
      </c>
      <c r="BJ1570">
        <v>20210830</v>
      </c>
      <c r="BK1570">
        <v>20110322</v>
      </c>
      <c r="BL1570">
        <v>11.9</v>
      </c>
      <c r="BM1570" t="s">
        <v>120</v>
      </c>
      <c r="BN1570" t="s">
        <v>120</v>
      </c>
      <c r="BO1570">
        <v>60.44</v>
      </c>
      <c r="BP1570">
        <v>4.3</v>
      </c>
      <c r="BQ1570">
        <v>41.43</v>
      </c>
      <c r="BR1570">
        <v>4.47</v>
      </c>
      <c r="BS1570">
        <v>24.07</v>
      </c>
      <c r="BT1570">
        <v>17.84</v>
      </c>
      <c r="BU1570">
        <v>8.11</v>
      </c>
      <c r="BV1570">
        <v>10.16</v>
      </c>
      <c r="BW1570">
        <v>10.39</v>
      </c>
      <c r="BX1570">
        <v>6.17</v>
      </c>
      <c r="BY1570">
        <v>6.17</v>
      </c>
      <c r="BZ1570">
        <v>3.22</v>
      </c>
      <c r="CA1570" t="s">
        <v>120</v>
      </c>
      <c r="CB1570">
        <v>22.31</v>
      </c>
      <c r="CC1570">
        <v>12.21</v>
      </c>
      <c r="CD1570">
        <v>4.3899999999999997</v>
      </c>
      <c r="CE1570">
        <v>1.18</v>
      </c>
      <c r="CF1570">
        <v>0.26</v>
      </c>
      <c r="CG1570">
        <v>1.17</v>
      </c>
      <c r="CH1570">
        <v>1.03</v>
      </c>
      <c r="CI1570">
        <v>1.07</v>
      </c>
      <c r="CJ1570">
        <v>-0.06</v>
      </c>
      <c r="CK1570">
        <v>0.94</v>
      </c>
      <c r="CL1570">
        <v>6.81</v>
      </c>
      <c r="CM1570">
        <v>-0.42</v>
      </c>
      <c r="CN1570">
        <v>-2.37</v>
      </c>
      <c r="CO1570">
        <v>47568</v>
      </c>
      <c r="CP1570">
        <v>18328</v>
      </c>
      <c r="CQ1570" t="s">
        <v>8151</v>
      </c>
      <c r="CR1570">
        <v>-19.329999999999998</v>
      </c>
      <c r="CS1570">
        <v>5.1100000000000003</v>
      </c>
      <c r="CT1570">
        <v>1.24</v>
      </c>
      <c r="CU1570">
        <v>-122.71</v>
      </c>
      <c r="CV1570">
        <v>4.2</v>
      </c>
      <c r="CW1570">
        <v>1.1399999999999999</v>
      </c>
      <c r="CX1570" t="s">
        <v>329</v>
      </c>
      <c r="CY1570">
        <v>3.48</v>
      </c>
      <c r="CZ1570">
        <v>0</v>
      </c>
      <c r="DA1570">
        <v>1.88</v>
      </c>
      <c r="DB1570">
        <v>0.56999999999999995</v>
      </c>
      <c r="DC1570">
        <v>-0.04</v>
      </c>
      <c r="DD1570">
        <v>68.540000000000006</v>
      </c>
      <c r="DE1570" t="s">
        <v>2660</v>
      </c>
      <c r="DF1570">
        <v>64.06</v>
      </c>
      <c r="DG1570">
        <v>9.69</v>
      </c>
      <c r="DH1570">
        <v>8.74</v>
      </c>
      <c r="DI1570">
        <v>0.53</v>
      </c>
      <c r="DJ1570">
        <v>3052</v>
      </c>
      <c r="DK1570">
        <v>300194</v>
      </c>
      <c r="DL1570" t="s">
        <v>120</v>
      </c>
      <c r="DM1570" t="s">
        <v>120</v>
      </c>
      <c r="DN1570" t="s">
        <v>120</v>
      </c>
    </row>
    <row r="1571" spans="1:118">
      <c r="A1571" t="str">
        <f>"300195"</f>
        <v>300195</v>
      </c>
      <c r="B1571" t="s">
        <v>8152</v>
      </c>
      <c r="C1571">
        <v>-3.06</v>
      </c>
      <c r="D1571">
        <v>0</v>
      </c>
      <c r="E1571">
        <v>0.13</v>
      </c>
      <c r="F1571">
        <v>1243</v>
      </c>
      <c r="G1571" t="s">
        <v>8153</v>
      </c>
      <c r="H1571">
        <v>9092.16</v>
      </c>
      <c r="I1571">
        <v>16.47</v>
      </c>
      <c r="J1571" t="s">
        <v>120</v>
      </c>
      <c r="K1571" t="s">
        <v>8154</v>
      </c>
      <c r="L1571">
        <v>3.88</v>
      </c>
      <c r="M1571">
        <v>7.28</v>
      </c>
      <c r="N1571">
        <v>0.87</v>
      </c>
      <c r="O1571">
        <v>2.4</v>
      </c>
      <c r="P1571">
        <v>7.69</v>
      </c>
      <c r="Q1571">
        <v>-3.06</v>
      </c>
      <c r="R1571">
        <v>7.28</v>
      </c>
      <c r="S1571">
        <v>7.52</v>
      </c>
      <c r="T1571">
        <v>121609</v>
      </c>
      <c r="U1571">
        <v>7.29</v>
      </c>
      <c r="V1571">
        <v>7.51</v>
      </c>
      <c r="W1571">
        <v>23.64</v>
      </c>
      <c r="X1571" t="s">
        <v>348</v>
      </c>
      <c r="Y1571" t="s">
        <v>997</v>
      </c>
      <c r="Z1571">
        <v>5.46</v>
      </c>
      <c r="AA1571">
        <v>7.48</v>
      </c>
      <c r="AB1571">
        <v>70098</v>
      </c>
      <c r="AC1571">
        <v>51511</v>
      </c>
      <c r="AD1571">
        <v>1.36</v>
      </c>
      <c r="AE1571">
        <v>359</v>
      </c>
      <c r="AF1571">
        <v>738</v>
      </c>
      <c r="AG1571" t="s">
        <v>120</v>
      </c>
      <c r="AH1571">
        <v>0.01</v>
      </c>
      <c r="AI1571" t="s">
        <v>120</v>
      </c>
      <c r="AJ1571">
        <v>3.13</v>
      </c>
      <c r="AK1571" t="s">
        <v>8155</v>
      </c>
      <c r="AL1571">
        <v>-1.1499999999999999</v>
      </c>
      <c r="AM1571">
        <v>2194</v>
      </c>
      <c r="AN1571">
        <v>55</v>
      </c>
      <c r="AO1571">
        <v>1.8E-3</v>
      </c>
      <c r="AP1571">
        <v>-1</v>
      </c>
      <c r="AQ1571">
        <v>3.3</v>
      </c>
      <c r="AR1571">
        <v>-2.02</v>
      </c>
      <c r="AS1571">
        <v>3.26</v>
      </c>
      <c r="AT1571">
        <v>20.53</v>
      </c>
      <c r="AU1571">
        <v>21.54</v>
      </c>
      <c r="AV1571">
        <v>1</v>
      </c>
      <c r="AW1571">
        <v>4.6900000000000004</v>
      </c>
      <c r="AX1571">
        <v>61.2</v>
      </c>
      <c r="AY1571" t="s">
        <v>120</v>
      </c>
      <c r="AZ1571" t="s">
        <v>120</v>
      </c>
      <c r="BA1571">
        <v>0.98</v>
      </c>
      <c r="BB1571" t="s">
        <v>143</v>
      </c>
      <c r="BF1571">
        <v>-0.45</v>
      </c>
      <c r="BG1571">
        <v>-3.19</v>
      </c>
      <c r="BH1571">
        <v>-5.33</v>
      </c>
      <c r="BI1571">
        <v>0</v>
      </c>
      <c r="BJ1571">
        <v>20210906</v>
      </c>
      <c r="BK1571">
        <v>20110329</v>
      </c>
      <c r="BL1571">
        <v>4.2300000000000004</v>
      </c>
      <c r="BM1571" t="s">
        <v>120</v>
      </c>
      <c r="BN1571" t="s">
        <v>120</v>
      </c>
      <c r="BO1571">
        <v>63.14</v>
      </c>
      <c r="BP1571">
        <v>7.28</v>
      </c>
      <c r="BQ1571">
        <v>27.57</v>
      </c>
      <c r="BR1571">
        <v>0.82</v>
      </c>
      <c r="BS1571">
        <v>55.04</v>
      </c>
      <c r="BT1571">
        <v>22.42</v>
      </c>
      <c r="BU1571">
        <v>11.25</v>
      </c>
      <c r="BV1571">
        <v>2.39</v>
      </c>
      <c r="BW1571">
        <v>15.81</v>
      </c>
      <c r="BX1571">
        <v>5.26</v>
      </c>
      <c r="BY1571">
        <v>6.31</v>
      </c>
      <c r="BZ1571">
        <v>3.14</v>
      </c>
      <c r="CA1571">
        <v>0.05</v>
      </c>
      <c r="CB1571">
        <v>22.62</v>
      </c>
      <c r="CC1571">
        <v>7.47</v>
      </c>
      <c r="CD1571">
        <v>4.58</v>
      </c>
      <c r="CE1571">
        <v>0.56999999999999995</v>
      </c>
      <c r="CF1571">
        <v>0.01</v>
      </c>
      <c r="CG1571">
        <v>0.57999999999999996</v>
      </c>
      <c r="CH1571">
        <v>0.67</v>
      </c>
      <c r="CI1571">
        <v>0.65</v>
      </c>
      <c r="CJ1571">
        <v>-0.23</v>
      </c>
      <c r="CK1571">
        <v>0.53</v>
      </c>
      <c r="CL1571">
        <v>-0.81</v>
      </c>
      <c r="CM1571">
        <v>0.16</v>
      </c>
      <c r="CN1571">
        <v>-0.91</v>
      </c>
      <c r="CO1571">
        <v>24000</v>
      </c>
      <c r="CP1571">
        <v>10796</v>
      </c>
      <c r="CQ1571" t="s">
        <v>2384</v>
      </c>
      <c r="CR1571">
        <v>29.17</v>
      </c>
      <c r="CS1571">
        <v>12.21</v>
      </c>
      <c r="CT1571">
        <v>1.1200000000000001</v>
      </c>
      <c r="CU1571">
        <v>197.43</v>
      </c>
      <c r="CV1571">
        <v>4.12</v>
      </c>
      <c r="CW1571">
        <v>0</v>
      </c>
      <c r="CX1571" t="s">
        <v>373</v>
      </c>
      <c r="CY1571">
        <v>6.51</v>
      </c>
      <c r="CZ1571">
        <v>0</v>
      </c>
      <c r="DA1571">
        <v>5.34</v>
      </c>
      <c r="DB1571">
        <v>-0.19</v>
      </c>
      <c r="DC1571">
        <v>0.04</v>
      </c>
      <c r="DD1571">
        <v>43.66</v>
      </c>
      <c r="DE1571" t="s">
        <v>8156</v>
      </c>
      <c r="DF1571">
        <v>38.700000000000003</v>
      </c>
      <c r="DG1571">
        <v>7.6</v>
      </c>
      <c r="DH1571">
        <v>8.73</v>
      </c>
      <c r="DI1571">
        <v>0.35</v>
      </c>
      <c r="DJ1571">
        <v>1599</v>
      </c>
      <c r="DK1571">
        <v>300195</v>
      </c>
      <c r="DL1571" t="s">
        <v>120</v>
      </c>
      <c r="DM1571" t="s">
        <v>120</v>
      </c>
      <c r="DN1571" t="s">
        <v>120</v>
      </c>
    </row>
    <row r="1572" spans="1:118">
      <c r="A1572" t="str">
        <f>"300196"</f>
        <v>300196</v>
      </c>
      <c r="B1572" t="s">
        <v>8157</v>
      </c>
      <c r="C1572">
        <v>-1.23</v>
      </c>
      <c r="D1572">
        <v>0</v>
      </c>
      <c r="E1572">
        <v>0.38</v>
      </c>
      <c r="F1572">
        <v>1384</v>
      </c>
      <c r="G1572" t="s">
        <v>8158</v>
      </c>
      <c r="H1572">
        <v>18495.86</v>
      </c>
      <c r="I1572">
        <v>74.41</v>
      </c>
      <c r="J1572" t="s">
        <v>120</v>
      </c>
      <c r="K1572" t="s">
        <v>8159</v>
      </c>
      <c r="L1572">
        <v>3.51</v>
      </c>
      <c r="M1572">
        <v>20.86</v>
      </c>
      <c r="N1572">
        <v>0.86</v>
      </c>
      <c r="O1572">
        <v>4.6399999999999997</v>
      </c>
      <c r="P1572">
        <v>22.1</v>
      </c>
      <c r="Q1572">
        <v>-1.23</v>
      </c>
      <c r="R1572">
        <v>20.86</v>
      </c>
      <c r="S1572">
        <v>21.2</v>
      </c>
      <c r="T1572">
        <v>86226</v>
      </c>
      <c r="U1572">
        <v>20.86</v>
      </c>
      <c r="V1572">
        <v>21.12</v>
      </c>
      <c r="W1572">
        <v>16.43</v>
      </c>
      <c r="X1572" t="s">
        <v>191</v>
      </c>
      <c r="Y1572" t="s">
        <v>319</v>
      </c>
      <c r="Z1572">
        <v>5.87</v>
      </c>
      <c r="AA1572">
        <v>21.45</v>
      </c>
      <c r="AB1572">
        <v>45092</v>
      </c>
      <c r="AC1572">
        <v>41134</v>
      </c>
      <c r="AD1572">
        <v>1.1000000000000001</v>
      </c>
      <c r="AE1572">
        <v>201</v>
      </c>
      <c r="AF1572">
        <v>64</v>
      </c>
      <c r="AG1572" t="s">
        <v>120</v>
      </c>
      <c r="AH1572">
        <v>0.02</v>
      </c>
      <c r="AI1572" t="s">
        <v>120</v>
      </c>
      <c r="AJ1572">
        <v>2.46</v>
      </c>
      <c r="AK1572" t="s">
        <v>8160</v>
      </c>
      <c r="AL1572">
        <v>0.68</v>
      </c>
      <c r="AM1572">
        <v>2990</v>
      </c>
      <c r="AN1572">
        <v>29</v>
      </c>
      <c r="AO1572">
        <v>1.1999999999999999E-3</v>
      </c>
      <c r="AP1572">
        <v>-2</v>
      </c>
      <c r="AQ1572">
        <v>-2.9</v>
      </c>
      <c r="AR1572">
        <v>-4.0999999999999996</v>
      </c>
      <c r="AS1572">
        <v>14.74</v>
      </c>
      <c r="AT1572">
        <v>29.41</v>
      </c>
      <c r="AU1572">
        <v>23.21</v>
      </c>
      <c r="AV1572">
        <v>0</v>
      </c>
      <c r="AW1572">
        <v>4.4800000000000004</v>
      </c>
      <c r="AX1572">
        <v>47.09</v>
      </c>
      <c r="AY1572">
        <v>21.24</v>
      </c>
      <c r="AZ1572">
        <v>31.89</v>
      </c>
      <c r="BA1572">
        <v>0.99</v>
      </c>
      <c r="BB1572" t="s">
        <v>143</v>
      </c>
      <c r="BF1572">
        <v>1.56</v>
      </c>
      <c r="BG1572">
        <v>-1.6</v>
      </c>
      <c r="BH1572">
        <v>-5.61</v>
      </c>
      <c r="BI1572">
        <v>0</v>
      </c>
      <c r="BJ1572">
        <v>20210821</v>
      </c>
      <c r="BK1572">
        <v>20110329</v>
      </c>
      <c r="BL1572">
        <v>4.09</v>
      </c>
      <c r="BM1572" t="s">
        <v>120</v>
      </c>
      <c r="BN1572" t="s">
        <v>120</v>
      </c>
      <c r="BO1572">
        <v>42.34</v>
      </c>
      <c r="BP1572">
        <v>20.85</v>
      </c>
      <c r="BQ1572">
        <v>31.81</v>
      </c>
      <c r="BR1572">
        <v>-0.03</v>
      </c>
      <c r="BS1572">
        <v>24.93</v>
      </c>
      <c r="BT1572">
        <v>19.850000000000001</v>
      </c>
      <c r="BU1572">
        <v>15.72</v>
      </c>
      <c r="BV1572">
        <v>1.57</v>
      </c>
      <c r="BW1572">
        <v>5.64</v>
      </c>
      <c r="BX1572">
        <v>8.33</v>
      </c>
      <c r="BY1572">
        <v>1.91</v>
      </c>
      <c r="BZ1572">
        <v>3.91</v>
      </c>
      <c r="CA1572" t="s">
        <v>120</v>
      </c>
      <c r="CB1572">
        <v>8.06</v>
      </c>
      <c r="CC1572">
        <v>11.78</v>
      </c>
      <c r="CD1572">
        <v>7.85</v>
      </c>
      <c r="CE1572">
        <v>3.01</v>
      </c>
      <c r="CF1572">
        <v>0.09</v>
      </c>
      <c r="CG1572">
        <v>3.01</v>
      </c>
      <c r="CH1572">
        <v>2.59</v>
      </c>
      <c r="CI1572">
        <v>2.6</v>
      </c>
      <c r="CJ1572">
        <v>-0.26</v>
      </c>
      <c r="CK1572">
        <v>2.2599999999999998</v>
      </c>
      <c r="CL1572">
        <v>17.100000000000001</v>
      </c>
      <c r="CM1572">
        <v>2.98</v>
      </c>
      <c r="CN1572">
        <v>-4.29</v>
      </c>
      <c r="CO1572">
        <v>10680</v>
      </c>
      <c r="CP1572">
        <v>18020</v>
      </c>
      <c r="CQ1572" t="s">
        <v>8161</v>
      </c>
      <c r="CR1572">
        <v>109.64</v>
      </c>
      <c r="CS1572">
        <v>30.07</v>
      </c>
      <c r="CT1572">
        <v>2.77</v>
      </c>
      <c r="CU1572">
        <v>28.62</v>
      </c>
      <c r="CV1572">
        <v>7.23</v>
      </c>
      <c r="CW1572">
        <v>0.47</v>
      </c>
      <c r="CX1572" t="s">
        <v>4650</v>
      </c>
      <c r="CY1572">
        <v>7.54</v>
      </c>
      <c r="CZ1572">
        <v>7.54</v>
      </c>
      <c r="DA1572">
        <v>1.97</v>
      </c>
      <c r="DB1572">
        <v>4.18</v>
      </c>
      <c r="DC1572">
        <v>0.73</v>
      </c>
      <c r="DD1572">
        <v>75.14</v>
      </c>
      <c r="DE1572" t="s">
        <v>8162</v>
      </c>
      <c r="DF1572">
        <v>33.369999999999997</v>
      </c>
      <c r="DG1572">
        <v>25.52</v>
      </c>
      <c r="DH1572">
        <v>22.02</v>
      </c>
      <c r="DI1572">
        <v>0.47</v>
      </c>
      <c r="DJ1572">
        <v>2130</v>
      </c>
      <c r="DK1572">
        <v>300196</v>
      </c>
      <c r="DL1572" t="s">
        <v>120</v>
      </c>
      <c r="DM1572" t="s">
        <v>120</v>
      </c>
      <c r="DN1572" t="s">
        <v>120</v>
      </c>
    </row>
    <row r="1573" spans="1:118">
      <c r="A1573" t="str">
        <f>"300197"</f>
        <v>300197</v>
      </c>
      <c r="B1573" t="s">
        <v>8163</v>
      </c>
      <c r="C1573">
        <v>-1.32</v>
      </c>
      <c r="D1573">
        <v>0</v>
      </c>
      <c r="E1573">
        <v>0.66</v>
      </c>
      <c r="F1573">
        <v>2364</v>
      </c>
      <c r="G1573" t="s">
        <v>1492</v>
      </c>
      <c r="H1573">
        <v>6502.42</v>
      </c>
      <c r="I1573">
        <v>21.73</v>
      </c>
      <c r="J1573" t="s">
        <v>120</v>
      </c>
      <c r="K1573" t="s">
        <v>8164</v>
      </c>
      <c r="L1573">
        <v>1.21</v>
      </c>
      <c r="M1573">
        <v>3</v>
      </c>
      <c r="N1573">
        <v>0.75</v>
      </c>
      <c r="O1573">
        <v>1.32</v>
      </c>
      <c r="P1573">
        <v>3.08</v>
      </c>
      <c r="Q1573">
        <v>-1.64</v>
      </c>
      <c r="R1573">
        <v>2.99</v>
      </c>
      <c r="S1573">
        <v>3.06</v>
      </c>
      <c r="T1573">
        <v>214602</v>
      </c>
      <c r="U1573">
        <v>3</v>
      </c>
      <c r="V1573">
        <v>3.04</v>
      </c>
      <c r="W1573" t="s">
        <v>120</v>
      </c>
      <c r="X1573" t="s">
        <v>318</v>
      </c>
      <c r="Y1573" t="s">
        <v>123</v>
      </c>
      <c r="Z1573">
        <v>2.96</v>
      </c>
      <c r="AA1573">
        <v>3.03</v>
      </c>
      <c r="AB1573">
        <v>128442</v>
      </c>
      <c r="AC1573">
        <v>86160</v>
      </c>
      <c r="AD1573">
        <v>1.49</v>
      </c>
      <c r="AE1573">
        <v>2439</v>
      </c>
      <c r="AF1573">
        <v>3578</v>
      </c>
      <c r="AG1573" t="s">
        <v>120</v>
      </c>
      <c r="AH1573">
        <v>0.01</v>
      </c>
      <c r="AI1573" t="s">
        <v>120</v>
      </c>
      <c r="AJ1573">
        <v>17.760000000000002</v>
      </c>
      <c r="AK1573" t="s">
        <v>8165</v>
      </c>
      <c r="AL1573">
        <v>0.6</v>
      </c>
      <c r="AM1573">
        <v>1679</v>
      </c>
      <c r="AN1573">
        <v>128</v>
      </c>
      <c r="AO1573">
        <v>6.9999999999999999E-4</v>
      </c>
      <c r="AP1573">
        <v>-1</v>
      </c>
      <c r="AQ1573">
        <v>1.67</v>
      </c>
      <c r="AR1573">
        <v>-2.6</v>
      </c>
      <c r="AS1573">
        <v>5.27</v>
      </c>
      <c r="AT1573">
        <v>-5.66</v>
      </c>
      <c r="AU1573">
        <v>-5.36</v>
      </c>
      <c r="AV1573">
        <v>0</v>
      </c>
      <c r="AW1573">
        <v>1.74</v>
      </c>
      <c r="AX1573">
        <v>43.71</v>
      </c>
      <c r="AY1573" t="s">
        <v>120</v>
      </c>
      <c r="AZ1573">
        <v>145.91999999999999</v>
      </c>
      <c r="BA1573">
        <v>0.36</v>
      </c>
      <c r="BB1573" t="s">
        <v>143</v>
      </c>
      <c r="BF1573">
        <v>-0.33</v>
      </c>
      <c r="BG1573">
        <v>-1.96</v>
      </c>
      <c r="BH1573">
        <v>-2.6</v>
      </c>
      <c r="BI1573">
        <v>0.33</v>
      </c>
      <c r="BJ1573">
        <v>20210908</v>
      </c>
      <c r="BK1573">
        <v>20110329</v>
      </c>
      <c r="BL1573">
        <v>28.23</v>
      </c>
      <c r="BM1573" t="s">
        <v>120</v>
      </c>
      <c r="BN1573" t="s">
        <v>120</v>
      </c>
      <c r="BO1573">
        <v>306.26</v>
      </c>
      <c r="BP1573">
        <v>2.99</v>
      </c>
      <c r="BQ1573">
        <v>73.290000000000006</v>
      </c>
      <c r="BR1573">
        <v>5.82</v>
      </c>
      <c r="BS1573">
        <v>74.17</v>
      </c>
      <c r="BT1573">
        <v>137.28</v>
      </c>
      <c r="BU1573">
        <v>4.84</v>
      </c>
      <c r="BV1573">
        <v>5.26</v>
      </c>
      <c r="BW1573">
        <v>162.61000000000001</v>
      </c>
      <c r="BX1573">
        <v>34.299999999999997</v>
      </c>
      <c r="BY1573">
        <v>4.34</v>
      </c>
      <c r="BZ1573">
        <v>22.95</v>
      </c>
      <c r="CA1573" t="s">
        <v>120</v>
      </c>
      <c r="CB1573">
        <v>26.26</v>
      </c>
      <c r="CC1573">
        <v>10.92</v>
      </c>
      <c r="CD1573">
        <v>9.14</v>
      </c>
      <c r="CE1573">
        <v>-3</v>
      </c>
      <c r="CF1573">
        <v>-0.09</v>
      </c>
      <c r="CG1573">
        <v>-3.05</v>
      </c>
      <c r="CH1573">
        <v>-2.58</v>
      </c>
      <c r="CI1573">
        <v>-2.57</v>
      </c>
      <c r="CJ1573">
        <v>-0.04</v>
      </c>
      <c r="CK1573">
        <v>-2.58</v>
      </c>
      <c r="CL1573">
        <v>7.33</v>
      </c>
      <c r="CM1573">
        <v>-2.98</v>
      </c>
      <c r="CN1573">
        <v>1.53</v>
      </c>
      <c r="CO1573">
        <v>46516</v>
      </c>
      <c r="CP1573">
        <v>26527</v>
      </c>
      <c r="CQ1573" t="s">
        <v>396</v>
      </c>
      <c r="CR1573">
        <v>-53.51</v>
      </c>
      <c r="CS1573">
        <v>-21.3</v>
      </c>
      <c r="CT1573">
        <v>1.32</v>
      </c>
      <c r="CU1573">
        <v>-28.4</v>
      </c>
      <c r="CV1573">
        <v>7.75</v>
      </c>
      <c r="CW1573">
        <v>0</v>
      </c>
      <c r="CX1573" t="s">
        <v>3106</v>
      </c>
      <c r="CY1573">
        <v>2.27</v>
      </c>
      <c r="CZ1573">
        <v>2.27</v>
      </c>
      <c r="DA1573">
        <v>0.93</v>
      </c>
      <c r="DB1573">
        <v>0.26</v>
      </c>
      <c r="DC1573">
        <v>-0.11</v>
      </c>
      <c r="DD1573">
        <v>23.93</v>
      </c>
      <c r="DE1573" t="s">
        <v>8166</v>
      </c>
      <c r="DF1573">
        <v>16.29</v>
      </c>
      <c r="DG1573">
        <v>-27.44</v>
      </c>
      <c r="DH1573">
        <v>-23.55</v>
      </c>
      <c r="DI1573">
        <v>0.69</v>
      </c>
      <c r="DJ1573">
        <v>2268</v>
      </c>
      <c r="DK1573">
        <v>300197</v>
      </c>
      <c r="DL1573" t="s">
        <v>120</v>
      </c>
      <c r="DM1573" t="s">
        <v>120</v>
      </c>
      <c r="DN1573" t="s">
        <v>120</v>
      </c>
    </row>
    <row r="1574" spans="1:118">
      <c r="A1574" t="str">
        <f>"300198"</f>
        <v>300198</v>
      </c>
      <c r="B1574" t="s">
        <v>8167</v>
      </c>
      <c r="C1574">
        <v>-5.54</v>
      </c>
      <c r="D1574">
        <v>-0.22</v>
      </c>
      <c r="E1574">
        <v>-0.22</v>
      </c>
      <c r="F1574">
        <v>7613</v>
      </c>
      <c r="G1574" t="s">
        <v>8168</v>
      </c>
      <c r="H1574">
        <v>16300.61</v>
      </c>
      <c r="I1574">
        <v>56.97</v>
      </c>
      <c r="J1574" t="s">
        <v>120</v>
      </c>
      <c r="K1574" t="s">
        <v>8169</v>
      </c>
      <c r="L1574">
        <v>4.24</v>
      </c>
      <c r="M1574">
        <v>4.26</v>
      </c>
      <c r="N1574">
        <v>0.82</v>
      </c>
      <c r="O1574">
        <v>2.2200000000000002</v>
      </c>
      <c r="P1574">
        <v>4.6100000000000003</v>
      </c>
      <c r="Q1574">
        <v>-5.54</v>
      </c>
      <c r="R1574">
        <v>4.26</v>
      </c>
      <c r="S1574">
        <v>4.5</v>
      </c>
      <c r="T1574">
        <v>368315</v>
      </c>
      <c r="U1574">
        <v>4.2699999999999996</v>
      </c>
      <c r="V1574">
        <v>4.51</v>
      </c>
      <c r="W1574">
        <v>3849.33</v>
      </c>
      <c r="X1574" t="s">
        <v>2211</v>
      </c>
      <c r="Y1574" t="s">
        <v>937</v>
      </c>
      <c r="Z1574">
        <v>7.76</v>
      </c>
      <c r="AA1574">
        <v>4.43</v>
      </c>
      <c r="AB1574">
        <v>220819</v>
      </c>
      <c r="AC1574">
        <v>147496</v>
      </c>
      <c r="AD1574">
        <v>1.5</v>
      </c>
      <c r="AE1574">
        <v>2242</v>
      </c>
      <c r="AF1574">
        <v>646</v>
      </c>
      <c r="AG1574" t="s">
        <v>120</v>
      </c>
      <c r="AH1574">
        <v>0.02</v>
      </c>
      <c r="AI1574" t="s">
        <v>120</v>
      </c>
      <c r="AJ1574">
        <v>8.69</v>
      </c>
      <c r="AK1574" t="s">
        <v>8170</v>
      </c>
      <c r="AL1574">
        <v>-3.63</v>
      </c>
      <c r="AM1574">
        <v>2669</v>
      </c>
      <c r="AN1574">
        <v>138</v>
      </c>
      <c r="AO1574">
        <v>1.6000000000000001E-3</v>
      </c>
      <c r="AP1574">
        <v>-3</v>
      </c>
      <c r="AQ1574">
        <v>-0.22</v>
      </c>
      <c r="AR1574">
        <v>-6.99</v>
      </c>
      <c r="AS1574">
        <v>-1.39</v>
      </c>
      <c r="AT1574">
        <v>8.1199999999999992</v>
      </c>
      <c r="AU1574">
        <v>-17.28</v>
      </c>
      <c r="AV1574">
        <v>2</v>
      </c>
      <c r="AW1574">
        <v>5.58</v>
      </c>
      <c r="AX1574">
        <v>63.99</v>
      </c>
      <c r="AY1574">
        <v>154.16</v>
      </c>
      <c r="AZ1574">
        <v>96.48</v>
      </c>
      <c r="BA1574">
        <v>0.73</v>
      </c>
      <c r="BB1574" t="s">
        <v>143</v>
      </c>
      <c r="BF1574">
        <v>-1.87</v>
      </c>
      <c r="BG1574">
        <v>-5.33</v>
      </c>
      <c r="BH1574">
        <v>-7.59</v>
      </c>
      <c r="BI1574">
        <v>0</v>
      </c>
      <c r="BJ1574">
        <v>20210830</v>
      </c>
      <c r="BK1574">
        <v>20110407</v>
      </c>
      <c r="BL1574">
        <v>10.32</v>
      </c>
      <c r="BM1574" t="s">
        <v>120</v>
      </c>
      <c r="BN1574" t="s">
        <v>120</v>
      </c>
      <c r="BO1574">
        <v>37.090000000000003</v>
      </c>
      <c r="BP1574">
        <v>4.26</v>
      </c>
      <c r="BQ1574">
        <v>14.51</v>
      </c>
      <c r="BR1574">
        <v>0.35</v>
      </c>
      <c r="BS1574">
        <v>59.94</v>
      </c>
      <c r="BT1574">
        <v>11.41</v>
      </c>
      <c r="BU1574">
        <v>3.01</v>
      </c>
      <c r="BV1574">
        <v>0.9</v>
      </c>
      <c r="BW1574">
        <v>14.52</v>
      </c>
      <c r="BX1574">
        <v>2.82</v>
      </c>
      <c r="BY1574">
        <v>1.28</v>
      </c>
      <c r="BZ1574">
        <v>3.64</v>
      </c>
      <c r="CA1574" t="s">
        <v>120</v>
      </c>
      <c r="CB1574">
        <v>0.65</v>
      </c>
      <c r="CC1574">
        <v>2.52</v>
      </c>
      <c r="CD1574">
        <v>1.93</v>
      </c>
      <c r="CE1574">
        <v>-0.05</v>
      </c>
      <c r="CF1574">
        <v>0.11</v>
      </c>
      <c r="CG1574">
        <v>-0.05</v>
      </c>
      <c r="CH1574">
        <v>0.05</v>
      </c>
      <c r="CI1574">
        <v>0.01</v>
      </c>
      <c r="CJ1574">
        <v>-0.25</v>
      </c>
      <c r="CK1574">
        <v>-0.02</v>
      </c>
      <c r="CL1574">
        <v>2.88</v>
      </c>
      <c r="CM1574">
        <v>-0.77</v>
      </c>
      <c r="CN1574">
        <v>-0.22</v>
      </c>
      <c r="CO1574">
        <v>24858</v>
      </c>
      <c r="CP1574">
        <v>26552</v>
      </c>
      <c r="CQ1574" t="s">
        <v>8171</v>
      </c>
      <c r="CR1574">
        <v>-96.93</v>
      </c>
      <c r="CS1574">
        <v>-27.16</v>
      </c>
      <c r="CT1574">
        <v>3.03</v>
      </c>
      <c r="CU1574">
        <v>-56.79</v>
      </c>
      <c r="CV1574">
        <v>17.420000000000002</v>
      </c>
      <c r="CW1574">
        <v>0</v>
      </c>
      <c r="CX1574" t="s">
        <v>1415</v>
      </c>
      <c r="CY1574">
        <v>1.41</v>
      </c>
      <c r="CZ1574">
        <v>0</v>
      </c>
      <c r="DA1574">
        <v>0.06</v>
      </c>
      <c r="DB1574">
        <v>0.28000000000000003</v>
      </c>
      <c r="DC1574">
        <v>-0.08</v>
      </c>
      <c r="DD1574">
        <v>39.119999999999997</v>
      </c>
      <c r="DE1574" t="s">
        <v>1696</v>
      </c>
      <c r="DF1574">
        <v>23.32</v>
      </c>
      <c r="DG1574">
        <v>-1.85</v>
      </c>
      <c r="DH1574">
        <v>0.23</v>
      </c>
      <c r="DI1574">
        <v>0.11</v>
      </c>
      <c r="DJ1574">
        <v>934</v>
      </c>
      <c r="DK1574">
        <v>300198</v>
      </c>
      <c r="DL1574" t="s">
        <v>120</v>
      </c>
      <c r="DM1574" t="s">
        <v>120</v>
      </c>
      <c r="DN1574" t="s">
        <v>120</v>
      </c>
    </row>
    <row r="1575" spans="1:118">
      <c r="A1575" t="str">
        <f>"300199"</f>
        <v>300199</v>
      </c>
      <c r="B1575" t="s">
        <v>8172</v>
      </c>
      <c r="C1575">
        <v>-1.74</v>
      </c>
      <c r="D1575">
        <v>0</v>
      </c>
      <c r="E1575">
        <v>0</v>
      </c>
      <c r="F1575">
        <v>652</v>
      </c>
      <c r="G1575" t="s">
        <v>8173</v>
      </c>
      <c r="H1575">
        <v>2765.29</v>
      </c>
      <c r="I1575">
        <v>1.19</v>
      </c>
      <c r="J1575" t="s">
        <v>120</v>
      </c>
      <c r="K1575" t="s">
        <v>8174</v>
      </c>
      <c r="L1575">
        <v>0.85</v>
      </c>
      <c r="M1575">
        <v>5.07</v>
      </c>
      <c r="N1575">
        <v>0.89</v>
      </c>
      <c r="O1575">
        <v>1.55</v>
      </c>
      <c r="P1575">
        <v>5.24</v>
      </c>
      <c r="Q1575">
        <v>-1.94</v>
      </c>
      <c r="R1575">
        <v>5.0599999999999996</v>
      </c>
      <c r="S1575">
        <v>5.16</v>
      </c>
      <c r="T1575">
        <v>53741</v>
      </c>
      <c r="U1575">
        <v>5.08</v>
      </c>
      <c r="V1575">
        <v>5.16</v>
      </c>
      <c r="W1575" t="s">
        <v>120</v>
      </c>
      <c r="X1575" t="s">
        <v>569</v>
      </c>
      <c r="Y1575" t="s">
        <v>123</v>
      </c>
      <c r="Z1575">
        <v>3.49</v>
      </c>
      <c r="AA1575">
        <v>5.15</v>
      </c>
      <c r="AB1575">
        <v>30871</v>
      </c>
      <c r="AC1575">
        <v>22870</v>
      </c>
      <c r="AD1575">
        <v>1.35</v>
      </c>
      <c r="AE1575">
        <v>321</v>
      </c>
      <c r="AF1575">
        <v>565</v>
      </c>
      <c r="AG1575" t="s">
        <v>120</v>
      </c>
      <c r="AH1575">
        <v>0</v>
      </c>
      <c r="AI1575" t="s">
        <v>120</v>
      </c>
      <c r="AJ1575">
        <v>6.29</v>
      </c>
      <c r="AK1575" t="s">
        <v>8175</v>
      </c>
      <c r="AL1575">
        <v>0.17</v>
      </c>
      <c r="AM1575">
        <v>1170</v>
      </c>
      <c r="AN1575">
        <v>46</v>
      </c>
      <c r="AO1575">
        <v>6.9999999999999999E-4</v>
      </c>
      <c r="AP1575">
        <v>-3</v>
      </c>
      <c r="AQ1575">
        <v>-0.77</v>
      </c>
      <c r="AR1575">
        <v>-3.61</v>
      </c>
      <c r="AS1575">
        <v>-8.98</v>
      </c>
      <c r="AT1575">
        <v>-8.32</v>
      </c>
      <c r="AU1575">
        <v>-23.76</v>
      </c>
      <c r="AV1575">
        <v>0</v>
      </c>
      <c r="AW1575">
        <v>1.18</v>
      </c>
      <c r="AX1575">
        <v>49.58</v>
      </c>
      <c r="AY1575" t="s">
        <v>120</v>
      </c>
      <c r="AZ1575" t="s">
        <v>120</v>
      </c>
      <c r="BA1575">
        <v>0.33</v>
      </c>
      <c r="BB1575" t="s">
        <v>134</v>
      </c>
      <c r="BF1575">
        <v>-0.28000000000000003</v>
      </c>
      <c r="BG1575">
        <v>-1.74</v>
      </c>
      <c r="BH1575">
        <v>-3.24</v>
      </c>
      <c r="BI1575">
        <v>0.2</v>
      </c>
      <c r="BJ1575">
        <v>20210830</v>
      </c>
      <c r="BK1575">
        <v>20110407</v>
      </c>
      <c r="BL1575">
        <v>9.17</v>
      </c>
      <c r="BM1575" t="s">
        <v>120</v>
      </c>
      <c r="BN1575" t="s">
        <v>120</v>
      </c>
      <c r="BO1575">
        <v>38.869999999999997</v>
      </c>
      <c r="BP1575">
        <v>5.07</v>
      </c>
      <c r="BQ1575">
        <v>16.14</v>
      </c>
      <c r="BR1575">
        <v>0.6</v>
      </c>
      <c r="BS1575">
        <v>56.93</v>
      </c>
      <c r="BT1575">
        <v>8.7200000000000006</v>
      </c>
      <c r="BU1575">
        <v>7.63</v>
      </c>
      <c r="BV1575">
        <v>3.05</v>
      </c>
      <c r="BW1575">
        <v>6.36</v>
      </c>
      <c r="BX1575">
        <v>2.84</v>
      </c>
      <c r="BY1575">
        <v>1.89</v>
      </c>
      <c r="BZ1575">
        <v>3.07</v>
      </c>
      <c r="CA1575">
        <v>0.02</v>
      </c>
      <c r="CB1575">
        <v>17.82</v>
      </c>
      <c r="CC1575">
        <v>3.66</v>
      </c>
      <c r="CD1575">
        <v>1</v>
      </c>
      <c r="CE1575">
        <v>-0.25</v>
      </c>
      <c r="CF1575">
        <v>0.05</v>
      </c>
      <c r="CG1575">
        <v>-0.25</v>
      </c>
      <c r="CH1575">
        <v>-0.26</v>
      </c>
      <c r="CI1575">
        <v>-0.27</v>
      </c>
      <c r="CJ1575">
        <v>-0.09</v>
      </c>
      <c r="CK1575">
        <v>-0.6</v>
      </c>
      <c r="CL1575">
        <v>-8.5399999999999991</v>
      </c>
      <c r="CM1575">
        <v>0.93</v>
      </c>
      <c r="CN1575">
        <v>-1.88</v>
      </c>
      <c r="CO1575">
        <v>24356</v>
      </c>
      <c r="CP1575">
        <v>18664</v>
      </c>
      <c r="CQ1575" t="s">
        <v>8176</v>
      </c>
      <c r="CR1575">
        <v>-156.51</v>
      </c>
      <c r="CS1575">
        <v>-16.809999999999999</v>
      </c>
      <c r="CT1575">
        <v>2.88</v>
      </c>
      <c r="CU1575">
        <v>49.74</v>
      </c>
      <c r="CV1575">
        <v>12.7</v>
      </c>
      <c r="CW1575">
        <v>0</v>
      </c>
      <c r="CX1575" t="s">
        <v>479</v>
      </c>
      <c r="CY1575">
        <v>1.76</v>
      </c>
      <c r="CZ1575">
        <v>0</v>
      </c>
      <c r="DA1575">
        <v>1.94</v>
      </c>
      <c r="DB1575">
        <v>-0.93</v>
      </c>
      <c r="DC1575">
        <v>0.1</v>
      </c>
      <c r="DD1575">
        <v>41.52</v>
      </c>
      <c r="DE1575" t="s">
        <v>5725</v>
      </c>
      <c r="DF1575">
        <v>72.760000000000005</v>
      </c>
      <c r="DG1575">
        <v>-6.7</v>
      </c>
      <c r="DH1575">
        <v>-7.27</v>
      </c>
      <c r="DI1575">
        <v>0.46</v>
      </c>
      <c r="DJ1575">
        <v>941</v>
      </c>
      <c r="DK1575">
        <v>300199</v>
      </c>
      <c r="DL1575" t="s">
        <v>120</v>
      </c>
      <c r="DM1575" t="s">
        <v>120</v>
      </c>
      <c r="DN1575" t="s">
        <v>120</v>
      </c>
    </row>
    <row r="1576" spans="1:118">
      <c r="A1576" t="str">
        <f>"300200"</f>
        <v>300200</v>
      </c>
      <c r="B1576" t="s">
        <v>8177</v>
      </c>
      <c r="C1576">
        <v>-1.32</v>
      </c>
      <c r="D1576">
        <v>-0.09</v>
      </c>
      <c r="E1576">
        <v>-0.47</v>
      </c>
      <c r="F1576">
        <v>1934</v>
      </c>
      <c r="G1576" t="s">
        <v>743</v>
      </c>
      <c r="H1576">
        <v>8718.83</v>
      </c>
      <c r="I1576">
        <v>20.440000000000001</v>
      </c>
      <c r="J1576" t="s">
        <v>120</v>
      </c>
      <c r="K1576" t="s">
        <v>8178</v>
      </c>
      <c r="L1576">
        <v>1.97</v>
      </c>
      <c r="M1576">
        <v>10.5</v>
      </c>
      <c r="N1576">
        <v>0.81</v>
      </c>
      <c r="O1576">
        <v>1.97</v>
      </c>
      <c r="P1576">
        <v>10.85</v>
      </c>
      <c r="Q1576">
        <v>-1.6</v>
      </c>
      <c r="R1576">
        <v>10.47</v>
      </c>
      <c r="S1576">
        <v>10.59</v>
      </c>
      <c r="T1576">
        <v>81673</v>
      </c>
      <c r="U1576">
        <v>10.5</v>
      </c>
      <c r="V1576">
        <v>10.64</v>
      </c>
      <c r="W1576">
        <v>19.97</v>
      </c>
      <c r="X1576" t="s">
        <v>868</v>
      </c>
      <c r="Y1576" t="s">
        <v>158</v>
      </c>
      <c r="Z1576">
        <v>3.57</v>
      </c>
      <c r="AA1576">
        <v>10.68</v>
      </c>
      <c r="AB1576">
        <v>46602</v>
      </c>
      <c r="AC1576">
        <v>35071</v>
      </c>
      <c r="AD1576">
        <v>1.33</v>
      </c>
      <c r="AE1576">
        <v>201</v>
      </c>
      <c r="AF1576">
        <v>36</v>
      </c>
      <c r="AG1576" t="s">
        <v>120</v>
      </c>
      <c r="AH1576">
        <v>0.01</v>
      </c>
      <c r="AI1576" t="s">
        <v>120</v>
      </c>
      <c r="AJ1576">
        <v>4.1500000000000004</v>
      </c>
      <c r="AK1576" t="s">
        <v>6106</v>
      </c>
      <c r="AL1576">
        <v>0.6</v>
      </c>
      <c r="AM1576">
        <v>2181</v>
      </c>
      <c r="AN1576">
        <v>37</v>
      </c>
      <c r="AO1576">
        <v>8.9999999999999998E-4</v>
      </c>
      <c r="AP1576">
        <v>-1</v>
      </c>
      <c r="AQ1576">
        <v>1.72</v>
      </c>
      <c r="AR1576">
        <v>-1.69</v>
      </c>
      <c r="AS1576">
        <v>-10.48</v>
      </c>
      <c r="AT1576">
        <v>4.2699999999999996</v>
      </c>
      <c r="AU1576">
        <v>0</v>
      </c>
      <c r="AV1576">
        <v>0</v>
      </c>
      <c r="AW1576">
        <v>3.54</v>
      </c>
      <c r="AX1576">
        <v>54.24</v>
      </c>
      <c r="AY1576">
        <v>19.41</v>
      </c>
      <c r="AZ1576">
        <v>19.47</v>
      </c>
      <c r="BA1576">
        <v>0.57999999999999996</v>
      </c>
      <c r="BB1576" t="s">
        <v>143</v>
      </c>
      <c r="BF1576">
        <v>0.33</v>
      </c>
      <c r="BG1576">
        <v>-0.85</v>
      </c>
      <c r="BH1576">
        <v>-3.23</v>
      </c>
      <c r="BI1576">
        <v>0.28999999999999998</v>
      </c>
      <c r="BJ1576">
        <v>20210819</v>
      </c>
      <c r="BK1576">
        <v>20110407</v>
      </c>
      <c r="BL1576">
        <v>4.26</v>
      </c>
      <c r="BM1576" t="s">
        <v>120</v>
      </c>
      <c r="BN1576" t="s">
        <v>120</v>
      </c>
      <c r="BO1576">
        <v>21.15</v>
      </c>
      <c r="BP1576">
        <v>10.49</v>
      </c>
      <c r="BQ1576">
        <v>18.940000000000001</v>
      </c>
      <c r="BR1576" t="s">
        <v>120</v>
      </c>
      <c r="BS1576">
        <v>10.46</v>
      </c>
      <c r="BT1576">
        <v>11.4</v>
      </c>
      <c r="BU1576">
        <v>2</v>
      </c>
      <c r="BV1576">
        <v>0.28000000000000003</v>
      </c>
      <c r="BW1576">
        <v>2.12</v>
      </c>
      <c r="BX1576">
        <v>2.41</v>
      </c>
      <c r="BY1576">
        <v>1.25</v>
      </c>
      <c r="BZ1576">
        <v>1.54</v>
      </c>
      <c r="CA1576" t="s">
        <v>120</v>
      </c>
      <c r="CB1576">
        <v>9.17</v>
      </c>
      <c r="CC1576">
        <v>5.63</v>
      </c>
      <c r="CD1576">
        <v>3.96</v>
      </c>
      <c r="CE1576">
        <v>1.31</v>
      </c>
      <c r="CF1576">
        <v>0.12</v>
      </c>
      <c r="CG1576">
        <v>1.32</v>
      </c>
      <c r="CH1576">
        <v>1.1200000000000001</v>
      </c>
      <c r="CI1576">
        <v>1.1200000000000001</v>
      </c>
      <c r="CJ1576">
        <v>-0.14000000000000001</v>
      </c>
      <c r="CK1576">
        <v>1.08</v>
      </c>
      <c r="CL1576">
        <v>4.76</v>
      </c>
      <c r="CM1576">
        <v>0.8</v>
      </c>
      <c r="CN1576">
        <v>0.25</v>
      </c>
      <c r="CO1576">
        <v>40924</v>
      </c>
      <c r="CP1576">
        <v>5640</v>
      </c>
      <c r="CQ1576" t="s">
        <v>2706</v>
      </c>
      <c r="CR1576">
        <v>0.61</v>
      </c>
      <c r="CS1576">
        <v>33.85</v>
      </c>
      <c r="CT1576">
        <v>2.36</v>
      </c>
      <c r="CU1576">
        <v>55.74</v>
      </c>
      <c r="CV1576">
        <v>7.94</v>
      </c>
      <c r="CW1576">
        <v>2.82</v>
      </c>
      <c r="CX1576" t="s">
        <v>670</v>
      </c>
      <c r="CY1576">
        <v>4.45</v>
      </c>
      <c r="CZ1576">
        <v>0</v>
      </c>
      <c r="DA1576">
        <v>2.15</v>
      </c>
      <c r="DB1576">
        <v>1.1200000000000001</v>
      </c>
      <c r="DC1576">
        <v>0.19</v>
      </c>
      <c r="DD1576">
        <v>89.54</v>
      </c>
      <c r="DE1576" t="s">
        <v>627</v>
      </c>
      <c r="DF1576">
        <v>29.72</v>
      </c>
      <c r="DG1576">
        <v>23.34</v>
      </c>
      <c r="DH1576">
        <v>19.88</v>
      </c>
      <c r="DI1576">
        <v>0.26</v>
      </c>
      <c r="DJ1576">
        <v>517</v>
      </c>
      <c r="DK1576">
        <v>300200</v>
      </c>
      <c r="DL1576" t="s">
        <v>120</v>
      </c>
      <c r="DM1576" t="s">
        <v>120</v>
      </c>
      <c r="DN1576" t="s">
        <v>120</v>
      </c>
    </row>
    <row r="1577" spans="1:118">
      <c r="A1577" t="str">
        <f>"300201"</f>
        <v>300201</v>
      </c>
      <c r="B1577" t="s">
        <v>8179</v>
      </c>
      <c r="C1577">
        <v>-5.4</v>
      </c>
      <c r="D1577">
        <v>0</v>
      </c>
      <c r="E1577">
        <v>-0.65</v>
      </c>
      <c r="F1577">
        <v>6951</v>
      </c>
      <c r="G1577" t="s">
        <v>8180</v>
      </c>
      <c r="H1577">
        <v>15769.75</v>
      </c>
      <c r="I1577">
        <v>59.75</v>
      </c>
      <c r="J1577" t="s">
        <v>120</v>
      </c>
      <c r="K1577" t="s">
        <v>8181</v>
      </c>
      <c r="L1577">
        <v>3.69</v>
      </c>
      <c r="M1577">
        <v>4.38</v>
      </c>
      <c r="N1577">
        <v>0.69</v>
      </c>
      <c r="O1577">
        <v>0.65</v>
      </c>
      <c r="P1577">
        <v>4.66</v>
      </c>
      <c r="Q1577">
        <v>-5.62</v>
      </c>
      <c r="R1577">
        <v>4.37</v>
      </c>
      <c r="S1577">
        <v>4.5999999999999996</v>
      </c>
      <c r="T1577">
        <v>349506</v>
      </c>
      <c r="U1577">
        <v>4.3899999999999997</v>
      </c>
      <c r="V1577">
        <v>4.63</v>
      </c>
      <c r="W1577">
        <v>95.4</v>
      </c>
      <c r="X1577" t="s">
        <v>675</v>
      </c>
      <c r="Y1577" t="s">
        <v>319</v>
      </c>
      <c r="Z1577">
        <v>6.26</v>
      </c>
      <c r="AA1577">
        <v>4.51</v>
      </c>
      <c r="AB1577">
        <v>217924</v>
      </c>
      <c r="AC1577">
        <v>131582</v>
      </c>
      <c r="AD1577">
        <v>1.66</v>
      </c>
      <c r="AE1577">
        <v>1040</v>
      </c>
      <c r="AF1577">
        <v>1350</v>
      </c>
      <c r="AG1577" t="s">
        <v>120</v>
      </c>
      <c r="AH1577">
        <v>0.02</v>
      </c>
      <c r="AI1577" t="s">
        <v>120</v>
      </c>
      <c r="AJ1577">
        <v>9.4600000000000009</v>
      </c>
      <c r="AK1577" t="s">
        <v>8182</v>
      </c>
      <c r="AL1577">
        <v>-3.49</v>
      </c>
      <c r="AM1577">
        <v>2919</v>
      </c>
      <c r="AN1577">
        <v>120</v>
      </c>
      <c r="AO1577">
        <v>1.2999999999999999E-3</v>
      </c>
      <c r="AP1577">
        <v>-1</v>
      </c>
      <c r="AQ1577">
        <v>2.21</v>
      </c>
      <c r="AR1577">
        <v>-4.3600000000000003</v>
      </c>
      <c r="AS1577">
        <v>2.34</v>
      </c>
      <c r="AT1577">
        <v>37.299999999999997</v>
      </c>
      <c r="AU1577">
        <v>43.14</v>
      </c>
      <c r="AV1577">
        <v>2</v>
      </c>
      <c r="AW1577">
        <v>6.16</v>
      </c>
      <c r="AX1577">
        <v>54.52</v>
      </c>
      <c r="AY1577" t="s">
        <v>120</v>
      </c>
      <c r="AZ1577" t="s">
        <v>120</v>
      </c>
      <c r="BA1577">
        <v>0.88</v>
      </c>
      <c r="BB1577" t="s">
        <v>184</v>
      </c>
      <c r="BF1577">
        <v>-2.5499999999999998</v>
      </c>
      <c r="BG1577">
        <v>-4.78</v>
      </c>
      <c r="BH1577">
        <v>-6.01</v>
      </c>
      <c r="BI1577">
        <v>0.23</v>
      </c>
      <c r="BJ1577">
        <v>20210826</v>
      </c>
      <c r="BK1577">
        <v>20110407</v>
      </c>
      <c r="BL1577">
        <v>10.41</v>
      </c>
      <c r="BM1577" t="s">
        <v>120</v>
      </c>
      <c r="BN1577" t="s">
        <v>120</v>
      </c>
      <c r="BO1577">
        <v>23.03</v>
      </c>
      <c r="BP1577">
        <v>4.38</v>
      </c>
      <c r="BQ1577">
        <v>11.75</v>
      </c>
      <c r="BR1577">
        <v>0.04</v>
      </c>
      <c r="BS1577">
        <v>48.8</v>
      </c>
      <c r="BT1577">
        <v>12.8</v>
      </c>
      <c r="BU1577">
        <v>3.78</v>
      </c>
      <c r="BV1577">
        <v>1.48</v>
      </c>
      <c r="BW1577">
        <v>10.14</v>
      </c>
      <c r="BX1577">
        <v>0.9</v>
      </c>
      <c r="BY1577">
        <v>3.94</v>
      </c>
      <c r="BZ1577">
        <v>5.86</v>
      </c>
      <c r="CA1577" t="s">
        <v>120</v>
      </c>
      <c r="CB1577">
        <v>0.94</v>
      </c>
      <c r="CC1577">
        <v>6.3</v>
      </c>
      <c r="CD1577">
        <v>4.57</v>
      </c>
      <c r="CE1577">
        <v>0.32</v>
      </c>
      <c r="CF1577">
        <v>0.03</v>
      </c>
      <c r="CG1577">
        <v>0.31</v>
      </c>
      <c r="CH1577">
        <v>0.33</v>
      </c>
      <c r="CI1577">
        <v>0.24</v>
      </c>
      <c r="CJ1577">
        <v>-0.25</v>
      </c>
      <c r="CK1577">
        <v>0.11</v>
      </c>
      <c r="CL1577">
        <v>0.01</v>
      </c>
      <c r="CM1577">
        <v>-3.11</v>
      </c>
      <c r="CN1577">
        <v>-5.62</v>
      </c>
      <c r="CO1577">
        <v>36224</v>
      </c>
      <c r="CP1577">
        <v>15666</v>
      </c>
      <c r="CQ1577" t="s">
        <v>8183</v>
      </c>
      <c r="CR1577">
        <v>235.58</v>
      </c>
      <c r="CS1577">
        <v>-9.66</v>
      </c>
      <c r="CT1577">
        <v>3.88</v>
      </c>
      <c r="CU1577">
        <v>-14.68</v>
      </c>
      <c r="CV1577">
        <v>7.24</v>
      </c>
      <c r="CW1577">
        <v>0</v>
      </c>
      <c r="CX1577" t="s">
        <v>8184</v>
      </c>
      <c r="CY1577">
        <v>1.1299999999999999</v>
      </c>
      <c r="CZ1577">
        <v>0</v>
      </c>
      <c r="DA1577">
        <v>0.09</v>
      </c>
      <c r="DB1577">
        <v>0</v>
      </c>
      <c r="DC1577">
        <v>-0.3</v>
      </c>
      <c r="DD1577">
        <v>51.01</v>
      </c>
      <c r="DE1577" t="s">
        <v>412</v>
      </c>
      <c r="DF1577">
        <v>27.45</v>
      </c>
      <c r="DG1577">
        <v>5.08</v>
      </c>
      <c r="DH1577">
        <v>3.79</v>
      </c>
      <c r="DI1577">
        <v>0.16</v>
      </c>
      <c r="DJ1577">
        <v>1098</v>
      </c>
      <c r="DK1577">
        <v>300201</v>
      </c>
      <c r="DL1577">
        <v>20210721</v>
      </c>
      <c r="DM1577">
        <v>4.16</v>
      </c>
      <c r="DN1577">
        <v>5.29</v>
      </c>
    </row>
    <row r="1578" spans="1:118">
      <c r="A1578" t="str">
        <f>"300203"</f>
        <v>300203</v>
      </c>
      <c r="B1578" t="s">
        <v>8185</v>
      </c>
      <c r="C1578">
        <v>-14.48</v>
      </c>
      <c r="D1578">
        <v>0.25</v>
      </c>
      <c r="E1578">
        <v>0</v>
      </c>
      <c r="F1578">
        <v>1452</v>
      </c>
      <c r="G1578" t="s">
        <v>8186</v>
      </c>
      <c r="H1578">
        <v>63294.6</v>
      </c>
      <c r="I1578">
        <v>112.01</v>
      </c>
      <c r="J1578" t="s">
        <v>120</v>
      </c>
      <c r="K1578" t="s">
        <v>8187</v>
      </c>
      <c r="L1578">
        <v>6.77</v>
      </c>
      <c r="M1578">
        <v>19.670000000000002</v>
      </c>
      <c r="N1578">
        <v>1.67</v>
      </c>
      <c r="O1578">
        <v>0</v>
      </c>
      <c r="P1578">
        <v>23</v>
      </c>
      <c r="Q1578">
        <v>-15.65</v>
      </c>
      <c r="R1578">
        <v>19.399999999999999</v>
      </c>
      <c r="S1578">
        <v>23</v>
      </c>
      <c r="T1578">
        <v>306076</v>
      </c>
      <c r="U1578">
        <v>19.670000000000002</v>
      </c>
      <c r="V1578">
        <v>23</v>
      </c>
      <c r="W1578" t="s">
        <v>120</v>
      </c>
      <c r="X1578" t="s">
        <v>318</v>
      </c>
      <c r="Y1578" t="s">
        <v>585</v>
      </c>
      <c r="Z1578">
        <v>15.65</v>
      </c>
      <c r="AA1578">
        <v>20.68</v>
      </c>
      <c r="AB1578">
        <v>165191</v>
      </c>
      <c r="AC1578">
        <v>140885</v>
      </c>
      <c r="AD1578">
        <v>1.17</v>
      </c>
      <c r="AE1578">
        <v>37</v>
      </c>
      <c r="AF1578">
        <v>11</v>
      </c>
      <c r="AG1578" t="s">
        <v>120</v>
      </c>
      <c r="AH1578">
        <v>0.02</v>
      </c>
      <c r="AI1578" t="s">
        <v>120</v>
      </c>
      <c r="AJ1578">
        <v>4.5199999999999996</v>
      </c>
      <c r="AK1578" t="s">
        <v>8188</v>
      </c>
      <c r="AL1578">
        <v>-12.56</v>
      </c>
      <c r="AM1578">
        <v>4487</v>
      </c>
      <c r="AN1578">
        <v>68</v>
      </c>
      <c r="AO1578">
        <v>1.5E-3</v>
      </c>
      <c r="AP1578">
        <v>-1</v>
      </c>
      <c r="AQ1578">
        <v>5.94</v>
      </c>
      <c r="AR1578">
        <v>-9.73</v>
      </c>
      <c r="AS1578">
        <v>49.47</v>
      </c>
      <c r="AT1578">
        <v>61.1</v>
      </c>
      <c r="AU1578">
        <v>68.849999999999994</v>
      </c>
      <c r="AV1578">
        <v>0</v>
      </c>
      <c r="AW1578">
        <v>10.24</v>
      </c>
      <c r="AX1578">
        <v>66.05</v>
      </c>
      <c r="AY1578">
        <v>22.39</v>
      </c>
      <c r="AZ1578">
        <v>21.27</v>
      </c>
      <c r="BA1578">
        <v>0.31</v>
      </c>
      <c r="BB1578" t="s">
        <v>184</v>
      </c>
      <c r="BF1578">
        <v>-10.09</v>
      </c>
      <c r="BG1578">
        <v>-14.48</v>
      </c>
      <c r="BH1578">
        <v>-14.48</v>
      </c>
      <c r="BI1578">
        <v>1.39</v>
      </c>
      <c r="BJ1578">
        <v>20210830</v>
      </c>
      <c r="BK1578">
        <v>20110415</v>
      </c>
      <c r="BL1578">
        <v>4.53</v>
      </c>
      <c r="BM1578" t="s">
        <v>120</v>
      </c>
      <c r="BN1578" t="s">
        <v>120</v>
      </c>
      <c r="BO1578">
        <v>97.82</v>
      </c>
      <c r="BP1578">
        <v>19.66</v>
      </c>
      <c r="BQ1578">
        <v>37.53</v>
      </c>
      <c r="BR1578">
        <v>3.74</v>
      </c>
      <c r="BS1578">
        <v>57.81</v>
      </c>
      <c r="BT1578">
        <v>46.51</v>
      </c>
      <c r="BU1578">
        <v>6.36</v>
      </c>
      <c r="BV1578">
        <v>0.83</v>
      </c>
      <c r="BW1578">
        <v>33.57</v>
      </c>
      <c r="BX1578">
        <v>10.31</v>
      </c>
      <c r="BY1578">
        <v>14.06</v>
      </c>
      <c r="BZ1578">
        <v>14.5</v>
      </c>
      <c r="CA1578">
        <v>0.2</v>
      </c>
      <c r="CB1578">
        <v>9.49</v>
      </c>
      <c r="CC1578">
        <v>13.69</v>
      </c>
      <c r="CD1578">
        <v>7.75</v>
      </c>
      <c r="CE1578">
        <v>-0.67</v>
      </c>
      <c r="CF1578">
        <v>0.57999999999999996</v>
      </c>
      <c r="CG1578">
        <v>-0.67</v>
      </c>
      <c r="CH1578">
        <v>-0.17</v>
      </c>
      <c r="CI1578">
        <v>-0.11</v>
      </c>
      <c r="CJ1578">
        <v>-3.33</v>
      </c>
      <c r="CK1578">
        <v>-0.9</v>
      </c>
      <c r="CL1578">
        <v>23.08</v>
      </c>
      <c r="CM1578">
        <v>-4.59</v>
      </c>
      <c r="CN1578">
        <v>-4.26</v>
      </c>
      <c r="CO1578">
        <v>21343</v>
      </c>
      <c r="CP1578">
        <v>14004</v>
      </c>
      <c r="CQ1578" t="s">
        <v>8189</v>
      </c>
      <c r="CR1578">
        <v>-178.38</v>
      </c>
      <c r="CS1578">
        <v>-3.86</v>
      </c>
      <c r="CT1578">
        <v>2.37</v>
      </c>
      <c r="CU1578">
        <v>-19.37</v>
      </c>
      <c r="CV1578">
        <v>6.5</v>
      </c>
      <c r="CW1578">
        <v>0.09</v>
      </c>
      <c r="CX1578" t="s">
        <v>419</v>
      </c>
      <c r="CY1578">
        <v>8.2899999999999991</v>
      </c>
      <c r="CZ1578">
        <v>0</v>
      </c>
      <c r="DA1578">
        <v>2.1</v>
      </c>
      <c r="DB1578">
        <v>5.0999999999999996</v>
      </c>
      <c r="DC1578">
        <v>-1.02</v>
      </c>
      <c r="DD1578">
        <v>38.369999999999997</v>
      </c>
      <c r="DE1578" t="s">
        <v>8190</v>
      </c>
      <c r="DF1578">
        <v>43.36</v>
      </c>
      <c r="DG1578">
        <v>-4.91</v>
      </c>
      <c r="DH1578">
        <v>-0.78</v>
      </c>
      <c r="DI1578">
        <v>2.63</v>
      </c>
      <c r="DJ1578">
        <v>6056</v>
      </c>
      <c r="DK1578">
        <v>300203</v>
      </c>
      <c r="DL1578">
        <v>20210905</v>
      </c>
      <c r="DM1578">
        <v>21.79</v>
      </c>
      <c r="DN1578">
        <v>-9.73</v>
      </c>
    </row>
    <row r="1579" spans="1:118">
      <c r="A1579" t="str">
        <f>"300204"</f>
        <v>300204</v>
      </c>
      <c r="B1579" t="s">
        <v>8191</v>
      </c>
      <c r="C1579">
        <v>-2.8</v>
      </c>
      <c r="D1579">
        <v>-7.0000000000000007E-2</v>
      </c>
      <c r="E1579">
        <v>0</v>
      </c>
      <c r="F1579">
        <v>1249</v>
      </c>
      <c r="G1579" t="s">
        <v>5759</v>
      </c>
      <c r="H1579">
        <v>5646.27</v>
      </c>
      <c r="I1579">
        <v>41.31</v>
      </c>
      <c r="J1579" t="s">
        <v>120</v>
      </c>
      <c r="K1579" t="s">
        <v>8192</v>
      </c>
      <c r="L1579">
        <v>0.98</v>
      </c>
      <c r="M1579">
        <v>12.13</v>
      </c>
      <c r="N1579">
        <v>0.65</v>
      </c>
      <c r="O1579">
        <v>0.32</v>
      </c>
      <c r="P1579">
        <v>12.52</v>
      </c>
      <c r="Q1579">
        <v>-2.8</v>
      </c>
      <c r="R1579">
        <v>12.13</v>
      </c>
      <c r="S1579">
        <v>12.48</v>
      </c>
      <c r="T1579">
        <v>45891</v>
      </c>
      <c r="U1579">
        <v>12.13</v>
      </c>
      <c r="V1579">
        <v>12.48</v>
      </c>
      <c r="W1579" t="s">
        <v>120</v>
      </c>
      <c r="X1579" t="s">
        <v>666</v>
      </c>
      <c r="Y1579" t="s">
        <v>158</v>
      </c>
      <c r="Z1579">
        <v>3.13</v>
      </c>
      <c r="AA1579">
        <v>12.3</v>
      </c>
      <c r="AB1579">
        <v>28304</v>
      </c>
      <c r="AC1579">
        <v>17587</v>
      </c>
      <c r="AD1579">
        <v>1.61</v>
      </c>
      <c r="AE1579">
        <v>252</v>
      </c>
      <c r="AF1579">
        <v>115</v>
      </c>
      <c r="AG1579" t="s">
        <v>120</v>
      </c>
      <c r="AH1579">
        <v>0.02</v>
      </c>
      <c r="AI1579" t="s">
        <v>120</v>
      </c>
      <c r="AJ1579">
        <v>4.67</v>
      </c>
      <c r="AK1579" t="s">
        <v>8193</v>
      </c>
      <c r="AL1579">
        <v>-0.89</v>
      </c>
      <c r="AM1579">
        <v>1761</v>
      </c>
      <c r="AN1579">
        <v>26</v>
      </c>
      <c r="AO1579">
        <v>5.9999999999999995E-4</v>
      </c>
      <c r="AP1579">
        <v>-1</v>
      </c>
      <c r="AQ1579">
        <v>1.63</v>
      </c>
      <c r="AR1579">
        <v>-3.04</v>
      </c>
      <c r="AS1579">
        <v>0.67</v>
      </c>
      <c r="AT1579">
        <v>11.9</v>
      </c>
      <c r="AU1579">
        <v>34.33</v>
      </c>
      <c r="AV1579">
        <v>3</v>
      </c>
      <c r="AW1579">
        <v>2.2799999999999998</v>
      </c>
      <c r="AX1579">
        <v>42.32</v>
      </c>
      <c r="AY1579" t="s">
        <v>120</v>
      </c>
      <c r="AZ1579" t="s">
        <v>120</v>
      </c>
      <c r="BA1579">
        <v>1.1599999999999999</v>
      </c>
      <c r="BB1579" t="s">
        <v>143</v>
      </c>
      <c r="BF1579">
        <v>-1.41</v>
      </c>
      <c r="BG1579">
        <v>-2.8</v>
      </c>
      <c r="BH1579">
        <v>-3.12</v>
      </c>
      <c r="BI1579">
        <v>0</v>
      </c>
      <c r="BJ1579">
        <v>20210824</v>
      </c>
      <c r="BK1579">
        <v>20110415</v>
      </c>
      <c r="BL1579">
        <v>4.76</v>
      </c>
      <c r="BM1579" t="s">
        <v>120</v>
      </c>
      <c r="BN1579" t="s">
        <v>120</v>
      </c>
      <c r="BO1579">
        <v>17.16</v>
      </c>
      <c r="BP1579">
        <v>12.12</v>
      </c>
      <c r="BQ1579">
        <v>14.92</v>
      </c>
      <c r="BR1579" t="s">
        <v>120</v>
      </c>
      <c r="BS1579">
        <v>13.08</v>
      </c>
      <c r="BT1579">
        <v>7.78</v>
      </c>
      <c r="BU1579">
        <v>2.2999999999999998</v>
      </c>
      <c r="BV1579">
        <v>0.83</v>
      </c>
      <c r="BW1579">
        <v>1.58</v>
      </c>
      <c r="BX1579">
        <v>1.2</v>
      </c>
      <c r="BY1579">
        <v>0.26</v>
      </c>
      <c r="BZ1579">
        <v>0.99</v>
      </c>
      <c r="CA1579" t="s">
        <v>120</v>
      </c>
      <c r="CB1579">
        <v>5.31</v>
      </c>
      <c r="CC1579">
        <v>2.73</v>
      </c>
      <c r="CD1579">
        <v>0.5</v>
      </c>
      <c r="CE1579">
        <v>-0.6</v>
      </c>
      <c r="CF1579">
        <v>0.08</v>
      </c>
      <c r="CG1579">
        <v>-0.6</v>
      </c>
      <c r="CH1579">
        <v>-0.6</v>
      </c>
      <c r="CI1579">
        <v>-0.6</v>
      </c>
      <c r="CJ1579">
        <v>-0.35</v>
      </c>
      <c r="CK1579">
        <v>-0.62</v>
      </c>
      <c r="CL1579">
        <v>4.1900000000000004</v>
      </c>
      <c r="CM1579">
        <v>-0.71</v>
      </c>
      <c r="CN1579">
        <v>-0.21</v>
      </c>
      <c r="CO1579">
        <v>22256</v>
      </c>
      <c r="CP1579">
        <v>9053</v>
      </c>
      <c r="CQ1579" t="s">
        <v>8194</v>
      </c>
      <c r="CR1579">
        <v>20.23</v>
      </c>
      <c r="CS1579">
        <v>64.25</v>
      </c>
      <c r="CT1579">
        <v>3.87</v>
      </c>
      <c r="CU1579">
        <v>-81.66</v>
      </c>
      <c r="CV1579">
        <v>21.18</v>
      </c>
      <c r="CW1579">
        <v>0</v>
      </c>
      <c r="CX1579" t="s">
        <v>359</v>
      </c>
      <c r="CY1579">
        <v>3.13</v>
      </c>
      <c r="CZ1579">
        <v>0</v>
      </c>
      <c r="DA1579">
        <v>1.1200000000000001</v>
      </c>
      <c r="DB1579">
        <v>0.88</v>
      </c>
      <c r="DC1579">
        <v>-0.15</v>
      </c>
      <c r="DD1579">
        <v>86.92</v>
      </c>
      <c r="DE1579" t="s">
        <v>7720</v>
      </c>
      <c r="DF1579">
        <v>81.680000000000007</v>
      </c>
      <c r="DG1579">
        <v>-21.88</v>
      </c>
      <c r="DH1579">
        <v>-21.94</v>
      </c>
      <c r="DI1579">
        <v>1.4</v>
      </c>
      <c r="DJ1579">
        <v>835</v>
      </c>
      <c r="DK1579">
        <v>300204</v>
      </c>
      <c r="DL1579" t="s">
        <v>120</v>
      </c>
      <c r="DM1579" t="s">
        <v>120</v>
      </c>
      <c r="DN1579" t="s">
        <v>120</v>
      </c>
    </row>
    <row r="1580" spans="1:118">
      <c r="A1580" t="str">
        <f>"300205"</f>
        <v>300205</v>
      </c>
      <c r="B1580" t="s">
        <v>8195</v>
      </c>
      <c r="C1580">
        <v>7.0000000000000007E-2</v>
      </c>
      <c r="D1580">
        <v>7.0000000000000007E-2</v>
      </c>
      <c r="E1580">
        <v>0</v>
      </c>
      <c r="F1580">
        <v>1251</v>
      </c>
      <c r="G1580" t="s">
        <v>8196</v>
      </c>
      <c r="H1580">
        <v>13454.15</v>
      </c>
      <c r="I1580">
        <v>6.24</v>
      </c>
      <c r="J1580" t="s">
        <v>120</v>
      </c>
      <c r="K1580" t="s">
        <v>8197</v>
      </c>
      <c r="L1580">
        <v>2.16</v>
      </c>
      <c r="M1580">
        <v>14.53</v>
      </c>
      <c r="N1580">
        <v>0.51</v>
      </c>
      <c r="O1580">
        <v>2.5499999999999998</v>
      </c>
      <c r="P1580">
        <v>14.89</v>
      </c>
      <c r="Q1580">
        <v>-0.83</v>
      </c>
      <c r="R1580">
        <v>14.4</v>
      </c>
      <c r="S1580">
        <v>14.52</v>
      </c>
      <c r="T1580">
        <v>92084</v>
      </c>
      <c r="U1580">
        <v>14.54</v>
      </c>
      <c r="V1580">
        <v>14.52</v>
      </c>
      <c r="W1580" t="s">
        <v>120</v>
      </c>
      <c r="X1580" t="s">
        <v>229</v>
      </c>
      <c r="Y1580" t="s">
        <v>763</v>
      </c>
      <c r="Z1580">
        <v>3.37</v>
      </c>
      <c r="AA1580">
        <v>14.61</v>
      </c>
      <c r="AB1580">
        <v>45579</v>
      </c>
      <c r="AC1580">
        <v>46505</v>
      </c>
      <c r="AD1580">
        <v>0.98</v>
      </c>
      <c r="AE1580">
        <v>522</v>
      </c>
      <c r="AF1580">
        <v>324</v>
      </c>
      <c r="AG1580" t="s">
        <v>120</v>
      </c>
      <c r="AH1580">
        <v>0</v>
      </c>
      <c r="AI1580" t="s">
        <v>120</v>
      </c>
      <c r="AJ1580">
        <v>4.26</v>
      </c>
      <c r="AK1580" t="s">
        <v>6758</v>
      </c>
      <c r="AL1580">
        <v>1.98</v>
      </c>
      <c r="AM1580">
        <v>2287</v>
      </c>
      <c r="AN1580">
        <v>40</v>
      </c>
      <c r="AO1580">
        <v>8.9999999999999998E-4</v>
      </c>
      <c r="AP1580">
        <v>1</v>
      </c>
      <c r="AQ1580">
        <v>-0.82</v>
      </c>
      <c r="AR1580">
        <v>-1.69</v>
      </c>
      <c r="AS1580">
        <v>3.93</v>
      </c>
      <c r="AT1580">
        <v>31.85</v>
      </c>
      <c r="AU1580">
        <v>40.39</v>
      </c>
      <c r="AV1580">
        <v>2</v>
      </c>
      <c r="AW1580">
        <v>3.9</v>
      </c>
      <c r="AX1580">
        <v>54.86</v>
      </c>
      <c r="AY1580" t="s">
        <v>120</v>
      </c>
      <c r="AZ1580" t="s">
        <v>120</v>
      </c>
      <c r="BA1580">
        <v>0.5</v>
      </c>
      <c r="BB1580" t="s">
        <v>125</v>
      </c>
      <c r="BF1580">
        <v>0.62</v>
      </c>
      <c r="BG1580">
        <v>7.0000000000000007E-2</v>
      </c>
      <c r="BH1580">
        <v>-2.42</v>
      </c>
      <c r="BI1580">
        <v>0.9</v>
      </c>
      <c r="BJ1580">
        <v>20210823</v>
      </c>
      <c r="BK1580">
        <v>20110421</v>
      </c>
      <c r="BL1580">
        <v>4.3</v>
      </c>
      <c r="BM1580" t="s">
        <v>120</v>
      </c>
      <c r="BN1580" t="s">
        <v>120</v>
      </c>
      <c r="BO1580">
        <v>24.65</v>
      </c>
      <c r="BP1580">
        <v>14.53</v>
      </c>
      <c r="BQ1580">
        <v>13.14</v>
      </c>
      <c r="BR1580">
        <v>-0.03</v>
      </c>
      <c r="BS1580">
        <v>46.78</v>
      </c>
      <c r="BT1580">
        <v>18.61</v>
      </c>
      <c r="BU1580">
        <v>2</v>
      </c>
      <c r="BV1580">
        <v>0.77</v>
      </c>
      <c r="BW1580">
        <v>11.38</v>
      </c>
      <c r="BX1580">
        <v>3.28</v>
      </c>
      <c r="BY1580">
        <v>3.86</v>
      </c>
      <c r="BZ1580">
        <v>7.4</v>
      </c>
      <c r="CA1580" t="s">
        <v>120</v>
      </c>
      <c r="CB1580">
        <v>4.09</v>
      </c>
      <c r="CC1580">
        <v>6.83</v>
      </c>
      <c r="CD1580">
        <v>4.97</v>
      </c>
      <c r="CE1580">
        <v>-0.11</v>
      </c>
      <c r="CF1580">
        <v>0.05</v>
      </c>
      <c r="CG1580">
        <v>-0.11</v>
      </c>
      <c r="CH1580">
        <v>-0.16</v>
      </c>
      <c r="CI1580">
        <v>-0.14000000000000001</v>
      </c>
      <c r="CJ1580">
        <v>0.01</v>
      </c>
      <c r="CK1580">
        <v>-0.24</v>
      </c>
      <c r="CL1580">
        <v>3.77</v>
      </c>
      <c r="CM1580">
        <v>-3.91</v>
      </c>
      <c r="CN1580">
        <v>-2.7</v>
      </c>
      <c r="CO1580">
        <v>25762</v>
      </c>
      <c r="CP1580">
        <v>9157</v>
      </c>
      <c r="CQ1580" t="s">
        <v>8198</v>
      </c>
      <c r="CR1580">
        <v>58.56</v>
      </c>
      <c r="CS1580">
        <v>-24.81</v>
      </c>
      <c r="CT1580">
        <v>4.75</v>
      </c>
      <c r="CU1580">
        <v>-15.99</v>
      </c>
      <c r="CV1580">
        <v>9.15</v>
      </c>
      <c r="CW1580">
        <v>0</v>
      </c>
      <c r="CX1580" t="s">
        <v>3727</v>
      </c>
      <c r="CY1580">
        <v>3.06</v>
      </c>
      <c r="CZ1580">
        <v>0</v>
      </c>
      <c r="DA1580">
        <v>0.95</v>
      </c>
      <c r="DB1580">
        <v>0.88</v>
      </c>
      <c r="DC1580">
        <v>-0.91</v>
      </c>
      <c r="DD1580">
        <v>53.33</v>
      </c>
      <c r="DE1580" t="s">
        <v>7392</v>
      </c>
      <c r="DF1580">
        <v>27.2</v>
      </c>
      <c r="DG1580">
        <v>-1.64</v>
      </c>
      <c r="DH1580">
        <v>-1.98</v>
      </c>
      <c r="DI1580">
        <v>0.86</v>
      </c>
      <c r="DJ1580">
        <v>2191</v>
      </c>
      <c r="DK1580">
        <v>300205</v>
      </c>
      <c r="DL1580" t="s">
        <v>120</v>
      </c>
      <c r="DM1580" t="s">
        <v>120</v>
      </c>
      <c r="DN1580" t="s">
        <v>120</v>
      </c>
    </row>
    <row r="1581" spans="1:118">
      <c r="A1581" t="str">
        <f>"300206"</f>
        <v>300206</v>
      </c>
      <c r="B1581" t="s">
        <v>8199</v>
      </c>
      <c r="C1581">
        <v>-1.61</v>
      </c>
      <c r="D1581">
        <v>0</v>
      </c>
      <c r="E1581">
        <v>-0.08</v>
      </c>
      <c r="F1581">
        <v>379</v>
      </c>
      <c r="G1581" t="s">
        <v>8200</v>
      </c>
      <c r="H1581">
        <v>3075.79</v>
      </c>
      <c r="I1581">
        <v>1.65</v>
      </c>
      <c r="J1581" t="s">
        <v>120</v>
      </c>
      <c r="K1581" t="s">
        <v>8201</v>
      </c>
      <c r="L1581">
        <v>0.78</v>
      </c>
      <c r="M1581">
        <v>11.59</v>
      </c>
      <c r="N1581">
        <v>1.07</v>
      </c>
      <c r="O1581">
        <v>0.68</v>
      </c>
      <c r="P1581">
        <v>11.86</v>
      </c>
      <c r="Q1581">
        <v>-1.87</v>
      </c>
      <c r="R1581">
        <v>11.56</v>
      </c>
      <c r="S1581">
        <v>11.77</v>
      </c>
      <c r="T1581">
        <v>26278</v>
      </c>
      <c r="U1581">
        <v>11.59</v>
      </c>
      <c r="V1581">
        <v>11.78</v>
      </c>
      <c r="W1581">
        <v>18.22</v>
      </c>
      <c r="X1581" t="s">
        <v>555</v>
      </c>
      <c r="Y1581" t="s">
        <v>123</v>
      </c>
      <c r="Z1581">
        <v>2.5499999999999998</v>
      </c>
      <c r="AA1581">
        <v>11.71</v>
      </c>
      <c r="AB1581">
        <v>16037</v>
      </c>
      <c r="AC1581">
        <v>10241</v>
      </c>
      <c r="AD1581">
        <v>1.57</v>
      </c>
      <c r="AE1581">
        <v>88</v>
      </c>
      <c r="AF1581">
        <v>13</v>
      </c>
      <c r="AG1581" t="s">
        <v>120</v>
      </c>
      <c r="AH1581">
        <v>0</v>
      </c>
      <c r="AI1581" t="s">
        <v>120</v>
      </c>
      <c r="AJ1581">
        <v>3.37</v>
      </c>
      <c r="AK1581" t="s">
        <v>8202</v>
      </c>
      <c r="AL1581">
        <v>0.3</v>
      </c>
      <c r="AM1581">
        <v>1353</v>
      </c>
      <c r="AN1581">
        <v>19</v>
      </c>
      <c r="AO1581">
        <v>5.9999999999999995E-4</v>
      </c>
      <c r="AP1581">
        <v>-8</v>
      </c>
      <c r="AQ1581">
        <v>-0.59</v>
      </c>
      <c r="AR1581">
        <v>-3.9</v>
      </c>
      <c r="AS1581">
        <v>-10.08</v>
      </c>
      <c r="AT1581">
        <v>-28.06</v>
      </c>
      <c r="AU1581">
        <v>-34.950000000000003</v>
      </c>
      <c r="AV1581">
        <v>0</v>
      </c>
      <c r="AW1581">
        <v>1.02</v>
      </c>
      <c r="AX1581">
        <v>44.1</v>
      </c>
      <c r="AY1581">
        <v>18.75</v>
      </c>
      <c r="AZ1581">
        <v>10.49</v>
      </c>
      <c r="BA1581">
        <v>0.57999999999999996</v>
      </c>
      <c r="BB1581" t="s">
        <v>134</v>
      </c>
      <c r="BF1581">
        <v>-0.64</v>
      </c>
      <c r="BG1581">
        <v>-1.53</v>
      </c>
      <c r="BH1581">
        <v>-2.2799999999999998</v>
      </c>
      <c r="BI1581">
        <v>0.26</v>
      </c>
      <c r="BJ1581">
        <v>20210824</v>
      </c>
      <c r="BK1581">
        <v>20110421</v>
      </c>
      <c r="BL1581">
        <v>5.82</v>
      </c>
      <c r="BM1581" t="s">
        <v>120</v>
      </c>
      <c r="BN1581" t="s">
        <v>120</v>
      </c>
      <c r="BO1581">
        <v>20.07</v>
      </c>
      <c r="BP1581">
        <v>11.58</v>
      </c>
      <c r="BQ1581">
        <v>17.04</v>
      </c>
      <c r="BR1581">
        <v>0.01</v>
      </c>
      <c r="BS1581">
        <v>15.04</v>
      </c>
      <c r="BT1581">
        <v>13.7</v>
      </c>
      <c r="BU1581">
        <v>4.59</v>
      </c>
      <c r="BV1581">
        <v>0.72</v>
      </c>
      <c r="BW1581">
        <v>2.67</v>
      </c>
      <c r="BX1581">
        <v>5.87</v>
      </c>
      <c r="BY1581">
        <v>3.82</v>
      </c>
      <c r="BZ1581">
        <v>1</v>
      </c>
      <c r="CA1581" t="s">
        <v>120</v>
      </c>
      <c r="CB1581">
        <v>3.82</v>
      </c>
      <c r="CC1581">
        <v>8.86</v>
      </c>
      <c r="CD1581">
        <v>3.87</v>
      </c>
      <c r="CE1581">
        <v>1.98</v>
      </c>
      <c r="CF1581">
        <v>0.04</v>
      </c>
      <c r="CG1581">
        <v>2.02</v>
      </c>
      <c r="CH1581">
        <v>1.84</v>
      </c>
      <c r="CI1581">
        <v>1.85</v>
      </c>
      <c r="CJ1581">
        <v>-0.19</v>
      </c>
      <c r="CK1581">
        <v>1.67</v>
      </c>
      <c r="CL1581">
        <v>6.65</v>
      </c>
      <c r="CM1581">
        <v>1.36</v>
      </c>
      <c r="CN1581">
        <v>-1.66</v>
      </c>
      <c r="CO1581">
        <v>30370</v>
      </c>
      <c r="CP1581">
        <v>8447</v>
      </c>
      <c r="CQ1581" t="s">
        <v>6481</v>
      </c>
      <c r="CR1581">
        <v>-60.86</v>
      </c>
      <c r="CS1581">
        <v>-30.65</v>
      </c>
      <c r="CT1581">
        <v>3.96</v>
      </c>
      <c r="CU1581">
        <v>49.64</v>
      </c>
      <c r="CV1581">
        <v>7.61</v>
      </c>
      <c r="CW1581">
        <v>3.65</v>
      </c>
      <c r="CX1581" t="s">
        <v>966</v>
      </c>
      <c r="CY1581">
        <v>2.93</v>
      </c>
      <c r="CZ1581">
        <v>0</v>
      </c>
      <c r="DA1581">
        <v>0.66</v>
      </c>
      <c r="DB1581">
        <v>1.1399999999999999</v>
      </c>
      <c r="DC1581">
        <v>0.23</v>
      </c>
      <c r="DD1581">
        <v>84.9</v>
      </c>
      <c r="DE1581" t="s">
        <v>8203</v>
      </c>
      <c r="DF1581">
        <v>56.35</v>
      </c>
      <c r="DG1581">
        <v>22.3</v>
      </c>
      <c r="DH1581">
        <v>20.89</v>
      </c>
      <c r="DI1581">
        <v>1.1100000000000001</v>
      </c>
      <c r="DJ1581">
        <v>2255</v>
      </c>
      <c r="DK1581">
        <v>300206</v>
      </c>
      <c r="DL1581" t="s">
        <v>120</v>
      </c>
      <c r="DM1581" t="s">
        <v>120</v>
      </c>
      <c r="DN1581" t="s">
        <v>120</v>
      </c>
    </row>
    <row r="1582" spans="1:118">
      <c r="A1582" t="str">
        <f>"300207"</f>
        <v>300207</v>
      </c>
      <c r="B1582" t="s">
        <v>8204</v>
      </c>
      <c r="C1582">
        <v>-5.19</v>
      </c>
      <c r="D1582">
        <v>0.4</v>
      </c>
      <c r="E1582">
        <v>0</v>
      </c>
      <c r="F1582">
        <v>4555</v>
      </c>
      <c r="G1582" t="s">
        <v>8205</v>
      </c>
      <c r="H1582">
        <v>111109.59</v>
      </c>
      <c r="I1582">
        <v>313.25</v>
      </c>
      <c r="J1582" t="s">
        <v>120</v>
      </c>
      <c r="K1582" t="s">
        <v>8206</v>
      </c>
      <c r="L1582">
        <v>2.15</v>
      </c>
      <c r="M1582">
        <v>34.9</v>
      </c>
      <c r="N1582">
        <v>0.69</v>
      </c>
      <c r="O1582">
        <v>0</v>
      </c>
      <c r="P1582">
        <v>36.81</v>
      </c>
      <c r="Q1582">
        <v>-5.79</v>
      </c>
      <c r="R1582">
        <v>34.68</v>
      </c>
      <c r="S1582">
        <v>36.81</v>
      </c>
      <c r="T1582">
        <v>314144</v>
      </c>
      <c r="U1582">
        <v>34.9</v>
      </c>
      <c r="V1582">
        <v>36.81</v>
      </c>
      <c r="W1582">
        <v>45.99</v>
      </c>
      <c r="X1582" t="s">
        <v>229</v>
      </c>
      <c r="Y1582" t="s">
        <v>123</v>
      </c>
      <c r="Z1582">
        <v>5.79</v>
      </c>
      <c r="AA1582">
        <v>35.369999999999997</v>
      </c>
      <c r="AB1582">
        <v>165814</v>
      </c>
      <c r="AC1582">
        <v>148330</v>
      </c>
      <c r="AD1582">
        <v>1.1200000000000001</v>
      </c>
      <c r="AE1582">
        <v>20</v>
      </c>
      <c r="AF1582">
        <v>898</v>
      </c>
      <c r="AG1582" t="s">
        <v>120</v>
      </c>
      <c r="AH1582">
        <v>0.01</v>
      </c>
      <c r="AI1582" t="s">
        <v>120</v>
      </c>
      <c r="AJ1582">
        <v>14.59</v>
      </c>
      <c r="AK1582" t="s">
        <v>8207</v>
      </c>
      <c r="AL1582">
        <v>-3.28</v>
      </c>
      <c r="AM1582">
        <v>4560</v>
      </c>
      <c r="AN1582">
        <v>69</v>
      </c>
      <c r="AO1582">
        <v>5.0000000000000001E-4</v>
      </c>
      <c r="AP1582">
        <v>-2</v>
      </c>
      <c r="AQ1582">
        <v>-0.51</v>
      </c>
      <c r="AR1582">
        <v>1.75</v>
      </c>
      <c r="AS1582">
        <v>-15.48</v>
      </c>
      <c r="AT1582">
        <v>12.83</v>
      </c>
      <c r="AU1582">
        <v>13.91</v>
      </c>
      <c r="AV1582">
        <v>1</v>
      </c>
      <c r="AW1582">
        <v>3.08</v>
      </c>
      <c r="AX1582">
        <v>62.73</v>
      </c>
      <c r="AY1582">
        <v>42.36</v>
      </c>
      <c r="AZ1582">
        <v>74.650000000000006</v>
      </c>
      <c r="BA1582">
        <v>1.33</v>
      </c>
      <c r="BB1582" t="s">
        <v>143</v>
      </c>
      <c r="BF1582">
        <v>-3.91</v>
      </c>
      <c r="BG1582">
        <v>-5.19</v>
      </c>
      <c r="BH1582">
        <v>-5.19</v>
      </c>
      <c r="BI1582">
        <v>0.63</v>
      </c>
      <c r="BJ1582">
        <v>20210810</v>
      </c>
      <c r="BK1582">
        <v>20110421</v>
      </c>
      <c r="BL1582">
        <v>16.260000000000002</v>
      </c>
      <c r="BM1582" t="s">
        <v>120</v>
      </c>
      <c r="BN1582" t="s">
        <v>120</v>
      </c>
      <c r="BO1582">
        <v>324.05</v>
      </c>
      <c r="BP1582">
        <v>34.89</v>
      </c>
      <c r="BQ1582">
        <v>83.82</v>
      </c>
      <c r="BR1582">
        <v>3.2</v>
      </c>
      <c r="BS1582">
        <v>73.150000000000006</v>
      </c>
      <c r="BT1582">
        <v>186.94</v>
      </c>
      <c r="BU1582">
        <v>59.1</v>
      </c>
      <c r="BV1582">
        <v>6.55</v>
      </c>
      <c r="BW1582">
        <v>186.75</v>
      </c>
      <c r="BX1582">
        <v>32.450000000000003</v>
      </c>
      <c r="BY1582">
        <v>65.900000000000006</v>
      </c>
      <c r="BZ1582">
        <v>68.69</v>
      </c>
      <c r="CA1582" t="s">
        <v>120</v>
      </c>
      <c r="CB1582">
        <v>32.44</v>
      </c>
      <c r="CC1582">
        <v>156.82</v>
      </c>
      <c r="CD1582">
        <v>130.72</v>
      </c>
      <c r="CE1582">
        <v>7.26</v>
      </c>
      <c r="CF1582">
        <v>0.15</v>
      </c>
      <c r="CG1582">
        <v>7.31</v>
      </c>
      <c r="CH1582">
        <v>6.16</v>
      </c>
      <c r="CI1582">
        <v>6.17</v>
      </c>
      <c r="CJ1582">
        <v>-1.91</v>
      </c>
      <c r="CK1582">
        <v>2.2200000000000002</v>
      </c>
      <c r="CL1582">
        <v>32.75</v>
      </c>
      <c r="CM1582">
        <v>3.51</v>
      </c>
      <c r="CN1582">
        <v>-9.11</v>
      </c>
      <c r="CO1582">
        <v>43782</v>
      </c>
      <c r="CP1582">
        <v>23304</v>
      </c>
      <c r="CQ1582" t="s">
        <v>8208</v>
      </c>
      <c r="CR1582">
        <v>10391.44</v>
      </c>
      <c r="CS1582">
        <v>36.25</v>
      </c>
      <c r="CT1582">
        <v>6.75</v>
      </c>
      <c r="CU1582">
        <v>161.6</v>
      </c>
      <c r="CV1582">
        <v>3.62</v>
      </c>
      <c r="CW1582">
        <v>0.18</v>
      </c>
      <c r="CX1582" t="s">
        <v>3527</v>
      </c>
      <c r="CY1582">
        <v>5.17</v>
      </c>
      <c r="CZ1582">
        <v>5.17</v>
      </c>
      <c r="DA1582">
        <v>1.99</v>
      </c>
      <c r="DB1582">
        <v>2.0099999999999998</v>
      </c>
      <c r="DC1582">
        <v>0.22</v>
      </c>
      <c r="DD1582">
        <v>25.86</v>
      </c>
      <c r="DE1582" t="s">
        <v>8209</v>
      </c>
      <c r="DF1582">
        <v>16.64</v>
      </c>
      <c r="DG1582">
        <v>4.63</v>
      </c>
      <c r="DH1582">
        <v>3.94</v>
      </c>
      <c r="DI1582">
        <v>10.01</v>
      </c>
      <c r="DJ1582">
        <v>27500</v>
      </c>
      <c r="DK1582">
        <v>300207</v>
      </c>
      <c r="DL1582" t="s">
        <v>120</v>
      </c>
      <c r="DM1582" t="s">
        <v>120</v>
      </c>
      <c r="DN1582" t="s">
        <v>120</v>
      </c>
    </row>
    <row r="1583" spans="1:118">
      <c r="A1583" t="str">
        <f>"300208"</f>
        <v>300208</v>
      </c>
      <c r="B1583" t="s">
        <v>8210</v>
      </c>
      <c r="C1583">
        <v>-4.79</v>
      </c>
      <c r="D1583">
        <v>0</v>
      </c>
      <c r="E1583">
        <v>1.39</v>
      </c>
      <c r="F1583">
        <v>5003</v>
      </c>
      <c r="G1583" t="s">
        <v>8211</v>
      </c>
      <c r="H1583">
        <v>50980.26</v>
      </c>
      <c r="I1583">
        <v>286.83999999999997</v>
      </c>
      <c r="J1583" t="s">
        <v>120</v>
      </c>
      <c r="K1583" t="s">
        <v>8212</v>
      </c>
      <c r="L1583">
        <v>5.23</v>
      </c>
      <c r="M1583">
        <v>13.7</v>
      </c>
      <c r="N1583">
        <v>0.87</v>
      </c>
      <c r="O1583">
        <v>3.2</v>
      </c>
      <c r="P1583">
        <v>14.85</v>
      </c>
      <c r="Q1583">
        <v>-5.49</v>
      </c>
      <c r="R1583">
        <v>13.6</v>
      </c>
      <c r="S1583">
        <v>14.59</v>
      </c>
      <c r="T1583">
        <v>359740</v>
      </c>
      <c r="U1583">
        <v>13.7</v>
      </c>
      <c r="V1583">
        <v>14.39</v>
      </c>
      <c r="W1583" t="s">
        <v>120</v>
      </c>
      <c r="X1583" t="s">
        <v>394</v>
      </c>
      <c r="Y1583" t="s">
        <v>638</v>
      </c>
      <c r="Z1583">
        <v>8.69</v>
      </c>
      <c r="AA1583">
        <v>14.17</v>
      </c>
      <c r="AB1583">
        <v>185067</v>
      </c>
      <c r="AC1583">
        <v>174673</v>
      </c>
      <c r="AD1583">
        <v>1.06</v>
      </c>
      <c r="AE1583">
        <v>133</v>
      </c>
      <c r="AF1583">
        <v>625</v>
      </c>
      <c r="AG1583" t="s">
        <v>120</v>
      </c>
      <c r="AH1583">
        <v>7.0000000000000007E-2</v>
      </c>
      <c r="AI1583" t="s">
        <v>120</v>
      </c>
      <c r="AJ1583">
        <v>6.87</v>
      </c>
      <c r="AK1583" t="s">
        <v>8213</v>
      </c>
      <c r="AL1583">
        <v>-2.88</v>
      </c>
      <c r="AM1583">
        <v>4279</v>
      </c>
      <c r="AN1583">
        <v>84</v>
      </c>
      <c r="AO1583">
        <v>1.1999999999999999E-3</v>
      </c>
      <c r="AP1583">
        <v>-3</v>
      </c>
      <c r="AQ1583">
        <v>-0.69</v>
      </c>
      <c r="AR1583">
        <v>-12.13</v>
      </c>
      <c r="AS1583">
        <v>-8.85</v>
      </c>
      <c r="AT1583">
        <v>37.83</v>
      </c>
      <c r="AU1583">
        <v>0</v>
      </c>
      <c r="AV1583">
        <v>6</v>
      </c>
      <c r="AW1583">
        <v>13.2</v>
      </c>
      <c r="AX1583">
        <v>36.35</v>
      </c>
      <c r="AY1583" t="s">
        <v>120</v>
      </c>
      <c r="AZ1583" t="s">
        <v>120</v>
      </c>
      <c r="BA1583">
        <v>0</v>
      </c>
      <c r="BB1583" t="s">
        <v>143</v>
      </c>
      <c r="BF1583">
        <v>-1.52</v>
      </c>
      <c r="BG1583">
        <v>-6.1</v>
      </c>
      <c r="BH1583">
        <v>-7.74</v>
      </c>
      <c r="BI1583">
        <v>0.74</v>
      </c>
      <c r="BJ1583">
        <v>20210811</v>
      </c>
      <c r="BK1583">
        <v>20110426</v>
      </c>
      <c r="BL1583">
        <v>7.49</v>
      </c>
      <c r="BM1583" t="s">
        <v>120</v>
      </c>
      <c r="BN1583" t="s">
        <v>120</v>
      </c>
      <c r="BO1583">
        <v>48.06</v>
      </c>
      <c r="BP1583">
        <v>13.69</v>
      </c>
      <c r="BQ1583">
        <v>13.11</v>
      </c>
      <c r="BR1583">
        <v>0.37</v>
      </c>
      <c r="BS1583">
        <v>71.94</v>
      </c>
      <c r="BT1583">
        <v>32.880000000000003</v>
      </c>
      <c r="BU1583">
        <v>0.98</v>
      </c>
      <c r="BV1583">
        <v>5.32</v>
      </c>
      <c r="BW1583">
        <v>34.33</v>
      </c>
      <c r="BX1583">
        <v>2.46</v>
      </c>
      <c r="BY1583">
        <v>1.37</v>
      </c>
      <c r="BZ1583">
        <v>10.92</v>
      </c>
      <c r="CA1583" t="s">
        <v>120</v>
      </c>
      <c r="CB1583">
        <v>2.08</v>
      </c>
      <c r="CC1583">
        <v>8.56</v>
      </c>
      <c r="CD1583">
        <v>6.97</v>
      </c>
      <c r="CE1583">
        <v>-0.05</v>
      </c>
      <c r="CF1583">
        <v>0.01</v>
      </c>
      <c r="CG1583">
        <v>-0.11</v>
      </c>
      <c r="CH1583">
        <v>-0.21</v>
      </c>
      <c r="CI1583">
        <v>-0.2</v>
      </c>
      <c r="CJ1583">
        <v>-0.69</v>
      </c>
      <c r="CK1583">
        <v>-0.17</v>
      </c>
      <c r="CL1583">
        <v>3.78</v>
      </c>
      <c r="CM1583">
        <v>1.54</v>
      </c>
      <c r="CN1583">
        <v>0.05</v>
      </c>
      <c r="CO1583">
        <v>40565</v>
      </c>
      <c r="CP1583">
        <v>6717</v>
      </c>
      <c r="CQ1583" t="s">
        <v>1732</v>
      </c>
      <c r="CR1583">
        <v>-170.58</v>
      </c>
      <c r="CS1583">
        <v>135.44999999999999</v>
      </c>
      <c r="CT1583">
        <v>7.83</v>
      </c>
      <c r="CU1583">
        <v>66.47</v>
      </c>
      <c r="CV1583">
        <v>11.99</v>
      </c>
      <c r="CW1583">
        <v>0</v>
      </c>
      <c r="CX1583" t="s">
        <v>479</v>
      </c>
      <c r="CY1583">
        <v>1.75</v>
      </c>
      <c r="CZ1583">
        <v>0</v>
      </c>
      <c r="DA1583">
        <v>0.28000000000000003</v>
      </c>
      <c r="DB1583">
        <v>0.5</v>
      </c>
      <c r="DC1583">
        <v>0.21</v>
      </c>
      <c r="DD1583">
        <v>27.28</v>
      </c>
      <c r="DE1583" t="s">
        <v>8214</v>
      </c>
      <c r="DF1583">
        <v>18.559999999999999</v>
      </c>
      <c r="DG1583">
        <v>-0.59</v>
      </c>
      <c r="DH1583">
        <v>-2.37</v>
      </c>
      <c r="DI1583">
        <v>0.04</v>
      </c>
      <c r="DJ1583">
        <v>433</v>
      </c>
      <c r="DK1583">
        <v>300208</v>
      </c>
      <c r="DL1583" t="s">
        <v>120</v>
      </c>
      <c r="DM1583" t="s">
        <v>120</v>
      </c>
      <c r="DN1583" t="s">
        <v>120</v>
      </c>
    </row>
    <row r="1584" spans="1:118">
      <c r="A1584" t="str">
        <f>"300209"</f>
        <v>300209</v>
      </c>
      <c r="B1584" t="s">
        <v>8215</v>
      </c>
      <c r="C1584">
        <v>-1.27</v>
      </c>
      <c r="D1584">
        <v>-0.17</v>
      </c>
      <c r="E1584">
        <v>0.18</v>
      </c>
      <c r="F1584">
        <v>509</v>
      </c>
      <c r="G1584" t="s">
        <v>8216</v>
      </c>
      <c r="H1584">
        <v>2644.75</v>
      </c>
      <c r="I1584">
        <v>14.11</v>
      </c>
      <c r="J1584" t="s">
        <v>120</v>
      </c>
      <c r="K1584" t="s">
        <v>728</v>
      </c>
      <c r="L1584">
        <v>1.28</v>
      </c>
      <c r="M1584">
        <v>5.43</v>
      </c>
      <c r="N1584">
        <v>0.82</v>
      </c>
      <c r="O1584">
        <v>2</v>
      </c>
      <c r="P1584">
        <v>5.61</v>
      </c>
      <c r="Q1584">
        <v>-1.64</v>
      </c>
      <c r="R1584">
        <v>5.41</v>
      </c>
      <c r="S1584">
        <v>5.51</v>
      </c>
      <c r="T1584">
        <v>48156</v>
      </c>
      <c r="U1584">
        <v>5.44</v>
      </c>
      <c r="V1584">
        <v>5.5</v>
      </c>
      <c r="W1584" t="s">
        <v>120</v>
      </c>
      <c r="X1584" t="s">
        <v>141</v>
      </c>
      <c r="Y1584" t="s">
        <v>594</v>
      </c>
      <c r="Z1584">
        <v>3.64</v>
      </c>
      <c r="AA1584">
        <v>5.49</v>
      </c>
      <c r="AB1584">
        <v>26164</v>
      </c>
      <c r="AC1584">
        <v>21992</v>
      </c>
      <c r="AD1584">
        <v>1.19</v>
      </c>
      <c r="AE1584">
        <v>201</v>
      </c>
      <c r="AF1584">
        <v>145</v>
      </c>
      <c r="AG1584" t="s">
        <v>120</v>
      </c>
      <c r="AH1584">
        <v>0.01</v>
      </c>
      <c r="AI1584" t="s">
        <v>120</v>
      </c>
      <c r="AJ1584">
        <v>3.75</v>
      </c>
      <c r="AK1584" t="s">
        <v>3898</v>
      </c>
      <c r="AL1584">
        <v>0.64</v>
      </c>
      <c r="AM1584">
        <v>1277</v>
      </c>
      <c r="AN1584">
        <v>38</v>
      </c>
      <c r="AO1584">
        <v>1E-3</v>
      </c>
      <c r="AP1584">
        <v>-1</v>
      </c>
      <c r="AQ1584">
        <v>3</v>
      </c>
      <c r="AR1584">
        <v>-0.55000000000000004</v>
      </c>
      <c r="AS1584">
        <v>-3.89</v>
      </c>
      <c r="AT1584">
        <v>-20.149999999999999</v>
      </c>
      <c r="AU1584">
        <v>-46.5</v>
      </c>
      <c r="AV1584">
        <v>1</v>
      </c>
      <c r="AW1584">
        <v>1.74</v>
      </c>
      <c r="AX1584">
        <v>65.650000000000006</v>
      </c>
      <c r="AY1584" t="s">
        <v>120</v>
      </c>
      <c r="AZ1584" t="s">
        <v>120</v>
      </c>
      <c r="BA1584">
        <v>0.24</v>
      </c>
      <c r="BB1584" t="s">
        <v>143</v>
      </c>
      <c r="BF1584">
        <v>-0.14000000000000001</v>
      </c>
      <c r="BG1584">
        <v>-1.45</v>
      </c>
      <c r="BH1584">
        <v>-3.21</v>
      </c>
      <c r="BI1584">
        <v>0.37</v>
      </c>
      <c r="BJ1584">
        <v>20210828</v>
      </c>
      <c r="BK1584">
        <v>20110426</v>
      </c>
      <c r="BL1584">
        <v>4.22</v>
      </c>
      <c r="BM1584" t="s">
        <v>120</v>
      </c>
      <c r="BN1584" t="s">
        <v>120</v>
      </c>
      <c r="BO1584">
        <v>33.479999999999997</v>
      </c>
      <c r="BP1584">
        <v>5.43</v>
      </c>
      <c r="BQ1584">
        <v>21.6</v>
      </c>
      <c r="BR1584">
        <v>0.09</v>
      </c>
      <c r="BS1584">
        <v>35.229999999999997</v>
      </c>
      <c r="BT1584">
        <v>20.399999999999999</v>
      </c>
      <c r="BU1584">
        <v>0.88</v>
      </c>
      <c r="BV1584">
        <v>1.3</v>
      </c>
      <c r="BW1584">
        <v>11.64</v>
      </c>
      <c r="BX1584">
        <v>3.06</v>
      </c>
      <c r="BY1584">
        <v>8.68</v>
      </c>
      <c r="BZ1584">
        <v>6.41</v>
      </c>
      <c r="CA1584">
        <v>0.02</v>
      </c>
      <c r="CB1584">
        <v>33.07</v>
      </c>
      <c r="CC1584">
        <v>11.77</v>
      </c>
      <c r="CD1584">
        <v>5.49</v>
      </c>
      <c r="CE1584">
        <v>-9.51</v>
      </c>
      <c r="CF1584">
        <v>0.05</v>
      </c>
      <c r="CG1584">
        <v>-9.58</v>
      </c>
      <c r="CH1584">
        <v>-9.3699999999999992</v>
      </c>
      <c r="CI1584">
        <v>-9.49</v>
      </c>
      <c r="CJ1584">
        <v>-7.0000000000000007E-2</v>
      </c>
      <c r="CK1584">
        <v>-9.6199999999999992</v>
      </c>
      <c r="CL1584">
        <v>-14.79</v>
      </c>
      <c r="CM1584">
        <v>-0.53</v>
      </c>
      <c r="CN1584">
        <v>-0.82</v>
      </c>
      <c r="CO1584">
        <v>24379</v>
      </c>
      <c r="CP1584">
        <v>11367</v>
      </c>
      <c r="CQ1584" t="s">
        <v>3881</v>
      </c>
      <c r="CR1584">
        <v>-1285.48</v>
      </c>
      <c r="CS1584">
        <v>-50.27</v>
      </c>
      <c r="CT1584">
        <v>1.06</v>
      </c>
      <c r="CU1584">
        <v>-43</v>
      </c>
      <c r="CV1584">
        <v>1.95</v>
      </c>
      <c r="CW1584">
        <v>0</v>
      </c>
      <c r="CX1584" t="s">
        <v>8217</v>
      </c>
      <c r="CY1584">
        <v>5.14</v>
      </c>
      <c r="CZ1584">
        <v>5.14</v>
      </c>
      <c r="DA1584">
        <v>7.84</v>
      </c>
      <c r="DB1584">
        <v>-3.5</v>
      </c>
      <c r="DC1584">
        <v>-0.13</v>
      </c>
      <c r="DD1584">
        <v>64.5</v>
      </c>
      <c r="DE1584" t="s">
        <v>8218</v>
      </c>
      <c r="DF1584">
        <v>53.34</v>
      </c>
      <c r="DG1584">
        <v>-80.84</v>
      </c>
      <c r="DH1584">
        <v>-80.62</v>
      </c>
      <c r="DI1584">
        <v>0.14000000000000001</v>
      </c>
      <c r="DJ1584">
        <v>2979</v>
      </c>
      <c r="DK1584">
        <v>300209</v>
      </c>
      <c r="DL1584" t="s">
        <v>120</v>
      </c>
      <c r="DM1584" t="s">
        <v>120</v>
      </c>
      <c r="DN1584" t="s">
        <v>120</v>
      </c>
    </row>
    <row r="1585" spans="1:118">
      <c r="A1585" t="str">
        <f>"300210"</f>
        <v>300210</v>
      </c>
      <c r="B1585" t="s">
        <v>8219</v>
      </c>
      <c r="C1585">
        <v>-1.99</v>
      </c>
      <c r="D1585">
        <v>-0.24</v>
      </c>
      <c r="E1585">
        <v>0.25</v>
      </c>
      <c r="F1585">
        <v>818</v>
      </c>
      <c r="G1585" t="s">
        <v>8220</v>
      </c>
      <c r="H1585">
        <v>3968.4</v>
      </c>
      <c r="I1585">
        <v>28.94</v>
      </c>
      <c r="J1585" t="s">
        <v>120</v>
      </c>
      <c r="K1585" t="s">
        <v>8221</v>
      </c>
      <c r="L1585">
        <v>2.37</v>
      </c>
      <c r="M1585">
        <v>3.94</v>
      </c>
      <c r="N1585">
        <v>1.27</v>
      </c>
      <c r="O1585">
        <v>2.74</v>
      </c>
      <c r="P1585">
        <v>4.13</v>
      </c>
      <c r="Q1585">
        <v>-1.99</v>
      </c>
      <c r="R1585">
        <v>3.94</v>
      </c>
      <c r="S1585">
        <v>4.03</v>
      </c>
      <c r="T1585">
        <v>98222</v>
      </c>
      <c r="U1585">
        <v>3.95</v>
      </c>
      <c r="V1585">
        <v>4.0199999999999996</v>
      </c>
      <c r="W1585" t="s">
        <v>120</v>
      </c>
      <c r="X1585" t="s">
        <v>675</v>
      </c>
      <c r="Y1585" t="s">
        <v>432</v>
      </c>
      <c r="Z1585">
        <v>4.7300000000000004</v>
      </c>
      <c r="AA1585">
        <v>4.04</v>
      </c>
      <c r="AB1585">
        <v>50871</v>
      </c>
      <c r="AC1585">
        <v>47351</v>
      </c>
      <c r="AD1585">
        <v>1.07</v>
      </c>
      <c r="AE1585">
        <v>1043</v>
      </c>
      <c r="AF1585">
        <v>900</v>
      </c>
      <c r="AG1585" t="s">
        <v>120</v>
      </c>
      <c r="AH1585">
        <v>0.03</v>
      </c>
      <c r="AI1585" t="s">
        <v>120</v>
      </c>
      <c r="AJ1585">
        <v>4.1399999999999997</v>
      </c>
      <c r="AK1585" t="s">
        <v>8222</v>
      </c>
      <c r="AL1585">
        <v>-0.08</v>
      </c>
      <c r="AM1585">
        <v>1629</v>
      </c>
      <c r="AN1585">
        <v>60</v>
      </c>
      <c r="AO1585">
        <v>1.5E-3</v>
      </c>
      <c r="AP1585">
        <v>-1</v>
      </c>
      <c r="AQ1585">
        <v>2.0299999999999998</v>
      </c>
      <c r="AR1585">
        <v>-2.72</v>
      </c>
      <c r="AS1585">
        <v>-3.2</v>
      </c>
      <c r="AT1585">
        <v>-1.75</v>
      </c>
      <c r="AU1585">
        <v>-11.26</v>
      </c>
      <c r="AV1585">
        <v>0</v>
      </c>
      <c r="AW1585">
        <v>3.98</v>
      </c>
      <c r="AX1585">
        <v>50.97</v>
      </c>
      <c r="AY1585">
        <v>23.76</v>
      </c>
      <c r="AZ1585">
        <v>15.65</v>
      </c>
      <c r="BA1585">
        <v>0.48</v>
      </c>
      <c r="BB1585" t="s">
        <v>143</v>
      </c>
      <c r="BF1585">
        <v>0.5</v>
      </c>
      <c r="BG1585">
        <v>-2.23</v>
      </c>
      <c r="BH1585">
        <v>-4.5999999999999996</v>
      </c>
      <c r="BI1585">
        <v>0</v>
      </c>
      <c r="BJ1585">
        <v>20210821</v>
      </c>
      <c r="BK1585">
        <v>20110426</v>
      </c>
      <c r="BL1585">
        <v>4.84</v>
      </c>
      <c r="BM1585" t="s">
        <v>120</v>
      </c>
      <c r="BN1585" t="s">
        <v>120</v>
      </c>
      <c r="BO1585">
        <v>17.02</v>
      </c>
      <c r="BP1585">
        <v>3.94</v>
      </c>
      <c r="BQ1585">
        <v>9.86</v>
      </c>
      <c r="BR1585">
        <v>0.09</v>
      </c>
      <c r="BS1585">
        <v>41.53</v>
      </c>
      <c r="BT1585">
        <v>8.52</v>
      </c>
      <c r="BU1585">
        <v>2.93</v>
      </c>
      <c r="BV1585">
        <v>0.78</v>
      </c>
      <c r="BW1585">
        <v>6.32</v>
      </c>
      <c r="BX1585">
        <v>1.06</v>
      </c>
      <c r="BY1585">
        <v>3.07</v>
      </c>
      <c r="BZ1585">
        <v>2.76</v>
      </c>
      <c r="CA1585" t="s">
        <v>120</v>
      </c>
      <c r="CB1585">
        <v>1.94</v>
      </c>
      <c r="CC1585">
        <v>1.33</v>
      </c>
      <c r="CD1585">
        <v>0.96</v>
      </c>
      <c r="CE1585">
        <v>-0.12</v>
      </c>
      <c r="CF1585">
        <v>0</v>
      </c>
      <c r="CG1585">
        <v>-0.12</v>
      </c>
      <c r="CH1585">
        <v>-0.11</v>
      </c>
      <c r="CI1585">
        <v>-0.11</v>
      </c>
      <c r="CJ1585">
        <v>-0.08</v>
      </c>
      <c r="CK1585">
        <v>-0.18</v>
      </c>
      <c r="CL1585">
        <v>2.4900000000000002</v>
      </c>
      <c r="CM1585">
        <v>7.0000000000000007E-2</v>
      </c>
      <c r="CN1585">
        <v>-0.37</v>
      </c>
      <c r="CO1585">
        <v>16498</v>
      </c>
      <c r="CP1585">
        <v>14960</v>
      </c>
      <c r="CQ1585" t="s">
        <v>6706</v>
      </c>
      <c r="CR1585">
        <v>-135.13</v>
      </c>
      <c r="CS1585">
        <v>-43.98</v>
      </c>
      <c r="CT1585">
        <v>1.94</v>
      </c>
      <c r="CU1585">
        <v>280.2</v>
      </c>
      <c r="CV1585">
        <v>14.34</v>
      </c>
      <c r="CW1585">
        <v>0</v>
      </c>
      <c r="CX1585" t="s">
        <v>419</v>
      </c>
      <c r="CY1585">
        <v>2.04</v>
      </c>
      <c r="CZ1585">
        <v>0</v>
      </c>
      <c r="DA1585">
        <v>0.4</v>
      </c>
      <c r="DB1585">
        <v>0.51</v>
      </c>
      <c r="DC1585">
        <v>0.01</v>
      </c>
      <c r="DD1585">
        <v>57.91</v>
      </c>
      <c r="DE1585" t="s">
        <v>8223</v>
      </c>
      <c r="DF1585">
        <v>27.55</v>
      </c>
      <c r="DG1585">
        <v>-8.66</v>
      </c>
      <c r="DH1585">
        <v>-8.2899999999999991</v>
      </c>
      <c r="DI1585">
        <v>0.08</v>
      </c>
      <c r="DJ1585">
        <v>562</v>
      </c>
      <c r="DK1585">
        <v>300210</v>
      </c>
      <c r="DL1585" t="s">
        <v>120</v>
      </c>
      <c r="DM1585" t="s">
        <v>120</v>
      </c>
      <c r="DN1585" t="s">
        <v>120</v>
      </c>
    </row>
    <row r="1586" spans="1:118">
      <c r="A1586" t="str">
        <f>"300211"</f>
        <v>300211</v>
      </c>
      <c r="B1586" t="s">
        <v>8224</v>
      </c>
      <c r="C1586">
        <v>-4.3</v>
      </c>
      <c r="D1586">
        <v>-0.16</v>
      </c>
      <c r="E1586">
        <v>-0.65</v>
      </c>
      <c r="F1586">
        <v>596</v>
      </c>
      <c r="G1586" t="s">
        <v>8225</v>
      </c>
      <c r="H1586">
        <v>2765.32</v>
      </c>
      <c r="I1586">
        <v>12.01</v>
      </c>
      <c r="J1586" t="s">
        <v>120</v>
      </c>
      <c r="K1586" t="s">
        <v>1917</v>
      </c>
      <c r="L1586">
        <v>0.78</v>
      </c>
      <c r="M1586">
        <v>11.8</v>
      </c>
      <c r="N1586">
        <v>0.94</v>
      </c>
      <c r="O1586">
        <v>-0.24</v>
      </c>
      <c r="P1586">
        <v>12.3</v>
      </c>
      <c r="Q1586">
        <v>-4.54</v>
      </c>
      <c r="R1586">
        <v>11.77</v>
      </c>
      <c r="S1586">
        <v>12.25</v>
      </c>
      <c r="T1586">
        <v>23054</v>
      </c>
      <c r="U1586">
        <v>11.82</v>
      </c>
      <c r="V1586">
        <v>12.33</v>
      </c>
      <c r="W1586">
        <v>290.08999999999997</v>
      </c>
      <c r="X1586" t="s">
        <v>462</v>
      </c>
      <c r="Y1586" t="s">
        <v>319</v>
      </c>
      <c r="Z1586">
        <v>4.3</v>
      </c>
      <c r="AA1586">
        <v>11.99</v>
      </c>
      <c r="AB1586">
        <v>15070</v>
      </c>
      <c r="AC1586">
        <v>7984</v>
      </c>
      <c r="AD1586">
        <v>1.89</v>
      </c>
      <c r="AE1586">
        <v>216</v>
      </c>
      <c r="AF1586">
        <v>128</v>
      </c>
      <c r="AG1586" t="s">
        <v>120</v>
      </c>
      <c r="AH1586">
        <v>0.01</v>
      </c>
      <c r="AI1586" t="s">
        <v>120</v>
      </c>
      <c r="AJ1586">
        <v>2.97</v>
      </c>
      <c r="AK1586" t="s">
        <v>4505</v>
      </c>
      <c r="AL1586">
        <v>-2.38</v>
      </c>
      <c r="AM1586">
        <v>1092</v>
      </c>
      <c r="AN1586">
        <v>21</v>
      </c>
      <c r="AO1586">
        <v>6.9999999999999999E-4</v>
      </c>
      <c r="AP1586">
        <v>-1</v>
      </c>
      <c r="AQ1586">
        <v>4.3099999999999996</v>
      </c>
      <c r="AR1586">
        <v>-1.0900000000000001</v>
      </c>
      <c r="AS1586">
        <v>-8.17</v>
      </c>
      <c r="AT1586">
        <v>7.18</v>
      </c>
      <c r="AU1586">
        <v>78.680000000000007</v>
      </c>
      <c r="AV1586">
        <v>2</v>
      </c>
      <c r="AW1586">
        <v>1.53</v>
      </c>
      <c r="AX1586">
        <v>49.68</v>
      </c>
      <c r="AY1586">
        <v>360.84</v>
      </c>
      <c r="AZ1586">
        <v>404.3</v>
      </c>
      <c r="BA1586">
        <v>1.4</v>
      </c>
      <c r="BB1586" t="s">
        <v>143</v>
      </c>
      <c r="BF1586">
        <v>-2.72</v>
      </c>
      <c r="BG1586">
        <v>-3.67</v>
      </c>
      <c r="BH1586">
        <v>-4.07</v>
      </c>
      <c r="BI1586">
        <v>0.25</v>
      </c>
      <c r="BJ1586">
        <v>20210827</v>
      </c>
      <c r="BK1586">
        <v>20110505</v>
      </c>
      <c r="BL1586">
        <v>3.03</v>
      </c>
      <c r="BM1586" t="s">
        <v>120</v>
      </c>
      <c r="BN1586" t="s">
        <v>120</v>
      </c>
      <c r="BO1586">
        <v>5.34</v>
      </c>
      <c r="BP1586">
        <v>11.8</v>
      </c>
      <c r="BQ1586">
        <v>4.62</v>
      </c>
      <c r="BR1586" t="s">
        <v>120</v>
      </c>
      <c r="BS1586">
        <v>13.41</v>
      </c>
      <c r="BT1586">
        <v>3.95</v>
      </c>
      <c r="BU1586">
        <v>0.77</v>
      </c>
      <c r="BV1586">
        <v>0.12</v>
      </c>
      <c r="BW1586">
        <v>0.7</v>
      </c>
      <c r="BX1586">
        <v>2.0699999999999998</v>
      </c>
      <c r="BY1586">
        <v>0.26</v>
      </c>
      <c r="BZ1586">
        <v>0.53</v>
      </c>
      <c r="CA1586">
        <v>0.01</v>
      </c>
      <c r="CB1586">
        <v>0.37</v>
      </c>
      <c r="CC1586">
        <v>0.64</v>
      </c>
      <c r="CD1586">
        <v>0.47</v>
      </c>
      <c r="CE1586">
        <v>7.0000000000000007E-2</v>
      </c>
      <c r="CF1586">
        <v>0.02</v>
      </c>
      <c r="CG1586">
        <v>7.0000000000000007E-2</v>
      </c>
      <c r="CH1586">
        <v>0.06</v>
      </c>
      <c r="CI1586">
        <v>0.06</v>
      </c>
      <c r="CJ1586">
        <v>-0.53</v>
      </c>
      <c r="CK1586">
        <v>0.05</v>
      </c>
      <c r="CL1586">
        <v>1</v>
      </c>
      <c r="CM1586">
        <v>-0.02</v>
      </c>
      <c r="CN1586">
        <v>0</v>
      </c>
      <c r="CO1586">
        <v>10671</v>
      </c>
      <c r="CP1586">
        <v>14093</v>
      </c>
      <c r="CQ1586" t="s">
        <v>8226</v>
      </c>
      <c r="CR1586">
        <v>22.04</v>
      </c>
      <c r="CS1586">
        <v>53.33</v>
      </c>
      <c r="CT1586">
        <v>7.73</v>
      </c>
      <c r="CU1586">
        <v>-1863.2</v>
      </c>
      <c r="CV1586">
        <v>55.72</v>
      </c>
      <c r="CW1586">
        <v>0.05</v>
      </c>
      <c r="CX1586" t="s">
        <v>499</v>
      </c>
      <c r="CY1586">
        <v>1.53</v>
      </c>
      <c r="CZ1586">
        <v>0</v>
      </c>
      <c r="DA1586">
        <v>0.12</v>
      </c>
      <c r="DB1586">
        <v>0.33</v>
      </c>
      <c r="DC1586">
        <v>-0.01</v>
      </c>
      <c r="DD1586">
        <v>86.59</v>
      </c>
      <c r="DE1586" t="s">
        <v>8227</v>
      </c>
      <c r="DF1586">
        <v>27.43</v>
      </c>
      <c r="DG1586">
        <v>10.8</v>
      </c>
      <c r="DH1586">
        <v>9.6</v>
      </c>
      <c r="DI1586">
        <v>7.0000000000000007E-2</v>
      </c>
      <c r="DJ1586">
        <v>150</v>
      </c>
      <c r="DK1586">
        <v>300211</v>
      </c>
      <c r="DL1586" t="s">
        <v>120</v>
      </c>
      <c r="DM1586" t="s">
        <v>120</v>
      </c>
      <c r="DN1586" t="s">
        <v>120</v>
      </c>
    </row>
    <row r="1587" spans="1:118">
      <c r="A1587" t="str">
        <f>"300212"</f>
        <v>300212</v>
      </c>
      <c r="B1587" t="s">
        <v>8228</v>
      </c>
      <c r="C1587">
        <v>-10.029999999999999</v>
      </c>
      <c r="D1587">
        <v>0.76</v>
      </c>
      <c r="E1587">
        <v>0</v>
      </c>
      <c r="F1587">
        <v>3444</v>
      </c>
      <c r="G1587" t="s">
        <v>5119</v>
      </c>
      <c r="H1587">
        <v>64638.05</v>
      </c>
      <c r="I1587">
        <v>69.14</v>
      </c>
      <c r="J1587" t="s">
        <v>120</v>
      </c>
      <c r="K1587" t="s">
        <v>8229</v>
      </c>
      <c r="L1587">
        <v>3.31</v>
      </c>
      <c r="M1587">
        <v>30.49</v>
      </c>
      <c r="N1587">
        <v>1.57</v>
      </c>
      <c r="O1587">
        <v>0</v>
      </c>
      <c r="P1587">
        <v>33.89</v>
      </c>
      <c r="Q1587">
        <v>-10.77</v>
      </c>
      <c r="R1587">
        <v>30.24</v>
      </c>
      <c r="S1587">
        <v>33.89</v>
      </c>
      <c r="T1587">
        <v>204738</v>
      </c>
      <c r="U1587">
        <v>30.49</v>
      </c>
      <c r="V1587">
        <v>33.89</v>
      </c>
      <c r="W1587">
        <v>62</v>
      </c>
      <c r="X1587" t="s">
        <v>141</v>
      </c>
      <c r="Y1587" t="s">
        <v>158</v>
      </c>
      <c r="Z1587">
        <v>10.77</v>
      </c>
      <c r="AA1587">
        <v>31.57</v>
      </c>
      <c r="AB1587">
        <v>123151</v>
      </c>
      <c r="AC1587">
        <v>81587</v>
      </c>
      <c r="AD1587">
        <v>1.51</v>
      </c>
      <c r="AE1587">
        <v>223</v>
      </c>
      <c r="AF1587">
        <v>76</v>
      </c>
      <c r="AG1587" t="s">
        <v>120</v>
      </c>
      <c r="AH1587">
        <v>0.01</v>
      </c>
      <c r="AI1587" t="s">
        <v>120</v>
      </c>
      <c r="AJ1587">
        <v>6.19</v>
      </c>
      <c r="AK1587" t="s">
        <v>8230</v>
      </c>
      <c r="AL1587">
        <v>-8.1199999999999992</v>
      </c>
      <c r="AM1587">
        <v>4048</v>
      </c>
      <c r="AN1587">
        <v>51</v>
      </c>
      <c r="AO1587">
        <v>8.0000000000000004E-4</v>
      </c>
      <c r="AP1587">
        <v>-2</v>
      </c>
      <c r="AQ1587">
        <v>-0.41</v>
      </c>
      <c r="AR1587">
        <v>-8.49</v>
      </c>
      <c r="AS1587">
        <v>7.74</v>
      </c>
      <c r="AT1587">
        <v>17.36</v>
      </c>
      <c r="AU1587">
        <v>-0.52</v>
      </c>
      <c r="AV1587">
        <v>1</v>
      </c>
      <c r="AW1587">
        <v>5.37</v>
      </c>
      <c r="AX1587">
        <v>57.3</v>
      </c>
      <c r="AY1587">
        <v>32.51</v>
      </c>
      <c r="AZ1587">
        <v>32.92</v>
      </c>
      <c r="BA1587">
        <v>0.79</v>
      </c>
      <c r="BB1587" t="s">
        <v>143</v>
      </c>
      <c r="BF1587">
        <v>-6.84</v>
      </c>
      <c r="BG1587">
        <v>-10.029999999999999</v>
      </c>
      <c r="BH1587">
        <v>-10.029999999999999</v>
      </c>
      <c r="BI1587">
        <v>0.83</v>
      </c>
      <c r="BJ1587">
        <v>20210907</v>
      </c>
      <c r="BK1587">
        <v>20110505</v>
      </c>
      <c r="BL1587">
        <v>6.66</v>
      </c>
      <c r="BM1587" t="s">
        <v>120</v>
      </c>
      <c r="BN1587" t="s">
        <v>120</v>
      </c>
      <c r="BO1587">
        <v>157.47</v>
      </c>
      <c r="BP1587">
        <v>30.44</v>
      </c>
      <c r="BQ1587">
        <v>46.28</v>
      </c>
      <c r="BR1587">
        <v>6.83</v>
      </c>
      <c r="BS1587">
        <v>66.28</v>
      </c>
      <c r="BT1587">
        <v>106.56</v>
      </c>
      <c r="BU1587">
        <v>3.75</v>
      </c>
      <c r="BV1587">
        <v>8.5399999999999991</v>
      </c>
      <c r="BW1587">
        <v>85</v>
      </c>
      <c r="BX1587">
        <v>8.0500000000000007</v>
      </c>
      <c r="BY1587">
        <v>3.66</v>
      </c>
      <c r="BZ1587">
        <v>28.18</v>
      </c>
      <c r="CA1587">
        <v>0.01</v>
      </c>
      <c r="CB1587">
        <v>19.87</v>
      </c>
      <c r="CC1587">
        <v>14.99</v>
      </c>
      <c r="CD1587">
        <v>8.83</v>
      </c>
      <c r="CE1587">
        <v>1.95</v>
      </c>
      <c r="CF1587">
        <v>7.0000000000000007E-2</v>
      </c>
      <c r="CG1587">
        <v>1.95</v>
      </c>
      <c r="CH1587">
        <v>1.64</v>
      </c>
      <c r="CI1587">
        <v>1.64</v>
      </c>
      <c r="CJ1587">
        <v>-3.4</v>
      </c>
      <c r="CK1587">
        <v>1.27</v>
      </c>
      <c r="CL1587">
        <v>18.399999999999999</v>
      </c>
      <c r="CM1587">
        <v>-1.1299999999999999</v>
      </c>
      <c r="CN1587">
        <v>-3.3</v>
      </c>
      <c r="CO1587">
        <v>37104</v>
      </c>
      <c r="CP1587">
        <v>10284</v>
      </c>
      <c r="CQ1587" t="s">
        <v>8231</v>
      </c>
      <c r="CR1587">
        <v>5.6</v>
      </c>
      <c r="CS1587">
        <v>24.79</v>
      </c>
      <c r="CT1587">
        <v>4.3899999999999997</v>
      </c>
      <c r="CU1587">
        <v>-179.8</v>
      </c>
      <c r="CV1587">
        <v>13.55</v>
      </c>
      <c r="CW1587">
        <v>0.21</v>
      </c>
      <c r="CX1587" t="s">
        <v>863</v>
      </c>
      <c r="CY1587">
        <v>6.95</v>
      </c>
      <c r="CZ1587">
        <v>0</v>
      </c>
      <c r="DA1587">
        <v>2.98</v>
      </c>
      <c r="DB1587">
        <v>2.76</v>
      </c>
      <c r="DC1587">
        <v>-0.17</v>
      </c>
      <c r="DD1587">
        <v>29.39</v>
      </c>
      <c r="DE1587" t="s">
        <v>1130</v>
      </c>
      <c r="DF1587">
        <v>41.1</v>
      </c>
      <c r="DG1587">
        <v>12.99</v>
      </c>
      <c r="DH1587">
        <v>10.92</v>
      </c>
      <c r="DI1587">
        <v>0.51</v>
      </c>
      <c r="DJ1587">
        <v>1785</v>
      </c>
      <c r="DK1587">
        <v>300212</v>
      </c>
      <c r="DL1587" t="s">
        <v>120</v>
      </c>
      <c r="DM1587" t="s">
        <v>120</v>
      </c>
      <c r="DN1587" t="s">
        <v>120</v>
      </c>
    </row>
    <row r="1588" spans="1:118">
      <c r="A1588" t="str">
        <f>"300213"</f>
        <v>300213</v>
      </c>
      <c r="B1588" t="s">
        <v>8232</v>
      </c>
      <c r="C1588">
        <v>-2.52</v>
      </c>
      <c r="D1588">
        <v>0</v>
      </c>
      <c r="E1588">
        <v>0.15</v>
      </c>
      <c r="F1588">
        <v>1236</v>
      </c>
      <c r="G1588" t="s">
        <v>8233</v>
      </c>
      <c r="H1588">
        <v>10113.620000000001</v>
      </c>
      <c r="I1588">
        <v>72.97</v>
      </c>
      <c r="J1588" t="s">
        <v>120</v>
      </c>
      <c r="K1588" t="s">
        <v>4355</v>
      </c>
      <c r="L1588">
        <v>2.76</v>
      </c>
      <c r="M1588">
        <v>6.57</v>
      </c>
      <c r="N1588">
        <v>0.99</v>
      </c>
      <c r="O1588">
        <v>0.89</v>
      </c>
      <c r="P1588">
        <v>6.8</v>
      </c>
      <c r="Q1588">
        <v>-2.97</v>
      </c>
      <c r="R1588">
        <v>6.54</v>
      </c>
      <c r="S1588">
        <v>6.75</v>
      </c>
      <c r="T1588">
        <v>151749</v>
      </c>
      <c r="U1588">
        <v>6.58</v>
      </c>
      <c r="V1588">
        <v>6.74</v>
      </c>
      <c r="W1588">
        <v>50.41</v>
      </c>
      <c r="X1588" t="s">
        <v>462</v>
      </c>
      <c r="Y1588" t="s">
        <v>158</v>
      </c>
      <c r="Z1588">
        <v>3.86</v>
      </c>
      <c r="AA1588">
        <v>6.66</v>
      </c>
      <c r="AB1588">
        <v>96337</v>
      </c>
      <c r="AC1588">
        <v>55412</v>
      </c>
      <c r="AD1588">
        <v>1.74</v>
      </c>
      <c r="AE1588">
        <v>569</v>
      </c>
      <c r="AF1588">
        <v>543</v>
      </c>
      <c r="AG1588" t="s">
        <v>120</v>
      </c>
      <c r="AH1588">
        <v>0.02</v>
      </c>
      <c r="AI1588" t="s">
        <v>120</v>
      </c>
      <c r="AJ1588">
        <v>5.5</v>
      </c>
      <c r="AK1588" t="s">
        <v>8234</v>
      </c>
      <c r="AL1588">
        <v>-0.61</v>
      </c>
      <c r="AM1588">
        <v>2004</v>
      </c>
      <c r="AN1588">
        <v>76</v>
      </c>
      <c r="AO1588">
        <v>1.4E-3</v>
      </c>
      <c r="AP1588">
        <v>-1</v>
      </c>
      <c r="AQ1588">
        <v>1.81</v>
      </c>
      <c r="AR1588">
        <v>-1.2</v>
      </c>
      <c r="AS1588">
        <v>2.1800000000000002</v>
      </c>
      <c r="AT1588">
        <v>8.7799999999999994</v>
      </c>
      <c r="AU1588">
        <v>-6.81</v>
      </c>
      <c r="AV1588">
        <v>0</v>
      </c>
      <c r="AW1588">
        <v>3</v>
      </c>
      <c r="AX1588">
        <v>85.21</v>
      </c>
      <c r="AY1588">
        <v>41.45</v>
      </c>
      <c r="AZ1588">
        <v>34.15</v>
      </c>
      <c r="BA1588">
        <v>0.64</v>
      </c>
      <c r="BB1588" t="s">
        <v>125</v>
      </c>
      <c r="BF1588">
        <v>-1.1200000000000001</v>
      </c>
      <c r="BG1588">
        <v>-2.67</v>
      </c>
      <c r="BH1588">
        <v>-3.38</v>
      </c>
      <c r="BI1588">
        <v>0.46</v>
      </c>
      <c r="BJ1588">
        <v>20210821</v>
      </c>
      <c r="BK1588">
        <v>20110505</v>
      </c>
      <c r="BL1588">
        <v>5.94</v>
      </c>
      <c r="BM1588" t="s">
        <v>120</v>
      </c>
      <c r="BN1588" t="s">
        <v>120</v>
      </c>
      <c r="BO1588">
        <v>29.34</v>
      </c>
      <c r="BP1588">
        <v>6.57</v>
      </c>
      <c r="BQ1588">
        <v>21.24</v>
      </c>
      <c r="BR1588">
        <v>0.04</v>
      </c>
      <c r="BS1588">
        <v>27.46</v>
      </c>
      <c r="BT1588">
        <v>18.739999999999998</v>
      </c>
      <c r="BU1588">
        <v>1.79</v>
      </c>
      <c r="BV1588">
        <v>1.44</v>
      </c>
      <c r="BW1588">
        <v>7.88</v>
      </c>
      <c r="BX1588">
        <v>5.25</v>
      </c>
      <c r="BY1588">
        <v>1.86</v>
      </c>
      <c r="BZ1588">
        <v>9.0500000000000007</v>
      </c>
      <c r="CA1588" t="s">
        <v>120</v>
      </c>
      <c r="CB1588">
        <v>7.57</v>
      </c>
      <c r="CC1588">
        <v>4.2300000000000004</v>
      </c>
      <c r="CD1588">
        <v>2.54</v>
      </c>
      <c r="CE1588">
        <v>0.48</v>
      </c>
      <c r="CF1588">
        <v>0.01</v>
      </c>
      <c r="CG1588">
        <v>0.48</v>
      </c>
      <c r="CH1588">
        <v>0.39</v>
      </c>
      <c r="CI1588">
        <v>0.39</v>
      </c>
      <c r="CJ1588">
        <v>-0.17</v>
      </c>
      <c r="CK1588">
        <v>0.26</v>
      </c>
      <c r="CL1588">
        <v>7.93</v>
      </c>
      <c r="CM1588">
        <v>0.15</v>
      </c>
      <c r="CN1588">
        <v>-0.34</v>
      </c>
      <c r="CO1588">
        <v>32943</v>
      </c>
      <c r="CP1588">
        <v>15357</v>
      </c>
      <c r="CQ1588" t="s">
        <v>8235</v>
      </c>
      <c r="CR1588">
        <v>-34.79</v>
      </c>
      <c r="CS1588">
        <v>14.16</v>
      </c>
      <c r="CT1588">
        <v>1.84</v>
      </c>
      <c r="CU1588">
        <v>258.04000000000002</v>
      </c>
      <c r="CV1588">
        <v>9.2100000000000009</v>
      </c>
      <c r="CW1588">
        <v>0.73</v>
      </c>
      <c r="CX1588" t="s">
        <v>679</v>
      </c>
      <c r="CY1588">
        <v>3.56</v>
      </c>
      <c r="CZ1588">
        <v>3.56</v>
      </c>
      <c r="DA1588">
        <v>1.27</v>
      </c>
      <c r="DB1588">
        <v>1.34</v>
      </c>
      <c r="DC1588">
        <v>0.03</v>
      </c>
      <c r="DD1588">
        <v>72.41</v>
      </c>
      <c r="DE1588" t="s">
        <v>4611</v>
      </c>
      <c r="DF1588">
        <v>39.909999999999997</v>
      </c>
      <c r="DG1588">
        <v>11.4</v>
      </c>
      <c r="DH1588">
        <v>9.14</v>
      </c>
      <c r="DI1588">
        <v>0.45</v>
      </c>
      <c r="DJ1588">
        <v>863</v>
      </c>
      <c r="DK1588">
        <v>300213</v>
      </c>
      <c r="DL1588">
        <v>20210706</v>
      </c>
      <c r="DM1588">
        <v>6.96</v>
      </c>
      <c r="DN1588">
        <v>-5.6</v>
      </c>
    </row>
    <row r="1589" spans="1:118">
      <c r="A1589" t="str">
        <f>"300214"</f>
        <v>300214</v>
      </c>
      <c r="B1589" t="s">
        <v>8236</v>
      </c>
      <c r="C1589">
        <v>4.07</v>
      </c>
      <c r="D1589">
        <v>0.12</v>
      </c>
      <c r="E1589">
        <v>1.4</v>
      </c>
      <c r="F1589">
        <v>1215</v>
      </c>
      <c r="G1589" t="s">
        <v>8237</v>
      </c>
      <c r="H1589">
        <v>13492.32</v>
      </c>
      <c r="I1589">
        <v>42.64</v>
      </c>
      <c r="J1589" t="s">
        <v>120</v>
      </c>
      <c r="K1589" t="s">
        <v>8238</v>
      </c>
      <c r="L1589">
        <v>4.49</v>
      </c>
      <c r="M1589">
        <v>8.18</v>
      </c>
      <c r="N1589">
        <v>2.23</v>
      </c>
      <c r="O1589">
        <v>8.91</v>
      </c>
      <c r="P1589">
        <v>8.56</v>
      </c>
      <c r="Q1589">
        <v>1.4</v>
      </c>
      <c r="R1589">
        <v>7.97</v>
      </c>
      <c r="S1589">
        <v>7.97</v>
      </c>
      <c r="T1589">
        <v>163608</v>
      </c>
      <c r="U1589">
        <v>8.18</v>
      </c>
      <c r="V1589">
        <v>7.86</v>
      </c>
      <c r="W1589">
        <v>24.35</v>
      </c>
      <c r="X1589" t="s">
        <v>868</v>
      </c>
      <c r="Y1589" t="s">
        <v>638</v>
      </c>
      <c r="Z1589">
        <v>7.51</v>
      </c>
      <c r="AA1589">
        <v>8.25</v>
      </c>
      <c r="AB1589">
        <v>70837</v>
      </c>
      <c r="AC1589">
        <v>92771</v>
      </c>
      <c r="AD1589">
        <v>0.76</v>
      </c>
      <c r="AE1589">
        <v>76</v>
      </c>
      <c r="AF1589">
        <v>994</v>
      </c>
      <c r="AG1589" t="s">
        <v>120</v>
      </c>
      <c r="AH1589">
        <v>0.02</v>
      </c>
      <c r="AI1589" t="s">
        <v>120</v>
      </c>
      <c r="AJ1589">
        <v>3.64</v>
      </c>
      <c r="AK1589" t="s">
        <v>8239</v>
      </c>
      <c r="AL1589">
        <v>5.98</v>
      </c>
      <c r="AM1589">
        <v>2540</v>
      </c>
      <c r="AN1589">
        <v>64</v>
      </c>
      <c r="AO1589">
        <v>1.8E-3</v>
      </c>
      <c r="AP1589">
        <v>2</v>
      </c>
      <c r="AQ1589">
        <v>0.77</v>
      </c>
      <c r="AR1589">
        <v>0.87</v>
      </c>
      <c r="AS1589">
        <v>14.88</v>
      </c>
      <c r="AT1589">
        <v>14.73</v>
      </c>
      <c r="AU1589">
        <v>-1.51</v>
      </c>
      <c r="AV1589">
        <v>0</v>
      </c>
      <c r="AW1589">
        <v>6.99</v>
      </c>
      <c r="AX1589">
        <v>49.73</v>
      </c>
      <c r="AY1589">
        <v>21.9</v>
      </c>
      <c r="AZ1589">
        <v>17.87</v>
      </c>
      <c r="BA1589">
        <v>0.42</v>
      </c>
      <c r="BB1589" t="s">
        <v>143</v>
      </c>
      <c r="BF1589">
        <v>4.92</v>
      </c>
      <c r="BG1589">
        <v>2.63</v>
      </c>
      <c r="BH1589">
        <v>-4.4400000000000004</v>
      </c>
      <c r="BI1589">
        <v>2.63</v>
      </c>
      <c r="BJ1589">
        <v>20210830</v>
      </c>
      <c r="BK1589">
        <v>20110511</v>
      </c>
      <c r="BL1589">
        <v>4.71</v>
      </c>
      <c r="BM1589" t="s">
        <v>120</v>
      </c>
      <c r="BN1589" t="s">
        <v>120</v>
      </c>
      <c r="BO1589">
        <v>22.95</v>
      </c>
      <c r="BP1589">
        <v>8.17</v>
      </c>
      <c r="BQ1589">
        <v>19.66</v>
      </c>
      <c r="BR1589" t="s">
        <v>120</v>
      </c>
      <c r="BS1589">
        <v>14.3</v>
      </c>
      <c r="BT1589">
        <v>12.8</v>
      </c>
      <c r="BU1589">
        <v>5.21</v>
      </c>
      <c r="BV1589">
        <v>2.54</v>
      </c>
      <c r="BW1589">
        <v>2.5099999999999998</v>
      </c>
      <c r="BX1589">
        <v>1.1100000000000001</v>
      </c>
      <c r="BY1589">
        <v>2.2999999999999998</v>
      </c>
      <c r="BZ1589">
        <v>3.95</v>
      </c>
      <c r="CA1589" t="s">
        <v>120</v>
      </c>
      <c r="CB1589">
        <v>5.81</v>
      </c>
      <c r="CC1589">
        <v>12.56</v>
      </c>
      <c r="CD1589">
        <v>10.92</v>
      </c>
      <c r="CE1589">
        <v>1.02</v>
      </c>
      <c r="CF1589">
        <v>0.02</v>
      </c>
      <c r="CG1589">
        <v>1.01</v>
      </c>
      <c r="CH1589">
        <v>0.79</v>
      </c>
      <c r="CI1589">
        <v>0.79</v>
      </c>
      <c r="CJ1589">
        <v>0.32</v>
      </c>
      <c r="CK1589">
        <v>0.78</v>
      </c>
      <c r="CL1589">
        <v>9.2100000000000009</v>
      </c>
      <c r="CM1589">
        <v>0.97</v>
      </c>
      <c r="CN1589">
        <v>-0.93</v>
      </c>
      <c r="CO1589">
        <v>14308</v>
      </c>
      <c r="CP1589">
        <v>16363</v>
      </c>
      <c r="CQ1589" t="s">
        <v>5946</v>
      </c>
      <c r="CR1589">
        <v>-32.47</v>
      </c>
      <c r="CS1589">
        <v>13.52</v>
      </c>
      <c r="CT1589">
        <v>1.77</v>
      </c>
      <c r="CU1589">
        <v>39.71</v>
      </c>
      <c r="CV1589">
        <v>3.07</v>
      </c>
      <c r="CW1589">
        <v>0.96</v>
      </c>
      <c r="CX1589" t="s">
        <v>442</v>
      </c>
      <c r="CY1589">
        <v>4.62</v>
      </c>
      <c r="CZ1589">
        <v>4.62</v>
      </c>
      <c r="DA1589">
        <v>1.23</v>
      </c>
      <c r="DB1589">
        <v>1.96</v>
      </c>
      <c r="DC1589">
        <v>0.21</v>
      </c>
      <c r="DD1589">
        <v>85.7</v>
      </c>
      <c r="DE1589" t="s">
        <v>1363</v>
      </c>
      <c r="DF1589">
        <v>13.09</v>
      </c>
      <c r="DG1589">
        <v>8.14</v>
      </c>
      <c r="DH1589">
        <v>6.29</v>
      </c>
      <c r="DI1589">
        <v>0.08</v>
      </c>
      <c r="DJ1589">
        <v>971</v>
      </c>
      <c r="DK1589">
        <v>300214</v>
      </c>
      <c r="DL1589" t="s">
        <v>120</v>
      </c>
      <c r="DM1589" t="s">
        <v>120</v>
      </c>
      <c r="DN1589" t="s">
        <v>120</v>
      </c>
    </row>
    <row r="1590" spans="1:118">
      <c r="A1590" t="str">
        <f>"300215"</f>
        <v>300215</v>
      </c>
      <c r="B1590" t="s">
        <v>8240</v>
      </c>
      <c r="C1590">
        <v>-2.72</v>
      </c>
      <c r="D1590">
        <v>0.19</v>
      </c>
      <c r="E1590">
        <v>0</v>
      </c>
      <c r="F1590">
        <v>2690</v>
      </c>
      <c r="G1590" t="s">
        <v>5575</v>
      </c>
      <c r="H1590">
        <v>21143.02</v>
      </c>
      <c r="I1590">
        <v>119.19</v>
      </c>
      <c r="J1590" t="s">
        <v>120</v>
      </c>
      <c r="K1590" t="s">
        <v>2896</v>
      </c>
      <c r="L1590">
        <v>3.63</v>
      </c>
      <c r="M1590">
        <v>10.39</v>
      </c>
      <c r="N1590">
        <v>0.72</v>
      </c>
      <c r="O1590">
        <v>0.47</v>
      </c>
      <c r="P1590">
        <v>10.73</v>
      </c>
      <c r="Q1590">
        <v>-4.87</v>
      </c>
      <c r="R1590">
        <v>10.16</v>
      </c>
      <c r="S1590">
        <v>10.68</v>
      </c>
      <c r="T1590">
        <v>203529</v>
      </c>
      <c r="U1590">
        <v>10.4</v>
      </c>
      <c r="V1590">
        <v>10.68</v>
      </c>
      <c r="W1590">
        <v>47.22</v>
      </c>
      <c r="X1590" t="s">
        <v>394</v>
      </c>
      <c r="Y1590" t="s">
        <v>319</v>
      </c>
      <c r="Z1590">
        <v>5.34</v>
      </c>
      <c r="AA1590">
        <v>10.39</v>
      </c>
      <c r="AB1590">
        <v>118482</v>
      </c>
      <c r="AC1590">
        <v>85047</v>
      </c>
      <c r="AD1590">
        <v>1.39</v>
      </c>
      <c r="AE1590">
        <v>183</v>
      </c>
      <c r="AF1590">
        <v>135</v>
      </c>
      <c r="AG1590" t="s">
        <v>120</v>
      </c>
      <c r="AH1590">
        <v>0.04</v>
      </c>
      <c r="AI1590" t="s">
        <v>120</v>
      </c>
      <c r="AJ1590">
        <v>5.6</v>
      </c>
      <c r="AK1590" t="s">
        <v>8241</v>
      </c>
      <c r="AL1590">
        <v>-0.8</v>
      </c>
      <c r="AM1590">
        <v>3495</v>
      </c>
      <c r="AN1590">
        <v>58</v>
      </c>
      <c r="AO1590">
        <v>1E-3</v>
      </c>
      <c r="AP1590">
        <v>-1</v>
      </c>
      <c r="AQ1590">
        <v>7.88</v>
      </c>
      <c r="AR1590">
        <v>-3.35</v>
      </c>
      <c r="AS1590">
        <v>17.14</v>
      </c>
      <c r="AT1590">
        <v>19.98</v>
      </c>
      <c r="AU1590">
        <v>47.16</v>
      </c>
      <c r="AV1590">
        <v>0</v>
      </c>
      <c r="AW1590">
        <v>6.7</v>
      </c>
      <c r="AX1590">
        <v>40.07</v>
      </c>
      <c r="AY1590">
        <v>58.29</v>
      </c>
      <c r="AZ1590">
        <v>93.49</v>
      </c>
      <c r="BA1590">
        <v>0.43</v>
      </c>
      <c r="BB1590" t="s">
        <v>168</v>
      </c>
      <c r="BF1590">
        <v>-2.73</v>
      </c>
      <c r="BG1590">
        <v>-2.72</v>
      </c>
      <c r="BH1590">
        <v>-3.17</v>
      </c>
      <c r="BI1590">
        <v>2.2599999999999998</v>
      </c>
      <c r="BJ1590">
        <v>20210827</v>
      </c>
      <c r="BK1590">
        <v>20110511</v>
      </c>
      <c r="BL1590">
        <v>7.58</v>
      </c>
      <c r="BM1590" t="s">
        <v>120</v>
      </c>
      <c r="BN1590" t="s">
        <v>120</v>
      </c>
      <c r="BO1590">
        <v>37.549999999999997</v>
      </c>
      <c r="BP1590">
        <v>10.39</v>
      </c>
      <c r="BQ1590">
        <v>18.11</v>
      </c>
      <c r="BR1590">
        <v>0.16</v>
      </c>
      <c r="BS1590">
        <v>51.35</v>
      </c>
      <c r="BT1590">
        <v>8.06</v>
      </c>
      <c r="BU1590">
        <v>22.09</v>
      </c>
      <c r="BV1590">
        <v>0.51</v>
      </c>
      <c r="BW1590">
        <v>13.07</v>
      </c>
      <c r="BX1590">
        <v>5.17</v>
      </c>
      <c r="BY1590">
        <v>0.01</v>
      </c>
      <c r="BZ1590">
        <v>1.04</v>
      </c>
      <c r="CA1590" t="s">
        <v>120</v>
      </c>
      <c r="CB1590">
        <v>7.23</v>
      </c>
      <c r="CC1590">
        <v>4.16</v>
      </c>
      <c r="CD1590">
        <v>2.08</v>
      </c>
      <c r="CE1590">
        <v>1</v>
      </c>
      <c r="CF1590">
        <v>0.02</v>
      </c>
      <c r="CG1590">
        <v>0.99</v>
      </c>
      <c r="CH1590">
        <v>0.84</v>
      </c>
      <c r="CI1590">
        <v>0.83</v>
      </c>
      <c r="CJ1590">
        <v>-0.28999999999999998</v>
      </c>
      <c r="CK1590">
        <v>0.71</v>
      </c>
      <c r="CL1590">
        <v>2.94</v>
      </c>
      <c r="CM1590">
        <v>2.5</v>
      </c>
      <c r="CN1590">
        <v>-3.27</v>
      </c>
      <c r="CO1590">
        <v>25588</v>
      </c>
      <c r="CP1590">
        <v>11875</v>
      </c>
      <c r="CQ1590" t="s">
        <v>8242</v>
      </c>
      <c r="CR1590">
        <v>168.04</v>
      </c>
      <c r="CS1590">
        <v>32.83</v>
      </c>
      <c r="CT1590">
        <v>4.3499999999999996</v>
      </c>
      <c r="CU1590">
        <v>31.57</v>
      </c>
      <c r="CV1590">
        <v>18.96</v>
      </c>
      <c r="CW1590">
        <v>1.1100000000000001</v>
      </c>
      <c r="CX1590" t="s">
        <v>1147</v>
      </c>
      <c r="CY1590">
        <v>2.39</v>
      </c>
      <c r="CZ1590">
        <v>0</v>
      </c>
      <c r="DA1590">
        <v>0.95</v>
      </c>
      <c r="DB1590">
        <v>0.39</v>
      </c>
      <c r="DC1590">
        <v>0.33</v>
      </c>
      <c r="DD1590">
        <v>48.23</v>
      </c>
      <c r="DE1590" t="s">
        <v>5715</v>
      </c>
      <c r="DF1590">
        <v>49.88</v>
      </c>
      <c r="DG1590">
        <v>24</v>
      </c>
      <c r="DH1590">
        <v>20.07</v>
      </c>
      <c r="DI1590">
        <v>0.36</v>
      </c>
      <c r="DJ1590">
        <v>1247</v>
      </c>
      <c r="DK1590">
        <v>300215</v>
      </c>
      <c r="DL1590">
        <v>20210912</v>
      </c>
      <c r="DM1590">
        <v>10.59</v>
      </c>
      <c r="DN1590">
        <v>-1.89</v>
      </c>
    </row>
    <row r="1591" spans="1:118">
      <c r="A1591" t="str">
        <f>"300217"</f>
        <v>300217</v>
      </c>
      <c r="B1591" t="s">
        <v>8243</v>
      </c>
      <c r="C1591">
        <v>0.68</v>
      </c>
      <c r="D1591">
        <v>0</v>
      </c>
      <c r="E1591">
        <v>0</v>
      </c>
      <c r="F1591">
        <v>15394</v>
      </c>
      <c r="G1591" t="s">
        <v>4673</v>
      </c>
      <c r="H1591">
        <v>54712.58</v>
      </c>
      <c r="I1591">
        <v>276.14999999999998</v>
      </c>
      <c r="J1591" t="s">
        <v>120</v>
      </c>
      <c r="K1591" t="s">
        <v>8244</v>
      </c>
      <c r="L1591">
        <v>13.33</v>
      </c>
      <c r="M1591">
        <v>4.4400000000000004</v>
      </c>
      <c r="N1591">
        <v>1.29</v>
      </c>
      <c r="O1591">
        <v>12.02</v>
      </c>
      <c r="P1591">
        <v>4.9400000000000004</v>
      </c>
      <c r="Q1591">
        <v>-0.23</v>
      </c>
      <c r="R1591">
        <v>4.4000000000000004</v>
      </c>
      <c r="S1591">
        <v>4.41</v>
      </c>
      <c r="T1591">
        <v>1195056</v>
      </c>
      <c r="U1591">
        <v>4.45</v>
      </c>
      <c r="V1591">
        <v>4.41</v>
      </c>
      <c r="W1591">
        <v>61.76</v>
      </c>
      <c r="X1591" t="s">
        <v>2717</v>
      </c>
      <c r="Y1591" t="s">
        <v>319</v>
      </c>
      <c r="Z1591">
        <v>12.24</v>
      </c>
      <c r="AA1591">
        <v>4.58</v>
      </c>
      <c r="AB1591">
        <v>596269</v>
      </c>
      <c r="AC1591">
        <v>598787</v>
      </c>
      <c r="AD1591">
        <v>1</v>
      </c>
      <c r="AE1591">
        <v>5140</v>
      </c>
      <c r="AF1591">
        <v>4899</v>
      </c>
      <c r="AG1591" t="s">
        <v>120</v>
      </c>
      <c r="AH1591">
        <v>0.08</v>
      </c>
      <c r="AI1591" t="s">
        <v>120</v>
      </c>
      <c r="AJ1591">
        <v>8.9700000000000006</v>
      </c>
      <c r="AK1591" t="s">
        <v>5195</v>
      </c>
      <c r="AL1591">
        <v>2.59</v>
      </c>
      <c r="AM1591">
        <v>4009</v>
      </c>
      <c r="AN1591">
        <v>298</v>
      </c>
      <c r="AO1591">
        <v>3.3E-3</v>
      </c>
      <c r="AP1591">
        <v>2</v>
      </c>
      <c r="AQ1591">
        <v>4.5</v>
      </c>
      <c r="AR1591">
        <v>0.46</v>
      </c>
      <c r="AS1591">
        <v>18.09</v>
      </c>
      <c r="AT1591">
        <v>30.97</v>
      </c>
      <c r="AU1591">
        <v>21.15</v>
      </c>
      <c r="AV1591">
        <v>0</v>
      </c>
      <c r="AW1591">
        <v>15.47</v>
      </c>
      <c r="AX1591">
        <v>60.67</v>
      </c>
      <c r="AY1591">
        <v>69.75</v>
      </c>
      <c r="AZ1591">
        <v>92.94</v>
      </c>
      <c r="BA1591">
        <v>0.88</v>
      </c>
      <c r="BB1591" t="s">
        <v>168</v>
      </c>
      <c r="BF1591">
        <v>3.82</v>
      </c>
      <c r="BG1591">
        <v>0.68</v>
      </c>
      <c r="BH1591">
        <v>-10.119999999999999</v>
      </c>
      <c r="BI1591">
        <v>0.91</v>
      </c>
      <c r="BJ1591">
        <v>20210826</v>
      </c>
      <c r="BK1591">
        <v>20110518</v>
      </c>
      <c r="BL1591">
        <v>12.73</v>
      </c>
      <c r="BM1591" t="s">
        <v>120</v>
      </c>
      <c r="BN1591" t="s">
        <v>120</v>
      </c>
      <c r="BO1591">
        <v>43.03</v>
      </c>
      <c r="BP1591">
        <v>4.4400000000000004</v>
      </c>
      <c r="BQ1591">
        <v>20.69</v>
      </c>
      <c r="BR1591">
        <v>0.15</v>
      </c>
      <c r="BS1591">
        <v>51.57</v>
      </c>
      <c r="BT1591">
        <v>32.090000000000003</v>
      </c>
      <c r="BU1591">
        <v>7.88</v>
      </c>
      <c r="BV1591">
        <v>1.92</v>
      </c>
      <c r="BW1591">
        <v>20</v>
      </c>
      <c r="BX1591">
        <v>2.62</v>
      </c>
      <c r="BY1591">
        <v>7.86</v>
      </c>
      <c r="BZ1591">
        <v>6.35</v>
      </c>
      <c r="CA1591" t="s">
        <v>120</v>
      </c>
      <c r="CB1591">
        <v>1.41</v>
      </c>
      <c r="CC1591">
        <v>13.47</v>
      </c>
      <c r="CD1591">
        <v>11.31</v>
      </c>
      <c r="CE1591">
        <v>0.69</v>
      </c>
      <c r="CF1591">
        <v>0</v>
      </c>
      <c r="CG1591">
        <v>0.5</v>
      </c>
      <c r="CH1591">
        <v>0.46</v>
      </c>
      <c r="CI1591">
        <v>0.46</v>
      </c>
      <c r="CJ1591">
        <v>0.03</v>
      </c>
      <c r="CK1591">
        <v>0.55000000000000004</v>
      </c>
      <c r="CL1591">
        <v>5.66</v>
      </c>
      <c r="CM1591">
        <v>-0.24</v>
      </c>
      <c r="CN1591">
        <v>-0.38</v>
      </c>
      <c r="CO1591">
        <v>60257</v>
      </c>
      <c r="CP1591">
        <v>12822</v>
      </c>
      <c r="CQ1591" t="s">
        <v>3853</v>
      </c>
      <c r="CR1591">
        <v>78.19</v>
      </c>
      <c r="CS1591">
        <v>20.69</v>
      </c>
      <c r="CT1591">
        <v>2.73</v>
      </c>
      <c r="CU1591">
        <v>-234.68</v>
      </c>
      <c r="CV1591">
        <v>4.2</v>
      </c>
      <c r="CW1591">
        <v>0.34</v>
      </c>
      <c r="CX1591" t="s">
        <v>926</v>
      </c>
      <c r="CY1591">
        <v>1.62</v>
      </c>
      <c r="CZ1591">
        <v>0</v>
      </c>
      <c r="DA1591">
        <v>0.11</v>
      </c>
      <c r="DB1591">
        <v>0.44</v>
      </c>
      <c r="DC1591">
        <v>-0.02</v>
      </c>
      <c r="DD1591">
        <v>48.08</v>
      </c>
      <c r="DE1591" t="s">
        <v>8245</v>
      </c>
      <c r="DF1591">
        <v>16.05</v>
      </c>
      <c r="DG1591">
        <v>5.1100000000000003</v>
      </c>
      <c r="DH1591">
        <v>3.4</v>
      </c>
      <c r="DI1591">
        <v>0.52</v>
      </c>
      <c r="DJ1591">
        <v>3256</v>
      </c>
      <c r="DK1591">
        <v>300217</v>
      </c>
      <c r="DL1591" t="s">
        <v>120</v>
      </c>
      <c r="DM1591" t="s">
        <v>120</v>
      </c>
      <c r="DN1591" t="s">
        <v>120</v>
      </c>
    </row>
    <row r="1592" spans="1:118">
      <c r="A1592" t="str">
        <f>"300218"</f>
        <v>300218</v>
      </c>
      <c r="B1592" t="s">
        <v>8246</v>
      </c>
      <c r="C1592">
        <v>-3.16</v>
      </c>
      <c r="D1592">
        <v>-0.21</v>
      </c>
      <c r="E1592">
        <v>0.05</v>
      </c>
      <c r="F1592">
        <v>93</v>
      </c>
      <c r="G1592" t="s">
        <v>8247</v>
      </c>
      <c r="H1592">
        <v>5146.38</v>
      </c>
      <c r="I1592">
        <v>17.829999999999998</v>
      </c>
      <c r="J1592" t="s">
        <v>120</v>
      </c>
      <c r="K1592" t="s">
        <v>8248</v>
      </c>
      <c r="L1592">
        <v>1.32</v>
      </c>
      <c r="M1592">
        <v>17.79</v>
      </c>
      <c r="N1592">
        <v>0.56999999999999995</v>
      </c>
      <c r="O1592">
        <v>0.54</v>
      </c>
      <c r="P1592">
        <v>18.47</v>
      </c>
      <c r="Q1592">
        <v>-3.54</v>
      </c>
      <c r="R1592">
        <v>17.72</v>
      </c>
      <c r="S1592">
        <v>18.38</v>
      </c>
      <c r="T1592">
        <v>28583</v>
      </c>
      <c r="U1592">
        <v>17.8</v>
      </c>
      <c r="V1592">
        <v>18.37</v>
      </c>
      <c r="W1592">
        <v>28.3</v>
      </c>
      <c r="X1592" t="s">
        <v>2211</v>
      </c>
      <c r="Y1592" t="s">
        <v>570</v>
      </c>
      <c r="Z1592">
        <v>4.08</v>
      </c>
      <c r="AA1592">
        <v>18</v>
      </c>
      <c r="AB1592">
        <v>15888</v>
      </c>
      <c r="AC1592">
        <v>12695</v>
      </c>
      <c r="AD1592">
        <v>1.25</v>
      </c>
      <c r="AE1592">
        <v>203</v>
      </c>
      <c r="AF1592">
        <v>13</v>
      </c>
      <c r="AG1592" t="s">
        <v>120</v>
      </c>
      <c r="AH1592">
        <v>0.01</v>
      </c>
      <c r="AI1592" t="s">
        <v>120</v>
      </c>
      <c r="AJ1592">
        <v>2.16</v>
      </c>
      <c r="AK1592" t="s">
        <v>8249</v>
      </c>
      <c r="AL1592">
        <v>-1.24</v>
      </c>
      <c r="AM1592">
        <v>1772</v>
      </c>
      <c r="AN1592">
        <v>16</v>
      </c>
      <c r="AO1592">
        <v>6.9999999999999999E-4</v>
      </c>
      <c r="AP1592">
        <v>-1</v>
      </c>
      <c r="AQ1592">
        <v>0.55000000000000004</v>
      </c>
      <c r="AR1592">
        <v>-2.52</v>
      </c>
      <c r="AS1592">
        <v>-3.21</v>
      </c>
      <c r="AT1592">
        <v>39.64</v>
      </c>
      <c r="AU1592">
        <v>75.959999999999994</v>
      </c>
      <c r="AV1592">
        <v>1</v>
      </c>
      <c r="AW1592">
        <v>2.79</v>
      </c>
      <c r="AX1592">
        <v>47.23</v>
      </c>
      <c r="AY1592">
        <v>29.59</v>
      </c>
      <c r="AZ1592">
        <v>79</v>
      </c>
      <c r="BA1592">
        <v>0.83</v>
      </c>
      <c r="BB1592" t="s">
        <v>143</v>
      </c>
      <c r="BF1592">
        <v>-1.99</v>
      </c>
      <c r="BG1592">
        <v>-3.21</v>
      </c>
      <c r="BH1592">
        <v>-3.68</v>
      </c>
      <c r="BI1592">
        <v>0.4</v>
      </c>
      <c r="BJ1592">
        <v>20210913</v>
      </c>
      <c r="BK1592">
        <v>20110518</v>
      </c>
      <c r="BL1592">
        <v>2.17</v>
      </c>
      <c r="BM1592" t="s">
        <v>120</v>
      </c>
      <c r="BN1592" t="s">
        <v>120</v>
      </c>
      <c r="BO1592">
        <v>20.68</v>
      </c>
      <c r="BP1592">
        <v>17.79</v>
      </c>
      <c r="BQ1592">
        <v>11.14</v>
      </c>
      <c r="BR1592">
        <v>1.1299999999999999</v>
      </c>
      <c r="BS1592">
        <v>40.65</v>
      </c>
      <c r="BT1592">
        <v>9.76</v>
      </c>
      <c r="BU1592">
        <v>8.8699999999999992</v>
      </c>
      <c r="BV1592">
        <v>0.5</v>
      </c>
      <c r="BW1592">
        <v>6.95</v>
      </c>
      <c r="BX1592">
        <v>2.82</v>
      </c>
      <c r="BY1592">
        <v>3.75</v>
      </c>
      <c r="BZ1592">
        <v>2.31</v>
      </c>
      <c r="CA1592" t="s">
        <v>120</v>
      </c>
      <c r="CB1592">
        <v>3.62</v>
      </c>
      <c r="CC1592">
        <v>9.52</v>
      </c>
      <c r="CD1592">
        <v>7.21</v>
      </c>
      <c r="CE1592">
        <v>0.8</v>
      </c>
      <c r="CF1592">
        <v>0.06</v>
      </c>
      <c r="CG1592">
        <v>0.74</v>
      </c>
      <c r="CH1592">
        <v>0.7</v>
      </c>
      <c r="CI1592">
        <v>0.68</v>
      </c>
      <c r="CJ1592">
        <v>-0.57999999999999996</v>
      </c>
      <c r="CK1592">
        <v>0.67</v>
      </c>
      <c r="CL1592">
        <v>4.43</v>
      </c>
      <c r="CM1592">
        <v>-0.15</v>
      </c>
      <c r="CN1592">
        <v>-1.1100000000000001</v>
      </c>
      <c r="CO1592">
        <v>8646</v>
      </c>
      <c r="CP1592">
        <v>11853</v>
      </c>
      <c r="CQ1592" t="s">
        <v>8250</v>
      </c>
      <c r="CR1592">
        <v>524.92999999999995</v>
      </c>
      <c r="CS1592">
        <v>72.239999999999995</v>
      </c>
      <c r="CT1592">
        <v>3.46</v>
      </c>
      <c r="CU1592">
        <v>-261.39</v>
      </c>
      <c r="CV1592">
        <v>4.05</v>
      </c>
      <c r="CW1592">
        <v>0.6</v>
      </c>
      <c r="CX1592" t="s">
        <v>8251</v>
      </c>
      <c r="CY1592">
        <v>5.14</v>
      </c>
      <c r="CZ1592">
        <v>0</v>
      </c>
      <c r="DA1592">
        <v>1.67</v>
      </c>
      <c r="DB1592">
        <v>2.04</v>
      </c>
      <c r="DC1592">
        <v>-7.0000000000000007E-2</v>
      </c>
      <c r="DD1592">
        <v>53.9</v>
      </c>
      <c r="DE1592" t="s">
        <v>1386</v>
      </c>
      <c r="DF1592">
        <v>24.26</v>
      </c>
      <c r="DG1592">
        <v>8.44</v>
      </c>
      <c r="DH1592">
        <v>7.16</v>
      </c>
      <c r="DI1592">
        <v>0.56000000000000005</v>
      </c>
      <c r="DJ1592">
        <v>2660</v>
      </c>
      <c r="DK1592">
        <v>300218</v>
      </c>
      <c r="DL1592" t="s">
        <v>120</v>
      </c>
      <c r="DM1592" t="s">
        <v>120</v>
      </c>
      <c r="DN1592" t="s">
        <v>120</v>
      </c>
    </row>
    <row r="1593" spans="1:118">
      <c r="A1593" t="str">
        <f>"300219"</f>
        <v>300219</v>
      </c>
      <c r="B1593" t="s">
        <v>8252</v>
      </c>
      <c r="C1593">
        <v>-6.43</v>
      </c>
      <c r="D1593">
        <v>0.08</v>
      </c>
      <c r="E1593">
        <v>7.0000000000000007E-2</v>
      </c>
      <c r="F1593">
        <v>2567</v>
      </c>
      <c r="G1593" t="s">
        <v>8253</v>
      </c>
      <c r="H1593">
        <v>23565.1</v>
      </c>
      <c r="I1593">
        <v>55.02</v>
      </c>
      <c r="J1593" t="s">
        <v>120</v>
      </c>
      <c r="K1593" t="s">
        <v>8254</v>
      </c>
      <c r="L1593">
        <v>2.8</v>
      </c>
      <c r="M1593">
        <v>13.09</v>
      </c>
      <c r="N1593">
        <v>0.98</v>
      </c>
      <c r="O1593">
        <v>0.79</v>
      </c>
      <c r="P1593">
        <v>14.1</v>
      </c>
      <c r="Q1593">
        <v>-7.22</v>
      </c>
      <c r="R1593">
        <v>12.98</v>
      </c>
      <c r="S1593">
        <v>14</v>
      </c>
      <c r="T1593">
        <v>175591</v>
      </c>
      <c r="U1593">
        <v>13.09</v>
      </c>
      <c r="V1593">
        <v>13.99</v>
      </c>
      <c r="W1593">
        <v>32.85</v>
      </c>
      <c r="X1593" t="s">
        <v>229</v>
      </c>
      <c r="Y1593" t="s">
        <v>547</v>
      </c>
      <c r="Z1593">
        <v>8.01</v>
      </c>
      <c r="AA1593">
        <v>13.42</v>
      </c>
      <c r="AB1593">
        <v>112536</v>
      </c>
      <c r="AC1593">
        <v>63055</v>
      </c>
      <c r="AD1593">
        <v>1.78</v>
      </c>
      <c r="AE1593">
        <v>225</v>
      </c>
      <c r="AF1593">
        <v>592</v>
      </c>
      <c r="AG1593" t="s">
        <v>120</v>
      </c>
      <c r="AH1593">
        <v>0.01</v>
      </c>
      <c r="AI1593" t="s">
        <v>120</v>
      </c>
      <c r="AJ1593">
        <v>6.28</v>
      </c>
      <c r="AK1593" t="s">
        <v>8255</v>
      </c>
      <c r="AL1593">
        <v>-4.5199999999999996</v>
      </c>
      <c r="AM1593">
        <v>3149</v>
      </c>
      <c r="AN1593">
        <v>56</v>
      </c>
      <c r="AO1593">
        <v>8.9999999999999998E-4</v>
      </c>
      <c r="AP1593">
        <v>-1</v>
      </c>
      <c r="AQ1593">
        <v>1.01</v>
      </c>
      <c r="AR1593">
        <v>-3.82</v>
      </c>
      <c r="AS1593">
        <v>7.91</v>
      </c>
      <c r="AT1593">
        <v>8.2799999999999994</v>
      </c>
      <c r="AU1593">
        <v>18.899999999999999</v>
      </c>
      <c r="AV1593">
        <v>1</v>
      </c>
      <c r="AW1593">
        <v>4.68</v>
      </c>
      <c r="AX1593">
        <v>52.94</v>
      </c>
      <c r="AY1593">
        <v>50.91</v>
      </c>
      <c r="AZ1593">
        <v>106.73</v>
      </c>
      <c r="BA1593">
        <v>1.39</v>
      </c>
      <c r="BB1593" t="s">
        <v>168</v>
      </c>
      <c r="BF1593">
        <v>-4.07</v>
      </c>
      <c r="BG1593">
        <v>-6.5</v>
      </c>
      <c r="BH1593">
        <v>-7.16</v>
      </c>
      <c r="BI1593">
        <v>0.85</v>
      </c>
      <c r="BJ1593">
        <v>20210827</v>
      </c>
      <c r="BK1593">
        <v>20110518</v>
      </c>
      <c r="BL1593">
        <v>7.08</v>
      </c>
      <c r="BM1593" t="s">
        <v>120</v>
      </c>
      <c r="BN1593" t="s">
        <v>120</v>
      </c>
      <c r="BO1593">
        <v>44.89</v>
      </c>
      <c r="BP1593">
        <v>13.08</v>
      </c>
      <c r="BQ1593">
        <v>20.59</v>
      </c>
      <c r="BR1593">
        <v>-7.0000000000000007E-2</v>
      </c>
      <c r="BS1593">
        <v>54.29</v>
      </c>
      <c r="BT1593">
        <v>25.28</v>
      </c>
      <c r="BU1593">
        <v>13.55</v>
      </c>
      <c r="BV1593">
        <v>1.49</v>
      </c>
      <c r="BW1593">
        <v>22.7</v>
      </c>
      <c r="BX1593">
        <v>3.51</v>
      </c>
      <c r="BY1593">
        <v>7.12</v>
      </c>
      <c r="BZ1593">
        <v>11.81</v>
      </c>
      <c r="CA1593">
        <v>0.49</v>
      </c>
      <c r="CB1593">
        <v>11.79</v>
      </c>
      <c r="CC1593">
        <v>20.04</v>
      </c>
      <c r="CD1593">
        <v>15.52</v>
      </c>
      <c r="CE1593">
        <v>1.66</v>
      </c>
      <c r="CF1593">
        <v>0.06</v>
      </c>
      <c r="CG1593">
        <v>1.67</v>
      </c>
      <c r="CH1593">
        <v>1.38</v>
      </c>
      <c r="CI1593">
        <v>1.41</v>
      </c>
      <c r="CJ1593">
        <v>-0.9</v>
      </c>
      <c r="CK1593">
        <v>1.28</v>
      </c>
      <c r="CL1593">
        <v>1.03</v>
      </c>
      <c r="CM1593">
        <v>0.61</v>
      </c>
      <c r="CN1593">
        <v>1.03</v>
      </c>
      <c r="CO1593">
        <v>14265</v>
      </c>
      <c r="CP1593">
        <v>26275</v>
      </c>
      <c r="CQ1593" t="s">
        <v>8256</v>
      </c>
      <c r="CR1593">
        <v>259.19</v>
      </c>
      <c r="CS1593">
        <v>50.65</v>
      </c>
      <c r="CT1593">
        <v>4.5</v>
      </c>
      <c r="CU1593">
        <v>152.66</v>
      </c>
      <c r="CV1593">
        <v>4.62</v>
      </c>
      <c r="CW1593">
        <v>0</v>
      </c>
      <c r="CX1593" t="s">
        <v>492</v>
      </c>
      <c r="CY1593">
        <v>2.91</v>
      </c>
      <c r="CZ1593">
        <v>0</v>
      </c>
      <c r="DA1593">
        <v>1.67</v>
      </c>
      <c r="DB1593">
        <v>0.15</v>
      </c>
      <c r="DC1593">
        <v>0.09</v>
      </c>
      <c r="DD1593">
        <v>45.85</v>
      </c>
      <c r="DE1593" t="s">
        <v>6444</v>
      </c>
      <c r="DF1593">
        <v>22.56</v>
      </c>
      <c r="DG1593">
        <v>8.3000000000000007</v>
      </c>
      <c r="DH1593">
        <v>7.04</v>
      </c>
      <c r="DI1593">
        <v>1.01</v>
      </c>
      <c r="DJ1593">
        <v>4849</v>
      </c>
      <c r="DK1593">
        <v>300219</v>
      </c>
      <c r="DL1593" t="s">
        <v>120</v>
      </c>
      <c r="DM1593" t="s">
        <v>120</v>
      </c>
      <c r="DN1593" t="s">
        <v>120</v>
      </c>
    </row>
    <row r="1594" spans="1:118">
      <c r="A1594" t="str">
        <f>"300220"</f>
        <v>300220</v>
      </c>
      <c r="B1594" t="s">
        <v>8257</v>
      </c>
      <c r="C1594">
        <v>1.83</v>
      </c>
      <c r="D1594">
        <v>0</v>
      </c>
      <c r="E1594">
        <v>-0.15</v>
      </c>
      <c r="F1594">
        <v>886</v>
      </c>
      <c r="G1594" t="s">
        <v>3855</v>
      </c>
      <c r="H1594">
        <v>9158.4699999999993</v>
      </c>
      <c r="I1594">
        <v>38.79</v>
      </c>
      <c r="J1594" t="s">
        <v>120</v>
      </c>
      <c r="K1594" t="s">
        <v>8258</v>
      </c>
      <c r="L1594">
        <v>4.37</v>
      </c>
      <c r="M1594">
        <v>13.93</v>
      </c>
      <c r="N1594">
        <v>0.64</v>
      </c>
      <c r="O1594">
        <v>4.6100000000000003</v>
      </c>
      <c r="P1594">
        <v>14.31</v>
      </c>
      <c r="Q1594">
        <v>-1.68</v>
      </c>
      <c r="R1594">
        <v>13.45</v>
      </c>
      <c r="S1594">
        <v>13.66</v>
      </c>
      <c r="T1594">
        <v>65827</v>
      </c>
      <c r="U1594">
        <v>13.94</v>
      </c>
      <c r="V1594">
        <v>13.68</v>
      </c>
      <c r="W1594" t="s">
        <v>120</v>
      </c>
      <c r="X1594" t="s">
        <v>229</v>
      </c>
      <c r="Y1594" t="s">
        <v>763</v>
      </c>
      <c r="Z1594">
        <v>6.29</v>
      </c>
      <c r="AA1594">
        <v>13.91</v>
      </c>
      <c r="AB1594">
        <v>32885</v>
      </c>
      <c r="AC1594">
        <v>32942</v>
      </c>
      <c r="AD1594">
        <v>1</v>
      </c>
      <c r="AE1594">
        <v>174</v>
      </c>
      <c r="AF1594">
        <v>222</v>
      </c>
      <c r="AG1594" t="s">
        <v>120</v>
      </c>
      <c r="AH1594">
        <v>0.04</v>
      </c>
      <c r="AI1594" t="s">
        <v>120</v>
      </c>
      <c r="AJ1594">
        <v>1.51</v>
      </c>
      <c r="AK1594" t="s">
        <v>8259</v>
      </c>
      <c r="AL1594">
        <v>3.74</v>
      </c>
      <c r="AM1594">
        <v>2156</v>
      </c>
      <c r="AN1594">
        <v>31</v>
      </c>
      <c r="AO1594">
        <v>2E-3</v>
      </c>
      <c r="AP1594">
        <v>1</v>
      </c>
      <c r="AQ1594">
        <v>-1.01</v>
      </c>
      <c r="AR1594">
        <v>-2.25</v>
      </c>
      <c r="AS1594">
        <v>1.08</v>
      </c>
      <c r="AT1594">
        <v>-23.59</v>
      </c>
      <c r="AU1594">
        <v>-24.78</v>
      </c>
      <c r="AV1594">
        <v>5</v>
      </c>
      <c r="AW1594">
        <v>8.98</v>
      </c>
      <c r="AX1594">
        <v>48.47</v>
      </c>
      <c r="AY1594" t="s">
        <v>120</v>
      </c>
      <c r="AZ1594" t="s">
        <v>120</v>
      </c>
      <c r="BA1594">
        <v>1.17</v>
      </c>
      <c r="BB1594" t="s">
        <v>143</v>
      </c>
      <c r="BF1594">
        <v>1.7</v>
      </c>
      <c r="BG1594">
        <v>1.98</v>
      </c>
      <c r="BH1594">
        <v>-2.66</v>
      </c>
      <c r="BI1594">
        <v>3.57</v>
      </c>
      <c r="BJ1594">
        <v>20210830</v>
      </c>
      <c r="BK1594">
        <v>20110525</v>
      </c>
      <c r="BL1594">
        <v>1.51</v>
      </c>
      <c r="BM1594" t="s">
        <v>120</v>
      </c>
      <c r="BN1594" t="s">
        <v>120</v>
      </c>
      <c r="BO1594">
        <v>4.32</v>
      </c>
      <c r="BP1594">
        <v>13.93</v>
      </c>
      <c r="BQ1594">
        <v>2</v>
      </c>
      <c r="BR1594">
        <v>0.08</v>
      </c>
      <c r="BS1594">
        <v>51.83</v>
      </c>
      <c r="BT1594">
        <v>2.5099999999999998</v>
      </c>
      <c r="BU1594">
        <v>0.81</v>
      </c>
      <c r="BV1594">
        <v>0.09</v>
      </c>
      <c r="BW1594">
        <v>2.23</v>
      </c>
      <c r="BX1594">
        <v>0.31</v>
      </c>
      <c r="BY1594">
        <v>1.25</v>
      </c>
      <c r="BZ1594">
        <v>0.31</v>
      </c>
      <c r="CA1594" t="s">
        <v>120</v>
      </c>
      <c r="CB1594">
        <v>0.79</v>
      </c>
      <c r="CC1594">
        <v>1.74</v>
      </c>
      <c r="CD1594">
        <v>1.2</v>
      </c>
      <c r="CE1594">
        <v>-0.13</v>
      </c>
      <c r="CF1594">
        <v>-0.01</v>
      </c>
      <c r="CG1594">
        <v>-0.13</v>
      </c>
      <c r="CH1594">
        <v>-0.13</v>
      </c>
      <c r="CI1594">
        <v>-0.13</v>
      </c>
      <c r="CJ1594">
        <v>0.25</v>
      </c>
      <c r="CK1594">
        <v>-0.15</v>
      </c>
      <c r="CL1594">
        <v>-0.45</v>
      </c>
      <c r="CM1594">
        <v>-0.17</v>
      </c>
      <c r="CN1594">
        <v>-0.36</v>
      </c>
      <c r="CO1594">
        <v>19569</v>
      </c>
      <c r="CP1594">
        <v>3745</v>
      </c>
      <c r="CQ1594" t="s">
        <v>701</v>
      </c>
      <c r="CR1594">
        <v>-139.06</v>
      </c>
      <c r="CS1594">
        <v>149.84</v>
      </c>
      <c r="CT1594">
        <v>10.54</v>
      </c>
      <c r="CU1594">
        <v>-123.63</v>
      </c>
      <c r="CV1594">
        <v>12.1</v>
      </c>
      <c r="CW1594">
        <v>0</v>
      </c>
      <c r="CX1594" t="s">
        <v>8260</v>
      </c>
      <c r="CY1594">
        <v>1.32</v>
      </c>
      <c r="CZ1594">
        <v>0</v>
      </c>
      <c r="DA1594">
        <v>0.52</v>
      </c>
      <c r="DB1594">
        <v>-0.3</v>
      </c>
      <c r="DC1594">
        <v>-0.11</v>
      </c>
      <c r="DD1594">
        <v>46.21</v>
      </c>
      <c r="DE1594" t="s">
        <v>8261</v>
      </c>
      <c r="DF1594">
        <v>30.94</v>
      </c>
      <c r="DG1594">
        <v>-7.29</v>
      </c>
      <c r="DH1594">
        <v>-7.34</v>
      </c>
      <c r="DI1594">
        <v>0.01</v>
      </c>
      <c r="DJ1594">
        <v>519</v>
      </c>
      <c r="DK1594">
        <v>300220</v>
      </c>
      <c r="DL1594" t="s">
        <v>120</v>
      </c>
      <c r="DM1594" t="s">
        <v>120</v>
      </c>
      <c r="DN1594" t="s">
        <v>120</v>
      </c>
    </row>
    <row r="1595" spans="1:118">
      <c r="A1595" t="str">
        <f>"300221"</f>
        <v>300221</v>
      </c>
      <c r="B1595" t="s">
        <v>8262</v>
      </c>
      <c r="C1595">
        <v>-1.1499999999999999</v>
      </c>
      <c r="D1595">
        <v>-0.1</v>
      </c>
      <c r="E1595">
        <v>4.09</v>
      </c>
      <c r="F1595">
        <v>9696</v>
      </c>
      <c r="G1595" t="s">
        <v>3949</v>
      </c>
      <c r="H1595">
        <v>82993.08</v>
      </c>
      <c r="I1595">
        <v>1460.52</v>
      </c>
      <c r="J1595" t="s">
        <v>120</v>
      </c>
      <c r="K1595" t="s">
        <v>5036</v>
      </c>
      <c r="L1595">
        <v>19.12</v>
      </c>
      <c r="M1595">
        <v>9.42</v>
      </c>
      <c r="N1595">
        <v>1.89</v>
      </c>
      <c r="O1595">
        <v>7.87</v>
      </c>
      <c r="P1595">
        <v>10.28</v>
      </c>
      <c r="Q1595">
        <v>-1.36</v>
      </c>
      <c r="R1595">
        <v>9.4</v>
      </c>
      <c r="S1595">
        <v>9.92</v>
      </c>
      <c r="T1595">
        <v>838804</v>
      </c>
      <c r="U1595">
        <v>9.42</v>
      </c>
      <c r="V1595">
        <v>9.5299999999999994</v>
      </c>
      <c r="W1595">
        <v>42.67</v>
      </c>
      <c r="X1595" t="s">
        <v>2211</v>
      </c>
      <c r="Y1595" t="s">
        <v>547</v>
      </c>
      <c r="Z1595">
        <v>9.23</v>
      </c>
      <c r="AA1595">
        <v>9.89</v>
      </c>
      <c r="AB1595">
        <v>426728</v>
      </c>
      <c r="AC1595">
        <v>412076</v>
      </c>
      <c r="AD1595">
        <v>1.04</v>
      </c>
      <c r="AE1595">
        <v>1715</v>
      </c>
      <c r="AF1595">
        <v>615</v>
      </c>
      <c r="AG1595" t="s">
        <v>120</v>
      </c>
      <c r="AH1595">
        <v>0.36</v>
      </c>
      <c r="AI1595" t="s">
        <v>120</v>
      </c>
      <c r="AJ1595">
        <v>4.3899999999999997</v>
      </c>
      <c r="AK1595" t="s">
        <v>8263</v>
      </c>
      <c r="AL1595">
        <v>0.76</v>
      </c>
      <c r="AM1595">
        <v>4164</v>
      </c>
      <c r="AN1595">
        <v>201</v>
      </c>
      <c r="AO1595">
        <v>4.5999999999999999E-3</v>
      </c>
      <c r="AP1595">
        <v>-1</v>
      </c>
      <c r="AQ1595">
        <v>2.69</v>
      </c>
      <c r="AR1595">
        <v>3.86</v>
      </c>
      <c r="AS1595">
        <v>8.4</v>
      </c>
      <c r="AT1595">
        <v>17.309999999999999</v>
      </c>
      <c r="AU1595">
        <v>0.21</v>
      </c>
      <c r="AV1595">
        <v>3</v>
      </c>
      <c r="AW1595">
        <v>20.51</v>
      </c>
      <c r="AX1595">
        <v>85.73</v>
      </c>
      <c r="AY1595">
        <v>36.119999999999997</v>
      </c>
      <c r="AZ1595">
        <v>45</v>
      </c>
      <c r="BA1595">
        <v>1.3</v>
      </c>
      <c r="BB1595" t="s">
        <v>143</v>
      </c>
      <c r="BF1595">
        <v>3.82</v>
      </c>
      <c r="BG1595">
        <v>-5.04</v>
      </c>
      <c r="BH1595">
        <v>-8.3699999999999992</v>
      </c>
      <c r="BI1595">
        <v>0.21</v>
      </c>
      <c r="BJ1595">
        <v>20210813</v>
      </c>
      <c r="BK1595">
        <v>20110525</v>
      </c>
      <c r="BL1595">
        <v>4.7699999999999996</v>
      </c>
      <c r="BM1595" t="s">
        <v>120</v>
      </c>
      <c r="BN1595" t="s">
        <v>120</v>
      </c>
      <c r="BO1595">
        <v>17.190000000000001</v>
      </c>
      <c r="BP1595">
        <v>9.41</v>
      </c>
      <c r="BQ1595">
        <v>10.95</v>
      </c>
      <c r="BR1595">
        <v>0.18</v>
      </c>
      <c r="BS1595">
        <v>35.29</v>
      </c>
      <c r="BT1595">
        <v>12.6</v>
      </c>
      <c r="BU1595">
        <v>2.93</v>
      </c>
      <c r="BV1595">
        <v>0.47</v>
      </c>
      <c r="BW1595">
        <v>5.67</v>
      </c>
      <c r="BX1595">
        <v>1.22</v>
      </c>
      <c r="BY1595">
        <v>2.76</v>
      </c>
      <c r="BZ1595">
        <v>5.58</v>
      </c>
      <c r="CA1595" t="s">
        <v>120</v>
      </c>
      <c r="CB1595">
        <v>8.6999999999999993</v>
      </c>
      <c r="CC1595">
        <v>9.92</v>
      </c>
      <c r="CD1595">
        <v>8.24</v>
      </c>
      <c r="CE1595">
        <v>0.56999999999999995</v>
      </c>
      <c r="CF1595">
        <v>0.02</v>
      </c>
      <c r="CG1595">
        <v>0.57999999999999996</v>
      </c>
      <c r="CH1595">
        <v>0.55000000000000004</v>
      </c>
      <c r="CI1595">
        <v>0.53</v>
      </c>
      <c r="CJ1595">
        <v>-0.11</v>
      </c>
      <c r="CK1595">
        <v>0.43</v>
      </c>
      <c r="CL1595">
        <v>-2.08</v>
      </c>
      <c r="CM1595">
        <v>0.16</v>
      </c>
      <c r="CN1595">
        <v>0.85</v>
      </c>
      <c r="CO1595">
        <v>54573</v>
      </c>
      <c r="CP1595">
        <v>7494</v>
      </c>
      <c r="CQ1595" t="s">
        <v>1272</v>
      </c>
      <c r="CR1595">
        <v>89.18</v>
      </c>
      <c r="CS1595">
        <v>51.5</v>
      </c>
      <c r="CT1595">
        <v>3.71</v>
      </c>
      <c r="CU1595">
        <v>278.17</v>
      </c>
      <c r="CV1595">
        <v>4.53</v>
      </c>
      <c r="CW1595">
        <v>0</v>
      </c>
      <c r="CX1595" t="s">
        <v>850</v>
      </c>
      <c r="CY1595">
        <v>2.54</v>
      </c>
      <c r="CZ1595">
        <v>2.54</v>
      </c>
      <c r="DA1595">
        <v>1.82</v>
      </c>
      <c r="DB1595">
        <v>-0.44</v>
      </c>
      <c r="DC1595">
        <v>0.03</v>
      </c>
      <c r="DD1595">
        <v>63.66</v>
      </c>
      <c r="DE1595" t="s">
        <v>8264</v>
      </c>
      <c r="DF1595">
        <v>16.88</v>
      </c>
      <c r="DG1595">
        <v>5.73</v>
      </c>
      <c r="DH1595">
        <v>5.31</v>
      </c>
      <c r="DI1595">
        <v>0.45</v>
      </c>
      <c r="DJ1595">
        <v>957</v>
      </c>
      <c r="DK1595">
        <v>300221</v>
      </c>
      <c r="DL1595" t="s">
        <v>120</v>
      </c>
      <c r="DM1595" t="s">
        <v>120</v>
      </c>
      <c r="DN1595" t="s">
        <v>120</v>
      </c>
    </row>
    <row r="1596" spans="1:118">
      <c r="A1596" t="str">
        <f>"300222"</f>
        <v>300222</v>
      </c>
      <c r="B1596" t="s">
        <v>8265</v>
      </c>
      <c r="C1596">
        <v>-4.43</v>
      </c>
      <c r="D1596">
        <v>-7.0000000000000007E-2</v>
      </c>
      <c r="E1596">
        <v>0.16</v>
      </c>
      <c r="F1596">
        <v>2503</v>
      </c>
      <c r="G1596" t="s">
        <v>8266</v>
      </c>
      <c r="H1596">
        <v>29903.43</v>
      </c>
      <c r="I1596">
        <v>43.93</v>
      </c>
      <c r="J1596" t="s">
        <v>120</v>
      </c>
      <c r="K1596" t="s">
        <v>8267</v>
      </c>
      <c r="L1596">
        <v>4.3600000000000003</v>
      </c>
      <c r="M1596">
        <v>12.08</v>
      </c>
      <c r="N1596">
        <v>0.73</v>
      </c>
      <c r="O1596">
        <v>0.71</v>
      </c>
      <c r="P1596">
        <v>12.73</v>
      </c>
      <c r="Q1596">
        <v>-4.59</v>
      </c>
      <c r="R1596">
        <v>12.06</v>
      </c>
      <c r="S1596">
        <v>12.66</v>
      </c>
      <c r="T1596">
        <v>242541</v>
      </c>
      <c r="U1596">
        <v>12.09</v>
      </c>
      <c r="V1596">
        <v>12.64</v>
      </c>
      <c r="W1596">
        <v>21.89</v>
      </c>
      <c r="X1596" t="s">
        <v>394</v>
      </c>
      <c r="Y1596" t="s">
        <v>1510</v>
      </c>
      <c r="Z1596">
        <v>5.3</v>
      </c>
      <c r="AA1596">
        <v>12.33</v>
      </c>
      <c r="AB1596">
        <v>144421</v>
      </c>
      <c r="AC1596">
        <v>98120</v>
      </c>
      <c r="AD1596">
        <v>1.47</v>
      </c>
      <c r="AE1596">
        <v>278</v>
      </c>
      <c r="AF1596">
        <v>198</v>
      </c>
      <c r="AG1596" t="s">
        <v>120</v>
      </c>
      <c r="AH1596">
        <v>0.01</v>
      </c>
      <c r="AI1596" t="s">
        <v>120</v>
      </c>
      <c r="AJ1596">
        <v>5.56</v>
      </c>
      <c r="AK1596" t="s">
        <v>8268</v>
      </c>
      <c r="AL1596">
        <v>-2.52</v>
      </c>
      <c r="AM1596">
        <v>3394</v>
      </c>
      <c r="AN1596">
        <v>71</v>
      </c>
      <c r="AO1596">
        <v>1.2999999999999999E-3</v>
      </c>
      <c r="AP1596">
        <v>-1</v>
      </c>
      <c r="AQ1596">
        <v>0.4</v>
      </c>
      <c r="AR1596">
        <v>-0.98</v>
      </c>
      <c r="AS1596">
        <v>-12.21</v>
      </c>
      <c r="AT1596">
        <v>-2.11</v>
      </c>
      <c r="AU1596">
        <v>17.170000000000002</v>
      </c>
      <c r="AV1596">
        <v>0</v>
      </c>
      <c r="AW1596">
        <v>5.14</v>
      </c>
      <c r="AX1596">
        <v>60.49</v>
      </c>
      <c r="AY1596" t="s">
        <v>120</v>
      </c>
      <c r="AZ1596" t="s">
        <v>120</v>
      </c>
      <c r="BA1596">
        <v>0.77</v>
      </c>
      <c r="BB1596" t="s">
        <v>143</v>
      </c>
      <c r="BF1596">
        <v>-2.46</v>
      </c>
      <c r="BG1596">
        <v>-4.58</v>
      </c>
      <c r="BH1596">
        <v>-5.1100000000000003</v>
      </c>
      <c r="BI1596">
        <v>0.17</v>
      </c>
      <c r="BJ1596">
        <v>20210915</v>
      </c>
      <c r="BK1596">
        <v>20110525</v>
      </c>
      <c r="BL1596">
        <v>7.8</v>
      </c>
      <c r="BM1596" t="s">
        <v>120</v>
      </c>
      <c r="BN1596" t="s">
        <v>120</v>
      </c>
      <c r="BO1596">
        <v>58.42</v>
      </c>
      <c r="BP1596">
        <v>12.08</v>
      </c>
      <c r="BQ1596">
        <v>17.77</v>
      </c>
      <c r="BR1596">
        <v>1.2</v>
      </c>
      <c r="BS1596">
        <v>67.52</v>
      </c>
      <c r="BT1596">
        <v>45.55</v>
      </c>
      <c r="BU1596">
        <v>3.34</v>
      </c>
      <c r="BV1596">
        <v>1.18</v>
      </c>
      <c r="BW1596">
        <v>34.31</v>
      </c>
      <c r="BX1596">
        <v>7.84</v>
      </c>
      <c r="BY1596">
        <v>14.26</v>
      </c>
      <c r="BZ1596">
        <v>14.46</v>
      </c>
      <c r="CA1596" t="s">
        <v>120</v>
      </c>
      <c r="CB1596">
        <v>27.2</v>
      </c>
      <c r="CC1596">
        <v>10.94</v>
      </c>
      <c r="CD1596">
        <v>8.51</v>
      </c>
      <c r="CE1596">
        <v>2.1800000000000002</v>
      </c>
      <c r="CF1596">
        <v>2.57</v>
      </c>
      <c r="CG1596">
        <v>2.23</v>
      </c>
      <c r="CH1596">
        <v>2.2400000000000002</v>
      </c>
      <c r="CI1596">
        <v>2.15</v>
      </c>
      <c r="CJ1596">
        <v>-0.56000000000000005</v>
      </c>
      <c r="CK1596">
        <v>-1.07</v>
      </c>
      <c r="CL1596">
        <v>-16.989999999999998</v>
      </c>
      <c r="CM1596">
        <v>-1.93</v>
      </c>
      <c r="CN1596">
        <v>1.41</v>
      </c>
      <c r="CO1596">
        <v>70614</v>
      </c>
      <c r="CP1596">
        <v>6684</v>
      </c>
      <c r="CQ1596" t="s">
        <v>8269</v>
      </c>
      <c r="CR1596">
        <v>444.45</v>
      </c>
      <c r="CS1596">
        <v>15.93</v>
      </c>
      <c r="CT1596">
        <v>4.92</v>
      </c>
      <c r="CU1596">
        <v>-48.87</v>
      </c>
      <c r="CV1596">
        <v>8.6199999999999992</v>
      </c>
      <c r="CW1596">
        <v>0</v>
      </c>
      <c r="CX1596" t="s">
        <v>1340</v>
      </c>
      <c r="CY1596">
        <v>2.46</v>
      </c>
      <c r="CZ1596">
        <v>2.46</v>
      </c>
      <c r="DA1596">
        <v>3.49</v>
      </c>
      <c r="DB1596">
        <v>-2.1800000000000002</v>
      </c>
      <c r="DC1596">
        <v>-0.25</v>
      </c>
      <c r="DD1596">
        <v>30.42</v>
      </c>
      <c r="DE1596" t="s">
        <v>8270</v>
      </c>
      <c r="DF1596">
        <v>22.25</v>
      </c>
      <c r="DG1596">
        <v>19.96</v>
      </c>
      <c r="DH1596">
        <v>19.68</v>
      </c>
      <c r="DI1596">
        <v>0.92</v>
      </c>
      <c r="DJ1596">
        <v>2095</v>
      </c>
      <c r="DK1596">
        <v>300222</v>
      </c>
      <c r="DL1596" t="s">
        <v>120</v>
      </c>
      <c r="DM1596" t="s">
        <v>120</v>
      </c>
      <c r="DN1596" t="s">
        <v>120</v>
      </c>
    </row>
    <row r="1597" spans="1:118">
      <c r="A1597" t="str">
        <f>"300223"</f>
        <v>300223</v>
      </c>
      <c r="B1597" t="s">
        <v>8271</v>
      </c>
      <c r="C1597">
        <v>-4.03</v>
      </c>
      <c r="D1597">
        <v>-0.17</v>
      </c>
      <c r="E1597">
        <v>0.92</v>
      </c>
      <c r="F1597">
        <v>1240</v>
      </c>
      <c r="G1597" t="s">
        <v>8272</v>
      </c>
      <c r="H1597">
        <v>83709.37</v>
      </c>
      <c r="I1597">
        <v>503.26</v>
      </c>
      <c r="J1597" t="s">
        <v>120</v>
      </c>
      <c r="K1597" t="s">
        <v>8273</v>
      </c>
      <c r="L1597">
        <v>1.96</v>
      </c>
      <c r="M1597">
        <v>128.99</v>
      </c>
      <c r="N1597">
        <v>0.6</v>
      </c>
      <c r="O1597">
        <v>1.82</v>
      </c>
      <c r="P1597">
        <v>136.85</v>
      </c>
      <c r="Q1597">
        <v>-4.1500000000000004</v>
      </c>
      <c r="R1597">
        <v>128.83000000000001</v>
      </c>
      <c r="S1597">
        <v>135.65</v>
      </c>
      <c r="T1597">
        <v>63449</v>
      </c>
      <c r="U1597">
        <v>128.99</v>
      </c>
      <c r="V1597">
        <v>134.41</v>
      </c>
      <c r="W1597">
        <v>85.2</v>
      </c>
      <c r="X1597" t="s">
        <v>3245</v>
      </c>
      <c r="Y1597" t="s">
        <v>158</v>
      </c>
      <c r="Z1597">
        <v>5.97</v>
      </c>
      <c r="AA1597">
        <v>131.93</v>
      </c>
      <c r="AB1597">
        <v>30686</v>
      </c>
      <c r="AC1597">
        <v>32763</v>
      </c>
      <c r="AD1597">
        <v>0.94</v>
      </c>
      <c r="AE1597">
        <v>16</v>
      </c>
      <c r="AF1597">
        <v>56</v>
      </c>
      <c r="AG1597" t="s">
        <v>120</v>
      </c>
      <c r="AH1597">
        <v>0.02</v>
      </c>
      <c r="AI1597" t="s">
        <v>120</v>
      </c>
      <c r="AJ1597">
        <v>3.24</v>
      </c>
      <c r="AK1597" t="s">
        <v>8274</v>
      </c>
      <c r="AL1597">
        <v>-2.12</v>
      </c>
      <c r="AM1597">
        <v>4318</v>
      </c>
      <c r="AN1597">
        <v>15</v>
      </c>
      <c r="AO1597">
        <v>5.0000000000000001E-4</v>
      </c>
      <c r="AP1597">
        <v>-2</v>
      </c>
      <c r="AQ1597">
        <v>-1.53</v>
      </c>
      <c r="AR1597">
        <v>0.15</v>
      </c>
      <c r="AS1597">
        <v>-16.149999999999999</v>
      </c>
      <c r="AT1597">
        <v>33.93</v>
      </c>
      <c r="AU1597">
        <v>41.19</v>
      </c>
      <c r="AV1597">
        <v>2</v>
      </c>
      <c r="AW1597">
        <v>3.48</v>
      </c>
      <c r="AX1597">
        <v>38.909999999999997</v>
      </c>
      <c r="AY1597">
        <v>151.26</v>
      </c>
      <c r="AZ1597">
        <v>861.13</v>
      </c>
      <c r="BA1597">
        <v>0.41</v>
      </c>
      <c r="BB1597" t="s">
        <v>125</v>
      </c>
      <c r="BF1597">
        <v>-1.84</v>
      </c>
      <c r="BG1597">
        <v>-4.91</v>
      </c>
      <c r="BH1597">
        <v>-5.74</v>
      </c>
      <c r="BI1597">
        <v>0.12</v>
      </c>
      <c r="BJ1597">
        <v>20210913</v>
      </c>
      <c r="BK1597">
        <v>20110531</v>
      </c>
      <c r="BL1597">
        <v>4.6900000000000004</v>
      </c>
      <c r="BM1597" t="s">
        <v>120</v>
      </c>
      <c r="BN1597" t="s">
        <v>120</v>
      </c>
      <c r="BO1597">
        <v>93.34</v>
      </c>
      <c r="BP1597">
        <v>128.97999999999999</v>
      </c>
      <c r="BQ1597">
        <v>84.91</v>
      </c>
      <c r="BR1597">
        <v>0.26</v>
      </c>
      <c r="BS1597">
        <v>8.76</v>
      </c>
      <c r="BT1597">
        <v>41.21</v>
      </c>
      <c r="BU1597">
        <v>3.69</v>
      </c>
      <c r="BV1597">
        <v>8.1999999999999993</v>
      </c>
      <c r="BW1597">
        <v>6.69</v>
      </c>
      <c r="BX1597">
        <v>19.05</v>
      </c>
      <c r="BY1597">
        <v>12.37</v>
      </c>
      <c r="BZ1597">
        <v>5.41</v>
      </c>
      <c r="CA1597" t="s">
        <v>120</v>
      </c>
      <c r="CB1597">
        <v>75.77</v>
      </c>
      <c r="CC1597">
        <v>23.36</v>
      </c>
      <c r="CD1597">
        <v>15.38</v>
      </c>
      <c r="CE1597">
        <v>3.58</v>
      </c>
      <c r="CF1597">
        <v>0.05</v>
      </c>
      <c r="CG1597">
        <v>3.58</v>
      </c>
      <c r="CH1597">
        <v>3.54</v>
      </c>
      <c r="CI1597">
        <v>3.55</v>
      </c>
      <c r="CJ1597">
        <v>-5.42</v>
      </c>
      <c r="CK1597">
        <v>3.37</v>
      </c>
      <c r="CL1597">
        <v>5.94</v>
      </c>
      <c r="CM1597">
        <v>5.13</v>
      </c>
      <c r="CN1597">
        <v>5.0999999999999996</v>
      </c>
      <c r="CO1597">
        <v>43303</v>
      </c>
      <c r="CP1597">
        <v>4214</v>
      </c>
      <c r="CQ1597" t="s">
        <v>8275</v>
      </c>
      <c r="CR1597">
        <v>2994.81</v>
      </c>
      <c r="CS1597">
        <v>558.46</v>
      </c>
      <c r="CT1597">
        <v>7.12</v>
      </c>
      <c r="CU1597">
        <v>118</v>
      </c>
      <c r="CV1597">
        <v>25.9</v>
      </c>
      <c r="CW1597">
        <v>0.1</v>
      </c>
      <c r="CX1597" t="s">
        <v>8276</v>
      </c>
      <c r="CY1597">
        <v>18.100000000000001</v>
      </c>
      <c r="CZ1597">
        <v>0</v>
      </c>
      <c r="DA1597">
        <v>16.16</v>
      </c>
      <c r="DB1597">
        <v>1.27</v>
      </c>
      <c r="DC1597">
        <v>1.0900000000000001</v>
      </c>
      <c r="DD1597">
        <v>90.96</v>
      </c>
      <c r="DE1597" t="s">
        <v>3761</v>
      </c>
      <c r="DF1597">
        <v>34.14</v>
      </c>
      <c r="DG1597">
        <v>15.31</v>
      </c>
      <c r="DH1597">
        <v>15.2</v>
      </c>
      <c r="DI1597">
        <v>2.2599999999999998</v>
      </c>
      <c r="DJ1597">
        <v>887</v>
      </c>
      <c r="DK1597">
        <v>300223</v>
      </c>
      <c r="DL1597" t="s">
        <v>120</v>
      </c>
      <c r="DM1597" t="s">
        <v>120</v>
      </c>
      <c r="DN1597" t="s">
        <v>120</v>
      </c>
    </row>
    <row r="1598" spans="1:118">
      <c r="A1598" t="str">
        <f>"300224"</f>
        <v>300224</v>
      </c>
      <c r="B1598" t="s">
        <v>8277</v>
      </c>
      <c r="C1598">
        <v>-5.49</v>
      </c>
      <c r="D1598">
        <v>-0.23</v>
      </c>
      <c r="E1598">
        <v>-0.68</v>
      </c>
      <c r="F1598">
        <v>1104</v>
      </c>
      <c r="G1598" t="s">
        <v>8278</v>
      </c>
      <c r="H1598">
        <v>29305.43</v>
      </c>
      <c r="I1598">
        <v>57.07</v>
      </c>
      <c r="J1598" t="s">
        <v>120</v>
      </c>
      <c r="K1598" t="s">
        <v>6976</v>
      </c>
      <c r="L1598">
        <v>2.79</v>
      </c>
      <c r="M1598">
        <v>12.57</v>
      </c>
      <c r="N1598">
        <v>1.1599999999999999</v>
      </c>
      <c r="O1598">
        <v>0.6</v>
      </c>
      <c r="P1598">
        <v>13.38</v>
      </c>
      <c r="Q1598">
        <v>-5.86</v>
      </c>
      <c r="R1598">
        <v>12.52</v>
      </c>
      <c r="S1598">
        <v>13.21</v>
      </c>
      <c r="T1598">
        <v>226960</v>
      </c>
      <c r="U1598">
        <v>12.58</v>
      </c>
      <c r="V1598">
        <v>13.3</v>
      </c>
      <c r="W1598">
        <v>45.15</v>
      </c>
      <c r="X1598" t="s">
        <v>229</v>
      </c>
      <c r="Y1598" t="s">
        <v>638</v>
      </c>
      <c r="Z1598">
        <v>6.47</v>
      </c>
      <c r="AA1598">
        <v>12.91</v>
      </c>
      <c r="AB1598">
        <v>124118</v>
      </c>
      <c r="AC1598">
        <v>102842</v>
      </c>
      <c r="AD1598">
        <v>1.21</v>
      </c>
      <c r="AE1598">
        <v>268</v>
      </c>
      <c r="AF1598">
        <v>395</v>
      </c>
      <c r="AG1598" t="s">
        <v>120</v>
      </c>
      <c r="AH1598">
        <v>0.01</v>
      </c>
      <c r="AI1598" t="s">
        <v>120</v>
      </c>
      <c r="AJ1598">
        <v>8.1199999999999992</v>
      </c>
      <c r="AK1598" t="s">
        <v>8279</v>
      </c>
      <c r="AL1598">
        <v>-3.58</v>
      </c>
      <c r="AM1598">
        <v>3806</v>
      </c>
      <c r="AN1598">
        <v>60</v>
      </c>
      <c r="AO1598">
        <v>6.9999999999999999E-4</v>
      </c>
      <c r="AP1598">
        <v>-2</v>
      </c>
      <c r="AQ1598">
        <v>-0.52</v>
      </c>
      <c r="AR1598">
        <v>-4.7</v>
      </c>
      <c r="AS1598">
        <v>-12.53</v>
      </c>
      <c r="AT1598">
        <v>18.579999999999998</v>
      </c>
      <c r="AU1598">
        <v>2.11</v>
      </c>
      <c r="AV1598">
        <v>0</v>
      </c>
      <c r="AW1598">
        <v>5.62</v>
      </c>
      <c r="AX1598">
        <v>49.22</v>
      </c>
      <c r="AY1598">
        <v>55.34</v>
      </c>
      <c r="AZ1598">
        <v>82</v>
      </c>
      <c r="BA1598">
        <v>1</v>
      </c>
      <c r="BB1598" t="s">
        <v>134</v>
      </c>
      <c r="BF1598">
        <v>-2.92</v>
      </c>
      <c r="BG1598">
        <v>-4.84</v>
      </c>
      <c r="BH1598">
        <v>-6.05</v>
      </c>
      <c r="BI1598">
        <v>0.4</v>
      </c>
      <c r="BJ1598">
        <v>20210817</v>
      </c>
      <c r="BK1598">
        <v>20110531</v>
      </c>
      <c r="BL1598">
        <v>8.1999999999999993</v>
      </c>
      <c r="BM1598" t="s">
        <v>120</v>
      </c>
      <c r="BN1598" t="s">
        <v>120</v>
      </c>
      <c r="BO1598">
        <v>45.35</v>
      </c>
      <c r="BP1598">
        <v>12.57</v>
      </c>
      <c r="BQ1598">
        <v>25.93</v>
      </c>
      <c r="BR1598">
        <v>0.41</v>
      </c>
      <c r="BS1598">
        <v>41.92</v>
      </c>
      <c r="BT1598">
        <v>32.01</v>
      </c>
      <c r="BU1598">
        <v>5.62</v>
      </c>
      <c r="BV1598">
        <v>1.46</v>
      </c>
      <c r="BW1598">
        <v>17.690000000000001</v>
      </c>
      <c r="BX1598">
        <v>7.05</v>
      </c>
      <c r="BY1598">
        <v>10.62</v>
      </c>
      <c r="BZ1598">
        <v>6.03</v>
      </c>
      <c r="CA1598" t="s">
        <v>120</v>
      </c>
      <c r="CB1598">
        <v>12.19</v>
      </c>
      <c r="CC1598">
        <v>14.63</v>
      </c>
      <c r="CD1598">
        <v>11.58</v>
      </c>
      <c r="CE1598">
        <v>1.26</v>
      </c>
      <c r="CF1598">
        <v>7.0000000000000007E-2</v>
      </c>
      <c r="CG1598">
        <v>1.24</v>
      </c>
      <c r="CH1598">
        <v>1.1599999999999999</v>
      </c>
      <c r="CI1598">
        <v>1.1399999999999999</v>
      </c>
      <c r="CJ1598">
        <v>-0.73</v>
      </c>
      <c r="CK1598">
        <v>1.1100000000000001</v>
      </c>
      <c r="CL1598">
        <v>4.45</v>
      </c>
      <c r="CM1598">
        <v>2.2200000000000002</v>
      </c>
      <c r="CN1598">
        <v>3.1</v>
      </c>
      <c r="CO1598">
        <v>40141</v>
      </c>
      <c r="CP1598">
        <v>10058</v>
      </c>
      <c r="CQ1598" t="s">
        <v>8280</v>
      </c>
      <c r="CR1598">
        <v>127.88</v>
      </c>
      <c r="CS1598">
        <v>77.33</v>
      </c>
      <c r="CT1598">
        <v>3.98</v>
      </c>
      <c r="CU1598">
        <v>46.53</v>
      </c>
      <c r="CV1598">
        <v>7.05</v>
      </c>
      <c r="CW1598">
        <v>1.5</v>
      </c>
      <c r="CX1598" t="s">
        <v>300</v>
      </c>
      <c r="CY1598">
        <v>3.16</v>
      </c>
      <c r="CZ1598">
        <v>0</v>
      </c>
      <c r="DA1598">
        <v>1.49</v>
      </c>
      <c r="DB1598">
        <v>0.54</v>
      </c>
      <c r="DC1598">
        <v>0.27</v>
      </c>
      <c r="DD1598">
        <v>57.17</v>
      </c>
      <c r="DE1598" t="s">
        <v>1194</v>
      </c>
      <c r="DF1598">
        <v>20.84</v>
      </c>
      <c r="DG1598">
        <v>8.6199999999999992</v>
      </c>
      <c r="DH1598">
        <v>7.81</v>
      </c>
      <c r="DI1598">
        <v>0.91</v>
      </c>
      <c r="DJ1598">
        <v>1747</v>
      </c>
      <c r="DK1598">
        <v>300224</v>
      </c>
      <c r="DL1598" t="s">
        <v>120</v>
      </c>
      <c r="DM1598" t="s">
        <v>120</v>
      </c>
      <c r="DN1598" t="s">
        <v>120</v>
      </c>
    </row>
    <row r="1599" spans="1:118">
      <c r="A1599" t="str">
        <f>"300225"</f>
        <v>300225</v>
      </c>
      <c r="B1599" t="s">
        <v>8281</v>
      </c>
      <c r="C1599">
        <v>-1.08</v>
      </c>
      <c r="D1599">
        <v>-0.06</v>
      </c>
      <c r="E1599">
        <v>-0.94</v>
      </c>
      <c r="F1599">
        <v>629</v>
      </c>
      <c r="G1599" t="s">
        <v>1045</v>
      </c>
      <c r="H1599">
        <v>20511.990000000002</v>
      </c>
      <c r="I1599">
        <v>17.54</v>
      </c>
      <c r="J1599" t="s">
        <v>120</v>
      </c>
      <c r="K1599" t="s">
        <v>8282</v>
      </c>
      <c r="L1599">
        <v>2.94</v>
      </c>
      <c r="M1599">
        <v>14.72</v>
      </c>
      <c r="N1599">
        <v>0.99</v>
      </c>
      <c r="O1599">
        <v>2.82</v>
      </c>
      <c r="P1599">
        <v>15.3</v>
      </c>
      <c r="Q1599">
        <v>-2.69</v>
      </c>
      <c r="R1599">
        <v>14.48</v>
      </c>
      <c r="S1599">
        <v>14.74</v>
      </c>
      <c r="T1599">
        <v>139024</v>
      </c>
      <c r="U1599">
        <v>14.72</v>
      </c>
      <c r="V1599">
        <v>14.88</v>
      </c>
      <c r="W1599" t="s">
        <v>120</v>
      </c>
      <c r="X1599" t="s">
        <v>1145</v>
      </c>
      <c r="Y1599" t="s">
        <v>1510</v>
      </c>
      <c r="Z1599">
        <v>5.51</v>
      </c>
      <c r="AA1599">
        <v>14.75</v>
      </c>
      <c r="AB1599">
        <v>67859</v>
      </c>
      <c r="AC1599">
        <v>71165</v>
      </c>
      <c r="AD1599">
        <v>0.95</v>
      </c>
      <c r="AE1599">
        <v>29</v>
      </c>
      <c r="AF1599">
        <v>331</v>
      </c>
      <c r="AG1599" t="s">
        <v>120</v>
      </c>
      <c r="AH1599">
        <v>0</v>
      </c>
      <c r="AI1599" t="s">
        <v>120</v>
      </c>
      <c r="AJ1599">
        <v>4.7300000000000004</v>
      </c>
      <c r="AK1599" t="s">
        <v>8283</v>
      </c>
      <c r="AL1599">
        <v>0.84</v>
      </c>
      <c r="AM1599">
        <v>2101</v>
      </c>
      <c r="AN1599">
        <v>66</v>
      </c>
      <c r="AO1599">
        <v>1.4E-3</v>
      </c>
      <c r="AP1599">
        <v>-2</v>
      </c>
      <c r="AQ1599">
        <v>-1.98</v>
      </c>
      <c r="AR1599">
        <v>-1.02</v>
      </c>
      <c r="AS1599">
        <v>-1.27</v>
      </c>
      <c r="AT1599">
        <v>-10.25</v>
      </c>
      <c r="AU1599">
        <v>-9.86</v>
      </c>
      <c r="AV1599">
        <v>0</v>
      </c>
      <c r="AW1599">
        <v>3.48</v>
      </c>
      <c r="AX1599">
        <v>81.680000000000007</v>
      </c>
      <c r="AY1599">
        <v>125.16</v>
      </c>
      <c r="AZ1599">
        <v>79.739999999999995</v>
      </c>
      <c r="BA1599">
        <v>0.95</v>
      </c>
      <c r="BB1599" t="s">
        <v>143</v>
      </c>
      <c r="BF1599">
        <v>-0.85</v>
      </c>
      <c r="BG1599">
        <v>-0.14000000000000001</v>
      </c>
      <c r="BH1599">
        <v>-3.79</v>
      </c>
      <c r="BI1599">
        <v>1.66</v>
      </c>
      <c r="BJ1599">
        <v>20210826</v>
      </c>
      <c r="BK1599">
        <v>20110531</v>
      </c>
      <c r="BL1599">
        <v>4.8899999999999997</v>
      </c>
      <c r="BM1599" t="s">
        <v>120</v>
      </c>
      <c r="BN1599" t="s">
        <v>120</v>
      </c>
      <c r="BO1599">
        <v>14.66</v>
      </c>
      <c r="BP1599">
        <v>14.71</v>
      </c>
      <c r="BQ1599">
        <v>9.93</v>
      </c>
      <c r="BR1599">
        <v>0.21</v>
      </c>
      <c r="BS1599">
        <v>30.83</v>
      </c>
      <c r="BT1599">
        <v>11.05</v>
      </c>
      <c r="BU1599">
        <v>2.31</v>
      </c>
      <c r="BV1599">
        <v>0.26</v>
      </c>
      <c r="BW1599">
        <v>4.3899999999999997</v>
      </c>
      <c r="BX1599">
        <v>1.27</v>
      </c>
      <c r="BY1599">
        <v>1.1499999999999999</v>
      </c>
      <c r="BZ1599">
        <v>3.27</v>
      </c>
      <c r="CA1599" t="s">
        <v>120</v>
      </c>
      <c r="CB1599">
        <v>0.88</v>
      </c>
      <c r="CC1599">
        <v>4.8</v>
      </c>
      <c r="CD1599">
        <v>3.97</v>
      </c>
      <c r="CE1599">
        <v>-0.26</v>
      </c>
      <c r="CF1599">
        <v>0</v>
      </c>
      <c r="CG1599">
        <v>-0.22</v>
      </c>
      <c r="CH1599">
        <v>-0.21</v>
      </c>
      <c r="CI1599">
        <v>-0.18</v>
      </c>
      <c r="CJ1599">
        <v>-0.16</v>
      </c>
      <c r="CK1599">
        <v>-0.25</v>
      </c>
      <c r="CL1599">
        <v>3.82</v>
      </c>
      <c r="CM1599">
        <v>-1.71</v>
      </c>
      <c r="CN1599">
        <v>-1.52</v>
      </c>
      <c r="CO1599">
        <v>21318</v>
      </c>
      <c r="CP1599">
        <v>18745</v>
      </c>
      <c r="CQ1599" t="s">
        <v>8284</v>
      </c>
      <c r="CR1599">
        <v>-215.71</v>
      </c>
      <c r="CS1599">
        <v>42.39</v>
      </c>
      <c r="CT1599">
        <v>7.25</v>
      </c>
      <c r="CU1599">
        <v>-42.09</v>
      </c>
      <c r="CV1599">
        <v>15.02</v>
      </c>
      <c r="CW1599">
        <v>0.13</v>
      </c>
      <c r="CX1599" t="s">
        <v>7894</v>
      </c>
      <c r="CY1599">
        <v>2.0299999999999998</v>
      </c>
      <c r="CZ1599">
        <v>0</v>
      </c>
      <c r="DA1599">
        <v>0.18</v>
      </c>
      <c r="DB1599">
        <v>0.78</v>
      </c>
      <c r="DC1599">
        <v>-0.35</v>
      </c>
      <c r="DD1599">
        <v>67.760000000000005</v>
      </c>
      <c r="DE1599" t="s">
        <v>2045</v>
      </c>
      <c r="DF1599">
        <v>17.2</v>
      </c>
      <c r="DG1599">
        <v>-5.48</v>
      </c>
      <c r="DH1599">
        <v>-3.71</v>
      </c>
      <c r="DI1599">
        <v>0.16</v>
      </c>
      <c r="DJ1599">
        <v>594</v>
      </c>
      <c r="DK1599">
        <v>300225</v>
      </c>
      <c r="DL1599" t="s">
        <v>120</v>
      </c>
      <c r="DM1599" t="s">
        <v>120</v>
      </c>
      <c r="DN1599" t="s">
        <v>120</v>
      </c>
    </row>
    <row r="1600" spans="1:118">
      <c r="A1600" t="str">
        <f>"300226"</f>
        <v>300226</v>
      </c>
      <c r="B1600" t="s">
        <v>8285</v>
      </c>
      <c r="C1600">
        <v>-1.21</v>
      </c>
      <c r="D1600">
        <v>0.09</v>
      </c>
      <c r="E1600">
        <v>-0.39</v>
      </c>
      <c r="F1600">
        <v>220</v>
      </c>
      <c r="G1600" t="s">
        <v>8286</v>
      </c>
      <c r="H1600">
        <v>2642.24</v>
      </c>
      <c r="I1600">
        <v>9.1300000000000008</v>
      </c>
      <c r="J1600" t="s">
        <v>120</v>
      </c>
      <c r="K1600" t="s">
        <v>8287</v>
      </c>
      <c r="L1600">
        <v>0.27</v>
      </c>
      <c r="M1600">
        <v>53.25</v>
      </c>
      <c r="N1600">
        <v>0.49</v>
      </c>
      <c r="O1600">
        <v>0.33</v>
      </c>
      <c r="P1600">
        <v>54.08</v>
      </c>
      <c r="Q1600">
        <v>-1.3</v>
      </c>
      <c r="R1600">
        <v>53.2</v>
      </c>
      <c r="S1600">
        <v>53.69</v>
      </c>
      <c r="T1600">
        <v>4925</v>
      </c>
      <c r="U1600">
        <v>53.26</v>
      </c>
      <c r="V1600">
        <v>53.9</v>
      </c>
      <c r="W1600">
        <v>44.55</v>
      </c>
      <c r="X1600" t="s">
        <v>1531</v>
      </c>
      <c r="Y1600" t="s">
        <v>1510</v>
      </c>
      <c r="Z1600">
        <v>1.63</v>
      </c>
      <c r="AA1600">
        <v>53.65</v>
      </c>
      <c r="AB1600">
        <v>3253</v>
      </c>
      <c r="AC1600">
        <v>1672</v>
      </c>
      <c r="AD1600">
        <v>1.95</v>
      </c>
      <c r="AE1600">
        <v>21</v>
      </c>
      <c r="AF1600">
        <v>1</v>
      </c>
      <c r="AG1600" t="s">
        <v>120</v>
      </c>
      <c r="AH1600">
        <v>0</v>
      </c>
      <c r="AI1600" t="s">
        <v>120</v>
      </c>
      <c r="AJ1600">
        <v>1.84</v>
      </c>
      <c r="AK1600" t="s">
        <v>8288</v>
      </c>
      <c r="AL1600">
        <v>0.71</v>
      </c>
      <c r="AM1600">
        <v>880</v>
      </c>
      <c r="AN1600">
        <v>6</v>
      </c>
      <c r="AO1600">
        <v>2.9999999999999997E-4</v>
      </c>
      <c r="AP1600">
        <v>-4</v>
      </c>
      <c r="AQ1600">
        <v>-2.02</v>
      </c>
      <c r="AR1600">
        <v>-4.25</v>
      </c>
      <c r="AS1600">
        <v>-8.35</v>
      </c>
      <c r="AT1600">
        <v>-8.74</v>
      </c>
      <c r="AU1600">
        <v>-18.66</v>
      </c>
      <c r="AV1600">
        <v>0</v>
      </c>
      <c r="AW1600">
        <v>0.36</v>
      </c>
      <c r="AX1600">
        <v>71.09</v>
      </c>
      <c r="AY1600">
        <v>43.93</v>
      </c>
      <c r="AZ1600">
        <v>47.5</v>
      </c>
      <c r="BA1600">
        <v>0.51</v>
      </c>
      <c r="BB1600" t="s">
        <v>240</v>
      </c>
      <c r="BF1600">
        <v>-0.46</v>
      </c>
      <c r="BG1600">
        <v>-0.82</v>
      </c>
      <c r="BH1600">
        <v>-1.53</v>
      </c>
      <c r="BI1600">
        <v>0.09</v>
      </c>
      <c r="BJ1600">
        <v>20210731</v>
      </c>
      <c r="BK1600">
        <v>20110608</v>
      </c>
      <c r="BL1600">
        <v>1.91</v>
      </c>
      <c r="BM1600" t="s">
        <v>120</v>
      </c>
      <c r="BN1600" t="s">
        <v>120</v>
      </c>
      <c r="BO1600">
        <v>153.82</v>
      </c>
      <c r="BP1600">
        <v>53.25</v>
      </c>
      <c r="BQ1600">
        <v>14.63</v>
      </c>
      <c r="BR1600">
        <v>21.19</v>
      </c>
      <c r="BS1600">
        <v>76.709999999999994</v>
      </c>
      <c r="BT1600">
        <v>149.04</v>
      </c>
      <c r="BU1600">
        <v>1.75</v>
      </c>
      <c r="BV1600">
        <v>0.23</v>
      </c>
      <c r="BW1600">
        <v>117.56</v>
      </c>
      <c r="BX1600">
        <v>8.39</v>
      </c>
      <c r="BY1600">
        <v>20.329999999999998</v>
      </c>
      <c r="BZ1600">
        <v>52.66</v>
      </c>
      <c r="CA1600" t="s">
        <v>120</v>
      </c>
      <c r="CB1600">
        <v>7.84</v>
      </c>
      <c r="CC1600">
        <v>283.97000000000003</v>
      </c>
      <c r="CD1600">
        <v>277.87</v>
      </c>
      <c r="CE1600">
        <v>2.5499999999999998</v>
      </c>
      <c r="CF1600">
        <v>0.04</v>
      </c>
      <c r="CG1600">
        <v>2.5299999999999998</v>
      </c>
      <c r="CH1600">
        <v>1.96</v>
      </c>
      <c r="CI1600">
        <v>1.1399999999999999</v>
      </c>
      <c r="CJ1600">
        <v>-0.65</v>
      </c>
      <c r="CK1600">
        <v>1.06</v>
      </c>
      <c r="CL1600">
        <v>4.4400000000000004</v>
      </c>
      <c r="CM1600">
        <v>0.16</v>
      </c>
      <c r="CN1600">
        <v>-0.01</v>
      </c>
      <c r="CO1600">
        <v>10413</v>
      </c>
      <c r="CP1600">
        <v>13034</v>
      </c>
      <c r="CQ1600" t="s">
        <v>8289</v>
      </c>
      <c r="CR1600">
        <v>18.21</v>
      </c>
      <c r="CS1600">
        <v>18.28</v>
      </c>
      <c r="CT1600">
        <v>6.95</v>
      </c>
      <c r="CU1600">
        <v>641.58000000000004</v>
      </c>
      <c r="CV1600">
        <v>0.36</v>
      </c>
      <c r="CW1600">
        <v>0.24</v>
      </c>
      <c r="CX1600" t="s">
        <v>7032</v>
      </c>
      <c r="CY1600">
        <v>7.66</v>
      </c>
      <c r="CZ1600">
        <v>0</v>
      </c>
      <c r="DA1600">
        <v>4.1100000000000003</v>
      </c>
      <c r="DB1600">
        <v>2.33</v>
      </c>
      <c r="DC1600">
        <v>0.08</v>
      </c>
      <c r="DD1600">
        <v>9.51</v>
      </c>
      <c r="DE1600" t="s">
        <v>8290</v>
      </c>
      <c r="DF1600">
        <v>2.15</v>
      </c>
      <c r="DG1600">
        <v>0.9</v>
      </c>
      <c r="DH1600">
        <v>0.4</v>
      </c>
      <c r="DI1600">
        <v>0.53</v>
      </c>
      <c r="DJ1600">
        <v>3038</v>
      </c>
      <c r="DK1600">
        <v>300226</v>
      </c>
      <c r="DL1600" t="s">
        <v>120</v>
      </c>
      <c r="DM1600" t="s">
        <v>120</v>
      </c>
      <c r="DN1600" t="s">
        <v>120</v>
      </c>
    </row>
    <row r="1601" spans="1:118">
      <c r="A1601" t="str">
        <f>"300227"</f>
        <v>300227</v>
      </c>
      <c r="B1601" t="s">
        <v>8291</v>
      </c>
      <c r="C1601">
        <v>-4</v>
      </c>
      <c r="D1601">
        <v>0.19</v>
      </c>
      <c r="E1601">
        <v>0.09</v>
      </c>
      <c r="F1601">
        <v>3286</v>
      </c>
      <c r="G1601" t="s">
        <v>8292</v>
      </c>
      <c r="H1601">
        <v>15986.67</v>
      </c>
      <c r="I1601">
        <v>37.049999999999997</v>
      </c>
      <c r="J1601" t="s">
        <v>120</v>
      </c>
      <c r="K1601" t="s">
        <v>5291</v>
      </c>
      <c r="L1601">
        <v>3.9</v>
      </c>
      <c r="M1601">
        <v>10.33</v>
      </c>
      <c r="N1601">
        <v>0.89</v>
      </c>
      <c r="O1601">
        <v>0.09</v>
      </c>
      <c r="P1601">
        <v>10.77</v>
      </c>
      <c r="Q1601">
        <v>-4.37</v>
      </c>
      <c r="R1601">
        <v>10.29</v>
      </c>
      <c r="S1601">
        <v>10.77</v>
      </c>
      <c r="T1601">
        <v>152386</v>
      </c>
      <c r="U1601">
        <v>10.34</v>
      </c>
      <c r="V1601">
        <v>10.76</v>
      </c>
      <c r="W1601">
        <v>54.14</v>
      </c>
      <c r="X1601" t="s">
        <v>229</v>
      </c>
      <c r="Y1601" t="s">
        <v>123</v>
      </c>
      <c r="Z1601">
        <v>4.46</v>
      </c>
      <c r="AA1601">
        <v>10.49</v>
      </c>
      <c r="AB1601">
        <v>99830</v>
      </c>
      <c r="AC1601">
        <v>52556</v>
      </c>
      <c r="AD1601">
        <v>1.9</v>
      </c>
      <c r="AE1601">
        <v>348</v>
      </c>
      <c r="AF1601">
        <v>218</v>
      </c>
      <c r="AG1601" t="s">
        <v>120</v>
      </c>
      <c r="AH1601">
        <v>0.01</v>
      </c>
      <c r="AI1601" t="s">
        <v>120</v>
      </c>
      <c r="AJ1601">
        <v>3.91</v>
      </c>
      <c r="AK1601" t="s">
        <v>8293</v>
      </c>
      <c r="AL1601">
        <v>-2.08</v>
      </c>
      <c r="AM1601">
        <v>2839</v>
      </c>
      <c r="AN1601">
        <v>54</v>
      </c>
      <c r="AO1601">
        <v>1.4E-3</v>
      </c>
      <c r="AP1601">
        <v>-1</v>
      </c>
      <c r="AQ1601">
        <v>0.56000000000000005</v>
      </c>
      <c r="AR1601">
        <v>-2.17</v>
      </c>
      <c r="AS1601">
        <v>1.68</v>
      </c>
      <c r="AT1601">
        <v>4.45</v>
      </c>
      <c r="AU1601">
        <v>-3.91</v>
      </c>
      <c r="AV1601">
        <v>0</v>
      </c>
      <c r="AW1601">
        <v>4.1900000000000004</v>
      </c>
      <c r="AX1601">
        <v>72.91</v>
      </c>
      <c r="AY1601">
        <v>39.159999999999997</v>
      </c>
      <c r="AZ1601">
        <v>41.36</v>
      </c>
      <c r="BA1601">
        <v>0.6</v>
      </c>
      <c r="BB1601" t="s">
        <v>143</v>
      </c>
      <c r="BF1601">
        <v>-2.5</v>
      </c>
      <c r="BG1601">
        <v>-4.09</v>
      </c>
      <c r="BH1601">
        <v>-4.09</v>
      </c>
      <c r="BI1601">
        <v>0.39</v>
      </c>
      <c r="BJ1601">
        <v>20210913</v>
      </c>
      <c r="BK1601">
        <v>20110608</v>
      </c>
      <c r="BL1601">
        <v>4.99</v>
      </c>
      <c r="BM1601" t="s">
        <v>120</v>
      </c>
      <c r="BN1601" t="s">
        <v>120</v>
      </c>
      <c r="BO1601">
        <v>20.12</v>
      </c>
      <c r="BP1601">
        <v>10.33</v>
      </c>
      <c r="BQ1601">
        <v>13.64</v>
      </c>
      <c r="BR1601">
        <v>0.24</v>
      </c>
      <c r="BS1601">
        <v>31</v>
      </c>
      <c r="BT1601">
        <v>9.91</v>
      </c>
      <c r="BU1601">
        <v>5.51</v>
      </c>
      <c r="BV1601">
        <v>0.49</v>
      </c>
      <c r="BW1601">
        <v>4.6100000000000003</v>
      </c>
      <c r="BX1601">
        <v>1.6</v>
      </c>
      <c r="BY1601">
        <v>2.44</v>
      </c>
      <c r="BZ1601">
        <v>3.82</v>
      </c>
      <c r="CA1601">
        <v>0.05</v>
      </c>
      <c r="CB1601">
        <v>4.32</v>
      </c>
      <c r="CC1601">
        <v>3.88</v>
      </c>
      <c r="CD1601">
        <v>2.2599999999999998</v>
      </c>
      <c r="CE1601">
        <v>0.56000000000000005</v>
      </c>
      <c r="CF1601">
        <v>0.03</v>
      </c>
      <c r="CG1601">
        <v>0.56999999999999995</v>
      </c>
      <c r="CH1601">
        <v>0.49</v>
      </c>
      <c r="CI1601">
        <v>0.48</v>
      </c>
      <c r="CJ1601">
        <v>-0.43</v>
      </c>
      <c r="CK1601">
        <v>0.37</v>
      </c>
      <c r="CL1601">
        <v>4.78</v>
      </c>
      <c r="CM1601">
        <v>0.23</v>
      </c>
      <c r="CN1601">
        <v>-0.62</v>
      </c>
      <c r="CO1601">
        <v>42905</v>
      </c>
      <c r="CP1601">
        <v>8477</v>
      </c>
      <c r="CQ1601" t="s">
        <v>8294</v>
      </c>
      <c r="CR1601">
        <v>18.079999999999998</v>
      </c>
      <c r="CS1601">
        <v>4.01</v>
      </c>
      <c r="CT1601">
        <v>3.76</v>
      </c>
      <c r="CU1601">
        <v>227.25</v>
      </c>
      <c r="CV1601">
        <v>13.29</v>
      </c>
      <c r="CW1601">
        <v>0.37</v>
      </c>
      <c r="CX1601" t="s">
        <v>411</v>
      </c>
      <c r="CY1601">
        <v>2.74</v>
      </c>
      <c r="CZ1601">
        <v>2.74</v>
      </c>
      <c r="DA1601">
        <v>0.87</v>
      </c>
      <c r="DB1601">
        <v>0.96</v>
      </c>
      <c r="DC1601">
        <v>0.05</v>
      </c>
      <c r="DD1601">
        <v>67.8</v>
      </c>
      <c r="DE1601" t="s">
        <v>4293</v>
      </c>
      <c r="DF1601">
        <v>41.75</v>
      </c>
      <c r="DG1601">
        <v>14.53</v>
      </c>
      <c r="DH1601">
        <v>12.28</v>
      </c>
      <c r="DI1601">
        <v>0.36</v>
      </c>
      <c r="DJ1601">
        <v>1500</v>
      </c>
      <c r="DK1601">
        <v>300227</v>
      </c>
      <c r="DL1601" t="s">
        <v>120</v>
      </c>
      <c r="DM1601" t="s">
        <v>120</v>
      </c>
      <c r="DN1601" t="s">
        <v>120</v>
      </c>
    </row>
    <row r="1602" spans="1:118">
      <c r="A1602" t="str">
        <f>"300228"</f>
        <v>300228</v>
      </c>
      <c r="B1602" t="s">
        <v>8295</v>
      </c>
      <c r="C1602">
        <v>-3.04</v>
      </c>
      <c r="D1602">
        <v>-0.1</v>
      </c>
      <c r="E1602">
        <v>0</v>
      </c>
      <c r="F1602">
        <v>4502</v>
      </c>
      <c r="G1602" t="s">
        <v>8296</v>
      </c>
      <c r="H1602">
        <v>29331.7</v>
      </c>
      <c r="I1602">
        <v>132.02000000000001</v>
      </c>
      <c r="J1602" t="s">
        <v>120</v>
      </c>
      <c r="K1602" t="s">
        <v>155</v>
      </c>
      <c r="L1602">
        <v>7.26</v>
      </c>
      <c r="M1602">
        <v>8.92</v>
      </c>
      <c r="N1602">
        <v>0.72</v>
      </c>
      <c r="O1602">
        <v>3.26</v>
      </c>
      <c r="P1602">
        <v>9.5</v>
      </c>
      <c r="Q1602">
        <v>-3.15</v>
      </c>
      <c r="R1602">
        <v>8.91</v>
      </c>
      <c r="S1602">
        <v>9.1999999999999993</v>
      </c>
      <c r="T1602">
        <v>318557</v>
      </c>
      <c r="U1602">
        <v>8.92</v>
      </c>
      <c r="V1602">
        <v>9.1999999999999993</v>
      </c>
      <c r="W1602">
        <v>80.540000000000006</v>
      </c>
      <c r="X1602" t="s">
        <v>2196</v>
      </c>
      <c r="Y1602" t="s">
        <v>319</v>
      </c>
      <c r="Z1602">
        <v>6.41</v>
      </c>
      <c r="AA1602">
        <v>9.2100000000000009</v>
      </c>
      <c r="AB1602">
        <v>174916</v>
      </c>
      <c r="AC1602">
        <v>143641</v>
      </c>
      <c r="AD1602">
        <v>1.22</v>
      </c>
      <c r="AE1602">
        <v>1359</v>
      </c>
      <c r="AF1602">
        <v>1230</v>
      </c>
      <c r="AG1602" t="s">
        <v>120</v>
      </c>
      <c r="AH1602">
        <v>0.03</v>
      </c>
      <c r="AI1602" t="s">
        <v>120</v>
      </c>
      <c r="AJ1602">
        <v>4.3899999999999997</v>
      </c>
      <c r="AK1602" t="s">
        <v>8297</v>
      </c>
      <c r="AL1602">
        <v>-1.1299999999999999</v>
      </c>
      <c r="AM1602">
        <v>3449</v>
      </c>
      <c r="AN1602">
        <v>92</v>
      </c>
      <c r="AO1602">
        <v>2.0999999999999999E-3</v>
      </c>
      <c r="AP1602">
        <v>-1</v>
      </c>
      <c r="AQ1602">
        <v>1.55</v>
      </c>
      <c r="AR1602">
        <v>-1.65</v>
      </c>
      <c r="AS1602">
        <v>-20.85</v>
      </c>
      <c r="AT1602">
        <v>29.84</v>
      </c>
      <c r="AU1602">
        <v>32.049999999999997</v>
      </c>
      <c r="AV1602">
        <v>1</v>
      </c>
      <c r="AW1602">
        <v>7.44</v>
      </c>
      <c r="AX1602">
        <v>74.400000000000006</v>
      </c>
      <c r="AY1602">
        <v>73.47</v>
      </c>
      <c r="AZ1602">
        <v>74.12</v>
      </c>
      <c r="BA1602">
        <v>0.62</v>
      </c>
      <c r="BB1602" t="s">
        <v>143</v>
      </c>
      <c r="BF1602">
        <v>0.08</v>
      </c>
      <c r="BG1602">
        <v>-3.04</v>
      </c>
      <c r="BH1602">
        <v>-6.11</v>
      </c>
      <c r="BI1602">
        <v>0.11</v>
      </c>
      <c r="BJ1602">
        <v>20210906</v>
      </c>
      <c r="BK1602">
        <v>20110608</v>
      </c>
      <c r="BL1602">
        <v>5.75</v>
      </c>
      <c r="BM1602" t="s">
        <v>120</v>
      </c>
      <c r="BN1602" t="s">
        <v>120</v>
      </c>
      <c r="BO1602">
        <v>37.9</v>
      </c>
      <c r="BP1602">
        <v>8.91</v>
      </c>
      <c r="BQ1602">
        <v>19.52</v>
      </c>
      <c r="BR1602">
        <v>-0.04</v>
      </c>
      <c r="BS1602">
        <v>48.62</v>
      </c>
      <c r="BT1602">
        <v>25.73</v>
      </c>
      <c r="BU1602">
        <v>8.5</v>
      </c>
      <c r="BV1602">
        <v>1.81</v>
      </c>
      <c r="BW1602">
        <v>16.96</v>
      </c>
      <c r="BX1602">
        <v>6.28</v>
      </c>
      <c r="BY1602">
        <v>7.26</v>
      </c>
      <c r="BZ1602">
        <v>4.8</v>
      </c>
      <c r="CA1602">
        <v>0.12</v>
      </c>
      <c r="CB1602">
        <v>12</v>
      </c>
      <c r="CC1602">
        <v>8.56</v>
      </c>
      <c r="CD1602">
        <v>6.86</v>
      </c>
      <c r="CE1602">
        <v>0.4</v>
      </c>
      <c r="CF1602">
        <v>0</v>
      </c>
      <c r="CG1602">
        <v>0.41</v>
      </c>
      <c r="CH1602">
        <v>0.33</v>
      </c>
      <c r="CI1602">
        <v>0.32</v>
      </c>
      <c r="CJ1602">
        <v>-0.28000000000000003</v>
      </c>
      <c r="CK1602">
        <v>0.26</v>
      </c>
      <c r="CL1602">
        <v>1.36</v>
      </c>
      <c r="CM1602">
        <v>2.2999999999999998</v>
      </c>
      <c r="CN1602">
        <v>1.1499999999999999</v>
      </c>
      <c r="CO1602">
        <v>65324</v>
      </c>
      <c r="CP1602">
        <v>6553</v>
      </c>
      <c r="CQ1602" t="s">
        <v>8298</v>
      </c>
      <c r="CR1602">
        <v>2.0499999999999998</v>
      </c>
      <c r="CS1602">
        <v>-1.1000000000000001</v>
      </c>
      <c r="CT1602">
        <v>2.63</v>
      </c>
      <c r="CU1602">
        <v>22.28</v>
      </c>
      <c r="CV1602">
        <v>6</v>
      </c>
      <c r="CW1602">
        <v>0.16</v>
      </c>
      <c r="CX1602" t="s">
        <v>1958</v>
      </c>
      <c r="CY1602">
        <v>3.39</v>
      </c>
      <c r="CZ1602">
        <v>0</v>
      </c>
      <c r="DA1602">
        <v>2.08</v>
      </c>
      <c r="DB1602">
        <v>0.24</v>
      </c>
      <c r="DC1602">
        <v>0.4</v>
      </c>
      <c r="DD1602">
        <v>51.49</v>
      </c>
      <c r="DE1602" t="s">
        <v>7583</v>
      </c>
      <c r="DF1602">
        <v>19.809999999999999</v>
      </c>
      <c r="DG1602">
        <v>4.62</v>
      </c>
      <c r="DH1602">
        <v>3.72</v>
      </c>
      <c r="DI1602">
        <v>0.33</v>
      </c>
      <c r="DJ1602">
        <v>1623</v>
      </c>
      <c r="DK1602">
        <v>300228</v>
      </c>
      <c r="DL1602">
        <v>20210824</v>
      </c>
      <c r="DM1602">
        <v>11.24</v>
      </c>
      <c r="DN1602">
        <v>-20.64</v>
      </c>
    </row>
    <row r="1603" spans="1:118">
      <c r="A1603" t="str">
        <f>"300229"</f>
        <v>300229</v>
      </c>
      <c r="B1603" t="s">
        <v>8299</v>
      </c>
      <c r="C1603">
        <v>-0.96</v>
      </c>
      <c r="D1603">
        <v>-0.09</v>
      </c>
      <c r="E1603">
        <v>0.67</v>
      </c>
      <c r="F1603">
        <v>1917</v>
      </c>
      <c r="G1603" t="s">
        <v>8300</v>
      </c>
      <c r="H1603">
        <v>23442.639999999999</v>
      </c>
      <c r="I1603">
        <v>60.95</v>
      </c>
      <c r="J1603" t="s">
        <v>120</v>
      </c>
      <c r="K1603" t="s">
        <v>8301</v>
      </c>
      <c r="L1603">
        <v>3.13</v>
      </c>
      <c r="M1603">
        <v>10.32</v>
      </c>
      <c r="N1603">
        <v>1.17</v>
      </c>
      <c r="O1603">
        <v>4.6100000000000003</v>
      </c>
      <c r="P1603">
        <v>10.9</v>
      </c>
      <c r="Q1603">
        <v>-1.1499999999999999</v>
      </c>
      <c r="R1603">
        <v>10.3</v>
      </c>
      <c r="S1603">
        <v>10.49</v>
      </c>
      <c r="T1603">
        <v>221655</v>
      </c>
      <c r="U1603">
        <v>10.32</v>
      </c>
      <c r="V1603">
        <v>10.42</v>
      </c>
      <c r="W1603">
        <v>67.3</v>
      </c>
      <c r="X1603" t="s">
        <v>141</v>
      </c>
      <c r="Y1603" t="s">
        <v>158</v>
      </c>
      <c r="Z1603">
        <v>5.76</v>
      </c>
      <c r="AA1603">
        <v>10.58</v>
      </c>
      <c r="AB1603">
        <v>110625</v>
      </c>
      <c r="AC1603">
        <v>111030</v>
      </c>
      <c r="AD1603">
        <v>1</v>
      </c>
      <c r="AE1603">
        <v>590</v>
      </c>
      <c r="AF1603">
        <v>2</v>
      </c>
      <c r="AG1603" t="s">
        <v>120</v>
      </c>
      <c r="AH1603">
        <v>0.01</v>
      </c>
      <c r="AI1603" t="s">
        <v>120</v>
      </c>
      <c r="AJ1603">
        <v>7.09</v>
      </c>
      <c r="AK1603" t="s">
        <v>8302</v>
      </c>
      <c r="AL1603">
        <v>0.95</v>
      </c>
      <c r="AM1603">
        <v>3397</v>
      </c>
      <c r="AN1603">
        <v>65</v>
      </c>
      <c r="AO1603">
        <v>8.9999999999999998E-4</v>
      </c>
      <c r="AP1603">
        <v>-3</v>
      </c>
      <c r="AQ1603">
        <v>-0.1</v>
      </c>
      <c r="AR1603">
        <v>-3.64</v>
      </c>
      <c r="AS1603">
        <v>13.15</v>
      </c>
      <c r="AT1603">
        <v>17.809999999999999</v>
      </c>
      <c r="AU1603">
        <v>24.19</v>
      </c>
      <c r="AV1603">
        <v>0</v>
      </c>
      <c r="AW1603">
        <v>5.67</v>
      </c>
      <c r="AX1603">
        <v>54.68</v>
      </c>
      <c r="AY1603">
        <v>22.45</v>
      </c>
      <c r="AZ1603">
        <v>23.34</v>
      </c>
      <c r="BA1603">
        <v>1.0900000000000001</v>
      </c>
      <c r="BB1603" t="s">
        <v>143</v>
      </c>
      <c r="BF1603">
        <v>1.5</v>
      </c>
      <c r="BG1603">
        <v>-1.62</v>
      </c>
      <c r="BH1603">
        <v>-5.32</v>
      </c>
      <c r="BI1603">
        <v>0.19</v>
      </c>
      <c r="BJ1603">
        <v>20210830</v>
      </c>
      <c r="BK1603">
        <v>20110615</v>
      </c>
      <c r="BL1603">
        <v>7.15</v>
      </c>
      <c r="BM1603" t="s">
        <v>120</v>
      </c>
      <c r="BN1603" t="s">
        <v>120</v>
      </c>
      <c r="BO1603">
        <v>35.93</v>
      </c>
      <c r="BP1603">
        <v>10.31</v>
      </c>
      <c r="BQ1603">
        <v>23.27</v>
      </c>
      <c r="BR1603">
        <v>0.12</v>
      </c>
      <c r="BS1603">
        <v>34.909999999999997</v>
      </c>
      <c r="BT1603">
        <v>18.71</v>
      </c>
      <c r="BU1603">
        <v>3.7</v>
      </c>
      <c r="BV1603">
        <v>2.35</v>
      </c>
      <c r="BW1603">
        <v>5.34</v>
      </c>
      <c r="BX1603">
        <v>6.16</v>
      </c>
      <c r="BY1603">
        <v>1.41</v>
      </c>
      <c r="BZ1603">
        <v>2.93</v>
      </c>
      <c r="CA1603" t="s">
        <v>120</v>
      </c>
      <c r="CB1603">
        <v>3.98</v>
      </c>
      <c r="CC1603">
        <v>3.92</v>
      </c>
      <c r="CD1603">
        <v>1.54</v>
      </c>
      <c r="CE1603">
        <v>0.65</v>
      </c>
      <c r="CF1603">
        <v>0.04</v>
      </c>
      <c r="CG1603">
        <v>0.66</v>
      </c>
      <c r="CH1603">
        <v>0.55000000000000004</v>
      </c>
      <c r="CI1603">
        <v>0.55000000000000004</v>
      </c>
      <c r="CJ1603">
        <v>-0.1</v>
      </c>
      <c r="CK1603">
        <v>0.46</v>
      </c>
      <c r="CL1603">
        <v>9.33</v>
      </c>
      <c r="CM1603">
        <v>-1</v>
      </c>
      <c r="CN1603">
        <v>3.12</v>
      </c>
      <c r="CO1603">
        <v>35922</v>
      </c>
      <c r="CP1603">
        <v>10880</v>
      </c>
      <c r="CQ1603" t="s">
        <v>7031</v>
      </c>
      <c r="CR1603">
        <v>30.03</v>
      </c>
      <c r="CS1603">
        <v>13.86</v>
      </c>
      <c r="CT1603">
        <v>3.38</v>
      </c>
      <c r="CU1603">
        <v>-73.78</v>
      </c>
      <c r="CV1603">
        <v>18.84</v>
      </c>
      <c r="CW1603">
        <v>0.48</v>
      </c>
      <c r="CX1603" t="s">
        <v>535</v>
      </c>
      <c r="CY1603">
        <v>3.05</v>
      </c>
      <c r="CZ1603">
        <v>3.05</v>
      </c>
      <c r="DA1603">
        <v>0.56000000000000005</v>
      </c>
      <c r="DB1603">
        <v>1.3</v>
      </c>
      <c r="DC1603">
        <v>-0.14000000000000001</v>
      </c>
      <c r="DD1603">
        <v>64.75</v>
      </c>
      <c r="DE1603" t="s">
        <v>8303</v>
      </c>
      <c r="DF1603">
        <v>60.64</v>
      </c>
      <c r="DG1603">
        <v>16.72</v>
      </c>
      <c r="DH1603">
        <v>14</v>
      </c>
      <c r="DI1603">
        <v>0.46</v>
      </c>
      <c r="DJ1603">
        <v>1858</v>
      </c>
      <c r="DK1603">
        <v>300229</v>
      </c>
      <c r="DL1603">
        <v>20210720</v>
      </c>
      <c r="DM1603">
        <v>10.7</v>
      </c>
      <c r="DN1603">
        <v>-3.55</v>
      </c>
    </row>
    <row r="1604" spans="1:118">
      <c r="A1604" t="str">
        <f>"300230"</f>
        <v>300230</v>
      </c>
      <c r="B1604" t="s">
        <v>8304</v>
      </c>
      <c r="C1604">
        <v>-1.2</v>
      </c>
      <c r="D1604">
        <v>-0.19</v>
      </c>
      <c r="E1604">
        <v>1.2</v>
      </c>
      <c r="F1604">
        <v>1673</v>
      </c>
      <c r="G1604" t="s">
        <v>8305</v>
      </c>
      <c r="H1604">
        <v>10206.200000000001</v>
      </c>
      <c r="I1604">
        <v>52.42</v>
      </c>
      <c r="J1604" t="s">
        <v>120</v>
      </c>
      <c r="K1604" t="s">
        <v>8306</v>
      </c>
      <c r="L1604">
        <v>3.68</v>
      </c>
      <c r="M1604">
        <v>4.92</v>
      </c>
      <c r="N1604">
        <v>1.26</v>
      </c>
      <c r="O1604">
        <v>3.01</v>
      </c>
      <c r="P1604">
        <v>5.13</v>
      </c>
      <c r="Q1604">
        <v>-1.41</v>
      </c>
      <c r="R1604">
        <v>4.91</v>
      </c>
      <c r="S1604">
        <v>5.04</v>
      </c>
      <c r="T1604">
        <v>202323</v>
      </c>
      <c r="U1604">
        <v>4.93</v>
      </c>
      <c r="V1604">
        <v>4.9800000000000004</v>
      </c>
      <c r="W1604">
        <v>21.15</v>
      </c>
      <c r="X1604" t="s">
        <v>2211</v>
      </c>
      <c r="Y1604" t="s">
        <v>1510</v>
      </c>
      <c r="Z1604">
        <v>4.42</v>
      </c>
      <c r="AA1604">
        <v>5.04</v>
      </c>
      <c r="AB1604">
        <v>101823</v>
      </c>
      <c r="AC1604">
        <v>100500</v>
      </c>
      <c r="AD1604">
        <v>1.01</v>
      </c>
      <c r="AE1604">
        <v>940</v>
      </c>
      <c r="AF1604">
        <v>1811</v>
      </c>
      <c r="AG1604" t="s">
        <v>120</v>
      </c>
      <c r="AH1604">
        <v>0.02</v>
      </c>
      <c r="AI1604" t="s">
        <v>120</v>
      </c>
      <c r="AJ1604">
        <v>5.5</v>
      </c>
      <c r="AK1604" t="s">
        <v>8307</v>
      </c>
      <c r="AL1604">
        <v>0.71</v>
      </c>
      <c r="AM1604">
        <v>2415</v>
      </c>
      <c r="AN1604">
        <v>84</v>
      </c>
      <c r="AO1604">
        <v>1.5E-3</v>
      </c>
      <c r="AP1604">
        <v>-1</v>
      </c>
      <c r="AQ1604">
        <v>1.43</v>
      </c>
      <c r="AR1604">
        <v>-2.38</v>
      </c>
      <c r="AS1604">
        <v>0.21</v>
      </c>
      <c r="AT1604">
        <v>5.13</v>
      </c>
      <c r="AU1604">
        <v>-2</v>
      </c>
      <c r="AV1604">
        <v>1</v>
      </c>
      <c r="AW1604">
        <v>4.2300000000000004</v>
      </c>
      <c r="AX1604">
        <v>58.64</v>
      </c>
      <c r="AY1604" t="s">
        <v>120</v>
      </c>
      <c r="AZ1604" t="s">
        <v>120</v>
      </c>
      <c r="BA1604">
        <v>0.87</v>
      </c>
      <c r="BB1604" t="s">
        <v>125</v>
      </c>
      <c r="BF1604">
        <v>1.3</v>
      </c>
      <c r="BG1604">
        <v>-2.38</v>
      </c>
      <c r="BH1604">
        <v>-4.09</v>
      </c>
      <c r="BI1604">
        <v>0.2</v>
      </c>
      <c r="BJ1604">
        <v>20210907</v>
      </c>
      <c r="BK1604">
        <v>20110615</v>
      </c>
      <c r="BL1604">
        <v>8.16</v>
      </c>
      <c r="BM1604" t="s">
        <v>120</v>
      </c>
      <c r="BN1604" t="s">
        <v>120</v>
      </c>
      <c r="BO1604">
        <v>42.99</v>
      </c>
      <c r="BP1604">
        <v>4.92</v>
      </c>
      <c r="BQ1604">
        <v>22.58</v>
      </c>
      <c r="BR1604">
        <v>1.44</v>
      </c>
      <c r="BS1604">
        <v>44.14</v>
      </c>
      <c r="BT1604">
        <v>31.93</v>
      </c>
      <c r="BU1604">
        <v>5.45</v>
      </c>
      <c r="BV1604">
        <v>1.01</v>
      </c>
      <c r="BW1604">
        <v>17.82</v>
      </c>
      <c r="BX1604">
        <v>8.56</v>
      </c>
      <c r="BY1604">
        <v>4.33</v>
      </c>
      <c r="BZ1604">
        <v>5.04</v>
      </c>
      <c r="CA1604" t="s">
        <v>120</v>
      </c>
      <c r="CB1604">
        <v>12.33</v>
      </c>
      <c r="CC1604">
        <v>17.670000000000002</v>
      </c>
      <c r="CD1604">
        <v>13.52</v>
      </c>
      <c r="CE1604">
        <v>1.34</v>
      </c>
      <c r="CF1604">
        <v>-0.02</v>
      </c>
      <c r="CG1604">
        <v>1.34</v>
      </c>
      <c r="CH1604">
        <v>1.08</v>
      </c>
      <c r="CI1604">
        <v>0.95</v>
      </c>
      <c r="CJ1604">
        <v>-0.06</v>
      </c>
      <c r="CK1604">
        <v>0.83</v>
      </c>
      <c r="CL1604">
        <v>1.46</v>
      </c>
      <c r="CM1604">
        <v>1.33</v>
      </c>
      <c r="CN1604">
        <v>0.35</v>
      </c>
      <c r="CO1604">
        <v>25046</v>
      </c>
      <c r="CP1604">
        <v>19110</v>
      </c>
      <c r="CQ1604" t="s">
        <v>7480</v>
      </c>
      <c r="CR1604">
        <v>8.44</v>
      </c>
      <c r="CS1604">
        <v>28.91</v>
      </c>
      <c r="CT1604">
        <v>1.78</v>
      </c>
      <c r="CU1604">
        <v>30.1</v>
      </c>
      <c r="CV1604">
        <v>2.27</v>
      </c>
      <c r="CW1604">
        <v>0</v>
      </c>
      <c r="CX1604" t="s">
        <v>8308</v>
      </c>
      <c r="CY1604">
        <v>2.77</v>
      </c>
      <c r="CZ1604">
        <v>0</v>
      </c>
      <c r="DA1604">
        <v>1.51</v>
      </c>
      <c r="DB1604">
        <v>0.18</v>
      </c>
      <c r="DC1604">
        <v>0.16</v>
      </c>
      <c r="DD1604">
        <v>52.52</v>
      </c>
      <c r="DE1604" t="s">
        <v>4391</v>
      </c>
      <c r="DF1604">
        <v>23.49</v>
      </c>
      <c r="DG1604">
        <v>7.58</v>
      </c>
      <c r="DH1604">
        <v>5.37</v>
      </c>
      <c r="DI1604">
        <v>0.62</v>
      </c>
      <c r="DJ1604">
        <v>5386</v>
      </c>
      <c r="DK1604">
        <v>300230</v>
      </c>
      <c r="DL1604" t="s">
        <v>120</v>
      </c>
      <c r="DM1604" t="s">
        <v>120</v>
      </c>
      <c r="DN1604" t="s">
        <v>120</v>
      </c>
    </row>
    <row r="1605" spans="1:118">
      <c r="A1605" t="str">
        <f>"300231"</f>
        <v>300231</v>
      </c>
      <c r="B1605" t="s">
        <v>8309</v>
      </c>
      <c r="C1605">
        <v>-2.94</v>
      </c>
      <c r="D1605">
        <v>0</v>
      </c>
      <c r="E1605">
        <v>0</v>
      </c>
      <c r="F1605">
        <v>1617</v>
      </c>
      <c r="G1605" t="s">
        <v>6281</v>
      </c>
      <c r="H1605">
        <v>11203.22</v>
      </c>
      <c r="I1605">
        <v>31.08</v>
      </c>
      <c r="J1605" t="s">
        <v>120</v>
      </c>
      <c r="K1605" t="s">
        <v>8310</v>
      </c>
      <c r="L1605">
        <v>3.52</v>
      </c>
      <c r="M1605">
        <v>8.57</v>
      </c>
      <c r="N1605">
        <v>0.77</v>
      </c>
      <c r="O1605">
        <v>0.79</v>
      </c>
      <c r="P1605">
        <v>8.9</v>
      </c>
      <c r="Q1605">
        <v>-3.51</v>
      </c>
      <c r="R1605">
        <v>8.52</v>
      </c>
      <c r="S1605">
        <v>8.83</v>
      </c>
      <c r="T1605">
        <v>129019</v>
      </c>
      <c r="U1605">
        <v>8.57</v>
      </c>
      <c r="V1605">
        <v>8.83</v>
      </c>
      <c r="W1605">
        <v>19.86</v>
      </c>
      <c r="X1605" t="s">
        <v>141</v>
      </c>
      <c r="Y1605" t="s">
        <v>158</v>
      </c>
      <c r="Z1605">
        <v>4.3</v>
      </c>
      <c r="AA1605">
        <v>8.68</v>
      </c>
      <c r="AB1605">
        <v>75813</v>
      </c>
      <c r="AC1605">
        <v>53206</v>
      </c>
      <c r="AD1605">
        <v>1.42</v>
      </c>
      <c r="AE1605">
        <v>785</v>
      </c>
      <c r="AF1605">
        <v>856</v>
      </c>
      <c r="AG1605" t="s">
        <v>120</v>
      </c>
      <c r="AH1605">
        <v>0.01</v>
      </c>
      <c r="AI1605" t="s">
        <v>120</v>
      </c>
      <c r="AJ1605">
        <v>3.67</v>
      </c>
      <c r="AK1605" t="s">
        <v>8311</v>
      </c>
      <c r="AL1605">
        <v>-1.03</v>
      </c>
      <c r="AM1605">
        <v>2277</v>
      </c>
      <c r="AN1605">
        <v>57</v>
      </c>
      <c r="AO1605">
        <v>1.5E-3</v>
      </c>
      <c r="AP1605">
        <v>-1</v>
      </c>
      <c r="AQ1605">
        <v>0.68</v>
      </c>
      <c r="AR1605">
        <v>-6.24</v>
      </c>
      <c r="AS1605">
        <v>1.54</v>
      </c>
      <c r="AT1605">
        <v>7.8</v>
      </c>
      <c r="AU1605">
        <v>-2.06</v>
      </c>
      <c r="AV1605">
        <v>0</v>
      </c>
      <c r="AW1605">
        <v>3.88</v>
      </c>
      <c r="AX1605">
        <v>75.23</v>
      </c>
      <c r="AY1605">
        <v>22.89</v>
      </c>
      <c r="AZ1605">
        <v>24.01</v>
      </c>
      <c r="BA1605">
        <v>0.55000000000000004</v>
      </c>
      <c r="BB1605" t="s">
        <v>143</v>
      </c>
      <c r="BF1605">
        <v>-1.66</v>
      </c>
      <c r="BG1605">
        <v>-2.94</v>
      </c>
      <c r="BH1605">
        <v>-3.71</v>
      </c>
      <c r="BI1605">
        <v>0.59</v>
      </c>
      <c r="BJ1605">
        <v>20210827</v>
      </c>
      <c r="BK1605">
        <v>20110615</v>
      </c>
      <c r="BL1605">
        <v>4.42</v>
      </c>
      <c r="BM1605" t="s">
        <v>120</v>
      </c>
      <c r="BN1605" t="s">
        <v>120</v>
      </c>
      <c r="BO1605">
        <v>26.49</v>
      </c>
      <c r="BP1605">
        <v>8.56</v>
      </c>
      <c r="BQ1605">
        <v>14.17</v>
      </c>
      <c r="BR1605" t="s">
        <v>120</v>
      </c>
      <c r="BS1605">
        <v>46.49</v>
      </c>
      <c r="BT1605">
        <v>20.010000000000002</v>
      </c>
      <c r="BU1605">
        <v>1.47</v>
      </c>
      <c r="BV1605">
        <v>0.14000000000000001</v>
      </c>
      <c r="BW1605">
        <v>8.8800000000000008</v>
      </c>
      <c r="BX1605">
        <v>5.87</v>
      </c>
      <c r="BY1605">
        <v>0.72</v>
      </c>
      <c r="BZ1605">
        <v>7.75</v>
      </c>
      <c r="CA1605" t="s">
        <v>120</v>
      </c>
      <c r="CB1605">
        <v>6.21</v>
      </c>
      <c r="CC1605">
        <v>12.17</v>
      </c>
      <c r="CD1605">
        <v>9.8000000000000007</v>
      </c>
      <c r="CE1605">
        <v>1.1200000000000001</v>
      </c>
      <c r="CF1605">
        <v>0</v>
      </c>
      <c r="CG1605">
        <v>1.1299999999999999</v>
      </c>
      <c r="CH1605">
        <v>0.95</v>
      </c>
      <c r="CI1605">
        <v>0.95</v>
      </c>
      <c r="CJ1605">
        <v>-0.26</v>
      </c>
      <c r="CK1605">
        <v>0.93</v>
      </c>
      <c r="CL1605">
        <v>4.13</v>
      </c>
      <c r="CM1605">
        <v>-1.34</v>
      </c>
      <c r="CN1605">
        <v>-2.62</v>
      </c>
      <c r="CO1605">
        <v>36638</v>
      </c>
      <c r="CP1605">
        <v>9077</v>
      </c>
      <c r="CQ1605" t="s">
        <v>5329</v>
      </c>
      <c r="CR1605">
        <v>9.06</v>
      </c>
      <c r="CS1605">
        <v>33.96</v>
      </c>
      <c r="CT1605">
        <v>2.8</v>
      </c>
      <c r="CU1605">
        <v>-28.36</v>
      </c>
      <c r="CV1605">
        <v>3.11</v>
      </c>
      <c r="CW1605">
        <v>2.15</v>
      </c>
      <c r="CX1605" t="s">
        <v>694</v>
      </c>
      <c r="CY1605">
        <v>3.06</v>
      </c>
      <c r="CZ1605">
        <v>3.06</v>
      </c>
      <c r="DA1605">
        <v>1.41</v>
      </c>
      <c r="DB1605">
        <v>0.93</v>
      </c>
      <c r="DC1605">
        <v>-0.3</v>
      </c>
      <c r="DD1605">
        <v>53.51</v>
      </c>
      <c r="DE1605" t="s">
        <v>8312</v>
      </c>
      <c r="DF1605">
        <v>19.48</v>
      </c>
      <c r="DG1605">
        <v>9.2200000000000006</v>
      </c>
      <c r="DH1605">
        <v>7.84</v>
      </c>
      <c r="DI1605">
        <v>0.16</v>
      </c>
      <c r="DJ1605">
        <v>1597</v>
      </c>
      <c r="DK1605">
        <v>300231</v>
      </c>
      <c r="DL1605" t="s">
        <v>120</v>
      </c>
      <c r="DM1605" t="s">
        <v>120</v>
      </c>
      <c r="DN1605" t="s">
        <v>120</v>
      </c>
    </row>
    <row r="1606" spans="1:118">
      <c r="A1606" t="str">
        <f>"300232"</f>
        <v>300232</v>
      </c>
      <c r="B1606" t="s">
        <v>8313</v>
      </c>
      <c r="C1606">
        <v>-0.59</v>
      </c>
      <c r="D1606">
        <v>-0.34</v>
      </c>
      <c r="E1606">
        <v>-0.71</v>
      </c>
      <c r="F1606">
        <v>1220</v>
      </c>
      <c r="G1606" t="s">
        <v>5872</v>
      </c>
      <c r="H1606">
        <v>11948.13</v>
      </c>
      <c r="I1606">
        <v>27.46</v>
      </c>
      <c r="J1606" t="s">
        <v>120</v>
      </c>
      <c r="K1606" t="s">
        <v>8314</v>
      </c>
      <c r="L1606">
        <v>1.93</v>
      </c>
      <c r="M1606">
        <v>8.4600000000000009</v>
      </c>
      <c r="N1606">
        <v>0.81</v>
      </c>
      <c r="O1606">
        <v>0.94</v>
      </c>
      <c r="P1606">
        <v>8.59</v>
      </c>
      <c r="Q1606">
        <v>-1.41</v>
      </c>
      <c r="R1606">
        <v>8.39</v>
      </c>
      <c r="S1606">
        <v>8.4499999999999993</v>
      </c>
      <c r="T1606">
        <v>140553</v>
      </c>
      <c r="U1606">
        <v>8.48</v>
      </c>
      <c r="V1606">
        <v>8.51</v>
      </c>
      <c r="W1606">
        <v>50.91</v>
      </c>
      <c r="X1606" t="s">
        <v>3245</v>
      </c>
      <c r="Y1606" t="s">
        <v>123</v>
      </c>
      <c r="Z1606">
        <v>2.35</v>
      </c>
      <c r="AA1606">
        <v>8.5</v>
      </c>
      <c r="AB1606">
        <v>72462</v>
      </c>
      <c r="AC1606">
        <v>68091</v>
      </c>
      <c r="AD1606">
        <v>1.06</v>
      </c>
      <c r="AE1606">
        <v>50</v>
      </c>
      <c r="AF1606">
        <v>1</v>
      </c>
      <c r="AG1606" t="s">
        <v>120</v>
      </c>
      <c r="AH1606">
        <v>0.01</v>
      </c>
      <c r="AI1606" t="s">
        <v>120</v>
      </c>
      <c r="AJ1606">
        <v>7.29</v>
      </c>
      <c r="AK1606" t="s">
        <v>8315</v>
      </c>
      <c r="AL1606">
        <v>1.33</v>
      </c>
      <c r="AM1606">
        <v>1822</v>
      </c>
      <c r="AN1606">
        <v>77</v>
      </c>
      <c r="AO1606">
        <v>1.1000000000000001E-3</v>
      </c>
      <c r="AP1606">
        <v>-3</v>
      </c>
      <c r="AQ1606">
        <v>-2.74</v>
      </c>
      <c r="AR1606">
        <v>-5.16</v>
      </c>
      <c r="AS1606">
        <v>-7.24</v>
      </c>
      <c r="AT1606">
        <v>-5.26</v>
      </c>
      <c r="AU1606">
        <v>-9.9</v>
      </c>
      <c r="AV1606">
        <v>0</v>
      </c>
      <c r="AW1606">
        <v>2.31</v>
      </c>
      <c r="AX1606">
        <v>55.65</v>
      </c>
      <c r="AY1606">
        <v>72.06</v>
      </c>
      <c r="AZ1606">
        <v>79.05</v>
      </c>
      <c r="BA1606">
        <v>0.66</v>
      </c>
      <c r="BB1606" t="s">
        <v>134</v>
      </c>
      <c r="BF1606">
        <v>-0.11</v>
      </c>
      <c r="BG1606">
        <v>0.12</v>
      </c>
      <c r="BH1606">
        <v>-1.51</v>
      </c>
      <c r="BI1606">
        <v>0.83</v>
      </c>
      <c r="BJ1606">
        <v>20210809</v>
      </c>
      <c r="BK1606">
        <v>20110622</v>
      </c>
      <c r="BL1606">
        <v>10.94</v>
      </c>
      <c r="BM1606" t="s">
        <v>120</v>
      </c>
      <c r="BN1606" t="s">
        <v>120</v>
      </c>
      <c r="BO1606">
        <v>96.15</v>
      </c>
      <c r="BP1606">
        <v>8.4600000000000009</v>
      </c>
      <c r="BQ1606">
        <v>44.85</v>
      </c>
      <c r="BR1606">
        <v>-0.09</v>
      </c>
      <c r="BS1606">
        <v>53.44</v>
      </c>
      <c r="BT1606">
        <v>64.67</v>
      </c>
      <c r="BU1606">
        <v>9.94</v>
      </c>
      <c r="BV1606">
        <v>2.12</v>
      </c>
      <c r="BW1606">
        <v>46.3</v>
      </c>
      <c r="BX1606">
        <v>16.100000000000001</v>
      </c>
      <c r="BY1606">
        <v>19.91</v>
      </c>
      <c r="BZ1606">
        <v>13.87</v>
      </c>
      <c r="CA1606" t="s">
        <v>120</v>
      </c>
      <c r="CB1606">
        <v>16.670000000000002</v>
      </c>
      <c r="CC1606">
        <v>29.32</v>
      </c>
      <c r="CD1606">
        <v>22.2</v>
      </c>
      <c r="CE1606">
        <v>1.04</v>
      </c>
      <c r="CF1606">
        <v>-0.02</v>
      </c>
      <c r="CG1606">
        <v>1.08</v>
      </c>
      <c r="CH1606">
        <v>0.86</v>
      </c>
      <c r="CI1606">
        <v>0.91</v>
      </c>
      <c r="CJ1606">
        <v>-0.05</v>
      </c>
      <c r="CK1606">
        <v>0.49</v>
      </c>
      <c r="CL1606">
        <v>16.190000000000001</v>
      </c>
      <c r="CM1606">
        <v>-2.83</v>
      </c>
      <c r="CN1606">
        <v>2.35</v>
      </c>
      <c r="CO1606">
        <v>30241</v>
      </c>
      <c r="CP1606">
        <v>20135</v>
      </c>
      <c r="CQ1606" t="s">
        <v>5000</v>
      </c>
      <c r="CR1606">
        <v>14.38</v>
      </c>
      <c r="CS1606">
        <v>57.57</v>
      </c>
      <c r="CT1606">
        <v>2.06</v>
      </c>
      <c r="CU1606">
        <v>-32.69</v>
      </c>
      <c r="CV1606">
        <v>3.16</v>
      </c>
      <c r="CW1606">
        <v>0.23</v>
      </c>
      <c r="CX1606" t="s">
        <v>329</v>
      </c>
      <c r="CY1606">
        <v>4.0999999999999996</v>
      </c>
      <c r="CZ1606">
        <v>0</v>
      </c>
      <c r="DA1606">
        <v>1.52</v>
      </c>
      <c r="DB1606">
        <v>1.48</v>
      </c>
      <c r="DC1606">
        <v>-0.26</v>
      </c>
      <c r="DD1606">
        <v>46.65</v>
      </c>
      <c r="DE1606" t="s">
        <v>412</v>
      </c>
      <c r="DF1606">
        <v>24.29</v>
      </c>
      <c r="DG1606">
        <v>3.53</v>
      </c>
      <c r="DH1606">
        <v>3.1</v>
      </c>
      <c r="DI1606">
        <v>1.27</v>
      </c>
      <c r="DJ1606">
        <v>4770</v>
      </c>
      <c r="DK1606">
        <v>300232</v>
      </c>
      <c r="DL1606" t="s">
        <v>120</v>
      </c>
      <c r="DM1606" t="s">
        <v>120</v>
      </c>
      <c r="DN1606" t="s">
        <v>120</v>
      </c>
    </row>
    <row r="1607" spans="1:118">
      <c r="A1607" t="str">
        <f>"300233"</f>
        <v>300233</v>
      </c>
      <c r="B1607" t="s">
        <v>8316</v>
      </c>
      <c r="C1607">
        <v>-6.24</v>
      </c>
      <c r="D1607">
        <v>-0.17</v>
      </c>
      <c r="E1607">
        <v>-0.17</v>
      </c>
      <c r="F1607">
        <v>1020</v>
      </c>
      <c r="G1607" t="s">
        <v>8317</v>
      </c>
      <c r="H1607">
        <v>33252.839999999997</v>
      </c>
      <c r="I1607">
        <v>58.21</v>
      </c>
      <c r="J1607" t="s">
        <v>120</v>
      </c>
      <c r="K1607" t="s">
        <v>8318</v>
      </c>
      <c r="L1607">
        <v>3.28</v>
      </c>
      <c r="M1607">
        <v>27.2</v>
      </c>
      <c r="N1607">
        <v>0.97</v>
      </c>
      <c r="O1607">
        <v>-0.17</v>
      </c>
      <c r="P1607">
        <v>28.96</v>
      </c>
      <c r="Q1607">
        <v>-8.31</v>
      </c>
      <c r="R1607">
        <v>26.6</v>
      </c>
      <c r="S1607">
        <v>28.96</v>
      </c>
      <c r="T1607">
        <v>120275</v>
      </c>
      <c r="U1607">
        <v>27.21</v>
      </c>
      <c r="V1607">
        <v>29.01</v>
      </c>
      <c r="W1607">
        <v>57.07</v>
      </c>
      <c r="X1607" t="s">
        <v>569</v>
      </c>
      <c r="Y1607" t="s">
        <v>638</v>
      </c>
      <c r="Z1607">
        <v>8.14</v>
      </c>
      <c r="AA1607">
        <v>27.65</v>
      </c>
      <c r="AB1607">
        <v>64187</v>
      </c>
      <c r="AC1607">
        <v>56088</v>
      </c>
      <c r="AD1607">
        <v>1.1399999999999999</v>
      </c>
      <c r="AE1607">
        <v>123</v>
      </c>
      <c r="AF1607">
        <v>5</v>
      </c>
      <c r="AG1607" t="s">
        <v>120</v>
      </c>
      <c r="AH1607">
        <v>0.01</v>
      </c>
      <c r="AI1607" t="s">
        <v>120</v>
      </c>
      <c r="AJ1607">
        <v>3.67</v>
      </c>
      <c r="AK1607" t="s">
        <v>8319</v>
      </c>
      <c r="AL1607">
        <v>-4.33</v>
      </c>
      <c r="AM1607">
        <v>3493</v>
      </c>
      <c r="AN1607">
        <v>34</v>
      </c>
      <c r="AO1607">
        <v>8.9999999999999998E-4</v>
      </c>
      <c r="AP1607">
        <v>-5</v>
      </c>
      <c r="AQ1607">
        <v>-3.62</v>
      </c>
      <c r="AR1607">
        <v>-21.53</v>
      </c>
      <c r="AS1607">
        <v>-13.73</v>
      </c>
      <c r="AT1607">
        <v>1.87</v>
      </c>
      <c r="AU1607">
        <v>44.31</v>
      </c>
      <c r="AV1607">
        <v>1</v>
      </c>
      <c r="AW1607">
        <v>4.76</v>
      </c>
      <c r="AX1607">
        <v>64.78</v>
      </c>
      <c r="AY1607" t="s">
        <v>120</v>
      </c>
      <c r="AZ1607" t="s">
        <v>120</v>
      </c>
      <c r="BA1607">
        <v>1.04</v>
      </c>
      <c r="BB1607" t="s">
        <v>143</v>
      </c>
      <c r="BF1607">
        <v>-4.7</v>
      </c>
      <c r="BG1607">
        <v>-6.08</v>
      </c>
      <c r="BH1607">
        <v>-6.08</v>
      </c>
      <c r="BI1607">
        <v>2.2599999999999998</v>
      </c>
      <c r="BJ1607">
        <v>20210827</v>
      </c>
      <c r="BK1607">
        <v>20110622</v>
      </c>
      <c r="BL1607">
        <v>3.9</v>
      </c>
      <c r="BM1607" t="s">
        <v>120</v>
      </c>
      <c r="BN1607" t="s">
        <v>120</v>
      </c>
      <c r="BO1607">
        <v>50.54</v>
      </c>
      <c r="BP1607">
        <v>27.2</v>
      </c>
      <c r="BQ1607">
        <v>33.76</v>
      </c>
      <c r="BR1607">
        <v>0.35</v>
      </c>
      <c r="BS1607">
        <v>32.520000000000003</v>
      </c>
      <c r="BT1607">
        <v>21.04</v>
      </c>
      <c r="BU1607">
        <v>15.06</v>
      </c>
      <c r="BV1607">
        <v>4.84</v>
      </c>
      <c r="BW1607">
        <v>11.68</v>
      </c>
      <c r="BX1607">
        <v>9.69</v>
      </c>
      <c r="BY1607">
        <v>4.22</v>
      </c>
      <c r="BZ1607">
        <v>4.3899999999999997</v>
      </c>
      <c r="CA1607" t="s">
        <v>120</v>
      </c>
      <c r="CB1607">
        <v>24.41</v>
      </c>
      <c r="CC1607">
        <v>12.95</v>
      </c>
      <c r="CD1607">
        <v>5.79</v>
      </c>
      <c r="CE1607">
        <v>1.31</v>
      </c>
      <c r="CF1607">
        <v>0</v>
      </c>
      <c r="CG1607">
        <v>1.29</v>
      </c>
      <c r="CH1607">
        <v>0.98</v>
      </c>
      <c r="CI1607">
        <v>0.93</v>
      </c>
      <c r="CJ1607">
        <v>-1.81</v>
      </c>
      <c r="CK1607">
        <v>0.74</v>
      </c>
      <c r="CL1607">
        <v>5.49</v>
      </c>
      <c r="CM1607">
        <v>0.68</v>
      </c>
      <c r="CN1607">
        <v>-0.47</v>
      </c>
      <c r="CO1607">
        <v>14569</v>
      </c>
      <c r="CP1607">
        <v>17354</v>
      </c>
      <c r="CQ1607" t="s">
        <v>8320</v>
      </c>
      <c r="CR1607">
        <v>-45.01</v>
      </c>
      <c r="CS1607">
        <v>1.71</v>
      </c>
      <c r="CT1607">
        <v>3.14</v>
      </c>
      <c r="CU1607">
        <v>156.35</v>
      </c>
      <c r="CV1607">
        <v>8.1999999999999993</v>
      </c>
      <c r="CW1607">
        <v>0.68</v>
      </c>
      <c r="CX1607" t="s">
        <v>626</v>
      </c>
      <c r="CY1607">
        <v>8.65</v>
      </c>
      <c r="CZ1607">
        <v>0</v>
      </c>
      <c r="DA1607">
        <v>6.26</v>
      </c>
      <c r="DB1607">
        <v>1.41</v>
      </c>
      <c r="DC1607">
        <v>0.17</v>
      </c>
      <c r="DD1607">
        <v>66.790000000000006</v>
      </c>
      <c r="DE1607" t="s">
        <v>1290</v>
      </c>
      <c r="DF1607">
        <v>55.29</v>
      </c>
      <c r="DG1607">
        <v>10.130000000000001</v>
      </c>
      <c r="DH1607">
        <v>7.18</v>
      </c>
      <c r="DI1607">
        <v>0.74</v>
      </c>
      <c r="DJ1607">
        <v>3393</v>
      </c>
      <c r="DK1607">
        <v>300233</v>
      </c>
      <c r="DL1607" t="s">
        <v>120</v>
      </c>
      <c r="DM1607" t="s">
        <v>120</v>
      </c>
      <c r="DN1607" t="s">
        <v>120</v>
      </c>
    </row>
    <row r="1608" spans="1:118">
      <c r="A1608" t="str">
        <f>"300234"</f>
        <v>300234</v>
      </c>
      <c r="B1608" t="s">
        <v>8321</v>
      </c>
      <c r="C1608">
        <v>-3.99</v>
      </c>
      <c r="D1608">
        <v>0</v>
      </c>
      <c r="E1608">
        <v>0.35</v>
      </c>
      <c r="F1608">
        <v>871</v>
      </c>
      <c r="G1608" t="s">
        <v>8322</v>
      </c>
      <c r="H1608">
        <v>14261.54</v>
      </c>
      <c r="I1608">
        <v>14.45</v>
      </c>
      <c r="J1608" t="s">
        <v>120</v>
      </c>
      <c r="K1608" t="s">
        <v>3731</v>
      </c>
      <c r="L1608">
        <v>5.19</v>
      </c>
      <c r="M1608">
        <v>8.18</v>
      </c>
      <c r="N1608">
        <v>0.83</v>
      </c>
      <c r="O1608">
        <v>0.47</v>
      </c>
      <c r="P1608">
        <v>8.56</v>
      </c>
      <c r="Q1608">
        <v>-4.2300000000000004</v>
      </c>
      <c r="R1608">
        <v>8.16</v>
      </c>
      <c r="S1608">
        <v>8.5500000000000007</v>
      </c>
      <c r="T1608">
        <v>171833</v>
      </c>
      <c r="U1608">
        <v>8.18</v>
      </c>
      <c r="V1608">
        <v>8.52</v>
      </c>
      <c r="W1608">
        <v>147.08000000000001</v>
      </c>
      <c r="X1608" t="s">
        <v>3653</v>
      </c>
      <c r="Y1608" t="s">
        <v>585</v>
      </c>
      <c r="Z1608">
        <v>4.6900000000000004</v>
      </c>
      <c r="AA1608">
        <v>8.3000000000000007</v>
      </c>
      <c r="AB1608">
        <v>102970</v>
      </c>
      <c r="AC1608">
        <v>68863</v>
      </c>
      <c r="AD1608">
        <v>1.5</v>
      </c>
      <c r="AE1608">
        <v>1007</v>
      </c>
      <c r="AF1608">
        <v>1280</v>
      </c>
      <c r="AG1608" t="s">
        <v>120</v>
      </c>
      <c r="AH1608">
        <v>0.01</v>
      </c>
      <c r="AI1608" t="s">
        <v>120</v>
      </c>
      <c r="AJ1608">
        <v>3.31</v>
      </c>
      <c r="AK1608" t="s">
        <v>509</v>
      </c>
      <c r="AL1608">
        <v>-2.08</v>
      </c>
      <c r="AM1608">
        <v>3013</v>
      </c>
      <c r="AN1608">
        <v>57</v>
      </c>
      <c r="AO1608">
        <v>1.6999999999999999E-3</v>
      </c>
      <c r="AP1608">
        <v>-1</v>
      </c>
      <c r="AQ1608">
        <v>0</v>
      </c>
      <c r="AR1608">
        <v>-7.78</v>
      </c>
      <c r="AS1608">
        <v>-8.4</v>
      </c>
      <c r="AT1608">
        <v>-16.95</v>
      </c>
      <c r="AU1608">
        <v>31</v>
      </c>
      <c r="AV1608">
        <v>6</v>
      </c>
      <c r="AW1608">
        <v>6.04</v>
      </c>
      <c r="AX1608">
        <v>55.64</v>
      </c>
      <c r="AY1608">
        <v>168.63</v>
      </c>
      <c r="AZ1608">
        <v>58.12</v>
      </c>
      <c r="BA1608">
        <v>0.79</v>
      </c>
      <c r="BB1608" t="s">
        <v>143</v>
      </c>
      <c r="BF1608">
        <v>-2.59</v>
      </c>
      <c r="BG1608">
        <v>-4.33</v>
      </c>
      <c r="BH1608">
        <v>-4.4400000000000004</v>
      </c>
      <c r="BI1608">
        <v>0.25</v>
      </c>
      <c r="BJ1608">
        <v>20210826</v>
      </c>
      <c r="BK1608">
        <v>20110622</v>
      </c>
      <c r="BL1608">
        <v>5.1100000000000003</v>
      </c>
      <c r="BM1608" t="s">
        <v>120</v>
      </c>
      <c r="BN1608" t="s">
        <v>120</v>
      </c>
      <c r="BO1608">
        <v>13.04</v>
      </c>
      <c r="BP1608">
        <v>8.17</v>
      </c>
      <c r="BQ1608">
        <v>9.23</v>
      </c>
      <c r="BR1608">
        <v>0.12</v>
      </c>
      <c r="BS1608">
        <v>28.33</v>
      </c>
      <c r="BT1608">
        <v>8.8699999999999992</v>
      </c>
      <c r="BU1608">
        <v>2.21</v>
      </c>
      <c r="BV1608">
        <v>0.48</v>
      </c>
      <c r="BW1608">
        <v>3.29</v>
      </c>
      <c r="BX1608">
        <v>0.56999999999999995</v>
      </c>
      <c r="BY1608">
        <v>3.34</v>
      </c>
      <c r="BZ1608">
        <v>2.37</v>
      </c>
      <c r="CA1608">
        <v>0.01</v>
      </c>
      <c r="CB1608">
        <v>1.93</v>
      </c>
      <c r="CC1608">
        <v>2.21</v>
      </c>
      <c r="CD1608">
        <v>1.59</v>
      </c>
      <c r="CE1608">
        <v>0.18</v>
      </c>
      <c r="CF1608">
        <v>7.0000000000000007E-2</v>
      </c>
      <c r="CG1608">
        <v>0.18</v>
      </c>
      <c r="CH1608">
        <v>0.15</v>
      </c>
      <c r="CI1608">
        <v>0.14000000000000001</v>
      </c>
      <c r="CJ1608">
        <v>-0.34</v>
      </c>
      <c r="CK1608">
        <v>0.08</v>
      </c>
      <c r="CL1608">
        <v>3.18</v>
      </c>
      <c r="CM1608">
        <v>-0.31</v>
      </c>
      <c r="CN1608">
        <v>-0.13</v>
      </c>
      <c r="CO1608">
        <v>49743</v>
      </c>
      <c r="CP1608">
        <v>5721</v>
      </c>
      <c r="CQ1608" t="s">
        <v>7282</v>
      </c>
      <c r="CR1608">
        <v>-77.55</v>
      </c>
      <c r="CS1608">
        <v>11.83</v>
      </c>
      <c r="CT1608">
        <v>4.53</v>
      </c>
      <c r="CU1608">
        <v>-133.34</v>
      </c>
      <c r="CV1608">
        <v>18.97</v>
      </c>
      <c r="CW1608">
        <v>0.18</v>
      </c>
      <c r="CX1608" t="s">
        <v>2074</v>
      </c>
      <c r="CY1608">
        <v>1.8</v>
      </c>
      <c r="CZ1608">
        <v>0</v>
      </c>
      <c r="DA1608">
        <v>0.38</v>
      </c>
      <c r="DB1608">
        <v>0.62</v>
      </c>
      <c r="DC1608">
        <v>-0.06</v>
      </c>
      <c r="DD1608">
        <v>70.78</v>
      </c>
      <c r="DE1608" t="s">
        <v>6427</v>
      </c>
      <c r="DF1608">
        <v>27.97</v>
      </c>
      <c r="DG1608">
        <v>8.2100000000000009</v>
      </c>
      <c r="DH1608">
        <v>6.45</v>
      </c>
      <c r="DI1608">
        <v>0.1</v>
      </c>
      <c r="DJ1608">
        <v>675</v>
      </c>
      <c r="DK1608">
        <v>300234</v>
      </c>
      <c r="DL1608" t="s">
        <v>120</v>
      </c>
      <c r="DM1608" t="s">
        <v>120</v>
      </c>
      <c r="DN1608" t="s">
        <v>120</v>
      </c>
    </row>
    <row r="1609" spans="1:118">
      <c r="A1609" t="str">
        <f>"300235"</f>
        <v>300235</v>
      </c>
      <c r="B1609" t="s">
        <v>8323</v>
      </c>
      <c r="C1609">
        <v>-0.8</v>
      </c>
      <c r="D1609">
        <v>-0.09</v>
      </c>
      <c r="E1609">
        <v>0</v>
      </c>
      <c r="F1609">
        <v>234</v>
      </c>
      <c r="G1609" t="s">
        <v>8324</v>
      </c>
      <c r="H1609">
        <v>2835.1</v>
      </c>
      <c r="I1609">
        <v>0</v>
      </c>
      <c r="J1609" t="s">
        <v>120</v>
      </c>
      <c r="K1609" t="s">
        <v>8325</v>
      </c>
      <c r="L1609">
        <v>2.4700000000000002</v>
      </c>
      <c r="M1609">
        <v>9.9</v>
      </c>
      <c r="N1609">
        <v>0.88</v>
      </c>
      <c r="O1609">
        <v>1.2</v>
      </c>
      <c r="P1609">
        <v>10.1</v>
      </c>
      <c r="Q1609">
        <v>-1.7</v>
      </c>
      <c r="R1609">
        <v>9.81</v>
      </c>
      <c r="S1609">
        <v>9.98</v>
      </c>
      <c r="T1609">
        <v>28444</v>
      </c>
      <c r="U1609">
        <v>9.91</v>
      </c>
      <c r="V1609">
        <v>9.98</v>
      </c>
      <c r="W1609">
        <v>80.260000000000005</v>
      </c>
      <c r="X1609" t="s">
        <v>141</v>
      </c>
      <c r="Y1609" t="s">
        <v>123</v>
      </c>
      <c r="Z1609">
        <v>2.91</v>
      </c>
      <c r="AA1609">
        <v>9.9700000000000006</v>
      </c>
      <c r="AB1609">
        <v>16075</v>
      </c>
      <c r="AC1609">
        <v>12369</v>
      </c>
      <c r="AD1609">
        <v>1.3</v>
      </c>
      <c r="AE1609">
        <v>39</v>
      </c>
      <c r="AF1609">
        <v>59</v>
      </c>
      <c r="AG1609" t="s">
        <v>120</v>
      </c>
      <c r="AH1609">
        <v>0</v>
      </c>
      <c r="AI1609" t="s">
        <v>120</v>
      </c>
      <c r="AJ1609">
        <v>1.1499999999999999</v>
      </c>
      <c r="AK1609" t="s">
        <v>8326</v>
      </c>
      <c r="AL1609">
        <v>1.1100000000000001</v>
      </c>
      <c r="AM1609">
        <v>1205</v>
      </c>
      <c r="AN1609">
        <v>24</v>
      </c>
      <c r="AO1609">
        <v>2.0999999999999999E-3</v>
      </c>
      <c r="AP1609">
        <v>-1</v>
      </c>
      <c r="AQ1609">
        <v>1.84</v>
      </c>
      <c r="AR1609">
        <v>-0.4</v>
      </c>
      <c r="AS1609">
        <v>-12.16</v>
      </c>
      <c r="AT1609">
        <v>-22.11</v>
      </c>
      <c r="AU1609">
        <v>-22.02</v>
      </c>
      <c r="AV1609">
        <v>1</v>
      </c>
      <c r="AW1609">
        <v>2.9</v>
      </c>
      <c r="AX1609">
        <v>58.42</v>
      </c>
      <c r="AY1609">
        <v>68.08</v>
      </c>
      <c r="AZ1609">
        <v>53.7</v>
      </c>
      <c r="BA1609">
        <v>1.21</v>
      </c>
      <c r="BB1609" t="s">
        <v>143</v>
      </c>
      <c r="BF1609">
        <v>-0.13</v>
      </c>
      <c r="BG1609">
        <v>-0.8</v>
      </c>
      <c r="BH1609">
        <v>-1.98</v>
      </c>
      <c r="BI1609">
        <v>0.92</v>
      </c>
      <c r="BJ1609">
        <v>20210827</v>
      </c>
      <c r="BK1609">
        <v>20110629</v>
      </c>
      <c r="BL1609">
        <v>1.68</v>
      </c>
      <c r="BM1609" t="s">
        <v>120</v>
      </c>
      <c r="BN1609" t="s">
        <v>120</v>
      </c>
      <c r="BO1609">
        <v>6.7</v>
      </c>
      <c r="BP1609">
        <v>9.9</v>
      </c>
      <c r="BQ1609">
        <v>6.51</v>
      </c>
      <c r="BR1609">
        <v>0</v>
      </c>
      <c r="BS1609">
        <v>2.92</v>
      </c>
      <c r="BT1609">
        <v>4.67</v>
      </c>
      <c r="BU1609">
        <v>0.83</v>
      </c>
      <c r="BV1609">
        <v>0.01</v>
      </c>
      <c r="BW1609">
        <v>0.19</v>
      </c>
      <c r="BX1609">
        <v>2.78</v>
      </c>
      <c r="BY1609">
        <v>0.04</v>
      </c>
      <c r="BZ1609">
        <v>0.35</v>
      </c>
      <c r="CA1609" t="s">
        <v>120</v>
      </c>
      <c r="CB1609">
        <v>2.82</v>
      </c>
      <c r="CC1609">
        <v>0.5</v>
      </c>
      <c r="CD1609">
        <v>0.17</v>
      </c>
      <c r="CE1609">
        <v>0.13</v>
      </c>
      <c r="CF1609">
        <v>0.01</v>
      </c>
      <c r="CG1609">
        <v>0.13</v>
      </c>
      <c r="CH1609">
        <v>0.1</v>
      </c>
      <c r="CI1609">
        <v>0.1</v>
      </c>
      <c r="CJ1609">
        <v>-0.08</v>
      </c>
      <c r="CK1609">
        <v>7.0000000000000007E-2</v>
      </c>
      <c r="CL1609">
        <v>1.74</v>
      </c>
      <c r="CM1609">
        <v>-0.03</v>
      </c>
      <c r="CN1609">
        <v>-0.41</v>
      </c>
      <c r="CO1609">
        <v>20788</v>
      </c>
      <c r="CP1609">
        <v>4716</v>
      </c>
      <c r="CQ1609" t="s">
        <v>7553</v>
      </c>
      <c r="CR1609">
        <v>-38.9</v>
      </c>
      <c r="CS1609">
        <v>2.2000000000000002</v>
      </c>
      <c r="CT1609">
        <v>2.5499999999999998</v>
      </c>
      <c r="CU1609">
        <v>-615.04</v>
      </c>
      <c r="CV1609">
        <v>33.15</v>
      </c>
      <c r="CW1609">
        <v>0.55000000000000004</v>
      </c>
      <c r="CX1609" t="s">
        <v>1064</v>
      </c>
      <c r="CY1609">
        <v>3.88</v>
      </c>
      <c r="CZ1609">
        <v>0</v>
      </c>
      <c r="DA1609">
        <v>1.68</v>
      </c>
      <c r="DB1609">
        <v>1.03</v>
      </c>
      <c r="DC1609">
        <v>-0.02</v>
      </c>
      <c r="DD1609">
        <v>97.1</v>
      </c>
      <c r="DE1609" t="s">
        <v>179</v>
      </c>
      <c r="DF1609">
        <v>65.150000000000006</v>
      </c>
      <c r="DG1609">
        <v>26.54</v>
      </c>
      <c r="DH1609">
        <v>20.65</v>
      </c>
      <c r="DI1609">
        <v>0.14000000000000001</v>
      </c>
      <c r="DJ1609">
        <v>196</v>
      </c>
      <c r="DK1609">
        <v>300235</v>
      </c>
      <c r="DL1609" t="s">
        <v>120</v>
      </c>
      <c r="DM1609" t="s">
        <v>120</v>
      </c>
      <c r="DN1609" t="s">
        <v>120</v>
      </c>
    </row>
    <row r="1610" spans="1:118">
      <c r="A1610" t="str">
        <f>"300236"</f>
        <v>300236</v>
      </c>
      <c r="B1610" t="s">
        <v>8327</v>
      </c>
      <c r="C1610">
        <v>-2.12</v>
      </c>
      <c r="D1610">
        <v>0.16</v>
      </c>
      <c r="E1610">
        <v>7.0000000000000007E-2</v>
      </c>
      <c r="F1610">
        <v>823</v>
      </c>
      <c r="G1610" t="s">
        <v>6606</v>
      </c>
      <c r="H1610">
        <v>20166.419999999998</v>
      </c>
      <c r="I1610">
        <v>34.880000000000003</v>
      </c>
      <c r="J1610" t="s">
        <v>120</v>
      </c>
      <c r="K1610" t="s">
        <v>2503</v>
      </c>
      <c r="L1610">
        <v>1.54</v>
      </c>
      <c r="M1610">
        <v>44.89</v>
      </c>
      <c r="N1610">
        <v>0.57999999999999996</v>
      </c>
      <c r="O1610">
        <v>1.1299999999999999</v>
      </c>
      <c r="P1610">
        <v>46.38</v>
      </c>
      <c r="Q1610">
        <v>-2.27</v>
      </c>
      <c r="R1610">
        <v>44.82</v>
      </c>
      <c r="S1610">
        <v>45.89</v>
      </c>
      <c r="T1610">
        <v>44249</v>
      </c>
      <c r="U1610">
        <v>44.89</v>
      </c>
      <c r="V1610">
        <v>45.86</v>
      </c>
      <c r="W1610">
        <v>65.08</v>
      </c>
      <c r="X1610" t="s">
        <v>3245</v>
      </c>
      <c r="Y1610" t="s">
        <v>1510</v>
      </c>
      <c r="Z1610">
        <v>3.4</v>
      </c>
      <c r="AA1610">
        <v>45.58</v>
      </c>
      <c r="AB1610">
        <v>23939</v>
      </c>
      <c r="AC1610">
        <v>20310</v>
      </c>
      <c r="AD1610">
        <v>1.18</v>
      </c>
      <c r="AE1610">
        <v>3</v>
      </c>
      <c r="AF1610">
        <v>23</v>
      </c>
      <c r="AG1610" t="s">
        <v>120</v>
      </c>
      <c r="AH1610">
        <v>0</v>
      </c>
      <c r="AI1610" t="s">
        <v>120</v>
      </c>
      <c r="AJ1610">
        <v>2.87</v>
      </c>
      <c r="AK1610" t="s">
        <v>8328</v>
      </c>
      <c r="AL1610">
        <v>-0.2</v>
      </c>
      <c r="AM1610">
        <v>3025</v>
      </c>
      <c r="AN1610">
        <v>15</v>
      </c>
      <c r="AO1610">
        <v>5.0000000000000001E-4</v>
      </c>
      <c r="AP1610">
        <v>-4</v>
      </c>
      <c r="AQ1610">
        <v>-2.0299999999999998</v>
      </c>
      <c r="AR1610">
        <v>-5.75</v>
      </c>
      <c r="AS1610">
        <v>-11.78</v>
      </c>
      <c r="AT1610">
        <v>-6.62</v>
      </c>
      <c r="AU1610">
        <v>-8.56</v>
      </c>
      <c r="AV1610">
        <v>0</v>
      </c>
      <c r="AW1610">
        <v>2.5499999999999998</v>
      </c>
      <c r="AX1610">
        <v>55.36</v>
      </c>
      <c r="AY1610">
        <v>40.32</v>
      </c>
      <c r="AZ1610">
        <v>52.39</v>
      </c>
      <c r="BA1610">
        <v>1</v>
      </c>
      <c r="BB1610" t="s">
        <v>125</v>
      </c>
      <c r="BF1610">
        <v>-0.62</v>
      </c>
      <c r="BG1610">
        <v>-2.1800000000000002</v>
      </c>
      <c r="BH1610">
        <v>-3.21</v>
      </c>
      <c r="BI1610">
        <v>0.16</v>
      </c>
      <c r="BJ1610">
        <v>20210901</v>
      </c>
      <c r="BK1610">
        <v>20110629</v>
      </c>
      <c r="BL1610">
        <v>3.13</v>
      </c>
      <c r="BM1610" t="s">
        <v>120</v>
      </c>
      <c r="BN1610" t="s">
        <v>120</v>
      </c>
      <c r="BO1610">
        <v>68.27</v>
      </c>
      <c r="BP1610">
        <v>44.88</v>
      </c>
      <c r="BQ1610">
        <v>52.64</v>
      </c>
      <c r="BR1610">
        <v>0.16</v>
      </c>
      <c r="BS1610">
        <v>22.66</v>
      </c>
      <c r="BT1610">
        <v>17.239999999999998</v>
      </c>
      <c r="BU1610">
        <v>3.29</v>
      </c>
      <c r="BV1610">
        <v>0.78</v>
      </c>
      <c r="BW1610">
        <v>8</v>
      </c>
      <c r="BX1610">
        <v>9.0500000000000007</v>
      </c>
      <c r="BY1610">
        <v>2.0499999999999998</v>
      </c>
      <c r="BZ1610">
        <v>3.29</v>
      </c>
      <c r="CA1610">
        <v>0</v>
      </c>
      <c r="CB1610">
        <v>14.87</v>
      </c>
      <c r="CC1610">
        <v>4.37</v>
      </c>
      <c r="CD1610">
        <v>2.78</v>
      </c>
      <c r="CE1610">
        <v>1.31</v>
      </c>
      <c r="CF1610">
        <v>-0.02</v>
      </c>
      <c r="CG1610">
        <v>1.3</v>
      </c>
      <c r="CH1610">
        <v>1.0900000000000001</v>
      </c>
      <c r="CI1610">
        <v>1.08</v>
      </c>
      <c r="CJ1610">
        <v>-0.97</v>
      </c>
      <c r="CK1610">
        <v>0.45</v>
      </c>
      <c r="CL1610">
        <v>6.87</v>
      </c>
      <c r="CM1610">
        <v>0.4</v>
      </c>
      <c r="CN1610">
        <v>6.63</v>
      </c>
      <c r="CO1610">
        <v>58290</v>
      </c>
      <c r="CP1610">
        <v>2976</v>
      </c>
      <c r="CQ1610" t="s">
        <v>8329</v>
      </c>
      <c r="CR1610">
        <v>316.82</v>
      </c>
      <c r="CS1610">
        <v>45.78</v>
      </c>
      <c r="CT1610">
        <v>2.67</v>
      </c>
      <c r="CU1610">
        <v>353.9</v>
      </c>
      <c r="CV1610">
        <v>32.159999999999997</v>
      </c>
      <c r="CW1610">
        <v>0.44</v>
      </c>
      <c r="CX1610" t="s">
        <v>472</v>
      </c>
      <c r="CY1610">
        <v>16.8</v>
      </c>
      <c r="CZ1610">
        <v>0</v>
      </c>
      <c r="DA1610">
        <v>4.75</v>
      </c>
      <c r="DB1610">
        <v>2.19</v>
      </c>
      <c r="DC1610">
        <v>0.13</v>
      </c>
      <c r="DD1610">
        <v>77.099999999999994</v>
      </c>
      <c r="DE1610" t="s">
        <v>234</v>
      </c>
      <c r="DF1610">
        <v>36.450000000000003</v>
      </c>
      <c r="DG1610">
        <v>29.97</v>
      </c>
      <c r="DH1610">
        <v>24.71</v>
      </c>
      <c r="DI1610">
        <v>0.77</v>
      </c>
      <c r="DJ1610">
        <v>611</v>
      </c>
      <c r="DK1610">
        <v>300236</v>
      </c>
      <c r="DL1610" t="s">
        <v>120</v>
      </c>
      <c r="DM1610" t="s">
        <v>120</v>
      </c>
      <c r="DN1610" t="s">
        <v>120</v>
      </c>
    </row>
    <row r="1611" spans="1:118">
      <c r="A1611" t="str">
        <f>"300237"</f>
        <v>300237</v>
      </c>
      <c r="B1611" t="s">
        <v>8330</v>
      </c>
      <c r="C1611">
        <v>-2.11</v>
      </c>
      <c r="D1611">
        <v>0</v>
      </c>
      <c r="E1611">
        <v>1.06</v>
      </c>
      <c r="F1611">
        <v>2804</v>
      </c>
      <c r="G1611" t="s">
        <v>8331</v>
      </c>
      <c r="H1611">
        <v>12695.01</v>
      </c>
      <c r="I1611">
        <v>46.98</v>
      </c>
      <c r="J1611" t="s">
        <v>120</v>
      </c>
      <c r="K1611" t="s">
        <v>5587</v>
      </c>
      <c r="L1611">
        <v>3.12</v>
      </c>
      <c r="M1611">
        <v>2.78</v>
      </c>
      <c r="N1611">
        <v>0.83</v>
      </c>
      <c r="O1611">
        <v>1.76</v>
      </c>
      <c r="P1611">
        <v>2.89</v>
      </c>
      <c r="Q1611">
        <v>-2.46</v>
      </c>
      <c r="R1611">
        <v>2.77</v>
      </c>
      <c r="S1611">
        <v>2.87</v>
      </c>
      <c r="T1611">
        <v>449743</v>
      </c>
      <c r="U1611">
        <v>2.78</v>
      </c>
      <c r="V1611">
        <v>2.84</v>
      </c>
      <c r="W1611" t="s">
        <v>120</v>
      </c>
      <c r="X1611" t="s">
        <v>175</v>
      </c>
      <c r="Y1611" t="s">
        <v>638</v>
      </c>
      <c r="Z1611">
        <v>4.2300000000000004</v>
      </c>
      <c r="AA1611">
        <v>2.82</v>
      </c>
      <c r="AB1611">
        <v>273554</v>
      </c>
      <c r="AC1611">
        <v>176189</v>
      </c>
      <c r="AD1611">
        <v>1.55</v>
      </c>
      <c r="AE1611">
        <v>7466</v>
      </c>
      <c r="AF1611">
        <v>642</v>
      </c>
      <c r="AG1611" t="s">
        <v>120</v>
      </c>
      <c r="AH1611">
        <v>0.02</v>
      </c>
      <c r="AI1611" t="s">
        <v>120</v>
      </c>
      <c r="AJ1611">
        <v>14.4</v>
      </c>
      <c r="AK1611" t="s">
        <v>4304</v>
      </c>
      <c r="AL1611">
        <v>-0.2</v>
      </c>
      <c r="AM1611">
        <v>2254</v>
      </c>
      <c r="AN1611">
        <v>200</v>
      </c>
      <c r="AO1611">
        <v>1.4E-3</v>
      </c>
      <c r="AP1611">
        <v>-1</v>
      </c>
      <c r="AQ1611">
        <v>0.35</v>
      </c>
      <c r="AR1611">
        <v>-3.81</v>
      </c>
      <c r="AS1611">
        <v>1.0900000000000001</v>
      </c>
      <c r="AT1611">
        <v>-11.01</v>
      </c>
      <c r="AU1611">
        <v>3.57</v>
      </c>
      <c r="AV1611">
        <v>1</v>
      </c>
      <c r="AW1611">
        <v>4.29</v>
      </c>
      <c r="AX1611">
        <v>72.23</v>
      </c>
      <c r="AY1611" t="s">
        <v>120</v>
      </c>
      <c r="AZ1611">
        <v>79.66</v>
      </c>
      <c r="BA1611">
        <v>0.28000000000000003</v>
      </c>
      <c r="BB1611" t="s">
        <v>143</v>
      </c>
      <c r="BF1611">
        <v>-0.61</v>
      </c>
      <c r="BG1611">
        <v>-3.14</v>
      </c>
      <c r="BH1611">
        <v>-3.81</v>
      </c>
      <c r="BI1611">
        <v>0.36</v>
      </c>
      <c r="BJ1611">
        <v>20210825</v>
      </c>
      <c r="BK1611">
        <v>20110629</v>
      </c>
      <c r="BL1611">
        <v>14.53</v>
      </c>
      <c r="BM1611" t="s">
        <v>120</v>
      </c>
      <c r="BN1611" t="s">
        <v>120</v>
      </c>
      <c r="BO1611">
        <v>113.16</v>
      </c>
      <c r="BP1611">
        <v>2.77</v>
      </c>
      <c r="BQ1611">
        <v>31.4</v>
      </c>
      <c r="BR1611">
        <v>1.93</v>
      </c>
      <c r="BS1611">
        <v>70.55</v>
      </c>
      <c r="BT1611">
        <v>84.77</v>
      </c>
      <c r="BU1611">
        <v>7.63</v>
      </c>
      <c r="BV1611">
        <v>1.7</v>
      </c>
      <c r="BW1611">
        <v>48</v>
      </c>
      <c r="BX1611">
        <v>7.02</v>
      </c>
      <c r="BY1611">
        <v>4.32</v>
      </c>
      <c r="BZ1611">
        <v>12.42</v>
      </c>
      <c r="CA1611">
        <v>0.01</v>
      </c>
      <c r="CB1611">
        <v>2.92</v>
      </c>
      <c r="CC1611">
        <v>11.6</v>
      </c>
      <c r="CD1611">
        <v>9.01</v>
      </c>
      <c r="CE1611">
        <v>-0.46</v>
      </c>
      <c r="CF1611">
        <v>0.17</v>
      </c>
      <c r="CG1611">
        <v>-0.41</v>
      </c>
      <c r="CH1611">
        <v>-0.56000000000000005</v>
      </c>
      <c r="CI1611">
        <v>-0.53</v>
      </c>
      <c r="CJ1611">
        <v>-0.06</v>
      </c>
      <c r="CK1611">
        <v>-0.59</v>
      </c>
      <c r="CL1611">
        <v>13.6</v>
      </c>
      <c r="CM1611">
        <v>-1.1499999999999999</v>
      </c>
      <c r="CN1611">
        <v>-0.45</v>
      </c>
      <c r="CO1611">
        <v>47362</v>
      </c>
      <c r="CP1611">
        <v>22159</v>
      </c>
      <c r="CQ1611" t="s">
        <v>5621</v>
      </c>
      <c r="CR1611">
        <v>-597.51</v>
      </c>
      <c r="CS1611">
        <v>-11.43</v>
      </c>
      <c r="CT1611">
        <v>1.29</v>
      </c>
      <c r="CU1611">
        <v>-35.229999999999997</v>
      </c>
      <c r="CV1611">
        <v>3.48</v>
      </c>
      <c r="CW1611">
        <v>0.21</v>
      </c>
      <c r="CX1611" t="s">
        <v>2317</v>
      </c>
      <c r="CY1611">
        <v>2.16</v>
      </c>
      <c r="CZ1611">
        <v>0</v>
      </c>
      <c r="DA1611">
        <v>0.2</v>
      </c>
      <c r="DB1611">
        <v>0.94</v>
      </c>
      <c r="DC1611">
        <v>-0.08</v>
      </c>
      <c r="DD1611">
        <v>27.75</v>
      </c>
      <c r="DE1611" t="s">
        <v>5120</v>
      </c>
      <c r="DF1611">
        <v>22.3</v>
      </c>
      <c r="DG1611">
        <v>-3.96</v>
      </c>
      <c r="DH1611">
        <v>-4.5999999999999996</v>
      </c>
      <c r="DI1611">
        <v>0.6</v>
      </c>
      <c r="DJ1611">
        <v>2441</v>
      </c>
      <c r="DK1611">
        <v>300237</v>
      </c>
      <c r="DL1611" t="s">
        <v>120</v>
      </c>
      <c r="DM1611" t="s">
        <v>120</v>
      </c>
      <c r="DN1611" t="s">
        <v>120</v>
      </c>
    </row>
    <row r="1612" spans="1:118">
      <c r="A1612" t="str">
        <f>"300238"</f>
        <v>300238</v>
      </c>
      <c r="B1612" t="s">
        <v>8332</v>
      </c>
      <c r="C1612">
        <v>-0.06</v>
      </c>
      <c r="D1612">
        <v>0</v>
      </c>
      <c r="E1612">
        <v>-0.51</v>
      </c>
      <c r="F1612">
        <v>178</v>
      </c>
      <c r="G1612" t="s">
        <v>8333</v>
      </c>
      <c r="H1612">
        <v>5441.34</v>
      </c>
      <c r="I1612">
        <v>15.33</v>
      </c>
      <c r="J1612" t="s">
        <v>120</v>
      </c>
      <c r="K1612" t="s">
        <v>8334</v>
      </c>
      <c r="L1612">
        <v>1.1599999999999999</v>
      </c>
      <c r="M1612">
        <v>17.7</v>
      </c>
      <c r="N1612">
        <v>0.78</v>
      </c>
      <c r="O1612">
        <v>0.96</v>
      </c>
      <c r="P1612">
        <v>17.88</v>
      </c>
      <c r="Q1612">
        <v>-0.56000000000000005</v>
      </c>
      <c r="R1612">
        <v>17.61</v>
      </c>
      <c r="S1612">
        <v>17.62</v>
      </c>
      <c r="T1612">
        <v>30671</v>
      </c>
      <c r="U1612">
        <v>17.71</v>
      </c>
      <c r="V1612">
        <v>17.71</v>
      </c>
      <c r="W1612">
        <v>58.34</v>
      </c>
      <c r="X1612" t="s">
        <v>555</v>
      </c>
      <c r="Y1612" t="s">
        <v>547</v>
      </c>
      <c r="Z1612">
        <v>1.52</v>
      </c>
      <c r="AA1612">
        <v>17.739999999999998</v>
      </c>
      <c r="AB1612">
        <v>16548</v>
      </c>
      <c r="AC1612">
        <v>14123</v>
      </c>
      <c r="AD1612">
        <v>1.17</v>
      </c>
      <c r="AE1612">
        <v>64</v>
      </c>
      <c r="AF1612">
        <v>209</v>
      </c>
      <c r="AG1612" t="s">
        <v>120</v>
      </c>
      <c r="AH1612">
        <v>0</v>
      </c>
      <c r="AI1612" t="s">
        <v>120</v>
      </c>
      <c r="AJ1612">
        <v>2.65</v>
      </c>
      <c r="AK1612" t="s">
        <v>8334</v>
      </c>
      <c r="AL1612">
        <v>1.86</v>
      </c>
      <c r="AM1612">
        <v>1587</v>
      </c>
      <c r="AN1612">
        <v>19</v>
      </c>
      <c r="AO1612">
        <v>6.9999999999999999E-4</v>
      </c>
      <c r="AP1612">
        <v>-2</v>
      </c>
      <c r="AQ1612">
        <v>-2.5299999999999998</v>
      </c>
      <c r="AR1612">
        <v>-2.59</v>
      </c>
      <c r="AS1612">
        <v>-6.94</v>
      </c>
      <c r="AT1612">
        <v>-10.15</v>
      </c>
      <c r="AU1612">
        <v>-29.59</v>
      </c>
      <c r="AV1612">
        <v>0</v>
      </c>
      <c r="AW1612">
        <v>1.58</v>
      </c>
      <c r="AX1612">
        <v>73.44</v>
      </c>
      <c r="AY1612">
        <v>78.459999999999994</v>
      </c>
      <c r="AZ1612">
        <v>100.78</v>
      </c>
      <c r="BA1612">
        <v>0.22</v>
      </c>
      <c r="BB1612" t="s">
        <v>240</v>
      </c>
      <c r="BF1612">
        <v>0.18</v>
      </c>
      <c r="BG1612">
        <v>0.45</v>
      </c>
      <c r="BH1612">
        <v>-1.01</v>
      </c>
      <c r="BI1612">
        <v>0.51</v>
      </c>
      <c r="BJ1612">
        <v>20210906</v>
      </c>
      <c r="BK1612">
        <v>20110706</v>
      </c>
      <c r="BL1612">
        <v>2.65</v>
      </c>
      <c r="BM1612" t="s">
        <v>120</v>
      </c>
      <c r="BN1612" t="s">
        <v>120</v>
      </c>
      <c r="BO1612">
        <v>11.6</v>
      </c>
      <c r="BP1612">
        <v>17.7</v>
      </c>
      <c r="BQ1612">
        <v>7.69</v>
      </c>
      <c r="BR1612">
        <v>-0.2</v>
      </c>
      <c r="BS1612">
        <v>35.42</v>
      </c>
      <c r="BT1612">
        <v>4.6399999999999997</v>
      </c>
      <c r="BU1612">
        <v>2.06</v>
      </c>
      <c r="BV1612">
        <v>0.69</v>
      </c>
      <c r="BW1612">
        <v>2.92</v>
      </c>
      <c r="BX1612">
        <v>1.74</v>
      </c>
      <c r="BY1612">
        <v>1.28</v>
      </c>
      <c r="BZ1612">
        <v>1.24</v>
      </c>
      <c r="CA1612">
        <v>0</v>
      </c>
      <c r="CB1612">
        <v>5.98</v>
      </c>
      <c r="CC1612">
        <v>2.62</v>
      </c>
      <c r="CD1612">
        <v>0.62</v>
      </c>
      <c r="CE1612">
        <v>0.47</v>
      </c>
      <c r="CF1612">
        <v>-0.03</v>
      </c>
      <c r="CG1612">
        <v>0.47</v>
      </c>
      <c r="CH1612">
        <v>0.33</v>
      </c>
      <c r="CI1612">
        <v>0.4</v>
      </c>
      <c r="CJ1612">
        <v>-0.01</v>
      </c>
      <c r="CK1612">
        <v>0.32</v>
      </c>
      <c r="CL1612">
        <v>-0.91</v>
      </c>
      <c r="CM1612">
        <v>0.72</v>
      </c>
      <c r="CN1612">
        <v>0.18</v>
      </c>
      <c r="CO1612">
        <v>34441</v>
      </c>
      <c r="CP1612">
        <v>5654</v>
      </c>
      <c r="CQ1612" t="s">
        <v>8335</v>
      </c>
      <c r="CR1612">
        <v>49.16</v>
      </c>
      <c r="CS1612">
        <v>28.87</v>
      </c>
      <c r="CT1612">
        <v>6.1</v>
      </c>
      <c r="CU1612">
        <v>65.61</v>
      </c>
      <c r="CV1612">
        <v>17.89</v>
      </c>
      <c r="CW1612">
        <v>0</v>
      </c>
      <c r="CX1612" t="s">
        <v>373</v>
      </c>
      <c r="CY1612">
        <v>2.9</v>
      </c>
      <c r="CZ1612">
        <v>0</v>
      </c>
      <c r="DA1612">
        <v>2.25</v>
      </c>
      <c r="DB1612">
        <v>-0.34</v>
      </c>
      <c r="DC1612">
        <v>0.27</v>
      </c>
      <c r="DD1612">
        <v>66.31</v>
      </c>
      <c r="DE1612" t="s">
        <v>6218</v>
      </c>
      <c r="DF1612">
        <v>76.48</v>
      </c>
      <c r="DG1612">
        <v>17.760000000000002</v>
      </c>
      <c r="DH1612">
        <v>15.33</v>
      </c>
      <c r="DI1612">
        <v>0.19</v>
      </c>
      <c r="DJ1612">
        <v>503</v>
      </c>
      <c r="DK1612">
        <v>300238</v>
      </c>
      <c r="DL1612" t="s">
        <v>120</v>
      </c>
      <c r="DM1612" t="s">
        <v>120</v>
      </c>
      <c r="DN1612" t="s">
        <v>120</v>
      </c>
    </row>
    <row r="1613" spans="1:118">
      <c r="A1613" t="str">
        <f>"300239"</f>
        <v>300239</v>
      </c>
      <c r="B1613" t="s">
        <v>8336</v>
      </c>
      <c r="C1613">
        <v>-2.2200000000000002</v>
      </c>
      <c r="D1613">
        <v>0.3</v>
      </c>
      <c r="E1613">
        <v>0.15</v>
      </c>
      <c r="F1613">
        <v>1321</v>
      </c>
      <c r="G1613" t="s">
        <v>8337</v>
      </c>
      <c r="H1613">
        <v>10222.43</v>
      </c>
      <c r="I1613">
        <v>52.53</v>
      </c>
      <c r="J1613" t="s">
        <v>120</v>
      </c>
      <c r="K1613" t="s">
        <v>7625</v>
      </c>
      <c r="L1613">
        <v>3.03</v>
      </c>
      <c r="M1613">
        <v>6.6</v>
      </c>
      <c r="N1613">
        <v>0.89</v>
      </c>
      <c r="O1613">
        <v>0.44</v>
      </c>
      <c r="P1613">
        <v>6.78</v>
      </c>
      <c r="Q1613">
        <v>-2.52</v>
      </c>
      <c r="R1613">
        <v>6.58</v>
      </c>
      <c r="S1613">
        <v>6.76</v>
      </c>
      <c r="T1613">
        <v>153379</v>
      </c>
      <c r="U1613">
        <v>6.6</v>
      </c>
      <c r="V1613">
        <v>6.75</v>
      </c>
      <c r="W1613">
        <v>259.39999999999998</v>
      </c>
      <c r="X1613" t="s">
        <v>666</v>
      </c>
      <c r="Y1613" t="s">
        <v>785</v>
      </c>
      <c r="Z1613">
        <v>2.96</v>
      </c>
      <c r="AA1613">
        <v>6.66</v>
      </c>
      <c r="AB1613">
        <v>88771</v>
      </c>
      <c r="AC1613">
        <v>64608</v>
      </c>
      <c r="AD1613">
        <v>1.37</v>
      </c>
      <c r="AE1613">
        <v>330</v>
      </c>
      <c r="AF1613">
        <v>269</v>
      </c>
      <c r="AG1613" t="s">
        <v>120</v>
      </c>
      <c r="AH1613">
        <v>0.02</v>
      </c>
      <c r="AI1613" t="s">
        <v>120</v>
      </c>
      <c r="AJ1613">
        <v>5.07</v>
      </c>
      <c r="AK1613" t="s">
        <v>8338</v>
      </c>
      <c r="AL1613">
        <v>-0.31</v>
      </c>
      <c r="AM1613">
        <v>2378</v>
      </c>
      <c r="AN1613">
        <v>64</v>
      </c>
      <c r="AO1613">
        <v>1.2999999999999999E-3</v>
      </c>
      <c r="AP1613">
        <v>-1</v>
      </c>
      <c r="AQ1613">
        <v>1.2</v>
      </c>
      <c r="AR1613">
        <v>0.15</v>
      </c>
      <c r="AS1613">
        <v>4.93</v>
      </c>
      <c r="AT1613">
        <v>7.32</v>
      </c>
      <c r="AU1613">
        <v>10.74</v>
      </c>
      <c r="AV1613">
        <v>1</v>
      </c>
      <c r="AW1613">
        <v>4.1900000000000004</v>
      </c>
      <c r="AX1613">
        <v>61.68</v>
      </c>
      <c r="AY1613">
        <v>208.44</v>
      </c>
      <c r="AZ1613">
        <v>217.17</v>
      </c>
      <c r="BA1613">
        <v>0.53</v>
      </c>
      <c r="BB1613" t="s">
        <v>143</v>
      </c>
      <c r="BF1613">
        <v>-1.26</v>
      </c>
      <c r="BG1613">
        <v>-2.37</v>
      </c>
      <c r="BH1613">
        <v>-2.65</v>
      </c>
      <c r="BI1613">
        <v>0.3</v>
      </c>
      <c r="BJ1613">
        <v>20210914</v>
      </c>
      <c r="BK1613">
        <v>20110706</v>
      </c>
      <c r="BL1613">
        <v>5.94</v>
      </c>
      <c r="BM1613" t="s">
        <v>120</v>
      </c>
      <c r="BN1613" t="s">
        <v>120</v>
      </c>
      <c r="BO1613">
        <v>16.920000000000002</v>
      </c>
      <c r="BP1613">
        <v>6.59</v>
      </c>
      <c r="BQ1613">
        <v>13.94</v>
      </c>
      <c r="BR1613" t="s">
        <v>120</v>
      </c>
      <c r="BS1613">
        <v>17.64</v>
      </c>
      <c r="BT1613">
        <v>7.57</v>
      </c>
      <c r="BU1613">
        <v>7.19</v>
      </c>
      <c r="BV1613">
        <v>0.77</v>
      </c>
      <c r="BW1613">
        <v>2.38</v>
      </c>
      <c r="BX1613">
        <v>2.91</v>
      </c>
      <c r="BY1613">
        <v>2.66</v>
      </c>
      <c r="BZ1613">
        <v>1.1000000000000001</v>
      </c>
      <c r="CA1613" t="s">
        <v>120</v>
      </c>
      <c r="CB1613">
        <v>6.36</v>
      </c>
      <c r="CC1613">
        <v>2.77</v>
      </c>
      <c r="CD1613">
        <v>2.44</v>
      </c>
      <c r="CE1613">
        <v>0.1</v>
      </c>
      <c r="CF1613">
        <v>-0.01</v>
      </c>
      <c r="CG1613">
        <v>0.1</v>
      </c>
      <c r="CH1613">
        <v>7.0000000000000007E-2</v>
      </c>
      <c r="CI1613">
        <v>0.08</v>
      </c>
      <c r="CJ1613">
        <v>-0.15</v>
      </c>
      <c r="CK1613">
        <v>0.02</v>
      </c>
      <c r="CL1613">
        <v>1.31</v>
      </c>
      <c r="CM1613">
        <v>-7.0000000000000007E-2</v>
      </c>
      <c r="CN1613">
        <v>2.35</v>
      </c>
      <c r="CO1613">
        <v>28661</v>
      </c>
      <c r="CP1613">
        <v>12774</v>
      </c>
      <c r="CQ1613" t="s">
        <v>3925</v>
      </c>
      <c r="CR1613">
        <v>11.39</v>
      </c>
      <c r="CS1613">
        <v>48.12</v>
      </c>
      <c r="CT1613">
        <v>2.81</v>
      </c>
      <c r="CU1613">
        <v>-586.96</v>
      </c>
      <c r="CV1613">
        <v>14.16</v>
      </c>
      <c r="CW1613">
        <v>0</v>
      </c>
      <c r="CX1613" t="s">
        <v>178</v>
      </c>
      <c r="CY1613">
        <v>2.35</v>
      </c>
      <c r="CZ1613">
        <v>0</v>
      </c>
      <c r="DA1613">
        <v>1.07</v>
      </c>
      <c r="DB1613">
        <v>0.22</v>
      </c>
      <c r="DC1613">
        <v>-0.01</v>
      </c>
      <c r="DD1613">
        <v>82.36</v>
      </c>
      <c r="DE1613" t="s">
        <v>6799</v>
      </c>
      <c r="DF1613">
        <v>11.67</v>
      </c>
      <c r="DG1613">
        <v>3.44</v>
      </c>
      <c r="DH1613">
        <v>2.73</v>
      </c>
      <c r="DI1613">
        <v>0.04</v>
      </c>
      <c r="DJ1613">
        <v>715</v>
      </c>
      <c r="DK1613">
        <v>300239</v>
      </c>
      <c r="DL1613" t="s">
        <v>120</v>
      </c>
      <c r="DM1613" t="s">
        <v>120</v>
      </c>
      <c r="DN1613" t="s">
        <v>120</v>
      </c>
    </row>
    <row r="1614" spans="1:118">
      <c r="A1614" t="str">
        <f>"300240"</f>
        <v>300240</v>
      </c>
      <c r="B1614" t="s">
        <v>8339</v>
      </c>
      <c r="C1614">
        <v>-3.32</v>
      </c>
      <c r="D1614">
        <v>-0.12</v>
      </c>
      <c r="E1614">
        <v>1.53</v>
      </c>
      <c r="F1614">
        <v>2425</v>
      </c>
      <c r="G1614" t="s">
        <v>8340</v>
      </c>
      <c r="H1614">
        <v>7673.47</v>
      </c>
      <c r="I1614">
        <v>96.07</v>
      </c>
      <c r="J1614" t="s">
        <v>120</v>
      </c>
      <c r="K1614" t="s">
        <v>7307</v>
      </c>
      <c r="L1614">
        <v>2.75</v>
      </c>
      <c r="M1614">
        <v>7.56</v>
      </c>
      <c r="N1614">
        <v>0.98</v>
      </c>
      <c r="O1614">
        <v>1.53</v>
      </c>
      <c r="P1614">
        <v>7.94</v>
      </c>
      <c r="Q1614">
        <v>-3.32</v>
      </c>
      <c r="R1614">
        <v>7.56</v>
      </c>
      <c r="S1614">
        <v>7.94</v>
      </c>
      <c r="T1614">
        <v>99293</v>
      </c>
      <c r="U1614">
        <v>7.57</v>
      </c>
      <c r="V1614">
        <v>7.82</v>
      </c>
      <c r="W1614">
        <v>10.48</v>
      </c>
      <c r="X1614" t="s">
        <v>2775</v>
      </c>
      <c r="Y1614" t="s">
        <v>319</v>
      </c>
      <c r="Z1614">
        <v>4.8600000000000003</v>
      </c>
      <c r="AA1614">
        <v>7.73</v>
      </c>
      <c r="AB1614">
        <v>57464</v>
      </c>
      <c r="AC1614">
        <v>41829</v>
      </c>
      <c r="AD1614">
        <v>1.37</v>
      </c>
      <c r="AE1614">
        <v>403</v>
      </c>
      <c r="AF1614">
        <v>48</v>
      </c>
      <c r="AG1614" t="s">
        <v>120</v>
      </c>
      <c r="AH1614">
        <v>7.0000000000000007E-2</v>
      </c>
      <c r="AI1614" t="s">
        <v>120</v>
      </c>
      <c r="AJ1614">
        <v>3.61</v>
      </c>
      <c r="AK1614" t="s">
        <v>6742</v>
      </c>
      <c r="AL1614">
        <v>-1.41</v>
      </c>
      <c r="AM1614">
        <v>2308</v>
      </c>
      <c r="AN1614">
        <v>43</v>
      </c>
      <c r="AO1614">
        <v>1.1999999999999999E-3</v>
      </c>
      <c r="AP1614">
        <v>-1</v>
      </c>
      <c r="AQ1614">
        <v>0.26</v>
      </c>
      <c r="AR1614">
        <v>-4.78</v>
      </c>
      <c r="AS1614">
        <v>17.39</v>
      </c>
      <c r="AT1614">
        <v>19.059999999999999</v>
      </c>
      <c r="AU1614">
        <v>33.1</v>
      </c>
      <c r="AV1614">
        <v>0</v>
      </c>
      <c r="AW1614">
        <v>5.66</v>
      </c>
      <c r="AX1614">
        <v>48.03</v>
      </c>
      <c r="AY1614">
        <v>26.88</v>
      </c>
      <c r="AZ1614" t="s">
        <v>120</v>
      </c>
      <c r="BA1614">
        <v>0.46</v>
      </c>
      <c r="BB1614" t="s">
        <v>143</v>
      </c>
      <c r="BF1614">
        <v>-1.18</v>
      </c>
      <c r="BG1614">
        <v>-4.79</v>
      </c>
      <c r="BH1614">
        <v>-4.79</v>
      </c>
      <c r="BI1614">
        <v>0</v>
      </c>
      <c r="BJ1614">
        <v>20210824</v>
      </c>
      <c r="BK1614">
        <v>20110706</v>
      </c>
      <c r="BL1614">
        <v>3.66</v>
      </c>
      <c r="BM1614" t="s">
        <v>120</v>
      </c>
      <c r="BN1614" t="s">
        <v>120</v>
      </c>
      <c r="BO1614">
        <v>32.42</v>
      </c>
      <c r="BP1614">
        <v>7.56</v>
      </c>
      <c r="BQ1614">
        <v>12.73</v>
      </c>
      <c r="BR1614">
        <v>2.17</v>
      </c>
      <c r="BS1614">
        <v>54.05</v>
      </c>
      <c r="BT1614">
        <v>18.559999999999999</v>
      </c>
      <c r="BU1614">
        <v>3.45</v>
      </c>
      <c r="BV1614">
        <v>1.63</v>
      </c>
      <c r="BW1614">
        <v>14.31</v>
      </c>
      <c r="BX1614">
        <v>4.05</v>
      </c>
      <c r="BY1614">
        <v>1.38</v>
      </c>
      <c r="BZ1614">
        <v>8.6</v>
      </c>
      <c r="CA1614" t="s">
        <v>120</v>
      </c>
      <c r="CB1614">
        <v>2</v>
      </c>
      <c r="CC1614">
        <v>29.41</v>
      </c>
      <c r="CD1614">
        <v>27.06</v>
      </c>
      <c r="CE1614">
        <v>2.2000000000000002</v>
      </c>
      <c r="CF1614">
        <v>1.57</v>
      </c>
      <c r="CG1614">
        <v>2.21</v>
      </c>
      <c r="CH1614">
        <v>1.69</v>
      </c>
      <c r="CI1614">
        <v>1.32</v>
      </c>
      <c r="CJ1614">
        <v>-0.26</v>
      </c>
      <c r="CK1614">
        <v>0.42</v>
      </c>
      <c r="CL1614">
        <v>6.15</v>
      </c>
      <c r="CM1614">
        <v>-0.27</v>
      </c>
      <c r="CN1614">
        <v>-0.8</v>
      </c>
      <c r="CO1614">
        <v>15463</v>
      </c>
      <c r="CP1614">
        <v>11354</v>
      </c>
      <c r="CQ1614" t="s">
        <v>8341</v>
      </c>
      <c r="CR1614">
        <v>664.38</v>
      </c>
      <c r="CS1614">
        <v>84.76</v>
      </c>
      <c r="CT1614">
        <v>2.17</v>
      </c>
      <c r="CU1614">
        <v>-100.86</v>
      </c>
      <c r="CV1614">
        <v>0.94</v>
      </c>
      <c r="CW1614">
        <v>0</v>
      </c>
      <c r="CX1614" t="s">
        <v>472</v>
      </c>
      <c r="CY1614">
        <v>3.48</v>
      </c>
      <c r="CZ1614">
        <v>0</v>
      </c>
      <c r="DA1614">
        <v>0.55000000000000004</v>
      </c>
      <c r="DB1614">
        <v>1.68</v>
      </c>
      <c r="DC1614">
        <v>-7.0000000000000007E-2</v>
      </c>
      <c r="DD1614">
        <v>39.26</v>
      </c>
      <c r="DE1614" t="s">
        <v>3722</v>
      </c>
      <c r="DF1614">
        <v>7.98</v>
      </c>
      <c r="DG1614">
        <v>7.49</v>
      </c>
      <c r="DH1614">
        <v>4.4800000000000004</v>
      </c>
      <c r="DI1614">
        <v>0.11</v>
      </c>
      <c r="DJ1614">
        <v>3159</v>
      </c>
      <c r="DK1614">
        <v>300240</v>
      </c>
      <c r="DL1614">
        <v>20210901</v>
      </c>
      <c r="DM1614">
        <v>8.83</v>
      </c>
      <c r="DN1614">
        <v>-14.38</v>
      </c>
    </row>
    <row r="1615" spans="1:118">
      <c r="A1615" t="str">
        <f>"300241"</f>
        <v>300241</v>
      </c>
      <c r="B1615" t="s">
        <v>8342</v>
      </c>
      <c r="C1615">
        <v>-4.0199999999999996</v>
      </c>
      <c r="D1615">
        <v>0</v>
      </c>
      <c r="E1615">
        <v>0.37</v>
      </c>
      <c r="F1615">
        <v>3956</v>
      </c>
      <c r="G1615" t="s">
        <v>8343</v>
      </c>
      <c r="H1615">
        <v>21355.11</v>
      </c>
      <c r="I1615">
        <v>98.84</v>
      </c>
      <c r="J1615" t="s">
        <v>120</v>
      </c>
      <c r="K1615" t="s">
        <v>1873</v>
      </c>
      <c r="L1615">
        <v>6.02</v>
      </c>
      <c r="M1615">
        <v>7.87</v>
      </c>
      <c r="N1615">
        <v>0.96</v>
      </c>
      <c r="O1615">
        <v>0.73</v>
      </c>
      <c r="P1615">
        <v>8.26</v>
      </c>
      <c r="Q1615">
        <v>-4.0199999999999996</v>
      </c>
      <c r="R1615">
        <v>7.87</v>
      </c>
      <c r="S1615">
        <v>8.23</v>
      </c>
      <c r="T1615">
        <v>264982</v>
      </c>
      <c r="U1615">
        <v>7.88</v>
      </c>
      <c r="V1615">
        <v>8.1999999999999993</v>
      </c>
      <c r="W1615">
        <v>76.97</v>
      </c>
      <c r="X1615" t="s">
        <v>3245</v>
      </c>
      <c r="Y1615" t="s">
        <v>123</v>
      </c>
      <c r="Z1615">
        <v>4.76</v>
      </c>
      <c r="AA1615">
        <v>8.06</v>
      </c>
      <c r="AB1615">
        <v>158799</v>
      </c>
      <c r="AC1615">
        <v>106183</v>
      </c>
      <c r="AD1615">
        <v>1.5</v>
      </c>
      <c r="AE1615">
        <v>2640</v>
      </c>
      <c r="AF1615">
        <v>1594</v>
      </c>
      <c r="AG1615" t="s">
        <v>120</v>
      </c>
      <c r="AH1615">
        <v>0.03</v>
      </c>
      <c r="AI1615" t="s">
        <v>120</v>
      </c>
      <c r="AJ1615">
        <v>4.4000000000000004</v>
      </c>
      <c r="AK1615" t="s">
        <v>8344</v>
      </c>
      <c r="AL1615">
        <v>-2.11</v>
      </c>
      <c r="AM1615">
        <v>3218</v>
      </c>
      <c r="AN1615">
        <v>82</v>
      </c>
      <c r="AO1615">
        <v>1.9E-3</v>
      </c>
      <c r="AP1615">
        <v>-4</v>
      </c>
      <c r="AQ1615">
        <v>-0.36</v>
      </c>
      <c r="AR1615">
        <v>-5.86</v>
      </c>
      <c r="AS1615">
        <v>-15.92</v>
      </c>
      <c r="AT1615">
        <v>11.95</v>
      </c>
      <c r="AU1615">
        <v>22.01</v>
      </c>
      <c r="AV1615">
        <v>1</v>
      </c>
      <c r="AW1615">
        <v>6.54</v>
      </c>
      <c r="AX1615">
        <v>59.22</v>
      </c>
      <c r="AY1615">
        <v>98.24</v>
      </c>
      <c r="AZ1615">
        <v>116.54</v>
      </c>
      <c r="BA1615">
        <v>0.74</v>
      </c>
      <c r="BB1615" t="s">
        <v>134</v>
      </c>
      <c r="BF1615">
        <v>-1.72</v>
      </c>
      <c r="BG1615">
        <v>-4.37</v>
      </c>
      <c r="BH1615">
        <v>-4.72</v>
      </c>
      <c r="BI1615">
        <v>0</v>
      </c>
      <c r="BJ1615">
        <v>20210907</v>
      </c>
      <c r="BK1615">
        <v>20110712</v>
      </c>
      <c r="BL1615">
        <v>6.84</v>
      </c>
      <c r="BM1615" t="s">
        <v>120</v>
      </c>
      <c r="BN1615" t="s">
        <v>120</v>
      </c>
      <c r="BO1615">
        <v>30.78</v>
      </c>
      <c r="BP1615">
        <v>7.87</v>
      </c>
      <c r="BQ1615">
        <v>19.75</v>
      </c>
      <c r="BR1615">
        <v>0.06</v>
      </c>
      <c r="BS1615">
        <v>35.65</v>
      </c>
      <c r="BT1615">
        <v>17.37</v>
      </c>
      <c r="BU1615">
        <v>5.51</v>
      </c>
      <c r="BV1615">
        <v>0.65</v>
      </c>
      <c r="BW1615">
        <v>9.56</v>
      </c>
      <c r="BX1615">
        <v>7.56</v>
      </c>
      <c r="BY1615">
        <v>2.67</v>
      </c>
      <c r="BZ1615">
        <v>5.31</v>
      </c>
      <c r="CA1615">
        <v>0.01</v>
      </c>
      <c r="CB1615">
        <v>9.19</v>
      </c>
      <c r="CC1615">
        <v>7.18</v>
      </c>
      <c r="CD1615">
        <v>5.74</v>
      </c>
      <c r="CE1615">
        <v>0.32</v>
      </c>
      <c r="CF1615">
        <v>0.13</v>
      </c>
      <c r="CG1615">
        <v>0.32</v>
      </c>
      <c r="CH1615">
        <v>0.36</v>
      </c>
      <c r="CI1615">
        <v>0.35</v>
      </c>
      <c r="CJ1615">
        <v>-0.33</v>
      </c>
      <c r="CK1615">
        <v>0.13</v>
      </c>
      <c r="CL1615">
        <v>3.62</v>
      </c>
      <c r="CM1615">
        <v>-0.3</v>
      </c>
      <c r="CN1615">
        <v>2.2200000000000002</v>
      </c>
      <c r="CO1615">
        <v>24124</v>
      </c>
      <c r="CP1615">
        <v>16798</v>
      </c>
      <c r="CQ1615" t="s">
        <v>8345</v>
      </c>
      <c r="CR1615">
        <v>34.47</v>
      </c>
      <c r="CS1615">
        <v>39.32</v>
      </c>
      <c r="CT1615">
        <v>2.73</v>
      </c>
      <c r="CU1615">
        <v>-181.57</v>
      </c>
      <c r="CV1615">
        <v>7.5</v>
      </c>
      <c r="CW1615">
        <v>0</v>
      </c>
      <c r="CX1615" t="s">
        <v>679</v>
      </c>
      <c r="CY1615">
        <v>2.89</v>
      </c>
      <c r="CZ1615">
        <v>0</v>
      </c>
      <c r="DA1615">
        <v>1.34</v>
      </c>
      <c r="DB1615">
        <v>0.53</v>
      </c>
      <c r="DC1615">
        <v>-0.04</v>
      </c>
      <c r="DD1615">
        <v>64.16</v>
      </c>
      <c r="DE1615" t="s">
        <v>8055</v>
      </c>
      <c r="DF1615">
        <v>20.13</v>
      </c>
      <c r="DG1615">
        <v>4.47</v>
      </c>
      <c r="DH1615">
        <v>4.87</v>
      </c>
      <c r="DI1615">
        <v>0.59</v>
      </c>
      <c r="DJ1615">
        <v>2477</v>
      </c>
      <c r="DK1615">
        <v>300241</v>
      </c>
      <c r="DL1615">
        <v>20210721</v>
      </c>
      <c r="DM1615">
        <v>9.66</v>
      </c>
      <c r="DN1615">
        <v>-18.53</v>
      </c>
    </row>
    <row r="1616" spans="1:118">
      <c r="A1616" t="str">
        <f>"300242"</f>
        <v>300242</v>
      </c>
      <c r="B1616" t="s">
        <v>8346</v>
      </c>
      <c r="C1616">
        <v>-1.1000000000000001</v>
      </c>
      <c r="D1616">
        <v>0</v>
      </c>
      <c r="E1616">
        <v>-0.66</v>
      </c>
      <c r="F1616">
        <v>837</v>
      </c>
      <c r="G1616" t="s">
        <v>7823</v>
      </c>
      <c r="H1616">
        <v>6359.17</v>
      </c>
      <c r="I1616">
        <v>21.51</v>
      </c>
      <c r="J1616" t="s">
        <v>120</v>
      </c>
      <c r="K1616" t="s">
        <v>8347</v>
      </c>
      <c r="L1616">
        <v>2.2999999999999998</v>
      </c>
      <c r="M1616">
        <v>4.4800000000000004</v>
      </c>
      <c r="N1616">
        <v>0.77</v>
      </c>
      <c r="O1616">
        <v>2.4300000000000002</v>
      </c>
      <c r="P1616">
        <v>4.6399999999999997</v>
      </c>
      <c r="Q1616">
        <v>-1.32</v>
      </c>
      <c r="R1616">
        <v>4.47</v>
      </c>
      <c r="S1616">
        <v>4.5</v>
      </c>
      <c r="T1616">
        <v>139627</v>
      </c>
      <c r="U1616">
        <v>4.49</v>
      </c>
      <c r="V1616">
        <v>4.53</v>
      </c>
      <c r="W1616">
        <v>37.18</v>
      </c>
      <c r="X1616" t="s">
        <v>1531</v>
      </c>
      <c r="Y1616" t="s">
        <v>547</v>
      </c>
      <c r="Z1616">
        <v>3.75</v>
      </c>
      <c r="AA1616">
        <v>4.55</v>
      </c>
      <c r="AB1616">
        <v>75363</v>
      </c>
      <c r="AC1616">
        <v>64264</v>
      </c>
      <c r="AD1616">
        <v>1.17</v>
      </c>
      <c r="AE1616">
        <v>511</v>
      </c>
      <c r="AF1616">
        <v>735</v>
      </c>
      <c r="AG1616" t="s">
        <v>120</v>
      </c>
      <c r="AH1616">
        <v>0.01</v>
      </c>
      <c r="AI1616" t="s">
        <v>120</v>
      </c>
      <c r="AJ1616">
        <v>6.06</v>
      </c>
      <c r="AK1616" t="s">
        <v>8348</v>
      </c>
      <c r="AL1616">
        <v>0.81</v>
      </c>
      <c r="AM1616">
        <v>1980</v>
      </c>
      <c r="AN1616">
        <v>71</v>
      </c>
      <c r="AO1616">
        <v>1.1999999999999999E-3</v>
      </c>
      <c r="AP1616">
        <v>-1</v>
      </c>
      <c r="AQ1616">
        <v>0</v>
      </c>
      <c r="AR1616">
        <v>-4.28</v>
      </c>
      <c r="AS1616">
        <v>6.41</v>
      </c>
      <c r="AT1616">
        <v>-10.4</v>
      </c>
      <c r="AU1616">
        <v>-7.82</v>
      </c>
      <c r="AV1616">
        <v>0</v>
      </c>
      <c r="AW1616">
        <v>2.97</v>
      </c>
      <c r="AX1616">
        <v>74.209999999999994</v>
      </c>
      <c r="AY1616" t="s">
        <v>120</v>
      </c>
      <c r="AZ1616" t="s">
        <v>120</v>
      </c>
      <c r="BA1616">
        <v>0.88</v>
      </c>
      <c r="BB1616" t="s">
        <v>143</v>
      </c>
      <c r="BF1616">
        <v>0.54</v>
      </c>
      <c r="BG1616">
        <v>-0.44</v>
      </c>
      <c r="BH1616">
        <v>-3.45</v>
      </c>
      <c r="BI1616">
        <v>0.22</v>
      </c>
      <c r="BJ1616">
        <v>20210827</v>
      </c>
      <c r="BK1616">
        <v>20110712</v>
      </c>
      <c r="BL1616">
        <v>6.35</v>
      </c>
      <c r="BM1616" t="s">
        <v>120</v>
      </c>
      <c r="BN1616" t="s">
        <v>120</v>
      </c>
      <c r="BO1616">
        <v>22.63</v>
      </c>
      <c r="BP1616">
        <v>4.4800000000000004</v>
      </c>
      <c r="BQ1616">
        <v>7.22</v>
      </c>
      <c r="BR1616">
        <v>0.39</v>
      </c>
      <c r="BS1616">
        <v>66.38</v>
      </c>
      <c r="BT1616">
        <v>20.79</v>
      </c>
      <c r="BU1616">
        <v>0.05</v>
      </c>
      <c r="BV1616">
        <v>0.01</v>
      </c>
      <c r="BW1616">
        <v>14.84</v>
      </c>
      <c r="BX1616">
        <v>2.0299999999999998</v>
      </c>
      <c r="BY1616">
        <v>0.02</v>
      </c>
      <c r="BZ1616">
        <v>14.89</v>
      </c>
      <c r="CA1616">
        <v>2.57</v>
      </c>
      <c r="CB1616">
        <v>12.37</v>
      </c>
      <c r="CC1616">
        <v>38.97</v>
      </c>
      <c r="CD1616">
        <v>37.130000000000003</v>
      </c>
      <c r="CE1616">
        <v>0.62</v>
      </c>
      <c r="CF1616">
        <v>0.01</v>
      </c>
      <c r="CG1616">
        <v>0.62</v>
      </c>
      <c r="CH1616">
        <v>0.49</v>
      </c>
      <c r="CI1616">
        <v>0.38</v>
      </c>
      <c r="CJ1616">
        <v>-0.05</v>
      </c>
      <c r="CK1616">
        <v>0.21</v>
      </c>
      <c r="CL1616">
        <v>-11.8</v>
      </c>
      <c r="CM1616">
        <v>-3.34</v>
      </c>
      <c r="CN1616">
        <v>-1.1100000000000001</v>
      </c>
      <c r="CO1616">
        <v>36839</v>
      </c>
      <c r="CP1616">
        <v>12782</v>
      </c>
      <c r="CQ1616" t="s">
        <v>1461</v>
      </c>
      <c r="CR1616">
        <v>860.94</v>
      </c>
      <c r="CS1616">
        <v>18.84</v>
      </c>
      <c r="CT1616">
        <v>3.94</v>
      </c>
      <c r="CU1616">
        <v>-8.51</v>
      </c>
      <c r="CV1616">
        <v>0.73</v>
      </c>
      <c r="CW1616">
        <v>0</v>
      </c>
      <c r="CX1616" t="s">
        <v>1064</v>
      </c>
      <c r="CY1616">
        <v>1.1399999999999999</v>
      </c>
      <c r="CZ1616">
        <v>0</v>
      </c>
      <c r="DA1616">
        <v>1.95</v>
      </c>
      <c r="DB1616">
        <v>-1.86</v>
      </c>
      <c r="DC1616">
        <v>-0.53</v>
      </c>
      <c r="DD1616">
        <v>31.88</v>
      </c>
      <c r="DE1616" t="s">
        <v>7356</v>
      </c>
      <c r="DF1616">
        <v>4.7300000000000004</v>
      </c>
      <c r="DG1616">
        <v>1.58</v>
      </c>
      <c r="DH1616">
        <v>0.98</v>
      </c>
      <c r="DI1616">
        <v>0.39</v>
      </c>
      <c r="DJ1616">
        <v>856</v>
      </c>
      <c r="DK1616">
        <v>300242</v>
      </c>
      <c r="DL1616" t="s">
        <v>120</v>
      </c>
      <c r="DM1616" t="s">
        <v>120</v>
      </c>
      <c r="DN1616" t="s">
        <v>120</v>
      </c>
    </row>
    <row r="1617" spans="1:118">
      <c r="A1617" t="str">
        <f>"300243"</f>
        <v>300243</v>
      </c>
      <c r="B1617" t="s">
        <v>8349</v>
      </c>
      <c r="C1617">
        <v>0.17</v>
      </c>
      <c r="D1617">
        <v>0.5</v>
      </c>
      <c r="E1617">
        <v>2.06</v>
      </c>
      <c r="F1617">
        <v>1623</v>
      </c>
      <c r="G1617" t="s">
        <v>8350</v>
      </c>
      <c r="H1617">
        <v>46524.32</v>
      </c>
      <c r="I1617">
        <v>454.57</v>
      </c>
      <c r="J1617" t="s">
        <v>120</v>
      </c>
      <c r="K1617" t="s">
        <v>3286</v>
      </c>
      <c r="L1617">
        <v>13.4</v>
      </c>
      <c r="M1617">
        <v>17.96</v>
      </c>
      <c r="N1617">
        <v>1.84</v>
      </c>
      <c r="O1617">
        <v>5.86</v>
      </c>
      <c r="P1617">
        <v>18.98</v>
      </c>
      <c r="Q1617">
        <v>-1.78</v>
      </c>
      <c r="R1617">
        <v>17.61</v>
      </c>
      <c r="S1617">
        <v>18.3</v>
      </c>
      <c r="T1617">
        <v>253063</v>
      </c>
      <c r="U1617">
        <v>17.96</v>
      </c>
      <c r="V1617">
        <v>17.93</v>
      </c>
      <c r="W1617">
        <v>28.45</v>
      </c>
      <c r="X1617" t="s">
        <v>868</v>
      </c>
      <c r="Y1617" t="s">
        <v>638</v>
      </c>
      <c r="Z1617">
        <v>7.64</v>
      </c>
      <c r="AA1617">
        <v>18.38</v>
      </c>
      <c r="AB1617">
        <v>126839</v>
      </c>
      <c r="AC1617">
        <v>126224</v>
      </c>
      <c r="AD1617">
        <v>1</v>
      </c>
      <c r="AE1617">
        <v>5</v>
      </c>
      <c r="AF1617">
        <v>332</v>
      </c>
      <c r="AG1617" t="s">
        <v>120</v>
      </c>
      <c r="AH1617">
        <v>0.15</v>
      </c>
      <c r="AI1617" t="s">
        <v>120</v>
      </c>
      <c r="AJ1617">
        <v>1.89</v>
      </c>
      <c r="AK1617" t="s">
        <v>4425</v>
      </c>
      <c r="AL1617">
        <v>2.08</v>
      </c>
      <c r="AM1617">
        <v>3389</v>
      </c>
      <c r="AN1617">
        <v>75</v>
      </c>
      <c r="AO1617">
        <v>4.0000000000000001E-3</v>
      </c>
      <c r="AP1617">
        <v>2</v>
      </c>
      <c r="AQ1617">
        <v>6.47</v>
      </c>
      <c r="AR1617">
        <v>6.26</v>
      </c>
      <c r="AS1617">
        <v>18.079999999999998</v>
      </c>
      <c r="AT1617">
        <v>19.73</v>
      </c>
      <c r="AU1617">
        <v>21.84</v>
      </c>
      <c r="AV1617">
        <v>1</v>
      </c>
      <c r="AW1617">
        <v>15.54</v>
      </c>
      <c r="AX1617">
        <v>70.12</v>
      </c>
      <c r="AY1617">
        <v>32.69</v>
      </c>
      <c r="AZ1617">
        <v>48.8</v>
      </c>
      <c r="BA1617">
        <v>0.49</v>
      </c>
      <c r="BB1617" t="s">
        <v>184</v>
      </c>
      <c r="BF1617">
        <v>2.5299999999999998</v>
      </c>
      <c r="BG1617">
        <v>-1.86</v>
      </c>
      <c r="BH1617">
        <v>-5.37</v>
      </c>
      <c r="BI1617">
        <v>1.99</v>
      </c>
      <c r="BJ1617">
        <v>20210828</v>
      </c>
      <c r="BK1617">
        <v>20110712</v>
      </c>
      <c r="BL1617">
        <v>2.3199999999999998</v>
      </c>
      <c r="BM1617" t="s">
        <v>120</v>
      </c>
      <c r="BN1617" t="s">
        <v>120</v>
      </c>
      <c r="BO1617">
        <v>15.2</v>
      </c>
      <c r="BP1617">
        <v>17.940000000000001</v>
      </c>
      <c r="BQ1617">
        <v>7.98</v>
      </c>
      <c r="BR1617">
        <v>0.16</v>
      </c>
      <c r="BS1617">
        <v>46.46</v>
      </c>
      <c r="BT1617">
        <v>7.97</v>
      </c>
      <c r="BU1617">
        <v>3.19</v>
      </c>
      <c r="BV1617">
        <v>0.72</v>
      </c>
      <c r="BW1617">
        <v>6.97</v>
      </c>
      <c r="BX1617">
        <v>1.29</v>
      </c>
      <c r="BY1617">
        <v>1.62</v>
      </c>
      <c r="BZ1617">
        <v>2.98</v>
      </c>
      <c r="CA1617" t="s">
        <v>120</v>
      </c>
      <c r="CB1617">
        <v>0.66</v>
      </c>
      <c r="CC1617">
        <v>9.2200000000000006</v>
      </c>
      <c r="CD1617">
        <v>7.41</v>
      </c>
      <c r="CE1617">
        <v>0.88</v>
      </c>
      <c r="CF1617">
        <v>0</v>
      </c>
      <c r="CG1617">
        <v>0.86</v>
      </c>
      <c r="CH1617">
        <v>0.73</v>
      </c>
      <c r="CI1617">
        <v>0.73</v>
      </c>
      <c r="CJ1617">
        <v>0.03</v>
      </c>
      <c r="CK1617">
        <v>0.73</v>
      </c>
      <c r="CL1617">
        <v>4.5199999999999996</v>
      </c>
      <c r="CM1617">
        <v>-0.47</v>
      </c>
      <c r="CN1617">
        <v>-0.1</v>
      </c>
      <c r="CO1617">
        <v>16175</v>
      </c>
      <c r="CP1617">
        <v>10071</v>
      </c>
      <c r="CQ1617" t="s">
        <v>8351</v>
      </c>
      <c r="CR1617">
        <v>134.52000000000001</v>
      </c>
      <c r="CS1617">
        <v>76.13</v>
      </c>
      <c r="CT1617">
        <v>5.23</v>
      </c>
      <c r="CU1617">
        <v>-89.2</v>
      </c>
      <c r="CV1617">
        <v>4.53</v>
      </c>
      <c r="CW1617">
        <v>0.67</v>
      </c>
      <c r="CX1617" t="s">
        <v>966</v>
      </c>
      <c r="CY1617">
        <v>3.43</v>
      </c>
      <c r="CZ1617">
        <v>0</v>
      </c>
      <c r="DA1617">
        <v>0.28000000000000003</v>
      </c>
      <c r="DB1617">
        <v>1.94</v>
      </c>
      <c r="DC1617">
        <v>-0.2</v>
      </c>
      <c r="DD1617">
        <v>52.49</v>
      </c>
      <c r="DE1617" t="s">
        <v>8352</v>
      </c>
      <c r="DF1617">
        <v>19.64</v>
      </c>
      <c r="DG1617">
        <v>9.51</v>
      </c>
      <c r="DH1617">
        <v>7.95</v>
      </c>
      <c r="DI1617">
        <v>0.02</v>
      </c>
      <c r="DJ1617">
        <v>689</v>
      </c>
      <c r="DK1617">
        <v>300243</v>
      </c>
      <c r="DL1617">
        <v>20210901</v>
      </c>
      <c r="DM1617">
        <v>17.22</v>
      </c>
      <c r="DN1617">
        <v>4.3</v>
      </c>
    </row>
    <row r="1618" spans="1:118">
      <c r="A1618" t="str">
        <f>"300244"</f>
        <v>300244</v>
      </c>
      <c r="B1618" t="s">
        <v>8353</v>
      </c>
      <c r="C1618">
        <v>-1.24</v>
      </c>
      <c r="D1618">
        <v>0</v>
      </c>
      <c r="E1618">
        <v>-0.21</v>
      </c>
      <c r="F1618">
        <v>566</v>
      </c>
      <c r="G1618" t="s">
        <v>8354</v>
      </c>
      <c r="H1618">
        <v>10000.36</v>
      </c>
      <c r="I1618">
        <v>9.57</v>
      </c>
      <c r="J1618" t="s">
        <v>120</v>
      </c>
      <c r="K1618" t="s">
        <v>8355</v>
      </c>
      <c r="L1618">
        <v>0.72</v>
      </c>
      <c r="M1618">
        <v>28.69</v>
      </c>
      <c r="N1618">
        <v>0.64</v>
      </c>
      <c r="O1618">
        <v>0.34</v>
      </c>
      <c r="P1618">
        <v>29.15</v>
      </c>
      <c r="Q1618">
        <v>-1.24</v>
      </c>
      <c r="R1618">
        <v>28.69</v>
      </c>
      <c r="S1618">
        <v>28.99</v>
      </c>
      <c r="T1618">
        <v>34660</v>
      </c>
      <c r="U1618">
        <v>28.7</v>
      </c>
      <c r="V1618">
        <v>29.05</v>
      </c>
      <c r="W1618">
        <v>12.24</v>
      </c>
      <c r="X1618" t="s">
        <v>555</v>
      </c>
      <c r="Y1618" t="s">
        <v>585</v>
      </c>
      <c r="Z1618">
        <v>1.58</v>
      </c>
      <c r="AA1618">
        <v>28.85</v>
      </c>
      <c r="AB1618">
        <v>19334</v>
      </c>
      <c r="AC1618">
        <v>15326</v>
      </c>
      <c r="AD1618">
        <v>1.26</v>
      </c>
      <c r="AE1618">
        <v>318</v>
      </c>
      <c r="AF1618">
        <v>408</v>
      </c>
      <c r="AG1618" t="s">
        <v>120</v>
      </c>
      <c r="AH1618">
        <v>0</v>
      </c>
      <c r="AI1618" t="s">
        <v>120</v>
      </c>
      <c r="AJ1618">
        <v>4.84</v>
      </c>
      <c r="AK1618" t="s">
        <v>8356</v>
      </c>
      <c r="AL1618">
        <v>0.67</v>
      </c>
      <c r="AM1618">
        <v>2330</v>
      </c>
      <c r="AN1618">
        <v>15</v>
      </c>
      <c r="AO1618">
        <v>2.9999999999999997E-4</v>
      </c>
      <c r="AP1618">
        <v>-2</v>
      </c>
      <c r="AQ1618">
        <v>-2.2200000000000002</v>
      </c>
      <c r="AR1618">
        <v>-3.34</v>
      </c>
      <c r="AS1618">
        <v>-12.13</v>
      </c>
      <c r="AT1618">
        <v>-22.15</v>
      </c>
      <c r="AU1618">
        <v>-15.98</v>
      </c>
      <c r="AV1618">
        <v>0</v>
      </c>
      <c r="AW1618">
        <v>0.81</v>
      </c>
      <c r="AX1618">
        <v>68.95</v>
      </c>
      <c r="AY1618">
        <v>17.52</v>
      </c>
      <c r="AZ1618">
        <v>22.45</v>
      </c>
      <c r="BA1618">
        <v>0.81</v>
      </c>
      <c r="BB1618" t="s">
        <v>143</v>
      </c>
      <c r="BF1618">
        <v>-0.68</v>
      </c>
      <c r="BG1618">
        <v>-1.03</v>
      </c>
      <c r="BH1618">
        <v>-1.58</v>
      </c>
      <c r="BI1618">
        <v>0</v>
      </c>
      <c r="BJ1618">
        <v>20210827</v>
      </c>
      <c r="BK1618">
        <v>20110719</v>
      </c>
      <c r="BL1618">
        <v>6.2</v>
      </c>
      <c r="BM1618" t="s">
        <v>120</v>
      </c>
      <c r="BN1618" t="s">
        <v>120</v>
      </c>
      <c r="BO1618">
        <v>140.49</v>
      </c>
      <c r="BP1618">
        <v>28.69</v>
      </c>
      <c r="BQ1618">
        <v>54.43</v>
      </c>
      <c r="BR1618">
        <v>15.72</v>
      </c>
      <c r="BS1618">
        <v>50.06</v>
      </c>
      <c r="BT1618">
        <v>94.44</v>
      </c>
      <c r="BU1618">
        <v>10.98</v>
      </c>
      <c r="BV1618">
        <v>0.6</v>
      </c>
      <c r="BW1618">
        <v>58.54</v>
      </c>
      <c r="BX1618">
        <v>17.57</v>
      </c>
      <c r="BY1618">
        <v>11.89</v>
      </c>
      <c r="BZ1618">
        <v>53.92</v>
      </c>
      <c r="CA1618" t="s">
        <v>120</v>
      </c>
      <c r="CB1618">
        <v>16.920000000000002</v>
      </c>
      <c r="CC1618">
        <v>57.91</v>
      </c>
      <c r="CD1618">
        <v>36.799999999999997</v>
      </c>
      <c r="CE1618">
        <v>10.34</v>
      </c>
      <c r="CF1618">
        <v>0.2</v>
      </c>
      <c r="CG1618">
        <v>10.39</v>
      </c>
      <c r="CH1618">
        <v>8.81</v>
      </c>
      <c r="CI1618">
        <v>7.27</v>
      </c>
      <c r="CJ1618">
        <v>-0.36</v>
      </c>
      <c r="CK1618">
        <v>6.34</v>
      </c>
      <c r="CL1618">
        <v>30.7</v>
      </c>
      <c r="CM1618">
        <v>1.19</v>
      </c>
      <c r="CN1618">
        <v>0.38</v>
      </c>
      <c r="CO1618">
        <v>36077</v>
      </c>
      <c r="CP1618">
        <v>11858</v>
      </c>
      <c r="CQ1618" t="s">
        <v>8357</v>
      </c>
      <c r="CR1618">
        <v>45.02</v>
      </c>
      <c r="CS1618">
        <v>29.46</v>
      </c>
      <c r="CT1618">
        <v>3.27</v>
      </c>
      <c r="CU1618">
        <v>149.26</v>
      </c>
      <c r="CV1618">
        <v>3.07</v>
      </c>
      <c r="CW1618">
        <v>0.45</v>
      </c>
      <c r="CX1618" t="s">
        <v>8358</v>
      </c>
      <c r="CY1618">
        <v>8.77</v>
      </c>
      <c r="CZ1618">
        <v>0</v>
      </c>
      <c r="DA1618">
        <v>2.73</v>
      </c>
      <c r="DB1618">
        <v>4.95</v>
      </c>
      <c r="DC1618">
        <v>0.19</v>
      </c>
      <c r="DD1618">
        <v>38.74</v>
      </c>
      <c r="DE1618" t="s">
        <v>8359</v>
      </c>
      <c r="DF1618">
        <v>36.450000000000003</v>
      </c>
      <c r="DG1618">
        <v>17.850000000000001</v>
      </c>
      <c r="DH1618">
        <v>12.56</v>
      </c>
      <c r="DI1618">
        <v>1.67</v>
      </c>
      <c r="DJ1618">
        <v>9300</v>
      </c>
      <c r="DK1618">
        <v>300244</v>
      </c>
      <c r="DL1618" t="s">
        <v>120</v>
      </c>
      <c r="DM1618" t="s">
        <v>120</v>
      </c>
      <c r="DN1618" t="s">
        <v>120</v>
      </c>
    </row>
    <row r="1619" spans="1:118">
      <c r="A1619" t="str">
        <f>"300245"</f>
        <v>300245</v>
      </c>
      <c r="B1619" t="s">
        <v>8360</v>
      </c>
      <c r="C1619">
        <v>-2.46</v>
      </c>
      <c r="D1619">
        <v>0.11</v>
      </c>
      <c r="E1619">
        <v>0</v>
      </c>
      <c r="F1619">
        <v>217</v>
      </c>
      <c r="G1619" t="s">
        <v>2090</v>
      </c>
      <c r="H1619">
        <v>4012.06</v>
      </c>
      <c r="I1619">
        <v>0</v>
      </c>
      <c r="J1619" t="s">
        <v>120</v>
      </c>
      <c r="K1619" t="s">
        <v>7083</v>
      </c>
      <c r="L1619">
        <v>1.47</v>
      </c>
      <c r="M1619">
        <v>8.7100000000000009</v>
      </c>
      <c r="N1619">
        <v>1.1200000000000001</v>
      </c>
      <c r="O1619">
        <v>0.67</v>
      </c>
      <c r="P1619">
        <v>8.99</v>
      </c>
      <c r="Q1619">
        <v>-2.69</v>
      </c>
      <c r="R1619">
        <v>8.69</v>
      </c>
      <c r="S1619">
        <v>8.93</v>
      </c>
      <c r="T1619">
        <v>45321</v>
      </c>
      <c r="U1619">
        <v>8.7200000000000006</v>
      </c>
      <c r="V1619">
        <v>8.93</v>
      </c>
      <c r="W1619">
        <v>77.239999999999995</v>
      </c>
      <c r="X1619" t="s">
        <v>141</v>
      </c>
      <c r="Y1619" t="s">
        <v>1510</v>
      </c>
      <c r="Z1619">
        <v>3.36</v>
      </c>
      <c r="AA1619">
        <v>8.85</v>
      </c>
      <c r="AB1619">
        <v>29501</v>
      </c>
      <c r="AC1619">
        <v>15820</v>
      </c>
      <c r="AD1619">
        <v>1.86</v>
      </c>
      <c r="AE1619">
        <v>117</v>
      </c>
      <c r="AF1619">
        <v>29</v>
      </c>
      <c r="AG1619" t="s">
        <v>120</v>
      </c>
      <c r="AH1619">
        <v>0</v>
      </c>
      <c r="AI1619" t="s">
        <v>120</v>
      </c>
      <c r="AJ1619">
        <v>3.09</v>
      </c>
      <c r="AK1619" t="s">
        <v>8361</v>
      </c>
      <c r="AL1619">
        <v>-0.55000000000000004</v>
      </c>
      <c r="AM1619">
        <v>1204</v>
      </c>
      <c r="AN1619">
        <v>38</v>
      </c>
      <c r="AO1619">
        <v>1.1999999999999999E-3</v>
      </c>
      <c r="AP1619">
        <v>-4</v>
      </c>
      <c r="AQ1619">
        <v>-0.11</v>
      </c>
      <c r="AR1619">
        <v>-2.79</v>
      </c>
      <c r="AS1619">
        <v>-6.75</v>
      </c>
      <c r="AT1619">
        <v>-1.59</v>
      </c>
      <c r="AU1619">
        <v>-5.58</v>
      </c>
      <c r="AV1619">
        <v>0</v>
      </c>
      <c r="AW1619">
        <v>1.69</v>
      </c>
      <c r="AX1619">
        <v>85.65</v>
      </c>
      <c r="AY1619">
        <v>75.42</v>
      </c>
      <c r="AZ1619">
        <v>71.790000000000006</v>
      </c>
      <c r="BA1619">
        <v>0.71</v>
      </c>
      <c r="BB1619" t="s">
        <v>143</v>
      </c>
      <c r="BF1619">
        <v>-0.87</v>
      </c>
      <c r="BG1619">
        <v>-2.46</v>
      </c>
      <c r="BH1619">
        <v>-3.11</v>
      </c>
      <c r="BI1619">
        <v>0.23</v>
      </c>
      <c r="BJ1619">
        <v>20210827</v>
      </c>
      <c r="BK1619">
        <v>20110719</v>
      </c>
      <c r="BL1619">
        <v>3.13</v>
      </c>
      <c r="BM1619" t="s">
        <v>120</v>
      </c>
      <c r="BN1619" t="s">
        <v>120</v>
      </c>
      <c r="BO1619">
        <v>17</v>
      </c>
      <c r="BP1619">
        <v>8.7100000000000009</v>
      </c>
      <c r="BQ1619">
        <v>14.97</v>
      </c>
      <c r="BR1619">
        <v>0.12</v>
      </c>
      <c r="BS1619">
        <v>11.24</v>
      </c>
      <c r="BT1619">
        <v>11.13</v>
      </c>
      <c r="BU1619">
        <v>2.68</v>
      </c>
      <c r="BV1619">
        <v>0.09</v>
      </c>
      <c r="BW1619">
        <v>1.81</v>
      </c>
      <c r="BX1619">
        <v>7.34</v>
      </c>
      <c r="BY1619">
        <v>0.38</v>
      </c>
      <c r="BZ1619">
        <v>1.1499999999999999</v>
      </c>
      <c r="CA1619">
        <v>0.01</v>
      </c>
      <c r="CB1619">
        <v>6.92</v>
      </c>
      <c r="CC1619">
        <v>1.87</v>
      </c>
      <c r="CD1619">
        <v>1.1299999999999999</v>
      </c>
      <c r="CE1619">
        <v>0.17</v>
      </c>
      <c r="CF1619">
        <v>-0.02</v>
      </c>
      <c r="CG1619">
        <v>0.21</v>
      </c>
      <c r="CH1619">
        <v>0.17</v>
      </c>
      <c r="CI1619">
        <v>0.18</v>
      </c>
      <c r="CJ1619">
        <v>-0.22</v>
      </c>
      <c r="CK1619">
        <v>0.12</v>
      </c>
      <c r="CL1619">
        <v>4.05</v>
      </c>
      <c r="CM1619">
        <v>-0.79</v>
      </c>
      <c r="CN1619">
        <v>-1.2</v>
      </c>
      <c r="CO1619">
        <v>24719</v>
      </c>
      <c r="CP1619">
        <v>10861</v>
      </c>
      <c r="CQ1619" t="s">
        <v>8176</v>
      </c>
      <c r="CR1619">
        <v>-9.59</v>
      </c>
      <c r="CS1619">
        <v>6.05</v>
      </c>
      <c r="CT1619">
        <v>1.82</v>
      </c>
      <c r="CU1619">
        <v>-34.47</v>
      </c>
      <c r="CV1619">
        <v>14.56</v>
      </c>
      <c r="CW1619">
        <v>0.28000000000000003</v>
      </c>
      <c r="CX1619" t="s">
        <v>1064</v>
      </c>
      <c r="CY1619">
        <v>4.78</v>
      </c>
      <c r="CZ1619">
        <v>0</v>
      </c>
      <c r="DA1619">
        <v>2.21</v>
      </c>
      <c r="DB1619">
        <v>1.29</v>
      </c>
      <c r="DC1619">
        <v>-0.25</v>
      </c>
      <c r="DD1619">
        <v>88.03</v>
      </c>
      <c r="DE1619" t="s">
        <v>1283</v>
      </c>
      <c r="DF1619">
        <v>39.479999999999997</v>
      </c>
      <c r="DG1619">
        <v>9.09</v>
      </c>
      <c r="DH1619">
        <v>9.43</v>
      </c>
      <c r="DI1619">
        <v>0.2</v>
      </c>
      <c r="DJ1619">
        <v>756</v>
      </c>
      <c r="DK1619">
        <v>300245</v>
      </c>
      <c r="DL1619" t="s">
        <v>120</v>
      </c>
      <c r="DM1619" t="s">
        <v>120</v>
      </c>
      <c r="DN1619" t="s">
        <v>120</v>
      </c>
    </row>
    <row r="1620" spans="1:118">
      <c r="A1620" t="str">
        <f>"300246"</f>
        <v>300246</v>
      </c>
      <c r="B1620" t="s">
        <v>8362</v>
      </c>
      <c r="C1620">
        <v>0.95</v>
      </c>
      <c r="D1620">
        <v>0.24</v>
      </c>
      <c r="E1620">
        <v>1.36</v>
      </c>
      <c r="F1620">
        <v>418</v>
      </c>
      <c r="G1620" t="s">
        <v>8363</v>
      </c>
      <c r="H1620">
        <v>4053.14</v>
      </c>
      <c r="I1620">
        <v>17.61</v>
      </c>
      <c r="J1620" t="s">
        <v>120</v>
      </c>
      <c r="K1620" t="s">
        <v>1607</v>
      </c>
      <c r="L1620">
        <v>2.16</v>
      </c>
      <c r="M1620">
        <v>17.03</v>
      </c>
      <c r="N1620">
        <v>1.22</v>
      </c>
      <c r="O1620">
        <v>3.32</v>
      </c>
      <c r="P1620">
        <v>17.43</v>
      </c>
      <c r="Q1620">
        <v>-0.12</v>
      </c>
      <c r="R1620">
        <v>16.850000000000001</v>
      </c>
      <c r="S1620">
        <v>17.100000000000001</v>
      </c>
      <c r="T1620">
        <v>23625</v>
      </c>
      <c r="U1620">
        <v>17.03</v>
      </c>
      <c r="V1620">
        <v>16.87</v>
      </c>
      <c r="W1620">
        <v>23.59</v>
      </c>
      <c r="X1620" t="s">
        <v>555</v>
      </c>
      <c r="Y1620" t="s">
        <v>547</v>
      </c>
      <c r="Z1620">
        <v>3.44</v>
      </c>
      <c r="AA1620">
        <v>17.16</v>
      </c>
      <c r="AB1620">
        <v>11200</v>
      </c>
      <c r="AC1620">
        <v>12425</v>
      </c>
      <c r="AD1620">
        <v>0.9</v>
      </c>
      <c r="AE1620">
        <v>28</v>
      </c>
      <c r="AF1620">
        <v>5</v>
      </c>
      <c r="AG1620" t="s">
        <v>120</v>
      </c>
      <c r="AH1620">
        <v>0.01</v>
      </c>
      <c r="AI1620" t="s">
        <v>120</v>
      </c>
      <c r="AJ1620">
        <v>1.0900000000000001</v>
      </c>
      <c r="AK1620" t="s">
        <v>8364</v>
      </c>
      <c r="AL1620">
        <v>2.86</v>
      </c>
      <c r="AM1620">
        <v>1222</v>
      </c>
      <c r="AN1620">
        <v>19</v>
      </c>
      <c r="AO1620">
        <v>1.8E-3</v>
      </c>
      <c r="AP1620">
        <v>1</v>
      </c>
      <c r="AQ1620">
        <v>-1.4</v>
      </c>
      <c r="AR1620">
        <v>-0.87</v>
      </c>
      <c r="AS1620">
        <v>4.54</v>
      </c>
      <c r="AT1620">
        <v>-12.71</v>
      </c>
      <c r="AU1620">
        <v>-33.42</v>
      </c>
      <c r="AV1620">
        <v>0</v>
      </c>
      <c r="AW1620">
        <v>2.5299999999999998</v>
      </c>
      <c r="AX1620">
        <v>63.92</v>
      </c>
      <c r="AY1620">
        <v>15.51</v>
      </c>
      <c r="AZ1620">
        <v>7.12</v>
      </c>
      <c r="BA1620">
        <v>0.95</v>
      </c>
      <c r="BB1620" t="s">
        <v>143</v>
      </c>
      <c r="BF1620">
        <v>1.7</v>
      </c>
      <c r="BG1620">
        <v>-0.41</v>
      </c>
      <c r="BH1620">
        <v>-2.29</v>
      </c>
      <c r="BI1620">
        <v>1.07</v>
      </c>
      <c r="BJ1620">
        <v>20210901</v>
      </c>
      <c r="BK1620">
        <v>20110719</v>
      </c>
      <c r="BL1620">
        <v>1.46</v>
      </c>
      <c r="BM1620" t="s">
        <v>120</v>
      </c>
      <c r="BN1620" t="s">
        <v>120</v>
      </c>
      <c r="BO1620">
        <v>16.489999999999998</v>
      </c>
      <c r="BP1620">
        <v>17.010000000000002</v>
      </c>
      <c r="BQ1620">
        <v>9.1199999999999992</v>
      </c>
      <c r="BR1620">
        <v>1.1299999999999999</v>
      </c>
      <c r="BS1620">
        <v>37.840000000000003</v>
      </c>
      <c r="BT1620">
        <v>8.56</v>
      </c>
      <c r="BU1620">
        <v>3.89</v>
      </c>
      <c r="BV1620">
        <v>0.86</v>
      </c>
      <c r="BW1620">
        <v>4.3899999999999997</v>
      </c>
      <c r="BX1620">
        <v>4.29</v>
      </c>
      <c r="BY1620">
        <v>1.54</v>
      </c>
      <c r="BZ1620">
        <v>1.96</v>
      </c>
      <c r="CA1620" t="s">
        <v>120</v>
      </c>
      <c r="CB1620">
        <v>0.16</v>
      </c>
      <c r="CC1620">
        <v>5.07</v>
      </c>
      <c r="CD1620">
        <v>3.25</v>
      </c>
      <c r="CE1620">
        <v>0.62</v>
      </c>
      <c r="CF1620">
        <v>0</v>
      </c>
      <c r="CG1620">
        <v>0.62</v>
      </c>
      <c r="CH1620">
        <v>0.53</v>
      </c>
      <c r="CI1620">
        <v>0.53</v>
      </c>
      <c r="CJ1620">
        <v>0.16</v>
      </c>
      <c r="CK1620">
        <v>0.51</v>
      </c>
      <c r="CL1620">
        <v>6.27</v>
      </c>
      <c r="CM1620">
        <v>0.37</v>
      </c>
      <c r="CN1620">
        <v>0.02</v>
      </c>
      <c r="CO1620">
        <v>22665</v>
      </c>
      <c r="CP1620">
        <v>4120</v>
      </c>
      <c r="CQ1620" t="s">
        <v>3365</v>
      </c>
      <c r="CR1620">
        <v>-78.03</v>
      </c>
      <c r="CS1620">
        <v>-34.799999999999997</v>
      </c>
      <c r="CT1620">
        <v>2.9</v>
      </c>
      <c r="CU1620">
        <v>67.31</v>
      </c>
      <c r="CV1620">
        <v>4.91</v>
      </c>
      <c r="CW1620">
        <v>2.37</v>
      </c>
      <c r="CX1620" t="s">
        <v>8365</v>
      </c>
      <c r="CY1620">
        <v>5.87</v>
      </c>
      <c r="CZ1620">
        <v>5.87</v>
      </c>
      <c r="DA1620">
        <v>0.11</v>
      </c>
      <c r="DB1620">
        <v>4.29</v>
      </c>
      <c r="DC1620">
        <v>0.25</v>
      </c>
      <c r="DD1620">
        <v>55.33</v>
      </c>
      <c r="DE1620" t="s">
        <v>8366</v>
      </c>
      <c r="DF1620">
        <v>35.89</v>
      </c>
      <c r="DG1620">
        <v>12.33</v>
      </c>
      <c r="DH1620">
        <v>10.41</v>
      </c>
      <c r="DI1620">
        <v>0.3</v>
      </c>
      <c r="DJ1620">
        <v>1091</v>
      </c>
      <c r="DK1620">
        <v>300246</v>
      </c>
      <c r="DL1620" t="s">
        <v>120</v>
      </c>
      <c r="DM1620" t="s">
        <v>120</v>
      </c>
      <c r="DN1620" t="s">
        <v>120</v>
      </c>
    </row>
    <row r="1621" spans="1:118">
      <c r="A1621" t="str">
        <f>"300247"</f>
        <v>300247</v>
      </c>
      <c r="B1621" t="s">
        <v>8367</v>
      </c>
      <c r="C1621">
        <v>-1.33</v>
      </c>
      <c r="D1621">
        <v>-0.26</v>
      </c>
      <c r="E1621">
        <v>0.8</v>
      </c>
      <c r="F1621">
        <v>3618</v>
      </c>
      <c r="G1621" t="s">
        <v>8368</v>
      </c>
      <c r="H1621">
        <v>9421.16</v>
      </c>
      <c r="I1621">
        <v>76.510000000000005</v>
      </c>
      <c r="J1621" t="s">
        <v>120</v>
      </c>
      <c r="K1621" t="s">
        <v>8369</v>
      </c>
      <c r="L1621">
        <v>3.13</v>
      </c>
      <c r="M1621">
        <v>3.7</v>
      </c>
      <c r="N1621">
        <v>0.93</v>
      </c>
      <c r="O1621">
        <v>1.6</v>
      </c>
      <c r="P1621">
        <v>3.81</v>
      </c>
      <c r="Q1621">
        <v>-1.87</v>
      </c>
      <c r="R1621">
        <v>3.68</v>
      </c>
      <c r="S1621">
        <v>3.78</v>
      </c>
      <c r="T1621">
        <v>251674</v>
      </c>
      <c r="U1621">
        <v>3.71</v>
      </c>
      <c r="V1621">
        <v>3.75</v>
      </c>
      <c r="W1621">
        <v>169.13</v>
      </c>
      <c r="X1621" t="s">
        <v>555</v>
      </c>
      <c r="Y1621" t="s">
        <v>570</v>
      </c>
      <c r="Z1621">
        <v>3.47</v>
      </c>
      <c r="AA1621">
        <v>3.74</v>
      </c>
      <c r="AB1621">
        <v>135245</v>
      </c>
      <c r="AC1621">
        <v>116429</v>
      </c>
      <c r="AD1621">
        <v>1.1599999999999999</v>
      </c>
      <c r="AE1621">
        <v>1556</v>
      </c>
      <c r="AF1621">
        <v>318</v>
      </c>
      <c r="AG1621" t="s">
        <v>120</v>
      </c>
      <c r="AH1621">
        <v>0.03</v>
      </c>
      <c r="AI1621" t="s">
        <v>120</v>
      </c>
      <c r="AJ1621">
        <v>8.0299999999999994</v>
      </c>
      <c r="AK1621" t="s">
        <v>6570</v>
      </c>
      <c r="AL1621">
        <v>0.57999999999999996</v>
      </c>
      <c r="AM1621">
        <v>1856</v>
      </c>
      <c r="AN1621">
        <v>136</v>
      </c>
      <c r="AO1621">
        <v>1.6999999999999999E-3</v>
      </c>
      <c r="AP1621">
        <v>-3</v>
      </c>
      <c r="AQ1621">
        <v>-0.53</v>
      </c>
      <c r="AR1621">
        <v>-4.1399999999999997</v>
      </c>
      <c r="AS1621">
        <v>10.119999999999999</v>
      </c>
      <c r="AT1621">
        <v>17.84</v>
      </c>
      <c r="AU1621">
        <v>38.06</v>
      </c>
      <c r="AV1621">
        <v>0</v>
      </c>
      <c r="AW1621">
        <v>3.98</v>
      </c>
      <c r="AX1621">
        <v>78.67</v>
      </c>
      <c r="AY1621" t="s">
        <v>120</v>
      </c>
      <c r="AZ1621" t="s">
        <v>120</v>
      </c>
      <c r="BA1621">
        <v>0.98</v>
      </c>
      <c r="BB1621" t="s">
        <v>143</v>
      </c>
      <c r="BF1621">
        <v>-0.18</v>
      </c>
      <c r="BG1621">
        <v>-2.12</v>
      </c>
      <c r="BH1621">
        <v>-2.89</v>
      </c>
      <c r="BI1621">
        <v>0.54</v>
      </c>
      <c r="BJ1621">
        <v>20210827</v>
      </c>
      <c r="BK1621">
        <v>20110729</v>
      </c>
      <c r="BL1621">
        <v>8.0399999999999991</v>
      </c>
      <c r="BM1621" t="s">
        <v>120</v>
      </c>
      <c r="BN1621" t="s">
        <v>120</v>
      </c>
      <c r="BO1621">
        <v>9.6</v>
      </c>
      <c r="BP1621">
        <v>3.7</v>
      </c>
      <c r="BQ1621">
        <v>8.14</v>
      </c>
      <c r="BR1621">
        <v>0.28000000000000003</v>
      </c>
      <c r="BS1621">
        <v>12.4</v>
      </c>
      <c r="BT1621">
        <v>4.3600000000000003</v>
      </c>
      <c r="BU1621">
        <v>2.09</v>
      </c>
      <c r="BV1621">
        <v>0.57999999999999996</v>
      </c>
      <c r="BW1621">
        <v>1.03</v>
      </c>
      <c r="BX1621">
        <v>0.96</v>
      </c>
      <c r="BY1621">
        <v>1.21</v>
      </c>
      <c r="BZ1621">
        <v>0.27</v>
      </c>
      <c r="CA1621" t="s">
        <v>120</v>
      </c>
      <c r="CB1621">
        <v>13.46</v>
      </c>
      <c r="CC1621">
        <v>2.68</v>
      </c>
      <c r="CD1621">
        <v>2.0499999999999998</v>
      </c>
      <c r="CE1621">
        <v>0.18</v>
      </c>
      <c r="CF1621">
        <v>0.01</v>
      </c>
      <c r="CG1621">
        <v>0.18</v>
      </c>
      <c r="CH1621">
        <v>0.13</v>
      </c>
      <c r="CI1621">
        <v>0.09</v>
      </c>
      <c r="CJ1621">
        <v>-0.05</v>
      </c>
      <c r="CK1621">
        <v>0.08</v>
      </c>
      <c r="CL1621">
        <v>-13.68</v>
      </c>
      <c r="CM1621">
        <v>0.09</v>
      </c>
      <c r="CN1621">
        <v>-0.63</v>
      </c>
      <c r="CO1621">
        <v>45438</v>
      </c>
      <c r="CP1621">
        <v>13922</v>
      </c>
      <c r="CQ1621" t="s">
        <v>5837</v>
      </c>
      <c r="CR1621">
        <v>179.34</v>
      </c>
      <c r="CS1621">
        <v>13.32</v>
      </c>
      <c r="CT1621">
        <v>3.66</v>
      </c>
      <c r="CU1621">
        <v>317.99</v>
      </c>
      <c r="CV1621">
        <v>11.08</v>
      </c>
      <c r="CW1621">
        <v>0</v>
      </c>
      <c r="CX1621" t="s">
        <v>730</v>
      </c>
      <c r="CY1621">
        <v>1.01</v>
      </c>
      <c r="CZ1621">
        <v>0</v>
      </c>
      <c r="DA1621">
        <v>1.67</v>
      </c>
      <c r="DB1621">
        <v>-1.7</v>
      </c>
      <c r="DC1621">
        <v>0.01</v>
      </c>
      <c r="DD1621">
        <v>84.73</v>
      </c>
      <c r="DE1621" t="s">
        <v>3972</v>
      </c>
      <c r="DF1621">
        <v>23.45</v>
      </c>
      <c r="DG1621">
        <v>6.6</v>
      </c>
      <c r="DH1621">
        <v>3.28</v>
      </c>
      <c r="DI1621">
        <v>0.06</v>
      </c>
      <c r="DJ1621">
        <v>679</v>
      </c>
      <c r="DK1621">
        <v>300247</v>
      </c>
      <c r="DL1621" t="s">
        <v>120</v>
      </c>
      <c r="DM1621" t="s">
        <v>120</v>
      </c>
      <c r="DN1621" t="s">
        <v>120</v>
      </c>
    </row>
    <row r="1622" spans="1:118">
      <c r="A1622" t="str">
        <f>"300248"</f>
        <v>300248</v>
      </c>
      <c r="B1622" t="s">
        <v>8370</v>
      </c>
      <c r="C1622">
        <v>-4.32</v>
      </c>
      <c r="D1622">
        <v>0</v>
      </c>
      <c r="E1622">
        <v>0.68</v>
      </c>
      <c r="F1622">
        <v>1011</v>
      </c>
      <c r="G1622" t="s">
        <v>8371</v>
      </c>
      <c r="H1622">
        <v>7054.85</v>
      </c>
      <c r="I1622">
        <v>27.55</v>
      </c>
      <c r="J1622" t="s">
        <v>120</v>
      </c>
      <c r="K1622" t="s">
        <v>8372</v>
      </c>
      <c r="L1622">
        <v>2.0299999999999998</v>
      </c>
      <c r="M1622">
        <v>8.42</v>
      </c>
      <c r="N1622">
        <v>0.52</v>
      </c>
      <c r="O1622">
        <v>0.68</v>
      </c>
      <c r="P1622">
        <v>8.86</v>
      </c>
      <c r="Q1622">
        <v>-4.43</v>
      </c>
      <c r="R1622">
        <v>8.41</v>
      </c>
      <c r="S1622">
        <v>8.86</v>
      </c>
      <c r="T1622">
        <v>82170</v>
      </c>
      <c r="U1622">
        <v>8.42</v>
      </c>
      <c r="V1622">
        <v>8.8000000000000007</v>
      </c>
      <c r="W1622">
        <v>333.54</v>
      </c>
      <c r="X1622" t="s">
        <v>141</v>
      </c>
      <c r="Y1622" t="s">
        <v>645</v>
      </c>
      <c r="Z1622">
        <v>5.1100000000000003</v>
      </c>
      <c r="AA1622">
        <v>8.59</v>
      </c>
      <c r="AB1622">
        <v>53386</v>
      </c>
      <c r="AC1622">
        <v>28784</v>
      </c>
      <c r="AD1622">
        <v>1.85</v>
      </c>
      <c r="AE1622">
        <v>254</v>
      </c>
      <c r="AF1622">
        <v>131</v>
      </c>
      <c r="AG1622" t="s">
        <v>120</v>
      </c>
      <c r="AH1622">
        <v>0.01</v>
      </c>
      <c r="AI1622" t="s">
        <v>120</v>
      </c>
      <c r="AJ1622">
        <v>4.05</v>
      </c>
      <c r="AK1622" t="s">
        <v>6303</v>
      </c>
      <c r="AL1622">
        <v>-2.4</v>
      </c>
      <c r="AM1622">
        <v>1916</v>
      </c>
      <c r="AN1622">
        <v>43</v>
      </c>
      <c r="AO1622">
        <v>1.1000000000000001E-3</v>
      </c>
      <c r="AP1622">
        <v>-1</v>
      </c>
      <c r="AQ1622">
        <v>0.69</v>
      </c>
      <c r="AR1622">
        <v>-7.37</v>
      </c>
      <c r="AS1622">
        <v>2.06</v>
      </c>
      <c r="AT1622">
        <v>-13.55</v>
      </c>
      <c r="AU1622">
        <v>-4.42</v>
      </c>
      <c r="AV1622">
        <v>0</v>
      </c>
      <c r="AW1622">
        <v>2.31</v>
      </c>
      <c r="AX1622">
        <v>74.03</v>
      </c>
      <c r="AY1622">
        <v>26.83</v>
      </c>
      <c r="AZ1622">
        <v>23.28</v>
      </c>
      <c r="BA1622">
        <v>0.69</v>
      </c>
      <c r="BB1622" t="s">
        <v>143</v>
      </c>
      <c r="BF1622">
        <v>-2.44</v>
      </c>
      <c r="BG1622">
        <v>-4.97</v>
      </c>
      <c r="BH1622">
        <v>-4.97</v>
      </c>
      <c r="BI1622">
        <v>0.12</v>
      </c>
      <c r="BJ1622">
        <v>20210915</v>
      </c>
      <c r="BK1622">
        <v>20110729</v>
      </c>
      <c r="BL1622">
        <v>4.8099999999999996</v>
      </c>
      <c r="BM1622" t="s">
        <v>120</v>
      </c>
      <c r="BN1622" t="s">
        <v>120</v>
      </c>
      <c r="BO1622">
        <v>21.89</v>
      </c>
      <c r="BP1622">
        <v>8.41</v>
      </c>
      <c r="BQ1622">
        <v>17.350000000000001</v>
      </c>
      <c r="BR1622">
        <v>0.9</v>
      </c>
      <c r="BS1622">
        <v>16.62</v>
      </c>
      <c r="BT1622">
        <v>13.06</v>
      </c>
      <c r="BU1622">
        <v>1.34</v>
      </c>
      <c r="BV1622">
        <v>1.1299999999999999</v>
      </c>
      <c r="BW1622">
        <v>3.44</v>
      </c>
      <c r="BX1622">
        <v>4.1500000000000004</v>
      </c>
      <c r="BY1622">
        <v>2.74</v>
      </c>
      <c r="BZ1622">
        <v>4.95</v>
      </c>
      <c r="CA1622" t="s">
        <v>120</v>
      </c>
      <c r="CB1622">
        <v>5.53</v>
      </c>
      <c r="CC1622">
        <v>3.31</v>
      </c>
      <c r="CD1622">
        <v>1.38</v>
      </c>
      <c r="CE1622">
        <v>0.02</v>
      </c>
      <c r="CF1622">
        <v>0</v>
      </c>
      <c r="CG1622">
        <v>0.02</v>
      </c>
      <c r="CH1622">
        <v>0</v>
      </c>
      <c r="CI1622">
        <v>0.06</v>
      </c>
      <c r="CJ1622">
        <v>-0.38</v>
      </c>
      <c r="CK1622">
        <v>0</v>
      </c>
      <c r="CL1622">
        <v>6.81</v>
      </c>
      <c r="CM1622">
        <v>-1.06</v>
      </c>
      <c r="CN1622">
        <v>-1.42</v>
      </c>
      <c r="CO1622">
        <v>32828</v>
      </c>
      <c r="CP1622">
        <v>10849</v>
      </c>
      <c r="CQ1622" t="s">
        <v>8373</v>
      </c>
      <c r="CR1622">
        <v>-79.86</v>
      </c>
      <c r="CS1622">
        <v>9.69</v>
      </c>
      <c r="CT1622">
        <v>2.34</v>
      </c>
      <c r="CU1622">
        <v>-38.28</v>
      </c>
      <c r="CV1622">
        <v>12.22</v>
      </c>
      <c r="CW1622">
        <v>0.68</v>
      </c>
      <c r="CX1622" t="s">
        <v>178</v>
      </c>
      <c r="CY1622">
        <v>3.61</v>
      </c>
      <c r="CZ1622">
        <v>0</v>
      </c>
      <c r="DA1622">
        <v>1.1499999999999999</v>
      </c>
      <c r="DB1622">
        <v>1.42</v>
      </c>
      <c r="DC1622">
        <v>-0.22</v>
      </c>
      <c r="DD1622">
        <v>79.260000000000005</v>
      </c>
      <c r="DE1622" t="s">
        <v>1644</v>
      </c>
      <c r="DF1622">
        <v>58.5</v>
      </c>
      <c r="DG1622">
        <v>0.62</v>
      </c>
      <c r="DH1622">
        <v>1.83</v>
      </c>
      <c r="DI1622">
        <v>0.56000000000000005</v>
      </c>
      <c r="DJ1622">
        <v>2607</v>
      </c>
      <c r="DK1622">
        <v>300248</v>
      </c>
      <c r="DL1622" t="s">
        <v>120</v>
      </c>
      <c r="DM1622" t="s">
        <v>120</v>
      </c>
      <c r="DN1622" t="s">
        <v>120</v>
      </c>
    </row>
    <row r="1623" spans="1:118">
      <c r="A1623" t="str">
        <f>"300249"</f>
        <v>300249</v>
      </c>
      <c r="B1623" t="s">
        <v>8374</v>
      </c>
      <c r="C1623">
        <v>1</v>
      </c>
      <c r="D1623">
        <v>-0.13</v>
      </c>
      <c r="E1623">
        <v>-0.14000000000000001</v>
      </c>
      <c r="F1623">
        <v>1976</v>
      </c>
      <c r="G1623" t="s">
        <v>8375</v>
      </c>
      <c r="H1623">
        <v>6945.78</v>
      </c>
      <c r="I1623">
        <v>14.89</v>
      </c>
      <c r="J1623" t="s">
        <v>120</v>
      </c>
      <c r="K1623" t="s">
        <v>1246</v>
      </c>
      <c r="L1623">
        <v>3.09</v>
      </c>
      <c r="M1623">
        <v>7.04</v>
      </c>
      <c r="N1623">
        <v>1.1000000000000001</v>
      </c>
      <c r="O1623">
        <v>1.87</v>
      </c>
      <c r="P1623">
        <v>7.1</v>
      </c>
      <c r="Q1623">
        <v>-0.28999999999999998</v>
      </c>
      <c r="R1623">
        <v>6.95</v>
      </c>
      <c r="S1623">
        <v>6.96</v>
      </c>
      <c r="T1623">
        <v>98757</v>
      </c>
      <c r="U1623">
        <v>7.05</v>
      </c>
      <c r="V1623">
        <v>6.97</v>
      </c>
      <c r="W1623">
        <v>76.39</v>
      </c>
      <c r="X1623" t="s">
        <v>141</v>
      </c>
      <c r="Y1623" t="s">
        <v>578</v>
      </c>
      <c r="Z1623">
        <v>2.15</v>
      </c>
      <c r="AA1623">
        <v>7.03</v>
      </c>
      <c r="AB1623">
        <v>45827</v>
      </c>
      <c r="AC1623">
        <v>52930</v>
      </c>
      <c r="AD1623">
        <v>0.87</v>
      </c>
      <c r="AE1623">
        <v>1476</v>
      </c>
      <c r="AF1623">
        <v>1148</v>
      </c>
      <c r="AG1623" t="s">
        <v>120</v>
      </c>
      <c r="AH1623">
        <v>0.01</v>
      </c>
      <c r="AI1623" t="s">
        <v>120</v>
      </c>
      <c r="AJ1623">
        <v>3.2</v>
      </c>
      <c r="AK1623" t="s">
        <v>8376</v>
      </c>
      <c r="AL1623">
        <v>2.92</v>
      </c>
      <c r="AM1623">
        <v>1554</v>
      </c>
      <c r="AN1623">
        <v>64</v>
      </c>
      <c r="AO1623">
        <v>2E-3</v>
      </c>
      <c r="AP1623">
        <v>1</v>
      </c>
      <c r="AQ1623">
        <v>-0.14000000000000001</v>
      </c>
      <c r="AR1623">
        <v>0.56999999999999995</v>
      </c>
      <c r="AS1623">
        <v>-7.25</v>
      </c>
      <c r="AT1623">
        <v>-3.3</v>
      </c>
      <c r="AU1623">
        <v>-8.2200000000000006</v>
      </c>
      <c r="AV1623">
        <v>0</v>
      </c>
      <c r="AW1623">
        <v>3.58</v>
      </c>
      <c r="AX1623">
        <v>63.03</v>
      </c>
      <c r="AY1623" t="s">
        <v>120</v>
      </c>
      <c r="AZ1623" t="s">
        <v>120</v>
      </c>
      <c r="BA1623">
        <v>0.35</v>
      </c>
      <c r="BB1623" t="s">
        <v>143</v>
      </c>
      <c r="BF1623">
        <v>0.91</v>
      </c>
      <c r="BG1623">
        <v>1.1499999999999999</v>
      </c>
      <c r="BH1623">
        <v>-0.85</v>
      </c>
      <c r="BI1623">
        <v>1.29</v>
      </c>
      <c r="BJ1623">
        <v>20210807</v>
      </c>
      <c r="BK1623">
        <v>20110803</v>
      </c>
      <c r="BL1623">
        <v>4.37</v>
      </c>
      <c r="BM1623" t="s">
        <v>120</v>
      </c>
      <c r="BN1623" t="s">
        <v>120</v>
      </c>
      <c r="BO1623">
        <v>26.58</v>
      </c>
      <c r="BP1623">
        <v>7.04</v>
      </c>
      <c r="BQ1623">
        <v>6.4</v>
      </c>
      <c r="BR1623">
        <v>1.44</v>
      </c>
      <c r="BS1623">
        <v>70.510000000000005</v>
      </c>
      <c r="BT1623">
        <v>16.649999999999999</v>
      </c>
      <c r="BU1623">
        <v>1.94</v>
      </c>
      <c r="BV1623">
        <v>4.18</v>
      </c>
      <c r="BW1623">
        <v>15.55</v>
      </c>
      <c r="BX1623">
        <v>1.86</v>
      </c>
      <c r="BY1623">
        <v>4.37</v>
      </c>
      <c r="BZ1623">
        <v>8.24</v>
      </c>
      <c r="CA1623" t="s">
        <v>120</v>
      </c>
      <c r="CB1623">
        <v>0.65</v>
      </c>
      <c r="CC1623">
        <v>5.82</v>
      </c>
      <c r="CD1623">
        <v>4.68</v>
      </c>
      <c r="CE1623">
        <v>0.27</v>
      </c>
      <c r="CF1623">
        <v>0.02</v>
      </c>
      <c r="CG1623">
        <v>0.26</v>
      </c>
      <c r="CH1623">
        <v>0.2</v>
      </c>
      <c r="CI1623">
        <v>0.2</v>
      </c>
      <c r="CJ1623">
        <v>7.0000000000000007E-2</v>
      </c>
      <c r="CK1623">
        <v>0.18</v>
      </c>
      <c r="CL1623">
        <v>1.08</v>
      </c>
      <c r="CM1623">
        <v>-0.19</v>
      </c>
      <c r="CN1623">
        <v>-0.51</v>
      </c>
      <c r="CO1623">
        <v>17414</v>
      </c>
      <c r="CP1623">
        <v>15834</v>
      </c>
      <c r="CQ1623" t="s">
        <v>1615</v>
      </c>
      <c r="CR1623">
        <v>167.24</v>
      </c>
      <c r="CS1623">
        <v>3.11</v>
      </c>
      <c r="CT1623">
        <v>4.82</v>
      </c>
      <c r="CU1623">
        <v>-158.02000000000001</v>
      </c>
      <c r="CV1623">
        <v>5.29</v>
      </c>
      <c r="CW1623">
        <v>0</v>
      </c>
      <c r="CX1623" t="s">
        <v>2068</v>
      </c>
      <c r="CY1623">
        <v>1.46</v>
      </c>
      <c r="CZ1623">
        <v>0</v>
      </c>
      <c r="DA1623">
        <v>0.15</v>
      </c>
      <c r="DB1623">
        <v>0.25</v>
      </c>
      <c r="DC1623">
        <v>-0.04</v>
      </c>
      <c r="DD1623">
        <v>24.06</v>
      </c>
      <c r="DE1623" t="s">
        <v>589</v>
      </c>
      <c r="DF1623">
        <v>19.54</v>
      </c>
      <c r="DG1623">
        <v>4.7</v>
      </c>
      <c r="DH1623">
        <v>3.46</v>
      </c>
      <c r="DI1623">
        <v>0.3</v>
      </c>
      <c r="DJ1623">
        <v>1200</v>
      </c>
      <c r="DK1623">
        <v>300249</v>
      </c>
      <c r="DL1623" t="s">
        <v>120</v>
      </c>
      <c r="DM1623" t="s">
        <v>120</v>
      </c>
      <c r="DN1623" t="s">
        <v>120</v>
      </c>
    </row>
    <row r="1624" spans="1:118">
      <c r="A1624" t="str">
        <f>"300250"</f>
        <v>300250</v>
      </c>
      <c r="B1624" t="s">
        <v>8377</v>
      </c>
      <c r="C1624">
        <v>-2.58</v>
      </c>
      <c r="D1624">
        <v>0</v>
      </c>
      <c r="E1624">
        <v>-2.67</v>
      </c>
      <c r="F1624">
        <v>254</v>
      </c>
      <c r="G1624" t="s">
        <v>5557</v>
      </c>
      <c r="H1624">
        <v>3412.74</v>
      </c>
      <c r="I1624">
        <v>86.13</v>
      </c>
      <c r="J1624" t="s">
        <v>120</v>
      </c>
      <c r="K1624" t="s">
        <v>2401</v>
      </c>
      <c r="L1624">
        <v>1.94</v>
      </c>
      <c r="M1624">
        <v>10.94</v>
      </c>
      <c r="N1624">
        <v>0.79</v>
      </c>
      <c r="O1624">
        <v>0.71</v>
      </c>
      <c r="P1624">
        <v>11.31</v>
      </c>
      <c r="Q1624">
        <v>-2.76</v>
      </c>
      <c r="R1624">
        <v>10.92</v>
      </c>
      <c r="S1624">
        <v>10.93</v>
      </c>
      <c r="T1624">
        <v>30863</v>
      </c>
      <c r="U1624">
        <v>10.95</v>
      </c>
      <c r="V1624">
        <v>11.23</v>
      </c>
      <c r="W1624">
        <v>61.22</v>
      </c>
      <c r="X1624" t="s">
        <v>141</v>
      </c>
      <c r="Y1624" t="s">
        <v>585</v>
      </c>
      <c r="Z1624">
        <v>3.47</v>
      </c>
      <c r="AA1624">
        <v>11.06</v>
      </c>
      <c r="AB1624">
        <v>17574</v>
      </c>
      <c r="AC1624">
        <v>13289</v>
      </c>
      <c r="AD1624">
        <v>1.32</v>
      </c>
      <c r="AE1624">
        <v>77</v>
      </c>
      <c r="AF1624">
        <v>97</v>
      </c>
      <c r="AG1624" t="s">
        <v>120</v>
      </c>
      <c r="AH1624">
        <v>0.06</v>
      </c>
      <c r="AI1624" t="s">
        <v>120</v>
      </c>
      <c r="AJ1624">
        <v>1.59</v>
      </c>
      <c r="AK1624" t="s">
        <v>8378</v>
      </c>
      <c r="AL1624">
        <v>-0.67</v>
      </c>
      <c r="AM1624">
        <v>1390</v>
      </c>
      <c r="AN1624">
        <v>22</v>
      </c>
      <c r="AO1624">
        <v>1.4E-3</v>
      </c>
      <c r="AP1624">
        <v>-1</v>
      </c>
      <c r="AQ1624">
        <v>1.35</v>
      </c>
      <c r="AR1624">
        <v>-1.8</v>
      </c>
      <c r="AS1624">
        <v>-1.53</v>
      </c>
      <c r="AT1624">
        <v>-0.91</v>
      </c>
      <c r="AU1624">
        <v>1.39</v>
      </c>
      <c r="AV1624">
        <v>0</v>
      </c>
      <c r="AW1624">
        <v>2.2200000000000002</v>
      </c>
      <c r="AX1624">
        <v>63.32</v>
      </c>
      <c r="AY1624" t="s">
        <v>120</v>
      </c>
      <c r="AZ1624" t="s">
        <v>120</v>
      </c>
      <c r="BA1624">
        <v>0.83</v>
      </c>
      <c r="BB1624" t="s">
        <v>143</v>
      </c>
      <c r="BF1624">
        <v>-1.53</v>
      </c>
      <c r="BG1624">
        <v>0.09</v>
      </c>
      <c r="BH1624">
        <v>-3.27</v>
      </c>
      <c r="BI1624">
        <v>0.18</v>
      </c>
      <c r="BJ1624">
        <v>20210901</v>
      </c>
      <c r="BK1624">
        <v>20110803</v>
      </c>
      <c r="BL1624">
        <v>2.2000000000000002</v>
      </c>
      <c r="BM1624" t="s">
        <v>120</v>
      </c>
      <c r="BN1624" t="s">
        <v>120</v>
      </c>
      <c r="BO1624">
        <v>8.86</v>
      </c>
      <c r="BP1624">
        <v>10.94</v>
      </c>
      <c r="BQ1624">
        <v>6.56</v>
      </c>
      <c r="BR1624">
        <v>0.02</v>
      </c>
      <c r="BS1624">
        <v>25.8</v>
      </c>
      <c r="BT1624">
        <v>5.52</v>
      </c>
      <c r="BU1624">
        <v>0.42</v>
      </c>
      <c r="BV1624">
        <v>0.12</v>
      </c>
      <c r="BW1624">
        <v>2.2000000000000002</v>
      </c>
      <c r="BX1624">
        <v>2.2400000000000002</v>
      </c>
      <c r="BY1624">
        <v>0.89</v>
      </c>
      <c r="BZ1624">
        <v>1.81</v>
      </c>
      <c r="CA1624">
        <v>0.08</v>
      </c>
      <c r="CB1624">
        <v>8.19</v>
      </c>
      <c r="CC1624">
        <v>1.94</v>
      </c>
      <c r="CD1624">
        <v>0.87</v>
      </c>
      <c r="CE1624">
        <v>0.19</v>
      </c>
      <c r="CF1624">
        <v>0.02</v>
      </c>
      <c r="CG1624">
        <v>0.19</v>
      </c>
      <c r="CH1624">
        <v>0.19</v>
      </c>
      <c r="CI1624">
        <v>0.2</v>
      </c>
      <c r="CJ1624">
        <v>-0.28999999999999998</v>
      </c>
      <c r="CK1624">
        <v>0.16</v>
      </c>
      <c r="CL1624">
        <v>-3.53</v>
      </c>
      <c r="CM1624">
        <v>-0.59</v>
      </c>
      <c r="CN1624">
        <v>-0.79</v>
      </c>
      <c r="CO1624">
        <v>17600</v>
      </c>
      <c r="CP1624">
        <v>7915</v>
      </c>
      <c r="CQ1624" t="s">
        <v>5924</v>
      </c>
      <c r="CR1624">
        <v>127.53</v>
      </c>
      <c r="CS1624">
        <v>35.75</v>
      </c>
      <c r="CT1624">
        <v>3.67</v>
      </c>
      <c r="CU1624">
        <v>-40.56</v>
      </c>
      <c r="CV1624">
        <v>12.42</v>
      </c>
      <c r="CW1624">
        <v>0</v>
      </c>
      <c r="CX1624" t="s">
        <v>329</v>
      </c>
      <c r="CY1624">
        <v>2.98</v>
      </c>
      <c r="CZ1624">
        <v>0</v>
      </c>
      <c r="DA1624">
        <v>3.72</v>
      </c>
      <c r="DB1624">
        <v>-1.61</v>
      </c>
      <c r="DC1624">
        <v>-0.27</v>
      </c>
      <c r="DD1624">
        <v>73.989999999999995</v>
      </c>
      <c r="DE1624" t="s">
        <v>2643</v>
      </c>
      <c r="DF1624">
        <v>54.94</v>
      </c>
      <c r="DG1624">
        <v>10.01</v>
      </c>
      <c r="DH1624">
        <v>10.14</v>
      </c>
      <c r="DI1624">
        <v>0.45</v>
      </c>
      <c r="DJ1624">
        <v>849</v>
      </c>
      <c r="DK1624">
        <v>300250</v>
      </c>
      <c r="DL1624" t="s">
        <v>120</v>
      </c>
      <c r="DM1624" t="s">
        <v>120</v>
      </c>
      <c r="DN1624" t="s">
        <v>120</v>
      </c>
    </row>
    <row r="1625" spans="1:118">
      <c r="A1625" t="str">
        <f>"300251"</f>
        <v>300251</v>
      </c>
      <c r="B1625" t="s">
        <v>8379</v>
      </c>
      <c r="C1625">
        <v>-1.32</v>
      </c>
      <c r="D1625">
        <v>-0.4</v>
      </c>
      <c r="E1625">
        <v>-0.2</v>
      </c>
      <c r="F1625">
        <v>8042</v>
      </c>
      <c r="G1625" t="s">
        <v>8380</v>
      </c>
      <c r="H1625">
        <v>19812.34</v>
      </c>
      <c r="I1625">
        <v>113.29</v>
      </c>
      <c r="J1625" t="s">
        <v>120</v>
      </c>
      <c r="K1625" t="s">
        <v>8381</v>
      </c>
      <c r="L1625">
        <v>0.72</v>
      </c>
      <c r="M1625">
        <v>9.75</v>
      </c>
      <c r="N1625">
        <v>0.74</v>
      </c>
      <c r="O1625">
        <v>1.72</v>
      </c>
      <c r="P1625">
        <v>10.050000000000001</v>
      </c>
      <c r="Q1625">
        <v>-1.82</v>
      </c>
      <c r="R1625">
        <v>9.6999999999999993</v>
      </c>
      <c r="S1625">
        <v>9.86</v>
      </c>
      <c r="T1625">
        <v>200462</v>
      </c>
      <c r="U1625">
        <v>9.76</v>
      </c>
      <c r="V1625">
        <v>9.8800000000000008</v>
      </c>
      <c r="W1625">
        <v>29.51</v>
      </c>
      <c r="X1625" t="s">
        <v>584</v>
      </c>
      <c r="Y1625" t="s">
        <v>158</v>
      </c>
      <c r="Z1625">
        <v>3.54</v>
      </c>
      <c r="AA1625">
        <v>9.8800000000000008</v>
      </c>
      <c r="AB1625">
        <v>98857</v>
      </c>
      <c r="AC1625">
        <v>101605</v>
      </c>
      <c r="AD1625">
        <v>0.97</v>
      </c>
      <c r="AE1625">
        <v>2169</v>
      </c>
      <c r="AF1625">
        <v>30</v>
      </c>
      <c r="AG1625" t="s">
        <v>120</v>
      </c>
      <c r="AH1625">
        <v>0.01</v>
      </c>
      <c r="AI1625" t="s">
        <v>120</v>
      </c>
      <c r="AJ1625">
        <v>27.87</v>
      </c>
      <c r="AK1625" t="s">
        <v>8382</v>
      </c>
      <c r="AL1625">
        <v>0.6</v>
      </c>
      <c r="AM1625">
        <v>4067</v>
      </c>
      <c r="AN1625">
        <v>49</v>
      </c>
      <c r="AO1625">
        <v>2.0000000000000001E-4</v>
      </c>
      <c r="AP1625">
        <v>-1</v>
      </c>
      <c r="AQ1625">
        <v>1.75</v>
      </c>
      <c r="AR1625">
        <v>-1.22</v>
      </c>
      <c r="AS1625">
        <v>6.32</v>
      </c>
      <c r="AT1625">
        <v>-10.96</v>
      </c>
      <c r="AU1625">
        <v>-19.16</v>
      </c>
      <c r="AV1625">
        <v>0</v>
      </c>
      <c r="AW1625">
        <v>1.68</v>
      </c>
      <c r="AX1625">
        <v>40.58</v>
      </c>
      <c r="AY1625">
        <v>38.39</v>
      </c>
      <c r="AZ1625">
        <v>99.58</v>
      </c>
      <c r="BA1625">
        <v>0.61</v>
      </c>
      <c r="BB1625" t="s">
        <v>1103</v>
      </c>
      <c r="BF1625">
        <v>0.03</v>
      </c>
      <c r="BG1625">
        <v>-1.1200000000000001</v>
      </c>
      <c r="BH1625">
        <v>-2.99</v>
      </c>
      <c r="BI1625">
        <v>0.52</v>
      </c>
      <c r="BJ1625">
        <v>20210823</v>
      </c>
      <c r="BK1625">
        <v>20110803</v>
      </c>
      <c r="BL1625">
        <v>29.34</v>
      </c>
      <c r="BM1625" t="s">
        <v>120</v>
      </c>
      <c r="BN1625" t="s">
        <v>120</v>
      </c>
      <c r="BO1625">
        <v>105.2</v>
      </c>
      <c r="BP1625">
        <v>9.75</v>
      </c>
      <c r="BQ1625">
        <v>94.87</v>
      </c>
      <c r="BR1625">
        <v>0.18</v>
      </c>
      <c r="BS1625">
        <v>9.65</v>
      </c>
      <c r="BT1625">
        <v>45.08</v>
      </c>
      <c r="BU1625">
        <v>0.27</v>
      </c>
      <c r="BV1625">
        <v>0.02</v>
      </c>
      <c r="BW1625">
        <v>8.31</v>
      </c>
      <c r="BX1625">
        <v>13.72</v>
      </c>
      <c r="BY1625">
        <v>11.66</v>
      </c>
      <c r="BZ1625">
        <v>5.15</v>
      </c>
      <c r="CA1625">
        <v>0.05</v>
      </c>
      <c r="CB1625">
        <v>19.79</v>
      </c>
      <c r="CC1625">
        <v>7.55</v>
      </c>
      <c r="CD1625">
        <v>3.74</v>
      </c>
      <c r="CE1625">
        <v>5.28</v>
      </c>
      <c r="CF1625">
        <v>1.57</v>
      </c>
      <c r="CG1625">
        <v>5.41</v>
      </c>
      <c r="CH1625">
        <v>4.83</v>
      </c>
      <c r="CI1625">
        <v>4.8499999999999996</v>
      </c>
      <c r="CJ1625">
        <v>-0.13</v>
      </c>
      <c r="CK1625">
        <v>4.57</v>
      </c>
      <c r="CL1625">
        <v>43.02</v>
      </c>
      <c r="CM1625">
        <v>2.8</v>
      </c>
      <c r="CN1625">
        <v>-6.48</v>
      </c>
      <c r="CO1625">
        <v>49222</v>
      </c>
      <c r="CP1625">
        <v>24183</v>
      </c>
      <c r="CQ1625" t="s">
        <v>8383</v>
      </c>
      <c r="CR1625">
        <v>2255.44</v>
      </c>
      <c r="CS1625">
        <v>191.37</v>
      </c>
      <c r="CT1625">
        <v>3.01</v>
      </c>
      <c r="CU1625">
        <v>102.03</v>
      </c>
      <c r="CV1625">
        <v>37.869999999999997</v>
      </c>
      <c r="CW1625">
        <v>0.1</v>
      </c>
      <c r="CX1625" t="s">
        <v>1193</v>
      </c>
      <c r="CY1625">
        <v>3.23</v>
      </c>
      <c r="CZ1625">
        <v>0</v>
      </c>
      <c r="DA1625">
        <v>0.67</v>
      </c>
      <c r="DB1625">
        <v>1.47</v>
      </c>
      <c r="DC1625">
        <v>0.1</v>
      </c>
      <c r="DD1625">
        <v>90.18</v>
      </c>
      <c r="DE1625" t="s">
        <v>4904</v>
      </c>
      <c r="DF1625">
        <v>50.43</v>
      </c>
      <c r="DG1625">
        <v>69.900000000000006</v>
      </c>
      <c r="DH1625">
        <v>64.16</v>
      </c>
      <c r="DI1625">
        <v>0.09</v>
      </c>
      <c r="DJ1625">
        <v>536</v>
      </c>
      <c r="DK1625">
        <v>300251</v>
      </c>
      <c r="DL1625" t="s">
        <v>120</v>
      </c>
      <c r="DM1625" t="s">
        <v>120</v>
      </c>
      <c r="DN1625" t="s">
        <v>120</v>
      </c>
    </row>
    <row r="1626" spans="1:118">
      <c r="A1626" t="str">
        <f>"300252"</f>
        <v>300252</v>
      </c>
      <c r="B1626" t="s">
        <v>8384</v>
      </c>
      <c r="C1626">
        <v>-5.13</v>
      </c>
      <c r="D1626">
        <v>-0.09</v>
      </c>
      <c r="E1626">
        <v>-0.09</v>
      </c>
      <c r="F1626">
        <v>1561</v>
      </c>
      <c r="G1626" t="s">
        <v>6488</v>
      </c>
      <c r="H1626">
        <v>21695.37</v>
      </c>
      <c r="I1626">
        <v>81.260000000000005</v>
      </c>
      <c r="J1626" t="s">
        <v>120</v>
      </c>
      <c r="K1626" t="s">
        <v>3091</v>
      </c>
      <c r="L1626">
        <v>5.0599999999999996</v>
      </c>
      <c r="M1626">
        <v>10.18</v>
      </c>
      <c r="N1626">
        <v>1</v>
      </c>
      <c r="O1626">
        <v>0.09</v>
      </c>
      <c r="P1626">
        <v>10.74</v>
      </c>
      <c r="Q1626">
        <v>-5.41</v>
      </c>
      <c r="R1626">
        <v>10.15</v>
      </c>
      <c r="S1626">
        <v>10.72</v>
      </c>
      <c r="T1626">
        <v>208022</v>
      </c>
      <c r="U1626">
        <v>10.18</v>
      </c>
      <c r="V1626">
        <v>10.73</v>
      </c>
      <c r="W1626">
        <v>182.83</v>
      </c>
      <c r="X1626" t="s">
        <v>462</v>
      </c>
      <c r="Y1626" t="s">
        <v>123</v>
      </c>
      <c r="Z1626">
        <v>5.5</v>
      </c>
      <c r="AA1626">
        <v>10.43</v>
      </c>
      <c r="AB1626">
        <v>124279</v>
      </c>
      <c r="AC1626">
        <v>83743</v>
      </c>
      <c r="AD1626">
        <v>1.48</v>
      </c>
      <c r="AE1626">
        <v>951</v>
      </c>
      <c r="AF1626">
        <v>1363</v>
      </c>
      <c r="AG1626" t="s">
        <v>120</v>
      </c>
      <c r="AH1626">
        <v>0.03</v>
      </c>
      <c r="AI1626" t="s">
        <v>120</v>
      </c>
      <c r="AJ1626">
        <v>4.1100000000000003</v>
      </c>
      <c r="AK1626" t="s">
        <v>8114</v>
      </c>
      <c r="AL1626">
        <v>-3.21</v>
      </c>
      <c r="AM1626">
        <v>3108</v>
      </c>
      <c r="AN1626">
        <v>67</v>
      </c>
      <c r="AO1626">
        <v>1.6000000000000001E-3</v>
      </c>
      <c r="AP1626">
        <v>-1</v>
      </c>
      <c r="AQ1626">
        <v>3.77</v>
      </c>
      <c r="AR1626">
        <v>0.28999999999999998</v>
      </c>
      <c r="AS1626">
        <v>0.1</v>
      </c>
      <c r="AT1626">
        <v>28.54</v>
      </c>
      <c r="AU1626">
        <v>5.6</v>
      </c>
      <c r="AV1626">
        <v>1</v>
      </c>
      <c r="AW1626">
        <v>7.88</v>
      </c>
      <c r="AX1626">
        <v>45.75</v>
      </c>
      <c r="AY1626" t="s">
        <v>120</v>
      </c>
      <c r="AZ1626" t="s">
        <v>120</v>
      </c>
      <c r="BA1626">
        <v>0.9</v>
      </c>
      <c r="BB1626" t="s">
        <v>168</v>
      </c>
      <c r="BF1626">
        <v>-2.8</v>
      </c>
      <c r="BG1626">
        <v>-5.04</v>
      </c>
      <c r="BH1626">
        <v>-5.21</v>
      </c>
      <c r="BI1626">
        <v>0.3</v>
      </c>
      <c r="BJ1626">
        <v>20210914</v>
      </c>
      <c r="BK1626">
        <v>20110818</v>
      </c>
      <c r="BL1626">
        <v>5.77</v>
      </c>
      <c r="BM1626" t="s">
        <v>120</v>
      </c>
      <c r="BN1626" t="s">
        <v>120</v>
      </c>
      <c r="BO1626">
        <v>54.09</v>
      </c>
      <c r="BP1626">
        <v>10.17</v>
      </c>
      <c r="BQ1626">
        <v>23.46</v>
      </c>
      <c r="BR1626">
        <v>0.64</v>
      </c>
      <c r="BS1626">
        <v>55.43</v>
      </c>
      <c r="BT1626">
        <v>26.4</v>
      </c>
      <c r="BU1626">
        <v>8.5500000000000007</v>
      </c>
      <c r="BV1626">
        <v>1.86</v>
      </c>
      <c r="BW1626">
        <v>27.35</v>
      </c>
      <c r="BX1626">
        <v>5.45</v>
      </c>
      <c r="BY1626">
        <v>4.3499999999999996</v>
      </c>
      <c r="BZ1626">
        <v>12.86</v>
      </c>
      <c r="CA1626" t="s">
        <v>120</v>
      </c>
      <c r="CB1626">
        <v>11.53</v>
      </c>
      <c r="CC1626">
        <v>11.68</v>
      </c>
      <c r="CD1626">
        <v>10.27</v>
      </c>
      <c r="CE1626">
        <v>0.05</v>
      </c>
      <c r="CF1626">
        <v>0.44</v>
      </c>
      <c r="CG1626">
        <v>0.11</v>
      </c>
      <c r="CH1626">
        <v>0.19</v>
      </c>
      <c r="CI1626">
        <v>0.16</v>
      </c>
      <c r="CJ1626">
        <v>-0.55000000000000004</v>
      </c>
      <c r="CK1626">
        <v>-0.44</v>
      </c>
      <c r="CL1626">
        <v>6.25</v>
      </c>
      <c r="CM1626">
        <v>2.44</v>
      </c>
      <c r="CN1626">
        <v>-2.74</v>
      </c>
      <c r="CO1626">
        <v>28928</v>
      </c>
      <c r="CP1626">
        <v>9128</v>
      </c>
      <c r="CQ1626" t="s">
        <v>7466</v>
      </c>
      <c r="CR1626">
        <v>10.8</v>
      </c>
      <c r="CS1626">
        <v>13.12</v>
      </c>
      <c r="CT1626">
        <v>2.5</v>
      </c>
      <c r="CU1626">
        <v>24.09</v>
      </c>
      <c r="CV1626">
        <v>5.03</v>
      </c>
      <c r="CW1626">
        <v>0</v>
      </c>
      <c r="CX1626" t="s">
        <v>2074</v>
      </c>
      <c r="CY1626">
        <v>4.07</v>
      </c>
      <c r="CZ1626">
        <v>0</v>
      </c>
      <c r="DA1626">
        <v>2</v>
      </c>
      <c r="DB1626">
        <v>1.08</v>
      </c>
      <c r="DC1626">
        <v>0.42</v>
      </c>
      <c r="DD1626">
        <v>43.38</v>
      </c>
      <c r="DE1626" t="s">
        <v>1405</v>
      </c>
      <c r="DF1626">
        <v>12.11</v>
      </c>
      <c r="DG1626">
        <v>0.42</v>
      </c>
      <c r="DH1626">
        <v>1.38</v>
      </c>
      <c r="DI1626">
        <v>0.64</v>
      </c>
      <c r="DJ1626">
        <v>3265</v>
      </c>
      <c r="DK1626">
        <v>300252</v>
      </c>
      <c r="DL1626" t="s">
        <v>120</v>
      </c>
      <c r="DM1626" t="s">
        <v>120</v>
      </c>
      <c r="DN1626" t="s">
        <v>120</v>
      </c>
    </row>
    <row r="1627" spans="1:118">
      <c r="A1627" t="str">
        <f>"300253"</f>
        <v>300253</v>
      </c>
      <c r="B1627" t="s">
        <v>8385</v>
      </c>
      <c r="C1627">
        <v>-2.4900000000000002</v>
      </c>
      <c r="D1627">
        <v>-0.21</v>
      </c>
      <c r="E1627">
        <v>-0.85</v>
      </c>
      <c r="F1627">
        <v>8603</v>
      </c>
      <c r="G1627" t="s">
        <v>8386</v>
      </c>
      <c r="H1627">
        <v>21784.61</v>
      </c>
      <c r="I1627">
        <v>534.80999999999995</v>
      </c>
      <c r="J1627" t="s">
        <v>120</v>
      </c>
      <c r="K1627" t="s">
        <v>8387</v>
      </c>
      <c r="L1627">
        <v>0.88</v>
      </c>
      <c r="M1627">
        <v>13.69</v>
      </c>
      <c r="N1627">
        <v>1.1100000000000001</v>
      </c>
      <c r="O1627">
        <v>0.28000000000000003</v>
      </c>
      <c r="P1627">
        <v>14.08</v>
      </c>
      <c r="Q1627">
        <v>-2.99</v>
      </c>
      <c r="R1627">
        <v>13.62</v>
      </c>
      <c r="S1627">
        <v>13.92</v>
      </c>
      <c r="T1627">
        <v>157296</v>
      </c>
      <c r="U1627">
        <v>13.69</v>
      </c>
      <c r="V1627">
        <v>14.04</v>
      </c>
      <c r="W1627">
        <v>131.28</v>
      </c>
      <c r="X1627" t="s">
        <v>141</v>
      </c>
      <c r="Y1627" t="s">
        <v>1510</v>
      </c>
      <c r="Z1627">
        <v>3.28</v>
      </c>
      <c r="AA1627">
        <v>13.85</v>
      </c>
      <c r="AB1627">
        <v>73546</v>
      </c>
      <c r="AC1627">
        <v>83750</v>
      </c>
      <c r="AD1627">
        <v>0.88</v>
      </c>
      <c r="AE1627">
        <v>337</v>
      </c>
      <c r="AF1627">
        <v>29</v>
      </c>
      <c r="AG1627" t="s">
        <v>120</v>
      </c>
      <c r="AH1627">
        <v>0.02</v>
      </c>
      <c r="AI1627" t="s">
        <v>120</v>
      </c>
      <c r="AJ1627">
        <v>17.96</v>
      </c>
      <c r="AK1627" t="s">
        <v>8388</v>
      </c>
      <c r="AL1627">
        <v>-0.57999999999999996</v>
      </c>
      <c r="AM1627">
        <v>3590</v>
      </c>
      <c r="AN1627">
        <v>44</v>
      </c>
      <c r="AO1627">
        <v>2.0000000000000001E-4</v>
      </c>
      <c r="AP1627">
        <v>-5</v>
      </c>
      <c r="AQ1627">
        <v>-1.27</v>
      </c>
      <c r="AR1627">
        <v>-5.72</v>
      </c>
      <c r="AS1627">
        <v>0.15</v>
      </c>
      <c r="AT1627">
        <v>-10.38</v>
      </c>
      <c r="AU1627">
        <v>-21.66</v>
      </c>
      <c r="AV1627">
        <v>0</v>
      </c>
      <c r="AW1627">
        <v>0.97</v>
      </c>
      <c r="AX1627">
        <v>75.86</v>
      </c>
      <c r="AY1627">
        <v>56.93</v>
      </c>
      <c r="AZ1627">
        <v>61.23</v>
      </c>
      <c r="BA1627">
        <v>0.61</v>
      </c>
      <c r="BB1627" t="s">
        <v>143</v>
      </c>
      <c r="BF1627">
        <v>-1.36</v>
      </c>
      <c r="BG1627">
        <v>-1.65</v>
      </c>
      <c r="BH1627">
        <v>-2.77</v>
      </c>
      <c r="BI1627">
        <v>0.51</v>
      </c>
      <c r="BJ1627">
        <v>20210914</v>
      </c>
      <c r="BK1627">
        <v>20110818</v>
      </c>
      <c r="BL1627">
        <v>21.42</v>
      </c>
      <c r="BM1627" t="s">
        <v>120</v>
      </c>
      <c r="BN1627" t="s">
        <v>120</v>
      </c>
      <c r="BO1627">
        <v>66.08</v>
      </c>
      <c r="BP1627">
        <v>13.68</v>
      </c>
      <c r="BQ1627">
        <v>46.93</v>
      </c>
      <c r="BR1627">
        <v>1.03</v>
      </c>
      <c r="BS1627">
        <v>27.42</v>
      </c>
      <c r="BT1627">
        <v>36.31</v>
      </c>
      <c r="BU1627">
        <v>4.6100000000000003</v>
      </c>
      <c r="BV1627">
        <v>6.03</v>
      </c>
      <c r="BW1627">
        <v>8.18</v>
      </c>
      <c r="BX1627">
        <v>10.97</v>
      </c>
      <c r="BY1627">
        <v>1.51</v>
      </c>
      <c r="BZ1627">
        <v>6.83</v>
      </c>
      <c r="CA1627" t="s">
        <v>120</v>
      </c>
      <c r="CB1627">
        <v>4.91</v>
      </c>
      <c r="CC1627">
        <v>10.24</v>
      </c>
      <c r="CD1627">
        <v>5.21</v>
      </c>
      <c r="CE1627">
        <v>0.96</v>
      </c>
      <c r="CF1627">
        <v>-0.15</v>
      </c>
      <c r="CG1627">
        <v>0.96</v>
      </c>
      <c r="CH1627">
        <v>0.97</v>
      </c>
      <c r="CI1627">
        <v>1.1200000000000001</v>
      </c>
      <c r="CJ1627">
        <v>-0.35</v>
      </c>
      <c r="CK1627">
        <v>0.88</v>
      </c>
      <c r="CL1627">
        <v>18.25</v>
      </c>
      <c r="CM1627">
        <v>-3.02</v>
      </c>
      <c r="CN1627">
        <v>1.1599999999999999</v>
      </c>
      <c r="CO1627">
        <v>73515</v>
      </c>
      <c r="CP1627">
        <v>22098</v>
      </c>
      <c r="CQ1627" t="s">
        <v>8389</v>
      </c>
      <c r="CR1627">
        <v>49.57</v>
      </c>
      <c r="CS1627">
        <v>29.13</v>
      </c>
      <c r="CT1627">
        <v>6.39</v>
      </c>
      <c r="CU1627">
        <v>-97.06</v>
      </c>
      <c r="CV1627">
        <v>28.62</v>
      </c>
      <c r="CW1627">
        <v>0.18</v>
      </c>
      <c r="CX1627" t="s">
        <v>1248</v>
      </c>
      <c r="CY1627">
        <v>2.14</v>
      </c>
      <c r="CZ1627">
        <v>2.14</v>
      </c>
      <c r="DA1627">
        <v>0.23</v>
      </c>
      <c r="DB1627">
        <v>0.85</v>
      </c>
      <c r="DC1627">
        <v>-0.14000000000000001</v>
      </c>
      <c r="DD1627">
        <v>71.02</v>
      </c>
      <c r="DE1627" t="s">
        <v>8390</v>
      </c>
      <c r="DF1627">
        <v>49.13</v>
      </c>
      <c r="DG1627">
        <v>9.35</v>
      </c>
      <c r="DH1627">
        <v>10.9</v>
      </c>
      <c r="DI1627">
        <v>1.18</v>
      </c>
      <c r="DJ1627">
        <v>5294</v>
      </c>
      <c r="DK1627">
        <v>300253</v>
      </c>
      <c r="DL1627" t="s">
        <v>120</v>
      </c>
      <c r="DM1627" t="s">
        <v>120</v>
      </c>
      <c r="DN1627" t="s">
        <v>120</v>
      </c>
    </row>
    <row r="1628" spans="1:118">
      <c r="A1628" t="str">
        <f>"300254"</f>
        <v>300254</v>
      </c>
      <c r="B1628" t="s">
        <v>8391</v>
      </c>
      <c r="C1628">
        <v>0.87</v>
      </c>
      <c r="D1628">
        <v>0.43</v>
      </c>
      <c r="E1628">
        <v>0.15</v>
      </c>
      <c r="F1628">
        <v>323</v>
      </c>
      <c r="G1628" t="s">
        <v>8392</v>
      </c>
      <c r="H1628">
        <v>2865.2</v>
      </c>
      <c r="I1628">
        <v>0.41</v>
      </c>
      <c r="J1628" t="s">
        <v>120</v>
      </c>
      <c r="K1628" t="s">
        <v>6086</v>
      </c>
      <c r="L1628">
        <v>1.94</v>
      </c>
      <c r="M1628">
        <v>6.94</v>
      </c>
      <c r="N1628">
        <v>1.36</v>
      </c>
      <c r="O1628">
        <v>2.62</v>
      </c>
      <c r="P1628">
        <v>7.06</v>
      </c>
      <c r="Q1628">
        <v>-0.73</v>
      </c>
      <c r="R1628">
        <v>6.83</v>
      </c>
      <c r="S1628">
        <v>6.89</v>
      </c>
      <c r="T1628">
        <v>41139</v>
      </c>
      <c r="U1628">
        <v>6.94</v>
      </c>
      <c r="V1628">
        <v>6.88</v>
      </c>
      <c r="W1628" t="s">
        <v>120</v>
      </c>
      <c r="X1628" t="s">
        <v>569</v>
      </c>
      <c r="Y1628" t="s">
        <v>667</v>
      </c>
      <c r="Z1628">
        <v>3.34</v>
      </c>
      <c r="AA1628">
        <v>6.96</v>
      </c>
      <c r="AB1628">
        <v>17928</v>
      </c>
      <c r="AC1628">
        <v>23211</v>
      </c>
      <c r="AD1628">
        <v>0.77</v>
      </c>
      <c r="AE1628">
        <v>117</v>
      </c>
      <c r="AF1628">
        <v>139</v>
      </c>
      <c r="AG1628" t="s">
        <v>120</v>
      </c>
      <c r="AH1628">
        <v>0</v>
      </c>
      <c r="AI1628" t="s">
        <v>120</v>
      </c>
      <c r="AJ1628">
        <v>2.12</v>
      </c>
      <c r="AK1628" t="s">
        <v>362</v>
      </c>
      <c r="AL1628">
        <v>2.79</v>
      </c>
      <c r="AM1628">
        <v>1245</v>
      </c>
      <c r="AN1628">
        <v>33</v>
      </c>
      <c r="AO1628">
        <v>1.6000000000000001E-3</v>
      </c>
      <c r="AP1628">
        <v>2</v>
      </c>
      <c r="AQ1628">
        <v>0.44</v>
      </c>
      <c r="AR1628">
        <v>-0.43</v>
      </c>
      <c r="AS1628">
        <v>0.15</v>
      </c>
      <c r="AT1628">
        <v>2.06</v>
      </c>
      <c r="AU1628">
        <v>0.72</v>
      </c>
      <c r="AV1628">
        <v>1</v>
      </c>
      <c r="AW1628">
        <v>2.13</v>
      </c>
      <c r="AX1628">
        <v>84.74</v>
      </c>
      <c r="AY1628" t="s">
        <v>120</v>
      </c>
      <c r="AZ1628" t="s">
        <v>120</v>
      </c>
      <c r="BA1628">
        <v>0.65</v>
      </c>
      <c r="BB1628" t="s">
        <v>125</v>
      </c>
      <c r="BF1628">
        <v>1.23</v>
      </c>
      <c r="BG1628">
        <v>0.73</v>
      </c>
      <c r="BH1628">
        <v>-1.7</v>
      </c>
      <c r="BI1628">
        <v>1.61</v>
      </c>
      <c r="BJ1628">
        <v>20210830</v>
      </c>
      <c r="BK1628">
        <v>20110819</v>
      </c>
      <c r="BL1628">
        <v>2.2799999999999998</v>
      </c>
      <c r="BM1628" t="s">
        <v>120</v>
      </c>
      <c r="BN1628" t="s">
        <v>120</v>
      </c>
      <c r="BO1628">
        <v>16.84</v>
      </c>
      <c r="BP1628">
        <v>6.92</v>
      </c>
      <c r="BQ1628">
        <v>6.8</v>
      </c>
      <c r="BR1628">
        <v>1.55</v>
      </c>
      <c r="BS1628">
        <v>50.42</v>
      </c>
      <c r="BT1628">
        <v>4.93</v>
      </c>
      <c r="BU1628">
        <v>3.07</v>
      </c>
      <c r="BV1628">
        <v>2.2999999999999998</v>
      </c>
      <c r="BW1628">
        <v>4.22</v>
      </c>
      <c r="BX1628">
        <v>1.56</v>
      </c>
      <c r="BY1628">
        <v>1.34</v>
      </c>
      <c r="BZ1628">
        <v>1.65</v>
      </c>
      <c r="CA1628">
        <v>0.01</v>
      </c>
      <c r="CB1628">
        <v>5.37</v>
      </c>
      <c r="CC1628">
        <v>4.58</v>
      </c>
      <c r="CD1628">
        <v>1.41</v>
      </c>
      <c r="CE1628">
        <v>-0.02</v>
      </c>
      <c r="CF1628">
        <v>0.06</v>
      </c>
      <c r="CG1628">
        <v>0.09</v>
      </c>
      <c r="CH1628">
        <v>0.06</v>
      </c>
      <c r="CI1628">
        <v>-0.04</v>
      </c>
      <c r="CJ1628">
        <v>0.06</v>
      </c>
      <c r="CK1628">
        <v>-0.27</v>
      </c>
      <c r="CL1628">
        <v>-1.03</v>
      </c>
      <c r="CM1628">
        <v>0.43</v>
      </c>
      <c r="CN1628">
        <v>-0.24</v>
      </c>
      <c r="CO1628">
        <v>13947</v>
      </c>
      <c r="CP1628">
        <v>13850</v>
      </c>
      <c r="CQ1628" t="s">
        <v>4726</v>
      </c>
      <c r="CR1628">
        <v>94.53</v>
      </c>
      <c r="CS1628">
        <v>16.02</v>
      </c>
      <c r="CT1628">
        <v>2.33</v>
      </c>
      <c r="CU1628">
        <v>36.83</v>
      </c>
      <c r="CV1628">
        <v>3.46</v>
      </c>
      <c r="CW1628">
        <v>0</v>
      </c>
      <c r="CX1628" t="s">
        <v>8393</v>
      </c>
      <c r="CY1628">
        <v>2.98</v>
      </c>
      <c r="CZ1628">
        <v>0</v>
      </c>
      <c r="DA1628">
        <v>2.36</v>
      </c>
      <c r="DB1628">
        <v>-0.45</v>
      </c>
      <c r="DC1628">
        <v>0.19</v>
      </c>
      <c r="DD1628">
        <v>40.4</v>
      </c>
      <c r="DE1628" t="s">
        <v>8394</v>
      </c>
      <c r="DF1628">
        <v>69.3</v>
      </c>
      <c r="DG1628">
        <v>-0.36</v>
      </c>
      <c r="DH1628">
        <v>-0.9</v>
      </c>
      <c r="DI1628">
        <v>0.27</v>
      </c>
      <c r="DJ1628">
        <v>1331</v>
      </c>
      <c r="DK1628">
        <v>300254</v>
      </c>
      <c r="DL1628" t="s">
        <v>120</v>
      </c>
      <c r="DM1628" t="s">
        <v>120</v>
      </c>
      <c r="DN1628" t="s">
        <v>120</v>
      </c>
    </row>
    <row r="1629" spans="1:118">
      <c r="A1629" t="str">
        <f>"300255"</f>
        <v>300255</v>
      </c>
      <c r="B1629" t="s">
        <v>8395</v>
      </c>
      <c r="C1629">
        <v>2.3199999999999998</v>
      </c>
      <c r="D1629">
        <v>0</v>
      </c>
      <c r="E1629">
        <v>-0.14000000000000001</v>
      </c>
      <c r="F1629">
        <v>5630</v>
      </c>
      <c r="G1629" t="s">
        <v>7141</v>
      </c>
      <c r="H1629">
        <v>17369.080000000002</v>
      </c>
      <c r="I1629">
        <v>23.72</v>
      </c>
      <c r="J1629" t="s">
        <v>120</v>
      </c>
      <c r="K1629" t="s">
        <v>8396</v>
      </c>
      <c r="L1629">
        <v>3.43</v>
      </c>
      <c r="M1629">
        <v>7.5</v>
      </c>
      <c r="N1629">
        <v>1.2</v>
      </c>
      <c r="O1629">
        <v>3.14</v>
      </c>
      <c r="P1629">
        <v>7.56</v>
      </c>
      <c r="Q1629">
        <v>-1.0900000000000001</v>
      </c>
      <c r="R1629">
        <v>7.25</v>
      </c>
      <c r="S1629">
        <v>7.32</v>
      </c>
      <c r="T1629">
        <v>233510</v>
      </c>
      <c r="U1629">
        <v>7.5</v>
      </c>
      <c r="V1629">
        <v>7.33</v>
      </c>
      <c r="W1629">
        <v>22.34</v>
      </c>
      <c r="X1629" t="s">
        <v>666</v>
      </c>
      <c r="Y1629" t="s">
        <v>602</v>
      </c>
      <c r="Z1629">
        <v>4.2300000000000004</v>
      </c>
      <c r="AA1629">
        <v>7.44</v>
      </c>
      <c r="AB1629">
        <v>104368</v>
      </c>
      <c r="AC1629">
        <v>129142</v>
      </c>
      <c r="AD1629">
        <v>0.81</v>
      </c>
      <c r="AE1629">
        <v>1550</v>
      </c>
      <c r="AF1629">
        <v>582</v>
      </c>
      <c r="AG1629" t="s">
        <v>120</v>
      </c>
      <c r="AH1629">
        <v>0.01</v>
      </c>
      <c r="AI1629" t="s">
        <v>120</v>
      </c>
      <c r="AJ1629">
        <v>6.81</v>
      </c>
      <c r="AK1629" t="s">
        <v>8397</v>
      </c>
      <c r="AL1629">
        <v>4.2300000000000004</v>
      </c>
      <c r="AM1629">
        <v>2824</v>
      </c>
      <c r="AN1629">
        <v>83</v>
      </c>
      <c r="AO1629">
        <v>1.1999999999999999E-3</v>
      </c>
      <c r="AP1629">
        <v>2</v>
      </c>
      <c r="AQ1629">
        <v>1.1000000000000001</v>
      </c>
      <c r="AR1629">
        <v>-0.27</v>
      </c>
      <c r="AS1629">
        <v>1.35</v>
      </c>
      <c r="AT1629">
        <v>18.11</v>
      </c>
      <c r="AU1629">
        <v>21.36</v>
      </c>
      <c r="AV1629">
        <v>1</v>
      </c>
      <c r="AW1629">
        <v>5.49</v>
      </c>
      <c r="AX1629">
        <v>45.46</v>
      </c>
      <c r="AY1629">
        <v>24.55</v>
      </c>
      <c r="AZ1629">
        <v>27.11</v>
      </c>
      <c r="BA1629">
        <v>1.08</v>
      </c>
      <c r="BB1629" t="s">
        <v>143</v>
      </c>
      <c r="BF1629">
        <v>1.48</v>
      </c>
      <c r="BG1629">
        <v>2.46</v>
      </c>
      <c r="BH1629">
        <v>-0.79</v>
      </c>
      <c r="BI1629">
        <v>3.45</v>
      </c>
      <c r="BJ1629">
        <v>20210830</v>
      </c>
      <c r="BK1629">
        <v>20110819</v>
      </c>
      <c r="BL1629">
        <v>9.35</v>
      </c>
      <c r="BM1629" t="s">
        <v>120</v>
      </c>
      <c r="BN1629" t="s">
        <v>120</v>
      </c>
      <c r="BO1629">
        <v>45.84</v>
      </c>
      <c r="BP1629">
        <v>7.49</v>
      </c>
      <c r="BQ1629">
        <v>29.99</v>
      </c>
      <c r="BR1629">
        <v>0.05</v>
      </c>
      <c r="BS1629">
        <v>34.46</v>
      </c>
      <c r="BT1629">
        <v>29.37</v>
      </c>
      <c r="BU1629">
        <v>7.33</v>
      </c>
      <c r="BV1629">
        <v>2.44</v>
      </c>
      <c r="BW1629">
        <v>14.04</v>
      </c>
      <c r="BX1629">
        <v>2.79</v>
      </c>
      <c r="BY1629">
        <v>20.81</v>
      </c>
      <c r="BZ1629">
        <v>3.27</v>
      </c>
      <c r="CA1629">
        <v>1.1499999999999999</v>
      </c>
      <c r="CB1629">
        <v>5.27</v>
      </c>
      <c r="CC1629">
        <v>14.17</v>
      </c>
      <c r="CD1629">
        <v>5.52</v>
      </c>
      <c r="CE1629">
        <v>1.78</v>
      </c>
      <c r="CF1629">
        <v>0</v>
      </c>
      <c r="CG1629">
        <v>1.78</v>
      </c>
      <c r="CH1629">
        <v>1.56</v>
      </c>
      <c r="CI1629">
        <v>1.57</v>
      </c>
      <c r="CJ1629">
        <v>0.17</v>
      </c>
      <c r="CK1629">
        <v>1.53</v>
      </c>
      <c r="CL1629">
        <v>15.57</v>
      </c>
      <c r="CM1629">
        <v>1.19</v>
      </c>
      <c r="CN1629">
        <v>-1.95</v>
      </c>
      <c r="CO1629">
        <v>32024</v>
      </c>
      <c r="CP1629">
        <v>13272</v>
      </c>
      <c r="CQ1629" t="s">
        <v>8398</v>
      </c>
      <c r="CR1629">
        <v>20.13</v>
      </c>
      <c r="CS1629">
        <v>40.36</v>
      </c>
      <c r="CT1629">
        <v>2.34</v>
      </c>
      <c r="CU1629">
        <v>59.13</v>
      </c>
      <c r="CV1629">
        <v>4.95</v>
      </c>
      <c r="CW1629">
        <v>0</v>
      </c>
      <c r="CX1629" t="s">
        <v>1193</v>
      </c>
      <c r="CY1629">
        <v>3.21</v>
      </c>
      <c r="CZ1629">
        <v>0</v>
      </c>
      <c r="DA1629">
        <v>0.56000000000000005</v>
      </c>
      <c r="DB1629">
        <v>1.67</v>
      </c>
      <c r="DC1629">
        <v>0.13</v>
      </c>
      <c r="DD1629">
        <v>65.44</v>
      </c>
      <c r="DE1629" t="s">
        <v>6218</v>
      </c>
      <c r="DF1629">
        <v>61.05</v>
      </c>
      <c r="DG1629">
        <v>12.53</v>
      </c>
      <c r="DH1629">
        <v>11.07</v>
      </c>
      <c r="DI1629">
        <v>0.69</v>
      </c>
      <c r="DJ1629">
        <v>1138</v>
      </c>
      <c r="DK1629">
        <v>300255</v>
      </c>
      <c r="DL1629" t="s">
        <v>120</v>
      </c>
      <c r="DM1629" t="s">
        <v>120</v>
      </c>
      <c r="DN1629" t="s">
        <v>120</v>
      </c>
    </row>
    <row r="1630" spans="1:118">
      <c r="A1630" t="str">
        <f>"300257"</f>
        <v>300257</v>
      </c>
      <c r="B1630" t="s">
        <v>8399</v>
      </c>
      <c r="C1630">
        <v>-2.65</v>
      </c>
      <c r="D1630">
        <v>-0.83</v>
      </c>
      <c r="E1630">
        <v>0.35</v>
      </c>
      <c r="F1630">
        <v>2463</v>
      </c>
      <c r="G1630" t="s">
        <v>8400</v>
      </c>
      <c r="H1630">
        <v>6940.73</v>
      </c>
      <c r="I1630">
        <v>10.89</v>
      </c>
      <c r="J1630" t="s">
        <v>120</v>
      </c>
      <c r="K1630" t="s">
        <v>8401</v>
      </c>
      <c r="L1630">
        <v>0.51</v>
      </c>
      <c r="M1630">
        <v>16.510000000000002</v>
      </c>
      <c r="N1630">
        <v>0.74</v>
      </c>
      <c r="O1630">
        <v>0.35</v>
      </c>
      <c r="P1630">
        <v>17.02</v>
      </c>
      <c r="Q1630">
        <v>-3.01</v>
      </c>
      <c r="R1630">
        <v>16.45</v>
      </c>
      <c r="S1630">
        <v>17.02</v>
      </c>
      <c r="T1630">
        <v>41729</v>
      </c>
      <c r="U1630">
        <v>16.53</v>
      </c>
      <c r="V1630">
        <v>16.96</v>
      </c>
      <c r="W1630">
        <v>54.52</v>
      </c>
      <c r="X1630" t="s">
        <v>959</v>
      </c>
      <c r="Y1630" t="s">
        <v>585</v>
      </c>
      <c r="Z1630">
        <v>3.36</v>
      </c>
      <c r="AA1630">
        <v>16.63</v>
      </c>
      <c r="AB1630">
        <v>25703</v>
      </c>
      <c r="AC1630">
        <v>16026</v>
      </c>
      <c r="AD1630">
        <v>1.6</v>
      </c>
      <c r="AE1630">
        <v>443</v>
      </c>
      <c r="AF1630">
        <v>30</v>
      </c>
      <c r="AG1630" t="s">
        <v>120</v>
      </c>
      <c r="AH1630">
        <v>0</v>
      </c>
      <c r="AI1630" t="s">
        <v>120</v>
      </c>
      <c r="AJ1630">
        <v>8.18</v>
      </c>
      <c r="AK1630" t="s">
        <v>8402</v>
      </c>
      <c r="AL1630">
        <v>-0.74</v>
      </c>
      <c r="AM1630">
        <v>1756</v>
      </c>
      <c r="AN1630">
        <v>24</v>
      </c>
      <c r="AO1630">
        <v>2.9999999999999997E-4</v>
      </c>
      <c r="AP1630">
        <v>-1</v>
      </c>
      <c r="AQ1630">
        <v>0.65</v>
      </c>
      <c r="AR1630">
        <v>-1.43</v>
      </c>
      <c r="AS1630">
        <v>18.95</v>
      </c>
      <c r="AT1630">
        <v>25.07</v>
      </c>
      <c r="AU1630">
        <v>21.22</v>
      </c>
      <c r="AV1630">
        <v>0</v>
      </c>
      <c r="AW1630">
        <v>1.34</v>
      </c>
      <c r="AX1630">
        <v>31.24</v>
      </c>
      <c r="AY1630">
        <v>58.45</v>
      </c>
      <c r="AZ1630">
        <v>65.83</v>
      </c>
      <c r="BA1630">
        <v>0.35</v>
      </c>
      <c r="BB1630" t="s">
        <v>184</v>
      </c>
      <c r="BF1630">
        <v>-1.93</v>
      </c>
      <c r="BG1630">
        <v>-3</v>
      </c>
      <c r="BH1630">
        <v>-3</v>
      </c>
      <c r="BI1630">
        <v>0.36</v>
      </c>
      <c r="BJ1630">
        <v>20210830</v>
      </c>
      <c r="BK1630">
        <v>20110819</v>
      </c>
      <c r="BL1630">
        <v>9.94</v>
      </c>
      <c r="BM1630" t="s">
        <v>120</v>
      </c>
      <c r="BN1630" t="s">
        <v>120</v>
      </c>
      <c r="BO1630">
        <v>112.25</v>
      </c>
      <c r="BP1630">
        <v>16.510000000000002</v>
      </c>
      <c r="BQ1630">
        <v>48.27</v>
      </c>
      <c r="BR1630">
        <v>-0.06</v>
      </c>
      <c r="BS1630">
        <v>57.05</v>
      </c>
      <c r="BT1630">
        <v>37.47</v>
      </c>
      <c r="BU1630">
        <v>19.559999999999999</v>
      </c>
      <c r="BV1630">
        <v>3.13</v>
      </c>
      <c r="BW1630">
        <v>46.41</v>
      </c>
      <c r="BX1630">
        <v>9.5299999999999994</v>
      </c>
      <c r="BY1630">
        <v>14.74</v>
      </c>
      <c r="BZ1630">
        <v>6.41</v>
      </c>
      <c r="CA1630" t="s">
        <v>120</v>
      </c>
      <c r="CB1630">
        <v>24.13</v>
      </c>
      <c r="CC1630">
        <v>17.93</v>
      </c>
      <c r="CD1630">
        <v>13.14</v>
      </c>
      <c r="CE1630">
        <v>1.83</v>
      </c>
      <c r="CF1630">
        <v>7.0000000000000007E-2</v>
      </c>
      <c r="CG1630">
        <v>1.82</v>
      </c>
      <c r="CH1630">
        <v>1.52</v>
      </c>
      <c r="CI1630">
        <v>1.5</v>
      </c>
      <c r="CJ1630">
        <v>-0.45</v>
      </c>
      <c r="CK1630">
        <v>1.44</v>
      </c>
      <c r="CL1630">
        <v>12.88</v>
      </c>
      <c r="CM1630">
        <v>1.0900000000000001</v>
      </c>
      <c r="CN1630">
        <v>-6.89</v>
      </c>
      <c r="CO1630">
        <v>9806</v>
      </c>
      <c r="CP1630">
        <v>31655</v>
      </c>
      <c r="CQ1630" t="s">
        <v>8403</v>
      </c>
      <c r="CR1630">
        <v>27.38</v>
      </c>
      <c r="CS1630">
        <v>26.32</v>
      </c>
      <c r="CT1630">
        <v>3.4</v>
      </c>
      <c r="CU1630">
        <v>150.83000000000001</v>
      </c>
      <c r="CV1630">
        <v>9.15</v>
      </c>
      <c r="CW1630">
        <v>0.18</v>
      </c>
      <c r="CX1630" t="s">
        <v>2456</v>
      </c>
      <c r="CY1630">
        <v>4.8600000000000003</v>
      </c>
      <c r="CZ1630">
        <v>0</v>
      </c>
      <c r="DA1630">
        <v>2.4300000000000002</v>
      </c>
      <c r="DB1630">
        <v>1.3</v>
      </c>
      <c r="DC1630">
        <v>0.11</v>
      </c>
      <c r="DD1630">
        <v>43</v>
      </c>
      <c r="DE1630" t="s">
        <v>8404</v>
      </c>
      <c r="DF1630">
        <v>26.69</v>
      </c>
      <c r="DG1630">
        <v>10.199999999999999</v>
      </c>
      <c r="DH1630">
        <v>8.39</v>
      </c>
      <c r="DI1630">
        <v>0.55000000000000004</v>
      </c>
      <c r="DJ1630">
        <v>3422</v>
      </c>
      <c r="DK1630">
        <v>300257</v>
      </c>
      <c r="DL1630" t="s">
        <v>120</v>
      </c>
      <c r="DM1630" t="s">
        <v>120</v>
      </c>
      <c r="DN1630" t="s">
        <v>120</v>
      </c>
    </row>
    <row r="1631" spans="1:118">
      <c r="A1631" t="str">
        <f>"300258"</f>
        <v>300258</v>
      </c>
      <c r="B1631" t="s">
        <v>8405</v>
      </c>
      <c r="C1631">
        <v>-5.0999999999999996</v>
      </c>
      <c r="D1631">
        <v>0.08</v>
      </c>
      <c r="E1631">
        <v>-0.3</v>
      </c>
      <c r="F1631">
        <v>930</v>
      </c>
      <c r="G1631" t="s">
        <v>6105</v>
      </c>
      <c r="H1631">
        <v>15901.25</v>
      </c>
      <c r="I1631">
        <v>17.309999999999999</v>
      </c>
      <c r="J1631" t="s">
        <v>120</v>
      </c>
      <c r="K1631" t="s">
        <v>8406</v>
      </c>
      <c r="L1631">
        <v>2.81</v>
      </c>
      <c r="M1631">
        <v>12.48</v>
      </c>
      <c r="N1631">
        <v>1.29</v>
      </c>
      <c r="O1631">
        <v>0.76</v>
      </c>
      <c r="P1631">
        <v>13.25</v>
      </c>
      <c r="Q1631">
        <v>-5.25</v>
      </c>
      <c r="R1631">
        <v>12.46</v>
      </c>
      <c r="S1631">
        <v>13.11</v>
      </c>
      <c r="T1631">
        <v>124540</v>
      </c>
      <c r="U1631">
        <v>12.5</v>
      </c>
      <c r="V1631">
        <v>13.15</v>
      </c>
      <c r="W1631">
        <v>29.39</v>
      </c>
      <c r="X1631" t="s">
        <v>289</v>
      </c>
      <c r="Y1631" t="s">
        <v>319</v>
      </c>
      <c r="Z1631">
        <v>6.01</v>
      </c>
      <c r="AA1631">
        <v>12.77</v>
      </c>
      <c r="AB1631">
        <v>78501</v>
      </c>
      <c r="AC1631">
        <v>46039</v>
      </c>
      <c r="AD1631">
        <v>1.71</v>
      </c>
      <c r="AE1631">
        <v>381</v>
      </c>
      <c r="AF1631">
        <v>146</v>
      </c>
      <c r="AG1631" t="s">
        <v>120</v>
      </c>
      <c r="AH1631">
        <v>0.01</v>
      </c>
      <c r="AI1631" t="s">
        <v>120</v>
      </c>
      <c r="AJ1631">
        <v>4.4400000000000004</v>
      </c>
      <c r="AK1631" t="s">
        <v>541</v>
      </c>
      <c r="AL1631">
        <v>-3.18</v>
      </c>
      <c r="AM1631">
        <v>3327</v>
      </c>
      <c r="AN1631">
        <v>37</v>
      </c>
      <c r="AO1631">
        <v>8.0000000000000004E-4</v>
      </c>
      <c r="AP1631">
        <v>-6</v>
      </c>
      <c r="AQ1631">
        <v>-1.5</v>
      </c>
      <c r="AR1631">
        <v>-9.83</v>
      </c>
      <c r="AS1631">
        <v>-5.0199999999999996</v>
      </c>
      <c r="AT1631">
        <v>-4.66</v>
      </c>
      <c r="AU1631">
        <v>-22.29</v>
      </c>
      <c r="AV1631">
        <v>0</v>
      </c>
      <c r="AW1631">
        <v>4.93</v>
      </c>
      <c r="AX1631">
        <v>52.48</v>
      </c>
      <c r="AY1631">
        <v>31.45</v>
      </c>
      <c r="AZ1631">
        <v>40.659999999999997</v>
      </c>
      <c r="BA1631">
        <v>1</v>
      </c>
      <c r="BB1631" t="s">
        <v>143</v>
      </c>
      <c r="BF1631">
        <v>-2.9</v>
      </c>
      <c r="BG1631">
        <v>-4.8099999999999996</v>
      </c>
      <c r="BH1631">
        <v>-5.81</v>
      </c>
      <c r="BI1631">
        <v>0.16</v>
      </c>
      <c r="BJ1631">
        <v>20210824</v>
      </c>
      <c r="BK1631">
        <v>20110826</v>
      </c>
      <c r="BL1631">
        <v>4.82</v>
      </c>
      <c r="BM1631" t="s">
        <v>120</v>
      </c>
      <c r="BN1631" t="s">
        <v>120</v>
      </c>
      <c r="BO1631">
        <v>44.06</v>
      </c>
      <c r="BP1631">
        <v>12.48</v>
      </c>
      <c r="BQ1631">
        <v>30.72</v>
      </c>
      <c r="BR1631">
        <v>7.0000000000000007E-2</v>
      </c>
      <c r="BS1631">
        <v>30.12</v>
      </c>
      <c r="BT1631">
        <v>17.88</v>
      </c>
      <c r="BU1631">
        <v>18.55</v>
      </c>
      <c r="BV1631">
        <v>1.58</v>
      </c>
      <c r="BW1631">
        <v>10.25</v>
      </c>
      <c r="BX1631">
        <v>5.35</v>
      </c>
      <c r="BY1631">
        <v>2.79</v>
      </c>
      <c r="BZ1631">
        <v>3.04</v>
      </c>
      <c r="CA1631" t="s">
        <v>120</v>
      </c>
      <c r="CB1631">
        <v>12.9</v>
      </c>
      <c r="CC1631">
        <v>6.88</v>
      </c>
      <c r="CD1631">
        <v>4.84</v>
      </c>
      <c r="CE1631">
        <v>1.23</v>
      </c>
      <c r="CF1631">
        <v>0.1</v>
      </c>
      <c r="CG1631">
        <v>1.22</v>
      </c>
      <c r="CH1631">
        <v>1.02</v>
      </c>
      <c r="CI1631">
        <v>1.02</v>
      </c>
      <c r="CJ1631">
        <v>-0.67</v>
      </c>
      <c r="CK1631">
        <v>0.81</v>
      </c>
      <c r="CL1631">
        <v>12.41</v>
      </c>
      <c r="CM1631">
        <v>1.26</v>
      </c>
      <c r="CN1631">
        <v>0.88</v>
      </c>
      <c r="CO1631">
        <v>11685</v>
      </c>
      <c r="CP1631">
        <v>21637</v>
      </c>
      <c r="CQ1631" t="s">
        <v>693</v>
      </c>
      <c r="CR1631">
        <v>80.56</v>
      </c>
      <c r="CS1631">
        <v>43.32</v>
      </c>
      <c r="CT1631">
        <v>1.96</v>
      </c>
      <c r="CU1631">
        <v>47.9</v>
      </c>
      <c r="CV1631">
        <v>8.74</v>
      </c>
      <c r="CW1631">
        <v>0.75</v>
      </c>
      <c r="CX1631" t="s">
        <v>863</v>
      </c>
      <c r="CY1631">
        <v>6.38</v>
      </c>
      <c r="CZ1631">
        <v>0</v>
      </c>
      <c r="DA1631">
        <v>2.68</v>
      </c>
      <c r="DB1631">
        <v>2.58</v>
      </c>
      <c r="DC1631">
        <v>0.26</v>
      </c>
      <c r="DD1631">
        <v>69.73</v>
      </c>
      <c r="DE1631" t="s">
        <v>1841</v>
      </c>
      <c r="DF1631">
        <v>29.6</v>
      </c>
      <c r="DG1631">
        <v>17.88</v>
      </c>
      <c r="DH1631">
        <v>14.88</v>
      </c>
      <c r="DI1631">
        <v>0.33</v>
      </c>
      <c r="DJ1631">
        <v>1801</v>
      </c>
      <c r="DK1631">
        <v>300258</v>
      </c>
      <c r="DL1631" t="s">
        <v>120</v>
      </c>
      <c r="DM1631" t="s">
        <v>120</v>
      </c>
      <c r="DN1631" t="s">
        <v>120</v>
      </c>
    </row>
    <row r="1632" spans="1:118">
      <c r="A1632" t="str">
        <f>"300259"</f>
        <v>300259</v>
      </c>
      <c r="B1632" t="s">
        <v>8407</v>
      </c>
      <c r="C1632">
        <v>-4.66</v>
      </c>
      <c r="D1632">
        <v>0.2</v>
      </c>
      <c r="E1632">
        <v>-1.3</v>
      </c>
      <c r="F1632">
        <v>4432</v>
      </c>
      <c r="G1632" t="s">
        <v>8408</v>
      </c>
      <c r="H1632">
        <v>17505.439999999999</v>
      </c>
      <c r="I1632">
        <v>140.03</v>
      </c>
      <c r="J1632" t="s">
        <v>120</v>
      </c>
      <c r="K1632" t="s">
        <v>8409</v>
      </c>
      <c r="L1632">
        <v>4.08</v>
      </c>
      <c r="M1632">
        <v>5.12</v>
      </c>
      <c r="N1632">
        <v>1.1399999999999999</v>
      </c>
      <c r="O1632">
        <v>0.93</v>
      </c>
      <c r="P1632">
        <v>5.42</v>
      </c>
      <c r="Q1632">
        <v>-5.03</v>
      </c>
      <c r="R1632">
        <v>5.0999999999999996</v>
      </c>
      <c r="S1632">
        <v>5.3</v>
      </c>
      <c r="T1632">
        <v>333443</v>
      </c>
      <c r="U1632">
        <v>5.13</v>
      </c>
      <c r="V1632">
        <v>5.37</v>
      </c>
      <c r="W1632">
        <v>18</v>
      </c>
      <c r="X1632" t="s">
        <v>2717</v>
      </c>
      <c r="Y1632" t="s">
        <v>645</v>
      </c>
      <c r="Z1632">
        <v>5.96</v>
      </c>
      <c r="AA1632">
        <v>5.25</v>
      </c>
      <c r="AB1632">
        <v>204909</v>
      </c>
      <c r="AC1632">
        <v>128534</v>
      </c>
      <c r="AD1632">
        <v>1.59</v>
      </c>
      <c r="AE1632">
        <v>1223</v>
      </c>
      <c r="AF1632">
        <v>741</v>
      </c>
      <c r="AG1632" t="s">
        <v>120</v>
      </c>
      <c r="AH1632">
        <v>0.04</v>
      </c>
      <c r="AI1632" t="s">
        <v>120</v>
      </c>
      <c r="AJ1632">
        <v>8.17</v>
      </c>
      <c r="AK1632" t="s">
        <v>8410</v>
      </c>
      <c r="AL1632">
        <v>-2.74</v>
      </c>
      <c r="AM1632">
        <v>2842</v>
      </c>
      <c r="AN1632">
        <v>117</v>
      </c>
      <c r="AO1632">
        <v>1.4E-3</v>
      </c>
      <c r="AP1632">
        <v>-1</v>
      </c>
      <c r="AQ1632">
        <v>2.09</v>
      </c>
      <c r="AR1632">
        <v>-0.57999999999999996</v>
      </c>
      <c r="AS1632">
        <v>5.57</v>
      </c>
      <c r="AT1632">
        <v>10.1</v>
      </c>
      <c r="AU1632">
        <v>4.92</v>
      </c>
      <c r="AV1632">
        <v>0</v>
      </c>
      <c r="AW1632">
        <v>5.42</v>
      </c>
      <c r="AX1632">
        <v>52.33</v>
      </c>
      <c r="AY1632">
        <v>14.26</v>
      </c>
      <c r="AZ1632">
        <v>16.649999999999999</v>
      </c>
      <c r="BA1632">
        <v>0.28999999999999998</v>
      </c>
      <c r="BB1632" t="s">
        <v>143</v>
      </c>
      <c r="BF1632">
        <v>-2.2400000000000002</v>
      </c>
      <c r="BG1632">
        <v>-3.4</v>
      </c>
      <c r="BH1632">
        <v>-5.54</v>
      </c>
      <c r="BI1632">
        <v>0.39</v>
      </c>
      <c r="BJ1632">
        <v>20210906</v>
      </c>
      <c r="BK1632">
        <v>20110831</v>
      </c>
      <c r="BL1632">
        <v>11.76</v>
      </c>
      <c r="BM1632" t="s">
        <v>120</v>
      </c>
      <c r="BN1632" t="s">
        <v>120</v>
      </c>
      <c r="BO1632">
        <v>30.27</v>
      </c>
      <c r="BP1632">
        <v>5.12</v>
      </c>
      <c r="BQ1632">
        <v>25.85</v>
      </c>
      <c r="BR1632">
        <v>0</v>
      </c>
      <c r="BS1632">
        <v>14.57</v>
      </c>
      <c r="BT1632">
        <v>22.98</v>
      </c>
      <c r="BU1632">
        <v>2.44</v>
      </c>
      <c r="BV1632">
        <v>1.1599999999999999</v>
      </c>
      <c r="BW1632">
        <v>3.99</v>
      </c>
      <c r="BX1632">
        <v>4.72</v>
      </c>
      <c r="BY1632">
        <v>3.11</v>
      </c>
      <c r="BZ1632">
        <v>4.24</v>
      </c>
      <c r="CA1632">
        <v>0.02</v>
      </c>
      <c r="CB1632">
        <v>0.47</v>
      </c>
      <c r="CC1632">
        <v>4.79</v>
      </c>
      <c r="CD1632">
        <v>2.65</v>
      </c>
      <c r="CE1632">
        <v>1.87</v>
      </c>
      <c r="CF1632">
        <v>0.51</v>
      </c>
      <c r="CG1632">
        <v>1.88</v>
      </c>
      <c r="CH1632">
        <v>1.67</v>
      </c>
      <c r="CI1632">
        <v>1.67</v>
      </c>
      <c r="CJ1632">
        <v>-0.25</v>
      </c>
      <c r="CK1632">
        <v>1.05</v>
      </c>
      <c r="CL1632">
        <v>12.23</v>
      </c>
      <c r="CM1632">
        <v>-0.17</v>
      </c>
      <c r="CN1632">
        <v>-1.19</v>
      </c>
      <c r="CO1632">
        <v>37315</v>
      </c>
      <c r="CP1632">
        <v>16487</v>
      </c>
      <c r="CQ1632" t="s">
        <v>947</v>
      </c>
      <c r="CR1632">
        <v>61.21</v>
      </c>
      <c r="CS1632">
        <v>15.53</v>
      </c>
      <c r="CT1632">
        <v>2.33</v>
      </c>
      <c r="CU1632">
        <v>-346.48</v>
      </c>
      <c r="CV1632">
        <v>12.56</v>
      </c>
      <c r="CW1632">
        <v>1.67</v>
      </c>
      <c r="CX1632" t="s">
        <v>300</v>
      </c>
      <c r="CY1632">
        <v>2.2000000000000002</v>
      </c>
      <c r="CZ1632">
        <v>0</v>
      </c>
      <c r="DA1632">
        <v>0.04</v>
      </c>
      <c r="DB1632">
        <v>1.04</v>
      </c>
      <c r="DC1632">
        <v>-0.01</v>
      </c>
      <c r="DD1632">
        <v>85.42</v>
      </c>
      <c r="DE1632" t="s">
        <v>8411</v>
      </c>
      <c r="DF1632">
        <v>44.59</v>
      </c>
      <c r="DG1632">
        <v>39.04</v>
      </c>
      <c r="DH1632">
        <v>34.909999999999997</v>
      </c>
      <c r="DI1632">
        <v>0.41</v>
      </c>
      <c r="DJ1632">
        <v>1586</v>
      </c>
      <c r="DK1632">
        <v>300259</v>
      </c>
      <c r="DL1632" t="s">
        <v>120</v>
      </c>
      <c r="DM1632" t="s">
        <v>120</v>
      </c>
      <c r="DN1632" t="s">
        <v>120</v>
      </c>
    </row>
    <row r="1633" spans="1:118">
      <c r="A1633" t="str">
        <f>"300260"</f>
        <v>300260</v>
      </c>
      <c r="B1633" t="s">
        <v>8412</v>
      </c>
      <c r="C1633">
        <v>-4.1100000000000003</v>
      </c>
      <c r="D1633">
        <v>0</v>
      </c>
      <c r="E1633">
        <v>1.1499999999999999</v>
      </c>
      <c r="F1633">
        <v>660</v>
      </c>
      <c r="G1633" t="s">
        <v>8413</v>
      </c>
      <c r="H1633">
        <v>19970.75</v>
      </c>
      <c r="I1633">
        <v>115.56</v>
      </c>
      <c r="J1633" t="s">
        <v>120</v>
      </c>
      <c r="K1633" t="s">
        <v>8414</v>
      </c>
      <c r="L1633">
        <v>3.74</v>
      </c>
      <c r="M1633">
        <v>35</v>
      </c>
      <c r="N1633">
        <v>0.59</v>
      </c>
      <c r="O1633">
        <v>1.92</v>
      </c>
      <c r="P1633">
        <v>37.200000000000003</v>
      </c>
      <c r="Q1633">
        <v>-5.21</v>
      </c>
      <c r="R1633">
        <v>34.6</v>
      </c>
      <c r="S1633">
        <v>36.92</v>
      </c>
      <c r="T1633">
        <v>56389</v>
      </c>
      <c r="U1633">
        <v>35.06</v>
      </c>
      <c r="V1633">
        <v>36.5</v>
      </c>
      <c r="W1633">
        <v>58.4</v>
      </c>
      <c r="X1633" t="s">
        <v>959</v>
      </c>
      <c r="Y1633" t="s">
        <v>319</v>
      </c>
      <c r="Z1633">
        <v>7.12</v>
      </c>
      <c r="AA1633">
        <v>35.42</v>
      </c>
      <c r="AB1633">
        <v>28202</v>
      </c>
      <c r="AC1633">
        <v>28187</v>
      </c>
      <c r="AD1633">
        <v>1</v>
      </c>
      <c r="AE1633">
        <v>81</v>
      </c>
      <c r="AF1633">
        <v>30</v>
      </c>
      <c r="AG1633" t="s">
        <v>120</v>
      </c>
      <c r="AH1633">
        <v>0.03</v>
      </c>
      <c r="AI1633" t="s">
        <v>120</v>
      </c>
      <c r="AJ1633">
        <v>1.51</v>
      </c>
      <c r="AK1633" t="s">
        <v>8415</v>
      </c>
      <c r="AL1633">
        <v>-2.2000000000000002</v>
      </c>
      <c r="AM1633">
        <v>3022</v>
      </c>
      <c r="AN1633">
        <v>19</v>
      </c>
      <c r="AO1633">
        <v>1.1999999999999999E-3</v>
      </c>
      <c r="AP1633">
        <v>-2</v>
      </c>
      <c r="AQ1633">
        <v>-7.57</v>
      </c>
      <c r="AR1633">
        <v>-6.19</v>
      </c>
      <c r="AS1633">
        <v>39.5</v>
      </c>
      <c r="AT1633">
        <v>81.44</v>
      </c>
      <c r="AU1633">
        <v>109.2</v>
      </c>
      <c r="AV1633">
        <v>1</v>
      </c>
      <c r="AW1633">
        <v>6.19</v>
      </c>
      <c r="AX1633">
        <v>40.19</v>
      </c>
      <c r="AY1633">
        <v>70.86</v>
      </c>
      <c r="AZ1633">
        <v>100.15</v>
      </c>
      <c r="BA1633">
        <v>1.76</v>
      </c>
      <c r="BB1633" t="s">
        <v>143</v>
      </c>
      <c r="BF1633">
        <v>-2.97</v>
      </c>
      <c r="BG1633">
        <v>-5.2</v>
      </c>
      <c r="BH1633">
        <v>-5.91</v>
      </c>
      <c r="BI1633">
        <v>1.1599999999999999</v>
      </c>
      <c r="BJ1633">
        <v>20210824</v>
      </c>
      <c r="BK1633">
        <v>20110906</v>
      </c>
      <c r="BL1633">
        <v>2.27</v>
      </c>
      <c r="BM1633" t="s">
        <v>120</v>
      </c>
      <c r="BN1633" t="s">
        <v>120</v>
      </c>
      <c r="BO1633">
        <v>25.12</v>
      </c>
      <c r="BP1633">
        <v>35</v>
      </c>
      <c r="BQ1633">
        <v>11.67</v>
      </c>
      <c r="BR1633">
        <v>7.0000000000000007E-2</v>
      </c>
      <c r="BS1633">
        <v>53.25</v>
      </c>
      <c r="BT1633">
        <v>16.45</v>
      </c>
      <c r="BU1633">
        <v>4.95</v>
      </c>
      <c r="BV1633">
        <v>0.68</v>
      </c>
      <c r="BW1633">
        <v>10.92</v>
      </c>
      <c r="BX1633">
        <v>2.11</v>
      </c>
      <c r="BY1633">
        <v>8.4600000000000009</v>
      </c>
      <c r="BZ1633">
        <v>4.49</v>
      </c>
      <c r="CA1633">
        <v>0</v>
      </c>
      <c r="CB1633">
        <v>5.58</v>
      </c>
      <c r="CC1633">
        <v>8.9700000000000006</v>
      </c>
      <c r="CD1633">
        <v>6.71</v>
      </c>
      <c r="CE1633">
        <v>0.81</v>
      </c>
      <c r="CF1633">
        <v>0</v>
      </c>
      <c r="CG1633">
        <v>0.81</v>
      </c>
      <c r="CH1633">
        <v>0.68</v>
      </c>
      <c r="CI1633">
        <v>0.68</v>
      </c>
      <c r="CJ1633">
        <v>-1.5</v>
      </c>
      <c r="CK1633">
        <v>0.63</v>
      </c>
      <c r="CL1633">
        <v>3.53</v>
      </c>
      <c r="CM1633">
        <v>0.36</v>
      </c>
      <c r="CN1633">
        <v>-0.38</v>
      </c>
      <c r="CO1633">
        <v>16831</v>
      </c>
      <c r="CP1633">
        <v>5410</v>
      </c>
      <c r="CQ1633" t="s">
        <v>1425</v>
      </c>
      <c r="CR1633">
        <v>101.1</v>
      </c>
      <c r="CS1633">
        <v>47.68</v>
      </c>
      <c r="CT1633">
        <v>6.8</v>
      </c>
      <c r="CU1633">
        <v>222.66</v>
      </c>
      <c r="CV1633">
        <v>8.84</v>
      </c>
      <c r="CW1633">
        <v>0.14000000000000001</v>
      </c>
      <c r="CX1633" t="s">
        <v>1340</v>
      </c>
      <c r="CY1633">
        <v>5.15</v>
      </c>
      <c r="CZ1633">
        <v>0</v>
      </c>
      <c r="DA1633">
        <v>2.46</v>
      </c>
      <c r="DB1633">
        <v>1.56</v>
      </c>
      <c r="DC1633">
        <v>0.16</v>
      </c>
      <c r="DD1633">
        <v>46.46</v>
      </c>
      <c r="DE1633" t="s">
        <v>4880</v>
      </c>
      <c r="DF1633">
        <v>25.1</v>
      </c>
      <c r="DG1633">
        <v>9.02</v>
      </c>
      <c r="DH1633">
        <v>7.57</v>
      </c>
      <c r="DI1633">
        <v>0.35</v>
      </c>
      <c r="DJ1633">
        <v>1926</v>
      </c>
      <c r="DK1633">
        <v>300260</v>
      </c>
      <c r="DL1633">
        <v>20210729</v>
      </c>
      <c r="DM1633">
        <v>25.76</v>
      </c>
      <c r="DN1633">
        <v>35.869999999999997</v>
      </c>
    </row>
    <row r="1634" spans="1:118">
      <c r="A1634" t="str">
        <f>"300261"</f>
        <v>300261</v>
      </c>
      <c r="B1634" t="s">
        <v>8416</v>
      </c>
      <c r="C1634">
        <v>1.96</v>
      </c>
      <c r="D1634">
        <v>0</v>
      </c>
      <c r="E1634">
        <v>0</v>
      </c>
      <c r="F1634">
        <v>7864</v>
      </c>
      <c r="G1634" t="s">
        <v>7319</v>
      </c>
      <c r="H1634">
        <v>24879.51</v>
      </c>
      <c r="I1634">
        <v>58.87</v>
      </c>
      <c r="J1634" t="s">
        <v>120</v>
      </c>
      <c r="K1634" t="s">
        <v>8417</v>
      </c>
      <c r="L1634">
        <v>4.22</v>
      </c>
      <c r="M1634">
        <v>6.24</v>
      </c>
      <c r="N1634">
        <v>1.18</v>
      </c>
      <c r="O1634">
        <v>4.9000000000000004</v>
      </c>
      <c r="P1634">
        <v>6.42</v>
      </c>
      <c r="Q1634">
        <v>-1.31</v>
      </c>
      <c r="R1634">
        <v>6.04</v>
      </c>
      <c r="S1634">
        <v>6.12</v>
      </c>
      <c r="T1634">
        <v>400034</v>
      </c>
      <c r="U1634">
        <v>6.24</v>
      </c>
      <c r="V1634">
        <v>6.12</v>
      </c>
      <c r="W1634">
        <v>28.62</v>
      </c>
      <c r="X1634" t="s">
        <v>690</v>
      </c>
      <c r="Y1634" t="s">
        <v>319</v>
      </c>
      <c r="Z1634">
        <v>6.21</v>
      </c>
      <c r="AA1634">
        <v>6.22</v>
      </c>
      <c r="AB1634">
        <v>180878</v>
      </c>
      <c r="AC1634">
        <v>219156</v>
      </c>
      <c r="AD1634">
        <v>0.83</v>
      </c>
      <c r="AE1634">
        <v>1140</v>
      </c>
      <c r="AF1634">
        <v>1935</v>
      </c>
      <c r="AG1634" t="s">
        <v>120</v>
      </c>
      <c r="AH1634">
        <v>0.02</v>
      </c>
      <c r="AI1634" t="s">
        <v>120</v>
      </c>
      <c r="AJ1634">
        <v>9.48</v>
      </c>
      <c r="AK1634" t="s">
        <v>8418</v>
      </c>
      <c r="AL1634">
        <v>3.87</v>
      </c>
      <c r="AM1634">
        <v>2990</v>
      </c>
      <c r="AN1634">
        <v>134</v>
      </c>
      <c r="AO1634">
        <v>1.4E-3</v>
      </c>
      <c r="AP1634">
        <v>2</v>
      </c>
      <c r="AQ1634">
        <v>1.32</v>
      </c>
      <c r="AR1634">
        <v>-0.16</v>
      </c>
      <c r="AS1634">
        <v>8.7100000000000009</v>
      </c>
      <c r="AT1634">
        <v>14.29</v>
      </c>
      <c r="AU1634">
        <v>8.7100000000000009</v>
      </c>
      <c r="AV1634">
        <v>0</v>
      </c>
      <c r="AW1634">
        <v>7.16</v>
      </c>
      <c r="AX1634">
        <v>57.99</v>
      </c>
      <c r="AY1634">
        <v>33.6</v>
      </c>
      <c r="AZ1634">
        <v>36.61</v>
      </c>
      <c r="BA1634">
        <v>0.53</v>
      </c>
      <c r="BB1634" t="s">
        <v>143</v>
      </c>
      <c r="BF1634">
        <v>1.62</v>
      </c>
      <c r="BG1634">
        <v>1.96</v>
      </c>
      <c r="BH1634">
        <v>-2.8</v>
      </c>
      <c r="BI1634">
        <v>3.31</v>
      </c>
      <c r="BJ1634">
        <v>20210828</v>
      </c>
      <c r="BK1634">
        <v>20110906</v>
      </c>
      <c r="BL1634">
        <v>9.6300000000000008</v>
      </c>
      <c r="BM1634" t="s">
        <v>120</v>
      </c>
      <c r="BN1634" t="s">
        <v>120</v>
      </c>
      <c r="BO1634">
        <v>39.58</v>
      </c>
      <c r="BP1634">
        <v>6.23</v>
      </c>
      <c r="BQ1634">
        <v>21.05</v>
      </c>
      <c r="BR1634">
        <v>1.2</v>
      </c>
      <c r="BS1634">
        <v>43.78</v>
      </c>
      <c r="BT1634">
        <v>18.27</v>
      </c>
      <c r="BU1634">
        <v>9.86</v>
      </c>
      <c r="BV1634">
        <v>1.85</v>
      </c>
      <c r="BW1634">
        <v>13.56</v>
      </c>
      <c r="BX1634">
        <v>5.28</v>
      </c>
      <c r="BY1634">
        <v>4.13</v>
      </c>
      <c r="BZ1634">
        <v>5.7</v>
      </c>
      <c r="CA1634" t="s">
        <v>120</v>
      </c>
      <c r="CB1634">
        <v>6.82</v>
      </c>
      <c r="CC1634">
        <v>11.59</v>
      </c>
      <c r="CD1634">
        <v>8.48</v>
      </c>
      <c r="CE1634">
        <v>1.33</v>
      </c>
      <c r="CF1634">
        <v>-0.01</v>
      </c>
      <c r="CG1634">
        <v>1.32</v>
      </c>
      <c r="CH1634">
        <v>1.1399999999999999</v>
      </c>
      <c r="CI1634">
        <v>1.05</v>
      </c>
      <c r="CJ1634">
        <v>0.12</v>
      </c>
      <c r="CK1634">
        <v>0.85</v>
      </c>
      <c r="CL1634">
        <v>4.47</v>
      </c>
      <c r="CM1634">
        <v>1.75</v>
      </c>
      <c r="CN1634">
        <v>-0.95</v>
      </c>
      <c r="CO1634">
        <v>36260</v>
      </c>
      <c r="CP1634">
        <v>15407</v>
      </c>
      <c r="CQ1634" t="s">
        <v>4726</v>
      </c>
      <c r="CR1634">
        <v>15.93</v>
      </c>
      <c r="CS1634">
        <v>25.07</v>
      </c>
      <c r="CT1634">
        <v>2.86</v>
      </c>
      <c r="CU1634">
        <v>34.36</v>
      </c>
      <c r="CV1634">
        <v>5.19</v>
      </c>
      <c r="CW1634">
        <v>0.81</v>
      </c>
      <c r="CX1634" t="s">
        <v>1147</v>
      </c>
      <c r="CY1634">
        <v>2.19</v>
      </c>
      <c r="CZ1634">
        <v>0</v>
      </c>
      <c r="DA1634">
        <v>0.71</v>
      </c>
      <c r="DB1634">
        <v>0.46</v>
      </c>
      <c r="DC1634">
        <v>0.18</v>
      </c>
      <c r="DD1634">
        <v>53.18</v>
      </c>
      <c r="DE1634" t="s">
        <v>3959</v>
      </c>
      <c r="DF1634">
        <v>26.8</v>
      </c>
      <c r="DG1634">
        <v>11.45</v>
      </c>
      <c r="DH1634">
        <v>9.07</v>
      </c>
      <c r="DI1634">
        <v>0.63</v>
      </c>
      <c r="DJ1634">
        <v>1079</v>
      </c>
      <c r="DK1634">
        <v>300261</v>
      </c>
      <c r="DL1634" t="s">
        <v>120</v>
      </c>
      <c r="DM1634" t="s">
        <v>120</v>
      </c>
      <c r="DN1634" t="s">
        <v>120</v>
      </c>
    </row>
    <row r="1635" spans="1:118">
      <c r="A1635" t="str">
        <f>"300262"</f>
        <v>300262</v>
      </c>
      <c r="B1635" t="s">
        <v>8419</v>
      </c>
      <c r="C1635">
        <v>-0.72</v>
      </c>
      <c r="D1635">
        <v>-0.23</v>
      </c>
      <c r="E1635">
        <v>0.24</v>
      </c>
      <c r="F1635">
        <v>2755</v>
      </c>
      <c r="G1635" t="s">
        <v>8420</v>
      </c>
      <c r="H1635">
        <v>9946.35</v>
      </c>
      <c r="I1635">
        <v>29.29</v>
      </c>
      <c r="J1635" t="s">
        <v>120</v>
      </c>
      <c r="K1635" t="s">
        <v>8421</v>
      </c>
      <c r="L1635">
        <v>5.03</v>
      </c>
      <c r="M1635">
        <v>4.12</v>
      </c>
      <c r="N1635">
        <v>0.76</v>
      </c>
      <c r="O1635">
        <v>4.34</v>
      </c>
      <c r="P1635">
        <v>4.33</v>
      </c>
      <c r="Q1635">
        <v>-0.72</v>
      </c>
      <c r="R1635">
        <v>4.12</v>
      </c>
      <c r="S1635">
        <v>4.16</v>
      </c>
      <c r="T1635">
        <v>236100</v>
      </c>
      <c r="U1635">
        <v>4.13</v>
      </c>
      <c r="V1635">
        <v>4.1500000000000004</v>
      </c>
      <c r="W1635" t="s">
        <v>120</v>
      </c>
      <c r="X1635" t="s">
        <v>318</v>
      </c>
      <c r="Y1635" t="s">
        <v>1510</v>
      </c>
      <c r="Z1635">
        <v>5.0599999999999996</v>
      </c>
      <c r="AA1635">
        <v>4.21</v>
      </c>
      <c r="AB1635">
        <v>123787</v>
      </c>
      <c r="AC1635">
        <v>112313</v>
      </c>
      <c r="AD1635">
        <v>1.1000000000000001</v>
      </c>
      <c r="AE1635">
        <v>380</v>
      </c>
      <c r="AF1635">
        <v>376</v>
      </c>
      <c r="AG1635" t="s">
        <v>120</v>
      </c>
      <c r="AH1635">
        <v>0.02</v>
      </c>
      <c r="AI1635" t="s">
        <v>120</v>
      </c>
      <c r="AJ1635">
        <v>4.6900000000000004</v>
      </c>
      <c r="AK1635" t="s">
        <v>7001</v>
      </c>
      <c r="AL1635">
        <v>1.19</v>
      </c>
      <c r="AM1635">
        <v>2163</v>
      </c>
      <c r="AN1635">
        <v>109</v>
      </c>
      <c r="AO1635">
        <v>2.3E-3</v>
      </c>
      <c r="AP1635">
        <v>-3</v>
      </c>
      <c r="AQ1635">
        <v>-1.43</v>
      </c>
      <c r="AR1635">
        <v>-3.96</v>
      </c>
      <c r="AS1635">
        <v>9.2799999999999994</v>
      </c>
      <c r="AT1635">
        <v>15.08</v>
      </c>
      <c r="AU1635">
        <v>6.73</v>
      </c>
      <c r="AV1635">
        <v>1</v>
      </c>
      <c r="AW1635">
        <v>6.61</v>
      </c>
      <c r="AX1635">
        <v>53.33</v>
      </c>
      <c r="AY1635" t="s">
        <v>120</v>
      </c>
      <c r="AZ1635" t="s">
        <v>120</v>
      </c>
      <c r="BA1635">
        <v>0.67</v>
      </c>
      <c r="BB1635" t="s">
        <v>143</v>
      </c>
      <c r="BF1635">
        <v>1.51</v>
      </c>
      <c r="BG1635">
        <v>-0.96</v>
      </c>
      <c r="BH1635">
        <v>-4.8499999999999996</v>
      </c>
      <c r="BI1635">
        <v>0</v>
      </c>
      <c r="BJ1635">
        <v>20210910</v>
      </c>
      <c r="BK1635">
        <v>20110916</v>
      </c>
      <c r="BL1635">
        <v>6.7</v>
      </c>
      <c r="BM1635" t="s">
        <v>120</v>
      </c>
      <c r="BN1635" t="s">
        <v>120</v>
      </c>
      <c r="BO1635">
        <v>52.12</v>
      </c>
      <c r="BP1635">
        <v>4.12</v>
      </c>
      <c r="BQ1635">
        <v>18.25</v>
      </c>
      <c r="BR1635">
        <v>-0.09</v>
      </c>
      <c r="BS1635">
        <v>65.150000000000006</v>
      </c>
      <c r="BT1635">
        <v>10.93</v>
      </c>
      <c r="BU1635">
        <v>2.1</v>
      </c>
      <c r="BV1635">
        <v>2.72</v>
      </c>
      <c r="BW1635">
        <v>24.3</v>
      </c>
      <c r="BX1635">
        <v>1.75</v>
      </c>
      <c r="BY1635">
        <v>2.64</v>
      </c>
      <c r="BZ1635">
        <v>2.15</v>
      </c>
      <c r="CA1635" t="s">
        <v>120</v>
      </c>
      <c r="CB1635">
        <v>9.33</v>
      </c>
      <c r="CC1635">
        <v>2.46</v>
      </c>
      <c r="CD1635">
        <v>1.59</v>
      </c>
      <c r="CE1635">
        <v>-0.32</v>
      </c>
      <c r="CF1635">
        <v>0.24</v>
      </c>
      <c r="CG1635">
        <v>-0.35</v>
      </c>
      <c r="CH1635">
        <v>-0.31</v>
      </c>
      <c r="CI1635">
        <v>-0.27</v>
      </c>
      <c r="CJ1635">
        <v>-0.03</v>
      </c>
      <c r="CK1635">
        <v>-0.26</v>
      </c>
      <c r="CL1635">
        <v>1.73</v>
      </c>
      <c r="CM1635">
        <v>0.82</v>
      </c>
      <c r="CN1635">
        <v>-0.46</v>
      </c>
      <c r="CO1635">
        <v>33000</v>
      </c>
      <c r="CP1635">
        <v>10823</v>
      </c>
      <c r="CQ1635" t="s">
        <v>1046</v>
      </c>
      <c r="CR1635">
        <v>-272.60000000000002</v>
      </c>
      <c r="CS1635">
        <v>-49.56</v>
      </c>
      <c r="CT1635">
        <v>1.51</v>
      </c>
      <c r="CU1635">
        <v>33.6</v>
      </c>
      <c r="CV1635">
        <v>11.22</v>
      </c>
      <c r="CW1635">
        <v>0</v>
      </c>
      <c r="CX1635" t="s">
        <v>1255</v>
      </c>
      <c r="CY1635">
        <v>2.73</v>
      </c>
      <c r="CZ1635">
        <v>0</v>
      </c>
      <c r="DA1635">
        <v>1.39</v>
      </c>
      <c r="DB1635">
        <v>0.26</v>
      </c>
      <c r="DC1635">
        <v>0.12</v>
      </c>
      <c r="DD1635">
        <v>35.020000000000003</v>
      </c>
      <c r="DE1635" t="s">
        <v>6146</v>
      </c>
      <c r="DF1635">
        <v>35.35</v>
      </c>
      <c r="DG1635">
        <v>-13.13</v>
      </c>
      <c r="DH1635">
        <v>-10.91</v>
      </c>
      <c r="DI1635">
        <v>0.12</v>
      </c>
      <c r="DJ1635">
        <v>692</v>
      </c>
      <c r="DK1635">
        <v>300262</v>
      </c>
      <c r="DL1635">
        <v>20210827</v>
      </c>
      <c r="DM1635">
        <v>4.66</v>
      </c>
      <c r="DN1635">
        <v>-11.59</v>
      </c>
    </row>
    <row r="1636" spans="1:118">
      <c r="A1636" t="str">
        <f>"300263"</f>
        <v>300263</v>
      </c>
      <c r="B1636" t="s">
        <v>8422</v>
      </c>
      <c r="C1636">
        <v>-2.04</v>
      </c>
      <c r="D1636">
        <v>0.18</v>
      </c>
      <c r="E1636">
        <v>-0.53</v>
      </c>
      <c r="F1636">
        <v>2779</v>
      </c>
      <c r="G1636" t="s">
        <v>8423</v>
      </c>
      <c r="H1636">
        <v>36152.519999999997</v>
      </c>
      <c r="I1636">
        <v>40.880000000000003</v>
      </c>
      <c r="J1636" t="s">
        <v>120</v>
      </c>
      <c r="K1636" t="s">
        <v>8165</v>
      </c>
      <c r="L1636">
        <v>4.18</v>
      </c>
      <c r="M1636">
        <v>11.03</v>
      </c>
      <c r="N1636">
        <v>0.63</v>
      </c>
      <c r="O1636">
        <v>4.17</v>
      </c>
      <c r="P1636">
        <v>11.73</v>
      </c>
      <c r="Q1636">
        <v>-2.75</v>
      </c>
      <c r="R1636">
        <v>10.95</v>
      </c>
      <c r="S1636">
        <v>11.2</v>
      </c>
      <c r="T1636">
        <v>320618</v>
      </c>
      <c r="U1636">
        <v>11.04</v>
      </c>
      <c r="V1636">
        <v>11.26</v>
      </c>
      <c r="W1636">
        <v>43.08</v>
      </c>
      <c r="X1636" t="s">
        <v>675</v>
      </c>
      <c r="Y1636" t="s">
        <v>645</v>
      </c>
      <c r="Z1636">
        <v>6.93</v>
      </c>
      <c r="AA1636">
        <v>11.28</v>
      </c>
      <c r="AB1636">
        <v>192039</v>
      </c>
      <c r="AC1636">
        <v>128579</v>
      </c>
      <c r="AD1636">
        <v>1.49</v>
      </c>
      <c r="AE1636">
        <v>265</v>
      </c>
      <c r="AF1636">
        <v>15</v>
      </c>
      <c r="AG1636" t="s">
        <v>120</v>
      </c>
      <c r="AH1636">
        <v>0.01</v>
      </c>
      <c r="AI1636" t="s">
        <v>120</v>
      </c>
      <c r="AJ1636">
        <v>7.68</v>
      </c>
      <c r="AK1636" t="s">
        <v>8424</v>
      </c>
      <c r="AL1636">
        <v>-0.13</v>
      </c>
      <c r="AM1636">
        <v>3808</v>
      </c>
      <c r="AN1636">
        <v>84</v>
      </c>
      <c r="AO1636">
        <v>1.1000000000000001E-3</v>
      </c>
      <c r="AP1636">
        <v>-4</v>
      </c>
      <c r="AQ1636">
        <v>-2.09</v>
      </c>
      <c r="AR1636">
        <v>-9.82</v>
      </c>
      <c r="AS1636">
        <v>9.86</v>
      </c>
      <c r="AT1636">
        <v>48.25</v>
      </c>
      <c r="AU1636">
        <v>62.69</v>
      </c>
      <c r="AV1636">
        <v>0</v>
      </c>
      <c r="AW1636">
        <v>5.0199999999999996</v>
      </c>
      <c r="AX1636">
        <v>69.8</v>
      </c>
      <c r="AY1636">
        <v>44.7</v>
      </c>
      <c r="AZ1636">
        <v>46.32</v>
      </c>
      <c r="BA1636">
        <v>1.36</v>
      </c>
      <c r="BB1636" t="s">
        <v>143</v>
      </c>
      <c r="BF1636">
        <v>0.14000000000000001</v>
      </c>
      <c r="BG1636">
        <v>-1.52</v>
      </c>
      <c r="BH1636">
        <v>-5.97</v>
      </c>
      <c r="BI1636">
        <v>0.73</v>
      </c>
      <c r="BJ1636">
        <v>20210818</v>
      </c>
      <c r="BK1636">
        <v>20110916</v>
      </c>
      <c r="BL1636">
        <v>9.14</v>
      </c>
      <c r="BM1636" t="s">
        <v>120</v>
      </c>
      <c r="BN1636" t="s">
        <v>120</v>
      </c>
      <c r="BO1636">
        <v>55.17</v>
      </c>
      <c r="BP1636">
        <v>11.03</v>
      </c>
      <c r="BQ1636">
        <v>27.96</v>
      </c>
      <c r="BR1636">
        <v>1.89</v>
      </c>
      <c r="BS1636">
        <v>45.89</v>
      </c>
      <c r="BT1636">
        <v>28.36</v>
      </c>
      <c r="BU1636">
        <v>4.78</v>
      </c>
      <c r="BV1636">
        <v>3.27</v>
      </c>
      <c r="BW1636">
        <v>21.86</v>
      </c>
      <c r="BX1636">
        <v>4.68</v>
      </c>
      <c r="BY1636">
        <v>6.77</v>
      </c>
      <c r="BZ1636">
        <v>11.11</v>
      </c>
      <c r="CA1636" t="s">
        <v>120</v>
      </c>
      <c r="CB1636">
        <v>7.9</v>
      </c>
      <c r="CC1636">
        <v>9.5</v>
      </c>
      <c r="CD1636">
        <v>6.64</v>
      </c>
      <c r="CE1636">
        <v>1.51</v>
      </c>
      <c r="CF1636">
        <v>-0.03</v>
      </c>
      <c r="CG1636">
        <v>1.51</v>
      </c>
      <c r="CH1636">
        <v>1.28</v>
      </c>
      <c r="CI1636">
        <v>1.17</v>
      </c>
      <c r="CJ1636">
        <v>-0.23</v>
      </c>
      <c r="CK1636">
        <v>1.1499999999999999</v>
      </c>
      <c r="CL1636">
        <v>10.75</v>
      </c>
      <c r="CM1636">
        <v>-0.67</v>
      </c>
      <c r="CN1636">
        <v>-0.59</v>
      </c>
      <c r="CO1636">
        <v>45665</v>
      </c>
      <c r="CP1636">
        <v>13975</v>
      </c>
      <c r="CQ1636" t="s">
        <v>8425</v>
      </c>
      <c r="CR1636">
        <v>7.38</v>
      </c>
      <c r="CS1636">
        <v>21.36</v>
      </c>
      <c r="CT1636">
        <v>3.61</v>
      </c>
      <c r="CU1636">
        <v>-150.59</v>
      </c>
      <c r="CV1636">
        <v>10.62</v>
      </c>
      <c r="CW1636">
        <v>0.26</v>
      </c>
      <c r="CX1636" t="s">
        <v>986</v>
      </c>
      <c r="CY1636">
        <v>3.06</v>
      </c>
      <c r="CZ1636">
        <v>0</v>
      </c>
      <c r="DA1636">
        <v>0.86</v>
      </c>
      <c r="DB1636">
        <v>1.18</v>
      </c>
      <c r="DC1636">
        <v>-7.0000000000000007E-2</v>
      </c>
      <c r="DD1636">
        <v>50.69</v>
      </c>
      <c r="DE1636" t="s">
        <v>3761</v>
      </c>
      <c r="DF1636">
        <v>30.08</v>
      </c>
      <c r="DG1636">
        <v>15.88</v>
      </c>
      <c r="DH1636">
        <v>12.32</v>
      </c>
      <c r="DI1636">
        <v>0.42</v>
      </c>
      <c r="DJ1636">
        <v>1676</v>
      </c>
      <c r="DK1636">
        <v>300263</v>
      </c>
      <c r="DL1636">
        <v>20210804</v>
      </c>
      <c r="DM1636">
        <v>8.9600000000000009</v>
      </c>
      <c r="DN1636">
        <v>23.1</v>
      </c>
    </row>
    <row r="1637" spans="1:118">
      <c r="A1637" t="str">
        <f>"300264"</f>
        <v>300264</v>
      </c>
      <c r="B1637" t="s">
        <v>8426</v>
      </c>
      <c r="C1637">
        <v>0.16</v>
      </c>
      <c r="D1637">
        <v>0</v>
      </c>
      <c r="E1637">
        <v>-0.49</v>
      </c>
      <c r="F1637">
        <v>4718</v>
      </c>
      <c r="G1637" t="s">
        <v>5306</v>
      </c>
      <c r="H1637">
        <v>21919.17</v>
      </c>
      <c r="I1637">
        <v>101.11</v>
      </c>
      <c r="J1637" t="s">
        <v>120</v>
      </c>
      <c r="K1637" t="s">
        <v>8427</v>
      </c>
      <c r="L1637">
        <v>10.6</v>
      </c>
      <c r="M1637">
        <v>6.12</v>
      </c>
      <c r="N1637">
        <v>0.55000000000000004</v>
      </c>
      <c r="O1637">
        <v>3.27</v>
      </c>
      <c r="P1637">
        <v>6.31</v>
      </c>
      <c r="Q1637">
        <v>-2.13</v>
      </c>
      <c r="R1637">
        <v>5.98</v>
      </c>
      <c r="S1637">
        <v>6.08</v>
      </c>
      <c r="T1637">
        <v>357970</v>
      </c>
      <c r="U1637">
        <v>6.12</v>
      </c>
      <c r="V1637">
        <v>6.11</v>
      </c>
      <c r="W1637" t="s">
        <v>120</v>
      </c>
      <c r="X1637" t="s">
        <v>462</v>
      </c>
      <c r="Y1637" t="s">
        <v>123</v>
      </c>
      <c r="Z1637">
        <v>5.4</v>
      </c>
      <c r="AA1637">
        <v>6.12</v>
      </c>
      <c r="AB1637">
        <v>196071</v>
      </c>
      <c r="AC1637">
        <v>161899</v>
      </c>
      <c r="AD1637">
        <v>1.21</v>
      </c>
      <c r="AE1637">
        <v>658</v>
      </c>
      <c r="AF1637">
        <v>372</v>
      </c>
      <c r="AG1637" t="s">
        <v>120</v>
      </c>
      <c r="AH1637">
        <v>0.05</v>
      </c>
      <c r="AI1637" t="s">
        <v>120</v>
      </c>
      <c r="AJ1637">
        <v>3.38</v>
      </c>
      <c r="AK1637" t="s">
        <v>6576</v>
      </c>
      <c r="AL1637">
        <v>2.08</v>
      </c>
      <c r="AM1637">
        <v>3401</v>
      </c>
      <c r="AN1637">
        <v>105</v>
      </c>
      <c r="AO1637">
        <v>3.0999999999999999E-3</v>
      </c>
      <c r="AP1637">
        <v>1</v>
      </c>
      <c r="AQ1637">
        <v>0</v>
      </c>
      <c r="AR1637">
        <v>-5.27</v>
      </c>
      <c r="AS1637">
        <v>24.89</v>
      </c>
      <c r="AT1637">
        <v>-12.7</v>
      </c>
      <c r="AU1637">
        <v>58.96</v>
      </c>
      <c r="AV1637">
        <v>4</v>
      </c>
      <c r="AW1637">
        <v>11.3</v>
      </c>
      <c r="AX1637">
        <v>76.709999999999994</v>
      </c>
      <c r="AY1637" t="s">
        <v>120</v>
      </c>
      <c r="AZ1637" t="s">
        <v>120</v>
      </c>
      <c r="BA1637">
        <v>1.1000000000000001</v>
      </c>
      <c r="BB1637" t="s">
        <v>143</v>
      </c>
      <c r="BF1637">
        <v>0.22</v>
      </c>
      <c r="BG1637">
        <v>0.66</v>
      </c>
      <c r="BH1637">
        <v>-3.01</v>
      </c>
      <c r="BI1637">
        <v>2.34</v>
      </c>
      <c r="BJ1637">
        <v>20210803</v>
      </c>
      <c r="BK1637">
        <v>20110916</v>
      </c>
      <c r="BL1637">
        <v>4.13</v>
      </c>
      <c r="BM1637" t="s">
        <v>120</v>
      </c>
      <c r="BN1637" t="s">
        <v>120</v>
      </c>
      <c r="BO1637">
        <v>3.53</v>
      </c>
      <c r="BP1637">
        <v>6.11</v>
      </c>
      <c r="BQ1637">
        <v>2.21</v>
      </c>
      <c r="BR1637">
        <v>0.01</v>
      </c>
      <c r="BS1637">
        <v>37.19</v>
      </c>
      <c r="BT1637">
        <v>2.5099999999999998</v>
      </c>
      <c r="BU1637">
        <v>0.06</v>
      </c>
      <c r="BV1637">
        <v>0.14000000000000001</v>
      </c>
      <c r="BW1637">
        <v>1.23</v>
      </c>
      <c r="BX1637">
        <v>0.26</v>
      </c>
      <c r="BY1637">
        <v>0.63</v>
      </c>
      <c r="BZ1637">
        <v>1</v>
      </c>
      <c r="CA1637" t="s">
        <v>120</v>
      </c>
      <c r="CB1637">
        <v>0.96</v>
      </c>
      <c r="CC1637">
        <v>0.59</v>
      </c>
      <c r="CD1637">
        <v>0.38</v>
      </c>
      <c r="CE1637">
        <v>-0.24</v>
      </c>
      <c r="CF1637">
        <v>0</v>
      </c>
      <c r="CG1637">
        <v>-0.24</v>
      </c>
      <c r="CH1637">
        <v>-0.24</v>
      </c>
      <c r="CI1637">
        <v>-0.24</v>
      </c>
      <c r="CJ1637">
        <v>0.01</v>
      </c>
      <c r="CK1637">
        <v>-0.26</v>
      </c>
      <c r="CL1637">
        <v>-2.1800000000000002</v>
      </c>
      <c r="CM1637">
        <v>-0.3</v>
      </c>
      <c r="CN1637">
        <v>0.01</v>
      </c>
      <c r="CO1637">
        <v>44281</v>
      </c>
      <c r="CP1637">
        <v>7156</v>
      </c>
      <c r="CQ1637" t="s">
        <v>4492</v>
      </c>
      <c r="CR1637">
        <v>-102.41</v>
      </c>
      <c r="CS1637">
        <v>8.36</v>
      </c>
      <c r="CT1637">
        <v>11.46</v>
      </c>
      <c r="CU1637">
        <v>-84.58</v>
      </c>
      <c r="CV1637">
        <v>42.94</v>
      </c>
      <c r="CW1637">
        <v>0</v>
      </c>
      <c r="CX1637" t="s">
        <v>5925</v>
      </c>
      <c r="CY1637">
        <v>0.53</v>
      </c>
      <c r="CZ1637">
        <v>0</v>
      </c>
      <c r="DA1637">
        <v>0.23</v>
      </c>
      <c r="DB1637">
        <v>-0.53</v>
      </c>
      <c r="DC1637">
        <v>-7.0000000000000007E-2</v>
      </c>
      <c r="DD1637">
        <v>62.4</v>
      </c>
      <c r="DE1637" t="s">
        <v>8428</v>
      </c>
      <c r="DF1637">
        <v>35.99</v>
      </c>
      <c r="DG1637">
        <v>-40</v>
      </c>
      <c r="DH1637">
        <v>-40.65</v>
      </c>
      <c r="DI1637">
        <v>0.09</v>
      </c>
      <c r="DJ1637">
        <v>218</v>
      </c>
      <c r="DK1637">
        <v>300264</v>
      </c>
      <c r="DL1637" t="s">
        <v>120</v>
      </c>
      <c r="DM1637" t="s">
        <v>120</v>
      </c>
      <c r="DN1637" t="s">
        <v>120</v>
      </c>
    </row>
    <row r="1638" spans="1:118">
      <c r="A1638" t="str">
        <f>"300265"</f>
        <v>300265</v>
      </c>
      <c r="B1638" t="s">
        <v>8429</v>
      </c>
      <c r="C1638">
        <v>-3.78</v>
      </c>
      <c r="D1638">
        <v>0</v>
      </c>
      <c r="E1638">
        <v>-1.53</v>
      </c>
      <c r="F1638">
        <v>2969</v>
      </c>
      <c r="G1638" t="s">
        <v>8430</v>
      </c>
      <c r="H1638">
        <v>18103.240000000002</v>
      </c>
      <c r="I1638">
        <v>72.52</v>
      </c>
      <c r="J1638" t="s">
        <v>120</v>
      </c>
      <c r="K1638" t="s">
        <v>7471</v>
      </c>
      <c r="L1638">
        <v>4.0999999999999996</v>
      </c>
      <c r="M1638">
        <v>11.97</v>
      </c>
      <c r="N1638">
        <v>0.55000000000000004</v>
      </c>
      <c r="O1638">
        <v>-0.48</v>
      </c>
      <c r="P1638">
        <v>12.38</v>
      </c>
      <c r="Q1638">
        <v>-4.26</v>
      </c>
      <c r="R1638">
        <v>11.91</v>
      </c>
      <c r="S1638">
        <v>12.25</v>
      </c>
      <c r="T1638">
        <v>149558</v>
      </c>
      <c r="U1638">
        <v>11.98</v>
      </c>
      <c r="V1638">
        <v>12.44</v>
      </c>
      <c r="W1638">
        <v>58.59</v>
      </c>
      <c r="X1638" t="s">
        <v>394</v>
      </c>
      <c r="Y1638" t="s">
        <v>319</v>
      </c>
      <c r="Z1638">
        <v>3.78</v>
      </c>
      <c r="AA1638">
        <v>12.1</v>
      </c>
      <c r="AB1638">
        <v>85214</v>
      </c>
      <c r="AC1638">
        <v>64344</v>
      </c>
      <c r="AD1638">
        <v>1.32</v>
      </c>
      <c r="AE1638">
        <v>542</v>
      </c>
      <c r="AF1638">
        <v>198</v>
      </c>
      <c r="AG1638" t="s">
        <v>120</v>
      </c>
      <c r="AH1638">
        <v>0.04</v>
      </c>
      <c r="AI1638" t="s">
        <v>120</v>
      </c>
      <c r="AJ1638">
        <v>3.65</v>
      </c>
      <c r="AK1638" t="s">
        <v>8431</v>
      </c>
      <c r="AL1638">
        <v>-1.86</v>
      </c>
      <c r="AM1638">
        <v>3114</v>
      </c>
      <c r="AN1638">
        <v>48</v>
      </c>
      <c r="AO1638">
        <v>1.2999999999999999E-3</v>
      </c>
      <c r="AP1638">
        <v>-1</v>
      </c>
      <c r="AQ1638">
        <v>4.54</v>
      </c>
      <c r="AR1638">
        <v>-4.62</v>
      </c>
      <c r="AS1638">
        <v>0.5</v>
      </c>
      <c r="AT1638">
        <v>24.17</v>
      </c>
      <c r="AU1638">
        <v>11.35</v>
      </c>
      <c r="AV1638">
        <v>1</v>
      </c>
      <c r="AW1638">
        <v>9.75</v>
      </c>
      <c r="AX1638">
        <v>42.01</v>
      </c>
      <c r="AY1638">
        <v>71.61</v>
      </c>
      <c r="AZ1638">
        <v>76.599999999999994</v>
      </c>
      <c r="BA1638">
        <v>0</v>
      </c>
      <c r="BB1638" t="s">
        <v>125</v>
      </c>
      <c r="BF1638">
        <v>-2.7</v>
      </c>
      <c r="BG1638">
        <v>-2.29</v>
      </c>
      <c r="BH1638">
        <v>-3.31</v>
      </c>
      <c r="BI1638">
        <v>0.5</v>
      </c>
      <c r="BJ1638">
        <v>20210821</v>
      </c>
      <c r="BK1638">
        <v>20110916</v>
      </c>
      <c r="BL1638">
        <v>3.65</v>
      </c>
      <c r="BM1638" t="s">
        <v>120</v>
      </c>
      <c r="BN1638" t="s">
        <v>120</v>
      </c>
      <c r="BO1638">
        <v>26.26</v>
      </c>
      <c r="BP1638">
        <v>11.97</v>
      </c>
      <c r="BQ1638">
        <v>13.32</v>
      </c>
      <c r="BR1638">
        <v>0.76</v>
      </c>
      <c r="BS1638">
        <v>46.38</v>
      </c>
      <c r="BT1638">
        <v>18.47</v>
      </c>
      <c r="BU1638">
        <v>3.93</v>
      </c>
      <c r="BV1638">
        <v>1.39</v>
      </c>
      <c r="BW1638">
        <v>10.9</v>
      </c>
      <c r="BX1638">
        <v>3.77</v>
      </c>
      <c r="BY1638">
        <v>3.07</v>
      </c>
      <c r="BZ1638">
        <v>8.93</v>
      </c>
      <c r="CA1638" t="s">
        <v>120</v>
      </c>
      <c r="CB1638">
        <v>3.84</v>
      </c>
      <c r="CC1638">
        <v>7.82</v>
      </c>
      <c r="CD1638">
        <v>6.16</v>
      </c>
      <c r="CE1638">
        <v>0.5</v>
      </c>
      <c r="CF1638">
        <v>-0.02</v>
      </c>
      <c r="CG1638">
        <v>0.5</v>
      </c>
      <c r="CH1638">
        <v>0.43</v>
      </c>
      <c r="CI1638">
        <v>0.37</v>
      </c>
      <c r="CJ1638">
        <v>-0.47</v>
      </c>
      <c r="CK1638">
        <v>0.27</v>
      </c>
      <c r="CL1638">
        <v>5.25</v>
      </c>
      <c r="CM1638">
        <v>-2.14</v>
      </c>
      <c r="CN1638">
        <v>-1.86</v>
      </c>
      <c r="CO1638">
        <v>28805</v>
      </c>
      <c r="CP1638">
        <v>5323</v>
      </c>
      <c r="CQ1638" t="s">
        <v>342</v>
      </c>
      <c r="CR1638">
        <v>12.46</v>
      </c>
      <c r="CS1638">
        <v>22.74</v>
      </c>
      <c r="CT1638">
        <v>3.31</v>
      </c>
      <c r="CU1638">
        <v>-20.45</v>
      </c>
      <c r="CV1638">
        <v>5.59</v>
      </c>
      <c r="CW1638">
        <v>0.16</v>
      </c>
      <c r="CX1638" t="s">
        <v>411</v>
      </c>
      <c r="CY1638">
        <v>3.61</v>
      </c>
      <c r="CZ1638">
        <v>3.61</v>
      </c>
      <c r="DA1638">
        <v>1.05</v>
      </c>
      <c r="DB1638">
        <v>1.44</v>
      </c>
      <c r="DC1638">
        <v>-0.59</v>
      </c>
      <c r="DD1638">
        <v>50.72</v>
      </c>
      <c r="DE1638" t="s">
        <v>2028</v>
      </c>
      <c r="DF1638">
        <v>21.28</v>
      </c>
      <c r="DG1638">
        <v>6.4</v>
      </c>
      <c r="DH1638">
        <v>4.7699999999999996</v>
      </c>
      <c r="DI1638">
        <v>0.28000000000000003</v>
      </c>
      <c r="DJ1638">
        <v>1227</v>
      </c>
      <c r="DK1638">
        <v>300265</v>
      </c>
      <c r="DL1638">
        <v>20210726</v>
      </c>
      <c r="DM1638">
        <v>11.08</v>
      </c>
      <c r="DN1638">
        <v>8.0299999999999994</v>
      </c>
    </row>
    <row r="1639" spans="1:118">
      <c r="A1639" t="str">
        <f>"300266"</f>
        <v>300266</v>
      </c>
      <c r="B1639" t="s">
        <v>8432</v>
      </c>
      <c r="C1639">
        <v>-3.91</v>
      </c>
      <c r="D1639">
        <v>-0.26</v>
      </c>
      <c r="E1639">
        <v>-0.52</v>
      </c>
      <c r="F1639">
        <v>4528</v>
      </c>
      <c r="G1639" t="s">
        <v>5568</v>
      </c>
      <c r="H1639">
        <v>17879.54</v>
      </c>
      <c r="I1639">
        <v>27.35</v>
      </c>
      <c r="J1639" t="s">
        <v>120</v>
      </c>
      <c r="K1639" t="s">
        <v>8433</v>
      </c>
      <c r="L1639">
        <v>3.07</v>
      </c>
      <c r="M1639">
        <v>3.69</v>
      </c>
      <c r="N1639">
        <v>0.68</v>
      </c>
      <c r="O1639">
        <v>0.52</v>
      </c>
      <c r="P1639">
        <v>3.86</v>
      </c>
      <c r="Q1639">
        <v>-4.17</v>
      </c>
      <c r="R1639">
        <v>3.68</v>
      </c>
      <c r="S1639">
        <v>3.82</v>
      </c>
      <c r="T1639">
        <v>475972</v>
      </c>
      <c r="U1639">
        <v>3.7</v>
      </c>
      <c r="V1639">
        <v>3.84</v>
      </c>
      <c r="W1639">
        <v>1406.27</v>
      </c>
      <c r="X1639" t="s">
        <v>318</v>
      </c>
      <c r="Y1639" t="s">
        <v>585</v>
      </c>
      <c r="Z1639">
        <v>4.6900000000000004</v>
      </c>
      <c r="AA1639">
        <v>3.76</v>
      </c>
      <c r="AB1639">
        <v>276620</v>
      </c>
      <c r="AC1639">
        <v>199352</v>
      </c>
      <c r="AD1639">
        <v>1.39</v>
      </c>
      <c r="AE1639">
        <v>886</v>
      </c>
      <c r="AF1639">
        <v>2218</v>
      </c>
      <c r="AG1639" t="s">
        <v>120</v>
      </c>
      <c r="AH1639">
        <v>0.01</v>
      </c>
      <c r="AI1639" t="s">
        <v>120</v>
      </c>
      <c r="AJ1639">
        <v>15.48</v>
      </c>
      <c r="AK1639" t="s">
        <v>8434</v>
      </c>
      <c r="AL1639">
        <v>-1.99</v>
      </c>
      <c r="AM1639">
        <v>3129</v>
      </c>
      <c r="AN1639">
        <v>152</v>
      </c>
      <c r="AO1639">
        <v>1E-3</v>
      </c>
      <c r="AP1639">
        <v>-1</v>
      </c>
      <c r="AQ1639">
        <v>2.67</v>
      </c>
      <c r="AR1639">
        <v>-4.41</v>
      </c>
      <c r="AS1639">
        <v>12.5</v>
      </c>
      <c r="AT1639">
        <v>-16.510000000000002</v>
      </c>
      <c r="AU1639">
        <v>10.15</v>
      </c>
      <c r="AV1639">
        <v>1</v>
      </c>
      <c r="AW1639">
        <v>4.66</v>
      </c>
      <c r="AX1639">
        <v>65.010000000000005</v>
      </c>
      <c r="AY1639" t="s">
        <v>120</v>
      </c>
      <c r="AZ1639" t="s">
        <v>120</v>
      </c>
      <c r="BA1639">
        <v>0.47</v>
      </c>
      <c r="BB1639" t="s">
        <v>168</v>
      </c>
      <c r="BF1639">
        <v>-2.1800000000000002</v>
      </c>
      <c r="BG1639">
        <v>-3.4</v>
      </c>
      <c r="BH1639">
        <v>-4.4000000000000004</v>
      </c>
      <c r="BI1639">
        <v>0.27</v>
      </c>
      <c r="BJ1639">
        <v>20210913</v>
      </c>
      <c r="BK1639">
        <v>20110927</v>
      </c>
      <c r="BL1639">
        <v>15.71</v>
      </c>
      <c r="BM1639" t="s">
        <v>120</v>
      </c>
      <c r="BN1639" t="s">
        <v>120</v>
      </c>
      <c r="BO1639">
        <v>115.78</v>
      </c>
      <c r="BP1639">
        <v>3.69</v>
      </c>
      <c r="BQ1639">
        <v>18.82</v>
      </c>
      <c r="BR1639">
        <v>3.39</v>
      </c>
      <c r="BS1639">
        <v>80.819999999999993</v>
      </c>
      <c r="BT1639">
        <v>39.76</v>
      </c>
      <c r="BU1639">
        <v>3.12</v>
      </c>
      <c r="BV1639">
        <v>6.68</v>
      </c>
      <c r="BW1639">
        <v>59.93</v>
      </c>
      <c r="BX1639">
        <v>6.92</v>
      </c>
      <c r="BY1639">
        <v>2.04</v>
      </c>
      <c r="BZ1639">
        <v>11.24</v>
      </c>
      <c r="CA1639">
        <v>0.02</v>
      </c>
      <c r="CB1639">
        <v>13.7</v>
      </c>
      <c r="CC1639">
        <v>12.67</v>
      </c>
      <c r="CD1639">
        <v>10.76</v>
      </c>
      <c r="CE1639">
        <v>0.15</v>
      </c>
      <c r="CF1639">
        <v>-0.01</v>
      </c>
      <c r="CG1639">
        <v>0.14000000000000001</v>
      </c>
      <c r="CH1639">
        <v>7.0000000000000007E-2</v>
      </c>
      <c r="CI1639">
        <v>0.02</v>
      </c>
      <c r="CJ1639">
        <v>-0.15</v>
      </c>
      <c r="CK1639">
        <v>-0.03</v>
      </c>
      <c r="CL1639">
        <v>-8.06</v>
      </c>
      <c r="CM1639">
        <v>-2.0699999999999998</v>
      </c>
      <c r="CN1639">
        <v>-4.7</v>
      </c>
      <c r="CO1639">
        <v>35000</v>
      </c>
      <c r="CP1639">
        <v>29178</v>
      </c>
      <c r="CQ1639" t="s">
        <v>8435</v>
      </c>
      <c r="CR1639">
        <v>107.3</v>
      </c>
      <c r="CS1639">
        <v>58.68</v>
      </c>
      <c r="CT1639">
        <v>3.08</v>
      </c>
      <c r="CU1639">
        <v>-28.07</v>
      </c>
      <c r="CV1639">
        <v>4.58</v>
      </c>
      <c r="CW1639">
        <v>0</v>
      </c>
      <c r="CX1639" t="s">
        <v>1415</v>
      </c>
      <c r="CY1639">
        <v>1.2</v>
      </c>
      <c r="CZ1639">
        <v>0</v>
      </c>
      <c r="DA1639">
        <v>0.87</v>
      </c>
      <c r="DB1639">
        <v>-0.51</v>
      </c>
      <c r="DC1639">
        <v>-0.13</v>
      </c>
      <c r="DD1639">
        <v>16.260000000000002</v>
      </c>
      <c r="DE1639" t="s">
        <v>7950</v>
      </c>
      <c r="DF1639">
        <v>15.08</v>
      </c>
      <c r="DG1639">
        <v>1.1499999999999999</v>
      </c>
      <c r="DH1639">
        <v>0.16</v>
      </c>
      <c r="DI1639">
        <v>0.45</v>
      </c>
      <c r="DJ1639">
        <v>1533</v>
      </c>
      <c r="DK1639">
        <v>300266</v>
      </c>
      <c r="DL1639" t="s">
        <v>120</v>
      </c>
      <c r="DM1639" t="s">
        <v>120</v>
      </c>
      <c r="DN1639" t="s">
        <v>120</v>
      </c>
    </row>
    <row r="1640" spans="1:118">
      <c r="A1640" t="str">
        <f>"300267"</f>
        <v>300267</v>
      </c>
      <c r="B1640" t="s">
        <v>8436</v>
      </c>
      <c r="C1640">
        <v>-2.14</v>
      </c>
      <c r="D1640">
        <v>-0.95</v>
      </c>
      <c r="E1640">
        <v>0</v>
      </c>
      <c r="F1640">
        <v>19259</v>
      </c>
      <c r="G1640" t="s">
        <v>3819</v>
      </c>
      <c r="H1640">
        <v>10239.030000000001</v>
      </c>
      <c r="I1640">
        <v>60.65</v>
      </c>
      <c r="J1640" t="s">
        <v>120</v>
      </c>
      <c r="K1640" t="s">
        <v>8437</v>
      </c>
      <c r="L1640">
        <v>1.72</v>
      </c>
      <c r="M1640">
        <v>4.1100000000000003</v>
      </c>
      <c r="N1640">
        <v>0.83</v>
      </c>
      <c r="O1640">
        <v>1.67</v>
      </c>
      <c r="P1640">
        <v>4.2699999999999996</v>
      </c>
      <c r="Q1640">
        <v>-2.14</v>
      </c>
      <c r="R1640">
        <v>4.1100000000000003</v>
      </c>
      <c r="S1640">
        <v>4.2</v>
      </c>
      <c r="T1640">
        <v>243756</v>
      </c>
      <c r="U1640">
        <v>4.13</v>
      </c>
      <c r="V1640">
        <v>4.2</v>
      </c>
      <c r="W1640">
        <v>41.04</v>
      </c>
      <c r="X1640" t="s">
        <v>569</v>
      </c>
      <c r="Y1640" t="s">
        <v>594</v>
      </c>
      <c r="Z1640">
        <v>3.81</v>
      </c>
      <c r="AA1640">
        <v>4.2</v>
      </c>
      <c r="AB1640">
        <v>135476</v>
      </c>
      <c r="AC1640">
        <v>108280</v>
      </c>
      <c r="AD1640">
        <v>1.25</v>
      </c>
      <c r="AE1640">
        <v>5918</v>
      </c>
      <c r="AF1640">
        <v>184</v>
      </c>
      <c r="AG1640" t="s">
        <v>120</v>
      </c>
      <c r="AH1640">
        <v>0.01</v>
      </c>
      <c r="AI1640" t="s">
        <v>120</v>
      </c>
      <c r="AJ1640">
        <v>14.2</v>
      </c>
      <c r="AK1640" t="s">
        <v>8438</v>
      </c>
      <c r="AL1640">
        <v>-0.23</v>
      </c>
      <c r="AM1640">
        <v>2226</v>
      </c>
      <c r="AN1640">
        <v>110</v>
      </c>
      <c r="AO1640">
        <v>8.0000000000000004E-4</v>
      </c>
      <c r="AP1640">
        <v>-1</v>
      </c>
      <c r="AQ1640">
        <v>0.24</v>
      </c>
      <c r="AR1640">
        <v>-1.67</v>
      </c>
      <c r="AS1640">
        <v>6.48</v>
      </c>
      <c r="AT1640">
        <v>8.4499999999999993</v>
      </c>
      <c r="AU1640">
        <v>-1.2</v>
      </c>
      <c r="AV1640">
        <v>0</v>
      </c>
      <c r="AW1640">
        <v>2.5</v>
      </c>
      <c r="AX1640">
        <v>47.31</v>
      </c>
      <c r="AY1640">
        <v>36.19</v>
      </c>
      <c r="AZ1640">
        <v>42.84</v>
      </c>
      <c r="BA1640">
        <v>0.35</v>
      </c>
      <c r="BB1640" t="s">
        <v>143</v>
      </c>
      <c r="BF1640">
        <v>0.01</v>
      </c>
      <c r="BG1640">
        <v>-2.14</v>
      </c>
      <c r="BH1640">
        <v>-3.75</v>
      </c>
      <c r="BI1640">
        <v>0</v>
      </c>
      <c r="BJ1640">
        <v>20210827</v>
      </c>
      <c r="BK1640">
        <v>20110927</v>
      </c>
      <c r="BL1640">
        <v>20.63</v>
      </c>
      <c r="BM1640" t="s">
        <v>120</v>
      </c>
      <c r="BN1640" t="s">
        <v>120</v>
      </c>
      <c r="BO1640">
        <v>65.010000000000005</v>
      </c>
      <c r="BP1640">
        <v>4.1100000000000003</v>
      </c>
      <c r="BQ1640">
        <v>57.64</v>
      </c>
      <c r="BR1640">
        <v>0.28999999999999998</v>
      </c>
      <c r="BS1640">
        <v>10.87</v>
      </c>
      <c r="BT1640">
        <v>24.53</v>
      </c>
      <c r="BU1640">
        <v>25.74</v>
      </c>
      <c r="BV1640">
        <v>5.15</v>
      </c>
      <c r="BW1640">
        <v>6.46</v>
      </c>
      <c r="BX1640">
        <v>5.92</v>
      </c>
      <c r="BY1640">
        <v>8.59</v>
      </c>
      <c r="BZ1640">
        <v>2.61</v>
      </c>
      <c r="CA1640" t="s">
        <v>120</v>
      </c>
      <c r="CB1640">
        <v>9.4499999999999993</v>
      </c>
      <c r="CC1640">
        <v>8.32</v>
      </c>
      <c r="CD1640">
        <v>5.2</v>
      </c>
      <c r="CE1640">
        <v>1.21</v>
      </c>
      <c r="CF1640">
        <v>0.1</v>
      </c>
      <c r="CG1640">
        <v>1.1499999999999999</v>
      </c>
      <c r="CH1640">
        <v>1.05</v>
      </c>
      <c r="CI1640">
        <v>1.03</v>
      </c>
      <c r="CJ1640">
        <v>-0.09</v>
      </c>
      <c r="CK1640">
        <v>0.89</v>
      </c>
      <c r="CL1640">
        <v>27.13</v>
      </c>
      <c r="CM1640">
        <v>1.57</v>
      </c>
      <c r="CN1640">
        <v>-3.12</v>
      </c>
      <c r="CO1640">
        <v>36014</v>
      </c>
      <c r="CP1640">
        <v>27094</v>
      </c>
      <c r="CQ1640" t="s">
        <v>8439</v>
      </c>
      <c r="CR1640">
        <v>56.13</v>
      </c>
      <c r="CS1640">
        <v>-30.76</v>
      </c>
      <c r="CT1640">
        <v>1.47</v>
      </c>
      <c r="CU1640">
        <v>53.9</v>
      </c>
      <c r="CV1640">
        <v>10.18</v>
      </c>
      <c r="CW1640">
        <v>1.19</v>
      </c>
      <c r="CX1640" t="s">
        <v>1248</v>
      </c>
      <c r="CY1640">
        <v>2.79</v>
      </c>
      <c r="CZ1640">
        <v>0</v>
      </c>
      <c r="DA1640">
        <v>0.46</v>
      </c>
      <c r="DB1640">
        <v>1.32</v>
      </c>
      <c r="DC1640">
        <v>0.08</v>
      </c>
      <c r="DD1640">
        <v>88.67</v>
      </c>
      <c r="DE1640" t="s">
        <v>6854</v>
      </c>
      <c r="DF1640">
        <v>37.51</v>
      </c>
      <c r="DG1640">
        <v>14.49</v>
      </c>
      <c r="DH1640">
        <v>12.41</v>
      </c>
      <c r="DI1640">
        <v>0.23</v>
      </c>
      <c r="DJ1640">
        <v>1651</v>
      </c>
      <c r="DK1640">
        <v>300267</v>
      </c>
      <c r="DL1640" t="s">
        <v>120</v>
      </c>
      <c r="DM1640" t="s">
        <v>120</v>
      </c>
      <c r="DN1640" t="s">
        <v>120</v>
      </c>
    </row>
    <row r="1641" spans="1:118">
      <c r="A1641" t="str">
        <f>"300268"</f>
        <v>300268</v>
      </c>
      <c r="B1641" t="s">
        <v>8440</v>
      </c>
      <c r="C1641">
        <v>8.1</v>
      </c>
      <c r="D1641">
        <v>-0.3</v>
      </c>
      <c r="E1641">
        <v>0.91</v>
      </c>
      <c r="F1641">
        <v>1524</v>
      </c>
      <c r="G1641" t="s">
        <v>3148</v>
      </c>
      <c r="H1641">
        <v>24456.5</v>
      </c>
      <c r="I1641">
        <v>11.94</v>
      </c>
      <c r="J1641" t="s">
        <v>120</v>
      </c>
      <c r="K1641" t="s">
        <v>8070</v>
      </c>
      <c r="L1641">
        <v>9.6300000000000008</v>
      </c>
      <c r="M1641">
        <v>19.09</v>
      </c>
      <c r="N1641">
        <v>3.01</v>
      </c>
      <c r="O1641">
        <v>12.57</v>
      </c>
      <c r="P1641">
        <v>19.88</v>
      </c>
      <c r="Q1641">
        <v>-0.74</v>
      </c>
      <c r="R1641">
        <v>17.53</v>
      </c>
      <c r="S1641">
        <v>17.82</v>
      </c>
      <c r="T1641">
        <v>128767</v>
      </c>
      <c r="U1641">
        <v>19.09</v>
      </c>
      <c r="V1641">
        <v>17.66</v>
      </c>
      <c r="W1641" t="s">
        <v>120</v>
      </c>
      <c r="X1641" t="s">
        <v>447</v>
      </c>
      <c r="Y1641" t="s">
        <v>594</v>
      </c>
      <c r="Z1641">
        <v>13.31</v>
      </c>
      <c r="AA1641">
        <v>18.989999999999998</v>
      </c>
      <c r="AB1641">
        <v>52531</v>
      </c>
      <c r="AC1641">
        <v>76236</v>
      </c>
      <c r="AD1641">
        <v>0.69</v>
      </c>
      <c r="AE1641">
        <v>21</v>
      </c>
      <c r="AF1641">
        <v>16</v>
      </c>
      <c r="AG1641" t="s">
        <v>120</v>
      </c>
      <c r="AH1641">
        <v>0.01</v>
      </c>
      <c r="AI1641" t="s">
        <v>120</v>
      </c>
      <c r="AJ1641">
        <v>1.34</v>
      </c>
      <c r="AK1641" t="s">
        <v>8441</v>
      </c>
      <c r="AL1641">
        <v>10.01</v>
      </c>
      <c r="AM1641">
        <v>3143</v>
      </c>
      <c r="AN1641">
        <v>41</v>
      </c>
      <c r="AO1641">
        <v>3.0999999999999999E-3</v>
      </c>
      <c r="AP1641">
        <v>1</v>
      </c>
      <c r="AQ1641">
        <v>-1.06</v>
      </c>
      <c r="AR1641">
        <v>5.53</v>
      </c>
      <c r="AS1641">
        <v>30.4</v>
      </c>
      <c r="AT1641">
        <v>11.44</v>
      </c>
      <c r="AU1641">
        <v>62.61</v>
      </c>
      <c r="AV1641">
        <v>2</v>
      </c>
      <c r="AW1641">
        <v>13.74</v>
      </c>
      <c r="AX1641">
        <v>53.79</v>
      </c>
      <c r="AY1641" t="s">
        <v>120</v>
      </c>
      <c r="AZ1641" t="s">
        <v>120</v>
      </c>
      <c r="BA1641">
        <v>0.71</v>
      </c>
      <c r="BB1641" t="s">
        <v>143</v>
      </c>
      <c r="BF1641">
        <v>7.55</v>
      </c>
      <c r="BG1641">
        <v>7.13</v>
      </c>
      <c r="BH1641">
        <v>-3.97</v>
      </c>
      <c r="BI1641">
        <v>8.9</v>
      </c>
      <c r="BJ1641">
        <v>20210830</v>
      </c>
      <c r="BK1641">
        <v>20110927</v>
      </c>
      <c r="BL1641">
        <v>1.74</v>
      </c>
      <c r="BM1641" t="s">
        <v>120</v>
      </c>
      <c r="BN1641" t="s">
        <v>120</v>
      </c>
      <c r="BO1641">
        <v>113.02</v>
      </c>
      <c r="BP1641">
        <v>19.079999999999998</v>
      </c>
      <c r="BQ1641">
        <v>7.8</v>
      </c>
      <c r="BR1641">
        <v>4.38</v>
      </c>
      <c r="BS1641">
        <v>89.22</v>
      </c>
      <c r="BT1641">
        <v>31.94</v>
      </c>
      <c r="BU1641">
        <v>15.79</v>
      </c>
      <c r="BV1641">
        <v>36.229999999999997</v>
      </c>
      <c r="BW1641">
        <v>45.97</v>
      </c>
      <c r="BX1641">
        <v>3</v>
      </c>
      <c r="BY1641">
        <v>22.59</v>
      </c>
      <c r="BZ1641">
        <v>3.28</v>
      </c>
      <c r="CA1641" t="s">
        <v>120</v>
      </c>
      <c r="CB1641">
        <v>6.84</v>
      </c>
      <c r="CC1641">
        <v>22.27</v>
      </c>
      <c r="CD1641">
        <v>22.34</v>
      </c>
      <c r="CE1641">
        <v>-2.57</v>
      </c>
      <c r="CF1641">
        <v>0</v>
      </c>
      <c r="CG1641">
        <v>-2.27</v>
      </c>
      <c r="CH1641">
        <v>-1.62</v>
      </c>
      <c r="CI1641">
        <v>-1.36</v>
      </c>
      <c r="CJ1641">
        <v>1.43</v>
      </c>
      <c r="CK1641">
        <v>-1.55</v>
      </c>
      <c r="CL1641">
        <v>-12.72</v>
      </c>
      <c r="CM1641">
        <v>2.42</v>
      </c>
      <c r="CN1641">
        <v>1.3</v>
      </c>
      <c r="CO1641">
        <v>13029</v>
      </c>
      <c r="CP1641">
        <v>7192</v>
      </c>
      <c r="CQ1641" t="s">
        <v>892</v>
      </c>
      <c r="CR1641">
        <v>47.5</v>
      </c>
      <c r="CS1641">
        <v>9.17</v>
      </c>
      <c r="CT1641">
        <v>-6.4</v>
      </c>
      <c r="CU1641">
        <v>13.75</v>
      </c>
      <c r="CV1641">
        <v>1.49</v>
      </c>
      <c r="CW1641">
        <v>0</v>
      </c>
      <c r="CX1641" t="s">
        <v>8442</v>
      </c>
      <c r="CY1641">
        <v>-2.98</v>
      </c>
      <c r="CZ1641">
        <v>-2.98</v>
      </c>
      <c r="DA1641">
        <v>3.92</v>
      </c>
      <c r="DB1641">
        <v>-7.3</v>
      </c>
      <c r="DC1641">
        <v>1.39</v>
      </c>
      <c r="DD1641">
        <v>6.9</v>
      </c>
      <c r="DE1641" t="s">
        <v>8443</v>
      </c>
      <c r="DF1641">
        <v>-0.31</v>
      </c>
      <c r="DG1641">
        <v>-11.55</v>
      </c>
      <c r="DH1641">
        <v>-6.12</v>
      </c>
      <c r="DI1641" t="s">
        <v>120</v>
      </c>
      <c r="DJ1641">
        <v>3392</v>
      </c>
      <c r="DK1641">
        <v>300268</v>
      </c>
      <c r="DL1641">
        <v>20210905</v>
      </c>
      <c r="DM1641">
        <v>18.98</v>
      </c>
      <c r="DN1641">
        <v>0.57999999999999996</v>
      </c>
    </row>
    <row r="1642" spans="1:118">
      <c r="A1642" t="str">
        <f>"300270"</f>
        <v>300270</v>
      </c>
      <c r="B1642" t="s">
        <v>8444</v>
      </c>
      <c r="C1642">
        <v>-2.81</v>
      </c>
      <c r="D1642">
        <v>0</v>
      </c>
      <c r="E1642">
        <v>-0.31</v>
      </c>
      <c r="F1642">
        <v>1226</v>
      </c>
      <c r="G1642" t="s">
        <v>8445</v>
      </c>
      <c r="H1642">
        <v>3634.71</v>
      </c>
      <c r="I1642">
        <v>1.41</v>
      </c>
      <c r="J1642" t="s">
        <v>120</v>
      </c>
      <c r="K1642" t="s">
        <v>8446</v>
      </c>
      <c r="L1642">
        <v>2.79</v>
      </c>
      <c r="M1642">
        <v>6.23</v>
      </c>
      <c r="N1642">
        <v>0.69</v>
      </c>
      <c r="O1642">
        <v>1.25</v>
      </c>
      <c r="P1642">
        <v>6.49</v>
      </c>
      <c r="Q1642">
        <v>-2.96</v>
      </c>
      <c r="R1642">
        <v>6.22</v>
      </c>
      <c r="S1642">
        <v>6.39</v>
      </c>
      <c r="T1642">
        <v>57241</v>
      </c>
      <c r="U1642">
        <v>6.23</v>
      </c>
      <c r="V1642">
        <v>6.41</v>
      </c>
      <c r="W1642" t="s">
        <v>120</v>
      </c>
      <c r="X1642" t="s">
        <v>462</v>
      </c>
      <c r="Y1642" t="s">
        <v>585</v>
      </c>
      <c r="Z1642">
        <v>4.21</v>
      </c>
      <c r="AA1642">
        <v>6.35</v>
      </c>
      <c r="AB1642">
        <v>36129</v>
      </c>
      <c r="AC1642">
        <v>21112</v>
      </c>
      <c r="AD1642">
        <v>1.71</v>
      </c>
      <c r="AE1642">
        <v>500</v>
      </c>
      <c r="AF1642">
        <v>814</v>
      </c>
      <c r="AG1642" t="s">
        <v>120</v>
      </c>
      <c r="AH1642">
        <v>0</v>
      </c>
      <c r="AI1642" t="s">
        <v>120</v>
      </c>
      <c r="AJ1642">
        <v>2.0499999999999998</v>
      </c>
      <c r="AK1642" t="s">
        <v>8153</v>
      </c>
      <c r="AL1642">
        <v>-0.89</v>
      </c>
      <c r="AM1642">
        <v>1374</v>
      </c>
      <c r="AN1642">
        <v>42</v>
      </c>
      <c r="AO1642">
        <v>2E-3</v>
      </c>
      <c r="AP1642">
        <v>-1</v>
      </c>
      <c r="AQ1642">
        <v>0.63</v>
      </c>
      <c r="AR1642">
        <v>-3.26</v>
      </c>
      <c r="AS1642">
        <v>-0.32</v>
      </c>
      <c r="AT1642">
        <v>3.15</v>
      </c>
      <c r="AU1642">
        <v>6.13</v>
      </c>
      <c r="AV1642">
        <v>2</v>
      </c>
      <c r="AW1642">
        <v>3.31</v>
      </c>
      <c r="AX1642">
        <v>57.08</v>
      </c>
      <c r="AY1642" t="s">
        <v>120</v>
      </c>
      <c r="AZ1642" t="s">
        <v>120</v>
      </c>
      <c r="BA1642">
        <v>0.76</v>
      </c>
      <c r="BB1642" t="s">
        <v>143</v>
      </c>
      <c r="BF1642">
        <v>-0.94</v>
      </c>
      <c r="BG1642">
        <v>-2.5</v>
      </c>
      <c r="BH1642">
        <v>-4.01</v>
      </c>
      <c r="BI1642">
        <v>0.16</v>
      </c>
      <c r="BJ1642">
        <v>20210830</v>
      </c>
      <c r="BK1642">
        <v>20111012</v>
      </c>
      <c r="BL1642">
        <v>3.03</v>
      </c>
      <c r="BM1642" t="s">
        <v>120</v>
      </c>
      <c r="BN1642" t="s">
        <v>120</v>
      </c>
      <c r="BO1642">
        <v>9.5299999999999994</v>
      </c>
      <c r="BP1642">
        <v>6.22</v>
      </c>
      <c r="BQ1642">
        <v>7.87</v>
      </c>
      <c r="BR1642">
        <v>-0.01</v>
      </c>
      <c r="BS1642">
        <v>17.489999999999998</v>
      </c>
      <c r="BT1642">
        <v>6.39</v>
      </c>
      <c r="BU1642">
        <v>0.94</v>
      </c>
      <c r="BV1642">
        <v>0.05</v>
      </c>
      <c r="BW1642">
        <v>1.65</v>
      </c>
      <c r="BX1642">
        <v>1.53</v>
      </c>
      <c r="BY1642">
        <v>0.38</v>
      </c>
      <c r="BZ1642">
        <v>3.47</v>
      </c>
      <c r="CA1642">
        <v>0.01</v>
      </c>
      <c r="CB1642">
        <v>5.07</v>
      </c>
      <c r="CC1642">
        <v>0.8</v>
      </c>
      <c r="CD1642">
        <v>0.51</v>
      </c>
      <c r="CE1642">
        <v>-0.06</v>
      </c>
      <c r="CF1642">
        <v>0</v>
      </c>
      <c r="CG1642">
        <v>-0.06</v>
      </c>
      <c r="CH1642">
        <v>-7.0000000000000007E-2</v>
      </c>
      <c r="CI1642">
        <v>-0.08</v>
      </c>
      <c r="CJ1642">
        <v>-0.18</v>
      </c>
      <c r="CK1642">
        <v>-0.1</v>
      </c>
      <c r="CL1642">
        <v>-0.23</v>
      </c>
      <c r="CM1642">
        <v>0.08</v>
      </c>
      <c r="CN1642">
        <v>-0.72</v>
      </c>
      <c r="CO1642">
        <v>21083</v>
      </c>
      <c r="CP1642">
        <v>8199</v>
      </c>
      <c r="CQ1642" t="s">
        <v>4025</v>
      </c>
      <c r="CR1642">
        <v>45.24</v>
      </c>
      <c r="CS1642">
        <v>-29.14</v>
      </c>
      <c r="CT1642">
        <v>2.4</v>
      </c>
      <c r="CU1642">
        <v>245.52</v>
      </c>
      <c r="CV1642">
        <v>23.59</v>
      </c>
      <c r="CW1642">
        <v>0</v>
      </c>
      <c r="CX1642" t="s">
        <v>479</v>
      </c>
      <c r="CY1642">
        <v>2.6</v>
      </c>
      <c r="CZ1642">
        <v>0</v>
      </c>
      <c r="DA1642">
        <v>1.67</v>
      </c>
      <c r="DB1642">
        <v>-7.0000000000000007E-2</v>
      </c>
      <c r="DC1642">
        <v>0.03</v>
      </c>
      <c r="DD1642">
        <v>82.57</v>
      </c>
      <c r="DE1642" t="s">
        <v>7676</v>
      </c>
      <c r="DF1642">
        <v>36.65</v>
      </c>
      <c r="DG1642">
        <v>-6.89</v>
      </c>
      <c r="DH1642">
        <v>-9.4</v>
      </c>
      <c r="DI1642">
        <v>0.08</v>
      </c>
      <c r="DJ1642">
        <v>139</v>
      </c>
      <c r="DK1642">
        <v>300270</v>
      </c>
      <c r="DL1642" t="s">
        <v>120</v>
      </c>
      <c r="DM1642" t="s">
        <v>120</v>
      </c>
      <c r="DN1642" t="s">
        <v>120</v>
      </c>
    </row>
    <row r="1643" spans="1:118">
      <c r="A1643" t="str">
        <f>"300271"</f>
        <v>300271</v>
      </c>
      <c r="B1643" t="s">
        <v>8447</v>
      </c>
      <c r="C1643">
        <v>-1.37</v>
      </c>
      <c r="D1643">
        <v>0.16</v>
      </c>
      <c r="E1643">
        <v>-0.81</v>
      </c>
      <c r="F1643">
        <v>4818</v>
      </c>
      <c r="G1643" t="s">
        <v>8448</v>
      </c>
      <c r="H1643">
        <v>65411.95</v>
      </c>
      <c r="I1643">
        <v>302.45999999999998</v>
      </c>
      <c r="J1643" t="s">
        <v>120</v>
      </c>
      <c r="K1643" t="s">
        <v>2569</v>
      </c>
      <c r="L1643">
        <v>7.41</v>
      </c>
      <c r="M1643">
        <v>12.23</v>
      </c>
      <c r="N1643">
        <v>0.86</v>
      </c>
      <c r="O1643">
        <v>0.81</v>
      </c>
      <c r="P1643">
        <v>12.5</v>
      </c>
      <c r="Q1643">
        <v>-2.42</v>
      </c>
      <c r="R1643">
        <v>12.1</v>
      </c>
      <c r="S1643">
        <v>12.3</v>
      </c>
      <c r="T1643">
        <v>533247</v>
      </c>
      <c r="U1643">
        <v>12.23</v>
      </c>
      <c r="V1643">
        <v>12.4</v>
      </c>
      <c r="W1643">
        <v>23.59</v>
      </c>
      <c r="X1643" t="s">
        <v>141</v>
      </c>
      <c r="Y1643" t="s">
        <v>158</v>
      </c>
      <c r="Z1643">
        <v>3.23</v>
      </c>
      <c r="AA1643">
        <v>12.27</v>
      </c>
      <c r="AB1643">
        <v>363097</v>
      </c>
      <c r="AC1643">
        <v>170150</v>
      </c>
      <c r="AD1643">
        <v>2.13</v>
      </c>
      <c r="AE1643">
        <v>59</v>
      </c>
      <c r="AF1643">
        <v>1324</v>
      </c>
      <c r="AG1643" t="s">
        <v>120</v>
      </c>
      <c r="AH1643">
        <v>0.04</v>
      </c>
      <c r="AI1643" t="s">
        <v>120</v>
      </c>
      <c r="AJ1643">
        <v>7.19</v>
      </c>
      <c r="AK1643" t="s">
        <v>8449</v>
      </c>
      <c r="AL1643">
        <v>0.54</v>
      </c>
      <c r="AM1643">
        <v>4572</v>
      </c>
      <c r="AN1643">
        <v>117</v>
      </c>
      <c r="AO1643">
        <v>1.6000000000000001E-3</v>
      </c>
      <c r="AP1643">
        <v>-1</v>
      </c>
      <c r="AQ1643">
        <v>4.1100000000000003</v>
      </c>
      <c r="AR1643">
        <v>2.09</v>
      </c>
      <c r="AS1643">
        <v>-29.67</v>
      </c>
      <c r="AT1643">
        <v>-28.86</v>
      </c>
      <c r="AU1643">
        <v>-48.68</v>
      </c>
      <c r="AV1643">
        <v>0</v>
      </c>
      <c r="AW1643">
        <v>7.71</v>
      </c>
      <c r="AX1643">
        <v>83.43</v>
      </c>
      <c r="AY1643">
        <v>20.93</v>
      </c>
      <c r="AZ1643">
        <v>35.090000000000003</v>
      </c>
      <c r="BA1643">
        <v>0.66</v>
      </c>
      <c r="BB1643" t="s">
        <v>751</v>
      </c>
      <c r="BF1643">
        <v>-1.07</v>
      </c>
      <c r="BG1643">
        <v>-0.56999999999999995</v>
      </c>
      <c r="BH1643">
        <v>-2.16</v>
      </c>
      <c r="BI1643">
        <v>1.07</v>
      </c>
      <c r="BJ1643">
        <v>20210909</v>
      </c>
      <c r="BK1643">
        <v>20111026</v>
      </c>
      <c r="BL1643">
        <v>8.2899999999999991</v>
      </c>
      <c r="BM1643" t="s">
        <v>120</v>
      </c>
      <c r="BN1643" t="s">
        <v>120</v>
      </c>
      <c r="BO1643">
        <v>99.8</v>
      </c>
      <c r="BP1643">
        <v>12.22</v>
      </c>
      <c r="BQ1643">
        <v>66.83</v>
      </c>
      <c r="BR1643">
        <v>1.75</v>
      </c>
      <c r="BS1643">
        <v>31.29</v>
      </c>
      <c r="BT1643">
        <v>67.430000000000007</v>
      </c>
      <c r="BU1643">
        <v>2.52</v>
      </c>
      <c r="BV1643">
        <v>6.31</v>
      </c>
      <c r="BW1643">
        <v>30.57</v>
      </c>
      <c r="BX1643">
        <v>17.7</v>
      </c>
      <c r="BY1643">
        <v>21.78</v>
      </c>
      <c r="BZ1643">
        <v>22.73</v>
      </c>
      <c r="CA1643" t="s">
        <v>120</v>
      </c>
      <c r="CB1643">
        <v>33.76</v>
      </c>
      <c r="CC1643">
        <v>21.54</v>
      </c>
      <c r="CD1643">
        <v>14.86</v>
      </c>
      <c r="CE1643">
        <v>2.15</v>
      </c>
      <c r="CF1643">
        <v>0</v>
      </c>
      <c r="CG1643">
        <v>2.12</v>
      </c>
      <c r="CH1643">
        <v>2.06</v>
      </c>
      <c r="CI1643">
        <v>2.15</v>
      </c>
      <c r="CJ1643">
        <v>-0.17</v>
      </c>
      <c r="CK1643">
        <v>2.04</v>
      </c>
      <c r="CL1643">
        <v>25.03</v>
      </c>
      <c r="CM1643">
        <v>-11.77</v>
      </c>
      <c r="CN1643">
        <v>-12.72</v>
      </c>
      <c r="CO1643">
        <v>49532</v>
      </c>
      <c r="CP1643">
        <v>13967</v>
      </c>
      <c r="CQ1643" t="s">
        <v>8450</v>
      </c>
      <c r="CR1643">
        <v>1190.3900000000001</v>
      </c>
      <c r="CS1643">
        <v>157.04</v>
      </c>
      <c r="CT1643">
        <v>1.52</v>
      </c>
      <c r="CU1643">
        <v>-8.6199999999999992</v>
      </c>
      <c r="CV1643">
        <v>4.71</v>
      </c>
      <c r="CW1643">
        <v>0.28999999999999998</v>
      </c>
      <c r="CX1643" t="s">
        <v>670</v>
      </c>
      <c r="CY1643">
        <v>8.06</v>
      </c>
      <c r="CZ1643">
        <v>8.06</v>
      </c>
      <c r="DA1643">
        <v>4.07</v>
      </c>
      <c r="DB1643">
        <v>3.02</v>
      </c>
      <c r="DC1643">
        <v>-1.42</v>
      </c>
      <c r="DD1643">
        <v>66.959999999999994</v>
      </c>
      <c r="DE1643" t="s">
        <v>2554</v>
      </c>
      <c r="DF1643">
        <v>30.98</v>
      </c>
      <c r="DG1643">
        <v>9.9700000000000006</v>
      </c>
      <c r="DH1643">
        <v>9.98</v>
      </c>
      <c r="DI1643">
        <v>1.89</v>
      </c>
      <c r="DJ1643">
        <v>7797</v>
      </c>
      <c r="DK1643">
        <v>300271</v>
      </c>
      <c r="DL1643" t="s">
        <v>120</v>
      </c>
      <c r="DM1643" t="s">
        <v>120</v>
      </c>
      <c r="DN1643" t="s">
        <v>120</v>
      </c>
    </row>
    <row r="1644" spans="1:118">
      <c r="A1644" t="str">
        <f>"300272"</f>
        <v>300272</v>
      </c>
      <c r="B1644" t="s">
        <v>8451</v>
      </c>
      <c r="C1644">
        <v>5.72</v>
      </c>
      <c r="D1644">
        <v>0.39</v>
      </c>
      <c r="E1644">
        <v>-0.68</v>
      </c>
      <c r="F1644">
        <v>8485</v>
      </c>
      <c r="G1644" t="s">
        <v>8452</v>
      </c>
      <c r="H1644">
        <v>41378.559999999998</v>
      </c>
      <c r="I1644">
        <v>50.88</v>
      </c>
      <c r="J1644" t="s">
        <v>120</v>
      </c>
      <c r="K1644" t="s">
        <v>8453</v>
      </c>
      <c r="L1644">
        <v>13.13</v>
      </c>
      <c r="M1644">
        <v>7.76</v>
      </c>
      <c r="N1644">
        <v>2.42</v>
      </c>
      <c r="O1644">
        <v>12.26</v>
      </c>
      <c r="P1644">
        <v>8.24</v>
      </c>
      <c r="Q1644">
        <v>-1.5</v>
      </c>
      <c r="R1644">
        <v>7.23</v>
      </c>
      <c r="S1644">
        <v>7.29</v>
      </c>
      <c r="T1644">
        <v>539252</v>
      </c>
      <c r="U1644">
        <v>7.76</v>
      </c>
      <c r="V1644">
        <v>7.34</v>
      </c>
      <c r="W1644">
        <v>39.39</v>
      </c>
      <c r="X1644" t="s">
        <v>205</v>
      </c>
      <c r="Y1644" t="s">
        <v>1510</v>
      </c>
      <c r="Z1644">
        <v>13.76</v>
      </c>
      <c r="AA1644">
        <v>7.67</v>
      </c>
      <c r="AB1644">
        <v>265629</v>
      </c>
      <c r="AC1644">
        <v>273623</v>
      </c>
      <c r="AD1644">
        <v>0.97</v>
      </c>
      <c r="AE1644">
        <v>2370</v>
      </c>
      <c r="AF1644">
        <v>725</v>
      </c>
      <c r="AG1644" t="s">
        <v>120</v>
      </c>
      <c r="AH1644">
        <v>0.02</v>
      </c>
      <c r="AI1644" t="s">
        <v>120</v>
      </c>
      <c r="AJ1644">
        <v>4.1100000000000003</v>
      </c>
      <c r="AK1644" t="s">
        <v>4419</v>
      </c>
      <c r="AL1644">
        <v>7.64</v>
      </c>
      <c r="AM1644">
        <v>3535</v>
      </c>
      <c r="AN1644">
        <v>153</v>
      </c>
      <c r="AO1644">
        <v>3.7000000000000002E-3</v>
      </c>
      <c r="AP1644">
        <v>2</v>
      </c>
      <c r="AQ1644">
        <v>3.38</v>
      </c>
      <c r="AR1644">
        <v>7.62</v>
      </c>
      <c r="AS1644">
        <v>9.14</v>
      </c>
      <c r="AT1644">
        <v>20.5</v>
      </c>
      <c r="AU1644">
        <v>53.36</v>
      </c>
      <c r="AV1644">
        <v>2</v>
      </c>
      <c r="AW1644">
        <v>17.079999999999998</v>
      </c>
      <c r="AX1644">
        <v>54.73</v>
      </c>
      <c r="AY1644">
        <v>80.17</v>
      </c>
      <c r="AZ1644">
        <v>160.28</v>
      </c>
      <c r="BA1644">
        <v>0.81</v>
      </c>
      <c r="BB1644" t="s">
        <v>143</v>
      </c>
      <c r="BF1644">
        <v>4.54</v>
      </c>
      <c r="BG1644">
        <v>6.45</v>
      </c>
      <c r="BH1644">
        <v>-5.83</v>
      </c>
      <c r="BI1644">
        <v>7.33</v>
      </c>
      <c r="BJ1644">
        <v>20210824</v>
      </c>
      <c r="BK1644">
        <v>20111102</v>
      </c>
      <c r="BL1644">
        <v>5.77</v>
      </c>
      <c r="BM1644" t="s">
        <v>120</v>
      </c>
      <c r="BN1644" t="s">
        <v>120</v>
      </c>
      <c r="BO1644">
        <v>19.86</v>
      </c>
      <c r="BP1644">
        <v>7.75</v>
      </c>
      <c r="BQ1644">
        <v>11.63</v>
      </c>
      <c r="BR1644">
        <v>0.5</v>
      </c>
      <c r="BS1644">
        <v>38.909999999999997</v>
      </c>
      <c r="BT1644">
        <v>7.55</v>
      </c>
      <c r="BU1644">
        <v>2.81</v>
      </c>
      <c r="BV1644">
        <v>1.94</v>
      </c>
      <c r="BW1644">
        <v>6.19</v>
      </c>
      <c r="BX1644">
        <v>1.9</v>
      </c>
      <c r="BY1644">
        <v>2.37</v>
      </c>
      <c r="BZ1644">
        <v>2.0099999999999998</v>
      </c>
      <c r="CA1644" t="s">
        <v>120</v>
      </c>
      <c r="CB1644">
        <v>2.08</v>
      </c>
      <c r="CC1644">
        <v>6.95</v>
      </c>
      <c r="CD1644">
        <v>4.07</v>
      </c>
      <c r="CE1644">
        <v>0.79</v>
      </c>
      <c r="CF1644">
        <v>-0.02</v>
      </c>
      <c r="CG1644">
        <v>0.78</v>
      </c>
      <c r="CH1644">
        <v>0.66</v>
      </c>
      <c r="CI1644">
        <v>0.56999999999999995</v>
      </c>
      <c r="CJ1644">
        <v>0.42</v>
      </c>
      <c r="CK1644">
        <v>0.53</v>
      </c>
      <c r="CL1644">
        <v>3.34</v>
      </c>
      <c r="CM1644">
        <v>0.78</v>
      </c>
      <c r="CN1644">
        <v>0.24</v>
      </c>
      <c r="CO1644">
        <v>35896</v>
      </c>
      <c r="CP1644">
        <v>8795</v>
      </c>
      <c r="CQ1644" t="s">
        <v>8454</v>
      </c>
      <c r="CR1644">
        <v>86.74</v>
      </c>
      <c r="CS1644">
        <v>42.68</v>
      </c>
      <c r="CT1644">
        <v>3.85</v>
      </c>
      <c r="CU1644">
        <v>57.34</v>
      </c>
      <c r="CV1644">
        <v>6.44</v>
      </c>
      <c r="CW1644">
        <v>0.67</v>
      </c>
      <c r="CX1644" t="s">
        <v>411</v>
      </c>
      <c r="CY1644">
        <v>2.02</v>
      </c>
      <c r="CZ1644">
        <v>0</v>
      </c>
      <c r="DA1644">
        <v>0.36</v>
      </c>
      <c r="DB1644">
        <v>0.57999999999999996</v>
      </c>
      <c r="DC1644">
        <v>0.14000000000000001</v>
      </c>
      <c r="DD1644">
        <v>58.57</v>
      </c>
      <c r="DE1644" t="s">
        <v>4482</v>
      </c>
      <c r="DF1644">
        <v>41.41</v>
      </c>
      <c r="DG1644">
        <v>11.31</v>
      </c>
      <c r="DH1644">
        <v>8.18</v>
      </c>
      <c r="DI1644">
        <v>0.22</v>
      </c>
      <c r="DJ1644">
        <v>1280</v>
      </c>
      <c r="DK1644">
        <v>300272</v>
      </c>
      <c r="DL1644" t="s">
        <v>120</v>
      </c>
      <c r="DM1644" t="s">
        <v>120</v>
      </c>
      <c r="DN1644" t="s">
        <v>120</v>
      </c>
    </row>
    <row r="1645" spans="1:118">
      <c r="A1645" t="str">
        <f>"300273"</f>
        <v>300273</v>
      </c>
      <c r="B1645" t="s">
        <v>8455</v>
      </c>
      <c r="C1645">
        <v>-3.53</v>
      </c>
      <c r="D1645">
        <v>0</v>
      </c>
      <c r="E1645">
        <v>-0.53</v>
      </c>
      <c r="F1645">
        <v>1752</v>
      </c>
      <c r="G1645" t="s">
        <v>8456</v>
      </c>
      <c r="H1645">
        <v>9077.48</v>
      </c>
      <c r="I1645">
        <v>57.26</v>
      </c>
      <c r="J1645" t="s">
        <v>120</v>
      </c>
      <c r="K1645" t="s">
        <v>8457</v>
      </c>
      <c r="L1645">
        <v>2.58</v>
      </c>
      <c r="M1645">
        <v>5.46</v>
      </c>
      <c r="N1645">
        <v>1.22</v>
      </c>
      <c r="O1645">
        <v>1.06</v>
      </c>
      <c r="P1645">
        <v>5.72</v>
      </c>
      <c r="Q1645">
        <v>-3.71</v>
      </c>
      <c r="R1645">
        <v>5.45</v>
      </c>
      <c r="S1645">
        <v>5.63</v>
      </c>
      <c r="T1645">
        <v>162131</v>
      </c>
      <c r="U1645">
        <v>5.47</v>
      </c>
      <c r="V1645">
        <v>5.66</v>
      </c>
      <c r="W1645">
        <v>37.69</v>
      </c>
      <c r="X1645" t="s">
        <v>555</v>
      </c>
      <c r="Y1645" t="s">
        <v>547</v>
      </c>
      <c r="Z1645">
        <v>4.7699999999999996</v>
      </c>
      <c r="AA1645">
        <v>5.6</v>
      </c>
      <c r="AB1645">
        <v>92303</v>
      </c>
      <c r="AC1645">
        <v>69828</v>
      </c>
      <c r="AD1645">
        <v>1.32</v>
      </c>
      <c r="AE1645">
        <v>842</v>
      </c>
      <c r="AF1645">
        <v>781</v>
      </c>
      <c r="AG1645" t="s">
        <v>120</v>
      </c>
      <c r="AH1645">
        <v>0.02</v>
      </c>
      <c r="AI1645" t="s">
        <v>120</v>
      </c>
      <c r="AJ1645">
        <v>6.28</v>
      </c>
      <c r="AK1645" t="s">
        <v>8458</v>
      </c>
      <c r="AL1645">
        <v>-1.62</v>
      </c>
      <c r="AM1645">
        <v>2047</v>
      </c>
      <c r="AN1645">
        <v>79</v>
      </c>
      <c r="AO1645">
        <v>1.2999999999999999E-3</v>
      </c>
      <c r="AP1645">
        <v>-3</v>
      </c>
      <c r="AQ1645">
        <v>-0.35</v>
      </c>
      <c r="AR1645">
        <v>-5.7</v>
      </c>
      <c r="AS1645">
        <v>-4.04</v>
      </c>
      <c r="AT1645">
        <v>-18.87</v>
      </c>
      <c r="AU1645">
        <v>-6.19</v>
      </c>
      <c r="AV1645">
        <v>0</v>
      </c>
      <c r="AW1645">
        <v>2.81</v>
      </c>
      <c r="AX1645">
        <v>72.75</v>
      </c>
      <c r="AY1645">
        <v>60.56</v>
      </c>
      <c r="AZ1645">
        <v>71.709999999999994</v>
      </c>
      <c r="BA1645">
        <v>0.76</v>
      </c>
      <c r="BB1645" t="s">
        <v>125</v>
      </c>
      <c r="BF1645">
        <v>-1.08</v>
      </c>
      <c r="BG1645">
        <v>-3.02</v>
      </c>
      <c r="BH1645">
        <v>-4.55</v>
      </c>
      <c r="BI1645">
        <v>0.18</v>
      </c>
      <c r="BJ1645">
        <v>20210807</v>
      </c>
      <c r="BK1645">
        <v>20111026</v>
      </c>
      <c r="BL1645">
        <v>7.92</v>
      </c>
      <c r="BM1645" t="s">
        <v>120</v>
      </c>
      <c r="BN1645" t="s">
        <v>120</v>
      </c>
      <c r="BO1645">
        <v>65.78</v>
      </c>
      <c r="BP1645">
        <v>5.46</v>
      </c>
      <c r="BQ1645">
        <v>26.55</v>
      </c>
      <c r="BR1645">
        <v>1.98</v>
      </c>
      <c r="BS1645">
        <v>56.63</v>
      </c>
      <c r="BT1645">
        <v>38.18</v>
      </c>
      <c r="BU1645">
        <v>2.2599999999999998</v>
      </c>
      <c r="BV1645">
        <v>0.11</v>
      </c>
      <c r="BW1645">
        <v>14.52</v>
      </c>
      <c r="BX1645">
        <v>3.94</v>
      </c>
      <c r="BY1645">
        <v>0.86</v>
      </c>
      <c r="BZ1645">
        <v>7.82</v>
      </c>
      <c r="CA1645" t="s">
        <v>120</v>
      </c>
      <c r="CB1645">
        <v>9.85</v>
      </c>
      <c r="CC1645">
        <v>4.49</v>
      </c>
      <c r="CD1645">
        <v>2.17</v>
      </c>
      <c r="CE1645">
        <v>0.67</v>
      </c>
      <c r="CF1645">
        <v>0.44</v>
      </c>
      <c r="CG1645">
        <v>0.67</v>
      </c>
      <c r="CH1645">
        <v>0.6</v>
      </c>
      <c r="CI1645">
        <v>0.56999999999999995</v>
      </c>
      <c r="CJ1645">
        <v>-0.2</v>
      </c>
      <c r="CK1645">
        <v>0.52</v>
      </c>
      <c r="CL1645">
        <v>7.76</v>
      </c>
      <c r="CM1645">
        <v>0.82</v>
      </c>
      <c r="CN1645">
        <v>-1.45</v>
      </c>
      <c r="CO1645">
        <v>51344</v>
      </c>
      <c r="CP1645">
        <v>11226</v>
      </c>
      <c r="CQ1645" t="s">
        <v>5536</v>
      </c>
      <c r="CR1645">
        <v>25.09</v>
      </c>
      <c r="CS1645">
        <v>6.19</v>
      </c>
      <c r="CT1645">
        <v>1.63</v>
      </c>
      <c r="CU1645">
        <v>52.74</v>
      </c>
      <c r="CV1645">
        <v>9.64</v>
      </c>
      <c r="CW1645">
        <v>0</v>
      </c>
      <c r="CX1645" t="s">
        <v>2027</v>
      </c>
      <c r="CY1645">
        <v>3.35</v>
      </c>
      <c r="CZ1645">
        <v>0</v>
      </c>
      <c r="DA1645">
        <v>1.24</v>
      </c>
      <c r="DB1645">
        <v>0.98</v>
      </c>
      <c r="DC1645">
        <v>0.1</v>
      </c>
      <c r="DD1645">
        <v>40.36</v>
      </c>
      <c r="DE1645" t="s">
        <v>2347</v>
      </c>
      <c r="DF1645">
        <v>51.58</v>
      </c>
      <c r="DG1645">
        <v>14.98</v>
      </c>
      <c r="DH1645">
        <v>12.78</v>
      </c>
      <c r="DI1645">
        <v>0.24</v>
      </c>
      <c r="DJ1645">
        <v>802</v>
      </c>
      <c r="DK1645">
        <v>300273</v>
      </c>
      <c r="DL1645" t="s">
        <v>120</v>
      </c>
      <c r="DM1645" t="s">
        <v>120</v>
      </c>
      <c r="DN1645" t="s">
        <v>120</v>
      </c>
    </row>
    <row r="1646" spans="1:118">
      <c r="A1646" t="str">
        <f>"300274"</f>
        <v>300274</v>
      </c>
      <c r="B1646" t="s">
        <v>8459</v>
      </c>
      <c r="C1646">
        <v>-8.15</v>
      </c>
      <c r="D1646">
        <v>-0.23</v>
      </c>
      <c r="E1646">
        <v>0</v>
      </c>
      <c r="F1646">
        <v>4945</v>
      </c>
      <c r="G1646" t="s">
        <v>8460</v>
      </c>
      <c r="H1646">
        <v>456995.11</v>
      </c>
      <c r="I1646">
        <v>1404.68</v>
      </c>
      <c r="J1646" t="s">
        <v>120</v>
      </c>
      <c r="K1646" t="s">
        <v>8461</v>
      </c>
      <c r="L1646">
        <v>3.2</v>
      </c>
      <c r="M1646">
        <v>126.5</v>
      </c>
      <c r="N1646">
        <v>1.24</v>
      </c>
      <c r="O1646">
        <v>0.3</v>
      </c>
      <c r="P1646">
        <v>138.13</v>
      </c>
      <c r="Q1646">
        <v>-8.17</v>
      </c>
      <c r="R1646">
        <v>126.47</v>
      </c>
      <c r="S1646">
        <v>137.72</v>
      </c>
      <c r="T1646">
        <v>351089</v>
      </c>
      <c r="U1646">
        <v>126.51</v>
      </c>
      <c r="V1646">
        <v>137.72</v>
      </c>
      <c r="W1646">
        <v>121.72</v>
      </c>
      <c r="X1646" t="s">
        <v>394</v>
      </c>
      <c r="Y1646" t="s">
        <v>570</v>
      </c>
      <c r="Z1646">
        <v>8.4700000000000006</v>
      </c>
      <c r="AA1646">
        <v>130.16</v>
      </c>
      <c r="AB1646">
        <v>195183</v>
      </c>
      <c r="AC1646">
        <v>155906</v>
      </c>
      <c r="AD1646">
        <v>1.25</v>
      </c>
      <c r="AE1646">
        <v>47</v>
      </c>
      <c r="AF1646">
        <v>1028</v>
      </c>
      <c r="AG1646" t="s">
        <v>120</v>
      </c>
      <c r="AH1646">
        <v>0.01</v>
      </c>
      <c r="AI1646" t="s">
        <v>120</v>
      </c>
      <c r="AJ1646">
        <v>10.96</v>
      </c>
      <c r="AK1646" t="s">
        <v>8462</v>
      </c>
      <c r="AL1646">
        <v>-6.23</v>
      </c>
      <c r="AM1646">
        <v>4727</v>
      </c>
      <c r="AN1646">
        <v>74</v>
      </c>
      <c r="AO1646">
        <v>6.9999999999999999E-4</v>
      </c>
      <c r="AP1646">
        <v>-1</v>
      </c>
      <c r="AQ1646">
        <v>1.8</v>
      </c>
      <c r="AR1646">
        <v>-5.97</v>
      </c>
      <c r="AS1646">
        <v>-7.78</v>
      </c>
      <c r="AT1646">
        <v>18.329999999999998</v>
      </c>
      <c r="AU1646">
        <v>75.36</v>
      </c>
      <c r="AV1646">
        <v>2</v>
      </c>
      <c r="AW1646">
        <v>3.78</v>
      </c>
      <c r="AX1646">
        <v>63.74</v>
      </c>
      <c r="AY1646">
        <v>88.57</v>
      </c>
      <c r="AZ1646">
        <v>102.66</v>
      </c>
      <c r="BA1646">
        <v>1.77</v>
      </c>
      <c r="BB1646" t="s">
        <v>143</v>
      </c>
      <c r="BF1646">
        <v>-5.49</v>
      </c>
      <c r="BG1646">
        <v>-8.15</v>
      </c>
      <c r="BH1646">
        <v>-8.42</v>
      </c>
      <c r="BI1646">
        <v>0.02</v>
      </c>
      <c r="BJ1646">
        <v>20210907</v>
      </c>
      <c r="BK1646">
        <v>20111102</v>
      </c>
      <c r="BL1646">
        <v>14.57</v>
      </c>
      <c r="BM1646" t="s">
        <v>120</v>
      </c>
      <c r="BN1646" t="s">
        <v>120</v>
      </c>
      <c r="BO1646">
        <v>299.39999999999998</v>
      </c>
      <c r="BP1646">
        <v>126.5</v>
      </c>
      <c r="BQ1646">
        <v>111.06</v>
      </c>
      <c r="BR1646">
        <v>7.62</v>
      </c>
      <c r="BS1646">
        <v>60.36</v>
      </c>
      <c r="BT1646">
        <v>246.17</v>
      </c>
      <c r="BU1646">
        <v>33.43</v>
      </c>
      <c r="BV1646">
        <v>1.63</v>
      </c>
      <c r="BW1646">
        <v>158.47999999999999</v>
      </c>
      <c r="BX1646">
        <v>46.8</v>
      </c>
      <c r="BY1646">
        <v>57.76</v>
      </c>
      <c r="BZ1646">
        <v>70.430000000000007</v>
      </c>
      <c r="CA1646" t="s">
        <v>120</v>
      </c>
      <c r="CB1646">
        <v>32.549999999999997</v>
      </c>
      <c r="CC1646">
        <v>82.1</v>
      </c>
      <c r="CD1646">
        <v>59.08</v>
      </c>
      <c r="CE1646">
        <v>9.0299999999999994</v>
      </c>
      <c r="CF1646">
        <v>0.55000000000000004</v>
      </c>
      <c r="CG1646">
        <v>9.0399999999999991</v>
      </c>
      <c r="CH1646">
        <v>7.88</v>
      </c>
      <c r="CI1646">
        <v>7.57</v>
      </c>
      <c r="CJ1646">
        <v>-11.22</v>
      </c>
      <c r="CK1646">
        <v>7.2</v>
      </c>
      <c r="CL1646">
        <v>58.27</v>
      </c>
      <c r="CM1646">
        <v>-31.3</v>
      </c>
      <c r="CN1646">
        <v>-30.25</v>
      </c>
      <c r="CO1646">
        <v>109412</v>
      </c>
      <c r="CP1646">
        <v>8486</v>
      </c>
      <c r="CQ1646" t="s">
        <v>8463</v>
      </c>
      <c r="CR1646">
        <v>69.680000000000007</v>
      </c>
      <c r="CS1646">
        <v>18.27</v>
      </c>
      <c r="CT1646">
        <v>16.59</v>
      </c>
      <c r="CU1646">
        <v>-58.88</v>
      </c>
      <c r="CV1646">
        <v>22.45</v>
      </c>
      <c r="CW1646">
        <v>0.1</v>
      </c>
      <c r="CX1646" t="s">
        <v>948</v>
      </c>
      <c r="CY1646">
        <v>7.62</v>
      </c>
      <c r="CZ1646">
        <v>7.62</v>
      </c>
      <c r="DA1646">
        <v>2.23</v>
      </c>
      <c r="DB1646">
        <v>4</v>
      </c>
      <c r="DC1646">
        <v>-2.15</v>
      </c>
      <c r="DD1646">
        <v>37.090000000000003</v>
      </c>
      <c r="DE1646" t="s">
        <v>1792</v>
      </c>
      <c r="DF1646">
        <v>28.04</v>
      </c>
      <c r="DG1646">
        <v>11</v>
      </c>
      <c r="DH1646">
        <v>9.2200000000000006</v>
      </c>
      <c r="DI1646">
        <v>5.08</v>
      </c>
      <c r="DJ1646">
        <v>4492</v>
      </c>
      <c r="DK1646">
        <v>300274</v>
      </c>
      <c r="DL1646">
        <v>20210726</v>
      </c>
      <c r="DM1646">
        <v>142.1</v>
      </c>
      <c r="DN1646">
        <v>-10.98</v>
      </c>
    </row>
    <row r="1647" spans="1:118">
      <c r="A1647" t="str">
        <f>"300275"</f>
        <v>300275</v>
      </c>
      <c r="B1647" t="s">
        <v>8464</v>
      </c>
      <c r="C1647">
        <v>19.98</v>
      </c>
      <c r="D1647">
        <v>0</v>
      </c>
      <c r="E1647">
        <v>5.74</v>
      </c>
      <c r="F1647">
        <v>898</v>
      </c>
      <c r="G1647" t="s">
        <v>8465</v>
      </c>
      <c r="H1647">
        <v>35549.879999999997</v>
      </c>
      <c r="I1647">
        <v>3401.47</v>
      </c>
      <c r="J1647">
        <v>7841.81</v>
      </c>
      <c r="K1647" t="s">
        <v>4968</v>
      </c>
      <c r="L1647">
        <v>17.440000000000001</v>
      </c>
      <c r="M1647">
        <v>14.83</v>
      </c>
      <c r="N1647">
        <v>1.47</v>
      </c>
      <c r="O1647">
        <v>19.98</v>
      </c>
      <c r="P1647">
        <v>14.83</v>
      </c>
      <c r="Q1647">
        <v>4.29</v>
      </c>
      <c r="R1647">
        <v>12.89</v>
      </c>
      <c r="S1647">
        <v>13.07</v>
      </c>
      <c r="T1647">
        <v>254387</v>
      </c>
      <c r="U1647" t="s">
        <v>120</v>
      </c>
      <c r="V1647">
        <v>12.36</v>
      </c>
      <c r="W1647">
        <v>103.58</v>
      </c>
      <c r="X1647" t="s">
        <v>141</v>
      </c>
      <c r="Y1647" t="s">
        <v>883</v>
      </c>
      <c r="Z1647">
        <v>15.7</v>
      </c>
      <c r="AA1647">
        <v>13.97</v>
      </c>
      <c r="AB1647">
        <v>122281</v>
      </c>
      <c r="AC1647">
        <v>132106</v>
      </c>
      <c r="AD1647">
        <v>0.93</v>
      </c>
      <c r="AE1647">
        <v>52878</v>
      </c>
      <c r="AF1647">
        <v>0</v>
      </c>
      <c r="AG1647" t="s">
        <v>120</v>
      </c>
      <c r="AH1647">
        <v>1.95</v>
      </c>
      <c r="AI1647">
        <v>0.21</v>
      </c>
      <c r="AJ1647">
        <v>1.46</v>
      </c>
      <c r="AK1647" t="s">
        <v>8466</v>
      </c>
      <c r="AL1647">
        <v>21.9</v>
      </c>
      <c r="AM1647">
        <v>978</v>
      </c>
      <c r="AN1647">
        <v>260</v>
      </c>
      <c r="AO1647">
        <v>1.78E-2</v>
      </c>
      <c r="AP1647">
        <v>2</v>
      </c>
      <c r="AQ1647">
        <v>20</v>
      </c>
      <c r="AR1647">
        <v>36.44</v>
      </c>
      <c r="AS1647">
        <v>58.1</v>
      </c>
      <c r="AT1647">
        <v>60.59</v>
      </c>
      <c r="AU1647">
        <v>48.67</v>
      </c>
      <c r="AV1647">
        <v>1</v>
      </c>
      <c r="AW1647">
        <v>19.059999999999999</v>
      </c>
      <c r="AX1647">
        <v>70.900000000000006</v>
      </c>
      <c r="AY1647">
        <v>84.97</v>
      </c>
      <c r="AZ1647">
        <v>85.89</v>
      </c>
      <c r="BA1647">
        <v>0.43</v>
      </c>
      <c r="BB1647" t="s">
        <v>700</v>
      </c>
      <c r="BF1647">
        <v>13.06</v>
      </c>
      <c r="BG1647">
        <v>13.47</v>
      </c>
      <c r="BH1647">
        <v>0</v>
      </c>
      <c r="BI1647">
        <v>15.05</v>
      </c>
      <c r="BJ1647">
        <v>20210910</v>
      </c>
      <c r="BK1647">
        <v>20111102</v>
      </c>
      <c r="BL1647">
        <v>1.88</v>
      </c>
      <c r="BM1647" t="s">
        <v>120</v>
      </c>
      <c r="BN1647" t="s">
        <v>120</v>
      </c>
      <c r="BO1647">
        <v>9.77</v>
      </c>
      <c r="BP1647">
        <v>14.83</v>
      </c>
      <c r="BQ1647">
        <v>7</v>
      </c>
      <c r="BR1647">
        <v>0.01</v>
      </c>
      <c r="BS1647">
        <v>28.22</v>
      </c>
      <c r="BT1647">
        <v>5.34</v>
      </c>
      <c r="BU1647">
        <v>0.84</v>
      </c>
      <c r="BV1647">
        <v>0.28999999999999998</v>
      </c>
      <c r="BW1647">
        <v>2.54</v>
      </c>
      <c r="BX1647">
        <v>1.23</v>
      </c>
      <c r="BY1647">
        <v>0.87</v>
      </c>
      <c r="BZ1647">
        <v>2.3199999999999998</v>
      </c>
      <c r="CA1647" t="s">
        <v>120</v>
      </c>
      <c r="CB1647">
        <v>3.9</v>
      </c>
      <c r="CC1647">
        <v>1.1399999999999999</v>
      </c>
      <c r="CD1647">
        <v>0.61</v>
      </c>
      <c r="CE1647">
        <v>0.16</v>
      </c>
      <c r="CF1647">
        <v>0.01</v>
      </c>
      <c r="CG1647">
        <v>0.16</v>
      </c>
      <c r="CH1647">
        <v>0.13</v>
      </c>
      <c r="CI1647">
        <v>0.13</v>
      </c>
      <c r="CJ1647">
        <v>2.4700000000000002</v>
      </c>
      <c r="CK1647">
        <v>0.12</v>
      </c>
      <c r="CL1647">
        <v>1</v>
      </c>
      <c r="CM1647">
        <v>0.19</v>
      </c>
      <c r="CN1647">
        <v>0.9</v>
      </c>
      <c r="CO1647">
        <v>10662</v>
      </c>
      <c r="CP1647">
        <v>12517</v>
      </c>
      <c r="CQ1647" t="s">
        <v>7648</v>
      </c>
      <c r="CR1647">
        <v>2.2400000000000002</v>
      </c>
      <c r="CS1647">
        <v>6.35</v>
      </c>
      <c r="CT1647">
        <v>3.99</v>
      </c>
      <c r="CU1647">
        <v>145.26</v>
      </c>
      <c r="CV1647">
        <v>24.38</v>
      </c>
      <c r="CW1647">
        <v>0.2</v>
      </c>
      <c r="CX1647" t="s">
        <v>535</v>
      </c>
      <c r="CY1647">
        <v>3.72</v>
      </c>
      <c r="CZ1647">
        <v>0</v>
      </c>
      <c r="DA1647">
        <v>2.0699999999999998</v>
      </c>
      <c r="DB1647">
        <v>0.53</v>
      </c>
      <c r="DC1647">
        <v>0.1</v>
      </c>
      <c r="DD1647">
        <v>71.650000000000006</v>
      </c>
      <c r="DE1647" t="s">
        <v>1820</v>
      </c>
      <c r="DF1647">
        <v>47.12</v>
      </c>
      <c r="DG1647">
        <v>13.81</v>
      </c>
      <c r="DH1647">
        <v>11.77</v>
      </c>
      <c r="DI1647">
        <v>0.14000000000000001</v>
      </c>
      <c r="DJ1647">
        <v>476</v>
      </c>
      <c r="DK1647">
        <v>300275</v>
      </c>
      <c r="DL1647">
        <v>20210915</v>
      </c>
      <c r="DM1647">
        <v>12.36</v>
      </c>
      <c r="DN1647">
        <v>19.98</v>
      </c>
    </row>
    <row r="1648" spans="1:118">
      <c r="A1648" t="str">
        <f>"300276"</f>
        <v>300276</v>
      </c>
      <c r="B1648" t="s">
        <v>8467</v>
      </c>
      <c r="C1648">
        <v>-2.71</v>
      </c>
      <c r="D1648">
        <v>-0.2</v>
      </c>
      <c r="E1648">
        <v>0</v>
      </c>
      <c r="F1648">
        <v>7273</v>
      </c>
      <c r="G1648" t="s">
        <v>8200</v>
      </c>
      <c r="H1648">
        <v>22115.97</v>
      </c>
      <c r="I1648">
        <v>193.32</v>
      </c>
      <c r="J1648" t="s">
        <v>120</v>
      </c>
      <c r="K1648" t="s">
        <v>8468</v>
      </c>
      <c r="L1648">
        <v>4.96</v>
      </c>
      <c r="M1648">
        <v>4.66</v>
      </c>
      <c r="N1648">
        <v>1.18</v>
      </c>
      <c r="O1648">
        <v>1.04</v>
      </c>
      <c r="P1648">
        <v>4.84</v>
      </c>
      <c r="Q1648">
        <v>-2.92</v>
      </c>
      <c r="R1648">
        <v>4.6500000000000004</v>
      </c>
      <c r="S1648">
        <v>4.79</v>
      </c>
      <c r="T1648">
        <v>467955</v>
      </c>
      <c r="U1648">
        <v>4.67</v>
      </c>
      <c r="V1648">
        <v>4.79</v>
      </c>
      <c r="W1648">
        <v>58.46</v>
      </c>
      <c r="X1648" t="s">
        <v>675</v>
      </c>
      <c r="Y1648" t="s">
        <v>763</v>
      </c>
      <c r="Z1648">
        <v>3.97</v>
      </c>
      <c r="AA1648">
        <v>4.7300000000000004</v>
      </c>
      <c r="AB1648">
        <v>240653</v>
      </c>
      <c r="AC1648">
        <v>227302</v>
      </c>
      <c r="AD1648">
        <v>1.06</v>
      </c>
      <c r="AE1648">
        <v>378</v>
      </c>
      <c r="AF1648">
        <v>1411</v>
      </c>
      <c r="AG1648" t="s">
        <v>120</v>
      </c>
      <c r="AH1648">
        <v>0.06</v>
      </c>
      <c r="AI1648" t="s">
        <v>120</v>
      </c>
      <c r="AJ1648">
        <v>9.43</v>
      </c>
      <c r="AK1648" t="s">
        <v>8469</v>
      </c>
      <c r="AL1648">
        <v>-0.8</v>
      </c>
      <c r="AM1648">
        <v>3329</v>
      </c>
      <c r="AN1648">
        <v>141</v>
      </c>
      <c r="AO1648">
        <v>1.5E-3</v>
      </c>
      <c r="AP1648">
        <v>-1</v>
      </c>
      <c r="AQ1648">
        <v>3.68</v>
      </c>
      <c r="AR1648">
        <v>4.95</v>
      </c>
      <c r="AS1648">
        <v>13.39</v>
      </c>
      <c r="AT1648">
        <v>27.67</v>
      </c>
      <c r="AU1648">
        <v>11.75</v>
      </c>
      <c r="AV1648">
        <v>1</v>
      </c>
      <c r="AW1648">
        <v>7.33</v>
      </c>
      <c r="AX1648">
        <v>44.58</v>
      </c>
      <c r="AY1648" t="s">
        <v>120</v>
      </c>
      <c r="AZ1648" t="s">
        <v>120</v>
      </c>
      <c r="BA1648">
        <v>1.36</v>
      </c>
      <c r="BB1648" t="s">
        <v>184</v>
      </c>
      <c r="BF1648">
        <v>-1.33</v>
      </c>
      <c r="BG1648">
        <v>-2.71</v>
      </c>
      <c r="BH1648">
        <v>-3.72</v>
      </c>
      <c r="BI1648">
        <v>0.22</v>
      </c>
      <c r="BJ1648">
        <v>20210824</v>
      </c>
      <c r="BK1648">
        <v>20111115</v>
      </c>
      <c r="BL1648">
        <v>14.31</v>
      </c>
      <c r="BM1648" t="s">
        <v>120</v>
      </c>
      <c r="BN1648" t="s">
        <v>120</v>
      </c>
      <c r="BO1648">
        <v>40.14</v>
      </c>
      <c r="BP1648">
        <v>4.66</v>
      </c>
      <c r="BQ1648">
        <v>23.72</v>
      </c>
      <c r="BR1648">
        <v>0.15</v>
      </c>
      <c r="BS1648">
        <v>40.53</v>
      </c>
      <c r="BT1648">
        <v>26.13</v>
      </c>
      <c r="BU1648">
        <v>2.5299999999999998</v>
      </c>
      <c r="BV1648">
        <v>2.5</v>
      </c>
      <c r="BW1648">
        <v>15.18</v>
      </c>
      <c r="BX1648">
        <v>3.16</v>
      </c>
      <c r="BY1648">
        <v>13.55</v>
      </c>
      <c r="BZ1648">
        <v>5.95</v>
      </c>
      <c r="CA1648" t="s">
        <v>120</v>
      </c>
      <c r="CB1648">
        <v>17.440000000000001</v>
      </c>
      <c r="CC1648">
        <v>6.19</v>
      </c>
      <c r="CD1648">
        <v>5.05</v>
      </c>
      <c r="CE1648">
        <v>0.62</v>
      </c>
      <c r="CF1648">
        <v>0.13</v>
      </c>
      <c r="CG1648">
        <v>0.62</v>
      </c>
      <c r="CH1648">
        <v>0.56999999999999995</v>
      </c>
      <c r="CI1648">
        <v>0.56999999999999995</v>
      </c>
      <c r="CJ1648">
        <v>-0.13</v>
      </c>
      <c r="CK1648">
        <v>0.3</v>
      </c>
      <c r="CL1648">
        <v>-7.6</v>
      </c>
      <c r="CM1648">
        <v>-1.55</v>
      </c>
      <c r="CN1648">
        <v>-1.42</v>
      </c>
      <c r="CO1648">
        <v>51046</v>
      </c>
      <c r="CP1648">
        <v>12500</v>
      </c>
      <c r="CQ1648" t="s">
        <v>5913</v>
      </c>
      <c r="CR1648">
        <v>57.42</v>
      </c>
      <c r="CS1648">
        <v>-12.12</v>
      </c>
      <c r="CT1648">
        <v>2.81</v>
      </c>
      <c r="CU1648">
        <v>-43.06</v>
      </c>
      <c r="CV1648">
        <v>10.77</v>
      </c>
      <c r="CW1648">
        <v>0</v>
      </c>
      <c r="CX1648" t="s">
        <v>145</v>
      </c>
      <c r="CY1648">
        <v>1.66</v>
      </c>
      <c r="CZ1648">
        <v>1.66</v>
      </c>
      <c r="DA1648">
        <v>1.22</v>
      </c>
      <c r="DB1648">
        <v>-0.53</v>
      </c>
      <c r="DC1648">
        <v>-0.11</v>
      </c>
      <c r="DD1648">
        <v>59.1</v>
      </c>
      <c r="DE1648" t="s">
        <v>507</v>
      </c>
      <c r="DF1648">
        <v>18.39</v>
      </c>
      <c r="DG1648">
        <v>10.08</v>
      </c>
      <c r="DH1648">
        <v>9.2100000000000009</v>
      </c>
      <c r="DI1648">
        <v>0.27</v>
      </c>
      <c r="DJ1648">
        <v>1455</v>
      </c>
      <c r="DK1648">
        <v>300276</v>
      </c>
      <c r="DL1648" t="s">
        <v>120</v>
      </c>
      <c r="DM1648" t="s">
        <v>120</v>
      </c>
      <c r="DN1648" t="s">
        <v>120</v>
      </c>
    </row>
    <row r="1649" spans="1:118">
      <c r="A1649" t="str">
        <f>"300277"</f>
        <v>300277</v>
      </c>
      <c r="B1649" t="s">
        <v>8470</v>
      </c>
      <c r="C1649">
        <v>-1.9</v>
      </c>
      <c r="D1649">
        <v>0</v>
      </c>
      <c r="E1649">
        <v>0.11</v>
      </c>
      <c r="F1649">
        <v>2492</v>
      </c>
      <c r="G1649" t="s">
        <v>6526</v>
      </c>
      <c r="H1649">
        <v>9310.4699999999993</v>
      </c>
      <c r="I1649">
        <v>22.37</v>
      </c>
      <c r="J1649" t="s">
        <v>120</v>
      </c>
      <c r="K1649" t="s">
        <v>3159</v>
      </c>
      <c r="L1649">
        <v>3.01</v>
      </c>
      <c r="M1649">
        <v>9.2899999999999991</v>
      </c>
      <c r="N1649">
        <v>0.82</v>
      </c>
      <c r="O1649">
        <v>0.11</v>
      </c>
      <c r="P1649">
        <v>9.48</v>
      </c>
      <c r="Q1649">
        <v>-3.38</v>
      </c>
      <c r="R1649">
        <v>9.15</v>
      </c>
      <c r="S1649">
        <v>9.48</v>
      </c>
      <c r="T1649">
        <v>100595</v>
      </c>
      <c r="U1649">
        <v>9.2899999999999991</v>
      </c>
      <c r="V1649">
        <v>9.4700000000000006</v>
      </c>
      <c r="W1649">
        <v>203.46</v>
      </c>
      <c r="X1649" t="s">
        <v>141</v>
      </c>
      <c r="Y1649" t="s">
        <v>123</v>
      </c>
      <c r="Z1649">
        <v>3.48</v>
      </c>
      <c r="AA1649">
        <v>9.26</v>
      </c>
      <c r="AB1649">
        <v>65067</v>
      </c>
      <c r="AC1649">
        <v>35528</v>
      </c>
      <c r="AD1649">
        <v>1.83</v>
      </c>
      <c r="AE1649">
        <v>311</v>
      </c>
      <c r="AF1649">
        <v>346</v>
      </c>
      <c r="AG1649" t="s">
        <v>120</v>
      </c>
      <c r="AH1649">
        <v>0.01</v>
      </c>
      <c r="AI1649" t="s">
        <v>120</v>
      </c>
      <c r="AJ1649">
        <v>3.34</v>
      </c>
      <c r="AK1649" t="s">
        <v>8471</v>
      </c>
      <c r="AL1649">
        <v>0.01</v>
      </c>
      <c r="AM1649">
        <v>1785</v>
      </c>
      <c r="AN1649">
        <v>56</v>
      </c>
      <c r="AO1649">
        <v>1.6999999999999999E-3</v>
      </c>
      <c r="AP1649">
        <v>-1</v>
      </c>
      <c r="AQ1649">
        <v>1.07</v>
      </c>
      <c r="AR1649">
        <v>-3.92</v>
      </c>
      <c r="AS1649">
        <v>13.57</v>
      </c>
      <c r="AT1649">
        <v>8.91</v>
      </c>
      <c r="AU1649">
        <v>1.42</v>
      </c>
      <c r="AV1649">
        <v>2</v>
      </c>
      <c r="AW1649">
        <v>4.6900000000000004</v>
      </c>
      <c r="AX1649">
        <v>63.96</v>
      </c>
      <c r="AY1649">
        <v>134.36000000000001</v>
      </c>
      <c r="AZ1649">
        <v>127.31</v>
      </c>
      <c r="BA1649">
        <v>0.5</v>
      </c>
      <c r="BB1649" t="s">
        <v>143</v>
      </c>
      <c r="BF1649">
        <v>-2.27</v>
      </c>
      <c r="BG1649">
        <v>-2</v>
      </c>
      <c r="BH1649">
        <v>-2</v>
      </c>
      <c r="BI1649">
        <v>1.53</v>
      </c>
      <c r="BJ1649">
        <v>20210826</v>
      </c>
      <c r="BK1649">
        <v>20111123</v>
      </c>
      <c r="BL1649">
        <v>3.35</v>
      </c>
      <c r="BM1649" t="s">
        <v>120</v>
      </c>
      <c r="BN1649" t="s">
        <v>120</v>
      </c>
      <c r="BO1649">
        <v>7.41</v>
      </c>
      <c r="BP1649">
        <v>9.2799999999999994</v>
      </c>
      <c r="BQ1649">
        <v>4.78</v>
      </c>
      <c r="BR1649">
        <v>0.13</v>
      </c>
      <c r="BS1649">
        <v>33.76</v>
      </c>
      <c r="BT1649">
        <v>6.97</v>
      </c>
      <c r="BU1649">
        <v>0.04</v>
      </c>
      <c r="BV1649">
        <v>0</v>
      </c>
      <c r="BW1649">
        <v>2.46</v>
      </c>
      <c r="BX1649">
        <v>0.4</v>
      </c>
      <c r="BY1649">
        <v>1.78</v>
      </c>
      <c r="BZ1649">
        <v>0.26</v>
      </c>
      <c r="CA1649" t="s">
        <v>120</v>
      </c>
      <c r="CB1649">
        <v>0.83</v>
      </c>
      <c r="CC1649">
        <v>0.95</v>
      </c>
      <c r="CD1649">
        <v>0.74</v>
      </c>
      <c r="CE1649">
        <v>0.11</v>
      </c>
      <c r="CF1649">
        <v>0.05</v>
      </c>
      <c r="CG1649">
        <v>0.11</v>
      </c>
      <c r="CH1649">
        <v>0.09</v>
      </c>
      <c r="CI1649">
        <v>0.08</v>
      </c>
      <c r="CJ1649">
        <v>-0.18</v>
      </c>
      <c r="CK1649">
        <v>0.06</v>
      </c>
      <c r="CL1649">
        <v>0.42</v>
      </c>
      <c r="CM1649">
        <v>0.15</v>
      </c>
      <c r="CN1649">
        <v>-0.26</v>
      </c>
      <c r="CO1649">
        <v>12233</v>
      </c>
      <c r="CP1649">
        <v>17515</v>
      </c>
      <c r="CQ1649" t="s">
        <v>8472</v>
      </c>
      <c r="CR1649">
        <v>-14.6</v>
      </c>
      <c r="CS1649">
        <v>40.56</v>
      </c>
      <c r="CT1649">
        <v>6.51</v>
      </c>
      <c r="CU1649">
        <v>205.38</v>
      </c>
      <c r="CV1649">
        <v>32.799999999999997</v>
      </c>
      <c r="CW1649">
        <v>0.42</v>
      </c>
      <c r="CX1649" t="s">
        <v>8184</v>
      </c>
      <c r="CY1649">
        <v>1.43</v>
      </c>
      <c r="CZ1649">
        <v>0</v>
      </c>
      <c r="DA1649">
        <v>0.25</v>
      </c>
      <c r="DB1649">
        <v>0.13</v>
      </c>
      <c r="DC1649">
        <v>0.05</v>
      </c>
      <c r="DD1649">
        <v>64.53</v>
      </c>
      <c r="DE1649" t="s">
        <v>8473</v>
      </c>
      <c r="DF1649">
        <v>21.74</v>
      </c>
      <c r="DG1649">
        <v>11.39</v>
      </c>
      <c r="DH1649">
        <v>8.06</v>
      </c>
      <c r="DI1649">
        <v>0.06</v>
      </c>
      <c r="DJ1649">
        <v>148</v>
      </c>
      <c r="DK1649">
        <v>300277</v>
      </c>
      <c r="DL1649" t="s">
        <v>120</v>
      </c>
      <c r="DM1649" t="s">
        <v>120</v>
      </c>
      <c r="DN1649" t="s">
        <v>120</v>
      </c>
    </row>
    <row r="1650" spans="1:118">
      <c r="A1650" t="str">
        <f>"300279"</f>
        <v>300279</v>
      </c>
      <c r="B1650" t="s">
        <v>8474</v>
      </c>
      <c r="C1650">
        <v>1.98</v>
      </c>
      <c r="D1650">
        <v>0</v>
      </c>
      <c r="E1650">
        <v>-0.15</v>
      </c>
      <c r="F1650">
        <v>1805</v>
      </c>
      <c r="G1650" t="s">
        <v>3589</v>
      </c>
      <c r="H1650">
        <v>9556</v>
      </c>
      <c r="I1650">
        <v>18.43</v>
      </c>
      <c r="J1650" t="s">
        <v>120</v>
      </c>
      <c r="K1650" t="s">
        <v>8475</v>
      </c>
      <c r="L1650">
        <v>3.24</v>
      </c>
      <c r="M1650">
        <v>6.7</v>
      </c>
      <c r="N1650">
        <v>1.02</v>
      </c>
      <c r="O1650">
        <v>3.65</v>
      </c>
      <c r="P1650">
        <v>6.81</v>
      </c>
      <c r="Q1650">
        <v>-0.76</v>
      </c>
      <c r="R1650">
        <v>6.52</v>
      </c>
      <c r="S1650">
        <v>6.56</v>
      </c>
      <c r="T1650">
        <v>142278</v>
      </c>
      <c r="U1650">
        <v>6.7</v>
      </c>
      <c r="V1650">
        <v>6.57</v>
      </c>
      <c r="W1650">
        <v>85.42</v>
      </c>
      <c r="X1650" t="s">
        <v>229</v>
      </c>
      <c r="Y1650" t="s">
        <v>319</v>
      </c>
      <c r="Z1650">
        <v>4.41</v>
      </c>
      <c r="AA1650">
        <v>6.72</v>
      </c>
      <c r="AB1650">
        <v>67507</v>
      </c>
      <c r="AC1650">
        <v>74771</v>
      </c>
      <c r="AD1650">
        <v>0.9</v>
      </c>
      <c r="AE1650">
        <v>639</v>
      </c>
      <c r="AF1650">
        <v>2355</v>
      </c>
      <c r="AG1650" t="s">
        <v>120</v>
      </c>
      <c r="AH1650">
        <v>0.01</v>
      </c>
      <c r="AI1650" t="s">
        <v>120</v>
      </c>
      <c r="AJ1650">
        <v>4.4000000000000004</v>
      </c>
      <c r="AK1650" t="s">
        <v>8476</v>
      </c>
      <c r="AL1650">
        <v>3.89</v>
      </c>
      <c r="AM1650">
        <v>2025</v>
      </c>
      <c r="AN1650">
        <v>70</v>
      </c>
      <c r="AO1650">
        <v>1.6000000000000001E-3</v>
      </c>
      <c r="AP1650">
        <v>2</v>
      </c>
      <c r="AQ1650">
        <v>1.08</v>
      </c>
      <c r="AR1650">
        <v>-0.45</v>
      </c>
      <c r="AS1650">
        <v>-5.89</v>
      </c>
      <c r="AT1650">
        <v>1.83</v>
      </c>
      <c r="AU1650">
        <v>24.77</v>
      </c>
      <c r="AV1650">
        <v>2</v>
      </c>
      <c r="AW1650">
        <v>4.57</v>
      </c>
      <c r="AX1650">
        <v>69.36</v>
      </c>
      <c r="AY1650">
        <v>178.76</v>
      </c>
      <c r="AZ1650">
        <v>587.20000000000005</v>
      </c>
      <c r="BA1650">
        <v>0.72</v>
      </c>
      <c r="BB1650" t="s">
        <v>143</v>
      </c>
      <c r="BF1650">
        <v>2.23</v>
      </c>
      <c r="BG1650">
        <v>2.13</v>
      </c>
      <c r="BH1650">
        <v>-1.62</v>
      </c>
      <c r="BI1650">
        <v>2.76</v>
      </c>
      <c r="BJ1650">
        <v>20210828</v>
      </c>
      <c r="BK1650">
        <v>20111229</v>
      </c>
      <c r="BL1650">
        <v>4.49</v>
      </c>
      <c r="BM1650" t="s">
        <v>120</v>
      </c>
      <c r="BN1650" t="s">
        <v>120</v>
      </c>
      <c r="BO1650">
        <v>28.08</v>
      </c>
      <c r="BP1650">
        <v>6.69</v>
      </c>
      <c r="BQ1650">
        <v>9.2100000000000009</v>
      </c>
      <c r="BR1650">
        <v>0.02</v>
      </c>
      <c r="BS1650">
        <v>67.13</v>
      </c>
      <c r="BT1650">
        <v>17.559999999999999</v>
      </c>
      <c r="BU1650">
        <v>2.34</v>
      </c>
      <c r="BV1650">
        <v>0.24</v>
      </c>
      <c r="BW1650">
        <v>17.78</v>
      </c>
      <c r="BX1650">
        <v>5.21</v>
      </c>
      <c r="BY1650">
        <v>4.45</v>
      </c>
      <c r="BZ1650">
        <v>4.4000000000000004</v>
      </c>
      <c r="CA1650">
        <v>0</v>
      </c>
      <c r="CB1650">
        <v>9.9499999999999993</v>
      </c>
      <c r="CC1650">
        <v>10.28</v>
      </c>
      <c r="CD1650">
        <v>9.0399999999999991</v>
      </c>
      <c r="CE1650">
        <v>0.22</v>
      </c>
      <c r="CF1650">
        <v>-0.05</v>
      </c>
      <c r="CG1650">
        <v>0.24</v>
      </c>
      <c r="CH1650">
        <v>0.18</v>
      </c>
      <c r="CI1650">
        <v>0.18</v>
      </c>
      <c r="CJ1650">
        <v>0.13</v>
      </c>
      <c r="CK1650">
        <v>0.16</v>
      </c>
      <c r="CL1650">
        <v>-4.95</v>
      </c>
      <c r="CM1650">
        <v>0.62</v>
      </c>
      <c r="CN1650">
        <v>0.22</v>
      </c>
      <c r="CO1650">
        <v>32440</v>
      </c>
      <c r="CP1650">
        <v>9599</v>
      </c>
      <c r="CQ1650" t="s">
        <v>5423</v>
      </c>
      <c r="CR1650">
        <v>187.2</v>
      </c>
      <c r="CS1650">
        <v>51.38</v>
      </c>
      <c r="CT1650">
        <v>3.27</v>
      </c>
      <c r="CU1650">
        <v>48.54</v>
      </c>
      <c r="CV1650">
        <v>2.93</v>
      </c>
      <c r="CW1650">
        <v>0</v>
      </c>
      <c r="CX1650" t="s">
        <v>145</v>
      </c>
      <c r="CY1650">
        <v>2.0499999999999998</v>
      </c>
      <c r="CZ1650">
        <v>0</v>
      </c>
      <c r="DA1650">
        <v>2.2200000000000002</v>
      </c>
      <c r="DB1650">
        <v>-1.1000000000000001</v>
      </c>
      <c r="DC1650">
        <v>0.14000000000000001</v>
      </c>
      <c r="DD1650">
        <v>32.799999999999997</v>
      </c>
      <c r="DE1650" t="s">
        <v>8477</v>
      </c>
      <c r="DF1650">
        <v>12.04</v>
      </c>
      <c r="DG1650">
        <v>2.17</v>
      </c>
      <c r="DH1650">
        <v>1.71</v>
      </c>
      <c r="DI1650">
        <v>0.38</v>
      </c>
      <c r="DJ1650">
        <v>1728</v>
      </c>
      <c r="DK1650">
        <v>300279</v>
      </c>
      <c r="DL1650" t="s">
        <v>120</v>
      </c>
      <c r="DM1650" t="s">
        <v>120</v>
      </c>
      <c r="DN1650" t="s">
        <v>120</v>
      </c>
    </row>
    <row r="1651" spans="1:118">
      <c r="A1651" t="str">
        <f>"300280"</f>
        <v>300280</v>
      </c>
      <c r="B1651" t="s">
        <v>8478</v>
      </c>
      <c r="C1651">
        <v>-4.46</v>
      </c>
      <c r="D1651">
        <v>-0.13</v>
      </c>
      <c r="E1651">
        <v>-0.91</v>
      </c>
      <c r="F1651">
        <v>1266</v>
      </c>
      <c r="G1651" t="s">
        <v>8479</v>
      </c>
      <c r="H1651">
        <v>11375.43</v>
      </c>
      <c r="I1651">
        <v>5.57</v>
      </c>
      <c r="J1651" t="s">
        <v>120</v>
      </c>
      <c r="K1651" t="s">
        <v>8480</v>
      </c>
      <c r="L1651">
        <v>2.4500000000000002</v>
      </c>
      <c r="M1651">
        <v>28.25</v>
      </c>
      <c r="N1651">
        <v>0.66</v>
      </c>
      <c r="O1651">
        <v>1.05</v>
      </c>
      <c r="P1651">
        <v>29.88</v>
      </c>
      <c r="Q1651">
        <v>-4.46</v>
      </c>
      <c r="R1651">
        <v>28.25</v>
      </c>
      <c r="S1651">
        <v>29.3</v>
      </c>
      <c r="T1651">
        <v>39244</v>
      </c>
      <c r="U1651">
        <v>28.25</v>
      </c>
      <c r="V1651">
        <v>29.57</v>
      </c>
      <c r="W1651">
        <v>11.43</v>
      </c>
      <c r="X1651" t="s">
        <v>339</v>
      </c>
      <c r="Y1651" t="s">
        <v>319</v>
      </c>
      <c r="Z1651">
        <v>5.51</v>
      </c>
      <c r="AA1651">
        <v>28.99</v>
      </c>
      <c r="AB1651">
        <v>23499</v>
      </c>
      <c r="AC1651">
        <v>15745</v>
      </c>
      <c r="AD1651">
        <v>1.49</v>
      </c>
      <c r="AE1651">
        <v>5</v>
      </c>
      <c r="AF1651">
        <v>227</v>
      </c>
      <c r="AG1651" t="s">
        <v>120</v>
      </c>
      <c r="AH1651">
        <v>0</v>
      </c>
      <c r="AI1651" t="s">
        <v>120</v>
      </c>
      <c r="AJ1651">
        <v>1.6</v>
      </c>
      <c r="AK1651" t="s">
        <v>8481</v>
      </c>
      <c r="AL1651">
        <v>-2.5499999999999998</v>
      </c>
      <c r="AM1651">
        <v>2292</v>
      </c>
      <c r="AN1651">
        <v>17</v>
      </c>
      <c r="AO1651">
        <v>1.1000000000000001E-3</v>
      </c>
      <c r="AP1651">
        <v>-1</v>
      </c>
      <c r="AQ1651">
        <v>0.17</v>
      </c>
      <c r="AR1651">
        <v>-7.95</v>
      </c>
      <c r="AS1651">
        <v>-3.91</v>
      </c>
      <c r="AT1651">
        <v>-16.100000000000001</v>
      </c>
      <c r="AU1651">
        <v>-44</v>
      </c>
      <c r="AV1651">
        <v>0</v>
      </c>
      <c r="AW1651">
        <v>3.09</v>
      </c>
      <c r="AX1651">
        <v>78.349999999999994</v>
      </c>
      <c r="AY1651">
        <v>10.5</v>
      </c>
      <c r="AZ1651">
        <v>15.9</v>
      </c>
      <c r="BA1651">
        <v>0.55000000000000004</v>
      </c>
      <c r="BB1651" t="s">
        <v>143</v>
      </c>
      <c r="BF1651">
        <v>-1.97</v>
      </c>
      <c r="BG1651">
        <v>-3.58</v>
      </c>
      <c r="BH1651">
        <v>-5.46</v>
      </c>
      <c r="BI1651">
        <v>0</v>
      </c>
      <c r="BJ1651">
        <v>20210827</v>
      </c>
      <c r="BK1651">
        <v>20111229</v>
      </c>
      <c r="BL1651">
        <v>1.62</v>
      </c>
      <c r="BM1651" t="s">
        <v>120</v>
      </c>
      <c r="BN1651" t="s">
        <v>120</v>
      </c>
      <c r="BO1651">
        <v>35.630000000000003</v>
      </c>
      <c r="BP1651">
        <v>28.23</v>
      </c>
      <c r="BQ1651">
        <v>21.03</v>
      </c>
      <c r="BR1651">
        <v>0.01</v>
      </c>
      <c r="BS1651">
        <v>40.97</v>
      </c>
      <c r="BT1651">
        <v>20.21</v>
      </c>
      <c r="BU1651">
        <v>0.03</v>
      </c>
      <c r="BV1651">
        <v>0</v>
      </c>
      <c r="BW1651">
        <v>14.6</v>
      </c>
      <c r="BX1651">
        <v>5.19</v>
      </c>
      <c r="BY1651">
        <v>0</v>
      </c>
      <c r="BZ1651">
        <v>14.73</v>
      </c>
      <c r="CA1651" t="s">
        <v>120</v>
      </c>
      <c r="CB1651">
        <v>11.34</v>
      </c>
      <c r="CC1651">
        <v>9.2899999999999991</v>
      </c>
      <c r="CD1651">
        <v>6.62</v>
      </c>
      <c r="CE1651">
        <v>2.35</v>
      </c>
      <c r="CF1651">
        <v>-0.04</v>
      </c>
      <c r="CG1651">
        <v>2.37</v>
      </c>
      <c r="CH1651">
        <v>2</v>
      </c>
      <c r="CI1651">
        <v>2</v>
      </c>
      <c r="CJ1651">
        <v>-1.32</v>
      </c>
      <c r="CK1651">
        <v>1.99</v>
      </c>
      <c r="CL1651">
        <v>8.09</v>
      </c>
      <c r="CM1651">
        <v>0.13</v>
      </c>
      <c r="CN1651">
        <v>0.32</v>
      </c>
      <c r="CO1651">
        <v>15688</v>
      </c>
      <c r="CP1651">
        <v>8094</v>
      </c>
      <c r="CQ1651" t="s">
        <v>2308</v>
      </c>
      <c r="CR1651">
        <v>344.28</v>
      </c>
      <c r="CS1651">
        <v>79.739999999999995</v>
      </c>
      <c r="CT1651">
        <v>2.1800000000000002</v>
      </c>
      <c r="CU1651">
        <v>360.57</v>
      </c>
      <c r="CV1651">
        <v>4.93</v>
      </c>
      <c r="CW1651">
        <v>0.03</v>
      </c>
      <c r="CX1651" t="s">
        <v>8482</v>
      </c>
      <c r="CY1651">
        <v>12.97</v>
      </c>
      <c r="CZ1651">
        <v>0</v>
      </c>
      <c r="DA1651">
        <v>7</v>
      </c>
      <c r="DB1651">
        <v>4.99</v>
      </c>
      <c r="DC1651">
        <v>0.08</v>
      </c>
      <c r="DD1651">
        <v>59.01</v>
      </c>
      <c r="DE1651" t="s">
        <v>8483</v>
      </c>
      <c r="DF1651">
        <v>28.72</v>
      </c>
      <c r="DG1651">
        <v>25.27</v>
      </c>
      <c r="DH1651">
        <v>21.56</v>
      </c>
      <c r="DI1651">
        <v>0.11</v>
      </c>
      <c r="DJ1651">
        <v>119</v>
      </c>
      <c r="DK1651">
        <v>300280</v>
      </c>
      <c r="DL1651" t="s">
        <v>120</v>
      </c>
      <c r="DM1651" t="s">
        <v>120</v>
      </c>
      <c r="DN1651" t="s">
        <v>120</v>
      </c>
    </row>
    <row r="1652" spans="1:118">
      <c r="A1652" t="str">
        <f>"300281"</f>
        <v>300281</v>
      </c>
      <c r="B1652" t="s">
        <v>8484</v>
      </c>
      <c r="C1652">
        <v>-3</v>
      </c>
      <c r="D1652">
        <v>-1.06</v>
      </c>
      <c r="E1652">
        <v>0</v>
      </c>
      <c r="F1652">
        <v>4304</v>
      </c>
      <c r="G1652" t="s">
        <v>8340</v>
      </c>
      <c r="H1652">
        <v>19361.45</v>
      </c>
      <c r="I1652">
        <v>51.96</v>
      </c>
      <c r="J1652" t="s">
        <v>120</v>
      </c>
      <c r="K1652" t="s">
        <v>2807</v>
      </c>
      <c r="L1652">
        <v>7.11</v>
      </c>
      <c r="M1652">
        <v>6.47</v>
      </c>
      <c r="N1652">
        <v>3.06</v>
      </c>
      <c r="O1652">
        <v>7.95</v>
      </c>
      <c r="P1652">
        <v>7.2</v>
      </c>
      <c r="Q1652">
        <v>-3</v>
      </c>
      <c r="R1652">
        <v>6.47</v>
      </c>
      <c r="S1652">
        <v>6.67</v>
      </c>
      <c r="T1652">
        <v>282537</v>
      </c>
      <c r="U1652">
        <v>6.49</v>
      </c>
      <c r="V1652">
        <v>6.67</v>
      </c>
      <c r="W1652">
        <v>51.91</v>
      </c>
      <c r="X1652" t="s">
        <v>675</v>
      </c>
      <c r="Y1652" t="s">
        <v>547</v>
      </c>
      <c r="Z1652">
        <v>10.94</v>
      </c>
      <c r="AA1652">
        <v>6.85</v>
      </c>
      <c r="AB1652">
        <v>147538</v>
      </c>
      <c r="AC1652">
        <v>134999</v>
      </c>
      <c r="AD1652">
        <v>1.0900000000000001</v>
      </c>
      <c r="AE1652">
        <v>755</v>
      </c>
      <c r="AF1652">
        <v>62</v>
      </c>
      <c r="AG1652" t="s">
        <v>120</v>
      </c>
      <c r="AH1652">
        <v>0.04</v>
      </c>
      <c r="AI1652" t="s">
        <v>120</v>
      </c>
      <c r="AJ1652">
        <v>3.97</v>
      </c>
      <c r="AK1652" t="s">
        <v>3731</v>
      </c>
      <c r="AL1652">
        <v>-1.08</v>
      </c>
      <c r="AM1652">
        <v>2862</v>
      </c>
      <c r="AN1652">
        <v>99</v>
      </c>
      <c r="AO1652">
        <v>2.5000000000000001E-3</v>
      </c>
      <c r="AP1652">
        <v>-1</v>
      </c>
      <c r="AQ1652">
        <v>5.21</v>
      </c>
      <c r="AR1652">
        <v>-0.15</v>
      </c>
      <c r="AS1652">
        <v>3.52</v>
      </c>
      <c r="AT1652">
        <v>14.71</v>
      </c>
      <c r="AU1652">
        <v>6.38</v>
      </c>
      <c r="AV1652">
        <v>0</v>
      </c>
      <c r="AW1652">
        <v>13.78</v>
      </c>
      <c r="AX1652">
        <v>48.94</v>
      </c>
      <c r="AY1652">
        <v>57.61</v>
      </c>
      <c r="AZ1652">
        <v>75.86</v>
      </c>
      <c r="BA1652">
        <v>0.35</v>
      </c>
      <c r="BB1652" t="s">
        <v>143</v>
      </c>
      <c r="BF1652">
        <v>2.74</v>
      </c>
      <c r="BG1652">
        <v>-3</v>
      </c>
      <c r="BH1652">
        <v>-10.14</v>
      </c>
      <c r="BI1652">
        <v>0</v>
      </c>
      <c r="BJ1652">
        <v>20210810</v>
      </c>
      <c r="BK1652">
        <v>20111229</v>
      </c>
      <c r="BL1652">
        <v>4.1900000000000004</v>
      </c>
      <c r="BM1652" t="s">
        <v>120</v>
      </c>
      <c r="BN1652" t="s">
        <v>120</v>
      </c>
      <c r="BO1652">
        <v>14.56</v>
      </c>
      <c r="BP1652">
        <v>6.47</v>
      </c>
      <c r="BQ1652">
        <v>12.73</v>
      </c>
      <c r="BR1652" t="s">
        <v>120</v>
      </c>
      <c r="BS1652">
        <v>12.56</v>
      </c>
      <c r="BT1652">
        <v>8.68</v>
      </c>
      <c r="BU1652">
        <v>4.96</v>
      </c>
      <c r="BV1652">
        <v>0.53</v>
      </c>
      <c r="BW1652">
        <v>1.43</v>
      </c>
      <c r="BX1652">
        <v>2.44</v>
      </c>
      <c r="BY1652">
        <v>2.63</v>
      </c>
      <c r="BZ1652">
        <v>0.09</v>
      </c>
      <c r="CA1652" t="s">
        <v>120</v>
      </c>
      <c r="CB1652">
        <v>4.95</v>
      </c>
      <c r="CC1652">
        <v>2.57</v>
      </c>
      <c r="CD1652">
        <v>2.04</v>
      </c>
      <c r="CE1652">
        <v>0.31</v>
      </c>
      <c r="CF1652">
        <v>0.05</v>
      </c>
      <c r="CG1652">
        <v>0.31</v>
      </c>
      <c r="CH1652">
        <v>0.26</v>
      </c>
      <c r="CI1652">
        <v>0.26</v>
      </c>
      <c r="CJ1652">
        <v>-0.2</v>
      </c>
      <c r="CK1652">
        <v>0.2</v>
      </c>
      <c r="CL1652">
        <v>3.17</v>
      </c>
      <c r="CM1652">
        <v>0.62</v>
      </c>
      <c r="CN1652">
        <v>-0.15</v>
      </c>
      <c r="CO1652">
        <v>15111</v>
      </c>
      <c r="CP1652">
        <v>13568</v>
      </c>
      <c r="CQ1652" t="s">
        <v>3020</v>
      </c>
      <c r="CR1652">
        <v>80.84</v>
      </c>
      <c r="CS1652">
        <v>55.69</v>
      </c>
      <c r="CT1652">
        <v>2.13</v>
      </c>
      <c r="CU1652">
        <v>43.43</v>
      </c>
      <c r="CV1652">
        <v>10.55</v>
      </c>
      <c r="CW1652">
        <v>0.42</v>
      </c>
      <c r="CX1652" t="s">
        <v>1064</v>
      </c>
      <c r="CY1652">
        <v>3.04</v>
      </c>
      <c r="CZ1652">
        <v>0</v>
      </c>
      <c r="DA1652">
        <v>1.18</v>
      </c>
      <c r="DB1652">
        <v>0.76</v>
      </c>
      <c r="DC1652">
        <v>0.15</v>
      </c>
      <c r="DD1652">
        <v>87.44</v>
      </c>
      <c r="DE1652" t="s">
        <v>234</v>
      </c>
      <c r="DF1652">
        <v>20.43</v>
      </c>
      <c r="DG1652">
        <v>12.12</v>
      </c>
      <c r="DH1652">
        <v>10.16</v>
      </c>
      <c r="DI1652">
        <v>0.14000000000000001</v>
      </c>
      <c r="DJ1652">
        <v>520</v>
      </c>
      <c r="DK1652">
        <v>300281</v>
      </c>
      <c r="DL1652" t="s">
        <v>120</v>
      </c>
      <c r="DM1652" t="s">
        <v>120</v>
      </c>
      <c r="DN1652" t="s">
        <v>120</v>
      </c>
    </row>
    <row r="1653" spans="1:118">
      <c r="A1653" t="str">
        <f>"300282"</f>
        <v>300282</v>
      </c>
      <c r="B1653" t="s">
        <v>8485</v>
      </c>
      <c r="C1653">
        <v>-1.79</v>
      </c>
      <c r="D1653">
        <v>0.23</v>
      </c>
      <c r="E1653">
        <v>-0.22</v>
      </c>
      <c r="F1653">
        <v>1121</v>
      </c>
      <c r="G1653" t="s">
        <v>8486</v>
      </c>
      <c r="H1653">
        <v>2902.48</v>
      </c>
      <c r="I1653">
        <v>4.25</v>
      </c>
      <c r="J1653" t="s">
        <v>120</v>
      </c>
      <c r="K1653" t="s">
        <v>791</v>
      </c>
      <c r="L1653">
        <v>1.75</v>
      </c>
      <c r="M1653">
        <v>4.4000000000000004</v>
      </c>
      <c r="N1653">
        <v>0.76</v>
      </c>
      <c r="O1653">
        <v>0.45</v>
      </c>
      <c r="P1653">
        <v>4.5</v>
      </c>
      <c r="Q1653">
        <v>-2.23</v>
      </c>
      <c r="R1653">
        <v>4.38</v>
      </c>
      <c r="S1653">
        <v>4.47</v>
      </c>
      <c r="T1653">
        <v>65456</v>
      </c>
      <c r="U1653">
        <v>4.41</v>
      </c>
      <c r="V1653">
        <v>4.4800000000000004</v>
      </c>
      <c r="W1653" t="s">
        <v>120</v>
      </c>
      <c r="X1653" t="s">
        <v>213</v>
      </c>
      <c r="Y1653" t="s">
        <v>158</v>
      </c>
      <c r="Z1653">
        <v>2.68</v>
      </c>
      <c r="AA1653">
        <v>4.43</v>
      </c>
      <c r="AB1653">
        <v>39955</v>
      </c>
      <c r="AC1653">
        <v>25501</v>
      </c>
      <c r="AD1653">
        <v>1.57</v>
      </c>
      <c r="AE1653">
        <v>62</v>
      </c>
      <c r="AF1653">
        <v>231</v>
      </c>
      <c r="AG1653" t="s">
        <v>120</v>
      </c>
      <c r="AH1653">
        <v>0</v>
      </c>
      <c r="AI1653" t="s">
        <v>120</v>
      </c>
      <c r="AJ1653">
        <v>3.74</v>
      </c>
      <c r="AK1653" t="s">
        <v>228</v>
      </c>
      <c r="AL1653">
        <v>0.13</v>
      </c>
      <c r="AM1653">
        <v>1379</v>
      </c>
      <c r="AN1653">
        <v>47</v>
      </c>
      <c r="AO1653">
        <v>1.2999999999999999E-3</v>
      </c>
      <c r="AP1653">
        <v>-1</v>
      </c>
      <c r="AQ1653">
        <v>1.82</v>
      </c>
      <c r="AR1653">
        <v>-2.65</v>
      </c>
      <c r="AS1653">
        <v>0.69</v>
      </c>
      <c r="AT1653">
        <v>-0.9</v>
      </c>
      <c r="AU1653">
        <v>-5.17</v>
      </c>
      <c r="AV1653">
        <v>1</v>
      </c>
      <c r="AW1653">
        <v>2.41</v>
      </c>
      <c r="AX1653">
        <v>72.61</v>
      </c>
      <c r="AY1653" t="s">
        <v>120</v>
      </c>
      <c r="AZ1653" t="s">
        <v>120</v>
      </c>
      <c r="BA1653">
        <v>0.9</v>
      </c>
      <c r="BB1653" t="s">
        <v>143</v>
      </c>
      <c r="BF1653">
        <v>-1.02</v>
      </c>
      <c r="BG1653">
        <v>-1.57</v>
      </c>
      <c r="BH1653">
        <v>-2.2200000000000002</v>
      </c>
      <c r="BI1653">
        <v>0.46</v>
      </c>
      <c r="BJ1653">
        <v>20210830</v>
      </c>
      <c r="BK1653">
        <v>20111229</v>
      </c>
      <c r="BL1653">
        <v>3.74</v>
      </c>
      <c r="BM1653" t="s">
        <v>120</v>
      </c>
      <c r="BN1653" t="s">
        <v>120</v>
      </c>
      <c r="BO1653">
        <v>20.16</v>
      </c>
      <c r="BP1653">
        <v>4.4000000000000004</v>
      </c>
      <c r="BQ1653">
        <v>17.2</v>
      </c>
      <c r="BR1653">
        <v>0.48</v>
      </c>
      <c r="BS1653">
        <v>12.28</v>
      </c>
      <c r="BT1653">
        <v>14.86</v>
      </c>
      <c r="BU1653">
        <v>0.76</v>
      </c>
      <c r="BV1653">
        <v>1.33</v>
      </c>
      <c r="BW1653">
        <v>1.48</v>
      </c>
      <c r="BX1653">
        <v>11.44</v>
      </c>
      <c r="BY1653">
        <v>0.9</v>
      </c>
      <c r="BZ1653">
        <v>1.38</v>
      </c>
      <c r="CA1653" t="s">
        <v>120</v>
      </c>
      <c r="CB1653">
        <v>18.75</v>
      </c>
      <c r="CC1653">
        <v>1.74</v>
      </c>
      <c r="CD1653">
        <v>1.07</v>
      </c>
      <c r="CE1653">
        <v>-0.23</v>
      </c>
      <c r="CF1653">
        <v>0.01</v>
      </c>
      <c r="CG1653">
        <v>-0.21</v>
      </c>
      <c r="CH1653">
        <v>-0.21</v>
      </c>
      <c r="CI1653">
        <v>-0.26</v>
      </c>
      <c r="CJ1653">
        <v>-0.08</v>
      </c>
      <c r="CK1653">
        <v>-0.28999999999999998</v>
      </c>
      <c r="CL1653">
        <v>-5.37</v>
      </c>
      <c r="CM1653">
        <v>-0.17</v>
      </c>
      <c r="CN1653">
        <v>-0.41</v>
      </c>
      <c r="CO1653">
        <v>15000</v>
      </c>
      <c r="CP1653">
        <v>18118</v>
      </c>
      <c r="CQ1653" t="s">
        <v>1124</v>
      </c>
      <c r="CR1653">
        <v>-147.36000000000001</v>
      </c>
      <c r="CS1653">
        <v>34.79</v>
      </c>
      <c r="CT1653">
        <v>0.96</v>
      </c>
      <c r="CU1653">
        <v>-99.59</v>
      </c>
      <c r="CV1653">
        <v>9.49</v>
      </c>
      <c r="CW1653">
        <v>0</v>
      </c>
      <c r="CX1653" t="s">
        <v>8487</v>
      </c>
      <c r="CY1653">
        <v>4.59</v>
      </c>
      <c r="CZ1653">
        <v>0</v>
      </c>
      <c r="DA1653">
        <v>5.01</v>
      </c>
      <c r="DB1653">
        <v>-1.44</v>
      </c>
      <c r="DC1653">
        <v>-0.04</v>
      </c>
      <c r="DD1653">
        <v>85.31</v>
      </c>
      <c r="DE1653" t="s">
        <v>2318</v>
      </c>
      <c r="DF1653">
        <v>38.1</v>
      </c>
      <c r="DG1653">
        <v>-13.52</v>
      </c>
      <c r="DH1653">
        <v>-14.97</v>
      </c>
      <c r="DI1653">
        <v>0.16</v>
      </c>
      <c r="DJ1653">
        <v>408</v>
      </c>
      <c r="DK1653">
        <v>300282</v>
      </c>
      <c r="DL1653" t="s">
        <v>120</v>
      </c>
      <c r="DM1653" t="s">
        <v>120</v>
      </c>
      <c r="DN1653" t="s">
        <v>120</v>
      </c>
    </row>
    <row r="1654" spans="1:118">
      <c r="A1654" t="str">
        <f>"300283"</f>
        <v>300283</v>
      </c>
      <c r="B1654" t="s">
        <v>8488</v>
      </c>
      <c r="C1654">
        <v>-3.55</v>
      </c>
      <c r="D1654">
        <v>0</v>
      </c>
      <c r="E1654">
        <v>0.39</v>
      </c>
      <c r="F1654">
        <v>1406</v>
      </c>
      <c r="G1654" t="s">
        <v>8489</v>
      </c>
      <c r="H1654">
        <v>13755.26</v>
      </c>
      <c r="I1654">
        <v>62.95</v>
      </c>
      <c r="J1654" t="s">
        <v>120</v>
      </c>
      <c r="K1654" t="s">
        <v>6563</v>
      </c>
      <c r="L1654">
        <v>6.15</v>
      </c>
      <c r="M1654">
        <v>7.33</v>
      </c>
      <c r="N1654">
        <v>0.83</v>
      </c>
      <c r="O1654">
        <v>1.05</v>
      </c>
      <c r="P1654">
        <v>7.68</v>
      </c>
      <c r="Q1654">
        <v>-3.95</v>
      </c>
      <c r="R1654">
        <v>7.3</v>
      </c>
      <c r="S1654">
        <v>7.63</v>
      </c>
      <c r="T1654">
        <v>183689</v>
      </c>
      <c r="U1654">
        <v>7.34</v>
      </c>
      <c r="V1654">
        <v>7.6</v>
      </c>
      <c r="W1654">
        <v>48.64</v>
      </c>
      <c r="X1654" t="s">
        <v>394</v>
      </c>
      <c r="Y1654" t="s">
        <v>585</v>
      </c>
      <c r="Z1654">
        <v>5</v>
      </c>
      <c r="AA1654">
        <v>7.49</v>
      </c>
      <c r="AB1654">
        <v>109132</v>
      </c>
      <c r="AC1654">
        <v>74557</v>
      </c>
      <c r="AD1654">
        <v>1.46</v>
      </c>
      <c r="AE1654">
        <v>754</v>
      </c>
      <c r="AF1654">
        <v>184</v>
      </c>
      <c r="AG1654" t="s">
        <v>120</v>
      </c>
      <c r="AH1654">
        <v>0.03</v>
      </c>
      <c r="AI1654" t="s">
        <v>120</v>
      </c>
      <c r="AJ1654">
        <v>2.99</v>
      </c>
      <c r="AK1654" t="s">
        <v>8490</v>
      </c>
      <c r="AL1654">
        <v>-1.64</v>
      </c>
      <c r="AM1654">
        <v>2771</v>
      </c>
      <c r="AN1654">
        <v>66</v>
      </c>
      <c r="AO1654">
        <v>2.2000000000000001E-3</v>
      </c>
      <c r="AP1654">
        <v>-1</v>
      </c>
      <c r="AQ1654">
        <v>2.84</v>
      </c>
      <c r="AR1654">
        <v>0.27</v>
      </c>
      <c r="AS1654">
        <v>5.17</v>
      </c>
      <c r="AT1654">
        <v>25.94</v>
      </c>
      <c r="AU1654">
        <v>31.13</v>
      </c>
      <c r="AV1654">
        <v>3</v>
      </c>
      <c r="AW1654">
        <v>7.28</v>
      </c>
      <c r="AX1654">
        <v>57.76</v>
      </c>
      <c r="AY1654">
        <v>51.42</v>
      </c>
      <c r="AZ1654">
        <v>95.09</v>
      </c>
      <c r="BA1654">
        <v>1.1200000000000001</v>
      </c>
      <c r="BB1654" t="s">
        <v>168</v>
      </c>
      <c r="BF1654">
        <v>-1.47</v>
      </c>
      <c r="BG1654">
        <v>-3.93</v>
      </c>
      <c r="BH1654">
        <v>-4.5599999999999996</v>
      </c>
      <c r="BI1654">
        <v>0.41</v>
      </c>
      <c r="BJ1654">
        <v>20210728</v>
      </c>
      <c r="BK1654">
        <v>20120110</v>
      </c>
      <c r="BL1654">
        <v>4.37</v>
      </c>
      <c r="BM1654" t="s">
        <v>120</v>
      </c>
      <c r="BN1654" t="s">
        <v>120</v>
      </c>
      <c r="BO1654">
        <v>19.63</v>
      </c>
      <c r="BP1654">
        <v>7.32</v>
      </c>
      <c r="BQ1654">
        <v>7.98</v>
      </c>
      <c r="BR1654">
        <v>0.02</v>
      </c>
      <c r="BS1654">
        <v>59.21</v>
      </c>
      <c r="BT1654">
        <v>11.22</v>
      </c>
      <c r="BU1654">
        <v>5.1100000000000003</v>
      </c>
      <c r="BV1654">
        <v>0.93</v>
      </c>
      <c r="BW1654">
        <v>11.15</v>
      </c>
      <c r="BX1654">
        <v>1.26</v>
      </c>
      <c r="BY1654">
        <v>5.28</v>
      </c>
      <c r="BZ1654">
        <v>3.96</v>
      </c>
      <c r="CA1654" t="s">
        <v>120</v>
      </c>
      <c r="CB1654">
        <v>1.17</v>
      </c>
      <c r="CC1654">
        <v>11.9</v>
      </c>
      <c r="CD1654">
        <v>10.59</v>
      </c>
      <c r="CE1654">
        <v>0.37</v>
      </c>
      <c r="CF1654">
        <v>0.03</v>
      </c>
      <c r="CG1654">
        <v>0.37</v>
      </c>
      <c r="CH1654">
        <v>0.33</v>
      </c>
      <c r="CI1654">
        <v>0.33</v>
      </c>
      <c r="CJ1654">
        <v>-0.27</v>
      </c>
      <c r="CK1654">
        <v>0.28000000000000003</v>
      </c>
      <c r="CL1654">
        <v>2.11</v>
      </c>
      <c r="CM1654">
        <v>-0.34</v>
      </c>
      <c r="CN1654">
        <v>0.05</v>
      </c>
      <c r="CO1654">
        <v>33591</v>
      </c>
      <c r="CP1654">
        <v>7516</v>
      </c>
      <c r="CQ1654" t="s">
        <v>8491</v>
      </c>
      <c r="CR1654">
        <v>907.89</v>
      </c>
      <c r="CS1654">
        <v>80.5</v>
      </c>
      <c r="CT1654">
        <v>4.01</v>
      </c>
      <c r="CU1654">
        <v>-93.68</v>
      </c>
      <c r="CV1654">
        <v>2.69</v>
      </c>
      <c r="CW1654">
        <v>0.26</v>
      </c>
      <c r="CX1654" t="s">
        <v>535</v>
      </c>
      <c r="CY1654">
        <v>1.83</v>
      </c>
      <c r="CZ1654">
        <v>0</v>
      </c>
      <c r="DA1654">
        <v>0.27</v>
      </c>
      <c r="DB1654">
        <v>0.48</v>
      </c>
      <c r="DC1654">
        <v>-0.08</v>
      </c>
      <c r="DD1654">
        <v>40.67</v>
      </c>
      <c r="DE1654" t="s">
        <v>1175</v>
      </c>
      <c r="DF1654">
        <v>10.95</v>
      </c>
      <c r="DG1654">
        <v>3.1</v>
      </c>
      <c r="DH1654">
        <v>2.77</v>
      </c>
      <c r="DI1654">
        <v>0.31</v>
      </c>
      <c r="DJ1654">
        <v>1180</v>
      </c>
      <c r="DK1654">
        <v>300283</v>
      </c>
      <c r="DL1654">
        <v>20210824</v>
      </c>
      <c r="DM1654">
        <v>8.3800000000000008</v>
      </c>
      <c r="DN1654">
        <v>-12.53</v>
      </c>
    </row>
    <row r="1655" spans="1:118">
      <c r="A1655" t="str">
        <f>"300284"</f>
        <v>300284</v>
      </c>
      <c r="B1655" t="s">
        <v>8492</v>
      </c>
      <c r="C1655">
        <v>-1.87</v>
      </c>
      <c r="D1655">
        <v>-0.28000000000000003</v>
      </c>
      <c r="E1655">
        <v>0</v>
      </c>
      <c r="F1655">
        <v>3625</v>
      </c>
      <c r="G1655" t="s">
        <v>8493</v>
      </c>
      <c r="H1655">
        <v>10167</v>
      </c>
      <c r="I1655">
        <v>10.01</v>
      </c>
      <c r="J1655" t="s">
        <v>120</v>
      </c>
      <c r="K1655" t="s">
        <v>8494</v>
      </c>
      <c r="L1655">
        <v>2.27</v>
      </c>
      <c r="M1655">
        <v>6.82</v>
      </c>
      <c r="N1655">
        <v>0.8</v>
      </c>
      <c r="O1655">
        <v>2.0099999999999998</v>
      </c>
      <c r="P1655">
        <v>7.09</v>
      </c>
      <c r="Q1655">
        <v>-1.87</v>
      </c>
      <c r="R1655">
        <v>6.82</v>
      </c>
      <c r="S1655">
        <v>6.95</v>
      </c>
      <c r="T1655">
        <v>145824</v>
      </c>
      <c r="U1655">
        <v>6.83</v>
      </c>
      <c r="V1655">
        <v>6.95</v>
      </c>
      <c r="W1655">
        <v>22.94</v>
      </c>
      <c r="X1655" t="s">
        <v>175</v>
      </c>
      <c r="Y1655" t="s">
        <v>319</v>
      </c>
      <c r="Z1655">
        <v>3.88</v>
      </c>
      <c r="AA1655">
        <v>6.97</v>
      </c>
      <c r="AB1655">
        <v>77858</v>
      </c>
      <c r="AC1655">
        <v>67966</v>
      </c>
      <c r="AD1655">
        <v>1.1499999999999999</v>
      </c>
      <c r="AE1655">
        <v>203</v>
      </c>
      <c r="AF1655">
        <v>136</v>
      </c>
      <c r="AG1655" t="s">
        <v>120</v>
      </c>
      <c r="AH1655">
        <v>0</v>
      </c>
      <c r="AI1655" t="s">
        <v>120</v>
      </c>
      <c r="AJ1655">
        <v>6.44</v>
      </c>
      <c r="AK1655" t="s">
        <v>8495</v>
      </c>
      <c r="AL1655">
        <v>0.04</v>
      </c>
      <c r="AM1655">
        <v>2179</v>
      </c>
      <c r="AN1655">
        <v>67</v>
      </c>
      <c r="AO1655">
        <v>1E-3</v>
      </c>
      <c r="AP1655">
        <v>-1</v>
      </c>
      <c r="AQ1655">
        <v>0.57999999999999996</v>
      </c>
      <c r="AR1655">
        <v>-3.13</v>
      </c>
      <c r="AS1655">
        <v>-6.95</v>
      </c>
      <c r="AT1655">
        <v>13.1</v>
      </c>
      <c r="AU1655">
        <v>16.940000000000001</v>
      </c>
      <c r="AV1655">
        <v>0</v>
      </c>
      <c r="AW1655">
        <v>2.39</v>
      </c>
      <c r="AX1655">
        <v>62.71</v>
      </c>
      <c r="AY1655">
        <v>16</v>
      </c>
      <c r="AZ1655">
        <v>17.39</v>
      </c>
      <c r="BA1655">
        <v>0</v>
      </c>
      <c r="BB1655" t="s">
        <v>143</v>
      </c>
      <c r="BF1655">
        <v>0.32</v>
      </c>
      <c r="BG1655">
        <v>-1.87</v>
      </c>
      <c r="BH1655">
        <v>-3.81</v>
      </c>
      <c r="BI1655">
        <v>0</v>
      </c>
      <c r="BJ1655">
        <v>20210803</v>
      </c>
      <c r="BK1655">
        <v>20120110</v>
      </c>
      <c r="BL1655">
        <v>9.7100000000000009</v>
      </c>
      <c r="BM1655" t="s">
        <v>120</v>
      </c>
      <c r="BN1655" t="s">
        <v>120</v>
      </c>
      <c r="BO1655">
        <v>137.47999999999999</v>
      </c>
      <c r="BP1655">
        <v>6.82</v>
      </c>
      <c r="BQ1655">
        <v>51.1</v>
      </c>
      <c r="BR1655">
        <v>3.49</v>
      </c>
      <c r="BS1655">
        <v>60.3</v>
      </c>
      <c r="BT1655">
        <v>107.13</v>
      </c>
      <c r="BU1655">
        <v>6.21</v>
      </c>
      <c r="BV1655">
        <v>2.14</v>
      </c>
      <c r="BW1655">
        <v>73.180000000000007</v>
      </c>
      <c r="BX1655">
        <v>20.84</v>
      </c>
      <c r="BY1655">
        <v>0.69</v>
      </c>
      <c r="BZ1655">
        <v>51.18</v>
      </c>
      <c r="CA1655">
        <v>0.01</v>
      </c>
      <c r="CB1655">
        <v>10.19</v>
      </c>
      <c r="CC1655">
        <v>19.760000000000002</v>
      </c>
      <c r="CD1655">
        <v>13.69</v>
      </c>
      <c r="CE1655">
        <v>1.84</v>
      </c>
      <c r="CF1655">
        <v>0.04</v>
      </c>
      <c r="CG1655">
        <v>1.82</v>
      </c>
      <c r="CH1655">
        <v>1.47</v>
      </c>
      <c r="CI1655">
        <v>1.44</v>
      </c>
      <c r="CJ1655">
        <v>-0.13</v>
      </c>
      <c r="CK1655">
        <v>1.41</v>
      </c>
      <c r="CL1655">
        <v>29.09</v>
      </c>
      <c r="CM1655">
        <v>-7.69</v>
      </c>
      <c r="CN1655">
        <v>-7.02</v>
      </c>
      <c r="CO1655">
        <v>30048</v>
      </c>
      <c r="CP1655">
        <v>20272</v>
      </c>
      <c r="CQ1655" t="s">
        <v>8496</v>
      </c>
      <c r="CR1655">
        <v>30.23</v>
      </c>
      <c r="CS1655">
        <v>-9.8699999999999992</v>
      </c>
      <c r="CT1655">
        <v>1.3</v>
      </c>
      <c r="CU1655">
        <v>-8.6199999999999992</v>
      </c>
      <c r="CV1655">
        <v>3.35</v>
      </c>
      <c r="CW1655">
        <v>1.7</v>
      </c>
      <c r="CX1655" t="s">
        <v>2275</v>
      </c>
      <c r="CY1655">
        <v>5.26</v>
      </c>
      <c r="CZ1655">
        <v>0</v>
      </c>
      <c r="DA1655">
        <v>1.05</v>
      </c>
      <c r="DB1655">
        <v>2.99</v>
      </c>
      <c r="DC1655">
        <v>-0.79</v>
      </c>
      <c r="DD1655">
        <v>37.17</v>
      </c>
      <c r="DE1655" t="s">
        <v>2379</v>
      </c>
      <c r="DF1655">
        <v>30.75</v>
      </c>
      <c r="DG1655">
        <v>9.33</v>
      </c>
      <c r="DH1655">
        <v>7.31</v>
      </c>
      <c r="DI1655">
        <v>0.77</v>
      </c>
      <c r="DJ1655">
        <v>8037</v>
      </c>
      <c r="DK1655">
        <v>300284</v>
      </c>
      <c r="DL1655">
        <v>20210817</v>
      </c>
      <c r="DM1655">
        <v>7.7</v>
      </c>
      <c r="DN1655">
        <v>-11.43</v>
      </c>
    </row>
    <row r="1656" spans="1:118">
      <c r="A1656" t="str">
        <f>"300285"</f>
        <v>300285</v>
      </c>
      <c r="B1656" t="s">
        <v>8497</v>
      </c>
      <c r="C1656">
        <v>-1.38</v>
      </c>
      <c r="D1656">
        <v>-0.7</v>
      </c>
      <c r="E1656">
        <v>0.02</v>
      </c>
      <c r="F1656">
        <v>2803</v>
      </c>
      <c r="G1656" t="s">
        <v>8498</v>
      </c>
      <c r="H1656">
        <v>19921.62</v>
      </c>
      <c r="I1656">
        <v>56.15</v>
      </c>
      <c r="J1656" t="s">
        <v>120</v>
      </c>
      <c r="K1656" t="s">
        <v>8499</v>
      </c>
      <c r="L1656">
        <v>0.62</v>
      </c>
      <c r="M1656">
        <v>40.71</v>
      </c>
      <c r="N1656">
        <v>1.0900000000000001</v>
      </c>
      <c r="O1656">
        <v>1.72</v>
      </c>
      <c r="P1656">
        <v>41.99</v>
      </c>
      <c r="Q1656">
        <v>-1.67</v>
      </c>
      <c r="R1656">
        <v>40.590000000000003</v>
      </c>
      <c r="S1656">
        <v>41.29</v>
      </c>
      <c r="T1656">
        <v>48591</v>
      </c>
      <c r="U1656">
        <v>40.78</v>
      </c>
      <c r="V1656">
        <v>41.28</v>
      </c>
      <c r="W1656">
        <v>51.81</v>
      </c>
      <c r="X1656" t="s">
        <v>3653</v>
      </c>
      <c r="Y1656" t="s">
        <v>638</v>
      </c>
      <c r="Z1656">
        <v>3.39</v>
      </c>
      <c r="AA1656">
        <v>41</v>
      </c>
      <c r="AB1656">
        <v>25601</v>
      </c>
      <c r="AC1656">
        <v>22990</v>
      </c>
      <c r="AD1656">
        <v>1.1100000000000001</v>
      </c>
      <c r="AE1656">
        <v>49</v>
      </c>
      <c r="AF1656">
        <v>12</v>
      </c>
      <c r="AG1656" t="s">
        <v>120</v>
      </c>
      <c r="AH1656">
        <v>0</v>
      </c>
      <c r="AI1656" t="s">
        <v>120</v>
      </c>
      <c r="AJ1656">
        <v>7.88</v>
      </c>
      <c r="AK1656" t="s">
        <v>8500</v>
      </c>
      <c r="AL1656">
        <v>0.53</v>
      </c>
      <c r="AM1656">
        <v>3154</v>
      </c>
      <c r="AN1656">
        <v>15</v>
      </c>
      <c r="AO1656">
        <v>2.0000000000000001E-4</v>
      </c>
      <c r="AP1656">
        <v>-4</v>
      </c>
      <c r="AQ1656">
        <v>-2.04</v>
      </c>
      <c r="AR1656">
        <v>-5.03</v>
      </c>
      <c r="AS1656">
        <v>-11.36</v>
      </c>
      <c r="AT1656">
        <v>-16.489999999999998</v>
      </c>
      <c r="AU1656">
        <v>-9.56</v>
      </c>
      <c r="AV1656">
        <v>0</v>
      </c>
      <c r="AW1656">
        <v>0.67</v>
      </c>
      <c r="AX1656">
        <v>72.73</v>
      </c>
      <c r="AY1656">
        <v>58.37</v>
      </c>
      <c r="AZ1656">
        <v>72.209999999999994</v>
      </c>
      <c r="BA1656">
        <v>1.36</v>
      </c>
      <c r="BB1656" t="s">
        <v>125</v>
      </c>
      <c r="BF1656">
        <v>-0.68</v>
      </c>
      <c r="BG1656">
        <v>-1.4</v>
      </c>
      <c r="BH1656">
        <v>-3.05</v>
      </c>
      <c r="BI1656">
        <v>0.3</v>
      </c>
      <c r="BJ1656">
        <v>20210728</v>
      </c>
      <c r="BK1656">
        <v>20120113</v>
      </c>
      <c r="BL1656">
        <v>10.039999999999999</v>
      </c>
      <c r="BM1656" t="s">
        <v>120</v>
      </c>
      <c r="BN1656" t="s">
        <v>120</v>
      </c>
      <c r="BO1656">
        <v>63.42</v>
      </c>
      <c r="BP1656">
        <v>40.71</v>
      </c>
      <c r="BQ1656">
        <v>52.89</v>
      </c>
      <c r="BR1656">
        <v>3.79</v>
      </c>
      <c r="BS1656">
        <v>10.62</v>
      </c>
      <c r="BT1656">
        <v>32.57</v>
      </c>
      <c r="BU1656">
        <v>10.79</v>
      </c>
      <c r="BV1656">
        <v>1.32</v>
      </c>
      <c r="BW1656">
        <v>5.43</v>
      </c>
      <c r="BX1656">
        <v>7.41</v>
      </c>
      <c r="BY1656">
        <v>6.18</v>
      </c>
      <c r="BZ1656">
        <v>11.43</v>
      </c>
      <c r="CA1656" t="s">
        <v>120</v>
      </c>
      <c r="CB1656">
        <v>18.97</v>
      </c>
      <c r="CC1656">
        <v>14.73</v>
      </c>
      <c r="CD1656">
        <v>7.9</v>
      </c>
      <c r="CE1656">
        <v>4.6100000000000003</v>
      </c>
      <c r="CF1656">
        <v>0.12</v>
      </c>
      <c r="CG1656">
        <v>4.7300000000000004</v>
      </c>
      <c r="CH1656">
        <v>4.2</v>
      </c>
      <c r="CI1656">
        <v>3.94</v>
      </c>
      <c r="CJ1656">
        <v>-0.56999999999999995</v>
      </c>
      <c r="CK1656">
        <v>3.56</v>
      </c>
      <c r="CL1656">
        <v>22.16</v>
      </c>
      <c r="CM1656">
        <v>1.2</v>
      </c>
      <c r="CN1656">
        <v>-4.68</v>
      </c>
      <c r="CO1656">
        <v>39440</v>
      </c>
      <c r="CP1656">
        <v>18512</v>
      </c>
      <c r="CQ1656" t="s">
        <v>8501</v>
      </c>
      <c r="CR1656">
        <v>52.68</v>
      </c>
      <c r="CS1656">
        <v>36.94</v>
      </c>
      <c r="CT1656">
        <v>7.73</v>
      </c>
      <c r="CU1656">
        <v>341.72</v>
      </c>
      <c r="CV1656">
        <v>27.74</v>
      </c>
      <c r="CW1656">
        <v>0.24</v>
      </c>
      <c r="CX1656" t="s">
        <v>1980</v>
      </c>
      <c r="CY1656">
        <v>5.27</v>
      </c>
      <c r="CZ1656">
        <v>0</v>
      </c>
      <c r="DA1656">
        <v>1.89</v>
      </c>
      <c r="DB1656">
        <v>2.21</v>
      </c>
      <c r="DC1656">
        <v>0.12</v>
      </c>
      <c r="DD1656">
        <v>83.4</v>
      </c>
      <c r="DE1656" t="s">
        <v>8502</v>
      </c>
      <c r="DF1656">
        <v>46.39</v>
      </c>
      <c r="DG1656">
        <v>31.26</v>
      </c>
      <c r="DH1656">
        <v>26.77</v>
      </c>
      <c r="DI1656">
        <v>0.93</v>
      </c>
      <c r="DJ1656">
        <v>3009</v>
      </c>
      <c r="DK1656">
        <v>300285</v>
      </c>
      <c r="DL1656" t="s">
        <v>120</v>
      </c>
      <c r="DM1656" t="s">
        <v>120</v>
      </c>
      <c r="DN1656" t="s">
        <v>120</v>
      </c>
    </row>
    <row r="1657" spans="1:118">
      <c r="A1657" t="str">
        <f>"300286"</f>
        <v>300286</v>
      </c>
      <c r="B1657" t="s">
        <v>8503</v>
      </c>
      <c r="C1657">
        <v>-6</v>
      </c>
      <c r="D1657">
        <v>0.06</v>
      </c>
      <c r="E1657">
        <v>0.56000000000000005</v>
      </c>
      <c r="F1657">
        <v>571</v>
      </c>
      <c r="G1657" t="s">
        <v>8504</v>
      </c>
      <c r="H1657">
        <v>8521.98</v>
      </c>
      <c r="I1657">
        <v>16.649999999999999</v>
      </c>
      <c r="J1657" t="s">
        <v>120</v>
      </c>
      <c r="K1657" t="s">
        <v>8505</v>
      </c>
      <c r="L1657">
        <v>2.83</v>
      </c>
      <c r="M1657">
        <v>16.920000000000002</v>
      </c>
      <c r="N1657">
        <v>1.35</v>
      </c>
      <c r="O1657">
        <v>0.56000000000000005</v>
      </c>
      <c r="P1657">
        <v>18.100000000000001</v>
      </c>
      <c r="Q1657">
        <v>-6.22</v>
      </c>
      <c r="R1657">
        <v>16.88</v>
      </c>
      <c r="S1657">
        <v>18.100000000000001</v>
      </c>
      <c r="T1657">
        <v>49111</v>
      </c>
      <c r="U1657">
        <v>16.93</v>
      </c>
      <c r="V1657">
        <v>18</v>
      </c>
      <c r="W1657">
        <v>19.48</v>
      </c>
      <c r="X1657" t="s">
        <v>2717</v>
      </c>
      <c r="Y1657" t="s">
        <v>1510</v>
      </c>
      <c r="Z1657">
        <v>6.78</v>
      </c>
      <c r="AA1657">
        <v>17.350000000000001</v>
      </c>
      <c r="AB1657">
        <v>27860</v>
      </c>
      <c r="AC1657">
        <v>21251</v>
      </c>
      <c r="AD1657">
        <v>1.31</v>
      </c>
      <c r="AE1657">
        <v>1641</v>
      </c>
      <c r="AF1657">
        <v>31</v>
      </c>
      <c r="AG1657" t="s">
        <v>120</v>
      </c>
      <c r="AH1657">
        <v>0.01</v>
      </c>
      <c r="AI1657" t="s">
        <v>120</v>
      </c>
      <c r="AJ1657">
        <v>1.73</v>
      </c>
      <c r="AK1657" t="s">
        <v>8506</v>
      </c>
      <c r="AL1657">
        <v>-4.09</v>
      </c>
      <c r="AM1657">
        <v>2114</v>
      </c>
      <c r="AN1657">
        <v>23</v>
      </c>
      <c r="AO1657">
        <v>1.2999999999999999E-3</v>
      </c>
      <c r="AP1657">
        <v>-3</v>
      </c>
      <c r="AQ1657">
        <v>-1.04</v>
      </c>
      <c r="AR1657">
        <v>-8.44</v>
      </c>
      <c r="AS1657">
        <v>-9.0399999999999991</v>
      </c>
      <c r="AT1657">
        <v>8.6</v>
      </c>
      <c r="AU1657">
        <v>10.66</v>
      </c>
      <c r="AV1657">
        <v>2</v>
      </c>
      <c r="AW1657">
        <v>5.16</v>
      </c>
      <c r="AX1657">
        <v>44.34</v>
      </c>
      <c r="AY1657">
        <v>26.22</v>
      </c>
      <c r="AZ1657">
        <v>31.84</v>
      </c>
      <c r="BA1657">
        <v>1.1200000000000001</v>
      </c>
      <c r="BB1657" t="s">
        <v>134</v>
      </c>
      <c r="BF1657">
        <v>-3.6</v>
      </c>
      <c r="BG1657">
        <v>-6.52</v>
      </c>
      <c r="BH1657">
        <v>-6.52</v>
      </c>
      <c r="BI1657">
        <v>0.24</v>
      </c>
      <c r="BJ1657">
        <v>20210902</v>
      </c>
      <c r="BK1657">
        <v>20120113</v>
      </c>
      <c r="BL1657">
        <v>2.15</v>
      </c>
      <c r="BM1657" t="s">
        <v>120</v>
      </c>
      <c r="BN1657" t="s">
        <v>120</v>
      </c>
      <c r="BO1657">
        <v>12.9</v>
      </c>
      <c r="BP1657">
        <v>16.920000000000002</v>
      </c>
      <c r="BQ1657">
        <v>8.4700000000000006</v>
      </c>
      <c r="BR1657" t="s">
        <v>120</v>
      </c>
      <c r="BS1657">
        <v>34.31</v>
      </c>
      <c r="BT1657">
        <v>9.4700000000000006</v>
      </c>
      <c r="BU1657">
        <v>1.9</v>
      </c>
      <c r="BV1657">
        <v>0.33</v>
      </c>
      <c r="BW1657">
        <v>4.43</v>
      </c>
      <c r="BX1657">
        <v>0.62</v>
      </c>
      <c r="BY1657">
        <v>2.72</v>
      </c>
      <c r="BZ1657">
        <v>1.1499999999999999</v>
      </c>
      <c r="CA1657" t="s">
        <v>120</v>
      </c>
      <c r="CB1657">
        <v>1.05</v>
      </c>
      <c r="CC1657">
        <v>4.7300000000000004</v>
      </c>
      <c r="CD1657">
        <v>2.5299999999999998</v>
      </c>
      <c r="CE1657">
        <v>1.04</v>
      </c>
      <c r="CF1657">
        <v>0.04</v>
      </c>
      <c r="CG1657">
        <v>1.04</v>
      </c>
      <c r="CH1657">
        <v>0.93</v>
      </c>
      <c r="CI1657">
        <v>0.93</v>
      </c>
      <c r="CJ1657">
        <v>-1.08</v>
      </c>
      <c r="CK1657">
        <v>0.86</v>
      </c>
      <c r="CL1657">
        <v>5.46</v>
      </c>
      <c r="CM1657">
        <v>0.93</v>
      </c>
      <c r="CN1657">
        <v>0.32</v>
      </c>
      <c r="CO1657">
        <v>13277</v>
      </c>
      <c r="CP1657">
        <v>7173</v>
      </c>
      <c r="CQ1657" t="s">
        <v>8507</v>
      </c>
      <c r="CR1657">
        <v>38.64</v>
      </c>
      <c r="CS1657">
        <v>52.18</v>
      </c>
      <c r="CT1657">
        <v>4.29</v>
      </c>
      <c r="CU1657">
        <v>39.22</v>
      </c>
      <c r="CV1657">
        <v>7.69</v>
      </c>
      <c r="CW1657">
        <v>1.1100000000000001</v>
      </c>
      <c r="CX1657" t="s">
        <v>1631</v>
      </c>
      <c r="CY1657">
        <v>3.95</v>
      </c>
      <c r="CZ1657">
        <v>0</v>
      </c>
      <c r="DA1657">
        <v>0.49</v>
      </c>
      <c r="DB1657">
        <v>2.54</v>
      </c>
      <c r="DC1657">
        <v>0.43</v>
      </c>
      <c r="DD1657">
        <v>65.69</v>
      </c>
      <c r="DE1657" t="s">
        <v>1575</v>
      </c>
      <c r="DF1657">
        <v>46.43</v>
      </c>
      <c r="DG1657">
        <v>21.99</v>
      </c>
      <c r="DH1657">
        <v>19.73</v>
      </c>
      <c r="DI1657">
        <v>0.4</v>
      </c>
      <c r="DJ1657">
        <v>988</v>
      </c>
      <c r="DK1657">
        <v>300286</v>
      </c>
      <c r="DL1657" t="s">
        <v>120</v>
      </c>
      <c r="DM1657" t="s">
        <v>120</v>
      </c>
      <c r="DN1657" t="s">
        <v>120</v>
      </c>
    </row>
    <row r="1658" spans="1:118">
      <c r="A1658" t="str">
        <f>"300287"</f>
        <v>300287</v>
      </c>
      <c r="B1658" t="s">
        <v>8508</v>
      </c>
      <c r="C1658">
        <v>-3.67</v>
      </c>
      <c r="D1658">
        <v>-0.2</v>
      </c>
      <c r="E1658">
        <v>0.2</v>
      </c>
      <c r="F1658">
        <v>6817</v>
      </c>
      <c r="G1658" t="s">
        <v>8509</v>
      </c>
      <c r="H1658">
        <v>26874.73</v>
      </c>
      <c r="I1658">
        <v>85.24</v>
      </c>
      <c r="J1658" t="s">
        <v>120</v>
      </c>
      <c r="K1658" t="s">
        <v>8510</v>
      </c>
      <c r="L1658">
        <v>4.67</v>
      </c>
      <c r="M1658">
        <v>4.72</v>
      </c>
      <c r="N1658">
        <v>0.97</v>
      </c>
      <c r="O1658">
        <v>1.02</v>
      </c>
      <c r="P1658">
        <v>4.95</v>
      </c>
      <c r="Q1658">
        <v>-3.67</v>
      </c>
      <c r="R1658">
        <v>4.72</v>
      </c>
      <c r="S1658">
        <v>4.91</v>
      </c>
      <c r="T1658">
        <v>556091</v>
      </c>
      <c r="U1658">
        <v>4.7300000000000004</v>
      </c>
      <c r="V1658">
        <v>4.9000000000000004</v>
      </c>
      <c r="W1658">
        <v>70.92</v>
      </c>
      <c r="X1658" t="s">
        <v>141</v>
      </c>
      <c r="Y1658" t="s">
        <v>158</v>
      </c>
      <c r="Z1658">
        <v>4.6900000000000004</v>
      </c>
      <c r="AA1658">
        <v>4.83</v>
      </c>
      <c r="AB1658">
        <v>363654</v>
      </c>
      <c r="AC1658">
        <v>192437</v>
      </c>
      <c r="AD1658">
        <v>1.89</v>
      </c>
      <c r="AE1658">
        <v>1374</v>
      </c>
      <c r="AF1658">
        <v>4640</v>
      </c>
      <c r="AG1658" t="s">
        <v>120</v>
      </c>
      <c r="AH1658">
        <v>0.02</v>
      </c>
      <c r="AI1658" t="s">
        <v>120</v>
      </c>
      <c r="AJ1658">
        <v>11.92</v>
      </c>
      <c r="AK1658" t="s">
        <v>8511</v>
      </c>
      <c r="AL1658">
        <v>-1.76</v>
      </c>
      <c r="AM1658">
        <v>3647</v>
      </c>
      <c r="AN1658">
        <v>152</v>
      </c>
      <c r="AO1658">
        <v>1.2999999999999999E-3</v>
      </c>
      <c r="AP1658">
        <v>-2</v>
      </c>
      <c r="AQ1658">
        <v>-1.61</v>
      </c>
      <c r="AR1658">
        <v>-4.46</v>
      </c>
      <c r="AS1658">
        <v>-4.45</v>
      </c>
      <c r="AT1658">
        <v>-26.37</v>
      </c>
      <c r="AU1658">
        <v>12.65</v>
      </c>
      <c r="AV1658">
        <v>2</v>
      </c>
      <c r="AW1658">
        <v>5.12</v>
      </c>
      <c r="AX1658">
        <v>75.61</v>
      </c>
      <c r="AY1658" t="s">
        <v>120</v>
      </c>
      <c r="AZ1658" t="s">
        <v>120</v>
      </c>
      <c r="BA1658">
        <v>0.66</v>
      </c>
      <c r="BB1658" t="s">
        <v>134</v>
      </c>
      <c r="BF1658">
        <v>-1.37</v>
      </c>
      <c r="BG1658">
        <v>-3.87</v>
      </c>
      <c r="BH1658">
        <v>-4.6500000000000004</v>
      </c>
      <c r="BI1658">
        <v>0</v>
      </c>
      <c r="BJ1658">
        <v>20210909</v>
      </c>
      <c r="BK1658">
        <v>20120201</v>
      </c>
      <c r="BL1658">
        <v>14.35</v>
      </c>
      <c r="BM1658" t="s">
        <v>120</v>
      </c>
      <c r="BN1658" t="s">
        <v>120</v>
      </c>
      <c r="BO1658">
        <v>35.47</v>
      </c>
      <c r="BP1658">
        <v>4.72</v>
      </c>
      <c r="BQ1658">
        <v>24.43</v>
      </c>
      <c r="BR1658">
        <v>0.05</v>
      </c>
      <c r="BS1658">
        <v>30.98</v>
      </c>
      <c r="BT1658">
        <v>20.36</v>
      </c>
      <c r="BU1658">
        <v>5.35</v>
      </c>
      <c r="BV1658">
        <v>1.17</v>
      </c>
      <c r="BW1658">
        <v>10.029999999999999</v>
      </c>
      <c r="BX1658">
        <v>1.46</v>
      </c>
      <c r="BY1658">
        <v>3.92</v>
      </c>
      <c r="BZ1658">
        <v>12.25</v>
      </c>
      <c r="CA1658">
        <v>0.03</v>
      </c>
      <c r="CB1658">
        <v>33.11</v>
      </c>
      <c r="CC1658">
        <v>8.48</v>
      </c>
      <c r="CD1658">
        <v>6.36</v>
      </c>
      <c r="CE1658">
        <v>0.43</v>
      </c>
      <c r="CF1658">
        <v>0.18</v>
      </c>
      <c r="CG1658">
        <v>0.43</v>
      </c>
      <c r="CH1658">
        <v>0.45</v>
      </c>
      <c r="CI1658">
        <v>0.48</v>
      </c>
      <c r="CJ1658">
        <v>-0.18</v>
      </c>
      <c r="CK1658">
        <v>0.28999999999999998</v>
      </c>
      <c r="CL1658">
        <v>-23.05</v>
      </c>
      <c r="CM1658">
        <v>-0.1</v>
      </c>
      <c r="CN1658">
        <v>-0.77</v>
      </c>
      <c r="CO1658">
        <v>107536</v>
      </c>
      <c r="CP1658">
        <v>10091</v>
      </c>
      <c r="CQ1658" t="s">
        <v>5747</v>
      </c>
      <c r="CR1658">
        <v>172.49</v>
      </c>
      <c r="CS1658">
        <v>57.65</v>
      </c>
      <c r="CT1658">
        <v>2.77</v>
      </c>
      <c r="CU1658">
        <v>-660.24</v>
      </c>
      <c r="CV1658">
        <v>7.99</v>
      </c>
      <c r="CW1658">
        <v>0</v>
      </c>
      <c r="CX1658" t="s">
        <v>2074</v>
      </c>
      <c r="CY1658">
        <v>1.7</v>
      </c>
      <c r="CZ1658">
        <v>0</v>
      </c>
      <c r="DA1658">
        <v>2.31</v>
      </c>
      <c r="DB1658">
        <v>-1.61</v>
      </c>
      <c r="DC1658">
        <v>-0.01</v>
      </c>
      <c r="DD1658">
        <v>68.87</v>
      </c>
      <c r="DE1658" t="s">
        <v>1768</v>
      </c>
      <c r="DF1658">
        <v>25</v>
      </c>
      <c r="DG1658">
        <v>5.05</v>
      </c>
      <c r="DH1658">
        <v>5.63</v>
      </c>
      <c r="DI1658">
        <v>0.41</v>
      </c>
      <c r="DJ1658">
        <v>1243</v>
      </c>
      <c r="DK1658">
        <v>300287</v>
      </c>
      <c r="DL1658" t="s">
        <v>120</v>
      </c>
      <c r="DM1658" t="s">
        <v>120</v>
      </c>
      <c r="DN1658" t="s">
        <v>120</v>
      </c>
    </row>
    <row r="1659" spans="1:118">
      <c r="A1659" t="str">
        <f>"300288"</f>
        <v>300288</v>
      </c>
      <c r="B1659" t="s">
        <v>8512</v>
      </c>
      <c r="C1659">
        <v>-0.67</v>
      </c>
      <c r="D1659">
        <v>-0.24</v>
      </c>
      <c r="E1659">
        <v>0.33</v>
      </c>
      <c r="F1659">
        <v>2073</v>
      </c>
      <c r="G1659" t="s">
        <v>8513</v>
      </c>
      <c r="H1659">
        <v>26152.959999999999</v>
      </c>
      <c r="I1659">
        <v>1093.6600000000001</v>
      </c>
      <c r="J1659" t="s">
        <v>120</v>
      </c>
      <c r="K1659" t="s">
        <v>5620</v>
      </c>
      <c r="L1659">
        <v>8.6199999999999992</v>
      </c>
      <c r="M1659">
        <v>11.95</v>
      </c>
      <c r="N1659">
        <v>1.5</v>
      </c>
      <c r="O1659">
        <v>5.32</v>
      </c>
      <c r="P1659">
        <v>12.67</v>
      </c>
      <c r="Q1659">
        <v>-0.67</v>
      </c>
      <c r="R1659">
        <v>11.95</v>
      </c>
      <c r="S1659">
        <v>12.07</v>
      </c>
      <c r="T1659">
        <v>214102</v>
      </c>
      <c r="U1659">
        <v>11.95</v>
      </c>
      <c r="V1659">
        <v>12.03</v>
      </c>
      <c r="W1659">
        <v>49.9</v>
      </c>
      <c r="X1659" t="s">
        <v>141</v>
      </c>
      <c r="Y1659" t="s">
        <v>1021</v>
      </c>
      <c r="Z1659">
        <v>5.99</v>
      </c>
      <c r="AA1659">
        <v>12.22</v>
      </c>
      <c r="AB1659">
        <v>107075</v>
      </c>
      <c r="AC1659">
        <v>107027</v>
      </c>
      <c r="AD1659">
        <v>1</v>
      </c>
      <c r="AE1659">
        <v>100</v>
      </c>
      <c r="AF1659">
        <v>140</v>
      </c>
      <c r="AG1659" t="s">
        <v>120</v>
      </c>
      <c r="AH1659">
        <v>0.48</v>
      </c>
      <c r="AI1659" t="s">
        <v>120</v>
      </c>
      <c r="AJ1659">
        <v>2.48</v>
      </c>
      <c r="AK1659" t="s">
        <v>8514</v>
      </c>
      <c r="AL1659">
        <v>1.25</v>
      </c>
      <c r="AM1659">
        <v>3394</v>
      </c>
      <c r="AN1659">
        <v>63</v>
      </c>
      <c r="AO1659">
        <v>2.5000000000000001E-3</v>
      </c>
      <c r="AP1659">
        <v>-1</v>
      </c>
      <c r="AQ1659">
        <v>11.7</v>
      </c>
      <c r="AR1659">
        <v>7.17</v>
      </c>
      <c r="AS1659">
        <v>16.47</v>
      </c>
      <c r="AT1659">
        <v>9.83</v>
      </c>
      <c r="AU1659">
        <v>5.42</v>
      </c>
      <c r="AV1659">
        <v>1</v>
      </c>
      <c r="AW1659">
        <v>11.26</v>
      </c>
      <c r="AX1659">
        <v>56.26</v>
      </c>
      <c r="AY1659">
        <v>57.89</v>
      </c>
      <c r="AZ1659">
        <v>88.84</v>
      </c>
      <c r="BA1659">
        <v>0.82</v>
      </c>
      <c r="BB1659" t="s">
        <v>751</v>
      </c>
      <c r="BF1659">
        <v>1.54</v>
      </c>
      <c r="BG1659">
        <v>-0.99</v>
      </c>
      <c r="BH1659">
        <v>-5.68</v>
      </c>
      <c r="BI1659">
        <v>0</v>
      </c>
      <c r="BJ1659">
        <v>20210901</v>
      </c>
      <c r="BK1659">
        <v>20120216</v>
      </c>
      <c r="BL1659">
        <v>3.38</v>
      </c>
      <c r="BM1659" t="s">
        <v>120</v>
      </c>
      <c r="BN1659" t="s">
        <v>120</v>
      </c>
      <c r="BO1659">
        <v>19.25</v>
      </c>
      <c r="BP1659">
        <v>11.93</v>
      </c>
      <c r="BQ1659">
        <v>14.47</v>
      </c>
      <c r="BR1659">
        <v>0.39</v>
      </c>
      <c r="BS1659">
        <v>22.82</v>
      </c>
      <c r="BT1659">
        <v>5.54</v>
      </c>
      <c r="BU1659">
        <v>1.42</v>
      </c>
      <c r="BV1659">
        <v>0.53</v>
      </c>
      <c r="BW1659">
        <v>3.1</v>
      </c>
      <c r="BX1659">
        <v>4.24</v>
      </c>
      <c r="BY1659">
        <v>7.0000000000000007E-2</v>
      </c>
      <c r="BZ1659">
        <v>0.72</v>
      </c>
      <c r="CA1659" t="s">
        <v>120</v>
      </c>
      <c r="CB1659">
        <v>3.92</v>
      </c>
      <c r="CC1659">
        <v>2.0299999999999998</v>
      </c>
      <c r="CD1659">
        <v>1.03</v>
      </c>
      <c r="CE1659">
        <v>0.48</v>
      </c>
      <c r="CF1659">
        <v>0.06</v>
      </c>
      <c r="CG1659">
        <v>0.48</v>
      </c>
      <c r="CH1659">
        <v>0.39</v>
      </c>
      <c r="CI1659">
        <v>0.4</v>
      </c>
      <c r="CJ1659">
        <v>-0.08</v>
      </c>
      <c r="CK1659">
        <v>0.37</v>
      </c>
      <c r="CL1659">
        <v>6.46</v>
      </c>
      <c r="CM1659">
        <v>0.31</v>
      </c>
      <c r="CN1659">
        <v>0.02</v>
      </c>
      <c r="CO1659">
        <v>30518</v>
      </c>
      <c r="CP1659">
        <v>6230</v>
      </c>
      <c r="CQ1659" t="s">
        <v>6671</v>
      </c>
      <c r="CR1659">
        <v>152.96</v>
      </c>
      <c r="CS1659">
        <v>9.8699999999999992</v>
      </c>
      <c r="CT1659">
        <v>2.79</v>
      </c>
      <c r="CU1659">
        <v>128.55000000000001</v>
      </c>
      <c r="CV1659">
        <v>19.940000000000001</v>
      </c>
      <c r="CW1659">
        <v>0.12</v>
      </c>
      <c r="CX1659" t="s">
        <v>850</v>
      </c>
      <c r="CY1659">
        <v>4.28</v>
      </c>
      <c r="CZ1659">
        <v>0</v>
      </c>
      <c r="DA1659">
        <v>1.1599999999999999</v>
      </c>
      <c r="DB1659">
        <v>1.91</v>
      </c>
      <c r="DC1659">
        <v>0.09</v>
      </c>
      <c r="DD1659">
        <v>75.17</v>
      </c>
      <c r="DE1659" t="s">
        <v>2028</v>
      </c>
      <c r="DF1659">
        <v>49.31</v>
      </c>
      <c r="DG1659">
        <v>23.95</v>
      </c>
      <c r="DH1659">
        <v>19.98</v>
      </c>
      <c r="DI1659">
        <v>0.16</v>
      </c>
      <c r="DJ1659">
        <v>1083</v>
      </c>
      <c r="DK1659">
        <v>300288</v>
      </c>
      <c r="DL1659" t="s">
        <v>120</v>
      </c>
      <c r="DM1659" t="s">
        <v>120</v>
      </c>
      <c r="DN1659" t="s">
        <v>120</v>
      </c>
    </row>
    <row r="1660" spans="1:118">
      <c r="A1660" t="str">
        <f>"300289"</f>
        <v>300289</v>
      </c>
      <c r="B1660" t="s">
        <v>8515</v>
      </c>
      <c r="C1660">
        <v>-3.84</v>
      </c>
      <c r="D1660">
        <v>0</v>
      </c>
      <c r="E1660">
        <v>-0.4</v>
      </c>
      <c r="F1660">
        <v>1631</v>
      </c>
      <c r="G1660" t="s">
        <v>936</v>
      </c>
      <c r="H1660">
        <v>10678.05</v>
      </c>
      <c r="I1660">
        <v>50.75</v>
      </c>
      <c r="J1660" t="s">
        <v>120</v>
      </c>
      <c r="K1660" t="s">
        <v>8516</v>
      </c>
      <c r="L1660">
        <v>3.45</v>
      </c>
      <c r="M1660">
        <v>7.27</v>
      </c>
      <c r="N1660">
        <v>0.7</v>
      </c>
      <c r="O1660">
        <v>0.4</v>
      </c>
      <c r="P1660">
        <v>7.59</v>
      </c>
      <c r="Q1660">
        <v>-3.97</v>
      </c>
      <c r="R1660">
        <v>7.26</v>
      </c>
      <c r="S1660">
        <v>7.53</v>
      </c>
      <c r="T1660">
        <v>143924</v>
      </c>
      <c r="U1660">
        <v>7.27</v>
      </c>
      <c r="V1660">
        <v>7.56</v>
      </c>
      <c r="W1660">
        <v>146.66</v>
      </c>
      <c r="X1660" t="s">
        <v>666</v>
      </c>
      <c r="Y1660" t="s">
        <v>158</v>
      </c>
      <c r="Z1660">
        <v>4.37</v>
      </c>
      <c r="AA1660">
        <v>7.42</v>
      </c>
      <c r="AB1660">
        <v>92370</v>
      </c>
      <c r="AC1660">
        <v>51554</v>
      </c>
      <c r="AD1660">
        <v>1.79</v>
      </c>
      <c r="AE1660">
        <v>1412</v>
      </c>
      <c r="AF1660">
        <v>71</v>
      </c>
      <c r="AG1660" t="s">
        <v>120</v>
      </c>
      <c r="AH1660">
        <v>0.02</v>
      </c>
      <c r="AI1660" t="s">
        <v>120</v>
      </c>
      <c r="AJ1660">
        <v>4.17</v>
      </c>
      <c r="AK1660" t="s">
        <v>3642</v>
      </c>
      <c r="AL1660">
        <v>-1.92</v>
      </c>
      <c r="AM1660">
        <v>2534</v>
      </c>
      <c r="AN1660">
        <v>57</v>
      </c>
      <c r="AO1660">
        <v>1.4E-3</v>
      </c>
      <c r="AP1660">
        <v>-2</v>
      </c>
      <c r="AQ1660">
        <v>-2.83</v>
      </c>
      <c r="AR1660">
        <v>-4.8499999999999996</v>
      </c>
      <c r="AS1660">
        <v>2.11</v>
      </c>
      <c r="AT1660">
        <v>17.260000000000002</v>
      </c>
      <c r="AU1660">
        <v>23.43</v>
      </c>
      <c r="AV1660">
        <v>1</v>
      </c>
      <c r="AW1660">
        <v>5.33</v>
      </c>
      <c r="AX1660">
        <v>49.37</v>
      </c>
      <c r="AY1660" t="s">
        <v>120</v>
      </c>
      <c r="AZ1660" t="s">
        <v>120</v>
      </c>
      <c r="BA1660">
        <v>0.26</v>
      </c>
      <c r="BB1660" t="s">
        <v>143</v>
      </c>
      <c r="BF1660">
        <v>-1.86</v>
      </c>
      <c r="BG1660">
        <v>-3.45</v>
      </c>
      <c r="BH1660">
        <v>-4.22</v>
      </c>
      <c r="BI1660">
        <v>0.14000000000000001</v>
      </c>
      <c r="BJ1660">
        <v>20210903</v>
      </c>
      <c r="BK1660">
        <v>20120216</v>
      </c>
      <c r="BL1660">
        <v>5.47</v>
      </c>
      <c r="BM1660" t="s">
        <v>120</v>
      </c>
      <c r="BN1660" t="s">
        <v>120</v>
      </c>
      <c r="BO1660">
        <v>16.079999999999998</v>
      </c>
      <c r="BP1660">
        <v>7.26</v>
      </c>
      <c r="BQ1660">
        <v>12.75</v>
      </c>
      <c r="BR1660">
        <v>1.3</v>
      </c>
      <c r="BS1660">
        <v>12.62</v>
      </c>
      <c r="BT1660">
        <v>6.59</v>
      </c>
      <c r="BU1660">
        <v>5.63</v>
      </c>
      <c r="BV1660">
        <v>0.44</v>
      </c>
      <c r="BW1660">
        <v>1.04</v>
      </c>
      <c r="BX1660">
        <v>3.3</v>
      </c>
      <c r="BY1660">
        <v>0.88</v>
      </c>
      <c r="BZ1660">
        <v>2.1800000000000002</v>
      </c>
      <c r="CA1660">
        <v>0.01</v>
      </c>
      <c r="CB1660">
        <v>2.4300000000000002</v>
      </c>
      <c r="CC1660">
        <v>2.46</v>
      </c>
      <c r="CD1660">
        <v>1.1100000000000001</v>
      </c>
      <c r="CE1660">
        <v>0.31</v>
      </c>
      <c r="CF1660">
        <v>0</v>
      </c>
      <c r="CG1660">
        <v>0.31</v>
      </c>
      <c r="CH1660">
        <v>0.25</v>
      </c>
      <c r="CI1660">
        <v>0.14000000000000001</v>
      </c>
      <c r="CJ1660">
        <v>-0.28999999999999998</v>
      </c>
      <c r="CK1660">
        <v>0.11</v>
      </c>
      <c r="CL1660">
        <v>5.61</v>
      </c>
      <c r="CM1660">
        <v>0.41</v>
      </c>
      <c r="CN1660">
        <v>-0.23</v>
      </c>
      <c r="CO1660">
        <v>25192</v>
      </c>
      <c r="CP1660">
        <v>10725</v>
      </c>
      <c r="CQ1660" t="s">
        <v>8517</v>
      </c>
      <c r="CR1660">
        <v>327.68</v>
      </c>
      <c r="CS1660">
        <v>39.39</v>
      </c>
      <c r="CT1660">
        <v>2.4</v>
      </c>
      <c r="CU1660">
        <v>97.26</v>
      </c>
      <c r="CV1660">
        <v>16.21</v>
      </c>
      <c r="CW1660">
        <v>0</v>
      </c>
      <c r="CX1660" t="s">
        <v>2074</v>
      </c>
      <c r="CY1660">
        <v>3.03</v>
      </c>
      <c r="CZ1660">
        <v>3.03</v>
      </c>
      <c r="DA1660">
        <v>0.44</v>
      </c>
      <c r="DB1660">
        <v>1.03</v>
      </c>
      <c r="DC1660">
        <v>7.0000000000000007E-2</v>
      </c>
      <c r="DD1660">
        <v>79.31</v>
      </c>
      <c r="DE1660" t="s">
        <v>4331</v>
      </c>
      <c r="DF1660">
        <v>54.74</v>
      </c>
      <c r="DG1660">
        <v>12.53</v>
      </c>
      <c r="DH1660">
        <v>5.52</v>
      </c>
      <c r="DI1660">
        <v>0.15</v>
      </c>
      <c r="DJ1660">
        <v>528</v>
      </c>
      <c r="DK1660">
        <v>300289</v>
      </c>
      <c r="DL1660" t="s">
        <v>120</v>
      </c>
      <c r="DM1660" t="s">
        <v>120</v>
      </c>
      <c r="DN1660" t="s">
        <v>120</v>
      </c>
    </row>
    <row r="1661" spans="1:118">
      <c r="A1661" t="str">
        <f>"300290"</f>
        <v>300290</v>
      </c>
      <c r="B1661" t="s">
        <v>8518</v>
      </c>
      <c r="C1661">
        <v>-5.95</v>
      </c>
      <c r="D1661">
        <v>-0.46</v>
      </c>
      <c r="E1661">
        <v>-1.79</v>
      </c>
      <c r="F1661">
        <v>3202</v>
      </c>
      <c r="G1661" t="s">
        <v>8519</v>
      </c>
      <c r="H1661">
        <v>22103.41</v>
      </c>
      <c r="I1661">
        <v>193.84</v>
      </c>
      <c r="J1661" t="s">
        <v>120</v>
      </c>
      <c r="K1661" t="s">
        <v>5421</v>
      </c>
      <c r="L1661">
        <v>6.03</v>
      </c>
      <c r="M1661">
        <v>6.32</v>
      </c>
      <c r="N1661">
        <v>0.53</v>
      </c>
      <c r="O1661">
        <v>0.3</v>
      </c>
      <c r="P1661">
        <v>6.74</v>
      </c>
      <c r="Q1661">
        <v>-6.1</v>
      </c>
      <c r="R1661">
        <v>6.31</v>
      </c>
      <c r="S1661">
        <v>6.6</v>
      </c>
      <c r="T1661">
        <v>342920</v>
      </c>
      <c r="U1661">
        <v>6.33</v>
      </c>
      <c r="V1661">
        <v>6.72</v>
      </c>
      <c r="W1661">
        <v>166.15</v>
      </c>
      <c r="X1661" t="s">
        <v>141</v>
      </c>
      <c r="Y1661" t="s">
        <v>432</v>
      </c>
      <c r="Z1661">
        <v>6.4</v>
      </c>
      <c r="AA1661">
        <v>6.45</v>
      </c>
      <c r="AB1661">
        <v>177941</v>
      </c>
      <c r="AC1661">
        <v>164979</v>
      </c>
      <c r="AD1661">
        <v>1.08</v>
      </c>
      <c r="AE1661">
        <v>135</v>
      </c>
      <c r="AF1661">
        <v>104</v>
      </c>
      <c r="AG1661" t="s">
        <v>120</v>
      </c>
      <c r="AH1661">
        <v>7.0000000000000007E-2</v>
      </c>
      <c r="AI1661" t="s">
        <v>120</v>
      </c>
      <c r="AJ1661">
        <v>5.68</v>
      </c>
      <c r="AK1661" t="s">
        <v>4304</v>
      </c>
      <c r="AL1661">
        <v>-4.04</v>
      </c>
      <c r="AM1661">
        <v>3177</v>
      </c>
      <c r="AN1661">
        <v>108</v>
      </c>
      <c r="AO1661">
        <v>1.9E-3</v>
      </c>
      <c r="AP1661">
        <v>-1</v>
      </c>
      <c r="AQ1661">
        <v>3.86</v>
      </c>
      <c r="AR1661">
        <v>-5.25</v>
      </c>
      <c r="AS1661">
        <v>34.19</v>
      </c>
      <c r="AT1661">
        <v>24.65</v>
      </c>
      <c r="AU1661">
        <v>31.56</v>
      </c>
      <c r="AV1661">
        <v>1</v>
      </c>
      <c r="AW1661">
        <v>7.94</v>
      </c>
      <c r="AX1661">
        <v>67.55</v>
      </c>
      <c r="AY1661">
        <v>51.92</v>
      </c>
      <c r="AZ1661">
        <v>53.45</v>
      </c>
      <c r="BA1661">
        <v>0.74</v>
      </c>
      <c r="BB1661" t="s">
        <v>341</v>
      </c>
      <c r="BF1661">
        <v>-4.08</v>
      </c>
      <c r="BG1661">
        <v>-4.24</v>
      </c>
      <c r="BH1661">
        <v>-6.23</v>
      </c>
      <c r="BI1661">
        <v>0.16</v>
      </c>
      <c r="BJ1661">
        <v>20210902</v>
      </c>
      <c r="BK1661">
        <v>20120216</v>
      </c>
      <c r="BL1661">
        <v>6.39</v>
      </c>
      <c r="BM1661" t="s">
        <v>120</v>
      </c>
      <c r="BN1661" t="s">
        <v>120</v>
      </c>
      <c r="BO1661">
        <v>20.72</v>
      </c>
      <c r="BP1661">
        <v>6.32</v>
      </c>
      <c r="BQ1661">
        <v>15.15</v>
      </c>
      <c r="BR1661">
        <v>0.39</v>
      </c>
      <c r="BS1661">
        <v>25.02</v>
      </c>
      <c r="BT1661">
        <v>11.63</v>
      </c>
      <c r="BU1661">
        <v>1.01</v>
      </c>
      <c r="BV1661">
        <v>0.64</v>
      </c>
      <c r="BW1661">
        <v>4.74</v>
      </c>
      <c r="BX1661">
        <v>2.72</v>
      </c>
      <c r="BY1661">
        <v>1.59</v>
      </c>
      <c r="BZ1661">
        <v>6.05</v>
      </c>
      <c r="CA1661" t="s">
        <v>120</v>
      </c>
      <c r="CB1661">
        <v>5.25</v>
      </c>
      <c r="CC1661">
        <v>3.87</v>
      </c>
      <c r="CD1661">
        <v>2.4700000000000002</v>
      </c>
      <c r="CE1661">
        <v>0.2</v>
      </c>
      <c r="CF1661">
        <v>0.01</v>
      </c>
      <c r="CG1661">
        <v>0.2</v>
      </c>
      <c r="CH1661">
        <v>0.19</v>
      </c>
      <c r="CI1661">
        <v>0.12</v>
      </c>
      <c r="CJ1661">
        <v>-0.4</v>
      </c>
      <c r="CK1661">
        <v>0.09</v>
      </c>
      <c r="CL1661">
        <v>3.42</v>
      </c>
      <c r="CM1661">
        <v>-1.63</v>
      </c>
      <c r="CN1661">
        <v>-1.1299999999999999</v>
      </c>
      <c r="CO1661">
        <v>21576</v>
      </c>
      <c r="CP1661">
        <v>20012</v>
      </c>
      <c r="CQ1661" t="s">
        <v>8520</v>
      </c>
      <c r="CR1661">
        <v>24.2</v>
      </c>
      <c r="CS1661">
        <v>37.72</v>
      </c>
      <c r="CT1661">
        <v>2.66</v>
      </c>
      <c r="CU1661">
        <v>-24.84</v>
      </c>
      <c r="CV1661">
        <v>10.44</v>
      </c>
      <c r="CW1661">
        <v>0.39</v>
      </c>
      <c r="CX1661" t="s">
        <v>499</v>
      </c>
      <c r="CY1661">
        <v>2.38</v>
      </c>
      <c r="CZ1661">
        <v>2.38</v>
      </c>
      <c r="DA1661">
        <v>0.82</v>
      </c>
      <c r="DB1661">
        <v>0.54</v>
      </c>
      <c r="DC1661">
        <v>-0.25</v>
      </c>
      <c r="DD1661">
        <v>73.12</v>
      </c>
      <c r="DE1661" t="s">
        <v>4633</v>
      </c>
      <c r="DF1661">
        <v>36.159999999999997</v>
      </c>
      <c r="DG1661">
        <v>5.16</v>
      </c>
      <c r="DH1661">
        <v>3.14</v>
      </c>
      <c r="DI1661">
        <v>0.3</v>
      </c>
      <c r="DJ1661">
        <v>1015</v>
      </c>
      <c r="DK1661">
        <v>300290</v>
      </c>
      <c r="DL1661" t="s">
        <v>120</v>
      </c>
      <c r="DM1661" t="s">
        <v>120</v>
      </c>
      <c r="DN1661" t="s">
        <v>120</v>
      </c>
    </row>
    <row r="1662" spans="1:118">
      <c r="A1662" t="str">
        <f>"300291"</f>
        <v>300291</v>
      </c>
      <c r="B1662" t="s">
        <v>8521</v>
      </c>
      <c r="C1662">
        <v>-1.77</v>
      </c>
      <c r="D1662">
        <v>0.6</v>
      </c>
      <c r="E1662">
        <v>-0.39</v>
      </c>
      <c r="F1662">
        <v>1998</v>
      </c>
      <c r="G1662" t="s">
        <v>8522</v>
      </c>
      <c r="H1662">
        <v>3804.46</v>
      </c>
      <c r="I1662">
        <v>4.66</v>
      </c>
      <c r="J1662" t="s">
        <v>120</v>
      </c>
      <c r="K1662" t="s">
        <v>8523</v>
      </c>
      <c r="L1662">
        <v>0.99</v>
      </c>
      <c r="M1662">
        <v>5</v>
      </c>
      <c r="N1662">
        <v>0.94</v>
      </c>
      <c r="O1662">
        <v>0.59</v>
      </c>
      <c r="P1662">
        <v>5.12</v>
      </c>
      <c r="Q1662">
        <v>-2.75</v>
      </c>
      <c r="R1662">
        <v>4.95</v>
      </c>
      <c r="S1662">
        <v>5.07</v>
      </c>
      <c r="T1662">
        <v>75662</v>
      </c>
      <c r="U1662">
        <v>5</v>
      </c>
      <c r="V1662">
        <v>5.09</v>
      </c>
      <c r="W1662">
        <v>276.70999999999998</v>
      </c>
      <c r="X1662" t="s">
        <v>584</v>
      </c>
      <c r="Y1662" t="s">
        <v>158</v>
      </c>
      <c r="Z1662">
        <v>3.34</v>
      </c>
      <c r="AA1662">
        <v>5.03</v>
      </c>
      <c r="AB1662">
        <v>40472</v>
      </c>
      <c r="AC1662">
        <v>35190</v>
      </c>
      <c r="AD1662">
        <v>1.1499999999999999</v>
      </c>
      <c r="AE1662">
        <v>12</v>
      </c>
      <c r="AF1662">
        <v>104</v>
      </c>
      <c r="AG1662" t="s">
        <v>120</v>
      </c>
      <c r="AH1662">
        <v>0</v>
      </c>
      <c r="AI1662" t="s">
        <v>120</v>
      </c>
      <c r="AJ1662">
        <v>7.63</v>
      </c>
      <c r="AK1662" t="s">
        <v>8524</v>
      </c>
      <c r="AL1662">
        <v>0.15</v>
      </c>
      <c r="AM1662">
        <v>1417</v>
      </c>
      <c r="AN1662">
        <v>53</v>
      </c>
      <c r="AO1662">
        <v>6.9999999999999999E-4</v>
      </c>
      <c r="AP1662">
        <v>-1</v>
      </c>
      <c r="AQ1662">
        <v>2.83</v>
      </c>
      <c r="AR1662">
        <v>-1.18</v>
      </c>
      <c r="AS1662">
        <v>8</v>
      </c>
      <c r="AT1662">
        <v>2.46</v>
      </c>
      <c r="AU1662">
        <v>2.25</v>
      </c>
      <c r="AV1662">
        <v>0</v>
      </c>
      <c r="AW1662">
        <v>1.69</v>
      </c>
      <c r="AX1662">
        <v>48.65</v>
      </c>
      <c r="AY1662">
        <v>64.47</v>
      </c>
      <c r="AZ1662">
        <v>41.65</v>
      </c>
      <c r="BA1662">
        <v>0.4</v>
      </c>
      <c r="BB1662" t="s">
        <v>184</v>
      </c>
      <c r="BF1662">
        <v>-1.21</v>
      </c>
      <c r="BG1662">
        <v>-1.38</v>
      </c>
      <c r="BH1662">
        <v>-2.34</v>
      </c>
      <c r="BI1662">
        <v>1.01</v>
      </c>
      <c r="BJ1662">
        <v>20210903</v>
      </c>
      <c r="BK1662">
        <v>20120209</v>
      </c>
      <c r="BL1662">
        <v>9.19</v>
      </c>
      <c r="BM1662" t="s">
        <v>120</v>
      </c>
      <c r="BN1662" t="s">
        <v>120</v>
      </c>
      <c r="BO1662">
        <v>41.47</v>
      </c>
      <c r="BP1662">
        <v>4.99</v>
      </c>
      <c r="BQ1662">
        <v>36.29</v>
      </c>
      <c r="BR1662">
        <v>0.05</v>
      </c>
      <c r="BS1662">
        <v>12.39</v>
      </c>
      <c r="BT1662">
        <v>30.76</v>
      </c>
      <c r="BU1662">
        <v>0.03</v>
      </c>
      <c r="BV1662">
        <v>0.01</v>
      </c>
      <c r="BW1662">
        <v>3.85</v>
      </c>
      <c r="BX1662">
        <v>11.66</v>
      </c>
      <c r="BY1662">
        <v>2.57</v>
      </c>
      <c r="BZ1662">
        <v>5.62</v>
      </c>
      <c r="CA1662">
        <v>0</v>
      </c>
      <c r="CB1662">
        <v>48.59</v>
      </c>
      <c r="CC1662">
        <v>4.3</v>
      </c>
      <c r="CD1662">
        <v>4</v>
      </c>
      <c r="CE1662">
        <v>0.08</v>
      </c>
      <c r="CF1662">
        <v>0.35</v>
      </c>
      <c r="CG1662">
        <v>0.09</v>
      </c>
      <c r="CH1662">
        <v>7.0000000000000007E-2</v>
      </c>
      <c r="CI1662">
        <v>0.08</v>
      </c>
      <c r="CJ1662">
        <v>-0.09</v>
      </c>
      <c r="CK1662">
        <v>-0.02</v>
      </c>
      <c r="CL1662">
        <v>-21.82</v>
      </c>
      <c r="CM1662">
        <v>0.09</v>
      </c>
      <c r="CN1662">
        <v>-4.62</v>
      </c>
      <c r="CO1662">
        <v>21823</v>
      </c>
      <c r="CP1662">
        <v>20489</v>
      </c>
      <c r="CQ1662" t="s">
        <v>8525</v>
      </c>
      <c r="CR1662">
        <v>-82.72</v>
      </c>
      <c r="CS1662">
        <v>755.04</v>
      </c>
      <c r="CT1662">
        <v>1.27</v>
      </c>
      <c r="CU1662">
        <v>505.61</v>
      </c>
      <c r="CV1662">
        <v>10.69</v>
      </c>
      <c r="CW1662">
        <v>0</v>
      </c>
      <c r="CX1662" t="s">
        <v>178</v>
      </c>
      <c r="CY1662">
        <v>3.95</v>
      </c>
      <c r="CZ1662">
        <v>0</v>
      </c>
      <c r="DA1662">
        <v>5.29</v>
      </c>
      <c r="DB1662">
        <v>-2.37</v>
      </c>
      <c r="DC1662">
        <v>0.01</v>
      </c>
      <c r="DD1662">
        <v>87.49</v>
      </c>
      <c r="DE1662" t="s">
        <v>6679</v>
      </c>
      <c r="DF1662">
        <v>6.87</v>
      </c>
      <c r="DG1662">
        <v>1.98</v>
      </c>
      <c r="DH1662">
        <v>1.93</v>
      </c>
      <c r="DI1662" t="s">
        <v>120</v>
      </c>
      <c r="DJ1662">
        <v>149</v>
      </c>
      <c r="DK1662">
        <v>300291</v>
      </c>
      <c r="DL1662" t="s">
        <v>120</v>
      </c>
      <c r="DM1662" t="s">
        <v>120</v>
      </c>
      <c r="DN1662" t="s">
        <v>120</v>
      </c>
    </row>
    <row r="1663" spans="1:118">
      <c r="A1663" t="str">
        <f>"300292"</f>
        <v>300292</v>
      </c>
      <c r="B1663" t="s">
        <v>8526</v>
      </c>
      <c r="C1663">
        <v>-2.0699999999999998</v>
      </c>
      <c r="D1663">
        <v>0</v>
      </c>
      <c r="E1663">
        <v>0</v>
      </c>
      <c r="F1663">
        <v>3757</v>
      </c>
      <c r="G1663" t="s">
        <v>798</v>
      </c>
      <c r="H1663">
        <v>8784.43</v>
      </c>
      <c r="I1663">
        <v>9.8699999999999992</v>
      </c>
      <c r="J1663" t="s">
        <v>120</v>
      </c>
      <c r="K1663" t="s">
        <v>8527</v>
      </c>
      <c r="L1663">
        <v>2.1800000000000002</v>
      </c>
      <c r="M1663">
        <v>3.79</v>
      </c>
      <c r="N1663">
        <v>0.94</v>
      </c>
      <c r="O1663">
        <v>1.29</v>
      </c>
      <c r="P1663">
        <v>3.92</v>
      </c>
      <c r="Q1663">
        <v>-2.58</v>
      </c>
      <c r="R1663">
        <v>3.77</v>
      </c>
      <c r="S1663">
        <v>3.87</v>
      </c>
      <c r="T1663">
        <v>228930</v>
      </c>
      <c r="U1663">
        <v>3.79</v>
      </c>
      <c r="V1663">
        <v>3.87</v>
      </c>
      <c r="W1663">
        <v>74.959999999999994</v>
      </c>
      <c r="X1663" t="s">
        <v>141</v>
      </c>
      <c r="Y1663" t="s">
        <v>319</v>
      </c>
      <c r="Z1663">
        <v>3.88</v>
      </c>
      <c r="AA1663">
        <v>3.84</v>
      </c>
      <c r="AB1663">
        <v>149629</v>
      </c>
      <c r="AC1663">
        <v>79301</v>
      </c>
      <c r="AD1663">
        <v>1.89</v>
      </c>
      <c r="AE1663">
        <v>3401</v>
      </c>
      <c r="AF1663">
        <v>953</v>
      </c>
      <c r="AG1663" t="s">
        <v>120</v>
      </c>
      <c r="AH1663">
        <v>0</v>
      </c>
      <c r="AI1663" t="s">
        <v>120</v>
      </c>
      <c r="AJ1663">
        <v>10.49</v>
      </c>
      <c r="AK1663" t="s">
        <v>3212</v>
      </c>
      <c r="AL1663">
        <v>-0.15</v>
      </c>
      <c r="AM1663">
        <v>2207</v>
      </c>
      <c r="AN1663">
        <v>104</v>
      </c>
      <c r="AO1663">
        <v>1E-3</v>
      </c>
      <c r="AP1663">
        <v>-1</v>
      </c>
      <c r="AQ1663">
        <v>0</v>
      </c>
      <c r="AR1663">
        <v>-4.54</v>
      </c>
      <c r="AS1663">
        <v>0.8</v>
      </c>
      <c r="AT1663">
        <v>-4.7699999999999996</v>
      </c>
      <c r="AU1663">
        <v>-9.11</v>
      </c>
      <c r="AV1663">
        <v>0</v>
      </c>
      <c r="AW1663">
        <v>2.35</v>
      </c>
      <c r="AX1663">
        <v>72.59</v>
      </c>
      <c r="AY1663" t="s">
        <v>120</v>
      </c>
      <c r="AZ1663" t="s">
        <v>120</v>
      </c>
      <c r="BA1663">
        <v>0.63</v>
      </c>
      <c r="BB1663" t="s">
        <v>143</v>
      </c>
      <c r="BF1663">
        <v>-0.85</v>
      </c>
      <c r="BG1663">
        <v>-2.0699999999999998</v>
      </c>
      <c r="BH1663">
        <v>-3.32</v>
      </c>
      <c r="BI1663">
        <v>0.53</v>
      </c>
      <c r="BJ1663">
        <v>20210903</v>
      </c>
      <c r="BK1663">
        <v>20120229</v>
      </c>
      <c r="BL1663">
        <v>13.42</v>
      </c>
      <c r="BM1663" t="s">
        <v>120</v>
      </c>
      <c r="BN1663" t="s">
        <v>120</v>
      </c>
      <c r="BO1663">
        <v>27.49</v>
      </c>
      <c r="BP1663">
        <v>3.78</v>
      </c>
      <c r="BQ1663">
        <v>12.71</v>
      </c>
      <c r="BR1663">
        <v>-0.03</v>
      </c>
      <c r="BS1663">
        <v>53.88</v>
      </c>
      <c r="BT1663">
        <v>21.54</v>
      </c>
      <c r="BU1663">
        <v>2.2999999999999998</v>
      </c>
      <c r="BV1663">
        <v>0.42</v>
      </c>
      <c r="BW1663">
        <v>14.74</v>
      </c>
      <c r="BX1663">
        <v>4.63</v>
      </c>
      <c r="BY1663">
        <v>2.13</v>
      </c>
      <c r="BZ1663">
        <v>4.22</v>
      </c>
      <c r="CA1663">
        <v>0.04</v>
      </c>
      <c r="CB1663">
        <v>10.5</v>
      </c>
      <c r="CC1663">
        <v>21.5</v>
      </c>
      <c r="CD1663">
        <v>19.59</v>
      </c>
      <c r="CE1663">
        <v>0.39</v>
      </c>
      <c r="CF1663">
        <v>0.08</v>
      </c>
      <c r="CG1663">
        <v>0.39</v>
      </c>
      <c r="CH1663">
        <v>0.32</v>
      </c>
      <c r="CI1663">
        <v>0.34</v>
      </c>
      <c r="CJ1663">
        <v>-0.08</v>
      </c>
      <c r="CK1663">
        <v>0.25</v>
      </c>
      <c r="CL1663">
        <v>-11.55</v>
      </c>
      <c r="CM1663">
        <v>-1.44</v>
      </c>
      <c r="CN1663">
        <v>-0.2</v>
      </c>
      <c r="CO1663">
        <v>72863</v>
      </c>
      <c r="CP1663">
        <v>13367</v>
      </c>
      <c r="CQ1663" t="s">
        <v>5869</v>
      </c>
      <c r="CR1663">
        <v>18.97</v>
      </c>
      <c r="CS1663">
        <v>33.93</v>
      </c>
      <c r="CT1663">
        <v>4</v>
      </c>
      <c r="CU1663">
        <v>-35.270000000000003</v>
      </c>
      <c r="CV1663">
        <v>2.37</v>
      </c>
      <c r="CW1663">
        <v>0</v>
      </c>
      <c r="CX1663" t="s">
        <v>2074</v>
      </c>
      <c r="CY1663">
        <v>0.95</v>
      </c>
      <c r="CZ1663">
        <v>0</v>
      </c>
      <c r="DA1663">
        <v>0.78</v>
      </c>
      <c r="DB1663">
        <v>-0.86</v>
      </c>
      <c r="DC1663">
        <v>-0.11</v>
      </c>
      <c r="DD1663">
        <v>46.24</v>
      </c>
      <c r="DE1663" t="s">
        <v>1846</v>
      </c>
      <c r="DF1663">
        <v>8.89</v>
      </c>
      <c r="DG1663">
        <v>1.82</v>
      </c>
      <c r="DH1663">
        <v>1.58</v>
      </c>
      <c r="DI1663">
        <v>0.53</v>
      </c>
      <c r="DJ1663">
        <v>1364</v>
      </c>
      <c r="DK1663">
        <v>300292</v>
      </c>
      <c r="DL1663" t="s">
        <v>120</v>
      </c>
      <c r="DM1663" t="s">
        <v>120</v>
      </c>
      <c r="DN1663" t="s">
        <v>120</v>
      </c>
    </row>
    <row r="1664" spans="1:118">
      <c r="A1664" t="str">
        <f>"300293"</f>
        <v>300293</v>
      </c>
      <c r="B1664" t="s">
        <v>8528</v>
      </c>
      <c r="C1664">
        <v>-3.75</v>
      </c>
      <c r="D1664">
        <v>0</v>
      </c>
      <c r="E1664">
        <v>0.14000000000000001</v>
      </c>
      <c r="F1664">
        <v>1097</v>
      </c>
      <c r="G1664" t="s">
        <v>5516</v>
      </c>
      <c r="H1664">
        <v>9994.9</v>
      </c>
      <c r="I1664">
        <v>12.74</v>
      </c>
      <c r="J1664" t="s">
        <v>120</v>
      </c>
      <c r="K1664" t="s">
        <v>1502</v>
      </c>
      <c r="L1664">
        <v>2.65</v>
      </c>
      <c r="M1664">
        <v>13.6</v>
      </c>
      <c r="N1664">
        <v>0.68</v>
      </c>
      <c r="O1664">
        <v>1.06</v>
      </c>
      <c r="P1664">
        <v>14.28</v>
      </c>
      <c r="Q1664">
        <v>-3.82</v>
      </c>
      <c r="R1664">
        <v>13.59</v>
      </c>
      <c r="S1664">
        <v>14.15</v>
      </c>
      <c r="T1664">
        <v>71658</v>
      </c>
      <c r="U1664">
        <v>13.61</v>
      </c>
      <c r="V1664">
        <v>14.13</v>
      </c>
      <c r="W1664" t="s">
        <v>120</v>
      </c>
      <c r="X1664" t="s">
        <v>675</v>
      </c>
      <c r="Y1664" t="s">
        <v>432</v>
      </c>
      <c r="Z1664">
        <v>4.88</v>
      </c>
      <c r="AA1664">
        <v>13.95</v>
      </c>
      <c r="AB1664">
        <v>45687</v>
      </c>
      <c r="AC1664">
        <v>25971</v>
      </c>
      <c r="AD1664">
        <v>1.76</v>
      </c>
      <c r="AE1664">
        <v>509</v>
      </c>
      <c r="AF1664">
        <v>14</v>
      </c>
      <c r="AG1664" t="s">
        <v>120</v>
      </c>
      <c r="AH1664">
        <v>0.01</v>
      </c>
      <c r="AI1664" t="s">
        <v>120</v>
      </c>
      <c r="AJ1664">
        <v>2.7</v>
      </c>
      <c r="AK1664" t="s">
        <v>1502</v>
      </c>
      <c r="AL1664">
        <v>-1.84</v>
      </c>
      <c r="AM1664">
        <v>2407</v>
      </c>
      <c r="AN1664">
        <v>30</v>
      </c>
      <c r="AO1664">
        <v>1.1000000000000001E-3</v>
      </c>
      <c r="AP1664">
        <v>-3</v>
      </c>
      <c r="AQ1664">
        <v>-3.15</v>
      </c>
      <c r="AR1664">
        <v>-9.57</v>
      </c>
      <c r="AS1664">
        <v>-14.15</v>
      </c>
      <c r="AT1664">
        <v>-7.49</v>
      </c>
      <c r="AU1664">
        <v>-18.52</v>
      </c>
      <c r="AV1664">
        <v>3</v>
      </c>
      <c r="AW1664">
        <v>4.54</v>
      </c>
      <c r="AX1664">
        <v>58.48</v>
      </c>
      <c r="AY1664" t="s">
        <v>120</v>
      </c>
      <c r="AZ1664" t="s">
        <v>120</v>
      </c>
      <c r="BA1664">
        <v>1.73</v>
      </c>
      <c r="BB1664" t="s">
        <v>125</v>
      </c>
      <c r="BF1664">
        <v>-1.29</v>
      </c>
      <c r="BG1664">
        <v>-3.89</v>
      </c>
      <c r="BH1664">
        <v>-4.76</v>
      </c>
      <c r="BI1664">
        <v>7.0000000000000007E-2</v>
      </c>
      <c r="BJ1664">
        <v>20210821</v>
      </c>
      <c r="BK1664">
        <v>20120308</v>
      </c>
      <c r="BL1664">
        <v>2.7</v>
      </c>
      <c r="BM1664" t="s">
        <v>120</v>
      </c>
      <c r="BN1664" t="s">
        <v>120</v>
      </c>
      <c r="BO1664">
        <v>21.97</v>
      </c>
      <c r="BP1664">
        <v>13.6</v>
      </c>
      <c r="BQ1664">
        <v>5.28</v>
      </c>
      <c r="BR1664">
        <v>1.4</v>
      </c>
      <c r="BS1664">
        <v>69.56</v>
      </c>
      <c r="BT1664">
        <v>11.84</v>
      </c>
      <c r="BU1664">
        <v>2.36</v>
      </c>
      <c r="BV1664">
        <v>3.13</v>
      </c>
      <c r="BW1664">
        <v>6.6</v>
      </c>
      <c r="BX1664">
        <v>3.3</v>
      </c>
      <c r="BY1664">
        <v>3.97</v>
      </c>
      <c r="BZ1664">
        <v>2.42</v>
      </c>
      <c r="CA1664" t="s">
        <v>120</v>
      </c>
      <c r="CB1664">
        <v>2.2200000000000002</v>
      </c>
      <c r="CC1664">
        <v>5.14</v>
      </c>
      <c r="CD1664">
        <v>3.73</v>
      </c>
      <c r="CE1664">
        <v>-0.41</v>
      </c>
      <c r="CF1664">
        <v>0</v>
      </c>
      <c r="CG1664">
        <v>-0.41</v>
      </c>
      <c r="CH1664">
        <v>-0.34</v>
      </c>
      <c r="CI1664">
        <v>-0.32</v>
      </c>
      <c r="CJ1664">
        <v>-0.53</v>
      </c>
      <c r="CK1664">
        <v>-0.34</v>
      </c>
      <c r="CL1664">
        <v>-0.3</v>
      </c>
      <c r="CM1664">
        <v>-1.1200000000000001</v>
      </c>
      <c r="CN1664">
        <v>-1.1399999999999999</v>
      </c>
      <c r="CO1664">
        <v>52710</v>
      </c>
      <c r="CP1664">
        <v>2995</v>
      </c>
      <c r="CQ1664" t="s">
        <v>8529</v>
      </c>
      <c r="CR1664">
        <v>-47.76</v>
      </c>
      <c r="CS1664">
        <v>-24.28</v>
      </c>
      <c r="CT1664">
        <v>6.95</v>
      </c>
      <c r="CU1664">
        <v>-32.85</v>
      </c>
      <c r="CV1664">
        <v>7.14</v>
      </c>
      <c r="CW1664">
        <v>0</v>
      </c>
      <c r="CX1664" t="s">
        <v>8530</v>
      </c>
      <c r="CY1664">
        <v>1.96</v>
      </c>
      <c r="CZ1664">
        <v>0</v>
      </c>
      <c r="DA1664">
        <v>0.82</v>
      </c>
      <c r="DB1664">
        <v>-0.11</v>
      </c>
      <c r="DC1664">
        <v>-0.41</v>
      </c>
      <c r="DD1664">
        <v>24.05</v>
      </c>
      <c r="DE1664" t="s">
        <v>8531</v>
      </c>
      <c r="DF1664">
        <v>27.45</v>
      </c>
      <c r="DG1664">
        <v>-8.0299999999999994</v>
      </c>
      <c r="DH1664">
        <v>-6.2</v>
      </c>
      <c r="DI1664">
        <v>0.31</v>
      </c>
      <c r="DJ1664">
        <v>1063</v>
      </c>
      <c r="DK1664">
        <v>300293</v>
      </c>
      <c r="DL1664" t="s">
        <v>120</v>
      </c>
      <c r="DM1664" t="s">
        <v>120</v>
      </c>
      <c r="DN1664" t="s">
        <v>120</v>
      </c>
    </row>
    <row r="1665" spans="1:118">
      <c r="A1665" t="str">
        <f>"300294"</f>
        <v>300294</v>
      </c>
      <c r="B1665" t="s">
        <v>8532</v>
      </c>
      <c r="C1665">
        <v>-1.29</v>
      </c>
      <c r="D1665">
        <v>-0.18</v>
      </c>
      <c r="E1665">
        <v>1.8</v>
      </c>
      <c r="F1665">
        <v>1138</v>
      </c>
      <c r="G1665" t="s">
        <v>8533</v>
      </c>
      <c r="H1665">
        <v>24779.51</v>
      </c>
      <c r="I1665">
        <v>160.15</v>
      </c>
      <c r="J1665" t="s">
        <v>120</v>
      </c>
      <c r="K1665" t="s">
        <v>2252</v>
      </c>
      <c r="L1665">
        <v>1.52</v>
      </c>
      <c r="M1665">
        <v>36.799999999999997</v>
      </c>
      <c r="N1665">
        <v>0.91</v>
      </c>
      <c r="O1665">
        <v>3.11</v>
      </c>
      <c r="P1665">
        <v>38.44</v>
      </c>
      <c r="Q1665">
        <v>-1.29</v>
      </c>
      <c r="R1665">
        <v>36.799999999999997</v>
      </c>
      <c r="S1665">
        <v>37.950000000000003</v>
      </c>
      <c r="T1665">
        <v>65943</v>
      </c>
      <c r="U1665">
        <v>36.85</v>
      </c>
      <c r="V1665">
        <v>37.28</v>
      </c>
      <c r="W1665">
        <v>40.33</v>
      </c>
      <c r="X1665" t="s">
        <v>666</v>
      </c>
      <c r="Y1665" t="s">
        <v>676</v>
      </c>
      <c r="Z1665">
        <v>4.4000000000000004</v>
      </c>
      <c r="AA1665">
        <v>37.58</v>
      </c>
      <c r="AB1665">
        <v>35553</v>
      </c>
      <c r="AC1665">
        <v>30390</v>
      </c>
      <c r="AD1665">
        <v>1.17</v>
      </c>
      <c r="AE1665">
        <v>317</v>
      </c>
      <c r="AF1665">
        <v>65</v>
      </c>
      <c r="AG1665" t="s">
        <v>120</v>
      </c>
      <c r="AH1665">
        <v>0.01</v>
      </c>
      <c r="AI1665" t="s">
        <v>120</v>
      </c>
      <c r="AJ1665">
        <v>4.33</v>
      </c>
      <c r="AK1665" t="s">
        <v>2252</v>
      </c>
      <c r="AL1665">
        <v>0.63</v>
      </c>
      <c r="AM1665">
        <v>2855</v>
      </c>
      <c r="AN1665">
        <v>23</v>
      </c>
      <c r="AO1665">
        <v>5.0000000000000001E-4</v>
      </c>
      <c r="AP1665">
        <v>-1</v>
      </c>
      <c r="AQ1665">
        <v>0.43</v>
      </c>
      <c r="AR1665">
        <v>-3.28</v>
      </c>
      <c r="AS1665">
        <v>-13.56</v>
      </c>
      <c r="AT1665">
        <v>2.56</v>
      </c>
      <c r="AU1665">
        <v>9.94</v>
      </c>
      <c r="AV1665">
        <v>1</v>
      </c>
      <c r="AW1665">
        <v>2.15</v>
      </c>
      <c r="AX1665">
        <v>70.83</v>
      </c>
      <c r="AY1665">
        <v>54.45</v>
      </c>
      <c r="AZ1665">
        <v>62.12</v>
      </c>
      <c r="BA1665">
        <v>1.82</v>
      </c>
      <c r="BB1665" t="s">
        <v>143</v>
      </c>
      <c r="BF1665">
        <v>0.8</v>
      </c>
      <c r="BG1665">
        <v>-3.03</v>
      </c>
      <c r="BH1665">
        <v>-4.2699999999999996</v>
      </c>
      <c r="BI1665">
        <v>0</v>
      </c>
      <c r="BJ1665">
        <v>20210915</v>
      </c>
      <c r="BK1665">
        <v>20120308</v>
      </c>
      <c r="BL1665">
        <v>4.33</v>
      </c>
      <c r="BM1665" t="s">
        <v>120</v>
      </c>
      <c r="BN1665" t="s">
        <v>120</v>
      </c>
      <c r="BO1665">
        <v>52.81</v>
      </c>
      <c r="BP1665">
        <v>36.799999999999997</v>
      </c>
      <c r="BQ1665">
        <v>43.11</v>
      </c>
      <c r="BR1665">
        <v>0.83</v>
      </c>
      <c r="BS1665">
        <v>16.8</v>
      </c>
      <c r="BT1665">
        <v>30.12</v>
      </c>
      <c r="BU1665">
        <v>7.21</v>
      </c>
      <c r="BV1665">
        <v>1.92</v>
      </c>
      <c r="BW1665">
        <v>8.17</v>
      </c>
      <c r="BX1665">
        <v>7.24</v>
      </c>
      <c r="BY1665">
        <v>6.58</v>
      </c>
      <c r="BZ1665">
        <v>4.3099999999999996</v>
      </c>
      <c r="CA1665" t="s">
        <v>120</v>
      </c>
      <c r="CB1665">
        <v>19.47</v>
      </c>
      <c r="CC1665">
        <v>12.95</v>
      </c>
      <c r="CD1665">
        <v>5.66</v>
      </c>
      <c r="CE1665">
        <v>2.4300000000000002</v>
      </c>
      <c r="CF1665">
        <v>7.0000000000000007E-2</v>
      </c>
      <c r="CG1665">
        <v>2.4500000000000002</v>
      </c>
      <c r="CH1665">
        <v>2.04</v>
      </c>
      <c r="CI1665">
        <v>1.98</v>
      </c>
      <c r="CJ1665">
        <v>-0.48</v>
      </c>
      <c r="CK1665">
        <v>1.95</v>
      </c>
      <c r="CL1665">
        <v>19.05</v>
      </c>
      <c r="CM1665">
        <v>9.9600000000000009</v>
      </c>
      <c r="CN1665">
        <v>-0.36</v>
      </c>
      <c r="CO1665">
        <v>25386</v>
      </c>
      <c r="CP1665">
        <v>12091</v>
      </c>
      <c r="CQ1665" t="s">
        <v>8534</v>
      </c>
      <c r="CR1665">
        <v>22.72</v>
      </c>
      <c r="CS1665">
        <v>6</v>
      </c>
      <c r="CT1665">
        <v>3.7</v>
      </c>
      <c r="CU1665">
        <v>16</v>
      </c>
      <c r="CV1665">
        <v>12.32</v>
      </c>
      <c r="CW1665">
        <v>0.17</v>
      </c>
      <c r="CX1665" t="s">
        <v>1631</v>
      </c>
      <c r="CY1665">
        <v>9.9499999999999993</v>
      </c>
      <c r="CZ1665">
        <v>0</v>
      </c>
      <c r="DA1665">
        <v>4.49</v>
      </c>
      <c r="DB1665">
        <v>4.4000000000000004</v>
      </c>
      <c r="DC1665">
        <v>2.2999999999999998</v>
      </c>
      <c r="DD1665">
        <v>81.62</v>
      </c>
      <c r="DE1665" t="s">
        <v>4776</v>
      </c>
      <c r="DF1665">
        <v>56.27</v>
      </c>
      <c r="DG1665">
        <v>18.8</v>
      </c>
      <c r="DH1665">
        <v>15.27</v>
      </c>
      <c r="DI1665">
        <v>0.44</v>
      </c>
      <c r="DJ1665">
        <v>1618</v>
      </c>
      <c r="DK1665">
        <v>300294</v>
      </c>
      <c r="DL1665" t="s">
        <v>120</v>
      </c>
      <c r="DM1665" t="s">
        <v>120</v>
      </c>
      <c r="DN1665" t="s">
        <v>120</v>
      </c>
    </row>
    <row r="1666" spans="1:118">
      <c r="A1666" t="str">
        <f>"300295"</f>
        <v>300295</v>
      </c>
      <c r="B1666" t="s">
        <v>8535</v>
      </c>
      <c r="C1666">
        <v>-2.56</v>
      </c>
      <c r="D1666">
        <v>-0.44</v>
      </c>
      <c r="E1666">
        <v>-0.09</v>
      </c>
      <c r="F1666">
        <v>1048</v>
      </c>
      <c r="G1666" t="s">
        <v>4640</v>
      </c>
      <c r="H1666">
        <v>4761.43</v>
      </c>
      <c r="I1666">
        <v>49.38</v>
      </c>
      <c r="J1666" t="s">
        <v>120</v>
      </c>
      <c r="K1666" t="s">
        <v>8536</v>
      </c>
      <c r="L1666">
        <v>2.59</v>
      </c>
      <c r="M1666">
        <v>11.02</v>
      </c>
      <c r="N1666">
        <v>0.79</v>
      </c>
      <c r="O1666">
        <v>0.8</v>
      </c>
      <c r="P1666">
        <v>11.4</v>
      </c>
      <c r="Q1666">
        <v>-3.27</v>
      </c>
      <c r="R1666">
        <v>10.94</v>
      </c>
      <c r="S1666">
        <v>11.3</v>
      </c>
      <c r="T1666">
        <v>42609</v>
      </c>
      <c r="U1666">
        <v>11.06</v>
      </c>
      <c r="V1666">
        <v>11.31</v>
      </c>
      <c r="W1666">
        <v>27.37</v>
      </c>
      <c r="X1666" t="s">
        <v>1531</v>
      </c>
      <c r="Y1666" t="s">
        <v>319</v>
      </c>
      <c r="Z1666">
        <v>4.07</v>
      </c>
      <c r="AA1666">
        <v>11.17</v>
      </c>
      <c r="AB1666">
        <v>25558</v>
      </c>
      <c r="AC1666">
        <v>17051</v>
      </c>
      <c r="AD1666">
        <v>1.5</v>
      </c>
      <c r="AE1666">
        <v>50</v>
      </c>
      <c r="AF1666">
        <v>110</v>
      </c>
      <c r="AG1666" t="s">
        <v>120</v>
      </c>
      <c r="AH1666">
        <v>0.03</v>
      </c>
      <c r="AI1666" t="s">
        <v>120</v>
      </c>
      <c r="AJ1666">
        <v>1.65</v>
      </c>
      <c r="AK1666" t="s">
        <v>1184</v>
      </c>
      <c r="AL1666">
        <v>-0.65</v>
      </c>
      <c r="AM1666">
        <v>1475</v>
      </c>
      <c r="AN1666">
        <v>29</v>
      </c>
      <c r="AO1666">
        <v>1.8E-3</v>
      </c>
      <c r="AP1666">
        <v>-1</v>
      </c>
      <c r="AQ1666">
        <v>3.19</v>
      </c>
      <c r="AR1666">
        <v>-1.96</v>
      </c>
      <c r="AS1666">
        <v>2.23</v>
      </c>
      <c r="AT1666">
        <v>-4.67</v>
      </c>
      <c r="AU1666">
        <v>-11.49</v>
      </c>
      <c r="AV1666">
        <v>0</v>
      </c>
      <c r="AW1666">
        <v>2.77</v>
      </c>
      <c r="AX1666">
        <v>79.97</v>
      </c>
      <c r="AY1666">
        <v>28.64</v>
      </c>
      <c r="AZ1666">
        <v>42</v>
      </c>
      <c r="BA1666">
        <v>0.66</v>
      </c>
      <c r="BB1666" t="s">
        <v>184</v>
      </c>
      <c r="BF1666">
        <v>-1.2</v>
      </c>
      <c r="BG1666">
        <v>-2.48</v>
      </c>
      <c r="BH1666">
        <v>-3.33</v>
      </c>
      <c r="BI1666">
        <v>0.73</v>
      </c>
      <c r="BJ1666">
        <v>20210821</v>
      </c>
      <c r="BK1666">
        <v>20120315</v>
      </c>
      <c r="BL1666">
        <v>1.92</v>
      </c>
      <c r="BM1666" t="s">
        <v>120</v>
      </c>
      <c r="BN1666" t="s">
        <v>120</v>
      </c>
      <c r="BO1666">
        <v>18.829999999999998</v>
      </c>
      <c r="BP1666">
        <v>11.02</v>
      </c>
      <c r="BQ1666">
        <v>13.24</v>
      </c>
      <c r="BR1666">
        <v>0.47</v>
      </c>
      <c r="BS1666">
        <v>27.23</v>
      </c>
      <c r="BT1666">
        <v>15.7</v>
      </c>
      <c r="BU1666">
        <v>0.06</v>
      </c>
      <c r="BV1666">
        <v>0.04</v>
      </c>
      <c r="BW1666">
        <v>5.03</v>
      </c>
      <c r="BX1666">
        <v>2.4</v>
      </c>
      <c r="BY1666">
        <v>0</v>
      </c>
      <c r="BZ1666">
        <v>0.37</v>
      </c>
      <c r="CA1666" t="s">
        <v>120</v>
      </c>
      <c r="CB1666">
        <v>2.66</v>
      </c>
      <c r="CC1666">
        <v>1.93</v>
      </c>
      <c r="CD1666">
        <v>0.1</v>
      </c>
      <c r="CE1666">
        <v>0.48</v>
      </c>
      <c r="CF1666">
        <v>0.28999999999999998</v>
      </c>
      <c r="CG1666">
        <v>0.48</v>
      </c>
      <c r="CH1666">
        <v>0.4</v>
      </c>
      <c r="CI1666">
        <v>0.39</v>
      </c>
      <c r="CJ1666">
        <v>-0.28999999999999998</v>
      </c>
      <c r="CK1666">
        <v>0.09</v>
      </c>
      <c r="CL1666">
        <v>7.84</v>
      </c>
      <c r="CM1666">
        <v>0.12</v>
      </c>
      <c r="CN1666">
        <v>1.08</v>
      </c>
      <c r="CO1666">
        <v>24456</v>
      </c>
      <c r="CP1666">
        <v>6288</v>
      </c>
      <c r="CQ1666" t="s">
        <v>6439</v>
      </c>
      <c r="CR1666">
        <v>165.89</v>
      </c>
      <c r="CS1666">
        <v>-8.9499999999999993</v>
      </c>
      <c r="CT1666">
        <v>1.6</v>
      </c>
      <c r="CU1666">
        <v>169.66</v>
      </c>
      <c r="CV1666">
        <v>10.97</v>
      </c>
      <c r="CW1666">
        <v>0</v>
      </c>
      <c r="CX1666" t="s">
        <v>492</v>
      </c>
      <c r="CY1666">
        <v>6.88</v>
      </c>
      <c r="CZ1666">
        <v>0</v>
      </c>
      <c r="DA1666">
        <v>1.38</v>
      </c>
      <c r="DB1666">
        <v>4.08</v>
      </c>
      <c r="DC1666">
        <v>0.06</v>
      </c>
      <c r="DD1666">
        <v>70.290000000000006</v>
      </c>
      <c r="DE1666" t="s">
        <v>5751</v>
      </c>
      <c r="DF1666">
        <v>94.77</v>
      </c>
      <c r="DG1666">
        <v>25.05</v>
      </c>
      <c r="DH1666">
        <v>20.04</v>
      </c>
      <c r="DI1666">
        <v>0.18</v>
      </c>
      <c r="DJ1666">
        <v>1080</v>
      </c>
      <c r="DK1666">
        <v>300295</v>
      </c>
      <c r="DL1666" t="s">
        <v>120</v>
      </c>
      <c r="DM1666" t="s">
        <v>120</v>
      </c>
      <c r="DN1666" t="s">
        <v>120</v>
      </c>
    </row>
    <row r="1667" spans="1:118">
      <c r="A1667" t="str">
        <f>"300296"</f>
        <v>300296</v>
      </c>
      <c r="B1667" t="s">
        <v>8537</v>
      </c>
      <c r="C1667">
        <v>-5.09</v>
      </c>
      <c r="D1667">
        <v>0</v>
      </c>
      <c r="E1667">
        <v>0</v>
      </c>
      <c r="F1667">
        <v>17834</v>
      </c>
      <c r="G1667" t="s">
        <v>8538</v>
      </c>
      <c r="H1667">
        <v>95700.69</v>
      </c>
      <c r="I1667">
        <v>152.53</v>
      </c>
      <c r="J1667" t="s">
        <v>120</v>
      </c>
      <c r="K1667" t="s">
        <v>8539</v>
      </c>
      <c r="L1667">
        <v>4.76</v>
      </c>
      <c r="M1667">
        <v>10.06</v>
      </c>
      <c r="N1667">
        <v>0.79</v>
      </c>
      <c r="O1667">
        <v>0.47</v>
      </c>
      <c r="P1667">
        <v>10.65</v>
      </c>
      <c r="Q1667">
        <v>-5.09</v>
      </c>
      <c r="R1667">
        <v>10.06</v>
      </c>
      <c r="S1667">
        <v>10.6</v>
      </c>
      <c r="T1667">
        <v>930077</v>
      </c>
      <c r="U1667">
        <v>10.06</v>
      </c>
      <c r="V1667">
        <v>10.6</v>
      </c>
      <c r="W1667">
        <v>44.93</v>
      </c>
      <c r="X1667" t="s">
        <v>3245</v>
      </c>
      <c r="Y1667" t="s">
        <v>158</v>
      </c>
      <c r="Z1667">
        <v>5.57</v>
      </c>
      <c r="AA1667">
        <v>10.29</v>
      </c>
      <c r="AB1667">
        <v>532903</v>
      </c>
      <c r="AC1667">
        <v>397174</v>
      </c>
      <c r="AD1667">
        <v>1.34</v>
      </c>
      <c r="AE1667">
        <v>3781</v>
      </c>
      <c r="AF1667">
        <v>7738</v>
      </c>
      <c r="AG1667" t="s">
        <v>120</v>
      </c>
      <c r="AH1667">
        <v>0.01</v>
      </c>
      <c r="AI1667" t="s">
        <v>120</v>
      </c>
      <c r="AJ1667">
        <v>19.54</v>
      </c>
      <c r="AK1667" t="s">
        <v>8540</v>
      </c>
      <c r="AL1667">
        <v>-3.18</v>
      </c>
      <c r="AM1667">
        <v>4559</v>
      </c>
      <c r="AN1667">
        <v>204</v>
      </c>
      <c r="AO1667">
        <v>1E-3</v>
      </c>
      <c r="AP1667">
        <v>-1</v>
      </c>
      <c r="AQ1667">
        <v>0.56999999999999995</v>
      </c>
      <c r="AR1667">
        <v>-4.01</v>
      </c>
      <c r="AS1667">
        <v>15.37</v>
      </c>
      <c r="AT1667">
        <v>25.28</v>
      </c>
      <c r="AU1667">
        <v>58.67</v>
      </c>
      <c r="AV1667">
        <v>1</v>
      </c>
      <c r="AW1667">
        <v>5.13</v>
      </c>
      <c r="AX1667">
        <v>71.28</v>
      </c>
      <c r="AY1667" t="s">
        <v>120</v>
      </c>
      <c r="AZ1667" t="s">
        <v>120</v>
      </c>
      <c r="BA1667">
        <v>0.53</v>
      </c>
      <c r="BB1667" t="s">
        <v>184</v>
      </c>
      <c r="BF1667">
        <v>-2.93</v>
      </c>
      <c r="BG1667">
        <v>-5.09</v>
      </c>
      <c r="BH1667">
        <v>-5.54</v>
      </c>
      <c r="BI1667">
        <v>0</v>
      </c>
      <c r="BJ1667">
        <v>20210821</v>
      </c>
      <c r="BK1667">
        <v>20120315</v>
      </c>
      <c r="BL1667">
        <v>25.43</v>
      </c>
      <c r="BM1667" t="s">
        <v>120</v>
      </c>
      <c r="BN1667" t="s">
        <v>120</v>
      </c>
      <c r="BO1667">
        <v>141.05000000000001</v>
      </c>
      <c r="BP1667">
        <v>10.050000000000001</v>
      </c>
      <c r="BQ1667">
        <v>73.69</v>
      </c>
      <c r="BR1667">
        <v>0.24</v>
      </c>
      <c r="BS1667">
        <v>47.59</v>
      </c>
      <c r="BT1667">
        <v>103.8</v>
      </c>
      <c r="BU1667">
        <v>9.18</v>
      </c>
      <c r="BV1667">
        <v>5.14</v>
      </c>
      <c r="BW1667">
        <v>53.21</v>
      </c>
      <c r="BX1667">
        <v>21.17</v>
      </c>
      <c r="BY1667">
        <v>29.03</v>
      </c>
      <c r="BZ1667">
        <v>24.91</v>
      </c>
      <c r="CA1667" t="s">
        <v>120</v>
      </c>
      <c r="CB1667">
        <v>20.66</v>
      </c>
      <c r="CC1667">
        <v>36.01</v>
      </c>
      <c r="CD1667">
        <v>25.19</v>
      </c>
      <c r="CE1667">
        <v>3.56</v>
      </c>
      <c r="CF1667">
        <v>0.03</v>
      </c>
      <c r="CG1667">
        <v>3.56</v>
      </c>
      <c r="CH1667">
        <v>2.86</v>
      </c>
      <c r="CI1667">
        <v>2.85</v>
      </c>
      <c r="CJ1667">
        <v>-0.54</v>
      </c>
      <c r="CK1667">
        <v>2.61</v>
      </c>
      <c r="CL1667">
        <v>29</v>
      </c>
      <c r="CM1667">
        <v>0.35</v>
      </c>
      <c r="CN1667">
        <v>-5.72</v>
      </c>
      <c r="CO1667">
        <v>72843</v>
      </c>
      <c r="CP1667">
        <v>24885</v>
      </c>
      <c r="CQ1667" t="s">
        <v>8541</v>
      </c>
      <c r="CR1667">
        <v>26.69</v>
      </c>
      <c r="CS1667">
        <v>24.16</v>
      </c>
      <c r="CT1667">
        <v>3.47</v>
      </c>
      <c r="CU1667">
        <v>738.94</v>
      </c>
      <c r="CV1667">
        <v>7.1</v>
      </c>
      <c r="CW1667">
        <v>0.19</v>
      </c>
      <c r="CX1667" t="s">
        <v>8542</v>
      </c>
      <c r="CY1667">
        <v>2.9</v>
      </c>
      <c r="CZ1667">
        <v>0</v>
      </c>
      <c r="DA1667">
        <v>0.81</v>
      </c>
      <c r="DB1667">
        <v>1.1399999999999999</v>
      </c>
      <c r="DC1667">
        <v>0.01</v>
      </c>
      <c r="DD1667">
        <v>52.24</v>
      </c>
      <c r="DE1667" t="s">
        <v>5809</v>
      </c>
      <c r="DF1667">
        <v>30.03</v>
      </c>
      <c r="DG1667">
        <v>9.8800000000000008</v>
      </c>
      <c r="DH1667">
        <v>7.91</v>
      </c>
      <c r="DI1667">
        <v>1.54</v>
      </c>
      <c r="DJ1667">
        <v>4462</v>
      </c>
      <c r="DK1667">
        <v>300296</v>
      </c>
      <c r="DL1667" t="s">
        <v>120</v>
      </c>
      <c r="DM1667" t="s">
        <v>120</v>
      </c>
      <c r="DN1667" t="s">
        <v>120</v>
      </c>
    </row>
    <row r="1668" spans="1:118">
      <c r="A1668" t="str">
        <f>"300297"</f>
        <v>300297</v>
      </c>
      <c r="B1668" t="s">
        <v>8543</v>
      </c>
      <c r="C1668">
        <v>-2.96</v>
      </c>
      <c r="D1668">
        <v>-0.24</v>
      </c>
      <c r="E1668">
        <v>2.2200000000000002</v>
      </c>
      <c r="F1668">
        <v>9683</v>
      </c>
      <c r="G1668" t="s">
        <v>8544</v>
      </c>
      <c r="H1668">
        <v>21760.5</v>
      </c>
      <c r="I1668">
        <v>218.01</v>
      </c>
      <c r="J1668" t="s">
        <v>120</v>
      </c>
      <c r="K1668" t="s">
        <v>2843</v>
      </c>
      <c r="L1668">
        <v>5.34</v>
      </c>
      <c r="M1668">
        <v>3.93</v>
      </c>
      <c r="N1668">
        <v>0.47</v>
      </c>
      <c r="O1668">
        <v>2.96</v>
      </c>
      <c r="P1668">
        <v>4.17</v>
      </c>
      <c r="Q1668">
        <v>-3.21</v>
      </c>
      <c r="R1668">
        <v>3.92</v>
      </c>
      <c r="S1668">
        <v>4.1399999999999997</v>
      </c>
      <c r="T1668">
        <v>546289</v>
      </c>
      <c r="U1668">
        <v>3.94</v>
      </c>
      <c r="V1668">
        <v>4.05</v>
      </c>
      <c r="W1668" t="s">
        <v>120</v>
      </c>
      <c r="X1668" t="s">
        <v>141</v>
      </c>
      <c r="Y1668" t="s">
        <v>578</v>
      </c>
      <c r="Z1668">
        <v>6.17</v>
      </c>
      <c r="AA1668">
        <v>3.98</v>
      </c>
      <c r="AB1668">
        <v>318058</v>
      </c>
      <c r="AC1668">
        <v>228231</v>
      </c>
      <c r="AD1668">
        <v>1.39</v>
      </c>
      <c r="AE1668">
        <v>3948</v>
      </c>
      <c r="AF1668">
        <v>1021</v>
      </c>
      <c r="AG1668" t="s">
        <v>120</v>
      </c>
      <c r="AH1668">
        <v>7.0000000000000007E-2</v>
      </c>
      <c r="AI1668" t="s">
        <v>120</v>
      </c>
      <c r="AJ1668">
        <v>10.23</v>
      </c>
      <c r="AK1668" t="s">
        <v>5364</v>
      </c>
      <c r="AL1668">
        <v>-1.05</v>
      </c>
      <c r="AM1668">
        <v>3722</v>
      </c>
      <c r="AN1668">
        <v>147</v>
      </c>
      <c r="AO1668">
        <v>1.4E-3</v>
      </c>
      <c r="AP1668">
        <v>-3</v>
      </c>
      <c r="AQ1668">
        <v>-3.11</v>
      </c>
      <c r="AR1668">
        <v>-8.18</v>
      </c>
      <c r="AS1668">
        <v>14.91</v>
      </c>
      <c r="AT1668">
        <v>-7.1</v>
      </c>
      <c r="AU1668">
        <v>-20.77</v>
      </c>
      <c r="AV1668">
        <v>5</v>
      </c>
      <c r="AW1668">
        <v>7.21</v>
      </c>
      <c r="AX1668">
        <v>60.65</v>
      </c>
      <c r="AY1668" t="s">
        <v>120</v>
      </c>
      <c r="AZ1668" t="s">
        <v>120</v>
      </c>
      <c r="BA1668">
        <v>0.25</v>
      </c>
      <c r="BB1668" t="s">
        <v>125</v>
      </c>
      <c r="BF1668">
        <v>-1.65</v>
      </c>
      <c r="BG1668">
        <v>-5.07</v>
      </c>
      <c r="BH1668">
        <v>-5.76</v>
      </c>
      <c r="BI1668">
        <v>0.26</v>
      </c>
      <c r="BJ1668">
        <v>20210830</v>
      </c>
      <c r="BK1668">
        <v>20120315</v>
      </c>
      <c r="BL1668">
        <v>12.5</v>
      </c>
      <c r="BM1668" t="s">
        <v>120</v>
      </c>
      <c r="BN1668" t="s">
        <v>120</v>
      </c>
      <c r="BO1668">
        <v>69.52</v>
      </c>
      <c r="BP1668">
        <v>3.93</v>
      </c>
      <c r="BQ1668">
        <v>21.12</v>
      </c>
      <c r="BR1668">
        <v>1.1399999999999999</v>
      </c>
      <c r="BS1668">
        <v>67.989999999999995</v>
      </c>
      <c r="BT1668">
        <v>43.24</v>
      </c>
      <c r="BU1668">
        <v>4</v>
      </c>
      <c r="BV1668">
        <v>2.52</v>
      </c>
      <c r="BW1668">
        <v>44.64</v>
      </c>
      <c r="BX1668">
        <v>0.5</v>
      </c>
      <c r="BY1668">
        <v>0.73</v>
      </c>
      <c r="BZ1668">
        <v>29.47</v>
      </c>
      <c r="CA1668" t="s">
        <v>120</v>
      </c>
      <c r="CB1668">
        <v>22.44</v>
      </c>
      <c r="CC1668">
        <v>2.11</v>
      </c>
      <c r="CD1668">
        <v>1.52</v>
      </c>
      <c r="CE1668">
        <v>-6.63</v>
      </c>
      <c r="CF1668">
        <v>7.0000000000000007E-2</v>
      </c>
      <c r="CG1668">
        <v>-6.77</v>
      </c>
      <c r="CH1668">
        <v>-6.61</v>
      </c>
      <c r="CI1668">
        <v>-6.39</v>
      </c>
      <c r="CJ1668">
        <v>-0.12</v>
      </c>
      <c r="CK1668">
        <v>-6.37</v>
      </c>
      <c r="CL1668">
        <v>-14.42</v>
      </c>
      <c r="CM1668">
        <v>0.38</v>
      </c>
      <c r="CN1668">
        <v>0.01</v>
      </c>
      <c r="CO1668">
        <v>82560</v>
      </c>
      <c r="CP1668">
        <v>9181</v>
      </c>
      <c r="CQ1668" t="s">
        <v>918</v>
      </c>
      <c r="CR1668">
        <v>-846.38</v>
      </c>
      <c r="CS1668">
        <v>-57.67</v>
      </c>
      <c r="CT1668">
        <v>2.34</v>
      </c>
      <c r="CU1668">
        <v>127.7</v>
      </c>
      <c r="CV1668">
        <v>23.26</v>
      </c>
      <c r="CW1668">
        <v>0</v>
      </c>
      <c r="CX1668" t="s">
        <v>8545</v>
      </c>
      <c r="CY1668">
        <v>1.68</v>
      </c>
      <c r="CZ1668">
        <v>1.68</v>
      </c>
      <c r="DA1668">
        <v>1.8</v>
      </c>
      <c r="DB1668">
        <v>-1.1499999999999999</v>
      </c>
      <c r="DC1668">
        <v>0.03</v>
      </c>
      <c r="DD1668">
        <v>30.37</v>
      </c>
      <c r="DE1668" t="s">
        <v>8546</v>
      </c>
      <c r="DF1668">
        <v>28.03</v>
      </c>
      <c r="DG1668">
        <v>-313.76</v>
      </c>
      <c r="DH1668">
        <v>-302.67</v>
      </c>
      <c r="DI1668">
        <v>0.96</v>
      </c>
      <c r="DJ1668">
        <v>786</v>
      </c>
      <c r="DK1668">
        <v>300297</v>
      </c>
      <c r="DL1668">
        <v>20210916</v>
      </c>
      <c r="DM1668">
        <v>4.05</v>
      </c>
      <c r="DN1668">
        <v>-2.96</v>
      </c>
    </row>
    <row r="1669" spans="1:118">
      <c r="A1669" t="str">
        <f>"300298"</f>
        <v>300298</v>
      </c>
      <c r="B1669" t="s">
        <v>8547</v>
      </c>
      <c r="C1669">
        <v>-0.92</v>
      </c>
      <c r="D1669">
        <v>0</v>
      </c>
      <c r="E1669">
        <v>0.04</v>
      </c>
      <c r="F1669">
        <v>271</v>
      </c>
      <c r="G1669" t="s">
        <v>8548</v>
      </c>
      <c r="H1669">
        <v>2399.27</v>
      </c>
      <c r="I1669">
        <v>1.75</v>
      </c>
      <c r="J1669" t="s">
        <v>120</v>
      </c>
      <c r="K1669" t="s">
        <v>8549</v>
      </c>
      <c r="L1669">
        <v>0.21</v>
      </c>
      <c r="M1669">
        <v>24.82</v>
      </c>
      <c r="N1669">
        <v>0.88</v>
      </c>
      <c r="O1669">
        <v>0.72</v>
      </c>
      <c r="P1669">
        <v>25.23</v>
      </c>
      <c r="Q1669">
        <v>-2</v>
      </c>
      <c r="R1669">
        <v>24.55</v>
      </c>
      <c r="S1669">
        <v>25.06</v>
      </c>
      <c r="T1669">
        <v>9703</v>
      </c>
      <c r="U1669">
        <v>24.83</v>
      </c>
      <c r="V1669">
        <v>25.05</v>
      </c>
      <c r="W1669">
        <v>58.89</v>
      </c>
      <c r="X1669" t="s">
        <v>555</v>
      </c>
      <c r="Y1669" t="s">
        <v>594</v>
      </c>
      <c r="Z1669">
        <v>2.71</v>
      </c>
      <c r="AA1669">
        <v>24.73</v>
      </c>
      <c r="AB1669">
        <v>5463</v>
      </c>
      <c r="AC1669">
        <v>4240</v>
      </c>
      <c r="AD1669">
        <v>1.29</v>
      </c>
      <c r="AE1669">
        <v>12</v>
      </c>
      <c r="AF1669">
        <v>47</v>
      </c>
      <c r="AG1669" t="s">
        <v>120</v>
      </c>
      <c r="AH1669">
        <v>0</v>
      </c>
      <c r="AI1669" t="s">
        <v>120</v>
      </c>
      <c r="AJ1669">
        <v>4.55</v>
      </c>
      <c r="AK1669" t="s">
        <v>8550</v>
      </c>
      <c r="AL1669">
        <v>1</v>
      </c>
      <c r="AM1669">
        <v>950</v>
      </c>
      <c r="AN1669">
        <v>10</v>
      </c>
      <c r="AO1669">
        <v>2.0000000000000001E-4</v>
      </c>
      <c r="AP1669">
        <v>-3</v>
      </c>
      <c r="AQ1669">
        <v>-0.6</v>
      </c>
      <c r="AR1669">
        <v>-3.92</v>
      </c>
      <c r="AS1669">
        <v>-11.61</v>
      </c>
      <c r="AT1669">
        <v>-20.55</v>
      </c>
      <c r="AU1669">
        <v>-30.28</v>
      </c>
      <c r="AV1669">
        <v>0</v>
      </c>
      <c r="AW1669">
        <v>0.33</v>
      </c>
      <c r="AX1669">
        <v>52.48</v>
      </c>
      <c r="AY1669">
        <v>95.95</v>
      </c>
      <c r="AZ1669">
        <v>75.7</v>
      </c>
      <c r="BA1669">
        <v>0.17</v>
      </c>
      <c r="BB1669" t="s">
        <v>240</v>
      </c>
      <c r="BF1669">
        <v>-1.29</v>
      </c>
      <c r="BG1669">
        <v>-0.96</v>
      </c>
      <c r="BH1669">
        <v>-1.63</v>
      </c>
      <c r="BI1669">
        <v>1.1000000000000001</v>
      </c>
      <c r="BJ1669">
        <v>20210820</v>
      </c>
      <c r="BK1669">
        <v>20120319</v>
      </c>
      <c r="BL1669">
        <v>5.65</v>
      </c>
      <c r="BM1669" t="s">
        <v>120</v>
      </c>
      <c r="BN1669" t="s">
        <v>120</v>
      </c>
      <c r="BO1669">
        <v>40.1</v>
      </c>
      <c r="BP1669">
        <v>24.82</v>
      </c>
      <c r="BQ1669">
        <v>28.21</v>
      </c>
      <c r="BR1669">
        <v>7.0000000000000007E-2</v>
      </c>
      <c r="BS1669">
        <v>29.48</v>
      </c>
      <c r="BT1669">
        <v>16.41</v>
      </c>
      <c r="BU1669">
        <v>8.3800000000000008</v>
      </c>
      <c r="BV1669">
        <v>2.39</v>
      </c>
      <c r="BW1669">
        <v>5.82</v>
      </c>
      <c r="BX1669">
        <v>8.7100000000000009</v>
      </c>
      <c r="BY1669">
        <v>3.46</v>
      </c>
      <c r="BZ1669">
        <v>3.29</v>
      </c>
      <c r="CA1669" t="s">
        <v>120</v>
      </c>
      <c r="CB1669">
        <v>12.18</v>
      </c>
      <c r="CC1669">
        <v>11.31</v>
      </c>
      <c r="CD1669">
        <v>3.95</v>
      </c>
      <c r="CE1669">
        <v>1.23</v>
      </c>
      <c r="CF1669">
        <v>-0.19</v>
      </c>
      <c r="CG1669">
        <v>1.32</v>
      </c>
      <c r="CH1669">
        <v>1.19</v>
      </c>
      <c r="CI1669">
        <v>1.19</v>
      </c>
      <c r="CJ1669">
        <v>-0.23</v>
      </c>
      <c r="CK1669">
        <v>1.1100000000000001</v>
      </c>
      <c r="CL1669">
        <v>6.19</v>
      </c>
      <c r="CM1669">
        <v>0.48</v>
      </c>
      <c r="CN1669">
        <v>-3.57</v>
      </c>
      <c r="CO1669">
        <v>14009</v>
      </c>
      <c r="CP1669">
        <v>21157</v>
      </c>
      <c r="CQ1669" t="s">
        <v>8551</v>
      </c>
      <c r="CR1669">
        <v>-24.89</v>
      </c>
      <c r="CS1669">
        <v>16.3</v>
      </c>
      <c r="CT1669">
        <v>5.2</v>
      </c>
      <c r="CU1669">
        <v>289.89999999999998</v>
      </c>
      <c r="CV1669">
        <v>12.4</v>
      </c>
      <c r="CW1669">
        <v>0.8</v>
      </c>
      <c r="CX1669" t="s">
        <v>2097</v>
      </c>
      <c r="CY1669">
        <v>4.7699999999999996</v>
      </c>
      <c r="CZ1669">
        <v>4.7699999999999996</v>
      </c>
      <c r="DA1669">
        <v>2.16</v>
      </c>
      <c r="DB1669">
        <v>1.1000000000000001</v>
      </c>
      <c r="DC1669">
        <v>0.09</v>
      </c>
      <c r="DD1669">
        <v>70.34</v>
      </c>
      <c r="DE1669" t="s">
        <v>8552</v>
      </c>
      <c r="DF1669">
        <v>65.069999999999993</v>
      </c>
      <c r="DG1669">
        <v>10.87</v>
      </c>
      <c r="DH1669">
        <v>10.52</v>
      </c>
      <c r="DI1669">
        <v>0.91</v>
      </c>
      <c r="DJ1669">
        <v>3138</v>
      </c>
      <c r="DK1669">
        <v>300298</v>
      </c>
      <c r="DL1669" t="s">
        <v>120</v>
      </c>
      <c r="DM1669" t="s">
        <v>120</v>
      </c>
      <c r="DN1669" t="s">
        <v>120</v>
      </c>
    </row>
    <row r="1670" spans="1:118">
      <c r="A1670" t="str">
        <f>"300299"</f>
        <v>300299</v>
      </c>
      <c r="B1670" t="s">
        <v>8553</v>
      </c>
      <c r="C1670">
        <v>-2.72</v>
      </c>
      <c r="D1670">
        <v>-0.19</v>
      </c>
      <c r="E1670">
        <v>0.78</v>
      </c>
      <c r="F1670">
        <v>2469</v>
      </c>
      <c r="G1670" t="s">
        <v>7123</v>
      </c>
      <c r="H1670">
        <v>6144.17</v>
      </c>
      <c r="I1670">
        <v>33.93</v>
      </c>
      <c r="J1670" t="s">
        <v>120</v>
      </c>
      <c r="K1670" t="s">
        <v>4682</v>
      </c>
      <c r="L1670">
        <v>1.86</v>
      </c>
      <c r="M1670">
        <v>5</v>
      </c>
      <c r="N1670">
        <v>0.57999999999999996</v>
      </c>
      <c r="O1670">
        <v>0.97</v>
      </c>
      <c r="P1670">
        <v>5.19</v>
      </c>
      <c r="Q1670">
        <v>-3.11</v>
      </c>
      <c r="R1670">
        <v>4.9800000000000004</v>
      </c>
      <c r="S1670">
        <v>5.18</v>
      </c>
      <c r="T1670">
        <v>120567</v>
      </c>
      <c r="U1670">
        <v>5.01</v>
      </c>
      <c r="V1670">
        <v>5.14</v>
      </c>
      <c r="W1670">
        <v>95.58</v>
      </c>
      <c r="X1670" t="s">
        <v>1531</v>
      </c>
      <c r="Y1670" t="s">
        <v>937</v>
      </c>
      <c r="Z1670">
        <v>4.09</v>
      </c>
      <c r="AA1670">
        <v>5.0999999999999996</v>
      </c>
      <c r="AB1670">
        <v>73714</v>
      </c>
      <c r="AC1670">
        <v>46853</v>
      </c>
      <c r="AD1670">
        <v>1.57</v>
      </c>
      <c r="AE1670">
        <v>1675</v>
      </c>
      <c r="AF1670">
        <v>1649</v>
      </c>
      <c r="AG1670" t="s">
        <v>120</v>
      </c>
      <c r="AH1670">
        <v>0.01</v>
      </c>
      <c r="AI1670" t="s">
        <v>120</v>
      </c>
      <c r="AJ1670">
        <v>6.47</v>
      </c>
      <c r="AK1670" t="s">
        <v>8554</v>
      </c>
      <c r="AL1670">
        <v>-0.81</v>
      </c>
      <c r="AM1670">
        <v>1887</v>
      </c>
      <c r="AN1670">
        <v>64</v>
      </c>
      <c r="AO1670">
        <v>1E-3</v>
      </c>
      <c r="AP1670">
        <v>-1</v>
      </c>
      <c r="AQ1670">
        <v>0.78</v>
      </c>
      <c r="AR1670">
        <v>-3.29</v>
      </c>
      <c r="AS1670">
        <v>-0.8</v>
      </c>
      <c r="AT1670">
        <v>-13.35</v>
      </c>
      <c r="AU1670">
        <v>-34.21</v>
      </c>
      <c r="AV1670">
        <v>0</v>
      </c>
      <c r="AW1670">
        <v>2.4700000000000002</v>
      </c>
      <c r="AX1670">
        <v>70.569999999999993</v>
      </c>
      <c r="AY1670">
        <v>95.99</v>
      </c>
      <c r="AZ1670">
        <v>96.78</v>
      </c>
      <c r="BA1670">
        <v>0.6</v>
      </c>
      <c r="BB1670" t="s">
        <v>125</v>
      </c>
      <c r="BF1670">
        <v>-0.85</v>
      </c>
      <c r="BG1670">
        <v>-3.47</v>
      </c>
      <c r="BH1670">
        <v>-3.66</v>
      </c>
      <c r="BI1670">
        <v>0.4</v>
      </c>
      <c r="BJ1670">
        <v>20210821</v>
      </c>
      <c r="BK1670">
        <v>20120319</v>
      </c>
      <c r="BL1670">
        <v>6.91</v>
      </c>
      <c r="BM1670" t="s">
        <v>120</v>
      </c>
      <c r="BN1670" t="s">
        <v>120</v>
      </c>
      <c r="BO1670">
        <v>12.17</v>
      </c>
      <c r="BP1670">
        <v>5</v>
      </c>
      <c r="BQ1670">
        <v>4.67</v>
      </c>
      <c r="BR1670">
        <v>0.11</v>
      </c>
      <c r="BS1670">
        <v>60.69</v>
      </c>
      <c r="BT1670">
        <v>6.15</v>
      </c>
      <c r="BU1670">
        <v>0.15</v>
      </c>
      <c r="BV1670">
        <v>0.1</v>
      </c>
      <c r="BW1670">
        <v>6.3</v>
      </c>
      <c r="BX1670">
        <v>0.68</v>
      </c>
      <c r="BY1670">
        <v>0.81</v>
      </c>
      <c r="BZ1670">
        <v>1.67</v>
      </c>
      <c r="CA1670">
        <v>0</v>
      </c>
      <c r="CB1670">
        <v>2.0699999999999998</v>
      </c>
      <c r="CC1670">
        <v>1.97</v>
      </c>
      <c r="CD1670">
        <v>0.91</v>
      </c>
      <c r="CE1670">
        <v>0.25</v>
      </c>
      <c r="CF1670">
        <v>-0.02</v>
      </c>
      <c r="CG1670">
        <v>0.25</v>
      </c>
      <c r="CH1670">
        <v>0.19</v>
      </c>
      <c r="CI1670">
        <v>0.18</v>
      </c>
      <c r="CJ1670">
        <v>-0.14000000000000001</v>
      </c>
      <c r="CK1670">
        <v>0.17</v>
      </c>
      <c r="CL1670">
        <v>-4.49</v>
      </c>
      <c r="CM1670">
        <v>7.0000000000000007E-2</v>
      </c>
      <c r="CN1670">
        <v>-0.32</v>
      </c>
      <c r="CO1670">
        <v>39092</v>
      </c>
      <c r="CP1670">
        <v>12478</v>
      </c>
      <c r="CQ1670" t="s">
        <v>471</v>
      </c>
      <c r="CR1670">
        <v>1.7</v>
      </c>
      <c r="CS1670">
        <v>-7.61</v>
      </c>
      <c r="CT1670">
        <v>7.4</v>
      </c>
      <c r="CU1670">
        <v>505.42</v>
      </c>
      <c r="CV1670">
        <v>17.579999999999998</v>
      </c>
      <c r="CW1670">
        <v>0</v>
      </c>
      <c r="CX1670" t="s">
        <v>2074</v>
      </c>
      <c r="CY1670">
        <v>0.68</v>
      </c>
      <c r="CZ1670">
        <v>0</v>
      </c>
      <c r="DA1670">
        <v>0.3</v>
      </c>
      <c r="DB1670">
        <v>-0.65</v>
      </c>
      <c r="DC1670">
        <v>0.01</v>
      </c>
      <c r="DD1670">
        <v>38.380000000000003</v>
      </c>
      <c r="DE1670" t="s">
        <v>1148</v>
      </c>
      <c r="DF1670">
        <v>53.83</v>
      </c>
      <c r="DG1670">
        <v>12.59</v>
      </c>
      <c r="DH1670">
        <v>9.1999999999999993</v>
      </c>
      <c r="DI1670">
        <v>0.42</v>
      </c>
      <c r="DJ1670">
        <v>812</v>
      </c>
      <c r="DK1670">
        <v>300299</v>
      </c>
      <c r="DL1670" t="s">
        <v>120</v>
      </c>
      <c r="DM1670" t="s">
        <v>120</v>
      </c>
      <c r="DN1670" t="s">
        <v>120</v>
      </c>
    </row>
    <row r="1671" spans="1:118">
      <c r="A1671" t="str">
        <f>"300300"</f>
        <v>300300</v>
      </c>
      <c r="B1671" t="s">
        <v>8555</v>
      </c>
      <c r="C1671">
        <v>-3.71</v>
      </c>
      <c r="D1671">
        <v>0</v>
      </c>
      <c r="E1671">
        <v>-0.35</v>
      </c>
      <c r="F1671">
        <v>2597</v>
      </c>
      <c r="G1671" t="s">
        <v>7790</v>
      </c>
      <c r="H1671">
        <v>10310.24</v>
      </c>
      <c r="I1671">
        <v>10.38</v>
      </c>
      <c r="J1671" t="s">
        <v>120</v>
      </c>
      <c r="K1671" t="s">
        <v>8556</v>
      </c>
      <c r="L1671">
        <v>2.77</v>
      </c>
      <c r="M1671">
        <v>5.45</v>
      </c>
      <c r="N1671">
        <v>0.9</v>
      </c>
      <c r="O1671">
        <v>0.88</v>
      </c>
      <c r="P1671">
        <v>5.71</v>
      </c>
      <c r="Q1671">
        <v>-4.24</v>
      </c>
      <c r="R1671">
        <v>5.42</v>
      </c>
      <c r="S1671">
        <v>5.64</v>
      </c>
      <c r="T1671">
        <v>186051</v>
      </c>
      <c r="U1671">
        <v>5.46</v>
      </c>
      <c r="V1671">
        <v>5.66</v>
      </c>
      <c r="W1671">
        <v>55.36</v>
      </c>
      <c r="X1671" t="s">
        <v>141</v>
      </c>
      <c r="Y1671" t="s">
        <v>937</v>
      </c>
      <c r="Z1671">
        <v>5.12</v>
      </c>
      <c r="AA1671">
        <v>5.54</v>
      </c>
      <c r="AB1671">
        <v>107213</v>
      </c>
      <c r="AC1671">
        <v>78838</v>
      </c>
      <c r="AD1671">
        <v>1.36</v>
      </c>
      <c r="AE1671">
        <v>431</v>
      </c>
      <c r="AF1671">
        <v>948</v>
      </c>
      <c r="AG1671" t="s">
        <v>120</v>
      </c>
      <c r="AH1671">
        <v>0</v>
      </c>
      <c r="AI1671" t="s">
        <v>120</v>
      </c>
      <c r="AJ1671">
        <v>6.71</v>
      </c>
      <c r="AK1671" t="s">
        <v>8556</v>
      </c>
      <c r="AL1671">
        <v>-1.8</v>
      </c>
      <c r="AM1671">
        <v>2324</v>
      </c>
      <c r="AN1671">
        <v>80</v>
      </c>
      <c r="AO1671">
        <v>1.1999999999999999E-3</v>
      </c>
      <c r="AP1671">
        <v>-2</v>
      </c>
      <c r="AQ1671">
        <v>-0.35</v>
      </c>
      <c r="AR1671">
        <v>-2.5</v>
      </c>
      <c r="AS1671">
        <v>6.86</v>
      </c>
      <c r="AT1671">
        <v>-5.22</v>
      </c>
      <c r="AU1671">
        <v>5.62</v>
      </c>
      <c r="AV1671">
        <v>2</v>
      </c>
      <c r="AW1671">
        <v>3.99</v>
      </c>
      <c r="AX1671">
        <v>69.459999999999994</v>
      </c>
      <c r="AY1671" t="s">
        <v>120</v>
      </c>
      <c r="AZ1671" t="s">
        <v>120</v>
      </c>
      <c r="BA1671">
        <v>0.82</v>
      </c>
      <c r="BB1671" t="s">
        <v>143</v>
      </c>
      <c r="BF1671">
        <v>-2.09</v>
      </c>
      <c r="BG1671">
        <v>-3.37</v>
      </c>
      <c r="BH1671">
        <v>-4.55</v>
      </c>
      <c r="BI1671">
        <v>0.55000000000000004</v>
      </c>
      <c r="BJ1671">
        <v>20210811</v>
      </c>
      <c r="BK1671">
        <v>20120319</v>
      </c>
      <c r="BL1671">
        <v>6.71</v>
      </c>
      <c r="BM1671" t="s">
        <v>120</v>
      </c>
      <c r="BN1671" t="s">
        <v>120</v>
      </c>
      <c r="BO1671">
        <v>19.47</v>
      </c>
      <c r="BP1671">
        <v>5.45</v>
      </c>
      <c r="BQ1671">
        <v>9.4</v>
      </c>
      <c r="BR1671">
        <v>-0.01</v>
      </c>
      <c r="BS1671">
        <v>51.73</v>
      </c>
      <c r="BT1671">
        <v>9.2899999999999991</v>
      </c>
      <c r="BU1671">
        <v>1.29</v>
      </c>
      <c r="BV1671">
        <v>0.01</v>
      </c>
      <c r="BW1671">
        <v>8.5299999999999994</v>
      </c>
      <c r="BX1671">
        <v>0.93</v>
      </c>
      <c r="BY1671">
        <v>1.1100000000000001</v>
      </c>
      <c r="BZ1671">
        <v>1.08</v>
      </c>
      <c r="CA1671">
        <v>0.01</v>
      </c>
      <c r="CB1671">
        <v>10.34</v>
      </c>
      <c r="CC1671">
        <v>3.13</v>
      </c>
      <c r="CD1671">
        <v>2.7</v>
      </c>
      <c r="CE1671">
        <v>0.42</v>
      </c>
      <c r="CF1671">
        <v>0.08</v>
      </c>
      <c r="CG1671">
        <v>0.36</v>
      </c>
      <c r="CH1671">
        <v>0.32</v>
      </c>
      <c r="CI1671">
        <v>0.33</v>
      </c>
      <c r="CJ1671">
        <v>-0.21</v>
      </c>
      <c r="CK1671">
        <v>-0.04</v>
      </c>
      <c r="CL1671">
        <v>-7.63</v>
      </c>
      <c r="CM1671">
        <v>-0.94</v>
      </c>
      <c r="CN1671">
        <v>-1.29</v>
      </c>
      <c r="CO1671">
        <v>34807</v>
      </c>
      <c r="CP1671">
        <v>13397</v>
      </c>
      <c r="CQ1671" t="s">
        <v>8557</v>
      </c>
      <c r="CR1671">
        <v>114.55</v>
      </c>
      <c r="CS1671">
        <v>232.44</v>
      </c>
      <c r="CT1671">
        <v>3.89</v>
      </c>
      <c r="CU1671">
        <v>-39.130000000000003</v>
      </c>
      <c r="CV1671">
        <v>11.7</v>
      </c>
      <c r="CW1671">
        <v>0</v>
      </c>
      <c r="CX1671" t="s">
        <v>1603</v>
      </c>
      <c r="CY1671">
        <v>1.4</v>
      </c>
      <c r="CZ1671">
        <v>0</v>
      </c>
      <c r="DA1671">
        <v>1.54</v>
      </c>
      <c r="DB1671">
        <v>-1.1399999999999999</v>
      </c>
      <c r="DC1671">
        <v>-0.14000000000000001</v>
      </c>
      <c r="DD1671">
        <v>48.3</v>
      </c>
      <c r="DE1671" t="s">
        <v>4021</v>
      </c>
      <c r="DF1671">
        <v>13.7</v>
      </c>
      <c r="DG1671">
        <v>13.34</v>
      </c>
      <c r="DH1671">
        <v>10.57</v>
      </c>
      <c r="DI1671">
        <v>7.0000000000000007E-2</v>
      </c>
      <c r="DJ1671">
        <v>362</v>
      </c>
      <c r="DK1671">
        <v>300300</v>
      </c>
      <c r="DL1671" t="s">
        <v>120</v>
      </c>
      <c r="DM1671" t="s">
        <v>120</v>
      </c>
      <c r="DN1671" t="s">
        <v>120</v>
      </c>
    </row>
    <row r="1672" spans="1:118">
      <c r="A1672" t="str">
        <f>"300301"</f>
        <v>300301</v>
      </c>
      <c r="B1672" t="s">
        <v>8558</v>
      </c>
      <c r="C1672">
        <v>-3.17</v>
      </c>
      <c r="D1672">
        <v>-0.28999999999999998</v>
      </c>
      <c r="E1672">
        <v>0</v>
      </c>
      <c r="F1672">
        <v>3565</v>
      </c>
      <c r="G1672" t="s">
        <v>8559</v>
      </c>
      <c r="H1672">
        <v>9151.34</v>
      </c>
      <c r="I1672">
        <v>40.43</v>
      </c>
      <c r="J1672" t="s">
        <v>120</v>
      </c>
      <c r="K1672" t="s">
        <v>5484</v>
      </c>
      <c r="L1672">
        <v>3.36</v>
      </c>
      <c r="M1672">
        <v>3.36</v>
      </c>
      <c r="N1672">
        <v>0.91</v>
      </c>
      <c r="O1672">
        <v>1.73</v>
      </c>
      <c r="P1672">
        <v>3.53</v>
      </c>
      <c r="Q1672">
        <v>-3.17</v>
      </c>
      <c r="R1672">
        <v>3.36</v>
      </c>
      <c r="S1672">
        <v>3.47</v>
      </c>
      <c r="T1672">
        <v>265219</v>
      </c>
      <c r="U1672">
        <v>3.37</v>
      </c>
      <c r="V1672">
        <v>3.47</v>
      </c>
      <c r="W1672" t="s">
        <v>120</v>
      </c>
      <c r="X1672" t="s">
        <v>3245</v>
      </c>
      <c r="Y1672" t="s">
        <v>123</v>
      </c>
      <c r="Z1672">
        <v>4.9000000000000004</v>
      </c>
      <c r="AA1672">
        <v>3.45</v>
      </c>
      <c r="AB1672">
        <v>146354</v>
      </c>
      <c r="AC1672">
        <v>118865</v>
      </c>
      <c r="AD1672">
        <v>1.23</v>
      </c>
      <c r="AE1672">
        <v>4532</v>
      </c>
      <c r="AF1672">
        <v>2513</v>
      </c>
      <c r="AG1672" t="s">
        <v>120</v>
      </c>
      <c r="AH1672">
        <v>0.02</v>
      </c>
      <c r="AI1672" t="s">
        <v>120</v>
      </c>
      <c r="AJ1672">
        <v>7.9</v>
      </c>
      <c r="AK1672" t="s">
        <v>5484</v>
      </c>
      <c r="AL1672">
        <v>-1.26</v>
      </c>
      <c r="AM1672">
        <v>2131</v>
      </c>
      <c r="AN1672">
        <v>124</v>
      </c>
      <c r="AO1672">
        <v>1.6000000000000001E-3</v>
      </c>
      <c r="AP1672">
        <v>-3</v>
      </c>
      <c r="AQ1672">
        <v>-1.7</v>
      </c>
      <c r="AR1672">
        <v>-5.08</v>
      </c>
      <c r="AS1672">
        <v>-6.67</v>
      </c>
      <c r="AT1672">
        <v>-17.04</v>
      </c>
      <c r="AU1672">
        <v>-26.96</v>
      </c>
      <c r="AV1672">
        <v>3</v>
      </c>
      <c r="AW1672">
        <v>5.61</v>
      </c>
      <c r="AX1672">
        <v>59.82</v>
      </c>
      <c r="AY1672" t="s">
        <v>120</v>
      </c>
      <c r="AZ1672" t="s">
        <v>120</v>
      </c>
      <c r="BA1672">
        <v>0.67</v>
      </c>
      <c r="BB1672" t="s">
        <v>125</v>
      </c>
      <c r="BF1672">
        <v>-0.56000000000000005</v>
      </c>
      <c r="BG1672">
        <v>-3.17</v>
      </c>
      <c r="BH1672">
        <v>-4.82</v>
      </c>
      <c r="BI1672">
        <v>0</v>
      </c>
      <c r="BJ1672">
        <v>20210830</v>
      </c>
      <c r="BK1672">
        <v>20120321</v>
      </c>
      <c r="BL1672">
        <v>7.9</v>
      </c>
      <c r="BM1672" t="s">
        <v>120</v>
      </c>
      <c r="BN1672" t="s">
        <v>120</v>
      </c>
      <c r="BO1672">
        <v>25.28</v>
      </c>
      <c r="BP1672">
        <v>3.36</v>
      </c>
      <c r="BQ1672">
        <v>11.46</v>
      </c>
      <c r="BR1672">
        <v>0.01</v>
      </c>
      <c r="BS1672">
        <v>54.65</v>
      </c>
      <c r="BT1672">
        <v>9.56</v>
      </c>
      <c r="BU1672">
        <v>5.94</v>
      </c>
      <c r="BV1672">
        <v>0.42</v>
      </c>
      <c r="BW1672">
        <v>11.91</v>
      </c>
      <c r="BX1672">
        <v>0.92</v>
      </c>
      <c r="BY1672">
        <v>2.14</v>
      </c>
      <c r="BZ1672">
        <v>6.15</v>
      </c>
      <c r="CA1672" t="s">
        <v>120</v>
      </c>
      <c r="CB1672">
        <v>7.56</v>
      </c>
      <c r="CC1672">
        <v>5.78</v>
      </c>
      <c r="CD1672">
        <v>4.71</v>
      </c>
      <c r="CE1672">
        <v>-0.24</v>
      </c>
      <c r="CF1672">
        <v>0</v>
      </c>
      <c r="CG1672">
        <v>-0.21</v>
      </c>
      <c r="CH1672">
        <v>-0.11</v>
      </c>
      <c r="CI1672">
        <v>-0.11</v>
      </c>
      <c r="CJ1672">
        <v>-0.11</v>
      </c>
      <c r="CK1672">
        <v>-0.32</v>
      </c>
      <c r="CL1672">
        <v>-4.28</v>
      </c>
      <c r="CM1672">
        <v>-0.6</v>
      </c>
      <c r="CN1672">
        <v>-0.47</v>
      </c>
      <c r="CO1672">
        <v>52249</v>
      </c>
      <c r="CP1672">
        <v>9046</v>
      </c>
      <c r="CQ1672" t="s">
        <v>3888</v>
      </c>
      <c r="CR1672">
        <v>67.989999999999995</v>
      </c>
      <c r="CS1672">
        <v>3.94</v>
      </c>
      <c r="CT1672">
        <v>2.3199999999999998</v>
      </c>
      <c r="CU1672">
        <v>-44.31</v>
      </c>
      <c r="CV1672">
        <v>4.59</v>
      </c>
      <c r="CW1672">
        <v>0</v>
      </c>
      <c r="CX1672" t="s">
        <v>7474</v>
      </c>
      <c r="CY1672">
        <v>1.45</v>
      </c>
      <c r="CZ1672">
        <v>0</v>
      </c>
      <c r="DA1672">
        <v>0.96</v>
      </c>
      <c r="DB1672">
        <v>-0.54</v>
      </c>
      <c r="DC1672">
        <v>-0.08</v>
      </c>
      <c r="DD1672">
        <v>45.31</v>
      </c>
      <c r="DE1672" t="s">
        <v>8560</v>
      </c>
      <c r="DF1672">
        <v>18.59</v>
      </c>
      <c r="DG1672">
        <v>-4.0999999999999996</v>
      </c>
      <c r="DH1672">
        <v>-1.87</v>
      </c>
      <c r="DI1672">
        <v>0.42</v>
      </c>
      <c r="DJ1672">
        <v>3907</v>
      </c>
      <c r="DK1672">
        <v>300301</v>
      </c>
      <c r="DL1672" t="s">
        <v>120</v>
      </c>
      <c r="DM1672" t="s">
        <v>120</v>
      </c>
      <c r="DN1672" t="s">
        <v>120</v>
      </c>
    </row>
    <row r="1673" spans="1:118">
      <c r="A1673" t="str">
        <f>"300302"</f>
        <v>300302</v>
      </c>
      <c r="B1673" t="s">
        <v>8561</v>
      </c>
      <c r="C1673">
        <v>2.4700000000000002</v>
      </c>
      <c r="D1673">
        <v>0.47</v>
      </c>
      <c r="E1673">
        <v>0.48</v>
      </c>
      <c r="F1673">
        <v>4779</v>
      </c>
      <c r="G1673" t="s">
        <v>8562</v>
      </c>
      <c r="H1673">
        <v>9882.02</v>
      </c>
      <c r="I1673">
        <v>24.6</v>
      </c>
      <c r="J1673" t="s">
        <v>120</v>
      </c>
      <c r="K1673" t="s">
        <v>8563</v>
      </c>
      <c r="L1673">
        <v>2.65</v>
      </c>
      <c r="M1673">
        <v>10.77</v>
      </c>
      <c r="N1673">
        <v>1.01</v>
      </c>
      <c r="O1673">
        <v>2.4700000000000002</v>
      </c>
      <c r="P1673">
        <v>10.77</v>
      </c>
      <c r="Q1673">
        <v>-0.1</v>
      </c>
      <c r="R1673">
        <v>10.5</v>
      </c>
      <c r="S1673">
        <v>10.56</v>
      </c>
      <c r="T1673">
        <v>92937</v>
      </c>
      <c r="U1673">
        <v>10.77</v>
      </c>
      <c r="V1673">
        <v>10.51</v>
      </c>
      <c r="W1673" t="s">
        <v>120</v>
      </c>
      <c r="X1673" t="s">
        <v>141</v>
      </c>
      <c r="Y1673" t="s">
        <v>158</v>
      </c>
      <c r="Z1673">
        <v>2.57</v>
      </c>
      <c r="AA1673">
        <v>10.63</v>
      </c>
      <c r="AB1673">
        <v>47433</v>
      </c>
      <c r="AC1673">
        <v>45504</v>
      </c>
      <c r="AD1673">
        <v>1.04</v>
      </c>
      <c r="AE1673">
        <v>174</v>
      </c>
      <c r="AF1673">
        <v>698</v>
      </c>
      <c r="AG1673" t="s">
        <v>120</v>
      </c>
      <c r="AH1673">
        <v>0.01</v>
      </c>
      <c r="AI1673" t="s">
        <v>120</v>
      </c>
      <c r="AJ1673">
        <v>3.51</v>
      </c>
      <c r="AK1673" t="s">
        <v>8564</v>
      </c>
      <c r="AL1673">
        <v>4.3899999999999997</v>
      </c>
      <c r="AM1673">
        <v>1985</v>
      </c>
      <c r="AN1673">
        <v>47</v>
      </c>
      <c r="AO1673">
        <v>1.2999999999999999E-3</v>
      </c>
      <c r="AP1673">
        <v>3</v>
      </c>
      <c r="AQ1673">
        <v>0.38</v>
      </c>
      <c r="AR1673">
        <v>3.66</v>
      </c>
      <c r="AS1673">
        <v>-15.8</v>
      </c>
      <c r="AT1673">
        <v>7.27</v>
      </c>
      <c r="AU1673">
        <v>-4.43</v>
      </c>
      <c r="AV1673">
        <v>0</v>
      </c>
      <c r="AW1673">
        <v>3.42</v>
      </c>
      <c r="AX1673">
        <v>55.66</v>
      </c>
      <c r="AY1673">
        <v>237.66</v>
      </c>
      <c r="AZ1673">
        <v>137.56</v>
      </c>
      <c r="BA1673">
        <v>0.6</v>
      </c>
      <c r="BB1673" t="s">
        <v>143</v>
      </c>
      <c r="BF1673">
        <v>1.17</v>
      </c>
      <c r="BG1673">
        <v>1.99</v>
      </c>
      <c r="BH1673">
        <v>0</v>
      </c>
      <c r="BI1673">
        <v>2.57</v>
      </c>
      <c r="BJ1673">
        <v>20210830</v>
      </c>
      <c r="BK1673">
        <v>20120321</v>
      </c>
      <c r="BL1673">
        <v>4.88</v>
      </c>
      <c r="BM1673" t="s">
        <v>120</v>
      </c>
      <c r="BN1673" t="s">
        <v>120</v>
      </c>
      <c r="BO1673">
        <v>18.37</v>
      </c>
      <c r="BP1673">
        <v>10.75</v>
      </c>
      <c r="BQ1673">
        <v>15.05</v>
      </c>
      <c r="BR1673" t="s">
        <v>120</v>
      </c>
      <c r="BS1673">
        <v>18.100000000000001</v>
      </c>
      <c r="BT1673">
        <v>8.7200000000000006</v>
      </c>
      <c r="BU1673">
        <v>1.07</v>
      </c>
      <c r="BV1673">
        <v>0.63</v>
      </c>
      <c r="BW1673">
        <v>2.2400000000000002</v>
      </c>
      <c r="BX1673">
        <v>1.61</v>
      </c>
      <c r="BY1673">
        <v>1.46</v>
      </c>
      <c r="BZ1673">
        <v>2.48</v>
      </c>
      <c r="CA1673" t="s">
        <v>120</v>
      </c>
      <c r="CB1673">
        <v>7.24</v>
      </c>
      <c r="CC1673">
        <v>1.59</v>
      </c>
      <c r="CD1673">
        <v>0.95</v>
      </c>
      <c r="CE1673">
        <v>-0.15</v>
      </c>
      <c r="CF1673">
        <v>-0.04</v>
      </c>
      <c r="CG1673">
        <v>-0.15</v>
      </c>
      <c r="CH1673">
        <v>-0.09</v>
      </c>
      <c r="CI1673">
        <v>-0.09</v>
      </c>
      <c r="CJ1673">
        <v>0.26</v>
      </c>
      <c r="CK1673">
        <v>-0.1</v>
      </c>
      <c r="CL1673">
        <v>2.95</v>
      </c>
      <c r="CM1673">
        <v>0.2</v>
      </c>
      <c r="CN1673">
        <v>-0.21</v>
      </c>
      <c r="CO1673">
        <v>28601</v>
      </c>
      <c r="CP1673">
        <v>9496</v>
      </c>
      <c r="CQ1673" t="s">
        <v>8565</v>
      </c>
      <c r="CR1673">
        <v>-222.09</v>
      </c>
      <c r="CS1673">
        <v>70.849999999999994</v>
      </c>
      <c r="CT1673">
        <v>3.49</v>
      </c>
      <c r="CU1673">
        <v>268.42</v>
      </c>
      <c r="CV1673">
        <v>32.979999999999997</v>
      </c>
      <c r="CW1673">
        <v>0.1</v>
      </c>
      <c r="CX1673" t="s">
        <v>419</v>
      </c>
      <c r="CY1673">
        <v>3.08</v>
      </c>
      <c r="CZ1673">
        <v>0</v>
      </c>
      <c r="DA1673">
        <v>1.48</v>
      </c>
      <c r="DB1673">
        <v>0.6</v>
      </c>
      <c r="DC1673">
        <v>0.04</v>
      </c>
      <c r="DD1673">
        <v>81.900000000000006</v>
      </c>
      <c r="DE1673" t="s">
        <v>8566</v>
      </c>
      <c r="DF1673">
        <v>40.119999999999997</v>
      </c>
      <c r="DG1673">
        <v>-9.3699999999999992</v>
      </c>
      <c r="DH1673">
        <v>-5.42</v>
      </c>
      <c r="DI1673">
        <v>0.23</v>
      </c>
      <c r="DJ1673">
        <v>347</v>
      </c>
      <c r="DK1673">
        <v>300302</v>
      </c>
      <c r="DL1673" t="s">
        <v>120</v>
      </c>
      <c r="DM1673" t="s">
        <v>120</v>
      </c>
      <c r="DN1673" t="s">
        <v>120</v>
      </c>
    </row>
    <row r="1674" spans="1:118">
      <c r="A1674" t="str">
        <f>"300303"</f>
        <v>300303</v>
      </c>
      <c r="B1674" t="s">
        <v>8567</v>
      </c>
      <c r="C1674">
        <v>-4.37</v>
      </c>
      <c r="D1674">
        <v>0.17</v>
      </c>
      <c r="E1674">
        <v>-0.49</v>
      </c>
      <c r="F1674">
        <v>9151</v>
      </c>
      <c r="G1674" t="s">
        <v>8568</v>
      </c>
      <c r="H1674">
        <v>36498.230000000003</v>
      </c>
      <c r="I1674">
        <v>89.73</v>
      </c>
      <c r="J1674" t="s">
        <v>120</v>
      </c>
      <c r="K1674" t="s">
        <v>8569</v>
      </c>
      <c r="L1674">
        <v>4.96</v>
      </c>
      <c r="M1674">
        <v>5.91</v>
      </c>
      <c r="N1674">
        <v>1.03</v>
      </c>
      <c r="O1674">
        <v>0.65</v>
      </c>
      <c r="P1674">
        <v>6.22</v>
      </c>
      <c r="Q1674">
        <v>-5.0199999999999996</v>
      </c>
      <c r="R1674">
        <v>5.87</v>
      </c>
      <c r="S1674">
        <v>6.15</v>
      </c>
      <c r="T1674">
        <v>603746</v>
      </c>
      <c r="U1674">
        <v>5.92</v>
      </c>
      <c r="V1674">
        <v>6.18</v>
      </c>
      <c r="W1674">
        <v>31.93</v>
      </c>
      <c r="X1674" t="s">
        <v>3245</v>
      </c>
      <c r="Y1674" t="s">
        <v>123</v>
      </c>
      <c r="Z1674">
        <v>5.66</v>
      </c>
      <c r="AA1674">
        <v>6.05</v>
      </c>
      <c r="AB1674">
        <v>338421</v>
      </c>
      <c r="AC1674">
        <v>265325</v>
      </c>
      <c r="AD1674">
        <v>1.28</v>
      </c>
      <c r="AE1674">
        <v>1172</v>
      </c>
      <c r="AF1674">
        <v>972</v>
      </c>
      <c r="AG1674" t="s">
        <v>120</v>
      </c>
      <c r="AH1674">
        <v>0.01</v>
      </c>
      <c r="AI1674" t="s">
        <v>120</v>
      </c>
      <c r="AJ1674">
        <v>12.16</v>
      </c>
      <c r="AK1674" t="s">
        <v>8570</v>
      </c>
      <c r="AL1674">
        <v>-2.46</v>
      </c>
      <c r="AM1674">
        <v>3976</v>
      </c>
      <c r="AN1674">
        <v>152</v>
      </c>
      <c r="AO1674">
        <v>1.1999999999999999E-3</v>
      </c>
      <c r="AP1674">
        <v>-2</v>
      </c>
      <c r="AQ1674">
        <v>-2.2200000000000002</v>
      </c>
      <c r="AR1674">
        <v>-5.89</v>
      </c>
      <c r="AS1674">
        <v>-9.35</v>
      </c>
      <c r="AT1674">
        <v>14.1</v>
      </c>
      <c r="AU1674">
        <v>14.1</v>
      </c>
      <c r="AV1674">
        <v>2</v>
      </c>
      <c r="AW1674">
        <v>5.82</v>
      </c>
      <c r="AX1674">
        <v>77.25</v>
      </c>
      <c r="AY1674">
        <v>28.97</v>
      </c>
      <c r="AZ1674">
        <v>27.21</v>
      </c>
      <c r="BA1674">
        <v>0.73</v>
      </c>
      <c r="BB1674" t="s">
        <v>134</v>
      </c>
      <c r="BF1674">
        <v>-2.1800000000000002</v>
      </c>
      <c r="BG1674">
        <v>-3.9</v>
      </c>
      <c r="BH1674">
        <v>-4.9800000000000004</v>
      </c>
      <c r="BI1674">
        <v>0.68</v>
      </c>
      <c r="BJ1674">
        <v>20210902</v>
      </c>
      <c r="BK1674">
        <v>20120319</v>
      </c>
      <c r="BL1674">
        <v>13.43</v>
      </c>
      <c r="BM1674" t="s">
        <v>120</v>
      </c>
      <c r="BN1674" t="s">
        <v>120</v>
      </c>
      <c r="BO1674">
        <v>48.69</v>
      </c>
      <c r="BP1674">
        <v>5.91</v>
      </c>
      <c r="BQ1674">
        <v>24.57</v>
      </c>
      <c r="BR1674">
        <v>0.14000000000000001</v>
      </c>
      <c r="BS1674">
        <v>49.26</v>
      </c>
      <c r="BT1674">
        <v>34.71</v>
      </c>
      <c r="BU1674">
        <v>9.69</v>
      </c>
      <c r="BV1674">
        <v>1.26</v>
      </c>
      <c r="BW1674">
        <v>16.63</v>
      </c>
      <c r="BX1674">
        <v>9.15</v>
      </c>
      <c r="BY1674">
        <v>2.86</v>
      </c>
      <c r="BZ1674">
        <v>8.2899999999999991</v>
      </c>
      <c r="CA1674" t="s">
        <v>120</v>
      </c>
      <c r="CB1674">
        <v>0.47</v>
      </c>
      <c r="CC1674">
        <v>11.4</v>
      </c>
      <c r="CD1674">
        <v>8.51</v>
      </c>
      <c r="CE1674">
        <v>1.33</v>
      </c>
      <c r="CF1674">
        <v>0.09</v>
      </c>
      <c r="CG1674">
        <v>1.33</v>
      </c>
      <c r="CH1674">
        <v>1.27</v>
      </c>
      <c r="CI1674">
        <v>1.24</v>
      </c>
      <c r="CJ1674">
        <v>-0.27</v>
      </c>
      <c r="CK1674">
        <v>1.03</v>
      </c>
      <c r="CL1674">
        <v>9.0500000000000007</v>
      </c>
      <c r="CM1674">
        <v>5.01</v>
      </c>
      <c r="CN1674">
        <v>-0.77</v>
      </c>
      <c r="CO1674">
        <v>73393</v>
      </c>
      <c r="CP1674">
        <v>14132</v>
      </c>
      <c r="CQ1674" t="s">
        <v>6203</v>
      </c>
      <c r="CR1674">
        <v>-13</v>
      </c>
      <c r="CS1674">
        <v>13.93</v>
      </c>
      <c r="CT1674">
        <v>3.19</v>
      </c>
      <c r="CU1674">
        <v>15.85</v>
      </c>
      <c r="CV1674">
        <v>6.96</v>
      </c>
      <c r="CW1674">
        <v>1.53</v>
      </c>
      <c r="CX1674" t="s">
        <v>411</v>
      </c>
      <c r="CY1674">
        <v>1.85</v>
      </c>
      <c r="CZ1674">
        <v>1.85</v>
      </c>
      <c r="DA1674">
        <v>0.03</v>
      </c>
      <c r="DB1674">
        <v>0.67</v>
      </c>
      <c r="DC1674">
        <v>0.37</v>
      </c>
      <c r="DD1674">
        <v>50.46</v>
      </c>
      <c r="DE1674" t="s">
        <v>1394</v>
      </c>
      <c r="DF1674">
        <v>25.33</v>
      </c>
      <c r="DG1674">
        <v>11.64</v>
      </c>
      <c r="DH1674">
        <v>10.9</v>
      </c>
      <c r="DI1674">
        <v>0.65</v>
      </c>
      <c r="DJ1674">
        <v>2419</v>
      </c>
      <c r="DK1674">
        <v>300303</v>
      </c>
      <c r="DL1674" t="s">
        <v>120</v>
      </c>
      <c r="DM1674" t="s">
        <v>120</v>
      </c>
      <c r="DN1674" t="s">
        <v>120</v>
      </c>
    </row>
    <row r="1675" spans="1:118">
      <c r="A1675" t="str">
        <f>"300304"</f>
        <v>300304</v>
      </c>
      <c r="B1675" t="s">
        <v>8571</v>
      </c>
      <c r="C1675">
        <v>-2.35</v>
      </c>
      <c r="D1675">
        <v>-0.13</v>
      </c>
      <c r="E1675">
        <v>-0.28000000000000003</v>
      </c>
      <c r="F1675">
        <v>4645</v>
      </c>
      <c r="G1675" t="s">
        <v>7036</v>
      </c>
      <c r="H1675">
        <v>24210.54</v>
      </c>
      <c r="I1675">
        <v>54.15</v>
      </c>
      <c r="J1675" t="s">
        <v>120</v>
      </c>
      <c r="K1675" t="s">
        <v>8572</v>
      </c>
      <c r="L1675">
        <v>3.97</v>
      </c>
      <c r="M1675">
        <v>7.06</v>
      </c>
      <c r="N1675">
        <v>0.84</v>
      </c>
      <c r="O1675">
        <v>3.04</v>
      </c>
      <c r="P1675">
        <v>7.45</v>
      </c>
      <c r="Q1675">
        <v>-2.4900000000000002</v>
      </c>
      <c r="R1675">
        <v>7.05</v>
      </c>
      <c r="S1675">
        <v>7.21</v>
      </c>
      <c r="T1675">
        <v>335301</v>
      </c>
      <c r="U1675">
        <v>7.07</v>
      </c>
      <c r="V1675">
        <v>7.23</v>
      </c>
      <c r="W1675">
        <v>20.6</v>
      </c>
      <c r="X1675" t="s">
        <v>289</v>
      </c>
      <c r="Y1675" t="s">
        <v>319</v>
      </c>
      <c r="Z1675">
        <v>5.53</v>
      </c>
      <c r="AA1675">
        <v>7.22</v>
      </c>
      <c r="AB1675">
        <v>184544</v>
      </c>
      <c r="AC1675">
        <v>150757</v>
      </c>
      <c r="AD1675">
        <v>1.22</v>
      </c>
      <c r="AE1675">
        <v>873</v>
      </c>
      <c r="AF1675">
        <v>444</v>
      </c>
      <c r="AG1675" t="s">
        <v>120</v>
      </c>
      <c r="AH1675">
        <v>0.02</v>
      </c>
      <c r="AI1675" t="s">
        <v>120</v>
      </c>
      <c r="AJ1675">
        <v>8.44</v>
      </c>
      <c r="AK1675" t="s">
        <v>8573</v>
      </c>
      <c r="AL1675">
        <v>-0.44</v>
      </c>
      <c r="AM1675">
        <v>3249</v>
      </c>
      <c r="AN1675">
        <v>103</v>
      </c>
      <c r="AO1675">
        <v>1.1999999999999999E-3</v>
      </c>
      <c r="AP1675">
        <v>-1</v>
      </c>
      <c r="AQ1675">
        <v>1.97</v>
      </c>
      <c r="AR1675">
        <v>-2.08</v>
      </c>
      <c r="AS1675">
        <v>4.59</v>
      </c>
      <c r="AT1675">
        <v>29.54</v>
      </c>
      <c r="AU1675">
        <v>35.119999999999997</v>
      </c>
      <c r="AV1675">
        <v>1</v>
      </c>
      <c r="AW1675">
        <v>6.91</v>
      </c>
      <c r="AX1675">
        <v>56.03</v>
      </c>
      <c r="AY1675">
        <v>22.11</v>
      </c>
      <c r="AZ1675">
        <v>31.69</v>
      </c>
      <c r="BA1675">
        <v>0.48</v>
      </c>
      <c r="BB1675" t="s">
        <v>184</v>
      </c>
      <c r="BF1675">
        <v>-0.13</v>
      </c>
      <c r="BG1675">
        <v>-2.08</v>
      </c>
      <c r="BH1675">
        <v>-5.23</v>
      </c>
      <c r="BI1675">
        <v>0.14000000000000001</v>
      </c>
      <c r="BJ1675">
        <v>20210821</v>
      </c>
      <c r="BK1675">
        <v>20120321</v>
      </c>
      <c r="BL1675">
        <v>8.66</v>
      </c>
      <c r="BM1675" t="s">
        <v>120</v>
      </c>
      <c r="BN1675" t="s">
        <v>120</v>
      </c>
      <c r="BO1675">
        <v>30.57</v>
      </c>
      <c r="BP1675">
        <v>7.06</v>
      </c>
      <c r="BQ1675">
        <v>22.75</v>
      </c>
      <c r="BR1675">
        <v>0.99</v>
      </c>
      <c r="BS1675">
        <v>22.33</v>
      </c>
      <c r="BT1675">
        <v>20.93</v>
      </c>
      <c r="BU1675">
        <v>5.1100000000000003</v>
      </c>
      <c r="BV1675">
        <v>0.26</v>
      </c>
      <c r="BW1675">
        <v>6.03</v>
      </c>
      <c r="BX1675">
        <v>2.71</v>
      </c>
      <c r="BY1675">
        <v>2.81</v>
      </c>
      <c r="BZ1675">
        <v>3.05</v>
      </c>
      <c r="CA1675" t="s">
        <v>120</v>
      </c>
      <c r="CB1675">
        <v>3.81</v>
      </c>
      <c r="CC1675">
        <v>4.99</v>
      </c>
      <c r="CD1675">
        <v>3.21</v>
      </c>
      <c r="CE1675">
        <v>1.77</v>
      </c>
      <c r="CF1675">
        <v>0.6</v>
      </c>
      <c r="CG1675">
        <v>1.78</v>
      </c>
      <c r="CH1675">
        <v>1.59</v>
      </c>
      <c r="CI1675">
        <v>1.48</v>
      </c>
      <c r="CJ1675">
        <v>-0.17</v>
      </c>
      <c r="CK1675">
        <v>0.67</v>
      </c>
      <c r="CL1675">
        <v>9.17</v>
      </c>
      <c r="CM1675">
        <v>0.75</v>
      </c>
      <c r="CN1675">
        <v>1.31</v>
      </c>
      <c r="CO1675">
        <v>54443</v>
      </c>
      <c r="CP1675">
        <v>8912</v>
      </c>
      <c r="CQ1675" t="s">
        <v>1550</v>
      </c>
      <c r="CR1675">
        <v>136.09</v>
      </c>
      <c r="CS1675">
        <v>46.62</v>
      </c>
      <c r="CT1675">
        <v>2.69</v>
      </c>
      <c r="CU1675">
        <v>81.53</v>
      </c>
      <c r="CV1675">
        <v>12.26</v>
      </c>
      <c r="CW1675">
        <v>0.48</v>
      </c>
      <c r="CX1675" t="s">
        <v>1193</v>
      </c>
      <c r="CY1675">
        <v>2.63</v>
      </c>
      <c r="CZ1675">
        <v>0</v>
      </c>
      <c r="DA1675">
        <v>0.44</v>
      </c>
      <c r="DB1675">
        <v>1.06</v>
      </c>
      <c r="DC1675">
        <v>0.09</v>
      </c>
      <c r="DD1675">
        <v>74.42</v>
      </c>
      <c r="DE1675" t="s">
        <v>6646</v>
      </c>
      <c r="DF1675">
        <v>35.56</v>
      </c>
      <c r="DG1675">
        <v>35.549999999999997</v>
      </c>
      <c r="DH1675">
        <v>29.75</v>
      </c>
      <c r="DI1675">
        <v>0.51</v>
      </c>
      <c r="DJ1675">
        <v>956</v>
      </c>
      <c r="DK1675">
        <v>300304</v>
      </c>
      <c r="DL1675">
        <v>20210803</v>
      </c>
      <c r="DM1675">
        <v>7.48</v>
      </c>
      <c r="DN1675">
        <v>-5.61</v>
      </c>
    </row>
    <row r="1676" spans="1:118">
      <c r="A1676" t="str">
        <f>"300305"</f>
        <v>300305</v>
      </c>
      <c r="B1676" t="s">
        <v>8574</v>
      </c>
      <c r="C1676">
        <v>-4</v>
      </c>
      <c r="D1676">
        <v>-0.16</v>
      </c>
      <c r="E1676">
        <v>-1.56</v>
      </c>
      <c r="F1676">
        <v>984</v>
      </c>
      <c r="G1676" t="s">
        <v>8575</v>
      </c>
      <c r="H1676">
        <v>24087.86</v>
      </c>
      <c r="I1676">
        <v>58.62</v>
      </c>
      <c r="J1676" t="s">
        <v>120</v>
      </c>
      <c r="K1676" t="s">
        <v>8576</v>
      </c>
      <c r="L1676">
        <v>5.83</v>
      </c>
      <c r="M1676">
        <v>17.27</v>
      </c>
      <c r="N1676">
        <v>1</v>
      </c>
      <c r="O1676">
        <v>2.72</v>
      </c>
      <c r="P1676">
        <v>18.48</v>
      </c>
      <c r="Q1676">
        <v>-4.34</v>
      </c>
      <c r="R1676">
        <v>17.21</v>
      </c>
      <c r="S1676">
        <v>17.71</v>
      </c>
      <c r="T1676">
        <v>135492</v>
      </c>
      <c r="U1676">
        <v>17.28</v>
      </c>
      <c r="V1676">
        <v>17.989999999999998</v>
      </c>
      <c r="W1676">
        <v>19.46</v>
      </c>
      <c r="X1676" t="s">
        <v>2211</v>
      </c>
      <c r="Y1676" t="s">
        <v>319</v>
      </c>
      <c r="Z1676">
        <v>7.06</v>
      </c>
      <c r="AA1676">
        <v>17.78</v>
      </c>
      <c r="AB1676">
        <v>76912</v>
      </c>
      <c r="AC1676">
        <v>58580</v>
      </c>
      <c r="AD1676">
        <v>1.31</v>
      </c>
      <c r="AE1676">
        <v>6</v>
      </c>
      <c r="AF1676">
        <v>9</v>
      </c>
      <c r="AG1676" t="s">
        <v>120</v>
      </c>
      <c r="AH1676">
        <v>0.02</v>
      </c>
      <c r="AI1676" t="s">
        <v>120</v>
      </c>
      <c r="AJ1676">
        <v>2.33</v>
      </c>
      <c r="AK1676" t="s">
        <v>8577</v>
      </c>
      <c r="AL1676">
        <v>-2.09</v>
      </c>
      <c r="AM1676">
        <v>3208</v>
      </c>
      <c r="AN1676">
        <v>42</v>
      </c>
      <c r="AO1676">
        <v>1.8E-3</v>
      </c>
      <c r="AP1676">
        <v>-2</v>
      </c>
      <c r="AQ1676">
        <v>-2.97</v>
      </c>
      <c r="AR1676">
        <v>-2.82</v>
      </c>
      <c r="AS1676">
        <v>9.09</v>
      </c>
      <c r="AT1676">
        <v>21.27</v>
      </c>
      <c r="AU1676">
        <v>101.12</v>
      </c>
      <c r="AV1676">
        <v>2</v>
      </c>
      <c r="AW1676">
        <v>9.0500000000000007</v>
      </c>
      <c r="AX1676">
        <v>51.88</v>
      </c>
      <c r="AY1676">
        <v>22.69</v>
      </c>
      <c r="AZ1676">
        <v>33.26</v>
      </c>
      <c r="BA1676">
        <v>0.82</v>
      </c>
      <c r="BB1676" t="s">
        <v>143</v>
      </c>
      <c r="BF1676">
        <v>-1.18</v>
      </c>
      <c r="BG1676">
        <v>-2.48</v>
      </c>
      <c r="BH1676">
        <v>-6.55</v>
      </c>
      <c r="BI1676">
        <v>0.35</v>
      </c>
      <c r="BJ1676">
        <v>20210805</v>
      </c>
      <c r="BK1676">
        <v>20120329</v>
      </c>
      <c r="BL1676">
        <v>2.89</v>
      </c>
      <c r="BM1676" t="s">
        <v>120</v>
      </c>
      <c r="BN1676" t="s">
        <v>120</v>
      </c>
      <c r="BO1676">
        <v>19.28</v>
      </c>
      <c r="BP1676">
        <v>17.27</v>
      </c>
      <c r="BQ1676">
        <v>16.93</v>
      </c>
      <c r="BR1676" t="s">
        <v>120</v>
      </c>
      <c r="BS1676">
        <v>12.16</v>
      </c>
      <c r="BT1676">
        <v>12.05</v>
      </c>
      <c r="BU1676">
        <v>4.82</v>
      </c>
      <c r="BV1676">
        <v>0.64</v>
      </c>
      <c r="BW1676">
        <v>1.98</v>
      </c>
      <c r="BX1676">
        <v>3.13</v>
      </c>
      <c r="BY1676">
        <v>0.68</v>
      </c>
      <c r="BZ1676">
        <v>1.87</v>
      </c>
      <c r="CA1676" t="s">
        <v>120</v>
      </c>
      <c r="CB1676">
        <v>5.98</v>
      </c>
      <c r="CC1676">
        <v>6.46</v>
      </c>
      <c r="CD1676">
        <v>4.57</v>
      </c>
      <c r="CE1676">
        <v>1.5</v>
      </c>
      <c r="CF1676">
        <v>7.0000000000000007E-2</v>
      </c>
      <c r="CG1676">
        <v>1.5</v>
      </c>
      <c r="CH1676">
        <v>1.28</v>
      </c>
      <c r="CI1676">
        <v>1.28</v>
      </c>
      <c r="CJ1676">
        <v>-0.72</v>
      </c>
      <c r="CK1676">
        <v>1.21</v>
      </c>
      <c r="CL1676">
        <v>7.11</v>
      </c>
      <c r="CM1676">
        <v>-0.21</v>
      </c>
      <c r="CN1676">
        <v>-1.07</v>
      </c>
      <c r="CO1676">
        <v>13944</v>
      </c>
      <c r="CP1676">
        <v>10742</v>
      </c>
      <c r="CQ1676" t="s">
        <v>8578</v>
      </c>
      <c r="CR1676">
        <v>131.43</v>
      </c>
      <c r="CS1676">
        <v>60.42</v>
      </c>
      <c r="CT1676">
        <v>2.95</v>
      </c>
      <c r="CU1676">
        <v>-239.9</v>
      </c>
      <c r="CV1676">
        <v>7.73</v>
      </c>
      <c r="CW1676">
        <v>0.91</v>
      </c>
      <c r="CX1676" t="s">
        <v>8579</v>
      </c>
      <c r="CY1676">
        <v>5.86</v>
      </c>
      <c r="CZ1676">
        <v>0</v>
      </c>
      <c r="DA1676">
        <v>2.0699999999999998</v>
      </c>
      <c r="DB1676">
        <v>2.46</v>
      </c>
      <c r="DC1676">
        <v>-7.0000000000000007E-2</v>
      </c>
      <c r="DD1676">
        <v>87.84</v>
      </c>
      <c r="DE1676" t="s">
        <v>8580</v>
      </c>
      <c r="DF1676">
        <v>29.22</v>
      </c>
      <c r="DG1676">
        <v>23.29</v>
      </c>
      <c r="DH1676">
        <v>19.850000000000001</v>
      </c>
      <c r="DI1676">
        <v>0.22</v>
      </c>
      <c r="DJ1676">
        <v>398</v>
      </c>
      <c r="DK1676">
        <v>300305</v>
      </c>
      <c r="DL1676" t="s">
        <v>120</v>
      </c>
      <c r="DM1676" t="s">
        <v>120</v>
      </c>
      <c r="DN1676" t="s">
        <v>120</v>
      </c>
    </row>
    <row r="1677" spans="1:118">
      <c r="A1677" t="str">
        <f>"300306"</f>
        <v>300306</v>
      </c>
      <c r="B1677" t="s">
        <v>8581</v>
      </c>
      <c r="C1677">
        <v>1.34</v>
      </c>
      <c r="D1677">
        <v>-0.34</v>
      </c>
      <c r="E1677">
        <v>0.09</v>
      </c>
      <c r="F1677">
        <v>2472</v>
      </c>
      <c r="G1677" t="s">
        <v>8582</v>
      </c>
      <c r="H1677">
        <v>12526.73</v>
      </c>
      <c r="I1677">
        <v>53.94</v>
      </c>
      <c r="J1677" t="s">
        <v>120</v>
      </c>
      <c r="K1677" t="s">
        <v>8583</v>
      </c>
      <c r="L1677">
        <v>7.32</v>
      </c>
      <c r="M1677">
        <v>11.33</v>
      </c>
      <c r="N1677">
        <v>1.1399999999999999</v>
      </c>
      <c r="O1677">
        <v>2.59</v>
      </c>
      <c r="P1677">
        <v>11.47</v>
      </c>
      <c r="Q1677">
        <v>-1.34</v>
      </c>
      <c r="R1677">
        <v>11.03</v>
      </c>
      <c r="S1677">
        <v>11.19</v>
      </c>
      <c r="T1677">
        <v>111105</v>
      </c>
      <c r="U1677">
        <v>11.33</v>
      </c>
      <c r="V1677">
        <v>11.18</v>
      </c>
      <c r="W1677">
        <v>32.39</v>
      </c>
      <c r="X1677" t="s">
        <v>2717</v>
      </c>
      <c r="Y1677" t="s">
        <v>585</v>
      </c>
      <c r="Z1677">
        <v>3.94</v>
      </c>
      <c r="AA1677">
        <v>11.27</v>
      </c>
      <c r="AB1677">
        <v>52865</v>
      </c>
      <c r="AC1677">
        <v>58240</v>
      </c>
      <c r="AD1677">
        <v>0.91</v>
      </c>
      <c r="AE1677">
        <v>12</v>
      </c>
      <c r="AF1677">
        <v>2754</v>
      </c>
      <c r="AG1677" t="s">
        <v>120</v>
      </c>
      <c r="AH1677">
        <v>0.04</v>
      </c>
      <c r="AI1677" t="s">
        <v>120</v>
      </c>
      <c r="AJ1677">
        <v>1.52</v>
      </c>
      <c r="AK1677" t="s">
        <v>1893</v>
      </c>
      <c r="AL1677">
        <v>3.26</v>
      </c>
      <c r="AM1677">
        <v>2423</v>
      </c>
      <c r="AN1677">
        <v>46</v>
      </c>
      <c r="AO1677">
        <v>3.0000000000000001E-3</v>
      </c>
      <c r="AP1677">
        <v>3</v>
      </c>
      <c r="AQ1677">
        <v>0.09</v>
      </c>
      <c r="AR1677">
        <v>7.6</v>
      </c>
      <c r="AS1677">
        <v>13.64</v>
      </c>
      <c r="AT1677">
        <v>20.66</v>
      </c>
      <c r="AU1677">
        <v>7.15</v>
      </c>
      <c r="AV1677">
        <v>0</v>
      </c>
      <c r="AW1677">
        <v>9.7899999999999991</v>
      </c>
      <c r="AX1677">
        <v>42.19</v>
      </c>
      <c r="AY1677">
        <v>34.659999999999997</v>
      </c>
      <c r="AZ1677">
        <v>42.03</v>
      </c>
      <c r="BA1677">
        <v>1.03</v>
      </c>
      <c r="BB1677" t="s">
        <v>143</v>
      </c>
      <c r="BF1677">
        <v>0.85</v>
      </c>
      <c r="BG1677">
        <v>1.25</v>
      </c>
      <c r="BH1677">
        <v>-1.22</v>
      </c>
      <c r="BI1677">
        <v>2.72</v>
      </c>
      <c r="BJ1677">
        <v>20210828</v>
      </c>
      <c r="BK1677">
        <v>20120329</v>
      </c>
      <c r="BL1677">
        <v>2.69</v>
      </c>
      <c r="BM1677" t="s">
        <v>120</v>
      </c>
      <c r="BN1677" t="s">
        <v>120</v>
      </c>
      <c r="BO1677">
        <v>15.82</v>
      </c>
      <c r="BP1677">
        <v>11.32</v>
      </c>
      <c r="BQ1677">
        <v>14.27</v>
      </c>
      <c r="BR1677">
        <v>0.05</v>
      </c>
      <c r="BS1677">
        <v>9.4700000000000006</v>
      </c>
      <c r="BT1677">
        <v>9.8800000000000008</v>
      </c>
      <c r="BU1677">
        <v>3.16</v>
      </c>
      <c r="BV1677">
        <v>0.5</v>
      </c>
      <c r="BW1677">
        <v>1.41</v>
      </c>
      <c r="BX1677">
        <v>2.58</v>
      </c>
      <c r="BY1677">
        <v>1.7</v>
      </c>
      <c r="BZ1677">
        <v>0.42</v>
      </c>
      <c r="CA1677">
        <v>0.09</v>
      </c>
      <c r="CB1677">
        <v>9.65</v>
      </c>
      <c r="CC1677">
        <v>2</v>
      </c>
      <c r="CD1677">
        <v>0.87</v>
      </c>
      <c r="CE1677">
        <v>0.41</v>
      </c>
      <c r="CF1677">
        <v>0.03</v>
      </c>
      <c r="CG1677">
        <v>0.41</v>
      </c>
      <c r="CH1677">
        <v>0.47</v>
      </c>
      <c r="CI1677">
        <v>0.47</v>
      </c>
      <c r="CJ1677">
        <v>0.15</v>
      </c>
      <c r="CK1677">
        <v>0.28999999999999998</v>
      </c>
      <c r="CL1677">
        <v>1.48</v>
      </c>
      <c r="CM1677">
        <v>-0.16</v>
      </c>
      <c r="CN1677">
        <v>-0.54</v>
      </c>
      <c r="CO1677">
        <v>13885</v>
      </c>
      <c r="CP1677">
        <v>8172</v>
      </c>
      <c r="CQ1677" t="s">
        <v>6710</v>
      </c>
      <c r="CR1677">
        <v>47.84</v>
      </c>
      <c r="CS1677">
        <v>20.84</v>
      </c>
      <c r="CT1677">
        <v>2.14</v>
      </c>
      <c r="CU1677">
        <v>-195.14</v>
      </c>
      <c r="CV1677">
        <v>15.24</v>
      </c>
      <c r="CW1677">
        <v>1.48</v>
      </c>
      <c r="CX1677" t="s">
        <v>1193</v>
      </c>
      <c r="CY1677">
        <v>5.31</v>
      </c>
      <c r="CZ1677">
        <v>0</v>
      </c>
      <c r="DA1677">
        <v>3.59</v>
      </c>
      <c r="DB1677">
        <v>0.55000000000000004</v>
      </c>
      <c r="DC1677">
        <v>-0.06</v>
      </c>
      <c r="DD1677">
        <v>90.22</v>
      </c>
      <c r="DE1677" t="s">
        <v>6470</v>
      </c>
      <c r="DF1677">
        <v>56.44</v>
      </c>
      <c r="DG1677">
        <v>20.29</v>
      </c>
      <c r="DH1677">
        <v>23.53</v>
      </c>
      <c r="DI1677">
        <v>0.42</v>
      </c>
      <c r="DJ1677">
        <v>894</v>
      </c>
      <c r="DK1677">
        <v>300306</v>
      </c>
      <c r="DL1677" t="s">
        <v>120</v>
      </c>
      <c r="DM1677" t="s">
        <v>120</v>
      </c>
      <c r="DN1677" t="s">
        <v>120</v>
      </c>
    </row>
    <row r="1678" spans="1:118">
      <c r="A1678" t="str">
        <f>"300307"</f>
        <v>300307</v>
      </c>
      <c r="B1678" t="s">
        <v>8584</v>
      </c>
      <c r="C1678">
        <v>-5.09</v>
      </c>
      <c r="D1678">
        <v>-0.11</v>
      </c>
      <c r="E1678">
        <v>-0.47</v>
      </c>
      <c r="F1678">
        <v>3431</v>
      </c>
      <c r="G1678" t="s">
        <v>7572</v>
      </c>
      <c r="H1678">
        <v>14343.48</v>
      </c>
      <c r="I1678">
        <v>50.96</v>
      </c>
      <c r="J1678" t="s">
        <v>120</v>
      </c>
      <c r="K1678" t="s">
        <v>8197</v>
      </c>
      <c r="L1678">
        <v>2.25</v>
      </c>
      <c r="M1678">
        <v>8.02</v>
      </c>
      <c r="N1678">
        <v>0.97</v>
      </c>
      <c r="O1678">
        <v>0.71</v>
      </c>
      <c r="P1678">
        <v>8.51</v>
      </c>
      <c r="Q1678">
        <v>-5.21</v>
      </c>
      <c r="R1678">
        <v>8.01</v>
      </c>
      <c r="S1678">
        <v>8.41</v>
      </c>
      <c r="T1678">
        <v>173785</v>
      </c>
      <c r="U1678">
        <v>8.0299999999999994</v>
      </c>
      <c r="V1678">
        <v>8.4499999999999993</v>
      </c>
      <c r="W1678">
        <v>32.01</v>
      </c>
      <c r="X1678" t="s">
        <v>3820</v>
      </c>
      <c r="Y1678" t="s">
        <v>585</v>
      </c>
      <c r="Z1678">
        <v>5.92</v>
      </c>
      <c r="AA1678">
        <v>8.25</v>
      </c>
      <c r="AB1678">
        <v>100228</v>
      </c>
      <c r="AC1678">
        <v>73557</v>
      </c>
      <c r="AD1678">
        <v>1.36</v>
      </c>
      <c r="AE1678">
        <v>42</v>
      </c>
      <c r="AF1678">
        <v>164</v>
      </c>
      <c r="AG1678" t="s">
        <v>120</v>
      </c>
      <c r="AH1678">
        <v>0.02</v>
      </c>
      <c r="AI1678" t="s">
        <v>120</v>
      </c>
      <c r="AJ1678">
        <v>7.72</v>
      </c>
      <c r="AK1678" t="s">
        <v>8585</v>
      </c>
      <c r="AL1678">
        <v>-3.18</v>
      </c>
      <c r="AM1678">
        <v>2369</v>
      </c>
      <c r="AN1678">
        <v>73</v>
      </c>
      <c r="AO1678">
        <v>1E-3</v>
      </c>
      <c r="AP1678">
        <v>-2</v>
      </c>
      <c r="AQ1678">
        <v>-1.05</v>
      </c>
      <c r="AR1678">
        <v>-4.4000000000000004</v>
      </c>
      <c r="AS1678">
        <v>-13.67</v>
      </c>
      <c r="AT1678">
        <v>-10.39</v>
      </c>
      <c r="AU1678">
        <v>56.03</v>
      </c>
      <c r="AV1678">
        <v>2</v>
      </c>
      <c r="AW1678">
        <v>4.8099999999999996</v>
      </c>
      <c r="AX1678">
        <v>46.34</v>
      </c>
      <c r="AY1678" t="s">
        <v>120</v>
      </c>
      <c r="AZ1678" t="s">
        <v>120</v>
      </c>
      <c r="BA1678">
        <v>0.44</v>
      </c>
      <c r="BB1678" t="s">
        <v>143</v>
      </c>
      <c r="BF1678">
        <v>-2.3199999999999998</v>
      </c>
      <c r="BG1678">
        <v>-4.6399999999999997</v>
      </c>
      <c r="BH1678">
        <v>-5.76</v>
      </c>
      <c r="BI1678">
        <v>0.12</v>
      </c>
      <c r="BJ1678">
        <v>20210901</v>
      </c>
      <c r="BK1678">
        <v>20120329</v>
      </c>
      <c r="BL1678">
        <v>7.81</v>
      </c>
      <c r="BM1678" t="s">
        <v>120</v>
      </c>
      <c r="BN1678" t="s">
        <v>120</v>
      </c>
      <c r="BO1678">
        <v>38.299999999999997</v>
      </c>
      <c r="BP1678">
        <v>8.02</v>
      </c>
      <c r="BQ1678">
        <v>26.52</v>
      </c>
      <c r="BR1678">
        <v>-0.17</v>
      </c>
      <c r="BS1678">
        <v>31.21</v>
      </c>
      <c r="BT1678">
        <v>22.95</v>
      </c>
      <c r="BU1678">
        <v>10.61</v>
      </c>
      <c r="BV1678">
        <v>1.83</v>
      </c>
      <c r="BW1678">
        <v>11.62</v>
      </c>
      <c r="BX1678">
        <v>5.95</v>
      </c>
      <c r="BY1678">
        <v>7.12</v>
      </c>
      <c r="BZ1678">
        <v>7.76</v>
      </c>
      <c r="CA1678">
        <v>0.04</v>
      </c>
      <c r="CB1678">
        <v>18.690000000000001</v>
      </c>
      <c r="CC1678">
        <v>11.93</v>
      </c>
      <c r="CD1678">
        <v>8.6999999999999993</v>
      </c>
      <c r="CE1678">
        <v>0.98</v>
      </c>
      <c r="CF1678">
        <v>0.08</v>
      </c>
      <c r="CG1678">
        <v>0.96</v>
      </c>
      <c r="CH1678">
        <v>0.91</v>
      </c>
      <c r="CI1678">
        <v>0.98</v>
      </c>
      <c r="CJ1678">
        <v>-0.43</v>
      </c>
      <c r="CK1678">
        <v>0.85</v>
      </c>
      <c r="CL1678">
        <v>-2.5299999999999998</v>
      </c>
      <c r="CM1678">
        <v>0.87</v>
      </c>
      <c r="CN1678">
        <v>1.27</v>
      </c>
      <c r="CO1678">
        <v>24673</v>
      </c>
      <c r="CP1678">
        <v>14658</v>
      </c>
      <c r="CQ1678" t="s">
        <v>3618</v>
      </c>
      <c r="CR1678">
        <v>654.89</v>
      </c>
      <c r="CS1678">
        <v>75.39</v>
      </c>
      <c r="CT1678">
        <v>2.36</v>
      </c>
      <c r="CU1678">
        <v>71.55</v>
      </c>
      <c r="CV1678">
        <v>5.25</v>
      </c>
      <c r="CW1678">
        <v>0</v>
      </c>
      <c r="CX1678" t="s">
        <v>986</v>
      </c>
      <c r="CY1678">
        <v>3.4</v>
      </c>
      <c r="CZ1678">
        <v>0</v>
      </c>
      <c r="DA1678">
        <v>2.39</v>
      </c>
      <c r="DB1678">
        <v>-0.32</v>
      </c>
      <c r="DC1678">
        <v>0.11</v>
      </c>
      <c r="DD1678">
        <v>69.239999999999995</v>
      </c>
      <c r="DE1678" t="s">
        <v>270</v>
      </c>
      <c r="DF1678">
        <v>27.13</v>
      </c>
      <c r="DG1678">
        <v>8.2100000000000009</v>
      </c>
      <c r="DH1678">
        <v>8.19</v>
      </c>
      <c r="DI1678">
        <v>0.37</v>
      </c>
      <c r="DJ1678">
        <v>1595</v>
      </c>
      <c r="DK1678">
        <v>300307</v>
      </c>
      <c r="DL1678" t="s">
        <v>120</v>
      </c>
      <c r="DM1678" t="s">
        <v>120</v>
      </c>
      <c r="DN1678" t="s">
        <v>120</v>
      </c>
    </row>
    <row r="1679" spans="1:118">
      <c r="A1679" t="str">
        <f>"300308"</f>
        <v>300308</v>
      </c>
      <c r="B1679" t="s">
        <v>8586</v>
      </c>
      <c r="C1679">
        <v>-1.44</v>
      </c>
      <c r="D1679">
        <v>0.03</v>
      </c>
      <c r="E1679">
        <v>0.14000000000000001</v>
      </c>
      <c r="F1679">
        <v>1140</v>
      </c>
      <c r="G1679" t="s">
        <v>8587</v>
      </c>
      <c r="H1679">
        <v>14869.11</v>
      </c>
      <c r="I1679">
        <v>55.09</v>
      </c>
      <c r="J1679" t="s">
        <v>120</v>
      </c>
      <c r="K1679" t="s">
        <v>8588</v>
      </c>
      <c r="L1679">
        <v>0.63</v>
      </c>
      <c r="M1679">
        <v>34.32</v>
      </c>
      <c r="N1679">
        <v>0.76</v>
      </c>
      <c r="O1679">
        <v>1.67</v>
      </c>
      <c r="P1679">
        <v>35.4</v>
      </c>
      <c r="Q1679">
        <v>-1.49</v>
      </c>
      <c r="R1679">
        <v>34.299999999999997</v>
      </c>
      <c r="S1679">
        <v>34.869999999999997</v>
      </c>
      <c r="T1679">
        <v>42654</v>
      </c>
      <c r="U1679">
        <v>34.32</v>
      </c>
      <c r="V1679">
        <v>34.82</v>
      </c>
      <c r="W1679">
        <v>35.9</v>
      </c>
      <c r="X1679" t="s">
        <v>462</v>
      </c>
      <c r="Y1679" t="s">
        <v>638</v>
      </c>
      <c r="Z1679">
        <v>3.16</v>
      </c>
      <c r="AA1679">
        <v>34.86</v>
      </c>
      <c r="AB1679">
        <v>25914</v>
      </c>
      <c r="AC1679">
        <v>16740</v>
      </c>
      <c r="AD1679">
        <v>1.55</v>
      </c>
      <c r="AE1679">
        <v>271</v>
      </c>
      <c r="AF1679">
        <v>120</v>
      </c>
      <c r="AG1679" t="s">
        <v>120</v>
      </c>
      <c r="AH1679">
        <v>0</v>
      </c>
      <c r="AI1679" t="s">
        <v>120</v>
      </c>
      <c r="AJ1679">
        <v>6.82</v>
      </c>
      <c r="AK1679" t="s">
        <v>8589</v>
      </c>
      <c r="AL1679">
        <v>0.48</v>
      </c>
      <c r="AM1679">
        <v>2882</v>
      </c>
      <c r="AN1679">
        <v>15</v>
      </c>
      <c r="AO1679">
        <v>2.0000000000000001E-4</v>
      </c>
      <c r="AP1679">
        <v>-1</v>
      </c>
      <c r="AQ1679">
        <v>1.46</v>
      </c>
      <c r="AR1679">
        <v>0.28999999999999998</v>
      </c>
      <c r="AS1679">
        <v>-10.98</v>
      </c>
      <c r="AT1679">
        <v>-8.8699999999999992</v>
      </c>
      <c r="AU1679">
        <v>-32.36</v>
      </c>
      <c r="AV1679">
        <v>0</v>
      </c>
      <c r="AW1679">
        <v>0.89</v>
      </c>
      <c r="AX1679">
        <v>67.14</v>
      </c>
      <c r="AY1679">
        <v>29.52</v>
      </c>
      <c r="AZ1679">
        <v>28.69</v>
      </c>
      <c r="BA1679">
        <v>0.21</v>
      </c>
      <c r="BB1679" t="s">
        <v>143</v>
      </c>
      <c r="BF1679">
        <v>0.12</v>
      </c>
      <c r="BG1679">
        <v>-1.58</v>
      </c>
      <c r="BH1679">
        <v>-3.05</v>
      </c>
      <c r="BI1679">
        <v>0.06</v>
      </c>
      <c r="BJ1679">
        <v>20210903</v>
      </c>
      <c r="BK1679">
        <v>20120410</v>
      </c>
      <c r="BL1679">
        <v>7.13</v>
      </c>
      <c r="BM1679" t="s">
        <v>120</v>
      </c>
      <c r="BN1679" t="s">
        <v>120</v>
      </c>
      <c r="BO1679">
        <v>140.13</v>
      </c>
      <c r="BP1679">
        <v>34.31</v>
      </c>
      <c r="BQ1679">
        <v>82.02</v>
      </c>
      <c r="BR1679">
        <v>1.0900000000000001</v>
      </c>
      <c r="BS1679">
        <v>40.69</v>
      </c>
      <c r="BT1679">
        <v>75.959999999999994</v>
      </c>
      <c r="BU1679">
        <v>30.53</v>
      </c>
      <c r="BV1679">
        <v>4</v>
      </c>
      <c r="BW1679">
        <v>38.049999999999997</v>
      </c>
      <c r="BX1679">
        <v>13.34</v>
      </c>
      <c r="BY1679">
        <v>39.32</v>
      </c>
      <c r="BZ1679">
        <v>15.86</v>
      </c>
      <c r="CA1679" t="s">
        <v>120</v>
      </c>
      <c r="CB1679">
        <v>52.09</v>
      </c>
      <c r="CC1679">
        <v>32.979999999999997</v>
      </c>
      <c r="CD1679">
        <v>24.93</v>
      </c>
      <c r="CE1679">
        <v>3.71</v>
      </c>
      <c r="CF1679">
        <v>0.3</v>
      </c>
      <c r="CG1679">
        <v>3.7</v>
      </c>
      <c r="CH1679">
        <v>3.45</v>
      </c>
      <c r="CI1679">
        <v>3.41</v>
      </c>
      <c r="CJ1679">
        <v>-0.5</v>
      </c>
      <c r="CK1679">
        <v>3.08</v>
      </c>
      <c r="CL1679">
        <v>23.44</v>
      </c>
      <c r="CM1679">
        <v>0.04</v>
      </c>
      <c r="CN1679">
        <v>-3.35</v>
      </c>
      <c r="CO1679">
        <v>30679</v>
      </c>
      <c r="CP1679">
        <v>15605</v>
      </c>
      <c r="CQ1679" t="s">
        <v>4172</v>
      </c>
      <c r="CR1679">
        <v>-6.66</v>
      </c>
      <c r="CS1679">
        <v>1.64</v>
      </c>
      <c r="CT1679">
        <v>2.98</v>
      </c>
      <c r="CU1679">
        <v>6634.33</v>
      </c>
      <c r="CV1679">
        <v>7.42</v>
      </c>
      <c r="CW1679">
        <v>0.35</v>
      </c>
      <c r="CX1679" t="s">
        <v>780</v>
      </c>
      <c r="CY1679">
        <v>11.5</v>
      </c>
      <c r="CZ1679">
        <v>0</v>
      </c>
      <c r="DA1679">
        <v>7.31</v>
      </c>
      <c r="DB1679">
        <v>3.29</v>
      </c>
      <c r="DC1679">
        <v>0.01</v>
      </c>
      <c r="DD1679">
        <v>58.53</v>
      </c>
      <c r="DE1679" t="s">
        <v>8590</v>
      </c>
      <c r="DF1679">
        <v>24.4</v>
      </c>
      <c r="DG1679">
        <v>11.26</v>
      </c>
      <c r="DH1679">
        <v>10.33</v>
      </c>
      <c r="DI1679">
        <v>2.2799999999999998</v>
      </c>
      <c r="DJ1679">
        <v>5815</v>
      </c>
      <c r="DK1679">
        <v>300308</v>
      </c>
      <c r="DL1679" t="s">
        <v>120</v>
      </c>
      <c r="DM1679" t="s">
        <v>120</v>
      </c>
      <c r="DN1679" t="s">
        <v>120</v>
      </c>
    </row>
    <row r="1680" spans="1:118">
      <c r="A1680" t="str">
        <f>"300309"</f>
        <v>300309</v>
      </c>
      <c r="B1680" t="s">
        <v>8591</v>
      </c>
      <c r="C1680">
        <v>-2.93</v>
      </c>
      <c r="D1680">
        <v>0</v>
      </c>
      <c r="E1680">
        <v>-0.59</v>
      </c>
      <c r="F1680">
        <v>6789</v>
      </c>
      <c r="G1680" t="s">
        <v>8592</v>
      </c>
      <c r="H1680">
        <v>14569.61</v>
      </c>
      <c r="I1680">
        <v>84.58</v>
      </c>
      <c r="J1680" t="s">
        <v>120</v>
      </c>
      <c r="K1680" t="s">
        <v>5176</v>
      </c>
      <c r="L1680">
        <v>5.1100000000000003</v>
      </c>
      <c r="M1680">
        <v>3.31</v>
      </c>
      <c r="N1680">
        <v>0.68</v>
      </c>
      <c r="O1680">
        <v>1.47</v>
      </c>
      <c r="P1680">
        <v>3.46</v>
      </c>
      <c r="Q1680">
        <v>-3.52</v>
      </c>
      <c r="R1680">
        <v>3.29</v>
      </c>
      <c r="S1680">
        <v>3.39</v>
      </c>
      <c r="T1680">
        <v>432395</v>
      </c>
      <c r="U1680">
        <v>3.31</v>
      </c>
      <c r="V1680">
        <v>3.41</v>
      </c>
      <c r="W1680" t="s">
        <v>120</v>
      </c>
      <c r="X1680" t="s">
        <v>721</v>
      </c>
      <c r="Y1680" t="s">
        <v>158</v>
      </c>
      <c r="Z1680">
        <v>4.99</v>
      </c>
      <c r="AA1680">
        <v>3.37</v>
      </c>
      <c r="AB1680">
        <v>231973</v>
      </c>
      <c r="AC1680">
        <v>200422</v>
      </c>
      <c r="AD1680">
        <v>1.1599999999999999</v>
      </c>
      <c r="AE1680">
        <v>2895</v>
      </c>
      <c r="AF1680">
        <v>3489</v>
      </c>
      <c r="AG1680" t="s">
        <v>120</v>
      </c>
      <c r="AH1680">
        <v>0.03</v>
      </c>
      <c r="AI1680" t="s">
        <v>120</v>
      </c>
      <c r="AJ1680">
        <v>8.4600000000000009</v>
      </c>
      <c r="AK1680" t="s">
        <v>8593</v>
      </c>
      <c r="AL1680">
        <v>-1.02</v>
      </c>
      <c r="AM1680">
        <v>3116</v>
      </c>
      <c r="AN1680">
        <v>139</v>
      </c>
      <c r="AO1680">
        <v>1.6000000000000001E-3</v>
      </c>
      <c r="AP1680">
        <v>-1</v>
      </c>
      <c r="AQ1680">
        <v>0.28999999999999998</v>
      </c>
      <c r="AR1680">
        <v>-6.5</v>
      </c>
      <c r="AS1680">
        <v>-21.56</v>
      </c>
      <c r="AT1680">
        <v>14.14</v>
      </c>
      <c r="AU1680">
        <v>19.489999999999998</v>
      </c>
      <c r="AV1680">
        <v>3</v>
      </c>
      <c r="AW1680">
        <v>6.07</v>
      </c>
      <c r="AX1680">
        <v>80.45</v>
      </c>
      <c r="AY1680" t="s">
        <v>120</v>
      </c>
      <c r="AZ1680" t="s">
        <v>120</v>
      </c>
      <c r="BA1680">
        <v>1.57</v>
      </c>
      <c r="BB1680" t="s">
        <v>134</v>
      </c>
      <c r="BF1680">
        <v>-1.19</v>
      </c>
      <c r="BG1680">
        <v>-2.36</v>
      </c>
      <c r="BH1680">
        <v>-4.34</v>
      </c>
      <c r="BI1680">
        <v>0.61</v>
      </c>
      <c r="BJ1680">
        <v>20210827</v>
      </c>
      <c r="BK1680">
        <v>20120410</v>
      </c>
      <c r="BL1680">
        <v>8.86</v>
      </c>
      <c r="BM1680" t="s">
        <v>120</v>
      </c>
      <c r="BN1680" t="s">
        <v>120</v>
      </c>
      <c r="BO1680">
        <v>51.25</v>
      </c>
      <c r="BP1680">
        <v>3.3</v>
      </c>
      <c r="BQ1680">
        <v>-2.82</v>
      </c>
      <c r="BR1680">
        <v>0.15</v>
      </c>
      <c r="BS1680">
        <v>105.21</v>
      </c>
      <c r="BT1680">
        <v>22.36</v>
      </c>
      <c r="BU1680">
        <v>1.74</v>
      </c>
      <c r="BV1680">
        <v>0</v>
      </c>
      <c r="BW1680">
        <v>29.68</v>
      </c>
      <c r="BX1680">
        <v>0.55000000000000004</v>
      </c>
      <c r="BY1680">
        <v>14.19</v>
      </c>
      <c r="BZ1680">
        <v>0.64</v>
      </c>
      <c r="CA1680">
        <v>0.02</v>
      </c>
      <c r="CB1680">
        <v>6.67</v>
      </c>
      <c r="CC1680">
        <v>0.39</v>
      </c>
      <c r="CD1680">
        <v>2.1</v>
      </c>
      <c r="CE1680">
        <v>-4.28</v>
      </c>
      <c r="CF1680">
        <v>0.15</v>
      </c>
      <c r="CG1680">
        <v>-4.33</v>
      </c>
      <c r="CH1680">
        <v>-3.89</v>
      </c>
      <c r="CI1680">
        <v>-3.84</v>
      </c>
      <c r="CJ1680">
        <v>-0.1</v>
      </c>
      <c r="CK1680">
        <v>-3.83</v>
      </c>
      <c r="CL1680">
        <v>-18.010000000000002</v>
      </c>
      <c r="CM1680">
        <v>-0.28999999999999998</v>
      </c>
      <c r="CN1680">
        <v>-0.11</v>
      </c>
      <c r="CO1680">
        <v>43133</v>
      </c>
      <c r="CP1680">
        <v>16529</v>
      </c>
      <c r="CQ1680" t="s">
        <v>6385</v>
      </c>
      <c r="CR1680">
        <v>-8.75</v>
      </c>
      <c r="CS1680">
        <v>437.56</v>
      </c>
      <c r="CT1680">
        <v>-10.4</v>
      </c>
      <c r="CU1680">
        <v>-102.8</v>
      </c>
      <c r="CV1680">
        <v>74.900000000000006</v>
      </c>
      <c r="CW1680">
        <v>0</v>
      </c>
      <c r="CX1680" t="s">
        <v>8594</v>
      </c>
      <c r="CY1680">
        <v>-0.32</v>
      </c>
      <c r="CZ1680">
        <v>0</v>
      </c>
      <c r="DA1680">
        <v>0.75</v>
      </c>
      <c r="DB1680">
        <v>-2.0299999999999998</v>
      </c>
      <c r="DC1680">
        <v>-0.03</v>
      </c>
      <c r="DD1680">
        <v>-5.5</v>
      </c>
      <c r="DE1680" t="s">
        <v>120</v>
      </c>
      <c r="DF1680">
        <v>-437.24</v>
      </c>
      <c r="DG1680">
        <v>-1092.9000000000001</v>
      </c>
      <c r="DH1680">
        <v>-979.52</v>
      </c>
      <c r="DI1680" t="s">
        <v>120</v>
      </c>
      <c r="DJ1680">
        <v>174</v>
      </c>
      <c r="DK1680">
        <v>300309</v>
      </c>
      <c r="DL1680" t="s">
        <v>120</v>
      </c>
      <c r="DM1680" t="s">
        <v>120</v>
      </c>
      <c r="DN1680" t="s">
        <v>120</v>
      </c>
    </row>
    <row r="1681" spans="1:118">
      <c r="A1681" t="str">
        <f>"300310"</f>
        <v>300310</v>
      </c>
      <c r="B1681" t="s">
        <v>8595</v>
      </c>
      <c r="C1681">
        <v>-4.1900000000000004</v>
      </c>
      <c r="D1681">
        <v>-0.37</v>
      </c>
      <c r="E1681">
        <v>0.18</v>
      </c>
      <c r="F1681">
        <v>4709</v>
      </c>
      <c r="G1681" t="s">
        <v>8596</v>
      </c>
      <c r="H1681">
        <v>17921.240000000002</v>
      </c>
      <c r="I1681">
        <v>109.34</v>
      </c>
      <c r="J1681" t="s">
        <v>120</v>
      </c>
      <c r="K1681" t="s">
        <v>982</v>
      </c>
      <c r="L1681">
        <v>4.8</v>
      </c>
      <c r="M1681">
        <v>5.26</v>
      </c>
      <c r="N1681">
        <v>0.9</v>
      </c>
      <c r="O1681">
        <v>0.91</v>
      </c>
      <c r="P1681">
        <v>5.54</v>
      </c>
      <c r="Q1681">
        <v>-4.37</v>
      </c>
      <c r="R1681">
        <v>5.25</v>
      </c>
      <c r="S1681">
        <v>5.5</v>
      </c>
      <c r="T1681">
        <v>332104</v>
      </c>
      <c r="U1681">
        <v>5.27</v>
      </c>
      <c r="V1681">
        <v>5.49</v>
      </c>
      <c r="W1681">
        <v>78.94</v>
      </c>
      <c r="X1681" t="s">
        <v>462</v>
      </c>
      <c r="Y1681" t="s">
        <v>547</v>
      </c>
      <c r="Z1681">
        <v>5.28</v>
      </c>
      <c r="AA1681">
        <v>5.4</v>
      </c>
      <c r="AB1681">
        <v>212077</v>
      </c>
      <c r="AC1681">
        <v>120027</v>
      </c>
      <c r="AD1681">
        <v>1.77</v>
      </c>
      <c r="AE1681">
        <v>1660</v>
      </c>
      <c r="AF1681">
        <v>2632</v>
      </c>
      <c r="AG1681" t="s">
        <v>120</v>
      </c>
      <c r="AH1681">
        <v>0.03</v>
      </c>
      <c r="AI1681" t="s">
        <v>120</v>
      </c>
      <c r="AJ1681">
        <v>6.92</v>
      </c>
      <c r="AK1681" t="s">
        <v>6241</v>
      </c>
      <c r="AL1681">
        <v>-2.2799999999999998</v>
      </c>
      <c r="AM1681">
        <v>2567</v>
      </c>
      <c r="AN1681">
        <v>129</v>
      </c>
      <c r="AO1681">
        <v>1.9E-3</v>
      </c>
      <c r="AP1681">
        <v>-1</v>
      </c>
      <c r="AQ1681">
        <v>0.92</v>
      </c>
      <c r="AR1681">
        <v>-2.0499999999999998</v>
      </c>
      <c r="AS1681">
        <v>2.94</v>
      </c>
      <c r="AT1681">
        <v>13.85</v>
      </c>
      <c r="AU1681">
        <v>-0.94</v>
      </c>
      <c r="AV1681">
        <v>0</v>
      </c>
      <c r="AW1681">
        <v>5.14</v>
      </c>
      <c r="AX1681">
        <v>73.22</v>
      </c>
      <c r="AY1681">
        <v>151.76</v>
      </c>
      <c r="AZ1681">
        <v>232.96</v>
      </c>
      <c r="BA1681">
        <v>0.76</v>
      </c>
      <c r="BB1681" t="s">
        <v>184</v>
      </c>
      <c r="BF1681">
        <v>-1.71</v>
      </c>
      <c r="BG1681">
        <v>-4.3600000000000003</v>
      </c>
      <c r="BH1681">
        <v>-5.05</v>
      </c>
      <c r="BI1681">
        <v>0.19</v>
      </c>
      <c r="BJ1681">
        <v>20210813</v>
      </c>
      <c r="BK1681">
        <v>20120425</v>
      </c>
      <c r="BL1681">
        <v>8.82</v>
      </c>
      <c r="BM1681" t="s">
        <v>120</v>
      </c>
      <c r="BN1681" t="s">
        <v>120</v>
      </c>
      <c r="BO1681">
        <v>24.17</v>
      </c>
      <c r="BP1681">
        <v>5.26</v>
      </c>
      <c r="BQ1681">
        <v>17.5</v>
      </c>
      <c r="BR1681">
        <v>-0.2</v>
      </c>
      <c r="BS1681">
        <v>28.43</v>
      </c>
      <c r="BT1681">
        <v>19.579999999999998</v>
      </c>
      <c r="BU1681">
        <v>1.18</v>
      </c>
      <c r="BV1681">
        <v>0.13</v>
      </c>
      <c r="BW1681">
        <v>6.83</v>
      </c>
      <c r="BX1681">
        <v>6.2</v>
      </c>
      <c r="BY1681">
        <v>2.84</v>
      </c>
      <c r="BZ1681">
        <v>7.69</v>
      </c>
      <c r="CA1681" t="s">
        <v>120</v>
      </c>
      <c r="CB1681">
        <v>22.45</v>
      </c>
      <c r="CC1681">
        <v>10.51</v>
      </c>
      <c r="CD1681">
        <v>9.33</v>
      </c>
      <c r="CE1681">
        <v>0.28999999999999998</v>
      </c>
      <c r="CF1681">
        <v>0.02</v>
      </c>
      <c r="CG1681">
        <v>0.28000000000000003</v>
      </c>
      <c r="CH1681">
        <v>0.24</v>
      </c>
      <c r="CI1681">
        <v>0.28999999999999998</v>
      </c>
      <c r="CJ1681">
        <v>-0.23</v>
      </c>
      <c r="CK1681">
        <v>0.06</v>
      </c>
      <c r="CL1681">
        <v>-13.31</v>
      </c>
      <c r="CM1681">
        <v>-1.99</v>
      </c>
      <c r="CN1681">
        <v>-3.56</v>
      </c>
      <c r="CO1681">
        <v>45670</v>
      </c>
      <c r="CP1681">
        <v>14134</v>
      </c>
      <c r="CQ1681" t="s">
        <v>6497</v>
      </c>
      <c r="CR1681">
        <v>60.9</v>
      </c>
      <c r="CS1681">
        <v>5.54</v>
      </c>
      <c r="CT1681">
        <v>2.62</v>
      </c>
      <c r="CU1681">
        <v>-23.36</v>
      </c>
      <c r="CV1681">
        <v>4.41</v>
      </c>
      <c r="CW1681">
        <v>0</v>
      </c>
      <c r="CX1681" t="s">
        <v>2074</v>
      </c>
      <c r="CY1681">
        <v>2.0099999999999998</v>
      </c>
      <c r="CZ1681">
        <v>2.0099999999999998</v>
      </c>
      <c r="DA1681">
        <v>2.5499999999999998</v>
      </c>
      <c r="DB1681">
        <v>-1.51</v>
      </c>
      <c r="DC1681">
        <v>-0.23</v>
      </c>
      <c r="DD1681">
        <v>72.39</v>
      </c>
      <c r="DE1681" t="s">
        <v>1249</v>
      </c>
      <c r="DF1681">
        <v>11.18</v>
      </c>
      <c r="DG1681">
        <v>2.76</v>
      </c>
      <c r="DH1681">
        <v>2.8</v>
      </c>
      <c r="DI1681">
        <v>0.42</v>
      </c>
      <c r="DJ1681">
        <v>6446</v>
      </c>
      <c r="DK1681">
        <v>300310</v>
      </c>
      <c r="DL1681" t="s">
        <v>120</v>
      </c>
      <c r="DM1681" t="s">
        <v>120</v>
      </c>
      <c r="DN1681" t="s">
        <v>120</v>
      </c>
    </row>
    <row r="1682" spans="1:118">
      <c r="A1682" t="str">
        <f>"300311"</f>
        <v>300311</v>
      </c>
      <c r="B1682" t="s">
        <v>8597</v>
      </c>
      <c r="C1682">
        <v>-3.28</v>
      </c>
      <c r="D1682">
        <v>-0.12</v>
      </c>
      <c r="E1682">
        <v>0</v>
      </c>
      <c r="F1682">
        <v>5962</v>
      </c>
      <c r="G1682" t="s">
        <v>8598</v>
      </c>
      <c r="H1682">
        <v>30692.19</v>
      </c>
      <c r="I1682">
        <v>86.06</v>
      </c>
      <c r="J1682" t="s">
        <v>120</v>
      </c>
      <c r="K1682" t="s">
        <v>5604</v>
      </c>
      <c r="L1682">
        <v>7.04</v>
      </c>
      <c r="M1682">
        <v>7.95</v>
      </c>
      <c r="N1682">
        <v>0.72</v>
      </c>
      <c r="O1682">
        <v>2.5499999999999998</v>
      </c>
      <c r="P1682">
        <v>8.43</v>
      </c>
      <c r="Q1682">
        <v>-3.28</v>
      </c>
      <c r="R1682">
        <v>7.95</v>
      </c>
      <c r="S1682">
        <v>8.2200000000000006</v>
      </c>
      <c r="T1682">
        <v>376379</v>
      </c>
      <c r="U1682">
        <v>7.95</v>
      </c>
      <c r="V1682">
        <v>8.2200000000000006</v>
      </c>
      <c r="W1682" t="s">
        <v>120</v>
      </c>
      <c r="X1682" t="s">
        <v>141</v>
      </c>
      <c r="Y1682" t="s">
        <v>123</v>
      </c>
      <c r="Z1682">
        <v>5.84</v>
      </c>
      <c r="AA1682">
        <v>8.15</v>
      </c>
      <c r="AB1682">
        <v>213748</v>
      </c>
      <c r="AC1682">
        <v>162631</v>
      </c>
      <c r="AD1682">
        <v>1.31</v>
      </c>
      <c r="AE1682">
        <v>600</v>
      </c>
      <c r="AF1682">
        <v>2907</v>
      </c>
      <c r="AG1682" t="s">
        <v>120</v>
      </c>
      <c r="AH1682">
        <v>0.02</v>
      </c>
      <c r="AI1682" t="s">
        <v>120</v>
      </c>
      <c r="AJ1682">
        <v>5.34</v>
      </c>
      <c r="AK1682" t="s">
        <v>8599</v>
      </c>
      <c r="AL1682">
        <v>-1.37</v>
      </c>
      <c r="AM1682">
        <v>3638</v>
      </c>
      <c r="AN1682">
        <v>103</v>
      </c>
      <c r="AO1682">
        <v>1.9E-3</v>
      </c>
      <c r="AP1682">
        <v>-2</v>
      </c>
      <c r="AQ1682">
        <v>-2.38</v>
      </c>
      <c r="AR1682">
        <v>-3.17</v>
      </c>
      <c r="AS1682">
        <v>-12.35</v>
      </c>
      <c r="AT1682">
        <v>34.74</v>
      </c>
      <c r="AU1682">
        <v>32.06</v>
      </c>
      <c r="AV1682">
        <v>3</v>
      </c>
      <c r="AW1682">
        <v>8.0299999999999994</v>
      </c>
      <c r="AX1682">
        <v>69.61</v>
      </c>
      <c r="AY1682">
        <v>111.6</v>
      </c>
      <c r="AZ1682">
        <v>324.18</v>
      </c>
      <c r="BA1682">
        <v>0.67</v>
      </c>
      <c r="BB1682" t="s">
        <v>125</v>
      </c>
      <c r="BF1682">
        <v>-0.8</v>
      </c>
      <c r="BG1682">
        <v>-3.28</v>
      </c>
      <c r="BH1682">
        <v>-5.69</v>
      </c>
      <c r="BI1682">
        <v>0</v>
      </c>
      <c r="BJ1682">
        <v>20210831</v>
      </c>
      <c r="BK1682">
        <v>20120425</v>
      </c>
      <c r="BL1682">
        <v>6.74</v>
      </c>
      <c r="BM1682" t="s">
        <v>120</v>
      </c>
      <c r="BN1682" t="s">
        <v>120</v>
      </c>
      <c r="BO1682">
        <v>15.81</v>
      </c>
      <c r="BP1682">
        <v>7.94</v>
      </c>
      <c r="BQ1682">
        <v>8.74</v>
      </c>
      <c r="BR1682">
        <v>0.46</v>
      </c>
      <c r="BS1682">
        <v>41.77</v>
      </c>
      <c r="BT1682">
        <v>10.09</v>
      </c>
      <c r="BU1682">
        <v>1.59</v>
      </c>
      <c r="BV1682">
        <v>0.13</v>
      </c>
      <c r="BW1682">
        <v>6.14</v>
      </c>
      <c r="BX1682">
        <v>2.5299999999999998</v>
      </c>
      <c r="BY1682">
        <v>2.4300000000000002</v>
      </c>
      <c r="BZ1682">
        <v>3.56</v>
      </c>
      <c r="CA1682" t="s">
        <v>120</v>
      </c>
      <c r="CB1682">
        <v>1.57</v>
      </c>
      <c r="CC1682">
        <v>2.6</v>
      </c>
      <c r="CD1682">
        <v>1.19</v>
      </c>
      <c r="CE1682">
        <v>-0.45</v>
      </c>
      <c r="CF1682">
        <v>7.0000000000000007E-2</v>
      </c>
      <c r="CG1682">
        <v>-0.43</v>
      </c>
      <c r="CH1682">
        <v>-0.44</v>
      </c>
      <c r="CI1682">
        <v>-0.28999999999999998</v>
      </c>
      <c r="CJ1682">
        <v>-0.27</v>
      </c>
      <c r="CK1682">
        <v>-0.52</v>
      </c>
      <c r="CL1682">
        <v>-0.05</v>
      </c>
      <c r="CM1682">
        <v>-0.61</v>
      </c>
      <c r="CN1682">
        <v>-1.22</v>
      </c>
      <c r="CO1682">
        <v>85215</v>
      </c>
      <c r="CP1682">
        <v>5503</v>
      </c>
      <c r="CQ1682" t="s">
        <v>1675</v>
      </c>
      <c r="CR1682">
        <v>53.23</v>
      </c>
      <c r="CS1682">
        <v>0.6</v>
      </c>
      <c r="CT1682">
        <v>6.12</v>
      </c>
      <c r="CU1682">
        <v>-87.23</v>
      </c>
      <c r="CV1682">
        <v>20.58</v>
      </c>
      <c r="CW1682">
        <v>0</v>
      </c>
      <c r="CX1682" t="s">
        <v>1255</v>
      </c>
      <c r="CY1682">
        <v>1.3</v>
      </c>
      <c r="CZ1682">
        <v>0</v>
      </c>
      <c r="DA1682">
        <v>0.23</v>
      </c>
      <c r="DB1682">
        <v>-0.01</v>
      </c>
      <c r="DC1682">
        <v>-0.09</v>
      </c>
      <c r="DD1682">
        <v>55.31</v>
      </c>
      <c r="DE1682" t="s">
        <v>8600</v>
      </c>
      <c r="DF1682">
        <v>54.17</v>
      </c>
      <c r="DG1682">
        <v>-17.11</v>
      </c>
      <c r="DH1682">
        <v>-10.98</v>
      </c>
      <c r="DI1682">
        <v>0.88</v>
      </c>
      <c r="DJ1682">
        <v>1449</v>
      </c>
      <c r="DK1682">
        <v>300311</v>
      </c>
      <c r="DL1682">
        <v>20210712</v>
      </c>
      <c r="DM1682">
        <v>7.15</v>
      </c>
      <c r="DN1682">
        <v>11.19</v>
      </c>
    </row>
    <row r="1683" spans="1:118">
      <c r="A1683" t="str">
        <f>"300314"</f>
        <v>300314</v>
      </c>
      <c r="B1683" t="s">
        <v>8601</v>
      </c>
      <c r="C1683">
        <v>1.42</v>
      </c>
      <c r="D1683">
        <v>0</v>
      </c>
      <c r="E1683">
        <v>-0.41</v>
      </c>
      <c r="F1683">
        <v>282</v>
      </c>
      <c r="G1683" t="s">
        <v>8602</v>
      </c>
      <c r="H1683">
        <v>6367.26</v>
      </c>
      <c r="I1683">
        <v>23.73</v>
      </c>
      <c r="J1683" t="s">
        <v>120</v>
      </c>
      <c r="K1683" t="s">
        <v>8603</v>
      </c>
      <c r="L1683">
        <v>2.23</v>
      </c>
      <c r="M1683">
        <v>15.01</v>
      </c>
      <c r="N1683">
        <v>1.82</v>
      </c>
      <c r="O1683">
        <v>3.24</v>
      </c>
      <c r="P1683">
        <v>15.28</v>
      </c>
      <c r="Q1683">
        <v>-0.54</v>
      </c>
      <c r="R1683">
        <v>14.72</v>
      </c>
      <c r="S1683">
        <v>14.74</v>
      </c>
      <c r="T1683">
        <v>42311</v>
      </c>
      <c r="U1683">
        <v>15.02</v>
      </c>
      <c r="V1683">
        <v>14.8</v>
      </c>
      <c r="W1683">
        <v>32.159999999999997</v>
      </c>
      <c r="X1683" t="s">
        <v>555</v>
      </c>
      <c r="Y1683" t="s">
        <v>585</v>
      </c>
      <c r="Z1683">
        <v>3.78</v>
      </c>
      <c r="AA1683">
        <v>15.05</v>
      </c>
      <c r="AB1683">
        <v>19000</v>
      </c>
      <c r="AC1683">
        <v>23311</v>
      </c>
      <c r="AD1683">
        <v>0.82</v>
      </c>
      <c r="AE1683">
        <v>137</v>
      </c>
      <c r="AF1683">
        <v>188</v>
      </c>
      <c r="AG1683" t="s">
        <v>120</v>
      </c>
      <c r="AH1683">
        <v>0.02</v>
      </c>
      <c r="AI1683" t="s">
        <v>120</v>
      </c>
      <c r="AJ1683">
        <v>1.89</v>
      </c>
      <c r="AK1683" t="s">
        <v>8604</v>
      </c>
      <c r="AL1683">
        <v>3.33</v>
      </c>
      <c r="AM1683">
        <v>1467</v>
      </c>
      <c r="AN1683">
        <v>29</v>
      </c>
      <c r="AO1683">
        <v>1.5E-3</v>
      </c>
      <c r="AP1683">
        <v>1</v>
      </c>
      <c r="AQ1683">
        <v>-0.94</v>
      </c>
      <c r="AR1683">
        <v>-0.4</v>
      </c>
      <c r="AS1683">
        <v>-12.17</v>
      </c>
      <c r="AT1683">
        <v>-4.45</v>
      </c>
      <c r="AU1683">
        <v>-7.8</v>
      </c>
      <c r="AV1683">
        <v>1</v>
      </c>
      <c r="AW1683">
        <v>4.4000000000000004</v>
      </c>
      <c r="AX1683">
        <v>33.39</v>
      </c>
      <c r="AY1683">
        <v>29.13</v>
      </c>
      <c r="AZ1683">
        <v>31.3</v>
      </c>
      <c r="BA1683">
        <v>0.4</v>
      </c>
      <c r="BB1683" t="s">
        <v>134</v>
      </c>
      <c r="BF1683">
        <v>1.68</v>
      </c>
      <c r="BG1683">
        <v>1.83</v>
      </c>
      <c r="BH1683">
        <v>-1.77</v>
      </c>
      <c r="BI1683">
        <v>1.97</v>
      </c>
      <c r="BJ1683">
        <v>20210915</v>
      </c>
      <c r="BK1683">
        <v>20120508</v>
      </c>
      <c r="BL1683">
        <v>2.88</v>
      </c>
      <c r="BM1683" t="s">
        <v>120</v>
      </c>
      <c r="BN1683" t="s">
        <v>120</v>
      </c>
      <c r="BO1683">
        <v>10.88</v>
      </c>
      <c r="BP1683">
        <v>15.01</v>
      </c>
      <c r="BQ1683">
        <v>9.7799999999999994</v>
      </c>
      <c r="BR1683" t="s">
        <v>120</v>
      </c>
      <c r="BS1683">
        <v>10.15</v>
      </c>
      <c r="BT1683">
        <v>7.49</v>
      </c>
      <c r="BU1683">
        <v>2.06</v>
      </c>
      <c r="BV1683">
        <v>0.27</v>
      </c>
      <c r="BW1683">
        <v>1.05</v>
      </c>
      <c r="BX1683">
        <v>2.25</v>
      </c>
      <c r="BY1683">
        <v>1.32</v>
      </c>
      <c r="BZ1683">
        <v>0.26</v>
      </c>
      <c r="CA1683" t="s">
        <v>120</v>
      </c>
      <c r="CB1683">
        <v>1.76</v>
      </c>
      <c r="CC1683">
        <v>2.02</v>
      </c>
      <c r="CD1683">
        <v>0.75</v>
      </c>
      <c r="CE1683">
        <v>0.71</v>
      </c>
      <c r="CF1683">
        <v>0.33</v>
      </c>
      <c r="CG1683">
        <v>0.71</v>
      </c>
      <c r="CH1683">
        <v>0.67</v>
      </c>
      <c r="CI1683">
        <v>0.67</v>
      </c>
      <c r="CJ1683">
        <v>0.21</v>
      </c>
      <c r="CK1683">
        <v>0.6</v>
      </c>
      <c r="CL1683">
        <v>4.45</v>
      </c>
      <c r="CM1683">
        <v>-0.56000000000000005</v>
      </c>
      <c r="CN1683">
        <v>0.01</v>
      </c>
      <c r="CO1683">
        <v>25500</v>
      </c>
      <c r="CP1683">
        <v>3772</v>
      </c>
      <c r="CQ1683" t="s">
        <v>6750</v>
      </c>
      <c r="CR1683">
        <v>17.79</v>
      </c>
      <c r="CS1683">
        <v>12.43</v>
      </c>
      <c r="CT1683">
        <v>4.42</v>
      </c>
      <c r="CU1683">
        <v>-76.86</v>
      </c>
      <c r="CV1683">
        <v>21.37</v>
      </c>
      <c r="CW1683">
        <v>1.01</v>
      </c>
      <c r="CX1683" t="s">
        <v>4562</v>
      </c>
      <c r="CY1683">
        <v>3.39</v>
      </c>
      <c r="CZ1683">
        <v>0</v>
      </c>
      <c r="DA1683">
        <v>0.61</v>
      </c>
      <c r="DB1683">
        <v>1.55</v>
      </c>
      <c r="DC1683">
        <v>-0.2</v>
      </c>
      <c r="DD1683">
        <v>89.85</v>
      </c>
      <c r="DE1683" t="s">
        <v>1726</v>
      </c>
      <c r="DF1683">
        <v>62.86</v>
      </c>
      <c r="DG1683">
        <v>35</v>
      </c>
      <c r="DH1683">
        <v>33.229999999999997</v>
      </c>
      <c r="DI1683">
        <v>0.2</v>
      </c>
      <c r="DJ1683">
        <v>725</v>
      </c>
      <c r="DK1683">
        <v>300314</v>
      </c>
      <c r="DL1683" t="s">
        <v>120</v>
      </c>
      <c r="DM1683" t="s">
        <v>120</v>
      </c>
      <c r="DN1683" t="s">
        <v>120</v>
      </c>
    </row>
    <row r="1684" spans="1:118">
      <c r="A1684" t="str">
        <f>"300315"</f>
        <v>300315</v>
      </c>
      <c r="B1684" t="s">
        <v>8605</v>
      </c>
      <c r="C1684">
        <v>0.99</v>
      </c>
      <c r="D1684">
        <v>0.99</v>
      </c>
      <c r="E1684">
        <v>0.49</v>
      </c>
      <c r="F1684">
        <v>26739</v>
      </c>
      <c r="G1684" t="s">
        <v>8606</v>
      </c>
      <c r="H1684">
        <v>25776.34</v>
      </c>
      <c r="I1684">
        <v>41.31</v>
      </c>
      <c r="J1684" t="s">
        <v>120</v>
      </c>
      <c r="K1684" t="s">
        <v>8607</v>
      </c>
      <c r="L1684">
        <v>2.4</v>
      </c>
      <c r="M1684">
        <v>4.09</v>
      </c>
      <c r="N1684">
        <v>0.6</v>
      </c>
      <c r="O1684">
        <v>2.96</v>
      </c>
      <c r="P1684">
        <v>4.17</v>
      </c>
      <c r="Q1684">
        <v>-1.23</v>
      </c>
      <c r="R1684">
        <v>4</v>
      </c>
      <c r="S1684">
        <v>4.07</v>
      </c>
      <c r="T1684">
        <v>632286</v>
      </c>
      <c r="U1684">
        <v>4.09</v>
      </c>
      <c r="V1684">
        <v>4.05</v>
      </c>
      <c r="W1684">
        <v>30.14</v>
      </c>
      <c r="X1684" t="s">
        <v>1531</v>
      </c>
      <c r="Y1684" t="s">
        <v>158</v>
      </c>
      <c r="Z1684">
        <v>4.2</v>
      </c>
      <c r="AA1684">
        <v>4.08</v>
      </c>
      <c r="AB1684">
        <v>340847</v>
      </c>
      <c r="AC1684">
        <v>291439</v>
      </c>
      <c r="AD1684">
        <v>1.17</v>
      </c>
      <c r="AE1684">
        <v>1292</v>
      </c>
      <c r="AF1684">
        <v>5811</v>
      </c>
      <c r="AG1684" t="s">
        <v>120</v>
      </c>
      <c r="AH1684">
        <v>0</v>
      </c>
      <c r="AI1684" t="s">
        <v>120</v>
      </c>
      <c r="AJ1684">
        <v>26.32</v>
      </c>
      <c r="AK1684" t="s">
        <v>8608</v>
      </c>
      <c r="AL1684">
        <v>2.9</v>
      </c>
      <c r="AM1684">
        <v>3437</v>
      </c>
      <c r="AN1684">
        <v>184</v>
      </c>
      <c r="AO1684">
        <v>6.9999999999999999E-4</v>
      </c>
      <c r="AP1684">
        <v>1</v>
      </c>
      <c r="AQ1684">
        <v>-0.25</v>
      </c>
      <c r="AR1684">
        <v>-3.31</v>
      </c>
      <c r="AS1684">
        <v>15.21</v>
      </c>
      <c r="AT1684">
        <v>-6.83</v>
      </c>
      <c r="AU1684">
        <v>-19.96</v>
      </c>
      <c r="AV1684">
        <v>0</v>
      </c>
      <c r="AW1684">
        <v>2.58</v>
      </c>
      <c r="AX1684">
        <v>88.93</v>
      </c>
      <c r="AY1684">
        <v>184.35</v>
      </c>
      <c r="AZ1684">
        <v>35.24</v>
      </c>
      <c r="BA1684">
        <v>0.53</v>
      </c>
      <c r="BB1684" t="s">
        <v>143</v>
      </c>
      <c r="BF1684">
        <v>0.66</v>
      </c>
      <c r="BG1684">
        <v>0.49</v>
      </c>
      <c r="BH1684">
        <v>-1.92</v>
      </c>
      <c r="BI1684">
        <v>2.25</v>
      </c>
      <c r="BJ1684">
        <v>20210827</v>
      </c>
      <c r="BK1684">
        <v>20120511</v>
      </c>
      <c r="BL1684">
        <v>27.57</v>
      </c>
      <c r="BM1684" t="s">
        <v>120</v>
      </c>
      <c r="BN1684" t="s">
        <v>120</v>
      </c>
      <c r="BO1684">
        <v>63.97</v>
      </c>
      <c r="BP1684">
        <v>4.08</v>
      </c>
      <c r="BQ1684">
        <v>56.92</v>
      </c>
      <c r="BR1684" t="s">
        <v>120</v>
      </c>
      <c r="BS1684">
        <v>11.03</v>
      </c>
      <c r="BT1684">
        <v>29.33</v>
      </c>
      <c r="BU1684">
        <v>0.17</v>
      </c>
      <c r="BV1684">
        <v>0.42</v>
      </c>
      <c r="BW1684">
        <v>6.25</v>
      </c>
      <c r="BX1684">
        <v>23.93</v>
      </c>
      <c r="BY1684">
        <v>0.28000000000000003</v>
      </c>
      <c r="BZ1684">
        <v>3.81</v>
      </c>
      <c r="CA1684">
        <v>0.01</v>
      </c>
      <c r="CB1684">
        <v>38.17</v>
      </c>
      <c r="CC1684">
        <v>8.19</v>
      </c>
      <c r="CD1684">
        <v>2.25</v>
      </c>
      <c r="CE1684">
        <v>1.96</v>
      </c>
      <c r="CF1684">
        <v>0.59</v>
      </c>
      <c r="CG1684">
        <v>1.98</v>
      </c>
      <c r="CH1684">
        <v>1.87</v>
      </c>
      <c r="CI1684">
        <v>1.87</v>
      </c>
      <c r="CJ1684">
        <v>0.04</v>
      </c>
      <c r="CK1684">
        <v>1.78</v>
      </c>
      <c r="CL1684">
        <v>-2.92</v>
      </c>
      <c r="CM1684">
        <v>0.11</v>
      </c>
      <c r="CN1684">
        <v>-0.53</v>
      </c>
      <c r="CO1684">
        <v>180884</v>
      </c>
      <c r="CP1684">
        <v>13557</v>
      </c>
      <c r="CQ1684" t="s">
        <v>3857</v>
      </c>
      <c r="CR1684">
        <v>-57.81</v>
      </c>
      <c r="CS1684">
        <v>-11.56</v>
      </c>
      <c r="CT1684">
        <v>1.98</v>
      </c>
      <c r="CU1684">
        <v>984.26</v>
      </c>
      <c r="CV1684">
        <v>13.77</v>
      </c>
      <c r="CW1684">
        <v>0</v>
      </c>
      <c r="CX1684" t="s">
        <v>679</v>
      </c>
      <c r="CY1684">
        <v>2.06</v>
      </c>
      <c r="CZ1684">
        <v>0</v>
      </c>
      <c r="DA1684">
        <v>1.38</v>
      </c>
      <c r="DB1684">
        <v>-0.11</v>
      </c>
      <c r="DC1684">
        <v>0</v>
      </c>
      <c r="DD1684">
        <v>88.97</v>
      </c>
      <c r="DE1684" t="s">
        <v>8609</v>
      </c>
      <c r="DF1684">
        <v>72.540000000000006</v>
      </c>
      <c r="DG1684">
        <v>23.95</v>
      </c>
      <c r="DH1684">
        <v>22.83</v>
      </c>
      <c r="DI1684">
        <v>2.37</v>
      </c>
      <c r="DJ1684">
        <v>1377</v>
      </c>
      <c r="DK1684">
        <v>300315</v>
      </c>
      <c r="DL1684" t="s">
        <v>120</v>
      </c>
      <c r="DM1684" t="s">
        <v>120</v>
      </c>
      <c r="DN1684" t="s">
        <v>120</v>
      </c>
    </row>
    <row r="1685" spans="1:118">
      <c r="A1685" t="str">
        <f>"300316"</f>
        <v>300316</v>
      </c>
      <c r="B1685" t="s">
        <v>8610</v>
      </c>
      <c r="C1685">
        <v>-2.82</v>
      </c>
      <c r="D1685">
        <v>0.25</v>
      </c>
      <c r="E1685">
        <v>-1.52</v>
      </c>
      <c r="F1685">
        <v>6046</v>
      </c>
      <c r="G1685" t="s">
        <v>8611</v>
      </c>
      <c r="H1685">
        <v>112922.2</v>
      </c>
      <c r="I1685">
        <v>390.89</v>
      </c>
      <c r="J1685" t="s">
        <v>120</v>
      </c>
      <c r="K1685" t="s">
        <v>8612</v>
      </c>
      <c r="L1685">
        <v>1.33</v>
      </c>
      <c r="M1685">
        <v>69.5</v>
      </c>
      <c r="N1685">
        <v>0.88</v>
      </c>
      <c r="O1685">
        <v>0.11</v>
      </c>
      <c r="P1685">
        <v>71.599999999999994</v>
      </c>
      <c r="Q1685">
        <v>-3.52</v>
      </c>
      <c r="R1685">
        <v>69</v>
      </c>
      <c r="S1685">
        <v>70.430000000000007</v>
      </c>
      <c r="T1685">
        <v>160585</v>
      </c>
      <c r="U1685">
        <v>69.5</v>
      </c>
      <c r="V1685">
        <v>71.52</v>
      </c>
      <c r="W1685">
        <v>74.42</v>
      </c>
      <c r="X1685" t="s">
        <v>675</v>
      </c>
      <c r="Y1685" t="s">
        <v>585</v>
      </c>
      <c r="Z1685">
        <v>3.64</v>
      </c>
      <c r="AA1685">
        <v>70.319999999999993</v>
      </c>
      <c r="AB1685">
        <v>85938</v>
      </c>
      <c r="AC1685">
        <v>74647</v>
      </c>
      <c r="AD1685">
        <v>1.1499999999999999</v>
      </c>
      <c r="AE1685">
        <v>14</v>
      </c>
      <c r="AF1685">
        <v>81</v>
      </c>
      <c r="AG1685" t="s">
        <v>120</v>
      </c>
      <c r="AH1685">
        <v>0.01</v>
      </c>
      <c r="AI1685" t="s">
        <v>120</v>
      </c>
      <c r="AJ1685">
        <v>12.08</v>
      </c>
      <c r="AK1685" t="s">
        <v>8613</v>
      </c>
      <c r="AL1685">
        <v>-0.91</v>
      </c>
      <c r="AM1685">
        <v>4588</v>
      </c>
      <c r="AN1685">
        <v>35</v>
      </c>
      <c r="AO1685">
        <v>2.9999999999999997E-4</v>
      </c>
      <c r="AP1685">
        <v>-1</v>
      </c>
      <c r="AQ1685">
        <v>1.3</v>
      </c>
      <c r="AR1685">
        <v>-2.04</v>
      </c>
      <c r="AS1685">
        <v>14.89</v>
      </c>
      <c r="AT1685">
        <v>47.51</v>
      </c>
      <c r="AU1685">
        <v>132.09</v>
      </c>
      <c r="AV1685">
        <v>0</v>
      </c>
      <c r="AW1685">
        <v>2.82</v>
      </c>
      <c r="AX1685">
        <v>44.22</v>
      </c>
      <c r="AY1685">
        <v>77.78</v>
      </c>
      <c r="AZ1685">
        <v>107.14</v>
      </c>
      <c r="BA1685">
        <v>1.19</v>
      </c>
      <c r="BB1685" t="s">
        <v>143</v>
      </c>
      <c r="BF1685">
        <v>-1.68</v>
      </c>
      <c r="BG1685">
        <v>-1.32</v>
      </c>
      <c r="BH1685">
        <v>-2.93</v>
      </c>
      <c r="BI1685">
        <v>0.72</v>
      </c>
      <c r="BJ1685">
        <v>20210827</v>
      </c>
      <c r="BK1685">
        <v>20120511</v>
      </c>
      <c r="BL1685">
        <v>12.86</v>
      </c>
      <c r="BM1685" t="s">
        <v>120</v>
      </c>
      <c r="BN1685" t="s">
        <v>120</v>
      </c>
      <c r="BO1685">
        <v>137.75</v>
      </c>
      <c r="BP1685">
        <v>69.44</v>
      </c>
      <c r="BQ1685">
        <v>56.84</v>
      </c>
      <c r="BR1685">
        <v>2.66</v>
      </c>
      <c r="BS1685">
        <v>56.81</v>
      </c>
      <c r="BT1685">
        <v>108.92</v>
      </c>
      <c r="BU1685">
        <v>11.34</v>
      </c>
      <c r="BV1685">
        <v>2.17</v>
      </c>
      <c r="BW1685">
        <v>77.900000000000006</v>
      </c>
      <c r="BX1685">
        <v>14.5</v>
      </c>
      <c r="BY1685">
        <v>40.229999999999997</v>
      </c>
      <c r="BZ1685">
        <v>15.95</v>
      </c>
      <c r="CA1685" t="s">
        <v>120</v>
      </c>
      <c r="CB1685">
        <v>12.16</v>
      </c>
      <c r="CC1685">
        <v>22.88</v>
      </c>
      <c r="CD1685">
        <v>14.52</v>
      </c>
      <c r="CE1685">
        <v>6.99</v>
      </c>
      <c r="CF1685">
        <v>0.19</v>
      </c>
      <c r="CG1685">
        <v>6.99</v>
      </c>
      <c r="CH1685">
        <v>6.05</v>
      </c>
      <c r="CI1685">
        <v>6</v>
      </c>
      <c r="CJ1685">
        <v>-2.02</v>
      </c>
      <c r="CK1685">
        <v>5.45</v>
      </c>
      <c r="CL1685">
        <v>28.53</v>
      </c>
      <c r="CM1685">
        <v>5.32</v>
      </c>
      <c r="CN1685">
        <v>4.87</v>
      </c>
      <c r="CO1685">
        <v>46906</v>
      </c>
      <c r="CP1685">
        <v>12120</v>
      </c>
      <c r="CQ1685" t="s">
        <v>8614</v>
      </c>
      <c r="CR1685">
        <v>117.23</v>
      </c>
      <c r="CS1685">
        <v>55.55</v>
      </c>
      <c r="CT1685">
        <v>15.72</v>
      </c>
      <c r="CU1685">
        <v>168.1</v>
      </c>
      <c r="CV1685">
        <v>39.06</v>
      </c>
      <c r="CW1685">
        <v>0.19</v>
      </c>
      <c r="CX1685" t="s">
        <v>1071</v>
      </c>
      <c r="CY1685">
        <v>4.42</v>
      </c>
      <c r="CZ1685">
        <v>0</v>
      </c>
      <c r="DA1685">
        <v>0.95</v>
      </c>
      <c r="DB1685">
        <v>2.2200000000000002</v>
      </c>
      <c r="DC1685">
        <v>0.41</v>
      </c>
      <c r="DD1685">
        <v>41.26</v>
      </c>
      <c r="DE1685" t="s">
        <v>8615</v>
      </c>
      <c r="DF1685">
        <v>36.54</v>
      </c>
      <c r="DG1685">
        <v>30.54</v>
      </c>
      <c r="DH1685">
        <v>26.24</v>
      </c>
      <c r="DI1685">
        <v>1.48</v>
      </c>
      <c r="DJ1685">
        <v>2817</v>
      </c>
      <c r="DK1685">
        <v>300316</v>
      </c>
      <c r="DL1685">
        <v>20210712</v>
      </c>
      <c r="DM1685">
        <v>53.2</v>
      </c>
      <c r="DN1685">
        <v>30.64</v>
      </c>
    </row>
    <row r="1686" spans="1:118">
      <c r="A1686" t="str">
        <f>"300317"</f>
        <v>300317</v>
      </c>
      <c r="B1686" t="s">
        <v>8616</v>
      </c>
      <c r="C1686">
        <v>-2.56</v>
      </c>
      <c r="D1686">
        <v>-0.14000000000000001</v>
      </c>
      <c r="E1686">
        <v>-0.15</v>
      </c>
      <c r="F1686">
        <v>2415</v>
      </c>
      <c r="G1686" t="s">
        <v>8617</v>
      </c>
      <c r="H1686">
        <v>13918.57</v>
      </c>
      <c r="I1686">
        <v>60.09</v>
      </c>
      <c r="J1686" t="s">
        <v>120</v>
      </c>
      <c r="K1686" t="s">
        <v>5317</v>
      </c>
      <c r="L1686">
        <v>2.76</v>
      </c>
      <c r="M1686">
        <v>6.48</v>
      </c>
      <c r="N1686">
        <v>1.18</v>
      </c>
      <c r="O1686">
        <v>0.6</v>
      </c>
      <c r="P1686">
        <v>6.69</v>
      </c>
      <c r="Q1686">
        <v>-2.71</v>
      </c>
      <c r="R1686">
        <v>6.47</v>
      </c>
      <c r="S1686">
        <v>6.64</v>
      </c>
      <c r="T1686">
        <v>212107</v>
      </c>
      <c r="U1686">
        <v>6.48</v>
      </c>
      <c r="V1686">
        <v>6.65</v>
      </c>
      <c r="W1686" t="s">
        <v>120</v>
      </c>
      <c r="X1686" t="s">
        <v>3245</v>
      </c>
      <c r="Y1686" t="s">
        <v>123</v>
      </c>
      <c r="Z1686">
        <v>3.31</v>
      </c>
      <c r="AA1686">
        <v>6.56</v>
      </c>
      <c r="AB1686">
        <v>123883</v>
      </c>
      <c r="AC1686">
        <v>88224</v>
      </c>
      <c r="AD1686">
        <v>1.4</v>
      </c>
      <c r="AE1686">
        <v>881</v>
      </c>
      <c r="AF1686">
        <v>82</v>
      </c>
      <c r="AG1686" t="s">
        <v>120</v>
      </c>
      <c r="AH1686">
        <v>0.03</v>
      </c>
      <c r="AI1686" t="s">
        <v>120</v>
      </c>
      <c r="AJ1686">
        <v>7.69</v>
      </c>
      <c r="AK1686" t="s">
        <v>8618</v>
      </c>
      <c r="AL1686">
        <v>-0.64</v>
      </c>
      <c r="AM1686">
        <v>2758</v>
      </c>
      <c r="AN1686">
        <v>77</v>
      </c>
      <c r="AO1686">
        <v>1E-3</v>
      </c>
      <c r="AP1686">
        <v>-1</v>
      </c>
      <c r="AQ1686">
        <v>4.72</v>
      </c>
      <c r="AR1686">
        <v>3.01</v>
      </c>
      <c r="AS1686">
        <v>-17.03</v>
      </c>
      <c r="AT1686">
        <v>-10.5</v>
      </c>
      <c r="AU1686">
        <v>-22.95</v>
      </c>
      <c r="AV1686">
        <v>3</v>
      </c>
      <c r="AW1686">
        <v>6.59</v>
      </c>
      <c r="AX1686">
        <v>39.020000000000003</v>
      </c>
      <c r="AY1686">
        <v>1977.56</v>
      </c>
      <c r="AZ1686">
        <v>183.17</v>
      </c>
      <c r="BA1686">
        <v>0.87</v>
      </c>
      <c r="BB1686" t="s">
        <v>143</v>
      </c>
      <c r="BF1686">
        <v>-1.32</v>
      </c>
      <c r="BG1686">
        <v>-2.41</v>
      </c>
      <c r="BH1686">
        <v>-3.14</v>
      </c>
      <c r="BI1686">
        <v>0.15</v>
      </c>
      <c r="BJ1686">
        <v>20210827</v>
      </c>
      <c r="BK1686">
        <v>20120511</v>
      </c>
      <c r="BL1686">
        <v>8.24</v>
      </c>
      <c r="BM1686" t="s">
        <v>120</v>
      </c>
      <c r="BN1686" t="s">
        <v>120</v>
      </c>
      <c r="BO1686">
        <v>33.4</v>
      </c>
      <c r="BP1686">
        <v>6.47</v>
      </c>
      <c r="BQ1686">
        <v>19.36</v>
      </c>
      <c r="BR1686">
        <v>0.15</v>
      </c>
      <c r="BS1686">
        <v>41.58</v>
      </c>
      <c r="BT1686">
        <v>12.83</v>
      </c>
      <c r="BU1686">
        <v>11.25</v>
      </c>
      <c r="BV1686">
        <v>0.31</v>
      </c>
      <c r="BW1686">
        <v>12.59</v>
      </c>
      <c r="BX1686">
        <v>0.66</v>
      </c>
      <c r="BY1686">
        <v>1.71</v>
      </c>
      <c r="BZ1686">
        <v>8.01</v>
      </c>
      <c r="CA1686" t="s">
        <v>120</v>
      </c>
      <c r="CB1686">
        <v>33.89</v>
      </c>
      <c r="CC1686">
        <v>3.31</v>
      </c>
      <c r="CD1686">
        <v>2.2200000000000002</v>
      </c>
      <c r="CE1686">
        <v>0.19</v>
      </c>
      <c r="CF1686">
        <v>0.16</v>
      </c>
      <c r="CG1686">
        <v>-7.0000000000000007E-2</v>
      </c>
      <c r="CH1686">
        <v>-0.09</v>
      </c>
      <c r="CI1686">
        <v>-0.1</v>
      </c>
      <c r="CJ1686">
        <v>-0.17</v>
      </c>
      <c r="CK1686">
        <v>0.14000000000000001</v>
      </c>
      <c r="CL1686">
        <v>-22.9</v>
      </c>
      <c r="CM1686">
        <v>0.75</v>
      </c>
      <c r="CN1686">
        <v>0.14000000000000001</v>
      </c>
      <c r="CO1686">
        <v>51691</v>
      </c>
      <c r="CP1686">
        <v>6223</v>
      </c>
      <c r="CQ1686" t="s">
        <v>483</v>
      </c>
      <c r="CR1686">
        <v>-159.11000000000001</v>
      </c>
      <c r="CS1686">
        <v>-16.850000000000001</v>
      </c>
      <c r="CT1686">
        <v>2.76</v>
      </c>
      <c r="CU1686">
        <v>71.430000000000007</v>
      </c>
      <c r="CV1686">
        <v>16.149999999999999</v>
      </c>
      <c r="CW1686">
        <v>0</v>
      </c>
      <c r="CX1686" t="s">
        <v>1355</v>
      </c>
      <c r="CY1686">
        <v>2.35</v>
      </c>
      <c r="CZ1686">
        <v>0</v>
      </c>
      <c r="DA1686">
        <v>4.1100000000000003</v>
      </c>
      <c r="DB1686">
        <v>-2.78</v>
      </c>
      <c r="DC1686">
        <v>0.09</v>
      </c>
      <c r="DD1686">
        <v>57.97</v>
      </c>
      <c r="DE1686" t="s">
        <v>8619</v>
      </c>
      <c r="DF1686">
        <v>32.950000000000003</v>
      </c>
      <c r="DG1686">
        <v>5.88</v>
      </c>
      <c r="DH1686">
        <v>-3.05</v>
      </c>
      <c r="DI1686">
        <v>7.0000000000000007E-2</v>
      </c>
      <c r="DJ1686">
        <v>578</v>
      </c>
      <c r="DK1686">
        <v>300317</v>
      </c>
      <c r="DL1686" t="s">
        <v>120</v>
      </c>
      <c r="DM1686" t="s">
        <v>120</v>
      </c>
      <c r="DN1686" t="s">
        <v>120</v>
      </c>
    </row>
    <row r="1687" spans="1:118">
      <c r="A1687" t="str">
        <f>"300318"</f>
        <v>300318</v>
      </c>
      <c r="B1687" t="s">
        <v>8620</v>
      </c>
      <c r="C1687">
        <v>-10.46</v>
      </c>
      <c r="D1687">
        <v>0</v>
      </c>
      <c r="E1687">
        <v>-4.97</v>
      </c>
      <c r="F1687">
        <v>5453</v>
      </c>
      <c r="G1687" t="s">
        <v>8621</v>
      </c>
      <c r="H1687">
        <v>48199.68</v>
      </c>
      <c r="I1687">
        <v>633.95000000000005</v>
      </c>
      <c r="J1687" t="s">
        <v>120</v>
      </c>
      <c r="K1687" t="s">
        <v>8622</v>
      </c>
      <c r="L1687">
        <v>6.61</v>
      </c>
      <c r="M1687">
        <v>8.82</v>
      </c>
      <c r="N1687">
        <v>0.87</v>
      </c>
      <c r="O1687">
        <v>-3.45</v>
      </c>
      <c r="P1687">
        <v>9.51</v>
      </c>
      <c r="Q1687">
        <v>-10.66</v>
      </c>
      <c r="R1687">
        <v>8.8000000000000007</v>
      </c>
      <c r="S1687">
        <v>9.36</v>
      </c>
      <c r="T1687">
        <v>526819</v>
      </c>
      <c r="U1687">
        <v>8.83</v>
      </c>
      <c r="V1687">
        <v>9.85</v>
      </c>
      <c r="W1687" t="s">
        <v>120</v>
      </c>
      <c r="X1687" t="s">
        <v>555</v>
      </c>
      <c r="Y1687" t="s">
        <v>158</v>
      </c>
      <c r="Z1687">
        <v>7.21</v>
      </c>
      <c r="AA1687">
        <v>9.15</v>
      </c>
      <c r="AB1687">
        <v>281183</v>
      </c>
      <c r="AC1687">
        <v>245636</v>
      </c>
      <c r="AD1687">
        <v>1.1399999999999999</v>
      </c>
      <c r="AE1687">
        <v>2254</v>
      </c>
      <c r="AF1687">
        <v>884</v>
      </c>
      <c r="AG1687" t="s">
        <v>120</v>
      </c>
      <c r="AH1687">
        <v>0.21</v>
      </c>
      <c r="AI1687" t="s">
        <v>120</v>
      </c>
      <c r="AJ1687">
        <v>7.96</v>
      </c>
      <c r="AK1687" t="s">
        <v>8623</v>
      </c>
      <c r="AL1687">
        <v>-8.5399999999999991</v>
      </c>
      <c r="AM1687">
        <v>3977</v>
      </c>
      <c r="AN1687">
        <v>132</v>
      </c>
      <c r="AO1687">
        <v>1.6999999999999999E-3</v>
      </c>
      <c r="AP1687">
        <v>-2</v>
      </c>
      <c r="AQ1687">
        <v>-6.19</v>
      </c>
      <c r="AR1687">
        <v>-13.19</v>
      </c>
      <c r="AS1687">
        <v>-10.09</v>
      </c>
      <c r="AT1687">
        <v>13.37</v>
      </c>
      <c r="AU1687">
        <v>-26.25</v>
      </c>
      <c r="AV1687">
        <v>6</v>
      </c>
      <c r="AW1687">
        <v>16.43</v>
      </c>
      <c r="AX1687">
        <v>39.24</v>
      </c>
      <c r="AY1687">
        <v>1098.03</v>
      </c>
      <c r="AZ1687">
        <v>1072.29</v>
      </c>
      <c r="BA1687">
        <v>1.01</v>
      </c>
      <c r="BB1687" t="s">
        <v>143</v>
      </c>
      <c r="BF1687">
        <v>-7.11</v>
      </c>
      <c r="BG1687">
        <v>-5.77</v>
      </c>
      <c r="BH1687">
        <v>-7.26</v>
      </c>
      <c r="BI1687">
        <v>0.23</v>
      </c>
      <c r="BJ1687">
        <v>20210830</v>
      </c>
      <c r="BK1687">
        <v>20120523</v>
      </c>
      <c r="BL1687">
        <v>8.17</v>
      </c>
      <c r="BM1687" t="s">
        <v>120</v>
      </c>
      <c r="BN1687" t="s">
        <v>120</v>
      </c>
      <c r="BO1687">
        <v>39.64</v>
      </c>
      <c r="BP1687">
        <v>8.82</v>
      </c>
      <c r="BQ1687">
        <v>12.83</v>
      </c>
      <c r="BR1687">
        <v>1.07</v>
      </c>
      <c r="BS1687">
        <v>64.95</v>
      </c>
      <c r="BT1687">
        <v>11.81</v>
      </c>
      <c r="BU1687">
        <v>6.32</v>
      </c>
      <c r="BV1687">
        <v>3.69</v>
      </c>
      <c r="BW1687">
        <v>23.24</v>
      </c>
      <c r="BX1687">
        <v>1.17</v>
      </c>
      <c r="BY1687">
        <v>7.95</v>
      </c>
      <c r="BZ1687">
        <v>1.31</v>
      </c>
      <c r="CA1687">
        <v>0.11</v>
      </c>
      <c r="CB1687">
        <v>2.62</v>
      </c>
      <c r="CC1687">
        <v>3.49</v>
      </c>
      <c r="CD1687">
        <v>1.98</v>
      </c>
      <c r="CE1687">
        <v>-0.45</v>
      </c>
      <c r="CF1687">
        <v>0.04</v>
      </c>
      <c r="CG1687">
        <v>-0.45</v>
      </c>
      <c r="CH1687">
        <v>-0.49</v>
      </c>
      <c r="CI1687">
        <v>-0.16</v>
      </c>
      <c r="CJ1687">
        <v>-1.03</v>
      </c>
      <c r="CK1687">
        <v>-0.25</v>
      </c>
      <c r="CL1687">
        <v>2.04</v>
      </c>
      <c r="CM1687">
        <v>-0.08</v>
      </c>
      <c r="CN1687">
        <v>0.73</v>
      </c>
      <c r="CO1687">
        <v>47895</v>
      </c>
      <c r="CP1687">
        <v>6693</v>
      </c>
      <c r="CQ1687" t="s">
        <v>3869</v>
      </c>
      <c r="CR1687">
        <v>-1.1000000000000001</v>
      </c>
      <c r="CS1687">
        <v>28.77</v>
      </c>
      <c r="CT1687">
        <v>5.62</v>
      </c>
      <c r="CU1687">
        <v>-930.55</v>
      </c>
      <c r="CV1687">
        <v>20.66</v>
      </c>
      <c r="CW1687">
        <v>0</v>
      </c>
      <c r="CX1687" t="s">
        <v>419</v>
      </c>
      <c r="CY1687">
        <v>1.57</v>
      </c>
      <c r="CZ1687">
        <v>0</v>
      </c>
      <c r="DA1687">
        <v>0.32</v>
      </c>
      <c r="DB1687">
        <v>0.25</v>
      </c>
      <c r="DC1687">
        <v>-0.01</v>
      </c>
      <c r="DD1687">
        <v>32.35</v>
      </c>
      <c r="DE1687" t="s">
        <v>8624</v>
      </c>
      <c r="DF1687">
        <v>43.34</v>
      </c>
      <c r="DG1687">
        <v>-12.86</v>
      </c>
      <c r="DH1687">
        <v>-4.63</v>
      </c>
      <c r="DI1687">
        <v>0.33</v>
      </c>
      <c r="DJ1687">
        <v>1306</v>
      </c>
      <c r="DK1687">
        <v>300318</v>
      </c>
      <c r="DL1687">
        <v>20210902</v>
      </c>
      <c r="DM1687">
        <v>8.6</v>
      </c>
      <c r="DN1687">
        <v>2.56</v>
      </c>
    </row>
    <row r="1688" spans="1:118">
      <c r="A1688" t="str">
        <f>"300319"</f>
        <v>300319</v>
      </c>
      <c r="B1688" t="s">
        <v>8625</v>
      </c>
      <c r="C1688">
        <v>0.15</v>
      </c>
      <c r="D1688">
        <v>-0.28999999999999998</v>
      </c>
      <c r="E1688">
        <v>0.38</v>
      </c>
      <c r="F1688">
        <v>5150</v>
      </c>
      <c r="G1688" t="s">
        <v>8626</v>
      </c>
      <c r="H1688">
        <v>72324.06</v>
      </c>
      <c r="I1688">
        <v>1336.18</v>
      </c>
      <c r="J1688" t="s">
        <v>120</v>
      </c>
      <c r="K1688" t="s">
        <v>8627</v>
      </c>
      <c r="L1688">
        <v>8.07</v>
      </c>
      <c r="M1688">
        <v>13.21</v>
      </c>
      <c r="N1688">
        <v>1.3</v>
      </c>
      <c r="O1688">
        <v>7.13</v>
      </c>
      <c r="P1688">
        <v>14.13</v>
      </c>
      <c r="Q1688">
        <v>-0.38</v>
      </c>
      <c r="R1688">
        <v>13.14</v>
      </c>
      <c r="S1688">
        <v>13.24</v>
      </c>
      <c r="T1688">
        <v>531279</v>
      </c>
      <c r="U1688">
        <v>13.21</v>
      </c>
      <c r="V1688">
        <v>13.19</v>
      </c>
      <c r="W1688">
        <v>40.549999999999997</v>
      </c>
      <c r="X1688" t="s">
        <v>229</v>
      </c>
      <c r="Y1688" t="s">
        <v>123</v>
      </c>
      <c r="Z1688">
        <v>7.51</v>
      </c>
      <c r="AA1688">
        <v>13.61</v>
      </c>
      <c r="AB1688">
        <v>287235</v>
      </c>
      <c r="AC1688">
        <v>244044</v>
      </c>
      <c r="AD1688">
        <v>1.18</v>
      </c>
      <c r="AE1688">
        <v>958</v>
      </c>
      <c r="AF1688">
        <v>62</v>
      </c>
      <c r="AG1688" t="s">
        <v>120</v>
      </c>
      <c r="AH1688">
        <v>0.22</v>
      </c>
      <c r="AI1688" t="s">
        <v>120</v>
      </c>
      <c r="AJ1688">
        <v>6.58</v>
      </c>
      <c r="AK1688" t="s">
        <v>8628</v>
      </c>
      <c r="AL1688">
        <v>2.0699999999999998</v>
      </c>
      <c r="AM1688">
        <v>4066</v>
      </c>
      <c r="AN1688">
        <v>131</v>
      </c>
      <c r="AO1688">
        <v>2E-3</v>
      </c>
      <c r="AP1688">
        <v>3</v>
      </c>
      <c r="AQ1688">
        <v>6.8</v>
      </c>
      <c r="AR1688">
        <v>8.36</v>
      </c>
      <c r="AS1688">
        <v>2.4900000000000002</v>
      </c>
      <c r="AT1688">
        <v>11.95</v>
      </c>
      <c r="AU1688">
        <v>48.59</v>
      </c>
      <c r="AV1688">
        <v>0</v>
      </c>
      <c r="AW1688">
        <v>11.46</v>
      </c>
      <c r="AX1688">
        <v>54.32</v>
      </c>
      <c r="AY1688">
        <v>83.29</v>
      </c>
      <c r="AZ1688">
        <v>315.60000000000002</v>
      </c>
      <c r="BA1688">
        <v>0.79</v>
      </c>
      <c r="BB1688" t="s">
        <v>143</v>
      </c>
      <c r="BF1688">
        <v>3.21</v>
      </c>
      <c r="BG1688">
        <v>-0.23</v>
      </c>
      <c r="BH1688">
        <v>-6.51</v>
      </c>
      <c r="BI1688">
        <v>0.53</v>
      </c>
      <c r="BJ1688">
        <v>20210913</v>
      </c>
      <c r="BK1688">
        <v>20120523</v>
      </c>
      <c r="BL1688">
        <v>8.5399999999999991</v>
      </c>
      <c r="BM1688" t="s">
        <v>120</v>
      </c>
      <c r="BN1688" t="s">
        <v>120</v>
      </c>
      <c r="BO1688">
        <v>55.9</v>
      </c>
      <c r="BP1688">
        <v>13.2</v>
      </c>
      <c r="BQ1688">
        <v>35.67</v>
      </c>
      <c r="BR1688">
        <v>0.79</v>
      </c>
      <c r="BS1688">
        <v>34.78</v>
      </c>
      <c r="BT1688">
        <v>33.729999999999997</v>
      </c>
      <c r="BU1688">
        <v>11.44</v>
      </c>
      <c r="BV1688">
        <v>0.82</v>
      </c>
      <c r="BW1688">
        <v>17.010000000000002</v>
      </c>
      <c r="BX1688">
        <v>15.98</v>
      </c>
      <c r="BY1688">
        <v>5.75</v>
      </c>
      <c r="BZ1688">
        <v>10.17</v>
      </c>
      <c r="CA1688">
        <v>0.02</v>
      </c>
      <c r="CB1688">
        <v>24.27</v>
      </c>
      <c r="CC1688">
        <v>16.489999999999998</v>
      </c>
      <c r="CD1688">
        <v>13.13</v>
      </c>
      <c r="CE1688">
        <v>1.66</v>
      </c>
      <c r="CF1688">
        <v>0</v>
      </c>
      <c r="CG1688">
        <v>1.66</v>
      </c>
      <c r="CH1688">
        <v>1.44</v>
      </c>
      <c r="CI1688">
        <v>1.39</v>
      </c>
      <c r="CJ1688">
        <v>0.02</v>
      </c>
      <c r="CK1688">
        <v>1.1399999999999999</v>
      </c>
      <c r="CL1688">
        <v>2.54</v>
      </c>
      <c r="CM1688">
        <v>2.0699999999999998</v>
      </c>
      <c r="CN1688">
        <v>10.54</v>
      </c>
      <c r="CO1688">
        <v>40183</v>
      </c>
      <c r="CP1688">
        <v>11541</v>
      </c>
      <c r="CQ1688" t="s">
        <v>8629</v>
      </c>
      <c r="CR1688">
        <v>251.56</v>
      </c>
      <c r="CS1688">
        <v>88.34</v>
      </c>
      <c r="CT1688">
        <v>3.16</v>
      </c>
      <c r="CU1688">
        <v>54.61</v>
      </c>
      <c r="CV1688">
        <v>6.84</v>
      </c>
      <c r="CW1688">
        <v>0</v>
      </c>
      <c r="CX1688" t="s">
        <v>492</v>
      </c>
      <c r="CY1688">
        <v>4.18</v>
      </c>
      <c r="CZ1688">
        <v>0</v>
      </c>
      <c r="DA1688">
        <v>2.84</v>
      </c>
      <c r="DB1688">
        <v>0.3</v>
      </c>
      <c r="DC1688">
        <v>0.24</v>
      </c>
      <c r="DD1688">
        <v>63.8</v>
      </c>
      <c r="DE1688" t="s">
        <v>2231</v>
      </c>
      <c r="DF1688">
        <v>20.34</v>
      </c>
      <c r="DG1688">
        <v>10.050000000000001</v>
      </c>
      <c r="DH1688">
        <v>8.44</v>
      </c>
      <c r="DI1688">
        <v>0.76</v>
      </c>
      <c r="DJ1688">
        <v>3774</v>
      </c>
      <c r="DK1688">
        <v>300319</v>
      </c>
      <c r="DL1688" t="s">
        <v>120</v>
      </c>
      <c r="DM1688" t="s">
        <v>120</v>
      </c>
      <c r="DN1688" t="s">
        <v>120</v>
      </c>
    </row>
    <row r="1689" spans="1:118">
      <c r="A1689" t="str">
        <f>"300320"</f>
        <v>300320</v>
      </c>
      <c r="B1689" t="s">
        <v>8630</v>
      </c>
      <c r="C1689">
        <v>-4.3600000000000003</v>
      </c>
      <c r="D1689">
        <v>0</v>
      </c>
      <c r="E1689">
        <v>-0.76</v>
      </c>
      <c r="F1689">
        <v>2812</v>
      </c>
      <c r="G1689" t="s">
        <v>2227</v>
      </c>
      <c r="H1689">
        <v>42120.95</v>
      </c>
      <c r="I1689">
        <v>269.08999999999997</v>
      </c>
      <c r="J1689" t="s">
        <v>120</v>
      </c>
      <c r="K1689" t="s">
        <v>8631</v>
      </c>
      <c r="L1689">
        <v>9.31</v>
      </c>
      <c r="M1689">
        <v>8.77</v>
      </c>
      <c r="N1689">
        <v>1.06</v>
      </c>
      <c r="O1689">
        <v>4.6900000000000004</v>
      </c>
      <c r="P1689">
        <v>9.6</v>
      </c>
      <c r="Q1689">
        <v>-4.58</v>
      </c>
      <c r="R1689">
        <v>8.75</v>
      </c>
      <c r="S1689">
        <v>9.1</v>
      </c>
      <c r="T1689">
        <v>459848</v>
      </c>
      <c r="U1689">
        <v>8.77</v>
      </c>
      <c r="V1689">
        <v>9.17</v>
      </c>
      <c r="W1689">
        <v>24.61</v>
      </c>
      <c r="X1689" t="s">
        <v>2306</v>
      </c>
      <c r="Y1689" t="s">
        <v>319</v>
      </c>
      <c r="Z1689">
        <v>9.27</v>
      </c>
      <c r="AA1689">
        <v>9.16</v>
      </c>
      <c r="AB1689">
        <v>238337</v>
      </c>
      <c r="AC1689">
        <v>221511</v>
      </c>
      <c r="AD1689">
        <v>1.08</v>
      </c>
      <c r="AE1689">
        <v>448</v>
      </c>
      <c r="AF1689">
        <v>45</v>
      </c>
      <c r="AG1689" t="s">
        <v>120</v>
      </c>
      <c r="AH1689">
        <v>7.0000000000000007E-2</v>
      </c>
      <c r="AI1689" t="s">
        <v>120</v>
      </c>
      <c r="AJ1689">
        <v>4.9400000000000004</v>
      </c>
      <c r="AK1689" t="s">
        <v>8632</v>
      </c>
      <c r="AL1689">
        <v>-2.4500000000000002</v>
      </c>
      <c r="AM1689">
        <v>3953</v>
      </c>
      <c r="AN1689">
        <v>116</v>
      </c>
      <c r="AO1689">
        <v>2.3999999999999998E-3</v>
      </c>
      <c r="AP1689">
        <v>-1</v>
      </c>
      <c r="AQ1689">
        <v>1.21</v>
      </c>
      <c r="AR1689">
        <v>-6.71</v>
      </c>
      <c r="AS1689">
        <v>0.11</v>
      </c>
      <c r="AT1689">
        <v>36.39</v>
      </c>
      <c r="AU1689">
        <v>26.88</v>
      </c>
      <c r="AV1689">
        <v>1</v>
      </c>
      <c r="AW1689">
        <v>11.22</v>
      </c>
      <c r="AX1689">
        <v>68.180000000000007</v>
      </c>
      <c r="AY1689">
        <v>24.64</v>
      </c>
      <c r="AZ1689">
        <v>28.19</v>
      </c>
      <c r="BA1689">
        <v>0.49</v>
      </c>
      <c r="BB1689" t="s">
        <v>143</v>
      </c>
      <c r="BF1689">
        <v>-0.11</v>
      </c>
      <c r="BG1689">
        <v>-3.63</v>
      </c>
      <c r="BH1689">
        <v>-8.65</v>
      </c>
      <c r="BI1689">
        <v>0.23</v>
      </c>
      <c r="BJ1689">
        <v>20210821</v>
      </c>
      <c r="BK1689">
        <v>20120601</v>
      </c>
      <c r="BL1689">
        <v>6.01</v>
      </c>
      <c r="BM1689" t="s">
        <v>120</v>
      </c>
      <c r="BN1689" t="s">
        <v>120</v>
      </c>
      <c r="BO1689">
        <v>29.71</v>
      </c>
      <c r="BP1689">
        <v>8.76</v>
      </c>
      <c r="BQ1689">
        <v>19.36</v>
      </c>
      <c r="BR1689">
        <v>0.36</v>
      </c>
      <c r="BS1689">
        <v>33.619999999999997</v>
      </c>
      <c r="BT1689">
        <v>20.32</v>
      </c>
      <c r="BU1689">
        <v>6.09</v>
      </c>
      <c r="BV1689">
        <v>0.85</v>
      </c>
      <c r="BW1689">
        <v>9.1199999999999992</v>
      </c>
      <c r="BX1689">
        <v>1.7</v>
      </c>
      <c r="BY1689">
        <v>3.85</v>
      </c>
      <c r="BZ1689">
        <v>10.52</v>
      </c>
      <c r="CA1689" t="s">
        <v>120</v>
      </c>
      <c r="CB1689">
        <v>3.63</v>
      </c>
      <c r="CC1689">
        <v>12.21</v>
      </c>
      <c r="CD1689">
        <v>9.44</v>
      </c>
      <c r="CE1689">
        <v>1.31</v>
      </c>
      <c r="CF1689">
        <v>0</v>
      </c>
      <c r="CG1689">
        <v>1.31</v>
      </c>
      <c r="CH1689">
        <v>1.1000000000000001</v>
      </c>
      <c r="CI1689">
        <v>1.07</v>
      </c>
      <c r="CJ1689">
        <v>-0.4</v>
      </c>
      <c r="CK1689">
        <v>1.04</v>
      </c>
      <c r="CL1689">
        <v>8.5299999999999994</v>
      </c>
      <c r="CM1689">
        <v>1.02</v>
      </c>
      <c r="CN1689">
        <v>-0.11</v>
      </c>
      <c r="CO1689">
        <v>27240</v>
      </c>
      <c r="CP1689">
        <v>15048</v>
      </c>
      <c r="CQ1689" t="s">
        <v>6822</v>
      </c>
      <c r="CR1689">
        <v>35.68</v>
      </c>
      <c r="CS1689">
        <v>22.97</v>
      </c>
      <c r="CT1689">
        <v>2.72</v>
      </c>
      <c r="CU1689">
        <v>51.67</v>
      </c>
      <c r="CV1689">
        <v>4.32</v>
      </c>
      <c r="CW1689">
        <v>0.41</v>
      </c>
      <c r="CX1689" t="s">
        <v>8633</v>
      </c>
      <c r="CY1689">
        <v>3.22</v>
      </c>
      <c r="CZ1689">
        <v>0</v>
      </c>
      <c r="DA1689">
        <v>0.6</v>
      </c>
      <c r="DB1689">
        <v>1.42</v>
      </c>
      <c r="DC1689">
        <v>0.17</v>
      </c>
      <c r="DD1689">
        <v>65.16</v>
      </c>
      <c r="DE1689" t="s">
        <v>6753</v>
      </c>
      <c r="DF1689">
        <v>22.7</v>
      </c>
      <c r="DG1689">
        <v>10.73</v>
      </c>
      <c r="DH1689">
        <v>8.77</v>
      </c>
      <c r="DI1689">
        <v>0.41</v>
      </c>
      <c r="DJ1689">
        <v>2386</v>
      </c>
      <c r="DK1689">
        <v>300320</v>
      </c>
      <c r="DL1689" t="s">
        <v>120</v>
      </c>
      <c r="DM1689" t="s">
        <v>120</v>
      </c>
      <c r="DN1689" t="s">
        <v>120</v>
      </c>
    </row>
    <row r="1690" spans="1:118">
      <c r="A1690" t="str">
        <f>"300321"</f>
        <v>300321</v>
      </c>
      <c r="B1690" t="s">
        <v>8634</v>
      </c>
      <c r="C1690">
        <v>0.97</v>
      </c>
      <c r="D1690">
        <v>-0.18</v>
      </c>
      <c r="E1690">
        <v>0.19</v>
      </c>
      <c r="F1690">
        <v>290</v>
      </c>
      <c r="G1690" t="s">
        <v>8635</v>
      </c>
      <c r="H1690">
        <v>2139.64</v>
      </c>
      <c r="I1690">
        <v>3.91</v>
      </c>
      <c r="J1690" t="s">
        <v>120</v>
      </c>
      <c r="K1690" t="s">
        <v>8636</v>
      </c>
      <c r="L1690">
        <v>1.23</v>
      </c>
      <c r="M1690">
        <v>20.73</v>
      </c>
      <c r="N1690">
        <v>0.56000000000000005</v>
      </c>
      <c r="O1690">
        <v>2.68</v>
      </c>
      <c r="P1690">
        <v>21.08</v>
      </c>
      <c r="Q1690">
        <v>-0.05</v>
      </c>
      <c r="R1690">
        <v>20.52</v>
      </c>
      <c r="S1690">
        <v>20.57</v>
      </c>
      <c r="T1690">
        <v>10305</v>
      </c>
      <c r="U1690">
        <v>20.76</v>
      </c>
      <c r="V1690">
        <v>20.53</v>
      </c>
      <c r="W1690">
        <v>122.7</v>
      </c>
      <c r="X1690" t="s">
        <v>2211</v>
      </c>
      <c r="Y1690" t="s">
        <v>638</v>
      </c>
      <c r="Z1690">
        <v>2.73</v>
      </c>
      <c r="AA1690">
        <v>20.76</v>
      </c>
      <c r="AB1690">
        <v>4681</v>
      </c>
      <c r="AC1690">
        <v>5624</v>
      </c>
      <c r="AD1690">
        <v>0.83</v>
      </c>
      <c r="AE1690">
        <v>150</v>
      </c>
      <c r="AF1690">
        <v>5</v>
      </c>
      <c r="AG1690" t="s">
        <v>120</v>
      </c>
      <c r="AH1690">
        <v>0.01</v>
      </c>
      <c r="AI1690" t="s">
        <v>120</v>
      </c>
      <c r="AJ1690">
        <v>0.84</v>
      </c>
      <c r="AK1690" t="s">
        <v>1143</v>
      </c>
      <c r="AL1690">
        <v>2.89</v>
      </c>
      <c r="AM1690">
        <v>932</v>
      </c>
      <c r="AN1690">
        <v>11</v>
      </c>
      <c r="AO1690">
        <v>1.2999999999999999E-3</v>
      </c>
      <c r="AP1690">
        <v>1</v>
      </c>
      <c r="AQ1690">
        <v>-0.73</v>
      </c>
      <c r="AR1690">
        <v>-3.04</v>
      </c>
      <c r="AS1690">
        <v>-2.0299999999999998</v>
      </c>
      <c r="AT1690">
        <v>15.1</v>
      </c>
      <c r="AU1690">
        <v>15.81</v>
      </c>
      <c r="AV1690">
        <v>2</v>
      </c>
      <c r="AW1690">
        <v>2.73</v>
      </c>
      <c r="AX1690">
        <v>42.55</v>
      </c>
      <c r="AY1690">
        <v>91.38</v>
      </c>
      <c r="AZ1690">
        <v>89.89</v>
      </c>
      <c r="BA1690">
        <v>1.29</v>
      </c>
      <c r="BB1690" t="s">
        <v>143</v>
      </c>
      <c r="BF1690">
        <v>1.1399999999999999</v>
      </c>
      <c r="BG1690">
        <v>0.78</v>
      </c>
      <c r="BH1690">
        <v>-1.66</v>
      </c>
      <c r="BI1690">
        <v>1.02</v>
      </c>
      <c r="BJ1690">
        <v>20210901</v>
      </c>
      <c r="BK1690">
        <v>20120523</v>
      </c>
      <c r="BL1690">
        <v>0.89</v>
      </c>
      <c r="BM1690" t="s">
        <v>120</v>
      </c>
      <c r="BN1690" t="s">
        <v>120</v>
      </c>
      <c r="BO1690">
        <v>7.39</v>
      </c>
      <c r="BP1690">
        <v>20.73</v>
      </c>
      <c r="BQ1690">
        <v>6.25</v>
      </c>
      <c r="BR1690" t="s">
        <v>120</v>
      </c>
      <c r="BS1690">
        <v>15.38</v>
      </c>
      <c r="BT1690">
        <v>4.24</v>
      </c>
      <c r="BU1690">
        <v>2.17</v>
      </c>
      <c r="BV1690">
        <v>0.71</v>
      </c>
      <c r="BW1690">
        <v>1.04</v>
      </c>
      <c r="BX1690">
        <v>1.04</v>
      </c>
      <c r="BY1690">
        <v>1.1499999999999999</v>
      </c>
      <c r="BZ1690">
        <v>0.74</v>
      </c>
      <c r="CA1690">
        <v>0.02</v>
      </c>
      <c r="CB1690">
        <v>2.38</v>
      </c>
      <c r="CC1690">
        <v>2.31</v>
      </c>
      <c r="CD1690">
        <v>2.02</v>
      </c>
      <c r="CE1690">
        <v>0.09</v>
      </c>
      <c r="CF1690">
        <v>0.02</v>
      </c>
      <c r="CG1690">
        <v>0.09</v>
      </c>
      <c r="CH1690">
        <v>0.08</v>
      </c>
      <c r="CI1690">
        <v>0.08</v>
      </c>
      <c r="CJ1690">
        <v>0.2</v>
      </c>
      <c r="CK1690">
        <v>0.05</v>
      </c>
      <c r="CL1690">
        <v>2.56</v>
      </c>
      <c r="CM1690">
        <v>-0.11</v>
      </c>
      <c r="CN1690">
        <v>-0.3</v>
      </c>
      <c r="CO1690">
        <v>7718</v>
      </c>
      <c r="CP1690">
        <v>4895</v>
      </c>
      <c r="CQ1690" t="s">
        <v>6269</v>
      </c>
      <c r="CR1690">
        <v>-4.2300000000000004</v>
      </c>
      <c r="CS1690">
        <v>18</v>
      </c>
      <c r="CT1690">
        <v>2.95</v>
      </c>
      <c r="CU1690">
        <v>-169.97</v>
      </c>
      <c r="CV1690">
        <v>7.98</v>
      </c>
      <c r="CW1690">
        <v>0.97</v>
      </c>
      <c r="CX1690" t="s">
        <v>4316</v>
      </c>
      <c r="CY1690">
        <v>7.04</v>
      </c>
      <c r="CZ1690">
        <v>0</v>
      </c>
      <c r="DA1690">
        <v>2.68</v>
      </c>
      <c r="DB1690">
        <v>2.89</v>
      </c>
      <c r="DC1690">
        <v>-0.12</v>
      </c>
      <c r="DD1690">
        <v>84.62</v>
      </c>
      <c r="DE1690" t="s">
        <v>2832</v>
      </c>
      <c r="DF1690">
        <v>12.49</v>
      </c>
      <c r="DG1690">
        <v>3.85</v>
      </c>
      <c r="DH1690">
        <v>3.25</v>
      </c>
      <c r="DI1690">
        <v>0.08</v>
      </c>
      <c r="DJ1690">
        <v>581</v>
      </c>
      <c r="DK1690">
        <v>300321</v>
      </c>
      <c r="DL1690" t="s">
        <v>120</v>
      </c>
      <c r="DM1690" t="s">
        <v>120</v>
      </c>
      <c r="DN1690" t="s">
        <v>120</v>
      </c>
    </row>
    <row r="1691" spans="1:118">
      <c r="A1691" t="str">
        <f>"300322"</f>
        <v>300322</v>
      </c>
      <c r="B1691" t="s">
        <v>8637</v>
      </c>
      <c r="C1691">
        <v>-2.84</v>
      </c>
      <c r="D1691">
        <v>0</v>
      </c>
      <c r="E1691">
        <v>0.73</v>
      </c>
      <c r="F1691">
        <v>912</v>
      </c>
      <c r="G1691" t="s">
        <v>8638</v>
      </c>
      <c r="H1691">
        <v>17917.669999999998</v>
      </c>
      <c r="I1691">
        <v>77.25</v>
      </c>
      <c r="J1691" t="s">
        <v>120</v>
      </c>
      <c r="K1691" t="s">
        <v>8129</v>
      </c>
      <c r="L1691">
        <v>3.36</v>
      </c>
      <c r="M1691">
        <v>11.96</v>
      </c>
      <c r="N1691">
        <v>0.59</v>
      </c>
      <c r="O1691">
        <v>0.73</v>
      </c>
      <c r="P1691">
        <v>12.4</v>
      </c>
      <c r="Q1691">
        <v>-3.9</v>
      </c>
      <c r="R1691">
        <v>11.83</v>
      </c>
      <c r="S1691">
        <v>12.4</v>
      </c>
      <c r="T1691">
        <v>148393</v>
      </c>
      <c r="U1691">
        <v>11.97</v>
      </c>
      <c r="V1691">
        <v>12.31</v>
      </c>
      <c r="W1691">
        <v>95.01</v>
      </c>
      <c r="X1691" t="s">
        <v>462</v>
      </c>
      <c r="Y1691" t="s">
        <v>547</v>
      </c>
      <c r="Z1691">
        <v>4.63</v>
      </c>
      <c r="AA1691">
        <v>12.07</v>
      </c>
      <c r="AB1691">
        <v>96134</v>
      </c>
      <c r="AC1691">
        <v>52259</v>
      </c>
      <c r="AD1691">
        <v>1.84</v>
      </c>
      <c r="AE1691">
        <v>2</v>
      </c>
      <c r="AF1691">
        <v>45</v>
      </c>
      <c r="AG1691" t="s">
        <v>120</v>
      </c>
      <c r="AH1691">
        <v>0.02</v>
      </c>
      <c r="AI1691" t="s">
        <v>120</v>
      </c>
      <c r="AJ1691">
        <v>4.42</v>
      </c>
      <c r="AK1691" t="s">
        <v>8639</v>
      </c>
      <c r="AL1691">
        <v>-0.93</v>
      </c>
      <c r="AM1691">
        <v>3162</v>
      </c>
      <c r="AN1691">
        <v>47</v>
      </c>
      <c r="AO1691">
        <v>1.1000000000000001E-3</v>
      </c>
      <c r="AP1691">
        <v>-5</v>
      </c>
      <c r="AQ1691">
        <v>-1.52</v>
      </c>
      <c r="AR1691">
        <v>-7.36</v>
      </c>
      <c r="AS1691">
        <v>-6.63</v>
      </c>
      <c r="AT1691">
        <v>-1.97</v>
      </c>
      <c r="AU1691">
        <v>-8.6999999999999993</v>
      </c>
      <c r="AV1691">
        <v>0</v>
      </c>
      <c r="AW1691">
        <v>4.13</v>
      </c>
      <c r="AX1691">
        <v>77.06</v>
      </c>
      <c r="AY1691">
        <v>162.85</v>
      </c>
      <c r="AZ1691">
        <v>191.28</v>
      </c>
      <c r="BA1691">
        <v>0.71</v>
      </c>
      <c r="BB1691" t="s">
        <v>125</v>
      </c>
      <c r="BF1691">
        <v>-1.91</v>
      </c>
      <c r="BG1691">
        <v>-3.55</v>
      </c>
      <c r="BH1691">
        <v>-3.55</v>
      </c>
      <c r="BI1691">
        <v>1.1000000000000001</v>
      </c>
      <c r="BJ1691">
        <v>20210828</v>
      </c>
      <c r="BK1691">
        <v>20120608</v>
      </c>
      <c r="BL1691">
        <v>4.66</v>
      </c>
      <c r="BM1691" t="s">
        <v>120</v>
      </c>
      <c r="BN1691" t="s">
        <v>120</v>
      </c>
      <c r="BO1691">
        <v>27.76</v>
      </c>
      <c r="BP1691">
        <v>11.96</v>
      </c>
      <c r="BQ1691">
        <v>13.65</v>
      </c>
      <c r="BR1691">
        <v>0.6</v>
      </c>
      <c r="BS1691">
        <v>48.69</v>
      </c>
      <c r="BT1691">
        <v>18.670000000000002</v>
      </c>
      <c r="BU1691">
        <v>4.0599999999999996</v>
      </c>
      <c r="BV1691">
        <v>0.56999999999999995</v>
      </c>
      <c r="BW1691">
        <v>11.71</v>
      </c>
      <c r="BX1691">
        <v>7.19</v>
      </c>
      <c r="BY1691">
        <v>3.85</v>
      </c>
      <c r="BZ1691">
        <v>5.04</v>
      </c>
      <c r="CA1691" t="s">
        <v>120</v>
      </c>
      <c r="CB1691">
        <v>6.21</v>
      </c>
      <c r="CC1691">
        <v>9.65</v>
      </c>
      <c r="CD1691">
        <v>7.59</v>
      </c>
      <c r="CE1691">
        <v>0.38</v>
      </c>
      <c r="CF1691">
        <v>-0.03</v>
      </c>
      <c r="CG1691">
        <v>0.37</v>
      </c>
      <c r="CH1691">
        <v>0.34</v>
      </c>
      <c r="CI1691">
        <v>0.28999999999999998</v>
      </c>
      <c r="CJ1691">
        <v>-0.35</v>
      </c>
      <c r="CK1691">
        <v>0.27</v>
      </c>
      <c r="CL1691">
        <v>2.37</v>
      </c>
      <c r="CM1691">
        <v>-0.27</v>
      </c>
      <c r="CN1691">
        <v>-1.93</v>
      </c>
      <c r="CO1691">
        <v>41368</v>
      </c>
      <c r="CP1691">
        <v>8676</v>
      </c>
      <c r="CQ1691" t="s">
        <v>8640</v>
      </c>
      <c r="CR1691">
        <v>21.73</v>
      </c>
      <c r="CS1691">
        <v>25.88</v>
      </c>
      <c r="CT1691">
        <v>4.08</v>
      </c>
      <c r="CU1691">
        <v>-203.9</v>
      </c>
      <c r="CV1691">
        <v>5.77</v>
      </c>
      <c r="CW1691">
        <v>0.16</v>
      </c>
      <c r="CX1691" t="s">
        <v>1064</v>
      </c>
      <c r="CY1691">
        <v>2.93</v>
      </c>
      <c r="CZ1691">
        <v>0</v>
      </c>
      <c r="DA1691">
        <v>1.33</v>
      </c>
      <c r="DB1691">
        <v>0.51</v>
      </c>
      <c r="DC1691">
        <v>-0.06</v>
      </c>
      <c r="DD1691">
        <v>49.17</v>
      </c>
      <c r="DE1691" t="s">
        <v>4691</v>
      </c>
      <c r="DF1691">
        <v>21.31</v>
      </c>
      <c r="DG1691">
        <v>3.93</v>
      </c>
      <c r="DH1691">
        <v>3.04</v>
      </c>
      <c r="DI1691">
        <v>0.62</v>
      </c>
      <c r="DJ1691">
        <v>2239</v>
      </c>
      <c r="DK1691">
        <v>300322</v>
      </c>
      <c r="DL1691" t="s">
        <v>120</v>
      </c>
      <c r="DM1691" t="s">
        <v>120</v>
      </c>
      <c r="DN1691" t="s">
        <v>120</v>
      </c>
    </row>
    <row r="1692" spans="1:118">
      <c r="A1692" t="str">
        <f>"300323"</f>
        <v>300323</v>
      </c>
      <c r="B1692" t="s">
        <v>8641</v>
      </c>
      <c r="C1692">
        <v>-1.1399999999999999</v>
      </c>
      <c r="D1692">
        <v>0</v>
      </c>
      <c r="E1692">
        <v>-0.25</v>
      </c>
      <c r="F1692">
        <v>1427</v>
      </c>
      <c r="G1692" t="s">
        <v>8642</v>
      </c>
      <c r="H1692">
        <v>19439.11</v>
      </c>
      <c r="I1692">
        <v>151.65</v>
      </c>
      <c r="J1692" t="s">
        <v>120</v>
      </c>
      <c r="K1692" t="s">
        <v>8643</v>
      </c>
      <c r="L1692">
        <v>1.77</v>
      </c>
      <c r="M1692">
        <v>12.09</v>
      </c>
      <c r="N1692">
        <v>0.79</v>
      </c>
      <c r="O1692">
        <v>0.9</v>
      </c>
      <c r="P1692">
        <v>12.34</v>
      </c>
      <c r="Q1692">
        <v>-3.27</v>
      </c>
      <c r="R1692">
        <v>11.83</v>
      </c>
      <c r="S1692">
        <v>12.2</v>
      </c>
      <c r="T1692">
        <v>160777</v>
      </c>
      <c r="U1692">
        <v>12.09</v>
      </c>
      <c r="V1692">
        <v>12.23</v>
      </c>
      <c r="W1692" t="s">
        <v>120</v>
      </c>
      <c r="X1692" t="s">
        <v>3245</v>
      </c>
      <c r="Y1692" t="s">
        <v>763</v>
      </c>
      <c r="Z1692">
        <v>4.17</v>
      </c>
      <c r="AA1692">
        <v>12.09</v>
      </c>
      <c r="AB1692">
        <v>82254</v>
      </c>
      <c r="AC1692">
        <v>78523</v>
      </c>
      <c r="AD1692">
        <v>1.05</v>
      </c>
      <c r="AE1692">
        <v>556</v>
      </c>
      <c r="AF1692">
        <v>269</v>
      </c>
      <c r="AG1692" t="s">
        <v>120</v>
      </c>
      <c r="AH1692">
        <v>0.02</v>
      </c>
      <c r="AI1692" t="s">
        <v>120</v>
      </c>
      <c r="AJ1692">
        <v>9.09</v>
      </c>
      <c r="AK1692" t="s">
        <v>8644</v>
      </c>
      <c r="AL1692">
        <v>0.77</v>
      </c>
      <c r="AM1692">
        <v>3196</v>
      </c>
      <c r="AN1692">
        <v>50</v>
      </c>
      <c r="AO1692">
        <v>5.9999999999999995E-4</v>
      </c>
      <c r="AP1692">
        <v>-3</v>
      </c>
      <c r="AQ1692">
        <v>-1.53</v>
      </c>
      <c r="AR1692">
        <v>-3.44</v>
      </c>
      <c r="AS1692">
        <v>-6.57</v>
      </c>
      <c r="AT1692">
        <v>4.7699999999999996</v>
      </c>
      <c r="AU1692">
        <v>-0.66</v>
      </c>
      <c r="AV1692">
        <v>0</v>
      </c>
      <c r="AW1692">
        <v>2.21</v>
      </c>
      <c r="AX1692">
        <v>58.61</v>
      </c>
      <c r="AY1692">
        <v>145.84</v>
      </c>
      <c r="AZ1692">
        <v>831.6</v>
      </c>
      <c r="BA1692">
        <v>0.78</v>
      </c>
      <c r="BB1692" t="s">
        <v>143</v>
      </c>
      <c r="BF1692">
        <v>-1.1399999999999999</v>
      </c>
      <c r="BG1692">
        <v>-0.9</v>
      </c>
      <c r="BH1692">
        <v>-2.0299999999999998</v>
      </c>
      <c r="BI1692">
        <v>2.2000000000000002</v>
      </c>
      <c r="BJ1692">
        <v>20210830</v>
      </c>
      <c r="BK1692">
        <v>20120601</v>
      </c>
      <c r="BL1692">
        <v>12.4</v>
      </c>
      <c r="BM1692" t="s">
        <v>120</v>
      </c>
      <c r="BN1692" t="s">
        <v>120</v>
      </c>
      <c r="BO1692">
        <v>102.66</v>
      </c>
      <c r="BP1692">
        <v>12.08</v>
      </c>
      <c r="BQ1692">
        <v>62.91</v>
      </c>
      <c r="BR1692" t="s">
        <v>120</v>
      </c>
      <c r="BS1692">
        <v>38.72</v>
      </c>
      <c r="BT1692">
        <v>40.11</v>
      </c>
      <c r="BU1692">
        <v>41.02</v>
      </c>
      <c r="BV1692">
        <v>6.73</v>
      </c>
      <c r="BW1692">
        <v>25.61</v>
      </c>
      <c r="BX1692">
        <v>7.46</v>
      </c>
      <c r="BY1692">
        <v>10.51</v>
      </c>
      <c r="BZ1692">
        <v>8.5399999999999991</v>
      </c>
      <c r="CA1692" t="s">
        <v>120</v>
      </c>
      <c r="CB1692">
        <v>51.18</v>
      </c>
      <c r="CC1692">
        <v>15.94</v>
      </c>
      <c r="CD1692">
        <v>14.56</v>
      </c>
      <c r="CE1692">
        <v>-0.37</v>
      </c>
      <c r="CF1692">
        <v>0</v>
      </c>
      <c r="CG1692">
        <v>-0.36</v>
      </c>
      <c r="CH1692">
        <v>-0.25</v>
      </c>
      <c r="CI1692">
        <v>-0.25</v>
      </c>
      <c r="CJ1692">
        <v>-0.14000000000000001</v>
      </c>
      <c r="CK1692">
        <v>-1.1499999999999999</v>
      </c>
      <c r="CL1692">
        <v>-1.51</v>
      </c>
      <c r="CM1692">
        <v>1</v>
      </c>
      <c r="CN1692">
        <v>-9.6199999999999992</v>
      </c>
      <c r="CO1692">
        <v>47805</v>
      </c>
      <c r="CP1692">
        <v>15205</v>
      </c>
      <c r="CQ1692" t="s">
        <v>8645</v>
      </c>
      <c r="CR1692">
        <v>77.13</v>
      </c>
      <c r="CS1692">
        <v>49.2</v>
      </c>
      <c r="CT1692">
        <v>2.38</v>
      </c>
      <c r="CU1692">
        <v>149.30000000000001</v>
      </c>
      <c r="CV1692">
        <v>9.41</v>
      </c>
      <c r="CW1692">
        <v>0</v>
      </c>
      <c r="CX1692" t="s">
        <v>419</v>
      </c>
      <c r="CY1692">
        <v>5.07</v>
      </c>
      <c r="CZ1692">
        <v>0</v>
      </c>
      <c r="DA1692">
        <v>4.13</v>
      </c>
      <c r="DB1692">
        <v>-0.12</v>
      </c>
      <c r="DC1692">
        <v>0.08</v>
      </c>
      <c r="DD1692">
        <v>61.28</v>
      </c>
      <c r="DE1692" t="s">
        <v>8646</v>
      </c>
      <c r="DF1692">
        <v>8.64</v>
      </c>
      <c r="DG1692">
        <v>-2.29</v>
      </c>
      <c r="DH1692">
        <v>-1.6</v>
      </c>
      <c r="DI1692">
        <v>0.74</v>
      </c>
      <c r="DJ1692">
        <v>3369</v>
      </c>
      <c r="DK1692">
        <v>300323</v>
      </c>
      <c r="DL1692" t="s">
        <v>120</v>
      </c>
      <c r="DM1692" t="s">
        <v>120</v>
      </c>
      <c r="DN1692" t="s">
        <v>120</v>
      </c>
    </row>
    <row r="1693" spans="1:118">
      <c r="A1693" t="str">
        <f>"300324"</f>
        <v>300324</v>
      </c>
      <c r="B1693" t="s">
        <v>8647</v>
      </c>
      <c r="C1693">
        <v>-3.89</v>
      </c>
      <c r="D1693">
        <v>0</v>
      </c>
      <c r="E1693">
        <v>-0.26</v>
      </c>
      <c r="F1693">
        <v>3695</v>
      </c>
      <c r="G1693" t="s">
        <v>5299</v>
      </c>
      <c r="H1693">
        <v>11345.08</v>
      </c>
      <c r="I1693">
        <v>57.71</v>
      </c>
      <c r="J1693" t="s">
        <v>120</v>
      </c>
      <c r="K1693" t="s">
        <v>8648</v>
      </c>
      <c r="L1693">
        <v>2.38</v>
      </c>
      <c r="M1693">
        <v>3.71</v>
      </c>
      <c r="N1693">
        <v>0.99</v>
      </c>
      <c r="O1693">
        <v>0.52</v>
      </c>
      <c r="P1693">
        <v>3.88</v>
      </c>
      <c r="Q1693">
        <v>-3.89</v>
      </c>
      <c r="R1693">
        <v>3.71</v>
      </c>
      <c r="S1693">
        <v>3.85</v>
      </c>
      <c r="T1693">
        <v>299552</v>
      </c>
      <c r="U1693">
        <v>3.72</v>
      </c>
      <c r="V1693">
        <v>3.86</v>
      </c>
      <c r="W1693" t="s">
        <v>120</v>
      </c>
      <c r="X1693" t="s">
        <v>141</v>
      </c>
      <c r="Y1693" t="s">
        <v>158</v>
      </c>
      <c r="Z1693">
        <v>4.4000000000000004</v>
      </c>
      <c r="AA1693">
        <v>3.79</v>
      </c>
      <c r="AB1693">
        <v>193340</v>
      </c>
      <c r="AC1693">
        <v>106212</v>
      </c>
      <c r="AD1693">
        <v>1.82</v>
      </c>
      <c r="AE1693">
        <v>178</v>
      </c>
      <c r="AF1693">
        <v>1026</v>
      </c>
      <c r="AG1693" t="s">
        <v>120</v>
      </c>
      <c r="AH1693">
        <v>0.01</v>
      </c>
      <c r="AI1693" t="s">
        <v>120</v>
      </c>
      <c r="AJ1693">
        <v>12.58</v>
      </c>
      <c r="AK1693" t="s">
        <v>8649</v>
      </c>
      <c r="AL1693">
        <v>-1.97</v>
      </c>
      <c r="AM1693">
        <v>2464</v>
      </c>
      <c r="AN1693">
        <v>122</v>
      </c>
      <c r="AO1693">
        <v>1E-3</v>
      </c>
      <c r="AP1693">
        <v>-1</v>
      </c>
      <c r="AQ1693">
        <v>2.12</v>
      </c>
      <c r="AR1693">
        <v>-2.62</v>
      </c>
      <c r="AS1693">
        <v>-2.37</v>
      </c>
      <c r="AT1693">
        <v>-24.44</v>
      </c>
      <c r="AU1693">
        <v>-12.3</v>
      </c>
      <c r="AV1693">
        <v>0</v>
      </c>
      <c r="AW1693">
        <v>2.82</v>
      </c>
      <c r="AX1693">
        <v>61.57</v>
      </c>
      <c r="AY1693" t="s">
        <v>120</v>
      </c>
      <c r="AZ1693" t="s">
        <v>120</v>
      </c>
      <c r="BA1693">
        <v>0.66</v>
      </c>
      <c r="BB1693" t="s">
        <v>143</v>
      </c>
      <c r="BF1693">
        <v>-1.88</v>
      </c>
      <c r="BG1693">
        <v>-3.64</v>
      </c>
      <c r="BH1693">
        <v>-4.38</v>
      </c>
      <c r="BI1693">
        <v>0</v>
      </c>
      <c r="BJ1693">
        <v>20210827</v>
      </c>
      <c r="BK1693">
        <v>20120608</v>
      </c>
      <c r="BL1693">
        <v>17.28</v>
      </c>
      <c r="BM1693" t="s">
        <v>120</v>
      </c>
      <c r="BN1693" t="s">
        <v>120</v>
      </c>
      <c r="BO1693">
        <v>63.69</v>
      </c>
      <c r="BP1693">
        <v>3.71</v>
      </c>
      <c r="BQ1693">
        <v>38.340000000000003</v>
      </c>
      <c r="BR1693">
        <v>2.0099999999999998</v>
      </c>
      <c r="BS1693">
        <v>36.64</v>
      </c>
      <c r="BT1693">
        <v>35.76</v>
      </c>
      <c r="BU1693">
        <v>4.26</v>
      </c>
      <c r="BV1693">
        <v>0.89</v>
      </c>
      <c r="BW1693">
        <v>20.71</v>
      </c>
      <c r="BX1693">
        <v>12.94</v>
      </c>
      <c r="BY1693">
        <v>2.72</v>
      </c>
      <c r="BZ1693">
        <v>9.8800000000000008</v>
      </c>
      <c r="CA1693" t="s">
        <v>120</v>
      </c>
      <c r="CB1693">
        <v>24.3</v>
      </c>
      <c r="CC1693">
        <v>11.77</v>
      </c>
      <c r="CD1693">
        <v>8.42</v>
      </c>
      <c r="CE1693">
        <v>-1.4</v>
      </c>
      <c r="CF1693">
        <v>0.04</v>
      </c>
      <c r="CG1693">
        <v>-1.41</v>
      </c>
      <c r="CH1693">
        <v>-1.49</v>
      </c>
      <c r="CI1693">
        <v>-1.47</v>
      </c>
      <c r="CJ1693">
        <v>-0.15</v>
      </c>
      <c r="CK1693">
        <v>-1.1100000000000001</v>
      </c>
      <c r="CL1693">
        <v>-3.74</v>
      </c>
      <c r="CM1693">
        <v>-0.97</v>
      </c>
      <c r="CN1693">
        <v>-3.53</v>
      </c>
      <c r="CO1693">
        <v>62555</v>
      </c>
      <c r="CP1693">
        <v>17003</v>
      </c>
      <c r="CQ1693" t="s">
        <v>2404</v>
      </c>
      <c r="CR1693">
        <v>-357.14</v>
      </c>
      <c r="CS1693">
        <v>9.42</v>
      </c>
      <c r="CT1693">
        <v>1.67</v>
      </c>
      <c r="CU1693">
        <v>-66.28</v>
      </c>
      <c r="CV1693">
        <v>5.45</v>
      </c>
      <c r="CW1693">
        <v>0</v>
      </c>
      <c r="CX1693" t="s">
        <v>8260</v>
      </c>
      <c r="CY1693">
        <v>2.2200000000000002</v>
      </c>
      <c r="CZ1693">
        <v>0</v>
      </c>
      <c r="DA1693">
        <v>1.41</v>
      </c>
      <c r="DB1693">
        <v>-0.22</v>
      </c>
      <c r="DC1693">
        <v>-0.06</v>
      </c>
      <c r="DD1693">
        <v>60.2</v>
      </c>
      <c r="DE1693" t="s">
        <v>8650</v>
      </c>
      <c r="DF1693">
        <v>28.4</v>
      </c>
      <c r="DG1693">
        <v>-11.86</v>
      </c>
      <c r="DH1693">
        <v>-12.45</v>
      </c>
      <c r="DI1693">
        <v>1.59</v>
      </c>
      <c r="DJ1693">
        <v>3564</v>
      </c>
      <c r="DK1693">
        <v>300324</v>
      </c>
      <c r="DL1693" t="s">
        <v>120</v>
      </c>
      <c r="DM1693" t="s">
        <v>120</v>
      </c>
      <c r="DN1693" t="s">
        <v>120</v>
      </c>
    </row>
    <row r="1694" spans="1:118">
      <c r="A1694" t="str">
        <f>"300326"</f>
        <v>300326</v>
      </c>
      <c r="B1694" t="s">
        <v>8651</v>
      </c>
      <c r="C1694">
        <v>3.01</v>
      </c>
      <c r="D1694">
        <v>0.09</v>
      </c>
      <c r="E1694">
        <v>-1</v>
      </c>
      <c r="F1694">
        <v>6595</v>
      </c>
      <c r="G1694" t="s">
        <v>8652</v>
      </c>
      <c r="H1694">
        <v>42861.47</v>
      </c>
      <c r="I1694">
        <v>152.63</v>
      </c>
      <c r="J1694" t="s">
        <v>120</v>
      </c>
      <c r="K1694" t="s">
        <v>5958</v>
      </c>
      <c r="L1694">
        <v>5.31</v>
      </c>
      <c r="M1694">
        <v>11.28</v>
      </c>
      <c r="N1694">
        <v>1.52</v>
      </c>
      <c r="O1694">
        <v>6.76</v>
      </c>
      <c r="P1694">
        <v>11.69</v>
      </c>
      <c r="Q1694">
        <v>-1.46</v>
      </c>
      <c r="R1694">
        <v>10.79</v>
      </c>
      <c r="S1694">
        <v>10.84</v>
      </c>
      <c r="T1694">
        <v>380286</v>
      </c>
      <c r="U1694">
        <v>11.28</v>
      </c>
      <c r="V1694">
        <v>10.95</v>
      </c>
      <c r="W1694">
        <v>35.86</v>
      </c>
      <c r="X1694" t="s">
        <v>555</v>
      </c>
      <c r="Y1694" t="s">
        <v>1510</v>
      </c>
      <c r="Z1694">
        <v>8.2200000000000006</v>
      </c>
      <c r="AA1694">
        <v>11.27</v>
      </c>
      <c r="AB1694">
        <v>180967</v>
      </c>
      <c r="AC1694">
        <v>199319</v>
      </c>
      <c r="AD1694">
        <v>0.91</v>
      </c>
      <c r="AE1694">
        <v>930</v>
      </c>
      <c r="AF1694">
        <v>183</v>
      </c>
      <c r="AG1694" t="s">
        <v>120</v>
      </c>
      <c r="AH1694">
        <v>0.02</v>
      </c>
      <c r="AI1694" t="s">
        <v>120</v>
      </c>
      <c r="AJ1694">
        <v>7.17</v>
      </c>
      <c r="AK1694" t="s">
        <v>8653</v>
      </c>
      <c r="AL1694">
        <v>4.93</v>
      </c>
      <c r="AM1694">
        <v>3910</v>
      </c>
      <c r="AN1694">
        <v>97</v>
      </c>
      <c r="AO1694">
        <v>1.4E-3</v>
      </c>
      <c r="AP1694">
        <v>1</v>
      </c>
      <c r="AQ1694">
        <v>-2.84</v>
      </c>
      <c r="AR1694">
        <v>9.84</v>
      </c>
      <c r="AS1694">
        <v>13.03</v>
      </c>
      <c r="AT1694">
        <v>-11.87</v>
      </c>
      <c r="AU1694">
        <v>-28.61</v>
      </c>
      <c r="AV1694">
        <v>0</v>
      </c>
      <c r="AW1694">
        <v>6.05</v>
      </c>
      <c r="AX1694">
        <v>86.96</v>
      </c>
      <c r="AY1694" t="s">
        <v>120</v>
      </c>
      <c r="AZ1694" t="s">
        <v>120</v>
      </c>
      <c r="BA1694">
        <v>1</v>
      </c>
      <c r="BB1694" t="s">
        <v>143</v>
      </c>
      <c r="BF1694">
        <v>2.93</v>
      </c>
      <c r="BG1694">
        <v>4.0599999999999996</v>
      </c>
      <c r="BH1694">
        <v>-3.51</v>
      </c>
      <c r="BI1694">
        <v>4.54</v>
      </c>
      <c r="BJ1694">
        <v>20210830</v>
      </c>
      <c r="BK1694">
        <v>20120613</v>
      </c>
      <c r="BL1694">
        <v>7.23</v>
      </c>
      <c r="BM1694" t="s">
        <v>120</v>
      </c>
      <c r="BN1694" t="s">
        <v>120</v>
      </c>
      <c r="BO1694">
        <v>36.28</v>
      </c>
      <c r="BP1694">
        <v>11.27</v>
      </c>
      <c r="BQ1694">
        <v>27.65</v>
      </c>
      <c r="BR1694">
        <v>0.49</v>
      </c>
      <c r="BS1694">
        <v>22.43</v>
      </c>
      <c r="BT1694">
        <v>17.690000000000001</v>
      </c>
      <c r="BU1694">
        <v>3.02</v>
      </c>
      <c r="BV1694">
        <v>0.64</v>
      </c>
      <c r="BW1694">
        <v>5.98</v>
      </c>
      <c r="BX1694">
        <v>6.47</v>
      </c>
      <c r="BY1694">
        <v>2.46</v>
      </c>
      <c r="BZ1694">
        <v>5.98</v>
      </c>
      <c r="CA1694" t="s">
        <v>120</v>
      </c>
      <c r="CB1694">
        <v>7.97</v>
      </c>
      <c r="CC1694">
        <v>6.36</v>
      </c>
      <c r="CD1694">
        <v>2.58</v>
      </c>
      <c r="CE1694">
        <v>1.35</v>
      </c>
      <c r="CF1694">
        <v>-0.04</v>
      </c>
      <c r="CG1694">
        <v>1.35</v>
      </c>
      <c r="CH1694">
        <v>1.19</v>
      </c>
      <c r="CI1694">
        <v>1.1399999999999999</v>
      </c>
      <c r="CJ1694">
        <v>0.33</v>
      </c>
      <c r="CK1694">
        <v>1.04</v>
      </c>
      <c r="CL1694">
        <v>12.3</v>
      </c>
      <c r="CM1694">
        <v>1.0900000000000001</v>
      </c>
      <c r="CN1694">
        <v>-0.47</v>
      </c>
      <c r="CO1694">
        <v>67759</v>
      </c>
      <c r="CP1694">
        <v>9278</v>
      </c>
      <c r="CQ1694" t="s">
        <v>3271</v>
      </c>
      <c r="CR1694">
        <v>-4.7699999999999996</v>
      </c>
      <c r="CS1694">
        <v>30.87</v>
      </c>
      <c r="CT1694">
        <v>2.95</v>
      </c>
      <c r="CU1694">
        <v>74.760000000000005</v>
      </c>
      <c r="CV1694">
        <v>12.83</v>
      </c>
      <c r="CW1694">
        <v>0.46</v>
      </c>
      <c r="CX1694" t="s">
        <v>745</v>
      </c>
      <c r="CY1694">
        <v>3.82</v>
      </c>
      <c r="CZ1694">
        <v>0</v>
      </c>
      <c r="DA1694">
        <v>1.1000000000000001</v>
      </c>
      <c r="DB1694">
        <v>1.7</v>
      </c>
      <c r="DC1694">
        <v>0.15</v>
      </c>
      <c r="DD1694">
        <v>76.209999999999994</v>
      </c>
      <c r="DE1694" t="s">
        <v>5947</v>
      </c>
      <c r="DF1694">
        <v>59.42</v>
      </c>
      <c r="DG1694">
        <v>21.24</v>
      </c>
      <c r="DH1694">
        <v>17.89</v>
      </c>
      <c r="DI1694">
        <v>0.25</v>
      </c>
      <c r="DJ1694">
        <v>1113</v>
      </c>
      <c r="DK1694">
        <v>300326</v>
      </c>
      <c r="DL1694" t="s">
        <v>120</v>
      </c>
      <c r="DM1694" t="s">
        <v>120</v>
      </c>
      <c r="DN1694" t="s">
        <v>120</v>
      </c>
    </row>
    <row r="1695" spans="1:118">
      <c r="A1695" t="str">
        <f>"300327"</f>
        <v>300327</v>
      </c>
      <c r="B1695" t="s">
        <v>8654</v>
      </c>
      <c r="C1695">
        <v>-7.08</v>
      </c>
      <c r="D1695">
        <v>-0.15</v>
      </c>
      <c r="E1695">
        <v>-0.77</v>
      </c>
      <c r="F1695">
        <v>1373</v>
      </c>
      <c r="G1695" t="s">
        <v>8655</v>
      </c>
      <c r="H1695">
        <v>84430.03</v>
      </c>
      <c r="I1695">
        <v>1363.56</v>
      </c>
      <c r="J1695" t="s">
        <v>120</v>
      </c>
      <c r="K1695" t="s">
        <v>8656</v>
      </c>
      <c r="L1695">
        <v>4.18</v>
      </c>
      <c r="M1695">
        <v>64</v>
      </c>
      <c r="N1695">
        <v>0.97</v>
      </c>
      <c r="O1695">
        <v>0.01</v>
      </c>
      <c r="P1695">
        <v>68.89</v>
      </c>
      <c r="Q1695">
        <v>-7.08</v>
      </c>
      <c r="R1695">
        <v>64</v>
      </c>
      <c r="S1695">
        <v>68.349999999999994</v>
      </c>
      <c r="T1695">
        <v>128442</v>
      </c>
      <c r="U1695">
        <v>64.05</v>
      </c>
      <c r="V1695">
        <v>68.88</v>
      </c>
      <c r="W1695">
        <v>65.12</v>
      </c>
      <c r="X1695" t="s">
        <v>3245</v>
      </c>
      <c r="Y1695" t="s">
        <v>1510</v>
      </c>
      <c r="Z1695">
        <v>7.1</v>
      </c>
      <c r="AA1695">
        <v>65.73</v>
      </c>
      <c r="AB1695">
        <v>65480</v>
      </c>
      <c r="AC1695">
        <v>62962</v>
      </c>
      <c r="AD1695">
        <v>1.04</v>
      </c>
      <c r="AE1695">
        <v>254</v>
      </c>
      <c r="AF1695">
        <v>2</v>
      </c>
      <c r="AG1695" t="s">
        <v>120</v>
      </c>
      <c r="AH1695">
        <v>0.09</v>
      </c>
      <c r="AI1695" t="s">
        <v>120</v>
      </c>
      <c r="AJ1695">
        <v>3.07</v>
      </c>
      <c r="AK1695" t="s">
        <v>8657</v>
      </c>
      <c r="AL1695">
        <v>-5.17</v>
      </c>
      <c r="AM1695">
        <v>4457</v>
      </c>
      <c r="AN1695">
        <v>29</v>
      </c>
      <c r="AO1695">
        <v>8.9999999999999998E-4</v>
      </c>
      <c r="AP1695">
        <v>-4</v>
      </c>
      <c r="AQ1695">
        <v>-1.61</v>
      </c>
      <c r="AR1695">
        <v>-9.3699999999999992</v>
      </c>
      <c r="AS1695">
        <v>5.88</v>
      </c>
      <c r="AT1695">
        <v>1.85</v>
      </c>
      <c r="AU1695">
        <v>119.32</v>
      </c>
      <c r="AV1695">
        <v>1</v>
      </c>
      <c r="AW1695">
        <v>5.51</v>
      </c>
      <c r="AX1695">
        <v>74.95</v>
      </c>
      <c r="AY1695">
        <v>79.84</v>
      </c>
      <c r="AZ1695">
        <v>102.28</v>
      </c>
      <c r="BA1695">
        <v>0.87</v>
      </c>
      <c r="BB1695" t="s">
        <v>143</v>
      </c>
      <c r="BF1695">
        <v>-4.57</v>
      </c>
      <c r="BG1695">
        <v>-6.36</v>
      </c>
      <c r="BH1695">
        <v>-7.1</v>
      </c>
      <c r="BI1695">
        <v>0</v>
      </c>
      <c r="BJ1695">
        <v>20210913</v>
      </c>
      <c r="BK1695">
        <v>20120613</v>
      </c>
      <c r="BL1695">
        <v>3.11</v>
      </c>
      <c r="BM1695" t="s">
        <v>120</v>
      </c>
      <c r="BN1695" t="s">
        <v>120</v>
      </c>
      <c r="BO1695">
        <v>15.69</v>
      </c>
      <c r="BP1695">
        <v>64</v>
      </c>
      <c r="BQ1695">
        <v>12.2</v>
      </c>
      <c r="BR1695">
        <v>0.15</v>
      </c>
      <c r="BS1695">
        <v>21.29</v>
      </c>
      <c r="BT1695">
        <v>13.56</v>
      </c>
      <c r="BU1695">
        <v>0.28000000000000003</v>
      </c>
      <c r="BV1695">
        <v>1.1499999999999999</v>
      </c>
      <c r="BW1695">
        <v>3.31</v>
      </c>
      <c r="BX1695">
        <v>5.18</v>
      </c>
      <c r="BY1695">
        <v>1.47</v>
      </c>
      <c r="BZ1695">
        <v>2.0299999999999998</v>
      </c>
      <c r="CA1695" t="s">
        <v>120</v>
      </c>
      <c r="CB1695">
        <v>3.63</v>
      </c>
      <c r="CC1695">
        <v>6.86</v>
      </c>
      <c r="CD1695">
        <v>3.79</v>
      </c>
      <c r="CE1695">
        <v>1.69</v>
      </c>
      <c r="CF1695">
        <v>0.04</v>
      </c>
      <c r="CG1695">
        <v>1.69</v>
      </c>
      <c r="CH1695">
        <v>1.52</v>
      </c>
      <c r="CI1695">
        <v>1.53</v>
      </c>
      <c r="CJ1695">
        <v>-4.88</v>
      </c>
      <c r="CK1695">
        <v>1.43</v>
      </c>
      <c r="CL1695">
        <v>5.25</v>
      </c>
      <c r="CM1695">
        <v>0.77</v>
      </c>
      <c r="CN1695">
        <v>2.3199999999999998</v>
      </c>
      <c r="CO1695">
        <v>28500</v>
      </c>
      <c r="CP1695">
        <v>8178</v>
      </c>
      <c r="CQ1695" t="s">
        <v>8658</v>
      </c>
      <c r="CR1695">
        <v>62.62</v>
      </c>
      <c r="CS1695">
        <v>50.78</v>
      </c>
      <c r="CT1695">
        <v>16.32</v>
      </c>
      <c r="CU1695">
        <v>259.83999999999997</v>
      </c>
      <c r="CV1695">
        <v>29.01</v>
      </c>
      <c r="CW1695">
        <v>0.63</v>
      </c>
      <c r="CX1695" t="s">
        <v>8659</v>
      </c>
      <c r="CY1695">
        <v>3.92</v>
      </c>
      <c r="CZ1695">
        <v>0</v>
      </c>
      <c r="DA1695">
        <v>1.17</v>
      </c>
      <c r="DB1695">
        <v>1.69</v>
      </c>
      <c r="DC1695">
        <v>0.25</v>
      </c>
      <c r="DD1695">
        <v>77.739999999999995</v>
      </c>
      <c r="DE1695" t="s">
        <v>8660</v>
      </c>
      <c r="DF1695">
        <v>44.8</v>
      </c>
      <c r="DG1695">
        <v>24.67</v>
      </c>
      <c r="DH1695">
        <v>22.27</v>
      </c>
      <c r="DI1695">
        <v>1.24</v>
      </c>
      <c r="DJ1695">
        <v>361</v>
      </c>
      <c r="DK1695">
        <v>300327</v>
      </c>
      <c r="DL1695" t="s">
        <v>120</v>
      </c>
      <c r="DM1695" t="s">
        <v>120</v>
      </c>
      <c r="DN1695" t="s">
        <v>120</v>
      </c>
    </row>
    <row r="1696" spans="1:118">
      <c r="A1696" t="str">
        <f>"300328"</f>
        <v>300328</v>
      </c>
      <c r="B1696" t="s">
        <v>8661</v>
      </c>
      <c r="C1696">
        <v>-0.74</v>
      </c>
      <c r="D1696">
        <v>-0.2</v>
      </c>
      <c r="E1696">
        <v>0.85</v>
      </c>
      <c r="F1696">
        <v>2416</v>
      </c>
      <c r="G1696" t="s">
        <v>8662</v>
      </c>
      <c r="H1696">
        <v>20703.25</v>
      </c>
      <c r="I1696">
        <v>84.38</v>
      </c>
      <c r="J1696" t="s">
        <v>120</v>
      </c>
      <c r="K1696" t="s">
        <v>7343</v>
      </c>
      <c r="L1696">
        <v>3.16</v>
      </c>
      <c r="M1696">
        <v>9.35</v>
      </c>
      <c r="N1696">
        <v>0.93</v>
      </c>
      <c r="O1696">
        <v>6.69</v>
      </c>
      <c r="P1696">
        <v>10.050000000000001</v>
      </c>
      <c r="Q1696">
        <v>-0.85</v>
      </c>
      <c r="R1696">
        <v>9.34</v>
      </c>
      <c r="S1696">
        <v>9.5</v>
      </c>
      <c r="T1696">
        <v>215493</v>
      </c>
      <c r="U1696">
        <v>9.35</v>
      </c>
      <c r="V1696">
        <v>9.42</v>
      </c>
      <c r="W1696">
        <v>4452.04</v>
      </c>
      <c r="X1696" t="s">
        <v>1325</v>
      </c>
      <c r="Y1696" t="s">
        <v>547</v>
      </c>
      <c r="Z1696">
        <v>7.54</v>
      </c>
      <c r="AA1696">
        <v>9.61</v>
      </c>
      <c r="AB1696">
        <v>109727</v>
      </c>
      <c r="AC1696">
        <v>105766</v>
      </c>
      <c r="AD1696">
        <v>1.04</v>
      </c>
      <c r="AE1696">
        <v>430</v>
      </c>
      <c r="AF1696">
        <v>270</v>
      </c>
      <c r="AG1696" t="s">
        <v>120</v>
      </c>
      <c r="AH1696">
        <v>0.03</v>
      </c>
      <c r="AI1696" t="s">
        <v>120</v>
      </c>
      <c r="AJ1696">
        <v>6.81</v>
      </c>
      <c r="AK1696" t="s">
        <v>7545</v>
      </c>
      <c r="AL1696">
        <v>1.17</v>
      </c>
      <c r="AM1696">
        <v>2742</v>
      </c>
      <c r="AN1696">
        <v>79</v>
      </c>
      <c r="AO1696">
        <v>1.1999999999999999E-3</v>
      </c>
      <c r="AP1696">
        <v>-5</v>
      </c>
      <c r="AQ1696">
        <v>-2.59</v>
      </c>
      <c r="AR1696">
        <v>-4.79</v>
      </c>
      <c r="AS1696">
        <v>7.35</v>
      </c>
      <c r="AT1696">
        <v>27.9</v>
      </c>
      <c r="AU1696">
        <v>6.98</v>
      </c>
      <c r="AV1696">
        <v>0</v>
      </c>
      <c r="AW1696">
        <v>6.29</v>
      </c>
      <c r="AX1696">
        <v>49.66</v>
      </c>
      <c r="AY1696">
        <v>699.47</v>
      </c>
      <c r="AZ1696">
        <v>401.17</v>
      </c>
      <c r="BA1696">
        <v>1.18</v>
      </c>
      <c r="BB1696" t="s">
        <v>143</v>
      </c>
      <c r="BF1696">
        <v>1.99</v>
      </c>
      <c r="BG1696">
        <v>-1.58</v>
      </c>
      <c r="BH1696">
        <v>-6.97</v>
      </c>
      <c r="BI1696">
        <v>0.11</v>
      </c>
      <c r="BJ1696">
        <v>20210827</v>
      </c>
      <c r="BK1696">
        <v>20120619</v>
      </c>
      <c r="BL1696">
        <v>6.9</v>
      </c>
      <c r="BM1696" t="s">
        <v>120</v>
      </c>
      <c r="BN1696" t="s">
        <v>120</v>
      </c>
      <c r="BO1696">
        <v>21.63</v>
      </c>
      <c r="BP1696">
        <v>9.34</v>
      </c>
      <c r="BQ1696">
        <v>12.84</v>
      </c>
      <c r="BR1696">
        <v>1.65</v>
      </c>
      <c r="BS1696">
        <v>33.01</v>
      </c>
      <c r="BT1696">
        <v>9.84</v>
      </c>
      <c r="BU1696">
        <v>7.28</v>
      </c>
      <c r="BV1696">
        <v>0.32</v>
      </c>
      <c r="BW1696">
        <v>4.7699999999999996</v>
      </c>
      <c r="BX1696">
        <v>2.21</v>
      </c>
      <c r="BY1696">
        <v>2.12</v>
      </c>
      <c r="BZ1696">
        <v>2.85</v>
      </c>
      <c r="CA1696" t="s">
        <v>120</v>
      </c>
      <c r="CB1696">
        <v>2.3199999999999998</v>
      </c>
      <c r="CC1696">
        <v>4.87</v>
      </c>
      <c r="CD1696">
        <v>3.96</v>
      </c>
      <c r="CE1696">
        <v>-0.17</v>
      </c>
      <c r="CF1696">
        <v>0.01</v>
      </c>
      <c r="CG1696">
        <v>-0.13</v>
      </c>
      <c r="CH1696">
        <v>-7.0000000000000007E-2</v>
      </c>
      <c r="CI1696">
        <v>0.01</v>
      </c>
      <c r="CJ1696">
        <v>-7.0000000000000007E-2</v>
      </c>
      <c r="CK1696">
        <v>-0.06</v>
      </c>
      <c r="CL1696">
        <v>3.17</v>
      </c>
      <c r="CM1696">
        <v>-0.03</v>
      </c>
      <c r="CN1696">
        <v>-1.35</v>
      </c>
      <c r="CO1696">
        <v>30364</v>
      </c>
      <c r="CP1696">
        <v>11291</v>
      </c>
      <c r="CQ1696" t="s">
        <v>5885</v>
      </c>
      <c r="CR1696">
        <v>-90.51</v>
      </c>
      <c r="CS1696">
        <v>16.350000000000001</v>
      </c>
      <c r="CT1696">
        <v>5.03</v>
      </c>
      <c r="CU1696">
        <v>-2096.6799999999998</v>
      </c>
      <c r="CV1696">
        <v>13.25</v>
      </c>
      <c r="CW1696">
        <v>0.11</v>
      </c>
      <c r="CX1696" t="s">
        <v>1415</v>
      </c>
      <c r="CY1696">
        <v>1.86</v>
      </c>
      <c r="CZ1696">
        <v>0</v>
      </c>
      <c r="DA1696">
        <v>0.34</v>
      </c>
      <c r="DB1696">
        <v>0.46</v>
      </c>
      <c r="DC1696">
        <v>0</v>
      </c>
      <c r="DD1696">
        <v>59.36</v>
      </c>
      <c r="DE1696" t="s">
        <v>8663</v>
      </c>
      <c r="DF1696">
        <v>18.75</v>
      </c>
      <c r="DG1696">
        <v>-3.47</v>
      </c>
      <c r="DH1696">
        <v>0.15</v>
      </c>
      <c r="DI1696">
        <v>0.4</v>
      </c>
      <c r="DJ1696">
        <v>2064</v>
      </c>
      <c r="DK1696">
        <v>300328</v>
      </c>
      <c r="DL1696" t="s">
        <v>120</v>
      </c>
      <c r="DM1696" t="s">
        <v>120</v>
      </c>
      <c r="DN1696" t="s">
        <v>120</v>
      </c>
    </row>
    <row r="1697" spans="1:118">
      <c r="A1697" t="str">
        <f>"300329"</f>
        <v>300329</v>
      </c>
      <c r="B1697" t="s">
        <v>8664</v>
      </c>
      <c r="C1697">
        <v>4.0999999999999996</v>
      </c>
      <c r="D1697">
        <v>0.49</v>
      </c>
      <c r="E1697">
        <v>-1.02</v>
      </c>
      <c r="F1697">
        <v>4250</v>
      </c>
      <c r="G1697" t="s">
        <v>6628</v>
      </c>
      <c r="H1697">
        <v>42061.66</v>
      </c>
      <c r="I1697">
        <v>60.67</v>
      </c>
      <c r="J1697" t="s">
        <v>120</v>
      </c>
      <c r="K1697" t="s">
        <v>2739</v>
      </c>
      <c r="L1697">
        <v>13.65</v>
      </c>
      <c r="M1697">
        <v>12.2</v>
      </c>
      <c r="N1697">
        <v>1.2</v>
      </c>
      <c r="O1697">
        <v>9.73</v>
      </c>
      <c r="P1697">
        <v>12.86</v>
      </c>
      <c r="Q1697">
        <v>-2.73</v>
      </c>
      <c r="R1697">
        <v>11.4</v>
      </c>
      <c r="S1697">
        <v>11.6</v>
      </c>
      <c r="T1697">
        <v>344215</v>
      </c>
      <c r="U1697">
        <v>12.21</v>
      </c>
      <c r="V1697">
        <v>11.72</v>
      </c>
      <c r="W1697">
        <v>62.35</v>
      </c>
      <c r="X1697" t="s">
        <v>213</v>
      </c>
      <c r="Y1697" t="s">
        <v>585</v>
      </c>
      <c r="Z1697">
        <v>12.46</v>
      </c>
      <c r="AA1697">
        <v>12.22</v>
      </c>
      <c r="AB1697">
        <v>157979</v>
      </c>
      <c r="AC1697">
        <v>186236</v>
      </c>
      <c r="AD1697">
        <v>0.85</v>
      </c>
      <c r="AE1697">
        <v>2882</v>
      </c>
      <c r="AF1697">
        <v>26</v>
      </c>
      <c r="AG1697" t="s">
        <v>120</v>
      </c>
      <c r="AH1697">
        <v>0.04</v>
      </c>
      <c r="AI1697" t="s">
        <v>120</v>
      </c>
      <c r="AJ1697">
        <v>2.52</v>
      </c>
      <c r="AK1697" t="s">
        <v>8665</v>
      </c>
      <c r="AL1697">
        <v>6.01</v>
      </c>
      <c r="AM1697">
        <v>3794</v>
      </c>
      <c r="AN1697">
        <v>91</v>
      </c>
      <c r="AO1697">
        <v>3.5999999999999999E-3</v>
      </c>
      <c r="AP1697">
        <v>2</v>
      </c>
      <c r="AQ1697">
        <v>1.74</v>
      </c>
      <c r="AR1697">
        <v>0.49</v>
      </c>
      <c r="AS1697">
        <v>-15.52</v>
      </c>
      <c r="AT1697">
        <v>72.069999999999993</v>
      </c>
      <c r="AU1697">
        <v>71.45</v>
      </c>
      <c r="AV1697">
        <v>4</v>
      </c>
      <c r="AW1697">
        <v>24.6</v>
      </c>
      <c r="AX1697">
        <v>55.34</v>
      </c>
      <c r="AY1697">
        <v>61.55</v>
      </c>
      <c r="AZ1697">
        <v>93.09</v>
      </c>
      <c r="BA1697">
        <v>0.55000000000000004</v>
      </c>
      <c r="BB1697" t="s">
        <v>125</v>
      </c>
      <c r="BF1697">
        <v>4.26</v>
      </c>
      <c r="BG1697">
        <v>5.17</v>
      </c>
      <c r="BH1697">
        <v>-5.13</v>
      </c>
      <c r="BI1697">
        <v>7.02</v>
      </c>
      <c r="BJ1697">
        <v>20210830</v>
      </c>
      <c r="BK1697">
        <v>20120619</v>
      </c>
      <c r="BL1697">
        <v>2.5299999999999998</v>
      </c>
      <c r="BM1697" t="s">
        <v>120</v>
      </c>
      <c r="BN1697" t="s">
        <v>120</v>
      </c>
      <c r="BO1697">
        <v>14.19</v>
      </c>
      <c r="BP1697">
        <v>12.2</v>
      </c>
      <c r="BQ1697">
        <v>10.18</v>
      </c>
      <c r="BR1697">
        <v>0.03</v>
      </c>
      <c r="BS1697">
        <v>28.06</v>
      </c>
      <c r="BT1697">
        <v>6.18</v>
      </c>
      <c r="BU1697">
        <v>1.98</v>
      </c>
      <c r="BV1697">
        <v>0.57999999999999996</v>
      </c>
      <c r="BW1697">
        <v>3.87</v>
      </c>
      <c r="BX1697">
        <v>0.85</v>
      </c>
      <c r="BY1697">
        <v>3.04</v>
      </c>
      <c r="BZ1697">
        <v>1.29</v>
      </c>
      <c r="CA1697">
        <v>0</v>
      </c>
      <c r="CB1697">
        <v>3.61</v>
      </c>
      <c r="CC1697">
        <v>2.5099999999999998</v>
      </c>
      <c r="CD1697">
        <v>1.84</v>
      </c>
      <c r="CE1697">
        <v>0.27</v>
      </c>
      <c r="CF1697">
        <v>0.11</v>
      </c>
      <c r="CG1697">
        <v>0.27</v>
      </c>
      <c r="CH1697">
        <v>0.25</v>
      </c>
      <c r="CI1697">
        <v>0.25</v>
      </c>
      <c r="CJ1697">
        <v>0.48</v>
      </c>
      <c r="CK1697">
        <v>0.24</v>
      </c>
      <c r="CL1697">
        <v>3.52</v>
      </c>
      <c r="CM1697">
        <v>-0.46</v>
      </c>
      <c r="CN1697">
        <v>-0.16</v>
      </c>
      <c r="CO1697">
        <v>21339</v>
      </c>
      <c r="CP1697">
        <v>6558</v>
      </c>
      <c r="CQ1697" t="s">
        <v>4683</v>
      </c>
      <c r="CR1697">
        <v>193.56</v>
      </c>
      <c r="CS1697">
        <v>40.49</v>
      </c>
      <c r="CT1697">
        <v>3.03</v>
      </c>
      <c r="CU1697">
        <v>-67.52</v>
      </c>
      <c r="CV1697">
        <v>12.28</v>
      </c>
      <c r="CW1697">
        <v>0.12</v>
      </c>
      <c r="CX1697" t="s">
        <v>1568</v>
      </c>
      <c r="CY1697">
        <v>4.0199999999999996</v>
      </c>
      <c r="CZ1697">
        <v>0</v>
      </c>
      <c r="DA1697">
        <v>1.43</v>
      </c>
      <c r="DB1697">
        <v>1.39</v>
      </c>
      <c r="DC1697">
        <v>-0.18</v>
      </c>
      <c r="DD1697">
        <v>71.7</v>
      </c>
      <c r="DE1697" t="s">
        <v>3817</v>
      </c>
      <c r="DF1697">
        <v>26.77</v>
      </c>
      <c r="DG1697">
        <v>10.69</v>
      </c>
      <c r="DH1697">
        <v>9.85</v>
      </c>
      <c r="DI1697">
        <v>0.11</v>
      </c>
      <c r="DJ1697">
        <v>1276</v>
      </c>
      <c r="DK1697">
        <v>300329</v>
      </c>
      <c r="DL1697">
        <v>20210726</v>
      </c>
      <c r="DM1697">
        <v>8.1999999999999993</v>
      </c>
      <c r="DN1697">
        <v>48.78</v>
      </c>
    </row>
    <row r="1698" spans="1:118">
      <c r="A1698" t="str">
        <f>"300330"</f>
        <v>300330</v>
      </c>
      <c r="B1698" t="s">
        <v>8666</v>
      </c>
      <c r="C1698">
        <v>0.96</v>
      </c>
      <c r="D1698">
        <v>0</v>
      </c>
      <c r="E1698">
        <v>-0.19</v>
      </c>
      <c r="F1698">
        <v>500</v>
      </c>
      <c r="G1698" t="s">
        <v>8667</v>
      </c>
      <c r="H1698">
        <v>4997.6400000000003</v>
      </c>
      <c r="I1698">
        <v>2.0699999999999998</v>
      </c>
      <c r="J1698" t="s">
        <v>120</v>
      </c>
      <c r="K1698" t="s">
        <v>8668</v>
      </c>
      <c r="L1698">
        <v>2.82</v>
      </c>
      <c r="M1698">
        <v>10.47</v>
      </c>
      <c r="N1698">
        <v>1.42</v>
      </c>
      <c r="O1698">
        <v>3.57</v>
      </c>
      <c r="P1698">
        <v>10.74</v>
      </c>
      <c r="Q1698">
        <v>-0.39</v>
      </c>
      <c r="R1698">
        <v>10.33</v>
      </c>
      <c r="S1698">
        <v>10.35</v>
      </c>
      <c r="T1698">
        <v>47369</v>
      </c>
      <c r="U1698">
        <v>10.48</v>
      </c>
      <c r="V1698">
        <v>10.37</v>
      </c>
      <c r="W1698">
        <v>142.72999999999999</v>
      </c>
      <c r="X1698" t="s">
        <v>141</v>
      </c>
      <c r="Y1698" t="s">
        <v>1510</v>
      </c>
      <c r="Z1698">
        <v>3.95</v>
      </c>
      <c r="AA1698">
        <v>10.55</v>
      </c>
      <c r="AB1698">
        <v>22547</v>
      </c>
      <c r="AC1698">
        <v>24822</v>
      </c>
      <c r="AD1698">
        <v>0.91</v>
      </c>
      <c r="AE1698">
        <v>78</v>
      </c>
      <c r="AF1698">
        <v>223</v>
      </c>
      <c r="AG1698" t="s">
        <v>120</v>
      </c>
      <c r="AH1698">
        <v>0</v>
      </c>
      <c r="AI1698" t="s">
        <v>120</v>
      </c>
      <c r="AJ1698">
        <v>1.68</v>
      </c>
      <c r="AK1698" t="s">
        <v>1429</v>
      </c>
      <c r="AL1698">
        <v>2.88</v>
      </c>
      <c r="AM1698">
        <v>1674</v>
      </c>
      <c r="AN1698">
        <v>28</v>
      </c>
      <c r="AO1698">
        <v>1.6999999999999999E-3</v>
      </c>
      <c r="AP1698">
        <v>1</v>
      </c>
      <c r="AQ1698">
        <v>-0.57999999999999996</v>
      </c>
      <c r="AR1698">
        <v>1.35</v>
      </c>
      <c r="AS1698">
        <v>2.95</v>
      </c>
      <c r="AT1698">
        <v>3.56</v>
      </c>
      <c r="AU1698">
        <v>5.97</v>
      </c>
      <c r="AV1698">
        <v>0</v>
      </c>
      <c r="AW1698">
        <v>3.79</v>
      </c>
      <c r="AX1698">
        <v>72.989999999999995</v>
      </c>
      <c r="AY1698">
        <v>203.79</v>
      </c>
      <c r="AZ1698">
        <v>301.74</v>
      </c>
      <c r="BA1698">
        <v>0.77</v>
      </c>
      <c r="BB1698" t="s">
        <v>143</v>
      </c>
      <c r="BF1698">
        <v>1.74</v>
      </c>
      <c r="BG1698">
        <v>1.1599999999999999</v>
      </c>
      <c r="BH1698">
        <v>-2.5099999999999998</v>
      </c>
      <c r="BI1698">
        <v>1.36</v>
      </c>
      <c r="BJ1698">
        <v>20210827</v>
      </c>
      <c r="BK1698">
        <v>20120619</v>
      </c>
      <c r="BL1698">
        <v>1.71</v>
      </c>
      <c r="BM1698" t="s">
        <v>120</v>
      </c>
      <c r="BN1698" t="s">
        <v>120</v>
      </c>
      <c r="BO1698">
        <v>6.39</v>
      </c>
      <c r="BP1698">
        <v>10.47</v>
      </c>
      <c r="BQ1698">
        <v>3.91</v>
      </c>
      <c r="BR1698" t="s">
        <v>120</v>
      </c>
      <c r="BS1698">
        <v>38.82</v>
      </c>
      <c r="BT1698">
        <v>5.24</v>
      </c>
      <c r="BU1698">
        <v>0.47</v>
      </c>
      <c r="BV1698">
        <v>0.01</v>
      </c>
      <c r="BW1698">
        <v>2.35</v>
      </c>
      <c r="BX1698">
        <v>1.19</v>
      </c>
      <c r="BY1698">
        <v>0.94</v>
      </c>
      <c r="BZ1698">
        <v>1.52</v>
      </c>
      <c r="CA1698" t="s">
        <v>120</v>
      </c>
      <c r="CB1698">
        <v>2.1</v>
      </c>
      <c r="CC1698">
        <v>1.97</v>
      </c>
      <c r="CD1698">
        <v>1.54</v>
      </c>
      <c r="CE1698">
        <v>0.04</v>
      </c>
      <c r="CF1698">
        <v>0</v>
      </c>
      <c r="CG1698">
        <v>0.04</v>
      </c>
      <c r="CH1698">
        <v>0.06</v>
      </c>
      <c r="CI1698">
        <v>0.06</v>
      </c>
      <c r="CJ1698">
        <v>0.1</v>
      </c>
      <c r="CK1698">
        <v>0.05</v>
      </c>
      <c r="CL1698">
        <v>0.13</v>
      </c>
      <c r="CM1698">
        <v>-0.44</v>
      </c>
      <c r="CN1698">
        <v>-0.47</v>
      </c>
      <c r="CO1698">
        <v>14210</v>
      </c>
      <c r="CP1698">
        <v>8791</v>
      </c>
      <c r="CQ1698" t="s">
        <v>1732</v>
      </c>
      <c r="CR1698">
        <v>81.95</v>
      </c>
      <c r="CS1698">
        <v>54.61</v>
      </c>
      <c r="CT1698">
        <v>4.59</v>
      </c>
      <c r="CU1698">
        <v>-40.630000000000003</v>
      </c>
      <c r="CV1698">
        <v>9.1199999999999992</v>
      </c>
      <c r="CW1698">
        <v>0</v>
      </c>
      <c r="CX1698" t="s">
        <v>145</v>
      </c>
      <c r="CY1698">
        <v>2.2799999999999998</v>
      </c>
      <c r="CZ1698">
        <v>0</v>
      </c>
      <c r="DA1698">
        <v>1.23</v>
      </c>
      <c r="DB1698">
        <v>7.0000000000000007E-2</v>
      </c>
      <c r="DC1698">
        <v>-0.26</v>
      </c>
      <c r="DD1698">
        <v>61.18</v>
      </c>
      <c r="DE1698" t="s">
        <v>8669</v>
      </c>
      <c r="DF1698">
        <v>21.38</v>
      </c>
      <c r="DG1698">
        <v>2.2599999999999998</v>
      </c>
      <c r="DH1698">
        <v>3.19</v>
      </c>
      <c r="DI1698">
        <v>0.11</v>
      </c>
      <c r="DJ1698">
        <v>197</v>
      </c>
      <c r="DK1698">
        <v>300330</v>
      </c>
      <c r="DL1698" t="s">
        <v>120</v>
      </c>
      <c r="DM1698" t="s">
        <v>120</v>
      </c>
      <c r="DN1698" t="s">
        <v>120</v>
      </c>
    </row>
    <row r="1699" spans="1:118">
      <c r="A1699" t="str">
        <f>"300331"</f>
        <v>300331</v>
      </c>
      <c r="B1699" t="s">
        <v>8670</v>
      </c>
      <c r="C1699">
        <v>-4.25</v>
      </c>
      <c r="D1699">
        <v>-0.02</v>
      </c>
      <c r="E1699">
        <v>-1.45</v>
      </c>
      <c r="F1699">
        <v>486</v>
      </c>
      <c r="G1699" t="s">
        <v>2432</v>
      </c>
      <c r="H1699">
        <v>19225.57</v>
      </c>
      <c r="I1699">
        <v>111.71</v>
      </c>
      <c r="J1699" t="s">
        <v>120</v>
      </c>
      <c r="K1699" t="s">
        <v>1108</v>
      </c>
      <c r="L1699">
        <v>3.29</v>
      </c>
      <c r="M1699">
        <v>34.9</v>
      </c>
      <c r="N1699">
        <v>0.74</v>
      </c>
      <c r="O1699">
        <v>0.27</v>
      </c>
      <c r="P1699">
        <v>36.549999999999997</v>
      </c>
      <c r="Q1699">
        <v>-5.49</v>
      </c>
      <c r="R1699">
        <v>34.450000000000003</v>
      </c>
      <c r="S1699">
        <v>35.92</v>
      </c>
      <c r="T1699">
        <v>54494</v>
      </c>
      <c r="U1699">
        <v>34.9</v>
      </c>
      <c r="V1699">
        <v>36.450000000000003</v>
      </c>
      <c r="W1699">
        <v>87.58</v>
      </c>
      <c r="X1699" t="s">
        <v>229</v>
      </c>
      <c r="Y1699" t="s">
        <v>319</v>
      </c>
      <c r="Z1699">
        <v>5.76</v>
      </c>
      <c r="AA1699">
        <v>35.28</v>
      </c>
      <c r="AB1699">
        <v>33795</v>
      </c>
      <c r="AC1699">
        <v>20699</v>
      </c>
      <c r="AD1699">
        <v>1.63</v>
      </c>
      <c r="AE1699">
        <v>1</v>
      </c>
      <c r="AF1699">
        <v>47</v>
      </c>
      <c r="AG1699" t="s">
        <v>120</v>
      </c>
      <c r="AH1699">
        <v>0.02</v>
      </c>
      <c r="AI1699" t="s">
        <v>120</v>
      </c>
      <c r="AJ1699">
        <v>1.65</v>
      </c>
      <c r="AK1699" t="s">
        <v>8671</v>
      </c>
      <c r="AL1699">
        <v>-2.34</v>
      </c>
      <c r="AM1699">
        <v>2985</v>
      </c>
      <c r="AN1699">
        <v>18</v>
      </c>
      <c r="AO1699">
        <v>1.1000000000000001E-3</v>
      </c>
      <c r="AP1699">
        <v>-1</v>
      </c>
      <c r="AQ1699">
        <v>9.3000000000000007</v>
      </c>
      <c r="AR1699">
        <v>1.43</v>
      </c>
      <c r="AS1699">
        <v>19.600000000000001</v>
      </c>
      <c r="AT1699">
        <v>38.82</v>
      </c>
      <c r="AU1699">
        <v>55.88</v>
      </c>
      <c r="AV1699">
        <v>0</v>
      </c>
      <c r="AW1699">
        <v>3.84</v>
      </c>
      <c r="AX1699">
        <v>54.67</v>
      </c>
      <c r="AY1699">
        <v>104.11</v>
      </c>
      <c r="AZ1699">
        <v>179.2</v>
      </c>
      <c r="BA1699">
        <v>0</v>
      </c>
      <c r="BB1699" t="s">
        <v>143</v>
      </c>
      <c r="BF1699">
        <v>-3.21</v>
      </c>
      <c r="BG1699">
        <v>-2.84</v>
      </c>
      <c r="BH1699">
        <v>-4.51</v>
      </c>
      <c r="BI1699">
        <v>1.31</v>
      </c>
      <c r="BJ1699">
        <v>20210828</v>
      </c>
      <c r="BK1699">
        <v>20120628</v>
      </c>
      <c r="BL1699">
        <v>2.6</v>
      </c>
      <c r="BM1699" t="s">
        <v>120</v>
      </c>
      <c r="BN1699" t="s">
        <v>120</v>
      </c>
      <c r="BO1699">
        <v>32.75</v>
      </c>
      <c r="BP1699">
        <v>34.86</v>
      </c>
      <c r="BQ1699">
        <v>16.059999999999999</v>
      </c>
      <c r="BR1699">
        <v>0.17</v>
      </c>
      <c r="BS1699">
        <v>50.43</v>
      </c>
      <c r="BT1699">
        <v>18.14</v>
      </c>
      <c r="BU1699">
        <v>7.35</v>
      </c>
      <c r="BV1699">
        <v>0.82</v>
      </c>
      <c r="BW1699">
        <v>13.67</v>
      </c>
      <c r="BX1699">
        <v>2.69</v>
      </c>
      <c r="BY1699">
        <v>6.37</v>
      </c>
      <c r="BZ1699">
        <v>7.35</v>
      </c>
      <c r="CA1699" t="s">
        <v>120</v>
      </c>
      <c r="CB1699">
        <v>9.4700000000000006</v>
      </c>
      <c r="CC1699">
        <v>8.01</v>
      </c>
      <c r="CD1699">
        <v>6.02</v>
      </c>
      <c r="CE1699">
        <v>0.53</v>
      </c>
      <c r="CF1699">
        <v>0</v>
      </c>
      <c r="CG1699">
        <v>0.59</v>
      </c>
      <c r="CH1699">
        <v>0.51</v>
      </c>
      <c r="CI1699">
        <v>0.52</v>
      </c>
      <c r="CJ1699">
        <v>-1.55</v>
      </c>
      <c r="CK1699">
        <v>0.39</v>
      </c>
      <c r="CL1699">
        <v>3.89</v>
      </c>
      <c r="CM1699">
        <v>-0.48</v>
      </c>
      <c r="CN1699">
        <v>-1.22</v>
      </c>
      <c r="CO1699">
        <v>16280</v>
      </c>
      <c r="CP1699">
        <v>8719</v>
      </c>
      <c r="CQ1699" t="s">
        <v>8672</v>
      </c>
      <c r="CR1699">
        <v>279.22000000000003</v>
      </c>
      <c r="CS1699">
        <v>40.299999999999997</v>
      </c>
      <c r="CT1699">
        <v>4.91</v>
      </c>
      <c r="CU1699">
        <v>-188.36</v>
      </c>
      <c r="CV1699">
        <v>11.31</v>
      </c>
      <c r="CW1699">
        <v>0</v>
      </c>
      <c r="CX1699" t="s">
        <v>694</v>
      </c>
      <c r="CY1699">
        <v>7.11</v>
      </c>
      <c r="CZ1699">
        <v>7.11</v>
      </c>
      <c r="DA1699">
        <v>3.65</v>
      </c>
      <c r="DB1699">
        <v>1.5</v>
      </c>
      <c r="DC1699">
        <v>-0.19</v>
      </c>
      <c r="DD1699">
        <v>49.06</v>
      </c>
      <c r="DE1699" t="s">
        <v>2554</v>
      </c>
      <c r="DF1699">
        <v>24.86</v>
      </c>
      <c r="DG1699">
        <v>6.57</v>
      </c>
      <c r="DH1699">
        <v>6.46</v>
      </c>
      <c r="DI1699">
        <v>0.55000000000000004</v>
      </c>
      <c r="DJ1699">
        <v>2558</v>
      </c>
      <c r="DK1699">
        <v>300331</v>
      </c>
      <c r="DL1699" t="s">
        <v>120</v>
      </c>
      <c r="DM1699" t="s">
        <v>120</v>
      </c>
      <c r="DN1699" t="s">
        <v>120</v>
      </c>
    </row>
    <row r="1700" spans="1:118">
      <c r="A1700" t="str">
        <f>"300332"</f>
        <v>300332</v>
      </c>
      <c r="B1700" t="s">
        <v>8673</v>
      </c>
      <c r="C1700">
        <v>-4.3</v>
      </c>
      <c r="D1700">
        <v>-0.23</v>
      </c>
      <c r="E1700">
        <v>0.79</v>
      </c>
      <c r="F1700">
        <v>2430</v>
      </c>
      <c r="G1700" t="s">
        <v>8674</v>
      </c>
      <c r="H1700">
        <v>26022.78</v>
      </c>
      <c r="I1700">
        <v>286.72000000000003</v>
      </c>
      <c r="J1700" t="s">
        <v>120</v>
      </c>
      <c r="K1700" t="s">
        <v>8675</v>
      </c>
      <c r="L1700">
        <v>3.58</v>
      </c>
      <c r="M1700">
        <v>8.4600000000000009</v>
      </c>
      <c r="N1700">
        <v>0.89</v>
      </c>
      <c r="O1700">
        <v>1.24</v>
      </c>
      <c r="P1700">
        <v>8.9499999999999993</v>
      </c>
      <c r="Q1700">
        <v>-4.41</v>
      </c>
      <c r="R1700">
        <v>8.4499999999999993</v>
      </c>
      <c r="S1700">
        <v>8.91</v>
      </c>
      <c r="T1700">
        <v>301295</v>
      </c>
      <c r="U1700">
        <v>8.4700000000000006</v>
      </c>
      <c r="V1700">
        <v>8.84</v>
      </c>
      <c r="W1700">
        <v>94.34</v>
      </c>
      <c r="X1700" t="s">
        <v>318</v>
      </c>
      <c r="Y1700" t="s">
        <v>158</v>
      </c>
      <c r="Z1700">
        <v>5.66</v>
      </c>
      <c r="AA1700">
        <v>8.64</v>
      </c>
      <c r="AB1700">
        <v>184784</v>
      </c>
      <c r="AC1700">
        <v>116511</v>
      </c>
      <c r="AD1700">
        <v>1.59</v>
      </c>
      <c r="AE1700">
        <v>1995</v>
      </c>
      <c r="AF1700">
        <v>55</v>
      </c>
      <c r="AG1700" t="s">
        <v>120</v>
      </c>
      <c r="AH1700">
        <v>0.05</v>
      </c>
      <c r="AI1700" t="s">
        <v>120</v>
      </c>
      <c r="AJ1700">
        <v>8.41</v>
      </c>
      <c r="AK1700" t="s">
        <v>8676</v>
      </c>
      <c r="AL1700">
        <v>-2.38</v>
      </c>
      <c r="AM1700">
        <v>3360</v>
      </c>
      <c r="AN1700">
        <v>90</v>
      </c>
      <c r="AO1700">
        <v>1.1000000000000001E-3</v>
      </c>
      <c r="AP1700">
        <v>-1</v>
      </c>
      <c r="AQ1700">
        <v>9.81</v>
      </c>
      <c r="AR1700">
        <v>6.95</v>
      </c>
      <c r="AS1700">
        <v>28.18</v>
      </c>
      <c r="AT1700">
        <v>62.17</v>
      </c>
      <c r="AU1700">
        <v>75.63</v>
      </c>
      <c r="AV1700">
        <v>0</v>
      </c>
      <c r="AW1700">
        <v>4.58</v>
      </c>
      <c r="AX1700">
        <v>74.819999999999993</v>
      </c>
      <c r="AY1700">
        <v>134.94999999999999</v>
      </c>
      <c r="AZ1700">
        <v>139.41</v>
      </c>
      <c r="BA1700">
        <v>0.82</v>
      </c>
      <c r="BB1700" t="s">
        <v>700</v>
      </c>
      <c r="BF1700">
        <v>-2.2999999999999998</v>
      </c>
      <c r="BG1700">
        <v>-5.05</v>
      </c>
      <c r="BH1700">
        <v>-5.47</v>
      </c>
      <c r="BI1700">
        <v>0.12</v>
      </c>
      <c r="BJ1700">
        <v>20210821</v>
      </c>
      <c r="BK1700">
        <v>20120628</v>
      </c>
      <c r="BL1700">
        <v>8.8000000000000007</v>
      </c>
      <c r="BM1700" t="s">
        <v>120</v>
      </c>
      <c r="BN1700" t="s">
        <v>120</v>
      </c>
      <c r="BO1700">
        <v>79.290000000000006</v>
      </c>
      <c r="BP1700">
        <v>8.4600000000000009</v>
      </c>
      <c r="BQ1700">
        <v>34.65</v>
      </c>
      <c r="BR1700">
        <v>1.39</v>
      </c>
      <c r="BS1700">
        <v>54.54</v>
      </c>
      <c r="BT1700">
        <v>27.26</v>
      </c>
      <c r="BU1700">
        <v>16.68</v>
      </c>
      <c r="BV1700">
        <v>12.63</v>
      </c>
      <c r="BW1700">
        <v>34.82</v>
      </c>
      <c r="BX1700">
        <v>3.08</v>
      </c>
      <c r="BY1700">
        <v>1.08</v>
      </c>
      <c r="BZ1700">
        <v>5.0199999999999996</v>
      </c>
      <c r="CA1700">
        <v>0</v>
      </c>
      <c r="CB1700">
        <v>18.39</v>
      </c>
      <c r="CC1700">
        <v>7.45</v>
      </c>
      <c r="CD1700">
        <v>5.87</v>
      </c>
      <c r="CE1700">
        <v>0.45</v>
      </c>
      <c r="CF1700">
        <v>-0.03</v>
      </c>
      <c r="CG1700">
        <v>0.71</v>
      </c>
      <c r="CH1700">
        <v>0.42</v>
      </c>
      <c r="CI1700">
        <v>0.39</v>
      </c>
      <c r="CJ1700">
        <v>-0.38</v>
      </c>
      <c r="CK1700">
        <v>0.16</v>
      </c>
      <c r="CL1700">
        <v>7.14</v>
      </c>
      <c r="CM1700">
        <v>2.5</v>
      </c>
      <c r="CN1700">
        <v>-7.76</v>
      </c>
      <c r="CO1700">
        <v>25118</v>
      </c>
      <c r="CP1700">
        <v>26219</v>
      </c>
      <c r="CQ1700" t="s">
        <v>8677</v>
      </c>
      <c r="CR1700">
        <v>4.9000000000000004</v>
      </c>
      <c r="CS1700">
        <v>1.05</v>
      </c>
      <c r="CT1700">
        <v>2.2000000000000002</v>
      </c>
      <c r="CU1700">
        <v>29.75</v>
      </c>
      <c r="CV1700">
        <v>9.99</v>
      </c>
      <c r="CW1700">
        <v>0.14000000000000001</v>
      </c>
      <c r="CX1700" t="s">
        <v>1248</v>
      </c>
      <c r="CY1700">
        <v>3.85</v>
      </c>
      <c r="CZ1700">
        <v>3.85</v>
      </c>
      <c r="DA1700">
        <v>2.09</v>
      </c>
      <c r="DB1700">
        <v>0.81</v>
      </c>
      <c r="DC1700">
        <v>0.28000000000000003</v>
      </c>
      <c r="DD1700">
        <v>43.7</v>
      </c>
      <c r="DE1700" t="s">
        <v>4237</v>
      </c>
      <c r="DF1700">
        <v>21.21</v>
      </c>
      <c r="DG1700">
        <v>6.03</v>
      </c>
      <c r="DH1700">
        <v>5.3</v>
      </c>
      <c r="DI1700">
        <v>0.12</v>
      </c>
      <c r="DJ1700">
        <v>1634</v>
      </c>
      <c r="DK1700">
        <v>300332</v>
      </c>
      <c r="DL1700" t="s">
        <v>120</v>
      </c>
      <c r="DM1700" t="s">
        <v>120</v>
      </c>
      <c r="DN1700" t="s">
        <v>120</v>
      </c>
    </row>
    <row r="1701" spans="1:118">
      <c r="A1701" t="str">
        <f>"300333"</f>
        <v>300333</v>
      </c>
      <c r="B1701" t="s">
        <v>8678</v>
      </c>
      <c r="C1701">
        <v>-1.48</v>
      </c>
      <c r="D1701">
        <v>-0.11</v>
      </c>
      <c r="E1701">
        <v>0.12</v>
      </c>
      <c r="F1701">
        <v>828</v>
      </c>
      <c r="G1701" t="s">
        <v>4209</v>
      </c>
      <c r="H1701">
        <v>6296.73</v>
      </c>
      <c r="I1701">
        <v>16.989999999999998</v>
      </c>
      <c r="J1701" t="s">
        <v>120</v>
      </c>
      <c r="K1701" t="s">
        <v>8679</v>
      </c>
      <c r="L1701">
        <v>2.33</v>
      </c>
      <c r="M1701">
        <v>8</v>
      </c>
      <c r="N1701">
        <v>0.65</v>
      </c>
      <c r="O1701">
        <v>1.72</v>
      </c>
      <c r="P1701">
        <v>8.26</v>
      </c>
      <c r="Q1701">
        <v>-1.48</v>
      </c>
      <c r="R1701">
        <v>8</v>
      </c>
      <c r="S1701">
        <v>8.1300000000000008</v>
      </c>
      <c r="T1701">
        <v>77546</v>
      </c>
      <c r="U1701">
        <v>8.01</v>
      </c>
      <c r="V1701">
        <v>8.1199999999999992</v>
      </c>
      <c r="W1701" t="s">
        <v>120</v>
      </c>
      <c r="X1701" t="s">
        <v>141</v>
      </c>
      <c r="Y1701" t="s">
        <v>123</v>
      </c>
      <c r="Z1701">
        <v>3.2</v>
      </c>
      <c r="AA1701">
        <v>8.1199999999999992</v>
      </c>
      <c r="AB1701">
        <v>46241</v>
      </c>
      <c r="AC1701">
        <v>31305</v>
      </c>
      <c r="AD1701">
        <v>1.48</v>
      </c>
      <c r="AE1701">
        <v>1354</v>
      </c>
      <c r="AF1701">
        <v>736</v>
      </c>
      <c r="AG1701" t="s">
        <v>120</v>
      </c>
      <c r="AH1701">
        <v>0.01</v>
      </c>
      <c r="AI1701" t="s">
        <v>120</v>
      </c>
      <c r="AJ1701">
        <v>3.33</v>
      </c>
      <c r="AK1701" t="s">
        <v>6488</v>
      </c>
      <c r="AL1701">
        <v>0.44</v>
      </c>
      <c r="AM1701">
        <v>1670</v>
      </c>
      <c r="AN1701">
        <v>46</v>
      </c>
      <c r="AO1701">
        <v>1.4E-3</v>
      </c>
      <c r="AP1701">
        <v>-2</v>
      </c>
      <c r="AQ1701">
        <v>-0.85</v>
      </c>
      <c r="AR1701">
        <v>0.01</v>
      </c>
      <c r="AS1701">
        <v>-1.96</v>
      </c>
      <c r="AT1701">
        <v>0</v>
      </c>
      <c r="AU1701">
        <v>-15.16</v>
      </c>
      <c r="AV1701">
        <v>2</v>
      </c>
      <c r="AW1701">
        <v>2.8</v>
      </c>
      <c r="AX1701">
        <v>82.35</v>
      </c>
      <c r="AY1701" t="s">
        <v>120</v>
      </c>
      <c r="AZ1701" t="s">
        <v>120</v>
      </c>
      <c r="BA1701">
        <v>1.27</v>
      </c>
      <c r="BB1701" t="s">
        <v>143</v>
      </c>
      <c r="BF1701">
        <v>0</v>
      </c>
      <c r="BG1701">
        <v>-1.6</v>
      </c>
      <c r="BH1701">
        <v>-3.15</v>
      </c>
      <c r="BI1701">
        <v>0</v>
      </c>
      <c r="BJ1701">
        <v>20210901</v>
      </c>
      <c r="BK1701">
        <v>20120628</v>
      </c>
      <c r="BL1701">
        <v>3.36</v>
      </c>
      <c r="BM1701" t="s">
        <v>120</v>
      </c>
      <c r="BN1701" t="s">
        <v>120</v>
      </c>
      <c r="BO1701">
        <v>8.31</v>
      </c>
      <c r="BP1701">
        <v>8</v>
      </c>
      <c r="BQ1701">
        <v>7.96</v>
      </c>
      <c r="BR1701">
        <v>0.11</v>
      </c>
      <c r="BS1701">
        <v>2.94</v>
      </c>
      <c r="BT1701">
        <v>4.71</v>
      </c>
      <c r="BU1701">
        <v>1.02</v>
      </c>
      <c r="BV1701">
        <v>0.64</v>
      </c>
      <c r="BW1701">
        <v>0.24</v>
      </c>
      <c r="BX1701">
        <v>3.33</v>
      </c>
      <c r="BY1701">
        <v>0.56999999999999995</v>
      </c>
      <c r="BZ1701">
        <v>0.38</v>
      </c>
      <c r="CA1701">
        <v>0</v>
      </c>
      <c r="CB1701">
        <v>3.88</v>
      </c>
      <c r="CC1701">
        <v>0.95</v>
      </c>
      <c r="CD1701">
        <v>0.35</v>
      </c>
      <c r="CE1701">
        <v>0.04</v>
      </c>
      <c r="CF1701">
        <v>7.0000000000000007E-2</v>
      </c>
      <c r="CG1701">
        <v>0.04</v>
      </c>
      <c r="CH1701">
        <v>-0.01</v>
      </c>
      <c r="CI1701">
        <v>-0.08</v>
      </c>
      <c r="CJ1701">
        <v>-0.12</v>
      </c>
      <c r="CK1701">
        <v>-0.15</v>
      </c>
      <c r="CL1701">
        <v>0.37</v>
      </c>
      <c r="CM1701">
        <v>-0.35</v>
      </c>
      <c r="CN1701">
        <v>0.38</v>
      </c>
      <c r="CO1701">
        <v>41502</v>
      </c>
      <c r="CP1701">
        <v>6667</v>
      </c>
      <c r="CQ1701" t="s">
        <v>5037</v>
      </c>
      <c r="CR1701">
        <v>-237.73</v>
      </c>
      <c r="CS1701">
        <v>-8.82</v>
      </c>
      <c r="CT1701">
        <v>3.38</v>
      </c>
      <c r="CU1701">
        <v>-77.69</v>
      </c>
      <c r="CV1701">
        <v>28.38</v>
      </c>
      <c r="CW1701">
        <v>0</v>
      </c>
      <c r="CX1701" t="s">
        <v>8680</v>
      </c>
      <c r="CY1701">
        <v>2.37</v>
      </c>
      <c r="CZ1701">
        <v>0</v>
      </c>
      <c r="DA1701">
        <v>1.1499999999999999</v>
      </c>
      <c r="DB1701">
        <v>0.11</v>
      </c>
      <c r="DC1701">
        <v>-0.1</v>
      </c>
      <c r="DD1701">
        <v>95.79</v>
      </c>
      <c r="DE1701" t="s">
        <v>2759</v>
      </c>
      <c r="DF1701">
        <v>62.69</v>
      </c>
      <c r="DG1701">
        <v>4.3600000000000003</v>
      </c>
      <c r="DH1701">
        <v>-8.52</v>
      </c>
      <c r="DI1701">
        <v>0.41</v>
      </c>
      <c r="DJ1701">
        <v>357</v>
      </c>
      <c r="DK1701">
        <v>300333</v>
      </c>
      <c r="DL1701" t="s">
        <v>120</v>
      </c>
      <c r="DM1701" t="s">
        <v>120</v>
      </c>
      <c r="DN1701" t="s">
        <v>120</v>
      </c>
    </row>
    <row r="1702" spans="1:118">
      <c r="A1702" t="str">
        <f>"300334"</f>
        <v>300334</v>
      </c>
      <c r="B1702" t="s">
        <v>8681</v>
      </c>
      <c r="C1702">
        <v>-6.18</v>
      </c>
      <c r="D1702">
        <v>0.42</v>
      </c>
      <c r="E1702">
        <v>-1.72</v>
      </c>
      <c r="F1702">
        <v>3847</v>
      </c>
      <c r="G1702" t="s">
        <v>8682</v>
      </c>
      <c r="H1702">
        <v>31346.5</v>
      </c>
      <c r="I1702">
        <v>168.56</v>
      </c>
      <c r="J1702" t="s">
        <v>120</v>
      </c>
      <c r="K1702" t="s">
        <v>4801</v>
      </c>
      <c r="L1702">
        <v>8.61</v>
      </c>
      <c r="M1702">
        <v>12</v>
      </c>
      <c r="N1702">
        <v>0.84</v>
      </c>
      <c r="O1702">
        <v>0</v>
      </c>
      <c r="P1702">
        <v>12.79</v>
      </c>
      <c r="Q1702">
        <v>-8.2899999999999991</v>
      </c>
      <c r="R1702">
        <v>11.73</v>
      </c>
      <c r="S1702">
        <v>12.57</v>
      </c>
      <c r="T1702">
        <v>256965</v>
      </c>
      <c r="U1702">
        <v>12.01</v>
      </c>
      <c r="V1702">
        <v>12.79</v>
      </c>
      <c r="W1702">
        <v>184.35</v>
      </c>
      <c r="X1702" t="s">
        <v>675</v>
      </c>
      <c r="Y1702" t="s">
        <v>997</v>
      </c>
      <c r="Z1702">
        <v>8.2899999999999991</v>
      </c>
      <c r="AA1702">
        <v>12.2</v>
      </c>
      <c r="AB1702">
        <v>155450</v>
      </c>
      <c r="AC1702">
        <v>101515</v>
      </c>
      <c r="AD1702">
        <v>1.53</v>
      </c>
      <c r="AE1702">
        <v>714</v>
      </c>
      <c r="AF1702">
        <v>70</v>
      </c>
      <c r="AG1702" t="s">
        <v>120</v>
      </c>
      <c r="AH1702">
        <v>0.08</v>
      </c>
      <c r="AI1702" t="s">
        <v>120</v>
      </c>
      <c r="AJ1702">
        <v>2.99</v>
      </c>
      <c r="AK1702" t="s">
        <v>5907</v>
      </c>
      <c r="AL1702">
        <v>-4.26</v>
      </c>
      <c r="AM1702">
        <v>3739</v>
      </c>
      <c r="AN1702">
        <v>69</v>
      </c>
      <c r="AO1702">
        <v>2.3E-3</v>
      </c>
      <c r="AP1702">
        <v>-2</v>
      </c>
      <c r="AQ1702">
        <v>-0.08</v>
      </c>
      <c r="AR1702">
        <v>-0.5</v>
      </c>
      <c r="AS1702">
        <v>8.99</v>
      </c>
      <c r="AT1702">
        <v>84.62</v>
      </c>
      <c r="AU1702">
        <v>43.89</v>
      </c>
      <c r="AV1702">
        <v>3</v>
      </c>
      <c r="AW1702">
        <v>15.58</v>
      </c>
      <c r="AX1702">
        <v>54.61</v>
      </c>
      <c r="AY1702" t="s">
        <v>120</v>
      </c>
      <c r="AZ1702" t="s">
        <v>120</v>
      </c>
      <c r="BA1702">
        <v>1.25</v>
      </c>
      <c r="BB1702" t="s">
        <v>184</v>
      </c>
      <c r="BF1702">
        <v>-4.62</v>
      </c>
      <c r="BG1702">
        <v>-4.53</v>
      </c>
      <c r="BH1702">
        <v>-6.18</v>
      </c>
      <c r="BI1702">
        <v>2.2999999999999998</v>
      </c>
      <c r="BJ1702">
        <v>20210901</v>
      </c>
      <c r="BK1702">
        <v>20120705</v>
      </c>
      <c r="BL1702">
        <v>3.02</v>
      </c>
      <c r="BM1702" t="s">
        <v>120</v>
      </c>
      <c r="BN1702" t="s">
        <v>120</v>
      </c>
      <c r="BO1702">
        <v>17.53</v>
      </c>
      <c r="BP1702">
        <v>12</v>
      </c>
      <c r="BQ1702">
        <v>7.52</v>
      </c>
      <c r="BR1702">
        <v>0.67</v>
      </c>
      <c r="BS1702">
        <v>53.27</v>
      </c>
      <c r="BT1702">
        <v>7</v>
      </c>
      <c r="BU1702">
        <v>2.09</v>
      </c>
      <c r="BV1702">
        <v>6.44</v>
      </c>
      <c r="BW1702">
        <v>8</v>
      </c>
      <c r="BX1702">
        <v>0.59</v>
      </c>
      <c r="BY1702">
        <v>1.73</v>
      </c>
      <c r="BZ1702">
        <v>2.87</v>
      </c>
      <c r="CA1702" t="s">
        <v>120</v>
      </c>
      <c r="CB1702">
        <v>10.65</v>
      </c>
      <c r="CC1702">
        <v>2.08</v>
      </c>
      <c r="CD1702">
        <v>1.29</v>
      </c>
      <c r="CE1702">
        <v>0.15</v>
      </c>
      <c r="CF1702">
        <v>-0.03</v>
      </c>
      <c r="CG1702">
        <v>0.15</v>
      </c>
      <c r="CH1702">
        <v>0.14000000000000001</v>
      </c>
      <c r="CI1702">
        <v>0.1</v>
      </c>
      <c r="CJ1702">
        <v>-0.79</v>
      </c>
      <c r="CK1702">
        <v>0.04</v>
      </c>
      <c r="CL1702">
        <v>-6.55</v>
      </c>
      <c r="CM1702">
        <v>0.45</v>
      </c>
      <c r="CN1702">
        <v>-0.08</v>
      </c>
      <c r="CO1702">
        <v>30982</v>
      </c>
      <c r="CP1702">
        <v>5325</v>
      </c>
      <c r="CQ1702" t="s">
        <v>6502</v>
      </c>
      <c r="CR1702">
        <v>123.62</v>
      </c>
      <c r="CS1702">
        <v>28.49</v>
      </c>
      <c r="CT1702">
        <v>4.82</v>
      </c>
      <c r="CU1702">
        <v>80.319999999999993</v>
      </c>
      <c r="CV1702">
        <v>17.41</v>
      </c>
      <c r="CW1702">
        <v>0</v>
      </c>
      <c r="CX1702" t="s">
        <v>2074</v>
      </c>
      <c r="CY1702">
        <v>2.4900000000000002</v>
      </c>
      <c r="CZ1702">
        <v>0</v>
      </c>
      <c r="DA1702">
        <v>3.53</v>
      </c>
      <c r="DB1702">
        <v>-2.17</v>
      </c>
      <c r="DC1702">
        <v>0.15</v>
      </c>
      <c r="DD1702">
        <v>42.89</v>
      </c>
      <c r="DE1702" t="s">
        <v>5272</v>
      </c>
      <c r="DF1702">
        <v>38.22</v>
      </c>
      <c r="DG1702">
        <v>7.06</v>
      </c>
      <c r="DH1702">
        <v>4.72</v>
      </c>
      <c r="DI1702">
        <v>0.15</v>
      </c>
      <c r="DJ1702">
        <v>591</v>
      </c>
      <c r="DK1702">
        <v>300334</v>
      </c>
      <c r="DL1702">
        <v>20210802</v>
      </c>
      <c r="DM1702">
        <v>9.1199999999999992</v>
      </c>
      <c r="DN1702">
        <v>31.58</v>
      </c>
    </row>
    <row r="1703" spans="1:118">
      <c r="A1703" t="str">
        <f>"300335"</f>
        <v>300335</v>
      </c>
      <c r="B1703" t="s">
        <v>8683</v>
      </c>
      <c r="C1703">
        <v>-2.34</v>
      </c>
      <c r="D1703">
        <v>-0.15</v>
      </c>
      <c r="E1703">
        <v>-0.47</v>
      </c>
      <c r="F1703">
        <v>1416</v>
      </c>
      <c r="G1703" t="s">
        <v>3747</v>
      </c>
      <c r="H1703">
        <v>12529.38</v>
      </c>
      <c r="I1703">
        <v>90.77</v>
      </c>
      <c r="J1703" t="s">
        <v>120</v>
      </c>
      <c r="K1703" t="s">
        <v>7803</v>
      </c>
      <c r="L1703">
        <v>6.97</v>
      </c>
      <c r="M1703">
        <v>6.25</v>
      </c>
      <c r="N1703">
        <v>0.79</v>
      </c>
      <c r="O1703">
        <v>2.19</v>
      </c>
      <c r="P1703">
        <v>6.54</v>
      </c>
      <c r="Q1703">
        <v>-2.66</v>
      </c>
      <c r="R1703">
        <v>6.23</v>
      </c>
      <c r="S1703">
        <v>6.37</v>
      </c>
      <c r="T1703">
        <v>196789</v>
      </c>
      <c r="U1703">
        <v>6.25</v>
      </c>
      <c r="V1703">
        <v>6.4</v>
      </c>
      <c r="W1703">
        <v>59.84</v>
      </c>
      <c r="X1703" t="s">
        <v>684</v>
      </c>
      <c r="Y1703" t="s">
        <v>547</v>
      </c>
      <c r="Z1703">
        <v>4.84</v>
      </c>
      <c r="AA1703">
        <v>6.37</v>
      </c>
      <c r="AB1703">
        <v>95749</v>
      </c>
      <c r="AC1703">
        <v>101040</v>
      </c>
      <c r="AD1703">
        <v>0.95</v>
      </c>
      <c r="AE1703">
        <v>713</v>
      </c>
      <c r="AF1703">
        <v>183</v>
      </c>
      <c r="AG1703" t="s">
        <v>120</v>
      </c>
      <c r="AH1703">
        <v>0.06</v>
      </c>
      <c r="AI1703" t="s">
        <v>120</v>
      </c>
      <c r="AJ1703">
        <v>2.82</v>
      </c>
      <c r="AK1703" t="s">
        <v>3350</v>
      </c>
      <c r="AL1703">
        <v>-0.43</v>
      </c>
      <c r="AM1703">
        <v>2838</v>
      </c>
      <c r="AN1703">
        <v>69</v>
      </c>
      <c r="AO1703">
        <v>2.5000000000000001E-3</v>
      </c>
      <c r="AP1703">
        <v>-1</v>
      </c>
      <c r="AQ1703">
        <v>6.31</v>
      </c>
      <c r="AR1703">
        <v>0.48</v>
      </c>
      <c r="AS1703">
        <v>5.04</v>
      </c>
      <c r="AT1703">
        <v>18.37</v>
      </c>
      <c r="AU1703">
        <v>11.02</v>
      </c>
      <c r="AV1703">
        <v>1</v>
      </c>
      <c r="AW1703">
        <v>7.95</v>
      </c>
      <c r="AX1703">
        <v>66.34</v>
      </c>
      <c r="AY1703">
        <v>49.2</v>
      </c>
      <c r="AZ1703">
        <v>73.38</v>
      </c>
      <c r="BA1703">
        <v>0.46</v>
      </c>
      <c r="BB1703" t="s">
        <v>751</v>
      </c>
      <c r="BF1703">
        <v>-0.52</v>
      </c>
      <c r="BG1703">
        <v>-1.88</v>
      </c>
      <c r="BH1703">
        <v>-4.43</v>
      </c>
      <c r="BI1703">
        <v>0.32</v>
      </c>
      <c r="BJ1703">
        <v>20210827</v>
      </c>
      <c r="BK1703">
        <v>20120710</v>
      </c>
      <c r="BL1703">
        <v>3.73</v>
      </c>
      <c r="BM1703" t="s">
        <v>120</v>
      </c>
      <c r="BN1703" t="s">
        <v>120</v>
      </c>
      <c r="BO1703">
        <v>31.02</v>
      </c>
      <c r="BP1703">
        <v>6.24</v>
      </c>
      <c r="BQ1703">
        <v>14.97</v>
      </c>
      <c r="BR1703">
        <v>2.23</v>
      </c>
      <c r="BS1703">
        <v>44.52</v>
      </c>
      <c r="BT1703">
        <v>12.7</v>
      </c>
      <c r="BU1703">
        <v>9.3699999999999992</v>
      </c>
      <c r="BV1703">
        <v>1.22</v>
      </c>
      <c r="BW1703">
        <v>7.89</v>
      </c>
      <c r="BX1703">
        <v>1.76</v>
      </c>
      <c r="BY1703">
        <v>1.78</v>
      </c>
      <c r="BZ1703">
        <v>3.69</v>
      </c>
      <c r="CA1703">
        <v>0</v>
      </c>
      <c r="CB1703">
        <v>3.79</v>
      </c>
      <c r="CC1703">
        <v>6.05</v>
      </c>
      <c r="CD1703">
        <v>4.57</v>
      </c>
      <c r="CE1703">
        <v>0.52</v>
      </c>
      <c r="CF1703">
        <v>0</v>
      </c>
      <c r="CG1703">
        <v>0.51</v>
      </c>
      <c r="CH1703">
        <v>0.35</v>
      </c>
      <c r="CI1703">
        <v>0.19</v>
      </c>
      <c r="CJ1703">
        <v>-0.15</v>
      </c>
      <c r="CK1703">
        <v>0.15</v>
      </c>
      <c r="CL1703">
        <v>5.75</v>
      </c>
      <c r="CM1703">
        <v>0.57999999999999996</v>
      </c>
      <c r="CN1703">
        <v>-4</v>
      </c>
      <c r="CO1703">
        <v>20991</v>
      </c>
      <c r="CP1703">
        <v>11787</v>
      </c>
      <c r="CQ1703" t="s">
        <v>1785</v>
      </c>
      <c r="CR1703">
        <v>458.62</v>
      </c>
      <c r="CS1703">
        <v>30.39</v>
      </c>
      <c r="CT1703">
        <v>1.72</v>
      </c>
      <c r="CU1703">
        <v>39.94</v>
      </c>
      <c r="CV1703">
        <v>3.85</v>
      </c>
      <c r="CW1703">
        <v>2.2799999999999998</v>
      </c>
      <c r="CX1703" t="s">
        <v>1248</v>
      </c>
      <c r="CY1703">
        <v>3.64</v>
      </c>
      <c r="CZ1703">
        <v>3.64</v>
      </c>
      <c r="DA1703">
        <v>1.02</v>
      </c>
      <c r="DB1703">
        <v>1.54</v>
      </c>
      <c r="DC1703">
        <v>0.16</v>
      </c>
      <c r="DD1703">
        <v>48.28</v>
      </c>
      <c r="DE1703" t="s">
        <v>7565</v>
      </c>
      <c r="DF1703">
        <v>24.45</v>
      </c>
      <c r="DG1703">
        <v>8.5500000000000007</v>
      </c>
      <c r="DH1703">
        <v>3.22</v>
      </c>
      <c r="DI1703">
        <v>0.17</v>
      </c>
      <c r="DJ1703">
        <v>1138</v>
      </c>
      <c r="DK1703">
        <v>300335</v>
      </c>
      <c r="DL1703" t="s">
        <v>120</v>
      </c>
      <c r="DM1703" t="s">
        <v>120</v>
      </c>
      <c r="DN1703" t="s">
        <v>120</v>
      </c>
    </row>
    <row r="1704" spans="1:118">
      <c r="A1704" t="str">
        <f>"300336"</f>
        <v>300336</v>
      </c>
      <c r="B1704" t="s">
        <v>8684</v>
      </c>
      <c r="C1704">
        <v>0.36</v>
      </c>
      <c r="D1704">
        <v>-0.35</v>
      </c>
      <c r="E1704">
        <v>0</v>
      </c>
      <c r="F1704">
        <v>3198</v>
      </c>
      <c r="G1704" t="s">
        <v>8685</v>
      </c>
      <c r="H1704">
        <v>4683.1499999999996</v>
      </c>
      <c r="I1704">
        <v>17.59</v>
      </c>
      <c r="J1704" t="s">
        <v>120</v>
      </c>
      <c r="K1704" t="s">
        <v>8686</v>
      </c>
      <c r="L1704">
        <v>2.27</v>
      </c>
      <c r="M1704">
        <v>2.78</v>
      </c>
      <c r="N1704">
        <v>0.67</v>
      </c>
      <c r="O1704">
        <v>2.17</v>
      </c>
      <c r="P1704">
        <v>2.83</v>
      </c>
      <c r="Q1704">
        <v>0</v>
      </c>
      <c r="R1704">
        <v>2.77</v>
      </c>
      <c r="S1704">
        <v>2.77</v>
      </c>
      <c r="T1704">
        <v>167260</v>
      </c>
      <c r="U1704">
        <v>2.78</v>
      </c>
      <c r="V1704">
        <v>2.77</v>
      </c>
      <c r="W1704" t="s">
        <v>120</v>
      </c>
      <c r="X1704" t="s">
        <v>584</v>
      </c>
      <c r="Y1704" t="s">
        <v>1510</v>
      </c>
      <c r="Z1704">
        <v>2.17</v>
      </c>
      <c r="AA1704">
        <v>2.8</v>
      </c>
      <c r="AB1704">
        <v>82851</v>
      </c>
      <c r="AC1704">
        <v>84409</v>
      </c>
      <c r="AD1704">
        <v>0.98</v>
      </c>
      <c r="AE1704">
        <v>3079</v>
      </c>
      <c r="AF1704">
        <v>1381</v>
      </c>
      <c r="AG1704" t="s">
        <v>120</v>
      </c>
      <c r="AH1704">
        <v>0.01</v>
      </c>
      <c r="AI1704" t="s">
        <v>120</v>
      </c>
      <c r="AJ1704">
        <v>7.38</v>
      </c>
      <c r="AK1704" t="s">
        <v>8687</v>
      </c>
      <c r="AL1704">
        <v>2.27</v>
      </c>
      <c r="AM1704">
        <v>1839</v>
      </c>
      <c r="AN1704">
        <v>91</v>
      </c>
      <c r="AO1704">
        <v>1.1999999999999999E-3</v>
      </c>
      <c r="AP1704">
        <v>1</v>
      </c>
      <c r="AQ1704">
        <v>-0.36</v>
      </c>
      <c r="AR1704">
        <v>-3.14</v>
      </c>
      <c r="AS1704">
        <v>8.59</v>
      </c>
      <c r="AT1704">
        <v>-1.42</v>
      </c>
      <c r="AU1704">
        <v>-13.93</v>
      </c>
      <c r="AV1704">
        <v>1</v>
      </c>
      <c r="AW1704">
        <v>2.6</v>
      </c>
      <c r="AX1704">
        <v>79.680000000000007</v>
      </c>
      <c r="AY1704" t="s">
        <v>120</v>
      </c>
      <c r="AZ1704" t="s">
        <v>120</v>
      </c>
      <c r="BA1704">
        <v>0.6</v>
      </c>
      <c r="BB1704" t="s">
        <v>143</v>
      </c>
      <c r="BF1704">
        <v>1.08</v>
      </c>
      <c r="BG1704">
        <v>0.36</v>
      </c>
      <c r="BH1704">
        <v>-1.77</v>
      </c>
      <c r="BI1704">
        <v>0.36</v>
      </c>
      <c r="BJ1704">
        <v>20210828</v>
      </c>
      <c r="BK1704">
        <v>20120710</v>
      </c>
      <c r="BL1704">
        <v>8.06</v>
      </c>
      <c r="BM1704" t="s">
        <v>120</v>
      </c>
      <c r="BN1704" t="s">
        <v>120</v>
      </c>
      <c r="BO1704">
        <v>14.19</v>
      </c>
      <c r="BP1704">
        <v>2.77</v>
      </c>
      <c r="BQ1704">
        <v>2.41</v>
      </c>
      <c r="BR1704">
        <v>-0.32</v>
      </c>
      <c r="BS1704">
        <v>85.25</v>
      </c>
      <c r="BT1704">
        <v>3.84</v>
      </c>
      <c r="BU1704">
        <v>0.2</v>
      </c>
      <c r="BV1704">
        <v>0</v>
      </c>
      <c r="BW1704">
        <v>8.24</v>
      </c>
      <c r="BX1704">
        <v>0.08</v>
      </c>
      <c r="BY1704">
        <v>1.74</v>
      </c>
      <c r="BZ1704">
        <v>1.1299999999999999</v>
      </c>
      <c r="CA1704" t="s">
        <v>120</v>
      </c>
      <c r="CB1704">
        <v>12.21</v>
      </c>
      <c r="CC1704">
        <v>0.87</v>
      </c>
      <c r="CD1704">
        <v>0.82</v>
      </c>
      <c r="CE1704">
        <v>-0.47</v>
      </c>
      <c r="CF1704">
        <v>0</v>
      </c>
      <c r="CG1704">
        <v>-0.96</v>
      </c>
      <c r="CH1704">
        <v>-0.96</v>
      </c>
      <c r="CI1704">
        <v>-0.93</v>
      </c>
      <c r="CJ1704">
        <v>0.01</v>
      </c>
      <c r="CK1704">
        <v>-0.47</v>
      </c>
      <c r="CL1704">
        <v>-18.82</v>
      </c>
      <c r="CM1704">
        <v>0.76</v>
      </c>
      <c r="CN1704">
        <v>-7.0000000000000007E-2</v>
      </c>
      <c r="CO1704">
        <v>35562</v>
      </c>
      <c r="CP1704">
        <v>18065</v>
      </c>
      <c r="CQ1704" t="s">
        <v>8688</v>
      </c>
      <c r="CR1704">
        <v>5.15</v>
      </c>
      <c r="CS1704">
        <v>-59.15</v>
      </c>
      <c r="CT1704">
        <v>9.3000000000000007</v>
      </c>
      <c r="CU1704">
        <v>29.53</v>
      </c>
      <c r="CV1704">
        <v>25.66</v>
      </c>
      <c r="CW1704">
        <v>0</v>
      </c>
      <c r="CX1704" t="s">
        <v>4994</v>
      </c>
      <c r="CY1704">
        <v>0.3</v>
      </c>
      <c r="CZ1704">
        <v>0</v>
      </c>
      <c r="DA1704">
        <v>1.51</v>
      </c>
      <c r="DB1704">
        <v>-2.33</v>
      </c>
      <c r="DC1704">
        <v>0.09</v>
      </c>
      <c r="DD1704">
        <v>16.989999999999998</v>
      </c>
      <c r="DE1704" t="s">
        <v>8689</v>
      </c>
      <c r="DF1704">
        <v>5.79</v>
      </c>
      <c r="DG1704">
        <v>-54</v>
      </c>
      <c r="DH1704">
        <v>-106.18</v>
      </c>
      <c r="DI1704" t="s">
        <v>120</v>
      </c>
      <c r="DJ1704">
        <v>178</v>
      </c>
      <c r="DK1704">
        <v>300336</v>
      </c>
      <c r="DL1704">
        <v>20210908</v>
      </c>
      <c r="DM1704">
        <v>2.98</v>
      </c>
      <c r="DN1704">
        <v>-6.71</v>
      </c>
    </row>
    <row r="1705" spans="1:118">
      <c r="A1705" t="str">
        <f>"300337"</f>
        <v>300337</v>
      </c>
      <c r="B1705" t="s">
        <v>8690</v>
      </c>
      <c r="C1705">
        <v>-3.67</v>
      </c>
      <c r="D1705">
        <v>0.17</v>
      </c>
      <c r="E1705">
        <v>1.17</v>
      </c>
      <c r="F1705">
        <v>5027</v>
      </c>
      <c r="G1705" t="s">
        <v>853</v>
      </c>
      <c r="H1705">
        <v>22113.57</v>
      </c>
      <c r="I1705">
        <v>139.25</v>
      </c>
      <c r="J1705" t="s">
        <v>120</v>
      </c>
      <c r="K1705" t="s">
        <v>8691</v>
      </c>
      <c r="L1705">
        <v>5.28</v>
      </c>
      <c r="M1705">
        <v>5.78</v>
      </c>
      <c r="N1705">
        <v>0.88</v>
      </c>
      <c r="O1705">
        <v>1.83</v>
      </c>
      <c r="P1705">
        <v>6.11</v>
      </c>
      <c r="Q1705">
        <v>-4.17</v>
      </c>
      <c r="R1705">
        <v>5.75</v>
      </c>
      <c r="S1705">
        <v>6.07</v>
      </c>
      <c r="T1705">
        <v>374863</v>
      </c>
      <c r="U1705">
        <v>5.78</v>
      </c>
      <c r="V1705">
        <v>6</v>
      </c>
      <c r="W1705">
        <v>123.28</v>
      </c>
      <c r="X1705" t="s">
        <v>1325</v>
      </c>
      <c r="Y1705" t="s">
        <v>319</v>
      </c>
      <c r="Z1705">
        <v>6</v>
      </c>
      <c r="AA1705">
        <v>5.9</v>
      </c>
      <c r="AB1705">
        <v>200253</v>
      </c>
      <c r="AC1705">
        <v>174610</v>
      </c>
      <c r="AD1705">
        <v>1.1499999999999999</v>
      </c>
      <c r="AE1705">
        <v>1276</v>
      </c>
      <c r="AF1705">
        <v>3958</v>
      </c>
      <c r="AG1705" t="s">
        <v>120</v>
      </c>
      <c r="AH1705">
        <v>0.06</v>
      </c>
      <c r="AI1705" t="s">
        <v>120</v>
      </c>
      <c r="AJ1705">
        <v>7.1</v>
      </c>
      <c r="AK1705" t="s">
        <v>8692</v>
      </c>
      <c r="AL1705">
        <v>-1.75</v>
      </c>
      <c r="AM1705">
        <v>3331</v>
      </c>
      <c r="AN1705">
        <v>113</v>
      </c>
      <c r="AO1705">
        <v>1.6000000000000001E-3</v>
      </c>
      <c r="AP1705">
        <v>-3</v>
      </c>
      <c r="AQ1705">
        <v>-1.48</v>
      </c>
      <c r="AR1705">
        <v>-9.83</v>
      </c>
      <c r="AS1705">
        <v>-1.36</v>
      </c>
      <c r="AT1705">
        <v>7.84</v>
      </c>
      <c r="AU1705">
        <v>10.3</v>
      </c>
      <c r="AV1705">
        <v>1</v>
      </c>
      <c r="AW1705">
        <v>9.61</v>
      </c>
      <c r="AX1705">
        <v>47.47</v>
      </c>
      <c r="AY1705">
        <v>101.55</v>
      </c>
      <c r="AZ1705">
        <v>290.72000000000003</v>
      </c>
      <c r="BA1705">
        <v>0.91</v>
      </c>
      <c r="BB1705" t="s">
        <v>125</v>
      </c>
      <c r="BF1705">
        <v>-1.68</v>
      </c>
      <c r="BG1705">
        <v>-4.78</v>
      </c>
      <c r="BH1705">
        <v>-5.4</v>
      </c>
      <c r="BI1705">
        <v>0.52</v>
      </c>
      <c r="BJ1705">
        <v>20210804</v>
      </c>
      <c r="BK1705">
        <v>20120718</v>
      </c>
      <c r="BL1705">
        <v>8.2200000000000006</v>
      </c>
      <c r="BM1705" t="s">
        <v>120</v>
      </c>
      <c r="BN1705" t="s">
        <v>120</v>
      </c>
      <c r="BO1705">
        <v>33.97</v>
      </c>
      <c r="BP1705">
        <v>5.77</v>
      </c>
      <c r="BQ1705">
        <v>15.01</v>
      </c>
      <c r="BR1705">
        <v>-0.15</v>
      </c>
      <c r="BS1705">
        <v>56.25</v>
      </c>
      <c r="BT1705">
        <v>19.04</v>
      </c>
      <c r="BU1705">
        <v>11.98</v>
      </c>
      <c r="BV1705">
        <v>0.85</v>
      </c>
      <c r="BW1705">
        <v>16.440000000000001</v>
      </c>
      <c r="BX1705">
        <v>2.95</v>
      </c>
      <c r="BY1705">
        <v>6.75</v>
      </c>
      <c r="BZ1705">
        <v>7.6</v>
      </c>
      <c r="CA1705" t="s">
        <v>120</v>
      </c>
      <c r="CB1705">
        <v>5.71</v>
      </c>
      <c r="CC1705">
        <v>14.17</v>
      </c>
      <c r="CD1705">
        <v>12.6</v>
      </c>
      <c r="CE1705">
        <v>0.2</v>
      </c>
      <c r="CF1705">
        <v>0.04</v>
      </c>
      <c r="CG1705">
        <v>0.19</v>
      </c>
      <c r="CH1705">
        <v>0.19</v>
      </c>
      <c r="CI1705">
        <v>0.19</v>
      </c>
      <c r="CJ1705">
        <v>-0.22</v>
      </c>
      <c r="CK1705">
        <v>0.13</v>
      </c>
      <c r="CL1705">
        <v>0.7</v>
      </c>
      <c r="CM1705">
        <v>-0.03</v>
      </c>
      <c r="CN1705">
        <v>-0.46</v>
      </c>
      <c r="CO1705">
        <v>44300</v>
      </c>
      <c r="CP1705">
        <v>8807</v>
      </c>
      <c r="CQ1705" t="s">
        <v>5131</v>
      </c>
      <c r="CR1705">
        <v>256.24</v>
      </c>
      <c r="CS1705">
        <v>31.21</v>
      </c>
      <c r="CT1705">
        <v>3.17</v>
      </c>
      <c r="CU1705">
        <v>-1437.12</v>
      </c>
      <c r="CV1705">
        <v>3.35</v>
      </c>
      <c r="CW1705">
        <v>0</v>
      </c>
      <c r="CX1705" t="s">
        <v>8184</v>
      </c>
      <c r="CY1705">
        <v>1.83</v>
      </c>
      <c r="CZ1705">
        <v>0</v>
      </c>
      <c r="DA1705">
        <v>0.7</v>
      </c>
      <c r="DB1705">
        <v>0.09</v>
      </c>
      <c r="DC1705">
        <v>0</v>
      </c>
      <c r="DD1705">
        <v>44.18</v>
      </c>
      <c r="DE1705" t="s">
        <v>3329</v>
      </c>
      <c r="DF1705">
        <v>11.08</v>
      </c>
      <c r="DG1705">
        <v>1.42</v>
      </c>
      <c r="DH1705">
        <v>1.36</v>
      </c>
      <c r="DI1705">
        <v>0.49</v>
      </c>
      <c r="DJ1705">
        <v>1014</v>
      </c>
      <c r="DK1705">
        <v>300337</v>
      </c>
      <c r="DL1705" t="s">
        <v>120</v>
      </c>
      <c r="DM1705" t="s">
        <v>120</v>
      </c>
      <c r="DN1705" t="s">
        <v>120</v>
      </c>
    </row>
    <row r="1706" spans="1:118">
      <c r="A1706" t="str">
        <f>"300338"</f>
        <v>300338</v>
      </c>
      <c r="B1706" t="s">
        <v>8693</v>
      </c>
      <c r="C1706">
        <v>0.52</v>
      </c>
      <c r="D1706">
        <v>-0.16</v>
      </c>
      <c r="E1706">
        <v>0.52</v>
      </c>
      <c r="F1706">
        <v>1457</v>
      </c>
      <c r="G1706" t="s">
        <v>8694</v>
      </c>
      <c r="H1706">
        <v>6319.75</v>
      </c>
      <c r="I1706">
        <v>126.73</v>
      </c>
      <c r="J1706" t="s">
        <v>120</v>
      </c>
      <c r="K1706" t="s">
        <v>6348</v>
      </c>
      <c r="L1706">
        <v>3.66</v>
      </c>
      <c r="M1706">
        <v>5.75</v>
      </c>
      <c r="N1706">
        <v>0.67</v>
      </c>
      <c r="O1706">
        <v>1.75</v>
      </c>
      <c r="P1706">
        <v>5.82</v>
      </c>
      <c r="Q1706">
        <v>-1.22</v>
      </c>
      <c r="R1706">
        <v>5.65</v>
      </c>
      <c r="S1706">
        <v>5.75</v>
      </c>
      <c r="T1706">
        <v>110178</v>
      </c>
      <c r="U1706">
        <v>5.76</v>
      </c>
      <c r="V1706">
        <v>5.72</v>
      </c>
      <c r="W1706" t="s">
        <v>120</v>
      </c>
      <c r="X1706" t="s">
        <v>213</v>
      </c>
      <c r="Y1706" t="s">
        <v>594</v>
      </c>
      <c r="Z1706">
        <v>2.97</v>
      </c>
      <c r="AA1706">
        <v>5.74</v>
      </c>
      <c r="AB1706">
        <v>52100</v>
      </c>
      <c r="AC1706">
        <v>58078</v>
      </c>
      <c r="AD1706">
        <v>0.9</v>
      </c>
      <c r="AE1706">
        <v>88</v>
      </c>
      <c r="AF1706">
        <v>853</v>
      </c>
      <c r="AG1706" t="s">
        <v>120</v>
      </c>
      <c r="AH1706">
        <v>0.09</v>
      </c>
      <c r="AI1706" t="s">
        <v>120</v>
      </c>
      <c r="AJ1706">
        <v>3.01</v>
      </c>
      <c r="AK1706" t="s">
        <v>8695</v>
      </c>
      <c r="AL1706">
        <v>2.44</v>
      </c>
      <c r="AM1706">
        <v>1665</v>
      </c>
      <c r="AN1706">
        <v>66</v>
      </c>
      <c r="AO1706">
        <v>2.2000000000000001E-3</v>
      </c>
      <c r="AP1706">
        <v>1</v>
      </c>
      <c r="AQ1706">
        <v>-1.21</v>
      </c>
      <c r="AR1706">
        <v>-0.34</v>
      </c>
      <c r="AS1706">
        <v>-3.37</v>
      </c>
      <c r="AT1706">
        <v>3.98</v>
      </c>
      <c r="AU1706">
        <v>-18.09</v>
      </c>
      <c r="AV1706">
        <v>2</v>
      </c>
      <c r="AW1706">
        <v>4.42</v>
      </c>
      <c r="AX1706">
        <v>73.11</v>
      </c>
      <c r="AY1706" t="s">
        <v>120</v>
      </c>
      <c r="AZ1706" t="s">
        <v>120</v>
      </c>
      <c r="BA1706">
        <v>1.45</v>
      </c>
      <c r="BB1706" t="s">
        <v>143</v>
      </c>
      <c r="BF1706">
        <v>0.28000000000000003</v>
      </c>
      <c r="BG1706">
        <v>0</v>
      </c>
      <c r="BH1706">
        <v>-1.2</v>
      </c>
      <c r="BI1706">
        <v>1.77</v>
      </c>
      <c r="BJ1706">
        <v>20210824</v>
      </c>
      <c r="BK1706">
        <v>20120726</v>
      </c>
      <c r="BL1706">
        <v>3.41</v>
      </c>
      <c r="BM1706" t="s">
        <v>120</v>
      </c>
      <c r="BN1706" t="s">
        <v>120</v>
      </c>
      <c r="BO1706">
        <v>16.07</v>
      </c>
      <c r="BP1706">
        <v>5.75</v>
      </c>
      <c r="BQ1706">
        <v>3.82</v>
      </c>
      <c r="BR1706">
        <v>0</v>
      </c>
      <c r="BS1706">
        <v>76.260000000000005</v>
      </c>
      <c r="BT1706">
        <v>3.77</v>
      </c>
      <c r="BU1706">
        <v>0.94</v>
      </c>
      <c r="BV1706">
        <v>0.84</v>
      </c>
      <c r="BW1706">
        <v>9.82</v>
      </c>
      <c r="BX1706">
        <v>1.22</v>
      </c>
      <c r="BY1706">
        <v>7.0000000000000007E-2</v>
      </c>
      <c r="BZ1706">
        <v>0.85</v>
      </c>
      <c r="CA1706" t="s">
        <v>120</v>
      </c>
      <c r="CB1706">
        <v>11.25</v>
      </c>
      <c r="CC1706">
        <v>5.37</v>
      </c>
      <c r="CD1706">
        <v>2</v>
      </c>
      <c r="CE1706">
        <v>-1.41</v>
      </c>
      <c r="CF1706">
        <v>0.01</v>
      </c>
      <c r="CG1706">
        <v>-1.41</v>
      </c>
      <c r="CH1706">
        <v>-1.23</v>
      </c>
      <c r="CI1706">
        <v>-1.22</v>
      </c>
      <c r="CJ1706">
        <v>0.03</v>
      </c>
      <c r="CK1706">
        <v>-1.51</v>
      </c>
      <c r="CL1706">
        <v>-11</v>
      </c>
      <c r="CM1706">
        <v>-0.09</v>
      </c>
      <c r="CN1706">
        <v>0.03</v>
      </c>
      <c r="CO1706">
        <v>13810</v>
      </c>
      <c r="CP1706">
        <v>18063</v>
      </c>
      <c r="CQ1706" t="s">
        <v>8696</v>
      </c>
      <c r="CR1706">
        <v>24.8</v>
      </c>
      <c r="CS1706">
        <v>45.21</v>
      </c>
      <c r="CT1706">
        <v>5.14</v>
      </c>
      <c r="CU1706">
        <v>-213.41</v>
      </c>
      <c r="CV1706">
        <v>3.65</v>
      </c>
      <c r="CW1706">
        <v>0</v>
      </c>
      <c r="CX1706" t="s">
        <v>8697</v>
      </c>
      <c r="CY1706">
        <v>1.1200000000000001</v>
      </c>
      <c r="CZ1706">
        <v>0</v>
      </c>
      <c r="DA1706">
        <v>3.3</v>
      </c>
      <c r="DB1706">
        <v>-3.22</v>
      </c>
      <c r="DC1706">
        <v>-0.03</v>
      </c>
      <c r="DD1706">
        <v>23.76</v>
      </c>
      <c r="DE1706" t="s">
        <v>8698</v>
      </c>
      <c r="DF1706">
        <v>62.78</v>
      </c>
      <c r="DG1706">
        <v>-26.18</v>
      </c>
      <c r="DH1706">
        <v>-22.74</v>
      </c>
      <c r="DI1706">
        <v>0.35</v>
      </c>
      <c r="DJ1706">
        <v>6128</v>
      </c>
      <c r="DK1706">
        <v>300338</v>
      </c>
      <c r="DL1706" t="s">
        <v>120</v>
      </c>
      <c r="DM1706" t="s">
        <v>120</v>
      </c>
      <c r="DN1706" t="s">
        <v>120</v>
      </c>
    </row>
    <row r="1707" spans="1:118">
      <c r="A1707" t="str">
        <f>"300339"</f>
        <v>300339</v>
      </c>
      <c r="B1707" t="s">
        <v>8699</v>
      </c>
      <c r="C1707">
        <v>-3.54</v>
      </c>
      <c r="D1707">
        <v>-0.02</v>
      </c>
      <c r="E1707">
        <v>-3.03</v>
      </c>
      <c r="F1707">
        <v>14292</v>
      </c>
      <c r="G1707" t="s">
        <v>8700</v>
      </c>
      <c r="H1707">
        <v>418846.99</v>
      </c>
      <c r="I1707">
        <v>8352.7800000000007</v>
      </c>
      <c r="J1707" t="s">
        <v>120</v>
      </c>
      <c r="K1707" t="s">
        <v>8701</v>
      </c>
      <c r="L1707">
        <v>18.07</v>
      </c>
      <c r="M1707">
        <v>29.95</v>
      </c>
      <c r="N1707">
        <v>1.1100000000000001</v>
      </c>
      <c r="O1707">
        <v>1.74</v>
      </c>
      <c r="P1707">
        <v>31.59</v>
      </c>
      <c r="Q1707">
        <v>-7.21</v>
      </c>
      <c r="R1707">
        <v>28.81</v>
      </c>
      <c r="S1707">
        <v>30.11</v>
      </c>
      <c r="T1707">
        <v>1394214</v>
      </c>
      <c r="U1707">
        <v>29.96</v>
      </c>
      <c r="V1707">
        <v>31.05</v>
      </c>
      <c r="W1707">
        <v>175.82</v>
      </c>
      <c r="X1707" t="s">
        <v>141</v>
      </c>
      <c r="Y1707" t="s">
        <v>319</v>
      </c>
      <c r="Z1707">
        <v>8.9499999999999993</v>
      </c>
      <c r="AA1707">
        <v>30.04</v>
      </c>
      <c r="AB1707">
        <v>735250</v>
      </c>
      <c r="AC1707">
        <v>658964</v>
      </c>
      <c r="AD1707">
        <v>1.1200000000000001</v>
      </c>
      <c r="AE1707">
        <v>2153</v>
      </c>
      <c r="AF1707">
        <v>565</v>
      </c>
      <c r="AG1707" t="s">
        <v>120</v>
      </c>
      <c r="AH1707">
        <v>0.38</v>
      </c>
      <c r="AI1707" t="s">
        <v>120</v>
      </c>
      <c r="AJ1707">
        <v>7.71</v>
      </c>
      <c r="AK1707" t="s">
        <v>8702</v>
      </c>
      <c r="AL1707">
        <v>-1.63</v>
      </c>
      <c r="AM1707">
        <v>4759</v>
      </c>
      <c r="AN1707">
        <v>293</v>
      </c>
      <c r="AO1707">
        <v>3.8E-3</v>
      </c>
      <c r="AP1707">
        <v>-2</v>
      </c>
      <c r="AQ1707">
        <v>-0.1</v>
      </c>
      <c r="AR1707">
        <v>15.63</v>
      </c>
      <c r="AS1707">
        <v>-5.16</v>
      </c>
      <c r="AT1707">
        <v>-36.26</v>
      </c>
      <c r="AU1707">
        <v>205.92</v>
      </c>
      <c r="AV1707">
        <v>6</v>
      </c>
      <c r="AW1707">
        <v>19.25</v>
      </c>
      <c r="AX1707">
        <v>90.95</v>
      </c>
      <c r="AY1707">
        <v>144.41</v>
      </c>
      <c r="AZ1707">
        <v>148.02000000000001</v>
      </c>
      <c r="BA1707">
        <v>0.71</v>
      </c>
      <c r="BB1707" t="s">
        <v>6939</v>
      </c>
      <c r="BF1707">
        <v>-3.25</v>
      </c>
      <c r="BG1707">
        <v>-0.53</v>
      </c>
      <c r="BH1707">
        <v>-5.19</v>
      </c>
      <c r="BI1707">
        <v>3.96</v>
      </c>
      <c r="BJ1707">
        <v>20210821</v>
      </c>
      <c r="BK1707">
        <v>20120718</v>
      </c>
      <c r="BL1707">
        <v>7.96</v>
      </c>
      <c r="BM1707" t="s">
        <v>120</v>
      </c>
      <c r="BN1707" t="s">
        <v>120</v>
      </c>
      <c r="BO1707">
        <v>43.9</v>
      </c>
      <c r="BP1707">
        <v>29.95</v>
      </c>
      <c r="BQ1707">
        <v>29.66</v>
      </c>
      <c r="BR1707">
        <v>-0.02</v>
      </c>
      <c r="BS1707">
        <v>32.479999999999997</v>
      </c>
      <c r="BT1707">
        <v>20.95</v>
      </c>
      <c r="BU1707">
        <v>6.88</v>
      </c>
      <c r="BV1707">
        <v>1.76</v>
      </c>
      <c r="BW1707">
        <v>8.9700000000000006</v>
      </c>
      <c r="BX1707">
        <v>4.01</v>
      </c>
      <c r="BY1707">
        <v>2.86</v>
      </c>
      <c r="BZ1707">
        <v>12.46</v>
      </c>
      <c r="CA1707">
        <v>0.06</v>
      </c>
      <c r="CB1707">
        <v>28.93</v>
      </c>
      <c r="CC1707">
        <v>12.75</v>
      </c>
      <c r="CD1707">
        <v>8.86</v>
      </c>
      <c r="CE1707">
        <v>0.66</v>
      </c>
      <c r="CF1707">
        <v>0.21</v>
      </c>
      <c r="CG1707">
        <v>0.73</v>
      </c>
      <c r="CH1707">
        <v>0.72</v>
      </c>
      <c r="CI1707">
        <v>0.68</v>
      </c>
      <c r="CJ1707">
        <v>-1.1000000000000001</v>
      </c>
      <c r="CK1707">
        <v>0.39</v>
      </c>
      <c r="CL1707">
        <v>-6.35</v>
      </c>
      <c r="CM1707">
        <v>-2.95</v>
      </c>
      <c r="CN1707">
        <v>-3.59</v>
      </c>
      <c r="CO1707">
        <v>190037</v>
      </c>
      <c r="CP1707">
        <v>3812</v>
      </c>
      <c r="CQ1707" t="s">
        <v>8703</v>
      </c>
      <c r="CR1707">
        <v>6.55</v>
      </c>
      <c r="CS1707">
        <v>16.14</v>
      </c>
      <c r="CT1707">
        <v>8.0399999999999991</v>
      </c>
      <c r="CU1707">
        <v>-80.75</v>
      </c>
      <c r="CV1707">
        <v>18.71</v>
      </c>
      <c r="CW1707">
        <v>0</v>
      </c>
      <c r="CX1707" t="s">
        <v>329</v>
      </c>
      <c r="CY1707">
        <v>3.72</v>
      </c>
      <c r="CZ1707">
        <v>0</v>
      </c>
      <c r="DA1707">
        <v>3.63</v>
      </c>
      <c r="DB1707">
        <v>-0.8</v>
      </c>
      <c r="DC1707">
        <v>-0.37</v>
      </c>
      <c r="DD1707">
        <v>67.569999999999993</v>
      </c>
      <c r="DE1707" t="s">
        <v>6349</v>
      </c>
      <c r="DF1707">
        <v>30.54</v>
      </c>
      <c r="DG1707">
        <v>5.14</v>
      </c>
      <c r="DH1707">
        <v>5.32</v>
      </c>
      <c r="DI1707">
        <v>1.55</v>
      </c>
      <c r="DJ1707">
        <v>10972</v>
      </c>
      <c r="DK1707">
        <v>300339</v>
      </c>
      <c r="DL1707">
        <v>20210914</v>
      </c>
      <c r="DM1707">
        <v>27.09</v>
      </c>
      <c r="DN1707">
        <v>10.56</v>
      </c>
    </row>
    <row r="1708" spans="1:118">
      <c r="A1708" t="str">
        <f>"300340"</f>
        <v>300340</v>
      </c>
      <c r="B1708" t="s">
        <v>8704</v>
      </c>
      <c r="C1708">
        <v>-9.1199999999999992</v>
      </c>
      <c r="D1708">
        <v>0.05</v>
      </c>
      <c r="E1708">
        <v>-1.08</v>
      </c>
      <c r="F1708">
        <v>1218</v>
      </c>
      <c r="G1708" t="s">
        <v>8705</v>
      </c>
      <c r="H1708">
        <v>35140.410000000003</v>
      </c>
      <c r="I1708">
        <v>288.33</v>
      </c>
      <c r="J1708" t="s">
        <v>120</v>
      </c>
      <c r="K1708" t="s">
        <v>4766</v>
      </c>
      <c r="L1708">
        <v>9.27</v>
      </c>
      <c r="M1708">
        <v>20.22</v>
      </c>
      <c r="N1708">
        <v>1.29</v>
      </c>
      <c r="O1708">
        <v>-0.13</v>
      </c>
      <c r="P1708">
        <v>22.22</v>
      </c>
      <c r="Q1708">
        <v>-9.75</v>
      </c>
      <c r="R1708">
        <v>20.079999999999998</v>
      </c>
      <c r="S1708">
        <v>22.01</v>
      </c>
      <c r="T1708">
        <v>167365</v>
      </c>
      <c r="U1708">
        <v>20.22</v>
      </c>
      <c r="V1708">
        <v>22.25</v>
      </c>
      <c r="W1708">
        <v>265.33999999999997</v>
      </c>
      <c r="X1708" t="s">
        <v>229</v>
      </c>
      <c r="Y1708" t="s">
        <v>547</v>
      </c>
      <c r="Z1708">
        <v>9.6199999999999992</v>
      </c>
      <c r="AA1708">
        <v>21</v>
      </c>
      <c r="AB1708">
        <v>89860</v>
      </c>
      <c r="AC1708">
        <v>77505</v>
      </c>
      <c r="AD1708">
        <v>1.1599999999999999</v>
      </c>
      <c r="AE1708">
        <v>209</v>
      </c>
      <c r="AF1708">
        <v>40</v>
      </c>
      <c r="AG1708" t="s">
        <v>120</v>
      </c>
      <c r="AH1708">
        <v>0.08</v>
      </c>
      <c r="AI1708" t="s">
        <v>120</v>
      </c>
      <c r="AJ1708">
        <v>1.81</v>
      </c>
      <c r="AK1708" t="s">
        <v>7689</v>
      </c>
      <c r="AL1708">
        <v>-7.21</v>
      </c>
      <c r="AM1708">
        <v>3829</v>
      </c>
      <c r="AN1708">
        <v>44</v>
      </c>
      <c r="AO1708">
        <v>2.3999999999999998E-3</v>
      </c>
      <c r="AP1708">
        <v>-1</v>
      </c>
      <c r="AQ1708">
        <v>2.2999999999999998</v>
      </c>
      <c r="AR1708">
        <v>-1.18</v>
      </c>
      <c r="AS1708">
        <v>-9.49</v>
      </c>
      <c r="AT1708">
        <v>37.46</v>
      </c>
      <c r="AU1708">
        <v>48.56</v>
      </c>
      <c r="AV1708">
        <v>4</v>
      </c>
      <c r="AW1708">
        <v>10.67</v>
      </c>
      <c r="AX1708">
        <v>73.959999999999994</v>
      </c>
      <c r="AY1708" t="s">
        <v>120</v>
      </c>
      <c r="AZ1708" t="s">
        <v>120</v>
      </c>
      <c r="BA1708">
        <v>1.1299999999999999</v>
      </c>
      <c r="BB1708" t="s">
        <v>143</v>
      </c>
      <c r="BF1708">
        <v>-5.63</v>
      </c>
      <c r="BG1708">
        <v>-8.1300000000000008</v>
      </c>
      <c r="BH1708">
        <v>-9</v>
      </c>
      <c r="BI1708">
        <v>0.7</v>
      </c>
      <c r="BJ1708">
        <v>20210912</v>
      </c>
      <c r="BK1708">
        <v>20120726</v>
      </c>
      <c r="BL1708">
        <v>2.12</v>
      </c>
      <c r="BM1708" t="s">
        <v>120</v>
      </c>
      <c r="BN1708" t="s">
        <v>120</v>
      </c>
      <c r="BO1708">
        <v>34.700000000000003</v>
      </c>
      <c r="BP1708">
        <v>20.21</v>
      </c>
      <c r="BQ1708">
        <v>7.02</v>
      </c>
      <c r="BR1708">
        <v>0.02</v>
      </c>
      <c r="BS1708">
        <v>79.709999999999994</v>
      </c>
      <c r="BT1708">
        <v>23.2</v>
      </c>
      <c r="BU1708">
        <v>4.33</v>
      </c>
      <c r="BV1708">
        <v>1.01</v>
      </c>
      <c r="BW1708">
        <v>26.67</v>
      </c>
      <c r="BX1708">
        <v>1.54</v>
      </c>
      <c r="BY1708">
        <v>8.4</v>
      </c>
      <c r="BZ1708">
        <v>9.98</v>
      </c>
      <c r="CA1708" t="s">
        <v>120</v>
      </c>
      <c r="CB1708">
        <v>8.6999999999999993</v>
      </c>
      <c r="CC1708">
        <v>14.34</v>
      </c>
      <c r="CD1708">
        <v>13.06</v>
      </c>
      <c r="CE1708">
        <v>0.11</v>
      </c>
      <c r="CF1708">
        <v>-0.02</v>
      </c>
      <c r="CG1708">
        <v>0.1</v>
      </c>
      <c r="CH1708">
        <v>0.09</v>
      </c>
      <c r="CI1708">
        <v>0.08</v>
      </c>
      <c r="CJ1708">
        <v>-2.0299999999999998</v>
      </c>
      <c r="CK1708">
        <v>-0.05</v>
      </c>
      <c r="CL1708">
        <v>-4.1100000000000003</v>
      </c>
      <c r="CM1708">
        <v>0.09</v>
      </c>
      <c r="CN1708">
        <v>0.56000000000000005</v>
      </c>
      <c r="CO1708">
        <v>28793</v>
      </c>
      <c r="CP1708">
        <v>5449</v>
      </c>
      <c r="CQ1708" t="s">
        <v>8706</v>
      </c>
      <c r="CR1708">
        <v>123.16</v>
      </c>
      <c r="CS1708">
        <v>117.21</v>
      </c>
      <c r="CT1708">
        <v>6.11</v>
      </c>
      <c r="CU1708">
        <v>482.54</v>
      </c>
      <c r="CV1708">
        <v>2.99</v>
      </c>
      <c r="CW1708">
        <v>0</v>
      </c>
      <c r="CX1708" t="s">
        <v>5361</v>
      </c>
      <c r="CY1708">
        <v>3.31</v>
      </c>
      <c r="CZ1708">
        <v>0</v>
      </c>
      <c r="DA1708">
        <v>4.0999999999999996</v>
      </c>
      <c r="DB1708">
        <v>-1.94</v>
      </c>
      <c r="DC1708">
        <v>0.04</v>
      </c>
      <c r="DD1708">
        <v>20.23</v>
      </c>
      <c r="DE1708" t="s">
        <v>7885</v>
      </c>
      <c r="DF1708">
        <v>8.9499999999999993</v>
      </c>
      <c r="DG1708">
        <v>0.73</v>
      </c>
      <c r="DH1708">
        <v>0.56000000000000005</v>
      </c>
      <c r="DI1708">
        <v>0.7</v>
      </c>
      <c r="DJ1708">
        <v>1460</v>
      </c>
      <c r="DK1708">
        <v>300340</v>
      </c>
      <c r="DL1708">
        <v>20210804</v>
      </c>
      <c r="DM1708">
        <v>20</v>
      </c>
      <c r="DN1708">
        <v>1.1000000000000001</v>
      </c>
    </row>
    <row r="1709" spans="1:118">
      <c r="A1709" t="str">
        <f>"300341"</f>
        <v>300341</v>
      </c>
      <c r="B1709" t="s">
        <v>8707</v>
      </c>
      <c r="C1709">
        <v>-2.97</v>
      </c>
      <c r="D1709">
        <v>-0.28000000000000003</v>
      </c>
      <c r="E1709">
        <v>-0.38</v>
      </c>
      <c r="F1709">
        <v>934</v>
      </c>
      <c r="G1709" t="s">
        <v>8708</v>
      </c>
      <c r="H1709">
        <v>8246.17</v>
      </c>
      <c r="I1709">
        <v>28.94</v>
      </c>
      <c r="J1709" t="s">
        <v>120</v>
      </c>
      <c r="K1709" t="s">
        <v>4963</v>
      </c>
      <c r="L1709">
        <v>1.57</v>
      </c>
      <c r="M1709">
        <v>10.14</v>
      </c>
      <c r="N1709">
        <v>0.65</v>
      </c>
      <c r="O1709">
        <v>0.96</v>
      </c>
      <c r="P1709">
        <v>10.55</v>
      </c>
      <c r="Q1709">
        <v>-3.06</v>
      </c>
      <c r="R1709">
        <v>10.130000000000001</v>
      </c>
      <c r="S1709">
        <v>10.41</v>
      </c>
      <c r="T1709">
        <v>80037</v>
      </c>
      <c r="U1709">
        <v>10.16</v>
      </c>
      <c r="V1709">
        <v>10.45</v>
      </c>
      <c r="W1709">
        <v>36.06</v>
      </c>
      <c r="X1709" t="s">
        <v>394</v>
      </c>
      <c r="Y1709" t="s">
        <v>937</v>
      </c>
      <c r="Z1709">
        <v>4.0199999999999996</v>
      </c>
      <c r="AA1709">
        <v>10.3</v>
      </c>
      <c r="AB1709">
        <v>46552</v>
      </c>
      <c r="AC1709">
        <v>33485</v>
      </c>
      <c r="AD1709">
        <v>1.39</v>
      </c>
      <c r="AE1709">
        <v>26</v>
      </c>
      <c r="AF1709">
        <v>26</v>
      </c>
      <c r="AG1709" t="s">
        <v>120</v>
      </c>
      <c r="AH1709">
        <v>0.02</v>
      </c>
      <c r="AI1709" t="s">
        <v>120</v>
      </c>
      <c r="AJ1709">
        <v>5.0999999999999996</v>
      </c>
      <c r="AK1709" t="s">
        <v>5703</v>
      </c>
      <c r="AL1709">
        <v>-1.05</v>
      </c>
      <c r="AM1709">
        <v>2113</v>
      </c>
      <c r="AN1709">
        <v>38</v>
      </c>
      <c r="AO1709">
        <v>6.9999999999999999E-4</v>
      </c>
      <c r="AP1709">
        <v>-2</v>
      </c>
      <c r="AQ1709">
        <v>-4.3</v>
      </c>
      <c r="AR1709">
        <v>-5.85</v>
      </c>
      <c r="AS1709">
        <v>-2.69</v>
      </c>
      <c r="AT1709">
        <v>13.04</v>
      </c>
      <c r="AU1709">
        <v>11.18</v>
      </c>
      <c r="AV1709">
        <v>0</v>
      </c>
      <c r="AW1709">
        <v>4.6399999999999997</v>
      </c>
      <c r="AX1709">
        <v>33.83</v>
      </c>
      <c r="AY1709">
        <v>31.93</v>
      </c>
      <c r="AZ1709">
        <v>38.340000000000003</v>
      </c>
      <c r="BA1709">
        <v>0.25</v>
      </c>
      <c r="BB1709" t="s">
        <v>125</v>
      </c>
      <c r="BF1709">
        <v>-1.41</v>
      </c>
      <c r="BG1709">
        <v>-2.59</v>
      </c>
      <c r="BH1709">
        <v>-3.89</v>
      </c>
      <c r="BI1709">
        <v>0.1</v>
      </c>
      <c r="BJ1709">
        <v>20210901</v>
      </c>
      <c r="BK1709">
        <v>20120726</v>
      </c>
      <c r="BL1709">
        <v>5.0999999999999996</v>
      </c>
      <c r="BM1709" t="s">
        <v>120</v>
      </c>
      <c r="BN1709" t="s">
        <v>120</v>
      </c>
      <c r="BO1709">
        <v>17.02</v>
      </c>
      <c r="BP1709">
        <v>10.14</v>
      </c>
      <c r="BQ1709">
        <v>11.33</v>
      </c>
      <c r="BR1709">
        <v>1.1499999999999999</v>
      </c>
      <c r="BS1709">
        <v>26.66</v>
      </c>
      <c r="BT1709">
        <v>11.72</v>
      </c>
      <c r="BU1709">
        <v>2.62</v>
      </c>
      <c r="BV1709">
        <v>0.63</v>
      </c>
      <c r="BW1709">
        <v>3.35</v>
      </c>
      <c r="BX1709">
        <v>4.2300000000000004</v>
      </c>
      <c r="BY1709">
        <v>3.11</v>
      </c>
      <c r="BZ1709">
        <v>3.47</v>
      </c>
      <c r="CA1709" t="s">
        <v>120</v>
      </c>
      <c r="CB1709">
        <v>0.15</v>
      </c>
      <c r="CC1709">
        <v>6.29</v>
      </c>
      <c r="CD1709">
        <v>3.56</v>
      </c>
      <c r="CE1709">
        <v>1.01</v>
      </c>
      <c r="CF1709">
        <v>0</v>
      </c>
      <c r="CG1709">
        <v>1.01</v>
      </c>
      <c r="CH1709">
        <v>0.77</v>
      </c>
      <c r="CI1709">
        <v>0.72</v>
      </c>
      <c r="CJ1709">
        <v>-0.31</v>
      </c>
      <c r="CK1709">
        <v>0.66</v>
      </c>
      <c r="CL1709">
        <v>6.02</v>
      </c>
      <c r="CM1709">
        <v>0.7</v>
      </c>
      <c r="CN1709">
        <v>-0.6</v>
      </c>
      <c r="CO1709">
        <v>17053</v>
      </c>
      <c r="CP1709">
        <v>10122</v>
      </c>
      <c r="CQ1709" t="s">
        <v>5026</v>
      </c>
      <c r="CR1709">
        <v>63.61</v>
      </c>
      <c r="CS1709">
        <v>31.1</v>
      </c>
      <c r="CT1709">
        <v>4.57</v>
      </c>
      <c r="CU1709">
        <v>73.930000000000007</v>
      </c>
      <c r="CV1709">
        <v>8.23</v>
      </c>
      <c r="CW1709">
        <v>0.56999999999999995</v>
      </c>
      <c r="CX1709" t="s">
        <v>3084</v>
      </c>
      <c r="CY1709">
        <v>2.2200000000000002</v>
      </c>
      <c r="CZ1709">
        <v>0</v>
      </c>
      <c r="DA1709">
        <v>0.03</v>
      </c>
      <c r="DB1709">
        <v>1.18</v>
      </c>
      <c r="DC1709">
        <v>0.14000000000000001</v>
      </c>
      <c r="DD1709">
        <v>66.569999999999993</v>
      </c>
      <c r="DE1709" t="s">
        <v>8709</v>
      </c>
      <c r="DF1709">
        <v>43.38</v>
      </c>
      <c r="DG1709">
        <v>16.11</v>
      </c>
      <c r="DH1709">
        <v>11.41</v>
      </c>
      <c r="DI1709">
        <v>0.33</v>
      </c>
      <c r="DJ1709">
        <v>2067</v>
      </c>
      <c r="DK1709">
        <v>300341</v>
      </c>
      <c r="DL1709" t="s">
        <v>120</v>
      </c>
      <c r="DM1709" t="s">
        <v>120</v>
      </c>
      <c r="DN1709" t="s">
        <v>120</v>
      </c>
    </row>
    <row r="1710" spans="1:118">
      <c r="A1710" t="str">
        <f>"300342"</f>
        <v>300342</v>
      </c>
      <c r="B1710" t="s">
        <v>8710</v>
      </c>
      <c r="C1710">
        <v>-1.94</v>
      </c>
      <c r="D1710">
        <v>0</v>
      </c>
      <c r="E1710">
        <v>1.36</v>
      </c>
      <c r="F1710">
        <v>2730</v>
      </c>
      <c r="G1710" t="s">
        <v>3829</v>
      </c>
      <c r="H1710">
        <v>18131</v>
      </c>
      <c r="I1710">
        <v>117.44</v>
      </c>
      <c r="J1710" t="s">
        <v>120</v>
      </c>
      <c r="K1710" t="s">
        <v>8711</v>
      </c>
      <c r="L1710">
        <v>2.8</v>
      </c>
      <c r="M1710">
        <v>15.17</v>
      </c>
      <c r="N1710">
        <v>0.68</v>
      </c>
      <c r="O1710">
        <v>2.59</v>
      </c>
      <c r="P1710">
        <v>15.87</v>
      </c>
      <c r="Q1710">
        <v>-2.0699999999999998</v>
      </c>
      <c r="R1710">
        <v>15.15</v>
      </c>
      <c r="S1710">
        <v>15.68</v>
      </c>
      <c r="T1710">
        <v>117752</v>
      </c>
      <c r="U1710">
        <v>15.18</v>
      </c>
      <c r="V1710">
        <v>15.47</v>
      </c>
      <c r="W1710">
        <v>51.6</v>
      </c>
      <c r="X1710" t="s">
        <v>229</v>
      </c>
      <c r="Y1710" t="s">
        <v>319</v>
      </c>
      <c r="Z1710">
        <v>4.6500000000000004</v>
      </c>
      <c r="AA1710">
        <v>15.4</v>
      </c>
      <c r="AB1710">
        <v>69125</v>
      </c>
      <c r="AC1710">
        <v>48627</v>
      </c>
      <c r="AD1710">
        <v>1.42</v>
      </c>
      <c r="AE1710">
        <v>436</v>
      </c>
      <c r="AF1710">
        <v>86</v>
      </c>
      <c r="AG1710" t="s">
        <v>120</v>
      </c>
      <c r="AH1710">
        <v>0.03</v>
      </c>
      <c r="AI1710" t="s">
        <v>120</v>
      </c>
      <c r="AJ1710">
        <v>4.2</v>
      </c>
      <c r="AK1710" t="s">
        <v>2212</v>
      </c>
      <c r="AL1710">
        <v>-0.03</v>
      </c>
      <c r="AM1710">
        <v>2711</v>
      </c>
      <c r="AN1710">
        <v>43</v>
      </c>
      <c r="AO1710">
        <v>1E-3</v>
      </c>
      <c r="AP1710">
        <v>-1</v>
      </c>
      <c r="AQ1710">
        <v>0.32</v>
      </c>
      <c r="AR1710">
        <v>-3.26</v>
      </c>
      <c r="AS1710">
        <v>10.25</v>
      </c>
      <c r="AT1710">
        <v>24.65</v>
      </c>
      <c r="AU1710">
        <v>23.54</v>
      </c>
      <c r="AV1710">
        <v>1</v>
      </c>
      <c r="AW1710">
        <v>4.76</v>
      </c>
      <c r="AX1710">
        <v>57.34</v>
      </c>
      <c r="AY1710">
        <v>47.96</v>
      </c>
      <c r="AZ1710">
        <v>52.36</v>
      </c>
      <c r="BA1710">
        <v>0.72</v>
      </c>
      <c r="BB1710" t="s">
        <v>143</v>
      </c>
      <c r="BF1710">
        <v>-0.47</v>
      </c>
      <c r="BG1710">
        <v>-3.25</v>
      </c>
      <c r="BH1710">
        <v>-4.41</v>
      </c>
      <c r="BI1710">
        <v>0.13</v>
      </c>
      <c r="BJ1710">
        <v>20210810</v>
      </c>
      <c r="BK1710">
        <v>20120726</v>
      </c>
      <c r="BL1710">
        <v>4.32</v>
      </c>
      <c r="BM1710" t="s">
        <v>120</v>
      </c>
      <c r="BN1710" t="s">
        <v>120</v>
      </c>
      <c r="BO1710">
        <v>21.6</v>
      </c>
      <c r="BP1710">
        <v>15.17</v>
      </c>
      <c r="BQ1710">
        <v>14.99</v>
      </c>
      <c r="BR1710">
        <v>0.15</v>
      </c>
      <c r="BS1710">
        <v>29.91</v>
      </c>
      <c r="BT1710">
        <v>13.39</v>
      </c>
      <c r="BU1710">
        <v>1.59</v>
      </c>
      <c r="BV1710">
        <v>0.97</v>
      </c>
      <c r="BW1710">
        <v>6.31</v>
      </c>
      <c r="BX1710">
        <v>1.54</v>
      </c>
      <c r="BY1710">
        <v>5.25</v>
      </c>
      <c r="BZ1710">
        <v>4.3099999999999996</v>
      </c>
      <c r="CA1710" t="s">
        <v>120</v>
      </c>
      <c r="CB1710">
        <v>4.26</v>
      </c>
      <c r="CC1710">
        <v>4.8899999999999997</v>
      </c>
      <c r="CD1710">
        <v>3.22</v>
      </c>
      <c r="CE1710">
        <v>0.69</v>
      </c>
      <c r="CF1710">
        <v>-0.02</v>
      </c>
      <c r="CG1710">
        <v>0.69</v>
      </c>
      <c r="CH1710">
        <v>0.63</v>
      </c>
      <c r="CI1710">
        <v>0.63</v>
      </c>
      <c r="CJ1710">
        <v>-0.3</v>
      </c>
      <c r="CK1710">
        <v>0.61</v>
      </c>
      <c r="CL1710">
        <v>6.15</v>
      </c>
      <c r="CM1710">
        <v>-0.55000000000000004</v>
      </c>
      <c r="CN1710">
        <v>-0.02</v>
      </c>
      <c r="CO1710">
        <v>27336</v>
      </c>
      <c r="CP1710">
        <v>9057</v>
      </c>
      <c r="CQ1710" t="s">
        <v>8712</v>
      </c>
      <c r="CR1710">
        <v>22.61</v>
      </c>
      <c r="CS1710">
        <v>31.42</v>
      </c>
      <c r="CT1710">
        <v>4.37</v>
      </c>
      <c r="CU1710">
        <v>-118.37</v>
      </c>
      <c r="CV1710">
        <v>13.4</v>
      </c>
      <c r="CW1710">
        <v>0.95</v>
      </c>
      <c r="CX1710" t="s">
        <v>373</v>
      </c>
      <c r="CY1710">
        <v>3.47</v>
      </c>
      <c r="CZ1710">
        <v>0</v>
      </c>
      <c r="DA1710">
        <v>0.99</v>
      </c>
      <c r="DB1710">
        <v>1.42</v>
      </c>
      <c r="DC1710">
        <v>-0.13</v>
      </c>
      <c r="DD1710">
        <v>69.41</v>
      </c>
      <c r="DE1710" t="s">
        <v>2582</v>
      </c>
      <c r="DF1710">
        <v>34.130000000000003</v>
      </c>
      <c r="DG1710">
        <v>14.08</v>
      </c>
      <c r="DH1710">
        <v>12.98</v>
      </c>
      <c r="DI1710">
        <v>0.43</v>
      </c>
      <c r="DJ1710">
        <v>1215</v>
      </c>
      <c r="DK1710">
        <v>300342</v>
      </c>
      <c r="DL1710" t="s">
        <v>120</v>
      </c>
      <c r="DM1710" t="s">
        <v>120</v>
      </c>
      <c r="DN1710" t="s">
        <v>120</v>
      </c>
    </row>
    <row r="1711" spans="1:118">
      <c r="A1711" t="str">
        <f>"300343"</f>
        <v>300343</v>
      </c>
      <c r="B1711" t="s">
        <v>8713</v>
      </c>
      <c r="C1711">
        <v>-2.36</v>
      </c>
      <c r="D1711">
        <v>-0.03</v>
      </c>
      <c r="E1711">
        <v>0.28999999999999998</v>
      </c>
      <c r="F1711">
        <v>11362</v>
      </c>
      <c r="G1711" t="s">
        <v>8714</v>
      </c>
      <c r="H1711">
        <v>329389.76</v>
      </c>
      <c r="I1711">
        <v>2535.6799999999998</v>
      </c>
      <c r="J1711" t="s">
        <v>120</v>
      </c>
      <c r="K1711" t="s">
        <v>8715</v>
      </c>
      <c r="L1711">
        <v>12.56</v>
      </c>
      <c r="M1711">
        <v>27.26</v>
      </c>
      <c r="N1711">
        <v>0.99</v>
      </c>
      <c r="O1711">
        <v>4.2300000000000004</v>
      </c>
      <c r="P1711">
        <v>29.1</v>
      </c>
      <c r="Q1711">
        <v>-4.37</v>
      </c>
      <c r="R1711">
        <v>26.7</v>
      </c>
      <c r="S1711">
        <v>28</v>
      </c>
      <c r="T1711">
        <v>1181039</v>
      </c>
      <c r="U1711">
        <v>27.26</v>
      </c>
      <c r="V1711">
        <v>27.92</v>
      </c>
      <c r="W1711">
        <v>334.02</v>
      </c>
      <c r="X1711" t="s">
        <v>868</v>
      </c>
      <c r="Y1711" t="s">
        <v>638</v>
      </c>
      <c r="Z1711">
        <v>8.6</v>
      </c>
      <c r="AA1711">
        <v>27.89</v>
      </c>
      <c r="AB1711">
        <v>615162</v>
      </c>
      <c r="AC1711">
        <v>565877</v>
      </c>
      <c r="AD1711">
        <v>1.0900000000000001</v>
      </c>
      <c r="AE1711">
        <v>2110</v>
      </c>
      <c r="AF1711">
        <v>303</v>
      </c>
      <c r="AG1711" t="s">
        <v>120</v>
      </c>
      <c r="AH1711">
        <v>0.1</v>
      </c>
      <c r="AI1711" t="s">
        <v>120</v>
      </c>
      <c r="AJ1711">
        <v>9.4</v>
      </c>
      <c r="AK1711" t="s">
        <v>8716</v>
      </c>
      <c r="AL1711">
        <v>-0.45</v>
      </c>
      <c r="AM1711">
        <v>4721</v>
      </c>
      <c r="AN1711">
        <v>250</v>
      </c>
      <c r="AO1711">
        <v>2.7000000000000001E-3</v>
      </c>
      <c r="AP1711">
        <v>-1</v>
      </c>
      <c r="AQ1711">
        <v>7.8</v>
      </c>
      <c r="AR1711">
        <v>9.0399999999999991</v>
      </c>
      <c r="AS1711">
        <v>57.85</v>
      </c>
      <c r="AT1711">
        <v>743.97</v>
      </c>
      <c r="AU1711">
        <v>843.25</v>
      </c>
      <c r="AV1711">
        <v>8</v>
      </c>
      <c r="AW1711">
        <v>13.15</v>
      </c>
      <c r="AX1711">
        <v>77.599999999999994</v>
      </c>
      <c r="AY1711">
        <v>1752.36</v>
      </c>
      <c r="AZ1711" t="s">
        <v>120</v>
      </c>
      <c r="BA1711">
        <v>1.92</v>
      </c>
      <c r="BB1711" t="s">
        <v>184</v>
      </c>
      <c r="BF1711">
        <v>-0.11</v>
      </c>
      <c r="BG1711">
        <v>-2.64</v>
      </c>
      <c r="BH1711">
        <v>-6.32</v>
      </c>
      <c r="BI1711">
        <v>2.1</v>
      </c>
      <c r="BJ1711">
        <v>20210913</v>
      </c>
      <c r="BK1711">
        <v>20120801</v>
      </c>
      <c r="BL1711">
        <v>11.58</v>
      </c>
      <c r="BM1711" t="s">
        <v>120</v>
      </c>
      <c r="BN1711" t="s">
        <v>120</v>
      </c>
      <c r="BO1711">
        <v>19.45</v>
      </c>
      <c r="BP1711">
        <v>27.25</v>
      </c>
      <c r="BQ1711">
        <v>7.66</v>
      </c>
      <c r="BR1711">
        <v>1.03</v>
      </c>
      <c r="BS1711">
        <v>55.31</v>
      </c>
      <c r="BT1711">
        <v>10.34</v>
      </c>
      <c r="BU1711">
        <v>3.78</v>
      </c>
      <c r="BV1711">
        <v>1.86</v>
      </c>
      <c r="BW1711">
        <v>6.65</v>
      </c>
      <c r="BX1711">
        <v>0.76</v>
      </c>
      <c r="BY1711">
        <v>0.93</v>
      </c>
      <c r="BZ1711">
        <v>1.85</v>
      </c>
      <c r="CA1711" t="s">
        <v>120</v>
      </c>
      <c r="CB1711">
        <v>25.48</v>
      </c>
      <c r="CC1711">
        <v>7.32</v>
      </c>
      <c r="CD1711">
        <v>5.85</v>
      </c>
      <c r="CE1711">
        <v>0.66</v>
      </c>
      <c r="CF1711">
        <v>0.14000000000000001</v>
      </c>
      <c r="CG1711">
        <v>0.65</v>
      </c>
      <c r="CH1711">
        <v>0.56000000000000005</v>
      </c>
      <c r="CI1711">
        <v>0.47</v>
      </c>
      <c r="CJ1711">
        <v>-0.66</v>
      </c>
      <c r="CK1711">
        <v>0.33</v>
      </c>
      <c r="CL1711">
        <v>-29.04</v>
      </c>
      <c r="CM1711">
        <v>0.69</v>
      </c>
      <c r="CN1711">
        <v>-1.19</v>
      </c>
      <c r="CO1711">
        <v>88855</v>
      </c>
      <c r="CP1711">
        <v>10110</v>
      </c>
      <c r="CQ1711" t="s">
        <v>8717</v>
      </c>
      <c r="CR1711">
        <v>180.62</v>
      </c>
      <c r="CS1711">
        <v>-22.7</v>
      </c>
      <c r="CT1711">
        <v>41.2</v>
      </c>
      <c r="CU1711">
        <v>455.31</v>
      </c>
      <c r="CV1711">
        <v>43.1</v>
      </c>
      <c r="CW1711">
        <v>0</v>
      </c>
      <c r="CX1711" t="s">
        <v>145</v>
      </c>
      <c r="CY1711">
        <v>0.66</v>
      </c>
      <c r="CZ1711">
        <v>0</v>
      </c>
      <c r="DA1711">
        <v>2.2000000000000002</v>
      </c>
      <c r="DB1711">
        <v>-2.5099999999999998</v>
      </c>
      <c r="DC1711">
        <v>0.06</v>
      </c>
      <c r="DD1711">
        <v>39.380000000000003</v>
      </c>
      <c r="DE1711" t="s">
        <v>8718</v>
      </c>
      <c r="DF1711">
        <v>20.079999999999998</v>
      </c>
      <c r="DG1711">
        <v>8.9700000000000006</v>
      </c>
      <c r="DH1711">
        <v>6.45</v>
      </c>
      <c r="DI1711">
        <v>0.19</v>
      </c>
      <c r="DJ1711">
        <v>602</v>
      </c>
      <c r="DK1711">
        <v>300343</v>
      </c>
      <c r="DL1711">
        <v>20210706</v>
      </c>
      <c r="DM1711">
        <v>4.84</v>
      </c>
      <c r="DN1711">
        <v>463.22</v>
      </c>
    </row>
    <row r="1712" spans="1:118">
      <c r="A1712" t="str">
        <f>"300344"</f>
        <v>300344</v>
      </c>
      <c r="B1712" t="s">
        <v>8719</v>
      </c>
      <c r="C1712">
        <v>-2.42</v>
      </c>
      <c r="D1712">
        <v>0</v>
      </c>
      <c r="E1712">
        <v>-0.19</v>
      </c>
      <c r="F1712">
        <v>417</v>
      </c>
      <c r="G1712" t="s">
        <v>6307</v>
      </c>
      <c r="H1712">
        <v>2738.97</v>
      </c>
      <c r="I1712">
        <v>27.34</v>
      </c>
      <c r="J1712" t="s">
        <v>120</v>
      </c>
      <c r="K1712" t="s">
        <v>1853</v>
      </c>
      <c r="L1712">
        <v>1.49</v>
      </c>
      <c r="M1712">
        <v>5.24</v>
      </c>
      <c r="N1712">
        <v>1.07</v>
      </c>
      <c r="O1712">
        <v>0.74</v>
      </c>
      <c r="P1712">
        <v>5.41</v>
      </c>
      <c r="Q1712">
        <v>-2.61</v>
      </c>
      <c r="R1712">
        <v>5.23</v>
      </c>
      <c r="S1712">
        <v>5.36</v>
      </c>
      <c r="T1712">
        <v>51430</v>
      </c>
      <c r="U1712">
        <v>5.24</v>
      </c>
      <c r="V1712">
        <v>5.37</v>
      </c>
      <c r="W1712">
        <v>32.82</v>
      </c>
      <c r="X1712" t="s">
        <v>141</v>
      </c>
      <c r="Y1712" t="s">
        <v>158</v>
      </c>
      <c r="Z1712">
        <v>3.35</v>
      </c>
      <c r="AA1712">
        <v>5.33</v>
      </c>
      <c r="AB1712">
        <v>30674</v>
      </c>
      <c r="AC1712">
        <v>20756</v>
      </c>
      <c r="AD1712">
        <v>1.48</v>
      </c>
      <c r="AE1712">
        <v>347</v>
      </c>
      <c r="AF1712">
        <v>711</v>
      </c>
      <c r="AG1712" t="s">
        <v>120</v>
      </c>
      <c r="AH1712">
        <v>0.02</v>
      </c>
      <c r="AI1712" t="s">
        <v>120</v>
      </c>
      <c r="AJ1712">
        <v>3.45</v>
      </c>
      <c r="AK1712" t="s">
        <v>8720</v>
      </c>
      <c r="AL1712">
        <v>-0.51</v>
      </c>
      <c r="AM1712">
        <v>1159</v>
      </c>
      <c r="AN1712">
        <v>44</v>
      </c>
      <c r="AO1712">
        <v>1.2999999999999999E-3</v>
      </c>
      <c r="AP1712">
        <v>-1</v>
      </c>
      <c r="AQ1712">
        <v>0</v>
      </c>
      <c r="AR1712">
        <v>-2.2400000000000002</v>
      </c>
      <c r="AS1712">
        <v>-11.79</v>
      </c>
      <c r="AT1712">
        <v>-3.68</v>
      </c>
      <c r="AU1712">
        <v>20.46</v>
      </c>
      <c r="AV1712">
        <v>2</v>
      </c>
      <c r="AW1712">
        <v>1.93</v>
      </c>
      <c r="AX1712">
        <v>41.27</v>
      </c>
      <c r="AY1712" t="s">
        <v>120</v>
      </c>
      <c r="AZ1712" t="s">
        <v>120</v>
      </c>
      <c r="BA1712">
        <v>0.57999999999999996</v>
      </c>
      <c r="BB1712" t="s">
        <v>134</v>
      </c>
      <c r="BF1712">
        <v>-0.83</v>
      </c>
      <c r="BG1712">
        <v>-2.2400000000000002</v>
      </c>
      <c r="BH1712">
        <v>-3.14</v>
      </c>
      <c r="BI1712">
        <v>0.19</v>
      </c>
      <c r="BJ1712">
        <v>20210824</v>
      </c>
      <c r="BK1712">
        <v>20120801</v>
      </c>
      <c r="BL1712">
        <v>6.45</v>
      </c>
      <c r="BM1712" t="s">
        <v>120</v>
      </c>
      <c r="BN1712" t="s">
        <v>120</v>
      </c>
      <c r="BO1712">
        <v>4.6500000000000004</v>
      </c>
      <c r="BP1712">
        <v>5.23</v>
      </c>
      <c r="BQ1712">
        <v>1.01</v>
      </c>
      <c r="BR1712">
        <v>0.01</v>
      </c>
      <c r="BS1712">
        <v>78.16</v>
      </c>
      <c r="BT1712">
        <v>2.93</v>
      </c>
      <c r="BU1712">
        <v>0.02</v>
      </c>
      <c r="BV1712">
        <v>0.18</v>
      </c>
      <c r="BW1712">
        <v>3.6</v>
      </c>
      <c r="BX1712">
        <v>0.08</v>
      </c>
      <c r="BY1712">
        <v>0.18</v>
      </c>
      <c r="BZ1712">
        <v>2.0499999999999998</v>
      </c>
      <c r="CA1712" t="s">
        <v>120</v>
      </c>
      <c r="CB1712">
        <v>0.74</v>
      </c>
      <c r="CC1712">
        <v>1.75</v>
      </c>
      <c r="CD1712">
        <v>1.21</v>
      </c>
      <c r="CE1712">
        <v>0.56000000000000005</v>
      </c>
      <c r="CF1712">
        <v>0</v>
      </c>
      <c r="CG1712">
        <v>0.56000000000000005</v>
      </c>
      <c r="CH1712">
        <v>0.51</v>
      </c>
      <c r="CI1712">
        <v>0.51</v>
      </c>
      <c r="CJ1712">
        <v>-0.13</v>
      </c>
      <c r="CK1712">
        <v>0.51</v>
      </c>
      <c r="CL1712">
        <v>-4.76</v>
      </c>
      <c r="CM1712">
        <v>-0.42</v>
      </c>
      <c r="CN1712">
        <v>-7.0000000000000007E-2</v>
      </c>
      <c r="CO1712">
        <v>18965</v>
      </c>
      <c r="CP1712">
        <v>14034</v>
      </c>
      <c r="CQ1712" t="s">
        <v>1927</v>
      </c>
      <c r="CR1712">
        <v>221.63</v>
      </c>
      <c r="CS1712">
        <v>128.59</v>
      </c>
      <c r="CT1712">
        <v>25.81</v>
      </c>
      <c r="CU1712">
        <v>-81.42</v>
      </c>
      <c r="CV1712">
        <v>19.260000000000002</v>
      </c>
      <c r="CW1712">
        <v>0</v>
      </c>
      <c r="CX1712" t="s">
        <v>411</v>
      </c>
      <c r="CY1712">
        <v>0.2</v>
      </c>
      <c r="CZ1712">
        <v>0.2</v>
      </c>
      <c r="DA1712">
        <v>0.11</v>
      </c>
      <c r="DB1712">
        <v>-0.74</v>
      </c>
      <c r="DC1712">
        <v>-0.06</v>
      </c>
      <c r="DD1712">
        <v>21.62</v>
      </c>
      <c r="DE1712" t="s">
        <v>8721</v>
      </c>
      <c r="DF1712">
        <v>31.17</v>
      </c>
      <c r="DG1712">
        <v>31.88</v>
      </c>
      <c r="DH1712">
        <v>29.34</v>
      </c>
      <c r="DI1712">
        <v>0.03</v>
      </c>
      <c r="DJ1712">
        <v>269</v>
      </c>
      <c r="DK1712">
        <v>300344</v>
      </c>
      <c r="DL1712" t="s">
        <v>120</v>
      </c>
      <c r="DM1712" t="s">
        <v>120</v>
      </c>
      <c r="DN1712" t="s">
        <v>120</v>
      </c>
    </row>
    <row r="1713" spans="1:118">
      <c r="A1713" t="str">
        <f>"300345"</f>
        <v>300345</v>
      </c>
      <c r="B1713" t="s">
        <v>8722</v>
      </c>
      <c r="C1713">
        <v>0.91</v>
      </c>
      <c r="D1713">
        <v>0</v>
      </c>
      <c r="E1713">
        <v>0.18</v>
      </c>
      <c r="F1713">
        <v>1243</v>
      </c>
      <c r="G1713" t="s">
        <v>1549</v>
      </c>
      <c r="H1713">
        <v>6840.43</v>
      </c>
      <c r="I1713">
        <v>10.54</v>
      </c>
      <c r="J1713" t="s">
        <v>120</v>
      </c>
      <c r="K1713" t="s">
        <v>6959</v>
      </c>
      <c r="L1713">
        <v>2.75</v>
      </c>
      <c r="M1713">
        <v>5.53</v>
      </c>
      <c r="N1713">
        <v>1.19</v>
      </c>
      <c r="O1713">
        <v>4.93</v>
      </c>
      <c r="P1713">
        <v>5.75</v>
      </c>
      <c r="Q1713">
        <v>0</v>
      </c>
      <c r="R1713">
        <v>5.48</v>
      </c>
      <c r="S1713">
        <v>5.49</v>
      </c>
      <c r="T1713">
        <v>121514</v>
      </c>
      <c r="U1713">
        <v>5.54</v>
      </c>
      <c r="V1713">
        <v>5.48</v>
      </c>
      <c r="W1713">
        <v>205.28</v>
      </c>
      <c r="X1713" t="s">
        <v>1925</v>
      </c>
      <c r="Y1713" t="s">
        <v>594</v>
      </c>
      <c r="Z1713">
        <v>4.93</v>
      </c>
      <c r="AA1713">
        <v>5.63</v>
      </c>
      <c r="AB1713">
        <v>53070</v>
      </c>
      <c r="AC1713">
        <v>68444</v>
      </c>
      <c r="AD1713">
        <v>0.78</v>
      </c>
      <c r="AE1713">
        <v>398</v>
      </c>
      <c r="AF1713">
        <v>691</v>
      </c>
      <c r="AG1713" t="s">
        <v>120</v>
      </c>
      <c r="AH1713">
        <v>0.01</v>
      </c>
      <c r="AI1713" t="s">
        <v>120</v>
      </c>
      <c r="AJ1713">
        <v>4.41</v>
      </c>
      <c r="AK1713" t="s">
        <v>6959</v>
      </c>
      <c r="AL1713">
        <v>2.83</v>
      </c>
      <c r="AM1713">
        <v>1773</v>
      </c>
      <c r="AN1713">
        <v>69</v>
      </c>
      <c r="AO1713">
        <v>1.6000000000000001E-3</v>
      </c>
      <c r="AP1713">
        <v>2</v>
      </c>
      <c r="AQ1713">
        <v>0.55000000000000004</v>
      </c>
      <c r="AR1713">
        <v>0.54</v>
      </c>
      <c r="AS1713">
        <v>-9.34</v>
      </c>
      <c r="AT1713">
        <v>-10.23</v>
      </c>
      <c r="AU1713">
        <v>41.08</v>
      </c>
      <c r="AV1713">
        <v>2</v>
      </c>
      <c r="AW1713">
        <v>4.6399999999999997</v>
      </c>
      <c r="AX1713">
        <v>59.29</v>
      </c>
      <c r="AY1713">
        <v>177.24</v>
      </c>
      <c r="AZ1713">
        <v>468.22</v>
      </c>
      <c r="BA1713">
        <v>0.69</v>
      </c>
      <c r="BB1713" t="s">
        <v>143</v>
      </c>
      <c r="BF1713">
        <v>2.73</v>
      </c>
      <c r="BG1713">
        <v>0.73</v>
      </c>
      <c r="BH1713">
        <v>-3.83</v>
      </c>
      <c r="BI1713">
        <v>0.91</v>
      </c>
      <c r="BJ1713">
        <v>20210825</v>
      </c>
      <c r="BK1713">
        <v>20120801</v>
      </c>
      <c r="BL1713">
        <v>4.41</v>
      </c>
      <c r="BM1713" t="s">
        <v>120</v>
      </c>
      <c r="BN1713" t="s">
        <v>120</v>
      </c>
      <c r="BO1713">
        <v>5.64</v>
      </c>
      <c r="BP1713">
        <v>5.53</v>
      </c>
      <c r="BQ1713">
        <v>5.0599999999999996</v>
      </c>
      <c r="BR1713">
        <v>0.09</v>
      </c>
      <c r="BS1713">
        <v>8.81</v>
      </c>
      <c r="BT1713">
        <v>2.98</v>
      </c>
      <c r="BU1713">
        <v>0.97</v>
      </c>
      <c r="BV1713">
        <v>0.21</v>
      </c>
      <c r="BW1713">
        <v>0.41</v>
      </c>
      <c r="BX1713">
        <v>1.28</v>
      </c>
      <c r="BY1713">
        <v>0.43</v>
      </c>
      <c r="BZ1713">
        <v>0.76</v>
      </c>
      <c r="CA1713" t="s">
        <v>120</v>
      </c>
      <c r="CB1713">
        <v>2.4700000000000002</v>
      </c>
      <c r="CC1713">
        <v>0.82</v>
      </c>
      <c r="CD1713">
        <v>0.57999999999999996</v>
      </c>
      <c r="CE1713">
        <v>0.06</v>
      </c>
      <c r="CF1713">
        <v>0.01</v>
      </c>
      <c r="CG1713">
        <v>0.06</v>
      </c>
      <c r="CH1713">
        <v>7.0000000000000007E-2</v>
      </c>
      <c r="CI1713">
        <v>0.06</v>
      </c>
      <c r="CJ1713">
        <v>0.05</v>
      </c>
      <c r="CK1713">
        <v>0.03</v>
      </c>
      <c r="CL1713">
        <v>-2.0499999999999998</v>
      </c>
      <c r="CM1713">
        <v>-0.02</v>
      </c>
      <c r="CN1713">
        <v>-0.02</v>
      </c>
      <c r="CO1713">
        <v>31363</v>
      </c>
      <c r="CP1713">
        <v>8342</v>
      </c>
      <c r="CQ1713" t="s">
        <v>1642</v>
      </c>
      <c r="CR1713">
        <v>334.47</v>
      </c>
      <c r="CS1713">
        <v>19.18</v>
      </c>
      <c r="CT1713">
        <v>4.83</v>
      </c>
      <c r="CU1713">
        <v>-1353.13</v>
      </c>
      <c r="CV1713">
        <v>29.87</v>
      </c>
      <c r="CW1713">
        <v>0</v>
      </c>
      <c r="CX1713" t="s">
        <v>178</v>
      </c>
      <c r="CY1713">
        <v>1.1499999999999999</v>
      </c>
      <c r="CZ1713">
        <v>0</v>
      </c>
      <c r="DA1713">
        <v>0.56000000000000005</v>
      </c>
      <c r="DB1713">
        <v>-0.46</v>
      </c>
      <c r="DC1713">
        <v>0</v>
      </c>
      <c r="DD1713">
        <v>89.66</v>
      </c>
      <c r="DE1713" t="s">
        <v>1283</v>
      </c>
      <c r="DF1713">
        <v>29.55</v>
      </c>
      <c r="DG1713">
        <v>7.53</v>
      </c>
      <c r="DH1713">
        <v>7.28</v>
      </c>
      <c r="DI1713">
        <v>0.02</v>
      </c>
      <c r="DJ1713">
        <v>306</v>
      </c>
      <c r="DK1713">
        <v>300345</v>
      </c>
      <c r="DL1713" t="s">
        <v>120</v>
      </c>
      <c r="DM1713" t="s">
        <v>120</v>
      </c>
      <c r="DN1713" t="s">
        <v>120</v>
      </c>
    </row>
    <row r="1714" spans="1:118">
      <c r="A1714" t="str">
        <f>"300346"</f>
        <v>300346</v>
      </c>
      <c r="B1714" t="s">
        <v>8723</v>
      </c>
      <c r="C1714">
        <v>-5.71</v>
      </c>
      <c r="D1714">
        <v>-0.08</v>
      </c>
      <c r="E1714">
        <v>-0.37</v>
      </c>
      <c r="F1714">
        <v>2903</v>
      </c>
      <c r="G1714" t="s">
        <v>8724</v>
      </c>
      <c r="H1714">
        <v>134983.19</v>
      </c>
      <c r="I1714">
        <v>544.27</v>
      </c>
      <c r="J1714" t="s">
        <v>120</v>
      </c>
      <c r="K1714" t="s">
        <v>8725</v>
      </c>
      <c r="L1714">
        <v>6.05</v>
      </c>
      <c r="M1714">
        <v>56.6</v>
      </c>
      <c r="N1714">
        <v>0.56999999999999995</v>
      </c>
      <c r="O1714">
        <v>0.78</v>
      </c>
      <c r="P1714">
        <v>60.5</v>
      </c>
      <c r="Q1714">
        <v>-5.95</v>
      </c>
      <c r="R1714">
        <v>56.46</v>
      </c>
      <c r="S1714">
        <v>59.81</v>
      </c>
      <c r="T1714">
        <v>231244</v>
      </c>
      <c r="U1714">
        <v>56.6</v>
      </c>
      <c r="V1714">
        <v>60.03</v>
      </c>
      <c r="W1714">
        <v>139.71</v>
      </c>
      <c r="X1714" t="s">
        <v>229</v>
      </c>
      <c r="Y1714" t="s">
        <v>319</v>
      </c>
      <c r="Z1714">
        <v>6.73</v>
      </c>
      <c r="AA1714">
        <v>58.37</v>
      </c>
      <c r="AB1714">
        <v>122017</v>
      </c>
      <c r="AC1714">
        <v>109227</v>
      </c>
      <c r="AD1714">
        <v>1.1200000000000001</v>
      </c>
      <c r="AE1714">
        <v>117</v>
      </c>
      <c r="AF1714">
        <v>246</v>
      </c>
      <c r="AG1714" t="s">
        <v>120</v>
      </c>
      <c r="AH1714">
        <v>0.03</v>
      </c>
      <c r="AI1714" t="s">
        <v>120</v>
      </c>
      <c r="AJ1714">
        <v>3.82</v>
      </c>
      <c r="AK1714" t="s">
        <v>8726</v>
      </c>
      <c r="AL1714">
        <v>-3.8</v>
      </c>
      <c r="AM1714">
        <v>4633</v>
      </c>
      <c r="AN1714">
        <v>50</v>
      </c>
      <c r="AO1714">
        <v>1.2999999999999999E-3</v>
      </c>
      <c r="AP1714">
        <v>-4</v>
      </c>
      <c r="AQ1714">
        <v>-3.26</v>
      </c>
      <c r="AR1714">
        <v>-11.54</v>
      </c>
      <c r="AS1714">
        <v>-8.41</v>
      </c>
      <c r="AT1714">
        <v>49.14</v>
      </c>
      <c r="AU1714">
        <v>40.549999999999997</v>
      </c>
      <c r="AV1714">
        <v>2</v>
      </c>
      <c r="AW1714">
        <v>7.94</v>
      </c>
      <c r="AX1714">
        <v>68.989999999999995</v>
      </c>
      <c r="AY1714">
        <v>301.13</v>
      </c>
      <c r="AZ1714">
        <v>291.25</v>
      </c>
      <c r="BA1714">
        <v>1.3</v>
      </c>
      <c r="BB1714" t="s">
        <v>143</v>
      </c>
      <c r="BF1714">
        <v>-2.76</v>
      </c>
      <c r="BG1714">
        <v>-5.37</v>
      </c>
      <c r="BH1714">
        <v>-6.45</v>
      </c>
      <c r="BI1714">
        <v>0.25</v>
      </c>
      <c r="BJ1714">
        <v>20210903</v>
      </c>
      <c r="BK1714">
        <v>20120807</v>
      </c>
      <c r="BL1714">
        <v>4.22</v>
      </c>
      <c r="BM1714" t="s">
        <v>120</v>
      </c>
      <c r="BN1714" t="s">
        <v>120</v>
      </c>
      <c r="BO1714">
        <v>28.92</v>
      </c>
      <c r="BP1714">
        <v>56.59</v>
      </c>
      <c r="BQ1714">
        <v>14.04</v>
      </c>
      <c r="BR1714">
        <v>2.87</v>
      </c>
      <c r="BS1714">
        <v>41.54</v>
      </c>
      <c r="BT1714">
        <v>11.54</v>
      </c>
      <c r="BU1714">
        <v>9.68</v>
      </c>
      <c r="BV1714">
        <v>3.87</v>
      </c>
      <c r="BW1714">
        <v>5.8</v>
      </c>
      <c r="BX1714">
        <v>5.33</v>
      </c>
      <c r="BY1714">
        <v>1.76</v>
      </c>
      <c r="BZ1714">
        <v>2.59</v>
      </c>
      <c r="CA1714" t="s">
        <v>120</v>
      </c>
      <c r="CB1714">
        <v>4.57</v>
      </c>
      <c r="CC1714">
        <v>4.43</v>
      </c>
      <c r="CD1714">
        <v>2.44</v>
      </c>
      <c r="CE1714">
        <v>1.19</v>
      </c>
      <c r="CF1714">
        <v>0</v>
      </c>
      <c r="CG1714">
        <v>1.22</v>
      </c>
      <c r="CH1714">
        <v>1.1200000000000001</v>
      </c>
      <c r="CI1714">
        <v>0.86</v>
      </c>
      <c r="CJ1714">
        <v>-3.43</v>
      </c>
      <c r="CK1714">
        <v>0.66</v>
      </c>
      <c r="CL1714">
        <v>5.5</v>
      </c>
      <c r="CM1714">
        <v>0.89</v>
      </c>
      <c r="CN1714">
        <v>-0.47</v>
      </c>
      <c r="CO1714">
        <v>88878</v>
      </c>
      <c r="CP1714">
        <v>3277</v>
      </c>
      <c r="CQ1714" t="s">
        <v>8578</v>
      </c>
      <c r="CR1714">
        <v>-3.23</v>
      </c>
      <c r="CS1714">
        <v>69.14</v>
      </c>
      <c r="CT1714">
        <v>16.399999999999999</v>
      </c>
      <c r="CU1714">
        <v>268.97000000000003</v>
      </c>
      <c r="CV1714">
        <v>53.97</v>
      </c>
      <c r="CW1714">
        <v>0.06</v>
      </c>
      <c r="CX1714" t="s">
        <v>2097</v>
      </c>
      <c r="CY1714">
        <v>3.45</v>
      </c>
      <c r="CZ1714">
        <v>3.45</v>
      </c>
      <c r="DA1714">
        <v>1.08</v>
      </c>
      <c r="DB1714">
        <v>1.3</v>
      </c>
      <c r="DC1714">
        <v>0.21</v>
      </c>
      <c r="DD1714">
        <v>48.55</v>
      </c>
      <c r="DE1714" t="s">
        <v>8727</v>
      </c>
      <c r="DF1714">
        <v>44.8</v>
      </c>
      <c r="DG1714">
        <v>26.85</v>
      </c>
      <c r="DH1714">
        <v>19.309999999999999</v>
      </c>
      <c r="DI1714">
        <v>0.47</v>
      </c>
      <c r="DJ1714">
        <v>711</v>
      </c>
      <c r="DK1714">
        <v>300346</v>
      </c>
      <c r="DL1714">
        <v>20210527</v>
      </c>
      <c r="DM1714">
        <v>31.18</v>
      </c>
      <c r="DN1714">
        <v>81.53</v>
      </c>
    </row>
    <row r="1715" spans="1:118">
      <c r="A1715" t="str">
        <f>"300347"</f>
        <v>300347</v>
      </c>
      <c r="B1715" t="s">
        <v>8728</v>
      </c>
      <c r="C1715">
        <v>-0.46</v>
      </c>
      <c r="D1715">
        <v>0.06</v>
      </c>
      <c r="E1715">
        <v>-1.17</v>
      </c>
      <c r="F1715">
        <v>469</v>
      </c>
      <c r="G1715" t="s">
        <v>8729</v>
      </c>
      <c r="H1715">
        <v>86663.28</v>
      </c>
      <c r="I1715">
        <v>206.53</v>
      </c>
      <c r="J1715" t="s">
        <v>120</v>
      </c>
      <c r="K1715" t="s">
        <v>8730</v>
      </c>
      <c r="L1715">
        <v>0.95</v>
      </c>
      <c r="M1715">
        <v>161.26</v>
      </c>
      <c r="N1715">
        <v>0.83</v>
      </c>
      <c r="O1715">
        <v>1.96</v>
      </c>
      <c r="P1715">
        <v>165.18</v>
      </c>
      <c r="Q1715">
        <v>-2.59</v>
      </c>
      <c r="R1715">
        <v>157.80000000000001</v>
      </c>
      <c r="S1715">
        <v>160.1</v>
      </c>
      <c r="T1715">
        <v>53640</v>
      </c>
      <c r="U1715">
        <v>161.26</v>
      </c>
      <c r="V1715">
        <v>162</v>
      </c>
      <c r="W1715">
        <v>56.05</v>
      </c>
      <c r="X1715" t="s">
        <v>555</v>
      </c>
      <c r="Y1715" t="s">
        <v>585</v>
      </c>
      <c r="Z1715">
        <v>4.5599999999999996</v>
      </c>
      <c r="AA1715">
        <v>161.57</v>
      </c>
      <c r="AB1715">
        <v>30865</v>
      </c>
      <c r="AC1715">
        <v>22775</v>
      </c>
      <c r="AD1715">
        <v>1.36</v>
      </c>
      <c r="AE1715">
        <v>1</v>
      </c>
      <c r="AF1715">
        <v>5</v>
      </c>
      <c r="AG1715" t="s">
        <v>120</v>
      </c>
      <c r="AH1715">
        <v>0</v>
      </c>
      <c r="AI1715" t="s">
        <v>120</v>
      </c>
      <c r="AJ1715">
        <v>5.63</v>
      </c>
      <c r="AK1715" t="s">
        <v>8731</v>
      </c>
      <c r="AL1715">
        <v>1.46</v>
      </c>
      <c r="AM1715">
        <v>4342</v>
      </c>
      <c r="AN1715">
        <v>12</v>
      </c>
      <c r="AO1715">
        <v>2.0000000000000001E-4</v>
      </c>
      <c r="AP1715">
        <v>-1</v>
      </c>
      <c r="AQ1715">
        <v>3.18</v>
      </c>
      <c r="AR1715">
        <v>7.71</v>
      </c>
      <c r="AS1715">
        <v>9.57</v>
      </c>
      <c r="AT1715">
        <v>-14.32</v>
      </c>
      <c r="AU1715">
        <v>-0.03</v>
      </c>
      <c r="AV1715">
        <v>0</v>
      </c>
      <c r="AW1715">
        <v>1.06</v>
      </c>
      <c r="AX1715">
        <v>67.349999999999994</v>
      </c>
      <c r="AY1715">
        <v>70.459999999999994</v>
      </c>
      <c r="AZ1715">
        <v>80.78</v>
      </c>
      <c r="BA1715">
        <v>1.43</v>
      </c>
      <c r="BB1715" t="s">
        <v>700</v>
      </c>
      <c r="BF1715">
        <v>-0.27</v>
      </c>
      <c r="BG1715">
        <v>0.72</v>
      </c>
      <c r="BH1715">
        <v>-2.37</v>
      </c>
      <c r="BI1715">
        <v>2.19</v>
      </c>
      <c r="BJ1715">
        <v>20210826</v>
      </c>
      <c r="BK1715">
        <v>20120817</v>
      </c>
      <c r="BL1715">
        <v>8.7200000000000006</v>
      </c>
      <c r="BM1715" t="s">
        <v>120</v>
      </c>
      <c r="BN1715">
        <v>1.23</v>
      </c>
      <c r="BO1715">
        <v>212.21</v>
      </c>
      <c r="BP1715">
        <v>161.22</v>
      </c>
      <c r="BQ1715">
        <v>170.12</v>
      </c>
      <c r="BR1715">
        <v>22.35</v>
      </c>
      <c r="BS1715">
        <v>9.3000000000000007</v>
      </c>
      <c r="BT1715">
        <v>114.59</v>
      </c>
      <c r="BU1715">
        <v>4.16</v>
      </c>
      <c r="BV1715">
        <v>1.31</v>
      </c>
      <c r="BW1715">
        <v>14.51</v>
      </c>
      <c r="BX1715">
        <v>95.59</v>
      </c>
      <c r="BY1715">
        <v>0.06</v>
      </c>
      <c r="BZ1715">
        <v>5.63</v>
      </c>
      <c r="CA1715" t="s">
        <v>120</v>
      </c>
      <c r="CB1715">
        <v>118.65</v>
      </c>
      <c r="CC1715">
        <v>20.56</v>
      </c>
      <c r="CD1715">
        <v>10.78</v>
      </c>
      <c r="CE1715">
        <v>16.97</v>
      </c>
      <c r="CF1715">
        <v>1.1299999999999999</v>
      </c>
      <c r="CG1715">
        <v>16.93</v>
      </c>
      <c r="CH1715">
        <v>15.89</v>
      </c>
      <c r="CI1715">
        <v>12.55</v>
      </c>
      <c r="CJ1715">
        <v>-0.74</v>
      </c>
      <c r="CK1715">
        <v>5.43</v>
      </c>
      <c r="CL1715">
        <v>42.47</v>
      </c>
      <c r="CM1715">
        <v>4.84</v>
      </c>
      <c r="CN1715">
        <v>-5.32</v>
      </c>
      <c r="CO1715">
        <v>42380</v>
      </c>
      <c r="CP1715">
        <v>11909</v>
      </c>
      <c r="CQ1715" t="s">
        <v>8732</v>
      </c>
      <c r="CR1715">
        <v>25.65</v>
      </c>
      <c r="CS1715">
        <v>41.62</v>
      </c>
      <c r="CT1715">
        <v>8.27</v>
      </c>
      <c r="CU1715">
        <v>290.98</v>
      </c>
      <c r="CV1715">
        <v>68.42</v>
      </c>
      <c r="CW1715">
        <v>0.19</v>
      </c>
      <c r="CX1715" t="s">
        <v>8733</v>
      </c>
      <c r="CY1715">
        <v>19.5</v>
      </c>
      <c r="CZ1715">
        <v>0</v>
      </c>
      <c r="DA1715">
        <v>13.6</v>
      </c>
      <c r="DB1715">
        <v>4.87</v>
      </c>
      <c r="DC1715">
        <v>0.55000000000000004</v>
      </c>
      <c r="DD1715">
        <v>80.16</v>
      </c>
      <c r="DE1715" t="s">
        <v>8734</v>
      </c>
      <c r="DF1715">
        <v>47.57</v>
      </c>
      <c r="DG1715">
        <v>82.52</v>
      </c>
      <c r="DH1715">
        <v>61.03</v>
      </c>
      <c r="DI1715">
        <v>0.93</v>
      </c>
      <c r="DJ1715">
        <v>6032</v>
      </c>
      <c r="DK1715">
        <v>300347</v>
      </c>
      <c r="DL1715" t="s">
        <v>120</v>
      </c>
      <c r="DM1715" t="s">
        <v>120</v>
      </c>
      <c r="DN1715" t="s">
        <v>120</v>
      </c>
    </row>
    <row r="1716" spans="1:118">
      <c r="A1716" t="str">
        <f>"300348"</f>
        <v>300348</v>
      </c>
      <c r="B1716" t="s">
        <v>8735</v>
      </c>
      <c r="C1716">
        <v>-0.47</v>
      </c>
      <c r="D1716">
        <v>0.2</v>
      </c>
      <c r="E1716">
        <v>-0.6</v>
      </c>
      <c r="F1716">
        <v>567</v>
      </c>
      <c r="G1716" t="s">
        <v>8736</v>
      </c>
      <c r="H1716">
        <v>8618.4599999999991</v>
      </c>
      <c r="I1716">
        <v>69.040000000000006</v>
      </c>
      <c r="J1716" t="s">
        <v>120</v>
      </c>
      <c r="K1716" t="s">
        <v>8737</v>
      </c>
      <c r="L1716">
        <v>0.95</v>
      </c>
      <c r="M1716">
        <v>14.9</v>
      </c>
      <c r="N1716">
        <v>0.67</v>
      </c>
      <c r="O1716">
        <v>0.73</v>
      </c>
      <c r="P1716">
        <v>15.08</v>
      </c>
      <c r="Q1716">
        <v>-1.07</v>
      </c>
      <c r="R1716">
        <v>14.81</v>
      </c>
      <c r="S1716">
        <v>14.88</v>
      </c>
      <c r="T1716">
        <v>57739</v>
      </c>
      <c r="U1716">
        <v>14.9</v>
      </c>
      <c r="V1716">
        <v>14.97</v>
      </c>
      <c r="W1716">
        <v>630.66</v>
      </c>
      <c r="X1716" t="s">
        <v>141</v>
      </c>
      <c r="Y1716" t="s">
        <v>123</v>
      </c>
      <c r="Z1716">
        <v>1.8</v>
      </c>
      <c r="AA1716">
        <v>14.93</v>
      </c>
      <c r="AB1716">
        <v>32739</v>
      </c>
      <c r="AC1716">
        <v>25000</v>
      </c>
      <c r="AD1716">
        <v>1.31</v>
      </c>
      <c r="AE1716">
        <v>17</v>
      </c>
      <c r="AF1716">
        <v>82</v>
      </c>
      <c r="AG1716" t="s">
        <v>120</v>
      </c>
      <c r="AH1716">
        <v>0.01</v>
      </c>
      <c r="AI1716" t="s">
        <v>120</v>
      </c>
      <c r="AJ1716">
        <v>6.11</v>
      </c>
      <c r="AK1716" t="s">
        <v>8738</v>
      </c>
      <c r="AL1716">
        <v>1.45</v>
      </c>
      <c r="AM1716">
        <v>2020</v>
      </c>
      <c r="AN1716">
        <v>29</v>
      </c>
      <c r="AO1716">
        <v>5.0000000000000001E-4</v>
      </c>
      <c r="AP1716">
        <v>-2</v>
      </c>
      <c r="AQ1716">
        <v>-4.83</v>
      </c>
      <c r="AR1716">
        <v>-4.92</v>
      </c>
      <c r="AS1716">
        <v>-8.76</v>
      </c>
      <c r="AT1716">
        <v>-17.77</v>
      </c>
      <c r="AU1716">
        <v>-21.29</v>
      </c>
      <c r="AV1716">
        <v>0</v>
      </c>
      <c r="AW1716">
        <v>1.08</v>
      </c>
      <c r="AX1716">
        <v>74.33</v>
      </c>
      <c r="AY1716">
        <v>44.48</v>
      </c>
      <c r="AZ1716">
        <v>45.57</v>
      </c>
      <c r="BA1716">
        <v>1.02</v>
      </c>
      <c r="BB1716" t="s">
        <v>1723</v>
      </c>
      <c r="BF1716">
        <v>-0.28999999999999998</v>
      </c>
      <c r="BG1716">
        <v>0.13</v>
      </c>
      <c r="BH1716">
        <v>-1.19</v>
      </c>
      <c r="BI1716">
        <v>0.61</v>
      </c>
      <c r="BJ1716">
        <v>20210907</v>
      </c>
      <c r="BK1716">
        <v>20120817</v>
      </c>
      <c r="BL1716">
        <v>7.21</v>
      </c>
      <c r="BM1716" t="s">
        <v>120</v>
      </c>
      <c r="BN1716" t="s">
        <v>120</v>
      </c>
      <c r="BO1716">
        <v>21.57</v>
      </c>
      <c r="BP1716">
        <v>14.88</v>
      </c>
      <c r="BQ1716">
        <v>13.7</v>
      </c>
      <c r="BR1716">
        <v>0.12</v>
      </c>
      <c r="BS1716">
        <v>35.93</v>
      </c>
      <c r="BT1716">
        <v>15.51</v>
      </c>
      <c r="BU1716">
        <v>2.29</v>
      </c>
      <c r="BV1716">
        <v>1.39</v>
      </c>
      <c r="BW1716">
        <v>7.08</v>
      </c>
      <c r="BX1716">
        <v>3.09</v>
      </c>
      <c r="BY1716">
        <v>5.76</v>
      </c>
      <c r="BZ1716">
        <v>5.57</v>
      </c>
      <c r="CA1716" t="s">
        <v>120</v>
      </c>
      <c r="CB1716">
        <v>4.1399999999999997</v>
      </c>
      <c r="CC1716">
        <v>4.93</v>
      </c>
      <c r="CD1716">
        <v>2.86</v>
      </c>
      <c r="CE1716">
        <v>0.11</v>
      </c>
      <c r="CF1716">
        <v>0.02</v>
      </c>
      <c r="CG1716">
        <v>0.11</v>
      </c>
      <c r="CH1716">
        <v>0.09</v>
      </c>
      <c r="CI1716">
        <v>0.09</v>
      </c>
      <c r="CJ1716">
        <v>-7.0000000000000007E-2</v>
      </c>
      <c r="CK1716">
        <v>-0.02</v>
      </c>
      <c r="CL1716">
        <v>2.08</v>
      </c>
      <c r="CM1716">
        <v>-3.01</v>
      </c>
      <c r="CN1716">
        <v>-1.81</v>
      </c>
      <c r="CO1716">
        <v>49324</v>
      </c>
      <c r="CP1716">
        <v>10865</v>
      </c>
      <c r="CQ1716" t="s">
        <v>8739</v>
      </c>
      <c r="CR1716">
        <v>219.11</v>
      </c>
      <c r="CS1716">
        <v>32.909999999999997</v>
      </c>
      <c r="CT1716">
        <v>7.84</v>
      </c>
      <c r="CU1716">
        <v>-35.65</v>
      </c>
      <c r="CV1716">
        <v>21.81</v>
      </c>
      <c r="CW1716">
        <v>0.47</v>
      </c>
      <c r="CX1716" t="s">
        <v>178</v>
      </c>
      <c r="CY1716">
        <v>1.9</v>
      </c>
      <c r="CZ1716">
        <v>0</v>
      </c>
      <c r="DA1716">
        <v>0.56999999999999995</v>
      </c>
      <c r="DB1716">
        <v>0.28999999999999998</v>
      </c>
      <c r="DC1716">
        <v>-0.42</v>
      </c>
      <c r="DD1716">
        <v>63.53</v>
      </c>
      <c r="DE1716" t="s">
        <v>8740</v>
      </c>
      <c r="DF1716">
        <v>41.94</v>
      </c>
      <c r="DG1716">
        <v>2.17</v>
      </c>
      <c r="DH1716">
        <v>1.73</v>
      </c>
      <c r="DI1716">
        <v>0.64</v>
      </c>
      <c r="DJ1716">
        <v>5577</v>
      </c>
      <c r="DK1716">
        <v>300348</v>
      </c>
      <c r="DL1716" t="s">
        <v>120</v>
      </c>
      <c r="DM1716" t="s">
        <v>120</v>
      </c>
      <c r="DN1716" t="s">
        <v>120</v>
      </c>
    </row>
    <row r="1717" spans="1:118">
      <c r="A1717" t="str">
        <f>"300349"</f>
        <v>300349</v>
      </c>
      <c r="B1717" t="s">
        <v>8741</v>
      </c>
      <c r="C1717">
        <v>-2.76</v>
      </c>
      <c r="D1717">
        <v>0</v>
      </c>
      <c r="E1717">
        <v>0</v>
      </c>
      <c r="F1717">
        <v>593</v>
      </c>
      <c r="G1717" t="s">
        <v>8742</v>
      </c>
      <c r="H1717">
        <v>8136.64</v>
      </c>
      <c r="I1717">
        <v>20.43</v>
      </c>
      <c r="J1717" t="s">
        <v>120</v>
      </c>
      <c r="K1717" t="s">
        <v>3160</v>
      </c>
      <c r="L1717">
        <v>1.8</v>
      </c>
      <c r="M1717">
        <v>11.62</v>
      </c>
      <c r="N1717">
        <v>1.45</v>
      </c>
      <c r="O1717">
        <v>2.2599999999999998</v>
      </c>
      <c r="P1717">
        <v>12.22</v>
      </c>
      <c r="Q1717">
        <v>-3.01</v>
      </c>
      <c r="R1717">
        <v>11.59</v>
      </c>
      <c r="S1717">
        <v>11.95</v>
      </c>
      <c r="T1717">
        <v>68432</v>
      </c>
      <c r="U1717">
        <v>11.63</v>
      </c>
      <c r="V1717">
        <v>11.95</v>
      </c>
      <c r="W1717">
        <v>17.329999999999998</v>
      </c>
      <c r="X1717" t="s">
        <v>141</v>
      </c>
      <c r="Y1717" t="s">
        <v>585</v>
      </c>
      <c r="Z1717">
        <v>5.27</v>
      </c>
      <c r="AA1717">
        <v>11.89</v>
      </c>
      <c r="AB1717">
        <v>41908</v>
      </c>
      <c r="AC1717">
        <v>26524</v>
      </c>
      <c r="AD1717">
        <v>1.58</v>
      </c>
      <c r="AE1717">
        <v>14</v>
      </c>
      <c r="AF1717">
        <v>318</v>
      </c>
      <c r="AG1717" t="s">
        <v>120</v>
      </c>
      <c r="AH1717">
        <v>0.01</v>
      </c>
      <c r="AI1717" t="s">
        <v>120</v>
      </c>
      <c r="AJ1717">
        <v>3.81</v>
      </c>
      <c r="AK1717" t="s">
        <v>8743</v>
      </c>
      <c r="AL1717">
        <v>-0.85</v>
      </c>
      <c r="AM1717">
        <v>1852</v>
      </c>
      <c r="AN1717">
        <v>37</v>
      </c>
      <c r="AO1717">
        <v>1E-3</v>
      </c>
      <c r="AP1717">
        <v>-3</v>
      </c>
      <c r="AQ1717">
        <v>-0.17</v>
      </c>
      <c r="AR1717">
        <v>-3.97</v>
      </c>
      <c r="AS1717">
        <v>-3</v>
      </c>
      <c r="AT1717">
        <v>-3</v>
      </c>
      <c r="AU1717">
        <v>-4.5599999999999996</v>
      </c>
      <c r="AV1717">
        <v>1</v>
      </c>
      <c r="AW1717">
        <v>2.64</v>
      </c>
      <c r="AX1717">
        <v>60.38</v>
      </c>
      <c r="AY1717">
        <v>38.14</v>
      </c>
      <c r="AZ1717">
        <v>46.05</v>
      </c>
      <c r="BA1717">
        <v>0.47</v>
      </c>
      <c r="BB1717" t="s">
        <v>143</v>
      </c>
      <c r="BF1717">
        <v>-0.5</v>
      </c>
      <c r="BG1717">
        <v>-2.76</v>
      </c>
      <c r="BH1717">
        <v>-4.91</v>
      </c>
      <c r="BI1717">
        <v>0.26</v>
      </c>
      <c r="BJ1717">
        <v>20210819</v>
      </c>
      <c r="BK1717">
        <v>20120817</v>
      </c>
      <c r="BL1717">
        <v>4.29</v>
      </c>
      <c r="BM1717" t="s">
        <v>120</v>
      </c>
      <c r="BN1717" t="s">
        <v>120</v>
      </c>
      <c r="BO1717">
        <v>52.32</v>
      </c>
      <c r="BP1717">
        <v>11.62</v>
      </c>
      <c r="BQ1717">
        <v>34.64</v>
      </c>
      <c r="BR1717">
        <v>0</v>
      </c>
      <c r="BS1717">
        <v>33.79</v>
      </c>
      <c r="BT1717">
        <v>24.69</v>
      </c>
      <c r="BU1717">
        <v>3.61</v>
      </c>
      <c r="BV1717">
        <v>1.23</v>
      </c>
      <c r="BW1717">
        <v>14.92</v>
      </c>
      <c r="BX1717">
        <v>3.91</v>
      </c>
      <c r="BY1717">
        <v>4.2699999999999996</v>
      </c>
      <c r="BZ1717">
        <v>11.63</v>
      </c>
      <c r="CA1717" t="s">
        <v>120</v>
      </c>
      <c r="CB1717">
        <v>17.850000000000001</v>
      </c>
      <c r="CC1717">
        <v>10.15</v>
      </c>
      <c r="CD1717">
        <v>5.83</v>
      </c>
      <c r="CE1717">
        <v>1.47</v>
      </c>
      <c r="CF1717">
        <v>0.34</v>
      </c>
      <c r="CG1717">
        <v>1.52</v>
      </c>
      <c r="CH1717">
        <v>1.42</v>
      </c>
      <c r="CI1717">
        <v>1.44</v>
      </c>
      <c r="CJ1717">
        <v>-0.33</v>
      </c>
      <c r="CK1717">
        <v>1.1599999999999999</v>
      </c>
      <c r="CL1717">
        <v>11.58</v>
      </c>
      <c r="CM1717">
        <v>-0.28999999999999998</v>
      </c>
      <c r="CN1717">
        <v>-3</v>
      </c>
      <c r="CO1717">
        <v>19647</v>
      </c>
      <c r="CP1717">
        <v>13187</v>
      </c>
      <c r="CQ1717" t="s">
        <v>8744</v>
      </c>
      <c r="CR1717">
        <v>19.11</v>
      </c>
      <c r="CS1717">
        <v>43.79</v>
      </c>
      <c r="CT1717">
        <v>1.44</v>
      </c>
      <c r="CU1717">
        <v>-171.03</v>
      </c>
      <c r="CV1717">
        <v>4.91</v>
      </c>
      <c r="CW1717">
        <v>3.91</v>
      </c>
      <c r="CX1717" t="s">
        <v>1574</v>
      </c>
      <c r="CY1717">
        <v>8.07</v>
      </c>
      <c r="CZ1717">
        <v>0</v>
      </c>
      <c r="DA1717">
        <v>4.16</v>
      </c>
      <c r="DB1717">
        <v>2.7</v>
      </c>
      <c r="DC1717">
        <v>-7.0000000000000007E-2</v>
      </c>
      <c r="DD1717">
        <v>66.209999999999994</v>
      </c>
      <c r="DE1717" t="s">
        <v>4662</v>
      </c>
      <c r="DF1717">
        <v>42.62</v>
      </c>
      <c r="DG1717">
        <v>14.49</v>
      </c>
      <c r="DH1717">
        <v>14.17</v>
      </c>
      <c r="DI1717">
        <v>1.08</v>
      </c>
      <c r="DJ1717">
        <v>2189</v>
      </c>
      <c r="DK1717">
        <v>300349</v>
      </c>
      <c r="DL1717" t="s">
        <v>120</v>
      </c>
      <c r="DM1717" t="s">
        <v>120</v>
      </c>
      <c r="DN1717" t="s">
        <v>120</v>
      </c>
    </row>
    <row r="1718" spans="1:118">
      <c r="A1718" t="str">
        <f>"300350"</f>
        <v>300350</v>
      </c>
      <c r="B1718" t="s">
        <v>8745</v>
      </c>
      <c r="C1718">
        <v>4.4800000000000004</v>
      </c>
      <c r="D1718">
        <v>0</v>
      </c>
      <c r="E1718">
        <v>0.1</v>
      </c>
      <c r="F1718">
        <v>5249</v>
      </c>
      <c r="G1718" t="s">
        <v>6148</v>
      </c>
      <c r="H1718">
        <v>44888.01</v>
      </c>
      <c r="I1718">
        <v>46.23</v>
      </c>
      <c r="J1718" t="s">
        <v>120</v>
      </c>
      <c r="K1718" t="s">
        <v>8746</v>
      </c>
      <c r="L1718">
        <v>12.94</v>
      </c>
      <c r="M1718">
        <v>10.49</v>
      </c>
      <c r="N1718">
        <v>1.61</v>
      </c>
      <c r="O1718">
        <v>9.56</v>
      </c>
      <c r="P1718">
        <v>11</v>
      </c>
      <c r="Q1718">
        <v>-0.4</v>
      </c>
      <c r="R1718">
        <v>10</v>
      </c>
      <c r="S1718">
        <v>10.050000000000001</v>
      </c>
      <c r="T1718">
        <v>421997</v>
      </c>
      <c r="U1718">
        <v>10.49</v>
      </c>
      <c r="V1718">
        <v>10.039999999999999</v>
      </c>
      <c r="W1718">
        <v>35.479999999999997</v>
      </c>
      <c r="X1718" t="s">
        <v>2775</v>
      </c>
      <c r="Y1718" t="s">
        <v>123</v>
      </c>
      <c r="Z1718">
        <v>9.9600000000000009</v>
      </c>
      <c r="AA1718">
        <v>10.64</v>
      </c>
      <c r="AB1718">
        <v>198714</v>
      </c>
      <c r="AC1718">
        <v>223283</v>
      </c>
      <c r="AD1718">
        <v>0.89</v>
      </c>
      <c r="AE1718">
        <v>429</v>
      </c>
      <c r="AF1718">
        <v>1629</v>
      </c>
      <c r="AG1718" t="s">
        <v>120</v>
      </c>
      <c r="AH1718">
        <v>0.02</v>
      </c>
      <c r="AI1718" t="s">
        <v>120</v>
      </c>
      <c r="AJ1718">
        <v>3.26</v>
      </c>
      <c r="AK1718" t="s">
        <v>8747</v>
      </c>
      <c r="AL1718">
        <v>6.4</v>
      </c>
      <c r="AM1718">
        <v>3891</v>
      </c>
      <c r="AN1718">
        <v>108</v>
      </c>
      <c r="AO1718">
        <v>3.3E-3</v>
      </c>
      <c r="AP1718">
        <v>2</v>
      </c>
      <c r="AQ1718">
        <v>1.21</v>
      </c>
      <c r="AR1718">
        <v>3.56</v>
      </c>
      <c r="AS1718">
        <v>19.88</v>
      </c>
      <c r="AT1718">
        <v>16.420000000000002</v>
      </c>
      <c r="AU1718">
        <v>108.14</v>
      </c>
      <c r="AV1718">
        <v>8</v>
      </c>
      <c r="AW1718">
        <v>14.56</v>
      </c>
      <c r="AX1718">
        <v>51.57</v>
      </c>
      <c r="AY1718">
        <v>37.450000000000003</v>
      </c>
      <c r="AZ1718">
        <v>110.48</v>
      </c>
      <c r="BA1718">
        <v>2.0499999999999998</v>
      </c>
      <c r="BB1718" t="s">
        <v>143</v>
      </c>
      <c r="BF1718">
        <v>5.95</v>
      </c>
      <c r="BG1718">
        <v>4.38</v>
      </c>
      <c r="BH1718">
        <v>-4.6399999999999997</v>
      </c>
      <c r="BI1718">
        <v>4.9000000000000004</v>
      </c>
      <c r="BJ1718">
        <v>20210830</v>
      </c>
      <c r="BK1718">
        <v>20120821</v>
      </c>
      <c r="BL1718">
        <v>5.62</v>
      </c>
      <c r="BM1718" t="s">
        <v>120</v>
      </c>
      <c r="BN1718" t="s">
        <v>120</v>
      </c>
      <c r="BO1718">
        <v>19.04</v>
      </c>
      <c r="BP1718">
        <v>10.48</v>
      </c>
      <c r="BQ1718">
        <v>9.0399999999999991</v>
      </c>
      <c r="BR1718">
        <v>1.17</v>
      </c>
      <c r="BS1718">
        <v>46.36</v>
      </c>
      <c r="BT1718">
        <v>14.57</v>
      </c>
      <c r="BU1718">
        <v>3.24</v>
      </c>
      <c r="BV1718">
        <v>0.44</v>
      </c>
      <c r="BW1718">
        <v>7.73</v>
      </c>
      <c r="BX1718">
        <v>4.53</v>
      </c>
      <c r="BY1718">
        <v>3.15</v>
      </c>
      <c r="BZ1718">
        <v>5.73</v>
      </c>
      <c r="CA1718" t="s">
        <v>120</v>
      </c>
      <c r="CB1718">
        <v>10.15</v>
      </c>
      <c r="CC1718">
        <v>1.57</v>
      </c>
      <c r="CD1718">
        <v>1.18</v>
      </c>
      <c r="CE1718">
        <v>0.03</v>
      </c>
      <c r="CF1718">
        <v>0.03</v>
      </c>
      <c r="CG1718">
        <v>0.72</v>
      </c>
      <c r="CH1718">
        <v>0.75</v>
      </c>
      <c r="CI1718">
        <v>0.83</v>
      </c>
      <c r="CJ1718">
        <v>0.45</v>
      </c>
      <c r="CK1718">
        <v>0.22</v>
      </c>
      <c r="CL1718">
        <v>-7.17</v>
      </c>
      <c r="CM1718">
        <v>1.23</v>
      </c>
      <c r="CN1718">
        <v>3.82</v>
      </c>
      <c r="CO1718">
        <v>24328</v>
      </c>
      <c r="CP1718">
        <v>11913</v>
      </c>
      <c r="CQ1718" t="s">
        <v>8748</v>
      </c>
      <c r="CR1718">
        <v>602.97</v>
      </c>
      <c r="CS1718">
        <v>-34.29</v>
      </c>
      <c r="CT1718">
        <v>6.52</v>
      </c>
      <c r="CU1718">
        <v>47.79</v>
      </c>
      <c r="CV1718">
        <v>37.479999999999997</v>
      </c>
      <c r="CW1718">
        <v>0</v>
      </c>
      <c r="CX1718" t="s">
        <v>1193</v>
      </c>
      <c r="CY1718">
        <v>1.61</v>
      </c>
      <c r="CZ1718">
        <v>0</v>
      </c>
      <c r="DA1718">
        <v>1.81</v>
      </c>
      <c r="DB1718">
        <v>-1.28</v>
      </c>
      <c r="DC1718">
        <v>0.22</v>
      </c>
      <c r="DD1718">
        <v>47.49</v>
      </c>
      <c r="DE1718" t="s">
        <v>8352</v>
      </c>
      <c r="DF1718">
        <v>24.97</v>
      </c>
      <c r="DG1718">
        <v>1.88</v>
      </c>
      <c r="DH1718">
        <v>52.82</v>
      </c>
      <c r="DI1718">
        <v>0.19</v>
      </c>
      <c r="DJ1718">
        <v>872</v>
      </c>
      <c r="DK1718">
        <v>300350</v>
      </c>
      <c r="DL1718">
        <v>20210809</v>
      </c>
      <c r="DM1718">
        <v>9.7200000000000006</v>
      </c>
      <c r="DN1718">
        <v>7.92</v>
      </c>
    </row>
    <row r="1719" spans="1:118">
      <c r="A1719" t="str">
        <f>"300351"</f>
        <v>300351</v>
      </c>
      <c r="B1719" t="s">
        <v>8749</v>
      </c>
      <c r="C1719">
        <v>-1.39</v>
      </c>
      <c r="D1719">
        <v>0</v>
      </c>
      <c r="E1719">
        <v>0.2</v>
      </c>
      <c r="F1719">
        <v>891</v>
      </c>
      <c r="G1719" t="s">
        <v>8750</v>
      </c>
      <c r="H1719">
        <v>8000.13</v>
      </c>
      <c r="I1719">
        <v>25.65</v>
      </c>
      <c r="J1719" t="s">
        <v>120</v>
      </c>
      <c r="K1719" t="s">
        <v>8751</v>
      </c>
      <c r="L1719">
        <v>3.1</v>
      </c>
      <c r="M1719">
        <v>9.9</v>
      </c>
      <c r="N1719">
        <v>1.37</v>
      </c>
      <c r="O1719">
        <v>6.08</v>
      </c>
      <c r="P1719">
        <v>10.65</v>
      </c>
      <c r="Q1719">
        <v>-1.69</v>
      </c>
      <c r="R1719">
        <v>9.8699999999999992</v>
      </c>
      <c r="S1719">
        <v>10.06</v>
      </c>
      <c r="T1719">
        <v>78432</v>
      </c>
      <c r="U1719">
        <v>9.92</v>
      </c>
      <c r="V1719">
        <v>10.039999999999999</v>
      </c>
      <c r="W1719">
        <v>33.04</v>
      </c>
      <c r="X1719" t="s">
        <v>229</v>
      </c>
      <c r="Y1719" t="s">
        <v>585</v>
      </c>
      <c r="Z1719">
        <v>7.77</v>
      </c>
      <c r="AA1719">
        <v>10.199999999999999</v>
      </c>
      <c r="AB1719">
        <v>49366</v>
      </c>
      <c r="AC1719">
        <v>29066</v>
      </c>
      <c r="AD1719">
        <v>1.7</v>
      </c>
      <c r="AE1719">
        <v>720</v>
      </c>
      <c r="AF1719">
        <v>52</v>
      </c>
      <c r="AG1719" t="s">
        <v>120</v>
      </c>
      <c r="AH1719">
        <v>0.01</v>
      </c>
      <c r="AI1719" t="s">
        <v>120</v>
      </c>
      <c r="AJ1719">
        <v>2.5299999999999998</v>
      </c>
      <c r="AK1719" t="s">
        <v>8752</v>
      </c>
      <c r="AL1719">
        <v>0.52</v>
      </c>
      <c r="AM1719">
        <v>1717</v>
      </c>
      <c r="AN1719">
        <v>46</v>
      </c>
      <c r="AO1719">
        <v>1.8E-3</v>
      </c>
      <c r="AP1719">
        <v>-3</v>
      </c>
      <c r="AQ1719">
        <v>-0.3</v>
      </c>
      <c r="AR1719">
        <v>-4.99</v>
      </c>
      <c r="AS1719">
        <v>3.88</v>
      </c>
      <c r="AT1719">
        <v>13.41</v>
      </c>
      <c r="AU1719">
        <v>5.55</v>
      </c>
      <c r="AV1719">
        <v>0</v>
      </c>
      <c r="AW1719">
        <v>4.5199999999999996</v>
      </c>
      <c r="AX1719">
        <v>45.23</v>
      </c>
      <c r="AY1719">
        <v>32.24</v>
      </c>
      <c r="AZ1719">
        <v>36.69</v>
      </c>
      <c r="BA1719">
        <v>0.52</v>
      </c>
      <c r="BB1719" t="s">
        <v>125</v>
      </c>
      <c r="BF1719">
        <v>1.6</v>
      </c>
      <c r="BG1719">
        <v>-1.59</v>
      </c>
      <c r="BH1719">
        <v>-7.04</v>
      </c>
      <c r="BI1719">
        <v>0.3</v>
      </c>
      <c r="BJ1719">
        <v>20210906</v>
      </c>
      <c r="BK1719">
        <v>20120920</v>
      </c>
      <c r="BL1719">
        <v>3.84</v>
      </c>
      <c r="BM1719" t="s">
        <v>120</v>
      </c>
      <c r="BN1719" t="s">
        <v>120</v>
      </c>
      <c r="BO1719">
        <v>25.22</v>
      </c>
      <c r="BP1719">
        <v>9.9</v>
      </c>
      <c r="BQ1719">
        <v>20.38</v>
      </c>
      <c r="BR1719">
        <v>0.43</v>
      </c>
      <c r="BS1719">
        <v>17.48</v>
      </c>
      <c r="BT1719">
        <v>18.57</v>
      </c>
      <c r="BU1719">
        <v>3.84</v>
      </c>
      <c r="BV1719">
        <v>0.79</v>
      </c>
      <c r="BW1719">
        <v>3.8</v>
      </c>
      <c r="BX1719">
        <v>5.87</v>
      </c>
      <c r="BY1719">
        <v>3.68</v>
      </c>
      <c r="BZ1719">
        <v>5.03</v>
      </c>
      <c r="CA1719">
        <v>0.01</v>
      </c>
      <c r="CB1719">
        <v>17.940000000000001</v>
      </c>
      <c r="CC1719">
        <v>4.68</v>
      </c>
      <c r="CD1719">
        <v>2.97</v>
      </c>
      <c r="CE1719">
        <v>0.57999999999999996</v>
      </c>
      <c r="CF1719">
        <v>0.05</v>
      </c>
      <c r="CG1719">
        <v>0.57999999999999996</v>
      </c>
      <c r="CH1719">
        <v>0.56999999999999995</v>
      </c>
      <c r="CI1719">
        <v>0.56999999999999995</v>
      </c>
      <c r="CJ1719">
        <v>-0.14000000000000001</v>
      </c>
      <c r="CK1719">
        <v>0.46</v>
      </c>
      <c r="CL1719">
        <v>-1.82</v>
      </c>
      <c r="CM1719">
        <v>-0.16</v>
      </c>
      <c r="CN1719">
        <v>-0.38</v>
      </c>
      <c r="CO1719">
        <v>16047</v>
      </c>
      <c r="CP1719">
        <v>10814</v>
      </c>
      <c r="CQ1719" t="s">
        <v>8753</v>
      </c>
      <c r="CR1719">
        <v>33.700000000000003</v>
      </c>
      <c r="CS1719">
        <v>-5.39</v>
      </c>
      <c r="CT1719">
        <v>1.86</v>
      </c>
      <c r="CU1719">
        <v>-238.97</v>
      </c>
      <c r="CV1719">
        <v>8.1199999999999992</v>
      </c>
      <c r="CW1719">
        <v>0</v>
      </c>
      <c r="CX1719" t="s">
        <v>373</v>
      </c>
      <c r="CY1719">
        <v>5.31</v>
      </c>
      <c r="CZ1719">
        <v>0</v>
      </c>
      <c r="DA1719">
        <v>4.68</v>
      </c>
      <c r="DB1719">
        <v>-0.47</v>
      </c>
      <c r="DC1719">
        <v>-0.04</v>
      </c>
      <c r="DD1719">
        <v>80.8</v>
      </c>
      <c r="DE1719" t="s">
        <v>7067</v>
      </c>
      <c r="DF1719">
        <v>36.49</v>
      </c>
      <c r="DG1719">
        <v>12.37</v>
      </c>
      <c r="DH1719">
        <v>12.29</v>
      </c>
      <c r="DI1719">
        <v>0.44</v>
      </c>
      <c r="DJ1719">
        <v>2425</v>
      </c>
      <c r="DK1719">
        <v>300351</v>
      </c>
      <c r="DL1719" t="s">
        <v>120</v>
      </c>
      <c r="DM1719" t="s">
        <v>120</v>
      </c>
      <c r="DN1719" t="s">
        <v>120</v>
      </c>
    </row>
    <row r="1720" spans="1:118">
      <c r="A1720" t="str">
        <f>"300352"</f>
        <v>300352</v>
      </c>
      <c r="B1720" t="s">
        <v>8754</v>
      </c>
      <c r="C1720">
        <v>-2.94</v>
      </c>
      <c r="D1720">
        <v>0</v>
      </c>
      <c r="E1720">
        <v>-0.44</v>
      </c>
      <c r="F1720">
        <v>8645</v>
      </c>
      <c r="G1720" t="s">
        <v>8755</v>
      </c>
      <c r="H1720">
        <v>41481.120000000003</v>
      </c>
      <c r="I1720">
        <v>299.74</v>
      </c>
      <c r="J1720" t="s">
        <v>120</v>
      </c>
      <c r="K1720" t="s">
        <v>8756</v>
      </c>
      <c r="L1720">
        <v>5.09</v>
      </c>
      <c r="M1720">
        <v>6.61</v>
      </c>
      <c r="N1720">
        <v>0.68</v>
      </c>
      <c r="O1720">
        <v>1.47</v>
      </c>
      <c r="P1720">
        <v>6.91</v>
      </c>
      <c r="Q1720">
        <v>-3.08</v>
      </c>
      <c r="R1720">
        <v>6.6</v>
      </c>
      <c r="S1720">
        <v>6.78</v>
      </c>
      <c r="T1720">
        <v>616036</v>
      </c>
      <c r="U1720">
        <v>6.61</v>
      </c>
      <c r="V1720">
        <v>6.81</v>
      </c>
      <c r="W1720">
        <v>145.88</v>
      </c>
      <c r="X1720" t="s">
        <v>141</v>
      </c>
      <c r="Y1720" t="s">
        <v>158</v>
      </c>
      <c r="Z1720">
        <v>4.55</v>
      </c>
      <c r="AA1720">
        <v>6.73</v>
      </c>
      <c r="AB1720">
        <v>360437</v>
      </c>
      <c r="AC1720">
        <v>255599</v>
      </c>
      <c r="AD1720">
        <v>1.41</v>
      </c>
      <c r="AE1720">
        <v>7120</v>
      </c>
      <c r="AF1720">
        <v>3573</v>
      </c>
      <c r="AG1720" t="s">
        <v>120</v>
      </c>
      <c r="AH1720">
        <v>0.04</v>
      </c>
      <c r="AI1720" t="s">
        <v>120</v>
      </c>
      <c r="AJ1720">
        <v>12.1</v>
      </c>
      <c r="AK1720" t="s">
        <v>8757</v>
      </c>
      <c r="AL1720">
        <v>-1.02</v>
      </c>
      <c r="AM1720">
        <v>4074</v>
      </c>
      <c r="AN1720">
        <v>151</v>
      </c>
      <c r="AO1720">
        <v>1.1999999999999999E-3</v>
      </c>
      <c r="AP1720">
        <v>-2</v>
      </c>
      <c r="AQ1720">
        <v>-2.0099999999999998</v>
      </c>
      <c r="AR1720">
        <v>0.46</v>
      </c>
      <c r="AS1720">
        <v>11.47</v>
      </c>
      <c r="AT1720">
        <v>-2.73</v>
      </c>
      <c r="AU1720">
        <v>18.760000000000002</v>
      </c>
      <c r="AV1720">
        <v>0</v>
      </c>
      <c r="AW1720">
        <v>5.43</v>
      </c>
      <c r="AX1720">
        <v>78.2</v>
      </c>
      <c r="AY1720">
        <v>355.9</v>
      </c>
      <c r="AZ1720">
        <v>383.58</v>
      </c>
      <c r="BA1720">
        <v>0.65</v>
      </c>
      <c r="BB1720" t="s">
        <v>143</v>
      </c>
      <c r="BF1720">
        <v>-1.1200000000000001</v>
      </c>
      <c r="BG1720">
        <v>-2.5099999999999998</v>
      </c>
      <c r="BH1720">
        <v>-4.34</v>
      </c>
      <c r="BI1720">
        <v>0.15</v>
      </c>
      <c r="BJ1720">
        <v>20210830</v>
      </c>
      <c r="BK1720">
        <v>20120912</v>
      </c>
      <c r="BL1720">
        <v>14.5</v>
      </c>
      <c r="BM1720" t="s">
        <v>120</v>
      </c>
      <c r="BN1720" t="s">
        <v>120</v>
      </c>
      <c r="BO1720">
        <v>31.93</v>
      </c>
      <c r="BP1720">
        <v>6.6</v>
      </c>
      <c r="BQ1720">
        <v>22.18</v>
      </c>
      <c r="BR1720">
        <v>-0.01</v>
      </c>
      <c r="BS1720">
        <v>30.56</v>
      </c>
      <c r="BT1720">
        <v>22.9</v>
      </c>
      <c r="BU1720">
        <v>0.82</v>
      </c>
      <c r="BV1720">
        <v>1.84</v>
      </c>
      <c r="BW1720">
        <v>9.3800000000000008</v>
      </c>
      <c r="BX1720">
        <v>0.83</v>
      </c>
      <c r="BY1720">
        <v>3.68</v>
      </c>
      <c r="BZ1720">
        <v>11.89</v>
      </c>
      <c r="CA1720">
        <v>0.03</v>
      </c>
      <c r="CB1720">
        <v>3.16</v>
      </c>
      <c r="CC1720">
        <v>3.39</v>
      </c>
      <c r="CD1720">
        <v>0.93</v>
      </c>
      <c r="CE1720">
        <v>0.39</v>
      </c>
      <c r="CF1720">
        <v>0.01</v>
      </c>
      <c r="CG1720">
        <v>0.32</v>
      </c>
      <c r="CH1720">
        <v>0.31</v>
      </c>
      <c r="CI1720">
        <v>0.33</v>
      </c>
      <c r="CJ1720">
        <v>-0.2</v>
      </c>
      <c r="CK1720">
        <v>0.35</v>
      </c>
      <c r="CL1720">
        <v>3.97</v>
      </c>
      <c r="CM1720">
        <v>-1.7</v>
      </c>
      <c r="CN1720">
        <v>-2.4500000000000002</v>
      </c>
      <c r="CO1720">
        <v>121440</v>
      </c>
      <c r="CP1720">
        <v>9336</v>
      </c>
      <c r="CQ1720" t="s">
        <v>3881</v>
      </c>
      <c r="CR1720">
        <v>6.49</v>
      </c>
      <c r="CS1720">
        <v>27.99</v>
      </c>
      <c r="CT1720">
        <v>4.32</v>
      </c>
      <c r="CU1720">
        <v>-56.27</v>
      </c>
      <c r="CV1720">
        <v>28.24</v>
      </c>
      <c r="CW1720">
        <v>0.06</v>
      </c>
      <c r="CX1720" t="s">
        <v>8184</v>
      </c>
      <c r="CY1720">
        <v>1.53</v>
      </c>
      <c r="CZ1720">
        <v>0</v>
      </c>
      <c r="DA1720">
        <v>0.22</v>
      </c>
      <c r="DB1720">
        <v>0.27</v>
      </c>
      <c r="DC1720">
        <v>-0.12</v>
      </c>
      <c r="DD1720">
        <v>69.47</v>
      </c>
      <c r="DE1720" t="s">
        <v>680</v>
      </c>
      <c r="DF1720">
        <v>72.52</v>
      </c>
      <c r="DG1720">
        <v>11.38</v>
      </c>
      <c r="DH1720">
        <v>9.68</v>
      </c>
      <c r="DI1720">
        <v>0.52</v>
      </c>
      <c r="DJ1720">
        <v>1459</v>
      </c>
      <c r="DK1720">
        <v>300352</v>
      </c>
      <c r="DL1720">
        <v>20210831</v>
      </c>
      <c r="DM1720">
        <v>6.98</v>
      </c>
      <c r="DN1720">
        <v>-5.3</v>
      </c>
    </row>
    <row r="1721" spans="1:118">
      <c r="A1721" t="str">
        <f>"300353"</f>
        <v>300353</v>
      </c>
      <c r="B1721" t="s">
        <v>8758</v>
      </c>
      <c r="C1721">
        <v>-5.1100000000000003</v>
      </c>
      <c r="D1721">
        <v>-0.1</v>
      </c>
      <c r="E1721">
        <v>-0.83</v>
      </c>
      <c r="F1721">
        <v>1440</v>
      </c>
      <c r="G1721" t="s">
        <v>8759</v>
      </c>
      <c r="H1721">
        <v>11824.04</v>
      </c>
      <c r="I1721">
        <v>11.98</v>
      </c>
      <c r="J1721" t="s">
        <v>120</v>
      </c>
      <c r="K1721" t="s">
        <v>8760</v>
      </c>
      <c r="L1721">
        <v>3.16</v>
      </c>
      <c r="M1721">
        <v>9.1</v>
      </c>
      <c r="N1721">
        <v>1.08</v>
      </c>
      <c r="O1721">
        <v>-0.21</v>
      </c>
      <c r="P1721">
        <v>9.57</v>
      </c>
      <c r="Q1721">
        <v>-5.21</v>
      </c>
      <c r="R1721">
        <v>9.09</v>
      </c>
      <c r="S1721">
        <v>9.51</v>
      </c>
      <c r="T1721">
        <v>127001</v>
      </c>
      <c r="U1721">
        <v>9.11</v>
      </c>
      <c r="V1721">
        <v>9.59</v>
      </c>
      <c r="W1721" t="s">
        <v>120</v>
      </c>
      <c r="X1721" t="s">
        <v>462</v>
      </c>
      <c r="Y1721" t="s">
        <v>158</v>
      </c>
      <c r="Z1721">
        <v>5.01</v>
      </c>
      <c r="AA1721">
        <v>9.31</v>
      </c>
      <c r="AB1721">
        <v>75440</v>
      </c>
      <c r="AC1721">
        <v>51561</v>
      </c>
      <c r="AD1721">
        <v>1.46</v>
      </c>
      <c r="AE1721">
        <v>1289</v>
      </c>
      <c r="AF1721">
        <v>204</v>
      </c>
      <c r="AG1721" t="s">
        <v>120</v>
      </c>
      <c r="AH1721">
        <v>0</v>
      </c>
      <c r="AI1721" t="s">
        <v>120</v>
      </c>
      <c r="AJ1721">
        <v>4.0199999999999996</v>
      </c>
      <c r="AK1721" t="s">
        <v>8761</v>
      </c>
      <c r="AL1721">
        <v>-3.2</v>
      </c>
      <c r="AM1721">
        <v>2406</v>
      </c>
      <c r="AN1721">
        <v>53</v>
      </c>
      <c r="AO1721">
        <v>1.2999999999999999E-3</v>
      </c>
      <c r="AP1721">
        <v>-2</v>
      </c>
      <c r="AQ1721">
        <v>-0.62</v>
      </c>
      <c r="AR1721">
        <v>-3.7</v>
      </c>
      <c r="AS1721">
        <v>-6.18</v>
      </c>
      <c r="AT1721">
        <v>-16.05</v>
      </c>
      <c r="AU1721">
        <v>1.45</v>
      </c>
      <c r="AV1721">
        <v>1</v>
      </c>
      <c r="AW1721">
        <v>3.31</v>
      </c>
      <c r="AX1721">
        <v>75.17</v>
      </c>
      <c r="AY1721" t="s">
        <v>120</v>
      </c>
      <c r="AZ1721" t="s">
        <v>120</v>
      </c>
      <c r="BA1721">
        <v>1.1000000000000001</v>
      </c>
      <c r="BB1721" t="s">
        <v>143</v>
      </c>
      <c r="BF1721">
        <v>-2.92</v>
      </c>
      <c r="BG1721">
        <v>-4.3099999999999996</v>
      </c>
      <c r="BH1721">
        <v>-4.91</v>
      </c>
      <c r="BI1721">
        <v>0.11</v>
      </c>
      <c r="BJ1721">
        <v>20210818</v>
      </c>
      <c r="BK1721">
        <v>20120927</v>
      </c>
      <c r="BL1721">
        <v>5.1100000000000003</v>
      </c>
      <c r="BM1721" t="s">
        <v>120</v>
      </c>
      <c r="BN1721" t="s">
        <v>120</v>
      </c>
      <c r="BO1721">
        <v>23.26</v>
      </c>
      <c r="BP1721">
        <v>9.1</v>
      </c>
      <c r="BQ1721">
        <v>7.79</v>
      </c>
      <c r="BR1721">
        <v>1.02</v>
      </c>
      <c r="BS1721">
        <v>62.14</v>
      </c>
      <c r="BT1721">
        <v>13.84</v>
      </c>
      <c r="BU1721">
        <v>3.8</v>
      </c>
      <c r="BV1721">
        <v>1.91</v>
      </c>
      <c r="BW1721">
        <v>7.23</v>
      </c>
      <c r="BX1721">
        <v>3.43</v>
      </c>
      <c r="BY1721">
        <v>2.27</v>
      </c>
      <c r="BZ1721">
        <v>4.92</v>
      </c>
      <c r="CA1721">
        <v>0</v>
      </c>
      <c r="CB1721">
        <v>12.33</v>
      </c>
      <c r="CC1721">
        <v>3.64</v>
      </c>
      <c r="CD1721">
        <v>2.09</v>
      </c>
      <c r="CE1721">
        <v>-0.46</v>
      </c>
      <c r="CF1721">
        <v>0.84</v>
      </c>
      <c r="CG1721">
        <v>-0.42</v>
      </c>
      <c r="CH1721">
        <v>-0.31</v>
      </c>
      <c r="CI1721">
        <v>-0.25</v>
      </c>
      <c r="CJ1721">
        <v>-0.49</v>
      </c>
      <c r="CK1721">
        <v>-0.56000000000000005</v>
      </c>
      <c r="CL1721">
        <v>-10.07</v>
      </c>
      <c r="CM1721">
        <v>0.39</v>
      </c>
      <c r="CN1721">
        <v>-0.69</v>
      </c>
      <c r="CO1721">
        <v>50533</v>
      </c>
      <c r="CP1721">
        <v>7601</v>
      </c>
      <c r="CQ1721" t="s">
        <v>7556</v>
      </c>
      <c r="CR1721">
        <v>59.29</v>
      </c>
      <c r="CS1721">
        <v>37.729999999999997</v>
      </c>
      <c r="CT1721">
        <v>5.97</v>
      </c>
      <c r="CU1721">
        <v>117.99</v>
      </c>
      <c r="CV1721">
        <v>12.78</v>
      </c>
      <c r="CW1721">
        <v>0</v>
      </c>
      <c r="CX1721" t="s">
        <v>161</v>
      </c>
      <c r="CY1721">
        <v>1.52</v>
      </c>
      <c r="CZ1721">
        <v>0</v>
      </c>
      <c r="DA1721">
        <v>2.41</v>
      </c>
      <c r="DB1721">
        <v>-1.97</v>
      </c>
      <c r="DC1721">
        <v>0.08</v>
      </c>
      <c r="DD1721">
        <v>33.49</v>
      </c>
      <c r="DE1721" t="s">
        <v>8762</v>
      </c>
      <c r="DF1721">
        <v>42.48</v>
      </c>
      <c r="DG1721">
        <v>-12.52</v>
      </c>
      <c r="DH1721">
        <v>-6.99</v>
      </c>
      <c r="DI1721">
        <v>0.81</v>
      </c>
      <c r="DJ1721">
        <v>1547</v>
      </c>
      <c r="DK1721">
        <v>300353</v>
      </c>
      <c r="DL1721" t="s">
        <v>120</v>
      </c>
      <c r="DM1721" t="s">
        <v>120</v>
      </c>
      <c r="DN1721" t="s">
        <v>120</v>
      </c>
    </row>
    <row r="1722" spans="1:118">
      <c r="A1722" t="str">
        <f>"300354"</f>
        <v>300354</v>
      </c>
      <c r="B1722" t="s">
        <v>8763</v>
      </c>
      <c r="C1722">
        <v>4.59</v>
      </c>
      <c r="D1722">
        <v>0</v>
      </c>
      <c r="E1722">
        <v>0</v>
      </c>
      <c r="F1722">
        <v>1825</v>
      </c>
      <c r="G1722" t="s">
        <v>8764</v>
      </c>
      <c r="H1722">
        <v>20226.79</v>
      </c>
      <c r="I1722">
        <v>57.81</v>
      </c>
      <c r="J1722" t="s">
        <v>120</v>
      </c>
      <c r="K1722" t="s">
        <v>8168</v>
      </c>
      <c r="L1722">
        <v>7.37</v>
      </c>
      <c r="M1722">
        <v>35.78</v>
      </c>
      <c r="N1722">
        <v>1.01</v>
      </c>
      <c r="O1722">
        <v>7.13</v>
      </c>
      <c r="P1722">
        <v>36.65</v>
      </c>
      <c r="Q1722">
        <v>-2.4</v>
      </c>
      <c r="R1722">
        <v>33.39</v>
      </c>
      <c r="S1722">
        <v>34.21</v>
      </c>
      <c r="T1722">
        <v>57896</v>
      </c>
      <c r="U1722">
        <v>35.78</v>
      </c>
      <c r="V1722">
        <v>34.21</v>
      </c>
      <c r="W1722">
        <v>159</v>
      </c>
      <c r="X1722" t="s">
        <v>2717</v>
      </c>
      <c r="Y1722" t="s">
        <v>319</v>
      </c>
      <c r="Z1722">
        <v>9.5299999999999994</v>
      </c>
      <c r="AA1722">
        <v>34.94</v>
      </c>
      <c r="AB1722">
        <v>32749</v>
      </c>
      <c r="AC1722">
        <v>25147</v>
      </c>
      <c r="AD1722">
        <v>1.3</v>
      </c>
      <c r="AE1722">
        <v>57</v>
      </c>
      <c r="AF1722">
        <v>305</v>
      </c>
      <c r="AG1722" t="s">
        <v>120</v>
      </c>
      <c r="AH1722">
        <v>0.03</v>
      </c>
      <c r="AI1722" t="s">
        <v>120</v>
      </c>
      <c r="AJ1722">
        <v>0.79</v>
      </c>
      <c r="AK1722" t="s">
        <v>8765</v>
      </c>
      <c r="AL1722">
        <v>6.5</v>
      </c>
      <c r="AM1722">
        <v>2919</v>
      </c>
      <c r="AN1722">
        <v>20</v>
      </c>
      <c r="AO1722">
        <v>2.5000000000000001E-3</v>
      </c>
      <c r="AP1722">
        <v>2</v>
      </c>
      <c r="AQ1722">
        <v>2.33</v>
      </c>
      <c r="AR1722">
        <v>2.96</v>
      </c>
      <c r="AS1722">
        <v>36.409999999999997</v>
      </c>
      <c r="AT1722">
        <v>110.1</v>
      </c>
      <c r="AU1722">
        <v>150.38999999999999</v>
      </c>
      <c r="AV1722">
        <v>2</v>
      </c>
      <c r="AW1722">
        <v>9.64</v>
      </c>
      <c r="AX1722">
        <v>43.42</v>
      </c>
      <c r="AY1722">
        <v>75.77</v>
      </c>
      <c r="AZ1722">
        <v>93.97</v>
      </c>
      <c r="BA1722">
        <v>2.0099999999999998</v>
      </c>
      <c r="BB1722" t="s">
        <v>143</v>
      </c>
      <c r="BF1722">
        <v>2.12</v>
      </c>
      <c r="BG1722">
        <v>4.59</v>
      </c>
      <c r="BH1722">
        <v>-2.37</v>
      </c>
      <c r="BI1722">
        <v>7.16</v>
      </c>
      <c r="BJ1722">
        <v>20210803</v>
      </c>
      <c r="BK1722">
        <v>20120920</v>
      </c>
      <c r="BL1722">
        <v>1.38</v>
      </c>
      <c r="BM1722" t="s">
        <v>120</v>
      </c>
      <c r="BN1722" t="s">
        <v>120</v>
      </c>
      <c r="BO1722">
        <v>4.8099999999999996</v>
      </c>
      <c r="BP1722">
        <v>35.770000000000003</v>
      </c>
      <c r="BQ1722">
        <v>4.28</v>
      </c>
      <c r="BR1722" t="s">
        <v>120</v>
      </c>
      <c r="BS1722">
        <v>11.02</v>
      </c>
      <c r="BT1722">
        <v>3.3</v>
      </c>
      <c r="BU1722">
        <v>1.1399999999999999</v>
      </c>
      <c r="BV1722">
        <v>0.15</v>
      </c>
      <c r="BW1722">
        <v>0.47</v>
      </c>
      <c r="BX1722">
        <v>0.82</v>
      </c>
      <c r="BY1722">
        <v>1.17</v>
      </c>
      <c r="BZ1722">
        <v>0.99</v>
      </c>
      <c r="CA1722" t="s">
        <v>120</v>
      </c>
      <c r="CB1722">
        <v>1.04</v>
      </c>
      <c r="CC1722">
        <v>1.03</v>
      </c>
      <c r="CD1722">
        <v>0.36</v>
      </c>
      <c r="CE1722">
        <v>0.17</v>
      </c>
      <c r="CF1722">
        <v>0</v>
      </c>
      <c r="CG1722">
        <v>0.17</v>
      </c>
      <c r="CH1722">
        <v>0.16</v>
      </c>
      <c r="CI1722">
        <v>0.16</v>
      </c>
      <c r="CJ1722">
        <v>1.57</v>
      </c>
      <c r="CK1722">
        <v>0.15</v>
      </c>
      <c r="CL1722">
        <v>1.61</v>
      </c>
      <c r="CM1722">
        <v>-0.12</v>
      </c>
      <c r="CN1722">
        <v>-0.38</v>
      </c>
      <c r="CO1722">
        <v>9902</v>
      </c>
      <c r="CP1722">
        <v>6065</v>
      </c>
      <c r="CQ1722" t="s">
        <v>8766</v>
      </c>
      <c r="CR1722">
        <v>348.39</v>
      </c>
      <c r="CS1722">
        <v>47.23</v>
      </c>
      <c r="CT1722">
        <v>11.57</v>
      </c>
      <c r="CU1722">
        <v>-420.21</v>
      </c>
      <c r="CV1722">
        <v>48.26</v>
      </c>
      <c r="CW1722">
        <v>0.32</v>
      </c>
      <c r="CX1722" t="s">
        <v>1147</v>
      </c>
      <c r="CY1722">
        <v>3.09</v>
      </c>
      <c r="CZ1722">
        <v>0</v>
      </c>
      <c r="DA1722">
        <v>0.75</v>
      </c>
      <c r="DB1722">
        <v>1.17</v>
      </c>
      <c r="DC1722">
        <v>-0.09</v>
      </c>
      <c r="DD1722">
        <v>88.98</v>
      </c>
      <c r="DE1722" t="s">
        <v>1141</v>
      </c>
      <c r="DF1722">
        <v>65.239999999999995</v>
      </c>
      <c r="DG1722">
        <v>16.71</v>
      </c>
      <c r="DH1722">
        <v>15.18</v>
      </c>
      <c r="DI1722">
        <v>0.13</v>
      </c>
      <c r="DJ1722">
        <v>566</v>
      </c>
      <c r="DK1722">
        <v>300354</v>
      </c>
      <c r="DL1722">
        <v>20210907</v>
      </c>
      <c r="DM1722">
        <v>31.72</v>
      </c>
      <c r="DN1722">
        <v>12.8</v>
      </c>
    </row>
    <row r="1723" spans="1:118">
      <c r="A1723" t="str">
        <f>"300355"</f>
        <v>300355</v>
      </c>
      <c r="B1723" t="s">
        <v>8767</v>
      </c>
      <c r="C1723">
        <v>-5.66</v>
      </c>
      <c r="D1723">
        <v>-0.21</v>
      </c>
      <c r="E1723">
        <v>0.84</v>
      </c>
      <c r="F1723">
        <v>14931</v>
      </c>
      <c r="G1723" t="s">
        <v>8768</v>
      </c>
      <c r="H1723">
        <v>42782.94</v>
      </c>
      <c r="I1723">
        <v>530.54</v>
      </c>
      <c r="J1723" t="s">
        <v>120</v>
      </c>
      <c r="K1723" t="s">
        <v>8769</v>
      </c>
      <c r="L1723">
        <v>7.07</v>
      </c>
      <c r="M1723">
        <v>4.5</v>
      </c>
      <c r="N1723">
        <v>0.86</v>
      </c>
      <c r="O1723">
        <v>1.68</v>
      </c>
      <c r="P1723">
        <v>4.8499999999999996</v>
      </c>
      <c r="Q1723">
        <v>-5.66</v>
      </c>
      <c r="R1723">
        <v>4.5</v>
      </c>
      <c r="S1723">
        <v>4.8099999999999996</v>
      </c>
      <c r="T1723">
        <v>924648</v>
      </c>
      <c r="U1723">
        <v>4.51</v>
      </c>
      <c r="V1723">
        <v>4.7699999999999996</v>
      </c>
      <c r="W1723">
        <v>27.53</v>
      </c>
      <c r="X1723" t="s">
        <v>318</v>
      </c>
      <c r="Y1723" t="s">
        <v>785</v>
      </c>
      <c r="Z1723">
        <v>7.34</v>
      </c>
      <c r="AA1723">
        <v>4.63</v>
      </c>
      <c r="AB1723">
        <v>574347</v>
      </c>
      <c r="AC1723">
        <v>350301</v>
      </c>
      <c r="AD1723">
        <v>1.64</v>
      </c>
      <c r="AE1723">
        <v>9761</v>
      </c>
      <c r="AF1723">
        <v>914</v>
      </c>
      <c r="AG1723" t="s">
        <v>120</v>
      </c>
      <c r="AH1723">
        <v>0.09</v>
      </c>
      <c r="AI1723" t="s">
        <v>120</v>
      </c>
      <c r="AJ1723">
        <v>13.08</v>
      </c>
      <c r="AK1723" t="s">
        <v>8770</v>
      </c>
      <c r="AL1723">
        <v>-3.75</v>
      </c>
      <c r="AM1723">
        <v>3853</v>
      </c>
      <c r="AN1723">
        <v>240</v>
      </c>
      <c r="AO1723">
        <v>1.8E-3</v>
      </c>
      <c r="AP1723">
        <v>-1</v>
      </c>
      <c r="AQ1723">
        <v>4.6100000000000003</v>
      </c>
      <c r="AR1723">
        <v>-6.05</v>
      </c>
      <c r="AS1723">
        <v>13.07</v>
      </c>
      <c r="AT1723">
        <v>4.22</v>
      </c>
      <c r="AU1723">
        <v>26.47</v>
      </c>
      <c r="AV1723">
        <v>0</v>
      </c>
      <c r="AW1723">
        <v>7.51</v>
      </c>
      <c r="AX1723">
        <v>76.75</v>
      </c>
      <c r="AY1723">
        <v>25.39</v>
      </c>
      <c r="AZ1723">
        <v>32.97</v>
      </c>
      <c r="BA1723">
        <v>0.17</v>
      </c>
      <c r="BB1723" t="s">
        <v>184</v>
      </c>
      <c r="BF1723">
        <v>-3</v>
      </c>
      <c r="BG1723">
        <v>-6.44</v>
      </c>
      <c r="BH1723">
        <v>-7.22</v>
      </c>
      <c r="BI1723">
        <v>0</v>
      </c>
      <c r="BJ1723">
        <v>20210903</v>
      </c>
      <c r="BK1723">
        <v>20120927</v>
      </c>
      <c r="BL1723">
        <v>16.04</v>
      </c>
      <c r="BM1723" t="s">
        <v>120</v>
      </c>
      <c r="BN1723" t="s">
        <v>120</v>
      </c>
      <c r="BO1723">
        <v>152.13999999999999</v>
      </c>
      <c r="BP1723">
        <v>4.5</v>
      </c>
      <c r="BQ1723">
        <v>49.12</v>
      </c>
      <c r="BR1723">
        <v>7.34</v>
      </c>
      <c r="BS1723">
        <v>62.89</v>
      </c>
      <c r="BT1723">
        <v>55.74</v>
      </c>
      <c r="BU1723">
        <v>4.29</v>
      </c>
      <c r="BV1723">
        <v>19.39</v>
      </c>
      <c r="BW1723">
        <v>59.34</v>
      </c>
      <c r="BX1723">
        <v>4.3099999999999996</v>
      </c>
      <c r="BY1723">
        <v>2</v>
      </c>
      <c r="BZ1723">
        <v>22.63</v>
      </c>
      <c r="CA1723" t="s">
        <v>120</v>
      </c>
      <c r="CB1723">
        <v>2.82</v>
      </c>
      <c r="CC1723">
        <v>9.7799999999999994</v>
      </c>
      <c r="CD1723">
        <v>5.79</v>
      </c>
      <c r="CE1723">
        <v>2.1</v>
      </c>
      <c r="CF1723">
        <v>-0.76</v>
      </c>
      <c r="CG1723">
        <v>2.0499999999999998</v>
      </c>
      <c r="CH1723">
        <v>1.72</v>
      </c>
      <c r="CI1723">
        <v>1.31</v>
      </c>
      <c r="CJ1723">
        <v>-0.27</v>
      </c>
      <c r="CK1723">
        <v>1.06</v>
      </c>
      <c r="CL1723">
        <v>17.95</v>
      </c>
      <c r="CM1723">
        <v>1.88</v>
      </c>
      <c r="CN1723">
        <v>-1.76</v>
      </c>
      <c r="CO1723">
        <v>71300</v>
      </c>
      <c r="CP1723">
        <v>17268</v>
      </c>
      <c r="CQ1723" t="s">
        <v>8771</v>
      </c>
      <c r="CR1723">
        <v>111.9</v>
      </c>
      <c r="CS1723">
        <v>7.9</v>
      </c>
      <c r="CT1723">
        <v>1.75</v>
      </c>
      <c r="CU1723">
        <v>38.36</v>
      </c>
      <c r="CV1723">
        <v>7.38</v>
      </c>
      <c r="CW1723">
        <v>0.46</v>
      </c>
      <c r="CX1723" t="s">
        <v>535</v>
      </c>
      <c r="CY1723">
        <v>2.57</v>
      </c>
      <c r="CZ1723">
        <v>2.57</v>
      </c>
      <c r="DA1723">
        <v>0.18</v>
      </c>
      <c r="DB1723">
        <v>1.1200000000000001</v>
      </c>
      <c r="DC1723">
        <v>0.12</v>
      </c>
      <c r="DD1723">
        <v>32.29</v>
      </c>
      <c r="DE1723" t="s">
        <v>1846</v>
      </c>
      <c r="DF1723">
        <v>40.770000000000003</v>
      </c>
      <c r="DG1723">
        <v>21.43</v>
      </c>
      <c r="DH1723">
        <v>13.41</v>
      </c>
      <c r="DI1723">
        <v>0.6</v>
      </c>
      <c r="DJ1723">
        <v>936</v>
      </c>
      <c r="DK1723">
        <v>300355</v>
      </c>
      <c r="DL1723" t="s">
        <v>120</v>
      </c>
      <c r="DM1723" t="s">
        <v>120</v>
      </c>
      <c r="DN1723" t="s">
        <v>120</v>
      </c>
    </row>
    <row r="1724" spans="1:118">
      <c r="A1724" t="str">
        <f>"300357"</f>
        <v>300357</v>
      </c>
      <c r="B1724" t="s">
        <v>8772</v>
      </c>
      <c r="C1724">
        <v>-0.56000000000000005</v>
      </c>
      <c r="D1724">
        <v>-0.01</v>
      </c>
      <c r="E1724">
        <v>1.1200000000000001</v>
      </c>
      <c r="F1724">
        <v>407</v>
      </c>
      <c r="G1724" t="s">
        <v>8773</v>
      </c>
      <c r="H1724">
        <v>13984.63</v>
      </c>
      <c r="I1724">
        <v>38.03</v>
      </c>
      <c r="J1724" t="s">
        <v>120</v>
      </c>
      <c r="K1724" t="s">
        <v>8774</v>
      </c>
      <c r="L1724">
        <v>0.59</v>
      </c>
      <c r="M1724">
        <v>49.86</v>
      </c>
      <c r="N1724">
        <v>0.93</v>
      </c>
      <c r="O1724">
        <v>1.64</v>
      </c>
      <c r="P1724">
        <v>50.96</v>
      </c>
      <c r="Q1724">
        <v>-0.56000000000000005</v>
      </c>
      <c r="R1724">
        <v>49.86</v>
      </c>
      <c r="S1724">
        <v>50.7</v>
      </c>
      <c r="T1724">
        <v>27782</v>
      </c>
      <c r="U1724">
        <v>49.87</v>
      </c>
      <c r="V1724">
        <v>50.14</v>
      </c>
      <c r="W1724">
        <v>88.6</v>
      </c>
      <c r="X1724" t="s">
        <v>666</v>
      </c>
      <c r="Y1724" t="s">
        <v>585</v>
      </c>
      <c r="Z1724">
        <v>2.19</v>
      </c>
      <c r="AA1724">
        <v>50.34</v>
      </c>
      <c r="AB1724">
        <v>14928</v>
      </c>
      <c r="AC1724">
        <v>12854</v>
      </c>
      <c r="AD1724">
        <v>1.1599999999999999</v>
      </c>
      <c r="AE1724">
        <v>39</v>
      </c>
      <c r="AF1724">
        <v>112</v>
      </c>
      <c r="AG1724" t="s">
        <v>120</v>
      </c>
      <c r="AH1724">
        <v>0</v>
      </c>
      <c r="AI1724" t="s">
        <v>120</v>
      </c>
      <c r="AJ1724">
        <v>4.71</v>
      </c>
      <c r="AK1724" t="s">
        <v>8775</v>
      </c>
      <c r="AL1724">
        <v>1.36</v>
      </c>
      <c r="AM1724">
        <v>2788</v>
      </c>
      <c r="AN1724">
        <v>10</v>
      </c>
      <c r="AO1724">
        <v>2.0000000000000001E-4</v>
      </c>
      <c r="AP1724">
        <v>-2</v>
      </c>
      <c r="AQ1724">
        <v>-3.8</v>
      </c>
      <c r="AR1724">
        <v>-3.31</v>
      </c>
      <c r="AS1724">
        <v>-15.41</v>
      </c>
      <c r="AT1724">
        <v>-22.83</v>
      </c>
      <c r="AU1724">
        <v>-34.86</v>
      </c>
      <c r="AV1724">
        <v>1</v>
      </c>
      <c r="AW1724">
        <v>1.0900000000000001</v>
      </c>
      <c r="AX1724">
        <v>48.52</v>
      </c>
      <c r="AY1724">
        <v>82.37</v>
      </c>
      <c r="AZ1724">
        <v>94.28</v>
      </c>
      <c r="BA1724">
        <v>1.03</v>
      </c>
      <c r="BB1724" t="s">
        <v>125</v>
      </c>
      <c r="BF1724">
        <v>0.39</v>
      </c>
      <c r="BG1724">
        <v>-1.66</v>
      </c>
      <c r="BH1724">
        <v>-2.16</v>
      </c>
      <c r="BI1724">
        <v>0</v>
      </c>
      <c r="BJ1724">
        <v>20210827</v>
      </c>
      <c r="BK1724">
        <v>20140121</v>
      </c>
      <c r="BL1724">
        <v>5.24</v>
      </c>
      <c r="BM1724" t="s">
        <v>120</v>
      </c>
      <c r="BN1724" t="s">
        <v>120</v>
      </c>
      <c r="BO1724">
        <v>16.73</v>
      </c>
      <c r="BP1724">
        <v>49.86</v>
      </c>
      <c r="BQ1724">
        <v>15.19</v>
      </c>
      <c r="BR1724">
        <v>0.67</v>
      </c>
      <c r="BS1724">
        <v>5.17</v>
      </c>
      <c r="BT1724">
        <v>11.92</v>
      </c>
      <c r="BU1724">
        <v>1.57</v>
      </c>
      <c r="BV1724">
        <v>0.98</v>
      </c>
      <c r="BW1724">
        <v>0.57999999999999996</v>
      </c>
      <c r="BX1724">
        <v>6.91</v>
      </c>
      <c r="BY1724">
        <v>0.51</v>
      </c>
      <c r="BZ1724">
        <v>1.66</v>
      </c>
      <c r="CA1724" t="s">
        <v>120</v>
      </c>
      <c r="CB1724">
        <v>1.28</v>
      </c>
      <c r="CC1724">
        <v>3.48</v>
      </c>
      <c r="CD1724">
        <v>0.15</v>
      </c>
      <c r="CE1724">
        <v>1.68</v>
      </c>
      <c r="CF1724">
        <v>0.02</v>
      </c>
      <c r="CG1724">
        <v>1.7</v>
      </c>
      <c r="CH1724">
        <v>1.42</v>
      </c>
      <c r="CI1724">
        <v>1.47</v>
      </c>
      <c r="CJ1724">
        <v>-0.28000000000000003</v>
      </c>
      <c r="CK1724">
        <v>1.33</v>
      </c>
      <c r="CL1724">
        <v>7.11</v>
      </c>
      <c r="CM1724">
        <v>1.42</v>
      </c>
      <c r="CN1724">
        <v>1</v>
      </c>
      <c r="CO1724">
        <v>28136</v>
      </c>
      <c r="CP1724">
        <v>9029</v>
      </c>
      <c r="CQ1724" t="s">
        <v>8776</v>
      </c>
      <c r="CR1724">
        <v>37.61</v>
      </c>
      <c r="CS1724">
        <v>33.99</v>
      </c>
      <c r="CT1724">
        <v>17.18</v>
      </c>
      <c r="CU1724">
        <v>184.48</v>
      </c>
      <c r="CV1724">
        <v>75.099999999999994</v>
      </c>
      <c r="CW1724">
        <v>0.32</v>
      </c>
      <c r="CX1724" t="s">
        <v>6020</v>
      </c>
      <c r="CY1724">
        <v>2.9</v>
      </c>
      <c r="CZ1724">
        <v>0</v>
      </c>
      <c r="DA1724">
        <v>0.24</v>
      </c>
      <c r="DB1724">
        <v>1.36</v>
      </c>
      <c r="DC1724">
        <v>0.27</v>
      </c>
      <c r="DD1724">
        <v>90.82</v>
      </c>
      <c r="DE1724" t="s">
        <v>5289</v>
      </c>
      <c r="DF1724">
        <v>95.66</v>
      </c>
      <c r="DG1724">
        <v>48.23</v>
      </c>
      <c r="DH1724">
        <v>42.38</v>
      </c>
      <c r="DI1724">
        <v>0.39</v>
      </c>
      <c r="DJ1724">
        <v>1359</v>
      </c>
      <c r="DK1724">
        <v>300357</v>
      </c>
      <c r="DL1724" t="s">
        <v>120</v>
      </c>
      <c r="DM1724" t="s">
        <v>120</v>
      </c>
      <c r="DN1724" t="s">
        <v>120</v>
      </c>
    </row>
    <row r="1725" spans="1:118">
      <c r="A1725" t="str">
        <f>"300358"</f>
        <v>300358</v>
      </c>
      <c r="B1725" t="s">
        <v>8777</v>
      </c>
      <c r="C1725">
        <v>-6.48</v>
      </c>
      <c r="D1725">
        <v>-0.23</v>
      </c>
      <c r="E1725">
        <v>0.36</v>
      </c>
      <c r="F1725">
        <v>1768</v>
      </c>
      <c r="G1725" t="s">
        <v>8778</v>
      </c>
      <c r="H1725">
        <v>42839.53</v>
      </c>
      <c r="I1725">
        <v>25.74</v>
      </c>
      <c r="J1725" t="s">
        <v>120</v>
      </c>
      <c r="K1725" t="s">
        <v>2897</v>
      </c>
      <c r="L1725">
        <v>4.4400000000000004</v>
      </c>
      <c r="M1725">
        <v>20.5</v>
      </c>
      <c r="N1725">
        <v>1.67</v>
      </c>
      <c r="O1725">
        <v>0.55000000000000004</v>
      </c>
      <c r="P1725">
        <v>22.04</v>
      </c>
      <c r="Q1725">
        <v>-6.48</v>
      </c>
      <c r="R1725">
        <v>20.5</v>
      </c>
      <c r="S1725">
        <v>22</v>
      </c>
      <c r="T1725">
        <v>202881</v>
      </c>
      <c r="U1725">
        <v>20.5</v>
      </c>
      <c r="V1725">
        <v>21.92</v>
      </c>
      <c r="W1725">
        <v>24.56</v>
      </c>
      <c r="X1725" t="s">
        <v>555</v>
      </c>
      <c r="Y1725" t="s">
        <v>594</v>
      </c>
      <c r="Z1725">
        <v>7.03</v>
      </c>
      <c r="AA1725">
        <v>21.12</v>
      </c>
      <c r="AB1725">
        <v>95197</v>
      </c>
      <c r="AC1725">
        <v>107684</v>
      </c>
      <c r="AD1725">
        <v>0.88</v>
      </c>
      <c r="AE1725">
        <v>3</v>
      </c>
      <c r="AF1725">
        <v>104</v>
      </c>
      <c r="AG1725" t="s">
        <v>120</v>
      </c>
      <c r="AH1725">
        <v>0.01</v>
      </c>
      <c r="AI1725" t="s">
        <v>120</v>
      </c>
      <c r="AJ1725">
        <v>4.57</v>
      </c>
      <c r="AK1725" t="s">
        <v>8779</v>
      </c>
      <c r="AL1725">
        <v>-4.5599999999999996</v>
      </c>
      <c r="AM1725">
        <v>4151</v>
      </c>
      <c r="AN1725">
        <v>49</v>
      </c>
      <c r="AO1725">
        <v>1.1000000000000001E-3</v>
      </c>
      <c r="AP1725">
        <v>-7</v>
      </c>
      <c r="AQ1725">
        <v>-0.86</v>
      </c>
      <c r="AR1725">
        <v>-8.32</v>
      </c>
      <c r="AS1725">
        <v>-26</v>
      </c>
      <c r="AT1725">
        <v>9.39</v>
      </c>
      <c r="AU1725">
        <v>86.71</v>
      </c>
      <c r="AV1725">
        <v>1</v>
      </c>
      <c r="AW1725">
        <v>8.68</v>
      </c>
      <c r="AX1725">
        <v>41.26</v>
      </c>
      <c r="AY1725">
        <v>29.54</v>
      </c>
      <c r="AZ1725">
        <v>61.89</v>
      </c>
      <c r="BA1725">
        <v>1.1499999999999999</v>
      </c>
      <c r="BB1725" t="s">
        <v>143</v>
      </c>
      <c r="BF1725">
        <v>-3.67</v>
      </c>
      <c r="BG1725">
        <v>-6.82</v>
      </c>
      <c r="BH1725">
        <v>-6.99</v>
      </c>
      <c r="BI1725">
        <v>0</v>
      </c>
      <c r="BJ1725">
        <v>20210830</v>
      </c>
      <c r="BK1725">
        <v>20140121</v>
      </c>
      <c r="BL1725">
        <v>5.66</v>
      </c>
      <c r="BM1725" t="s">
        <v>120</v>
      </c>
      <c r="BN1725" t="s">
        <v>120</v>
      </c>
      <c r="BO1725">
        <v>83.13</v>
      </c>
      <c r="BP1725">
        <v>20.49</v>
      </c>
      <c r="BQ1725">
        <v>33.11</v>
      </c>
      <c r="BR1725">
        <v>0.68</v>
      </c>
      <c r="BS1725">
        <v>59.35</v>
      </c>
      <c r="BT1725">
        <v>50.68</v>
      </c>
      <c r="BU1725">
        <v>12.15</v>
      </c>
      <c r="BV1725">
        <v>7.85</v>
      </c>
      <c r="BW1725">
        <v>42.2</v>
      </c>
      <c r="BX1725">
        <v>11</v>
      </c>
      <c r="BY1725">
        <v>22.04</v>
      </c>
      <c r="BZ1725">
        <v>6.85</v>
      </c>
      <c r="CA1725" t="s">
        <v>120</v>
      </c>
      <c r="CB1725">
        <v>15.77</v>
      </c>
      <c r="CC1725">
        <v>23.91</v>
      </c>
      <c r="CD1725">
        <v>14.67</v>
      </c>
      <c r="CE1725">
        <v>2.68</v>
      </c>
      <c r="CF1725">
        <v>0.03</v>
      </c>
      <c r="CG1725">
        <v>2.58</v>
      </c>
      <c r="CH1725">
        <v>2.36</v>
      </c>
      <c r="CI1725">
        <v>2.36</v>
      </c>
      <c r="CJ1725">
        <v>-1.42</v>
      </c>
      <c r="CK1725">
        <v>2.35</v>
      </c>
      <c r="CL1725">
        <v>10.61</v>
      </c>
      <c r="CM1725">
        <v>8.0500000000000007</v>
      </c>
      <c r="CN1725">
        <v>3.37</v>
      </c>
      <c r="CO1725">
        <v>21046</v>
      </c>
      <c r="CP1725">
        <v>11100</v>
      </c>
      <c r="CQ1725" t="s">
        <v>8780</v>
      </c>
      <c r="CR1725">
        <v>1321.22</v>
      </c>
      <c r="CS1725">
        <v>72.75</v>
      </c>
      <c r="CT1725">
        <v>3.52</v>
      </c>
      <c r="CU1725">
        <v>14.42</v>
      </c>
      <c r="CV1725">
        <v>4.8499999999999996</v>
      </c>
      <c r="CW1725">
        <v>0.23</v>
      </c>
      <c r="CX1725" t="s">
        <v>1462</v>
      </c>
      <c r="CY1725">
        <v>5.82</v>
      </c>
      <c r="CZ1725">
        <v>5.82</v>
      </c>
      <c r="DA1725">
        <v>2.79</v>
      </c>
      <c r="DB1725">
        <v>1.87</v>
      </c>
      <c r="DC1725">
        <v>1.42</v>
      </c>
      <c r="DD1725">
        <v>39.83</v>
      </c>
      <c r="DE1725" t="s">
        <v>8781</v>
      </c>
      <c r="DF1725">
        <v>38.64</v>
      </c>
      <c r="DG1725">
        <v>11.22</v>
      </c>
      <c r="DH1725">
        <v>9.8800000000000008</v>
      </c>
      <c r="DI1725">
        <v>1.97</v>
      </c>
      <c r="DJ1725">
        <v>4505</v>
      </c>
      <c r="DK1725">
        <v>300358</v>
      </c>
      <c r="DL1725" t="s">
        <v>120</v>
      </c>
      <c r="DM1725" t="s">
        <v>120</v>
      </c>
      <c r="DN1725" t="s">
        <v>120</v>
      </c>
    </row>
    <row r="1726" spans="1:118">
      <c r="A1726" t="str">
        <f>"300359"</f>
        <v>300359</v>
      </c>
      <c r="B1726" t="s">
        <v>8782</v>
      </c>
      <c r="C1726">
        <v>-2.38</v>
      </c>
      <c r="D1726">
        <v>-0.18</v>
      </c>
      <c r="E1726">
        <v>0</v>
      </c>
      <c r="F1726">
        <v>3012</v>
      </c>
      <c r="G1726" t="s">
        <v>8783</v>
      </c>
      <c r="H1726">
        <v>5621.77</v>
      </c>
      <c r="I1726">
        <v>20.2</v>
      </c>
      <c r="J1726" t="s">
        <v>120</v>
      </c>
      <c r="K1726" t="s">
        <v>8102</v>
      </c>
      <c r="L1726">
        <v>1.64</v>
      </c>
      <c r="M1726">
        <v>5.33</v>
      </c>
      <c r="N1726">
        <v>0.97</v>
      </c>
      <c r="O1726">
        <v>1.28</v>
      </c>
      <c r="P1726">
        <v>5.53</v>
      </c>
      <c r="Q1726">
        <v>-2.38</v>
      </c>
      <c r="R1726">
        <v>5.33</v>
      </c>
      <c r="S1726">
        <v>5.46</v>
      </c>
      <c r="T1726">
        <v>103852</v>
      </c>
      <c r="U1726">
        <v>5.33</v>
      </c>
      <c r="V1726">
        <v>5.46</v>
      </c>
      <c r="W1726">
        <v>218.43</v>
      </c>
      <c r="X1726" t="s">
        <v>213</v>
      </c>
      <c r="Y1726" t="s">
        <v>547</v>
      </c>
      <c r="Z1726">
        <v>3.66</v>
      </c>
      <c r="AA1726">
        <v>5.41</v>
      </c>
      <c r="AB1726">
        <v>61211</v>
      </c>
      <c r="AC1726">
        <v>42641</v>
      </c>
      <c r="AD1726">
        <v>1.44</v>
      </c>
      <c r="AE1726">
        <v>957</v>
      </c>
      <c r="AF1726">
        <v>132</v>
      </c>
      <c r="AG1726" t="s">
        <v>120</v>
      </c>
      <c r="AH1726">
        <v>0.01</v>
      </c>
      <c r="AI1726" t="s">
        <v>120</v>
      </c>
      <c r="AJ1726">
        <v>6.33</v>
      </c>
      <c r="AK1726" t="s">
        <v>3997</v>
      </c>
      <c r="AL1726">
        <v>-0.47</v>
      </c>
      <c r="AM1726">
        <v>1583</v>
      </c>
      <c r="AN1726">
        <v>66</v>
      </c>
      <c r="AO1726">
        <v>1E-3</v>
      </c>
      <c r="AP1726">
        <v>-3</v>
      </c>
      <c r="AQ1726">
        <v>-0.18</v>
      </c>
      <c r="AR1726">
        <v>-4.99</v>
      </c>
      <c r="AS1726">
        <v>-5.5</v>
      </c>
      <c r="AT1726">
        <v>-14.17</v>
      </c>
      <c r="AU1726">
        <v>-12.34</v>
      </c>
      <c r="AV1726">
        <v>0</v>
      </c>
      <c r="AW1726">
        <v>2.83</v>
      </c>
      <c r="AX1726">
        <v>57.98</v>
      </c>
      <c r="AY1726">
        <v>72.5</v>
      </c>
      <c r="AZ1726">
        <v>69.17</v>
      </c>
      <c r="BA1726">
        <v>0.6</v>
      </c>
      <c r="BB1726" t="s">
        <v>143</v>
      </c>
      <c r="BF1726">
        <v>-0.86</v>
      </c>
      <c r="BG1726">
        <v>-2.38</v>
      </c>
      <c r="BH1726">
        <v>-3.62</v>
      </c>
      <c r="BI1726">
        <v>0</v>
      </c>
      <c r="BJ1726">
        <v>20210830</v>
      </c>
      <c r="BK1726">
        <v>20140121</v>
      </c>
      <c r="BL1726">
        <v>6.34</v>
      </c>
      <c r="BM1726" t="s">
        <v>120</v>
      </c>
      <c r="BN1726" t="s">
        <v>120</v>
      </c>
      <c r="BO1726">
        <v>11.75</v>
      </c>
      <c r="BP1726">
        <v>5.32</v>
      </c>
      <c r="BQ1726">
        <v>6.68</v>
      </c>
      <c r="BR1726">
        <v>0.95</v>
      </c>
      <c r="BS1726">
        <v>35.04</v>
      </c>
      <c r="BT1726">
        <v>7.1</v>
      </c>
      <c r="BU1726">
        <v>0.33</v>
      </c>
      <c r="BV1726">
        <v>1.1299999999999999</v>
      </c>
      <c r="BW1726">
        <v>3.68</v>
      </c>
      <c r="BX1726">
        <v>3.35</v>
      </c>
      <c r="BY1726">
        <v>7.0000000000000007E-2</v>
      </c>
      <c r="BZ1726">
        <v>2.39</v>
      </c>
      <c r="CA1726" t="s">
        <v>120</v>
      </c>
      <c r="CB1726">
        <v>9.85</v>
      </c>
      <c r="CC1726">
        <v>2.76</v>
      </c>
      <c r="CD1726">
        <v>1.91</v>
      </c>
      <c r="CE1726">
        <v>0.09</v>
      </c>
      <c r="CF1726">
        <v>0.06</v>
      </c>
      <c r="CG1726">
        <v>0.09</v>
      </c>
      <c r="CH1726">
        <v>0.06</v>
      </c>
      <c r="CI1726">
        <v>0.08</v>
      </c>
      <c r="CJ1726">
        <v>-0.13</v>
      </c>
      <c r="CK1726">
        <v>-0.01</v>
      </c>
      <c r="CL1726">
        <v>-9.7100000000000009</v>
      </c>
      <c r="CM1726">
        <v>-0.53</v>
      </c>
      <c r="CN1726">
        <v>-1.62</v>
      </c>
      <c r="CO1726">
        <v>43867</v>
      </c>
      <c r="CP1726">
        <v>8375</v>
      </c>
      <c r="CQ1726" t="s">
        <v>1046</v>
      </c>
      <c r="CR1726">
        <v>-22.9</v>
      </c>
      <c r="CS1726">
        <v>12.63</v>
      </c>
      <c r="CT1726">
        <v>5.05</v>
      </c>
      <c r="CU1726">
        <v>-63.55</v>
      </c>
      <c r="CV1726">
        <v>12.25</v>
      </c>
      <c r="CW1726">
        <v>0</v>
      </c>
      <c r="CX1726" t="s">
        <v>178</v>
      </c>
      <c r="CY1726">
        <v>1.05</v>
      </c>
      <c r="CZ1726">
        <v>0</v>
      </c>
      <c r="DA1726">
        <v>1.55</v>
      </c>
      <c r="DB1726">
        <v>-1.53</v>
      </c>
      <c r="DC1726">
        <v>-0.08</v>
      </c>
      <c r="DD1726">
        <v>56.88</v>
      </c>
      <c r="DE1726" t="s">
        <v>5141</v>
      </c>
      <c r="DF1726">
        <v>30.68</v>
      </c>
      <c r="DG1726">
        <v>3.29</v>
      </c>
      <c r="DH1726">
        <v>2.8</v>
      </c>
      <c r="DI1726">
        <v>0.13</v>
      </c>
      <c r="DJ1726">
        <v>1686</v>
      </c>
      <c r="DK1726">
        <v>300359</v>
      </c>
      <c r="DL1726" t="s">
        <v>120</v>
      </c>
      <c r="DM1726" t="s">
        <v>120</v>
      </c>
      <c r="DN1726" t="s">
        <v>120</v>
      </c>
    </row>
    <row r="1727" spans="1:118">
      <c r="A1727" t="str">
        <f>"300360"</f>
        <v>300360</v>
      </c>
      <c r="B1727" t="s">
        <v>8784</v>
      </c>
      <c r="C1727">
        <v>-1.82</v>
      </c>
      <c r="D1727">
        <v>0</v>
      </c>
      <c r="E1727">
        <v>0.11</v>
      </c>
      <c r="F1727">
        <v>696</v>
      </c>
      <c r="G1727" t="s">
        <v>8785</v>
      </c>
      <c r="H1727">
        <v>5289.64</v>
      </c>
      <c r="I1727">
        <v>10.91</v>
      </c>
      <c r="J1727" t="s">
        <v>120</v>
      </c>
      <c r="K1727" t="s">
        <v>8786</v>
      </c>
      <c r="L1727">
        <v>1.39</v>
      </c>
      <c r="M1727">
        <v>8.6300000000000008</v>
      </c>
      <c r="N1727">
        <v>0.77</v>
      </c>
      <c r="O1727">
        <v>0.8</v>
      </c>
      <c r="P1727">
        <v>8.86</v>
      </c>
      <c r="Q1727">
        <v>-2.0499999999999998</v>
      </c>
      <c r="R1727">
        <v>8.61</v>
      </c>
      <c r="S1727">
        <v>8.8000000000000007</v>
      </c>
      <c r="T1727">
        <v>60704</v>
      </c>
      <c r="U1727">
        <v>8.64</v>
      </c>
      <c r="V1727">
        <v>8.7899999999999991</v>
      </c>
      <c r="W1727">
        <v>17.05</v>
      </c>
      <c r="X1727" t="s">
        <v>2717</v>
      </c>
      <c r="Y1727" t="s">
        <v>585</v>
      </c>
      <c r="Z1727">
        <v>2.84</v>
      </c>
      <c r="AA1727">
        <v>8.7100000000000009</v>
      </c>
      <c r="AB1727">
        <v>38418</v>
      </c>
      <c r="AC1727">
        <v>22286</v>
      </c>
      <c r="AD1727">
        <v>1.72</v>
      </c>
      <c r="AE1727">
        <v>333</v>
      </c>
      <c r="AF1727">
        <v>139</v>
      </c>
      <c r="AG1727" t="s">
        <v>120</v>
      </c>
      <c r="AH1727">
        <v>0</v>
      </c>
      <c r="AI1727" t="s">
        <v>120</v>
      </c>
      <c r="AJ1727">
        <v>4.3600000000000003</v>
      </c>
      <c r="AK1727" t="s">
        <v>582</v>
      </c>
      <c r="AL1727">
        <v>0.09</v>
      </c>
      <c r="AM1727">
        <v>1540</v>
      </c>
      <c r="AN1727">
        <v>39</v>
      </c>
      <c r="AO1727">
        <v>8.9999999999999998E-4</v>
      </c>
      <c r="AP1727">
        <v>-1</v>
      </c>
      <c r="AQ1727">
        <v>0.34</v>
      </c>
      <c r="AR1727">
        <v>-3.47</v>
      </c>
      <c r="AS1727">
        <v>-14.81</v>
      </c>
      <c r="AT1727">
        <v>5.63</v>
      </c>
      <c r="AU1727">
        <v>-1.49</v>
      </c>
      <c r="AV1727">
        <v>0</v>
      </c>
      <c r="AW1727">
        <v>1.95</v>
      </c>
      <c r="AX1727">
        <v>61.58</v>
      </c>
      <c r="AY1727">
        <v>15.56</v>
      </c>
      <c r="AZ1727">
        <v>15.11</v>
      </c>
      <c r="BA1727">
        <v>0.93</v>
      </c>
      <c r="BB1727" t="s">
        <v>143</v>
      </c>
      <c r="BF1727">
        <v>-0.87</v>
      </c>
      <c r="BG1727">
        <v>-1.93</v>
      </c>
      <c r="BH1727">
        <v>-2.6</v>
      </c>
      <c r="BI1727">
        <v>0.23</v>
      </c>
      <c r="BJ1727">
        <v>20210909</v>
      </c>
      <c r="BK1727">
        <v>20140121</v>
      </c>
      <c r="BL1727">
        <v>5.04</v>
      </c>
      <c r="BM1727" t="s">
        <v>120</v>
      </c>
      <c r="BN1727" t="s">
        <v>120</v>
      </c>
      <c r="BO1727">
        <v>28.69</v>
      </c>
      <c r="BP1727">
        <v>8.6300000000000008</v>
      </c>
      <c r="BQ1727">
        <v>24.48</v>
      </c>
      <c r="BR1727">
        <v>0.27</v>
      </c>
      <c r="BS1727">
        <v>13.71</v>
      </c>
      <c r="BT1727">
        <v>21.06</v>
      </c>
      <c r="BU1727">
        <v>0.97</v>
      </c>
      <c r="BV1727">
        <v>0.55000000000000004</v>
      </c>
      <c r="BW1727">
        <v>3.78</v>
      </c>
      <c r="BX1727">
        <v>12.7</v>
      </c>
      <c r="BY1727">
        <v>3</v>
      </c>
      <c r="BZ1727">
        <v>3.34</v>
      </c>
      <c r="CA1727" t="s">
        <v>120</v>
      </c>
      <c r="CB1727">
        <v>3.31</v>
      </c>
      <c r="CC1727">
        <v>4.37</v>
      </c>
      <c r="CD1727">
        <v>2.54</v>
      </c>
      <c r="CE1727">
        <v>1.54</v>
      </c>
      <c r="CF1727">
        <v>0.01</v>
      </c>
      <c r="CG1727">
        <v>1.54</v>
      </c>
      <c r="CH1727">
        <v>1.31</v>
      </c>
      <c r="CI1727">
        <v>1.28</v>
      </c>
      <c r="CJ1727">
        <v>-0.16</v>
      </c>
      <c r="CK1727">
        <v>1.2</v>
      </c>
      <c r="CL1727">
        <v>14.27</v>
      </c>
      <c r="CM1727">
        <v>-0.55000000000000004</v>
      </c>
      <c r="CN1727">
        <v>-1.95</v>
      </c>
      <c r="CO1727">
        <v>18767</v>
      </c>
      <c r="CP1727">
        <v>16552</v>
      </c>
      <c r="CQ1727" t="s">
        <v>8787</v>
      </c>
      <c r="CR1727">
        <v>-6.2</v>
      </c>
      <c r="CS1727">
        <v>13.15</v>
      </c>
      <c r="CT1727">
        <v>1.78</v>
      </c>
      <c r="CU1727">
        <v>-78.58</v>
      </c>
      <c r="CV1727">
        <v>9.9600000000000009</v>
      </c>
      <c r="CW1727">
        <v>1.71</v>
      </c>
      <c r="CX1727" t="s">
        <v>863</v>
      </c>
      <c r="CY1727">
        <v>4.8499999999999996</v>
      </c>
      <c r="CZ1727">
        <v>0</v>
      </c>
      <c r="DA1727">
        <v>0.66</v>
      </c>
      <c r="DB1727">
        <v>2.83</v>
      </c>
      <c r="DC1727">
        <v>-0.11</v>
      </c>
      <c r="DD1727">
        <v>85.33</v>
      </c>
      <c r="DE1727" t="s">
        <v>8143</v>
      </c>
      <c r="DF1727">
        <v>41.91</v>
      </c>
      <c r="DG1727">
        <v>35.159999999999997</v>
      </c>
      <c r="DH1727">
        <v>29.2</v>
      </c>
      <c r="DI1727">
        <v>0.26</v>
      </c>
      <c r="DJ1727">
        <v>1039</v>
      </c>
      <c r="DK1727">
        <v>300360</v>
      </c>
      <c r="DL1727" t="s">
        <v>120</v>
      </c>
      <c r="DM1727" t="s">
        <v>120</v>
      </c>
      <c r="DN1727" t="s">
        <v>120</v>
      </c>
    </row>
    <row r="1728" spans="1:118">
      <c r="A1728" t="str">
        <f>"300363"</f>
        <v>300363</v>
      </c>
      <c r="B1728" t="s">
        <v>8788</v>
      </c>
      <c r="C1728">
        <v>1.46</v>
      </c>
      <c r="D1728">
        <v>-0.02</v>
      </c>
      <c r="E1728">
        <v>-2.27</v>
      </c>
      <c r="F1728">
        <v>362</v>
      </c>
      <c r="G1728" t="s">
        <v>8789</v>
      </c>
      <c r="H1728">
        <v>56290.73</v>
      </c>
      <c r="I1728">
        <v>452.54</v>
      </c>
      <c r="J1728" t="s">
        <v>120</v>
      </c>
      <c r="K1728" t="s">
        <v>8790</v>
      </c>
      <c r="L1728">
        <v>1.3</v>
      </c>
      <c r="M1728">
        <v>97.07</v>
      </c>
      <c r="N1728">
        <v>0.96</v>
      </c>
      <c r="O1728">
        <v>2.96</v>
      </c>
      <c r="P1728">
        <v>98.5</v>
      </c>
      <c r="Q1728">
        <v>-3.15</v>
      </c>
      <c r="R1728">
        <v>92.66</v>
      </c>
      <c r="S1728">
        <v>93.5</v>
      </c>
      <c r="T1728">
        <v>58267</v>
      </c>
      <c r="U1728">
        <v>97.08</v>
      </c>
      <c r="V1728">
        <v>95.67</v>
      </c>
      <c r="W1728">
        <v>123.08</v>
      </c>
      <c r="X1728" t="s">
        <v>569</v>
      </c>
      <c r="Y1728" t="s">
        <v>883</v>
      </c>
      <c r="Z1728">
        <v>6.1</v>
      </c>
      <c r="AA1728">
        <v>96.61</v>
      </c>
      <c r="AB1728">
        <v>24286</v>
      </c>
      <c r="AC1728">
        <v>33981</v>
      </c>
      <c r="AD1728">
        <v>0.71</v>
      </c>
      <c r="AE1728">
        <v>39</v>
      </c>
      <c r="AF1728">
        <v>34</v>
      </c>
      <c r="AG1728" t="s">
        <v>120</v>
      </c>
      <c r="AH1728">
        <v>0.02</v>
      </c>
      <c r="AI1728" t="s">
        <v>120</v>
      </c>
      <c r="AJ1728">
        <v>4.4800000000000004</v>
      </c>
      <c r="AK1728" t="s">
        <v>8791</v>
      </c>
      <c r="AL1728">
        <v>3.38</v>
      </c>
      <c r="AM1728">
        <v>3651</v>
      </c>
      <c r="AN1728">
        <v>16</v>
      </c>
      <c r="AO1728">
        <v>4.0000000000000002E-4</v>
      </c>
      <c r="AP1728">
        <v>3</v>
      </c>
      <c r="AQ1728">
        <v>2.4500000000000002</v>
      </c>
      <c r="AR1728">
        <v>8.92</v>
      </c>
      <c r="AS1728">
        <v>6.68</v>
      </c>
      <c r="AT1728">
        <v>19.21</v>
      </c>
      <c r="AU1728">
        <v>166.69</v>
      </c>
      <c r="AV1728">
        <v>0</v>
      </c>
      <c r="AW1728">
        <v>2.0699999999999998</v>
      </c>
      <c r="AX1728">
        <v>51.69</v>
      </c>
      <c r="AY1728">
        <v>127.57</v>
      </c>
      <c r="AZ1728">
        <v>160.46</v>
      </c>
      <c r="BA1728">
        <v>1.96</v>
      </c>
      <c r="BB1728" t="s">
        <v>143</v>
      </c>
      <c r="BF1728">
        <v>0.98</v>
      </c>
      <c r="BG1728">
        <v>3.82</v>
      </c>
      <c r="BH1728">
        <v>-1.45</v>
      </c>
      <c r="BI1728">
        <v>4.76</v>
      </c>
      <c r="BJ1728">
        <v>20210913</v>
      </c>
      <c r="BK1728">
        <v>20140129</v>
      </c>
      <c r="BL1728">
        <v>5.44</v>
      </c>
      <c r="BM1728" t="s">
        <v>120</v>
      </c>
      <c r="BN1728" t="s">
        <v>120</v>
      </c>
      <c r="BO1728">
        <v>52.41</v>
      </c>
      <c r="BP1728">
        <v>97.07</v>
      </c>
      <c r="BQ1728">
        <v>35.54</v>
      </c>
      <c r="BR1728">
        <v>0.03</v>
      </c>
      <c r="BS1728">
        <v>32.15</v>
      </c>
      <c r="BT1728">
        <v>25.61</v>
      </c>
      <c r="BU1728">
        <v>15.99</v>
      </c>
      <c r="BV1728">
        <v>1.1299999999999999</v>
      </c>
      <c r="BW1728">
        <v>14.71</v>
      </c>
      <c r="BX1728">
        <v>14.05</v>
      </c>
      <c r="BY1728">
        <v>4.84</v>
      </c>
      <c r="BZ1728">
        <v>5.51</v>
      </c>
      <c r="CA1728" t="s">
        <v>120</v>
      </c>
      <c r="CB1728">
        <v>16.79</v>
      </c>
      <c r="CC1728">
        <v>12.56</v>
      </c>
      <c r="CD1728">
        <v>7.16</v>
      </c>
      <c r="CE1728">
        <v>2.37</v>
      </c>
      <c r="CF1728">
        <v>0.14000000000000001</v>
      </c>
      <c r="CG1728">
        <v>2.3199999999999998</v>
      </c>
      <c r="CH1728">
        <v>2.14</v>
      </c>
      <c r="CI1728">
        <v>2.15</v>
      </c>
      <c r="CJ1728">
        <v>1.4</v>
      </c>
      <c r="CK1728">
        <v>2.0099999999999998</v>
      </c>
      <c r="CL1728">
        <v>12.82</v>
      </c>
      <c r="CM1728">
        <v>1.4</v>
      </c>
      <c r="CN1728">
        <v>1.22</v>
      </c>
      <c r="CO1728">
        <v>22597</v>
      </c>
      <c r="CP1728">
        <v>12447</v>
      </c>
      <c r="CQ1728" t="s">
        <v>8792</v>
      </c>
      <c r="CR1728">
        <v>63.86</v>
      </c>
      <c r="CS1728">
        <v>35.729999999999997</v>
      </c>
      <c r="CT1728">
        <v>14.86</v>
      </c>
      <c r="CU1728">
        <v>376.23</v>
      </c>
      <c r="CV1728">
        <v>42.06</v>
      </c>
      <c r="CW1728">
        <v>0.13</v>
      </c>
      <c r="CX1728" t="s">
        <v>1980</v>
      </c>
      <c r="CY1728">
        <v>6.53</v>
      </c>
      <c r="CZ1728">
        <v>0</v>
      </c>
      <c r="DA1728">
        <v>3.09</v>
      </c>
      <c r="DB1728">
        <v>2.36</v>
      </c>
      <c r="DC1728">
        <v>0.26</v>
      </c>
      <c r="DD1728">
        <v>67.8</v>
      </c>
      <c r="DE1728" t="s">
        <v>8793</v>
      </c>
      <c r="DF1728">
        <v>42.98</v>
      </c>
      <c r="DG1728">
        <v>18.87</v>
      </c>
      <c r="DH1728">
        <v>17.09</v>
      </c>
      <c r="DI1728">
        <v>1.34</v>
      </c>
      <c r="DJ1728">
        <v>3054</v>
      </c>
      <c r="DK1728">
        <v>300363</v>
      </c>
      <c r="DL1728" t="s">
        <v>120</v>
      </c>
      <c r="DM1728" t="s">
        <v>120</v>
      </c>
      <c r="DN1728" t="s">
        <v>120</v>
      </c>
    </row>
    <row r="1729" spans="1:118">
      <c r="A1729" t="str">
        <f>"300364"</f>
        <v>300364</v>
      </c>
      <c r="B1729" t="s">
        <v>8794</v>
      </c>
      <c r="C1729">
        <v>-2.02</v>
      </c>
      <c r="D1729">
        <v>-0.16</v>
      </c>
      <c r="E1729">
        <v>0</v>
      </c>
      <c r="F1729">
        <v>361</v>
      </c>
      <c r="G1729" t="s">
        <v>8795</v>
      </c>
      <c r="H1729">
        <v>4605.1899999999996</v>
      </c>
      <c r="I1729">
        <v>2.5</v>
      </c>
      <c r="J1729" t="s">
        <v>120</v>
      </c>
      <c r="K1729" t="s">
        <v>8796</v>
      </c>
      <c r="L1729">
        <v>1.24</v>
      </c>
      <c r="M1729">
        <v>5.83</v>
      </c>
      <c r="N1729">
        <v>0.67</v>
      </c>
      <c r="O1729">
        <v>0.84</v>
      </c>
      <c r="P1729">
        <v>6</v>
      </c>
      <c r="Q1729">
        <v>-2.1800000000000002</v>
      </c>
      <c r="R1729">
        <v>5.82</v>
      </c>
      <c r="S1729">
        <v>5.95</v>
      </c>
      <c r="T1729">
        <v>78122</v>
      </c>
      <c r="U1729">
        <v>5.84</v>
      </c>
      <c r="V1729">
        <v>5.95</v>
      </c>
      <c r="W1729">
        <v>76.58</v>
      </c>
      <c r="X1729" t="s">
        <v>1730</v>
      </c>
      <c r="Y1729" t="s">
        <v>158</v>
      </c>
      <c r="Z1729">
        <v>3.03</v>
      </c>
      <c r="AA1729">
        <v>5.89</v>
      </c>
      <c r="AB1729">
        <v>46809</v>
      </c>
      <c r="AC1729">
        <v>31313</v>
      </c>
      <c r="AD1729">
        <v>1.49</v>
      </c>
      <c r="AE1729">
        <v>674</v>
      </c>
      <c r="AF1729">
        <v>404</v>
      </c>
      <c r="AG1729" t="s">
        <v>120</v>
      </c>
      <c r="AH1729">
        <v>0</v>
      </c>
      <c r="AI1729" t="s">
        <v>120</v>
      </c>
      <c r="AJ1729">
        <v>6.32</v>
      </c>
      <c r="AK1729" t="s">
        <v>5841</v>
      </c>
      <c r="AL1729">
        <v>-0.1</v>
      </c>
      <c r="AM1729">
        <v>1672</v>
      </c>
      <c r="AN1729">
        <v>47</v>
      </c>
      <c r="AO1729">
        <v>6.9999999999999999E-4</v>
      </c>
      <c r="AP1729">
        <v>-6</v>
      </c>
      <c r="AQ1729">
        <v>-0.17</v>
      </c>
      <c r="AR1729">
        <v>-4.58</v>
      </c>
      <c r="AS1729">
        <v>-2.5099999999999998</v>
      </c>
      <c r="AT1729">
        <v>-6.42</v>
      </c>
      <c r="AU1729">
        <v>-24.39</v>
      </c>
      <c r="AV1729">
        <v>0</v>
      </c>
      <c r="AW1729">
        <v>1.59</v>
      </c>
      <c r="AX1729">
        <v>67.45</v>
      </c>
      <c r="AY1729">
        <v>84.63</v>
      </c>
      <c r="AZ1729">
        <v>88.45</v>
      </c>
      <c r="BA1729">
        <v>0.62</v>
      </c>
      <c r="BB1729" t="s">
        <v>143</v>
      </c>
      <c r="BF1729">
        <v>-0.93</v>
      </c>
      <c r="BG1729">
        <v>-2.02</v>
      </c>
      <c r="BH1729">
        <v>-2.83</v>
      </c>
      <c r="BI1729">
        <v>0.17</v>
      </c>
      <c r="BJ1729">
        <v>20210817</v>
      </c>
      <c r="BK1729">
        <v>20150121</v>
      </c>
      <c r="BL1729">
        <v>7.27</v>
      </c>
      <c r="BM1729" t="s">
        <v>120</v>
      </c>
      <c r="BN1729" t="s">
        <v>120</v>
      </c>
      <c r="BO1729">
        <v>20.13</v>
      </c>
      <c r="BP1729">
        <v>5.83</v>
      </c>
      <c r="BQ1729">
        <v>14.87</v>
      </c>
      <c r="BR1729">
        <v>0.28999999999999998</v>
      </c>
      <c r="BS1729">
        <v>24.71</v>
      </c>
      <c r="BT1729">
        <v>12.66</v>
      </c>
      <c r="BU1729">
        <v>0.37</v>
      </c>
      <c r="BV1729">
        <v>2.14</v>
      </c>
      <c r="BW1729">
        <v>4.68</v>
      </c>
      <c r="BX1729">
        <v>3.82</v>
      </c>
      <c r="BY1729">
        <v>0.08</v>
      </c>
      <c r="BZ1729">
        <v>1.5</v>
      </c>
      <c r="CA1729">
        <v>0.01</v>
      </c>
      <c r="CB1729">
        <v>24.89</v>
      </c>
      <c r="CC1729">
        <v>5.29</v>
      </c>
      <c r="CD1729">
        <v>1.39</v>
      </c>
      <c r="CE1729">
        <v>0.67</v>
      </c>
      <c r="CF1729">
        <v>0.09</v>
      </c>
      <c r="CG1729">
        <v>0.67</v>
      </c>
      <c r="CH1729">
        <v>0.49</v>
      </c>
      <c r="CI1729">
        <v>0.28000000000000003</v>
      </c>
      <c r="CJ1729">
        <v>-0.12</v>
      </c>
      <c r="CK1729">
        <v>-7.0000000000000007E-2</v>
      </c>
      <c r="CL1729">
        <v>-17.39</v>
      </c>
      <c r="CM1729">
        <v>-0.31</v>
      </c>
      <c r="CN1729">
        <v>-0.48</v>
      </c>
      <c r="CO1729">
        <v>37753</v>
      </c>
      <c r="CP1729">
        <v>12994</v>
      </c>
      <c r="CQ1729" t="s">
        <v>8797</v>
      </c>
      <c r="CR1729">
        <v>8.68</v>
      </c>
      <c r="CS1729">
        <v>27.51</v>
      </c>
      <c r="CT1729">
        <v>2.85</v>
      </c>
      <c r="CU1729">
        <v>-139.01</v>
      </c>
      <c r="CV1729">
        <v>8.01</v>
      </c>
      <c r="CW1729">
        <v>0</v>
      </c>
      <c r="CX1729" t="s">
        <v>5361</v>
      </c>
      <c r="CY1729">
        <v>2.04</v>
      </c>
      <c r="CZ1729">
        <v>0</v>
      </c>
      <c r="DA1729">
        <v>3.42</v>
      </c>
      <c r="DB1729">
        <v>-2.39</v>
      </c>
      <c r="DC1729">
        <v>-0.04</v>
      </c>
      <c r="DD1729">
        <v>73.86</v>
      </c>
      <c r="DE1729" t="s">
        <v>1456</v>
      </c>
      <c r="DF1729">
        <v>73.81</v>
      </c>
      <c r="DG1729">
        <v>12.61</v>
      </c>
      <c r="DH1729">
        <v>5.23</v>
      </c>
      <c r="DI1729">
        <v>0.6</v>
      </c>
      <c r="DJ1729">
        <v>731</v>
      </c>
      <c r="DK1729">
        <v>300364</v>
      </c>
      <c r="DL1729" t="s">
        <v>120</v>
      </c>
      <c r="DM1729" t="s">
        <v>120</v>
      </c>
      <c r="DN1729" t="s">
        <v>120</v>
      </c>
    </row>
    <row r="1730" spans="1:118">
      <c r="A1730" t="str">
        <f>"300365"</f>
        <v>300365</v>
      </c>
      <c r="B1730" t="s">
        <v>8798</v>
      </c>
      <c r="C1730">
        <v>3.34</v>
      </c>
      <c r="D1730">
        <v>0.08</v>
      </c>
      <c r="E1730">
        <v>0.08</v>
      </c>
      <c r="F1730">
        <v>7265</v>
      </c>
      <c r="G1730" t="s">
        <v>8799</v>
      </c>
      <c r="H1730">
        <v>43927.41</v>
      </c>
      <c r="I1730">
        <v>231.66</v>
      </c>
      <c r="J1730" t="s">
        <v>120</v>
      </c>
      <c r="K1730" t="s">
        <v>8800</v>
      </c>
      <c r="L1730">
        <v>9.7200000000000006</v>
      </c>
      <c r="M1730">
        <v>13.29</v>
      </c>
      <c r="N1730">
        <v>0.95</v>
      </c>
      <c r="O1730">
        <v>6.77</v>
      </c>
      <c r="P1730">
        <v>13.73</v>
      </c>
      <c r="Q1730">
        <v>-4.74</v>
      </c>
      <c r="R1730">
        <v>12.25</v>
      </c>
      <c r="S1730">
        <v>12.87</v>
      </c>
      <c r="T1730">
        <v>338520</v>
      </c>
      <c r="U1730">
        <v>13.29</v>
      </c>
      <c r="V1730">
        <v>12.86</v>
      </c>
      <c r="W1730">
        <v>95.91</v>
      </c>
      <c r="X1730" t="s">
        <v>141</v>
      </c>
      <c r="Y1730" t="s">
        <v>158</v>
      </c>
      <c r="Z1730">
        <v>11.51</v>
      </c>
      <c r="AA1730">
        <v>12.98</v>
      </c>
      <c r="AB1730">
        <v>157931</v>
      </c>
      <c r="AC1730">
        <v>180589</v>
      </c>
      <c r="AD1730">
        <v>0.87</v>
      </c>
      <c r="AE1730">
        <v>273</v>
      </c>
      <c r="AF1730">
        <v>2452</v>
      </c>
      <c r="AG1730" t="s">
        <v>120</v>
      </c>
      <c r="AH1730">
        <v>7.0000000000000007E-2</v>
      </c>
      <c r="AI1730" t="s">
        <v>120</v>
      </c>
      <c r="AJ1730">
        <v>3.48</v>
      </c>
      <c r="AK1730" t="s">
        <v>8801</v>
      </c>
      <c r="AL1730">
        <v>5.26</v>
      </c>
      <c r="AM1730">
        <v>3859</v>
      </c>
      <c r="AN1730">
        <v>88</v>
      </c>
      <c r="AO1730">
        <v>2.5000000000000001E-3</v>
      </c>
      <c r="AP1730">
        <v>2</v>
      </c>
      <c r="AQ1730">
        <v>2.88</v>
      </c>
      <c r="AR1730">
        <v>-5.14</v>
      </c>
      <c r="AS1730">
        <v>31.98</v>
      </c>
      <c r="AT1730">
        <v>60.5</v>
      </c>
      <c r="AU1730">
        <v>33.03</v>
      </c>
      <c r="AV1730">
        <v>1</v>
      </c>
      <c r="AW1730">
        <v>12.71</v>
      </c>
      <c r="AX1730">
        <v>44.4</v>
      </c>
      <c r="AY1730">
        <v>86.04</v>
      </c>
      <c r="AZ1730">
        <v>93.56</v>
      </c>
      <c r="BA1730">
        <v>1.6</v>
      </c>
      <c r="BB1730" t="s">
        <v>143</v>
      </c>
      <c r="BF1730">
        <v>0.9</v>
      </c>
      <c r="BG1730">
        <v>3.26</v>
      </c>
      <c r="BH1730">
        <v>-3.2</v>
      </c>
      <c r="BI1730">
        <v>8.49</v>
      </c>
      <c r="BJ1730">
        <v>20210827</v>
      </c>
      <c r="BK1730">
        <v>20140123</v>
      </c>
      <c r="BL1730">
        <v>6</v>
      </c>
      <c r="BM1730" t="s">
        <v>120</v>
      </c>
      <c r="BN1730" t="s">
        <v>120</v>
      </c>
      <c r="BO1730">
        <v>26.69</v>
      </c>
      <c r="BP1730">
        <v>13.28</v>
      </c>
      <c r="BQ1730">
        <v>21.47</v>
      </c>
      <c r="BR1730">
        <v>0.95</v>
      </c>
      <c r="BS1730">
        <v>15.98</v>
      </c>
      <c r="BT1730">
        <v>23.39</v>
      </c>
      <c r="BU1730">
        <v>0.57999999999999996</v>
      </c>
      <c r="BV1730">
        <v>0.09</v>
      </c>
      <c r="BW1730">
        <v>4.1399999999999997</v>
      </c>
      <c r="BX1730">
        <v>4.37</v>
      </c>
      <c r="BY1730">
        <v>3.83</v>
      </c>
      <c r="BZ1730">
        <v>13.85</v>
      </c>
      <c r="CA1730" t="s">
        <v>120</v>
      </c>
      <c r="CB1730">
        <v>5.16</v>
      </c>
      <c r="CC1730">
        <v>2.91</v>
      </c>
      <c r="CD1730">
        <v>1.41</v>
      </c>
      <c r="CE1730">
        <v>0.52</v>
      </c>
      <c r="CF1730">
        <v>0.06</v>
      </c>
      <c r="CG1730">
        <v>0.51</v>
      </c>
      <c r="CH1730">
        <v>0.46</v>
      </c>
      <c r="CI1730">
        <v>0.42</v>
      </c>
      <c r="CJ1730">
        <v>0.43</v>
      </c>
      <c r="CK1730">
        <v>0.41</v>
      </c>
      <c r="CL1730">
        <v>10.25</v>
      </c>
      <c r="CM1730">
        <v>-2.61</v>
      </c>
      <c r="CN1730">
        <v>-3.72</v>
      </c>
      <c r="CO1730">
        <v>19614</v>
      </c>
      <c r="CP1730">
        <v>13580</v>
      </c>
      <c r="CQ1730" t="s">
        <v>8802</v>
      </c>
      <c r="CR1730">
        <v>20.98</v>
      </c>
      <c r="CS1730">
        <v>19.28</v>
      </c>
      <c r="CT1730">
        <v>3.71</v>
      </c>
      <c r="CU1730">
        <v>-30.57</v>
      </c>
      <c r="CV1730">
        <v>27.36</v>
      </c>
      <c r="CW1730">
        <v>0</v>
      </c>
      <c r="CX1730" t="s">
        <v>2669</v>
      </c>
      <c r="CY1730">
        <v>3.58</v>
      </c>
      <c r="CZ1730">
        <v>0</v>
      </c>
      <c r="DA1730">
        <v>0.86</v>
      </c>
      <c r="DB1730">
        <v>1.71</v>
      </c>
      <c r="DC1730">
        <v>-0.43</v>
      </c>
      <c r="DD1730">
        <v>80.47</v>
      </c>
      <c r="DE1730" t="s">
        <v>5805</v>
      </c>
      <c r="DF1730">
        <v>51.57</v>
      </c>
      <c r="DG1730">
        <v>17.690000000000001</v>
      </c>
      <c r="DH1730">
        <v>14.26</v>
      </c>
      <c r="DI1730">
        <v>0.45</v>
      </c>
      <c r="DJ1730">
        <v>1080</v>
      </c>
      <c r="DK1730">
        <v>300365</v>
      </c>
      <c r="DL1730" t="s">
        <v>120</v>
      </c>
      <c r="DM1730" t="s">
        <v>120</v>
      </c>
      <c r="DN1730" t="s">
        <v>120</v>
      </c>
    </row>
    <row r="1731" spans="1:118">
      <c r="A1731" t="str">
        <f>"300366"</f>
        <v>300366</v>
      </c>
      <c r="B1731" t="s">
        <v>8803</v>
      </c>
      <c r="C1731">
        <v>-1.77</v>
      </c>
      <c r="D1731">
        <v>0</v>
      </c>
      <c r="E1731">
        <v>-0.69</v>
      </c>
      <c r="F1731">
        <v>2432</v>
      </c>
      <c r="G1731" t="s">
        <v>8804</v>
      </c>
      <c r="H1731">
        <v>12727.68</v>
      </c>
      <c r="I1731">
        <v>55.94</v>
      </c>
      <c r="J1731" t="s">
        <v>120</v>
      </c>
      <c r="K1731" t="s">
        <v>8158</v>
      </c>
      <c r="L1731">
        <v>3.13</v>
      </c>
      <c r="M1731">
        <v>9.9700000000000006</v>
      </c>
      <c r="N1731">
        <v>0.66</v>
      </c>
      <c r="O1731">
        <v>1.67</v>
      </c>
      <c r="P1731">
        <v>10.32</v>
      </c>
      <c r="Q1731">
        <v>-1.87</v>
      </c>
      <c r="R1731">
        <v>9.9600000000000009</v>
      </c>
      <c r="S1731">
        <v>10.08</v>
      </c>
      <c r="T1731">
        <v>126038</v>
      </c>
      <c r="U1731">
        <v>9.98</v>
      </c>
      <c r="V1731">
        <v>10.15</v>
      </c>
      <c r="W1731">
        <v>63.77</v>
      </c>
      <c r="X1731" t="s">
        <v>141</v>
      </c>
      <c r="Y1731" t="s">
        <v>578</v>
      </c>
      <c r="Z1731">
        <v>3.55</v>
      </c>
      <c r="AA1731">
        <v>10.1</v>
      </c>
      <c r="AB1731">
        <v>69341</v>
      </c>
      <c r="AC1731">
        <v>56697</v>
      </c>
      <c r="AD1731">
        <v>1.22</v>
      </c>
      <c r="AE1731">
        <v>524</v>
      </c>
      <c r="AF1731">
        <v>153</v>
      </c>
      <c r="AG1731" t="s">
        <v>120</v>
      </c>
      <c r="AH1731">
        <v>0.02</v>
      </c>
      <c r="AI1731" t="s">
        <v>120</v>
      </c>
      <c r="AJ1731">
        <v>4.03</v>
      </c>
      <c r="AK1731" t="s">
        <v>8805</v>
      </c>
      <c r="AL1731">
        <v>0.14000000000000001</v>
      </c>
      <c r="AM1731">
        <v>2221</v>
      </c>
      <c r="AN1731">
        <v>57</v>
      </c>
      <c r="AO1731">
        <v>1.4E-3</v>
      </c>
      <c r="AP1731">
        <v>-1</v>
      </c>
      <c r="AQ1731">
        <v>0.4</v>
      </c>
      <c r="AR1731">
        <v>-0.2</v>
      </c>
      <c r="AS1731">
        <v>-6.65</v>
      </c>
      <c r="AT1731">
        <v>16.2</v>
      </c>
      <c r="AU1731">
        <v>1.02</v>
      </c>
      <c r="AV1731">
        <v>1</v>
      </c>
      <c r="AW1731">
        <v>3.65</v>
      </c>
      <c r="AX1731">
        <v>65.66</v>
      </c>
      <c r="AY1731" t="s">
        <v>120</v>
      </c>
      <c r="AZ1731" t="s">
        <v>120</v>
      </c>
      <c r="BA1731">
        <v>1.18</v>
      </c>
      <c r="BB1731" t="s">
        <v>143</v>
      </c>
      <c r="BF1731">
        <v>-0.51</v>
      </c>
      <c r="BG1731">
        <v>-1.0900000000000001</v>
      </c>
      <c r="BH1731">
        <v>-3.39</v>
      </c>
      <c r="BI1731">
        <v>0.1</v>
      </c>
      <c r="BJ1731">
        <v>20210824</v>
      </c>
      <c r="BK1731">
        <v>20140127</v>
      </c>
      <c r="BL1731">
        <v>5.26</v>
      </c>
      <c r="BM1731" t="s">
        <v>120</v>
      </c>
      <c r="BN1731" t="s">
        <v>120</v>
      </c>
      <c r="BO1731">
        <v>31.33</v>
      </c>
      <c r="BP1731">
        <v>9.9700000000000006</v>
      </c>
      <c r="BQ1731">
        <v>16.920000000000002</v>
      </c>
      <c r="BR1731">
        <v>-0.74</v>
      </c>
      <c r="BS1731">
        <v>48.37</v>
      </c>
      <c r="BT1731">
        <v>26.01</v>
      </c>
      <c r="BU1731">
        <v>0.52</v>
      </c>
      <c r="BV1731">
        <v>1.7</v>
      </c>
      <c r="BW1731">
        <v>14.97</v>
      </c>
      <c r="BX1731">
        <v>3.81</v>
      </c>
      <c r="BY1731">
        <v>6.85</v>
      </c>
      <c r="BZ1731">
        <v>13.49</v>
      </c>
      <c r="CA1731" t="s">
        <v>120</v>
      </c>
      <c r="CB1731">
        <v>17.39</v>
      </c>
      <c r="CC1731">
        <v>8.92</v>
      </c>
      <c r="CD1731">
        <v>6.78</v>
      </c>
      <c r="CE1731">
        <v>0.44</v>
      </c>
      <c r="CF1731">
        <v>-0.03</v>
      </c>
      <c r="CG1731">
        <v>0.44</v>
      </c>
      <c r="CH1731">
        <v>0.34</v>
      </c>
      <c r="CI1731">
        <v>0.41</v>
      </c>
      <c r="CJ1731">
        <v>-0.18</v>
      </c>
      <c r="CK1731">
        <v>0.27</v>
      </c>
      <c r="CL1731">
        <v>-5.42</v>
      </c>
      <c r="CM1731">
        <v>-0.44</v>
      </c>
      <c r="CN1731">
        <v>-1</v>
      </c>
      <c r="CO1731">
        <v>28127</v>
      </c>
      <c r="CP1731">
        <v>12268</v>
      </c>
      <c r="CQ1731" t="s">
        <v>8806</v>
      </c>
      <c r="CR1731">
        <v>1995.45</v>
      </c>
      <c r="CS1731">
        <v>70.98</v>
      </c>
      <c r="CT1731">
        <v>3.1</v>
      </c>
      <c r="CU1731">
        <v>-118.92</v>
      </c>
      <c r="CV1731">
        <v>5.87</v>
      </c>
      <c r="CW1731">
        <v>0</v>
      </c>
      <c r="CX1731" t="s">
        <v>535</v>
      </c>
      <c r="CY1731">
        <v>3.22</v>
      </c>
      <c r="CZ1731">
        <v>0</v>
      </c>
      <c r="DA1731">
        <v>3.31</v>
      </c>
      <c r="DB1731">
        <v>-1.03</v>
      </c>
      <c r="DC1731">
        <v>-0.08</v>
      </c>
      <c r="DD1731">
        <v>53.99</v>
      </c>
      <c r="DE1731" t="s">
        <v>3817</v>
      </c>
      <c r="DF1731">
        <v>23.98</v>
      </c>
      <c r="DG1731">
        <v>4.9400000000000004</v>
      </c>
      <c r="DH1731">
        <v>4.6100000000000003</v>
      </c>
      <c r="DI1731">
        <v>0.83</v>
      </c>
      <c r="DJ1731">
        <v>1777</v>
      </c>
      <c r="DK1731">
        <v>300366</v>
      </c>
      <c r="DL1731" t="s">
        <v>120</v>
      </c>
      <c r="DM1731" t="s">
        <v>120</v>
      </c>
      <c r="DN1731" t="s">
        <v>120</v>
      </c>
    </row>
    <row r="1732" spans="1:118">
      <c r="A1732" t="str">
        <f>"300368"</f>
        <v>300368</v>
      </c>
      <c r="B1732" t="s">
        <v>8807</v>
      </c>
      <c r="C1732">
        <v>-2.25</v>
      </c>
      <c r="D1732">
        <v>-0.54</v>
      </c>
      <c r="E1732">
        <v>0.72</v>
      </c>
      <c r="F1732">
        <v>3474</v>
      </c>
      <c r="G1732" t="s">
        <v>5397</v>
      </c>
      <c r="H1732">
        <v>11332.11</v>
      </c>
      <c r="I1732">
        <v>21.28</v>
      </c>
      <c r="J1732" t="s">
        <v>120</v>
      </c>
      <c r="K1732" t="s">
        <v>8808</v>
      </c>
      <c r="L1732">
        <v>2.02</v>
      </c>
      <c r="M1732">
        <v>10.87</v>
      </c>
      <c r="N1732">
        <v>0.82</v>
      </c>
      <c r="O1732">
        <v>0.99</v>
      </c>
      <c r="P1732">
        <v>11.23</v>
      </c>
      <c r="Q1732">
        <v>-2.25</v>
      </c>
      <c r="R1732">
        <v>10.87</v>
      </c>
      <c r="S1732">
        <v>11.2</v>
      </c>
      <c r="T1732">
        <v>102702</v>
      </c>
      <c r="U1732">
        <v>10.88</v>
      </c>
      <c r="V1732">
        <v>11.12</v>
      </c>
      <c r="W1732">
        <v>237.74</v>
      </c>
      <c r="X1732" t="s">
        <v>238</v>
      </c>
      <c r="Y1732" t="s">
        <v>602</v>
      </c>
      <c r="Z1732">
        <v>3.24</v>
      </c>
      <c r="AA1732">
        <v>11.03</v>
      </c>
      <c r="AB1732">
        <v>57550</v>
      </c>
      <c r="AC1732">
        <v>45152</v>
      </c>
      <c r="AD1732">
        <v>1.27</v>
      </c>
      <c r="AE1732">
        <v>272</v>
      </c>
      <c r="AF1732">
        <v>128</v>
      </c>
      <c r="AG1732" t="s">
        <v>120</v>
      </c>
      <c r="AH1732">
        <v>0.01</v>
      </c>
      <c r="AI1732" t="s">
        <v>120</v>
      </c>
      <c r="AJ1732">
        <v>5.0999999999999996</v>
      </c>
      <c r="AK1732" t="s">
        <v>8809</v>
      </c>
      <c r="AL1732">
        <v>-0.33</v>
      </c>
      <c r="AM1732">
        <v>2497</v>
      </c>
      <c r="AN1732">
        <v>41</v>
      </c>
      <c r="AO1732">
        <v>8.0000000000000004E-4</v>
      </c>
      <c r="AP1732">
        <v>-3</v>
      </c>
      <c r="AQ1732">
        <v>-1.94</v>
      </c>
      <c r="AR1732">
        <v>-6.93</v>
      </c>
      <c r="AS1732">
        <v>-3.55</v>
      </c>
      <c r="AT1732">
        <v>-13.26</v>
      </c>
      <c r="AU1732">
        <v>-20.32</v>
      </c>
      <c r="AV1732">
        <v>1</v>
      </c>
      <c r="AW1732">
        <v>3</v>
      </c>
      <c r="AX1732">
        <v>64.39</v>
      </c>
      <c r="AY1732">
        <v>102.75</v>
      </c>
      <c r="AZ1732">
        <v>91.67</v>
      </c>
      <c r="BA1732">
        <v>0.59</v>
      </c>
      <c r="BB1732" t="s">
        <v>240</v>
      </c>
      <c r="BF1732">
        <v>-0.77</v>
      </c>
      <c r="BG1732">
        <v>-2.95</v>
      </c>
      <c r="BH1732">
        <v>-3.21</v>
      </c>
      <c r="BI1732">
        <v>0</v>
      </c>
      <c r="BJ1732">
        <v>20210825</v>
      </c>
      <c r="BK1732">
        <v>20140123</v>
      </c>
      <c r="BL1732">
        <v>5.32</v>
      </c>
      <c r="BM1732" t="s">
        <v>120</v>
      </c>
      <c r="BN1732" t="s">
        <v>120</v>
      </c>
      <c r="BO1732">
        <v>39.86</v>
      </c>
      <c r="BP1732">
        <v>10.87</v>
      </c>
      <c r="BQ1732">
        <v>8.9</v>
      </c>
      <c r="BR1732">
        <v>0.93</v>
      </c>
      <c r="BS1732">
        <v>75.34</v>
      </c>
      <c r="BT1732">
        <v>27.39</v>
      </c>
      <c r="BU1732">
        <v>4.91</v>
      </c>
      <c r="BV1732">
        <v>0.5</v>
      </c>
      <c r="BW1732">
        <v>27.71</v>
      </c>
      <c r="BX1732">
        <v>2.79</v>
      </c>
      <c r="BY1732">
        <v>2.93</v>
      </c>
      <c r="BZ1732">
        <v>12.85</v>
      </c>
      <c r="CA1732">
        <v>0.04</v>
      </c>
      <c r="CB1732">
        <v>1.21</v>
      </c>
      <c r="CC1732">
        <v>8.4700000000000006</v>
      </c>
      <c r="CD1732">
        <v>6.91</v>
      </c>
      <c r="CE1732">
        <v>0.26</v>
      </c>
      <c r="CF1732">
        <v>-0.02</v>
      </c>
      <c r="CG1732">
        <v>0.27</v>
      </c>
      <c r="CH1732">
        <v>0.21</v>
      </c>
      <c r="CI1732">
        <v>0.12</v>
      </c>
      <c r="CJ1732">
        <v>-0.25</v>
      </c>
      <c r="CK1732">
        <v>0.11</v>
      </c>
      <c r="CL1732">
        <v>2.39</v>
      </c>
      <c r="CM1732">
        <v>-0.85</v>
      </c>
      <c r="CN1732">
        <v>-0.84</v>
      </c>
      <c r="CO1732">
        <v>62449</v>
      </c>
      <c r="CP1732">
        <v>5484</v>
      </c>
      <c r="CQ1732" t="s">
        <v>1289</v>
      </c>
      <c r="CR1732">
        <v>-36.4</v>
      </c>
      <c r="CS1732">
        <v>46.82</v>
      </c>
      <c r="CT1732">
        <v>6.49</v>
      </c>
      <c r="CU1732">
        <v>-67.849999999999994</v>
      </c>
      <c r="CV1732">
        <v>6.83</v>
      </c>
      <c r="CW1732">
        <v>0.15</v>
      </c>
      <c r="CX1732" t="s">
        <v>499</v>
      </c>
      <c r="CY1732">
        <v>1.67</v>
      </c>
      <c r="CZ1732">
        <v>0</v>
      </c>
      <c r="DA1732">
        <v>0.23</v>
      </c>
      <c r="DB1732">
        <v>0.45</v>
      </c>
      <c r="DC1732">
        <v>-0.16</v>
      </c>
      <c r="DD1732">
        <v>22.34</v>
      </c>
      <c r="DE1732" t="s">
        <v>7979</v>
      </c>
      <c r="DF1732">
        <v>18.440000000000001</v>
      </c>
      <c r="DG1732">
        <v>3.12</v>
      </c>
      <c r="DH1732">
        <v>1.44</v>
      </c>
      <c r="DI1732">
        <v>0.12</v>
      </c>
      <c r="DJ1732">
        <v>987</v>
      </c>
      <c r="DK1732">
        <v>300368</v>
      </c>
      <c r="DL1732" t="s">
        <v>120</v>
      </c>
      <c r="DM1732" t="s">
        <v>120</v>
      </c>
      <c r="DN1732" t="s">
        <v>120</v>
      </c>
    </row>
    <row r="1733" spans="1:118">
      <c r="A1733" t="str">
        <f>"300369"</f>
        <v>300369</v>
      </c>
      <c r="B1733" t="s">
        <v>8810</v>
      </c>
      <c r="C1733">
        <v>-2.99</v>
      </c>
      <c r="D1733">
        <v>-0.63</v>
      </c>
      <c r="E1733">
        <v>-0.68</v>
      </c>
      <c r="F1733">
        <v>2513</v>
      </c>
      <c r="G1733" t="s">
        <v>8811</v>
      </c>
      <c r="H1733">
        <v>17831.28</v>
      </c>
      <c r="I1733">
        <v>62.23</v>
      </c>
      <c r="J1733" t="s">
        <v>120</v>
      </c>
      <c r="K1733" t="s">
        <v>8812</v>
      </c>
      <c r="L1733">
        <v>1.4</v>
      </c>
      <c r="M1733">
        <v>17.170000000000002</v>
      </c>
      <c r="N1733">
        <v>0.81</v>
      </c>
      <c r="O1733">
        <v>1.3</v>
      </c>
      <c r="P1733">
        <v>17.93</v>
      </c>
      <c r="Q1733">
        <v>-3.5</v>
      </c>
      <c r="R1733">
        <v>17.079999999999998</v>
      </c>
      <c r="S1733">
        <v>17.579999999999998</v>
      </c>
      <c r="T1733">
        <v>102720</v>
      </c>
      <c r="U1733">
        <v>17.2</v>
      </c>
      <c r="V1733">
        <v>17.7</v>
      </c>
      <c r="W1733">
        <v>814.31</v>
      </c>
      <c r="X1733" t="s">
        <v>141</v>
      </c>
      <c r="Y1733" t="s">
        <v>158</v>
      </c>
      <c r="Z1733">
        <v>4.8</v>
      </c>
      <c r="AA1733">
        <v>17.36</v>
      </c>
      <c r="AB1733">
        <v>58772</v>
      </c>
      <c r="AC1733">
        <v>43948</v>
      </c>
      <c r="AD1733">
        <v>1.34</v>
      </c>
      <c r="AE1733">
        <v>21</v>
      </c>
      <c r="AF1733">
        <v>10</v>
      </c>
      <c r="AG1733" t="s">
        <v>120</v>
      </c>
      <c r="AH1733">
        <v>0.01</v>
      </c>
      <c r="AI1733" t="s">
        <v>120</v>
      </c>
      <c r="AJ1733">
        <v>7.34</v>
      </c>
      <c r="AK1733" t="s">
        <v>8813</v>
      </c>
      <c r="AL1733">
        <v>-1.08</v>
      </c>
      <c r="AM1733">
        <v>3231</v>
      </c>
      <c r="AN1733">
        <v>32</v>
      </c>
      <c r="AO1733">
        <v>4.0000000000000002E-4</v>
      </c>
      <c r="AP1733">
        <v>-2</v>
      </c>
      <c r="AQ1733">
        <v>-1.67</v>
      </c>
      <c r="AR1733">
        <v>-3.87</v>
      </c>
      <c r="AS1733">
        <v>-13.94</v>
      </c>
      <c r="AT1733">
        <v>9.01</v>
      </c>
      <c r="AU1733">
        <v>12.94</v>
      </c>
      <c r="AV1733">
        <v>2</v>
      </c>
      <c r="AW1733">
        <v>1.84</v>
      </c>
      <c r="AX1733">
        <v>70.02</v>
      </c>
      <c r="AY1733">
        <v>41.51</v>
      </c>
      <c r="AZ1733">
        <v>46.93</v>
      </c>
      <c r="BA1733">
        <v>0.68</v>
      </c>
      <c r="BB1733" t="s">
        <v>134</v>
      </c>
      <c r="BF1733">
        <v>-1.93</v>
      </c>
      <c r="BG1733">
        <v>-2.33</v>
      </c>
      <c r="BH1733">
        <v>-4.24</v>
      </c>
      <c r="BI1733">
        <v>0.53</v>
      </c>
      <c r="BJ1733">
        <v>20210910</v>
      </c>
      <c r="BK1733">
        <v>20140129</v>
      </c>
      <c r="BL1733">
        <v>7.98</v>
      </c>
      <c r="BM1733" t="s">
        <v>120</v>
      </c>
      <c r="BN1733" t="s">
        <v>120</v>
      </c>
      <c r="BO1733">
        <v>39.74</v>
      </c>
      <c r="BP1733">
        <v>17.170000000000002</v>
      </c>
      <c r="BQ1733">
        <v>32.18</v>
      </c>
      <c r="BR1733">
        <v>-0.01</v>
      </c>
      <c r="BS1733">
        <v>19.04</v>
      </c>
      <c r="BT1733">
        <v>25.89</v>
      </c>
      <c r="BU1733">
        <v>2.39</v>
      </c>
      <c r="BV1733">
        <v>2.19</v>
      </c>
      <c r="BW1733">
        <v>6.47</v>
      </c>
      <c r="BX1733">
        <v>5.98</v>
      </c>
      <c r="BY1733">
        <v>1.0900000000000001</v>
      </c>
      <c r="BZ1733">
        <v>5.04</v>
      </c>
      <c r="CA1733">
        <v>7.0000000000000007E-2</v>
      </c>
      <c r="CB1733">
        <v>13.92</v>
      </c>
      <c r="CC1733">
        <v>7.72</v>
      </c>
      <c r="CD1733">
        <v>2.54</v>
      </c>
      <c r="CE1733">
        <v>-0.01</v>
      </c>
      <c r="CF1733">
        <v>0.12</v>
      </c>
      <c r="CG1733">
        <v>-0.02</v>
      </c>
      <c r="CH1733">
        <v>0.08</v>
      </c>
      <c r="CI1733">
        <v>0.08</v>
      </c>
      <c r="CJ1733">
        <v>-0.53</v>
      </c>
      <c r="CK1733">
        <v>-0.03</v>
      </c>
      <c r="CL1733">
        <v>12.37</v>
      </c>
      <c r="CM1733">
        <v>1.62</v>
      </c>
      <c r="CN1733">
        <v>-0.38</v>
      </c>
      <c r="CO1733">
        <v>23613</v>
      </c>
      <c r="CP1733">
        <v>23672</v>
      </c>
      <c r="CQ1733" t="s">
        <v>8814</v>
      </c>
      <c r="CR1733">
        <v>127.25</v>
      </c>
      <c r="CS1733">
        <v>40.39</v>
      </c>
      <c r="CT1733">
        <v>4.26</v>
      </c>
      <c r="CU1733">
        <v>84.47</v>
      </c>
      <c r="CV1733">
        <v>17.760000000000002</v>
      </c>
      <c r="CW1733">
        <v>0.43</v>
      </c>
      <c r="CX1733" t="s">
        <v>178</v>
      </c>
      <c r="CY1733">
        <v>4.03</v>
      </c>
      <c r="CZ1733">
        <v>0</v>
      </c>
      <c r="DA1733">
        <v>1.74</v>
      </c>
      <c r="DB1733">
        <v>1.55</v>
      </c>
      <c r="DC1733">
        <v>0.2</v>
      </c>
      <c r="DD1733">
        <v>80.98</v>
      </c>
      <c r="DE1733" t="s">
        <v>7692</v>
      </c>
      <c r="DF1733">
        <v>67.150000000000006</v>
      </c>
      <c r="DG1733">
        <v>-0.08</v>
      </c>
      <c r="DH1733">
        <v>1.0900000000000001</v>
      </c>
      <c r="DI1733">
        <v>1.79</v>
      </c>
      <c r="DJ1733">
        <v>3402</v>
      </c>
      <c r="DK1733">
        <v>300369</v>
      </c>
      <c r="DL1733" t="s">
        <v>120</v>
      </c>
      <c r="DM1733" t="s">
        <v>120</v>
      </c>
      <c r="DN1733" t="s">
        <v>120</v>
      </c>
    </row>
    <row r="1734" spans="1:118">
      <c r="A1734" t="str">
        <f>"300371"</f>
        <v>300371</v>
      </c>
      <c r="B1734" t="s">
        <v>8815</v>
      </c>
      <c r="C1734">
        <v>0.28999999999999998</v>
      </c>
      <c r="D1734">
        <v>-0.28000000000000003</v>
      </c>
      <c r="E1734">
        <v>0.28999999999999998</v>
      </c>
      <c r="F1734">
        <v>116</v>
      </c>
      <c r="G1734" t="s">
        <v>245</v>
      </c>
      <c r="H1734">
        <v>2784.33</v>
      </c>
      <c r="I1734">
        <v>3.2</v>
      </c>
      <c r="J1734" t="s">
        <v>120</v>
      </c>
      <c r="K1734" t="s">
        <v>8816</v>
      </c>
      <c r="L1734">
        <v>1.81</v>
      </c>
      <c r="M1734">
        <v>13.93</v>
      </c>
      <c r="N1734">
        <v>1.34</v>
      </c>
      <c r="O1734">
        <v>1.94</v>
      </c>
      <c r="P1734">
        <v>14.16</v>
      </c>
      <c r="Q1734">
        <v>-1.1499999999999999</v>
      </c>
      <c r="R1734">
        <v>13.73</v>
      </c>
      <c r="S1734">
        <v>13.93</v>
      </c>
      <c r="T1734">
        <v>19969</v>
      </c>
      <c r="U1734">
        <v>13.93</v>
      </c>
      <c r="V1734">
        <v>13.89</v>
      </c>
      <c r="W1734">
        <v>25.26</v>
      </c>
      <c r="X1734" t="s">
        <v>2717</v>
      </c>
      <c r="Y1734" t="s">
        <v>602</v>
      </c>
      <c r="Z1734">
        <v>3.1</v>
      </c>
      <c r="AA1734">
        <v>13.94</v>
      </c>
      <c r="AB1734">
        <v>10666</v>
      </c>
      <c r="AC1734">
        <v>9303</v>
      </c>
      <c r="AD1734">
        <v>1.1499999999999999</v>
      </c>
      <c r="AE1734">
        <v>5</v>
      </c>
      <c r="AF1734">
        <v>9</v>
      </c>
      <c r="AG1734" t="s">
        <v>120</v>
      </c>
      <c r="AH1734">
        <v>0</v>
      </c>
      <c r="AI1734" t="s">
        <v>120</v>
      </c>
      <c r="AJ1734">
        <v>1.1000000000000001</v>
      </c>
      <c r="AK1734" t="s">
        <v>7551</v>
      </c>
      <c r="AL1734">
        <v>2.2000000000000002</v>
      </c>
      <c r="AM1734">
        <v>979</v>
      </c>
      <c r="AN1734">
        <v>20</v>
      </c>
      <c r="AO1734">
        <v>1.9E-3</v>
      </c>
      <c r="AP1734">
        <v>2</v>
      </c>
      <c r="AQ1734">
        <v>0.14000000000000001</v>
      </c>
      <c r="AR1734">
        <v>-1.49</v>
      </c>
      <c r="AS1734">
        <v>0.28999999999999998</v>
      </c>
      <c r="AT1734">
        <v>5.05</v>
      </c>
      <c r="AU1734">
        <v>6.42</v>
      </c>
      <c r="AV1734">
        <v>1</v>
      </c>
      <c r="AW1734">
        <v>2.79</v>
      </c>
      <c r="AX1734">
        <v>42.74</v>
      </c>
      <c r="AY1734">
        <v>17.5</v>
      </c>
      <c r="AZ1734">
        <v>18.350000000000001</v>
      </c>
      <c r="BA1734">
        <v>0.68</v>
      </c>
      <c r="BB1734" t="s">
        <v>143</v>
      </c>
      <c r="BF1734">
        <v>0.38</v>
      </c>
      <c r="BG1734">
        <v>0</v>
      </c>
      <c r="BH1734">
        <v>-1.62</v>
      </c>
      <c r="BI1734">
        <v>1.46</v>
      </c>
      <c r="BJ1734">
        <v>20210913</v>
      </c>
      <c r="BK1734">
        <v>20140123</v>
      </c>
      <c r="BL1734">
        <v>1.68</v>
      </c>
      <c r="BM1734" t="s">
        <v>120</v>
      </c>
      <c r="BN1734" t="s">
        <v>120</v>
      </c>
      <c r="BO1734">
        <v>9.58</v>
      </c>
      <c r="BP1734">
        <v>13.92</v>
      </c>
      <c r="BQ1734">
        <v>8.31</v>
      </c>
      <c r="BR1734" t="s">
        <v>120</v>
      </c>
      <c r="BS1734">
        <v>13.26</v>
      </c>
      <c r="BT1734">
        <v>5.47</v>
      </c>
      <c r="BU1734">
        <v>3</v>
      </c>
      <c r="BV1734">
        <v>0.66</v>
      </c>
      <c r="BW1734">
        <v>1.1399999999999999</v>
      </c>
      <c r="BX1734">
        <v>0.49</v>
      </c>
      <c r="BY1734">
        <v>1.22</v>
      </c>
      <c r="BZ1734">
        <v>2.0299999999999998</v>
      </c>
      <c r="CA1734" t="s">
        <v>120</v>
      </c>
      <c r="CB1734">
        <v>1.19</v>
      </c>
      <c r="CC1734">
        <v>1.67</v>
      </c>
      <c r="CD1734">
        <v>0.75</v>
      </c>
      <c r="CE1734">
        <v>0.52</v>
      </c>
      <c r="CF1734">
        <v>0.04</v>
      </c>
      <c r="CG1734">
        <v>0.53</v>
      </c>
      <c r="CH1734">
        <v>0.46</v>
      </c>
      <c r="CI1734">
        <v>0.46</v>
      </c>
      <c r="CJ1734">
        <v>0.04</v>
      </c>
      <c r="CK1734">
        <v>0.42</v>
      </c>
      <c r="CL1734">
        <v>4.72</v>
      </c>
      <c r="CM1734">
        <v>-0.33</v>
      </c>
      <c r="CN1734">
        <v>-0.5</v>
      </c>
      <c r="CO1734">
        <v>8759</v>
      </c>
      <c r="CP1734">
        <v>8181</v>
      </c>
      <c r="CQ1734" t="s">
        <v>8817</v>
      </c>
      <c r="CR1734">
        <v>15.26</v>
      </c>
      <c r="CS1734">
        <v>10.28</v>
      </c>
      <c r="CT1734">
        <v>2.81</v>
      </c>
      <c r="CU1734">
        <v>-71.069999999999993</v>
      </c>
      <c r="CV1734">
        <v>13.95</v>
      </c>
      <c r="CW1734">
        <v>1.65</v>
      </c>
      <c r="CX1734" t="s">
        <v>1054</v>
      </c>
      <c r="CY1734">
        <v>4.96</v>
      </c>
      <c r="CZ1734">
        <v>0</v>
      </c>
      <c r="DA1734">
        <v>0.71</v>
      </c>
      <c r="DB1734">
        <v>2.81</v>
      </c>
      <c r="DC1734">
        <v>-0.2</v>
      </c>
      <c r="DD1734">
        <v>86.74</v>
      </c>
      <c r="DE1734" t="s">
        <v>8818</v>
      </c>
      <c r="DF1734">
        <v>55.49</v>
      </c>
      <c r="DG1734">
        <v>31.19</v>
      </c>
      <c r="DH1734">
        <v>27.61</v>
      </c>
      <c r="DI1734">
        <v>0.15</v>
      </c>
      <c r="DJ1734">
        <v>533</v>
      </c>
      <c r="DK1734">
        <v>300371</v>
      </c>
      <c r="DL1734" t="s">
        <v>120</v>
      </c>
      <c r="DM1734" t="s">
        <v>120</v>
      </c>
      <c r="DN1734" t="s">
        <v>120</v>
      </c>
    </row>
    <row r="1735" spans="1:118">
      <c r="A1735" t="str">
        <f>"300373"</f>
        <v>300373</v>
      </c>
      <c r="B1735" t="s">
        <v>8819</v>
      </c>
      <c r="C1735">
        <v>-5.28</v>
      </c>
      <c r="D1735">
        <v>-0.04</v>
      </c>
      <c r="E1735">
        <v>-0.69</v>
      </c>
      <c r="F1735">
        <v>1490</v>
      </c>
      <c r="G1735" t="s">
        <v>8820</v>
      </c>
      <c r="H1735">
        <v>68173.070000000007</v>
      </c>
      <c r="I1735">
        <v>184.66</v>
      </c>
      <c r="J1735" t="s">
        <v>120</v>
      </c>
      <c r="K1735" t="s">
        <v>8821</v>
      </c>
      <c r="L1735">
        <v>2.97</v>
      </c>
      <c r="M1735">
        <v>43.92</v>
      </c>
      <c r="N1735">
        <v>0.99</v>
      </c>
      <c r="O1735">
        <v>-0.04</v>
      </c>
      <c r="P1735">
        <v>46.35</v>
      </c>
      <c r="Q1735">
        <v>-5.41</v>
      </c>
      <c r="R1735">
        <v>43.86</v>
      </c>
      <c r="S1735">
        <v>46.05</v>
      </c>
      <c r="T1735">
        <v>151818</v>
      </c>
      <c r="U1735">
        <v>43.92</v>
      </c>
      <c r="V1735">
        <v>46.37</v>
      </c>
      <c r="W1735">
        <v>32.69</v>
      </c>
      <c r="X1735" t="s">
        <v>3245</v>
      </c>
      <c r="Y1735" t="s">
        <v>319</v>
      </c>
      <c r="Z1735">
        <v>5.37</v>
      </c>
      <c r="AA1735">
        <v>44.9</v>
      </c>
      <c r="AB1735">
        <v>89230</v>
      </c>
      <c r="AC1735">
        <v>62588</v>
      </c>
      <c r="AD1735">
        <v>1.43</v>
      </c>
      <c r="AE1735">
        <v>83</v>
      </c>
      <c r="AF1735">
        <v>273</v>
      </c>
      <c r="AG1735" t="s">
        <v>120</v>
      </c>
      <c r="AH1735">
        <v>0.02</v>
      </c>
      <c r="AI1735" t="s">
        <v>120</v>
      </c>
      <c r="AJ1735">
        <v>5.1100000000000003</v>
      </c>
      <c r="AK1735" t="s">
        <v>8822</v>
      </c>
      <c r="AL1735">
        <v>-3.37</v>
      </c>
      <c r="AM1735">
        <v>4307</v>
      </c>
      <c r="AN1735">
        <v>35</v>
      </c>
      <c r="AO1735">
        <v>6.9999999999999999E-4</v>
      </c>
      <c r="AP1735">
        <v>-2</v>
      </c>
      <c r="AQ1735">
        <v>-1.63</v>
      </c>
      <c r="AR1735">
        <v>-5.5</v>
      </c>
      <c r="AS1735">
        <v>-11.43</v>
      </c>
      <c r="AT1735">
        <v>-24.79</v>
      </c>
      <c r="AU1735">
        <v>-0.79</v>
      </c>
      <c r="AV1735">
        <v>0</v>
      </c>
      <c r="AW1735">
        <v>6.08</v>
      </c>
      <c r="AX1735">
        <v>48.71</v>
      </c>
      <c r="AY1735">
        <v>41.09</v>
      </c>
      <c r="AZ1735">
        <v>62.81</v>
      </c>
      <c r="BA1735">
        <v>0.73</v>
      </c>
      <c r="BB1735" t="s">
        <v>143</v>
      </c>
      <c r="BF1735">
        <v>-3.16</v>
      </c>
      <c r="BG1735">
        <v>-4.63</v>
      </c>
      <c r="BH1735">
        <v>-5.24</v>
      </c>
      <c r="BI1735">
        <v>0.14000000000000001</v>
      </c>
      <c r="BJ1735">
        <v>20210830</v>
      </c>
      <c r="BK1735">
        <v>20140123</v>
      </c>
      <c r="BL1735">
        <v>5.12</v>
      </c>
      <c r="BM1735" t="s">
        <v>120</v>
      </c>
      <c r="BN1735" t="s">
        <v>120</v>
      </c>
      <c r="BO1735">
        <v>64.459999999999994</v>
      </c>
      <c r="BP1735">
        <v>43.91</v>
      </c>
      <c r="BQ1735">
        <v>46.46</v>
      </c>
      <c r="BR1735">
        <v>1.22</v>
      </c>
      <c r="BS1735">
        <v>26.03</v>
      </c>
      <c r="BT1735">
        <v>37.69</v>
      </c>
      <c r="BU1735">
        <v>11.65</v>
      </c>
      <c r="BV1735">
        <v>1.25</v>
      </c>
      <c r="BW1735">
        <v>14.04</v>
      </c>
      <c r="BX1735">
        <v>8.92</v>
      </c>
      <c r="BY1735">
        <v>6.27</v>
      </c>
      <c r="BZ1735">
        <v>9.98</v>
      </c>
      <c r="CA1735" t="s">
        <v>120</v>
      </c>
      <c r="CB1735">
        <v>25.01</v>
      </c>
      <c r="CC1735">
        <v>20.8</v>
      </c>
      <c r="CD1735">
        <v>13.71</v>
      </c>
      <c r="CE1735">
        <v>4.2699999999999996</v>
      </c>
      <c r="CF1735">
        <v>0.1</v>
      </c>
      <c r="CG1735">
        <v>4.21</v>
      </c>
      <c r="CH1735">
        <v>3.68</v>
      </c>
      <c r="CI1735">
        <v>3.44</v>
      </c>
      <c r="CJ1735">
        <v>-2.4500000000000002</v>
      </c>
      <c r="CK1735">
        <v>3.33</v>
      </c>
      <c r="CL1735">
        <v>15.25</v>
      </c>
      <c r="CM1735">
        <v>2.11</v>
      </c>
      <c r="CN1735">
        <v>5.66</v>
      </c>
      <c r="CO1735">
        <v>64900</v>
      </c>
      <c r="CP1735">
        <v>3845</v>
      </c>
      <c r="CQ1735" t="s">
        <v>8823</v>
      </c>
      <c r="CR1735">
        <v>138.57</v>
      </c>
      <c r="CS1735">
        <v>82.93</v>
      </c>
      <c r="CT1735">
        <v>4.84</v>
      </c>
      <c r="CU1735">
        <v>106.42</v>
      </c>
      <c r="CV1735">
        <v>10.82</v>
      </c>
      <c r="CW1735">
        <v>0.32</v>
      </c>
      <c r="CX1735" t="s">
        <v>527</v>
      </c>
      <c r="CY1735">
        <v>9.07</v>
      </c>
      <c r="CZ1735">
        <v>0</v>
      </c>
      <c r="DA1735">
        <v>4.88</v>
      </c>
      <c r="DB1735">
        <v>2.98</v>
      </c>
      <c r="DC1735">
        <v>0.41</v>
      </c>
      <c r="DD1735">
        <v>72.08</v>
      </c>
      <c r="DE1735" t="s">
        <v>8824</v>
      </c>
      <c r="DF1735">
        <v>34.06</v>
      </c>
      <c r="DG1735">
        <v>20.55</v>
      </c>
      <c r="DH1735">
        <v>16.55</v>
      </c>
      <c r="DI1735">
        <v>1.1299999999999999</v>
      </c>
      <c r="DJ1735">
        <v>2771</v>
      </c>
      <c r="DK1735">
        <v>300373</v>
      </c>
      <c r="DL1735" t="s">
        <v>120</v>
      </c>
      <c r="DM1735" t="s">
        <v>120</v>
      </c>
      <c r="DN1735" t="s">
        <v>120</v>
      </c>
    </row>
    <row r="1736" spans="1:118">
      <c r="A1736" t="str">
        <f>"300374"</f>
        <v>300374</v>
      </c>
      <c r="B1736" t="s">
        <v>8825</v>
      </c>
      <c r="C1736">
        <v>-3.67</v>
      </c>
      <c r="D1736">
        <v>0</v>
      </c>
      <c r="E1736">
        <v>0.65</v>
      </c>
      <c r="F1736">
        <v>540</v>
      </c>
      <c r="G1736" t="s">
        <v>1848</v>
      </c>
      <c r="H1736">
        <v>4972.32</v>
      </c>
      <c r="I1736">
        <v>75.88</v>
      </c>
      <c r="J1736" t="s">
        <v>120</v>
      </c>
      <c r="K1736" t="s">
        <v>2590</v>
      </c>
      <c r="L1736">
        <v>1.93</v>
      </c>
      <c r="M1736">
        <v>13.4</v>
      </c>
      <c r="N1736">
        <v>0.73</v>
      </c>
      <c r="O1736">
        <v>1.01</v>
      </c>
      <c r="P1736">
        <v>14.05</v>
      </c>
      <c r="Q1736">
        <v>-3.95</v>
      </c>
      <c r="R1736">
        <v>13.36</v>
      </c>
      <c r="S1736">
        <v>14</v>
      </c>
      <c r="T1736">
        <v>36492</v>
      </c>
      <c r="U1736">
        <v>13.4</v>
      </c>
      <c r="V1736">
        <v>13.91</v>
      </c>
      <c r="W1736" t="s">
        <v>120</v>
      </c>
      <c r="X1736" t="s">
        <v>247</v>
      </c>
      <c r="Y1736" t="s">
        <v>158</v>
      </c>
      <c r="Z1736">
        <v>4.96</v>
      </c>
      <c r="AA1736">
        <v>13.63</v>
      </c>
      <c r="AB1736">
        <v>21529</v>
      </c>
      <c r="AC1736">
        <v>14963</v>
      </c>
      <c r="AD1736">
        <v>1.44</v>
      </c>
      <c r="AE1736">
        <v>416</v>
      </c>
      <c r="AF1736">
        <v>412</v>
      </c>
      <c r="AG1736" t="s">
        <v>120</v>
      </c>
      <c r="AH1736">
        <v>0.06</v>
      </c>
      <c r="AI1736" t="s">
        <v>120</v>
      </c>
      <c r="AJ1736">
        <v>1.89</v>
      </c>
      <c r="AK1736" t="s">
        <v>8826</v>
      </c>
      <c r="AL1736">
        <v>-1.75</v>
      </c>
      <c r="AM1736">
        <v>1764</v>
      </c>
      <c r="AN1736">
        <v>21</v>
      </c>
      <c r="AO1736">
        <v>1.1000000000000001E-3</v>
      </c>
      <c r="AP1736">
        <v>-1</v>
      </c>
      <c r="AQ1736">
        <v>1.02</v>
      </c>
      <c r="AR1736">
        <v>-5.56</v>
      </c>
      <c r="AS1736">
        <v>4.7699999999999996</v>
      </c>
      <c r="AT1736">
        <v>0.15</v>
      </c>
      <c r="AU1736">
        <v>12.8</v>
      </c>
      <c r="AV1736">
        <v>2</v>
      </c>
      <c r="AW1736">
        <v>3.93</v>
      </c>
      <c r="AX1736">
        <v>37.79</v>
      </c>
      <c r="AY1736" t="s">
        <v>120</v>
      </c>
      <c r="AZ1736">
        <v>242.6</v>
      </c>
      <c r="BA1736">
        <v>0.46</v>
      </c>
      <c r="BB1736" t="s">
        <v>143</v>
      </c>
      <c r="BF1736">
        <v>-2.04</v>
      </c>
      <c r="BG1736">
        <v>-4.29</v>
      </c>
      <c r="BH1736">
        <v>-4.63</v>
      </c>
      <c r="BI1736">
        <v>0.3</v>
      </c>
      <c r="BJ1736">
        <v>20210914</v>
      </c>
      <c r="BK1736">
        <v>20150319</v>
      </c>
      <c r="BL1736">
        <v>2.46</v>
      </c>
      <c r="BM1736" t="s">
        <v>120</v>
      </c>
      <c r="BN1736" t="s">
        <v>120</v>
      </c>
      <c r="BO1736">
        <v>31.57</v>
      </c>
      <c r="BP1736">
        <v>13.39</v>
      </c>
      <c r="BQ1736">
        <v>14.02</v>
      </c>
      <c r="BR1736" t="s">
        <v>120</v>
      </c>
      <c r="BS1736">
        <v>55.6</v>
      </c>
      <c r="BT1736">
        <v>14.55</v>
      </c>
      <c r="BU1736">
        <v>10.43</v>
      </c>
      <c r="BV1736">
        <v>0.95</v>
      </c>
      <c r="BW1736">
        <v>14.94</v>
      </c>
      <c r="BX1736">
        <v>1.25</v>
      </c>
      <c r="BY1736">
        <v>1.17</v>
      </c>
      <c r="BZ1736">
        <v>6.31</v>
      </c>
      <c r="CA1736" t="s">
        <v>120</v>
      </c>
      <c r="CB1736">
        <v>7.61</v>
      </c>
      <c r="CC1736">
        <v>2.13</v>
      </c>
      <c r="CD1736">
        <v>2.9</v>
      </c>
      <c r="CE1736">
        <v>-1.72</v>
      </c>
      <c r="CF1736">
        <v>0</v>
      </c>
      <c r="CG1736">
        <v>-1.67</v>
      </c>
      <c r="CH1736">
        <v>-1.31</v>
      </c>
      <c r="CI1736">
        <v>-1.31</v>
      </c>
      <c r="CJ1736">
        <v>-0.51</v>
      </c>
      <c r="CK1736">
        <v>-1.38</v>
      </c>
      <c r="CL1736">
        <v>3.67</v>
      </c>
      <c r="CM1736">
        <v>-0.65</v>
      </c>
      <c r="CN1736">
        <v>-1.03</v>
      </c>
      <c r="CO1736">
        <v>12348</v>
      </c>
      <c r="CP1736">
        <v>7526</v>
      </c>
      <c r="CQ1736" t="s">
        <v>8235</v>
      </c>
      <c r="CR1736">
        <v>-660.46</v>
      </c>
      <c r="CS1736">
        <v>-43.97</v>
      </c>
      <c r="CT1736">
        <v>2.35</v>
      </c>
      <c r="CU1736">
        <v>-50.69</v>
      </c>
      <c r="CV1736">
        <v>15.5</v>
      </c>
      <c r="CW1736">
        <v>7.0000000000000007E-2</v>
      </c>
      <c r="CX1736" t="s">
        <v>8827</v>
      </c>
      <c r="CY1736">
        <v>5.7</v>
      </c>
      <c r="CZ1736">
        <v>0</v>
      </c>
      <c r="DA1736">
        <v>3.1</v>
      </c>
      <c r="DB1736">
        <v>1.49</v>
      </c>
      <c r="DC1736">
        <v>-0.26</v>
      </c>
      <c r="DD1736">
        <v>44.4</v>
      </c>
      <c r="DE1736" t="s">
        <v>8828</v>
      </c>
      <c r="DF1736">
        <v>-36.200000000000003</v>
      </c>
      <c r="DG1736">
        <v>-80.959999999999994</v>
      </c>
      <c r="DH1736">
        <v>-61.58</v>
      </c>
      <c r="DI1736">
        <v>0.05</v>
      </c>
      <c r="DJ1736">
        <v>541</v>
      </c>
      <c r="DK1736">
        <v>300374</v>
      </c>
      <c r="DL1736" t="s">
        <v>120</v>
      </c>
      <c r="DM1736" t="s">
        <v>120</v>
      </c>
      <c r="DN1736" t="s">
        <v>120</v>
      </c>
    </row>
    <row r="1737" spans="1:118">
      <c r="A1737" t="str">
        <f>"300375"</f>
        <v>300375</v>
      </c>
      <c r="B1737" t="s">
        <v>8829</v>
      </c>
      <c r="C1737">
        <v>-3.86</v>
      </c>
      <c r="D1737">
        <v>0</v>
      </c>
      <c r="E1737">
        <v>-0.2</v>
      </c>
      <c r="F1737">
        <v>1223</v>
      </c>
      <c r="G1737" t="s">
        <v>5619</v>
      </c>
      <c r="H1737">
        <v>5476.23</v>
      </c>
      <c r="I1737">
        <v>10.16</v>
      </c>
      <c r="J1737" t="s">
        <v>120</v>
      </c>
      <c r="K1737" t="s">
        <v>7298</v>
      </c>
      <c r="L1737">
        <v>1.81</v>
      </c>
      <c r="M1737">
        <v>4.7300000000000004</v>
      </c>
      <c r="N1737">
        <v>0.75</v>
      </c>
      <c r="O1737">
        <v>0.41</v>
      </c>
      <c r="P1737">
        <v>4.9400000000000004</v>
      </c>
      <c r="Q1737">
        <v>-3.86</v>
      </c>
      <c r="R1737">
        <v>4.7300000000000004</v>
      </c>
      <c r="S1737">
        <v>4.91</v>
      </c>
      <c r="T1737">
        <v>113645</v>
      </c>
      <c r="U1737">
        <v>4.7300000000000004</v>
      </c>
      <c r="V1737">
        <v>4.92</v>
      </c>
      <c r="W1737">
        <v>29.46</v>
      </c>
      <c r="X1737" t="s">
        <v>289</v>
      </c>
      <c r="Y1737" t="s">
        <v>997</v>
      </c>
      <c r="Z1737">
        <v>4.2699999999999996</v>
      </c>
      <c r="AA1737">
        <v>4.82</v>
      </c>
      <c r="AB1737">
        <v>66133</v>
      </c>
      <c r="AC1737">
        <v>47512</v>
      </c>
      <c r="AD1737">
        <v>1.39</v>
      </c>
      <c r="AE1737">
        <v>819</v>
      </c>
      <c r="AF1737">
        <v>55</v>
      </c>
      <c r="AG1737" t="s">
        <v>120</v>
      </c>
      <c r="AH1737">
        <v>0.01</v>
      </c>
      <c r="AI1737" t="s">
        <v>120</v>
      </c>
      <c r="AJ1737">
        <v>6.29</v>
      </c>
      <c r="AK1737" t="s">
        <v>2345</v>
      </c>
      <c r="AL1737">
        <v>-1.95</v>
      </c>
      <c r="AM1737">
        <v>1742</v>
      </c>
      <c r="AN1737">
        <v>65</v>
      </c>
      <c r="AO1737">
        <v>1E-3</v>
      </c>
      <c r="AP1737">
        <v>-1</v>
      </c>
      <c r="AQ1737">
        <v>2.71</v>
      </c>
      <c r="AR1737">
        <v>-4.45</v>
      </c>
      <c r="AS1737">
        <v>-7.26</v>
      </c>
      <c r="AT1737">
        <v>1.94</v>
      </c>
      <c r="AU1737">
        <v>-4.45</v>
      </c>
      <c r="AV1737">
        <v>0</v>
      </c>
      <c r="AW1737">
        <v>2.78</v>
      </c>
      <c r="AX1737">
        <v>57.53</v>
      </c>
      <c r="AY1737" t="s">
        <v>120</v>
      </c>
      <c r="AZ1737" t="s">
        <v>120</v>
      </c>
      <c r="BA1737">
        <v>0.56999999999999995</v>
      </c>
      <c r="BB1737" t="s">
        <v>143</v>
      </c>
      <c r="BF1737">
        <v>-2.06</v>
      </c>
      <c r="BG1737">
        <v>-3.67</v>
      </c>
      <c r="BH1737">
        <v>-4.25</v>
      </c>
      <c r="BI1737">
        <v>0</v>
      </c>
      <c r="BJ1737">
        <v>20210823</v>
      </c>
      <c r="BK1737">
        <v>20140127</v>
      </c>
      <c r="BL1737">
        <v>7.11</v>
      </c>
      <c r="BM1737" t="s">
        <v>120</v>
      </c>
      <c r="BN1737" t="s">
        <v>120</v>
      </c>
      <c r="BO1737">
        <v>24.98</v>
      </c>
      <c r="BP1737">
        <v>4.72</v>
      </c>
      <c r="BQ1737">
        <v>18.86</v>
      </c>
      <c r="BR1737" t="s">
        <v>120</v>
      </c>
      <c r="BS1737">
        <v>24.48</v>
      </c>
      <c r="BT1737">
        <v>12.97</v>
      </c>
      <c r="BU1737">
        <v>6.39</v>
      </c>
      <c r="BV1737">
        <v>1.22</v>
      </c>
      <c r="BW1737">
        <v>4.2300000000000004</v>
      </c>
      <c r="BX1737">
        <v>2.4700000000000002</v>
      </c>
      <c r="BY1737">
        <v>3.88</v>
      </c>
      <c r="BZ1737">
        <v>3.03</v>
      </c>
      <c r="CA1737" t="s">
        <v>120</v>
      </c>
      <c r="CB1737">
        <v>4.0999999999999996</v>
      </c>
      <c r="CC1737">
        <v>8.07</v>
      </c>
      <c r="CD1737">
        <v>6.3</v>
      </c>
      <c r="CE1737">
        <v>0.66</v>
      </c>
      <c r="CF1737">
        <v>0</v>
      </c>
      <c r="CG1737">
        <v>0.67</v>
      </c>
      <c r="CH1737">
        <v>0.56999999999999995</v>
      </c>
      <c r="CI1737">
        <v>0.56999999999999995</v>
      </c>
      <c r="CJ1737">
        <v>-0.19</v>
      </c>
      <c r="CK1737">
        <v>0.5</v>
      </c>
      <c r="CL1737">
        <v>8.3000000000000007</v>
      </c>
      <c r="CM1737">
        <v>0.08</v>
      </c>
      <c r="CN1737">
        <v>-0.23</v>
      </c>
      <c r="CO1737">
        <v>22712</v>
      </c>
      <c r="CP1737">
        <v>18013</v>
      </c>
      <c r="CQ1737" t="s">
        <v>836</v>
      </c>
      <c r="CR1737">
        <v>29.65</v>
      </c>
      <c r="CS1737">
        <v>13.76</v>
      </c>
      <c r="CT1737">
        <v>1.61</v>
      </c>
      <c r="CU1737">
        <v>442.17</v>
      </c>
      <c r="CV1737">
        <v>4.17</v>
      </c>
      <c r="CW1737">
        <v>0</v>
      </c>
      <c r="CX1737" t="s">
        <v>535</v>
      </c>
      <c r="CY1737">
        <v>2.94</v>
      </c>
      <c r="CZ1737">
        <v>2.94</v>
      </c>
      <c r="DA1737">
        <v>0.57999999999999996</v>
      </c>
      <c r="DB1737">
        <v>1.17</v>
      </c>
      <c r="DC1737">
        <v>0.01</v>
      </c>
      <c r="DD1737">
        <v>75.52</v>
      </c>
      <c r="DE1737" t="s">
        <v>8136</v>
      </c>
      <c r="DF1737">
        <v>21.91</v>
      </c>
      <c r="DG1737">
        <v>8.1999999999999993</v>
      </c>
      <c r="DH1737">
        <v>7.08</v>
      </c>
      <c r="DI1737">
        <v>0.31</v>
      </c>
      <c r="DJ1737">
        <v>2454</v>
      </c>
      <c r="DK1737">
        <v>300375</v>
      </c>
      <c r="DL1737" t="s">
        <v>120</v>
      </c>
      <c r="DM1737" t="s">
        <v>120</v>
      </c>
      <c r="DN1737" t="s">
        <v>120</v>
      </c>
    </row>
    <row r="1738" spans="1:118">
      <c r="A1738" t="str">
        <f>"300376"</f>
        <v>300376</v>
      </c>
      <c r="B1738" t="s">
        <v>8830</v>
      </c>
      <c r="C1738">
        <v>-6.95</v>
      </c>
      <c r="D1738">
        <v>-0.59</v>
      </c>
      <c r="E1738">
        <v>-0.66</v>
      </c>
      <c r="F1738">
        <v>15659</v>
      </c>
      <c r="G1738" t="s">
        <v>8831</v>
      </c>
      <c r="H1738">
        <v>90485.54</v>
      </c>
      <c r="I1738">
        <v>466.47</v>
      </c>
      <c r="J1738" t="s">
        <v>120</v>
      </c>
      <c r="K1738" t="s">
        <v>8832</v>
      </c>
      <c r="L1738">
        <v>3.82</v>
      </c>
      <c r="M1738">
        <v>9.91</v>
      </c>
      <c r="N1738">
        <v>0.9</v>
      </c>
      <c r="O1738">
        <v>-0.66</v>
      </c>
      <c r="P1738">
        <v>10.58</v>
      </c>
      <c r="Q1738">
        <v>-6.95</v>
      </c>
      <c r="R1738">
        <v>9.91</v>
      </c>
      <c r="S1738">
        <v>10.58</v>
      </c>
      <c r="T1738">
        <v>886137</v>
      </c>
      <c r="U1738">
        <v>9.92</v>
      </c>
      <c r="V1738">
        <v>10.65</v>
      </c>
      <c r="W1738">
        <v>53.69</v>
      </c>
      <c r="X1738" t="s">
        <v>394</v>
      </c>
      <c r="Y1738" t="s">
        <v>547</v>
      </c>
      <c r="Z1738">
        <v>6.29</v>
      </c>
      <c r="AA1738">
        <v>10.210000000000001</v>
      </c>
      <c r="AB1738">
        <v>502112</v>
      </c>
      <c r="AC1738">
        <v>384025</v>
      </c>
      <c r="AD1738">
        <v>1.31</v>
      </c>
      <c r="AE1738">
        <v>2416</v>
      </c>
      <c r="AF1738">
        <v>24</v>
      </c>
      <c r="AG1738" t="s">
        <v>120</v>
      </c>
      <c r="AH1738">
        <v>0.05</v>
      </c>
      <c r="AI1738" t="s">
        <v>120</v>
      </c>
      <c r="AJ1738">
        <v>23.19</v>
      </c>
      <c r="AK1738" t="s">
        <v>8833</v>
      </c>
      <c r="AL1738">
        <v>-5.03</v>
      </c>
      <c r="AM1738">
        <v>4610</v>
      </c>
      <c r="AN1738">
        <v>192</v>
      </c>
      <c r="AO1738">
        <v>8.0000000000000004E-4</v>
      </c>
      <c r="AP1738">
        <v>-1</v>
      </c>
      <c r="AQ1738">
        <v>5.76</v>
      </c>
      <c r="AR1738">
        <v>2.16</v>
      </c>
      <c r="AS1738">
        <v>-19.88</v>
      </c>
      <c r="AT1738">
        <v>17.28</v>
      </c>
      <c r="AU1738">
        <v>24.97</v>
      </c>
      <c r="AV1738">
        <v>4</v>
      </c>
      <c r="AW1738">
        <v>9.5500000000000007</v>
      </c>
      <c r="AX1738">
        <v>39.979999999999997</v>
      </c>
      <c r="AY1738">
        <v>51.23</v>
      </c>
      <c r="AZ1738">
        <v>54.45</v>
      </c>
      <c r="BA1738">
        <v>0.43</v>
      </c>
      <c r="BB1738" t="s">
        <v>143</v>
      </c>
      <c r="BF1738">
        <v>-4.12</v>
      </c>
      <c r="BG1738">
        <v>-6.33</v>
      </c>
      <c r="BH1738">
        <v>-6.33</v>
      </c>
      <c r="BI1738">
        <v>0</v>
      </c>
      <c r="BJ1738">
        <v>20210909</v>
      </c>
      <c r="BK1738">
        <v>20140127</v>
      </c>
      <c r="BL1738">
        <v>23.21</v>
      </c>
      <c r="BM1738" t="s">
        <v>120</v>
      </c>
      <c r="BN1738" t="s">
        <v>120</v>
      </c>
      <c r="BO1738">
        <v>133.41</v>
      </c>
      <c r="BP1738">
        <v>9.91</v>
      </c>
      <c r="BQ1738">
        <v>59.58</v>
      </c>
      <c r="BR1738">
        <v>3.62</v>
      </c>
      <c r="BS1738">
        <v>52.62</v>
      </c>
      <c r="BT1738">
        <v>68.42</v>
      </c>
      <c r="BU1738">
        <v>37.9</v>
      </c>
      <c r="BV1738">
        <v>1.3</v>
      </c>
      <c r="BW1738">
        <v>49.57</v>
      </c>
      <c r="BX1738">
        <v>11.73</v>
      </c>
      <c r="BY1738">
        <v>7.49</v>
      </c>
      <c r="BZ1738">
        <v>32.56</v>
      </c>
      <c r="CA1738">
        <v>0.01</v>
      </c>
      <c r="CB1738">
        <v>3.01</v>
      </c>
      <c r="CC1738">
        <v>16.82</v>
      </c>
      <c r="CD1738">
        <v>11.15</v>
      </c>
      <c r="CE1738">
        <v>2.65</v>
      </c>
      <c r="CF1738">
        <v>0.06</v>
      </c>
      <c r="CG1738">
        <v>2.64</v>
      </c>
      <c r="CH1738">
        <v>2.31</v>
      </c>
      <c r="CI1738">
        <v>2.14</v>
      </c>
      <c r="CJ1738">
        <v>-0.74</v>
      </c>
      <c r="CK1738">
        <v>2.0699999999999998</v>
      </c>
      <c r="CL1738">
        <v>28.97</v>
      </c>
      <c r="CM1738">
        <v>6.44</v>
      </c>
      <c r="CN1738">
        <v>0.83</v>
      </c>
      <c r="CO1738">
        <v>98887</v>
      </c>
      <c r="CP1738">
        <v>9383</v>
      </c>
      <c r="CQ1738" t="s">
        <v>6309</v>
      </c>
      <c r="CR1738">
        <v>15.38</v>
      </c>
      <c r="CS1738">
        <v>8.76</v>
      </c>
      <c r="CT1738">
        <v>3.85</v>
      </c>
      <c r="CU1738">
        <v>35.72</v>
      </c>
      <c r="CV1738">
        <v>13.68</v>
      </c>
      <c r="CW1738">
        <v>0.28000000000000003</v>
      </c>
      <c r="CX1738" t="s">
        <v>329</v>
      </c>
      <c r="CY1738">
        <v>2.58</v>
      </c>
      <c r="CZ1738">
        <v>2.58</v>
      </c>
      <c r="DA1738">
        <v>0.13</v>
      </c>
      <c r="DB1738">
        <v>1.25</v>
      </c>
      <c r="DC1738">
        <v>0.28000000000000003</v>
      </c>
      <c r="DD1738">
        <v>44.66</v>
      </c>
      <c r="DE1738" t="s">
        <v>8834</v>
      </c>
      <c r="DF1738">
        <v>33.72</v>
      </c>
      <c r="DG1738">
        <v>15.75</v>
      </c>
      <c r="DH1738">
        <v>12.74</v>
      </c>
      <c r="DI1738">
        <v>0.74</v>
      </c>
      <c r="DJ1738">
        <v>1696</v>
      </c>
      <c r="DK1738">
        <v>300376</v>
      </c>
      <c r="DL1738" t="s">
        <v>120</v>
      </c>
      <c r="DM1738" t="s">
        <v>120</v>
      </c>
      <c r="DN1738" t="s">
        <v>120</v>
      </c>
    </row>
    <row r="1739" spans="1:118">
      <c r="A1739" t="str">
        <f>"300377"</f>
        <v>300377</v>
      </c>
      <c r="B1739" t="s">
        <v>8835</v>
      </c>
      <c r="C1739">
        <v>-6.08</v>
      </c>
      <c r="D1739">
        <v>0.33</v>
      </c>
      <c r="E1739">
        <v>-1.0900000000000001</v>
      </c>
      <c r="F1739">
        <v>5104</v>
      </c>
      <c r="G1739" t="s">
        <v>8836</v>
      </c>
      <c r="H1739">
        <v>57298.51</v>
      </c>
      <c r="I1739">
        <v>240.67</v>
      </c>
      <c r="J1739" t="s">
        <v>120</v>
      </c>
      <c r="K1739" t="s">
        <v>8837</v>
      </c>
      <c r="L1739">
        <v>7.8</v>
      </c>
      <c r="M1739">
        <v>12.04</v>
      </c>
      <c r="N1739">
        <v>1.01</v>
      </c>
      <c r="O1739">
        <v>1.48</v>
      </c>
      <c r="P1739">
        <v>13.01</v>
      </c>
      <c r="Q1739">
        <v>-7.02</v>
      </c>
      <c r="R1739">
        <v>11.92</v>
      </c>
      <c r="S1739">
        <v>12.68</v>
      </c>
      <c r="T1739">
        <v>464177</v>
      </c>
      <c r="U1739">
        <v>12.04</v>
      </c>
      <c r="V1739">
        <v>12.82</v>
      </c>
      <c r="W1739">
        <v>23.37</v>
      </c>
      <c r="X1739" t="s">
        <v>141</v>
      </c>
      <c r="Y1739" t="s">
        <v>123</v>
      </c>
      <c r="Z1739">
        <v>8.5</v>
      </c>
      <c r="AA1739">
        <v>12.34</v>
      </c>
      <c r="AB1739">
        <v>266907</v>
      </c>
      <c r="AC1739">
        <v>197270</v>
      </c>
      <c r="AD1739">
        <v>1.35</v>
      </c>
      <c r="AE1739">
        <v>80</v>
      </c>
      <c r="AF1739">
        <v>354</v>
      </c>
      <c r="AG1739" t="s">
        <v>120</v>
      </c>
      <c r="AH1739">
        <v>0.04</v>
      </c>
      <c r="AI1739" t="s">
        <v>120</v>
      </c>
      <c r="AJ1739">
        <v>5.95</v>
      </c>
      <c r="AK1739" t="s">
        <v>8838</v>
      </c>
      <c r="AL1739">
        <v>-4.17</v>
      </c>
      <c r="AM1739">
        <v>4124</v>
      </c>
      <c r="AN1739">
        <v>113</v>
      </c>
      <c r="AO1739">
        <v>1.9E-3</v>
      </c>
      <c r="AP1739">
        <v>-1</v>
      </c>
      <c r="AQ1739">
        <v>1.02</v>
      </c>
      <c r="AR1739">
        <v>-6.24</v>
      </c>
      <c r="AS1739">
        <v>-9.27</v>
      </c>
      <c r="AT1739">
        <v>16.22</v>
      </c>
      <c r="AU1739">
        <v>38.869999999999997</v>
      </c>
      <c r="AV1739">
        <v>1</v>
      </c>
      <c r="AW1739">
        <v>8.74</v>
      </c>
      <c r="AX1739">
        <v>70.64</v>
      </c>
      <c r="AY1739">
        <v>61.53</v>
      </c>
      <c r="AZ1739">
        <v>692.05</v>
      </c>
      <c r="BA1739">
        <v>1.18</v>
      </c>
      <c r="BB1739" t="s">
        <v>143</v>
      </c>
      <c r="BF1739">
        <v>-3.71</v>
      </c>
      <c r="BG1739">
        <v>-5.05</v>
      </c>
      <c r="BH1739">
        <v>-7.46</v>
      </c>
      <c r="BI1739">
        <v>1.01</v>
      </c>
      <c r="BJ1739">
        <v>20210813</v>
      </c>
      <c r="BK1739">
        <v>20140127</v>
      </c>
      <c r="BL1739">
        <v>7.52</v>
      </c>
      <c r="BM1739" t="s">
        <v>120</v>
      </c>
      <c r="BN1739" t="s">
        <v>120</v>
      </c>
      <c r="BO1739">
        <v>31.54</v>
      </c>
      <c r="BP1739">
        <v>12.03</v>
      </c>
      <c r="BQ1739">
        <v>28.94</v>
      </c>
      <c r="BR1739">
        <v>0.1</v>
      </c>
      <c r="BS1739">
        <v>7.92</v>
      </c>
      <c r="BT1739">
        <v>12.47</v>
      </c>
      <c r="BU1739">
        <v>7.45</v>
      </c>
      <c r="BV1739">
        <v>0.03</v>
      </c>
      <c r="BW1739">
        <v>2.16</v>
      </c>
      <c r="BX1739">
        <v>3.72</v>
      </c>
      <c r="BY1739">
        <v>0.19</v>
      </c>
      <c r="BZ1739">
        <v>8.31</v>
      </c>
      <c r="CA1739">
        <v>0</v>
      </c>
      <c r="CB1739">
        <v>16.18</v>
      </c>
      <c r="CC1739">
        <v>4.46</v>
      </c>
      <c r="CD1739">
        <v>1.35</v>
      </c>
      <c r="CE1739">
        <v>2.06</v>
      </c>
      <c r="CF1739">
        <v>-0.06</v>
      </c>
      <c r="CG1739">
        <v>2.0499999999999998</v>
      </c>
      <c r="CH1739">
        <v>1.84</v>
      </c>
      <c r="CI1739">
        <v>1.94</v>
      </c>
      <c r="CJ1739">
        <v>-0.78</v>
      </c>
      <c r="CK1739">
        <v>0.11</v>
      </c>
      <c r="CL1739">
        <v>4.78</v>
      </c>
      <c r="CM1739">
        <v>-0.97</v>
      </c>
      <c r="CN1739">
        <v>-1.57</v>
      </c>
      <c r="CO1739">
        <v>53220</v>
      </c>
      <c r="CP1739">
        <v>9983</v>
      </c>
      <c r="CQ1739" t="s">
        <v>4775</v>
      </c>
      <c r="CR1739">
        <v>280.12</v>
      </c>
      <c r="CS1739">
        <v>19.04</v>
      </c>
      <c r="CT1739">
        <v>3.13</v>
      </c>
      <c r="CU1739">
        <v>-93.58</v>
      </c>
      <c r="CV1739">
        <v>20.329999999999998</v>
      </c>
      <c r="CW1739">
        <v>0.78</v>
      </c>
      <c r="CX1739" t="s">
        <v>8839</v>
      </c>
      <c r="CY1739">
        <v>3.85</v>
      </c>
      <c r="CZ1739">
        <v>0</v>
      </c>
      <c r="DA1739">
        <v>2.15</v>
      </c>
      <c r="DB1739">
        <v>0.64</v>
      </c>
      <c r="DC1739">
        <v>-0.13</v>
      </c>
      <c r="DD1739">
        <v>91.75</v>
      </c>
      <c r="DE1739" t="s">
        <v>8840</v>
      </c>
      <c r="DF1739">
        <v>69.8</v>
      </c>
      <c r="DG1739">
        <v>46.35</v>
      </c>
      <c r="DH1739">
        <v>43.49</v>
      </c>
      <c r="DI1739">
        <v>2.06</v>
      </c>
      <c r="DJ1739">
        <v>3207</v>
      </c>
      <c r="DK1739">
        <v>300377</v>
      </c>
      <c r="DL1739" t="s">
        <v>120</v>
      </c>
      <c r="DM1739" t="s">
        <v>120</v>
      </c>
      <c r="DN1739" t="s">
        <v>120</v>
      </c>
    </row>
    <row r="1740" spans="1:118">
      <c r="A1740" t="str">
        <f>"300378"</f>
        <v>300378</v>
      </c>
      <c r="B1740" t="s">
        <v>8841</v>
      </c>
      <c r="C1740">
        <v>-3.52</v>
      </c>
      <c r="D1740">
        <v>0.78</v>
      </c>
      <c r="E1740">
        <v>-0.95</v>
      </c>
      <c r="F1740">
        <v>1341</v>
      </c>
      <c r="G1740" t="s">
        <v>4918</v>
      </c>
      <c r="H1740">
        <v>26031.58</v>
      </c>
      <c r="I1740">
        <v>110.47</v>
      </c>
      <c r="J1740" t="s">
        <v>120</v>
      </c>
      <c r="K1740" t="s">
        <v>8842</v>
      </c>
      <c r="L1740">
        <v>3.96</v>
      </c>
      <c r="M1740">
        <v>24.4</v>
      </c>
      <c r="N1740">
        <v>0.82</v>
      </c>
      <c r="O1740">
        <v>0.83</v>
      </c>
      <c r="P1740">
        <v>25.5</v>
      </c>
      <c r="Q1740">
        <v>-4.67</v>
      </c>
      <c r="R1740">
        <v>24.11</v>
      </c>
      <c r="S1740">
        <v>25.05</v>
      </c>
      <c r="T1740">
        <v>105282</v>
      </c>
      <c r="U1740">
        <v>24.4</v>
      </c>
      <c r="V1740">
        <v>25.29</v>
      </c>
      <c r="W1740">
        <v>95.07</v>
      </c>
      <c r="X1740" t="s">
        <v>141</v>
      </c>
      <c r="Y1740" t="s">
        <v>1510</v>
      </c>
      <c r="Z1740">
        <v>5.5</v>
      </c>
      <c r="AA1740">
        <v>24.73</v>
      </c>
      <c r="AB1740">
        <v>58752</v>
      </c>
      <c r="AC1740">
        <v>46530</v>
      </c>
      <c r="AD1740">
        <v>1.26</v>
      </c>
      <c r="AE1740">
        <v>7</v>
      </c>
      <c r="AF1740">
        <v>251</v>
      </c>
      <c r="AG1740" t="s">
        <v>120</v>
      </c>
      <c r="AH1740">
        <v>0.02</v>
      </c>
      <c r="AI1740" t="s">
        <v>120</v>
      </c>
      <c r="AJ1740">
        <v>2.66</v>
      </c>
      <c r="AK1740" t="s">
        <v>8843</v>
      </c>
      <c r="AL1740">
        <v>-1.61</v>
      </c>
      <c r="AM1740">
        <v>3237</v>
      </c>
      <c r="AN1740">
        <v>33</v>
      </c>
      <c r="AO1740">
        <v>1.1999999999999999E-3</v>
      </c>
      <c r="AP1740">
        <v>-2</v>
      </c>
      <c r="AQ1740">
        <v>-3.47</v>
      </c>
      <c r="AR1740">
        <v>-2.3199999999999998</v>
      </c>
      <c r="AS1740">
        <v>-0.28999999999999998</v>
      </c>
      <c r="AT1740">
        <v>16.64</v>
      </c>
      <c r="AU1740">
        <v>-10.130000000000001</v>
      </c>
      <c r="AV1740">
        <v>1</v>
      </c>
      <c r="AW1740">
        <v>5.49</v>
      </c>
      <c r="AX1740">
        <v>72.03</v>
      </c>
      <c r="AY1740">
        <v>40.51</v>
      </c>
      <c r="AZ1740">
        <v>55.51</v>
      </c>
      <c r="BA1740">
        <v>1.45</v>
      </c>
      <c r="BB1740" t="s">
        <v>143</v>
      </c>
      <c r="BF1740">
        <v>-2.23</v>
      </c>
      <c r="BG1740">
        <v>-2.59</v>
      </c>
      <c r="BH1740">
        <v>-4.3099999999999996</v>
      </c>
      <c r="BI1740">
        <v>1.2</v>
      </c>
      <c r="BJ1740">
        <v>20210913</v>
      </c>
      <c r="BK1740">
        <v>20140127</v>
      </c>
      <c r="BL1740">
        <v>2.66</v>
      </c>
      <c r="BM1740" t="s">
        <v>120</v>
      </c>
      <c r="BN1740" t="s">
        <v>120</v>
      </c>
      <c r="BO1740">
        <v>24.99</v>
      </c>
      <c r="BP1740">
        <v>24.3</v>
      </c>
      <c r="BQ1740">
        <v>15.54</v>
      </c>
      <c r="BR1740">
        <v>0.09</v>
      </c>
      <c r="BS1740">
        <v>37.46</v>
      </c>
      <c r="BT1740">
        <v>14.43</v>
      </c>
      <c r="BU1740">
        <v>7.31</v>
      </c>
      <c r="BV1740">
        <v>1.17</v>
      </c>
      <c r="BW1740">
        <v>8.56</v>
      </c>
      <c r="BX1740">
        <v>8.1199999999999992</v>
      </c>
      <c r="BY1740">
        <v>0.45</v>
      </c>
      <c r="BZ1740">
        <v>1.26</v>
      </c>
      <c r="CA1740" t="s">
        <v>120</v>
      </c>
      <c r="CB1740">
        <v>6.79</v>
      </c>
      <c r="CC1740">
        <v>7.23</v>
      </c>
      <c r="CD1740">
        <v>2.71</v>
      </c>
      <c r="CE1740">
        <v>0.47</v>
      </c>
      <c r="CF1740">
        <v>0.03</v>
      </c>
      <c r="CG1740">
        <v>0.47</v>
      </c>
      <c r="CH1740">
        <v>0.33</v>
      </c>
      <c r="CI1740">
        <v>0.34</v>
      </c>
      <c r="CJ1740">
        <v>-0.89</v>
      </c>
      <c r="CK1740">
        <v>0.25</v>
      </c>
      <c r="CL1740">
        <v>5.71</v>
      </c>
      <c r="CM1740">
        <v>-0.09</v>
      </c>
      <c r="CN1740">
        <v>2.92</v>
      </c>
      <c r="CO1740">
        <v>32000</v>
      </c>
      <c r="CP1740">
        <v>5997</v>
      </c>
      <c r="CQ1740" t="s">
        <v>8844</v>
      </c>
      <c r="CR1740">
        <v>417.68</v>
      </c>
      <c r="CS1740">
        <v>20.14</v>
      </c>
      <c r="CT1740">
        <v>4.18</v>
      </c>
      <c r="CU1740">
        <v>-696.01</v>
      </c>
      <c r="CV1740">
        <v>8.99</v>
      </c>
      <c r="CW1740">
        <v>0.39</v>
      </c>
      <c r="CX1740" t="s">
        <v>986</v>
      </c>
      <c r="CY1740">
        <v>5.83</v>
      </c>
      <c r="CZ1740">
        <v>0</v>
      </c>
      <c r="DA1740">
        <v>2.5499999999999998</v>
      </c>
      <c r="DB1740">
        <v>2.14</v>
      </c>
      <c r="DC1740">
        <v>-0.04</v>
      </c>
      <c r="DD1740">
        <v>62.18</v>
      </c>
      <c r="DE1740" t="s">
        <v>1974</v>
      </c>
      <c r="DF1740">
        <v>62.49</v>
      </c>
      <c r="DG1740">
        <v>6.49</v>
      </c>
      <c r="DH1740">
        <v>4.7300000000000004</v>
      </c>
      <c r="DI1740">
        <v>0.87</v>
      </c>
      <c r="DJ1740">
        <v>3886</v>
      </c>
      <c r="DK1740">
        <v>300378</v>
      </c>
      <c r="DL1740" t="s">
        <v>120</v>
      </c>
      <c r="DM1740" t="s">
        <v>120</v>
      </c>
      <c r="DN1740" t="s">
        <v>120</v>
      </c>
    </row>
    <row r="1741" spans="1:118">
      <c r="A1741" t="str">
        <f>"300379"</f>
        <v>300379</v>
      </c>
      <c r="B1741" t="s">
        <v>8845</v>
      </c>
      <c r="C1741">
        <v>-2.08</v>
      </c>
      <c r="D1741">
        <v>-0.23</v>
      </c>
      <c r="E1741">
        <v>-0.31</v>
      </c>
      <c r="F1741">
        <v>2711</v>
      </c>
      <c r="G1741" t="s">
        <v>8846</v>
      </c>
      <c r="H1741">
        <v>34010.9</v>
      </c>
      <c r="I1741">
        <v>98.97</v>
      </c>
      <c r="J1741" t="s">
        <v>120</v>
      </c>
      <c r="K1741" t="s">
        <v>8847</v>
      </c>
      <c r="L1741">
        <v>2.74</v>
      </c>
      <c r="M1741">
        <v>28.76</v>
      </c>
      <c r="N1741">
        <v>0.9</v>
      </c>
      <c r="O1741">
        <v>0.41</v>
      </c>
      <c r="P1741">
        <v>29.49</v>
      </c>
      <c r="Q1741">
        <v>-2.4900000000000002</v>
      </c>
      <c r="R1741">
        <v>28.64</v>
      </c>
      <c r="S1741">
        <v>29.28</v>
      </c>
      <c r="T1741">
        <v>117324</v>
      </c>
      <c r="U1741">
        <v>28.78</v>
      </c>
      <c r="V1741">
        <v>29.37</v>
      </c>
      <c r="W1741" t="s">
        <v>120</v>
      </c>
      <c r="X1741" t="s">
        <v>141</v>
      </c>
      <c r="Y1741" t="s">
        <v>158</v>
      </c>
      <c r="Z1741">
        <v>2.89</v>
      </c>
      <c r="AA1741">
        <v>28.99</v>
      </c>
      <c r="AB1741">
        <v>60350</v>
      </c>
      <c r="AC1741">
        <v>56974</v>
      </c>
      <c r="AD1741">
        <v>1.06</v>
      </c>
      <c r="AE1741">
        <v>366</v>
      </c>
      <c r="AF1741">
        <v>2</v>
      </c>
      <c r="AG1741" t="s">
        <v>120</v>
      </c>
      <c r="AH1741">
        <v>0.01</v>
      </c>
      <c r="AI1741" t="s">
        <v>120</v>
      </c>
      <c r="AJ1741">
        <v>4.28</v>
      </c>
      <c r="AK1741" t="s">
        <v>8848</v>
      </c>
      <c r="AL1741">
        <v>-0.16</v>
      </c>
      <c r="AM1741">
        <v>3419</v>
      </c>
      <c r="AN1741">
        <v>34</v>
      </c>
      <c r="AO1741">
        <v>8.0000000000000004E-4</v>
      </c>
      <c r="AP1741">
        <v>-2</v>
      </c>
      <c r="AQ1741">
        <v>-4.21</v>
      </c>
      <c r="AR1741">
        <v>-4</v>
      </c>
      <c r="AS1741">
        <v>-20.73</v>
      </c>
      <c r="AT1741">
        <v>4.74</v>
      </c>
      <c r="AU1741">
        <v>0.96</v>
      </c>
      <c r="AV1741">
        <v>0</v>
      </c>
      <c r="AW1741">
        <v>2.8</v>
      </c>
      <c r="AX1741">
        <v>91.96</v>
      </c>
      <c r="AY1741">
        <v>47.68</v>
      </c>
      <c r="AZ1741">
        <v>54.72</v>
      </c>
      <c r="BA1741">
        <v>0.91</v>
      </c>
      <c r="BB1741" t="s">
        <v>134</v>
      </c>
      <c r="BF1741">
        <v>-1.3</v>
      </c>
      <c r="BG1741">
        <v>-1.78</v>
      </c>
      <c r="BH1741">
        <v>-2.48</v>
      </c>
      <c r="BI1741">
        <v>0.42</v>
      </c>
      <c r="BJ1741">
        <v>20210827</v>
      </c>
      <c r="BK1741">
        <v>20140128</v>
      </c>
      <c r="BL1741">
        <v>4.55</v>
      </c>
      <c r="BM1741" t="s">
        <v>120</v>
      </c>
      <c r="BN1741" t="s">
        <v>120</v>
      </c>
      <c r="BO1741">
        <v>23.51</v>
      </c>
      <c r="BP1741">
        <v>28.76</v>
      </c>
      <c r="BQ1741">
        <v>20.14</v>
      </c>
      <c r="BR1741" t="s">
        <v>120</v>
      </c>
      <c r="BS1741">
        <v>14.33</v>
      </c>
      <c r="BT1741">
        <v>8.2200000000000006</v>
      </c>
      <c r="BU1741">
        <v>1.28</v>
      </c>
      <c r="BV1741">
        <v>0.56000000000000005</v>
      </c>
      <c r="BW1741">
        <v>2.67</v>
      </c>
      <c r="BX1741">
        <v>1.46</v>
      </c>
      <c r="BY1741">
        <v>0.9</v>
      </c>
      <c r="BZ1741">
        <v>5.1100000000000003</v>
      </c>
      <c r="CA1741" t="s">
        <v>120</v>
      </c>
      <c r="CB1741">
        <v>11.47</v>
      </c>
      <c r="CC1741">
        <v>2.08</v>
      </c>
      <c r="CD1741">
        <v>0.26</v>
      </c>
      <c r="CE1741">
        <v>-0.22</v>
      </c>
      <c r="CF1741">
        <v>0</v>
      </c>
      <c r="CG1741">
        <v>-0.22</v>
      </c>
      <c r="CH1741">
        <v>-0.08</v>
      </c>
      <c r="CI1741">
        <v>-0.08</v>
      </c>
      <c r="CJ1741">
        <v>-0.61</v>
      </c>
      <c r="CK1741">
        <v>-0.24</v>
      </c>
      <c r="CL1741">
        <v>3.73</v>
      </c>
      <c r="CM1741">
        <v>0</v>
      </c>
      <c r="CN1741">
        <v>-1.72</v>
      </c>
      <c r="CO1741">
        <v>45138</v>
      </c>
      <c r="CP1741">
        <v>9275</v>
      </c>
      <c r="CQ1741" t="s">
        <v>8849</v>
      </c>
      <c r="CR1741">
        <v>81.99</v>
      </c>
      <c r="CS1741">
        <v>147.82</v>
      </c>
      <c r="CT1741">
        <v>6.5</v>
      </c>
      <c r="CU1741">
        <v>-37389.129999999997</v>
      </c>
      <c r="CV1741">
        <v>62.85</v>
      </c>
      <c r="CW1741">
        <v>0.25</v>
      </c>
      <c r="CX1741" t="s">
        <v>8850</v>
      </c>
      <c r="CY1741">
        <v>4.42</v>
      </c>
      <c r="CZ1741">
        <v>0</v>
      </c>
      <c r="DA1741">
        <v>2.52</v>
      </c>
      <c r="DB1741">
        <v>0.82</v>
      </c>
      <c r="DC1741">
        <v>0</v>
      </c>
      <c r="DD1741">
        <v>85.67</v>
      </c>
      <c r="DE1741" t="s">
        <v>8851</v>
      </c>
      <c r="DF1741">
        <v>87.71</v>
      </c>
      <c r="DG1741">
        <v>-10.48</v>
      </c>
      <c r="DH1741">
        <v>-3.8</v>
      </c>
      <c r="DI1741">
        <v>1.1299999999999999</v>
      </c>
      <c r="DJ1741">
        <v>1103</v>
      </c>
      <c r="DK1741">
        <v>300379</v>
      </c>
      <c r="DL1741" t="s">
        <v>120</v>
      </c>
      <c r="DM1741" t="s">
        <v>120</v>
      </c>
      <c r="DN1741" t="s">
        <v>120</v>
      </c>
    </row>
    <row r="1742" spans="1:118">
      <c r="A1742" t="str">
        <f>"300380"</f>
        <v>300380</v>
      </c>
      <c r="B1742" t="s">
        <v>8852</v>
      </c>
      <c r="C1742">
        <v>-1.52</v>
      </c>
      <c r="D1742">
        <v>0</v>
      </c>
      <c r="E1742">
        <v>0.23</v>
      </c>
      <c r="F1742">
        <v>514</v>
      </c>
      <c r="G1742" t="s">
        <v>8853</v>
      </c>
      <c r="H1742">
        <v>2690.69</v>
      </c>
      <c r="I1742">
        <v>0</v>
      </c>
      <c r="J1742" t="s">
        <v>120</v>
      </c>
      <c r="K1742" t="s">
        <v>8854</v>
      </c>
      <c r="L1742">
        <v>1.27</v>
      </c>
      <c r="M1742">
        <v>16.79</v>
      </c>
      <c r="N1742">
        <v>1.27</v>
      </c>
      <c r="O1742">
        <v>1</v>
      </c>
      <c r="P1742">
        <v>17.22</v>
      </c>
      <c r="Q1742">
        <v>-1.52</v>
      </c>
      <c r="R1742">
        <v>16.79</v>
      </c>
      <c r="S1742">
        <v>17.09</v>
      </c>
      <c r="T1742">
        <v>15820</v>
      </c>
      <c r="U1742">
        <v>16.8</v>
      </c>
      <c r="V1742">
        <v>17.05</v>
      </c>
      <c r="W1742" t="s">
        <v>120</v>
      </c>
      <c r="X1742" t="s">
        <v>141</v>
      </c>
      <c r="Y1742" t="s">
        <v>1510</v>
      </c>
      <c r="Z1742">
        <v>2.52</v>
      </c>
      <c r="AA1742">
        <v>17.010000000000002</v>
      </c>
      <c r="AB1742">
        <v>8653</v>
      </c>
      <c r="AC1742">
        <v>7167</v>
      </c>
      <c r="AD1742">
        <v>1.21</v>
      </c>
      <c r="AE1742">
        <v>138</v>
      </c>
      <c r="AF1742">
        <v>756</v>
      </c>
      <c r="AG1742" t="s">
        <v>120</v>
      </c>
      <c r="AH1742">
        <v>0</v>
      </c>
      <c r="AI1742" t="s">
        <v>120</v>
      </c>
      <c r="AJ1742">
        <v>1.24</v>
      </c>
      <c r="AK1742" t="s">
        <v>6447</v>
      </c>
      <c r="AL1742">
        <v>0.39</v>
      </c>
      <c r="AM1742">
        <v>856</v>
      </c>
      <c r="AN1742">
        <v>18</v>
      </c>
      <c r="AO1742">
        <v>1.5E-3</v>
      </c>
      <c r="AP1742">
        <v>-3</v>
      </c>
      <c r="AQ1742">
        <v>-1.56</v>
      </c>
      <c r="AR1742">
        <v>-3.51</v>
      </c>
      <c r="AS1742">
        <v>-8.75</v>
      </c>
      <c r="AT1742">
        <v>-10.02</v>
      </c>
      <c r="AU1742">
        <v>-14.43</v>
      </c>
      <c r="AV1742">
        <v>1</v>
      </c>
      <c r="AW1742">
        <v>2.4300000000000002</v>
      </c>
      <c r="AX1742">
        <v>46.09</v>
      </c>
      <c r="AY1742">
        <v>50.76</v>
      </c>
      <c r="AZ1742">
        <v>39.270000000000003</v>
      </c>
      <c r="BA1742">
        <v>0.56000000000000005</v>
      </c>
      <c r="BB1742" t="s">
        <v>134</v>
      </c>
      <c r="BF1742">
        <v>-0.25</v>
      </c>
      <c r="BG1742">
        <v>-1.76</v>
      </c>
      <c r="BH1742">
        <v>-2.5</v>
      </c>
      <c r="BI1742">
        <v>0</v>
      </c>
      <c r="BJ1742">
        <v>20210821</v>
      </c>
      <c r="BK1742">
        <v>20140128</v>
      </c>
      <c r="BL1742">
        <v>1.41</v>
      </c>
      <c r="BM1742" t="s">
        <v>120</v>
      </c>
      <c r="BN1742" t="s">
        <v>120</v>
      </c>
      <c r="BO1742">
        <v>8.6999999999999993</v>
      </c>
      <c r="BP1742">
        <v>16.79</v>
      </c>
      <c r="BQ1742">
        <v>4.5599999999999996</v>
      </c>
      <c r="BR1742">
        <v>0.28000000000000003</v>
      </c>
      <c r="BS1742">
        <v>44.47</v>
      </c>
      <c r="BT1742">
        <v>7.42</v>
      </c>
      <c r="BU1742">
        <v>0.28999999999999998</v>
      </c>
      <c r="BV1742">
        <v>0</v>
      </c>
      <c r="BW1742">
        <v>3.71</v>
      </c>
      <c r="BX1742">
        <v>1.61</v>
      </c>
      <c r="BY1742">
        <v>4.01</v>
      </c>
      <c r="BZ1742">
        <v>1.17</v>
      </c>
      <c r="CA1742" t="s">
        <v>120</v>
      </c>
      <c r="CB1742">
        <v>2</v>
      </c>
      <c r="CC1742">
        <v>2.42</v>
      </c>
      <c r="CD1742">
        <v>1.54</v>
      </c>
      <c r="CE1742">
        <v>-0.18</v>
      </c>
      <c r="CF1742">
        <v>0.01</v>
      </c>
      <c r="CG1742">
        <v>-0.19</v>
      </c>
      <c r="CH1742">
        <v>-0.16</v>
      </c>
      <c r="CI1742">
        <v>-0.08</v>
      </c>
      <c r="CJ1742">
        <v>-0.26</v>
      </c>
      <c r="CK1742">
        <v>-0.13</v>
      </c>
      <c r="CL1742">
        <v>1.22</v>
      </c>
      <c r="CM1742">
        <v>-2.41</v>
      </c>
      <c r="CN1742">
        <v>-0.3</v>
      </c>
      <c r="CO1742">
        <v>16537</v>
      </c>
      <c r="CP1742">
        <v>3930</v>
      </c>
      <c r="CQ1742" t="s">
        <v>723</v>
      </c>
      <c r="CR1742">
        <v>-253.03</v>
      </c>
      <c r="CS1742">
        <v>23.25</v>
      </c>
      <c r="CT1742">
        <v>5.2</v>
      </c>
      <c r="CU1742">
        <v>-9.82</v>
      </c>
      <c r="CV1742">
        <v>9.77</v>
      </c>
      <c r="CW1742">
        <v>1.17</v>
      </c>
      <c r="CX1742" t="s">
        <v>2044</v>
      </c>
      <c r="CY1742">
        <v>3.23</v>
      </c>
      <c r="CZ1742">
        <v>0</v>
      </c>
      <c r="DA1742">
        <v>1.42</v>
      </c>
      <c r="DB1742">
        <v>0.86</v>
      </c>
      <c r="DC1742">
        <v>-1.71</v>
      </c>
      <c r="DD1742">
        <v>52.34</v>
      </c>
      <c r="DE1742" t="s">
        <v>8855</v>
      </c>
      <c r="DF1742">
        <v>36.61</v>
      </c>
      <c r="DG1742">
        <v>-7.55</v>
      </c>
      <c r="DH1742">
        <v>-3.46</v>
      </c>
      <c r="DI1742">
        <v>0.67</v>
      </c>
      <c r="DJ1742">
        <v>3233</v>
      </c>
      <c r="DK1742">
        <v>300380</v>
      </c>
      <c r="DL1742" t="s">
        <v>120</v>
      </c>
      <c r="DM1742" t="s">
        <v>120</v>
      </c>
      <c r="DN1742" t="s">
        <v>120</v>
      </c>
    </row>
    <row r="1743" spans="1:118">
      <c r="A1743" t="str">
        <f>"300381"</f>
        <v>300381</v>
      </c>
      <c r="B1743" t="s">
        <v>8856</v>
      </c>
      <c r="C1743">
        <v>4.24</v>
      </c>
      <c r="D1743">
        <v>0</v>
      </c>
      <c r="E1743">
        <v>-0.28999999999999998</v>
      </c>
      <c r="F1743">
        <v>2333</v>
      </c>
      <c r="G1743" t="s">
        <v>8857</v>
      </c>
      <c r="H1743">
        <v>26801.43</v>
      </c>
      <c r="I1743">
        <v>21.32</v>
      </c>
      <c r="J1743" t="s">
        <v>120</v>
      </c>
      <c r="K1743" t="s">
        <v>1529</v>
      </c>
      <c r="L1743">
        <v>5.27</v>
      </c>
      <c r="M1743">
        <v>10.82</v>
      </c>
      <c r="N1743">
        <v>2.56</v>
      </c>
      <c r="O1743">
        <v>9.6300000000000008</v>
      </c>
      <c r="P1743">
        <v>11.38</v>
      </c>
      <c r="Q1743">
        <v>-0.57999999999999996</v>
      </c>
      <c r="R1743">
        <v>10.32</v>
      </c>
      <c r="S1743">
        <v>10.35</v>
      </c>
      <c r="T1743">
        <v>246834</v>
      </c>
      <c r="U1743">
        <v>10.82</v>
      </c>
      <c r="V1743">
        <v>10.38</v>
      </c>
      <c r="W1743">
        <v>43.86</v>
      </c>
      <c r="X1743" t="s">
        <v>666</v>
      </c>
      <c r="Y1743" t="s">
        <v>547</v>
      </c>
      <c r="Z1743">
        <v>10.210000000000001</v>
      </c>
      <c r="AA1743">
        <v>10.86</v>
      </c>
      <c r="AB1743">
        <v>100369</v>
      </c>
      <c r="AC1743">
        <v>146465</v>
      </c>
      <c r="AD1743">
        <v>0.69</v>
      </c>
      <c r="AE1743">
        <v>392</v>
      </c>
      <c r="AF1743">
        <v>675</v>
      </c>
      <c r="AG1743" t="s">
        <v>120</v>
      </c>
      <c r="AH1743">
        <v>0.01</v>
      </c>
      <c r="AI1743" t="s">
        <v>120</v>
      </c>
      <c r="AJ1743">
        <v>4.6900000000000004</v>
      </c>
      <c r="AK1743" t="s">
        <v>8858</v>
      </c>
      <c r="AL1743">
        <v>6.15</v>
      </c>
      <c r="AM1743">
        <v>3163</v>
      </c>
      <c r="AN1743">
        <v>78</v>
      </c>
      <c r="AO1743">
        <v>1.6999999999999999E-3</v>
      </c>
      <c r="AP1743">
        <v>2</v>
      </c>
      <c r="AQ1743">
        <v>2.87</v>
      </c>
      <c r="AR1743">
        <v>4.24</v>
      </c>
      <c r="AS1743">
        <v>12.83</v>
      </c>
      <c r="AT1743">
        <v>12.71</v>
      </c>
      <c r="AU1743">
        <v>0.37</v>
      </c>
      <c r="AV1743">
        <v>0</v>
      </c>
      <c r="AW1743">
        <v>7.55</v>
      </c>
      <c r="AX1743">
        <v>66.75</v>
      </c>
      <c r="AY1743">
        <v>33.33</v>
      </c>
      <c r="AZ1743">
        <v>31.46</v>
      </c>
      <c r="BA1743">
        <v>0.61</v>
      </c>
      <c r="BB1743" t="s">
        <v>184</v>
      </c>
      <c r="BF1743">
        <v>4.6100000000000003</v>
      </c>
      <c r="BG1743">
        <v>4.54</v>
      </c>
      <c r="BH1743">
        <v>-4.92</v>
      </c>
      <c r="BI1743">
        <v>4.84</v>
      </c>
      <c r="BJ1743">
        <v>20210823</v>
      </c>
      <c r="BK1743">
        <v>20140128</v>
      </c>
      <c r="BL1743">
        <v>4.9000000000000004</v>
      </c>
      <c r="BM1743" t="s">
        <v>120</v>
      </c>
      <c r="BN1743" t="s">
        <v>120</v>
      </c>
      <c r="BO1743">
        <v>45.96</v>
      </c>
      <c r="BP1743">
        <v>10.81</v>
      </c>
      <c r="BQ1743">
        <v>30.05</v>
      </c>
      <c r="BR1743">
        <v>2.59</v>
      </c>
      <c r="BS1743">
        <v>29</v>
      </c>
      <c r="BT1743">
        <v>19.79</v>
      </c>
      <c r="BU1743">
        <v>12.56</v>
      </c>
      <c r="BV1743">
        <v>3.88</v>
      </c>
      <c r="BW1743">
        <v>9.89</v>
      </c>
      <c r="BX1743">
        <v>2.2400000000000002</v>
      </c>
      <c r="BY1743">
        <v>10.35</v>
      </c>
      <c r="BZ1743">
        <v>5.62</v>
      </c>
      <c r="CA1743" t="s">
        <v>120</v>
      </c>
      <c r="CB1743">
        <v>16.079999999999998</v>
      </c>
      <c r="CC1743">
        <v>8.7100000000000009</v>
      </c>
      <c r="CD1743">
        <v>4.9800000000000004</v>
      </c>
      <c r="CE1743">
        <v>0.86</v>
      </c>
      <c r="CF1743">
        <v>-0.01</v>
      </c>
      <c r="CG1743">
        <v>0.85</v>
      </c>
      <c r="CH1743">
        <v>0.77</v>
      </c>
      <c r="CI1743">
        <v>0.6</v>
      </c>
      <c r="CJ1743">
        <v>0.44</v>
      </c>
      <c r="CK1743">
        <v>0.54</v>
      </c>
      <c r="CL1743">
        <v>8.41</v>
      </c>
      <c r="CM1743">
        <v>1.19</v>
      </c>
      <c r="CN1743">
        <v>-0.67</v>
      </c>
      <c r="CO1743">
        <v>26319</v>
      </c>
      <c r="CP1743">
        <v>12428</v>
      </c>
      <c r="CQ1743" t="s">
        <v>2412</v>
      </c>
      <c r="CR1743">
        <v>-13.05</v>
      </c>
      <c r="CS1743">
        <v>-5.0599999999999996</v>
      </c>
      <c r="CT1743">
        <v>1.77</v>
      </c>
      <c r="CU1743">
        <v>44.61</v>
      </c>
      <c r="CV1743">
        <v>6.09</v>
      </c>
      <c r="CW1743">
        <v>0.67</v>
      </c>
      <c r="CX1743" t="s">
        <v>4972</v>
      </c>
      <c r="CY1743">
        <v>6.11</v>
      </c>
      <c r="CZ1743">
        <v>6.11</v>
      </c>
      <c r="DA1743">
        <v>3.28</v>
      </c>
      <c r="DB1743">
        <v>1.72</v>
      </c>
      <c r="DC1743">
        <v>0.24</v>
      </c>
      <c r="DD1743">
        <v>65.37</v>
      </c>
      <c r="DE1743" t="s">
        <v>493</v>
      </c>
      <c r="DF1743">
        <v>42.85</v>
      </c>
      <c r="DG1743">
        <v>9.92</v>
      </c>
      <c r="DH1743">
        <v>6.94</v>
      </c>
      <c r="DI1743">
        <v>0.56000000000000005</v>
      </c>
      <c r="DJ1743">
        <v>2825</v>
      </c>
      <c r="DK1743">
        <v>300381</v>
      </c>
      <c r="DL1743">
        <v>20200831</v>
      </c>
      <c r="DM1743">
        <v>14.13</v>
      </c>
      <c r="DN1743">
        <v>-22.93</v>
      </c>
    </row>
    <row r="1744" spans="1:118">
      <c r="A1744" t="str">
        <f>"300382"</f>
        <v>300382</v>
      </c>
      <c r="B1744" t="s">
        <v>8859</v>
      </c>
      <c r="C1744">
        <v>-4.8099999999999996</v>
      </c>
      <c r="D1744">
        <v>-0.02</v>
      </c>
      <c r="E1744">
        <v>-0.45</v>
      </c>
      <c r="F1744">
        <v>491</v>
      </c>
      <c r="G1744" t="s">
        <v>8860</v>
      </c>
      <c r="H1744">
        <v>25025.26</v>
      </c>
      <c r="I1744">
        <v>47.42</v>
      </c>
      <c r="J1744" t="s">
        <v>120</v>
      </c>
      <c r="K1744" t="s">
        <v>8861</v>
      </c>
      <c r="L1744">
        <v>1.48</v>
      </c>
      <c r="M1744">
        <v>29.7</v>
      </c>
      <c r="N1744">
        <v>0.99</v>
      </c>
      <c r="O1744">
        <v>0.67</v>
      </c>
      <c r="P1744">
        <v>31.41</v>
      </c>
      <c r="Q1744">
        <v>-7.05</v>
      </c>
      <c r="R1744">
        <v>29</v>
      </c>
      <c r="S1744">
        <v>31.06</v>
      </c>
      <c r="T1744">
        <v>83531</v>
      </c>
      <c r="U1744">
        <v>29.71</v>
      </c>
      <c r="V1744">
        <v>31.2</v>
      </c>
      <c r="W1744">
        <v>226.77</v>
      </c>
      <c r="X1744" t="s">
        <v>675</v>
      </c>
      <c r="Y1744" t="s">
        <v>319</v>
      </c>
      <c r="Z1744">
        <v>7.72</v>
      </c>
      <c r="AA1744">
        <v>29.96</v>
      </c>
      <c r="AB1744">
        <v>50917</v>
      </c>
      <c r="AC1744">
        <v>32614</v>
      </c>
      <c r="AD1744">
        <v>1.56</v>
      </c>
      <c r="AE1744">
        <v>248</v>
      </c>
      <c r="AF1744">
        <v>70</v>
      </c>
      <c r="AG1744" t="s">
        <v>120</v>
      </c>
      <c r="AH1744">
        <v>0.01</v>
      </c>
      <c r="AI1744" t="s">
        <v>120</v>
      </c>
      <c r="AJ1744">
        <v>5.65</v>
      </c>
      <c r="AK1744" t="s">
        <v>8862</v>
      </c>
      <c r="AL1744">
        <v>-2.89</v>
      </c>
      <c r="AM1744">
        <v>2900</v>
      </c>
      <c r="AN1744">
        <v>29</v>
      </c>
      <c r="AO1744">
        <v>5.0000000000000001E-4</v>
      </c>
      <c r="AP1744">
        <v>-1</v>
      </c>
      <c r="AQ1744">
        <v>1.66</v>
      </c>
      <c r="AR1744">
        <v>-1.98</v>
      </c>
      <c r="AS1744">
        <v>17.91</v>
      </c>
      <c r="AT1744">
        <v>117.67</v>
      </c>
      <c r="AU1744">
        <v>283.47000000000003</v>
      </c>
      <c r="AV1744">
        <v>0</v>
      </c>
      <c r="AW1744">
        <v>3.08</v>
      </c>
      <c r="AX1744">
        <v>48.11</v>
      </c>
      <c r="AY1744">
        <v>298.77</v>
      </c>
      <c r="AZ1744">
        <v>271.66000000000003</v>
      </c>
      <c r="BA1744">
        <v>1.1000000000000001</v>
      </c>
      <c r="BB1744" t="s">
        <v>184</v>
      </c>
      <c r="BF1744">
        <v>-3.98</v>
      </c>
      <c r="BG1744">
        <v>-4.38</v>
      </c>
      <c r="BH1744">
        <v>-5.44</v>
      </c>
      <c r="BI1744">
        <v>2.41</v>
      </c>
      <c r="BJ1744">
        <v>20210824</v>
      </c>
      <c r="BK1744">
        <v>20140129</v>
      </c>
      <c r="BL1744">
        <v>5.65</v>
      </c>
      <c r="BM1744" t="s">
        <v>120</v>
      </c>
      <c r="BN1744" t="s">
        <v>120</v>
      </c>
      <c r="BO1744">
        <v>24.54</v>
      </c>
      <c r="BP1744">
        <v>29.7</v>
      </c>
      <c r="BQ1744">
        <v>11.07</v>
      </c>
      <c r="BR1744">
        <v>0.53</v>
      </c>
      <c r="BS1744">
        <v>52.74</v>
      </c>
      <c r="BT1744">
        <v>18.29</v>
      </c>
      <c r="BU1744">
        <v>2.79</v>
      </c>
      <c r="BV1744">
        <v>1.19</v>
      </c>
      <c r="BW1744">
        <v>8.14</v>
      </c>
      <c r="BX1744">
        <v>4.4400000000000004</v>
      </c>
      <c r="BY1744">
        <v>7.44</v>
      </c>
      <c r="BZ1744">
        <v>3.41</v>
      </c>
      <c r="CA1744" t="s">
        <v>120</v>
      </c>
      <c r="CB1744">
        <v>0.91</v>
      </c>
      <c r="CC1744">
        <v>3.89</v>
      </c>
      <c r="CD1744">
        <v>2.36</v>
      </c>
      <c r="CE1744">
        <v>0.49</v>
      </c>
      <c r="CF1744">
        <v>0</v>
      </c>
      <c r="CG1744">
        <v>0.49</v>
      </c>
      <c r="CH1744">
        <v>0.35</v>
      </c>
      <c r="CI1744">
        <v>0.37</v>
      </c>
      <c r="CJ1744">
        <v>-1.5</v>
      </c>
      <c r="CK1744">
        <v>0.32</v>
      </c>
      <c r="CL1744">
        <v>3.11</v>
      </c>
      <c r="CM1744">
        <v>1.18</v>
      </c>
      <c r="CN1744">
        <v>0.28999999999999998</v>
      </c>
      <c r="CO1744">
        <v>11032</v>
      </c>
      <c r="CP1744">
        <v>24621</v>
      </c>
      <c r="CQ1744" t="s">
        <v>8863</v>
      </c>
      <c r="CR1744">
        <v>-13.73</v>
      </c>
      <c r="CS1744">
        <v>1.67</v>
      </c>
      <c r="CT1744">
        <v>16.07</v>
      </c>
      <c r="CU1744">
        <v>141.76</v>
      </c>
      <c r="CV1744">
        <v>43.1</v>
      </c>
      <c r="CW1744">
        <v>0.08</v>
      </c>
      <c r="CX1744" t="s">
        <v>679</v>
      </c>
      <c r="CY1744">
        <v>1.85</v>
      </c>
      <c r="CZ1744">
        <v>1.85</v>
      </c>
      <c r="DA1744">
        <v>0.16</v>
      </c>
      <c r="DB1744">
        <v>0.55000000000000004</v>
      </c>
      <c r="DC1744">
        <v>0.21</v>
      </c>
      <c r="DD1744">
        <v>45.09</v>
      </c>
      <c r="DE1744" t="s">
        <v>6440</v>
      </c>
      <c r="DF1744">
        <v>39.409999999999997</v>
      </c>
      <c r="DG1744">
        <v>12.68</v>
      </c>
      <c r="DH1744">
        <v>9.5</v>
      </c>
      <c r="DI1744">
        <v>0.18</v>
      </c>
      <c r="DJ1744">
        <v>1023</v>
      </c>
      <c r="DK1744">
        <v>300382</v>
      </c>
      <c r="DL1744">
        <v>20210906</v>
      </c>
      <c r="DM1744">
        <v>29.51</v>
      </c>
      <c r="DN1744">
        <v>0.64</v>
      </c>
    </row>
    <row r="1745" spans="1:118">
      <c r="A1745" t="str">
        <f>"300383"</f>
        <v>300383</v>
      </c>
      <c r="B1745" t="s">
        <v>8864</v>
      </c>
      <c r="C1745">
        <v>-3.28</v>
      </c>
      <c r="D1745">
        <v>-0.21</v>
      </c>
      <c r="E1745">
        <v>7.0000000000000007E-2</v>
      </c>
      <c r="F1745">
        <v>8797</v>
      </c>
      <c r="G1745" t="s">
        <v>8865</v>
      </c>
      <c r="H1745">
        <v>30767.06</v>
      </c>
      <c r="I1745">
        <v>62.74</v>
      </c>
      <c r="J1745" t="s">
        <v>120</v>
      </c>
      <c r="K1745" t="s">
        <v>8866</v>
      </c>
      <c r="L1745">
        <v>1.47</v>
      </c>
      <c r="M1745">
        <v>13.56</v>
      </c>
      <c r="N1745">
        <v>1.48</v>
      </c>
      <c r="O1745">
        <v>0.5</v>
      </c>
      <c r="P1745">
        <v>14.09</v>
      </c>
      <c r="Q1745">
        <v>-3.28</v>
      </c>
      <c r="R1745">
        <v>13.56</v>
      </c>
      <c r="S1745">
        <v>14.03</v>
      </c>
      <c r="T1745">
        <v>223024</v>
      </c>
      <c r="U1745">
        <v>13.58</v>
      </c>
      <c r="V1745">
        <v>14.02</v>
      </c>
      <c r="W1745">
        <v>23.37</v>
      </c>
      <c r="X1745" t="s">
        <v>3322</v>
      </c>
      <c r="Y1745" t="s">
        <v>158</v>
      </c>
      <c r="Z1745">
        <v>3.78</v>
      </c>
      <c r="AA1745">
        <v>13.8</v>
      </c>
      <c r="AB1745">
        <v>131395</v>
      </c>
      <c r="AC1745">
        <v>91629</v>
      </c>
      <c r="AD1745">
        <v>1.43</v>
      </c>
      <c r="AE1745">
        <v>2153</v>
      </c>
      <c r="AF1745">
        <v>46</v>
      </c>
      <c r="AG1745" t="s">
        <v>120</v>
      </c>
      <c r="AH1745">
        <v>0</v>
      </c>
      <c r="AI1745" t="s">
        <v>120</v>
      </c>
      <c r="AJ1745">
        <v>15.2</v>
      </c>
      <c r="AK1745" t="s">
        <v>8867</v>
      </c>
      <c r="AL1745">
        <v>-1.37</v>
      </c>
      <c r="AM1745">
        <v>3726</v>
      </c>
      <c r="AN1745">
        <v>60</v>
      </c>
      <c r="AO1745">
        <v>4.0000000000000002E-4</v>
      </c>
      <c r="AP1745">
        <v>-4</v>
      </c>
      <c r="AQ1745">
        <v>-0.36</v>
      </c>
      <c r="AR1745">
        <v>-4.91</v>
      </c>
      <c r="AS1745">
        <v>-11.66</v>
      </c>
      <c r="AT1745">
        <v>-9.6</v>
      </c>
      <c r="AU1745">
        <v>-20.91</v>
      </c>
      <c r="AV1745">
        <v>0</v>
      </c>
      <c r="AW1745">
        <v>2.11</v>
      </c>
      <c r="AX1745">
        <v>68.489999999999995</v>
      </c>
      <c r="AY1745">
        <v>23.78</v>
      </c>
      <c r="AZ1745">
        <v>23.7</v>
      </c>
      <c r="BA1745">
        <v>0.34</v>
      </c>
      <c r="BB1745" t="s">
        <v>134</v>
      </c>
      <c r="BF1745">
        <v>-1.6</v>
      </c>
      <c r="BG1745">
        <v>-3.35</v>
      </c>
      <c r="BH1745">
        <v>-3.76</v>
      </c>
      <c r="BI1745">
        <v>0</v>
      </c>
      <c r="BJ1745">
        <v>20210909</v>
      </c>
      <c r="BK1745">
        <v>20140129</v>
      </c>
      <c r="BL1745">
        <v>15.43</v>
      </c>
      <c r="BM1745" t="s">
        <v>120</v>
      </c>
      <c r="BN1745" t="s">
        <v>120</v>
      </c>
      <c r="BO1745">
        <v>145.94</v>
      </c>
      <c r="BP1745">
        <v>13.56</v>
      </c>
      <c r="BQ1745">
        <v>96.52</v>
      </c>
      <c r="BR1745">
        <v>5.76</v>
      </c>
      <c r="BS1745">
        <v>29.92</v>
      </c>
      <c r="BT1745">
        <v>38.89</v>
      </c>
      <c r="BU1745">
        <v>49.22</v>
      </c>
      <c r="BV1745">
        <v>11.79</v>
      </c>
      <c r="BW1745">
        <v>27.05</v>
      </c>
      <c r="BX1745">
        <v>9.68</v>
      </c>
      <c r="BY1745">
        <v>0.15</v>
      </c>
      <c r="BZ1745">
        <v>22.62</v>
      </c>
      <c r="CA1745">
        <v>0.01</v>
      </c>
      <c r="CB1745">
        <v>44.93</v>
      </c>
      <c r="CC1745">
        <v>39.36</v>
      </c>
      <c r="CD1745">
        <v>31.47</v>
      </c>
      <c r="CE1745">
        <v>5</v>
      </c>
      <c r="CF1745">
        <v>0.02</v>
      </c>
      <c r="CG1745">
        <v>5.01</v>
      </c>
      <c r="CH1745">
        <v>4.22</v>
      </c>
      <c r="CI1745">
        <v>4.4800000000000004</v>
      </c>
      <c r="CJ1745">
        <v>-0.46</v>
      </c>
      <c r="CK1745">
        <v>4.47</v>
      </c>
      <c r="CL1745">
        <v>35.03</v>
      </c>
      <c r="CM1745">
        <v>5.6</v>
      </c>
      <c r="CN1745">
        <v>-2.54</v>
      </c>
      <c r="CO1745">
        <v>109348</v>
      </c>
      <c r="CP1745">
        <v>9666</v>
      </c>
      <c r="CQ1745" t="s">
        <v>8868</v>
      </c>
      <c r="CR1745">
        <v>-0.74</v>
      </c>
      <c r="CS1745">
        <v>-0.94</v>
      </c>
      <c r="CT1745">
        <v>2.17</v>
      </c>
      <c r="CU1745">
        <v>37.33</v>
      </c>
      <c r="CV1745">
        <v>5.32</v>
      </c>
      <c r="CW1745">
        <v>0.18</v>
      </c>
      <c r="CX1745" t="s">
        <v>293</v>
      </c>
      <c r="CY1745">
        <v>6.25</v>
      </c>
      <c r="CZ1745">
        <v>0</v>
      </c>
      <c r="DA1745">
        <v>2.91</v>
      </c>
      <c r="DB1745">
        <v>2.27</v>
      </c>
      <c r="DC1745">
        <v>0.36</v>
      </c>
      <c r="DD1745">
        <v>66.14</v>
      </c>
      <c r="DE1745" t="s">
        <v>8869</v>
      </c>
      <c r="DF1745">
        <v>20.03</v>
      </c>
      <c r="DG1745">
        <v>12.7</v>
      </c>
      <c r="DH1745">
        <v>11.37</v>
      </c>
      <c r="DI1745">
        <v>1.23</v>
      </c>
      <c r="DJ1745">
        <v>1185</v>
      </c>
      <c r="DK1745">
        <v>300383</v>
      </c>
      <c r="DL1745" t="s">
        <v>120</v>
      </c>
      <c r="DM1745" t="s">
        <v>120</v>
      </c>
      <c r="DN1745" t="s">
        <v>120</v>
      </c>
    </row>
    <row r="1746" spans="1:118">
      <c r="A1746" t="str">
        <f>"300384"</f>
        <v>300384</v>
      </c>
      <c r="B1746" t="s">
        <v>8870</v>
      </c>
      <c r="C1746">
        <v>1.94</v>
      </c>
      <c r="D1746">
        <v>-0.03</v>
      </c>
      <c r="E1746">
        <v>1.42</v>
      </c>
      <c r="F1746">
        <v>591</v>
      </c>
      <c r="G1746" t="s">
        <v>8871</v>
      </c>
      <c r="H1746">
        <v>32577.53</v>
      </c>
      <c r="I1746">
        <v>715.61</v>
      </c>
      <c r="J1746" t="s">
        <v>120</v>
      </c>
      <c r="K1746" t="s">
        <v>8872</v>
      </c>
      <c r="L1746">
        <v>6.26</v>
      </c>
      <c r="M1746">
        <v>23.63</v>
      </c>
      <c r="N1746">
        <v>1.47</v>
      </c>
      <c r="O1746">
        <v>6.04</v>
      </c>
      <c r="P1746">
        <v>24.58</v>
      </c>
      <c r="Q1746">
        <v>0.65</v>
      </c>
      <c r="R1746">
        <v>23.33</v>
      </c>
      <c r="S1746">
        <v>23.51</v>
      </c>
      <c r="T1746">
        <v>135728</v>
      </c>
      <c r="U1746">
        <v>23.63</v>
      </c>
      <c r="V1746">
        <v>23.18</v>
      </c>
      <c r="W1746">
        <v>39.61</v>
      </c>
      <c r="X1746" t="s">
        <v>3820</v>
      </c>
      <c r="Y1746" t="s">
        <v>158</v>
      </c>
      <c r="Z1746">
        <v>5.39</v>
      </c>
      <c r="AA1746">
        <v>24</v>
      </c>
      <c r="AB1746">
        <v>67919</v>
      </c>
      <c r="AC1746">
        <v>67809</v>
      </c>
      <c r="AD1746">
        <v>1</v>
      </c>
      <c r="AE1746">
        <v>29</v>
      </c>
      <c r="AF1746">
        <v>202</v>
      </c>
      <c r="AG1746" t="s">
        <v>120</v>
      </c>
      <c r="AH1746">
        <v>0.23</v>
      </c>
      <c r="AI1746" t="s">
        <v>120</v>
      </c>
      <c r="AJ1746">
        <v>2.17</v>
      </c>
      <c r="AK1746" t="s">
        <v>8873</v>
      </c>
      <c r="AL1746">
        <v>3.86</v>
      </c>
      <c r="AM1746">
        <v>3161</v>
      </c>
      <c r="AN1746">
        <v>43</v>
      </c>
      <c r="AO1746">
        <v>2E-3</v>
      </c>
      <c r="AP1746">
        <v>2</v>
      </c>
      <c r="AQ1746">
        <v>8.57</v>
      </c>
      <c r="AR1746">
        <v>9.6</v>
      </c>
      <c r="AS1746">
        <v>6.2</v>
      </c>
      <c r="AT1746">
        <v>28.43</v>
      </c>
      <c r="AU1746">
        <v>62.74</v>
      </c>
      <c r="AV1746">
        <v>0</v>
      </c>
      <c r="AW1746">
        <v>10.119999999999999</v>
      </c>
      <c r="AX1746">
        <v>42.37</v>
      </c>
      <c r="AY1746">
        <v>43.03</v>
      </c>
      <c r="AZ1746">
        <v>43.63</v>
      </c>
      <c r="BA1746">
        <v>0.35</v>
      </c>
      <c r="BB1746" t="s">
        <v>143</v>
      </c>
      <c r="BF1746">
        <v>3.55</v>
      </c>
      <c r="BG1746">
        <v>0.51</v>
      </c>
      <c r="BH1746">
        <v>-3.86</v>
      </c>
      <c r="BI1746">
        <v>1.29</v>
      </c>
      <c r="BJ1746">
        <v>20210827</v>
      </c>
      <c r="BK1746">
        <v>20140801</v>
      </c>
      <c r="BL1746">
        <v>3.17</v>
      </c>
      <c r="BM1746" t="s">
        <v>120</v>
      </c>
      <c r="BN1746" t="s">
        <v>120</v>
      </c>
      <c r="BO1746">
        <v>31.7</v>
      </c>
      <c r="BP1746">
        <v>23.62</v>
      </c>
      <c r="BQ1746">
        <v>20.12</v>
      </c>
      <c r="BR1746">
        <v>0.32</v>
      </c>
      <c r="BS1746">
        <v>35.53</v>
      </c>
      <c r="BT1746">
        <v>19.88</v>
      </c>
      <c r="BU1746">
        <v>1.78</v>
      </c>
      <c r="BV1746">
        <v>0.86</v>
      </c>
      <c r="BW1746">
        <v>9.7100000000000009</v>
      </c>
      <c r="BX1746">
        <v>11.47</v>
      </c>
      <c r="BY1746">
        <v>1.7</v>
      </c>
      <c r="BZ1746">
        <v>7.0000000000000007E-2</v>
      </c>
      <c r="CA1746">
        <v>0.01</v>
      </c>
      <c r="CB1746">
        <v>8.1999999999999993</v>
      </c>
      <c r="CC1746">
        <v>4</v>
      </c>
      <c r="CD1746">
        <v>2.3199999999999998</v>
      </c>
      <c r="CE1746">
        <v>1.1000000000000001</v>
      </c>
      <c r="CF1746">
        <v>0.21</v>
      </c>
      <c r="CG1746">
        <v>1.1000000000000001</v>
      </c>
      <c r="CH1746">
        <v>0.96</v>
      </c>
      <c r="CI1746">
        <v>0.94</v>
      </c>
      <c r="CJ1746">
        <v>0.45</v>
      </c>
      <c r="CK1746">
        <v>0.95</v>
      </c>
      <c r="CL1746">
        <v>7.81</v>
      </c>
      <c r="CM1746">
        <v>1.3</v>
      </c>
      <c r="CN1746">
        <v>6.09</v>
      </c>
      <c r="CO1746">
        <v>12312</v>
      </c>
      <c r="CP1746">
        <v>10897</v>
      </c>
      <c r="CQ1746" t="s">
        <v>8874</v>
      </c>
      <c r="CR1746">
        <v>2.52</v>
      </c>
      <c r="CS1746">
        <v>-6.72</v>
      </c>
      <c r="CT1746">
        <v>3.72</v>
      </c>
      <c r="CU1746">
        <v>57.74</v>
      </c>
      <c r="CV1746">
        <v>18.7</v>
      </c>
      <c r="CW1746">
        <v>0.65</v>
      </c>
      <c r="CX1746" t="s">
        <v>293</v>
      </c>
      <c r="CY1746">
        <v>6.35</v>
      </c>
      <c r="CZ1746">
        <v>0</v>
      </c>
      <c r="DA1746">
        <v>2.59</v>
      </c>
      <c r="DB1746">
        <v>2.4700000000000002</v>
      </c>
      <c r="DC1746">
        <v>0.41</v>
      </c>
      <c r="DD1746">
        <v>63.47</v>
      </c>
      <c r="DE1746" t="s">
        <v>8875</v>
      </c>
      <c r="DF1746">
        <v>42.1</v>
      </c>
      <c r="DG1746">
        <v>27.6</v>
      </c>
      <c r="DH1746">
        <v>23.61</v>
      </c>
      <c r="DI1746">
        <v>0.33</v>
      </c>
      <c r="DJ1746">
        <v>269</v>
      </c>
      <c r="DK1746">
        <v>300384</v>
      </c>
      <c r="DL1746" t="s">
        <v>120</v>
      </c>
      <c r="DM1746" t="s">
        <v>120</v>
      </c>
      <c r="DN1746" t="s">
        <v>120</v>
      </c>
    </row>
    <row r="1747" spans="1:118">
      <c r="A1747" t="str">
        <f>"300385"</f>
        <v>300385</v>
      </c>
      <c r="B1747" t="s">
        <v>8876</v>
      </c>
      <c r="C1747">
        <v>3.42</v>
      </c>
      <c r="D1747">
        <v>0.19</v>
      </c>
      <c r="E1747">
        <v>0</v>
      </c>
      <c r="F1747">
        <v>1797</v>
      </c>
      <c r="G1747" t="s">
        <v>5735</v>
      </c>
      <c r="H1747">
        <v>13557.52</v>
      </c>
      <c r="I1747">
        <v>1.19</v>
      </c>
      <c r="J1747" t="s">
        <v>120</v>
      </c>
      <c r="K1747" t="s">
        <v>8795</v>
      </c>
      <c r="L1747">
        <v>4.78</v>
      </c>
      <c r="M1747">
        <v>10.28</v>
      </c>
      <c r="N1747">
        <v>1.73</v>
      </c>
      <c r="O1747">
        <v>3.92</v>
      </c>
      <c r="P1747">
        <v>10.33</v>
      </c>
      <c r="Q1747">
        <v>-0.3</v>
      </c>
      <c r="R1747">
        <v>9.91</v>
      </c>
      <c r="S1747">
        <v>9.94</v>
      </c>
      <c r="T1747">
        <v>133035</v>
      </c>
      <c r="U1747">
        <v>10.29</v>
      </c>
      <c r="V1747">
        <v>9.94</v>
      </c>
      <c r="W1747">
        <v>33.47</v>
      </c>
      <c r="X1747" t="s">
        <v>318</v>
      </c>
      <c r="Y1747" t="s">
        <v>319</v>
      </c>
      <c r="Z1747">
        <v>4.2300000000000004</v>
      </c>
      <c r="AA1747">
        <v>10.19</v>
      </c>
      <c r="AB1747">
        <v>52380</v>
      </c>
      <c r="AC1747">
        <v>80655</v>
      </c>
      <c r="AD1747">
        <v>0.65</v>
      </c>
      <c r="AE1747">
        <v>229</v>
      </c>
      <c r="AF1747">
        <v>1078</v>
      </c>
      <c r="AG1747" t="s">
        <v>120</v>
      </c>
      <c r="AH1747">
        <v>0</v>
      </c>
      <c r="AI1747" t="s">
        <v>120</v>
      </c>
      <c r="AJ1747">
        <v>2.78</v>
      </c>
      <c r="AK1747" t="s">
        <v>4211</v>
      </c>
      <c r="AL1747">
        <v>5.33</v>
      </c>
      <c r="AM1747">
        <v>2438</v>
      </c>
      <c r="AN1747">
        <v>55</v>
      </c>
      <c r="AO1747">
        <v>2E-3</v>
      </c>
      <c r="AP1747">
        <v>2</v>
      </c>
      <c r="AQ1747">
        <v>1.02</v>
      </c>
      <c r="AR1747">
        <v>2.19</v>
      </c>
      <c r="AS1747">
        <v>7.08</v>
      </c>
      <c r="AT1747">
        <v>17.22</v>
      </c>
      <c r="AU1747">
        <v>31.29</v>
      </c>
      <c r="AV1747">
        <v>2</v>
      </c>
      <c r="AW1747">
        <v>9.3800000000000008</v>
      </c>
      <c r="AX1747">
        <v>42.55</v>
      </c>
      <c r="AY1747" t="s">
        <v>120</v>
      </c>
      <c r="AZ1747" t="s">
        <v>120</v>
      </c>
      <c r="BA1747">
        <v>0.69</v>
      </c>
      <c r="BB1747" t="s">
        <v>143</v>
      </c>
      <c r="BF1747">
        <v>2.52</v>
      </c>
      <c r="BG1747">
        <v>3.42</v>
      </c>
      <c r="BH1747">
        <v>-0.48</v>
      </c>
      <c r="BI1747">
        <v>3.73</v>
      </c>
      <c r="BJ1747">
        <v>20210914</v>
      </c>
      <c r="BK1747">
        <v>20140626</v>
      </c>
      <c r="BL1747">
        <v>3.33</v>
      </c>
      <c r="BM1747" t="s">
        <v>120</v>
      </c>
      <c r="BN1747" t="s">
        <v>120</v>
      </c>
      <c r="BO1747">
        <v>37.11</v>
      </c>
      <c r="BP1747">
        <v>10.28</v>
      </c>
      <c r="BQ1747">
        <v>9.1300000000000008</v>
      </c>
      <c r="BR1747">
        <v>1.55</v>
      </c>
      <c r="BS1747">
        <v>71.22</v>
      </c>
      <c r="BT1747">
        <v>23.57</v>
      </c>
      <c r="BU1747">
        <v>6.51</v>
      </c>
      <c r="BV1747">
        <v>1.43</v>
      </c>
      <c r="BW1747">
        <v>21.2</v>
      </c>
      <c r="BX1747">
        <v>2.52</v>
      </c>
      <c r="BY1747">
        <v>9.3699999999999992</v>
      </c>
      <c r="BZ1747">
        <v>7.96</v>
      </c>
      <c r="CA1747" t="s">
        <v>120</v>
      </c>
      <c r="CB1747">
        <v>3.88</v>
      </c>
      <c r="CC1747">
        <v>8.52</v>
      </c>
      <c r="CD1747">
        <v>6.55</v>
      </c>
      <c r="CE1747">
        <v>0.65</v>
      </c>
      <c r="CF1747">
        <v>0</v>
      </c>
      <c r="CG1747">
        <v>0.65</v>
      </c>
      <c r="CH1747">
        <v>0.65</v>
      </c>
      <c r="CI1747">
        <v>0.51</v>
      </c>
      <c r="CJ1747">
        <v>0.34</v>
      </c>
      <c r="CK1747">
        <v>0.47</v>
      </c>
      <c r="CL1747">
        <v>1.3</v>
      </c>
      <c r="CM1747">
        <v>-0.13</v>
      </c>
      <c r="CN1747">
        <v>-0.44</v>
      </c>
      <c r="CO1747">
        <v>16802</v>
      </c>
      <c r="CP1747">
        <v>8438</v>
      </c>
      <c r="CQ1747" t="s">
        <v>2940</v>
      </c>
      <c r="CR1747">
        <v>4407.07</v>
      </c>
      <c r="CS1747">
        <v>70.73</v>
      </c>
      <c r="CT1747">
        <v>3.75</v>
      </c>
      <c r="CU1747">
        <v>-264.16000000000003</v>
      </c>
      <c r="CV1747">
        <v>4.0199999999999996</v>
      </c>
      <c r="CW1747">
        <v>0</v>
      </c>
      <c r="CX1747" t="s">
        <v>4049</v>
      </c>
      <c r="CY1747">
        <v>2.74</v>
      </c>
      <c r="CZ1747">
        <v>0</v>
      </c>
      <c r="DA1747">
        <v>1.1599999999999999</v>
      </c>
      <c r="DB1747">
        <v>0.39</v>
      </c>
      <c r="DC1747">
        <v>-0.04</v>
      </c>
      <c r="DD1747">
        <v>24.6</v>
      </c>
      <c r="DE1747" t="s">
        <v>1234</v>
      </c>
      <c r="DF1747">
        <v>23.11</v>
      </c>
      <c r="DG1747">
        <v>7.59</v>
      </c>
      <c r="DH1747">
        <v>6.01</v>
      </c>
      <c r="DI1747">
        <v>0.3</v>
      </c>
      <c r="DJ1747">
        <v>831</v>
      </c>
      <c r="DK1747">
        <v>300385</v>
      </c>
      <c r="DL1747" t="s">
        <v>120</v>
      </c>
      <c r="DM1747" t="s">
        <v>120</v>
      </c>
      <c r="DN1747" t="s">
        <v>120</v>
      </c>
    </row>
    <row r="1748" spans="1:118">
      <c r="A1748" t="str">
        <f>"300386"</f>
        <v>300386</v>
      </c>
      <c r="B1748" t="s">
        <v>8877</v>
      </c>
      <c r="C1748">
        <v>-2.7</v>
      </c>
      <c r="D1748">
        <v>-0.06</v>
      </c>
      <c r="E1748">
        <v>-0.14000000000000001</v>
      </c>
      <c r="F1748">
        <v>929</v>
      </c>
      <c r="G1748" t="s">
        <v>8575</v>
      </c>
      <c r="H1748">
        <v>6831.85</v>
      </c>
      <c r="I1748">
        <v>3.46</v>
      </c>
      <c r="J1748" t="s">
        <v>120</v>
      </c>
      <c r="K1748" t="s">
        <v>4957</v>
      </c>
      <c r="L1748">
        <v>1.97</v>
      </c>
      <c r="M1748">
        <v>14.05</v>
      </c>
      <c r="N1748">
        <v>0.84</v>
      </c>
      <c r="O1748">
        <v>0.97</v>
      </c>
      <c r="P1748">
        <v>14.58</v>
      </c>
      <c r="Q1748">
        <v>-2.7</v>
      </c>
      <c r="R1748">
        <v>14.05</v>
      </c>
      <c r="S1748">
        <v>14.42</v>
      </c>
      <c r="T1748">
        <v>47825</v>
      </c>
      <c r="U1748">
        <v>14.06</v>
      </c>
      <c r="V1748">
        <v>14.44</v>
      </c>
      <c r="W1748" t="s">
        <v>120</v>
      </c>
      <c r="X1748" t="s">
        <v>141</v>
      </c>
      <c r="Y1748" t="s">
        <v>158</v>
      </c>
      <c r="Z1748">
        <v>3.67</v>
      </c>
      <c r="AA1748">
        <v>14.29</v>
      </c>
      <c r="AB1748">
        <v>31345</v>
      </c>
      <c r="AC1748">
        <v>16480</v>
      </c>
      <c r="AD1748">
        <v>1.9</v>
      </c>
      <c r="AE1748">
        <v>200</v>
      </c>
      <c r="AF1748">
        <v>274</v>
      </c>
      <c r="AG1748" t="s">
        <v>120</v>
      </c>
      <c r="AH1748">
        <v>0</v>
      </c>
      <c r="AI1748" t="s">
        <v>120</v>
      </c>
      <c r="AJ1748">
        <v>2.42</v>
      </c>
      <c r="AK1748" t="s">
        <v>8878</v>
      </c>
      <c r="AL1748">
        <v>-0.79</v>
      </c>
      <c r="AM1748">
        <v>1813</v>
      </c>
      <c r="AN1748">
        <v>26</v>
      </c>
      <c r="AO1748">
        <v>1.1000000000000001E-3</v>
      </c>
      <c r="AP1748">
        <v>-2</v>
      </c>
      <c r="AQ1748">
        <v>-2.76</v>
      </c>
      <c r="AR1748">
        <v>-4.88</v>
      </c>
      <c r="AS1748">
        <v>-2.56</v>
      </c>
      <c r="AT1748">
        <v>-16.82</v>
      </c>
      <c r="AU1748">
        <v>-32</v>
      </c>
      <c r="AV1748">
        <v>0</v>
      </c>
      <c r="AW1748">
        <v>2.6</v>
      </c>
      <c r="AX1748">
        <v>44.04</v>
      </c>
      <c r="AY1748">
        <v>542.01</v>
      </c>
      <c r="AZ1748">
        <v>96.28</v>
      </c>
      <c r="BA1748">
        <v>0.36</v>
      </c>
      <c r="BB1748" t="s">
        <v>143</v>
      </c>
      <c r="BF1748">
        <v>-1.07</v>
      </c>
      <c r="BG1748">
        <v>-2.57</v>
      </c>
      <c r="BH1748">
        <v>-3.64</v>
      </c>
      <c r="BI1748">
        <v>0</v>
      </c>
      <c r="BJ1748">
        <v>20210902</v>
      </c>
      <c r="BK1748">
        <v>20140626</v>
      </c>
      <c r="BL1748">
        <v>4.18</v>
      </c>
      <c r="BM1748" t="s">
        <v>120</v>
      </c>
      <c r="BN1748" t="s">
        <v>120</v>
      </c>
      <c r="BO1748">
        <v>20.34</v>
      </c>
      <c r="BP1748">
        <v>14.05</v>
      </c>
      <c r="BQ1748">
        <v>18.399999999999999</v>
      </c>
      <c r="BR1748">
        <v>0.17</v>
      </c>
      <c r="BS1748">
        <v>8.7100000000000009</v>
      </c>
      <c r="BT1748">
        <v>14.72</v>
      </c>
      <c r="BU1748">
        <v>0.14000000000000001</v>
      </c>
      <c r="BV1748">
        <v>0.15</v>
      </c>
      <c r="BW1748">
        <v>1.48</v>
      </c>
      <c r="BX1748">
        <v>3.71</v>
      </c>
      <c r="BY1748">
        <v>4.42</v>
      </c>
      <c r="BZ1748">
        <v>1.5</v>
      </c>
      <c r="CA1748" t="s">
        <v>120</v>
      </c>
      <c r="CB1748">
        <v>3.45</v>
      </c>
      <c r="CC1748">
        <v>3.17</v>
      </c>
      <c r="CD1748">
        <v>1.82</v>
      </c>
      <c r="CE1748">
        <v>-0.35</v>
      </c>
      <c r="CF1748">
        <v>0.02</v>
      </c>
      <c r="CG1748">
        <v>-0.33</v>
      </c>
      <c r="CH1748">
        <v>-0.26</v>
      </c>
      <c r="CI1748">
        <v>-0.26</v>
      </c>
      <c r="CJ1748">
        <v>-0.39</v>
      </c>
      <c r="CK1748">
        <v>-0.32</v>
      </c>
      <c r="CL1748">
        <v>9.65</v>
      </c>
      <c r="CM1748">
        <v>-1.72</v>
      </c>
      <c r="CN1748">
        <v>-4.03</v>
      </c>
      <c r="CO1748">
        <v>39660</v>
      </c>
      <c r="CP1748">
        <v>4642</v>
      </c>
      <c r="CQ1748" t="s">
        <v>1533</v>
      </c>
      <c r="CR1748">
        <v>-201.58</v>
      </c>
      <c r="CS1748">
        <v>-10.1</v>
      </c>
      <c r="CT1748">
        <v>3.19</v>
      </c>
      <c r="CU1748">
        <v>-34.24</v>
      </c>
      <c r="CV1748">
        <v>18.55</v>
      </c>
      <c r="CW1748">
        <v>0.14000000000000001</v>
      </c>
      <c r="CX1748" t="s">
        <v>2044</v>
      </c>
      <c r="CY1748">
        <v>4.4000000000000004</v>
      </c>
      <c r="CZ1748">
        <v>0</v>
      </c>
      <c r="DA1748">
        <v>0.82</v>
      </c>
      <c r="DB1748">
        <v>2.31</v>
      </c>
      <c r="DC1748">
        <v>-0.41</v>
      </c>
      <c r="DD1748">
        <v>90.45</v>
      </c>
      <c r="DE1748" t="s">
        <v>1738</v>
      </c>
      <c r="DF1748">
        <v>42.37</v>
      </c>
      <c r="DG1748">
        <v>-11.13</v>
      </c>
      <c r="DH1748">
        <v>-8.2100000000000009</v>
      </c>
      <c r="DI1748">
        <v>0.44</v>
      </c>
      <c r="DJ1748">
        <v>967</v>
      </c>
      <c r="DK1748">
        <v>300386</v>
      </c>
      <c r="DL1748" t="s">
        <v>120</v>
      </c>
      <c r="DM1748" t="s">
        <v>120</v>
      </c>
      <c r="DN1748" t="s">
        <v>120</v>
      </c>
    </row>
    <row r="1749" spans="1:118">
      <c r="A1749" t="str">
        <f>"300387"</f>
        <v>300387</v>
      </c>
      <c r="B1749" t="s">
        <v>8879</v>
      </c>
      <c r="C1749">
        <v>-1.85</v>
      </c>
      <c r="D1749">
        <v>-0.39</v>
      </c>
      <c r="E1749">
        <v>-0.66</v>
      </c>
      <c r="F1749">
        <v>1220</v>
      </c>
      <c r="G1749" t="s">
        <v>6091</v>
      </c>
      <c r="H1749">
        <v>10604.09</v>
      </c>
      <c r="I1749">
        <v>134.94999999999999</v>
      </c>
      <c r="J1749" t="s">
        <v>120</v>
      </c>
      <c r="K1749" t="s">
        <v>6251</v>
      </c>
      <c r="L1749">
        <v>4.8899999999999997</v>
      </c>
      <c r="M1749">
        <v>7.42</v>
      </c>
      <c r="N1749">
        <v>1.69</v>
      </c>
      <c r="O1749">
        <v>1.46</v>
      </c>
      <c r="P1749">
        <v>7.67</v>
      </c>
      <c r="Q1749">
        <v>-3.04</v>
      </c>
      <c r="R1749">
        <v>7.33</v>
      </c>
      <c r="S1749">
        <v>7.51</v>
      </c>
      <c r="T1749">
        <v>141250</v>
      </c>
      <c r="U1749">
        <v>7.43</v>
      </c>
      <c r="V1749">
        <v>7.56</v>
      </c>
      <c r="W1749">
        <v>34.700000000000003</v>
      </c>
      <c r="X1749" t="s">
        <v>868</v>
      </c>
      <c r="Y1749" t="s">
        <v>763</v>
      </c>
      <c r="Z1749">
        <v>4.5</v>
      </c>
      <c r="AA1749">
        <v>7.51</v>
      </c>
      <c r="AB1749">
        <v>81824</v>
      </c>
      <c r="AC1749">
        <v>59426</v>
      </c>
      <c r="AD1749">
        <v>1.38</v>
      </c>
      <c r="AE1749">
        <v>7</v>
      </c>
      <c r="AF1749">
        <v>72</v>
      </c>
      <c r="AG1749" t="s">
        <v>120</v>
      </c>
      <c r="AH1749">
        <v>0.11</v>
      </c>
      <c r="AI1749" t="s">
        <v>120</v>
      </c>
      <c r="AJ1749">
        <v>2.89</v>
      </c>
      <c r="AK1749" t="s">
        <v>8880</v>
      </c>
      <c r="AL1749">
        <v>0.06</v>
      </c>
      <c r="AM1749">
        <v>2439</v>
      </c>
      <c r="AN1749">
        <v>58</v>
      </c>
      <c r="AO1749">
        <v>2E-3</v>
      </c>
      <c r="AP1749">
        <v>-1</v>
      </c>
      <c r="AQ1749">
        <v>6.18</v>
      </c>
      <c r="AR1749">
        <v>1.37</v>
      </c>
      <c r="AS1749">
        <v>10.75</v>
      </c>
      <c r="AT1749">
        <v>11.57</v>
      </c>
      <c r="AU1749">
        <v>-5.24</v>
      </c>
      <c r="AV1749">
        <v>0</v>
      </c>
      <c r="AW1749">
        <v>8.65</v>
      </c>
      <c r="AX1749">
        <v>56.16</v>
      </c>
      <c r="AY1749">
        <v>52.41</v>
      </c>
      <c r="AZ1749">
        <v>31.76</v>
      </c>
      <c r="BA1749">
        <v>0.55000000000000004</v>
      </c>
      <c r="BB1749" t="s">
        <v>700</v>
      </c>
      <c r="BF1749">
        <v>-0.7</v>
      </c>
      <c r="BG1749">
        <v>-1.2</v>
      </c>
      <c r="BH1749">
        <v>-3.26</v>
      </c>
      <c r="BI1749">
        <v>1.23</v>
      </c>
      <c r="BJ1749">
        <v>20210830</v>
      </c>
      <c r="BK1749">
        <v>20140702</v>
      </c>
      <c r="BL1749">
        <v>2.91</v>
      </c>
      <c r="BM1749" t="s">
        <v>120</v>
      </c>
      <c r="BN1749" t="s">
        <v>120</v>
      </c>
      <c r="BO1749">
        <v>17.13</v>
      </c>
      <c r="BP1749">
        <v>7.42</v>
      </c>
      <c r="BQ1749">
        <v>12.41</v>
      </c>
      <c r="BR1749">
        <v>0.09</v>
      </c>
      <c r="BS1749">
        <v>27.06</v>
      </c>
      <c r="BT1749">
        <v>8.16</v>
      </c>
      <c r="BU1749">
        <v>1.99</v>
      </c>
      <c r="BV1749">
        <v>0.48</v>
      </c>
      <c r="BW1749">
        <v>2.0099999999999998</v>
      </c>
      <c r="BX1749">
        <v>3.37</v>
      </c>
      <c r="BY1749">
        <v>1.1499999999999999</v>
      </c>
      <c r="BZ1749">
        <v>1.68</v>
      </c>
      <c r="CA1749" t="s">
        <v>120</v>
      </c>
      <c r="CB1749">
        <v>3.75</v>
      </c>
      <c r="CC1749">
        <v>3.4</v>
      </c>
      <c r="CD1749">
        <v>2.44</v>
      </c>
      <c r="CE1749">
        <v>0.35</v>
      </c>
      <c r="CF1749">
        <v>0</v>
      </c>
      <c r="CG1749">
        <v>0.35</v>
      </c>
      <c r="CH1749">
        <v>0.31</v>
      </c>
      <c r="CI1749">
        <v>0.31</v>
      </c>
      <c r="CJ1749">
        <v>-0.14000000000000001</v>
      </c>
      <c r="CK1749">
        <v>0.3</v>
      </c>
      <c r="CL1749">
        <v>5.33</v>
      </c>
      <c r="CM1749">
        <v>0.56999999999999995</v>
      </c>
      <c r="CN1749">
        <v>-0.12</v>
      </c>
      <c r="CO1749">
        <v>12259</v>
      </c>
      <c r="CP1749">
        <v>13317</v>
      </c>
      <c r="CQ1749" t="s">
        <v>441</v>
      </c>
      <c r="CR1749">
        <v>-46.72</v>
      </c>
      <c r="CS1749">
        <v>-0.13</v>
      </c>
      <c r="CT1749">
        <v>1.74</v>
      </c>
      <c r="CU1749">
        <v>37.630000000000003</v>
      </c>
      <c r="CV1749">
        <v>6.35</v>
      </c>
      <c r="CW1749">
        <v>0.66</v>
      </c>
      <c r="CX1749" t="s">
        <v>1147</v>
      </c>
      <c r="CY1749">
        <v>4.2699999999999996</v>
      </c>
      <c r="CZ1749">
        <v>0</v>
      </c>
      <c r="DA1749">
        <v>1.29</v>
      </c>
      <c r="DB1749">
        <v>1.83</v>
      </c>
      <c r="DC1749">
        <v>0.2</v>
      </c>
      <c r="DD1749">
        <v>72.400000000000006</v>
      </c>
      <c r="DE1749" t="s">
        <v>5258</v>
      </c>
      <c r="DF1749">
        <v>28.22</v>
      </c>
      <c r="DG1749">
        <v>10.18</v>
      </c>
      <c r="DH1749">
        <v>9.15</v>
      </c>
      <c r="DI1749">
        <v>0.13</v>
      </c>
      <c r="DJ1749">
        <v>320</v>
      </c>
      <c r="DK1749">
        <v>300387</v>
      </c>
      <c r="DL1749" t="s">
        <v>120</v>
      </c>
      <c r="DM1749" t="s">
        <v>120</v>
      </c>
      <c r="DN1749" t="s">
        <v>120</v>
      </c>
    </row>
    <row r="1750" spans="1:118">
      <c r="A1750" t="str">
        <f>"300388"</f>
        <v>300388</v>
      </c>
      <c r="B1750" t="s">
        <v>8881</v>
      </c>
      <c r="C1750">
        <v>-1.51</v>
      </c>
      <c r="D1750">
        <v>0</v>
      </c>
      <c r="E1750">
        <v>0.13</v>
      </c>
      <c r="F1750">
        <v>891</v>
      </c>
      <c r="G1750" t="s">
        <v>8882</v>
      </c>
      <c r="H1750">
        <v>4506.6000000000004</v>
      </c>
      <c r="I1750">
        <v>7.08</v>
      </c>
      <c r="J1750" t="s">
        <v>120</v>
      </c>
      <c r="K1750" t="s">
        <v>8883</v>
      </c>
      <c r="L1750">
        <v>0.82</v>
      </c>
      <c r="M1750">
        <v>7.82</v>
      </c>
      <c r="N1750">
        <v>0.66</v>
      </c>
      <c r="O1750">
        <v>1.26</v>
      </c>
      <c r="P1750">
        <v>8.0399999999999991</v>
      </c>
      <c r="Q1750">
        <v>-1.89</v>
      </c>
      <c r="R1750">
        <v>7.79</v>
      </c>
      <c r="S1750">
        <v>7.95</v>
      </c>
      <c r="T1750">
        <v>56910</v>
      </c>
      <c r="U1750">
        <v>7.82</v>
      </c>
      <c r="V1750">
        <v>7.94</v>
      </c>
      <c r="W1750">
        <v>16.190000000000001</v>
      </c>
      <c r="X1750" t="s">
        <v>318</v>
      </c>
      <c r="Y1750" t="s">
        <v>570</v>
      </c>
      <c r="Z1750">
        <v>3.15</v>
      </c>
      <c r="AA1750">
        <v>7.92</v>
      </c>
      <c r="AB1750">
        <v>29693</v>
      </c>
      <c r="AC1750">
        <v>27217</v>
      </c>
      <c r="AD1750">
        <v>1.0900000000000001</v>
      </c>
      <c r="AE1750">
        <v>46</v>
      </c>
      <c r="AF1750">
        <v>36</v>
      </c>
      <c r="AG1750" t="s">
        <v>120</v>
      </c>
      <c r="AH1750">
        <v>0</v>
      </c>
      <c r="AI1750" t="s">
        <v>120</v>
      </c>
      <c r="AJ1750">
        <v>6.97</v>
      </c>
      <c r="AK1750" t="s">
        <v>8884</v>
      </c>
      <c r="AL1750">
        <v>0.4</v>
      </c>
      <c r="AM1750">
        <v>1680</v>
      </c>
      <c r="AN1750">
        <v>34</v>
      </c>
      <c r="AO1750">
        <v>5.0000000000000001E-4</v>
      </c>
      <c r="AP1750">
        <v>-1</v>
      </c>
      <c r="AQ1750">
        <v>0.51</v>
      </c>
      <c r="AR1750">
        <v>-3.69</v>
      </c>
      <c r="AS1750">
        <v>9.3699999999999992</v>
      </c>
      <c r="AT1750">
        <v>-0.13</v>
      </c>
      <c r="AU1750">
        <v>-11.73</v>
      </c>
      <c r="AV1750">
        <v>0</v>
      </c>
      <c r="AW1750">
        <v>2.0499999999999998</v>
      </c>
      <c r="AX1750">
        <v>39.69</v>
      </c>
      <c r="AY1750">
        <v>16.25</v>
      </c>
      <c r="AZ1750">
        <v>16.739999999999998</v>
      </c>
      <c r="BA1750">
        <v>0.25</v>
      </c>
      <c r="BB1750" t="s">
        <v>143</v>
      </c>
      <c r="BF1750">
        <v>-0.27</v>
      </c>
      <c r="BG1750">
        <v>-1.64</v>
      </c>
      <c r="BH1750">
        <v>-2.74</v>
      </c>
      <c r="BI1750">
        <v>0.39</v>
      </c>
      <c r="BJ1750">
        <v>20210826</v>
      </c>
      <c r="BK1750">
        <v>20140801</v>
      </c>
      <c r="BL1750">
        <v>6.99</v>
      </c>
      <c r="BM1750" t="s">
        <v>120</v>
      </c>
      <c r="BN1750" t="s">
        <v>120</v>
      </c>
      <c r="BO1750">
        <v>146.47</v>
      </c>
      <c r="BP1750">
        <v>7.81</v>
      </c>
      <c r="BQ1750">
        <v>36.33</v>
      </c>
      <c r="BR1750">
        <v>3.13</v>
      </c>
      <c r="BS1750">
        <v>73.06</v>
      </c>
      <c r="BT1750">
        <v>44.32</v>
      </c>
      <c r="BU1750">
        <v>2.64</v>
      </c>
      <c r="BV1750">
        <v>69.180000000000007</v>
      </c>
      <c r="BW1750">
        <v>50.22</v>
      </c>
      <c r="BX1750">
        <v>12.2</v>
      </c>
      <c r="BY1750">
        <v>2.95</v>
      </c>
      <c r="BZ1750">
        <v>13.97</v>
      </c>
      <c r="CA1750" t="s">
        <v>120</v>
      </c>
      <c r="CB1750">
        <v>16.72</v>
      </c>
      <c r="CC1750">
        <v>19.22</v>
      </c>
      <c r="CD1750">
        <v>13.85</v>
      </c>
      <c r="CE1750">
        <v>2.25</v>
      </c>
      <c r="CF1750">
        <v>0.03</v>
      </c>
      <c r="CG1750">
        <v>2.2799999999999998</v>
      </c>
      <c r="CH1750">
        <v>1.82</v>
      </c>
      <c r="CI1750">
        <v>1.69</v>
      </c>
      <c r="CJ1750">
        <v>-0.12</v>
      </c>
      <c r="CK1750">
        <v>1.65</v>
      </c>
      <c r="CL1750">
        <v>12.59</v>
      </c>
      <c r="CM1750">
        <v>1.52</v>
      </c>
      <c r="CN1750">
        <v>-2.1800000000000002</v>
      </c>
      <c r="CO1750">
        <v>26057</v>
      </c>
      <c r="CP1750">
        <v>10648</v>
      </c>
      <c r="CQ1750" t="s">
        <v>8885</v>
      </c>
      <c r="CR1750">
        <v>6.34</v>
      </c>
      <c r="CS1750">
        <v>19.71</v>
      </c>
      <c r="CT1750">
        <v>1.53</v>
      </c>
      <c r="CU1750">
        <v>35.979999999999997</v>
      </c>
      <c r="CV1750">
        <v>2.84</v>
      </c>
      <c r="CW1750">
        <v>1.47</v>
      </c>
      <c r="CX1750" t="s">
        <v>626</v>
      </c>
      <c r="CY1750">
        <v>5.13</v>
      </c>
      <c r="CZ1750">
        <v>5.13</v>
      </c>
      <c r="DA1750">
        <v>2.39</v>
      </c>
      <c r="DB1750">
        <v>1.8</v>
      </c>
      <c r="DC1750">
        <v>0.22</v>
      </c>
      <c r="DD1750">
        <v>24.8</v>
      </c>
      <c r="DE1750" t="s">
        <v>473</v>
      </c>
      <c r="DF1750">
        <v>27.93</v>
      </c>
      <c r="DG1750">
        <v>11.69</v>
      </c>
      <c r="DH1750">
        <v>8.7799999999999994</v>
      </c>
      <c r="DI1750">
        <v>0.18</v>
      </c>
      <c r="DJ1750">
        <v>3180</v>
      </c>
      <c r="DK1750">
        <v>300388</v>
      </c>
      <c r="DL1750" t="s">
        <v>120</v>
      </c>
      <c r="DM1750" t="s">
        <v>120</v>
      </c>
      <c r="DN1750" t="s">
        <v>120</v>
      </c>
    </row>
    <row r="1751" spans="1:118">
      <c r="A1751" t="str">
        <f>"300389"</f>
        <v>300389</v>
      </c>
      <c r="B1751" t="s">
        <v>8886</v>
      </c>
      <c r="C1751">
        <v>-4.8600000000000003</v>
      </c>
      <c r="D1751">
        <v>-0.34</v>
      </c>
      <c r="E1751">
        <v>0.22</v>
      </c>
      <c r="F1751">
        <v>852</v>
      </c>
      <c r="G1751" t="s">
        <v>8887</v>
      </c>
      <c r="H1751">
        <v>5255.09</v>
      </c>
      <c r="I1751">
        <v>21.41</v>
      </c>
      <c r="J1751" t="s">
        <v>120</v>
      </c>
      <c r="K1751" t="s">
        <v>6026</v>
      </c>
      <c r="L1751">
        <v>3.63</v>
      </c>
      <c r="M1751">
        <v>8.61</v>
      </c>
      <c r="N1751">
        <v>1.19</v>
      </c>
      <c r="O1751">
        <v>0.88</v>
      </c>
      <c r="P1751">
        <v>9.1300000000000008</v>
      </c>
      <c r="Q1751">
        <v>-4.8600000000000003</v>
      </c>
      <c r="R1751">
        <v>8.61</v>
      </c>
      <c r="S1751">
        <v>9.07</v>
      </c>
      <c r="T1751">
        <v>59439</v>
      </c>
      <c r="U1751">
        <v>8.6199999999999992</v>
      </c>
      <c r="V1751">
        <v>9.0500000000000007</v>
      </c>
      <c r="W1751" t="s">
        <v>120</v>
      </c>
      <c r="X1751" t="s">
        <v>3245</v>
      </c>
      <c r="Y1751" t="s">
        <v>123</v>
      </c>
      <c r="Z1751">
        <v>5.75</v>
      </c>
      <c r="AA1751">
        <v>8.84</v>
      </c>
      <c r="AB1751">
        <v>37269</v>
      </c>
      <c r="AC1751">
        <v>22170</v>
      </c>
      <c r="AD1751">
        <v>1.68</v>
      </c>
      <c r="AE1751">
        <v>90</v>
      </c>
      <c r="AF1751">
        <v>50</v>
      </c>
      <c r="AG1751" t="s">
        <v>120</v>
      </c>
      <c r="AH1751">
        <v>0.02</v>
      </c>
      <c r="AI1751" t="s">
        <v>120</v>
      </c>
      <c r="AJ1751">
        <v>1.64</v>
      </c>
      <c r="AK1751" t="s">
        <v>2402</v>
      </c>
      <c r="AL1751">
        <v>-2.95</v>
      </c>
      <c r="AM1751">
        <v>1835</v>
      </c>
      <c r="AN1751">
        <v>32</v>
      </c>
      <c r="AO1751">
        <v>2E-3</v>
      </c>
      <c r="AP1751">
        <v>-1</v>
      </c>
      <c r="AQ1751">
        <v>0.89</v>
      </c>
      <c r="AR1751">
        <v>-6.82</v>
      </c>
      <c r="AS1751">
        <v>-16.329999999999998</v>
      </c>
      <c r="AT1751">
        <v>-2.27</v>
      </c>
      <c r="AU1751">
        <v>-20.43</v>
      </c>
      <c r="AV1751">
        <v>3</v>
      </c>
      <c r="AW1751">
        <v>5.28</v>
      </c>
      <c r="AX1751">
        <v>35.299999999999997</v>
      </c>
      <c r="AY1751" t="s">
        <v>120</v>
      </c>
      <c r="AZ1751" t="s">
        <v>120</v>
      </c>
      <c r="BA1751">
        <v>1.1100000000000001</v>
      </c>
      <c r="BB1751" t="s">
        <v>125</v>
      </c>
      <c r="BF1751">
        <v>-2.31</v>
      </c>
      <c r="BG1751">
        <v>-5.07</v>
      </c>
      <c r="BH1751">
        <v>-5.7</v>
      </c>
      <c r="BI1751">
        <v>0</v>
      </c>
      <c r="BJ1751">
        <v>20210830</v>
      </c>
      <c r="BK1751">
        <v>20140801</v>
      </c>
      <c r="BL1751">
        <v>3.19</v>
      </c>
      <c r="BM1751" t="s">
        <v>120</v>
      </c>
      <c r="BN1751" t="s">
        <v>120</v>
      </c>
      <c r="BO1751">
        <v>21.71</v>
      </c>
      <c r="BP1751">
        <v>8.61</v>
      </c>
      <c r="BQ1751">
        <v>11.53</v>
      </c>
      <c r="BR1751">
        <v>-0.03</v>
      </c>
      <c r="BS1751">
        <v>47.03</v>
      </c>
      <c r="BT1751">
        <v>14.27</v>
      </c>
      <c r="BU1751">
        <v>3.4</v>
      </c>
      <c r="BV1751">
        <v>0.43</v>
      </c>
      <c r="BW1751">
        <v>9.8699999999999992</v>
      </c>
      <c r="BX1751">
        <v>2.9</v>
      </c>
      <c r="BY1751">
        <v>4.72</v>
      </c>
      <c r="BZ1751">
        <v>3.41</v>
      </c>
      <c r="CA1751" t="s">
        <v>120</v>
      </c>
      <c r="CB1751">
        <v>0.85</v>
      </c>
      <c r="CC1751">
        <v>8.44</v>
      </c>
      <c r="CD1751">
        <v>6.6</v>
      </c>
      <c r="CE1751">
        <v>-0.56000000000000005</v>
      </c>
      <c r="CF1751">
        <v>0.04</v>
      </c>
      <c r="CG1751">
        <v>-0.56000000000000005</v>
      </c>
      <c r="CH1751">
        <v>-0.38</v>
      </c>
      <c r="CI1751">
        <v>-0.38</v>
      </c>
      <c r="CJ1751">
        <v>-0.44</v>
      </c>
      <c r="CK1751">
        <v>-0.56999999999999995</v>
      </c>
      <c r="CL1751">
        <v>7.12</v>
      </c>
      <c r="CM1751">
        <v>0.03</v>
      </c>
      <c r="CN1751">
        <v>-1.3</v>
      </c>
      <c r="CO1751">
        <v>14698</v>
      </c>
      <c r="CP1751">
        <v>7661</v>
      </c>
      <c r="CQ1751" t="s">
        <v>723</v>
      </c>
      <c r="CR1751">
        <v>-217.42</v>
      </c>
      <c r="CS1751">
        <v>13.64</v>
      </c>
      <c r="CT1751">
        <v>2.38</v>
      </c>
      <c r="CU1751">
        <v>1059.1300000000001</v>
      </c>
      <c r="CV1751">
        <v>3.26</v>
      </c>
      <c r="CW1751">
        <v>0</v>
      </c>
      <c r="CX1751" t="s">
        <v>1643</v>
      </c>
      <c r="CY1751">
        <v>3.62</v>
      </c>
      <c r="CZ1751">
        <v>0</v>
      </c>
      <c r="DA1751">
        <v>0.27</v>
      </c>
      <c r="DB1751">
        <v>2.23</v>
      </c>
      <c r="DC1751">
        <v>0.01</v>
      </c>
      <c r="DD1751">
        <v>53.13</v>
      </c>
      <c r="DE1751" t="s">
        <v>7895</v>
      </c>
      <c r="DF1751">
        <v>21.8</v>
      </c>
      <c r="DG1751">
        <v>-6.67</v>
      </c>
      <c r="DH1751">
        <v>-4.5199999999999996</v>
      </c>
      <c r="DI1751">
        <v>0.45</v>
      </c>
      <c r="DJ1751">
        <v>2071</v>
      </c>
      <c r="DK1751">
        <v>300389</v>
      </c>
      <c r="DL1751" t="s">
        <v>120</v>
      </c>
      <c r="DM1751" t="s">
        <v>120</v>
      </c>
      <c r="DN1751" t="s">
        <v>120</v>
      </c>
    </row>
    <row r="1752" spans="1:118">
      <c r="A1752" t="str">
        <f>"300390"</f>
        <v>300390</v>
      </c>
      <c r="B1752" t="s">
        <v>8888</v>
      </c>
      <c r="C1752">
        <v>-9.4700000000000006</v>
      </c>
      <c r="D1752">
        <v>-0.09</v>
      </c>
      <c r="E1752">
        <v>-0.31</v>
      </c>
      <c r="F1752">
        <v>3286</v>
      </c>
      <c r="G1752" t="s">
        <v>8889</v>
      </c>
      <c r="H1752">
        <v>314235.38</v>
      </c>
      <c r="I1752">
        <v>1270.5899999999999</v>
      </c>
      <c r="J1752" t="s">
        <v>120</v>
      </c>
      <c r="K1752" t="s">
        <v>8890</v>
      </c>
      <c r="L1752">
        <v>7.03</v>
      </c>
      <c r="M1752">
        <v>111.69</v>
      </c>
      <c r="N1752">
        <v>1.45</v>
      </c>
      <c r="O1752">
        <v>-0.31</v>
      </c>
      <c r="P1752">
        <v>123</v>
      </c>
      <c r="Q1752">
        <v>-12.06</v>
      </c>
      <c r="R1752">
        <v>108.5</v>
      </c>
      <c r="S1752">
        <v>123</v>
      </c>
      <c r="T1752">
        <v>273568</v>
      </c>
      <c r="U1752">
        <v>111.69</v>
      </c>
      <c r="V1752">
        <v>123.38</v>
      </c>
      <c r="W1752">
        <v>104.13</v>
      </c>
      <c r="X1752" t="s">
        <v>229</v>
      </c>
      <c r="Y1752" t="s">
        <v>319</v>
      </c>
      <c r="Z1752">
        <v>11.75</v>
      </c>
      <c r="AA1752">
        <v>114.87</v>
      </c>
      <c r="AB1752">
        <v>132578</v>
      </c>
      <c r="AC1752">
        <v>140990</v>
      </c>
      <c r="AD1752">
        <v>0.94</v>
      </c>
      <c r="AE1752">
        <v>2</v>
      </c>
      <c r="AF1752">
        <v>1451</v>
      </c>
      <c r="AG1752" t="s">
        <v>120</v>
      </c>
      <c r="AH1752">
        <v>0.03</v>
      </c>
      <c r="AI1752" t="s">
        <v>120</v>
      </c>
      <c r="AJ1752">
        <v>3.89</v>
      </c>
      <c r="AK1752" t="s">
        <v>8891</v>
      </c>
      <c r="AL1752">
        <v>-7.56</v>
      </c>
      <c r="AM1752">
        <v>4659</v>
      </c>
      <c r="AN1752">
        <v>59</v>
      </c>
      <c r="AO1752">
        <v>1.5E-3</v>
      </c>
      <c r="AP1752">
        <v>-4</v>
      </c>
      <c r="AQ1752">
        <v>-4.93</v>
      </c>
      <c r="AR1752">
        <v>-16.399999999999999</v>
      </c>
      <c r="AS1752">
        <v>43.32</v>
      </c>
      <c r="AT1752">
        <v>141.18</v>
      </c>
      <c r="AU1752">
        <v>355.88</v>
      </c>
      <c r="AV1752">
        <v>1</v>
      </c>
      <c r="AW1752">
        <v>8.09</v>
      </c>
      <c r="AX1752">
        <v>58.03</v>
      </c>
      <c r="AY1752">
        <v>175.01</v>
      </c>
      <c r="AZ1752">
        <v>251.46</v>
      </c>
      <c r="BA1752">
        <v>1.93</v>
      </c>
      <c r="BB1752" t="s">
        <v>143</v>
      </c>
      <c r="BF1752">
        <v>-6.9</v>
      </c>
      <c r="BG1752">
        <v>-9.1999999999999993</v>
      </c>
      <c r="BH1752">
        <v>-9.1999999999999993</v>
      </c>
      <c r="BI1752">
        <v>2.94</v>
      </c>
      <c r="BJ1752">
        <v>20210803</v>
      </c>
      <c r="BK1752">
        <v>20140731</v>
      </c>
      <c r="BL1752">
        <v>5.83</v>
      </c>
      <c r="BM1752" t="s">
        <v>120</v>
      </c>
      <c r="BN1752" t="s">
        <v>120</v>
      </c>
      <c r="BO1752">
        <v>42.13</v>
      </c>
      <c r="BP1752">
        <v>111.68</v>
      </c>
      <c r="BQ1752">
        <v>22.22</v>
      </c>
      <c r="BR1752">
        <v>3.97</v>
      </c>
      <c r="BS1752">
        <v>37.86</v>
      </c>
      <c r="BT1752">
        <v>24.54</v>
      </c>
      <c r="BU1752">
        <v>9.1300000000000008</v>
      </c>
      <c r="BV1752">
        <v>1.79</v>
      </c>
      <c r="BW1752">
        <v>13.58</v>
      </c>
      <c r="BX1752">
        <v>5.84</v>
      </c>
      <c r="BY1752">
        <v>5.39</v>
      </c>
      <c r="BZ1752">
        <v>3.77</v>
      </c>
      <c r="CA1752" t="s">
        <v>120</v>
      </c>
      <c r="CB1752">
        <v>8.11</v>
      </c>
      <c r="CC1752">
        <v>14.31</v>
      </c>
      <c r="CD1752">
        <v>8.68</v>
      </c>
      <c r="CE1752">
        <v>4.79</v>
      </c>
      <c r="CF1752">
        <v>0.01</v>
      </c>
      <c r="CG1752">
        <v>4.79</v>
      </c>
      <c r="CH1752">
        <v>4.0599999999999996</v>
      </c>
      <c r="CI1752">
        <v>3.13</v>
      </c>
      <c r="CJ1752">
        <v>-11.69</v>
      </c>
      <c r="CK1752">
        <v>2.63</v>
      </c>
      <c r="CL1752">
        <v>7.29</v>
      </c>
      <c r="CM1752">
        <v>-0.73</v>
      </c>
      <c r="CN1752">
        <v>3.36</v>
      </c>
      <c r="CO1752">
        <v>18554</v>
      </c>
      <c r="CP1752">
        <v>18230</v>
      </c>
      <c r="CQ1752" t="s">
        <v>8892</v>
      </c>
      <c r="CR1752">
        <v>66.569999999999993</v>
      </c>
      <c r="CS1752">
        <v>87.86</v>
      </c>
      <c r="CT1752">
        <v>29.3</v>
      </c>
      <c r="CU1752">
        <v>-894.46</v>
      </c>
      <c r="CV1752">
        <v>45.48</v>
      </c>
      <c r="CW1752">
        <v>0.08</v>
      </c>
      <c r="CX1752" t="s">
        <v>1426</v>
      </c>
      <c r="CY1752">
        <v>3.81</v>
      </c>
      <c r="CZ1752">
        <v>0</v>
      </c>
      <c r="DA1752">
        <v>1.39</v>
      </c>
      <c r="DB1752">
        <v>1.25</v>
      </c>
      <c r="DC1752">
        <v>-0.12</v>
      </c>
      <c r="DD1752">
        <v>52.73</v>
      </c>
      <c r="DE1752" t="s">
        <v>8893</v>
      </c>
      <c r="DF1752">
        <v>39.369999999999997</v>
      </c>
      <c r="DG1752">
        <v>33.43</v>
      </c>
      <c r="DH1752">
        <v>21.84</v>
      </c>
      <c r="DI1752">
        <v>0.3</v>
      </c>
      <c r="DJ1752">
        <v>1615</v>
      </c>
      <c r="DK1752">
        <v>300390</v>
      </c>
      <c r="DL1752">
        <v>20210628</v>
      </c>
      <c r="DM1752">
        <v>49.23</v>
      </c>
      <c r="DN1752">
        <v>126.87</v>
      </c>
    </row>
    <row r="1753" spans="1:118">
      <c r="A1753" t="str">
        <f>"300391"</f>
        <v>300391</v>
      </c>
      <c r="B1753" t="s">
        <v>8894</v>
      </c>
      <c r="C1753">
        <v>-9.9700000000000006</v>
      </c>
      <c r="D1753">
        <v>0</v>
      </c>
      <c r="E1753">
        <v>0.59</v>
      </c>
      <c r="F1753">
        <v>1440</v>
      </c>
      <c r="G1753" t="s">
        <v>8895</v>
      </c>
      <c r="H1753">
        <v>37157.21</v>
      </c>
      <c r="I1753">
        <v>92.58</v>
      </c>
      <c r="J1753" t="s">
        <v>120</v>
      </c>
      <c r="K1753" t="s">
        <v>8896</v>
      </c>
      <c r="L1753">
        <v>4.8499999999999996</v>
      </c>
      <c r="M1753">
        <v>21.3</v>
      </c>
      <c r="N1753">
        <v>1.71</v>
      </c>
      <c r="O1753">
        <v>0.8</v>
      </c>
      <c r="P1753">
        <v>23.85</v>
      </c>
      <c r="Q1753">
        <v>-12.72</v>
      </c>
      <c r="R1753">
        <v>20.65</v>
      </c>
      <c r="S1753">
        <v>23.8</v>
      </c>
      <c r="T1753">
        <v>169939</v>
      </c>
      <c r="U1753">
        <v>21.3</v>
      </c>
      <c r="V1753">
        <v>23.66</v>
      </c>
      <c r="W1753">
        <v>44.42</v>
      </c>
      <c r="X1753" t="s">
        <v>959</v>
      </c>
      <c r="Y1753" t="s">
        <v>638</v>
      </c>
      <c r="Z1753">
        <v>13.52</v>
      </c>
      <c r="AA1753">
        <v>21.87</v>
      </c>
      <c r="AB1753">
        <v>104778</v>
      </c>
      <c r="AC1753">
        <v>65161</v>
      </c>
      <c r="AD1753">
        <v>1.61</v>
      </c>
      <c r="AE1753">
        <v>9</v>
      </c>
      <c r="AF1753">
        <v>219</v>
      </c>
      <c r="AG1753" t="s">
        <v>120</v>
      </c>
      <c r="AH1753">
        <v>0.02</v>
      </c>
      <c r="AI1753" t="s">
        <v>120</v>
      </c>
      <c r="AJ1753">
        <v>3.5</v>
      </c>
      <c r="AK1753" t="s">
        <v>8896</v>
      </c>
      <c r="AL1753">
        <v>-8.06</v>
      </c>
      <c r="AM1753">
        <v>3594</v>
      </c>
      <c r="AN1753">
        <v>47</v>
      </c>
      <c r="AO1753">
        <v>1.2999999999999999E-3</v>
      </c>
      <c r="AP1753">
        <v>-1</v>
      </c>
      <c r="AQ1753">
        <v>6.29</v>
      </c>
      <c r="AR1753">
        <v>-1.07</v>
      </c>
      <c r="AS1753">
        <v>13.18</v>
      </c>
      <c r="AT1753">
        <v>18.010000000000002</v>
      </c>
      <c r="AU1753">
        <v>73.599999999999994</v>
      </c>
      <c r="AV1753">
        <v>0</v>
      </c>
      <c r="AW1753">
        <v>8.69</v>
      </c>
      <c r="AX1753">
        <v>55.82</v>
      </c>
      <c r="AY1753">
        <v>71.040000000000006</v>
      </c>
      <c r="AZ1753">
        <v>327.37</v>
      </c>
      <c r="BA1753">
        <v>0.53</v>
      </c>
      <c r="BB1753" t="s">
        <v>700</v>
      </c>
      <c r="BF1753">
        <v>-7.59</v>
      </c>
      <c r="BG1753">
        <v>-10.5</v>
      </c>
      <c r="BH1753">
        <v>-10.69</v>
      </c>
      <c r="BI1753">
        <v>3.15</v>
      </c>
      <c r="BJ1753">
        <v>20210830</v>
      </c>
      <c r="BK1753">
        <v>20140801</v>
      </c>
      <c r="BL1753">
        <v>3.5</v>
      </c>
      <c r="BM1753" t="s">
        <v>120</v>
      </c>
      <c r="BN1753" t="s">
        <v>120</v>
      </c>
      <c r="BO1753">
        <v>43.18</v>
      </c>
      <c r="BP1753">
        <v>21.17</v>
      </c>
      <c r="BQ1753">
        <v>8.6199999999999992</v>
      </c>
      <c r="BR1753">
        <v>7.47</v>
      </c>
      <c r="BS1753">
        <v>62.74</v>
      </c>
      <c r="BT1753">
        <v>22.9</v>
      </c>
      <c r="BU1753">
        <v>5.41</v>
      </c>
      <c r="BV1753">
        <v>0.66</v>
      </c>
      <c r="BW1753">
        <v>22.09</v>
      </c>
      <c r="BX1753">
        <v>1.1299999999999999</v>
      </c>
      <c r="BY1753">
        <v>2.64</v>
      </c>
      <c r="BZ1753">
        <v>12.21</v>
      </c>
      <c r="CA1753" t="s">
        <v>120</v>
      </c>
      <c r="CB1753">
        <v>7.9</v>
      </c>
      <c r="CC1753">
        <v>12.98</v>
      </c>
      <c r="CD1753">
        <v>9.9700000000000006</v>
      </c>
      <c r="CE1753">
        <v>1.62</v>
      </c>
      <c r="CF1753">
        <v>0</v>
      </c>
      <c r="CG1753">
        <v>1.62</v>
      </c>
      <c r="CH1753">
        <v>1.59</v>
      </c>
      <c r="CI1753">
        <v>0.84</v>
      </c>
      <c r="CJ1753">
        <v>-2.36</v>
      </c>
      <c r="CK1753">
        <v>0.77</v>
      </c>
      <c r="CL1753">
        <v>-2.98</v>
      </c>
      <c r="CM1753">
        <v>0.38</v>
      </c>
      <c r="CN1753">
        <v>-0.22</v>
      </c>
      <c r="CO1753">
        <v>8157</v>
      </c>
      <c r="CP1753">
        <v>23974</v>
      </c>
      <c r="CQ1753" t="s">
        <v>8897</v>
      </c>
      <c r="CR1753">
        <v>1241.3399999999999</v>
      </c>
      <c r="CS1753">
        <v>251.95</v>
      </c>
      <c r="CT1753">
        <v>8.66</v>
      </c>
      <c r="CU1753">
        <v>195.01</v>
      </c>
      <c r="CV1753">
        <v>5.75</v>
      </c>
      <c r="CW1753">
        <v>0</v>
      </c>
      <c r="CX1753" t="s">
        <v>626</v>
      </c>
      <c r="CY1753">
        <v>2.46</v>
      </c>
      <c r="CZ1753">
        <v>0</v>
      </c>
      <c r="DA1753">
        <v>2.2599999999999998</v>
      </c>
      <c r="DB1753">
        <v>-0.85</v>
      </c>
      <c r="DC1753">
        <v>0.11</v>
      </c>
      <c r="DD1753">
        <v>19.96</v>
      </c>
      <c r="DE1753" t="s">
        <v>8898</v>
      </c>
      <c r="DF1753">
        <v>23.15</v>
      </c>
      <c r="DG1753">
        <v>12.5</v>
      </c>
      <c r="DH1753">
        <v>6.47</v>
      </c>
      <c r="DI1753">
        <v>0.19</v>
      </c>
      <c r="DJ1753">
        <v>1814</v>
      </c>
      <c r="DK1753">
        <v>300391</v>
      </c>
      <c r="DL1753">
        <v>20210823</v>
      </c>
      <c r="DM1753">
        <v>19.37</v>
      </c>
      <c r="DN1753">
        <v>9.9600000000000009</v>
      </c>
    </row>
    <row r="1754" spans="1:118">
      <c r="A1754" t="str">
        <f>"300392"</f>
        <v>300392</v>
      </c>
      <c r="B1754" t="s">
        <v>8899</v>
      </c>
      <c r="C1754">
        <v>-0.81</v>
      </c>
      <c r="D1754">
        <v>-0.13</v>
      </c>
      <c r="E1754">
        <v>-0.68</v>
      </c>
      <c r="F1754">
        <v>352</v>
      </c>
      <c r="G1754" t="s">
        <v>6091</v>
      </c>
      <c r="H1754">
        <v>1654.32</v>
      </c>
      <c r="I1754">
        <v>9.16</v>
      </c>
      <c r="J1754" t="s">
        <v>120</v>
      </c>
      <c r="K1754" t="s">
        <v>4968</v>
      </c>
      <c r="L1754">
        <v>0.75</v>
      </c>
      <c r="M1754">
        <v>7.32</v>
      </c>
      <c r="N1754">
        <v>0.95</v>
      </c>
      <c r="O1754">
        <v>3.25</v>
      </c>
      <c r="P1754">
        <v>7.62</v>
      </c>
      <c r="Q1754">
        <v>-1.08</v>
      </c>
      <c r="R1754">
        <v>7.3</v>
      </c>
      <c r="S1754">
        <v>7.33</v>
      </c>
      <c r="T1754">
        <v>22227</v>
      </c>
      <c r="U1754">
        <v>7.33</v>
      </c>
      <c r="V1754">
        <v>7.38</v>
      </c>
      <c r="W1754" t="s">
        <v>120</v>
      </c>
      <c r="X1754" t="s">
        <v>1531</v>
      </c>
      <c r="Y1754" t="s">
        <v>158</v>
      </c>
      <c r="Z1754">
        <v>4.34</v>
      </c>
      <c r="AA1754">
        <v>7.44</v>
      </c>
      <c r="AB1754">
        <v>9914</v>
      </c>
      <c r="AC1754">
        <v>12313</v>
      </c>
      <c r="AD1754">
        <v>0.81</v>
      </c>
      <c r="AE1754">
        <v>25</v>
      </c>
      <c r="AF1754">
        <v>75</v>
      </c>
      <c r="AG1754" t="s">
        <v>120</v>
      </c>
      <c r="AH1754">
        <v>0.01</v>
      </c>
      <c r="AI1754" t="s">
        <v>120</v>
      </c>
      <c r="AJ1754">
        <v>2.96</v>
      </c>
      <c r="AK1754" t="s">
        <v>8900</v>
      </c>
      <c r="AL1754">
        <v>1.1000000000000001</v>
      </c>
      <c r="AM1754">
        <v>849</v>
      </c>
      <c r="AN1754">
        <v>26</v>
      </c>
      <c r="AO1754">
        <v>8.9999999999999998E-4</v>
      </c>
      <c r="AP1754">
        <v>-3</v>
      </c>
      <c r="AQ1754">
        <v>-0.54</v>
      </c>
      <c r="AR1754">
        <v>-3.3</v>
      </c>
      <c r="AS1754">
        <v>-4.1900000000000004</v>
      </c>
      <c r="AT1754">
        <v>-8.15</v>
      </c>
      <c r="AU1754">
        <v>-30.95</v>
      </c>
      <c r="AV1754">
        <v>1</v>
      </c>
      <c r="AW1754">
        <v>1.34</v>
      </c>
      <c r="AX1754">
        <v>43.09</v>
      </c>
      <c r="AY1754" t="s">
        <v>120</v>
      </c>
      <c r="AZ1754" t="s">
        <v>120</v>
      </c>
      <c r="BA1754">
        <v>0.54</v>
      </c>
      <c r="BB1754" t="s">
        <v>125</v>
      </c>
      <c r="BF1754">
        <v>0.85</v>
      </c>
      <c r="BG1754">
        <v>-0.14000000000000001</v>
      </c>
      <c r="BH1754">
        <v>-3.94</v>
      </c>
      <c r="BI1754">
        <v>0.27</v>
      </c>
      <c r="BJ1754">
        <v>20210830</v>
      </c>
      <c r="BK1754">
        <v>20140910</v>
      </c>
      <c r="BL1754">
        <v>3.84</v>
      </c>
      <c r="BM1754" t="s">
        <v>120</v>
      </c>
      <c r="BN1754" t="s">
        <v>120</v>
      </c>
      <c r="BO1754">
        <v>17.22</v>
      </c>
      <c r="BP1754">
        <v>7.32</v>
      </c>
      <c r="BQ1754">
        <v>3.78</v>
      </c>
      <c r="BR1754">
        <v>0.12</v>
      </c>
      <c r="BS1754">
        <v>77.349999999999994</v>
      </c>
      <c r="BT1754">
        <v>13.46</v>
      </c>
      <c r="BU1754">
        <v>0.67</v>
      </c>
      <c r="BV1754">
        <v>0.17</v>
      </c>
      <c r="BW1754">
        <v>6.77</v>
      </c>
      <c r="BX1754">
        <v>3.22</v>
      </c>
      <c r="BY1754">
        <v>0</v>
      </c>
      <c r="BZ1754">
        <v>3.14</v>
      </c>
      <c r="CA1754" t="s">
        <v>120</v>
      </c>
      <c r="CB1754">
        <v>0.82</v>
      </c>
      <c r="CC1754">
        <v>2.81</v>
      </c>
      <c r="CD1754">
        <v>2.78</v>
      </c>
      <c r="CE1754">
        <v>-0.47</v>
      </c>
      <c r="CF1754">
        <v>0</v>
      </c>
      <c r="CG1754">
        <v>-0.47</v>
      </c>
      <c r="CH1754">
        <v>-0.41</v>
      </c>
      <c r="CI1754">
        <v>-0.41</v>
      </c>
      <c r="CJ1754">
        <v>-0.06</v>
      </c>
      <c r="CK1754">
        <v>-0.4</v>
      </c>
      <c r="CL1754">
        <v>-1.35</v>
      </c>
      <c r="CM1754">
        <v>-0.31</v>
      </c>
      <c r="CN1754">
        <v>2.38</v>
      </c>
      <c r="CO1754">
        <v>18464</v>
      </c>
      <c r="CP1754">
        <v>8962</v>
      </c>
      <c r="CQ1754" t="s">
        <v>6024</v>
      </c>
      <c r="CR1754">
        <v>-342.62</v>
      </c>
      <c r="CS1754">
        <v>-53</v>
      </c>
      <c r="CT1754">
        <v>7.44</v>
      </c>
      <c r="CU1754">
        <v>-92.16</v>
      </c>
      <c r="CV1754">
        <v>10.01</v>
      </c>
      <c r="CW1754">
        <v>0</v>
      </c>
      <c r="CX1754" t="s">
        <v>200</v>
      </c>
      <c r="CY1754">
        <v>0.98</v>
      </c>
      <c r="CZ1754">
        <v>0</v>
      </c>
      <c r="DA1754">
        <v>0.21</v>
      </c>
      <c r="DB1754">
        <v>-0.35</v>
      </c>
      <c r="DC1754">
        <v>-0.08</v>
      </c>
      <c r="DD1754">
        <v>21.95</v>
      </c>
      <c r="DE1754" t="s">
        <v>8901</v>
      </c>
      <c r="DF1754">
        <v>0.91</v>
      </c>
      <c r="DG1754">
        <v>-16.61</v>
      </c>
      <c r="DH1754">
        <v>-14.55</v>
      </c>
      <c r="DI1754">
        <v>0.05</v>
      </c>
      <c r="DJ1754">
        <v>86</v>
      </c>
      <c r="DK1754">
        <v>300392</v>
      </c>
      <c r="DL1754" t="s">
        <v>120</v>
      </c>
      <c r="DM1754" t="s">
        <v>120</v>
      </c>
      <c r="DN1754" t="s">
        <v>120</v>
      </c>
    </row>
    <row r="1755" spans="1:118">
      <c r="A1755" t="str">
        <f>"300393"</f>
        <v>300393</v>
      </c>
      <c r="B1755" t="s">
        <v>8902</v>
      </c>
      <c r="C1755">
        <v>-8.92</v>
      </c>
      <c r="D1755">
        <v>-0.19</v>
      </c>
      <c r="E1755">
        <v>-3.94</v>
      </c>
      <c r="F1755">
        <v>14155</v>
      </c>
      <c r="G1755" t="s">
        <v>8903</v>
      </c>
      <c r="H1755">
        <v>156317.37</v>
      </c>
      <c r="I1755">
        <v>5552.91</v>
      </c>
      <c r="J1755" t="s">
        <v>120</v>
      </c>
      <c r="K1755" t="s">
        <v>8904</v>
      </c>
      <c r="L1755">
        <v>11.12</v>
      </c>
      <c r="M1755">
        <v>14.8</v>
      </c>
      <c r="N1755">
        <v>1.05</v>
      </c>
      <c r="O1755">
        <v>-1.91</v>
      </c>
      <c r="P1755">
        <v>15.94</v>
      </c>
      <c r="Q1755">
        <v>-9.11</v>
      </c>
      <c r="R1755">
        <v>14.77</v>
      </c>
      <c r="S1755">
        <v>15.61</v>
      </c>
      <c r="T1755">
        <v>1018223</v>
      </c>
      <c r="U1755">
        <v>14.81</v>
      </c>
      <c r="V1755">
        <v>16.25</v>
      </c>
      <c r="W1755">
        <v>259.41000000000003</v>
      </c>
      <c r="X1755" t="s">
        <v>2211</v>
      </c>
      <c r="Y1755" t="s">
        <v>319</v>
      </c>
      <c r="Z1755">
        <v>7.2</v>
      </c>
      <c r="AA1755">
        <v>15.35</v>
      </c>
      <c r="AB1755">
        <v>526561</v>
      </c>
      <c r="AC1755">
        <v>491662</v>
      </c>
      <c r="AD1755">
        <v>1.07</v>
      </c>
      <c r="AE1755">
        <v>2250</v>
      </c>
      <c r="AF1755">
        <v>146</v>
      </c>
      <c r="AG1755" t="s">
        <v>120</v>
      </c>
      <c r="AH1755">
        <v>0.55000000000000004</v>
      </c>
      <c r="AI1755" t="s">
        <v>120</v>
      </c>
      <c r="AJ1755">
        <v>9.16</v>
      </c>
      <c r="AK1755" t="s">
        <v>8905</v>
      </c>
      <c r="AL1755">
        <v>-7.01</v>
      </c>
      <c r="AM1755">
        <v>4625</v>
      </c>
      <c r="AN1755">
        <v>220</v>
      </c>
      <c r="AO1755">
        <v>2.3999999999999998E-3</v>
      </c>
      <c r="AP1755">
        <v>-2</v>
      </c>
      <c r="AQ1755">
        <v>-1.87</v>
      </c>
      <c r="AR1755">
        <v>-4.51</v>
      </c>
      <c r="AS1755">
        <v>28.81</v>
      </c>
      <c r="AT1755">
        <v>64.63</v>
      </c>
      <c r="AU1755">
        <v>59.5</v>
      </c>
      <c r="AV1755">
        <v>6</v>
      </c>
      <c r="AW1755">
        <v>15.82</v>
      </c>
      <c r="AX1755">
        <v>59.08</v>
      </c>
      <c r="AY1755">
        <v>1025.71</v>
      </c>
      <c r="AZ1755">
        <v>183.19</v>
      </c>
      <c r="BA1755">
        <v>0.79</v>
      </c>
      <c r="BB1755" t="s">
        <v>143</v>
      </c>
      <c r="BF1755">
        <v>-5.53</v>
      </c>
      <c r="BG1755">
        <v>-5.19</v>
      </c>
      <c r="BH1755">
        <v>-7.15</v>
      </c>
      <c r="BI1755">
        <v>0.2</v>
      </c>
      <c r="BJ1755">
        <v>20210819</v>
      </c>
      <c r="BK1755">
        <v>20140912</v>
      </c>
      <c r="BL1755">
        <v>10.9</v>
      </c>
      <c r="BM1755" t="s">
        <v>120</v>
      </c>
      <c r="BN1755" t="s">
        <v>120</v>
      </c>
      <c r="BO1755">
        <v>105.58</v>
      </c>
      <c r="BP1755">
        <v>14.8</v>
      </c>
      <c r="BQ1755">
        <v>37.01</v>
      </c>
      <c r="BR1755">
        <v>7.72</v>
      </c>
      <c r="BS1755">
        <v>57.63</v>
      </c>
      <c r="BT1755">
        <v>47.45</v>
      </c>
      <c r="BU1755">
        <v>25.77</v>
      </c>
      <c r="BV1755">
        <v>1.26</v>
      </c>
      <c r="BW1755">
        <v>50.92</v>
      </c>
      <c r="BX1755">
        <v>17.89</v>
      </c>
      <c r="BY1755">
        <v>9.91</v>
      </c>
      <c r="BZ1755">
        <v>11.65</v>
      </c>
      <c r="CA1755">
        <v>0.02</v>
      </c>
      <c r="CB1755">
        <v>18.190000000000001</v>
      </c>
      <c r="CC1755">
        <v>23.73</v>
      </c>
      <c r="CD1755">
        <v>21.24</v>
      </c>
      <c r="CE1755">
        <v>0.34</v>
      </c>
      <c r="CF1755">
        <v>-0.28000000000000003</v>
      </c>
      <c r="CG1755">
        <v>0.38</v>
      </c>
      <c r="CH1755">
        <v>0.26</v>
      </c>
      <c r="CI1755">
        <v>0.31</v>
      </c>
      <c r="CJ1755">
        <v>-1.45</v>
      </c>
      <c r="CK1755">
        <v>0.05</v>
      </c>
      <c r="CL1755">
        <v>6.86</v>
      </c>
      <c r="CM1755">
        <v>1.62</v>
      </c>
      <c r="CN1755">
        <v>2.99</v>
      </c>
      <c r="CO1755">
        <v>48755</v>
      </c>
      <c r="CP1755">
        <v>13204</v>
      </c>
      <c r="CQ1755" t="s">
        <v>5791</v>
      </c>
      <c r="CR1755">
        <v>-71.87</v>
      </c>
      <c r="CS1755">
        <v>16.7</v>
      </c>
      <c r="CT1755">
        <v>4.3600000000000003</v>
      </c>
      <c r="CU1755">
        <v>99.38</v>
      </c>
      <c r="CV1755">
        <v>6.8</v>
      </c>
      <c r="CW1755">
        <v>0</v>
      </c>
      <c r="CX1755" t="s">
        <v>2074</v>
      </c>
      <c r="CY1755">
        <v>3.4</v>
      </c>
      <c r="CZ1755">
        <v>0</v>
      </c>
      <c r="DA1755">
        <v>1.67</v>
      </c>
      <c r="DB1755">
        <v>0.63</v>
      </c>
      <c r="DC1755">
        <v>0.15</v>
      </c>
      <c r="DD1755">
        <v>35.06</v>
      </c>
      <c r="DE1755" t="s">
        <v>4026</v>
      </c>
      <c r="DF1755">
        <v>10.47</v>
      </c>
      <c r="DG1755">
        <v>1.42</v>
      </c>
      <c r="DH1755">
        <v>1.31</v>
      </c>
      <c r="DI1755">
        <v>0.78</v>
      </c>
      <c r="DJ1755">
        <v>2815</v>
      </c>
      <c r="DK1755">
        <v>300393</v>
      </c>
      <c r="DL1755">
        <v>20210629</v>
      </c>
      <c r="DM1755">
        <v>10.3</v>
      </c>
      <c r="DN1755">
        <v>43.69</v>
      </c>
    </row>
    <row r="1756" spans="1:118">
      <c r="A1756" t="str">
        <f>"300394"</f>
        <v>300394</v>
      </c>
      <c r="B1756" t="s">
        <v>8906</v>
      </c>
      <c r="C1756">
        <v>-4.5199999999999996</v>
      </c>
      <c r="D1756">
        <v>-7.0000000000000007E-2</v>
      </c>
      <c r="E1756">
        <v>-0.36</v>
      </c>
      <c r="F1756">
        <v>296</v>
      </c>
      <c r="G1756" t="s">
        <v>8907</v>
      </c>
      <c r="H1756">
        <v>17378.97</v>
      </c>
      <c r="I1756">
        <v>21.21</v>
      </c>
      <c r="J1756" t="s">
        <v>120</v>
      </c>
      <c r="K1756" t="s">
        <v>8908</v>
      </c>
      <c r="L1756">
        <v>1.83</v>
      </c>
      <c r="M1756">
        <v>26.4</v>
      </c>
      <c r="N1756">
        <v>0.9</v>
      </c>
      <c r="O1756">
        <v>7.0000000000000007E-2</v>
      </c>
      <c r="P1756">
        <v>27.67</v>
      </c>
      <c r="Q1756">
        <v>-4.92</v>
      </c>
      <c r="R1756">
        <v>26.29</v>
      </c>
      <c r="S1756">
        <v>27.55</v>
      </c>
      <c r="T1756">
        <v>64512</v>
      </c>
      <c r="U1756">
        <v>26.41</v>
      </c>
      <c r="V1756">
        <v>27.65</v>
      </c>
      <c r="W1756">
        <v>37.39</v>
      </c>
      <c r="X1756" t="s">
        <v>462</v>
      </c>
      <c r="Y1756" t="s">
        <v>319</v>
      </c>
      <c r="Z1756">
        <v>4.99</v>
      </c>
      <c r="AA1756">
        <v>26.94</v>
      </c>
      <c r="AB1756">
        <v>38074</v>
      </c>
      <c r="AC1756">
        <v>26438</v>
      </c>
      <c r="AD1756">
        <v>1.44</v>
      </c>
      <c r="AE1756">
        <v>139</v>
      </c>
      <c r="AF1756">
        <v>20</v>
      </c>
      <c r="AG1756" t="s">
        <v>120</v>
      </c>
      <c r="AH1756">
        <v>0</v>
      </c>
      <c r="AI1756" t="s">
        <v>120</v>
      </c>
      <c r="AJ1756">
        <v>3.53</v>
      </c>
      <c r="AK1756" t="s">
        <v>8909</v>
      </c>
      <c r="AL1756">
        <v>-2.61</v>
      </c>
      <c r="AM1756">
        <v>2791</v>
      </c>
      <c r="AN1756">
        <v>23</v>
      </c>
      <c r="AO1756">
        <v>6.9999999999999999E-4</v>
      </c>
      <c r="AP1756">
        <v>-1</v>
      </c>
      <c r="AQ1756">
        <v>0.36</v>
      </c>
      <c r="AR1756">
        <v>-5.72</v>
      </c>
      <c r="AS1756">
        <v>-12.15</v>
      </c>
      <c r="AT1756">
        <v>-1.57</v>
      </c>
      <c r="AU1756">
        <v>-9.8800000000000008</v>
      </c>
      <c r="AV1756">
        <v>0</v>
      </c>
      <c r="AW1756">
        <v>3.52</v>
      </c>
      <c r="AX1756">
        <v>46.88</v>
      </c>
      <c r="AY1756">
        <v>37.15</v>
      </c>
      <c r="AZ1756">
        <v>38.69</v>
      </c>
      <c r="BA1756">
        <v>1.28</v>
      </c>
      <c r="BB1756" t="s">
        <v>143</v>
      </c>
      <c r="BF1756">
        <v>-2.57</v>
      </c>
      <c r="BG1756">
        <v>-4.17</v>
      </c>
      <c r="BH1756">
        <v>-4.59</v>
      </c>
      <c r="BI1756">
        <v>0.42</v>
      </c>
      <c r="BJ1756">
        <v>20210901</v>
      </c>
      <c r="BK1756">
        <v>20150217</v>
      </c>
      <c r="BL1756">
        <v>3.91</v>
      </c>
      <c r="BM1756" t="s">
        <v>120</v>
      </c>
      <c r="BN1756" t="s">
        <v>120</v>
      </c>
      <c r="BO1756">
        <v>23.53</v>
      </c>
      <c r="BP1756">
        <v>26.4</v>
      </c>
      <c r="BQ1756">
        <v>21.5</v>
      </c>
      <c r="BR1756">
        <v>0.02</v>
      </c>
      <c r="BS1756">
        <v>8.5399999999999991</v>
      </c>
      <c r="BT1756">
        <v>16.54</v>
      </c>
      <c r="BU1756">
        <v>4.91</v>
      </c>
      <c r="BV1756">
        <v>0.56999999999999995</v>
      </c>
      <c r="BW1756">
        <v>1.64</v>
      </c>
      <c r="BX1756">
        <v>4.7300000000000004</v>
      </c>
      <c r="BY1756">
        <v>1.71</v>
      </c>
      <c r="BZ1756">
        <v>2.7</v>
      </c>
      <c r="CA1756">
        <v>0.03</v>
      </c>
      <c r="CB1756">
        <v>9.9</v>
      </c>
      <c r="CC1756">
        <v>4.9000000000000004</v>
      </c>
      <c r="CD1756">
        <v>2.35</v>
      </c>
      <c r="CE1756">
        <v>1.67</v>
      </c>
      <c r="CF1756">
        <v>7.0000000000000007E-2</v>
      </c>
      <c r="CG1756">
        <v>1.67</v>
      </c>
      <c r="CH1756">
        <v>1.39</v>
      </c>
      <c r="CI1756">
        <v>1.38</v>
      </c>
      <c r="CJ1756">
        <v>-1.25</v>
      </c>
      <c r="CK1756">
        <v>1.27</v>
      </c>
      <c r="CL1756">
        <v>6.91</v>
      </c>
      <c r="CM1756">
        <v>1.62</v>
      </c>
      <c r="CN1756">
        <v>2.96</v>
      </c>
      <c r="CO1756">
        <v>26604</v>
      </c>
      <c r="CP1756">
        <v>6882</v>
      </c>
      <c r="CQ1756" t="s">
        <v>4977</v>
      </c>
      <c r="CR1756">
        <v>9.15</v>
      </c>
      <c r="CS1756">
        <v>24.71</v>
      </c>
      <c r="CT1756">
        <v>4.8</v>
      </c>
      <c r="CU1756">
        <v>63.64</v>
      </c>
      <c r="CV1756">
        <v>21.05</v>
      </c>
      <c r="CW1756">
        <v>1.21</v>
      </c>
      <c r="CX1756" t="s">
        <v>472</v>
      </c>
      <c r="CY1756">
        <v>5.51</v>
      </c>
      <c r="CZ1756">
        <v>0</v>
      </c>
      <c r="DA1756">
        <v>2.54</v>
      </c>
      <c r="DB1756">
        <v>1.77</v>
      </c>
      <c r="DC1756">
        <v>0.41</v>
      </c>
      <c r="DD1756">
        <v>91.36</v>
      </c>
      <c r="DE1756" t="s">
        <v>8910</v>
      </c>
      <c r="DF1756">
        <v>51.94</v>
      </c>
      <c r="DG1756">
        <v>34.090000000000003</v>
      </c>
      <c r="DH1756">
        <v>28.15</v>
      </c>
      <c r="DI1756">
        <v>0.53</v>
      </c>
      <c r="DJ1756">
        <v>2504</v>
      </c>
      <c r="DK1756">
        <v>300394</v>
      </c>
      <c r="DL1756" t="s">
        <v>120</v>
      </c>
      <c r="DM1756" t="s">
        <v>120</v>
      </c>
      <c r="DN1756" t="s">
        <v>120</v>
      </c>
    </row>
    <row r="1757" spans="1:118">
      <c r="A1757" t="str">
        <f>"300395"</f>
        <v>300395</v>
      </c>
      <c r="B1757" t="s">
        <v>8911</v>
      </c>
      <c r="C1757">
        <v>-5.19</v>
      </c>
      <c r="D1757">
        <v>0.3</v>
      </c>
      <c r="E1757">
        <v>0</v>
      </c>
      <c r="F1757">
        <v>529</v>
      </c>
      <c r="G1757" t="s">
        <v>8912</v>
      </c>
      <c r="H1757">
        <v>21876.639999999999</v>
      </c>
      <c r="I1757">
        <v>48.59</v>
      </c>
      <c r="J1757" t="s">
        <v>120</v>
      </c>
      <c r="K1757" t="s">
        <v>8913</v>
      </c>
      <c r="L1757">
        <v>1.37</v>
      </c>
      <c r="M1757">
        <v>50.07</v>
      </c>
      <c r="N1757">
        <v>0.64</v>
      </c>
      <c r="O1757">
        <v>0</v>
      </c>
      <c r="P1757">
        <v>52.81</v>
      </c>
      <c r="Q1757">
        <v>-5.72</v>
      </c>
      <c r="R1757">
        <v>49.79</v>
      </c>
      <c r="S1757">
        <v>52.81</v>
      </c>
      <c r="T1757">
        <v>43019</v>
      </c>
      <c r="U1757">
        <v>50.07</v>
      </c>
      <c r="V1757">
        <v>52.81</v>
      </c>
      <c r="W1757">
        <v>46.36</v>
      </c>
      <c r="X1757" t="s">
        <v>191</v>
      </c>
      <c r="Y1757" t="s">
        <v>763</v>
      </c>
      <c r="Z1757">
        <v>5.72</v>
      </c>
      <c r="AA1757">
        <v>50.85</v>
      </c>
      <c r="AB1757">
        <v>24392</v>
      </c>
      <c r="AC1757">
        <v>18627</v>
      </c>
      <c r="AD1757">
        <v>1.31</v>
      </c>
      <c r="AE1757">
        <v>8</v>
      </c>
      <c r="AF1757">
        <v>8</v>
      </c>
      <c r="AG1757" t="s">
        <v>120</v>
      </c>
      <c r="AH1757">
        <v>0</v>
      </c>
      <c r="AI1757" t="s">
        <v>120</v>
      </c>
      <c r="AJ1757">
        <v>3.14</v>
      </c>
      <c r="AK1757" t="s">
        <v>8914</v>
      </c>
      <c r="AL1757">
        <v>-3.27</v>
      </c>
      <c r="AM1757">
        <v>3311</v>
      </c>
      <c r="AN1757">
        <v>13</v>
      </c>
      <c r="AO1757">
        <v>4.0000000000000002E-4</v>
      </c>
      <c r="AP1757">
        <v>-1</v>
      </c>
      <c r="AQ1757">
        <v>4.99</v>
      </c>
      <c r="AR1757">
        <v>-2.63</v>
      </c>
      <c r="AS1757">
        <v>-8.8000000000000007</v>
      </c>
      <c r="AT1757">
        <v>7.42</v>
      </c>
      <c r="AU1757">
        <v>-16.059999999999999</v>
      </c>
      <c r="AV1757">
        <v>0</v>
      </c>
      <c r="AW1757">
        <v>1.65</v>
      </c>
      <c r="AX1757">
        <v>77.11</v>
      </c>
      <c r="AY1757">
        <v>53.39</v>
      </c>
      <c r="AZ1757">
        <v>74.95</v>
      </c>
      <c r="BA1757">
        <v>0.8</v>
      </c>
      <c r="BB1757" t="s">
        <v>143</v>
      </c>
      <c r="BF1757">
        <v>-3.71</v>
      </c>
      <c r="BG1757">
        <v>-5.19</v>
      </c>
      <c r="BH1757">
        <v>-5.19</v>
      </c>
      <c r="BI1757">
        <v>0.56000000000000005</v>
      </c>
      <c r="BJ1757">
        <v>20210827</v>
      </c>
      <c r="BK1757">
        <v>20140910</v>
      </c>
      <c r="BL1757">
        <v>3.38</v>
      </c>
      <c r="BM1757" t="s">
        <v>120</v>
      </c>
      <c r="BN1757" t="s">
        <v>120</v>
      </c>
      <c r="BO1757">
        <v>29.25</v>
      </c>
      <c r="BP1757">
        <v>50</v>
      </c>
      <c r="BQ1757">
        <v>22.39</v>
      </c>
      <c r="BR1757">
        <v>1.92</v>
      </c>
      <c r="BS1757">
        <v>16.899999999999999</v>
      </c>
      <c r="BT1757">
        <v>18.27</v>
      </c>
      <c r="BU1757">
        <v>8.01</v>
      </c>
      <c r="BV1757">
        <v>0.73</v>
      </c>
      <c r="BW1757">
        <v>4.1500000000000004</v>
      </c>
      <c r="BX1757">
        <v>7.24</v>
      </c>
      <c r="BY1757">
        <v>2.69</v>
      </c>
      <c r="BZ1757">
        <v>2.56</v>
      </c>
      <c r="CA1757" t="s">
        <v>120</v>
      </c>
      <c r="CB1757">
        <v>8.52</v>
      </c>
      <c r="CC1757">
        <v>5.45</v>
      </c>
      <c r="CD1757">
        <v>2.54</v>
      </c>
      <c r="CE1757">
        <v>2.27</v>
      </c>
      <c r="CF1757">
        <v>0.11</v>
      </c>
      <c r="CG1757">
        <v>2.1800000000000002</v>
      </c>
      <c r="CH1757">
        <v>1.86</v>
      </c>
      <c r="CI1757">
        <v>1.83</v>
      </c>
      <c r="CJ1757">
        <v>-2.74</v>
      </c>
      <c r="CK1757">
        <v>1.74</v>
      </c>
      <c r="CL1757">
        <v>9.3800000000000008</v>
      </c>
      <c r="CM1757">
        <v>1.26</v>
      </c>
      <c r="CN1757">
        <v>3.13</v>
      </c>
      <c r="CO1757">
        <v>13228</v>
      </c>
      <c r="CP1757">
        <v>19700</v>
      </c>
      <c r="CQ1757" t="s">
        <v>8915</v>
      </c>
      <c r="CR1757">
        <v>111.42</v>
      </c>
      <c r="CS1757">
        <v>56.29</v>
      </c>
      <c r="CT1757">
        <v>7.56</v>
      </c>
      <c r="CU1757">
        <v>133.80000000000001</v>
      </c>
      <c r="CV1757">
        <v>31.07</v>
      </c>
      <c r="CW1757">
        <v>0.34</v>
      </c>
      <c r="CX1757" t="s">
        <v>263</v>
      </c>
      <c r="CY1757">
        <v>6.63</v>
      </c>
      <c r="CZ1757">
        <v>0</v>
      </c>
      <c r="DA1757">
        <v>2.52</v>
      </c>
      <c r="DB1757">
        <v>2.78</v>
      </c>
      <c r="DC1757">
        <v>0.37</v>
      </c>
      <c r="DD1757">
        <v>76.540000000000006</v>
      </c>
      <c r="DE1757" t="s">
        <v>8916</v>
      </c>
      <c r="DF1757">
        <v>53.37</v>
      </c>
      <c r="DG1757">
        <v>41.6</v>
      </c>
      <c r="DH1757">
        <v>33.51</v>
      </c>
      <c r="DI1757">
        <v>0.28000000000000003</v>
      </c>
      <c r="DJ1757">
        <v>1392</v>
      </c>
      <c r="DK1757">
        <v>300395</v>
      </c>
      <c r="DL1757" t="s">
        <v>120</v>
      </c>
      <c r="DM1757" t="s">
        <v>120</v>
      </c>
      <c r="DN1757" t="s">
        <v>120</v>
      </c>
    </row>
    <row r="1758" spans="1:118">
      <c r="A1758" t="str">
        <f>"300396"</f>
        <v>300396</v>
      </c>
      <c r="B1758" t="s">
        <v>8917</v>
      </c>
      <c r="C1758">
        <v>-0.16</v>
      </c>
      <c r="D1758">
        <v>0</v>
      </c>
      <c r="E1758">
        <v>1.51</v>
      </c>
      <c r="F1758">
        <v>101</v>
      </c>
      <c r="G1758" t="s">
        <v>8918</v>
      </c>
      <c r="H1758">
        <v>1411.18</v>
      </c>
      <c r="I1758">
        <v>18.399999999999999</v>
      </c>
      <c r="J1758" t="s">
        <v>120</v>
      </c>
      <c r="K1758" t="s">
        <v>7787</v>
      </c>
      <c r="L1758">
        <v>0.31</v>
      </c>
      <c r="M1758">
        <v>18.47</v>
      </c>
      <c r="N1758">
        <v>0.74</v>
      </c>
      <c r="O1758">
        <v>1.51</v>
      </c>
      <c r="P1758">
        <v>18.78</v>
      </c>
      <c r="Q1758">
        <v>-0.76</v>
      </c>
      <c r="R1758">
        <v>18.36</v>
      </c>
      <c r="S1758">
        <v>18.78</v>
      </c>
      <c r="T1758">
        <v>7650</v>
      </c>
      <c r="U1758">
        <v>18.47</v>
      </c>
      <c r="V1758">
        <v>18.5</v>
      </c>
      <c r="W1758">
        <v>23.19</v>
      </c>
      <c r="X1758" t="s">
        <v>555</v>
      </c>
      <c r="Y1758" t="s">
        <v>290</v>
      </c>
      <c r="Z1758">
        <v>2.27</v>
      </c>
      <c r="AA1758">
        <v>18.45</v>
      </c>
      <c r="AB1758">
        <v>4489</v>
      </c>
      <c r="AC1758">
        <v>3161</v>
      </c>
      <c r="AD1758">
        <v>1.42</v>
      </c>
      <c r="AE1758">
        <v>17</v>
      </c>
      <c r="AF1758">
        <v>56</v>
      </c>
      <c r="AG1758" t="s">
        <v>120</v>
      </c>
      <c r="AH1758">
        <v>0.01</v>
      </c>
      <c r="AI1758" t="s">
        <v>120</v>
      </c>
      <c r="AJ1758">
        <v>2.5</v>
      </c>
      <c r="AK1758" t="s">
        <v>2377</v>
      </c>
      <c r="AL1758">
        <v>1.75</v>
      </c>
      <c r="AM1758">
        <v>550</v>
      </c>
      <c r="AN1758">
        <v>14</v>
      </c>
      <c r="AO1758">
        <v>5.9999999999999995E-4</v>
      </c>
      <c r="AP1758">
        <v>-2</v>
      </c>
      <c r="AQ1758">
        <v>-1.6</v>
      </c>
      <c r="AR1758">
        <v>2.27</v>
      </c>
      <c r="AS1758">
        <v>-1.7</v>
      </c>
      <c r="AT1758">
        <v>-13.85</v>
      </c>
      <c r="AU1758">
        <v>-19.48</v>
      </c>
      <c r="AV1758">
        <v>0</v>
      </c>
      <c r="AW1758">
        <v>0.82</v>
      </c>
      <c r="AX1758">
        <v>33.840000000000003</v>
      </c>
      <c r="AY1758">
        <v>18.989999999999998</v>
      </c>
      <c r="AZ1758">
        <v>19.12</v>
      </c>
      <c r="BA1758">
        <v>0.46</v>
      </c>
      <c r="BB1758" t="s">
        <v>143</v>
      </c>
      <c r="BF1758">
        <v>-0.28999999999999998</v>
      </c>
      <c r="BG1758">
        <v>-1.65</v>
      </c>
      <c r="BH1758">
        <v>-1.65</v>
      </c>
      <c r="BI1758">
        <v>0.6</v>
      </c>
      <c r="BJ1758">
        <v>20210828</v>
      </c>
      <c r="BK1758">
        <v>20140910</v>
      </c>
      <c r="BL1758">
        <v>2.76</v>
      </c>
      <c r="BM1758" t="s">
        <v>120</v>
      </c>
      <c r="BN1758" t="s">
        <v>120</v>
      </c>
      <c r="BO1758">
        <v>20.62</v>
      </c>
      <c r="BP1758">
        <v>18.46</v>
      </c>
      <c r="BQ1758">
        <v>16.32</v>
      </c>
      <c r="BR1758" t="s">
        <v>120</v>
      </c>
      <c r="BS1758">
        <v>20.88</v>
      </c>
      <c r="BT1758">
        <v>12.04</v>
      </c>
      <c r="BU1758">
        <v>2.04</v>
      </c>
      <c r="BV1758">
        <v>0.76</v>
      </c>
      <c r="BW1758">
        <v>4.03</v>
      </c>
      <c r="BX1758">
        <v>7.16</v>
      </c>
      <c r="BY1758">
        <v>2.39</v>
      </c>
      <c r="BZ1758">
        <v>1.48</v>
      </c>
      <c r="CA1758" t="s">
        <v>120</v>
      </c>
      <c r="CB1758">
        <v>2.88</v>
      </c>
      <c r="CC1758">
        <v>4.18</v>
      </c>
      <c r="CD1758">
        <v>1.98</v>
      </c>
      <c r="CE1758">
        <v>1.2</v>
      </c>
      <c r="CF1758">
        <v>0.15</v>
      </c>
      <c r="CG1758">
        <v>1.2</v>
      </c>
      <c r="CH1758">
        <v>1.1000000000000001</v>
      </c>
      <c r="CI1758">
        <v>1.1000000000000001</v>
      </c>
      <c r="CJ1758">
        <v>-0.03</v>
      </c>
      <c r="CK1758">
        <v>1.07</v>
      </c>
      <c r="CL1758">
        <v>9.5299999999999994</v>
      </c>
      <c r="CM1758">
        <v>0.26</v>
      </c>
      <c r="CN1758">
        <v>0.3</v>
      </c>
      <c r="CO1758">
        <v>10410</v>
      </c>
      <c r="CP1758">
        <v>8974</v>
      </c>
      <c r="CQ1758" t="s">
        <v>8919</v>
      </c>
      <c r="CR1758">
        <v>1.65</v>
      </c>
      <c r="CS1758">
        <v>-9.82</v>
      </c>
      <c r="CT1758">
        <v>3.12</v>
      </c>
      <c r="CU1758">
        <v>199.05</v>
      </c>
      <c r="CV1758">
        <v>12.21</v>
      </c>
      <c r="CW1758">
        <v>2.65</v>
      </c>
      <c r="CX1758" t="s">
        <v>3527</v>
      </c>
      <c r="CY1758">
        <v>5.91</v>
      </c>
      <c r="CZ1758">
        <v>0</v>
      </c>
      <c r="DA1758">
        <v>1.04</v>
      </c>
      <c r="DB1758">
        <v>3.45</v>
      </c>
      <c r="DC1758">
        <v>0.09</v>
      </c>
      <c r="DD1758">
        <v>79.12</v>
      </c>
      <c r="DE1758" t="s">
        <v>8920</v>
      </c>
      <c r="DF1758">
        <v>52.64</v>
      </c>
      <c r="DG1758">
        <v>28.84</v>
      </c>
      <c r="DH1758">
        <v>26.32</v>
      </c>
      <c r="DI1758">
        <v>0.41</v>
      </c>
      <c r="DJ1758">
        <v>1584</v>
      </c>
      <c r="DK1758">
        <v>300396</v>
      </c>
      <c r="DL1758" t="s">
        <v>120</v>
      </c>
      <c r="DM1758" t="s">
        <v>120</v>
      </c>
      <c r="DN1758" t="s">
        <v>120</v>
      </c>
    </row>
    <row r="1759" spans="1:118">
      <c r="A1759" t="str">
        <f>"300397"</f>
        <v>300397</v>
      </c>
      <c r="B1759" t="s">
        <v>8921</v>
      </c>
      <c r="C1759">
        <v>2.2799999999999998</v>
      </c>
      <c r="D1759">
        <v>-0.12</v>
      </c>
      <c r="E1759">
        <v>0.39</v>
      </c>
      <c r="F1759">
        <v>1140</v>
      </c>
      <c r="G1759" t="s">
        <v>1100</v>
      </c>
      <c r="H1759">
        <v>16264.46</v>
      </c>
      <c r="I1759">
        <v>13.88</v>
      </c>
      <c r="J1759" t="s">
        <v>120</v>
      </c>
      <c r="K1759" t="s">
        <v>8922</v>
      </c>
      <c r="L1759">
        <v>2.39</v>
      </c>
      <c r="M1759">
        <v>15.71</v>
      </c>
      <c r="N1759">
        <v>1.34</v>
      </c>
      <c r="O1759">
        <v>5.08</v>
      </c>
      <c r="P1759">
        <v>16.14</v>
      </c>
      <c r="Q1759">
        <v>0</v>
      </c>
      <c r="R1759">
        <v>15.36</v>
      </c>
      <c r="S1759">
        <v>15.42</v>
      </c>
      <c r="T1759">
        <v>103427</v>
      </c>
      <c r="U1759">
        <v>15.72</v>
      </c>
      <c r="V1759">
        <v>15.36</v>
      </c>
      <c r="W1759" t="s">
        <v>120</v>
      </c>
      <c r="X1759" t="s">
        <v>462</v>
      </c>
      <c r="Y1759" t="s">
        <v>890</v>
      </c>
      <c r="Z1759">
        <v>5.08</v>
      </c>
      <c r="AA1759">
        <v>15.73</v>
      </c>
      <c r="AB1759">
        <v>47903</v>
      </c>
      <c r="AC1759">
        <v>55524</v>
      </c>
      <c r="AD1759">
        <v>0.86</v>
      </c>
      <c r="AE1759">
        <v>1209</v>
      </c>
      <c r="AF1759">
        <v>226</v>
      </c>
      <c r="AG1759" t="s">
        <v>120</v>
      </c>
      <c r="AH1759">
        <v>0</v>
      </c>
      <c r="AI1759" t="s">
        <v>120</v>
      </c>
      <c r="AJ1759">
        <v>4.32</v>
      </c>
      <c r="AK1759" t="s">
        <v>8923</v>
      </c>
      <c r="AL1759">
        <v>4.1900000000000004</v>
      </c>
      <c r="AM1759">
        <v>2610</v>
      </c>
      <c r="AN1759">
        <v>40</v>
      </c>
      <c r="AO1759">
        <v>8.9999999999999998E-4</v>
      </c>
      <c r="AP1759">
        <v>1</v>
      </c>
      <c r="AQ1759">
        <v>-2.48</v>
      </c>
      <c r="AR1759">
        <v>0.96</v>
      </c>
      <c r="AS1759">
        <v>-12.29</v>
      </c>
      <c r="AT1759">
        <v>-19.39</v>
      </c>
      <c r="AU1759">
        <v>-19.07</v>
      </c>
      <c r="AV1759">
        <v>1</v>
      </c>
      <c r="AW1759">
        <v>2.61</v>
      </c>
      <c r="AX1759">
        <v>76.42</v>
      </c>
      <c r="AY1759">
        <v>242.84</v>
      </c>
      <c r="AZ1759">
        <v>77.27</v>
      </c>
      <c r="BA1759">
        <v>0</v>
      </c>
      <c r="BB1759" t="s">
        <v>125</v>
      </c>
      <c r="BF1759">
        <v>2.38</v>
      </c>
      <c r="BG1759">
        <v>1.88</v>
      </c>
      <c r="BH1759">
        <v>-2.66</v>
      </c>
      <c r="BI1759">
        <v>2.2799999999999998</v>
      </c>
      <c r="BJ1759">
        <v>20210913</v>
      </c>
      <c r="BK1759">
        <v>20140910</v>
      </c>
      <c r="BL1759">
        <v>5.18</v>
      </c>
      <c r="BM1759" t="s">
        <v>120</v>
      </c>
      <c r="BN1759" t="s">
        <v>120</v>
      </c>
      <c r="BO1759">
        <v>18.829999999999998</v>
      </c>
      <c r="BP1759">
        <v>15.71</v>
      </c>
      <c r="BQ1759">
        <v>14.69</v>
      </c>
      <c r="BR1759">
        <v>0.06</v>
      </c>
      <c r="BS1759">
        <v>21.69</v>
      </c>
      <c r="BT1759">
        <v>9.19</v>
      </c>
      <c r="BU1759">
        <v>3.66</v>
      </c>
      <c r="BV1759">
        <v>1.94</v>
      </c>
      <c r="BW1759">
        <v>3.7</v>
      </c>
      <c r="BX1759">
        <v>1.88</v>
      </c>
      <c r="BY1759">
        <v>2.88</v>
      </c>
      <c r="BZ1759">
        <v>1.92</v>
      </c>
      <c r="CA1759">
        <v>0.02</v>
      </c>
      <c r="CB1759">
        <v>5.38</v>
      </c>
      <c r="CC1759">
        <v>2.54</v>
      </c>
      <c r="CD1759">
        <v>1.69</v>
      </c>
      <c r="CE1759">
        <v>-0.12</v>
      </c>
      <c r="CF1759">
        <v>0.05</v>
      </c>
      <c r="CG1759">
        <v>-0.12</v>
      </c>
      <c r="CH1759">
        <v>-0.1</v>
      </c>
      <c r="CI1759">
        <v>-0.08</v>
      </c>
      <c r="CJ1759">
        <v>0.35</v>
      </c>
      <c r="CK1759">
        <v>-0.22</v>
      </c>
      <c r="CL1759">
        <v>4.0999999999999996</v>
      </c>
      <c r="CM1759">
        <v>0.63</v>
      </c>
      <c r="CN1759">
        <v>0.68</v>
      </c>
      <c r="CO1759">
        <v>57343</v>
      </c>
      <c r="CP1759">
        <v>6898</v>
      </c>
      <c r="CQ1759" t="s">
        <v>4048</v>
      </c>
      <c r="CR1759">
        <v>-112.25</v>
      </c>
      <c r="CS1759">
        <v>-63.89</v>
      </c>
      <c r="CT1759">
        <v>5.12</v>
      </c>
      <c r="CU1759">
        <v>128.68</v>
      </c>
      <c r="CV1759">
        <v>32.06</v>
      </c>
      <c r="CW1759">
        <v>0</v>
      </c>
      <c r="CX1759" t="s">
        <v>419</v>
      </c>
      <c r="CY1759">
        <v>3.07</v>
      </c>
      <c r="CZ1759">
        <v>3.07</v>
      </c>
      <c r="DA1759">
        <v>1.04</v>
      </c>
      <c r="DB1759">
        <v>0.79</v>
      </c>
      <c r="DC1759">
        <v>0.12</v>
      </c>
      <c r="DD1759">
        <v>78</v>
      </c>
      <c r="DE1759" t="s">
        <v>8619</v>
      </c>
      <c r="DF1759">
        <v>33.25</v>
      </c>
      <c r="DG1759">
        <v>-4.54</v>
      </c>
      <c r="DH1759">
        <v>-3.02</v>
      </c>
      <c r="DI1759">
        <v>0.41</v>
      </c>
      <c r="DJ1759">
        <v>2031</v>
      </c>
      <c r="DK1759">
        <v>300397</v>
      </c>
      <c r="DL1759" t="s">
        <v>120</v>
      </c>
      <c r="DM1759" t="s">
        <v>120</v>
      </c>
      <c r="DN1759" t="s">
        <v>120</v>
      </c>
    </row>
    <row r="1760" spans="1:118">
      <c r="A1760" t="str">
        <f>"300398"</f>
        <v>300398</v>
      </c>
      <c r="B1760" t="s">
        <v>8924</v>
      </c>
      <c r="C1760">
        <v>-3.71</v>
      </c>
      <c r="D1760">
        <v>0.06</v>
      </c>
      <c r="E1760">
        <v>0.26</v>
      </c>
      <c r="F1760">
        <v>943</v>
      </c>
      <c r="G1760" t="s">
        <v>4428</v>
      </c>
      <c r="H1760">
        <v>17475.5</v>
      </c>
      <c r="I1760">
        <v>30.49</v>
      </c>
      <c r="J1760" t="s">
        <v>120</v>
      </c>
      <c r="K1760" t="s">
        <v>8925</v>
      </c>
      <c r="L1760">
        <v>1.85</v>
      </c>
      <c r="M1760">
        <v>18.190000000000001</v>
      </c>
      <c r="N1760">
        <v>1.01</v>
      </c>
      <c r="O1760">
        <v>0.57999999999999996</v>
      </c>
      <c r="P1760">
        <v>19</v>
      </c>
      <c r="Q1760">
        <v>-3.81</v>
      </c>
      <c r="R1760">
        <v>18.170000000000002</v>
      </c>
      <c r="S1760">
        <v>18.940000000000001</v>
      </c>
      <c r="T1760">
        <v>94426</v>
      </c>
      <c r="U1760">
        <v>18.2</v>
      </c>
      <c r="V1760">
        <v>18.89</v>
      </c>
      <c r="W1760">
        <v>27.93</v>
      </c>
      <c r="X1760" t="s">
        <v>1145</v>
      </c>
      <c r="Y1760" t="s">
        <v>1510</v>
      </c>
      <c r="Z1760">
        <v>4.3899999999999997</v>
      </c>
      <c r="AA1760">
        <v>18.510000000000002</v>
      </c>
      <c r="AB1760">
        <v>57075</v>
      </c>
      <c r="AC1760">
        <v>37351</v>
      </c>
      <c r="AD1760">
        <v>1.53</v>
      </c>
      <c r="AE1760">
        <v>236</v>
      </c>
      <c r="AF1760">
        <v>30</v>
      </c>
      <c r="AG1760" t="s">
        <v>120</v>
      </c>
      <c r="AH1760">
        <v>0.01</v>
      </c>
      <c r="AI1760" t="s">
        <v>120</v>
      </c>
      <c r="AJ1760">
        <v>5.0999999999999996</v>
      </c>
      <c r="AK1760" t="s">
        <v>6935</v>
      </c>
      <c r="AL1760">
        <v>-1.79</v>
      </c>
      <c r="AM1760">
        <v>3024</v>
      </c>
      <c r="AN1760">
        <v>31</v>
      </c>
      <c r="AO1760">
        <v>5.9999999999999995E-4</v>
      </c>
      <c r="AP1760">
        <v>-1</v>
      </c>
      <c r="AQ1760">
        <v>3.28</v>
      </c>
      <c r="AR1760">
        <v>-3.09</v>
      </c>
      <c r="AS1760">
        <v>-10.74</v>
      </c>
      <c r="AT1760">
        <v>-3.66</v>
      </c>
      <c r="AU1760">
        <v>2.79</v>
      </c>
      <c r="AV1760">
        <v>0</v>
      </c>
      <c r="AW1760">
        <v>3.22</v>
      </c>
      <c r="AX1760">
        <v>56.84</v>
      </c>
      <c r="AY1760">
        <v>33.909999999999997</v>
      </c>
      <c r="AZ1760">
        <v>42.42</v>
      </c>
      <c r="BA1760">
        <v>0.99</v>
      </c>
      <c r="BB1760" t="s">
        <v>143</v>
      </c>
      <c r="BF1760">
        <v>-2.0299999999999998</v>
      </c>
      <c r="BG1760">
        <v>-3.96</v>
      </c>
      <c r="BH1760">
        <v>-4.26</v>
      </c>
      <c r="BI1760">
        <v>0.11</v>
      </c>
      <c r="BJ1760">
        <v>20210903</v>
      </c>
      <c r="BK1760">
        <v>20141009</v>
      </c>
      <c r="BL1760">
        <v>5.16</v>
      </c>
      <c r="BM1760" t="s">
        <v>120</v>
      </c>
      <c r="BN1760" t="s">
        <v>120</v>
      </c>
      <c r="BO1760">
        <v>57.41</v>
      </c>
      <c r="BP1760">
        <v>18.190000000000001</v>
      </c>
      <c r="BQ1760">
        <v>29.76</v>
      </c>
      <c r="BR1760">
        <v>0.8</v>
      </c>
      <c r="BS1760">
        <v>46.76</v>
      </c>
      <c r="BT1760">
        <v>29.74</v>
      </c>
      <c r="BU1760">
        <v>9.74</v>
      </c>
      <c r="BV1760">
        <v>2.84</v>
      </c>
      <c r="BW1760">
        <v>18.3</v>
      </c>
      <c r="BX1760">
        <v>8.9</v>
      </c>
      <c r="BY1760">
        <v>5.7</v>
      </c>
      <c r="BZ1760">
        <v>7.2</v>
      </c>
      <c r="CA1760" t="s">
        <v>120</v>
      </c>
      <c r="CB1760">
        <v>9.94</v>
      </c>
      <c r="CC1760">
        <v>12.03</v>
      </c>
      <c r="CD1760">
        <v>7.24</v>
      </c>
      <c r="CE1760">
        <v>2.06</v>
      </c>
      <c r="CF1760">
        <v>0.26</v>
      </c>
      <c r="CG1760">
        <v>2.06</v>
      </c>
      <c r="CH1760">
        <v>1.78</v>
      </c>
      <c r="CI1760">
        <v>1.68</v>
      </c>
      <c r="CJ1760">
        <v>-0.7</v>
      </c>
      <c r="CK1760">
        <v>1.5</v>
      </c>
      <c r="CL1760">
        <v>12.56</v>
      </c>
      <c r="CM1760">
        <v>1.54</v>
      </c>
      <c r="CN1760">
        <v>-4.37</v>
      </c>
      <c r="CO1760">
        <v>34021</v>
      </c>
      <c r="CP1760">
        <v>8622</v>
      </c>
      <c r="CQ1760" t="s">
        <v>8926</v>
      </c>
      <c r="CR1760">
        <v>52.25</v>
      </c>
      <c r="CS1760">
        <v>45.01</v>
      </c>
      <c r="CT1760">
        <v>3.38</v>
      </c>
      <c r="CU1760">
        <v>60.9</v>
      </c>
      <c r="CV1760">
        <v>7.81</v>
      </c>
      <c r="CW1760">
        <v>0.34</v>
      </c>
      <c r="CX1760" t="s">
        <v>2443</v>
      </c>
      <c r="CY1760">
        <v>5.38</v>
      </c>
      <c r="CZ1760">
        <v>5.38</v>
      </c>
      <c r="DA1760">
        <v>1.93</v>
      </c>
      <c r="DB1760">
        <v>2.4300000000000002</v>
      </c>
      <c r="DC1760">
        <v>0.3</v>
      </c>
      <c r="DD1760">
        <v>51.84</v>
      </c>
      <c r="DE1760" t="s">
        <v>4488</v>
      </c>
      <c r="DF1760">
        <v>39.78</v>
      </c>
      <c r="DG1760">
        <v>17.13</v>
      </c>
      <c r="DH1760">
        <v>13.97</v>
      </c>
      <c r="DI1760">
        <v>0.84</v>
      </c>
      <c r="DJ1760">
        <v>1823</v>
      </c>
      <c r="DK1760">
        <v>300398</v>
      </c>
      <c r="DL1760" t="s">
        <v>120</v>
      </c>
      <c r="DM1760" t="s">
        <v>120</v>
      </c>
      <c r="DN1760" t="s">
        <v>120</v>
      </c>
    </row>
    <row r="1761" spans="1:118">
      <c r="A1761" t="str">
        <f>"300399"</f>
        <v>300399</v>
      </c>
      <c r="B1761" t="s">
        <v>8927</v>
      </c>
      <c r="C1761">
        <v>-2.5</v>
      </c>
      <c r="D1761">
        <v>0.18</v>
      </c>
      <c r="E1761">
        <v>-1.52</v>
      </c>
      <c r="F1761">
        <v>213</v>
      </c>
      <c r="G1761" t="s">
        <v>8928</v>
      </c>
      <c r="H1761">
        <v>2078.5500000000002</v>
      </c>
      <c r="I1761">
        <v>0</v>
      </c>
      <c r="J1761" t="s">
        <v>120</v>
      </c>
      <c r="K1761" t="s">
        <v>8929</v>
      </c>
      <c r="L1761">
        <v>0.97</v>
      </c>
      <c r="M1761">
        <v>10.92</v>
      </c>
      <c r="N1761">
        <v>1.18</v>
      </c>
      <c r="O1761">
        <v>-0.36</v>
      </c>
      <c r="P1761">
        <v>11.16</v>
      </c>
      <c r="Q1761">
        <v>-3.48</v>
      </c>
      <c r="R1761">
        <v>10.81</v>
      </c>
      <c r="S1761">
        <v>11.03</v>
      </c>
      <c r="T1761">
        <v>18943</v>
      </c>
      <c r="U1761">
        <v>10.92</v>
      </c>
      <c r="V1761">
        <v>11.2</v>
      </c>
      <c r="W1761" t="s">
        <v>120</v>
      </c>
      <c r="X1761" t="s">
        <v>1531</v>
      </c>
      <c r="Y1761" t="s">
        <v>676</v>
      </c>
      <c r="Z1761">
        <v>3.12</v>
      </c>
      <c r="AA1761">
        <v>10.97</v>
      </c>
      <c r="AB1761">
        <v>11430</v>
      </c>
      <c r="AC1761">
        <v>7513</v>
      </c>
      <c r="AD1761">
        <v>1.52</v>
      </c>
      <c r="AE1761">
        <v>142</v>
      </c>
      <c r="AF1761">
        <v>3</v>
      </c>
      <c r="AG1761" t="s">
        <v>120</v>
      </c>
      <c r="AH1761">
        <v>0</v>
      </c>
      <c r="AI1761" t="s">
        <v>120</v>
      </c>
      <c r="AJ1761">
        <v>1.95</v>
      </c>
      <c r="AK1761" t="s">
        <v>8930</v>
      </c>
      <c r="AL1761">
        <v>-0.59</v>
      </c>
      <c r="AM1761">
        <v>1229</v>
      </c>
      <c r="AN1761">
        <v>15</v>
      </c>
      <c r="AO1761">
        <v>8.0000000000000004E-4</v>
      </c>
      <c r="AP1761">
        <v>-1</v>
      </c>
      <c r="AQ1761">
        <v>1.08</v>
      </c>
      <c r="AR1761">
        <v>-3.11</v>
      </c>
      <c r="AS1761">
        <v>-0.64</v>
      </c>
      <c r="AT1761">
        <v>-8.15</v>
      </c>
      <c r="AU1761">
        <v>-34.119999999999997</v>
      </c>
      <c r="AV1761">
        <v>0</v>
      </c>
      <c r="AW1761">
        <v>2.44</v>
      </c>
      <c r="AX1761">
        <v>39.270000000000003</v>
      </c>
      <c r="AY1761">
        <v>318.67</v>
      </c>
      <c r="AZ1761">
        <v>82.18</v>
      </c>
      <c r="BA1761">
        <v>0.97</v>
      </c>
      <c r="BB1761" t="s">
        <v>143</v>
      </c>
      <c r="BF1761">
        <v>-2.0299999999999998</v>
      </c>
      <c r="BG1761">
        <v>-1</v>
      </c>
      <c r="BH1761">
        <v>-2.15</v>
      </c>
      <c r="BI1761">
        <v>1.02</v>
      </c>
      <c r="BJ1761">
        <v>20210828</v>
      </c>
      <c r="BK1761">
        <v>20141009</v>
      </c>
      <c r="BL1761">
        <v>1.98</v>
      </c>
      <c r="BM1761" t="s">
        <v>120</v>
      </c>
      <c r="BN1761" t="s">
        <v>120</v>
      </c>
      <c r="BO1761">
        <v>5.59</v>
      </c>
      <c r="BP1761">
        <v>10.91</v>
      </c>
      <c r="BQ1761">
        <v>4.66</v>
      </c>
      <c r="BR1761">
        <v>0.08</v>
      </c>
      <c r="BS1761">
        <v>15.27</v>
      </c>
      <c r="BT1761">
        <v>4.71</v>
      </c>
      <c r="BU1761">
        <v>0.24</v>
      </c>
      <c r="BV1761">
        <v>0.17</v>
      </c>
      <c r="BW1761">
        <v>0.83</v>
      </c>
      <c r="BX1761">
        <v>2.21</v>
      </c>
      <c r="BY1761">
        <v>0.03</v>
      </c>
      <c r="BZ1761">
        <v>0.46</v>
      </c>
      <c r="CA1761">
        <v>0</v>
      </c>
      <c r="CB1761">
        <v>0.21</v>
      </c>
      <c r="CC1761">
        <v>2.13</v>
      </c>
      <c r="CD1761">
        <v>1.99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-0.28000000000000003</v>
      </c>
      <c r="CK1761">
        <v>-7.0000000000000007E-2</v>
      </c>
      <c r="CL1761">
        <v>2.13</v>
      </c>
      <c r="CM1761">
        <v>-0.55000000000000004</v>
      </c>
      <c r="CN1761">
        <v>-0.9</v>
      </c>
      <c r="CO1761">
        <v>14260</v>
      </c>
      <c r="CP1761">
        <v>5441</v>
      </c>
      <c r="CQ1761" t="s">
        <v>1041</v>
      </c>
      <c r="CR1761">
        <v>-100.12</v>
      </c>
      <c r="CS1761">
        <v>-18</v>
      </c>
      <c r="CT1761">
        <v>4.63</v>
      </c>
      <c r="CU1761">
        <v>-38.99</v>
      </c>
      <c r="CV1761">
        <v>10.15</v>
      </c>
      <c r="CW1761">
        <v>0.22</v>
      </c>
      <c r="CX1761" t="s">
        <v>8931</v>
      </c>
      <c r="CY1761">
        <v>2.36</v>
      </c>
      <c r="CZ1761">
        <v>0</v>
      </c>
      <c r="DA1761">
        <v>0.11</v>
      </c>
      <c r="DB1761">
        <v>1.08</v>
      </c>
      <c r="DC1761">
        <v>-0.28000000000000003</v>
      </c>
      <c r="DD1761">
        <v>83.31</v>
      </c>
      <c r="DE1761" t="s">
        <v>8932</v>
      </c>
      <c r="DF1761">
        <v>6.22</v>
      </c>
      <c r="DG1761">
        <v>0.21</v>
      </c>
      <c r="DH1761">
        <v>-0.01</v>
      </c>
      <c r="DI1761">
        <v>0.06</v>
      </c>
      <c r="DJ1761">
        <v>334</v>
      </c>
      <c r="DK1761">
        <v>300399</v>
      </c>
      <c r="DL1761" t="s">
        <v>120</v>
      </c>
      <c r="DM1761" t="s">
        <v>120</v>
      </c>
      <c r="DN1761" t="s">
        <v>120</v>
      </c>
    </row>
    <row r="1762" spans="1:118">
      <c r="A1762" t="str">
        <f>"300400"</f>
        <v>300400</v>
      </c>
      <c r="B1762" t="s">
        <v>8933</v>
      </c>
      <c r="C1762">
        <v>-5.13</v>
      </c>
      <c r="D1762">
        <v>0</v>
      </c>
      <c r="E1762">
        <v>-0.48</v>
      </c>
      <c r="F1762">
        <v>461</v>
      </c>
      <c r="G1762" t="s">
        <v>8934</v>
      </c>
      <c r="H1762">
        <v>17320.32</v>
      </c>
      <c r="I1762">
        <v>17.260000000000002</v>
      </c>
      <c r="J1762" t="s">
        <v>120</v>
      </c>
      <c r="K1762" t="s">
        <v>8934</v>
      </c>
      <c r="L1762">
        <v>4.38</v>
      </c>
      <c r="M1762">
        <v>23.85</v>
      </c>
      <c r="N1762">
        <v>1.0900000000000001</v>
      </c>
      <c r="O1762">
        <v>0.64</v>
      </c>
      <c r="P1762">
        <v>25.3</v>
      </c>
      <c r="Q1762">
        <v>-5.53</v>
      </c>
      <c r="R1762">
        <v>23.75</v>
      </c>
      <c r="S1762">
        <v>25.02</v>
      </c>
      <c r="T1762">
        <v>71029</v>
      </c>
      <c r="U1762">
        <v>23.86</v>
      </c>
      <c r="V1762">
        <v>25.14</v>
      </c>
      <c r="W1762">
        <v>35.01</v>
      </c>
      <c r="X1762" t="s">
        <v>675</v>
      </c>
      <c r="Y1762" t="s">
        <v>123</v>
      </c>
      <c r="Z1762">
        <v>6.17</v>
      </c>
      <c r="AA1762">
        <v>24.38</v>
      </c>
      <c r="AB1762">
        <v>38195</v>
      </c>
      <c r="AC1762">
        <v>32834</v>
      </c>
      <c r="AD1762">
        <v>1.1599999999999999</v>
      </c>
      <c r="AE1762">
        <v>229</v>
      </c>
      <c r="AF1762">
        <v>4</v>
      </c>
      <c r="AG1762" t="s">
        <v>120</v>
      </c>
      <c r="AH1762">
        <v>0</v>
      </c>
      <c r="AI1762" t="s">
        <v>120</v>
      </c>
      <c r="AJ1762">
        <v>1.62</v>
      </c>
      <c r="AK1762" t="s">
        <v>8935</v>
      </c>
      <c r="AL1762">
        <v>-3.22</v>
      </c>
      <c r="AM1762">
        <v>2955</v>
      </c>
      <c r="AN1762">
        <v>24</v>
      </c>
      <c r="AO1762">
        <v>1.5E-3</v>
      </c>
      <c r="AP1762">
        <v>-1</v>
      </c>
      <c r="AQ1762">
        <v>0.92</v>
      </c>
      <c r="AR1762">
        <v>-5.32</v>
      </c>
      <c r="AS1762">
        <v>-18.91</v>
      </c>
      <c r="AT1762">
        <v>43.68</v>
      </c>
      <c r="AU1762">
        <v>91.57</v>
      </c>
      <c r="AV1762">
        <v>2</v>
      </c>
      <c r="AW1762">
        <v>4.38</v>
      </c>
      <c r="AX1762">
        <v>66.91</v>
      </c>
      <c r="AY1762">
        <v>43.97</v>
      </c>
      <c r="AZ1762">
        <v>49.7</v>
      </c>
      <c r="BA1762">
        <v>1.45</v>
      </c>
      <c r="BB1762" t="s">
        <v>143</v>
      </c>
      <c r="BF1762">
        <v>-3</v>
      </c>
      <c r="BG1762">
        <v>-4.68</v>
      </c>
      <c r="BH1762">
        <v>-5.73</v>
      </c>
      <c r="BI1762">
        <v>0.42</v>
      </c>
      <c r="BJ1762">
        <v>20210812</v>
      </c>
      <c r="BK1762">
        <v>20141010</v>
      </c>
      <c r="BL1762">
        <v>2.4300000000000002</v>
      </c>
      <c r="BM1762" t="s">
        <v>120</v>
      </c>
      <c r="BN1762" t="s">
        <v>120</v>
      </c>
      <c r="BO1762">
        <v>13.81</v>
      </c>
      <c r="BP1762">
        <v>23.85</v>
      </c>
      <c r="BQ1762">
        <v>7.41</v>
      </c>
      <c r="BR1762">
        <v>0.13</v>
      </c>
      <c r="BS1762">
        <v>45.39</v>
      </c>
      <c r="BT1762">
        <v>10.35</v>
      </c>
      <c r="BU1762">
        <v>2.37</v>
      </c>
      <c r="BV1762">
        <v>0.17</v>
      </c>
      <c r="BW1762">
        <v>6.03</v>
      </c>
      <c r="BX1762">
        <v>2.58</v>
      </c>
      <c r="BY1762">
        <v>3.69</v>
      </c>
      <c r="BZ1762">
        <v>2.99</v>
      </c>
      <c r="CA1762" t="s">
        <v>120</v>
      </c>
      <c r="CB1762">
        <v>0.73</v>
      </c>
      <c r="CC1762">
        <v>4.68</v>
      </c>
      <c r="CD1762">
        <v>2.94</v>
      </c>
      <c r="CE1762">
        <v>0.94</v>
      </c>
      <c r="CF1762">
        <v>0.01</v>
      </c>
      <c r="CG1762">
        <v>0.93</v>
      </c>
      <c r="CH1762">
        <v>0.82</v>
      </c>
      <c r="CI1762">
        <v>0.83</v>
      </c>
      <c r="CJ1762">
        <v>-1.29</v>
      </c>
      <c r="CK1762">
        <v>0.75</v>
      </c>
      <c r="CL1762">
        <v>4.68</v>
      </c>
      <c r="CM1762">
        <v>0.77</v>
      </c>
      <c r="CN1762">
        <v>-0.89</v>
      </c>
      <c r="CO1762">
        <v>12802</v>
      </c>
      <c r="CP1762">
        <v>12681</v>
      </c>
      <c r="CQ1762" t="s">
        <v>8936</v>
      </c>
      <c r="CR1762">
        <v>24</v>
      </c>
      <c r="CS1762">
        <v>4.41</v>
      </c>
      <c r="CT1762">
        <v>7.81</v>
      </c>
      <c r="CU1762">
        <v>75.23</v>
      </c>
      <c r="CV1762">
        <v>12.36</v>
      </c>
      <c r="CW1762">
        <v>0.39</v>
      </c>
      <c r="CX1762" t="s">
        <v>1574</v>
      </c>
      <c r="CY1762">
        <v>3.06</v>
      </c>
      <c r="CZ1762">
        <v>0</v>
      </c>
      <c r="DA1762">
        <v>0.3</v>
      </c>
      <c r="DB1762">
        <v>1.93</v>
      </c>
      <c r="DC1762">
        <v>0.32</v>
      </c>
      <c r="DD1762">
        <v>53.69</v>
      </c>
      <c r="DE1762" t="s">
        <v>8937</v>
      </c>
      <c r="DF1762">
        <v>37.21</v>
      </c>
      <c r="DG1762">
        <v>20.09</v>
      </c>
      <c r="DH1762">
        <v>17.649999999999999</v>
      </c>
      <c r="DI1762">
        <v>0.21</v>
      </c>
      <c r="DJ1762">
        <v>1098</v>
      </c>
      <c r="DK1762">
        <v>300400</v>
      </c>
      <c r="DL1762" t="s">
        <v>120</v>
      </c>
      <c r="DM1762" t="s">
        <v>120</v>
      </c>
      <c r="DN1762" t="s">
        <v>120</v>
      </c>
    </row>
    <row r="1763" spans="1:118">
      <c r="A1763" t="str">
        <f>"300401"</f>
        <v>300401</v>
      </c>
      <c r="B1763" t="s">
        <v>8938</v>
      </c>
      <c r="C1763">
        <v>-1.17</v>
      </c>
      <c r="D1763">
        <v>0</v>
      </c>
      <c r="E1763">
        <v>0.65</v>
      </c>
      <c r="F1763">
        <v>1569</v>
      </c>
      <c r="G1763" t="s">
        <v>8939</v>
      </c>
      <c r="H1763">
        <v>16800.18</v>
      </c>
      <c r="I1763">
        <v>92.49</v>
      </c>
      <c r="J1763" t="s">
        <v>120</v>
      </c>
      <c r="K1763" t="s">
        <v>8940</v>
      </c>
      <c r="L1763">
        <v>2.09</v>
      </c>
      <c r="M1763">
        <v>15.16</v>
      </c>
      <c r="N1763">
        <v>1.21</v>
      </c>
      <c r="O1763">
        <v>1.17</v>
      </c>
      <c r="P1763">
        <v>15.52</v>
      </c>
      <c r="Q1763">
        <v>-2.02</v>
      </c>
      <c r="R1763">
        <v>15.03</v>
      </c>
      <c r="S1763">
        <v>15.44</v>
      </c>
      <c r="T1763">
        <v>110030</v>
      </c>
      <c r="U1763">
        <v>15.16</v>
      </c>
      <c r="V1763">
        <v>15.34</v>
      </c>
      <c r="W1763">
        <v>17.73</v>
      </c>
      <c r="X1763" t="s">
        <v>847</v>
      </c>
      <c r="Y1763" t="s">
        <v>585</v>
      </c>
      <c r="Z1763">
        <v>3.19</v>
      </c>
      <c r="AA1763">
        <v>15.27</v>
      </c>
      <c r="AB1763">
        <v>62684</v>
      </c>
      <c r="AC1763">
        <v>47346</v>
      </c>
      <c r="AD1763">
        <v>1.32</v>
      </c>
      <c r="AE1763">
        <v>55</v>
      </c>
      <c r="AF1763">
        <v>19</v>
      </c>
      <c r="AG1763" t="s">
        <v>120</v>
      </c>
      <c r="AH1763">
        <v>0.02</v>
      </c>
      <c r="AI1763" t="s">
        <v>120</v>
      </c>
      <c r="AJ1763">
        <v>5.26</v>
      </c>
      <c r="AK1763" t="s">
        <v>1566</v>
      </c>
      <c r="AL1763">
        <v>0.74</v>
      </c>
      <c r="AM1763">
        <v>2870</v>
      </c>
      <c r="AN1763">
        <v>38</v>
      </c>
      <c r="AO1763">
        <v>6.9999999999999999E-4</v>
      </c>
      <c r="AP1763">
        <v>-1</v>
      </c>
      <c r="AQ1763">
        <v>3.3</v>
      </c>
      <c r="AR1763">
        <v>2.16</v>
      </c>
      <c r="AS1763">
        <v>2.85</v>
      </c>
      <c r="AT1763">
        <v>16.62</v>
      </c>
      <c r="AU1763">
        <v>-4.03</v>
      </c>
      <c r="AV1763">
        <v>0</v>
      </c>
      <c r="AW1763">
        <v>3.1</v>
      </c>
      <c r="AX1763">
        <v>64.31</v>
      </c>
      <c r="AY1763">
        <v>24.48</v>
      </c>
      <c r="AZ1763">
        <v>31.05</v>
      </c>
      <c r="BA1763">
        <v>0.21</v>
      </c>
      <c r="BB1763" t="s">
        <v>751</v>
      </c>
      <c r="BF1763">
        <v>-0.46</v>
      </c>
      <c r="BG1763">
        <v>-1.81</v>
      </c>
      <c r="BH1763">
        <v>-2.3199999999999998</v>
      </c>
      <c r="BI1763">
        <v>0.86</v>
      </c>
      <c r="BJ1763">
        <v>20210731</v>
      </c>
      <c r="BK1763">
        <v>20141009</v>
      </c>
      <c r="BL1763">
        <v>5.51</v>
      </c>
      <c r="BM1763" t="s">
        <v>120</v>
      </c>
      <c r="BN1763" t="s">
        <v>120</v>
      </c>
      <c r="BO1763">
        <v>35.08</v>
      </c>
      <c r="BP1763">
        <v>15.15</v>
      </c>
      <c r="BQ1763">
        <v>30.89</v>
      </c>
      <c r="BR1763" t="s">
        <v>120</v>
      </c>
      <c r="BS1763">
        <v>11.92</v>
      </c>
      <c r="BT1763">
        <v>16.86</v>
      </c>
      <c r="BU1763">
        <v>4.34</v>
      </c>
      <c r="BV1763">
        <v>1.68</v>
      </c>
      <c r="BW1763">
        <v>3.49</v>
      </c>
      <c r="BX1763">
        <v>11.29</v>
      </c>
      <c r="BY1763">
        <v>2.94</v>
      </c>
      <c r="BZ1763">
        <v>1.06</v>
      </c>
      <c r="CA1763" t="s">
        <v>120</v>
      </c>
      <c r="CB1763">
        <v>9.82</v>
      </c>
      <c r="CC1763">
        <v>3.5</v>
      </c>
      <c r="CD1763">
        <v>1.36</v>
      </c>
      <c r="CE1763">
        <v>2.74</v>
      </c>
      <c r="CF1763">
        <v>0.02</v>
      </c>
      <c r="CG1763">
        <v>2.75</v>
      </c>
      <c r="CH1763">
        <v>2.36</v>
      </c>
      <c r="CI1763">
        <v>2.36</v>
      </c>
      <c r="CJ1763">
        <v>-0.18</v>
      </c>
      <c r="CK1763">
        <v>1.44</v>
      </c>
      <c r="CL1763">
        <v>15.16</v>
      </c>
      <c r="CM1763">
        <v>1.26</v>
      </c>
      <c r="CN1763">
        <v>-0.28999999999999998</v>
      </c>
      <c r="CO1763">
        <v>23111</v>
      </c>
      <c r="CP1763">
        <v>15333</v>
      </c>
      <c r="CQ1763" t="s">
        <v>8941</v>
      </c>
      <c r="CR1763">
        <v>44.94</v>
      </c>
      <c r="CS1763">
        <v>1.29</v>
      </c>
      <c r="CT1763">
        <v>2.7</v>
      </c>
      <c r="CU1763">
        <v>66.290000000000006</v>
      </c>
      <c r="CV1763">
        <v>23.89</v>
      </c>
      <c r="CW1763">
        <v>0.66</v>
      </c>
      <c r="CX1763" t="s">
        <v>1462</v>
      </c>
      <c r="CY1763">
        <v>5.61</v>
      </c>
      <c r="CZ1763">
        <v>0</v>
      </c>
      <c r="DA1763">
        <v>1.78</v>
      </c>
      <c r="DB1763">
        <v>2.75</v>
      </c>
      <c r="DC1763">
        <v>0.23</v>
      </c>
      <c r="DD1763">
        <v>88.08</v>
      </c>
      <c r="DE1763" t="s">
        <v>4898</v>
      </c>
      <c r="DF1763">
        <v>60.96</v>
      </c>
      <c r="DG1763">
        <v>78.510000000000005</v>
      </c>
      <c r="DH1763">
        <v>67.38</v>
      </c>
      <c r="DI1763">
        <v>0.17</v>
      </c>
      <c r="DJ1763">
        <v>505</v>
      </c>
      <c r="DK1763">
        <v>300401</v>
      </c>
      <c r="DL1763" t="s">
        <v>120</v>
      </c>
      <c r="DM1763" t="s">
        <v>120</v>
      </c>
      <c r="DN1763" t="s">
        <v>120</v>
      </c>
    </row>
    <row r="1764" spans="1:118">
      <c r="A1764" t="str">
        <f>"300402"</f>
        <v>300402</v>
      </c>
      <c r="B1764" t="s">
        <v>8942</v>
      </c>
      <c r="C1764">
        <v>19.989999999999998</v>
      </c>
      <c r="D1764">
        <v>0</v>
      </c>
      <c r="E1764">
        <v>4.51</v>
      </c>
      <c r="F1764">
        <v>182</v>
      </c>
      <c r="G1764" t="s">
        <v>8943</v>
      </c>
      <c r="H1764">
        <v>42678.81</v>
      </c>
      <c r="I1764">
        <v>676.92</v>
      </c>
      <c r="J1764">
        <v>5053.96</v>
      </c>
      <c r="K1764" t="s">
        <v>5359</v>
      </c>
      <c r="L1764">
        <v>10.5</v>
      </c>
      <c r="M1764">
        <v>21.01</v>
      </c>
      <c r="N1764">
        <v>4.75</v>
      </c>
      <c r="O1764">
        <v>19.989999999999998</v>
      </c>
      <c r="P1764">
        <v>21.01</v>
      </c>
      <c r="Q1764">
        <v>2.8</v>
      </c>
      <c r="R1764">
        <v>18</v>
      </c>
      <c r="S1764">
        <v>18.3</v>
      </c>
      <c r="T1764">
        <v>212014</v>
      </c>
      <c r="U1764" t="s">
        <v>120</v>
      </c>
      <c r="V1764">
        <v>17.510000000000002</v>
      </c>
      <c r="W1764">
        <v>92.4</v>
      </c>
      <c r="X1764" t="s">
        <v>675</v>
      </c>
      <c r="Y1764" t="s">
        <v>319</v>
      </c>
      <c r="Z1764">
        <v>17.190000000000001</v>
      </c>
      <c r="AA1764">
        <v>20.13</v>
      </c>
      <c r="AB1764">
        <v>134184</v>
      </c>
      <c r="AC1764">
        <v>77830</v>
      </c>
      <c r="AD1764">
        <v>1.72</v>
      </c>
      <c r="AE1764">
        <v>24055</v>
      </c>
      <c r="AF1764">
        <v>0</v>
      </c>
      <c r="AG1764" t="s">
        <v>120</v>
      </c>
      <c r="AH1764">
        <v>0.56999999999999995</v>
      </c>
      <c r="AI1764">
        <v>0.11</v>
      </c>
      <c r="AJ1764">
        <v>2.02</v>
      </c>
      <c r="AK1764" t="s">
        <v>5359</v>
      </c>
      <c r="AL1764">
        <v>21.9</v>
      </c>
      <c r="AM1764">
        <v>1684</v>
      </c>
      <c r="AN1764">
        <v>126</v>
      </c>
      <c r="AO1764">
        <v>6.1999999999999998E-3</v>
      </c>
      <c r="AP1764">
        <v>2</v>
      </c>
      <c r="AQ1764">
        <v>4.04</v>
      </c>
      <c r="AR1764">
        <v>21.23</v>
      </c>
      <c r="AS1764">
        <v>14.18</v>
      </c>
      <c r="AT1764">
        <v>45.8</v>
      </c>
      <c r="AU1764">
        <v>28.5</v>
      </c>
      <c r="AV1764">
        <v>4</v>
      </c>
      <c r="AW1764">
        <v>32.54</v>
      </c>
      <c r="AX1764">
        <v>32.25</v>
      </c>
      <c r="AY1764">
        <v>79.25</v>
      </c>
      <c r="AZ1764">
        <v>87.43</v>
      </c>
      <c r="BA1764">
        <v>0.64</v>
      </c>
      <c r="BB1764" t="s">
        <v>143</v>
      </c>
      <c r="BF1764">
        <v>14.96</v>
      </c>
      <c r="BG1764">
        <v>14.81</v>
      </c>
      <c r="BH1764">
        <v>0</v>
      </c>
      <c r="BI1764">
        <v>16.72</v>
      </c>
      <c r="BJ1764">
        <v>20210826</v>
      </c>
      <c r="BK1764">
        <v>20141010</v>
      </c>
      <c r="BL1764">
        <v>2.02</v>
      </c>
      <c r="BM1764" t="s">
        <v>120</v>
      </c>
      <c r="BN1764" t="s">
        <v>120</v>
      </c>
      <c r="BO1764">
        <v>19.48</v>
      </c>
      <c r="BP1764">
        <v>21.01</v>
      </c>
      <c r="BQ1764">
        <v>6.04</v>
      </c>
      <c r="BR1764" t="s">
        <v>120</v>
      </c>
      <c r="BS1764">
        <v>69.010000000000005</v>
      </c>
      <c r="BT1764">
        <v>14.29</v>
      </c>
      <c r="BU1764">
        <v>4.0599999999999996</v>
      </c>
      <c r="BV1764">
        <v>0.89</v>
      </c>
      <c r="BW1764">
        <v>12.66</v>
      </c>
      <c r="BX1764">
        <v>2.21</v>
      </c>
      <c r="BY1764">
        <v>5.42</v>
      </c>
      <c r="BZ1764">
        <v>4.76</v>
      </c>
      <c r="CA1764" t="s">
        <v>120</v>
      </c>
      <c r="CB1764">
        <v>2.2400000000000002</v>
      </c>
      <c r="CC1764">
        <v>5.88</v>
      </c>
      <c r="CD1764">
        <v>4.8499999999999996</v>
      </c>
      <c r="CE1764">
        <v>0.21</v>
      </c>
      <c r="CF1764">
        <v>0</v>
      </c>
      <c r="CG1764">
        <v>0.22</v>
      </c>
      <c r="CH1764">
        <v>0.23</v>
      </c>
      <c r="CI1764">
        <v>0.23</v>
      </c>
      <c r="CJ1764">
        <v>3.5</v>
      </c>
      <c r="CK1764">
        <v>0.2</v>
      </c>
      <c r="CL1764">
        <v>1.36</v>
      </c>
      <c r="CM1764">
        <v>1.58</v>
      </c>
      <c r="CN1764">
        <v>0.73</v>
      </c>
      <c r="CO1764">
        <v>16689</v>
      </c>
      <c r="CP1764">
        <v>3904</v>
      </c>
      <c r="CQ1764" t="s">
        <v>8944</v>
      </c>
      <c r="CR1764">
        <v>22.25</v>
      </c>
      <c r="CS1764">
        <v>7.85</v>
      </c>
      <c r="CT1764">
        <v>7.03</v>
      </c>
      <c r="CU1764">
        <v>26.79</v>
      </c>
      <c r="CV1764">
        <v>7.21</v>
      </c>
      <c r="CW1764">
        <v>2.86</v>
      </c>
      <c r="CX1764" t="s">
        <v>1047</v>
      </c>
      <c r="CY1764">
        <v>2.99</v>
      </c>
      <c r="CZ1764">
        <v>0</v>
      </c>
      <c r="DA1764">
        <v>1.1100000000000001</v>
      </c>
      <c r="DB1764">
        <v>0.67</v>
      </c>
      <c r="DC1764">
        <v>0.78</v>
      </c>
      <c r="DD1764">
        <v>30.99</v>
      </c>
      <c r="DE1764" t="s">
        <v>8945</v>
      </c>
      <c r="DF1764">
        <v>17.62</v>
      </c>
      <c r="DG1764">
        <v>3.52</v>
      </c>
      <c r="DH1764">
        <v>3.9</v>
      </c>
      <c r="DI1764">
        <v>0.24</v>
      </c>
      <c r="DJ1764">
        <v>683</v>
      </c>
      <c r="DK1764">
        <v>300402</v>
      </c>
      <c r="DL1764">
        <v>20210916</v>
      </c>
      <c r="DM1764">
        <v>21.01</v>
      </c>
      <c r="DN1764">
        <v>0</v>
      </c>
    </row>
    <row r="1765" spans="1:118">
      <c r="A1765" t="str">
        <f>"300403"</f>
        <v>300403</v>
      </c>
      <c r="B1765" t="s">
        <v>8946</v>
      </c>
      <c r="C1765">
        <v>-2.3199999999999998</v>
      </c>
      <c r="D1765">
        <v>-0.14000000000000001</v>
      </c>
      <c r="E1765">
        <v>0</v>
      </c>
      <c r="F1765">
        <v>891</v>
      </c>
      <c r="G1765" t="s">
        <v>8947</v>
      </c>
      <c r="H1765">
        <v>9617.15</v>
      </c>
      <c r="I1765">
        <v>311.08999999999997</v>
      </c>
      <c r="J1765" t="s">
        <v>120</v>
      </c>
      <c r="K1765" t="s">
        <v>8948</v>
      </c>
      <c r="L1765">
        <v>3.47</v>
      </c>
      <c r="M1765">
        <v>6.75</v>
      </c>
      <c r="N1765">
        <v>0.97</v>
      </c>
      <c r="O1765">
        <v>1.74</v>
      </c>
      <c r="P1765">
        <v>7.03</v>
      </c>
      <c r="Q1765">
        <v>-2.6</v>
      </c>
      <c r="R1765">
        <v>6.73</v>
      </c>
      <c r="S1765">
        <v>6.91</v>
      </c>
      <c r="T1765">
        <v>139658</v>
      </c>
      <c r="U1765">
        <v>6.76</v>
      </c>
      <c r="V1765">
        <v>6.91</v>
      </c>
      <c r="W1765">
        <v>16.829999999999998</v>
      </c>
      <c r="X1765" t="s">
        <v>205</v>
      </c>
      <c r="Y1765" t="s">
        <v>547</v>
      </c>
      <c r="Z1765">
        <v>4.34</v>
      </c>
      <c r="AA1765">
        <v>6.89</v>
      </c>
      <c r="AB1765">
        <v>74788</v>
      </c>
      <c r="AC1765">
        <v>64870</v>
      </c>
      <c r="AD1765">
        <v>1.1499999999999999</v>
      </c>
      <c r="AE1765">
        <v>2056</v>
      </c>
      <c r="AF1765">
        <v>387</v>
      </c>
      <c r="AG1765" t="s">
        <v>120</v>
      </c>
      <c r="AH1765">
        <v>0.17</v>
      </c>
      <c r="AI1765" t="s">
        <v>120</v>
      </c>
      <c r="AJ1765">
        <v>4.03</v>
      </c>
      <c r="AK1765" t="s">
        <v>5712</v>
      </c>
      <c r="AL1765">
        <v>-0.4</v>
      </c>
      <c r="AM1765">
        <v>2272</v>
      </c>
      <c r="AN1765">
        <v>61</v>
      </c>
      <c r="AO1765">
        <v>1.5E-3</v>
      </c>
      <c r="AP1765">
        <v>-1</v>
      </c>
      <c r="AQ1765">
        <v>3.44</v>
      </c>
      <c r="AR1765">
        <v>-2.74</v>
      </c>
      <c r="AS1765">
        <v>-3.58</v>
      </c>
      <c r="AT1765">
        <v>-1.6</v>
      </c>
      <c r="AU1765">
        <v>8</v>
      </c>
      <c r="AV1765">
        <v>2</v>
      </c>
      <c r="AW1765">
        <v>5.37</v>
      </c>
      <c r="AX1765">
        <v>43.16</v>
      </c>
      <c r="AY1765">
        <v>16.350000000000001</v>
      </c>
      <c r="AZ1765">
        <v>20.37</v>
      </c>
      <c r="BA1765">
        <v>0.77</v>
      </c>
      <c r="BB1765" t="s">
        <v>143</v>
      </c>
      <c r="BF1765">
        <v>-0.34</v>
      </c>
      <c r="BG1765">
        <v>-2.3199999999999998</v>
      </c>
      <c r="BH1765">
        <v>-3.98</v>
      </c>
      <c r="BI1765">
        <v>0.3</v>
      </c>
      <c r="BJ1765">
        <v>20210914</v>
      </c>
      <c r="BK1765">
        <v>20141030</v>
      </c>
      <c r="BL1765">
        <v>6.03</v>
      </c>
      <c r="BM1765" t="s">
        <v>120</v>
      </c>
      <c r="BN1765" t="s">
        <v>120</v>
      </c>
      <c r="BO1765">
        <v>22.61</v>
      </c>
      <c r="BP1765">
        <v>6.75</v>
      </c>
      <c r="BQ1765">
        <v>15.53</v>
      </c>
      <c r="BR1765">
        <v>0.02</v>
      </c>
      <c r="BS1765">
        <v>31.24</v>
      </c>
      <c r="BT1765">
        <v>10.49</v>
      </c>
      <c r="BU1765">
        <v>4.74</v>
      </c>
      <c r="BV1765">
        <v>0.98</v>
      </c>
      <c r="BW1765">
        <v>6.82</v>
      </c>
      <c r="BX1765">
        <v>3.26</v>
      </c>
      <c r="BY1765">
        <v>2.77</v>
      </c>
      <c r="BZ1765">
        <v>2.16</v>
      </c>
      <c r="CA1765" t="s">
        <v>120</v>
      </c>
      <c r="CB1765">
        <v>1.92</v>
      </c>
      <c r="CC1765">
        <v>5.35</v>
      </c>
      <c r="CD1765">
        <v>3.5</v>
      </c>
      <c r="CE1765">
        <v>1.38</v>
      </c>
      <c r="CF1765">
        <v>0.4</v>
      </c>
      <c r="CG1765">
        <v>1.38</v>
      </c>
      <c r="CH1765">
        <v>1.2</v>
      </c>
      <c r="CI1765">
        <v>1.21</v>
      </c>
      <c r="CJ1765">
        <v>-0.16</v>
      </c>
      <c r="CK1765">
        <v>0.95</v>
      </c>
      <c r="CL1765">
        <v>6.15</v>
      </c>
      <c r="CM1765">
        <v>1.1499999999999999</v>
      </c>
      <c r="CN1765">
        <v>0.03</v>
      </c>
      <c r="CO1765">
        <v>26017</v>
      </c>
      <c r="CP1765">
        <v>10003</v>
      </c>
      <c r="CQ1765" t="s">
        <v>2461</v>
      </c>
      <c r="CR1765">
        <v>71.010000000000005</v>
      </c>
      <c r="CS1765">
        <v>38.03</v>
      </c>
      <c r="CT1765">
        <v>2.62</v>
      </c>
      <c r="CU1765">
        <v>35.299999999999997</v>
      </c>
      <c r="CV1765">
        <v>7.61</v>
      </c>
      <c r="CW1765">
        <v>2.3199999999999998</v>
      </c>
      <c r="CX1765" t="s">
        <v>492</v>
      </c>
      <c r="CY1765">
        <v>2.58</v>
      </c>
      <c r="CZ1765">
        <v>0</v>
      </c>
      <c r="DA1765">
        <v>0.32</v>
      </c>
      <c r="DB1765">
        <v>1.02</v>
      </c>
      <c r="DC1765">
        <v>0.19</v>
      </c>
      <c r="DD1765">
        <v>68.67</v>
      </c>
      <c r="DE1765" t="s">
        <v>5089</v>
      </c>
      <c r="DF1765">
        <v>34.56</v>
      </c>
      <c r="DG1765">
        <v>25.87</v>
      </c>
      <c r="DH1765">
        <v>22.6</v>
      </c>
      <c r="DI1765">
        <v>0.18</v>
      </c>
      <c r="DJ1765">
        <v>1854</v>
      </c>
      <c r="DK1765">
        <v>300403</v>
      </c>
      <c r="DL1765" t="s">
        <v>120</v>
      </c>
      <c r="DM1765" t="s">
        <v>120</v>
      </c>
      <c r="DN1765" t="s">
        <v>120</v>
      </c>
    </row>
    <row r="1766" spans="1:118">
      <c r="A1766" t="str">
        <f>"300404"</f>
        <v>300404</v>
      </c>
      <c r="B1766" t="s">
        <v>8949</v>
      </c>
      <c r="C1766">
        <v>1.08</v>
      </c>
      <c r="D1766">
        <v>0.18</v>
      </c>
      <c r="E1766">
        <v>0.54</v>
      </c>
      <c r="F1766">
        <v>536</v>
      </c>
      <c r="G1766" t="s">
        <v>8950</v>
      </c>
      <c r="H1766">
        <v>3216.53</v>
      </c>
      <c r="I1766">
        <v>15.26</v>
      </c>
      <c r="J1766" t="s">
        <v>120</v>
      </c>
      <c r="K1766" t="s">
        <v>173</v>
      </c>
      <c r="L1766">
        <v>1.9</v>
      </c>
      <c r="M1766">
        <v>11.2</v>
      </c>
      <c r="N1766">
        <v>1.02</v>
      </c>
      <c r="O1766">
        <v>2.08</v>
      </c>
      <c r="P1766">
        <v>11.31</v>
      </c>
      <c r="Q1766">
        <v>-0.27</v>
      </c>
      <c r="R1766">
        <v>11.05</v>
      </c>
      <c r="S1766">
        <v>11.14</v>
      </c>
      <c r="T1766">
        <v>28782</v>
      </c>
      <c r="U1766">
        <v>11.2</v>
      </c>
      <c r="V1766">
        <v>11.08</v>
      </c>
      <c r="W1766">
        <v>103.96</v>
      </c>
      <c r="X1766" t="s">
        <v>555</v>
      </c>
      <c r="Y1766" t="s">
        <v>547</v>
      </c>
      <c r="Z1766">
        <v>2.35</v>
      </c>
      <c r="AA1766">
        <v>11.18</v>
      </c>
      <c r="AB1766">
        <v>12139</v>
      </c>
      <c r="AC1766">
        <v>16643</v>
      </c>
      <c r="AD1766">
        <v>0.73</v>
      </c>
      <c r="AE1766">
        <v>8</v>
      </c>
      <c r="AF1766">
        <v>263</v>
      </c>
      <c r="AG1766" t="s">
        <v>120</v>
      </c>
      <c r="AH1766">
        <v>0.01</v>
      </c>
      <c r="AI1766" t="s">
        <v>120</v>
      </c>
      <c r="AJ1766">
        <v>1.52</v>
      </c>
      <c r="AK1766" t="s">
        <v>8951</v>
      </c>
      <c r="AL1766">
        <v>3</v>
      </c>
      <c r="AM1766">
        <v>1024</v>
      </c>
      <c r="AN1766">
        <v>28</v>
      </c>
      <c r="AO1766">
        <v>1.9E-3</v>
      </c>
      <c r="AP1766">
        <v>1</v>
      </c>
      <c r="AQ1766">
        <v>-1.6</v>
      </c>
      <c r="AR1766">
        <v>0.36</v>
      </c>
      <c r="AS1766">
        <v>-6.28</v>
      </c>
      <c r="AT1766">
        <v>-15.28</v>
      </c>
      <c r="AU1766">
        <v>0.99</v>
      </c>
      <c r="AV1766">
        <v>0</v>
      </c>
      <c r="AW1766">
        <v>2.2799999999999998</v>
      </c>
      <c r="AX1766">
        <v>48.37</v>
      </c>
      <c r="AY1766">
        <v>150.87</v>
      </c>
      <c r="AZ1766">
        <v>170.43</v>
      </c>
      <c r="BA1766">
        <v>0.53</v>
      </c>
      <c r="BB1766" t="s">
        <v>125</v>
      </c>
      <c r="BF1766">
        <v>0.86</v>
      </c>
      <c r="BG1766">
        <v>0.54</v>
      </c>
      <c r="BH1766">
        <v>-0.97</v>
      </c>
      <c r="BI1766">
        <v>1.36</v>
      </c>
      <c r="BJ1766">
        <v>20210826</v>
      </c>
      <c r="BK1766">
        <v>20150424</v>
      </c>
      <c r="BL1766">
        <v>2.61</v>
      </c>
      <c r="BM1766" t="s">
        <v>120</v>
      </c>
      <c r="BN1766" t="s">
        <v>120</v>
      </c>
      <c r="BO1766">
        <v>10.88</v>
      </c>
      <c r="BP1766">
        <v>11.19</v>
      </c>
      <c r="BQ1766">
        <v>7.77</v>
      </c>
      <c r="BR1766">
        <v>0.26</v>
      </c>
      <c r="BS1766">
        <v>26.25</v>
      </c>
      <c r="BT1766">
        <v>6.94</v>
      </c>
      <c r="BU1766">
        <v>1.9</v>
      </c>
      <c r="BV1766">
        <v>0.23</v>
      </c>
      <c r="BW1766">
        <v>2.67</v>
      </c>
      <c r="BX1766">
        <v>4.37</v>
      </c>
      <c r="BY1766">
        <v>1.21</v>
      </c>
      <c r="BZ1766">
        <v>0.4</v>
      </c>
      <c r="CA1766" t="s">
        <v>120</v>
      </c>
      <c r="CB1766">
        <v>3.7</v>
      </c>
      <c r="CC1766">
        <v>1.21</v>
      </c>
      <c r="CD1766">
        <v>0.66</v>
      </c>
      <c r="CE1766">
        <v>0.18</v>
      </c>
      <c r="CF1766">
        <v>0</v>
      </c>
      <c r="CG1766">
        <v>0.18</v>
      </c>
      <c r="CH1766">
        <v>0.16</v>
      </c>
      <c r="CI1766">
        <v>0.14000000000000001</v>
      </c>
      <c r="CJ1766">
        <v>0.12</v>
      </c>
      <c r="CK1766">
        <v>7.0000000000000007E-2</v>
      </c>
      <c r="CL1766">
        <v>1.26</v>
      </c>
      <c r="CM1766">
        <v>0.11</v>
      </c>
      <c r="CN1766">
        <v>2.91</v>
      </c>
      <c r="CO1766">
        <v>17767</v>
      </c>
      <c r="CP1766">
        <v>7114</v>
      </c>
      <c r="CQ1766" t="s">
        <v>1124</v>
      </c>
      <c r="CR1766">
        <v>18.55</v>
      </c>
      <c r="CS1766">
        <v>9.74</v>
      </c>
      <c r="CT1766">
        <v>3.77</v>
      </c>
      <c r="CU1766">
        <v>272.20999999999998</v>
      </c>
      <c r="CV1766">
        <v>24.24</v>
      </c>
      <c r="CW1766">
        <v>0</v>
      </c>
      <c r="CX1766" t="s">
        <v>1064</v>
      </c>
      <c r="CY1766">
        <v>2.97</v>
      </c>
      <c r="CZ1766">
        <v>0</v>
      </c>
      <c r="DA1766">
        <v>1.42</v>
      </c>
      <c r="DB1766">
        <v>0.48</v>
      </c>
      <c r="DC1766">
        <v>0.04</v>
      </c>
      <c r="DD1766">
        <v>71.349999999999994</v>
      </c>
      <c r="DE1766" t="s">
        <v>2302</v>
      </c>
      <c r="DF1766">
        <v>45.49</v>
      </c>
      <c r="DG1766">
        <v>14.63</v>
      </c>
      <c r="DH1766">
        <v>11.66</v>
      </c>
      <c r="DI1766">
        <v>0.12</v>
      </c>
      <c r="DJ1766">
        <v>715</v>
      </c>
      <c r="DK1766">
        <v>300404</v>
      </c>
      <c r="DL1766" t="s">
        <v>120</v>
      </c>
      <c r="DM1766" t="s">
        <v>120</v>
      </c>
      <c r="DN1766" t="s">
        <v>120</v>
      </c>
    </row>
    <row r="1767" spans="1:118">
      <c r="A1767" t="str">
        <f>"300405"</f>
        <v>300405</v>
      </c>
      <c r="B1767" t="s">
        <v>8952</v>
      </c>
      <c r="C1767">
        <v>-6.36</v>
      </c>
      <c r="D1767">
        <v>0.32</v>
      </c>
      <c r="E1767">
        <v>0</v>
      </c>
      <c r="F1767">
        <v>2986</v>
      </c>
      <c r="G1767" t="s">
        <v>8953</v>
      </c>
      <c r="H1767">
        <v>31545.69</v>
      </c>
      <c r="I1767">
        <v>535.11</v>
      </c>
      <c r="J1767" t="s">
        <v>120</v>
      </c>
      <c r="K1767" t="s">
        <v>1094</v>
      </c>
      <c r="L1767">
        <v>16.34</v>
      </c>
      <c r="M1767">
        <v>12.36</v>
      </c>
      <c r="N1767">
        <v>1.25</v>
      </c>
      <c r="O1767">
        <v>2.0499999999999998</v>
      </c>
      <c r="P1767">
        <v>13.47</v>
      </c>
      <c r="Q1767">
        <v>-6.97</v>
      </c>
      <c r="R1767">
        <v>12.28</v>
      </c>
      <c r="S1767">
        <v>13.2</v>
      </c>
      <c r="T1767">
        <v>246910</v>
      </c>
      <c r="U1767">
        <v>12.37</v>
      </c>
      <c r="V1767">
        <v>13.2</v>
      </c>
      <c r="W1767">
        <v>165.21</v>
      </c>
      <c r="X1767" t="s">
        <v>868</v>
      </c>
      <c r="Y1767" t="s">
        <v>432</v>
      </c>
      <c r="Z1767">
        <v>9.02</v>
      </c>
      <c r="AA1767">
        <v>12.78</v>
      </c>
      <c r="AB1767">
        <v>140868</v>
      </c>
      <c r="AC1767">
        <v>106042</v>
      </c>
      <c r="AD1767">
        <v>1.33</v>
      </c>
      <c r="AE1767">
        <v>310</v>
      </c>
      <c r="AF1767">
        <v>2</v>
      </c>
      <c r="AG1767" t="s">
        <v>120</v>
      </c>
      <c r="AH1767">
        <v>0.34</v>
      </c>
      <c r="AI1767" t="s">
        <v>120</v>
      </c>
      <c r="AJ1767">
        <v>1.51</v>
      </c>
      <c r="AK1767" t="s">
        <v>5072</v>
      </c>
      <c r="AL1767">
        <v>-4.45</v>
      </c>
      <c r="AM1767">
        <v>3421</v>
      </c>
      <c r="AN1767">
        <v>72</v>
      </c>
      <c r="AO1767">
        <v>4.7999999999999996E-3</v>
      </c>
      <c r="AP1767">
        <v>-1</v>
      </c>
      <c r="AQ1767">
        <v>6.97</v>
      </c>
      <c r="AR1767">
        <v>3.52</v>
      </c>
      <c r="AS1767">
        <v>19.190000000000001</v>
      </c>
      <c r="AT1767">
        <v>41.58</v>
      </c>
      <c r="AU1767">
        <v>43.39</v>
      </c>
      <c r="AV1767">
        <v>8</v>
      </c>
      <c r="AW1767">
        <v>20.420000000000002</v>
      </c>
      <c r="AX1767">
        <v>54.36</v>
      </c>
      <c r="AY1767" t="s">
        <v>120</v>
      </c>
      <c r="AZ1767" t="s">
        <v>120</v>
      </c>
      <c r="BA1767">
        <v>0.51</v>
      </c>
      <c r="BB1767" t="s">
        <v>700</v>
      </c>
      <c r="BF1767">
        <v>-3.21</v>
      </c>
      <c r="BG1767">
        <v>-6.36</v>
      </c>
      <c r="BH1767">
        <v>-8.24</v>
      </c>
      <c r="BI1767">
        <v>0.65</v>
      </c>
      <c r="BJ1767">
        <v>20210827</v>
      </c>
      <c r="BK1767">
        <v>20141030</v>
      </c>
      <c r="BL1767">
        <v>2.2200000000000002</v>
      </c>
      <c r="BM1767" t="s">
        <v>120</v>
      </c>
      <c r="BN1767" t="s">
        <v>120</v>
      </c>
      <c r="BO1767">
        <v>17.68</v>
      </c>
      <c r="BP1767">
        <v>12.36</v>
      </c>
      <c r="BQ1767">
        <v>7.63</v>
      </c>
      <c r="BR1767">
        <v>0.33</v>
      </c>
      <c r="BS1767">
        <v>55.01</v>
      </c>
      <c r="BT1767">
        <v>12.42</v>
      </c>
      <c r="BU1767">
        <v>3.53</v>
      </c>
      <c r="BV1767">
        <v>0.94</v>
      </c>
      <c r="BW1767">
        <v>9.43</v>
      </c>
      <c r="BX1767">
        <v>2.29</v>
      </c>
      <c r="BY1767">
        <v>2.78</v>
      </c>
      <c r="BZ1767">
        <v>4.3099999999999996</v>
      </c>
      <c r="CA1767" t="s">
        <v>120</v>
      </c>
      <c r="CB1767">
        <v>4.26</v>
      </c>
      <c r="CC1767">
        <v>4.5199999999999996</v>
      </c>
      <c r="CD1767">
        <v>3.93</v>
      </c>
      <c r="CE1767">
        <v>0.09</v>
      </c>
      <c r="CF1767">
        <v>-0.03</v>
      </c>
      <c r="CG1767">
        <v>0.09</v>
      </c>
      <c r="CH1767">
        <v>0.08</v>
      </c>
      <c r="CI1767">
        <v>0.08</v>
      </c>
      <c r="CJ1767">
        <v>-0.84</v>
      </c>
      <c r="CK1767">
        <v>0.02</v>
      </c>
      <c r="CL1767">
        <v>0.75</v>
      </c>
      <c r="CM1767">
        <v>-0.39</v>
      </c>
      <c r="CN1767">
        <v>-0.44</v>
      </c>
      <c r="CO1767">
        <v>19355</v>
      </c>
      <c r="CP1767">
        <v>6248</v>
      </c>
      <c r="CQ1767" t="s">
        <v>3971</v>
      </c>
      <c r="CR1767">
        <v>181.92</v>
      </c>
      <c r="CS1767">
        <v>5.66</v>
      </c>
      <c r="CT1767">
        <v>3.6</v>
      </c>
      <c r="CU1767">
        <v>-69.87</v>
      </c>
      <c r="CV1767">
        <v>6.08</v>
      </c>
      <c r="CW1767">
        <v>0</v>
      </c>
      <c r="CX1767" t="s">
        <v>1540</v>
      </c>
      <c r="CY1767">
        <v>3.43</v>
      </c>
      <c r="CZ1767">
        <v>0</v>
      </c>
      <c r="DA1767">
        <v>1.92</v>
      </c>
      <c r="DB1767">
        <v>0.34</v>
      </c>
      <c r="DC1767">
        <v>-0.18</v>
      </c>
      <c r="DD1767">
        <v>43.14</v>
      </c>
      <c r="DE1767" t="s">
        <v>2493</v>
      </c>
      <c r="DF1767">
        <v>13.08</v>
      </c>
      <c r="DG1767">
        <v>1.95</v>
      </c>
      <c r="DH1767">
        <v>1.84</v>
      </c>
      <c r="DI1767">
        <v>0.04</v>
      </c>
      <c r="DJ1767">
        <v>651</v>
      </c>
      <c r="DK1767">
        <v>300405</v>
      </c>
      <c r="DL1767" t="s">
        <v>120</v>
      </c>
      <c r="DM1767" t="s">
        <v>120</v>
      </c>
      <c r="DN1767" t="s">
        <v>120</v>
      </c>
    </row>
    <row r="1768" spans="1:118">
      <c r="A1768" t="str">
        <f>"300406"</f>
        <v>300406</v>
      </c>
      <c r="B1768" t="s">
        <v>8954</v>
      </c>
      <c r="C1768">
        <v>-1.52</v>
      </c>
      <c r="D1768">
        <v>0</v>
      </c>
      <c r="E1768">
        <v>0.23</v>
      </c>
      <c r="F1768">
        <v>315</v>
      </c>
      <c r="G1768" t="s">
        <v>6882</v>
      </c>
      <c r="H1768">
        <v>4995.83</v>
      </c>
      <c r="I1768">
        <v>21.72</v>
      </c>
      <c r="J1768" t="s">
        <v>120</v>
      </c>
      <c r="K1768" t="s">
        <v>3230</v>
      </c>
      <c r="L1768">
        <v>0.89</v>
      </c>
      <c r="M1768">
        <v>16.8</v>
      </c>
      <c r="N1768">
        <v>0.74</v>
      </c>
      <c r="O1768">
        <v>0.23</v>
      </c>
      <c r="P1768">
        <v>17.100000000000001</v>
      </c>
      <c r="Q1768">
        <v>-1.58</v>
      </c>
      <c r="R1768">
        <v>16.79</v>
      </c>
      <c r="S1768">
        <v>17.100000000000001</v>
      </c>
      <c r="T1768">
        <v>29512</v>
      </c>
      <c r="U1768">
        <v>16.809999999999999</v>
      </c>
      <c r="V1768">
        <v>17.059999999999999</v>
      </c>
      <c r="W1768">
        <v>22.37</v>
      </c>
      <c r="X1768" t="s">
        <v>555</v>
      </c>
      <c r="Y1768" t="s">
        <v>158</v>
      </c>
      <c r="Z1768">
        <v>1.82</v>
      </c>
      <c r="AA1768">
        <v>16.93</v>
      </c>
      <c r="AB1768">
        <v>18528</v>
      </c>
      <c r="AC1768">
        <v>10984</v>
      </c>
      <c r="AD1768">
        <v>1.69</v>
      </c>
      <c r="AE1768">
        <v>235</v>
      </c>
      <c r="AF1768">
        <v>73</v>
      </c>
      <c r="AG1768" t="s">
        <v>120</v>
      </c>
      <c r="AH1768">
        <v>0.01</v>
      </c>
      <c r="AI1768" t="s">
        <v>120</v>
      </c>
      <c r="AJ1768">
        <v>3.33</v>
      </c>
      <c r="AK1768" t="s">
        <v>4688</v>
      </c>
      <c r="AL1768">
        <v>0.39</v>
      </c>
      <c r="AM1768">
        <v>1546</v>
      </c>
      <c r="AN1768">
        <v>19</v>
      </c>
      <c r="AO1768">
        <v>5.9999999999999995E-4</v>
      </c>
      <c r="AP1768">
        <v>-2</v>
      </c>
      <c r="AQ1768">
        <v>-3.29</v>
      </c>
      <c r="AR1768">
        <v>-4.76</v>
      </c>
      <c r="AS1768">
        <v>-3.72</v>
      </c>
      <c r="AT1768">
        <v>-9.2799999999999994</v>
      </c>
      <c r="AU1768">
        <v>-32.58</v>
      </c>
      <c r="AV1768">
        <v>0</v>
      </c>
      <c r="AW1768">
        <v>1.19</v>
      </c>
      <c r="AX1768">
        <v>42.07</v>
      </c>
      <c r="AY1768">
        <v>33.57</v>
      </c>
      <c r="AZ1768">
        <v>89.49</v>
      </c>
      <c r="BA1768">
        <v>0.28999999999999998</v>
      </c>
      <c r="BB1768" t="s">
        <v>143</v>
      </c>
      <c r="BF1768">
        <v>-0.77</v>
      </c>
      <c r="BG1768">
        <v>-1.75</v>
      </c>
      <c r="BH1768">
        <v>-1.75</v>
      </c>
      <c r="BI1768">
        <v>0.06</v>
      </c>
      <c r="BJ1768">
        <v>20210827</v>
      </c>
      <c r="BK1768">
        <v>20141030</v>
      </c>
      <c r="BL1768">
        <v>5.89</v>
      </c>
      <c r="BM1768" t="s">
        <v>120</v>
      </c>
      <c r="BN1768" t="s">
        <v>120</v>
      </c>
      <c r="BO1768">
        <v>41.87</v>
      </c>
      <c r="BP1768">
        <v>16.8</v>
      </c>
      <c r="BQ1768">
        <v>33.65</v>
      </c>
      <c r="BR1768">
        <v>2.66</v>
      </c>
      <c r="BS1768">
        <v>13.27</v>
      </c>
      <c r="BT1768">
        <v>18.149999999999999</v>
      </c>
      <c r="BU1768">
        <v>3.09</v>
      </c>
      <c r="BV1768">
        <v>0.78</v>
      </c>
      <c r="BW1768">
        <v>2.85</v>
      </c>
      <c r="BX1768">
        <v>3.83</v>
      </c>
      <c r="BY1768">
        <v>2.31</v>
      </c>
      <c r="BZ1768">
        <v>9.1999999999999993</v>
      </c>
      <c r="CA1768" t="s">
        <v>120</v>
      </c>
      <c r="CB1768">
        <v>11.26</v>
      </c>
      <c r="CC1768">
        <v>8.08</v>
      </c>
      <c r="CD1768">
        <v>2.34</v>
      </c>
      <c r="CE1768">
        <v>3.01</v>
      </c>
      <c r="CF1768">
        <v>0.04</v>
      </c>
      <c r="CG1768">
        <v>3.02</v>
      </c>
      <c r="CH1768">
        <v>2.62</v>
      </c>
      <c r="CI1768">
        <v>2.21</v>
      </c>
      <c r="CJ1768">
        <v>-0.26</v>
      </c>
      <c r="CK1768">
        <v>2.16</v>
      </c>
      <c r="CL1768">
        <v>14.65</v>
      </c>
      <c r="CM1768">
        <v>0.83</v>
      </c>
      <c r="CN1768">
        <v>-1.94</v>
      </c>
      <c r="CO1768">
        <v>13468</v>
      </c>
      <c r="CP1768">
        <v>18400</v>
      </c>
      <c r="CQ1768" t="s">
        <v>8955</v>
      </c>
      <c r="CR1768">
        <v>547.62</v>
      </c>
      <c r="CS1768">
        <v>204.49</v>
      </c>
      <c r="CT1768">
        <v>2.94</v>
      </c>
      <c r="CU1768">
        <v>119.26</v>
      </c>
      <c r="CV1768">
        <v>12.25</v>
      </c>
      <c r="CW1768">
        <v>0.57999999999999996</v>
      </c>
      <c r="CX1768" t="s">
        <v>2429</v>
      </c>
      <c r="CY1768">
        <v>5.71</v>
      </c>
      <c r="CZ1768">
        <v>0</v>
      </c>
      <c r="DA1768">
        <v>1.91</v>
      </c>
      <c r="DB1768">
        <v>2.4900000000000002</v>
      </c>
      <c r="DC1768">
        <v>0.14000000000000001</v>
      </c>
      <c r="DD1768">
        <v>80.36</v>
      </c>
      <c r="DE1768" t="s">
        <v>2255</v>
      </c>
      <c r="DF1768">
        <v>71.05</v>
      </c>
      <c r="DG1768">
        <v>37.21</v>
      </c>
      <c r="DH1768">
        <v>27.38</v>
      </c>
      <c r="DI1768">
        <v>0.56000000000000005</v>
      </c>
      <c r="DJ1768">
        <v>907</v>
      </c>
      <c r="DK1768">
        <v>300406</v>
      </c>
      <c r="DL1768" t="s">
        <v>120</v>
      </c>
      <c r="DM1768" t="s">
        <v>120</v>
      </c>
      <c r="DN1768" t="s">
        <v>120</v>
      </c>
    </row>
    <row r="1769" spans="1:118">
      <c r="A1769" t="str">
        <f>"300407"</f>
        <v>300407</v>
      </c>
      <c r="B1769" t="s">
        <v>8956</v>
      </c>
      <c r="C1769">
        <v>-1.81</v>
      </c>
      <c r="D1769">
        <v>0.12</v>
      </c>
      <c r="E1769">
        <v>-0.12</v>
      </c>
      <c r="F1769">
        <v>896</v>
      </c>
      <c r="G1769" t="s">
        <v>8957</v>
      </c>
      <c r="H1769">
        <v>3274.4</v>
      </c>
      <c r="I1769">
        <v>0.41</v>
      </c>
      <c r="J1769" t="s">
        <v>120</v>
      </c>
      <c r="K1769" t="s">
        <v>6950</v>
      </c>
      <c r="L1769">
        <v>1.87</v>
      </c>
      <c r="M1769">
        <v>8.14</v>
      </c>
      <c r="N1769">
        <v>1.1599999999999999</v>
      </c>
      <c r="O1769">
        <v>2.65</v>
      </c>
      <c r="P1769">
        <v>8.51</v>
      </c>
      <c r="Q1769">
        <v>-2.0499999999999998</v>
      </c>
      <c r="R1769">
        <v>8.1199999999999992</v>
      </c>
      <c r="S1769">
        <v>8.2799999999999994</v>
      </c>
      <c r="T1769">
        <v>39393</v>
      </c>
      <c r="U1769">
        <v>8.15</v>
      </c>
      <c r="V1769">
        <v>8.2899999999999991</v>
      </c>
      <c r="W1769" t="s">
        <v>120</v>
      </c>
      <c r="X1769" t="s">
        <v>394</v>
      </c>
      <c r="Y1769" t="s">
        <v>997</v>
      </c>
      <c r="Z1769">
        <v>4.7</v>
      </c>
      <c r="AA1769">
        <v>8.31</v>
      </c>
      <c r="AB1769">
        <v>18897</v>
      </c>
      <c r="AC1769">
        <v>20496</v>
      </c>
      <c r="AD1769">
        <v>0.92</v>
      </c>
      <c r="AE1769">
        <v>334</v>
      </c>
      <c r="AF1769">
        <v>20</v>
      </c>
      <c r="AG1769" t="s">
        <v>120</v>
      </c>
      <c r="AH1769">
        <v>0</v>
      </c>
      <c r="AI1769" t="s">
        <v>120</v>
      </c>
      <c r="AJ1769">
        <v>2.11</v>
      </c>
      <c r="AK1769" t="s">
        <v>8958</v>
      </c>
      <c r="AL1769">
        <v>0.1</v>
      </c>
      <c r="AM1769">
        <v>961</v>
      </c>
      <c r="AN1769">
        <v>41</v>
      </c>
      <c r="AO1769">
        <v>1.9E-3</v>
      </c>
      <c r="AP1769">
        <v>-1</v>
      </c>
      <c r="AQ1769">
        <v>0.61</v>
      </c>
      <c r="AR1769">
        <v>-4.2300000000000004</v>
      </c>
      <c r="AS1769">
        <v>-8.9499999999999993</v>
      </c>
      <c r="AT1769">
        <v>15.46</v>
      </c>
      <c r="AU1769">
        <v>9.0500000000000007</v>
      </c>
      <c r="AV1769">
        <v>0</v>
      </c>
      <c r="AW1769">
        <v>2.54</v>
      </c>
      <c r="AX1769">
        <v>50.85</v>
      </c>
      <c r="AY1769">
        <v>29.51</v>
      </c>
      <c r="AZ1769">
        <v>29.7</v>
      </c>
      <c r="BA1769">
        <v>0.05</v>
      </c>
      <c r="BB1769" t="s">
        <v>143</v>
      </c>
      <c r="BF1769">
        <v>0.27</v>
      </c>
      <c r="BG1769">
        <v>-1.69</v>
      </c>
      <c r="BH1769">
        <v>-4.3499999999999996</v>
      </c>
      <c r="BI1769">
        <v>0.25</v>
      </c>
      <c r="BJ1769">
        <v>20210827</v>
      </c>
      <c r="BK1769">
        <v>20141203</v>
      </c>
      <c r="BL1769">
        <v>3.05</v>
      </c>
      <c r="BM1769" t="s">
        <v>120</v>
      </c>
      <c r="BN1769" t="s">
        <v>120</v>
      </c>
      <c r="BO1769">
        <v>27.63</v>
      </c>
      <c r="BP1769">
        <v>8.14</v>
      </c>
      <c r="BQ1769">
        <v>14.02</v>
      </c>
      <c r="BR1769">
        <v>0.09</v>
      </c>
      <c r="BS1769">
        <v>48.93</v>
      </c>
      <c r="BT1769">
        <v>22.92</v>
      </c>
      <c r="BU1769">
        <v>2.13</v>
      </c>
      <c r="BV1769">
        <v>0.28000000000000003</v>
      </c>
      <c r="BW1769">
        <v>10.24</v>
      </c>
      <c r="BX1769">
        <v>6.24</v>
      </c>
      <c r="BY1769">
        <v>6.24</v>
      </c>
      <c r="BZ1769">
        <v>6.1</v>
      </c>
      <c r="CA1769" t="s">
        <v>120</v>
      </c>
      <c r="CB1769">
        <v>3.92</v>
      </c>
      <c r="CC1769">
        <v>6.77</v>
      </c>
      <c r="CD1769">
        <v>5.05</v>
      </c>
      <c r="CE1769">
        <v>0</v>
      </c>
      <c r="CF1769">
        <v>0.01</v>
      </c>
      <c r="CG1769">
        <v>-0.01</v>
      </c>
      <c r="CH1769">
        <v>-0.02</v>
      </c>
      <c r="CI1769">
        <v>-0.01</v>
      </c>
      <c r="CJ1769">
        <v>-0.15</v>
      </c>
      <c r="CK1769">
        <v>-0.03</v>
      </c>
      <c r="CL1769">
        <v>6.25</v>
      </c>
      <c r="CM1769">
        <v>-0.66</v>
      </c>
      <c r="CN1769">
        <v>-1.61</v>
      </c>
      <c r="CO1769">
        <v>14639</v>
      </c>
      <c r="CP1769">
        <v>10597</v>
      </c>
      <c r="CQ1769" t="s">
        <v>8959</v>
      </c>
      <c r="CR1769">
        <v>28.97</v>
      </c>
      <c r="CS1769">
        <v>5.13</v>
      </c>
      <c r="CT1769">
        <v>1.81</v>
      </c>
      <c r="CU1769">
        <v>-37.68</v>
      </c>
      <c r="CV1769">
        <v>3.67</v>
      </c>
      <c r="CW1769">
        <v>0.79</v>
      </c>
      <c r="CX1769" t="s">
        <v>7881</v>
      </c>
      <c r="CY1769">
        <v>4.49</v>
      </c>
      <c r="CZ1769">
        <v>4.49</v>
      </c>
      <c r="DA1769">
        <v>1.28</v>
      </c>
      <c r="DB1769">
        <v>2.0499999999999998</v>
      </c>
      <c r="DC1769">
        <v>-0.22</v>
      </c>
      <c r="DD1769">
        <v>50.73</v>
      </c>
      <c r="DE1769" t="s">
        <v>8960</v>
      </c>
      <c r="DF1769">
        <v>25.36</v>
      </c>
      <c r="DG1769">
        <v>-0.02</v>
      </c>
      <c r="DH1769">
        <v>-0.2</v>
      </c>
      <c r="DI1769">
        <v>0.45</v>
      </c>
      <c r="DJ1769">
        <v>1470</v>
      </c>
      <c r="DK1769">
        <v>300407</v>
      </c>
      <c r="DL1769" t="s">
        <v>120</v>
      </c>
      <c r="DM1769" t="s">
        <v>120</v>
      </c>
      <c r="DN1769" t="s">
        <v>120</v>
      </c>
    </row>
    <row r="1770" spans="1:118">
      <c r="A1770" t="str">
        <f>"300408"</f>
        <v>300408</v>
      </c>
      <c r="B1770" t="s">
        <v>8961</v>
      </c>
      <c r="C1770">
        <v>-1.39</v>
      </c>
      <c r="D1770">
        <v>-0.38</v>
      </c>
      <c r="E1770">
        <v>-0.39</v>
      </c>
      <c r="F1770">
        <v>2974</v>
      </c>
      <c r="G1770" t="s">
        <v>8962</v>
      </c>
      <c r="H1770">
        <v>52445.56</v>
      </c>
      <c r="I1770">
        <v>100.94</v>
      </c>
      <c r="J1770" t="s">
        <v>120</v>
      </c>
      <c r="K1770" t="s">
        <v>8963</v>
      </c>
      <c r="L1770">
        <v>0.83</v>
      </c>
      <c r="M1770">
        <v>35.56</v>
      </c>
      <c r="N1770">
        <v>0.85</v>
      </c>
      <c r="O1770">
        <v>1</v>
      </c>
      <c r="P1770">
        <v>36.42</v>
      </c>
      <c r="Q1770">
        <v>-1.41</v>
      </c>
      <c r="R1770">
        <v>35.549999999999997</v>
      </c>
      <c r="S1770">
        <v>35.92</v>
      </c>
      <c r="T1770">
        <v>145931</v>
      </c>
      <c r="U1770">
        <v>35.6</v>
      </c>
      <c r="V1770">
        <v>36.06</v>
      </c>
      <c r="W1770">
        <v>29.94</v>
      </c>
      <c r="X1770" t="s">
        <v>229</v>
      </c>
      <c r="Y1770" t="s">
        <v>547</v>
      </c>
      <c r="Z1770">
        <v>2.41</v>
      </c>
      <c r="AA1770">
        <v>35.94</v>
      </c>
      <c r="AB1770">
        <v>81992</v>
      </c>
      <c r="AC1770">
        <v>63939</v>
      </c>
      <c r="AD1770">
        <v>1.28</v>
      </c>
      <c r="AE1770">
        <v>52</v>
      </c>
      <c r="AF1770">
        <v>59</v>
      </c>
      <c r="AG1770" t="s">
        <v>120</v>
      </c>
      <c r="AH1770">
        <v>0</v>
      </c>
      <c r="AI1770" t="s">
        <v>120</v>
      </c>
      <c r="AJ1770">
        <v>17.510000000000002</v>
      </c>
      <c r="AK1770" t="s">
        <v>8964</v>
      </c>
      <c r="AL1770">
        <v>0.53</v>
      </c>
      <c r="AM1770">
        <v>4434</v>
      </c>
      <c r="AN1770">
        <v>33</v>
      </c>
      <c r="AO1770">
        <v>2.0000000000000001E-4</v>
      </c>
      <c r="AP1770">
        <v>-2</v>
      </c>
      <c r="AQ1770">
        <v>-1.74</v>
      </c>
      <c r="AR1770">
        <v>-2.04</v>
      </c>
      <c r="AS1770">
        <v>-14.31</v>
      </c>
      <c r="AT1770">
        <v>-12.11</v>
      </c>
      <c r="AU1770">
        <v>-3.89</v>
      </c>
      <c r="AV1770">
        <v>0</v>
      </c>
      <c r="AW1770">
        <v>1.32</v>
      </c>
      <c r="AX1770">
        <v>60.84</v>
      </c>
      <c r="AY1770">
        <v>33.39</v>
      </c>
      <c r="AZ1770">
        <v>45.51</v>
      </c>
      <c r="BA1770">
        <v>1.08</v>
      </c>
      <c r="BB1770" t="s">
        <v>125</v>
      </c>
      <c r="BF1770">
        <v>-0.34</v>
      </c>
      <c r="BG1770">
        <v>-1</v>
      </c>
      <c r="BH1770">
        <v>-2.36</v>
      </c>
      <c r="BI1770">
        <v>0.03</v>
      </c>
      <c r="BJ1770">
        <v>20210818</v>
      </c>
      <c r="BK1770">
        <v>20141203</v>
      </c>
      <c r="BL1770">
        <v>18.170000000000002</v>
      </c>
      <c r="BM1770" t="s">
        <v>120</v>
      </c>
      <c r="BN1770" t="s">
        <v>120</v>
      </c>
      <c r="BO1770">
        <v>132.9</v>
      </c>
      <c r="BP1770">
        <v>35.56</v>
      </c>
      <c r="BQ1770">
        <v>114.21</v>
      </c>
      <c r="BR1770">
        <v>0.02</v>
      </c>
      <c r="BS1770">
        <v>14.05</v>
      </c>
      <c r="BT1770">
        <v>83.65</v>
      </c>
      <c r="BU1770">
        <v>28.81</v>
      </c>
      <c r="BV1770">
        <v>1.97</v>
      </c>
      <c r="BW1770">
        <v>12.04</v>
      </c>
      <c r="BX1770">
        <v>29</v>
      </c>
      <c r="BY1770">
        <v>13.63</v>
      </c>
      <c r="BZ1770">
        <v>14.01</v>
      </c>
      <c r="CA1770" t="s">
        <v>120</v>
      </c>
      <c r="CB1770">
        <v>24.38</v>
      </c>
      <c r="CC1770">
        <v>28.76</v>
      </c>
      <c r="CD1770">
        <v>13.43</v>
      </c>
      <c r="CE1770">
        <v>12.81</v>
      </c>
      <c r="CF1770">
        <v>0.38</v>
      </c>
      <c r="CG1770">
        <v>12.84</v>
      </c>
      <c r="CH1770">
        <v>10.8</v>
      </c>
      <c r="CI1770">
        <v>10.79</v>
      </c>
      <c r="CJ1770">
        <v>-0.5</v>
      </c>
      <c r="CK1770">
        <v>9.7899999999999991</v>
      </c>
      <c r="CL1770">
        <v>62.91</v>
      </c>
      <c r="CM1770">
        <v>8.67</v>
      </c>
      <c r="CN1770">
        <v>-0.43</v>
      </c>
      <c r="CO1770">
        <v>25411</v>
      </c>
      <c r="CP1770">
        <v>43503</v>
      </c>
      <c r="CQ1770" t="s">
        <v>8965</v>
      </c>
      <c r="CR1770">
        <v>94.02</v>
      </c>
      <c r="CS1770">
        <v>74.37</v>
      </c>
      <c r="CT1770">
        <v>5.66</v>
      </c>
      <c r="CU1770">
        <v>74.55</v>
      </c>
      <c r="CV1770">
        <v>22.47</v>
      </c>
      <c r="CW1770">
        <v>0.69</v>
      </c>
      <c r="CX1770" t="s">
        <v>597</v>
      </c>
      <c r="CY1770">
        <v>6.29</v>
      </c>
      <c r="CZ1770">
        <v>0</v>
      </c>
      <c r="DA1770">
        <v>1.34</v>
      </c>
      <c r="DB1770">
        <v>3.46</v>
      </c>
      <c r="DC1770">
        <v>0.48</v>
      </c>
      <c r="DD1770">
        <v>85.94</v>
      </c>
      <c r="DE1770" t="s">
        <v>6482</v>
      </c>
      <c r="DF1770">
        <v>53.29</v>
      </c>
      <c r="DG1770">
        <v>44.54</v>
      </c>
      <c r="DH1770">
        <v>37.520000000000003</v>
      </c>
      <c r="DI1770">
        <v>1.47</v>
      </c>
      <c r="DJ1770">
        <v>10761</v>
      </c>
      <c r="DK1770">
        <v>300408</v>
      </c>
      <c r="DL1770" t="s">
        <v>120</v>
      </c>
      <c r="DM1770" t="s">
        <v>120</v>
      </c>
      <c r="DN1770" t="s">
        <v>120</v>
      </c>
    </row>
    <row r="1771" spans="1:118">
      <c r="A1771" t="str">
        <f>"300409"</f>
        <v>300409</v>
      </c>
      <c r="B1771" t="s">
        <v>8966</v>
      </c>
      <c r="C1771">
        <v>-6.79</v>
      </c>
      <c r="D1771">
        <v>0.56000000000000005</v>
      </c>
      <c r="E1771">
        <v>1.21</v>
      </c>
      <c r="F1771">
        <v>3826</v>
      </c>
      <c r="G1771" t="s">
        <v>8967</v>
      </c>
      <c r="H1771">
        <v>100686.24</v>
      </c>
      <c r="I1771">
        <v>388.12</v>
      </c>
      <c r="J1771" t="s">
        <v>120</v>
      </c>
      <c r="K1771" t="s">
        <v>8968</v>
      </c>
      <c r="L1771">
        <v>7.78</v>
      </c>
      <c r="M1771">
        <v>28.55</v>
      </c>
      <c r="N1771">
        <v>1.23</v>
      </c>
      <c r="O1771">
        <v>2.71</v>
      </c>
      <c r="P1771">
        <v>31.46</v>
      </c>
      <c r="Q1771">
        <v>-7.93</v>
      </c>
      <c r="R1771">
        <v>28.2</v>
      </c>
      <c r="S1771">
        <v>31</v>
      </c>
      <c r="T1771">
        <v>339591</v>
      </c>
      <c r="U1771">
        <v>28.55</v>
      </c>
      <c r="V1771">
        <v>30.63</v>
      </c>
      <c r="W1771">
        <v>31.46</v>
      </c>
      <c r="X1771" t="s">
        <v>3653</v>
      </c>
      <c r="Y1771" t="s">
        <v>547</v>
      </c>
      <c r="Z1771">
        <v>10.64</v>
      </c>
      <c r="AA1771">
        <v>29.65</v>
      </c>
      <c r="AB1771">
        <v>190334</v>
      </c>
      <c r="AC1771">
        <v>149257</v>
      </c>
      <c r="AD1771">
        <v>1.28</v>
      </c>
      <c r="AE1771">
        <v>324</v>
      </c>
      <c r="AF1771">
        <v>2390</v>
      </c>
      <c r="AG1771" t="s">
        <v>120</v>
      </c>
      <c r="AH1771">
        <v>0.03</v>
      </c>
      <c r="AI1771" t="s">
        <v>120</v>
      </c>
      <c r="AJ1771">
        <v>4.3600000000000003</v>
      </c>
      <c r="AK1771" t="s">
        <v>8969</v>
      </c>
      <c r="AL1771">
        <v>-4.88</v>
      </c>
      <c r="AM1771">
        <v>4427</v>
      </c>
      <c r="AN1771">
        <v>77</v>
      </c>
      <c r="AO1771">
        <v>1.8E-3</v>
      </c>
      <c r="AP1771">
        <v>-2</v>
      </c>
      <c r="AQ1771">
        <v>-1.38</v>
      </c>
      <c r="AR1771">
        <v>-5.77</v>
      </c>
      <c r="AS1771">
        <v>-4.58</v>
      </c>
      <c r="AT1771">
        <v>57.38</v>
      </c>
      <c r="AU1771">
        <v>91.87</v>
      </c>
      <c r="AV1771">
        <v>1</v>
      </c>
      <c r="AW1771">
        <v>8.93</v>
      </c>
      <c r="AX1771">
        <v>65.75</v>
      </c>
      <c r="AY1771">
        <v>59.5</v>
      </c>
      <c r="AZ1771">
        <v>292.7</v>
      </c>
      <c r="BA1771">
        <v>2.21</v>
      </c>
      <c r="BB1771" t="s">
        <v>751</v>
      </c>
      <c r="BF1771">
        <v>-3.2</v>
      </c>
      <c r="BG1771">
        <v>-7.9</v>
      </c>
      <c r="BH1771">
        <v>-9.25</v>
      </c>
      <c r="BI1771">
        <v>1.24</v>
      </c>
      <c r="BJ1771">
        <v>20210903</v>
      </c>
      <c r="BK1771">
        <v>20141203</v>
      </c>
      <c r="BL1771">
        <v>5.78</v>
      </c>
      <c r="BM1771" t="s">
        <v>120</v>
      </c>
      <c r="BN1771" t="s">
        <v>120</v>
      </c>
      <c r="BO1771">
        <v>65.8</v>
      </c>
      <c r="BP1771">
        <v>28.53</v>
      </c>
      <c r="BQ1771">
        <v>39.909999999999997</v>
      </c>
      <c r="BR1771">
        <v>0.19</v>
      </c>
      <c r="BS1771">
        <v>39.049999999999997</v>
      </c>
      <c r="BT1771">
        <v>41.12</v>
      </c>
      <c r="BU1771">
        <v>11.12</v>
      </c>
      <c r="BV1771">
        <v>2.39</v>
      </c>
      <c r="BW1771">
        <v>21.4</v>
      </c>
      <c r="BX1771">
        <v>7.84</v>
      </c>
      <c r="BY1771">
        <v>13.99</v>
      </c>
      <c r="BZ1771">
        <v>9.8000000000000007</v>
      </c>
      <c r="CA1771" t="s">
        <v>120</v>
      </c>
      <c r="CB1771">
        <v>24.97</v>
      </c>
      <c r="CC1771">
        <v>27.72</v>
      </c>
      <c r="CD1771">
        <v>20.63</v>
      </c>
      <c r="CE1771">
        <v>3.1</v>
      </c>
      <c r="CF1771">
        <v>7.0000000000000007E-2</v>
      </c>
      <c r="CG1771">
        <v>3.05</v>
      </c>
      <c r="CH1771">
        <v>2.65</v>
      </c>
      <c r="CI1771">
        <v>2.62</v>
      </c>
      <c r="CJ1771">
        <v>-2.08</v>
      </c>
      <c r="CK1771">
        <v>2.56</v>
      </c>
      <c r="CL1771">
        <v>7.68</v>
      </c>
      <c r="CM1771">
        <v>0.95</v>
      </c>
      <c r="CN1771">
        <v>3.48</v>
      </c>
      <c r="CO1771">
        <v>26815</v>
      </c>
      <c r="CP1771">
        <v>14179</v>
      </c>
      <c r="CQ1771" t="s">
        <v>8970</v>
      </c>
      <c r="CR1771">
        <v>939.44</v>
      </c>
      <c r="CS1771">
        <v>135.32</v>
      </c>
      <c r="CT1771">
        <v>4.07</v>
      </c>
      <c r="CU1771">
        <v>173.67</v>
      </c>
      <c r="CV1771">
        <v>5.96</v>
      </c>
      <c r="CW1771">
        <v>0.16</v>
      </c>
      <c r="CX1771" t="s">
        <v>1001</v>
      </c>
      <c r="CY1771">
        <v>7.02</v>
      </c>
      <c r="CZ1771">
        <v>7.02</v>
      </c>
      <c r="DA1771">
        <v>4.32</v>
      </c>
      <c r="DB1771">
        <v>1.33</v>
      </c>
      <c r="DC1771">
        <v>0.16</v>
      </c>
      <c r="DD1771">
        <v>60.66</v>
      </c>
      <c r="DE1771" t="s">
        <v>2255</v>
      </c>
      <c r="DF1771">
        <v>25.58</v>
      </c>
      <c r="DG1771">
        <v>11.19</v>
      </c>
      <c r="DH1771">
        <v>9.4700000000000006</v>
      </c>
      <c r="DI1771">
        <v>0.87</v>
      </c>
      <c r="DJ1771">
        <v>1551</v>
      </c>
      <c r="DK1771">
        <v>300409</v>
      </c>
      <c r="DL1771" t="s">
        <v>120</v>
      </c>
      <c r="DM1771" t="s">
        <v>120</v>
      </c>
      <c r="DN1771" t="s">
        <v>120</v>
      </c>
    </row>
    <row r="1772" spans="1:118">
      <c r="A1772" t="str">
        <f>"300410"</f>
        <v>300410</v>
      </c>
      <c r="B1772" t="s">
        <v>8971</v>
      </c>
      <c r="C1772">
        <v>-4.66</v>
      </c>
      <c r="D1772">
        <v>-0.22</v>
      </c>
      <c r="E1772">
        <v>0</v>
      </c>
      <c r="F1772">
        <v>1404</v>
      </c>
      <c r="G1772" t="s">
        <v>8972</v>
      </c>
      <c r="H1772">
        <v>25786.54</v>
      </c>
      <c r="I1772">
        <v>84.12</v>
      </c>
      <c r="J1772" t="s">
        <v>120</v>
      </c>
      <c r="K1772" t="s">
        <v>8973</v>
      </c>
      <c r="L1772">
        <v>5.14</v>
      </c>
      <c r="M1772">
        <v>13.3</v>
      </c>
      <c r="N1772">
        <v>1.23</v>
      </c>
      <c r="O1772">
        <v>2.87</v>
      </c>
      <c r="P1772">
        <v>14.35</v>
      </c>
      <c r="Q1772">
        <v>-5.23</v>
      </c>
      <c r="R1772">
        <v>13.22</v>
      </c>
      <c r="S1772">
        <v>13.95</v>
      </c>
      <c r="T1772">
        <v>187204</v>
      </c>
      <c r="U1772">
        <v>13.31</v>
      </c>
      <c r="V1772">
        <v>13.95</v>
      </c>
      <c r="W1772">
        <v>15.53</v>
      </c>
      <c r="X1772" t="s">
        <v>2717</v>
      </c>
      <c r="Y1772" t="s">
        <v>547</v>
      </c>
      <c r="Z1772">
        <v>8.1</v>
      </c>
      <c r="AA1772">
        <v>13.77</v>
      </c>
      <c r="AB1772">
        <v>109882</v>
      </c>
      <c r="AC1772">
        <v>77322</v>
      </c>
      <c r="AD1772">
        <v>1.42</v>
      </c>
      <c r="AE1772">
        <v>260</v>
      </c>
      <c r="AF1772">
        <v>400</v>
      </c>
      <c r="AG1772" t="s">
        <v>120</v>
      </c>
      <c r="AH1772">
        <v>0.03</v>
      </c>
      <c r="AI1772" t="s">
        <v>120</v>
      </c>
      <c r="AJ1772">
        <v>3.64</v>
      </c>
      <c r="AK1772" t="s">
        <v>7859</v>
      </c>
      <c r="AL1772">
        <v>-2.75</v>
      </c>
      <c r="AM1772">
        <v>3205</v>
      </c>
      <c r="AN1772">
        <v>58</v>
      </c>
      <c r="AO1772">
        <v>1.6000000000000001E-3</v>
      </c>
      <c r="AP1772">
        <v>-1</v>
      </c>
      <c r="AQ1772">
        <v>4.8899999999999997</v>
      </c>
      <c r="AR1772">
        <v>2.7</v>
      </c>
      <c r="AS1772">
        <v>-3.49</v>
      </c>
      <c r="AT1772">
        <v>44.41</v>
      </c>
      <c r="AU1772">
        <v>83.7</v>
      </c>
      <c r="AV1772">
        <v>2</v>
      </c>
      <c r="AW1772">
        <v>9.18</v>
      </c>
      <c r="AX1772">
        <v>55.23</v>
      </c>
      <c r="AY1772" t="s">
        <v>120</v>
      </c>
      <c r="AZ1772" t="s">
        <v>120</v>
      </c>
      <c r="BA1772">
        <v>0.76</v>
      </c>
      <c r="BB1772" t="s">
        <v>143</v>
      </c>
      <c r="BF1772">
        <v>-1.26</v>
      </c>
      <c r="BG1772">
        <v>-4.66</v>
      </c>
      <c r="BH1772">
        <v>-7.32</v>
      </c>
      <c r="BI1772">
        <v>0.61</v>
      </c>
      <c r="BJ1772">
        <v>20210827</v>
      </c>
      <c r="BK1772">
        <v>20141231</v>
      </c>
      <c r="BL1772">
        <v>3.69</v>
      </c>
      <c r="BM1772" t="s">
        <v>120</v>
      </c>
      <c r="BN1772" t="s">
        <v>120</v>
      </c>
      <c r="BO1772">
        <v>20.27</v>
      </c>
      <c r="BP1772">
        <v>13.3</v>
      </c>
      <c r="BQ1772">
        <v>7.73</v>
      </c>
      <c r="BR1772">
        <v>0.05</v>
      </c>
      <c r="BS1772">
        <v>61.63</v>
      </c>
      <c r="BT1772">
        <v>13.15</v>
      </c>
      <c r="BU1772">
        <v>2.94</v>
      </c>
      <c r="BV1772">
        <v>0.62</v>
      </c>
      <c r="BW1772">
        <v>11.87</v>
      </c>
      <c r="BX1772">
        <v>1.0900000000000001</v>
      </c>
      <c r="BY1772">
        <v>3.29</v>
      </c>
      <c r="BZ1772">
        <v>6.97</v>
      </c>
      <c r="CA1772" t="s">
        <v>120</v>
      </c>
      <c r="CB1772">
        <v>11.59</v>
      </c>
      <c r="CC1772">
        <v>7.82</v>
      </c>
      <c r="CD1772">
        <v>4.93</v>
      </c>
      <c r="CE1772">
        <v>1.56</v>
      </c>
      <c r="CF1772">
        <v>0</v>
      </c>
      <c r="CG1772">
        <v>1.69</v>
      </c>
      <c r="CH1772">
        <v>1.57</v>
      </c>
      <c r="CI1772">
        <v>1.58</v>
      </c>
      <c r="CJ1772">
        <v>-0.65</v>
      </c>
      <c r="CK1772">
        <v>0.4</v>
      </c>
      <c r="CL1772">
        <v>-7.31</v>
      </c>
      <c r="CM1772">
        <v>0.41</v>
      </c>
      <c r="CN1772">
        <v>-0.7</v>
      </c>
      <c r="CO1772">
        <v>30604</v>
      </c>
      <c r="CP1772">
        <v>6662</v>
      </c>
      <c r="CQ1772" t="s">
        <v>3765</v>
      </c>
      <c r="CR1772">
        <v>217.81</v>
      </c>
      <c r="CS1772">
        <v>19.16</v>
      </c>
      <c r="CT1772">
        <v>6.43</v>
      </c>
      <c r="CU1772">
        <v>120.49</v>
      </c>
      <c r="CV1772">
        <v>6.28</v>
      </c>
      <c r="CW1772">
        <v>0</v>
      </c>
      <c r="CX1772" t="s">
        <v>1327</v>
      </c>
      <c r="CY1772">
        <v>2.0699999999999998</v>
      </c>
      <c r="CZ1772">
        <v>2.0699999999999998</v>
      </c>
      <c r="DA1772">
        <v>3.14</v>
      </c>
      <c r="DB1772">
        <v>-1.98</v>
      </c>
      <c r="DC1772">
        <v>0.11</v>
      </c>
      <c r="DD1772">
        <v>38.14</v>
      </c>
      <c r="DE1772" t="s">
        <v>8974</v>
      </c>
      <c r="DF1772">
        <v>36.94</v>
      </c>
      <c r="DG1772">
        <v>19.940000000000001</v>
      </c>
      <c r="DH1772">
        <v>20.23</v>
      </c>
      <c r="DI1772">
        <v>0.59</v>
      </c>
      <c r="DJ1772">
        <v>1527</v>
      </c>
      <c r="DK1772">
        <v>300410</v>
      </c>
      <c r="DL1772" t="s">
        <v>120</v>
      </c>
      <c r="DM1772" t="s">
        <v>120</v>
      </c>
      <c r="DN1772" t="s">
        <v>120</v>
      </c>
    </row>
    <row r="1773" spans="1:118">
      <c r="A1773" t="str">
        <f>"300411"</f>
        <v>300411</v>
      </c>
      <c r="B1773" t="s">
        <v>8975</v>
      </c>
      <c r="C1773">
        <v>0.63</v>
      </c>
      <c r="D1773">
        <v>-0.12</v>
      </c>
      <c r="E1773">
        <v>0.13</v>
      </c>
      <c r="F1773">
        <v>631</v>
      </c>
      <c r="G1773" t="s">
        <v>929</v>
      </c>
      <c r="H1773">
        <v>6609.33</v>
      </c>
      <c r="I1773">
        <v>0.87</v>
      </c>
      <c r="J1773" t="s">
        <v>120</v>
      </c>
      <c r="K1773" t="s">
        <v>2278</v>
      </c>
      <c r="L1773">
        <v>4.74</v>
      </c>
      <c r="M1773">
        <v>7.96</v>
      </c>
      <c r="N1773">
        <v>1.36</v>
      </c>
      <c r="O1773">
        <v>5.31</v>
      </c>
      <c r="P1773">
        <v>8.33</v>
      </c>
      <c r="Q1773">
        <v>-0.88</v>
      </c>
      <c r="R1773">
        <v>7.84</v>
      </c>
      <c r="S1773">
        <v>7.92</v>
      </c>
      <c r="T1773">
        <v>81420</v>
      </c>
      <c r="U1773">
        <v>7.97</v>
      </c>
      <c r="V1773">
        <v>7.91</v>
      </c>
      <c r="W1773">
        <v>91.22</v>
      </c>
      <c r="X1773" t="s">
        <v>675</v>
      </c>
      <c r="Y1773" t="s">
        <v>585</v>
      </c>
      <c r="Z1773">
        <v>6.19</v>
      </c>
      <c r="AA1773">
        <v>8.1199999999999992</v>
      </c>
      <c r="AB1773">
        <v>40901</v>
      </c>
      <c r="AC1773">
        <v>40519</v>
      </c>
      <c r="AD1773">
        <v>1.01</v>
      </c>
      <c r="AE1773">
        <v>168</v>
      </c>
      <c r="AF1773">
        <v>236</v>
      </c>
      <c r="AG1773" t="s">
        <v>120</v>
      </c>
      <c r="AH1773">
        <v>0</v>
      </c>
      <c r="AI1773" t="s">
        <v>120</v>
      </c>
      <c r="AJ1773">
        <v>1.72</v>
      </c>
      <c r="AK1773" t="s">
        <v>8976</v>
      </c>
      <c r="AL1773">
        <v>2.5499999999999998</v>
      </c>
      <c r="AM1773">
        <v>1903</v>
      </c>
      <c r="AN1773">
        <v>43</v>
      </c>
      <c r="AO1773">
        <v>2.5000000000000001E-3</v>
      </c>
      <c r="AP1773">
        <v>1</v>
      </c>
      <c r="AQ1773">
        <v>-0.13</v>
      </c>
      <c r="AR1773">
        <v>-3.98</v>
      </c>
      <c r="AS1773">
        <v>-7.55</v>
      </c>
      <c r="AT1773">
        <v>-0.75</v>
      </c>
      <c r="AU1773">
        <v>-13.39</v>
      </c>
      <c r="AV1773">
        <v>0</v>
      </c>
      <c r="AW1773">
        <v>5.38</v>
      </c>
      <c r="AX1773">
        <v>37.229999999999997</v>
      </c>
      <c r="AY1773" t="s">
        <v>120</v>
      </c>
      <c r="AZ1773">
        <v>107.58</v>
      </c>
      <c r="BA1773">
        <v>0.8</v>
      </c>
      <c r="BB1773" t="s">
        <v>2725</v>
      </c>
      <c r="BF1773">
        <v>2.62</v>
      </c>
      <c r="BG1773">
        <v>0.51</v>
      </c>
      <c r="BH1773">
        <v>-4.4400000000000004</v>
      </c>
      <c r="BI1773">
        <v>1.53</v>
      </c>
      <c r="BJ1773">
        <v>20210830</v>
      </c>
      <c r="BK1773">
        <v>20141231</v>
      </c>
      <c r="BL1773">
        <v>4.07</v>
      </c>
      <c r="BM1773" t="s">
        <v>120</v>
      </c>
      <c r="BN1773" t="s">
        <v>120</v>
      </c>
      <c r="BO1773">
        <v>13.58</v>
      </c>
      <c r="BP1773">
        <v>7.96</v>
      </c>
      <c r="BQ1773">
        <v>9.76</v>
      </c>
      <c r="BR1773">
        <v>0.27</v>
      </c>
      <c r="BS1773">
        <v>26.17</v>
      </c>
      <c r="BT1773">
        <v>10.050000000000001</v>
      </c>
      <c r="BU1773">
        <v>1.77</v>
      </c>
      <c r="BV1773">
        <v>0.53</v>
      </c>
      <c r="BW1773">
        <v>2.64</v>
      </c>
      <c r="BX1773">
        <v>1.21</v>
      </c>
      <c r="BY1773">
        <v>2.12</v>
      </c>
      <c r="BZ1773">
        <v>4.25</v>
      </c>
      <c r="CA1773" t="s">
        <v>120</v>
      </c>
      <c r="CB1773">
        <v>19.559999999999999</v>
      </c>
      <c r="CC1773">
        <v>2.2400000000000002</v>
      </c>
      <c r="CD1773">
        <v>1.7</v>
      </c>
      <c r="CE1773">
        <v>0.22</v>
      </c>
      <c r="CF1773">
        <v>0</v>
      </c>
      <c r="CG1773">
        <v>0.21</v>
      </c>
      <c r="CH1773">
        <v>0.19</v>
      </c>
      <c r="CI1773">
        <v>0.18</v>
      </c>
      <c r="CJ1773">
        <v>0.05</v>
      </c>
      <c r="CK1773">
        <v>0.15</v>
      </c>
      <c r="CL1773">
        <v>-14.13</v>
      </c>
      <c r="CM1773">
        <v>-1.0900000000000001</v>
      </c>
      <c r="CN1773">
        <v>-1.74</v>
      </c>
      <c r="CO1773">
        <v>20681</v>
      </c>
      <c r="CP1773">
        <v>7318</v>
      </c>
      <c r="CQ1773" t="s">
        <v>678</v>
      </c>
      <c r="CR1773">
        <v>-63.77</v>
      </c>
      <c r="CS1773">
        <v>-21.48</v>
      </c>
      <c r="CT1773">
        <v>3.32</v>
      </c>
      <c r="CU1773">
        <v>-29.81</v>
      </c>
      <c r="CV1773">
        <v>14.47</v>
      </c>
      <c r="CW1773">
        <v>0</v>
      </c>
      <c r="CX1773" t="s">
        <v>145</v>
      </c>
      <c r="CY1773">
        <v>2.4</v>
      </c>
      <c r="CZ1773">
        <v>0</v>
      </c>
      <c r="DA1773">
        <v>4.8099999999999996</v>
      </c>
      <c r="DB1773">
        <v>-3.48</v>
      </c>
      <c r="DC1773">
        <v>-0.27</v>
      </c>
      <c r="DD1773">
        <v>71.84</v>
      </c>
      <c r="DE1773" t="s">
        <v>4611</v>
      </c>
      <c r="DF1773">
        <v>23.76</v>
      </c>
      <c r="DG1773">
        <v>9.81</v>
      </c>
      <c r="DH1773">
        <v>7.93</v>
      </c>
      <c r="DI1773">
        <v>0.22</v>
      </c>
      <c r="DJ1773">
        <v>634</v>
      </c>
      <c r="DK1773">
        <v>300411</v>
      </c>
      <c r="DL1773" t="s">
        <v>120</v>
      </c>
      <c r="DM1773" t="s">
        <v>120</v>
      </c>
      <c r="DN1773" t="s">
        <v>120</v>
      </c>
    </row>
    <row r="1774" spans="1:118">
      <c r="A1774" t="str">
        <f>"300412"</f>
        <v>300412</v>
      </c>
      <c r="B1774" t="s">
        <v>8977</v>
      </c>
      <c r="C1774">
        <v>-1.65</v>
      </c>
      <c r="D1774">
        <v>-0.09</v>
      </c>
      <c r="E1774">
        <v>0.1</v>
      </c>
      <c r="F1774">
        <v>1247</v>
      </c>
      <c r="G1774" t="s">
        <v>8978</v>
      </c>
      <c r="H1774">
        <v>9553.82</v>
      </c>
      <c r="I1774">
        <v>36.39</v>
      </c>
      <c r="J1774" t="s">
        <v>120</v>
      </c>
      <c r="K1774" t="s">
        <v>3224</v>
      </c>
      <c r="L1774">
        <v>4.1900000000000004</v>
      </c>
      <c r="M1774">
        <v>10.130000000000001</v>
      </c>
      <c r="N1774">
        <v>0.9</v>
      </c>
      <c r="O1774">
        <v>1.26</v>
      </c>
      <c r="P1774">
        <v>10.43</v>
      </c>
      <c r="Q1774">
        <v>-2.23</v>
      </c>
      <c r="R1774">
        <v>10.07</v>
      </c>
      <c r="S1774">
        <v>10.31</v>
      </c>
      <c r="T1774">
        <v>93178</v>
      </c>
      <c r="U1774">
        <v>10.14</v>
      </c>
      <c r="V1774">
        <v>10.3</v>
      </c>
      <c r="W1774">
        <v>34.64</v>
      </c>
      <c r="X1774" t="s">
        <v>555</v>
      </c>
      <c r="Y1774" t="s">
        <v>585</v>
      </c>
      <c r="Z1774">
        <v>3.5</v>
      </c>
      <c r="AA1774">
        <v>10.25</v>
      </c>
      <c r="AB1774">
        <v>51987</v>
      </c>
      <c r="AC1774">
        <v>41191</v>
      </c>
      <c r="AD1774">
        <v>1.26</v>
      </c>
      <c r="AE1774">
        <v>330</v>
      </c>
      <c r="AF1774">
        <v>41</v>
      </c>
      <c r="AG1774" t="s">
        <v>120</v>
      </c>
      <c r="AH1774">
        <v>0.02</v>
      </c>
      <c r="AI1774" t="s">
        <v>120</v>
      </c>
      <c r="AJ1774">
        <v>2.2200000000000002</v>
      </c>
      <c r="AK1774" t="s">
        <v>1661</v>
      </c>
      <c r="AL1774">
        <v>0.26</v>
      </c>
      <c r="AM1774">
        <v>2365</v>
      </c>
      <c r="AN1774">
        <v>39</v>
      </c>
      <c r="AO1774">
        <v>1.8E-3</v>
      </c>
      <c r="AP1774">
        <v>-1</v>
      </c>
      <c r="AQ1774">
        <v>2.4900000000000002</v>
      </c>
      <c r="AR1774">
        <v>0.28999999999999998</v>
      </c>
      <c r="AS1774">
        <v>0.3</v>
      </c>
      <c r="AT1774">
        <v>7.54</v>
      </c>
      <c r="AU1774">
        <v>4.22</v>
      </c>
      <c r="AV1774">
        <v>0</v>
      </c>
      <c r="AW1774">
        <v>6.34</v>
      </c>
      <c r="AX1774">
        <v>57.14</v>
      </c>
      <c r="AY1774">
        <v>34.270000000000003</v>
      </c>
      <c r="AZ1774">
        <v>39.020000000000003</v>
      </c>
      <c r="BA1774">
        <v>0.84</v>
      </c>
      <c r="BB1774" t="s">
        <v>143</v>
      </c>
      <c r="BF1774">
        <v>-0.45</v>
      </c>
      <c r="BG1774">
        <v>-1.75</v>
      </c>
      <c r="BH1774">
        <v>-2.88</v>
      </c>
      <c r="BI1774">
        <v>0.6</v>
      </c>
      <c r="BJ1774">
        <v>20210830</v>
      </c>
      <c r="BK1774">
        <v>20141231</v>
      </c>
      <c r="BL1774">
        <v>2.57</v>
      </c>
      <c r="BM1774" t="s">
        <v>120</v>
      </c>
      <c r="BN1774" t="s">
        <v>120</v>
      </c>
      <c r="BO1774">
        <v>18.63</v>
      </c>
      <c r="BP1774">
        <v>10.130000000000001</v>
      </c>
      <c r="BQ1774">
        <v>8.34</v>
      </c>
      <c r="BR1774">
        <v>0.6</v>
      </c>
      <c r="BS1774">
        <v>51.98</v>
      </c>
      <c r="BT1774">
        <v>14.14</v>
      </c>
      <c r="BU1774">
        <v>2.08</v>
      </c>
      <c r="BV1774">
        <v>0.79</v>
      </c>
      <c r="BW1774">
        <v>8.98</v>
      </c>
      <c r="BX1774">
        <v>1.74</v>
      </c>
      <c r="BY1774">
        <v>6.93</v>
      </c>
      <c r="BZ1774">
        <v>3.18</v>
      </c>
      <c r="CA1774" t="s">
        <v>120</v>
      </c>
      <c r="CB1774">
        <v>3.23</v>
      </c>
      <c r="CC1774">
        <v>4.32</v>
      </c>
      <c r="CD1774">
        <v>2.91</v>
      </c>
      <c r="CE1774">
        <v>0.53</v>
      </c>
      <c r="CF1774">
        <v>0</v>
      </c>
      <c r="CG1774">
        <v>0.54</v>
      </c>
      <c r="CH1774">
        <v>0.49</v>
      </c>
      <c r="CI1774">
        <v>0.38</v>
      </c>
      <c r="CJ1774">
        <v>-0.17</v>
      </c>
      <c r="CK1774">
        <v>0.33</v>
      </c>
      <c r="CL1774">
        <v>2.08</v>
      </c>
      <c r="CM1774">
        <v>-0.18</v>
      </c>
      <c r="CN1774">
        <v>-0.73</v>
      </c>
      <c r="CO1774">
        <v>20663</v>
      </c>
      <c r="CP1774">
        <v>7113</v>
      </c>
      <c r="CQ1774" t="s">
        <v>8979</v>
      </c>
      <c r="CR1774">
        <v>33.340000000000003</v>
      </c>
      <c r="CS1774">
        <v>28.31</v>
      </c>
      <c r="CT1774">
        <v>3.12</v>
      </c>
      <c r="CU1774">
        <v>-141.74</v>
      </c>
      <c r="CV1774">
        <v>6.03</v>
      </c>
      <c r="CW1774">
        <v>1.55</v>
      </c>
      <c r="CX1774" t="s">
        <v>373</v>
      </c>
      <c r="CY1774">
        <v>3.24</v>
      </c>
      <c r="CZ1774">
        <v>0</v>
      </c>
      <c r="DA1774">
        <v>1.25</v>
      </c>
      <c r="DB1774">
        <v>0.81</v>
      </c>
      <c r="DC1774">
        <v>-7.0000000000000007E-2</v>
      </c>
      <c r="DD1774">
        <v>44.79</v>
      </c>
      <c r="DE1774" t="s">
        <v>7300</v>
      </c>
      <c r="DF1774">
        <v>32.61</v>
      </c>
      <c r="DG1774">
        <v>12.38</v>
      </c>
      <c r="DH1774">
        <v>8.7100000000000009</v>
      </c>
      <c r="DI1774">
        <v>0.28000000000000003</v>
      </c>
      <c r="DJ1774">
        <v>1477</v>
      </c>
      <c r="DK1774">
        <v>300412</v>
      </c>
      <c r="DL1774" t="s">
        <v>120</v>
      </c>
      <c r="DM1774" t="s">
        <v>120</v>
      </c>
      <c r="DN1774" t="s">
        <v>120</v>
      </c>
    </row>
    <row r="1775" spans="1:118">
      <c r="A1775" t="str">
        <f>"300413"</f>
        <v>300413</v>
      </c>
      <c r="B1775" t="s">
        <v>8980</v>
      </c>
      <c r="C1775">
        <v>-3.11</v>
      </c>
      <c r="D1775">
        <v>0</v>
      </c>
      <c r="E1775">
        <v>0.49</v>
      </c>
      <c r="F1775">
        <v>1429</v>
      </c>
      <c r="G1775" t="s">
        <v>8981</v>
      </c>
      <c r="H1775">
        <v>51669.87</v>
      </c>
      <c r="I1775">
        <v>197.24</v>
      </c>
      <c r="J1775" t="s">
        <v>120</v>
      </c>
      <c r="K1775" t="s">
        <v>8982</v>
      </c>
      <c r="L1775">
        <v>1.32</v>
      </c>
      <c r="M1775">
        <v>41.8</v>
      </c>
      <c r="N1775">
        <v>0.83</v>
      </c>
      <c r="O1775">
        <v>0.49</v>
      </c>
      <c r="P1775">
        <v>43.35</v>
      </c>
      <c r="Q1775">
        <v>-3.78</v>
      </c>
      <c r="R1775">
        <v>41.51</v>
      </c>
      <c r="S1775">
        <v>43.35</v>
      </c>
      <c r="T1775">
        <v>122916</v>
      </c>
      <c r="U1775">
        <v>41.81</v>
      </c>
      <c r="V1775">
        <v>43.14</v>
      </c>
      <c r="W1775">
        <v>26.94</v>
      </c>
      <c r="X1775" t="s">
        <v>584</v>
      </c>
      <c r="Y1775" t="s">
        <v>594</v>
      </c>
      <c r="Z1775">
        <v>4.2699999999999996</v>
      </c>
      <c r="AA1775">
        <v>42.04</v>
      </c>
      <c r="AB1775">
        <v>70669</v>
      </c>
      <c r="AC1775">
        <v>52247</v>
      </c>
      <c r="AD1775">
        <v>1.35</v>
      </c>
      <c r="AE1775">
        <v>47</v>
      </c>
      <c r="AF1775">
        <v>14</v>
      </c>
      <c r="AG1775" t="s">
        <v>120</v>
      </c>
      <c r="AH1775">
        <v>0.01</v>
      </c>
      <c r="AI1775" t="s">
        <v>120</v>
      </c>
      <c r="AJ1775">
        <v>9.31</v>
      </c>
      <c r="AK1775" t="s">
        <v>8983</v>
      </c>
      <c r="AL1775">
        <v>-1.19</v>
      </c>
      <c r="AM1775">
        <v>4272</v>
      </c>
      <c r="AN1775">
        <v>29</v>
      </c>
      <c r="AO1775">
        <v>2.9999999999999997E-4</v>
      </c>
      <c r="AP1775">
        <v>-1</v>
      </c>
      <c r="AQ1775">
        <v>0.16</v>
      </c>
      <c r="AR1775">
        <v>-1.51</v>
      </c>
      <c r="AS1775">
        <v>-24.41</v>
      </c>
      <c r="AT1775">
        <v>-36.81</v>
      </c>
      <c r="AU1775">
        <v>-42.24</v>
      </c>
      <c r="AV1775">
        <v>0</v>
      </c>
      <c r="AW1775">
        <v>1.93</v>
      </c>
      <c r="AX1775">
        <v>34.07</v>
      </c>
      <c r="AY1775">
        <v>34.64</v>
      </c>
      <c r="AZ1775">
        <v>40.71</v>
      </c>
      <c r="BA1775">
        <v>1.19</v>
      </c>
      <c r="BB1775" t="s">
        <v>168</v>
      </c>
      <c r="BF1775">
        <v>-2.56</v>
      </c>
      <c r="BG1775">
        <v>-3.58</v>
      </c>
      <c r="BH1775">
        <v>-3.58</v>
      </c>
      <c r="BI1775">
        <v>0.7</v>
      </c>
      <c r="BJ1775">
        <v>20210823</v>
      </c>
      <c r="BK1775">
        <v>20150121</v>
      </c>
      <c r="BL1775">
        <v>18.71</v>
      </c>
      <c r="BM1775" t="s">
        <v>120</v>
      </c>
      <c r="BN1775" t="s">
        <v>120</v>
      </c>
      <c r="BO1775">
        <v>212.7</v>
      </c>
      <c r="BP1775">
        <v>41.8</v>
      </c>
      <c r="BQ1775">
        <v>118.08</v>
      </c>
      <c r="BR1775">
        <v>0.33</v>
      </c>
      <c r="BS1775">
        <v>44.33</v>
      </c>
      <c r="BT1775">
        <v>143.09</v>
      </c>
      <c r="BU1775">
        <v>1.82</v>
      </c>
      <c r="BV1775">
        <v>62.83</v>
      </c>
      <c r="BW1775">
        <v>92.2</v>
      </c>
      <c r="BX1775">
        <v>57.94</v>
      </c>
      <c r="BY1775">
        <v>16.79</v>
      </c>
      <c r="BZ1775">
        <v>37.130000000000003</v>
      </c>
      <c r="CA1775" t="s">
        <v>120</v>
      </c>
      <c r="CB1775">
        <v>48.39</v>
      </c>
      <c r="CC1775">
        <v>78.53</v>
      </c>
      <c r="CD1775">
        <v>48.88</v>
      </c>
      <c r="CE1775">
        <v>14.56</v>
      </c>
      <c r="CF1775">
        <v>0.02</v>
      </c>
      <c r="CG1775">
        <v>14.54</v>
      </c>
      <c r="CH1775">
        <v>14.51</v>
      </c>
      <c r="CI1775">
        <v>14.51</v>
      </c>
      <c r="CJ1775">
        <v>-1.34</v>
      </c>
      <c r="CK1775">
        <v>14.4</v>
      </c>
      <c r="CL1775">
        <v>51.01</v>
      </c>
      <c r="CM1775">
        <v>4.0199999999999996</v>
      </c>
      <c r="CN1775">
        <v>4.53</v>
      </c>
      <c r="CO1775">
        <v>27955</v>
      </c>
      <c r="CP1775">
        <v>22802</v>
      </c>
      <c r="CQ1775" t="s">
        <v>8984</v>
      </c>
      <c r="CR1775">
        <v>31.52</v>
      </c>
      <c r="CS1775">
        <v>36.020000000000003</v>
      </c>
      <c r="CT1775">
        <v>6.3</v>
      </c>
      <c r="CU1775">
        <v>194.54</v>
      </c>
      <c r="CV1775">
        <v>9.9600000000000009</v>
      </c>
      <c r="CW1775">
        <v>0.28999999999999998</v>
      </c>
      <c r="CX1775" t="s">
        <v>8985</v>
      </c>
      <c r="CY1775">
        <v>6.63</v>
      </c>
      <c r="CZ1775">
        <v>6.63</v>
      </c>
      <c r="DA1775">
        <v>2.59</v>
      </c>
      <c r="DB1775">
        <v>2.73</v>
      </c>
      <c r="DC1775">
        <v>0.21</v>
      </c>
      <c r="DD1775">
        <v>55.51</v>
      </c>
      <c r="DE1775" t="s">
        <v>8986</v>
      </c>
      <c r="DF1775">
        <v>37.76</v>
      </c>
      <c r="DG1775">
        <v>18.55</v>
      </c>
      <c r="DH1775">
        <v>18.48</v>
      </c>
      <c r="DI1775">
        <v>1.22</v>
      </c>
      <c r="DJ1775">
        <v>4471</v>
      </c>
      <c r="DK1775">
        <v>300413</v>
      </c>
      <c r="DL1775" t="s">
        <v>120</v>
      </c>
      <c r="DM1775" t="s">
        <v>120</v>
      </c>
      <c r="DN1775" t="s">
        <v>120</v>
      </c>
    </row>
    <row r="1776" spans="1:118">
      <c r="A1776" t="str">
        <f>"300414"</f>
        <v>300414</v>
      </c>
      <c r="B1776" t="s">
        <v>8987</v>
      </c>
      <c r="C1776">
        <v>-3.72</v>
      </c>
      <c r="D1776">
        <v>0</v>
      </c>
      <c r="E1776">
        <v>0.93</v>
      </c>
      <c r="F1776">
        <v>1476</v>
      </c>
      <c r="G1776" t="s">
        <v>8988</v>
      </c>
      <c r="H1776">
        <v>8347.0499999999993</v>
      </c>
      <c r="I1776">
        <v>33.53</v>
      </c>
      <c r="J1776" t="s">
        <v>120</v>
      </c>
      <c r="K1776" t="s">
        <v>8413</v>
      </c>
      <c r="L1776">
        <v>2.57</v>
      </c>
      <c r="M1776">
        <v>10.35</v>
      </c>
      <c r="N1776">
        <v>0.83</v>
      </c>
      <c r="O1776">
        <v>0.93</v>
      </c>
      <c r="P1776">
        <v>10.85</v>
      </c>
      <c r="Q1776">
        <v>-3.81</v>
      </c>
      <c r="R1776">
        <v>10.34</v>
      </c>
      <c r="S1776">
        <v>10.85</v>
      </c>
      <c r="T1776">
        <v>79186</v>
      </c>
      <c r="U1776">
        <v>10.35</v>
      </c>
      <c r="V1776">
        <v>10.75</v>
      </c>
      <c r="W1776">
        <v>67.400000000000006</v>
      </c>
      <c r="X1776" t="s">
        <v>462</v>
      </c>
      <c r="Y1776" t="s">
        <v>578</v>
      </c>
      <c r="Z1776">
        <v>4.74</v>
      </c>
      <c r="AA1776">
        <v>10.54</v>
      </c>
      <c r="AB1776">
        <v>53091</v>
      </c>
      <c r="AC1776">
        <v>26095</v>
      </c>
      <c r="AD1776">
        <v>2.0299999999999998</v>
      </c>
      <c r="AE1776">
        <v>164</v>
      </c>
      <c r="AF1776">
        <v>234</v>
      </c>
      <c r="AG1776" t="s">
        <v>120</v>
      </c>
      <c r="AH1776">
        <v>0.02</v>
      </c>
      <c r="AI1776" t="s">
        <v>120</v>
      </c>
      <c r="AJ1776">
        <v>3.08</v>
      </c>
      <c r="AK1776" t="s">
        <v>8989</v>
      </c>
      <c r="AL1776">
        <v>-1.81</v>
      </c>
      <c r="AM1776">
        <v>2029</v>
      </c>
      <c r="AN1776">
        <v>39</v>
      </c>
      <c r="AO1776">
        <v>1.2999999999999999E-3</v>
      </c>
      <c r="AP1776">
        <v>-1</v>
      </c>
      <c r="AQ1776">
        <v>0.94</v>
      </c>
      <c r="AR1776">
        <v>-4.6900000000000004</v>
      </c>
      <c r="AS1776">
        <v>-21.59</v>
      </c>
      <c r="AT1776">
        <v>1.37</v>
      </c>
      <c r="AU1776">
        <v>-11.42</v>
      </c>
      <c r="AV1776">
        <v>1</v>
      </c>
      <c r="AW1776">
        <v>5.61</v>
      </c>
      <c r="AX1776">
        <v>43.41</v>
      </c>
      <c r="AY1776">
        <v>130.55000000000001</v>
      </c>
      <c r="AZ1776">
        <v>110.1</v>
      </c>
      <c r="BA1776">
        <v>0.91</v>
      </c>
      <c r="BB1776" t="s">
        <v>143</v>
      </c>
      <c r="BF1776">
        <v>-1.94</v>
      </c>
      <c r="BG1776">
        <v>-4.6100000000000003</v>
      </c>
      <c r="BH1776">
        <v>-4.6100000000000003</v>
      </c>
      <c r="BI1776">
        <v>0.1</v>
      </c>
      <c r="BJ1776">
        <v>20210806</v>
      </c>
      <c r="BK1776">
        <v>20150513</v>
      </c>
      <c r="BL1776">
        <v>3.25</v>
      </c>
      <c r="BM1776" t="s">
        <v>120</v>
      </c>
      <c r="BN1776" t="s">
        <v>120</v>
      </c>
      <c r="BO1776">
        <v>10.91</v>
      </c>
      <c r="BP1776">
        <v>10.34</v>
      </c>
      <c r="BQ1776">
        <v>9.26</v>
      </c>
      <c r="BR1776">
        <v>-0.11</v>
      </c>
      <c r="BS1776">
        <v>16.14</v>
      </c>
      <c r="BT1776">
        <v>9.26</v>
      </c>
      <c r="BU1776">
        <v>0.78</v>
      </c>
      <c r="BV1776">
        <v>0.13</v>
      </c>
      <c r="BW1776">
        <v>1.66</v>
      </c>
      <c r="BX1776">
        <v>3.89</v>
      </c>
      <c r="BY1776">
        <v>1.69</v>
      </c>
      <c r="BZ1776">
        <v>2.58</v>
      </c>
      <c r="CA1776" t="s">
        <v>120</v>
      </c>
      <c r="CB1776">
        <v>1.26</v>
      </c>
      <c r="CC1776">
        <v>2.4500000000000002</v>
      </c>
      <c r="CD1776">
        <v>1.63</v>
      </c>
      <c r="CE1776">
        <v>0.23</v>
      </c>
      <c r="CF1776">
        <v>0.04</v>
      </c>
      <c r="CG1776">
        <v>0.24</v>
      </c>
      <c r="CH1776">
        <v>0.21</v>
      </c>
      <c r="CI1776">
        <v>0.25</v>
      </c>
      <c r="CJ1776">
        <v>-0.4</v>
      </c>
      <c r="CK1776">
        <v>0.22</v>
      </c>
      <c r="CL1776">
        <v>4.2300000000000004</v>
      </c>
      <c r="CM1776">
        <v>-0.45</v>
      </c>
      <c r="CN1776">
        <v>0.85</v>
      </c>
      <c r="CO1776">
        <v>20843</v>
      </c>
      <c r="CP1776">
        <v>6773</v>
      </c>
      <c r="CQ1776" t="s">
        <v>8990</v>
      </c>
      <c r="CR1776">
        <v>-16.61</v>
      </c>
      <c r="CS1776">
        <v>27.31</v>
      </c>
      <c r="CT1776">
        <v>3.63</v>
      </c>
      <c r="CU1776">
        <v>-74.75</v>
      </c>
      <c r="CV1776">
        <v>13.74</v>
      </c>
      <c r="CW1776">
        <v>0.14000000000000001</v>
      </c>
      <c r="CX1776" t="s">
        <v>8991</v>
      </c>
      <c r="CY1776">
        <v>2.85</v>
      </c>
      <c r="CZ1776">
        <v>0</v>
      </c>
      <c r="DA1776">
        <v>0.39</v>
      </c>
      <c r="DB1776">
        <v>1.3</v>
      </c>
      <c r="DC1776">
        <v>-0.14000000000000001</v>
      </c>
      <c r="DD1776">
        <v>84.87</v>
      </c>
      <c r="DE1776" t="s">
        <v>1779</v>
      </c>
      <c r="DF1776">
        <v>33.42</v>
      </c>
      <c r="DG1776">
        <v>9.4600000000000009</v>
      </c>
      <c r="DH1776">
        <v>10.19</v>
      </c>
      <c r="DI1776">
        <v>0.26</v>
      </c>
      <c r="DJ1776">
        <v>1004</v>
      </c>
      <c r="DK1776">
        <v>300414</v>
      </c>
      <c r="DL1776" t="s">
        <v>120</v>
      </c>
      <c r="DM1776" t="s">
        <v>120</v>
      </c>
      <c r="DN1776" t="s">
        <v>120</v>
      </c>
    </row>
    <row r="1777" spans="1:118">
      <c r="A1777" t="str">
        <f>"300415"</f>
        <v>300415</v>
      </c>
      <c r="B1777" t="s">
        <v>8992</v>
      </c>
      <c r="C1777">
        <v>-2.2799999999999998</v>
      </c>
      <c r="D1777">
        <v>0</v>
      </c>
      <c r="E1777">
        <v>0</v>
      </c>
      <c r="F1777">
        <v>434</v>
      </c>
      <c r="G1777" t="s">
        <v>6150</v>
      </c>
      <c r="H1777">
        <v>6978.07</v>
      </c>
      <c r="I1777">
        <v>60.97</v>
      </c>
      <c r="J1777" t="s">
        <v>120</v>
      </c>
      <c r="K1777" t="s">
        <v>5422</v>
      </c>
      <c r="L1777">
        <v>0.96</v>
      </c>
      <c r="M1777">
        <v>17.170000000000002</v>
      </c>
      <c r="N1777">
        <v>0.69</v>
      </c>
      <c r="O1777">
        <v>0.28000000000000003</v>
      </c>
      <c r="P1777">
        <v>17.62</v>
      </c>
      <c r="Q1777">
        <v>-2.56</v>
      </c>
      <c r="R1777">
        <v>17.12</v>
      </c>
      <c r="S1777">
        <v>17.57</v>
      </c>
      <c r="T1777">
        <v>40144</v>
      </c>
      <c r="U1777">
        <v>17.18</v>
      </c>
      <c r="V1777">
        <v>17.57</v>
      </c>
      <c r="W1777">
        <v>15.27</v>
      </c>
      <c r="X1777" t="s">
        <v>675</v>
      </c>
      <c r="Y1777" t="s">
        <v>547</v>
      </c>
      <c r="Z1777">
        <v>2.85</v>
      </c>
      <c r="AA1777">
        <v>17.38</v>
      </c>
      <c r="AB1777">
        <v>20589</v>
      </c>
      <c r="AC1777">
        <v>19555</v>
      </c>
      <c r="AD1777">
        <v>1.05</v>
      </c>
      <c r="AE1777">
        <v>43</v>
      </c>
      <c r="AF1777">
        <v>18</v>
      </c>
      <c r="AG1777" t="s">
        <v>120</v>
      </c>
      <c r="AH1777">
        <v>0.01</v>
      </c>
      <c r="AI1777" t="s">
        <v>120</v>
      </c>
      <c r="AJ1777">
        <v>4.17</v>
      </c>
      <c r="AK1777" t="s">
        <v>8993</v>
      </c>
      <c r="AL1777">
        <v>-0.36</v>
      </c>
      <c r="AM1777">
        <v>2641</v>
      </c>
      <c r="AN1777">
        <v>15</v>
      </c>
      <c r="AO1777">
        <v>4.0000000000000002E-4</v>
      </c>
      <c r="AP1777">
        <v>-2</v>
      </c>
      <c r="AQ1777">
        <v>-1.95</v>
      </c>
      <c r="AR1777">
        <v>-3.38</v>
      </c>
      <c r="AS1777">
        <v>-6.22</v>
      </c>
      <c r="AT1777">
        <v>-18.47</v>
      </c>
      <c r="AU1777">
        <v>30.18</v>
      </c>
      <c r="AV1777">
        <v>0</v>
      </c>
      <c r="AW1777">
        <v>1.48</v>
      </c>
      <c r="AX1777">
        <v>57.83</v>
      </c>
      <c r="AY1777">
        <v>17.3</v>
      </c>
      <c r="AZ1777">
        <v>26.26</v>
      </c>
      <c r="BA1777">
        <v>0.86</v>
      </c>
      <c r="BB1777" t="s">
        <v>134</v>
      </c>
      <c r="BF1777">
        <v>-1.07</v>
      </c>
      <c r="BG1777">
        <v>-2.2799999999999998</v>
      </c>
      <c r="BH1777">
        <v>-2.5499999999999998</v>
      </c>
      <c r="BI1777">
        <v>0.28999999999999998</v>
      </c>
      <c r="BJ1777">
        <v>20210902</v>
      </c>
      <c r="BK1777">
        <v>20150123</v>
      </c>
      <c r="BL1777">
        <v>4.7</v>
      </c>
      <c r="BM1777" t="s">
        <v>120</v>
      </c>
      <c r="BN1777" t="s">
        <v>120</v>
      </c>
      <c r="BO1777">
        <v>41.63</v>
      </c>
      <c r="BP1777">
        <v>17.170000000000002</v>
      </c>
      <c r="BQ1777">
        <v>17.52</v>
      </c>
      <c r="BR1777">
        <v>0.46</v>
      </c>
      <c r="BS1777">
        <v>56.82</v>
      </c>
      <c r="BT1777">
        <v>26.13</v>
      </c>
      <c r="BU1777">
        <v>5.58</v>
      </c>
      <c r="BV1777">
        <v>3.75</v>
      </c>
      <c r="BW1777">
        <v>18.78</v>
      </c>
      <c r="BX1777">
        <v>3.47</v>
      </c>
      <c r="BY1777">
        <v>10.6</v>
      </c>
      <c r="BZ1777">
        <v>5.48</v>
      </c>
      <c r="CA1777" t="s">
        <v>120</v>
      </c>
      <c r="CB1777">
        <v>0.56000000000000005</v>
      </c>
      <c r="CC1777">
        <v>16.989999999999998</v>
      </c>
      <c r="CD1777">
        <v>10.76</v>
      </c>
      <c r="CE1777">
        <v>3.15</v>
      </c>
      <c r="CF1777">
        <v>0.14000000000000001</v>
      </c>
      <c r="CG1777">
        <v>3.17</v>
      </c>
      <c r="CH1777">
        <v>2.71</v>
      </c>
      <c r="CI1777">
        <v>2.64</v>
      </c>
      <c r="CJ1777">
        <v>-0.4</v>
      </c>
      <c r="CK1777">
        <v>2.4900000000000002</v>
      </c>
      <c r="CL1777">
        <v>11.94</v>
      </c>
      <c r="CM1777">
        <v>0.65</v>
      </c>
      <c r="CN1777">
        <v>-0.55000000000000004</v>
      </c>
      <c r="CO1777">
        <v>13607</v>
      </c>
      <c r="CP1777">
        <v>19958</v>
      </c>
      <c r="CQ1777" t="s">
        <v>8994</v>
      </c>
      <c r="CR1777">
        <v>160.88999999999999</v>
      </c>
      <c r="CS1777">
        <v>58.78</v>
      </c>
      <c r="CT1777">
        <v>4.2699999999999996</v>
      </c>
      <c r="CU1777">
        <v>124.7</v>
      </c>
      <c r="CV1777">
        <v>4.75</v>
      </c>
      <c r="CW1777">
        <v>1.06</v>
      </c>
      <c r="CX1777" t="s">
        <v>8995</v>
      </c>
      <c r="CY1777">
        <v>4.0199999999999996</v>
      </c>
      <c r="CZ1777">
        <v>4.0199999999999996</v>
      </c>
      <c r="DA1777">
        <v>0.12</v>
      </c>
      <c r="DB1777">
        <v>2.54</v>
      </c>
      <c r="DC1777">
        <v>0.14000000000000001</v>
      </c>
      <c r="DD1777">
        <v>42.09</v>
      </c>
      <c r="DE1777" t="s">
        <v>8996</v>
      </c>
      <c r="DF1777">
        <v>36.69</v>
      </c>
      <c r="DG1777">
        <v>18.54</v>
      </c>
      <c r="DH1777">
        <v>15.54</v>
      </c>
      <c r="DI1777">
        <v>0.67</v>
      </c>
      <c r="DJ1777">
        <v>3014</v>
      </c>
      <c r="DK1777">
        <v>300415</v>
      </c>
      <c r="DL1777" t="s">
        <v>120</v>
      </c>
      <c r="DM1777" t="s">
        <v>120</v>
      </c>
      <c r="DN1777" t="s">
        <v>120</v>
      </c>
    </row>
    <row r="1778" spans="1:118">
      <c r="A1778" t="str">
        <f>"300416"</f>
        <v>300416</v>
      </c>
      <c r="B1778" t="s">
        <v>8997</v>
      </c>
      <c r="C1778">
        <v>-1.46</v>
      </c>
      <c r="D1778">
        <v>-0.03</v>
      </c>
      <c r="E1778">
        <v>-0.31</v>
      </c>
      <c r="F1778">
        <v>483</v>
      </c>
      <c r="G1778" t="s">
        <v>568</v>
      </c>
      <c r="H1778">
        <v>8112.24</v>
      </c>
      <c r="I1778">
        <v>4.96</v>
      </c>
      <c r="J1778" t="s">
        <v>120</v>
      </c>
      <c r="K1778" t="s">
        <v>8998</v>
      </c>
      <c r="L1778">
        <v>1.37</v>
      </c>
      <c r="M1778">
        <v>22.29</v>
      </c>
      <c r="N1778">
        <v>0.8</v>
      </c>
      <c r="O1778">
        <v>1.95</v>
      </c>
      <c r="P1778">
        <v>23.06</v>
      </c>
      <c r="Q1778">
        <v>-1.5</v>
      </c>
      <c r="R1778">
        <v>22.28</v>
      </c>
      <c r="S1778">
        <v>22.55</v>
      </c>
      <c r="T1778">
        <v>35935</v>
      </c>
      <c r="U1778">
        <v>22.3</v>
      </c>
      <c r="V1778">
        <v>22.62</v>
      </c>
      <c r="W1778">
        <v>36.06</v>
      </c>
      <c r="X1778" t="s">
        <v>2717</v>
      </c>
      <c r="Y1778" t="s">
        <v>319</v>
      </c>
      <c r="Z1778">
        <v>3.45</v>
      </c>
      <c r="AA1778">
        <v>22.57</v>
      </c>
      <c r="AB1778">
        <v>19699</v>
      </c>
      <c r="AC1778">
        <v>16236</v>
      </c>
      <c r="AD1778">
        <v>1.21</v>
      </c>
      <c r="AE1778">
        <v>58</v>
      </c>
      <c r="AF1778">
        <v>63</v>
      </c>
      <c r="AG1778" t="s">
        <v>120</v>
      </c>
      <c r="AH1778">
        <v>0</v>
      </c>
      <c r="AI1778" t="s">
        <v>120</v>
      </c>
      <c r="AJ1778">
        <v>2.62</v>
      </c>
      <c r="AK1778" t="s">
        <v>8186</v>
      </c>
      <c r="AL1778">
        <v>0.45</v>
      </c>
      <c r="AM1778">
        <v>2420</v>
      </c>
      <c r="AN1778">
        <v>15</v>
      </c>
      <c r="AO1778">
        <v>5.9999999999999995E-4</v>
      </c>
      <c r="AP1778">
        <v>-4</v>
      </c>
      <c r="AQ1778">
        <v>-1.31</v>
      </c>
      <c r="AR1778">
        <v>-2.79</v>
      </c>
      <c r="AS1778">
        <v>-10.8</v>
      </c>
      <c r="AT1778">
        <v>-0.23</v>
      </c>
      <c r="AU1778">
        <v>24.47</v>
      </c>
      <c r="AV1778">
        <v>0</v>
      </c>
      <c r="AW1778">
        <v>2.3199999999999998</v>
      </c>
      <c r="AX1778">
        <v>58.75</v>
      </c>
      <c r="AY1778">
        <v>38.31</v>
      </c>
      <c r="AZ1778">
        <v>48.34</v>
      </c>
      <c r="BA1778">
        <v>1.1000000000000001</v>
      </c>
      <c r="BB1778" t="s">
        <v>143</v>
      </c>
      <c r="BF1778">
        <v>-0.2</v>
      </c>
      <c r="BG1778">
        <v>-1.1499999999999999</v>
      </c>
      <c r="BH1778">
        <v>-3.34</v>
      </c>
      <c r="BI1778">
        <v>0.04</v>
      </c>
      <c r="BJ1778">
        <v>20210830</v>
      </c>
      <c r="BK1778">
        <v>20150122</v>
      </c>
      <c r="BL1778">
        <v>2.64</v>
      </c>
      <c r="BM1778" t="s">
        <v>120</v>
      </c>
      <c r="BN1778" t="s">
        <v>120</v>
      </c>
      <c r="BO1778">
        <v>29.92</v>
      </c>
      <c r="BP1778">
        <v>22.29</v>
      </c>
      <c r="BQ1778">
        <v>10.16</v>
      </c>
      <c r="BR1778">
        <v>1.23</v>
      </c>
      <c r="BS1778">
        <v>61.94</v>
      </c>
      <c r="BT1778">
        <v>15.86</v>
      </c>
      <c r="BU1778">
        <v>7.43</v>
      </c>
      <c r="BV1778">
        <v>1.31</v>
      </c>
      <c r="BW1778">
        <v>11.98</v>
      </c>
      <c r="BX1778">
        <v>4.5599999999999996</v>
      </c>
      <c r="BY1778">
        <v>3.36</v>
      </c>
      <c r="BZ1778">
        <v>5.48</v>
      </c>
      <c r="CA1778" t="s">
        <v>120</v>
      </c>
      <c r="CB1778">
        <v>1.91</v>
      </c>
      <c r="CC1778">
        <v>6.75</v>
      </c>
      <c r="CD1778">
        <v>3.74</v>
      </c>
      <c r="CE1778">
        <v>1.1100000000000001</v>
      </c>
      <c r="CF1778">
        <v>0</v>
      </c>
      <c r="CG1778">
        <v>1.1100000000000001</v>
      </c>
      <c r="CH1778">
        <v>0.95</v>
      </c>
      <c r="CI1778">
        <v>0.82</v>
      </c>
      <c r="CJ1778">
        <v>-0.33</v>
      </c>
      <c r="CK1778">
        <v>0.74</v>
      </c>
      <c r="CL1778">
        <v>5.22</v>
      </c>
      <c r="CM1778">
        <v>0.71</v>
      </c>
      <c r="CN1778">
        <v>0.3</v>
      </c>
      <c r="CO1778">
        <v>10601</v>
      </c>
      <c r="CP1778">
        <v>14616</v>
      </c>
      <c r="CQ1778" t="s">
        <v>8999</v>
      </c>
      <c r="CR1778">
        <v>65.73</v>
      </c>
      <c r="CS1778">
        <v>33.76</v>
      </c>
      <c r="CT1778">
        <v>6.13</v>
      </c>
      <c r="CU1778">
        <v>82.27</v>
      </c>
      <c r="CV1778">
        <v>8.7100000000000009</v>
      </c>
      <c r="CW1778">
        <v>0.51</v>
      </c>
      <c r="CX1778" t="s">
        <v>9000</v>
      </c>
      <c r="CY1778">
        <v>3.64</v>
      </c>
      <c r="CZ1778">
        <v>3.64</v>
      </c>
      <c r="DA1778">
        <v>0.73</v>
      </c>
      <c r="DB1778">
        <v>1.98</v>
      </c>
      <c r="DC1778">
        <v>0.27</v>
      </c>
      <c r="DD1778">
        <v>33.96</v>
      </c>
      <c r="DE1778" t="s">
        <v>9001</v>
      </c>
      <c r="DF1778">
        <v>44.54</v>
      </c>
      <c r="DG1778">
        <v>16.38</v>
      </c>
      <c r="DH1778">
        <v>12.08</v>
      </c>
      <c r="DI1778">
        <v>0.44</v>
      </c>
      <c r="DJ1778">
        <v>1697</v>
      </c>
      <c r="DK1778">
        <v>300416</v>
      </c>
      <c r="DL1778">
        <v>20210901</v>
      </c>
      <c r="DM1778">
        <v>26.66</v>
      </c>
      <c r="DN1778">
        <v>-16.39</v>
      </c>
    </row>
    <row r="1779" spans="1:118">
      <c r="A1779" t="str">
        <f>"300417"</f>
        <v>300417</v>
      </c>
      <c r="B1779" t="s">
        <v>9002</v>
      </c>
      <c r="C1779">
        <v>0.21</v>
      </c>
      <c r="D1779">
        <v>-0.06</v>
      </c>
      <c r="E1779">
        <v>-0.62</v>
      </c>
      <c r="F1779">
        <v>754</v>
      </c>
      <c r="G1779" t="s">
        <v>9003</v>
      </c>
      <c r="H1779">
        <v>6072.57</v>
      </c>
      <c r="I1779">
        <v>8.0399999999999991</v>
      </c>
      <c r="J1779" t="s">
        <v>120</v>
      </c>
      <c r="K1779" t="s">
        <v>9004</v>
      </c>
      <c r="L1779">
        <v>5.09</v>
      </c>
      <c r="M1779">
        <v>14.48</v>
      </c>
      <c r="N1779">
        <v>0.64</v>
      </c>
      <c r="O1779">
        <v>2.08</v>
      </c>
      <c r="P1779">
        <v>14.75</v>
      </c>
      <c r="Q1779">
        <v>-1.38</v>
      </c>
      <c r="R1779">
        <v>14.25</v>
      </c>
      <c r="S1779">
        <v>14.36</v>
      </c>
      <c r="T1779">
        <v>41921</v>
      </c>
      <c r="U1779">
        <v>14.48</v>
      </c>
      <c r="V1779">
        <v>14.45</v>
      </c>
      <c r="W1779">
        <v>58.7</v>
      </c>
      <c r="X1779" t="s">
        <v>2717</v>
      </c>
      <c r="Y1779" t="s">
        <v>547</v>
      </c>
      <c r="Z1779">
        <v>3.46</v>
      </c>
      <c r="AA1779">
        <v>14.49</v>
      </c>
      <c r="AB1779">
        <v>22625</v>
      </c>
      <c r="AC1779">
        <v>19296</v>
      </c>
      <c r="AD1779">
        <v>1.17</v>
      </c>
      <c r="AE1779">
        <v>54</v>
      </c>
      <c r="AF1779">
        <v>15</v>
      </c>
      <c r="AG1779" t="s">
        <v>120</v>
      </c>
      <c r="AH1779">
        <v>0.01</v>
      </c>
      <c r="AI1779" t="s">
        <v>120</v>
      </c>
      <c r="AJ1779">
        <v>0.82</v>
      </c>
      <c r="AK1779" t="s">
        <v>4247</v>
      </c>
      <c r="AL1779">
        <v>2.12</v>
      </c>
      <c r="AM1779">
        <v>1895</v>
      </c>
      <c r="AN1779">
        <v>22</v>
      </c>
      <c r="AO1779">
        <v>2.7000000000000001E-3</v>
      </c>
      <c r="AP1779">
        <v>2</v>
      </c>
      <c r="AQ1779">
        <v>1.76</v>
      </c>
      <c r="AR1779">
        <v>-2.5</v>
      </c>
      <c r="AS1779">
        <v>6.08</v>
      </c>
      <c r="AT1779">
        <v>0.42</v>
      </c>
      <c r="AU1779">
        <v>10.119999999999999</v>
      </c>
      <c r="AV1779">
        <v>2</v>
      </c>
      <c r="AW1779">
        <v>6.07</v>
      </c>
      <c r="AX1779">
        <v>50.44</v>
      </c>
      <c r="AY1779">
        <v>39.4</v>
      </c>
      <c r="AZ1779">
        <v>29.83</v>
      </c>
      <c r="BA1779">
        <v>0.47</v>
      </c>
      <c r="BB1779" t="s">
        <v>143</v>
      </c>
      <c r="BF1779">
        <v>0.25</v>
      </c>
      <c r="BG1779">
        <v>0.84</v>
      </c>
      <c r="BH1779">
        <v>-1.83</v>
      </c>
      <c r="BI1779">
        <v>1.61</v>
      </c>
      <c r="BJ1779">
        <v>20210830</v>
      </c>
      <c r="BK1779">
        <v>20150123</v>
      </c>
      <c r="BL1779">
        <v>1.37</v>
      </c>
      <c r="BM1779" t="s">
        <v>120</v>
      </c>
      <c r="BN1779" t="s">
        <v>120</v>
      </c>
      <c r="BO1779">
        <v>5.53</v>
      </c>
      <c r="BP1779">
        <v>14.47</v>
      </c>
      <c r="BQ1779">
        <v>5.03</v>
      </c>
      <c r="BR1779" t="s">
        <v>120</v>
      </c>
      <c r="BS1779">
        <v>9.09</v>
      </c>
      <c r="BT1779">
        <v>3.77</v>
      </c>
      <c r="BU1779">
        <v>1.44</v>
      </c>
      <c r="BV1779">
        <v>0.12</v>
      </c>
      <c r="BW1779">
        <v>0.39</v>
      </c>
      <c r="BX1779">
        <v>1.74</v>
      </c>
      <c r="BY1779">
        <v>1.33</v>
      </c>
      <c r="BZ1779">
        <v>0.64</v>
      </c>
      <c r="CA1779" t="s">
        <v>120</v>
      </c>
      <c r="CB1779">
        <v>0.65</v>
      </c>
      <c r="CC1779">
        <v>1.1100000000000001</v>
      </c>
      <c r="CD1779">
        <v>0.62</v>
      </c>
      <c r="CE1779">
        <v>0.17</v>
      </c>
      <c r="CF1779">
        <v>0.01</v>
      </c>
      <c r="CG1779">
        <v>0.17</v>
      </c>
      <c r="CH1779">
        <v>0.17</v>
      </c>
      <c r="CI1779">
        <v>0.17</v>
      </c>
      <c r="CJ1779">
        <v>0.03</v>
      </c>
      <c r="CK1779">
        <v>0.13</v>
      </c>
      <c r="CL1779">
        <v>3.03</v>
      </c>
      <c r="CM1779">
        <v>-0.25</v>
      </c>
      <c r="CN1779">
        <v>-0.59</v>
      </c>
      <c r="CO1779">
        <v>15601</v>
      </c>
      <c r="CP1779">
        <v>4430</v>
      </c>
      <c r="CQ1779" t="s">
        <v>6571</v>
      </c>
      <c r="CR1779">
        <v>-48.81</v>
      </c>
      <c r="CS1779">
        <v>-15.34</v>
      </c>
      <c r="CT1779">
        <v>3.95</v>
      </c>
      <c r="CU1779">
        <v>-79.709999999999994</v>
      </c>
      <c r="CV1779">
        <v>17.88</v>
      </c>
      <c r="CW1779">
        <v>1.7</v>
      </c>
      <c r="CX1779" t="s">
        <v>4972</v>
      </c>
      <c r="CY1779">
        <v>3.67</v>
      </c>
      <c r="CZ1779">
        <v>0</v>
      </c>
      <c r="DA1779">
        <v>0.47</v>
      </c>
      <c r="DB1779">
        <v>2.21</v>
      </c>
      <c r="DC1779">
        <v>-0.18</v>
      </c>
      <c r="DD1779">
        <v>90.91</v>
      </c>
      <c r="DE1779" t="s">
        <v>9005</v>
      </c>
      <c r="DF1779">
        <v>44.13</v>
      </c>
      <c r="DG1779">
        <v>14.98</v>
      </c>
      <c r="DH1779">
        <v>15.24</v>
      </c>
      <c r="DI1779">
        <v>0.1</v>
      </c>
      <c r="DJ1779">
        <v>549</v>
      </c>
      <c r="DK1779">
        <v>300417</v>
      </c>
      <c r="DL1779" t="s">
        <v>120</v>
      </c>
      <c r="DM1779" t="s">
        <v>120</v>
      </c>
      <c r="DN1779" t="s">
        <v>120</v>
      </c>
    </row>
    <row r="1780" spans="1:118">
      <c r="A1780" t="str">
        <f>"300418"</f>
        <v>300418</v>
      </c>
      <c r="B1780" t="s">
        <v>9006</v>
      </c>
      <c r="C1780">
        <v>-1.73</v>
      </c>
      <c r="D1780">
        <v>-0.04</v>
      </c>
      <c r="E1780">
        <v>0.21</v>
      </c>
      <c r="F1780">
        <v>5777</v>
      </c>
      <c r="G1780" t="s">
        <v>9007</v>
      </c>
      <c r="H1780">
        <v>54298.14</v>
      </c>
      <c r="I1780">
        <v>124.73</v>
      </c>
      <c r="J1780" t="s">
        <v>120</v>
      </c>
      <c r="K1780" t="s">
        <v>9008</v>
      </c>
      <c r="L1780">
        <v>2.82</v>
      </c>
      <c r="M1780">
        <v>18.79</v>
      </c>
      <c r="N1780">
        <v>0.56999999999999995</v>
      </c>
      <c r="O1780">
        <v>2.72</v>
      </c>
      <c r="P1780">
        <v>19.64</v>
      </c>
      <c r="Q1780">
        <v>-1.73</v>
      </c>
      <c r="R1780">
        <v>18.79</v>
      </c>
      <c r="S1780">
        <v>19.16</v>
      </c>
      <c r="T1780">
        <v>283340</v>
      </c>
      <c r="U1780">
        <v>18.8</v>
      </c>
      <c r="V1780">
        <v>19.12</v>
      </c>
      <c r="W1780">
        <v>11.07</v>
      </c>
      <c r="X1780" t="s">
        <v>1531</v>
      </c>
      <c r="Y1780" t="s">
        <v>158</v>
      </c>
      <c r="Z1780">
        <v>4.45</v>
      </c>
      <c r="AA1780">
        <v>19.16</v>
      </c>
      <c r="AB1780">
        <v>163151</v>
      </c>
      <c r="AC1780">
        <v>120189</v>
      </c>
      <c r="AD1780">
        <v>1.36</v>
      </c>
      <c r="AE1780">
        <v>1824</v>
      </c>
      <c r="AF1780">
        <v>331</v>
      </c>
      <c r="AG1780" t="s">
        <v>120</v>
      </c>
      <c r="AH1780">
        <v>0.01</v>
      </c>
      <c r="AI1780" t="s">
        <v>120</v>
      </c>
      <c r="AJ1780">
        <v>10.07</v>
      </c>
      <c r="AK1780" t="s">
        <v>9009</v>
      </c>
      <c r="AL1780">
        <v>0.19</v>
      </c>
      <c r="AM1780">
        <v>4160</v>
      </c>
      <c r="AN1780">
        <v>68</v>
      </c>
      <c r="AO1780">
        <v>6.9999999999999999E-4</v>
      </c>
      <c r="AP1780">
        <v>-1</v>
      </c>
      <c r="AQ1780">
        <v>0.21</v>
      </c>
      <c r="AR1780">
        <v>-5.71</v>
      </c>
      <c r="AS1780">
        <v>15.34</v>
      </c>
      <c r="AT1780">
        <v>11.33</v>
      </c>
      <c r="AU1780">
        <v>-4.99</v>
      </c>
      <c r="AV1780">
        <v>0</v>
      </c>
      <c r="AW1780">
        <v>4.1399999999999997</v>
      </c>
      <c r="AX1780">
        <v>58.12</v>
      </c>
      <c r="AY1780">
        <v>9.58</v>
      </c>
      <c r="AZ1780">
        <v>4.51</v>
      </c>
      <c r="BA1780">
        <v>0.14000000000000001</v>
      </c>
      <c r="BB1780" t="s">
        <v>184</v>
      </c>
      <c r="BF1780">
        <v>0.23</v>
      </c>
      <c r="BG1780">
        <v>-1.93</v>
      </c>
      <c r="BH1780">
        <v>-4.33</v>
      </c>
      <c r="BI1780">
        <v>0</v>
      </c>
      <c r="BJ1780">
        <v>20210827</v>
      </c>
      <c r="BK1780">
        <v>20150121</v>
      </c>
      <c r="BL1780">
        <v>11.78</v>
      </c>
      <c r="BM1780" t="s">
        <v>120</v>
      </c>
      <c r="BN1780" t="s">
        <v>120</v>
      </c>
      <c r="BO1780">
        <v>178.98</v>
      </c>
      <c r="BP1780">
        <v>18.79</v>
      </c>
      <c r="BQ1780">
        <v>93.04</v>
      </c>
      <c r="BR1780">
        <v>32.369999999999997</v>
      </c>
      <c r="BS1780">
        <v>29.93</v>
      </c>
      <c r="BT1780">
        <v>52.08</v>
      </c>
      <c r="BU1780">
        <v>0.66</v>
      </c>
      <c r="BV1780">
        <v>7.29</v>
      </c>
      <c r="BW1780">
        <v>52.4</v>
      </c>
      <c r="BX1780">
        <v>29.94</v>
      </c>
      <c r="BY1780">
        <v>0</v>
      </c>
      <c r="BZ1780">
        <v>7.27</v>
      </c>
      <c r="CA1780" t="s">
        <v>120</v>
      </c>
      <c r="CB1780">
        <v>5.18</v>
      </c>
      <c r="CC1780">
        <v>23.01</v>
      </c>
      <c r="CD1780">
        <v>7.88</v>
      </c>
      <c r="CE1780">
        <v>12.49</v>
      </c>
      <c r="CF1780">
        <v>4.13</v>
      </c>
      <c r="CG1780">
        <v>12.49</v>
      </c>
      <c r="CH1780">
        <v>11.62</v>
      </c>
      <c r="CI1780">
        <v>9.99</v>
      </c>
      <c r="CJ1780">
        <v>-0.33</v>
      </c>
      <c r="CK1780">
        <v>7.67</v>
      </c>
      <c r="CL1780">
        <v>88.58</v>
      </c>
      <c r="CM1780">
        <v>3.09</v>
      </c>
      <c r="CN1780">
        <v>-4.83</v>
      </c>
      <c r="CO1780">
        <v>105285</v>
      </c>
      <c r="CP1780">
        <v>6502</v>
      </c>
      <c r="CQ1780" t="s">
        <v>9010</v>
      </c>
      <c r="CR1780">
        <v>-72.569999999999993</v>
      </c>
      <c r="CS1780">
        <v>-9.07</v>
      </c>
      <c r="CT1780">
        <v>2.38</v>
      </c>
      <c r="CU1780">
        <v>71.55</v>
      </c>
      <c r="CV1780">
        <v>9.6199999999999992</v>
      </c>
      <c r="CW1780">
        <v>0.89</v>
      </c>
      <c r="CX1780" t="s">
        <v>3253</v>
      </c>
      <c r="CY1780">
        <v>7.9</v>
      </c>
      <c r="CZ1780">
        <v>7.9</v>
      </c>
      <c r="DA1780">
        <v>0.44</v>
      </c>
      <c r="DB1780">
        <v>7.52</v>
      </c>
      <c r="DC1780">
        <v>0.26</v>
      </c>
      <c r="DD1780">
        <v>51.99</v>
      </c>
      <c r="DE1780" t="s">
        <v>9011</v>
      </c>
      <c r="DF1780">
        <v>65.78</v>
      </c>
      <c r="DG1780">
        <v>54.27</v>
      </c>
      <c r="DH1780">
        <v>43.42</v>
      </c>
      <c r="DI1780">
        <v>2.75</v>
      </c>
      <c r="DJ1780">
        <v>753</v>
      </c>
      <c r="DK1780">
        <v>300418</v>
      </c>
      <c r="DL1780" t="s">
        <v>120</v>
      </c>
      <c r="DM1780" t="s">
        <v>120</v>
      </c>
      <c r="DN1780" t="s">
        <v>120</v>
      </c>
    </row>
    <row r="1781" spans="1:118">
      <c r="A1781" t="str">
        <f>"300419"</f>
        <v>300419</v>
      </c>
      <c r="B1781" t="s">
        <v>9012</v>
      </c>
      <c r="C1781">
        <v>-3.73</v>
      </c>
      <c r="D1781">
        <v>-0.95</v>
      </c>
      <c r="E1781">
        <v>0.53</v>
      </c>
      <c r="F1781">
        <v>3685</v>
      </c>
      <c r="G1781" t="s">
        <v>1859</v>
      </c>
      <c r="H1781">
        <v>8525.51</v>
      </c>
      <c r="I1781">
        <v>14.02</v>
      </c>
      <c r="J1781" t="s">
        <v>120</v>
      </c>
      <c r="K1781" t="s">
        <v>5484</v>
      </c>
      <c r="L1781">
        <v>3.13</v>
      </c>
      <c r="M1781">
        <v>7.22</v>
      </c>
      <c r="N1781">
        <v>0.93</v>
      </c>
      <c r="O1781">
        <v>0.67</v>
      </c>
      <c r="P1781">
        <v>7.55</v>
      </c>
      <c r="Q1781">
        <v>-3.73</v>
      </c>
      <c r="R1781">
        <v>7.22</v>
      </c>
      <c r="S1781">
        <v>7.54</v>
      </c>
      <c r="T1781">
        <v>114975</v>
      </c>
      <c r="U1781">
        <v>7.23</v>
      </c>
      <c r="V1781">
        <v>7.5</v>
      </c>
      <c r="W1781">
        <v>793.97</v>
      </c>
      <c r="X1781" t="s">
        <v>141</v>
      </c>
      <c r="Y1781" t="s">
        <v>158</v>
      </c>
      <c r="Z1781">
        <v>4.4000000000000004</v>
      </c>
      <c r="AA1781">
        <v>7.42</v>
      </c>
      <c r="AB1781">
        <v>76756</v>
      </c>
      <c r="AC1781">
        <v>38219</v>
      </c>
      <c r="AD1781">
        <v>2.0099999999999998</v>
      </c>
      <c r="AE1781">
        <v>547</v>
      </c>
      <c r="AF1781">
        <v>52</v>
      </c>
      <c r="AG1781" t="s">
        <v>120</v>
      </c>
      <c r="AH1781">
        <v>0.01</v>
      </c>
      <c r="AI1781" t="s">
        <v>120</v>
      </c>
      <c r="AJ1781">
        <v>3.68</v>
      </c>
      <c r="AK1781" t="s">
        <v>5484</v>
      </c>
      <c r="AL1781">
        <v>-1.82</v>
      </c>
      <c r="AM1781">
        <v>1958</v>
      </c>
      <c r="AN1781">
        <v>59</v>
      </c>
      <c r="AO1781">
        <v>1.6000000000000001E-3</v>
      </c>
      <c r="AP1781">
        <v>-1</v>
      </c>
      <c r="AQ1781">
        <v>1.49</v>
      </c>
      <c r="AR1781">
        <v>-1.1000000000000001</v>
      </c>
      <c r="AS1781">
        <v>-12.91</v>
      </c>
      <c r="AT1781">
        <v>5.25</v>
      </c>
      <c r="AU1781">
        <v>-2.57</v>
      </c>
      <c r="AV1781">
        <v>3</v>
      </c>
      <c r="AW1781">
        <v>3.92</v>
      </c>
      <c r="AX1781">
        <v>79.680000000000007</v>
      </c>
      <c r="AY1781">
        <v>213.71</v>
      </c>
      <c r="AZ1781">
        <v>123.78</v>
      </c>
      <c r="BA1781">
        <v>0.94</v>
      </c>
      <c r="BB1781" t="s">
        <v>168</v>
      </c>
      <c r="BF1781">
        <v>-1.1299999999999999</v>
      </c>
      <c r="BG1781">
        <v>-4.24</v>
      </c>
      <c r="BH1781">
        <v>-4.37</v>
      </c>
      <c r="BI1781">
        <v>0</v>
      </c>
      <c r="BJ1781">
        <v>20210827</v>
      </c>
      <c r="BK1781">
        <v>20150122</v>
      </c>
      <c r="BL1781">
        <v>3.68</v>
      </c>
      <c r="BM1781" t="s">
        <v>120</v>
      </c>
      <c r="BN1781" t="s">
        <v>120</v>
      </c>
      <c r="BO1781">
        <v>12.83</v>
      </c>
      <c r="BP1781">
        <v>7.22</v>
      </c>
      <c r="BQ1781">
        <v>8.35</v>
      </c>
      <c r="BR1781" t="s">
        <v>120</v>
      </c>
      <c r="BS1781">
        <v>34.909999999999997</v>
      </c>
      <c r="BT1781">
        <v>10.94</v>
      </c>
      <c r="BU1781">
        <v>1.1599999999999999</v>
      </c>
      <c r="BV1781">
        <v>0.11</v>
      </c>
      <c r="BW1781">
        <v>4.4800000000000004</v>
      </c>
      <c r="BX1781">
        <v>0.86</v>
      </c>
      <c r="BY1781">
        <v>4.75</v>
      </c>
      <c r="BZ1781">
        <v>0.64</v>
      </c>
      <c r="CA1781" t="s">
        <v>120</v>
      </c>
      <c r="CB1781">
        <v>8.01</v>
      </c>
      <c r="CC1781">
        <v>3.19</v>
      </c>
      <c r="CD1781">
        <v>2.73</v>
      </c>
      <c r="CE1781">
        <v>0.02</v>
      </c>
      <c r="CF1781">
        <v>0.06</v>
      </c>
      <c r="CG1781">
        <v>0.02</v>
      </c>
      <c r="CH1781">
        <v>0.02</v>
      </c>
      <c r="CI1781">
        <v>0.02</v>
      </c>
      <c r="CJ1781">
        <v>-0.28000000000000003</v>
      </c>
      <c r="CK1781">
        <v>-0.04</v>
      </c>
      <c r="CL1781">
        <v>-3.57</v>
      </c>
      <c r="CM1781">
        <v>-1.53</v>
      </c>
      <c r="CN1781">
        <v>-1.07</v>
      </c>
      <c r="CO1781">
        <v>41851</v>
      </c>
      <c r="CP1781">
        <v>7002</v>
      </c>
      <c r="CQ1781" t="s">
        <v>808</v>
      </c>
      <c r="CR1781">
        <v>-84.87</v>
      </c>
      <c r="CS1781">
        <v>44.34</v>
      </c>
      <c r="CT1781">
        <v>3.18</v>
      </c>
      <c r="CU1781">
        <v>-17.36</v>
      </c>
      <c r="CV1781">
        <v>8.33</v>
      </c>
      <c r="CW1781">
        <v>0</v>
      </c>
      <c r="CX1781" t="s">
        <v>4638</v>
      </c>
      <c r="CY1781">
        <v>2.27</v>
      </c>
      <c r="CZ1781">
        <v>0</v>
      </c>
      <c r="DA1781">
        <v>2.1800000000000002</v>
      </c>
      <c r="DB1781">
        <v>-0.97</v>
      </c>
      <c r="DC1781">
        <v>-0.42</v>
      </c>
      <c r="DD1781">
        <v>65.09</v>
      </c>
      <c r="DE1781" t="s">
        <v>7749</v>
      </c>
      <c r="DF1781">
        <v>14.31</v>
      </c>
      <c r="DG1781">
        <v>0.73</v>
      </c>
      <c r="DH1781">
        <v>0.52</v>
      </c>
      <c r="DI1781">
        <v>0.16</v>
      </c>
      <c r="DJ1781">
        <v>331</v>
      </c>
      <c r="DK1781">
        <v>300419</v>
      </c>
      <c r="DL1781">
        <v>20210820</v>
      </c>
      <c r="DM1781">
        <v>8.2899999999999991</v>
      </c>
      <c r="DN1781">
        <v>-12.91</v>
      </c>
    </row>
    <row r="1782" spans="1:118">
      <c r="A1782" t="str">
        <f>"300420"</f>
        <v>300420</v>
      </c>
      <c r="B1782" t="s">
        <v>9013</v>
      </c>
      <c r="C1782">
        <v>-4</v>
      </c>
      <c r="D1782">
        <v>0</v>
      </c>
      <c r="E1782">
        <v>0.71</v>
      </c>
      <c r="F1782">
        <v>5735</v>
      </c>
      <c r="G1782" t="s">
        <v>4394</v>
      </c>
      <c r="H1782">
        <v>17014.48</v>
      </c>
      <c r="I1782">
        <v>107.3</v>
      </c>
      <c r="J1782" t="s">
        <v>120</v>
      </c>
      <c r="K1782" t="s">
        <v>3097</v>
      </c>
      <c r="L1782">
        <v>3.94</v>
      </c>
      <c r="M1782">
        <v>4.08</v>
      </c>
      <c r="N1782">
        <v>0.57999999999999996</v>
      </c>
      <c r="O1782">
        <v>0.71</v>
      </c>
      <c r="P1782">
        <v>4.28</v>
      </c>
      <c r="Q1782">
        <v>-4</v>
      </c>
      <c r="R1782">
        <v>4.08</v>
      </c>
      <c r="S1782">
        <v>4.28</v>
      </c>
      <c r="T1782">
        <v>408736</v>
      </c>
      <c r="U1782">
        <v>4.09</v>
      </c>
      <c r="V1782">
        <v>4.25</v>
      </c>
      <c r="W1782">
        <v>33.79</v>
      </c>
      <c r="X1782" t="s">
        <v>959</v>
      </c>
      <c r="Y1782" t="s">
        <v>319</v>
      </c>
      <c r="Z1782">
        <v>4.71</v>
      </c>
      <c r="AA1782">
        <v>4.16</v>
      </c>
      <c r="AB1782">
        <v>268496</v>
      </c>
      <c r="AC1782">
        <v>140240</v>
      </c>
      <c r="AD1782">
        <v>1.91</v>
      </c>
      <c r="AE1782">
        <v>4653</v>
      </c>
      <c r="AF1782">
        <v>2626</v>
      </c>
      <c r="AG1782" t="s">
        <v>120</v>
      </c>
      <c r="AH1782">
        <v>0.03</v>
      </c>
      <c r="AI1782" t="s">
        <v>120</v>
      </c>
      <c r="AJ1782">
        <v>10.37</v>
      </c>
      <c r="AK1782" t="s">
        <v>9014</v>
      </c>
      <c r="AL1782">
        <v>-2.09</v>
      </c>
      <c r="AM1782">
        <v>2656</v>
      </c>
      <c r="AN1782">
        <v>154</v>
      </c>
      <c r="AO1782">
        <v>1.5E-3</v>
      </c>
      <c r="AP1782">
        <v>-1</v>
      </c>
      <c r="AQ1782">
        <v>0.95</v>
      </c>
      <c r="AR1782">
        <v>-8.52</v>
      </c>
      <c r="AS1782">
        <v>5.43</v>
      </c>
      <c r="AT1782">
        <v>0.74</v>
      </c>
      <c r="AU1782">
        <v>-8.7100000000000009</v>
      </c>
      <c r="AV1782">
        <v>0</v>
      </c>
      <c r="AW1782">
        <v>5.1100000000000003</v>
      </c>
      <c r="AX1782">
        <v>71.62</v>
      </c>
      <c r="AY1782">
        <v>38.08</v>
      </c>
      <c r="AZ1782">
        <v>31.97</v>
      </c>
      <c r="BA1782">
        <v>0.82</v>
      </c>
      <c r="BB1782" t="s">
        <v>143</v>
      </c>
      <c r="BF1782">
        <v>-2.0499999999999998</v>
      </c>
      <c r="BG1782">
        <v>-4.67</v>
      </c>
      <c r="BH1782">
        <v>-4.67</v>
      </c>
      <c r="BI1782">
        <v>0</v>
      </c>
      <c r="BJ1782">
        <v>20210830</v>
      </c>
      <c r="BK1782">
        <v>20150217</v>
      </c>
      <c r="BL1782">
        <v>11.16</v>
      </c>
      <c r="BM1782" t="s">
        <v>120</v>
      </c>
      <c r="BN1782" t="s">
        <v>120</v>
      </c>
      <c r="BO1782">
        <v>41.3</v>
      </c>
      <c r="BP1782">
        <v>4.08</v>
      </c>
      <c r="BQ1782">
        <v>26.19</v>
      </c>
      <c r="BR1782">
        <v>1.3</v>
      </c>
      <c r="BS1782">
        <v>33.44</v>
      </c>
      <c r="BT1782">
        <v>28.95</v>
      </c>
      <c r="BU1782">
        <v>3.04</v>
      </c>
      <c r="BV1782">
        <v>1.88</v>
      </c>
      <c r="BW1782">
        <v>13.36</v>
      </c>
      <c r="BX1782">
        <v>5.77</v>
      </c>
      <c r="BY1782">
        <v>7.69</v>
      </c>
      <c r="BZ1782">
        <v>9.8699999999999992</v>
      </c>
      <c r="CA1782">
        <v>0.1</v>
      </c>
      <c r="CB1782">
        <v>8.2200000000000006</v>
      </c>
      <c r="CC1782">
        <v>7.06</v>
      </c>
      <c r="CD1782">
        <v>5.12</v>
      </c>
      <c r="CE1782">
        <v>0.76</v>
      </c>
      <c r="CF1782">
        <v>0</v>
      </c>
      <c r="CG1782">
        <v>0.76</v>
      </c>
      <c r="CH1782">
        <v>0.67</v>
      </c>
      <c r="CI1782">
        <v>0.67</v>
      </c>
      <c r="CJ1782">
        <v>-0.17</v>
      </c>
      <c r="CK1782">
        <v>0.47</v>
      </c>
      <c r="CL1782">
        <v>6.59</v>
      </c>
      <c r="CM1782">
        <v>-1.7</v>
      </c>
      <c r="CN1782">
        <v>-0.32</v>
      </c>
      <c r="CO1782">
        <v>44982</v>
      </c>
      <c r="CP1782">
        <v>17775</v>
      </c>
      <c r="CQ1782" t="s">
        <v>4521</v>
      </c>
      <c r="CR1782">
        <v>-26.11</v>
      </c>
      <c r="CS1782">
        <v>8.51</v>
      </c>
      <c r="CT1782">
        <v>1.74</v>
      </c>
      <c r="CU1782">
        <v>-26.82</v>
      </c>
      <c r="CV1782">
        <v>6.45</v>
      </c>
      <c r="CW1782">
        <v>0.54</v>
      </c>
      <c r="CX1782" t="s">
        <v>1064</v>
      </c>
      <c r="CY1782">
        <v>2.35</v>
      </c>
      <c r="CZ1782">
        <v>0</v>
      </c>
      <c r="DA1782">
        <v>0.74</v>
      </c>
      <c r="DB1782">
        <v>0.59</v>
      </c>
      <c r="DC1782">
        <v>-0.15</v>
      </c>
      <c r="DD1782">
        <v>63.41</v>
      </c>
      <c r="DE1782" t="s">
        <v>703</v>
      </c>
      <c r="DF1782">
        <v>27.52</v>
      </c>
      <c r="DG1782">
        <v>10.79</v>
      </c>
      <c r="DH1782">
        <v>9.5500000000000007</v>
      </c>
      <c r="DI1782">
        <v>0.44</v>
      </c>
      <c r="DJ1782">
        <v>1691</v>
      </c>
      <c r="DK1782">
        <v>300420</v>
      </c>
      <c r="DL1782" t="s">
        <v>120</v>
      </c>
      <c r="DM1782" t="s">
        <v>120</v>
      </c>
      <c r="DN1782" t="s">
        <v>120</v>
      </c>
    </row>
    <row r="1783" spans="1:118">
      <c r="A1783" t="str">
        <f>"300421"</f>
        <v>300421</v>
      </c>
      <c r="B1783" t="s">
        <v>9015</v>
      </c>
      <c r="C1783">
        <v>-5.04</v>
      </c>
      <c r="D1783">
        <v>0</v>
      </c>
      <c r="E1783">
        <v>0</v>
      </c>
      <c r="F1783">
        <v>616</v>
      </c>
      <c r="G1783" t="s">
        <v>4979</v>
      </c>
      <c r="H1783">
        <v>16191.82</v>
      </c>
      <c r="I1783">
        <v>75.209999999999994</v>
      </c>
      <c r="J1783" t="s">
        <v>120</v>
      </c>
      <c r="K1783" t="s">
        <v>9016</v>
      </c>
      <c r="L1783">
        <v>3.76</v>
      </c>
      <c r="M1783">
        <v>22.6</v>
      </c>
      <c r="N1783">
        <v>0.91</v>
      </c>
      <c r="O1783">
        <v>0.71</v>
      </c>
      <c r="P1783">
        <v>23.97</v>
      </c>
      <c r="Q1783">
        <v>-5.34</v>
      </c>
      <c r="R1783">
        <v>22.53</v>
      </c>
      <c r="S1783">
        <v>23.8</v>
      </c>
      <c r="T1783">
        <v>69853</v>
      </c>
      <c r="U1783">
        <v>22.6</v>
      </c>
      <c r="V1783">
        <v>23.8</v>
      </c>
      <c r="W1783">
        <v>44.74</v>
      </c>
      <c r="X1783" t="s">
        <v>959</v>
      </c>
      <c r="Y1783" t="s">
        <v>319</v>
      </c>
      <c r="Z1783">
        <v>6.05</v>
      </c>
      <c r="AA1783">
        <v>23.18</v>
      </c>
      <c r="AB1783">
        <v>41148</v>
      </c>
      <c r="AC1783">
        <v>28705</v>
      </c>
      <c r="AD1783">
        <v>1.43</v>
      </c>
      <c r="AE1783">
        <v>6</v>
      </c>
      <c r="AF1783">
        <v>73</v>
      </c>
      <c r="AG1783" t="s">
        <v>120</v>
      </c>
      <c r="AH1783">
        <v>0.02</v>
      </c>
      <c r="AI1783" t="s">
        <v>120</v>
      </c>
      <c r="AJ1783">
        <v>1.86</v>
      </c>
      <c r="AK1783" t="s">
        <v>5543</v>
      </c>
      <c r="AL1783">
        <v>-3.13</v>
      </c>
      <c r="AM1783">
        <v>2962</v>
      </c>
      <c r="AN1783">
        <v>24</v>
      </c>
      <c r="AO1783">
        <v>1.2999999999999999E-3</v>
      </c>
      <c r="AP1783">
        <v>-1</v>
      </c>
      <c r="AQ1783">
        <v>5.36</v>
      </c>
      <c r="AR1783">
        <v>-1.43</v>
      </c>
      <c r="AS1783">
        <v>17.100000000000001</v>
      </c>
      <c r="AT1783">
        <v>46.85</v>
      </c>
      <c r="AU1783">
        <v>210.01</v>
      </c>
      <c r="AV1783">
        <v>2</v>
      </c>
      <c r="AW1783">
        <v>4.34</v>
      </c>
      <c r="AX1783">
        <v>65.010000000000005</v>
      </c>
      <c r="AY1783">
        <v>57.54</v>
      </c>
      <c r="AZ1783">
        <v>97.26</v>
      </c>
      <c r="BA1783">
        <v>0.83</v>
      </c>
      <c r="BB1783" t="s">
        <v>143</v>
      </c>
      <c r="BF1783">
        <v>-2.61</v>
      </c>
      <c r="BG1783">
        <v>-5.04</v>
      </c>
      <c r="BH1783">
        <v>-5.72</v>
      </c>
      <c r="BI1783">
        <v>0.31</v>
      </c>
      <c r="BJ1783">
        <v>20210902</v>
      </c>
      <c r="BK1783">
        <v>20150217</v>
      </c>
      <c r="BL1783">
        <v>2.48</v>
      </c>
      <c r="BM1783" t="s">
        <v>120</v>
      </c>
      <c r="BN1783" t="s">
        <v>120</v>
      </c>
      <c r="BO1783">
        <v>15.45</v>
      </c>
      <c r="BP1783">
        <v>22.57</v>
      </c>
      <c r="BQ1783">
        <v>11.98</v>
      </c>
      <c r="BR1783" t="s">
        <v>120</v>
      </c>
      <c r="BS1783">
        <v>22.43</v>
      </c>
      <c r="BT1783">
        <v>7.39</v>
      </c>
      <c r="BU1783">
        <v>5.59</v>
      </c>
      <c r="BV1783">
        <v>0.83</v>
      </c>
      <c r="BW1783">
        <v>3.01</v>
      </c>
      <c r="BX1783">
        <v>1.52</v>
      </c>
      <c r="BY1783">
        <v>1.97</v>
      </c>
      <c r="BZ1783">
        <v>2.84</v>
      </c>
      <c r="CA1783">
        <v>0</v>
      </c>
      <c r="CB1783">
        <v>7.3</v>
      </c>
      <c r="CC1783">
        <v>5</v>
      </c>
      <c r="CD1783">
        <v>3.82</v>
      </c>
      <c r="CE1783">
        <v>0.71</v>
      </c>
      <c r="CF1783">
        <v>0</v>
      </c>
      <c r="CG1783">
        <v>0.71</v>
      </c>
      <c r="CH1783">
        <v>0.63</v>
      </c>
      <c r="CI1783">
        <v>0.63</v>
      </c>
      <c r="CJ1783">
        <v>-1.2</v>
      </c>
      <c r="CK1783">
        <v>0.54</v>
      </c>
      <c r="CL1783">
        <v>1.95</v>
      </c>
      <c r="CM1783">
        <v>0.21</v>
      </c>
      <c r="CN1783">
        <v>-0.27</v>
      </c>
      <c r="CO1783">
        <v>9827</v>
      </c>
      <c r="CP1783">
        <v>16381</v>
      </c>
      <c r="CQ1783" t="s">
        <v>9017</v>
      </c>
      <c r="CR1783">
        <v>201.88</v>
      </c>
      <c r="CS1783">
        <v>48.13</v>
      </c>
      <c r="CT1783">
        <v>4.67</v>
      </c>
      <c r="CU1783">
        <v>272.72000000000003</v>
      </c>
      <c r="CV1783">
        <v>11.2</v>
      </c>
      <c r="CW1783">
        <v>0.42</v>
      </c>
      <c r="CX1783" t="s">
        <v>670</v>
      </c>
      <c r="CY1783">
        <v>4.84</v>
      </c>
      <c r="CZ1783">
        <v>0</v>
      </c>
      <c r="DA1783">
        <v>2.95</v>
      </c>
      <c r="DB1783">
        <v>0.79</v>
      </c>
      <c r="DC1783">
        <v>0.08</v>
      </c>
      <c r="DD1783">
        <v>77.569999999999993</v>
      </c>
      <c r="DE1783" t="s">
        <v>2713</v>
      </c>
      <c r="DF1783">
        <v>23.59</v>
      </c>
      <c r="DG1783">
        <v>14.13</v>
      </c>
      <c r="DH1783">
        <v>12.52</v>
      </c>
      <c r="DI1783">
        <v>0.24</v>
      </c>
      <c r="DJ1783">
        <v>1043</v>
      </c>
      <c r="DK1783">
        <v>300421</v>
      </c>
      <c r="DL1783" t="s">
        <v>120</v>
      </c>
      <c r="DM1783" t="s">
        <v>120</v>
      </c>
      <c r="DN1783" t="s">
        <v>120</v>
      </c>
    </row>
    <row r="1784" spans="1:118">
      <c r="A1784" t="str">
        <f>"300422"</f>
        <v>300422</v>
      </c>
      <c r="B1784" t="s">
        <v>9018</v>
      </c>
      <c r="C1784">
        <v>2.2200000000000002</v>
      </c>
      <c r="D1784">
        <v>-0.09</v>
      </c>
      <c r="E1784">
        <v>1.59</v>
      </c>
      <c r="F1784">
        <v>1788</v>
      </c>
      <c r="G1784" t="s">
        <v>1661</v>
      </c>
      <c r="H1784">
        <v>23327.53</v>
      </c>
      <c r="I1784">
        <v>155.62</v>
      </c>
      <c r="J1784" t="s">
        <v>120</v>
      </c>
      <c r="K1784" t="s">
        <v>4979</v>
      </c>
      <c r="L1784">
        <v>6.27</v>
      </c>
      <c r="M1784">
        <v>9.66</v>
      </c>
      <c r="N1784">
        <v>1.64</v>
      </c>
      <c r="O1784">
        <v>7.94</v>
      </c>
      <c r="P1784">
        <v>10.199999999999999</v>
      </c>
      <c r="Q1784">
        <v>1.59</v>
      </c>
      <c r="R1784">
        <v>9.6</v>
      </c>
      <c r="S1784">
        <v>9.6</v>
      </c>
      <c r="T1784">
        <v>236238</v>
      </c>
      <c r="U1784">
        <v>9.67</v>
      </c>
      <c r="V1784">
        <v>9.4499999999999993</v>
      </c>
      <c r="W1784">
        <v>22.4</v>
      </c>
      <c r="X1784" t="s">
        <v>318</v>
      </c>
      <c r="Y1784" t="s">
        <v>945</v>
      </c>
      <c r="Z1784">
        <v>6.35</v>
      </c>
      <c r="AA1784">
        <v>9.8699999999999992</v>
      </c>
      <c r="AB1784">
        <v>112609</v>
      </c>
      <c r="AC1784">
        <v>123629</v>
      </c>
      <c r="AD1784">
        <v>0.91</v>
      </c>
      <c r="AE1784">
        <v>483</v>
      </c>
      <c r="AF1784">
        <v>620</v>
      </c>
      <c r="AG1784" t="s">
        <v>120</v>
      </c>
      <c r="AH1784">
        <v>0.06</v>
      </c>
      <c r="AI1784" t="s">
        <v>120</v>
      </c>
      <c r="AJ1784">
        <v>3.77</v>
      </c>
      <c r="AK1784" t="s">
        <v>9019</v>
      </c>
      <c r="AL1784">
        <v>4.1399999999999997</v>
      </c>
      <c r="AM1784">
        <v>2679</v>
      </c>
      <c r="AN1784">
        <v>88</v>
      </c>
      <c r="AO1784">
        <v>2.3E-3</v>
      </c>
      <c r="AP1784">
        <v>2</v>
      </c>
      <c r="AQ1784">
        <v>1.5</v>
      </c>
      <c r="AR1784">
        <v>-0.73</v>
      </c>
      <c r="AS1784">
        <v>7.21</v>
      </c>
      <c r="AT1784">
        <v>9.15</v>
      </c>
      <c r="AU1784">
        <v>-19.16</v>
      </c>
      <c r="AV1784">
        <v>0</v>
      </c>
      <c r="AW1784">
        <v>8.76</v>
      </c>
      <c r="AX1784">
        <v>66.48</v>
      </c>
      <c r="AY1784">
        <v>23.9</v>
      </c>
      <c r="AZ1784">
        <v>19.66</v>
      </c>
      <c r="BA1784">
        <v>0.06</v>
      </c>
      <c r="BB1784" t="s">
        <v>143</v>
      </c>
      <c r="BF1784">
        <v>4.49</v>
      </c>
      <c r="BG1784">
        <v>0.63</v>
      </c>
      <c r="BH1784">
        <v>-5.29</v>
      </c>
      <c r="BI1784">
        <v>0.63</v>
      </c>
      <c r="BJ1784">
        <v>20210827</v>
      </c>
      <c r="BK1784">
        <v>20150217</v>
      </c>
      <c r="BL1784">
        <v>4.0599999999999996</v>
      </c>
      <c r="BM1784" t="s">
        <v>120</v>
      </c>
      <c r="BN1784" t="s">
        <v>120</v>
      </c>
      <c r="BO1784">
        <v>128.63999999999999</v>
      </c>
      <c r="BP1784">
        <v>9.66</v>
      </c>
      <c r="BQ1784">
        <v>25.79</v>
      </c>
      <c r="BR1784">
        <v>2.69</v>
      </c>
      <c r="BS1784">
        <v>77.86</v>
      </c>
      <c r="BT1784">
        <v>58.24</v>
      </c>
      <c r="BU1784">
        <v>6.72</v>
      </c>
      <c r="BV1784">
        <v>24.54</v>
      </c>
      <c r="BW1784">
        <v>69.63</v>
      </c>
      <c r="BX1784">
        <v>16.21</v>
      </c>
      <c r="BY1784">
        <v>3.77</v>
      </c>
      <c r="BZ1784">
        <v>18.010000000000002</v>
      </c>
      <c r="CA1784" t="s">
        <v>120</v>
      </c>
      <c r="CB1784">
        <v>9.8000000000000007</v>
      </c>
      <c r="CC1784">
        <v>15.29</v>
      </c>
      <c r="CD1784">
        <v>10.99</v>
      </c>
      <c r="CE1784">
        <v>0.89</v>
      </c>
      <c r="CF1784">
        <v>-0.01</v>
      </c>
      <c r="CG1784">
        <v>0.89</v>
      </c>
      <c r="CH1784">
        <v>0.82</v>
      </c>
      <c r="CI1784">
        <v>0.87</v>
      </c>
      <c r="CJ1784">
        <v>0.21</v>
      </c>
      <c r="CK1784">
        <v>0.54</v>
      </c>
      <c r="CL1784">
        <v>9.81</v>
      </c>
      <c r="CM1784">
        <v>-4.37</v>
      </c>
      <c r="CN1784">
        <v>-1.3</v>
      </c>
      <c r="CO1784">
        <v>25840</v>
      </c>
      <c r="CP1784">
        <v>10438</v>
      </c>
      <c r="CQ1784" t="s">
        <v>6843</v>
      </c>
      <c r="CR1784">
        <v>-28.33</v>
      </c>
      <c r="CS1784">
        <v>3.22</v>
      </c>
      <c r="CT1784">
        <v>1.6</v>
      </c>
      <c r="CU1784">
        <v>-8.98</v>
      </c>
      <c r="CV1784">
        <v>2.56</v>
      </c>
      <c r="CW1784">
        <v>0.53</v>
      </c>
      <c r="CX1784" t="s">
        <v>3361</v>
      </c>
      <c r="CY1784">
        <v>6.04</v>
      </c>
      <c r="CZ1784">
        <v>6.04</v>
      </c>
      <c r="DA1784">
        <v>2.42</v>
      </c>
      <c r="DB1784">
        <v>2.42</v>
      </c>
      <c r="DC1784">
        <v>-1.08</v>
      </c>
      <c r="DD1784">
        <v>20.05</v>
      </c>
      <c r="DE1784" t="s">
        <v>9020</v>
      </c>
      <c r="DF1784">
        <v>28.08</v>
      </c>
      <c r="DG1784">
        <v>5.81</v>
      </c>
      <c r="DH1784">
        <v>5.72</v>
      </c>
      <c r="DI1784">
        <v>0.56000000000000005</v>
      </c>
      <c r="DJ1784">
        <v>5225</v>
      </c>
      <c r="DK1784">
        <v>300422</v>
      </c>
      <c r="DL1784" t="s">
        <v>120</v>
      </c>
      <c r="DM1784" t="s">
        <v>120</v>
      </c>
      <c r="DN1784" t="s">
        <v>120</v>
      </c>
    </row>
    <row r="1785" spans="1:118">
      <c r="A1785" t="str">
        <f>"300423"</f>
        <v>300423</v>
      </c>
      <c r="B1785" t="s">
        <v>9021</v>
      </c>
      <c r="C1785">
        <v>3.08</v>
      </c>
      <c r="D1785">
        <v>-0.06</v>
      </c>
      <c r="E1785">
        <v>6.24</v>
      </c>
      <c r="F1785">
        <v>2264</v>
      </c>
      <c r="G1785" t="s">
        <v>176</v>
      </c>
      <c r="H1785">
        <v>37737.06</v>
      </c>
      <c r="I1785">
        <v>1314.73</v>
      </c>
      <c r="J1785" t="s">
        <v>120</v>
      </c>
      <c r="K1785" t="s">
        <v>9022</v>
      </c>
      <c r="L1785">
        <v>8.7100000000000009</v>
      </c>
      <c r="M1785">
        <v>13.39</v>
      </c>
      <c r="N1785">
        <v>3.47</v>
      </c>
      <c r="O1785">
        <v>15.47</v>
      </c>
      <c r="P1785">
        <v>15</v>
      </c>
      <c r="Q1785">
        <v>2.54</v>
      </c>
      <c r="R1785">
        <v>13.32</v>
      </c>
      <c r="S1785">
        <v>13.8</v>
      </c>
      <c r="T1785">
        <v>270795</v>
      </c>
      <c r="U1785">
        <v>13.39</v>
      </c>
      <c r="V1785">
        <v>12.99</v>
      </c>
      <c r="W1785">
        <v>21.61</v>
      </c>
      <c r="X1785" t="s">
        <v>394</v>
      </c>
      <c r="Y1785" t="s">
        <v>638</v>
      </c>
      <c r="Z1785">
        <v>12.93</v>
      </c>
      <c r="AA1785">
        <v>13.94</v>
      </c>
      <c r="AB1785">
        <v>140652</v>
      </c>
      <c r="AC1785">
        <v>130143</v>
      </c>
      <c r="AD1785">
        <v>1.08</v>
      </c>
      <c r="AE1785">
        <v>152</v>
      </c>
      <c r="AF1785">
        <v>29</v>
      </c>
      <c r="AG1785" t="s">
        <v>120</v>
      </c>
      <c r="AH1785">
        <v>0.41</v>
      </c>
      <c r="AI1785" t="s">
        <v>120</v>
      </c>
      <c r="AJ1785">
        <v>3.11</v>
      </c>
      <c r="AK1785" t="s">
        <v>159</v>
      </c>
      <c r="AL1785">
        <v>4.99</v>
      </c>
      <c r="AM1785">
        <v>2983</v>
      </c>
      <c r="AN1785">
        <v>91</v>
      </c>
      <c r="AO1785">
        <v>2.8999999999999998E-3</v>
      </c>
      <c r="AP1785">
        <v>3</v>
      </c>
      <c r="AQ1785">
        <v>5.44</v>
      </c>
      <c r="AR1785">
        <v>8.86</v>
      </c>
      <c r="AS1785">
        <v>1.82</v>
      </c>
      <c r="AT1785">
        <v>19.55</v>
      </c>
      <c r="AU1785">
        <v>7</v>
      </c>
      <c r="AV1785">
        <v>0</v>
      </c>
      <c r="AW1785">
        <v>11.76</v>
      </c>
      <c r="AX1785">
        <v>46.19</v>
      </c>
      <c r="AY1785">
        <v>14.22</v>
      </c>
      <c r="AZ1785">
        <v>11.21</v>
      </c>
      <c r="BA1785">
        <v>0.57999999999999996</v>
      </c>
      <c r="BB1785" t="s">
        <v>143</v>
      </c>
      <c r="BF1785">
        <v>7.28</v>
      </c>
      <c r="BG1785">
        <v>-2.97</v>
      </c>
      <c r="BH1785">
        <v>-10.73</v>
      </c>
      <c r="BI1785">
        <v>0.53</v>
      </c>
      <c r="BJ1785">
        <v>20210810</v>
      </c>
      <c r="BK1785">
        <v>20150217</v>
      </c>
      <c r="BL1785">
        <v>4.9800000000000004</v>
      </c>
      <c r="BM1785" t="s">
        <v>120</v>
      </c>
      <c r="BN1785" t="s">
        <v>120</v>
      </c>
      <c r="BO1785">
        <v>77.260000000000005</v>
      </c>
      <c r="BP1785">
        <v>13.38</v>
      </c>
      <c r="BQ1785">
        <v>41.53</v>
      </c>
      <c r="BR1785" t="s">
        <v>120</v>
      </c>
      <c r="BS1785">
        <v>46.25</v>
      </c>
      <c r="BT1785">
        <v>55.42</v>
      </c>
      <c r="BU1785">
        <v>4.41</v>
      </c>
      <c r="BV1785">
        <v>0.62</v>
      </c>
      <c r="BW1785">
        <v>35.64</v>
      </c>
      <c r="BX1785">
        <v>6.15</v>
      </c>
      <c r="BY1785">
        <v>9.14</v>
      </c>
      <c r="BZ1785">
        <v>18.149999999999999</v>
      </c>
      <c r="CA1785" t="s">
        <v>120</v>
      </c>
      <c r="CB1785">
        <v>18.399999999999999</v>
      </c>
      <c r="CC1785">
        <v>11.51</v>
      </c>
      <c r="CD1785">
        <v>8.44</v>
      </c>
      <c r="CE1785">
        <v>1.78</v>
      </c>
      <c r="CF1785">
        <v>0</v>
      </c>
      <c r="CG1785">
        <v>1.78</v>
      </c>
      <c r="CH1785">
        <v>1.54</v>
      </c>
      <c r="CI1785">
        <v>1.54</v>
      </c>
      <c r="CJ1785">
        <v>0.4</v>
      </c>
      <c r="CK1785">
        <v>1.42</v>
      </c>
      <c r="CL1785">
        <v>17.73</v>
      </c>
      <c r="CM1785">
        <v>0.85</v>
      </c>
      <c r="CN1785">
        <v>-0.27</v>
      </c>
      <c r="CO1785">
        <v>16033</v>
      </c>
      <c r="CP1785">
        <v>14360</v>
      </c>
      <c r="CQ1785" t="s">
        <v>9023</v>
      </c>
      <c r="CR1785">
        <v>-44.15</v>
      </c>
      <c r="CS1785">
        <v>-39.549999999999997</v>
      </c>
      <c r="CT1785">
        <v>1.61</v>
      </c>
      <c r="CU1785">
        <v>78.37</v>
      </c>
      <c r="CV1785">
        <v>5.8</v>
      </c>
      <c r="CW1785">
        <v>0.81</v>
      </c>
      <c r="CX1785" t="s">
        <v>2752</v>
      </c>
      <c r="CY1785">
        <v>8.33</v>
      </c>
      <c r="CZ1785">
        <v>0</v>
      </c>
      <c r="DA1785">
        <v>3.69</v>
      </c>
      <c r="DB1785">
        <v>3.56</v>
      </c>
      <c r="DC1785">
        <v>0.17</v>
      </c>
      <c r="DD1785">
        <v>53.75</v>
      </c>
      <c r="DE1785" t="s">
        <v>9024</v>
      </c>
      <c r="DF1785">
        <v>26.69</v>
      </c>
      <c r="DG1785">
        <v>15.5</v>
      </c>
      <c r="DH1785">
        <v>13.42</v>
      </c>
      <c r="DI1785">
        <v>0.27</v>
      </c>
      <c r="DJ1785">
        <v>1726</v>
      </c>
      <c r="DK1785">
        <v>300423</v>
      </c>
      <c r="DL1785" t="s">
        <v>120</v>
      </c>
      <c r="DM1785" t="s">
        <v>120</v>
      </c>
      <c r="DN1785" t="s">
        <v>120</v>
      </c>
    </row>
    <row r="1786" spans="1:118">
      <c r="A1786" t="str">
        <f>"300424"</f>
        <v>300424</v>
      </c>
      <c r="B1786" t="s">
        <v>9025</v>
      </c>
      <c r="C1786">
        <v>0.49</v>
      </c>
      <c r="D1786">
        <v>0.37</v>
      </c>
      <c r="E1786">
        <v>0</v>
      </c>
      <c r="F1786">
        <v>746</v>
      </c>
      <c r="G1786" t="s">
        <v>9026</v>
      </c>
      <c r="H1786">
        <v>9456.2099999999991</v>
      </c>
      <c r="I1786">
        <v>6.04</v>
      </c>
      <c r="J1786" t="s">
        <v>120</v>
      </c>
      <c r="K1786" t="s">
        <v>9027</v>
      </c>
      <c r="L1786">
        <v>2.87</v>
      </c>
      <c r="M1786">
        <v>16.399999999999999</v>
      </c>
      <c r="N1786">
        <v>0.7</v>
      </c>
      <c r="O1786">
        <v>2.02</v>
      </c>
      <c r="P1786">
        <v>16.649999999999999</v>
      </c>
      <c r="Q1786">
        <v>-1.04</v>
      </c>
      <c r="R1786">
        <v>16.149999999999999</v>
      </c>
      <c r="S1786">
        <v>16.32</v>
      </c>
      <c r="T1786">
        <v>57599</v>
      </c>
      <c r="U1786">
        <v>16.399999999999999</v>
      </c>
      <c r="V1786">
        <v>16.32</v>
      </c>
      <c r="W1786">
        <v>127.04</v>
      </c>
      <c r="X1786" t="s">
        <v>1621</v>
      </c>
      <c r="Y1786" t="s">
        <v>547</v>
      </c>
      <c r="Z1786">
        <v>3.06</v>
      </c>
      <c r="AA1786">
        <v>16.420000000000002</v>
      </c>
      <c r="AB1786">
        <v>32417</v>
      </c>
      <c r="AC1786">
        <v>25182</v>
      </c>
      <c r="AD1786">
        <v>1.29</v>
      </c>
      <c r="AE1786">
        <v>2</v>
      </c>
      <c r="AF1786">
        <v>1024</v>
      </c>
      <c r="AG1786" t="s">
        <v>120</v>
      </c>
      <c r="AH1786">
        <v>0</v>
      </c>
      <c r="AI1786" t="s">
        <v>120</v>
      </c>
      <c r="AJ1786">
        <v>2.0099999999999998</v>
      </c>
      <c r="AK1786" t="s">
        <v>9028</v>
      </c>
      <c r="AL1786">
        <v>2.4</v>
      </c>
      <c r="AM1786">
        <v>2192</v>
      </c>
      <c r="AN1786">
        <v>26</v>
      </c>
      <c r="AO1786">
        <v>1.2999999999999999E-3</v>
      </c>
      <c r="AP1786">
        <v>1</v>
      </c>
      <c r="AQ1786">
        <v>-0.24</v>
      </c>
      <c r="AR1786">
        <v>-0.24</v>
      </c>
      <c r="AS1786">
        <v>-10.18</v>
      </c>
      <c r="AT1786">
        <v>-0.54</v>
      </c>
      <c r="AU1786">
        <v>-5.48</v>
      </c>
      <c r="AV1786">
        <v>1</v>
      </c>
      <c r="AW1786">
        <v>3.59</v>
      </c>
      <c r="AX1786">
        <v>66.84</v>
      </c>
      <c r="AY1786" t="s">
        <v>120</v>
      </c>
      <c r="AZ1786" t="s">
        <v>120</v>
      </c>
      <c r="BA1786">
        <v>0.67</v>
      </c>
      <c r="BB1786" t="s">
        <v>143</v>
      </c>
      <c r="BF1786">
        <v>0.6</v>
      </c>
      <c r="BG1786">
        <v>0.49</v>
      </c>
      <c r="BH1786">
        <v>-1.5</v>
      </c>
      <c r="BI1786">
        <v>1.55</v>
      </c>
      <c r="BJ1786">
        <v>20210825</v>
      </c>
      <c r="BK1786">
        <v>20150422</v>
      </c>
      <c r="BL1786">
        <v>2.4</v>
      </c>
      <c r="BM1786" t="s">
        <v>120</v>
      </c>
      <c r="BN1786" t="s">
        <v>120</v>
      </c>
      <c r="BO1786">
        <v>21.15</v>
      </c>
      <c r="BP1786">
        <v>16.36</v>
      </c>
      <c r="BQ1786">
        <v>7.18</v>
      </c>
      <c r="BR1786">
        <v>0.15</v>
      </c>
      <c r="BS1786">
        <v>65.31</v>
      </c>
      <c r="BT1786">
        <v>12.44</v>
      </c>
      <c r="BU1786">
        <v>3.52</v>
      </c>
      <c r="BV1786">
        <v>1.34</v>
      </c>
      <c r="BW1786">
        <v>8.59</v>
      </c>
      <c r="BX1786">
        <v>1.7</v>
      </c>
      <c r="BY1786">
        <v>3.87</v>
      </c>
      <c r="BZ1786">
        <v>6.21</v>
      </c>
      <c r="CA1786" t="s">
        <v>120</v>
      </c>
      <c r="CB1786">
        <v>2.15</v>
      </c>
      <c r="CC1786">
        <v>5.49</v>
      </c>
      <c r="CD1786">
        <v>3.72</v>
      </c>
      <c r="CE1786">
        <v>0.2</v>
      </c>
      <c r="CF1786">
        <v>0.01</v>
      </c>
      <c r="CG1786">
        <v>0.19</v>
      </c>
      <c r="CH1786">
        <v>0.16</v>
      </c>
      <c r="CI1786">
        <v>0.15</v>
      </c>
      <c r="CJ1786">
        <v>0.08</v>
      </c>
      <c r="CK1786">
        <v>0.09</v>
      </c>
      <c r="CL1786">
        <v>1.76</v>
      </c>
      <c r="CM1786">
        <v>-0.13</v>
      </c>
      <c r="CN1786">
        <v>-1.49</v>
      </c>
      <c r="CO1786">
        <v>32962</v>
      </c>
      <c r="CP1786">
        <v>4864</v>
      </c>
      <c r="CQ1786" t="s">
        <v>823</v>
      </c>
      <c r="CR1786">
        <v>107.03</v>
      </c>
      <c r="CS1786">
        <v>2.89</v>
      </c>
      <c r="CT1786">
        <v>5.84</v>
      </c>
      <c r="CU1786">
        <v>-306.60000000000002</v>
      </c>
      <c r="CV1786">
        <v>7.17</v>
      </c>
      <c r="CW1786">
        <v>0.06</v>
      </c>
      <c r="CX1786" t="s">
        <v>1867</v>
      </c>
      <c r="CY1786">
        <v>2.81</v>
      </c>
      <c r="CZ1786">
        <v>2.81</v>
      </c>
      <c r="DA1786">
        <v>0.89</v>
      </c>
      <c r="DB1786">
        <v>0.73</v>
      </c>
      <c r="DC1786">
        <v>-0.05</v>
      </c>
      <c r="DD1786">
        <v>33.97</v>
      </c>
      <c r="DE1786" t="s">
        <v>2347</v>
      </c>
      <c r="DF1786">
        <v>32.25</v>
      </c>
      <c r="DG1786">
        <v>3.6</v>
      </c>
      <c r="DH1786">
        <v>2.82</v>
      </c>
      <c r="DI1786">
        <v>0.27</v>
      </c>
      <c r="DJ1786">
        <v>1175</v>
      </c>
      <c r="DK1786">
        <v>300424</v>
      </c>
      <c r="DL1786" t="s">
        <v>120</v>
      </c>
      <c r="DM1786" t="s">
        <v>120</v>
      </c>
      <c r="DN1786" t="s">
        <v>120</v>
      </c>
    </row>
    <row r="1787" spans="1:118">
      <c r="A1787" t="str">
        <f>"300425"</f>
        <v>300425</v>
      </c>
      <c r="B1787" t="s">
        <v>9029</v>
      </c>
      <c r="C1787">
        <v>-1.45</v>
      </c>
      <c r="D1787">
        <v>0.56000000000000005</v>
      </c>
      <c r="E1787">
        <v>0.54</v>
      </c>
      <c r="F1787">
        <v>1173</v>
      </c>
      <c r="G1787" t="s">
        <v>7887</v>
      </c>
      <c r="H1787">
        <v>6671.46</v>
      </c>
      <c r="I1787">
        <v>14.89</v>
      </c>
      <c r="J1787" t="s">
        <v>120</v>
      </c>
      <c r="K1787" t="s">
        <v>9030</v>
      </c>
      <c r="L1787">
        <v>1.8</v>
      </c>
      <c r="M1787">
        <v>5.43</v>
      </c>
      <c r="N1787">
        <v>0.68</v>
      </c>
      <c r="O1787">
        <v>2.54</v>
      </c>
      <c r="P1787">
        <v>5.65</v>
      </c>
      <c r="Q1787">
        <v>-2.1800000000000002</v>
      </c>
      <c r="R1787">
        <v>5.39</v>
      </c>
      <c r="S1787">
        <v>5.54</v>
      </c>
      <c r="T1787">
        <v>120686</v>
      </c>
      <c r="U1787">
        <v>5.43</v>
      </c>
      <c r="V1787">
        <v>5.51</v>
      </c>
      <c r="W1787">
        <v>31.53</v>
      </c>
      <c r="X1787" t="s">
        <v>318</v>
      </c>
      <c r="Y1787" t="s">
        <v>578</v>
      </c>
      <c r="Z1787">
        <v>4.72</v>
      </c>
      <c r="AA1787">
        <v>5.53</v>
      </c>
      <c r="AB1787">
        <v>70372</v>
      </c>
      <c r="AC1787">
        <v>50314</v>
      </c>
      <c r="AD1787">
        <v>1.4</v>
      </c>
      <c r="AE1787">
        <v>302</v>
      </c>
      <c r="AF1787">
        <v>981</v>
      </c>
      <c r="AG1787" t="s">
        <v>120</v>
      </c>
      <c r="AH1787">
        <v>0.01</v>
      </c>
      <c r="AI1787" t="s">
        <v>120</v>
      </c>
      <c r="AJ1787">
        <v>6.71</v>
      </c>
      <c r="AK1787" t="s">
        <v>9031</v>
      </c>
      <c r="AL1787">
        <v>0.46</v>
      </c>
      <c r="AM1787">
        <v>2224</v>
      </c>
      <c r="AN1787">
        <v>54</v>
      </c>
      <c r="AO1787">
        <v>8.0000000000000004E-4</v>
      </c>
      <c r="AP1787">
        <v>-1</v>
      </c>
      <c r="AQ1787">
        <v>2.04</v>
      </c>
      <c r="AR1787">
        <v>-2.86</v>
      </c>
      <c r="AS1787">
        <v>9.26</v>
      </c>
      <c r="AT1787">
        <v>20.94</v>
      </c>
      <c r="AU1787">
        <v>22.02</v>
      </c>
      <c r="AV1787">
        <v>0</v>
      </c>
      <c r="AW1787">
        <v>3.19</v>
      </c>
      <c r="AX1787">
        <v>56.07</v>
      </c>
      <c r="AY1787">
        <v>20.260000000000002</v>
      </c>
      <c r="AZ1787">
        <v>21.98</v>
      </c>
      <c r="BA1787">
        <v>0.74</v>
      </c>
      <c r="BB1787" t="s">
        <v>143</v>
      </c>
      <c r="BF1787">
        <v>0.33</v>
      </c>
      <c r="BG1787">
        <v>-1.99</v>
      </c>
      <c r="BH1787">
        <v>-3.89</v>
      </c>
      <c r="BI1787">
        <v>0.74</v>
      </c>
      <c r="BJ1787">
        <v>20210913</v>
      </c>
      <c r="BK1787">
        <v>20150216</v>
      </c>
      <c r="BL1787">
        <v>6.76</v>
      </c>
      <c r="BM1787" t="s">
        <v>120</v>
      </c>
      <c r="BN1787" t="s">
        <v>120</v>
      </c>
      <c r="BO1787">
        <v>34.049999999999997</v>
      </c>
      <c r="BP1787">
        <v>5.41</v>
      </c>
      <c r="BQ1787">
        <v>18.850000000000001</v>
      </c>
      <c r="BR1787">
        <v>1.57</v>
      </c>
      <c r="BS1787">
        <v>40.020000000000003</v>
      </c>
      <c r="BT1787">
        <v>16.41</v>
      </c>
      <c r="BU1787">
        <v>2.84</v>
      </c>
      <c r="BV1787">
        <v>6.05</v>
      </c>
      <c r="BW1787">
        <v>11.03</v>
      </c>
      <c r="BX1787">
        <v>1.95</v>
      </c>
      <c r="BY1787">
        <v>3.73</v>
      </c>
      <c r="BZ1787">
        <v>8.19</v>
      </c>
      <c r="CA1787" t="s">
        <v>120</v>
      </c>
      <c r="CB1787">
        <v>4.87</v>
      </c>
      <c r="CC1787">
        <v>4.45</v>
      </c>
      <c r="CD1787">
        <v>2.59</v>
      </c>
      <c r="CE1787">
        <v>0.67</v>
      </c>
      <c r="CF1787">
        <v>0.02</v>
      </c>
      <c r="CG1787">
        <v>0.69</v>
      </c>
      <c r="CH1787">
        <v>0.6</v>
      </c>
      <c r="CI1787">
        <v>0.57999999999999996</v>
      </c>
      <c r="CJ1787">
        <v>-0.08</v>
      </c>
      <c r="CK1787">
        <v>0.52</v>
      </c>
      <c r="CL1787">
        <v>6.32</v>
      </c>
      <c r="CM1787">
        <v>0.62</v>
      </c>
      <c r="CN1787">
        <v>-1.37</v>
      </c>
      <c r="CO1787">
        <v>20260</v>
      </c>
      <c r="CP1787">
        <v>18699</v>
      </c>
      <c r="CQ1787" t="s">
        <v>6269</v>
      </c>
      <c r="CR1787">
        <v>32.72</v>
      </c>
      <c r="CS1787">
        <v>14.81</v>
      </c>
      <c r="CT1787">
        <v>1.95</v>
      </c>
      <c r="CU1787">
        <v>59.14</v>
      </c>
      <c r="CV1787">
        <v>8.25</v>
      </c>
      <c r="CW1787">
        <v>0.91</v>
      </c>
      <c r="CX1787" t="s">
        <v>9032</v>
      </c>
      <c r="CY1787">
        <v>2.79</v>
      </c>
      <c r="CZ1787">
        <v>0</v>
      </c>
      <c r="DA1787">
        <v>0.72</v>
      </c>
      <c r="DB1787">
        <v>0.93</v>
      </c>
      <c r="DC1787">
        <v>0.09</v>
      </c>
      <c r="DD1787">
        <v>55.38</v>
      </c>
      <c r="DE1787" t="s">
        <v>1938</v>
      </c>
      <c r="DF1787">
        <v>41.71</v>
      </c>
      <c r="DG1787">
        <v>15.01</v>
      </c>
      <c r="DH1787">
        <v>13.08</v>
      </c>
      <c r="DI1787">
        <v>0.22</v>
      </c>
      <c r="DJ1787">
        <v>1454</v>
      </c>
      <c r="DK1787">
        <v>300425</v>
      </c>
      <c r="DL1787">
        <v>20210826</v>
      </c>
      <c r="DM1787">
        <v>5.95</v>
      </c>
      <c r="DN1787">
        <v>-8.74</v>
      </c>
    </row>
    <row r="1788" spans="1:118">
      <c r="A1788" t="str">
        <f>"300426"</f>
        <v>300426</v>
      </c>
      <c r="B1788" t="s">
        <v>9033</v>
      </c>
      <c r="C1788">
        <v>-0.57999999999999996</v>
      </c>
      <c r="D1788">
        <v>-0.28000000000000003</v>
      </c>
      <c r="E1788">
        <v>0.72</v>
      </c>
      <c r="F1788">
        <v>965</v>
      </c>
      <c r="G1788" t="s">
        <v>9034</v>
      </c>
      <c r="H1788">
        <v>2240.5100000000002</v>
      </c>
      <c r="I1788">
        <v>20.43</v>
      </c>
      <c r="J1788" t="s">
        <v>120</v>
      </c>
      <c r="K1788" t="s">
        <v>9035</v>
      </c>
      <c r="L1788">
        <v>0.81</v>
      </c>
      <c r="M1788">
        <v>6.86</v>
      </c>
      <c r="N1788">
        <v>0.67</v>
      </c>
      <c r="O1788">
        <v>2.61</v>
      </c>
      <c r="P1788">
        <v>7.08</v>
      </c>
      <c r="Q1788">
        <v>-1.01</v>
      </c>
      <c r="R1788">
        <v>6.83</v>
      </c>
      <c r="S1788">
        <v>6.95</v>
      </c>
      <c r="T1788">
        <v>32303</v>
      </c>
      <c r="U1788">
        <v>6.88</v>
      </c>
      <c r="V1788">
        <v>6.9</v>
      </c>
      <c r="W1788" t="s">
        <v>120</v>
      </c>
      <c r="X1788" t="s">
        <v>584</v>
      </c>
      <c r="Y1788" t="s">
        <v>585</v>
      </c>
      <c r="Z1788">
        <v>3.62</v>
      </c>
      <c r="AA1788">
        <v>6.94</v>
      </c>
      <c r="AB1788">
        <v>15810</v>
      </c>
      <c r="AC1788">
        <v>16493</v>
      </c>
      <c r="AD1788">
        <v>0.96</v>
      </c>
      <c r="AE1788">
        <v>21</v>
      </c>
      <c r="AF1788">
        <v>4</v>
      </c>
      <c r="AG1788" t="s">
        <v>120</v>
      </c>
      <c r="AH1788">
        <v>0.01</v>
      </c>
      <c r="AI1788" t="s">
        <v>120</v>
      </c>
      <c r="AJ1788">
        <v>3.97</v>
      </c>
      <c r="AK1788" t="s">
        <v>2581</v>
      </c>
      <c r="AL1788">
        <v>1.33</v>
      </c>
      <c r="AM1788">
        <v>1043</v>
      </c>
      <c r="AN1788">
        <v>31</v>
      </c>
      <c r="AO1788">
        <v>8.0000000000000004E-4</v>
      </c>
      <c r="AP1788">
        <v>-2</v>
      </c>
      <c r="AQ1788">
        <v>-3.63</v>
      </c>
      <c r="AR1788">
        <v>-0.72</v>
      </c>
      <c r="AS1788">
        <v>14.33</v>
      </c>
      <c r="AT1788">
        <v>18.07</v>
      </c>
      <c r="AU1788">
        <v>4.8899999999999997</v>
      </c>
      <c r="AV1788">
        <v>1</v>
      </c>
      <c r="AW1788">
        <v>1.34</v>
      </c>
      <c r="AX1788">
        <v>58.09</v>
      </c>
      <c r="AY1788" t="s">
        <v>120</v>
      </c>
      <c r="AZ1788" t="s">
        <v>120</v>
      </c>
      <c r="BA1788">
        <v>0.11</v>
      </c>
      <c r="BB1788" t="s">
        <v>125</v>
      </c>
      <c r="BF1788">
        <v>0.52</v>
      </c>
      <c r="BG1788">
        <v>-1.29</v>
      </c>
      <c r="BH1788">
        <v>-3.11</v>
      </c>
      <c r="BI1788">
        <v>0.44</v>
      </c>
      <c r="BJ1788">
        <v>20210830</v>
      </c>
      <c r="BK1788">
        <v>20150217</v>
      </c>
      <c r="BL1788">
        <v>4.1500000000000004</v>
      </c>
      <c r="BM1788" t="s">
        <v>120</v>
      </c>
      <c r="BN1788" t="s">
        <v>120</v>
      </c>
      <c r="BO1788">
        <v>21.82</v>
      </c>
      <c r="BP1788">
        <v>6.86</v>
      </c>
      <c r="BQ1788">
        <v>0.12</v>
      </c>
      <c r="BR1788">
        <v>-0.34</v>
      </c>
      <c r="BS1788">
        <v>101.02</v>
      </c>
      <c r="BT1788">
        <v>20.21</v>
      </c>
      <c r="BU1788">
        <v>7.0000000000000007E-2</v>
      </c>
      <c r="BV1788">
        <v>0</v>
      </c>
      <c r="BW1788">
        <v>21.65</v>
      </c>
      <c r="BX1788">
        <v>0.54</v>
      </c>
      <c r="BY1788">
        <v>12.65</v>
      </c>
      <c r="BZ1788">
        <v>2.63</v>
      </c>
      <c r="CA1788">
        <v>2.2799999999999998</v>
      </c>
      <c r="CB1788">
        <v>1.69</v>
      </c>
      <c r="CC1788">
        <v>1.3</v>
      </c>
      <c r="CD1788">
        <v>0.84</v>
      </c>
      <c r="CE1788">
        <v>-0.87</v>
      </c>
      <c r="CF1788">
        <v>-0.01</v>
      </c>
      <c r="CG1788">
        <v>-0.87</v>
      </c>
      <c r="CH1788">
        <v>-0.87</v>
      </c>
      <c r="CI1788">
        <v>-0.79</v>
      </c>
      <c r="CJ1788">
        <v>-0.04</v>
      </c>
      <c r="CK1788">
        <v>-0.79</v>
      </c>
      <c r="CL1788">
        <v>-5.47</v>
      </c>
      <c r="CM1788">
        <v>-0.7</v>
      </c>
      <c r="CN1788">
        <v>-1.29</v>
      </c>
      <c r="CO1788">
        <v>12527</v>
      </c>
      <c r="CP1788">
        <v>19234</v>
      </c>
      <c r="CQ1788" t="s">
        <v>7609</v>
      </c>
      <c r="CR1788">
        <v>-11.69</v>
      </c>
      <c r="CS1788">
        <v>-0.78</v>
      </c>
      <c r="CT1788">
        <v>236.55</v>
      </c>
      <c r="CU1788">
        <v>-40.47</v>
      </c>
      <c r="CV1788">
        <v>21.97</v>
      </c>
      <c r="CW1788">
        <v>0</v>
      </c>
      <c r="CX1788" t="s">
        <v>716</v>
      </c>
      <c r="CY1788">
        <v>0.03</v>
      </c>
      <c r="CZ1788">
        <v>0.03</v>
      </c>
      <c r="DA1788">
        <v>0.41</v>
      </c>
      <c r="DB1788">
        <v>-1.32</v>
      </c>
      <c r="DC1788">
        <v>-0.17</v>
      </c>
      <c r="DD1788">
        <v>0.55000000000000004</v>
      </c>
      <c r="DE1788" t="s">
        <v>9036</v>
      </c>
      <c r="DF1788">
        <v>35.159999999999997</v>
      </c>
      <c r="DG1788">
        <v>-67.14</v>
      </c>
      <c r="DH1788">
        <v>-61.37</v>
      </c>
      <c r="DI1788" t="s">
        <v>120</v>
      </c>
      <c r="DJ1788">
        <v>87</v>
      </c>
      <c r="DK1788">
        <v>300426</v>
      </c>
      <c r="DL1788" t="s">
        <v>120</v>
      </c>
      <c r="DM1788" t="s">
        <v>120</v>
      </c>
      <c r="DN1788" t="s">
        <v>120</v>
      </c>
    </row>
    <row r="1789" spans="1:118">
      <c r="A1789" t="str">
        <f>"300427"</f>
        <v>300427</v>
      </c>
      <c r="B1789" t="s">
        <v>9037</v>
      </c>
      <c r="C1789">
        <v>-3.11</v>
      </c>
      <c r="D1789">
        <v>0</v>
      </c>
      <c r="E1789">
        <v>-7.0000000000000007E-2</v>
      </c>
      <c r="F1789">
        <v>671</v>
      </c>
      <c r="G1789" t="s">
        <v>9038</v>
      </c>
      <c r="H1789">
        <v>9750.11</v>
      </c>
      <c r="I1789">
        <v>36.49</v>
      </c>
      <c r="J1789" t="s">
        <v>120</v>
      </c>
      <c r="K1789" t="s">
        <v>4670</v>
      </c>
      <c r="L1789">
        <v>2.0699999999999998</v>
      </c>
      <c r="M1789">
        <v>14.62</v>
      </c>
      <c r="N1789">
        <v>0.66</v>
      </c>
      <c r="O1789">
        <v>0.93</v>
      </c>
      <c r="P1789">
        <v>15.23</v>
      </c>
      <c r="Q1789">
        <v>-3.25</v>
      </c>
      <c r="R1789">
        <v>14.6</v>
      </c>
      <c r="S1789">
        <v>15.08</v>
      </c>
      <c r="T1789">
        <v>65783</v>
      </c>
      <c r="U1789">
        <v>14.63</v>
      </c>
      <c r="V1789">
        <v>15.09</v>
      </c>
      <c r="W1789">
        <v>37.44</v>
      </c>
      <c r="X1789" t="s">
        <v>394</v>
      </c>
      <c r="Y1789" t="s">
        <v>937</v>
      </c>
      <c r="Z1789">
        <v>4.17</v>
      </c>
      <c r="AA1789">
        <v>14.82</v>
      </c>
      <c r="AB1789">
        <v>42872</v>
      </c>
      <c r="AC1789">
        <v>22911</v>
      </c>
      <c r="AD1789">
        <v>1.87</v>
      </c>
      <c r="AE1789">
        <v>163</v>
      </c>
      <c r="AF1789">
        <v>55</v>
      </c>
      <c r="AG1789" t="s">
        <v>120</v>
      </c>
      <c r="AH1789">
        <v>0.01</v>
      </c>
      <c r="AI1789" t="s">
        <v>120</v>
      </c>
      <c r="AJ1789">
        <v>3.17</v>
      </c>
      <c r="AK1789" t="s">
        <v>9039</v>
      </c>
      <c r="AL1789">
        <v>-1.2</v>
      </c>
      <c r="AM1789">
        <v>2400</v>
      </c>
      <c r="AN1789">
        <v>27</v>
      </c>
      <c r="AO1789">
        <v>8.9999999999999998E-4</v>
      </c>
      <c r="AP1789">
        <v>-1</v>
      </c>
      <c r="AQ1789">
        <v>3.78</v>
      </c>
      <c r="AR1789">
        <v>-2.73</v>
      </c>
      <c r="AS1789">
        <v>-10.8</v>
      </c>
      <c r="AT1789">
        <v>6.95</v>
      </c>
      <c r="AU1789">
        <v>-39.74</v>
      </c>
      <c r="AV1789">
        <v>0</v>
      </c>
      <c r="AW1789">
        <v>3.74</v>
      </c>
      <c r="AX1789">
        <v>48.77</v>
      </c>
      <c r="AY1789">
        <v>38.229999999999997</v>
      </c>
      <c r="AZ1789">
        <v>23.47</v>
      </c>
      <c r="BA1789">
        <v>0.16</v>
      </c>
      <c r="BB1789" t="s">
        <v>143</v>
      </c>
      <c r="BF1789">
        <v>-1.78</v>
      </c>
      <c r="BG1789">
        <v>-3.05</v>
      </c>
      <c r="BH1789">
        <v>-4.01</v>
      </c>
      <c r="BI1789">
        <v>0.14000000000000001</v>
      </c>
      <c r="BJ1789">
        <v>20210827</v>
      </c>
      <c r="BK1789">
        <v>20150217</v>
      </c>
      <c r="BL1789">
        <v>3.6</v>
      </c>
      <c r="BM1789" t="s">
        <v>120</v>
      </c>
      <c r="BN1789" t="s">
        <v>120</v>
      </c>
      <c r="BO1789">
        <v>49.75</v>
      </c>
      <c r="BP1789">
        <v>14.62</v>
      </c>
      <c r="BQ1789">
        <v>24.07</v>
      </c>
      <c r="BR1789">
        <v>-0.11</v>
      </c>
      <c r="BS1789">
        <v>51.85</v>
      </c>
      <c r="BT1789">
        <v>20.58</v>
      </c>
      <c r="BU1789">
        <v>13.22</v>
      </c>
      <c r="BV1789">
        <v>0.94</v>
      </c>
      <c r="BW1789">
        <v>13.42</v>
      </c>
      <c r="BX1789">
        <v>3.8</v>
      </c>
      <c r="BY1789">
        <v>4.45</v>
      </c>
      <c r="BZ1789">
        <v>10.16</v>
      </c>
      <c r="CA1789">
        <v>0.01</v>
      </c>
      <c r="CB1789">
        <v>8.6199999999999992</v>
      </c>
      <c r="CC1789">
        <v>6.17</v>
      </c>
      <c r="CD1789">
        <v>3.66</v>
      </c>
      <c r="CE1789">
        <v>0.82</v>
      </c>
      <c r="CF1789">
        <v>0</v>
      </c>
      <c r="CG1789">
        <v>0.82</v>
      </c>
      <c r="CH1789">
        <v>0.64</v>
      </c>
      <c r="CI1789">
        <v>0.7</v>
      </c>
      <c r="CJ1789">
        <v>-0.47</v>
      </c>
      <c r="CK1789">
        <v>0.67</v>
      </c>
      <c r="CL1789">
        <v>9.69</v>
      </c>
      <c r="CM1789">
        <v>-0.88</v>
      </c>
      <c r="CN1789">
        <v>-1.99</v>
      </c>
      <c r="CO1789">
        <v>27356</v>
      </c>
      <c r="CP1789">
        <v>6422</v>
      </c>
      <c r="CQ1789" t="s">
        <v>2213</v>
      </c>
      <c r="CR1789">
        <v>-55.98</v>
      </c>
      <c r="CS1789">
        <v>-11.24</v>
      </c>
      <c r="CT1789">
        <v>2.25</v>
      </c>
      <c r="CU1789">
        <v>-59.85</v>
      </c>
      <c r="CV1789">
        <v>8.5399999999999991</v>
      </c>
      <c r="CW1789">
        <v>0.86</v>
      </c>
      <c r="CX1789" t="s">
        <v>6828</v>
      </c>
      <c r="CY1789">
        <v>6.49</v>
      </c>
      <c r="CZ1789">
        <v>6.49</v>
      </c>
      <c r="DA1789">
        <v>2.39</v>
      </c>
      <c r="DB1789">
        <v>2.69</v>
      </c>
      <c r="DC1789">
        <v>-0.24</v>
      </c>
      <c r="DD1789">
        <v>48.38</v>
      </c>
      <c r="DE1789" t="s">
        <v>5751</v>
      </c>
      <c r="DF1789">
        <v>40.61</v>
      </c>
      <c r="DG1789">
        <v>13.3</v>
      </c>
      <c r="DH1789">
        <v>11.4</v>
      </c>
      <c r="DI1789">
        <v>0.45</v>
      </c>
      <c r="DJ1789">
        <v>1295</v>
      </c>
      <c r="DK1789">
        <v>300427</v>
      </c>
      <c r="DL1789" t="s">
        <v>120</v>
      </c>
      <c r="DM1789" t="s">
        <v>120</v>
      </c>
      <c r="DN1789" t="s">
        <v>120</v>
      </c>
    </row>
    <row r="1790" spans="1:118">
      <c r="A1790" t="str">
        <f>"300428"</f>
        <v>300428</v>
      </c>
      <c r="B1790" t="s">
        <v>9040</v>
      </c>
      <c r="C1790">
        <v>-10.6</v>
      </c>
      <c r="D1790">
        <v>-0.19</v>
      </c>
      <c r="E1790">
        <v>-0.09</v>
      </c>
      <c r="F1790">
        <v>1643</v>
      </c>
      <c r="G1790" t="s">
        <v>9041</v>
      </c>
      <c r="H1790">
        <v>43869.46</v>
      </c>
      <c r="I1790">
        <v>107.43</v>
      </c>
      <c r="J1790" t="s">
        <v>120</v>
      </c>
      <c r="K1790" t="s">
        <v>4596</v>
      </c>
      <c r="L1790">
        <v>10.7</v>
      </c>
      <c r="M1790">
        <v>19.66</v>
      </c>
      <c r="N1790">
        <v>1.31</v>
      </c>
      <c r="O1790">
        <v>1.5</v>
      </c>
      <c r="P1790">
        <v>22.32</v>
      </c>
      <c r="Q1790">
        <v>-10.6</v>
      </c>
      <c r="R1790">
        <v>19.66</v>
      </c>
      <c r="S1790">
        <v>21.97</v>
      </c>
      <c r="T1790">
        <v>211321</v>
      </c>
      <c r="U1790">
        <v>19.670000000000002</v>
      </c>
      <c r="V1790">
        <v>21.99</v>
      </c>
      <c r="W1790">
        <v>21.4</v>
      </c>
      <c r="X1790" t="s">
        <v>1325</v>
      </c>
      <c r="Y1790" t="s">
        <v>602</v>
      </c>
      <c r="Z1790">
        <v>12.1</v>
      </c>
      <c r="AA1790">
        <v>20.76</v>
      </c>
      <c r="AB1790">
        <v>133692</v>
      </c>
      <c r="AC1790">
        <v>77629</v>
      </c>
      <c r="AD1790">
        <v>1.72</v>
      </c>
      <c r="AE1790">
        <v>249</v>
      </c>
      <c r="AF1790">
        <v>385</v>
      </c>
      <c r="AG1790" t="s">
        <v>120</v>
      </c>
      <c r="AH1790">
        <v>0.04</v>
      </c>
      <c r="AI1790" t="s">
        <v>120</v>
      </c>
      <c r="AJ1790">
        <v>1.98</v>
      </c>
      <c r="AK1790" t="s">
        <v>9042</v>
      </c>
      <c r="AL1790">
        <v>-8.68</v>
      </c>
      <c r="AM1790">
        <v>3768</v>
      </c>
      <c r="AN1790">
        <v>56</v>
      </c>
      <c r="AO1790">
        <v>2.8E-3</v>
      </c>
      <c r="AP1790">
        <v>-2</v>
      </c>
      <c r="AQ1790">
        <v>-0.95</v>
      </c>
      <c r="AR1790">
        <v>-7.44</v>
      </c>
      <c r="AS1790">
        <v>-3.29</v>
      </c>
      <c r="AT1790">
        <v>50.42</v>
      </c>
      <c r="AU1790">
        <v>36.85</v>
      </c>
      <c r="AV1790">
        <v>0</v>
      </c>
      <c r="AW1790">
        <v>15.72</v>
      </c>
      <c r="AX1790">
        <v>22.41</v>
      </c>
      <c r="AY1790">
        <v>24.55</v>
      </c>
      <c r="AZ1790">
        <v>30.49</v>
      </c>
      <c r="BA1790">
        <v>0.77</v>
      </c>
      <c r="BB1790" t="s">
        <v>143</v>
      </c>
      <c r="BF1790">
        <v>-5.6</v>
      </c>
      <c r="BG1790">
        <v>-10.51</v>
      </c>
      <c r="BH1790">
        <v>-11.92</v>
      </c>
      <c r="BI1790">
        <v>0</v>
      </c>
      <c r="BJ1790">
        <v>20210831</v>
      </c>
      <c r="BK1790">
        <v>20150319</v>
      </c>
      <c r="BL1790">
        <v>6</v>
      </c>
      <c r="BM1790" t="s">
        <v>120</v>
      </c>
      <c r="BN1790" t="s">
        <v>120</v>
      </c>
      <c r="BO1790">
        <v>116.87</v>
      </c>
      <c r="BP1790">
        <v>19.66</v>
      </c>
      <c r="BQ1790">
        <v>46.33</v>
      </c>
      <c r="BR1790">
        <v>1.99</v>
      </c>
      <c r="BS1790">
        <v>58.65</v>
      </c>
      <c r="BT1790">
        <v>81.23</v>
      </c>
      <c r="BU1790">
        <v>20.95</v>
      </c>
      <c r="BV1790">
        <v>5.23</v>
      </c>
      <c r="BW1790">
        <v>54.47</v>
      </c>
      <c r="BX1790">
        <v>14.21</v>
      </c>
      <c r="BY1790">
        <v>24.82</v>
      </c>
      <c r="BZ1790">
        <v>26.62</v>
      </c>
      <c r="CA1790" t="s">
        <v>120</v>
      </c>
      <c r="CB1790">
        <v>10.68</v>
      </c>
      <c r="CC1790">
        <v>86.65</v>
      </c>
      <c r="CD1790">
        <v>78.16</v>
      </c>
      <c r="CE1790">
        <v>3.6</v>
      </c>
      <c r="CF1790">
        <v>0.2</v>
      </c>
      <c r="CG1790">
        <v>3.6</v>
      </c>
      <c r="CH1790">
        <v>2.97</v>
      </c>
      <c r="CI1790">
        <v>2.75</v>
      </c>
      <c r="CJ1790">
        <v>-2.33</v>
      </c>
      <c r="CK1790">
        <v>2.27</v>
      </c>
      <c r="CL1790">
        <v>28.27</v>
      </c>
      <c r="CM1790">
        <v>-2.1800000000000002</v>
      </c>
      <c r="CN1790">
        <v>-1.98</v>
      </c>
      <c r="CO1790">
        <v>19434</v>
      </c>
      <c r="CP1790">
        <v>6915</v>
      </c>
      <c r="CQ1790" t="s">
        <v>7004</v>
      </c>
      <c r="CR1790">
        <v>61.32</v>
      </c>
      <c r="CS1790">
        <v>61.8</v>
      </c>
      <c r="CT1790">
        <v>2.5499999999999998</v>
      </c>
      <c r="CU1790">
        <v>-53.97</v>
      </c>
      <c r="CV1790">
        <v>1.36</v>
      </c>
      <c r="CW1790">
        <v>0.38</v>
      </c>
      <c r="CX1790" t="s">
        <v>1071</v>
      </c>
      <c r="CY1790">
        <v>7.72</v>
      </c>
      <c r="CZ1790">
        <v>0</v>
      </c>
      <c r="DA1790">
        <v>1.78</v>
      </c>
      <c r="DB1790">
        <v>4.71</v>
      </c>
      <c r="DC1790">
        <v>-0.36</v>
      </c>
      <c r="DD1790">
        <v>39.64</v>
      </c>
      <c r="DE1790" t="s">
        <v>3813</v>
      </c>
      <c r="DF1790">
        <v>9.8000000000000007</v>
      </c>
      <c r="DG1790">
        <v>4.16</v>
      </c>
      <c r="DH1790">
        <v>3.18</v>
      </c>
      <c r="DI1790">
        <v>2.2000000000000002</v>
      </c>
      <c r="DJ1790">
        <v>8698</v>
      </c>
      <c r="DK1790">
        <v>300428</v>
      </c>
      <c r="DL1790">
        <v>20210703</v>
      </c>
      <c r="DM1790">
        <v>13.08</v>
      </c>
      <c r="DN1790">
        <v>50.31</v>
      </c>
    </row>
    <row r="1791" spans="1:118">
      <c r="A1791" t="str">
        <f>"300429"</f>
        <v>300429</v>
      </c>
      <c r="B1791" t="s">
        <v>9043</v>
      </c>
      <c r="C1791">
        <v>-1.65</v>
      </c>
      <c r="D1791">
        <v>0</v>
      </c>
      <c r="E1791">
        <v>0</v>
      </c>
      <c r="F1791">
        <v>3290</v>
      </c>
      <c r="G1791" t="s">
        <v>9044</v>
      </c>
      <c r="H1791">
        <v>14642.62</v>
      </c>
      <c r="I1791">
        <v>8.76</v>
      </c>
      <c r="J1791" t="s">
        <v>120</v>
      </c>
      <c r="K1791" t="s">
        <v>1173</v>
      </c>
      <c r="L1791">
        <v>3.13</v>
      </c>
      <c r="M1791">
        <v>12.49</v>
      </c>
      <c r="N1791">
        <v>1.01</v>
      </c>
      <c r="O1791">
        <v>2.36</v>
      </c>
      <c r="P1791">
        <v>13</v>
      </c>
      <c r="Q1791">
        <v>-1.73</v>
      </c>
      <c r="R1791">
        <v>12.48</v>
      </c>
      <c r="S1791">
        <v>12.7</v>
      </c>
      <c r="T1791">
        <v>114662</v>
      </c>
      <c r="U1791">
        <v>12.5</v>
      </c>
      <c r="V1791">
        <v>12.7</v>
      </c>
      <c r="W1791">
        <v>47.69</v>
      </c>
      <c r="X1791" t="s">
        <v>868</v>
      </c>
      <c r="Y1791" t="s">
        <v>319</v>
      </c>
      <c r="Z1791">
        <v>4.09</v>
      </c>
      <c r="AA1791">
        <v>12.77</v>
      </c>
      <c r="AB1791">
        <v>60813</v>
      </c>
      <c r="AC1791">
        <v>53849</v>
      </c>
      <c r="AD1791">
        <v>1.1299999999999999</v>
      </c>
      <c r="AE1791">
        <v>273</v>
      </c>
      <c r="AF1791">
        <v>1047</v>
      </c>
      <c r="AG1791" t="s">
        <v>120</v>
      </c>
      <c r="AH1791">
        <v>0</v>
      </c>
      <c r="AI1791" t="s">
        <v>120</v>
      </c>
      <c r="AJ1791">
        <v>3.66</v>
      </c>
      <c r="AK1791" t="s">
        <v>9045</v>
      </c>
      <c r="AL1791">
        <v>0.26</v>
      </c>
      <c r="AM1791">
        <v>2557</v>
      </c>
      <c r="AN1791">
        <v>45</v>
      </c>
      <c r="AO1791">
        <v>1.1999999999999999E-3</v>
      </c>
      <c r="AP1791">
        <v>-3</v>
      </c>
      <c r="AQ1791">
        <v>-0.31</v>
      </c>
      <c r="AR1791">
        <v>-3.25</v>
      </c>
      <c r="AS1791">
        <v>-9.69</v>
      </c>
      <c r="AT1791">
        <v>-5.0999999999999996</v>
      </c>
      <c r="AU1791">
        <v>-11.61</v>
      </c>
      <c r="AV1791">
        <v>0</v>
      </c>
      <c r="AW1791">
        <v>3.48</v>
      </c>
      <c r="AX1791">
        <v>63.97</v>
      </c>
      <c r="AY1791">
        <v>63.71</v>
      </c>
      <c r="AZ1791">
        <v>70.459999999999994</v>
      </c>
      <c r="BA1791">
        <v>0.92</v>
      </c>
      <c r="BB1791" t="s">
        <v>125</v>
      </c>
      <c r="BF1791">
        <v>0.55000000000000004</v>
      </c>
      <c r="BG1791">
        <v>-1.65</v>
      </c>
      <c r="BH1791">
        <v>-3.92</v>
      </c>
      <c r="BI1791">
        <v>0.08</v>
      </c>
      <c r="BJ1791">
        <v>20210904</v>
      </c>
      <c r="BK1791">
        <v>20150324</v>
      </c>
      <c r="BL1791">
        <v>5.15</v>
      </c>
      <c r="BM1791" t="s">
        <v>120</v>
      </c>
      <c r="BN1791" t="s">
        <v>120</v>
      </c>
      <c r="BO1791">
        <v>30.5</v>
      </c>
      <c r="BP1791">
        <v>12.49</v>
      </c>
      <c r="BQ1791">
        <v>19.79</v>
      </c>
      <c r="BR1791">
        <v>0.6</v>
      </c>
      <c r="BS1791">
        <v>33.14</v>
      </c>
      <c r="BT1791">
        <v>15.77</v>
      </c>
      <c r="BU1791">
        <v>5.52</v>
      </c>
      <c r="BV1791">
        <v>1.65</v>
      </c>
      <c r="BW1791">
        <v>2.42</v>
      </c>
      <c r="BX1791">
        <v>5.73</v>
      </c>
      <c r="BY1791">
        <v>2.82</v>
      </c>
      <c r="BZ1791">
        <v>1.71</v>
      </c>
      <c r="CA1791" t="s">
        <v>120</v>
      </c>
      <c r="CB1791">
        <v>4.99</v>
      </c>
      <c r="CC1791">
        <v>4.96</v>
      </c>
      <c r="CD1791">
        <v>3.21</v>
      </c>
      <c r="CE1791">
        <v>0.8</v>
      </c>
      <c r="CF1791">
        <v>-0.01</v>
      </c>
      <c r="CG1791">
        <v>0.8</v>
      </c>
      <c r="CH1791">
        <v>0.66</v>
      </c>
      <c r="CI1791">
        <v>0.67</v>
      </c>
      <c r="CJ1791">
        <v>-0.21</v>
      </c>
      <c r="CK1791">
        <v>0.64</v>
      </c>
      <c r="CL1791">
        <v>7.29</v>
      </c>
      <c r="CM1791">
        <v>0.56999999999999995</v>
      </c>
      <c r="CN1791">
        <v>-2.36</v>
      </c>
      <c r="CO1791">
        <v>51366</v>
      </c>
      <c r="CP1791">
        <v>6417</v>
      </c>
      <c r="CQ1791" t="s">
        <v>7907</v>
      </c>
      <c r="CR1791">
        <v>17.09</v>
      </c>
      <c r="CS1791">
        <v>32.9</v>
      </c>
      <c r="CT1791">
        <v>3.61</v>
      </c>
      <c r="CU1791">
        <v>113.08</v>
      </c>
      <c r="CV1791">
        <v>12.99</v>
      </c>
      <c r="CW1791">
        <v>0.31</v>
      </c>
      <c r="CX1791" t="s">
        <v>986</v>
      </c>
      <c r="CY1791">
        <v>3.46</v>
      </c>
      <c r="CZ1791">
        <v>3.46</v>
      </c>
      <c r="DA1791">
        <v>0.97</v>
      </c>
      <c r="DB1791">
        <v>1.42</v>
      </c>
      <c r="DC1791">
        <v>0.11</v>
      </c>
      <c r="DD1791">
        <v>64.900000000000006</v>
      </c>
      <c r="DE1791" t="s">
        <v>5338</v>
      </c>
      <c r="DF1791">
        <v>35.28</v>
      </c>
      <c r="DG1791">
        <v>16.170000000000002</v>
      </c>
      <c r="DH1791">
        <v>13.61</v>
      </c>
      <c r="DI1791">
        <v>0.34</v>
      </c>
      <c r="DJ1791">
        <v>1004</v>
      </c>
      <c r="DK1791">
        <v>300429</v>
      </c>
      <c r="DL1791" t="s">
        <v>120</v>
      </c>
      <c r="DM1791" t="s">
        <v>120</v>
      </c>
      <c r="DN1791" t="s">
        <v>120</v>
      </c>
    </row>
    <row r="1792" spans="1:118">
      <c r="A1792" t="str">
        <f>"300430"</f>
        <v>300430</v>
      </c>
      <c r="B1792" t="s">
        <v>9046</v>
      </c>
      <c r="C1792">
        <v>-4.26</v>
      </c>
      <c r="D1792">
        <v>0</v>
      </c>
      <c r="E1792">
        <v>-0.27</v>
      </c>
      <c r="F1792">
        <v>867</v>
      </c>
      <c r="G1792" t="s">
        <v>951</v>
      </c>
      <c r="H1792">
        <v>6618.78</v>
      </c>
      <c r="I1792">
        <v>3.96</v>
      </c>
      <c r="J1792" t="s">
        <v>120</v>
      </c>
      <c r="K1792" t="s">
        <v>2060</v>
      </c>
      <c r="L1792">
        <v>2.38</v>
      </c>
      <c r="M1792">
        <v>10.55</v>
      </c>
      <c r="N1792">
        <v>0.97</v>
      </c>
      <c r="O1792">
        <v>1.45</v>
      </c>
      <c r="P1792">
        <v>11.18</v>
      </c>
      <c r="Q1792">
        <v>-4.45</v>
      </c>
      <c r="R1792">
        <v>10.53</v>
      </c>
      <c r="S1792">
        <v>10.99</v>
      </c>
      <c r="T1792">
        <v>61143</v>
      </c>
      <c r="U1792">
        <v>10.56</v>
      </c>
      <c r="V1792">
        <v>11.02</v>
      </c>
      <c r="W1792">
        <v>29.36</v>
      </c>
      <c r="X1792" t="s">
        <v>2717</v>
      </c>
      <c r="Y1792" t="s">
        <v>158</v>
      </c>
      <c r="Z1792">
        <v>5.9</v>
      </c>
      <c r="AA1792">
        <v>10.83</v>
      </c>
      <c r="AB1792">
        <v>34380</v>
      </c>
      <c r="AC1792">
        <v>26763</v>
      </c>
      <c r="AD1792">
        <v>1.28</v>
      </c>
      <c r="AE1792">
        <v>571</v>
      </c>
      <c r="AF1792">
        <v>68</v>
      </c>
      <c r="AG1792" t="s">
        <v>120</v>
      </c>
      <c r="AH1792">
        <v>0</v>
      </c>
      <c r="AI1792" t="s">
        <v>120</v>
      </c>
      <c r="AJ1792">
        <v>2.57</v>
      </c>
      <c r="AK1792" t="s">
        <v>9047</v>
      </c>
      <c r="AL1792">
        <v>-2.35</v>
      </c>
      <c r="AM1792">
        <v>2354</v>
      </c>
      <c r="AN1792">
        <v>26</v>
      </c>
      <c r="AO1792">
        <v>1E-3</v>
      </c>
      <c r="AP1792">
        <v>-2</v>
      </c>
      <c r="AQ1792">
        <v>-0.54</v>
      </c>
      <c r="AR1792">
        <v>-3.65</v>
      </c>
      <c r="AS1792">
        <v>-0.28000000000000003</v>
      </c>
      <c r="AT1792">
        <v>-12.18</v>
      </c>
      <c r="AU1792">
        <v>20.93</v>
      </c>
      <c r="AV1792">
        <v>0</v>
      </c>
      <c r="AW1792">
        <v>4.34</v>
      </c>
      <c r="AX1792">
        <v>51.74</v>
      </c>
      <c r="AY1792">
        <v>25.95</v>
      </c>
      <c r="AZ1792">
        <v>49.64</v>
      </c>
      <c r="BA1792">
        <v>0.83</v>
      </c>
      <c r="BB1792" t="s">
        <v>2725</v>
      </c>
      <c r="BF1792">
        <v>-1.77</v>
      </c>
      <c r="BG1792">
        <v>-4</v>
      </c>
      <c r="BH1792">
        <v>-5.64</v>
      </c>
      <c r="BI1792">
        <v>0.19</v>
      </c>
      <c r="BJ1792">
        <v>20210901</v>
      </c>
      <c r="BK1792">
        <v>20150319</v>
      </c>
      <c r="BL1792">
        <v>2.72</v>
      </c>
      <c r="BM1792" t="s">
        <v>120</v>
      </c>
      <c r="BN1792" t="s">
        <v>120</v>
      </c>
      <c r="BO1792">
        <v>26.63</v>
      </c>
      <c r="BP1792">
        <v>10.55</v>
      </c>
      <c r="BQ1792">
        <v>18.03</v>
      </c>
      <c r="BR1792">
        <v>0.22</v>
      </c>
      <c r="BS1792">
        <v>31.47</v>
      </c>
      <c r="BT1792">
        <v>14.08</v>
      </c>
      <c r="BU1792">
        <v>1.94</v>
      </c>
      <c r="BV1792">
        <v>0.63</v>
      </c>
      <c r="BW1792">
        <v>7.76</v>
      </c>
      <c r="BX1792">
        <v>1.75</v>
      </c>
      <c r="BY1792">
        <v>6</v>
      </c>
      <c r="BZ1792">
        <v>3.84</v>
      </c>
      <c r="CA1792" t="s">
        <v>120</v>
      </c>
      <c r="CB1792">
        <v>9.0399999999999991</v>
      </c>
      <c r="CC1792">
        <v>4.18</v>
      </c>
      <c r="CD1792">
        <v>2.57</v>
      </c>
      <c r="CE1792">
        <v>0.52</v>
      </c>
      <c r="CF1792">
        <v>0</v>
      </c>
      <c r="CG1792">
        <v>0.52</v>
      </c>
      <c r="CH1792">
        <v>0.49</v>
      </c>
      <c r="CI1792">
        <v>0.49</v>
      </c>
      <c r="CJ1792">
        <v>-0.47</v>
      </c>
      <c r="CK1792">
        <v>0.44</v>
      </c>
      <c r="CL1792">
        <v>5.95</v>
      </c>
      <c r="CM1792">
        <v>-0.14000000000000001</v>
      </c>
      <c r="CN1792">
        <v>-0.89</v>
      </c>
      <c r="CO1792">
        <v>13141</v>
      </c>
      <c r="CP1792">
        <v>10710</v>
      </c>
      <c r="CQ1792" t="s">
        <v>8135</v>
      </c>
      <c r="CR1792">
        <v>882.17</v>
      </c>
      <c r="CS1792">
        <v>80.959999999999994</v>
      </c>
      <c r="CT1792">
        <v>1.59</v>
      </c>
      <c r="CU1792">
        <v>-208.59</v>
      </c>
      <c r="CV1792">
        <v>6.86</v>
      </c>
      <c r="CW1792">
        <v>0.14000000000000001</v>
      </c>
      <c r="CX1792" t="s">
        <v>242</v>
      </c>
      <c r="CY1792">
        <v>6.63</v>
      </c>
      <c r="CZ1792">
        <v>0</v>
      </c>
      <c r="DA1792">
        <v>3.32</v>
      </c>
      <c r="DB1792">
        <v>2.19</v>
      </c>
      <c r="DC1792">
        <v>-0.05</v>
      </c>
      <c r="DD1792">
        <v>67.709999999999994</v>
      </c>
      <c r="DE1792" t="s">
        <v>374</v>
      </c>
      <c r="DF1792">
        <v>38.619999999999997</v>
      </c>
      <c r="DG1792">
        <v>12.43</v>
      </c>
      <c r="DH1792">
        <v>11.68</v>
      </c>
      <c r="DI1792">
        <v>0.22</v>
      </c>
      <c r="DJ1792">
        <v>1356</v>
      </c>
      <c r="DK1792">
        <v>300430</v>
      </c>
      <c r="DL1792" t="s">
        <v>120</v>
      </c>
      <c r="DM1792" t="s">
        <v>120</v>
      </c>
      <c r="DN1792" t="s">
        <v>120</v>
      </c>
    </row>
    <row r="1793" spans="1:118">
      <c r="A1793" t="str">
        <f>"300432"</f>
        <v>300432</v>
      </c>
      <c r="B1793" t="s">
        <v>9048</v>
      </c>
      <c r="C1793">
        <v>-1.1599999999999999</v>
      </c>
      <c r="D1793">
        <v>0.51</v>
      </c>
      <c r="E1793">
        <v>-2.0699999999999998</v>
      </c>
      <c r="F1793">
        <v>4224</v>
      </c>
      <c r="G1793" t="s">
        <v>9049</v>
      </c>
      <c r="H1793">
        <v>196049.63</v>
      </c>
      <c r="I1793">
        <v>1896.78</v>
      </c>
      <c r="J1793" t="s">
        <v>120</v>
      </c>
      <c r="K1793" t="s">
        <v>9050</v>
      </c>
      <c r="L1793">
        <v>5.0599999999999996</v>
      </c>
      <c r="M1793">
        <v>52.97</v>
      </c>
      <c r="N1793">
        <v>0.92</v>
      </c>
      <c r="O1793">
        <v>3.62</v>
      </c>
      <c r="P1793">
        <v>55.53</v>
      </c>
      <c r="Q1793">
        <v>-4.4800000000000004</v>
      </c>
      <c r="R1793">
        <v>51.19</v>
      </c>
      <c r="S1793">
        <v>52.48</v>
      </c>
      <c r="T1793">
        <v>367421</v>
      </c>
      <c r="U1793">
        <v>53</v>
      </c>
      <c r="V1793">
        <v>53.59</v>
      </c>
      <c r="W1793">
        <v>122.74</v>
      </c>
      <c r="X1793" t="s">
        <v>289</v>
      </c>
      <c r="Y1793" t="s">
        <v>578</v>
      </c>
      <c r="Z1793">
        <v>8.1</v>
      </c>
      <c r="AA1793">
        <v>53.36</v>
      </c>
      <c r="AB1793">
        <v>178864</v>
      </c>
      <c r="AC1793">
        <v>188557</v>
      </c>
      <c r="AD1793">
        <v>0.95</v>
      </c>
      <c r="AE1793">
        <v>230</v>
      </c>
      <c r="AF1793">
        <v>99</v>
      </c>
      <c r="AG1793" t="s">
        <v>120</v>
      </c>
      <c r="AH1793">
        <v>0.09</v>
      </c>
      <c r="AI1793" t="s">
        <v>120</v>
      </c>
      <c r="AJ1793">
        <v>7.25</v>
      </c>
      <c r="AK1793" t="s">
        <v>9051</v>
      </c>
      <c r="AL1793">
        <v>0.76</v>
      </c>
      <c r="AM1793">
        <v>4570</v>
      </c>
      <c r="AN1793">
        <v>80</v>
      </c>
      <c r="AO1793">
        <v>1.1000000000000001E-3</v>
      </c>
      <c r="AP1793">
        <v>-1</v>
      </c>
      <c r="AQ1793">
        <v>13.68</v>
      </c>
      <c r="AR1793">
        <v>15.2</v>
      </c>
      <c r="AS1793">
        <v>44.45</v>
      </c>
      <c r="AT1793">
        <v>285.79000000000002</v>
      </c>
      <c r="AU1793">
        <v>416.78</v>
      </c>
      <c r="AV1793">
        <v>4</v>
      </c>
      <c r="AW1793">
        <v>9.2799999999999994</v>
      </c>
      <c r="AX1793">
        <v>53.25</v>
      </c>
      <c r="AY1793">
        <v>115.32</v>
      </c>
      <c r="AZ1793">
        <v>120.64</v>
      </c>
      <c r="BA1793">
        <v>1.6</v>
      </c>
      <c r="BB1793" t="s">
        <v>184</v>
      </c>
      <c r="BF1793">
        <v>-0.43</v>
      </c>
      <c r="BG1793">
        <v>0.93</v>
      </c>
      <c r="BH1793">
        <v>-4.6100000000000003</v>
      </c>
      <c r="BI1793">
        <v>3.48</v>
      </c>
      <c r="BJ1793">
        <v>20210902</v>
      </c>
      <c r="BK1793">
        <v>20150319</v>
      </c>
      <c r="BL1793">
        <v>7.43</v>
      </c>
      <c r="BM1793" t="s">
        <v>120</v>
      </c>
      <c r="BN1793" t="s">
        <v>120</v>
      </c>
      <c r="BO1793">
        <v>33.229999999999997</v>
      </c>
      <c r="BP1793">
        <v>52.97</v>
      </c>
      <c r="BQ1793">
        <v>22.4</v>
      </c>
      <c r="BR1793">
        <v>-0.03</v>
      </c>
      <c r="BS1793">
        <v>32.68</v>
      </c>
      <c r="BT1793">
        <v>18.27</v>
      </c>
      <c r="BU1793">
        <v>7.1</v>
      </c>
      <c r="BV1793">
        <v>1.36</v>
      </c>
      <c r="BW1793">
        <v>9.25</v>
      </c>
      <c r="BX1793">
        <v>2.99</v>
      </c>
      <c r="BY1793">
        <v>4.72</v>
      </c>
      <c r="BZ1793">
        <v>3.85</v>
      </c>
      <c r="CA1793" t="s">
        <v>120</v>
      </c>
      <c r="CB1793">
        <v>16.47</v>
      </c>
      <c r="CC1793">
        <v>10.7</v>
      </c>
      <c r="CD1793">
        <v>7.47</v>
      </c>
      <c r="CE1793">
        <v>1.93</v>
      </c>
      <c r="CF1793">
        <v>0.2</v>
      </c>
      <c r="CG1793">
        <v>1.94</v>
      </c>
      <c r="CH1793">
        <v>1.6</v>
      </c>
      <c r="CI1793">
        <v>1.6</v>
      </c>
      <c r="CJ1793">
        <v>-0.62</v>
      </c>
      <c r="CK1793">
        <v>1.4</v>
      </c>
      <c r="CL1793">
        <v>-2.4900000000000002</v>
      </c>
      <c r="CM1793">
        <v>0.05</v>
      </c>
      <c r="CN1793">
        <v>-4.6100000000000003</v>
      </c>
      <c r="CO1793">
        <v>38121</v>
      </c>
      <c r="CP1793">
        <v>10385</v>
      </c>
      <c r="CQ1793" t="s">
        <v>9052</v>
      </c>
      <c r="CR1793">
        <v>10.48</v>
      </c>
      <c r="CS1793">
        <v>45.08</v>
      </c>
      <c r="CT1793">
        <v>17.48</v>
      </c>
      <c r="CU1793">
        <v>7201.61</v>
      </c>
      <c r="CV1793">
        <v>36.799999999999997</v>
      </c>
      <c r="CW1793">
        <v>0</v>
      </c>
      <c r="CX1793" t="s">
        <v>3361</v>
      </c>
      <c r="CY1793">
        <v>3.03</v>
      </c>
      <c r="CZ1793">
        <v>3.03</v>
      </c>
      <c r="DA1793">
        <v>2.2200000000000002</v>
      </c>
      <c r="DB1793">
        <v>-0.33</v>
      </c>
      <c r="DC1793">
        <v>0.01</v>
      </c>
      <c r="DD1793">
        <v>67.41</v>
      </c>
      <c r="DE1793" t="s">
        <v>9053</v>
      </c>
      <c r="DF1793">
        <v>30.2</v>
      </c>
      <c r="DG1793">
        <v>18.07</v>
      </c>
      <c r="DH1793">
        <v>14.99</v>
      </c>
      <c r="DI1793">
        <v>0.61</v>
      </c>
      <c r="DJ1793">
        <v>2631</v>
      </c>
      <c r="DK1793">
        <v>300432</v>
      </c>
      <c r="DL1793">
        <v>20210703</v>
      </c>
      <c r="DM1793">
        <v>15.19</v>
      </c>
      <c r="DN1793">
        <v>248.72</v>
      </c>
    </row>
    <row r="1794" spans="1:118">
      <c r="A1794" t="str">
        <f>"300433"</f>
        <v>300433</v>
      </c>
      <c r="B1794" t="s">
        <v>9054</v>
      </c>
      <c r="C1794">
        <v>-3.23</v>
      </c>
      <c r="D1794">
        <v>-0.08</v>
      </c>
      <c r="E1794">
        <v>-0.68</v>
      </c>
      <c r="F1794">
        <v>5893</v>
      </c>
      <c r="G1794" t="s">
        <v>9055</v>
      </c>
      <c r="H1794">
        <v>68791.740000000005</v>
      </c>
      <c r="I1794">
        <v>398.6</v>
      </c>
      <c r="J1794" t="s">
        <v>120</v>
      </c>
      <c r="K1794" t="s">
        <v>9056</v>
      </c>
      <c r="L1794">
        <v>0.6</v>
      </c>
      <c r="M1794">
        <v>22.8</v>
      </c>
      <c r="N1794">
        <v>1.24</v>
      </c>
      <c r="O1794">
        <v>0.72</v>
      </c>
      <c r="P1794">
        <v>23.73</v>
      </c>
      <c r="Q1794">
        <v>-3.23</v>
      </c>
      <c r="R1794">
        <v>22.8</v>
      </c>
      <c r="S1794">
        <v>23.4</v>
      </c>
      <c r="T1794">
        <v>296899</v>
      </c>
      <c r="U1794">
        <v>22.81</v>
      </c>
      <c r="V1794">
        <v>23.56</v>
      </c>
      <c r="W1794">
        <v>24.56</v>
      </c>
      <c r="X1794" t="s">
        <v>229</v>
      </c>
      <c r="Y1794" t="s">
        <v>594</v>
      </c>
      <c r="Z1794">
        <v>3.95</v>
      </c>
      <c r="AA1794">
        <v>23.17</v>
      </c>
      <c r="AB1794">
        <v>164018</v>
      </c>
      <c r="AC1794">
        <v>132881</v>
      </c>
      <c r="AD1794">
        <v>1.23</v>
      </c>
      <c r="AE1794">
        <v>762</v>
      </c>
      <c r="AF1794">
        <v>1779</v>
      </c>
      <c r="AG1794" t="s">
        <v>120</v>
      </c>
      <c r="AH1794">
        <v>0.01</v>
      </c>
      <c r="AI1794" t="s">
        <v>120</v>
      </c>
      <c r="AJ1794">
        <v>49.6</v>
      </c>
      <c r="AK1794" t="s">
        <v>9057</v>
      </c>
      <c r="AL1794">
        <v>-1.31</v>
      </c>
      <c r="AM1794">
        <v>4314</v>
      </c>
      <c r="AN1794">
        <v>69</v>
      </c>
      <c r="AO1794">
        <v>1E-4</v>
      </c>
      <c r="AP1794">
        <v>-4</v>
      </c>
      <c r="AQ1794">
        <v>-1.75</v>
      </c>
      <c r="AR1794">
        <v>-5.23</v>
      </c>
      <c r="AS1794">
        <v>-6.25</v>
      </c>
      <c r="AT1794">
        <v>-23.77</v>
      </c>
      <c r="AU1794">
        <v>-24.65</v>
      </c>
      <c r="AV1794">
        <v>0</v>
      </c>
      <c r="AW1794">
        <v>2.3199999999999998</v>
      </c>
      <c r="AX1794">
        <v>25.7</v>
      </c>
      <c r="AY1794">
        <v>22.14</v>
      </c>
      <c r="AZ1794">
        <v>23.93</v>
      </c>
      <c r="BA1794">
        <v>0.71</v>
      </c>
      <c r="BB1794" t="s">
        <v>134</v>
      </c>
      <c r="BF1794">
        <v>-1.65</v>
      </c>
      <c r="BG1794">
        <v>-2.56</v>
      </c>
      <c r="BH1794">
        <v>-3.92</v>
      </c>
      <c r="BI1794">
        <v>0</v>
      </c>
      <c r="BJ1794">
        <v>20210821</v>
      </c>
      <c r="BK1794">
        <v>20150318</v>
      </c>
      <c r="BL1794">
        <v>49.73</v>
      </c>
      <c r="BM1794" t="s">
        <v>120</v>
      </c>
      <c r="BN1794" t="s">
        <v>120</v>
      </c>
      <c r="BO1794">
        <v>736.18</v>
      </c>
      <c r="BP1794">
        <v>22.8</v>
      </c>
      <c r="BQ1794">
        <v>428.47</v>
      </c>
      <c r="BR1794">
        <v>1.33</v>
      </c>
      <c r="BS1794">
        <v>41.62</v>
      </c>
      <c r="BT1794">
        <v>285.8</v>
      </c>
      <c r="BU1794">
        <v>307.91000000000003</v>
      </c>
      <c r="BV1794">
        <v>56.6</v>
      </c>
      <c r="BW1794">
        <v>183.99</v>
      </c>
      <c r="BX1794">
        <v>123.46</v>
      </c>
      <c r="BY1794">
        <v>55.9</v>
      </c>
      <c r="BZ1794">
        <v>87.14</v>
      </c>
      <c r="CA1794" t="s">
        <v>120</v>
      </c>
      <c r="CB1794">
        <v>207</v>
      </c>
      <c r="CC1794">
        <v>213.91</v>
      </c>
      <c r="CD1794">
        <v>162.87</v>
      </c>
      <c r="CE1794">
        <v>26.93</v>
      </c>
      <c r="CF1794">
        <v>0.55000000000000004</v>
      </c>
      <c r="CG1794">
        <v>26.94</v>
      </c>
      <c r="CH1794">
        <v>23.22</v>
      </c>
      <c r="CI1794">
        <v>23.08</v>
      </c>
      <c r="CJ1794">
        <v>-0.76</v>
      </c>
      <c r="CK1794">
        <v>18.829999999999998</v>
      </c>
      <c r="CL1794">
        <v>151.94</v>
      </c>
      <c r="CM1794">
        <v>33.03</v>
      </c>
      <c r="CN1794">
        <v>-68.47</v>
      </c>
      <c r="CO1794">
        <v>148133</v>
      </c>
      <c r="CP1794">
        <v>8629</v>
      </c>
      <c r="CQ1794" t="s">
        <v>1778</v>
      </c>
      <c r="CR1794">
        <v>20.73</v>
      </c>
      <c r="CS1794">
        <v>37.409999999999997</v>
      </c>
      <c r="CT1794">
        <v>2.65</v>
      </c>
      <c r="CU1794">
        <v>34.33</v>
      </c>
      <c r="CV1794">
        <v>5.3</v>
      </c>
      <c r="CW1794">
        <v>1.49</v>
      </c>
      <c r="CX1794" t="s">
        <v>7224</v>
      </c>
      <c r="CY1794">
        <v>8.6199999999999992</v>
      </c>
      <c r="CZ1794">
        <v>0</v>
      </c>
      <c r="DA1794">
        <v>4.16</v>
      </c>
      <c r="DB1794">
        <v>3.05</v>
      </c>
      <c r="DC1794">
        <v>0.66</v>
      </c>
      <c r="DD1794">
        <v>58.2</v>
      </c>
      <c r="DE1794" t="s">
        <v>2423</v>
      </c>
      <c r="DF1794">
        <v>23.86</v>
      </c>
      <c r="DG1794">
        <v>12.59</v>
      </c>
      <c r="DH1794">
        <v>10.79</v>
      </c>
      <c r="DI1794">
        <v>10.16</v>
      </c>
      <c r="DJ1794">
        <v>111900</v>
      </c>
      <c r="DK1794">
        <v>300433</v>
      </c>
      <c r="DL1794" t="s">
        <v>120</v>
      </c>
      <c r="DM1794" t="s">
        <v>120</v>
      </c>
      <c r="DN1794" t="s">
        <v>120</v>
      </c>
    </row>
    <row r="1795" spans="1:118">
      <c r="A1795" t="str">
        <f>"300434"</f>
        <v>300434</v>
      </c>
      <c r="B1795" t="s">
        <v>9058</v>
      </c>
      <c r="C1795">
        <v>-1.1599999999999999</v>
      </c>
      <c r="D1795">
        <v>-0.2</v>
      </c>
      <c r="E1795">
        <v>1.27</v>
      </c>
      <c r="F1795">
        <v>152</v>
      </c>
      <c r="G1795" t="s">
        <v>9059</v>
      </c>
      <c r="H1795">
        <v>2522.85</v>
      </c>
      <c r="I1795">
        <v>12.17</v>
      </c>
      <c r="J1795" t="s">
        <v>120</v>
      </c>
      <c r="K1795" t="s">
        <v>5904</v>
      </c>
      <c r="L1795">
        <v>0.83</v>
      </c>
      <c r="M1795">
        <v>9.35</v>
      </c>
      <c r="N1795">
        <v>1.01</v>
      </c>
      <c r="O1795">
        <v>2.0099999999999998</v>
      </c>
      <c r="P1795">
        <v>9.65</v>
      </c>
      <c r="Q1795">
        <v>-1.37</v>
      </c>
      <c r="R1795">
        <v>9.33</v>
      </c>
      <c r="S1795">
        <v>9.58</v>
      </c>
      <c r="T1795">
        <v>26641</v>
      </c>
      <c r="U1795">
        <v>9.3699999999999992</v>
      </c>
      <c r="V1795">
        <v>9.4600000000000009</v>
      </c>
      <c r="W1795">
        <v>25.34</v>
      </c>
      <c r="X1795" t="s">
        <v>569</v>
      </c>
      <c r="Y1795" t="s">
        <v>578</v>
      </c>
      <c r="Z1795">
        <v>3.38</v>
      </c>
      <c r="AA1795">
        <v>9.4700000000000006</v>
      </c>
      <c r="AB1795">
        <v>14196</v>
      </c>
      <c r="AC1795">
        <v>12445</v>
      </c>
      <c r="AD1795">
        <v>1.1399999999999999</v>
      </c>
      <c r="AE1795">
        <v>49</v>
      </c>
      <c r="AF1795">
        <v>21</v>
      </c>
      <c r="AG1795" t="s">
        <v>120</v>
      </c>
      <c r="AH1795">
        <v>0.01</v>
      </c>
      <c r="AI1795" t="s">
        <v>120</v>
      </c>
      <c r="AJ1795">
        <v>3.22</v>
      </c>
      <c r="AK1795" t="s">
        <v>3829</v>
      </c>
      <c r="AL1795">
        <v>0.75</v>
      </c>
      <c r="AM1795">
        <v>1389</v>
      </c>
      <c r="AN1795">
        <v>19</v>
      </c>
      <c r="AO1795">
        <v>5.9999999999999995E-4</v>
      </c>
      <c r="AP1795">
        <v>-3</v>
      </c>
      <c r="AQ1795">
        <v>-0.73</v>
      </c>
      <c r="AR1795">
        <v>-4.2</v>
      </c>
      <c r="AS1795">
        <v>-13.02</v>
      </c>
      <c r="AT1795">
        <v>3.89</v>
      </c>
      <c r="AU1795">
        <v>22.54</v>
      </c>
      <c r="AV1795">
        <v>0</v>
      </c>
      <c r="AW1795">
        <v>1.45</v>
      </c>
      <c r="AX1795">
        <v>45.77</v>
      </c>
      <c r="AY1795" t="s">
        <v>120</v>
      </c>
      <c r="AZ1795" t="s">
        <v>120</v>
      </c>
      <c r="BA1795">
        <v>0.76</v>
      </c>
      <c r="BB1795" t="s">
        <v>134</v>
      </c>
      <c r="BF1795">
        <v>0.1</v>
      </c>
      <c r="BG1795">
        <v>-2.4</v>
      </c>
      <c r="BH1795">
        <v>-3.11</v>
      </c>
      <c r="BI1795">
        <v>0.21</v>
      </c>
      <c r="BJ1795">
        <v>20210827</v>
      </c>
      <c r="BK1795">
        <v>20150424</v>
      </c>
      <c r="BL1795">
        <v>4.0199999999999996</v>
      </c>
      <c r="BM1795" t="s">
        <v>120</v>
      </c>
      <c r="BN1795" t="s">
        <v>120</v>
      </c>
      <c r="BO1795">
        <v>25.86</v>
      </c>
      <c r="BP1795">
        <v>9.35</v>
      </c>
      <c r="BQ1795">
        <v>20.91</v>
      </c>
      <c r="BR1795">
        <v>0.78</v>
      </c>
      <c r="BS1795">
        <v>16.09</v>
      </c>
      <c r="BT1795">
        <v>7.45</v>
      </c>
      <c r="BU1795">
        <v>4.9800000000000004</v>
      </c>
      <c r="BV1795">
        <v>2.76</v>
      </c>
      <c r="BW1795">
        <v>3.28</v>
      </c>
      <c r="BX1795">
        <v>2.19</v>
      </c>
      <c r="BY1795">
        <v>2.02</v>
      </c>
      <c r="BZ1795">
        <v>0.57999999999999996</v>
      </c>
      <c r="CA1795">
        <v>7.0000000000000007E-2</v>
      </c>
      <c r="CB1795">
        <v>18.16</v>
      </c>
      <c r="CC1795">
        <v>5.36</v>
      </c>
      <c r="CD1795">
        <v>2.16</v>
      </c>
      <c r="CE1795">
        <v>0.88</v>
      </c>
      <c r="CF1795">
        <v>-0.03</v>
      </c>
      <c r="CG1795">
        <v>0.88</v>
      </c>
      <c r="CH1795">
        <v>0.74</v>
      </c>
      <c r="CI1795">
        <v>0.74</v>
      </c>
      <c r="CJ1795">
        <v>-0.11</v>
      </c>
      <c r="CK1795">
        <v>0.72</v>
      </c>
      <c r="CL1795">
        <v>-1.64</v>
      </c>
      <c r="CM1795">
        <v>0.42</v>
      </c>
      <c r="CN1795">
        <v>-1.92</v>
      </c>
      <c r="CO1795">
        <v>9868</v>
      </c>
      <c r="CP1795">
        <v>18636</v>
      </c>
      <c r="CQ1795" t="s">
        <v>9060</v>
      </c>
      <c r="CR1795">
        <v>1856.15</v>
      </c>
      <c r="CS1795">
        <v>58.79</v>
      </c>
      <c r="CT1795">
        <v>1.8</v>
      </c>
      <c r="CU1795">
        <v>89.65</v>
      </c>
      <c r="CV1795">
        <v>7.01</v>
      </c>
      <c r="CW1795">
        <v>0</v>
      </c>
      <c r="CX1795" t="s">
        <v>9061</v>
      </c>
      <c r="CY1795">
        <v>5.21</v>
      </c>
      <c r="CZ1795">
        <v>0</v>
      </c>
      <c r="DA1795">
        <v>4.5199999999999996</v>
      </c>
      <c r="DB1795">
        <v>-0.41</v>
      </c>
      <c r="DC1795">
        <v>0.1</v>
      </c>
      <c r="DD1795">
        <v>80.88</v>
      </c>
      <c r="DE1795" t="s">
        <v>1130</v>
      </c>
      <c r="DF1795">
        <v>59.58</v>
      </c>
      <c r="DG1795">
        <v>16.489999999999998</v>
      </c>
      <c r="DH1795">
        <v>13.84</v>
      </c>
      <c r="DI1795">
        <v>0.3</v>
      </c>
      <c r="DJ1795">
        <v>1761</v>
      </c>
      <c r="DK1795">
        <v>300434</v>
      </c>
      <c r="DL1795" t="s">
        <v>120</v>
      </c>
      <c r="DM1795" t="s">
        <v>120</v>
      </c>
      <c r="DN1795" t="s">
        <v>120</v>
      </c>
    </row>
    <row r="1796" spans="1:118">
      <c r="A1796" t="str">
        <f>"300435"</f>
        <v>300435</v>
      </c>
      <c r="B1796" t="s">
        <v>9062</v>
      </c>
      <c r="C1796">
        <v>0.51</v>
      </c>
      <c r="D1796">
        <v>0</v>
      </c>
      <c r="E1796">
        <v>-0.23</v>
      </c>
      <c r="F1796">
        <v>3478</v>
      </c>
      <c r="G1796" t="s">
        <v>1285</v>
      </c>
      <c r="H1796">
        <v>75219.929999999993</v>
      </c>
      <c r="I1796">
        <v>298.10000000000002</v>
      </c>
      <c r="J1796" t="s">
        <v>120</v>
      </c>
      <c r="K1796" t="s">
        <v>9063</v>
      </c>
      <c r="L1796">
        <v>11.46</v>
      </c>
      <c r="M1796">
        <v>21.84</v>
      </c>
      <c r="N1796">
        <v>0.88</v>
      </c>
      <c r="O1796">
        <v>7.92</v>
      </c>
      <c r="P1796">
        <v>23.45</v>
      </c>
      <c r="Q1796">
        <v>-0.23</v>
      </c>
      <c r="R1796">
        <v>21.68</v>
      </c>
      <c r="S1796">
        <v>21.68</v>
      </c>
      <c r="T1796">
        <v>333911</v>
      </c>
      <c r="U1796">
        <v>21.84</v>
      </c>
      <c r="V1796">
        <v>21.73</v>
      </c>
      <c r="W1796">
        <v>33.020000000000003</v>
      </c>
      <c r="X1796" t="s">
        <v>959</v>
      </c>
      <c r="Y1796" t="s">
        <v>585</v>
      </c>
      <c r="Z1796">
        <v>8.15</v>
      </c>
      <c r="AA1796">
        <v>22.53</v>
      </c>
      <c r="AB1796">
        <v>164424</v>
      </c>
      <c r="AC1796">
        <v>169487</v>
      </c>
      <c r="AD1796">
        <v>0.97</v>
      </c>
      <c r="AE1796">
        <v>179</v>
      </c>
      <c r="AF1796">
        <v>760</v>
      </c>
      <c r="AG1796" t="s">
        <v>120</v>
      </c>
      <c r="AH1796">
        <v>0.09</v>
      </c>
      <c r="AI1796" t="s">
        <v>120</v>
      </c>
      <c r="AJ1796">
        <v>2.91</v>
      </c>
      <c r="AK1796" t="s">
        <v>9064</v>
      </c>
      <c r="AL1796">
        <v>2.42</v>
      </c>
      <c r="AM1796">
        <v>4055</v>
      </c>
      <c r="AN1796">
        <v>82</v>
      </c>
      <c r="AO1796">
        <v>2.8E-3</v>
      </c>
      <c r="AP1796">
        <v>3</v>
      </c>
      <c r="AQ1796">
        <v>0.79</v>
      </c>
      <c r="AR1796">
        <v>3.32</v>
      </c>
      <c r="AS1796">
        <v>5.56</v>
      </c>
      <c r="AT1796">
        <v>79.45</v>
      </c>
      <c r="AU1796">
        <v>69.56</v>
      </c>
      <c r="AV1796">
        <v>2</v>
      </c>
      <c r="AW1796">
        <v>22.9</v>
      </c>
      <c r="AX1796">
        <v>38.56</v>
      </c>
      <c r="AY1796">
        <v>34.119999999999997</v>
      </c>
      <c r="AZ1796">
        <v>41.91</v>
      </c>
      <c r="BA1796">
        <v>0.27</v>
      </c>
      <c r="BB1796" t="s">
        <v>143</v>
      </c>
      <c r="BF1796">
        <v>3.67</v>
      </c>
      <c r="BG1796">
        <v>0.74</v>
      </c>
      <c r="BH1796">
        <v>-6.87</v>
      </c>
      <c r="BI1796">
        <v>0.74</v>
      </c>
      <c r="BJ1796">
        <v>20210826</v>
      </c>
      <c r="BK1796">
        <v>20150326</v>
      </c>
      <c r="BL1796">
        <v>3.78</v>
      </c>
      <c r="BM1796" t="s">
        <v>120</v>
      </c>
      <c r="BN1796" t="s">
        <v>120</v>
      </c>
      <c r="BO1796">
        <v>36.11</v>
      </c>
      <c r="BP1796">
        <v>21.83</v>
      </c>
      <c r="BQ1796">
        <v>23.87</v>
      </c>
      <c r="BR1796">
        <v>0.03</v>
      </c>
      <c r="BS1796">
        <v>33.81</v>
      </c>
      <c r="BT1796">
        <v>19.09</v>
      </c>
      <c r="BU1796">
        <v>7.06</v>
      </c>
      <c r="BV1796">
        <v>3.53</v>
      </c>
      <c r="BW1796">
        <v>11.32</v>
      </c>
      <c r="BX1796">
        <v>8.58</v>
      </c>
      <c r="BY1796">
        <v>2.11</v>
      </c>
      <c r="BZ1796">
        <v>5.39</v>
      </c>
      <c r="CA1796" t="s">
        <v>120</v>
      </c>
      <c r="CB1796">
        <v>12.82</v>
      </c>
      <c r="CC1796">
        <v>11.36</v>
      </c>
      <c r="CD1796">
        <v>9.2899999999999991</v>
      </c>
      <c r="CE1796">
        <v>1.52</v>
      </c>
      <c r="CF1796">
        <v>0.06</v>
      </c>
      <c r="CG1796">
        <v>1.57</v>
      </c>
      <c r="CH1796">
        <v>1.25</v>
      </c>
      <c r="CI1796">
        <v>1.25</v>
      </c>
      <c r="CJ1796">
        <v>0.11</v>
      </c>
      <c r="CK1796">
        <v>1.08</v>
      </c>
      <c r="CL1796">
        <v>6.52</v>
      </c>
      <c r="CM1796">
        <v>1.1599999999999999</v>
      </c>
      <c r="CN1796">
        <v>1.0900000000000001</v>
      </c>
      <c r="CO1796">
        <v>39260</v>
      </c>
      <c r="CP1796">
        <v>3715</v>
      </c>
      <c r="CQ1796" t="s">
        <v>5581</v>
      </c>
      <c r="CR1796">
        <v>55.74</v>
      </c>
      <c r="CS1796">
        <v>24.6</v>
      </c>
      <c r="CT1796">
        <v>3.46</v>
      </c>
      <c r="CU1796">
        <v>71.09</v>
      </c>
      <c r="CV1796">
        <v>7.27</v>
      </c>
      <c r="CW1796">
        <v>0.37</v>
      </c>
      <c r="CX1796" t="s">
        <v>2443</v>
      </c>
      <c r="CY1796">
        <v>6.31</v>
      </c>
      <c r="CZ1796">
        <v>0</v>
      </c>
      <c r="DA1796">
        <v>3.39</v>
      </c>
      <c r="DB1796">
        <v>1.72</v>
      </c>
      <c r="DC1796">
        <v>0.31</v>
      </c>
      <c r="DD1796">
        <v>66.11</v>
      </c>
      <c r="DE1796" t="s">
        <v>4000</v>
      </c>
      <c r="DF1796">
        <v>18.2</v>
      </c>
      <c r="DG1796">
        <v>13.36</v>
      </c>
      <c r="DH1796">
        <v>11.01</v>
      </c>
      <c r="DI1796">
        <v>0.14000000000000001</v>
      </c>
      <c r="DJ1796">
        <v>1122</v>
      </c>
      <c r="DK1796">
        <v>300435</v>
      </c>
      <c r="DL1796">
        <v>20210817</v>
      </c>
      <c r="DM1796">
        <v>21.94</v>
      </c>
      <c r="DN1796">
        <v>-0.46</v>
      </c>
    </row>
    <row r="1797" spans="1:118">
      <c r="A1797" t="str">
        <f>"300436"</f>
        <v>300436</v>
      </c>
      <c r="B1797" t="s">
        <v>9065</v>
      </c>
      <c r="C1797">
        <v>0.49</v>
      </c>
      <c r="D1797">
        <v>-0.09</v>
      </c>
      <c r="E1797">
        <v>0.03</v>
      </c>
      <c r="F1797">
        <v>52</v>
      </c>
      <c r="G1797" t="s">
        <v>9066</v>
      </c>
      <c r="H1797">
        <v>1695.17</v>
      </c>
      <c r="I1797">
        <v>0.31</v>
      </c>
      <c r="J1797" t="s">
        <v>120</v>
      </c>
      <c r="K1797" t="s">
        <v>5341</v>
      </c>
      <c r="L1797">
        <v>0.48</v>
      </c>
      <c r="M1797">
        <v>30.85</v>
      </c>
      <c r="N1797">
        <v>0.91</v>
      </c>
      <c r="O1797">
        <v>1.86</v>
      </c>
      <c r="P1797">
        <v>31.27</v>
      </c>
      <c r="Q1797">
        <v>-7.0000000000000007E-2</v>
      </c>
      <c r="R1797">
        <v>30.68</v>
      </c>
      <c r="S1797">
        <v>30.71</v>
      </c>
      <c r="T1797">
        <v>5466</v>
      </c>
      <c r="U1797">
        <v>30.88</v>
      </c>
      <c r="V1797">
        <v>30.7</v>
      </c>
      <c r="W1797" t="s">
        <v>120</v>
      </c>
      <c r="X1797" t="s">
        <v>569</v>
      </c>
      <c r="Y1797" t="s">
        <v>937</v>
      </c>
      <c r="Z1797">
        <v>1.92</v>
      </c>
      <c r="AA1797">
        <v>31.01</v>
      </c>
      <c r="AB1797">
        <v>2158</v>
      </c>
      <c r="AC1797">
        <v>3308</v>
      </c>
      <c r="AD1797">
        <v>0.65</v>
      </c>
      <c r="AE1797">
        <v>19</v>
      </c>
      <c r="AF1797">
        <v>55</v>
      </c>
      <c r="AG1797" t="s">
        <v>120</v>
      </c>
      <c r="AH1797">
        <v>0</v>
      </c>
      <c r="AI1797" t="s">
        <v>120</v>
      </c>
      <c r="AJ1797">
        <v>1.1399999999999999</v>
      </c>
      <c r="AK1797" t="s">
        <v>9067</v>
      </c>
      <c r="AL1797">
        <v>2.4</v>
      </c>
      <c r="AM1797">
        <v>734</v>
      </c>
      <c r="AN1797">
        <v>7</v>
      </c>
      <c r="AO1797">
        <v>6.9999999999999999E-4</v>
      </c>
      <c r="AP1797">
        <v>1</v>
      </c>
      <c r="AQ1797">
        <v>-1.1599999999999999</v>
      </c>
      <c r="AR1797">
        <v>-0.32</v>
      </c>
      <c r="AS1797">
        <v>-10.19</v>
      </c>
      <c r="AT1797">
        <v>-12.81</v>
      </c>
      <c r="AU1797">
        <v>-20.16</v>
      </c>
      <c r="AV1797">
        <v>0</v>
      </c>
      <c r="AW1797">
        <v>0.89</v>
      </c>
      <c r="AX1797">
        <v>38.770000000000003</v>
      </c>
      <c r="AY1797" t="s">
        <v>120</v>
      </c>
      <c r="AZ1797">
        <v>328.81</v>
      </c>
      <c r="BA1797">
        <v>0.39</v>
      </c>
      <c r="BB1797" t="s">
        <v>125</v>
      </c>
      <c r="BF1797">
        <v>1.02</v>
      </c>
      <c r="BG1797">
        <v>0.46</v>
      </c>
      <c r="BH1797">
        <v>-1.34</v>
      </c>
      <c r="BI1797">
        <v>0.55000000000000004</v>
      </c>
      <c r="BJ1797">
        <v>20210826</v>
      </c>
      <c r="BK1797">
        <v>20150422</v>
      </c>
      <c r="BL1797">
        <v>1.59</v>
      </c>
      <c r="BM1797" t="s">
        <v>120</v>
      </c>
      <c r="BN1797" t="s">
        <v>120</v>
      </c>
      <c r="BO1797">
        <v>14.83</v>
      </c>
      <c r="BP1797">
        <v>30.85</v>
      </c>
      <c r="BQ1797">
        <v>10.61</v>
      </c>
      <c r="BR1797">
        <v>0.06</v>
      </c>
      <c r="BS1797">
        <v>28.07</v>
      </c>
      <c r="BT1797">
        <v>6.74</v>
      </c>
      <c r="BU1797">
        <v>3.71</v>
      </c>
      <c r="BV1797">
        <v>1.42</v>
      </c>
      <c r="BW1797">
        <v>2.92</v>
      </c>
      <c r="BX1797">
        <v>5.51</v>
      </c>
      <c r="BY1797">
        <v>0.64</v>
      </c>
      <c r="BZ1797">
        <v>0.41</v>
      </c>
      <c r="CA1797" t="s">
        <v>120</v>
      </c>
      <c r="CB1797">
        <v>6.59</v>
      </c>
      <c r="CC1797">
        <v>1.73</v>
      </c>
      <c r="CD1797">
        <v>0.63</v>
      </c>
      <c r="CE1797">
        <v>-0.21</v>
      </c>
      <c r="CF1797">
        <v>0.1</v>
      </c>
      <c r="CG1797">
        <v>-0.21</v>
      </c>
      <c r="CH1797">
        <v>-0.16</v>
      </c>
      <c r="CI1797">
        <v>-0.17</v>
      </c>
      <c r="CJ1797">
        <v>0.15</v>
      </c>
      <c r="CK1797">
        <v>-0.24</v>
      </c>
      <c r="CL1797">
        <v>1.99</v>
      </c>
      <c r="CM1797">
        <v>-0.13</v>
      </c>
      <c r="CN1797">
        <v>4.12</v>
      </c>
      <c r="CO1797">
        <v>14854</v>
      </c>
      <c r="CP1797">
        <v>4144</v>
      </c>
      <c r="CQ1797" t="s">
        <v>9068</v>
      </c>
      <c r="CR1797">
        <v>-250.35</v>
      </c>
      <c r="CS1797">
        <v>0.05</v>
      </c>
      <c r="CT1797">
        <v>4.62</v>
      </c>
      <c r="CU1797">
        <v>-381.01</v>
      </c>
      <c r="CV1797">
        <v>28.26</v>
      </c>
      <c r="CW1797">
        <v>0</v>
      </c>
      <c r="CX1797" t="s">
        <v>1643</v>
      </c>
      <c r="CY1797">
        <v>6.68</v>
      </c>
      <c r="CZ1797">
        <v>0</v>
      </c>
      <c r="DA1797">
        <v>4.1500000000000004</v>
      </c>
      <c r="DB1797">
        <v>1.25</v>
      </c>
      <c r="DC1797">
        <v>-0.08</v>
      </c>
      <c r="DD1797">
        <v>71.510000000000005</v>
      </c>
      <c r="DE1797" t="s">
        <v>6683</v>
      </c>
      <c r="DF1797">
        <v>63.46</v>
      </c>
      <c r="DG1797">
        <v>-12.07</v>
      </c>
      <c r="DH1797">
        <v>-9.86</v>
      </c>
      <c r="DI1797">
        <v>0.28999999999999998</v>
      </c>
      <c r="DJ1797">
        <v>708</v>
      </c>
      <c r="DK1797">
        <v>300436</v>
      </c>
      <c r="DL1797" t="s">
        <v>120</v>
      </c>
      <c r="DM1797" t="s">
        <v>120</v>
      </c>
      <c r="DN1797" t="s">
        <v>120</v>
      </c>
    </row>
    <row r="1798" spans="1:118">
      <c r="A1798" t="str">
        <f>"300437"</f>
        <v>300437</v>
      </c>
      <c r="B1798" t="s">
        <v>9069</v>
      </c>
      <c r="C1798">
        <v>1.28</v>
      </c>
      <c r="D1798">
        <v>0.25</v>
      </c>
      <c r="E1798">
        <v>1.37</v>
      </c>
      <c r="F1798">
        <v>7633</v>
      </c>
      <c r="G1798" t="s">
        <v>9070</v>
      </c>
      <c r="H1798">
        <v>109603.36</v>
      </c>
      <c r="I1798">
        <v>5481.86</v>
      </c>
      <c r="J1798" t="s">
        <v>120</v>
      </c>
      <c r="K1798" t="s">
        <v>8196</v>
      </c>
      <c r="L1798">
        <v>32.25</v>
      </c>
      <c r="M1798">
        <v>24.48</v>
      </c>
      <c r="N1798">
        <v>1.43</v>
      </c>
      <c r="O1798">
        <v>3.85</v>
      </c>
      <c r="P1798">
        <v>25.1</v>
      </c>
      <c r="Q1798">
        <v>-4.43</v>
      </c>
      <c r="R1798">
        <v>23.1</v>
      </c>
      <c r="S1798">
        <v>24.5</v>
      </c>
      <c r="T1798">
        <v>451614</v>
      </c>
      <c r="U1798">
        <v>24.5</v>
      </c>
      <c r="V1798">
        <v>24.17</v>
      </c>
      <c r="W1798" t="s">
        <v>120</v>
      </c>
      <c r="X1798" t="s">
        <v>868</v>
      </c>
      <c r="Y1798" t="s">
        <v>645</v>
      </c>
      <c r="Z1798">
        <v>8.27</v>
      </c>
      <c r="AA1798">
        <v>24.27</v>
      </c>
      <c r="AB1798">
        <v>231154</v>
      </c>
      <c r="AC1798">
        <v>220460</v>
      </c>
      <c r="AD1798">
        <v>1.05</v>
      </c>
      <c r="AE1798">
        <v>341</v>
      </c>
      <c r="AF1798">
        <v>93</v>
      </c>
      <c r="AG1798" t="s">
        <v>120</v>
      </c>
      <c r="AH1798">
        <v>2</v>
      </c>
      <c r="AI1798" t="s">
        <v>120</v>
      </c>
      <c r="AJ1798">
        <v>1.4</v>
      </c>
      <c r="AK1798" t="s">
        <v>9071</v>
      </c>
      <c r="AL1798">
        <v>3.2</v>
      </c>
      <c r="AM1798">
        <v>4466</v>
      </c>
      <c r="AN1798">
        <v>101</v>
      </c>
      <c r="AO1798">
        <v>7.1999999999999998E-3</v>
      </c>
      <c r="AP1798">
        <v>6</v>
      </c>
      <c r="AQ1798">
        <v>20.010000000000002</v>
      </c>
      <c r="AR1798">
        <v>45.88</v>
      </c>
      <c r="AS1798">
        <v>158.78</v>
      </c>
      <c r="AT1798">
        <v>170.5</v>
      </c>
      <c r="AU1798">
        <v>145.78</v>
      </c>
      <c r="AV1798">
        <v>7</v>
      </c>
      <c r="AW1798">
        <v>40.32</v>
      </c>
      <c r="AX1798">
        <v>50.62</v>
      </c>
      <c r="AY1798" t="s">
        <v>120</v>
      </c>
      <c r="AZ1798" t="s">
        <v>120</v>
      </c>
      <c r="BA1798">
        <v>0.61</v>
      </c>
      <c r="BB1798" t="s">
        <v>184</v>
      </c>
      <c r="BF1798">
        <v>0.41</v>
      </c>
      <c r="BG1798">
        <v>-0.08</v>
      </c>
      <c r="BH1798">
        <v>-2.4700000000000002</v>
      </c>
      <c r="BI1798">
        <v>5.97</v>
      </c>
      <c r="BJ1798">
        <v>20210906</v>
      </c>
      <c r="BK1798">
        <v>20150423</v>
      </c>
      <c r="BL1798">
        <v>2.21</v>
      </c>
      <c r="BM1798" t="s">
        <v>120</v>
      </c>
      <c r="BN1798" t="s">
        <v>120</v>
      </c>
      <c r="BO1798">
        <v>45.09</v>
      </c>
      <c r="BP1798">
        <v>24.48</v>
      </c>
      <c r="BQ1798">
        <v>11.56</v>
      </c>
      <c r="BR1798">
        <v>2.62</v>
      </c>
      <c r="BS1798">
        <v>68.56</v>
      </c>
      <c r="BT1798">
        <v>24.82</v>
      </c>
      <c r="BU1798">
        <v>6.68</v>
      </c>
      <c r="BV1798">
        <v>4.2</v>
      </c>
      <c r="BW1798">
        <v>22.12</v>
      </c>
      <c r="BX1798">
        <v>6.1</v>
      </c>
      <c r="BY1798">
        <v>1.25</v>
      </c>
      <c r="BZ1798">
        <v>5.66</v>
      </c>
      <c r="CA1798" t="s">
        <v>120</v>
      </c>
      <c r="CB1798">
        <v>6.83</v>
      </c>
      <c r="CC1798">
        <v>7.59</v>
      </c>
      <c r="CD1798">
        <v>6.36</v>
      </c>
      <c r="CE1798">
        <v>-0.31</v>
      </c>
      <c r="CF1798">
        <v>0</v>
      </c>
      <c r="CG1798">
        <v>-0.35</v>
      </c>
      <c r="CH1798">
        <v>-0.37</v>
      </c>
      <c r="CI1798">
        <v>-0.28999999999999998</v>
      </c>
      <c r="CJ1798">
        <v>0.31</v>
      </c>
      <c r="CK1798">
        <v>-0.3</v>
      </c>
      <c r="CL1798">
        <v>1.0900000000000001</v>
      </c>
      <c r="CM1798">
        <v>1.55</v>
      </c>
      <c r="CN1798">
        <v>-0.49</v>
      </c>
      <c r="CO1798">
        <v>18335</v>
      </c>
      <c r="CP1798">
        <v>6108</v>
      </c>
      <c r="CQ1798" t="s">
        <v>6608</v>
      </c>
      <c r="CR1798">
        <v>-175.5</v>
      </c>
      <c r="CS1798">
        <v>44.31</v>
      </c>
      <c r="CT1798">
        <v>5.2</v>
      </c>
      <c r="CU1798">
        <v>34.93</v>
      </c>
      <c r="CV1798">
        <v>7.14</v>
      </c>
      <c r="CW1798">
        <v>0</v>
      </c>
      <c r="CX1798" t="s">
        <v>359</v>
      </c>
      <c r="CY1798">
        <v>4.71</v>
      </c>
      <c r="CZ1798">
        <v>4.71</v>
      </c>
      <c r="DA1798">
        <v>3.09</v>
      </c>
      <c r="DB1798">
        <v>0.49</v>
      </c>
      <c r="DC1798">
        <v>0.7</v>
      </c>
      <c r="DD1798">
        <v>25.63</v>
      </c>
      <c r="DE1798" t="s">
        <v>9072</v>
      </c>
      <c r="DF1798">
        <v>16.149999999999999</v>
      </c>
      <c r="DG1798">
        <v>-4.1500000000000004</v>
      </c>
      <c r="DH1798">
        <v>-3.85</v>
      </c>
      <c r="DI1798">
        <v>0.18</v>
      </c>
      <c r="DJ1798">
        <v>1055</v>
      </c>
      <c r="DK1798">
        <v>300437</v>
      </c>
      <c r="DL1798">
        <v>20210913</v>
      </c>
      <c r="DM1798">
        <v>16.78</v>
      </c>
      <c r="DN1798">
        <v>45.89</v>
      </c>
    </row>
    <row r="1799" spans="1:118">
      <c r="A1799" t="str">
        <f>"300438"</f>
        <v>300438</v>
      </c>
      <c r="B1799" t="s">
        <v>9073</v>
      </c>
      <c r="C1799">
        <v>-7.94</v>
      </c>
      <c r="D1799">
        <v>-0.06</v>
      </c>
      <c r="E1799">
        <v>-0.21</v>
      </c>
      <c r="F1799">
        <v>1947</v>
      </c>
      <c r="G1799" t="s">
        <v>9074</v>
      </c>
      <c r="H1799">
        <v>46900.97</v>
      </c>
      <c r="I1799">
        <v>118.73</v>
      </c>
      <c r="J1799" t="s">
        <v>120</v>
      </c>
      <c r="K1799" t="s">
        <v>9075</v>
      </c>
      <c r="L1799">
        <v>5.25</v>
      </c>
      <c r="M1799">
        <v>26.78</v>
      </c>
      <c r="N1799">
        <v>1.21</v>
      </c>
      <c r="O1799">
        <v>0</v>
      </c>
      <c r="P1799">
        <v>29.09</v>
      </c>
      <c r="Q1799">
        <v>-8.01</v>
      </c>
      <c r="R1799">
        <v>26.76</v>
      </c>
      <c r="S1799">
        <v>29.03</v>
      </c>
      <c r="T1799">
        <v>169222</v>
      </c>
      <c r="U1799">
        <v>26.79</v>
      </c>
      <c r="V1799">
        <v>29.09</v>
      </c>
      <c r="W1799">
        <v>48.18</v>
      </c>
      <c r="X1799" t="s">
        <v>394</v>
      </c>
      <c r="Y1799" t="s">
        <v>547</v>
      </c>
      <c r="Z1799">
        <v>8.01</v>
      </c>
      <c r="AA1799">
        <v>27.72</v>
      </c>
      <c r="AB1799">
        <v>96591</v>
      </c>
      <c r="AC1799">
        <v>72631</v>
      </c>
      <c r="AD1799">
        <v>1.33</v>
      </c>
      <c r="AE1799">
        <v>162</v>
      </c>
      <c r="AF1799">
        <v>83</v>
      </c>
      <c r="AG1799" t="s">
        <v>120</v>
      </c>
      <c r="AH1799">
        <v>0.02</v>
      </c>
      <c r="AI1799" t="s">
        <v>120</v>
      </c>
      <c r="AJ1799">
        <v>3.22</v>
      </c>
      <c r="AK1799" t="s">
        <v>9076</v>
      </c>
      <c r="AL1799">
        <v>-6.03</v>
      </c>
      <c r="AM1799">
        <v>4085</v>
      </c>
      <c r="AN1799">
        <v>41</v>
      </c>
      <c r="AO1799">
        <v>1.2999999999999999E-3</v>
      </c>
      <c r="AP1799">
        <v>-2</v>
      </c>
      <c r="AQ1799">
        <v>-1.36</v>
      </c>
      <c r="AR1799">
        <v>-4.7</v>
      </c>
      <c r="AS1799">
        <v>-13.13</v>
      </c>
      <c r="AT1799">
        <v>19.87</v>
      </c>
      <c r="AU1799">
        <v>2.2999999999999998</v>
      </c>
      <c r="AV1799">
        <v>1</v>
      </c>
      <c r="AW1799">
        <v>6.48</v>
      </c>
      <c r="AX1799">
        <v>61.34</v>
      </c>
      <c r="AY1799">
        <v>123.07</v>
      </c>
      <c r="AZ1799">
        <v>232.93</v>
      </c>
      <c r="BA1799">
        <v>1.39</v>
      </c>
      <c r="BB1799" t="s">
        <v>134</v>
      </c>
      <c r="BF1799">
        <v>-4.72</v>
      </c>
      <c r="BG1799">
        <v>-7.75</v>
      </c>
      <c r="BH1799">
        <v>-7.94</v>
      </c>
      <c r="BI1799">
        <v>7.0000000000000007E-2</v>
      </c>
      <c r="BJ1799">
        <v>20210828</v>
      </c>
      <c r="BK1799">
        <v>20150424</v>
      </c>
      <c r="BL1799">
        <v>4.26</v>
      </c>
      <c r="BM1799" t="s">
        <v>120</v>
      </c>
      <c r="BN1799" t="s">
        <v>120</v>
      </c>
      <c r="BO1799">
        <v>74.510000000000005</v>
      </c>
      <c r="BP1799">
        <v>26.78</v>
      </c>
      <c r="BQ1799">
        <v>24.98</v>
      </c>
      <c r="BR1799">
        <v>1.71</v>
      </c>
      <c r="BS1799">
        <v>64.180000000000007</v>
      </c>
      <c r="BT1799">
        <v>44.68</v>
      </c>
      <c r="BU1799">
        <v>19.02</v>
      </c>
      <c r="BV1799">
        <v>3.2</v>
      </c>
      <c r="BW1799">
        <v>36.54</v>
      </c>
      <c r="BX1799">
        <v>11.68</v>
      </c>
      <c r="BY1799">
        <v>11.78</v>
      </c>
      <c r="BZ1799">
        <v>18.13</v>
      </c>
      <c r="CA1799" t="s">
        <v>120</v>
      </c>
      <c r="CB1799">
        <v>8.5</v>
      </c>
      <c r="CC1799">
        <v>24.55</v>
      </c>
      <c r="CD1799">
        <v>20.36</v>
      </c>
      <c r="CE1799">
        <v>1.35</v>
      </c>
      <c r="CF1799">
        <v>0.06</v>
      </c>
      <c r="CG1799">
        <v>1.34</v>
      </c>
      <c r="CH1799">
        <v>1.22</v>
      </c>
      <c r="CI1799">
        <v>1.18</v>
      </c>
      <c r="CJ1799">
        <v>-2.31</v>
      </c>
      <c r="CK1799">
        <v>1.05</v>
      </c>
      <c r="CL1799">
        <v>11.14</v>
      </c>
      <c r="CM1799">
        <v>-1.1399999999999999</v>
      </c>
      <c r="CN1799">
        <v>-4.55</v>
      </c>
      <c r="CO1799">
        <v>53948</v>
      </c>
      <c r="CP1799">
        <v>4844</v>
      </c>
      <c r="CQ1799" t="s">
        <v>9077</v>
      </c>
      <c r="CR1799">
        <v>66.97</v>
      </c>
      <c r="CS1799">
        <v>86.88</v>
      </c>
      <c r="CT1799">
        <v>4.6900000000000004</v>
      </c>
      <c r="CU1799">
        <v>-100.48</v>
      </c>
      <c r="CV1799">
        <v>4.6500000000000004</v>
      </c>
      <c r="CW1799">
        <v>0.34</v>
      </c>
      <c r="CX1799" t="s">
        <v>1054</v>
      </c>
      <c r="CY1799">
        <v>5.7</v>
      </c>
      <c r="CZ1799">
        <v>5.7</v>
      </c>
      <c r="DA1799">
        <v>2</v>
      </c>
      <c r="DB1799">
        <v>2.62</v>
      </c>
      <c r="DC1799">
        <v>-0.27</v>
      </c>
      <c r="DD1799">
        <v>33.53</v>
      </c>
      <c r="DE1799" t="s">
        <v>1827</v>
      </c>
      <c r="DF1799">
        <v>17.05</v>
      </c>
      <c r="DG1799">
        <v>5.52</v>
      </c>
      <c r="DH1799">
        <v>4.82</v>
      </c>
      <c r="DI1799">
        <v>0.82</v>
      </c>
      <c r="DJ1799">
        <v>7846</v>
      </c>
      <c r="DK1799">
        <v>300438</v>
      </c>
      <c r="DL1799" t="s">
        <v>120</v>
      </c>
      <c r="DM1799" t="s">
        <v>120</v>
      </c>
      <c r="DN1799" t="s">
        <v>120</v>
      </c>
    </row>
    <row r="1800" spans="1:118">
      <c r="A1800" t="str">
        <f>"300439"</f>
        <v>300439</v>
      </c>
      <c r="B1800" t="s">
        <v>9078</v>
      </c>
      <c r="C1800">
        <v>-2.71</v>
      </c>
      <c r="D1800">
        <v>0</v>
      </c>
      <c r="E1800">
        <v>-1.46</v>
      </c>
      <c r="F1800">
        <v>181</v>
      </c>
      <c r="G1800" t="s">
        <v>9079</v>
      </c>
      <c r="H1800">
        <v>2729.37</v>
      </c>
      <c r="I1800">
        <v>111.7</v>
      </c>
      <c r="J1800" t="s">
        <v>120</v>
      </c>
      <c r="K1800" t="s">
        <v>9080</v>
      </c>
      <c r="L1800">
        <v>0.61</v>
      </c>
      <c r="M1800">
        <v>18.66</v>
      </c>
      <c r="N1800">
        <v>0.94</v>
      </c>
      <c r="O1800">
        <v>0.1</v>
      </c>
      <c r="P1800">
        <v>19.2</v>
      </c>
      <c r="Q1800">
        <v>-2.76</v>
      </c>
      <c r="R1800">
        <v>18.649999999999999</v>
      </c>
      <c r="S1800">
        <v>18.899999999999999</v>
      </c>
      <c r="T1800">
        <v>14429</v>
      </c>
      <c r="U1800">
        <v>18.7</v>
      </c>
      <c r="V1800">
        <v>19.18</v>
      </c>
      <c r="W1800">
        <v>26.86</v>
      </c>
      <c r="X1800" t="s">
        <v>555</v>
      </c>
      <c r="Y1800" t="s">
        <v>585</v>
      </c>
      <c r="Z1800">
        <v>2.87</v>
      </c>
      <c r="AA1800">
        <v>18.920000000000002</v>
      </c>
      <c r="AB1800">
        <v>9942</v>
      </c>
      <c r="AC1800">
        <v>4487</v>
      </c>
      <c r="AD1800">
        <v>2.2200000000000002</v>
      </c>
      <c r="AE1800">
        <v>71</v>
      </c>
      <c r="AF1800">
        <v>5</v>
      </c>
      <c r="AG1800" t="s">
        <v>120</v>
      </c>
      <c r="AH1800">
        <v>0.04</v>
      </c>
      <c r="AI1800" t="s">
        <v>120</v>
      </c>
      <c r="AJ1800">
        <v>2.37</v>
      </c>
      <c r="AK1800" t="s">
        <v>9081</v>
      </c>
      <c r="AL1800">
        <v>-0.8</v>
      </c>
      <c r="AM1800">
        <v>822</v>
      </c>
      <c r="AN1800">
        <v>18</v>
      </c>
      <c r="AO1800">
        <v>6.9999999999999999E-4</v>
      </c>
      <c r="AP1800">
        <v>-2</v>
      </c>
      <c r="AQ1800">
        <v>-0.62</v>
      </c>
      <c r="AR1800">
        <v>-0.42</v>
      </c>
      <c r="AS1800">
        <v>-6.65</v>
      </c>
      <c r="AT1800">
        <v>-0.92</v>
      </c>
      <c r="AU1800">
        <v>3.02</v>
      </c>
      <c r="AV1800">
        <v>0</v>
      </c>
      <c r="AW1800">
        <v>0.89</v>
      </c>
      <c r="AX1800">
        <v>42.4</v>
      </c>
      <c r="AY1800">
        <v>35.56</v>
      </c>
      <c r="AZ1800">
        <v>24.53</v>
      </c>
      <c r="BA1800">
        <v>0.34</v>
      </c>
      <c r="BB1800" t="s">
        <v>143</v>
      </c>
      <c r="BF1800">
        <v>-1.37</v>
      </c>
      <c r="BG1800">
        <v>-1.27</v>
      </c>
      <c r="BH1800">
        <v>-2.81</v>
      </c>
      <c r="BI1800">
        <v>0.05</v>
      </c>
      <c r="BJ1800">
        <v>20210830</v>
      </c>
      <c r="BK1800">
        <v>20150422</v>
      </c>
      <c r="BL1800">
        <v>3.83</v>
      </c>
      <c r="BM1800" t="s">
        <v>120</v>
      </c>
      <c r="BN1800" t="s">
        <v>120</v>
      </c>
      <c r="BO1800">
        <v>37.46</v>
      </c>
      <c r="BP1800">
        <v>18.66</v>
      </c>
      <c r="BQ1800">
        <v>23</v>
      </c>
      <c r="BR1800">
        <v>0.39</v>
      </c>
      <c r="BS1800">
        <v>37.54</v>
      </c>
      <c r="BT1800">
        <v>20.93</v>
      </c>
      <c r="BU1800">
        <v>8.6199999999999992</v>
      </c>
      <c r="BV1800">
        <v>1.54</v>
      </c>
      <c r="BW1800">
        <v>12.55</v>
      </c>
      <c r="BX1800">
        <v>6.01</v>
      </c>
      <c r="BY1800">
        <v>2.1800000000000002</v>
      </c>
      <c r="BZ1800">
        <v>9.19</v>
      </c>
      <c r="CA1800">
        <v>0.05</v>
      </c>
      <c r="CB1800">
        <v>11.17</v>
      </c>
      <c r="CC1800">
        <v>11.21</v>
      </c>
      <c r="CD1800">
        <v>6.46</v>
      </c>
      <c r="CE1800">
        <v>1.49</v>
      </c>
      <c r="CF1800">
        <v>0.05</v>
      </c>
      <c r="CG1800">
        <v>1.5</v>
      </c>
      <c r="CH1800">
        <v>1.26</v>
      </c>
      <c r="CI1800">
        <v>1.33</v>
      </c>
      <c r="CJ1800">
        <v>-0.52</v>
      </c>
      <c r="CK1800">
        <v>1.31</v>
      </c>
      <c r="CL1800">
        <v>7.05</v>
      </c>
      <c r="CM1800">
        <v>1.52</v>
      </c>
      <c r="CN1800">
        <v>2.75</v>
      </c>
      <c r="CO1800">
        <v>17972</v>
      </c>
      <c r="CP1800">
        <v>9035</v>
      </c>
      <c r="CQ1800" t="s">
        <v>9082</v>
      </c>
      <c r="CR1800">
        <v>-41.12</v>
      </c>
      <c r="CS1800">
        <v>0.21</v>
      </c>
      <c r="CT1800">
        <v>3.11</v>
      </c>
      <c r="CU1800">
        <v>46.95</v>
      </c>
      <c r="CV1800">
        <v>6.37</v>
      </c>
      <c r="CW1800">
        <v>0.82</v>
      </c>
      <c r="CX1800" t="s">
        <v>709</v>
      </c>
      <c r="CY1800">
        <v>6.01</v>
      </c>
      <c r="CZ1800">
        <v>0</v>
      </c>
      <c r="DA1800">
        <v>2.92</v>
      </c>
      <c r="DB1800">
        <v>1.84</v>
      </c>
      <c r="DC1800">
        <v>0.4</v>
      </c>
      <c r="DD1800">
        <v>61.41</v>
      </c>
      <c r="DE1800" t="s">
        <v>8366</v>
      </c>
      <c r="DF1800">
        <v>42.43</v>
      </c>
      <c r="DG1800">
        <v>13.32</v>
      </c>
      <c r="DH1800">
        <v>11.86</v>
      </c>
      <c r="DI1800">
        <v>0.75</v>
      </c>
      <c r="DJ1800">
        <v>2405</v>
      </c>
      <c r="DK1800">
        <v>300439</v>
      </c>
      <c r="DL1800" t="s">
        <v>120</v>
      </c>
      <c r="DM1800" t="s">
        <v>120</v>
      </c>
      <c r="DN1800" t="s">
        <v>120</v>
      </c>
    </row>
    <row r="1801" spans="1:118">
      <c r="A1801" t="str">
        <f>"300440"</f>
        <v>300440</v>
      </c>
      <c r="B1801" t="s">
        <v>9083</v>
      </c>
      <c r="C1801">
        <v>-1.83</v>
      </c>
      <c r="D1801">
        <v>-0.11</v>
      </c>
      <c r="E1801">
        <v>-0.37</v>
      </c>
      <c r="F1801">
        <v>354</v>
      </c>
      <c r="G1801" t="s">
        <v>9084</v>
      </c>
      <c r="H1801">
        <v>4648.54</v>
      </c>
      <c r="I1801">
        <v>3.43</v>
      </c>
      <c r="J1801" t="s">
        <v>120</v>
      </c>
      <c r="K1801" t="s">
        <v>9085</v>
      </c>
      <c r="L1801">
        <v>1.31</v>
      </c>
      <c r="M1801">
        <v>8.0399999999999991</v>
      </c>
      <c r="N1801">
        <v>0.65</v>
      </c>
      <c r="O1801">
        <v>0</v>
      </c>
      <c r="P1801">
        <v>8.19</v>
      </c>
      <c r="Q1801">
        <v>-3.66</v>
      </c>
      <c r="R1801">
        <v>7.89</v>
      </c>
      <c r="S1801">
        <v>8.16</v>
      </c>
      <c r="T1801">
        <v>57685</v>
      </c>
      <c r="U1801">
        <v>8.0399999999999991</v>
      </c>
      <c r="V1801">
        <v>8.19</v>
      </c>
      <c r="W1801">
        <v>84.03</v>
      </c>
      <c r="X1801" t="s">
        <v>141</v>
      </c>
      <c r="Y1801" t="s">
        <v>578</v>
      </c>
      <c r="Z1801">
        <v>3.66</v>
      </c>
      <c r="AA1801">
        <v>8.06</v>
      </c>
      <c r="AB1801">
        <v>29124</v>
      </c>
      <c r="AC1801">
        <v>28561</v>
      </c>
      <c r="AD1801">
        <v>1.02</v>
      </c>
      <c r="AE1801">
        <v>100</v>
      </c>
      <c r="AF1801">
        <v>110</v>
      </c>
      <c r="AG1801" t="s">
        <v>120</v>
      </c>
      <c r="AH1801">
        <v>0</v>
      </c>
      <c r="AI1801" t="s">
        <v>120</v>
      </c>
      <c r="AJ1801">
        <v>4.42</v>
      </c>
      <c r="AK1801" t="s">
        <v>1371</v>
      </c>
      <c r="AL1801">
        <v>0.08</v>
      </c>
      <c r="AM1801">
        <v>1329</v>
      </c>
      <c r="AN1801">
        <v>43</v>
      </c>
      <c r="AO1801">
        <v>1E-3</v>
      </c>
      <c r="AP1801">
        <v>-1</v>
      </c>
      <c r="AQ1801">
        <v>0.49</v>
      </c>
      <c r="AR1801">
        <v>-1.35</v>
      </c>
      <c r="AS1801">
        <v>15.19</v>
      </c>
      <c r="AT1801">
        <v>-6.18</v>
      </c>
      <c r="AU1801">
        <v>-12.28</v>
      </c>
      <c r="AV1801">
        <v>0</v>
      </c>
      <c r="AW1801">
        <v>2.87</v>
      </c>
      <c r="AX1801">
        <v>44.88</v>
      </c>
      <c r="AY1801">
        <v>28.79</v>
      </c>
      <c r="AZ1801">
        <v>25.21</v>
      </c>
      <c r="BA1801">
        <v>0.47</v>
      </c>
      <c r="BB1801" t="s">
        <v>143</v>
      </c>
      <c r="BF1801">
        <v>-1.61</v>
      </c>
      <c r="BG1801">
        <v>-1.47</v>
      </c>
      <c r="BH1801">
        <v>-1.83</v>
      </c>
      <c r="BI1801">
        <v>1.9</v>
      </c>
      <c r="BJ1801">
        <v>20210830</v>
      </c>
      <c r="BK1801">
        <v>20150423</v>
      </c>
      <c r="BL1801">
        <v>4.4800000000000004</v>
      </c>
      <c r="BM1801" t="s">
        <v>120</v>
      </c>
      <c r="BN1801" t="s">
        <v>120</v>
      </c>
      <c r="BO1801">
        <v>20.56</v>
      </c>
      <c r="BP1801">
        <v>8.0299999999999994</v>
      </c>
      <c r="BQ1801">
        <v>12.26</v>
      </c>
      <c r="BR1801">
        <v>0.13</v>
      </c>
      <c r="BS1801">
        <v>39.76</v>
      </c>
      <c r="BT1801">
        <v>15.08</v>
      </c>
      <c r="BU1801">
        <v>1.34</v>
      </c>
      <c r="BV1801">
        <v>0.23</v>
      </c>
      <c r="BW1801">
        <v>8.1</v>
      </c>
      <c r="BX1801">
        <v>1.05</v>
      </c>
      <c r="BY1801">
        <v>3.4</v>
      </c>
      <c r="BZ1801">
        <v>7.2</v>
      </c>
      <c r="CA1801" t="s">
        <v>120</v>
      </c>
      <c r="CB1801">
        <v>0.06</v>
      </c>
      <c r="CC1801">
        <v>2.44</v>
      </c>
      <c r="CD1801">
        <v>1.0900000000000001</v>
      </c>
      <c r="CE1801">
        <v>0.19</v>
      </c>
      <c r="CF1801">
        <v>0</v>
      </c>
      <c r="CG1801">
        <v>0.19</v>
      </c>
      <c r="CH1801">
        <v>0.16</v>
      </c>
      <c r="CI1801">
        <v>0.21</v>
      </c>
      <c r="CJ1801">
        <v>-0.15</v>
      </c>
      <c r="CK1801">
        <v>0.19</v>
      </c>
      <c r="CL1801">
        <v>8.3699999999999992</v>
      </c>
      <c r="CM1801">
        <v>-0.96</v>
      </c>
      <c r="CN1801">
        <v>-1.26</v>
      </c>
      <c r="CO1801">
        <v>17168</v>
      </c>
      <c r="CP1801">
        <v>11708</v>
      </c>
      <c r="CQ1801" t="s">
        <v>9086</v>
      </c>
      <c r="CR1801">
        <v>-45.76</v>
      </c>
      <c r="CS1801">
        <v>11.41</v>
      </c>
      <c r="CT1801">
        <v>2.94</v>
      </c>
      <c r="CU1801">
        <v>-37.590000000000003</v>
      </c>
      <c r="CV1801">
        <v>14.77</v>
      </c>
      <c r="CW1801">
        <v>0.79</v>
      </c>
      <c r="CX1801" t="s">
        <v>5220</v>
      </c>
      <c r="CY1801">
        <v>2.74</v>
      </c>
      <c r="CZ1801">
        <v>0</v>
      </c>
      <c r="DA1801">
        <v>0.01</v>
      </c>
      <c r="DB1801">
        <v>1.87</v>
      </c>
      <c r="DC1801">
        <v>-0.21</v>
      </c>
      <c r="DD1801">
        <v>59.63</v>
      </c>
      <c r="DE1801" t="s">
        <v>9087</v>
      </c>
      <c r="DF1801">
        <v>55.24</v>
      </c>
      <c r="DG1801">
        <v>7.83</v>
      </c>
      <c r="DH1801">
        <v>8.7899999999999991</v>
      </c>
      <c r="DI1801">
        <v>0.37</v>
      </c>
      <c r="DJ1801">
        <v>978</v>
      </c>
      <c r="DK1801">
        <v>300440</v>
      </c>
      <c r="DL1801" t="s">
        <v>120</v>
      </c>
      <c r="DM1801" t="s">
        <v>120</v>
      </c>
      <c r="DN1801" t="s">
        <v>120</v>
      </c>
    </row>
    <row r="1802" spans="1:118">
      <c r="A1802" t="str">
        <f>"300441"</f>
        <v>300441</v>
      </c>
      <c r="B1802" t="s">
        <v>9088</v>
      </c>
      <c r="C1802">
        <v>-1.58</v>
      </c>
      <c r="D1802">
        <v>-7.0000000000000007E-2</v>
      </c>
      <c r="E1802">
        <v>-0.17</v>
      </c>
      <c r="F1802">
        <v>3468</v>
      </c>
      <c r="G1802" t="s">
        <v>495</v>
      </c>
      <c r="H1802">
        <v>18045.400000000001</v>
      </c>
      <c r="I1802">
        <v>11.89</v>
      </c>
      <c r="J1802" t="s">
        <v>120</v>
      </c>
      <c r="K1802" t="s">
        <v>9089</v>
      </c>
      <c r="L1802">
        <v>2.39</v>
      </c>
      <c r="M1802">
        <v>11.84</v>
      </c>
      <c r="N1802">
        <v>1.05</v>
      </c>
      <c r="O1802">
        <v>1.1599999999999999</v>
      </c>
      <c r="P1802">
        <v>12.17</v>
      </c>
      <c r="Q1802">
        <v>-1.66</v>
      </c>
      <c r="R1802">
        <v>11.83</v>
      </c>
      <c r="S1802">
        <v>12.01</v>
      </c>
      <c r="T1802">
        <v>149882</v>
      </c>
      <c r="U1802">
        <v>11.85</v>
      </c>
      <c r="V1802">
        <v>12.03</v>
      </c>
      <c r="W1802">
        <v>22.47</v>
      </c>
      <c r="X1802" t="s">
        <v>2161</v>
      </c>
      <c r="Y1802" t="s">
        <v>585</v>
      </c>
      <c r="Z1802">
        <v>2.83</v>
      </c>
      <c r="AA1802">
        <v>12.04</v>
      </c>
      <c r="AB1802">
        <v>73679</v>
      </c>
      <c r="AC1802">
        <v>76203</v>
      </c>
      <c r="AD1802">
        <v>0.97</v>
      </c>
      <c r="AE1802">
        <v>782</v>
      </c>
      <c r="AF1802">
        <v>302</v>
      </c>
      <c r="AG1802" t="s">
        <v>120</v>
      </c>
      <c r="AH1802">
        <v>0</v>
      </c>
      <c r="AI1802" t="s">
        <v>120</v>
      </c>
      <c r="AJ1802">
        <v>6.28</v>
      </c>
      <c r="AK1802" t="s">
        <v>9090</v>
      </c>
      <c r="AL1802">
        <v>0.33</v>
      </c>
      <c r="AM1802">
        <v>2615</v>
      </c>
      <c r="AN1802">
        <v>57</v>
      </c>
      <c r="AO1802">
        <v>8.9999999999999998E-4</v>
      </c>
      <c r="AP1802">
        <v>-2</v>
      </c>
      <c r="AQ1802">
        <v>-1.31</v>
      </c>
      <c r="AR1802">
        <v>-2.15</v>
      </c>
      <c r="AS1802">
        <v>-3.43</v>
      </c>
      <c r="AT1802">
        <v>17.23</v>
      </c>
      <c r="AU1802">
        <v>32.74</v>
      </c>
      <c r="AV1802">
        <v>0</v>
      </c>
      <c r="AW1802">
        <v>4.76</v>
      </c>
      <c r="AX1802">
        <v>47.9</v>
      </c>
      <c r="AY1802">
        <v>48.71</v>
      </c>
      <c r="AZ1802">
        <v>80.22</v>
      </c>
      <c r="BA1802">
        <v>0.91</v>
      </c>
      <c r="BB1802" t="s">
        <v>143</v>
      </c>
      <c r="BF1802">
        <v>0.08</v>
      </c>
      <c r="BG1802">
        <v>-1.42</v>
      </c>
      <c r="BH1802">
        <v>-2.71</v>
      </c>
      <c r="BI1802">
        <v>0.08</v>
      </c>
      <c r="BJ1802">
        <v>20210724</v>
      </c>
      <c r="BK1802">
        <v>20150423</v>
      </c>
      <c r="BL1802">
        <v>6.57</v>
      </c>
      <c r="BM1802" t="s">
        <v>120</v>
      </c>
      <c r="BN1802" t="s">
        <v>120</v>
      </c>
      <c r="BO1802">
        <v>29.92</v>
      </c>
      <c r="BP1802">
        <v>11.84</v>
      </c>
      <c r="BQ1802">
        <v>14.91</v>
      </c>
      <c r="BR1802">
        <v>2.1800000000000002</v>
      </c>
      <c r="BS1802">
        <v>42.88</v>
      </c>
      <c r="BT1802">
        <v>14.42</v>
      </c>
      <c r="BU1802">
        <v>10.19</v>
      </c>
      <c r="BV1802">
        <v>1.31</v>
      </c>
      <c r="BW1802">
        <v>11.84</v>
      </c>
      <c r="BX1802">
        <v>1.97</v>
      </c>
      <c r="BY1802">
        <v>5.5</v>
      </c>
      <c r="BZ1802">
        <v>4.99</v>
      </c>
      <c r="CA1802" t="s">
        <v>120</v>
      </c>
      <c r="CB1802">
        <v>4.37</v>
      </c>
      <c r="CC1802">
        <v>11.44</v>
      </c>
      <c r="CD1802">
        <v>7.31</v>
      </c>
      <c r="CE1802">
        <v>2.25</v>
      </c>
      <c r="CF1802">
        <v>-0.01</v>
      </c>
      <c r="CG1802">
        <v>2.25</v>
      </c>
      <c r="CH1802">
        <v>1.96</v>
      </c>
      <c r="CI1802">
        <v>1.73</v>
      </c>
      <c r="CJ1802">
        <v>-0.19</v>
      </c>
      <c r="CK1802">
        <v>1.69</v>
      </c>
      <c r="CL1802">
        <v>4.0199999999999996</v>
      </c>
      <c r="CM1802">
        <v>1.49</v>
      </c>
      <c r="CN1802">
        <v>-0.33</v>
      </c>
      <c r="CO1802">
        <v>15646</v>
      </c>
      <c r="CP1802">
        <v>20120</v>
      </c>
      <c r="CQ1802" t="s">
        <v>9091</v>
      </c>
      <c r="CR1802">
        <v>58.3</v>
      </c>
      <c r="CS1802">
        <v>35.24</v>
      </c>
      <c r="CT1802">
        <v>5.18</v>
      </c>
      <c r="CU1802">
        <v>52.37</v>
      </c>
      <c r="CV1802">
        <v>6.8</v>
      </c>
      <c r="CW1802">
        <v>1.24</v>
      </c>
      <c r="CX1802" t="s">
        <v>670</v>
      </c>
      <c r="CY1802">
        <v>2.29</v>
      </c>
      <c r="CZ1802">
        <v>2.29</v>
      </c>
      <c r="DA1802">
        <v>0.67</v>
      </c>
      <c r="DB1802">
        <v>0.61</v>
      </c>
      <c r="DC1802">
        <v>0.23</v>
      </c>
      <c r="DD1802">
        <v>49.84</v>
      </c>
      <c r="DE1802" t="s">
        <v>3911</v>
      </c>
      <c r="DF1802">
        <v>36.08</v>
      </c>
      <c r="DG1802">
        <v>19.66</v>
      </c>
      <c r="DH1802">
        <v>15.14</v>
      </c>
      <c r="DI1802">
        <v>0.48</v>
      </c>
      <c r="DJ1802">
        <v>3072</v>
      </c>
      <c r="DK1802">
        <v>300441</v>
      </c>
      <c r="DL1802" t="s">
        <v>120</v>
      </c>
      <c r="DM1802" t="s">
        <v>120</v>
      </c>
      <c r="DN1802" t="s">
        <v>120</v>
      </c>
    </row>
    <row r="1803" spans="1:118">
      <c r="A1803" t="str">
        <f>"300442"</f>
        <v>300442</v>
      </c>
      <c r="B1803" t="s">
        <v>9092</v>
      </c>
      <c r="C1803">
        <v>-0.68</v>
      </c>
      <c r="D1803">
        <v>0</v>
      </c>
      <c r="E1803">
        <v>0.05</v>
      </c>
      <c r="F1803">
        <v>12</v>
      </c>
      <c r="G1803" t="s">
        <v>8900</v>
      </c>
      <c r="H1803">
        <v>1652.11</v>
      </c>
      <c r="I1803">
        <v>0</v>
      </c>
      <c r="J1803" t="s">
        <v>120</v>
      </c>
      <c r="K1803" t="s">
        <v>3364</v>
      </c>
      <c r="L1803">
        <v>0.39</v>
      </c>
      <c r="M1803">
        <v>42.49</v>
      </c>
      <c r="N1803">
        <v>0.77</v>
      </c>
      <c r="O1803">
        <v>0.98</v>
      </c>
      <c r="P1803">
        <v>43.2</v>
      </c>
      <c r="Q1803">
        <v>-1.1200000000000001</v>
      </c>
      <c r="R1803">
        <v>42.3</v>
      </c>
      <c r="S1803">
        <v>42.8</v>
      </c>
      <c r="T1803">
        <v>3876</v>
      </c>
      <c r="U1803">
        <v>42.49</v>
      </c>
      <c r="V1803">
        <v>42.78</v>
      </c>
      <c r="W1803">
        <v>384.51</v>
      </c>
      <c r="X1803" t="s">
        <v>348</v>
      </c>
      <c r="Y1803" t="s">
        <v>1510</v>
      </c>
      <c r="Z1803">
        <v>2.1</v>
      </c>
      <c r="AA1803">
        <v>42.62</v>
      </c>
      <c r="AB1803">
        <v>2455</v>
      </c>
      <c r="AC1803">
        <v>1421</v>
      </c>
      <c r="AD1803">
        <v>1.73</v>
      </c>
      <c r="AE1803">
        <v>70</v>
      </c>
      <c r="AF1803">
        <v>4</v>
      </c>
      <c r="AG1803" t="s">
        <v>120</v>
      </c>
      <c r="AH1803">
        <v>0</v>
      </c>
      <c r="AI1803" t="s">
        <v>120</v>
      </c>
      <c r="AJ1803">
        <v>0.99</v>
      </c>
      <c r="AK1803" t="s">
        <v>9093</v>
      </c>
      <c r="AL1803">
        <v>1.24</v>
      </c>
      <c r="AM1803">
        <v>530</v>
      </c>
      <c r="AN1803">
        <v>7</v>
      </c>
      <c r="AO1803">
        <v>6.9999999999999999E-4</v>
      </c>
      <c r="AP1803">
        <v>-3</v>
      </c>
      <c r="AQ1803">
        <v>-1.1599999999999999</v>
      </c>
      <c r="AR1803">
        <v>-2.5299999999999998</v>
      </c>
      <c r="AS1803">
        <v>-2.1</v>
      </c>
      <c r="AT1803">
        <v>-21.89</v>
      </c>
      <c r="AU1803">
        <v>16.89</v>
      </c>
      <c r="AV1803">
        <v>2</v>
      </c>
      <c r="AW1803">
        <v>0.59</v>
      </c>
      <c r="AX1803">
        <v>66.150000000000006</v>
      </c>
      <c r="AY1803" t="s">
        <v>120</v>
      </c>
      <c r="AZ1803" t="s">
        <v>120</v>
      </c>
      <c r="BA1803">
        <v>0.21</v>
      </c>
      <c r="BB1803" t="s">
        <v>134</v>
      </c>
      <c r="BF1803">
        <v>-0.38</v>
      </c>
      <c r="BG1803">
        <v>-0.72</v>
      </c>
      <c r="BH1803">
        <v>-1.64</v>
      </c>
      <c r="BI1803">
        <v>0.45</v>
      </c>
      <c r="BJ1803">
        <v>20210813</v>
      </c>
      <c r="BK1803">
        <v>20150424</v>
      </c>
      <c r="BL1803">
        <v>1</v>
      </c>
      <c r="BM1803" t="s">
        <v>120</v>
      </c>
      <c r="BN1803" t="s">
        <v>120</v>
      </c>
      <c r="BO1803">
        <v>12.89</v>
      </c>
      <c r="BP1803">
        <v>42.43</v>
      </c>
      <c r="BQ1803">
        <v>5.16</v>
      </c>
      <c r="BR1803">
        <v>-0.23</v>
      </c>
      <c r="BS1803">
        <v>61.79</v>
      </c>
      <c r="BT1803">
        <v>8.26</v>
      </c>
      <c r="BU1803">
        <v>2.48</v>
      </c>
      <c r="BV1803">
        <v>0.69</v>
      </c>
      <c r="BW1803">
        <v>7.6</v>
      </c>
      <c r="BX1803">
        <v>0.05</v>
      </c>
      <c r="BY1803">
        <v>5.22</v>
      </c>
      <c r="BZ1803">
        <v>2.4900000000000002</v>
      </c>
      <c r="CA1803" t="s">
        <v>120</v>
      </c>
      <c r="CB1803">
        <v>5.15</v>
      </c>
      <c r="CC1803">
        <v>3.89</v>
      </c>
      <c r="CD1803">
        <v>3.08</v>
      </c>
      <c r="CE1803">
        <v>0.06</v>
      </c>
      <c r="CF1803">
        <v>0</v>
      </c>
      <c r="CG1803">
        <v>0.06</v>
      </c>
      <c r="CH1803">
        <v>0.06</v>
      </c>
      <c r="CI1803">
        <v>0.06</v>
      </c>
      <c r="CJ1803">
        <v>-0.28999999999999998</v>
      </c>
      <c r="CK1803">
        <v>0.05</v>
      </c>
      <c r="CL1803">
        <v>-1.21</v>
      </c>
      <c r="CM1803">
        <v>0.08</v>
      </c>
      <c r="CN1803">
        <v>-0.17</v>
      </c>
      <c r="CO1803">
        <v>6486</v>
      </c>
      <c r="CP1803">
        <v>10199</v>
      </c>
      <c r="CQ1803" t="s">
        <v>2876</v>
      </c>
      <c r="CR1803">
        <v>116.83</v>
      </c>
      <c r="CS1803">
        <v>93.41</v>
      </c>
      <c r="CT1803">
        <v>8.23</v>
      </c>
      <c r="CU1803">
        <v>521.26</v>
      </c>
      <c r="CV1803">
        <v>10.93</v>
      </c>
      <c r="CW1803">
        <v>0</v>
      </c>
      <c r="CX1803" t="s">
        <v>1248</v>
      </c>
      <c r="CY1803">
        <v>5.16</v>
      </c>
      <c r="CZ1803">
        <v>0</v>
      </c>
      <c r="DA1803">
        <v>5.15</v>
      </c>
      <c r="DB1803">
        <v>-1.21</v>
      </c>
      <c r="DC1803">
        <v>0.08</v>
      </c>
      <c r="DD1803">
        <v>40.03</v>
      </c>
      <c r="DE1803" t="s">
        <v>9094</v>
      </c>
      <c r="DF1803">
        <v>20.72</v>
      </c>
      <c r="DG1803">
        <v>1.55</v>
      </c>
      <c r="DH1803">
        <v>1.42</v>
      </c>
      <c r="DI1803">
        <v>0.14000000000000001</v>
      </c>
      <c r="DJ1803">
        <v>795</v>
      </c>
      <c r="DK1803">
        <v>300442</v>
      </c>
      <c r="DL1803" t="s">
        <v>120</v>
      </c>
      <c r="DM1803" t="s">
        <v>120</v>
      </c>
      <c r="DN1803" t="s">
        <v>120</v>
      </c>
    </row>
    <row r="1804" spans="1:118">
      <c r="A1804" t="str">
        <f>"300443"</f>
        <v>300443</v>
      </c>
      <c r="B1804" t="s">
        <v>9095</v>
      </c>
      <c r="C1804">
        <v>5.58</v>
      </c>
      <c r="D1804">
        <v>0.04</v>
      </c>
      <c r="E1804">
        <v>4.12</v>
      </c>
      <c r="F1804">
        <v>3643</v>
      </c>
      <c r="G1804" t="s">
        <v>9096</v>
      </c>
      <c r="H1804">
        <v>217431.62</v>
      </c>
      <c r="I1804">
        <v>2478.39</v>
      </c>
      <c r="J1804" t="s">
        <v>120</v>
      </c>
      <c r="K1804" t="s">
        <v>9097</v>
      </c>
      <c r="L1804">
        <v>22.97</v>
      </c>
      <c r="M1804">
        <v>51.31</v>
      </c>
      <c r="N1804">
        <v>2.25</v>
      </c>
      <c r="O1804">
        <v>17</v>
      </c>
      <c r="P1804">
        <v>56.86</v>
      </c>
      <c r="Q1804">
        <v>1.19</v>
      </c>
      <c r="R1804">
        <v>49.18</v>
      </c>
      <c r="S1804">
        <v>50.6</v>
      </c>
      <c r="T1804">
        <v>419898</v>
      </c>
      <c r="U1804">
        <v>51.32</v>
      </c>
      <c r="V1804">
        <v>48.6</v>
      </c>
      <c r="W1804">
        <v>25.07</v>
      </c>
      <c r="X1804" t="s">
        <v>675</v>
      </c>
      <c r="Y1804" t="s">
        <v>638</v>
      </c>
      <c r="Z1804">
        <v>15.8</v>
      </c>
      <c r="AA1804">
        <v>51.78</v>
      </c>
      <c r="AB1804">
        <v>193651</v>
      </c>
      <c r="AC1804">
        <v>226247</v>
      </c>
      <c r="AD1804">
        <v>0.86</v>
      </c>
      <c r="AE1804">
        <v>1</v>
      </c>
      <c r="AF1804">
        <v>265</v>
      </c>
      <c r="AG1804" t="s">
        <v>120</v>
      </c>
      <c r="AH1804">
        <v>0.32</v>
      </c>
      <c r="AI1804" t="s">
        <v>120</v>
      </c>
      <c r="AJ1804">
        <v>1.83</v>
      </c>
      <c r="AK1804" t="s">
        <v>9098</v>
      </c>
      <c r="AL1804">
        <v>7.49</v>
      </c>
      <c r="AM1804">
        <v>4615</v>
      </c>
      <c r="AN1804">
        <v>91</v>
      </c>
      <c r="AO1804">
        <v>5.0000000000000001E-3</v>
      </c>
      <c r="AP1804">
        <v>4</v>
      </c>
      <c r="AQ1804">
        <v>20</v>
      </c>
      <c r="AR1804">
        <v>28.21</v>
      </c>
      <c r="AS1804">
        <v>56.96</v>
      </c>
      <c r="AT1804">
        <v>78.91</v>
      </c>
      <c r="AU1804">
        <v>57.06</v>
      </c>
      <c r="AV1804">
        <v>3</v>
      </c>
      <c r="AW1804">
        <v>27.29</v>
      </c>
      <c r="AX1804">
        <v>58.78</v>
      </c>
      <c r="AY1804">
        <v>20.82</v>
      </c>
      <c r="AZ1804">
        <v>24.36</v>
      </c>
      <c r="BA1804">
        <v>0.21</v>
      </c>
      <c r="BB1804" t="s">
        <v>168</v>
      </c>
      <c r="BF1804">
        <v>6.55</v>
      </c>
      <c r="BG1804">
        <v>1.4</v>
      </c>
      <c r="BH1804">
        <v>-9.76</v>
      </c>
      <c r="BI1804">
        <v>4.33</v>
      </c>
      <c r="BJ1804">
        <v>20210819</v>
      </c>
      <c r="BK1804">
        <v>20150422</v>
      </c>
      <c r="BL1804">
        <v>2.62</v>
      </c>
      <c r="BM1804" t="s">
        <v>120</v>
      </c>
      <c r="BN1804" t="s">
        <v>120</v>
      </c>
      <c r="BO1804">
        <v>32.409999999999997</v>
      </c>
      <c r="BP1804">
        <v>51.31</v>
      </c>
      <c r="BQ1804">
        <v>30.22</v>
      </c>
      <c r="BR1804" t="s">
        <v>120</v>
      </c>
      <c r="BS1804">
        <v>6.75</v>
      </c>
      <c r="BT1804">
        <v>17.86</v>
      </c>
      <c r="BU1804">
        <v>8.6300000000000008</v>
      </c>
      <c r="BV1804">
        <v>1.0900000000000001</v>
      </c>
      <c r="BW1804">
        <v>1.74</v>
      </c>
      <c r="BX1804">
        <v>3.97</v>
      </c>
      <c r="BY1804">
        <v>4.0199999999999996</v>
      </c>
      <c r="BZ1804">
        <v>5.78</v>
      </c>
      <c r="CA1804">
        <v>0</v>
      </c>
      <c r="CB1804">
        <v>11.53</v>
      </c>
      <c r="CC1804">
        <v>8</v>
      </c>
      <c r="CD1804">
        <v>4.45</v>
      </c>
      <c r="CE1804">
        <v>3.07</v>
      </c>
      <c r="CF1804">
        <v>0.13</v>
      </c>
      <c r="CG1804">
        <v>3.09</v>
      </c>
      <c r="CH1804">
        <v>2.68</v>
      </c>
      <c r="CI1804">
        <v>2.68</v>
      </c>
      <c r="CJ1804">
        <v>2.71</v>
      </c>
      <c r="CK1804">
        <v>2.5</v>
      </c>
      <c r="CL1804">
        <v>14.39</v>
      </c>
      <c r="CM1804">
        <v>1.27</v>
      </c>
      <c r="CN1804">
        <v>-0.22</v>
      </c>
      <c r="CO1804">
        <v>30541</v>
      </c>
      <c r="CP1804">
        <v>5038</v>
      </c>
      <c r="CQ1804" t="s">
        <v>9099</v>
      </c>
      <c r="CR1804">
        <v>49.58</v>
      </c>
      <c r="CS1804">
        <v>31.8</v>
      </c>
      <c r="CT1804">
        <v>4.4400000000000004</v>
      </c>
      <c r="CU1804">
        <v>106.08</v>
      </c>
      <c r="CV1804">
        <v>16.79</v>
      </c>
      <c r="CW1804">
        <v>1.23</v>
      </c>
      <c r="CX1804" t="s">
        <v>9100</v>
      </c>
      <c r="CY1804">
        <v>11.55</v>
      </c>
      <c r="CZ1804">
        <v>0</v>
      </c>
      <c r="DA1804">
        <v>4.41</v>
      </c>
      <c r="DB1804">
        <v>5.5</v>
      </c>
      <c r="DC1804">
        <v>0.48</v>
      </c>
      <c r="DD1804">
        <v>93.25</v>
      </c>
      <c r="DE1804" t="s">
        <v>3167</v>
      </c>
      <c r="DF1804">
        <v>44.38</v>
      </c>
      <c r="DG1804">
        <v>38.32</v>
      </c>
      <c r="DH1804">
        <v>33.479999999999997</v>
      </c>
      <c r="DI1804">
        <v>0.3</v>
      </c>
      <c r="DJ1804">
        <v>934</v>
      </c>
      <c r="DK1804">
        <v>300443</v>
      </c>
      <c r="DL1804">
        <v>20210902</v>
      </c>
      <c r="DM1804">
        <v>39.06</v>
      </c>
      <c r="DN1804">
        <v>31.36</v>
      </c>
    </row>
    <row r="1805" spans="1:118">
      <c r="A1805" t="str">
        <f>"300444"</f>
        <v>300444</v>
      </c>
      <c r="B1805" t="s">
        <v>9101</v>
      </c>
      <c r="C1805">
        <v>1.93</v>
      </c>
      <c r="D1805">
        <v>0</v>
      </c>
      <c r="E1805">
        <v>-0.32</v>
      </c>
      <c r="F1805">
        <v>15988</v>
      </c>
      <c r="G1805" t="s">
        <v>9102</v>
      </c>
      <c r="H1805">
        <v>19825.89</v>
      </c>
      <c r="I1805">
        <v>138.97</v>
      </c>
      <c r="J1805" t="s">
        <v>120</v>
      </c>
      <c r="K1805" t="s">
        <v>9103</v>
      </c>
      <c r="L1805">
        <v>6.2</v>
      </c>
      <c r="M1805">
        <v>6.34</v>
      </c>
      <c r="N1805">
        <v>1.28</v>
      </c>
      <c r="O1805">
        <v>2.09</v>
      </c>
      <c r="P1805">
        <v>6.35</v>
      </c>
      <c r="Q1805">
        <v>-3.22</v>
      </c>
      <c r="R1805">
        <v>6.02</v>
      </c>
      <c r="S1805">
        <v>6.2</v>
      </c>
      <c r="T1805">
        <v>320542</v>
      </c>
      <c r="U1805">
        <v>6.35</v>
      </c>
      <c r="V1805">
        <v>6.22</v>
      </c>
      <c r="W1805">
        <v>201.06</v>
      </c>
      <c r="X1805" t="s">
        <v>394</v>
      </c>
      <c r="Y1805" t="s">
        <v>158</v>
      </c>
      <c r="Z1805">
        <v>5.31</v>
      </c>
      <c r="AA1805">
        <v>6.19</v>
      </c>
      <c r="AB1805">
        <v>170068</v>
      </c>
      <c r="AC1805">
        <v>150474</v>
      </c>
      <c r="AD1805">
        <v>1.1299999999999999</v>
      </c>
      <c r="AE1805">
        <v>1301</v>
      </c>
      <c r="AF1805">
        <v>2513</v>
      </c>
      <c r="AG1805" t="s">
        <v>120</v>
      </c>
      <c r="AH1805">
        <v>0.05</v>
      </c>
      <c r="AI1805" t="s">
        <v>120</v>
      </c>
      <c r="AJ1805">
        <v>5.17</v>
      </c>
      <c r="AK1805" t="s">
        <v>2651</v>
      </c>
      <c r="AL1805">
        <v>3.84</v>
      </c>
      <c r="AM1805">
        <v>2720</v>
      </c>
      <c r="AN1805">
        <v>118</v>
      </c>
      <c r="AO1805">
        <v>2.3E-3</v>
      </c>
      <c r="AP1805">
        <v>3</v>
      </c>
      <c r="AQ1805">
        <v>3.49</v>
      </c>
      <c r="AR1805">
        <v>6.55</v>
      </c>
      <c r="AS1805">
        <v>-2.91</v>
      </c>
      <c r="AT1805">
        <v>9.5</v>
      </c>
      <c r="AU1805">
        <v>18.059999999999999</v>
      </c>
      <c r="AV1805">
        <v>1</v>
      </c>
      <c r="AW1805">
        <v>6.89</v>
      </c>
      <c r="AX1805">
        <v>64.13</v>
      </c>
      <c r="AY1805">
        <v>138.26</v>
      </c>
      <c r="AZ1805">
        <v>140.02000000000001</v>
      </c>
      <c r="BA1805">
        <v>0.39</v>
      </c>
      <c r="BB1805" t="s">
        <v>751</v>
      </c>
      <c r="BF1805">
        <v>-0.56000000000000005</v>
      </c>
      <c r="BG1805">
        <v>2.2599999999999998</v>
      </c>
      <c r="BH1805">
        <v>-0.16</v>
      </c>
      <c r="BI1805">
        <v>5.32</v>
      </c>
      <c r="BJ1805">
        <v>20210831</v>
      </c>
      <c r="BK1805">
        <v>20150423</v>
      </c>
      <c r="BL1805">
        <v>7.25</v>
      </c>
      <c r="BM1805" t="s">
        <v>120</v>
      </c>
      <c r="BN1805" t="s">
        <v>120</v>
      </c>
      <c r="BO1805">
        <v>32.58</v>
      </c>
      <c r="BP1805">
        <v>6.34</v>
      </c>
      <c r="BQ1805">
        <v>14.79</v>
      </c>
      <c r="BR1805">
        <v>-1.2</v>
      </c>
      <c r="BS1805">
        <v>58.26</v>
      </c>
      <c r="BT1805">
        <v>19.260000000000002</v>
      </c>
      <c r="BU1805">
        <v>4.1500000000000004</v>
      </c>
      <c r="BV1805">
        <v>1.85</v>
      </c>
      <c r="BW1805">
        <v>12.87</v>
      </c>
      <c r="BX1805">
        <v>3.73</v>
      </c>
      <c r="BY1805">
        <v>3.73</v>
      </c>
      <c r="BZ1805">
        <v>8.4499999999999993</v>
      </c>
      <c r="CA1805">
        <v>0.03</v>
      </c>
      <c r="CB1805">
        <v>7.63</v>
      </c>
      <c r="CC1805">
        <v>5.05</v>
      </c>
      <c r="CD1805">
        <v>4.01</v>
      </c>
      <c r="CE1805">
        <v>0.1</v>
      </c>
      <c r="CF1805">
        <v>0.01</v>
      </c>
      <c r="CG1805">
        <v>0.1</v>
      </c>
      <c r="CH1805">
        <v>0.04</v>
      </c>
      <c r="CI1805">
        <v>0.11</v>
      </c>
      <c r="CJ1805">
        <v>0.12</v>
      </c>
      <c r="CK1805">
        <v>0.02</v>
      </c>
      <c r="CL1805">
        <v>-0.56999999999999995</v>
      </c>
      <c r="CM1805">
        <v>-1.96</v>
      </c>
      <c r="CN1805">
        <v>0.65</v>
      </c>
      <c r="CO1805">
        <v>35422</v>
      </c>
      <c r="CP1805">
        <v>13130</v>
      </c>
      <c r="CQ1805" t="s">
        <v>9104</v>
      </c>
      <c r="CR1805">
        <v>3.71</v>
      </c>
      <c r="CS1805">
        <v>-7.38</v>
      </c>
      <c r="CT1805">
        <v>3.11</v>
      </c>
      <c r="CU1805">
        <v>-23.49</v>
      </c>
      <c r="CV1805">
        <v>9.1</v>
      </c>
      <c r="CW1805">
        <v>0</v>
      </c>
      <c r="CX1805" t="s">
        <v>499</v>
      </c>
      <c r="CY1805">
        <v>2.04</v>
      </c>
      <c r="CZ1805">
        <v>0</v>
      </c>
      <c r="DA1805">
        <v>1.05</v>
      </c>
      <c r="DB1805">
        <v>-0.08</v>
      </c>
      <c r="DC1805">
        <v>-0.27</v>
      </c>
      <c r="DD1805">
        <v>45.41</v>
      </c>
      <c r="DE1805" t="s">
        <v>927</v>
      </c>
      <c r="DF1805">
        <v>20.68</v>
      </c>
      <c r="DG1805">
        <v>1.97</v>
      </c>
      <c r="DH1805">
        <v>2.2599999999999998</v>
      </c>
      <c r="DI1805">
        <v>0.18</v>
      </c>
      <c r="DJ1805">
        <v>1281</v>
      </c>
      <c r="DK1805">
        <v>300444</v>
      </c>
      <c r="DL1805" t="s">
        <v>120</v>
      </c>
      <c r="DM1805" t="s">
        <v>120</v>
      </c>
      <c r="DN1805" t="s">
        <v>120</v>
      </c>
    </row>
    <row r="1806" spans="1:118">
      <c r="A1806" t="str">
        <f>"300445"</f>
        <v>300445</v>
      </c>
      <c r="B1806" t="s">
        <v>9105</v>
      </c>
      <c r="C1806">
        <v>-3.97</v>
      </c>
      <c r="D1806">
        <v>7.0000000000000007E-2</v>
      </c>
      <c r="E1806">
        <v>0.13</v>
      </c>
      <c r="F1806">
        <v>299</v>
      </c>
      <c r="G1806" t="s">
        <v>9106</v>
      </c>
      <c r="H1806">
        <v>2342.77</v>
      </c>
      <c r="I1806">
        <v>2.12</v>
      </c>
      <c r="J1806" t="s">
        <v>120</v>
      </c>
      <c r="K1806" t="s">
        <v>9107</v>
      </c>
      <c r="L1806">
        <v>1.17</v>
      </c>
      <c r="M1806">
        <v>14.53</v>
      </c>
      <c r="N1806">
        <v>1.05</v>
      </c>
      <c r="O1806">
        <v>0.79</v>
      </c>
      <c r="P1806">
        <v>15.25</v>
      </c>
      <c r="Q1806">
        <v>-4.16</v>
      </c>
      <c r="R1806">
        <v>14.5</v>
      </c>
      <c r="S1806">
        <v>15.15</v>
      </c>
      <c r="T1806">
        <v>15803</v>
      </c>
      <c r="U1806">
        <v>14.53</v>
      </c>
      <c r="V1806">
        <v>15.13</v>
      </c>
      <c r="W1806">
        <v>49.32</v>
      </c>
      <c r="X1806" t="s">
        <v>2717</v>
      </c>
      <c r="Y1806" t="s">
        <v>158</v>
      </c>
      <c r="Z1806">
        <v>4.96</v>
      </c>
      <c r="AA1806">
        <v>14.83</v>
      </c>
      <c r="AB1806">
        <v>11492</v>
      </c>
      <c r="AC1806">
        <v>4311</v>
      </c>
      <c r="AD1806">
        <v>2.67</v>
      </c>
      <c r="AE1806">
        <v>61</v>
      </c>
      <c r="AF1806">
        <v>36</v>
      </c>
      <c r="AG1806" t="s">
        <v>120</v>
      </c>
      <c r="AH1806">
        <v>0</v>
      </c>
      <c r="AI1806" t="s">
        <v>120</v>
      </c>
      <c r="AJ1806">
        <v>1.36</v>
      </c>
      <c r="AK1806" t="s">
        <v>923</v>
      </c>
      <c r="AL1806">
        <v>-2.0499999999999998</v>
      </c>
      <c r="AM1806">
        <v>1000</v>
      </c>
      <c r="AN1806">
        <v>16</v>
      </c>
      <c r="AO1806">
        <v>1.1999999999999999E-3</v>
      </c>
      <c r="AP1806">
        <v>-2</v>
      </c>
      <c r="AQ1806">
        <v>-0.13</v>
      </c>
      <c r="AR1806">
        <v>-3.39</v>
      </c>
      <c r="AS1806">
        <v>-2.68</v>
      </c>
      <c r="AT1806">
        <v>11.95</v>
      </c>
      <c r="AU1806">
        <v>-0.2</v>
      </c>
      <c r="AV1806">
        <v>0</v>
      </c>
      <c r="AW1806">
        <v>1.76</v>
      </c>
      <c r="AX1806">
        <v>42.33</v>
      </c>
      <c r="AY1806">
        <v>46.17</v>
      </c>
      <c r="AZ1806">
        <v>53.71</v>
      </c>
      <c r="BA1806">
        <v>1</v>
      </c>
      <c r="BB1806" t="s">
        <v>143</v>
      </c>
      <c r="BF1806">
        <v>-2.02</v>
      </c>
      <c r="BG1806">
        <v>-4.09</v>
      </c>
      <c r="BH1806">
        <v>-4.72</v>
      </c>
      <c r="BI1806">
        <v>0.21</v>
      </c>
      <c r="BJ1806">
        <v>20210901</v>
      </c>
      <c r="BK1806">
        <v>20150424</v>
      </c>
      <c r="BL1806">
        <v>2.12</v>
      </c>
      <c r="BM1806" t="s">
        <v>120</v>
      </c>
      <c r="BN1806" t="s">
        <v>120</v>
      </c>
      <c r="BO1806">
        <v>9.6</v>
      </c>
      <c r="BP1806">
        <v>14.52</v>
      </c>
      <c r="BQ1806">
        <v>9.01</v>
      </c>
      <c r="BR1806">
        <v>0</v>
      </c>
      <c r="BS1806">
        <v>6.18</v>
      </c>
      <c r="BT1806">
        <v>5.55</v>
      </c>
      <c r="BU1806">
        <v>1.48</v>
      </c>
      <c r="BV1806">
        <v>1.1499999999999999</v>
      </c>
      <c r="BW1806">
        <v>0.51</v>
      </c>
      <c r="BX1806">
        <v>2.69</v>
      </c>
      <c r="BY1806">
        <v>0.6</v>
      </c>
      <c r="BZ1806">
        <v>0.54</v>
      </c>
      <c r="CA1806" t="s">
        <v>120</v>
      </c>
      <c r="CB1806">
        <v>2.78</v>
      </c>
      <c r="CC1806">
        <v>1.47</v>
      </c>
      <c r="CD1806">
        <v>0.46</v>
      </c>
      <c r="CE1806">
        <v>0.37</v>
      </c>
      <c r="CF1806">
        <v>0.01</v>
      </c>
      <c r="CG1806">
        <v>0.37</v>
      </c>
      <c r="CH1806">
        <v>0.33</v>
      </c>
      <c r="CI1806">
        <v>0.31</v>
      </c>
      <c r="CJ1806">
        <v>-0.6</v>
      </c>
      <c r="CK1806">
        <v>0.28999999999999998</v>
      </c>
      <c r="CL1806">
        <v>3.99</v>
      </c>
      <c r="CM1806">
        <v>7.0000000000000007E-2</v>
      </c>
      <c r="CN1806">
        <v>-0.26</v>
      </c>
      <c r="CO1806">
        <v>8662</v>
      </c>
      <c r="CP1806">
        <v>10381</v>
      </c>
      <c r="CQ1806" t="s">
        <v>9108</v>
      </c>
      <c r="CR1806">
        <v>45.5</v>
      </c>
      <c r="CS1806">
        <v>37.6</v>
      </c>
      <c r="CT1806">
        <v>3.49</v>
      </c>
      <c r="CU1806">
        <v>461.4</v>
      </c>
      <c r="CV1806">
        <v>20.96</v>
      </c>
      <c r="CW1806">
        <v>0.34</v>
      </c>
      <c r="CX1806" t="s">
        <v>300</v>
      </c>
      <c r="CY1806">
        <v>4.16</v>
      </c>
      <c r="CZ1806">
        <v>4.16</v>
      </c>
      <c r="DA1806">
        <v>1.31</v>
      </c>
      <c r="DB1806">
        <v>1.88</v>
      </c>
      <c r="DC1806">
        <v>0.03</v>
      </c>
      <c r="DD1806">
        <v>93.86</v>
      </c>
      <c r="DE1806" t="s">
        <v>2135</v>
      </c>
      <c r="DF1806">
        <v>68.56</v>
      </c>
      <c r="DG1806">
        <v>25.37</v>
      </c>
      <c r="DH1806">
        <v>21.25</v>
      </c>
      <c r="DI1806">
        <v>0.22</v>
      </c>
      <c r="DJ1806">
        <v>400</v>
      </c>
      <c r="DK1806">
        <v>300445</v>
      </c>
      <c r="DL1806" t="s">
        <v>120</v>
      </c>
      <c r="DM1806" t="s">
        <v>120</v>
      </c>
      <c r="DN1806" t="s">
        <v>120</v>
      </c>
    </row>
    <row r="1807" spans="1:118">
      <c r="A1807" t="str">
        <f>"300447"</f>
        <v>300447</v>
      </c>
      <c r="B1807" t="s">
        <v>9109</v>
      </c>
      <c r="C1807">
        <v>0.51</v>
      </c>
      <c r="D1807">
        <v>0</v>
      </c>
      <c r="E1807">
        <v>-0.76</v>
      </c>
      <c r="F1807">
        <v>1041</v>
      </c>
      <c r="G1807" t="s">
        <v>9110</v>
      </c>
      <c r="H1807">
        <v>9311.98</v>
      </c>
      <c r="I1807">
        <v>16.739999999999998</v>
      </c>
      <c r="J1807" t="s">
        <v>120</v>
      </c>
      <c r="K1807" t="s">
        <v>8196</v>
      </c>
      <c r="L1807">
        <v>2.7</v>
      </c>
      <c r="M1807">
        <v>19.71</v>
      </c>
      <c r="N1807">
        <v>0.56999999999999995</v>
      </c>
      <c r="O1807">
        <v>3.72</v>
      </c>
      <c r="P1807">
        <v>20.34</v>
      </c>
      <c r="Q1807">
        <v>-0.76</v>
      </c>
      <c r="R1807">
        <v>19.46</v>
      </c>
      <c r="S1807">
        <v>19.46</v>
      </c>
      <c r="T1807">
        <v>46936</v>
      </c>
      <c r="U1807">
        <v>19.71</v>
      </c>
      <c r="V1807">
        <v>19.61</v>
      </c>
      <c r="W1807">
        <v>36.14</v>
      </c>
      <c r="X1807" t="s">
        <v>394</v>
      </c>
      <c r="Y1807" t="s">
        <v>319</v>
      </c>
      <c r="Z1807">
        <v>4.49</v>
      </c>
      <c r="AA1807">
        <v>19.84</v>
      </c>
      <c r="AB1807">
        <v>23008</v>
      </c>
      <c r="AC1807">
        <v>23928</v>
      </c>
      <c r="AD1807">
        <v>0.96</v>
      </c>
      <c r="AE1807">
        <v>38</v>
      </c>
      <c r="AF1807">
        <v>256</v>
      </c>
      <c r="AG1807" t="s">
        <v>120</v>
      </c>
      <c r="AH1807">
        <v>0.01</v>
      </c>
      <c r="AI1807" t="s">
        <v>120</v>
      </c>
      <c r="AJ1807">
        <v>1.74</v>
      </c>
      <c r="AK1807" t="s">
        <v>9111</v>
      </c>
      <c r="AL1807">
        <v>2.42</v>
      </c>
      <c r="AM1807">
        <v>2208</v>
      </c>
      <c r="AN1807">
        <v>21</v>
      </c>
      <c r="AO1807">
        <v>1.1999999999999999E-3</v>
      </c>
      <c r="AP1807">
        <v>1</v>
      </c>
      <c r="AQ1807">
        <v>-3.02</v>
      </c>
      <c r="AR1807">
        <v>3.63</v>
      </c>
      <c r="AS1807">
        <v>-1.01</v>
      </c>
      <c r="AT1807">
        <v>22.57</v>
      </c>
      <c r="AU1807">
        <v>32.46</v>
      </c>
      <c r="AV1807">
        <v>2</v>
      </c>
      <c r="AW1807">
        <v>3.67</v>
      </c>
      <c r="AX1807">
        <v>40.92</v>
      </c>
      <c r="AY1807">
        <v>37.51</v>
      </c>
      <c r="AZ1807">
        <v>44.13</v>
      </c>
      <c r="BA1807">
        <v>0.77</v>
      </c>
      <c r="BB1807" t="s">
        <v>143</v>
      </c>
      <c r="BF1807">
        <v>1.17</v>
      </c>
      <c r="BG1807">
        <v>1.28</v>
      </c>
      <c r="BH1807">
        <v>-3.1</v>
      </c>
      <c r="BI1807">
        <v>1.28</v>
      </c>
      <c r="BJ1807">
        <v>20210825</v>
      </c>
      <c r="BK1807">
        <v>20150422</v>
      </c>
      <c r="BL1807">
        <v>3.12</v>
      </c>
      <c r="BM1807" t="s">
        <v>120</v>
      </c>
      <c r="BN1807" t="s">
        <v>120</v>
      </c>
      <c r="BO1807">
        <v>20.29</v>
      </c>
      <c r="BP1807">
        <v>19.7</v>
      </c>
      <c r="BQ1807">
        <v>13.37</v>
      </c>
      <c r="BR1807">
        <v>0.14000000000000001</v>
      </c>
      <c r="BS1807">
        <v>33.42</v>
      </c>
      <c r="BT1807">
        <v>15.5</v>
      </c>
      <c r="BU1807">
        <v>1.1399999999999999</v>
      </c>
      <c r="BV1807">
        <v>0.27</v>
      </c>
      <c r="BW1807">
        <v>6.76</v>
      </c>
      <c r="BX1807">
        <v>2.09</v>
      </c>
      <c r="BY1807">
        <v>4.82</v>
      </c>
      <c r="BZ1807">
        <v>5.62</v>
      </c>
      <c r="CA1807" t="s">
        <v>120</v>
      </c>
      <c r="CB1807">
        <v>5.14</v>
      </c>
      <c r="CC1807">
        <v>4.53</v>
      </c>
      <c r="CD1807">
        <v>2.2400000000000002</v>
      </c>
      <c r="CE1807">
        <v>1.1399999999999999</v>
      </c>
      <c r="CF1807">
        <v>0.04</v>
      </c>
      <c r="CG1807">
        <v>1.1200000000000001</v>
      </c>
      <c r="CH1807">
        <v>0.87</v>
      </c>
      <c r="CI1807">
        <v>0.85</v>
      </c>
      <c r="CJ1807">
        <v>0.1</v>
      </c>
      <c r="CK1807">
        <v>0.82</v>
      </c>
      <c r="CL1807">
        <v>4.78</v>
      </c>
      <c r="CM1807">
        <v>-1.06</v>
      </c>
      <c r="CN1807">
        <v>-1.2</v>
      </c>
      <c r="CO1807">
        <v>21509</v>
      </c>
      <c r="CP1807">
        <v>5943</v>
      </c>
      <c r="CQ1807" t="s">
        <v>1586</v>
      </c>
      <c r="CR1807">
        <v>40.31</v>
      </c>
      <c r="CS1807">
        <v>38.28</v>
      </c>
      <c r="CT1807">
        <v>4.29</v>
      </c>
      <c r="CU1807">
        <v>-58.12</v>
      </c>
      <c r="CV1807">
        <v>13.59</v>
      </c>
      <c r="CW1807">
        <v>0</v>
      </c>
      <c r="CX1807" t="s">
        <v>293</v>
      </c>
      <c r="CY1807">
        <v>4.59</v>
      </c>
      <c r="CZ1807">
        <v>4.59</v>
      </c>
      <c r="DA1807">
        <v>1.65</v>
      </c>
      <c r="DB1807">
        <v>1.53</v>
      </c>
      <c r="DC1807">
        <v>-0.34</v>
      </c>
      <c r="DD1807">
        <v>65.87</v>
      </c>
      <c r="DE1807" t="s">
        <v>6422</v>
      </c>
      <c r="DF1807">
        <v>50.65</v>
      </c>
      <c r="DG1807">
        <v>25.16</v>
      </c>
      <c r="DH1807">
        <v>18.8</v>
      </c>
      <c r="DI1807">
        <v>0.37</v>
      </c>
      <c r="DJ1807">
        <v>660</v>
      </c>
      <c r="DK1807">
        <v>300447</v>
      </c>
      <c r="DL1807" t="s">
        <v>120</v>
      </c>
      <c r="DM1807" t="s">
        <v>120</v>
      </c>
      <c r="DN1807" t="s">
        <v>120</v>
      </c>
    </row>
    <row r="1808" spans="1:118">
      <c r="A1808" t="str">
        <f>"300448"</f>
        <v>300448</v>
      </c>
      <c r="B1808" t="s">
        <v>9112</v>
      </c>
      <c r="C1808">
        <v>-1.44</v>
      </c>
      <c r="D1808">
        <v>0</v>
      </c>
      <c r="E1808">
        <v>0.57999999999999996</v>
      </c>
      <c r="F1808">
        <v>1561</v>
      </c>
      <c r="G1808" t="s">
        <v>4415</v>
      </c>
      <c r="H1808">
        <v>5687.88</v>
      </c>
      <c r="I1808">
        <v>7.32</v>
      </c>
      <c r="J1808" t="s">
        <v>120</v>
      </c>
      <c r="K1808" t="s">
        <v>8310</v>
      </c>
      <c r="L1808">
        <v>1.79</v>
      </c>
      <c r="M1808">
        <v>6.83</v>
      </c>
      <c r="N1808">
        <v>1.01</v>
      </c>
      <c r="O1808">
        <v>1.44</v>
      </c>
      <c r="P1808">
        <v>7.03</v>
      </c>
      <c r="Q1808">
        <v>-1.59</v>
      </c>
      <c r="R1808">
        <v>6.82</v>
      </c>
      <c r="S1808">
        <v>6.97</v>
      </c>
      <c r="T1808">
        <v>82179</v>
      </c>
      <c r="U1808">
        <v>6.84</v>
      </c>
      <c r="V1808">
        <v>6.93</v>
      </c>
      <c r="W1808">
        <v>162.74</v>
      </c>
      <c r="X1808" t="s">
        <v>141</v>
      </c>
      <c r="Y1808" t="s">
        <v>547</v>
      </c>
      <c r="Z1808">
        <v>3.03</v>
      </c>
      <c r="AA1808">
        <v>6.92</v>
      </c>
      <c r="AB1808">
        <v>49141</v>
      </c>
      <c r="AC1808">
        <v>33038</v>
      </c>
      <c r="AD1808">
        <v>1.49</v>
      </c>
      <c r="AE1808">
        <v>40</v>
      </c>
      <c r="AF1808">
        <v>394</v>
      </c>
      <c r="AG1808" t="s">
        <v>120</v>
      </c>
      <c r="AH1808">
        <v>0</v>
      </c>
      <c r="AI1808" t="s">
        <v>120</v>
      </c>
      <c r="AJ1808">
        <v>4.5999999999999996</v>
      </c>
      <c r="AK1808" t="s">
        <v>9113</v>
      </c>
      <c r="AL1808">
        <v>0.47</v>
      </c>
      <c r="AM1808">
        <v>1388</v>
      </c>
      <c r="AN1808">
        <v>59</v>
      </c>
      <c r="AO1808">
        <v>1.2999999999999999E-3</v>
      </c>
      <c r="AP1808">
        <v>-1</v>
      </c>
      <c r="AQ1808">
        <v>0.28999999999999998</v>
      </c>
      <c r="AR1808">
        <v>-1.1599999999999999</v>
      </c>
      <c r="AS1808">
        <v>-12.55</v>
      </c>
      <c r="AT1808">
        <v>-9.77</v>
      </c>
      <c r="AU1808">
        <v>-22.41</v>
      </c>
      <c r="AV1808">
        <v>0</v>
      </c>
      <c r="AW1808">
        <v>2.04</v>
      </c>
      <c r="AX1808">
        <v>58.97</v>
      </c>
      <c r="AY1808">
        <v>67.260000000000005</v>
      </c>
      <c r="AZ1808">
        <v>363.32</v>
      </c>
      <c r="BA1808">
        <v>0.96</v>
      </c>
      <c r="BB1808" t="s">
        <v>143</v>
      </c>
      <c r="BF1808">
        <v>-0.13</v>
      </c>
      <c r="BG1808">
        <v>-2.0099999999999998</v>
      </c>
      <c r="BH1808">
        <v>-2.84</v>
      </c>
      <c r="BI1808">
        <v>0.15</v>
      </c>
      <c r="BJ1808">
        <v>20210821</v>
      </c>
      <c r="BK1808">
        <v>20150424</v>
      </c>
      <c r="BL1808">
        <v>6.84</v>
      </c>
      <c r="BM1808" t="s">
        <v>120</v>
      </c>
      <c r="BN1808" t="s">
        <v>120</v>
      </c>
      <c r="BO1808">
        <v>16.62</v>
      </c>
      <c r="BP1808">
        <v>6.83</v>
      </c>
      <c r="BQ1808">
        <v>14.2</v>
      </c>
      <c r="BR1808">
        <v>0.6</v>
      </c>
      <c r="BS1808">
        <v>10.99</v>
      </c>
      <c r="BT1808">
        <v>11.23</v>
      </c>
      <c r="BU1808">
        <v>1.84</v>
      </c>
      <c r="BV1808">
        <v>0.56999999999999995</v>
      </c>
      <c r="BW1808">
        <v>1.76</v>
      </c>
      <c r="BX1808">
        <v>3.19</v>
      </c>
      <c r="BY1808">
        <v>2.02</v>
      </c>
      <c r="BZ1808">
        <v>3.42</v>
      </c>
      <c r="CA1808" t="s">
        <v>120</v>
      </c>
      <c r="CB1808">
        <v>2.5099999999999998</v>
      </c>
      <c r="CC1808">
        <v>2.2999999999999998</v>
      </c>
      <c r="CD1808">
        <v>1.36</v>
      </c>
      <c r="CE1808">
        <v>0.13</v>
      </c>
      <c r="CF1808">
        <v>0.02</v>
      </c>
      <c r="CG1808">
        <v>0.13</v>
      </c>
      <c r="CH1808">
        <v>0.1</v>
      </c>
      <c r="CI1808">
        <v>0.14000000000000001</v>
      </c>
      <c r="CJ1808">
        <v>-0.1</v>
      </c>
      <c r="CK1808">
        <v>0.11</v>
      </c>
      <c r="CL1808">
        <v>5.17</v>
      </c>
      <c r="CM1808">
        <v>-0.6</v>
      </c>
      <c r="CN1808">
        <v>-2.0499999999999998</v>
      </c>
      <c r="CO1808">
        <v>35608</v>
      </c>
      <c r="CP1808">
        <v>11330</v>
      </c>
      <c r="CQ1808" t="s">
        <v>686</v>
      </c>
      <c r="CR1808">
        <v>133.32</v>
      </c>
      <c r="CS1808">
        <v>82.4</v>
      </c>
      <c r="CT1808">
        <v>3.33</v>
      </c>
      <c r="CU1808">
        <v>-78.459999999999994</v>
      </c>
      <c r="CV1808">
        <v>20.28</v>
      </c>
      <c r="CW1808">
        <v>0.26</v>
      </c>
      <c r="CX1808" t="s">
        <v>499</v>
      </c>
      <c r="CY1808">
        <v>2.0499999999999998</v>
      </c>
      <c r="CZ1808">
        <v>2.0499999999999998</v>
      </c>
      <c r="DA1808">
        <v>0.37</v>
      </c>
      <c r="DB1808">
        <v>0.76</v>
      </c>
      <c r="DC1808">
        <v>-0.09</v>
      </c>
      <c r="DD1808">
        <v>85.42</v>
      </c>
      <c r="DE1808" t="s">
        <v>3341</v>
      </c>
      <c r="DF1808">
        <v>40.950000000000003</v>
      </c>
      <c r="DG1808">
        <v>5.44</v>
      </c>
      <c r="DH1808">
        <v>6.23</v>
      </c>
      <c r="DI1808">
        <v>0.23</v>
      </c>
      <c r="DJ1808">
        <v>1163</v>
      </c>
      <c r="DK1808">
        <v>300448</v>
      </c>
      <c r="DL1808" t="s">
        <v>120</v>
      </c>
      <c r="DM1808" t="s">
        <v>120</v>
      </c>
      <c r="DN1808" t="s">
        <v>120</v>
      </c>
    </row>
    <row r="1809" spans="1:118">
      <c r="A1809" t="str">
        <f>"300449"</f>
        <v>300449</v>
      </c>
      <c r="B1809" t="s">
        <v>9114</v>
      </c>
      <c r="C1809">
        <v>-2.6</v>
      </c>
      <c r="D1809">
        <v>0</v>
      </c>
      <c r="E1809">
        <v>0.96</v>
      </c>
      <c r="F1809">
        <v>467</v>
      </c>
      <c r="G1809" t="s">
        <v>9115</v>
      </c>
      <c r="H1809">
        <v>4303.1400000000003</v>
      </c>
      <c r="I1809">
        <v>20.62</v>
      </c>
      <c r="J1809" t="s">
        <v>120</v>
      </c>
      <c r="K1809" t="s">
        <v>9116</v>
      </c>
      <c r="L1809">
        <v>2.36</v>
      </c>
      <c r="M1809">
        <v>7.13</v>
      </c>
      <c r="N1809">
        <v>0.8</v>
      </c>
      <c r="O1809">
        <v>1.5</v>
      </c>
      <c r="P1809">
        <v>7.43</v>
      </c>
      <c r="Q1809">
        <v>-2.87</v>
      </c>
      <c r="R1809">
        <v>7.11</v>
      </c>
      <c r="S1809">
        <v>7.39</v>
      </c>
      <c r="T1809">
        <v>59194</v>
      </c>
      <c r="U1809">
        <v>7.13</v>
      </c>
      <c r="V1809">
        <v>7.32</v>
      </c>
      <c r="W1809" t="s">
        <v>120</v>
      </c>
      <c r="X1809" t="s">
        <v>238</v>
      </c>
      <c r="Y1809" t="s">
        <v>158</v>
      </c>
      <c r="Z1809">
        <v>4.37</v>
      </c>
      <c r="AA1809">
        <v>7.27</v>
      </c>
      <c r="AB1809">
        <v>33152</v>
      </c>
      <c r="AC1809">
        <v>26042</v>
      </c>
      <c r="AD1809">
        <v>1.27</v>
      </c>
      <c r="AE1809">
        <v>247</v>
      </c>
      <c r="AF1809">
        <v>174</v>
      </c>
      <c r="AG1809" t="s">
        <v>120</v>
      </c>
      <c r="AH1809">
        <v>0.01</v>
      </c>
      <c r="AI1809" t="s">
        <v>120</v>
      </c>
      <c r="AJ1809">
        <v>2.5099999999999998</v>
      </c>
      <c r="AK1809" t="s">
        <v>2579</v>
      </c>
      <c r="AL1809">
        <v>-0.68</v>
      </c>
      <c r="AM1809">
        <v>1422</v>
      </c>
      <c r="AN1809">
        <v>42</v>
      </c>
      <c r="AO1809">
        <v>1.6999999999999999E-3</v>
      </c>
      <c r="AP1809">
        <v>-3</v>
      </c>
      <c r="AQ1809">
        <v>-0.14000000000000001</v>
      </c>
      <c r="AR1809">
        <v>-5.69</v>
      </c>
      <c r="AS1809">
        <v>-0.97</v>
      </c>
      <c r="AT1809">
        <v>-6.31</v>
      </c>
      <c r="AU1809">
        <v>-46.18</v>
      </c>
      <c r="AV1809">
        <v>0</v>
      </c>
      <c r="AW1809">
        <v>2.65</v>
      </c>
      <c r="AX1809">
        <v>74.83</v>
      </c>
      <c r="AY1809">
        <v>1181.56</v>
      </c>
      <c r="AZ1809">
        <v>45.77</v>
      </c>
      <c r="BA1809">
        <v>0.84</v>
      </c>
      <c r="BB1809" t="s">
        <v>143</v>
      </c>
      <c r="BF1809">
        <v>-0.69</v>
      </c>
      <c r="BG1809">
        <v>-3.52</v>
      </c>
      <c r="BH1809">
        <v>-4.04</v>
      </c>
      <c r="BI1809">
        <v>0.28000000000000003</v>
      </c>
      <c r="BJ1809">
        <v>20210811</v>
      </c>
      <c r="BK1809">
        <v>20150422</v>
      </c>
      <c r="BL1809">
        <v>2.98</v>
      </c>
      <c r="BM1809" t="s">
        <v>120</v>
      </c>
      <c r="BN1809" t="s">
        <v>120</v>
      </c>
      <c r="BO1809">
        <v>13.93</v>
      </c>
      <c r="BP1809">
        <v>7.12</v>
      </c>
      <c r="BQ1809">
        <v>8.99</v>
      </c>
      <c r="BR1809">
        <v>0</v>
      </c>
      <c r="BS1809">
        <v>35.479999999999997</v>
      </c>
      <c r="BT1809">
        <v>5.48</v>
      </c>
      <c r="BU1809">
        <v>1.0900000000000001</v>
      </c>
      <c r="BV1809">
        <v>0.08</v>
      </c>
      <c r="BW1809">
        <v>4.5199999999999996</v>
      </c>
      <c r="BX1809">
        <v>0.12</v>
      </c>
      <c r="BY1809">
        <v>0.22</v>
      </c>
      <c r="BZ1809">
        <v>3.13</v>
      </c>
      <c r="CA1809" t="s">
        <v>120</v>
      </c>
      <c r="CB1809">
        <v>7.86</v>
      </c>
      <c r="CC1809">
        <v>2.17</v>
      </c>
      <c r="CD1809">
        <v>1.98</v>
      </c>
      <c r="CE1809">
        <v>-0.17</v>
      </c>
      <c r="CF1809">
        <v>0</v>
      </c>
      <c r="CG1809">
        <v>-0.17</v>
      </c>
      <c r="CH1809">
        <v>-0.17</v>
      </c>
      <c r="CI1809">
        <v>-0.17</v>
      </c>
      <c r="CJ1809">
        <v>-0.19</v>
      </c>
      <c r="CK1809">
        <v>-0.17</v>
      </c>
      <c r="CL1809">
        <v>-1.91</v>
      </c>
      <c r="CM1809">
        <v>-0.22</v>
      </c>
      <c r="CN1809">
        <v>-0.04</v>
      </c>
      <c r="CO1809">
        <v>27926</v>
      </c>
      <c r="CP1809">
        <v>7992</v>
      </c>
      <c r="CQ1809" t="s">
        <v>5224</v>
      </c>
      <c r="CR1809">
        <v>-159.22</v>
      </c>
      <c r="CS1809">
        <v>177.9</v>
      </c>
      <c r="CT1809">
        <v>2.37</v>
      </c>
      <c r="CU1809">
        <v>-94.92</v>
      </c>
      <c r="CV1809">
        <v>9.8000000000000007</v>
      </c>
      <c r="CW1809">
        <v>0</v>
      </c>
      <c r="CX1809" t="s">
        <v>2044</v>
      </c>
      <c r="CY1809">
        <v>3.01</v>
      </c>
      <c r="CZ1809">
        <v>0</v>
      </c>
      <c r="DA1809">
        <v>2.63</v>
      </c>
      <c r="DB1809">
        <v>-0.64</v>
      </c>
      <c r="DC1809">
        <v>-0.08</v>
      </c>
      <c r="DD1809">
        <v>64.52</v>
      </c>
      <c r="DE1809" t="s">
        <v>2636</v>
      </c>
      <c r="DF1809">
        <v>8.75</v>
      </c>
      <c r="DG1809">
        <v>-7.65</v>
      </c>
      <c r="DH1809">
        <v>-7.86</v>
      </c>
      <c r="DI1809">
        <v>0.09</v>
      </c>
      <c r="DJ1809">
        <v>272</v>
      </c>
      <c r="DK1809">
        <v>300449</v>
      </c>
      <c r="DL1809" t="s">
        <v>120</v>
      </c>
      <c r="DM1809" t="s">
        <v>120</v>
      </c>
      <c r="DN1809" t="s">
        <v>120</v>
      </c>
    </row>
    <row r="1810" spans="1:118">
      <c r="A1810" t="str">
        <f>"300450"</f>
        <v>300450</v>
      </c>
      <c r="B1810" t="s">
        <v>9117</v>
      </c>
      <c r="C1810">
        <v>0.15</v>
      </c>
      <c r="D1810">
        <v>-0.16</v>
      </c>
      <c r="E1810">
        <v>1.22</v>
      </c>
      <c r="F1810">
        <v>4099</v>
      </c>
      <c r="G1810" t="s">
        <v>9118</v>
      </c>
      <c r="H1810">
        <v>140528.94</v>
      </c>
      <c r="I1810">
        <v>551.52</v>
      </c>
      <c r="J1810" t="s">
        <v>120</v>
      </c>
      <c r="K1810" t="s">
        <v>9119</v>
      </c>
      <c r="L1810">
        <v>1.34</v>
      </c>
      <c r="M1810">
        <v>71.239999999999995</v>
      </c>
      <c r="N1810">
        <v>1.1100000000000001</v>
      </c>
      <c r="O1810">
        <v>4.3899999999999997</v>
      </c>
      <c r="P1810">
        <v>74.25</v>
      </c>
      <c r="Q1810">
        <v>-0.06</v>
      </c>
      <c r="R1810">
        <v>71.09</v>
      </c>
      <c r="S1810">
        <v>72</v>
      </c>
      <c r="T1810">
        <v>193582</v>
      </c>
      <c r="U1810">
        <v>71.25</v>
      </c>
      <c r="V1810">
        <v>71.13</v>
      </c>
      <c r="W1810">
        <v>111.14</v>
      </c>
      <c r="X1810" t="s">
        <v>675</v>
      </c>
      <c r="Y1810" t="s">
        <v>319</v>
      </c>
      <c r="Z1810">
        <v>4.4400000000000004</v>
      </c>
      <c r="AA1810">
        <v>72.59</v>
      </c>
      <c r="AB1810">
        <v>97845</v>
      </c>
      <c r="AC1810">
        <v>95737</v>
      </c>
      <c r="AD1810">
        <v>1.02</v>
      </c>
      <c r="AE1810">
        <v>4</v>
      </c>
      <c r="AF1810">
        <v>10</v>
      </c>
      <c r="AG1810" t="s">
        <v>120</v>
      </c>
      <c r="AH1810">
        <v>0.01</v>
      </c>
      <c r="AI1810" t="s">
        <v>120</v>
      </c>
      <c r="AJ1810">
        <v>14.49</v>
      </c>
      <c r="AK1810" t="s">
        <v>9120</v>
      </c>
      <c r="AL1810">
        <v>2.0699999999999998</v>
      </c>
      <c r="AM1810">
        <v>4575</v>
      </c>
      <c r="AN1810">
        <v>42</v>
      </c>
      <c r="AO1810">
        <v>2.9999999999999997E-4</v>
      </c>
      <c r="AP1810">
        <v>1</v>
      </c>
      <c r="AQ1810">
        <v>-0.81</v>
      </c>
      <c r="AR1810">
        <v>3.6</v>
      </c>
      <c r="AS1810">
        <v>-5.43</v>
      </c>
      <c r="AT1810">
        <v>27.22</v>
      </c>
      <c r="AU1810">
        <v>36.200000000000003</v>
      </c>
      <c r="AV1810">
        <v>0</v>
      </c>
      <c r="AW1810">
        <v>2.04</v>
      </c>
      <c r="AX1810">
        <v>60.65</v>
      </c>
      <c r="AY1810">
        <v>106.88</v>
      </c>
      <c r="AZ1810">
        <v>144.91</v>
      </c>
      <c r="BA1810">
        <v>1.6</v>
      </c>
      <c r="BB1810" t="s">
        <v>143</v>
      </c>
      <c r="BF1810">
        <v>2.06</v>
      </c>
      <c r="BG1810">
        <v>-1.06</v>
      </c>
      <c r="BH1810">
        <v>-4.05</v>
      </c>
      <c r="BI1810">
        <v>0.21</v>
      </c>
      <c r="BJ1810">
        <v>20210824</v>
      </c>
      <c r="BK1810">
        <v>20150518</v>
      </c>
      <c r="BL1810">
        <v>15.64</v>
      </c>
      <c r="BM1810" t="s">
        <v>120</v>
      </c>
      <c r="BN1810" t="s">
        <v>120</v>
      </c>
      <c r="BO1810">
        <v>190.49</v>
      </c>
      <c r="BP1810">
        <v>71.239999999999995</v>
      </c>
      <c r="BQ1810">
        <v>83.35</v>
      </c>
      <c r="BR1810" t="s">
        <v>120</v>
      </c>
      <c r="BS1810">
        <v>56.25</v>
      </c>
      <c r="BT1810">
        <v>161.71</v>
      </c>
      <c r="BU1810">
        <v>7.66</v>
      </c>
      <c r="BV1810">
        <v>1.55</v>
      </c>
      <c r="BW1810">
        <v>105.26</v>
      </c>
      <c r="BX1810">
        <v>43.51</v>
      </c>
      <c r="BY1810">
        <v>59.32</v>
      </c>
      <c r="BZ1810">
        <v>31.31</v>
      </c>
      <c r="CA1810" t="s">
        <v>120</v>
      </c>
      <c r="CB1810">
        <v>38.42</v>
      </c>
      <c r="CC1810">
        <v>32.68</v>
      </c>
      <c r="CD1810">
        <v>20.21</v>
      </c>
      <c r="CE1810">
        <v>5.78</v>
      </c>
      <c r="CF1810">
        <v>0.15</v>
      </c>
      <c r="CG1810">
        <v>5.83</v>
      </c>
      <c r="CH1810">
        <v>5.01</v>
      </c>
      <c r="CI1810">
        <v>5.01</v>
      </c>
      <c r="CJ1810">
        <v>0.11</v>
      </c>
      <c r="CK1810">
        <v>4.88</v>
      </c>
      <c r="CL1810">
        <v>26.64</v>
      </c>
      <c r="CM1810">
        <v>0.4</v>
      </c>
      <c r="CN1810">
        <v>12.03</v>
      </c>
      <c r="CO1810">
        <v>59480</v>
      </c>
      <c r="CP1810">
        <v>15944</v>
      </c>
      <c r="CQ1810" t="s">
        <v>9121</v>
      </c>
      <c r="CR1810">
        <v>119.7</v>
      </c>
      <c r="CS1810">
        <v>75.34</v>
      </c>
      <c r="CT1810">
        <v>12.41</v>
      </c>
      <c r="CU1810">
        <v>2763.9</v>
      </c>
      <c r="CV1810">
        <v>34.08</v>
      </c>
      <c r="CW1810">
        <v>0.24</v>
      </c>
      <c r="CX1810" t="s">
        <v>269</v>
      </c>
      <c r="CY1810">
        <v>5.74</v>
      </c>
      <c r="CZ1810">
        <v>5.74</v>
      </c>
      <c r="DA1810">
        <v>2.46</v>
      </c>
      <c r="DB1810">
        <v>1.7</v>
      </c>
      <c r="DC1810">
        <v>0.03</v>
      </c>
      <c r="DD1810">
        <v>43.75</v>
      </c>
      <c r="DE1810" t="s">
        <v>1856</v>
      </c>
      <c r="DF1810">
        <v>38.15</v>
      </c>
      <c r="DG1810">
        <v>17.670000000000002</v>
      </c>
      <c r="DH1810">
        <v>15.33</v>
      </c>
      <c r="DI1810">
        <v>3.63</v>
      </c>
      <c r="DJ1810">
        <v>8215</v>
      </c>
      <c r="DK1810">
        <v>300450</v>
      </c>
      <c r="DL1810" t="s">
        <v>120</v>
      </c>
      <c r="DM1810" t="s">
        <v>120</v>
      </c>
      <c r="DN1810" t="s">
        <v>120</v>
      </c>
    </row>
    <row r="1811" spans="1:118">
      <c r="A1811" t="str">
        <f>"300451"</f>
        <v>300451</v>
      </c>
      <c r="B1811" t="s">
        <v>9122</v>
      </c>
      <c r="C1811">
        <v>-2.44</v>
      </c>
      <c r="D1811">
        <v>-0.12</v>
      </c>
      <c r="E1811">
        <v>-0.13</v>
      </c>
      <c r="F1811">
        <v>1641</v>
      </c>
      <c r="G1811" t="s">
        <v>9123</v>
      </c>
      <c r="H1811">
        <v>11661.11</v>
      </c>
      <c r="I1811">
        <v>1.32</v>
      </c>
      <c r="J1811" t="s">
        <v>120</v>
      </c>
      <c r="K1811" t="s">
        <v>9124</v>
      </c>
      <c r="L1811">
        <v>1.1599999999999999</v>
      </c>
      <c r="M1811">
        <v>7.59</v>
      </c>
      <c r="N1811">
        <v>0.79</v>
      </c>
      <c r="O1811">
        <v>0.9</v>
      </c>
      <c r="P1811">
        <v>7.85</v>
      </c>
      <c r="Q1811">
        <v>-2.44</v>
      </c>
      <c r="R1811">
        <v>7.59</v>
      </c>
      <c r="S1811">
        <v>7.77</v>
      </c>
      <c r="T1811">
        <v>151726</v>
      </c>
      <c r="U1811">
        <v>7.6</v>
      </c>
      <c r="V1811">
        <v>7.78</v>
      </c>
      <c r="W1811">
        <v>41.27</v>
      </c>
      <c r="X1811" t="s">
        <v>141</v>
      </c>
      <c r="Y1811" t="s">
        <v>585</v>
      </c>
      <c r="Z1811">
        <v>3.34</v>
      </c>
      <c r="AA1811">
        <v>7.69</v>
      </c>
      <c r="AB1811">
        <v>91141</v>
      </c>
      <c r="AC1811">
        <v>60585</v>
      </c>
      <c r="AD1811">
        <v>1.5</v>
      </c>
      <c r="AE1811">
        <v>1160</v>
      </c>
      <c r="AF1811">
        <v>259</v>
      </c>
      <c r="AG1811" t="s">
        <v>120</v>
      </c>
      <c r="AH1811">
        <v>0</v>
      </c>
      <c r="AI1811" t="s">
        <v>120</v>
      </c>
      <c r="AJ1811">
        <v>13.11</v>
      </c>
      <c r="AK1811" t="s">
        <v>9125</v>
      </c>
      <c r="AL1811">
        <v>-0.53</v>
      </c>
      <c r="AM1811">
        <v>2431</v>
      </c>
      <c r="AN1811">
        <v>62</v>
      </c>
      <c r="AO1811">
        <v>5.0000000000000001E-4</v>
      </c>
      <c r="AP1811">
        <v>-3</v>
      </c>
      <c r="AQ1811">
        <v>-2.14</v>
      </c>
      <c r="AR1811">
        <v>-6.07</v>
      </c>
      <c r="AS1811">
        <v>2.02</v>
      </c>
      <c r="AT1811">
        <v>-16.670000000000002</v>
      </c>
      <c r="AU1811">
        <v>-26.91</v>
      </c>
      <c r="AV1811">
        <v>0</v>
      </c>
      <c r="AW1811">
        <v>1.35</v>
      </c>
      <c r="AX1811">
        <v>72.430000000000007</v>
      </c>
      <c r="AY1811">
        <v>31.54</v>
      </c>
      <c r="AZ1811">
        <v>36.28</v>
      </c>
      <c r="BA1811">
        <v>0.66</v>
      </c>
      <c r="BB1811" t="s">
        <v>143</v>
      </c>
      <c r="BF1811">
        <v>-1.21</v>
      </c>
      <c r="BG1811">
        <v>-2.3199999999999998</v>
      </c>
      <c r="BH1811">
        <v>-3.31</v>
      </c>
      <c r="BI1811">
        <v>0</v>
      </c>
      <c r="BJ1811">
        <v>20210914</v>
      </c>
      <c r="BK1811">
        <v>20150514</v>
      </c>
      <c r="BL1811">
        <v>15.5</v>
      </c>
      <c r="BM1811" t="s">
        <v>120</v>
      </c>
      <c r="BN1811" t="s">
        <v>120</v>
      </c>
      <c r="BO1811">
        <v>50.39</v>
      </c>
      <c r="BP1811">
        <v>7.59</v>
      </c>
      <c r="BQ1811">
        <v>42.52</v>
      </c>
      <c r="BR1811">
        <v>0.33</v>
      </c>
      <c r="BS1811">
        <v>14.96</v>
      </c>
      <c r="BT1811">
        <v>28.79</v>
      </c>
      <c r="BU1811">
        <v>2.78</v>
      </c>
      <c r="BV1811">
        <v>2.29</v>
      </c>
      <c r="BW1811">
        <v>7.47</v>
      </c>
      <c r="BX1811">
        <v>10.88</v>
      </c>
      <c r="BY1811">
        <v>3.27</v>
      </c>
      <c r="BZ1811">
        <v>10.46</v>
      </c>
      <c r="CA1811" t="s">
        <v>120</v>
      </c>
      <c r="CB1811">
        <v>15.2</v>
      </c>
      <c r="CC1811">
        <v>7.78</v>
      </c>
      <c r="CD1811">
        <v>3.56</v>
      </c>
      <c r="CE1811">
        <v>1.65</v>
      </c>
      <c r="CF1811">
        <v>0.25</v>
      </c>
      <c r="CG1811">
        <v>1.65</v>
      </c>
      <c r="CH1811">
        <v>1.44</v>
      </c>
      <c r="CI1811">
        <v>1.43</v>
      </c>
      <c r="CJ1811">
        <v>-0.19</v>
      </c>
      <c r="CK1811">
        <v>1.1599999999999999</v>
      </c>
      <c r="CL1811">
        <v>11.47</v>
      </c>
      <c r="CM1811">
        <v>-2.42</v>
      </c>
      <c r="CN1811">
        <v>-4.93</v>
      </c>
      <c r="CO1811">
        <v>38082</v>
      </c>
      <c r="CP1811">
        <v>29476</v>
      </c>
      <c r="CQ1811" t="s">
        <v>9126</v>
      </c>
      <c r="CR1811">
        <v>53.87</v>
      </c>
      <c r="CS1811">
        <v>9.6999999999999993</v>
      </c>
      <c r="CT1811">
        <v>2.77</v>
      </c>
      <c r="CU1811">
        <v>-48.56</v>
      </c>
      <c r="CV1811">
        <v>15.12</v>
      </c>
      <c r="CW1811">
        <v>0.3</v>
      </c>
      <c r="CX1811" t="s">
        <v>329</v>
      </c>
      <c r="CY1811">
        <v>2.74</v>
      </c>
      <c r="CZ1811">
        <v>0</v>
      </c>
      <c r="DA1811">
        <v>0.98</v>
      </c>
      <c r="DB1811">
        <v>0.74</v>
      </c>
      <c r="DC1811">
        <v>-0.16</v>
      </c>
      <c r="DD1811">
        <v>84.38</v>
      </c>
      <c r="DE1811" t="s">
        <v>739</v>
      </c>
      <c r="DF1811">
        <v>54.23</v>
      </c>
      <c r="DG1811">
        <v>21.23</v>
      </c>
      <c r="DH1811">
        <v>18.32</v>
      </c>
      <c r="DI1811">
        <v>0.87</v>
      </c>
      <c r="DJ1811">
        <v>3368</v>
      </c>
      <c r="DK1811">
        <v>300451</v>
      </c>
      <c r="DL1811" t="s">
        <v>120</v>
      </c>
      <c r="DM1811" t="s">
        <v>120</v>
      </c>
      <c r="DN1811" t="s">
        <v>120</v>
      </c>
    </row>
    <row r="1812" spans="1:118">
      <c r="A1812" t="str">
        <f>"300452"</f>
        <v>300452</v>
      </c>
      <c r="B1812" t="s">
        <v>9127</v>
      </c>
      <c r="C1812">
        <v>-0.28999999999999998</v>
      </c>
      <c r="D1812">
        <v>-0.06</v>
      </c>
      <c r="E1812">
        <v>0.14000000000000001</v>
      </c>
      <c r="F1812">
        <v>119</v>
      </c>
      <c r="G1812" t="s">
        <v>9128</v>
      </c>
      <c r="H1812">
        <v>2250.1799999999998</v>
      </c>
      <c r="I1812">
        <v>0</v>
      </c>
      <c r="J1812" t="s">
        <v>120</v>
      </c>
      <c r="K1812" t="s">
        <v>8695</v>
      </c>
      <c r="L1812">
        <v>1.1399999999999999</v>
      </c>
      <c r="M1812">
        <v>13.9</v>
      </c>
      <c r="N1812">
        <v>0.92</v>
      </c>
      <c r="O1812">
        <v>0.79</v>
      </c>
      <c r="P1812">
        <v>14.05</v>
      </c>
      <c r="Q1812">
        <v>-0.43</v>
      </c>
      <c r="R1812">
        <v>13.88</v>
      </c>
      <c r="S1812">
        <v>13.96</v>
      </c>
      <c r="T1812">
        <v>16116</v>
      </c>
      <c r="U1812">
        <v>13.92</v>
      </c>
      <c r="V1812">
        <v>13.94</v>
      </c>
      <c r="W1812">
        <v>23.55</v>
      </c>
      <c r="X1812" t="s">
        <v>569</v>
      </c>
      <c r="Y1812" t="s">
        <v>570</v>
      </c>
      <c r="Z1812">
        <v>1.22</v>
      </c>
      <c r="AA1812">
        <v>13.96</v>
      </c>
      <c r="AB1812">
        <v>9286</v>
      </c>
      <c r="AC1812">
        <v>6830</v>
      </c>
      <c r="AD1812">
        <v>1.36</v>
      </c>
      <c r="AE1812">
        <v>18</v>
      </c>
      <c r="AF1812">
        <v>152</v>
      </c>
      <c r="AG1812" t="s">
        <v>120</v>
      </c>
      <c r="AH1812">
        <v>0</v>
      </c>
      <c r="AI1812" t="s">
        <v>120</v>
      </c>
      <c r="AJ1812">
        <v>1.41</v>
      </c>
      <c r="AK1812" t="s">
        <v>9129</v>
      </c>
      <c r="AL1812">
        <v>1.63</v>
      </c>
      <c r="AM1812">
        <v>763</v>
      </c>
      <c r="AN1812">
        <v>21</v>
      </c>
      <c r="AO1812">
        <v>1.5E-3</v>
      </c>
      <c r="AP1812">
        <v>-4</v>
      </c>
      <c r="AQ1812">
        <v>-1.1299999999999999</v>
      </c>
      <c r="AR1812">
        <v>-1.69</v>
      </c>
      <c r="AS1812">
        <v>-7.94</v>
      </c>
      <c r="AT1812">
        <v>-6.14</v>
      </c>
      <c r="AU1812">
        <v>-18.47</v>
      </c>
      <c r="AV1812">
        <v>1</v>
      </c>
      <c r="AW1812">
        <v>1.61</v>
      </c>
      <c r="AX1812">
        <v>55.32</v>
      </c>
      <c r="AY1812">
        <v>25.9</v>
      </c>
      <c r="AZ1812">
        <v>26.78</v>
      </c>
      <c r="BA1812">
        <v>0.46</v>
      </c>
      <c r="BB1812" t="s">
        <v>125</v>
      </c>
      <c r="BF1812">
        <v>0.16</v>
      </c>
      <c r="BG1812">
        <v>-0.43</v>
      </c>
      <c r="BH1812">
        <v>-1.07</v>
      </c>
      <c r="BI1812">
        <v>0.14000000000000001</v>
      </c>
      <c r="BJ1812">
        <v>20210830</v>
      </c>
      <c r="BK1812">
        <v>20150515</v>
      </c>
      <c r="BL1812">
        <v>1.8</v>
      </c>
      <c r="BM1812" t="s">
        <v>120</v>
      </c>
      <c r="BN1812" t="s">
        <v>120</v>
      </c>
      <c r="BO1812">
        <v>9.01</v>
      </c>
      <c r="BP1812">
        <v>13.9</v>
      </c>
      <c r="BQ1812">
        <v>5.96</v>
      </c>
      <c r="BR1812">
        <v>0.69</v>
      </c>
      <c r="BS1812">
        <v>26.24</v>
      </c>
      <c r="BT1812">
        <v>4.7300000000000004</v>
      </c>
      <c r="BU1812">
        <v>3.12</v>
      </c>
      <c r="BV1812">
        <v>0.55000000000000004</v>
      </c>
      <c r="BW1812">
        <v>2.0299999999999998</v>
      </c>
      <c r="BX1812">
        <v>1.22</v>
      </c>
      <c r="BY1812">
        <v>0.59</v>
      </c>
      <c r="BZ1812">
        <v>0.64</v>
      </c>
      <c r="CA1812">
        <v>0</v>
      </c>
      <c r="CB1812">
        <v>0.64</v>
      </c>
      <c r="CC1812">
        <v>3.06</v>
      </c>
      <c r="CD1812">
        <v>2.13</v>
      </c>
      <c r="CE1812">
        <v>0.6</v>
      </c>
      <c r="CF1812">
        <v>0.03</v>
      </c>
      <c r="CG1812">
        <v>0.6</v>
      </c>
      <c r="CH1812">
        <v>0.52</v>
      </c>
      <c r="CI1812">
        <v>0.53</v>
      </c>
      <c r="CJ1812">
        <v>-0.04</v>
      </c>
      <c r="CK1812">
        <v>0.48</v>
      </c>
      <c r="CL1812">
        <v>3.19</v>
      </c>
      <c r="CM1812">
        <v>0.45</v>
      </c>
      <c r="CN1812">
        <v>7.0000000000000007E-2</v>
      </c>
      <c r="CO1812">
        <v>14876</v>
      </c>
      <c r="CP1812">
        <v>6711</v>
      </c>
      <c r="CQ1812" t="s">
        <v>9130</v>
      </c>
      <c r="CR1812">
        <v>6.41</v>
      </c>
      <c r="CS1812">
        <v>18.55</v>
      </c>
      <c r="CT1812">
        <v>4.21</v>
      </c>
      <c r="CU1812">
        <v>56.01</v>
      </c>
      <c r="CV1812">
        <v>8.2100000000000009</v>
      </c>
      <c r="CW1812">
        <v>1.79</v>
      </c>
      <c r="CX1812" t="s">
        <v>1340</v>
      </c>
      <c r="CY1812">
        <v>3.3</v>
      </c>
      <c r="CZ1812">
        <v>0</v>
      </c>
      <c r="DA1812">
        <v>0.35</v>
      </c>
      <c r="DB1812">
        <v>1.77</v>
      </c>
      <c r="DC1812">
        <v>0.25</v>
      </c>
      <c r="DD1812">
        <v>66.13</v>
      </c>
      <c r="DE1812" t="s">
        <v>9131</v>
      </c>
      <c r="DF1812">
        <v>30.16</v>
      </c>
      <c r="DG1812">
        <v>19.760000000000002</v>
      </c>
      <c r="DH1812">
        <v>17.43</v>
      </c>
      <c r="DI1812">
        <v>0.11</v>
      </c>
      <c r="DJ1812">
        <v>859</v>
      </c>
      <c r="DK1812">
        <v>300452</v>
      </c>
      <c r="DL1812" t="s">
        <v>120</v>
      </c>
      <c r="DM1812" t="s">
        <v>120</v>
      </c>
      <c r="DN1812" t="s">
        <v>120</v>
      </c>
    </row>
    <row r="1813" spans="1:118">
      <c r="A1813" t="str">
        <f>"300453"</f>
        <v>300453</v>
      </c>
      <c r="B1813" t="s">
        <v>9132</v>
      </c>
      <c r="C1813">
        <v>5.24</v>
      </c>
      <c r="D1813">
        <v>0.08</v>
      </c>
      <c r="E1813">
        <v>0</v>
      </c>
      <c r="F1813">
        <v>1529</v>
      </c>
      <c r="G1813" t="s">
        <v>6110</v>
      </c>
      <c r="H1813">
        <v>14747.79</v>
      </c>
      <c r="I1813">
        <v>9.35</v>
      </c>
      <c r="J1813" t="s">
        <v>120</v>
      </c>
      <c r="K1813" t="s">
        <v>9133</v>
      </c>
      <c r="L1813">
        <v>4.46</v>
      </c>
      <c r="M1813">
        <v>12.45</v>
      </c>
      <c r="N1813">
        <v>1.64</v>
      </c>
      <c r="O1813">
        <v>8.3699999999999992</v>
      </c>
      <c r="P1813">
        <v>12.82</v>
      </c>
      <c r="Q1813">
        <v>-0.85</v>
      </c>
      <c r="R1813">
        <v>11.73</v>
      </c>
      <c r="S1813">
        <v>11.83</v>
      </c>
      <c r="T1813">
        <v>120088</v>
      </c>
      <c r="U1813">
        <v>12.45</v>
      </c>
      <c r="V1813">
        <v>11.83</v>
      </c>
      <c r="W1813">
        <v>34.46</v>
      </c>
      <c r="X1813" t="s">
        <v>555</v>
      </c>
      <c r="Y1813" t="s">
        <v>676</v>
      </c>
      <c r="Z1813">
        <v>9.2100000000000009</v>
      </c>
      <c r="AA1813">
        <v>12.28</v>
      </c>
      <c r="AB1813">
        <v>52902</v>
      </c>
      <c r="AC1813">
        <v>67186</v>
      </c>
      <c r="AD1813">
        <v>0.79</v>
      </c>
      <c r="AE1813">
        <v>580</v>
      </c>
      <c r="AF1813">
        <v>857</v>
      </c>
      <c r="AG1813" t="s">
        <v>120</v>
      </c>
      <c r="AH1813">
        <v>0</v>
      </c>
      <c r="AI1813" t="s">
        <v>120</v>
      </c>
      <c r="AJ1813">
        <v>2.69</v>
      </c>
      <c r="AK1813" t="s">
        <v>8253</v>
      </c>
      <c r="AL1813">
        <v>7.15</v>
      </c>
      <c r="AM1813">
        <v>2113</v>
      </c>
      <c r="AN1813">
        <v>57</v>
      </c>
      <c r="AO1813">
        <v>2.0999999999999999E-3</v>
      </c>
      <c r="AP1813">
        <v>1</v>
      </c>
      <c r="AQ1813">
        <v>-1.91</v>
      </c>
      <c r="AR1813">
        <v>4.2699999999999996</v>
      </c>
      <c r="AS1813">
        <v>6.5</v>
      </c>
      <c r="AT1813">
        <v>-16.39</v>
      </c>
      <c r="AU1813">
        <v>7.45</v>
      </c>
      <c r="AV1813">
        <v>0</v>
      </c>
      <c r="AW1813">
        <v>5.1100000000000003</v>
      </c>
      <c r="AX1813">
        <v>59.61</v>
      </c>
      <c r="AY1813">
        <v>32.76</v>
      </c>
      <c r="AZ1813">
        <v>40.31</v>
      </c>
      <c r="BA1813">
        <v>1.03</v>
      </c>
      <c r="BB1813" t="s">
        <v>143</v>
      </c>
      <c r="BF1813">
        <v>3.81</v>
      </c>
      <c r="BG1813">
        <v>5.24</v>
      </c>
      <c r="BH1813">
        <v>-2.89</v>
      </c>
      <c r="BI1813">
        <v>6.14</v>
      </c>
      <c r="BJ1813">
        <v>20210728</v>
      </c>
      <c r="BK1813">
        <v>20150515</v>
      </c>
      <c r="BL1813">
        <v>3.94</v>
      </c>
      <c r="BM1813" t="s">
        <v>120</v>
      </c>
      <c r="BN1813" t="s">
        <v>120</v>
      </c>
      <c r="BO1813">
        <v>12.33</v>
      </c>
      <c r="BP1813">
        <v>12.44</v>
      </c>
      <c r="BQ1813">
        <v>8.0500000000000007</v>
      </c>
      <c r="BR1813">
        <v>0.65</v>
      </c>
      <c r="BS1813">
        <v>29.39</v>
      </c>
      <c r="BT1813">
        <v>4.3899999999999997</v>
      </c>
      <c r="BU1813">
        <v>4.72</v>
      </c>
      <c r="BV1813">
        <v>0.7</v>
      </c>
      <c r="BW1813">
        <v>3.25</v>
      </c>
      <c r="BX1813">
        <v>1.2</v>
      </c>
      <c r="BY1813">
        <v>1.61</v>
      </c>
      <c r="BZ1813">
        <v>0.99</v>
      </c>
      <c r="CA1813" t="s">
        <v>120</v>
      </c>
      <c r="CB1813">
        <v>0.25</v>
      </c>
      <c r="CC1813">
        <v>5.09</v>
      </c>
      <c r="CD1813">
        <v>3.32</v>
      </c>
      <c r="CE1813">
        <v>0.92</v>
      </c>
      <c r="CF1813">
        <v>0.01</v>
      </c>
      <c r="CG1813">
        <v>0.91</v>
      </c>
      <c r="CH1813">
        <v>0.79</v>
      </c>
      <c r="CI1813">
        <v>0.71</v>
      </c>
      <c r="CJ1813">
        <v>0.62</v>
      </c>
      <c r="CK1813">
        <v>0.66</v>
      </c>
      <c r="CL1813">
        <v>3.45</v>
      </c>
      <c r="CM1813">
        <v>0.81</v>
      </c>
      <c r="CN1813">
        <v>0.23</v>
      </c>
      <c r="CO1813">
        <v>22632</v>
      </c>
      <c r="CP1813">
        <v>10378</v>
      </c>
      <c r="CQ1813" t="s">
        <v>2274</v>
      </c>
      <c r="CR1813">
        <v>59.98</v>
      </c>
      <c r="CS1813">
        <v>16.57</v>
      </c>
      <c r="CT1813">
        <v>6.09</v>
      </c>
      <c r="CU1813">
        <v>60.77</v>
      </c>
      <c r="CV1813">
        <v>9.64</v>
      </c>
      <c r="CW1813">
        <v>1.1299999999999999</v>
      </c>
      <c r="CX1813" t="s">
        <v>9134</v>
      </c>
      <c r="CY1813">
        <v>2.04</v>
      </c>
      <c r="CZ1813">
        <v>0</v>
      </c>
      <c r="DA1813">
        <v>0.06</v>
      </c>
      <c r="DB1813">
        <v>0.88</v>
      </c>
      <c r="DC1813">
        <v>0.2</v>
      </c>
      <c r="DD1813">
        <v>65.319999999999993</v>
      </c>
      <c r="DE1813" t="s">
        <v>9135</v>
      </c>
      <c r="DF1813">
        <v>34.69</v>
      </c>
      <c r="DG1813">
        <v>18.02</v>
      </c>
      <c r="DH1813">
        <v>13.98</v>
      </c>
      <c r="DI1813">
        <v>0.14000000000000001</v>
      </c>
      <c r="DJ1813">
        <v>1761</v>
      </c>
      <c r="DK1813">
        <v>300453</v>
      </c>
      <c r="DL1813" t="s">
        <v>120</v>
      </c>
      <c r="DM1813" t="s">
        <v>120</v>
      </c>
      <c r="DN1813" t="s">
        <v>120</v>
      </c>
    </row>
    <row r="1814" spans="1:118">
      <c r="A1814" t="str">
        <f>"300454"</f>
        <v>300454</v>
      </c>
      <c r="B1814" t="s">
        <v>9136</v>
      </c>
      <c r="C1814">
        <v>-0.1</v>
      </c>
      <c r="D1814">
        <v>-0.18</v>
      </c>
      <c r="E1814">
        <v>1.3</v>
      </c>
      <c r="F1814">
        <v>507</v>
      </c>
      <c r="G1814" t="s">
        <v>9137</v>
      </c>
      <c r="H1814">
        <v>38886.86</v>
      </c>
      <c r="I1814">
        <v>185.85</v>
      </c>
      <c r="J1814" t="s">
        <v>120</v>
      </c>
      <c r="K1814" t="s">
        <v>9138</v>
      </c>
      <c r="L1814">
        <v>0.64</v>
      </c>
      <c r="M1814">
        <v>226.27</v>
      </c>
      <c r="N1814">
        <v>1.33</v>
      </c>
      <c r="O1814">
        <v>3.74</v>
      </c>
      <c r="P1814">
        <v>234.98</v>
      </c>
      <c r="Q1814">
        <v>-0.46</v>
      </c>
      <c r="R1814">
        <v>225.45</v>
      </c>
      <c r="S1814">
        <v>229.44</v>
      </c>
      <c r="T1814">
        <v>16957</v>
      </c>
      <c r="U1814">
        <v>226.34</v>
      </c>
      <c r="V1814">
        <v>226.5</v>
      </c>
      <c r="W1814" t="s">
        <v>120</v>
      </c>
      <c r="X1814" t="s">
        <v>141</v>
      </c>
      <c r="Y1814" t="s">
        <v>123</v>
      </c>
      <c r="Z1814">
        <v>4.21</v>
      </c>
      <c r="AA1814">
        <v>229.33</v>
      </c>
      <c r="AB1814">
        <v>8684</v>
      </c>
      <c r="AC1814">
        <v>8273</v>
      </c>
      <c r="AD1814">
        <v>1.05</v>
      </c>
      <c r="AE1814">
        <v>7</v>
      </c>
      <c r="AF1814">
        <v>2</v>
      </c>
      <c r="AG1814" t="s">
        <v>120</v>
      </c>
      <c r="AH1814">
        <v>0</v>
      </c>
      <c r="AI1814" t="s">
        <v>120</v>
      </c>
      <c r="AJ1814">
        <v>2.66</v>
      </c>
      <c r="AK1814" t="s">
        <v>9139</v>
      </c>
      <c r="AL1814">
        <v>1.81</v>
      </c>
      <c r="AM1814">
        <v>3106</v>
      </c>
      <c r="AN1814">
        <v>5</v>
      </c>
      <c r="AO1814">
        <v>2.0000000000000001E-4</v>
      </c>
      <c r="AP1814">
        <v>-5</v>
      </c>
      <c r="AQ1814">
        <v>-5.1100000000000003</v>
      </c>
      <c r="AR1814">
        <v>-5.73</v>
      </c>
      <c r="AS1814">
        <v>-14.26</v>
      </c>
      <c r="AT1814">
        <v>-11.61</v>
      </c>
      <c r="AU1814">
        <v>-8.69</v>
      </c>
      <c r="AV1814">
        <v>0</v>
      </c>
      <c r="AW1814">
        <v>0.89</v>
      </c>
      <c r="AX1814">
        <v>45.94</v>
      </c>
      <c r="AY1814">
        <v>116.87</v>
      </c>
      <c r="AZ1814">
        <v>115.82</v>
      </c>
      <c r="BA1814">
        <v>1.2</v>
      </c>
      <c r="BB1814" t="s">
        <v>143</v>
      </c>
      <c r="BF1814">
        <v>1.25</v>
      </c>
      <c r="BG1814">
        <v>-1.38</v>
      </c>
      <c r="BH1814">
        <v>-3.71</v>
      </c>
      <c r="BI1814">
        <v>0.36</v>
      </c>
      <c r="BJ1814">
        <v>20210821</v>
      </c>
      <c r="BK1814">
        <v>20180516</v>
      </c>
      <c r="BL1814">
        <v>4.1399999999999997</v>
      </c>
      <c r="BM1814" t="s">
        <v>120</v>
      </c>
      <c r="BN1814" t="s">
        <v>120</v>
      </c>
      <c r="BO1814">
        <v>98.6</v>
      </c>
      <c r="BP1814">
        <v>226.27</v>
      </c>
      <c r="BQ1814">
        <v>65.459999999999994</v>
      </c>
      <c r="BR1814" t="s">
        <v>120</v>
      </c>
      <c r="BS1814">
        <v>33.61</v>
      </c>
      <c r="BT1814">
        <v>51.85</v>
      </c>
      <c r="BU1814">
        <v>2.97</v>
      </c>
      <c r="BV1814">
        <v>2.88</v>
      </c>
      <c r="BW1814">
        <v>30.09</v>
      </c>
      <c r="BX1814">
        <v>4.24</v>
      </c>
      <c r="BY1814">
        <v>4.72</v>
      </c>
      <c r="BZ1814">
        <v>3.81</v>
      </c>
      <c r="CA1814" t="s">
        <v>120</v>
      </c>
      <c r="CB1814">
        <v>39.74</v>
      </c>
      <c r="CC1814">
        <v>25.86</v>
      </c>
      <c r="CD1814">
        <v>8.57</v>
      </c>
      <c r="CE1814">
        <v>-2.42</v>
      </c>
      <c r="CF1814">
        <v>0.37</v>
      </c>
      <c r="CG1814">
        <v>-2.39</v>
      </c>
      <c r="CH1814">
        <v>-1.33</v>
      </c>
      <c r="CI1814">
        <v>-1.33</v>
      </c>
      <c r="CJ1814">
        <v>-0.23</v>
      </c>
      <c r="CK1814">
        <v>-1.96</v>
      </c>
      <c r="CL1814">
        <v>21.53</v>
      </c>
      <c r="CM1814">
        <v>1.23</v>
      </c>
      <c r="CN1814">
        <v>-1.63</v>
      </c>
      <c r="CO1814">
        <v>10910</v>
      </c>
      <c r="CP1814">
        <v>17428</v>
      </c>
      <c r="CQ1814" t="s">
        <v>9140</v>
      </c>
      <c r="CR1814">
        <v>-5.81</v>
      </c>
      <c r="CS1814">
        <v>48.26</v>
      </c>
      <c r="CT1814">
        <v>14.31</v>
      </c>
      <c r="CU1814">
        <v>758.82</v>
      </c>
      <c r="CV1814">
        <v>36.21</v>
      </c>
      <c r="CW1814">
        <v>0.09</v>
      </c>
      <c r="CX1814" t="s">
        <v>6394</v>
      </c>
      <c r="CY1814">
        <v>15.82</v>
      </c>
      <c r="CZ1814">
        <v>0</v>
      </c>
      <c r="DA1814">
        <v>9.6</v>
      </c>
      <c r="DB1814">
        <v>5.2</v>
      </c>
      <c r="DC1814">
        <v>0.3</v>
      </c>
      <c r="DD1814">
        <v>66.39</v>
      </c>
      <c r="DE1814" t="s">
        <v>7601</v>
      </c>
      <c r="DF1814">
        <v>66.87</v>
      </c>
      <c r="DG1814">
        <v>-9.36</v>
      </c>
      <c r="DH1814">
        <v>-5.14</v>
      </c>
      <c r="DI1814">
        <v>9.93</v>
      </c>
      <c r="DJ1814">
        <v>7553</v>
      </c>
      <c r="DK1814">
        <v>300454</v>
      </c>
      <c r="DL1814" t="s">
        <v>120</v>
      </c>
      <c r="DM1814" t="s">
        <v>120</v>
      </c>
      <c r="DN1814" t="s">
        <v>120</v>
      </c>
    </row>
    <row r="1815" spans="1:118">
      <c r="A1815" t="str">
        <f>"300455"</f>
        <v>300455</v>
      </c>
      <c r="B1815" t="s">
        <v>9141</v>
      </c>
      <c r="C1815">
        <v>1.74</v>
      </c>
      <c r="D1815">
        <v>0</v>
      </c>
      <c r="E1815">
        <v>0</v>
      </c>
      <c r="F1815">
        <v>2903</v>
      </c>
      <c r="G1815" t="s">
        <v>8071</v>
      </c>
      <c r="H1815">
        <v>10643.09</v>
      </c>
      <c r="I1815">
        <v>26.57</v>
      </c>
      <c r="J1815" t="s">
        <v>120</v>
      </c>
      <c r="K1815" t="s">
        <v>9142</v>
      </c>
      <c r="L1815">
        <v>1.65</v>
      </c>
      <c r="M1815">
        <v>11.7</v>
      </c>
      <c r="N1815">
        <v>1</v>
      </c>
      <c r="O1815">
        <v>2</v>
      </c>
      <c r="P1815">
        <v>11.73</v>
      </c>
      <c r="Q1815">
        <v>-0.43</v>
      </c>
      <c r="R1815">
        <v>11.45</v>
      </c>
      <c r="S1815">
        <v>11.5</v>
      </c>
      <c r="T1815">
        <v>91557</v>
      </c>
      <c r="U1815">
        <v>11.7</v>
      </c>
      <c r="V1815">
        <v>11.5</v>
      </c>
      <c r="W1815">
        <v>198.9</v>
      </c>
      <c r="X1815" t="s">
        <v>157</v>
      </c>
      <c r="Y1815" t="s">
        <v>158</v>
      </c>
      <c r="Z1815">
        <v>2.4300000000000002</v>
      </c>
      <c r="AA1815">
        <v>11.62</v>
      </c>
      <c r="AB1815">
        <v>48766</v>
      </c>
      <c r="AC1815">
        <v>42791</v>
      </c>
      <c r="AD1815">
        <v>1.1399999999999999</v>
      </c>
      <c r="AE1815">
        <v>311</v>
      </c>
      <c r="AF1815">
        <v>1599</v>
      </c>
      <c r="AG1815" t="s">
        <v>120</v>
      </c>
      <c r="AH1815">
        <v>0.01</v>
      </c>
      <c r="AI1815" t="s">
        <v>120</v>
      </c>
      <c r="AJ1815">
        <v>5.56</v>
      </c>
      <c r="AK1815" t="s">
        <v>9143</v>
      </c>
      <c r="AL1815">
        <v>3.65</v>
      </c>
      <c r="AM1815">
        <v>2380</v>
      </c>
      <c r="AN1815">
        <v>38</v>
      </c>
      <c r="AO1815">
        <v>6.9999999999999999E-4</v>
      </c>
      <c r="AP1815">
        <v>2</v>
      </c>
      <c r="AQ1815">
        <v>0.88</v>
      </c>
      <c r="AR1815">
        <v>0.17</v>
      </c>
      <c r="AS1815">
        <v>7.33</v>
      </c>
      <c r="AT1815">
        <v>20</v>
      </c>
      <c r="AU1815">
        <v>0.17</v>
      </c>
      <c r="AV1815">
        <v>1</v>
      </c>
      <c r="AW1815">
        <v>3.07</v>
      </c>
      <c r="AX1815">
        <v>41.49</v>
      </c>
      <c r="AY1815">
        <v>52.33</v>
      </c>
      <c r="AZ1815">
        <v>53.38</v>
      </c>
      <c r="BA1815">
        <v>1.1399999999999999</v>
      </c>
      <c r="BB1815" t="s">
        <v>143</v>
      </c>
      <c r="BF1815">
        <v>1.08</v>
      </c>
      <c r="BG1815">
        <v>1.74</v>
      </c>
      <c r="BH1815">
        <v>-0.26</v>
      </c>
      <c r="BI1815">
        <v>2.1800000000000002</v>
      </c>
      <c r="BJ1815">
        <v>20210907</v>
      </c>
      <c r="BK1815">
        <v>20150515</v>
      </c>
      <c r="BL1815">
        <v>7.18</v>
      </c>
      <c r="BM1815" t="s">
        <v>120</v>
      </c>
      <c r="BN1815" t="s">
        <v>120</v>
      </c>
      <c r="BO1815">
        <v>29.55</v>
      </c>
      <c r="BP1815">
        <v>11.69</v>
      </c>
      <c r="BQ1815">
        <v>15.48</v>
      </c>
      <c r="BR1815" t="s">
        <v>120</v>
      </c>
      <c r="BS1815">
        <v>47.63</v>
      </c>
      <c r="BT1815">
        <v>23.88</v>
      </c>
      <c r="BU1815">
        <v>1.88</v>
      </c>
      <c r="BV1815">
        <v>1.26</v>
      </c>
      <c r="BW1815">
        <v>13.3</v>
      </c>
      <c r="BX1815">
        <v>3</v>
      </c>
      <c r="BY1815">
        <v>9.92</v>
      </c>
      <c r="BZ1815">
        <v>6.44</v>
      </c>
      <c r="CA1815" t="s">
        <v>120</v>
      </c>
      <c r="CB1815">
        <v>4.5599999999999996</v>
      </c>
      <c r="CC1815">
        <v>3.32</v>
      </c>
      <c r="CD1815">
        <v>2.56</v>
      </c>
      <c r="CE1815">
        <v>0.26</v>
      </c>
      <c r="CF1815">
        <v>0</v>
      </c>
      <c r="CG1815">
        <v>0.26</v>
      </c>
      <c r="CH1815">
        <v>0.21</v>
      </c>
      <c r="CI1815">
        <v>0.21</v>
      </c>
      <c r="CJ1815">
        <v>0.2</v>
      </c>
      <c r="CK1815">
        <v>0.21</v>
      </c>
      <c r="CL1815">
        <v>3.11</v>
      </c>
      <c r="CM1815">
        <v>-1.57</v>
      </c>
      <c r="CN1815">
        <v>-0.5</v>
      </c>
      <c r="CO1815">
        <v>27576</v>
      </c>
      <c r="CP1815">
        <v>10800</v>
      </c>
      <c r="CQ1815" t="s">
        <v>8280</v>
      </c>
      <c r="CR1815">
        <v>17.22</v>
      </c>
      <c r="CS1815">
        <v>47.74</v>
      </c>
      <c r="CT1815">
        <v>5.43</v>
      </c>
      <c r="CU1815">
        <v>-53.54</v>
      </c>
      <c r="CV1815">
        <v>25.27</v>
      </c>
      <c r="CW1815">
        <v>0.43</v>
      </c>
      <c r="CX1815" t="s">
        <v>3882</v>
      </c>
      <c r="CY1815">
        <v>2.16</v>
      </c>
      <c r="CZ1815">
        <v>0</v>
      </c>
      <c r="DA1815">
        <v>0.63</v>
      </c>
      <c r="DB1815">
        <v>0.43</v>
      </c>
      <c r="DC1815">
        <v>-0.22</v>
      </c>
      <c r="DD1815">
        <v>52.37</v>
      </c>
      <c r="DE1815" t="s">
        <v>980</v>
      </c>
      <c r="DF1815">
        <v>22.86</v>
      </c>
      <c r="DG1815">
        <v>7.95</v>
      </c>
      <c r="DH1815">
        <v>6.35</v>
      </c>
      <c r="DI1815">
        <v>0.17</v>
      </c>
      <c r="DJ1815">
        <v>692</v>
      </c>
      <c r="DK1815">
        <v>300455</v>
      </c>
      <c r="DL1815" t="s">
        <v>120</v>
      </c>
      <c r="DM1815" t="s">
        <v>120</v>
      </c>
      <c r="DN1815" t="s">
        <v>120</v>
      </c>
    </row>
    <row r="1816" spans="1:118">
      <c r="A1816" t="str">
        <f>"300456"</f>
        <v>300456</v>
      </c>
      <c r="B1816" t="s">
        <v>9144</v>
      </c>
      <c r="C1816">
        <v>-4.58</v>
      </c>
      <c r="D1816">
        <v>0</v>
      </c>
      <c r="E1816">
        <v>-1.01</v>
      </c>
      <c r="F1816">
        <v>750</v>
      </c>
      <c r="G1816" t="s">
        <v>9145</v>
      </c>
      <c r="H1816">
        <v>35670.43</v>
      </c>
      <c r="I1816">
        <v>131.1</v>
      </c>
      <c r="J1816" t="s">
        <v>120</v>
      </c>
      <c r="K1816" t="s">
        <v>9146</v>
      </c>
      <c r="L1816">
        <v>3.47</v>
      </c>
      <c r="M1816">
        <v>27.47</v>
      </c>
      <c r="N1816">
        <v>0.96</v>
      </c>
      <c r="O1816">
        <v>0.38</v>
      </c>
      <c r="P1816">
        <v>28.9</v>
      </c>
      <c r="Q1816">
        <v>-4.79</v>
      </c>
      <c r="R1816">
        <v>27.41</v>
      </c>
      <c r="S1816">
        <v>28.5</v>
      </c>
      <c r="T1816">
        <v>127152</v>
      </c>
      <c r="U1816">
        <v>27.48</v>
      </c>
      <c r="V1816">
        <v>28.79</v>
      </c>
      <c r="W1816">
        <v>139.13</v>
      </c>
      <c r="X1816" t="s">
        <v>229</v>
      </c>
      <c r="Y1816" t="s">
        <v>158</v>
      </c>
      <c r="Z1816">
        <v>5.18</v>
      </c>
      <c r="AA1816">
        <v>28.05</v>
      </c>
      <c r="AB1816">
        <v>65078</v>
      </c>
      <c r="AC1816">
        <v>62074</v>
      </c>
      <c r="AD1816">
        <v>1.05</v>
      </c>
      <c r="AE1816">
        <v>366</v>
      </c>
      <c r="AF1816">
        <v>14</v>
      </c>
      <c r="AG1816" t="s">
        <v>120</v>
      </c>
      <c r="AH1816">
        <v>0.02</v>
      </c>
      <c r="AI1816" t="s">
        <v>120</v>
      </c>
      <c r="AJ1816">
        <v>3.66</v>
      </c>
      <c r="AK1816" t="s">
        <v>9147</v>
      </c>
      <c r="AL1816">
        <v>-2.67</v>
      </c>
      <c r="AM1816">
        <v>3740</v>
      </c>
      <c r="AN1816">
        <v>34</v>
      </c>
      <c r="AO1816">
        <v>8.9999999999999998E-4</v>
      </c>
      <c r="AP1816">
        <v>-4</v>
      </c>
      <c r="AQ1816">
        <v>-0.48</v>
      </c>
      <c r="AR1816">
        <v>-5.07</v>
      </c>
      <c r="AS1816">
        <v>-24.24</v>
      </c>
      <c r="AT1816">
        <v>-9.07</v>
      </c>
      <c r="AU1816">
        <v>15.49</v>
      </c>
      <c r="AV1816">
        <v>0</v>
      </c>
      <c r="AW1816">
        <v>4.17</v>
      </c>
      <c r="AX1816">
        <v>41.75</v>
      </c>
      <c r="AY1816">
        <v>80.38</v>
      </c>
      <c r="AZ1816">
        <v>104.51</v>
      </c>
      <c r="BA1816">
        <v>0.89</v>
      </c>
      <c r="BB1816" t="s">
        <v>143</v>
      </c>
      <c r="BF1816">
        <v>-2.56</v>
      </c>
      <c r="BG1816">
        <v>-3.61</v>
      </c>
      <c r="BH1816">
        <v>-4.95</v>
      </c>
      <c r="BI1816">
        <v>0.22</v>
      </c>
      <c r="BJ1816">
        <v>20210909</v>
      </c>
      <c r="BK1816">
        <v>20150514</v>
      </c>
      <c r="BL1816">
        <v>7.3</v>
      </c>
      <c r="BM1816" t="s">
        <v>120</v>
      </c>
      <c r="BN1816" t="s">
        <v>120</v>
      </c>
      <c r="BO1816">
        <v>49.41</v>
      </c>
      <c r="BP1816">
        <v>27.47</v>
      </c>
      <c r="BQ1816">
        <v>29.89</v>
      </c>
      <c r="BR1816">
        <v>6.92</v>
      </c>
      <c r="BS1816">
        <v>25.5</v>
      </c>
      <c r="BT1816">
        <v>19.66</v>
      </c>
      <c r="BU1816">
        <v>10.33</v>
      </c>
      <c r="BV1816">
        <v>0.68</v>
      </c>
      <c r="BW1816">
        <v>6.94</v>
      </c>
      <c r="BX1816">
        <v>7.56</v>
      </c>
      <c r="BY1816">
        <v>1.08</v>
      </c>
      <c r="BZ1816">
        <v>1.21</v>
      </c>
      <c r="CA1816" t="s">
        <v>120</v>
      </c>
      <c r="CB1816">
        <v>17.05</v>
      </c>
      <c r="CC1816">
        <v>3.95</v>
      </c>
      <c r="CD1816">
        <v>2.11</v>
      </c>
      <c r="CE1816">
        <v>0.79</v>
      </c>
      <c r="CF1816">
        <v>0.4</v>
      </c>
      <c r="CG1816">
        <v>0.79</v>
      </c>
      <c r="CH1816">
        <v>0.47</v>
      </c>
      <c r="CI1816">
        <v>0.72</v>
      </c>
      <c r="CJ1816">
        <v>-1.32</v>
      </c>
      <c r="CK1816">
        <v>-0.05</v>
      </c>
      <c r="CL1816">
        <v>6.24</v>
      </c>
      <c r="CM1816">
        <v>-0.59</v>
      </c>
      <c r="CN1816">
        <v>-2.08</v>
      </c>
      <c r="CO1816">
        <v>53117</v>
      </c>
      <c r="CP1816">
        <v>5738</v>
      </c>
      <c r="CQ1816" t="s">
        <v>7135</v>
      </c>
      <c r="CR1816">
        <v>515.57000000000005</v>
      </c>
      <c r="CS1816">
        <v>9.74</v>
      </c>
      <c r="CT1816">
        <v>5.87</v>
      </c>
      <c r="CU1816">
        <v>-338.92</v>
      </c>
      <c r="CV1816">
        <v>50.79</v>
      </c>
      <c r="CW1816">
        <v>0.11</v>
      </c>
      <c r="CX1816" t="s">
        <v>1147</v>
      </c>
      <c r="CY1816">
        <v>4.68</v>
      </c>
      <c r="CZ1816">
        <v>4.68</v>
      </c>
      <c r="DA1816">
        <v>2.34</v>
      </c>
      <c r="DB1816">
        <v>0.85</v>
      </c>
      <c r="DC1816">
        <v>-0.08</v>
      </c>
      <c r="DD1816">
        <v>60.5</v>
      </c>
      <c r="DE1816" t="s">
        <v>3085</v>
      </c>
      <c r="DF1816">
        <v>46.51</v>
      </c>
      <c r="DG1816">
        <v>20.04</v>
      </c>
      <c r="DH1816">
        <v>18.25</v>
      </c>
      <c r="DI1816">
        <v>1.35</v>
      </c>
      <c r="DJ1816">
        <v>603</v>
      </c>
      <c r="DK1816">
        <v>300456</v>
      </c>
      <c r="DL1816" t="s">
        <v>120</v>
      </c>
      <c r="DM1816" t="s">
        <v>120</v>
      </c>
      <c r="DN1816" t="s">
        <v>120</v>
      </c>
    </row>
    <row r="1817" spans="1:118">
      <c r="A1817" t="str">
        <f>"300457"</f>
        <v>300457</v>
      </c>
      <c r="B1817" t="s">
        <v>9148</v>
      </c>
      <c r="C1817">
        <v>-2.95</v>
      </c>
      <c r="D1817">
        <v>0.04</v>
      </c>
      <c r="E1817">
        <v>-1.24</v>
      </c>
      <c r="F1817">
        <v>2145</v>
      </c>
      <c r="G1817" t="s">
        <v>9149</v>
      </c>
      <c r="H1817">
        <v>60324.57</v>
      </c>
      <c r="I1817">
        <v>310.52999999999997</v>
      </c>
      <c r="J1817" t="s">
        <v>120</v>
      </c>
      <c r="K1817" t="s">
        <v>9150</v>
      </c>
      <c r="L1817">
        <v>4.58</v>
      </c>
      <c r="M1817">
        <v>27.32</v>
      </c>
      <c r="N1817">
        <v>1.34</v>
      </c>
      <c r="O1817">
        <v>3.55</v>
      </c>
      <c r="P1817">
        <v>29.15</v>
      </c>
      <c r="Q1817">
        <v>-3.34</v>
      </c>
      <c r="R1817">
        <v>27.21</v>
      </c>
      <c r="S1817">
        <v>27.8</v>
      </c>
      <c r="T1817">
        <v>214555</v>
      </c>
      <c r="U1817">
        <v>27.33</v>
      </c>
      <c r="V1817">
        <v>28.15</v>
      </c>
      <c r="W1817">
        <v>85.74</v>
      </c>
      <c r="X1817" t="s">
        <v>675</v>
      </c>
      <c r="Y1817" t="s">
        <v>123</v>
      </c>
      <c r="Z1817">
        <v>6.89</v>
      </c>
      <c r="AA1817">
        <v>28.12</v>
      </c>
      <c r="AB1817">
        <v>121838</v>
      </c>
      <c r="AC1817">
        <v>92717</v>
      </c>
      <c r="AD1817">
        <v>1.31</v>
      </c>
      <c r="AE1817">
        <v>61</v>
      </c>
      <c r="AF1817">
        <v>6</v>
      </c>
      <c r="AG1817" t="s">
        <v>120</v>
      </c>
      <c r="AH1817">
        <v>0.03</v>
      </c>
      <c r="AI1817" t="s">
        <v>120</v>
      </c>
      <c r="AJ1817">
        <v>4.68</v>
      </c>
      <c r="AK1817" t="s">
        <v>9151</v>
      </c>
      <c r="AL1817">
        <v>-1.03</v>
      </c>
      <c r="AM1817">
        <v>4038</v>
      </c>
      <c r="AN1817">
        <v>53</v>
      </c>
      <c r="AO1817">
        <v>1.1000000000000001E-3</v>
      </c>
      <c r="AP1817">
        <v>-1</v>
      </c>
      <c r="AQ1817">
        <v>2.74</v>
      </c>
      <c r="AR1817">
        <v>0.59</v>
      </c>
      <c r="AS1817">
        <v>-6.44</v>
      </c>
      <c r="AT1817">
        <v>31.53</v>
      </c>
      <c r="AU1817">
        <v>-8.94</v>
      </c>
      <c r="AV1817">
        <v>0</v>
      </c>
      <c r="AW1817">
        <v>6.23</v>
      </c>
      <c r="AX1817">
        <v>53.04</v>
      </c>
      <c r="AY1817">
        <v>824.31</v>
      </c>
      <c r="AZ1817">
        <v>95.88</v>
      </c>
      <c r="BA1817">
        <v>1.51</v>
      </c>
      <c r="BB1817" t="s">
        <v>168</v>
      </c>
      <c r="BF1817">
        <v>-0.12</v>
      </c>
      <c r="BG1817">
        <v>-1.73</v>
      </c>
      <c r="BH1817">
        <v>-6.28</v>
      </c>
      <c r="BI1817">
        <v>0.4</v>
      </c>
      <c r="BJ1817">
        <v>20210824</v>
      </c>
      <c r="BK1817">
        <v>20150514</v>
      </c>
      <c r="BL1817">
        <v>6.5</v>
      </c>
      <c r="BM1817" t="s">
        <v>120</v>
      </c>
      <c r="BN1817" t="s">
        <v>120</v>
      </c>
      <c r="BO1817">
        <v>106.14</v>
      </c>
      <c r="BP1817">
        <v>27.32</v>
      </c>
      <c r="BQ1817">
        <v>53.17</v>
      </c>
      <c r="BR1817">
        <v>0.35</v>
      </c>
      <c r="BS1817">
        <v>49.57</v>
      </c>
      <c r="BT1817">
        <v>83.02</v>
      </c>
      <c r="BU1817">
        <v>5.85</v>
      </c>
      <c r="BV1817">
        <v>3.28</v>
      </c>
      <c r="BW1817">
        <v>51.32</v>
      </c>
      <c r="BX1817">
        <v>28.39</v>
      </c>
      <c r="BY1817">
        <v>21.38</v>
      </c>
      <c r="BZ1817">
        <v>18.190000000000001</v>
      </c>
      <c r="CA1817" t="s">
        <v>120</v>
      </c>
      <c r="CB1817">
        <v>34.86</v>
      </c>
      <c r="CC1817">
        <v>17.36</v>
      </c>
      <c r="CD1817">
        <v>13.1</v>
      </c>
      <c r="CE1817">
        <v>0.96</v>
      </c>
      <c r="CF1817">
        <v>0</v>
      </c>
      <c r="CG1817">
        <v>0.97</v>
      </c>
      <c r="CH1817">
        <v>1.01</v>
      </c>
      <c r="CI1817">
        <v>1.03</v>
      </c>
      <c r="CJ1817">
        <v>-0.83</v>
      </c>
      <c r="CK1817">
        <v>0.94</v>
      </c>
      <c r="CL1817">
        <v>11.19</v>
      </c>
      <c r="CM1817">
        <v>7.71</v>
      </c>
      <c r="CN1817">
        <v>2.31</v>
      </c>
      <c r="CO1817">
        <v>29218</v>
      </c>
      <c r="CP1817">
        <v>11790</v>
      </c>
      <c r="CQ1817" t="s">
        <v>9152</v>
      </c>
      <c r="CR1817">
        <v>-61.95</v>
      </c>
      <c r="CS1817">
        <v>39.69</v>
      </c>
      <c r="CT1817">
        <v>3.34</v>
      </c>
      <c r="CU1817">
        <v>23</v>
      </c>
      <c r="CV1817">
        <v>10.220000000000001</v>
      </c>
      <c r="CW1817">
        <v>0.18</v>
      </c>
      <c r="CX1817" t="s">
        <v>1091</v>
      </c>
      <c r="CY1817">
        <v>8.19</v>
      </c>
      <c r="CZ1817">
        <v>0</v>
      </c>
      <c r="DA1817">
        <v>5.37</v>
      </c>
      <c r="DB1817">
        <v>1.72</v>
      </c>
      <c r="DC1817">
        <v>1.19</v>
      </c>
      <c r="DD1817">
        <v>50.1</v>
      </c>
      <c r="DE1817" t="s">
        <v>1768</v>
      </c>
      <c r="DF1817">
        <v>24.53</v>
      </c>
      <c r="DG1817">
        <v>5.53</v>
      </c>
      <c r="DH1817">
        <v>5.96</v>
      </c>
      <c r="DI1817">
        <v>1.38</v>
      </c>
      <c r="DJ1817">
        <v>3544</v>
      </c>
      <c r="DK1817">
        <v>300457</v>
      </c>
      <c r="DL1817" t="s">
        <v>120</v>
      </c>
      <c r="DM1817" t="s">
        <v>120</v>
      </c>
      <c r="DN1817" t="s">
        <v>120</v>
      </c>
    </row>
    <row r="1818" spans="1:118">
      <c r="A1818" t="str">
        <f>"300458"</f>
        <v>300458</v>
      </c>
      <c r="B1818" t="s">
        <v>9153</v>
      </c>
      <c r="C1818">
        <v>-6.1</v>
      </c>
      <c r="D1818">
        <v>-0.05</v>
      </c>
      <c r="E1818">
        <v>-0.6</v>
      </c>
      <c r="F1818">
        <v>1743</v>
      </c>
      <c r="G1818" t="s">
        <v>9154</v>
      </c>
      <c r="H1818">
        <v>96683.95</v>
      </c>
      <c r="I1818">
        <v>592.26</v>
      </c>
      <c r="J1818" t="s">
        <v>120</v>
      </c>
      <c r="K1818" t="s">
        <v>9155</v>
      </c>
      <c r="L1818">
        <v>5.38</v>
      </c>
      <c r="M1818">
        <v>67.16</v>
      </c>
      <c r="N1818">
        <v>0.78</v>
      </c>
      <c r="O1818">
        <v>0.69</v>
      </c>
      <c r="P1818">
        <v>72.010000000000005</v>
      </c>
      <c r="Q1818">
        <v>-6.49</v>
      </c>
      <c r="R1818">
        <v>66.88</v>
      </c>
      <c r="S1818">
        <v>71.09</v>
      </c>
      <c r="T1818">
        <v>140145</v>
      </c>
      <c r="U1818">
        <v>67.16</v>
      </c>
      <c r="V1818">
        <v>71.52</v>
      </c>
      <c r="W1818">
        <v>45.9</v>
      </c>
      <c r="X1818" t="s">
        <v>229</v>
      </c>
      <c r="Y1818" t="s">
        <v>547</v>
      </c>
      <c r="Z1818">
        <v>7.17</v>
      </c>
      <c r="AA1818">
        <v>68.989999999999995</v>
      </c>
      <c r="AB1818">
        <v>81872</v>
      </c>
      <c r="AC1818">
        <v>58273</v>
      </c>
      <c r="AD1818">
        <v>1.4</v>
      </c>
      <c r="AE1818">
        <v>401</v>
      </c>
      <c r="AF1818">
        <v>22</v>
      </c>
      <c r="AG1818" t="s">
        <v>120</v>
      </c>
      <c r="AH1818">
        <v>0.04</v>
      </c>
      <c r="AI1818" t="s">
        <v>120</v>
      </c>
      <c r="AJ1818">
        <v>2.6</v>
      </c>
      <c r="AK1818" t="s">
        <v>9156</v>
      </c>
      <c r="AL1818">
        <v>-4.18</v>
      </c>
      <c r="AM1818">
        <v>4428</v>
      </c>
      <c r="AN1818">
        <v>32</v>
      </c>
      <c r="AO1818">
        <v>1.1999999999999999E-3</v>
      </c>
      <c r="AP1818">
        <v>-2</v>
      </c>
      <c r="AQ1818">
        <v>-0.04</v>
      </c>
      <c r="AR1818">
        <v>-3.03</v>
      </c>
      <c r="AS1818">
        <v>-8.4</v>
      </c>
      <c r="AT1818">
        <v>-11.84</v>
      </c>
      <c r="AU1818">
        <v>110.86</v>
      </c>
      <c r="AV1818">
        <v>3</v>
      </c>
      <c r="AW1818">
        <v>6.47</v>
      </c>
      <c r="AX1818">
        <v>65.45</v>
      </c>
      <c r="AY1818">
        <v>65.599999999999994</v>
      </c>
      <c r="AZ1818">
        <v>115.62</v>
      </c>
      <c r="BA1818">
        <v>1.35</v>
      </c>
      <c r="BB1818" t="s">
        <v>143</v>
      </c>
      <c r="BF1818">
        <v>-3.54</v>
      </c>
      <c r="BG1818">
        <v>-5.53</v>
      </c>
      <c r="BH1818">
        <v>-6.74</v>
      </c>
      <c r="BI1818">
        <v>0.42</v>
      </c>
      <c r="BJ1818">
        <v>20210821</v>
      </c>
      <c r="BK1818">
        <v>20150515</v>
      </c>
      <c r="BL1818">
        <v>3.31</v>
      </c>
      <c r="BM1818" t="s">
        <v>120</v>
      </c>
      <c r="BN1818" t="s">
        <v>120</v>
      </c>
      <c r="BO1818">
        <v>30.63</v>
      </c>
      <c r="BP1818">
        <v>67.150000000000006</v>
      </c>
      <c r="BQ1818">
        <v>24.6</v>
      </c>
      <c r="BR1818" t="s">
        <v>120</v>
      </c>
      <c r="BS1818">
        <v>19.7</v>
      </c>
      <c r="BT1818">
        <v>24.71</v>
      </c>
      <c r="BU1818">
        <v>1.1200000000000001</v>
      </c>
      <c r="BV1818">
        <v>1.33</v>
      </c>
      <c r="BW1818">
        <v>5.74</v>
      </c>
      <c r="BX1818">
        <v>18.350000000000001</v>
      </c>
      <c r="BY1818">
        <v>3.37</v>
      </c>
      <c r="BZ1818">
        <v>0.37</v>
      </c>
      <c r="CA1818" t="s">
        <v>120</v>
      </c>
      <c r="CB1818">
        <v>6.43</v>
      </c>
      <c r="CC1818">
        <v>10.48</v>
      </c>
      <c r="CD1818">
        <v>6.58</v>
      </c>
      <c r="CE1818">
        <v>2.54</v>
      </c>
      <c r="CF1818">
        <v>0.02</v>
      </c>
      <c r="CG1818">
        <v>2.54</v>
      </c>
      <c r="CH1818">
        <v>2.42</v>
      </c>
      <c r="CI1818">
        <v>2.42</v>
      </c>
      <c r="CJ1818">
        <v>-4.3600000000000003</v>
      </c>
      <c r="CK1818">
        <v>2.02</v>
      </c>
      <c r="CL1818">
        <v>12.82</v>
      </c>
      <c r="CM1818">
        <v>2.4</v>
      </c>
      <c r="CN1818">
        <v>0.91</v>
      </c>
      <c r="CO1818">
        <v>48537</v>
      </c>
      <c r="CP1818">
        <v>4463</v>
      </c>
      <c r="CQ1818" t="s">
        <v>9157</v>
      </c>
      <c r="CR1818">
        <v>181.44</v>
      </c>
      <c r="CS1818">
        <v>75.069999999999993</v>
      </c>
      <c r="CT1818">
        <v>9.0399999999999991</v>
      </c>
      <c r="CU1818">
        <v>92.52</v>
      </c>
      <c r="CV1818">
        <v>21.21</v>
      </c>
      <c r="CW1818">
        <v>0.56000000000000005</v>
      </c>
      <c r="CX1818" t="s">
        <v>6967</v>
      </c>
      <c r="CY1818">
        <v>7.43</v>
      </c>
      <c r="CZ1818">
        <v>0</v>
      </c>
      <c r="DA1818">
        <v>1.94</v>
      </c>
      <c r="DB1818">
        <v>3.87</v>
      </c>
      <c r="DC1818">
        <v>0.73</v>
      </c>
      <c r="DD1818">
        <v>80.3</v>
      </c>
      <c r="DE1818" t="s">
        <v>9158</v>
      </c>
      <c r="DF1818">
        <v>37.17</v>
      </c>
      <c r="DG1818">
        <v>24.23</v>
      </c>
      <c r="DH1818">
        <v>23.11</v>
      </c>
      <c r="DI1818">
        <v>1.63</v>
      </c>
      <c r="DJ1818">
        <v>630</v>
      </c>
      <c r="DK1818">
        <v>300458</v>
      </c>
      <c r="DL1818" t="s">
        <v>120</v>
      </c>
      <c r="DM1818" t="s">
        <v>120</v>
      </c>
      <c r="DN1818" t="s">
        <v>120</v>
      </c>
    </row>
    <row r="1819" spans="1:118">
      <c r="A1819" t="str">
        <f>"300459"</f>
        <v>300459</v>
      </c>
      <c r="B1819" t="s">
        <v>9159</v>
      </c>
      <c r="C1819">
        <v>1.78</v>
      </c>
      <c r="D1819">
        <v>0</v>
      </c>
      <c r="E1819">
        <v>0.67</v>
      </c>
      <c r="F1819">
        <v>36693</v>
      </c>
      <c r="G1819" t="s">
        <v>9160</v>
      </c>
      <c r="H1819">
        <v>190003.31</v>
      </c>
      <c r="I1819">
        <v>1060.8399999999999</v>
      </c>
      <c r="J1819" t="s">
        <v>120</v>
      </c>
      <c r="K1819" t="s">
        <v>9161</v>
      </c>
      <c r="L1819">
        <v>14.37</v>
      </c>
      <c r="M1819">
        <v>4.58</v>
      </c>
      <c r="N1819">
        <v>0.7</v>
      </c>
      <c r="O1819">
        <v>7.56</v>
      </c>
      <c r="P1819">
        <v>4.84</v>
      </c>
      <c r="Q1819">
        <v>-0.44</v>
      </c>
      <c r="R1819">
        <v>4.4800000000000004</v>
      </c>
      <c r="S1819">
        <v>4.53</v>
      </c>
      <c r="T1819">
        <v>4099499</v>
      </c>
      <c r="U1819">
        <v>4.59</v>
      </c>
      <c r="V1819">
        <v>4.5</v>
      </c>
      <c r="W1819">
        <v>19.52</v>
      </c>
      <c r="X1819" t="s">
        <v>1531</v>
      </c>
      <c r="Y1819" t="s">
        <v>585</v>
      </c>
      <c r="Z1819">
        <v>8</v>
      </c>
      <c r="AA1819">
        <v>4.63</v>
      </c>
      <c r="AB1819">
        <v>1975763</v>
      </c>
      <c r="AC1819">
        <v>2123736</v>
      </c>
      <c r="AD1819">
        <v>0.93</v>
      </c>
      <c r="AE1819">
        <v>1534</v>
      </c>
      <c r="AF1819">
        <v>8513</v>
      </c>
      <c r="AG1819" t="s">
        <v>120</v>
      </c>
      <c r="AH1819">
        <v>0.12</v>
      </c>
      <c r="AI1819" t="s">
        <v>120</v>
      </c>
      <c r="AJ1819">
        <v>28.53</v>
      </c>
      <c r="AK1819" t="s">
        <v>9162</v>
      </c>
      <c r="AL1819">
        <v>3.69</v>
      </c>
      <c r="AM1819">
        <v>4694</v>
      </c>
      <c r="AN1819">
        <v>873</v>
      </c>
      <c r="AO1819">
        <v>3.0999999999999999E-3</v>
      </c>
      <c r="AP1819">
        <v>1</v>
      </c>
      <c r="AQ1819">
        <v>-1.53</v>
      </c>
      <c r="AR1819">
        <v>-8.0299999999999994</v>
      </c>
      <c r="AS1819">
        <v>37.54</v>
      </c>
      <c r="AT1819">
        <v>39.21</v>
      </c>
      <c r="AU1819">
        <v>43.58</v>
      </c>
      <c r="AV1819">
        <v>2</v>
      </c>
      <c r="AW1819">
        <v>21.68</v>
      </c>
      <c r="AX1819">
        <v>53.78</v>
      </c>
      <c r="AY1819">
        <v>23.79</v>
      </c>
      <c r="AZ1819">
        <v>21.01</v>
      </c>
      <c r="BA1819">
        <v>0.31</v>
      </c>
      <c r="BB1819" t="s">
        <v>184</v>
      </c>
      <c r="BF1819">
        <v>3</v>
      </c>
      <c r="BG1819">
        <v>1.1000000000000001</v>
      </c>
      <c r="BH1819">
        <v>-5.37</v>
      </c>
      <c r="BI1819">
        <v>2.23</v>
      </c>
      <c r="BJ1819">
        <v>20210830</v>
      </c>
      <c r="BK1819">
        <v>20150515</v>
      </c>
      <c r="BL1819">
        <v>35.159999999999997</v>
      </c>
      <c r="BM1819" t="s">
        <v>120</v>
      </c>
      <c r="BN1819" t="s">
        <v>120</v>
      </c>
      <c r="BO1819">
        <v>66.8</v>
      </c>
      <c r="BP1819">
        <v>4.58</v>
      </c>
      <c r="BQ1819">
        <v>32.32</v>
      </c>
      <c r="BR1819">
        <v>0.01</v>
      </c>
      <c r="BS1819">
        <v>51.6</v>
      </c>
      <c r="BT1819">
        <v>9.31</v>
      </c>
      <c r="BU1819">
        <v>2.77</v>
      </c>
      <c r="BV1819">
        <v>3.39</v>
      </c>
      <c r="BW1819">
        <v>21.68</v>
      </c>
      <c r="BX1819">
        <v>6.62</v>
      </c>
      <c r="BY1819">
        <v>0.04</v>
      </c>
      <c r="BZ1819">
        <v>2.04</v>
      </c>
      <c r="CA1819">
        <v>0.05</v>
      </c>
      <c r="CB1819">
        <v>5.52</v>
      </c>
      <c r="CC1819">
        <v>9.17</v>
      </c>
      <c r="CD1819">
        <v>1.44</v>
      </c>
      <c r="CE1819">
        <v>4.3099999999999996</v>
      </c>
      <c r="CF1819">
        <v>-0.14000000000000001</v>
      </c>
      <c r="CG1819">
        <v>4.3099999999999996</v>
      </c>
      <c r="CH1819">
        <v>4.12</v>
      </c>
      <c r="CI1819">
        <v>4.12</v>
      </c>
      <c r="CJ1819">
        <v>0.08</v>
      </c>
      <c r="CK1819">
        <v>4.08</v>
      </c>
      <c r="CL1819">
        <v>-4.0599999999999996</v>
      </c>
      <c r="CM1819">
        <v>5.25</v>
      </c>
      <c r="CN1819">
        <v>-0.4</v>
      </c>
      <c r="CO1819">
        <v>101401</v>
      </c>
      <c r="CP1819">
        <v>18647</v>
      </c>
      <c r="CQ1819" t="s">
        <v>9163</v>
      </c>
      <c r="CR1819">
        <v>-17.579999999999998</v>
      </c>
      <c r="CS1819">
        <v>-2.4700000000000002</v>
      </c>
      <c r="CT1819">
        <v>4.9800000000000004</v>
      </c>
      <c r="CU1819">
        <v>30.66</v>
      </c>
      <c r="CV1819">
        <v>17.559999999999999</v>
      </c>
      <c r="CW1819">
        <v>0</v>
      </c>
      <c r="CX1819" t="s">
        <v>850</v>
      </c>
      <c r="CY1819">
        <v>0.92</v>
      </c>
      <c r="CZ1819">
        <v>0</v>
      </c>
      <c r="DA1819">
        <v>0.16</v>
      </c>
      <c r="DB1819">
        <v>-0.12</v>
      </c>
      <c r="DC1819">
        <v>0.15</v>
      </c>
      <c r="DD1819">
        <v>48.38</v>
      </c>
      <c r="DE1819" t="s">
        <v>9164</v>
      </c>
      <c r="DF1819">
        <v>84.26</v>
      </c>
      <c r="DG1819">
        <v>47.03</v>
      </c>
      <c r="DH1819">
        <v>44.97</v>
      </c>
      <c r="DI1819">
        <v>0.64</v>
      </c>
      <c r="DJ1819">
        <v>925</v>
      </c>
      <c r="DK1819">
        <v>300459</v>
      </c>
      <c r="DL1819">
        <v>20210908</v>
      </c>
      <c r="DM1819">
        <v>4.0599999999999996</v>
      </c>
      <c r="DN1819">
        <v>12.81</v>
      </c>
    </row>
    <row r="1820" spans="1:118">
      <c r="A1820" t="str">
        <f>"300460"</f>
        <v>300460</v>
      </c>
      <c r="B1820" t="s">
        <v>9165</v>
      </c>
      <c r="C1820">
        <v>-6.33</v>
      </c>
      <c r="D1820">
        <v>-0.04</v>
      </c>
      <c r="E1820">
        <v>-1.66</v>
      </c>
      <c r="F1820">
        <v>1304</v>
      </c>
      <c r="G1820" t="s">
        <v>9166</v>
      </c>
      <c r="H1820">
        <v>25057.52</v>
      </c>
      <c r="I1820">
        <v>151.22999999999999</v>
      </c>
      <c r="J1820" t="s">
        <v>120</v>
      </c>
      <c r="K1820" t="s">
        <v>9167</v>
      </c>
      <c r="L1820">
        <v>5.1100000000000003</v>
      </c>
      <c r="M1820">
        <v>20.29</v>
      </c>
      <c r="N1820">
        <v>0.95</v>
      </c>
      <c r="O1820">
        <v>-1.06</v>
      </c>
      <c r="P1820">
        <v>21.43</v>
      </c>
      <c r="Q1820">
        <v>-6.46</v>
      </c>
      <c r="R1820">
        <v>20.260000000000002</v>
      </c>
      <c r="S1820">
        <v>21.3</v>
      </c>
      <c r="T1820">
        <v>120336</v>
      </c>
      <c r="U1820">
        <v>20.29</v>
      </c>
      <c r="V1820">
        <v>21.66</v>
      </c>
      <c r="W1820">
        <v>31.8</v>
      </c>
      <c r="X1820" t="s">
        <v>229</v>
      </c>
      <c r="Y1820" t="s">
        <v>547</v>
      </c>
      <c r="Z1820">
        <v>5.4</v>
      </c>
      <c r="AA1820">
        <v>20.82</v>
      </c>
      <c r="AB1820">
        <v>74377</v>
      </c>
      <c r="AC1820">
        <v>45959</v>
      </c>
      <c r="AD1820">
        <v>1.62</v>
      </c>
      <c r="AE1820">
        <v>670</v>
      </c>
      <c r="AF1820">
        <v>273</v>
      </c>
      <c r="AG1820" t="s">
        <v>120</v>
      </c>
      <c r="AH1820">
        <v>0.04</v>
      </c>
      <c r="AI1820" t="s">
        <v>120</v>
      </c>
      <c r="AJ1820">
        <v>2.36</v>
      </c>
      <c r="AK1820" t="s">
        <v>9168</v>
      </c>
      <c r="AL1820">
        <v>-4.41</v>
      </c>
      <c r="AM1820">
        <v>3416</v>
      </c>
      <c r="AN1820">
        <v>35</v>
      </c>
      <c r="AO1820">
        <v>1.5E-3</v>
      </c>
      <c r="AP1820">
        <v>-1</v>
      </c>
      <c r="AQ1820">
        <v>3.24</v>
      </c>
      <c r="AR1820">
        <v>-2.4500000000000002</v>
      </c>
      <c r="AS1820">
        <v>-15.32</v>
      </c>
      <c r="AT1820">
        <v>-5.98</v>
      </c>
      <c r="AU1820">
        <v>28.66</v>
      </c>
      <c r="AV1820">
        <v>0</v>
      </c>
      <c r="AW1820">
        <v>7.51</v>
      </c>
      <c r="AX1820">
        <v>58.02</v>
      </c>
      <c r="AY1820">
        <v>57.49</v>
      </c>
      <c r="AZ1820">
        <v>295.93</v>
      </c>
      <c r="BA1820">
        <v>1.04</v>
      </c>
      <c r="BB1820" t="s">
        <v>168</v>
      </c>
      <c r="BF1820">
        <v>-3.86</v>
      </c>
      <c r="BG1820">
        <v>-4.74</v>
      </c>
      <c r="BH1820">
        <v>-5.32</v>
      </c>
      <c r="BI1820">
        <v>0.15</v>
      </c>
      <c r="BJ1820">
        <v>20210826</v>
      </c>
      <c r="BK1820">
        <v>20150515</v>
      </c>
      <c r="BL1820">
        <v>2.76</v>
      </c>
      <c r="BM1820" t="s">
        <v>120</v>
      </c>
      <c r="BN1820" t="s">
        <v>120</v>
      </c>
      <c r="BO1820">
        <v>17.25</v>
      </c>
      <c r="BP1820">
        <v>20.28</v>
      </c>
      <c r="BQ1820">
        <v>11.49</v>
      </c>
      <c r="BR1820" t="s">
        <v>120</v>
      </c>
      <c r="BS1820">
        <v>33.42</v>
      </c>
      <c r="BT1820">
        <v>7</v>
      </c>
      <c r="BU1820">
        <v>3.17</v>
      </c>
      <c r="BV1820">
        <v>0.44</v>
      </c>
      <c r="BW1820">
        <v>3.26</v>
      </c>
      <c r="BX1820">
        <v>1.92</v>
      </c>
      <c r="BY1820">
        <v>2.11</v>
      </c>
      <c r="BZ1820">
        <v>2.6</v>
      </c>
      <c r="CA1820" t="s">
        <v>120</v>
      </c>
      <c r="CB1820">
        <v>6.66</v>
      </c>
      <c r="CC1820">
        <v>3.33</v>
      </c>
      <c r="CD1820">
        <v>1.79</v>
      </c>
      <c r="CE1820">
        <v>0.96</v>
      </c>
      <c r="CF1820">
        <v>-0.01</v>
      </c>
      <c r="CG1820">
        <v>0.96</v>
      </c>
      <c r="CH1820">
        <v>0.88</v>
      </c>
      <c r="CI1820">
        <v>0.88</v>
      </c>
      <c r="CJ1820">
        <v>-1.37</v>
      </c>
      <c r="CK1820">
        <v>0.85</v>
      </c>
      <c r="CL1820">
        <v>1.78</v>
      </c>
      <c r="CM1820">
        <v>0.36</v>
      </c>
      <c r="CN1820">
        <v>1.51</v>
      </c>
      <c r="CO1820">
        <v>29975</v>
      </c>
      <c r="CP1820">
        <v>5343</v>
      </c>
      <c r="CQ1820" t="s">
        <v>4048</v>
      </c>
      <c r="CR1820">
        <v>1960.79</v>
      </c>
      <c r="CS1820">
        <v>130.83000000000001</v>
      </c>
      <c r="CT1820">
        <v>4.88</v>
      </c>
      <c r="CU1820">
        <v>155.27000000000001</v>
      </c>
      <c r="CV1820">
        <v>16.809999999999999</v>
      </c>
      <c r="CW1820">
        <v>0</v>
      </c>
      <c r="CX1820" t="s">
        <v>269</v>
      </c>
      <c r="CY1820">
        <v>4.16</v>
      </c>
      <c r="CZ1820">
        <v>0</v>
      </c>
      <c r="DA1820">
        <v>2.41</v>
      </c>
      <c r="DB1820">
        <v>0.64</v>
      </c>
      <c r="DC1820">
        <v>0.13</v>
      </c>
      <c r="DD1820">
        <v>66.58</v>
      </c>
      <c r="DE1820" t="s">
        <v>3613</v>
      </c>
      <c r="DF1820">
        <v>46.2</v>
      </c>
      <c r="DG1820">
        <v>28.76</v>
      </c>
      <c r="DH1820">
        <v>26.43</v>
      </c>
      <c r="DI1820">
        <v>0.09</v>
      </c>
      <c r="DJ1820">
        <v>951</v>
      </c>
      <c r="DK1820">
        <v>300460</v>
      </c>
      <c r="DL1820" t="s">
        <v>120</v>
      </c>
      <c r="DM1820" t="s">
        <v>120</v>
      </c>
      <c r="DN1820" t="s">
        <v>120</v>
      </c>
    </row>
    <row r="1821" spans="1:118">
      <c r="A1821" t="str">
        <f>"300461"</f>
        <v>300461</v>
      </c>
      <c r="B1821" t="s">
        <v>9169</v>
      </c>
      <c r="C1821">
        <v>2.99</v>
      </c>
      <c r="D1821">
        <v>0</v>
      </c>
      <c r="E1821">
        <v>-1.89</v>
      </c>
      <c r="F1821">
        <v>1289</v>
      </c>
      <c r="G1821" t="s">
        <v>9170</v>
      </c>
      <c r="H1821">
        <v>27129.43</v>
      </c>
      <c r="I1821">
        <v>79.459999999999994</v>
      </c>
      <c r="J1821" t="s">
        <v>120</v>
      </c>
      <c r="K1821" t="s">
        <v>9171</v>
      </c>
      <c r="L1821">
        <v>14.85</v>
      </c>
      <c r="M1821">
        <v>26.15</v>
      </c>
      <c r="N1821">
        <v>1.1100000000000001</v>
      </c>
      <c r="O1821">
        <v>7.25</v>
      </c>
      <c r="P1821">
        <v>27.23</v>
      </c>
      <c r="Q1821">
        <v>-3.07</v>
      </c>
      <c r="R1821">
        <v>24.61</v>
      </c>
      <c r="S1821">
        <v>24.91</v>
      </c>
      <c r="T1821">
        <v>104787</v>
      </c>
      <c r="U1821">
        <v>26.15</v>
      </c>
      <c r="V1821">
        <v>25.39</v>
      </c>
      <c r="W1821">
        <v>83.19</v>
      </c>
      <c r="X1821" t="s">
        <v>675</v>
      </c>
      <c r="Y1821" t="s">
        <v>585</v>
      </c>
      <c r="Z1821">
        <v>10.32</v>
      </c>
      <c r="AA1821">
        <v>25.89</v>
      </c>
      <c r="AB1821">
        <v>49443</v>
      </c>
      <c r="AC1821">
        <v>55344</v>
      </c>
      <c r="AD1821">
        <v>0.89</v>
      </c>
      <c r="AE1821">
        <v>24</v>
      </c>
      <c r="AF1821">
        <v>788</v>
      </c>
      <c r="AG1821" t="s">
        <v>120</v>
      </c>
      <c r="AH1821">
        <v>7.0000000000000007E-2</v>
      </c>
      <c r="AI1821" t="s">
        <v>120</v>
      </c>
      <c r="AJ1821">
        <v>0.71</v>
      </c>
      <c r="AK1821" t="s">
        <v>6188</v>
      </c>
      <c r="AL1821">
        <v>4.91</v>
      </c>
      <c r="AM1821">
        <v>3395</v>
      </c>
      <c r="AN1821">
        <v>31</v>
      </c>
      <c r="AO1821">
        <v>4.4000000000000003E-3</v>
      </c>
      <c r="AP1821">
        <v>1</v>
      </c>
      <c r="AQ1821">
        <v>-5.26</v>
      </c>
      <c r="AR1821">
        <v>4.3099999999999996</v>
      </c>
      <c r="AS1821">
        <v>23.34</v>
      </c>
      <c r="AT1821">
        <v>30.3</v>
      </c>
      <c r="AU1821">
        <v>23.99</v>
      </c>
      <c r="AV1821">
        <v>4</v>
      </c>
      <c r="AW1821">
        <v>23.9</v>
      </c>
      <c r="AX1821">
        <v>33.770000000000003</v>
      </c>
      <c r="AY1821">
        <v>37.119999999999997</v>
      </c>
      <c r="AZ1821">
        <v>31.44</v>
      </c>
      <c r="BA1821">
        <v>1.63</v>
      </c>
      <c r="BB1821" t="s">
        <v>125</v>
      </c>
      <c r="BF1821">
        <v>1.97</v>
      </c>
      <c r="BG1821">
        <v>4.9800000000000004</v>
      </c>
      <c r="BH1821">
        <v>-3.97</v>
      </c>
      <c r="BI1821">
        <v>6.26</v>
      </c>
      <c r="BJ1821">
        <v>20210901</v>
      </c>
      <c r="BK1821">
        <v>20150519</v>
      </c>
      <c r="BL1821">
        <v>1.3</v>
      </c>
      <c r="BM1821" t="s">
        <v>120</v>
      </c>
      <c r="BN1821" t="s">
        <v>120</v>
      </c>
      <c r="BO1821">
        <v>5.21</v>
      </c>
      <c r="BP1821">
        <v>26.14</v>
      </c>
      <c r="BQ1821">
        <v>1.87</v>
      </c>
      <c r="BR1821" t="s">
        <v>120</v>
      </c>
      <c r="BS1821">
        <v>64.010000000000005</v>
      </c>
      <c r="BT1821">
        <v>3.85</v>
      </c>
      <c r="BU1821">
        <v>0.53</v>
      </c>
      <c r="BV1821">
        <v>0.17</v>
      </c>
      <c r="BW1821">
        <v>3.28</v>
      </c>
      <c r="BX1821">
        <v>0.94</v>
      </c>
      <c r="BY1821">
        <v>1.1599999999999999</v>
      </c>
      <c r="BZ1821">
        <v>1.5</v>
      </c>
      <c r="CA1821" t="s">
        <v>120</v>
      </c>
      <c r="CB1821">
        <v>2.93</v>
      </c>
      <c r="CC1821">
        <v>1.76</v>
      </c>
      <c r="CD1821">
        <v>1.06</v>
      </c>
      <c r="CE1821">
        <v>0.23</v>
      </c>
      <c r="CF1821">
        <v>0</v>
      </c>
      <c r="CG1821">
        <v>0.24</v>
      </c>
      <c r="CH1821">
        <v>0.2</v>
      </c>
      <c r="CI1821">
        <v>0.2</v>
      </c>
      <c r="CJ1821">
        <v>0.76</v>
      </c>
      <c r="CK1821">
        <v>0.16</v>
      </c>
      <c r="CL1821">
        <v>-1.34</v>
      </c>
      <c r="CM1821">
        <v>0.28999999999999998</v>
      </c>
      <c r="CN1821">
        <v>-0.04</v>
      </c>
      <c r="CO1821">
        <v>14492</v>
      </c>
      <c r="CP1821">
        <v>3025</v>
      </c>
      <c r="CQ1821" t="s">
        <v>9172</v>
      </c>
      <c r="CR1821">
        <v>-43.98</v>
      </c>
      <c r="CS1821">
        <v>2.66</v>
      </c>
      <c r="CT1821">
        <v>18.12</v>
      </c>
      <c r="CU1821">
        <v>119.1</v>
      </c>
      <c r="CV1821">
        <v>19.239999999999998</v>
      </c>
      <c r="CW1821">
        <v>0</v>
      </c>
      <c r="CX1821" t="s">
        <v>1091</v>
      </c>
      <c r="CY1821">
        <v>1.44</v>
      </c>
      <c r="CZ1821">
        <v>0</v>
      </c>
      <c r="DA1821">
        <v>2.25</v>
      </c>
      <c r="DB1821">
        <v>-1.03</v>
      </c>
      <c r="DC1821">
        <v>0.22</v>
      </c>
      <c r="DD1821">
        <v>35.99</v>
      </c>
      <c r="DE1821" t="s">
        <v>9173</v>
      </c>
      <c r="DF1821">
        <v>40.159999999999997</v>
      </c>
      <c r="DG1821">
        <v>13.22</v>
      </c>
      <c r="DH1821">
        <v>11.56</v>
      </c>
      <c r="DI1821">
        <v>0.08</v>
      </c>
      <c r="DJ1821">
        <v>622</v>
      </c>
      <c r="DK1821">
        <v>300461</v>
      </c>
      <c r="DL1821">
        <v>20210906</v>
      </c>
      <c r="DM1821">
        <v>26.24</v>
      </c>
      <c r="DN1821">
        <v>-0.34</v>
      </c>
    </row>
    <row r="1822" spans="1:118">
      <c r="A1822" t="str">
        <f>"300462"</f>
        <v>300462</v>
      </c>
      <c r="B1822" t="s">
        <v>9174</v>
      </c>
      <c r="C1822">
        <v>-3.12</v>
      </c>
      <c r="D1822">
        <v>0</v>
      </c>
      <c r="E1822">
        <v>-0.91</v>
      </c>
      <c r="F1822">
        <v>844</v>
      </c>
      <c r="G1822" t="s">
        <v>4742</v>
      </c>
      <c r="H1822">
        <v>7684.17</v>
      </c>
      <c r="I1822">
        <v>46.02</v>
      </c>
      <c r="J1822" t="s">
        <v>120</v>
      </c>
      <c r="K1822" t="s">
        <v>3066</v>
      </c>
      <c r="L1822">
        <v>4.3499999999999996</v>
      </c>
      <c r="M1822">
        <v>12.71</v>
      </c>
      <c r="N1822">
        <v>0.72</v>
      </c>
      <c r="O1822">
        <v>1.98</v>
      </c>
      <c r="P1822">
        <v>13.38</v>
      </c>
      <c r="Q1822">
        <v>-3.43</v>
      </c>
      <c r="R1822">
        <v>12.67</v>
      </c>
      <c r="S1822">
        <v>13</v>
      </c>
      <c r="T1822">
        <v>59430</v>
      </c>
      <c r="U1822">
        <v>12.72</v>
      </c>
      <c r="V1822">
        <v>13.12</v>
      </c>
      <c r="W1822">
        <v>90.38</v>
      </c>
      <c r="X1822" t="s">
        <v>675</v>
      </c>
      <c r="Y1822" t="s">
        <v>1510</v>
      </c>
      <c r="Z1822">
        <v>5.41</v>
      </c>
      <c r="AA1822">
        <v>12.93</v>
      </c>
      <c r="AB1822">
        <v>37388</v>
      </c>
      <c r="AC1822">
        <v>22042</v>
      </c>
      <c r="AD1822">
        <v>1.7</v>
      </c>
      <c r="AE1822">
        <v>721</v>
      </c>
      <c r="AF1822">
        <v>62</v>
      </c>
      <c r="AG1822" t="s">
        <v>120</v>
      </c>
      <c r="AH1822">
        <v>0.03</v>
      </c>
      <c r="AI1822" t="s">
        <v>120</v>
      </c>
      <c r="AJ1822">
        <v>1.36</v>
      </c>
      <c r="AK1822" t="s">
        <v>9175</v>
      </c>
      <c r="AL1822">
        <v>-1.21</v>
      </c>
      <c r="AM1822">
        <v>1889</v>
      </c>
      <c r="AN1822">
        <v>31</v>
      </c>
      <c r="AO1822">
        <v>2.3E-3</v>
      </c>
      <c r="AP1822">
        <v>-1</v>
      </c>
      <c r="AQ1822">
        <v>1.39</v>
      </c>
      <c r="AR1822">
        <v>-0.47</v>
      </c>
      <c r="AS1822">
        <v>5.48</v>
      </c>
      <c r="AT1822">
        <v>1.52</v>
      </c>
      <c r="AU1822">
        <v>-36.380000000000003</v>
      </c>
      <c r="AV1822">
        <v>1</v>
      </c>
      <c r="AW1822">
        <v>5.35</v>
      </c>
      <c r="AX1822">
        <v>59.01</v>
      </c>
      <c r="AY1822">
        <v>150.27000000000001</v>
      </c>
      <c r="AZ1822">
        <v>19.420000000000002</v>
      </c>
      <c r="BA1822">
        <v>1.1100000000000001</v>
      </c>
      <c r="BB1822" t="s">
        <v>184</v>
      </c>
      <c r="BF1822">
        <v>-1.45</v>
      </c>
      <c r="BG1822">
        <v>-2.23</v>
      </c>
      <c r="BH1822">
        <v>-5.01</v>
      </c>
      <c r="BI1822">
        <v>0.32</v>
      </c>
      <c r="BJ1822">
        <v>20210830</v>
      </c>
      <c r="BK1822">
        <v>20150527</v>
      </c>
      <c r="BL1822">
        <v>1.88</v>
      </c>
      <c r="BM1822" t="s">
        <v>120</v>
      </c>
      <c r="BN1822" t="s">
        <v>120</v>
      </c>
      <c r="BO1822">
        <v>25.63</v>
      </c>
      <c r="BP1822">
        <v>12.71</v>
      </c>
      <c r="BQ1822">
        <v>16.95</v>
      </c>
      <c r="BR1822">
        <v>0.01</v>
      </c>
      <c r="BS1822">
        <v>33.82</v>
      </c>
      <c r="BT1822">
        <v>19.53</v>
      </c>
      <c r="BU1822">
        <v>0.76</v>
      </c>
      <c r="BV1822">
        <v>1.25</v>
      </c>
      <c r="BW1822">
        <v>5.7</v>
      </c>
      <c r="BX1822">
        <v>2.2999999999999998</v>
      </c>
      <c r="BY1822">
        <v>5.5</v>
      </c>
      <c r="BZ1822">
        <v>8.16</v>
      </c>
      <c r="CA1822">
        <v>0.02</v>
      </c>
      <c r="CB1822">
        <v>8.36</v>
      </c>
      <c r="CC1822">
        <v>3.8</v>
      </c>
      <c r="CD1822">
        <v>2.4300000000000002</v>
      </c>
      <c r="CE1822">
        <v>0.18</v>
      </c>
      <c r="CF1822">
        <v>0.02</v>
      </c>
      <c r="CG1822">
        <v>0.22</v>
      </c>
      <c r="CH1822">
        <v>0.13</v>
      </c>
      <c r="CI1822">
        <v>0.13</v>
      </c>
      <c r="CJ1822">
        <v>-0.41</v>
      </c>
      <c r="CK1822">
        <v>0.06</v>
      </c>
      <c r="CL1822">
        <v>6.01</v>
      </c>
      <c r="CM1822">
        <v>0.6</v>
      </c>
      <c r="CN1822">
        <v>-0.93</v>
      </c>
      <c r="CO1822">
        <v>18705</v>
      </c>
      <c r="CP1822">
        <v>5939</v>
      </c>
      <c r="CQ1822" t="s">
        <v>3623</v>
      </c>
      <c r="CR1822">
        <v>-89.32</v>
      </c>
      <c r="CS1822">
        <v>-41.62</v>
      </c>
      <c r="CT1822">
        <v>1.43</v>
      </c>
      <c r="CU1822">
        <v>39.840000000000003</v>
      </c>
      <c r="CV1822">
        <v>6.3</v>
      </c>
      <c r="CW1822">
        <v>1.1399999999999999</v>
      </c>
      <c r="CX1822" t="s">
        <v>679</v>
      </c>
      <c r="CY1822">
        <v>8.86</v>
      </c>
      <c r="CZ1822">
        <v>8.86</v>
      </c>
      <c r="DA1822">
        <v>4.4400000000000004</v>
      </c>
      <c r="DB1822">
        <v>3.19</v>
      </c>
      <c r="DC1822">
        <v>0.32</v>
      </c>
      <c r="DD1822">
        <v>66.13</v>
      </c>
      <c r="DE1822" t="s">
        <v>307</v>
      </c>
      <c r="DF1822">
        <v>35.92</v>
      </c>
      <c r="DG1822">
        <v>4.83</v>
      </c>
      <c r="DH1822">
        <v>3.49</v>
      </c>
      <c r="DI1822">
        <v>0.74</v>
      </c>
      <c r="DJ1822">
        <v>1207</v>
      </c>
      <c r="DK1822">
        <v>300462</v>
      </c>
      <c r="DL1822">
        <v>20210906</v>
      </c>
      <c r="DM1822">
        <v>13.68</v>
      </c>
      <c r="DN1822">
        <v>-7.09</v>
      </c>
    </row>
    <row r="1823" spans="1:118">
      <c r="A1823" t="str">
        <f>"300463"</f>
        <v>300463</v>
      </c>
      <c r="B1823" t="s">
        <v>9176</v>
      </c>
      <c r="C1823">
        <v>-0.88</v>
      </c>
      <c r="D1823">
        <v>0.56000000000000005</v>
      </c>
      <c r="E1823">
        <v>1.24</v>
      </c>
      <c r="F1823">
        <v>1069</v>
      </c>
      <c r="G1823" t="s">
        <v>9177</v>
      </c>
      <c r="H1823">
        <v>13273.05</v>
      </c>
      <c r="I1823">
        <v>121.6</v>
      </c>
      <c r="J1823" t="s">
        <v>120</v>
      </c>
      <c r="K1823" t="s">
        <v>9178</v>
      </c>
      <c r="L1823">
        <v>1.21</v>
      </c>
      <c r="M1823">
        <v>27.12</v>
      </c>
      <c r="N1823">
        <v>1.04</v>
      </c>
      <c r="O1823">
        <v>1.24</v>
      </c>
      <c r="P1823">
        <v>27.7</v>
      </c>
      <c r="Q1823">
        <v>-1.46</v>
      </c>
      <c r="R1823">
        <v>26.96</v>
      </c>
      <c r="S1823">
        <v>27.7</v>
      </c>
      <c r="T1823">
        <v>48500</v>
      </c>
      <c r="U1823">
        <v>27.14</v>
      </c>
      <c r="V1823">
        <v>27.36</v>
      </c>
      <c r="W1823">
        <v>14.2</v>
      </c>
      <c r="X1823" t="s">
        <v>555</v>
      </c>
      <c r="Y1823" t="s">
        <v>578</v>
      </c>
      <c r="Z1823">
        <v>2.7</v>
      </c>
      <c r="AA1823">
        <v>27.37</v>
      </c>
      <c r="AB1823">
        <v>25575</v>
      </c>
      <c r="AC1823">
        <v>22925</v>
      </c>
      <c r="AD1823">
        <v>1.1200000000000001</v>
      </c>
      <c r="AE1823">
        <v>20</v>
      </c>
      <c r="AF1823">
        <v>50</v>
      </c>
      <c r="AG1823" t="s">
        <v>120</v>
      </c>
      <c r="AH1823">
        <v>0.01</v>
      </c>
      <c r="AI1823" t="s">
        <v>120</v>
      </c>
      <c r="AJ1823">
        <v>4.0199999999999996</v>
      </c>
      <c r="AK1823" t="s">
        <v>9179</v>
      </c>
      <c r="AL1823">
        <v>1.04</v>
      </c>
      <c r="AM1823">
        <v>2633</v>
      </c>
      <c r="AN1823">
        <v>18</v>
      </c>
      <c r="AO1823">
        <v>5.0000000000000001E-4</v>
      </c>
      <c r="AP1823">
        <v>-3</v>
      </c>
      <c r="AQ1823">
        <v>-2.4300000000000002</v>
      </c>
      <c r="AR1823">
        <v>-4.45</v>
      </c>
      <c r="AS1823">
        <v>-17.440000000000001</v>
      </c>
      <c r="AT1823">
        <v>-35.18</v>
      </c>
      <c r="AU1823">
        <v>-41.26</v>
      </c>
      <c r="AV1823">
        <v>0</v>
      </c>
      <c r="AW1823">
        <v>1.37</v>
      </c>
      <c r="AX1823">
        <v>63.49</v>
      </c>
      <c r="AY1823">
        <v>15</v>
      </c>
      <c r="AZ1823">
        <v>19.190000000000001</v>
      </c>
      <c r="BA1823">
        <v>0.41</v>
      </c>
      <c r="BB1823" t="s">
        <v>125</v>
      </c>
      <c r="BF1823">
        <v>0.03</v>
      </c>
      <c r="BG1823">
        <v>-2.09</v>
      </c>
      <c r="BH1823">
        <v>-2.09</v>
      </c>
      <c r="BI1823">
        <v>0.59</v>
      </c>
      <c r="BJ1823">
        <v>20210902</v>
      </c>
      <c r="BK1823">
        <v>20150528</v>
      </c>
      <c r="BL1823">
        <v>5.57</v>
      </c>
      <c r="BM1823" t="s">
        <v>120</v>
      </c>
      <c r="BN1823" t="s">
        <v>120</v>
      </c>
      <c r="BO1823">
        <v>65.680000000000007</v>
      </c>
      <c r="BP1823">
        <v>27.12</v>
      </c>
      <c r="BQ1823">
        <v>38.909999999999997</v>
      </c>
      <c r="BR1823">
        <v>2.2799999999999998</v>
      </c>
      <c r="BS1823">
        <v>37.29</v>
      </c>
      <c r="BT1823">
        <v>40.520000000000003</v>
      </c>
      <c r="BU1823">
        <v>18.28</v>
      </c>
      <c r="BV1823">
        <v>1.79</v>
      </c>
      <c r="BW1823">
        <v>19.29</v>
      </c>
      <c r="BX1823">
        <v>5.9</v>
      </c>
      <c r="BY1823">
        <v>11.02</v>
      </c>
      <c r="BZ1823">
        <v>20.16</v>
      </c>
      <c r="CA1823" t="s">
        <v>120</v>
      </c>
      <c r="CB1823">
        <v>3.35</v>
      </c>
      <c r="CC1823">
        <v>19.600000000000001</v>
      </c>
      <c r="CD1823">
        <v>8.2100000000000009</v>
      </c>
      <c r="CE1823">
        <v>6.76</v>
      </c>
      <c r="CF1823">
        <v>-0.01</v>
      </c>
      <c r="CG1823">
        <v>6.74</v>
      </c>
      <c r="CH1823">
        <v>5.57</v>
      </c>
      <c r="CI1823">
        <v>5.32</v>
      </c>
      <c r="CJ1823">
        <v>-0.24</v>
      </c>
      <c r="CK1823">
        <v>5.25</v>
      </c>
      <c r="CL1823">
        <v>29.27</v>
      </c>
      <c r="CM1823">
        <v>4.4800000000000004</v>
      </c>
      <c r="CN1823">
        <v>-0.16</v>
      </c>
      <c r="CO1823">
        <v>25767</v>
      </c>
      <c r="CP1823">
        <v>13720</v>
      </c>
      <c r="CQ1823" t="s">
        <v>9180</v>
      </c>
      <c r="CR1823">
        <v>71.36</v>
      </c>
      <c r="CS1823">
        <v>34.97</v>
      </c>
      <c r="CT1823">
        <v>3.88</v>
      </c>
      <c r="CU1823">
        <v>33.68</v>
      </c>
      <c r="CV1823">
        <v>7.7</v>
      </c>
      <c r="CW1823">
        <v>1.57</v>
      </c>
      <c r="CX1823" t="s">
        <v>4116</v>
      </c>
      <c r="CY1823">
        <v>6.99</v>
      </c>
      <c r="CZ1823">
        <v>0</v>
      </c>
      <c r="DA1823">
        <v>0.6</v>
      </c>
      <c r="DB1823">
        <v>5.26</v>
      </c>
      <c r="DC1823">
        <v>0.81</v>
      </c>
      <c r="DD1823">
        <v>59.24</v>
      </c>
      <c r="DE1823" t="s">
        <v>9181</v>
      </c>
      <c r="DF1823">
        <v>58.1</v>
      </c>
      <c r="DG1823">
        <v>34.5</v>
      </c>
      <c r="DH1823">
        <v>27.12</v>
      </c>
      <c r="DI1823">
        <v>0.87</v>
      </c>
      <c r="DJ1823">
        <v>2627</v>
      </c>
      <c r="DK1823">
        <v>300463</v>
      </c>
      <c r="DL1823" t="s">
        <v>120</v>
      </c>
      <c r="DM1823" t="s">
        <v>120</v>
      </c>
      <c r="DN1823" t="s">
        <v>120</v>
      </c>
    </row>
    <row r="1824" spans="1:118">
      <c r="A1824" t="str">
        <f>"300464"</f>
        <v>300464</v>
      </c>
      <c r="B1824" t="s">
        <v>9182</v>
      </c>
      <c r="C1824">
        <v>-3.51</v>
      </c>
      <c r="D1824">
        <v>0</v>
      </c>
      <c r="E1824">
        <v>-0.4</v>
      </c>
      <c r="F1824">
        <v>2425</v>
      </c>
      <c r="G1824" t="s">
        <v>7389</v>
      </c>
      <c r="H1824">
        <v>8067.93</v>
      </c>
      <c r="I1824">
        <v>11.31</v>
      </c>
      <c r="J1824" t="s">
        <v>120</v>
      </c>
      <c r="K1824" t="s">
        <v>6405</v>
      </c>
      <c r="L1824">
        <v>2.74</v>
      </c>
      <c r="M1824">
        <v>9.61</v>
      </c>
      <c r="N1824">
        <v>0.85</v>
      </c>
      <c r="O1824">
        <v>1</v>
      </c>
      <c r="P1824">
        <v>10.06</v>
      </c>
      <c r="Q1824">
        <v>-3.71</v>
      </c>
      <c r="R1824">
        <v>9.59</v>
      </c>
      <c r="S1824">
        <v>9.92</v>
      </c>
      <c r="T1824">
        <v>82461</v>
      </c>
      <c r="U1824">
        <v>9.6199999999999992</v>
      </c>
      <c r="V1824">
        <v>9.9600000000000009</v>
      </c>
      <c r="W1824">
        <v>16.25</v>
      </c>
      <c r="X1824" t="s">
        <v>959</v>
      </c>
      <c r="Y1824" t="s">
        <v>547</v>
      </c>
      <c r="Z1824">
        <v>4.72</v>
      </c>
      <c r="AA1824">
        <v>9.7799999999999994</v>
      </c>
      <c r="AB1824">
        <v>51648</v>
      </c>
      <c r="AC1824">
        <v>30813</v>
      </c>
      <c r="AD1824">
        <v>1.68</v>
      </c>
      <c r="AE1824">
        <v>119</v>
      </c>
      <c r="AF1824">
        <v>111</v>
      </c>
      <c r="AG1824" t="s">
        <v>120</v>
      </c>
      <c r="AH1824">
        <v>0.01</v>
      </c>
      <c r="AI1824" t="s">
        <v>120</v>
      </c>
      <c r="AJ1824">
        <v>3.01</v>
      </c>
      <c r="AK1824" t="s">
        <v>6188</v>
      </c>
      <c r="AL1824">
        <v>-1.6</v>
      </c>
      <c r="AM1824">
        <v>2040</v>
      </c>
      <c r="AN1824">
        <v>40</v>
      </c>
      <c r="AO1824">
        <v>1.2999999999999999E-3</v>
      </c>
      <c r="AP1824">
        <v>-3</v>
      </c>
      <c r="AQ1824">
        <v>-0.6</v>
      </c>
      <c r="AR1824">
        <v>-7.06</v>
      </c>
      <c r="AS1824">
        <v>-15.18</v>
      </c>
      <c r="AT1824">
        <v>-20.05</v>
      </c>
      <c r="AU1824">
        <v>-47.71</v>
      </c>
      <c r="AV1824">
        <v>0</v>
      </c>
      <c r="AW1824">
        <v>4.58</v>
      </c>
      <c r="AX1824">
        <v>50.93</v>
      </c>
      <c r="AY1824">
        <v>18.53</v>
      </c>
      <c r="AZ1824">
        <v>16.61</v>
      </c>
      <c r="BA1824">
        <v>0.66</v>
      </c>
      <c r="BB1824" t="s">
        <v>125</v>
      </c>
      <c r="BF1824">
        <v>-1.77</v>
      </c>
      <c r="BG1824">
        <v>-3.13</v>
      </c>
      <c r="BH1824">
        <v>-4.47</v>
      </c>
      <c r="BI1824">
        <v>0.21</v>
      </c>
      <c r="BJ1824">
        <v>20210827</v>
      </c>
      <c r="BK1824">
        <v>20150610</v>
      </c>
      <c r="BL1824">
        <v>3.53</v>
      </c>
      <c r="BM1824" t="s">
        <v>120</v>
      </c>
      <c r="BN1824" t="s">
        <v>120</v>
      </c>
      <c r="BO1824">
        <v>42.92</v>
      </c>
      <c r="BP1824">
        <v>9.61</v>
      </c>
      <c r="BQ1824">
        <v>20.66</v>
      </c>
      <c r="BR1824">
        <v>0.08</v>
      </c>
      <c r="BS1824">
        <v>51.67</v>
      </c>
      <c r="BT1824">
        <v>22.64</v>
      </c>
      <c r="BU1824">
        <v>4.75</v>
      </c>
      <c r="BV1824">
        <v>1.55</v>
      </c>
      <c r="BW1824">
        <v>14.29</v>
      </c>
      <c r="BX1824">
        <v>3.99</v>
      </c>
      <c r="BY1824">
        <v>11.13</v>
      </c>
      <c r="BZ1824">
        <v>4.34</v>
      </c>
      <c r="CA1824" t="s">
        <v>120</v>
      </c>
      <c r="CB1824">
        <v>11.09</v>
      </c>
      <c r="CC1824">
        <v>24.27</v>
      </c>
      <c r="CD1824">
        <v>15.68</v>
      </c>
      <c r="CE1824">
        <v>1.3</v>
      </c>
      <c r="CF1824">
        <v>0</v>
      </c>
      <c r="CG1824">
        <v>1.3</v>
      </c>
      <c r="CH1824">
        <v>1.05</v>
      </c>
      <c r="CI1824">
        <v>1.04</v>
      </c>
      <c r="CJ1824">
        <v>-0.35</v>
      </c>
      <c r="CK1824">
        <v>0.88</v>
      </c>
      <c r="CL1824">
        <v>5.9</v>
      </c>
      <c r="CM1824">
        <v>2.21</v>
      </c>
      <c r="CN1824">
        <v>1</v>
      </c>
      <c r="CO1824">
        <v>21848</v>
      </c>
      <c r="CP1824">
        <v>8232</v>
      </c>
      <c r="CQ1824" t="s">
        <v>9172</v>
      </c>
      <c r="CR1824">
        <v>-17.329999999999998</v>
      </c>
      <c r="CS1824">
        <v>18.16</v>
      </c>
      <c r="CT1824">
        <v>1.64</v>
      </c>
      <c r="CU1824">
        <v>15.37</v>
      </c>
      <c r="CV1824">
        <v>1.4</v>
      </c>
      <c r="CW1824">
        <v>0.6</v>
      </c>
      <c r="CX1824" t="s">
        <v>9183</v>
      </c>
      <c r="CY1824">
        <v>5.85</v>
      </c>
      <c r="CZ1824">
        <v>0</v>
      </c>
      <c r="DA1824">
        <v>3.14</v>
      </c>
      <c r="DB1824">
        <v>1.67</v>
      </c>
      <c r="DC1824">
        <v>0.63</v>
      </c>
      <c r="DD1824">
        <v>48.13</v>
      </c>
      <c r="DE1824" t="s">
        <v>1394</v>
      </c>
      <c r="DF1824">
        <v>35.380000000000003</v>
      </c>
      <c r="DG1824">
        <v>5.37</v>
      </c>
      <c r="DH1824">
        <v>4.3</v>
      </c>
      <c r="DI1824">
        <v>0.39</v>
      </c>
      <c r="DJ1824">
        <v>1926</v>
      </c>
      <c r="DK1824">
        <v>300464</v>
      </c>
      <c r="DL1824" t="s">
        <v>120</v>
      </c>
      <c r="DM1824" t="s">
        <v>120</v>
      </c>
      <c r="DN1824" t="s">
        <v>120</v>
      </c>
    </row>
    <row r="1825" spans="1:118">
      <c r="A1825" t="str">
        <f>"300465"</f>
        <v>300465</v>
      </c>
      <c r="B1825" t="s">
        <v>9184</v>
      </c>
      <c r="C1825">
        <v>-1.1399999999999999</v>
      </c>
      <c r="D1825">
        <v>0.1</v>
      </c>
      <c r="E1825">
        <v>-0.48</v>
      </c>
      <c r="F1825">
        <v>808</v>
      </c>
      <c r="G1825" t="s">
        <v>9185</v>
      </c>
      <c r="H1825">
        <v>8566.02</v>
      </c>
      <c r="I1825">
        <v>15.71</v>
      </c>
      <c r="J1825" t="s">
        <v>120</v>
      </c>
      <c r="K1825" t="s">
        <v>5821</v>
      </c>
      <c r="L1825">
        <v>1.83</v>
      </c>
      <c r="M1825">
        <v>10.4</v>
      </c>
      <c r="N1825">
        <v>0.79</v>
      </c>
      <c r="O1825">
        <v>1.24</v>
      </c>
      <c r="P1825">
        <v>10.65</v>
      </c>
      <c r="Q1825">
        <v>-1.33</v>
      </c>
      <c r="R1825">
        <v>10.38</v>
      </c>
      <c r="S1825">
        <v>10.47</v>
      </c>
      <c r="T1825">
        <v>81541</v>
      </c>
      <c r="U1825">
        <v>10.41</v>
      </c>
      <c r="V1825">
        <v>10.52</v>
      </c>
      <c r="W1825">
        <v>51.95</v>
      </c>
      <c r="X1825" t="s">
        <v>141</v>
      </c>
      <c r="Y1825" t="s">
        <v>158</v>
      </c>
      <c r="Z1825">
        <v>2.57</v>
      </c>
      <c r="AA1825">
        <v>10.51</v>
      </c>
      <c r="AB1825">
        <v>41320</v>
      </c>
      <c r="AC1825">
        <v>40221</v>
      </c>
      <c r="AD1825">
        <v>1.03</v>
      </c>
      <c r="AE1825">
        <v>89</v>
      </c>
      <c r="AF1825">
        <v>161</v>
      </c>
      <c r="AG1825" t="s">
        <v>120</v>
      </c>
      <c r="AH1825">
        <v>0</v>
      </c>
      <c r="AI1825" t="s">
        <v>120</v>
      </c>
      <c r="AJ1825">
        <v>4.47</v>
      </c>
      <c r="AK1825" t="s">
        <v>5821</v>
      </c>
      <c r="AL1825">
        <v>0.77</v>
      </c>
      <c r="AM1825">
        <v>2274</v>
      </c>
      <c r="AN1825">
        <v>36</v>
      </c>
      <c r="AO1825">
        <v>8.0000000000000004E-4</v>
      </c>
      <c r="AP1825">
        <v>-2</v>
      </c>
      <c r="AQ1825">
        <v>-2.68</v>
      </c>
      <c r="AR1825">
        <v>-3.61</v>
      </c>
      <c r="AS1825">
        <v>-4.67</v>
      </c>
      <c r="AT1825">
        <v>-12.75</v>
      </c>
      <c r="AU1825">
        <v>-13.83</v>
      </c>
      <c r="AV1825">
        <v>1</v>
      </c>
      <c r="AW1825">
        <v>2.65</v>
      </c>
      <c r="AX1825">
        <v>68.89</v>
      </c>
      <c r="AY1825" t="s">
        <v>120</v>
      </c>
      <c r="AZ1825" t="s">
        <v>120</v>
      </c>
      <c r="BA1825">
        <v>0.81</v>
      </c>
      <c r="BB1825" t="s">
        <v>125</v>
      </c>
      <c r="BF1825">
        <v>-0.14000000000000001</v>
      </c>
      <c r="BG1825">
        <v>-0.67</v>
      </c>
      <c r="BH1825">
        <v>-2.35</v>
      </c>
      <c r="BI1825">
        <v>0.19</v>
      </c>
      <c r="BJ1825">
        <v>20210826</v>
      </c>
      <c r="BK1825">
        <v>20150528</v>
      </c>
      <c r="BL1825">
        <v>4.47</v>
      </c>
      <c r="BM1825" t="s">
        <v>120</v>
      </c>
      <c r="BN1825" t="s">
        <v>120</v>
      </c>
      <c r="BO1825">
        <v>15.66</v>
      </c>
      <c r="BP1825">
        <v>10.4</v>
      </c>
      <c r="BQ1825">
        <v>6.15</v>
      </c>
      <c r="BR1825">
        <v>0.14000000000000001</v>
      </c>
      <c r="BS1825">
        <v>59.84</v>
      </c>
      <c r="BT1825">
        <v>13.53</v>
      </c>
      <c r="BU1825">
        <v>0.08</v>
      </c>
      <c r="BV1825">
        <v>0.16</v>
      </c>
      <c r="BW1825">
        <v>8.9700000000000006</v>
      </c>
      <c r="BX1825">
        <v>2.06</v>
      </c>
      <c r="BY1825">
        <v>5.28</v>
      </c>
      <c r="BZ1825">
        <v>4.6900000000000004</v>
      </c>
      <c r="CA1825">
        <v>0.1</v>
      </c>
      <c r="CB1825">
        <v>3.47</v>
      </c>
      <c r="CC1825">
        <v>12.53</v>
      </c>
      <c r="CD1825">
        <v>10.89</v>
      </c>
      <c r="CE1825">
        <v>0.45</v>
      </c>
      <c r="CF1825">
        <v>-0.02</v>
      </c>
      <c r="CG1825">
        <v>0.47</v>
      </c>
      <c r="CH1825">
        <v>0.47</v>
      </c>
      <c r="CI1825">
        <v>0.45</v>
      </c>
      <c r="CJ1825">
        <v>-0.12</v>
      </c>
      <c r="CK1825">
        <v>0.43</v>
      </c>
      <c r="CL1825">
        <v>-1.95</v>
      </c>
      <c r="CM1825">
        <v>-3.17</v>
      </c>
      <c r="CN1825">
        <v>-2.85</v>
      </c>
      <c r="CO1825">
        <v>59750</v>
      </c>
      <c r="CP1825">
        <v>5151</v>
      </c>
      <c r="CQ1825" t="s">
        <v>2586</v>
      </c>
      <c r="CR1825">
        <v>53.82</v>
      </c>
      <c r="CS1825">
        <v>88.69</v>
      </c>
      <c r="CT1825">
        <v>7.56</v>
      </c>
      <c r="CU1825">
        <v>-14.64</v>
      </c>
      <c r="CV1825">
        <v>3.71</v>
      </c>
      <c r="CW1825">
        <v>0</v>
      </c>
      <c r="CX1825" t="s">
        <v>411</v>
      </c>
      <c r="CY1825">
        <v>1.38</v>
      </c>
      <c r="CZ1825">
        <v>0</v>
      </c>
      <c r="DA1825">
        <v>0.78</v>
      </c>
      <c r="DB1825">
        <v>-0.44</v>
      </c>
      <c r="DC1825">
        <v>-0.71</v>
      </c>
      <c r="DD1825">
        <v>39.25</v>
      </c>
      <c r="DE1825" t="s">
        <v>9186</v>
      </c>
      <c r="DF1825">
        <v>13.07</v>
      </c>
      <c r="DG1825">
        <v>3.61</v>
      </c>
      <c r="DH1825">
        <v>3.57</v>
      </c>
      <c r="DI1825">
        <v>0.36</v>
      </c>
      <c r="DJ1825">
        <v>3633</v>
      </c>
      <c r="DK1825">
        <v>300465</v>
      </c>
      <c r="DL1825" t="s">
        <v>120</v>
      </c>
      <c r="DM1825" t="s">
        <v>120</v>
      </c>
      <c r="DN1825" t="s">
        <v>120</v>
      </c>
    </row>
    <row r="1826" spans="1:118">
      <c r="A1826" t="str">
        <f>"300466"</f>
        <v>300466</v>
      </c>
      <c r="B1826" t="s">
        <v>9187</v>
      </c>
      <c r="C1826">
        <v>0.34</v>
      </c>
      <c r="D1826">
        <v>-0.16</v>
      </c>
      <c r="E1826">
        <v>0.17</v>
      </c>
      <c r="F1826">
        <v>753</v>
      </c>
      <c r="G1826" t="s">
        <v>9188</v>
      </c>
      <c r="H1826">
        <v>3315.26</v>
      </c>
      <c r="I1826">
        <v>2.81</v>
      </c>
      <c r="J1826" t="s">
        <v>120</v>
      </c>
      <c r="K1826" t="s">
        <v>2744</v>
      </c>
      <c r="L1826">
        <v>1.34</v>
      </c>
      <c r="M1826">
        <v>5.87</v>
      </c>
      <c r="N1826">
        <v>0.75</v>
      </c>
      <c r="O1826">
        <v>2.74</v>
      </c>
      <c r="P1826">
        <v>6.01</v>
      </c>
      <c r="Q1826">
        <v>-0.17</v>
      </c>
      <c r="R1826">
        <v>5.84</v>
      </c>
      <c r="S1826">
        <v>5.86</v>
      </c>
      <c r="T1826">
        <v>56123</v>
      </c>
      <c r="U1826">
        <v>5.88</v>
      </c>
      <c r="V1826">
        <v>5.85</v>
      </c>
      <c r="W1826">
        <v>142.26</v>
      </c>
      <c r="X1826" t="s">
        <v>2717</v>
      </c>
      <c r="Y1826" t="s">
        <v>319</v>
      </c>
      <c r="Z1826">
        <v>2.91</v>
      </c>
      <c r="AA1826">
        <v>5.91</v>
      </c>
      <c r="AB1826">
        <v>26000</v>
      </c>
      <c r="AC1826">
        <v>30123</v>
      </c>
      <c r="AD1826">
        <v>0.86</v>
      </c>
      <c r="AE1826">
        <v>282</v>
      </c>
      <c r="AF1826">
        <v>269</v>
      </c>
      <c r="AG1826" t="s">
        <v>120</v>
      </c>
      <c r="AH1826">
        <v>0</v>
      </c>
      <c r="AI1826" t="s">
        <v>120</v>
      </c>
      <c r="AJ1826">
        <v>4.2</v>
      </c>
      <c r="AK1826" t="s">
        <v>9189</v>
      </c>
      <c r="AL1826">
        <v>2.2599999999999998</v>
      </c>
      <c r="AM1826">
        <v>1138</v>
      </c>
      <c r="AN1826">
        <v>49</v>
      </c>
      <c r="AO1826">
        <v>1.1999999999999999E-3</v>
      </c>
      <c r="AP1826">
        <v>1</v>
      </c>
      <c r="AQ1826">
        <v>-0.68</v>
      </c>
      <c r="AR1826">
        <v>-2.33</v>
      </c>
      <c r="AS1826">
        <v>-4.87</v>
      </c>
      <c r="AT1826">
        <v>4.82</v>
      </c>
      <c r="AU1826">
        <v>-1.84</v>
      </c>
      <c r="AV1826">
        <v>2</v>
      </c>
      <c r="AW1826">
        <v>2.35</v>
      </c>
      <c r="AX1826">
        <v>44.54</v>
      </c>
      <c r="AY1826">
        <v>1372.26</v>
      </c>
      <c r="AZ1826">
        <v>165.41</v>
      </c>
      <c r="BA1826">
        <v>0.88</v>
      </c>
      <c r="BB1826" t="s">
        <v>125</v>
      </c>
      <c r="BF1826">
        <v>0.98</v>
      </c>
      <c r="BG1826">
        <v>0.17</v>
      </c>
      <c r="BH1826">
        <v>-2.33</v>
      </c>
      <c r="BI1826">
        <v>0.51</v>
      </c>
      <c r="BJ1826">
        <v>20210814</v>
      </c>
      <c r="BK1826">
        <v>20150528</v>
      </c>
      <c r="BL1826">
        <v>5.36</v>
      </c>
      <c r="BM1826" t="s">
        <v>120</v>
      </c>
      <c r="BN1826" t="s">
        <v>120</v>
      </c>
      <c r="BO1826">
        <v>12.56</v>
      </c>
      <c r="BP1826">
        <v>5.87</v>
      </c>
      <c r="BQ1826">
        <v>8.66</v>
      </c>
      <c r="BR1826">
        <v>-0.15</v>
      </c>
      <c r="BS1826">
        <v>32.19</v>
      </c>
      <c r="BT1826">
        <v>7.86</v>
      </c>
      <c r="BU1826">
        <v>1.66</v>
      </c>
      <c r="BV1826">
        <v>0.8</v>
      </c>
      <c r="BW1826">
        <v>3.77</v>
      </c>
      <c r="BX1826">
        <v>0.61</v>
      </c>
      <c r="BY1826">
        <v>1.69</v>
      </c>
      <c r="BZ1826">
        <v>4.63</v>
      </c>
      <c r="CA1826" t="s">
        <v>120</v>
      </c>
      <c r="CB1826">
        <v>5.23</v>
      </c>
      <c r="CC1826">
        <v>2.96</v>
      </c>
      <c r="CD1826">
        <v>1.83</v>
      </c>
      <c r="CE1826">
        <v>0.17</v>
      </c>
      <c r="CF1826">
        <v>0.01</v>
      </c>
      <c r="CG1826">
        <v>0.17</v>
      </c>
      <c r="CH1826">
        <v>0.12</v>
      </c>
      <c r="CI1826">
        <v>0.11</v>
      </c>
      <c r="CJ1826">
        <v>0.02</v>
      </c>
      <c r="CK1826">
        <v>0.08</v>
      </c>
      <c r="CL1826">
        <v>-1.81</v>
      </c>
      <c r="CM1826">
        <v>-0.25</v>
      </c>
      <c r="CN1826">
        <v>-0.2</v>
      </c>
      <c r="CO1826">
        <v>26761</v>
      </c>
      <c r="CP1826">
        <v>8913</v>
      </c>
      <c r="CQ1826" t="s">
        <v>9190</v>
      </c>
      <c r="CR1826">
        <v>-60.12</v>
      </c>
      <c r="CS1826">
        <v>10.92</v>
      </c>
      <c r="CT1826">
        <v>3.63</v>
      </c>
      <c r="CU1826">
        <v>-124.37</v>
      </c>
      <c r="CV1826">
        <v>10.61</v>
      </c>
      <c r="CW1826">
        <v>0</v>
      </c>
      <c r="CX1826" t="s">
        <v>1016</v>
      </c>
      <c r="CY1826">
        <v>1.62</v>
      </c>
      <c r="CZ1826">
        <v>0</v>
      </c>
      <c r="DA1826">
        <v>0.98</v>
      </c>
      <c r="DB1826">
        <v>-0.34</v>
      </c>
      <c r="DC1826">
        <v>-0.05</v>
      </c>
      <c r="DD1826">
        <v>68.98</v>
      </c>
      <c r="DE1826" t="s">
        <v>3329</v>
      </c>
      <c r="DF1826">
        <v>38.14</v>
      </c>
      <c r="DG1826">
        <v>5.78</v>
      </c>
      <c r="DH1826">
        <v>3.73</v>
      </c>
      <c r="DI1826">
        <v>0.22</v>
      </c>
      <c r="DJ1826">
        <v>1046</v>
      </c>
      <c r="DK1826">
        <v>300466</v>
      </c>
      <c r="DL1826" t="s">
        <v>120</v>
      </c>
      <c r="DM1826" t="s">
        <v>120</v>
      </c>
      <c r="DN1826" t="s">
        <v>120</v>
      </c>
    </row>
    <row r="1827" spans="1:118">
      <c r="A1827" t="str">
        <f>"300467"</f>
        <v>300467</v>
      </c>
      <c r="B1827" t="s">
        <v>9191</v>
      </c>
      <c r="C1827">
        <v>1.48</v>
      </c>
      <c r="D1827">
        <v>0.14000000000000001</v>
      </c>
      <c r="E1827">
        <v>0.56000000000000005</v>
      </c>
      <c r="F1827">
        <v>668</v>
      </c>
      <c r="G1827" t="s">
        <v>7675</v>
      </c>
      <c r="H1827">
        <v>7432.63</v>
      </c>
      <c r="I1827">
        <v>4.99</v>
      </c>
      <c r="J1827" t="s">
        <v>120</v>
      </c>
      <c r="K1827" t="s">
        <v>9192</v>
      </c>
      <c r="L1827">
        <v>3.48</v>
      </c>
      <c r="M1827">
        <v>14.39</v>
      </c>
      <c r="N1827">
        <v>0.63</v>
      </c>
      <c r="O1827">
        <v>4.0199999999999996</v>
      </c>
      <c r="P1827">
        <v>14.75</v>
      </c>
      <c r="Q1827">
        <v>-0.21</v>
      </c>
      <c r="R1827">
        <v>14.15</v>
      </c>
      <c r="S1827">
        <v>14.26</v>
      </c>
      <c r="T1827">
        <v>51489</v>
      </c>
      <c r="U1827">
        <v>14.39</v>
      </c>
      <c r="V1827">
        <v>14.18</v>
      </c>
      <c r="W1827">
        <v>45.78</v>
      </c>
      <c r="X1827" t="s">
        <v>1531</v>
      </c>
      <c r="Y1827" t="s">
        <v>578</v>
      </c>
      <c r="Z1827">
        <v>4.2300000000000004</v>
      </c>
      <c r="AA1827">
        <v>14.44</v>
      </c>
      <c r="AB1827">
        <v>25827</v>
      </c>
      <c r="AC1827">
        <v>25662</v>
      </c>
      <c r="AD1827">
        <v>1.01</v>
      </c>
      <c r="AE1827">
        <v>164</v>
      </c>
      <c r="AF1827">
        <v>14</v>
      </c>
      <c r="AG1827" t="s">
        <v>120</v>
      </c>
      <c r="AH1827">
        <v>0</v>
      </c>
      <c r="AI1827" t="s">
        <v>120</v>
      </c>
      <c r="AJ1827">
        <v>1.48</v>
      </c>
      <c r="AK1827" t="s">
        <v>6110</v>
      </c>
      <c r="AL1827">
        <v>3.39</v>
      </c>
      <c r="AM1827">
        <v>1909</v>
      </c>
      <c r="AN1827">
        <v>27</v>
      </c>
      <c r="AO1827">
        <v>1.8E-3</v>
      </c>
      <c r="AP1827">
        <v>2</v>
      </c>
      <c r="AQ1827">
        <v>0.93</v>
      </c>
      <c r="AR1827">
        <v>-1.03</v>
      </c>
      <c r="AS1827">
        <v>12.68</v>
      </c>
      <c r="AT1827">
        <v>-0.42</v>
      </c>
      <c r="AU1827">
        <v>4.3499999999999996</v>
      </c>
      <c r="AV1827">
        <v>1</v>
      </c>
      <c r="AW1827">
        <v>3.7</v>
      </c>
      <c r="AX1827">
        <v>68.41</v>
      </c>
      <c r="AY1827">
        <v>94.77</v>
      </c>
      <c r="AZ1827">
        <v>85.81</v>
      </c>
      <c r="BA1827">
        <v>0.98</v>
      </c>
      <c r="BB1827" t="s">
        <v>143</v>
      </c>
      <c r="BF1827">
        <v>1.8</v>
      </c>
      <c r="BG1827">
        <v>0.91</v>
      </c>
      <c r="BH1827">
        <v>-2.44</v>
      </c>
      <c r="BI1827">
        <v>1.7</v>
      </c>
      <c r="BJ1827">
        <v>20210826</v>
      </c>
      <c r="BK1827">
        <v>20150527</v>
      </c>
      <c r="BL1827">
        <v>2.0299999999999998</v>
      </c>
      <c r="BM1827" t="s">
        <v>120</v>
      </c>
      <c r="BN1827" t="s">
        <v>120</v>
      </c>
      <c r="BO1827">
        <v>11.82</v>
      </c>
      <c r="BP1827">
        <v>14.38</v>
      </c>
      <c r="BQ1827">
        <v>7.85</v>
      </c>
      <c r="BR1827">
        <v>0.94</v>
      </c>
      <c r="BS1827">
        <v>25.67</v>
      </c>
      <c r="BT1827">
        <v>7.79</v>
      </c>
      <c r="BU1827">
        <v>0.25</v>
      </c>
      <c r="BV1827">
        <v>0.03</v>
      </c>
      <c r="BW1827">
        <v>2.21</v>
      </c>
      <c r="BX1827">
        <v>3.56</v>
      </c>
      <c r="BY1827">
        <v>0</v>
      </c>
      <c r="BZ1827">
        <v>0.24</v>
      </c>
      <c r="CA1827" t="s">
        <v>120</v>
      </c>
      <c r="CB1827">
        <v>23.16</v>
      </c>
      <c r="CC1827">
        <v>2.57</v>
      </c>
      <c r="CD1827">
        <v>0.68</v>
      </c>
      <c r="CE1827">
        <v>0.79</v>
      </c>
      <c r="CF1827">
        <v>0.02</v>
      </c>
      <c r="CG1827">
        <v>0.91</v>
      </c>
      <c r="CH1827">
        <v>0.9</v>
      </c>
      <c r="CI1827">
        <v>0.32</v>
      </c>
      <c r="CJ1827">
        <v>0.21</v>
      </c>
      <c r="CK1827">
        <v>0.17</v>
      </c>
      <c r="CL1827">
        <v>-17.579999999999998</v>
      </c>
      <c r="CM1827">
        <v>0.8</v>
      </c>
      <c r="CN1827">
        <v>1.1499999999999999</v>
      </c>
      <c r="CO1827">
        <v>21068</v>
      </c>
      <c r="CP1827">
        <v>6598</v>
      </c>
      <c r="CQ1827" t="s">
        <v>9193</v>
      </c>
      <c r="CR1827">
        <v>-9.0500000000000007</v>
      </c>
      <c r="CS1827">
        <v>4.88</v>
      </c>
      <c r="CT1827">
        <v>3.72</v>
      </c>
      <c r="CU1827">
        <v>36.78</v>
      </c>
      <c r="CV1827">
        <v>11.4</v>
      </c>
      <c r="CW1827">
        <v>0</v>
      </c>
      <c r="CX1827" t="s">
        <v>1091</v>
      </c>
      <c r="CY1827">
        <v>3.86</v>
      </c>
      <c r="CZ1827">
        <v>0</v>
      </c>
      <c r="DA1827">
        <v>11.4</v>
      </c>
      <c r="DB1827">
        <v>-8.65</v>
      </c>
      <c r="DC1827">
        <v>0.39</v>
      </c>
      <c r="DD1827">
        <v>66.41</v>
      </c>
      <c r="DE1827" t="s">
        <v>6213</v>
      </c>
      <c r="DF1827">
        <v>73.44</v>
      </c>
      <c r="DG1827">
        <v>30.64</v>
      </c>
      <c r="DH1827">
        <v>12.45</v>
      </c>
      <c r="DI1827">
        <v>0.54</v>
      </c>
      <c r="DJ1827">
        <v>361</v>
      </c>
      <c r="DK1827">
        <v>300467</v>
      </c>
      <c r="DL1827" t="s">
        <v>120</v>
      </c>
      <c r="DM1827" t="s">
        <v>120</v>
      </c>
      <c r="DN1827" t="s">
        <v>120</v>
      </c>
    </row>
    <row r="1828" spans="1:118">
      <c r="A1828" t="str">
        <f>"300468"</f>
        <v>300468</v>
      </c>
      <c r="B1828" t="s">
        <v>9194</v>
      </c>
      <c r="C1828">
        <v>3.04</v>
      </c>
      <c r="D1828">
        <v>-0.04</v>
      </c>
      <c r="E1828">
        <v>0.55000000000000004</v>
      </c>
      <c r="F1828">
        <v>4131</v>
      </c>
      <c r="G1828" t="s">
        <v>5907</v>
      </c>
      <c r="H1828">
        <v>37720.58</v>
      </c>
      <c r="I1828">
        <v>87.49</v>
      </c>
      <c r="J1828" t="s">
        <v>120</v>
      </c>
      <c r="K1828" t="s">
        <v>9195</v>
      </c>
      <c r="L1828">
        <v>7.21</v>
      </c>
      <c r="M1828">
        <v>18.64</v>
      </c>
      <c r="N1828">
        <v>1.34</v>
      </c>
      <c r="O1828">
        <v>6.14</v>
      </c>
      <c r="P1828">
        <v>19.2</v>
      </c>
      <c r="Q1828">
        <v>-1.99</v>
      </c>
      <c r="R1828">
        <v>17.73</v>
      </c>
      <c r="S1828">
        <v>18.190000000000001</v>
      </c>
      <c r="T1828">
        <v>203643</v>
      </c>
      <c r="U1828">
        <v>18.64</v>
      </c>
      <c r="V1828">
        <v>18.09</v>
      </c>
      <c r="W1828">
        <v>90.04</v>
      </c>
      <c r="X1828" t="s">
        <v>141</v>
      </c>
      <c r="Y1828" t="s">
        <v>123</v>
      </c>
      <c r="Z1828">
        <v>8.1300000000000008</v>
      </c>
      <c r="AA1828">
        <v>18.52</v>
      </c>
      <c r="AB1828">
        <v>95989</v>
      </c>
      <c r="AC1828">
        <v>107654</v>
      </c>
      <c r="AD1828">
        <v>0.89</v>
      </c>
      <c r="AE1828">
        <v>162</v>
      </c>
      <c r="AF1828">
        <v>135</v>
      </c>
      <c r="AG1828" t="s">
        <v>120</v>
      </c>
      <c r="AH1828">
        <v>0.02</v>
      </c>
      <c r="AI1828" t="s">
        <v>120</v>
      </c>
      <c r="AJ1828">
        <v>2.82</v>
      </c>
      <c r="AK1828" t="s">
        <v>9196</v>
      </c>
      <c r="AL1828">
        <v>4.95</v>
      </c>
      <c r="AM1828">
        <v>3515</v>
      </c>
      <c r="AN1828">
        <v>58</v>
      </c>
      <c r="AO1828">
        <v>2.0999999999999999E-3</v>
      </c>
      <c r="AP1828">
        <v>1</v>
      </c>
      <c r="AQ1828">
        <v>-0.28000000000000003</v>
      </c>
      <c r="AR1828">
        <v>4.24</v>
      </c>
      <c r="AS1828">
        <v>10.69</v>
      </c>
      <c r="AT1828">
        <v>2.81</v>
      </c>
      <c r="AU1828">
        <v>-8.2200000000000006</v>
      </c>
      <c r="AV1828">
        <v>1</v>
      </c>
      <c r="AW1828">
        <v>10.47</v>
      </c>
      <c r="AX1828">
        <v>68.66</v>
      </c>
      <c r="AY1828">
        <v>65.36</v>
      </c>
      <c r="AZ1828">
        <v>68.739999999999995</v>
      </c>
      <c r="BA1828">
        <v>0.84</v>
      </c>
      <c r="BB1828" t="s">
        <v>184</v>
      </c>
      <c r="BF1828">
        <v>2.39</v>
      </c>
      <c r="BG1828">
        <v>2.4700000000000002</v>
      </c>
      <c r="BH1828">
        <v>-2.92</v>
      </c>
      <c r="BI1828">
        <v>5.13</v>
      </c>
      <c r="BJ1828">
        <v>20210811</v>
      </c>
      <c r="BK1828">
        <v>20150527</v>
      </c>
      <c r="BL1828">
        <v>2.83</v>
      </c>
      <c r="BM1828" t="s">
        <v>120</v>
      </c>
      <c r="BN1828" t="s">
        <v>120</v>
      </c>
      <c r="BO1828">
        <v>12.5</v>
      </c>
      <c r="BP1828">
        <v>18.63</v>
      </c>
      <c r="BQ1828">
        <v>11.69</v>
      </c>
      <c r="BR1828" t="s">
        <v>120</v>
      </c>
      <c r="BS1828">
        <v>6.48</v>
      </c>
      <c r="BT1828">
        <v>7.55</v>
      </c>
      <c r="BU1828">
        <v>3.13</v>
      </c>
      <c r="BV1828">
        <v>0.3</v>
      </c>
      <c r="BW1828">
        <v>0.62</v>
      </c>
      <c r="BX1828">
        <v>3.46</v>
      </c>
      <c r="BY1828">
        <v>0.76</v>
      </c>
      <c r="BZ1828">
        <v>3.05</v>
      </c>
      <c r="CA1828" t="s">
        <v>120</v>
      </c>
      <c r="CB1828">
        <v>4.4000000000000004</v>
      </c>
      <c r="CC1828">
        <v>3.03</v>
      </c>
      <c r="CD1828">
        <v>1.74</v>
      </c>
      <c r="CE1828">
        <v>0.3</v>
      </c>
      <c r="CF1828">
        <v>-0.02</v>
      </c>
      <c r="CG1828">
        <v>0.31</v>
      </c>
      <c r="CH1828">
        <v>0.28999999999999998</v>
      </c>
      <c r="CI1828">
        <v>0.28999999999999998</v>
      </c>
      <c r="CJ1828">
        <v>0.55000000000000004</v>
      </c>
      <c r="CK1828">
        <v>0.27</v>
      </c>
      <c r="CL1828">
        <v>4.05</v>
      </c>
      <c r="CM1828">
        <v>-0.87</v>
      </c>
      <c r="CN1828">
        <v>-1.31</v>
      </c>
      <c r="CO1828">
        <v>41727</v>
      </c>
      <c r="CP1828">
        <v>4661</v>
      </c>
      <c r="CQ1828" t="s">
        <v>5625</v>
      </c>
      <c r="CR1828">
        <v>15.12</v>
      </c>
      <c r="CS1828">
        <v>20.059999999999999</v>
      </c>
      <c r="CT1828">
        <v>4.5199999999999996</v>
      </c>
      <c r="CU1828">
        <v>-60.74</v>
      </c>
      <c r="CV1828">
        <v>17.45</v>
      </c>
      <c r="CW1828">
        <v>0.55000000000000004</v>
      </c>
      <c r="CX1828" t="s">
        <v>411</v>
      </c>
      <c r="CY1828">
        <v>4.13</v>
      </c>
      <c r="CZ1828">
        <v>0</v>
      </c>
      <c r="DA1828">
        <v>1.55</v>
      </c>
      <c r="DB1828">
        <v>1.43</v>
      </c>
      <c r="DC1828">
        <v>-0.31</v>
      </c>
      <c r="DD1828">
        <v>93.52</v>
      </c>
      <c r="DE1828" t="s">
        <v>5258</v>
      </c>
      <c r="DF1828">
        <v>42.58</v>
      </c>
      <c r="DG1828">
        <v>9.76</v>
      </c>
      <c r="DH1828">
        <v>9.69</v>
      </c>
      <c r="DI1828">
        <v>0.42</v>
      </c>
      <c r="DJ1828">
        <v>2255</v>
      </c>
      <c r="DK1828">
        <v>300468</v>
      </c>
      <c r="DL1828" t="s">
        <v>120</v>
      </c>
      <c r="DM1828" t="s">
        <v>120</v>
      </c>
      <c r="DN1828" t="s">
        <v>120</v>
      </c>
    </row>
    <row r="1829" spans="1:118">
      <c r="A1829" t="str">
        <f>"300469"</f>
        <v>300469</v>
      </c>
      <c r="B1829" t="s">
        <v>9197</v>
      </c>
      <c r="C1829">
        <v>1.1399999999999999</v>
      </c>
      <c r="D1829">
        <v>-0.08</v>
      </c>
      <c r="E1829">
        <v>-0.52</v>
      </c>
      <c r="F1829">
        <v>875</v>
      </c>
      <c r="G1829" t="s">
        <v>1747</v>
      </c>
      <c r="H1829">
        <v>4689.33</v>
      </c>
      <c r="I1829">
        <v>8.19</v>
      </c>
      <c r="J1829" t="s">
        <v>120</v>
      </c>
      <c r="K1829" t="s">
        <v>9198</v>
      </c>
      <c r="L1829">
        <v>2.21</v>
      </c>
      <c r="M1829">
        <v>11.56</v>
      </c>
      <c r="N1829">
        <v>1.49</v>
      </c>
      <c r="O1829">
        <v>2.71</v>
      </c>
      <c r="P1829">
        <v>11.74</v>
      </c>
      <c r="Q1829">
        <v>-1.31</v>
      </c>
      <c r="R1829">
        <v>11.28</v>
      </c>
      <c r="S1829">
        <v>11.37</v>
      </c>
      <c r="T1829">
        <v>40796</v>
      </c>
      <c r="U1829">
        <v>11.57</v>
      </c>
      <c r="V1829">
        <v>11.43</v>
      </c>
      <c r="W1829" t="s">
        <v>120</v>
      </c>
      <c r="X1829" t="s">
        <v>141</v>
      </c>
      <c r="Y1829" t="s">
        <v>1510</v>
      </c>
      <c r="Z1829">
        <v>4.0199999999999996</v>
      </c>
      <c r="AA1829">
        <v>11.49</v>
      </c>
      <c r="AB1829">
        <v>18820</v>
      </c>
      <c r="AC1829">
        <v>21976</v>
      </c>
      <c r="AD1829">
        <v>0.86</v>
      </c>
      <c r="AE1829">
        <v>329</v>
      </c>
      <c r="AF1829">
        <v>694</v>
      </c>
      <c r="AG1829" t="s">
        <v>120</v>
      </c>
      <c r="AH1829">
        <v>0.01</v>
      </c>
      <c r="AI1829" t="s">
        <v>120</v>
      </c>
      <c r="AJ1829">
        <v>1.85</v>
      </c>
      <c r="AK1829" t="s">
        <v>9199</v>
      </c>
      <c r="AL1829">
        <v>3.05</v>
      </c>
      <c r="AM1829">
        <v>1593</v>
      </c>
      <c r="AN1829">
        <v>26</v>
      </c>
      <c r="AO1829">
        <v>1.4E-3</v>
      </c>
      <c r="AP1829">
        <v>1</v>
      </c>
      <c r="AQ1829">
        <v>0</v>
      </c>
      <c r="AR1829">
        <v>2.0299999999999998</v>
      </c>
      <c r="AS1829">
        <v>-0.95</v>
      </c>
      <c r="AT1829">
        <v>-6.77</v>
      </c>
      <c r="AU1829">
        <v>3.77</v>
      </c>
      <c r="AV1829">
        <v>1</v>
      </c>
      <c r="AW1829">
        <v>2.96</v>
      </c>
      <c r="AX1829">
        <v>67.16</v>
      </c>
      <c r="AY1829" t="s">
        <v>120</v>
      </c>
      <c r="AZ1829" t="s">
        <v>120</v>
      </c>
      <c r="BA1829">
        <v>0.74</v>
      </c>
      <c r="BB1829" t="s">
        <v>143</v>
      </c>
      <c r="BF1829">
        <v>0.56000000000000005</v>
      </c>
      <c r="BG1829">
        <v>1.67</v>
      </c>
      <c r="BH1829">
        <v>-1.53</v>
      </c>
      <c r="BI1829">
        <v>2.48</v>
      </c>
      <c r="BJ1829">
        <v>20210827</v>
      </c>
      <c r="BK1829">
        <v>20150611</v>
      </c>
      <c r="BL1829">
        <v>2.0499999999999998</v>
      </c>
      <c r="BM1829" t="s">
        <v>120</v>
      </c>
      <c r="BN1829" t="s">
        <v>120</v>
      </c>
      <c r="BO1829">
        <v>9.5399999999999991</v>
      </c>
      <c r="BP1829">
        <v>11.56</v>
      </c>
      <c r="BQ1829">
        <v>2.2799999999999998</v>
      </c>
      <c r="BR1829">
        <v>0.66</v>
      </c>
      <c r="BS1829">
        <v>69.22</v>
      </c>
      <c r="BT1829">
        <v>5.51</v>
      </c>
      <c r="BU1829">
        <v>7.0000000000000007E-2</v>
      </c>
      <c r="BV1829">
        <v>0.31</v>
      </c>
      <c r="BW1829">
        <v>5.53</v>
      </c>
      <c r="BX1829">
        <v>0.28000000000000003</v>
      </c>
      <c r="BY1829">
        <v>1.03</v>
      </c>
      <c r="BZ1829">
        <v>3.2</v>
      </c>
      <c r="CA1829" t="s">
        <v>120</v>
      </c>
      <c r="CB1829">
        <v>0.51</v>
      </c>
      <c r="CC1829">
        <v>1.68</v>
      </c>
      <c r="CD1829">
        <v>1.1299999999999999</v>
      </c>
      <c r="CE1829">
        <v>-0.03</v>
      </c>
      <c r="CF1829">
        <v>0</v>
      </c>
      <c r="CG1829">
        <v>-0.04</v>
      </c>
      <c r="CH1829">
        <v>-0.03</v>
      </c>
      <c r="CI1829">
        <v>-0.09</v>
      </c>
      <c r="CJ1829">
        <v>0.13</v>
      </c>
      <c r="CK1829">
        <v>-0.43</v>
      </c>
      <c r="CL1829">
        <v>-0.28999999999999998</v>
      </c>
      <c r="CM1829">
        <v>-0.57999999999999996</v>
      </c>
      <c r="CN1829">
        <v>-0.79</v>
      </c>
      <c r="CO1829">
        <v>16933</v>
      </c>
      <c r="CP1829">
        <v>8136</v>
      </c>
      <c r="CQ1829" t="s">
        <v>7480</v>
      </c>
      <c r="CR1829">
        <v>7.57</v>
      </c>
      <c r="CS1829">
        <v>-27.51</v>
      </c>
      <c r="CT1829">
        <v>10.4</v>
      </c>
      <c r="CU1829">
        <v>-40.72</v>
      </c>
      <c r="CV1829">
        <v>14.12</v>
      </c>
      <c r="CW1829">
        <v>0</v>
      </c>
      <c r="CX1829" t="s">
        <v>161</v>
      </c>
      <c r="CY1829">
        <v>1.1100000000000001</v>
      </c>
      <c r="CZ1829">
        <v>0</v>
      </c>
      <c r="DA1829">
        <v>0.25</v>
      </c>
      <c r="DB1829">
        <v>-0.14000000000000001</v>
      </c>
      <c r="DC1829">
        <v>-0.28000000000000003</v>
      </c>
      <c r="DD1829">
        <v>23.9</v>
      </c>
      <c r="DE1829" t="s">
        <v>7720</v>
      </c>
      <c r="DF1829">
        <v>32.89</v>
      </c>
      <c r="DG1829">
        <v>-1.74</v>
      </c>
      <c r="DH1829">
        <v>-5.44</v>
      </c>
      <c r="DI1829">
        <v>0.23</v>
      </c>
      <c r="DJ1829">
        <v>1010</v>
      </c>
      <c r="DK1829">
        <v>300469</v>
      </c>
      <c r="DL1829" t="s">
        <v>120</v>
      </c>
      <c r="DM1829" t="s">
        <v>120</v>
      </c>
      <c r="DN1829" t="s">
        <v>120</v>
      </c>
    </row>
    <row r="1830" spans="1:118">
      <c r="A1830" t="str">
        <f>"300470"</f>
        <v>300470</v>
      </c>
      <c r="B1830" t="s">
        <v>9200</v>
      </c>
      <c r="C1830">
        <v>-2.65</v>
      </c>
      <c r="D1830">
        <v>0.02</v>
      </c>
      <c r="E1830">
        <v>-0.4</v>
      </c>
      <c r="F1830">
        <v>132</v>
      </c>
      <c r="G1830" t="s">
        <v>9201</v>
      </c>
      <c r="H1830">
        <v>6196.01</v>
      </c>
      <c r="I1830">
        <v>25.24</v>
      </c>
      <c r="J1830" t="s">
        <v>120</v>
      </c>
      <c r="K1830" t="s">
        <v>4023</v>
      </c>
      <c r="L1830">
        <v>0.76</v>
      </c>
      <c r="M1830">
        <v>41.11</v>
      </c>
      <c r="N1830">
        <v>0.89</v>
      </c>
      <c r="O1830">
        <v>0.38</v>
      </c>
      <c r="P1830">
        <v>42.39</v>
      </c>
      <c r="Q1830">
        <v>-2.77</v>
      </c>
      <c r="R1830">
        <v>41.06</v>
      </c>
      <c r="S1830">
        <v>42.06</v>
      </c>
      <c r="T1830">
        <v>14904</v>
      </c>
      <c r="U1830">
        <v>41.11</v>
      </c>
      <c r="V1830">
        <v>42.23</v>
      </c>
      <c r="W1830">
        <v>30.94</v>
      </c>
      <c r="X1830" t="s">
        <v>959</v>
      </c>
      <c r="Y1830" t="s">
        <v>578</v>
      </c>
      <c r="Z1830">
        <v>3.15</v>
      </c>
      <c r="AA1830">
        <v>41.57</v>
      </c>
      <c r="AB1830">
        <v>9095</v>
      </c>
      <c r="AC1830">
        <v>5809</v>
      </c>
      <c r="AD1830">
        <v>1.57</v>
      </c>
      <c r="AE1830">
        <v>28</v>
      </c>
      <c r="AF1830">
        <v>49</v>
      </c>
      <c r="AG1830" t="s">
        <v>120</v>
      </c>
      <c r="AH1830">
        <v>0</v>
      </c>
      <c r="AI1830" t="s">
        <v>120</v>
      </c>
      <c r="AJ1830">
        <v>1.95</v>
      </c>
      <c r="AK1830" t="s">
        <v>9202</v>
      </c>
      <c r="AL1830">
        <v>-0.74</v>
      </c>
      <c r="AM1830">
        <v>1674</v>
      </c>
      <c r="AN1830">
        <v>9</v>
      </c>
      <c r="AO1830">
        <v>5.0000000000000001E-4</v>
      </c>
      <c r="AP1830">
        <v>-1</v>
      </c>
      <c r="AQ1830">
        <v>1.39</v>
      </c>
      <c r="AR1830">
        <v>-2.34</v>
      </c>
      <c r="AS1830">
        <v>2.2599999999999998</v>
      </c>
      <c r="AT1830">
        <v>2.67</v>
      </c>
      <c r="AU1830">
        <v>-13.27</v>
      </c>
      <c r="AV1830">
        <v>0</v>
      </c>
      <c r="AW1830">
        <v>1</v>
      </c>
      <c r="AX1830">
        <v>71.7</v>
      </c>
      <c r="AY1830">
        <v>34.68</v>
      </c>
      <c r="AZ1830">
        <v>41.68</v>
      </c>
      <c r="BA1830">
        <v>0.34</v>
      </c>
      <c r="BB1830" t="s">
        <v>143</v>
      </c>
      <c r="BF1830">
        <v>-1.55</v>
      </c>
      <c r="BG1830">
        <v>-2.2599999999999998</v>
      </c>
      <c r="BH1830">
        <v>-3.02</v>
      </c>
      <c r="BI1830">
        <v>0.12</v>
      </c>
      <c r="BJ1830">
        <v>20210827</v>
      </c>
      <c r="BK1830">
        <v>20150612</v>
      </c>
      <c r="BL1830">
        <v>2.08</v>
      </c>
      <c r="BM1830" t="s">
        <v>120</v>
      </c>
      <c r="BN1830" t="s">
        <v>120</v>
      </c>
      <c r="BO1830">
        <v>24.51</v>
      </c>
      <c r="BP1830">
        <v>41.1</v>
      </c>
      <c r="BQ1830">
        <v>21.02</v>
      </c>
      <c r="BR1830">
        <v>0.03</v>
      </c>
      <c r="BS1830">
        <v>14.08</v>
      </c>
      <c r="BT1830">
        <v>18.36</v>
      </c>
      <c r="BU1830">
        <v>2.04</v>
      </c>
      <c r="BV1830">
        <v>1.56</v>
      </c>
      <c r="BW1830">
        <v>3.1</v>
      </c>
      <c r="BX1830">
        <v>1.8</v>
      </c>
      <c r="BY1830">
        <v>2.68</v>
      </c>
      <c r="BZ1830">
        <v>5.82</v>
      </c>
      <c r="CA1830" t="s">
        <v>120</v>
      </c>
      <c r="CB1830">
        <v>8.4600000000000009</v>
      </c>
      <c r="CC1830">
        <v>5.69</v>
      </c>
      <c r="CD1830">
        <v>2.85</v>
      </c>
      <c r="CE1830">
        <v>1.6</v>
      </c>
      <c r="CF1830">
        <v>0.06</v>
      </c>
      <c r="CG1830">
        <v>1.6</v>
      </c>
      <c r="CH1830">
        <v>1.39</v>
      </c>
      <c r="CI1830">
        <v>1.38</v>
      </c>
      <c r="CJ1830">
        <v>-1.1200000000000001</v>
      </c>
      <c r="CK1830">
        <v>1.28</v>
      </c>
      <c r="CL1830">
        <v>9.66</v>
      </c>
      <c r="CM1830">
        <v>0.95</v>
      </c>
      <c r="CN1830">
        <v>-5.71</v>
      </c>
      <c r="CO1830">
        <v>8825</v>
      </c>
      <c r="CP1830">
        <v>16914</v>
      </c>
      <c r="CQ1830" t="s">
        <v>9203</v>
      </c>
      <c r="CR1830">
        <v>44.44</v>
      </c>
      <c r="CS1830">
        <v>33.380000000000003</v>
      </c>
      <c r="CT1830">
        <v>4.07</v>
      </c>
      <c r="CU1830">
        <v>89.74</v>
      </c>
      <c r="CV1830">
        <v>15.05</v>
      </c>
      <c r="CW1830">
        <v>0.47</v>
      </c>
      <c r="CX1830" t="s">
        <v>527</v>
      </c>
      <c r="CY1830">
        <v>10.1</v>
      </c>
      <c r="CZ1830">
        <v>10.1</v>
      </c>
      <c r="DA1830">
        <v>4.07</v>
      </c>
      <c r="DB1830">
        <v>4.6399999999999997</v>
      </c>
      <c r="DC1830">
        <v>0.46</v>
      </c>
      <c r="DD1830">
        <v>85.78</v>
      </c>
      <c r="DE1830" t="s">
        <v>6987</v>
      </c>
      <c r="DF1830">
        <v>49.87</v>
      </c>
      <c r="DG1830">
        <v>28.19</v>
      </c>
      <c r="DH1830">
        <v>24.32</v>
      </c>
      <c r="DI1830">
        <v>0.24</v>
      </c>
      <c r="DJ1830">
        <v>1080</v>
      </c>
      <c r="DK1830">
        <v>300470</v>
      </c>
      <c r="DL1830" t="s">
        <v>120</v>
      </c>
      <c r="DM1830" t="s">
        <v>120</v>
      </c>
      <c r="DN1830" t="s">
        <v>120</v>
      </c>
    </row>
    <row r="1831" spans="1:118">
      <c r="A1831" t="str">
        <f>"300471"</f>
        <v>300471</v>
      </c>
      <c r="B1831" t="s">
        <v>9204</v>
      </c>
      <c r="C1831">
        <v>-5.0599999999999996</v>
      </c>
      <c r="D1831">
        <v>-0.12</v>
      </c>
      <c r="E1831">
        <v>0.12</v>
      </c>
      <c r="F1831">
        <v>2866</v>
      </c>
      <c r="G1831" t="s">
        <v>7893</v>
      </c>
      <c r="H1831">
        <v>65123.58</v>
      </c>
      <c r="I1831">
        <v>219.3</v>
      </c>
      <c r="J1831" t="s">
        <v>120</v>
      </c>
      <c r="K1831" t="s">
        <v>9205</v>
      </c>
      <c r="L1831">
        <v>7.92</v>
      </c>
      <c r="M1831">
        <v>23.08</v>
      </c>
      <c r="N1831">
        <v>0.79</v>
      </c>
      <c r="O1831">
        <v>4.7699999999999996</v>
      </c>
      <c r="P1831">
        <v>25.47</v>
      </c>
      <c r="Q1831">
        <v>-5.27</v>
      </c>
      <c r="R1831">
        <v>23.03</v>
      </c>
      <c r="S1831">
        <v>24.34</v>
      </c>
      <c r="T1831">
        <v>267190</v>
      </c>
      <c r="U1831">
        <v>23.08</v>
      </c>
      <c r="V1831">
        <v>24.31</v>
      </c>
      <c r="W1831">
        <v>252.38</v>
      </c>
      <c r="X1831" t="s">
        <v>675</v>
      </c>
      <c r="Y1831" t="s">
        <v>578</v>
      </c>
      <c r="Z1831">
        <v>10.039999999999999</v>
      </c>
      <c r="AA1831">
        <v>24.37</v>
      </c>
      <c r="AB1831">
        <v>142349</v>
      </c>
      <c r="AC1831">
        <v>124841</v>
      </c>
      <c r="AD1831">
        <v>1.1399999999999999</v>
      </c>
      <c r="AE1831">
        <v>22</v>
      </c>
      <c r="AF1831">
        <v>64</v>
      </c>
      <c r="AG1831" t="s">
        <v>120</v>
      </c>
      <c r="AH1831">
        <v>0.05</v>
      </c>
      <c r="AI1831" t="s">
        <v>120</v>
      </c>
      <c r="AJ1831">
        <v>3.37</v>
      </c>
      <c r="AK1831" t="s">
        <v>7404</v>
      </c>
      <c r="AL1831">
        <v>-3.15</v>
      </c>
      <c r="AM1831">
        <v>4075</v>
      </c>
      <c r="AN1831">
        <v>66</v>
      </c>
      <c r="AO1831">
        <v>1.9E-3</v>
      </c>
      <c r="AP1831">
        <v>-1</v>
      </c>
      <c r="AQ1831">
        <v>1.1200000000000001</v>
      </c>
      <c r="AR1831">
        <v>-2.09</v>
      </c>
      <c r="AS1831">
        <v>-17.690000000000001</v>
      </c>
      <c r="AT1831">
        <v>78.09</v>
      </c>
      <c r="AU1831">
        <v>112.13</v>
      </c>
      <c r="AV1831">
        <v>4</v>
      </c>
      <c r="AW1831">
        <v>14.42</v>
      </c>
      <c r="AX1831">
        <v>50.82</v>
      </c>
      <c r="AY1831" t="s">
        <v>120</v>
      </c>
      <c r="AZ1831" t="s">
        <v>120</v>
      </c>
      <c r="BA1831">
        <v>0.56000000000000005</v>
      </c>
      <c r="BB1831" t="s">
        <v>143</v>
      </c>
      <c r="BF1831">
        <v>0.26</v>
      </c>
      <c r="BG1831">
        <v>-5.18</v>
      </c>
      <c r="BH1831">
        <v>-9.3800000000000008</v>
      </c>
      <c r="BI1831">
        <v>0.22</v>
      </c>
      <c r="BJ1831">
        <v>20210821</v>
      </c>
      <c r="BK1831">
        <v>20150611</v>
      </c>
      <c r="BL1831">
        <v>3.65</v>
      </c>
      <c r="BM1831" t="s">
        <v>120</v>
      </c>
      <c r="BN1831" t="s">
        <v>120</v>
      </c>
      <c r="BO1831">
        <v>19.71</v>
      </c>
      <c r="BP1831">
        <v>23.07</v>
      </c>
      <c r="BQ1831">
        <v>10.66</v>
      </c>
      <c r="BR1831">
        <v>0.35</v>
      </c>
      <c r="BS1831">
        <v>44.12</v>
      </c>
      <c r="BT1831">
        <v>8.7799999999999994</v>
      </c>
      <c r="BU1831">
        <v>7.37</v>
      </c>
      <c r="BV1831">
        <v>0.28000000000000003</v>
      </c>
      <c r="BW1831">
        <v>7.74</v>
      </c>
      <c r="BX1831">
        <v>0.81</v>
      </c>
      <c r="BY1831">
        <v>4.8899999999999997</v>
      </c>
      <c r="BZ1831">
        <v>1.98</v>
      </c>
      <c r="CA1831">
        <v>0.1</v>
      </c>
      <c r="CB1831">
        <v>6.73</v>
      </c>
      <c r="CC1831">
        <v>3.57</v>
      </c>
      <c r="CD1831">
        <v>2.5499999999999998</v>
      </c>
      <c r="CE1831">
        <v>0.24</v>
      </c>
      <c r="CF1831">
        <v>0.01</v>
      </c>
      <c r="CG1831">
        <v>0.24</v>
      </c>
      <c r="CH1831">
        <v>0.21</v>
      </c>
      <c r="CI1831">
        <v>0.17</v>
      </c>
      <c r="CJ1831">
        <v>-1.23</v>
      </c>
      <c r="CK1831">
        <v>0.11</v>
      </c>
      <c r="CL1831">
        <v>-0.65</v>
      </c>
      <c r="CM1831">
        <v>-0.52</v>
      </c>
      <c r="CN1831">
        <v>-0.52</v>
      </c>
      <c r="CO1831">
        <v>26080</v>
      </c>
      <c r="CP1831">
        <v>7107</v>
      </c>
      <c r="CQ1831" t="s">
        <v>3543</v>
      </c>
      <c r="CR1831">
        <v>156.07</v>
      </c>
      <c r="CS1831">
        <v>119.68</v>
      </c>
      <c r="CT1831">
        <v>7.89</v>
      </c>
      <c r="CU1831">
        <v>-161.47</v>
      </c>
      <c r="CV1831">
        <v>23.56</v>
      </c>
      <c r="CW1831">
        <v>0</v>
      </c>
      <c r="CX1831" t="s">
        <v>1248</v>
      </c>
      <c r="CY1831">
        <v>2.92</v>
      </c>
      <c r="CZ1831">
        <v>0</v>
      </c>
      <c r="DA1831">
        <v>1.85</v>
      </c>
      <c r="DB1831">
        <v>-0.18</v>
      </c>
      <c r="DC1831">
        <v>-0.14000000000000001</v>
      </c>
      <c r="DD1831">
        <v>54.12</v>
      </c>
      <c r="DE1831" t="s">
        <v>7740</v>
      </c>
      <c r="DF1831">
        <v>28.75</v>
      </c>
      <c r="DG1831">
        <v>6.58</v>
      </c>
      <c r="DH1831">
        <v>4.67</v>
      </c>
      <c r="DI1831">
        <v>0.18</v>
      </c>
      <c r="DJ1831">
        <v>898</v>
      </c>
      <c r="DK1831">
        <v>300471</v>
      </c>
      <c r="DL1831" t="s">
        <v>120</v>
      </c>
      <c r="DM1831" t="s">
        <v>120</v>
      </c>
      <c r="DN1831" t="s">
        <v>120</v>
      </c>
    </row>
    <row r="1832" spans="1:118">
      <c r="A1832" t="str">
        <f>"300472"</f>
        <v>300472</v>
      </c>
      <c r="B1832" t="s">
        <v>9206</v>
      </c>
      <c r="C1832">
        <v>-3.21</v>
      </c>
      <c r="D1832">
        <v>-0.17</v>
      </c>
      <c r="E1832">
        <v>0.18</v>
      </c>
      <c r="F1832">
        <v>683</v>
      </c>
      <c r="G1832" t="s">
        <v>6705</v>
      </c>
      <c r="H1832">
        <v>6472.67</v>
      </c>
      <c r="I1832">
        <v>30.18</v>
      </c>
      <c r="J1832" t="s">
        <v>120</v>
      </c>
      <c r="K1832" t="s">
        <v>8958</v>
      </c>
      <c r="L1832">
        <v>2.56</v>
      </c>
      <c r="M1832">
        <v>10.84</v>
      </c>
      <c r="N1832">
        <v>0.64</v>
      </c>
      <c r="O1832">
        <v>0.54</v>
      </c>
      <c r="P1832">
        <v>11.26</v>
      </c>
      <c r="Q1832">
        <v>-3.21</v>
      </c>
      <c r="R1832">
        <v>10.84</v>
      </c>
      <c r="S1832">
        <v>11.22</v>
      </c>
      <c r="T1832">
        <v>58671</v>
      </c>
      <c r="U1832">
        <v>10.86</v>
      </c>
      <c r="V1832">
        <v>11.2</v>
      </c>
      <c r="W1832">
        <v>40.43</v>
      </c>
      <c r="X1832" t="s">
        <v>675</v>
      </c>
      <c r="Y1832" t="s">
        <v>676</v>
      </c>
      <c r="Z1832">
        <v>3.75</v>
      </c>
      <c r="AA1832">
        <v>11.03</v>
      </c>
      <c r="AB1832">
        <v>36063</v>
      </c>
      <c r="AC1832">
        <v>22608</v>
      </c>
      <c r="AD1832">
        <v>1.6</v>
      </c>
      <c r="AE1832">
        <v>209</v>
      </c>
      <c r="AF1832">
        <v>8</v>
      </c>
      <c r="AG1832" t="s">
        <v>120</v>
      </c>
      <c r="AH1832">
        <v>0.02</v>
      </c>
      <c r="AI1832" t="s">
        <v>120</v>
      </c>
      <c r="AJ1832">
        <v>2.29</v>
      </c>
      <c r="AK1832" t="s">
        <v>9207</v>
      </c>
      <c r="AL1832">
        <v>-1.3</v>
      </c>
      <c r="AM1832">
        <v>2076</v>
      </c>
      <c r="AN1832">
        <v>28</v>
      </c>
      <c r="AO1832">
        <v>1.1999999999999999E-3</v>
      </c>
      <c r="AP1832">
        <v>-1</v>
      </c>
      <c r="AQ1832">
        <v>5.07</v>
      </c>
      <c r="AR1832">
        <v>1.21</v>
      </c>
      <c r="AS1832">
        <v>-7.35</v>
      </c>
      <c r="AT1832">
        <v>6.38</v>
      </c>
      <c r="AU1832">
        <v>10.96</v>
      </c>
      <c r="AV1832">
        <v>0</v>
      </c>
      <c r="AW1832">
        <v>3.32</v>
      </c>
      <c r="AX1832">
        <v>66.319999999999993</v>
      </c>
      <c r="AY1832" t="s">
        <v>120</v>
      </c>
      <c r="AZ1832" t="s">
        <v>120</v>
      </c>
      <c r="BA1832">
        <v>0.88</v>
      </c>
      <c r="BB1832" t="s">
        <v>168</v>
      </c>
      <c r="BF1832">
        <v>-1.5</v>
      </c>
      <c r="BG1832">
        <v>-3.39</v>
      </c>
      <c r="BH1832">
        <v>-3.73</v>
      </c>
      <c r="BI1832">
        <v>0</v>
      </c>
      <c r="BJ1832">
        <v>20210914</v>
      </c>
      <c r="BK1832">
        <v>20150611</v>
      </c>
      <c r="BL1832">
        <v>2.67</v>
      </c>
      <c r="BM1832" t="s">
        <v>120</v>
      </c>
      <c r="BN1832" t="s">
        <v>120</v>
      </c>
      <c r="BO1832">
        <v>18.649999999999999</v>
      </c>
      <c r="BP1832">
        <v>10.84</v>
      </c>
      <c r="BQ1832">
        <v>11.88</v>
      </c>
      <c r="BR1832">
        <v>0.26</v>
      </c>
      <c r="BS1832">
        <v>34.94</v>
      </c>
      <c r="BT1832">
        <v>11.58</v>
      </c>
      <c r="BU1832">
        <v>1.65</v>
      </c>
      <c r="BV1832">
        <v>0.76</v>
      </c>
      <c r="BW1832">
        <v>6.19</v>
      </c>
      <c r="BX1832">
        <v>1.47</v>
      </c>
      <c r="BY1832">
        <v>1.63</v>
      </c>
      <c r="BZ1832">
        <v>5.71</v>
      </c>
      <c r="CA1832" t="s">
        <v>120</v>
      </c>
      <c r="CB1832">
        <v>10.29</v>
      </c>
      <c r="CC1832">
        <v>3.4</v>
      </c>
      <c r="CD1832">
        <v>2.4700000000000002</v>
      </c>
      <c r="CE1832">
        <v>0.3</v>
      </c>
      <c r="CF1832">
        <v>-0.01</v>
      </c>
      <c r="CG1832">
        <v>0.41</v>
      </c>
      <c r="CH1832">
        <v>0.34</v>
      </c>
      <c r="CI1832">
        <v>0.36</v>
      </c>
      <c r="CJ1832">
        <v>-0.36</v>
      </c>
      <c r="CK1832">
        <v>0.26</v>
      </c>
      <c r="CL1832">
        <v>-1.1399999999999999</v>
      </c>
      <c r="CM1832">
        <v>-1.29</v>
      </c>
      <c r="CN1832">
        <v>1.23</v>
      </c>
      <c r="CO1832">
        <v>13197</v>
      </c>
      <c r="CP1832">
        <v>13399</v>
      </c>
      <c r="CQ1832" t="s">
        <v>9208</v>
      </c>
      <c r="CR1832">
        <v>286.85000000000002</v>
      </c>
      <c r="CS1832">
        <v>97.96</v>
      </c>
      <c r="CT1832">
        <v>2.4300000000000002</v>
      </c>
      <c r="CU1832">
        <v>-22.36</v>
      </c>
      <c r="CV1832">
        <v>8.51</v>
      </c>
      <c r="CW1832">
        <v>0</v>
      </c>
      <c r="CX1832" t="s">
        <v>300</v>
      </c>
      <c r="CY1832">
        <v>4.45</v>
      </c>
      <c r="CZ1832">
        <v>0</v>
      </c>
      <c r="DA1832">
        <v>3.86</v>
      </c>
      <c r="DB1832">
        <v>-0.43</v>
      </c>
      <c r="DC1832">
        <v>-0.48</v>
      </c>
      <c r="DD1832">
        <v>63.68</v>
      </c>
      <c r="DE1832" t="s">
        <v>9209</v>
      </c>
      <c r="DF1832">
        <v>27.38</v>
      </c>
      <c r="DG1832">
        <v>8.77</v>
      </c>
      <c r="DH1832">
        <v>10.52</v>
      </c>
      <c r="DI1832">
        <v>0.2</v>
      </c>
      <c r="DJ1832">
        <v>601</v>
      </c>
      <c r="DK1832">
        <v>300472</v>
      </c>
      <c r="DL1832" t="s">
        <v>120</v>
      </c>
      <c r="DM1832" t="s">
        <v>120</v>
      </c>
      <c r="DN1832" t="s">
        <v>120</v>
      </c>
    </row>
    <row r="1833" spans="1:118">
      <c r="A1833" t="str">
        <f>"300473"</f>
        <v>300473</v>
      </c>
      <c r="B1833" t="s">
        <v>9210</v>
      </c>
      <c r="C1833">
        <v>-1.44</v>
      </c>
      <c r="D1833">
        <v>0.09</v>
      </c>
      <c r="E1833">
        <v>0.56999999999999995</v>
      </c>
      <c r="F1833">
        <v>78</v>
      </c>
      <c r="G1833" t="s">
        <v>9211</v>
      </c>
      <c r="H1833">
        <v>6007.27</v>
      </c>
      <c r="I1833">
        <v>89.36</v>
      </c>
      <c r="J1833" t="s">
        <v>120</v>
      </c>
      <c r="K1833" t="s">
        <v>4435</v>
      </c>
      <c r="L1833">
        <v>2.33</v>
      </c>
      <c r="M1833">
        <v>22.57</v>
      </c>
      <c r="N1833">
        <v>1.37</v>
      </c>
      <c r="O1833">
        <v>3.93</v>
      </c>
      <c r="P1833">
        <v>23.8</v>
      </c>
      <c r="Q1833">
        <v>-1.66</v>
      </c>
      <c r="R1833">
        <v>22.52</v>
      </c>
      <c r="S1833">
        <v>23.03</v>
      </c>
      <c r="T1833">
        <v>26020</v>
      </c>
      <c r="U1833">
        <v>22.58</v>
      </c>
      <c r="V1833">
        <v>22.9</v>
      </c>
      <c r="W1833">
        <v>37.94</v>
      </c>
      <c r="X1833" t="s">
        <v>289</v>
      </c>
      <c r="Y1833" t="s">
        <v>432</v>
      </c>
      <c r="Z1833">
        <v>5.59</v>
      </c>
      <c r="AA1833">
        <v>23.09</v>
      </c>
      <c r="AB1833">
        <v>16565</v>
      </c>
      <c r="AC1833">
        <v>9455</v>
      </c>
      <c r="AD1833">
        <v>1.75</v>
      </c>
      <c r="AE1833">
        <v>8</v>
      </c>
      <c r="AF1833">
        <v>53</v>
      </c>
      <c r="AG1833" t="s">
        <v>120</v>
      </c>
      <c r="AH1833">
        <v>7.0000000000000007E-2</v>
      </c>
      <c r="AI1833" t="s">
        <v>120</v>
      </c>
      <c r="AJ1833">
        <v>1.1200000000000001</v>
      </c>
      <c r="AK1833" t="s">
        <v>9212</v>
      </c>
      <c r="AL1833">
        <v>0.47</v>
      </c>
      <c r="AM1833">
        <v>1555</v>
      </c>
      <c r="AN1833">
        <v>17</v>
      </c>
      <c r="AO1833">
        <v>1.5E-3</v>
      </c>
      <c r="AP1833">
        <v>-1</v>
      </c>
      <c r="AQ1833">
        <v>0.22</v>
      </c>
      <c r="AR1833">
        <v>-1.26</v>
      </c>
      <c r="AS1833">
        <v>-12.52</v>
      </c>
      <c r="AT1833">
        <v>11.62</v>
      </c>
      <c r="AU1833">
        <v>0.98</v>
      </c>
      <c r="AV1833">
        <v>2</v>
      </c>
      <c r="AW1833">
        <v>4.63</v>
      </c>
      <c r="AX1833">
        <v>41.7</v>
      </c>
      <c r="AY1833" t="s">
        <v>120</v>
      </c>
      <c r="AZ1833" t="s">
        <v>120</v>
      </c>
      <c r="BA1833">
        <v>1.49</v>
      </c>
      <c r="BB1833" t="s">
        <v>143</v>
      </c>
      <c r="BF1833">
        <v>0.82</v>
      </c>
      <c r="BG1833">
        <v>-2</v>
      </c>
      <c r="BH1833">
        <v>-5.17</v>
      </c>
      <c r="BI1833">
        <v>0.22</v>
      </c>
      <c r="BJ1833">
        <v>20210827</v>
      </c>
      <c r="BK1833">
        <v>20150612</v>
      </c>
      <c r="BL1833">
        <v>1.35</v>
      </c>
      <c r="BM1833" t="s">
        <v>120</v>
      </c>
      <c r="BN1833" t="s">
        <v>120</v>
      </c>
      <c r="BO1833">
        <v>49.04</v>
      </c>
      <c r="BP1833">
        <v>22.57</v>
      </c>
      <c r="BQ1833">
        <v>22.14</v>
      </c>
      <c r="BR1833">
        <v>0.25</v>
      </c>
      <c r="BS1833">
        <v>54.33</v>
      </c>
      <c r="BT1833">
        <v>21.11</v>
      </c>
      <c r="BU1833">
        <v>9.6199999999999992</v>
      </c>
      <c r="BV1833">
        <v>3.3</v>
      </c>
      <c r="BW1833">
        <v>17.41</v>
      </c>
      <c r="BX1833">
        <v>2.4700000000000002</v>
      </c>
      <c r="BY1833">
        <v>8.2200000000000006</v>
      </c>
      <c r="BZ1833">
        <v>6.99</v>
      </c>
      <c r="CA1833" t="s">
        <v>120</v>
      </c>
      <c r="CB1833">
        <v>18.39</v>
      </c>
      <c r="CC1833">
        <v>19.21</v>
      </c>
      <c r="CD1833">
        <v>14.55</v>
      </c>
      <c r="CE1833">
        <v>0.5</v>
      </c>
      <c r="CF1833">
        <v>-0.01</v>
      </c>
      <c r="CG1833">
        <v>0.51</v>
      </c>
      <c r="CH1833">
        <v>0.42</v>
      </c>
      <c r="CI1833">
        <v>0.4</v>
      </c>
      <c r="CJ1833">
        <v>-0.33</v>
      </c>
      <c r="CK1833">
        <v>0.3</v>
      </c>
      <c r="CL1833">
        <v>1.28</v>
      </c>
      <c r="CM1833">
        <v>-0.99</v>
      </c>
      <c r="CN1833">
        <v>-0.51</v>
      </c>
      <c r="CO1833">
        <v>14091</v>
      </c>
      <c r="CP1833">
        <v>3992</v>
      </c>
      <c r="CQ1833" t="s">
        <v>3548</v>
      </c>
      <c r="CR1833">
        <v>156.58000000000001</v>
      </c>
      <c r="CS1833">
        <v>36.11</v>
      </c>
      <c r="CT1833">
        <v>1.4</v>
      </c>
      <c r="CU1833">
        <v>-30.64</v>
      </c>
      <c r="CV1833">
        <v>1.59</v>
      </c>
      <c r="CW1833">
        <v>0</v>
      </c>
      <c r="CX1833" t="s">
        <v>2443</v>
      </c>
      <c r="CY1833">
        <v>16.07</v>
      </c>
      <c r="CZ1833">
        <v>16.07</v>
      </c>
      <c r="DA1833">
        <v>13.63</v>
      </c>
      <c r="DB1833">
        <v>0.95</v>
      </c>
      <c r="DC1833">
        <v>-0.74</v>
      </c>
      <c r="DD1833">
        <v>45.16</v>
      </c>
      <c r="DE1833" t="s">
        <v>2302</v>
      </c>
      <c r="DF1833">
        <v>24.28</v>
      </c>
      <c r="DG1833">
        <v>2.59</v>
      </c>
      <c r="DH1833">
        <v>2.09</v>
      </c>
      <c r="DI1833">
        <v>0.97</v>
      </c>
      <c r="DJ1833">
        <v>4297</v>
      </c>
      <c r="DK1833">
        <v>300473</v>
      </c>
      <c r="DL1833" t="s">
        <v>120</v>
      </c>
      <c r="DM1833" t="s">
        <v>120</v>
      </c>
      <c r="DN1833" t="s">
        <v>120</v>
      </c>
    </row>
    <row r="1834" spans="1:118">
      <c r="A1834" t="str">
        <f>"300474"</f>
        <v>300474</v>
      </c>
      <c r="B1834" t="s">
        <v>9213</v>
      </c>
      <c r="C1834">
        <v>1.84</v>
      </c>
      <c r="D1834">
        <v>0.2</v>
      </c>
      <c r="E1834">
        <v>-1.0900000000000001</v>
      </c>
      <c r="F1834">
        <v>510</v>
      </c>
      <c r="G1834" t="s">
        <v>9214</v>
      </c>
      <c r="H1834">
        <v>95292.09</v>
      </c>
      <c r="I1834">
        <v>1012.44</v>
      </c>
      <c r="J1834" t="s">
        <v>120</v>
      </c>
      <c r="K1834" t="s">
        <v>9215</v>
      </c>
      <c r="L1834">
        <v>4.42</v>
      </c>
      <c r="M1834">
        <v>135.91</v>
      </c>
      <c r="N1834">
        <v>1.01</v>
      </c>
      <c r="O1834">
        <v>6.03</v>
      </c>
      <c r="P1834">
        <v>141.5</v>
      </c>
      <c r="Q1834">
        <v>-3.7</v>
      </c>
      <c r="R1834">
        <v>128.51</v>
      </c>
      <c r="S1834">
        <v>132</v>
      </c>
      <c r="T1834">
        <v>70463</v>
      </c>
      <c r="U1834">
        <v>135.93</v>
      </c>
      <c r="V1834">
        <v>133.44999999999999</v>
      </c>
      <c r="W1834">
        <v>162.71</v>
      </c>
      <c r="X1834" t="s">
        <v>229</v>
      </c>
      <c r="Y1834" t="s">
        <v>594</v>
      </c>
      <c r="Z1834">
        <v>9.73</v>
      </c>
      <c r="AA1834">
        <v>135.24</v>
      </c>
      <c r="AB1834">
        <v>32914</v>
      </c>
      <c r="AC1834">
        <v>37549</v>
      </c>
      <c r="AD1834">
        <v>0.88</v>
      </c>
      <c r="AE1834">
        <v>17</v>
      </c>
      <c r="AF1834">
        <v>42</v>
      </c>
      <c r="AG1834" t="s">
        <v>120</v>
      </c>
      <c r="AH1834">
        <v>7.0000000000000007E-2</v>
      </c>
      <c r="AI1834" t="s">
        <v>120</v>
      </c>
      <c r="AJ1834">
        <v>1.59</v>
      </c>
      <c r="AK1834" t="s">
        <v>9216</v>
      </c>
      <c r="AL1834">
        <v>3.76</v>
      </c>
      <c r="AM1834">
        <v>3991</v>
      </c>
      <c r="AN1834">
        <v>18</v>
      </c>
      <c r="AO1834">
        <v>1.1000000000000001E-3</v>
      </c>
      <c r="AP1834">
        <v>6</v>
      </c>
      <c r="AQ1834">
        <v>5.26</v>
      </c>
      <c r="AR1834">
        <v>10.77</v>
      </c>
      <c r="AS1834">
        <v>47.96</v>
      </c>
      <c r="AT1834">
        <v>43.89</v>
      </c>
      <c r="AU1834">
        <v>94.77</v>
      </c>
      <c r="AV1834">
        <v>0</v>
      </c>
      <c r="AW1834">
        <v>5.97</v>
      </c>
      <c r="AX1834">
        <v>39.15</v>
      </c>
      <c r="AY1834">
        <v>164.57</v>
      </c>
      <c r="AZ1834">
        <v>193.62</v>
      </c>
      <c r="BA1834">
        <v>0.66</v>
      </c>
      <c r="BB1834" t="s">
        <v>184</v>
      </c>
      <c r="BF1834">
        <v>1.34</v>
      </c>
      <c r="BG1834">
        <v>2.96</v>
      </c>
      <c r="BH1834">
        <v>-3.95</v>
      </c>
      <c r="BI1834">
        <v>5.76</v>
      </c>
      <c r="BJ1834">
        <v>20210903</v>
      </c>
      <c r="BK1834">
        <v>20160331</v>
      </c>
      <c r="BL1834">
        <v>3.01</v>
      </c>
      <c r="BM1834" t="s">
        <v>120</v>
      </c>
      <c r="BN1834" t="s">
        <v>120</v>
      </c>
      <c r="BO1834">
        <v>31.72</v>
      </c>
      <c r="BP1834">
        <v>135.91</v>
      </c>
      <c r="BQ1834">
        <v>26.18</v>
      </c>
      <c r="BR1834" t="s">
        <v>120</v>
      </c>
      <c r="BS1834">
        <v>17.47</v>
      </c>
      <c r="BT1834">
        <v>24.37</v>
      </c>
      <c r="BU1834">
        <v>2.58</v>
      </c>
      <c r="BV1834">
        <v>1.64</v>
      </c>
      <c r="BW1834">
        <v>3.6</v>
      </c>
      <c r="BX1834">
        <v>11.77</v>
      </c>
      <c r="BY1834">
        <v>3.56</v>
      </c>
      <c r="BZ1834">
        <v>5.29</v>
      </c>
      <c r="CA1834" t="s">
        <v>120</v>
      </c>
      <c r="CB1834">
        <v>13.74</v>
      </c>
      <c r="CC1834">
        <v>4.75</v>
      </c>
      <c r="CD1834">
        <v>1.75</v>
      </c>
      <c r="CE1834">
        <v>1.4</v>
      </c>
      <c r="CF1834">
        <v>-0.01</v>
      </c>
      <c r="CG1834">
        <v>1.4</v>
      </c>
      <c r="CH1834">
        <v>1.26</v>
      </c>
      <c r="CI1834">
        <v>1.26</v>
      </c>
      <c r="CJ1834">
        <v>2.46</v>
      </c>
      <c r="CK1834">
        <v>1.23</v>
      </c>
      <c r="CL1834">
        <v>8.56</v>
      </c>
      <c r="CM1834">
        <v>0.96</v>
      </c>
      <c r="CN1834">
        <v>-0.64</v>
      </c>
      <c r="CO1834">
        <v>27302</v>
      </c>
      <c r="CP1834">
        <v>4320</v>
      </c>
      <c r="CQ1834" t="s">
        <v>9217</v>
      </c>
      <c r="CR1834">
        <v>41.11</v>
      </c>
      <c r="CS1834">
        <v>53.51</v>
      </c>
      <c r="CT1834">
        <v>15.64</v>
      </c>
      <c r="CU1834">
        <v>428.65</v>
      </c>
      <c r="CV1834">
        <v>86.17</v>
      </c>
      <c r="CW1834">
        <v>0.1</v>
      </c>
      <c r="CX1834" t="s">
        <v>1327</v>
      </c>
      <c r="CY1834">
        <v>8.69</v>
      </c>
      <c r="CZ1834">
        <v>8.69</v>
      </c>
      <c r="DA1834">
        <v>4.5599999999999996</v>
      </c>
      <c r="DB1834">
        <v>2.84</v>
      </c>
      <c r="DC1834">
        <v>0.32</v>
      </c>
      <c r="DD1834">
        <v>82.53</v>
      </c>
      <c r="DE1834" t="s">
        <v>8264</v>
      </c>
      <c r="DF1834">
        <v>63.12</v>
      </c>
      <c r="DG1834">
        <v>29.44</v>
      </c>
      <c r="DH1834">
        <v>26.48</v>
      </c>
      <c r="DI1834">
        <v>1.0900000000000001</v>
      </c>
      <c r="DJ1834">
        <v>857</v>
      </c>
      <c r="DK1834">
        <v>300474</v>
      </c>
      <c r="DL1834" t="s">
        <v>120</v>
      </c>
      <c r="DM1834" t="s">
        <v>120</v>
      </c>
      <c r="DN1834" t="s">
        <v>120</v>
      </c>
    </row>
    <row r="1835" spans="1:118">
      <c r="A1835" t="str">
        <f>"300475"</f>
        <v>300475</v>
      </c>
      <c r="B1835" t="s">
        <v>9218</v>
      </c>
      <c r="C1835">
        <v>0.11</v>
      </c>
      <c r="D1835">
        <v>-0.04</v>
      </c>
      <c r="E1835">
        <v>1.2</v>
      </c>
      <c r="F1835">
        <v>169</v>
      </c>
      <c r="G1835" t="s">
        <v>9219</v>
      </c>
      <c r="H1835">
        <v>1972.87</v>
      </c>
      <c r="I1835">
        <v>0.19</v>
      </c>
      <c r="J1835" t="s">
        <v>120</v>
      </c>
      <c r="K1835" t="s">
        <v>7281</v>
      </c>
      <c r="L1835">
        <v>0.25</v>
      </c>
      <c r="M1835">
        <v>18.399999999999999</v>
      </c>
      <c r="N1835">
        <v>0.96</v>
      </c>
      <c r="O1835">
        <v>2.29</v>
      </c>
      <c r="P1835">
        <v>18.8</v>
      </c>
      <c r="Q1835">
        <v>-0.38</v>
      </c>
      <c r="R1835">
        <v>18.309999999999999</v>
      </c>
      <c r="S1835">
        <v>18.600000000000001</v>
      </c>
      <c r="T1835">
        <v>10650</v>
      </c>
      <c r="U1835">
        <v>18.41</v>
      </c>
      <c r="V1835">
        <v>18.38</v>
      </c>
      <c r="W1835">
        <v>63.33</v>
      </c>
      <c r="X1835" t="s">
        <v>675</v>
      </c>
      <c r="Y1835" t="s">
        <v>570</v>
      </c>
      <c r="Z1835">
        <v>2.67</v>
      </c>
      <c r="AA1835">
        <v>18.52</v>
      </c>
      <c r="AB1835">
        <v>5653</v>
      </c>
      <c r="AC1835">
        <v>4997</v>
      </c>
      <c r="AD1835">
        <v>1.1299999999999999</v>
      </c>
      <c r="AE1835">
        <v>608</v>
      </c>
      <c r="AF1835">
        <v>28</v>
      </c>
      <c r="AG1835" t="s">
        <v>120</v>
      </c>
      <c r="AH1835">
        <v>0</v>
      </c>
      <c r="AI1835" t="s">
        <v>120</v>
      </c>
      <c r="AJ1835">
        <v>4.2</v>
      </c>
      <c r="AK1835" t="s">
        <v>7281</v>
      </c>
      <c r="AL1835">
        <v>2.02</v>
      </c>
      <c r="AM1835">
        <v>906</v>
      </c>
      <c r="AN1835">
        <v>12</v>
      </c>
      <c r="AO1835">
        <v>2.9999999999999997E-4</v>
      </c>
      <c r="AP1835">
        <v>1</v>
      </c>
      <c r="AQ1835">
        <v>-0.33</v>
      </c>
      <c r="AR1835">
        <v>0.55000000000000004</v>
      </c>
      <c r="AS1835">
        <v>-2.8</v>
      </c>
      <c r="AT1835">
        <v>-12.29</v>
      </c>
      <c r="AU1835">
        <v>91.87</v>
      </c>
      <c r="AV1835">
        <v>0</v>
      </c>
      <c r="AW1835">
        <v>0.76</v>
      </c>
      <c r="AX1835">
        <v>33.51</v>
      </c>
      <c r="AY1835">
        <v>75.72</v>
      </c>
      <c r="AZ1835">
        <v>119.92</v>
      </c>
      <c r="BA1835">
        <v>0.93</v>
      </c>
      <c r="BB1835" t="s">
        <v>143</v>
      </c>
      <c r="BF1835">
        <v>0.79</v>
      </c>
      <c r="BG1835">
        <v>-1.08</v>
      </c>
      <c r="BH1835">
        <v>-2.13</v>
      </c>
      <c r="BI1835">
        <v>0.49</v>
      </c>
      <c r="BJ1835">
        <v>20210814</v>
      </c>
      <c r="BK1835">
        <v>20150610</v>
      </c>
      <c r="BL1835">
        <v>4.2</v>
      </c>
      <c r="BM1835" t="s">
        <v>120</v>
      </c>
      <c r="BN1835" t="s">
        <v>120</v>
      </c>
      <c r="BO1835">
        <v>25.4</v>
      </c>
      <c r="BP1835">
        <v>18.399999999999999</v>
      </c>
      <c r="BQ1835">
        <v>13.95</v>
      </c>
      <c r="BR1835">
        <v>0.22</v>
      </c>
      <c r="BS1835">
        <v>44.21</v>
      </c>
      <c r="BT1835">
        <v>21.38</v>
      </c>
      <c r="BU1835">
        <v>1.29</v>
      </c>
      <c r="BV1835">
        <v>0.14000000000000001</v>
      </c>
      <c r="BW1835">
        <v>1.42</v>
      </c>
      <c r="BX1835">
        <v>19.25</v>
      </c>
      <c r="BY1835">
        <v>0.44</v>
      </c>
      <c r="BZ1835">
        <v>0.71</v>
      </c>
      <c r="CA1835" t="s">
        <v>120</v>
      </c>
      <c r="CB1835">
        <v>2.14</v>
      </c>
      <c r="CC1835">
        <v>1.46</v>
      </c>
      <c r="CD1835">
        <v>1.05</v>
      </c>
      <c r="CE1835">
        <v>0.77</v>
      </c>
      <c r="CF1835">
        <v>0.64</v>
      </c>
      <c r="CG1835">
        <v>0.78</v>
      </c>
      <c r="CH1835">
        <v>0.6</v>
      </c>
      <c r="CI1835">
        <v>0.61</v>
      </c>
      <c r="CJ1835">
        <v>0.02</v>
      </c>
      <c r="CK1835">
        <v>0.11</v>
      </c>
      <c r="CL1835">
        <v>6.98</v>
      </c>
      <c r="CM1835">
        <v>1.04</v>
      </c>
      <c r="CN1835">
        <v>13.28</v>
      </c>
      <c r="CO1835">
        <v>8315</v>
      </c>
      <c r="CP1835">
        <v>16928</v>
      </c>
      <c r="CQ1835" t="s">
        <v>9220</v>
      </c>
      <c r="CR1835">
        <v>160.30000000000001</v>
      </c>
      <c r="CS1835">
        <v>35.81</v>
      </c>
      <c r="CT1835">
        <v>5.54</v>
      </c>
      <c r="CU1835">
        <v>74.540000000000006</v>
      </c>
      <c r="CV1835">
        <v>52.9</v>
      </c>
      <c r="CW1835">
        <v>0</v>
      </c>
      <c r="CX1835" t="s">
        <v>373</v>
      </c>
      <c r="CY1835">
        <v>3.32</v>
      </c>
      <c r="CZ1835">
        <v>0</v>
      </c>
      <c r="DA1835">
        <v>0.51</v>
      </c>
      <c r="DB1835">
        <v>1.66</v>
      </c>
      <c r="DC1835">
        <v>0.25</v>
      </c>
      <c r="DD1835">
        <v>54.91</v>
      </c>
      <c r="DE1835" t="s">
        <v>864</v>
      </c>
      <c r="DF1835">
        <v>28.37</v>
      </c>
      <c r="DG1835">
        <v>52.93</v>
      </c>
      <c r="DH1835">
        <v>41.76</v>
      </c>
      <c r="DI1835">
        <v>0.04</v>
      </c>
      <c r="DJ1835">
        <v>627</v>
      </c>
      <c r="DK1835">
        <v>300475</v>
      </c>
      <c r="DL1835" t="s">
        <v>120</v>
      </c>
      <c r="DM1835" t="s">
        <v>120</v>
      </c>
      <c r="DN1835" t="s">
        <v>120</v>
      </c>
    </row>
    <row r="1836" spans="1:118">
      <c r="A1836" t="str">
        <f>"300476"</f>
        <v>300476</v>
      </c>
      <c r="B1836" t="s">
        <v>9221</v>
      </c>
      <c r="C1836">
        <v>1.86</v>
      </c>
      <c r="D1836">
        <v>0.04</v>
      </c>
      <c r="E1836">
        <v>-0.63</v>
      </c>
      <c r="F1836">
        <v>2354</v>
      </c>
      <c r="G1836" t="s">
        <v>9222</v>
      </c>
      <c r="H1836">
        <v>48795.95</v>
      </c>
      <c r="I1836">
        <v>118.78</v>
      </c>
      <c r="J1836" t="s">
        <v>120</v>
      </c>
      <c r="K1836" t="s">
        <v>9223</v>
      </c>
      <c r="L1836">
        <v>2.4700000000000002</v>
      </c>
      <c r="M1836">
        <v>25.69</v>
      </c>
      <c r="N1836">
        <v>1.41</v>
      </c>
      <c r="O1836">
        <v>5.47</v>
      </c>
      <c r="P1836">
        <v>26.6</v>
      </c>
      <c r="Q1836">
        <v>-1.59</v>
      </c>
      <c r="R1836">
        <v>24.82</v>
      </c>
      <c r="S1836">
        <v>25.06</v>
      </c>
      <c r="T1836">
        <v>189418</v>
      </c>
      <c r="U1836">
        <v>25.7</v>
      </c>
      <c r="V1836">
        <v>25.22</v>
      </c>
      <c r="W1836">
        <v>25.51</v>
      </c>
      <c r="X1836" t="s">
        <v>229</v>
      </c>
      <c r="Y1836" t="s">
        <v>547</v>
      </c>
      <c r="Z1836">
        <v>7.06</v>
      </c>
      <c r="AA1836">
        <v>25.76</v>
      </c>
      <c r="AB1836">
        <v>97296</v>
      </c>
      <c r="AC1836">
        <v>92122</v>
      </c>
      <c r="AD1836">
        <v>1.06</v>
      </c>
      <c r="AE1836">
        <v>330</v>
      </c>
      <c r="AF1836">
        <v>39</v>
      </c>
      <c r="AG1836" t="s">
        <v>120</v>
      </c>
      <c r="AH1836">
        <v>0.01</v>
      </c>
      <c r="AI1836" t="s">
        <v>120</v>
      </c>
      <c r="AJ1836">
        <v>7.66</v>
      </c>
      <c r="AK1836" t="s">
        <v>9224</v>
      </c>
      <c r="AL1836">
        <v>3.78</v>
      </c>
      <c r="AM1836">
        <v>4060</v>
      </c>
      <c r="AN1836">
        <v>47</v>
      </c>
      <c r="AO1836">
        <v>5.9999999999999995E-4</v>
      </c>
      <c r="AP1836">
        <v>3</v>
      </c>
      <c r="AQ1836">
        <v>0.4</v>
      </c>
      <c r="AR1836">
        <v>5.42</v>
      </c>
      <c r="AS1836">
        <v>15.04</v>
      </c>
      <c r="AT1836">
        <v>21.98</v>
      </c>
      <c r="AU1836">
        <v>20.16</v>
      </c>
      <c r="AV1836">
        <v>0</v>
      </c>
      <c r="AW1836">
        <v>3.99</v>
      </c>
      <c r="AX1836">
        <v>61</v>
      </c>
      <c r="AY1836">
        <v>30.19</v>
      </c>
      <c r="AZ1836">
        <v>37.79</v>
      </c>
      <c r="BA1836">
        <v>0.65</v>
      </c>
      <c r="BB1836" t="s">
        <v>143</v>
      </c>
      <c r="BF1836">
        <v>2.14</v>
      </c>
      <c r="BG1836">
        <v>2.5099999999999998</v>
      </c>
      <c r="BH1836">
        <v>-3.42</v>
      </c>
      <c r="BI1836">
        <v>3.51</v>
      </c>
      <c r="BJ1836">
        <v>20210901</v>
      </c>
      <c r="BK1836">
        <v>20150611</v>
      </c>
      <c r="BL1836">
        <v>7.78</v>
      </c>
      <c r="BM1836" t="s">
        <v>120</v>
      </c>
      <c r="BN1836" t="s">
        <v>120</v>
      </c>
      <c r="BO1836">
        <v>111.87</v>
      </c>
      <c r="BP1836">
        <v>25.69</v>
      </c>
      <c r="BQ1836">
        <v>39.9</v>
      </c>
      <c r="BR1836" t="s">
        <v>120</v>
      </c>
      <c r="BS1836">
        <v>64.33</v>
      </c>
      <c r="BT1836">
        <v>48.89</v>
      </c>
      <c r="BU1836">
        <v>45.65</v>
      </c>
      <c r="BV1836">
        <v>1.63</v>
      </c>
      <c r="BW1836">
        <v>60.38</v>
      </c>
      <c r="BX1836">
        <v>4.67</v>
      </c>
      <c r="BY1836">
        <v>13.98</v>
      </c>
      <c r="BZ1836">
        <v>25.37</v>
      </c>
      <c r="CA1836" t="s">
        <v>120</v>
      </c>
      <c r="CB1836">
        <v>13.31</v>
      </c>
      <c r="CC1836">
        <v>33.840000000000003</v>
      </c>
      <c r="CD1836">
        <v>25.73</v>
      </c>
      <c r="CE1836">
        <v>4.6100000000000003</v>
      </c>
      <c r="CF1836">
        <v>0.08</v>
      </c>
      <c r="CG1836">
        <v>4.6100000000000003</v>
      </c>
      <c r="CH1836">
        <v>3.92</v>
      </c>
      <c r="CI1836">
        <v>3.92</v>
      </c>
      <c r="CJ1836">
        <v>0.47</v>
      </c>
      <c r="CK1836">
        <v>3.47</v>
      </c>
      <c r="CL1836">
        <v>16.809999999999999</v>
      </c>
      <c r="CM1836">
        <v>2.4900000000000002</v>
      </c>
      <c r="CN1836">
        <v>0.14000000000000001</v>
      </c>
      <c r="CO1836">
        <v>24822</v>
      </c>
      <c r="CP1836">
        <v>19109</v>
      </c>
      <c r="CQ1836" t="s">
        <v>9225</v>
      </c>
      <c r="CR1836">
        <v>50.04</v>
      </c>
      <c r="CS1836">
        <v>45.39</v>
      </c>
      <c r="CT1836">
        <v>5.01</v>
      </c>
      <c r="CU1836">
        <v>80.28</v>
      </c>
      <c r="CV1836">
        <v>5.9</v>
      </c>
      <c r="CW1836">
        <v>0.75</v>
      </c>
      <c r="CX1836" t="s">
        <v>550</v>
      </c>
      <c r="CY1836">
        <v>5.13</v>
      </c>
      <c r="CZ1836">
        <v>0</v>
      </c>
      <c r="DA1836">
        <v>1.71</v>
      </c>
      <c r="DB1836">
        <v>2.16</v>
      </c>
      <c r="DC1836">
        <v>0.32</v>
      </c>
      <c r="DD1836">
        <v>35.67</v>
      </c>
      <c r="DE1836" t="s">
        <v>9226</v>
      </c>
      <c r="DF1836">
        <v>23.96</v>
      </c>
      <c r="DG1836">
        <v>13.63</v>
      </c>
      <c r="DH1836">
        <v>11.57</v>
      </c>
      <c r="DI1836">
        <v>1.38</v>
      </c>
      <c r="DJ1836">
        <v>8959</v>
      </c>
      <c r="DK1836">
        <v>300476</v>
      </c>
      <c r="DL1836" t="s">
        <v>120</v>
      </c>
      <c r="DM1836" t="s">
        <v>120</v>
      </c>
      <c r="DN1836" t="s">
        <v>120</v>
      </c>
    </row>
    <row r="1837" spans="1:118">
      <c r="A1837" t="str">
        <f>"300477"</f>
        <v>300477</v>
      </c>
      <c r="B1837" t="s">
        <v>9227</v>
      </c>
      <c r="C1837">
        <v>-6.28</v>
      </c>
      <c r="D1837">
        <v>0</v>
      </c>
      <c r="E1837">
        <v>0.3</v>
      </c>
      <c r="F1837">
        <v>5382</v>
      </c>
      <c r="G1837" t="s">
        <v>9228</v>
      </c>
      <c r="H1837">
        <v>69997.91</v>
      </c>
      <c r="I1837">
        <v>365.17</v>
      </c>
      <c r="J1837" t="s">
        <v>120</v>
      </c>
      <c r="K1837" t="s">
        <v>9229</v>
      </c>
      <c r="L1837">
        <v>9.15</v>
      </c>
      <c r="M1837">
        <v>12.38</v>
      </c>
      <c r="N1837">
        <v>0.98</v>
      </c>
      <c r="O1837">
        <v>0.3</v>
      </c>
      <c r="P1837">
        <v>13.25</v>
      </c>
      <c r="Q1837">
        <v>-7.04</v>
      </c>
      <c r="R1837">
        <v>12.28</v>
      </c>
      <c r="S1837">
        <v>13.25</v>
      </c>
      <c r="T1837">
        <v>551576</v>
      </c>
      <c r="U1837">
        <v>12.38</v>
      </c>
      <c r="V1837">
        <v>13.21</v>
      </c>
      <c r="W1837">
        <v>144.97999999999999</v>
      </c>
      <c r="X1837" t="s">
        <v>394</v>
      </c>
      <c r="Y1837" t="s">
        <v>158</v>
      </c>
      <c r="Z1837">
        <v>7.34</v>
      </c>
      <c r="AA1837">
        <v>12.69</v>
      </c>
      <c r="AB1837">
        <v>310633</v>
      </c>
      <c r="AC1837">
        <v>240943</v>
      </c>
      <c r="AD1837">
        <v>1.29</v>
      </c>
      <c r="AE1837">
        <v>123</v>
      </c>
      <c r="AF1837">
        <v>820</v>
      </c>
      <c r="AG1837" t="s">
        <v>120</v>
      </c>
      <c r="AH1837">
        <v>0.05</v>
      </c>
      <c r="AI1837" t="s">
        <v>120</v>
      </c>
      <c r="AJ1837">
        <v>6.03</v>
      </c>
      <c r="AK1837" t="s">
        <v>9230</v>
      </c>
      <c r="AL1837">
        <v>-4.37</v>
      </c>
      <c r="AM1837">
        <v>4268</v>
      </c>
      <c r="AN1837">
        <v>129</v>
      </c>
      <c r="AO1837">
        <v>2.0999999999999999E-3</v>
      </c>
      <c r="AP1837">
        <v>-1</v>
      </c>
      <c r="AQ1837">
        <v>7.75</v>
      </c>
      <c r="AR1837">
        <v>8.7899999999999991</v>
      </c>
      <c r="AS1837">
        <v>1.39</v>
      </c>
      <c r="AT1837">
        <v>85.05</v>
      </c>
      <c r="AU1837">
        <v>99.67</v>
      </c>
      <c r="AV1837">
        <v>2</v>
      </c>
      <c r="AW1837">
        <v>10.06</v>
      </c>
      <c r="AX1837">
        <v>50.62</v>
      </c>
      <c r="AY1837" t="s">
        <v>120</v>
      </c>
      <c r="AZ1837" t="s">
        <v>120</v>
      </c>
      <c r="BA1837">
        <v>1.32</v>
      </c>
      <c r="BB1837" t="s">
        <v>751</v>
      </c>
      <c r="BF1837">
        <v>-3.93</v>
      </c>
      <c r="BG1837">
        <v>-6.57</v>
      </c>
      <c r="BH1837">
        <v>-6.57</v>
      </c>
      <c r="BI1837">
        <v>0.81</v>
      </c>
      <c r="BJ1837">
        <v>20210830</v>
      </c>
      <c r="BK1837">
        <v>20150610</v>
      </c>
      <c r="BL1837">
        <v>10.83</v>
      </c>
      <c r="BM1837" t="s">
        <v>120</v>
      </c>
      <c r="BN1837" t="s">
        <v>120</v>
      </c>
      <c r="BO1837">
        <v>48.98</v>
      </c>
      <c r="BP1837">
        <v>12.37</v>
      </c>
      <c r="BQ1837">
        <v>22.93</v>
      </c>
      <c r="BR1837">
        <v>0.02</v>
      </c>
      <c r="BS1837">
        <v>53.16</v>
      </c>
      <c r="BT1837">
        <v>27.56</v>
      </c>
      <c r="BU1837">
        <v>8.32</v>
      </c>
      <c r="BV1837">
        <v>2.42</v>
      </c>
      <c r="BW1837">
        <v>23.8</v>
      </c>
      <c r="BX1837">
        <v>7.67</v>
      </c>
      <c r="BY1837">
        <v>5.21</v>
      </c>
      <c r="BZ1837">
        <v>10.35</v>
      </c>
      <c r="CA1837" t="s">
        <v>120</v>
      </c>
      <c r="CB1837">
        <v>13.93</v>
      </c>
      <c r="CC1837">
        <v>11.18</v>
      </c>
      <c r="CD1837">
        <v>9.0299999999999994</v>
      </c>
      <c r="CE1837">
        <v>0.67</v>
      </c>
      <c r="CF1837">
        <v>-0.08</v>
      </c>
      <c r="CG1837">
        <v>0.67</v>
      </c>
      <c r="CH1837">
        <v>0.46</v>
      </c>
      <c r="CI1837">
        <v>0.46</v>
      </c>
      <c r="CJ1837">
        <v>-0.83</v>
      </c>
      <c r="CK1837">
        <v>0.39</v>
      </c>
      <c r="CL1837">
        <v>-2.1</v>
      </c>
      <c r="CM1837">
        <v>-2.75</v>
      </c>
      <c r="CN1837">
        <v>3.04</v>
      </c>
      <c r="CO1837">
        <v>31704</v>
      </c>
      <c r="CP1837">
        <v>17287</v>
      </c>
      <c r="CQ1837" t="s">
        <v>9231</v>
      </c>
      <c r="CR1837">
        <v>138.33000000000001</v>
      </c>
      <c r="CS1837">
        <v>145.54</v>
      </c>
      <c r="CT1837">
        <v>5.85</v>
      </c>
      <c r="CU1837">
        <v>-48.75</v>
      </c>
      <c r="CV1837">
        <v>11.99</v>
      </c>
      <c r="CW1837">
        <v>0</v>
      </c>
      <c r="CX1837" t="s">
        <v>1248</v>
      </c>
      <c r="CY1837">
        <v>2.12</v>
      </c>
      <c r="CZ1837">
        <v>0</v>
      </c>
      <c r="DA1837">
        <v>1.29</v>
      </c>
      <c r="DB1837">
        <v>-0.19</v>
      </c>
      <c r="DC1837">
        <v>-0.25</v>
      </c>
      <c r="DD1837">
        <v>46.81</v>
      </c>
      <c r="DE1837" t="s">
        <v>9232</v>
      </c>
      <c r="DF1837">
        <v>19.28</v>
      </c>
      <c r="DG1837">
        <v>5.96</v>
      </c>
      <c r="DH1837">
        <v>4.13</v>
      </c>
      <c r="DI1837">
        <v>0.2</v>
      </c>
      <c r="DJ1837">
        <v>1561</v>
      </c>
      <c r="DK1837">
        <v>300477</v>
      </c>
      <c r="DL1837" t="s">
        <v>120</v>
      </c>
      <c r="DM1837" t="s">
        <v>120</v>
      </c>
      <c r="DN1837" t="s">
        <v>120</v>
      </c>
    </row>
    <row r="1838" spans="1:118">
      <c r="A1838" t="str">
        <f>"300478"</f>
        <v>300478</v>
      </c>
      <c r="B1838" t="s">
        <v>9233</v>
      </c>
      <c r="C1838">
        <v>0.44</v>
      </c>
      <c r="D1838">
        <v>0.22</v>
      </c>
      <c r="E1838">
        <v>0</v>
      </c>
      <c r="F1838">
        <v>200</v>
      </c>
      <c r="G1838" t="s">
        <v>9234</v>
      </c>
      <c r="H1838">
        <v>3355.97</v>
      </c>
      <c r="I1838">
        <v>0</v>
      </c>
      <c r="J1838" t="s">
        <v>120</v>
      </c>
      <c r="K1838" t="s">
        <v>9235</v>
      </c>
      <c r="L1838">
        <v>2.85</v>
      </c>
      <c r="M1838">
        <v>9.19</v>
      </c>
      <c r="N1838">
        <v>1.23</v>
      </c>
      <c r="O1838">
        <v>4.1500000000000004</v>
      </c>
      <c r="P1838">
        <v>9.5299999999999994</v>
      </c>
      <c r="Q1838">
        <v>-1.2</v>
      </c>
      <c r="R1838">
        <v>9.0399999999999991</v>
      </c>
      <c r="S1838">
        <v>9.15</v>
      </c>
      <c r="T1838">
        <v>36039</v>
      </c>
      <c r="U1838">
        <v>9.1999999999999993</v>
      </c>
      <c r="V1838">
        <v>9.15</v>
      </c>
      <c r="W1838">
        <v>79.510000000000005</v>
      </c>
      <c r="X1838" t="s">
        <v>2306</v>
      </c>
      <c r="Y1838" t="s">
        <v>585</v>
      </c>
      <c r="Z1838">
        <v>5.36</v>
      </c>
      <c r="AA1838">
        <v>9.31</v>
      </c>
      <c r="AB1838">
        <v>16383</v>
      </c>
      <c r="AC1838">
        <v>19656</v>
      </c>
      <c r="AD1838">
        <v>0.83</v>
      </c>
      <c r="AE1838">
        <v>2</v>
      </c>
      <c r="AF1838">
        <v>55</v>
      </c>
      <c r="AG1838" t="s">
        <v>120</v>
      </c>
      <c r="AH1838">
        <v>0</v>
      </c>
      <c r="AI1838" t="s">
        <v>120</v>
      </c>
      <c r="AJ1838">
        <v>1.27</v>
      </c>
      <c r="AK1838" t="s">
        <v>3865</v>
      </c>
      <c r="AL1838">
        <v>2.35</v>
      </c>
      <c r="AM1838">
        <v>1416</v>
      </c>
      <c r="AN1838">
        <v>25</v>
      </c>
      <c r="AO1838">
        <v>2E-3</v>
      </c>
      <c r="AP1838">
        <v>2</v>
      </c>
      <c r="AQ1838">
        <v>1.33</v>
      </c>
      <c r="AR1838">
        <v>-0.65</v>
      </c>
      <c r="AS1838">
        <v>3.49</v>
      </c>
      <c r="AT1838">
        <v>0.55000000000000004</v>
      </c>
      <c r="AU1838">
        <v>-8.2799999999999994</v>
      </c>
      <c r="AV1838">
        <v>0</v>
      </c>
      <c r="AW1838">
        <v>5.04</v>
      </c>
      <c r="AX1838">
        <v>55.57</v>
      </c>
      <c r="AY1838" t="s">
        <v>120</v>
      </c>
      <c r="AZ1838" t="s">
        <v>120</v>
      </c>
      <c r="BA1838">
        <v>0.68</v>
      </c>
      <c r="BB1838" t="s">
        <v>143</v>
      </c>
      <c r="BF1838">
        <v>1.77</v>
      </c>
      <c r="BG1838">
        <v>0.44</v>
      </c>
      <c r="BH1838">
        <v>-3.57</v>
      </c>
      <c r="BI1838">
        <v>1.66</v>
      </c>
      <c r="BJ1838">
        <v>20210909</v>
      </c>
      <c r="BK1838">
        <v>20150610</v>
      </c>
      <c r="BL1838">
        <v>1.29</v>
      </c>
      <c r="BM1838" t="s">
        <v>120</v>
      </c>
      <c r="BN1838" t="s">
        <v>120</v>
      </c>
      <c r="BO1838">
        <v>4.1399999999999997</v>
      </c>
      <c r="BP1838">
        <v>9.19</v>
      </c>
      <c r="BQ1838">
        <v>0.74</v>
      </c>
      <c r="BR1838" t="s">
        <v>120</v>
      </c>
      <c r="BS1838">
        <v>82.11</v>
      </c>
      <c r="BT1838">
        <v>2.0099999999999998</v>
      </c>
      <c r="BU1838">
        <v>1.79</v>
      </c>
      <c r="BV1838">
        <v>0.31</v>
      </c>
      <c r="BW1838">
        <v>2.66</v>
      </c>
      <c r="BX1838">
        <v>0.46</v>
      </c>
      <c r="BY1838">
        <v>0.22</v>
      </c>
      <c r="BZ1838">
        <v>1.05</v>
      </c>
      <c r="CA1838" t="s">
        <v>120</v>
      </c>
      <c r="CB1838">
        <v>1.8</v>
      </c>
      <c r="CC1838">
        <v>1.64</v>
      </c>
      <c r="CD1838">
        <v>1.52</v>
      </c>
      <c r="CE1838">
        <v>0.08</v>
      </c>
      <c r="CF1838">
        <v>-0.03</v>
      </c>
      <c r="CG1838">
        <v>7.0000000000000007E-2</v>
      </c>
      <c r="CH1838">
        <v>7.0000000000000007E-2</v>
      </c>
      <c r="CI1838">
        <v>7.0000000000000007E-2</v>
      </c>
      <c r="CJ1838">
        <v>0.04</v>
      </c>
      <c r="CK1838">
        <v>-0.41</v>
      </c>
      <c r="CL1838">
        <v>-2.76</v>
      </c>
      <c r="CM1838">
        <v>-0.45</v>
      </c>
      <c r="CN1838">
        <v>0.3</v>
      </c>
      <c r="CO1838">
        <v>8029</v>
      </c>
      <c r="CP1838">
        <v>8912</v>
      </c>
      <c r="CQ1838" t="s">
        <v>2267</v>
      </c>
      <c r="CR1838">
        <v>145.96</v>
      </c>
      <c r="CS1838">
        <v>-17.3</v>
      </c>
      <c r="CT1838">
        <v>15.71</v>
      </c>
      <c r="CU1838">
        <v>-26.44</v>
      </c>
      <c r="CV1838">
        <v>7.2</v>
      </c>
      <c r="CW1838">
        <v>0</v>
      </c>
      <c r="CX1838" t="s">
        <v>1064</v>
      </c>
      <c r="CY1838">
        <v>0.57999999999999996</v>
      </c>
      <c r="CZ1838">
        <v>0.57999999999999996</v>
      </c>
      <c r="DA1838">
        <v>1.4</v>
      </c>
      <c r="DB1838">
        <v>-2.14</v>
      </c>
      <c r="DC1838">
        <v>-0.35</v>
      </c>
      <c r="DD1838">
        <v>17.89</v>
      </c>
      <c r="DE1838" t="s">
        <v>4949</v>
      </c>
      <c r="DF1838">
        <v>7.46</v>
      </c>
      <c r="DG1838">
        <v>4.58</v>
      </c>
      <c r="DH1838">
        <v>4.5199999999999996</v>
      </c>
      <c r="DI1838">
        <v>0.1</v>
      </c>
      <c r="DJ1838">
        <v>269</v>
      </c>
      <c r="DK1838">
        <v>300478</v>
      </c>
      <c r="DL1838" t="s">
        <v>120</v>
      </c>
      <c r="DM1838" t="s">
        <v>120</v>
      </c>
      <c r="DN1838" t="s">
        <v>120</v>
      </c>
    </row>
    <row r="1839" spans="1:118">
      <c r="A1839" t="str">
        <f>"300479"</f>
        <v>300479</v>
      </c>
      <c r="B1839" t="s">
        <v>9236</v>
      </c>
      <c r="C1839">
        <v>2.31</v>
      </c>
      <c r="D1839">
        <v>0.06</v>
      </c>
      <c r="E1839">
        <v>0.44</v>
      </c>
      <c r="F1839">
        <v>2251</v>
      </c>
      <c r="G1839" t="s">
        <v>6287</v>
      </c>
      <c r="H1839">
        <v>19829.12</v>
      </c>
      <c r="I1839">
        <v>89.3</v>
      </c>
      <c r="J1839" t="s">
        <v>120</v>
      </c>
      <c r="K1839" t="s">
        <v>9237</v>
      </c>
      <c r="L1839">
        <v>7.22</v>
      </c>
      <c r="M1839">
        <v>16.39</v>
      </c>
      <c r="N1839">
        <v>0.72</v>
      </c>
      <c r="O1839">
        <v>2.87</v>
      </c>
      <c r="P1839">
        <v>16.48</v>
      </c>
      <c r="Q1839">
        <v>-1.19</v>
      </c>
      <c r="R1839">
        <v>15.83</v>
      </c>
      <c r="S1839">
        <v>16.09</v>
      </c>
      <c r="T1839">
        <v>122434</v>
      </c>
      <c r="U1839">
        <v>16.39</v>
      </c>
      <c r="V1839">
        <v>16.02</v>
      </c>
      <c r="W1839" t="s">
        <v>120</v>
      </c>
      <c r="X1839" t="s">
        <v>141</v>
      </c>
      <c r="Y1839" t="s">
        <v>638</v>
      </c>
      <c r="Z1839">
        <v>4.0599999999999996</v>
      </c>
      <c r="AA1839">
        <v>16.2</v>
      </c>
      <c r="AB1839">
        <v>60758</v>
      </c>
      <c r="AC1839">
        <v>61676</v>
      </c>
      <c r="AD1839">
        <v>0.99</v>
      </c>
      <c r="AE1839">
        <v>875</v>
      </c>
      <c r="AF1839">
        <v>409</v>
      </c>
      <c r="AG1839" t="s">
        <v>120</v>
      </c>
      <c r="AH1839">
        <v>0.05</v>
      </c>
      <c r="AI1839" t="s">
        <v>120</v>
      </c>
      <c r="AJ1839">
        <v>1.7</v>
      </c>
      <c r="AK1839" t="s">
        <v>9237</v>
      </c>
      <c r="AL1839">
        <v>4.22</v>
      </c>
      <c r="AM1839">
        <v>3357</v>
      </c>
      <c r="AN1839">
        <v>36</v>
      </c>
      <c r="AO1839">
        <v>2.2000000000000001E-3</v>
      </c>
      <c r="AP1839">
        <v>1</v>
      </c>
      <c r="AQ1839">
        <v>-3.55</v>
      </c>
      <c r="AR1839">
        <v>7.76</v>
      </c>
      <c r="AS1839">
        <v>3.73</v>
      </c>
      <c r="AT1839">
        <v>32.29</v>
      </c>
      <c r="AU1839">
        <v>16</v>
      </c>
      <c r="AV1839">
        <v>3</v>
      </c>
      <c r="AW1839">
        <v>10.93</v>
      </c>
      <c r="AX1839">
        <v>66.08</v>
      </c>
      <c r="AY1839" t="s">
        <v>120</v>
      </c>
      <c r="AZ1839">
        <v>392.79</v>
      </c>
      <c r="BA1839">
        <v>0.73</v>
      </c>
      <c r="BB1839" t="s">
        <v>143</v>
      </c>
      <c r="BF1839">
        <v>1.1000000000000001</v>
      </c>
      <c r="BG1839">
        <v>1.86</v>
      </c>
      <c r="BH1839">
        <v>-0.55000000000000004</v>
      </c>
      <c r="BI1839">
        <v>3.54</v>
      </c>
      <c r="BJ1839">
        <v>20210830</v>
      </c>
      <c r="BK1839">
        <v>20150612</v>
      </c>
      <c r="BL1839">
        <v>1.7</v>
      </c>
      <c r="BM1839" t="s">
        <v>120</v>
      </c>
      <c r="BN1839" t="s">
        <v>120</v>
      </c>
      <c r="BO1839">
        <v>8.9</v>
      </c>
      <c r="BP1839">
        <v>16.38</v>
      </c>
      <c r="BQ1839">
        <v>6.12</v>
      </c>
      <c r="BR1839">
        <v>0.56999999999999995</v>
      </c>
      <c r="BS1839">
        <v>24.76</v>
      </c>
      <c r="BT1839">
        <v>5.04</v>
      </c>
      <c r="BU1839">
        <v>0.74</v>
      </c>
      <c r="BV1839">
        <v>0.48</v>
      </c>
      <c r="BW1839">
        <v>2.02</v>
      </c>
      <c r="BX1839">
        <v>0.62</v>
      </c>
      <c r="BY1839">
        <v>1.67</v>
      </c>
      <c r="BZ1839">
        <v>2.0699999999999998</v>
      </c>
      <c r="CA1839">
        <v>0</v>
      </c>
      <c r="CB1839">
        <v>2.68</v>
      </c>
      <c r="CC1839">
        <v>1.82</v>
      </c>
      <c r="CD1839">
        <v>1.26</v>
      </c>
      <c r="CE1839">
        <v>-0.14000000000000001</v>
      </c>
      <c r="CF1839">
        <v>0</v>
      </c>
      <c r="CG1839">
        <v>-0.14000000000000001</v>
      </c>
      <c r="CH1839">
        <v>-0.13</v>
      </c>
      <c r="CI1839">
        <v>-0.12</v>
      </c>
      <c r="CJ1839">
        <v>0.37</v>
      </c>
      <c r="CK1839">
        <v>-0.17</v>
      </c>
      <c r="CL1839">
        <v>1.5</v>
      </c>
      <c r="CM1839">
        <v>-0.31</v>
      </c>
      <c r="CN1839">
        <v>-0.47</v>
      </c>
      <c r="CO1839">
        <v>33489</v>
      </c>
      <c r="CP1839">
        <v>3346</v>
      </c>
      <c r="CQ1839" t="s">
        <v>4690</v>
      </c>
      <c r="CR1839">
        <v>-904.63</v>
      </c>
      <c r="CS1839">
        <v>16.670000000000002</v>
      </c>
      <c r="CT1839">
        <v>4.54</v>
      </c>
      <c r="CU1839">
        <v>-89.89</v>
      </c>
      <c r="CV1839">
        <v>15.28</v>
      </c>
      <c r="CW1839">
        <v>0.12</v>
      </c>
      <c r="CX1839" t="s">
        <v>7710</v>
      </c>
      <c r="CY1839">
        <v>3.61</v>
      </c>
      <c r="CZ1839">
        <v>0</v>
      </c>
      <c r="DA1839">
        <v>1.58</v>
      </c>
      <c r="DB1839">
        <v>0.89</v>
      </c>
      <c r="DC1839">
        <v>-0.18</v>
      </c>
      <c r="DD1839">
        <v>68.78</v>
      </c>
      <c r="DE1839" t="s">
        <v>9238</v>
      </c>
      <c r="DF1839">
        <v>30.99</v>
      </c>
      <c r="DG1839">
        <v>-7.86</v>
      </c>
      <c r="DH1839">
        <v>-6.67</v>
      </c>
      <c r="DI1839">
        <v>0.26</v>
      </c>
      <c r="DJ1839">
        <v>640</v>
      </c>
      <c r="DK1839">
        <v>300479</v>
      </c>
      <c r="DL1839" t="s">
        <v>120</v>
      </c>
      <c r="DM1839" t="s">
        <v>120</v>
      </c>
      <c r="DN1839" t="s">
        <v>120</v>
      </c>
    </row>
    <row r="1840" spans="1:118">
      <c r="A1840" t="str">
        <f>"300480"</f>
        <v>300480</v>
      </c>
      <c r="B1840" t="s">
        <v>9239</v>
      </c>
      <c r="C1840">
        <v>-7.87</v>
      </c>
      <c r="D1840">
        <v>0</v>
      </c>
      <c r="E1840">
        <v>-1.9</v>
      </c>
      <c r="F1840">
        <v>379</v>
      </c>
      <c r="G1840" t="s">
        <v>9240</v>
      </c>
      <c r="H1840">
        <v>20737.310000000001</v>
      </c>
      <c r="I1840">
        <v>82.5</v>
      </c>
      <c r="J1840" t="s">
        <v>120</v>
      </c>
      <c r="K1840" t="s">
        <v>9241</v>
      </c>
      <c r="L1840">
        <v>3.93</v>
      </c>
      <c r="M1840">
        <v>32.42</v>
      </c>
      <c r="N1840">
        <v>1.32</v>
      </c>
      <c r="O1840">
        <v>-0.03</v>
      </c>
      <c r="P1840">
        <v>35.18</v>
      </c>
      <c r="Q1840">
        <v>-8.33</v>
      </c>
      <c r="R1840">
        <v>32.26</v>
      </c>
      <c r="S1840">
        <v>34.520000000000003</v>
      </c>
      <c r="T1840">
        <v>62394</v>
      </c>
      <c r="U1840">
        <v>32.42</v>
      </c>
      <c r="V1840">
        <v>35.19</v>
      </c>
      <c r="W1840">
        <v>68.92</v>
      </c>
      <c r="X1840" t="s">
        <v>675</v>
      </c>
      <c r="Y1840" t="s">
        <v>645</v>
      </c>
      <c r="Z1840">
        <v>8.3000000000000007</v>
      </c>
      <c r="AA1840">
        <v>33.24</v>
      </c>
      <c r="AB1840">
        <v>37083</v>
      </c>
      <c r="AC1840">
        <v>25311</v>
      </c>
      <c r="AD1840">
        <v>1.47</v>
      </c>
      <c r="AE1840">
        <v>26</v>
      </c>
      <c r="AF1840">
        <v>18</v>
      </c>
      <c r="AG1840" t="s">
        <v>120</v>
      </c>
      <c r="AH1840">
        <v>0.02</v>
      </c>
      <c r="AI1840" t="s">
        <v>120</v>
      </c>
      <c r="AJ1840">
        <v>1.59</v>
      </c>
      <c r="AK1840" t="s">
        <v>9242</v>
      </c>
      <c r="AL1840">
        <v>-5.96</v>
      </c>
      <c r="AM1840">
        <v>3007</v>
      </c>
      <c r="AN1840">
        <v>21</v>
      </c>
      <c r="AO1840">
        <v>1.2999999999999999E-3</v>
      </c>
      <c r="AP1840">
        <v>-1</v>
      </c>
      <c r="AQ1840">
        <v>0.89</v>
      </c>
      <c r="AR1840">
        <v>-7</v>
      </c>
      <c r="AS1840">
        <v>-2.2599999999999998</v>
      </c>
      <c r="AT1840">
        <v>21.66</v>
      </c>
      <c r="AU1840">
        <v>139.62</v>
      </c>
      <c r="AV1840">
        <v>0</v>
      </c>
      <c r="AW1840">
        <v>5.49</v>
      </c>
      <c r="AX1840">
        <v>45.55</v>
      </c>
      <c r="AY1840">
        <v>101.11</v>
      </c>
      <c r="AZ1840">
        <v>147.84</v>
      </c>
      <c r="BA1840">
        <v>1.02</v>
      </c>
      <c r="BB1840" t="s">
        <v>143</v>
      </c>
      <c r="BF1840">
        <v>-5.55</v>
      </c>
      <c r="BG1840">
        <v>-6.08</v>
      </c>
      <c r="BH1840">
        <v>-7.85</v>
      </c>
      <c r="BI1840">
        <v>0.5</v>
      </c>
      <c r="BJ1840">
        <v>20210731</v>
      </c>
      <c r="BK1840">
        <v>20150702</v>
      </c>
      <c r="BL1840">
        <v>2.4900000000000002</v>
      </c>
      <c r="BM1840" t="s">
        <v>120</v>
      </c>
      <c r="BN1840" t="s">
        <v>120</v>
      </c>
      <c r="BO1840">
        <v>12.62</v>
      </c>
      <c r="BP1840">
        <v>32.409999999999997</v>
      </c>
      <c r="BQ1840">
        <v>8.34</v>
      </c>
      <c r="BR1840">
        <v>0.31</v>
      </c>
      <c r="BS1840">
        <v>31.47</v>
      </c>
      <c r="BT1840">
        <v>6.62</v>
      </c>
      <c r="BU1840">
        <v>0.48</v>
      </c>
      <c r="BV1840">
        <v>0.81</v>
      </c>
      <c r="BW1840">
        <v>2.2200000000000002</v>
      </c>
      <c r="BX1840">
        <v>1.31</v>
      </c>
      <c r="BY1840">
        <v>1.62</v>
      </c>
      <c r="BZ1840">
        <v>2.72</v>
      </c>
      <c r="CA1840">
        <v>0</v>
      </c>
      <c r="CB1840">
        <v>1.73</v>
      </c>
      <c r="CC1840">
        <v>2.0099999999999998</v>
      </c>
      <c r="CD1840">
        <v>0.91</v>
      </c>
      <c r="CE1840">
        <v>0.65</v>
      </c>
      <c r="CF1840">
        <v>0.23</v>
      </c>
      <c r="CG1840">
        <v>0.65</v>
      </c>
      <c r="CH1840">
        <v>0.61</v>
      </c>
      <c r="CI1840">
        <v>0.59</v>
      </c>
      <c r="CJ1840">
        <v>-2.77</v>
      </c>
      <c r="CK1840">
        <v>0.31</v>
      </c>
      <c r="CL1840">
        <v>3.68</v>
      </c>
      <c r="CM1840">
        <v>0.1</v>
      </c>
      <c r="CN1840">
        <v>-0.48</v>
      </c>
      <c r="CO1840">
        <v>9947</v>
      </c>
      <c r="CP1840">
        <v>11419</v>
      </c>
      <c r="CQ1840" t="s">
        <v>9017</v>
      </c>
      <c r="CR1840">
        <v>87.86</v>
      </c>
      <c r="CS1840">
        <v>65.19</v>
      </c>
      <c r="CT1840">
        <v>9.69</v>
      </c>
      <c r="CU1840">
        <v>790.23</v>
      </c>
      <c r="CV1840">
        <v>40.17</v>
      </c>
      <c r="CW1840">
        <v>0</v>
      </c>
      <c r="CX1840" t="s">
        <v>913</v>
      </c>
      <c r="CY1840">
        <v>3.35</v>
      </c>
      <c r="CZ1840">
        <v>0</v>
      </c>
      <c r="DA1840">
        <v>0.69</v>
      </c>
      <c r="DB1840">
        <v>1.48</v>
      </c>
      <c r="DC1840">
        <v>0.04</v>
      </c>
      <c r="DD1840">
        <v>66.099999999999994</v>
      </c>
      <c r="DE1840" t="s">
        <v>5617</v>
      </c>
      <c r="DF1840">
        <v>54.92</v>
      </c>
      <c r="DG1840">
        <v>32.26</v>
      </c>
      <c r="DH1840">
        <v>29.15</v>
      </c>
      <c r="DI1840">
        <v>0.2</v>
      </c>
      <c r="DJ1840">
        <v>481</v>
      </c>
      <c r="DK1840">
        <v>300480</v>
      </c>
      <c r="DL1840" t="s">
        <v>120</v>
      </c>
      <c r="DM1840" t="s">
        <v>120</v>
      </c>
      <c r="DN1840" t="s">
        <v>120</v>
      </c>
    </row>
    <row r="1841" spans="1:118">
      <c r="A1841" t="str">
        <f>"300481"</f>
        <v>300481</v>
      </c>
      <c r="B1841" t="s">
        <v>9243</v>
      </c>
      <c r="C1841">
        <v>-2.27</v>
      </c>
      <c r="D1841">
        <v>-0.08</v>
      </c>
      <c r="E1841">
        <v>-0.17</v>
      </c>
      <c r="F1841">
        <v>509</v>
      </c>
      <c r="G1841" t="s">
        <v>1748</v>
      </c>
      <c r="H1841">
        <v>18388.18</v>
      </c>
      <c r="I1841">
        <v>24.75</v>
      </c>
      <c r="J1841" t="s">
        <v>120</v>
      </c>
      <c r="K1841" t="s">
        <v>2150</v>
      </c>
      <c r="L1841">
        <v>2.98</v>
      </c>
      <c r="M1841">
        <v>23.3</v>
      </c>
      <c r="N1841">
        <v>1.37</v>
      </c>
      <c r="O1841">
        <v>3.52</v>
      </c>
      <c r="P1841">
        <v>24.68</v>
      </c>
      <c r="Q1841">
        <v>-2.68</v>
      </c>
      <c r="R1841">
        <v>23.2</v>
      </c>
      <c r="S1841">
        <v>23.8</v>
      </c>
      <c r="T1841">
        <v>76661</v>
      </c>
      <c r="U1841">
        <v>23.31</v>
      </c>
      <c r="V1841">
        <v>23.84</v>
      </c>
      <c r="W1841">
        <v>31.11</v>
      </c>
      <c r="X1841" t="s">
        <v>868</v>
      </c>
      <c r="Y1841" t="s">
        <v>645</v>
      </c>
      <c r="Z1841">
        <v>6.21</v>
      </c>
      <c r="AA1841">
        <v>23.99</v>
      </c>
      <c r="AB1841">
        <v>41043</v>
      </c>
      <c r="AC1841">
        <v>35618</v>
      </c>
      <c r="AD1841">
        <v>1.1499999999999999</v>
      </c>
      <c r="AE1841">
        <v>74</v>
      </c>
      <c r="AF1841">
        <v>23</v>
      </c>
      <c r="AG1841" t="s">
        <v>120</v>
      </c>
      <c r="AH1841">
        <v>0.01</v>
      </c>
      <c r="AI1841" t="s">
        <v>120</v>
      </c>
      <c r="AJ1841">
        <v>2.57</v>
      </c>
      <c r="AK1841" t="s">
        <v>7992</v>
      </c>
      <c r="AL1841">
        <v>-0.35</v>
      </c>
      <c r="AM1841">
        <v>2455</v>
      </c>
      <c r="AN1841">
        <v>31</v>
      </c>
      <c r="AO1841">
        <v>1.1999999999999999E-3</v>
      </c>
      <c r="AP1841">
        <v>-2</v>
      </c>
      <c r="AQ1841">
        <v>-2.42</v>
      </c>
      <c r="AR1841">
        <v>-3.32</v>
      </c>
      <c r="AS1841">
        <v>-4.74</v>
      </c>
      <c r="AT1841">
        <v>3.33</v>
      </c>
      <c r="AU1841">
        <v>15.98</v>
      </c>
      <c r="AV1841">
        <v>0</v>
      </c>
      <c r="AW1841">
        <v>5.29</v>
      </c>
      <c r="AX1841">
        <v>49.28</v>
      </c>
      <c r="AY1841">
        <v>35.229999999999997</v>
      </c>
      <c r="AZ1841">
        <v>39.06</v>
      </c>
      <c r="BA1841">
        <v>0.93</v>
      </c>
      <c r="BB1841" t="s">
        <v>143</v>
      </c>
      <c r="BF1841">
        <v>0.61</v>
      </c>
      <c r="BG1841">
        <v>-2.1</v>
      </c>
      <c r="BH1841">
        <v>-5.59</v>
      </c>
      <c r="BI1841">
        <v>0.43</v>
      </c>
      <c r="BJ1841">
        <v>20210915</v>
      </c>
      <c r="BK1841">
        <v>20150630</v>
      </c>
      <c r="BL1841">
        <v>2.94</v>
      </c>
      <c r="BM1841" t="s">
        <v>120</v>
      </c>
      <c r="BN1841" t="s">
        <v>120</v>
      </c>
      <c r="BO1841">
        <v>19.32</v>
      </c>
      <c r="BP1841">
        <v>23.3</v>
      </c>
      <c r="BQ1841">
        <v>18.47</v>
      </c>
      <c r="BR1841">
        <v>0.01</v>
      </c>
      <c r="BS1841">
        <v>4.3</v>
      </c>
      <c r="BT1841">
        <v>14.14</v>
      </c>
      <c r="BU1841">
        <v>3.81</v>
      </c>
      <c r="BV1841">
        <v>0.83</v>
      </c>
      <c r="BW1841">
        <v>0.59</v>
      </c>
      <c r="BX1841">
        <v>9.24</v>
      </c>
      <c r="BY1841">
        <v>1.1599999999999999</v>
      </c>
      <c r="BZ1841">
        <v>2.04</v>
      </c>
      <c r="CA1841" t="s">
        <v>120</v>
      </c>
      <c r="CB1841">
        <v>9.5500000000000007</v>
      </c>
      <c r="CC1841">
        <v>6.1</v>
      </c>
      <c r="CD1841">
        <v>4.3099999999999996</v>
      </c>
      <c r="CE1841">
        <v>1.27</v>
      </c>
      <c r="CF1841">
        <v>0</v>
      </c>
      <c r="CG1841">
        <v>1.26</v>
      </c>
      <c r="CH1841">
        <v>1.1000000000000001</v>
      </c>
      <c r="CI1841">
        <v>1.1000000000000001</v>
      </c>
      <c r="CJ1841">
        <v>-0.54</v>
      </c>
      <c r="CK1841">
        <v>1.08</v>
      </c>
      <c r="CL1841">
        <v>5.21</v>
      </c>
      <c r="CM1841">
        <v>0.3</v>
      </c>
      <c r="CN1841">
        <v>6.98</v>
      </c>
      <c r="CO1841">
        <v>19057</v>
      </c>
      <c r="CP1841">
        <v>7610</v>
      </c>
      <c r="CQ1841" t="s">
        <v>3838</v>
      </c>
      <c r="CR1841">
        <v>21.54</v>
      </c>
      <c r="CS1841">
        <v>51.68</v>
      </c>
      <c r="CT1841">
        <v>3.71</v>
      </c>
      <c r="CU1841">
        <v>225.37</v>
      </c>
      <c r="CV1841">
        <v>11.25</v>
      </c>
      <c r="CW1841">
        <v>0.73</v>
      </c>
      <c r="CX1841" t="s">
        <v>1327</v>
      </c>
      <c r="CY1841">
        <v>6.28</v>
      </c>
      <c r="CZ1841">
        <v>0</v>
      </c>
      <c r="DA1841">
        <v>3.24</v>
      </c>
      <c r="DB1841">
        <v>1.77</v>
      </c>
      <c r="DC1841">
        <v>0.1</v>
      </c>
      <c r="DD1841">
        <v>95.63</v>
      </c>
      <c r="DE1841" t="s">
        <v>9244</v>
      </c>
      <c r="DF1841">
        <v>29.36</v>
      </c>
      <c r="DG1841">
        <v>20.75</v>
      </c>
      <c r="DH1841">
        <v>18.07</v>
      </c>
      <c r="DI1841">
        <v>0.33</v>
      </c>
      <c r="DJ1841">
        <v>541</v>
      </c>
      <c r="DK1841">
        <v>300481</v>
      </c>
      <c r="DL1841" t="s">
        <v>120</v>
      </c>
      <c r="DM1841" t="s">
        <v>120</v>
      </c>
      <c r="DN1841" t="s">
        <v>120</v>
      </c>
    </row>
    <row r="1842" spans="1:118">
      <c r="A1842" t="str">
        <f>"300482"</f>
        <v>300482</v>
      </c>
      <c r="B1842" t="s">
        <v>9245</v>
      </c>
      <c r="C1842">
        <v>-1.98</v>
      </c>
      <c r="D1842">
        <v>-0.02</v>
      </c>
      <c r="E1842">
        <v>-0.28000000000000003</v>
      </c>
      <c r="F1842">
        <v>753</v>
      </c>
      <c r="G1842" t="s">
        <v>9246</v>
      </c>
      <c r="H1842">
        <v>21452.94</v>
      </c>
      <c r="I1842">
        <v>26.69</v>
      </c>
      <c r="J1842" t="s">
        <v>120</v>
      </c>
      <c r="K1842" t="s">
        <v>9247</v>
      </c>
      <c r="L1842">
        <v>1.69</v>
      </c>
      <c r="M1842">
        <v>39.159999999999997</v>
      </c>
      <c r="N1842">
        <v>0.81</v>
      </c>
      <c r="O1842">
        <v>0.63</v>
      </c>
      <c r="P1842">
        <v>40.200000000000003</v>
      </c>
      <c r="Q1842">
        <v>-2</v>
      </c>
      <c r="R1842">
        <v>39.15</v>
      </c>
      <c r="S1842">
        <v>39.840000000000003</v>
      </c>
      <c r="T1842">
        <v>54170</v>
      </c>
      <c r="U1842">
        <v>39.159999999999997</v>
      </c>
      <c r="V1842">
        <v>39.950000000000003</v>
      </c>
      <c r="W1842">
        <v>15.68</v>
      </c>
      <c r="X1842" t="s">
        <v>555</v>
      </c>
      <c r="Y1842" t="s">
        <v>547</v>
      </c>
      <c r="Z1842">
        <v>2.63</v>
      </c>
      <c r="AA1842">
        <v>39.6</v>
      </c>
      <c r="AB1842">
        <v>28826</v>
      </c>
      <c r="AC1842">
        <v>25344</v>
      </c>
      <c r="AD1842">
        <v>1.1399999999999999</v>
      </c>
      <c r="AE1842">
        <v>70</v>
      </c>
      <c r="AF1842">
        <v>12</v>
      </c>
      <c r="AG1842" t="s">
        <v>120</v>
      </c>
      <c r="AH1842">
        <v>0</v>
      </c>
      <c r="AI1842" t="s">
        <v>120</v>
      </c>
      <c r="AJ1842">
        <v>3.2</v>
      </c>
      <c r="AK1842" t="s">
        <v>9248</v>
      </c>
      <c r="AL1842">
        <v>-0.06</v>
      </c>
      <c r="AM1842">
        <v>3452</v>
      </c>
      <c r="AN1842">
        <v>16</v>
      </c>
      <c r="AO1842">
        <v>5.0000000000000001E-4</v>
      </c>
      <c r="AP1842">
        <v>-4</v>
      </c>
      <c r="AQ1842">
        <v>-0.08</v>
      </c>
      <c r="AR1842">
        <v>-4.38</v>
      </c>
      <c r="AS1842">
        <v>-23.66</v>
      </c>
      <c r="AT1842">
        <v>-37.35</v>
      </c>
      <c r="AU1842">
        <v>-42.62</v>
      </c>
      <c r="AV1842">
        <v>0</v>
      </c>
      <c r="AW1842">
        <v>2.2999999999999998</v>
      </c>
      <c r="AX1842">
        <v>52.87</v>
      </c>
      <c r="AY1842">
        <v>23.99</v>
      </c>
      <c r="AZ1842">
        <v>28.03</v>
      </c>
      <c r="BA1842">
        <v>0.94</v>
      </c>
      <c r="BB1842" t="s">
        <v>168</v>
      </c>
      <c r="BF1842">
        <v>-0.87</v>
      </c>
      <c r="BG1842">
        <v>-1.71</v>
      </c>
      <c r="BH1842">
        <v>-2.59</v>
      </c>
      <c r="BI1842">
        <v>0.03</v>
      </c>
      <c r="BJ1842">
        <v>20210910</v>
      </c>
      <c r="BK1842">
        <v>20150630</v>
      </c>
      <c r="BL1842">
        <v>4.45</v>
      </c>
      <c r="BM1842" t="s">
        <v>120</v>
      </c>
      <c r="BN1842" t="s">
        <v>120</v>
      </c>
      <c r="BO1842">
        <v>48.25</v>
      </c>
      <c r="BP1842">
        <v>39.15</v>
      </c>
      <c r="BQ1842">
        <v>32.69</v>
      </c>
      <c r="BR1842">
        <v>1.54</v>
      </c>
      <c r="BS1842">
        <v>29.07</v>
      </c>
      <c r="BT1842">
        <v>27.95</v>
      </c>
      <c r="BU1842">
        <v>5.55</v>
      </c>
      <c r="BV1842">
        <v>1.82</v>
      </c>
      <c r="BW1842">
        <v>8.59</v>
      </c>
      <c r="BX1842">
        <v>9.6</v>
      </c>
      <c r="BY1842">
        <v>4.9800000000000004</v>
      </c>
      <c r="BZ1842">
        <v>5.13</v>
      </c>
      <c r="CA1842" t="s">
        <v>120</v>
      </c>
      <c r="CB1842">
        <v>7.84</v>
      </c>
      <c r="CC1842">
        <v>18.559999999999999</v>
      </c>
      <c r="CD1842">
        <v>5.8</v>
      </c>
      <c r="CE1842">
        <v>6.4</v>
      </c>
      <c r="CF1842">
        <v>0.3</v>
      </c>
      <c r="CG1842">
        <v>6.38</v>
      </c>
      <c r="CH1842">
        <v>5.58</v>
      </c>
      <c r="CI1842">
        <v>5.56</v>
      </c>
      <c r="CJ1842">
        <v>-0.79</v>
      </c>
      <c r="CK1842">
        <v>5.0199999999999996</v>
      </c>
      <c r="CL1842">
        <v>18.21</v>
      </c>
      <c r="CM1842">
        <v>3.32</v>
      </c>
      <c r="CN1842">
        <v>-4.34</v>
      </c>
      <c r="CO1842">
        <v>17351</v>
      </c>
      <c r="CP1842">
        <v>13557</v>
      </c>
      <c r="CQ1842" t="s">
        <v>9249</v>
      </c>
      <c r="CR1842">
        <v>23.76</v>
      </c>
      <c r="CS1842">
        <v>15.53</v>
      </c>
      <c r="CT1842">
        <v>5.51</v>
      </c>
      <c r="CU1842">
        <v>52.45</v>
      </c>
      <c r="CV1842">
        <v>9.39</v>
      </c>
      <c r="CW1842">
        <v>0.96</v>
      </c>
      <c r="CX1842" t="s">
        <v>1526</v>
      </c>
      <c r="CY1842">
        <v>7.11</v>
      </c>
      <c r="CZ1842">
        <v>7.11</v>
      </c>
      <c r="DA1842">
        <v>1.76</v>
      </c>
      <c r="DB1842">
        <v>4.09</v>
      </c>
      <c r="DC1842">
        <v>0.75</v>
      </c>
      <c r="DD1842">
        <v>67.75</v>
      </c>
      <c r="DE1842" t="s">
        <v>9250</v>
      </c>
      <c r="DF1842">
        <v>68.760000000000005</v>
      </c>
      <c r="DG1842">
        <v>34.47</v>
      </c>
      <c r="DH1842">
        <v>29.94</v>
      </c>
      <c r="DI1842">
        <v>1.81</v>
      </c>
      <c r="DJ1842">
        <v>2926</v>
      </c>
      <c r="DK1842">
        <v>300482</v>
      </c>
      <c r="DL1842" t="s">
        <v>120</v>
      </c>
      <c r="DM1842" t="s">
        <v>120</v>
      </c>
      <c r="DN1842" t="s">
        <v>120</v>
      </c>
    </row>
    <row r="1843" spans="1:118">
      <c r="A1843" t="str">
        <f>"300483"</f>
        <v>300483</v>
      </c>
      <c r="B1843" t="s">
        <v>9251</v>
      </c>
      <c r="C1843">
        <v>-1.57</v>
      </c>
      <c r="D1843">
        <v>-0.32</v>
      </c>
      <c r="E1843">
        <v>3.13</v>
      </c>
      <c r="F1843">
        <v>1423</v>
      </c>
      <c r="G1843" t="s">
        <v>9252</v>
      </c>
      <c r="H1843">
        <v>45123.48</v>
      </c>
      <c r="I1843">
        <v>480.99</v>
      </c>
      <c r="J1843" t="s">
        <v>120</v>
      </c>
      <c r="K1843" t="s">
        <v>6559</v>
      </c>
      <c r="L1843">
        <v>7.39</v>
      </c>
      <c r="M1843">
        <v>27.02</v>
      </c>
      <c r="N1843">
        <v>0.64</v>
      </c>
      <c r="O1843">
        <v>7.83</v>
      </c>
      <c r="P1843">
        <v>29.6</v>
      </c>
      <c r="Q1843">
        <v>-2.19</v>
      </c>
      <c r="R1843">
        <v>26.85</v>
      </c>
      <c r="S1843">
        <v>28.31</v>
      </c>
      <c r="T1843">
        <v>159245</v>
      </c>
      <c r="U1843">
        <v>27.02</v>
      </c>
      <c r="V1843">
        <v>27.45</v>
      </c>
      <c r="W1843">
        <v>66.89</v>
      </c>
      <c r="X1843" t="s">
        <v>3867</v>
      </c>
      <c r="Y1843" t="s">
        <v>1510</v>
      </c>
      <c r="Z1843">
        <v>10.02</v>
      </c>
      <c r="AA1843">
        <v>28.34</v>
      </c>
      <c r="AB1843">
        <v>84302</v>
      </c>
      <c r="AC1843">
        <v>74943</v>
      </c>
      <c r="AD1843">
        <v>1.1200000000000001</v>
      </c>
      <c r="AE1843">
        <v>29</v>
      </c>
      <c r="AF1843">
        <v>309</v>
      </c>
      <c r="AG1843" t="s">
        <v>120</v>
      </c>
      <c r="AH1843">
        <v>0.1</v>
      </c>
      <c r="AI1843" t="s">
        <v>120</v>
      </c>
      <c r="AJ1843">
        <v>2.15</v>
      </c>
      <c r="AK1843" t="s">
        <v>1323</v>
      </c>
      <c r="AL1843">
        <v>0.35</v>
      </c>
      <c r="AM1843">
        <v>3546</v>
      </c>
      <c r="AN1843">
        <v>45</v>
      </c>
      <c r="AO1843">
        <v>2.0999999999999999E-3</v>
      </c>
      <c r="AP1843">
        <v>-1</v>
      </c>
      <c r="AQ1843">
        <v>1.33</v>
      </c>
      <c r="AR1843">
        <v>-6.95</v>
      </c>
      <c r="AS1843">
        <v>61.6</v>
      </c>
      <c r="AT1843">
        <v>84.19</v>
      </c>
      <c r="AU1843">
        <v>26.39</v>
      </c>
      <c r="AV1843">
        <v>2</v>
      </c>
      <c r="AW1843">
        <v>9.32</v>
      </c>
      <c r="AX1843">
        <v>63.66</v>
      </c>
      <c r="AY1843">
        <v>81.180000000000007</v>
      </c>
      <c r="AZ1843">
        <v>68.41</v>
      </c>
      <c r="BA1843">
        <v>0.82</v>
      </c>
      <c r="BB1843" t="s">
        <v>143</v>
      </c>
      <c r="BF1843">
        <v>3.23</v>
      </c>
      <c r="BG1843">
        <v>-4.5599999999999996</v>
      </c>
      <c r="BH1843">
        <v>-8.7200000000000006</v>
      </c>
      <c r="BI1843">
        <v>0.63</v>
      </c>
      <c r="BJ1843">
        <v>20210830</v>
      </c>
      <c r="BK1843">
        <v>20150630</v>
      </c>
      <c r="BL1843">
        <v>2.69</v>
      </c>
      <c r="BM1843" t="s">
        <v>120</v>
      </c>
      <c r="BN1843" t="s">
        <v>120</v>
      </c>
      <c r="BO1843">
        <v>71.05</v>
      </c>
      <c r="BP1843">
        <v>27</v>
      </c>
      <c r="BQ1843">
        <v>27.87</v>
      </c>
      <c r="BR1843">
        <v>14.94</v>
      </c>
      <c r="BS1843">
        <v>39.74</v>
      </c>
      <c r="BT1843">
        <v>7.01</v>
      </c>
      <c r="BU1843">
        <v>7.84</v>
      </c>
      <c r="BV1843">
        <v>24.82</v>
      </c>
      <c r="BW1843">
        <v>14.92</v>
      </c>
      <c r="BX1843">
        <v>3.03</v>
      </c>
      <c r="BY1843">
        <v>0.5</v>
      </c>
      <c r="BZ1843">
        <v>1.65</v>
      </c>
      <c r="CA1843">
        <v>0.05</v>
      </c>
      <c r="CB1843">
        <v>21.31</v>
      </c>
      <c r="CC1843">
        <v>8.92</v>
      </c>
      <c r="CD1843">
        <v>6.05</v>
      </c>
      <c r="CE1843">
        <v>1.35</v>
      </c>
      <c r="CF1843">
        <v>0</v>
      </c>
      <c r="CG1843">
        <v>1.36</v>
      </c>
      <c r="CH1843">
        <v>1.05</v>
      </c>
      <c r="CI1843">
        <v>0.54</v>
      </c>
      <c r="CJ1843">
        <v>-0.43</v>
      </c>
      <c r="CK1843">
        <v>0.54</v>
      </c>
      <c r="CL1843">
        <v>3.61</v>
      </c>
      <c r="CM1843">
        <v>2.91</v>
      </c>
      <c r="CN1843">
        <v>0.39</v>
      </c>
      <c r="CO1843">
        <v>7586</v>
      </c>
      <c r="CP1843">
        <v>22534</v>
      </c>
      <c r="CQ1843" t="s">
        <v>9253</v>
      </c>
      <c r="CR1843">
        <v>-23.82</v>
      </c>
      <c r="CS1843">
        <v>28.51</v>
      </c>
      <c r="CT1843">
        <v>2.6</v>
      </c>
      <c r="CU1843">
        <v>24.89</v>
      </c>
      <c r="CV1843">
        <v>8.1300000000000008</v>
      </c>
      <c r="CW1843">
        <v>0</v>
      </c>
      <c r="CX1843" t="s">
        <v>4763</v>
      </c>
      <c r="CY1843">
        <v>10.38</v>
      </c>
      <c r="CZ1843">
        <v>0</v>
      </c>
      <c r="DA1843">
        <v>7.93</v>
      </c>
      <c r="DB1843">
        <v>1.34</v>
      </c>
      <c r="DC1843">
        <v>1.0900000000000001</v>
      </c>
      <c r="DD1843">
        <v>39.22</v>
      </c>
      <c r="DE1843" t="s">
        <v>1768</v>
      </c>
      <c r="DF1843">
        <v>32.14</v>
      </c>
      <c r="DG1843">
        <v>15.18</v>
      </c>
      <c r="DH1843">
        <v>6.08</v>
      </c>
      <c r="DI1843">
        <v>0.05</v>
      </c>
      <c r="DJ1843">
        <v>443</v>
      </c>
      <c r="DK1843">
        <v>300483</v>
      </c>
      <c r="DL1843">
        <v>20210906</v>
      </c>
      <c r="DM1843">
        <v>24.1</v>
      </c>
      <c r="DN1843">
        <v>12.12</v>
      </c>
    </row>
    <row r="1844" spans="1:118">
      <c r="A1844" t="str">
        <f>"300484"</f>
        <v>300484</v>
      </c>
      <c r="B1844" t="s">
        <v>9254</v>
      </c>
      <c r="C1844">
        <v>-5.89</v>
      </c>
      <c r="D1844">
        <v>0</v>
      </c>
      <c r="E1844">
        <v>-0.06</v>
      </c>
      <c r="F1844">
        <v>1367</v>
      </c>
      <c r="G1844" t="s">
        <v>1707</v>
      </c>
      <c r="H1844">
        <v>12311.04</v>
      </c>
      <c r="I1844">
        <v>36.270000000000003</v>
      </c>
      <c r="J1844" t="s">
        <v>120</v>
      </c>
      <c r="K1844" t="s">
        <v>3370</v>
      </c>
      <c r="L1844">
        <v>4.95</v>
      </c>
      <c r="M1844">
        <v>15.81</v>
      </c>
      <c r="N1844">
        <v>0.85</v>
      </c>
      <c r="O1844">
        <v>-0.06</v>
      </c>
      <c r="P1844">
        <v>16.79</v>
      </c>
      <c r="Q1844">
        <v>-5.89</v>
      </c>
      <c r="R1844">
        <v>15.81</v>
      </c>
      <c r="S1844">
        <v>16.79</v>
      </c>
      <c r="T1844">
        <v>75724</v>
      </c>
      <c r="U1844">
        <v>15.82</v>
      </c>
      <c r="V1844">
        <v>16.8</v>
      </c>
      <c r="W1844">
        <v>52.39</v>
      </c>
      <c r="X1844" t="s">
        <v>394</v>
      </c>
      <c r="Y1844" t="s">
        <v>123</v>
      </c>
      <c r="Z1844">
        <v>5.83</v>
      </c>
      <c r="AA1844">
        <v>16.260000000000002</v>
      </c>
      <c r="AB1844">
        <v>46635</v>
      </c>
      <c r="AC1844">
        <v>29089</v>
      </c>
      <c r="AD1844">
        <v>1.6</v>
      </c>
      <c r="AE1844">
        <v>348</v>
      </c>
      <c r="AF1844">
        <v>172</v>
      </c>
      <c r="AG1844" t="s">
        <v>120</v>
      </c>
      <c r="AH1844">
        <v>0.02</v>
      </c>
      <c r="AI1844" t="s">
        <v>120</v>
      </c>
      <c r="AJ1844">
        <v>1.53</v>
      </c>
      <c r="AK1844" t="s">
        <v>9255</v>
      </c>
      <c r="AL1844">
        <v>-3.98</v>
      </c>
      <c r="AM1844">
        <v>2513</v>
      </c>
      <c r="AN1844">
        <v>30</v>
      </c>
      <c r="AO1844">
        <v>2E-3</v>
      </c>
      <c r="AP1844">
        <v>-1</v>
      </c>
      <c r="AQ1844">
        <v>0.12</v>
      </c>
      <c r="AR1844">
        <v>-6.18</v>
      </c>
      <c r="AS1844">
        <v>-8.7200000000000006</v>
      </c>
      <c r="AT1844">
        <v>9.8699999999999992</v>
      </c>
      <c r="AU1844">
        <v>-1.46</v>
      </c>
      <c r="AV1844">
        <v>3</v>
      </c>
      <c r="AW1844">
        <v>5.89</v>
      </c>
      <c r="AX1844">
        <v>61.81</v>
      </c>
      <c r="AY1844">
        <v>63.55</v>
      </c>
      <c r="AZ1844">
        <v>67.040000000000006</v>
      </c>
      <c r="BA1844">
        <v>1.38</v>
      </c>
      <c r="BB1844" t="s">
        <v>751</v>
      </c>
      <c r="BF1844">
        <v>-3.23</v>
      </c>
      <c r="BG1844">
        <v>-5.84</v>
      </c>
      <c r="BH1844">
        <v>-5.84</v>
      </c>
      <c r="BI1844">
        <v>0</v>
      </c>
      <c r="BJ1844">
        <v>20210903</v>
      </c>
      <c r="BK1844">
        <v>20160322</v>
      </c>
      <c r="BL1844">
        <v>2.08</v>
      </c>
      <c r="BM1844" t="s">
        <v>120</v>
      </c>
      <c r="BN1844" t="s">
        <v>120</v>
      </c>
      <c r="BO1844">
        <v>11.86</v>
      </c>
      <c r="BP1844">
        <v>15.81</v>
      </c>
      <c r="BQ1844">
        <v>6.03</v>
      </c>
      <c r="BR1844">
        <v>0.18</v>
      </c>
      <c r="BS1844">
        <v>47.59</v>
      </c>
      <c r="BT1844">
        <v>10.41</v>
      </c>
      <c r="BU1844">
        <v>0.27</v>
      </c>
      <c r="BV1844">
        <v>0.01</v>
      </c>
      <c r="BW1844">
        <v>5.46</v>
      </c>
      <c r="BX1844">
        <v>2.82</v>
      </c>
      <c r="BY1844">
        <v>2.87</v>
      </c>
      <c r="BZ1844">
        <v>1.71</v>
      </c>
      <c r="CA1844" t="s">
        <v>120</v>
      </c>
      <c r="CB1844">
        <v>0.82</v>
      </c>
      <c r="CC1844">
        <v>2.5299999999999998</v>
      </c>
      <c r="CD1844">
        <v>1.79</v>
      </c>
      <c r="CE1844">
        <v>0.45</v>
      </c>
      <c r="CF1844">
        <v>0.02</v>
      </c>
      <c r="CG1844">
        <v>0.45</v>
      </c>
      <c r="CH1844">
        <v>0.36</v>
      </c>
      <c r="CI1844">
        <v>0.31</v>
      </c>
      <c r="CJ1844">
        <v>-0.99</v>
      </c>
      <c r="CK1844">
        <v>0.28000000000000003</v>
      </c>
      <c r="CL1844">
        <v>2.79</v>
      </c>
      <c r="CM1844">
        <v>0.99</v>
      </c>
      <c r="CN1844">
        <v>0.03</v>
      </c>
      <c r="CO1844">
        <v>26353</v>
      </c>
      <c r="CP1844">
        <v>4878</v>
      </c>
      <c r="CQ1844" t="s">
        <v>3428</v>
      </c>
      <c r="CR1844">
        <v>10.050000000000001</v>
      </c>
      <c r="CS1844">
        <v>34.880000000000003</v>
      </c>
      <c r="CT1844">
        <v>5.45</v>
      </c>
      <c r="CU1844">
        <v>33.19</v>
      </c>
      <c r="CV1844">
        <v>12.98</v>
      </c>
      <c r="CW1844">
        <v>0.44</v>
      </c>
      <c r="CX1844" t="s">
        <v>2456</v>
      </c>
      <c r="CY1844">
        <v>2.9</v>
      </c>
      <c r="CZ1844">
        <v>0</v>
      </c>
      <c r="DA1844">
        <v>0.4</v>
      </c>
      <c r="DB1844">
        <v>1.34</v>
      </c>
      <c r="DC1844">
        <v>0.48</v>
      </c>
      <c r="DD1844">
        <v>50.86</v>
      </c>
      <c r="DE1844" t="s">
        <v>5226</v>
      </c>
      <c r="DF1844">
        <v>29.45</v>
      </c>
      <c r="DG1844">
        <v>17.62</v>
      </c>
      <c r="DH1844">
        <v>12.39</v>
      </c>
      <c r="DI1844">
        <v>0.13</v>
      </c>
      <c r="DJ1844">
        <v>366</v>
      </c>
      <c r="DK1844">
        <v>300484</v>
      </c>
      <c r="DL1844" t="s">
        <v>120</v>
      </c>
      <c r="DM1844" t="s">
        <v>120</v>
      </c>
      <c r="DN1844" t="s">
        <v>120</v>
      </c>
    </row>
    <row r="1845" spans="1:118">
      <c r="A1845" t="str">
        <f>"300485"</f>
        <v>300485</v>
      </c>
      <c r="B1845" t="s">
        <v>9256</v>
      </c>
      <c r="C1845">
        <v>-1.1000000000000001</v>
      </c>
      <c r="D1845">
        <v>0</v>
      </c>
      <c r="E1845">
        <v>-0.93</v>
      </c>
      <c r="F1845">
        <v>364</v>
      </c>
      <c r="G1845" t="s">
        <v>9257</v>
      </c>
      <c r="H1845">
        <v>4185.96</v>
      </c>
      <c r="I1845">
        <v>41.02</v>
      </c>
      <c r="J1845" t="s">
        <v>120</v>
      </c>
      <c r="K1845" t="s">
        <v>2739</v>
      </c>
      <c r="L1845">
        <v>1.35</v>
      </c>
      <c r="M1845">
        <v>11.7</v>
      </c>
      <c r="N1845">
        <v>0.72</v>
      </c>
      <c r="O1845">
        <v>0.85</v>
      </c>
      <c r="P1845">
        <v>11.93</v>
      </c>
      <c r="Q1845">
        <v>-1.18</v>
      </c>
      <c r="R1845">
        <v>11.69</v>
      </c>
      <c r="S1845">
        <v>11.72</v>
      </c>
      <c r="T1845">
        <v>35479</v>
      </c>
      <c r="U1845">
        <v>11.7</v>
      </c>
      <c r="V1845">
        <v>11.83</v>
      </c>
      <c r="W1845">
        <v>33.020000000000003</v>
      </c>
      <c r="X1845" t="s">
        <v>666</v>
      </c>
      <c r="Y1845" t="s">
        <v>158</v>
      </c>
      <c r="Z1845">
        <v>2.0299999999999998</v>
      </c>
      <c r="AA1845">
        <v>11.8</v>
      </c>
      <c r="AB1845">
        <v>19128</v>
      </c>
      <c r="AC1845">
        <v>16351</v>
      </c>
      <c r="AD1845">
        <v>1.17</v>
      </c>
      <c r="AE1845">
        <v>191</v>
      </c>
      <c r="AF1845">
        <v>630</v>
      </c>
      <c r="AG1845" t="s">
        <v>120</v>
      </c>
      <c r="AH1845">
        <v>0.02</v>
      </c>
      <c r="AI1845" t="s">
        <v>120</v>
      </c>
      <c r="AJ1845">
        <v>2.63</v>
      </c>
      <c r="AK1845" t="s">
        <v>9258</v>
      </c>
      <c r="AL1845">
        <v>0.81</v>
      </c>
      <c r="AM1845">
        <v>1371</v>
      </c>
      <c r="AN1845">
        <v>26</v>
      </c>
      <c r="AO1845">
        <v>1E-3</v>
      </c>
      <c r="AP1845">
        <v>-3</v>
      </c>
      <c r="AQ1845">
        <v>-2.23</v>
      </c>
      <c r="AR1845">
        <v>-3.94</v>
      </c>
      <c r="AS1845">
        <v>-7.94</v>
      </c>
      <c r="AT1845">
        <v>-6.63</v>
      </c>
      <c r="AU1845">
        <v>-20.38</v>
      </c>
      <c r="AV1845">
        <v>2</v>
      </c>
      <c r="AW1845">
        <v>1.87</v>
      </c>
      <c r="AX1845">
        <v>39.47</v>
      </c>
      <c r="AY1845">
        <v>36.68</v>
      </c>
      <c r="AZ1845">
        <v>36.78</v>
      </c>
      <c r="BA1845">
        <v>0.67</v>
      </c>
      <c r="BB1845" t="s">
        <v>125</v>
      </c>
      <c r="BF1845">
        <v>-0.27</v>
      </c>
      <c r="BG1845">
        <v>-0.17</v>
      </c>
      <c r="BH1845">
        <v>-1.93</v>
      </c>
      <c r="BI1845">
        <v>0.09</v>
      </c>
      <c r="BJ1845">
        <v>20210827</v>
      </c>
      <c r="BK1845">
        <v>20150626</v>
      </c>
      <c r="BL1845">
        <v>4.82</v>
      </c>
      <c r="BM1845" t="s">
        <v>120</v>
      </c>
      <c r="BN1845" t="s">
        <v>120</v>
      </c>
      <c r="BO1845">
        <v>36.83</v>
      </c>
      <c r="BP1845">
        <v>11.69</v>
      </c>
      <c r="BQ1845">
        <v>28.58</v>
      </c>
      <c r="BR1845">
        <v>0.52</v>
      </c>
      <c r="BS1845">
        <v>21</v>
      </c>
      <c r="BT1845">
        <v>21.28</v>
      </c>
      <c r="BU1845">
        <v>5.45</v>
      </c>
      <c r="BV1845">
        <v>0.54</v>
      </c>
      <c r="BW1845">
        <v>7.68</v>
      </c>
      <c r="BX1845">
        <v>4.79</v>
      </c>
      <c r="BY1845">
        <v>2.1</v>
      </c>
      <c r="BZ1845">
        <v>1.85</v>
      </c>
      <c r="CA1845" t="s">
        <v>120</v>
      </c>
      <c r="CB1845">
        <v>8.3800000000000008</v>
      </c>
      <c r="CC1845">
        <v>8.6999999999999993</v>
      </c>
      <c r="CD1845">
        <v>4.43</v>
      </c>
      <c r="CE1845">
        <v>0.95</v>
      </c>
      <c r="CF1845">
        <v>0.1</v>
      </c>
      <c r="CG1845">
        <v>0.95</v>
      </c>
      <c r="CH1845">
        <v>0.84</v>
      </c>
      <c r="CI1845">
        <v>0.85</v>
      </c>
      <c r="CJ1845">
        <v>-0.13</v>
      </c>
      <c r="CK1845">
        <v>0.52</v>
      </c>
      <c r="CL1845">
        <v>13.66</v>
      </c>
      <c r="CM1845">
        <v>0.45</v>
      </c>
      <c r="CN1845">
        <v>-2.09</v>
      </c>
      <c r="CO1845">
        <v>35886</v>
      </c>
      <c r="CP1845">
        <v>5298</v>
      </c>
      <c r="CQ1845" t="s">
        <v>7561</v>
      </c>
      <c r="CR1845">
        <v>0.53</v>
      </c>
      <c r="CS1845">
        <v>79.540000000000006</v>
      </c>
      <c r="CT1845">
        <v>1.97</v>
      </c>
      <c r="CU1845">
        <v>125.63</v>
      </c>
      <c r="CV1845">
        <v>6.48</v>
      </c>
      <c r="CW1845">
        <v>0.55000000000000004</v>
      </c>
      <c r="CX1845" t="s">
        <v>242</v>
      </c>
      <c r="CY1845">
        <v>5.93</v>
      </c>
      <c r="CZ1845">
        <v>0</v>
      </c>
      <c r="DA1845">
        <v>1.74</v>
      </c>
      <c r="DB1845">
        <v>2.83</v>
      </c>
      <c r="DC1845">
        <v>0.09</v>
      </c>
      <c r="DD1845">
        <v>77.599999999999994</v>
      </c>
      <c r="DE1845" t="s">
        <v>243</v>
      </c>
      <c r="DF1845">
        <v>49.07</v>
      </c>
      <c r="DG1845">
        <v>10.87</v>
      </c>
      <c r="DH1845">
        <v>9.81</v>
      </c>
      <c r="DI1845">
        <v>0.56000000000000005</v>
      </c>
      <c r="DJ1845">
        <v>621</v>
      </c>
      <c r="DK1845">
        <v>300485</v>
      </c>
      <c r="DL1845" t="s">
        <v>120</v>
      </c>
      <c r="DM1845" t="s">
        <v>120</v>
      </c>
      <c r="DN1845" t="s">
        <v>120</v>
      </c>
    </row>
    <row r="1846" spans="1:118">
      <c r="A1846" t="str">
        <f>"300486"</f>
        <v>300486</v>
      </c>
      <c r="B1846" t="s">
        <v>9259</v>
      </c>
      <c r="C1846">
        <v>-4.1900000000000004</v>
      </c>
      <c r="D1846">
        <v>-0.09</v>
      </c>
      <c r="E1846">
        <v>-0.93</v>
      </c>
      <c r="F1846">
        <v>281</v>
      </c>
      <c r="G1846" t="s">
        <v>9260</v>
      </c>
      <c r="H1846">
        <v>2274.31</v>
      </c>
      <c r="I1846">
        <v>5.85</v>
      </c>
      <c r="J1846" t="s">
        <v>120</v>
      </c>
      <c r="K1846" t="s">
        <v>9261</v>
      </c>
      <c r="L1846">
        <v>0.57999999999999996</v>
      </c>
      <c r="M1846">
        <v>10.29</v>
      </c>
      <c r="N1846">
        <v>1.42</v>
      </c>
      <c r="O1846">
        <v>-0.28000000000000003</v>
      </c>
      <c r="P1846">
        <v>10.71</v>
      </c>
      <c r="Q1846">
        <v>-5.12</v>
      </c>
      <c r="R1846">
        <v>10.19</v>
      </c>
      <c r="S1846">
        <v>10.64</v>
      </c>
      <c r="T1846">
        <v>21822</v>
      </c>
      <c r="U1846">
        <v>10.29</v>
      </c>
      <c r="V1846">
        <v>10.74</v>
      </c>
      <c r="W1846">
        <v>49.25</v>
      </c>
      <c r="X1846" t="s">
        <v>675</v>
      </c>
      <c r="Y1846" t="s">
        <v>667</v>
      </c>
      <c r="Z1846">
        <v>4.84</v>
      </c>
      <c r="AA1846">
        <v>10.42</v>
      </c>
      <c r="AB1846">
        <v>13828</v>
      </c>
      <c r="AC1846">
        <v>7994</v>
      </c>
      <c r="AD1846">
        <v>1.73</v>
      </c>
      <c r="AE1846">
        <v>85</v>
      </c>
      <c r="AF1846">
        <v>46</v>
      </c>
      <c r="AG1846" t="s">
        <v>120</v>
      </c>
      <c r="AH1846">
        <v>0</v>
      </c>
      <c r="AI1846" t="s">
        <v>120</v>
      </c>
      <c r="AJ1846">
        <v>3.77</v>
      </c>
      <c r="AK1846" t="s">
        <v>509</v>
      </c>
      <c r="AL1846">
        <v>-2.2799999999999998</v>
      </c>
      <c r="AM1846">
        <v>999</v>
      </c>
      <c r="AN1846">
        <v>22</v>
      </c>
      <c r="AO1846">
        <v>5.9999999999999995E-4</v>
      </c>
      <c r="AP1846">
        <v>-1</v>
      </c>
      <c r="AQ1846">
        <v>1.1299999999999999</v>
      </c>
      <c r="AR1846">
        <v>-3.11</v>
      </c>
      <c r="AS1846">
        <v>-2</v>
      </c>
      <c r="AT1846">
        <v>-12.73</v>
      </c>
      <c r="AU1846">
        <v>4.3600000000000003</v>
      </c>
      <c r="AV1846">
        <v>0</v>
      </c>
      <c r="AW1846">
        <v>0.9</v>
      </c>
      <c r="AX1846">
        <v>59.55</v>
      </c>
      <c r="AY1846">
        <v>39.39</v>
      </c>
      <c r="AZ1846">
        <v>42.17</v>
      </c>
      <c r="BA1846">
        <v>0.41</v>
      </c>
      <c r="BB1846" t="s">
        <v>168</v>
      </c>
      <c r="BF1846">
        <v>-2.96</v>
      </c>
      <c r="BG1846">
        <v>-3.29</v>
      </c>
      <c r="BH1846">
        <v>-3.92</v>
      </c>
      <c r="BI1846">
        <v>0.98</v>
      </c>
      <c r="BJ1846">
        <v>20210907</v>
      </c>
      <c r="BK1846">
        <v>20150630</v>
      </c>
      <c r="BL1846">
        <v>4.07</v>
      </c>
      <c r="BM1846" t="s">
        <v>120</v>
      </c>
      <c r="BN1846" t="s">
        <v>120</v>
      </c>
      <c r="BO1846">
        <v>31.65</v>
      </c>
      <c r="BP1846">
        <v>10.28</v>
      </c>
      <c r="BQ1846">
        <v>15.16</v>
      </c>
      <c r="BR1846">
        <v>0.46</v>
      </c>
      <c r="BS1846">
        <v>50.66</v>
      </c>
      <c r="BT1846">
        <v>18.37</v>
      </c>
      <c r="BU1846">
        <v>3.97</v>
      </c>
      <c r="BV1846">
        <v>1.31</v>
      </c>
      <c r="BW1846">
        <v>14.53</v>
      </c>
      <c r="BX1846">
        <v>2.84</v>
      </c>
      <c r="BY1846">
        <v>4.1900000000000004</v>
      </c>
      <c r="BZ1846">
        <v>6.29</v>
      </c>
      <c r="CA1846" t="s">
        <v>120</v>
      </c>
      <c r="CB1846">
        <v>6.13</v>
      </c>
      <c r="CC1846">
        <v>5.41</v>
      </c>
      <c r="CD1846">
        <v>4.04</v>
      </c>
      <c r="CE1846">
        <v>0.49</v>
      </c>
      <c r="CF1846">
        <v>-0.01</v>
      </c>
      <c r="CG1846">
        <v>0.49</v>
      </c>
      <c r="CH1846">
        <v>0.42</v>
      </c>
      <c r="CI1846">
        <v>0.42</v>
      </c>
      <c r="CJ1846">
        <v>-0.45</v>
      </c>
      <c r="CK1846">
        <v>0.31</v>
      </c>
      <c r="CL1846">
        <v>4.5999999999999996</v>
      </c>
      <c r="CM1846">
        <v>0.43</v>
      </c>
      <c r="CN1846">
        <v>0.16</v>
      </c>
      <c r="CO1846">
        <v>11240</v>
      </c>
      <c r="CP1846">
        <v>21537</v>
      </c>
      <c r="CQ1846" t="s">
        <v>3063</v>
      </c>
      <c r="CR1846">
        <v>20.73</v>
      </c>
      <c r="CS1846">
        <v>33.630000000000003</v>
      </c>
      <c r="CT1846">
        <v>2.76</v>
      </c>
      <c r="CU1846">
        <v>96.19</v>
      </c>
      <c r="CV1846">
        <v>7.74</v>
      </c>
      <c r="CW1846">
        <v>0.25</v>
      </c>
      <c r="CX1846" t="s">
        <v>411</v>
      </c>
      <c r="CY1846">
        <v>3.73</v>
      </c>
      <c r="CZ1846">
        <v>0</v>
      </c>
      <c r="DA1846">
        <v>1.51</v>
      </c>
      <c r="DB1846">
        <v>1.1299999999999999</v>
      </c>
      <c r="DC1846">
        <v>0.11</v>
      </c>
      <c r="DD1846">
        <v>47.89</v>
      </c>
      <c r="DE1846" t="s">
        <v>2028</v>
      </c>
      <c r="DF1846">
        <v>25.35</v>
      </c>
      <c r="DG1846">
        <v>9.0399999999999991</v>
      </c>
      <c r="DH1846">
        <v>7.85</v>
      </c>
      <c r="DI1846">
        <v>0.31</v>
      </c>
      <c r="DJ1846">
        <v>774</v>
      </c>
      <c r="DK1846">
        <v>300486</v>
      </c>
      <c r="DL1846" t="s">
        <v>120</v>
      </c>
      <c r="DM1846" t="s">
        <v>120</v>
      </c>
      <c r="DN1846" t="s">
        <v>120</v>
      </c>
    </row>
    <row r="1847" spans="1:118">
      <c r="A1847" t="str">
        <f>"300487"</f>
        <v>300487</v>
      </c>
      <c r="B1847" t="s">
        <v>9262</v>
      </c>
      <c r="C1847">
        <v>-7.66</v>
      </c>
      <c r="D1847">
        <v>-0.74</v>
      </c>
      <c r="E1847">
        <v>-1.38</v>
      </c>
      <c r="F1847">
        <v>2713</v>
      </c>
      <c r="G1847" t="s">
        <v>9263</v>
      </c>
      <c r="H1847">
        <v>49658.69</v>
      </c>
      <c r="I1847">
        <v>89.99</v>
      </c>
      <c r="J1847" t="s">
        <v>120</v>
      </c>
      <c r="K1847" t="s">
        <v>9264</v>
      </c>
      <c r="L1847">
        <v>4.4800000000000004</v>
      </c>
      <c r="M1847">
        <v>84.26</v>
      </c>
      <c r="N1847">
        <v>1.17</v>
      </c>
      <c r="O1847">
        <v>-1.3</v>
      </c>
      <c r="P1847">
        <v>90.06</v>
      </c>
      <c r="Q1847">
        <v>-7.7</v>
      </c>
      <c r="R1847">
        <v>84.22</v>
      </c>
      <c r="S1847">
        <v>89.99</v>
      </c>
      <c r="T1847">
        <v>57437</v>
      </c>
      <c r="U1847">
        <v>84.28</v>
      </c>
      <c r="V1847">
        <v>91.25</v>
      </c>
      <c r="W1847">
        <v>61.61</v>
      </c>
      <c r="X1847" t="s">
        <v>868</v>
      </c>
      <c r="Y1847" t="s">
        <v>890</v>
      </c>
      <c r="Z1847">
        <v>6.4</v>
      </c>
      <c r="AA1847">
        <v>86.46</v>
      </c>
      <c r="AB1847">
        <v>33020</v>
      </c>
      <c r="AC1847">
        <v>24417</v>
      </c>
      <c r="AD1847">
        <v>1.35</v>
      </c>
      <c r="AE1847">
        <v>105</v>
      </c>
      <c r="AF1847">
        <v>2</v>
      </c>
      <c r="AG1847" t="s">
        <v>120</v>
      </c>
      <c r="AH1847">
        <v>0.01</v>
      </c>
      <c r="AI1847" t="s">
        <v>120</v>
      </c>
      <c r="AJ1847">
        <v>1.28</v>
      </c>
      <c r="AK1847" t="s">
        <v>9265</v>
      </c>
      <c r="AL1847">
        <v>-5.75</v>
      </c>
      <c r="AM1847">
        <v>3379</v>
      </c>
      <c r="AN1847">
        <v>17</v>
      </c>
      <c r="AO1847">
        <v>1.2999999999999999E-3</v>
      </c>
      <c r="AP1847">
        <v>-1</v>
      </c>
      <c r="AQ1847">
        <v>2.5299999999999998</v>
      </c>
      <c r="AR1847">
        <v>-3.09</v>
      </c>
      <c r="AS1847">
        <v>-10.37</v>
      </c>
      <c r="AT1847">
        <v>6.7</v>
      </c>
      <c r="AU1847">
        <v>90.2</v>
      </c>
      <c r="AV1847">
        <v>1</v>
      </c>
      <c r="AW1847">
        <v>5.75</v>
      </c>
      <c r="AX1847">
        <v>45.48</v>
      </c>
      <c r="AY1847">
        <v>84.91</v>
      </c>
      <c r="AZ1847">
        <v>99.26</v>
      </c>
      <c r="BA1847">
        <v>1.57</v>
      </c>
      <c r="BB1847" t="s">
        <v>143</v>
      </c>
      <c r="BF1847">
        <v>-5.25</v>
      </c>
      <c r="BG1847">
        <v>-6.37</v>
      </c>
      <c r="BH1847">
        <v>-6.44</v>
      </c>
      <c r="BI1847">
        <v>0.05</v>
      </c>
      <c r="BJ1847">
        <v>20210820</v>
      </c>
      <c r="BK1847">
        <v>20150702</v>
      </c>
      <c r="BL1847">
        <v>2.2000000000000002</v>
      </c>
      <c r="BM1847" t="s">
        <v>120</v>
      </c>
      <c r="BN1847" t="s">
        <v>120</v>
      </c>
      <c r="BO1847">
        <v>27.6</v>
      </c>
      <c r="BP1847">
        <v>84.26</v>
      </c>
      <c r="BQ1847">
        <v>18.850000000000001</v>
      </c>
      <c r="BR1847">
        <v>0.2</v>
      </c>
      <c r="BS1847">
        <v>30.97</v>
      </c>
      <c r="BT1847">
        <v>14.9</v>
      </c>
      <c r="BU1847">
        <v>6.53</v>
      </c>
      <c r="BV1847">
        <v>1.79</v>
      </c>
      <c r="BW1847">
        <v>6.56</v>
      </c>
      <c r="BX1847">
        <v>6.77</v>
      </c>
      <c r="BY1847">
        <v>3.73</v>
      </c>
      <c r="BZ1847">
        <v>3.28</v>
      </c>
      <c r="CA1847" t="s">
        <v>120</v>
      </c>
      <c r="CB1847">
        <v>7.38</v>
      </c>
      <c r="CC1847">
        <v>5.56</v>
      </c>
      <c r="CD1847">
        <v>2.96</v>
      </c>
      <c r="CE1847">
        <v>1.61</v>
      </c>
      <c r="CF1847">
        <v>0.02</v>
      </c>
      <c r="CG1847">
        <v>1.62</v>
      </c>
      <c r="CH1847">
        <v>1.48</v>
      </c>
      <c r="CI1847">
        <v>1.5</v>
      </c>
      <c r="CJ1847">
        <v>-6.99</v>
      </c>
      <c r="CK1847">
        <v>1.41</v>
      </c>
      <c r="CL1847">
        <v>8.76</v>
      </c>
      <c r="CM1847">
        <v>0.93</v>
      </c>
      <c r="CN1847">
        <v>1.1000000000000001</v>
      </c>
      <c r="CO1847">
        <v>17618</v>
      </c>
      <c r="CP1847">
        <v>5673</v>
      </c>
      <c r="CQ1847" t="s">
        <v>9266</v>
      </c>
      <c r="CR1847">
        <v>29.4</v>
      </c>
      <c r="CS1847">
        <v>27.6</v>
      </c>
      <c r="CT1847">
        <v>9.92</v>
      </c>
      <c r="CU1847">
        <v>199.46</v>
      </c>
      <c r="CV1847">
        <v>33.33</v>
      </c>
      <c r="CW1847">
        <v>0.22</v>
      </c>
      <c r="CX1847" t="s">
        <v>2797</v>
      </c>
      <c r="CY1847">
        <v>8.5</v>
      </c>
      <c r="CZ1847">
        <v>8.5</v>
      </c>
      <c r="DA1847">
        <v>3.36</v>
      </c>
      <c r="DB1847">
        <v>3.99</v>
      </c>
      <c r="DC1847">
        <v>0.42</v>
      </c>
      <c r="DD1847">
        <v>68.3</v>
      </c>
      <c r="DE1847" t="s">
        <v>9267</v>
      </c>
      <c r="DF1847">
        <v>46.75</v>
      </c>
      <c r="DG1847">
        <v>29</v>
      </c>
      <c r="DH1847">
        <v>27.05</v>
      </c>
      <c r="DI1847">
        <v>0.36</v>
      </c>
      <c r="DJ1847">
        <v>952</v>
      </c>
      <c r="DK1847">
        <v>300487</v>
      </c>
      <c r="DL1847">
        <v>20210825</v>
      </c>
      <c r="DM1847">
        <v>109.43</v>
      </c>
      <c r="DN1847">
        <v>-23</v>
      </c>
    </row>
    <row r="1848" spans="1:118">
      <c r="A1848" t="str">
        <f>"300488"</f>
        <v>300488</v>
      </c>
      <c r="B1848" t="s">
        <v>9268</v>
      </c>
      <c r="C1848">
        <v>20</v>
      </c>
      <c r="D1848">
        <v>0</v>
      </c>
      <c r="E1848">
        <v>-1.48</v>
      </c>
      <c r="F1848">
        <v>607</v>
      </c>
      <c r="G1848" t="s">
        <v>9269</v>
      </c>
      <c r="H1848">
        <v>75384.740000000005</v>
      </c>
      <c r="I1848">
        <v>791.81</v>
      </c>
      <c r="J1848">
        <v>5970.15</v>
      </c>
      <c r="K1848" t="s">
        <v>9270</v>
      </c>
      <c r="L1848">
        <v>14.02</v>
      </c>
      <c r="M1848">
        <v>42.96</v>
      </c>
      <c r="N1848">
        <v>1.56</v>
      </c>
      <c r="O1848">
        <v>20</v>
      </c>
      <c r="P1848">
        <v>42.96</v>
      </c>
      <c r="Q1848">
        <v>-2.71</v>
      </c>
      <c r="R1848">
        <v>34.83</v>
      </c>
      <c r="S1848">
        <v>35.270000000000003</v>
      </c>
      <c r="T1848">
        <v>191664</v>
      </c>
      <c r="U1848" t="s">
        <v>120</v>
      </c>
      <c r="V1848">
        <v>35.799999999999997</v>
      </c>
      <c r="W1848">
        <v>56.32</v>
      </c>
      <c r="X1848" t="s">
        <v>959</v>
      </c>
      <c r="Y1848" t="s">
        <v>585</v>
      </c>
      <c r="Z1848">
        <v>22.71</v>
      </c>
      <c r="AA1848">
        <v>39.33</v>
      </c>
      <c r="AB1848">
        <v>92464</v>
      </c>
      <c r="AC1848">
        <v>99200</v>
      </c>
      <c r="AD1848">
        <v>0.93</v>
      </c>
      <c r="AE1848">
        <v>13897</v>
      </c>
      <c r="AF1848">
        <v>0</v>
      </c>
      <c r="AG1848" t="s">
        <v>120</v>
      </c>
      <c r="AH1848">
        <v>0.61</v>
      </c>
      <c r="AI1848">
        <v>7.0000000000000007E-2</v>
      </c>
      <c r="AJ1848">
        <v>1.37</v>
      </c>
      <c r="AK1848" t="s">
        <v>9271</v>
      </c>
      <c r="AL1848">
        <v>21.91</v>
      </c>
      <c r="AM1848">
        <v>3451</v>
      </c>
      <c r="AN1848">
        <v>56</v>
      </c>
      <c r="AO1848">
        <v>4.1000000000000003E-3</v>
      </c>
      <c r="AP1848">
        <v>4</v>
      </c>
      <c r="AQ1848">
        <v>4.0999999999999996</v>
      </c>
      <c r="AR1848">
        <v>49.89</v>
      </c>
      <c r="AS1848">
        <v>131.47</v>
      </c>
      <c r="AT1848">
        <v>152.11000000000001</v>
      </c>
      <c r="AU1848">
        <v>162.43</v>
      </c>
      <c r="AV1848">
        <v>4</v>
      </c>
      <c r="AW1848">
        <v>51.96</v>
      </c>
      <c r="AX1848">
        <v>22.26</v>
      </c>
      <c r="AY1848">
        <v>54.99</v>
      </c>
      <c r="AZ1848">
        <v>71.72</v>
      </c>
      <c r="BA1848">
        <v>0.24</v>
      </c>
      <c r="BB1848" t="s">
        <v>751</v>
      </c>
      <c r="BF1848">
        <v>9.86</v>
      </c>
      <c r="BG1848">
        <v>21.8</v>
      </c>
      <c r="BH1848">
        <v>0</v>
      </c>
      <c r="BI1848">
        <v>23.34</v>
      </c>
      <c r="BJ1848">
        <v>20210914</v>
      </c>
      <c r="BK1848">
        <v>20150701</v>
      </c>
      <c r="BL1848">
        <v>1.66</v>
      </c>
      <c r="BM1848" t="s">
        <v>120</v>
      </c>
      <c r="BN1848" t="s">
        <v>120</v>
      </c>
      <c r="BO1848">
        <v>13.32</v>
      </c>
      <c r="BP1848">
        <v>42.96</v>
      </c>
      <c r="BQ1848">
        <v>11.11</v>
      </c>
      <c r="BR1848">
        <v>0.01</v>
      </c>
      <c r="BS1848">
        <v>16.52</v>
      </c>
      <c r="BT1848">
        <v>4.3099999999999996</v>
      </c>
      <c r="BU1848">
        <v>6.61</v>
      </c>
      <c r="BV1848">
        <v>0.6</v>
      </c>
      <c r="BW1848">
        <v>1.43</v>
      </c>
      <c r="BX1848">
        <v>0.56000000000000005</v>
      </c>
      <c r="BY1848">
        <v>1.18</v>
      </c>
      <c r="BZ1848">
        <v>1.46</v>
      </c>
      <c r="CA1848">
        <v>0.01</v>
      </c>
      <c r="CB1848">
        <v>2.33</v>
      </c>
      <c r="CC1848">
        <v>2.27</v>
      </c>
      <c r="CD1848">
        <v>1.1299999999999999</v>
      </c>
      <c r="CE1848">
        <v>0.72</v>
      </c>
      <c r="CF1848">
        <v>0.03</v>
      </c>
      <c r="CG1848">
        <v>0.72</v>
      </c>
      <c r="CH1848">
        <v>0.63</v>
      </c>
      <c r="CI1848">
        <v>0.63</v>
      </c>
      <c r="CJ1848">
        <v>7.16</v>
      </c>
      <c r="CK1848">
        <v>0.61</v>
      </c>
      <c r="CL1848">
        <v>6.42</v>
      </c>
      <c r="CM1848">
        <v>0.88</v>
      </c>
      <c r="CN1848">
        <v>0.17</v>
      </c>
      <c r="CO1848">
        <v>15259</v>
      </c>
      <c r="CP1848">
        <v>2417</v>
      </c>
      <c r="CQ1848" t="s">
        <v>8696</v>
      </c>
      <c r="CR1848">
        <v>66.14</v>
      </c>
      <c r="CS1848">
        <v>50.48</v>
      </c>
      <c r="CT1848">
        <v>6.41</v>
      </c>
      <c r="CU1848">
        <v>80.709999999999994</v>
      </c>
      <c r="CV1848">
        <v>31.29</v>
      </c>
      <c r="CW1848">
        <v>0.42</v>
      </c>
      <c r="CX1848" t="s">
        <v>2429</v>
      </c>
      <c r="CY1848">
        <v>6.71</v>
      </c>
      <c r="CZ1848">
        <v>0</v>
      </c>
      <c r="DA1848">
        <v>1.4</v>
      </c>
      <c r="DB1848">
        <v>3.88</v>
      </c>
      <c r="DC1848">
        <v>0.53</v>
      </c>
      <c r="DD1848">
        <v>83.4</v>
      </c>
      <c r="DE1848" t="s">
        <v>5626</v>
      </c>
      <c r="DF1848">
        <v>50.45</v>
      </c>
      <c r="DG1848">
        <v>31.61</v>
      </c>
      <c r="DH1848">
        <v>27.78</v>
      </c>
      <c r="DI1848">
        <v>0.13</v>
      </c>
      <c r="DJ1848">
        <v>731</v>
      </c>
      <c r="DK1848">
        <v>300488</v>
      </c>
      <c r="DL1848">
        <v>20210812</v>
      </c>
      <c r="DM1848">
        <v>19.920000000000002</v>
      </c>
      <c r="DN1848">
        <v>115.66</v>
      </c>
    </row>
    <row r="1849" spans="1:118">
      <c r="A1849" t="str">
        <f>"300489"</f>
        <v>300489</v>
      </c>
      <c r="B1849" t="s">
        <v>9272</v>
      </c>
      <c r="C1849">
        <v>-3.3</v>
      </c>
      <c r="D1849">
        <v>-0.03</v>
      </c>
      <c r="E1849">
        <v>-1</v>
      </c>
      <c r="F1849">
        <v>1236</v>
      </c>
      <c r="G1849" t="s">
        <v>7469</v>
      </c>
      <c r="H1849">
        <v>13744.04</v>
      </c>
      <c r="I1849">
        <v>29.95</v>
      </c>
      <c r="J1849" t="s">
        <v>120</v>
      </c>
      <c r="K1849" t="s">
        <v>9273</v>
      </c>
      <c r="L1849">
        <v>3.49</v>
      </c>
      <c r="M1849">
        <v>28.13</v>
      </c>
      <c r="N1849">
        <v>0.75</v>
      </c>
      <c r="O1849">
        <v>2.44</v>
      </c>
      <c r="P1849">
        <v>29.8</v>
      </c>
      <c r="Q1849">
        <v>-3.3</v>
      </c>
      <c r="R1849">
        <v>28.13</v>
      </c>
      <c r="S1849">
        <v>28.8</v>
      </c>
      <c r="T1849">
        <v>47222</v>
      </c>
      <c r="U1849">
        <v>28.14</v>
      </c>
      <c r="V1849">
        <v>29.09</v>
      </c>
      <c r="W1849">
        <v>119.77</v>
      </c>
      <c r="X1849" t="s">
        <v>1325</v>
      </c>
      <c r="Y1849" t="s">
        <v>1686</v>
      </c>
      <c r="Z1849">
        <v>5.74</v>
      </c>
      <c r="AA1849">
        <v>29.11</v>
      </c>
      <c r="AB1849">
        <v>27708</v>
      </c>
      <c r="AC1849">
        <v>19514</v>
      </c>
      <c r="AD1849">
        <v>1.42</v>
      </c>
      <c r="AE1849">
        <v>489</v>
      </c>
      <c r="AF1849">
        <v>122</v>
      </c>
      <c r="AG1849" t="s">
        <v>120</v>
      </c>
      <c r="AH1849">
        <v>0.01</v>
      </c>
      <c r="AI1849" t="s">
        <v>120</v>
      </c>
      <c r="AJ1849">
        <v>1.35</v>
      </c>
      <c r="AK1849" t="s">
        <v>9274</v>
      </c>
      <c r="AL1849">
        <v>-1.39</v>
      </c>
      <c r="AM1849">
        <v>2540</v>
      </c>
      <c r="AN1849">
        <v>19</v>
      </c>
      <c r="AO1849">
        <v>1.4E-3</v>
      </c>
      <c r="AP1849">
        <v>-1</v>
      </c>
      <c r="AQ1849">
        <v>0.03</v>
      </c>
      <c r="AR1849">
        <v>-5.0999999999999996</v>
      </c>
      <c r="AS1849">
        <v>8.15</v>
      </c>
      <c r="AT1849">
        <v>20.73</v>
      </c>
      <c r="AU1849">
        <v>-15.6</v>
      </c>
      <c r="AV1849">
        <v>5</v>
      </c>
      <c r="AW1849">
        <v>5.96</v>
      </c>
      <c r="AX1849">
        <v>58.16</v>
      </c>
      <c r="AY1849">
        <v>112.93</v>
      </c>
      <c r="AZ1849">
        <v>166.31</v>
      </c>
      <c r="BA1849">
        <v>0.05</v>
      </c>
      <c r="BB1849" t="s">
        <v>143</v>
      </c>
      <c r="BF1849">
        <v>0.05</v>
      </c>
      <c r="BG1849">
        <v>-2.33</v>
      </c>
      <c r="BH1849">
        <v>-5.6</v>
      </c>
      <c r="BI1849">
        <v>0</v>
      </c>
      <c r="BJ1849">
        <v>20210830</v>
      </c>
      <c r="BK1849">
        <v>20150701</v>
      </c>
      <c r="BL1849">
        <v>1.36</v>
      </c>
      <c r="BM1849" t="s">
        <v>120</v>
      </c>
      <c r="BN1849" t="s">
        <v>120</v>
      </c>
      <c r="BO1849">
        <v>22.84</v>
      </c>
      <c r="BP1849">
        <v>28.13</v>
      </c>
      <c r="BQ1849">
        <v>3.94</v>
      </c>
      <c r="BR1849" t="s">
        <v>120</v>
      </c>
      <c r="BS1849">
        <v>82.74</v>
      </c>
      <c r="BT1849">
        <v>10.15</v>
      </c>
      <c r="BU1849">
        <v>4.8499999999999996</v>
      </c>
      <c r="BV1849">
        <v>0.44</v>
      </c>
      <c r="BW1849">
        <v>8.19</v>
      </c>
      <c r="BX1849">
        <v>3.67</v>
      </c>
      <c r="BY1849">
        <v>3.17</v>
      </c>
      <c r="BZ1849">
        <v>1.97</v>
      </c>
      <c r="CA1849" t="s">
        <v>120</v>
      </c>
      <c r="CB1849">
        <v>1.43</v>
      </c>
      <c r="CC1849">
        <v>3.51</v>
      </c>
      <c r="CD1849">
        <v>2.4900000000000002</v>
      </c>
      <c r="CE1849">
        <v>0.3</v>
      </c>
      <c r="CF1849">
        <v>0.01</v>
      </c>
      <c r="CG1849">
        <v>0.3</v>
      </c>
      <c r="CH1849">
        <v>0.16</v>
      </c>
      <c r="CI1849">
        <v>0.16</v>
      </c>
      <c r="CJ1849">
        <v>-0.96</v>
      </c>
      <c r="CK1849">
        <v>0.13</v>
      </c>
      <c r="CL1849">
        <v>0.96</v>
      </c>
      <c r="CM1849">
        <v>-1.67</v>
      </c>
      <c r="CN1849">
        <v>-4.63</v>
      </c>
      <c r="CO1849">
        <v>14742</v>
      </c>
      <c r="CP1849">
        <v>5370</v>
      </c>
      <c r="CQ1849" t="s">
        <v>6693</v>
      </c>
      <c r="CR1849">
        <v>237.84</v>
      </c>
      <c r="CS1849">
        <v>162.61000000000001</v>
      </c>
      <c r="CT1849">
        <v>9.7200000000000006</v>
      </c>
      <c r="CU1849">
        <v>-22.97</v>
      </c>
      <c r="CV1849">
        <v>10.9</v>
      </c>
      <c r="CW1849">
        <v>0</v>
      </c>
      <c r="CX1849" t="s">
        <v>4897</v>
      </c>
      <c r="CY1849">
        <v>2.9</v>
      </c>
      <c r="CZ1849">
        <v>0</v>
      </c>
      <c r="DA1849">
        <v>1.05</v>
      </c>
      <c r="DB1849">
        <v>0.71</v>
      </c>
      <c r="DC1849">
        <v>-1.22</v>
      </c>
      <c r="DD1849">
        <v>17.260000000000002</v>
      </c>
      <c r="DE1849" t="s">
        <v>5424</v>
      </c>
      <c r="DF1849">
        <v>29.26</v>
      </c>
      <c r="DG1849">
        <v>8.49</v>
      </c>
      <c r="DH1849">
        <v>4.55</v>
      </c>
      <c r="DI1849">
        <v>0.14000000000000001</v>
      </c>
      <c r="DJ1849">
        <v>470</v>
      </c>
      <c r="DK1849">
        <v>300489</v>
      </c>
      <c r="DL1849">
        <v>20210823</v>
      </c>
      <c r="DM1849">
        <v>28</v>
      </c>
      <c r="DN1849">
        <v>0.46</v>
      </c>
    </row>
    <row r="1850" spans="1:118">
      <c r="A1850" t="str">
        <f>"300490"</f>
        <v>300490</v>
      </c>
      <c r="B1850" t="s">
        <v>9275</v>
      </c>
      <c r="C1850">
        <v>-20.010000000000002</v>
      </c>
      <c r="D1850">
        <v>0</v>
      </c>
      <c r="E1850">
        <v>-20.010000000000002</v>
      </c>
      <c r="F1850">
        <v>486</v>
      </c>
      <c r="G1850" t="s">
        <v>5341</v>
      </c>
      <c r="H1850">
        <v>15564.19</v>
      </c>
      <c r="I1850">
        <v>3871.93</v>
      </c>
      <c r="J1850">
        <v>41277.800000000003</v>
      </c>
      <c r="K1850" t="s">
        <v>9276</v>
      </c>
      <c r="L1850">
        <v>2.38</v>
      </c>
      <c r="M1850">
        <v>26.19</v>
      </c>
      <c r="N1850">
        <v>0.18</v>
      </c>
      <c r="O1850">
        <v>-20.010000000000002</v>
      </c>
      <c r="P1850">
        <v>26.19</v>
      </c>
      <c r="Q1850">
        <v>-20.010000000000002</v>
      </c>
      <c r="R1850">
        <v>26.19</v>
      </c>
      <c r="S1850">
        <v>26.19</v>
      </c>
      <c r="T1850">
        <v>59428</v>
      </c>
      <c r="U1850">
        <v>26.19</v>
      </c>
      <c r="V1850">
        <v>32.74</v>
      </c>
      <c r="W1850">
        <v>147.35</v>
      </c>
      <c r="X1850" t="s">
        <v>394</v>
      </c>
      <c r="Y1850" t="s">
        <v>594</v>
      </c>
      <c r="Z1850">
        <v>0</v>
      </c>
      <c r="AA1850">
        <v>26.19</v>
      </c>
      <c r="AB1850">
        <v>7635</v>
      </c>
      <c r="AC1850">
        <v>51793</v>
      </c>
      <c r="AD1850">
        <v>0.15</v>
      </c>
      <c r="AE1850">
        <v>0</v>
      </c>
      <c r="AF1850">
        <v>157609</v>
      </c>
      <c r="AG1850" t="s">
        <v>120</v>
      </c>
      <c r="AH1850">
        <v>1.1000000000000001</v>
      </c>
      <c r="AI1850">
        <v>2.65</v>
      </c>
      <c r="AJ1850">
        <v>2.5</v>
      </c>
      <c r="AK1850" t="s">
        <v>7629</v>
      </c>
      <c r="AL1850">
        <v>-18.09</v>
      </c>
      <c r="AM1850">
        <v>1625</v>
      </c>
      <c r="AN1850">
        <v>37</v>
      </c>
      <c r="AO1850">
        <v>1.5E-3</v>
      </c>
      <c r="AP1850">
        <v>-1</v>
      </c>
      <c r="AQ1850">
        <v>0</v>
      </c>
      <c r="AR1850">
        <v>-8.58</v>
      </c>
      <c r="AS1850">
        <v>51.3</v>
      </c>
      <c r="AT1850">
        <v>57.01</v>
      </c>
      <c r="AU1850">
        <v>130.54</v>
      </c>
      <c r="AV1850">
        <v>7</v>
      </c>
      <c r="AW1850">
        <v>4.43</v>
      </c>
      <c r="AX1850">
        <v>52.3</v>
      </c>
      <c r="AY1850">
        <v>109.17</v>
      </c>
      <c r="AZ1850">
        <v>279.66000000000003</v>
      </c>
      <c r="BA1850">
        <v>1</v>
      </c>
      <c r="BB1850" t="s">
        <v>143</v>
      </c>
      <c r="BF1850">
        <v>-20.010000000000002</v>
      </c>
      <c r="BG1850">
        <v>0</v>
      </c>
      <c r="BH1850">
        <v>0</v>
      </c>
      <c r="BI1850">
        <v>0</v>
      </c>
      <c r="BJ1850">
        <v>20210827</v>
      </c>
      <c r="BK1850">
        <v>20151231</v>
      </c>
      <c r="BL1850">
        <v>2.57</v>
      </c>
      <c r="BM1850" t="s">
        <v>120</v>
      </c>
      <c r="BN1850" t="s">
        <v>120</v>
      </c>
      <c r="BO1850">
        <v>42.03</v>
      </c>
      <c r="BP1850" t="s">
        <v>120</v>
      </c>
      <c r="BQ1850">
        <v>18.989999999999998</v>
      </c>
      <c r="BR1850">
        <v>0.4</v>
      </c>
      <c r="BS1850">
        <v>53.87</v>
      </c>
      <c r="BT1850">
        <v>26.88</v>
      </c>
      <c r="BU1850">
        <v>4.7300000000000004</v>
      </c>
      <c r="BV1850">
        <v>1.01</v>
      </c>
      <c r="BW1850">
        <v>15.85</v>
      </c>
      <c r="BX1850">
        <v>4.43</v>
      </c>
      <c r="BY1850">
        <v>3.68</v>
      </c>
      <c r="BZ1850">
        <v>10.130000000000001</v>
      </c>
      <c r="CA1850" t="s">
        <v>120</v>
      </c>
      <c r="CB1850">
        <v>10.8</v>
      </c>
      <c r="CC1850">
        <v>7.45</v>
      </c>
      <c r="CD1850">
        <v>5.31</v>
      </c>
      <c r="CE1850">
        <v>0.26</v>
      </c>
      <c r="CF1850">
        <v>0.01</v>
      </c>
      <c r="CG1850">
        <v>0.27</v>
      </c>
      <c r="CH1850">
        <v>0.2</v>
      </c>
      <c r="CI1850">
        <v>0.23</v>
      </c>
      <c r="CJ1850">
        <v>-6.55</v>
      </c>
      <c r="CK1850">
        <v>0.17</v>
      </c>
      <c r="CL1850">
        <v>3.93</v>
      </c>
      <c r="CM1850">
        <v>-1.66</v>
      </c>
      <c r="CN1850">
        <v>0.44</v>
      </c>
      <c r="CO1850">
        <v>40212</v>
      </c>
      <c r="CP1850">
        <v>3340</v>
      </c>
      <c r="CQ1850" t="s">
        <v>3574</v>
      </c>
      <c r="CR1850">
        <v>194.59</v>
      </c>
      <c r="CS1850">
        <v>129.06</v>
      </c>
      <c r="CT1850">
        <v>3.8</v>
      </c>
      <c r="CU1850">
        <v>-40.47</v>
      </c>
      <c r="CV1850">
        <v>9.0299999999999994</v>
      </c>
      <c r="CW1850">
        <v>0.06</v>
      </c>
      <c r="CX1850" t="s">
        <v>329</v>
      </c>
      <c r="CY1850">
        <v>6.89</v>
      </c>
      <c r="CZ1850">
        <v>6.89</v>
      </c>
      <c r="DA1850">
        <v>4.2</v>
      </c>
      <c r="DB1850">
        <v>1.53</v>
      </c>
      <c r="DC1850">
        <v>-0.65</v>
      </c>
      <c r="DD1850">
        <v>45.18</v>
      </c>
      <c r="DE1850" t="s">
        <v>2832</v>
      </c>
      <c r="DF1850">
        <v>28.69</v>
      </c>
      <c r="DG1850">
        <v>3.54</v>
      </c>
      <c r="DH1850">
        <v>3.06</v>
      </c>
      <c r="DI1850">
        <v>0.45</v>
      </c>
      <c r="DJ1850">
        <v>1719</v>
      </c>
      <c r="DK1850">
        <v>300490</v>
      </c>
      <c r="DL1850">
        <v>20210914</v>
      </c>
      <c r="DM1850">
        <v>32.74</v>
      </c>
      <c r="DN1850">
        <v>-20.010000000000002</v>
      </c>
    </row>
    <row r="1851" spans="1:118">
      <c r="A1851" t="str">
        <f>"300491"</f>
        <v>300491</v>
      </c>
      <c r="B1851" t="s">
        <v>9277</v>
      </c>
      <c r="C1851">
        <v>-3.27</v>
      </c>
      <c r="D1851">
        <v>0</v>
      </c>
      <c r="E1851">
        <v>0.47</v>
      </c>
      <c r="F1851">
        <v>1079</v>
      </c>
      <c r="G1851" t="s">
        <v>756</v>
      </c>
      <c r="H1851">
        <v>14097.99</v>
      </c>
      <c r="I1851">
        <v>23.06</v>
      </c>
      <c r="J1851" t="s">
        <v>120</v>
      </c>
      <c r="K1851" t="s">
        <v>9278</v>
      </c>
      <c r="L1851">
        <v>5.92</v>
      </c>
      <c r="M1851">
        <v>18.66</v>
      </c>
      <c r="N1851">
        <v>0.69</v>
      </c>
      <c r="O1851">
        <v>1.0900000000000001</v>
      </c>
      <c r="P1851">
        <v>19.5</v>
      </c>
      <c r="Q1851">
        <v>-5.6</v>
      </c>
      <c r="R1851">
        <v>18.21</v>
      </c>
      <c r="S1851">
        <v>19.38</v>
      </c>
      <c r="T1851">
        <v>75587</v>
      </c>
      <c r="U1851">
        <v>18.670000000000002</v>
      </c>
      <c r="V1851">
        <v>19.29</v>
      </c>
      <c r="W1851">
        <v>320.25</v>
      </c>
      <c r="X1851" t="s">
        <v>394</v>
      </c>
      <c r="Y1851" t="s">
        <v>602</v>
      </c>
      <c r="Z1851">
        <v>6.69</v>
      </c>
      <c r="AA1851">
        <v>18.649999999999999</v>
      </c>
      <c r="AB1851">
        <v>46196</v>
      </c>
      <c r="AC1851">
        <v>29391</v>
      </c>
      <c r="AD1851">
        <v>1.57</v>
      </c>
      <c r="AE1851">
        <v>143</v>
      </c>
      <c r="AF1851">
        <v>305</v>
      </c>
      <c r="AG1851" t="s">
        <v>120</v>
      </c>
      <c r="AH1851">
        <v>0.02</v>
      </c>
      <c r="AI1851" t="s">
        <v>120</v>
      </c>
      <c r="AJ1851">
        <v>1.28</v>
      </c>
      <c r="AK1851" t="s">
        <v>6769</v>
      </c>
      <c r="AL1851">
        <v>-1.35</v>
      </c>
      <c r="AM1851">
        <v>2723</v>
      </c>
      <c r="AN1851">
        <v>28</v>
      </c>
      <c r="AO1851">
        <v>2.2000000000000001E-3</v>
      </c>
      <c r="AP1851">
        <v>-1</v>
      </c>
      <c r="AQ1851">
        <v>1.05</v>
      </c>
      <c r="AR1851">
        <v>-5.9</v>
      </c>
      <c r="AS1851">
        <v>4.25</v>
      </c>
      <c r="AT1851">
        <v>33</v>
      </c>
      <c r="AU1851">
        <v>17.920000000000002</v>
      </c>
      <c r="AV1851">
        <v>3</v>
      </c>
      <c r="AW1851">
        <v>10.51</v>
      </c>
      <c r="AX1851">
        <v>44.72</v>
      </c>
      <c r="AY1851">
        <v>52.47</v>
      </c>
      <c r="AZ1851">
        <v>74.73</v>
      </c>
      <c r="BA1851">
        <v>0.42</v>
      </c>
      <c r="BB1851" t="s">
        <v>184</v>
      </c>
      <c r="BF1851">
        <v>-3.31</v>
      </c>
      <c r="BG1851">
        <v>-3.72</v>
      </c>
      <c r="BH1851">
        <v>-4.3099999999999996</v>
      </c>
      <c r="BI1851">
        <v>2.4700000000000002</v>
      </c>
      <c r="BJ1851">
        <v>20210914</v>
      </c>
      <c r="BK1851">
        <v>20151231</v>
      </c>
      <c r="BL1851">
        <v>1.61</v>
      </c>
      <c r="BM1851" t="s">
        <v>120</v>
      </c>
      <c r="BN1851" t="s">
        <v>120</v>
      </c>
      <c r="BO1851">
        <v>9.68</v>
      </c>
      <c r="BP1851">
        <v>18.66</v>
      </c>
      <c r="BQ1851">
        <v>6.96</v>
      </c>
      <c r="BR1851" t="s">
        <v>120</v>
      </c>
      <c r="BS1851">
        <v>28.14</v>
      </c>
      <c r="BT1851">
        <v>5.89</v>
      </c>
      <c r="BU1851">
        <v>1.55</v>
      </c>
      <c r="BV1851">
        <v>0.21</v>
      </c>
      <c r="BW1851">
        <v>2.37</v>
      </c>
      <c r="BX1851">
        <v>0.91</v>
      </c>
      <c r="BY1851">
        <v>1.22</v>
      </c>
      <c r="BZ1851">
        <v>3.18</v>
      </c>
      <c r="CA1851" t="s">
        <v>120</v>
      </c>
      <c r="CB1851">
        <v>3.74</v>
      </c>
      <c r="CC1851">
        <v>1.45</v>
      </c>
      <c r="CD1851">
        <v>0.87</v>
      </c>
      <c r="CE1851">
        <v>0.04</v>
      </c>
      <c r="CF1851">
        <v>0</v>
      </c>
      <c r="CG1851">
        <v>0.04</v>
      </c>
      <c r="CH1851">
        <v>0.05</v>
      </c>
      <c r="CI1851">
        <v>0.05</v>
      </c>
      <c r="CJ1851">
        <v>-0.63</v>
      </c>
      <c r="CK1851">
        <v>0.01</v>
      </c>
      <c r="CL1851">
        <v>1.62</v>
      </c>
      <c r="CM1851">
        <v>-0.12</v>
      </c>
      <c r="CN1851">
        <v>-0.05</v>
      </c>
      <c r="CO1851">
        <v>16637</v>
      </c>
      <c r="CP1851">
        <v>4322</v>
      </c>
      <c r="CQ1851" t="s">
        <v>519</v>
      </c>
      <c r="CR1851">
        <v>136.24</v>
      </c>
      <c r="CS1851">
        <v>86.51</v>
      </c>
      <c r="CT1851">
        <v>4.17</v>
      </c>
      <c r="CU1851">
        <v>-258.67</v>
      </c>
      <c r="CV1851">
        <v>20.65</v>
      </c>
      <c r="CW1851">
        <v>0.13</v>
      </c>
      <c r="CX1851" t="s">
        <v>2074</v>
      </c>
      <c r="CY1851">
        <v>4.47</v>
      </c>
      <c r="CZ1851">
        <v>4.47</v>
      </c>
      <c r="DA1851">
        <v>2.33</v>
      </c>
      <c r="DB1851">
        <v>1.01</v>
      </c>
      <c r="DC1851">
        <v>-7.0000000000000007E-2</v>
      </c>
      <c r="DD1851">
        <v>71.86</v>
      </c>
      <c r="DE1851" t="s">
        <v>2592</v>
      </c>
      <c r="DF1851">
        <v>40.340000000000003</v>
      </c>
      <c r="DG1851">
        <v>3.05</v>
      </c>
      <c r="DH1851">
        <v>3.22</v>
      </c>
      <c r="DI1851">
        <v>0.21</v>
      </c>
      <c r="DJ1851">
        <v>652</v>
      </c>
      <c r="DK1851">
        <v>300491</v>
      </c>
      <c r="DL1851" t="s">
        <v>120</v>
      </c>
      <c r="DM1851" t="s">
        <v>120</v>
      </c>
      <c r="DN1851" t="s">
        <v>120</v>
      </c>
    </row>
    <row r="1852" spans="1:118">
      <c r="A1852" t="str">
        <f>"300492"</f>
        <v>300492</v>
      </c>
      <c r="B1852" t="s">
        <v>9279</v>
      </c>
      <c r="C1852">
        <v>0.91</v>
      </c>
      <c r="D1852">
        <v>-0.01</v>
      </c>
      <c r="E1852">
        <v>-0.02</v>
      </c>
      <c r="F1852">
        <v>19</v>
      </c>
      <c r="G1852" t="s">
        <v>9280</v>
      </c>
      <c r="H1852">
        <v>3629.81</v>
      </c>
      <c r="I1852">
        <v>0.5</v>
      </c>
      <c r="J1852" t="s">
        <v>120</v>
      </c>
      <c r="K1852" t="s">
        <v>9281</v>
      </c>
      <c r="L1852">
        <v>0.65</v>
      </c>
      <c r="M1852">
        <v>50.03</v>
      </c>
      <c r="N1852">
        <v>1.86</v>
      </c>
      <c r="O1852">
        <v>5.0999999999999996</v>
      </c>
      <c r="P1852">
        <v>52.11</v>
      </c>
      <c r="Q1852">
        <v>-0.46</v>
      </c>
      <c r="R1852">
        <v>49.35</v>
      </c>
      <c r="S1852">
        <v>49.57</v>
      </c>
      <c r="T1852">
        <v>7142</v>
      </c>
      <c r="U1852">
        <v>50.04</v>
      </c>
      <c r="V1852">
        <v>49.58</v>
      </c>
      <c r="W1852">
        <v>977.5</v>
      </c>
      <c r="X1852" t="s">
        <v>175</v>
      </c>
      <c r="Y1852" t="s">
        <v>578</v>
      </c>
      <c r="Z1852">
        <v>5.57</v>
      </c>
      <c r="AA1852">
        <v>50.83</v>
      </c>
      <c r="AB1852">
        <v>3285</v>
      </c>
      <c r="AC1852">
        <v>3857</v>
      </c>
      <c r="AD1852">
        <v>0.85</v>
      </c>
      <c r="AE1852">
        <v>1</v>
      </c>
      <c r="AF1852">
        <v>2</v>
      </c>
      <c r="AG1852" t="s">
        <v>120</v>
      </c>
      <c r="AH1852">
        <v>0</v>
      </c>
      <c r="AI1852" t="s">
        <v>120</v>
      </c>
      <c r="AJ1852">
        <v>1.1000000000000001</v>
      </c>
      <c r="AK1852" t="s">
        <v>9282</v>
      </c>
      <c r="AL1852">
        <v>2.82</v>
      </c>
      <c r="AM1852">
        <v>842</v>
      </c>
      <c r="AN1852">
        <v>8</v>
      </c>
      <c r="AO1852">
        <v>8.0000000000000004E-4</v>
      </c>
      <c r="AP1852">
        <v>1</v>
      </c>
      <c r="AQ1852">
        <v>-0.76</v>
      </c>
      <c r="AR1852">
        <v>-0.89</v>
      </c>
      <c r="AS1852">
        <v>-2.95</v>
      </c>
      <c r="AT1852">
        <v>-1.53</v>
      </c>
      <c r="AU1852">
        <v>1.96</v>
      </c>
      <c r="AV1852">
        <v>1</v>
      </c>
      <c r="AW1852">
        <v>1.75</v>
      </c>
      <c r="AX1852">
        <v>28.87</v>
      </c>
      <c r="AY1852">
        <v>340.54</v>
      </c>
      <c r="AZ1852">
        <v>493.73</v>
      </c>
      <c r="BA1852">
        <v>1.51</v>
      </c>
      <c r="BB1852" t="s">
        <v>9283</v>
      </c>
      <c r="BF1852">
        <v>2.5099999999999998</v>
      </c>
      <c r="BG1852">
        <v>0.93</v>
      </c>
      <c r="BH1852">
        <v>-3.99</v>
      </c>
      <c r="BI1852">
        <v>1.38</v>
      </c>
      <c r="BJ1852">
        <v>20210810</v>
      </c>
      <c r="BK1852">
        <v>20151223</v>
      </c>
      <c r="BL1852">
        <v>1.41</v>
      </c>
      <c r="BM1852" t="s">
        <v>120</v>
      </c>
      <c r="BN1852" t="s">
        <v>120</v>
      </c>
      <c r="BO1852">
        <v>3.27</v>
      </c>
      <c r="BP1852">
        <v>50.03</v>
      </c>
      <c r="BQ1852">
        <v>2.88</v>
      </c>
      <c r="BR1852" t="s">
        <v>120</v>
      </c>
      <c r="BS1852">
        <v>12</v>
      </c>
      <c r="BT1852">
        <v>2.4700000000000002</v>
      </c>
      <c r="BU1852">
        <v>0.44</v>
      </c>
      <c r="BV1852">
        <v>0</v>
      </c>
      <c r="BW1852">
        <v>0.39</v>
      </c>
      <c r="BX1852">
        <v>1.18</v>
      </c>
      <c r="BY1852">
        <v>0</v>
      </c>
      <c r="BZ1852">
        <v>1.17</v>
      </c>
      <c r="CA1852" t="s">
        <v>120</v>
      </c>
      <c r="CB1852">
        <v>0.39</v>
      </c>
      <c r="CC1852">
        <v>0.56000000000000005</v>
      </c>
      <c r="CD1852">
        <v>0.36</v>
      </c>
      <c r="CE1852">
        <v>0.04</v>
      </c>
      <c r="CF1852">
        <v>0</v>
      </c>
      <c r="CG1852">
        <v>0.04</v>
      </c>
      <c r="CH1852">
        <v>0.04</v>
      </c>
      <c r="CI1852">
        <v>0.04</v>
      </c>
      <c r="CJ1852">
        <v>0.45</v>
      </c>
      <c r="CK1852">
        <v>0.03</v>
      </c>
      <c r="CL1852">
        <v>0.94</v>
      </c>
      <c r="CM1852">
        <v>-0.05</v>
      </c>
      <c r="CN1852">
        <v>-0.08</v>
      </c>
      <c r="CO1852">
        <v>5717</v>
      </c>
      <c r="CP1852">
        <v>7124</v>
      </c>
      <c r="CQ1852" t="s">
        <v>9284</v>
      </c>
      <c r="CR1852">
        <v>230.68</v>
      </c>
      <c r="CS1852">
        <v>1.21</v>
      </c>
      <c r="CT1852">
        <v>24.54</v>
      </c>
      <c r="CU1852">
        <v>-1467.53</v>
      </c>
      <c r="CV1852">
        <v>125.87</v>
      </c>
      <c r="CW1852">
        <v>0.06</v>
      </c>
      <c r="CX1852" t="s">
        <v>2074</v>
      </c>
      <c r="CY1852">
        <v>2.04</v>
      </c>
      <c r="CZ1852">
        <v>0</v>
      </c>
      <c r="DA1852">
        <v>0.27</v>
      </c>
      <c r="DB1852">
        <v>0.67</v>
      </c>
      <c r="DC1852">
        <v>-0.03</v>
      </c>
      <c r="DD1852">
        <v>88</v>
      </c>
      <c r="DE1852" t="s">
        <v>1682</v>
      </c>
      <c r="DF1852">
        <v>34.9</v>
      </c>
      <c r="DG1852">
        <v>7.66</v>
      </c>
      <c r="DH1852">
        <v>6.44</v>
      </c>
      <c r="DI1852" t="s">
        <v>120</v>
      </c>
      <c r="DJ1852">
        <v>249</v>
      </c>
      <c r="DK1852">
        <v>300492</v>
      </c>
      <c r="DL1852" t="s">
        <v>120</v>
      </c>
      <c r="DM1852" t="s">
        <v>120</v>
      </c>
      <c r="DN1852" t="s">
        <v>120</v>
      </c>
    </row>
    <row r="1853" spans="1:118">
      <c r="A1853" t="str">
        <f>"300493"</f>
        <v>300493</v>
      </c>
      <c r="B1853" t="s">
        <v>9285</v>
      </c>
      <c r="C1853">
        <v>-3.01</v>
      </c>
      <c r="D1853">
        <v>0</v>
      </c>
      <c r="E1853">
        <v>0.13</v>
      </c>
      <c r="F1853">
        <v>1712</v>
      </c>
      <c r="G1853" t="s">
        <v>9286</v>
      </c>
      <c r="H1853">
        <v>6360.48</v>
      </c>
      <c r="I1853">
        <v>10.56</v>
      </c>
      <c r="J1853" t="s">
        <v>120</v>
      </c>
      <c r="K1853" t="s">
        <v>5055</v>
      </c>
      <c r="L1853">
        <v>1.76</v>
      </c>
      <c r="M1853">
        <v>7.41</v>
      </c>
      <c r="N1853">
        <v>0.59</v>
      </c>
      <c r="O1853">
        <v>0.65</v>
      </c>
      <c r="P1853">
        <v>7.69</v>
      </c>
      <c r="Q1853">
        <v>-3.01</v>
      </c>
      <c r="R1853">
        <v>7.41</v>
      </c>
      <c r="S1853">
        <v>7.65</v>
      </c>
      <c r="T1853">
        <v>84136</v>
      </c>
      <c r="U1853">
        <v>7.42</v>
      </c>
      <c r="V1853">
        <v>7.64</v>
      </c>
      <c r="W1853">
        <v>64.069999999999993</v>
      </c>
      <c r="X1853" t="s">
        <v>462</v>
      </c>
      <c r="Y1853" t="s">
        <v>1510</v>
      </c>
      <c r="Z1853">
        <v>3.66</v>
      </c>
      <c r="AA1853">
        <v>7.56</v>
      </c>
      <c r="AB1853">
        <v>53187</v>
      </c>
      <c r="AC1853">
        <v>30949</v>
      </c>
      <c r="AD1853">
        <v>1.72</v>
      </c>
      <c r="AE1853">
        <v>998</v>
      </c>
      <c r="AF1853">
        <v>78</v>
      </c>
      <c r="AG1853" t="s">
        <v>120</v>
      </c>
      <c r="AH1853">
        <v>0</v>
      </c>
      <c r="AI1853" t="s">
        <v>120</v>
      </c>
      <c r="AJ1853">
        <v>4.7699999999999996</v>
      </c>
      <c r="AK1853" t="s">
        <v>9287</v>
      </c>
      <c r="AL1853">
        <v>-1.1000000000000001</v>
      </c>
      <c r="AM1853">
        <v>1843</v>
      </c>
      <c r="AN1853">
        <v>46</v>
      </c>
      <c r="AO1853">
        <v>1E-3</v>
      </c>
      <c r="AP1853">
        <v>-1</v>
      </c>
      <c r="AQ1853">
        <v>0.79</v>
      </c>
      <c r="AR1853">
        <v>-4.2699999999999996</v>
      </c>
      <c r="AS1853">
        <v>-9.9600000000000009</v>
      </c>
      <c r="AT1853">
        <v>-5.37</v>
      </c>
      <c r="AU1853">
        <v>-2.88</v>
      </c>
      <c r="AV1853">
        <v>0</v>
      </c>
      <c r="AW1853">
        <v>2.89</v>
      </c>
      <c r="AX1853">
        <v>59.77</v>
      </c>
      <c r="AY1853">
        <v>66.87</v>
      </c>
      <c r="AZ1853">
        <v>82.56</v>
      </c>
      <c r="BA1853">
        <v>0.96</v>
      </c>
      <c r="BB1853" t="s">
        <v>143</v>
      </c>
      <c r="BF1853">
        <v>-1.05</v>
      </c>
      <c r="BG1853">
        <v>-3.14</v>
      </c>
      <c r="BH1853">
        <v>-3.64</v>
      </c>
      <c r="BI1853">
        <v>0</v>
      </c>
      <c r="BJ1853">
        <v>20210803</v>
      </c>
      <c r="BK1853">
        <v>20151210</v>
      </c>
      <c r="BL1853">
        <v>4.87</v>
      </c>
      <c r="BM1853" t="s">
        <v>120</v>
      </c>
      <c r="BN1853" t="s">
        <v>120</v>
      </c>
      <c r="BO1853">
        <v>11.5</v>
      </c>
      <c r="BP1853">
        <v>7.41</v>
      </c>
      <c r="BQ1853">
        <v>7.63</v>
      </c>
      <c r="BR1853">
        <v>0.08</v>
      </c>
      <c r="BS1853">
        <v>32.94</v>
      </c>
      <c r="BT1853">
        <v>9.52</v>
      </c>
      <c r="BU1853">
        <v>0.02</v>
      </c>
      <c r="BV1853">
        <v>0.01</v>
      </c>
      <c r="BW1853">
        <v>3.55</v>
      </c>
      <c r="BX1853">
        <v>2.0299999999999998</v>
      </c>
      <c r="BY1853">
        <v>2.13</v>
      </c>
      <c r="BZ1853">
        <v>3.39</v>
      </c>
      <c r="CA1853" t="s">
        <v>120</v>
      </c>
      <c r="CB1853">
        <v>1.1499999999999999</v>
      </c>
      <c r="CC1853">
        <v>8.52</v>
      </c>
      <c r="CD1853">
        <v>7.46</v>
      </c>
      <c r="CE1853">
        <v>0.35</v>
      </c>
      <c r="CF1853">
        <v>0.01</v>
      </c>
      <c r="CG1853">
        <v>0.35</v>
      </c>
      <c r="CH1853">
        <v>0.28000000000000003</v>
      </c>
      <c r="CI1853">
        <v>0.28000000000000003</v>
      </c>
      <c r="CJ1853">
        <v>-0.23</v>
      </c>
      <c r="CK1853">
        <v>0.27</v>
      </c>
      <c r="CL1853">
        <v>1.84</v>
      </c>
      <c r="CM1853">
        <v>-0.44</v>
      </c>
      <c r="CN1853">
        <v>-0.67</v>
      </c>
      <c r="CO1853">
        <v>37290</v>
      </c>
      <c r="CP1853">
        <v>7799</v>
      </c>
      <c r="CQ1853" t="s">
        <v>5560</v>
      </c>
      <c r="CR1853">
        <v>60.15</v>
      </c>
      <c r="CS1853">
        <v>48.94</v>
      </c>
      <c r="CT1853">
        <v>4.72</v>
      </c>
      <c r="CU1853">
        <v>-81.64</v>
      </c>
      <c r="CV1853">
        <v>4.2300000000000004</v>
      </c>
      <c r="CW1853">
        <v>0.39</v>
      </c>
      <c r="CX1853" t="s">
        <v>1064</v>
      </c>
      <c r="CY1853">
        <v>1.57</v>
      </c>
      <c r="CZ1853">
        <v>0</v>
      </c>
      <c r="DA1853">
        <v>0.24</v>
      </c>
      <c r="DB1853">
        <v>0.38</v>
      </c>
      <c r="DC1853">
        <v>-0.09</v>
      </c>
      <c r="DD1853">
        <v>66.39</v>
      </c>
      <c r="DE1853" t="s">
        <v>270</v>
      </c>
      <c r="DF1853">
        <v>12.37</v>
      </c>
      <c r="DG1853">
        <v>4.12</v>
      </c>
      <c r="DH1853">
        <v>3.3</v>
      </c>
      <c r="DI1853">
        <v>0.17</v>
      </c>
      <c r="DJ1853">
        <v>160</v>
      </c>
      <c r="DK1853">
        <v>300493</v>
      </c>
      <c r="DL1853" t="s">
        <v>120</v>
      </c>
      <c r="DM1853" t="s">
        <v>120</v>
      </c>
      <c r="DN1853" t="s">
        <v>120</v>
      </c>
    </row>
    <row r="1854" spans="1:118">
      <c r="A1854" t="str">
        <f>"300494"</f>
        <v>300494</v>
      </c>
      <c r="B1854" t="s">
        <v>9288</v>
      </c>
      <c r="C1854">
        <v>-0.2</v>
      </c>
      <c r="D1854">
        <v>-0.26</v>
      </c>
      <c r="E1854">
        <v>-0.4</v>
      </c>
      <c r="F1854">
        <v>1769</v>
      </c>
      <c r="G1854" t="s">
        <v>4190</v>
      </c>
      <c r="H1854">
        <v>15632.5</v>
      </c>
      <c r="I1854">
        <v>121.59</v>
      </c>
      <c r="J1854" t="s">
        <v>120</v>
      </c>
      <c r="K1854" t="s">
        <v>699</v>
      </c>
      <c r="L1854">
        <v>5.81</v>
      </c>
      <c r="M1854">
        <v>14.84</v>
      </c>
      <c r="N1854">
        <v>0.51</v>
      </c>
      <c r="O1854">
        <v>3.9</v>
      </c>
      <c r="P1854">
        <v>15.45</v>
      </c>
      <c r="Q1854">
        <v>-1.48</v>
      </c>
      <c r="R1854">
        <v>14.65</v>
      </c>
      <c r="S1854">
        <v>14.81</v>
      </c>
      <c r="T1854">
        <v>104380</v>
      </c>
      <c r="U1854">
        <v>14.85</v>
      </c>
      <c r="V1854">
        <v>14.87</v>
      </c>
      <c r="W1854">
        <v>25.43</v>
      </c>
      <c r="X1854" t="s">
        <v>1531</v>
      </c>
      <c r="Y1854" t="s">
        <v>763</v>
      </c>
      <c r="Z1854">
        <v>5.38</v>
      </c>
      <c r="AA1854">
        <v>14.98</v>
      </c>
      <c r="AB1854">
        <v>51353</v>
      </c>
      <c r="AC1854">
        <v>53027</v>
      </c>
      <c r="AD1854">
        <v>0.97</v>
      </c>
      <c r="AE1854">
        <v>210</v>
      </c>
      <c r="AF1854">
        <v>92</v>
      </c>
      <c r="AG1854" t="s">
        <v>120</v>
      </c>
      <c r="AH1854">
        <v>0.06</v>
      </c>
      <c r="AI1854" t="s">
        <v>120</v>
      </c>
      <c r="AJ1854">
        <v>1.8</v>
      </c>
      <c r="AK1854" t="s">
        <v>9289</v>
      </c>
      <c r="AL1854">
        <v>1.71</v>
      </c>
      <c r="AM1854">
        <v>2911</v>
      </c>
      <c r="AN1854">
        <v>36</v>
      </c>
      <c r="AO1854">
        <v>2E-3</v>
      </c>
      <c r="AP1854">
        <v>-1</v>
      </c>
      <c r="AQ1854">
        <v>1.43</v>
      </c>
      <c r="AR1854">
        <v>-4.32</v>
      </c>
      <c r="AS1854">
        <v>15.4</v>
      </c>
      <c r="AT1854">
        <v>3.05</v>
      </c>
      <c r="AU1854">
        <v>1.64</v>
      </c>
      <c r="AV1854">
        <v>1</v>
      </c>
      <c r="AW1854">
        <v>7.23</v>
      </c>
      <c r="AX1854">
        <v>60.14</v>
      </c>
      <c r="AY1854">
        <v>38.9</v>
      </c>
      <c r="AZ1854">
        <v>59.02</v>
      </c>
      <c r="BA1854">
        <v>1.33</v>
      </c>
      <c r="BB1854" t="s">
        <v>341</v>
      </c>
      <c r="BF1854">
        <v>0.72</v>
      </c>
      <c r="BG1854">
        <v>0.2</v>
      </c>
      <c r="BH1854">
        <v>-3.95</v>
      </c>
      <c r="BI1854">
        <v>1.3</v>
      </c>
      <c r="BJ1854">
        <v>20210804</v>
      </c>
      <c r="BK1854">
        <v>20151231</v>
      </c>
      <c r="BL1854">
        <v>2.4</v>
      </c>
      <c r="BM1854" t="s">
        <v>120</v>
      </c>
      <c r="BN1854" t="s">
        <v>120</v>
      </c>
      <c r="BO1854">
        <v>14.11</v>
      </c>
      <c r="BP1854">
        <v>14.84</v>
      </c>
      <c r="BQ1854">
        <v>7.93</v>
      </c>
      <c r="BR1854" t="s">
        <v>120</v>
      </c>
      <c r="BS1854">
        <v>43.8</v>
      </c>
      <c r="BT1854">
        <v>8.69</v>
      </c>
      <c r="BU1854">
        <v>0.49</v>
      </c>
      <c r="BV1854">
        <v>0.28999999999999998</v>
      </c>
      <c r="BW1854">
        <v>4.32</v>
      </c>
      <c r="BX1854">
        <v>4.68</v>
      </c>
      <c r="BY1854">
        <v>0</v>
      </c>
      <c r="BZ1854">
        <v>3.47</v>
      </c>
      <c r="CA1854" t="s">
        <v>120</v>
      </c>
      <c r="CB1854">
        <v>0.18</v>
      </c>
      <c r="CC1854">
        <v>6.2</v>
      </c>
      <c r="CD1854">
        <v>4.8</v>
      </c>
      <c r="CE1854">
        <v>0.81</v>
      </c>
      <c r="CF1854">
        <v>0.01</v>
      </c>
      <c r="CG1854">
        <v>0.8</v>
      </c>
      <c r="CH1854">
        <v>0.7</v>
      </c>
      <c r="CI1854">
        <v>0.7</v>
      </c>
      <c r="CJ1854">
        <v>-0.03</v>
      </c>
      <c r="CK1854">
        <v>0.69</v>
      </c>
      <c r="CL1854">
        <v>4.97</v>
      </c>
      <c r="CM1854">
        <v>0.77</v>
      </c>
      <c r="CN1854">
        <v>-1.29</v>
      </c>
      <c r="CO1854">
        <v>28418</v>
      </c>
      <c r="CP1854">
        <v>5079</v>
      </c>
      <c r="CQ1854" t="s">
        <v>2363</v>
      </c>
      <c r="CR1854">
        <v>80.66</v>
      </c>
      <c r="CS1854">
        <v>40.04</v>
      </c>
      <c r="CT1854">
        <v>4.49</v>
      </c>
      <c r="CU1854">
        <v>46.36</v>
      </c>
      <c r="CV1854">
        <v>5.75</v>
      </c>
      <c r="CW1854">
        <v>0</v>
      </c>
      <c r="CX1854" t="s">
        <v>2504</v>
      </c>
      <c r="CY1854">
        <v>3.3</v>
      </c>
      <c r="CZ1854">
        <v>0</v>
      </c>
      <c r="DA1854">
        <v>0.08</v>
      </c>
      <c r="DB1854">
        <v>2.0699999999999998</v>
      </c>
      <c r="DC1854">
        <v>0.32</v>
      </c>
      <c r="DD1854">
        <v>56.2</v>
      </c>
      <c r="DE1854" t="s">
        <v>1262</v>
      </c>
      <c r="DF1854">
        <v>22.6</v>
      </c>
      <c r="DG1854">
        <v>13</v>
      </c>
      <c r="DH1854">
        <v>11.3</v>
      </c>
      <c r="DI1854">
        <v>0.27</v>
      </c>
      <c r="DJ1854">
        <v>537</v>
      </c>
      <c r="DK1854">
        <v>300494</v>
      </c>
      <c r="DL1854" t="s">
        <v>120</v>
      </c>
      <c r="DM1854" t="s">
        <v>120</v>
      </c>
      <c r="DN1854" t="s">
        <v>120</v>
      </c>
    </row>
    <row r="1855" spans="1:118">
      <c r="A1855" t="str">
        <f>"300496"</f>
        <v>300496</v>
      </c>
      <c r="B1855" t="s">
        <v>9290</v>
      </c>
      <c r="C1855">
        <v>-1.46</v>
      </c>
      <c r="D1855">
        <v>0.02</v>
      </c>
      <c r="E1855">
        <v>-0.5</v>
      </c>
      <c r="F1855">
        <v>858</v>
      </c>
      <c r="G1855" t="s">
        <v>9291</v>
      </c>
      <c r="H1855">
        <v>44173.72</v>
      </c>
      <c r="I1855">
        <v>99.36</v>
      </c>
      <c r="J1855" t="s">
        <v>120</v>
      </c>
      <c r="K1855" t="s">
        <v>9292</v>
      </c>
      <c r="L1855">
        <v>1.1299999999999999</v>
      </c>
      <c r="M1855">
        <v>123</v>
      </c>
      <c r="N1855">
        <v>0.7</v>
      </c>
      <c r="O1855">
        <v>0</v>
      </c>
      <c r="P1855">
        <v>124.82</v>
      </c>
      <c r="Q1855">
        <v>-3.71</v>
      </c>
      <c r="R1855">
        <v>120.19</v>
      </c>
      <c r="S1855">
        <v>124.2</v>
      </c>
      <c r="T1855">
        <v>36219</v>
      </c>
      <c r="U1855">
        <v>123</v>
      </c>
      <c r="V1855">
        <v>124.82</v>
      </c>
      <c r="W1855">
        <v>94.11</v>
      </c>
      <c r="X1855" t="s">
        <v>141</v>
      </c>
      <c r="Y1855" t="s">
        <v>158</v>
      </c>
      <c r="Z1855">
        <v>3.71</v>
      </c>
      <c r="AA1855">
        <v>121.96</v>
      </c>
      <c r="AB1855">
        <v>17512</v>
      </c>
      <c r="AC1855">
        <v>18707</v>
      </c>
      <c r="AD1855">
        <v>0.94</v>
      </c>
      <c r="AE1855">
        <v>11</v>
      </c>
      <c r="AF1855">
        <v>65</v>
      </c>
      <c r="AG1855" t="s">
        <v>120</v>
      </c>
      <c r="AH1855">
        <v>0</v>
      </c>
      <c r="AI1855" t="s">
        <v>120</v>
      </c>
      <c r="AJ1855">
        <v>3.19</v>
      </c>
      <c r="AK1855" t="s">
        <v>9293</v>
      </c>
      <c r="AL1855">
        <v>0.46</v>
      </c>
      <c r="AM1855">
        <v>3249</v>
      </c>
      <c r="AN1855">
        <v>11</v>
      </c>
      <c r="AO1855">
        <v>2.9999999999999997E-4</v>
      </c>
      <c r="AP1855">
        <v>-2</v>
      </c>
      <c r="AQ1855">
        <v>-3.4</v>
      </c>
      <c r="AR1855">
        <v>-1.68</v>
      </c>
      <c r="AS1855">
        <v>-2.98</v>
      </c>
      <c r="AT1855">
        <v>-10.09</v>
      </c>
      <c r="AU1855">
        <v>5.32</v>
      </c>
      <c r="AV1855">
        <v>0</v>
      </c>
      <c r="AW1855">
        <v>1.26</v>
      </c>
      <c r="AX1855">
        <v>67.69</v>
      </c>
      <c r="AY1855">
        <v>96.93</v>
      </c>
      <c r="AZ1855">
        <v>119.37</v>
      </c>
      <c r="BA1855">
        <v>0.74</v>
      </c>
      <c r="BB1855" t="s">
        <v>143</v>
      </c>
      <c r="BF1855">
        <v>-2.29</v>
      </c>
      <c r="BG1855">
        <v>-0.97</v>
      </c>
      <c r="BH1855">
        <v>-1.46</v>
      </c>
      <c r="BI1855">
        <v>2.34</v>
      </c>
      <c r="BJ1855">
        <v>20210730</v>
      </c>
      <c r="BK1855">
        <v>20151210</v>
      </c>
      <c r="BL1855">
        <v>4.24</v>
      </c>
      <c r="BM1855" t="s">
        <v>120</v>
      </c>
      <c r="BN1855" t="s">
        <v>120</v>
      </c>
      <c r="BO1855">
        <v>62.75</v>
      </c>
      <c r="BP1855">
        <v>122.99</v>
      </c>
      <c r="BQ1855">
        <v>46.1</v>
      </c>
      <c r="BR1855">
        <v>0.81</v>
      </c>
      <c r="BS1855">
        <v>25.24</v>
      </c>
      <c r="BT1855">
        <v>38.67</v>
      </c>
      <c r="BU1855">
        <v>4.4400000000000004</v>
      </c>
      <c r="BV1855">
        <v>3.24</v>
      </c>
      <c r="BW1855">
        <v>13.91</v>
      </c>
      <c r="BX1855">
        <v>21.09</v>
      </c>
      <c r="BY1855">
        <v>7.46</v>
      </c>
      <c r="BZ1855">
        <v>7.56</v>
      </c>
      <c r="CA1855" t="s">
        <v>120</v>
      </c>
      <c r="CB1855">
        <v>24.96</v>
      </c>
      <c r="CC1855">
        <v>16.940000000000001</v>
      </c>
      <c r="CD1855">
        <v>9.7899999999999991</v>
      </c>
      <c r="CE1855">
        <v>2.84</v>
      </c>
      <c r="CF1855">
        <v>0.19</v>
      </c>
      <c r="CG1855">
        <v>2.85</v>
      </c>
      <c r="CH1855">
        <v>2.74</v>
      </c>
      <c r="CI1855">
        <v>2.77</v>
      </c>
      <c r="CJ1855">
        <v>-1.82</v>
      </c>
      <c r="CK1855">
        <v>2.56</v>
      </c>
      <c r="CL1855">
        <v>12.15</v>
      </c>
      <c r="CM1855">
        <v>0.24</v>
      </c>
      <c r="CN1855">
        <v>0.17</v>
      </c>
      <c r="CO1855">
        <v>41862</v>
      </c>
      <c r="CP1855">
        <v>6858</v>
      </c>
      <c r="CQ1855" t="s">
        <v>9294</v>
      </c>
      <c r="CR1855">
        <v>58.85</v>
      </c>
      <c r="CS1855">
        <v>61.44</v>
      </c>
      <c r="CT1855">
        <v>11.32</v>
      </c>
      <c r="CU1855">
        <v>2156.0100000000002</v>
      </c>
      <c r="CV1855">
        <v>30.79</v>
      </c>
      <c r="CW1855">
        <v>0.18</v>
      </c>
      <c r="CX1855" t="s">
        <v>2783</v>
      </c>
      <c r="CY1855">
        <v>10.87</v>
      </c>
      <c r="CZ1855">
        <v>0</v>
      </c>
      <c r="DA1855">
        <v>5.88</v>
      </c>
      <c r="DB1855">
        <v>2.86</v>
      </c>
      <c r="DC1855">
        <v>0.06</v>
      </c>
      <c r="DD1855">
        <v>73.459999999999994</v>
      </c>
      <c r="DE1855" t="s">
        <v>1856</v>
      </c>
      <c r="DF1855">
        <v>42.25</v>
      </c>
      <c r="DG1855">
        <v>16.77</v>
      </c>
      <c r="DH1855">
        <v>16.36</v>
      </c>
      <c r="DI1855">
        <v>1.98</v>
      </c>
      <c r="DJ1855">
        <v>7375</v>
      </c>
      <c r="DK1855">
        <v>300496</v>
      </c>
      <c r="DL1855" t="s">
        <v>120</v>
      </c>
      <c r="DM1855" t="s">
        <v>120</v>
      </c>
      <c r="DN1855" t="s">
        <v>120</v>
      </c>
    </row>
    <row r="1856" spans="1:118">
      <c r="A1856" t="str">
        <f>"300497"</f>
        <v>300497</v>
      </c>
      <c r="B1856" t="s">
        <v>9295</v>
      </c>
      <c r="C1856">
        <v>-6.48</v>
      </c>
      <c r="D1856">
        <v>-0.14000000000000001</v>
      </c>
      <c r="E1856">
        <v>0.86</v>
      </c>
      <c r="F1856">
        <v>3225</v>
      </c>
      <c r="G1856" t="s">
        <v>9296</v>
      </c>
      <c r="H1856">
        <v>101331.9</v>
      </c>
      <c r="I1856">
        <v>600.04999999999995</v>
      </c>
      <c r="J1856" t="s">
        <v>120</v>
      </c>
      <c r="K1856" t="s">
        <v>9297</v>
      </c>
      <c r="L1856">
        <v>11.21</v>
      </c>
      <c r="M1856">
        <v>19.48</v>
      </c>
      <c r="N1856">
        <v>1.1200000000000001</v>
      </c>
      <c r="O1856">
        <v>3.02</v>
      </c>
      <c r="P1856">
        <v>21.46</v>
      </c>
      <c r="Q1856">
        <v>-8.31</v>
      </c>
      <c r="R1856">
        <v>19.100000000000001</v>
      </c>
      <c r="S1856">
        <v>21.01</v>
      </c>
      <c r="T1856">
        <v>499490</v>
      </c>
      <c r="U1856">
        <v>19.489999999999998</v>
      </c>
      <c r="V1856">
        <v>20.83</v>
      </c>
      <c r="W1856">
        <v>35.159999999999997</v>
      </c>
      <c r="X1856" t="s">
        <v>569</v>
      </c>
      <c r="Y1856" t="s">
        <v>676</v>
      </c>
      <c r="Z1856">
        <v>11.33</v>
      </c>
      <c r="AA1856">
        <v>20.29</v>
      </c>
      <c r="AB1856">
        <v>249037</v>
      </c>
      <c r="AC1856">
        <v>250453</v>
      </c>
      <c r="AD1856">
        <v>0.99</v>
      </c>
      <c r="AE1856">
        <v>236</v>
      </c>
      <c r="AF1856">
        <v>141</v>
      </c>
      <c r="AG1856" t="s">
        <v>120</v>
      </c>
      <c r="AH1856">
        <v>7.0000000000000007E-2</v>
      </c>
      <c r="AI1856" t="s">
        <v>120</v>
      </c>
      <c r="AJ1856">
        <v>4.45</v>
      </c>
      <c r="AK1856" t="s">
        <v>9298</v>
      </c>
      <c r="AL1856">
        <v>-4.57</v>
      </c>
      <c r="AM1856">
        <v>4363</v>
      </c>
      <c r="AN1856">
        <v>114</v>
      </c>
      <c r="AO1856">
        <v>2.5999999999999999E-3</v>
      </c>
      <c r="AP1856">
        <v>-1</v>
      </c>
      <c r="AQ1856">
        <v>10.210000000000001</v>
      </c>
      <c r="AR1856">
        <v>-2.5099999999999998</v>
      </c>
      <c r="AS1856">
        <v>59.15</v>
      </c>
      <c r="AT1856">
        <v>51.95</v>
      </c>
      <c r="AU1856">
        <v>38.450000000000003</v>
      </c>
      <c r="AV1856">
        <v>0</v>
      </c>
      <c r="AW1856">
        <v>12.09</v>
      </c>
      <c r="AX1856">
        <v>75.11</v>
      </c>
      <c r="AY1856">
        <v>45.39</v>
      </c>
      <c r="AZ1856">
        <v>35.880000000000003</v>
      </c>
      <c r="BA1856">
        <v>0.91</v>
      </c>
      <c r="BB1856" t="s">
        <v>184</v>
      </c>
      <c r="BF1856">
        <v>-2.61</v>
      </c>
      <c r="BG1856">
        <v>-7.28</v>
      </c>
      <c r="BH1856">
        <v>-9.23</v>
      </c>
      <c r="BI1856">
        <v>1.99</v>
      </c>
      <c r="BJ1856">
        <v>20210812</v>
      </c>
      <c r="BK1856">
        <v>20151222</v>
      </c>
      <c r="BL1856">
        <v>5.5</v>
      </c>
      <c r="BM1856" t="s">
        <v>120</v>
      </c>
      <c r="BN1856" t="s">
        <v>120</v>
      </c>
      <c r="BO1856">
        <v>43.48</v>
      </c>
      <c r="BP1856">
        <v>19.48</v>
      </c>
      <c r="BQ1856">
        <v>30.49</v>
      </c>
      <c r="BR1856">
        <v>0.4</v>
      </c>
      <c r="BS1856">
        <v>28.97</v>
      </c>
      <c r="BT1856">
        <v>23.91</v>
      </c>
      <c r="BU1856">
        <v>7.43</v>
      </c>
      <c r="BV1856">
        <v>2.44</v>
      </c>
      <c r="BW1856">
        <v>11.39</v>
      </c>
      <c r="BX1856">
        <v>15.14</v>
      </c>
      <c r="BY1856">
        <v>3.12</v>
      </c>
      <c r="BZ1856">
        <v>2.54</v>
      </c>
      <c r="CA1856">
        <v>0.01</v>
      </c>
      <c r="CB1856">
        <v>13.99</v>
      </c>
      <c r="CC1856">
        <v>7.76</v>
      </c>
      <c r="CD1856">
        <v>5.03</v>
      </c>
      <c r="CE1856">
        <v>1.77</v>
      </c>
      <c r="CF1856">
        <v>-0.04</v>
      </c>
      <c r="CG1856">
        <v>1.76</v>
      </c>
      <c r="CH1856">
        <v>1.52</v>
      </c>
      <c r="CI1856">
        <v>1.52</v>
      </c>
      <c r="CJ1856">
        <v>-1.35</v>
      </c>
      <c r="CK1856">
        <v>1.37</v>
      </c>
      <c r="CL1856">
        <v>9.91</v>
      </c>
      <c r="CM1856">
        <v>0.9</v>
      </c>
      <c r="CN1856">
        <v>-0.52</v>
      </c>
      <c r="CO1856">
        <v>31202</v>
      </c>
      <c r="CP1856">
        <v>13239</v>
      </c>
      <c r="CQ1856" t="s">
        <v>9299</v>
      </c>
      <c r="CR1856">
        <v>-30.51</v>
      </c>
      <c r="CS1856">
        <v>-4.97</v>
      </c>
      <c r="CT1856">
        <v>3.51</v>
      </c>
      <c r="CU1856">
        <v>118.61</v>
      </c>
      <c r="CV1856">
        <v>13.81</v>
      </c>
      <c r="CW1856">
        <v>0.96</v>
      </c>
      <c r="CX1856" t="s">
        <v>1054</v>
      </c>
      <c r="CY1856">
        <v>5.54</v>
      </c>
      <c r="CZ1856">
        <v>0</v>
      </c>
      <c r="DA1856">
        <v>2.54</v>
      </c>
      <c r="DB1856">
        <v>1.8</v>
      </c>
      <c r="DC1856">
        <v>0.16</v>
      </c>
      <c r="DD1856">
        <v>70.12</v>
      </c>
      <c r="DE1856" t="s">
        <v>6258</v>
      </c>
      <c r="DF1856">
        <v>35.229999999999997</v>
      </c>
      <c r="DG1856">
        <v>22.81</v>
      </c>
      <c r="DH1856">
        <v>19.64</v>
      </c>
      <c r="DI1856">
        <v>0.35</v>
      </c>
      <c r="DJ1856">
        <v>1608</v>
      </c>
      <c r="DK1856">
        <v>300497</v>
      </c>
      <c r="DL1856" t="s">
        <v>120</v>
      </c>
      <c r="DM1856" t="s">
        <v>120</v>
      </c>
      <c r="DN1856" t="s">
        <v>120</v>
      </c>
    </row>
    <row r="1857" spans="1:118">
      <c r="A1857" t="str">
        <f>"300498"</f>
        <v>300498</v>
      </c>
      <c r="B1857" t="s">
        <v>9300</v>
      </c>
      <c r="C1857">
        <v>4.07</v>
      </c>
      <c r="D1857">
        <v>0</v>
      </c>
      <c r="E1857">
        <v>-0.38</v>
      </c>
      <c r="F1857">
        <v>7477</v>
      </c>
      <c r="G1857" t="s">
        <v>9301</v>
      </c>
      <c r="H1857">
        <v>82872.539999999994</v>
      </c>
      <c r="I1857">
        <v>122.4</v>
      </c>
      <c r="J1857" t="s">
        <v>120</v>
      </c>
      <c r="K1857" t="s">
        <v>9302</v>
      </c>
      <c r="L1857">
        <v>1.26</v>
      </c>
      <c r="M1857">
        <v>13.56</v>
      </c>
      <c r="N1857">
        <v>3.06</v>
      </c>
      <c r="O1857">
        <v>7.06</v>
      </c>
      <c r="P1857">
        <v>13.95</v>
      </c>
      <c r="Q1857">
        <v>-0.54</v>
      </c>
      <c r="R1857">
        <v>12.96</v>
      </c>
      <c r="S1857">
        <v>12.98</v>
      </c>
      <c r="T1857">
        <v>610026</v>
      </c>
      <c r="U1857">
        <v>13.57</v>
      </c>
      <c r="V1857">
        <v>13.03</v>
      </c>
      <c r="W1857" t="s">
        <v>120</v>
      </c>
      <c r="X1857" t="s">
        <v>447</v>
      </c>
      <c r="Y1857" t="s">
        <v>547</v>
      </c>
      <c r="Z1857">
        <v>7.6</v>
      </c>
      <c r="AA1857">
        <v>13.59</v>
      </c>
      <c r="AB1857">
        <v>251310</v>
      </c>
      <c r="AC1857">
        <v>358716</v>
      </c>
      <c r="AD1857">
        <v>0.7</v>
      </c>
      <c r="AE1857">
        <v>206</v>
      </c>
      <c r="AF1857">
        <v>1290</v>
      </c>
      <c r="AG1857" t="s">
        <v>120</v>
      </c>
      <c r="AH1857">
        <v>0</v>
      </c>
      <c r="AI1857" t="s">
        <v>120</v>
      </c>
      <c r="AJ1857">
        <v>48.29</v>
      </c>
      <c r="AK1857" t="s">
        <v>9303</v>
      </c>
      <c r="AL1857">
        <v>5.98</v>
      </c>
      <c r="AM1857">
        <v>4304</v>
      </c>
      <c r="AN1857">
        <v>142</v>
      </c>
      <c r="AO1857">
        <v>2.9999999999999997E-4</v>
      </c>
      <c r="AP1857">
        <v>1</v>
      </c>
      <c r="AQ1857">
        <v>-1.21</v>
      </c>
      <c r="AR1857">
        <v>1.28</v>
      </c>
      <c r="AS1857">
        <v>3.43</v>
      </c>
      <c r="AT1857">
        <v>-1.39</v>
      </c>
      <c r="AU1857">
        <v>-24.79</v>
      </c>
      <c r="AV1857">
        <v>0</v>
      </c>
      <c r="AW1857">
        <v>1.28</v>
      </c>
      <c r="AX1857">
        <v>75.010000000000005</v>
      </c>
      <c r="AY1857">
        <v>106.81</v>
      </c>
      <c r="AZ1857">
        <v>11.15</v>
      </c>
      <c r="BA1857">
        <v>0.61</v>
      </c>
      <c r="BB1857" t="s">
        <v>240</v>
      </c>
      <c r="BF1857">
        <v>4.26</v>
      </c>
      <c r="BG1857">
        <v>4.47</v>
      </c>
      <c r="BH1857">
        <v>-2.8</v>
      </c>
      <c r="BI1857">
        <v>4.63</v>
      </c>
      <c r="BJ1857">
        <v>20210902</v>
      </c>
      <c r="BK1857">
        <v>20151102</v>
      </c>
      <c r="BL1857">
        <v>63.52</v>
      </c>
      <c r="BM1857" t="s">
        <v>120</v>
      </c>
      <c r="BN1857" t="s">
        <v>120</v>
      </c>
      <c r="BO1857">
        <v>1034.54</v>
      </c>
      <c r="BP1857">
        <v>13.56</v>
      </c>
      <c r="BQ1857">
        <v>428.64</v>
      </c>
      <c r="BR1857">
        <v>21.74</v>
      </c>
      <c r="BS1857">
        <v>56.47</v>
      </c>
      <c r="BT1857">
        <v>379.62</v>
      </c>
      <c r="BU1857">
        <v>320.27</v>
      </c>
      <c r="BV1857">
        <v>17.66</v>
      </c>
      <c r="BW1857">
        <v>227.69</v>
      </c>
      <c r="BX1857">
        <v>77.39</v>
      </c>
      <c r="BY1857">
        <v>184.01</v>
      </c>
      <c r="BZ1857">
        <v>4.26</v>
      </c>
      <c r="CA1857">
        <v>0.19</v>
      </c>
      <c r="CB1857">
        <v>53.3</v>
      </c>
      <c r="CC1857">
        <v>306.3</v>
      </c>
      <c r="CD1857">
        <v>299.36</v>
      </c>
      <c r="CE1857">
        <v>-22.63</v>
      </c>
      <c r="CF1857">
        <v>3.41</v>
      </c>
      <c r="CG1857">
        <v>-22.78</v>
      </c>
      <c r="CH1857">
        <v>-24.98</v>
      </c>
      <c r="CI1857">
        <v>-24.98</v>
      </c>
      <c r="CJ1857">
        <v>0.53</v>
      </c>
      <c r="CK1857">
        <v>-31.52</v>
      </c>
      <c r="CL1857">
        <v>274.08</v>
      </c>
      <c r="CM1857">
        <v>-27.12</v>
      </c>
      <c r="CN1857">
        <v>73.040000000000006</v>
      </c>
      <c r="CO1857">
        <v>170142</v>
      </c>
      <c r="CP1857">
        <v>28002</v>
      </c>
      <c r="CQ1857" t="s">
        <v>9304</v>
      </c>
      <c r="CR1857">
        <v>-160.13999999999999</v>
      </c>
      <c r="CS1857">
        <v>-14.81</v>
      </c>
      <c r="CT1857">
        <v>2.06</v>
      </c>
      <c r="CU1857">
        <v>-31.76</v>
      </c>
      <c r="CV1857">
        <v>2.81</v>
      </c>
      <c r="CW1857">
        <v>1.54</v>
      </c>
      <c r="CX1857" t="s">
        <v>9305</v>
      </c>
      <c r="CY1857">
        <v>6.58</v>
      </c>
      <c r="CZ1857">
        <v>6.58</v>
      </c>
      <c r="DA1857">
        <v>0.84</v>
      </c>
      <c r="DB1857">
        <v>4.32</v>
      </c>
      <c r="DC1857">
        <v>-0.43</v>
      </c>
      <c r="DD1857">
        <v>41.43</v>
      </c>
      <c r="DE1857" t="s">
        <v>3436</v>
      </c>
      <c r="DF1857">
        <v>2.27</v>
      </c>
      <c r="DG1857">
        <v>-7.39</v>
      </c>
      <c r="DH1857">
        <v>-8.15</v>
      </c>
      <c r="DI1857">
        <v>2.99</v>
      </c>
      <c r="DJ1857">
        <v>52809</v>
      </c>
      <c r="DK1857">
        <v>300498</v>
      </c>
      <c r="DL1857" t="s">
        <v>120</v>
      </c>
      <c r="DM1857" t="s">
        <v>120</v>
      </c>
      <c r="DN1857" t="s">
        <v>120</v>
      </c>
    </row>
    <row r="1858" spans="1:118">
      <c r="A1858" t="str">
        <f>"300499"</f>
        <v>300499</v>
      </c>
      <c r="B1858" t="s">
        <v>9306</v>
      </c>
      <c r="C1858">
        <v>-3.96</v>
      </c>
      <c r="D1858">
        <v>7.0000000000000007E-2</v>
      </c>
      <c r="E1858">
        <v>0.67</v>
      </c>
      <c r="F1858">
        <v>1632</v>
      </c>
      <c r="G1858" t="s">
        <v>7892</v>
      </c>
      <c r="H1858">
        <v>23214.66</v>
      </c>
      <c r="I1858">
        <v>69.599999999999994</v>
      </c>
      <c r="J1858" t="s">
        <v>120</v>
      </c>
      <c r="K1858" t="s">
        <v>4394</v>
      </c>
      <c r="L1858">
        <v>7.01</v>
      </c>
      <c r="M1858">
        <v>14.31</v>
      </c>
      <c r="N1858">
        <v>1.07</v>
      </c>
      <c r="O1858">
        <v>2.68</v>
      </c>
      <c r="P1858">
        <v>15.3</v>
      </c>
      <c r="Q1858">
        <v>-7.38</v>
      </c>
      <c r="R1858">
        <v>13.8</v>
      </c>
      <c r="S1858">
        <v>15</v>
      </c>
      <c r="T1858">
        <v>159882</v>
      </c>
      <c r="U1858">
        <v>14.33</v>
      </c>
      <c r="V1858">
        <v>14.9</v>
      </c>
      <c r="W1858">
        <v>118.4</v>
      </c>
      <c r="X1858" t="s">
        <v>675</v>
      </c>
      <c r="Y1858" t="s">
        <v>547</v>
      </c>
      <c r="Z1858">
        <v>10.07</v>
      </c>
      <c r="AA1858">
        <v>14.52</v>
      </c>
      <c r="AB1858">
        <v>90825</v>
      </c>
      <c r="AC1858">
        <v>69057</v>
      </c>
      <c r="AD1858">
        <v>1.32</v>
      </c>
      <c r="AE1858">
        <v>97</v>
      </c>
      <c r="AF1858">
        <v>20</v>
      </c>
      <c r="AG1858" t="s">
        <v>120</v>
      </c>
      <c r="AH1858">
        <v>0.02</v>
      </c>
      <c r="AI1858" t="s">
        <v>120</v>
      </c>
      <c r="AJ1858">
        <v>2.2799999999999998</v>
      </c>
      <c r="AK1858" t="s">
        <v>8244</v>
      </c>
      <c r="AL1858">
        <v>-2.0499999999999998</v>
      </c>
      <c r="AM1858">
        <v>2929</v>
      </c>
      <c r="AN1858">
        <v>55</v>
      </c>
      <c r="AO1858">
        <v>2.3999999999999998E-3</v>
      </c>
      <c r="AP1858">
        <v>-1</v>
      </c>
      <c r="AQ1858">
        <v>4.2</v>
      </c>
      <c r="AR1858">
        <v>-0.69</v>
      </c>
      <c r="AS1858">
        <v>6.87</v>
      </c>
      <c r="AT1858">
        <v>64.67</v>
      </c>
      <c r="AU1858">
        <v>39.47</v>
      </c>
      <c r="AV1858">
        <v>0</v>
      </c>
      <c r="AW1858">
        <v>7.4</v>
      </c>
      <c r="AX1858">
        <v>77.66</v>
      </c>
      <c r="AY1858">
        <v>58.73</v>
      </c>
      <c r="AZ1858">
        <v>51.2</v>
      </c>
      <c r="BA1858">
        <v>0.3</v>
      </c>
      <c r="BB1858" t="s">
        <v>751</v>
      </c>
      <c r="BF1858">
        <v>-2.5499999999999998</v>
      </c>
      <c r="BG1858">
        <v>-4.5999999999999996</v>
      </c>
      <c r="BH1858">
        <v>-6.47</v>
      </c>
      <c r="BI1858">
        <v>3.7</v>
      </c>
      <c r="BJ1858">
        <v>20210807</v>
      </c>
      <c r="BK1858">
        <v>20160202</v>
      </c>
      <c r="BL1858">
        <v>2.78</v>
      </c>
      <c r="BM1858" t="s">
        <v>120</v>
      </c>
      <c r="BN1858" t="s">
        <v>120</v>
      </c>
      <c r="BO1858">
        <v>22.11</v>
      </c>
      <c r="BP1858">
        <v>14.31</v>
      </c>
      <c r="BQ1858">
        <v>9.17</v>
      </c>
      <c r="BR1858">
        <v>1.17</v>
      </c>
      <c r="BS1858">
        <v>53.22</v>
      </c>
      <c r="BT1858">
        <v>16.350000000000001</v>
      </c>
      <c r="BU1858">
        <v>2.44</v>
      </c>
      <c r="BV1858">
        <v>0.79</v>
      </c>
      <c r="BW1858">
        <v>8.44</v>
      </c>
      <c r="BX1858">
        <v>3.37</v>
      </c>
      <c r="BY1858">
        <v>2.11</v>
      </c>
      <c r="BZ1858">
        <v>8.6300000000000008</v>
      </c>
      <c r="CA1858" t="s">
        <v>120</v>
      </c>
      <c r="CB1858">
        <v>1.0900000000000001</v>
      </c>
      <c r="CC1858">
        <v>6.39</v>
      </c>
      <c r="CD1858">
        <v>4.55</v>
      </c>
      <c r="CE1858">
        <v>0.44</v>
      </c>
      <c r="CF1858">
        <v>0</v>
      </c>
      <c r="CG1858">
        <v>0.43</v>
      </c>
      <c r="CH1858">
        <v>0.35</v>
      </c>
      <c r="CI1858">
        <v>0.17</v>
      </c>
      <c r="CJ1858">
        <v>-0.59</v>
      </c>
      <c r="CK1858">
        <v>0.11</v>
      </c>
      <c r="CL1858">
        <v>4.28</v>
      </c>
      <c r="CM1858">
        <v>-0.49</v>
      </c>
      <c r="CN1858">
        <v>-0.98</v>
      </c>
      <c r="CO1858">
        <v>14708</v>
      </c>
      <c r="CP1858">
        <v>14695</v>
      </c>
      <c r="CQ1858" t="s">
        <v>9307</v>
      </c>
      <c r="CR1858">
        <v>-38.15</v>
      </c>
      <c r="CS1858">
        <v>26.54</v>
      </c>
      <c r="CT1858">
        <v>4.82</v>
      </c>
      <c r="CU1858">
        <v>-80.86</v>
      </c>
      <c r="CV1858">
        <v>6.23</v>
      </c>
      <c r="CW1858">
        <v>0</v>
      </c>
      <c r="CX1858" t="s">
        <v>1064</v>
      </c>
      <c r="CY1858">
        <v>2.97</v>
      </c>
      <c r="CZ1858">
        <v>2.97</v>
      </c>
      <c r="DA1858">
        <v>0.39</v>
      </c>
      <c r="DB1858">
        <v>1.54</v>
      </c>
      <c r="DC1858">
        <v>-0.18</v>
      </c>
      <c r="DD1858">
        <v>41.47</v>
      </c>
      <c r="DE1858" t="s">
        <v>7359</v>
      </c>
      <c r="DF1858">
        <v>28.76</v>
      </c>
      <c r="DG1858">
        <v>6.88</v>
      </c>
      <c r="DH1858">
        <v>2.63</v>
      </c>
      <c r="DI1858">
        <v>0.35</v>
      </c>
      <c r="DJ1858">
        <v>1613</v>
      </c>
      <c r="DK1858">
        <v>300499</v>
      </c>
      <c r="DL1858" t="s">
        <v>120</v>
      </c>
      <c r="DM1858" t="s">
        <v>120</v>
      </c>
      <c r="DN1858" t="s">
        <v>120</v>
      </c>
    </row>
    <row r="1859" spans="1:118">
      <c r="A1859" t="str">
        <f>"300500"</f>
        <v>300500</v>
      </c>
      <c r="B1859" t="s">
        <v>9308</v>
      </c>
      <c r="C1859">
        <v>-8.89</v>
      </c>
      <c r="D1859">
        <v>0.04</v>
      </c>
      <c r="E1859">
        <v>-2.37</v>
      </c>
      <c r="F1859">
        <v>1284</v>
      </c>
      <c r="G1859" t="s">
        <v>9309</v>
      </c>
      <c r="H1859">
        <v>42859.34</v>
      </c>
      <c r="I1859">
        <v>827.32</v>
      </c>
      <c r="J1859" t="s">
        <v>120</v>
      </c>
      <c r="K1859" t="s">
        <v>9310</v>
      </c>
      <c r="L1859">
        <v>10.7</v>
      </c>
      <c r="M1859">
        <v>25.01</v>
      </c>
      <c r="N1859">
        <v>1.18</v>
      </c>
      <c r="O1859">
        <v>-0.55000000000000004</v>
      </c>
      <c r="P1859">
        <v>27.3</v>
      </c>
      <c r="Q1859">
        <v>-9.4700000000000006</v>
      </c>
      <c r="R1859">
        <v>24.85</v>
      </c>
      <c r="S1859">
        <v>26.8</v>
      </c>
      <c r="T1859">
        <v>166309</v>
      </c>
      <c r="U1859">
        <v>25.01</v>
      </c>
      <c r="V1859">
        <v>27.45</v>
      </c>
      <c r="W1859">
        <v>35.840000000000003</v>
      </c>
      <c r="X1859" t="s">
        <v>175</v>
      </c>
      <c r="Y1859" t="s">
        <v>319</v>
      </c>
      <c r="Z1859">
        <v>8.93</v>
      </c>
      <c r="AA1859">
        <v>25.77</v>
      </c>
      <c r="AB1859">
        <v>90862</v>
      </c>
      <c r="AC1859">
        <v>75447</v>
      </c>
      <c r="AD1859">
        <v>1.2</v>
      </c>
      <c r="AE1859">
        <v>1189</v>
      </c>
      <c r="AF1859">
        <v>10</v>
      </c>
      <c r="AG1859" t="s">
        <v>120</v>
      </c>
      <c r="AH1859">
        <v>0.4</v>
      </c>
      <c r="AI1859" t="s">
        <v>120</v>
      </c>
      <c r="AJ1859">
        <v>1.55</v>
      </c>
      <c r="AK1859" t="s">
        <v>9311</v>
      </c>
      <c r="AL1859">
        <v>-6.98</v>
      </c>
      <c r="AM1859">
        <v>3802</v>
      </c>
      <c r="AN1859">
        <v>44</v>
      </c>
      <c r="AO1859">
        <v>2.8E-3</v>
      </c>
      <c r="AP1859">
        <v>-1</v>
      </c>
      <c r="AQ1859">
        <v>4.17</v>
      </c>
      <c r="AR1859">
        <v>3.34</v>
      </c>
      <c r="AS1859">
        <v>20.41</v>
      </c>
      <c r="AT1859">
        <v>68.87</v>
      </c>
      <c r="AU1859">
        <v>91.06</v>
      </c>
      <c r="AV1859">
        <v>4</v>
      </c>
      <c r="AW1859">
        <v>21.32</v>
      </c>
      <c r="AX1859">
        <v>44.8</v>
      </c>
      <c r="AY1859">
        <v>107.2</v>
      </c>
      <c r="AZ1859">
        <v>128.43</v>
      </c>
      <c r="BA1859">
        <v>1.49</v>
      </c>
      <c r="BB1859" t="s">
        <v>168</v>
      </c>
      <c r="BF1859">
        <v>-6.12</v>
      </c>
      <c r="BG1859">
        <v>-6.68</v>
      </c>
      <c r="BH1859">
        <v>-8.39</v>
      </c>
      <c r="BI1859">
        <v>0.64</v>
      </c>
      <c r="BJ1859">
        <v>20210821</v>
      </c>
      <c r="BK1859">
        <v>20160204</v>
      </c>
      <c r="BL1859">
        <v>1.74</v>
      </c>
      <c r="BM1859" t="s">
        <v>120</v>
      </c>
      <c r="BN1859" t="s">
        <v>120</v>
      </c>
      <c r="BO1859">
        <v>28.49</v>
      </c>
      <c r="BP1859">
        <v>25</v>
      </c>
      <c r="BQ1859">
        <v>14.99</v>
      </c>
      <c r="BR1859">
        <v>0.77</v>
      </c>
      <c r="BS1859">
        <v>44.68</v>
      </c>
      <c r="BT1859">
        <v>19.39</v>
      </c>
      <c r="BU1859">
        <v>1.21</v>
      </c>
      <c r="BV1859">
        <v>1.71</v>
      </c>
      <c r="BW1859">
        <v>11.88</v>
      </c>
      <c r="BX1859">
        <v>4.1500000000000004</v>
      </c>
      <c r="BY1859">
        <v>0.1</v>
      </c>
      <c r="BZ1859">
        <v>7.48</v>
      </c>
      <c r="CA1859" t="s">
        <v>120</v>
      </c>
      <c r="CB1859">
        <v>7.33</v>
      </c>
      <c r="CC1859">
        <v>8.49</v>
      </c>
      <c r="CD1859">
        <v>6.37</v>
      </c>
      <c r="CE1859">
        <v>0.7</v>
      </c>
      <c r="CF1859">
        <v>-0.01</v>
      </c>
      <c r="CG1859">
        <v>0.7</v>
      </c>
      <c r="CH1859">
        <v>0.62</v>
      </c>
      <c r="CI1859">
        <v>0.61</v>
      </c>
      <c r="CJ1859">
        <v>-2.44</v>
      </c>
      <c r="CK1859">
        <v>0.56000000000000005</v>
      </c>
      <c r="CL1859">
        <v>5.32</v>
      </c>
      <c r="CM1859">
        <v>-0.74</v>
      </c>
      <c r="CN1859">
        <v>-1.59</v>
      </c>
      <c r="CO1859">
        <v>24022</v>
      </c>
      <c r="CP1859">
        <v>3247</v>
      </c>
      <c r="CQ1859" t="s">
        <v>5010</v>
      </c>
      <c r="CR1859">
        <v>13.81</v>
      </c>
      <c r="CS1859">
        <v>38.82</v>
      </c>
      <c r="CT1859">
        <v>2.91</v>
      </c>
      <c r="CU1859">
        <v>-59.03</v>
      </c>
      <c r="CV1859">
        <v>5.13</v>
      </c>
      <c r="CW1859">
        <v>0.36</v>
      </c>
      <c r="CX1859" t="s">
        <v>269</v>
      </c>
      <c r="CY1859">
        <v>8.61</v>
      </c>
      <c r="CZ1859">
        <v>0</v>
      </c>
      <c r="DA1859">
        <v>4.21</v>
      </c>
      <c r="DB1859">
        <v>3.06</v>
      </c>
      <c r="DC1859">
        <v>-0.42</v>
      </c>
      <c r="DD1859">
        <v>52.62</v>
      </c>
      <c r="DE1859" t="s">
        <v>3624</v>
      </c>
      <c r="DF1859">
        <v>24.92</v>
      </c>
      <c r="DG1859">
        <v>8.26</v>
      </c>
      <c r="DH1859">
        <v>7.16</v>
      </c>
      <c r="DI1859">
        <v>0.43</v>
      </c>
      <c r="DJ1859">
        <v>1829</v>
      </c>
      <c r="DK1859">
        <v>300500</v>
      </c>
      <c r="DL1859">
        <v>20210624</v>
      </c>
      <c r="DM1859">
        <v>14.81</v>
      </c>
      <c r="DN1859">
        <v>68.87</v>
      </c>
    </row>
    <row r="1860" spans="1:118">
      <c r="A1860" t="str">
        <f>"300501"</f>
        <v>300501</v>
      </c>
      <c r="B1860" t="s">
        <v>9312</v>
      </c>
      <c r="C1860">
        <v>-3.35</v>
      </c>
      <c r="D1860">
        <v>-0.04</v>
      </c>
      <c r="E1860">
        <v>-0.48</v>
      </c>
      <c r="F1860">
        <v>544</v>
      </c>
      <c r="G1860" t="s">
        <v>9313</v>
      </c>
      <c r="H1860">
        <v>5760.12</v>
      </c>
      <c r="I1860">
        <v>13.31</v>
      </c>
      <c r="J1860" t="s">
        <v>120</v>
      </c>
      <c r="K1860" t="s">
        <v>7485</v>
      </c>
      <c r="L1860">
        <v>3.22</v>
      </c>
      <c r="M1860">
        <v>20.2</v>
      </c>
      <c r="N1860">
        <v>0.75</v>
      </c>
      <c r="O1860">
        <v>1.48</v>
      </c>
      <c r="P1860">
        <v>21.21</v>
      </c>
      <c r="Q1860">
        <v>-3.4</v>
      </c>
      <c r="R1860">
        <v>20.190000000000001</v>
      </c>
      <c r="S1860">
        <v>20.8</v>
      </c>
      <c r="T1860">
        <v>27949</v>
      </c>
      <c r="U1860">
        <v>20.21</v>
      </c>
      <c r="V1860">
        <v>20.9</v>
      </c>
      <c r="W1860">
        <v>26.97</v>
      </c>
      <c r="X1860" t="s">
        <v>339</v>
      </c>
      <c r="Y1860" t="s">
        <v>1510</v>
      </c>
      <c r="Z1860">
        <v>4.88</v>
      </c>
      <c r="AA1860">
        <v>20.61</v>
      </c>
      <c r="AB1860">
        <v>15306</v>
      </c>
      <c r="AC1860">
        <v>12643</v>
      </c>
      <c r="AD1860">
        <v>1.21</v>
      </c>
      <c r="AE1860">
        <v>8</v>
      </c>
      <c r="AF1860">
        <v>4</v>
      </c>
      <c r="AG1860" t="s">
        <v>120</v>
      </c>
      <c r="AH1860">
        <v>0.01</v>
      </c>
      <c r="AI1860" t="s">
        <v>120</v>
      </c>
      <c r="AJ1860">
        <v>0.87</v>
      </c>
      <c r="AK1860" t="s">
        <v>9314</v>
      </c>
      <c r="AL1860">
        <v>-1.44</v>
      </c>
      <c r="AM1860">
        <v>1717</v>
      </c>
      <c r="AN1860">
        <v>16</v>
      </c>
      <c r="AO1860">
        <v>1.9E-3</v>
      </c>
      <c r="AP1860">
        <v>-2</v>
      </c>
      <c r="AQ1860">
        <v>-1.0900000000000001</v>
      </c>
      <c r="AR1860">
        <v>-3.07</v>
      </c>
      <c r="AS1860">
        <v>0.5</v>
      </c>
      <c r="AT1860">
        <v>11.66</v>
      </c>
      <c r="AU1860">
        <v>13.49</v>
      </c>
      <c r="AV1860">
        <v>1</v>
      </c>
      <c r="AW1860">
        <v>4.4000000000000004</v>
      </c>
      <c r="AX1860">
        <v>40.6</v>
      </c>
      <c r="AY1860">
        <v>28.6</v>
      </c>
      <c r="AZ1860">
        <v>31.79</v>
      </c>
      <c r="BA1860">
        <v>0.69</v>
      </c>
      <c r="BB1860" t="s">
        <v>125</v>
      </c>
      <c r="BF1860">
        <v>-1.39</v>
      </c>
      <c r="BG1860">
        <v>-2.88</v>
      </c>
      <c r="BH1860">
        <v>-4.76</v>
      </c>
      <c r="BI1860">
        <v>0.05</v>
      </c>
      <c r="BJ1860">
        <v>20210826</v>
      </c>
      <c r="BK1860">
        <v>20160204</v>
      </c>
      <c r="BL1860">
        <v>1.57</v>
      </c>
      <c r="BM1860" t="s">
        <v>120</v>
      </c>
      <c r="BN1860" t="s">
        <v>120</v>
      </c>
      <c r="BO1860">
        <v>15.67</v>
      </c>
      <c r="BP1860">
        <v>20.2</v>
      </c>
      <c r="BQ1860">
        <v>8.66</v>
      </c>
      <c r="BR1860">
        <v>0.73</v>
      </c>
      <c r="BS1860">
        <v>40.1</v>
      </c>
      <c r="BT1860">
        <v>5.96</v>
      </c>
      <c r="BU1860">
        <v>3.07</v>
      </c>
      <c r="BV1860">
        <v>1.32</v>
      </c>
      <c r="BW1860">
        <v>4.72</v>
      </c>
      <c r="BX1860">
        <v>1.04</v>
      </c>
      <c r="BY1860">
        <v>1.5</v>
      </c>
      <c r="BZ1860">
        <v>2.0299999999999998</v>
      </c>
      <c r="CA1860" t="s">
        <v>120</v>
      </c>
      <c r="CB1860">
        <v>2.65</v>
      </c>
      <c r="CC1860">
        <v>4.29</v>
      </c>
      <c r="CD1860">
        <v>3.03</v>
      </c>
      <c r="CE1860">
        <v>0.7</v>
      </c>
      <c r="CF1860">
        <v>7.0000000000000007E-2</v>
      </c>
      <c r="CG1860">
        <v>0.69</v>
      </c>
      <c r="CH1860">
        <v>0.6</v>
      </c>
      <c r="CI1860">
        <v>0.59</v>
      </c>
      <c r="CJ1860">
        <v>-0.7</v>
      </c>
      <c r="CK1860">
        <v>0.56999999999999995</v>
      </c>
      <c r="CL1860">
        <v>4.0999999999999996</v>
      </c>
      <c r="CM1860">
        <v>0.86</v>
      </c>
      <c r="CN1860">
        <v>0.08</v>
      </c>
      <c r="CO1860">
        <v>11535</v>
      </c>
      <c r="CP1860">
        <v>5510</v>
      </c>
      <c r="CQ1860" t="s">
        <v>1400</v>
      </c>
      <c r="CR1860">
        <v>24.36</v>
      </c>
      <c r="CS1860">
        <v>31.45</v>
      </c>
      <c r="CT1860">
        <v>3.65</v>
      </c>
      <c r="CU1860">
        <v>36.86</v>
      </c>
      <c r="CV1860">
        <v>7.37</v>
      </c>
      <c r="CW1860">
        <v>0.24</v>
      </c>
      <c r="CX1860" t="s">
        <v>709</v>
      </c>
      <c r="CY1860">
        <v>5.53</v>
      </c>
      <c r="CZ1860">
        <v>0</v>
      </c>
      <c r="DA1860">
        <v>1.69</v>
      </c>
      <c r="DB1860">
        <v>2.62</v>
      </c>
      <c r="DC1860">
        <v>0.55000000000000004</v>
      </c>
      <c r="DD1860">
        <v>55.24</v>
      </c>
      <c r="DE1860" t="s">
        <v>5015</v>
      </c>
      <c r="DF1860">
        <v>29.45</v>
      </c>
      <c r="DG1860">
        <v>16.22</v>
      </c>
      <c r="DH1860">
        <v>13.67</v>
      </c>
      <c r="DI1860">
        <v>0.15</v>
      </c>
      <c r="DJ1860">
        <v>569</v>
      </c>
      <c r="DK1860">
        <v>300501</v>
      </c>
      <c r="DL1860">
        <v>20210812</v>
      </c>
      <c r="DM1860">
        <v>21.99</v>
      </c>
      <c r="DN1860">
        <v>-8.14</v>
      </c>
    </row>
    <row r="1861" spans="1:118">
      <c r="A1861" t="str">
        <f>"300502"</f>
        <v>300502</v>
      </c>
      <c r="B1861" t="s">
        <v>9315</v>
      </c>
      <c r="C1861">
        <v>-2.75</v>
      </c>
      <c r="D1861">
        <v>-0.11</v>
      </c>
      <c r="E1861">
        <v>-0.03</v>
      </c>
      <c r="F1861">
        <v>1248</v>
      </c>
      <c r="G1861" t="s">
        <v>9316</v>
      </c>
      <c r="H1861">
        <v>29021.17</v>
      </c>
      <c r="I1861">
        <v>87.38</v>
      </c>
      <c r="J1861" t="s">
        <v>120</v>
      </c>
      <c r="K1861" t="s">
        <v>9317</v>
      </c>
      <c r="L1861">
        <v>1.91</v>
      </c>
      <c r="M1861">
        <v>34</v>
      </c>
      <c r="N1861">
        <v>0.56000000000000005</v>
      </c>
      <c r="O1861">
        <v>0.6</v>
      </c>
      <c r="P1861">
        <v>35.17</v>
      </c>
      <c r="Q1861">
        <v>-2.83</v>
      </c>
      <c r="R1861">
        <v>33.97</v>
      </c>
      <c r="S1861">
        <v>34.950000000000003</v>
      </c>
      <c r="T1861">
        <v>84011</v>
      </c>
      <c r="U1861">
        <v>34</v>
      </c>
      <c r="V1861">
        <v>34.96</v>
      </c>
      <c r="W1861">
        <v>26.69</v>
      </c>
      <c r="X1861" t="s">
        <v>462</v>
      </c>
      <c r="Y1861" t="s">
        <v>578</v>
      </c>
      <c r="Z1861">
        <v>3.43</v>
      </c>
      <c r="AA1861">
        <v>34.54</v>
      </c>
      <c r="AB1861">
        <v>50626</v>
      </c>
      <c r="AC1861">
        <v>33385</v>
      </c>
      <c r="AD1861">
        <v>1.52</v>
      </c>
      <c r="AE1861">
        <v>102</v>
      </c>
      <c r="AF1861">
        <v>639</v>
      </c>
      <c r="AG1861" t="s">
        <v>120</v>
      </c>
      <c r="AH1861">
        <v>0.01</v>
      </c>
      <c r="AI1861" t="s">
        <v>120</v>
      </c>
      <c r="AJ1861">
        <v>4.3899999999999997</v>
      </c>
      <c r="AK1861" t="s">
        <v>9318</v>
      </c>
      <c r="AL1861">
        <v>-0.83</v>
      </c>
      <c r="AM1861">
        <v>3380</v>
      </c>
      <c r="AN1861">
        <v>25</v>
      </c>
      <c r="AO1861">
        <v>5.9999999999999995E-4</v>
      </c>
      <c r="AP1861">
        <v>-1</v>
      </c>
      <c r="AQ1861">
        <v>0.32</v>
      </c>
      <c r="AR1861">
        <v>-5.55</v>
      </c>
      <c r="AS1861">
        <v>-10.83</v>
      </c>
      <c r="AT1861">
        <v>7.46</v>
      </c>
      <c r="AU1861">
        <v>-13.76</v>
      </c>
      <c r="AV1861">
        <v>0</v>
      </c>
      <c r="AW1861">
        <v>2.34</v>
      </c>
      <c r="AX1861">
        <v>70.739999999999995</v>
      </c>
      <c r="AY1861">
        <v>28.43</v>
      </c>
      <c r="AZ1861">
        <v>36.049999999999997</v>
      </c>
      <c r="BA1861">
        <v>0.78</v>
      </c>
      <c r="BB1861" t="s">
        <v>240</v>
      </c>
      <c r="BF1861">
        <v>-1.19</v>
      </c>
      <c r="BG1861">
        <v>-2.72</v>
      </c>
      <c r="BH1861">
        <v>-3.33</v>
      </c>
      <c r="BI1861">
        <v>0.09</v>
      </c>
      <c r="BJ1861">
        <v>20210826</v>
      </c>
      <c r="BK1861">
        <v>20160303</v>
      </c>
      <c r="BL1861">
        <v>5.07</v>
      </c>
      <c r="BM1861" t="s">
        <v>120</v>
      </c>
      <c r="BN1861" t="s">
        <v>120</v>
      </c>
      <c r="BO1861">
        <v>43.86</v>
      </c>
      <c r="BP1861">
        <v>33.99</v>
      </c>
      <c r="BQ1861">
        <v>36.590000000000003</v>
      </c>
      <c r="BR1861" t="s">
        <v>120</v>
      </c>
      <c r="BS1861">
        <v>16.559999999999999</v>
      </c>
      <c r="BT1861">
        <v>35.619999999999997</v>
      </c>
      <c r="BU1861">
        <v>6.04</v>
      </c>
      <c r="BV1861">
        <v>7.0000000000000007E-2</v>
      </c>
      <c r="BW1861">
        <v>7.17</v>
      </c>
      <c r="BX1861">
        <v>15.95</v>
      </c>
      <c r="BY1861">
        <v>11.13</v>
      </c>
      <c r="BZ1861">
        <v>5.51</v>
      </c>
      <c r="CA1861" t="s">
        <v>120</v>
      </c>
      <c r="CB1861">
        <v>17.559999999999999</v>
      </c>
      <c r="CC1861">
        <v>14.41</v>
      </c>
      <c r="CD1861">
        <v>9.68</v>
      </c>
      <c r="CE1861">
        <v>3.78</v>
      </c>
      <c r="CF1861">
        <v>-0.02</v>
      </c>
      <c r="CG1861">
        <v>3.8</v>
      </c>
      <c r="CH1861">
        <v>3.23</v>
      </c>
      <c r="CI1861">
        <v>3.23</v>
      </c>
      <c r="CJ1861">
        <v>-0.96</v>
      </c>
      <c r="CK1861">
        <v>3.02</v>
      </c>
      <c r="CL1861">
        <v>13.18</v>
      </c>
      <c r="CM1861">
        <v>1.29</v>
      </c>
      <c r="CN1861">
        <v>-2.44</v>
      </c>
      <c r="CO1861">
        <v>35843</v>
      </c>
      <c r="CP1861">
        <v>10008</v>
      </c>
      <c r="CQ1861" t="s">
        <v>9319</v>
      </c>
      <c r="CR1861">
        <v>68.92</v>
      </c>
      <c r="CS1861">
        <v>72.28</v>
      </c>
      <c r="CT1861">
        <v>4.71</v>
      </c>
      <c r="CU1861">
        <v>133.63999999999999</v>
      </c>
      <c r="CV1861">
        <v>11.96</v>
      </c>
      <c r="CW1861">
        <v>0.55000000000000004</v>
      </c>
      <c r="CX1861" t="s">
        <v>2039</v>
      </c>
      <c r="CY1861">
        <v>7.22</v>
      </c>
      <c r="CZ1861">
        <v>0</v>
      </c>
      <c r="DA1861">
        <v>3.46</v>
      </c>
      <c r="DB1861">
        <v>2.6</v>
      </c>
      <c r="DC1861">
        <v>0.25</v>
      </c>
      <c r="DD1861">
        <v>83.44</v>
      </c>
      <c r="DE1861" t="s">
        <v>1262</v>
      </c>
      <c r="DF1861">
        <v>32.840000000000003</v>
      </c>
      <c r="DG1861">
        <v>26.21</v>
      </c>
      <c r="DH1861">
        <v>22.41</v>
      </c>
      <c r="DI1861">
        <v>0.33</v>
      </c>
      <c r="DJ1861">
        <v>1791</v>
      </c>
      <c r="DK1861">
        <v>300502</v>
      </c>
      <c r="DL1861" t="s">
        <v>120</v>
      </c>
      <c r="DM1861" t="s">
        <v>120</v>
      </c>
      <c r="DN1861" t="s">
        <v>120</v>
      </c>
    </row>
    <row r="1862" spans="1:118">
      <c r="A1862" t="str">
        <f>"300503"</f>
        <v>300503</v>
      </c>
      <c r="B1862" t="s">
        <v>9320</v>
      </c>
      <c r="C1862">
        <v>7.75</v>
      </c>
      <c r="D1862">
        <v>0.16</v>
      </c>
      <c r="E1862">
        <v>-0.17</v>
      </c>
      <c r="F1862">
        <v>2325</v>
      </c>
      <c r="G1862" t="s">
        <v>9321</v>
      </c>
      <c r="H1862">
        <v>41787.120000000003</v>
      </c>
      <c r="I1862">
        <v>45.82</v>
      </c>
      <c r="J1862" t="s">
        <v>120</v>
      </c>
      <c r="K1862" t="s">
        <v>9322</v>
      </c>
      <c r="L1862">
        <v>11.14</v>
      </c>
      <c r="M1862">
        <v>19.32</v>
      </c>
      <c r="N1862">
        <v>1.9</v>
      </c>
      <c r="O1862">
        <v>11.1</v>
      </c>
      <c r="P1862">
        <v>19.920000000000002</v>
      </c>
      <c r="Q1862">
        <v>-0.84</v>
      </c>
      <c r="R1862">
        <v>17.78</v>
      </c>
      <c r="S1862">
        <v>17.899999999999999</v>
      </c>
      <c r="T1862">
        <v>220276</v>
      </c>
      <c r="U1862">
        <v>19.329999999999998</v>
      </c>
      <c r="V1862">
        <v>17.93</v>
      </c>
      <c r="W1862">
        <v>28.34</v>
      </c>
      <c r="X1862" t="s">
        <v>959</v>
      </c>
      <c r="Y1862" t="s">
        <v>547</v>
      </c>
      <c r="Z1862">
        <v>11.94</v>
      </c>
      <c r="AA1862">
        <v>18.97</v>
      </c>
      <c r="AB1862">
        <v>95454</v>
      </c>
      <c r="AC1862">
        <v>124822</v>
      </c>
      <c r="AD1862">
        <v>0.76</v>
      </c>
      <c r="AE1862">
        <v>204</v>
      </c>
      <c r="AF1862">
        <v>138</v>
      </c>
      <c r="AG1862" t="s">
        <v>120</v>
      </c>
      <c r="AH1862">
        <v>0.02</v>
      </c>
      <c r="AI1862" t="s">
        <v>120</v>
      </c>
      <c r="AJ1862">
        <v>1.98</v>
      </c>
      <c r="AK1862" t="s">
        <v>8417</v>
      </c>
      <c r="AL1862">
        <v>9.67</v>
      </c>
      <c r="AM1862">
        <v>3898</v>
      </c>
      <c r="AN1862">
        <v>57</v>
      </c>
      <c r="AO1862">
        <v>2.8999999999999998E-3</v>
      </c>
      <c r="AP1862">
        <v>1</v>
      </c>
      <c r="AQ1862">
        <v>-2.29</v>
      </c>
      <c r="AR1862">
        <v>6.56</v>
      </c>
      <c r="AS1862">
        <v>23.85</v>
      </c>
      <c r="AT1862">
        <v>54.81</v>
      </c>
      <c r="AU1862">
        <v>78.83</v>
      </c>
      <c r="AV1862">
        <v>2</v>
      </c>
      <c r="AW1862">
        <v>15</v>
      </c>
      <c r="AX1862">
        <v>47.97</v>
      </c>
      <c r="AY1862">
        <v>48.31</v>
      </c>
      <c r="AZ1862">
        <v>73.53</v>
      </c>
      <c r="BA1862">
        <v>0.92</v>
      </c>
      <c r="BB1862" t="s">
        <v>143</v>
      </c>
      <c r="BF1862">
        <v>5.8</v>
      </c>
      <c r="BG1862">
        <v>7.93</v>
      </c>
      <c r="BH1862">
        <v>-3.01</v>
      </c>
      <c r="BI1862">
        <v>8.66</v>
      </c>
      <c r="BJ1862">
        <v>20210827</v>
      </c>
      <c r="BK1862">
        <v>20160309</v>
      </c>
      <c r="BL1862">
        <v>3.06</v>
      </c>
      <c r="BM1862" t="s">
        <v>120</v>
      </c>
      <c r="BN1862" t="s">
        <v>120</v>
      </c>
      <c r="BO1862">
        <v>24.77</v>
      </c>
      <c r="BP1862">
        <v>19.32</v>
      </c>
      <c r="BQ1862">
        <v>12.53</v>
      </c>
      <c r="BR1862">
        <v>0.4</v>
      </c>
      <c r="BS1862">
        <v>47.8</v>
      </c>
      <c r="BT1862">
        <v>13.57</v>
      </c>
      <c r="BU1862">
        <v>4.4000000000000004</v>
      </c>
      <c r="BV1862">
        <v>0.87</v>
      </c>
      <c r="BW1862">
        <v>8.14</v>
      </c>
      <c r="BX1862">
        <v>3.25</v>
      </c>
      <c r="BY1862">
        <v>4.12</v>
      </c>
      <c r="BZ1862">
        <v>4.03</v>
      </c>
      <c r="CA1862" t="s">
        <v>120</v>
      </c>
      <c r="CB1862">
        <v>5.53</v>
      </c>
      <c r="CC1862">
        <v>6.19</v>
      </c>
      <c r="CD1862">
        <v>3.41</v>
      </c>
      <c r="CE1862">
        <v>1.26</v>
      </c>
      <c r="CF1862">
        <v>0</v>
      </c>
      <c r="CG1862">
        <v>1.26</v>
      </c>
      <c r="CH1862">
        <v>1.08</v>
      </c>
      <c r="CI1862">
        <v>1.04</v>
      </c>
      <c r="CJ1862">
        <v>1.39</v>
      </c>
      <c r="CK1862">
        <v>0.93</v>
      </c>
      <c r="CL1862">
        <v>3.57</v>
      </c>
      <c r="CM1862">
        <v>0.65</v>
      </c>
      <c r="CN1862">
        <v>1.96</v>
      </c>
      <c r="CO1862">
        <v>18000</v>
      </c>
      <c r="CP1862">
        <v>8158</v>
      </c>
      <c r="CQ1862" t="s">
        <v>7135</v>
      </c>
      <c r="CR1862">
        <v>59.62</v>
      </c>
      <c r="CS1862">
        <v>34.869999999999997</v>
      </c>
      <c r="CT1862">
        <v>4.72</v>
      </c>
      <c r="CU1862">
        <v>90.3</v>
      </c>
      <c r="CV1862">
        <v>9.56</v>
      </c>
      <c r="CW1862">
        <v>0.26</v>
      </c>
      <c r="CX1862" t="s">
        <v>472</v>
      </c>
      <c r="CY1862">
        <v>4.09</v>
      </c>
      <c r="CZ1862">
        <v>0</v>
      </c>
      <c r="DA1862">
        <v>1.81</v>
      </c>
      <c r="DB1862">
        <v>1.17</v>
      </c>
      <c r="DC1862">
        <v>0.21</v>
      </c>
      <c r="DD1862">
        <v>50.6</v>
      </c>
      <c r="DE1862" t="s">
        <v>1851</v>
      </c>
      <c r="DF1862">
        <v>44.95</v>
      </c>
      <c r="DG1862">
        <v>20.39</v>
      </c>
      <c r="DH1862">
        <v>16.86</v>
      </c>
      <c r="DI1862">
        <v>0.36</v>
      </c>
      <c r="DJ1862">
        <v>1637</v>
      </c>
      <c r="DK1862">
        <v>300503</v>
      </c>
      <c r="DL1862" t="s">
        <v>120</v>
      </c>
      <c r="DM1862" t="s">
        <v>120</v>
      </c>
      <c r="DN1862" t="s">
        <v>120</v>
      </c>
    </row>
    <row r="1863" spans="1:118">
      <c r="A1863" t="str">
        <f>"300504"</f>
        <v>300504</v>
      </c>
      <c r="B1863" t="s">
        <v>9323</v>
      </c>
      <c r="C1863">
        <v>-1.39</v>
      </c>
      <c r="D1863">
        <v>-0.17</v>
      </c>
      <c r="E1863">
        <v>0</v>
      </c>
      <c r="F1863">
        <v>128</v>
      </c>
      <c r="G1863" t="s">
        <v>9324</v>
      </c>
      <c r="H1863">
        <v>2981.86</v>
      </c>
      <c r="I1863">
        <v>12.29</v>
      </c>
      <c r="J1863" t="s">
        <v>120</v>
      </c>
      <c r="K1863" t="s">
        <v>9325</v>
      </c>
      <c r="L1863">
        <v>0.83</v>
      </c>
      <c r="M1863">
        <v>17.07</v>
      </c>
      <c r="N1863">
        <v>0.8</v>
      </c>
      <c r="O1863">
        <v>0.87</v>
      </c>
      <c r="P1863">
        <v>17.46</v>
      </c>
      <c r="Q1863">
        <v>-1.62</v>
      </c>
      <c r="R1863">
        <v>17.03</v>
      </c>
      <c r="S1863">
        <v>17.309999999999999</v>
      </c>
      <c r="T1863">
        <v>17329</v>
      </c>
      <c r="U1863">
        <v>17.079999999999998</v>
      </c>
      <c r="V1863">
        <v>17.309999999999999</v>
      </c>
      <c r="W1863">
        <v>25.4</v>
      </c>
      <c r="X1863" t="s">
        <v>462</v>
      </c>
      <c r="Y1863" t="s">
        <v>578</v>
      </c>
      <c r="Z1863">
        <v>2.48</v>
      </c>
      <c r="AA1863">
        <v>17.21</v>
      </c>
      <c r="AB1863">
        <v>10318</v>
      </c>
      <c r="AC1863">
        <v>7011</v>
      </c>
      <c r="AD1863">
        <v>1.47</v>
      </c>
      <c r="AE1863">
        <v>37</v>
      </c>
      <c r="AF1863">
        <v>102</v>
      </c>
      <c r="AG1863" t="s">
        <v>120</v>
      </c>
      <c r="AH1863">
        <v>0.01</v>
      </c>
      <c r="AI1863" t="s">
        <v>120</v>
      </c>
      <c r="AJ1863">
        <v>2.09</v>
      </c>
      <c r="AK1863" t="s">
        <v>9326</v>
      </c>
      <c r="AL1863">
        <v>0.53</v>
      </c>
      <c r="AM1863">
        <v>1126</v>
      </c>
      <c r="AN1863">
        <v>15</v>
      </c>
      <c r="AO1863">
        <v>6.9999999999999999E-4</v>
      </c>
      <c r="AP1863">
        <v>-1</v>
      </c>
      <c r="AQ1863">
        <v>0.28999999999999998</v>
      </c>
      <c r="AR1863">
        <v>-3.07</v>
      </c>
      <c r="AS1863">
        <v>-9.2100000000000009</v>
      </c>
      <c r="AT1863">
        <v>-1.55</v>
      </c>
      <c r="AU1863">
        <v>-6.37</v>
      </c>
      <c r="AV1863">
        <v>0</v>
      </c>
      <c r="AW1863">
        <v>1.64</v>
      </c>
      <c r="AX1863">
        <v>38.770000000000003</v>
      </c>
      <c r="AY1863">
        <v>34.11</v>
      </c>
      <c r="AZ1863">
        <v>42.72</v>
      </c>
      <c r="BA1863">
        <v>1.1299999999999999</v>
      </c>
      <c r="BB1863" t="s">
        <v>240</v>
      </c>
      <c r="BF1863">
        <v>-0.59</v>
      </c>
      <c r="BG1863">
        <v>-1.39</v>
      </c>
      <c r="BH1863">
        <v>-2.23</v>
      </c>
      <c r="BI1863">
        <v>0.23</v>
      </c>
      <c r="BJ1863">
        <v>20210826</v>
      </c>
      <c r="BK1863">
        <v>20180330</v>
      </c>
      <c r="BL1863">
        <v>2.72</v>
      </c>
      <c r="BM1863" t="s">
        <v>120</v>
      </c>
      <c r="BN1863" t="s">
        <v>120</v>
      </c>
      <c r="BO1863">
        <v>26.44</v>
      </c>
      <c r="BP1863">
        <v>17.07</v>
      </c>
      <c r="BQ1863">
        <v>19.16</v>
      </c>
      <c r="BR1863" t="s">
        <v>120</v>
      </c>
      <c r="BS1863">
        <v>27.54</v>
      </c>
      <c r="BT1863">
        <v>23.57</v>
      </c>
      <c r="BU1863">
        <v>1.49</v>
      </c>
      <c r="BV1863">
        <v>0.59</v>
      </c>
      <c r="BW1863">
        <v>7.23</v>
      </c>
      <c r="BX1863">
        <v>3.32</v>
      </c>
      <c r="BY1863">
        <v>9.5500000000000007</v>
      </c>
      <c r="BZ1863">
        <v>4.7</v>
      </c>
      <c r="CA1863" t="s">
        <v>120</v>
      </c>
      <c r="CB1863">
        <v>7.91</v>
      </c>
      <c r="CC1863">
        <v>11.04</v>
      </c>
      <c r="CD1863">
        <v>8.56</v>
      </c>
      <c r="CE1863">
        <v>1.03</v>
      </c>
      <c r="CF1863">
        <v>0.06</v>
      </c>
      <c r="CG1863">
        <v>1.02</v>
      </c>
      <c r="CH1863">
        <v>0.91</v>
      </c>
      <c r="CI1863">
        <v>0.91</v>
      </c>
      <c r="CJ1863">
        <v>-0.24</v>
      </c>
      <c r="CK1863">
        <v>0.84</v>
      </c>
      <c r="CL1863">
        <v>7.79</v>
      </c>
      <c r="CM1863">
        <v>-2.98</v>
      </c>
      <c r="CN1863">
        <v>-4.1399999999999997</v>
      </c>
      <c r="CO1863">
        <v>28066</v>
      </c>
      <c r="CP1863">
        <v>3756</v>
      </c>
      <c r="CQ1863" t="s">
        <v>6571</v>
      </c>
      <c r="CR1863">
        <v>43.71</v>
      </c>
      <c r="CS1863">
        <v>21.43</v>
      </c>
      <c r="CT1863">
        <v>2.42</v>
      </c>
      <c r="CU1863">
        <v>-15.55</v>
      </c>
      <c r="CV1863">
        <v>4.2</v>
      </c>
      <c r="CW1863">
        <v>1.1399999999999999</v>
      </c>
      <c r="CX1863" t="s">
        <v>1574</v>
      </c>
      <c r="CY1863">
        <v>7.05</v>
      </c>
      <c r="CZ1863">
        <v>0</v>
      </c>
      <c r="DA1863">
        <v>2.91</v>
      </c>
      <c r="DB1863">
        <v>2.86</v>
      </c>
      <c r="DC1863">
        <v>-1.1000000000000001</v>
      </c>
      <c r="DD1863">
        <v>72.459999999999994</v>
      </c>
      <c r="DE1863" t="s">
        <v>649</v>
      </c>
      <c r="DF1863">
        <v>22.46</v>
      </c>
      <c r="DG1863">
        <v>9.33</v>
      </c>
      <c r="DH1863">
        <v>8.27</v>
      </c>
      <c r="DI1863">
        <v>0.54</v>
      </c>
      <c r="DJ1863">
        <v>2540</v>
      </c>
      <c r="DK1863">
        <v>300504</v>
      </c>
      <c r="DL1863" t="s">
        <v>120</v>
      </c>
      <c r="DM1863" t="s">
        <v>120</v>
      </c>
      <c r="DN1863" t="s">
        <v>120</v>
      </c>
    </row>
    <row r="1864" spans="1:118">
      <c r="A1864" t="str">
        <f>"300505"</f>
        <v>300505</v>
      </c>
      <c r="B1864" t="s">
        <v>9327</v>
      </c>
      <c r="C1864">
        <v>-6.03</v>
      </c>
      <c r="D1864">
        <v>0</v>
      </c>
      <c r="E1864">
        <v>2.2799999999999998</v>
      </c>
      <c r="F1864">
        <v>1375</v>
      </c>
      <c r="G1864" t="s">
        <v>9328</v>
      </c>
      <c r="H1864">
        <v>97240.03</v>
      </c>
      <c r="I1864">
        <v>506.71</v>
      </c>
      <c r="J1864" t="s">
        <v>120</v>
      </c>
      <c r="K1864" t="s">
        <v>3643</v>
      </c>
      <c r="L1864">
        <v>21.48</v>
      </c>
      <c r="M1864">
        <v>45</v>
      </c>
      <c r="N1864">
        <v>0.8</v>
      </c>
      <c r="O1864">
        <v>3.74</v>
      </c>
      <c r="P1864">
        <v>49.68</v>
      </c>
      <c r="Q1864">
        <v>-9</v>
      </c>
      <c r="R1864">
        <v>43.58</v>
      </c>
      <c r="S1864">
        <v>48.98</v>
      </c>
      <c r="T1864">
        <v>207336</v>
      </c>
      <c r="U1864">
        <v>45</v>
      </c>
      <c r="V1864">
        <v>47.89</v>
      </c>
      <c r="W1864">
        <v>79.83</v>
      </c>
      <c r="X1864" t="s">
        <v>868</v>
      </c>
      <c r="Y1864" t="s">
        <v>1006</v>
      </c>
      <c r="Z1864">
        <v>12.74</v>
      </c>
      <c r="AA1864">
        <v>46.9</v>
      </c>
      <c r="AB1864">
        <v>110729</v>
      </c>
      <c r="AC1864">
        <v>96607</v>
      </c>
      <c r="AD1864">
        <v>1.1499999999999999</v>
      </c>
      <c r="AE1864">
        <v>206</v>
      </c>
      <c r="AF1864">
        <v>583</v>
      </c>
      <c r="AG1864" t="s">
        <v>120</v>
      </c>
      <c r="AH1864">
        <v>0.12</v>
      </c>
      <c r="AI1864" t="s">
        <v>120</v>
      </c>
      <c r="AJ1864">
        <v>0.97</v>
      </c>
      <c r="AK1864" t="s">
        <v>9329</v>
      </c>
      <c r="AL1864">
        <v>-4.12</v>
      </c>
      <c r="AM1864">
        <v>4453</v>
      </c>
      <c r="AN1864">
        <v>47</v>
      </c>
      <c r="AO1864">
        <v>4.7999999999999996E-3</v>
      </c>
      <c r="AP1864">
        <v>-1</v>
      </c>
      <c r="AQ1864">
        <v>1.25</v>
      </c>
      <c r="AR1864">
        <v>-11.02</v>
      </c>
      <c r="AS1864">
        <v>67.22</v>
      </c>
      <c r="AT1864">
        <v>113.02</v>
      </c>
      <c r="AU1864">
        <v>186.72</v>
      </c>
      <c r="AV1864">
        <v>5</v>
      </c>
      <c r="AW1864">
        <v>24.52</v>
      </c>
      <c r="AX1864">
        <v>61.2</v>
      </c>
      <c r="AY1864">
        <v>144.6</v>
      </c>
      <c r="AZ1864">
        <v>159.49</v>
      </c>
      <c r="BA1864">
        <v>2.13</v>
      </c>
      <c r="BB1864" t="s">
        <v>184</v>
      </c>
      <c r="BF1864">
        <v>-2.0699999999999998</v>
      </c>
      <c r="BG1864">
        <v>-8.1300000000000008</v>
      </c>
      <c r="BH1864">
        <v>-9.42</v>
      </c>
      <c r="BI1864">
        <v>3.26</v>
      </c>
      <c r="BJ1864">
        <v>20210910</v>
      </c>
      <c r="BK1864">
        <v>20160315</v>
      </c>
      <c r="BL1864">
        <v>1.38</v>
      </c>
      <c r="BM1864" t="s">
        <v>120</v>
      </c>
      <c r="BN1864" t="s">
        <v>120</v>
      </c>
      <c r="BO1864">
        <v>19.87</v>
      </c>
      <c r="BP1864">
        <v>44.99</v>
      </c>
      <c r="BQ1864">
        <v>10.77</v>
      </c>
      <c r="BR1864">
        <v>0.48</v>
      </c>
      <c r="BS1864">
        <v>43.39</v>
      </c>
      <c r="BT1864">
        <v>6.88</v>
      </c>
      <c r="BU1864">
        <v>10.24</v>
      </c>
      <c r="BV1864">
        <v>0.93</v>
      </c>
      <c r="BW1864">
        <v>4.25</v>
      </c>
      <c r="BX1864">
        <v>2.42</v>
      </c>
      <c r="BY1864">
        <v>2.25</v>
      </c>
      <c r="BZ1864">
        <v>1.23</v>
      </c>
      <c r="CA1864">
        <v>0</v>
      </c>
      <c r="CB1864">
        <v>3.89</v>
      </c>
      <c r="CC1864">
        <v>6.3</v>
      </c>
      <c r="CD1864">
        <v>5.31</v>
      </c>
      <c r="CE1864">
        <v>0.46</v>
      </c>
      <c r="CF1864">
        <v>0</v>
      </c>
      <c r="CG1864">
        <v>0.46</v>
      </c>
      <c r="CH1864">
        <v>0.41</v>
      </c>
      <c r="CI1864">
        <v>0.39</v>
      </c>
      <c r="CJ1864">
        <v>-2.89</v>
      </c>
      <c r="CK1864">
        <v>0.37</v>
      </c>
      <c r="CL1864">
        <v>4.07</v>
      </c>
      <c r="CM1864">
        <v>-0.49</v>
      </c>
      <c r="CN1864">
        <v>-1.6</v>
      </c>
      <c r="CO1864">
        <v>10626</v>
      </c>
      <c r="CP1864">
        <v>7956</v>
      </c>
      <c r="CQ1864" t="s">
        <v>9330</v>
      </c>
      <c r="CR1864">
        <v>12.33</v>
      </c>
      <c r="CS1864">
        <v>18.170000000000002</v>
      </c>
      <c r="CT1864">
        <v>5.99</v>
      </c>
      <c r="CU1864">
        <v>-127.13</v>
      </c>
      <c r="CV1864">
        <v>9.8699999999999992</v>
      </c>
      <c r="CW1864">
        <v>0.13</v>
      </c>
      <c r="CX1864" t="s">
        <v>1340</v>
      </c>
      <c r="CY1864">
        <v>7.52</v>
      </c>
      <c r="CZ1864">
        <v>7.52</v>
      </c>
      <c r="DA1864">
        <v>2.82</v>
      </c>
      <c r="DB1864">
        <v>2.95</v>
      </c>
      <c r="DC1864">
        <v>-0.35</v>
      </c>
      <c r="DD1864">
        <v>54.19</v>
      </c>
      <c r="DE1864" t="s">
        <v>7177</v>
      </c>
      <c r="DF1864">
        <v>15.69</v>
      </c>
      <c r="DG1864">
        <v>7.33</v>
      </c>
      <c r="DH1864">
        <v>6.18</v>
      </c>
      <c r="DI1864">
        <v>0.02</v>
      </c>
      <c r="DJ1864">
        <v>1563</v>
      </c>
      <c r="DK1864">
        <v>300505</v>
      </c>
      <c r="DL1864">
        <v>20210706</v>
      </c>
      <c r="DM1864">
        <v>24.96</v>
      </c>
      <c r="DN1864">
        <v>80.55</v>
      </c>
    </row>
    <row r="1865" spans="1:118">
      <c r="A1865" t="str">
        <f>"300506"</f>
        <v>300506</v>
      </c>
      <c r="B1865" t="s">
        <v>9331</v>
      </c>
      <c r="C1865">
        <v>4.18</v>
      </c>
      <c r="D1865">
        <v>-0.13</v>
      </c>
      <c r="E1865">
        <v>-0.28999999999999998</v>
      </c>
      <c r="F1865">
        <v>2377</v>
      </c>
      <c r="G1865" t="s">
        <v>9332</v>
      </c>
      <c r="H1865">
        <v>31491.040000000001</v>
      </c>
      <c r="I1865">
        <v>202.81</v>
      </c>
      <c r="J1865" t="s">
        <v>120</v>
      </c>
      <c r="K1865" t="s">
        <v>3372</v>
      </c>
      <c r="L1865">
        <v>8.91</v>
      </c>
      <c r="M1865">
        <v>7.22</v>
      </c>
      <c r="N1865">
        <v>1.52</v>
      </c>
      <c r="O1865">
        <v>10.1</v>
      </c>
      <c r="P1865">
        <v>7.63</v>
      </c>
      <c r="Q1865">
        <v>-0.57999999999999996</v>
      </c>
      <c r="R1865">
        <v>6.89</v>
      </c>
      <c r="S1865">
        <v>6.91</v>
      </c>
      <c r="T1865">
        <v>434839</v>
      </c>
      <c r="U1865">
        <v>7.23</v>
      </c>
      <c r="V1865">
        <v>6.93</v>
      </c>
      <c r="W1865">
        <v>372.53</v>
      </c>
      <c r="X1865" t="s">
        <v>175</v>
      </c>
      <c r="Y1865" t="s">
        <v>123</v>
      </c>
      <c r="Z1865">
        <v>10.68</v>
      </c>
      <c r="AA1865">
        <v>7.24</v>
      </c>
      <c r="AB1865">
        <v>198209</v>
      </c>
      <c r="AC1865">
        <v>236630</v>
      </c>
      <c r="AD1865">
        <v>0.84</v>
      </c>
      <c r="AE1865">
        <v>1772</v>
      </c>
      <c r="AF1865">
        <v>96</v>
      </c>
      <c r="AG1865" t="s">
        <v>120</v>
      </c>
      <c r="AH1865">
        <v>0.08</v>
      </c>
      <c r="AI1865" t="s">
        <v>120</v>
      </c>
      <c r="AJ1865">
        <v>4.88</v>
      </c>
      <c r="AK1865" t="s">
        <v>7888</v>
      </c>
      <c r="AL1865">
        <v>6.1</v>
      </c>
      <c r="AM1865">
        <v>3377</v>
      </c>
      <c r="AN1865">
        <v>129</v>
      </c>
      <c r="AO1865">
        <v>2.5999999999999999E-3</v>
      </c>
      <c r="AP1865">
        <v>4</v>
      </c>
      <c r="AQ1865">
        <v>3.13</v>
      </c>
      <c r="AR1865">
        <v>7.61</v>
      </c>
      <c r="AS1865">
        <v>7.44</v>
      </c>
      <c r="AT1865">
        <v>36.479999999999997</v>
      </c>
      <c r="AU1865">
        <v>19.54</v>
      </c>
      <c r="AV1865">
        <v>2</v>
      </c>
      <c r="AW1865">
        <v>11.87</v>
      </c>
      <c r="AX1865">
        <v>55.91</v>
      </c>
      <c r="AY1865" t="s">
        <v>120</v>
      </c>
      <c r="AZ1865" t="s">
        <v>120</v>
      </c>
      <c r="BA1865">
        <v>1.02</v>
      </c>
      <c r="BB1865" t="s">
        <v>1103</v>
      </c>
      <c r="BF1865">
        <v>4.5</v>
      </c>
      <c r="BG1865">
        <v>4.49</v>
      </c>
      <c r="BH1865">
        <v>-5.37</v>
      </c>
      <c r="BI1865">
        <v>4.79</v>
      </c>
      <c r="BJ1865">
        <v>20210830</v>
      </c>
      <c r="BK1865">
        <v>20160324</v>
      </c>
      <c r="BL1865">
        <v>6.55</v>
      </c>
      <c r="BM1865" t="s">
        <v>120</v>
      </c>
      <c r="BN1865" t="s">
        <v>120</v>
      </c>
      <c r="BO1865">
        <v>26.12</v>
      </c>
      <c r="BP1865">
        <v>7.22</v>
      </c>
      <c r="BQ1865">
        <v>13.43</v>
      </c>
      <c r="BR1865">
        <v>0.01</v>
      </c>
      <c r="BS1865">
        <v>48.58</v>
      </c>
      <c r="BT1865">
        <v>19.52</v>
      </c>
      <c r="BU1865">
        <v>0.4</v>
      </c>
      <c r="BV1865">
        <v>0.15</v>
      </c>
      <c r="BW1865">
        <v>9.56</v>
      </c>
      <c r="BX1865">
        <v>0.6</v>
      </c>
      <c r="BY1865">
        <v>0.36</v>
      </c>
      <c r="BZ1865">
        <v>9.42</v>
      </c>
      <c r="CA1865" t="s">
        <v>120</v>
      </c>
      <c r="CB1865">
        <v>5.37</v>
      </c>
      <c r="CC1865">
        <v>3.87</v>
      </c>
      <c r="CD1865">
        <v>2.66</v>
      </c>
      <c r="CE1865">
        <v>7.0000000000000007E-2</v>
      </c>
      <c r="CF1865">
        <v>-0.12</v>
      </c>
      <c r="CG1865">
        <v>0.06</v>
      </c>
      <c r="CH1865">
        <v>0.03</v>
      </c>
      <c r="CI1865">
        <v>0.06</v>
      </c>
      <c r="CJ1865">
        <v>0.28999999999999998</v>
      </c>
      <c r="CK1865">
        <v>0.2</v>
      </c>
      <c r="CL1865">
        <v>0.93</v>
      </c>
      <c r="CM1865">
        <v>-0.14000000000000001</v>
      </c>
      <c r="CN1865">
        <v>-3.33</v>
      </c>
      <c r="CO1865">
        <v>30000</v>
      </c>
      <c r="CP1865">
        <v>12207</v>
      </c>
      <c r="CQ1865" t="s">
        <v>6656</v>
      </c>
      <c r="CR1865">
        <v>109.02</v>
      </c>
      <c r="CS1865">
        <v>197.2</v>
      </c>
      <c r="CT1865">
        <v>3.52</v>
      </c>
      <c r="CU1865">
        <v>-330.06</v>
      </c>
      <c r="CV1865">
        <v>12.23</v>
      </c>
      <c r="CW1865">
        <v>0</v>
      </c>
      <c r="CX1865" t="s">
        <v>178</v>
      </c>
      <c r="CY1865">
        <v>2.0499999999999998</v>
      </c>
      <c r="CZ1865">
        <v>0</v>
      </c>
      <c r="DA1865">
        <v>0.82</v>
      </c>
      <c r="DB1865">
        <v>0.14000000000000001</v>
      </c>
      <c r="DC1865">
        <v>-0.02</v>
      </c>
      <c r="DD1865">
        <v>51.4</v>
      </c>
      <c r="DE1865" t="s">
        <v>3823</v>
      </c>
      <c r="DF1865">
        <v>31.16</v>
      </c>
      <c r="DG1865">
        <v>1.84</v>
      </c>
      <c r="DH1865">
        <v>1.64</v>
      </c>
      <c r="DI1865">
        <v>0.26</v>
      </c>
      <c r="DJ1865">
        <v>713</v>
      </c>
      <c r="DK1865">
        <v>300506</v>
      </c>
      <c r="DL1865" t="s">
        <v>120</v>
      </c>
      <c r="DM1865" t="s">
        <v>120</v>
      </c>
      <c r="DN1865" t="s">
        <v>120</v>
      </c>
    </row>
    <row r="1866" spans="1:118">
      <c r="A1866" t="str">
        <f>"300507"</f>
        <v>300507</v>
      </c>
      <c r="B1866" t="s">
        <v>9333</v>
      </c>
      <c r="C1866">
        <v>-2.25</v>
      </c>
      <c r="D1866">
        <v>0</v>
      </c>
      <c r="E1866">
        <v>-0.9</v>
      </c>
      <c r="F1866">
        <v>191</v>
      </c>
      <c r="G1866" t="s">
        <v>6628</v>
      </c>
      <c r="H1866">
        <v>4041.32</v>
      </c>
      <c r="I1866">
        <v>25.23</v>
      </c>
      <c r="J1866" t="s">
        <v>120</v>
      </c>
      <c r="K1866" t="s">
        <v>7226</v>
      </c>
      <c r="L1866">
        <v>1.69</v>
      </c>
      <c r="M1866">
        <v>8.6999999999999993</v>
      </c>
      <c r="N1866">
        <v>1.01</v>
      </c>
      <c r="O1866">
        <v>0.79</v>
      </c>
      <c r="P1866">
        <v>8.9700000000000006</v>
      </c>
      <c r="Q1866">
        <v>-2.36</v>
      </c>
      <c r="R1866">
        <v>8.69</v>
      </c>
      <c r="S1866">
        <v>8.82</v>
      </c>
      <c r="T1866">
        <v>45859</v>
      </c>
      <c r="U1866">
        <v>8.6999999999999993</v>
      </c>
      <c r="V1866">
        <v>8.9</v>
      </c>
      <c r="W1866">
        <v>43.97</v>
      </c>
      <c r="X1866" t="s">
        <v>289</v>
      </c>
      <c r="Y1866" t="s">
        <v>319</v>
      </c>
      <c r="Z1866">
        <v>3.15</v>
      </c>
      <c r="AA1866">
        <v>8.81</v>
      </c>
      <c r="AB1866">
        <v>31902</v>
      </c>
      <c r="AC1866">
        <v>13957</v>
      </c>
      <c r="AD1866">
        <v>2.29</v>
      </c>
      <c r="AE1866">
        <v>372</v>
      </c>
      <c r="AF1866">
        <v>432</v>
      </c>
      <c r="AG1866" t="s">
        <v>120</v>
      </c>
      <c r="AH1866">
        <v>0.01</v>
      </c>
      <c r="AI1866" t="s">
        <v>120</v>
      </c>
      <c r="AJ1866">
        <v>2.71</v>
      </c>
      <c r="AK1866" t="s">
        <v>2031</v>
      </c>
      <c r="AL1866">
        <v>-0.33</v>
      </c>
      <c r="AM1866">
        <v>1254</v>
      </c>
      <c r="AN1866">
        <v>37</v>
      </c>
      <c r="AO1866">
        <v>1.4E-3</v>
      </c>
      <c r="AP1866">
        <v>-2</v>
      </c>
      <c r="AQ1866">
        <v>-1.22</v>
      </c>
      <c r="AR1866">
        <v>-2.14</v>
      </c>
      <c r="AS1866">
        <v>-6.05</v>
      </c>
      <c r="AT1866">
        <v>-1.36</v>
      </c>
      <c r="AU1866">
        <v>11.74</v>
      </c>
      <c r="AV1866">
        <v>1</v>
      </c>
      <c r="AW1866">
        <v>2.34</v>
      </c>
      <c r="AX1866">
        <v>39.67</v>
      </c>
      <c r="AY1866">
        <v>41.79</v>
      </c>
      <c r="AZ1866">
        <v>42.22</v>
      </c>
      <c r="BA1866">
        <v>0.83</v>
      </c>
      <c r="BB1866" t="s">
        <v>134</v>
      </c>
      <c r="BF1866">
        <v>-0.98</v>
      </c>
      <c r="BG1866">
        <v>-1.36</v>
      </c>
      <c r="BH1866">
        <v>-3.01</v>
      </c>
      <c r="BI1866">
        <v>0.12</v>
      </c>
      <c r="BJ1866">
        <v>20210830</v>
      </c>
      <c r="BK1866">
        <v>20160429</v>
      </c>
      <c r="BL1866">
        <v>4.95</v>
      </c>
      <c r="BM1866" t="s">
        <v>120</v>
      </c>
      <c r="BN1866" t="s">
        <v>120</v>
      </c>
      <c r="BO1866">
        <v>14.67</v>
      </c>
      <c r="BP1866">
        <v>8.69</v>
      </c>
      <c r="BQ1866">
        <v>11.26</v>
      </c>
      <c r="BR1866">
        <v>1.04</v>
      </c>
      <c r="BS1866">
        <v>16.190000000000001</v>
      </c>
      <c r="BT1866">
        <v>11.06</v>
      </c>
      <c r="BU1866">
        <v>1.99</v>
      </c>
      <c r="BV1866">
        <v>0.31</v>
      </c>
      <c r="BW1866">
        <v>2.0699999999999998</v>
      </c>
      <c r="BX1866">
        <v>2.0099999999999998</v>
      </c>
      <c r="BY1866">
        <v>1.42</v>
      </c>
      <c r="BZ1866">
        <v>1.92</v>
      </c>
      <c r="CA1866" t="s">
        <v>120</v>
      </c>
      <c r="CB1866">
        <v>0.39</v>
      </c>
      <c r="CC1866">
        <v>3.69</v>
      </c>
      <c r="CD1866">
        <v>2.74</v>
      </c>
      <c r="CE1866">
        <v>0.7</v>
      </c>
      <c r="CF1866">
        <v>0.09</v>
      </c>
      <c r="CG1866">
        <v>0.71</v>
      </c>
      <c r="CH1866">
        <v>0.63</v>
      </c>
      <c r="CI1866">
        <v>0.49</v>
      </c>
      <c r="CJ1866">
        <v>-0.2</v>
      </c>
      <c r="CK1866">
        <v>0.38</v>
      </c>
      <c r="CL1866">
        <v>5.95</v>
      </c>
      <c r="CM1866">
        <v>0.38</v>
      </c>
      <c r="CN1866">
        <v>0.53</v>
      </c>
      <c r="CO1866">
        <v>24795</v>
      </c>
      <c r="CP1866">
        <v>7915</v>
      </c>
      <c r="CQ1866" t="s">
        <v>1933</v>
      </c>
      <c r="CR1866">
        <v>2.25</v>
      </c>
      <c r="CS1866">
        <v>21.58</v>
      </c>
      <c r="CT1866">
        <v>3.31</v>
      </c>
      <c r="CU1866">
        <v>114.17</v>
      </c>
      <c r="CV1866">
        <v>11.66</v>
      </c>
      <c r="CW1866">
        <v>0.7</v>
      </c>
      <c r="CX1866" t="s">
        <v>1147</v>
      </c>
      <c r="CY1866">
        <v>2.63</v>
      </c>
      <c r="CZ1866">
        <v>2.63</v>
      </c>
      <c r="DA1866">
        <v>0.08</v>
      </c>
      <c r="DB1866">
        <v>1.2</v>
      </c>
      <c r="DC1866">
        <v>0.08</v>
      </c>
      <c r="DD1866">
        <v>76.739999999999995</v>
      </c>
      <c r="DE1866" t="s">
        <v>9334</v>
      </c>
      <c r="DF1866">
        <v>25.88</v>
      </c>
      <c r="DG1866">
        <v>19.059999999999999</v>
      </c>
      <c r="DH1866">
        <v>13.26</v>
      </c>
      <c r="DI1866">
        <v>0.16</v>
      </c>
      <c r="DJ1866">
        <v>524</v>
      </c>
      <c r="DK1866">
        <v>300507</v>
      </c>
      <c r="DL1866" t="s">
        <v>120</v>
      </c>
      <c r="DM1866" t="s">
        <v>120</v>
      </c>
      <c r="DN1866" t="s">
        <v>120</v>
      </c>
    </row>
    <row r="1867" spans="1:118">
      <c r="A1867" t="str">
        <f>"300508"</f>
        <v>300508</v>
      </c>
      <c r="B1867" t="s">
        <v>9335</v>
      </c>
      <c r="C1867">
        <v>-0.09</v>
      </c>
      <c r="D1867">
        <v>0.02</v>
      </c>
      <c r="E1867">
        <v>-1.1299999999999999</v>
      </c>
      <c r="F1867">
        <v>395</v>
      </c>
      <c r="G1867" t="s">
        <v>9336</v>
      </c>
      <c r="H1867">
        <v>21640.21</v>
      </c>
      <c r="I1867">
        <v>110.25</v>
      </c>
      <c r="J1867" t="s">
        <v>120</v>
      </c>
      <c r="K1867" t="s">
        <v>6798</v>
      </c>
      <c r="L1867">
        <v>8.82</v>
      </c>
      <c r="M1867">
        <v>53.05</v>
      </c>
      <c r="N1867">
        <v>0.96</v>
      </c>
      <c r="O1867">
        <v>4.5199999999999996</v>
      </c>
      <c r="P1867">
        <v>55.5</v>
      </c>
      <c r="Q1867">
        <v>-1.1299999999999999</v>
      </c>
      <c r="R1867">
        <v>52.5</v>
      </c>
      <c r="S1867">
        <v>52.5</v>
      </c>
      <c r="T1867">
        <v>39962</v>
      </c>
      <c r="U1867">
        <v>53.07</v>
      </c>
      <c r="V1867">
        <v>53.1</v>
      </c>
      <c r="W1867">
        <v>54.65</v>
      </c>
      <c r="X1867" t="s">
        <v>141</v>
      </c>
      <c r="Y1867" t="s">
        <v>1510</v>
      </c>
      <c r="Z1867">
        <v>5.65</v>
      </c>
      <c r="AA1867">
        <v>54.15</v>
      </c>
      <c r="AB1867">
        <v>19561</v>
      </c>
      <c r="AC1867">
        <v>20401</v>
      </c>
      <c r="AD1867">
        <v>0.96</v>
      </c>
      <c r="AE1867">
        <v>28</v>
      </c>
      <c r="AF1867">
        <v>80</v>
      </c>
      <c r="AG1867" t="s">
        <v>120</v>
      </c>
      <c r="AH1867">
        <v>7.0000000000000007E-2</v>
      </c>
      <c r="AI1867" t="s">
        <v>120</v>
      </c>
      <c r="AJ1867">
        <v>0.45</v>
      </c>
      <c r="AK1867" t="s">
        <v>9337</v>
      </c>
      <c r="AL1867">
        <v>1.82</v>
      </c>
      <c r="AM1867">
        <v>3023</v>
      </c>
      <c r="AN1867">
        <v>13</v>
      </c>
      <c r="AO1867">
        <v>2.8999999999999998E-3</v>
      </c>
      <c r="AP1867">
        <v>-2</v>
      </c>
      <c r="AQ1867">
        <v>-5.77</v>
      </c>
      <c r="AR1867">
        <v>-2.4700000000000002</v>
      </c>
      <c r="AS1867">
        <v>-2.46</v>
      </c>
      <c r="AT1867">
        <v>110.51</v>
      </c>
      <c r="AU1867">
        <v>125.11</v>
      </c>
      <c r="AV1867">
        <v>6</v>
      </c>
      <c r="AW1867">
        <v>14.03</v>
      </c>
      <c r="AX1867">
        <v>31.32</v>
      </c>
      <c r="AY1867">
        <v>61.75</v>
      </c>
      <c r="AZ1867">
        <v>165.99</v>
      </c>
      <c r="BA1867">
        <v>1.62</v>
      </c>
      <c r="BB1867" t="s">
        <v>143</v>
      </c>
      <c r="BF1867">
        <v>1.98</v>
      </c>
      <c r="BG1867">
        <v>1.05</v>
      </c>
      <c r="BH1867">
        <v>-4.41</v>
      </c>
      <c r="BI1867">
        <v>1.05</v>
      </c>
      <c r="BJ1867">
        <v>20210729</v>
      </c>
      <c r="BK1867">
        <v>20160419</v>
      </c>
      <c r="BL1867">
        <v>0.91</v>
      </c>
      <c r="BM1867" t="s">
        <v>120</v>
      </c>
      <c r="BN1867" t="s">
        <v>120</v>
      </c>
      <c r="BO1867">
        <v>7.81</v>
      </c>
      <c r="BP1867">
        <v>53.05</v>
      </c>
      <c r="BQ1867">
        <v>6</v>
      </c>
      <c r="BR1867">
        <v>0.02</v>
      </c>
      <c r="BS1867">
        <v>22.85</v>
      </c>
      <c r="BT1867">
        <v>3.48</v>
      </c>
      <c r="BU1867">
        <v>1.06</v>
      </c>
      <c r="BV1867">
        <v>0.41</v>
      </c>
      <c r="BW1867">
        <v>1.1100000000000001</v>
      </c>
      <c r="BX1867">
        <v>0.96</v>
      </c>
      <c r="BY1867">
        <v>0.67</v>
      </c>
      <c r="BZ1867">
        <v>0.48</v>
      </c>
      <c r="CA1867" t="s">
        <v>120</v>
      </c>
      <c r="CB1867">
        <v>1.66</v>
      </c>
      <c r="CC1867">
        <v>2.17</v>
      </c>
      <c r="CD1867">
        <v>0.97</v>
      </c>
      <c r="CE1867">
        <v>0.5</v>
      </c>
      <c r="CF1867">
        <v>0.06</v>
      </c>
      <c r="CG1867">
        <v>0.51</v>
      </c>
      <c r="CH1867">
        <v>0.44</v>
      </c>
      <c r="CI1867">
        <v>0.44</v>
      </c>
      <c r="CJ1867">
        <v>-0.05</v>
      </c>
      <c r="CK1867">
        <v>0.38</v>
      </c>
      <c r="CL1867">
        <v>3.1</v>
      </c>
      <c r="CM1867">
        <v>0.08</v>
      </c>
      <c r="CN1867">
        <v>-0.14000000000000001</v>
      </c>
      <c r="CO1867">
        <v>7905</v>
      </c>
      <c r="CP1867">
        <v>3602</v>
      </c>
      <c r="CQ1867" t="s">
        <v>9338</v>
      </c>
      <c r="CR1867">
        <v>989.17</v>
      </c>
      <c r="CS1867">
        <v>156.54</v>
      </c>
      <c r="CT1867">
        <v>8.0299999999999994</v>
      </c>
      <c r="CU1867">
        <v>620.49</v>
      </c>
      <c r="CV1867">
        <v>22.22</v>
      </c>
      <c r="CW1867">
        <v>0.06</v>
      </c>
      <c r="CX1867" t="s">
        <v>780</v>
      </c>
      <c r="CY1867">
        <v>6.6</v>
      </c>
      <c r="CZ1867">
        <v>0</v>
      </c>
      <c r="DA1867">
        <v>1.83</v>
      </c>
      <c r="DB1867">
        <v>3.41</v>
      </c>
      <c r="DC1867">
        <v>0.09</v>
      </c>
      <c r="DD1867">
        <v>76.900000000000006</v>
      </c>
      <c r="DE1867" t="s">
        <v>6184</v>
      </c>
      <c r="DF1867">
        <v>55.28</v>
      </c>
      <c r="DG1867">
        <v>23.21</v>
      </c>
      <c r="DH1867">
        <v>20.329999999999998</v>
      </c>
      <c r="DI1867">
        <v>0.41</v>
      </c>
      <c r="DJ1867">
        <v>486</v>
      </c>
      <c r="DK1867">
        <v>300508</v>
      </c>
      <c r="DL1867">
        <v>20210802</v>
      </c>
      <c r="DM1867">
        <v>43.4</v>
      </c>
      <c r="DN1867">
        <v>22.24</v>
      </c>
    </row>
    <row r="1868" spans="1:118">
      <c r="A1868" t="str">
        <f>"300509"</f>
        <v>300509</v>
      </c>
      <c r="B1868" t="s">
        <v>9339</v>
      </c>
      <c r="C1868">
        <v>-1.83</v>
      </c>
      <c r="D1868">
        <v>0</v>
      </c>
      <c r="E1868">
        <v>0</v>
      </c>
      <c r="F1868">
        <v>1751</v>
      </c>
      <c r="G1868" t="s">
        <v>9340</v>
      </c>
      <c r="H1868">
        <v>5481.36</v>
      </c>
      <c r="I1868">
        <v>75.040000000000006</v>
      </c>
      <c r="J1868" t="s">
        <v>120</v>
      </c>
      <c r="K1868" t="s">
        <v>9341</v>
      </c>
      <c r="L1868">
        <v>4.6500000000000004</v>
      </c>
      <c r="M1868">
        <v>6.99</v>
      </c>
      <c r="N1868">
        <v>1.1100000000000001</v>
      </c>
      <c r="O1868">
        <v>0.42</v>
      </c>
      <c r="P1868">
        <v>7.15</v>
      </c>
      <c r="Q1868">
        <v>-3.79</v>
      </c>
      <c r="R1868">
        <v>6.85</v>
      </c>
      <c r="S1868">
        <v>7.12</v>
      </c>
      <c r="T1868">
        <v>78206</v>
      </c>
      <c r="U1868">
        <v>6.99</v>
      </c>
      <c r="V1868">
        <v>7.12</v>
      </c>
      <c r="W1868">
        <v>35.26</v>
      </c>
      <c r="X1868" t="s">
        <v>675</v>
      </c>
      <c r="Y1868" t="s">
        <v>319</v>
      </c>
      <c r="Z1868">
        <v>4.21</v>
      </c>
      <c r="AA1868">
        <v>7.01</v>
      </c>
      <c r="AB1868">
        <v>45026</v>
      </c>
      <c r="AC1868">
        <v>33180</v>
      </c>
      <c r="AD1868">
        <v>1.36</v>
      </c>
      <c r="AE1868">
        <v>89</v>
      </c>
      <c r="AF1868">
        <v>583</v>
      </c>
      <c r="AG1868" t="s">
        <v>120</v>
      </c>
      <c r="AH1868">
        <v>0.09</v>
      </c>
      <c r="AI1868" t="s">
        <v>120</v>
      </c>
      <c r="AJ1868">
        <v>1.68</v>
      </c>
      <c r="AK1868" t="s">
        <v>9342</v>
      </c>
      <c r="AL1868">
        <v>0.09</v>
      </c>
      <c r="AM1868">
        <v>2159</v>
      </c>
      <c r="AN1868">
        <v>36</v>
      </c>
      <c r="AO1868">
        <v>2.2000000000000001E-3</v>
      </c>
      <c r="AP1868">
        <v>-1</v>
      </c>
      <c r="AQ1868">
        <v>5.33</v>
      </c>
      <c r="AR1868">
        <v>2.8</v>
      </c>
      <c r="AS1868">
        <v>3.71</v>
      </c>
      <c r="AT1868">
        <v>-0.15</v>
      </c>
      <c r="AU1868">
        <v>5.27</v>
      </c>
      <c r="AV1868">
        <v>0</v>
      </c>
      <c r="AW1868">
        <v>6.75</v>
      </c>
      <c r="AX1868">
        <v>39.11</v>
      </c>
      <c r="AY1868">
        <v>32.78</v>
      </c>
      <c r="AZ1868">
        <v>36.35</v>
      </c>
      <c r="BA1868">
        <v>0.45</v>
      </c>
      <c r="BB1868" t="s">
        <v>751</v>
      </c>
      <c r="BF1868">
        <v>-1.56</v>
      </c>
      <c r="BG1868">
        <v>-1.83</v>
      </c>
      <c r="BH1868">
        <v>-2.2400000000000002</v>
      </c>
      <c r="BI1868">
        <v>2.04</v>
      </c>
      <c r="BJ1868">
        <v>20210814</v>
      </c>
      <c r="BK1868">
        <v>20160425</v>
      </c>
      <c r="BL1868">
        <v>2.96</v>
      </c>
      <c r="BM1868" t="s">
        <v>120</v>
      </c>
      <c r="BN1868" t="s">
        <v>120</v>
      </c>
      <c r="BO1868">
        <v>16.920000000000002</v>
      </c>
      <c r="BP1868">
        <v>6.98</v>
      </c>
      <c r="BQ1868">
        <v>5.96</v>
      </c>
      <c r="BR1868">
        <v>0.65</v>
      </c>
      <c r="BS1868">
        <v>60.92</v>
      </c>
      <c r="BT1868">
        <v>13.29</v>
      </c>
      <c r="BU1868">
        <v>1.75</v>
      </c>
      <c r="BV1868">
        <v>0.34</v>
      </c>
      <c r="BW1868">
        <v>10.1</v>
      </c>
      <c r="BX1868">
        <v>4.57</v>
      </c>
      <c r="BY1868">
        <v>6.72</v>
      </c>
      <c r="BZ1868">
        <v>1.42</v>
      </c>
      <c r="CA1868">
        <v>0.34</v>
      </c>
      <c r="CB1868">
        <v>0.9</v>
      </c>
      <c r="CC1868">
        <v>3.67</v>
      </c>
      <c r="CD1868">
        <v>2.52</v>
      </c>
      <c r="CE1868">
        <v>0.39</v>
      </c>
      <c r="CF1868">
        <v>0</v>
      </c>
      <c r="CG1868">
        <v>0.39</v>
      </c>
      <c r="CH1868">
        <v>0.33</v>
      </c>
      <c r="CI1868">
        <v>0.28999999999999998</v>
      </c>
      <c r="CJ1868">
        <v>-0.13</v>
      </c>
      <c r="CK1868">
        <v>0.28000000000000003</v>
      </c>
      <c r="CL1868">
        <v>2.0099999999999998</v>
      </c>
      <c r="CM1868">
        <v>-0.09</v>
      </c>
      <c r="CN1868">
        <v>-0.4</v>
      </c>
      <c r="CO1868">
        <v>11163</v>
      </c>
      <c r="CP1868">
        <v>10383</v>
      </c>
      <c r="CQ1868" t="s">
        <v>1210</v>
      </c>
      <c r="CR1868">
        <v>27.48</v>
      </c>
      <c r="CS1868">
        <v>9.35</v>
      </c>
      <c r="CT1868">
        <v>3.48</v>
      </c>
      <c r="CU1868">
        <v>-235.25</v>
      </c>
      <c r="CV1868">
        <v>5.65</v>
      </c>
      <c r="CW1868">
        <v>1.69</v>
      </c>
      <c r="CX1868" t="s">
        <v>411</v>
      </c>
      <c r="CY1868">
        <v>2.0099999999999998</v>
      </c>
      <c r="CZ1868">
        <v>0</v>
      </c>
      <c r="DA1868">
        <v>0.3</v>
      </c>
      <c r="DB1868">
        <v>0.68</v>
      </c>
      <c r="DC1868">
        <v>-0.03</v>
      </c>
      <c r="DD1868">
        <v>35.229999999999997</v>
      </c>
      <c r="DE1868" t="s">
        <v>9343</v>
      </c>
      <c r="DF1868">
        <v>31.18</v>
      </c>
      <c r="DG1868">
        <v>10.68</v>
      </c>
      <c r="DH1868">
        <v>8.01</v>
      </c>
      <c r="DI1868">
        <v>0.2</v>
      </c>
      <c r="DJ1868">
        <v>820</v>
      </c>
      <c r="DK1868">
        <v>300509</v>
      </c>
      <c r="DL1868" t="s">
        <v>120</v>
      </c>
      <c r="DM1868" t="s">
        <v>120</v>
      </c>
      <c r="DN1868" t="s">
        <v>120</v>
      </c>
    </row>
    <row r="1869" spans="1:118">
      <c r="A1869" t="str">
        <f>"300510"</f>
        <v>300510</v>
      </c>
      <c r="B1869" t="s">
        <v>9344</v>
      </c>
      <c r="C1869">
        <v>-8.58</v>
      </c>
      <c r="D1869">
        <v>-0.22</v>
      </c>
      <c r="E1869">
        <v>-1.1399999999999999</v>
      </c>
      <c r="F1869">
        <v>9185</v>
      </c>
      <c r="G1869" t="s">
        <v>9345</v>
      </c>
      <c r="H1869">
        <v>72214.16</v>
      </c>
      <c r="I1869">
        <v>295.39999999999998</v>
      </c>
      <c r="J1869" t="s">
        <v>120</v>
      </c>
      <c r="K1869" t="s">
        <v>9346</v>
      </c>
      <c r="L1869">
        <v>9.59</v>
      </c>
      <c r="M1869">
        <v>8.84</v>
      </c>
      <c r="N1869">
        <v>0.96</v>
      </c>
      <c r="O1869">
        <v>-0.83</v>
      </c>
      <c r="P1869">
        <v>9.59</v>
      </c>
      <c r="Q1869">
        <v>-9</v>
      </c>
      <c r="R1869">
        <v>8.8000000000000007</v>
      </c>
      <c r="S1869">
        <v>9.56</v>
      </c>
      <c r="T1869">
        <v>788825</v>
      </c>
      <c r="U1869">
        <v>8.85</v>
      </c>
      <c r="V1869">
        <v>9.67</v>
      </c>
      <c r="W1869">
        <v>512.04999999999995</v>
      </c>
      <c r="X1869" t="s">
        <v>394</v>
      </c>
      <c r="Y1869" t="s">
        <v>290</v>
      </c>
      <c r="Z1869">
        <v>8.17</v>
      </c>
      <c r="AA1869">
        <v>9.15</v>
      </c>
      <c r="AB1869">
        <v>467952</v>
      </c>
      <c r="AC1869">
        <v>320873</v>
      </c>
      <c r="AD1869">
        <v>1.46</v>
      </c>
      <c r="AE1869">
        <v>731</v>
      </c>
      <c r="AF1869">
        <v>117</v>
      </c>
      <c r="AG1869" t="s">
        <v>120</v>
      </c>
      <c r="AH1869">
        <v>0.06</v>
      </c>
      <c r="AI1869" t="s">
        <v>120</v>
      </c>
      <c r="AJ1869">
        <v>8.2200000000000006</v>
      </c>
      <c r="AK1869" t="s">
        <v>9347</v>
      </c>
      <c r="AL1869">
        <v>-6.67</v>
      </c>
      <c r="AM1869">
        <v>4327</v>
      </c>
      <c r="AN1869">
        <v>182</v>
      </c>
      <c r="AO1869">
        <v>2.2000000000000001E-3</v>
      </c>
      <c r="AP1869">
        <v>-1</v>
      </c>
      <c r="AQ1869">
        <v>5.91</v>
      </c>
      <c r="AR1869">
        <v>-2.86</v>
      </c>
      <c r="AS1869">
        <v>9.41</v>
      </c>
      <c r="AT1869">
        <v>50.09</v>
      </c>
      <c r="AU1869">
        <v>73</v>
      </c>
      <c r="AV1869">
        <v>0</v>
      </c>
      <c r="AW1869">
        <v>15.16</v>
      </c>
      <c r="AX1869">
        <v>62.8</v>
      </c>
      <c r="AY1869">
        <v>74.88</v>
      </c>
      <c r="AZ1869">
        <v>142.51</v>
      </c>
      <c r="BA1869">
        <v>0.72</v>
      </c>
      <c r="BB1869" t="s">
        <v>700</v>
      </c>
      <c r="BF1869">
        <v>-5.33</v>
      </c>
      <c r="BG1869">
        <v>-7.53</v>
      </c>
      <c r="BH1869">
        <v>-7.82</v>
      </c>
      <c r="BI1869">
        <v>0.45</v>
      </c>
      <c r="BJ1869">
        <v>20210827</v>
      </c>
      <c r="BK1869">
        <v>20160506</v>
      </c>
      <c r="BL1869">
        <v>8.2899999999999991</v>
      </c>
      <c r="BM1869" t="s">
        <v>120</v>
      </c>
      <c r="BN1869" t="s">
        <v>120</v>
      </c>
      <c r="BO1869">
        <v>31.54</v>
      </c>
      <c r="BP1869">
        <v>8.84</v>
      </c>
      <c r="BQ1869">
        <v>26.19</v>
      </c>
      <c r="BR1869">
        <v>-0.04</v>
      </c>
      <c r="BS1869">
        <v>17.11</v>
      </c>
      <c r="BT1869">
        <v>17.3</v>
      </c>
      <c r="BU1869">
        <v>4.4400000000000004</v>
      </c>
      <c r="BV1869">
        <v>0.37</v>
      </c>
      <c r="BW1869">
        <v>4.03</v>
      </c>
      <c r="BX1869">
        <v>1.39</v>
      </c>
      <c r="BY1869">
        <v>1.54</v>
      </c>
      <c r="BZ1869">
        <v>6.4</v>
      </c>
      <c r="CA1869" t="s">
        <v>120</v>
      </c>
      <c r="CB1869">
        <v>24.33</v>
      </c>
      <c r="CC1869">
        <v>3.98</v>
      </c>
      <c r="CD1869">
        <v>3.09</v>
      </c>
      <c r="CE1869">
        <v>0.09</v>
      </c>
      <c r="CF1869">
        <v>-0.01</v>
      </c>
      <c r="CG1869">
        <v>0.09</v>
      </c>
      <c r="CH1869">
        <v>0.06</v>
      </c>
      <c r="CI1869">
        <v>7.0000000000000007E-2</v>
      </c>
      <c r="CJ1869">
        <v>-0.83</v>
      </c>
      <c r="CK1869">
        <v>-0.09</v>
      </c>
      <c r="CL1869">
        <v>-6.79</v>
      </c>
      <c r="CM1869">
        <v>-1.73</v>
      </c>
      <c r="CN1869">
        <v>-3.75</v>
      </c>
      <c r="CO1869">
        <v>17979</v>
      </c>
      <c r="CP1869">
        <v>28945</v>
      </c>
      <c r="CQ1869" t="s">
        <v>9348</v>
      </c>
      <c r="CR1869">
        <v>116.39</v>
      </c>
      <c r="CS1869">
        <v>20.99</v>
      </c>
      <c r="CT1869">
        <v>2.8</v>
      </c>
      <c r="CU1869">
        <v>-42.35</v>
      </c>
      <c r="CV1869">
        <v>18.41</v>
      </c>
      <c r="CW1869">
        <v>0</v>
      </c>
      <c r="CX1869" t="s">
        <v>4667</v>
      </c>
      <c r="CY1869">
        <v>3.16</v>
      </c>
      <c r="CZ1869">
        <v>0</v>
      </c>
      <c r="DA1869">
        <v>2.94</v>
      </c>
      <c r="DB1869">
        <v>-0.82</v>
      </c>
      <c r="DC1869">
        <v>-0.21</v>
      </c>
      <c r="DD1869">
        <v>83.01</v>
      </c>
      <c r="DE1869" t="s">
        <v>5971</v>
      </c>
      <c r="DF1869">
        <v>22.35</v>
      </c>
      <c r="DG1869">
        <v>2.15</v>
      </c>
      <c r="DH1869">
        <v>1.8</v>
      </c>
      <c r="DI1869">
        <v>0.25</v>
      </c>
      <c r="DJ1869">
        <v>900</v>
      </c>
      <c r="DK1869">
        <v>300510</v>
      </c>
      <c r="DL1869" t="s">
        <v>120</v>
      </c>
      <c r="DM1869" t="s">
        <v>120</v>
      </c>
      <c r="DN1869" t="s">
        <v>120</v>
      </c>
    </row>
    <row r="1870" spans="1:118">
      <c r="A1870" t="str">
        <f>"300511"</f>
        <v>300511</v>
      </c>
      <c r="B1870" t="s">
        <v>9349</v>
      </c>
      <c r="C1870">
        <v>1.99</v>
      </c>
      <c r="D1870">
        <v>0.14000000000000001</v>
      </c>
      <c r="E1870">
        <v>0.28000000000000003</v>
      </c>
      <c r="F1870">
        <v>1924</v>
      </c>
      <c r="G1870" t="s">
        <v>9350</v>
      </c>
      <c r="H1870">
        <v>10296.19</v>
      </c>
      <c r="I1870">
        <v>15.44</v>
      </c>
      <c r="J1870" t="s">
        <v>120</v>
      </c>
      <c r="K1870" t="s">
        <v>9351</v>
      </c>
      <c r="L1870">
        <v>4.53</v>
      </c>
      <c r="M1870">
        <v>7.17</v>
      </c>
      <c r="N1870">
        <v>1.5</v>
      </c>
      <c r="O1870">
        <v>3.27</v>
      </c>
      <c r="P1870">
        <v>7.26</v>
      </c>
      <c r="Q1870">
        <v>0</v>
      </c>
      <c r="R1870">
        <v>7.03</v>
      </c>
      <c r="S1870">
        <v>7.05</v>
      </c>
      <c r="T1870">
        <v>143262</v>
      </c>
      <c r="U1870">
        <v>7.17</v>
      </c>
      <c r="V1870">
        <v>7.03</v>
      </c>
      <c r="W1870" t="s">
        <v>120</v>
      </c>
      <c r="X1870" t="s">
        <v>1700</v>
      </c>
      <c r="Y1870" t="s">
        <v>1510</v>
      </c>
      <c r="Z1870">
        <v>3.27</v>
      </c>
      <c r="AA1870">
        <v>7.19</v>
      </c>
      <c r="AB1870">
        <v>59677</v>
      </c>
      <c r="AC1870">
        <v>83585</v>
      </c>
      <c r="AD1870">
        <v>0.71</v>
      </c>
      <c r="AE1870">
        <v>1268</v>
      </c>
      <c r="AF1870">
        <v>327</v>
      </c>
      <c r="AG1870" t="s">
        <v>120</v>
      </c>
      <c r="AH1870">
        <v>0.01</v>
      </c>
      <c r="AI1870" t="s">
        <v>120</v>
      </c>
      <c r="AJ1870">
        <v>3.16</v>
      </c>
      <c r="AK1870" t="s">
        <v>6092</v>
      </c>
      <c r="AL1870">
        <v>3.91</v>
      </c>
      <c r="AM1870">
        <v>2398</v>
      </c>
      <c r="AN1870">
        <v>60</v>
      </c>
      <c r="AO1870">
        <v>1.9E-3</v>
      </c>
      <c r="AP1870">
        <v>2</v>
      </c>
      <c r="AQ1870">
        <v>0.28999999999999998</v>
      </c>
      <c r="AR1870">
        <v>0.56999999999999995</v>
      </c>
      <c r="AS1870">
        <v>-0.69</v>
      </c>
      <c r="AT1870">
        <v>-15.45</v>
      </c>
      <c r="AU1870">
        <v>-44.55</v>
      </c>
      <c r="AV1870">
        <v>0</v>
      </c>
      <c r="AW1870">
        <v>5.17</v>
      </c>
      <c r="AX1870">
        <v>62.67</v>
      </c>
      <c r="AY1870">
        <v>147.41999999999999</v>
      </c>
      <c r="AZ1870">
        <v>12.57</v>
      </c>
      <c r="BA1870">
        <v>0.56000000000000005</v>
      </c>
      <c r="BB1870" t="s">
        <v>125</v>
      </c>
      <c r="BF1870">
        <v>2.23</v>
      </c>
      <c r="BG1870">
        <v>1.7</v>
      </c>
      <c r="BH1870">
        <v>-1.24</v>
      </c>
      <c r="BI1870">
        <v>1.99</v>
      </c>
      <c r="BJ1870">
        <v>20210913</v>
      </c>
      <c r="BK1870">
        <v>20160504</v>
      </c>
      <c r="BL1870">
        <v>4.42</v>
      </c>
      <c r="BM1870" t="s">
        <v>120</v>
      </c>
      <c r="BN1870" t="s">
        <v>120</v>
      </c>
      <c r="BO1870">
        <v>43.29</v>
      </c>
      <c r="BP1870">
        <v>7.16</v>
      </c>
      <c r="BQ1870">
        <v>19.170000000000002</v>
      </c>
      <c r="BR1870">
        <v>-0.02</v>
      </c>
      <c r="BS1870">
        <v>55.75</v>
      </c>
      <c r="BT1870">
        <v>8.77</v>
      </c>
      <c r="BU1870">
        <v>25.99</v>
      </c>
      <c r="BV1870">
        <v>3</v>
      </c>
      <c r="BW1870">
        <v>12.41</v>
      </c>
      <c r="BX1870">
        <v>2.87</v>
      </c>
      <c r="BY1870">
        <v>4.0599999999999996</v>
      </c>
      <c r="BZ1870">
        <v>0.23</v>
      </c>
      <c r="CA1870" t="s">
        <v>120</v>
      </c>
      <c r="CB1870">
        <v>4.79</v>
      </c>
      <c r="CC1870">
        <v>9.2899999999999991</v>
      </c>
      <c r="CD1870">
        <v>9.02</v>
      </c>
      <c r="CE1870">
        <v>-0.98</v>
      </c>
      <c r="CF1870">
        <v>0.01</v>
      </c>
      <c r="CG1870">
        <v>-0.94</v>
      </c>
      <c r="CH1870">
        <v>-0.9</v>
      </c>
      <c r="CI1870">
        <v>-0.71</v>
      </c>
      <c r="CJ1870">
        <v>0.14000000000000001</v>
      </c>
      <c r="CK1870">
        <v>-0.85</v>
      </c>
      <c r="CL1870">
        <v>8.69</v>
      </c>
      <c r="CM1870">
        <v>0.52</v>
      </c>
      <c r="CN1870">
        <v>-4.75</v>
      </c>
      <c r="CO1870">
        <v>38544</v>
      </c>
      <c r="CP1870">
        <v>7186</v>
      </c>
      <c r="CQ1870" t="s">
        <v>5837</v>
      </c>
      <c r="CR1870">
        <v>-145.47999999999999</v>
      </c>
      <c r="CS1870">
        <v>-6.73</v>
      </c>
      <c r="CT1870">
        <v>1.72</v>
      </c>
      <c r="CU1870">
        <v>61.17</v>
      </c>
      <c r="CV1870">
        <v>3.41</v>
      </c>
      <c r="CW1870">
        <v>1.71</v>
      </c>
      <c r="CX1870" t="s">
        <v>893</v>
      </c>
      <c r="CY1870">
        <v>4.18</v>
      </c>
      <c r="CZ1870">
        <v>4.18</v>
      </c>
      <c r="DA1870">
        <v>1.08</v>
      </c>
      <c r="DB1870">
        <v>1.97</v>
      </c>
      <c r="DC1870">
        <v>0.12</v>
      </c>
      <c r="DD1870">
        <v>44.3</v>
      </c>
      <c r="DE1870" t="s">
        <v>9352</v>
      </c>
      <c r="DF1870">
        <v>2.89</v>
      </c>
      <c r="DG1870">
        <v>-10.58</v>
      </c>
      <c r="DH1870">
        <v>-7.61</v>
      </c>
      <c r="DI1870">
        <v>0.08</v>
      </c>
      <c r="DJ1870">
        <v>2107</v>
      </c>
      <c r="DK1870">
        <v>300511</v>
      </c>
      <c r="DL1870" t="s">
        <v>120</v>
      </c>
      <c r="DM1870" t="s">
        <v>120</v>
      </c>
      <c r="DN1870" t="s">
        <v>120</v>
      </c>
    </row>
    <row r="1871" spans="1:118">
      <c r="A1871" t="str">
        <f>"300512"</f>
        <v>300512</v>
      </c>
      <c r="B1871" t="s">
        <v>9353</v>
      </c>
      <c r="C1871">
        <v>-0.05</v>
      </c>
      <c r="D1871">
        <v>0</v>
      </c>
      <c r="E1871">
        <v>2.33</v>
      </c>
      <c r="F1871">
        <v>510</v>
      </c>
      <c r="G1871" t="s">
        <v>9354</v>
      </c>
      <c r="H1871">
        <v>3210.03</v>
      </c>
      <c r="I1871">
        <v>22.84</v>
      </c>
      <c r="J1871" t="s">
        <v>120</v>
      </c>
      <c r="K1871" t="s">
        <v>9355</v>
      </c>
      <c r="L1871">
        <v>0.8</v>
      </c>
      <c r="M1871">
        <v>18.440000000000001</v>
      </c>
      <c r="N1871">
        <v>0.56000000000000005</v>
      </c>
      <c r="O1871">
        <v>3.36</v>
      </c>
      <c r="P1871">
        <v>19.07</v>
      </c>
      <c r="Q1871">
        <v>-0.38</v>
      </c>
      <c r="R1871">
        <v>18.38</v>
      </c>
      <c r="S1871">
        <v>18.88</v>
      </c>
      <c r="T1871">
        <v>17254</v>
      </c>
      <c r="U1871">
        <v>18.440000000000001</v>
      </c>
      <c r="V1871">
        <v>18.45</v>
      </c>
      <c r="W1871">
        <v>28.72</v>
      </c>
      <c r="X1871" t="s">
        <v>675</v>
      </c>
      <c r="Y1871" t="s">
        <v>585</v>
      </c>
      <c r="Z1871">
        <v>3.74</v>
      </c>
      <c r="AA1871">
        <v>18.600000000000001</v>
      </c>
      <c r="AB1871">
        <v>9466</v>
      </c>
      <c r="AC1871">
        <v>7788</v>
      </c>
      <c r="AD1871">
        <v>1.22</v>
      </c>
      <c r="AE1871">
        <v>66</v>
      </c>
      <c r="AF1871">
        <v>19</v>
      </c>
      <c r="AG1871" t="s">
        <v>120</v>
      </c>
      <c r="AH1871">
        <v>0.02</v>
      </c>
      <c r="AI1871" t="s">
        <v>120</v>
      </c>
      <c r="AJ1871">
        <v>2.17</v>
      </c>
      <c r="AK1871" t="s">
        <v>9356</v>
      </c>
      <c r="AL1871">
        <v>1.86</v>
      </c>
      <c r="AM1871">
        <v>1378</v>
      </c>
      <c r="AN1871">
        <v>13</v>
      </c>
      <c r="AO1871">
        <v>5.9999999999999995E-4</v>
      </c>
      <c r="AP1871">
        <v>-2</v>
      </c>
      <c r="AQ1871">
        <v>-0.43</v>
      </c>
      <c r="AR1871">
        <v>1.1000000000000001</v>
      </c>
      <c r="AS1871">
        <v>20.52</v>
      </c>
      <c r="AT1871">
        <v>33.14</v>
      </c>
      <c r="AU1871">
        <v>61.9</v>
      </c>
      <c r="AV1871">
        <v>0</v>
      </c>
      <c r="AW1871">
        <v>2.16</v>
      </c>
      <c r="AX1871">
        <v>29.14</v>
      </c>
      <c r="AY1871">
        <v>51.18</v>
      </c>
      <c r="AZ1871">
        <v>114.19</v>
      </c>
      <c r="BA1871">
        <v>1.19</v>
      </c>
      <c r="BB1871" t="s">
        <v>143</v>
      </c>
      <c r="BF1871">
        <v>0.84</v>
      </c>
      <c r="BG1871">
        <v>-2.33</v>
      </c>
      <c r="BH1871">
        <v>-3.3</v>
      </c>
      <c r="BI1871">
        <v>0.33</v>
      </c>
      <c r="BJ1871">
        <v>20210912</v>
      </c>
      <c r="BK1871">
        <v>20160526</v>
      </c>
      <c r="BL1871">
        <v>2.74</v>
      </c>
      <c r="BM1871" t="s">
        <v>120</v>
      </c>
      <c r="BN1871" t="s">
        <v>120</v>
      </c>
      <c r="BO1871">
        <v>21.95</v>
      </c>
      <c r="BP1871">
        <v>18.420000000000002</v>
      </c>
      <c r="BQ1871">
        <v>15.16</v>
      </c>
      <c r="BR1871">
        <v>0.05</v>
      </c>
      <c r="BS1871">
        <v>30.72</v>
      </c>
      <c r="BT1871">
        <v>15.74</v>
      </c>
      <c r="BU1871">
        <v>3.37</v>
      </c>
      <c r="BV1871">
        <v>0.7</v>
      </c>
      <c r="BW1871">
        <v>6.51</v>
      </c>
      <c r="BX1871">
        <v>3.53</v>
      </c>
      <c r="BY1871">
        <v>7.7</v>
      </c>
      <c r="BZ1871">
        <v>3.05</v>
      </c>
      <c r="CA1871" t="s">
        <v>120</v>
      </c>
      <c r="CB1871">
        <v>5.88</v>
      </c>
      <c r="CC1871">
        <v>4.93</v>
      </c>
      <c r="CD1871">
        <v>2.99</v>
      </c>
      <c r="CE1871">
        <v>1.04</v>
      </c>
      <c r="CF1871">
        <v>0.03</v>
      </c>
      <c r="CG1871">
        <v>1.04</v>
      </c>
      <c r="CH1871">
        <v>0.88</v>
      </c>
      <c r="CI1871">
        <v>0.88</v>
      </c>
      <c r="CJ1871">
        <v>-0.01</v>
      </c>
      <c r="CK1871">
        <v>0.81</v>
      </c>
      <c r="CL1871">
        <v>5.2</v>
      </c>
      <c r="CM1871">
        <v>-0.75</v>
      </c>
      <c r="CN1871">
        <v>0.26</v>
      </c>
      <c r="CO1871">
        <v>11646</v>
      </c>
      <c r="CP1871">
        <v>6844</v>
      </c>
      <c r="CQ1871" t="s">
        <v>9357</v>
      </c>
      <c r="CR1871">
        <v>163</v>
      </c>
      <c r="CS1871">
        <v>39.619999999999997</v>
      </c>
      <c r="CT1871">
        <v>3.33</v>
      </c>
      <c r="CU1871">
        <v>-67.62</v>
      </c>
      <c r="CV1871">
        <v>10.24</v>
      </c>
      <c r="CW1871">
        <v>0.51</v>
      </c>
      <c r="CX1871" t="s">
        <v>966</v>
      </c>
      <c r="CY1871">
        <v>5.54</v>
      </c>
      <c r="CZ1871">
        <v>0</v>
      </c>
      <c r="DA1871">
        <v>2.15</v>
      </c>
      <c r="DB1871">
        <v>1.9</v>
      </c>
      <c r="DC1871">
        <v>-0.27</v>
      </c>
      <c r="DD1871">
        <v>69.040000000000006</v>
      </c>
      <c r="DE1871" t="s">
        <v>4589</v>
      </c>
      <c r="DF1871">
        <v>39.4</v>
      </c>
      <c r="DG1871">
        <v>21.03</v>
      </c>
      <c r="DH1871">
        <v>17.82</v>
      </c>
      <c r="DI1871">
        <v>0.23</v>
      </c>
      <c r="DJ1871">
        <v>1363</v>
      </c>
      <c r="DK1871">
        <v>300512</v>
      </c>
      <c r="DL1871" t="s">
        <v>120</v>
      </c>
      <c r="DM1871" t="s">
        <v>120</v>
      </c>
      <c r="DN1871" t="s">
        <v>120</v>
      </c>
    </row>
    <row r="1872" spans="1:118">
      <c r="A1872" t="str">
        <f>"300513"</f>
        <v>300513</v>
      </c>
      <c r="B1872" t="s">
        <v>9358</v>
      </c>
      <c r="C1872">
        <v>-3.64</v>
      </c>
      <c r="D1872">
        <v>-0.16</v>
      </c>
      <c r="E1872">
        <v>-4.6100000000000003</v>
      </c>
      <c r="F1872">
        <v>3306</v>
      </c>
      <c r="G1872" t="s">
        <v>9359</v>
      </c>
      <c r="H1872">
        <v>22938.41</v>
      </c>
      <c r="I1872">
        <v>539.14</v>
      </c>
      <c r="J1872" t="s">
        <v>120</v>
      </c>
      <c r="K1872" t="s">
        <v>9360</v>
      </c>
      <c r="L1872">
        <v>7.92</v>
      </c>
      <c r="M1872">
        <v>11.92</v>
      </c>
      <c r="N1872">
        <v>1.38</v>
      </c>
      <c r="O1872">
        <v>-1.78</v>
      </c>
      <c r="P1872">
        <v>12.15</v>
      </c>
      <c r="Q1872">
        <v>-7.44</v>
      </c>
      <c r="R1872">
        <v>11.45</v>
      </c>
      <c r="S1872">
        <v>11.8</v>
      </c>
      <c r="T1872">
        <v>194214</v>
      </c>
      <c r="U1872">
        <v>11.93</v>
      </c>
      <c r="V1872">
        <v>12.37</v>
      </c>
      <c r="W1872">
        <v>54.9</v>
      </c>
      <c r="X1872" t="s">
        <v>141</v>
      </c>
      <c r="Y1872" t="s">
        <v>158</v>
      </c>
      <c r="Z1872">
        <v>5.66</v>
      </c>
      <c r="AA1872">
        <v>11.81</v>
      </c>
      <c r="AB1872">
        <v>104061</v>
      </c>
      <c r="AC1872">
        <v>90153</v>
      </c>
      <c r="AD1872">
        <v>1.1499999999999999</v>
      </c>
      <c r="AE1872">
        <v>51</v>
      </c>
      <c r="AF1872">
        <v>186</v>
      </c>
      <c r="AG1872" t="s">
        <v>120</v>
      </c>
      <c r="AH1872">
        <v>0.21</v>
      </c>
      <c r="AI1872" t="s">
        <v>120</v>
      </c>
      <c r="AJ1872">
        <v>2.4500000000000002</v>
      </c>
      <c r="AK1872" t="s">
        <v>9361</v>
      </c>
      <c r="AL1872">
        <v>-1.72</v>
      </c>
      <c r="AM1872">
        <v>3106</v>
      </c>
      <c r="AN1872">
        <v>63</v>
      </c>
      <c r="AO1872">
        <v>2.5999999999999999E-3</v>
      </c>
      <c r="AP1872">
        <v>-1</v>
      </c>
      <c r="AQ1872">
        <v>5.82</v>
      </c>
      <c r="AR1872">
        <v>0.85</v>
      </c>
      <c r="AS1872">
        <v>8.75</v>
      </c>
      <c r="AT1872">
        <v>20.9</v>
      </c>
      <c r="AU1872">
        <v>0.59</v>
      </c>
      <c r="AV1872">
        <v>0</v>
      </c>
      <c r="AW1872">
        <v>8.86</v>
      </c>
      <c r="AX1872">
        <v>69.87</v>
      </c>
      <c r="AY1872">
        <v>33.42</v>
      </c>
      <c r="AZ1872">
        <v>36.25</v>
      </c>
      <c r="BA1872">
        <v>0.8</v>
      </c>
      <c r="BB1872" t="s">
        <v>143</v>
      </c>
      <c r="BF1872">
        <v>-4.5199999999999996</v>
      </c>
      <c r="BG1872">
        <v>1.02</v>
      </c>
      <c r="BH1872">
        <v>-1.89</v>
      </c>
      <c r="BI1872">
        <v>4.0999999999999996</v>
      </c>
      <c r="BJ1872">
        <v>20210827</v>
      </c>
      <c r="BK1872">
        <v>20160530</v>
      </c>
      <c r="BL1872">
        <v>3.14</v>
      </c>
      <c r="BM1872" t="s">
        <v>120</v>
      </c>
      <c r="BN1872" t="s">
        <v>120</v>
      </c>
      <c r="BO1872">
        <v>36.340000000000003</v>
      </c>
      <c r="BP1872">
        <v>11.92</v>
      </c>
      <c r="BQ1872">
        <v>25.59</v>
      </c>
      <c r="BR1872">
        <v>0.3</v>
      </c>
      <c r="BS1872">
        <v>28.78</v>
      </c>
      <c r="BT1872">
        <v>17.71</v>
      </c>
      <c r="BU1872">
        <v>2.63</v>
      </c>
      <c r="BV1872">
        <v>0.85</v>
      </c>
      <c r="BW1872">
        <v>8.7100000000000009</v>
      </c>
      <c r="BX1872">
        <v>1.1399999999999999</v>
      </c>
      <c r="BY1872">
        <v>4.3499999999999996</v>
      </c>
      <c r="BZ1872">
        <v>4.1500000000000004</v>
      </c>
      <c r="CA1872" t="s">
        <v>120</v>
      </c>
      <c r="CB1872">
        <v>16.850000000000001</v>
      </c>
      <c r="CC1872">
        <v>3.94</v>
      </c>
      <c r="CD1872">
        <v>2.72</v>
      </c>
      <c r="CE1872">
        <v>0.38</v>
      </c>
      <c r="CF1872">
        <v>0.03</v>
      </c>
      <c r="CG1872">
        <v>0.38</v>
      </c>
      <c r="CH1872">
        <v>0.32</v>
      </c>
      <c r="CI1872">
        <v>0.34</v>
      </c>
      <c r="CJ1872">
        <v>-0.45</v>
      </c>
      <c r="CK1872">
        <v>0.36</v>
      </c>
      <c r="CL1872">
        <v>5.3</v>
      </c>
      <c r="CM1872">
        <v>-1.51</v>
      </c>
      <c r="CN1872">
        <v>-2.42</v>
      </c>
      <c r="CO1872">
        <v>26208</v>
      </c>
      <c r="CP1872">
        <v>8362</v>
      </c>
      <c r="CQ1872" t="s">
        <v>9362</v>
      </c>
      <c r="CR1872">
        <v>36.35</v>
      </c>
      <c r="CS1872">
        <v>18.48</v>
      </c>
      <c r="CT1872">
        <v>1.46</v>
      </c>
      <c r="CU1872">
        <v>-24.73</v>
      </c>
      <c r="CV1872">
        <v>9.48</v>
      </c>
      <c r="CW1872">
        <v>0.56999999999999995</v>
      </c>
      <c r="CX1872" t="s">
        <v>611</v>
      </c>
      <c r="CY1872">
        <v>8.16</v>
      </c>
      <c r="CZ1872">
        <v>0</v>
      </c>
      <c r="DA1872">
        <v>5.37</v>
      </c>
      <c r="DB1872">
        <v>1.69</v>
      </c>
      <c r="DC1872">
        <v>-0.48</v>
      </c>
      <c r="DD1872">
        <v>70.400000000000006</v>
      </c>
      <c r="DE1872" t="s">
        <v>8227</v>
      </c>
      <c r="DF1872">
        <v>31.09</v>
      </c>
      <c r="DG1872">
        <v>9.73</v>
      </c>
      <c r="DH1872">
        <v>8.6300000000000008</v>
      </c>
      <c r="DI1872">
        <v>0.19</v>
      </c>
      <c r="DJ1872">
        <v>1897</v>
      </c>
      <c r="DK1872">
        <v>300513</v>
      </c>
      <c r="DL1872" t="s">
        <v>120</v>
      </c>
      <c r="DM1872" t="s">
        <v>120</v>
      </c>
      <c r="DN1872" t="s">
        <v>120</v>
      </c>
    </row>
    <row r="1873" spans="1:118">
      <c r="A1873" t="str">
        <f>"300514"</f>
        <v>300514</v>
      </c>
      <c r="B1873" t="s">
        <v>9363</v>
      </c>
      <c r="C1873">
        <v>-1.71</v>
      </c>
      <c r="D1873">
        <v>-0.09</v>
      </c>
      <c r="E1873">
        <v>-0.7</v>
      </c>
      <c r="F1873">
        <v>715</v>
      </c>
      <c r="G1873" t="s">
        <v>9364</v>
      </c>
      <c r="H1873">
        <v>4053.67</v>
      </c>
      <c r="I1873">
        <v>4.45</v>
      </c>
      <c r="J1873" t="s">
        <v>120</v>
      </c>
      <c r="K1873" t="s">
        <v>8953</v>
      </c>
      <c r="L1873">
        <v>2.68</v>
      </c>
      <c r="M1873">
        <v>9.7799999999999994</v>
      </c>
      <c r="N1873">
        <v>0.85</v>
      </c>
      <c r="O1873">
        <v>1.51</v>
      </c>
      <c r="P1873">
        <v>10.1</v>
      </c>
      <c r="Q1873">
        <v>-2.71</v>
      </c>
      <c r="R1873">
        <v>9.68</v>
      </c>
      <c r="S1873">
        <v>9.8800000000000008</v>
      </c>
      <c r="T1873">
        <v>41028</v>
      </c>
      <c r="U1873">
        <v>9.7899999999999991</v>
      </c>
      <c r="V1873">
        <v>9.9499999999999993</v>
      </c>
      <c r="W1873">
        <v>206.77</v>
      </c>
      <c r="X1873" t="s">
        <v>462</v>
      </c>
      <c r="Y1873" t="s">
        <v>123</v>
      </c>
      <c r="Z1873">
        <v>4.22</v>
      </c>
      <c r="AA1873">
        <v>9.8800000000000008</v>
      </c>
      <c r="AB1873">
        <v>23473</v>
      </c>
      <c r="AC1873">
        <v>17555</v>
      </c>
      <c r="AD1873">
        <v>1.34</v>
      </c>
      <c r="AE1873">
        <v>38</v>
      </c>
      <c r="AF1873">
        <v>65</v>
      </c>
      <c r="AG1873" t="s">
        <v>120</v>
      </c>
      <c r="AH1873">
        <v>0.01</v>
      </c>
      <c r="AI1873" t="s">
        <v>120</v>
      </c>
      <c r="AJ1873">
        <v>1.53</v>
      </c>
      <c r="AK1873" t="s">
        <v>1659</v>
      </c>
      <c r="AL1873">
        <v>0.21</v>
      </c>
      <c r="AM1873">
        <v>1566</v>
      </c>
      <c r="AN1873">
        <v>26</v>
      </c>
      <c r="AO1873">
        <v>1.6999999999999999E-3</v>
      </c>
      <c r="AP1873">
        <v>-1</v>
      </c>
      <c r="AQ1873">
        <v>0.61</v>
      </c>
      <c r="AR1873">
        <v>-3.26</v>
      </c>
      <c r="AS1873">
        <v>-12.36</v>
      </c>
      <c r="AT1873">
        <v>0.93</v>
      </c>
      <c r="AU1873">
        <v>-17.82</v>
      </c>
      <c r="AV1873">
        <v>4</v>
      </c>
      <c r="AW1873">
        <v>5</v>
      </c>
      <c r="AX1873">
        <v>41.01</v>
      </c>
      <c r="AY1873">
        <v>87.23</v>
      </c>
      <c r="AZ1873">
        <v>59.16</v>
      </c>
      <c r="BA1873">
        <v>1.1399999999999999</v>
      </c>
      <c r="BB1873" t="s">
        <v>143</v>
      </c>
      <c r="BF1873">
        <v>-0.7</v>
      </c>
      <c r="BG1873">
        <v>-1.01</v>
      </c>
      <c r="BH1873">
        <v>-3.17</v>
      </c>
      <c r="BI1873">
        <v>1.03</v>
      </c>
      <c r="BJ1873">
        <v>20210901</v>
      </c>
      <c r="BK1873">
        <v>20170426</v>
      </c>
      <c r="BL1873">
        <v>2</v>
      </c>
      <c r="BM1873" t="s">
        <v>120</v>
      </c>
      <c r="BN1873" t="s">
        <v>120</v>
      </c>
      <c r="BO1873">
        <v>10.44</v>
      </c>
      <c r="BP1873">
        <v>9.7799999999999994</v>
      </c>
      <c r="BQ1873">
        <v>5.9</v>
      </c>
      <c r="BR1873" t="s">
        <v>120</v>
      </c>
      <c r="BS1873">
        <v>43.48</v>
      </c>
      <c r="BT1873">
        <v>8.4</v>
      </c>
      <c r="BU1873">
        <v>0.96</v>
      </c>
      <c r="BV1873">
        <v>0.14000000000000001</v>
      </c>
      <c r="BW1873">
        <v>4.1500000000000004</v>
      </c>
      <c r="BX1873">
        <v>1.78</v>
      </c>
      <c r="BY1873">
        <v>1.36</v>
      </c>
      <c r="BZ1873">
        <v>3.05</v>
      </c>
      <c r="CA1873" t="s">
        <v>120</v>
      </c>
      <c r="CB1873">
        <v>1.1399999999999999</v>
      </c>
      <c r="CC1873">
        <v>2.9</v>
      </c>
      <c r="CD1873">
        <v>2.11</v>
      </c>
      <c r="CE1873">
        <v>0.04</v>
      </c>
      <c r="CF1873">
        <v>0.01</v>
      </c>
      <c r="CG1873">
        <v>0.04</v>
      </c>
      <c r="CH1873">
        <v>0.05</v>
      </c>
      <c r="CI1873">
        <v>0.05</v>
      </c>
      <c r="CJ1873">
        <v>-0.17</v>
      </c>
      <c r="CK1873">
        <v>0.02</v>
      </c>
      <c r="CL1873">
        <v>2.42</v>
      </c>
      <c r="CM1873">
        <v>0.6</v>
      </c>
      <c r="CN1873">
        <v>-1.65</v>
      </c>
      <c r="CO1873">
        <v>17629</v>
      </c>
      <c r="CP1873">
        <v>4653</v>
      </c>
      <c r="CQ1873" t="s">
        <v>9365</v>
      </c>
      <c r="CR1873">
        <v>-69.59</v>
      </c>
      <c r="CS1873">
        <v>-5.91</v>
      </c>
      <c r="CT1873">
        <v>3.31</v>
      </c>
      <c r="CU1873">
        <v>32.4</v>
      </c>
      <c r="CV1873">
        <v>6.75</v>
      </c>
      <c r="CW1873">
        <v>0.5</v>
      </c>
      <c r="CX1873" t="s">
        <v>1896</v>
      </c>
      <c r="CY1873">
        <v>2.95</v>
      </c>
      <c r="CZ1873">
        <v>0</v>
      </c>
      <c r="DA1873">
        <v>0.56999999999999995</v>
      </c>
      <c r="DB1873">
        <v>1.21</v>
      </c>
      <c r="DC1873">
        <v>0.3</v>
      </c>
      <c r="DD1873">
        <v>56.52</v>
      </c>
      <c r="DE1873" t="s">
        <v>4633</v>
      </c>
      <c r="DF1873">
        <v>27.31</v>
      </c>
      <c r="DG1873">
        <v>1.51</v>
      </c>
      <c r="DH1873">
        <v>1.63</v>
      </c>
      <c r="DI1873">
        <v>0.3</v>
      </c>
      <c r="DJ1873">
        <v>512</v>
      </c>
      <c r="DK1873">
        <v>300514</v>
      </c>
      <c r="DL1873" t="s">
        <v>120</v>
      </c>
      <c r="DM1873" t="s">
        <v>120</v>
      </c>
      <c r="DN1873" t="s">
        <v>120</v>
      </c>
    </row>
    <row r="1874" spans="1:118">
      <c r="A1874" t="str">
        <f>"300515"</f>
        <v>300515</v>
      </c>
      <c r="B1874" t="s">
        <v>9366</v>
      </c>
      <c r="C1874">
        <v>-3.8</v>
      </c>
      <c r="D1874">
        <v>-0.17</v>
      </c>
      <c r="E1874">
        <v>0</v>
      </c>
      <c r="F1874">
        <v>451</v>
      </c>
      <c r="G1874" t="s">
        <v>9367</v>
      </c>
      <c r="H1874">
        <v>3015.21</v>
      </c>
      <c r="I1874">
        <v>0</v>
      </c>
      <c r="J1874" t="s">
        <v>120</v>
      </c>
      <c r="K1874" t="s">
        <v>2415</v>
      </c>
      <c r="L1874">
        <v>1.46</v>
      </c>
      <c r="M1874">
        <v>11.4</v>
      </c>
      <c r="N1874">
        <v>0.94</v>
      </c>
      <c r="O1874">
        <v>1.52</v>
      </c>
      <c r="P1874">
        <v>12.03</v>
      </c>
      <c r="Q1874">
        <v>-3.97</v>
      </c>
      <c r="R1874">
        <v>11.38</v>
      </c>
      <c r="S1874">
        <v>11.85</v>
      </c>
      <c r="T1874">
        <v>25851</v>
      </c>
      <c r="U1874">
        <v>11.4</v>
      </c>
      <c r="V1874">
        <v>11.85</v>
      </c>
      <c r="W1874">
        <v>29.33</v>
      </c>
      <c r="X1874" t="s">
        <v>2717</v>
      </c>
      <c r="Y1874" t="s">
        <v>594</v>
      </c>
      <c r="Z1874">
        <v>5.49</v>
      </c>
      <c r="AA1874">
        <v>11.66</v>
      </c>
      <c r="AB1874">
        <v>16330</v>
      </c>
      <c r="AC1874">
        <v>9521</v>
      </c>
      <c r="AD1874">
        <v>1.72</v>
      </c>
      <c r="AE1874">
        <v>19</v>
      </c>
      <c r="AF1874">
        <v>117</v>
      </c>
      <c r="AG1874" t="s">
        <v>120</v>
      </c>
      <c r="AH1874">
        <v>0</v>
      </c>
      <c r="AI1874" t="s">
        <v>120</v>
      </c>
      <c r="AJ1874">
        <v>1.77</v>
      </c>
      <c r="AK1874" t="s">
        <v>7751</v>
      </c>
      <c r="AL1874">
        <v>-1.88</v>
      </c>
      <c r="AM1874">
        <v>1005</v>
      </c>
      <c r="AN1874">
        <v>26</v>
      </c>
      <c r="AO1874">
        <v>1.5E-3</v>
      </c>
      <c r="AP1874">
        <v>-1</v>
      </c>
      <c r="AQ1874">
        <v>1.2</v>
      </c>
      <c r="AR1874">
        <v>-5</v>
      </c>
      <c r="AS1874">
        <v>-2.14</v>
      </c>
      <c r="AT1874">
        <v>11.77</v>
      </c>
      <c r="AU1874">
        <v>10.89</v>
      </c>
      <c r="AV1874">
        <v>1</v>
      </c>
      <c r="AW1874">
        <v>2.68</v>
      </c>
      <c r="AX1874">
        <v>46.87</v>
      </c>
      <c r="AY1874">
        <v>29.98</v>
      </c>
      <c r="AZ1874">
        <v>34.32</v>
      </c>
      <c r="BA1874">
        <v>0.79</v>
      </c>
      <c r="BB1874" t="s">
        <v>143</v>
      </c>
      <c r="BF1874">
        <v>-1.57</v>
      </c>
      <c r="BG1874">
        <v>-3.8</v>
      </c>
      <c r="BH1874">
        <v>-5.24</v>
      </c>
      <c r="BI1874">
        <v>0.18</v>
      </c>
      <c r="BJ1874">
        <v>20210817</v>
      </c>
      <c r="BK1874">
        <v>20160608</v>
      </c>
      <c r="BL1874">
        <v>2.06</v>
      </c>
      <c r="BM1874" t="s">
        <v>120</v>
      </c>
      <c r="BN1874" t="s">
        <v>120</v>
      </c>
      <c r="BO1874">
        <v>7.68</v>
      </c>
      <c r="BP1874">
        <v>11.39</v>
      </c>
      <c r="BQ1874">
        <v>5.75</v>
      </c>
      <c r="BR1874">
        <v>0.09</v>
      </c>
      <c r="BS1874">
        <v>24</v>
      </c>
      <c r="BT1874">
        <v>6.44</v>
      </c>
      <c r="BU1874">
        <v>0.79</v>
      </c>
      <c r="BV1874">
        <v>0.35</v>
      </c>
      <c r="BW1874">
        <v>1.83</v>
      </c>
      <c r="BX1874">
        <v>0.62</v>
      </c>
      <c r="BY1874">
        <v>1.1599999999999999</v>
      </c>
      <c r="BZ1874">
        <v>1.26</v>
      </c>
      <c r="CA1874" t="s">
        <v>120</v>
      </c>
      <c r="CB1874">
        <v>1.53</v>
      </c>
      <c r="CC1874">
        <v>1.69</v>
      </c>
      <c r="CD1874">
        <v>0.66</v>
      </c>
      <c r="CE1874">
        <v>0.48</v>
      </c>
      <c r="CF1874">
        <v>0.05</v>
      </c>
      <c r="CG1874">
        <v>0.48</v>
      </c>
      <c r="CH1874">
        <v>0.43</v>
      </c>
      <c r="CI1874">
        <v>0.4</v>
      </c>
      <c r="CJ1874">
        <v>-0.45</v>
      </c>
      <c r="CK1874">
        <v>0.35</v>
      </c>
      <c r="CL1874">
        <v>2.0499999999999998</v>
      </c>
      <c r="CM1874">
        <v>0.28999999999999998</v>
      </c>
      <c r="CN1874">
        <v>-7.0000000000000007E-2</v>
      </c>
      <c r="CO1874">
        <v>13268</v>
      </c>
      <c r="CP1874">
        <v>7273</v>
      </c>
      <c r="CQ1874" t="s">
        <v>9368</v>
      </c>
      <c r="CR1874">
        <v>34.64</v>
      </c>
      <c r="CS1874">
        <v>29.81</v>
      </c>
      <c r="CT1874">
        <v>4.08</v>
      </c>
      <c r="CU1874">
        <v>81.349999999999994</v>
      </c>
      <c r="CV1874">
        <v>13.9</v>
      </c>
      <c r="CW1874">
        <v>1.27</v>
      </c>
      <c r="CX1874" t="s">
        <v>492</v>
      </c>
      <c r="CY1874">
        <v>2.79</v>
      </c>
      <c r="CZ1874">
        <v>0</v>
      </c>
      <c r="DA1874">
        <v>0.75</v>
      </c>
      <c r="DB1874">
        <v>0.99</v>
      </c>
      <c r="DC1874">
        <v>0.14000000000000001</v>
      </c>
      <c r="DD1874">
        <v>74.790000000000006</v>
      </c>
      <c r="DE1874" t="s">
        <v>9369</v>
      </c>
      <c r="DF1874">
        <v>61.11</v>
      </c>
      <c r="DG1874">
        <v>28.17</v>
      </c>
      <c r="DH1874">
        <v>23.7</v>
      </c>
      <c r="DI1874">
        <v>0.19</v>
      </c>
      <c r="DJ1874">
        <v>503</v>
      </c>
      <c r="DK1874">
        <v>300515</v>
      </c>
      <c r="DL1874" t="s">
        <v>120</v>
      </c>
      <c r="DM1874" t="s">
        <v>120</v>
      </c>
      <c r="DN1874" t="s">
        <v>120</v>
      </c>
    </row>
    <row r="1875" spans="1:118">
      <c r="A1875" t="str">
        <f>"300516"</f>
        <v>300516</v>
      </c>
      <c r="B1875" t="s">
        <v>9370</v>
      </c>
      <c r="C1875">
        <v>-1.48</v>
      </c>
      <c r="D1875">
        <v>0</v>
      </c>
      <c r="E1875">
        <v>0</v>
      </c>
      <c r="F1875">
        <v>311</v>
      </c>
      <c r="G1875" t="s">
        <v>6931</v>
      </c>
      <c r="H1875">
        <v>4012.35</v>
      </c>
      <c r="I1875">
        <v>20.29</v>
      </c>
      <c r="J1875" t="s">
        <v>120</v>
      </c>
      <c r="K1875" t="s">
        <v>9371</v>
      </c>
      <c r="L1875">
        <v>0.7</v>
      </c>
      <c r="M1875">
        <v>31.24</v>
      </c>
      <c r="N1875">
        <v>0.6</v>
      </c>
      <c r="O1875">
        <v>1.58</v>
      </c>
      <c r="P1875">
        <v>32.21</v>
      </c>
      <c r="Q1875">
        <v>-1.51</v>
      </c>
      <c r="R1875">
        <v>31.23</v>
      </c>
      <c r="S1875">
        <v>31.71</v>
      </c>
      <c r="T1875">
        <v>12629</v>
      </c>
      <c r="U1875">
        <v>31.24</v>
      </c>
      <c r="V1875">
        <v>31.71</v>
      </c>
      <c r="W1875">
        <v>82.67</v>
      </c>
      <c r="X1875" t="s">
        <v>2717</v>
      </c>
      <c r="Y1875" t="s">
        <v>763</v>
      </c>
      <c r="Z1875">
        <v>3.09</v>
      </c>
      <c r="AA1875">
        <v>31.77</v>
      </c>
      <c r="AB1875">
        <v>7362</v>
      </c>
      <c r="AC1875">
        <v>5267</v>
      </c>
      <c r="AD1875">
        <v>1.4</v>
      </c>
      <c r="AE1875">
        <v>200</v>
      </c>
      <c r="AF1875">
        <v>4</v>
      </c>
      <c r="AG1875" t="s">
        <v>120</v>
      </c>
      <c r="AH1875">
        <v>0.01</v>
      </c>
      <c r="AI1875" t="s">
        <v>120</v>
      </c>
      <c r="AJ1875">
        <v>1.8</v>
      </c>
      <c r="AK1875" t="s">
        <v>9371</v>
      </c>
      <c r="AL1875">
        <v>0.43</v>
      </c>
      <c r="AM1875">
        <v>1285</v>
      </c>
      <c r="AN1875">
        <v>10</v>
      </c>
      <c r="AO1875">
        <v>5.0000000000000001E-4</v>
      </c>
      <c r="AP1875">
        <v>-1</v>
      </c>
      <c r="AQ1875">
        <v>1.44</v>
      </c>
      <c r="AR1875">
        <v>-2.4300000000000002</v>
      </c>
      <c r="AS1875">
        <v>-11.3</v>
      </c>
      <c r="AT1875">
        <v>-13.48</v>
      </c>
      <c r="AU1875">
        <v>-0.85</v>
      </c>
      <c r="AV1875">
        <v>3</v>
      </c>
      <c r="AW1875">
        <v>2.42</v>
      </c>
      <c r="AX1875">
        <v>29</v>
      </c>
      <c r="AY1875">
        <v>71.17</v>
      </c>
      <c r="AZ1875">
        <v>83.77</v>
      </c>
      <c r="BA1875">
        <v>0.62</v>
      </c>
      <c r="BB1875" t="s">
        <v>143</v>
      </c>
      <c r="BF1875">
        <v>0.19</v>
      </c>
      <c r="BG1875">
        <v>-1.48</v>
      </c>
      <c r="BH1875">
        <v>-3.01</v>
      </c>
      <c r="BI1875">
        <v>0.03</v>
      </c>
      <c r="BJ1875">
        <v>20210827</v>
      </c>
      <c r="BK1875">
        <v>20160602</v>
      </c>
      <c r="BL1875">
        <v>1.8</v>
      </c>
      <c r="BM1875" t="s">
        <v>120</v>
      </c>
      <c r="BN1875" t="s">
        <v>120</v>
      </c>
      <c r="BO1875">
        <v>14.48</v>
      </c>
      <c r="BP1875">
        <v>31.23</v>
      </c>
      <c r="BQ1875">
        <v>11.48</v>
      </c>
      <c r="BR1875" t="s">
        <v>120</v>
      </c>
      <c r="BS1875">
        <v>20.72</v>
      </c>
      <c r="BT1875">
        <v>11.47</v>
      </c>
      <c r="BU1875">
        <v>2.73</v>
      </c>
      <c r="BV1875">
        <v>0.09</v>
      </c>
      <c r="BW1875">
        <v>2.98</v>
      </c>
      <c r="BX1875">
        <v>3.44</v>
      </c>
      <c r="BY1875">
        <v>4.12</v>
      </c>
      <c r="BZ1875">
        <v>2.84</v>
      </c>
      <c r="CA1875" t="s">
        <v>120</v>
      </c>
      <c r="CB1875">
        <v>3.43</v>
      </c>
      <c r="CC1875">
        <v>2.88</v>
      </c>
      <c r="CD1875">
        <v>2.0699999999999998</v>
      </c>
      <c r="CE1875">
        <v>0.34</v>
      </c>
      <c r="CF1875">
        <v>0</v>
      </c>
      <c r="CG1875">
        <v>0.34</v>
      </c>
      <c r="CH1875">
        <v>0.34</v>
      </c>
      <c r="CI1875">
        <v>0.34</v>
      </c>
      <c r="CJ1875">
        <v>-0.47</v>
      </c>
      <c r="CK1875">
        <v>0.31</v>
      </c>
      <c r="CL1875">
        <v>5.53</v>
      </c>
      <c r="CM1875">
        <v>-1.99</v>
      </c>
      <c r="CN1875">
        <v>-2.38</v>
      </c>
      <c r="CO1875">
        <v>19594</v>
      </c>
      <c r="CP1875">
        <v>2664</v>
      </c>
      <c r="CQ1875" t="s">
        <v>9104</v>
      </c>
      <c r="CR1875">
        <v>54.97</v>
      </c>
      <c r="CS1875">
        <v>56.72</v>
      </c>
      <c r="CT1875">
        <v>4.9000000000000004</v>
      </c>
      <c r="CU1875">
        <v>-28.29</v>
      </c>
      <c r="CV1875">
        <v>19.55</v>
      </c>
      <c r="CW1875">
        <v>0.32</v>
      </c>
      <c r="CX1875" t="s">
        <v>3958</v>
      </c>
      <c r="CY1875">
        <v>6.38</v>
      </c>
      <c r="CZ1875">
        <v>0</v>
      </c>
      <c r="DA1875">
        <v>1.91</v>
      </c>
      <c r="DB1875">
        <v>3.07</v>
      </c>
      <c r="DC1875">
        <v>-1.1000000000000001</v>
      </c>
      <c r="DD1875">
        <v>79.28</v>
      </c>
      <c r="DE1875" t="s">
        <v>9372</v>
      </c>
      <c r="DF1875">
        <v>28.17</v>
      </c>
      <c r="DG1875">
        <v>11.87</v>
      </c>
      <c r="DH1875">
        <v>11.82</v>
      </c>
      <c r="DI1875">
        <v>0.36</v>
      </c>
      <c r="DJ1875">
        <v>329</v>
      </c>
      <c r="DK1875">
        <v>300516</v>
      </c>
      <c r="DL1875" t="s">
        <v>120</v>
      </c>
      <c r="DM1875" t="s">
        <v>120</v>
      </c>
      <c r="DN1875" t="s">
        <v>120</v>
      </c>
    </row>
    <row r="1876" spans="1:118">
      <c r="A1876" t="str">
        <f>"300517"</f>
        <v>300517</v>
      </c>
      <c r="B1876" t="s">
        <v>9373</v>
      </c>
      <c r="C1876">
        <v>-2.0699999999999998</v>
      </c>
      <c r="D1876">
        <v>-0.83</v>
      </c>
      <c r="E1876">
        <v>-1.32</v>
      </c>
      <c r="F1876">
        <v>596</v>
      </c>
      <c r="G1876" t="s">
        <v>9374</v>
      </c>
      <c r="H1876">
        <v>2735.4</v>
      </c>
      <c r="I1876">
        <v>30.45</v>
      </c>
      <c r="J1876" t="s">
        <v>120</v>
      </c>
      <c r="K1876" t="s">
        <v>5928</v>
      </c>
      <c r="L1876">
        <v>2.0299999999999998</v>
      </c>
      <c r="M1876">
        <v>11.85</v>
      </c>
      <c r="N1876">
        <v>0.73</v>
      </c>
      <c r="O1876">
        <v>0.57999999999999996</v>
      </c>
      <c r="P1876">
        <v>12.17</v>
      </c>
      <c r="Q1876">
        <v>-3.06</v>
      </c>
      <c r="R1876">
        <v>11.73</v>
      </c>
      <c r="S1876">
        <v>11.94</v>
      </c>
      <c r="T1876">
        <v>22887</v>
      </c>
      <c r="U1876">
        <v>11.86</v>
      </c>
      <c r="V1876">
        <v>12.1</v>
      </c>
      <c r="W1876">
        <v>17.52</v>
      </c>
      <c r="X1876" t="s">
        <v>175</v>
      </c>
      <c r="Y1876" t="s">
        <v>763</v>
      </c>
      <c r="Z1876">
        <v>3.64</v>
      </c>
      <c r="AA1876">
        <v>11.95</v>
      </c>
      <c r="AB1876">
        <v>11865</v>
      </c>
      <c r="AC1876">
        <v>11022</v>
      </c>
      <c r="AD1876">
        <v>1.08</v>
      </c>
      <c r="AE1876">
        <v>114</v>
      </c>
      <c r="AF1876">
        <v>50</v>
      </c>
      <c r="AG1876" t="s">
        <v>120</v>
      </c>
      <c r="AH1876">
        <v>0.04</v>
      </c>
      <c r="AI1876" t="s">
        <v>120</v>
      </c>
      <c r="AJ1876">
        <v>1.1299999999999999</v>
      </c>
      <c r="AK1876" t="s">
        <v>9375</v>
      </c>
      <c r="AL1876">
        <v>-0.15</v>
      </c>
      <c r="AM1876">
        <v>1303</v>
      </c>
      <c r="AN1876">
        <v>18</v>
      </c>
      <c r="AO1876">
        <v>1.6000000000000001E-3</v>
      </c>
      <c r="AP1876">
        <v>-3</v>
      </c>
      <c r="AQ1876">
        <v>-4.12</v>
      </c>
      <c r="AR1876">
        <v>-7.78</v>
      </c>
      <c r="AS1876">
        <v>-13.69</v>
      </c>
      <c r="AT1876">
        <v>4.13</v>
      </c>
      <c r="AU1876">
        <v>34.24</v>
      </c>
      <c r="AV1876">
        <v>0</v>
      </c>
      <c r="AW1876">
        <v>3.23</v>
      </c>
      <c r="AX1876">
        <v>36.81</v>
      </c>
      <c r="AY1876">
        <v>24.35</v>
      </c>
      <c r="AZ1876">
        <v>44.81</v>
      </c>
      <c r="BA1876">
        <v>0.82</v>
      </c>
      <c r="BB1876" t="s">
        <v>1723</v>
      </c>
      <c r="BF1876">
        <v>-1.22</v>
      </c>
      <c r="BG1876">
        <v>-0.75</v>
      </c>
      <c r="BH1876">
        <v>-2.63</v>
      </c>
      <c r="BI1876">
        <v>1.02</v>
      </c>
      <c r="BJ1876">
        <v>20210824</v>
      </c>
      <c r="BK1876">
        <v>20160719</v>
      </c>
      <c r="BL1876">
        <v>1.92</v>
      </c>
      <c r="BM1876" t="s">
        <v>120</v>
      </c>
      <c r="BN1876" t="s">
        <v>120</v>
      </c>
      <c r="BO1876">
        <v>16.73</v>
      </c>
      <c r="BP1876">
        <v>11.85</v>
      </c>
      <c r="BQ1876">
        <v>9.0500000000000007</v>
      </c>
      <c r="BR1876" t="s">
        <v>120</v>
      </c>
      <c r="BS1876">
        <v>45.93</v>
      </c>
      <c r="BT1876">
        <v>13.35</v>
      </c>
      <c r="BU1876">
        <v>2.3199999999999998</v>
      </c>
      <c r="BV1876">
        <v>0.62</v>
      </c>
      <c r="BW1876">
        <v>5.75</v>
      </c>
      <c r="BX1876">
        <v>2.42</v>
      </c>
      <c r="BY1876">
        <v>2.09</v>
      </c>
      <c r="BZ1876">
        <v>6.62</v>
      </c>
      <c r="CA1876" t="s">
        <v>120</v>
      </c>
      <c r="CB1876">
        <v>2.67</v>
      </c>
      <c r="CC1876">
        <v>6.78</v>
      </c>
      <c r="CD1876">
        <v>5.29</v>
      </c>
      <c r="CE1876">
        <v>0.73</v>
      </c>
      <c r="CF1876">
        <v>0</v>
      </c>
      <c r="CG1876">
        <v>0.73</v>
      </c>
      <c r="CH1876">
        <v>0.65</v>
      </c>
      <c r="CI1876">
        <v>0.65</v>
      </c>
      <c r="CJ1876">
        <v>-0.25</v>
      </c>
      <c r="CK1876">
        <v>0.61</v>
      </c>
      <c r="CL1876">
        <v>3.6</v>
      </c>
      <c r="CM1876">
        <v>-0.92</v>
      </c>
      <c r="CN1876">
        <v>-1.61</v>
      </c>
      <c r="CO1876">
        <v>8975</v>
      </c>
      <c r="CP1876">
        <v>7883</v>
      </c>
      <c r="CQ1876" t="s">
        <v>9376</v>
      </c>
      <c r="CR1876">
        <v>203.9</v>
      </c>
      <c r="CS1876">
        <v>144.28</v>
      </c>
      <c r="CT1876">
        <v>2.67</v>
      </c>
      <c r="CU1876">
        <v>-24.76</v>
      </c>
      <c r="CV1876">
        <v>3.36</v>
      </c>
      <c r="CW1876">
        <v>0.23</v>
      </c>
      <c r="CX1876" t="s">
        <v>1574</v>
      </c>
      <c r="CY1876">
        <v>4.43</v>
      </c>
      <c r="CZ1876">
        <v>4.43</v>
      </c>
      <c r="DA1876">
        <v>1.39</v>
      </c>
      <c r="DB1876">
        <v>1.87</v>
      </c>
      <c r="DC1876">
        <v>-0.48</v>
      </c>
      <c r="DD1876">
        <v>54.07</v>
      </c>
      <c r="DE1876" t="s">
        <v>9377</v>
      </c>
      <c r="DF1876">
        <v>21.93</v>
      </c>
      <c r="DG1876">
        <v>10.79</v>
      </c>
      <c r="DH1876">
        <v>9.59</v>
      </c>
      <c r="DI1876">
        <v>0.2</v>
      </c>
      <c r="DJ1876">
        <v>374</v>
      </c>
      <c r="DK1876">
        <v>300517</v>
      </c>
      <c r="DL1876" t="s">
        <v>120</v>
      </c>
      <c r="DM1876" t="s">
        <v>120</v>
      </c>
      <c r="DN1876" t="s">
        <v>120</v>
      </c>
    </row>
    <row r="1877" spans="1:118">
      <c r="A1877" t="str">
        <f>"300518"</f>
        <v>300518</v>
      </c>
      <c r="B1877" t="s">
        <v>9378</v>
      </c>
      <c r="C1877">
        <v>-2.4</v>
      </c>
      <c r="D1877">
        <v>-7.0000000000000007E-2</v>
      </c>
      <c r="E1877">
        <v>-0.1</v>
      </c>
      <c r="F1877">
        <v>438</v>
      </c>
      <c r="G1877" t="s">
        <v>9379</v>
      </c>
      <c r="H1877">
        <v>5229.4399999999996</v>
      </c>
      <c r="I1877">
        <v>2.8</v>
      </c>
      <c r="J1877" t="s">
        <v>120</v>
      </c>
      <c r="K1877" t="s">
        <v>9380</v>
      </c>
      <c r="L1877">
        <v>1.41</v>
      </c>
      <c r="M1877">
        <v>39.08</v>
      </c>
      <c r="N1877">
        <v>0.56000000000000005</v>
      </c>
      <c r="O1877">
        <v>2.35</v>
      </c>
      <c r="P1877">
        <v>40.98</v>
      </c>
      <c r="Q1877">
        <v>-2.4</v>
      </c>
      <c r="R1877">
        <v>39.08</v>
      </c>
      <c r="S1877">
        <v>40</v>
      </c>
      <c r="T1877">
        <v>13136</v>
      </c>
      <c r="U1877">
        <v>39.090000000000003</v>
      </c>
      <c r="V1877">
        <v>40.04</v>
      </c>
      <c r="W1877">
        <v>15.07</v>
      </c>
      <c r="X1877" t="s">
        <v>1531</v>
      </c>
      <c r="Y1877" t="s">
        <v>123</v>
      </c>
      <c r="Z1877">
        <v>4.75</v>
      </c>
      <c r="AA1877">
        <v>39.81</v>
      </c>
      <c r="AB1877">
        <v>8422</v>
      </c>
      <c r="AC1877">
        <v>4714</v>
      </c>
      <c r="AD1877">
        <v>1.79</v>
      </c>
      <c r="AE1877">
        <v>54</v>
      </c>
      <c r="AF1877">
        <v>3</v>
      </c>
      <c r="AG1877" t="s">
        <v>120</v>
      </c>
      <c r="AH1877">
        <v>0</v>
      </c>
      <c r="AI1877" t="s">
        <v>120</v>
      </c>
      <c r="AJ1877">
        <v>0.93</v>
      </c>
      <c r="AK1877" t="s">
        <v>8527</v>
      </c>
      <c r="AL1877">
        <v>-0.48</v>
      </c>
      <c r="AM1877">
        <v>1331</v>
      </c>
      <c r="AN1877">
        <v>10</v>
      </c>
      <c r="AO1877">
        <v>1.1000000000000001E-3</v>
      </c>
      <c r="AP1877">
        <v>-3</v>
      </c>
      <c r="AQ1877">
        <v>-1.06</v>
      </c>
      <c r="AR1877">
        <v>-5.69</v>
      </c>
      <c r="AS1877">
        <v>2.63</v>
      </c>
      <c r="AT1877">
        <v>-13.19</v>
      </c>
      <c r="AU1877">
        <v>7.71</v>
      </c>
      <c r="AV1877">
        <v>1</v>
      </c>
      <c r="AW1877">
        <v>3.3</v>
      </c>
      <c r="AX1877">
        <v>39.130000000000003</v>
      </c>
      <c r="AY1877">
        <v>18.510000000000002</v>
      </c>
      <c r="AZ1877">
        <v>27.58</v>
      </c>
      <c r="BA1877">
        <v>0.38</v>
      </c>
      <c r="BB1877" t="s">
        <v>143</v>
      </c>
      <c r="BF1877">
        <v>-0.56999999999999995</v>
      </c>
      <c r="BG1877">
        <v>-2.2999999999999998</v>
      </c>
      <c r="BH1877">
        <v>-4.6399999999999997</v>
      </c>
      <c r="BI1877">
        <v>0</v>
      </c>
      <c r="BJ1877">
        <v>20210906</v>
      </c>
      <c r="BK1877">
        <v>20160624</v>
      </c>
      <c r="BL1877">
        <v>1.02</v>
      </c>
      <c r="BM1877" t="s">
        <v>120</v>
      </c>
      <c r="BN1877" t="s">
        <v>120</v>
      </c>
      <c r="BO1877">
        <v>14.83</v>
      </c>
      <c r="BP1877">
        <v>39.08</v>
      </c>
      <c r="BQ1877">
        <v>9.98</v>
      </c>
      <c r="BR1877">
        <v>0.69</v>
      </c>
      <c r="BS1877">
        <v>28.1</v>
      </c>
      <c r="BT1877">
        <v>5.86</v>
      </c>
      <c r="BU1877">
        <v>0.81</v>
      </c>
      <c r="BV1877">
        <v>0.01</v>
      </c>
      <c r="BW1877">
        <v>2.7</v>
      </c>
      <c r="BX1877">
        <v>4.12</v>
      </c>
      <c r="BY1877">
        <v>0.02</v>
      </c>
      <c r="BZ1877">
        <v>0.67</v>
      </c>
      <c r="CA1877" t="s">
        <v>120</v>
      </c>
      <c r="CB1877">
        <v>4.87</v>
      </c>
      <c r="CC1877">
        <v>1.94</v>
      </c>
      <c r="CD1877">
        <v>0.22</v>
      </c>
      <c r="CE1877">
        <v>2.3199999999999998</v>
      </c>
      <c r="CF1877">
        <v>-0.01</v>
      </c>
      <c r="CG1877">
        <v>2.3199999999999998</v>
      </c>
      <c r="CH1877">
        <v>1.79</v>
      </c>
      <c r="CI1877">
        <v>1.32</v>
      </c>
      <c r="CJ1877">
        <v>-0.96</v>
      </c>
      <c r="CK1877">
        <v>0.13</v>
      </c>
      <c r="CL1877">
        <v>5.12</v>
      </c>
      <c r="CM1877">
        <v>0.62</v>
      </c>
      <c r="CN1877">
        <v>-0.22</v>
      </c>
      <c r="CO1877">
        <v>10100</v>
      </c>
      <c r="CP1877">
        <v>3941</v>
      </c>
      <c r="CQ1877" t="s">
        <v>9381</v>
      </c>
      <c r="CR1877">
        <v>121.62</v>
      </c>
      <c r="CS1877">
        <v>85.11</v>
      </c>
      <c r="CT1877">
        <v>3.99</v>
      </c>
      <c r="CU1877">
        <v>64</v>
      </c>
      <c r="CV1877">
        <v>20.48</v>
      </c>
      <c r="CW1877">
        <v>0</v>
      </c>
      <c r="CX1877" t="s">
        <v>6345</v>
      </c>
      <c r="CY1877">
        <v>9.81</v>
      </c>
      <c r="CZ1877">
        <v>0</v>
      </c>
      <c r="DA1877">
        <v>4.79</v>
      </c>
      <c r="DB1877">
        <v>5.03</v>
      </c>
      <c r="DC1877">
        <v>0.61</v>
      </c>
      <c r="DD1877">
        <v>67.25</v>
      </c>
      <c r="DE1877" t="s">
        <v>9382</v>
      </c>
      <c r="DF1877">
        <v>88.92</v>
      </c>
      <c r="DG1877">
        <v>119.69</v>
      </c>
      <c r="DH1877">
        <v>67.94</v>
      </c>
      <c r="DI1877">
        <v>0.1</v>
      </c>
      <c r="DJ1877">
        <v>158</v>
      </c>
      <c r="DK1877">
        <v>300518</v>
      </c>
      <c r="DL1877" t="s">
        <v>120</v>
      </c>
      <c r="DM1877" t="s">
        <v>120</v>
      </c>
      <c r="DN1877" t="s">
        <v>120</v>
      </c>
    </row>
    <row r="1878" spans="1:118">
      <c r="A1878" t="str">
        <f>"300519"</f>
        <v>300519</v>
      </c>
      <c r="B1878" t="s">
        <v>9383</v>
      </c>
      <c r="C1878">
        <v>1.58</v>
      </c>
      <c r="D1878">
        <v>-0.35</v>
      </c>
      <c r="E1878">
        <v>0.18</v>
      </c>
      <c r="F1878">
        <v>274</v>
      </c>
      <c r="G1878" t="s">
        <v>4773</v>
      </c>
      <c r="H1878">
        <v>3244.19</v>
      </c>
      <c r="I1878">
        <v>2.48</v>
      </c>
      <c r="J1878" t="s">
        <v>120</v>
      </c>
      <c r="K1878" t="s">
        <v>7210</v>
      </c>
      <c r="L1878">
        <v>1.69</v>
      </c>
      <c r="M1878">
        <v>16.760000000000002</v>
      </c>
      <c r="N1878">
        <v>1.18</v>
      </c>
      <c r="O1878">
        <v>3.7</v>
      </c>
      <c r="P1878">
        <v>17.11</v>
      </c>
      <c r="Q1878">
        <v>-0.55000000000000004</v>
      </c>
      <c r="R1878">
        <v>16.41</v>
      </c>
      <c r="S1878">
        <v>16.53</v>
      </c>
      <c r="T1878">
        <v>19241</v>
      </c>
      <c r="U1878">
        <v>16.8</v>
      </c>
      <c r="V1878">
        <v>16.5</v>
      </c>
      <c r="W1878">
        <v>23.52</v>
      </c>
      <c r="X1878" t="s">
        <v>771</v>
      </c>
      <c r="Y1878" t="s">
        <v>585</v>
      </c>
      <c r="Z1878">
        <v>4.24</v>
      </c>
      <c r="AA1878">
        <v>16.86</v>
      </c>
      <c r="AB1878">
        <v>7471</v>
      </c>
      <c r="AC1878">
        <v>11770</v>
      </c>
      <c r="AD1878">
        <v>0.63</v>
      </c>
      <c r="AE1878">
        <v>79</v>
      </c>
      <c r="AF1878">
        <v>36</v>
      </c>
      <c r="AG1878" t="s">
        <v>120</v>
      </c>
      <c r="AH1878">
        <v>0</v>
      </c>
      <c r="AI1878" t="s">
        <v>120</v>
      </c>
      <c r="AJ1878">
        <v>1.1399999999999999</v>
      </c>
      <c r="AK1878" t="s">
        <v>9384</v>
      </c>
      <c r="AL1878">
        <v>3.49</v>
      </c>
      <c r="AM1878">
        <v>1030</v>
      </c>
      <c r="AN1878">
        <v>19</v>
      </c>
      <c r="AO1878">
        <v>1.6000000000000001E-3</v>
      </c>
      <c r="AP1878">
        <v>2</v>
      </c>
      <c r="AQ1878">
        <v>0.12</v>
      </c>
      <c r="AR1878">
        <v>-1.99</v>
      </c>
      <c r="AS1878">
        <v>-1.93</v>
      </c>
      <c r="AT1878">
        <v>3.97</v>
      </c>
      <c r="AU1878">
        <v>8.9</v>
      </c>
      <c r="AV1878">
        <v>3</v>
      </c>
      <c r="AW1878">
        <v>3.09</v>
      </c>
      <c r="AX1878">
        <v>38.880000000000003</v>
      </c>
      <c r="AY1878">
        <v>24.01</v>
      </c>
      <c r="AZ1878">
        <v>26.67</v>
      </c>
      <c r="BA1878">
        <v>1.25</v>
      </c>
      <c r="BB1878" t="s">
        <v>125</v>
      </c>
      <c r="BF1878">
        <v>2.19</v>
      </c>
      <c r="BG1878">
        <v>1.39</v>
      </c>
      <c r="BH1878">
        <v>-2.0499999999999998</v>
      </c>
      <c r="BI1878">
        <v>2.13</v>
      </c>
      <c r="BJ1878">
        <v>20210826</v>
      </c>
      <c r="BK1878">
        <v>20160624</v>
      </c>
      <c r="BL1878">
        <v>1.6</v>
      </c>
      <c r="BM1878" t="s">
        <v>120</v>
      </c>
      <c r="BN1878" t="s">
        <v>120</v>
      </c>
      <c r="BO1878">
        <v>8.48</v>
      </c>
      <c r="BP1878">
        <v>16.760000000000002</v>
      </c>
      <c r="BQ1878">
        <v>7.88</v>
      </c>
      <c r="BR1878" t="s">
        <v>120</v>
      </c>
      <c r="BS1878">
        <v>7.04</v>
      </c>
      <c r="BT1878">
        <v>6.95</v>
      </c>
      <c r="BU1878">
        <v>1.1000000000000001</v>
      </c>
      <c r="BV1878">
        <v>0.11</v>
      </c>
      <c r="BW1878">
        <v>0.48</v>
      </c>
      <c r="BX1878">
        <v>4.96</v>
      </c>
      <c r="BY1878">
        <v>0.4</v>
      </c>
      <c r="BZ1878">
        <v>0.16</v>
      </c>
      <c r="CA1878" t="s">
        <v>120</v>
      </c>
      <c r="CB1878">
        <v>1.61</v>
      </c>
      <c r="CC1878">
        <v>1.6</v>
      </c>
      <c r="CD1878">
        <v>0.67</v>
      </c>
      <c r="CE1878">
        <v>0.67</v>
      </c>
      <c r="CF1878">
        <v>0.02</v>
      </c>
      <c r="CG1878">
        <v>0.67</v>
      </c>
      <c r="CH1878">
        <v>0.56999999999999995</v>
      </c>
      <c r="CI1878">
        <v>0.56999999999999995</v>
      </c>
      <c r="CJ1878">
        <v>0.26</v>
      </c>
      <c r="CK1878">
        <v>0.55000000000000004</v>
      </c>
      <c r="CL1878">
        <v>3.81</v>
      </c>
      <c r="CM1878">
        <v>0.65</v>
      </c>
      <c r="CN1878">
        <v>-0.95</v>
      </c>
      <c r="CO1878">
        <v>18646</v>
      </c>
      <c r="CP1878">
        <v>3336</v>
      </c>
      <c r="CQ1878" t="s">
        <v>512</v>
      </c>
      <c r="CR1878">
        <v>23.89</v>
      </c>
      <c r="CS1878">
        <v>24.19</v>
      </c>
      <c r="CT1878">
        <v>3.4</v>
      </c>
      <c r="CU1878">
        <v>41.53</v>
      </c>
      <c r="CV1878">
        <v>16.809999999999999</v>
      </c>
      <c r="CW1878">
        <v>3.64</v>
      </c>
      <c r="CX1878" t="s">
        <v>472</v>
      </c>
      <c r="CY1878">
        <v>4.93</v>
      </c>
      <c r="CZ1878">
        <v>0</v>
      </c>
      <c r="DA1878">
        <v>1.01</v>
      </c>
      <c r="DB1878">
        <v>2.38</v>
      </c>
      <c r="DC1878">
        <v>0.4</v>
      </c>
      <c r="DD1878">
        <v>92.96</v>
      </c>
      <c r="DE1878" t="s">
        <v>9385</v>
      </c>
      <c r="DF1878">
        <v>58.14</v>
      </c>
      <c r="DG1878">
        <v>42.01</v>
      </c>
      <c r="DH1878">
        <v>35.75</v>
      </c>
      <c r="DI1878">
        <v>0.06</v>
      </c>
      <c r="DJ1878">
        <v>321</v>
      </c>
      <c r="DK1878">
        <v>300519</v>
      </c>
      <c r="DL1878" t="s">
        <v>120</v>
      </c>
      <c r="DM1878" t="s">
        <v>120</v>
      </c>
      <c r="DN1878" t="s">
        <v>120</v>
      </c>
    </row>
    <row r="1879" spans="1:118">
      <c r="A1879" t="str">
        <f>"300520"</f>
        <v>300520</v>
      </c>
      <c r="B1879" t="s">
        <v>9386</v>
      </c>
      <c r="C1879">
        <v>2.73</v>
      </c>
      <c r="D1879">
        <v>-0.04</v>
      </c>
      <c r="E1879">
        <v>0.85</v>
      </c>
      <c r="F1879">
        <v>1808</v>
      </c>
      <c r="G1879" t="s">
        <v>9387</v>
      </c>
      <c r="H1879">
        <v>23871.64</v>
      </c>
      <c r="I1879">
        <v>34.549999999999997</v>
      </c>
      <c r="J1879" t="s">
        <v>120</v>
      </c>
      <c r="K1879" t="s">
        <v>9388</v>
      </c>
      <c r="L1879">
        <v>5.14</v>
      </c>
      <c r="M1879">
        <v>21.86</v>
      </c>
      <c r="N1879">
        <v>1.79</v>
      </c>
      <c r="O1879">
        <v>4.04</v>
      </c>
      <c r="P1879">
        <v>22.14</v>
      </c>
      <c r="Q1879">
        <v>-1.1299999999999999</v>
      </c>
      <c r="R1879">
        <v>21.04</v>
      </c>
      <c r="S1879">
        <v>21.46</v>
      </c>
      <c r="T1879">
        <v>110230</v>
      </c>
      <c r="U1879">
        <v>21.87</v>
      </c>
      <c r="V1879">
        <v>21.28</v>
      </c>
      <c r="W1879">
        <v>48.09</v>
      </c>
      <c r="X1879" t="s">
        <v>141</v>
      </c>
      <c r="Y1879" t="s">
        <v>570</v>
      </c>
      <c r="Z1879">
        <v>5.17</v>
      </c>
      <c r="AA1879">
        <v>21.66</v>
      </c>
      <c r="AB1879">
        <v>52846</v>
      </c>
      <c r="AC1879">
        <v>57384</v>
      </c>
      <c r="AD1879">
        <v>0.92</v>
      </c>
      <c r="AE1879">
        <v>1170</v>
      </c>
      <c r="AF1879">
        <v>126</v>
      </c>
      <c r="AG1879" t="s">
        <v>120</v>
      </c>
      <c r="AH1879">
        <v>0.01</v>
      </c>
      <c r="AI1879" t="s">
        <v>120</v>
      </c>
      <c r="AJ1879">
        <v>2.14</v>
      </c>
      <c r="AK1879" t="s">
        <v>9389</v>
      </c>
      <c r="AL1879">
        <v>4.6399999999999997</v>
      </c>
      <c r="AM1879">
        <v>3168</v>
      </c>
      <c r="AN1879">
        <v>35</v>
      </c>
      <c r="AO1879">
        <v>1.6000000000000001E-3</v>
      </c>
      <c r="AP1879">
        <v>1</v>
      </c>
      <c r="AQ1879">
        <v>-0.79</v>
      </c>
      <c r="AR1879">
        <v>9.19</v>
      </c>
      <c r="AS1879">
        <v>-1.97</v>
      </c>
      <c r="AT1879">
        <v>5.1100000000000003</v>
      </c>
      <c r="AU1879">
        <v>2.93</v>
      </c>
      <c r="AV1879">
        <v>1</v>
      </c>
      <c r="AW1879">
        <v>8.41</v>
      </c>
      <c r="AX1879">
        <v>53.77</v>
      </c>
      <c r="AY1879">
        <v>91.78</v>
      </c>
      <c r="AZ1879">
        <v>128.84</v>
      </c>
      <c r="BA1879">
        <v>0.59</v>
      </c>
      <c r="BB1879" t="s">
        <v>143</v>
      </c>
      <c r="BF1879">
        <v>1.77</v>
      </c>
      <c r="BG1879">
        <v>1.86</v>
      </c>
      <c r="BH1879">
        <v>-1.26</v>
      </c>
      <c r="BI1879">
        <v>3.9</v>
      </c>
      <c r="BJ1879">
        <v>20210903</v>
      </c>
      <c r="BK1879">
        <v>20160708</v>
      </c>
      <c r="BL1879">
        <v>2.44</v>
      </c>
      <c r="BM1879" t="s">
        <v>120</v>
      </c>
      <c r="BN1879" t="s">
        <v>120</v>
      </c>
      <c r="BO1879">
        <v>27.64</v>
      </c>
      <c r="BP1879">
        <v>21.86</v>
      </c>
      <c r="BQ1879">
        <v>13.52</v>
      </c>
      <c r="BR1879">
        <v>0.24</v>
      </c>
      <c r="BS1879">
        <v>50.24</v>
      </c>
      <c r="BT1879">
        <v>15.71</v>
      </c>
      <c r="BU1879">
        <v>2.84</v>
      </c>
      <c r="BV1879">
        <v>0.5</v>
      </c>
      <c r="BW1879">
        <v>12.72</v>
      </c>
      <c r="BX1879">
        <v>5.37</v>
      </c>
      <c r="BY1879">
        <v>2.61</v>
      </c>
      <c r="BZ1879">
        <v>4.8099999999999996</v>
      </c>
      <c r="CA1879">
        <v>0</v>
      </c>
      <c r="CB1879">
        <v>8.39</v>
      </c>
      <c r="CC1879">
        <v>5.71</v>
      </c>
      <c r="CD1879">
        <v>3.4</v>
      </c>
      <c r="CE1879">
        <v>0.59</v>
      </c>
      <c r="CF1879">
        <v>0</v>
      </c>
      <c r="CG1879">
        <v>0.61</v>
      </c>
      <c r="CH1879">
        <v>0.6</v>
      </c>
      <c r="CI1879">
        <v>0.55000000000000004</v>
      </c>
      <c r="CJ1879">
        <v>0.57999999999999996</v>
      </c>
      <c r="CK1879">
        <v>0.33</v>
      </c>
      <c r="CL1879">
        <v>2.0499999999999998</v>
      </c>
      <c r="CM1879">
        <v>-2.3199999999999998</v>
      </c>
      <c r="CN1879">
        <v>-2.1</v>
      </c>
      <c r="CO1879">
        <v>32573</v>
      </c>
      <c r="CP1879">
        <v>4026</v>
      </c>
      <c r="CQ1879" t="s">
        <v>7090</v>
      </c>
      <c r="CR1879">
        <v>41.55</v>
      </c>
      <c r="CS1879">
        <v>-16.3</v>
      </c>
      <c r="CT1879">
        <v>3.94</v>
      </c>
      <c r="CU1879">
        <v>-22.94</v>
      </c>
      <c r="CV1879">
        <v>9.34</v>
      </c>
      <c r="CW1879">
        <v>0.48</v>
      </c>
      <c r="CX1879" t="s">
        <v>3361</v>
      </c>
      <c r="CY1879">
        <v>5.54</v>
      </c>
      <c r="CZ1879">
        <v>0</v>
      </c>
      <c r="DA1879">
        <v>3.44</v>
      </c>
      <c r="DB1879">
        <v>0.84</v>
      </c>
      <c r="DC1879">
        <v>-0.95</v>
      </c>
      <c r="DD1879">
        <v>48.91</v>
      </c>
      <c r="DE1879" t="s">
        <v>1587</v>
      </c>
      <c r="DF1879">
        <v>40.43</v>
      </c>
      <c r="DG1879">
        <v>10.3</v>
      </c>
      <c r="DH1879">
        <v>9.7100000000000009</v>
      </c>
      <c r="DI1879">
        <v>0.97</v>
      </c>
      <c r="DJ1879">
        <v>3287</v>
      </c>
      <c r="DK1879">
        <v>300520</v>
      </c>
      <c r="DL1879" t="s">
        <v>120</v>
      </c>
      <c r="DM1879" t="s">
        <v>120</v>
      </c>
      <c r="DN1879" t="s">
        <v>120</v>
      </c>
    </row>
    <row r="1880" spans="1:118">
      <c r="A1880" t="str">
        <f>"300521"</f>
        <v>300521</v>
      </c>
      <c r="B1880" t="s">
        <v>9390</v>
      </c>
      <c r="C1880">
        <v>-2.5299999999999998</v>
      </c>
      <c r="D1880">
        <v>-0.04</v>
      </c>
      <c r="E1880">
        <v>-0.71</v>
      </c>
      <c r="F1880">
        <v>32</v>
      </c>
      <c r="G1880" t="s">
        <v>9391</v>
      </c>
      <c r="H1880">
        <v>1607.21</v>
      </c>
      <c r="I1880">
        <v>0</v>
      </c>
      <c r="J1880" t="s">
        <v>120</v>
      </c>
      <c r="K1880" t="s">
        <v>9392</v>
      </c>
      <c r="L1880">
        <v>0.56999999999999995</v>
      </c>
      <c r="M1880">
        <v>19.239999999999998</v>
      </c>
      <c r="N1880">
        <v>0.68</v>
      </c>
      <c r="O1880">
        <v>1.37</v>
      </c>
      <c r="P1880">
        <v>20.010000000000002</v>
      </c>
      <c r="Q1880">
        <v>-2.58</v>
      </c>
      <c r="R1880">
        <v>19.23</v>
      </c>
      <c r="S1880">
        <v>19.600000000000001</v>
      </c>
      <c r="T1880">
        <v>8208</v>
      </c>
      <c r="U1880">
        <v>19.25</v>
      </c>
      <c r="V1880">
        <v>19.739999999999998</v>
      </c>
      <c r="W1880">
        <v>14911.52</v>
      </c>
      <c r="X1880" t="s">
        <v>675</v>
      </c>
      <c r="Y1880" t="s">
        <v>547</v>
      </c>
      <c r="Z1880">
        <v>3.95</v>
      </c>
      <c r="AA1880">
        <v>19.579999999999998</v>
      </c>
      <c r="AB1880">
        <v>5091</v>
      </c>
      <c r="AC1880">
        <v>3117</v>
      </c>
      <c r="AD1880">
        <v>1.63</v>
      </c>
      <c r="AE1880">
        <v>17</v>
      </c>
      <c r="AF1880">
        <v>1</v>
      </c>
      <c r="AG1880" t="s">
        <v>120</v>
      </c>
      <c r="AH1880">
        <v>0</v>
      </c>
      <c r="AI1880" t="s">
        <v>120</v>
      </c>
      <c r="AJ1880">
        <v>1.44</v>
      </c>
      <c r="AK1880" t="s">
        <v>9392</v>
      </c>
      <c r="AL1880">
        <v>-0.62</v>
      </c>
      <c r="AM1880">
        <v>628</v>
      </c>
      <c r="AN1880">
        <v>13</v>
      </c>
      <c r="AO1880">
        <v>8.9999999999999998E-4</v>
      </c>
      <c r="AP1880">
        <v>-2</v>
      </c>
      <c r="AQ1880">
        <v>-2.1800000000000002</v>
      </c>
      <c r="AR1880">
        <v>-4.66</v>
      </c>
      <c r="AS1880">
        <v>2.89</v>
      </c>
      <c r="AT1880">
        <v>0.89</v>
      </c>
      <c r="AU1880">
        <v>-5.51</v>
      </c>
      <c r="AV1880">
        <v>0</v>
      </c>
      <c r="AW1880">
        <v>1.04</v>
      </c>
      <c r="AX1880">
        <v>54.59</v>
      </c>
      <c r="AY1880">
        <v>250.57</v>
      </c>
      <c r="AZ1880" t="s">
        <v>120</v>
      </c>
      <c r="BA1880">
        <v>1.0900000000000001</v>
      </c>
      <c r="BB1880" t="s">
        <v>125</v>
      </c>
      <c r="BF1880">
        <v>-0.81</v>
      </c>
      <c r="BG1880">
        <v>-1.84</v>
      </c>
      <c r="BH1880">
        <v>-3.85</v>
      </c>
      <c r="BI1880">
        <v>0.05</v>
      </c>
      <c r="BJ1880">
        <v>20210830</v>
      </c>
      <c r="BK1880">
        <v>20160705</v>
      </c>
      <c r="BL1880">
        <v>1.44</v>
      </c>
      <c r="BM1880" t="s">
        <v>120</v>
      </c>
      <c r="BN1880" t="s">
        <v>120</v>
      </c>
      <c r="BO1880">
        <v>5.97</v>
      </c>
      <c r="BP1880">
        <v>19.239999999999998</v>
      </c>
      <c r="BQ1880">
        <v>5.04</v>
      </c>
      <c r="BR1880">
        <v>0.11</v>
      </c>
      <c r="BS1880">
        <v>13.91</v>
      </c>
      <c r="BT1880">
        <v>3.04</v>
      </c>
      <c r="BU1880">
        <v>1.65</v>
      </c>
      <c r="BV1880">
        <v>0.1</v>
      </c>
      <c r="BW1880">
        <v>0.72</v>
      </c>
      <c r="BX1880">
        <v>0.5</v>
      </c>
      <c r="BY1880">
        <v>0.74</v>
      </c>
      <c r="BZ1880">
        <v>1.37</v>
      </c>
      <c r="CA1880" t="s">
        <v>120</v>
      </c>
      <c r="CB1880">
        <v>1.43</v>
      </c>
      <c r="CC1880">
        <v>0.71</v>
      </c>
      <c r="CD1880">
        <v>0.38</v>
      </c>
      <c r="CE1880">
        <v>-0.01</v>
      </c>
      <c r="CF1880">
        <v>-0.01</v>
      </c>
      <c r="CG1880">
        <v>-0.01</v>
      </c>
      <c r="CH1880">
        <v>0</v>
      </c>
      <c r="CI1880">
        <v>0</v>
      </c>
      <c r="CJ1880">
        <v>-0.5</v>
      </c>
      <c r="CK1880">
        <v>-0.01</v>
      </c>
      <c r="CL1880">
        <v>1.94</v>
      </c>
      <c r="CM1880">
        <v>7.0000000000000007E-2</v>
      </c>
      <c r="CN1880">
        <v>-0.02</v>
      </c>
      <c r="CO1880">
        <v>7290</v>
      </c>
      <c r="CP1880">
        <v>10783</v>
      </c>
      <c r="CQ1880" t="s">
        <v>9393</v>
      </c>
      <c r="CR1880">
        <v>100.4</v>
      </c>
      <c r="CS1880">
        <v>41.34</v>
      </c>
      <c r="CT1880">
        <v>5.5</v>
      </c>
      <c r="CU1880">
        <v>381.01</v>
      </c>
      <c r="CV1880">
        <v>39.130000000000003</v>
      </c>
      <c r="CW1880">
        <v>0</v>
      </c>
      <c r="CX1880" t="s">
        <v>1415</v>
      </c>
      <c r="CY1880">
        <v>3.5</v>
      </c>
      <c r="CZ1880">
        <v>0</v>
      </c>
      <c r="DA1880">
        <v>0.99</v>
      </c>
      <c r="DB1880">
        <v>1.34</v>
      </c>
      <c r="DC1880">
        <v>0.05</v>
      </c>
      <c r="DD1880">
        <v>84.32</v>
      </c>
      <c r="DE1880" t="s">
        <v>9394</v>
      </c>
      <c r="DF1880">
        <v>46.52</v>
      </c>
      <c r="DG1880">
        <v>-1.86</v>
      </c>
      <c r="DH1880">
        <v>0.13</v>
      </c>
      <c r="DI1880">
        <v>0.09</v>
      </c>
      <c r="DJ1880">
        <v>214</v>
      </c>
      <c r="DK1880">
        <v>300521</v>
      </c>
      <c r="DL1880" t="s">
        <v>120</v>
      </c>
      <c r="DM1880" t="s">
        <v>120</v>
      </c>
      <c r="DN1880" t="s">
        <v>120</v>
      </c>
    </row>
    <row r="1881" spans="1:118">
      <c r="A1881" t="str">
        <f>"300522"</f>
        <v>300522</v>
      </c>
      <c r="B1881" t="s">
        <v>9395</v>
      </c>
      <c r="C1881">
        <v>-4.12</v>
      </c>
      <c r="D1881">
        <v>0.25</v>
      </c>
      <c r="E1881">
        <v>0.59</v>
      </c>
      <c r="F1881">
        <v>142</v>
      </c>
      <c r="G1881" t="s">
        <v>1132</v>
      </c>
      <c r="H1881">
        <v>5524.95</v>
      </c>
      <c r="I1881">
        <v>6.32</v>
      </c>
      <c r="J1881" t="s">
        <v>120</v>
      </c>
      <c r="K1881" t="s">
        <v>3327</v>
      </c>
      <c r="L1881">
        <v>1.8</v>
      </c>
      <c r="M1881">
        <v>16.29</v>
      </c>
      <c r="N1881">
        <v>1.1299999999999999</v>
      </c>
      <c r="O1881">
        <v>1.1200000000000001</v>
      </c>
      <c r="P1881">
        <v>17.18</v>
      </c>
      <c r="Q1881">
        <v>-4.3600000000000003</v>
      </c>
      <c r="R1881">
        <v>16.25</v>
      </c>
      <c r="S1881">
        <v>17.09</v>
      </c>
      <c r="T1881">
        <v>33099</v>
      </c>
      <c r="U1881">
        <v>16.29</v>
      </c>
      <c r="V1881">
        <v>16.989999999999998</v>
      </c>
      <c r="W1881">
        <v>34.5</v>
      </c>
      <c r="X1881" t="s">
        <v>1145</v>
      </c>
      <c r="Y1881" t="s">
        <v>319</v>
      </c>
      <c r="Z1881">
        <v>5.47</v>
      </c>
      <c r="AA1881">
        <v>16.690000000000001</v>
      </c>
      <c r="AB1881">
        <v>20247</v>
      </c>
      <c r="AC1881">
        <v>12852</v>
      </c>
      <c r="AD1881">
        <v>1.58</v>
      </c>
      <c r="AE1881">
        <v>2</v>
      </c>
      <c r="AF1881">
        <v>6</v>
      </c>
      <c r="AG1881" t="s">
        <v>120</v>
      </c>
      <c r="AH1881">
        <v>0</v>
      </c>
      <c r="AI1881" t="s">
        <v>120</v>
      </c>
      <c r="AJ1881">
        <v>1.84</v>
      </c>
      <c r="AK1881" t="s">
        <v>3789</v>
      </c>
      <c r="AL1881">
        <v>-2.21</v>
      </c>
      <c r="AM1881">
        <v>1692</v>
      </c>
      <c r="AN1881">
        <v>20</v>
      </c>
      <c r="AO1881">
        <v>1.1000000000000001E-3</v>
      </c>
      <c r="AP1881">
        <v>-6</v>
      </c>
      <c r="AQ1881">
        <v>-0.76</v>
      </c>
      <c r="AR1881">
        <v>-5.01</v>
      </c>
      <c r="AS1881">
        <v>-20.8</v>
      </c>
      <c r="AT1881">
        <v>-2.34</v>
      </c>
      <c r="AU1881">
        <v>8.89</v>
      </c>
      <c r="AV1881">
        <v>0</v>
      </c>
      <c r="AW1881">
        <v>2.61</v>
      </c>
      <c r="AX1881">
        <v>46.97</v>
      </c>
      <c r="AY1881">
        <v>39.26</v>
      </c>
      <c r="AZ1881">
        <v>49.52</v>
      </c>
      <c r="BA1881">
        <v>0.91</v>
      </c>
      <c r="BB1881" t="s">
        <v>125</v>
      </c>
      <c r="BF1881">
        <v>-1.75</v>
      </c>
      <c r="BG1881">
        <v>-4.68</v>
      </c>
      <c r="BH1881">
        <v>-5.18</v>
      </c>
      <c r="BI1881">
        <v>0.25</v>
      </c>
      <c r="BJ1881">
        <v>20210909</v>
      </c>
      <c r="BK1881">
        <v>20160705</v>
      </c>
      <c r="BL1881">
        <v>2.7</v>
      </c>
      <c r="BM1881" t="s">
        <v>120</v>
      </c>
      <c r="BN1881" t="s">
        <v>120</v>
      </c>
      <c r="BO1881">
        <v>9</v>
      </c>
      <c r="BP1881">
        <v>16.27</v>
      </c>
      <c r="BQ1881">
        <v>7.55</v>
      </c>
      <c r="BR1881">
        <v>0</v>
      </c>
      <c r="BS1881">
        <v>16.010000000000002</v>
      </c>
      <c r="BT1881">
        <v>4.43</v>
      </c>
      <c r="BU1881">
        <v>1.37</v>
      </c>
      <c r="BV1881">
        <v>0.56999999999999995</v>
      </c>
      <c r="BW1881">
        <v>1.33</v>
      </c>
      <c r="BX1881">
        <v>1.1200000000000001</v>
      </c>
      <c r="BY1881">
        <v>0.96</v>
      </c>
      <c r="BZ1881">
        <v>1.54</v>
      </c>
      <c r="CA1881" t="s">
        <v>120</v>
      </c>
      <c r="CB1881">
        <v>1.06</v>
      </c>
      <c r="CC1881">
        <v>3.23</v>
      </c>
      <c r="CD1881">
        <v>1.95</v>
      </c>
      <c r="CE1881">
        <v>0.7</v>
      </c>
      <c r="CF1881">
        <v>0</v>
      </c>
      <c r="CG1881">
        <v>0.7</v>
      </c>
      <c r="CH1881">
        <v>0.64</v>
      </c>
      <c r="CI1881">
        <v>0.64</v>
      </c>
      <c r="CJ1881">
        <v>-0.7</v>
      </c>
      <c r="CK1881">
        <v>0.62</v>
      </c>
      <c r="CL1881">
        <v>3.73</v>
      </c>
      <c r="CM1881">
        <v>0.37</v>
      </c>
      <c r="CN1881">
        <v>-1.21</v>
      </c>
      <c r="CO1881">
        <v>8179</v>
      </c>
      <c r="CP1881">
        <v>15521</v>
      </c>
      <c r="CQ1881" t="s">
        <v>9396</v>
      </c>
      <c r="CR1881">
        <v>61.18</v>
      </c>
      <c r="CS1881">
        <v>75.16</v>
      </c>
      <c r="CT1881">
        <v>5.83</v>
      </c>
      <c r="CU1881">
        <v>118.06</v>
      </c>
      <c r="CV1881">
        <v>13.61</v>
      </c>
      <c r="CW1881">
        <v>0.78</v>
      </c>
      <c r="CX1881" t="s">
        <v>626</v>
      </c>
      <c r="CY1881">
        <v>2.79</v>
      </c>
      <c r="CZ1881">
        <v>0</v>
      </c>
      <c r="DA1881">
        <v>0.39</v>
      </c>
      <c r="DB1881">
        <v>1.38</v>
      </c>
      <c r="DC1881">
        <v>0.14000000000000001</v>
      </c>
      <c r="DD1881">
        <v>83.95</v>
      </c>
      <c r="DE1881" t="s">
        <v>9397</v>
      </c>
      <c r="DF1881">
        <v>39.659999999999997</v>
      </c>
      <c r="DG1881">
        <v>21.5</v>
      </c>
      <c r="DH1881">
        <v>19.72</v>
      </c>
      <c r="DI1881">
        <v>0.24</v>
      </c>
      <c r="DJ1881">
        <v>350</v>
      </c>
      <c r="DK1881">
        <v>300522</v>
      </c>
      <c r="DL1881" t="s">
        <v>120</v>
      </c>
      <c r="DM1881" t="s">
        <v>120</v>
      </c>
      <c r="DN1881" t="s">
        <v>120</v>
      </c>
    </row>
    <row r="1882" spans="1:118">
      <c r="A1882" t="str">
        <f>"300523"</f>
        <v>300523</v>
      </c>
      <c r="B1882" t="s">
        <v>9398</v>
      </c>
      <c r="C1882">
        <v>1.17</v>
      </c>
      <c r="D1882">
        <v>1</v>
      </c>
      <c r="E1882">
        <v>0</v>
      </c>
      <c r="F1882">
        <v>874</v>
      </c>
      <c r="G1882" t="s">
        <v>5609</v>
      </c>
      <c r="H1882">
        <v>2324.21</v>
      </c>
      <c r="I1882">
        <v>13.35</v>
      </c>
      <c r="J1882" t="s">
        <v>120</v>
      </c>
      <c r="K1882" t="s">
        <v>9399</v>
      </c>
      <c r="L1882">
        <v>0.44</v>
      </c>
      <c r="M1882">
        <v>23.29</v>
      </c>
      <c r="N1882">
        <v>0.85</v>
      </c>
      <c r="O1882">
        <v>1.78</v>
      </c>
      <c r="P1882">
        <v>23.43</v>
      </c>
      <c r="Q1882">
        <v>-0.09</v>
      </c>
      <c r="R1882">
        <v>23</v>
      </c>
      <c r="S1882">
        <v>23.02</v>
      </c>
      <c r="T1882">
        <v>10031</v>
      </c>
      <c r="U1882">
        <v>23.3</v>
      </c>
      <c r="V1882">
        <v>23.02</v>
      </c>
      <c r="W1882" t="s">
        <v>120</v>
      </c>
      <c r="X1882" t="s">
        <v>141</v>
      </c>
      <c r="Y1882" t="s">
        <v>158</v>
      </c>
      <c r="Z1882">
        <v>1.87</v>
      </c>
      <c r="AA1882">
        <v>23.17</v>
      </c>
      <c r="AB1882">
        <v>6345</v>
      </c>
      <c r="AC1882">
        <v>3686</v>
      </c>
      <c r="AD1882">
        <v>1.72</v>
      </c>
      <c r="AE1882">
        <v>2456</v>
      </c>
      <c r="AF1882">
        <v>38</v>
      </c>
      <c r="AG1882" t="s">
        <v>120</v>
      </c>
      <c r="AH1882">
        <v>0.01</v>
      </c>
      <c r="AI1882" t="s">
        <v>120</v>
      </c>
      <c r="AJ1882">
        <v>2.2999999999999998</v>
      </c>
      <c r="AK1882" t="s">
        <v>9400</v>
      </c>
      <c r="AL1882">
        <v>3.09</v>
      </c>
      <c r="AM1882">
        <v>556</v>
      </c>
      <c r="AN1882">
        <v>18</v>
      </c>
      <c r="AO1882">
        <v>8.0000000000000004E-4</v>
      </c>
      <c r="AP1882">
        <v>1</v>
      </c>
      <c r="AQ1882">
        <v>-3.11</v>
      </c>
      <c r="AR1882">
        <v>-3.68</v>
      </c>
      <c r="AS1882">
        <v>-3.36</v>
      </c>
      <c r="AT1882">
        <v>-5.71</v>
      </c>
      <c r="AU1882">
        <v>-28.45</v>
      </c>
      <c r="AV1882">
        <v>1</v>
      </c>
      <c r="AW1882">
        <v>0.9</v>
      </c>
      <c r="AX1882">
        <v>47.68</v>
      </c>
      <c r="AY1882" t="s">
        <v>120</v>
      </c>
      <c r="AZ1882">
        <v>58.25</v>
      </c>
      <c r="BA1882">
        <v>0.93</v>
      </c>
      <c r="BB1882" t="s">
        <v>125</v>
      </c>
      <c r="BF1882">
        <v>0.65</v>
      </c>
      <c r="BG1882">
        <v>1.17</v>
      </c>
      <c r="BH1882">
        <v>-0.6</v>
      </c>
      <c r="BI1882">
        <v>1.26</v>
      </c>
      <c r="BJ1882">
        <v>20210913</v>
      </c>
      <c r="BK1882">
        <v>20160726</v>
      </c>
      <c r="BL1882">
        <v>2.33</v>
      </c>
      <c r="BM1882" t="s">
        <v>120</v>
      </c>
      <c r="BN1882" t="s">
        <v>120</v>
      </c>
      <c r="BO1882">
        <v>29.31</v>
      </c>
      <c r="BP1882">
        <v>23.29</v>
      </c>
      <c r="BQ1882">
        <v>14.69</v>
      </c>
      <c r="BR1882">
        <v>1.89</v>
      </c>
      <c r="BS1882">
        <v>43.43</v>
      </c>
      <c r="BT1882">
        <v>24.34</v>
      </c>
      <c r="BU1882">
        <v>1.5</v>
      </c>
      <c r="BV1882">
        <v>0.94</v>
      </c>
      <c r="BW1882">
        <v>11.61</v>
      </c>
      <c r="BX1882">
        <v>3.38</v>
      </c>
      <c r="BY1882">
        <v>5.48</v>
      </c>
      <c r="BZ1882">
        <v>13.17</v>
      </c>
      <c r="CA1882" t="s">
        <v>120</v>
      </c>
      <c r="CB1882">
        <v>7.63</v>
      </c>
      <c r="CC1882">
        <v>5.0999999999999996</v>
      </c>
      <c r="CD1882">
        <v>3.36</v>
      </c>
      <c r="CE1882">
        <v>-0.81</v>
      </c>
      <c r="CF1882">
        <v>0</v>
      </c>
      <c r="CG1882">
        <v>-0.81</v>
      </c>
      <c r="CH1882">
        <v>-0.87</v>
      </c>
      <c r="CI1882">
        <v>-0.98</v>
      </c>
      <c r="CJ1882">
        <v>0.27</v>
      </c>
      <c r="CK1882">
        <v>-1.03</v>
      </c>
      <c r="CL1882">
        <v>4.5</v>
      </c>
      <c r="CM1882">
        <v>-3.43</v>
      </c>
      <c r="CN1882">
        <v>-1.35</v>
      </c>
      <c r="CO1882">
        <v>11836</v>
      </c>
      <c r="CP1882">
        <v>9371</v>
      </c>
      <c r="CQ1882" t="s">
        <v>640</v>
      </c>
      <c r="CR1882">
        <v>-2929.1</v>
      </c>
      <c r="CS1882">
        <v>-19.559999999999999</v>
      </c>
      <c r="CT1882">
        <v>3.69</v>
      </c>
      <c r="CU1882">
        <v>-15.79</v>
      </c>
      <c r="CV1882">
        <v>10.62</v>
      </c>
      <c r="CW1882">
        <v>0.34</v>
      </c>
      <c r="CX1882" t="s">
        <v>9401</v>
      </c>
      <c r="CY1882">
        <v>6.31</v>
      </c>
      <c r="CZ1882">
        <v>0</v>
      </c>
      <c r="DA1882">
        <v>3.28</v>
      </c>
      <c r="DB1882">
        <v>1.94</v>
      </c>
      <c r="DC1882">
        <v>-1.48</v>
      </c>
      <c r="DD1882">
        <v>50.11</v>
      </c>
      <c r="DE1882" t="s">
        <v>9402</v>
      </c>
      <c r="DF1882">
        <v>34.200000000000003</v>
      </c>
      <c r="DG1882">
        <v>-15.87</v>
      </c>
      <c r="DH1882">
        <v>-19.13</v>
      </c>
      <c r="DI1882">
        <v>0.51</v>
      </c>
      <c r="DJ1882">
        <v>1940</v>
      </c>
      <c r="DK1882">
        <v>300523</v>
      </c>
      <c r="DL1882" t="s">
        <v>120</v>
      </c>
      <c r="DM1882" t="s">
        <v>120</v>
      </c>
      <c r="DN1882" t="s">
        <v>120</v>
      </c>
    </row>
    <row r="1883" spans="1:118">
      <c r="A1883" t="str">
        <f>"300525"</f>
        <v>300525</v>
      </c>
      <c r="B1883" t="s">
        <v>9403</v>
      </c>
      <c r="C1883">
        <v>1.19</v>
      </c>
      <c r="D1883">
        <v>-0.15</v>
      </c>
      <c r="E1883">
        <v>0.05</v>
      </c>
      <c r="F1883">
        <v>637</v>
      </c>
      <c r="G1883" t="s">
        <v>9404</v>
      </c>
      <c r="H1883">
        <v>8302.85</v>
      </c>
      <c r="I1883">
        <v>14.07</v>
      </c>
      <c r="J1883" t="s">
        <v>120</v>
      </c>
      <c r="K1883" t="s">
        <v>7810</v>
      </c>
      <c r="L1883">
        <v>1.44</v>
      </c>
      <c r="M1883">
        <v>18.72</v>
      </c>
      <c r="N1883">
        <v>0.8</v>
      </c>
      <c r="O1883">
        <v>3.73</v>
      </c>
      <c r="P1883">
        <v>19.190000000000001</v>
      </c>
      <c r="Q1883">
        <v>-0.65</v>
      </c>
      <c r="R1883">
        <v>18.38</v>
      </c>
      <c r="S1883">
        <v>18.510000000000002</v>
      </c>
      <c r="T1883">
        <v>44078</v>
      </c>
      <c r="U1883">
        <v>18.72</v>
      </c>
      <c r="V1883">
        <v>18.5</v>
      </c>
      <c r="W1883" t="s">
        <v>120</v>
      </c>
      <c r="X1883" t="s">
        <v>141</v>
      </c>
      <c r="Y1883" t="s">
        <v>937</v>
      </c>
      <c r="Z1883">
        <v>4.38</v>
      </c>
      <c r="AA1883">
        <v>18.84</v>
      </c>
      <c r="AB1883">
        <v>26843</v>
      </c>
      <c r="AC1883">
        <v>17235</v>
      </c>
      <c r="AD1883">
        <v>1.56</v>
      </c>
      <c r="AE1883">
        <v>16</v>
      </c>
      <c r="AF1883">
        <v>27</v>
      </c>
      <c r="AG1883" t="s">
        <v>120</v>
      </c>
      <c r="AH1883">
        <v>0</v>
      </c>
      <c r="AI1883" t="s">
        <v>120</v>
      </c>
      <c r="AJ1883">
        <v>3.06</v>
      </c>
      <c r="AK1883" t="s">
        <v>9405</v>
      </c>
      <c r="AL1883">
        <v>3.1</v>
      </c>
      <c r="AM1883">
        <v>1870</v>
      </c>
      <c r="AN1883">
        <v>24</v>
      </c>
      <c r="AO1883">
        <v>8.0000000000000004E-4</v>
      </c>
      <c r="AP1883">
        <v>1</v>
      </c>
      <c r="AQ1883">
        <v>-2.5299999999999998</v>
      </c>
      <c r="AR1883">
        <v>-4.1500000000000004</v>
      </c>
      <c r="AS1883">
        <v>5.7</v>
      </c>
      <c r="AT1883">
        <v>2.86</v>
      </c>
      <c r="AU1883">
        <v>-8.3000000000000007</v>
      </c>
      <c r="AV1883">
        <v>0</v>
      </c>
      <c r="AW1883">
        <v>1.9</v>
      </c>
      <c r="AX1883">
        <v>58.64</v>
      </c>
      <c r="AY1883">
        <v>48.17</v>
      </c>
      <c r="AZ1883">
        <v>45.24</v>
      </c>
      <c r="BA1883">
        <v>0.69</v>
      </c>
      <c r="BB1883" t="s">
        <v>341</v>
      </c>
      <c r="BF1883">
        <v>1.82</v>
      </c>
      <c r="BG1883">
        <v>1.1299999999999999</v>
      </c>
      <c r="BH1883">
        <v>-2.4500000000000002</v>
      </c>
      <c r="BI1883">
        <v>1.85</v>
      </c>
      <c r="BJ1883">
        <v>20210909</v>
      </c>
      <c r="BK1883">
        <v>20160726</v>
      </c>
      <c r="BL1883">
        <v>3.96</v>
      </c>
      <c r="BM1883" t="s">
        <v>120</v>
      </c>
      <c r="BN1883" t="s">
        <v>120</v>
      </c>
      <c r="BO1883">
        <v>19.670000000000002</v>
      </c>
      <c r="BP1883">
        <v>18.71</v>
      </c>
      <c r="BQ1883">
        <v>13.39</v>
      </c>
      <c r="BR1883">
        <v>1.38</v>
      </c>
      <c r="BS1883">
        <v>24.94</v>
      </c>
      <c r="BT1883">
        <v>12.47</v>
      </c>
      <c r="BU1883">
        <v>1.76</v>
      </c>
      <c r="BV1883">
        <v>0.56000000000000005</v>
      </c>
      <c r="BW1883">
        <v>4.33</v>
      </c>
      <c r="BX1883">
        <v>4.47</v>
      </c>
      <c r="BY1883">
        <v>0.52</v>
      </c>
      <c r="BZ1883">
        <v>4.84</v>
      </c>
      <c r="CA1883" t="s">
        <v>120</v>
      </c>
      <c r="CB1883">
        <v>5.29</v>
      </c>
      <c r="CC1883">
        <v>3.86</v>
      </c>
      <c r="CD1883">
        <v>1.64</v>
      </c>
      <c r="CE1883">
        <v>-0.92</v>
      </c>
      <c r="CF1883">
        <v>0.01</v>
      </c>
      <c r="CG1883">
        <v>-0.92</v>
      </c>
      <c r="CH1883">
        <v>-0.88</v>
      </c>
      <c r="CI1883">
        <v>-0.47</v>
      </c>
      <c r="CJ1883">
        <v>0.22</v>
      </c>
      <c r="CK1883">
        <v>-0.56000000000000005</v>
      </c>
      <c r="CL1883">
        <v>3.73</v>
      </c>
      <c r="CM1883">
        <v>-2.0099999999999998</v>
      </c>
      <c r="CN1883">
        <v>-5.0199999999999996</v>
      </c>
      <c r="CO1883">
        <v>16578</v>
      </c>
      <c r="CP1883">
        <v>13993</v>
      </c>
      <c r="CQ1883" t="s">
        <v>9406</v>
      </c>
      <c r="CR1883">
        <v>-26.38</v>
      </c>
      <c r="CS1883">
        <v>62.54</v>
      </c>
      <c r="CT1883">
        <v>5.53</v>
      </c>
      <c r="CU1883">
        <v>-36.869999999999997</v>
      </c>
      <c r="CV1883">
        <v>19.170000000000002</v>
      </c>
      <c r="CW1883">
        <v>0.46</v>
      </c>
      <c r="CX1883" t="s">
        <v>1643</v>
      </c>
      <c r="CY1883">
        <v>3.39</v>
      </c>
      <c r="CZ1883">
        <v>3.39</v>
      </c>
      <c r="DA1883">
        <v>1.34</v>
      </c>
      <c r="DB1883">
        <v>0.94</v>
      </c>
      <c r="DC1883">
        <v>-0.51</v>
      </c>
      <c r="DD1883">
        <v>68.040000000000006</v>
      </c>
      <c r="DE1883" t="s">
        <v>9407</v>
      </c>
      <c r="DF1883">
        <v>57.57</v>
      </c>
      <c r="DG1883">
        <v>-23.92</v>
      </c>
      <c r="DH1883">
        <v>-12.2</v>
      </c>
      <c r="DI1883">
        <v>1.0900000000000001</v>
      </c>
      <c r="DJ1883">
        <v>3695</v>
      </c>
      <c r="DK1883">
        <v>300525</v>
      </c>
      <c r="DL1883" t="s">
        <v>120</v>
      </c>
      <c r="DM1883" t="s">
        <v>120</v>
      </c>
      <c r="DN1883" t="s">
        <v>120</v>
      </c>
    </row>
    <row r="1884" spans="1:118">
      <c r="A1884" t="str">
        <f>"300526"</f>
        <v>300526</v>
      </c>
      <c r="B1884" t="s">
        <v>9408</v>
      </c>
      <c r="C1884">
        <v>-2.13</v>
      </c>
      <c r="D1884">
        <v>0.04</v>
      </c>
      <c r="E1884">
        <v>-2.52</v>
      </c>
      <c r="F1884">
        <v>987</v>
      </c>
      <c r="G1884" t="s">
        <v>9409</v>
      </c>
      <c r="H1884">
        <v>23411.33</v>
      </c>
      <c r="I1884">
        <v>157.26</v>
      </c>
      <c r="J1884" t="s">
        <v>120</v>
      </c>
      <c r="K1884" t="s">
        <v>9410</v>
      </c>
      <c r="L1884">
        <v>4.33</v>
      </c>
      <c r="M1884">
        <v>25.67</v>
      </c>
      <c r="N1884">
        <v>0.76</v>
      </c>
      <c r="O1884">
        <v>4.6500000000000004</v>
      </c>
      <c r="P1884">
        <v>27.45</v>
      </c>
      <c r="Q1884">
        <v>-2.78</v>
      </c>
      <c r="R1884">
        <v>25.5</v>
      </c>
      <c r="S1884">
        <v>25.57</v>
      </c>
      <c r="T1884">
        <v>88442</v>
      </c>
      <c r="U1884">
        <v>25.67</v>
      </c>
      <c r="V1884">
        <v>26.23</v>
      </c>
      <c r="W1884" t="s">
        <v>120</v>
      </c>
      <c r="X1884" t="s">
        <v>675</v>
      </c>
      <c r="Y1884" t="s">
        <v>547</v>
      </c>
      <c r="Z1884">
        <v>7.43</v>
      </c>
      <c r="AA1884">
        <v>26.47</v>
      </c>
      <c r="AB1884">
        <v>47060</v>
      </c>
      <c r="AC1884">
        <v>41382</v>
      </c>
      <c r="AD1884">
        <v>1.1399999999999999</v>
      </c>
      <c r="AE1884">
        <v>966</v>
      </c>
      <c r="AF1884">
        <v>18</v>
      </c>
      <c r="AG1884" t="s">
        <v>120</v>
      </c>
      <c r="AH1884">
        <v>0.09</v>
      </c>
      <c r="AI1884" t="s">
        <v>120</v>
      </c>
      <c r="AJ1884">
        <v>2.04</v>
      </c>
      <c r="AK1884" t="s">
        <v>9410</v>
      </c>
      <c r="AL1884">
        <v>-0.22</v>
      </c>
      <c r="AM1884">
        <v>3160</v>
      </c>
      <c r="AN1884">
        <v>28</v>
      </c>
      <c r="AO1884">
        <v>1.4E-3</v>
      </c>
      <c r="AP1884">
        <v>-2</v>
      </c>
      <c r="AQ1884">
        <v>-4.51</v>
      </c>
      <c r="AR1884">
        <v>-5.27</v>
      </c>
      <c r="AS1884">
        <v>1.34</v>
      </c>
      <c r="AT1884">
        <v>-21.97</v>
      </c>
      <c r="AU1884">
        <v>-59.57</v>
      </c>
      <c r="AV1884">
        <v>5</v>
      </c>
      <c r="AW1884">
        <v>12.56</v>
      </c>
      <c r="AX1884">
        <v>34.46</v>
      </c>
      <c r="AY1884" t="s">
        <v>120</v>
      </c>
      <c r="AZ1884" t="s">
        <v>120</v>
      </c>
      <c r="BA1884">
        <v>0.47</v>
      </c>
      <c r="BB1884" t="s">
        <v>143</v>
      </c>
      <c r="BF1884">
        <v>0.92</v>
      </c>
      <c r="BG1884">
        <v>0.39</v>
      </c>
      <c r="BH1884">
        <v>-6.48</v>
      </c>
      <c r="BI1884">
        <v>0.67</v>
      </c>
      <c r="BJ1884">
        <v>20210913</v>
      </c>
      <c r="BK1884">
        <v>20160802</v>
      </c>
      <c r="BL1884">
        <v>2.04</v>
      </c>
      <c r="BM1884" t="s">
        <v>120</v>
      </c>
      <c r="BN1884" t="s">
        <v>120</v>
      </c>
      <c r="BO1884">
        <v>6.43</v>
      </c>
      <c r="BP1884">
        <v>25.66</v>
      </c>
      <c r="BQ1884">
        <v>3.37</v>
      </c>
      <c r="BR1884" t="s">
        <v>120</v>
      </c>
      <c r="BS1884">
        <v>47.52</v>
      </c>
      <c r="BT1884">
        <v>0.51</v>
      </c>
      <c r="BU1884">
        <v>1.74</v>
      </c>
      <c r="BV1884">
        <v>1.51</v>
      </c>
      <c r="BW1884">
        <v>2.92</v>
      </c>
      <c r="BX1884">
        <v>0.2</v>
      </c>
      <c r="BY1884">
        <v>0.11</v>
      </c>
      <c r="BZ1884">
        <v>0.08</v>
      </c>
      <c r="CA1884">
        <v>1.1000000000000001</v>
      </c>
      <c r="CB1884">
        <v>0.66</v>
      </c>
      <c r="CC1884">
        <v>0.14000000000000001</v>
      </c>
      <c r="CD1884">
        <v>0.09</v>
      </c>
      <c r="CE1884">
        <v>-0.32</v>
      </c>
      <c r="CF1884">
        <v>0</v>
      </c>
      <c r="CG1884">
        <v>-0.36</v>
      </c>
      <c r="CH1884">
        <v>-0.36</v>
      </c>
      <c r="CI1884">
        <v>-0.36</v>
      </c>
      <c r="CJ1884">
        <v>-0.56000000000000005</v>
      </c>
      <c r="CK1884">
        <v>-0.34</v>
      </c>
      <c r="CL1884">
        <v>0.38</v>
      </c>
      <c r="CM1884">
        <v>0.06</v>
      </c>
      <c r="CN1884">
        <v>0.04</v>
      </c>
      <c r="CO1884">
        <v>29911</v>
      </c>
      <c r="CP1884">
        <v>2353</v>
      </c>
      <c r="CQ1884" t="s">
        <v>992</v>
      </c>
      <c r="CR1884">
        <v>-7337.67</v>
      </c>
      <c r="CS1884">
        <v>-86.65</v>
      </c>
      <c r="CT1884">
        <v>15.55</v>
      </c>
      <c r="CU1884">
        <v>845.08</v>
      </c>
      <c r="CV1884">
        <v>373.29</v>
      </c>
      <c r="CW1884">
        <v>0</v>
      </c>
      <c r="CX1884" t="s">
        <v>2691</v>
      </c>
      <c r="CY1884">
        <v>1.65</v>
      </c>
      <c r="CZ1884">
        <v>0</v>
      </c>
      <c r="DA1884">
        <v>0.32</v>
      </c>
      <c r="DB1884">
        <v>0.19</v>
      </c>
      <c r="DC1884">
        <v>0.03</v>
      </c>
      <c r="DD1884">
        <v>52.48</v>
      </c>
      <c r="DE1884" t="s">
        <v>9411</v>
      </c>
      <c r="DF1884">
        <v>35.83</v>
      </c>
      <c r="DG1884">
        <v>-231.16</v>
      </c>
      <c r="DH1884">
        <v>-256.19</v>
      </c>
      <c r="DI1884">
        <v>0.01</v>
      </c>
      <c r="DJ1884">
        <v>219</v>
      </c>
      <c r="DK1884">
        <v>300526</v>
      </c>
      <c r="DL1884">
        <v>20210831</v>
      </c>
      <c r="DM1884">
        <v>26.75</v>
      </c>
      <c r="DN1884">
        <v>-4.04</v>
      </c>
    </row>
    <row r="1885" spans="1:118">
      <c r="A1885" t="str">
        <f>"300527"</f>
        <v>300527</v>
      </c>
      <c r="B1885" t="s">
        <v>9412</v>
      </c>
      <c r="C1885">
        <v>-2.62</v>
      </c>
      <c r="D1885">
        <v>-0.21</v>
      </c>
      <c r="E1885">
        <v>0.21</v>
      </c>
      <c r="F1885">
        <v>3472</v>
      </c>
      <c r="G1885" t="s">
        <v>9413</v>
      </c>
      <c r="H1885">
        <v>14411.83</v>
      </c>
      <c r="I1885">
        <v>55.18</v>
      </c>
      <c r="J1885" t="s">
        <v>120</v>
      </c>
      <c r="K1885" t="s">
        <v>9414</v>
      </c>
      <c r="L1885">
        <v>1.58</v>
      </c>
      <c r="M1885">
        <v>9.2799999999999994</v>
      </c>
      <c r="N1885">
        <v>0.72</v>
      </c>
      <c r="O1885">
        <v>1.36</v>
      </c>
      <c r="P1885">
        <v>9.66</v>
      </c>
      <c r="Q1885">
        <v>-2.62</v>
      </c>
      <c r="R1885">
        <v>9.2799999999999994</v>
      </c>
      <c r="S1885">
        <v>9.5500000000000007</v>
      </c>
      <c r="T1885">
        <v>152274</v>
      </c>
      <c r="U1885">
        <v>9.2899999999999991</v>
      </c>
      <c r="V1885">
        <v>9.5299999999999994</v>
      </c>
      <c r="W1885">
        <v>163.19999999999999</v>
      </c>
      <c r="X1885" t="s">
        <v>675</v>
      </c>
      <c r="Y1885" t="s">
        <v>763</v>
      </c>
      <c r="Z1885">
        <v>3.99</v>
      </c>
      <c r="AA1885">
        <v>9.4600000000000009</v>
      </c>
      <c r="AB1885">
        <v>87991</v>
      </c>
      <c r="AC1885">
        <v>64283</v>
      </c>
      <c r="AD1885">
        <v>1.37</v>
      </c>
      <c r="AE1885">
        <v>105</v>
      </c>
      <c r="AF1885">
        <v>8</v>
      </c>
      <c r="AG1885" t="s">
        <v>120</v>
      </c>
      <c r="AH1885">
        <v>0.02</v>
      </c>
      <c r="AI1885" t="s">
        <v>120</v>
      </c>
      <c r="AJ1885">
        <v>9.6300000000000008</v>
      </c>
      <c r="AK1885" t="s">
        <v>9414</v>
      </c>
      <c r="AL1885">
        <v>-0.71</v>
      </c>
      <c r="AM1885">
        <v>2648</v>
      </c>
      <c r="AN1885">
        <v>58</v>
      </c>
      <c r="AO1885">
        <v>5.9999999999999995E-4</v>
      </c>
      <c r="AP1885">
        <v>-1</v>
      </c>
      <c r="AQ1885">
        <v>0.11</v>
      </c>
      <c r="AR1885">
        <v>-5.88</v>
      </c>
      <c r="AS1885">
        <v>-9.99</v>
      </c>
      <c r="AT1885">
        <v>-7.99</v>
      </c>
      <c r="AU1885">
        <v>-7.16</v>
      </c>
      <c r="AV1885">
        <v>1</v>
      </c>
      <c r="AW1885">
        <v>4.38</v>
      </c>
      <c r="AX1885">
        <v>36.11</v>
      </c>
      <c r="AY1885">
        <v>66.31</v>
      </c>
      <c r="AZ1885">
        <v>117.97</v>
      </c>
      <c r="BA1885">
        <v>0.51</v>
      </c>
      <c r="BB1885" t="s">
        <v>143</v>
      </c>
      <c r="BF1885">
        <v>-0.69</v>
      </c>
      <c r="BG1885">
        <v>-2.83</v>
      </c>
      <c r="BH1885">
        <v>-3.93</v>
      </c>
      <c r="BI1885">
        <v>0</v>
      </c>
      <c r="BJ1885">
        <v>20210830</v>
      </c>
      <c r="BK1885">
        <v>20160805</v>
      </c>
      <c r="BL1885">
        <v>9.6300000000000008</v>
      </c>
      <c r="BM1885" t="s">
        <v>120</v>
      </c>
      <c r="BN1885" t="s">
        <v>120</v>
      </c>
      <c r="BO1885">
        <v>43.36</v>
      </c>
      <c r="BP1885">
        <v>9.2799999999999994</v>
      </c>
      <c r="BQ1885">
        <v>27.78</v>
      </c>
      <c r="BR1885">
        <v>1.2</v>
      </c>
      <c r="BS1885">
        <v>33.17</v>
      </c>
      <c r="BT1885">
        <v>30.58</v>
      </c>
      <c r="BU1885">
        <v>5.97</v>
      </c>
      <c r="BV1885">
        <v>1.77</v>
      </c>
      <c r="BW1885">
        <v>10.65</v>
      </c>
      <c r="BX1885">
        <v>15.34</v>
      </c>
      <c r="BY1885">
        <v>2.91</v>
      </c>
      <c r="BZ1885">
        <v>4.37</v>
      </c>
      <c r="CA1885">
        <v>0.11</v>
      </c>
      <c r="CB1885">
        <v>7.44</v>
      </c>
      <c r="CC1885">
        <v>8.98</v>
      </c>
      <c r="CD1885">
        <v>7.06</v>
      </c>
      <c r="CE1885">
        <v>0.17</v>
      </c>
      <c r="CF1885">
        <v>0.04</v>
      </c>
      <c r="CG1885">
        <v>0.17</v>
      </c>
      <c r="CH1885">
        <v>0.22</v>
      </c>
      <c r="CI1885">
        <v>0.27</v>
      </c>
      <c r="CJ1885">
        <v>-0.25</v>
      </c>
      <c r="CK1885">
        <v>0.19</v>
      </c>
      <c r="CL1885">
        <v>8.4499999999999993</v>
      </c>
      <c r="CM1885">
        <v>-4.33</v>
      </c>
      <c r="CN1885">
        <v>-4.7</v>
      </c>
      <c r="CO1885">
        <v>50177</v>
      </c>
      <c r="CP1885">
        <v>6932</v>
      </c>
      <c r="CQ1885" t="s">
        <v>5423</v>
      </c>
      <c r="CR1885">
        <v>182.41</v>
      </c>
      <c r="CS1885">
        <v>128.81</v>
      </c>
      <c r="CT1885">
        <v>3.35</v>
      </c>
      <c r="CU1885">
        <v>-20.62</v>
      </c>
      <c r="CV1885">
        <v>9.9600000000000009</v>
      </c>
      <c r="CW1885">
        <v>0.25</v>
      </c>
      <c r="CX1885" t="s">
        <v>1808</v>
      </c>
      <c r="CY1885">
        <v>2.77</v>
      </c>
      <c r="CZ1885">
        <v>2.77</v>
      </c>
      <c r="DA1885">
        <v>0.77</v>
      </c>
      <c r="DB1885">
        <v>0.88</v>
      </c>
      <c r="DC1885">
        <v>-0.45</v>
      </c>
      <c r="DD1885">
        <v>64.069999999999993</v>
      </c>
      <c r="DE1885" t="s">
        <v>1546</v>
      </c>
      <c r="DF1885">
        <v>21.31</v>
      </c>
      <c r="DG1885">
        <v>1.92</v>
      </c>
      <c r="DH1885">
        <v>3.05</v>
      </c>
      <c r="DI1885">
        <v>0.76</v>
      </c>
      <c r="DJ1885">
        <v>1485</v>
      </c>
      <c r="DK1885">
        <v>300527</v>
      </c>
      <c r="DL1885" t="s">
        <v>120</v>
      </c>
      <c r="DM1885" t="s">
        <v>120</v>
      </c>
      <c r="DN1885" t="s">
        <v>120</v>
      </c>
    </row>
    <row r="1886" spans="1:118">
      <c r="A1886" t="str">
        <f>"300528"</f>
        <v>300528</v>
      </c>
      <c r="B1886" t="s">
        <v>9415</v>
      </c>
      <c r="C1886">
        <v>-1.8</v>
      </c>
      <c r="D1886">
        <v>0</v>
      </c>
      <c r="E1886">
        <v>-0.98</v>
      </c>
      <c r="F1886">
        <v>154</v>
      </c>
      <c r="G1886" t="s">
        <v>5186</v>
      </c>
      <c r="H1886">
        <v>1810.01</v>
      </c>
      <c r="I1886">
        <v>7.62</v>
      </c>
      <c r="J1886" t="s">
        <v>120</v>
      </c>
      <c r="K1886" t="s">
        <v>8522</v>
      </c>
      <c r="L1886">
        <v>0.8</v>
      </c>
      <c r="M1886">
        <v>6</v>
      </c>
      <c r="N1886">
        <v>0.72</v>
      </c>
      <c r="O1886">
        <v>0.98</v>
      </c>
      <c r="P1886">
        <v>6.17</v>
      </c>
      <c r="Q1886">
        <v>-2.29</v>
      </c>
      <c r="R1886">
        <v>5.97</v>
      </c>
      <c r="S1886">
        <v>6.05</v>
      </c>
      <c r="T1886">
        <v>29856</v>
      </c>
      <c r="U1886">
        <v>6</v>
      </c>
      <c r="V1886">
        <v>6.11</v>
      </c>
      <c r="W1886" t="s">
        <v>120</v>
      </c>
      <c r="X1886" t="s">
        <v>584</v>
      </c>
      <c r="Y1886" t="s">
        <v>319</v>
      </c>
      <c r="Z1886">
        <v>3.27</v>
      </c>
      <c r="AA1886">
        <v>6.06</v>
      </c>
      <c r="AB1886">
        <v>16894</v>
      </c>
      <c r="AC1886">
        <v>12962</v>
      </c>
      <c r="AD1886">
        <v>1.3</v>
      </c>
      <c r="AE1886">
        <v>200</v>
      </c>
      <c r="AF1886">
        <v>8</v>
      </c>
      <c r="AG1886" t="s">
        <v>120</v>
      </c>
      <c r="AH1886">
        <v>0.01</v>
      </c>
      <c r="AI1886" t="s">
        <v>120</v>
      </c>
      <c r="AJ1886">
        <v>3.73</v>
      </c>
      <c r="AK1886" t="s">
        <v>8522</v>
      </c>
      <c r="AL1886">
        <v>0.11</v>
      </c>
      <c r="AM1886">
        <v>1330</v>
      </c>
      <c r="AN1886">
        <v>22</v>
      </c>
      <c r="AO1886">
        <v>5.9999999999999995E-4</v>
      </c>
      <c r="AP1886">
        <v>-1</v>
      </c>
      <c r="AQ1886">
        <v>2.69</v>
      </c>
      <c r="AR1886">
        <v>-2.12</v>
      </c>
      <c r="AS1886">
        <v>9.49</v>
      </c>
      <c r="AT1886">
        <v>0.51</v>
      </c>
      <c r="AU1886">
        <v>-4.46</v>
      </c>
      <c r="AV1886">
        <v>0</v>
      </c>
      <c r="AW1886">
        <v>2.0699999999999998</v>
      </c>
      <c r="AX1886">
        <v>38.65</v>
      </c>
      <c r="AY1886" t="s">
        <v>120</v>
      </c>
      <c r="AZ1886" t="s">
        <v>120</v>
      </c>
      <c r="BA1886">
        <v>0.21</v>
      </c>
      <c r="BB1886" t="s">
        <v>184</v>
      </c>
      <c r="BF1886">
        <v>-0.78</v>
      </c>
      <c r="BG1886">
        <v>-0.83</v>
      </c>
      <c r="BH1886">
        <v>-2.76</v>
      </c>
      <c r="BI1886">
        <v>0.5</v>
      </c>
      <c r="BJ1886">
        <v>20210907</v>
      </c>
      <c r="BK1886">
        <v>20160808</v>
      </c>
      <c r="BL1886">
        <v>3.73</v>
      </c>
      <c r="BM1886" t="s">
        <v>120</v>
      </c>
      <c r="BN1886" t="s">
        <v>120</v>
      </c>
      <c r="BO1886">
        <v>34.49</v>
      </c>
      <c r="BP1886">
        <v>5.99</v>
      </c>
      <c r="BQ1886">
        <v>7.11</v>
      </c>
      <c r="BR1886">
        <v>-0.7</v>
      </c>
      <c r="BS1886">
        <v>81.41</v>
      </c>
      <c r="BT1886">
        <v>15.84</v>
      </c>
      <c r="BU1886">
        <v>2.88</v>
      </c>
      <c r="BV1886">
        <v>7.0000000000000007E-2</v>
      </c>
      <c r="BW1886">
        <v>13.58</v>
      </c>
      <c r="BX1886">
        <v>4.93</v>
      </c>
      <c r="BY1886">
        <v>5.21</v>
      </c>
      <c r="BZ1886">
        <v>2.4700000000000002</v>
      </c>
      <c r="CA1886" t="s">
        <v>120</v>
      </c>
      <c r="CB1886">
        <v>8.6</v>
      </c>
      <c r="CC1886">
        <v>4.4400000000000004</v>
      </c>
      <c r="CD1886">
        <v>1.7</v>
      </c>
      <c r="CE1886">
        <v>-0.38</v>
      </c>
      <c r="CF1886">
        <v>7.0000000000000007E-2</v>
      </c>
      <c r="CG1886">
        <v>-0.43</v>
      </c>
      <c r="CH1886">
        <v>-0.42</v>
      </c>
      <c r="CI1886">
        <v>-0.37</v>
      </c>
      <c r="CJ1886">
        <v>-0.11</v>
      </c>
      <c r="CK1886">
        <v>-0.6</v>
      </c>
      <c r="CL1886">
        <v>-5.59</v>
      </c>
      <c r="CM1886">
        <v>1.81</v>
      </c>
      <c r="CN1886">
        <v>-0.73</v>
      </c>
      <c r="CO1886">
        <v>20611</v>
      </c>
      <c r="CP1886">
        <v>6988</v>
      </c>
      <c r="CQ1886" t="s">
        <v>1993</v>
      </c>
      <c r="CR1886">
        <v>83.5</v>
      </c>
      <c r="CS1886">
        <v>388.56</v>
      </c>
      <c r="CT1886">
        <v>3.14</v>
      </c>
      <c r="CU1886">
        <v>12.37</v>
      </c>
      <c r="CV1886">
        <v>5.03</v>
      </c>
      <c r="CW1886">
        <v>0</v>
      </c>
      <c r="CX1886" t="s">
        <v>9416</v>
      </c>
      <c r="CY1886">
        <v>1.91</v>
      </c>
      <c r="CZ1886">
        <v>0</v>
      </c>
      <c r="DA1886">
        <v>2.31</v>
      </c>
      <c r="DB1886">
        <v>-1.5</v>
      </c>
      <c r="DC1886">
        <v>0.49</v>
      </c>
      <c r="DD1886">
        <v>20.62</v>
      </c>
      <c r="DE1886" t="s">
        <v>5381</v>
      </c>
      <c r="DF1886">
        <v>61.77</v>
      </c>
      <c r="DG1886">
        <v>-8.58</v>
      </c>
      <c r="DH1886">
        <v>-8.32</v>
      </c>
      <c r="DI1886" t="s">
        <v>120</v>
      </c>
      <c r="DJ1886">
        <v>1431</v>
      </c>
      <c r="DK1886">
        <v>300528</v>
      </c>
      <c r="DL1886" t="s">
        <v>120</v>
      </c>
      <c r="DM1886" t="s">
        <v>120</v>
      </c>
      <c r="DN1886" t="s">
        <v>120</v>
      </c>
    </row>
    <row r="1887" spans="1:118">
      <c r="A1887" t="str">
        <f>"300529"</f>
        <v>300529</v>
      </c>
      <c r="B1887" t="s">
        <v>9417</v>
      </c>
      <c r="C1887">
        <v>3.67</v>
      </c>
      <c r="D1887">
        <v>-0.01</v>
      </c>
      <c r="E1887">
        <v>-0.86</v>
      </c>
      <c r="F1887">
        <v>1351</v>
      </c>
      <c r="G1887" t="s">
        <v>9418</v>
      </c>
      <c r="H1887">
        <v>76701.86</v>
      </c>
      <c r="I1887">
        <v>206.68</v>
      </c>
      <c r="J1887" t="s">
        <v>120</v>
      </c>
      <c r="K1887" t="s">
        <v>9419</v>
      </c>
      <c r="L1887">
        <v>2.98</v>
      </c>
      <c r="M1887">
        <v>50.5</v>
      </c>
      <c r="N1887">
        <v>1.99</v>
      </c>
      <c r="O1887">
        <v>5.99</v>
      </c>
      <c r="P1887">
        <v>51.63</v>
      </c>
      <c r="Q1887">
        <v>-1.64</v>
      </c>
      <c r="R1887">
        <v>47.91</v>
      </c>
      <c r="S1887">
        <v>48.29</v>
      </c>
      <c r="T1887">
        <v>153042</v>
      </c>
      <c r="U1887">
        <v>50.51</v>
      </c>
      <c r="V1887">
        <v>48.71</v>
      </c>
      <c r="W1887">
        <v>32.799999999999997</v>
      </c>
      <c r="X1887" t="s">
        <v>555</v>
      </c>
      <c r="Y1887" t="s">
        <v>547</v>
      </c>
      <c r="Z1887">
        <v>7.64</v>
      </c>
      <c r="AA1887">
        <v>50.12</v>
      </c>
      <c r="AB1887">
        <v>65243</v>
      </c>
      <c r="AC1887">
        <v>87799</v>
      </c>
      <c r="AD1887">
        <v>0.74</v>
      </c>
      <c r="AE1887">
        <v>199</v>
      </c>
      <c r="AF1887">
        <v>235</v>
      </c>
      <c r="AG1887" t="s">
        <v>120</v>
      </c>
      <c r="AH1887">
        <v>0.01</v>
      </c>
      <c r="AI1887" t="s">
        <v>120</v>
      </c>
      <c r="AJ1887">
        <v>5.14</v>
      </c>
      <c r="AK1887" t="s">
        <v>9420</v>
      </c>
      <c r="AL1887">
        <v>5.59</v>
      </c>
      <c r="AM1887">
        <v>4444</v>
      </c>
      <c r="AN1887">
        <v>34</v>
      </c>
      <c r="AO1887">
        <v>6.9999999999999999E-4</v>
      </c>
      <c r="AP1887">
        <v>1</v>
      </c>
      <c r="AQ1887">
        <v>-1.83</v>
      </c>
      <c r="AR1887">
        <v>3.31</v>
      </c>
      <c r="AS1887">
        <v>-8.06</v>
      </c>
      <c r="AT1887">
        <v>-39.22</v>
      </c>
      <c r="AU1887">
        <v>-24.8</v>
      </c>
      <c r="AV1887">
        <v>0</v>
      </c>
      <c r="AW1887">
        <v>3.66</v>
      </c>
      <c r="AX1887">
        <v>51.96</v>
      </c>
      <c r="AY1887">
        <v>37.200000000000003</v>
      </c>
      <c r="AZ1887">
        <v>44.83</v>
      </c>
      <c r="BA1887">
        <v>1.54</v>
      </c>
      <c r="BB1887" t="s">
        <v>134</v>
      </c>
      <c r="BF1887">
        <v>2.89</v>
      </c>
      <c r="BG1887">
        <v>4.58</v>
      </c>
      <c r="BH1887">
        <v>-2.19</v>
      </c>
      <c r="BI1887">
        <v>5.41</v>
      </c>
      <c r="BJ1887">
        <v>20210827</v>
      </c>
      <c r="BK1887">
        <v>20160802</v>
      </c>
      <c r="BL1887">
        <v>8.0500000000000007</v>
      </c>
      <c r="BM1887" t="s">
        <v>120</v>
      </c>
      <c r="BN1887" t="s">
        <v>120</v>
      </c>
      <c r="BO1887">
        <v>44.92</v>
      </c>
      <c r="BP1887">
        <v>50.5</v>
      </c>
      <c r="BQ1887">
        <v>32.03</v>
      </c>
      <c r="BR1887">
        <v>0.25</v>
      </c>
      <c r="BS1887">
        <v>28.15</v>
      </c>
      <c r="BT1887">
        <v>29.81</v>
      </c>
      <c r="BU1887">
        <v>7.08</v>
      </c>
      <c r="BV1887">
        <v>1.02</v>
      </c>
      <c r="BW1887">
        <v>2.94</v>
      </c>
      <c r="BX1887">
        <v>24.38</v>
      </c>
      <c r="BY1887">
        <v>1.48</v>
      </c>
      <c r="BZ1887">
        <v>2.69</v>
      </c>
      <c r="CA1887" t="s">
        <v>120</v>
      </c>
      <c r="CB1887">
        <v>5.34</v>
      </c>
      <c r="CC1887">
        <v>11.88</v>
      </c>
      <c r="CD1887">
        <v>1.75</v>
      </c>
      <c r="CE1887">
        <v>7.31</v>
      </c>
      <c r="CF1887">
        <v>0.12</v>
      </c>
      <c r="CG1887">
        <v>7.29</v>
      </c>
      <c r="CH1887">
        <v>6.19</v>
      </c>
      <c r="CI1887">
        <v>6.2</v>
      </c>
      <c r="CJ1887">
        <v>1.79</v>
      </c>
      <c r="CK1887">
        <v>5.85</v>
      </c>
      <c r="CL1887">
        <v>14.57</v>
      </c>
      <c r="CM1887">
        <v>4.92</v>
      </c>
      <c r="CN1887">
        <v>8.6300000000000008</v>
      </c>
      <c r="CO1887">
        <v>51520</v>
      </c>
      <c r="CP1887">
        <v>8124</v>
      </c>
      <c r="CQ1887" t="s">
        <v>9421</v>
      </c>
      <c r="CR1887">
        <v>40.74</v>
      </c>
      <c r="CS1887">
        <v>36.630000000000003</v>
      </c>
      <c r="CT1887">
        <v>13.18</v>
      </c>
      <c r="CU1887">
        <v>82.62</v>
      </c>
      <c r="CV1887">
        <v>34.229999999999997</v>
      </c>
      <c r="CW1887">
        <v>1.35</v>
      </c>
      <c r="CX1887" t="s">
        <v>3993</v>
      </c>
      <c r="CY1887">
        <v>3.83</v>
      </c>
      <c r="CZ1887">
        <v>3.83</v>
      </c>
      <c r="DA1887">
        <v>0.66</v>
      </c>
      <c r="DB1887">
        <v>1.81</v>
      </c>
      <c r="DC1887">
        <v>0.61</v>
      </c>
      <c r="DD1887">
        <v>71.3</v>
      </c>
      <c r="DE1887" t="s">
        <v>9422</v>
      </c>
      <c r="DF1887">
        <v>85.27</v>
      </c>
      <c r="DG1887">
        <v>61.55</v>
      </c>
      <c r="DH1887">
        <v>52.19</v>
      </c>
      <c r="DI1887">
        <v>0.51</v>
      </c>
      <c r="DJ1887">
        <v>2280</v>
      </c>
      <c r="DK1887">
        <v>300529</v>
      </c>
      <c r="DL1887" t="s">
        <v>120</v>
      </c>
      <c r="DM1887" t="s">
        <v>120</v>
      </c>
      <c r="DN1887" t="s">
        <v>120</v>
      </c>
    </row>
    <row r="1888" spans="1:118">
      <c r="A1888" t="str">
        <f>"300531"</f>
        <v>300531</v>
      </c>
      <c r="B1888" t="s">
        <v>9423</v>
      </c>
      <c r="C1888">
        <v>-7.41</v>
      </c>
      <c r="D1888">
        <v>0</v>
      </c>
      <c r="E1888">
        <v>-1.31</v>
      </c>
      <c r="F1888">
        <v>1143</v>
      </c>
      <c r="G1888" t="s">
        <v>9424</v>
      </c>
      <c r="H1888">
        <v>20844.05</v>
      </c>
      <c r="I1888">
        <v>203.16</v>
      </c>
      <c r="J1888" t="s">
        <v>120</v>
      </c>
      <c r="K1888" t="s">
        <v>9425</v>
      </c>
      <c r="L1888">
        <v>4.12</v>
      </c>
      <c r="M1888">
        <v>16.25</v>
      </c>
      <c r="N1888">
        <v>1.59</v>
      </c>
      <c r="O1888">
        <v>-0.11</v>
      </c>
      <c r="P1888">
        <v>17.53</v>
      </c>
      <c r="Q1888">
        <v>-9.23</v>
      </c>
      <c r="R1888">
        <v>15.93</v>
      </c>
      <c r="S1888">
        <v>17.32</v>
      </c>
      <c r="T1888">
        <v>125425</v>
      </c>
      <c r="U1888">
        <v>16.25</v>
      </c>
      <c r="V1888">
        <v>17.55</v>
      </c>
      <c r="W1888">
        <v>32.450000000000003</v>
      </c>
      <c r="X1888" t="s">
        <v>141</v>
      </c>
      <c r="Y1888" t="s">
        <v>123</v>
      </c>
      <c r="Z1888">
        <v>9.1199999999999992</v>
      </c>
      <c r="AA1888">
        <v>16.62</v>
      </c>
      <c r="AB1888">
        <v>76963</v>
      </c>
      <c r="AC1888">
        <v>48462</v>
      </c>
      <c r="AD1888">
        <v>1.59</v>
      </c>
      <c r="AE1888">
        <v>413</v>
      </c>
      <c r="AF1888">
        <v>399</v>
      </c>
      <c r="AG1888" t="s">
        <v>120</v>
      </c>
      <c r="AH1888">
        <v>7.0000000000000007E-2</v>
      </c>
      <c r="AI1888" t="s">
        <v>120</v>
      </c>
      <c r="AJ1888">
        <v>3.04</v>
      </c>
      <c r="AK1888" t="s">
        <v>7352</v>
      </c>
      <c r="AL1888">
        <v>-5.49</v>
      </c>
      <c r="AM1888">
        <v>3100</v>
      </c>
      <c r="AN1888">
        <v>40</v>
      </c>
      <c r="AO1888">
        <v>1.2999999999999999E-3</v>
      </c>
      <c r="AP1888">
        <v>-1</v>
      </c>
      <c r="AQ1888">
        <v>6.43</v>
      </c>
      <c r="AR1888">
        <v>-2.52</v>
      </c>
      <c r="AS1888">
        <v>4.6399999999999997</v>
      </c>
      <c r="AT1888">
        <v>10.11</v>
      </c>
      <c r="AU1888">
        <v>1.9</v>
      </c>
      <c r="AV1888">
        <v>0</v>
      </c>
      <c r="AW1888">
        <v>7.73</v>
      </c>
      <c r="AX1888">
        <v>48.99</v>
      </c>
      <c r="AY1888">
        <v>46.2</v>
      </c>
      <c r="AZ1888">
        <v>48.75</v>
      </c>
      <c r="BA1888">
        <v>0.68</v>
      </c>
      <c r="BB1888" t="s">
        <v>143</v>
      </c>
      <c r="BF1888">
        <v>-5.31</v>
      </c>
      <c r="BG1888">
        <v>-6.18</v>
      </c>
      <c r="BH1888">
        <v>-7.3</v>
      </c>
      <c r="BI1888">
        <v>2.0099999999999998</v>
      </c>
      <c r="BJ1888">
        <v>20210913</v>
      </c>
      <c r="BK1888">
        <v>20160809</v>
      </c>
      <c r="BL1888">
        <v>3.31</v>
      </c>
      <c r="BM1888" t="s">
        <v>120</v>
      </c>
      <c r="BN1888" t="s">
        <v>120</v>
      </c>
      <c r="BO1888">
        <v>22</v>
      </c>
      <c r="BP1888">
        <v>16.239999999999998</v>
      </c>
      <c r="BQ1888">
        <v>16.11</v>
      </c>
      <c r="BR1888">
        <v>0.24</v>
      </c>
      <c r="BS1888">
        <v>25.68</v>
      </c>
      <c r="BT1888">
        <v>14.83</v>
      </c>
      <c r="BU1888">
        <v>0.9</v>
      </c>
      <c r="BV1888">
        <v>0.22</v>
      </c>
      <c r="BW1888">
        <v>5.43</v>
      </c>
      <c r="BX1888">
        <v>7.15</v>
      </c>
      <c r="BY1888">
        <v>3.48</v>
      </c>
      <c r="BZ1888">
        <v>2.86</v>
      </c>
      <c r="CA1888" t="s">
        <v>120</v>
      </c>
      <c r="CB1888">
        <v>7.06</v>
      </c>
      <c r="CC1888">
        <v>6.22</v>
      </c>
      <c r="CD1888">
        <v>4.29</v>
      </c>
      <c r="CE1888">
        <v>0.96</v>
      </c>
      <c r="CF1888">
        <v>0.02</v>
      </c>
      <c r="CG1888">
        <v>0.93</v>
      </c>
      <c r="CH1888">
        <v>0.83</v>
      </c>
      <c r="CI1888">
        <v>0.83</v>
      </c>
      <c r="CJ1888">
        <v>-1.3</v>
      </c>
      <c r="CK1888">
        <v>0.74</v>
      </c>
      <c r="CL1888">
        <v>6.13</v>
      </c>
      <c r="CM1888">
        <v>-0.51</v>
      </c>
      <c r="CN1888">
        <v>0.32</v>
      </c>
      <c r="CO1888">
        <v>23804</v>
      </c>
      <c r="CP1888">
        <v>6813</v>
      </c>
      <c r="CQ1888" t="s">
        <v>9426</v>
      </c>
      <c r="CR1888">
        <v>8.6300000000000008</v>
      </c>
      <c r="CS1888">
        <v>29.77</v>
      </c>
      <c r="CT1888">
        <v>3.34</v>
      </c>
      <c r="CU1888">
        <v>-105.13</v>
      </c>
      <c r="CV1888">
        <v>8.64</v>
      </c>
      <c r="CW1888">
        <v>0.18</v>
      </c>
      <c r="CX1888" t="s">
        <v>863</v>
      </c>
      <c r="CY1888">
        <v>4.87</v>
      </c>
      <c r="CZ1888">
        <v>0</v>
      </c>
      <c r="DA1888">
        <v>2.13</v>
      </c>
      <c r="DB1888">
        <v>1.85</v>
      </c>
      <c r="DC1888">
        <v>-0.15</v>
      </c>
      <c r="DD1888">
        <v>73.23</v>
      </c>
      <c r="DE1888" t="s">
        <v>9427</v>
      </c>
      <c r="DF1888">
        <v>31.08</v>
      </c>
      <c r="DG1888">
        <v>15.4</v>
      </c>
      <c r="DH1888">
        <v>13.32</v>
      </c>
      <c r="DI1888">
        <v>0.5</v>
      </c>
      <c r="DJ1888">
        <v>1273</v>
      </c>
      <c r="DK1888">
        <v>300531</v>
      </c>
      <c r="DL1888" t="s">
        <v>120</v>
      </c>
      <c r="DM1888" t="s">
        <v>120</v>
      </c>
      <c r="DN1888" t="s">
        <v>120</v>
      </c>
    </row>
    <row r="1889" spans="1:118">
      <c r="A1889" t="str">
        <f>"300532"</f>
        <v>300532</v>
      </c>
      <c r="B1889" t="s">
        <v>9428</v>
      </c>
      <c r="C1889">
        <v>-8.83</v>
      </c>
      <c r="D1889">
        <v>-0.27</v>
      </c>
      <c r="E1889">
        <v>-1.54</v>
      </c>
      <c r="F1889">
        <v>1006</v>
      </c>
      <c r="G1889" t="s">
        <v>5637</v>
      </c>
      <c r="H1889">
        <v>13068.15</v>
      </c>
      <c r="I1889">
        <v>146.04</v>
      </c>
      <c r="J1889" t="s">
        <v>120</v>
      </c>
      <c r="K1889" t="s">
        <v>9429</v>
      </c>
      <c r="L1889">
        <v>7.22</v>
      </c>
      <c r="M1889">
        <v>10.64</v>
      </c>
      <c r="N1889">
        <v>1.64</v>
      </c>
      <c r="O1889">
        <v>-1.54</v>
      </c>
      <c r="P1889">
        <v>11.49</v>
      </c>
      <c r="Q1889">
        <v>-9.08</v>
      </c>
      <c r="R1889">
        <v>10.61</v>
      </c>
      <c r="S1889">
        <v>11.49</v>
      </c>
      <c r="T1889">
        <v>118059</v>
      </c>
      <c r="U1889">
        <v>10.65</v>
      </c>
      <c r="V1889">
        <v>11.67</v>
      </c>
      <c r="W1889">
        <v>37.26</v>
      </c>
      <c r="X1889" t="s">
        <v>141</v>
      </c>
      <c r="Y1889" t="s">
        <v>123</v>
      </c>
      <c r="Z1889">
        <v>7.54</v>
      </c>
      <c r="AA1889">
        <v>11.07</v>
      </c>
      <c r="AB1889">
        <v>74488</v>
      </c>
      <c r="AC1889">
        <v>43571</v>
      </c>
      <c r="AD1889">
        <v>1.71</v>
      </c>
      <c r="AE1889">
        <v>78</v>
      </c>
      <c r="AF1889">
        <v>635</v>
      </c>
      <c r="AG1889" t="s">
        <v>120</v>
      </c>
      <c r="AH1889">
        <v>0.11</v>
      </c>
      <c r="AI1889" t="s">
        <v>120</v>
      </c>
      <c r="AJ1889">
        <v>1.64</v>
      </c>
      <c r="AK1889" t="s">
        <v>5521</v>
      </c>
      <c r="AL1889">
        <v>-6.91</v>
      </c>
      <c r="AM1889">
        <v>2650</v>
      </c>
      <c r="AN1889">
        <v>45</v>
      </c>
      <c r="AO1889">
        <v>2.7000000000000001E-3</v>
      </c>
      <c r="AP1889">
        <v>-1</v>
      </c>
      <c r="AQ1889">
        <v>3.09</v>
      </c>
      <c r="AR1889">
        <v>-3.27</v>
      </c>
      <c r="AS1889">
        <v>-8.59</v>
      </c>
      <c r="AT1889">
        <v>23.72</v>
      </c>
      <c r="AU1889">
        <v>8.8000000000000007</v>
      </c>
      <c r="AV1889">
        <v>1</v>
      </c>
      <c r="AW1889">
        <v>9.9600000000000009</v>
      </c>
      <c r="AX1889">
        <v>43.4</v>
      </c>
      <c r="AY1889">
        <v>62.68</v>
      </c>
      <c r="AZ1889">
        <v>52.71</v>
      </c>
      <c r="BA1889">
        <v>1</v>
      </c>
      <c r="BB1889" t="s">
        <v>168</v>
      </c>
      <c r="BF1889">
        <v>-5.15</v>
      </c>
      <c r="BG1889">
        <v>-7.4</v>
      </c>
      <c r="BH1889">
        <v>-7.4</v>
      </c>
      <c r="BI1889">
        <v>0.28000000000000003</v>
      </c>
      <c r="BJ1889">
        <v>20210824</v>
      </c>
      <c r="BK1889">
        <v>20160818</v>
      </c>
      <c r="BL1889">
        <v>2.73</v>
      </c>
      <c r="BM1889" t="s">
        <v>120</v>
      </c>
      <c r="BN1889" t="s">
        <v>120</v>
      </c>
      <c r="BO1889">
        <v>25.76</v>
      </c>
      <c r="BP1889">
        <v>10.64</v>
      </c>
      <c r="BQ1889">
        <v>8.69</v>
      </c>
      <c r="BR1889" t="s">
        <v>120</v>
      </c>
      <c r="BS1889">
        <v>66.25</v>
      </c>
      <c r="BT1889">
        <v>22.61</v>
      </c>
      <c r="BU1889">
        <v>1.88</v>
      </c>
      <c r="BV1889">
        <v>0.2</v>
      </c>
      <c r="BW1889">
        <v>14.19</v>
      </c>
      <c r="BX1889">
        <v>6.75</v>
      </c>
      <c r="BY1889">
        <v>4.8600000000000003</v>
      </c>
      <c r="BZ1889">
        <v>2.5</v>
      </c>
      <c r="CA1889" t="s">
        <v>120</v>
      </c>
      <c r="CB1889">
        <v>1.85</v>
      </c>
      <c r="CC1889">
        <v>5.98</v>
      </c>
      <c r="CD1889">
        <v>4.4400000000000004</v>
      </c>
      <c r="CE1889">
        <v>0.43</v>
      </c>
      <c r="CF1889">
        <v>0.04</v>
      </c>
      <c r="CG1889">
        <v>0.43</v>
      </c>
      <c r="CH1889">
        <v>0.39</v>
      </c>
      <c r="CI1889">
        <v>0.39</v>
      </c>
      <c r="CJ1889">
        <v>-1.03</v>
      </c>
      <c r="CK1889">
        <v>0.33</v>
      </c>
      <c r="CL1889">
        <v>3.18</v>
      </c>
      <c r="CM1889">
        <v>-0.13</v>
      </c>
      <c r="CN1889">
        <v>-1.25</v>
      </c>
      <c r="CO1889">
        <v>15575</v>
      </c>
      <c r="CP1889">
        <v>7613</v>
      </c>
      <c r="CQ1889" t="s">
        <v>1104</v>
      </c>
      <c r="CR1889">
        <v>-19.78</v>
      </c>
      <c r="CS1889">
        <v>65.27</v>
      </c>
      <c r="CT1889">
        <v>3.51</v>
      </c>
      <c r="CU1889">
        <v>-215.56</v>
      </c>
      <c r="CV1889">
        <v>4.8600000000000003</v>
      </c>
      <c r="CW1889">
        <v>0.86</v>
      </c>
      <c r="CX1889" t="s">
        <v>300</v>
      </c>
      <c r="CY1889">
        <v>3.03</v>
      </c>
      <c r="CZ1889">
        <v>3.03</v>
      </c>
      <c r="DA1889">
        <v>0.68</v>
      </c>
      <c r="DB1889">
        <v>1.17</v>
      </c>
      <c r="DC1889">
        <v>-0.05</v>
      </c>
      <c r="DD1889">
        <v>33.75</v>
      </c>
      <c r="DE1889" t="s">
        <v>4105</v>
      </c>
      <c r="DF1889">
        <v>25.7</v>
      </c>
      <c r="DG1889">
        <v>7.13</v>
      </c>
      <c r="DH1889">
        <v>6.53</v>
      </c>
      <c r="DI1889">
        <v>0.32</v>
      </c>
      <c r="DJ1889">
        <v>551</v>
      </c>
      <c r="DK1889">
        <v>300532</v>
      </c>
      <c r="DL1889" t="s">
        <v>120</v>
      </c>
      <c r="DM1889" t="s">
        <v>120</v>
      </c>
      <c r="DN1889" t="s">
        <v>120</v>
      </c>
    </row>
    <row r="1890" spans="1:118">
      <c r="A1890" t="str">
        <f>"300533"</f>
        <v>300533</v>
      </c>
      <c r="B1890" t="s">
        <v>9430</v>
      </c>
      <c r="C1890">
        <v>-0.95</v>
      </c>
      <c r="D1890">
        <v>0</v>
      </c>
      <c r="E1890">
        <v>0</v>
      </c>
      <c r="F1890">
        <v>76</v>
      </c>
      <c r="G1890" t="s">
        <v>6649</v>
      </c>
      <c r="H1890">
        <v>2112.4499999999998</v>
      </c>
      <c r="I1890">
        <v>4.7</v>
      </c>
      <c r="J1890" t="s">
        <v>120</v>
      </c>
      <c r="K1890" t="s">
        <v>9431</v>
      </c>
      <c r="L1890">
        <v>1.25</v>
      </c>
      <c r="M1890">
        <v>16.61</v>
      </c>
      <c r="N1890">
        <v>0.66</v>
      </c>
      <c r="O1890">
        <v>1.97</v>
      </c>
      <c r="P1890">
        <v>17.100000000000001</v>
      </c>
      <c r="Q1890">
        <v>-1.49</v>
      </c>
      <c r="R1890">
        <v>16.52</v>
      </c>
      <c r="S1890">
        <v>16.77</v>
      </c>
      <c r="T1890">
        <v>12584</v>
      </c>
      <c r="U1890">
        <v>16.61</v>
      </c>
      <c r="V1890">
        <v>16.77</v>
      </c>
      <c r="W1890">
        <v>186.73</v>
      </c>
      <c r="X1890" t="s">
        <v>141</v>
      </c>
      <c r="Y1890" t="s">
        <v>123</v>
      </c>
      <c r="Z1890">
        <v>3.46</v>
      </c>
      <c r="AA1890">
        <v>16.79</v>
      </c>
      <c r="AB1890">
        <v>7393</v>
      </c>
      <c r="AC1890">
        <v>5191</v>
      </c>
      <c r="AD1890">
        <v>1.42</v>
      </c>
      <c r="AE1890">
        <v>30</v>
      </c>
      <c r="AF1890">
        <v>34</v>
      </c>
      <c r="AG1890" t="s">
        <v>120</v>
      </c>
      <c r="AH1890">
        <v>0</v>
      </c>
      <c r="AI1890" t="s">
        <v>120</v>
      </c>
      <c r="AJ1890">
        <v>1</v>
      </c>
      <c r="AK1890" t="s">
        <v>4702</v>
      </c>
      <c r="AL1890">
        <v>0.96</v>
      </c>
      <c r="AM1890">
        <v>861</v>
      </c>
      <c r="AN1890">
        <v>15</v>
      </c>
      <c r="AO1890">
        <v>1.5E-3</v>
      </c>
      <c r="AP1890">
        <v>-1</v>
      </c>
      <c r="AQ1890">
        <v>0.66</v>
      </c>
      <c r="AR1890">
        <v>-2.52</v>
      </c>
      <c r="AS1890">
        <v>-3.37</v>
      </c>
      <c r="AT1890">
        <v>-16.78</v>
      </c>
      <c r="AU1890">
        <v>-32</v>
      </c>
      <c r="AV1890">
        <v>0</v>
      </c>
      <c r="AW1890">
        <v>1.49</v>
      </c>
      <c r="AX1890">
        <v>56.17</v>
      </c>
      <c r="AY1890" t="s">
        <v>120</v>
      </c>
      <c r="AZ1890">
        <v>29.51</v>
      </c>
      <c r="BA1890">
        <v>0.6</v>
      </c>
      <c r="BB1890" t="s">
        <v>143</v>
      </c>
      <c r="BF1890">
        <v>0.1</v>
      </c>
      <c r="BG1890">
        <v>-0.95</v>
      </c>
      <c r="BH1890">
        <v>-2.87</v>
      </c>
      <c r="BI1890">
        <v>0.54</v>
      </c>
      <c r="BJ1890">
        <v>20210828</v>
      </c>
      <c r="BK1890">
        <v>20160818</v>
      </c>
      <c r="BL1890">
        <v>1.51</v>
      </c>
      <c r="BM1890" t="s">
        <v>120</v>
      </c>
      <c r="BN1890" t="s">
        <v>120</v>
      </c>
      <c r="BO1890">
        <v>19.47</v>
      </c>
      <c r="BP1890">
        <v>16.600000000000001</v>
      </c>
      <c r="BQ1890">
        <v>17.02</v>
      </c>
      <c r="BR1890">
        <v>-7.0000000000000007E-2</v>
      </c>
      <c r="BS1890">
        <v>12.96</v>
      </c>
      <c r="BT1890">
        <v>18.190000000000001</v>
      </c>
      <c r="BU1890">
        <v>7.0000000000000007E-2</v>
      </c>
      <c r="BV1890">
        <v>0.01</v>
      </c>
      <c r="BW1890">
        <v>2.29</v>
      </c>
      <c r="BX1890">
        <v>4.34</v>
      </c>
      <c r="BY1890">
        <v>0</v>
      </c>
      <c r="BZ1890">
        <v>0.51</v>
      </c>
      <c r="CA1890">
        <v>7.0000000000000007E-2</v>
      </c>
      <c r="CB1890">
        <v>8.58</v>
      </c>
      <c r="CC1890">
        <v>2.19</v>
      </c>
      <c r="CD1890">
        <v>0.22</v>
      </c>
      <c r="CE1890">
        <v>0.03</v>
      </c>
      <c r="CF1890">
        <v>0.17</v>
      </c>
      <c r="CG1890">
        <v>0.03</v>
      </c>
      <c r="CH1890">
        <v>0.08</v>
      </c>
      <c r="CI1890">
        <v>7.0000000000000007E-2</v>
      </c>
      <c r="CJ1890">
        <v>-0.16</v>
      </c>
      <c r="CK1890">
        <v>-0.19</v>
      </c>
      <c r="CL1890">
        <v>6.39</v>
      </c>
      <c r="CM1890">
        <v>-0.28000000000000003</v>
      </c>
      <c r="CN1890">
        <v>-0.39</v>
      </c>
      <c r="CO1890">
        <v>16576</v>
      </c>
      <c r="CP1890">
        <v>5111</v>
      </c>
      <c r="CQ1890" t="s">
        <v>3584</v>
      </c>
      <c r="CR1890">
        <v>-92.87</v>
      </c>
      <c r="CS1890">
        <v>6.06</v>
      </c>
      <c r="CT1890">
        <v>1.47</v>
      </c>
      <c r="CU1890">
        <v>-90.16</v>
      </c>
      <c r="CV1890">
        <v>11.47</v>
      </c>
      <c r="CW1890">
        <v>1.49</v>
      </c>
      <c r="CX1890" t="s">
        <v>145</v>
      </c>
      <c r="CY1890">
        <v>11.29</v>
      </c>
      <c r="CZ1890">
        <v>0</v>
      </c>
      <c r="DA1890">
        <v>5.69</v>
      </c>
      <c r="DB1890">
        <v>4.24</v>
      </c>
      <c r="DC1890">
        <v>-0.18</v>
      </c>
      <c r="DD1890">
        <v>87.42</v>
      </c>
      <c r="DE1890" t="s">
        <v>9432</v>
      </c>
      <c r="DF1890">
        <v>89.95</v>
      </c>
      <c r="DG1890">
        <v>1.59</v>
      </c>
      <c r="DH1890">
        <v>3.07</v>
      </c>
      <c r="DI1890">
        <v>0.77</v>
      </c>
      <c r="DJ1890">
        <v>916</v>
      </c>
      <c r="DK1890">
        <v>300533</v>
      </c>
      <c r="DL1890" t="s">
        <v>120</v>
      </c>
      <c r="DM1890" t="s">
        <v>120</v>
      </c>
      <c r="DN1890" t="s">
        <v>120</v>
      </c>
    </row>
    <row r="1891" spans="1:118">
      <c r="A1891" t="str">
        <f>"300534"</f>
        <v>300534</v>
      </c>
      <c r="B1891" t="s">
        <v>9433</v>
      </c>
      <c r="C1891">
        <v>-0.87</v>
      </c>
      <c r="D1891">
        <v>0</v>
      </c>
      <c r="E1891">
        <v>-1.44</v>
      </c>
      <c r="F1891">
        <v>1012</v>
      </c>
      <c r="G1891" t="s">
        <v>2042</v>
      </c>
      <c r="H1891">
        <v>6426.24</v>
      </c>
      <c r="I1891">
        <v>5.94</v>
      </c>
      <c r="J1891" t="s">
        <v>120</v>
      </c>
      <c r="K1891" t="s">
        <v>9434</v>
      </c>
      <c r="L1891">
        <v>3.05</v>
      </c>
      <c r="M1891">
        <v>6.87</v>
      </c>
      <c r="N1891">
        <v>1.03</v>
      </c>
      <c r="O1891">
        <v>2.74</v>
      </c>
      <c r="P1891">
        <v>7.12</v>
      </c>
      <c r="Q1891">
        <v>-1.44</v>
      </c>
      <c r="R1891">
        <v>6.83</v>
      </c>
      <c r="S1891">
        <v>6.83</v>
      </c>
      <c r="T1891">
        <v>91694</v>
      </c>
      <c r="U1891">
        <v>6.88</v>
      </c>
      <c r="V1891">
        <v>6.93</v>
      </c>
      <c r="W1891">
        <v>3550.22</v>
      </c>
      <c r="X1891" t="s">
        <v>771</v>
      </c>
      <c r="Y1891" t="s">
        <v>1082</v>
      </c>
      <c r="Z1891">
        <v>4.18</v>
      </c>
      <c r="AA1891">
        <v>7.01</v>
      </c>
      <c r="AB1891">
        <v>43052</v>
      </c>
      <c r="AC1891">
        <v>48642</v>
      </c>
      <c r="AD1891">
        <v>0.89</v>
      </c>
      <c r="AE1891">
        <v>251</v>
      </c>
      <c r="AF1891">
        <v>78</v>
      </c>
      <c r="AG1891" t="s">
        <v>120</v>
      </c>
      <c r="AH1891">
        <v>0</v>
      </c>
      <c r="AI1891" t="s">
        <v>120</v>
      </c>
      <c r="AJ1891">
        <v>3.01</v>
      </c>
      <c r="AK1891" t="s">
        <v>8617</v>
      </c>
      <c r="AL1891">
        <v>1.05</v>
      </c>
      <c r="AM1891">
        <v>1693</v>
      </c>
      <c r="AN1891">
        <v>54</v>
      </c>
      <c r="AO1891">
        <v>1.8E-3</v>
      </c>
      <c r="AP1891">
        <v>-1</v>
      </c>
      <c r="AQ1891">
        <v>0.14000000000000001</v>
      </c>
      <c r="AR1891">
        <v>-1.44</v>
      </c>
      <c r="AS1891">
        <v>-4.9800000000000004</v>
      </c>
      <c r="AT1891">
        <v>17.239999999999998</v>
      </c>
      <c r="AU1891">
        <v>18.649999999999999</v>
      </c>
      <c r="AV1891">
        <v>0</v>
      </c>
      <c r="AW1891">
        <v>4.8600000000000003</v>
      </c>
      <c r="AX1891">
        <v>62.16</v>
      </c>
      <c r="AY1891">
        <v>165.98</v>
      </c>
      <c r="AZ1891">
        <v>1148.03</v>
      </c>
      <c r="BA1891">
        <v>0.57999999999999996</v>
      </c>
      <c r="BB1891" t="s">
        <v>125</v>
      </c>
      <c r="BF1891">
        <v>1.1299999999999999</v>
      </c>
      <c r="BG1891">
        <v>0.59</v>
      </c>
      <c r="BH1891">
        <v>-3.51</v>
      </c>
      <c r="BI1891">
        <v>0.59</v>
      </c>
      <c r="BJ1891">
        <v>20210913</v>
      </c>
      <c r="BK1891">
        <v>20160913</v>
      </c>
      <c r="BL1891">
        <v>3.03</v>
      </c>
      <c r="BM1891" t="s">
        <v>120</v>
      </c>
      <c r="BN1891" t="s">
        <v>120</v>
      </c>
      <c r="BO1891">
        <v>8.15</v>
      </c>
      <c r="BP1891">
        <v>6.87</v>
      </c>
      <c r="BQ1891">
        <v>7.3</v>
      </c>
      <c r="BR1891">
        <v>0.1</v>
      </c>
      <c r="BS1891">
        <v>9.23</v>
      </c>
      <c r="BT1891">
        <v>2.94</v>
      </c>
      <c r="BU1891">
        <v>2.66</v>
      </c>
      <c r="BV1891">
        <v>0.51</v>
      </c>
      <c r="BW1891">
        <v>0.53</v>
      </c>
      <c r="BX1891">
        <v>0.5</v>
      </c>
      <c r="BY1891">
        <v>0.62</v>
      </c>
      <c r="BZ1891">
        <v>1.36</v>
      </c>
      <c r="CA1891">
        <v>0</v>
      </c>
      <c r="CB1891">
        <v>2.31</v>
      </c>
      <c r="CC1891">
        <v>1.08</v>
      </c>
      <c r="CD1891">
        <v>0.77</v>
      </c>
      <c r="CE1891">
        <v>-0.04</v>
      </c>
      <c r="CF1891">
        <v>0.01</v>
      </c>
      <c r="CG1891">
        <v>0.01</v>
      </c>
      <c r="CH1891">
        <v>0.01</v>
      </c>
      <c r="CI1891">
        <v>0</v>
      </c>
      <c r="CJ1891">
        <v>-0.06</v>
      </c>
      <c r="CK1891">
        <v>-0.06</v>
      </c>
      <c r="CL1891">
        <v>1.66</v>
      </c>
      <c r="CM1891">
        <v>0.16</v>
      </c>
      <c r="CN1891">
        <v>-0.68</v>
      </c>
      <c r="CO1891">
        <v>19977</v>
      </c>
      <c r="CP1891">
        <v>9439</v>
      </c>
      <c r="CQ1891" t="s">
        <v>2340</v>
      </c>
      <c r="CR1891">
        <v>102.78</v>
      </c>
      <c r="CS1891">
        <v>12.77</v>
      </c>
      <c r="CT1891">
        <v>2.86</v>
      </c>
      <c r="CU1891">
        <v>128.66</v>
      </c>
      <c r="CV1891">
        <v>19.350000000000001</v>
      </c>
      <c r="CW1891">
        <v>0</v>
      </c>
      <c r="CX1891" t="s">
        <v>1415</v>
      </c>
      <c r="CY1891">
        <v>2.41</v>
      </c>
      <c r="CZ1891">
        <v>0</v>
      </c>
      <c r="DA1891">
        <v>0.76</v>
      </c>
      <c r="DB1891">
        <v>0.55000000000000004</v>
      </c>
      <c r="DC1891">
        <v>0.05</v>
      </c>
      <c r="DD1891">
        <v>89.49</v>
      </c>
      <c r="DE1891" t="s">
        <v>1696</v>
      </c>
      <c r="DF1891">
        <v>28.04</v>
      </c>
      <c r="DG1891">
        <v>-3.36</v>
      </c>
      <c r="DH1891">
        <v>0.27</v>
      </c>
      <c r="DI1891">
        <v>0.03</v>
      </c>
      <c r="DJ1891">
        <v>298</v>
      </c>
      <c r="DK1891">
        <v>300534</v>
      </c>
      <c r="DL1891" t="s">
        <v>120</v>
      </c>
      <c r="DM1891" t="s">
        <v>120</v>
      </c>
      <c r="DN1891" t="s">
        <v>120</v>
      </c>
    </row>
    <row r="1892" spans="1:118">
      <c r="A1892" t="str">
        <f>"300535"</f>
        <v>300535</v>
      </c>
      <c r="B1892" t="s">
        <v>9435</v>
      </c>
      <c r="C1892">
        <v>-1.51</v>
      </c>
      <c r="D1892">
        <v>-0.18</v>
      </c>
      <c r="E1892">
        <v>0</v>
      </c>
      <c r="F1892">
        <v>135</v>
      </c>
      <c r="G1892" t="s">
        <v>9436</v>
      </c>
      <c r="H1892">
        <v>3674.99</v>
      </c>
      <c r="I1892">
        <v>6.34</v>
      </c>
      <c r="J1892" t="s">
        <v>120</v>
      </c>
      <c r="K1892" t="s">
        <v>9437</v>
      </c>
      <c r="L1892">
        <v>2.74</v>
      </c>
      <c r="M1892">
        <v>15.61</v>
      </c>
      <c r="N1892">
        <v>1.26</v>
      </c>
      <c r="O1892">
        <v>2.84</v>
      </c>
      <c r="P1892">
        <v>16.3</v>
      </c>
      <c r="Q1892">
        <v>-1.51</v>
      </c>
      <c r="R1892">
        <v>15.61</v>
      </c>
      <c r="S1892">
        <v>15.85</v>
      </c>
      <c r="T1892">
        <v>23017</v>
      </c>
      <c r="U1892">
        <v>15.62</v>
      </c>
      <c r="V1892">
        <v>15.85</v>
      </c>
      <c r="W1892">
        <v>24.79</v>
      </c>
      <c r="X1892" t="s">
        <v>868</v>
      </c>
      <c r="Y1892" t="s">
        <v>578</v>
      </c>
      <c r="Z1892">
        <v>4.3499999999999996</v>
      </c>
      <c r="AA1892">
        <v>15.97</v>
      </c>
      <c r="AB1892">
        <v>12123</v>
      </c>
      <c r="AC1892">
        <v>10894</v>
      </c>
      <c r="AD1892">
        <v>1.1100000000000001</v>
      </c>
      <c r="AE1892">
        <v>47</v>
      </c>
      <c r="AF1892">
        <v>155</v>
      </c>
      <c r="AG1892" t="s">
        <v>120</v>
      </c>
      <c r="AH1892">
        <v>0.01</v>
      </c>
      <c r="AI1892" t="s">
        <v>120</v>
      </c>
      <c r="AJ1892">
        <v>0.84</v>
      </c>
      <c r="AK1892" t="s">
        <v>9438</v>
      </c>
      <c r="AL1892">
        <v>0.4</v>
      </c>
      <c r="AM1892">
        <v>1432</v>
      </c>
      <c r="AN1892">
        <v>16</v>
      </c>
      <c r="AO1892">
        <v>1.9E-3</v>
      </c>
      <c r="AP1892">
        <v>-1</v>
      </c>
      <c r="AQ1892">
        <v>0.63</v>
      </c>
      <c r="AR1892">
        <v>0.7</v>
      </c>
      <c r="AS1892">
        <v>-0.19</v>
      </c>
      <c r="AT1892">
        <v>12.14</v>
      </c>
      <c r="AU1892">
        <v>11.82</v>
      </c>
      <c r="AV1892">
        <v>0</v>
      </c>
      <c r="AW1892">
        <v>4.09</v>
      </c>
      <c r="AX1892">
        <v>54.17</v>
      </c>
      <c r="AY1892">
        <v>19.149999999999999</v>
      </c>
      <c r="AZ1892">
        <v>28.87</v>
      </c>
      <c r="BA1892">
        <v>0.8</v>
      </c>
      <c r="BB1892" t="s">
        <v>143</v>
      </c>
      <c r="BF1892">
        <v>0.73</v>
      </c>
      <c r="BG1892">
        <v>-1.51</v>
      </c>
      <c r="BH1892">
        <v>-4.2300000000000004</v>
      </c>
      <c r="BI1892">
        <v>0</v>
      </c>
      <c r="BJ1892">
        <v>20210903</v>
      </c>
      <c r="BK1892">
        <v>20160812</v>
      </c>
      <c r="BL1892">
        <v>1.04</v>
      </c>
      <c r="BM1892" t="s">
        <v>120</v>
      </c>
      <c r="BN1892" t="s">
        <v>120</v>
      </c>
      <c r="BO1892">
        <v>11.92</v>
      </c>
      <c r="BP1892">
        <v>15.61</v>
      </c>
      <c r="BQ1892">
        <v>8.61</v>
      </c>
      <c r="BR1892">
        <v>0.56000000000000005</v>
      </c>
      <c r="BS1892">
        <v>23.03</v>
      </c>
      <c r="BT1892">
        <v>5.87</v>
      </c>
      <c r="BU1892">
        <v>4.1500000000000004</v>
      </c>
      <c r="BV1892">
        <v>0.48</v>
      </c>
      <c r="BW1892">
        <v>2.69</v>
      </c>
      <c r="BX1892">
        <v>0.33</v>
      </c>
      <c r="BY1892">
        <v>2</v>
      </c>
      <c r="BZ1892">
        <v>2.16</v>
      </c>
      <c r="CA1892" t="s">
        <v>120</v>
      </c>
      <c r="CB1892">
        <v>3.48</v>
      </c>
      <c r="CC1892">
        <v>3</v>
      </c>
      <c r="CD1892">
        <v>1.9</v>
      </c>
      <c r="CE1892">
        <v>0.36</v>
      </c>
      <c r="CF1892">
        <v>0</v>
      </c>
      <c r="CG1892">
        <v>0.36</v>
      </c>
      <c r="CH1892">
        <v>0.32</v>
      </c>
      <c r="CI1892">
        <v>0.33</v>
      </c>
      <c r="CJ1892">
        <v>-0.24</v>
      </c>
      <c r="CK1892">
        <v>0.31</v>
      </c>
      <c r="CL1892">
        <v>3.83</v>
      </c>
      <c r="CM1892">
        <v>-0.01</v>
      </c>
      <c r="CN1892">
        <v>-0.25</v>
      </c>
      <c r="CO1892">
        <v>9061</v>
      </c>
      <c r="CP1892">
        <v>6209</v>
      </c>
      <c r="CQ1892" t="s">
        <v>3714</v>
      </c>
      <c r="CR1892">
        <v>767.02</v>
      </c>
      <c r="CS1892">
        <v>106.74</v>
      </c>
      <c r="CT1892">
        <v>1.89</v>
      </c>
      <c r="CU1892">
        <v>-2094.4</v>
      </c>
      <c r="CV1892">
        <v>5.4</v>
      </c>
      <c r="CW1892">
        <v>0.56999999999999995</v>
      </c>
      <c r="CX1892" t="s">
        <v>2752</v>
      </c>
      <c r="CY1892">
        <v>8.26</v>
      </c>
      <c r="CZ1892">
        <v>8.26</v>
      </c>
      <c r="DA1892">
        <v>3.35</v>
      </c>
      <c r="DB1892">
        <v>3.68</v>
      </c>
      <c r="DC1892">
        <v>-0.01</v>
      </c>
      <c r="DD1892">
        <v>72.27</v>
      </c>
      <c r="DE1892" t="s">
        <v>8945</v>
      </c>
      <c r="DF1892">
        <v>36.68</v>
      </c>
      <c r="DG1892">
        <v>12.04</v>
      </c>
      <c r="DH1892">
        <v>10.9</v>
      </c>
      <c r="DI1892">
        <v>0.19</v>
      </c>
      <c r="DJ1892">
        <v>785</v>
      </c>
      <c r="DK1892">
        <v>300535</v>
      </c>
      <c r="DL1892" t="s">
        <v>120</v>
      </c>
      <c r="DM1892" t="s">
        <v>120</v>
      </c>
      <c r="DN1892" t="s">
        <v>120</v>
      </c>
    </row>
    <row r="1893" spans="1:118">
      <c r="A1893" t="str">
        <f>"300536"</f>
        <v>300536</v>
      </c>
      <c r="B1893" t="s">
        <v>9439</v>
      </c>
      <c r="C1893">
        <v>-1.1000000000000001</v>
      </c>
      <c r="D1893">
        <v>-0.19</v>
      </c>
      <c r="E1893">
        <v>1.22</v>
      </c>
      <c r="F1893">
        <v>356</v>
      </c>
      <c r="G1893" t="s">
        <v>4200</v>
      </c>
      <c r="H1893">
        <v>15388.3</v>
      </c>
      <c r="I1893">
        <v>48.63</v>
      </c>
      <c r="J1893" t="s">
        <v>120</v>
      </c>
      <c r="K1893" t="s">
        <v>9440</v>
      </c>
      <c r="L1893">
        <v>2.62</v>
      </c>
      <c r="M1893">
        <v>24.37</v>
      </c>
      <c r="N1893">
        <v>0.98</v>
      </c>
      <c r="O1893">
        <v>3.08</v>
      </c>
      <c r="P1893">
        <v>25.4</v>
      </c>
      <c r="Q1893">
        <v>-1.87</v>
      </c>
      <c r="R1893">
        <v>24.18</v>
      </c>
      <c r="S1893">
        <v>24.94</v>
      </c>
      <c r="T1893">
        <v>62270</v>
      </c>
      <c r="U1893">
        <v>24.42</v>
      </c>
      <c r="V1893">
        <v>24.64</v>
      </c>
      <c r="W1893">
        <v>1072.74</v>
      </c>
      <c r="X1893" t="s">
        <v>175</v>
      </c>
      <c r="Y1893" t="s">
        <v>763</v>
      </c>
      <c r="Z1893">
        <v>4.95</v>
      </c>
      <c r="AA1893">
        <v>24.71</v>
      </c>
      <c r="AB1893">
        <v>32125</v>
      </c>
      <c r="AC1893">
        <v>30145</v>
      </c>
      <c r="AD1893">
        <v>1.07</v>
      </c>
      <c r="AE1893">
        <v>213</v>
      </c>
      <c r="AF1893">
        <v>42</v>
      </c>
      <c r="AG1893" t="s">
        <v>120</v>
      </c>
      <c r="AH1893">
        <v>0.02</v>
      </c>
      <c r="AI1893" t="s">
        <v>120</v>
      </c>
      <c r="AJ1893">
        <v>2.38</v>
      </c>
      <c r="AK1893" t="s">
        <v>9081</v>
      </c>
      <c r="AL1893">
        <v>0.82</v>
      </c>
      <c r="AM1893">
        <v>2757</v>
      </c>
      <c r="AN1893">
        <v>23</v>
      </c>
      <c r="AO1893">
        <v>1E-3</v>
      </c>
      <c r="AP1893">
        <v>-1</v>
      </c>
      <c r="AQ1893">
        <v>3.53</v>
      </c>
      <c r="AR1893">
        <v>-2.0499999999999998</v>
      </c>
      <c r="AS1893">
        <v>32.729999999999997</v>
      </c>
      <c r="AT1893">
        <v>79.89</v>
      </c>
      <c r="AU1893">
        <v>87.64</v>
      </c>
      <c r="AV1893">
        <v>1</v>
      </c>
      <c r="AW1893">
        <v>4.87</v>
      </c>
      <c r="AX1893">
        <v>43.64</v>
      </c>
      <c r="AY1893">
        <v>875.23</v>
      </c>
      <c r="AZ1893">
        <v>1010.43</v>
      </c>
      <c r="BA1893">
        <v>0.89</v>
      </c>
      <c r="BB1893" t="s">
        <v>184</v>
      </c>
      <c r="BF1893">
        <v>0.28999999999999998</v>
      </c>
      <c r="BG1893">
        <v>-2.29</v>
      </c>
      <c r="BH1893">
        <v>-4.0599999999999996</v>
      </c>
      <c r="BI1893">
        <v>0.79</v>
      </c>
      <c r="BJ1893">
        <v>20210830</v>
      </c>
      <c r="BK1893">
        <v>20160920</v>
      </c>
      <c r="BL1893">
        <v>2.93</v>
      </c>
      <c r="BM1893" t="s">
        <v>120</v>
      </c>
      <c r="BN1893" t="s">
        <v>120</v>
      </c>
      <c r="BO1893">
        <v>11.37</v>
      </c>
      <c r="BP1893">
        <v>24.37</v>
      </c>
      <c r="BQ1893">
        <v>6.12</v>
      </c>
      <c r="BR1893">
        <v>0</v>
      </c>
      <c r="BS1893">
        <v>46.23</v>
      </c>
      <c r="BT1893">
        <v>9.68</v>
      </c>
      <c r="BU1893">
        <v>0.3</v>
      </c>
      <c r="BV1893">
        <v>0.49</v>
      </c>
      <c r="BW1893">
        <v>5.15</v>
      </c>
      <c r="BX1893">
        <v>2.4500000000000002</v>
      </c>
      <c r="BY1893">
        <v>0.02</v>
      </c>
      <c r="BZ1893">
        <v>0.79</v>
      </c>
      <c r="CA1893" t="s">
        <v>120</v>
      </c>
      <c r="CB1893">
        <v>0.08</v>
      </c>
      <c r="CC1893">
        <v>1.45</v>
      </c>
      <c r="CD1893">
        <v>1.2</v>
      </c>
      <c r="CE1893">
        <v>0.05</v>
      </c>
      <c r="CF1893">
        <v>0</v>
      </c>
      <c r="CG1893">
        <v>0.05</v>
      </c>
      <c r="CH1893">
        <v>0.04</v>
      </c>
      <c r="CI1893">
        <v>0.03</v>
      </c>
      <c r="CJ1893">
        <v>-0.27</v>
      </c>
      <c r="CK1893">
        <v>0.04</v>
      </c>
      <c r="CL1893">
        <v>2.74</v>
      </c>
      <c r="CM1893">
        <v>-0.49</v>
      </c>
      <c r="CN1893">
        <v>-0.88</v>
      </c>
      <c r="CO1893">
        <v>6230</v>
      </c>
      <c r="CP1893">
        <v>20544</v>
      </c>
      <c r="CQ1893" t="s">
        <v>9441</v>
      </c>
      <c r="CR1893">
        <v>49.61</v>
      </c>
      <c r="CS1893">
        <v>11.84</v>
      </c>
      <c r="CT1893">
        <v>11.69</v>
      </c>
      <c r="CU1893">
        <v>-144.93</v>
      </c>
      <c r="CV1893">
        <v>49.24</v>
      </c>
      <c r="CW1893">
        <v>0.01</v>
      </c>
      <c r="CX1893" t="s">
        <v>730</v>
      </c>
      <c r="CY1893">
        <v>2.08</v>
      </c>
      <c r="CZ1893">
        <v>0</v>
      </c>
      <c r="DA1893">
        <v>0.03</v>
      </c>
      <c r="DB1893">
        <v>0.93</v>
      </c>
      <c r="DC1893">
        <v>-0.17</v>
      </c>
      <c r="DD1893">
        <v>53.76</v>
      </c>
      <c r="DE1893" t="s">
        <v>6799</v>
      </c>
      <c r="DF1893">
        <v>17.18</v>
      </c>
      <c r="DG1893">
        <v>3.54</v>
      </c>
      <c r="DH1893">
        <v>2.2999999999999998</v>
      </c>
      <c r="DI1893">
        <v>0.03</v>
      </c>
      <c r="DJ1893">
        <v>135</v>
      </c>
      <c r="DK1893">
        <v>300536</v>
      </c>
      <c r="DL1893">
        <v>20210905</v>
      </c>
      <c r="DM1893">
        <v>23.2</v>
      </c>
      <c r="DN1893">
        <v>5.04</v>
      </c>
    </row>
    <row r="1894" spans="1:118">
      <c r="A1894" t="str">
        <f>"300537"</f>
        <v>300537</v>
      </c>
      <c r="B1894" t="s">
        <v>9442</v>
      </c>
      <c r="C1894">
        <v>2.78</v>
      </c>
      <c r="D1894">
        <v>-0.22</v>
      </c>
      <c r="E1894">
        <v>1.22</v>
      </c>
      <c r="F1894">
        <v>1748</v>
      </c>
      <c r="G1894" t="s">
        <v>9443</v>
      </c>
      <c r="H1894">
        <v>21469.69</v>
      </c>
      <c r="I1894">
        <v>83.93</v>
      </c>
      <c r="J1894" t="s">
        <v>120</v>
      </c>
      <c r="K1894" t="s">
        <v>4138</v>
      </c>
      <c r="L1894">
        <v>9</v>
      </c>
      <c r="M1894">
        <v>17.72</v>
      </c>
      <c r="N1894">
        <v>1.28</v>
      </c>
      <c r="O1894">
        <v>6.44</v>
      </c>
      <c r="P1894">
        <v>18.350000000000001</v>
      </c>
      <c r="Q1894">
        <v>0.52</v>
      </c>
      <c r="R1894">
        <v>17.329999999999998</v>
      </c>
      <c r="S1894">
        <v>17.45</v>
      </c>
      <c r="T1894">
        <v>119674</v>
      </c>
      <c r="U1894">
        <v>17.72</v>
      </c>
      <c r="V1894">
        <v>17.239999999999998</v>
      </c>
      <c r="W1894" t="s">
        <v>120</v>
      </c>
      <c r="X1894" t="s">
        <v>1145</v>
      </c>
      <c r="Y1894" t="s">
        <v>319</v>
      </c>
      <c r="Z1894">
        <v>5.92</v>
      </c>
      <c r="AA1894">
        <v>17.940000000000001</v>
      </c>
      <c r="AB1894">
        <v>53004</v>
      </c>
      <c r="AC1894">
        <v>66670</v>
      </c>
      <c r="AD1894">
        <v>0.8</v>
      </c>
      <c r="AE1894">
        <v>78</v>
      </c>
      <c r="AF1894">
        <v>147</v>
      </c>
      <c r="AG1894" t="s">
        <v>120</v>
      </c>
      <c r="AH1894">
        <v>0.04</v>
      </c>
      <c r="AI1894" t="s">
        <v>120</v>
      </c>
      <c r="AJ1894">
        <v>1.33</v>
      </c>
      <c r="AK1894" t="s">
        <v>8746</v>
      </c>
      <c r="AL1894">
        <v>4.7</v>
      </c>
      <c r="AM1894">
        <v>3148</v>
      </c>
      <c r="AN1894">
        <v>38</v>
      </c>
      <c r="AO1894">
        <v>2.8999999999999998E-3</v>
      </c>
      <c r="AP1894">
        <v>1</v>
      </c>
      <c r="AQ1894">
        <v>-1.1499999999999999</v>
      </c>
      <c r="AR1894">
        <v>-1.4</v>
      </c>
      <c r="AS1894">
        <v>-25.92</v>
      </c>
      <c r="AT1894">
        <v>0.8</v>
      </c>
      <c r="AU1894">
        <v>7.66</v>
      </c>
      <c r="AV1894">
        <v>4</v>
      </c>
      <c r="AW1894">
        <v>10.57</v>
      </c>
      <c r="AX1894">
        <v>58.65</v>
      </c>
      <c r="AY1894" t="s">
        <v>120</v>
      </c>
      <c r="AZ1894" t="s">
        <v>120</v>
      </c>
      <c r="BA1894">
        <v>0.78</v>
      </c>
      <c r="BB1894" t="s">
        <v>143</v>
      </c>
      <c r="BF1894">
        <v>4.0599999999999996</v>
      </c>
      <c r="BG1894">
        <v>1.55</v>
      </c>
      <c r="BH1894">
        <v>-3.43</v>
      </c>
      <c r="BI1894">
        <v>2.25</v>
      </c>
      <c r="BJ1894">
        <v>20210912</v>
      </c>
      <c r="BK1894">
        <v>20160830</v>
      </c>
      <c r="BL1894">
        <v>1.93</v>
      </c>
      <c r="BM1894" t="s">
        <v>120</v>
      </c>
      <c r="BN1894" t="s">
        <v>120</v>
      </c>
      <c r="BO1894">
        <v>14.71</v>
      </c>
      <c r="BP1894">
        <v>17.71</v>
      </c>
      <c r="BQ1894">
        <v>10.99</v>
      </c>
      <c r="BR1894">
        <v>-0.03</v>
      </c>
      <c r="BS1894">
        <v>25.49</v>
      </c>
      <c r="BT1894">
        <v>6.42</v>
      </c>
      <c r="BU1894">
        <v>2.2000000000000002</v>
      </c>
      <c r="BV1894">
        <v>1.28</v>
      </c>
      <c r="BW1894">
        <v>3.43</v>
      </c>
      <c r="BX1894">
        <v>0.65</v>
      </c>
      <c r="BY1894">
        <v>1.08</v>
      </c>
      <c r="BZ1894">
        <v>3.67</v>
      </c>
      <c r="CA1894" t="s">
        <v>120</v>
      </c>
      <c r="CB1894">
        <v>8.36</v>
      </c>
      <c r="CC1894">
        <v>3.31</v>
      </c>
      <c r="CD1894">
        <v>2.2400000000000002</v>
      </c>
      <c r="CE1894">
        <v>-0.05</v>
      </c>
      <c r="CF1894">
        <v>0</v>
      </c>
      <c r="CG1894">
        <v>-0.05</v>
      </c>
      <c r="CH1894">
        <v>-0.06</v>
      </c>
      <c r="CI1894">
        <v>-0.04</v>
      </c>
      <c r="CJ1894">
        <v>0.48</v>
      </c>
      <c r="CK1894">
        <v>-0.1</v>
      </c>
      <c r="CL1894">
        <v>0.38</v>
      </c>
      <c r="CM1894">
        <v>0.13</v>
      </c>
      <c r="CN1894">
        <v>-0.23</v>
      </c>
      <c r="CO1894">
        <v>33999</v>
      </c>
      <c r="CP1894">
        <v>3330</v>
      </c>
      <c r="CQ1894" t="s">
        <v>3869</v>
      </c>
      <c r="CR1894">
        <v>-121.1</v>
      </c>
      <c r="CS1894">
        <v>11.26</v>
      </c>
      <c r="CT1894">
        <v>3.11</v>
      </c>
      <c r="CU1894">
        <v>268.7</v>
      </c>
      <c r="CV1894">
        <v>10.34</v>
      </c>
      <c r="CW1894">
        <v>0</v>
      </c>
      <c r="CX1894" t="s">
        <v>419</v>
      </c>
      <c r="CY1894">
        <v>5.69</v>
      </c>
      <c r="CZ1894">
        <v>0</v>
      </c>
      <c r="DA1894">
        <v>4.33</v>
      </c>
      <c r="DB1894">
        <v>0.2</v>
      </c>
      <c r="DC1894">
        <v>7.0000000000000007E-2</v>
      </c>
      <c r="DD1894">
        <v>74.7</v>
      </c>
      <c r="DE1894" t="s">
        <v>9444</v>
      </c>
      <c r="DF1894">
        <v>32.21</v>
      </c>
      <c r="DG1894">
        <v>-1.36</v>
      </c>
      <c r="DH1894">
        <v>-1.1499999999999999</v>
      </c>
      <c r="DI1894">
        <v>0.2</v>
      </c>
      <c r="DJ1894">
        <v>807</v>
      </c>
      <c r="DK1894">
        <v>300537</v>
      </c>
      <c r="DL1894" t="s">
        <v>120</v>
      </c>
      <c r="DM1894" t="s">
        <v>120</v>
      </c>
      <c r="DN1894" t="s">
        <v>120</v>
      </c>
    </row>
    <row r="1895" spans="1:118">
      <c r="A1895" t="str">
        <f>"300538"</f>
        <v>300538</v>
      </c>
      <c r="B1895" t="s">
        <v>9445</v>
      </c>
      <c r="C1895">
        <v>-1.65</v>
      </c>
      <c r="D1895">
        <v>-0.03</v>
      </c>
      <c r="E1895">
        <v>-0.28999999999999998</v>
      </c>
      <c r="F1895">
        <v>220</v>
      </c>
      <c r="G1895" t="s">
        <v>9128</v>
      </c>
      <c r="H1895">
        <v>7636.91</v>
      </c>
      <c r="I1895">
        <v>107.17</v>
      </c>
      <c r="J1895" t="s">
        <v>120</v>
      </c>
      <c r="K1895" t="s">
        <v>8764</v>
      </c>
      <c r="L1895">
        <v>3.52</v>
      </c>
      <c r="M1895">
        <v>26.9</v>
      </c>
      <c r="N1895">
        <v>0.76</v>
      </c>
      <c r="O1895">
        <v>1.5</v>
      </c>
      <c r="P1895">
        <v>27.76</v>
      </c>
      <c r="Q1895">
        <v>-2.63</v>
      </c>
      <c r="R1895">
        <v>26.63</v>
      </c>
      <c r="S1895">
        <v>27.27</v>
      </c>
      <c r="T1895">
        <v>28117</v>
      </c>
      <c r="U1895">
        <v>26.91</v>
      </c>
      <c r="V1895">
        <v>27.35</v>
      </c>
      <c r="W1895">
        <v>97.62</v>
      </c>
      <c r="X1895" t="s">
        <v>454</v>
      </c>
      <c r="Y1895" t="s">
        <v>123</v>
      </c>
      <c r="Z1895">
        <v>4.13</v>
      </c>
      <c r="AA1895">
        <v>27.16</v>
      </c>
      <c r="AB1895">
        <v>15460</v>
      </c>
      <c r="AC1895">
        <v>12657</v>
      </c>
      <c r="AD1895">
        <v>1.22</v>
      </c>
      <c r="AE1895">
        <v>58</v>
      </c>
      <c r="AF1895">
        <v>647</v>
      </c>
      <c r="AG1895" t="s">
        <v>120</v>
      </c>
      <c r="AH1895">
        <v>0.08</v>
      </c>
      <c r="AI1895" t="s">
        <v>120</v>
      </c>
      <c r="AJ1895">
        <v>0.8</v>
      </c>
      <c r="AK1895" t="s">
        <v>1348</v>
      </c>
      <c r="AL1895">
        <v>0.27</v>
      </c>
      <c r="AM1895">
        <v>1914</v>
      </c>
      <c r="AN1895">
        <v>15</v>
      </c>
      <c r="AO1895">
        <v>1.8E-3</v>
      </c>
      <c r="AP1895">
        <v>-1</v>
      </c>
      <c r="AQ1895">
        <v>3.01</v>
      </c>
      <c r="AR1895">
        <v>3.26</v>
      </c>
      <c r="AS1895">
        <v>21.66</v>
      </c>
      <c r="AT1895">
        <v>30.39</v>
      </c>
      <c r="AU1895">
        <v>6.87</v>
      </c>
      <c r="AV1895">
        <v>2</v>
      </c>
      <c r="AW1895">
        <v>5.45</v>
      </c>
      <c r="AX1895">
        <v>34.04</v>
      </c>
      <c r="AY1895">
        <v>144.30000000000001</v>
      </c>
      <c r="AZ1895">
        <v>185.52</v>
      </c>
      <c r="BA1895">
        <v>0.8</v>
      </c>
      <c r="BB1895" t="s">
        <v>184</v>
      </c>
      <c r="BF1895">
        <v>-0.69</v>
      </c>
      <c r="BG1895">
        <v>-1.36</v>
      </c>
      <c r="BH1895">
        <v>-3.1</v>
      </c>
      <c r="BI1895">
        <v>1.01</v>
      </c>
      <c r="BJ1895">
        <v>20210913</v>
      </c>
      <c r="BK1895">
        <v>20160826</v>
      </c>
      <c r="BL1895">
        <v>1.52</v>
      </c>
      <c r="BM1895" t="s">
        <v>120</v>
      </c>
      <c r="BN1895" t="s">
        <v>120</v>
      </c>
      <c r="BO1895">
        <v>14</v>
      </c>
      <c r="BP1895">
        <v>26.9</v>
      </c>
      <c r="BQ1895">
        <v>4.68</v>
      </c>
      <c r="BR1895">
        <v>0.18</v>
      </c>
      <c r="BS1895">
        <v>65.260000000000005</v>
      </c>
      <c r="BT1895">
        <v>11.3</v>
      </c>
      <c r="BU1895">
        <v>0.24</v>
      </c>
      <c r="BV1895">
        <v>0.06</v>
      </c>
      <c r="BW1895">
        <v>8.35</v>
      </c>
      <c r="BX1895">
        <v>1.33</v>
      </c>
      <c r="BY1895">
        <v>1.1100000000000001</v>
      </c>
      <c r="BZ1895">
        <v>7.75</v>
      </c>
      <c r="CA1895" t="s">
        <v>120</v>
      </c>
      <c r="CB1895">
        <v>1.1299999999999999</v>
      </c>
      <c r="CC1895">
        <v>13.9</v>
      </c>
      <c r="CD1895">
        <v>12.91</v>
      </c>
      <c r="CE1895">
        <v>0.26</v>
      </c>
      <c r="CF1895">
        <v>0.02</v>
      </c>
      <c r="CG1895">
        <v>0.27</v>
      </c>
      <c r="CH1895">
        <v>0.23</v>
      </c>
      <c r="CI1895">
        <v>0.21</v>
      </c>
      <c r="CJ1895">
        <v>-0.45</v>
      </c>
      <c r="CK1895">
        <v>0.18</v>
      </c>
      <c r="CL1895">
        <v>1.91</v>
      </c>
      <c r="CM1895">
        <v>-1.52</v>
      </c>
      <c r="CN1895">
        <v>0.33</v>
      </c>
      <c r="CO1895">
        <v>10564</v>
      </c>
      <c r="CP1895">
        <v>4886</v>
      </c>
      <c r="CQ1895" t="s">
        <v>9446</v>
      </c>
      <c r="CR1895">
        <v>44.02</v>
      </c>
      <c r="CS1895">
        <v>20.96</v>
      </c>
      <c r="CT1895">
        <v>8.7100000000000009</v>
      </c>
      <c r="CU1895">
        <v>-26.81</v>
      </c>
      <c r="CV1895">
        <v>2.93</v>
      </c>
      <c r="CW1895">
        <v>0.28999999999999998</v>
      </c>
      <c r="CX1895" t="s">
        <v>300</v>
      </c>
      <c r="CY1895">
        <v>3.09</v>
      </c>
      <c r="CZ1895">
        <v>0</v>
      </c>
      <c r="DA1895">
        <v>0.74</v>
      </c>
      <c r="DB1895">
        <v>1.26</v>
      </c>
      <c r="DC1895">
        <v>-1</v>
      </c>
      <c r="DD1895">
        <v>33.450000000000003</v>
      </c>
      <c r="DE1895" t="s">
        <v>8021</v>
      </c>
      <c r="DF1895">
        <v>7.11</v>
      </c>
      <c r="DG1895">
        <v>1.9</v>
      </c>
      <c r="DH1895">
        <v>1.5</v>
      </c>
      <c r="DI1895">
        <v>0.03</v>
      </c>
      <c r="DJ1895">
        <v>305</v>
      </c>
      <c r="DK1895">
        <v>300538</v>
      </c>
      <c r="DL1895" t="s">
        <v>120</v>
      </c>
      <c r="DM1895" t="s">
        <v>120</v>
      </c>
      <c r="DN1895" t="s">
        <v>120</v>
      </c>
    </row>
    <row r="1896" spans="1:118">
      <c r="A1896" t="str">
        <f>"300539"</f>
        <v>300539</v>
      </c>
      <c r="B1896" t="s">
        <v>9447</v>
      </c>
      <c r="C1896">
        <v>-0.99</v>
      </c>
      <c r="D1896">
        <v>0</v>
      </c>
      <c r="E1896">
        <v>-0.25</v>
      </c>
      <c r="F1896">
        <v>231</v>
      </c>
      <c r="G1896" t="s">
        <v>9448</v>
      </c>
      <c r="H1896">
        <v>2527.56</v>
      </c>
      <c r="I1896">
        <v>2.5099999999999998</v>
      </c>
      <c r="J1896" t="s">
        <v>120</v>
      </c>
      <c r="K1896" t="s">
        <v>9448</v>
      </c>
      <c r="L1896">
        <v>2.72</v>
      </c>
      <c r="M1896">
        <v>8.0399999999999991</v>
      </c>
      <c r="N1896">
        <v>0.89</v>
      </c>
      <c r="O1896">
        <v>2.59</v>
      </c>
      <c r="P1896">
        <v>8.33</v>
      </c>
      <c r="Q1896">
        <v>-1.23</v>
      </c>
      <c r="R1896">
        <v>8.02</v>
      </c>
      <c r="S1896">
        <v>8.1</v>
      </c>
      <c r="T1896">
        <v>30932</v>
      </c>
      <c r="U1896">
        <v>8.0399999999999991</v>
      </c>
      <c r="V1896">
        <v>8.1199999999999992</v>
      </c>
      <c r="W1896">
        <v>99.08</v>
      </c>
      <c r="X1896" t="s">
        <v>2211</v>
      </c>
      <c r="Y1896" t="s">
        <v>585</v>
      </c>
      <c r="Z1896">
        <v>3.82</v>
      </c>
      <c r="AA1896">
        <v>8.17</v>
      </c>
      <c r="AB1896">
        <v>16162</v>
      </c>
      <c r="AC1896">
        <v>14770</v>
      </c>
      <c r="AD1896">
        <v>1.0900000000000001</v>
      </c>
      <c r="AE1896">
        <v>321</v>
      </c>
      <c r="AF1896">
        <v>35</v>
      </c>
      <c r="AG1896" t="s">
        <v>120</v>
      </c>
      <c r="AH1896">
        <v>0</v>
      </c>
      <c r="AI1896" t="s">
        <v>120</v>
      </c>
      <c r="AJ1896">
        <v>1.1399999999999999</v>
      </c>
      <c r="AK1896" t="s">
        <v>8685</v>
      </c>
      <c r="AL1896">
        <v>0.93</v>
      </c>
      <c r="AM1896">
        <v>1033</v>
      </c>
      <c r="AN1896">
        <v>30</v>
      </c>
      <c r="AO1896">
        <v>2.5999999999999999E-3</v>
      </c>
      <c r="AP1896">
        <v>-1</v>
      </c>
      <c r="AQ1896">
        <v>1.88</v>
      </c>
      <c r="AR1896">
        <v>-0.62</v>
      </c>
      <c r="AS1896">
        <v>-4.4000000000000004</v>
      </c>
      <c r="AT1896">
        <v>4.6900000000000004</v>
      </c>
      <c r="AU1896">
        <v>9.23</v>
      </c>
      <c r="AV1896">
        <v>0</v>
      </c>
      <c r="AW1896">
        <v>2.72</v>
      </c>
      <c r="AX1896">
        <v>51.18</v>
      </c>
      <c r="AY1896">
        <v>84.79</v>
      </c>
      <c r="AZ1896">
        <v>124.29</v>
      </c>
      <c r="BA1896">
        <v>0.65</v>
      </c>
      <c r="BB1896" t="s">
        <v>143</v>
      </c>
      <c r="BF1896">
        <v>0.63</v>
      </c>
      <c r="BG1896">
        <v>-0.74</v>
      </c>
      <c r="BH1896">
        <v>-3.48</v>
      </c>
      <c r="BI1896">
        <v>0.25</v>
      </c>
      <c r="BJ1896">
        <v>20210907</v>
      </c>
      <c r="BK1896">
        <v>20160830</v>
      </c>
      <c r="BL1896">
        <v>2.2200000000000002</v>
      </c>
      <c r="BM1896" t="s">
        <v>120</v>
      </c>
      <c r="BN1896" t="s">
        <v>120</v>
      </c>
      <c r="BO1896">
        <v>10.46</v>
      </c>
      <c r="BP1896">
        <v>8.02</v>
      </c>
      <c r="BQ1896">
        <v>4.91</v>
      </c>
      <c r="BR1896">
        <v>-0.02</v>
      </c>
      <c r="BS1896">
        <v>53.19</v>
      </c>
      <c r="BT1896">
        <v>5.33</v>
      </c>
      <c r="BU1896">
        <v>3.76</v>
      </c>
      <c r="BV1896">
        <v>0.63</v>
      </c>
      <c r="BW1896">
        <v>5.04</v>
      </c>
      <c r="BX1896">
        <v>0.77</v>
      </c>
      <c r="BY1896">
        <v>1.89</v>
      </c>
      <c r="BZ1896">
        <v>2.23</v>
      </c>
      <c r="CA1896" t="s">
        <v>120</v>
      </c>
      <c r="CB1896">
        <v>1.1100000000000001</v>
      </c>
      <c r="CC1896">
        <v>3.31</v>
      </c>
      <c r="CD1896">
        <v>2.72</v>
      </c>
      <c r="CE1896">
        <v>0.09</v>
      </c>
      <c r="CF1896">
        <v>0</v>
      </c>
      <c r="CG1896">
        <v>0.09</v>
      </c>
      <c r="CH1896">
        <v>0.09</v>
      </c>
      <c r="CI1896">
        <v>0.09</v>
      </c>
      <c r="CJ1896">
        <v>-0.08</v>
      </c>
      <c r="CK1896">
        <v>0.08</v>
      </c>
      <c r="CL1896">
        <v>1.38</v>
      </c>
      <c r="CM1896">
        <v>0.23</v>
      </c>
      <c r="CN1896">
        <v>-0.24</v>
      </c>
      <c r="CO1896">
        <v>11177</v>
      </c>
      <c r="CP1896">
        <v>10172</v>
      </c>
      <c r="CQ1896" t="s">
        <v>5342</v>
      </c>
      <c r="CR1896">
        <v>300.02</v>
      </c>
      <c r="CS1896">
        <v>32.380000000000003</v>
      </c>
      <c r="CT1896">
        <v>3.68</v>
      </c>
      <c r="CU1896">
        <v>77.72</v>
      </c>
      <c r="CV1896">
        <v>5.4</v>
      </c>
      <c r="CW1896">
        <v>0.98</v>
      </c>
      <c r="CX1896" t="s">
        <v>145</v>
      </c>
      <c r="CY1896">
        <v>2.1800000000000002</v>
      </c>
      <c r="CZ1896">
        <v>2.1800000000000002</v>
      </c>
      <c r="DA1896">
        <v>0.5</v>
      </c>
      <c r="DB1896">
        <v>0.62</v>
      </c>
      <c r="DC1896">
        <v>0.1</v>
      </c>
      <c r="DD1896">
        <v>46.97</v>
      </c>
      <c r="DE1896" t="s">
        <v>4306</v>
      </c>
      <c r="DF1896">
        <v>17.64</v>
      </c>
      <c r="DG1896">
        <v>2.78</v>
      </c>
      <c r="DH1896">
        <v>2.72</v>
      </c>
      <c r="DI1896">
        <v>0.13</v>
      </c>
      <c r="DJ1896">
        <v>1031</v>
      </c>
      <c r="DK1896">
        <v>300539</v>
      </c>
      <c r="DL1896" t="s">
        <v>120</v>
      </c>
      <c r="DM1896" t="s">
        <v>120</v>
      </c>
      <c r="DN1896" t="s">
        <v>120</v>
      </c>
    </row>
    <row r="1897" spans="1:118">
      <c r="A1897" t="str">
        <f>"300540"</f>
        <v>300540</v>
      </c>
      <c r="B1897" t="s">
        <v>9449</v>
      </c>
      <c r="C1897">
        <v>-3.85</v>
      </c>
      <c r="D1897">
        <v>-0.18</v>
      </c>
      <c r="E1897">
        <v>2.2000000000000002</v>
      </c>
      <c r="F1897">
        <v>881</v>
      </c>
      <c r="G1897" t="s">
        <v>6058</v>
      </c>
      <c r="H1897">
        <v>15060.92</v>
      </c>
      <c r="I1897">
        <v>93.05</v>
      </c>
      <c r="J1897" t="s">
        <v>120</v>
      </c>
      <c r="K1897" t="s">
        <v>8368</v>
      </c>
      <c r="L1897">
        <v>6.14</v>
      </c>
      <c r="M1897">
        <v>26.21</v>
      </c>
      <c r="N1897">
        <v>0.68</v>
      </c>
      <c r="O1897">
        <v>5.47</v>
      </c>
      <c r="P1897">
        <v>28.75</v>
      </c>
      <c r="Q1897">
        <v>-4.4000000000000004</v>
      </c>
      <c r="R1897">
        <v>26.06</v>
      </c>
      <c r="S1897">
        <v>27.86</v>
      </c>
      <c r="T1897">
        <v>54833</v>
      </c>
      <c r="U1897">
        <v>26.21</v>
      </c>
      <c r="V1897">
        <v>27.26</v>
      </c>
      <c r="W1897">
        <v>414.06</v>
      </c>
      <c r="X1897" t="s">
        <v>675</v>
      </c>
      <c r="Y1897" t="s">
        <v>578</v>
      </c>
      <c r="Z1897">
        <v>9.8699999999999992</v>
      </c>
      <c r="AA1897">
        <v>27.47</v>
      </c>
      <c r="AB1897">
        <v>32698</v>
      </c>
      <c r="AC1897">
        <v>22135</v>
      </c>
      <c r="AD1897">
        <v>1.48</v>
      </c>
      <c r="AE1897">
        <v>131</v>
      </c>
      <c r="AF1897">
        <v>64</v>
      </c>
      <c r="AG1897" t="s">
        <v>120</v>
      </c>
      <c r="AH1897">
        <v>7.0000000000000007E-2</v>
      </c>
      <c r="AI1897" t="s">
        <v>120</v>
      </c>
      <c r="AJ1897">
        <v>0.89</v>
      </c>
      <c r="AK1897" t="s">
        <v>9450</v>
      </c>
      <c r="AL1897">
        <v>-1.94</v>
      </c>
      <c r="AM1897">
        <v>2557</v>
      </c>
      <c r="AN1897">
        <v>21</v>
      </c>
      <c r="AO1897">
        <v>2.3999999999999998E-3</v>
      </c>
      <c r="AP1897">
        <v>-1</v>
      </c>
      <c r="AQ1897">
        <v>0.22</v>
      </c>
      <c r="AR1897">
        <v>-5.21</v>
      </c>
      <c r="AS1897">
        <v>-13.22</v>
      </c>
      <c r="AT1897">
        <v>30.72</v>
      </c>
      <c r="AU1897">
        <v>46.35</v>
      </c>
      <c r="AV1897">
        <v>3</v>
      </c>
      <c r="AW1897">
        <v>11.08</v>
      </c>
      <c r="AX1897">
        <v>39.69</v>
      </c>
      <c r="AY1897">
        <v>850.7</v>
      </c>
      <c r="AZ1897">
        <v>360.57</v>
      </c>
      <c r="BA1897">
        <v>0.42</v>
      </c>
      <c r="BB1897" t="s">
        <v>143</v>
      </c>
      <c r="BF1897">
        <v>0.76</v>
      </c>
      <c r="BG1897">
        <v>-5.92</v>
      </c>
      <c r="BH1897">
        <v>-8.83</v>
      </c>
      <c r="BI1897">
        <v>0.57999999999999996</v>
      </c>
      <c r="BJ1897">
        <v>20210828</v>
      </c>
      <c r="BK1897">
        <v>20160823</v>
      </c>
      <c r="BL1897">
        <v>1.25</v>
      </c>
      <c r="BM1897" t="s">
        <v>120</v>
      </c>
      <c r="BN1897" t="s">
        <v>120</v>
      </c>
      <c r="BO1897">
        <v>12.53</v>
      </c>
      <c r="BP1897">
        <v>26.2</v>
      </c>
      <c r="BQ1897">
        <v>5.82</v>
      </c>
      <c r="BR1897">
        <v>0.22</v>
      </c>
      <c r="BS1897">
        <v>51.78</v>
      </c>
      <c r="BT1897">
        <v>10.39</v>
      </c>
      <c r="BU1897">
        <v>1.28</v>
      </c>
      <c r="BV1897">
        <v>0.17</v>
      </c>
      <c r="BW1897">
        <v>6.49</v>
      </c>
      <c r="BX1897">
        <v>0.68</v>
      </c>
      <c r="BY1897">
        <v>2.56</v>
      </c>
      <c r="BZ1897">
        <v>2.12</v>
      </c>
      <c r="CA1897" t="s">
        <v>120</v>
      </c>
      <c r="CB1897">
        <v>3.41</v>
      </c>
      <c r="CC1897">
        <v>1.67</v>
      </c>
      <c r="CD1897">
        <v>1.32</v>
      </c>
      <c r="CE1897">
        <v>0.03</v>
      </c>
      <c r="CF1897">
        <v>0</v>
      </c>
      <c r="CG1897">
        <v>0.03</v>
      </c>
      <c r="CH1897">
        <v>0.04</v>
      </c>
      <c r="CI1897">
        <v>0.04</v>
      </c>
      <c r="CJ1897">
        <v>-1.05</v>
      </c>
      <c r="CK1897">
        <v>0.03</v>
      </c>
      <c r="CL1897">
        <v>0.82</v>
      </c>
      <c r="CM1897">
        <v>-0.48</v>
      </c>
      <c r="CN1897">
        <v>0.19</v>
      </c>
      <c r="CO1897">
        <v>9644</v>
      </c>
      <c r="CP1897">
        <v>5131</v>
      </c>
      <c r="CQ1897" t="s">
        <v>2412</v>
      </c>
      <c r="CR1897">
        <v>-57.92</v>
      </c>
      <c r="CS1897">
        <v>-7.8</v>
      </c>
      <c r="CT1897">
        <v>5.62</v>
      </c>
      <c r="CU1897">
        <v>-67.58</v>
      </c>
      <c r="CV1897">
        <v>19.52</v>
      </c>
      <c r="CW1897">
        <v>0</v>
      </c>
      <c r="CX1897" t="s">
        <v>9451</v>
      </c>
      <c r="CY1897">
        <v>4.67</v>
      </c>
      <c r="CZ1897">
        <v>0</v>
      </c>
      <c r="DA1897">
        <v>2.74</v>
      </c>
      <c r="DB1897">
        <v>0.66</v>
      </c>
      <c r="DC1897">
        <v>-0.39</v>
      </c>
      <c r="DD1897">
        <v>46.46</v>
      </c>
      <c r="DE1897" t="s">
        <v>1405</v>
      </c>
      <c r="DF1897">
        <v>20.93</v>
      </c>
      <c r="DG1897">
        <v>2.04</v>
      </c>
      <c r="DH1897">
        <v>2.36</v>
      </c>
      <c r="DI1897">
        <v>0.08</v>
      </c>
      <c r="DJ1897">
        <v>330</v>
      </c>
      <c r="DK1897">
        <v>300540</v>
      </c>
      <c r="DL1897" t="s">
        <v>120</v>
      </c>
      <c r="DM1897" t="s">
        <v>120</v>
      </c>
      <c r="DN1897" t="s">
        <v>120</v>
      </c>
    </row>
    <row r="1898" spans="1:118">
      <c r="A1898" t="str">
        <f>"300541"</f>
        <v>300541</v>
      </c>
      <c r="B1898" t="s">
        <v>9452</v>
      </c>
      <c r="C1898">
        <v>-2.09</v>
      </c>
      <c r="D1898">
        <v>-0.06</v>
      </c>
      <c r="E1898">
        <v>-0.49</v>
      </c>
      <c r="F1898">
        <v>1290</v>
      </c>
      <c r="G1898" t="s">
        <v>5905</v>
      </c>
      <c r="H1898">
        <v>10032.27</v>
      </c>
      <c r="I1898">
        <v>84.15</v>
      </c>
      <c r="J1898" t="s">
        <v>120</v>
      </c>
      <c r="K1898" t="s">
        <v>736</v>
      </c>
      <c r="L1898">
        <v>2.83</v>
      </c>
      <c r="M1898">
        <v>14.02</v>
      </c>
      <c r="N1898">
        <v>0.57999999999999996</v>
      </c>
      <c r="O1898">
        <v>0.49</v>
      </c>
      <c r="P1898">
        <v>14.39</v>
      </c>
      <c r="Q1898">
        <v>-2.09</v>
      </c>
      <c r="R1898">
        <v>14.02</v>
      </c>
      <c r="S1898">
        <v>14.25</v>
      </c>
      <c r="T1898">
        <v>70638</v>
      </c>
      <c r="U1898">
        <v>14.03</v>
      </c>
      <c r="V1898">
        <v>14.32</v>
      </c>
      <c r="W1898">
        <v>20.190000000000001</v>
      </c>
      <c r="X1898" t="s">
        <v>141</v>
      </c>
      <c r="Y1898" t="s">
        <v>158</v>
      </c>
      <c r="Z1898">
        <v>2.58</v>
      </c>
      <c r="AA1898">
        <v>14.2</v>
      </c>
      <c r="AB1898">
        <v>43199</v>
      </c>
      <c r="AC1898">
        <v>27439</v>
      </c>
      <c r="AD1898">
        <v>1.57</v>
      </c>
      <c r="AE1898">
        <v>280</v>
      </c>
      <c r="AF1898">
        <v>294</v>
      </c>
      <c r="AG1898" t="s">
        <v>120</v>
      </c>
      <c r="AH1898">
        <v>0.02</v>
      </c>
      <c r="AI1898" t="s">
        <v>120</v>
      </c>
      <c r="AJ1898">
        <v>2.5</v>
      </c>
      <c r="AK1898" t="s">
        <v>9453</v>
      </c>
      <c r="AL1898">
        <v>-0.18</v>
      </c>
      <c r="AM1898">
        <v>2239</v>
      </c>
      <c r="AN1898">
        <v>32</v>
      </c>
      <c r="AO1898">
        <v>1.2999999999999999E-3</v>
      </c>
      <c r="AP1898">
        <v>-2</v>
      </c>
      <c r="AQ1898">
        <v>-2.78</v>
      </c>
      <c r="AR1898">
        <v>-3.37</v>
      </c>
      <c r="AS1898">
        <v>-2.84</v>
      </c>
      <c r="AT1898">
        <v>-10.64</v>
      </c>
      <c r="AU1898">
        <v>6.89</v>
      </c>
      <c r="AV1898">
        <v>1</v>
      </c>
      <c r="AW1898">
        <v>2.92</v>
      </c>
      <c r="AX1898">
        <v>78.56</v>
      </c>
      <c r="AY1898">
        <v>24.15</v>
      </c>
      <c r="AZ1898">
        <v>31.77</v>
      </c>
      <c r="BA1898">
        <v>1.1000000000000001</v>
      </c>
      <c r="BB1898" t="s">
        <v>143</v>
      </c>
      <c r="BF1898">
        <v>-0.82</v>
      </c>
      <c r="BG1898">
        <v>-1.61</v>
      </c>
      <c r="BH1898">
        <v>-2.57</v>
      </c>
      <c r="BI1898">
        <v>0</v>
      </c>
      <c r="BJ1898">
        <v>20210915</v>
      </c>
      <c r="BK1898">
        <v>20160913</v>
      </c>
      <c r="BL1898">
        <v>3.07</v>
      </c>
      <c r="BM1898" t="s">
        <v>120</v>
      </c>
      <c r="BN1898" t="s">
        <v>120</v>
      </c>
      <c r="BO1898">
        <v>22.71</v>
      </c>
      <c r="BP1898">
        <v>14.02</v>
      </c>
      <c r="BQ1898">
        <v>10.93</v>
      </c>
      <c r="BR1898" t="s">
        <v>120</v>
      </c>
      <c r="BS1898">
        <v>51.86</v>
      </c>
      <c r="BT1898">
        <v>18.36</v>
      </c>
      <c r="BU1898">
        <v>0.96</v>
      </c>
      <c r="BV1898">
        <v>0.52</v>
      </c>
      <c r="BW1898">
        <v>11.29</v>
      </c>
      <c r="BX1898">
        <v>1.72</v>
      </c>
      <c r="BY1898">
        <v>9</v>
      </c>
      <c r="BZ1898">
        <v>6.94</v>
      </c>
      <c r="CA1898" t="s">
        <v>120</v>
      </c>
      <c r="CB1898">
        <v>2.21</v>
      </c>
      <c r="CC1898">
        <v>21.95</v>
      </c>
      <c r="CD1898">
        <v>20.41</v>
      </c>
      <c r="CE1898">
        <v>1.21</v>
      </c>
      <c r="CF1898">
        <v>0.85</v>
      </c>
      <c r="CG1898">
        <v>1.21</v>
      </c>
      <c r="CH1898">
        <v>1.07</v>
      </c>
      <c r="CI1898">
        <v>1.07</v>
      </c>
      <c r="CJ1898">
        <v>-0.3</v>
      </c>
      <c r="CK1898">
        <v>1.07</v>
      </c>
      <c r="CL1898">
        <v>5.24</v>
      </c>
      <c r="CM1898">
        <v>-2.85</v>
      </c>
      <c r="CN1898">
        <v>-1.53</v>
      </c>
      <c r="CO1898">
        <v>41537</v>
      </c>
      <c r="CP1898">
        <v>5815</v>
      </c>
      <c r="CQ1898" t="s">
        <v>9454</v>
      </c>
      <c r="CR1898">
        <v>68.97</v>
      </c>
      <c r="CS1898">
        <v>138.79</v>
      </c>
      <c r="CT1898">
        <v>3.93</v>
      </c>
      <c r="CU1898">
        <v>-15.15</v>
      </c>
      <c r="CV1898">
        <v>1.96</v>
      </c>
      <c r="CW1898">
        <v>0.48</v>
      </c>
      <c r="CX1898" t="s">
        <v>269</v>
      </c>
      <c r="CY1898">
        <v>3.57</v>
      </c>
      <c r="CZ1898">
        <v>3.57</v>
      </c>
      <c r="DA1898">
        <v>0.72</v>
      </c>
      <c r="DB1898">
        <v>1.7</v>
      </c>
      <c r="DC1898">
        <v>-0.93</v>
      </c>
      <c r="DD1898">
        <v>48.14</v>
      </c>
      <c r="DE1898" t="s">
        <v>4867</v>
      </c>
      <c r="DF1898">
        <v>7.03</v>
      </c>
      <c r="DG1898">
        <v>5.53</v>
      </c>
      <c r="DH1898">
        <v>4.8600000000000003</v>
      </c>
      <c r="DI1898">
        <v>0.22</v>
      </c>
      <c r="DJ1898">
        <v>2219</v>
      </c>
      <c r="DK1898">
        <v>300541</v>
      </c>
      <c r="DL1898" t="s">
        <v>120</v>
      </c>
      <c r="DM1898" t="s">
        <v>120</v>
      </c>
      <c r="DN1898" t="s">
        <v>120</v>
      </c>
    </row>
    <row r="1899" spans="1:118">
      <c r="A1899" t="str">
        <f>"300542"</f>
        <v>300542</v>
      </c>
      <c r="B1899" t="s">
        <v>9455</v>
      </c>
      <c r="C1899">
        <v>-2.0299999999999998</v>
      </c>
      <c r="D1899">
        <v>0</v>
      </c>
      <c r="E1899">
        <v>0</v>
      </c>
      <c r="F1899">
        <v>269</v>
      </c>
      <c r="G1899" t="s">
        <v>9437</v>
      </c>
      <c r="H1899">
        <v>2350.38</v>
      </c>
      <c r="I1899">
        <v>1.78</v>
      </c>
      <c r="J1899" t="s">
        <v>120</v>
      </c>
      <c r="K1899" t="s">
        <v>9456</v>
      </c>
      <c r="L1899">
        <v>0.84</v>
      </c>
      <c r="M1899">
        <v>11.6</v>
      </c>
      <c r="N1899">
        <v>0.68</v>
      </c>
      <c r="O1899">
        <v>0.76</v>
      </c>
      <c r="P1899">
        <v>11.93</v>
      </c>
      <c r="Q1899">
        <v>-2.11</v>
      </c>
      <c r="R1899">
        <v>11.59</v>
      </c>
      <c r="S1899">
        <v>11.84</v>
      </c>
      <c r="T1899">
        <v>20023</v>
      </c>
      <c r="U1899">
        <v>11.61</v>
      </c>
      <c r="V1899">
        <v>11.84</v>
      </c>
      <c r="W1899">
        <v>152.99</v>
      </c>
      <c r="X1899" t="s">
        <v>141</v>
      </c>
      <c r="Y1899" t="s">
        <v>158</v>
      </c>
      <c r="Z1899">
        <v>2.87</v>
      </c>
      <c r="AA1899">
        <v>11.74</v>
      </c>
      <c r="AB1899">
        <v>11462</v>
      </c>
      <c r="AC1899">
        <v>8561</v>
      </c>
      <c r="AD1899">
        <v>1.34</v>
      </c>
      <c r="AE1899">
        <v>657</v>
      </c>
      <c r="AF1899">
        <v>24</v>
      </c>
      <c r="AG1899" t="s">
        <v>120</v>
      </c>
      <c r="AH1899">
        <v>0</v>
      </c>
      <c r="AI1899" t="s">
        <v>120</v>
      </c>
      <c r="AJ1899">
        <v>2.4</v>
      </c>
      <c r="AK1899" t="s">
        <v>9457</v>
      </c>
      <c r="AL1899">
        <v>-0.11</v>
      </c>
      <c r="AM1899">
        <v>950</v>
      </c>
      <c r="AN1899">
        <v>21</v>
      </c>
      <c r="AO1899">
        <v>8.9999999999999998E-4</v>
      </c>
      <c r="AP1899">
        <v>-2</v>
      </c>
      <c r="AQ1899">
        <v>-2.31</v>
      </c>
      <c r="AR1899">
        <v>-3.26</v>
      </c>
      <c r="AS1899">
        <v>-5.15</v>
      </c>
      <c r="AT1899">
        <v>-16.91</v>
      </c>
      <c r="AU1899">
        <v>-19.5</v>
      </c>
      <c r="AV1899">
        <v>4</v>
      </c>
      <c r="AW1899">
        <v>1.77</v>
      </c>
      <c r="AX1899">
        <v>37.659999999999997</v>
      </c>
      <c r="AY1899">
        <v>50.74</v>
      </c>
      <c r="AZ1899">
        <v>52.04</v>
      </c>
      <c r="BA1899">
        <v>0.78</v>
      </c>
      <c r="BB1899" t="s">
        <v>125</v>
      </c>
      <c r="BF1899">
        <v>-0.86</v>
      </c>
      <c r="BG1899">
        <v>-2.0299999999999998</v>
      </c>
      <c r="BH1899">
        <v>-2.77</v>
      </c>
      <c r="BI1899">
        <v>0.09</v>
      </c>
      <c r="BJ1899">
        <v>20210827</v>
      </c>
      <c r="BK1899">
        <v>20160920</v>
      </c>
      <c r="BL1899">
        <v>3</v>
      </c>
      <c r="BM1899" t="s">
        <v>120</v>
      </c>
      <c r="BN1899" t="s">
        <v>120</v>
      </c>
      <c r="BO1899">
        <v>10.19</v>
      </c>
      <c r="BP1899">
        <v>11.6</v>
      </c>
      <c r="BQ1899">
        <v>6.68</v>
      </c>
      <c r="BR1899">
        <v>0.46</v>
      </c>
      <c r="BS1899">
        <v>29.87</v>
      </c>
      <c r="BT1899">
        <v>6.64</v>
      </c>
      <c r="BU1899">
        <v>0.71</v>
      </c>
      <c r="BV1899">
        <v>0.02</v>
      </c>
      <c r="BW1899">
        <v>3.01</v>
      </c>
      <c r="BX1899">
        <v>1.9</v>
      </c>
      <c r="BY1899">
        <v>1.1000000000000001</v>
      </c>
      <c r="BZ1899">
        <v>3.1</v>
      </c>
      <c r="CA1899">
        <v>0</v>
      </c>
      <c r="CB1899">
        <v>0.18</v>
      </c>
      <c r="CC1899">
        <v>3.95</v>
      </c>
      <c r="CD1899">
        <v>2.86</v>
      </c>
      <c r="CE1899">
        <v>0.2</v>
      </c>
      <c r="CF1899">
        <v>0</v>
      </c>
      <c r="CG1899">
        <v>0.2</v>
      </c>
      <c r="CH1899">
        <v>0.17</v>
      </c>
      <c r="CI1899">
        <v>0.11</v>
      </c>
      <c r="CJ1899">
        <v>-0.24</v>
      </c>
      <c r="CK1899">
        <v>0.1</v>
      </c>
      <c r="CL1899">
        <v>3.53</v>
      </c>
      <c r="CM1899">
        <v>-0.79</v>
      </c>
      <c r="CN1899">
        <v>-0.85</v>
      </c>
      <c r="CO1899">
        <v>24030</v>
      </c>
      <c r="CP1899">
        <v>4703</v>
      </c>
      <c r="CQ1899" t="s">
        <v>1311</v>
      </c>
      <c r="CR1899">
        <v>18.04</v>
      </c>
      <c r="CS1899">
        <v>-4.71</v>
      </c>
      <c r="CT1899">
        <v>5.21</v>
      </c>
      <c r="CU1899">
        <v>-43.83</v>
      </c>
      <c r="CV1899">
        <v>8.82</v>
      </c>
      <c r="CW1899">
        <v>0.76</v>
      </c>
      <c r="CX1899" t="s">
        <v>145</v>
      </c>
      <c r="CY1899">
        <v>2.23</v>
      </c>
      <c r="CZ1899">
        <v>0</v>
      </c>
      <c r="DA1899">
        <v>0.06</v>
      </c>
      <c r="DB1899">
        <v>1.18</v>
      </c>
      <c r="DC1899">
        <v>-0.26</v>
      </c>
      <c r="DD1899">
        <v>65.569999999999993</v>
      </c>
      <c r="DE1899" t="s">
        <v>5935</v>
      </c>
      <c r="DF1899">
        <v>27.49</v>
      </c>
      <c r="DG1899">
        <v>5.15</v>
      </c>
      <c r="DH1899">
        <v>2.88</v>
      </c>
      <c r="DI1899">
        <v>0.34</v>
      </c>
      <c r="DJ1899">
        <v>1803</v>
      </c>
      <c r="DK1899">
        <v>300542</v>
      </c>
      <c r="DL1899" t="s">
        <v>120</v>
      </c>
      <c r="DM1899" t="s">
        <v>120</v>
      </c>
      <c r="DN1899" t="s">
        <v>120</v>
      </c>
    </row>
    <row r="1900" spans="1:118">
      <c r="A1900" t="str">
        <f>"300543"</f>
        <v>300543</v>
      </c>
      <c r="B1900" t="s">
        <v>9458</v>
      </c>
      <c r="C1900">
        <v>2.81</v>
      </c>
      <c r="D1900">
        <v>0</v>
      </c>
      <c r="E1900">
        <v>0.65</v>
      </c>
      <c r="F1900">
        <v>2671</v>
      </c>
      <c r="G1900" t="s">
        <v>4606</v>
      </c>
      <c r="H1900">
        <v>16924.38</v>
      </c>
      <c r="I1900">
        <v>22.52</v>
      </c>
      <c r="J1900" t="s">
        <v>120</v>
      </c>
      <c r="K1900" t="s">
        <v>3427</v>
      </c>
      <c r="L1900">
        <v>5.82</v>
      </c>
      <c r="M1900">
        <v>14.29</v>
      </c>
      <c r="N1900">
        <v>1.83</v>
      </c>
      <c r="O1900">
        <v>3.96</v>
      </c>
      <c r="P1900">
        <v>14.45</v>
      </c>
      <c r="Q1900">
        <v>-1.29</v>
      </c>
      <c r="R1900">
        <v>13.72</v>
      </c>
      <c r="S1900">
        <v>13.99</v>
      </c>
      <c r="T1900">
        <v>119750</v>
      </c>
      <c r="U1900">
        <v>14.3</v>
      </c>
      <c r="V1900">
        <v>13.9</v>
      </c>
      <c r="W1900">
        <v>23.93</v>
      </c>
      <c r="X1900" t="s">
        <v>394</v>
      </c>
      <c r="Y1900" t="s">
        <v>123</v>
      </c>
      <c r="Z1900">
        <v>5.25</v>
      </c>
      <c r="AA1900">
        <v>14.13</v>
      </c>
      <c r="AB1900">
        <v>55054</v>
      </c>
      <c r="AC1900">
        <v>64696</v>
      </c>
      <c r="AD1900">
        <v>0.85</v>
      </c>
      <c r="AE1900">
        <v>950</v>
      </c>
      <c r="AF1900">
        <v>992</v>
      </c>
      <c r="AG1900" t="s">
        <v>120</v>
      </c>
      <c r="AH1900">
        <v>0.01</v>
      </c>
      <c r="AI1900" t="s">
        <v>120</v>
      </c>
      <c r="AJ1900">
        <v>2.06</v>
      </c>
      <c r="AK1900" t="s">
        <v>9459</v>
      </c>
      <c r="AL1900">
        <v>4.72</v>
      </c>
      <c r="AM1900">
        <v>2647</v>
      </c>
      <c r="AN1900">
        <v>45</v>
      </c>
      <c r="AO1900">
        <v>2.2000000000000001E-3</v>
      </c>
      <c r="AP1900">
        <v>3</v>
      </c>
      <c r="AQ1900">
        <v>0.57999999999999996</v>
      </c>
      <c r="AR1900">
        <v>6.16</v>
      </c>
      <c r="AS1900">
        <v>-5.86</v>
      </c>
      <c r="AT1900">
        <v>3.55</v>
      </c>
      <c r="AU1900">
        <v>38.020000000000003</v>
      </c>
      <c r="AV1900">
        <v>1</v>
      </c>
      <c r="AW1900">
        <v>7.37</v>
      </c>
      <c r="AX1900">
        <v>60.6</v>
      </c>
      <c r="AY1900">
        <v>19.89</v>
      </c>
      <c r="AZ1900">
        <v>25.17</v>
      </c>
      <c r="BA1900">
        <v>1.02</v>
      </c>
      <c r="BB1900" t="s">
        <v>143</v>
      </c>
      <c r="BF1900">
        <v>1.68</v>
      </c>
      <c r="BG1900">
        <v>2.14</v>
      </c>
      <c r="BH1900">
        <v>-1.1100000000000001</v>
      </c>
      <c r="BI1900">
        <v>4.1500000000000004</v>
      </c>
      <c r="BJ1900">
        <v>20210914</v>
      </c>
      <c r="BK1900">
        <v>20160908</v>
      </c>
      <c r="BL1900">
        <v>2.68</v>
      </c>
      <c r="BM1900" t="s">
        <v>120</v>
      </c>
      <c r="BN1900" t="s">
        <v>120</v>
      </c>
      <c r="BO1900">
        <v>22.99</v>
      </c>
      <c r="BP1900">
        <v>14.29</v>
      </c>
      <c r="BQ1900">
        <v>10.199999999999999</v>
      </c>
      <c r="BR1900">
        <v>0.02</v>
      </c>
      <c r="BS1900">
        <v>55.56</v>
      </c>
      <c r="BT1900">
        <v>18.079999999999998</v>
      </c>
      <c r="BU1900">
        <v>1.8</v>
      </c>
      <c r="BV1900">
        <v>0.83</v>
      </c>
      <c r="BW1900">
        <v>9.39</v>
      </c>
      <c r="BX1900">
        <v>5.99</v>
      </c>
      <c r="BY1900">
        <v>6.41</v>
      </c>
      <c r="BZ1900">
        <v>4.41</v>
      </c>
      <c r="CA1900" t="s">
        <v>120</v>
      </c>
      <c r="CB1900">
        <v>1.48</v>
      </c>
      <c r="CC1900">
        <v>11.3</v>
      </c>
      <c r="CD1900">
        <v>9.33</v>
      </c>
      <c r="CE1900">
        <v>0.92</v>
      </c>
      <c r="CF1900">
        <v>0.01</v>
      </c>
      <c r="CG1900">
        <v>0.92</v>
      </c>
      <c r="CH1900">
        <v>0.8</v>
      </c>
      <c r="CI1900">
        <v>0.8</v>
      </c>
      <c r="CJ1900">
        <v>0.39</v>
      </c>
      <c r="CK1900">
        <v>0.75</v>
      </c>
      <c r="CL1900">
        <v>4.5199999999999996</v>
      </c>
      <c r="CM1900">
        <v>-2.42</v>
      </c>
      <c r="CN1900">
        <v>0.17</v>
      </c>
      <c r="CO1900">
        <v>26000</v>
      </c>
      <c r="CP1900">
        <v>6250</v>
      </c>
      <c r="CQ1900" t="s">
        <v>3056</v>
      </c>
      <c r="CR1900">
        <v>96.28</v>
      </c>
      <c r="CS1900">
        <v>84.3</v>
      </c>
      <c r="CT1900">
        <v>4.1900000000000004</v>
      </c>
      <c r="CU1900">
        <v>-15.86</v>
      </c>
      <c r="CV1900">
        <v>3.39</v>
      </c>
      <c r="CW1900">
        <v>1.38</v>
      </c>
      <c r="CX1900" t="s">
        <v>9460</v>
      </c>
      <c r="CY1900">
        <v>3.41</v>
      </c>
      <c r="CZ1900">
        <v>3.41</v>
      </c>
      <c r="DA1900">
        <v>0.55000000000000004</v>
      </c>
      <c r="DB1900">
        <v>1.69</v>
      </c>
      <c r="DC1900">
        <v>-0.9</v>
      </c>
      <c r="DD1900">
        <v>44.37</v>
      </c>
      <c r="DE1900" t="s">
        <v>9461</v>
      </c>
      <c r="DF1900">
        <v>17.48</v>
      </c>
      <c r="DG1900">
        <v>8.1199999999999992</v>
      </c>
      <c r="DH1900">
        <v>7.08</v>
      </c>
      <c r="DI1900">
        <v>0.35</v>
      </c>
      <c r="DJ1900">
        <v>1993</v>
      </c>
      <c r="DK1900">
        <v>300543</v>
      </c>
      <c r="DL1900" t="s">
        <v>120</v>
      </c>
      <c r="DM1900" t="s">
        <v>120</v>
      </c>
      <c r="DN1900" t="s">
        <v>120</v>
      </c>
    </row>
    <row r="1901" spans="1:118">
      <c r="A1901" t="str">
        <f>"300545"</f>
        <v>300545</v>
      </c>
      <c r="B1901" t="s">
        <v>9462</v>
      </c>
      <c r="C1901">
        <v>-5.23</v>
      </c>
      <c r="D1901">
        <v>0.04</v>
      </c>
      <c r="E1901">
        <v>0</v>
      </c>
      <c r="F1901">
        <v>1093</v>
      </c>
      <c r="G1901" t="s">
        <v>9463</v>
      </c>
      <c r="H1901">
        <v>5163.16</v>
      </c>
      <c r="I1901">
        <v>5.8</v>
      </c>
      <c r="J1901" t="s">
        <v>120</v>
      </c>
      <c r="K1901" t="s">
        <v>9464</v>
      </c>
      <c r="L1901">
        <v>2.64</v>
      </c>
      <c r="M1901">
        <v>23.9</v>
      </c>
      <c r="N1901">
        <v>1.1000000000000001</v>
      </c>
      <c r="O1901">
        <v>0.91</v>
      </c>
      <c r="P1901">
        <v>25.45</v>
      </c>
      <c r="Q1901">
        <v>-5.31</v>
      </c>
      <c r="R1901">
        <v>23.88</v>
      </c>
      <c r="S1901">
        <v>25.22</v>
      </c>
      <c r="T1901">
        <v>20858</v>
      </c>
      <c r="U1901">
        <v>23.91</v>
      </c>
      <c r="V1901">
        <v>25.22</v>
      </c>
      <c r="W1901">
        <v>165.96</v>
      </c>
      <c r="X1901" t="s">
        <v>675</v>
      </c>
      <c r="Y1901" t="s">
        <v>123</v>
      </c>
      <c r="Z1901">
        <v>6.23</v>
      </c>
      <c r="AA1901">
        <v>24.75</v>
      </c>
      <c r="AB1901">
        <v>12931</v>
      </c>
      <c r="AC1901">
        <v>7927</v>
      </c>
      <c r="AD1901">
        <v>1.63</v>
      </c>
      <c r="AE1901">
        <v>250</v>
      </c>
      <c r="AF1901">
        <v>15</v>
      </c>
      <c r="AG1901" t="s">
        <v>120</v>
      </c>
      <c r="AH1901">
        <v>0</v>
      </c>
      <c r="AI1901" t="s">
        <v>120</v>
      </c>
      <c r="AJ1901">
        <v>0.79</v>
      </c>
      <c r="AK1901" t="s">
        <v>5604</v>
      </c>
      <c r="AL1901">
        <v>-3.32</v>
      </c>
      <c r="AM1901">
        <v>1260</v>
      </c>
      <c r="AN1901">
        <v>17</v>
      </c>
      <c r="AO1901">
        <v>2.0999999999999999E-3</v>
      </c>
      <c r="AP1901">
        <v>-1</v>
      </c>
      <c r="AQ1901">
        <v>0.96</v>
      </c>
      <c r="AR1901">
        <v>-6.13</v>
      </c>
      <c r="AS1901">
        <v>-4.4400000000000004</v>
      </c>
      <c r="AT1901">
        <v>1.48</v>
      </c>
      <c r="AU1901">
        <v>-12.16</v>
      </c>
      <c r="AV1901">
        <v>1</v>
      </c>
      <c r="AW1901">
        <v>3.64</v>
      </c>
      <c r="AX1901">
        <v>32.26</v>
      </c>
      <c r="AY1901">
        <v>90.74</v>
      </c>
      <c r="AZ1901">
        <v>60.34</v>
      </c>
      <c r="BA1901">
        <v>0</v>
      </c>
      <c r="BB1901" t="s">
        <v>143</v>
      </c>
      <c r="BF1901">
        <v>-1.85</v>
      </c>
      <c r="BG1901">
        <v>-5.23</v>
      </c>
      <c r="BH1901">
        <v>-6.09</v>
      </c>
      <c r="BI1901">
        <v>0.08</v>
      </c>
      <c r="BJ1901">
        <v>20210818</v>
      </c>
      <c r="BK1901">
        <v>20160928</v>
      </c>
      <c r="BL1901">
        <v>1.78</v>
      </c>
      <c r="BM1901" t="s">
        <v>120</v>
      </c>
      <c r="BN1901" t="s">
        <v>120</v>
      </c>
      <c r="BO1901">
        <v>22.79</v>
      </c>
      <c r="BP1901">
        <v>23.9</v>
      </c>
      <c r="BQ1901">
        <v>14.16</v>
      </c>
      <c r="BR1901">
        <v>0.09</v>
      </c>
      <c r="BS1901">
        <v>37.46</v>
      </c>
      <c r="BT1901">
        <v>15.97</v>
      </c>
      <c r="BU1901">
        <v>3.31</v>
      </c>
      <c r="BV1901">
        <v>1.67</v>
      </c>
      <c r="BW1901">
        <v>7.19</v>
      </c>
      <c r="BX1901">
        <v>5.56</v>
      </c>
      <c r="BY1901">
        <v>4.6399999999999997</v>
      </c>
      <c r="BZ1901">
        <v>4.3499999999999996</v>
      </c>
      <c r="CA1901" t="s">
        <v>120</v>
      </c>
      <c r="CB1901">
        <v>7.91</v>
      </c>
      <c r="CC1901">
        <v>4.4800000000000004</v>
      </c>
      <c r="CD1901">
        <v>3.32</v>
      </c>
      <c r="CE1901">
        <v>0.15</v>
      </c>
      <c r="CF1901">
        <v>0</v>
      </c>
      <c r="CG1901">
        <v>0.15</v>
      </c>
      <c r="CH1901">
        <v>0.11</v>
      </c>
      <c r="CI1901">
        <v>0.13</v>
      </c>
      <c r="CJ1901">
        <v>-1.32</v>
      </c>
      <c r="CK1901">
        <v>0.12</v>
      </c>
      <c r="CL1901">
        <v>3.57</v>
      </c>
      <c r="CM1901">
        <v>-0.28999999999999998</v>
      </c>
      <c r="CN1901">
        <v>2.83</v>
      </c>
      <c r="CO1901">
        <v>13361</v>
      </c>
      <c r="CP1901">
        <v>4291</v>
      </c>
      <c r="CQ1901" t="s">
        <v>5026</v>
      </c>
      <c r="CR1901">
        <v>-66.040000000000006</v>
      </c>
      <c r="CS1901">
        <v>27.43</v>
      </c>
      <c r="CT1901">
        <v>3.08</v>
      </c>
      <c r="CU1901">
        <v>-146.99</v>
      </c>
      <c r="CV1901">
        <v>9.48</v>
      </c>
      <c r="CW1901">
        <v>0.4</v>
      </c>
      <c r="CX1901" t="s">
        <v>535</v>
      </c>
      <c r="CY1901">
        <v>7.75</v>
      </c>
      <c r="CZ1901">
        <v>7.75</v>
      </c>
      <c r="DA1901">
        <v>4.45</v>
      </c>
      <c r="DB1901">
        <v>2.0099999999999998</v>
      </c>
      <c r="DC1901">
        <v>-0.16</v>
      </c>
      <c r="DD1901">
        <v>62.13</v>
      </c>
      <c r="DE1901" t="s">
        <v>3883</v>
      </c>
      <c r="DF1901">
        <v>25.92</v>
      </c>
      <c r="DG1901">
        <v>3.39</v>
      </c>
      <c r="DH1901">
        <v>2.86</v>
      </c>
      <c r="DI1901">
        <v>0.45</v>
      </c>
      <c r="DJ1901">
        <v>1304</v>
      </c>
      <c r="DK1901">
        <v>300545</v>
      </c>
      <c r="DL1901" t="s">
        <v>120</v>
      </c>
      <c r="DM1901" t="s">
        <v>120</v>
      </c>
      <c r="DN1901" t="s">
        <v>120</v>
      </c>
    </row>
    <row r="1902" spans="1:118">
      <c r="A1902" t="str">
        <f>"300546"</f>
        <v>300546</v>
      </c>
      <c r="B1902" t="s">
        <v>9465</v>
      </c>
      <c r="C1902">
        <v>-3.53</v>
      </c>
      <c r="D1902">
        <v>0.31</v>
      </c>
      <c r="E1902">
        <v>-0.48</v>
      </c>
      <c r="F1902">
        <v>502</v>
      </c>
      <c r="G1902" t="s">
        <v>9466</v>
      </c>
      <c r="H1902">
        <v>5001.26</v>
      </c>
      <c r="I1902">
        <v>46.07</v>
      </c>
      <c r="J1902" t="s">
        <v>120</v>
      </c>
      <c r="K1902" t="s">
        <v>6307</v>
      </c>
      <c r="L1902">
        <v>3.52</v>
      </c>
      <c r="M1902">
        <v>16.12</v>
      </c>
      <c r="N1902">
        <v>0.59</v>
      </c>
      <c r="O1902">
        <v>-0.06</v>
      </c>
      <c r="P1902">
        <v>16.7</v>
      </c>
      <c r="Q1902">
        <v>-4.1900000000000004</v>
      </c>
      <c r="R1902">
        <v>16.010000000000002</v>
      </c>
      <c r="S1902">
        <v>16.63</v>
      </c>
      <c r="T1902">
        <v>30504</v>
      </c>
      <c r="U1902">
        <v>16.13</v>
      </c>
      <c r="V1902">
        <v>16.71</v>
      </c>
      <c r="W1902" t="s">
        <v>120</v>
      </c>
      <c r="X1902" t="s">
        <v>229</v>
      </c>
      <c r="Y1902" t="s">
        <v>123</v>
      </c>
      <c r="Z1902">
        <v>4.13</v>
      </c>
      <c r="AA1902">
        <v>16.399999999999999</v>
      </c>
      <c r="AB1902">
        <v>18497</v>
      </c>
      <c r="AC1902">
        <v>12007</v>
      </c>
      <c r="AD1902">
        <v>1.54</v>
      </c>
      <c r="AE1902">
        <v>52</v>
      </c>
      <c r="AF1902">
        <v>15</v>
      </c>
      <c r="AG1902" t="s">
        <v>120</v>
      </c>
      <c r="AH1902">
        <v>0.04</v>
      </c>
      <c r="AI1902" t="s">
        <v>120</v>
      </c>
      <c r="AJ1902">
        <v>0.87</v>
      </c>
      <c r="AK1902" t="s">
        <v>9467</v>
      </c>
      <c r="AL1902">
        <v>-1.62</v>
      </c>
      <c r="AM1902">
        <v>1516</v>
      </c>
      <c r="AN1902">
        <v>20</v>
      </c>
      <c r="AO1902">
        <v>2.3E-3</v>
      </c>
      <c r="AP1902">
        <v>-1</v>
      </c>
      <c r="AQ1902">
        <v>0.66</v>
      </c>
      <c r="AR1902">
        <v>-3.3</v>
      </c>
      <c r="AS1902">
        <v>-8.09</v>
      </c>
      <c r="AT1902">
        <v>-6.49</v>
      </c>
      <c r="AU1902">
        <v>-5.23</v>
      </c>
      <c r="AV1902">
        <v>3</v>
      </c>
      <c r="AW1902">
        <v>4.26</v>
      </c>
      <c r="AX1902">
        <v>52.49</v>
      </c>
      <c r="AY1902" t="s">
        <v>120</v>
      </c>
      <c r="AZ1902" t="s">
        <v>120</v>
      </c>
      <c r="BA1902">
        <v>0.89</v>
      </c>
      <c r="BB1902" t="s">
        <v>143</v>
      </c>
      <c r="BF1902">
        <v>-1.88</v>
      </c>
      <c r="BG1902">
        <v>-3.07</v>
      </c>
      <c r="BH1902">
        <v>-3.47</v>
      </c>
      <c r="BI1902">
        <v>0.69</v>
      </c>
      <c r="BJ1902">
        <v>20210830</v>
      </c>
      <c r="BK1902">
        <v>20160928</v>
      </c>
      <c r="BL1902">
        <v>1.37</v>
      </c>
      <c r="BM1902" t="s">
        <v>120</v>
      </c>
      <c r="BN1902" t="s">
        <v>120</v>
      </c>
      <c r="BO1902">
        <v>10.19</v>
      </c>
      <c r="BP1902">
        <v>16.12</v>
      </c>
      <c r="BQ1902">
        <v>8.27</v>
      </c>
      <c r="BR1902" t="s">
        <v>120</v>
      </c>
      <c r="BS1902">
        <v>18.88</v>
      </c>
      <c r="BT1902">
        <v>8.15</v>
      </c>
      <c r="BU1902">
        <v>1.34</v>
      </c>
      <c r="BV1902">
        <v>0.2</v>
      </c>
      <c r="BW1902">
        <v>1.86</v>
      </c>
      <c r="BX1902">
        <v>2.88</v>
      </c>
      <c r="BY1902">
        <v>1.65</v>
      </c>
      <c r="BZ1902">
        <v>2.64</v>
      </c>
      <c r="CA1902" t="s">
        <v>120</v>
      </c>
      <c r="CB1902">
        <v>2.11</v>
      </c>
      <c r="CC1902">
        <v>1.56</v>
      </c>
      <c r="CD1902">
        <v>0.83</v>
      </c>
      <c r="CE1902">
        <v>-0.21</v>
      </c>
      <c r="CF1902">
        <v>-0.01</v>
      </c>
      <c r="CG1902">
        <v>-0.21</v>
      </c>
      <c r="CH1902">
        <v>-0.21</v>
      </c>
      <c r="CI1902">
        <v>-0.2</v>
      </c>
      <c r="CJ1902">
        <v>-0.59</v>
      </c>
      <c r="CK1902">
        <v>-0.25</v>
      </c>
      <c r="CL1902">
        <v>4.18</v>
      </c>
      <c r="CM1902">
        <v>-0.92</v>
      </c>
      <c r="CN1902">
        <v>-1.0900000000000001</v>
      </c>
      <c r="CO1902">
        <v>15516</v>
      </c>
      <c r="CP1902">
        <v>4620</v>
      </c>
      <c r="CQ1902" t="s">
        <v>8081</v>
      </c>
      <c r="CR1902">
        <v>-636.73</v>
      </c>
      <c r="CS1902">
        <v>-7.01</v>
      </c>
      <c r="CT1902">
        <v>2.65</v>
      </c>
      <c r="CU1902">
        <v>-23.97</v>
      </c>
      <c r="CV1902">
        <v>14.1</v>
      </c>
      <c r="CW1902">
        <v>0</v>
      </c>
      <c r="CX1902" t="s">
        <v>9468</v>
      </c>
      <c r="CY1902">
        <v>6.09</v>
      </c>
      <c r="CZ1902">
        <v>6.09</v>
      </c>
      <c r="DA1902">
        <v>1.55</v>
      </c>
      <c r="DB1902">
        <v>3.06</v>
      </c>
      <c r="DC1902">
        <v>-0.67</v>
      </c>
      <c r="DD1902">
        <v>81.12</v>
      </c>
      <c r="DE1902" t="s">
        <v>9469</v>
      </c>
      <c r="DF1902">
        <v>46.79</v>
      </c>
      <c r="DG1902">
        <v>-13.47</v>
      </c>
      <c r="DH1902">
        <v>-12.7</v>
      </c>
      <c r="DI1902">
        <v>0.39</v>
      </c>
      <c r="DJ1902">
        <v>854</v>
      </c>
      <c r="DK1902">
        <v>300546</v>
      </c>
      <c r="DL1902" t="s">
        <v>120</v>
      </c>
      <c r="DM1902" t="s">
        <v>120</v>
      </c>
      <c r="DN1902" t="s">
        <v>120</v>
      </c>
    </row>
    <row r="1903" spans="1:118">
      <c r="A1903" t="str">
        <f>"300547"</f>
        <v>300547</v>
      </c>
      <c r="B1903" t="s">
        <v>9470</v>
      </c>
      <c r="C1903">
        <v>-2.25</v>
      </c>
      <c r="D1903">
        <v>0</v>
      </c>
      <c r="E1903">
        <v>-0.92</v>
      </c>
      <c r="F1903">
        <v>1063</v>
      </c>
      <c r="G1903" t="s">
        <v>6817</v>
      </c>
      <c r="H1903">
        <v>12143.31</v>
      </c>
      <c r="I1903">
        <v>48.08</v>
      </c>
      <c r="J1903" t="s">
        <v>120</v>
      </c>
      <c r="K1903" t="s">
        <v>9471</v>
      </c>
      <c r="L1903">
        <v>5.73</v>
      </c>
      <c r="M1903">
        <v>11.74</v>
      </c>
      <c r="N1903">
        <v>0.89</v>
      </c>
      <c r="O1903">
        <v>2.08</v>
      </c>
      <c r="P1903">
        <v>12.26</v>
      </c>
      <c r="Q1903">
        <v>-2.25</v>
      </c>
      <c r="R1903">
        <v>11.74</v>
      </c>
      <c r="S1903">
        <v>11.9</v>
      </c>
      <c r="T1903">
        <v>101185</v>
      </c>
      <c r="U1903">
        <v>11.74</v>
      </c>
      <c r="V1903">
        <v>12.01</v>
      </c>
      <c r="W1903">
        <v>25.34</v>
      </c>
      <c r="X1903" t="s">
        <v>2306</v>
      </c>
      <c r="Y1903" t="s">
        <v>578</v>
      </c>
      <c r="Z1903">
        <v>4.33</v>
      </c>
      <c r="AA1903">
        <v>12</v>
      </c>
      <c r="AB1903">
        <v>53201</v>
      </c>
      <c r="AC1903">
        <v>47984</v>
      </c>
      <c r="AD1903">
        <v>1.1100000000000001</v>
      </c>
      <c r="AE1903">
        <v>110</v>
      </c>
      <c r="AF1903">
        <v>224</v>
      </c>
      <c r="AG1903" t="s">
        <v>120</v>
      </c>
      <c r="AH1903">
        <v>0.03</v>
      </c>
      <c r="AI1903" t="s">
        <v>120</v>
      </c>
      <c r="AJ1903">
        <v>1.77</v>
      </c>
      <c r="AK1903" t="s">
        <v>9472</v>
      </c>
      <c r="AL1903">
        <v>-0.33</v>
      </c>
      <c r="AM1903">
        <v>2471</v>
      </c>
      <c r="AN1903">
        <v>41</v>
      </c>
      <c r="AO1903">
        <v>2.3E-3</v>
      </c>
      <c r="AP1903">
        <v>-1</v>
      </c>
      <c r="AQ1903">
        <v>5.54</v>
      </c>
      <c r="AR1903">
        <v>2.81</v>
      </c>
      <c r="AS1903">
        <v>6.34</v>
      </c>
      <c r="AT1903">
        <v>13.43</v>
      </c>
      <c r="AU1903">
        <v>18.670000000000002</v>
      </c>
      <c r="AV1903">
        <v>2</v>
      </c>
      <c r="AW1903">
        <v>6.98</v>
      </c>
      <c r="AX1903">
        <v>66.790000000000006</v>
      </c>
      <c r="AY1903">
        <v>21.32</v>
      </c>
      <c r="AZ1903">
        <v>23.1</v>
      </c>
      <c r="BA1903">
        <v>0.82</v>
      </c>
      <c r="BB1903" t="s">
        <v>143</v>
      </c>
      <c r="BF1903">
        <v>-7.0000000000000007E-2</v>
      </c>
      <c r="BG1903">
        <v>-1.34</v>
      </c>
      <c r="BH1903">
        <v>-4.24</v>
      </c>
      <c r="BI1903">
        <v>0</v>
      </c>
      <c r="BJ1903">
        <v>20210830</v>
      </c>
      <c r="BK1903">
        <v>20160930</v>
      </c>
      <c r="BL1903">
        <v>2.17</v>
      </c>
      <c r="BM1903" t="s">
        <v>120</v>
      </c>
      <c r="BN1903" t="s">
        <v>120</v>
      </c>
      <c r="BO1903">
        <v>10.45</v>
      </c>
      <c r="BP1903">
        <v>11.73</v>
      </c>
      <c r="BQ1903">
        <v>8.7899999999999991</v>
      </c>
      <c r="BR1903" t="s">
        <v>120</v>
      </c>
      <c r="BS1903">
        <v>15.81</v>
      </c>
      <c r="BT1903">
        <v>7.38</v>
      </c>
      <c r="BU1903">
        <v>2.16</v>
      </c>
      <c r="BV1903">
        <v>0.1</v>
      </c>
      <c r="BW1903">
        <v>1.61</v>
      </c>
      <c r="BX1903">
        <v>0.92</v>
      </c>
      <c r="BY1903">
        <v>1.92</v>
      </c>
      <c r="BZ1903">
        <v>1.96</v>
      </c>
      <c r="CA1903" t="s">
        <v>120</v>
      </c>
      <c r="CB1903">
        <v>1.84</v>
      </c>
      <c r="CC1903">
        <v>3.72</v>
      </c>
      <c r="CD1903">
        <v>2.65</v>
      </c>
      <c r="CE1903">
        <v>0.56000000000000005</v>
      </c>
      <c r="CF1903">
        <v>0</v>
      </c>
      <c r="CG1903">
        <v>0.56000000000000005</v>
      </c>
      <c r="CH1903">
        <v>0.5</v>
      </c>
      <c r="CI1903">
        <v>0.5</v>
      </c>
      <c r="CJ1903">
        <v>-0.27</v>
      </c>
      <c r="CK1903">
        <v>0.49</v>
      </c>
      <c r="CL1903">
        <v>4.13</v>
      </c>
      <c r="CM1903">
        <v>0.56999999999999995</v>
      </c>
      <c r="CN1903">
        <v>-1.1299999999999999</v>
      </c>
      <c r="CO1903">
        <v>19450</v>
      </c>
      <c r="CP1903">
        <v>7448</v>
      </c>
      <c r="CQ1903" t="s">
        <v>9473</v>
      </c>
      <c r="CR1903">
        <v>22.96</v>
      </c>
      <c r="CS1903">
        <v>40.58</v>
      </c>
      <c r="CT1903">
        <v>2.9</v>
      </c>
      <c r="CU1903">
        <v>44.43</v>
      </c>
      <c r="CV1903">
        <v>6.84</v>
      </c>
      <c r="CW1903">
        <v>2.31</v>
      </c>
      <c r="CX1903" t="s">
        <v>588</v>
      </c>
      <c r="CY1903">
        <v>4.05</v>
      </c>
      <c r="CZ1903">
        <v>0</v>
      </c>
      <c r="DA1903">
        <v>0.85</v>
      </c>
      <c r="DB1903">
        <v>1.9</v>
      </c>
      <c r="DC1903">
        <v>0.26</v>
      </c>
      <c r="DD1903">
        <v>84.19</v>
      </c>
      <c r="DE1903" t="s">
        <v>9474</v>
      </c>
      <c r="DF1903">
        <v>28.93</v>
      </c>
      <c r="DG1903">
        <v>14.99</v>
      </c>
      <c r="DH1903">
        <v>13.5</v>
      </c>
      <c r="DI1903">
        <v>0.17</v>
      </c>
      <c r="DJ1903">
        <v>1807</v>
      </c>
      <c r="DK1903">
        <v>300547</v>
      </c>
      <c r="DL1903" t="s">
        <v>120</v>
      </c>
      <c r="DM1903" t="s">
        <v>120</v>
      </c>
      <c r="DN1903" t="s">
        <v>120</v>
      </c>
    </row>
    <row r="1904" spans="1:118">
      <c r="A1904" t="str">
        <f>"300548"</f>
        <v>300548</v>
      </c>
      <c r="B1904" t="s">
        <v>9475</v>
      </c>
      <c r="C1904">
        <v>-0.52</v>
      </c>
      <c r="D1904">
        <v>-0.17</v>
      </c>
      <c r="E1904">
        <v>0.36</v>
      </c>
      <c r="F1904">
        <v>107</v>
      </c>
      <c r="G1904" t="s">
        <v>4383</v>
      </c>
      <c r="H1904">
        <v>4237.97</v>
      </c>
      <c r="I1904">
        <v>12.91</v>
      </c>
      <c r="J1904" t="s">
        <v>120</v>
      </c>
      <c r="K1904" t="s">
        <v>6670</v>
      </c>
      <c r="L1904">
        <v>1.08</v>
      </c>
      <c r="M1904">
        <v>32.81</v>
      </c>
      <c r="N1904">
        <v>0.5</v>
      </c>
      <c r="O1904">
        <v>0.82</v>
      </c>
      <c r="P1904">
        <v>33.25</v>
      </c>
      <c r="Q1904">
        <v>-0.67</v>
      </c>
      <c r="R1904">
        <v>32.76</v>
      </c>
      <c r="S1904">
        <v>33.1</v>
      </c>
      <c r="T1904">
        <v>12842</v>
      </c>
      <c r="U1904">
        <v>32.82</v>
      </c>
      <c r="V1904">
        <v>32.979999999999997</v>
      </c>
      <c r="W1904">
        <v>38.76</v>
      </c>
      <c r="X1904" t="s">
        <v>229</v>
      </c>
      <c r="Y1904" t="s">
        <v>585</v>
      </c>
      <c r="Z1904">
        <v>1.49</v>
      </c>
      <c r="AA1904">
        <v>33</v>
      </c>
      <c r="AB1904">
        <v>7062</v>
      </c>
      <c r="AC1904">
        <v>5780</v>
      </c>
      <c r="AD1904">
        <v>1.22</v>
      </c>
      <c r="AE1904">
        <v>3</v>
      </c>
      <c r="AF1904">
        <v>10</v>
      </c>
      <c r="AG1904" t="s">
        <v>120</v>
      </c>
      <c r="AH1904">
        <v>0</v>
      </c>
      <c r="AI1904" t="s">
        <v>120</v>
      </c>
      <c r="AJ1904">
        <v>1.19</v>
      </c>
      <c r="AK1904" t="s">
        <v>9476</v>
      </c>
      <c r="AL1904">
        <v>1.4</v>
      </c>
      <c r="AM1904">
        <v>1340</v>
      </c>
      <c r="AN1904">
        <v>10</v>
      </c>
      <c r="AO1904">
        <v>8.0000000000000004E-4</v>
      </c>
      <c r="AP1904">
        <v>-2</v>
      </c>
      <c r="AQ1904">
        <v>-2.37</v>
      </c>
      <c r="AR1904">
        <v>-2.67</v>
      </c>
      <c r="AS1904">
        <v>-15.09</v>
      </c>
      <c r="AT1904">
        <v>-4.59</v>
      </c>
      <c r="AU1904">
        <v>-5.31</v>
      </c>
      <c r="AV1904">
        <v>1</v>
      </c>
      <c r="AW1904">
        <v>1.64</v>
      </c>
      <c r="AX1904">
        <v>45.11</v>
      </c>
      <c r="AY1904">
        <v>42.37</v>
      </c>
      <c r="AZ1904">
        <v>64.75</v>
      </c>
      <c r="BA1904">
        <v>1.3</v>
      </c>
      <c r="BB1904" t="s">
        <v>125</v>
      </c>
      <c r="BF1904">
        <v>0.06</v>
      </c>
      <c r="BG1904">
        <v>-0.88</v>
      </c>
      <c r="BH1904">
        <v>-1.32</v>
      </c>
      <c r="BI1904">
        <v>0.15</v>
      </c>
      <c r="BJ1904">
        <v>20210827</v>
      </c>
      <c r="BK1904">
        <v>20161012</v>
      </c>
      <c r="BL1904">
        <v>1.74</v>
      </c>
      <c r="BM1904" t="s">
        <v>120</v>
      </c>
      <c r="BN1904" t="s">
        <v>120</v>
      </c>
      <c r="BO1904">
        <v>17.75</v>
      </c>
      <c r="BP1904">
        <v>32.799999999999997</v>
      </c>
      <c r="BQ1904">
        <v>14.3</v>
      </c>
      <c r="BR1904" t="s">
        <v>120</v>
      </c>
      <c r="BS1904">
        <v>19.440000000000001</v>
      </c>
      <c r="BT1904">
        <v>14.52</v>
      </c>
      <c r="BU1904">
        <v>1.71</v>
      </c>
      <c r="BV1904">
        <v>0.16</v>
      </c>
      <c r="BW1904">
        <v>3.38</v>
      </c>
      <c r="BX1904">
        <v>1.92</v>
      </c>
      <c r="BY1904">
        <v>2.66</v>
      </c>
      <c r="BZ1904">
        <v>2.21</v>
      </c>
      <c r="CA1904" t="s">
        <v>120</v>
      </c>
      <c r="CB1904">
        <v>8.0500000000000007</v>
      </c>
      <c r="CC1904">
        <v>5.16</v>
      </c>
      <c r="CD1904">
        <v>3.98</v>
      </c>
      <c r="CE1904">
        <v>0.75</v>
      </c>
      <c r="CF1904">
        <v>0.01</v>
      </c>
      <c r="CG1904">
        <v>0.83</v>
      </c>
      <c r="CH1904">
        <v>0.73</v>
      </c>
      <c r="CI1904">
        <v>0.73</v>
      </c>
      <c r="CJ1904">
        <v>-0.17</v>
      </c>
      <c r="CK1904">
        <v>0.62</v>
      </c>
      <c r="CL1904">
        <v>4.03</v>
      </c>
      <c r="CM1904">
        <v>0.47</v>
      </c>
      <c r="CN1904">
        <v>1.1200000000000001</v>
      </c>
      <c r="CO1904">
        <v>19106</v>
      </c>
      <c r="CP1904">
        <v>4100</v>
      </c>
      <c r="CQ1904" t="s">
        <v>2412</v>
      </c>
      <c r="CR1904">
        <v>174.51</v>
      </c>
      <c r="CS1904">
        <v>52.64</v>
      </c>
      <c r="CT1904">
        <v>3.98</v>
      </c>
      <c r="CU1904">
        <v>120.6</v>
      </c>
      <c r="CV1904">
        <v>11.05</v>
      </c>
      <c r="CW1904">
        <v>0</v>
      </c>
      <c r="CX1904" t="s">
        <v>1631</v>
      </c>
      <c r="CY1904">
        <v>8.24</v>
      </c>
      <c r="CZ1904">
        <v>8.24</v>
      </c>
      <c r="DA1904">
        <v>4.6399999999999997</v>
      </c>
      <c r="DB1904">
        <v>2.3199999999999998</v>
      </c>
      <c r="DC1904">
        <v>0.27</v>
      </c>
      <c r="DD1904">
        <v>80.56</v>
      </c>
      <c r="DE1904" t="s">
        <v>3095</v>
      </c>
      <c r="DF1904">
        <v>22.77</v>
      </c>
      <c r="DG1904">
        <v>14.51</v>
      </c>
      <c r="DH1904">
        <v>14.25</v>
      </c>
      <c r="DI1904">
        <v>0.28999999999999998</v>
      </c>
      <c r="DJ1904">
        <v>1160</v>
      </c>
      <c r="DK1904">
        <v>300548</v>
      </c>
      <c r="DL1904" t="s">
        <v>120</v>
      </c>
      <c r="DM1904" t="s">
        <v>120</v>
      </c>
      <c r="DN1904" t="s">
        <v>120</v>
      </c>
    </row>
    <row r="1905" spans="1:118">
      <c r="A1905" t="str">
        <f>"300549"</f>
        <v>300549</v>
      </c>
      <c r="B1905" t="s">
        <v>9477</v>
      </c>
      <c r="C1905">
        <v>-1.22</v>
      </c>
      <c r="D1905">
        <v>0</v>
      </c>
      <c r="E1905">
        <v>0.28000000000000003</v>
      </c>
      <c r="F1905">
        <v>241</v>
      </c>
      <c r="G1905" t="s">
        <v>9478</v>
      </c>
      <c r="H1905">
        <v>3012.77</v>
      </c>
      <c r="I1905">
        <v>2.17</v>
      </c>
      <c r="J1905" t="s">
        <v>120</v>
      </c>
      <c r="K1905" t="s">
        <v>8225</v>
      </c>
      <c r="L1905">
        <v>1.68</v>
      </c>
      <c r="M1905">
        <v>17.829999999999998</v>
      </c>
      <c r="N1905">
        <v>0.55000000000000004</v>
      </c>
      <c r="O1905">
        <v>1.5</v>
      </c>
      <c r="P1905">
        <v>18.32</v>
      </c>
      <c r="Q1905">
        <v>-1.61</v>
      </c>
      <c r="R1905">
        <v>17.760000000000002</v>
      </c>
      <c r="S1905">
        <v>18.100000000000001</v>
      </c>
      <c r="T1905">
        <v>16711</v>
      </c>
      <c r="U1905">
        <v>17.84</v>
      </c>
      <c r="V1905">
        <v>18.05</v>
      </c>
      <c r="W1905">
        <v>57.22</v>
      </c>
      <c r="X1905" t="s">
        <v>675</v>
      </c>
      <c r="Y1905" t="s">
        <v>319</v>
      </c>
      <c r="Z1905">
        <v>3.1</v>
      </c>
      <c r="AA1905">
        <v>18.03</v>
      </c>
      <c r="AB1905">
        <v>9160</v>
      </c>
      <c r="AC1905">
        <v>7551</v>
      </c>
      <c r="AD1905">
        <v>1.21</v>
      </c>
      <c r="AE1905">
        <v>141</v>
      </c>
      <c r="AF1905">
        <v>27</v>
      </c>
      <c r="AG1905" t="s">
        <v>120</v>
      </c>
      <c r="AH1905">
        <v>0</v>
      </c>
      <c r="AI1905" t="s">
        <v>120</v>
      </c>
      <c r="AJ1905">
        <v>1</v>
      </c>
      <c r="AK1905" t="s">
        <v>4354</v>
      </c>
      <c r="AL1905">
        <v>0.69</v>
      </c>
      <c r="AM1905">
        <v>1162</v>
      </c>
      <c r="AN1905">
        <v>14</v>
      </c>
      <c r="AO1905">
        <v>1.4E-3</v>
      </c>
      <c r="AP1905">
        <v>-2</v>
      </c>
      <c r="AQ1905">
        <v>-2.33</v>
      </c>
      <c r="AR1905">
        <v>-2.73</v>
      </c>
      <c r="AS1905">
        <v>-15.86</v>
      </c>
      <c r="AT1905">
        <v>-16.88</v>
      </c>
      <c r="AU1905">
        <v>-20.36</v>
      </c>
      <c r="AV1905">
        <v>8</v>
      </c>
      <c r="AW1905">
        <v>3.32</v>
      </c>
      <c r="AX1905">
        <v>37.69</v>
      </c>
      <c r="AY1905">
        <v>56.64</v>
      </c>
      <c r="AZ1905">
        <v>106.31</v>
      </c>
      <c r="BA1905">
        <v>1.03</v>
      </c>
      <c r="BB1905" t="s">
        <v>134</v>
      </c>
      <c r="BF1905">
        <v>-0.12</v>
      </c>
      <c r="BG1905">
        <v>-1.49</v>
      </c>
      <c r="BH1905">
        <v>-2.67</v>
      </c>
      <c r="BI1905">
        <v>0.39</v>
      </c>
      <c r="BJ1905">
        <v>20210901</v>
      </c>
      <c r="BK1905">
        <v>20160930</v>
      </c>
      <c r="BL1905">
        <v>1.33</v>
      </c>
      <c r="BM1905" t="s">
        <v>120</v>
      </c>
      <c r="BN1905" t="s">
        <v>120</v>
      </c>
      <c r="BO1905">
        <v>7.32</v>
      </c>
      <c r="BP1905">
        <v>17.829999999999998</v>
      </c>
      <c r="BQ1905">
        <v>5.29</v>
      </c>
      <c r="BR1905">
        <v>0.04</v>
      </c>
      <c r="BS1905">
        <v>27.2</v>
      </c>
      <c r="BT1905">
        <v>4.78</v>
      </c>
      <c r="BU1905">
        <v>1.94</v>
      </c>
      <c r="BV1905">
        <v>0.27</v>
      </c>
      <c r="BW1905">
        <v>1.88</v>
      </c>
      <c r="BX1905">
        <v>0.62</v>
      </c>
      <c r="BY1905">
        <v>0.8</v>
      </c>
      <c r="BZ1905">
        <v>1.69</v>
      </c>
      <c r="CA1905" t="s">
        <v>120</v>
      </c>
      <c r="CB1905">
        <v>1.74</v>
      </c>
      <c r="CC1905">
        <v>1.96</v>
      </c>
      <c r="CD1905">
        <v>1.36</v>
      </c>
      <c r="CE1905">
        <v>0.25</v>
      </c>
      <c r="CF1905">
        <v>0.02</v>
      </c>
      <c r="CG1905">
        <v>0.24</v>
      </c>
      <c r="CH1905">
        <v>0.21</v>
      </c>
      <c r="CI1905">
        <v>0.21</v>
      </c>
      <c r="CJ1905">
        <v>-0.22</v>
      </c>
      <c r="CK1905">
        <v>0.19</v>
      </c>
      <c r="CL1905">
        <v>1.84</v>
      </c>
      <c r="CM1905">
        <v>-0.06</v>
      </c>
      <c r="CN1905">
        <v>-0.08</v>
      </c>
      <c r="CO1905">
        <v>17070</v>
      </c>
      <c r="CP1905">
        <v>2944</v>
      </c>
      <c r="CQ1905" t="s">
        <v>2186</v>
      </c>
      <c r="CR1905">
        <v>2160.19</v>
      </c>
      <c r="CS1905">
        <v>50.64</v>
      </c>
      <c r="CT1905">
        <v>4.49</v>
      </c>
      <c r="CU1905">
        <v>-384.7</v>
      </c>
      <c r="CV1905">
        <v>12.11</v>
      </c>
      <c r="CW1905">
        <v>0.55000000000000004</v>
      </c>
      <c r="CX1905" t="s">
        <v>1091</v>
      </c>
      <c r="CY1905">
        <v>3.97</v>
      </c>
      <c r="CZ1905">
        <v>0</v>
      </c>
      <c r="DA1905">
        <v>1.31</v>
      </c>
      <c r="DB1905">
        <v>1.38</v>
      </c>
      <c r="DC1905">
        <v>-0.05</v>
      </c>
      <c r="DD1905">
        <v>72.25</v>
      </c>
      <c r="DE1905" t="s">
        <v>4245</v>
      </c>
      <c r="DF1905">
        <v>30.85</v>
      </c>
      <c r="DG1905">
        <v>12.51</v>
      </c>
      <c r="DH1905">
        <v>10.58</v>
      </c>
      <c r="DI1905">
        <v>0.09</v>
      </c>
      <c r="DJ1905">
        <v>667</v>
      </c>
      <c r="DK1905">
        <v>300549</v>
      </c>
      <c r="DL1905" t="s">
        <v>120</v>
      </c>
      <c r="DM1905" t="s">
        <v>120</v>
      </c>
      <c r="DN1905" t="s">
        <v>120</v>
      </c>
    </row>
    <row r="1906" spans="1:118">
      <c r="A1906" t="str">
        <f>"300550"</f>
        <v>300550</v>
      </c>
      <c r="B1906" t="s">
        <v>9479</v>
      </c>
      <c r="C1906">
        <v>-1.3</v>
      </c>
      <c r="D1906">
        <v>0</v>
      </c>
      <c r="E1906">
        <v>1.86</v>
      </c>
      <c r="F1906">
        <v>19</v>
      </c>
      <c r="G1906" t="s">
        <v>9480</v>
      </c>
      <c r="H1906">
        <v>1190.03</v>
      </c>
      <c r="I1906">
        <v>37.74</v>
      </c>
      <c r="J1906" t="s">
        <v>120</v>
      </c>
      <c r="K1906" t="s">
        <v>1285</v>
      </c>
      <c r="L1906">
        <v>0.37</v>
      </c>
      <c r="M1906">
        <v>12.19</v>
      </c>
      <c r="N1906">
        <v>0.63</v>
      </c>
      <c r="O1906">
        <v>1.86</v>
      </c>
      <c r="P1906">
        <v>12.58</v>
      </c>
      <c r="Q1906">
        <v>-1.86</v>
      </c>
      <c r="R1906">
        <v>12.12</v>
      </c>
      <c r="S1906">
        <v>12.58</v>
      </c>
      <c r="T1906">
        <v>9686</v>
      </c>
      <c r="U1906">
        <v>12.19</v>
      </c>
      <c r="V1906">
        <v>12.35</v>
      </c>
      <c r="W1906">
        <v>84.31</v>
      </c>
      <c r="X1906" t="s">
        <v>141</v>
      </c>
      <c r="Y1906" t="s">
        <v>585</v>
      </c>
      <c r="Z1906">
        <v>3.72</v>
      </c>
      <c r="AA1906">
        <v>12.29</v>
      </c>
      <c r="AB1906">
        <v>5800</v>
      </c>
      <c r="AC1906">
        <v>3886</v>
      </c>
      <c r="AD1906">
        <v>1.49</v>
      </c>
      <c r="AE1906">
        <v>5</v>
      </c>
      <c r="AF1906">
        <v>88</v>
      </c>
      <c r="AG1906" t="s">
        <v>120</v>
      </c>
      <c r="AH1906">
        <v>0.02</v>
      </c>
      <c r="AI1906" t="s">
        <v>120</v>
      </c>
      <c r="AJ1906">
        <v>2.61</v>
      </c>
      <c r="AK1906" t="s">
        <v>423</v>
      </c>
      <c r="AL1906">
        <v>0.62</v>
      </c>
      <c r="AM1906">
        <v>671</v>
      </c>
      <c r="AN1906">
        <v>14</v>
      </c>
      <c r="AO1906">
        <v>5.9999999999999995E-4</v>
      </c>
      <c r="AP1906">
        <v>-3</v>
      </c>
      <c r="AQ1906">
        <v>-1.36</v>
      </c>
      <c r="AR1906">
        <v>-3.94</v>
      </c>
      <c r="AS1906">
        <v>-0.89</v>
      </c>
      <c r="AT1906">
        <v>-10.63</v>
      </c>
      <c r="AU1906">
        <v>-4.47</v>
      </c>
      <c r="AV1906">
        <v>0</v>
      </c>
      <c r="AW1906">
        <v>0.75</v>
      </c>
      <c r="AX1906">
        <v>48.69</v>
      </c>
      <c r="AY1906">
        <v>58.88</v>
      </c>
      <c r="AZ1906">
        <v>75.86</v>
      </c>
      <c r="BA1906">
        <v>0.66</v>
      </c>
      <c r="BB1906" t="s">
        <v>125</v>
      </c>
      <c r="BF1906">
        <v>-0.52</v>
      </c>
      <c r="BG1906">
        <v>-3.1</v>
      </c>
      <c r="BH1906">
        <v>-3.1</v>
      </c>
      <c r="BI1906">
        <v>0.57999999999999996</v>
      </c>
      <c r="BJ1906">
        <v>20210830</v>
      </c>
      <c r="BK1906">
        <v>20161018</v>
      </c>
      <c r="BL1906">
        <v>2.65</v>
      </c>
      <c r="BM1906" t="s">
        <v>120</v>
      </c>
      <c r="BN1906" t="s">
        <v>120</v>
      </c>
      <c r="BO1906">
        <v>14.15</v>
      </c>
      <c r="BP1906">
        <v>12.16</v>
      </c>
      <c r="BQ1906">
        <v>11.24</v>
      </c>
      <c r="BR1906">
        <v>0.3</v>
      </c>
      <c r="BS1906">
        <v>18.46</v>
      </c>
      <c r="BT1906">
        <v>11.62</v>
      </c>
      <c r="BU1906">
        <v>0.81</v>
      </c>
      <c r="BV1906">
        <v>7.0000000000000007E-2</v>
      </c>
      <c r="BW1906">
        <v>2.59</v>
      </c>
      <c r="BX1906">
        <v>3.45</v>
      </c>
      <c r="BY1906">
        <v>0.55000000000000004</v>
      </c>
      <c r="BZ1906">
        <v>2.44</v>
      </c>
      <c r="CA1906">
        <v>0.01</v>
      </c>
      <c r="CB1906">
        <v>6.34</v>
      </c>
      <c r="CC1906">
        <v>1.92</v>
      </c>
      <c r="CD1906">
        <v>1.17</v>
      </c>
      <c r="CE1906">
        <v>0.2</v>
      </c>
      <c r="CF1906">
        <v>0.04</v>
      </c>
      <c r="CG1906">
        <v>0.2</v>
      </c>
      <c r="CH1906">
        <v>0.19</v>
      </c>
      <c r="CI1906">
        <v>0.19</v>
      </c>
      <c r="CJ1906">
        <v>-0.16</v>
      </c>
      <c r="CK1906">
        <v>0.15</v>
      </c>
      <c r="CL1906">
        <v>2.12</v>
      </c>
      <c r="CM1906">
        <v>-0.66</v>
      </c>
      <c r="CN1906">
        <v>-0.92</v>
      </c>
      <c r="CO1906">
        <v>7879</v>
      </c>
      <c r="CP1906">
        <v>16375</v>
      </c>
      <c r="CQ1906" t="s">
        <v>9481</v>
      </c>
      <c r="CR1906">
        <v>185.07</v>
      </c>
      <c r="CS1906">
        <v>16.28</v>
      </c>
      <c r="CT1906">
        <v>2.87</v>
      </c>
      <c r="CU1906">
        <v>-48.93</v>
      </c>
      <c r="CV1906">
        <v>16.84</v>
      </c>
      <c r="CW1906">
        <v>0.2</v>
      </c>
      <c r="CX1906" t="s">
        <v>679</v>
      </c>
      <c r="CY1906">
        <v>4.24</v>
      </c>
      <c r="CZ1906">
        <v>0</v>
      </c>
      <c r="DA1906">
        <v>2.39</v>
      </c>
      <c r="DB1906">
        <v>0.8</v>
      </c>
      <c r="DC1906">
        <v>-0.25</v>
      </c>
      <c r="DD1906">
        <v>79.44</v>
      </c>
      <c r="DE1906" t="s">
        <v>5935</v>
      </c>
      <c r="DF1906">
        <v>39</v>
      </c>
      <c r="DG1906">
        <v>10.32</v>
      </c>
      <c r="DH1906">
        <v>9.99</v>
      </c>
      <c r="DI1906">
        <v>0.21</v>
      </c>
      <c r="DJ1906">
        <v>720</v>
      </c>
      <c r="DK1906">
        <v>300550</v>
      </c>
      <c r="DL1906" t="s">
        <v>120</v>
      </c>
      <c r="DM1906" t="s">
        <v>120</v>
      </c>
      <c r="DN1906" t="s">
        <v>120</v>
      </c>
    </row>
    <row r="1907" spans="1:118">
      <c r="A1907" t="str">
        <f>"300551"</f>
        <v>300551</v>
      </c>
      <c r="B1907" t="s">
        <v>9482</v>
      </c>
      <c r="C1907">
        <v>-1.92</v>
      </c>
      <c r="D1907">
        <v>0.37</v>
      </c>
      <c r="E1907">
        <v>0.06</v>
      </c>
      <c r="F1907">
        <v>603</v>
      </c>
      <c r="G1907" t="s">
        <v>1917</v>
      </c>
      <c r="H1907">
        <v>5426.77</v>
      </c>
      <c r="I1907">
        <v>0</v>
      </c>
      <c r="J1907" t="s">
        <v>120</v>
      </c>
      <c r="K1907" t="s">
        <v>7065</v>
      </c>
      <c r="L1907">
        <v>1.4</v>
      </c>
      <c r="M1907">
        <v>16.34</v>
      </c>
      <c r="N1907">
        <v>0.85</v>
      </c>
      <c r="O1907">
        <v>0.42</v>
      </c>
      <c r="P1907">
        <v>16.73</v>
      </c>
      <c r="Q1907">
        <v>-3.3</v>
      </c>
      <c r="R1907">
        <v>16.11</v>
      </c>
      <c r="S1907">
        <v>16.670000000000002</v>
      </c>
      <c r="T1907">
        <v>33144</v>
      </c>
      <c r="U1907">
        <v>16.34</v>
      </c>
      <c r="V1907">
        <v>16.66</v>
      </c>
      <c r="W1907" t="s">
        <v>120</v>
      </c>
      <c r="X1907" t="s">
        <v>238</v>
      </c>
      <c r="Y1907" t="s">
        <v>1510</v>
      </c>
      <c r="Z1907">
        <v>3.72</v>
      </c>
      <c r="AA1907">
        <v>16.37</v>
      </c>
      <c r="AB1907">
        <v>22131</v>
      </c>
      <c r="AC1907">
        <v>11013</v>
      </c>
      <c r="AD1907">
        <v>2.0099999999999998</v>
      </c>
      <c r="AE1907">
        <v>194</v>
      </c>
      <c r="AF1907">
        <v>12</v>
      </c>
      <c r="AG1907" t="s">
        <v>120</v>
      </c>
      <c r="AH1907">
        <v>0</v>
      </c>
      <c r="AI1907" t="s">
        <v>120</v>
      </c>
      <c r="AJ1907">
        <v>2.36</v>
      </c>
      <c r="AK1907" t="s">
        <v>9483</v>
      </c>
      <c r="AL1907">
        <v>-0.01</v>
      </c>
      <c r="AM1907">
        <v>1028</v>
      </c>
      <c r="AN1907">
        <v>32</v>
      </c>
      <c r="AO1907">
        <v>1.4E-3</v>
      </c>
      <c r="AP1907">
        <v>-3</v>
      </c>
      <c r="AQ1907">
        <v>-1.07</v>
      </c>
      <c r="AR1907">
        <v>-4.6100000000000003</v>
      </c>
      <c r="AS1907">
        <v>-3.6</v>
      </c>
      <c r="AT1907">
        <v>4.6100000000000003</v>
      </c>
      <c r="AU1907">
        <v>-14.84</v>
      </c>
      <c r="AV1907">
        <v>0</v>
      </c>
      <c r="AW1907">
        <v>1.55</v>
      </c>
      <c r="AX1907">
        <v>70.510000000000005</v>
      </c>
      <c r="AY1907">
        <v>255.94</v>
      </c>
      <c r="AZ1907">
        <v>211.14</v>
      </c>
      <c r="BA1907">
        <v>0.34</v>
      </c>
      <c r="BB1907" t="s">
        <v>143</v>
      </c>
      <c r="BF1907">
        <v>-1.72</v>
      </c>
      <c r="BG1907">
        <v>-1.98</v>
      </c>
      <c r="BH1907">
        <v>-2.33</v>
      </c>
      <c r="BI1907">
        <v>1.43</v>
      </c>
      <c r="BJ1907">
        <v>20210826</v>
      </c>
      <c r="BK1907">
        <v>20161018</v>
      </c>
      <c r="BL1907">
        <v>3.04</v>
      </c>
      <c r="BM1907" t="s">
        <v>120</v>
      </c>
      <c r="BN1907" t="s">
        <v>120</v>
      </c>
      <c r="BO1907">
        <v>7.75</v>
      </c>
      <c r="BP1907">
        <v>16.28</v>
      </c>
      <c r="BQ1907">
        <v>6.1</v>
      </c>
      <c r="BR1907">
        <v>0.1</v>
      </c>
      <c r="BS1907">
        <v>19.95</v>
      </c>
      <c r="BT1907">
        <v>5.82</v>
      </c>
      <c r="BU1907">
        <v>0.95</v>
      </c>
      <c r="BV1907">
        <v>0.39</v>
      </c>
      <c r="BW1907">
        <v>0.92</v>
      </c>
      <c r="BX1907">
        <v>0.91</v>
      </c>
      <c r="BY1907">
        <v>1.55</v>
      </c>
      <c r="BZ1907">
        <v>1.52</v>
      </c>
      <c r="CA1907" t="s">
        <v>120</v>
      </c>
      <c r="CB1907">
        <v>0.35</v>
      </c>
      <c r="CC1907">
        <v>0.81</v>
      </c>
      <c r="CD1907">
        <v>0.47</v>
      </c>
      <c r="CE1907">
        <v>-0.17</v>
      </c>
      <c r="CF1907">
        <v>0.02</v>
      </c>
      <c r="CG1907">
        <v>-0.16</v>
      </c>
      <c r="CH1907">
        <v>-0.16</v>
      </c>
      <c r="CI1907">
        <v>-0.16</v>
      </c>
      <c r="CJ1907">
        <v>-0.32</v>
      </c>
      <c r="CK1907">
        <v>-0.2</v>
      </c>
      <c r="CL1907">
        <v>2.48</v>
      </c>
      <c r="CM1907">
        <v>-1.05</v>
      </c>
      <c r="CN1907">
        <v>-2.54</v>
      </c>
      <c r="CO1907">
        <v>8685</v>
      </c>
      <c r="CP1907">
        <v>24686</v>
      </c>
      <c r="CQ1907" t="s">
        <v>9484</v>
      </c>
      <c r="CR1907">
        <v>-35.86</v>
      </c>
      <c r="CS1907">
        <v>-17.53</v>
      </c>
      <c r="CT1907">
        <v>8.15</v>
      </c>
      <c r="CU1907">
        <v>-47.27</v>
      </c>
      <c r="CV1907">
        <v>61.34</v>
      </c>
      <c r="CW1907">
        <v>0.08</v>
      </c>
      <c r="CX1907" t="s">
        <v>161</v>
      </c>
      <c r="CY1907">
        <v>2.0099999999999998</v>
      </c>
      <c r="CZ1907">
        <v>0</v>
      </c>
      <c r="DA1907">
        <v>0.12</v>
      </c>
      <c r="DB1907">
        <v>0.82</v>
      </c>
      <c r="DC1907">
        <v>-0.35</v>
      </c>
      <c r="DD1907">
        <v>78.739999999999995</v>
      </c>
      <c r="DE1907" t="s">
        <v>6914</v>
      </c>
      <c r="DF1907">
        <v>41.96</v>
      </c>
      <c r="DG1907">
        <v>-20.55</v>
      </c>
      <c r="DH1907">
        <v>-19.64</v>
      </c>
      <c r="DI1907">
        <v>0.16</v>
      </c>
      <c r="DJ1907">
        <v>632</v>
      </c>
      <c r="DK1907">
        <v>300551</v>
      </c>
      <c r="DL1907" t="s">
        <v>120</v>
      </c>
      <c r="DM1907" t="s">
        <v>120</v>
      </c>
      <c r="DN1907" t="s">
        <v>120</v>
      </c>
    </row>
    <row r="1908" spans="1:118">
      <c r="A1908" t="str">
        <f>"300552"</f>
        <v>300552</v>
      </c>
      <c r="B1908" t="s">
        <v>9485</v>
      </c>
      <c r="C1908">
        <v>4.37</v>
      </c>
      <c r="D1908">
        <v>-0.37</v>
      </c>
      <c r="E1908">
        <v>-0.18</v>
      </c>
      <c r="F1908">
        <v>398</v>
      </c>
      <c r="G1908" t="s">
        <v>6894</v>
      </c>
      <c r="H1908">
        <v>10134.75</v>
      </c>
      <c r="I1908">
        <v>72.34</v>
      </c>
      <c r="J1908" t="s">
        <v>120</v>
      </c>
      <c r="K1908" t="s">
        <v>6028</v>
      </c>
      <c r="L1908">
        <v>3.19</v>
      </c>
      <c r="M1908">
        <v>28.65</v>
      </c>
      <c r="N1908">
        <v>2.41</v>
      </c>
      <c r="O1908">
        <v>7.65</v>
      </c>
      <c r="P1908">
        <v>29.55</v>
      </c>
      <c r="Q1908">
        <v>-0.91</v>
      </c>
      <c r="R1908">
        <v>27.2</v>
      </c>
      <c r="S1908">
        <v>27.4</v>
      </c>
      <c r="T1908">
        <v>35306</v>
      </c>
      <c r="U1908">
        <v>28.71</v>
      </c>
      <c r="V1908">
        <v>27.45</v>
      </c>
      <c r="W1908">
        <v>60.85</v>
      </c>
      <c r="X1908" t="s">
        <v>141</v>
      </c>
      <c r="Y1908" t="s">
        <v>158</v>
      </c>
      <c r="Z1908">
        <v>8.56</v>
      </c>
      <c r="AA1908">
        <v>28.71</v>
      </c>
      <c r="AB1908">
        <v>14109</v>
      </c>
      <c r="AC1908">
        <v>21197</v>
      </c>
      <c r="AD1908">
        <v>0.67</v>
      </c>
      <c r="AE1908">
        <v>5</v>
      </c>
      <c r="AF1908">
        <v>10</v>
      </c>
      <c r="AG1908" t="s">
        <v>120</v>
      </c>
      <c r="AH1908">
        <v>0.03</v>
      </c>
      <c r="AI1908" t="s">
        <v>120</v>
      </c>
      <c r="AJ1908">
        <v>1.1100000000000001</v>
      </c>
      <c r="AK1908" t="s">
        <v>9486</v>
      </c>
      <c r="AL1908">
        <v>6.29</v>
      </c>
      <c r="AM1908">
        <v>1781</v>
      </c>
      <c r="AN1908">
        <v>20</v>
      </c>
      <c r="AO1908">
        <v>1.8E-3</v>
      </c>
      <c r="AP1908">
        <v>1</v>
      </c>
      <c r="AQ1908">
        <v>-2.2799999999999998</v>
      </c>
      <c r="AR1908">
        <v>-0.46</v>
      </c>
      <c r="AS1908">
        <v>-5.14</v>
      </c>
      <c r="AT1908">
        <v>-11.14</v>
      </c>
      <c r="AU1908">
        <v>-36.49</v>
      </c>
      <c r="AV1908">
        <v>0</v>
      </c>
      <c r="AW1908">
        <v>4.24</v>
      </c>
      <c r="AX1908">
        <v>42.05</v>
      </c>
      <c r="AY1908">
        <v>16.84</v>
      </c>
      <c r="AZ1908">
        <v>9.01</v>
      </c>
      <c r="BA1908">
        <v>0.6</v>
      </c>
      <c r="BB1908" t="s">
        <v>240</v>
      </c>
      <c r="BF1908">
        <v>4.57</v>
      </c>
      <c r="BG1908">
        <v>4.5599999999999996</v>
      </c>
      <c r="BH1908">
        <v>-3.05</v>
      </c>
      <c r="BI1908">
        <v>5.33</v>
      </c>
      <c r="BJ1908">
        <v>20210915</v>
      </c>
      <c r="BK1908">
        <v>20161021</v>
      </c>
      <c r="BL1908">
        <v>1.98</v>
      </c>
      <c r="BM1908" t="s">
        <v>120</v>
      </c>
      <c r="BN1908" t="s">
        <v>120</v>
      </c>
      <c r="BO1908">
        <v>25.91</v>
      </c>
      <c r="BP1908">
        <v>28.65</v>
      </c>
      <c r="BQ1908">
        <v>20.64</v>
      </c>
      <c r="BR1908">
        <v>0.04</v>
      </c>
      <c r="BS1908">
        <v>20.21</v>
      </c>
      <c r="BT1908">
        <v>21.69</v>
      </c>
      <c r="BU1908">
        <v>1.25</v>
      </c>
      <c r="BV1908">
        <v>0.27</v>
      </c>
      <c r="BW1908">
        <v>5.19</v>
      </c>
      <c r="BX1908">
        <v>6.56</v>
      </c>
      <c r="BY1908">
        <v>4</v>
      </c>
      <c r="BZ1908">
        <v>10.33</v>
      </c>
      <c r="CA1908" t="s">
        <v>120</v>
      </c>
      <c r="CB1908">
        <v>3.58</v>
      </c>
      <c r="CC1908">
        <v>4.18</v>
      </c>
      <c r="CD1908">
        <v>1.96</v>
      </c>
      <c r="CE1908">
        <v>0.45</v>
      </c>
      <c r="CF1908">
        <v>0.04</v>
      </c>
      <c r="CG1908">
        <v>0.45</v>
      </c>
      <c r="CH1908">
        <v>0.45</v>
      </c>
      <c r="CI1908">
        <v>0.47</v>
      </c>
      <c r="CJ1908">
        <v>1.2</v>
      </c>
      <c r="CK1908">
        <v>0.41</v>
      </c>
      <c r="CL1908">
        <v>14.05</v>
      </c>
      <c r="CM1908">
        <v>1.29</v>
      </c>
      <c r="CN1908">
        <v>-0.16</v>
      </c>
      <c r="CO1908">
        <v>26552</v>
      </c>
      <c r="CP1908">
        <v>3135</v>
      </c>
      <c r="CQ1908" t="s">
        <v>816</v>
      </c>
      <c r="CR1908">
        <v>-85.74</v>
      </c>
      <c r="CS1908">
        <v>-45.09</v>
      </c>
      <c r="CT1908">
        <v>2.75</v>
      </c>
      <c r="CU1908">
        <v>43.84</v>
      </c>
      <c r="CV1908">
        <v>13.56</v>
      </c>
      <c r="CW1908">
        <v>2.2200000000000002</v>
      </c>
      <c r="CX1908" t="s">
        <v>626</v>
      </c>
      <c r="CY1908">
        <v>10.43</v>
      </c>
      <c r="CZ1908">
        <v>10.43</v>
      </c>
      <c r="DA1908">
        <v>1.81</v>
      </c>
      <c r="DB1908">
        <v>7.1</v>
      </c>
      <c r="DC1908">
        <v>0.65</v>
      </c>
      <c r="DD1908">
        <v>79.64</v>
      </c>
      <c r="DE1908" t="s">
        <v>6253</v>
      </c>
      <c r="DF1908">
        <v>53.03</v>
      </c>
      <c r="DG1908">
        <v>10.77</v>
      </c>
      <c r="DH1908">
        <v>11.14</v>
      </c>
      <c r="DI1908">
        <v>0.96</v>
      </c>
      <c r="DJ1908">
        <v>1335</v>
      </c>
      <c r="DK1908">
        <v>300552</v>
      </c>
      <c r="DL1908" t="s">
        <v>120</v>
      </c>
      <c r="DM1908" t="s">
        <v>120</v>
      </c>
      <c r="DN1908" t="s">
        <v>120</v>
      </c>
    </row>
    <row r="1909" spans="1:118">
      <c r="A1909" t="str">
        <f>"300553"</f>
        <v>300553</v>
      </c>
      <c r="B1909" t="s">
        <v>9487</v>
      </c>
      <c r="C1909">
        <v>0.96</v>
      </c>
      <c r="D1909">
        <v>0.08</v>
      </c>
      <c r="E1909">
        <v>0.69</v>
      </c>
      <c r="F1909">
        <v>81</v>
      </c>
      <c r="G1909" t="s">
        <v>9488</v>
      </c>
      <c r="H1909">
        <v>2538.85</v>
      </c>
      <c r="I1909">
        <v>9.15</v>
      </c>
      <c r="J1909" t="s">
        <v>120</v>
      </c>
      <c r="K1909" t="s">
        <v>9489</v>
      </c>
      <c r="L1909">
        <v>2.34</v>
      </c>
      <c r="M1909">
        <v>36.700000000000003</v>
      </c>
      <c r="N1909">
        <v>0.85</v>
      </c>
      <c r="O1909">
        <v>2.72</v>
      </c>
      <c r="P1909">
        <v>37.340000000000003</v>
      </c>
      <c r="Q1909">
        <v>-1.49</v>
      </c>
      <c r="R1909">
        <v>35.81</v>
      </c>
      <c r="S1909">
        <v>36.6</v>
      </c>
      <c r="T1909">
        <v>6929</v>
      </c>
      <c r="U1909">
        <v>36.72</v>
      </c>
      <c r="V1909">
        <v>36.35</v>
      </c>
      <c r="W1909">
        <v>50.36</v>
      </c>
      <c r="X1909" t="s">
        <v>2717</v>
      </c>
      <c r="Y1909" t="s">
        <v>585</v>
      </c>
      <c r="Z1909">
        <v>4.21</v>
      </c>
      <c r="AA1909">
        <v>36.64</v>
      </c>
      <c r="AB1909">
        <v>3501</v>
      </c>
      <c r="AC1909">
        <v>3428</v>
      </c>
      <c r="AD1909">
        <v>1.02</v>
      </c>
      <c r="AE1909">
        <v>3</v>
      </c>
      <c r="AF1909">
        <v>5</v>
      </c>
      <c r="AG1909" t="s">
        <v>120</v>
      </c>
      <c r="AH1909">
        <v>0.01</v>
      </c>
      <c r="AI1909" t="s">
        <v>120</v>
      </c>
      <c r="AJ1909">
        <v>0.3</v>
      </c>
      <c r="AK1909" t="s">
        <v>9490</v>
      </c>
      <c r="AL1909">
        <v>2.88</v>
      </c>
      <c r="AM1909">
        <v>921</v>
      </c>
      <c r="AN1909">
        <v>8</v>
      </c>
      <c r="AO1909">
        <v>2.5000000000000001E-3</v>
      </c>
      <c r="AP1909">
        <v>2</v>
      </c>
      <c r="AQ1909">
        <v>1.56</v>
      </c>
      <c r="AR1909">
        <v>1.6</v>
      </c>
      <c r="AS1909">
        <v>-0.75</v>
      </c>
      <c r="AT1909">
        <v>17.55</v>
      </c>
      <c r="AU1909">
        <v>20.010000000000002</v>
      </c>
      <c r="AV1909">
        <v>2</v>
      </c>
      <c r="AW1909">
        <v>3.34</v>
      </c>
      <c r="AX1909">
        <v>43.23</v>
      </c>
      <c r="AY1909">
        <v>70.180000000000007</v>
      </c>
      <c r="AZ1909">
        <v>137.05000000000001</v>
      </c>
      <c r="BA1909">
        <v>0.87</v>
      </c>
      <c r="BB1909" t="s">
        <v>143</v>
      </c>
      <c r="BF1909">
        <v>0.8</v>
      </c>
      <c r="BG1909">
        <v>0.27</v>
      </c>
      <c r="BH1909">
        <v>-1.71</v>
      </c>
      <c r="BI1909">
        <v>2.4900000000000002</v>
      </c>
      <c r="BJ1909">
        <v>20210825</v>
      </c>
      <c r="BK1909">
        <v>20161021</v>
      </c>
      <c r="BL1909">
        <v>0.48</v>
      </c>
      <c r="BM1909" t="s">
        <v>120</v>
      </c>
      <c r="BN1909" t="s">
        <v>120</v>
      </c>
      <c r="BO1909">
        <v>4.6900000000000004</v>
      </c>
      <c r="BP1909">
        <v>36.700000000000003</v>
      </c>
      <c r="BQ1909">
        <v>3.52</v>
      </c>
      <c r="BR1909">
        <v>-0.03</v>
      </c>
      <c r="BS1909">
        <v>25.55</v>
      </c>
      <c r="BT1909">
        <v>3.6</v>
      </c>
      <c r="BU1909">
        <v>0.78</v>
      </c>
      <c r="BV1909">
        <v>0.05</v>
      </c>
      <c r="BW1909">
        <v>1.18</v>
      </c>
      <c r="BX1909">
        <v>0.7</v>
      </c>
      <c r="BY1909">
        <v>1.22</v>
      </c>
      <c r="BZ1909">
        <v>0.61</v>
      </c>
      <c r="CA1909" t="s">
        <v>120</v>
      </c>
      <c r="CB1909">
        <v>1.59</v>
      </c>
      <c r="CC1909">
        <v>1.01</v>
      </c>
      <c r="CD1909">
        <v>0.56000000000000005</v>
      </c>
      <c r="CE1909">
        <v>0.17</v>
      </c>
      <c r="CF1909">
        <v>0.02</v>
      </c>
      <c r="CG1909">
        <v>0.19</v>
      </c>
      <c r="CH1909">
        <v>0.16</v>
      </c>
      <c r="CI1909">
        <v>0.17</v>
      </c>
      <c r="CJ1909">
        <v>0.35</v>
      </c>
      <c r="CK1909">
        <v>0.13</v>
      </c>
      <c r="CL1909">
        <v>1.22</v>
      </c>
      <c r="CM1909">
        <v>-0.02</v>
      </c>
      <c r="CN1909">
        <v>-0.05</v>
      </c>
      <c r="CO1909">
        <v>7071</v>
      </c>
      <c r="CP1909">
        <v>2934</v>
      </c>
      <c r="CQ1909" t="s">
        <v>8435</v>
      </c>
      <c r="CR1909">
        <v>226.33</v>
      </c>
      <c r="CS1909">
        <v>56.54</v>
      </c>
      <c r="CT1909">
        <v>5</v>
      </c>
      <c r="CU1909">
        <v>-749.27</v>
      </c>
      <c r="CV1909">
        <v>17.52</v>
      </c>
      <c r="CW1909">
        <v>0.55000000000000004</v>
      </c>
      <c r="CX1909" t="s">
        <v>472</v>
      </c>
      <c r="CY1909">
        <v>7.34</v>
      </c>
      <c r="CZ1909">
        <v>0</v>
      </c>
      <c r="DA1909">
        <v>3.31</v>
      </c>
      <c r="DB1909">
        <v>2.5299999999999998</v>
      </c>
      <c r="DC1909">
        <v>-0.05</v>
      </c>
      <c r="DD1909">
        <v>75.150000000000006</v>
      </c>
      <c r="DE1909" t="s">
        <v>9491</v>
      </c>
      <c r="DF1909">
        <v>44.71</v>
      </c>
      <c r="DG1909">
        <v>16.98</v>
      </c>
      <c r="DH1909">
        <v>17.39</v>
      </c>
      <c r="DI1909">
        <v>0.09</v>
      </c>
      <c r="DJ1909">
        <v>264</v>
      </c>
      <c r="DK1909">
        <v>300553</v>
      </c>
      <c r="DL1909" t="s">
        <v>120</v>
      </c>
      <c r="DM1909" t="s">
        <v>120</v>
      </c>
      <c r="DN1909" t="s">
        <v>120</v>
      </c>
    </row>
    <row r="1910" spans="1:118">
      <c r="A1910" t="str">
        <f>"300554"</f>
        <v>300554</v>
      </c>
      <c r="B1910" t="s">
        <v>9492</v>
      </c>
      <c r="C1910">
        <v>-2.86</v>
      </c>
      <c r="D1910">
        <v>0</v>
      </c>
      <c r="E1910">
        <v>0.11</v>
      </c>
      <c r="F1910">
        <v>514</v>
      </c>
      <c r="G1910" t="s">
        <v>9493</v>
      </c>
      <c r="H1910">
        <v>4566.5200000000004</v>
      </c>
      <c r="I1910">
        <v>0</v>
      </c>
      <c r="J1910" t="s">
        <v>120</v>
      </c>
      <c r="K1910" t="s">
        <v>9494</v>
      </c>
      <c r="L1910">
        <v>4.8600000000000003</v>
      </c>
      <c r="M1910">
        <v>17.309999999999999</v>
      </c>
      <c r="N1910">
        <v>0.87</v>
      </c>
      <c r="O1910">
        <v>2.36</v>
      </c>
      <c r="P1910">
        <v>18.239999999999998</v>
      </c>
      <c r="Q1910">
        <v>-3.03</v>
      </c>
      <c r="R1910">
        <v>17.28</v>
      </c>
      <c r="S1910">
        <v>17.84</v>
      </c>
      <c r="T1910">
        <v>25704</v>
      </c>
      <c r="U1910">
        <v>17.32</v>
      </c>
      <c r="V1910">
        <v>17.82</v>
      </c>
      <c r="W1910">
        <v>75.83</v>
      </c>
      <c r="X1910" t="s">
        <v>1991</v>
      </c>
      <c r="Y1910" t="s">
        <v>319</v>
      </c>
      <c r="Z1910">
        <v>5.39</v>
      </c>
      <c r="AA1910">
        <v>17.77</v>
      </c>
      <c r="AB1910">
        <v>15813</v>
      </c>
      <c r="AC1910">
        <v>9891</v>
      </c>
      <c r="AD1910">
        <v>1.6</v>
      </c>
      <c r="AE1910">
        <v>94</v>
      </c>
      <c r="AF1910">
        <v>51</v>
      </c>
      <c r="AG1910" t="s">
        <v>120</v>
      </c>
      <c r="AH1910">
        <v>0</v>
      </c>
      <c r="AI1910" t="s">
        <v>120</v>
      </c>
      <c r="AJ1910">
        <v>0.53</v>
      </c>
      <c r="AK1910" t="s">
        <v>9495</v>
      </c>
      <c r="AL1910">
        <v>-0.95</v>
      </c>
      <c r="AM1910">
        <v>1363</v>
      </c>
      <c r="AN1910">
        <v>19</v>
      </c>
      <c r="AO1910">
        <v>3.5999999999999999E-3</v>
      </c>
      <c r="AP1910">
        <v>-1</v>
      </c>
      <c r="AQ1910">
        <v>0.73</v>
      </c>
      <c r="AR1910">
        <v>-3.94</v>
      </c>
      <c r="AS1910">
        <v>-0.57999999999999996</v>
      </c>
      <c r="AT1910">
        <v>-9.3699999999999992</v>
      </c>
      <c r="AU1910">
        <v>-23.31</v>
      </c>
      <c r="AV1910">
        <v>0</v>
      </c>
      <c r="AW1910">
        <v>5.9</v>
      </c>
      <c r="AX1910">
        <v>46.51</v>
      </c>
      <c r="AY1910">
        <v>93.68</v>
      </c>
      <c r="AZ1910">
        <v>83.28</v>
      </c>
      <c r="BA1910">
        <v>0.62</v>
      </c>
      <c r="BB1910" t="s">
        <v>143</v>
      </c>
      <c r="BF1910">
        <v>-0.3</v>
      </c>
      <c r="BG1910">
        <v>-2.97</v>
      </c>
      <c r="BH1910">
        <v>-5.0999999999999996</v>
      </c>
      <c r="BI1910">
        <v>0.17</v>
      </c>
      <c r="BJ1910">
        <v>20210827</v>
      </c>
      <c r="BK1910">
        <v>20170421</v>
      </c>
      <c r="BL1910">
        <v>0.94</v>
      </c>
      <c r="BM1910" t="s">
        <v>120</v>
      </c>
      <c r="BN1910" t="s">
        <v>120</v>
      </c>
      <c r="BO1910">
        <v>8.65</v>
      </c>
      <c r="BP1910">
        <v>17.309999999999999</v>
      </c>
      <c r="BQ1910">
        <v>5.82</v>
      </c>
      <c r="BR1910" t="s">
        <v>120</v>
      </c>
      <c r="BS1910">
        <v>32.71</v>
      </c>
      <c r="BT1910">
        <v>4.54</v>
      </c>
      <c r="BU1910">
        <v>2.75</v>
      </c>
      <c r="BV1910">
        <v>0.21</v>
      </c>
      <c r="BW1910">
        <v>1.29</v>
      </c>
      <c r="BX1910">
        <v>1.08</v>
      </c>
      <c r="BY1910">
        <v>0.7</v>
      </c>
      <c r="BZ1910">
        <v>0.88</v>
      </c>
      <c r="CA1910" t="s">
        <v>120</v>
      </c>
      <c r="CB1910">
        <v>2.19</v>
      </c>
      <c r="CC1910">
        <v>1.28</v>
      </c>
      <c r="CD1910">
        <v>0.86</v>
      </c>
      <c r="CE1910">
        <v>0.12</v>
      </c>
      <c r="CF1910">
        <v>0</v>
      </c>
      <c r="CG1910">
        <v>0.12</v>
      </c>
      <c r="CH1910">
        <v>0.11</v>
      </c>
      <c r="CI1910">
        <v>0.11</v>
      </c>
      <c r="CJ1910">
        <v>-0.51</v>
      </c>
      <c r="CK1910">
        <v>0.1</v>
      </c>
      <c r="CL1910">
        <v>1.94</v>
      </c>
      <c r="CM1910">
        <v>0.93</v>
      </c>
      <c r="CN1910">
        <v>0.21</v>
      </c>
      <c r="CO1910">
        <v>13202</v>
      </c>
      <c r="CP1910">
        <v>3298</v>
      </c>
      <c r="CQ1910" t="s">
        <v>542</v>
      </c>
      <c r="CR1910">
        <v>-17.23</v>
      </c>
      <c r="CS1910">
        <v>-3.19</v>
      </c>
      <c r="CT1910">
        <v>3.09</v>
      </c>
      <c r="CU1910">
        <v>17.489999999999998</v>
      </c>
      <c r="CV1910">
        <v>12.69</v>
      </c>
      <c r="CW1910">
        <v>0.22</v>
      </c>
      <c r="CX1910" t="s">
        <v>1147</v>
      </c>
      <c r="CY1910">
        <v>5.61</v>
      </c>
      <c r="CZ1910">
        <v>5.61</v>
      </c>
      <c r="DA1910">
        <v>2.34</v>
      </c>
      <c r="DB1910">
        <v>2.08</v>
      </c>
      <c r="DC1910">
        <v>0.99</v>
      </c>
      <c r="DD1910">
        <v>67.290000000000006</v>
      </c>
      <c r="DE1910" t="s">
        <v>4306</v>
      </c>
      <c r="DF1910">
        <v>32.31</v>
      </c>
      <c r="DG1910">
        <v>9.49</v>
      </c>
      <c r="DH1910">
        <v>8.3699999999999992</v>
      </c>
      <c r="DI1910">
        <v>0.09</v>
      </c>
      <c r="DJ1910">
        <v>570</v>
      </c>
      <c r="DK1910">
        <v>300554</v>
      </c>
      <c r="DL1910" t="s">
        <v>120</v>
      </c>
      <c r="DM1910" t="s">
        <v>120</v>
      </c>
      <c r="DN1910" t="s">
        <v>120</v>
      </c>
    </row>
    <row r="1911" spans="1:118">
      <c r="A1911" t="str">
        <f>"300555"</f>
        <v>300555</v>
      </c>
      <c r="B1911" t="s">
        <v>9496</v>
      </c>
      <c r="C1911">
        <v>-1.71</v>
      </c>
      <c r="D1911">
        <v>-0.11</v>
      </c>
      <c r="E1911">
        <v>0.23</v>
      </c>
      <c r="F1911">
        <v>612</v>
      </c>
      <c r="G1911" t="s">
        <v>9497</v>
      </c>
      <c r="H1911">
        <v>2606.86</v>
      </c>
      <c r="I1911">
        <v>4.3899999999999997</v>
      </c>
      <c r="J1911" t="s">
        <v>120</v>
      </c>
      <c r="K1911" t="s">
        <v>3660</v>
      </c>
      <c r="L1911">
        <v>1.7</v>
      </c>
      <c r="M1911">
        <v>8.6</v>
      </c>
      <c r="N1911">
        <v>0.88</v>
      </c>
      <c r="O1911">
        <v>0.8</v>
      </c>
      <c r="P1911">
        <v>8.82</v>
      </c>
      <c r="Q1911">
        <v>-1.71</v>
      </c>
      <c r="R1911">
        <v>8.6</v>
      </c>
      <c r="S1911">
        <v>8.77</v>
      </c>
      <c r="T1911">
        <v>30031</v>
      </c>
      <c r="U1911">
        <v>8.61</v>
      </c>
      <c r="V1911">
        <v>8.75</v>
      </c>
      <c r="W1911" t="s">
        <v>120</v>
      </c>
      <c r="X1911" t="s">
        <v>462</v>
      </c>
      <c r="Y1911" t="s">
        <v>319</v>
      </c>
      <c r="Z1911">
        <v>2.5099999999999998</v>
      </c>
      <c r="AA1911">
        <v>8.68</v>
      </c>
      <c r="AB1911">
        <v>18575</v>
      </c>
      <c r="AC1911">
        <v>11456</v>
      </c>
      <c r="AD1911">
        <v>1.62</v>
      </c>
      <c r="AE1911">
        <v>1737</v>
      </c>
      <c r="AF1911">
        <v>149</v>
      </c>
      <c r="AG1911" t="s">
        <v>120</v>
      </c>
      <c r="AH1911">
        <v>0</v>
      </c>
      <c r="AI1911" t="s">
        <v>120</v>
      </c>
      <c r="AJ1911">
        <v>1.77</v>
      </c>
      <c r="AK1911" t="s">
        <v>7806</v>
      </c>
      <c r="AL1911">
        <v>0.2</v>
      </c>
      <c r="AM1911">
        <v>1134</v>
      </c>
      <c r="AN1911">
        <v>26</v>
      </c>
      <c r="AO1911">
        <v>1.5E-3</v>
      </c>
      <c r="AP1911">
        <v>-1</v>
      </c>
      <c r="AQ1911">
        <v>0.69</v>
      </c>
      <c r="AR1911">
        <v>-2.72</v>
      </c>
      <c r="AS1911">
        <v>-11.89</v>
      </c>
      <c r="AT1911">
        <v>-10.41</v>
      </c>
      <c r="AU1911">
        <v>-7.33</v>
      </c>
      <c r="AV1911">
        <v>2</v>
      </c>
      <c r="AW1911">
        <v>2.13</v>
      </c>
      <c r="AX1911">
        <v>70.489999999999995</v>
      </c>
      <c r="AY1911">
        <v>293.52999999999997</v>
      </c>
      <c r="AZ1911">
        <v>513.63</v>
      </c>
      <c r="BA1911">
        <v>0.81</v>
      </c>
      <c r="BB1911" t="s">
        <v>143</v>
      </c>
      <c r="BF1911">
        <v>-0.79</v>
      </c>
      <c r="BG1911">
        <v>-1.94</v>
      </c>
      <c r="BH1911">
        <v>-2.4900000000000002</v>
      </c>
      <c r="BI1911">
        <v>0</v>
      </c>
      <c r="BJ1911">
        <v>20210901</v>
      </c>
      <c r="BK1911">
        <v>20161018</v>
      </c>
      <c r="BL1911">
        <v>2</v>
      </c>
      <c r="BM1911" t="s">
        <v>120</v>
      </c>
      <c r="BN1911" t="s">
        <v>120</v>
      </c>
      <c r="BO1911">
        <v>7.72</v>
      </c>
      <c r="BP1911">
        <v>8.6</v>
      </c>
      <c r="BQ1911">
        <v>6.38</v>
      </c>
      <c r="BR1911">
        <v>7.0000000000000007E-2</v>
      </c>
      <c r="BS1911">
        <v>16.38</v>
      </c>
      <c r="BT1911">
        <v>6.31</v>
      </c>
      <c r="BU1911">
        <v>0.87</v>
      </c>
      <c r="BV1911">
        <v>0.15</v>
      </c>
      <c r="BW1911">
        <v>1.24</v>
      </c>
      <c r="BX1911">
        <v>0.36</v>
      </c>
      <c r="BY1911">
        <v>0.61</v>
      </c>
      <c r="BZ1911">
        <v>2.41</v>
      </c>
      <c r="CA1911" t="s">
        <v>120</v>
      </c>
      <c r="CB1911">
        <v>1.7</v>
      </c>
      <c r="CC1911">
        <v>0.82</v>
      </c>
      <c r="CD1911">
        <v>0.66</v>
      </c>
      <c r="CE1911">
        <v>-0.03</v>
      </c>
      <c r="CF1911">
        <v>0.04</v>
      </c>
      <c r="CG1911">
        <v>-0.02</v>
      </c>
      <c r="CH1911">
        <v>-0.01</v>
      </c>
      <c r="CI1911">
        <v>-0.01</v>
      </c>
      <c r="CJ1911">
        <v>-0.15</v>
      </c>
      <c r="CK1911">
        <v>-0.05</v>
      </c>
      <c r="CL1911">
        <v>2.36</v>
      </c>
      <c r="CM1911">
        <v>0.02</v>
      </c>
      <c r="CN1911">
        <v>-0.35</v>
      </c>
      <c r="CO1911">
        <v>15800</v>
      </c>
      <c r="CP1911">
        <v>8923</v>
      </c>
      <c r="CQ1911" t="s">
        <v>9498</v>
      </c>
      <c r="CR1911">
        <v>79.19</v>
      </c>
      <c r="CS1911">
        <v>-1.97</v>
      </c>
      <c r="CT1911">
        <v>2.69</v>
      </c>
      <c r="CU1911">
        <v>1018.23</v>
      </c>
      <c r="CV1911">
        <v>20.86</v>
      </c>
      <c r="CW1911">
        <v>0</v>
      </c>
      <c r="CX1911" t="s">
        <v>9499</v>
      </c>
      <c r="CY1911">
        <v>3.19</v>
      </c>
      <c r="CZ1911">
        <v>0</v>
      </c>
      <c r="DA1911">
        <v>0.85</v>
      </c>
      <c r="DB1911">
        <v>1.18</v>
      </c>
      <c r="DC1911">
        <v>0.01</v>
      </c>
      <c r="DD1911">
        <v>82.73</v>
      </c>
      <c r="DE1911" t="s">
        <v>9500</v>
      </c>
      <c r="DF1911">
        <v>20.12</v>
      </c>
      <c r="DG1911">
        <v>-3.11</v>
      </c>
      <c r="DH1911">
        <v>-0.81</v>
      </c>
      <c r="DI1911">
        <v>0.06</v>
      </c>
      <c r="DJ1911">
        <v>324</v>
      </c>
      <c r="DK1911">
        <v>300555</v>
      </c>
      <c r="DL1911" t="s">
        <v>120</v>
      </c>
      <c r="DM1911" t="s">
        <v>120</v>
      </c>
      <c r="DN1911" t="s">
        <v>120</v>
      </c>
    </row>
    <row r="1912" spans="1:118">
      <c r="A1912" t="str">
        <f>"300556"</f>
        <v>300556</v>
      </c>
      <c r="B1912" t="s">
        <v>9501</v>
      </c>
      <c r="C1912">
        <v>-1.19</v>
      </c>
      <c r="D1912">
        <v>-0.04</v>
      </c>
      <c r="E1912">
        <v>-0.05</v>
      </c>
      <c r="F1912">
        <v>1072</v>
      </c>
      <c r="G1912" t="s">
        <v>8685</v>
      </c>
      <c r="H1912">
        <v>13101.76</v>
      </c>
      <c r="I1912">
        <v>32.4</v>
      </c>
      <c r="J1912" t="s">
        <v>120</v>
      </c>
      <c r="K1912" t="s">
        <v>9502</v>
      </c>
      <c r="L1912">
        <v>6.72</v>
      </c>
      <c r="M1912">
        <v>21.64</v>
      </c>
      <c r="N1912">
        <v>0.44</v>
      </c>
      <c r="O1912">
        <v>2.19</v>
      </c>
      <c r="P1912">
        <v>22.38</v>
      </c>
      <c r="Q1912">
        <v>-2.15</v>
      </c>
      <c r="R1912">
        <v>21.43</v>
      </c>
      <c r="S1912">
        <v>21.89</v>
      </c>
      <c r="T1912">
        <v>59917</v>
      </c>
      <c r="U1912">
        <v>21.64</v>
      </c>
      <c r="V1912">
        <v>21.9</v>
      </c>
      <c r="W1912">
        <v>77.180000000000007</v>
      </c>
      <c r="X1912" t="s">
        <v>141</v>
      </c>
      <c r="Y1912" t="s">
        <v>123</v>
      </c>
      <c r="Z1912">
        <v>4.34</v>
      </c>
      <c r="AA1912">
        <v>21.87</v>
      </c>
      <c r="AB1912">
        <v>35186</v>
      </c>
      <c r="AC1912">
        <v>24731</v>
      </c>
      <c r="AD1912">
        <v>1.42</v>
      </c>
      <c r="AE1912">
        <v>19</v>
      </c>
      <c r="AF1912">
        <v>16</v>
      </c>
      <c r="AG1912" t="s">
        <v>120</v>
      </c>
      <c r="AH1912">
        <v>0.02</v>
      </c>
      <c r="AI1912" t="s">
        <v>120</v>
      </c>
      <c r="AJ1912">
        <v>0.89</v>
      </c>
      <c r="AK1912" t="s">
        <v>1764</v>
      </c>
      <c r="AL1912">
        <v>0.73</v>
      </c>
      <c r="AM1912">
        <v>2869</v>
      </c>
      <c r="AN1912">
        <v>21</v>
      </c>
      <c r="AO1912">
        <v>2.3E-3</v>
      </c>
      <c r="AP1912">
        <v>-3</v>
      </c>
      <c r="AQ1912">
        <v>-0.32</v>
      </c>
      <c r="AR1912">
        <v>-7.21</v>
      </c>
      <c r="AS1912">
        <v>17.29</v>
      </c>
      <c r="AT1912">
        <v>21.5</v>
      </c>
      <c r="AU1912">
        <v>10.75</v>
      </c>
      <c r="AV1912">
        <v>1</v>
      </c>
      <c r="AW1912">
        <v>7.26</v>
      </c>
      <c r="AX1912">
        <v>69.78</v>
      </c>
      <c r="AY1912">
        <v>58.44</v>
      </c>
      <c r="AZ1912">
        <v>42.73</v>
      </c>
      <c r="BA1912">
        <v>0.9</v>
      </c>
      <c r="BB1912" t="s">
        <v>240</v>
      </c>
      <c r="BF1912">
        <v>-0.15</v>
      </c>
      <c r="BG1912">
        <v>-1.1399999999999999</v>
      </c>
      <c r="BH1912">
        <v>-3.31</v>
      </c>
      <c r="BI1912">
        <v>0.98</v>
      </c>
      <c r="BJ1912">
        <v>20210909</v>
      </c>
      <c r="BK1912">
        <v>20161104</v>
      </c>
      <c r="BL1912">
        <v>1.18</v>
      </c>
      <c r="BM1912" t="s">
        <v>120</v>
      </c>
      <c r="BN1912" t="s">
        <v>120</v>
      </c>
      <c r="BO1912">
        <v>12.58</v>
      </c>
      <c r="BP1912">
        <v>21.63</v>
      </c>
      <c r="BQ1912">
        <v>6.88</v>
      </c>
      <c r="BR1912">
        <v>0</v>
      </c>
      <c r="BS1912">
        <v>45.3</v>
      </c>
      <c r="BT1912">
        <v>8.65</v>
      </c>
      <c r="BU1912">
        <v>0.36</v>
      </c>
      <c r="BV1912">
        <v>0.04</v>
      </c>
      <c r="BW1912">
        <v>5</v>
      </c>
      <c r="BX1912">
        <v>1.53</v>
      </c>
      <c r="BY1912">
        <v>0.39</v>
      </c>
      <c r="BZ1912">
        <v>3.95</v>
      </c>
      <c r="CA1912" t="s">
        <v>120</v>
      </c>
      <c r="CB1912">
        <v>3.48</v>
      </c>
      <c r="CC1912">
        <v>4.93</v>
      </c>
      <c r="CD1912">
        <v>3.37</v>
      </c>
      <c r="CE1912">
        <v>0.18</v>
      </c>
      <c r="CF1912">
        <v>0.03</v>
      </c>
      <c r="CG1912">
        <v>0.17</v>
      </c>
      <c r="CH1912">
        <v>0.17</v>
      </c>
      <c r="CI1912">
        <v>0.17</v>
      </c>
      <c r="CJ1912">
        <v>-0.26</v>
      </c>
      <c r="CK1912">
        <v>0.13</v>
      </c>
      <c r="CL1912">
        <v>2.16</v>
      </c>
      <c r="CM1912">
        <v>-1.03</v>
      </c>
      <c r="CN1912">
        <v>-2.16</v>
      </c>
      <c r="CO1912">
        <v>19303</v>
      </c>
      <c r="CP1912">
        <v>4275</v>
      </c>
      <c r="CQ1912" t="s">
        <v>8096</v>
      </c>
      <c r="CR1912">
        <v>-49.57</v>
      </c>
      <c r="CS1912">
        <v>34.5</v>
      </c>
      <c r="CT1912">
        <v>3.71</v>
      </c>
      <c r="CU1912">
        <v>-24.93</v>
      </c>
      <c r="CV1912">
        <v>5.19</v>
      </c>
      <c r="CW1912">
        <v>0.36</v>
      </c>
      <c r="CX1912" t="s">
        <v>300</v>
      </c>
      <c r="CY1912">
        <v>5.84</v>
      </c>
      <c r="CZ1912">
        <v>5.84</v>
      </c>
      <c r="DA1912">
        <v>2.94</v>
      </c>
      <c r="DB1912">
        <v>1.83</v>
      </c>
      <c r="DC1912">
        <v>-0.87</v>
      </c>
      <c r="DD1912">
        <v>54.73</v>
      </c>
      <c r="DE1912" t="s">
        <v>3085</v>
      </c>
      <c r="DF1912">
        <v>31.68</v>
      </c>
      <c r="DG1912">
        <v>3.67</v>
      </c>
      <c r="DH1912">
        <v>3.36</v>
      </c>
      <c r="DI1912">
        <v>0.28000000000000003</v>
      </c>
      <c r="DJ1912">
        <v>2527</v>
      </c>
      <c r="DK1912">
        <v>300556</v>
      </c>
      <c r="DL1912" t="s">
        <v>120</v>
      </c>
      <c r="DM1912" t="s">
        <v>120</v>
      </c>
      <c r="DN1912" t="s">
        <v>120</v>
      </c>
    </row>
    <row r="1913" spans="1:118">
      <c r="A1913" t="str">
        <f>"300557"</f>
        <v>300557</v>
      </c>
      <c r="B1913" t="s">
        <v>9503</v>
      </c>
      <c r="C1913">
        <v>3.09</v>
      </c>
      <c r="D1913">
        <v>7.0000000000000007E-2</v>
      </c>
      <c r="E1913">
        <v>-0.24</v>
      </c>
      <c r="F1913">
        <v>399</v>
      </c>
      <c r="G1913" t="s">
        <v>197</v>
      </c>
      <c r="H1913">
        <v>5274.67</v>
      </c>
      <c r="I1913">
        <v>4.93</v>
      </c>
      <c r="J1913" t="s">
        <v>120</v>
      </c>
      <c r="K1913" t="s">
        <v>9504</v>
      </c>
      <c r="L1913">
        <v>3.18</v>
      </c>
      <c r="M1913">
        <v>29.99</v>
      </c>
      <c r="N1913">
        <v>2.5299999999999998</v>
      </c>
      <c r="O1913">
        <v>4.8499999999999996</v>
      </c>
      <c r="P1913">
        <v>30.5</v>
      </c>
      <c r="Q1913">
        <v>-1.1299999999999999</v>
      </c>
      <c r="R1913">
        <v>28.76</v>
      </c>
      <c r="S1913">
        <v>29.02</v>
      </c>
      <c r="T1913">
        <v>17631</v>
      </c>
      <c r="U1913">
        <v>29.99</v>
      </c>
      <c r="V1913">
        <v>29.09</v>
      </c>
      <c r="W1913" t="s">
        <v>120</v>
      </c>
      <c r="X1913" t="s">
        <v>2717</v>
      </c>
      <c r="Y1913" t="s">
        <v>763</v>
      </c>
      <c r="Z1913">
        <v>5.98</v>
      </c>
      <c r="AA1913">
        <v>29.92</v>
      </c>
      <c r="AB1913">
        <v>7591</v>
      </c>
      <c r="AC1913">
        <v>10040</v>
      </c>
      <c r="AD1913">
        <v>0.76</v>
      </c>
      <c r="AE1913">
        <v>168</v>
      </c>
      <c r="AF1913">
        <v>46</v>
      </c>
      <c r="AG1913" t="s">
        <v>120</v>
      </c>
      <c r="AH1913">
        <v>0.01</v>
      </c>
      <c r="AI1913" t="s">
        <v>120</v>
      </c>
      <c r="AJ1913">
        <v>0.55000000000000004</v>
      </c>
      <c r="AK1913" t="s">
        <v>6745</v>
      </c>
      <c r="AL1913">
        <v>5.01</v>
      </c>
      <c r="AM1913">
        <v>1569</v>
      </c>
      <c r="AN1913">
        <v>11</v>
      </c>
      <c r="AO1913">
        <v>2E-3</v>
      </c>
      <c r="AP1913">
        <v>5</v>
      </c>
      <c r="AQ1913">
        <v>0.45</v>
      </c>
      <c r="AR1913">
        <v>3.73</v>
      </c>
      <c r="AS1913">
        <v>6.5</v>
      </c>
      <c r="AT1913">
        <v>13.77</v>
      </c>
      <c r="AU1913">
        <v>10.95</v>
      </c>
      <c r="AV1913">
        <v>0</v>
      </c>
      <c r="AW1913">
        <v>5.24</v>
      </c>
      <c r="AX1913">
        <v>60.42</v>
      </c>
      <c r="AY1913">
        <v>73.12</v>
      </c>
      <c r="AZ1913">
        <v>121.34</v>
      </c>
      <c r="BA1913">
        <v>0.51</v>
      </c>
      <c r="BB1913" t="s">
        <v>143</v>
      </c>
      <c r="BF1913">
        <v>2.84</v>
      </c>
      <c r="BG1913">
        <v>3.34</v>
      </c>
      <c r="BH1913">
        <v>-1.67</v>
      </c>
      <c r="BI1913">
        <v>4.28</v>
      </c>
      <c r="BJ1913">
        <v>20210826</v>
      </c>
      <c r="BK1913">
        <v>20161101</v>
      </c>
      <c r="BL1913">
        <v>0.56000000000000005</v>
      </c>
      <c r="BM1913" t="s">
        <v>120</v>
      </c>
      <c r="BN1913" t="s">
        <v>120</v>
      </c>
      <c r="BO1913">
        <v>10.37</v>
      </c>
      <c r="BP1913">
        <v>29.98</v>
      </c>
      <c r="BQ1913">
        <v>4.8600000000000003</v>
      </c>
      <c r="BR1913">
        <v>0.38</v>
      </c>
      <c r="BS1913">
        <v>49.49</v>
      </c>
      <c r="BT1913">
        <v>8.32</v>
      </c>
      <c r="BU1913">
        <v>1.28</v>
      </c>
      <c r="BV1913">
        <v>0.16</v>
      </c>
      <c r="BW1913">
        <v>5.01</v>
      </c>
      <c r="BX1913">
        <v>1.01</v>
      </c>
      <c r="BY1913">
        <v>2.66</v>
      </c>
      <c r="BZ1913">
        <v>3.13</v>
      </c>
      <c r="CA1913" t="s">
        <v>120</v>
      </c>
      <c r="CB1913">
        <v>1.95</v>
      </c>
      <c r="CC1913">
        <v>1.51</v>
      </c>
      <c r="CD1913">
        <v>1.1399999999999999</v>
      </c>
      <c r="CE1913">
        <v>0.02</v>
      </c>
      <c r="CF1913">
        <v>-0.03</v>
      </c>
      <c r="CG1913">
        <v>0.02</v>
      </c>
      <c r="CH1913">
        <v>0</v>
      </c>
      <c r="CI1913">
        <v>-0.03</v>
      </c>
      <c r="CJ1913">
        <v>0.9</v>
      </c>
      <c r="CK1913">
        <v>-0.06</v>
      </c>
      <c r="CL1913">
        <v>2.04</v>
      </c>
      <c r="CM1913">
        <v>-0.82</v>
      </c>
      <c r="CN1913">
        <v>-1.28</v>
      </c>
      <c r="CO1913">
        <v>7499</v>
      </c>
      <c r="CP1913">
        <v>4485</v>
      </c>
      <c r="CQ1913" t="s">
        <v>2412</v>
      </c>
      <c r="CR1913">
        <v>75.95</v>
      </c>
      <c r="CS1913">
        <v>321.2</v>
      </c>
      <c r="CT1913">
        <v>3.44</v>
      </c>
      <c r="CU1913">
        <v>-20.32</v>
      </c>
      <c r="CV1913">
        <v>11.04</v>
      </c>
      <c r="CW1913">
        <v>0</v>
      </c>
      <c r="CX1913" t="s">
        <v>161</v>
      </c>
      <c r="CY1913">
        <v>8.73</v>
      </c>
      <c r="CZ1913">
        <v>0</v>
      </c>
      <c r="DA1913">
        <v>3.51</v>
      </c>
      <c r="DB1913">
        <v>3.67</v>
      </c>
      <c r="DC1913">
        <v>-1.48</v>
      </c>
      <c r="DD1913">
        <v>46.86</v>
      </c>
      <c r="DE1913" t="s">
        <v>8566</v>
      </c>
      <c r="DF1913">
        <v>24.85</v>
      </c>
      <c r="DG1913">
        <v>1.03</v>
      </c>
      <c r="DH1913">
        <v>-1.84</v>
      </c>
      <c r="DI1913">
        <v>0.14000000000000001</v>
      </c>
      <c r="DJ1913">
        <v>354</v>
      </c>
      <c r="DK1913">
        <v>300557</v>
      </c>
      <c r="DL1913" t="s">
        <v>120</v>
      </c>
      <c r="DM1913" t="s">
        <v>120</v>
      </c>
      <c r="DN1913" t="s">
        <v>120</v>
      </c>
    </row>
    <row r="1914" spans="1:118">
      <c r="A1914" t="str">
        <f>"300558"</f>
        <v>300558</v>
      </c>
      <c r="B1914" t="s">
        <v>9505</v>
      </c>
      <c r="C1914">
        <v>1.96</v>
      </c>
      <c r="D1914">
        <v>0.28999999999999998</v>
      </c>
      <c r="E1914">
        <v>0.9</v>
      </c>
      <c r="F1914">
        <v>435</v>
      </c>
      <c r="G1914" t="s">
        <v>9506</v>
      </c>
      <c r="H1914">
        <v>26465.61</v>
      </c>
      <c r="I1914">
        <v>98.04</v>
      </c>
      <c r="J1914" t="s">
        <v>120</v>
      </c>
      <c r="K1914" t="s">
        <v>9507</v>
      </c>
      <c r="L1914">
        <v>0.74</v>
      </c>
      <c r="M1914">
        <v>86.9</v>
      </c>
      <c r="N1914">
        <v>1.01</v>
      </c>
      <c r="O1914">
        <v>2.84</v>
      </c>
      <c r="P1914">
        <v>87.65</v>
      </c>
      <c r="Q1914">
        <v>-1.57</v>
      </c>
      <c r="R1914">
        <v>83.89</v>
      </c>
      <c r="S1914">
        <v>86</v>
      </c>
      <c r="T1914">
        <v>30634</v>
      </c>
      <c r="U1914">
        <v>86.9</v>
      </c>
      <c r="V1914">
        <v>85.23</v>
      </c>
      <c r="W1914">
        <v>83.9</v>
      </c>
      <c r="X1914" t="s">
        <v>569</v>
      </c>
      <c r="Y1914" t="s">
        <v>585</v>
      </c>
      <c r="Z1914">
        <v>4.41</v>
      </c>
      <c r="AA1914">
        <v>86.39</v>
      </c>
      <c r="AB1914">
        <v>12515</v>
      </c>
      <c r="AC1914">
        <v>18119</v>
      </c>
      <c r="AD1914">
        <v>0.69</v>
      </c>
      <c r="AE1914">
        <v>2</v>
      </c>
      <c r="AF1914">
        <v>352</v>
      </c>
      <c r="AG1914" t="s">
        <v>120</v>
      </c>
      <c r="AH1914">
        <v>0</v>
      </c>
      <c r="AI1914" t="s">
        <v>120</v>
      </c>
      <c r="AJ1914">
        <v>4.1399999999999997</v>
      </c>
      <c r="AK1914" t="s">
        <v>9508</v>
      </c>
      <c r="AL1914">
        <v>3.87</v>
      </c>
      <c r="AM1914">
        <v>3106</v>
      </c>
      <c r="AN1914">
        <v>10</v>
      </c>
      <c r="AO1914">
        <v>2.0000000000000001E-4</v>
      </c>
      <c r="AP1914">
        <v>1</v>
      </c>
      <c r="AQ1914">
        <v>-2.0299999999999998</v>
      </c>
      <c r="AR1914">
        <v>3.5</v>
      </c>
      <c r="AS1914">
        <v>3.08</v>
      </c>
      <c r="AT1914">
        <v>-14.97</v>
      </c>
      <c r="AU1914">
        <v>-18.829999999999998</v>
      </c>
      <c r="AV1914">
        <v>0</v>
      </c>
      <c r="AW1914">
        <v>1.3</v>
      </c>
      <c r="AX1914">
        <v>56.85</v>
      </c>
      <c r="AY1914">
        <v>52.23</v>
      </c>
      <c r="AZ1914">
        <v>58.38</v>
      </c>
      <c r="BA1914">
        <v>0.88</v>
      </c>
      <c r="BB1914" t="s">
        <v>143</v>
      </c>
      <c r="BF1914">
        <v>1.36</v>
      </c>
      <c r="BG1914">
        <v>1.05</v>
      </c>
      <c r="BH1914">
        <v>-0.86</v>
      </c>
      <c r="BI1914">
        <v>3.59</v>
      </c>
      <c r="BJ1914">
        <v>20210910</v>
      </c>
      <c r="BK1914">
        <v>20161107</v>
      </c>
      <c r="BL1914">
        <v>4.1500000000000004</v>
      </c>
      <c r="BM1914" t="s">
        <v>120</v>
      </c>
      <c r="BN1914" t="s">
        <v>120</v>
      </c>
      <c r="BO1914">
        <v>55.97</v>
      </c>
      <c r="BP1914">
        <v>86.88</v>
      </c>
      <c r="BQ1914">
        <v>43.81</v>
      </c>
      <c r="BR1914">
        <v>0.01</v>
      </c>
      <c r="BS1914">
        <v>21.71</v>
      </c>
      <c r="BT1914">
        <v>18.37</v>
      </c>
      <c r="BU1914">
        <v>6.98</v>
      </c>
      <c r="BV1914">
        <v>6.7</v>
      </c>
      <c r="BW1914">
        <v>5.72</v>
      </c>
      <c r="BX1914">
        <v>7.53</v>
      </c>
      <c r="BY1914">
        <v>2.35</v>
      </c>
      <c r="BZ1914">
        <v>1.46</v>
      </c>
      <c r="CA1914">
        <v>0</v>
      </c>
      <c r="CB1914">
        <v>18.600000000000001</v>
      </c>
      <c r="CC1914">
        <v>11.55</v>
      </c>
      <c r="CD1914">
        <v>0.84</v>
      </c>
      <c r="CE1914">
        <v>2.59</v>
      </c>
      <c r="CF1914">
        <v>7.0000000000000007E-2</v>
      </c>
      <c r="CG1914">
        <v>2.56</v>
      </c>
      <c r="CH1914">
        <v>2.12</v>
      </c>
      <c r="CI1914">
        <v>2.15</v>
      </c>
      <c r="CJ1914">
        <v>1.67</v>
      </c>
      <c r="CK1914">
        <v>1.98</v>
      </c>
      <c r="CL1914">
        <v>17.61</v>
      </c>
      <c r="CM1914">
        <v>2.29</v>
      </c>
      <c r="CN1914">
        <v>-5.93</v>
      </c>
      <c r="CO1914">
        <v>30567</v>
      </c>
      <c r="CP1914">
        <v>7724</v>
      </c>
      <c r="CQ1914" t="s">
        <v>9509</v>
      </c>
      <c r="CR1914">
        <v>49.57</v>
      </c>
      <c r="CS1914">
        <v>21.35</v>
      </c>
      <c r="CT1914">
        <v>8.23</v>
      </c>
      <c r="CU1914">
        <v>157.61000000000001</v>
      </c>
      <c r="CV1914">
        <v>31.24</v>
      </c>
      <c r="CW1914">
        <v>0.36</v>
      </c>
      <c r="CX1914" t="s">
        <v>948</v>
      </c>
      <c r="CY1914">
        <v>10.56</v>
      </c>
      <c r="CZ1914">
        <v>10.56</v>
      </c>
      <c r="DA1914">
        <v>4.4800000000000004</v>
      </c>
      <c r="DB1914">
        <v>4.24</v>
      </c>
      <c r="DC1914">
        <v>0.55000000000000004</v>
      </c>
      <c r="DD1914">
        <v>78.28</v>
      </c>
      <c r="DE1914" t="s">
        <v>3755</v>
      </c>
      <c r="DF1914">
        <v>92.7</v>
      </c>
      <c r="DG1914">
        <v>22.38</v>
      </c>
      <c r="DH1914">
        <v>18.62</v>
      </c>
      <c r="DI1914">
        <v>2.4300000000000002</v>
      </c>
      <c r="DJ1914">
        <v>1466</v>
      </c>
      <c r="DK1914">
        <v>300558</v>
      </c>
      <c r="DL1914" t="s">
        <v>120</v>
      </c>
      <c r="DM1914" t="s">
        <v>120</v>
      </c>
      <c r="DN1914" t="s">
        <v>120</v>
      </c>
    </row>
    <row r="1915" spans="1:118">
      <c r="A1915" t="str">
        <f>"300559"</f>
        <v>300559</v>
      </c>
      <c r="B1915" t="s">
        <v>9510</v>
      </c>
      <c r="C1915">
        <v>-2.44</v>
      </c>
      <c r="D1915">
        <v>-0.11</v>
      </c>
      <c r="E1915">
        <v>-0.12</v>
      </c>
      <c r="F1915">
        <v>809</v>
      </c>
      <c r="G1915" t="s">
        <v>9106</v>
      </c>
      <c r="H1915">
        <v>2759.37</v>
      </c>
      <c r="I1915">
        <v>6.11</v>
      </c>
      <c r="J1915" t="s">
        <v>120</v>
      </c>
      <c r="K1915" t="s">
        <v>706</v>
      </c>
      <c r="L1915">
        <v>1.08</v>
      </c>
      <c r="M1915">
        <v>8.4</v>
      </c>
      <c r="N1915">
        <v>0.49</v>
      </c>
      <c r="O1915">
        <v>1.05</v>
      </c>
      <c r="P1915">
        <v>8.6999999999999993</v>
      </c>
      <c r="Q1915">
        <v>-2.56</v>
      </c>
      <c r="R1915">
        <v>8.39</v>
      </c>
      <c r="S1915">
        <v>8.6</v>
      </c>
      <c r="T1915">
        <v>32380</v>
      </c>
      <c r="U1915">
        <v>8.41</v>
      </c>
      <c r="V1915">
        <v>8.61</v>
      </c>
      <c r="W1915">
        <v>28.21</v>
      </c>
      <c r="X1915" t="s">
        <v>141</v>
      </c>
      <c r="Y1915" t="s">
        <v>578</v>
      </c>
      <c r="Z1915">
        <v>3.6</v>
      </c>
      <c r="AA1915">
        <v>8.52</v>
      </c>
      <c r="AB1915">
        <v>19882</v>
      </c>
      <c r="AC1915">
        <v>12498</v>
      </c>
      <c r="AD1915">
        <v>1.59</v>
      </c>
      <c r="AE1915">
        <v>9</v>
      </c>
      <c r="AF1915">
        <v>130</v>
      </c>
      <c r="AG1915" t="s">
        <v>120</v>
      </c>
      <c r="AH1915">
        <v>0</v>
      </c>
      <c r="AI1915" t="s">
        <v>120</v>
      </c>
      <c r="AJ1915">
        <v>2.99</v>
      </c>
      <c r="AK1915" t="s">
        <v>9511</v>
      </c>
      <c r="AL1915">
        <v>-0.53</v>
      </c>
      <c r="AM1915">
        <v>1513</v>
      </c>
      <c r="AN1915">
        <v>21</v>
      </c>
      <c r="AO1915">
        <v>6.9999999999999999E-4</v>
      </c>
      <c r="AP1915">
        <v>-1</v>
      </c>
      <c r="AQ1915">
        <v>0.35</v>
      </c>
      <c r="AR1915">
        <v>-4.22</v>
      </c>
      <c r="AS1915">
        <v>-23.64</v>
      </c>
      <c r="AT1915">
        <v>-5.4</v>
      </c>
      <c r="AU1915">
        <v>-36.36</v>
      </c>
      <c r="AV1915">
        <v>1</v>
      </c>
      <c r="AW1915">
        <v>2.08</v>
      </c>
      <c r="AX1915">
        <v>38.950000000000003</v>
      </c>
      <c r="AY1915">
        <v>22.69</v>
      </c>
      <c r="AZ1915">
        <v>16.350000000000001</v>
      </c>
      <c r="BA1915">
        <v>0.6</v>
      </c>
      <c r="BB1915" t="s">
        <v>168</v>
      </c>
      <c r="BF1915">
        <v>-1.02</v>
      </c>
      <c r="BG1915">
        <v>-2.33</v>
      </c>
      <c r="BH1915">
        <v>-3.45</v>
      </c>
      <c r="BI1915">
        <v>0.12</v>
      </c>
      <c r="BJ1915">
        <v>20210731</v>
      </c>
      <c r="BK1915">
        <v>20161101</v>
      </c>
      <c r="BL1915">
        <v>4</v>
      </c>
      <c r="BM1915" t="s">
        <v>120</v>
      </c>
      <c r="BN1915" t="s">
        <v>120</v>
      </c>
      <c r="BO1915">
        <v>11.72</v>
      </c>
      <c r="BP1915">
        <v>8.4</v>
      </c>
      <c r="BQ1915">
        <v>9.82</v>
      </c>
      <c r="BR1915">
        <v>0.44</v>
      </c>
      <c r="BS1915">
        <v>12.47</v>
      </c>
      <c r="BT1915">
        <v>7.48</v>
      </c>
      <c r="BU1915">
        <v>1.33</v>
      </c>
      <c r="BV1915">
        <v>0.42</v>
      </c>
      <c r="BW1915">
        <v>1.45</v>
      </c>
      <c r="BX1915">
        <v>4.41</v>
      </c>
      <c r="BY1915">
        <v>0.64</v>
      </c>
      <c r="BZ1915">
        <v>1.82</v>
      </c>
      <c r="CA1915">
        <v>0</v>
      </c>
      <c r="CB1915">
        <v>0.18</v>
      </c>
      <c r="CC1915">
        <v>1.97</v>
      </c>
      <c r="CD1915">
        <v>0.78</v>
      </c>
      <c r="CE1915">
        <v>0.57999999999999996</v>
      </c>
      <c r="CF1915">
        <v>-0.02</v>
      </c>
      <c r="CG1915">
        <v>0.57999999999999996</v>
      </c>
      <c r="CH1915">
        <v>0.55000000000000004</v>
      </c>
      <c r="CI1915">
        <v>0.59</v>
      </c>
      <c r="CJ1915">
        <v>-0.21</v>
      </c>
      <c r="CK1915">
        <v>0.59</v>
      </c>
      <c r="CL1915">
        <v>5.99</v>
      </c>
      <c r="CM1915">
        <v>0.17</v>
      </c>
      <c r="CN1915">
        <v>-2.14</v>
      </c>
      <c r="CO1915">
        <v>16908</v>
      </c>
      <c r="CP1915">
        <v>9203</v>
      </c>
      <c r="CQ1915" t="s">
        <v>9512</v>
      </c>
      <c r="CR1915">
        <v>-49.68</v>
      </c>
      <c r="CS1915">
        <v>-35.409999999999997</v>
      </c>
      <c r="CT1915">
        <v>3.42</v>
      </c>
      <c r="CU1915">
        <v>197.23</v>
      </c>
      <c r="CV1915">
        <v>17.059999999999999</v>
      </c>
      <c r="CW1915">
        <v>2.27</v>
      </c>
      <c r="CX1915" t="s">
        <v>373</v>
      </c>
      <c r="CY1915">
        <v>2.46</v>
      </c>
      <c r="CZ1915">
        <v>0</v>
      </c>
      <c r="DA1915">
        <v>0.05</v>
      </c>
      <c r="DB1915">
        <v>1.5</v>
      </c>
      <c r="DC1915">
        <v>0.04</v>
      </c>
      <c r="DD1915">
        <v>83.75</v>
      </c>
      <c r="DE1915" t="s">
        <v>1598</v>
      </c>
      <c r="DF1915">
        <v>60.31</v>
      </c>
      <c r="DG1915">
        <v>29.7</v>
      </c>
      <c r="DH1915">
        <v>30.24</v>
      </c>
      <c r="DI1915">
        <v>0.19</v>
      </c>
      <c r="DJ1915">
        <v>720</v>
      </c>
      <c r="DK1915">
        <v>300559</v>
      </c>
      <c r="DL1915" t="s">
        <v>120</v>
      </c>
      <c r="DM1915" t="s">
        <v>120</v>
      </c>
      <c r="DN1915" t="s">
        <v>120</v>
      </c>
    </row>
    <row r="1916" spans="1:118">
      <c r="A1916" t="str">
        <f>"300560"</f>
        <v>300560</v>
      </c>
      <c r="B1916" t="s">
        <v>9513</v>
      </c>
      <c r="C1916">
        <v>-4.03</v>
      </c>
      <c r="D1916">
        <v>-0.14000000000000001</v>
      </c>
      <c r="E1916">
        <v>-0.72</v>
      </c>
      <c r="F1916">
        <v>589</v>
      </c>
      <c r="G1916" t="s">
        <v>7734</v>
      </c>
      <c r="H1916">
        <v>2714.29</v>
      </c>
      <c r="I1916">
        <v>2.62</v>
      </c>
      <c r="J1916" t="s">
        <v>120</v>
      </c>
      <c r="K1916" t="s">
        <v>9514</v>
      </c>
      <c r="L1916">
        <v>1.05</v>
      </c>
      <c r="M1916">
        <v>13.34</v>
      </c>
      <c r="N1916">
        <v>0.7</v>
      </c>
      <c r="O1916">
        <v>0.43</v>
      </c>
      <c r="P1916">
        <v>13.96</v>
      </c>
      <c r="Q1916">
        <v>-4.03</v>
      </c>
      <c r="R1916">
        <v>13.34</v>
      </c>
      <c r="S1916">
        <v>13.8</v>
      </c>
      <c r="T1916">
        <v>19899</v>
      </c>
      <c r="U1916">
        <v>13.35</v>
      </c>
      <c r="V1916">
        <v>13.9</v>
      </c>
      <c r="W1916">
        <v>50.2</v>
      </c>
      <c r="X1916" t="s">
        <v>462</v>
      </c>
      <c r="Y1916" t="s">
        <v>937</v>
      </c>
      <c r="Z1916">
        <v>4.46</v>
      </c>
      <c r="AA1916">
        <v>13.64</v>
      </c>
      <c r="AB1916">
        <v>13671</v>
      </c>
      <c r="AC1916">
        <v>6228</v>
      </c>
      <c r="AD1916">
        <v>2.2000000000000002</v>
      </c>
      <c r="AE1916">
        <v>48</v>
      </c>
      <c r="AF1916">
        <v>54</v>
      </c>
      <c r="AG1916" t="s">
        <v>120</v>
      </c>
      <c r="AH1916">
        <v>0</v>
      </c>
      <c r="AI1916" t="s">
        <v>120</v>
      </c>
      <c r="AJ1916">
        <v>1.89</v>
      </c>
      <c r="AK1916" t="s">
        <v>7333</v>
      </c>
      <c r="AL1916">
        <v>-2.12</v>
      </c>
      <c r="AM1916">
        <v>1047</v>
      </c>
      <c r="AN1916">
        <v>19</v>
      </c>
      <c r="AO1916">
        <v>1E-3</v>
      </c>
      <c r="AP1916">
        <v>-1</v>
      </c>
      <c r="AQ1916">
        <v>0.57999999999999996</v>
      </c>
      <c r="AR1916">
        <v>-2.84</v>
      </c>
      <c r="AS1916">
        <v>-18.63</v>
      </c>
      <c r="AT1916">
        <v>-11.79</v>
      </c>
      <c r="AU1916">
        <v>-15.85</v>
      </c>
      <c r="AV1916">
        <v>1</v>
      </c>
      <c r="AW1916">
        <v>2.25</v>
      </c>
      <c r="AX1916">
        <v>39.049999999999997</v>
      </c>
      <c r="AY1916">
        <v>39.44</v>
      </c>
      <c r="AZ1916">
        <v>38</v>
      </c>
      <c r="BA1916">
        <v>0.47</v>
      </c>
      <c r="BB1916" t="s">
        <v>143</v>
      </c>
      <c r="BF1916">
        <v>-1.87</v>
      </c>
      <c r="BG1916">
        <v>-3.33</v>
      </c>
      <c r="BH1916">
        <v>-4.4400000000000004</v>
      </c>
      <c r="BI1916">
        <v>0</v>
      </c>
      <c r="BJ1916">
        <v>20210827</v>
      </c>
      <c r="BK1916">
        <v>20161101</v>
      </c>
      <c r="BL1916">
        <v>2.2599999999999998</v>
      </c>
      <c r="BM1916" t="s">
        <v>120</v>
      </c>
      <c r="BN1916" t="s">
        <v>120</v>
      </c>
      <c r="BO1916">
        <v>22.81</v>
      </c>
      <c r="BP1916">
        <v>13.34</v>
      </c>
      <c r="BQ1916">
        <v>10.76</v>
      </c>
      <c r="BR1916">
        <v>0.19</v>
      </c>
      <c r="BS1916">
        <v>52.03</v>
      </c>
      <c r="BT1916">
        <v>16.989999999999998</v>
      </c>
      <c r="BU1916">
        <v>0.76</v>
      </c>
      <c r="BV1916">
        <v>0.56999999999999995</v>
      </c>
      <c r="BW1916">
        <v>10.34</v>
      </c>
      <c r="BX1916">
        <v>2.66</v>
      </c>
      <c r="BY1916">
        <v>0.8</v>
      </c>
      <c r="BZ1916">
        <v>12.24</v>
      </c>
      <c r="CA1916" t="s">
        <v>120</v>
      </c>
      <c r="CB1916">
        <v>4.0999999999999996</v>
      </c>
      <c r="CC1916">
        <v>4.0599999999999996</v>
      </c>
      <c r="CD1916">
        <v>2.95</v>
      </c>
      <c r="CE1916">
        <v>0.36</v>
      </c>
      <c r="CF1916">
        <v>0</v>
      </c>
      <c r="CG1916">
        <v>0.35</v>
      </c>
      <c r="CH1916">
        <v>0.3</v>
      </c>
      <c r="CI1916">
        <v>0.3</v>
      </c>
      <c r="CJ1916">
        <v>-0.56000000000000005</v>
      </c>
      <c r="CK1916">
        <v>0.3</v>
      </c>
      <c r="CL1916">
        <v>4.04</v>
      </c>
      <c r="CM1916">
        <v>-4.49</v>
      </c>
      <c r="CN1916">
        <v>-3.61</v>
      </c>
      <c r="CO1916">
        <v>17647</v>
      </c>
      <c r="CP1916">
        <v>5006</v>
      </c>
      <c r="CQ1916" t="s">
        <v>4615</v>
      </c>
      <c r="CR1916">
        <v>-9.1300000000000008</v>
      </c>
      <c r="CS1916">
        <v>4.2</v>
      </c>
      <c r="CT1916">
        <v>2.81</v>
      </c>
      <c r="CU1916">
        <v>-6.72</v>
      </c>
      <c r="CV1916">
        <v>7.43</v>
      </c>
      <c r="CW1916">
        <v>1.27</v>
      </c>
      <c r="CX1916" t="s">
        <v>986</v>
      </c>
      <c r="CY1916">
        <v>4.75</v>
      </c>
      <c r="CZ1916">
        <v>0</v>
      </c>
      <c r="DA1916">
        <v>1.81</v>
      </c>
      <c r="DB1916">
        <v>1.79</v>
      </c>
      <c r="DC1916">
        <v>-1.99</v>
      </c>
      <c r="DD1916">
        <v>47.16</v>
      </c>
      <c r="DE1916" t="s">
        <v>6371</v>
      </c>
      <c r="DF1916">
        <v>27.45</v>
      </c>
      <c r="DG1916">
        <v>8.75</v>
      </c>
      <c r="DH1916">
        <v>7.4</v>
      </c>
      <c r="DI1916">
        <v>0.15</v>
      </c>
      <c r="DJ1916">
        <v>1445</v>
      </c>
      <c r="DK1916">
        <v>300560</v>
      </c>
      <c r="DL1916" t="s">
        <v>120</v>
      </c>
      <c r="DM1916" t="s">
        <v>120</v>
      </c>
      <c r="DN1916" t="s">
        <v>120</v>
      </c>
    </row>
    <row r="1917" spans="1:118">
      <c r="A1917" t="str">
        <f>"300561"</f>
        <v>300561</v>
      </c>
      <c r="B1917" t="s">
        <v>9515</v>
      </c>
      <c r="C1917">
        <v>-1.3</v>
      </c>
      <c r="D1917">
        <v>-0.08</v>
      </c>
      <c r="E1917">
        <v>-0.09</v>
      </c>
      <c r="F1917">
        <v>639</v>
      </c>
      <c r="G1917" t="s">
        <v>9516</v>
      </c>
      <c r="H1917">
        <v>4003.12</v>
      </c>
      <c r="I1917">
        <v>9.69</v>
      </c>
      <c r="J1917" t="s">
        <v>120</v>
      </c>
      <c r="K1917" t="s">
        <v>9517</v>
      </c>
      <c r="L1917">
        <v>2.12</v>
      </c>
      <c r="M1917">
        <v>10.66</v>
      </c>
      <c r="N1917">
        <v>0.64</v>
      </c>
      <c r="O1917">
        <v>1.3</v>
      </c>
      <c r="P1917">
        <v>10.94</v>
      </c>
      <c r="Q1917">
        <v>-1.39</v>
      </c>
      <c r="R1917">
        <v>10.65</v>
      </c>
      <c r="S1917">
        <v>10.79</v>
      </c>
      <c r="T1917">
        <v>37098</v>
      </c>
      <c r="U1917">
        <v>10.67</v>
      </c>
      <c r="V1917">
        <v>10.8</v>
      </c>
      <c r="W1917">
        <v>136.41999999999999</v>
      </c>
      <c r="X1917" t="s">
        <v>141</v>
      </c>
      <c r="Y1917" t="s">
        <v>547</v>
      </c>
      <c r="Z1917">
        <v>2.69</v>
      </c>
      <c r="AA1917">
        <v>10.79</v>
      </c>
      <c r="AB1917">
        <v>23330</v>
      </c>
      <c r="AC1917">
        <v>13768</v>
      </c>
      <c r="AD1917">
        <v>1.69</v>
      </c>
      <c r="AE1917">
        <v>402</v>
      </c>
      <c r="AF1917">
        <v>36</v>
      </c>
      <c r="AG1917" t="s">
        <v>120</v>
      </c>
      <c r="AH1917">
        <v>0.01</v>
      </c>
      <c r="AI1917" t="s">
        <v>120</v>
      </c>
      <c r="AJ1917">
        <v>1.75</v>
      </c>
      <c r="AK1917" t="s">
        <v>734</v>
      </c>
      <c r="AL1917">
        <v>0.62</v>
      </c>
      <c r="AM1917">
        <v>1497</v>
      </c>
      <c r="AN1917">
        <v>25</v>
      </c>
      <c r="AO1917">
        <v>1.4E-3</v>
      </c>
      <c r="AP1917">
        <v>-6</v>
      </c>
      <c r="AQ1917">
        <v>-1.55</v>
      </c>
      <c r="AR1917">
        <v>-5.16</v>
      </c>
      <c r="AS1917">
        <v>-15.6</v>
      </c>
      <c r="AT1917">
        <v>-12.98</v>
      </c>
      <c r="AU1917">
        <v>-14.61</v>
      </c>
      <c r="AV1917">
        <v>1</v>
      </c>
      <c r="AW1917">
        <v>3.25</v>
      </c>
      <c r="AX1917">
        <v>34.75</v>
      </c>
      <c r="AY1917">
        <v>168.84</v>
      </c>
      <c r="AZ1917">
        <v>205.05</v>
      </c>
      <c r="BA1917">
        <v>0.72</v>
      </c>
      <c r="BB1917" t="s">
        <v>134</v>
      </c>
      <c r="BF1917">
        <v>-0.09</v>
      </c>
      <c r="BG1917">
        <v>-1.2</v>
      </c>
      <c r="BH1917">
        <v>-2.56</v>
      </c>
      <c r="BI1917">
        <v>0.09</v>
      </c>
      <c r="BJ1917">
        <v>20210913</v>
      </c>
      <c r="BK1917">
        <v>20161117</v>
      </c>
      <c r="BL1917">
        <v>3.28</v>
      </c>
      <c r="BM1917" t="s">
        <v>120</v>
      </c>
      <c r="BN1917" t="s">
        <v>120</v>
      </c>
      <c r="BO1917">
        <v>7.55</v>
      </c>
      <c r="BP1917">
        <v>10.66</v>
      </c>
      <c r="BQ1917">
        <v>6.59</v>
      </c>
      <c r="BR1917">
        <v>-0.02</v>
      </c>
      <c r="BS1917">
        <v>12.9</v>
      </c>
      <c r="BT1917">
        <v>4.01</v>
      </c>
      <c r="BU1917">
        <v>3.35</v>
      </c>
      <c r="BV1917">
        <v>0.1</v>
      </c>
      <c r="BW1917">
        <v>0.88</v>
      </c>
      <c r="BX1917">
        <v>0.56000000000000005</v>
      </c>
      <c r="BY1917">
        <v>0.6</v>
      </c>
      <c r="BZ1917">
        <v>1</v>
      </c>
      <c r="CA1917" t="s">
        <v>120</v>
      </c>
      <c r="CB1917">
        <v>0.96</v>
      </c>
      <c r="CC1917">
        <v>0.83</v>
      </c>
      <c r="CD1917">
        <v>0.41</v>
      </c>
      <c r="CE1917">
        <v>0.14000000000000001</v>
      </c>
      <c r="CF1917">
        <v>0.03</v>
      </c>
      <c r="CG1917">
        <v>0.14000000000000001</v>
      </c>
      <c r="CH1917">
        <v>0.13</v>
      </c>
      <c r="CI1917">
        <v>0.13</v>
      </c>
      <c r="CJ1917">
        <v>-0.14000000000000001</v>
      </c>
      <c r="CK1917">
        <v>0.09</v>
      </c>
      <c r="CL1917">
        <v>1.93</v>
      </c>
      <c r="CM1917">
        <v>-0.27</v>
      </c>
      <c r="CN1917">
        <v>-0.27</v>
      </c>
      <c r="CO1917">
        <v>19188</v>
      </c>
      <c r="CP1917">
        <v>5943</v>
      </c>
      <c r="CQ1917" t="s">
        <v>9518</v>
      </c>
      <c r="CR1917">
        <v>40.67</v>
      </c>
      <c r="CS1917">
        <v>2.77</v>
      </c>
      <c r="CT1917">
        <v>5.31</v>
      </c>
      <c r="CU1917">
        <v>-127.9</v>
      </c>
      <c r="CV1917">
        <v>42</v>
      </c>
      <c r="CW1917">
        <v>0.56999999999999995</v>
      </c>
      <c r="CX1917" t="s">
        <v>145</v>
      </c>
      <c r="CY1917">
        <v>2.0099999999999998</v>
      </c>
      <c r="CZ1917">
        <v>0</v>
      </c>
      <c r="DA1917">
        <v>0.28999999999999998</v>
      </c>
      <c r="DB1917">
        <v>0.59</v>
      </c>
      <c r="DC1917">
        <v>-0.08</v>
      </c>
      <c r="DD1917">
        <v>87.32</v>
      </c>
      <c r="DE1917" t="s">
        <v>5805</v>
      </c>
      <c r="DF1917">
        <v>50.55</v>
      </c>
      <c r="DG1917">
        <v>17.07</v>
      </c>
      <c r="DH1917">
        <v>15.39</v>
      </c>
      <c r="DI1917">
        <v>0.1</v>
      </c>
      <c r="DJ1917">
        <v>285</v>
      </c>
      <c r="DK1917">
        <v>300561</v>
      </c>
      <c r="DL1917" t="s">
        <v>120</v>
      </c>
      <c r="DM1917" t="s">
        <v>120</v>
      </c>
      <c r="DN1917" t="s">
        <v>120</v>
      </c>
    </row>
    <row r="1918" spans="1:118">
      <c r="A1918" t="str">
        <f>"300562"</f>
        <v>300562</v>
      </c>
      <c r="B1918" t="s">
        <v>9519</v>
      </c>
      <c r="C1918">
        <v>1.22</v>
      </c>
      <c r="D1918">
        <v>-0.15</v>
      </c>
      <c r="E1918">
        <v>-0.41</v>
      </c>
      <c r="F1918">
        <v>280</v>
      </c>
      <c r="G1918" t="s">
        <v>3805</v>
      </c>
      <c r="H1918">
        <v>7126.11</v>
      </c>
      <c r="I1918">
        <v>12.2</v>
      </c>
      <c r="J1918" t="s">
        <v>120</v>
      </c>
      <c r="K1918" t="s">
        <v>8536</v>
      </c>
      <c r="L1918">
        <v>3.89</v>
      </c>
      <c r="M1918">
        <v>12.4</v>
      </c>
      <c r="N1918">
        <v>1.66</v>
      </c>
      <c r="O1918">
        <v>4.41</v>
      </c>
      <c r="P1918">
        <v>12.79</v>
      </c>
      <c r="Q1918">
        <v>-0.82</v>
      </c>
      <c r="R1918">
        <v>12.15</v>
      </c>
      <c r="S1918">
        <v>12.2</v>
      </c>
      <c r="T1918">
        <v>56882</v>
      </c>
      <c r="U1918">
        <v>12.41</v>
      </c>
      <c r="V1918">
        <v>12.25</v>
      </c>
      <c r="W1918">
        <v>64.86</v>
      </c>
      <c r="X1918" t="s">
        <v>555</v>
      </c>
      <c r="Y1918" t="s">
        <v>547</v>
      </c>
      <c r="Z1918">
        <v>5.22</v>
      </c>
      <c r="AA1918">
        <v>12.53</v>
      </c>
      <c r="AB1918">
        <v>26869</v>
      </c>
      <c r="AC1918">
        <v>30013</v>
      </c>
      <c r="AD1918">
        <v>0.9</v>
      </c>
      <c r="AE1918">
        <v>193</v>
      </c>
      <c r="AF1918">
        <v>22</v>
      </c>
      <c r="AG1918" t="s">
        <v>120</v>
      </c>
      <c r="AH1918">
        <v>0.01</v>
      </c>
      <c r="AI1918" t="s">
        <v>120</v>
      </c>
      <c r="AJ1918">
        <v>1.46</v>
      </c>
      <c r="AK1918" t="s">
        <v>7756</v>
      </c>
      <c r="AL1918">
        <v>3.14</v>
      </c>
      <c r="AM1918">
        <v>1827</v>
      </c>
      <c r="AN1918">
        <v>31</v>
      </c>
      <c r="AO1918">
        <v>2.0999999999999999E-3</v>
      </c>
      <c r="AP1918">
        <v>1</v>
      </c>
      <c r="AQ1918">
        <v>-2.78</v>
      </c>
      <c r="AR1918">
        <v>-1.04</v>
      </c>
      <c r="AS1918">
        <v>-8.48</v>
      </c>
      <c r="AT1918">
        <v>-18.36</v>
      </c>
      <c r="AU1918">
        <v>-42.83</v>
      </c>
      <c r="AV1918">
        <v>0</v>
      </c>
      <c r="AW1918">
        <v>4.71</v>
      </c>
      <c r="AX1918">
        <v>56.33</v>
      </c>
      <c r="AY1918">
        <v>40.15</v>
      </c>
      <c r="AZ1918">
        <v>37.450000000000003</v>
      </c>
      <c r="BA1918">
        <v>0.56000000000000005</v>
      </c>
      <c r="BB1918" t="s">
        <v>125</v>
      </c>
      <c r="BF1918">
        <v>2.27</v>
      </c>
      <c r="BG1918">
        <v>1.64</v>
      </c>
      <c r="BH1918">
        <v>-3.05</v>
      </c>
      <c r="BI1918">
        <v>2.06</v>
      </c>
      <c r="BJ1918">
        <v>20210910</v>
      </c>
      <c r="BK1918">
        <v>20161116</v>
      </c>
      <c r="BL1918">
        <v>2.14</v>
      </c>
      <c r="BM1918" t="s">
        <v>120</v>
      </c>
      <c r="BN1918" t="s">
        <v>120</v>
      </c>
      <c r="BO1918">
        <v>17.829999999999998</v>
      </c>
      <c r="BP1918">
        <v>12.4</v>
      </c>
      <c r="BQ1918">
        <v>10.24</v>
      </c>
      <c r="BR1918">
        <v>-0.03</v>
      </c>
      <c r="BS1918">
        <v>42.68</v>
      </c>
      <c r="BT1918">
        <v>12.73</v>
      </c>
      <c r="BU1918">
        <v>1.5</v>
      </c>
      <c r="BV1918">
        <v>0.46</v>
      </c>
      <c r="BW1918">
        <v>7.35</v>
      </c>
      <c r="BX1918">
        <v>4.1900000000000004</v>
      </c>
      <c r="BY1918">
        <v>3.5</v>
      </c>
      <c r="BZ1918">
        <v>2.88</v>
      </c>
      <c r="CA1918" t="s">
        <v>120</v>
      </c>
      <c r="CB1918">
        <v>5.09</v>
      </c>
      <c r="CC1918">
        <v>7.98</v>
      </c>
      <c r="CD1918">
        <v>6.56</v>
      </c>
      <c r="CE1918">
        <v>0.15</v>
      </c>
      <c r="CF1918">
        <v>0</v>
      </c>
      <c r="CG1918">
        <v>0.15</v>
      </c>
      <c r="CH1918">
        <v>0.16</v>
      </c>
      <c r="CI1918">
        <v>0.21</v>
      </c>
      <c r="CJ1918">
        <v>0.15</v>
      </c>
      <c r="CK1918">
        <v>0.19</v>
      </c>
      <c r="CL1918">
        <v>2.5099999999999998</v>
      </c>
      <c r="CM1918">
        <v>-1.05</v>
      </c>
      <c r="CN1918">
        <v>1.1000000000000001</v>
      </c>
      <c r="CO1918">
        <v>19057</v>
      </c>
      <c r="CP1918">
        <v>6340</v>
      </c>
      <c r="CQ1918" t="s">
        <v>2384</v>
      </c>
      <c r="CR1918">
        <v>-18.73</v>
      </c>
      <c r="CS1918">
        <v>79.56</v>
      </c>
      <c r="CT1918">
        <v>2.6</v>
      </c>
      <c r="CU1918">
        <v>-25.4</v>
      </c>
      <c r="CV1918">
        <v>3.33</v>
      </c>
      <c r="CW1918">
        <v>1.63</v>
      </c>
      <c r="CX1918" t="s">
        <v>411</v>
      </c>
      <c r="CY1918">
        <v>4.78</v>
      </c>
      <c r="CZ1918">
        <v>4.78</v>
      </c>
      <c r="DA1918">
        <v>2.37</v>
      </c>
      <c r="DB1918">
        <v>1.17</v>
      </c>
      <c r="DC1918">
        <v>-0.49</v>
      </c>
      <c r="DD1918">
        <v>57.47</v>
      </c>
      <c r="DE1918" t="s">
        <v>9520</v>
      </c>
      <c r="DF1918">
        <v>17.86</v>
      </c>
      <c r="DG1918">
        <v>1.92</v>
      </c>
      <c r="DH1918">
        <v>2.57</v>
      </c>
      <c r="DI1918">
        <v>0.61</v>
      </c>
      <c r="DJ1918">
        <v>2528</v>
      </c>
      <c r="DK1918">
        <v>300562</v>
      </c>
      <c r="DL1918" t="s">
        <v>120</v>
      </c>
      <c r="DM1918" t="s">
        <v>120</v>
      </c>
      <c r="DN1918" t="s">
        <v>120</v>
      </c>
    </row>
    <row r="1919" spans="1:118">
      <c r="A1919" t="str">
        <f>"300563"</f>
        <v>300563</v>
      </c>
      <c r="B1919" t="s">
        <v>9521</v>
      </c>
      <c r="C1919">
        <v>-1.81</v>
      </c>
      <c r="D1919">
        <v>0</v>
      </c>
      <c r="E1919">
        <v>0.35</v>
      </c>
      <c r="F1919">
        <v>499</v>
      </c>
      <c r="G1919" t="s">
        <v>9522</v>
      </c>
      <c r="H1919">
        <v>3690.06</v>
      </c>
      <c r="I1919">
        <v>4.33</v>
      </c>
      <c r="J1919" t="s">
        <v>120</v>
      </c>
      <c r="K1919" t="s">
        <v>7389</v>
      </c>
      <c r="L1919">
        <v>2.11</v>
      </c>
      <c r="M1919">
        <v>14.12</v>
      </c>
      <c r="N1919">
        <v>0.93</v>
      </c>
      <c r="O1919">
        <v>1.18</v>
      </c>
      <c r="P1919">
        <v>14.55</v>
      </c>
      <c r="Q1919">
        <v>-1.81</v>
      </c>
      <c r="R1919">
        <v>14.12</v>
      </c>
      <c r="S1919">
        <v>14.43</v>
      </c>
      <c r="T1919">
        <v>25763</v>
      </c>
      <c r="U1919">
        <v>14.12</v>
      </c>
      <c r="V1919">
        <v>14.38</v>
      </c>
      <c r="W1919">
        <v>40.6</v>
      </c>
      <c r="X1919" t="s">
        <v>462</v>
      </c>
      <c r="Y1919" t="s">
        <v>319</v>
      </c>
      <c r="Z1919">
        <v>2.99</v>
      </c>
      <c r="AA1919">
        <v>14.32</v>
      </c>
      <c r="AB1919">
        <v>15153</v>
      </c>
      <c r="AC1919">
        <v>10610</v>
      </c>
      <c r="AD1919">
        <v>1.43</v>
      </c>
      <c r="AE1919">
        <v>39</v>
      </c>
      <c r="AF1919">
        <v>249</v>
      </c>
      <c r="AG1919" t="s">
        <v>120</v>
      </c>
      <c r="AH1919">
        <v>0</v>
      </c>
      <c r="AI1919" t="s">
        <v>120</v>
      </c>
      <c r="AJ1919">
        <v>1.22</v>
      </c>
      <c r="AK1919" t="s">
        <v>4435</v>
      </c>
      <c r="AL1919">
        <v>0.11</v>
      </c>
      <c r="AM1919">
        <v>1242</v>
      </c>
      <c r="AN1919">
        <v>21</v>
      </c>
      <c r="AO1919">
        <v>1.6999999999999999E-3</v>
      </c>
      <c r="AP1919">
        <v>-2</v>
      </c>
      <c r="AQ1919">
        <v>-1.44</v>
      </c>
      <c r="AR1919">
        <v>-2.35</v>
      </c>
      <c r="AS1919">
        <v>-12.94</v>
      </c>
      <c r="AT1919">
        <v>-10.29</v>
      </c>
      <c r="AU1919">
        <v>2.08</v>
      </c>
      <c r="AV1919">
        <v>3</v>
      </c>
      <c r="AW1919">
        <v>2.4900000000000002</v>
      </c>
      <c r="AX1919">
        <v>57.91</v>
      </c>
      <c r="AY1919">
        <v>41.24</v>
      </c>
      <c r="AZ1919">
        <v>41.56</v>
      </c>
      <c r="BA1919">
        <v>0.87</v>
      </c>
      <c r="BB1919" t="s">
        <v>125</v>
      </c>
      <c r="BF1919">
        <v>-0.4</v>
      </c>
      <c r="BG1919">
        <v>-2.15</v>
      </c>
      <c r="BH1919">
        <v>-2.96</v>
      </c>
      <c r="BI1919">
        <v>0</v>
      </c>
      <c r="BJ1919">
        <v>20210915</v>
      </c>
      <c r="BK1919">
        <v>20161114</v>
      </c>
      <c r="BL1919">
        <v>1.79</v>
      </c>
      <c r="BM1919" t="s">
        <v>120</v>
      </c>
      <c r="BN1919" t="s">
        <v>120</v>
      </c>
      <c r="BO1919">
        <v>11.57</v>
      </c>
      <c r="BP1919">
        <v>14.11</v>
      </c>
      <c r="BQ1919">
        <v>8.99</v>
      </c>
      <c r="BR1919">
        <v>0</v>
      </c>
      <c r="BS1919">
        <v>22.3</v>
      </c>
      <c r="BT1919">
        <v>7.54</v>
      </c>
      <c r="BU1919">
        <v>2.85</v>
      </c>
      <c r="BV1919">
        <v>0.42</v>
      </c>
      <c r="BW1919">
        <v>2.44</v>
      </c>
      <c r="BX1919">
        <v>0.8</v>
      </c>
      <c r="BY1919">
        <v>1.3</v>
      </c>
      <c r="BZ1919">
        <v>1.65</v>
      </c>
      <c r="CA1919" t="s">
        <v>120</v>
      </c>
      <c r="CB1919">
        <v>3.93</v>
      </c>
      <c r="CC1919">
        <v>3.67</v>
      </c>
      <c r="CD1919">
        <v>3.02</v>
      </c>
      <c r="CE1919">
        <v>0.37</v>
      </c>
      <c r="CF1919">
        <v>0.03</v>
      </c>
      <c r="CG1919">
        <v>0.37</v>
      </c>
      <c r="CH1919">
        <v>0.31</v>
      </c>
      <c r="CI1919">
        <v>0.31</v>
      </c>
      <c r="CJ1919">
        <v>-0.26</v>
      </c>
      <c r="CK1919">
        <v>0.27</v>
      </c>
      <c r="CL1919">
        <v>3.14</v>
      </c>
      <c r="CM1919">
        <v>0.38</v>
      </c>
      <c r="CN1919">
        <v>-0.46</v>
      </c>
      <c r="CO1919">
        <v>20246</v>
      </c>
      <c r="CP1919">
        <v>5113</v>
      </c>
      <c r="CQ1919" t="s">
        <v>2982</v>
      </c>
      <c r="CR1919">
        <v>1.59</v>
      </c>
      <c r="CS1919">
        <v>35.26</v>
      </c>
      <c r="CT1919">
        <v>2.81</v>
      </c>
      <c r="CU1919">
        <v>66.489999999999995</v>
      </c>
      <c r="CV1919">
        <v>6.88</v>
      </c>
      <c r="CW1919">
        <v>0.55000000000000004</v>
      </c>
      <c r="CX1919" t="s">
        <v>1193</v>
      </c>
      <c r="CY1919">
        <v>5.03</v>
      </c>
      <c r="CZ1919">
        <v>0</v>
      </c>
      <c r="DA1919">
        <v>2.2000000000000002</v>
      </c>
      <c r="DB1919">
        <v>1.76</v>
      </c>
      <c r="DC1919">
        <v>0.21</v>
      </c>
      <c r="DD1919">
        <v>77.7</v>
      </c>
      <c r="DE1919" t="s">
        <v>5093</v>
      </c>
      <c r="DF1919">
        <v>17.690000000000001</v>
      </c>
      <c r="DG1919">
        <v>10.16</v>
      </c>
      <c r="DH1919">
        <v>8.4700000000000006</v>
      </c>
      <c r="DI1919">
        <v>0.11</v>
      </c>
      <c r="DJ1919">
        <v>492</v>
      </c>
      <c r="DK1919">
        <v>300563</v>
      </c>
      <c r="DL1919" t="s">
        <v>120</v>
      </c>
      <c r="DM1919" t="s">
        <v>120</v>
      </c>
      <c r="DN1919" t="s">
        <v>120</v>
      </c>
    </row>
    <row r="1920" spans="1:118">
      <c r="A1920" t="str">
        <f>"300564"</f>
        <v>300564</v>
      </c>
      <c r="B1920" t="s">
        <v>9523</v>
      </c>
      <c r="C1920">
        <v>-2.5099999999999998</v>
      </c>
      <c r="D1920">
        <v>-0.03</v>
      </c>
      <c r="E1920">
        <v>-1.04</v>
      </c>
      <c r="F1920">
        <v>156</v>
      </c>
      <c r="G1920" t="s">
        <v>9488</v>
      </c>
      <c r="H1920">
        <v>2797.42</v>
      </c>
      <c r="I1920">
        <v>3.66</v>
      </c>
      <c r="J1920" t="s">
        <v>120</v>
      </c>
      <c r="K1920" t="s">
        <v>9488</v>
      </c>
      <c r="L1920">
        <v>3.63</v>
      </c>
      <c r="M1920">
        <v>22.54</v>
      </c>
      <c r="N1920">
        <v>0.96</v>
      </c>
      <c r="O1920">
        <v>0.48</v>
      </c>
      <c r="P1920">
        <v>23.23</v>
      </c>
      <c r="Q1920">
        <v>-2.6</v>
      </c>
      <c r="R1920">
        <v>22.52</v>
      </c>
      <c r="S1920">
        <v>22.88</v>
      </c>
      <c r="T1920">
        <v>12237</v>
      </c>
      <c r="U1920">
        <v>22.55</v>
      </c>
      <c r="V1920">
        <v>23.12</v>
      </c>
      <c r="W1920">
        <v>17.23</v>
      </c>
      <c r="X1920" t="s">
        <v>175</v>
      </c>
      <c r="Y1920" t="s">
        <v>1886</v>
      </c>
      <c r="Z1920">
        <v>3.07</v>
      </c>
      <c r="AA1920">
        <v>22.86</v>
      </c>
      <c r="AB1920">
        <v>7168</v>
      </c>
      <c r="AC1920">
        <v>5069</v>
      </c>
      <c r="AD1920">
        <v>1.41</v>
      </c>
      <c r="AE1920">
        <v>35</v>
      </c>
      <c r="AF1920">
        <v>9</v>
      </c>
      <c r="AG1920" t="s">
        <v>120</v>
      </c>
      <c r="AH1920">
        <v>0</v>
      </c>
      <c r="AI1920" t="s">
        <v>120</v>
      </c>
      <c r="AJ1920">
        <v>0.34</v>
      </c>
      <c r="AK1920" t="s">
        <v>4605</v>
      </c>
      <c r="AL1920">
        <v>-0.59</v>
      </c>
      <c r="AM1920">
        <v>1139</v>
      </c>
      <c r="AN1920">
        <v>11</v>
      </c>
      <c r="AO1920">
        <v>3.2000000000000002E-3</v>
      </c>
      <c r="AP1920">
        <v>-1</v>
      </c>
      <c r="AQ1920">
        <v>4.1900000000000004</v>
      </c>
      <c r="AR1920">
        <v>-0.66</v>
      </c>
      <c r="AS1920">
        <v>3.3</v>
      </c>
      <c r="AT1920">
        <v>1.08</v>
      </c>
      <c r="AU1920">
        <v>-6.09</v>
      </c>
      <c r="AV1920">
        <v>0</v>
      </c>
      <c r="AW1920">
        <v>3.63</v>
      </c>
      <c r="AX1920">
        <v>32.79</v>
      </c>
      <c r="AY1920">
        <v>15.26</v>
      </c>
      <c r="AZ1920">
        <v>17.190000000000001</v>
      </c>
      <c r="BA1920">
        <v>0.45</v>
      </c>
      <c r="BB1920" t="s">
        <v>143</v>
      </c>
      <c r="BF1920">
        <v>-1.1200000000000001</v>
      </c>
      <c r="BG1920">
        <v>-1.49</v>
      </c>
      <c r="BH1920">
        <v>-2.97</v>
      </c>
      <c r="BI1920">
        <v>0.09</v>
      </c>
      <c r="BJ1920">
        <v>20210827</v>
      </c>
      <c r="BK1920">
        <v>20191108</v>
      </c>
      <c r="BL1920">
        <v>1.03</v>
      </c>
      <c r="BM1920" t="s">
        <v>120</v>
      </c>
      <c r="BN1920" t="s">
        <v>120</v>
      </c>
      <c r="BO1920">
        <v>17.43</v>
      </c>
      <c r="BP1920">
        <v>22.54</v>
      </c>
      <c r="BQ1920">
        <v>11.59</v>
      </c>
      <c r="BR1920" t="s">
        <v>120</v>
      </c>
      <c r="BS1920">
        <v>33.49</v>
      </c>
      <c r="BT1920">
        <v>14.39</v>
      </c>
      <c r="BU1920">
        <v>2.34</v>
      </c>
      <c r="BV1920">
        <v>0.1</v>
      </c>
      <c r="BW1920">
        <v>5.57</v>
      </c>
      <c r="BX1920">
        <v>3.83</v>
      </c>
      <c r="BY1920">
        <v>0</v>
      </c>
      <c r="BZ1920">
        <v>1.3</v>
      </c>
      <c r="CA1920" t="s">
        <v>120</v>
      </c>
      <c r="CB1920">
        <v>6.19</v>
      </c>
      <c r="CC1920">
        <v>4.34</v>
      </c>
      <c r="CD1920">
        <v>2.87</v>
      </c>
      <c r="CE1920">
        <v>0.75</v>
      </c>
      <c r="CF1920">
        <v>0.06</v>
      </c>
      <c r="CG1920">
        <v>0.75</v>
      </c>
      <c r="CH1920">
        <v>0.67</v>
      </c>
      <c r="CI1920">
        <v>0.67</v>
      </c>
      <c r="CJ1920">
        <v>-0.57999999999999996</v>
      </c>
      <c r="CK1920">
        <v>0.31</v>
      </c>
      <c r="CL1920">
        <v>4.18</v>
      </c>
      <c r="CM1920">
        <v>-1.99</v>
      </c>
      <c r="CN1920">
        <v>-2.54</v>
      </c>
      <c r="CO1920">
        <v>12000</v>
      </c>
      <c r="CP1920">
        <v>2813</v>
      </c>
      <c r="CQ1920" t="s">
        <v>9518</v>
      </c>
      <c r="CR1920">
        <v>35.11</v>
      </c>
      <c r="CS1920">
        <v>19.72</v>
      </c>
      <c r="CT1920">
        <v>2</v>
      </c>
      <c r="CU1920">
        <v>-11.67</v>
      </c>
      <c r="CV1920">
        <v>5.34</v>
      </c>
      <c r="CW1920">
        <v>2.1</v>
      </c>
      <c r="CX1920" t="s">
        <v>1469</v>
      </c>
      <c r="CY1920">
        <v>11.26</v>
      </c>
      <c r="CZ1920">
        <v>0</v>
      </c>
      <c r="DA1920">
        <v>6.01</v>
      </c>
      <c r="DB1920">
        <v>4.0599999999999996</v>
      </c>
      <c r="DC1920">
        <v>-1.93</v>
      </c>
      <c r="DD1920">
        <v>66.510000000000005</v>
      </c>
      <c r="DE1920" t="s">
        <v>4733</v>
      </c>
      <c r="DF1920">
        <v>33.93</v>
      </c>
      <c r="DG1920">
        <v>17.22</v>
      </c>
      <c r="DH1920">
        <v>15.5</v>
      </c>
      <c r="DI1920">
        <v>0.25</v>
      </c>
      <c r="DJ1920">
        <v>2068</v>
      </c>
      <c r="DK1920">
        <v>300564</v>
      </c>
      <c r="DL1920" t="s">
        <v>120</v>
      </c>
      <c r="DM1920" t="s">
        <v>120</v>
      </c>
      <c r="DN1920" t="s">
        <v>120</v>
      </c>
    </row>
    <row r="1921" spans="1:118">
      <c r="A1921" t="str">
        <f>"300565"</f>
        <v>300565</v>
      </c>
      <c r="B1921" t="s">
        <v>9524</v>
      </c>
      <c r="C1921">
        <v>-2.83</v>
      </c>
      <c r="D1921">
        <v>-7.0000000000000007E-2</v>
      </c>
      <c r="E1921">
        <v>-0.38</v>
      </c>
      <c r="F1921">
        <v>602</v>
      </c>
      <c r="G1921" t="s">
        <v>9525</v>
      </c>
      <c r="H1921">
        <v>5574.09</v>
      </c>
      <c r="I1921">
        <v>59.11</v>
      </c>
      <c r="J1921" t="s">
        <v>120</v>
      </c>
      <c r="K1921" t="s">
        <v>9526</v>
      </c>
      <c r="L1921">
        <v>2.67</v>
      </c>
      <c r="M1921">
        <v>12.7</v>
      </c>
      <c r="N1921">
        <v>0.96</v>
      </c>
      <c r="O1921">
        <v>0.54</v>
      </c>
      <c r="P1921">
        <v>13.14</v>
      </c>
      <c r="Q1921">
        <v>-2.91</v>
      </c>
      <c r="R1921">
        <v>12.69</v>
      </c>
      <c r="S1921">
        <v>13.02</v>
      </c>
      <c r="T1921">
        <v>43228</v>
      </c>
      <c r="U1921">
        <v>12.7</v>
      </c>
      <c r="V1921">
        <v>13.07</v>
      </c>
      <c r="W1921" t="s">
        <v>120</v>
      </c>
      <c r="X1921" t="s">
        <v>462</v>
      </c>
      <c r="Y1921" t="s">
        <v>123</v>
      </c>
      <c r="Z1921">
        <v>3.44</v>
      </c>
      <c r="AA1921">
        <v>12.89</v>
      </c>
      <c r="AB1921">
        <v>25870</v>
      </c>
      <c r="AC1921">
        <v>17358</v>
      </c>
      <c r="AD1921">
        <v>1.49</v>
      </c>
      <c r="AE1921">
        <v>347</v>
      </c>
      <c r="AF1921">
        <v>570</v>
      </c>
      <c r="AG1921" t="s">
        <v>120</v>
      </c>
      <c r="AH1921">
        <v>0.03</v>
      </c>
      <c r="AI1921" t="s">
        <v>120</v>
      </c>
      <c r="AJ1921">
        <v>1.62</v>
      </c>
      <c r="AK1921" t="s">
        <v>9041</v>
      </c>
      <c r="AL1921">
        <v>-0.92</v>
      </c>
      <c r="AM1921">
        <v>1461</v>
      </c>
      <c r="AN1921">
        <v>30</v>
      </c>
      <c r="AO1921">
        <v>1.8E-3</v>
      </c>
      <c r="AP1921">
        <v>-2</v>
      </c>
      <c r="AQ1921">
        <v>-1.95</v>
      </c>
      <c r="AR1921">
        <v>-4.51</v>
      </c>
      <c r="AS1921">
        <v>-23.35</v>
      </c>
      <c r="AT1921">
        <v>-18.12</v>
      </c>
      <c r="AU1921">
        <v>-10.5</v>
      </c>
      <c r="AV1921">
        <v>1</v>
      </c>
      <c r="AW1921">
        <v>3.15</v>
      </c>
      <c r="AX1921">
        <v>66.040000000000006</v>
      </c>
      <c r="AY1921" t="s">
        <v>120</v>
      </c>
      <c r="AZ1921">
        <v>218.81</v>
      </c>
      <c r="BA1921">
        <v>0.77</v>
      </c>
      <c r="BB1921" t="s">
        <v>125</v>
      </c>
      <c r="BF1921">
        <v>-1.34</v>
      </c>
      <c r="BG1921">
        <v>-2.46</v>
      </c>
      <c r="BH1921">
        <v>-3.35</v>
      </c>
      <c r="BI1921">
        <v>0.08</v>
      </c>
      <c r="BJ1921">
        <v>20210821</v>
      </c>
      <c r="BK1921">
        <v>20161122</v>
      </c>
      <c r="BL1921">
        <v>2.08</v>
      </c>
      <c r="BM1921" t="s">
        <v>120</v>
      </c>
      <c r="BN1921" t="s">
        <v>120</v>
      </c>
      <c r="BO1921">
        <v>13.94</v>
      </c>
      <c r="BP1921">
        <v>12.69</v>
      </c>
      <c r="BQ1921">
        <v>6.48</v>
      </c>
      <c r="BR1921" t="s">
        <v>120</v>
      </c>
      <c r="BS1921">
        <v>53.53</v>
      </c>
      <c r="BT1921">
        <v>7.2</v>
      </c>
      <c r="BU1921">
        <v>2.62</v>
      </c>
      <c r="BV1921">
        <v>1.1599999999999999</v>
      </c>
      <c r="BW1921">
        <v>5.76</v>
      </c>
      <c r="BX1921">
        <v>1.5</v>
      </c>
      <c r="BY1921">
        <v>1.33</v>
      </c>
      <c r="BZ1921">
        <v>4.03</v>
      </c>
      <c r="CA1921" t="s">
        <v>120</v>
      </c>
      <c r="CB1921">
        <v>2.56</v>
      </c>
      <c r="CC1921">
        <v>3.94</v>
      </c>
      <c r="CD1921">
        <v>2.94</v>
      </c>
      <c r="CE1921">
        <v>-0.35</v>
      </c>
      <c r="CF1921">
        <v>0.02</v>
      </c>
      <c r="CG1921">
        <v>-0.35</v>
      </c>
      <c r="CH1921">
        <v>-0.32</v>
      </c>
      <c r="CI1921">
        <v>-0.32</v>
      </c>
      <c r="CJ1921">
        <v>-0.37</v>
      </c>
      <c r="CK1921">
        <v>-0.33</v>
      </c>
      <c r="CL1921">
        <v>1.47</v>
      </c>
      <c r="CM1921">
        <v>-1.1399999999999999</v>
      </c>
      <c r="CN1921">
        <v>-0.39</v>
      </c>
      <c r="CO1921">
        <v>17805</v>
      </c>
      <c r="CP1921">
        <v>7715</v>
      </c>
      <c r="CQ1921" t="s">
        <v>2127</v>
      </c>
      <c r="CR1921">
        <v>-555.75</v>
      </c>
      <c r="CS1921">
        <v>56.3</v>
      </c>
      <c r="CT1921">
        <v>4.08</v>
      </c>
      <c r="CU1921">
        <v>-23.27</v>
      </c>
      <c r="CV1921">
        <v>6.7</v>
      </c>
      <c r="CW1921">
        <v>0</v>
      </c>
      <c r="CX1921" t="s">
        <v>795</v>
      </c>
      <c r="CY1921">
        <v>3.11</v>
      </c>
      <c r="CZ1921">
        <v>0</v>
      </c>
      <c r="DA1921">
        <v>1.23</v>
      </c>
      <c r="DB1921">
        <v>0.7</v>
      </c>
      <c r="DC1921">
        <v>-0.55000000000000004</v>
      </c>
      <c r="DD1921">
        <v>46.47</v>
      </c>
      <c r="DE1921" t="s">
        <v>9527</v>
      </c>
      <c r="DF1921">
        <v>25.4</v>
      </c>
      <c r="DG1921">
        <v>-8.91</v>
      </c>
      <c r="DH1921">
        <v>-8.0299999999999994</v>
      </c>
      <c r="DI1921">
        <v>0.36</v>
      </c>
      <c r="DJ1921">
        <v>859</v>
      </c>
      <c r="DK1921">
        <v>300565</v>
      </c>
      <c r="DL1921">
        <v>20210812</v>
      </c>
      <c r="DM1921">
        <v>16.96</v>
      </c>
      <c r="DN1921">
        <v>-25.12</v>
      </c>
    </row>
    <row r="1922" spans="1:118">
      <c r="A1922" t="str">
        <f>"300566"</f>
        <v>300566</v>
      </c>
      <c r="B1922" t="s">
        <v>9528</v>
      </c>
      <c r="C1922">
        <v>-4.75</v>
      </c>
      <c r="D1922">
        <v>-0.1</v>
      </c>
      <c r="E1922">
        <v>0</v>
      </c>
      <c r="F1922">
        <v>490</v>
      </c>
      <c r="G1922" t="s">
        <v>9529</v>
      </c>
      <c r="H1922">
        <v>9266.59</v>
      </c>
      <c r="I1922">
        <v>7.83</v>
      </c>
      <c r="J1922" t="s">
        <v>120</v>
      </c>
      <c r="K1922" t="s">
        <v>2209</v>
      </c>
      <c r="L1922">
        <v>1.96</v>
      </c>
      <c r="M1922">
        <v>26.65</v>
      </c>
      <c r="N1922">
        <v>0.98</v>
      </c>
      <c r="O1922">
        <v>0</v>
      </c>
      <c r="P1922">
        <v>27.98</v>
      </c>
      <c r="Q1922">
        <v>-4.75</v>
      </c>
      <c r="R1922">
        <v>26.65</v>
      </c>
      <c r="S1922">
        <v>27.98</v>
      </c>
      <c r="T1922">
        <v>34063</v>
      </c>
      <c r="U1922">
        <v>26.66</v>
      </c>
      <c r="V1922">
        <v>27.98</v>
      </c>
      <c r="W1922">
        <v>48.68</v>
      </c>
      <c r="X1922" t="s">
        <v>229</v>
      </c>
      <c r="Y1922" t="s">
        <v>585</v>
      </c>
      <c r="Z1922">
        <v>4.75</v>
      </c>
      <c r="AA1922">
        <v>27.2</v>
      </c>
      <c r="AB1922">
        <v>21281</v>
      </c>
      <c r="AC1922">
        <v>12782</v>
      </c>
      <c r="AD1922">
        <v>1.66</v>
      </c>
      <c r="AE1922">
        <v>181</v>
      </c>
      <c r="AF1922">
        <v>32</v>
      </c>
      <c r="AG1922" t="s">
        <v>120</v>
      </c>
      <c r="AH1922">
        <v>0</v>
      </c>
      <c r="AI1922" t="s">
        <v>120</v>
      </c>
      <c r="AJ1922">
        <v>1.74</v>
      </c>
      <c r="AK1922" t="s">
        <v>4912</v>
      </c>
      <c r="AL1922">
        <v>-2.84</v>
      </c>
      <c r="AM1922">
        <v>2006</v>
      </c>
      <c r="AN1922">
        <v>17</v>
      </c>
      <c r="AO1922">
        <v>1E-3</v>
      </c>
      <c r="AP1922">
        <v>-4</v>
      </c>
      <c r="AQ1922">
        <v>-0.43</v>
      </c>
      <c r="AR1922">
        <v>-5.49</v>
      </c>
      <c r="AS1922">
        <v>-3.69</v>
      </c>
      <c r="AT1922">
        <v>-6.49</v>
      </c>
      <c r="AU1922">
        <v>24.65</v>
      </c>
      <c r="AV1922">
        <v>0</v>
      </c>
      <c r="AW1922">
        <v>2.95</v>
      </c>
      <c r="AX1922">
        <v>49.65</v>
      </c>
      <c r="AY1922">
        <v>40.4</v>
      </c>
      <c r="AZ1922">
        <v>47.63</v>
      </c>
      <c r="BA1922">
        <v>0.22</v>
      </c>
      <c r="BB1922" t="s">
        <v>143</v>
      </c>
      <c r="BF1922">
        <v>-2.77</v>
      </c>
      <c r="BG1922">
        <v>-4.75</v>
      </c>
      <c r="BH1922">
        <v>-4.75</v>
      </c>
      <c r="BI1922">
        <v>0</v>
      </c>
      <c r="BJ1922">
        <v>20210818</v>
      </c>
      <c r="BK1922">
        <v>20161115</v>
      </c>
      <c r="BL1922">
        <v>2.33</v>
      </c>
      <c r="BM1922" t="s">
        <v>120</v>
      </c>
      <c r="BN1922" t="s">
        <v>120</v>
      </c>
      <c r="BO1922">
        <v>27.25</v>
      </c>
      <c r="BP1922">
        <v>26.65</v>
      </c>
      <c r="BQ1922">
        <v>8.9</v>
      </c>
      <c r="BR1922">
        <v>0.33</v>
      </c>
      <c r="BS1922">
        <v>66.13</v>
      </c>
      <c r="BT1922">
        <v>17.989999999999998</v>
      </c>
      <c r="BU1922">
        <v>5.0199999999999996</v>
      </c>
      <c r="BV1922">
        <v>0.92</v>
      </c>
      <c r="BW1922">
        <v>15.84</v>
      </c>
      <c r="BX1922">
        <v>5.38</v>
      </c>
      <c r="BY1922">
        <v>4.42</v>
      </c>
      <c r="BZ1922">
        <v>5.8</v>
      </c>
      <c r="CA1922" t="s">
        <v>120</v>
      </c>
      <c r="CB1922">
        <v>1.67</v>
      </c>
      <c r="CC1922">
        <v>8.4600000000000009</v>
      </c>
      <c r="CD1922">
        <v>6.37</v>
      </c>
      <c r="CE1922">
        <v>0.82</v>
      </c>
      <c r="CF1922">
        <v>0.05</v>
      </c>
      <c r="CG1922">
        <v>0.82</v>
      </c>
      <c r="CH1922">
        <v>0.71</v>
      </c>
      <c r="CI1922">
        <v>0.64</v>
      </c>
      <c r="CJ1922">
        <v>-1.33</v>
      </c>
      <c r="CK1922">
        <v>0.56000000000000005</v>
      </c>
      <c r="CL1922">
        <v>4.51</v>
      </c>
      <c r="CM1922">
        <v>-0.28000000000000003</v>
      </c>
      <c r="CN1922">
        <v>1.38</v>
      </c>
      <c r="CO1922">
        <v>11813</v>
      </c>
      <c r="CP1922">
        <v>9785</v>
      </c>
      <c r="CQ1922" t="s">
        <v>9530</v>
      </c>
      <c r="CR1922">
        <v>62.36</v>
      </c>
      <c r="CS1922">
        <v>54.84</v>
      </c>
      <c r="CT1922">
        <v>6.97</v>
      </c>
      <c r="CU1922">
        <v>-222.04</v>
      </c>
      <c r="CV1922">
        <v>7.33</v>
      </c>
      <c r="CW1922">
        <v>0.24</v>
      </c>
      <c r="CX1922" t="s">
        <v>1233</v>
      </c>
      <c r="CY1922">
        <v>3.82</v>
      </c>
      <c r="CZ1922">
        <v>0</v>
      </c>
      <c r="DA1922">
        <v>0.72</v>
      </c>
      <c r="DB1922">
        <v>1.94</v>
      </c>
      <c r="DC1922">
        <v>-0.12</v>
      </c>
      <c r="DD1922">
        <v>32.659999999999997</v>
      </c>
      <c r="DE1922" t="s">
        <v>9053</v>
      </c>
      <c r="DF1922">
        <v>24.67</v>
      </c>
      <c r="DG1922">
        <v>9.73</v>
      </c>
      <c r="DH1922">
        <v>7.53</v>
      </c>
      <c r="DI1922">
        <v>0.53</v>
      </c>
      <c r="DJ1922">
        <v>654</v>
      </c>
      <c r="DK1922">
        <v>300566</v>
      </c>
      <c r="DL1922" t="s">
        <v>120</v>
      </c>
      <c r="DM1922" t="s">
        <v>120</v>
      </c>
      <c r="DN1922" t="s">
        <v>120</v>
      </c>
    </row>
    <row r="1923" spans="1:118">
      <c r="A1923" t="str">
        <f>"300567"</f>
        <v>300567</v>
      </c>
      <c r="B1923" t="s">
        <v>9531</v>
      </c>
      <c r="C1923">
        <v>-2.66</v>
      </c>
      <c r="D1923">
        <v>-0.03</v>
      </c>
      <c r="E1923">
        <v>-0.19</v>
      </c>
      <c r="F1923">
        <v>628</v>
      </c>
      <c r="G1923" t="s">
        <v>2048</v>
      </c>
      <c r="H1923">
        <v>19618.12</v>
      </c>
      <c r="I1923">
        <v>27.92</v>
      </c>
      <c r="J1923" t="s">
        <v>120</v>
      </c>
      <c r="K1923" t="s">
        <v>9532</v>
      </c>
      <c r="L1923">
        <v>2.0499999999999998</v>
      </c>
      <c r="M1923">
        <v>55.57</v>
      </c>
      <c r="N1923">
        <v>0.59</v>
      </c>
      <c r="O1923">
        <v>0.3</v>
      </c>
      <c r="P1923">
        <v>57.26</v>
      </c>
      <c r="Q1923">
        <v>-2.72</v>
      </c>
      <c r="R1923">
        <v>55.54</v>
      </c>
      <c r="S1923">
        <v>56.98</v>
      </c>
      <c r="T1923">
        <v>34928</v>
      </c>
      <c r="U1923">
        <v>55.59</v>
      </c>
      <c r="V1923">
        <v>57.09</v>
      </c>
      <c r="W1923">
        <v>52.76</v>
      </c>
      <c r="X1923" t="s">
        <v>2717</v>
      </c>
      <c r="Y1923" t="s">
        <v>763</v>
      </c>
      <c r="Z1923">
        <v>3.01</v>
      </c>
      <c r="AA1923">
        <v>56.17</v>
      </c>
      <c r="AB1923">
        <v>23328</v>
      </c>
      <c r="AC1923">
        <v>11600</v>
      </c>
      <c r="AD1923">
        <v>2.0099999999999998</v>
      </c>
      <c r="AE1923">
        <v>263</v>
      </c>
      <c r="AF1923">
        <v>13</v>
      </c>
      <c r="AG1923" t="s">
        <v>120</v>
      </c>
      <c r="AH1923">
        <v>0</v>
      </c>
      <c r="AI1923" t="s">
        <v>120</v>
      </c>
      <c r="AJ1923">
        <v>1.7</v>
      </c>
      <c r="AK1923" t="s">
        <v>7645</v>
      </c>
      <c r="AL1923">
        <v>-0.75</v>
      </c>
      <c r="AM1923">
        <v>2649</v>
      </c>
      <c r="AN1923">
        <v>13</v>
      </c>
      <c r="AO1923">
        <v>8.0000000000000004E-4</v>
      </c>
      <c r="AP1923">
        <v>-1</v>
      </c>
      <c r="AQ1923">
        <v>2</v>
      </c>
      <c r="AR1923">
        <v>0.02</v>
      </c>
      <c r="AS1923">
        <v>-14.26</v>
      </c>
      <c r="AT1923">
        <v>-3.1</v>
      </c>
      <c r="AU1923">
        <v>1.7</v>
      </c>
      <c r="AV1923">
        <v>1</v>
      </c>
      <c r="AW1923">
        <v>2.36</v>
      </c>
      <c r="AX1923">
        <v>53.24</v>
      </c>
      <c r="AY1923">
        <v>46.51</v>
      </c>
      <c r="AZ1923">
        <v>65.290000000000006</v>
      </c>
      <c r="BA1923">
        <v>0.9</v>
      </c>
      <c r="BB1923" t="s">
        <v>168</v>
      </c>
      <c r="BF1923">
        <v>-1.61</v>
      </c>
      <c r="BG1923">
        <v>-2.4700000000000002</v>
      </c>
      <c r="BH1923">
        <v>-2.95</v>
      </c>
      <c r="BI1923">
        <v>0.05</v>
      </c>
      <c r="BJ1923">
        <v>20210913</v>
      </c>
      <c r="BK1923">
        <v>20161122</v>
      </c>
      <c r="BL1923">
        <v>2.78</v>
      </c>
      <c r="BM1923" t="s">
        <v>120</v>
      </c>
      <c r="BN1923" t="s">
        <v>120</v>
      </c>
      <c r="BO1923">
        <v>58.8</v>
      </c>
      <c r="BP1923">
        <v>55.57</v>
      </c>
      <c r="BQ1923">
        <v>32.49</v>
      </c>
      <c r="BR1923">
        <v>2.7</v>
      </c>
      <c r="BS1923">
        <v>40.159999999999997</v>
      </c>
      <c r="BT1923">
        <v>40.700000000000003</v>
      </c>
      <c r="BU1923">
        <v>6.31</v>
      </c>
      <c r="BV1923">
        <v>1.86</v>
      </c>
      <c r="BW1923">
        <v>15.19</v>
      </c>
      <c r="BX1923">
        <v>9.5399999999999991</v>
      </c>
      <c r="BY1923">
        <v>8.43</v>
      </c>
      <c r="BZ1923">
        <v>10.210000000000001</v>
      </c>
      <c r="CA1923" t="s">
        <v>120</v>
      </c>
      <c r="CB1923">
        <v>18.79</v>
      </c>
      <c r="CC1923">
        <v>12.92</v>
      </c>
      <c r="CD1923">
        <v>7.49</v>
      </c>
      <c r="CE1923">
        <v>1.47</v>
      </c>
      <c r="CF1923">
        <v>-0.17</v>
      </c>
      <c r="CG1923">
        <v>1.43</v>
      </c>
      <c r="CH1923">
        <v>1.21</v>
      </c>
      <c r="CI1923">
        <v>1.46</v>
      </c>
      <c r="CJ1923">
        <v>-1.52</v>
      </c>
      <c r="CK1923">
        <v>1.34</v>
      </c>
      <c r="CL1923">
        <v>9.5399999999999991</v>
      </c>
      <c r="CM1923">
        <v>-2.81</v>
      </c>
      <c r="CN1923">
        <v>-3.51</v>
      </c>
      <c r="CO1923">
        <v>30715</v>
      </c>
      <c r="CP1923">
        <v>4822</v>
      </c>
      <c r="CQ1923" t="s">
        <v>9533</v>
      </c>
      <c r="CR1923">
        <v>203.43</v>
      </c>
      <c r="CS1923">
        <v>76.44</v>
      </c>
      <c r="CT1923">
        <v>4.84</v>
      </c>
      <c r="CU1923">
        <v>-54.96</v>
      </c>
      <c r="CV1923">
        <v>11.97</v>
      </c>
      <c r="CW1923">
        <v>0.53</v>
      </c>
      <c r="CX1923" t="s">
        <v>1881</v>
      </c>
      <c r="CY1923">
        <v>11.48</v>
      </c>
      <c r="CZ1923">
        <v>11.48</v>
      </c>
      <c r="DA1923">
        <v>6.75</v>
      </c>
      <c r="DB1923">
        <v>3.43</v>
      </c>
      <c r="DC1923">
        <v>-1.01</v>
      </c>
      <c r="DD1923">
        <v>55.25</v>
      </c>
      <c r="DE1923" t="s">
        <v>7300</v>
      </c>
      <c r="DF1923">
        <v>42.05</v>
      </c>
      <c r="DG1923">
        <v>11.35</v>
      </c>
      <c r="DH1923">
        <v>11.34</v>
      </c>
      <c r="DI1923">
        <v>1.74</v>
      </c>
      <c r="DJ1923">
        <v>2399</v>
      </c>
      <c r="DK1923">
        <v>300567</v>
      </c>
      <c r="DL1923" t="s">
        <v>120</v>
      </c>
      <c r="DM1923" t="s">
        <v>120</v>
      </c>
      <c r="DN1923" t="s">
        <v>120</v>
      </c>
    </row>
    <row r="1924" spans="1:118">
      <c r="A1924" t="str">
        <f>"300568"</f>
        <v>300568</v>
      </c>
      <c r="B1924" t="s">
        <v>9534</v>
      </c>
      <c r="C1924">
        <v>-5.24</v>
      </c>
      <c r="D1924">
        <v>0.7</v>
      </c>
      <c r="E1924">
        <v>-0.78</v>
      </c>
      <c r="F1924">
        <v>2212</v>
      </c>
      <c r="G1924" t="s">
        <v>9535</v>
      </c>
      <c r="H1924">
        <v>128572.95</v>
      </c>
      <c r="I1924">
        <v>604.30999999999995</v>
      </c>
      <c r="J1924" t="s">
        <v>120</v>
      </c>
      <c r="K1924" t="s">
        <v>9536</v>
      </c>
      <c r="L1924">
        <v>3.41</v>
      </c>
      <c r="M1924">
        <v>55.87</v>
      </c>
      <c r="N1924">
        <v>0.79</v>
      </c>
      <c r="O1924">
        <v>-0.78</v>
      </c>
      <c r="P1924">
        <v>58.5</v>
      </c>
      <c r="Q1924">
        <v>-6.7</v>
      </c>
      <c r="R1924">
        <v>55.01</v>
      </c>
      <c r="S1924">
        <v>58.5</v>
      </c>
      <c r="T1924">
        <v>227958</v>
      </c>
      <c r="U1924">
        <v>55.87</v>
      </c>
      <c r="V1924">
        <v>58.96</v>
      </c>
      <c r="W1924">
        <v>192.34</v>
      </c>
      <c r="X1924" t="s">
        <v>868</v>
      </c>
      <c r="Y1924" t="s">
        <v>123</v>
      </c>
      <c r="Z1924">
        <v>5.92</v>
      </c>
      <c r="AA1924">
        <v>56.4</v>
      </c>
      <c r="AB1924">
        <v>130864</v>
      </c>
      <c r="AC1924">
        <v>97094</v>
      </c>
      <c r="AD1924">
        <v>1.35</v>
      </c>
      <c r="AE1924">
        <v>5</v>
      </c>
      <c r="AF1924">
        <v>17</v>
      </c>
      <c r="AG1924" t="s">
        <v>120</v>
      </c>
      <c r="AH1924">
        <v>0.02</v>
      </c>
      <c r="AI1924" t="s">
        <v>120</v>
      </c>
      <c r="AJ1924">
        <v>6.69</v>
      </c>
      <c r="AK1924" t="s">
        <v>9537</v>
      </c>
      <c r="AL1924">
        <v>-3.33</v>
      </c>
      <c r="AM1924">
        <v>4436</v>
      </c>
      <c r="AN1924">
        <v>51</v>
      </c>
      <c r="AO1924">
        <v>8.0000000000000004E-4</v>
      </c>
      <c r="AP1924">
        <v>-1</v>
      </c>
      <c r="AQ1924">
        <v>1.66</v>
      </c>
      <c r="AR1924">
        <v>4.66</v>
      </c>
      <c r="AS1924">
        <v>26.51</v>
      </c>
      <c r="AT1924">
        <v>70.510000000000005</v>
      </c>
      <c r="AU1924">
        <v>196.2</v>
      </c>
      <c r="AV1924">
        <v>0</v>
      </c>
      <c r="AW1924">
        <v>3.7</v>
      </c>
      <c r="AX1924">
        <v>80.260000000000005</v>
      </c>
      <c r="AY1924">
        <v>280.7</v>
      </c>
      <c r="AZ1924">
        <v>373.93</v>
      </c>
      <c r="BA1924">
        <v>1.33</v>
      </c>
      <c r="BB1924" t="s">
        <v>184</v>
      </c>
      <c r="BF1924">
        <v>-4.34</v>
      </c>
      <c r="BG1924">
        <v>-4.5</v>
      </c>
      <c r="BH1924">
        <v>-4.5</v>
      </c>
      <c r="BI1924">
        <v>1.56</v>
      </c>
      <c r="BJ1924">
        <v>20210915</v>
      </c>
      <c r="BK1924">
        <v>20161201</v>
      </c>
      <c r="BL1924">
        <v>7.68</v>
      </c>
      <c r="BM1924" t="s">
        <v>120</v>
      </c>
      <c r="BN1924" t="s">
        <v>120</v>
      </c>
      <c r="BO1924">
        <v>71.56</v>
      </c>
      <c r="BP1924">
        <v>55.84</v>
      </c>
      <c r="BQ1924">
        <v>31.66</v>
      </c>
      <c r="BR1924">
        <v>1.17</v>
      </c>
      <c r="BS1924">
        <v>54.12</v>
      </c>
      <c r="BT1924">
        <v>30.06</v>
      </c>
      <c r="BU1924">
        <v>33.380000000000003</v>
      </c>
      <c r="BV1924">
        <v>1.88</v>
      </c>
      <c r="BW1924">
        <v>21.07</v>
      </c>
      <c r="BX1924">
        <v>9.19</v>
      </c>
      <c r="BY1924">
        <v>2.1</v>
      </c>
      <c r="BZ1924">
        <v>6.91</v>
      </c>
      <c r="CA1924" t="s">
        <v>120</v>
      </c>
      <c r="CB1924">
        <v>16.37</v>
      </c>
      <c r="CC1924">
        <v>8.31</v>
      </c>
      <c r="CD1924">
        <v>5.42</v>
      </c>
      <c r="CE1924">
        <v>1.48</v>
      </c>
      <c r="CF1924">
        <v>-0.01</v>
      </c>
      <c r="CG1924">
        <v>1.47</v>
      </c>
      <c r="CH1924">
        <v>1.1499999999999999</v>
      </c>
      <c r="CI1924">
        <v>1.1200000000000001</v>
      </c>
      <c r="CJ1924">
        <v>-3.09</v>
      </c>
      <c r="CK1924">
        <v>1.08</v>
      </c>
      <c r="CL1924">
        <v>6.56</v>
      </c>
      <c r="CM1924">
        <v>1.63</v>
      </c>
      <c r="CN1924">
        <v>3.49</v>
      </c>
      <c r="CO1924">
        <v>36442</v>
      </c>
      <c r="CP1924">
        <v>16924</v>
      </c>
      <c r="CQ1924" t="s">
        <v>9538</v>
      </c>
      <c r="CR1924">
        <v>56.39</v>
      </c>
      <c r="CS1924">
        <v>143.65</v>
      </c>
      <c r="CT1924">
        <v>13.1</v>
      </c>
      <c r="CU1924">
        <v>263.11</v>
      </c>
      <c r="CV1924">
        <v>51.68</v>
      </c>
      <c r="CW1924">
        <v>0.1</v>
      </c>
      <c r="CX1924" t="s">
        <v>1091</v>
      </c>
      <c r="CY1924">
        <v>4.26</v>
      </c>
      <c r="CZ1924">
        <v>4.26</v>
      </c>
      <c r="DA1924">
        <v>2.13</v>
      </c>
      <c r="DB1924">
        <v>0.85</v>
      </c>
      <c r="DC1924">
        <v>0.21</v>
      </c>
      <c r="DD1924">
        <v>44.25</v>
      </c>
      <c r="DE1924" t="s">
        <v>4021</v>
      </c>
      <c r="DF1924">
        <v>34.799999999999997</v>
      </c>
      <c r="DG1924">
        <v>17.760000000000002</v>
      </c>
      <c r="DH1924">
        <v>13.44</v>
      </c>
      <c r="DI1924">
        <v>0.34</v>
      </c>
      <c r="DJ1924">
        <v>1727</v>
      </c>
      <c r="DK1924">
        <v>300568</v>
      </c>
      <c r="DL1924" t="s">
        <v>120</v>
      </c>
      <c r="DM1924" t="s">
        <v>120</v>
      </c>
      <c r="DN1924" t="s">
        <v>120</v>
      </c>
    </row>
    <row r="1925" spans="1:118">
      <c r="A1925" t="str">
        <f>"300569"</f>
        <v>300569</v>
      </c>
      <c r="B1925" t="s">
        <v>9539</v>
      </c>
      <c r="C1925">
        <v>-2.5499999999999998</v>
      </c>
      <c r="D1925">
        <v>0</v>
      </c>
      <c r="E1925">
        <v>-0.73</v>
      </c>
      <c r="F1925">
        <v>3935</v>
      </c>
      <c r="G1925" t="s">
        <v>9540</v>
      </c>
      <c r="H1925">
        <v>58760.93</v>
      </c>
      <c r="I1925">
        <v>393.52</v>
      </c>
      <c r="J1925" t="s">
        <v>120</v>
      </c>
      <c r="K1925" t="s">
        <v>9541</v>
      </c>
      <c r="L1925">
        <v>10.73</v>
      </c>
      <c r="M1925">
        <v>10.71</v>
      </c>
      <c r="N1925">
        <v>1.29</v>
      </c>
      <c r="O1925">
        <v>3.28</v>
      </c>
      <c r="P1925">
        <v>11.35</v>
      </c>
      <c r="Q1925">
        <v>-3.55</v>
      </c>
      <c r="R1925">
        <v>10.6</v>
      </c>
      <c r="S1925">
        <v>10.91</v>
      </c>
      <c r="T1925">
        <v>535018</v>
      </c>
      <c r="U1925">
        <v>10.72</v>
      </c>
      <c r="V1925">
        <v>10.99</v>
      </c>
      <c r="W1925">
        <v>27.49</v>
      </c>
      <c r="X1925" t="s">
        <v>675</v>
      </c>
      <c r="Y1925" t="s">
        <v>638</v>
      </c>
      <c r="Z1925">
        <v>6.82</v>
      </c>
      <c r="AA1925">
        <v>10.98</v>
      </c>
      <c r="AB1925">
        <v>266938</v>
      </c>
      <c r="AC1925">
        <v>268080</v>
      </c>
      <c r="AD1925">
        <v>1</v>
      </c>
      <c r="AE1925">
        <v>218</v>
      </c>
      <c r="AF1925">
        <v>283</v>
      </c>
      <c r="AG1925" t="s">
        <v>120</v>
      </c>
      <c r="AH1925">
        <v>0.09</v>
      </c>
      <c r="AI1925" t="s">
        <v>120</v>
      </c>
      <c r="AJ1925">
        <v>4.99</v>
      </c>
      <c r="AK1925" t="s">
        <v>9542</v>
      </c>
      <c r="AL1925">
        <v>-0.63</v>
      </c>
      <c r="AM1925">
        <v>4143</v>
      </c>
      <c r="AN1925">
        <v>129</v>
      </c>
      <c r="AO1925">
        <v>2.5999999999999999E-3</v>
      </c>
      <c r="AP1925">
        <v>-1</v>
      </c>
      <c r="AQ1925">
        <v>7.12</v>
      </c>
      <c r="AR1925">
        <v>1.43</v>
      </c>
      <c r="AS1925">
        <v>12.03</v>
      </c>
      <c r="AT1925">
        <v>18.079999999999998</v>
      </c>
      <c r="AU1925">
        <v>15.74</v>
      </c>
      <c r="AV1925">
        <v>1</v>
      </c>
      <c r="AW1925">
        <v>13.56</v>
      </c>
      <c r="AX1925">
        <v>49.78</v>
      </c>
      <c r="AY1925">
        <v>20.49</v>
      </c>
      <c r="AZ1925">
        <v>20.37</v>
      </c>
      <c r="BA1925">
        <v>0.44</v>
      </c>
      <c r="BB1925" t="s">
        <v>751</v>
      </c>
      <c r="BF1925">
        <v>-0.06</v>
      </c>
      <c r="BG1925">
        <v>-1.83</v>
      </c>
      <c r="BH1925">
        <v>-5.64</v>
      </c>
      <c r="BI1925">
        <v>1.04</v>
      </c>
      <c r="BJ1925">
        <v>20210904</v>
      </c>
      <c r="BK1925">
        <v>20161125</v>
      </c>
      <c r="BL1925">
        <v>7.93</v>
      </c>
      <c r="BM1925" t="s">
        <v>120</v>
      </c>
      <c r="BN1925" t="s">
        <v>120</v>
      </c>
      <c r="BO1925">
        <v>90.54</v>
      </c>
      <c r="BP1925">
        <v>10.71</v>
      </c>
      <c r="BQ1925">
        <v>25</v>
      </c>
      <c r="BR1925">
        <v>0.37</v>
      </c>
      <c r="BS1925">
        <v>71.989999999999995</v>
      </c>
      <c r="BT1925">
        <v>50.27</v>
      </c>
      <c r="BU1925">
        <v>32.409999999999997</v>
      </c>
      <c r="BV1925">
        <v>1.89</v>
      </c>
      <c r="BW1925">
        <v>43.43</v>
      </c>
      <c r="BX1925">
        <v>16.079999999999998</v>
      </c>
      <c r="BY1925">
        <v>11.7</v>
      </c>
      <c r="BZ1925">
        <v>15.67</v>
      </c>
      <c r="CA1925" t="s">
        <v>120</v>
      </c>
      <c r="CB1925">
        <v>3.71</v>
      </c>
      <c r="CC1925">
        <v>10</v>
      </c>
      <c r="CD1925">
        <v>6.39</v>
      </c>
      <c r="CE1925">
        <v>1.85</v>
      </c>
      <c r="CF1925">
        <v>0.05</v>
      </c>
      <c r="CG1925">
        <v>1.81</v>
      </c>
      <c r="CH1925">
        <v>1.55</v>
      </c>
      <c r="CI1925">
        <v>1.54</v>
      </c>
      <c r="CJ1925">
        <v>-0.28000000000000003</v>
      </c>
      <c r="CK1925">
        <v>1.46</v>
      </c>
      <c r="CL1925">
        <v>12.1</v>
      </c>
      <c r="CM1925">
        <v>-1.69</v>
      </c>
      <c r="CN1925">
        <v>2.57</v>
      </c>
      <c r="CO1925">
        <v>37296</v>
      </c>
      <c r="CP1925">
        <v>10578</v>
      </c>
      <c r="CQ1925" t="s">
        <v>4878</v>
      </c>
      <c r="CR1925">
        <v>-1.64</v>
      </c>
      <c r="CS1925">
        <v>-18.73</v>
      </c>
      <c r="CT1925">
        <v>3.07</v>
      </c>
      <c r="CU1925">
        <v>-50.35</v>
      </c>
      <c r="CV1925">
        <v>8.49</v>
      </c>
      <c r="CW1925">
        <v>1.19</v>
      </c>
      <c r="CX1925" t="s">
        <v>694</v>
      </c>
      <c r="CY1925">
        <v>3.48</v>
      </c>
      <c r="CZ1925">
        <v>3.48</v>
      </c>
      <c r="DA1925">
        <v>0.47</v>
      </c>
      <c r="DB1925">
        <v>1.53</v>
      </c>
      <c r="DC1925">
        <v>-0.21</v>
      </c>
      <c r="DD1925">
        <v>27.61</v>
      </c>
      <c r="DE1925" t="s">
        <v>9543</v>
      </c>
      <c r="DF1925">
        <v>36.08</v>
      </c>
      <c r="DG1925">
        <v>18.510000000000002</v>
      </c>
      <c r="DH1925">
        <v>15.43</v>
      </c>
      <c r="DI1925">
        <v>0.35</v>
      </c>
      <c r="DJ1925">
        <v>528</v>
      </c>
      <c r="DK1925">
        <v>300569</v>
      </c>
      <c r="DL1925" t="s">
        <v>120</v>
      </c>
      <c r="DM1925" t="s">
        <v>120</v>
      </c>
      <c r="DN1925" t="s">
        <v>120</v>
      </c>
    </row>
    <row r="1926" spans="1:118">
      <c r="A1926" t="str">
        <f>"300570"</f>
        <v>300570</v>
      </c>
      <c r="B1926" t="s">
        <v>9544</v>
      </c>
      <c r="C1926">
        <v>3.22</v>
      </c>
      <c r="D1926">
        <v>0</v>
      </c>
      <c r="E1926">
        <v>-2.87</v>
      </c>
      <c r="F1926">
        <v>1386</v>
      </c>
      <c r="G1926" t="s">
        <v>9545</v>
      </c>
      <c r="H1926">
        <v>19462.509999999998</v>
      </c>
      <c r="I1926">
        <v>413.21</v>
      </c>
      <c r="J1926" t="s">
        <v>120</v>
      </c>
      <c r="K1926" t="s">
        <v>9457</v>
      </c>
      <c r="L1926">
        <v>5.68</v>
      </c>
      <c r="M1926">
        <v>17.96</v>
      </c>
      <c r="N1926">
        <v>2.52</v>
      </c>
      <c r="O1926">
        <v>5.75</v>
      </c>
      <c r="P1926">
        <v>18.399999999999999</v>
      </c>
      <c r="Q1926">
        <v>-3.22</v>
      </c>
      <c r="R1926">
        <v>16.84</v>
      </c>
      <c r="S1926">
        <v>16.899999999999999</v>
      </c>
      <c r="T1926">
        <v>110044</v>
      </c>
      <c r="U1926">
        <v>17.97</v>
      </c>
      <c r="V1926">
        <v>17.399999999999999</v>
      </c>
      <c r="W1926">
        <v>48.86</v>
      </c>
      <c r="X1926" t="s">
        <v>229</v>
      </c>
      <c r="Y1926" t="s">
        <v>123</v>
      </c>
      <c r="Z1926">
        <v>8.9700000000000006</v>
      </c>
      <c r="AA1926">
        <v>17.690000000000001</v>
      </c>
      <c r="AB1926">
        <v>49875</v>
      </c>
      <c r="AC1926">
        <v>60169</v>
      </c>
      <c r="AD1926">
        <v>0.83</v>
      </c>
      <c r="AE1926">
        <v>265</v>
      </c>
      <c r="AF1926">
        <v>48</v>
      </c>
      <c r="AG1926" t="s">
        <v>120</v>
      </c>
      <c r="AH1926">
        <v>0.19</v>
      </c>
      <c r="AI1926" t="s">
        <v>120</v>
      </c>
      <c r="AJ1926">
        <v>1.94</v>
      </c>
      <c r="AK1926" t="s">
        <v>6202</v>
      </c>
      <c r="AL1926">
        <v>5.13</v>
      </c>
      <c r="AM1926">
        <v>2618</v>
      </c>
      <c r="AN1926">
        <v>42</v>
      </c>
      <c r="AO1926">
        <v>2.2000000000000001E-3</v>
      </c>
      <c r="AP1926">
        <v>3</v>
      </c>
      <c r="AQ1926">
        <v>2.41</v>
      </c>
      <c r="AR1926">
        <v>7.74</v>
      </c>
      <c r="AS1926">
        <v>0.84</v>
      </c>
      <c r="AT1926">
        <v>12.25</v>
      </c>
      <c r="AU1926">
        <v>7.16</v>
      </c>
      <c r="AV1926">
        <v>1</v>
      </c>
      <c r="AW1926">
        <v>8.68</v>
      </c>
      <c r="AX1926">
        <v>55.12</v>
      </c>
      <c r="AY1926">
        <v>50.88</v>
      </c>
      <c r="AZ1926">
        <v>52.92</v>
      </c>
      <c r="BA1926">
        <v>0.89</v>
      </c>
      <c r="BB1926" t="s">
        <v>751</v>
      </c>
      <c r="BF1926">
        <v>1.64</v>
      </c>
      <c r="BG1926">
        <v>6.27</v>
      </c>
      <c r="BH1926">
        <v>-2.39</v>
      </c>
      <c r="BI1926">
        <v>6.65</v>
      </c>
      <c r="BJ1926">
        <v>20210806</v>
      </c>
      <c r="BK1926">
        <v>20161206</v>
      </c>
      <c r="BL1926">
        <v>2.2999999999999998</v>
      </c>
      <c r="BM1926" t="s">
        <v>120</v>
      </c>
      <c r="BN1926" t="s">
        <v>120</v>
      </c>
      <c r="BO1926">
        <v>13.53</v>
      </c>
      <c r="BP1926">
        <v>17.96</v>
      </c>
      <c r="BQ1926">
        <v>11.49</v>
      </c>
      <c r="BR1926">
        <v>0.14000000000000001</v>
      </c>
      <c r="BS1926">
        <v>14.04</v>
      </c>
      <c r="BT1926">
        <v>9.6</v>
      </c>
      <c r="BU1926">
        <v>2.16</v>
      </c>
      <c r="BV1926">
        <v>0.54</v>
      </c>
      <c r="BW1926">
        <v>1.78</v>
      </c>
      <c r="BX1926">
        <v>5.22</v>
      </c>
      <c r="BY1926">
        <v>1.46</v>
      </c>
      <c r="BZ1926">
        <v>1.63</v>
      </c>
      <c r="CA1926">
        <v>0</v>
      </c>
      <c r="CB1926">
        <v>5.1100000000000003</v>
      </c>
      <c r="CC1926">
        <v>3.16</v>
      </c>
      <c r="CD1926">
        <v>2.17</v>
      </c>
      <c r="CE1926">
        <v>0.47</v>
      </c>
      <c r="CF1926">
        <v>0.01</v>
      </c>
      <c r="CG1926">
        <v>0.47</v>
      </c>
      <c r="CH1926">
        <v>0.41</v>
      </c>
      <c r="CI1926">
        <v>0.42</v>
      </c>
      <c r="CJ1926">
        <v>0.56000000000000005</v>
      </c>
      <c r="CK1926">
        <v>0.37</v>
      </c>
      <c r="CL1926">
        <v>4.0599999999999996</v>
      </c>
      <c r="CM1926">
        <v>0.46</v>
      </c>
      <c r="CN1926">
        <v>-0.08</v>
      </c>
      <c r="CO1926">
        <v>18956</v>
      </c>
      <c r="CP1926">
        <v>6688</v>
      </c>
      <c r="CQ1926" t="s">
        <v>9546</v>
      </c>
      <c r="CR1926">
        <v>7.73</v>
      </c>
      <c r="CS1926">
        <v>37.99</v>
      </c>
      <c r="CT1926">
        <v>3.59</v>
      </c>
      <c r="CU1926">
        <v>90.41</v>
      </c>
      <c r="CV1926">
        <v>13.06</v>
      </c>
      <c r="CW1926">
        <v>1.67</v>
      </c>
      <c r="CX1926" t="s">
        <v>7233</v>
      </c>
      <c r="CY1926">
        <v>5</v>
      </c>
      <c r="CZ1926">
        <v>0</v>
      </c>
      <c r="DA1926">
        <v>2.2200000000000002</v>
      </c>
      <c r="DB1926">
        <v>1.77</v>
      </c>
      <c r="DC1926">
        <v>0.2</v>
      </c>
      <c r="DD1926">
        <v>84.94</v>
      </c>
      <c r="DE1926" t="s">
        <v>2778</v>
      </c>
      <c r="DF1926">
        <v>31.24</v>
      </c>
      <c r="DG1926">
        <v>14.92</v>
      </c>
      <c r="DH1926">
        <v>13.37</v>
      </c>
      <c r="DI1926">
        <v>0.17</v>
      </c>
      <c r="DJ1926">
        <v>1562</v>
      </c>
      <c r="DK1926">
        <v>300570</v>
      </c>
      <c r="DL1926" t="s">
        <v>120</v>
      </c>
      <c r="DM1926" t="s">
        <v>120</v>
      </c>
      <c r="DN1926" t="s">
        <v>120</v>
      </c>
    </row>
    <row r="1927" spans="1:118">
      <c r="A1927" t="str">
        <f>"300571"</f>
        <v>300571</v>
      </c>
      <c r="B1927" t="s">
        <v>9547</v>
      </c>
      <c r="C1927">
        <v>-4.1500000000000004</v>
      </c>
      <c r="D1927">
        <v>-0.04</v>
      </c>
      <c r="E1927">
        <v>-0.19</v>
      </c>
      <c r="F1927">
        <v>148</v>
      </c>
      <c r="G1927" t="s">
        <v>9548</v>
      </c>
      <c r="H1927">
        <v>7071.3</v>
      </c>
      <c r="I1927">
        <v>10.41</v>
      </c>
      <c r="J1927" t="s">
        <v>120</v>
      </c>
      <c r="K1927" t="s">
        <v>9549</v>
      </c>
      <c r="L1927">
        <v>1.82</v>
      </c>
      <c r="M1927">
        <v>39.979999999999997</v>
      </c>
      <c r="N1927">
        <v>1.38</v>
      </c>
      <c r="O1927">
        <v>-0.19</v>
      </c>
      <c r="P1927">
        <v>41.63</v>
      </c>
      <c r="Q1927">
        <v>-5.49</v>
      </c>
      <c r="R1927">
        <v>39.42</v>
      </c>
      <c r="S1927">
        <v>41.63</v>
      </c>
      <c r="T1927">
        <v>17559</v>
      </c>
      <c r="U1927">
        <v>39.979999999999997</v>
      </c>
      <c r="V1927">
        <v>41.71</v>
      </c>
      <c r="W1927">
        <v>14.96</v>
      </c>
      <c r="X1927" t="s">
        <v>1531</v>
      </c>
      <c r="Y1927" t="s">
        <v>585</v>
      </c>
      <c r="Z1927">
        <v>5.3</v>
      </c>
      <c r="AA1927">
        <v>40.270000000000003</v>
      </c>
      <c r="AB1927">
        <v>10791</v>
      </c>
      <c r="AC1927">
        <v>6768</v>
      </c>
      <c r="AD1927">
        <v>1.59</v>
      </c>
      <c r="AE1927">
        <v>1</v>
      </c>
      <c r="AF1927">
        <v>9</v>
      </c>
      <c r="AG1927" t="s">
        <v>120</v>
      </c>
      <c r="AH1927">
        <v>0</v>
      </c>
      <c r="AI1927" t="s">
        <v>120</v>
      </c>
      <c r="AJ1927">
        <v>0.96</v>
      </c>
      <c r="AK1927" t="s">
        <v>9550</v>
      </c>
      <c r="AL1927">
        <v>-2.23</v>
      </c>
      <c r="AM1927">
        <v>1456</v>
      </c>
      <c r="AN1927">
        <v>12</v>
      </c>
      <c r="AO1927">
        <v>1.2999999999999999E-3</v>
      </c>
      <c r="AP1927">
        <v>-3</v>
      </c>
      <c r="AQ1927">
        <v>-1.39</v>
      </c>
      <c r="AR1927">
        <v>-6.1</v>
      </c>
      <c r="AS1927">
        <v>-7.63</v>
      </c>
      <c r="AT1927">
        <v>13.97</v>
      </c>
      <c r="AU1927">
        <v>5.27</v>
      </c>
      <c r="AV1927">
        <v>0</v>
      </c>
      <c r="AW1927">
        <v>2.54</v>
      </c>
      <c r="AX1927">
        <v>55.52</v>
      </c>
      <c r="AY1927">
        <v>19.68</v>
      </c>
      <c r="AZ1927">
        <v>24.68</v>
      </c>
      <c r="BA1927">
        <v>0.5</v>
      </c>
      <c r="BB1927" t="s">
        <v>143</v>
      </c>
      <c r="BF1927">
        <v>-3.45</v>
      </c>
      <c r="BG1927">
        <v>-3.96</v>
      </c>
      <c r="BH1927">
        <v>-3.96</v>
      </c>
      <c r="BI1927">
        <v>1.42</v>
      </c>
      <c r="BJ1927">
        <v>20210830</v>
      </c>
      <c r="BK1927">
        <v>20161213</v>
      </c>
      <c r="BL1927">
        <v>1.25</v>
      </c>
      <c r="BM1927" t="s">
        <v>120</v>
      </c>
      <c r="BN1927" t="s">
        <v>120</v>
      </c>
      <c r="BO1927">
        <v>30.45</v>
      </c>
      <c r="BP1927">
        <v>39.94</v>
      </c>
      <c r="BQ1927">
        <v>8.6</v>
      </c>
      <c r="BR1927">
        <v>0.56999999999999995</v>
      </c>
      <c r="BS1927">
        <v>69.88</v>
      </c>
      <c r="BT1927">
        <v>26.57</v>
      </c>
      <c r="BU1927">
        <v>0.6</v>
      </c>
      <c r="BV1927">
        <v>0.32</v>
      </c>
      <c r="BW1927">
        <v>20.05</v>
      </c>
      <c r="BX1927">
        <v>1.91</v>
      </c>
      <c r="BY1927">
        <v>2.78</v>
      </c>
      <c r="BZ1927">
        <v>17.79</v>
      </c>
      <c r="CA1927" t="s">
        <v>120</v>
      </c>
      <c r="CB1927">
        <v>0.04</v>
      </c>
      <c r="CC1927">
        <v>14.72</v>
      </c>
      <c r="CD1927">
        <v>11.87</v>
      </c>
      <c r="CE1927">
        <v>1.91</v>
      </c>
      <c r="CF1927">
        <v>-0.01</v>
      </c>
      <c r="CG1927">
        <v>1.86</v>
      </c>
      <c r="CH1927">
        <v>1.64</v>
      </c>
      <c r="CI1927">
        <v>1.66</v>
      </c>
      <c r="CJ1927">
        <v>-1.73</v>
      </c>
      <c r="CK1927">
        <v>1.61</v>
      </c>
      <c r="CL1927">
        <v>7.23</v>
      </c>
      <c r="CM1927">
        <v>-3.59</v>
      </c>
      <c r="CN1927">
        <v>-2.33</v>
      </c>
      <c r="CO1927">
        <v>13004</v>
      </c>
      <c r="CP1927">
        <v>5319</v>
      </c>
      <c r="CQ1927" t="s">
        <v>9551</v>
      </c>
      <c r="CR1927">
        <v>47.4</v>
      </c>
      <c r="CS1927">
        <v>55.95</v>
      </c>
      <c r="CT1927">
        <v>5.79</v>
      </c>
      <c r="CU1927">
        <v>-13.86</v>
      </c>
      <c r="CV1927">
        <v>3.38</v>
      </c>
      <c r="CW1927">
        <v>0.24</v>
      </c>
      <c r="CX1927" t="s">
        <v>9552</v>
      </c>
      <c r="CY1927">
        <v>6.9</v>
      </c>
      <c r="CZ1927">
        <v>0</v>
      </c>
      <c r="DA1927">
        <v>0.03</v>
      </c>
      <c r="DB1927">
        <v>5.8</v>
      </c>
      <c r="DC1927">
        <v>-2.88</v>
      </c>
      <c r="DD1927">
        <v>28.24</v>
      </c>
      <c r="DE1927" t="s">
        <v>9422</v>
      </c>
      <c r="DF1927">
        <v>19.37</v>
      </c>
      <c r="DG1927">
        <v>12.98</v>
      </c>
      <c r="DH1927">
        <v>11.31</v>
      </c>
      <c r="DI1927">
        <v>0.28999999999999998</v>
      </c>
      <c r="DJ1927">
        <v>417</v>
      </c>
      <c r="DK1927">
        <v>300571</v>
      </c>
      <c r="DL1927" t="s">
        <v>120</v>
      </c>
      <c r="DM1927" t="s">
        <v>120</v>
      </c>
      <c r="DN1927" t="s">
        <v>120</v>
      </c>
    </row>
    <row r="1928" spans="1:118">
      <c r="A1928" t="str">
        <f>"300572"</f>
        <v>300572</v>
      </c>
      <c r="B1928" t="s">
        <v>9553</v>
      </c>
      <c r="C1928">
        <v>-2.42</v>
      </c>
      <c r="D1928">
        <v>-0.09</v>
      </c>
      <c r="E1928">
        <v>-0.99</v>
      </c>
      <c r="F1928">
        <v>470</v>
      </c>
      <c r="G1928" t="s">
        <v>6484</v>
      </c>
      <c r="H1928">
        <v>4640.55</v>
      </c>
      <c r="I1928">
        <v>31.08</v>
      </c>
      <c r="J1928" t="s">
        <v>120</v>
      </c>
      <c r="K1928" t="s">
        <v>9554</v>
      </c>
      <c r="L1928">
        <v>1.65</v>
      </c>
      <c r="M1928">
        <v>19.760000000000002</v>
      </c>
      <c r="N1928">
        <v>0.77</v>
      </c>
      <c r="O1928">
        <v>-0.05</v>
      </c>
      <c r="P1928">
        <v>20.239999999999998</v>
      </c>
      <c r="Q1928">
        <v>-2.4700000000000002</v>
      </c>
      <c r="R1928">
        <v>19.75</v>
      </c>
      <c r="S1928">
        <v>20.05</v>
      </c>
      <c r="T1928">
        <v>23267</v>
      </c>
      <c r="U1928">
        <v>19.77</v>
      </c>
      <c r="V1928">
        <v>20.25</v>
      </c>
      <c r="W1928">
        <v>73.19</v>
      </c>
      <c r="X1928" t="s">
        <v>2717</v>
      </c>
      <c r="Y1928" t="s">
        <v>123</v>
      </c>
      <c r="Z1928">
        <v>2.42</v>
      </c>
      <c r="AA1928">
        <v>19.940000000000001</v>
      </c>
      <c r="AB1928">
        <v>15515</v>
      </c>
      <c r="AC1928">
        <v>7752</v>
      </c>
      <c r="AD1928">
        <v>2</v>
      </c>
      <c r="AE1928">
        <v>58</v>
      </c>
      <c r="AF1928">
        <v>10</v>
      </c>
      <c r="AG1928" t="s">
        <v>120</v>
      </c>
      <c r="AH1928">
        <v>0.01</v>
      </c>
      <c r="AI1928" t="s">
        <v>120</v>
      </c>
      <c r="AJ1928">
        <v>1.41</v>
      </c>
      <c r="AK1928" t="s">
        <v>9555</v>
      </c>
      <c r="AL1928">
        <v>-0.51</v>
      </c>
      <c r="AM1928">
        <v>1412</v>
      </c>
      <c r="AN1928">
        <v>16</v>
      </c>
      <c r="AO1928">
        <v>1.1999999999999999E-3</v>
      </c>
      <c r="AP1928">
        <v>-1</v>
      </c>
      <c r="AQ1928">
        <v>0.05</v>
      </c>
      <c r="AR1928">
        <v>-0.7</v>
      </c>
      <c r="AS1928">
        <v>-14.16</v>
      </c>
      <c r="AT1928">
        <v>-38.25</v>
      </c>
      <c r="AU1928">
        <v>-51.56</v>
      </c>
      <c r="AV1928">
        <v>0</v>
      </c>
      <c r="AW1928">
        <v>1.85</v>
      </c>
      <c r="AX1928">
        <v>55.07</v>
      </c>
      <c r="AY1928">
        <v>38.770000000000003</v>
      </c>
      <c r="AZ1928">
        <v>24.55</v>
      </c>
      <c r="BA1928">
        <v>0.76</v>
      </c>
      <c r="BB1928" t="s">
        <v>143</v>
      </c>
      <c r="BF1928">
        <v>-1.51</v>
      </c>
      <c r="BG1928">
        <v>-1.45</v>
      </c>
      <c r="BH1928">
        <v>-2.37</v>
      </c>
      <c r="BI1928">
        <v>0.05</v>
      </c>
      <c r="BJ1928">
        <v>20210827</v>
      </c>
      <c r="BK1928">
        <v>20161206</v>
      </c>
      <c r="BL1928">
        <v>2.29</v>
      </c>
      <c r="BM1928" t="s">
        <v>120</v>
      </c>
      <c r="BN1928" t="s">
        <v>120</v>
      </c>
      <c r="BO1928">
        <v>27.81</v>
      </c>
      <c r="BP1928">
        <v>19.760000000000002</v>
      </c>
      <c r="BQ1928">
        <v>21.67</v>
      </c>
      <c r="BR1928">
        <v>0.43</v>
      </c>
      <c r="BS1928">
        <v>20.51</v>
      </c>
      <c r="BT1928">
        <v>20.89</v>
      </c>
      <c r="BU1928">
        <v>2.0499999999999998</v>
      </c>
      <c r="BV1928">
        <v>0.31</v>
      </c>
      <c r="BW1928">
        <v>5.28</v>
      </c>
      <c r="BX1928">
        <v>15.58</v>
      </c>
      <c r="BY1928">
        <v>1.4</v>
      </c>
      <c r="BZ1928">
        <v>2.52</v>
      </c>
      <c r="CA1928" t="s">
        <v>120</v>
      </c>
      <c r="CB1928">
        <v>12.58</v>
      </c>
      <c r="CC1928">
        <v>2.8</v>
      </c>
      <c r="CD1928">
        <v>1.52</v>
      </c>
      <c r="CE1928">
        <v>0.43</v>
      </c>
      <c r="CF1928">
        <v>0.03</v>
      </c>
      <c r="CG1928">
        <v>0.43</v>
      </c>
      <c r="CH1928">
        <v>0.34</v>
      </c>
      <c r="CI1928">
        <v>0.31</v>
      </c>
      <c r="CJ1928">
        <v>-0.49</v>
      </c>
      <c r="CK1928">
        <v>0.24</v>
      </c>
      <c r="CL1928">
        <v>5.99</v>
      </c>
      <c r="CM1928">
        <v>-0.66</v>
      </c>
      <c r="CN1928">
        <v>11.03</v>
      </c>
      <c r="CO1928">
        <v>14951</v>
      </c>
      <c r="CP1928">
        <v>8434</v>
      </c>
      <c r="CQ1928" t="s">
        <v>9556</v>
      </c>
      <c r="CR1928">
        <v>-69.16</v>
      </c>
      <c r="CS1928">
        <v>-29.69</v>
      </c>
      <c r="CT1928">
        <v>2.09</v>
      </c>
      <c r="CU1928">
        <v>-68.319999999999993</v>
      </c>
      <c r="CV1928">
        <v>16.13</v>
      </c>
      <c r="CW1928">
        <v>0.42</v>
      </c>
      <c r="CX1928" t="s">
        <v>373</v>
      </c>
      <c r="CY1928">
        <v>9.4600000000000009</v>
      </c>
      <c r="CZ1928">
        <v>0</v>
      </c>
      <c r="DA1928">
        <v>5.49</v>
      </c>
      <c r="DB1928">
        <v>2.62</v>
      </c>
      <c r="DC1928">
        <v>-0.28999999999999998</v>
      </c>
      <c r="DD1928">
        <v>77.92</v>
      </c>
      <c r="DE1928" t="s">
        <v>1242</v>
      </c>
      <c r="DF1928">
        <v>45.79</v>
      </c>
      <c r="DG1928">
        <v>15.29</v>
      </c>
      <c r="DH1928">
        <v>11.02</v>
      </c>
      <c r="DI1928">
        <v>0.14000000000000001</v>
      </c>
      <c r="DJ1928">
        <v>1329</v>
      </c>
      <c r="DK1928">
        <v>300572</v>
      </c>
      <c r="DL1928" t="s">
        <v>120</v>
      </c>
      <c r="DM1928" t="s">
        <v>120</v>
      </c>
      <c r="DN1928" t="s">
        <v>120</v>
      </c>
    </row>
    <row r="1929" spans="1:118">
      <c r="A1929" t="str">
        <f>"300573"</f>
        <v>300573</v>
      </c>
      <c r="B1929" t="s">
        <v>9557</v>
      </c>
      <c r="C1929">
        <v>2.94</v>
      </c>
      <c r="D1929">
        <v>0.13</v>
      </c>
      <c r="E1929">
        <v>-0.33</v>
      </c>
      <c r="F1929">
        <v>328</v>
      </c>
      <c r="G1929" t="s">
        <v>9558</v>
      </c>
      <c r="H1929">
        <v>28324.73</v>
      </c>
      <c r="I1929">
        <v>23.88</v>
      </c>
      <c r="J1929" t="s">
        <v>120</v>
      </c>
      <c r="K1929" t="s">
        <v>9559</v>
      </c>
      <c r="L1929">
        <v>4.3099999999999996</v>
      </c>
      <c r="M1929">
        <v>107.22</v>
      </c>
      <c r="N1929">
        <v>1.43</v>
      </c>
      <c r="O1929">
        <v>4.17</v>
      </c>
      <c r="P1929">
        <v>108.5</v>
      </c>
      <c r="Q1929">
        <v>-1.1200000000000001</v>
      </c>
      <c r="R1929">
        <v>102.99</v>
      </c>
      <c r="S1929">
        <v>103.82</v>
      </c>
      <c r="T1929">
        <v>26512</v>
      </c>
      <c r="U1929">
        <v>107.22</v>
      </c>
      <c r="V1929">
        <v>104.16</v>
      </c>
      <c r="W1929">
        <v>55.08</v>
      </c>
      <c r="X1929" t="s">
        <v>569</v>
      </c>
      <c r="Y1929" t="s">
        <v>432</v>
      </c>
      <c r="Z1929">
        <v>5.29</v>
      </c>
      <c r="AA1929">
        <v>106.84</v>
      </c>
      <c r="AB1929">
        <v>11391</v>
      </c>
      <c r="AC1929">
        <v>15121</v>
      </c>
      <c r="AD1929">
        <v>0.75</v>
      </c>
      <c r="AE1929">
        <v>1</v>
      </c>
      <c r="AF1929">
        <v>12</v>
      </c>
      <c r="AG1929" t="s">
        <v>120</v>
      </c>
      <c r="AH1929">
        <v>0</v>
      </c>
      <c r="AI1929" t="s">
        <v>120</v>
      </c>
      <c r="AJ1929">
        <v>0.61</v>
      </c>
      <c r="AK1929" t="s">
        <v>9560</v>
      </c>
      <c r="AL1929">
        <v>4.8499999999999996</v>
      </c>
      <c r="AM1929">
        <v>2813</v>
      </c>
      <c r="AN1929">
        <v>9</v>
      </c>
      <c r="AO1929">
        <v>1.5E-3</v>
      </c>
      <c r="AP1929">
        <v>1</v>
      </c>
      <c r="AQ1929">
        <v>-0.23</v>
      </c>
      <c r="AR1929">
        <v>2.6</v>
      </c>
      <c r="AS1929">
        <v>15.17</v>
      </c>
      <c r="AT1929">
        <v>-32.33</v>
      </c>
      <c r="AU1929">
        <v>12.89</v>
      </c>
      <c r="AV1929">
        <v>2</v>
      </c>
      <c r="AW1929">
        <v>5.23</v>
      </c>
      <c r="AX1929">
        <v>61.57</v>
      </c>
      <c r="AY1929">
        <v>56.12</v>
      </c>
      <c r="AZ1929">
        <v>97.48</v>
      </c>
      <c r="BA1929">
        <v>1.27</v>
      </c>
      <c r="BB1929" t="s">
        <v>143</v>
      </c>
      <c r="BF1929">
        <v>2.57</v>
      </c>
      <c r="BG1929">
        <v>3.27</v>
      </c>
      <c r="BH1929">
        <v>-1.18</v>
      </c>
      <c r="BI1929">
        <v>4.1100000000000003</v>
      </c>
      <c r="BJ1929">
        <v>20210827</v>
      </c>
      <c r="BK1929">
        <v>20161208</v>
      </c>
      <c r="BL1929">
        <v>0.82</v>
      </c>
      <c r="BM1929" t="s">
        <v>120</v>
      </c>
      <c r="BN1929" t="s">
        <v>120</v>
      </c>
      <c r="BO1929">
        <v>10.89</v>
      </c>
      <c r="BP1929">
        <v>107.13</v>
      </c>
      <c r="BQ1929">
        <v>7.61</v>
      </c>
      <c r="BR1929">
        <v>0.2</v>
      </c>
      <c r="BS1929">
        <v>28.34</v>
      </c>
      <c r="BT1929">
        <v>3.64</v>
      </c>
      <c r="BU1929">
        <v>5.09</v>
      </c>
      <c r="BV1929">
        <v>0.23</v>
      </c>
      <c r="BW1929">
        <v>2.2000000000000002</v>
      </c>
      <c r="BX1929">
        <v>0.84</v>
      </c>
      <c r="BY1929">
        <v>0.69</v>
      </c>
      <c r="BZ1929">
        <v>1.37</v>
      </c>
      <c r="CA1929">
        <v>0</v>
      </c>
      <c r="CB1929">
        <v>3</v>
      </c>
      <c r="CC1929">
        <v>4.62</v>
      </c>
      <c r="CD1929">
        <v>1.06</v>
      </c>
      <c r="CE1929">
        <v>1.03</v>
      </c>
      <c r="CF1929">
        <v>0</v>
      </c>
      <c r="CG1929">
        <v>0.99</v>
      </c>
      <c r="CH1929">
        <v>0.88</v>
      </c>
      <c r="CI1929">
        <v>0.8</v>
      </c>
      <c r="CJ1929">
        <v>3.06</v>
      </c>
      <c r="CK1929">
        <v>0.82</v>
      </c>
      <c r="CL1929">
        <v>3.45</v>
      </c>
      <c r="CM1929">
        <v>0.8</v>
      </c>
      <c r="CN1929">
        <v>0.46</v>
      </c>
      <c r="CO1929">
        <v>10910</v>
      </c>
      <c r="CP1929">
        <v>4646</v>
      </c>
      <c r="CQ1929" t="s">
        <v>9561</v>
      </c>
      <c r="CR1929">
        <v>423.27</v>
      </c>
      <c r="CS1929">
        <v>95.25</v>
      </c>
      <c r="CT1929">
        <v>11.61</v>
      </c>
      <c r="CU1929">
        <v>110.96</v>
      </c>
      <c r="CV1929">
        <v>19.09</v>
      </c>
      <c r="CW1929">
        <v>0.48</v>
      </c>
      <c r="CX1929" t="s">
        <v>9562</v>
      </c>
      <c r="CY1929">
        <v>9.24</v>
      </c>
      <c r="CZ1929">
        <v>9.24</v>
      </c>
      <c r="DA1929">
        <v>3.64</v>
      </c>
      <c r="DB1929">
        <v>4.2</v>
      </c>
      <c r="DC1929">
        <v>0.97</v>
      </c>
      <c r="DD1929">
        <v>69.849999999999994</v>
      </c>
      <c r="DE1929" t="s">
        <v>9563</v>
      </c>
      <c r="DF1929">
        <v>77.16</v>
      </c>
      <c r="DG1929">
        <v>22.2</v>
      </c>
      <c r="DH1929">
        <v>17.329999999999998</v>
      </c>
      <c r="DI1929">
        <v>0.38</v>
      </c>
      <c r="DJ1929">
        <v>1102</v>
      </c>
      <c r="DK1929">
        <v>300573</v>
      </c>
      <c r="DL1929" t="s">
        <v>120</v>
      </c>
      <c r="DM1929" t="s">
        <v>120</v>
      </c>
      <c r="DN1929" t="s">
        <v>120</v>
      </c>
    </row>
    <row r="1930" spans="1:118">
      <c r="A1930" t="str">
        <f>"300575"</f>
        <v>300575</v>
      </c>
      <c r="B1930" t="s">
        <v>9564</v>
      </c>
      <c r="C1930">
        <v>-1.74</v>
      </c>
      <c r="D1930">
        <v>0.04</v>
      </c>
      <c r="E1930">
        <v>-0.83</v>
      </c>
      <c r="F1930">
        <v>139</v>
      </c>
      <c r="G1930" t="s">
        <v>1172</v>
      </c>
      <c r="H1930">
        <v>5307.03</v>
      </c>
      <c r="I1930">
        <v>0</v>
      </c>
      <c r="J1930" t="s">
        <v>120</v>
      </c>
      <c r="K1930" t="s">
        <v>9565</v>
      </c>
      <c r="L1930">
        <v>1.68</v>
      </c>
      <c r="M1930">
        <v>23.78</v>
      </c>
      <c r="N1930">
        <v>1.06</v>
      </c>
      <c r="O1930">
        <v>3.18</v>
      </c>
      <c r="P1930">
        <v>24.97</v>
      </c>
      <c r="Q1930">
        <v>-2.4</v>
      </c>
      <c r="R1930">
        <v>23.62</v>
      </c>
      <c r="S1930">
        <v>24</v>
      </c>
      <c r="T1930">
        <v>21832</v>
      </c>
      <c r="U1930">
        <v>23.79</v>
      </c>
      <c r="V1930">
        <v>24.2</v>
      </c>
      <c r="W1930">
        <v>26.67</v>
      </c>
      <c r="X1930" t="s">
        <v>690</v>
      </c>
      <c r="Y1930" t="s">
        <v>319</v>
      </c>
      <c r="Z1930">
        <v>5.58</v>
      </c>
      <c r="AA1930">
        <v>24.31</v>
      </c>
      <c r="AB1930">
        <v>12074</v>
      </c>
      <c r="AC1930">
        <v>9758</v>
      </c>
      <c r="AD1930">
        <v>1.24</v>
      </c>
      <c r="AE1930">
        <v>21</v>
      </c>
      <c r="AF1930">
        <v>40</v>
      </c>
      <c r="AG1930" t="s">
        <v>120</v>
      </c>
      <c r="AH1930">
        <v>0</v>
      </c>
      <c r="AI1930" t="s">
        <v>120</v>
      </c>
      <c r="AJ1930">
        <v>1.3</v>
      </c>
      <c r="AK1930" t="s">
        <v>9566</v>
      </c>
      <c r="AL1930">
        <v>0.18</v>
      </c>
      <c r="AM1930">
        <v>1276</v>
      </c>
      <c r="AN1930">
        <v>17</v>
      </c>
      <c r="AO1930">
        <v>1.2999999999999999E-3</v>
      </c>
      <c r="AP1930">
        <v>-2</v>
      </c>
      <c r="AQ1930">
        <v>-0.94</v>
      </c>
      <c r="AR1930">
        <v>3.4</v>
      </c>
      <c r="AS1930">
        <v>5.46</v>
      </c>
      <c r="AT1930">
        <v>-1.9</v>
      </c>
      <c r="AU1930">
        <v>-6.13</v>
      </c>
      <c r="AV1930">
        <v>0</v>
      </c>
      <c r="AW1930">
        <v>1.95</v>
      </c>
      <c r="AX1930">
        <v>54.16</v>
      </c>
      <c r="AY1930">
        <v>30.42</v>
      </c>
      <c r="AZ1930">
        <v>25.54</v>
      </c>
      <c r="BA1930">
        <v>0.51</v>
      </c>
      <c r="BB1930" t="s">
        <v>143</v>
      </c>
      <c r="BF1930">
        <v>0.45</v>
      </c>
      <c r="BG1930">
        <v>-0.92</v>
      </c>
      <c r="BH1930">
        <v>-4.7699999999999996</v>
      </c>
      <c r="BI1930">
        <v>0.68</v>
      </c>
      <c r="BJ1930">
        <v>20210913</v>
      </c>
      <c r="BK1930">
        <v>20161220</v>
      </c>
      <c r="BL1930">
        <v>2.0699999999999998</v>
      </c>
      <c r="BM1930" t="s">
        <v>120</v>
      </c>
      <c r="BN1930" t="s">
        <v>120</v>
      </c>
      <c r="BO1930">
        <v>24.92</v>
      </c>
      <c r="BP1930">
        <v>23.78</v>
      </c>
      <c r="BQ1930">
        <v>15.29</v>
      </c>
      <c r="BR1930">
        <v>0.05</v>
      </c>
      <c r="BS1930">
        <v>38.46</v>
      </c>
      <c r="BT1930">
        <v>11.92</v>
      </c>
      <c r="BU1930">
        <v>8.6199999999999992</v>
      </c>
      <c r="BV1930">
        <v>0.93</v>
      </c>
      <c r="BW1930">
        <v>7.87</v>
      </c>
      <c r="BX1930">
        <v>4.12</v>
      </c>
      <c r="BY1930">
        <v>2.64</v>
      </c>
      <c r="BZ1930">
        <v>3.14</v>
      </c>
      <c r="CA1930" t="s">
        <v>120</v>
      </c>
      <c r="CB1930">
        <v>4.4800000000000004</v>
      </c>
      <c r="CC1930">
        <v>9.11</v>
      </c>
      <c r="CD1930">
        <v>7.15</v>
      </c>
      <c r="CE1930">
        <v>1.04</v>
      </c>
      <c r="CF1930">
        <v>0.1</v>
      </c>
      <c r="CG1930">
        <v>1.04</v>
      </c>
      <c r="CH1930">
        <v>0.93</v>
      </c>
      <c r="CI1930">
        <v>0.92</v>
      </c>
      <c r="CJ1930">
        <v>-0.42</v>
      </c>
      <c r="CK1930">
        <v>0.86</v>
      </c>
      <c r="CL1930">
        <v>8.1999999999999993</v>
      </c>
      <c r="CM1930">
        <v>0.41</v>
      </c>
      <c r="CN1930">
        <v>-3.08</v>
      </c>
      <c r="CO1930">
        <v>7480</v>
      </c>
      <c r="CP1930">
        <v>14990</v>
      </c>
      <c r="CQ1930" t="s">
        <v>9567</v>
      </c>
      <c r="CR1930">
        <v>-25.45</v>
      </c>
      <c r="CS1930">
        <v>-9.51</v>
      </c>
      <c r="CT1930">
        <v>3.22</v>
      </c>
      <c r="CU1930">
        <v>121.07</v>
      </c>
      <c r="CV1930">
        <v>5.4</v>
      </c>
      <c r="CW1930">
        <v>1.1000000000000001</v>
      </c>
      <c r="CX1930" t="s">
        <v>1520</v>
      </c>
      <c r="CY1930">
        <v>7.39</v>
      </c>
      <c r="CZ1930">
        <v>0</v>
      </c>
      <c r="DA1930">
        <v>2.16</v>
      </c>
      <c r="DB1930">
        <v>3.96</v>
      </c>
      <c r="DC1930">
        <v>0.2</v>
      </c>
      <c r="DD1930">
        <v>61.36</v>
      </c>
      <c r="DE1930" t="s">
        <v>8793</v>
      </c>
      <c r="DF1930">
        <v>21.49</v>
      </c>
      <c r="DG1930">
        <v>11.42</v>
      </c>
      <c r="DH1930">
        <v>10.130000000000001</v>
      </c>
      <c r="DI1930">
        <v>0.23</v>
      </c>
      <c r="DJ1930">
        <v>1409</v>
      </c>
      <c r="DK1930">
        <v>300575</v>
      </c>
      <c r="DL1930" t="s">
        <v>120</v>
      </c>
      <c r="DM1930" t="s">
        <v>120</v>
      </c>
      <c r="DN1930" t="s">
        <v>120</v>
      </c>
    </row>
    <row r="1931" spans="1:118">
      <c r="A1931" t="str">
        <f>"300576"</f>
        <v>300576</v>
      </c>
      <c r="B1931" t="s">
        <v>9568</v>
      </c>
      <c r="C1931">
        <v>-5.07</v>
      </c>
      <c r="D1931">
        <v>-0.02</v>
      </c>
      <c r="E1931">
        <v>2.06</v>
      </c>
      <c r="F1931">
        <v>1156</v>
      </c>
      <c r="G1931" t="s">
        <v>9569</v>
      </c>
      <c r="H1931">
        <v>19907.64</v>
      </c>
      <c r="I1931">
        <v>125.04</v>
      </c>
      <c r="J1931" t="s">
        <v>120</v>
      </c>
      <c r="K1931" t="s">
        <v>6975</v>
      </c>
      <c r="L1931">
        <v>4.51</v>
      </c>
      <c r="M1931">
        <v>38.770000000000003</v>
      </c>
      <c r="N1931">
        <v>0.6</v>
      </c>
      <c r="O1931">
        <v>2.06</v>
      </c>
      <c r="P1931">
        <v>41.68</v>
      </c>
      <c r="Q1931">
        <v>-5.14</v>
      </c>
      <c r="R1931">
        <v>38.74</v>
      </c>
      <c r="S1931">
        <v>41.68</v>
      </c>
      <c r="T1931">
        <v>50092</v>
      </c>
      <c r="U1931">
        <v>38.78</v>
      </c>
      <c r="V1931">
        <v>40.840000000000003</v>
      </c>
      <c r="W1931">
        <v>148.21</v>
      </c>
      <c r="X1931" t="s">
        <v>1145</v>
      </c>
      <c r="Y1931" t="s">
        <v>123</v>
      </c>
      <c r="Z1931">
        <v>7.2</v>
      </c>
      <c r="AA1931">
        <v>39.74</v>
      </c>
      <c r="AB1931">
        <v>29385</v>
      </c>
      <c r="AC1931">
        <v>20707</v>
      </c>
      <c r="AD1931">
        <v>1.42</v>
      </c>
      <c r="AE1931">
        <v>197</v>
      </c>
      <c r="AF1931">
        <v>32</v>
      </c>
      <c r="AG1931" t="s">
        <v>120</v>
      </c>
      <c r="AH1931">
        <v>0.03</v>
      </c>
      <c r="AI1931" t="s">
        <v>120</v>
      </c>
      <c r="AJ1931">
        <v>1.1100000000000001</v>
      </c>
      <c r="AK1931" t="s">
        <v>9570</v>
      </c>
      <c r="AL1931">
        <v>-3.15</v>
      </c>
      <c r="AM1931">
        <v>3308</v>
      </c>
      <c r="AN1931">
        <v>15</v>
      </c>
      <c r="AO1931">
        <v>1.4E-3</v>
      </c>
      <c r="AP1931">
        <v>-4</v>
      </c>
      <c r="AQ1931">
        <v>-0.66</v>
      </c>
      <c r="AR1931">
        <v>-9.67</v>
      </c>
      <c r="AS1931">
        <v>-11.49</v>
      </c>
      <c r="AT1931">
        <v>1.81</v>
      </c>
      <c r="AU1931">
        <v>-1.1599999999999999</v>
      </c>
      <c r="AV1931">
        <v>1</v>
      </c>
      <c r="AW1931">
        <v>5.35</v>
      </c>
      <c r="AX1931">
        <v>49.8</v>
      </c>
      <c r="AY1931">
        <v>131.08000000000001</v>
      </c>
      <c r="AZ1931">
        <v>135.18</v>
      </c>
      <c r="BA1931">
        <v>1</v>
      </c>
      <c r="BB1931" t="s">
        <v>125</v>
      </c>
      <c r="BF1931">
        <v>-2.69</v>
      </c>
      <c r="BG1931">
        <v>-6.98</v>
      </c>
      <c r="BH1931">
        <v>-6.98</v>
      </c>
      <c r="BI1931">
        <v>0.08</v>
      </c>
      <c r="BJ1931">
        <v>20210830</v>
      </c>
      <c r="BK1931">
        <v>20161220</v>
      </c>
      <c r="BL1931">
        <v>1.88</v>
      </c>
      <c r="BM1931" t="s">
        <v>120</v>
      </c>
      <c r="BN1931" t="s">
        <v>120</v>
      </c>
      <c r="BO1931">
        <v>10.74</v>
      </c>
      <c r="BP1931">
        <v>38.770000000000003</v>
      </c>
      <c r="BQ1931">
        <v>5.54</v>
      </c>
      <c r="BR1931" t="s">
        <v>120</v>
      </c>
      <c r="BS1931">
        <v>48.41</v>
      </c>
      <c r="BT1931">
        <v>7.22</v>
      </c>
      <c r="BU1931">
        <v>1.41</v>
      </c>
      <c r="BV1931">
        <v>0.26</v>
      </c>
      <c r="BW1931">
        <v>3.84</v>
      </c>
      <c r="BX1931">
        <v>0.84</v>
      </c>
      <c r="BY1931">
        <v>1.22</v>
      </c>
      <c r="BZ1931">
        <v>3.07</v>
      </c>
      <c r="CA1931">
        <v>0.01</v>
      </c>
      <c r="CB1931">
        <v>0.98</v>
      </c>
      <c r="CC1931">
        <v>3.63</v>
      </c>
      <c r="CD1931">
        <v>2.54</v>
      </c>
      <c r="CE1931">
        <v>0.3</v>
      </c>
      <c r="CF1931">
        <v>0.01</v>
      </c>
      <c r="CG1931">
        <v>0.3</v>
      </c>
      <c r="CH1931">
        <v>0.25</v>
      </c>
      <c r="CI1931">
        <v>0.25</v>
      </c>
      <c r="CJ1931">
        <v>-2.0699999999999998</v>
      </c>
      <c r="CK1931">
        <v>0.22</v>
      </c>
      <c r="CL1931">
        <v>2.44</v>
      </c>
      <c r="CM1931">
        <v>0.22</v>
      </c>
      <c r="CN1931">
        <v>0.16</v>
      </c>
      <c r="CO1931">
        <v>44220</v>
      </c>
      <c r="CP1931">
        <v>2118</v>
      </c>
      <c r="CQ1931" t="s">
        <v>5765</v>
      </c>
      <c r="CR1931">
        <v>7.79</v>
      </c>
      <c r="CS1931">
        <v>54.82</v>
      </c>
      <c r="CT1931">
        <v>13.16</v>
      </c>
      <c r="CU1931">
        <v>335.08</v>
      </c>
      <c r="CV1931">
        <v>20.11</v>
      </c>
      <c r="CW1931">
        <v>0.16</v>
      </c>
      <c r="CX1931" t="s">
        <v>986</v>
      </c>
      <c r="CY1931">
        <v>2.95</v>
      </c>
      <c r="CZ1931">
        <v>0</v>
      </c>
      <c r="DA1931">
        <v>0.52</v>
      </c>
      <c r="DB1931">
        <v>1.3</v>
      </c>
      <c r="DC1931">
        <v>0.12</v>
      </c>
      <c r="DD1931">
        <v>51.59</v>
      </c>
      <c r="DE1931" t="s">
        <v>4256</v>
      </c>
      <c r="DF1931">
        <v>29.85</v>
      </c>
      <c r="DG1931">
        <v>8.41</v>
      </c>
      <c r="DH1931">
        <v>6.79</v>
      </c>
      <c r="DI1931">
        <v>0.18</v>
      </c>
      <c r="DJ1931">
        <v>495</v>
      </c>
      <c r="DK1931">
        <v>300576</v>
      </c>
      <c r="DL1931">
        <v>20210704</v>
      </c>
      <c r="DM1931">
        <v>42.36</v>
      </c>
      <c r="DN1931">
        <v>-8.4700000000000006</v>
      </c>
    </row>
    <row r="1932" spans="1:118">
      <c r="A1932" t="str">
        <f>"300577"</f>
        <v>300577</v>
      </c>
      <c r="B1932" t="s">
        <v>9571</v>
      </c>
      <c r="C1932">
        <v>-0.92</v>
      </c>
      <c r="D1932">
        <v>-0.3</v>
      </c>
      <c r="E1932">
        <v>0.87</v>
      </c>
      <c r="F1932">
        <v>638</v>
      </c>
      <c r="G1932" t="s">
        <v>5070</v>
      </c>
      <c r="H1932">
        <v>2703.93</v>
      </c>
      <c r="I1932">
        <v>1.57</v>
      </c>
      <c r="J1932" t="s">
        <v>120</v>
      </c>
      <c r="K1932" t="s">
        <v>9572</v>
      </c>
      <c r="L1932">
        <v>1.07</v>
      </c>
      <c r="M1932">
        <v>19.3</v>
      </c>
      <c r="N1932">
        <v>0.64</v>
      </c>
      <c r="O1932">
        <v>2.1</v>
      </c>
      <c r="P1932">
        <v>19.89</v>
      </c>
      <c r="Q1932">
        <v>-1.54</v>
      </c>
      <c r="R1932">
        <v>19.18</v>
      </c>
      <c r="S1932">
        <v>19.649999999999999</v>
      </c>
      <c r="T1932">
        <v>13773</v>
      </c>
      <c r="U1932">
        <v>19.399999999999999</v>
      </c>
      <c r="V1932">
        <v>19.48</v>
      </c>
      <c r="W1932">
        <v>23.87</v>
      </c>
      <c r="X1932" t="s">
        <v>1766</v>
      </c>
      <c r="Y1932" t="s">
        <v>570</v>
      </c>
      <c r="Z1932">
        <v>3.64</v>
      </c>
      <c r="AA1932">
        <v>19.63</v>
      </c>
      <c r="AB1932">
        <v>7981</v>
      </c>
      <c r="AC1932">
        <v>5792</v>
      </c>
      <c r="AD1932">
        <v>1.38</v>
      </c>
      <c r="AE1932">
        <v>3</v>
      </c>
      <c r="AF1932">
        <v>207</v>
      </c>
      <c r="AG1932" t="s">
        <v>120</v>
      </c>
      <c r="AH1932">
        <v>0</v>
      </c>
      <c r="AI1932" t="s">
        <v>120</v>
      </c>
      <c r="AJ1932">
        <v>1.29</v>
      </c>
      <c r="AK1932" t="s">
        <v>9573</v>
      </c>
      <c r="AL1932">
        <v>0.99</v>
      </c>
      <c r="AM1932">
        <v>1334</v>
      </c>
      <c r="AN1932">
        <v>10</v>
      </c>
      <c r="AO1932">
        <v>8.0000000000000004E-4</v>
      </c>
      <c r="AP1932">
        <v>-3</v>
      </c>
      <c r="AQ1932">
        <v>-1.1200000000000001</v>
      </c>
      <c r="AR1932">
        <v>-4.41</v>
      </c>
      <c r="AS1932">
        <v>18.260000000000002</v>
      </c>
      <c r="AT1932">
        <v>-12.19</v>
      </c>
      <c r="AU1932">
        <v>-25.69</v>
      </c>
      <c r="AV1932">
        <v>0</v>
      </c>
      <c r="AW1932">
        <v>1.44</v>
      </c>
      <c r="AX1932">
        <v>39.9</v>
      </c>
      <c r="AY1932">
        <v>42.27</v>
      </c>
      <c r="AZ1932">
        <v>60</v>
      </c>
      <c r="BA1932">
        <v>0.83</v>
      </c>
      <c r="BB1932" t="s">
        <v>143</v>
      </c>
      <c r="BF1932">
        <v>0.78</v>
      </c>
      <c r="BG1932">
        <v>-1.78</v>
      </c>
      <c r="BH1932">
        <v>-2.97</v>
      </c>
      <c r="BI1932">
        <v>0.63</v>
      </c>
      <c r="BJ1932">
        <v>20210909</v>
      </c>
      <c r="BK1932">
        <v>20161221</v>
      </c>
      <c r="BL1932">
        <v>2.4</v>
      </c>
      <c r="BM1932" t="s">
        <v>120</v>
      </c>
      <c r="BN1932" t="s">
        <v>120</v>
      </c>
      <c r="BO1932">
        <v>31.7</v>
      </c>
      <c r="BP1932">
        <v>19.3</v>
      </c>
      <c r="BQ1932">
        <v>16.2</v>
      </c>
      <c r="BR1932">
        <v>0.47</v>
      </c>
      <c r="BS1932">
        <v>47.41</v>
      </c>
      <c r="BT1932">
        <v>19.29</v>
      </c>
      <c r="BU1932">
        <v>2.29</v>
      </c>
      <c r="BV1932">
        <v>0.97</v>
      </c>
      <c r="BW1932">
        <v>11.43</v>
      </c>
      <c r="BX1932">
        <v>8.85</v>
      </c>
      <c r="BY1932">
        <v>4.79</v>
      </c>
      <c r="BZ1932">
        <v>3.66</v>
      </c>
      <c r="CA1932">
        <v>0</v>
      </c>
      <c r="CB1932">
        <v>7.22</v>
      </c>
      <c r="CC1932">
        <v>9.9</v>
      </c>
      <c r="CD1932">
        <v>7.08</v>
      </c>
      <c r="CE1932">
        <v>0.99</v>
      </c>
      <c r="CF1932">
        <v>0.16</v>
      </c>
      <c r="CG1932">
        <v>0.98</v>
      </c>
      <c r="CH1932">
        <v>0.9</v>
      </c>
      <c r="CI1932">
        <v>0.97</v>
      </c>
      <c r="CJ1932">
        <v>-0.18</v>
      </c>
      <c r="CK1932">
        <v>0.84</v>
      </c>
      <c r="CL1932">
        <v>6.24</v>
      </c>
      <c r="CM1932">
        <v>-0.73</v>
      </c>
      <c r="CN1932">
        <v>-1.6</v>
      </c>
      <c r="CO1932">
        <v>6970</v>
      </c>
      <c r="CP1932">
        <v>13746</v>
      </c>
      <c r="CQ1932" t="s">
        <v>9574</v>
      </c>
      <c r="CR1932">
        <v>50.79</v>
      </c>
      <c r="CS1932">
        <v>3.65</v>
      </c>
      <c r="CT1932">
        <v>2.98</v>
      </c>
      <c r="CU1932">
        <v>-63.72</v>
      </c>
      <c r="CV1932">
        <v>4.68</v>
      </c>
      <c r="CW1932">
        <v>0.54</v>
      </c>
      <c r="CX1932" t="s">
        <v>3527</v>
      </c>
      <c r="CY1932">
        <v>6.47</v>
      </c>
      <c r="CZ1932">
        <v>6.47</v>
      </c>
      <c r="DA1932">
        <v>3.01</v>
      </c>
      <c r="DB1932">
        <v>2.6</v>
      </c>
      <c r="DC1932">
        <v>-0.3</v>
      </c>
      <c r="DD1932">
        <v>51.09</v>
      </c>
      <c r="DE1932" t="s">
        <v>9575</v>
      </c>
      <c r="DF1932">
        <v>28.45</v>
      </c>
      <c r="DG1932">
        <v>9.9700000000000006</v>
      </c>
      <c r="DH1932">
        <v>9.81</v>
      </c>
      <c r="DI1932">
        <v>0.35</v>
      </c>
      <c r="DJ1932">
        <v>7157</v>
      </c>
      <c r="DK1932">
        <v>300577</v>
      </c>
      <c r="DL1932" t="s">
        <v>120</v>
      </c>
      <c r="DM1932" t="s">
        <v>120</v>
      </c>
      <c r="DN1932" t="s">
        <v>120</v>
      </c>
    </row>
    <row r="1933" spans="1:118">
      <c r="A1933" t="str">
        <f>"300578"</f>
        <v>300578</v>
      </c>
      <c r="B1933" t="s">
        <v>9576</v>
      </c>
      <c r="C1933">
        <v>-3.43</v>
      </c>
      <c r="D1933">
        <v>0</v>
      </c>
      <c r="E1933">
        <v>-0.55000000000000004</v>
      </c>
      <c r="F1933">
        <v>388</v>
      </c>
      <c r="G1933" t="s">
        <v>4541</v>
      </c>
      <c r="H1933">
        <v>5947.21</v>
      </c>
      <c r="I1933">
        <v>18.39</v>
      </c>
      <c r="J1933" t="s">
        <v>120</v>
      </c>
      <c r="K1933" t="s">
        <v>9577</v>
      </c>
      <c r="L1933">
        <v>1.45</v>
      </c>
      <c r="M1933">
        <v>24.8</v>
      </c>
      <c r="N1933">
        <v>0.79</v>
      </c>
      <c r="O1933">
        <v>1.17</v>
      </c>
      <c r="P1933">
        <v>25.98</v>
      </c>
      <c r="Q1933">
        <v>-3.7</v>
      </c>
      <c r="R1933">
        <v>24.73</v>
      </c>
      <c r="S1933">
        <v>25.54</v>
      </c>
      <c r="T1933">
        <v>23572</v>
      </c>
      <c r="U1933">
        <v>24.81</v>
      </c>
      <c r="V1933">
        <v>25.68</v>
      </c>
      <c r="W1933">
        <v>53.39</v>
      </c>
      <c r="X1933" t="s">
        <v>462</v>
      </c>
      <c r="Y1933" t="s">
        <v>1510</v>
      </c>
      <c r="Z1933">
        <v>4.87</v>
      </c>
      <c r="AA1933">
        <v>25.23</v>
      </c>
      <c r="AB1933">
        <v>14753</v>
      </c>
      <c r="AC1933">
        <v>8819</v>
      </c>
      <c r="AD1933">
        <v>1.67</v>
      </c>
      <c r="AE1933">
        <v>12</v>
      </c>
      <c r="AF1933">
        <v>3</v>
      </c>
      <c r="AG1933" t="s">
        <v>120</v>
      </c>
      <c r="AH1933">
        <v>0.01</v>
      </c>
      <c r="AI1933" t="s">
        <v>120</v>
      </c>
      <c r="AJ1933">
        <v>1.63</v>
      </c>
      <c r="AK1933" t="s">
        <v>9483</v>
      </c>
      <c r="AL1933">
        <v>-1.51</v>
      </c>
      <c r="AM1933">
        <v>1476</v>
      </c>
      <c r="AN1933">
        <v>16</v>
      </c>
      <c r="AO1933">
        <v>1E-3</v>
      </c>
      <c r="AP1933">
        <v>-3</v>
      </c>
      <c r="AQ1933">
        <v>-2.06</v>
      </c>
      <c r="AR1933">
        <v>-6.69</v>
      </c>
      <c r="AS1933">
        <v>-8.65</v>
      </c>
      <c r="AT1933">
        <v>-10.85</v>
      </c>
      <c r="AU1933">
        <v>-37.94</v>
      </c>
      <c r="AV1933">
        <v>1</v>
      </c>
      <c r="AW1933">
        <v>2.67</v>
      </c>
      <c r="AX1933">
        <v>44</v>
      </c>
      <c r="AY1933">
        <v>42.5</v>
      </c>
      <c r="AZ1933">
        <v>42.74</v>
      </c>
      <c r="BA1933">
        <v>1.19</v>
      </c>
      <c r="BB1933" t="s">
        <v>143</v>
      </c>
      <c r="BF1933">
        <v>-1.75</v>
      </c>
      <c r="BG1933">
        <v>-2.9</v>
      </c>
      <c r="BH1933">
        <v>-4.54</v>
      </c>
      <c r="BI1933">
        <v>0.28000000000000003</v>
      </c>
      <c r="BJ1933">
        <v>20210830</v>
      </c>
      <c r="BK1933">
        <v>20170125</v>
      </c>
      <c r="BL1933">
        <v>2</v>
      </c>
      <c r="BM1933" t="s">
        <v>120</v>
      </c>
      <c r="BN1933" t="s">
        <v>120</v>
      </c>
      <c r="BO1933">
        <v>17.190000000000001</v>
      </c>
      <c r="BP1933">
        <v>24.8</v>
      </c>
      <c r="BQ1933">
        <v>13.26</v>
      </c>
      <c r="BR1933">
        <v>0.26</v>
      </c>
      <c r="BS1933">
        <v>21.36</v>
      </c>
      <c r="BT1933">
        <v>6.4</v>
      </c>
      <c r="BU1933">
        <v>0.41</v>
      </c>
      <c r="BV1933">
        <v>0.67</v>
      </c>
      <c r="BW1933">
        <v>3.02</v>
      </c>
      <c r="BX1933">
        <v>0.99</v>
      </c>
      <c r="BY1933">
        <v>1.47</v>
      </c>
      <c r="BZ1933">
        <v>2.13</v>
      </c>
      <c r="CA1933" t="s">
        <v>120</v>
      </c>
      <c r="CB1933">
        <v>9.01</v>
      </c>
      <c r="CC1933">
        <v>3.33</v>
      </c>
      <c r="CD1933">
        <v>1.76</v>
      </c>
      <c r="CE1933">
        <v>0.55000000000000004</v>
      </c>
      <c r="CF1933">
        <v>0.01</v>
      </c>
      <c r="CG1933">
        <v>0.55000000000000004</v>
      </c>
      <c r="CH1933">
        <v>0.46</v>
      </c>
      <c r="CI1933">
        <v>0.47</v>
      </c>
      <c r="CJ1933">
        <v>-0.88</v>
      </c>
      <c r="CK1933">
        <v>0.41</v>
      </c>
      <c r="CL1933">
        <v>2.54</v>
      </c>
      <c r="CM1933">
        <v>-0.01</v>
      </c>
      <c r="CN1933">
        <v>-1.86</v>
      </c>
      <c r="CO1933">
        <v>24348</v>
      </c>
      <c r="CP1933">
        <v>3620</v>
      </c>
      <c r="CQ1933" t="s">
        <v>816</v>
      </c>
      <c r="CR1933">
        <v>1.5</v>
      </c>
      <c r="CS1933">
        <v>19.02</v>
      </c>
      <c r="CT1933">
        <v>3.25</v>
      </c>
      <c r="CU1933">
        <v>-7840</v>
      </c>
      <c r="CV1933">
        <v>14.91</v>
      </c>
      <c r="CW1933">
        <v>0.34</v>
      </c>
      <c r="CX1933" t="s">
        <v>1233</v>
      </c>
      <c r="CY1933">
        <v>7.62</v>
      </c>
      <c r="CZ1933">
        <v>7.62</v>
      </c>
      <c r="DA1933">
        <v>4.5</v>
      </c>
      <c r="DB1933">
        <v>1.27</v>
      </c>
      <c r="DC1933">
        <v>0</v>
      </c>
      <c r="DD1933">
        <v>77.13</v>
      </c>
      <c r="DE1933" t="s">
        <v>9578</v>
      </c>
      <c r="DF1933">
        <v>47.15</v>
      </c>
      <c r="DG1933">
        <v>16.48</v>
      </c>
      <c r="DH1933">
        <v>13.96</v>
      </c>
      <c r="DI1933">
        <v>0.26</v>
      </c>
      <c r="DJ1933">
        <v>740</v>
      </c>
      <c r="DK1933">
        <v>300578</v>
      </c>
      <c r="DL1933" t="s">
        <v>120</v>
      </c>
      <c r="DM1933" t="s">
        <v>120</v>
      </c>
      <c r="DN1933" t="s">
        <v>120</v>
      </c>
    </row>
    <row r="1934" spans="1:118">
      <c r="A1934" t="str">
        <f>"300579"</f>
        <v>300579</v>
      </c>
      <c r="B1934" t="s">
        <v>9579</v>
      </c>
      <c r="C1934">
        <v>-0.95</v>
      </c>
      <c r="D1934">
        <v>0</v>
      </c>
      <c r="E1934">
        <v>-0.95</v>
      </c>
      <c r="F1934">
        <v>281</v>
      </c>
      <c r="G1934" t="s">
        <v>9580</v>
      </c>
      <c r="H1934">
        <v>13343.72</v>
      </c>
      <c r="I1934">
        <v>103.17</v>
      </c>
      <c r="J1934" t="s">
        <v>120</v>
      </c>
      <c r="K1934" t="s">
        <v>9581</v>
      </c>
      <c r="L1934">
        <v>1.83</v>
      </c>
      <c r="M1934">
        <v>41.6</v>
      </c>
      <c r="N1934">
        <v>0.69</v>
      </c>
      <c r="O1934">
        <v>0.9</v>
      </c>
      <c r="P1934">
        <v>42.38</v>
      </c>
      <c r="Q1934">
        <v>-2.38</v>
      </c>
      <c r="R1934">
        <v>41</v>
      </c>
      <c r="S1934">
        <v>41.6</v>
      </c>
      <c r="T1934">
        <v>31996</v>
      </c>
      <c r="U1934">
        <v>41.61</v>
      </c>
      <c r="V1934">
        <v>42</v>
      </c>
      <c r="W1934">
        <v>906.87</v>
      </c>
      <c r="X1934" t="s">
        <v>141</v>
      </c>
      <c r="Y1934" t="s">
        <v>158</v>
      </c>
      <c r="Z1934">
        <v>3.29</v>
      </c>
      <c r="AA1934">
        <v>41.7</v>
      </c>
      <c r="AB1934">
        <v>19176</v>
      </c>
      <c r="AC1934">
        <v>12820</v>
      </c>
      <c r="AD1934">
        <v>1.5</v>
      </c>
      <c r="AE1934">
        <v>75</v>
      </c>
      <c r="AF1934">
        <v>23</v>
      </c>
      <c r="AG1934" t="s">
        <v>120</v>
      </c>
      <c r="AH1934">
        <v>0.03</v>
      </c>
      <c r="AI1934" t="s">
        <v>120</v>
      </c>
      <c r="AJ1934">
        <v>1.74</v>
      </c>
      <c r="AK1934" t="s">
        <v>429</v>
      </c>
      <c r="AL1934">
        <v>0.96</v>
      </c>
      <c r="AM1934">
        <v>2117</v>
      </c>
      <c r="AN1934">
        <v>15</v>
      </c>
      <c r="AO1934">
        <v>8.9999999999999998E-4</v>
      </c>
      <c r="AP1934">
        <v>-2</v>
      </c>
      <c r="AQ1934">
        <v>-3.38</v>
      </c>
      <c r="AR1934">
        <v>-0.31</v>
      </c>
      <c r="AS1934">
        <v>-10.130000000000001</v>
      </c>
      <c r="AT1934">
        <v>-8.4700000000000006</v>
      </c>
      <c r="AU1934">
        <v>5.45</v>
      </c>
      <c r="AV1934">
        <v>0</v>
      </c>
      <c r="AW1934">
        <v>4</v>
      </c>
      <c r="AX1934">
        <v>44.46</v>
      </c>
      <c r="AY1934">
        <v>62.79</v>
      </c>
      <c r="AZ1934">
        <v>73.42</v>
      </c>
      <c r="BA1934">
        <v>0.42</v>
      </c>
      <c r="BB1934" t="s">
        <v>134</v>
      </c>
      <c r="BF1934">
        <v>-0.7</v>
      </c>
      <c r="BG1934">
        <v>0</v>
      </c>
      <c r="BH1934">
        <v>-1.84</v>
      </c>
      <c r="BI1934">
        <v>1.46</v>
      </c>
      <c r="BJ1934">
        <v>20210830</v>
      </c>
      <c r="BK1934">
        <v>20161223</v>
      </c>
      <c r="BL1934">
        <v>1.8</v>
      </c>
      <c r="BM1934" t="s">
        <v>120</v>
      </c>
      <c r="BN1934" t="s">
        <v>120</v>
      </c>
      <c r="BO1934">
        <v>14.8</v>
      </c>
      <c r="BP1934">
        <v>41.6</v>
      </c>
      <c r="BQ1934">
        <v>7.41</v>
      </c>
      <c r="BR1934">
        <v>7.0000000000000007E-2</v>
      </c>
      <c r="BS1934">
        <v>49.46</v>
      </c>
      <c r="BT1934">
        <v>12.53</v>
      </c>
      <c r="BU1934">
        <v>0.3</v>
      </c>
      <c r="BV1934">
        <v>0.1</v>
      </c>
      <c r="BW1934">
        <v>6.88</v>
      </c>
      <c r="BX1934">
        <v>3.39</v>
      </c>
      <c r="BY1934">
        <v>2.9</v>
      </c>
      <c r="BZ1934">
        <v>3</v>
      </c>
      <c r="CA1934" t="s">
        <v>120</v>
      </c>
      <c r="CB1934">
        <v>1.48</v>
      </c>
      <c r="CC1934">
        <v>2.99</v>
      </c>
      <c r="CD1934">
        <v>1.37</v>
      </c>
      <c r="CE1934">
        <v>0.05</v>
      </c>
      <c r="CF1934">
        <v>0.03</v>
      </c>
      <c r="CG1934">
        <v>0.05</v>
      </c>
      <c r="CH1934">
        <v>0.04</v>
      </c>
      <c r="CI1934">
        <v>0.04</v>
      </c>
      <c r="CJ1934">
        <v>-0.4</v>
      </c>
      <c r="CK1934">
        <v>-0.01</v>
      </c>
      <c r="CL1934">
        <v>3.66</v>
      </c>
      <c r="CM1934">
        <v>-1.38</v>
      </c>
      <c r="CN1934">
        <v>-3.83</v>
      </c>
      <c r="CO1934">
        <v>30242</v>
      </c>
      <c r="CP1934">
        <v>2646</v>
      </c>
      <c r="CQ1934" t="s">
        <v>9582</v>
      </c>
      <c r="CR1934">
        <v>131.03</v>
      </c>
      <c r="CS1934">
        <v>49.25</v>
      </c>
      <c r="CT1934">
        <v>10.1</v>
      </c>
      <c r="CU1934">
        <v>-54.14</v>
      </c>
      <c r="CV1934">
        <v>25.04</v>
      </c>
      <c r="CW1934">
        <v>0.24</v>
      </c>
      <c r="CX1934" t="s">
        <v>8184</v>
      </c>
      <c r="CY1934">
        <v>4.12</v>
      </c>
      <c r="CZ1934">
        <v>0</v>
      </c>
      <c r="DA1934">
        <v>0.82</v>
      </c>
      <c r="DB1934">
        <v>2.0299999999999998</v>
      </c>
      <c r="DC1934">
        <v>-0.77</v>
      </c>
      <c r="DD1934">
        <v>50.1</v>
      </c>
      <c r="DE1934" t="s">
        <v>9583</v>
      </c>
      <c r="DF1934">
        <v>54.24</v>
      </c>
      <c r="DG1934">
        <v>1.75</v>
      </c>
      <c r="DH1934">
        <v>1.38</v>
      </c>
      <c r="DI1934">
        <v>0.69</v>
      </c>
      <c r="DJ1934">
        <v>1180</v>
      </c>
      <c r="DK1934">
        <v>300579</v>
      </c>
      <c r="DL1934" t="s">
        <v>120</v>
      </c>
      <c r="DM1934" t="s">
        <v>120</v>
      </c>
      <c r="DN1934" t="s">
        <v>120</v>
      </c>
    </row>
    <row r="1935" spans="1:118">
      <c r="A1935" t="str">
        <f>"300580"</f>
        <v>300580</v>
      </c>
      <c r="B1935" t="s">
        <v>9584</v>
      </c>
      <c r="C1935">
        <v>-2.74</v>
      </c>
      <c r="D1935">
        <v>0</v>
      </c>
      <c r="E1935">
        <v>-0.59</v>
      </c>
      <c r="F1935">
        <v>162</v>
      </c>
      <c r="G1935" t="s">
        <v>929</v>
      </c>
      <c r="H1935">
        <v>4293.67</v>
      </c>
      <c r="I1935">
        <v>6.1</v>
      </c>
      <c r="J1935" t="s">
        <v>120</v>
      </c>
      <c r="K1935" t="s">
        <v>9585</v>
      </c>
      <c r="L1935">
        <v>1.1399999999999999</v>
      </c>
      <c r="M1935">
        <v>19.89</v>
      </c>
      <c r="N1935">
        <v>0.97</v>
      </c>
      <c r="O1935">
        <v>0.64</v>
      </c>
      <c r="P1935">
        <v>20.58</v>
      </c>
      <c r="Q1935">
        <v>-2.79</v>
      </c>
      <c r="R1935">
        <v>19.88</v>
      </c>
      <c r="S1935">
        <v>20.329999999999998</v>
      </c>
      <c r="T1935">
        <v>21255</v>
      </c>
      <c r="U1935">
        <v>19.91</v>
      </c>
      <c r="V1935">
        <v>20.45</v>
      </c>
      <c r="W1935">
        <v>18.670000000000002</v>
      </c>
      <c r="X1935" t="s">
        <v>289</v>
      </c>
      <c r="Y1935" t="s">
        <v>319</v>
      </c>
      <c r="Z1935">
        <v>3.42</v>
      </c>
      <c r="AA1935">
        <v>20.2</v>
      </c>
      <c r="AB1935">
        <v>13737</v>
      </c>
      <c r="AC1935">
        <v>7518</v>
      </c>
      <c r="AD1935">
        <v>1.83</v>
      </c>
      <c r="AE1935">
        <v>219</v>
      </c>
      <c r="AF1935">
        <v>11</v>
      </c>
      <c r="AG1935" t="s">
        <v>120</v>
      </c>
      <c r="AH1935">
        <v>0</v>
      </c>
      <c r="AI1935" t="s">
        <v>120</v>
      </c>
      <c r="AJ1935">
        <v>1.87</v>
      </c>
      <c r="AK1935" t="s">
        <v>9586</v>
      </c>
      <c r="AL1935">
        <v>-0.82</v>
      </c>
      <c r="AM1935">
        <v>1517</v>
      </c>
      <c r="AN1935">
        <v>14</v>
      </c>
      <c r="AO1935">
        <v>8.0000000000000004E-4</v>
      </c>
      <c r="AP1935">
        <v>-1</v>
      </c>
      <c r="AQ1935">
        <v>0.79</v>
      </c>
      <c r="AR1935">
        <v>-2.0699999999999998</v>
      </c>
      <c r="AS1935">
        <v>-13.22</v>
      </c>
      <c r="AT1935">
        <v>-1.1399999999999999</v>
      </c>
      <c r="AU1935">
        <v>-0.85</v>
      </c>
      <c r="AV1935">
        <v>0</v>
      </c>
      <c r="AW1935">
        <v>3.51</v>
      </c>
      <c r="AX1935">
        <v>30.3</v>
      </c>
      <c r="AY1935">
        <v>18.57</v>
      </c>
      <c r="AZ1935">
        <v>23.16</v>
      </c>
      <c r="BA1935">
        <v>1.02</v>
      </c>
      <c r="BB1935" t="s">
        <v>143</v>
      </c>
      <c r="BF1935">
        <v>-1.22</v>
      </c>
      <c r="BG1935">
        <v>-2.16</v>
      </c>
      <c r="BH1935">
        <v>-3.35</v>
      </c>
      <c r="BI1935">
        <v>0.05</v>
      </c>
      <c r="BJ1935">
        <v>20210826</v>
      </c>
      <c r="BK1935">
        <v>20170111</v>
      </c>
      <c r="BL1935">
        <v>2</v>
      </c>
      <c r="BM1935" t="s">
        <v>120</v>
      </c>
      <c r="BN1935" t="s">
        <v>120</v>
      </c>
      <c r="BO1935">
        <v>28.18</v>
      </c>
      <c r="BP1935">
        <v>19.89</v>
      </c>
      <c r="BQ1935">
        <v>18.79</v>
      </c>
      <c r="BR1935">
        <v>0.06</v>
      </c>
      <c r="BS1935">
        <v>33.11</v>
      </c>
      <c r="BT1935">
        <v>15.78</v>
      </c>
      <c r="BU1935">
        <v>8</v>
      </c>
      <c r="BV1935">
        <v>1.1599999999999999</v>
      </c>
      <c r="BW1935">
        <v>3.8</v>
      </c>
      <c r="BX1935">
        <v>2.4500000000000002</v>
      </c>
      <c r="BY1935">
        <v>2.0099999999999998</v>
      </c>
      <c r="BZ1935">
        <v>3.57</v>
      </c>
      <c r="CA1935" t="s">
        <v>120</v>
      </c>
      <c r="CB1935">
        <v>6.81</v>
      </c>
      <c r="CC1935">
        <v>5.16</v>
      </c>
      <c r="CD1935">
        <v>3.33</v>
      </c>
      <c r="CE1935">
        <v>1.23</v>
      </c>
      <c r="CF1935">
        <v>7.0000000000000007E-2</v>
      </c>
      <c r="CG1935">
        <v>1.23</v>
      </c>
      <c r="CH1935">
        <v>1.08</v>
      </c>
      <c r="CI1935">
        <v>1.07</v>
      </c>
      <c r="CJ1935">
        <v>-0.56000000000000005</v>
      </c>
      <c r="CK1935">
        <v>0.91</v>
      </c>
      <c r="CL1935">
        <v>7.43</v>
      </c>
      <c r="CM1935">
        <v>0.67</v>
      </c>
      <c r="CN1935">
        <v>1.81</v>
      </c>
      <c r="CO1935">
        <v>13271</v>
      </c>
      <c r="CP1935">
        <v>4566</v>
      </c>
      <c r="CQ1935" t="s">
        <v>9587</v>
      </c>
      <c r="CR1935">
        <v>69.45</v>
      </c>
      <c r="CS1935">
        <v>40.869999999999997</v>
      </c>
      <c r="CT1935">
        <v>2.31</v>
      </c>
      <c r="CU1935">
        <v>59.2</v>
      </c>
      <c r="CV1935">
        <v>7.71</v>
      </c>
      <c r="CW1935">
        <v>1.22</v>
      </c>
      <c r="CX1935" t="s">
        <v>9588</v>
      </c>
      <c r="CY1935">
        <v>8.59</v>
      </c>
      <c r="CZ1935">
        <v>8.59</v>
      </c>
      <c r="DA1935">
        <v>3.4</v>
      </c>
      <c r="DB1935">
        <v>3.71</v>
      </c>
      <c r="DC1935">
        <v>0.34</v>
      </c>
      <c r="DD1935">
        <v>66.67</v>
      </c>
      <c r="DE1935" t="s">
        <v>9589</v>
      </c>
      <c r="DF1935">
        <v>35.44</v>
      </c>
      <c r="DG1935">
        <v>23.8</v>
      </c>
      <c r="DH1935">
        <v>20.66</v>
      </c>
      <c r="DI1935">
        <v>0.18</v>
      </c>
      <c r="DJ1935">
        <v>1188</v>
      </c>
      <c r="DK1935">
        <v>300580</v>
      </c>
      <c r="DL1935" t="s">
        <v>120</v>
      </c>
      <c r="DM1935" t="s">
        <v>120</v>
      </c>
      <c r="DN1935" t="s">
        <v>120</v>
      </c>
    </row>
    <row r="1936" spans="1:118">
      <c r="A1936" t="str">
        <f>"300581"</f>
        <v>300581</v>
      </c>
      <c r="B1936" t="s">
        <v>9590</v>
      </c>
      <c r="C1936">
        <v>2.33</v>
      </c>
      <c r="D1936">
        <v>0</v>
      </c>
      <c r="E1936">
        <v>-1.68</v>
      </c>
      <c r="F1936">
        <v>3542</v>
      </c>
      <c r="G1936" t="s">
        <v>9591</v>
      </c>
      <c r="H1936">
        <v>108781.21</v>
      </c>
      <c r="I1936">
        <v>231.33</v>
      </c>
      <c r="J1936" t="s">
        <v>120</v>
      </c>
      <c r="K1936" t="s">
        <v>8608</v>
      </c>
      <c r="L1936">
        <v>9.57</v>
      </c>
      <c r="M1936">
        <v>36.479999999999997</v>
      </c>
      <c r="N1936">
        <v>1.29</v>
      </c>
      <c r="O1936">
        <v>7.69</v>
      </c>
      <c r="P1936">
        <v>38.39</v>
      </c>
      <c r="Q1936">
        <v>-1.68</v>
      </c>
      <c r="R1936">
        <v>35.049999999999997</v>
      </c>
      <c r="S1936">
        <v>35.049999999999997</v>
      </c>
      <c r="T1936">
        <v>295835</v>
      </c>
      <c r="U1936">
        <v>36.49</v>
      </c>
      <c r="V1936">
        <v>35.65</v>
      </c>
      <c r="W1936">
        <v>724.74</v>
      </c>
      <c r="X1936" t="s">
        <v>1621</v>
      </c>
      <c r="Y1936" t="s">
        <v>890</v>
      </c>
      <c r="Z1936">
        <v>9.3699999999999992</v>
      </c>
      <c r="AA1936">
        <v>36.770000000000003</v>
      </c>
      <c r="AB1936">
        <v>130477</v>
      </c>
      <c r="AC1936">
        <v>165358</v>
      </c>
      <c r="AD1936">
        <v>0.79</v>
      </c>
      <c r="AE1936">
        <v>350</v>
      </c>
      <c r="AF1936">
        <v>216</v>
      </c>
      <c r="AG1936" t="s">
        <v>120</v>
      </c>
      <c r="AH1936">
        <v>0.06</v>
      </c>
      <c r="AI1936" t="s">
        <v>120</v>
      </c>
      <c r="AJ1936">
        <v>3.09</v>
      </c>
      <c r="AK1936" t="s">
        <v>8608</v>
      </c>
      <c r="AL1936">
        <v>4.24</v>
      </c>
      <c r="AM1936">
        <v>4507</v>
      </c>
      <c r="AN1936">
        <v>66</v>
      </c>
      <c r="AO1936">
        <v>2.0999999999999999E-3</v>
      </c>
      <c r="AP1936">
        <v>3</v>
      </c>
      <c r="AQ1936">
        <v>0.71</v>
      </c>
      <c r="AR1936">
        <v>4.47</v>
      </c>
      <c r="AS1936">
        <v>-0.6</v>
      </c>
      <c r="AT1936">
        <v>0.17</v>
      </c>
      <c r="AU1936">
        <v>45.76</v>
      </c>
      <c r="AV1936">
        <v>8</v>
      </c>
      <c r="AW1936">
        <v>25.36</v>
      </c>
      <c r="AX1936">
        <v>37.729999999999997</v>
      </c>
      <c r="AY1936">
        <v>147.46</v>
      </c>
      <c r="AZ1936">
        <v>175.07</v>
      </c>
      <c r="BA1936">
        <v>0.6</v>
      </c>
      <c r="BB1936" t="s">
        <v>143</v>
      </c>
      <c r="BF1936">
        <v>3.14</v>
      </c>
      <c r="BG1936">
        <v>4.08</v>
      </c>
      <c r="BH1936">
        <v>-4.9800000000000004</v>
      </c>
      <c r="BI1936">
        <v>4.08</v>
      </c>
      <c r="BJ1936">
        <v>20210831</v>
      </c>
      <c r="BK1936">
        <v>20161220</v>
      </c>
      <c r="BL1936">
        <v>3.09</v>
      </c>
      <c r="BM1936" t="s">
        <v>120</v>
      </c>
      <c r="BN1936" t="s">
        <v>120</v>
      </c>
      <c r="BO1936">
        <v>8.7200000000000006</v>
      </c>
      <c r="BP1936">
        <v>36.479999999999997</v>
      </c>
      <c r="BQ1936">
        <v>7.26</v>
      </c>
      <c r="BR1936" t="s">
        <v>120</v>
      </c>
      <c r="BS1936">
        <v>16.8</v>
      </c>
      <c r="BT1936">
        <v>6.81</v>
      </c>
      <c r="BU1936">
        <v>1.22</v>
      </c>
      <c r="BV1936">
        <v>0.23</v>
      </c>
      <c r="BW1936">
        <v>1.43</v>
      </c>
      <c r="BX1936">
        <v>0.89</v>
      </c>
      <c r="BY1936">
        <v>2.27</v>
      </c>
      <c r="BZ1936">
        <v>2.96</v>
      </c>
      <c r="CA1936" t="s">
        <v>120</v>
      </c>
      <c r="CB1936">
        <v>7.0000000000000007E-2</v>
      </c>
      <c r="CC1936">
        <v>1.1299999999999999</v>
      </c>
      <c r="CD1936">
        <v>0.64</v>
      </c>
      <c r="CE1936">
        <v>0.08</v>
      </c>
      <c r="CF1936">
        <v>0</v>
      </c>
      <c r="CG1936">
        <v>0.08</v>
      </c>
      <c r="CH1936">
        <v>0.08</v>
      </c>
      <c r="CI1936">
        <v>0.08</v>
      </c>
      <c r="CJ1936">
        <v>0.83</v>
      </c>
      <c r="CK1936">
        <v>0.04</v>
      </c>
      <c r="CL1936">
        <v>3.48</v>
      </c>
      <c r="CM1936">
        <v>0.31</v>
      </c>
      <c r="CN1936">
        <v>0.11</v>
      </c>
      <c r="CO1936">
        <v>57000</v>
      </c>
      <c r="CP1936">
        <v>2047</v>
      </c>
      <c r="CQ1936" t="s">
        <v>737</v>
      </c>
      <c r="CR1936">
        <v>294.10000000000002</v>
      </c>
      <c r="CS1936">
        <v>209.34</v>
      </c>
      <c r="CT1936">
        <v>15.54</v>
      </c>
      <c r="CU1936">
        <v>365.09</v>
      </c>
      <c r="CV1936">
        <v>100.13</v>
      </c>
      <c r="CW1936">
        <v>0</v>
      </c>
      <c r="CX1936" t="s">
        <v>233</v>
      </c>
      <c r="CY1936">
        <v>2.35</v>
      </c>
      <c r="CZ1936">
        <v>0</v>
      </c>
      <c r="DA1936">
        <v>0.02</v>
      </c>
      <c r="DB1936">
        <v>1.1299999999999999</v>
      </c>
      <c r="DC1936">
        <v>0.1</v>
      </c>
      <c r="DD1936">
        <v>83.2</v>
      </c>
      <c r="DE1936" t="s">
        <v>9094</v>
      </c>
      <c r="DF1936">
        <v>42.81</v>
      </c>
      <c r="DG1936">
        <v>7.12</v>
      </c>
      <c r="DH1936">
        <v>6.91</v>
      </c>
      <c r="DI1936">
        <v>0.11</v>
      </c>
      <c r="DJ1936">
        <v>440</v>
      </c>
      <c r="DK1936">
        <v>300581</v>
      </c>
      <c r="DL1936">
        <v>20210608</v>
      </c>
      <c r="DM1936">
        <v>37.29</v>
      </c>
      <c r="DN1936">
        <v>76.09</v>
      </c>
    </row>
    <row r="1937" spans="1:118">
      <c r="A1937" t="str">
        <f>"300582"</f>
        <v>300582</v>
      </c>
      <c r="B1937" t="s">
        <v>9592</v>
      </c>
      <c r="C1937">
        <v>-6.68</v>
      </c>
      <c r="D1937">
        <v>0</v>
      </c>
      <c r="E1937">
        <v>0</v>
      </c>
      <c r="F1937">
        <v>946</v>
      </c>
      <c r="G1937" t="s">
        <v>9593</v>
      </c>
      <c r="H1937">
        <v>27953.85</v>
      </c>
      <c r="I1937">
        <v>96.72</v>
      </c>
      <c r="J1937" t="s">
        <v>120</v>
      </c>
      <c r="K1937" t="s">
        <v>9594</v>
      </c>
      <c r="L1937">
        <v>5.48</v>
      </c>
      <c r="M1937">
        <v>24.01</v>
      </c>
      <c r="N1937">
        <v>0.94</v>
      </c>
      <c r="O1937">
        <v>0.57999999999999996</v>
      </c>
      <c r="P1937">
        <v>25.88</v>
      </c>
      <c r="Q1937">
        <v>-6.72</v>
      </c>
      <c r="R1937">
        <v>24</v>
      </c>
      <c r="S1937">
        <v>25.73</v>
      </c>
      <c r="T1937">
        <v>112861</v>
      </c>
      <c r="U1937">
        <v>24.02</v>
      </c>
      <c r="V1937">
        <v>25.73</v>
      </c>
      <c r="W1937">
        <v>43.51</v>
      </c>
      <c r="X1937" t="s">
        <v>3245</v>
      </c>
      <c r="Y1937" t="s">
        <v>585</v>
      </c>
      <c r="Z1937">
        <v>7.31</v>
      </c>
      <c r="AA1937">
        <v>24.77</v>
      </c>
      <c r="AB1937">
        <v>60075</v>
      </c>
      <c r="AC1937">
        <v>52786</v>
      </c>
      <c r="AD1937">
        <v>1.1399999999999999</v>
      </c>
      <c r="AE1937">
        <v>149</v>
      </c>
      <c r="AF1937">
        <v>268</v>
      </c>
      <c r="AG1937" t="s">
        <v>120</v>
      </c>
      <c r="AH1937">
        <v>0.02</v>
      </c>
      <c r="AI1937" t="s">
        <v>120</v>
      </c>
      <c r="AJ1937">
        <v>2.06</v>
      </c>
      <c r="AK1937" t="s">
        <v>9595</v>
      </c>
      <c r="AL1937">
        <v>-4.7699999999999996</v>
      </c>
      <c r="AM1937">
        <v>3727</v>
      </c>
      <c r="AN1937">
        <v>30</v>
      </c>
      <c r="AO1937">
        <v>1.5E-3</v>
      </c>
      <c r="AP1937">
        <v>-1</v>
      </c>
      <c r="AQ1937">
        <v>1.38</v>
      </c>
      <c r="AR1937">
        <v>-5.17</v>
      </c>
      <c r="AS1937">
        <v>-20.81</v>
      </c>
      <c r="AT1937">
        <v>7.19</v>
      </c>
      <c r="AU1937">
        <v>108.26</v>
      </c>
      <c r="AV1937">
        <v>7</v>
      </c>
      <c r="AW1937">
        <v>6.19</v>
      </c>
      <c r="AX1937">
        <v>61.52</v>
      </c>
      <c r="AY1937">
        <v>37.43</v>
      </c>
      <c r="AZ1937">
        <v>47.2</v>
      </c>
      <c r="BA1937">
        <v>0.28000000000000003</v>
      </c>
      <c r="BB1937" t="s">
        <v>168</v>
      </c>
      <c r="BF1937">
        <v>-3.74</v>
      </c>
      <c r="BG1937">
        <v>-6.68</v>
      </c>
      <c r="BH1937">
        <v>-7.23</v>
      </c>
      <c r="BI1937">
        <v>0.04</v>
      </c>
      <c r="BJ1937">
        <v>20210825</v>
      </c>
      <c r="BK1937">
        <v>20161228</v>
      </c>
      <c r="BL1937">
        <v>2.97</v>
      </c>
      <c r="BM1937" t="s">
        <v>120</v>
      </c>
      <c r="BN1937" t="s">
        <v>120</v>
      </c>
      <c r="BO1937">
        <v>22.69</v>
      </c>
      <c r="BP1937">
        <v>24.01</v>
      </c>
      <c r="BQ1937">
        <v>12.93</v>
      </c>
      <c r="BR1937" t="s">
        <v>120</v>
      </c>
      <c r="BS1937">
        <v>43</v>
      </c>
      <c r="BT1937">
        <v>10.38</v>
      </c>
      <c r="BU1937">
        <v>4.5599999999999996</v>
      </c>
      <c r="BV1937">
        <v>0.37</v>
      </c>
      <c r="BW1937">
        <v>9.0399999999999991</v>
      </c>
      <c r="BX1937">
        <v>2.13</v>
      </c>
      <c r="BY1937">
        <v>3.41</v>
      </c>
      <c r="BZ1937">
        <v>3.15</v>
      </c>
      <c r="CA1937">
        <v>0</v>
      </c>
      <c r="CB1937">
        <v>4.2</v>
      </c>
      <c r="CC1937">
        <v>6.62</v>
      </c>
      <c r="CD1937">
        <v>4.4000000000000004</v>
      </c>
      <c r="CE1937">
        <v>1.07</v>
      </c>
      <c r="CF1937">
        <v>0</v>
      </c>
      <c r="CG1937">
        <v>1.07</v>
      </c>
      <c r="CH1937">
        <v>0.82</v>
      </c>
      <c r="CI1937">
        <v>0.82</v>
      </c>
      <c r="CJ1937">
        <v>-1.72</v>
      </c>
      <c r="CK1937">
        <v>0.78</v>
      </c>
      <c r="CL1937">
        <v>5.47</v>
      </c>
      <c r="CM1937">
        <v>0.09</v>
      </c>
      <c r="CN1937">
        <v>0.37</v>
      </c>
      <c r="CO1937">
        <v>23631</v>
      </c>
      <c r="CP1937">
        <v>7721</v>
      </c>
      <c r="CQ1937" t="s">
        <v>9596</v>
      </c>
      <c r="CR1937">
        <v>106.53</v>
      </c>
      <c r="CS1937">
        <v>61.47</v>
      </c>
      <c r="CT1937">
        <v>5.5</v>
      </c>
      <c r="CU1937">
        <v>750.82</v>
      </c>
      <c r="CV1937">
        <v>10.76</v>
      </c>
      <c r="CW1937">
        <v>0.31</v>
      </c>
      <c r="CX1937" t="s">
        <v>1054</v>
      </c>
      <c r="CY1937">
        <v>4.3600000000000003</v>
      </c>
      <c r="CZ1937">
        <v>4.3600000000000003</v>
      </c>
      <c r="DA1937">
        <v>1.42</v>
      </c>
      <c r="DB1937">
        <v>1.84</v>
      </c>
      <c r="DC1937">
        <v>0.03</v>
      </c>
      <c r="DD1937">
        <v>57</v>
      </c>
      <c r="DE1937" t="s">
        <v>8709</v>
      </c>
      <c r="DF1937">
        <v>33.61</v>
      </c>
      <c r="DG1937">
        <v>16.21</v>
      </c>
      <c r="DH1937">
        <v>12.36</v>
      </c>
      <c r="DI1937">
        <v>0.35</v>
      </c>
      <c r="DJ1937">
        <v>873</v>
      </c>
      <c r="DK1937">
        <v>300582</v>
      </c>
      <c r="DL1937" t="s">
        <v>120</v>
      </c>
      <c r="DM1937" t="s">
        <v>120</v>
      </c>
      <c r="DN1937" t="s">
        <v>120</v>
      </c>
    </row>
    <row r="1938" spans="1:118">
      <c r="A1938" t="str">
        <f>"300583"</f>
        <v>300583</v>
      </c>
      <c r="B1938" t="s">
        <v>9597</v>
      </c>
      <c r="C1938">
        <v>-1.41</v>
      </c>
      <c r="D1938">
        <v>0.04</v>
      </c>
      <c r="E1938">
        <v>-0.12</v>
      </c>
      <c r="F1938">
        <v>19</v>
      </c>
      <c r="G1938" t="s">
        <v>9598</v>
      </c>
      <c r="H1938">
        <v>2134.66</v>
      </c>
      <c r="I1938">
        <v>46.6</v>
      </c>
      <c r="J1938" t="s">
        <v>120</v>
      </c>
      <c r="K1938" t="s">
        <v>9599</v>
      </c>
      <c r="L1938">
        <v>0.85</v>
      </c>
      <c r="M1938">
        <v>23.71</v>
      </c>
      <c r="N1938">
        <v>1.2</v>
      </c>
      <c r="O1938">
        <v>1.46</v>
      </c>
      <c r="P1938">
        <v>24.4</v>
      </c>
      <c r="Q1938">
        <v>-2.29</v>
      </c>
      <c r="R1938">
        <v>23.5</v>
      </c>
      <c r="S1938">
        <v>24.02</v>
      </c>
      <c r="T1938">
        <v>8901</v>
      </c>
      <c r="U1938">
        <v>23.73</v>
      </c>
      <c r="V1938">
        <v>24.05</v>
      </c>
      <c r="W1938">
        <v>66.91</v>
      </c>
      <c r="X1938" t="s">
        <v>666</v>
      </c>
      <c r="Y1938" t="s">
        <v>638</v>
      </c>
      <c r="Z1938">
        <v>3.74</v>
      </c>
      <c r="AA1938">
        <v>23.98</v>
      </c>
      <c r="AB1938">
        <v>5140</v>
      </c>
      <c r="AC1938">
        <v>3761</v>
      </c>
      <c r="AD1938">
        <v>1.37</v>
      </c>
      <c r="AE1938">
        <v>43</v>
      </c>
      <c r="AF1938">
        <v>1</v>
      </c>
      <c r="AG1938" t="s">
        <v>120</v>
      </c>
      <c r="AH1938">
        <v>0.05</v>
      </c>
      <c r="AI1938" t="s">
        <v>120</v>
      </c>
      <c r="AJ1938">
        <v>1.04</v>
      </c>
      <c r="AK1938" t="s">
        <v>407</v>
      </c>
      <c r="AL1938">
        <v>0.5</v>
      </c>
      <c r="AM1938">
        <v>1036</v>
      </c>
      <c r="AN1938">
        <v>9</v>
      </c>
      <c r="AO1938">
        <v>8.0000000000000004E-4</v>
      </c>
      <c r="AP1938">
        <v>-1</v>
      </c>
      <c r="AQ1938">
        <v>1.31</v>
      </c>
      <c r="AR1938">
        <v>-0.57999999999999996</v>
      </c>
      <c r="AS1938">
        <v>1.98</v>
      </c>
      <c r="AT1938">
        <v>13.39</v>
      </c>
      <c r="AU1938">
        <v>0.64</v>
      </c>
      <c r="AV1938">
        <v>0</v>
      </c>
      <c r="AW1938">
        <v>2.37</v>
      </c>
      <c r="AX1938">
        <v>35.049999999999997</v>
      </c>
      <c r="AY1938" t="s">
        <v>120</v>
      </c>
      <c r="AZ1938" t="s">
        <v>120</v>
      </c>
      <c r="BA1938">
        <v>0.54</v>
      </c>
      <c r="BB1938" t="s">
        <v>143</v>
      </c>
      <c r="BF1938">
        <v>-0.28000000000000003</v>
      </c>
      <c r="BG1938">
        <v>-1.29</v>
      </c>
      <c r="BH1938">
        <v>-2.83</v>
      </c>
      <c r="BI1938">
        <v>0.89</v>
      </c>
      <c r="BJ1938">
        <v>20210830</v>
      </c>
      <c r="BK1938">
        <v>20170106</v>
      </c>
      <c r="BL1938">
        <v>1.07</v>
      </c>
      <c r="BM1938" t="s">
        <v>120</v>
      </c>
      <c r="BN1938" t="s">
        <v>120</v>
      </c>
      <c r="BO1938">
        <v>32.479999999999997</v>
      </c>
      <c r="BP1938">
        <v>23.71</v>
      </c>
      <c r="BQ1938">
        <v>16.64</v>
      </c>
      <c r="BR1938">
        <v>0.48</v>
      </c>
      <c r="BS1938">
        <v>47.29</v>
      </c>
      <c r="BT1938">
        <v>13.94</v>
      </c>
      <c r="BU1938">
        <v>9.35</v>
      </c>
      <c r="BV1938">
        <v>1.53</v>
      </c>
      <c r="BW1938">
        <v>13.27</v>
      </c>
      <c r="BX1938">
        <v>3.85</v>
      </c>
      <c r="BY1938">
        <v>5.03</v>
      </c>
      <c r="BZ1938">
        <v>2.2000000000000002</v>
      </c>
      <c r="CA1938" t="s">
        <v>120</v>
      </c>
      <c r="CB1938">
        <v>11.18</v>
      </c>
      <c r="CC1938">
        <v>6.24</v>
      </c>
      <c r="CD1938">
        <v>4.82</v>
      </c>
      <c r="CE1938">
        <v>0.23</v>
      </c>
      <c r="CF1938">
        <v>0.02</v>
      </c>
      <c r="CG1938">
        <v>0.23</v>
      </c>
      <c r="CH1938">
        <v>0.18</v>
      </c>
      <c r="CI1938">
        <v>0.19</v>
      </c>
      <c r="CJ1938">
        <v>-0.34</v>
      </c>
      <c r="CK1938">
        <v>0.06</v>
      </c>
      <c r="CL1938">
        <v>3.7</v>
      </c>
      <c r="CM1938">
        <v>0.09</v>
      </c>
      <c r="CN1938">
        <v>-0.92</v>
      </c>
      <c r="CO1938">
        <v>12055</v>
      </c>
      <c r="CP1938">
        <v>3119</v>
      </c>
      <c r="CQ1938" t="s">
        <v>939</v>
      </c>
      <c r="CR1938">
        <v>151.29</v>
      </c>
      <c r="CS1938">
        <v>26.51</v>
      </c>
      <c r="CT1938">
        <v>1.53</v>
      </c>
      <c r="CU1938">
        <v>295.62</v>
      </c>
      <c r="CV1938">
        <v>4.08</v>
      </c>
      <c r="CW1938">
        <v>0</v>
      </c>
      <c r="CX1938" t="s">
        <v>242</v>
      </c>
      <c r="CY1938">
        <v>15.52</v>
      </c>
      <c r="CZ1938">
        <v>0</v>
      </c>
      <c r="DA1938">
        <v>10.42</v>
      </c>
      <c r="DB1938">
        <v>3.45</v>
      </c>
      <c r="DC1938">
        <v>0.08</v>
      </c>
      <c r="DD1938">
        <v>51.24</v>
      </c>
      <c r="DE1938" t="s">
        <v>4237</v>
      </c>
      <c r="DF1938">
        <v>22.64</v>
      </c>
      <c r="DG1938">
        <v>3.76</v>
      </c>
      <c r="DH1938">
        <v>3.05</v>
      </c>
      <c r="DI1938">
        <v>0.26</v>
      </c>
      <c r="DJ1938">
        <v>1110</v>
      </c>
      <c r="DK1938">
        <v>300583</v>
      </c>
      <c r="DL1938" t="s">
        <v>120</v>
      </c>
      <c r="DM1938" t="s">
        <v>120</v>
      </c>
      <c r="DN1938" t="s">
        <v>120</v>
      </c>
    </row>
    <row r="1939" spans="1:118">
      <c r="A1939" t="str">
        <f>"300584"</f>
        <v>300584</v>
      </c>
      <c r="B1939" t="s">
        <v>9600</v>
      </c>
      <c r="C1939">
        <v>0</v>
      </c>
      <c r="D1939">
        <v>-0.05</v>
      </c>
      <c r="E1939">
        <v>0</v>
      </c>
      <c r="F1939">
        <v>16</v>
      </c>
      <c r="G1939" t="s">
        <v>9601</v>
      </c>
      <c r="H1939">
        <v>673.04</v>
      </c>
      <c r="I1939">
        <v>0</v>
      </c>
      <c r="J1939" t="s">
        <v>120</v>
      </c>
      <c r="K1939" t="s">
        <v>9602</v>
      </c>
      <c r="L1939">
        <v>0.62</v>
      </c>
      <c r="M1939">
        <v>16.77</v>
      </c>
      <c r="N1939">
        <v>1.04</v>
      </c>
      <c r="O1939">
        <v>1.91</v>
      </c>
      <c r="P1939">
        <v>17.09</v>
      </c>
      <c r="Q1939">
        <v>-0.24</v>
      </c>
      <c r="R1939">
        <v>16.73</v>
      </c>
      <c r="S1939">
        <v>16.77</v>
      </c>
      <c r="T1939">
        <v>3992</v>
      </c>
      <c r="U1939">
        <v>16.77</v>
      </c>
      <c r="V1939">
        <v>16.77</v>
      </c>
      <c r="W1939">
        <v>47.61</v>
      </c>
      <c r="X1939" t="s">
        <v>569</v>
      </c>
      <c r="Y1939" t="s">
        <v>319</v>
      </c>
      <c r="Z1939">
        <v>2.15</v>
      </c>
      <c r="AA1939">
        <v>16.86</v>
      </c>
      <c r="AB1939">
        <v>2005</v>
      </c>
      <c r="AC1939">
        <v>1987</v>
      </c>
      <c r="AD1939">
        <v>1.01</v>
      </c>
      <c r="AE1939">
        <v>3</v>
      </c>
      <c r="AF1939">
        <v>48</v>
      </c>
      <c r="AG1939" t="s">
        <v>120</v>
      </c>
      <c r="AH1939">
        <v>0</v>
      </c>
      <c r="AI1939" t="s">
        <v>120</v>
      </c>
      <c r="AJ1939">
        <v>0.64</v>
      </c>
      <c r="AK1939" t="s">
        <v>7358</v>
      </c>
      <c r="AL1939">
        <v>1.91</v>
      </c>
      <c r="AM1939">
        <v>344</v>
      </c>
      <c r="AN1939">
        <v>12</v>
      </c>
      <c r="AO1939">
        <v>1.8E-3</v>
      </c>
      <c r="AP1939">
        <v>0</v>
      </c>
      <c r="AQ1939">
        <v>-0.53</v>
      </c>
      <c r="AR1939">
        <v>-1.47</v>
      </c>
      <c r="AS1939">
        <v>-2.9</v>
      </c>
      <c r="AT1939">
        <v>-15.56</v>
      </c>
      <c r="AU1939">
        <v>-17.77</v>
      </c>
      <c r="AV1939">
        <v>0</v>
      </c>
      <c r="AW1939">
        <v>0.87</v>
      </c>
      <c r="AX1939">
        <v>38.31</v>
      </c>
      <c r="AY1939">
        <v>50.46</v>
      </c>
      <c r="AZ1939">
        <v>36.44</v>
      </c>
      <c r="BA1939">
        <v>0.51</v>
      </c>
      <c r="BB1939" t="s">
        <v>125</v>
      </c>
      <c r="BF1939">
        <v>0.54</v>
      </c>
      <c r="BG1939">
        <v>0</v>
      </c>
      <c r="BH1939">
        <v>-1.87</v>
      </c>
      <c r="BI1939">
        <v>0.24</v>
      </c>
      <c r="BJ1939">
        <v>20210804</v>
      </c>
      <c r="BK1939">
        <v>20170112</v>
      </c>
      <c r="BL1939">
        <v>1.2</v>
      </c>
      <c r="BM1939" t="s">
        <v>120</v>
      </c>
      <c r="BN1939" t="s">
        <v>120</v>
      </c>
      <c r="BO1939">
        <v>9.02</v>
      </c>
      <c r="BP1939">
        <v>16.760000000000002</v>
      </c>
      <c r="BQ1939">
        <v>6.86</v>
      </c>
      <c r="BR1939">
        <v>-0.01</v>
      </c>
      <c r="BS1939">
        <v>24.1</v>
      </c>
      <c r="BT1939">
        <v>2.63</v>
      </c>
      <c r="BU1939">
        <v>2.87</v>
      </c>
      <c r="BV1939">
        <v>1.02</v>
      </c>
      <c r="BW1939">
        <v>2.11</v>
      </c>
      <c r="BX1939">
        <v>0.79</v>
      </c>
      <c r="BY1939">
        <v>0.64</v>
      </c>
      <c r="BZ1939">
        <v>0.94</v>
      </c>
      <c r="CA1939" t="s">
        <v>120</v>
      </c>
      <c r="CB1939">
        <v>2.12</v>
      </c>
      <c r="CC1939">
        <v>3.17</v>
      </c>
      <c r="CD1939">
        <v>0.56999999999999995</v>
      </c>
      <c r="CE1939">
        <v>0.23</v>
      </c>
      <c r="CF1939">
        <v>0</v>
      </c>
      <c r="CG1939">
        <v>0.22</v>
      </c>
      <c r="CH1939">
        <v>0.21</v>
      </c>
      <c r="CI1939">
        <v>0.21</v>
      </c>
      <c r="CJ1939">
        <v>0</v>
      </c>
      <c r="CK1939">
        <v>0.21</v>
      </c>
      <c r="CL1939">
        <v>3.07</v>
      </c>
      <c r="CM1939">
        <v>0.35</v>
      </c>
      <c r="CN1939">
        <v>-0.25</v>
      </c>
      <c r="CO1939">
        <v>8286</v>
      </c>
      <c r="CP1939">
        <v>5549</v>
      </c>
      <c r="CQ1939" t="s">
        <v>9603</v>
      </c>
      <c r="CR1939">
        <v>-42.07</v>
      </c>
      <c r="CS1939">
        <v>-15.68</v>
      </c>
      <c r="CT1939">
        <v>2.93</v>
      </c>
      <c r="CU1939">
        <v>57.7</v>
      </c>
      <c r="CV1939">
        <v>6.35</v>
      </c>
      <c r="CW1939">
        <v>0.75</v>
      </c>
      <c r="CX1939" t="s">
        <v>1534</v>
      </c>
      <c r="CY1939">
        <v>5.71</v>
      </c>
      <c r="CZ1939">
        <v>0</v>
      </c>
      <c r="DA1939">
        <v>1.77</v>
      </c>
      <c r="DB1939">
        <v>2.56</v>
      </c>
      <c r="DC1939">
        <v>0.28999999999999998</v>
      </c>
      <c r="DD1939">
        <v>76.040000000000006</v>
      </c>
      <c r="DE1939" t="s">
        <v>5456</v>
      </c>
      <c r="DF1939">
        <v>81.91</v>
      </c>
      <c r="DG1939">
        <v>7.15</v>
      </c>
      <c r="DH1939">
        <v>6.67</v>
      </c>
      <c r="DI1939">
        <v>0.17</v>
      </c>
      <c r="DJ1939">
        <v>619</v>
      </c>
      <c r="DK1939">
        <v>300584</v>
      </c>
      <c r="DL1939" t="s">
        <v>120</v>
      </c>
      <c r="DM1939" t="s">
        <v>120</v>
      </c>
      <c r="DN1939" t="s">
        <v>120</v>
      </c>
    </row>
    <row r="1940" spans="1:118">
      <c r="A1940" t="str">
        <f>"300585"</f>
        <v>300585</v>
      </c>
      <c r="B1940" t="s">
        <v>9604</v>
      </c>
      <c r="C1940">
        <v>-1.69</v>
      </c>
      <c r="D1940">
        <v>0.08</v>
      </c>
      <c r="E1940">
        <v>0.08</v>
      </c>
      <c r="F1940">
        <v>117</v>
      </c>
      <c r="G1940" t="s">
        <v>4290</v>
      </c>
      <c r="H1940">
        <v>4057.08</v>
      </c>
      <c r="I1940">
        <v>45.5</v>
      </c>
      <c r="J1940" t="s">
        <v>120</v>
      </c>
      <c r="K1940" t="s">
        <v>9605</v>
      </c>
      <c r="L1940">
        <v>1.94</v>
      </c>
      <c r="M1940">
        <v>12.77</v>
      </c>
      <c r="N1940">
        <v>1.3</v>
      </c>
      <c r="O1940">
        <v>2.16</v>
      </c>
      <c r="P1940">
        <v>13.27</v>
      </c>
      <c r="Q1940">
        <v>-1.92</v>
      </c>
      <c r="R1940">
        <v>12.74</v>
      </c>
      <c r="S1940">
        <v>13</v>
      </c>
      <c r="T1940">
        <v>31102</v>
      </c>
      <c r="U1940">
        <v>12.79</v>
      </c>
      <c r="V1940">
        <v>12.99</v>
      </c>
      <c r="W1940">
        <v>54.91</v>
      </c>
      <c r="X1940" t="s">
        <v>289</v>
      </c>
      <c r="Y1940" t="s">
        <v>319</v>
      </c>
      <c r="Z1940">
        <v>4.08</v>
      </c>
      <c r="AA1940">
        <v>13.04</v>
      </c>
      <c r="AB1940">
        <v>16314</v>
      </c>
      <c r="AC1940">
        <v>14788</v>
      </c>
      <c r="AD1940">
        <v>1.1000000000000001</v>
      </c>
      <c r="AE1940">
        <v>4</v>
      </c>
      <c r="AF1940">
        <v>109</v>
      </c>
      <c r="AG1940" t="s">
        <v>120</v>
      </c>
      <c r="AH1940">
        <v>0.04</v>
      </c>
      <c r="AI1940" t="s">
        <v>120</v>
      </c>
      <c r="AJ1940">
        <v>1.6</v>
      </c>
      <c r="AK1940" t="s">
        <v>9606</v>
      </c>
      <c r="AL1940">
        <v>0.22</v>
      </c>
      <c r="AM1940">
        <v>1252</v>
      </c>
      <c r="AN1940">
        <v>25</v>
      </c>
      <c r="AO1940">
        <v>1.6000000000000001E-3</v>
      </c>
      <c r="AP1940">
        <v>-1</v>
      </c>
      <c r="AQ1940">
        <v>2.2799999999999998</v>
      </c>
      <c r="AR1940">
        <v>-1.1599999999999999</v>
      </c>
      <c r="AS1940">
        <v>-3.04</v>
      </c>
      <c r="AT1940">
        <v>-3.98</v>
      </c>
      <c r="AU1940">
        <v>-6.85</v>
      </c>
      <c r="AV1940">
        <v>0</v>
      </c>
      <c r="AW1940">
        <v>3.69</v>
      </c>
      <c r="AX1940">
        <v>49.22</v>
      </c>
      <c r="AY1940">
        <v>62.64</v>
      </c>
      <c r="AZ1940">
        <v>70.400000000000006</v>
      </c>
      <c r="BA1940">
        <v>0.93</v>
      </c>
      <c r="BB1940" t="s">
        <v>751</v>
      </c>
      <c r="BF1940">
        <v>0.42</v>
      </c>
      <c r="BG1940">
        <v>-1.77</v>
      </c>
      <c r="BH1940">
        <v>-3.77</v>
      </c>
      <c r="BI1940">
        <v>0.24</v>
      </c>
      <c r="BJ1940">
        <v>20210914</v>
      </c>
      <c r="BK1940">
        <v>20161229</v>
      </c>
      <c r="BL1940">
        <v>1.71</v>
      </c>
      <c r="BM1940" t="s">
        <v>120</v>
      </c>
      <c r="BN1940" t="s">
        <v>120</v>
      </c>
      <c r="BO1940">
        <v>8.27</v>
      </c>
      <c r="BP1940">
        <v>12.77</v>
      </c>
      <c r="BQ1940">
        <v>5.57</v>
      </c>
      <c r="BR1940">
        <v>0.09</v>
      </c>
      <c r="BS1940">
        <v>31.54</v>
      </c>
      <c r="BT1940">
        <v>3.93</v>
      </c>
      <c r="BU1940">
        <v>1.32</v>
      </c>
      <c r="BV1940">
        <v>0.19</v>
      </c>
      <c r="BW1940">
        <v>2.37</v>
      </c>
      <c r="BX1940">
        <v>0.39</v>
      </c>
      <c r="BY1940">
        <v>1.05</v>
      </c>
      <c r="BZ1940">
        <v>1.3</v>
      </c>
      <c r="CA1940" t="s">
        <v>120</v>
      </c>
      <c r="CB1940">
        <v>1.33</v>
      </c>
      <c r="CC1940">
        <v>2.35</v>
      </c>
      <c r="CD1940">
        <v>1.58</v>
      </c>
      <c r="CE1940">
        <v>0.19</v>
      </c>
      <c r="CF1940">
        <v>-0.01</v>
      </c>
      <c r="CG1940">
        <v>0.21</v>
      </c>
      <c r="CH1940">
        <v>0.19</v>
      </c>
      <c r="CI1940">
        <v>0.2</v>
      </c>
      <c r="CJ1940">
        <v>-0.22</v>
      </c>
      <c r="CK1940">
        <v>0.18</v>
      </c>
      <c r="CL1940">
        <v>2.2999999999999998</v>
      </c>
      <c r="CM1940">
        <v>-0.14000000000000001</v>
      </c>
      <c r="CN1940">
        <v>-0.04</v>
      </c>
      <c r="CO1940">
        <v>12705</v>
      </c>
      <c r="CP1940">
        <v>6628</v>
      </c>
      <c r="CQ1940" t="s">
        <v>328</v>
      </c>
      <c r="CR1940">
        <v>24.47</v>
      </c>
      <c r="CS1940">
        <v>15.98</v>
      </c>
      <c r="CT1940">
        <v>3.67</v>
      </c>
      <c r="CU1940">
        <v>-151.97999999999999</v>
      </c>
      <c r="CV1940">
        <v>9.2899999999999991</v>
      </c>
      <c r="CW1940">
        <v>0</v>
      </c>
      <c r="CX1940" t="s">
        <v>850</v>
      </c>
      <c r="CY1940">
        <v>3.48</v>
      </c>
      <c r="CZ1940">
        <v>3.48</v>
      </c>
      <c r="DA1940">
        <v>0.78</v>
      </c>
      <c r="DB1940">
        <v>1.34</v>
      </c>
      <c r="DC1940">
        <v>-0.08</v>
      </c>
      <c r="DD1940">
        <v>67.33</v>
      </c>
      <c r="DE1940" t="s">
        <v>2386</v>
      </c>
      <c r="DF1940">
        <v>32.659999999999997</v>
      </c>
      <c r="DG1940">
        <v>8.06</v>
      </c>
      <c r="DH1940">
        <v>8.4600000000000009</v>
      </c>
      <c r="DI1940">
        <v>0.17</v>
      </c>
      <c r="DJ1940">
        <v>692</v>
      </c>
      <c r="DK1940">
        <v>300585</v>
      </c>
      <c r="DL1940" t="s">
        <v>120</v>
      </c>
      <c r="DM1940" t="s">
        <v>120</v>
      </c>
      <c r="DN1940" t="s">
        <v>120</v>
      </c>
    </row>
    <row r="1941" spans="1:118">
      <c r="A1941" t="str">
        <f>"300586"</f>
        <v>300586</v>
      </c>
      <c r="B1941" t="s">
        <v>9607</v>
      </c>
      <c r="C1941">
        <v>0.27</v>
      </c>
      <c r="D1941">
        <v>-0.08</v>
      </c>
      <c r="E1941">
        <v>1.95</v>
      </c>
      <c r="F1941">
        <v>3063</v>
      </c>
      <c r="G1941" t="s">
        <v>8326</v>
      </c>
      <c r="H1941">
        <v>34598.699999999997</v>
      </c>
      <c r="I1941">
        <v>341.57</v>
      </c>
      <c r="J1941" t="s">
        <v>120</v>
      </c>
      <c r="K1941" t="s">
        <v>5014</v>
      </c>
      <c r="L1941">
        <v>10.55</v>
      </c>
      <c r="M1941">
        <v>11.33</v>
      </c>
      <c r="N1941">
        <v>1.8</v>
      </c>
      <c r="O1941">
        <v>5.93</v>
      </c>
      <c r="P1941">
        <v>11.97</v>
      </c>
      <c r="Q1941">
        <v>-3.01</v>
      </c>
      <c r="R1941">
        <v>10.96</v>
      </c>
      <c r="S1941">
        <v>11.52</v>
      </c>
      <c r="T1941">
        <v>304873</v>
      </c>
      <c r="U1941">
        <v>11.33</v>
      </c>
      <c r="V1941">
        <v>11.3</v>
      </c>
      <c r="W1941">
        <v>131.29</v>
      </c>
      <c r="X1941" t="s">
        <v>868</v>
      </c>
      <c r="Y1941" t="s">
        <v>547</v>
      </c>
      <c r="Z1941">
        <v>8.94</v>
      </c>
      <c r="AA1941">
        <v>11.35</v>
      </c>
      <c r="AB1941">
        <v>169726</v>
      </c>
      <c r="AC1941">
        <v>135147</v>
      </c>
      <c r="AD1941">
        <v>1.26</v>
      </c>
      <c r="AE1941">
        <v>186</v>
      </c>
      <c r="AF1941">
        <v>369</v>
      </c>
      <c r="AG1941" t="s">
        <v>120</v>
      </c>
      <c r="AH1941">
        <v>0.2</v>
      </c>
      <c r="AI1941" t="s">
        <v>120</v>
      </c>
      <c r="AJ1941">
        <v>2.89</v>
      </c>
      <c r="AK1941" t="s">
        <v>9608</v>
      </c>
      <c r="AL1941">
        <v>2.1800000000000002</v>
      </c>
      <c r="AM1941">
        <v>3591</v>
      </c>
      <c r="AN1941">
        <v>85</v>
      </c>
      <c r="AO1941">
        <v>2.8999999999999998E-3</v>
      </c>
      <c r="AP1941">
        <v>4</v>
      </c>
      <c r="AQ1941">
        <v>5.51</v>
      </c>
      <c r="AR1941">
        <v>8.42</v>
      </c>
      <c r="AS1941">
        <v>6.28</v>
      </c>
      <c r="AT1941">
        <v>33.29</v>
      </c>
      <c r="AU1941">
        <v>21.43</v>
      </c>
      <c r="AV1941">
        <v>1</v>
      </c>
      <c r="AW1941">
        <v>20.78</v>
      </c>
      <c r="AX1941">
        <v>27.98</v>
      </c>
      <c r="AY1941">
        <v>510.7</v>
      </c>
      <c r="AZ1941">
        <v>141.38999999999999</v>
      </c>
      <c r="BA1941">
        <v>1.07</v>
      </c>
      <c r="BB1941" t="s">
        <v>751</v>
      </c>
      <c r="BF1941">
        <v>0.43</v>
      </c>
      <c r="BG1941">
        <v>-1.65</v>
      </c>
      <c r="BH1941">
        <v>-5.35</v>
      </c>
      <c r="BI1941">
        <v>3.38</v>
      </c>
      <c r="BJ1941">
        <v>20210830</v>
      </c>
      <c r="BK1941">
        <v>20170104</v>
      </c>
      <c r="BL1941">
        <v>5.24</v>
      </c>
      <c r="BM1941" t="s">
        <v>120</v>
      </c>
      <c r="BN1941" t="s">
        <v>120</v>
      </c>
      <c r="BO1941">
        <v>23.92</v>
      </c>
      <c r="BP1941">
        <v>11.32</v>
      </c>
      <c r="BQ1941">
        <v>12.36</v>
      </c>
      <c r="BR1941">
        <v>2.14</v>
      </c>
      <c r="BS1941">
        <v>39.36</v>
      </c>
      <c r="BT1941">
        <v>11.28</v>
      </c>
      <c r="BU1941">
        <v>6.86</v>
      </c>
      <c r="BV1941">
        <v>1.79</v>
      </c>
      <c r="BW1941">
        <v>5.33</v>
      </c>
      <c r="BX1941">
        <v>5.7</v>
      </c>
      <c r="BY1941">
        <v>2.09</v>
      </c>
      <c r="BZ1941">
        <v>1.86</v>
      </c>
      <c r="CA1941" t="s">
        <v>120</v>
      </c>
      <c r="CB1941">
        <v>3.91</v>
      </c>
      <c r="CC1941">
        <v>8.33</v>
      </c>
      <c r="CD1941">
        <v>7.37</v>
      </c>
      <c r="CE1941">
        <v>0.23</v>
      </c>
      <c r="CF1941">
        <v>-0.05</v>
      </c>
      <c r="CG1941">
        <v>0.24</v>
      </c>
      <c r="CH1941">
        <v>0.22</v>
      </c>
      <c r="CI1941">
        <v>0.23</v>
      </c>
      <c r="CJ1941">
        <v>0.03</v>
      </c>
      <c r="CK1941">
        <v>0.19</v>
      </c>
      <c r="CL1941">
        <v>2.42</v>
      </c>
      <c r="CM1941">
        <v>0.13</v>
      </c>
      <c r="CN1941">
        <v>3.05</v>
      </c>
      <c r="CO1941">
        <v>26162</v>
      </c>
      <c r="CP1941">
        <v>5608</v>
      </c>
      <c r="CQ1941" t="s">
        <v>4121</v>
      </c>
      <c r="CR1941">
        <v>-57.25</v>
      </c>
      <c r="CS1941">
        <v>10.9</v>
      </c>
      <c r="CT1941">
        <v>4.9400000000000004</v>
      </c>
      <c r="CU1941">
        <v>462.32</v>
      </c>
      <c r="CV1941">
        <v>7.14</v>
      </c>
      <c r="CW1941">
        <v>0</v>
      </c>
      <c r="CX1941" t="s">
        <v>1248</v>
      </c>
      <c r="CY1941">
        <v>2.29</v>
      </c>
      <c r="CZ1941">
        <v>2.29</v>
      </c>
      <c r="DA1941">
        <v>0.74</v>
      </c>
      <c r="DB1941">
        <v>0.46</v>
      </c>
      <c r="DC1941">
        <v>0.02</v>
      </c>
      <c r="DD1941">
        <v>51.69</v>
      </c>
      <c r="DE1941" t="s">
        <v>7359</v>
      </c>
      <c r="DF1941">
        <v>11.5</v>
      </c>
      <c r="DG1941">
        <v>2.81</v>
      </c>
      <c r="DH1941">
        <v>2.72</v>
      </c>
      <c r="DI1941">
        <v>0.23</v>
      </c>
      <c r="DJ1941">
        <v>726</v>
      </c>
      <c r="DK1941">
        <v>300586</v>
      </c>
      <c r="DL1941">
        <v>20210913</v>
      </c>
      <c r="DM1941">
        <v>10.54</v>
      </c>
      <c r="DN1941">
        <v>7.5</v>
      </c>
    </row>
    <row r="1942" spans="1:118">
      <c r="A1942" t="str">
        <f>"300587"</f>
        <v>300587</v>
      </c>
      <c r="B1942" t="s">
        <v>9609</v>
      </c>
      <c r="C1942">
        <v>-4.54</v>
      </c>
      <c r="D1942">
        <v>-0.08</v>
      </c>
      <c r="E1942">
        <v>0.26</v>
      </c>
      <c r="F1942">
        <v>1674</v>
      </c>
      <c r="G1942" t="s">
        <v>9610</v>
      </c>
      <c r="H1942">
        <v>46492.71</v>
      </c>
      <c r="I1942">
        <v>190.54</v>
      </c>
      <c r="J1942" t="s">
        <v>120</v>
      </c>
      <c r="K1942" t="s">
        <v>1203</v>
      </c>
      <c r="L1942">
        <v>4.3099999999999996</v>
      </c>
      <c r="M1942">
        <v>22.07</v>
      </c>
      <c r="N1942">
        <v>1.46</v>
      </c>
      <c r="O1942">
        <v>0.61</v>
      </c>
      <c r="P1942">
        <v>23.26</v>
      </c>
      <c r="Q1942">
        <v>-4.8</v>
      </c>
      <c r="R1942">
        <v>22.01</v>
      </c>
      <c r="S1942">
        <v>23.18</v>
      </c>
      <c r="T1942">
        <v>204974</v>
      </c>
      <c r="U1942">
        <v>22.07</v>
      </c>
      <c r="V1942">
        <v>23.12</v>
      </c>
      <c r="W1942">
        <v>43.91</v>
      </c>
      <c r="X1942" t="s">
        <v>2306</v>
      </c>
      <c r="Y1942" t="s">
        <v>585</v>
      </c>
      <c r="Z1942">
        <v>5.41</v>
      </c>
      <c r="AA1942">
        <v>22.68</v>
      </c>
      <c r="AB1942">
        <v>114029</v>
      </c>
      <c r="AC1942">
        <v>90945</v>
      </c>
      <c r="AD1942">
        <v>1.25</v>
      </c>
      <c r="AE1942">
        <v>27</v>
      </c>
      <c r="AF1942">
        <v>263</v>
      </c>
      <c r="AG1942" t="s">
        <v>120</v>
      </c>
      <c r="AH1942">
        <v>0.02</v>
      </c>
      <c r="AI1942" t="s">
        <v>120</v>
      </c>
      <c r="AJ1942">
        <v>4.76</v>
      </c>
      <c r="AK1942" t="s">
        <v>7413</v>
      </c>
      <c r="AL1942">
        <v>-2.63</v>
      </c>
      <c r="AM1942">
        <v>3680</v>
      </c>
      <c r="AN1942">
        <v>56</v>
      </c>
      <c r="AO1942">
        <v>1.1999999999999999E-3</v>
      </c>
      <c r="AP1942">
        <v>-1</v>
      </c>
      <c r="AQ1942">
        <v>10.1</v>
      </c>
      <c r="AR1942">
        <v>12.15</v>
      </c>
      <c r="AS1942">
        <v>14.18</v>
      </c>
      <c r="AT1942">
        <v>65.13</v>
      </c>
      <c r="AU1942">
        <v>203.18</v>
      </c>
      <c r="AV1942">
        <v>1</v>
      </c>
      <c r="AW1942">
        <v>5.29</v>
      </c>
      <c r="AX1942">
        <v>66.900000000000006</v>
      </c>
      <c r="AY1942">
        <v>46.64</v>
      </c>
      <c r="AZ1942">
        <v>68.28</v>
      </c>
      <c r="BA1942">
        <v>1.49</v>
      </c>
      <c r="BB1942" t="s">
        <v>700</v>
      </c>
      <c r="BF1942">
        <v>-1.89</v>
      </c>
      <c r="BG1942">
        <v>-4.79</v>
      </c>
      <c r="BH1942">
        <v>-5.12</v>
      </c>
      <c r="BI1942">
        <v>0.27</v>
      </c>
      <c r="BJ1942">
        <v>20210827</v>
      </c>
      <c r="BK1942">
        <v>20170105</v>
      </c>
      <c r="BL1942">
        <v>5.79</v>
      </c>
      <c r="BM1942" t="s">
        <v>120</v>
      </c>
      <c r="BN1942" t="s">
        <v>120</v>
      </c>
      <c r="BO1942">
        <v>32.97</v>
      </c>
      <c r="BP1942">
        <v>22.06</v>
      </c>
      <c r="BQ1942">
        <v>16.87</v>
      </c>
      <c r="BR1942">
        <v>2.0699999999999998</v>
      </c>
      <c r="BS1942">
        <v>42.52</v>
      </c>
      <c r="BT1942">
        <v>20.149999999999999</v>
      </c>
      <c r="BU1942">
        <v>4.25</v>
      </c>
      <c r="BV1942">
        <v>1.39</v>
      </c>
      <c r="BW1942">
        <v>10.28</v>
      </c>
      <c r="BX1942">
        <v>1.92</v>
      </c>
      <c r="BY1942">
        <v>3.82</v>
      </c>
      <c r="BZ1942">
        <v>10.43</v>
      </c>
      <c r="CA1942" t="s">
        <v>120</v>
      </c>
      <c r="CB1942">
        <v>6.3</v>
      </c>
      <c r="CC1942">
        <v>8.3699999999999992</v>
      </c>
      <c r="CD1942">
        <v>4.33</v>
      </c>
      <c r="CE1942">
        <v>1.94</v>
      </c>
      <c r="CF1942">
        <v>-0.05</v>
      </c>
      <c r="CG1942">
        <v>1.94</v>
      </c>
      <c r="CH1942">
        <v>1.64</v>
      </c>
      <c r="CI1942">
        <v>1.46</v>
      </c>
      <c r="CJ1942">
        <v>-1.05</v>
      </c>
      <c r="CK1942">
        <v>1.43</v>
      </c>
      <c r="CL1942">
        <v>6.24</v>
      </c>
      <c r="CM1942">
        <v>0.14000000000000001</v>
      </c>
      <c r="CN1942">
        <v>-0.59</v>
      </c>
      <c r="CO1942">
        <v>10062</v>
      </c>
      <c r="CP1942">
        <v>38505</v>
      </c>
      <c r="CQ1942" t="s">
        <v>9611</v>
      </c>
      <c r="CR1942">
        <v>166.99</v>
      </c>
      <c r="CS1942">
        <v>78.92</v>
      </c>
      <c r="CT1942">
        <v>7.57</v>
      </c>
      <c r="CU1942">
        <v>891.19</v>
      </c>
      <c r="CV1942">
        <v>15.27</v>
      </c>
      <c r="CW1942">
        <v>0.33</v>
      </c>
      <c r="CX1942" t="s">
        <v>9612</v>
      </c>
      <c r="CY1942">
        <v>2.91</v>
      </c>
      <c r="CZ1942">
        <v>0</v>
      </c>
      <c r="DA1942">
        <v>1.0900000000000001</v>
      </c>
      <c r="DB1942">
        <v>1.08</v>
      </c>
      <c r="DC1942">
        <v>0.02</v>
      </c>
      <c r="DD1942">
        <v>51.18</v>
      </c>
      <c r="DE1942" t="s">
        <v>9613</v>
      </c>
      <c r="DF1942">
        <v>48.26</v>
      </c>
      <c r="DG1942">
        <v>23.15</v>
      </c>
      <c r="DH1942">
        <v>17.39</v>
      </c>
      <c r="DI1942">
        <v>0.32</v>
      </c>
      <c r="DJ1942">
        <v>957</v>
      </c>
      <c r="DK1942">
        <v>300587</v>
      </c>
      <c r="DL1942">
        <v>20210916</v>
      </c>
      <c r="DM1942">
        <v>23.12</v>
      </c>
      <c r="DN1942">
        <v>-4.54</v>
      </c>
    </row>
    <row r="1943" spans="1:118">
      <c r="A1943" t="str">
        <f>"300588"</f>
        <v>300588</v>
      </c>
      <c r="B1943" t="s">
        <v>9614</v>
      </c>
      <c r="C1943">
        <v>-3.3</v>
      </c>
      <c r="D1943">
        <v>0.16</v>
      </c>
      <c r="E1943">
        <v>0</v>
      </c>
      <c r="F1943">
        <v>2133</v>
      </c>
      <c r="G1943" t="s">
        <v>9615</v>
      </c>
      <c r="H1943">
        <v>10884.71</v>
      </c>
      <c r="I1943">
        <v>27.61</v>
      </c>
      <c r="J1943" t="s">
        <v>120</v>
      </c>
      <c r="K1943" t="s">
        <v>9616</v>
      </c>
      <c r="L1943">
        <v>7.84</v>
      </c>
      <c r="M1943">
        <v>12.9</v>
      </c>
      <c r="N1943">
        <v>0.73</v>
      </c>
      <c r="O1943">
        <v>2.02</v>
      </c>
      <c r="P1943">
        <v>13.61</v>
      </c>
      <c r="Q1943">
        <v>-3.6</v>
      </c>
      <c r="R1943">
        <v>12.86</v>
      </c>
      <c r="S1943">
        <v>13.34</v>
      </c>
      <c r="T1943">
        <v>82234</v>
      </c>
      <c r="U1943">
        <v>12.91</v>
      </c>
      <c r="V1943">
        <v>13.34</v>
      </c>
      <c r="W1943">
        <v>241.17</v>
      </c>
      <c r="X1943" t="s">
        <v>141</v>
      </c>
      <c r="Y1943" t="s">
        <v>609</v>
      </c>
      <c r="Z1943">
        <v>5.62</v>
      </c>
      <c r="AA1943">
        <v>13.24</v>
      </c>
      <c r="AB1943">
        <v>46131</v>
      </c>
      <c r="AC1943">
        <v>36103</v>
      </c>
      <c r="AD1943">
        <v>1.28</v>
      </c>
      <c r="AE1943">
        <v>860</v>
      </c>
      <c r="AF1943">
        <v>100</v>
      </c>
      <c r="AG1943" t="s">
        <v>120</v>
      </c>
      <c r="AH1943">
        <v>0.02</v>
      </c>
      <c r="AI1943" t="s">
        <v>120</v>
      </c>
      <c r="AJ1943">
        <v>1.05</v>
      </c>
      <c r="AK1943" t="s">
        <v>7034</v>
      </c>
      <c r="AL1943">
        <v>-1.38</v>
      </c>
      <c r="AM1943">
        <v>2673</v>
      </c>
      <c r="AN1943">
        <v>31</v>
      </c>
      <c r="AO1943">
        <v>2.8999999999999998E-3</v>
      </c>
      <c r="AP1943">
        <v>-2</v>
      </c>
      <c r="AQ1943">
        <v>-4.03</v>
      </c>
      <c r="AR1943">
        <v>-3.73</v>
      </c>
      <c r="AS1943">
        <v>-1.91</v>
      </c>
      <c r="AT1943">
        <v>21.7</v>
      </c>
      <c r="AU1943">
        <v>33.4</v>
      </c>
      <c r="AV1943">
        <v>5</v>
      </c>
      <c r="AW1943">
        <v>9.5399999999999991</v>
      </c>
      <c r="AX1943">
        <v>52.85</v>
      </c>
      <c r="AY1943" t="s">
        <v>120</v>
      </c>
      <c r="AZ1943" t="s">
        <v>120</v>
      </c>
      <c r="BA1943">
        <v>1.3</v>
      </c>
      <c r="BB1943" t="s">
        <v>143</v>
      </c>
      <c r="BF1943">
        <v>-0.78</v>
      </c>
      <c r="BG1943">
        <v>-3.3</v>
      </c>
      <c r="BH1943">
        <v>-5.22</v>
      </c>
      <c r="BI1943">
        <v>0.31</v>
      </c>
      <c r="BJ1943">
        <v>20210828</v>
      </c>
      <c r="BK1943">
        <v>20170105</v>
      </c>
      <c r="BL1943">
        <v>1.63</v>
      </c>
      <c r="BM1943" t="s">
        <v>120</v>
      </c>
      <c r="BN1943" t="s">
        <v>120</v>
      </c>
      <c r="BO1943">
        <v>7.95</v>
      </c>
      <c r="BP1943">
        <v>12.9</v>
      </c>
      <c r="BQ1943">
        <v>2.94</v>
      </c>
      <c r="BR1943" t="s">
        <v>120</v>
      </c>
      <c r="BS1943">
        <v>63</v>
      </c>
      <c r="BT1943">
        <v>6.57</v>
      </c>
      <c r="BU1943">
        <v>0.03</v>
      </c>
      <c r="BV1943">
        <v>0.22</v>
      </c>
      <c r="BW1943">
        <v>4.9400000000000004</v>
      </c>
      <c r="BX1943">
        <v>0.43</v>
      </c>
      <c r="BY1943">
        <v>0.92</v>
      </c>
      <c r="BZ1943">
        <v>4.26</v>
      </c>
      <c r="CA1943" t="s">
        <v>120</v>
      </c>
      <c r="CB1943">
        <v>0.71</v>
      </c>
      <c r="CC1943">
        <v>0.71</v>
      </c>
      <c r="CD1943">
        <v>0.44</v>
      </c>
      <c r="CE1943">
        <v>0.04</v>
      </c>
      <c r="CF1943">
        <v>0.2</v>
      </c>
      <c r="CG1943">
        <v>0.04</v>
      </c>
      <c r="CH1943">
        <v>0.04</v>
      </c>
      <c r="CI1943">
        <v>0.04</v>
      </c>
      <c r="CJ1943">
        <v>-0.44</v>
      </c>
      <c r="CK1943">
        <v>-0.15</v>
      </c>
      <c r="CL1943">
        <v>0.59</v>
      </c>
      <c r="CM1943">
        <v>0.08</v>
      </c>
      <c r="CN1943">
        <v>-0.44</v>
      </c>
      <c r="CO1943">
        <v>25043</v>
      </c>
      <c r="CP1943">
        <v>3443</v>
      </c>
      <c r="CQ1943" t="s">
        <v>9617</v>
      </c>
      <c r="CR1943">
        <v>111.49</v>
      </c>
      <c r="CS1943">
        <v>3.48</v>
      </c>
      <c r="CT1943">
        <v>7.26</v>
      </c>
      <c r="CU1943">
        <v>263.88</v>
      </c>
      <c r="CV1943">
        <v>29.44</v>
      </c>
      <c r="CW1943">
        <v>0</v>
      </c>
      <c r="CX1943" t="s">
        <v>2074</v>
      </c>
      <c r="CY1943">
        <v>1.78</v>
      </c>
      <c r="CZ1943">
        <v>1.78</v>
      </c>
      <c r="DA1943">
        <v>0.44</v>
      </c>
      <c r="DB1943">
        <v>0.36</v>
      </c>
      <c r="DC1943">
        <v>0.05</v>
      </c>
      <c r="DD1943">
        <v>37</v>
      </c>
      <c r="DE1943" t="s">
        <v>680</v>
      </c>
      <c r="DF1943">
        <v>38.270000000000003</v>
      </c>
      <c r="DG1943">
        <v>5.63</v>
      </c>
      <c r="DH1943">
        <v>6.1</v>
      </c>
      <c r="DI1943">
        <v>0.06</v>
      </c>
      <c r="DJ1943">
        <v>354</v>
      </c>
      <c r="DK1943">
        <v>300588</v>
      </c>
      <c r="DL1943">
        <v>20210701</v>
      </c>
      <c r="DM1943">
        <v>17.68</v>
      </c>
      <c r="DN1943">
        <v>-27.04</v>
      </c>
    </row>
    <row r="1944" spans="1:118">
      <c r="A1944" t="str">
        <f>"300589"</f>
        <v>300589</v>
      </c>
      <c r="B1944" t="s">
        <v>9618</v>
      </c>
      <c r="C1944">
        <v>-1.53</v>
      </c>
      <c r="D1944">
        <v>-0.03</v>
      </c>
      <c r="E1944">
        <v>0</v>
      </c>
      <c r="F1944">
        <v>392</v>
      </c>
      <c r="G1944" t="s">
        <v>4765</v>
      </c>
      <c r="H1944">
        <v>12542.97</v>
      </c>
      <c r="I1944">
        <v>9.66</v>
      </c>
      <c r="J1944" t="s">
        <v>120</v>
      </c>
      <c r="K1944" t="s">
        <v>9619</v>
      </c>
      <c r="L1944">
        <v>4.96</v>
      </c>
      <c r="M1944">
        <v>24.4</v>
      </c>
      <c r="N1944">
        <v>0.78</v>
      </c>
      <c r="O1944">
        <v>1.98</v>
      </c>
      <c r="P1944">
        <v>25.27</v>
      </c>
      <c r="Q1944">
        <v>-3.03</v>
      </c>
      <c r="R1944">
        <v>24.03</v>
      </c>
      <c r="S1944">
        <v>24.78</v>
      </c>
      <c r="T1944">
        <v>50747</v>
      </c>
      <c r="U1944">
        <v>24.4</v>
      </c>
      <c r="V1944">
        <v>24.78</v>
      </c>
      <c r="W1944">
        <v>406.11</v>
      </c>
      <c r="X1944" t="s">
        <v>7408</v>
      </c>
      <c r="Y1944" t="s">
        <v>547</v>
      </c>
      <c r="Z1944">
        <v>5</v>
      </c>
      <c r="AA1944">
        <v>24.72</v>
      </c>
      <c r="AB1944">
        <v>27151</v>
      </c>
      <c r="AC1944">
        <v>23596</v>
      </c>
      <c r="AD1944">
        <v>1.1499999999999999</v>
      </c>
      <c r="AE1944">
        <v>301</v>
      </c>
      <c r="AF1944">
        <v>27</v>
      </c>
      <c r="AG1944" t="s">
        <v>120</v>
      </c>
      <c r="AH1944">
        <v>0.01</v>
      </c>
      <c r="AI1944" t="s">
        <v>120</v>
      </c>
      <c r="AJ1944">
        <v>1.02</v>
      </c>
      <c r="AK1944" t="s">
        <v>8765</v>
      </c>
      <c r="AL1944">
        <v>0.38</v>
      </c>
      <c r="AM1944">
        <v>2505</v>
      </c>
      <c r="AN1944">
        <v>20</v>
      </c>
      <c r="AO1944">
        <v>2E-3</v>
      </c>
      <c r="AP1944">
        <v>-2</v>
      </c>
      <c r="AQ1944">
        <v>-1</v>
      </c>
      <c r="AR1944">
        <v>-1.82</v>
      </c>
      <c r="AS1944">
        <v>-7.96</v>
      </c>
      <c r="AT1944">
        <v>-21.17</v>
      </c>
      <c r="AU1944">
        <v>-25.77</v>
      </c>
      <c r="AV1944">
        <v>5</v>
      </c>
      <c r="AW1944">
        <v>6.97</v>
      </c>
      <c r="AX1944">
        <v>35.89</v>
      </c>
      <c r="AY1944">
        <v>152.66</v>
      </c>
      <c r="AZ1944">
        <v>144.16</v>
      </c>
      <c r="BA1944">
        <v>0.36</v>
      </c>
      <c r="BB1944" t="s">
        <v>143</v>
      </c>
      <c r="BF1944">
        <v>-0.25</v>
      </c>
      <c r="BG1944">
        <v>-1.53</v>
      </c>
      <c r="BH1944">
        <v>-3.44</v>
      </c>
      <c r="BI1944">
        <v>1.54</v>
      </c>
      <c r="BJ1944">
        <v>20210806</v>
      </c>
      <c r="BK1944">
        <v>20170113</v>
      </c>
      <c r="BL1944">
        <v>2.0299999999999998</v>
      </c>
      <c r="BM1944" t="s">
        <v>120</v>
      </c>
      <c r="BN1944" t="s">
        <v>120</v>
      </c>
      <c r="BO1944">
        <v>10.15</v>
      </c>
      <c r="BP1944">
        <v>24.39</v>
      </c>
      <c r="BQ1944">
        <v>3.77</v>
      </c>
      <c r="BR1944" t="s">
        <v>120</v>
      </c>
      <c r="BS1944">
        <v>62.84</v>
      </c>
      <c r="BT1944">
        <v>6.21</v>
      </c>
      <c r="BU1944">
        <v>2.65</v>
      </c>
      <c r="BV1944">
        <v>0.54</v>
      </c>
      <c r="BW1944">
        <v>6.16</v>
      </c>
      <c r="BX1944">
        <v>1.43</v>
      </c>
      <c r="BY1944">
        <v>1.39</v>
      </c>
      <c r="BZ1944">
        <v>1.75</v>
      </c>
      <c r="CA1944" t="s">
        <v>120</v>
      </c>
      <c r="CB1944">
        <v>0.1</v>
      </c>
      <c r="CC1944">
        <v>2.4</v>
      </c>
      <c r="CD1944">
        <v>1.91</v>
      </c>
      <c r="CE1944">
        <v>7.0000000000000007E-2</v>
      </c>
      <c r="CF1944">
        <v>0.03</v>
      </c>
      <c r="CG1944">
        <v>7.0000000000000007E-2</v>
      </c>
      <c r="CH1944">
        <v>0.06</v>
      </c>
      <c r="CI1944">
        <v>0.06</v>
      </c>
      <c r="CJ1944">
        <v>-0.38</v>
      </c>
      <c r="CK1944">
        <v>0.04</v>
      </c>
      <c r="CL1944">
        <v>1.45</v>
      </c>
      <c r="CM1944">
        <v>-0.42</v>
      </c>
      <c r="CN1944">
        <v>-0.71</v>
      </c>
      <c r="CO1944">
        <v>32101</v>
      </c>
      <c r="CP1944">
        <v>2268</v>
      </c>
      <c r="CQ1944" t="s">
        <v>2310</v>
      </c>
      <c r="CR1944">
        <v>-24.15</v>
      </c>
      <c r="CS1944">
        <v>18.940000000000001</v>
      </c>
      <c r="CT1944">
        <v>13.12</v>
      </c>
      <c r="CU1944">
        <v>-118.9</v>
      </c>
      <c r="CV1944">
        <v>20.6</v>
      </c>
      <c r="CW1944">
        <v>0</v>
      </c>
      <c r="CX1944" t="s">
        <v>2074</v>
      </c>
      <c r="CY1944">
        <v>1.86</v>
      </c>
      <c r="CZ1944">
        <v>0</v>
      </c>
      <c r="DA1944">
        <v>0.05</v>
      </c>
      <c r="DB1944">
        <v>0.71</v>
      </c>
      <c r="DC1944">
        <v>-0.21</v>
      </c>
      <c r="DD1944">
        <v>37.159999999999997</v>
      </c>
      <c r="DE1944" t="s">
        <v>4348</v>
      </c>
      <c r="DF1944">
        <v>20.420000000000002</v>
      </c>
      <c r="DG1944">
        <v>3.02</v>
      </c>
      <c r="DH1944">
        <v>2.54</v>
      </c>
      <c r="DI1944">
        <v>0.19</v>
      </c>
      <c r="DJ1944">
        <v>598</v>
      </c>
      <c r="DK1944">
        <v>300589</v>
      </c>
      <c r="DL1944" t="s">
        <v>120</v>
      </c>
      <c r="DM1944" t="s">
        <v>120</v>
      </c>
      <c r="DN1944" t="s">
        <v>120</v>
      </c>
    </row>
    <row r="1945" spans="1:118">
      <c r="A1945" t="str">
        <f>"300590"</f>
        <v>300590</v>
      </c>
      <c r="B1945" t="s">
        <v>9620</v>
      </c>
      <c r="C1945">
        <v>1.29</v>
      </c>
      <c r="D1945">
        <v>-0.38</v>
      </c>
      <c r="E1945">
        <v>-1.92</v>
      </c>
      <c r="F1945">
        <v>1521</v>
      </c>
      <c r="G1945" t="s">
        <v>8505</v>
      </c>
      <c r="H1945">
        <v>16044.95</v>
      </c>
      <c r="I1945">
        <v>88.75</v>
      </c>
      <c r="J1945" t="s">
        <v>120</v>
      </c>
      <c r="K1945" t="s">
        <v>8122</v>
      </c>
      <c r="L1945">
        <v>3.01</v>
      </c>
      <c r="M1945">
        <v>25.82</v>
      </c>
      <c r="N1945">
        <v>0.73</v>
      </c>
      <c r="O1945">
        <v>1.8</v>
      </c>
      <c r="P1945">
        <v>25.95</v>
      </c>
      <c r="Q1945">
        <v>-2.2799999999999998</v>
      </c>
      <c r="R1945">
        <v>24.91</v>
      </c>
      <c r="S1945">
        <v>25</v>
      </c>
      <c r="T1945">
        <v>63282</v>
      </c>
      <c r="U1945">
        <v>25.82</v>
      </c>
      <c r="V1945">
        <v>25.49</v>
      </c>
      <c r="W1945">
        <v>54.26</v>
      </c>
      <c r="X1945" t="s">
        <v>462</v>
      </c>
      <c r="Y1945" t="s">
        <v>1510</v>
      </c>
      <c r="Z1945">
        <v>4.08</v>
      </c>
      <c r="AA1945">
        <v>25.35</v>
      </c>
      <c r="AB1945">
        <v>32161</v>
      </c>
      <c r="AC1945">
        <v>31121</v>
      </c>
      <c r="AD1945">
        <v>1.03</v>
      </c>
      <c r="AE1945">
        <v>16</v>
      </c>
      <c r="AF1945">
        <v>111</v>
      </c>
      <c r="AG1945" t="s">
        <v>120</v>
      </c>
      <c r="AH1945">
        <v>0.03</v>
      </c>
      <c r="AI1945" t="s">
        <v>120</v>
      </c>
      <c r="AJ1945">
        <v>2.1</v>
      </c>
      <c r="AK1945" t="s">
        <v>9621</v>
      </c>
      <c r="AL1945">
        <v>3.21</v>
      </c>
      <c r="AM1945">
        <v>2593</v>
      </c>
      <c r="AN1945">
        <v>24</v>
      </c>
      <c r="AO1945">
        <v>1.1999999999999999E-3</v>
      </c>
      <c r="AP1945">
        <v>3</v>
      </c>
      <c r="AQ1945">
        <v>0.59</v>
      </c>
      <c r="AR1945">
        <v>2.2599999999999998</v>
      </c>
      <c r="AS1945">
        <v>-14.3</v>
      </c>
      <c r="AT1945">
        <v>32.14</v>
      </c>
      <c r="AU1945">
        <v>1.42</v>
      </c>
      <c r="AV1945">
        <v>3</v>
      </c>
      <c r="AW1945">
        <v>5.57</v>
      </c>
      <c r="AX1945">
        <v>37.32</v>
      </c>
      <c r="AY1945">
        <v>64.23</v>
      </c>
      <c r="AZ1945">
        <v>85.8</v>
      </c>
      <c r="BA1945">
        <v>0.76</v>
      </c>
      <c r="BB1945" t="s">
        <v>143</v>
      </c>
      <c r="BF1945">
        <v>-0.53</v>
      </c>
      <c r="BG1945">
        <v>3.28</v>
      </c>
      <c r="BH1945">
        <v>-0.5</v>
      </c>
      <c r="BI1945">
        <v>3.65</v>
      </c>
      <c r="BJ1945">
        <v>20210913</v>
      </c>
      <c r="BK1945">
        <v>20170111</v>
      </c>
      <c r="BL1945">
        <v>3.05</v>
      </c>
      <c r="BM1945" t="s">
        <v>120</v>
      </c>
      <c r="BN1945" t="s">
        <v>120</v>
      </c>
      <c r="BO1945">
        <v>14.35</v>
      </c>
      <c r="BP1945">
        <v>25.8</v>
      </c>
      <c r="BQ1945">
        <v>11.24</v>
      </c>
      <c r="BR1945" t="s">
        <v>120</v>
      </c>
      <c r="BS1945">
        <v>21.66</v>
      </c>
      <c r="BT1945">
        <v>10.41</v>
      </c>
      <c r="BU1945">
        <v>2.59</v>
      </c>
      <c r="BV1945">
        <v>0.01</v>
      </c>
      <c r="BW1945">
        <v>3.08</v>
      </c>
      <c r="BX1945">
        <v>2.94</v>
      </c>
      <c r="BY1945">
        <v>3.42</v>
      </c>
      <c r="BZ1945">
        <v>1.37</v>
      </c>
      <c r="CA1945">
        <v>0</v>
      </c>
      <c r="CB1945">
        <v>3.29</v>
      </c>
      <c r="CC1945">
        <v>3.98</v>
      </c>
      <c r="CD1945">
        <v>2.54</v>
      </c>
      <c r="CE1945">
        <v>0.8</v>
      </c>
      <c r="CF1945">
        <v>0.04</v>
      </c>
      <c r="CG1945">
        <v>0.8</v>
      </c>
      <c r="CH1945">
        <v>0.72</v>
      </c>
      <c r="CI1945">
        <v>0.72</v>
      </c>
      <c r="CJ1945">
        <v>0.33</v>
      </c>
      <c r="CK1945">
        <v>0.66</v>
      </c>
      <c r="CL1945">
        <v>4.49</v>
      </c>
      <c r="CM1945">
        <v>0.02</v>
      </c>
      <c r="CN1945">
        <v>1.28</v>
      </c>
      <c r="CO1945">
        <v>29642</v>
      </c>
      <c r="CP1945">
        <v>3834</v>
      </c>
      <c r="CQ1945" t="s">
        <v>3431</v>
      </c>
      <c r="CR1945">
        <v>72.22</v>
      </c>
      <c r="CS1945">
        <v>117.09</v>
      </c>
      <c r="CT1945">
        <v>6.66</v>
      </c>
      <c r="CU1945">
        <v>3646.98</v>
      </c>
      <c r="CV1945">
        <v>19.739999999999998</v>
      </c>
      <c r="CW1945">
        <v>0.31</v>
      </c>
      <c r="CX1945" t="s">
        <v>863</v>
      </c>
      <c r="CY1945">
        <v>3.88</v>
      </c>
      <c r="CZ1945">
        <v>3.88</v>
      </c>
      <c r="DA1945">
        <v>1.08</v>
      </c>
      <c r="DB1945">
        <v>1.48</v>
      </c>
      <c r="DC1945">
        <v>0.01</v>
      </c>
      <c r="DD1945">
        <v>78.34</v>
      </c>
      <c r="DE1945" t="s">
        <v>9622</v>
      </c>
      <c r="DF1945">
        <v>36.229999999999997</v>
      </c>
      <c r="DG1945">
        <v>20.04</v>
      </c>
      <c r="DH1945">
        <v>18.190000000000001</v>
      </c>
      <c r="DI1945">
        <v>0.4</v>
      </c>
      <c r="DJ1945">
        <v>387</v>
      </c>
      <c r="DK1945">
        <v>300590</v>
      </c>
      <c r="DL1945" t="s">
        <v>120</v>
      </c>
      <c r="DM1945" t="s">
        <v>120</v>
      </c>
      <c r="DN1945" t="s">
        <v>120</v>
      </c>
    </row>
    <row r="1946" spans="1:118">
      <c r="A1946" t="str">
        <f>"300591"</f>
        <v>300591</v>
      </c>
      <c r="B1946" t="s">
        <v>9623</v>
      </c>
      <c r="C1946">
        <v>6.76</v>
      </c>
      <c r="D1946">
        <v>-0.14000000000000001</v>
      </c>
      <c r="E1946">
        <v>2.99</v>
      </c>
      <c r="F1946">
        <v>3130</v>
      </c>
      <c r="G1946" t="s">
        <v>9624</v>
      </c>
      <c r="H1946">
        <v>23738.75</v>
      </c>
      <c r="I1946">
        <v>180.91</v>
      </c>
      <c r="J1946" t="s">
        <v>120</v>
      </c>
      <c r="K1946" t="s">
        <v>9624</v>
      </c>
      <c r="L1946">
        <v>15.16</v>
      </c>
      <c r="M1946">
        <v>6.79</v>
      </c>
      <c r="N1946">
        <v>4.42</v>
      </c>
      <c r="O1946">
        <v>16.04</v>
      </c>
      <c r="P1946">
        <v>7.38</v>
      </c>
      <c r="Q1946">
        <v>2.83</v>
      </c>
      <c r="R1946">
        <v>6.54</v>
      </c>
      <c r="S1946">
        <v>6.55</v>
      </c>
      <c r="T1946">
        <v>340897</v>
      </c>
      <c r="U1946">
        <v>6.79</v>
      </c>
      <c r="V1946">
        <v>6.36</v>
      </c>
      <c r="W1946" t="s">
        <v>120</v>
      </c>
      <c r="X1946" t="s">
        <v>2806</v>
      </c>
      <c r="Y1946" t="s">
        <v>547</v>
      </c>
      <c r="Z1946">
        <v>13.21</v>
      </c>
      <c r="AA1946">
        <v>6.96</v>
      </c>
      <c r="AB1946">
        <v>166090</v>
      </c>
      <c r="AC1946">
        <v>174807</v>
      </c>
      <c r="AD1946">
        <v>0.95</v>
      </c>
      <c r="AE1946">
        <v>392</v>
      </c>
      <c r="AF1946">
        <v>100</v>
      </c>
      <c r="AG1946" t="s">
        <v>120</v>
      </c>
      <c r="AH1946">
        <v>0.12</v>
      </c>
      <c r="AI1946" t="s">
        <v>120</v>
      </c>
      <c r="AJ1946">
        <v>2.25</v>
      </c>
      <c r="AK1946" t="s">
        <v>9625</v>
      </c>
      <c r="AL1946">
        <v>8.67</v>
      </c>
      <c r="AM1946">
        <v>2840</v>
      </c>
      <c r="AN1946">
        <v>120</v>
      </c>
      <c r="AO1946">
        <v>5.3E-3</v>
      </c>
      <c r="AP1946">
        <v>2</v>
      </c>
      <c r="AQ1946">
        <v>0.47</v>
      </c>
      <c r="AR1946">
        <v>4.1399999999999997</v>
      </c>
      <c r="AS1946">
        <v>4.79</v>
      </c>
      <c r="AT1946">
        <v>0.59</v>
      </c>
      <c r="AU1946">
        <v>-3.41</v>
      </c>
      <c r="AV1946">
        <v>3</v>
      </c>
      <c r="AW1946">
        <v>15.16</v>
      </c>
      <c r="AX1946">
        <v>68.22</v>
      </c>
      <c r="AY1946" t="s">
        <v>120</v>
      </c>
      <c r="AZ1946" t="s">
        <v>120</v>
      </c>
      <c r="BA1946">
        <v>0.37</v>
      </c>
      <c r="BB1946" t="s">
        <v>143</v>
      </c>
      <c r="BF1946">
        <v>9.49</v>
      </c>
      <c r="BG1946">
        <v>3.66</v>
      </c>
      <c r="BH1946">
        <v>-7.99</v>
      </c>
      <c r="BI1946">
        <v>3.82</v>
      </c>
      <c r="BJ1946">
        <v>20210901</v>
      </c>
      <c r="BK1946">
        <v>20170110</v>
      </c>
      <c r="BL1946">
        <v>3.3</v>
      </c>
      <c r="BM1946" t="s">
        <v>120</v>
      </c>
      <c r="BN1946" t="s">
        <v>120</v>
      </c>
      <c r="BO1946">
        <v>9.44</v>
      </c>
      <c r="BP1946">
        <v>6.78</v>
      </c>
      <c r="BQ1946">
        <v>4.8099999999999996</v>
      </c>
      <c r="BR1946">
        <v>0.27</v>
      </c>
      <c r="BS1946">
        <v>46.23</v>
      </c>
      <c r="BT1946">
        <v>6.79</v>
      </c>
      <c r="BU1946">
        <v>1.64</v>
      </c>
      <c r="BV1946">
        <v>0.12</v>
      </c>
      <c r="BW1946">
        <v>4.33</v>
      </c>
      <c r="BX1946">
        <v>0.37</v>
      </c>
      <c r="BY1946">
        <v>1.63</v>
      </c>
      <c r="BZ1946">
        <v>3.61</v>
      </c>
      <c r="CA1946" t="s">
        <v>120</v>
      </c>
      <c r="CB1946">
        <v>2.04</v>
      </c>
      <c r="CC1946">
        <v>1.67</v>
      </c>
      <c r="CD1946">
        <v>1.32</v>
      </c>
      <c r="CE1946">
        <v>-0.12</v>
      </c>
      <c r="CF1946">
        <v>0</v>
      </c>
      <c r="CG1946">
        <v>-0.12</v>
      </c>
      <c r="CH1946">
        <v>-0.09</v>
      </c>
      <c r="CI1946">
        <v>-0.09</v>
      </c>
      <c r="CJ1946">
        <v>0.43</v>
      </c>
      <c r="CK1946">
        <v>-0.1</v>
      </c>
      <c r="CL1946">
        <v>-0.72</v>
      </c>
      <c r="CM1946">
        <v>0.15</v>
      </c>
      <c r="CN1946">
        <v>-0.53</v>
      </c>
      <c r="CO1946">
        <v>22648</v>
      </c>
      <c r="CP1946">
        <v>9932</v>
      </c>
      <c r="CQ1946" t="s">
        <v>6553</v>
      </c>
      <c r="CR1946">
        <v>83.88</v>
      </c>
      <c r="CS1946">
        <v>5.54</v>
      </c>
      <c r="CT1946">
        <v>4.66</v>
      </c>
      <c r="CU1946">
        <v>147.93</v>
      </c>
      <c r="CV1946">
        <v>13.4</v>
      </c>
      <c r="CW1946">
        <v>0</v>
      </c>
      <c r="CX1946" t="s">
        <v>906</v>
      </c>
      <c r="CY1946">
        <v>1.46</v>
      </c>
      <c r="CZ1946">
        <v>0</v>
      </c>
      <c r="DA1946">
        <v>0.62</v>
      </c>
      <c r="DB1946">
        <v>-0.22</v>
      </c>
      <c r="DC1946">
        <v>0.05</v>
      </c>
      <c r="DD1946">
        <v>50.93</v>
      </c>
      <c r="DE1946" t="s">
        <v>7578</v>
      </c>
      <c r="DF1946">
        <v>21.1</v>
      </c>
      <c r="DG1946">
        <v>-7.05</v>
      </c>
      <c r="DH1946">
        <v>-5.32</v>
      </c>
      <c r="DI1946">
        <v>0.11</v>
      </c>
      <c r="DJ1946">
        <v>887</v>
      </c>
      <c r="DK1946">
        <v>300591</v>
      </c>
      <c r="DL1946" t="s">
        <v>120</v>
      </c>
      <c r="DM1946" t="s">
        <v>120</v>
      </c>
      <c r="DN1946" t="s">
        <v>120</v>
      </c>
    </row>
    <row r="1947" spans="1:118">
      <c r="A1947" t="str">
        <f>"300592"</f>
        <v>300592</v>
      </c>
      <c r="B1947" t="s">
        <v>9626</v>
      </c>
      <c r="C1947">
        <v>-1.32</v>
      </c>
      <c r="D1947">
        <v>0</v>
      </c>
      <c r="E1947">
        <v>-0.46</v>
      </c>
      <c r="F1947">
        <v>193</v>
      </c>
      <c r="G1947" t="s">
        <v>9627</v>
      </c>
      <c r="H1947">
        <v>2510.3200000000002</v>
      </c>
      <c r="I1947">
        <v>0</v>
      </c>
      <c r="J1947" t="s">
        <v>120</v>
      </c>
      <c r="K1947" t="s">
        <v>9627</v>
      </c>
      <c r="L1947">
        <v>1.21</v>
      </c>
      <c r="M1947">
        <v>21.61</v>
      </c>
      <c r="N1947">
        <v>0.54</v>
      </c>
      <c r="O1947">
        <v>1.78</v>
      </c>
      <c r="P1947">
        <v>22.29</v>
      </c>
      <c r="Q1947">
        <v>-1.37</v>
      </c>
      <c r="R1947">
        <v>21.6</v>
      </c>
      <c r="S1947">
        <v>21.8</v>
      </c>
      <c r="T1947">
        <v>11497</v>
      </c>
      <c r="U1947">
        <v>21.62</v>
      </c>
      <c r="V1947">
        <v>21.9</v>
      </c>
      <c r="W1947" t="s">
        <v>120</v>
      </c>
      <c r="X1947" t="s">
        <v>141</v>
      </c>
      <c r="Y1947" t="s">
        <v>594</v>
      </c>
      <c r="Z1947">
        <v>3.15</v>
      </c>
      <c r="AA1947">
        <v>21.83</v>
      </c>
      <c r="AB1947">
        <v>6365</v>
      </c>
      <c r="AC1947">
        <v>5132</v>
      </c>
      <c r="AD1947">
        <v>1.24</v>
      </c>
      <c r="AE1947">
        <v>102</v>
      </c>
      <c r="AF1947">
        <v>5</v>
      </c>
      <c r="AG1947" t="s">
        <v>120</v>
      </c>
      <c r="AH1947">
        <v>0</v>
      </c>
      <c r="AI1947" t="s">
        <v>120</v>
      </c>
      <c r="AJ1947">
        <v>0.95</v>
      </c>
      <c r="AK1947" t="s">
        <v>6758</v>
      </c>
      <c r="AL1947">
        <v>0.59</v>
      </c>
      <c r="AM1947">
        <v>944</v>
      </c>
      <c r="AN1947">
        <v>12</v>
      </c>
      <c r="AO1947">
        <v>1.2999999999999999E-3</v>
      </c>
      <c r="AP1947">
        <v>-1</v>
      </c>
      <c r="AQ1947">
        <v>0</v>
      </c>
      <c r="AR1947">
        <v>-5.75</v>
      </c>
      <c r="AS1947">
        <v>-9.16</v>
      </c>
      <c r="AT1947">
        <v>-16.27</v>
      </c>
      <c r="AU1947">
        <v>17.32</v>
      </c>
      <c r="AV1947">
        <v>0</v>
      </c>
      <c r="AW1947">
        <v>1.21</v>
      </c>
      <c r="AX1947">
        <v>32.99</v>
      </c>
      <c r="AY1947" t="s">
        <v>120</v>
      </c>
      <c r="AZ1947" t="s">
        <v>120</v>
      </c>
      <c r="BA1947">
        <v>0</v>
      </c>
      <c r="BB1947" t="s">
        <v>240</v>
      </c>
      <c r="BF1947">
        <v>-0.3</v>
      </c>
      <c r="BG1947">
        <v>-0.87</v>
      </c>
      <c r="BH1947">
        <v>-3.05</v>
      </c>
      <c r="BI1947">
        <v>0.05</v>
      </c>
      <c r="BJ1947">
        <v>20210902</v>
      </c>
      <c r="BK1947">
        <v>20170120</v>
      </c>
      <c r="BL1947">
        <v>2.89</v>
      </c>
      <c r="BM1947" t="s">
        <v>120</v>
      </c>
      <c r="BN1947" t="s">
        <v>120</v>
      </c>
      <c r="BO1947">
        <v>8.8000000000000007</v>
      </c>
      <c r="BP1947">
        <v>21.61</v>
      </c>
      <c r="BQ1947">
        <v>4.17</v>
      </c>
      <c r="BR1947" t="s">
        <v>120</v>
      </c>
      <c r="BS1947">
        <v>52.64</v>
      </c>
      <c r="BT1947">
        <v>5.43</v>
      </c>
      <c r="BU1947">
        <v>2.5099999999999998</v>
      </c>
      <c r="BV1947">
        <v>0.24</v>
      </c>
      <c r="BW1947">
        <v>4.03</v>
      </c>
      <c r="BX1947">
        <v>0.82</v>
      </c>
      <c r="BY1947">
        <v>0.18</v>
      </c>
      <c r="BZ1947">
        <v>2.13</v>
      </c>
      <c r="CA1947">
        <v>0</v>
      </c>
      <c r="CB1947">
        <v>1.7</v>
      </c>
      <c r="CC1947">
        <v>0.77</v>
      </c>
      <c r="CD1947">
        <v>0.57999999999999996</v>
      </c>
      <c r="CE1947">
        <v>-0.22</v>
      </c>
      <c r="CF1947">
        <v>-0.01</v>
      </c>
      <c r="CG1947">
        <v>-0.22</v>
      </c>
      <c r="CH1947">
        <v>-0.22</v>
      </c>
      <c r="CI1947">
        <v>-0.22</v>
      </c>
      <c r="CJ1947">
        <v>-0.28999999999999998</v>
      </c>
      <c r="CK1947">
        <v>-0.22</v>
      </c>
      <c r="CL1947">
        <v>1.19</v>
      </c>
      <c r="CM1947">
        <v>0.03</v>
      </c>
      <c r="CN1947">
        <v>-0.59</v>
      </c>
      <c r="CO1947">
        <v>5964</v>
      </c>
      <c r="CP1947">
        <v>15997</v>
      </c>
      <c r="CQ1947" t="s">
        <v>9628</v>
      </c>
      <c r="CR1947">
        <v>-72.83</v>
      </c>
      <c r="CS1947">
        <v>47.8</v>
      </c>
      <c r="CT1947">
        <v>6.35</v>
      </c>
      <c r="CU1947">
        <v>1917.9</v>
      </c>
      <c r="CV1947">
        <v>81.12</v>
      </c>
      <c r="CW1947">
        <v>0</v>
      </c>
      <c r="CX1947" t="s">
        <v>2691</v>
      </c>
      <c r="CY1947">
        <v>3.4</v>
      </c>
      <c r="CZ1947">
        <v>3.4</v>
      </c>
      <c r="DA1947">
        <v>0.59</v>
      </c>
      <c r="DB1947">
        <v>0.41</v>
      </c>
      <c r="DC1947">
        <v>0.01</v>
      </c>
      <c r="DD1947">
        <v>47.36</v>
      </c>
      <c r="DE1947" t="s">
        <v>9629</v>
      </c>
      <c r="DF1947">
        <v>24.89</v>
      </c>
      <c r="DG1947">
        <v>-28.86</v>
      </c>
      <c r="DH1947">
        <v>-28.73</v>
      </c>
      <c r="DI1947">
        <v>0.01</v>
      </c>
      <c r="DJ1947">
        <v>149</v>
      </c>
      <c r="DK1947">
        <v>300592</v>
      </c>
      <c r="DL1947" t="s">
        <v>120</v>
      </c>
      <c r="DM1947" t="s">
        <v>120</v>
      </c>
      <c r="DN1947" t="s">
        <v>120</v>
      </c>
    </row>
    <row r="1948" spans="1:118">
      <c r="A1948" t="str">
        <f>"300593"</f>
        <v>300593</v>
      </c>
      <c r="B1948" t="s">
        <v>9630</v>
      </c>
      <c r="C1948">
        <v>-0.7</v>
      </c>
      <c r="D1948">
        <v>-0.12</v>
      </c>
      <c r="E1948">
        <v>0.34</v>
      </c>
      <c r="F1948">
        <v>209</v>
      </c>
      <c r="G1948" t="s">
        <v>9631</v>
      </c>
      <c r="H1948">
        <v>22625.34</v>
      </c>
      <c r="I1948">
        <v>29.82</v>
      </c>
      <c r="J1948" t="s">
        <v>120</v>
      </c>
      <c r="K1948" t="s">
        <v>9632</v>
      </c>
      <c r="L1948">
        <v>2</v>
      </c>
      <c r="M1948">
        <v>52.7</v>
      </c>
      <c r="N1948">
        <v>0.72</v>
      </c>
      <c r="O1948">
        <v>3.39</v>
      </c>
      <c r="P1948">
        <v>54.87</v>
      </c>
      <c r="Q1948">
        <v>-1.07</v>
      </c>
      <c r="R1948">
        <v>52.5</v>
      </c>
      <c r="S1948">
        <v>53.25</v>
      </c>
      <c r="T1948">
        <v>42294</v>
      </c>
      <c r="U1948">
        <v>52.71</v>
      </c>
      <c r="V1948">
        <v>53.07</v>
      </c>
      <c r="W1948">
        <v>58.37</v>
      </c>
      <c r="X1948" t="s">
        <v>394</v>
      </c>
      <c r="Y1948" t="s">
        <v>158</v>
      </c>
      <c r="Z1948">
        <v>4.47</v>
      </c>
      <c r="AA1948">
        <v>53.5</v>
      </c>
      <c r="AB1948">
        <v>22945</v>
      </c>
      <c r="AC1948">
        <v>19349</v>
      </c>
      <c r="AD1948">
        <v>1.19</v>
      </c>
      <c r="AE1948">
        <v>202</v>
      </c>
      <c r="AF1948">
        <v>11</v>
      </c>
      <c r="AG1948" t="s">
        <v>120</v>
      </c>
      <c r="AH1948">
        <v>0</v>
      </c>
      <c r="AI1948" t="s">
        <v>120</v>
      </c>
      <c r="AJ1948">
        <v>2.12</v>
      </c>
      <c r="AK1948" t="s">
        <v>9633</v>
      </c>
      <c r="AL1948">
        <v>1.22</v>
      </c>
      <c r="AM1948">
        <v>3337</v>
      </c>
      <c r="AN1948">
        <v>13</v>
      </c>
      <c r="AO1948">
        <v>5.9999999999999995E-4</v>
      </c>
      <c r="AP1948">
        <v>-2</v>
      </c>
      <c r="AQ1948">
        <v>-0.8</v>
      </c>
      <c r="AR1948">
        <v>-1.1200000000000001</v>
      </c>
      <c r="AS1948">
        <v>-8.02</v>
      </c>
      <c r="AT1948">
        <v>24.35</v>
      </c>
      <c r="AU1948">
        <v>181.02</v>
      </c>
      <c r="AV1948">
        <v>2</v>
      </c>
      <c r="AW1948">
        <v>2.14</v>
      </c>
      <c r="AX1948">
        <v>74.569999999999993</v>
      </c>
      <c r="AY1948">
        <v>65.56</v>
      </c>
      <c r="AZ1948">
        <v>114.03</v>
      </c>
      <c r="BA1948">
        <v>1.61</v>
      </c>
      <c r="BB1948" t="s">
        <v>143</v>
      </c>
      <c r="BF1948">
        <v>0.8</v>
      </c>
      <c r="BG1948">
        <v>-1.03</v>
      </c>
      <c r="BH1948">
        <v>-3.95</v>
      </c>
      <c r="BI1948">
        <v>0.38</v>
      </c>
      <c r="BJ1948">
        <v>20210810</v>
      </c>
      <c r="BK1948">
        <v>20170113</v>
      </c>
      <c r="BL1948">
        <v>2.65</v>
      </c>
      <c r="BM1948" t="s">
        <v>120</v>
      </c>
      <c r="BN1948" t="s">
        <v>120</v>
      </c>
      <c r="BO1948">
        <v>20.22</v>
      </c>
      <c r="BP1948">
        <v>52.7</v>
      </c>
      <c r="BQ1948">
        <v>9.32</v>
      </c>
      <c r="BR1948">
        <v>1.95</v>
      </c>
      <c r="BS1948">
        <v>44.25</v>
      </c>
      <c r="BT1948">
        <v>13.68</v>
      </c>
      <c r="BU1948">
        <v>2.84</v>
      </c>
      <c r="BV1948">
        <v>0.39</v>
      </c>
      <c r="BW1948">
        <v>7.72</v>
      </c>
      <c r="BX1948">
        <v>1.08</v>
      </c>
      <c r="BY1948">
        <v>5.43</v>
      </c>
      <c r="BZ1948">
        <v>4.6500000000000004</v>
      </c>
      <c r="CA1948" t="s">
        <v>120</v>
      </c>
      <c r="CB1948">
        <v>1.51</v>
      </c>
      <c r="CC1948">
        <v>6.22</v>
      </c>
      <c r="CD1948">
        <v>3.07</v>
      </c>
      <c r="CE1948">
        <v>1.4</v>
      </c>
      <c r="CF1948">
        <v>0.01</v>
      </c>
      <c r="CG1948">
        <v>1.4</v>
      </c>
      <c r="CH1948">
        <v>1.24</v>
      </c>
      <c r="CI1948">
        <v>1.2</v>
      </c>
      <c r="CJ1948">
        <v>-0.37</v>
      </c>
      <c r="CK1948">
        <v>1.18</v>
      </c>
      <c r="CL1948">
        <v>4.92</v>
      </c>
      <c r="CM1948">
        <v>-0.71</v>
      </c>
      <c r="CN1948">
        <v>-0.16</v>
      </c>
      <c r="CO1948">
        <v>17635</v>
      </c>
      <c r="CP1948">
        <v>11200</v>
      </c>
      <c r="CQ1948" t="s">
        <v>9634</v>
      </c>
      <c r="CR1948">
        <v>320.42</v>
      </c>
      <c r="CS1948">
        <v>102.52</v>
      </c>
      <c r="CT1948">
        <v>14.98</v>
      </c>
      <c r="CU1948">
        <v>-196.61</v>
      </c>
      <c r="CV1948">
        <v>22.44</v>
      </c>
      <c r="CW1948">
        <v>0.08</v>
      </c>
      <c r="CX1948" t="s">
        <v>1520</v>
      </c>
      <c r="CY1948">
        <v>3.52</v>
      </c>
      <c r="CZ1948">
        <v>0</v>
      </c>
      <c r="DA1948">
        <v>0.56999999999999995</v>
      </c>
      <c r="DB1948">
        <v>1.86</v>
      </c>
      <c r="DC1948">
        <v>-0.27</v>
      </c>
      <c r="DD1948">
        <v>46.09</v>
      </c>
      <c r="DE1948" t="s">
        <v>7508</v>
      </c>
      <c r="DF1948">
        <v>50.58</v>
      </c>
      <c r="DG1948">
        <v>22.47</v>
      </c>
      <c r="DH1948">
        <v>19.22</v>
      </c>
      <c r="DI1948">
        <v>0.9</v>
      </c>
      <c r="DJ1948">
        <v>1780</v>
      </c>
      <c r="DK1948">
        <v>300593</v>
      </c>
      <c r="DL1948">
        <v>20210525</v>
      </c>
      <c r="DM1948">
        <v>48.48</v>
      </c>
      <c r="DN1948">
        <v>74.06</v>
      </c>
    </row>
    <row r="1949" spans="1:118">
      <c r="A1949" t="str">
        <f>"300594"</f>
        <v>300594</v>
      </c>
      <c r="B1949" t="s">
        <v>9635</v>
      </c>
      <c r="C1949">
        <v>0.47</v>
      </c>
      <c r="D1949">
        <v>-0.15</v>
      </c>
      <c r="E1949">
        <v>0.05</v>
      </c>
      <c r="F1949">
        <v>58</v>
      </c>
      <c r="G1949" t="s">
        <v>3222</v>
      </c>
      <c r="H1949">
        <v>1633.18</v>
      </c>
      <c r="I1949">
        <v>0.96</v>
      </c>
      <c r="J1949" t="s">
        <v>120</v>
      </c>
      <c r="K1949" t="s">
        <v>9636</v>
      </c>
      <c r="L1949">
        <v>1.25</v>
      </c>
      <c r="M1949">
        <v>19.23</v>
      </c>
      <c r="N1949">
        <v>0.95</v>
      </c>
      <c r="O1949">
        <v>1.88</v>
      </c>
      <c r="P1949">
        <v>19.5</v>
      </c>
      <c r="Q1949">
        <v>-0.73</v>
      </c>
      <c r="R1949">
        <v>19</v>
      </c>
      <c r="S1949">
        <v>19.149999999999999</v>
      </c>
      <c r="T1949">
        <v>8456</v>
      </c>
      <c r="U1949">
        <v>19.23</v>
      </c>
      <c r="V1949">
        <v>19.14</v>
      </c>
      <c r="W1949">
        <v>83.5</v>
      </c>
      <c r="X1949" t="s">
        <v>157</v>
      </c>
      <c r="Y1949" t="s">
        <v>638</v>
      </c>
      <c r="Z1949">
        <v>2.61</v>
      </c>
      <c r="AA1949">
        <v>19.309999999999999</v>
      </c>
      <c r="AB1949">
        <v>4037</v>
      </c>
      <c r="AC1949">
        <v>4419</v>
      </c>
      <c r="AD1949">
        <v>0.91</v>
      </c>
      <c r="AE1949">
        <v>51</v>
      </c>
      <c r="AF1949">
        <v>40</v>
      </c>
      <c r="AG1949" t="s">
        <v>120</v>
      </c>
      <c r="AH1949">
        <v>0</v>
      </c>
      <c r="AI1949" t="s">
        <v>120</v>
      </c>
      <c r="AJ1949">
        <v>0.68</v>
      </c>
      <c r="AK1949" t="s">
        <v>6348</v>
      </c>
      <c r="AL1949">
        <v>2.38</v>
      </c>
      <c r="AM1949">
        <v>703</v>
      </c>
      <c r="AN1949">
        <v>12</v>
      </c>
      <c r="AO1949">
        <v>1.8E-3</v>
      </c>
      <c r="AP1949">
        <v>2</v>
      </c>
      <c r="AQ1949">
        <v>0.84</v>
      </c>
      <c r="AR1949">
        <v>-0.15</v>
      </c>
      <c r="AS1949">
        <v>-7.55</v>
      </c>
      <c r="AT1949">
        <v>0.31</v>
      </c>
      <c r="AU1949">
        <v>-18.07</v>
      </c>
      <c r="AV1949">
        <v>0</v>
      </c>
      <c r="AW1949">
        <v>1.64</v>
      </c>
      <c r="AX1949">
        <v>57.32</v>
      </c>
      <c r="AY1949">
        <v>33.409999999999997</v>
      </c>
      <c r="AZ1949">
        <v>19.82</v>
      </c>
      <c r="BA1949">
        <v>0.5</v>
      </c>
      <c r="BB1949" t="s">
        <v>143</v>
      </c>
      <c r="BF1949">
        <v>0.91</v>
      </c>
      <c r="BG1949">
        <v>0.42</v>
      </c>
      <c r="BH1949">
        <v>-1.38</v>
      </c>
      <c r="BI1949">
        <v>1.21</v>
      </c>
      <c r="BJ1949">
        <v>20210901</v>
      </c>
      <c r="BK1949">
        <v>20190621</v>
      </c>
      <c r="BL1949">
        <v>0.9</v>
      </c>
      <c r="BM1949" t="s">
        <v>120</v>
      </c>
      <c r="BN1949" t="s">
        <v>120</v>
      </c>
      <c r="BO1949">
        <v>13.09</v>
      </c>
      <c r="BP1949">
        <v>19.22</v>
      </c>
      <c r="BQ1949">
        <v>9.06</v>
      </c>
      <c r="BR1949">
        <v>0</v>
      </c>
      <c r="BS1949">
        <v>30.8</v>
      </c>
      <c r="BT1949">
        <v>11.09</v>
      </c>
      <c r="BU1949">
        <v>0.8</v>
      </c>
      <c r="BV1949">
        <v>0.24</v>
      </c>
      <c r="BW1949">
        <v>3.85</v>
      </c>
      <c r="BX1949">
        <v>3.17</v>
      </c>
      <c r="BY1949">
        <v>0.9</v>
      </c>
      <c r="BZ1949">
        <v>5.38</v>
      </c>
      <c r="CA1949" t="s">
        <v>120</v>
      </c>
      <c r="CB1949">
        <v>5.45</v>
      </c>
      <c r="CC1949">
        <v>2.7</v>
      </c>
      <c r="CD1949">
        <v>1.85</v>
      </c>
      <c r="CE1949">
        <v>0.12</v>
      </c>
      <c r="CF1949">
        <v>0</v>
      </c>
      <c r="CG1949">
        <v>0.13</v>
      </c>
      <c r="CH1949">
        <v>0.11</v>
      </c>
      <c r="CI1949">
        <v>0.1</v>
      </c>
      <c r="CJ1949">
        <v>0.09</v>
      </c>
      <c r="CK1949">
        <v>0.1</v>
      </c>
      <c r="CL1949">
        <v>2.4900000000000002</v>
      </c>
      <c r="CM1949">
        <v>-0.26</v>
      </c>
      <c r="CN1949">
        <v>-1.04</v>
      </c>
      <c r="CO1949">
        <v>12470</v>
      </c>
      <c r="CP1949">
        <v>4136</v>
      </c>
      <c r="CQ1949" t="s">
        <v>7796</v>
      </c>
      <c r="CR1949">
        <v>-77.33</v>
      </c>
      <c r="CS1949">
        <v>2.96</v>
      </c>
      <c r="CT1949">
        <v>1.91</v>
      </c>
      <c r="CU1949">
        <v>-66.48</v>
      </c>
      <c r="CV1949">
        <v>6.4</v>
      </c>
      <c r="CW1949">
        <v>1.04</v>
      </c>
      <c r="CX1949" t="s">
        <v>850</v>
      </c>
      <c r="CY1949">
        <v>10.07</v>
      </c>
      <c r="CZ1949">
        <v>0</v>
      </c>
      <c r="DA1949">
        <v>6.06</v>
      </c>
      <c r="DB1949">
        <v>2.77</v>
      </c>
      <c r="DC1949">
        <v>-0.28999999999999998</v>
      </c>
      <c r="DD1949">
        <v>69.19</v>
      </c>
      <c r="DE1949" t="s">
        <v>4237</v>
      </c>
      <c r="DF1949">
        <v>31.6</v>
      </c>
      <c r="DG1949">
        <v>4.62</v>
      </c>
      <c r="DH1949">
        <v>3.83</v>
      </c>
      <c r="DI1949">
        <v>0.27</v>
      </c>
      <c r="DJ1949">
        <v>800</v>
      </c>
      <c r="DK1949">
        <v>300594</v>
      </c>
      <c r="DL1949" t="s">
        <v>120</v>
      </c>
      <c r="DM1949" t="s">
        <v>120</v>
      </c>
      <c r="DN1949" t="s">
        <v>120</v>
      </c>
    </row>
    <row r="1950" spans="1:118">
      <c r="A1950" t="str">
        <f>"300595"</f>
        <v>300595</v>
      </c>
      <c r="B1950" t="s">
        <v>9637</v>
      </c>
      <c r="C1950">
        <v>4.26</v>
      </c>
      <c r="D1950">
        <v>0</v>
      </c>
      <c r="E1950">
        <v>-0.77</v>
      </c>
      <c r="F1950">
        <v>1296</v>
      </c>
      <c r="G1950" t="s">
        <v>9638</v>
      </c>
      <c r="H1950">
        <v>93393.99</v>
      </c>
      <c r="I1950">
        <v>137.59</v>
      </c>
      <c r="J1950" t="s">
        <v>120</v>
      </c>
      <c r="K1950" t="s">
        <v>9639</v>
      </c>
      <c r="L1950">
        <v>2.21</v>
      </c>
      <c r="M1950">
        <v>69.5</v>
      </c>
      <c r="N1950">
        <v>1.39</v>
      </c>
      <c r="O1950">
        <v>7.83</v>
      </c>
      <c r="P1950">
        <v>71.88</v>
      </c>
      <c r="Q1950">
        <v>-1.44</v>
      </c>
      <c r="R1950">
        <v>65.7</v>
      </c>
      <c r="S1950">
        <v>66.150000000000006</v>
      </c>
      <c r="T1950">
        <v>135397</v>
      </c>
      <c r="U1950">
        <v>69.5</v>
      </c>
      <c r="V1950">
        <v>66.66</v>
      </c>
      <c r="W1950">
        <v>115.46</v>
      </c>
      <c r="X1950" t="s">
        <v>555</v>
      </c>
      <c r="Y1950" t="s">
        <v>570</v>
      </c>
      <c r="Z1950">
        <v>9.27</v>
      </c>
      <c r="AA1950">
        <v>68.98</v>
      </c>
      <c r="AB1950">
        <v>65878</v>
      </c>
      <c r="AC1950">
        <v>69519</v>
      </c>
      <c r="AD1950">
        <v>0.95</v>
      </c>
      <c r="AE1950">
        <v>1</v>
      </c>
      <c r="AF1950">
        <v>33</v>
      </c>
      <c r="AG1950" t="s">
        <v>120</v>
      </c>
      <c r="AH1950">
        <v>0</v>
      </c>
      <c r="AI1950" t="s">
        <v>120</v>
      </c>
      <c r="AJ1950">
        <v>6.13</v>
      </c>
      <c r="AK1950" t="s">
        <v>9640</v>
      </c>
      <c r="AL1950">
        <v>6.17</v>
      </c>
      <c r="AM1950">
        <v>4424</v>
      </c>
      <c r="AN1950">
        <v>31</v>
      </c>
      <c r="AO1950">
        <v>5.0000000000000001E-4</v>
      </c>
      <c r="AP1950">
        <v>1</v>
      </c>
      <c r="AQ1950">
        <v>-3.11</v>
      </c>
      <c r="AR1950">
        <v>4.74</v>
      </c>
      <c r="AS1950">
        <v>-16.05</v>
      </c>
      <c r="AT1950">
        <v>-32.21</v>
      </c>
      <c r="AU1950">
        <v>19.079999999999998</v>
      </c>
      <c r="AV1950">
        <v>1</v>
      </c>
      <c r="AW1950">
        <v>3.14</v>
      </c>
      <c r="AX1950">
        <v>50.77</v>
      </c>
      <c r="AY1950">
        <v>100.99</v>
      </c>
      <c r="AZ1950">
        <v>130.84</v>
      </c>
      <c r="BA1950">
        <v>1.73</v>
      </c>
      <c r="BB1950" t="s">
        <v>143</v>
      </c>
      <c r="BF1950">
        <v>3.48</v>
      </c>
      <c r="BG1950">
        <v>5.0599999999999996</v>
      </c>
      <c r="BH1950">
        <v>-3.31</v>
      </c>
      <c r="BI1950">
        <v>5.78</v>
      </c>
      <c r="BJ1950">
        <v>20210913</v>
      </c>
      <c r="BK1950">
        <v>20170117</v>
      </c>
      <c r="BL1950">
        <v>8.51</v>
      </c>
      <c r="BM1950" t="s">
        <v>120</v>
      </c>
      <c r="BN1950" t="s">
        <v>120</v>
      </c>
      <c r="BO1950">
        <v>25.81</v>
      </c>
      <c r="BP1950">
        <v>69.489999999999995</v>
      </c>
      <c r="BQ1950">
        <v>19.12</v>
      </c>
      <c r="BR1950">
        <v>2.64</v>
      </c>
      <c r="BS1950">
        <v>15.7</v>
      </c>
      <c r="BT1950">
        <v>17.29</v>
      </c>
      <c r="BU1950">
        <v>1.76</v>
      </c>
      <c r="BV1950">
        <v>0.12</v>
      </c>
      <c r="BW1950">
        <v>2.7</v>
      </c>
      <c r="BX1950">
        <v>6.75</v>
      </c>
      <c r="BY1950">
        <v>0.88</v>
      </c>
      <c r="BZ1950">
        <v>1.51</v>
      </c>
      <c r="CA1950" t="s">
        <v>120</v>
      </c>
      <c r="CB1950">
        <v>0.54</v>
      </c>
      <c r="CC1950">
        <v>5.7</v>
      </c>
      <c r="CD1950">
        <v>1.34</v>
      </c>
      <c r="CE1950">
        <v>3.1</v>
      </c>
      <c r="CF1950">
        <v>0.56999999999999995</v>
      </c>
      <c r="CG1950">
        <v>3.1</v>
      </c>
      <c r="CH1950">
        <v>2.67</v>
      </c>
      <c r="CI1950">
        <v>2.56</v>
      </c>
      <c r="CJ1950">
        <v>2.84</v>
      </c>
      <c r="CK1950">
        <v>2.11</v>
      </c>
      <c r="CL1950">
        <v>9.07</v>
      </c>
      <c r="CM1950">
        <v>2.76</v>
      </c>
      <c r="CN1950">
        <v>3.49</v>
      </c>
      <c r="CO1950">
        <v>41958</v>
      </c>
      <c r="CP1950">
        <v>10292</v>
      </c>
      <c r="CQ1950" t="s">
        <v>9641</v>
      </c>
      <c r="CR1950">
        <v>100.09</v>
      </c>
      <c r="CS1950">
        <v>91.94</v>
      </c>
      <c r="CT1950">
        <v>30.92</v>
      </c>
      <c r="CU1950">
        <v>214.04</v>
      </c>
      <c r="CV1950">
        <v>103.68</v>
      </c>
      <c r="CW1950">
        <v>0.22</v>
      </c>
      <c r="CX1950" t="s">
        <v>1340</v>
      </c>
      <c r="CY1950">
        <v>2.25</v>
      </c>
      <c r="CZ1950">
        <v>0</v>
      </c>
      <c r="DA1950">
        <v>0.06</v>
      </c>
      <c r="DB1950">
        <v>1.07</v>
      </c>
      <c r="DC1950">
        <v>0.32</v>
      </c>
      <c r="DD1950">
        <v>74.06</v>
      </c>
      <c r="DE1950" t="s">
        <v>9642</v>
      </c>
      <c r="DF1950">
        <v>76.489999999999995</v>
      </c>
      <c r="DG1950">
        <v>54.43</v>
      </c>
      <c r="DH1950">
        <v>44.9</v>
      </c>
      <c r="DI1950">
        <v>0.13</v>
      </c>
      <c r="DJ1950">
        <v>1926</v>
      </c>
      <c r="DK1950">
        <v>300595</v>
      </c>
      <c r="DL1950" t="s">
        <v>120</v>
      </c>
      <c r="DM1950" t="s">
        <v>120</v>
      </c>
      <c r="DN1950" t="s">
        <v>120</v>
      </c>
    </row>
    <row r="1951" spans="1:118">
      <c r="A1951" t="str">
        <f>"300596"</f>
        <v>300596</v>
      </c>
      <c r="B1951" t="s">
        <v>9643</v>
      </c>
      <c r="C1951">
        <v>-2.78</v>
      </c>
      <c r="D1951">
        <v>-0.02</v>
      </c>
      <c r="E1951">
        <v>0.35</v>
      </c>
      <c r="F1951">
        <v>144</v>
      </c>
      <c r="G1951" t="s">
        <v>9644</v>
      </c>
      <c r="H1951">
        <v>13609.1</v>
      </c>
      <c r="I1951">
        <v>14.58</v>
      </c>
      <c r="J1951" t="s">
        <v>120</v>
      </c>
      <c r="K1951" t="s">
        <v>9645</v>
      </c>
      <c r="L1951">
        <v>1.85</v>
      </c>
      <c r="M1951">
        <v>39.24</v>
      </c>
      <c r="N1951">
        <v>1.17</v>
      </c>
      <c r="O1951">
        <v>2.33</v>
      </c>
      <c r="P1951">
        <v>41.3</v>
      </c>
      <c r="Q1951">
        <v>-3.62</v>
      </c>
      <c r="R1951">
        <v>38.9</v>
      </c>
      <c r="S1951">
        <v>40.5</v>
      </c>
      <c r="T1951">
        <v>34296</v>
      </c>
      <c r="U1951">
        <v>39.24</v>
      </c>
      <c r="V1951">
        <v>40.36</v>
      </c>
      <c r="W1951">
        <v>21.59</v>
      </c>
      <c r="X1951" t="s">
        <v>868</v>
      </c>
      <c r="Y1951" t="s">
        <v>997</v>
      </c>
      <c r="Z1951">
        <v>5.95</v>
      </c>
      <c r="AA1951">
        <v>39.68</v>
      </c>
      <c r="AB1951">
        <v>21613</v>
      </c>
      <c r="AC1951">
        <v>12683</v>
      </c>
      <c r="AD1951">
        <v>1.7</v>
      </c>
      <c r="AE1951">
        <v>5</v>
      </c>
      <c r="AF1951">
        <v>38</v>
      </c>
      <c r="AG1951" t="s">
        <v>120</v>
      </c>
      <c r="AH1951">
        <v>0</v>
      </c>
      <c r="AI1951" t="s">
        <v>120</v>
      </c>
      <c r="AJ1951">
        <v>1.86</v>
      </c>
      <c r="AK1951" t="s">
        <v>9646</v>
      </c>
      <c r="AL1951">
        <v>-0.86</v>
      </c>
      <c r="AM1951">
        <v>2231</v>
      </c>
      <c r="AN1951">
        <v>15</v>
      </c>
      <c r="AO1951">
        <v>8.0000000000000004E-4</v>
      </c>
      <c r="AP1951">
        <v>-3</v>
      </c>
      <c r="AQ1951">
        <v>-3.26</v>
      </c>
      <c r="AR1951">
        <v>-8.4700000000000006</v>
      </c>
      <c r="AS1951">
        <v>2.56</v>
      </c>
      <c r="AT1951">
        <v>-8.36</v>
      </c>
      <c r="AU1951">
        <v>0.44</v>
      </c>
      <c r="AV1951">
        <v>0</v>
      </c>
      <c r="AW1951">
        <v>3.16</v>
      </c>
      <c r="AX1951">
        <v>52.95</v>
      </c>
      <c r="AY1951">
        <v>24.03</v>
      </c>
      <c r="AZ1951">
        <v>28.24</v>
      </c>
      <c r="BA1951">
        <v>0.72</v>
      </c>
      <c r="BB1951" t="s">
        <v>240</v>
      </c>
      <c r="BF1951">
        <v>-1.68</v>
      </c>
      <c r="BG1951">
        <v>-3.11</v>
      </c>
      <c r="BH1951">
        <v>-4.99</v>
      </c>
      <c r="BI1951">
        <v>0.87</v>
      </c>
      <c r="BJ1951">
        <v>20210823</v>
      </c>
      <c r="BK1951">
        <v>20170119</v>
      </c>
      <c r="BL1951">
        <v>2.0499999999999998</v>
      </c>
      <c r="BM1951" t="s">
        <v>120</v>
      </c>
      <c r="BN1951" t="s">
        <v>120</v>
      </c>
      <c r="BO1951">
        <v>45.21</v>
      </c>
      <c r="BP1951">
        <v>39.229999999999997</v>
      </c>
      <c r="BQ1951">
        <v>22.94</v>
      </c>
      <c r="BR1951">
        <v>0.28999999999999998</v>
      </c>
      <c r="BS1951">
        <v>48.62</v>
      </c>
      <c r="BT1951">
        <v>19.649999999999999</v>
      </c>
      <c r="BU1951">
        <v>10.37</v>
      </c>
      <c r="BV1951">
        <v>2.0699999999999998</v>
      </c>
      <c r="BW1951">
        <v>16.600000000000001</v>
      </c>
      <c r="BX1951">
        <v>2.35</v>
      </c>
      <c r="BY1951">
        <v>7.59</v>
      </c>
      <c r="BZ1951">
        <v>5.1100000000000003</v>
      </c>
      <c r="CA1951" t="s">
        <v>120</v>
      </c>
      <c r="CB1951">
        <v>9.15</v>
      </c>
      <c r="CC1951">
        <v>16.170000000000002</v>
      </c>
      <c r="CD1951">
        <v>11.84</v>
      </c>
      <c r="CE1951">
        <v>2.27</v>
      </c>
      <c r="CF1951">
        <v>0</v>
      </c>
      <c r="CG1951">
        <v>2.27</v>
      </c>
      <c r="CH1951">
        <v>1.9</v>
      </c>
      <c r="CI1951">
        <v>1.86</v>
      </c>
      <c r="CJ1951">
        <v>-1.1200000000000001</v>
      </c>
      <c r="CK1951">
        <v>1.79</v>
      </c>
      <c r="CL1951">
        <v>11.26</v>
      </c>
      <c r="CM1951">
        <v>0.31</v>
      </c>
      <c r="CN1951">
        <v>0.24</v>
      </c>
      <c r="CO1951">
        <v>10720</v>
      </c>
      <c r="CP1951">
        <v>10126</v>
      </c>
      <c r="CQ1951" t="s">
        <v>9647</v>
      </c>
      <c r="CR1951">
        <v>38.07</v>
      </c>
      <c r="CS1951">
        <v>41.83</v>
      </c>
      <c r="CT1951">
        <v>3.51</v>
      </c>
      <c r="CU1951">
        <v>256.58</v>
      </c>
      <c r="CV1951">
        <v>4.9800000000000004</v>
      </c>
      <c r="CW1951">
        <v>0.53</v>
      </c>
      <c r="CX1951" t="s">
        <v>9648</v>
      </c>
      <c r="CY1951">
        <v>11.19</v>
      </c>
      <c r="CZ1951">
        <v>0</v>
      </c>
      <c r="DA1951">
        <v>4.46</v>
      </c>
      <c r="DB1951">
        <v>5.49</v>
      </c>
      <c r="DC1951">
        <v>0.15</v>
      </c>
      <c r="DD1951">
        <v>50.75</v>
      </c>
      <c r="DE1951" t="s">
        <v>6561</v>
      </c>
      <c r="DF1951">
        <v>26.78</v>
      </c>
      <c r="DG1951">
        <v>14.05</v>
      </c>
      <c r="DH1951">
        <v>11.52</v>
      </c>
      <c r="DI1951">
        <v>0.65</v>
      </c>
      <c r="DJ1951">
        <v>1902</v>
      </c>
      <c r="DK1951">
        <v>300596</v>
      </c>
      <c r="DL1951" t="s">
        <v>120</v>
      </c>
      <c r="DM1951" t="s">
        <v>120</v>
      </c>
      <c r="DN1951" t="s">
        <v>120</v>
      </c>
    </row>
    <row r="1952" spans="1:118">
      <c r="A1952" t="str">
        <f>"300597"</f>
        <v>300597</v>
      </c>
      <c r="B1952" t="s">
        <v>9649</v>
      </c>
      <c r="C1952">
        <v>-1.29</v>
      </c>
      <c r="D1952">
        <v>0.11</v>
      </c>
      <c r="E1952">
        <v>0</v>
      </c>
      <c r="F1952">
        <v>277</v>
      </c>
      <c r="G1952" t="s">
        <v>9269</v>
      </c>
      <c r="H1952">
        <v>1836.05</v>
      </c>
      <c r="I1952">
        <v>0</v>
      </c>
      <c r="J1952" t="s">
        <v>120</v>
      </c>
      <c r="K1952" t="s">
        <v>6717</v>
      </c>
      <c r="L1952">
        <v>0.9</v>
      </c>
      <c r="M1952">
        <v>9.16</v>
      </c>
      <c r="N1952">
        <v>0.75</v>
      </c>
      <c r="O1952">
        <v>0.65</v>
      </c>
      <c r="P1952">
        <v>9.34</v>
      </c>
      <c r="Q1952">
        <v>-1.51</v>
      </c>
      <c r="R1952">
        <v>9.14</v>
      </c>
      <c r="S1952">
        <v>9.2799999999999994</v>
      </c>
      <c r="T1952">
        <v>19877</v>
      </c>
      <c r="U1952">
        <v>9.16</v>
      </c>
      <c r="V1952">
        <v>9.2799999999999994</v>
      </c>
      <c r="W1952">
        <v>77.87</v>
      </c>
      <c r="X1952" t="s">
        <v>462</v>
      </c>
      <c r="Y1952" t="s">
        <v>290</v>
      </c>
      <c r="Z1952">
        <v>2.16</v>
      </c>
      <c r="AA1952">
        <v>9.24</v>
      </c>
      <c r="AB1952">
        <v>11245</v>
      </c>
      <c r="AC1952">
        <v>8632</v>
      </c>
      <c r="AD1952">
        <v>1.3</v>
      </c>
      <c r="AE1952">
        <v>45</v>
      </c>
      <c r="AF1952">
        <v>293</v>
      </c>
      <c r="AG1952" t="s">
        <v>120</v>
      </c>
      <c r="AH1952">
        <v>0</v>
      </c>
      <c r="AI1952" t="s">
        <v>120</v>
      </c>
      <c r="AJ1952">
        <v>2.21</v>
      </c>
      <c r="AK1952" t="s">
        <v>6765</v>
      </c>
      <c r="AL1952">
        <v>0.62</v>
      </c>
      <c r="AM1952">
        <v>817</v>
      </c>
      <c r="AN1952">
        <v>24</v>
      </c>
      <c r="AO1952">
        <v>1.1000000000000001E-3</v>
      </c>
      <c r="AP1952">
        <v>-1</v>
      </c>
      <c r="AQ1952">
        <v>0.65</v>
      </c>
      <c r="AR1952">
        <v>-0.97</v>
      </c>
      <c r="AS1952">
        <v>-8.4</v>
      </c>
      <c r="AT1952">
        <v>-1.83</v>
      </c>
      <c r="AU1952">
        <v>-14.51</v>
      </c>
      <c r="AV1952">
        <v>0</v>
      </c>
      <c r="AW1952">
        <v>1.1499999999999999</v>
      </c>
      <c r="AX1952">
        <v>72.09</v>
      </c>
      <c r="AY1952">
        <v>67.8</v>
      </c>
      <c r="AZ1952">
        <v>73.38</v>
      </c>
      <c r="BA1952">
        <v>1.06</v>
      </c>
      <c r="BB1952" t="s">
        <v>143</v>
      </c>
      <c r="BF1952">
        <v>-0.46</v>
      </c>
      <c r="BG1952">
        <v>-1.29</v>
      </c>
      <c r="BH1952">
        <v>-1.93</v>
      </c>
      <c r="BI1952">
        <v>0.22</v>
      </c>
      <c r="BJ1952">
        <v>20210827</v>
      </c>
      <c r="BK1952">
        <v>20170123</v>
      </c>
      <c r="BL1952">
        <v>2.4</v>
      </c>
      <c r="BM1952" t="s">
        <v>120</v>
      </c>
      <c r="BN1952" t="s">
        <v>120</v>
      </c>
      <c r="BO1952">
        <v>10.66</v>
      </c>
      <c r="BP1952">
        <v>9.15</v>
      </c>
      <c r="BQ1952">
        <v>8.3699999999999992</v>
      </c>
      <c r="BR1952">
        <v>0.02</v>
      </c>
      <c r="BS1952">
        <v>21.33</v>
      </c>
      <c r="BT1952">
        <v>9.4600000000000009</v>
      </c>
      <c r="BU1952">
        <v>0.64</v>
      </c>
      <c r="BV1952">
        <v>0.09</v>
      </c>
      <c r="BW1952">
        <v>2.27</v>
      </c>
      <c r="BX1952">
        <v>2.5499999999999998</v>
      </c>
      <c r="BY1952">
        <v>2.33</v>
      </c>
      <c r="BZ1952">
        <v>4.0999999999999996</v>
      </c>
      <c r="CA1952" t="s">
        <v>120</v>
      </c>
      <c r="CB1952">
        <v>2.13</v>
      </c>
      <c r="CC1952">
        <v>1.94</v>
      </c>
      <c r="CD1952">
        <v>1.48</v>
      </c>
      <c r="CE1952">
        <v>0.16</v>
      </c>
      <c r="CF1952">
        <v>0.01</v>
      </c>
      <c r="CG1952">
        <v>0.16</v>
      </c>
      <c r="CH1952">
        <v>0.14000000000000001</v>
      </c>
      <c r="CI1952">
        <v>0.14000000000000001</v>
      </c>
      <c r="CJ1952">
        <v>-0.12</v>
      </c>
      <c r="CK1952">
        <v>0.14000000000000001</v>
      </c>
      <c r="CL1952">
        <v>3.46</v>
      </c>
      <c r="CM1952">
        <v>-0.61</v>
      </c>
      <c r="CN1952">
        <v>-0.84</v>
      </c>
      <c r="CO1952">
        <v>24880</v>
      </c>
      <c r="CP1952">
        <v>6954</v>
      </c>
      <c r="CQ1952" t="s">
        <v>342</v>
      </c>
      <c r="CR1952">
        <v>21.51</v>
      </c>
      <c r="CS1952">
        <v>39.96</v>
      </c>
      <c r="CT1952">
        <v>2.63</v>
      </c>
      <c r="CU1952">
        <v>-36.29</v>
      </c>
      <c r="CV1952">
        <v>11.32</v>
      </c>
      <c r="CW1952">
        <v>0.27</v>
      </c>
      <c r="CX1952" t="s">
        <v>1393</v>
      </c>
      <c r="CY1952">
        <v>3.49</v>
      </c>
      <c r="CZ1952">
        <v>0</v>
      </c>
      <c r="DA1952">
        <v>0.89</v>
      </c>
      <c r="DB1952">
        <v>1.44</v>
      </c>
      <c r="DC1952">
        <v>-0.25</v>
      </c>
      <c r="DD1952">
        <v>78.5</v>
      </c>
      <c r="DE1952" t="s">
        <v>6122</v>
      </c>
      <c r="DF1952">
        <v>23.92</v>
      </c>
      <c r="DG1952">
        <v>8.1999999999999993</v>
      </c>
      <c r="DH1952">
        <v>7.27</v>
      </c>
      <c r="DI1952">
        <v>7.0000000000000007E-2</v>
      </c>
      <c r="DJ1952">
        <v>1765</v>
      </c>
      <c r="DK1952">
        <v>300597</v>
      </c>
      <c r="DL1952" t="s">
        <v>120</v>
      </c>
      <c r="DM1952" t="s">
        <v>120</v>
      </c>
      <c r="DN1952" t="s">
        <v>120</v>
      </c>
    </row>
    <row r="1953" spans="1:118">
      <c r="A1953" t="str">
        <f>"300598"</f>
        <v>300598</v>
      </c>
      <c r="B1953" t="s">
        <v>9650</v>
      </c>
      <c r="C1953">
        <v>-2.88</v>
      </c>
      <c r="D1953">
        <v>-0.36</v>
      </c>
      <c r="E1953">
        <v>-1.96</v>
      </c>
      <c r="F1953">
        <v>1406</v>
      </c>
      <c r="G1953" t="s">
        <v>9651</v>
      </c>
      <c r="H1953">
        <v>34523.040000000001</v>
      </c>
      <c r="I1953">
        <v>445.69</v>
      </c>
      <c r="J1953" t="s">
        <v>120</v>
      </c>
      <c r="K1953" t="s">
        <v>9652</v>
      </c>
      <c r="L1953">
        <v>3.76</v>
      </c>
      <c r="M1953">
        <v>56.6</v>
      </c>
      <c r="N1953">
        <v>0.7</v>
      </c>
      <c r="O1953">
        <v>1.75</v>
      </c>
      <c r="P1953">
        <v>59.3</v>
      </c>
      <c r="Q1953">
        <v>-2.97</v>
      </c>
      <c r="R1953">
        <v>56.55</v>
      </c>
      <c r="S1953">
        <v>57.14</v>
      </c>
      <c r="T1953">
        <v>60090</v>
      </c>
      <c r="U1953">
        <v>56.7</v>
      </c>
      <c r="V1953">
        <v>58.28</v>
      </c>
      <c r="W1953" t="s">
        <v>120</v>
      </c>
      <c r="X1953" t="s">
        <v>141</v>
      </c>
      <c r="Y1953" t="s">
        <v>319</v>
      </c>
      <c r="Z1953">
        <v>4.72</v>
      </c>
      <c r="AA1953">
        <v>57.45</v>
      </c>
      <c r="AB1953">
        <v>32078</v>
      </c>
      <c r="AC1953">
        <v>28012</v>
      </c>
      <c r="AD1953">
        <v>1.1499999999999999</v>
      </c>
      <c r="AE1953">
        <v>141</v>
      </c>
      <c r="AF1953">
        <v>2</v>
      </c>
      <c r="AG1953" t="s">
        <v>120</v>
      </c>
      <c r="AH1953">
        <v>0.08</v>
      </c>
      <c r="AI1953" t="s">
        <v>120</v>
      </c>
      <c r="AJ1953">
        <v>1.6</v>
      </c>
      <c r="AK1953" t="s">
        <v>9653</v>
      </c>
      <c r="AL1953">
        <v>-0.97</v>
      </c>
      <c r="AM1953">
        <v>3484</v>
      </c>
      <c r="AN1953">
        <v>17</v>
      </c>
      <c r="AO1953">
        <v>1.1000000000000001E-3</v>
      </c>
      <c r="AP1953">
        <v>-2</v>
      </c>
      <c r="AQ1953">
        <v>-5.91</v>
      </c>
      <c r="AR1953">
        <v>9.64</v>
      </c>
      <c r="AS1953">
        <v>-19.95</v>
      </c>
      <c r="AT1953">
        <v>-32.81</v>
      </c>
      <c r="AU1953">
        <v>-29.14</v>
      </c>
      <c r="AV1953">
        <v>3</v>
      </c>
      <c r="AW1953">
        <v>6.52</v>
      </c>
      <c r="AX1953">
        <v>57.7</v>
      </c>
      <c r="AY1953">
        <v>119.66</v>
      </c>
      <c r="AZ1953">
        <v>158.28</v>
      </c>
      <c r="BA1953">
        <v>0.91</v>
      </c>
      <c r="BB1953" t="s">
        <v>134</v>
      </c>
      <c r="BF1953">
        <v>-1.42</v>
      </c>
      <c r="BG1953">
        <v>-0.95</v>
      </c>
      <c r="BH1953">
        <v>-4.55</v>
      </c>
      <c r="BI1953">
        <v>0.09</v>
      </c>
      <c r="BJ1953">
        <v>20210913</v>
      </c>
      <c r="BK1953">
        <v>20170120</v>
      </c>
      <c r="BL1953">
        <v>1.6</v>
      </c>
      <c r="BM1953" t="s">
        <v>120</v>
      </c>
      <c r="BN1953" t="s">
        <v>120</v>
      </c>
      <c r="BO1953">
        <v>16.78</v>
      </c>
      <c r="BP1953">
        <v>56.6</v>
      </c>
      <c r="BQ1953">
        <v>11.17</v>
      </c>
      <c r="BR1953">
        <v>0</v>
      </c>
      <c r="BS1953">
        <v>33.36</v>
      </c>
      <c r="BT1953">
        <v>8.67</v>
      </c>
      <c r="BU1953">
        <v>1.1599999999999999</v>
      </c>
      <c r="BV1953">
        <v>0.23</v>
      </c>
      <c r="BW1953">
        <v>5.33</v>
      </c>
      <c r="BX1953">
        <v>2.2599999999999998</v>
      </c>
      <c r="BY1953">
        <v>0.84</v>
      </c>
      <c r="BZ1953">
        <v>5.14</v>
      </c>
      <c r="CA1953" t="s">
        <v>120</v>
      </c>
      <c r="CB1953">
        <v>5.45</v>
      </c>
      <c r="CC1953">
        <v>6.03</v>
      </c>
      <c r="CD1953">
        <v>4.59</v>
      </c>
      <c r="CE1953">
        <v>-0.11</v>
      </c>
      <c r="CF1953">
        <v>-0.37</v>
      </c>
      <c r="CG1953">
        <v>-0.11</v>
      </c>
      <c r="CH1953">
        <v>-0.11</v>
      </c>
      <c r="CI1953">
        <v>-0.1</v>
      </c>
      <c r="CJ1953">
        <v>-1.68</v>
      </c>
      <c r="CK1953">
        <v>-0.14000000000000001</v>
      </c>
      <c r="CL1953">
        <v>3.68</v>
      </c>
      <c r="CM1953">
        <v>-0.4</v>
      </c>
      <c r="CN1953">
        <v>0.48</v>
      </c>
      <c r="CO1953">
        <v>40924</v>
      </c>
      <c r="CP1953">
        <v>2254</v>
      </c>
      <c r="CQ1953" t="s">
        <v>9654</v>
      </c>
      <c r="CR1953">
        <v>65.02</v>
      </c>
      <c r="CS1953">
        <v>61.26</v>
      </c>
      <c r="CT1953">
        <v>8.02</v>
      </c>
      <c r="CU1953">
        <v>-226.91</v>
      </c>
      <c r="CV1953">
        <v>15.01</v>
      </c>
      <c r="CW1953">
        <v>7.0000000000000007E-2</v>
      </c>
      <c r="CX1953" t="s">
        <v>2044</v>
      </c>
      <c r="CY1953">
        <v>7.06</v>
      </c>
      <c r="CZ1953">
        <v>7.06</v>
      </c>
      <c r="DA1953">
        <v>3.41</v>
      </c>
      <c r="DB1953">
        <v>2.2999999999999998</v>
      </c>
      <c r="DC1953">
        <v>-0.25</v>
      </c>
      <c r="DD1953">
        <v>66.61</v>
      </c>
      <c r="DE1953" t="s">
        <v>480</v>
      </c>
      <c r="DF1953">
        <v>23.86</v>
      </c>
      <c r="DG1953">
        <v>-1.9</v>
      </c>
      <c r="DH1953">
        <v>-1.7</v>
      </c>
      <c r="DI1953">
        <v>0.51</v>
      </c>
      <c r="DJ1953">
        <v>4435</v>
      </c>
      <c r="DK1953">
        <v>300598</v>
      </c>
      <c r="DL1953" t="s">
        <v>120</v>
      </c>
      <c r="DM1953" t="s">
        <v>120</v>
      </c>
      <c r="DN1953" t="s">
        <v>120</v>
      </c>
    </row>
    <row r="1954" spans="1:118">
      <c r="A1954" t="str">
        <f>"300599"</f>
        <v>300599</v>
      </c>
      <c r="B1954" t="s">
        <v>9655</v>
      </c>
      <c r="C1954">
        <v>1.1000000000000001</v>
      </c>
      <c r="D1954">
        <v>0</v>
      </c>
      <c r="E1954">
        <v>0.59</v>
      </c>
      <c r="F1954">
        <v>575</v>
      </c>
      <c r="G1954" t="s">
        <v>2789</v>
      </c>
      <c r="H1954">
        <v>8382.23</v>
      </c>
      <c r="I1954">
        <v>13.91</v>
      </c>
      <c r="J1954" t="s">
        <v>120</v>
      </c>
      <c r="K1954" t="s">
        <v>9656</v>
      </c>
      <c r="L1954">
        <v>4.53</v>
      </c>
      <c r="M1954">
        <v>11.95</v>
      </c>
      <c r="N1954">
        <v>2.3199999999999998</v>
      </c>
      <c r="O1954">
        <v>4.82</v>
      </c>
      <c r="P1954">
        <v>12.39</v>
      </c>
      <c r="Q1954">
        <v>-0.17</v>
      </c>
      <c r="R1954">
        <v>11.8</v>
      </c>
      <c r="S1954">
        <v>11.89</v>
      </c>
      <c r="T1954">
        <v>69168</v>
      </c>
      <c r="U1954">
        <v>11.96</v>
      </c>
      <c r="V1954">
        <v>11.82</v>
      </c>
      <c r="W1954">
        <v>26.7</v>
      </c>
      <c r="X1954" t="s">
        <v>2211</v>
      </c>
      <c r="Y1954" t="s">
        <v>547</v>
      </c>
      <c r="Z1954">
        <v>4.99</v>
      </c>
      <c r="AA1954">
        <v>12.12</v>
      </c>
      <c r="AB1954">
        <v>32991</v>
      </c>
      <c r="AC1954">
        <v>36177</v>
      </c>
      <c r="AD1954">
        <v>0.91</v>
      </c>
      <c r="AE1954">
        <v>703</v>
      </c>
      <c r="AF1954">
        <v>73</v>
      </c>
      <c r="AG1954" t="s">
        <v>120</v>
      </c>
      <c r="AH1954">
        <v>0.01</v>
      </c>
      <c r="AI1954" t="s">
        <v>120</v>
      </c>
      <c r="AJ1954">
        <v>1.53</v>
      </c>
      <c r="AK1954" t="s">
        <v>4478</v>
      </c>
      <c r="AL1954">
        <v>3.01</v>
      </c>
      <c r="AM1954">
        <v>2012</v>
      </c>
      <c r="AN1954">
        <v>34</v>
      </c>
      <c r="AO1954">
        <v>2.2000000000000001E-3</v>
      </c>
      <c r="AP1954">
        <v>2</v>
      </c>
      <c r="AQ1954">
        <v>1.46</v>
      </c>
      <c r="AR1954">
        <v>-0.24</v>
      </c>
      <c r="AS1954">
        <v>3.56</v>
      </c>
      <c r="AT1954">
        <v>6.79</v>
      </c>
      <c r="AU1954">
        <v>-4.0999999999999996</v>
      </c>
      <c r="AV1954">
        <v>0</v>
      </c>
      <c r="AW1954">
        <v>7.25</v>
      </c>
      <c r="AX1954">
        <v>26.65</v>
      </c>
      <c r="AY1954">
        <v>21.49</v>
      </c>
      <c r="AZ1954">
        <v>19.920000000000002</v>
      </c>
      <c r="BA1954">
        <v>0.56000000000000005</v>
      </c>
      <c r="BB1954" t="s">
        <v>168</v>
      </c>
      <c r="BF1954">
        <v>2.5299999999999998</v>
      </c>
      <c r="BG1954">
        <v>0.5</v>
      </c>
      <c r="BH1954">
        <v>-3.55</v>
      </c>
      <c r="BI1954">
        <v>1.27</v>
      </c>
      <c r="BJ1954">
        <v>20210826</v>
      </c>
      <c r="BK1954">
        <v>20170123</v>
      </c>
      <c r="BL1954">
        <v>3.58</v>
      </c>
      <c r="BM1954" t="s">
        <v>120</v>
      </c>
      <c r="BN1954" t="s">
        <v>120</v>
      </c>
      <c r="BO1954">
        <v>27.31</v>
      </c>
      <c r="BP1954">
        <v>11.95</v>
      </c>
      <c r="BQ1954">
        <v>23.12</v>
      </c>
      <c r="BR1954" t="s">
        <v>120</v>
      </c>
      <c r="BS1954">
        <v>15.36</v>
      </c>
      <c r="BT1954">
        <v>16.16</v>
      </c>
      <c r="BU1954">
        <v>6.5</v>
      </c>
      <c r="BV1954">
        <v>2.14</v>
      </c>
      <c r="BW1954">
        <v>3.63</v>
      </c>
      <c r="BX1954">
        <v>8.94</v>
      </c>
      <c r="BY1954">
        <v>3.58</v>
      </c>
      <c r="BZ1954">
        <v>2.42</v>
      </c>
      <c r="CA1954" t="s">
        <v>120</v>
      </c>
      <c r="CB1954">
        <v>10.119999999999999</v>
      </c>
      <c r="CC1954">
        <v>10.67</v>
      </c>
      <c r="CD1954">
        <v>8.5500000000000007</v>
      </c>
      <c r="CE1954">
        <v>1.03</v>
      </c>
      <c r="CF1954">
        <v>0</v>
      </c>
      <c r="CG1954">
        <v>1.02</v>
      </c>
      <c r="CH1954">
        <v>0.8</v>
      </c>
      <c r="CI1954">
        <v>0.8</v>
      </c>
      <c r="CJ1954">
        <v>0.13</v>
      </c>
      <c r="CK1954">
        <v>0.76</v>
      </c>
      <c r="CL1954">
        <v>8.3699999999999992</v>
      </c>
      <c r="CM1954">
        <v>-0.53</v>
      </c>
      <c r="CN1954">
        <v>3.61</v>
      </c>
      <c r="CO1954">
        <v>18455</v>
      </c>
      <c r="CP1954">
        <v>5171</v>
      </c>
      <c r="CQ1954" t="s">
        <v>6469</v>
      </c>
      <c r="CR1954">
        <v>-16.25</v>
      </c>
      <c r="CS1954">
        <v>22.37</v>
      </c>
      <c r="CT1954">
        <v>1.85</v>
      </c>
      <c r="CU1954">
        <v>-81.03</v>
      </c>
      <c r="CV1954">
        <v>4.01</v>
      </c>
      <c r="CW1954">
        <v>1.69</v>
      </c>
      <c r="CX1954" t="s">
        <v>670</v>
      </c>
      <c r="CY1954">
        <v>6.45</v>
      </c>
      <c r="CZ1954">
        <v>0</v>
      </c>
      <c r="DA1954">
        <v>2.83</v>
      </c>
      <c r="DB1954">
        <v>2.34</v>
      </c>
      <c r="DC1954">
        <v>-0.15</v>
      </c>
      <c r="DD1954">
        <v>84.64</v>
      </c>
      <c r="DE1954" t="s">
        <v>2135</v>
      </c>
      <c r="DF1954">
        <v>19.87</v>
      </c>
      <c r="DG1954">
        <v>9.6300000000000008</v>
      </c>
      <c r="DH1954">
        <v>7.51</v>
      </c>
      <c r="DI1954">
        <v>0.34</v>
      </c>
      <c r="DJ1954">
        <v>1734</v>
      </c>
      <c r="DK1954">
        <v>300599</v>
      </c>
      <c r="DL1954" t="s">
        <v>120</v>
      </c>
      <c r="DM1954" t="s">
        <v>120</v>
      </c>
      <c r="DN1954" t="s">
        <v>120</v>
      </c>
    </row>
    <row r="1955" spans="1:118">
      <c r="A1955" t="str">
        <f>"300600"</f>
        <v>300600</v>
      </c>
      <c r="B1955" t="s">
        <v>9657</v>
      </c>
      <c r="C1955">
        <v>-4.3099999999999996</v>
      </c>
      <c r="D1955">
        <v>-0.48</v>
      </c>
      <c r="E1955">
        <v>-0.37</v>
      </c>
      <c r="F1955">
        <v>893</v>
      </c>
      <c r="G1955" t="s">
        <v>4783</v>
      </c>
      <c r="H1955">
        <v>6744.05</v>
      </c>
      <c r="I1955">
        <v>33.479999999999997</v>
      </c>
      <c r="J1955" t="s">
        <v>120</v>
      </c>
      <c r="K1955" t="s">
        <v>9658</v>
      </c>
      <c r="L1955">
        <v>2.82</v>
      </c>
      <c r="M1955">
        <v>10.210000000000001</v>
      </c>
      <c r="N1955">
        <v>0.7</v>
      </c>
      <c r="O1955">
        <v>0.94</v>
      </c>
      <c r="P1955">
        <v>10.77</v>
      </c>
      <c r="Q1955">
        <v>-4.3099999999999996</v>
      </c>
      <c r="R1955">
        <v>10.210000000000001</v>
      </c>
      <c r="S1955">
        <v>10.63</v>
      </c>
      <c r="T1955">
        <v>64318</v>
      </c>
      <c r="U1955">
        <v>10.220000000000001</v>
      </c>
      <c r="V1955">
        <v>10.67</v>
      </c>
      <c r="W1955" t="s">
        <v>120</v>
      </c>
      <c r="X1955" t="s">
        <v>394</v>
      </c>
      <c r="Y1955" t="s">
        <v>319</v>
      </c>
      <c r="Z1955">
        <v>5.25</v>
      </c>
      <c r="AA1955">
        <v>10.49</v>
      </c>
      <c r="AB1955">
        <v>38535</v>
      </c>
      <c r="AC1955">
        <v>25783</v>
      </c>
      <c r="AD1955">
        <v>1.49</v>
      </c>
      <c r="AE1955">
        <v>42</v>
      </c>
      <c r="AF1955">
        <v>148</v>
      </c>
      <c r="AG1955" t="s">
        <v>120</v>
      </c>
      <c r="AH1955">
        <v>0.02</v>
      </c>
      <c r="AI1955" t="s">
        <v>120</v>
      </c>
      <c r="AJ1955">
        <v>2.2799999999999998</v>
      </c>
      <c r="AK1955" t="s">
        <v>9659</v>
      </c>
      <c r="AL1955">
        <v>-2.4</v>
      </c>
      <c r="AM1955">
        <v>1752</v>
      </c>
      <c r="AN1955">
        <v>37</v>
      </c>
      <c r="AO1955">
        <v>1.6000000000000001E-3</v>
      </c>
      <c r="AP1955">
        <v>-3</v>
      </c>
      <c r="AQ1955">
        <v>-2.38</v>
      </c>
      <c r="AR1955">
        <v>-7.02</v>
      </c>
      <c r="AS1955">
        <v>-18.39</v>
      </c>
      <c r="AT1955">
        <v>-29.09</v>
      </c>
      <c r="AU1955">
        <v>-50.56</v>
      </c>
      <c r="AV1955">
        <v>1</v>
      </c>
      <c r="AW1955">
        <v>4.96</v>
      </c>
      <c r="AX1955">
        <v>43.66</v>
      </c>
      <c r="AY1955" t="s">
        <v>120</v>
      </c>
      <c r="AZ1955">
        <v>46.45</v>
      </c>
      <c r="BA1955">
        <v>0.62</v>
      </c>
      <c r="BB1955" t="s">
        <v>143</v>
      </c>
      <c r="BF1955">
        <v>-1.73</v>
      </c>
      <c r="BG1955">
        <v>-3.95</v>
      </c>
      <c r="BH1955">
        <v>-5.2</v>
      </c>
      <c r="BI1955">
        <v>0</v>
      </c>
      <c r="BJ1955">
        <v>20210913</v>
      </c>
      <c r="BK1955">
        <v>20170125</v>
      </c>
      <c r="BL1955">
        <v>2.97</v>
      </c>
      <c r="BM1955" t="s">
        <v>120</v>
      </c>
      <c r="BN1955" t="s">
        <v>120</v>
      </c>
      <c r="BO1955">
        <v>14.53</v>
      </c>
      <c r="BP1955">
        <v>10.210000000000001</v>
      </c>
      <c r="BQ1955">
        <v>9.09</v>
      </c>
      <c r="BR1955" t="s">
        <v>120</v>
      </c>
      <c r="BS1955">
        <v>37.4</v>
      </c>
      <c r="BT1955">
        <v>9.84</v>
      </c>
      <c r="BU1955">
        <v>3.3</v>
      </c>
      <c r="BV1955">
        <v>0.5</v>
      </c>
      <c r="BW1955">
        <v>5.42</v>
      </c>
      <c r="BX1955">
        <v>1.05</v>
      </c>
      <c r="BY1955">
        <v>1.91</v>
      </c>
      <c r="BZ1955">
        <v>4.7699999999999996</v>
      </c>
      <c r="CA1955" t="s">
        <v>120</v>
      </c>
      <c r="CB1955">
        <v>3.18</v>
      </c>
      <c r="CC1955">
        <v>1.19</v>
      </c>
      <c r="CD1955">
        <v>0.77</v>
      </c>
      <c r="CE1955">
        <v>-2.64</v>
      </c>
      <c r="CF1955">
        <v>-0.01</v>
      </c>
      <c r="CG1955">
        <v>-2.64</v>
      </c>
      <c r="CH1955">
        <v>-2.25</v>
      </c>
      <c r="CI1955">
        <v>-2.25</v>
      </c>
      <c r="CJ1955">
        <v>-0.46</v>
      </c>
      <c r="CK1955">
        <v>-2.25</v>
      </c>
      <c r="CL1955">
        <v>2.25</v>
      </c>
      <c r="CM1955">
        <v>-0.57999999999999996</v>
      </c>
      <c r="CN1955">
        <v>-1.05</v>
      </c>
      <c r="CO1955">
        <v>24054</v>
      </c>
      <c r="CP1955">
        <v>5388</v>
      </c>
      <c r="CQ1955" t="s">
        <v>1493</v>
      </c>
      <c r="CR1955">
        <v>-870.87</v>
      </c>
      <c r="CS1955">
        <v>-36.35</v>
      </c>
      <c r="CT1955">
        <v>3.3</v>
      </c>
      <c r="CU1955">
        <v>-52.13</v>
      </c>
      <c r="CV1955">
        <v>25.45</v>
      </c>
      <c r="CW1955">
        <v>0.47</v>
      </c>
      <c r="CX1955" t="s">
        <v>9660</v>
      </c>
      <c r="CY1955">
        <v>3.09</v>
      </c>
      <c r="CZ1955">
        <v>3.09</v>
      </c>
      <c r="DA1955">
        <v>1.07</v>
      </c>
      <c r="DB1955">
        <v>0.76</v>
      </c>
      <c r="DC1955">
        <v>-0.2</v>
      </c>
      <c r="DD1955">
        <v>62.6</v>
      </c>
      <c r="DE1955" t="s">
        <v>9661</v>
      </c>
      <c r="DF1955">
        <v>35.25</v>
      </c>
      <c r="DG1955">
        <v>-221.34</v>
      </c>
      <c r="DH1955">
        <v>-188.72</v>
      </c>
      <c r="DI1955">
        <v>0.05</v>
      </c>
      <c r="DJ1955">
        <v>480</v>
      </c>
      <c r="DK1955">
        <v>300600</v>
      </c>
      <c r="DL1955" t="s">
        <v>120</v>
      </c>
      <c r="DM1955" t="s">
        <v>120</v>
      </c>
      <c r="DN1955" t="s">
        <v>120</v>
      </c>
    </row>
    <row r="1956" spans="1:118">
      <c r="A1956" t="str">
        <f>"300601"</f>
        <v>300601</v>
      </c>
      <c r="B1956" t="s">
        <v>9662</v>
      </c>
      <c r="C1956">
        <v>-3.85</v>
      </c>
      <c r="D1956">
        <v>-0.15</v>
      </c>
      <c r="E1956">
        <v>-0.47</v>
      </c>
      <c r="F1956">
        <v>989</v>
      </c>
      <c r="G1956" t="s">
        <v>9663</v>
      </c>
      <c r="H1956">
        <v>89766.57</v>
      </c>
      <c r="I1956">
        <v>164.3</v>
      </c>
      <c r="J1956" t="s">
        <v>120</v>
      </c>
      <c r="K1956" t="s">
        <v>9664</v>
      </c>
      <c r="L1956">
        <v>1.62</v>
      </c>
      <c r="M1956">
        <v>102.4</v>
      </c>
      <c r="N1956">
        <v>0.95</v>
      </c>
      <c r="O1956">
        <v>0.85</v>
      </c>
      <c r="P1956">
        <v>107.4</v>
      </c>
      <c r="Q1956">
        <v>-4.2300000000000004</v>
      </c>
      <c r="R1956">
        <v>102</v>
      </c>
      <c r="S1956">
        <v>106</v>
      </c>
      <c r="T1956">
        <v>86370</v>
      </c>
      <c r="U1956">
        <v>102.4</v>
      </c>
      <c r="V1956">
        <v>106.5</v>
      </c>
      <c r="W1956">
        <v>104.51</v>
      </c>
      <c r="X1956" t="s">
        <v>666</v>
      </c>
      <c r="Y1956" t="s">
        <v>123</v>
      </c>
      <c r="Z1956">
        <v>5.07</v>
      </c>
      <c r="AA1956">
        <v>103.93</v>
      </c>
      <c r="AB1956">
        <v>38053</v>
      </c>
      <c r="AC1956">
        <v>48317</v>
      </c>
      <c r="AD1956">
        <v>0.79</v>
      </c>
      <c r="AE1956">
        <v>1</v>
      </c>
      <c r="AF1956">
        <v>16</v>
      </c>
      <c r="AG1956" t="s">
        <v>120</v>
      </c>
      <c r="AH1956">
        <v>0</v>
      </c>
      <c r="AI1956" t="s">
        <v>120</v>
      </c>
      <c r="AJ1956">
        <v>5.34</v>
      </c>
      <c r="AK1956" t="s">
        <v>9665</v>
      </c>
      <c r="AL1956">
        <v>-1.94</v>
      </c>
      <c r="AM1956">
        <v>4315</v>
      </c>
      <c r="AN1956">
        <v>20</v>
      </c>
      <c r="AO1956">
        <v>4.0000000000000002E-4</v>
      </c>
      <c r="AP1956">
        <v>-5</v>
      </c>
      <c r="AQ1956">
        <v>-5.76</v>
      </c>
      <c r="AR1956">
        <v>-11.2</v>
      </c>
      <c r="AS1956">
        <v>-24.88</v>
      </c>
      <c r="AT1956">
        <v>-28.61</v>
      </c>
      <c r="AU1956">
        <v>-41.32</v>
      </c>
      <c r="AV1956">
        <v>0</v>
      </c>
      <c r="AW1956">
        <v>2.4900000000000002</v>
      </c>
      <c r="AX1956">
        <v>50.58</v>
      </c>
      <c r="AY1956">
        <v>96.78</v>
      </c>
      <c r="AZ1956">
        <v>107.72</v>
      </c>
      <c r="BA1956">
        <v>1.1399999999999999</v>
      </c>
      <c r="BB1956" t="s">
        <v>134</v>
      </c>
      <c r="BF1956">
        <v>-2.41</v>
      </c>
      <c r="BG1956">
        <v>-3.4</v>
      </c>
      <c r="BH1956">
        <v>-4.66</v>
      </c>
      <c r="BI1956">
        <v>0.39</v>
      </c>
      <c r="BJ1956">
        <v>20210830</v>
      </c>
      <c r="BK1956">
        <v>20170207</v>
      </c>
      <c r="BL1956">
        <v>6.87</v>
      </c>
      <c r="BM1956" t="s">
        <v>120</v>
      </c>
      <c r="BN1956" t="s">
        <v>120</v>
      </c>
      <c r="BO1956">
        <v>109.32</v>
      </c>
      <c r="BP1956">
        <v>102.39</v>
      </c>
      <c r="BQ1956">
        <v>79.84</v>
      </c>
      <c r="BR1956" t="s">
        <v>120</v>
      </c>
      <c r="BS1956">
        <v>26.97</v>
      </c>
      <c r="BT1956">
        <v>54.12</v>
      </c>
      <c r="BU1956">
        <v>17.18</v>
      </c>
      <c r="BV1956">
        <v>2.91</v>
      </c>
      <c r="BW1956">
        <v>23.7</v>
      </c>
      <c r="BX1956">
        <v>19.04</v>
      </c>
      <c r="BY1956">
        <v>8.25</v>
      </c>
      <c r="BZ1956">
        <v>18.170000000000002</v>
      </c>
      <c r="CA1956" t="s">
        <v>120</v>
      </c>
      <c r="CB1956">
        <v>54.28</v>
      </c>
      <c r="CC1956">
        <v>10.52</v>
      </c>
      <c r="CD1956">
        <v>1.64</v>
      </c>
      <c r="CE1956">
        <v>3.88</v>
      </c>
      <c r="CF1956">
        <v>0.54</v>
      </c>
      <c r="CG1956">
        <v>3.77</v>
      </c>
      <c r="CH1956">
        <v>3.37</v>
      </c>
      <c r="CI1956">
        <v>3.37</v>
      </c>
      <c r="CJ1956">
        <v>-4.0999999999999996</v>
      </c>
      <c r="CK1956">
        <v>2.96</v>
      </c>
      <c r="CL1956">
        <v>17.34</v>
      </c>
      <c r="CM1956">
        <v>0.49</v>
      </c>
      <c r="CN1956">
        <v>10.17</v>
      </c>
      <c r="CO1956">
        <v>55709</v>
      </c>
      <c r="CP1956">
        <v>6238</v>
      </c>
      <c r="CQ1956" t="s">
        <v>9666</v>
      </c>
      <c r="CR1956">
        <v>29.54</v>
      </c>
      <c r="CS1956">
        <v>20.95</v>
      </c>
      <c r="CT1956">
        <v>8.81</v>
      </c>
      <c r="CU1956">
        <v>1428.97</v>
      </c>
      <c r="CV1956">
        <v>66.849999999999994</v>
      </c>
      <c r="CW1956">
        <v>0.28000000000000003</v>
      </c>
      <c r="CX1956" t="s">
        <v>3347</v>
      </c>
      <c r="CY1956">
        <v>11.62</v>
      </c>
      <c r="CZ1956">
        <v>0</v>
      </c>
      <c r="DA1956">
        <v>7.9</v>
      </c>
      <c r="DB1956">
        <v>2.52</v>
      </c>
      <c r="DC1956">
        <v>7.0000000000000007E-2</v>
      </c>
      <c r="DD1956">
        <v>73.03</v>
      </c>
      <c r="DE1956" t="s">
        <v>8552</v>
      </c>
      <c r="DF1956">
        <v>84.44</v>
      </c>
      <c r="DG1956">
        <v>36.85</v>
      </c>
      <c r="DH1956">
        <v>31.99</v>
      </c>
      <c r="DI1956">
        <v>1.25</v>
      </c>
      <c r="DJ1956">
        <v>2043</v>
      </c>
      <c r="DK1956">
        <v>300601</v>
      </c>
      <c r="DL1956" t="s">
        <v>120</v>
      </c>
      <c r="DM1956" t="s">
        <v>120</v>
      </c>
      <c r="DN1956" t="s">
        <v>120</v>
      </c>
    </row>
    <row r="1957" spans="1:118">
      <c r="A1957" t="str">
        <f>"300602"</f>
        <v>300602</v>
      </c>
      <c r="B1957" t="s">
        <v>9667</v>
      </c>
      <c r="C1957">
        <v>-4.0599999999999996</v>
      </c>
      <c r="D1957">
        <v>-0.04</v>
      </c>
      <c r="E1957">
        <v>1.42</v>
      </c>
      <c r="F1957">
        <v>253</v>
      </c>
      <c r="G1957" t="s">
        <v>296</v>
      </c>
      <c r="H1957">
        <v>4285.7</v>
      </c>
      <c r="I1957">
        <v>6.79</v>
      </c>
      <c r="J1957" t="s">
        <v>120</v>
      </c>
      <c r="K1957" t="s">
        <v>9668</v>
      </c>
      <c r="L1957">
        <v>0.72</v>
      </c>
      <c r="M1957">
        <v>18.899999999999999</v>
      </c>
      <c r="N1957">
        <v>1.3</v>
      </c>
      <c r="O1957">
        <v>1.42</v>
      </c>
      <c r="P1957">
        <v>19.98</v>
      </c>
      <c r="Q1957">
        <v>-4.26</v>
      </c>
      <c r="R1957">
        <v>18.86</v>
      </c>
      <c r="S1957">
        <v>19.98</v>
      </c>
      <c r="T1957">
        <v>22385</v>
      </c>
      <c r="U1957">
        <v>18.91</v>
      </c>
      <c r="V1957">
        <v>19.7</v>
      </c>
      <c r="W1957">
        <v>66.83</v>
      </c>
      <c r="X1957" t="s">
        <v>229</v>
      </c>
      <c r="Y1957" t="s">
        <v>123</v>
      </c>
      <c r="Z1957">
        <v>5.69</v>
      </c>
      <c r="AA1957">
        <v>19.149999999999999</v>
      </c>
      <c r="AB1957">
        <v>13924</v>
      </c>
      <c r="AC1957">
        <v>8461</v>
      </c>
      <c r="AD1957">
        <v>1.65</v>
      </c>
      <c r="AE1957">
        <v>1</v>
      </c>
      <c r="AF1957">
        <v>43</v>
      </c>
      <c r="AG1957" t="s">
        <v>120</v>
      </c>
      <c r="AH1957">
        <v>0</v>
      </c>
      <c r="AI1957" t="s">
        <v>120</v>
      </c>
      <c r="AJ1957">
        <v>3.11</v>
      </c>
      <c r="AK1957" t="s">
        <v>9669</v>
      </c>
      <c r="AL1957">
        <v>-2.15</v>
      </c>
      <c r="AM1957">
        <v>1299</v>
      </c>
      <c r="AN1957">
        <v>17</v>
      </c>
      <c r="AO1957">
        <v>5.9999999999999995E-4</v>
      </c>
      <c r="AP1957">
        <v>-1</v>
      </c>
      <c r="AQ1957">
        <v>0.51</v>
      </c>
      <c r="AR1957">
        <v>-5.17</v>
      </c>
      <c r="AS1957">
        <v>-14.48</v>
      </c>
      <c r="AT1957">
        <v>3.39</v>
      </c>
      <c r="AU1957">
        <v>-6.02</v>
      </c>
      <c r="AV1957">
        <v>0</v>
      </c>
      <c r="AW1957">
        <v>1.18</v>
      </c>
      <c r="AX1957">
        <v>37.47</v>
      </c>
      <c r="AY1957">
        <v>90.82</v>
      </c>
      <c r="AZ1957">
        <v>47.75</v>
      </c>
      <c r="BA1957">
        <v>1.05</v>
      </c>
      <c r="BB1957" t="s">
        <v>143</v>
      </c>
      <c r="BF1957">
        <v>-2.81</v>
      </c>
      <c r="BG1957">
        <v>-5.41</v>
      </c>
      <c r="BH1957">
        <v>-5.41</v>
      </c>
      <c r="BI1957">
        <v>0.21</v>
      </c>
      <c r="BJ1957">
        <v>20210902</v>
      </c>
      <c r="BK1957">
        <v>20170126</v>
      </c>
      <c r="BL1957">
        <v>5.0599999999999996</v>
      </c>
      <c r="BM1957" t="s">
        <v>120</v>
      </c>
      <c r="BN1957" t="s">
        <v>120</v>
      </c>
      <c r="BO1957">
        <v>47.43</v>
      </c>
      <c r="BP1957">
        <v>18.899999999999999</v>
      </c>
      <c r="BQ1957">
        <v>24.85</v>
      </c>
      <c r="BR1957">
        <v>2.34</v>
      </c>
      <c r="BS1957">
        <v>42.69</v>
      </c>
      <c r="BT1957">
        <v>23.78</v>
      </c>
      <c r="BU1957">
        <v>8.68</v>
      </c>
      <c r="BV1957">
        <v>2.81</v>
      </c>
      <c r="BW1957">
        <v>15.5</v>
      </c>
      <c r="BX1957">
        <v>7.41</v>
      </c>
      <c r="BY1957">
        <v>6.69</v>
      </c>
      <c r="BZ1957">
        <v>7.46</v>
      </c>
      <c r="CA1957">
        <v>0.01</v>
      </c>
      <c r="CB1957">
        <v>7.4</v>
      </c>
      <c r="CC1957">
        <v>12.07</v>
      </c>
      <c r="CD1957">
        <v>9.83</v>
      </c>
      <c r="CE1957">
        <v>0.54</v>
      </c>
      <c r="CF1957">
        <v>0</v>
      </c>
      <c r="CG1957">
        <v>0.55000000000000004</v>
      </c>
      <c r="CH1957">
        <v>0.46</v>
      </c>
      <c r="CI1957">
        <v>0.72</v>
      </c>
      <c r="CJ1957">
        <v>-0.8</v>
      </c>
      <c r="CK1957">
        <v>0.05</v>
      </c>
      <c r="CL1957">
        <v>11.31</v>
      </c>
      <c r="CM1957">
        <v>0.19</v>
      </c>
      <c r="CN1957">
        <v>-2.3199999999999998</v>
      </c>
      <c r="CO1957">
        <v>19947</v>
      </c>
      <c r="CP1957">
        <v>9513</v>
      </c>
      <c r="CQ1957" t="s">
        <v>9670</v>
      </c>
      <c r="CR1957">
        <v>-58.04</v>
      </c>
      <c r="CS1957">
        <v>-18.03</v>
      </c>
      <c r="CT1957">
        <v>3.85</v>
      </c>
      <c r="CU1957">
        <v>504.83</v>
      </c>
      <c r="CV1957">
        <v>7.93</v>
      </c>
      <c r="CW1957">
        <v>0.25</v>
      </c>
      <c r="CX1957" t="s">
        <v>300</v>
      </c>
      <c r="CY1957">
        <v>4.91</v>
      </c>
      <c r="CZ1957">
        <v>0</v>
      </c>
      <c r="DA1957">
        <v>1.46</v>
      </c>
      <c r="DB1957">
        <v>2.23</v>
      </c>
      <c r="DC1957">
        <v>0.04</v>
      </c>
      <c r="DD1957">
        <v>52.38</v>
      </c>
      <c r="DE1957" t="s">
        <v>2276</v>
      </c>
      <c r="DF1957">
        <v>18.54</v>
      </c>
      <c r="DG1957">
        <v>4.47</v>
      </c>
      <c r="DH1957">
        <v>5.93</v>
      </c>
      <c r="DI1957">
        <v>0.96</v>
      </c>
      <c r="DJ1957">
        <v>5615</v>
      </c>
      <c r="DK1957">
        <v>300602</v>
      </c>
      <c r="DL1957" t="s">
        <v>120</v>
      </c>
      <c r="DM1957" t="s">
        <v>120</v>
      </c>
      <c r="DN1957" t="s">
        <v>120</v>
      </c>
    </row>
    <row r="1958" spans="1:118">
      <c r="A1958" t="str">
        <f>"300603"</f>
        <v>300603</v>
      </c>
      <c r="B1958" t="s">
        <v>9671</v>
      </c>
      <c r="C1958">
        <v>-0.97</v>
      </c>
      <c r="D1958">
        <v>-0.1</v>
      </c>
      <c r="E1958">
        <v>0</v>
      </c>
      <c r="F1958">
        <v>345</v>
      </c>
      <c r="G1958" t="s">
        <v>4799</v>
      </c>
      <c r="H1958">
        <v>3926.79</v>
      </c>
      <c r="I1958">
        <v>3.52</v>
      </c>
      <c r="J1958" t="s">
        <v>120</v>
      </c>
      <c r="K1958" t="s">
        <v>9672</v>
      </c>
      <c r="L1958">
        <v>1.76</v>
      </c>
      <c r="M1958">
        <v>9.17</v>
      </c>
      <c r="N1958">
        <v>1.1499999999999999</v>
      </c>
      <c r="O1958">
        <v>1.4</v>
      </c>
      <c r="P1958">
        <v>9.39</v>
      </c>
      <c r="Q1958">
        <v>-1.08</v>
      </c>
      <c r="R1958">
        <v>9.16</v>
      </c>
      <c r="S1958">
        <v>9.26</v>
      </c>
      <c r="T1958">
        <v>42329</v>
      </c>
      <c r="U1958">
        <v>9.18</v>
      </c>
      <c r="V1958">
        <v>9.26</v>
      </c>
      <c r="W1958" t="s">
        <v>120</v>
      </c>
      <c r="X1958" t="s">
        <v>462</v>
      </c>
      <c r="Y1958" t="s">
        <v>609</v>
      </c>
      <c r="Z1958">
        <v>2.48</v>
      </c>
      <c r="AA1958">
        <v>9.2799999999999994</v>
      </c>
      <c r="AB1958">
        <v>22431</v>
      </c>
      <c r="AC1958">
        <v>19898</v>
      </c>
      <c r="AD1958">
        <v>1.1299999999999999</v>
      </c>
      <c r="AE1958">
        <v>1376</v>
      </c>
      <c r="AF1958">
        <v>166</v>
      </c>
      <c r="AG1958" t="s">
        <v>120</v>
      </c>
      <c r="AH1958">
        <v>0</v>
      </c>
      <c r="AI1958" t="s">
        <v>120</v>
      </c>
      <c r="AJ1958">
        <v>2.41</v>
      </c>
      <c r="AK1958" t="s">
        <v>6188</v>
      </c>
      <c r="AL1958">
        <v>0.94</v>
      </c>
      <c r="AM1958">
        <v>1335</v>
      </c>
      <c r="AN1958">
        <v>32</v>
      </c>
      <c r="AO1958">
        <v>1.2999999999999999E-3</v>
      </c>
      <c r="AP1958">
        <v>-3</v>
      </c>
      <c r="AQ1958">
        <v>-0.54</v>
      </c>
      <c r="AR1958">
        <v>-3.98</v>
      </c>
      <c r="AS1958">
        <v>-12.25</v>
      </c>
      <c r="AT1958">
        <v>-6.62</v>
      </c>
      <c r="AU1958">
        <v>-24.9</v>
      </c>
      <c r="AV1958">
        <v>1</v>
      </c>
      <c r="AW1958">
        <v>2.23</v>
      </c>
      <c r="AX1958">
        <v>51.33</v>
      </c>
      <c r="AY1958" t="s">
        <v>120</v>
      </c>
      <c r="AZ1958" t="s">
        <v>120</v>
      </c>
      <c r="BA1958">
        <v>0.89</v>
      </c>
      <c r="BB1958" t="s">
        <v>143</v>
      </c>
      <c r="BF1958">
        <v>0.18</v>
      </c>
      <c r="BG1958">
        <v>-0.97</v>
      </c>
      <c r="BH1958">
        <v>-2.34</v>
      </c>
      <c r="BI1958">
        <v>0.11</v>
      </c>
      <c r="BJ1958">
        <v>20210827</v>
      </c>
      <c r="BK1958">
        <v>20170126</v>
      </c>
      <c r="BL1958">
        <v>3.7</v>
      </c>
      <c r="BM1958" t="s">
        <v>120</v>
      </c>
      <c r="BN1958" t="s">
        <v>120</v>
      </c>
      <c r="BO1958">
        <v>27.67</v>
      </c>
      <c r="BP1958">
        <v>9.17</v>
      </c>
      <c r="BQ1958">
        <v>14.65</v>
      </c>
      <c r="BR1958">
        <v>0.4</v>
      </c>
      <c r="BS1958">
        <v>45.6</v>
      </c>
      <c r="BT1958">
        <v>15.62</v>
      </c>
      <c r="BU1958">
        <v>1.96</v>
      </c>
      <c r="BV1958">
        <v>0.26</v>
      </c>
      <c r="BW1958">
        <v>10.46</v>
      </c>
      <c r="BX1958">
        <v>1.52</v>
      </c>
      <c r="BY1958">
        <v>1.1499999999999999</v>
      </c>
      <c r="BZ1958">
        <v>11.61</v>
      </c>
      <c r="CA1958" t="s">
        <v>120</v>
      </c>
      <c r="CB1958">
        <v>17.190000000000001</v>
      </c>
      <c r="CC1958">
        <v>6</v>
      </c>
      <c r="CD1958">
        <v>4.79</v>
      </c>
      <c r="CE1958">
        <v>-0.11</v>
      </c>
      <c r="CF1958">
        <v>0</v>
      </c>
      <c r="CG1958">
        <v>-0.11</v>
      </c>
      <c r="CH1958">
        <v>-0.18</v>
      </c>
      <c r="CI1958">
        <v>-0.24</v>
      </c>
      <c r="CJ1958">
        <v>-0.09</v>
      </c>
      <c r="CK1958">
        <v>-0.27</v>
      </c>
      <c r="CL1958">
        <v>-6.67</v>
      </c>
      <c r="CM1958">
        <v>-1.67</v>
      </c>
      <c r="CN1958">
        <v>-1.62</v>
      </c>
      <c r="CO1958">
        <v>32174</v>
      </c>
      <c r="CP1958">
        <v>5905</v>
      </c>
      <c r="CQ1958" t="s">
        <v>6806</v>
      </c>
      <c r="CR1958">
        <v>-194.92</v>
      </c>
      <c r="CS1958">
        <v>-19.510000000000002</v>
      </c>
      <c r="CT1958">
        <v>2.64</v>
      </c>
      <c r="CU1958">
        <v>-20.329999999999998</v>
      </c>
      <c r="CV1958">
        <v>5.65</v>
      </c>
      <c r="CW1958">
        <v>0</v>
      </c>
      <c r="CX1958" t="s">
        <v>2044</v>
      </c>
      <c r="CY1958">
        <v>3.48</v>
      </c>
      <c r="CZ1958">
        <v>3.48</v>
      </c>
      <c r="DA1958">
        <v>4.6399999999999997</v>
      </c>
      <c r="DB1958">
        <v>-1.8</v>
      </c>
      <c r="DC1958">
        <v>-0.45</v>
      </c>
      <c r="DD1958">
        <v>52.96</v>
      </c>
      <c r="DE1958" t="s">
        <v>9673</v>
      </c>
      <c r="DF1958">
        <v>20.170000000000002</v>
      </c>
      <c r="DG1958">
        <v>-1.87</v>
      </c>
      <c r="DH1958">
        <v>-3.92</v>
      </c>
      <c r="DI1958">
        <v>0.21</v>
      </c>
      <c r="DJ1958">
        <v>863</v>
      </c>
      <c r="DK1958">
        <v>300603</v>
      </c>
      <c r="DL1958" t="s">
        <v>120</v>
      </c>
      <c r="DM1958" t="s">
        <v>120</v>
      </c>
      <c r="DN1958" t="s">
        <v>120</v>
      </c>
    </row>
    <row r="1959" spans="1:118">
      <c r="A1959" t="str">
        <f>"300604"</f>
        <v>300604</v>
      </c>
      <c r="B1959" t="s">
        <v>9674</v>
      </c>
      <c r="C1959">
        <v>-3.3</v>
      </c>
      <c r="D1959">
        <v>7.0000000000000007E-2</v>
      </c>
      <c r="E1959">
        <v>-0.51</v>
      </c>
      <c r="F1959">
        <v>6593</v>
      </c>
      <c r="G1959" t="s">
        <v>9675</v>
      </c>
      <c r="H1959">
        <v>58293.599999999999</v>
      </c>
      <c r="I1959">
        <v>315.26</v>
      </c>
      <c r="J1959" t="s">
        <v>120</v>
      </c>
      <c r="K1959" t="s">
        <v>9676</v>
      </c>
      <c r="L1959">
        <v>3.56</v>
      </c>
      <c r="M1959">
        <v>45.13</v>
      </c>
      <c r="N1959">
        <v>0.84</v>
      </c>
      <c r="O1959">
        <v>1.56</v>
      </c>
      <c r="P1959">
        <v>47.4</v>
      </c>
      <c r="Q1959">
        <v>-3.58</v>
      </c>
      <c r="R1959">
        <v>45</v>
      </c>
      <c r="S1959">
        <v>46.43</v>
      </c>
      <c r="T1959">
        <v>126539</v>
      </c>
      <c r="U1959">
        <v>45.14</v>
      </c>
      <c r="V1959">
        <v>46.67</v>
      </c>
      <c r="W1959">
        <v>150.24</v>
      </c>
      <c r="X1959" t="s">
        <v>675</v>
      </c>
      <c r="Y1959" t="s">
        <v>585</v>
      </c>
      <c r="Z1959">
        <v>5.14</v>
      </c>
      <c r="AA1959">
        <v>46.07</v>
      </c>
      <c r="AB1959">
        <v>74644</v>
      </c>
      <c r="AC1959">
        <v>51895</v>
      </c>
      <c r="AD1959">
        <v>1.44</v>
      </c>
      <c r="AE1959">
        <v>110</v>
      </c>
      <c r="AF1959">
        <v>10</v>
      </c>
      <c r="AG1959" t="s">
        <v>120</v>
      </c>
      <c r="AH1959">
        <v>0.03</v>
      </c>
      <c r="AI1959" t="s">
        <v>120</v>
      </c>
      <c r="AJ1959">
        <v>3.55</v>
      </c>
      <c r="AK1959" t="s">
        <v>9677</v>
      </c>
      <c r="AL1959">
        <v>-1.39</v>
      </c>
      <c r="AM1959">
        <v>4099</v>
      </c>
      <c r="AN1959">
        <v>31</v>
      </c>
      <c r="AO1959">
        <v>8.9999999999999998E-4</v>
      </c>
      <c r="AP1959">
        <v>-1</v>
      </c>
      <c r="AQ1959">
        <v>3.99</v>
      </c>
      <c r="AR1959">
        <v>2.5499999999999998</v>
      </c>
      <c r="AS1959">
        <v>-6.5</v>
      </c>
      <c r="AT1959">
        <v>43.92</v>
      </c>
      <c r="AU1959">
        <v>185.54</v>
      </c>
      <c r="AV1959">
        <v>1</v>
      </c>
      <c r="AW1959">
        <v>5.76</v>
      </c>
      <c r="AX1959">
        <v>36.869999999999997</v>
      </c>
      <c r="AY1959">
        <v>187.97</v>
      </c>
      <c r="AZ1959">
        <v>327.89</v>
      </c>
      <c r="BA1959">
        <v>0.94</v>
      </c>
      <c r="BB1959" t="s">
        <v>143</v>
      </c>
      <c r="BF1959">
        <v>-1.29</v>
      </c>
      <c r="BG1959">
        <v>-2.8</v>
      </c>
      <c r="BH1959">
        <v>-4.79</v>
      </c>
      <c r="BI1959">
        <v>0.28999999999999998</v>
      </c>
      <c r="BJ1959">
        <v>20210831</v>
      </c>
      <c r="BK1959">
        <v>20170417</v>
      </c>
      <c r="BL1959">
        <v>5.96</v>
      </c>
      <c r="BM1959" t="s">
        <v>120</v>
      </c>
      <c r="BN1959" t="s">
        <v>120</v>
      </c>
      <c r="BO1959">
        <v>23.85</v>
      </c>
      <c r="BP1959">
        <v>45.13</v>
      </c>
      <c r="BQ1959">
        <v>12</v>
      </c>
      <c r="BR1959" t="s">
        <v>120</v>
      </c>
      <c r="BS1959">
        <v>49.67</v>
      </c>
      <c r="BT1959">
        <v>18.649999999999999</v>
      </c>
      <c r="BU1959">
        <v>1.56</v>
      </c>
      <c r="BV1959">
        <v>0.42</v>
      </c>
      <c r="BW1959">
        <v>8.08</v>
      </c>
      <c r="BX1959">
        <v>4.66</v>
      </c>
      <c r="BY1959">
        <v>7.03</v>
      </c>
      <c r="BZ1959">
        <v>6.03</v>
      </c>
      <c r="CA1959" t="s">
        <v>120</v>
      </c>
      <c r="CB1959">
        <v>6.02</v>
      </c>
      <c r="CC1959">
        <v>6.73</v>
      </c>
      <c r="CD1959">
        <v>3.12</v>
      </c>
      <c r="CE1959">
        <v>1.1399999999999999</v>
      </c>
      <c r="CF1959">
        <v>0</v>
      </c>
      <c r="CG1959">
        <v>1.1399999999999999</v>
      </c>
      <c r="CH1959">
        <v>0.95</v>
      </c>
      <c r="CI1959">
        <v>0.9</v>
      </c>
      <c r="CJ1959">
        <v>-1.54</v>
      </c>
      <c r="CK1959">
        <v>0.73</v>
      </c>
      <c r="CL1959">
        <v>2.86</v>
      </c>
      <c r="CM1959">
        <v>-0.65</v>
      </c>
      <c r="CN1959">
        <v>0.44</v>
      </c>
      <c r="CO1959">
        <v>17071</v>
      </c>
      <c r="CP1959">
        <v>12877</v>
      </c>
      <c r="CQ1959" t="s">
        <v>9678</v>
      </c>
      <c r="CR1959">
        <v>239.44</v>
      </c>
      <c r="CS1959">
        <v>111.53</v>
      </c>
      <c r="CT1959">
        <v>22.42</v>
      </c>
      <c r="CU1959">
        <v>-413.1</v>
      </c>
      <c r="CV1959">
        <v>39.96</v>
      </c>
      <c r="CW1959">
        <v>0.11</v>
      </c>
      <c r="CX1959" t="s">
        <v>373</v>
      </c>
      <c r="CY1959">
        <v>2.0099999999999998</v>
      </c>
      <c r="CZ1959">
        <v>0</v>
      </c>
      <c r="DA1959">
        <v>1.01</v>
      </c>
      <c r="DB1959">
        <v>0.48</v>
      </c>
      <c r="DC1959">
        <v>-0.11</v>
      </c>
      <c r="DD1959">
        <v>50.33</v>
      </c>
      <c r="DE1959" t="s">
        <v>8502</v>
      </c>
      <c r="DF1959">
        <v>53.7</v>
      </c>
      <c r="DG1959">
        <v>16.89</v>
      </c>
      <c r="DH1959">
        <v>13.3</v>
      </c>
      <c r="DI1959">
        <v>1.43</v>
      </c>
      <c r="DJ1959">
        <v>924</v>
      </c>
      <c r="DK1959">
        <v>300604</v>
      </c>
      <c r="DL1959" t="s">
        <v>120</v>
      </c>
      <c r="DM1959" t="s">
        <v>120</v>
      </c>
      <c r="DN1959" t="s">
        <v>120</v>
      </c>
    </row>
    <row r="1960" spans="1:118">
      <c r="A1960" t="str">
        <f>"300605"</f>
        <v>300605</v>
      </c>
      <c r="B1960" t="s">
        <v>9679</v>
      </c>
      <c r="C1960">
        <v>0.33</v>
      </c>
      <c r="D1960">
        <v>-0.15</v>
      </c>
      <c r="E1960">
        <v>0.49</v>
      </c>
      <c r="F1960">
        <v>105</v>
      </c>
      <c r="G1960" t="s">
        <v>6137</v>
      </c>
      <c r="H1960">
        <v>3042.42</v>
      </c>
      <c r="I1960">
        <v>14.34</v>
      </c>
      <c r="J1960" t="s">
        <v>120</v>
      </c>
      <c r="K1960" t="s">
        <v>9680</v>
      </c>
      <c r="L1960">
        <v>2.38</v>
      </c>
      <c r="M1960">
        <v>12.34</v>
      </c>
      <c r="N1960">
        <v>1.1399999999999999</v>
      </c>
      <c r="O1960">
        <v>2.85</v>
      </c>
      <c r="P1960">
        <v>12.65</v>
      </c>
      <c r="Q1960">
        <v>0.16</v>
      </c>
      <c r="R1960">
        <v>12.32</v>
      </c>
      <c r="S1960">
        <v>12.36</v>
      </c>
      <c r="T1960">
        <v>24439</v>
      </c>
      <c r="U1960">
        <v>12.35</v>
      </c>
      <c r="V1960">
        <v>12.3</v>
      </c>
      <c r="W1960">
        <v>46.87</v>
      </c>
      <c r="X1960" t="s">
        <v>141</v>
      </c>
      <c r="Y1960" t="s">
        <v>937</v>
      </c>
      <c r="Z1960">
        <v>2.68</v>
      </c>
      <c r="AA1960">
        <v>12.45</v>
      </c>
      <c r="AB1960">
        <v>12276</v>
      </c>
      <c r="AC1960">
        <v>12163</v>
      </c>
      <c r="AD1960">
        <v>1.01</v>
      </c>
      <c r="AE1960">
        <v>180</v>
      </c>
      <c r="AF1960">
        <v>60</v>
      </c>
      <c r="AG1960" t="s">
        <v>120</v>
      </c>
      <c r="AH1960">
        <v>0.01</v>
      </c>
      <c r="AI1960" t="s">
        <v>120</v>
      </c>
      <c r="AJ1960">
        <v>1.03</v>
      </c>
      <c r="AK1960" t="s">
        <v>3285</v>
      </c>
      <c r="AL1960">
        <v>2.2400000000000002</v>
      </c>
      <c r="AM1960">
        <v>1022</v>
      </c>
      <c r="AN1960">
        <v>24</v>
      </c>
      <c r="AO1960">
        <v>2.3E-3</v>
      </c>
      <c r="AP1960">
        <v>3</v>
      </c>
      <c r="AQ1960">
        <v>0.65</v>
      </c>
      <c r="AR1960">
        <v>1.56</v>
      </c>
      <c r="AS1960">
        <v>-10.19</v>
      </c>
      <c r="AT1960">
        <v>2.4900000000000002</v>
      </c>
      <c r="AU1960">
        <v>-5.29</v>
      </c>
      <c r="AV1960">
        <v>1</v>
      </c>
      <c r="AW1960">
        <v>3.12</v>
      </c>
      <c r="AX1960">
        <v>47.66</v>
      </c>
      <c r="AY1960">
        <v>32.97</v>
      </c>
      <c r="AZ1960">
        <v>34.340000000000003</v>
      </c>
      <c r="BA1960">
        <v>0.56999999999999995</v>
      </c>
      <c r="BB1960" t="s">
        <v>168</v>
      </c>
      <c r="BF1960">
        <v>1.21</v>
      </c>
      <c r="BG1960">
        <v>-0.16</v>
      </c>
      <c r="BH1960">
        <v>-2.4500000000000002</v>
      </c>
      <c r="BI1960">
        <v>0.16</v>
      </c>
      <c r="BJ1960">
        <v>20210827</v>
      </c>
      <c r="BK1960">
        <v>20170208</v>
      </c>
      <c r="BL1960">
        <v>1.65</v>
      </c>
      <c r="BM1960" t="s">
        <v>120</v>
      </c>
      <c r="BN1960" t="s">
        <v>120</v>
      </c>
      <c r="BO1960">
        <v>9.9</v>
      </c>
      <c r="BP1960">
        <v>12.34</v>
      </c>
      <c r="BQ1960">
        <v>4.9400000000000004</v>
      </c>
      <c r="BR1960">
        <v>0.03</v>
      </c>
      <c r="BS1960">
        <v>49.83</v>
      </c>
      <c r="BT1960">
        <v>8.6</v>
      </c>
      <c r="BU1960">
        <v>0.77</v>
      </c>
      <c r="BV1960">
        <v>0.08</v>
      </c>
      <c r="BW1960">
        <v>4.93</v>
      </c>
      <c r="BX1960">
        <v>0.47</v>
      </c>
      <c r="BY1960">
        <v>3.57</v>
      </c>
      <c r="BZ1960">
        <v>2.94</v>
      </c>
      <c r="CA1960" t="s">
        <v>120</v>
      </c>
      <c r="CB1960">
        <v>1.68</v>
      </c>
      <c r="CC1960">
        <v>2.02</v>
      </c>
      <c r="CD1960">
        <v>1.46</v>
      </c>
      <c r="CE1960">
        <v>0.25</v>
      </c>
      <c r="CF1960">
        <v>-0.01</v>
      </c>
      <c r="CG1960">
        <v>0.25</v>
      </c>
      <c r="CH1960">
        <v>0.21</v>
      </c>
      <c r="CI1960">
        <v>0.22</v>
      </c>
      <c r="CJ1960">
        <v>0.04</v>
      </c>
      <c r="CK1960">
        <v>0.2</v>
      </c>
      <c r="CL1960">
        <v>1.44</v>
      </c>
      <c r="CM1960">
        <v>-0.73</v>
      </c>
      <c r="CN1960">
        <v>-0.59</v>
      </c>
      <c r="CO1960">
        <v>13912</v>
      </c>
      <c r="CP1960">
        <v>5637</v>
      </c>
      <c r="CQ1960" t="s">
        <v>5355</v>
      </c>
      <c r="CR1960">
        <v>12.79</v>
      </c>
      <c r="CS1960">
        <v>23.88</v>
      </c>
      <c r="CT1960">
        <v>4.1100000000000003</v>
      </c>
      <c r="CU1960">
        <v>-27.84</v>
      </c>
      <c r="CV1960">
        <v>10.039999999999999</v>
      </c>
      <c r="CW1960">
        <v>0.41</v>
      </c>
      <c r="CX1960" t="s">
        <v>986</v>
      </c>
      <c r="CY1960">
        <v>3</v>
      </c>
      <c r="CZ1960">
        <v>0</v>
      </c>
      <c r="DA1960">
        <v>1.02</v>
      </c>
      <c r="DB1960">
        <v>0.88</v>
      </c>
      <c r="DC1960">
        <v>-0.44</v>
      </c>
      <c r="DD1960">
        <v>49.9</v>
      </c>
      <c r="DE1960" t="s">
        <v>2820</v>
      </c>
      <c r="DF1960">
        <v>27.96</v>
      </c>
      <c r="DG1960">
        <v>12.53</v>
      </c>
      <c r="DH1960">
        <v>10.72</v>
      </c>
      <c r="DI1960">
        <v>0.12</v>
      </c>
      <c r="DJ1960">
        <v>585</v>
      </c>
      <c r="DK1960">
        <v>300605</v>
      </c>
      <c r="DL1960" t="s">
        <v>120</v>
      </c>
      <c r="DM1960" t="s">
        <v>120</v>
      </c>
      <c r="DN1960" t="s">
        <v>120</v>
      </c>
    </row>
    <row r="1961" spans="1:118">
      <c r="A1961" t="str">
        <f>"300606"</f>
        <v>300606</v>
      </c>
      <c r="B1961" t="s">
        <v>9681</v>
      </c>
      <c r="C1961">
        <v>-0.28999999999999998</v>
      </c>
      <c r="D1961">
        <v>0</v>
      </c>
      <c r="E1961">
        <v>-1.07</v>
      </c>
      <c r="F1961">
        <v>298</v>
      </c>
      <c r="G1961" t="s">
        <v>9682</v>
      </c>
      <c r="H1961">
        <v>9268.25</v>
      </c>
      <c r="I1961">
        <v>26.81</v>
      </c>
      <c r="J1961" t="s">
        <v>120</v>
      </c>
      <c r="K1961" t="s">
        <v>3336</v>
      </c>
      <c r="L1961">
        <v>8.08</v>
      </c>
      <c r="M1961">
        <v>20.47</v>
      </c>
      <c r="N1961">
        <v>0.93</v>
      </c>
      <c r="O1961">
        <v>3.56</v>
      </c>
      <c r="P1961">
        <v>21.26</v>
      </c>
      <c r="Q1961">
        <v>-1.61</v>
      </c>
      <c r="R1961">
        <v>20.2</v>
      </c>
      <c r="S1961">
        <v>20.309999999999999</v>
      </c>
      <c r="T1961">
        <v>44812</v>
      </c>
      <c r="U1961">
        <v>20.48</v>
      </c>
      <c r="V1961">
        <v>20.53</v>
      </c>
      <c r="W1961">
        <v>57.53</v>
      </c>
      <c r="X1961" t="s">
        <v>1991</v>
      </c>
      <c r="Y1961" t="s">
        <v>547</v>
      </c>
      <c r="Z1961">
        <v>5.16</v>
      </c>
      <c r="AA1961">
        <v>20.68</v>
      </c>
      <c r="AB1961">
        <v>22705</v>
      </c>
      <c r="AC1961">
        <v>22107</v>
      </c>
      <c r="AD1961">
        <v>1.03</v>
      </c>
      <c r="AE1961">
        <v>45</v>
      </c>
      <c r="AF1961">
        <v>8</v>
      </c>
      <c r="AG1961" t="s">
        <v>120</v>
      </c>
      <c r="AH1961">
        <v>0.03</v>
      </c>
      <c r="AI1961" t="s">
        <v>120</v>
      </c>
      <c r="AJ1961">
        <v>0.55000000000000004</v>
      </c>
      <c r="AK1961" t="s">
        <v>9683</v>
      </c>
      <c r="AL1961">
        <v>1.62</v>
      </c>
      <c r="AM1961">
        <v>1974</v>
      </c>
      <c r="AN1961">
        <v>23</v>
      </c>
      <c r="AO1961">
        <v>4.1000000000000003E-3</v>
      </c>
      <c r="AP1961">
        <v>-2</v>
      </c>
      <c r="AQ1961">
        <v>-2.79</v>
      </c>
      <c r="AR1961">
        <v>-0.2</v>
      </c>
      <c r="AS1961">
        <v>10.77</v>
      </c>
      <c r="AT1961">
        <v>3.91</v>
      </c>
      <c r="AU1961">
        <v>4.54</v>
      </c>
      <c r="AV1961">
        <v>0</v>
      </c>
      <c r="AW1961">
        <v>10.76</v>
      </c>
      <c r="AX1961">
        <v>44.56</v>
      </c>
      <c r="AY1961">
        <v>57.68</v>
      </c>
      <c r="AZ1961">
        <v>26.91</v>
      </c>
      <c r="BA1961">
        <v>0.55000000000000004</v>
      </c>
      <c r="BB1961" t="s">
        <v>143</v>
      </c>
      <c r="BF1961">
        <v>0.74</v>
      </c>
      <c r="BG1961">
        <v>0.79</v>
      </c>
      <c r="BH1961">
        <v>-3.72</v>
      </c>
      <c r="BI1961">
        <v>1.34</v>
      </c>
      <c r="BJ1961">
        <v>20210828</v>
      </c>
      <c r="BK1961">
        <v>20170208</v>
      </c>
      <c r="BL1961">
        <v>0.93</v>
      </c>
      <c r="BM1961" t="s">
        <v>120</v>
      </c>
      <c r="BN1961" t="s">
        <v>120</v>
      </c>
      <c r="BO1961">
        <v>7.57</v>
      </c>
      <c r="BP1961">
        <v>20.47</v>
      </c>
      <c r="BQ1961">
        <v>5.12</v>
      </c>
      <c r="BR1961">
        <v>0.34</v>
      </c>
      <c r="BS1961">
        <v>27.88</v>
      </c>
      <c r="BT1961">
        <v>4.9800000000000004</v>
      </c>
      <c r="BU1961">
        <v>1.4</v>
      </c>
      <c r="BV1961">
        <v>0.28000000000000003</v>
      </c>
      <c r="BW1961">
        <v>2.04</v>
      </c>
      <c r="BX1961">
        <v>0.68</v>
      </c>
      <c r="BY1961">
        <v>1.29</v>
      </c>
      <c r="BZ1961">
        <v>1.1599999999999999</v>
      </c>
      <c r="CA1961" t="s">
        <v>120</v>
      </c>
      <c r="CB1961">
        <v>0.84</v>
      </c>
      <c r="CC1961">
        <v>1.74</v>
      </c>
      <c r="CD1961">
        <v>1.21</v>
      </c>
      <c r="CE1961">
        <v>0.17</v>
      </c>
      <c r="CF1961">
        <v>0.02</v>
      </c>
      <c r="CG1961">
        <v>0.17</v>
      </c>
      <c r="CH1961">
        <v>0.16</v>
      </c>
      <c r="CI1961">
        <v>0.17</v>
      </c>
      <c r="CJ1961">
        <v>-0.06</v>
      </c>
      <c r="CK1961">
        <v>0.14000000000000001</v>
      </c>
      <c r="CL1961">
        <v>3.28</v>
      </c>
      <c r="CM1961">
        <v>-0.28999999999999998</v>
      </c>
      <c r="CN1961">
        <v>-1.66</v>
      </c>
      <c r="CO1961">
        <v>9121</v>
      </c>
      <c r="CP1961">
        <v>4565</v>
      </c>
      <c r="CQ1961" t="s">
        <v>9376</v>
      </c>
      <c r="CR1961">
        <v>-69.58</v>
      </c>
      <c r="CS1961">
        <v>-21.53</v>
      </c>
      <c r="CT1961">
        <v>3.74</v>
      </c>
      <c r="CU1961">
        <v>-64.97</v>
      </c>
      <c r="CV1961">
        <v>10.97</v>
      </c>
      <c r="CW1961">
        <v>1.36</v>
      </c>
      <c r="CX1961" t="s">
        <v>242</v>
      </c>
      <c r="CY1961">
        <v>5.48</v>
      </c>
      <c r="CZ1961">
        <v>0</v>
      </c>
      <c r="DA1961">
        <v>0.9</v>
      </c>
      <c r="DB1961">
        <v>3.52</v>
      </c>
      <c r="DC1961">
        <v>-0.32</v>
      </c>
      <c r="DD1961">
        <v>67.62</v>
      </c>
      <c r="DE1961" t="s">
        <v>4432</v>
      </c>
      <c r="DF1961">
        <v>30.58</v>
      </c>
      <c r="DG1961">
        <v>9.86</v>
      </c>
      <c r="DH1961">
        <v>9.5299999999999994</v>
      </c>
      <c r="DI1961">
        <v>0.14000000000000001</v>
      </c>
      <c r="DJ1961">
        <v>463</v>
      </c>
      <c r="DK1961">
        <v>300606</v>
      </c>
      <c r="DL1961">
        <v>20210826</v>
      </c>
      <c r="DM1961">
        <v>23.04</v>
      </c>
      <c r="DN1961">
        <v>-11.15</v>
      </c>
    </row>
    <row r="1962" spans="1:118">
      <c r="A1962" t="str">
        <f>"300607"</f>
        <v>300607</v>
      </c>
      <c r="B1962" t="s">
        <v>9684</v>
      </c>
      <c r="C1962">
        <v>-1.02</v>
      </c>
      <c r="D1962">
        <v>0</v>
      </c>
      <c r="E1962">
        <v>-0.61</v>
      </c>
      <c r="F1962">
        <v>1128</v>
      </c>
      <c r="G1962" t="s">
        <v>1075</v>
      </c>
      <c r="H1962">
        <v>17416.580000000002</v>
      </c>
      <c r="I1962">
        <v>86.58</v>
      </c>
      <c r="J1962" t="s">
        <v>120</v>
      </c>
      <c r="K1962" t="s">
        <v>9685</v>
      </c>
      <c r="L1962">
        <v>3.21</v>
      </c>
      <c r="M1962">
        <v>19.420000000000002</v>
      </c>
      <c r="N1962">
        <v>0.64</v>
      </c>
      <c r="O1962">
        <v>1.33</v>
      </c>
      <c r="P1962">
        <v>19.88</v>
      </c>
      <c r="Q1962">
        <v>-2.14</v>
      </c>
      <c r="R1962">
        <v>19.2</v>
      </c>
      <c r="S1962">
        <v>19.5</v>
      </c>
      <c r="T1962">
        <v>89333</v>
      </c>
      <c r="U1962">
        <v>19.420000000000002</v>
      </c>
      <c r="V1962">
        <v>19.62</v>
      </c>
      <c r="W1962">
        <v>32.299999999999997</v>
      </c>
      <c r="X1962" t="s">
        <v>675</v>
      </c>
      <c r="Y1962" t="s">
        <v>547</v>
      </c>
      <c r="Z1962">
        <v>3.47</v>
      </c>
      <c r="AA1962">
        <v>19.5</v>
      </c>
      <c r="AB1962">
        <v>48695</v>
      </c>
      <c r="AC1962">
        <v>40638</v>
      </c>
      <c r="AD1962">
        <v>1.2</v>
      </c>
      <c r="AE1962">
        <v>299</v>
      </c>
      <c r="AF1962">
        <v>81</v>
      </c>
      <c r="AG1962" t="s">
        <v>120</v>
      </c>
      <c r="AH1962">
        <v>0.02</v>
      </c>
      <c r="AI1962" t="s">
        <v>120</v>
      </c>
      <c r="AJ1962">
        <v>2.78</v>
      </c>
      <c r="AK1962" t="s">
        <v>9686</v>
      </c>
      <c r="AL1962">
        <v>0.89</v>
      </c>
      <c r="AM1962">
        <v>2825</v>
      </c>
      <c r="AN1962">
        <v>32</v>
      </c>
      <c r="AO1962">
        <v>1.1000000000000001E-3</v>
      </c>
      <c r="AP1962">
        <v>-2</v>
      </c>
      <c r="AQ1962">
        <v>-3.49</v>
      </c>
      <c r="AR1962">
        <v>-0.4</v>
      </c>
      <c r="AS1962">
        <v>4.8</v>
      </c>
      <c r="AT1962">
        <v>-7.4</v>
      </c>
      <c r="AU1962">
        <v>-9.67</v>
      </c>
      <c r="AV1962">
        <v>0</v>
      </c>
      <c r="AW1962">
        <v>3.64</v>
      </c>
      <c r="AX1962">
        <v>57.62</v>
      </c>
      <c r="AY1962">
        <v>33.79</v>
      </c>
      <c r="AZ1962">
        <v>16.079999999999998</v>
      </c>
      <c r="BA1962">
        <v>1.1299999999999999</v>
      </c>
      <c r="BB1962" t="s">
        <v>143</v>
      </c>
      <c r="BF1962">
        <v>-0.63</v>
      </c>
      <c r="BG1962">
        <v>-0.41</v>
      </c>
      <c r="BH1962">
        <v>-2.31</v>
      </c>
      <c r="BI1962">
        <v>1.1499999999999999</v>
      </c>
      <c r="BJ1962">
        <v>20210826</v>
      </c>
      <c r="BK1962">
        <v>20170209</v>
      </c>
      <c r="BL1962">
        <v>4.26</v>
      </c>
      <c r="BM1962" t="s">
        <v>120</v>
      </c>
      <c r="BN1962" t="s">
        <v>120</v>
      </c>
      <c r="BO1962">
        <v>50.04</v>
      </c>
      <c r="BP1962">
        <v>19.41</v>
      </c>
      <c r="BQ1962">
        <v>22.65</v>
      </c>
      <c r="BR1962">
        <v>0.06</v>
      </c>
      <c r="BS1962">
        <v>54.61</v>
      </c>
      <c r="BT1962">
        <v>42.59</v>
      </c>
      <c r="BU1962">
        <v>2.1</v>
      </c>
      <c r="BV1962">
        <v>1.83</v>
      </c>
      <c r="BW1962">
        <v>20.11</v>
      </c>
      <c r="BX1962">
        <v>13.61</v>
      </c>
      <c r="BY1962">
        <v>11.82</v>
      </c>
      <c r="BZ1962">
        <v>9.9600000000000009</v>
      </c>
      <c r="CA1962" t="s">
        <v>120</v>
      </c>
      <c r="CB1962">
        <v>8.9</v>
      </c>
      <c r="CC1962">
        <v>15.54</v>
      </c>
      <c r="CD1962">
        <v>11.26</v>
      </c>
      <c r="CE1962">
        <v>1.42</v>
      </c>
      <c r="CF1962">
        <v>0</v>
      </c>
      <c r="CG1962">
        <v>1.43</v>
      </c>
      <c r="CH1962">
        <v>1.29</v>
      </c>
      <c r="CI1962">
        <v>1.28</v>
      </c>
      <c r="CJ1962">
        <v>-0.2</v>
      </c>
      <c r="CK1962">
        <v>1.2</v>
      </c>
      <c r="CL1962">
        <v>9.69</v>
      </c>
      <c r="CM1962">
        <v>-4.26</v>
      </c>
      <c r="CN1962">
        <v>1.95</v>
      </c>
      <c r="CO1962">
        <v>29114</v>
      </c>
      <c r="CP1962">
        <v>8428</v>
      </c>
      <c r="CQ1962" t="s">
        <v>193</v>
      </c>
      <c r="CR1962">
        <v>-68.03</v>
      </c>
      <c r="CS1962">
        <v>3.46</v>
      </c>
      <c r="CT1962">
        <v>3.65</v>
      </c>
      <c r="CU1962">
        <v>-19.420000000000002</v>
      </c>
      <c r="CV1962">
        <v>5.32</v>
      </c>
      <c r="CW1962">
        <v>1.1200000000000001</v>
      </c>
      <c r="CX1962" t="s">
        <v>9687</v>
      </c>
      <c r="CY1962">
        <v>5.32</v>
      </c>
      <c r="CZ1962">
        <v>0</v>
      </c>
      <c r="DA1962">
        <v>2.09</v>
      </c>
      <c r="DB1962">
        <v>2.27</v>
      </c>
      <c r="DC1962">
        <v>-1</v>
      </c>
      <c r="DD1962">
        <v>45.26</v>
      </c>
      <c r="DE1962" t="s">
        <v>4488</v>
      </c>
      <c r="DF1962">
        <v>27.53</v>
      </c>
      <c r="DG1962">
        <v>9.15</v>
      </c>
      <c r="DH1962">
        <v>8.24</v>
      </c>
      <c r="DI1962">
        <v>0.56999999999999995</v>
      </c>
      <c r="DJ1962">
        <v>2623</v>
      </c>
      <c r="DK1962">
        <v>300607</v>
      </c>
      <c r="DL1962" t="s">
        <v>120</v>
      </c>
      <c r="DM1962" t="s">
        <v>120</v>
      </c>
      <c r="DN1962" t="s">
        <v>120</v>
      </c>
    </row>
    <row r="1963" spans="1:118">
      <c r="A1963" t="str">
        <f>"300608"</f>
        <v>300608</v>
      </c>
      <c r="B1963" t="s">
        <v>9688</v>
      </c>
      <c r="C1963">
        <v>1.28</v>
      </c>
      <c r="D1963">
        <v>7.0000000000000007E-2</v>
      </c>
      <c r="E1963">
        <v>-1.28</v>
      </c>
      <c r="F1963">
        <v>1439</v>
      </c>
      <c r="G1963" t="s">
        <v>9689</v>
      </c>
      <c r="H1963">
        <v>25058.38</v>
      </c>
      <c r="I1963">
        <v>286.33999999999997</v>
      </c>
      <c r="J1963" t="s">
        <v>120</v>
      </c>
      <c r="K1963" t="s">
        <v>6280</v>
      </c>
      <c r="L1963">
        <v>10.86</v>
      </c>
      <c r="M1963">
        <v>14.26</v>
      </c>
      <c r="N1963">
        <v>1</v>
      </c>
      <c r="O1963">
        <v>2.98</v>
      </c>
      <c r="P1963">
        <v>14.5</v>
      </c>
      <c r="Q1963">
        <v>-2.34</v>
      </c>
      <c r="R1963">
        <v>13.75</v>
      </c>
      <c r="S1963">
        <v>13.9</v>
      </c>
      <c r="T1963">
        <v>177127</v>
      </c>
      <c r="U1963">
        <v>14.27</v>
      </c>
      <c r="V1963">
        <v>14.08</v>
      </c>
      <c r="W1963" t="s">
        <v>120</v>
      </c>
      <c r="X1963" t="s">
        <v>141</v>
      </c>
      <c r="Y1963" t="s">
        <v>158</v>
      </c>
      <c r="Z1963">
        <v>5.33</v>
      </c>
      <c r="AA1963">
        <v>14.15</v>
      </c>
      <c r="AB1963">
        <v>91549</v>
      </c>
      <c r="AC1963">
        <v>85578</v>
      </c>
      <c r="AD1963">
        <v>1.07</v>
      </c>
      <c r="AE1963">
        <v>102</v>
      </c>
      <c r="AF1963">
        <v>57</v>
      </c>
      <c r="AG1963" t="s">
        <v>120</v>
      </c>
      <c r="AH1963">
        <v>0.15</v>
      </c>
      <c r="AI1963" t="s">
        <v>120</v>
      </c>
      <c r="AJ1963">
        <v>1.63</v>
      </c>
      <c r="AK1963" t="s">
        <v>4956</v>
      </c>
      <c r="AL1963">
        <v>3.19</v>
      </c>
      <c r="AM1963">
        <v>3545</v>
      </c>
      <c r="AN1963">
        <v>50</v>
      </c>
      <c r="AO1963">
        <v>3.0999999999999999E-3</v>
      </c>
      <c r="AP1963">
        <v>1</v>
      </c>
      <c r="AQ1963">
        <v>-5.12</v>
      </c>
      <c r="AR1963">
        <v>9.61</v>
      </c>
      <c r="AS1963">
        <v>8.1999999999999993</v>
      </c>
      <c r="AT1963">
        <v>-38.270000000000003</v>
      </c>
      <c r="AU1963">
        <v>35.32</v>
      </c>
      <c r="AV1963">
        <v>3</v>
      </c>
      <c r="AW1963">
        <v>13.28</v>
      </c>
      <c r="AX1963">
        <v>63.52</v>
      </c>
      <c r="AY1963">
        <v>41.23</v>
      </c>
      <c r="AZ1963">
        <v>41.81</v>
      </c>
      <c r="BA1963">
        <v>0.1</v>
      </c>
      <c r="BB1963" t="s">
        <v>143</v>
      </c>
      <c r="BF1963">
        <v>0.48</v>
      </c>
      <c r="BG1963">
        <v>2.59</v>
      </c>
      <c r="BH1963">
        <v>-1.66</v>
      </c>
      <c r="BI1963">
        <v>3.71</v>
      </c>
      <c r="BJ1963">
        <v>20210906</v>
      </c>
      <c r="BK1963">
        <v>20170213</v>
      </c>
      <c r="BL1963">
        <v>2.1</v>
      </c>
      <c r="BM1963" t="s">
        <v>120</v>
      </c>
      <c r="BN1963" t="s">
        <v>120</v>
      </c>
      <c r="BO1963">
        <v>18.04</v>
      </c>
      <c r="BP1963">
        <v>14.26</v>
      </c>
      <c r="BQ1963">
        <v>8.86</v>
      </c>
      <c r="BR1963">
        <v>0</v>
      </c>
      <c r="BS1963">
        <v>50.87</v>
      </c>
      <c r="BT1963">
        <v>11.41</v>
      </c>
      <c r="BU1963">
        <v>4.57</v>
      </c>
      <c r="BV1963">
        <v>0.23</v>
      </c>
      <c r="BW1963">
        <v>6.1</v>
      </c>
      <c r="BX1963">
        <v>2.88</v>
      </c>
      <c r="BY1963">
        <v>4.45</v>
      </c>
      <c r="BZ1963">
        <v>2.97</v>
      </c>
      <c r="CA1963" t="s">
        <v>120</v>
      </c>
      <c r="CB1963">
        <v>2.46</v>
      </c>
      <c r="CC1963">
        <v>2.56</v>
      </c>
      <c r="CD1963">
        <v>1.42</v>
      </c>
      <c r="CE1963">
        <v>-0.08</v>
      </c>
      <c r="CF1963">
        <v>0.05</v>
      </c>
      <c r="CG1963">
        <v>-7.0000000000000007E-2</v>
      </c>
      <c r="CH1963">
        <v>-7.0000000000000007E-2</v>
      </c>
      <c r="CI1963">
        <v>-0.06</v>
      </c>
      <c r="CJ1963">
        <v>0.18</v>
      </c>
      <c r="CK1963">
        <v>-0.09</v>
      </c>
      <c r="CL1963">
        <v>3.41</v>
      </c>
      <c r="CM1963">
        <v>-1.31</v>
      </c>
      <c r="CN1963">
        <v>-0.93</v>
      </c>
      <c r="CO1963">
        <v>26996</v>
      </c>
      <c r="CP1963">
        <v>4939</v>
      </c>
      <c r="CQ1963" t="s">
        <v>5540</v>
      </c>
      <c r="CR1963">
        <v>14.33</v>
      </c>
      <c r="CS1963">
        <v>7.7</v>
      </c>
      <c r="CT1963">
        <v>3.51</v>
      </c>
      <c r="CU1963">
        <v>-22.9</v>
      </c>
      <c r="CV1963">
        <v>11.67</v>
      </c>
      <c r="CW1963">
        <v>0.43</v>
      </c>
      <c r="CX1963" t="s">
        <v>479</v>
      </c>
      <c r="CY1963">
        <v>4.0599999999999996</v>
      </c>
      <c r="CZ1963">
        <v>4.0599999999999996</v>
      </c>
      <c r="DA1963">
        <v>1.17</v>
      </c>
      <c r="DB1963">
        <v>1.63</v>
      </c>
      <c r="DC1963">
        <v>-0.62</v>
      </c>
      <c r="DD1963">
        <v>49.14</v>
      </c>
      <c r="DE1963" t="s">
        <v>9690</v>
      </c>
      <c r="DF1963">
        <v>44.48</v>
      </c>
      <c r="DG1963">
        <v>-3.08</v>
      </c>
      <c r="DH1963">
        <v>-2.3199999999999998</v>
      </c>
      <c r="DI1963">
        <v>0.47</v>
      </c>
      <c r="DJ1963">
        <v>3080</v>
      </c>
      <c r="DK1963">
        <v>300608</v>
      </c>
      <c r="DL1963">
        <v>20210525</v>
      </c>
      <c r="DM1963">
        <v>12.7</v>
      </c>
      <c r="DN1963">
        <v>46.6</v>
      </c>
    </row>
    <row r="1964" spans="1:118">
      <c r="A1964" t="str">
        <f>"300609"</f>
        <v>300609</v>
      </c>
      <c r="B1964" t="s">
        <v>9691</v>
      </c>
      <c r="C1964">
        <v>-2.14</v>
      </c>
      <c r="D1964">
        <v>-0.19</v>
      </c>
      <c r="E1964">
        <v>0</v>
      </c>
      <c r="F1964">
        <v>484</v>
      </c>
      <c r="G1964" t="s">
        <v>9692</v>
      </c>
      <c r="H1964">
        <v>3119.42</v>
      </c>
      <c r="I1964">
        <v>0</v>
      </c>
      <c r="J1964" t="s">
        <v>120</v>
      </c>
      <c r="K1964" t="s">
        <v>9693</v>
      </c>
      <c r="L1964">
        <v>2.31</v>
      </c>
      <c r="M1964">
        <v>14.65</v>
      </c>
      <c r="N1964">
        <v>1.07</v>
      </c>
      <c r="O1964">
        <v>2.14</v>
      </c>
      <c r="P1964">
        <v>15.29</v>
      </c>
      <c r="Q1964">
        <v>-2.14</v>
      </c>
      <c r="R1964">
        <v>14.65</v>
      </c>
      <c r="S1964">
        <v>14.97</v>
      </c>
      <c r="T1964">
        <v>20973</v>
      </c>
      <c r="U1964">
        <v>14.68</v>
      </c>
      <c r="V1964">
        <v>14.97</v>
      </c>
      <c r="W1964" t="s">
        <v>120</v>
      </c>
      <c r="X1964" t="s">
        <v>1531</v>
      </c>
      <c r="Y1964" t="s">
        <v>1510</v>
      </c>
      <c r="Z1964">
        <v>4.28</v>
      </c>
      <c r="AA1964">
        <v>14.87</v>
      </c>
      <c r="AB1964">
        <v>13012</v>
      </c>
      <c r="AC1964">
        <v>7961</v>
      </c>
      <c r="AD1964">
        <v>1.63</v>
      </c>
      <c r="AE1964">
        <v>54</v>
      </c>
      <c r="AF1964">
        <v>14</v>
      </c>
      <c r="AG1964" t="s">
        <v>120</v>
      </c>
      <c r="AH1964">
        <v>0</v>
      </c>
      <c r="AI1964" t="s">
        <v>120</v>
      </c>
      <c r="AJ1964">
        <v>0.91</v>
      </c>
      <c r="AK1964" t="s">
        <v>8685</v>
      </c>
      <c r="AL1964">
        <v>-0.22</v>
      </c>
      <c r="AM1964">
        <v>1411</v>
      </c>
      <c r="AN1964">
        <v>15</v>
      </c>
      <c r="AO1964">
        <v>1.6000000000000001E-3</v>
      </c>
      <c r="AP1964">
        <v>-1</v>
      </c>
      <c r="AQ1964">
        <v>0.2</v>
      </c>
      <c r="AR1964">
        <v>-1.94</v>
      </c>
      <c r="AS1964">
        <v>-7.28</v>
      </c>
      <c r="AT1964">
        <v>-6.57</v>
      </c>
      <c r="AU1964">
        <v>-15.81</v>
      </c>
      <c r="AV1964">
        <v>1</v>
      </c>
      <c r="AW1964">
        <v>3.01</v>
      </c>
      <c r="AX1964">
        <v>57.09</v>
      </c>
      <c r="AY1964" t="s">
        <v>120</v>
      </c>
      <c r="AZ1964" t="s">
        <v>120</v>
      </c>
      <c r="BA1964">
        <v>1.1499999999999999</v>
      </c>
      <c r="BB1964" t="s">
        <v>143</v>
      </c>
      <c r="BF1964">
        <v>-0.64</v>
      </c>
      <c r="BG1964">
        <v>-2.14</v>
      </c>
      <c r="BH1964">
        <v>-4.1900000000000004</v>
      </c>
      <c r="BI1964">
        <v>0</v>
      </c>
      <c r="BJ1964">
        <v>20210827</v>
      </c>
      <c r="BK1964">
        <v>20170215</v>
      </c>
      <c r="BL1964">
        <v>1.22</v>
      </c>
      <c r="BM1964" t="s">
        <v>120</v>
      </c>
      <c r="BN1964" t="s">
        <v>120</v>
      </c>
      <c r="BO1964">
        <v>11.72</v>
      </c>
      <c r="BP1964">
        <v>14.65</v>
      </c>
      <c r="BQ1964">
        <v>10.55</v>
      </c>
      <c r="BR1964">
        <v>0.05</v>
      </c>
      <c r="BS1964">
        <v>9.65</v>
      </c>
      <c r="BT1964">
        <v>6.89</v>
      </c>
      <c r="BU1964">
        <v>2.34</v>
      </c>
      <c r="BV1964">
        <v>0.41</v>
      </c>
      <c r="BW1964">
        <v>0.96</v>
      </c>
      <c r="BX1964">
        <v>2.4500000000000002</v>
      </c>
      <c r="BY1964">
        <v>0.56000000000000005</v>
      </c>
      <c r="BZ1964">
        <v>1.78</v>
      </c>
      <c r="CA1964" t="s">
        <v>120</v>
      </c>
      <c r="CB1964">
        <v>8.81</v>
      </c>
      <c r="CC1964">
        <v>1.19</v>
      </c>
      <c r="CD1964">
        <v>0.51</v>
      </c>
      <c r="CE1964">
        <v>-0.16</v>
      </c>
      <c r="CF1964">
        <v>0.02</v>
      </c>
      <c r="CG1964">
        <v>-0.15</v>
      </c>
      <c r="CH1964">
        <v>-0.12</v>
      </c>
      <c r="CI1964">
        <v>-0.12</v>
      </c>
      <c r="CJ1964">
        <v>-0.32</v>
      </c>
      <c r="CK1964">
        <v>-0.14000000000000001</v>
      </c>
      <c r="CL1964">
        <v>1.66</v>
      </c>
      <c r="CM1964">
        <v>-0.25</v>
      </c>
      <c r="CN1964">
        <v>-0.57999999999999996</v>
      </c>
      <c r="CO1964">
        <v>12811</v>
      </c>
      <c r="CP1964">
        <v>5434</v>
      </c>
      <c r="CQ1964" t="s">
        <v>396</v>
      </c>
      <c r="CR1964">
        <v>-37.380000000000003</v>
      </c>
      <c r="CS1964">
        <v>33.54</v>
      </c>
      <c r="CT1964">
        <v>1.69</v>
      </c>
      <c r="CU1964">
        <v>-70.94</v>
      </c>
      <c r="CV1964">
        <v>14.99</v>
      </c>
      <c r="CW1964">
        <v>0</v>
      </c>
      <c r="CX1964" t="s">
        <v>9694</v>
      </c>
      <c r="CY1964">
        <v>8.65</v>
      </c>
      <c r="CZ1964">
        <v>0</v>
      </c>
      <c r="DA1964">
        <v>7.23</v>
      </c>
      <c r="DB1964">
        <v>1.36</v>
      </c>
      <c r="DC1964">
        <v>-0.21</v>
      </c>
      <c r="DD1964">
        <v>89.94</v>
      </c>
      <c r="DE1964" t="s">
        <v>9695</v>
      </c>
      <c r="DF1964">
        <v>56.93</v>
      </c>
      <c r="DG1964">
        <v>-13.17</v>
      </c>
      <c r="DH1964">
        <v>-9.75</v>
      </c>
      <c r="DI1964">
        <v>0.23</v>
      </c>
      <c r="DJ1964">
        <v>860</v>
      </c>
      <c r="DK1964">
        <v>300609</v>
      </c>
      <c r="DL1964">
        <v>20210907</v>
      </c>
      <c r="DM1964">
        <v>14.75</v>
      </c>
      <c r="DN1964">
        <v>-0.68</v>
      </c>
    </row>
    <row r="1965" spans="1:118">
      <c r="A1965" t="str">
        <f>"300610"</f>
        <v>300610</v>
      </c>
      <c r="B1965" t="s">
        <v>9696</v>
      </c>
      <c r="C1965">
        <v>-4.66</v>
      </c>
      <c r="D1965">
        <v>0</v>
      </c>
      <c r="E1965">
        <v>-0.15</v>
      </c>
      <c r="F1965">
        <v>1535</v>
      </c>
      <c r="G1965" t="s">
        <v>9472</v>
      </c>
      <c r="H1965">
        <v>48821.13</v>
      </c>
      <c r="I1965">
        <v>507</v>
      </c>
      <c r="J1965" t="s">
        <v>120</v>
      </c>
      <c r="K1965" t="s">
        <v>8371</v>
      </c>
      <c r="L1965">
        <v>15.58</v>
      </c>
      <c r="M1965">
        <v>18.829999999999998</v>
      </c>
      <c r="N1965">
        <v>1.1200000000000001</v>
      </c>
      <c r="O1965">
        <v>5.27</v>
      </c>
      <c r="P1965">
        <v>20.79</v>
      </c>
      <c r="Q1965">
        <v>-5.16</v>
      </c>
      <c r="R1965">
        <v>18.73</v>
      </c>
      <c r="S1965">
        <v>19.72</v>
      </c>
      <c r="T1965">
        <v>248216</v>
      </c>
      <c r="U1965">
        <v>18.829999999999998</v>
      </c>
      <c r="V1965">
        <v>19.75</v>
      </c>
      <c r="W1965">
        <v>23.02</v>
      </c>
      <c r="X1965" t="s">
        <v>868</v>
      </c>
      <c r="Y1965" t="s">
        <v>319</v>
      </c>
      <c r="Z1965">
        <v>10.43</v>
      </c>
      <c r="AA1965">
        <v>19.670000000000002</v>
      </c>
      <c r="AB1965">
        <v>135931</v>
      </c>
      <c r="AC1965">
        <v>112285</v>
      </c>
      <c r="AD1965">
        <v>1.21</v>
      </c>
      <c r="AE1965">
        <v>171</v>
      </c>
      <c r="AF1965">
        <v>1161</v>
      </c>
      <c r="AG1965" t="s">
        <v>120</v>
      </c>
      <c r="AH1965">
        <v>0.19</v>
      </c>
      <c r="AI1965" t="s">
        <v>120</v>
      </c>
      <c r="AJ1965">
        <v>1.59</v>
      </c>
      <c r="AK1965" t="s">
        <v>9697</v>
      </c>
      <c r="AL1965">
        <v>-2.74</v>
      </c>
      <c r="AM1965">
        <v>3863</v>
      </c>
      <c r="AN1965">
        <v>64</v>
      </c>
      <c r="AO1965">
        <v>4.0000000000000001E-3</v>
      </c>
      <c r="AP1965">
        <v>-1</v>
      </c>
      <c r="AQ1965">
        <v>5.61</v>
      </c>
      <c r="AR1965">
        <v>4.96</v>
      </c>
      <c r="AS1965">
        <v>-2.5299999999999998</v>
      </c>
      <c r="AT1965">
        <v>60.8</v>
      </c>
      <c r="AU1965">
        <v>66.22</v>
      </c>
      <c r="AV1965">
        <v>1</v>
      </c>
      <c r="AW1965">
        <v>18.36</v>
      </c>
      <c r="AX1965">
        <v>63.52</v>
      </c>
      <c r="AY1965">
        <v>24.88</v>
      </c>
      <c r="AZ1965">
        <v>30.62</v>
      </c>
      <c r="BA1965">
        <v>0.84</v>
      </c>
      <c r="BB1965" t="s">
        <v>143</v>
      </c>
      <c r="BF1965">
        <v>-0.41</v>
      </c>
      <c r="BG1965">
        <v>-4.51</v>
      </c>
      <c r="BH1965">
        <v>-9.43</v>
      </c>
      <c r="BI1965">
        <v>0.53</v>
      </c>
      <c r="BJ1965">
        <v>20210914</v>
      </c>
      <c r="BK1965">
        <v>20170213</v>
      </c>
      <c r="BL1965">
        <v>2.13</v>
      </c>
      <c r="BM1965" t="s">
        <v>120</v>
      </c>
      <c r="BN1965" t="s">
        <v>120</v>
      </c>
      <c r="BO1965">
        <v>13.23</v>
      </c>
      <c r="BP1965">
        <v>18.82</v>
      </c>
      <c r="BQ1965">
        <v>9.83</v>
      </c>
      <c r="BR1965">
        <v>0.24</v>
      </c>
      <c r="BS1965">
        <v>23.91</v>
      </c>
      <c r="BT1965">
        <v>9.0299999999999994</v>
      </c>
      <c r="BU1965">
        <v>1.93</v>
      </c>
      <c r="BV1965">
        <v>0.83</v>
      </c>
      <c r="BW1965">
        <v>2.81</v>
      </c>
      <c r="BX1965">
        <v>0.66</v>
      </c>
      <c r="BY1965">
        <v>1.33</v>
      </c>
      <c r="BZ1965">
        <v>0.75</v>
      </c>
      <c r="CA1965">
        <v>0.02</v>
      </c>
      <c r="CB1965">
        <v>2.29</v>
      </c>
      <c r="CC1965">
        <v>6.3</v>
      </c>
      <c r="CD1965">
        <v>4.74</v>
      </c>
      <c r="CE1965">
        <v>1</v>
      </c>
      <c r="CF1965">
        <v>0.1</v>
      </c>
      <c r="CG1965">
        <v>0.99</v>
      </c>
      <c r="CH1965">
        <v>0.86</v>
      </c>
      <c r="CI1965">
        <v>0.87</v>
      </c>
      <c r="CJ1965">
        <v>-0.92</v>
      </c>
      <c r="CK1965">
        <v>0.78</v>
      </c>
      <c r="CL1965">
        <v>4.63</v>
      </c>
      <c r="CM1965">
        <v>1.01</v>
      </c>
      <c r="CN1965">
        <v>-1.1399999999999999</v>
      </c>
      <c r="CO1965">
        <v>31300</v>
      </c>
      <c r="CP1965">
        <v>4320</v>
      </c>
      <c r="CQ1965" t="s">
        <v>1205</v>
      </c>
      <c r="CR1965">
        <v>57.17</v>
      </c>
      <c r="CS1965">
        <v>63.94</v>
      </c>
      <c r="CT1965">
        <v>4.08</v>
      </c>
      <c r="CU1965">
        <v>39.770000000000003</v>
      </c>
      <c r="CV1965">
        <v>6.36</v>
      </c>
      <c r="CW1965">
        <v>1.43</v>
      </c>
      <c r="CX1965" t="s">
        <v>263</v>
      </c>
      <c r="CY1965">
        <v>4.62</v>
      </c>
      <c r="CZ1965">
        <v>0</v>
      </c>
      <c r="DA1965">
        <v>1.08</v>
      </c>
      <c r="DB1965">
        <v>2.17</v>
      </c>
      <c r="DC1965">
        <v>0.47</v>
      </c>
      <c r="DD1965">
        <v>74.25</v>
      </c>
      <c r="DE1965" t="s">
        <v>3167</v>
      </c>
      <c r="DF1965">
        <v>24.81</v>
      </c>
      <c r="DG1965">
        <v>15.84</v>
      </c>
      <c r="DH1965">
        <v>13.83</v>
      </c>
      <c r="DI1965">
        <v>0.23</v>
      </c>
      <c r="DJ1965">
        <v>792</v>
      </c>
      <c r="DK1965">
        <v>300610</v>
      </c>
      <c r="DL1965" t="s">
        <v>120</v>
      </c>
      <c r="DM1965" t="s">
        <v>120</v>
      </c>
      <c r="DN1965" t="s">
        <v>120</v>
      </c>
    </row>
    <row r="1966" spans="1:118">
      <c r="A1966" t="str">
        <f>"300611"</f>
        <v>300611</v>
      </c>
      <c r="B1966" t="s">
        <v>9698</v>
      </c>
      <c r="C1966">
        <v>-1.67</v>
      </c>
      <c r="D1966">
        <v>-0.09</v>
      </c>
      <c r="E1966">
        <v>-0.1</v>
      </c>
      <c r="F1966">
        <v>91</v>
      </c>
      <c r="G1966" t="s">
        <v>9699</v>
      </c>
      <c r="H1966">
        <v>2819.55</v>
      </c>
      <c r="I1966">
        <v>5.39</v>
      </c>
      <c r="J1966" t="s">
        <v>120</v>
      </c>
      <c r="K1966" t="s">
        <v>9700</v>
      </c>
      <c r="L1966">
        <v>2.27</v>
      </c>
      <c r="M1966">
        <v>10.01</v>
      </c>
      <c r="N1966">
        <v>1.19</v>
      </c>
      <c r="O1966">
        <v>1.77</v>
      </c>
      <c r="P1966">
        <v>10.36</v>
      </c>
      <c r="Q1966">
        <v>-1.77</v>
      </c>
      <c r="R1966">
        <v>10</v>
      </c>
      <c r="S1966">
        <v>10.17</v>
      </c>
      <c r="T1966">
        <v>27663</v>
      </c>
      <c r="U1966">
        <v>10.02</v>
      </c>
      <c r="V1966">
        <v>10.18</v>
      </c>
      <c r="W1966">
        <v>46.04</v>
      </c>
      <c r="X1966" t="s">
        <v>289</v>
      </c>
      <c r="Y1966" t="s">
        <v>585</v>
      </c>
      <c r="Z1966">
        <v>3.54</v>
      </c>
      <c r="AA1966">
        <v>10.19</v>
      </c>
      <c r="AB1966">
        <v>17072</v>
      </c>
      <c r="AC1966">
        <v>10591</v>
      </c>
      <c r="AD1966">
        <v>1.61</v>
      </c>
      <c r="AE1966">
        <v>199</v>
      </c>
      <c r="AF1966">
        <v>58</v>
      </c>
      <c r="AG1966" t="s">
        <v>120</v>
      </c>
      <c r="AH1966">
        <v>0.01</v>
      </c>
      <c r="AI1966" t="s">
        <v>120</v>
      </c>
      <c r="AJ1966">
        <v>1.22</v>
      </c>
      <c r="AK1966" t="s">
        <v>7622</v>
      </c>
      <c r="AL1966">
        <v>0.24</v>
      </c>
      <c r="AM1966">
        <v>1439</v>
      </c>
      <c r="AN1966">
        <v>19</v>
      </c>
      <c r="AO1966">
        <v>1.6000000000000001E-3</v>
      </c>
      <c r="AP1966">
        <v>-1</v>
      </c>
      <c r="AQ1966">
        <v>1.8</v>
      </c>
      <c r="AR1966">
        <v>-2.5299999999999998</v>
      </c>
      <c r="AS1966">
        <v>-7.31</v>
      </c>
      <c r="AT1966">
        <v>-4.7699999999999996</v>
      </c>
      <c r="AU1966">
        <v>2.66</v>
      </c>
      <c r="AV1966">
        <v>1</v>
      </c>
      <c r="AW1966">
        <v>3.3</v>
      </c>
      <c r="AX1966">
        <v>46.88</v>
      </c>
      <c r="AY1966">
        <v>41.08</v>
      </c>
      <c r="AZ1966">
        <v>45.27</v>
      </c>
      <c r="BA1966">
        <v>0.86</v>
      </c>
      <c r="BB1966" t="s">
        <v>143</v>
      </c>
      <c r="BF1966">
        <v>0.12</v>
      </c>
      <c r="BG1966">
        <v>-1.57</v>
      </c>
      <c r="BH1966">
        <v>-3.38</v>
      </c>
      <c r="BI1966">
        <v>0.1</v>
      </c>
      <c r="BJ1966">
        <v>20210906</v>
      </c>
      <c r="BK1966">
        <v>20170220</v>
      </c>
      <c r="BL1966">
        <v>1.79</v>
      </c>
      <c r="BM1966" t="s">
        <v>120</v>
      </c>
      <c r="BN1966" t="s">
        <v>120</v>
      </c>
      <c r="BO1966">
        <v>15.31</v>
      </c>
      <c r="BP1966">
        <v>10.01</v>
      </c>
      <c r="BQ1966">
        <v>7.95</v>
      </c>
      <c r="BR1966" t="s">
        <v>120</v>
      </c>
      <c r="BS1966">
        <v>48.06</v>
      </c>
      <c r="BT1966">
        <v>8.7899999999999991</v>
      </c>
      <c r="BU1966">
        <v>3.63</v>
      </c>
      <c r="BV1966">
        <v>0.63</v>
      </c>
      <c r="BW1966">
        <v>4.28</v>
      </c>
      <c r="BX1966">
        <v>3.31</v>
      </c>
      <c r="BY1966">
        <v>1.79</v>
      </c>
      <c r="BZ1966">
        <v>2.71</v>
      </c>
      <c r="CA1966" t="s">
        <v>120</v>
      </c>
      <c r="CB1966">
        <v>2.56</v>
      </c>
      <c r="CC1966">
        <v>3.73</v>
      </c>
      <c r="CD1966">
        <v>2.83</v>
      </c>
      <c r="CE1966">
        <v>0.22</v>
      </c>
      <c r="CF1966">
        <v>0</v>
      </c>
      <c r="CG1966">
        <v>0.21</v>
      </c>
      <c r="CH1966">
        <v>0.2</v>
      </c>
      <c r="CI1966">
        <v>0.19</v>
      </c>
      <c r="CJ1966">
        <v>-0.17</v>
      </c>
      <c r="CK1966">
        <v>0.19</v>
      </c>
      <c r="CL1966">
        <v>2.44</v>
      </c>
      <c r="CM1966">
        <v>0.02</v>
      </c>
      <c r="CN1966">
        <v>2.84</v>
      </c>
      <c r="CO1966">
        <v>12354</v>
      </c>
      <c r="CP1966">
        <v>6790</v>
      </c>
      <c r="CQ1966" t="s">
        <v>9701</v>
      </c>
      <c r="CR1966">
        <v>26.67</v>
      </c>
      <c r="CS1966">
        <v>48.99</v>
      </c>
      <c r="CT1966">
        <v>2.58</v>
      </c>
      <c r="CU1966">
        <v>1140.23</v>
      </c>
      <c r="CV1966">
        <v>4.8</v>
      </c>
      <c r="CW1966">
        <v>0.56999999999999995</v>
      </c>
      <c r="CX1966" t="s">
        <v>1147</v>
      </c>
      <c r="CY1966">
        <v>3.88</v>
      </c>
      <c r="CZ1966">
        <v>3.88</v>
      </c>
      <c r="DA1966">
        <v>1.43</v>
      </c>
      <c r="DB1966">
        <v>1.37</v>
      </c>
      <c r="DC1966">
        <v>0.01</v>
      </c>
      <c r="DD1966">
        <v>51.94</v>
      </c>
      <c r="DE1966" t="s">
        <v>2665</v>
      </c>
      <c r="DF1966">
        <v>24.26</v>
      </c>
      <c r="DG1966">
        <v>6</v>
      </c>
      <c r="DH1966">
        <v>5.22</v>
      </c>
      <c r="DI1966">
        <v>0.25</v>
      </c>
      <c r="DJ1966">
        <v>1210</v>
      </c>
      <c r="DK1966">
        <v>300611</v>
      </c>
      <c r="DL1966" t="s">
        <v>120</v>
      </c>
      <c r="DM1966" t="s">
        <v>120</v>
      </c>
      <c r="DN1966" t="s">
        <v>120</v>
      </c>
    </row>
    <row r="1967" spans="1:118">
      <c r="A1967" t="str">
        <f>"300612"</f>
        <v>300612</v>
      </c>
      <c r="B1967" t="s">
        <v>9702</v>
      </c>
      <c r="C1967">
        <v>-4.01</v>
      </c>
      <c r="D1967">
        <v>-0.13</v>
      </c>
      <c r="E1967">
        <v>-0.41</v>
      </c>
      <c r="F1967">
        <v>319</v>
      </c>
      <c r="G1967" t="s">
        <v>6785</v>
      </c>
      <c r="H1967">
        <v>4233.33</v>
      </c>
      <c r="I1967">
        <v>0</v>
      </c>
      <c r="J1967" t="s">
        <v>120</v>
      </c>
      <c r="K1967" t="s">
        <v>9703</v>
      </c>
      <c r="L1967">
        <v>1.85</v>
      </c>
      <c r="M1967">
        <v>13.88</v>
      </c>
      <c r="N1967">
        <v>1.57</v>
      </c>
      <c r="O1967">
        <v>0.83</v>
      </c>
      <c r="P1967">
        <v>14.58</v>
      </c>
      <c r="Q1967">
        <v>-4.01</v>
      </c>
      <c r="R1967">
        <v>13.88</v>
      </c>
      <c r="S1967">
        <v>14.4</v>
      </c>
      <c r="T1967">
        <v>29783</v>
      </c>
      <c r="U1967">
        <v>13.9</v>
      </c>
      <c r="V1967">
        <v>14.46</v>
      </c>
      <c r="W1967" t="s">
        <v>120</v>
      </c>
      <c r="X1967" t="s">
        <v>339</v>
      </c>
      <c r="Y1967" t="s">
        <v>158</v>
      </c>
      <c r="Z1967">
        <v>4.84</v>
      </c>
      <c r="AA1967">
        <v>14.21</v>
      </c>
      <c r="AB1967">
        <v>20012</v>
      </c>
      <c r="AC1967">
        <v>9771</v>
      </c>
      <c r="AD1967">
        <v>2.0499999999999998</v>
      </c>
      <c r="AE1967">
        <v>67</v>
      </c>
      <c r="AF1967">
        <v>35</v>
      </c>
      <c r="AG1967" t="s">
        <v>120</v>
      </c>
      <c r="AH1967">
        <v>0</v>
      </c>
      <c r="AI1967" t="s">
        <v>120</v>
      </c>
      <c r="AJ1967">
        <v>1.61</v>
      </c>
      <c r="AK1967" t="s">
        <v>1246</v>
      </c>
      <c r="AL1967">
        <v>-2.1</v>
      </c>
      <c r="AM1967">
        <v>1400</v>
      </c>
      <c r="AN1967">
        <v>21</v>
      </c>
      <c r="AO1967">
        <v>1.2999999999999999E-3</v>
      </c>
      <c r="AP1967">
        <v>-6</v>
      </c>
      <c r="AQ1967">
        <v>-0.48</v>
      </c>
      <c r="AR1967">
        <v>-4.8600000000000003</v>
      </c>
      <c r="AS1967">
        <v>-1.91</v>
      </c>
      <c r="AT1967">
        <v>-17.48</v>
      </c>
      <c r="AU1967">
        <v>-28.42</v>
      </c>
      <c r="AV1967">
        <v>1</v>
      </c>
      <c r="AW1967">
        <v>3.48</v>
      </c>
      <c r="AX1967">
        <v>52.9</v>
      </c>
      <c r="AY1967" t="s">
        <v>120</v>
      </c>
      <c r="AZ1967" t="s">
        <v>120</v>
      </c>
      <c r="BA1967">
        <v>0.85</v>
      </c>
      <c r="BB1967" t="s">
        <v>143</v>
      </c>
      <c r="BF1967">
        <v>-1.7</v>
      </c>
      <c r="BG1967">
        <v>-3.61</v>
      </c>
      <c r="BH1967">
        <v>-4.8</v>
      </c>
      <c r="BI1967">
        <v>0</v>
      </c>
      <c r="BJ1967">
        <v>20210821</v>
      </c>
      <c r="BK1967">
        <v>20170215</v>
      </c>
      <c r="BL1967">
        <v>1.62</v>
      </c>
      <c r="BM1967" t="s">
        <v>120</v>
      </c>
      <c r="BN1967" t="s">
        <v>120</v>
      </c>
      <c r="BO1967">
        <v>7.91</v>
      </c>
      <c r="BP1967">
        <v>13.88</v>
      </c>
      <c r="BQ1967">
        <v>2.85</v>
      </c>
      <c r="BR1967">
        <v>-0.06</v>
      </c>
      <c r="BS1967">
        <v>64.78</v>
      </c>
      <c r="BT1967">
        <v>4.53</v>
      </c>
      <c r="BU1967">
        <v>0.05</v>
      </c>
      <c r="BV1967">
        <v>0.4</v>
      </c>
      <c r="BW1967">
        <v>4.4400000000000004</v>
      </c>
      <c r="BX1967">
        <v>0.57999999999999996</v>
      </c>
      <c r="BY1967">
        <v>0.57999999999999996</v>
      </c>
      <c r="BZ1967">
        <v>2.66</v>
      </c>
      <c r="CA1967" t="s">
        <v>120</v>
      </c>
      <c r="CB1967">
        <v>0.9</v>
      </c>
      <c r="CC1967">
        <v>3.64</v>
      </c>
      <c r="CD1967">
        <v>2.94</v>
      </c>
      <c r="CE1967">
        <v>-0.05</v>
      </c>
      <c r="CF1967">
        <v>-0.05</v>
      </c>
      <c r="CG1967">
        <v>-0.06</v>
      </c>
      <c r="CH1967">
        <v>-7.0000000000000007E-2</v>
      </c>
      <c r="CI1967">
        <v>-0.04</v>
      </c>
      <c r="CJ1967">
        <v>-0.57999999999999996</v>
      </c>
      <c r="CK1967">
        <v>-0.03</v>
      </c>
      <c r="CL1967">
        <v>0.62</v>
      </c>
      <c r="CM1967">
        <v>-0.92</v>
      </c>
      <c r="CN1967">
        <v>-1.18</v>
      </c>
      <c r="CO1967">
        <v>12990</v>
      </c>
      <c r="CP1967">
        <v>6598</v>
      </c>
      <c r="CQ1967" t="s">
        <v>6457</v>
      </c>
      <c r="CR1967">
        <v>84.57</v>
      </c>
      <c r="CS1967">
        <v>117.87</v>
      </c>
      <c r="CT1967">
        <v>7.9</v>
      </c>
      <c r="CU1967">
        <v>-24.32</v>
      </c>
      <c r="CV1967">
        <v>6.18</v>
      </c>
      <c r="CW1967">
        <v>0</v>
      </c>
      <c r="CX1967" t="s">
        <v>419</v>
      </c>
      <c r="CY1967">
        <v>1.76</v>
      </c>
      <c r="CZ1967">
        <v>0</v>
      </c>
      <c r="DA1967">
        <v>0.56000000000000005</v>
      </c>
      <c r="DB1967">
        <v>0.38</v>
      </c>
      <c r="DC1967">
        <v>-0.56999999999999995</v>
      </c>
      <c r="DD1967">
        <v>35.99</v>
      </c>
      <c r="DE1967" t="s">
        <v>9704</v>
      </c>
      <c r="DF1967">
        <v>19.22</v>
      </c>
      <c r="DG1967">
        <v>-1.47</v>
      </c>
      <c r="DH1967">
        <v>-1.01</v>
      </c>
      <c r="DI1967">
        <v>0.12</v>
      </c>
      <c r="DJ1967">
        <v>327</v>
      </c>
      <c r="DK1967">
        <v>300612</v>
      </c>
      <c r="DL1967" t="s">
        <v>120</v>
      </c>
      <c r="DM1967" t="s">
        <v>120</v>
      </c>
      <c r="DN1967" t="s">
        <v>120</v>
      </c>
    </row>
    <row r="1968" spans="1:118">
      <c r="A1968" t="str">
        <f>"300613"</f>
        <v>300613</v>
      </c>
      <c r="B1968" t="s">
        <v>9705</v>
      </c>
      <c r="C1968">
        <v>-6.91</v>
      </c>
      <c r="D1968">
        <v>-0.75</v>
      </c>
      <c r="E1968">
        <v>-1.9</v>
      </c>
      <c r="F1968">
        <v>1264</v>
      </c>
      <c r="G1968" t="s">
        <v>9706</v>
      </c>
      <c r="H1968">
        <v>47798.73</v>
      </c>
      <c r="I1968">
        <v>275.8</v>
      </c>
      <c r="J1968" t="s">
        <v>120</v>
      </c>
      <c r="K1968" t="s">
        <v>9707</v>
      </c>
      <c r="L1968">
        <v>2.2799999999999998</v>
      </c>
      <c r="M1968">
        <v>180.5</v>
      </c>
      <c r="N1968">
        <v>1.47</v>
      </c>
      <c r="O1968">
        <v>0.85</v>
      </c>
      <c r="P1968">
        <v>195.55</v>
      </c>
      <c r="Q1968">
        <v>-7.23</v>
      </c>
      <c r="R1968">
        <v>179.88</v>
      </c>
      <c r="S1968">
        <v>190.21</v>
      </c>
      <c r="T1968">
        <v>25811</v>
      </c>
      <c r="U1968">
        <v>181</v>
      </c>
      <c r="V1968">
        <v>193.9</v>
      </c>
      <c r="W1968">
        <v>78.209999999999994</v>
      </c>
      <c r="X1968" t="s">
        <v>3245</v>
      </c>
      <c r="Y1968" t="s">
        <v>1510</v>
      </c>
      <c r="Z1968">
        <v>8.08</v>
      </c>
      <c r="AA1968">
        <v>185.19</v>
      </c>
      <c r="AB1968">
        <v>14428</v>
      </c>
      <c r="AC1968">
        <v>11383</v>
      </c>
      <c r="AD1968">
        <v>1.27</v>
      </c>
      <c r="AE1968">
        <v>0</v>
      </c>
      <c r="AF1968">
        <v>9</v>
      </c>
      <c r="AG1968" t="s">
        <v>120</v>
      </c>
      <c r="AH1968">
        <v>0.03</v>
      </c>
      <c r="AI1968" t="s">
        <v>120</v>
      </c>
      <c r="AJ1968">
        <v>1.1299999999999999</v>
      </c>
      <c r="AK1968" t="s">
        <v>9708</v>
      </c>
      <c r="AL1968">
        <v>-5</v>
      </c>
      <c r="AM1968">
        <v>3258</v>
      </c>
      <c r="AN1968">
        <v>8</v>
      </c>
      <c r="AO1968">
        <v>6.9999999999999999E-4</v>
      </c>
      <c r="AP1968">
        <v>-4</v>
      </c>
      <c r="AQ1968">
        <v>-0.54</v>
      </c>
      <c r="AR1968">
        <v>-9.69</v>
      </c>
      <c r="AS1968">
        <v>-4.2699999999999996</v>
      </c>
      <c r="AT1968">
        <v>28.04</v>
      </c>
      <c r="AU1968">
        <v>124.78</v>
      </c>
      <c r="AV1968">
        <v>2</v>
      </c>
      <c r="AW1968">
        <v>4.9000000000000004</v>
      </c>
      <c r="AX1968">
        <v>43.79</v>
      </c>
      <c r="AY1968">
        <v>127.75</v>
      </c>
      <c r="AZ1968">
        <v>265.83999999999997</v>
      </c>
      <c r="BA1968">
        <v>0.38</v>
      </c>
      <c r="BB1968" t="s">
        <v>125</v>
      </c>
      <c r="BF1968">
        <v>-4.49</v>
      </c>
      <c r="BG1968">
        <v>-5.0999999999999996</v>
      </c>
      <c r="BH1968">
        <v>-7.7</v>
      </c>
      <c r="BI1968">
        <v>0.34</v>
      </c>
      <c r="BJ1968">
        <v>20210914</v>
      </c>
      <c r="BK1968">
        <v>20170220</v>
      </c>
      <c r="BL1968">
        <v>1.2</v>
      </c>
      <c r="BM1968" t="s">
        <v>120</v>
      </c>
      <c r="BN1968" t="s">
        <v>120</v>
      </c>
      <c r="BO1968">
        <v>21.41</v>
      </c>
      <c r="BP1968">
        <v>180.5</v>
      </c>
      <c r="BQ1968">
        <v>14.98</v>
      </c>
      <c r="BR1968">
        <v>2.48</v>
      </c>
      <c r="BS1968">
        <v>18.420000000000002</v>
      </c>
      <c r="BT1968">
        <v>11.14</v>
      </c>
      <c r="BU1968">
        <v>2.09</v>
      </c>
      <c r="BV1968">
        <v>4.91</v>
      </c>
      <c r="BW1968">
        <v>3.15</v>
      </c>
      <c r="BX1968">
        <v>3.76</v>
      </c>
      <c r="BY1968">
        <v>2.42</v>
      </c>
      <c r="BZ1968">
        <v>3.6</v>
      </c>
      <c r="CA1968" t="s">
        <v>120</v>
      </c>
      <c r="CB1968">
        <v>6.12</v>
      </c>
      <c r="CC1968">
        <v>7.18</v>
      </c>
      <c r="CD1968">
        <v>4.1100000000000003</v>
      </c>
      <c r="CE1968">
        <v>1.51</v>
      </c>
      <c r="CF1968">
        <v>0.01</v>
      </c>
      <c r="CG1968">
        <v>1.56</v>
      </c>
      <c r="CH1968">
        <v>1.48</v>
      </c>
      <c r="CI1968">
        <v>1.39</v>
      </c>
      <c r="CJ1968">
        <v>-13.4</v>
      </c>
      <c r="CK1968">
        <v>1.35</v>
      </c>
      <c r="CL1968">
        <v>7.2</v>
      </c>
      <c r="CM1968">
        <v>-1.53</v>
      </c>
      <c r="CN1968">
        <v>-3.92</v>
      </c>
      <c r="CO1968">
        <v>12370</v>
      </c>
      <c r="CP1968">
        <v>4255</v>
      </c>
      <c r="CQ1968" t="s">
        <v>9709</v>
      </c>
      <c r="CR1968">
        <v>215.67</v>
      </c>
      <c r="CS1968">
        <v>154.37</v>
      </c>
      <c r="CT1968">
        <v>14.48</v>
      </c>
      <c r="CU1968">
        <v>-141.69</v>
      </c>
      <c r="CV1968">
        <v>30.23</v>
      </c>
      <c r="CW1968">
        <v>0.04</v>
      </c>
      <c r="CX1968" t="s">
        <v>277</v>
      </c>
      <c r="CY1968">
        <v>12.47</v>
      </c>
      <c r="CZ1968">
        <v>12.47</v>
      </c>
      <c r="DA1968">
        <v>5.0999999999999996</v>
      </c>
      <c r="DB1968">
        <v>5.99</v>
      </c>
      <c r="DC1968">
        <v>-1.27</v>
      </c>
      <c r="DD1968">
        <v>69.97</v>
      </c>
      <c r="DE1968" t="s">
        <v>4127</v>
      </c>
      <c r="DF1968">
        <v>42.7</v>
      </c>
      <c r="DG1968">
        <v>21.08</v>
      </c>
      <c r="DH1968">
        <v>19.329999999999998</v>
      </c>
      <c r="DI1968">
        <v>1.24</v>
      </c>
      <c r="DJ1968">
        <v>257</v>
      </c>
      <c r="DK1968">
        <v>300613</v>
      </c>
      <c r="DL1968">
        <v>20210705</v>
      </c>
      <c r="DM1968">
        <v>163.69</v>
      </c>
      <c r="DN1968">
        <v>10.27</v>
      </c>
    </row>
    <row r="1969" spans="1:118">
      <c r="A1969" t="str">
        <f>"300614"</f>
        <v>300614</v>
      </c>
      <c r="B1969" t="s">
        <v>9710</v>
      </c>
      <c r="C1969">
        <v>-1.92</v>
      </c>
      <c r="D1969">
        <v>-0.21</v>
      </c>
      <c r="E1969">
        <v>-0.73</v>
      </c>
      <c r="F1969">
        <v>383</v>
      </c>
      <c r="G1969" t="s">
        <v>9711</v>
      </c>
      <c r="H1969">
        <v>6207.23</v>
      </c>
      <c r="I1969">
        <v>15.5</v>
      </c>
      <c r="J1969" t="s">
        <v>120</v>
      </c>
      <c r="K1969" t="s">
        <v>9711</v>
      </c>
      <c r="L1969">
        <v>3.99</v>
      </c>
      <c r="M1969">
        <v>40.31</v>
      </c>
      <c r="N1969">
        <v>0.63</v>
      </c>
      <c r="O1969">
        <v>1.44</v>
      </c>
      <c r="P1969">
        <v>41.69</v>
      </c>
      <c r="Q1969">
        <v>-1.92</v>
      </c>
      <c r="R1969">
        <v>40.31</v>
      </c>
      <c r="S1969">
        <v>40.799999999999997</v>
      </c>
      <c r="T1969">
        <v>15163</v>
      </c>
      <c r="U1969">
        <v>40.340000000000003</v>
      </c>
      <c r="V1969">
        <v>41.1</v>
      </c>
      <c r="W1969">
        <v>42.88</v>
      </c>
      <c r="X1969" t="s">
        <v>318</v>
      </c>
      <c r="Y1969" t="s">
        <v>645</v>
      </c>
      <c r="Z1969">
        <v>3.36</v>
      </c>
      <c r="AA1969">
        <v>40.94</v>
      </c>
      <c r="AB1969">
        <v>8790</v>
      </c>
      <c r="AC1969">
        <v>6373</v>
      </c>
      <c r="AD1969">
        <v>1.38</v>
      </c>
      <c r="AE1969">
        <v>20</v>
      </c>
      <c r="AF1969">
        <v>5</v>
      </c>
      <c r="AG1969" t="s">
        <v>120</v>
      </c>
      <c r="AH1969">
        <v>0.01</v>
      </c>
      <c r="AI1969" t="s">
        <v>120</v>
      </c>
      <c r="AJ1969">
        <v>0.38</v>
      </c>
      <c r="AK1969" t="s">
        <v>9712</v>
      </c>
      <c r="AL1969">
        <v>-0.01</v>
      </c>
      <c r="AM1969">
        <v>1402</v>
      </c>
      <c r="AN1969">
        <v>11</v>
      </c>
      <c r="AO1969">
        <v>2.8E-3</v>
      </c>
      <c r="AP1969">
        <v>-3</v>
      </c>
      <c r="AQ1969">
        <v>-1.67</v>
      </c>
      <c r="AR1969">
        <v>-6.12</v>
      </c>
      <c r="AS1969">
        <v>-12</v>
      </c>
      <c r="AT1969">
        <v>-34.450000000000003</v>
      </c>
      <c r="AU1969">
        <v>338.63</v>
      </c>
      <c r="AV1969">
        <v>2</v>
      </c>
      <c r="AW1969">
        <v>3.99</v>
      </c>
      <c r="AX1969">
        <v>23.71</v>
      </c>
      <c r="AY1969">
        <v>49.59</v>
      </c>
      <c r="AZ1969">
        <v>52.81</v>
      </c>
      <c r="BA1969">
        <v>1.34</v>
      </c>
      <c r="BB1969" t="s">
        <v>143</v>
      </c>
      <c r="BF1969">
        <v>-0.4</v>
      </c>
      <c r="BG1969">
        <v>-1.2</v>
      </c>
      <c r="BH1969">
        <v>-3.31</v>
      </c>
      <c r="BI1969">
        <v>0</v>
      </c>
      <c r="BJ1969">
        <v>20210826</v>
      </c>
      <c r="BK1969">
        <v>20210525</v>
      </c>
      <c r="BL1969">
        <v>1.6</v>
      </c>
      <c r="BM1969" t="s">
        <v>120</v>
      </c>
      <c r="BN1969" t="s">
        <v>120</v>
      </c>
      <c r="BO1969">
        <v>18.25</v>
      </c>
      <c r="BP1969">
        <v>40.31</v>
      </c>
      <c r="BQ1969">
        <v>14.41</v>
      </c>
      <c r="BR1969">
        <v>7.0000000000000007E-2</v>
      </c>
      <c r="BS1969">
        <v>20.65</v>
      </c>
      <c r="BT1969">
        <v>9.4499999999999993</v>
      </c>
      <c r="BU1969">
        <v>3.88</v>
      </c>
      <c r="BV1969">
        <v>0.06</v>
      </c>
      <c r="BW1969">
        <v>2.91</v>
      </c>
      <c r="BX1969">
        <v>3.67</v>
      </c>
      <c r="BY1969">
        <v>0.3</v>
      </c>
      <c r="BZ1969">
        <v>3.37</v>
      </c>
      <c r="CA1969" t="s">
        <v>120</v>
      </c>
      <c r="CB1969">
        <v>6.91</v>
      </c>
      <c r="CC1969">
        <v>2.5099999999999998</v>
      </c>
      <c r="CD1969">
        <v>1.35</v>
      </c>
      <c r="CE1969">
        <v>0.8</v>
      </c>
      <c r="CF1969">
        <v>0.01</v>
      </c>
      <c r="CG1969">
        <v>0.81</v>
      </c>
      <c r="CH1969">
        <v>0.76</v>
      </c>
      <c r="CI1969">
        <v>0.75</v>
      </c>
      <c r="CJ1969">
        <v>-0.79</v>
      </c>
      <c r="CK1969">
        <v>0.73</v>
      </c>
      <c r="CL1969">
        <v>5.62</v>
      </c>
      <c r="CM1969">
        <v>0.43</v>
      </c>
      <c r="CN1969">
        <v>3.12</v>
      </c>
      <c r="CO1969">
        <v>21547</v>
      </c>
      <c r="CP1969">
        <v>1765</v>
      </c>
      <c r="CQ1969" t="s">
        <v>7933</v>
      </c>
      <c r="CR1969">
        <v>0</v>
      </c>
      <c r="CS1969">
        <v>0</v>
      </c>
      <c r="CT1969">
        <v>4.49</v>
      </c>
      <c r="CU1969">
        <v>148.78</v>
      </c>
      <c r="CV1969">
        <v>25.75</v>
      </c>
      <c r="CW1969">
        <v>0</v>
      </c>
      <c r="CX1969" t="s">
        <v>597</v>
      </c>
      <c r="CY1969">
        <v>8.98</v>
      </c>
      <c r="CZ1969">
        <v>0</v>
      </c>
      <c r="DA1969">
        <v>4.3099999999999996</v>
      </c>
      <c r="DB1969">
        <v>3.5</v>
      </c>
      <c r="DC1969">
        <v>0.27</v>
      </c>
      <c r="DD1969">
        <v>78.95</v>
      </c>
      <c r="DE1969" t="s">
        <v>6218</v>
      </c>
      <c r="DF1969">
        <v>46.23</v>
      </c>
      <c r="DG1969">
        <v>31.73</v>
      </c>
      <c r="DH1969">
        <v>30.03</v>
      </c>
      <c r="DI1969">
        <v>0.02</v>
      </c>
      <c r="DJ1969">
        <v>812</v>
      </c>
      <c r="DK1969">
        <v>300614</v>
      </c>
      <c r="DL1969" t="s">
        <v>120</v>
      </c>
      <c r="DM1969" t="s">
        <v>120</v>
      </c>
      <c r="DN1969" t="s">
        <v>120</v>
      </c>
    </row>
    <row r="1970" spans="1:118">
      <c r="A1970" t="str">
        <f>"300615"</f>
        <v>300615</v>
      </c>
      <c r="B1970" t="s">
        <v>9713</v>
      </c>
      <c r="C1970">
        <v>-1.85</v>
      </c>
      <c r="D1970">
        <v>-0.15</v>
      </c>
      <c r="E1970">
        <v>0.32</v>
      </c>
      <c r="F1970">
        <v>759</v>
      </c>
      <c r="G1970" t="s">
        <v>9714</v>
      </c>
      <c r="H1970">
        <v>2065.75</v>
      </c>
      <c r="I1970">
        <v>5.12</v>
      </c>
      <c r="J1970" t="s">
        <v>120</v>
      </c>
      <c r="K1970" t="s">
        <v>9715</v>
      </c>
      <c r="L1970">
        <v>1.63</v>
      </c>
      <c r="M1970">
        <v>12.21</v>
      </c>
      <c r="N1970">
        <v>0.65</v>
      </c>
      <c r="O1970">
        <v>1.1299999999999999</v>
      </c>
      <c r="P1970">
        <v>12.58</v>
      </c>
      <c r="Q1970">
        <v>-1.85</v>
      </c>
      <c r="R1970">
        <v>12.21</v>
      </c>
      <c r="S1970">
        <v>12.48</v>
      </c>
      <c r="T1970">
        <v>16699</v>
      </c>
      <c r="U1970">
        <v>12.22</v>
      </c>
      <c r="V1970">
        <v>12.44</v>
      </c>
      <c r="W1970">
        <v>250.79</v>
      </c>
      <c r="X1970" t="s">
        <v>229</v>
      </c>
      <c r="Y1970" t="s">
        <v>123</v>
      </c>
      <c r="Z1970">
        <v>2.97</v>
      </c>
      <c r="AA1970">
        <v>12.37</v>
      </c>
      <c r="AB1970">
        <v>9829</v>
      </c>
      <c r="AC1970">
        <v>6870</v>
      </c>
      <c r="AD1970">
        <v>1.43</v>
      </c>
      <c r="AE1970">
        <v>76</v>
      </c>
      <c r="AF1970">
        <v>15</v>
      </c>
      <c r="AG1970" t="s">
        <v>120</v>
      </c>
      <c r="AH1970">
        <v>0</v>
      </c>
      <c r="AI1970" t="s">
        <v>120</v>
      </c>
      <c r="AJ1970">
        <v>1.03</v>
      </c>
      <c r="AK1970" t="s">
        <v>9716</v>
      </c>
      <c r="AL1970">
        <v>0.06</v>
      </c>
      <c r="AM1970">
        <v>934</v>
      </c>
      <c r="AN1970">
        <v>18</v>
      </c>
      <c r="AO1970">
        <v>1.6999999999999999E-3</v>
      </c>
      <c r="AP1970">
        <v>-2</v>
      </c>
      <c r="AQ1970">
        <v>-3.04</v>
      </c>
      <c r="AR1970">
        <v>-4.2300000000000004</v>
      </c>
      <c r="AS1970">
        <v>-3.93</v>
      </c>
      <c r="AT1970">
        <v>-3.56</v>
      </c>
      <c r="AU1970">
        <v>-8.06</v>
      </c>
      <c r="AV1970">
        <v>2</v>
      </c>
      <c r="AW1970">
        <v>2.0099999999999998</v>
      </c>
      <c r="AX1970">
        <v>44.09</v>
      </c>
      <c r="AY1970">
        <v>454.63</v>
      </c>
      <c r="AZ1970">
        <v>424.9</v>
      </c>
      <c r="BA1970">
        <v>1.1200000000000001</v>
      </c>
      <c r="BB1970" t="s">
        <v>143</v>
      </c>
      <c r="BF1970">
        <v>-0.56000000000000005</v>
      </c>
      <c r="BG1970">
        <v>-2.16</v>
      </c>
      <c r="BH1970">
        <v>-2.94</v>
      </c>
      <c r="BI1970">
        <v>0</v>
      </c>
      <c r="BJ1970">
        <v>20210913</v>
      </c>
      <c r="BK1970">
        <v>20170215</v>
      </c>
      <c r="BL1970">
        <v>1.89</v>
      </c>
      <c r="BM1970" t="s">
        <v>120</v>
      </c>
      <c r="BN1970" t="s">
        <v>120</v>
      </c>
      <c r="BO1970">
        <v>5.51</v>
      </c>
      <c r="BP1970">
        <v>12.21</v>
      </c>
      <c r="BQ1970">
        <v>4.7300000000000004</v>
      </c>
      <c r="BR1970">
        <v>0.02</v>
      </c>
      <c r="BS1970">
        <v>13.85</v>
      </c>
      <c r="BT1970">
        <v>4.03</v>
      </c>
      <c r="BU1970">
        <v>1</v>
      </c>
      <c r="BV1970">
        <v>0.08</v>
      </c>
      <c r="BW1970">
        <v>0.71</v>
      </c>
      <c r="BX1970">
        <v>0.89</v>
      </c>
      <c r="BY1970">
        <v>0.52</v>
      </c>
      <c r="BZ1970">
        <v>1.03</v>
      </c>
      <c r="CA1970">
        <v>0</v>
      </c>
      <c r="CB1970">
        <v>1.56</v>
      </c>
      <c r="CC1970">
        <v>1.24</v>
      </c>
      <c r="CD1970">
        <v>0.98</v>
      </c>
      <c r="CE1970">
        <v>0.05</v>
      </c>
      <c r="CF1970">
        <v>0.01</v>
      </c>
      <c r="CG1970">
        <v>0.06</v>
      </c>
      <c r="CH1970">
        <v>0.04</v>
      </c>
      <c r="CI1970">
        <v>0.05</v>
      </c>
      <c r="CJ1970">
        <v>-0.23</v>
      </c>
      <c r="CK1970">
        <v>0.02</v>
      </c>
      <c r="CL1970">
        <v>1.04</v>
      </c>
      <c r="CM1970">
        <v>0</v>
      </c>
      <c r="CN1970">
        <v>-0.45</v>
      </c>
      <c r="CO1970">
        <v>15862</v>
      </c>
      <c r="CP1970">
        <v>5239</v>
      </c>
      <c r="CQ1970" t="s">
        <v>572</v>
      </c>
      <c r="CR1970">
        <v>-7.29</v>
      </c>
      <c r="CS1970">
        <v>15.05</v>
      </c>
      <c r="CT1970">
        <v>4.8600000000000003</v>
      </c>
      <c r="CU1970">
        <v>-5868.4</v>
      </c>
      <c r="CV1970">
        <v>18.62</v>
      </c>
      <c r="CW1970">
        <v>0.4</v>
      </c>
      <c r="CX1970" t="s">
        <v>1896</v>
      </c>
      <c r="CY1970">
        <v>2.5099999999999998</v>
      </c>
      <c r="CZ1970">
        <v>0</v>
      </c>
      <c r="DA1970">
        <v>0.83</v>
      </c>
      <c r="DB1970">
        <v>0.55000000000000004</v>
      </c>
      <c r="DC1970">
        <v>0</v>
      </c>
      <c r="DD1970">
        <v>85.88</v>
      </c>
      <c r="DE1970" t="s">
        <v>2075</v>
      </c>
      <c r="DF1970">
        <v>20.46</v>
      </c>
      <c r="DG1970">
        <v>4.38</v>
      </c>
      <c r="DH1970">
        <v>3.71</v>
      </c>
      <c r="DI1970">
        <v>7.0000000000000007E-2</v>
      </c>
      <c r="DJ1970">
        <v>542</v>
      </c>
      <c r="DK1970">
        <v>300615</v>
      </c>
      <c r="DL1970" t="s">
        <v>120</v>
      </c>
      <c r="DM1970" t="s">
        <v>120</v>
      </c>
      <c r="DN1970" t="s">
        <v>120</v>
      </c>
    </row>
    <row r="1971" spans="1:118">
      <c r="A1971" t="str">
        <f>"300616"</f>
        <v>300616</v>
      </c>
      <c r="B1971" t="s">
        <v>9717</v>
      </c>
      <c r="C1971">
        <v>-1.35</v>
      </c>
      <c r="D1971">
        <v>-0.01</v>
      </c>
      <c r="E1971">
        <v>0</v>
      </c>
      <c r="F1971">
        <v>214</v>
      </c>
      <c r="G1971" t="s">
        <v>9718</v>
      </c>
      <c r="H1971">
        <v>6133.01</v>
      </c>
      <c r="I1971">
        <v>32.31</v>
      </c>
      <c r="J1971" t="s">
        <v>120</v>
      </c>
      <c r="K1971" t="s">
        <v>5848</v>
      </c>
      <c r="L1971">
        <v>0.98</v>
      </c>
      <c r="M1971">
        <v>47.58</v>
      </c>
      <c r="N1971">
        <v>0.9</v>
      </c>
      <c r="O1971">
        <v>2.1800000000000002</v>
      </c>
      <c r="P1971">
        <v>49.28</v>
      </c>
      <c r="Q1971">
        <v>-1.51</v>
      </c>
      <c r="R1971">
        <v>47.5</v>
      </c>
      <c r="S1971">
        <v>48.23</v>
      </c>
      <c r="T1971">
        <v>12703</v>
      </c>
      <c r="U1971">
        <v>47.59</v>
      </c>
      <c r="V1971">
        <v>48.23</v>
      </c>
      <c r="W1971">
        <v>110.84</v>
      </c>
      <c r="X1971" t="s">
        <v>2409</v>
      </c>
      <c r="Y1971" t="s">
        <v>547</v>
      </c>
      <c r="Z1971">
        <v>3.69</v>
      </c>
      <c r="AA1971">
        <v>48.28</v>
      </c>
      <c r="AB1971">
        <v>7253</v>
      </c>
      <c r="AC1971">
        <v>5450</v>
      </c>
      <c r="AD1971">
        <v>1.33</v>
      </c>
      <c r="AE1971">
        <v>5</v>
      </c>
      <c r="AF1971">
        <v>12</v>
      </c>
      <c r="AG1971" t="s">
        <v>120</v>
      </c>
      <c r="AH1971">
        <v>0.01</v>
      </c>
      <c r="AI1971" t="s">
        <v>120</v>
      </c>
      <c r="AJ1971">
        <v>1.3</v>
      </c>
      <c r="AK1971" t="s">
        <v>9719</v>
      </c>
      <c r="AL1971">
        <v>0.56999999999999995</v>
      </c>
      <c r="AM1971">
        <v>1645</v>
      </c>
      <c r="AN1971">
        <v>8</v>
      </c>
      <c r="AO1971">
        <v>5.9999999999999995E-4</v>
      </c>
      <c r="AP1971">
        <v>-8</v>
      </c>
      <c r="AQ1971">
        <v>-1.77</v>
      </c>
      <c r="AR1971">
        <v>-4.82</v>
      </c>
      <c r="AS1971">
        <v>-28.98</v>
      </c>
      <c r="AT1971">
        <v>-35.57</v>
      </c>
      <c r="AU1971">
        <v>-40.159999999999997</v>
      </c>
      <c r="AV1971">
        <v>0</v>
      </c>
      <c r="AW1971">
        <v>1.69</v>
      </c>
      <c r="AX1971">
        <v>37.82</v>
      </c>
      <c r="AY1971">
        <v>35.92</v>
      </c>
      <c r="AZ1971">
        <v>94.5</v>
      </c>
      <c r="BA1971">
        <v>0.89</v>
      </c>
      <c r="BB1971" t="s">
        <v>134</v>
      </c>
      <c r="BF1971">
        <v>0.1</v>
      </c>
      <c r="BG1971">
        <v>-1.35</v>
      </c>
      <c r="BH1971">
        <v>-3.45</v>
      </c>
      <c r="BI1971">
        <v>0.17</v>
      </c>
      <c r="BJ1971">
        <v>20210830</v>
      </c>
      <c r="BK1971">
        <v>20170307</v>
      </c>
      <c r="BL1971">
        <v>1.99</v>
      </c>
      <c r="BM1971" t="s">
        <v>120</v>
      </c>
      <c r="BN1971" t="s">
        <v>120</v>
      </c>
      <c r="BO1971">
        <v>70.87</v>
      </c>
      <c r="BP1971">
        <v>47.58</v>
      </c>
      <c r="BQ1971">
        <v>35.26</v>
      </c>
      <c r="BR1971">
        <v>0</v>
      </c>
      <c r="BS1971">
        <v>50.25</v>
      </c>
      <c r="BT1971">
        <v>33.46</v>
      </c>
      <c r="BU1971">
        <v>16.98</v>
      </c>
      <c r="BV1971">
        <v>5.27</v>
      </c>
      <c r="BW1971">
        <v>24.38</v>
      </c>
      <c r="BX1971">
        <v>14.91</v>
      </c>
      <c r="BY1971">
        <v>9.58</v>
      </c>
      <c r="BZ1971">
        <v>1.41</v>
      </c>
      <c r="CA1971" t="s">
        <v>120</v>
      </c>
      <c r="CB1971">
        <v>15.08</v>
      </c>
      <c r="CC1971">
        <v>31.77</v>
      </c>
      <c r="CD1971">
        <v>20.71</v>
      </c>
      <c r="CE1971">
        <v>0.53</v>
      </c>
      <c r="CF1971">
        <v>0.09</v>
      </c>
      <c r="CG1971">
        <v>0.51</v>
      </c>
      <c r="CH1971">
        <v>0.43</v>
      </c>
      <c r="CI1971">
        <v>0.43</v>
      </c>
      <c r="CJ1971">
        <v>-0.65</v>
      </c>
      <c r="CK1971">
        <v>0.13</v>
      </c>
      <c r="CL1971">
        <v>17.84</v>
      </c>
      <c r="CM1971">
        <v>-3.99</v>
      </c>
      <c r="CN1971">
        <v>4.6100000000000003</v>
      </c>
      <c r="CO1971">
        <v>5295</v>
      </c>
      <c r="CP1971">
        <v>14189</v>
      </c>
      <c r="CQ1971" t="s">
        <v>9720</v>
      </c>
      <c r="CR1971">
        <v>134.74</v>
      </c>
      <c r="CS1971">
        <v>40.19</v>
      </c>
      <c r="CT1971">
        <v>2.68</v>
      </c>
      <c r="CU1971">
        <v>-23.71</v>
      </c>
      <c r="CV1971">
        <v>2.98</v>
      </c>
      <c r="CW1971">
        <v>0.31</v>
      </c>
      <c r="CX1971" t="s">
        <v>2097</v>
      </c>
      <c r="CY1971">
        <v>17.75</v>
      </c>
      <c r="CZ1971">
        <v>0</v>
      </c>
      <c r="DA1971">
        <v>7.59</v>
      </c>
      <c r="DB1971">
        <v>8.98</v>
      </c>
      <c r="DC1971">
        <v>-2.0099999999999998</v>
      </c>
      <c r="DD1971">
        <v>49.75</v>
      </c>
      <c r="DE1971" t="s">
        <v>5965</v>
      </c>
      <c r="DF1971">
        <v>34.82</v>
      </c>
      <c r="DG1971">
        <v>1.66</v>
      </c>
      <c r="DH1971">
        <v>1.34</v>
      </c>
      <c r="DI1971">
        <v>0.96</v>
      </c>
      <c r="DJ1971">
        <v>16454</v>
      </c>
      <c r="DK1971">
        <v>300616</v>
      </c>
      <c r="DL1971" t="s">
        <v>120</v>
      </c>
      <c r="DM1971" t="s">
        <v>120</v>
      </c>
      <c r="DN1971" t="s">
        <v>120</v>
      </c>
    </row>
    <row r="1972" spans="1:118">
      <c r="A1972" t="str">
        <f>"300617"</f>
        <v>300617</v>
      </c>
      <c r="B1972" t="s">
        <v>9721</v>
      </c>
      <c r="C1972">
        <v>-5.22</v>
      </c>
      <c r="D1972">
        <v>0</v>
      </c>
      <c r="E1972">
        <v>-1.71</v>
      </c>
      <c r="F1972">
        <v>230</v>
      </c>
      <c r="G1972" t="s">
        <v>8593</v>
      </c>
      <c r="H1972">
        <v>17994.080000000002</v>
      </c>
      <c r="I1972">
        <v>176.33</v>
      </c>
      <c r="J1972" t="s">
        <v>120</v>
      </c>
      <c r="K1972" t="s">
        <v>9722</v>
      </c>
      <c r="L1972">
        <v>4.16</v>
      </c>
      <c r="M1972">
        <v>65.400000000000006</v>
      </c>
      <c r="N1972">
        <v>0.94</v>
      </c>
      <c r="O1972">
        <v>0.17</v>
      </c>
      <c r="P1972">
        <v>69.12</v>
      </c>
      <c r="Q1972">
        <v>-5.35</v>
      </c>
      <c r="R1972">
        <v>65.31</v>
      </c>
      <c r="S1972">
        <v>67.819999999999993</v>
      </c>
      <c r="T1972">
        <v>26947</v>
      </c>
      <c r="U1972">
        <v>65.53</v>
      </c>
      <c r="V1972">
        <v>69</v>
      </c>
      <c r="W1972">
        <v>45.76</v>
      </c>
      <c r="X1972" t="s">
        <v>394</v>
      </c>
      <c r="Y1972" t="s">
        <v>319</v>
      </c>
      <c r="Z1972">
        <v>5.52</v>
      </c>
      <c r="AA1972">
        <v>66.78</v>
      </c>
      <c r="AB1972">
        <v>16089</v>
      </c>
      <c r="AC1972">
        <v>10858</v>
      </c>
      <c r="AD1972">
        <v>1.48</v>
      </c>
      <c r="AE1972">
        <v>18</v>
      </c>
      <c r="AF1972">
        <v>3</v>
      </c>
      <c r="AG1972" t="s">
        <v>120</v>
      </c>
      <c r="AH1972">
        <v>0.06</v>
      </c>
      <c r="AI1972" t="s">
        <v>120</v>
      </c>
      <c r="AJ1972">
        <v>0.65</v>
      </c>
      <c r="AK1972" t="s">
        <v>9723</v>
      </c>
      <c r="AL1972">
        <v>-3.3</v>
      </c>
      <c r="AM1972">
        <v>2335</v>
      </c>
      <c r="AN1972">
        <v>12</v>
      </c>
      <c r="AO1972">
        <v>1.8E-3</v>
      </c>
      <c r="AP1972">
        <v>-1</v>
      </c>
      <c r="AQ1972">
        <v>8.49</v>
      </c>
      <c r="AR1972">
        <v>2.7</v>
      </c>
      <c r="AS1972">
        <v>29.05</v>
      </c>
      <c r="AT1972">
        <v>31.57</v>
      </c>
      <c r="AU1972">
        <v>32.85</v>
      </c>
      <c r="AV1972">
        <v>0</v>
      </c>
      <c r="AW1972">
        <v>6.01</v>
      </c>
      <c r="AX1972">
        <v>26.67</v>
      </c>
      <c r="AY1972">
        <v>62.07</v>
      </c>
      <c r="AZ1972">
        <v>87.65</v>
      </c>
      <c r="BA1972">
        <v>0.67</v>
      </c>
      <c r="BB1972" t="s">
        <v>168</v>
      </c>
      <c r="BF1972">
        <v>-3.22</v>
      </c>
      <c r="BG1972">
        <v>-3.57</v>
      </c>
      <c r="BH1972">
        <v>-5.38</v>
      </c>
      <c r="BI1972">
        <v>0.14000000000000001</v>
      </c>
      <c r="BJ1972">
        <v>20210902</v>
      </c>
      <c r="BK1972">
        <v>20170228</v>
      </c>
      <c r="BL1972">
        <v>1.68</v>
      </c>
      <c r="BM1972" t="s">
        <v>120</v>
      </c>
      <c r="BN1972" t="s">
        <v>120</v>
      </c>
      <c r="BO1972">
        <v>29.35</v>
      </c>
      <c r="BP1972">
        <v>65.400000000000006</v>
      </c>
      <c r="BQ1972">
        <v>24.64</v>
      </c>
      <c r="BR1972">
        <v>0.05</v>
      </c>
      <c r="BS1972">
        <v>15.87</v>
      </c>
      <c r="BT1972">
        <v>26.28</v>
      </c>
      <c r="BU1972">
        <v>1.77</v>
      </c>
      <c r="BV1972">
        <v>0.68</v>
      </c>
      <c r="BW1972">
        <v>4.37</v>
      </c>
      <c r="BX1972">
        <v>15.67</v>
      </c>
      <c r="BY1972">
        <v>1.77</v>
      </c>
      <c r="BZ1972">
        <v>5.09</v>
      </c>
      <c r="CA1972" t="s">
        <v>120</v>
      </c>
      <c r="CB1972">
        <v>18.329999999999998</v>
      </c>
      <c r="CC1972">
        <v>4.75</v>
      </c>
      <c r="CD1972">
        <v>2.37</v>
      </c>
      <c r="CE1972">
        <v>1.4</v>
      </c>
      <c r="CF1972">
        <v>0.04</v>
      </c>
      <c r="CG1972">
        <v>1.4</v>
      </c>
      <c r="CH1972">
        <v>1.21</v>
      </c>
      <c r="CI1972">
        <v>1.2</v>
      </c>
      <c r="CJ1972">
        <v>-3.6</v>
      </c>
      <c r="CK1972">
        <v>1.1499999999999999</v>
      </c>
      <c r="CL1972">
        <v>4.5</v>
      </c>
      <c r="CM1972">
        <v>-0.08</v>
      </c>
      <c r="CN1972">
        <v>14.16</v>
      </c>
      <c r="CO1972">
        <v>9620</v>
      </c>
      <c r="CP1972">
        <v>4662</v>
      </c>
      <c r="CQ1972" t="s">
        <v>9724</v>
      </c>
      <c r="CR1972">
        <v>83.18</v>
      </c>
      <c r="CS1972">
        <v>139.07</v>
      </c>
      <c r="CT1972">
        <v>4.46</v>
      </c>
      <c r="CU1972">
        <v>-1449.52</v>
      </c>
      <c r="CV1972">
        <v>23.16</v>
      </c>
      <c r="CW1972">
        <v>0.56000000000000005</v>
      </c>
      <c r="CX1972" t="s">
        <v>3686</v>
      </c>
      <c r="CY1972">
        <v>14.65</v>
      </c>
      <c r="CZ1972">
        <v>0</v>
      </c>
      <c r="DA1972">
        <v>10.9</v>
      </c>
      <c r="DB1972">
        <v>2.68</v>
      </c>
      <c r="DC1972">
        <v>-0.05</v>
      </c>
      <c r="DD1972">
        <v>83.95</v>
      </c>
      <c r="DE1972" t="s">
        <v>1206</v>
      </c>
      <c r="DF1972">
        <v>50.06</v>
      </c>
      <c r="DG1972">
        <v>29.44</v>
      </c>
      <c r="DH1972">
        <v>25.3</v>
      </c>
      <c r="DI1972">
        <v>0.16</v>
      </c>
      <c r="DJ1972">
        <v>688</v>
      </c>
      <c r="DK1972">
        <v>300617</v>
      </c>
      <c r="DL1972" t="s">
        <v>120</v>
      </c>
      <c r="DM1972" t="s">
        <v>120</v>
      </c>
      <c r="DN1972" t="s">
        <v>120</v>
      </c>
    </row>
    <row r="1973" spans="1:118">
      <c r="A1973" t="str">
        <f>"300618"</f>
        <v>300618</v>
      </c>
      <c r="B1973" t="s">
        <v>9725</v>
      </c>
      <c r="C1973">
        <v>-5.27</v>
      </c>
      <c r="D1973">
        <v>-0.04</v>
      </c>
      <c r="E1973">
        <v>0.09</v>
      </c>
      <c r="F1973">
        <v>826</v>
      </c>
      <c r="G1973" t="s">
        <v>9726</v>
      </c>
      <c r="H1973">
        <v>93514.75</v>
      </c>
      <c r="I1973">
        <v>553.33000000000004</v>
      </c>
      <c r="J1973" t="s">
        <v>120</v>
      </c>
      <c r="K1973" t="s">
        <v>9727</v>
      </c>
      <c r="L1973">
        <v>4.8600000000000003</v>
      </c>
      <c r="M1973">
        <v>84.2</v>
      </c>
      <c r="N1973">
        <v>1.06</v>
      </c>
      <c r="O1973">
        <v>0.77</v>
      </c>
      <c r="P1973">
        <v>89.56</v>
      </c>
      <c r="Q1973">
        <v>-5.49</v>
      </c>
      <c r="R1973">
        <v>84</v>
      </c>
      <c r="S1973">
        <v>88.96</v>
      </c>
      <c r="T1973">
        <v>107808</v>
      </c>
      <c r="U1973">
        <v>84.2</v>
      </c>
      <c r="V1973">
        <v>88.88</v>
      </c>
      <c r="W1973">
        <v>36.65</v>
      </c>
      <c r="X1973" t="s">
        <v>1390</v>
      </c>
      <c r="Y1973" t="s">
        <v>319</v>
      </c>
      <c r="Z1973">
        <v>6.26</v>
      </c>
      <c r="AA1973">
        <v>86.74</v>
      </c>
      <c r="AB1973">
        <v>56015</v>
      </c>
      <c r="AC1973">
        <v>51793</v>
      </c>
      <c r="AD1973">
        <v>1.08</v>
      </c>
      <c r="AE1973">
        <v>54</v>
      </c>
      <c r="AF1973">
        <v>7</v>
      </c>
      <c r="AG1973" t="s">
        <v>120</v>
      </c>
      <c r="AH1973">
        <v>0.03</v>
      </c>
      <c r="AI1973" t="s">
        <v>120</v>
      </c>
      <c r="AJ1973">
        <v>2.2200000000000002</v>
      </c>
      <c r="AK1973" t="s">
        <v>9728</v>
      </c>
      <c r="AL1973">
        <v>-3.35</v>
      </c>
      <c r="AM1973">
        <v>4310</v>
      </c>
      <c r="AN1973">
        <v>25</v>
      </c>
      <c r="AO1973">
        <v>1.1000000000000001E-3</v>
      </c>
      <c r="AP1973">
        <v>-3</v>
      </c>
      <c r="AQ1973">
        <v>-1.19</v>
      </c>
      <c r="AR1973">
        <v>-6.76</v>
      </c>
      <c r="AS1973">
        <v>-7.07</v>
      </c>
      <c r="AT1973">
        <v>13.51</v>
      </c>
      <c r="AU1973">
        <v>-11.08</v>
      </c>
      <c r="AV1973">
        <v>0</v>
      </c>
      <c r="AW1973">
        <v>5.13</v>
      </c>
      <c r="AX1973">
        <v>67.84</v>
      </c>
      <c r="AY1973">
        <v>43.8</v>
      </c>
      <c r="AZ1973">
        <v>82.27</v>
      </c>
      <c r="BA1973">
        <v>1.1200000000000001</v>
      </c>
      <c r="BB1973" t="s">
        <v>143</v>
      </c>
      <c r="BF1973">
        <v>-2.41</v>
      </c>
      <c r="BG1973">
        <v>-5.35</v>
      </c>
      <c r="BH1973">
        <v>-5.98</v>
      </c>
      <c r="BI1973">
        <v>0.24</v>
      </c>
      <c r="BJ1973">
        <v>20210913</v>
      </c>
      <c r="BK1973">
        <v>20170306</v>
      </c>
      <c r="BL1973">
        <v>3.1</v>
      </c>
      <c r="BM1973" t="s">
        <v>120</v>
      </c>
      <c r="BN1973" t="s">
        <v>120</v>
      </c>
      <c r="BO1973">
        <v>65.930000000000007</v>
      </c>
      <c r="BP1973">
        <v>84.18</v>
      </c>
      <c r="BQ1973">
        <v>44.59</v>
      </c>
      <c r="BR1973">
        <v>-0.02</v>
      </c>
      <c r="BS1973">
        <v>32.39</v>
      </c>
      <c r="BT1973">
        <v>49.2</v>
      </c>
      <c r="BU1973">
        <v>10.3</v>
      </c>
      <c r="BV1973">
        <v>0.88</v>
      </c>
      <c r="BW1973">
        <v>19.29</v>
      </c>
      <c r="BX1973">
        <v>15.65</v>
      </c>
      <c r="BY1973">
        <v>19.03</v>
      </c>
      <c r="BZ1973">
        <v>4.8099999999999996</v>
      </c>
      <c r="CA1973" t="s">
        <v>120</v>
      </c>
      <c r="CB1973">
        <v>25.8</v>
      </c>
      <c r="CC1973">
        <v>20.8</v>
      </c>
      <c r="CD1973">
        <v>14.03</v>
      </c>
      <c r="CE1973">
        <v>4.37</v>
      </c>
      <c r="CF1973">
        <v>0.2</v>
      </c>
      <c r="CG1973">
        <v>4.3499999999999996</v>
      </c>
      <c r="CH1973">
        <v>3.56</v>
      </c>
      <c r="CI1973">
        <v>3.56</v>
      </c>
      <c r="CJ1973">
        <v>-4.68</v>
      </c>
      <c r="CK1973">
        <v>3.91</v>
      </c>
      <c r="CL1973">
        <v>15.66</v>
      </c>
      <c r="CM1973">
        <v>-3.97</v>
      </c>
      <c r="CN1973">
        <v>0.85</v>
      </c>
      <c r="CO1973">
        <v>59784</v>
      </c>
      <c r="CP1973">
        <v>3513</v>
      </c>
      <c r="CQ1973" t="s">
        <v>9729</v>
      </c>
      <c r="CR1973">
        <v>473.98</v>
      </c>
      <c r="CS1973">
        <v>100.79</v>
      </c>
      <c r="CT1973">
        <v>5.85</v>
      </c>
      <c r="CU1973">
        <v>-65.73</v>
      </c>
      <c r="CV1973">
        <v>12.53</v>
      </c>
      <c r="CW1973">
        <v>0.25</v>
      </c>
      <c r="CX1973" t="s">
        <v>9730</v>
      </c>
      <c r="CY1973">
        <v>14.4</v>
      </c>
      <c r="CZ1973">
        <v>0</v>
      </c>
      <c r="DA1973">
        <v>8.33</v>
      </c>
      <c r="DB1973">
        <v>5.0599999999999996</v>
      </c>
      <c r="DC1973">
        <v>-1.28</v>
      </c>
      <c r="DD1973">
        <v>67.63</v>
      </c>
      <c r="DE1973" t="s">
        <v>6910</v>
      </c>
      <c r="DF1973">
        <v>32.53</v>
      </c>
      <c r="DG1973">
        <v>21.01</v>
      </c>
      <c r="DH1973">
        <v>17.100000000000001</v>
      </c>
      <c r="DI1973">
        <v>0.19</v>
      </c>
      <c r="DJ1973">
        <v>1346</v>
      </c>
      <c r="DK1973">
        <v>300618</v>
      </c>
      <c r="DL1973" t="s">
        <v>120</v>
      </c>
      <c r="DM1973" t="s">
        <v>120</v>
      </c>
      <c r="DN1973" t="s">
        <v>120</v>
      </c>
    </row>
    <row r="1974" spans="1:118">
      <c r="A1974" t="str">
        <f>"300619"</f>
        <v>300619</v>
      </c>
      <c r="B1974" t="s">
        <v>9731</v>
      </c>
      <c r="C1974">
        <v>-14.65</v>
      </c>
      <c r="D1974">
        <v>-0.48</v>
      </c>
      <c r="E1974">
        <v>-4.76</v>
      </c>
      <c r="F1974">
        <v>2140</v>
      </c>
      <c r="G1974" t="s">
        <v>3418</v>
      </c>
      <c r="H1974">
        <v>64206.74</v>
      </c>
      <c r="I1974">
        <v>724.5</v>
      </c>
      <c r="J1974" t="s">
        <v>120</v>
      </c>
      <c r="K1974" t="s">
        <v>9732</v>
      </c>
      <c r="L1974">
        <v>19.010000000000002</v>
      </c>
      <c r="M1974">
        <v>56.46</v>
      </c>
      <c r="N1974">
        <v>1.1100000000000001</v>
      </c>
      <c r="O1974">
        <v>-1.74</v>
      </c>
      <c r="P1974">
        <v>65</v>
      </c>
      <c r="Q1974">
        <v>-14.65</v>
      </c>
      <c r="R1974">
        <v>56.46</v>
      </c>
      <c r="S1974">
        <v>63</v>
      </c>
      <c r="T1974">
        <v>107625</v>
      </c>
      <c r="U1974">
        <v>56.46</v>
      </c>
      <c r="V1974">
        <v>66.150000000000006</v>
      </c>
      <c r="W1974">
        <v>296.54000000000002</v>
      </c>
      <c r="X1974" t="s">
        <v>675</v>
      </c>
      <c r="Y1974" t="s">
        <v>547</v>
      </c>
      <c r="Z1974">
        <v>12.91</v>
      </c>
      <c r="AA1974">
        <v>59.66</v>
      </c>
      <c r="AB1974">
        <v>60044</v>
      </c>
      <c r="AC1974">
        <v>47581</v>
      </c>
      <c r="AD1974">
        <v>1.26</v>
      </c>
      <c r="AE1974">
        <v>1</v>
      </c>
      <c r="AF1974">
        <v>61</v>
      </c>
      <c r="AG1974" t="s">
        <v>120</v>
      </c>
      <c r="AH1974">
        <v>0.27</v>
      </c>
      <c r="AI1974" t="s">
        <v>120</v>
      </c>
      <c r="AJ1974">
        <v>0.56999999999999995</v>
      </c>
      <c r="AK1974" t="s">
        <v>9733</v>
      </c>
      <c r="AL1974">
        <v>-12.73</v>
      </c>
      <c r="AM1974">
        <v>4106</v>
      </c>
      <c r="AN1974">
        <v>26</v>
      </c>
      <c r="AO1974">
        <v>4.5999999999999999E-3</v>
      </c>
      <c r="AP1974">
        <v>-1</v>
      </c>
      <c r="AQ1974">
        <v>12.5</v>
      </c>
      <c r="AR1974">
        <v>15.22</v>
      </c>
      <c r="AS1974">
        <v>27.8</v>
      </c>
      <c r="AT1974">
        <v>141.80000000000001</v>
      </c>
      <c r="AU1974">
        <v>147.94999999999999</v>
      </c>
      <c r="AV1974">
        <v>7</v>
      </c>
      <c r="AW1974">
        <v>25.43</v>
      </c>
      <c r="AX1974">
        <v>56.68</v>
      </c>
      <c r="AY1974">
        <v>154.09</v>
      </c>
      <c r="AZ1974">
        <v>387.76</v>
      </c>
      <c r="BA1974">
        <v>0.87</v>
      </c>
      <c r="BB1974" t="s">
        <v>4512</v>
      </c>
      <c r="BF1974">
        <v>-9.81</v>
      </c>
      <c r="BG1974">
        <v>-10.38</v>
      </c>
      <c r="BH1974">
        <v>-13.14</v>
      </c>
      <c r="BI1974">
        <v>0</v>
      </c>
      <c r="BJ1974">
        <v>20210830</v>
      </c>
      <c r="BK1974">
        <v>20170301</v>
      </c>
      <c r="BL1974">
        <v>0.75</v>
      </c>
      <c r="BM1974" t="s">
        <v>120</v>
      </c>
      <c r="BN1974" t="s">
        <v>120</v>
      </c>
      <c r="BO1974">
        <v>17.329999999999998</v>
      </c>
      <c r="BP1974">
        <v>56.41</v>
      </c>
      <c r="BQ1974">
        <v>5.32</v>
      </c>
      <c r="BR1974" t="s">
        <v>120</v>
      </c>
      <c r="BS1974">
        <v>69.3</v>
      </c>
      <c r="BT1974">
        <v>9.41</v>
      </c>
      <c r="BU1974">
        <v>5.05</v>
      </c>
      <c r="BV1974">
        <v>1.49</v>
      </c>
      <c r="BW1974">
        <v>8.35</v>
      </c>
      <c r="BX1974">
        <v>1.39</v>
      </c>
      <c r="BY1974">
        <v>2.4</v>
      </c>
      <c r="BZ1974">
        <v>3.59</v>
      </c>
      <c r="CA1974" t="s">
        <v>120</v>
      </c>
      <c r="CB1974">
        <v>1.87</v>
      </c>
      <c r="CC1974">
        <v>4.1500000000000004</v>
      </c>
      <c r="CD1974">
        <v>3.09</v>
      </c>
      <c r="CE1974">
        <v>0.1</v>
      </c>
      <c r="CF1974">
        <v>0</v>
      </c>
      <c r="CG1974">
        <v>0.11</v>
      </c>
      <c r="CH1974">
        <v>7.0000000000000007E-2</v>
      </c>
      <c r="CI1974">
        <v>7.0000000000000007E-2</v>
      </c>
      <c r="CJ1974">
        <v>-9.69</v>
      </c>
      <c r="CK1974">
        <v>0.02</v>
      </c>
      <c r="CL1974">
        <v>2.04</v>
      </c>
      <c r="CM1974">
        <v>-0.34</v>
      </c>
      <c r="CN1974">
        <v>0.16</v>
      </c>
      <c r="CO1974">
        <v>10573</v>
      </c>
      <c r="CP1974">
        <v>4003</v>
      </c>
      <c r="CQ1974" t="s">
        <v>5510</v>
      </c>
      <c r="CR1974">
        <v>158.22</v>
      </c>
      <c r="CS1974">
        <v>121.81</v>
      </c>
      <c r="CT1974">
        <v>8.36</v>
      </c>
      <c r="CU1974">
        <v>-123.22</v>
      </c>
      <c r="CV1974">
        <v>10.16</v>
      </c>
      <c r="CW1974">
        <v>0.03</v>
      </c>
      <c r="CX1974" t="s">
        <v>2398</v>
      </c>
      <c r="CY1974">
        <v>6.75</v>
      </c>
      <c r="CZ1974">
        <v>6.75</v>
      </c>
      <c r="DA1974">
        <v>2.5099999999999998</v>
      </c>
      <c r="DB1974">
        <v>2.74</v>
      </c>
      <c r="DC1974">
        <v>-0.46</v>
      </c>
      <c r="DD1974">
        <v>30.7</v>
      </c>
      <c r="DE1974" t="s">
        <v>1410</v>
      </c>
      <c r="DF1974">
        <v>25.49</v>
      </c>
      <c r="DG1974">
        <v>2.4900000000000002</v>
      </c>
      <c r="DH1974">
        <v>1.71</v>
      </c>
      <c r="DI1974">
        <v>0.19</v>
      </c>
      <c r="DJ1974">
        <v>697</v>
      </c>
      <c r="DK1974">
        <v>300619</v>
      </c>
      <c r="DL1974">
        <v>20210914</v>
      </c>
      <c r="DM1974">
        <v>49</v>
      </c>
      <c r="DN1974">
        <v>15.22</v>
      </c>
    </row>
    <row r="1975" spans="1:118">
      <c r="A1975" t="str">
        <f>"300620"</f>
        <v>300620</v>
      </c>
      <c r="B1975" t="s">
        <v>9734</v>
      </c>
      <c r="C1975">
        <v>6.34</v>
      </c>
      <c r="D1975">
        <v>0.1</v>
      </c>
      <c r="E1975">
        <v>-0.47</v>
      </c>
      <c r="F1975">
        <v>534</v>
      </c>
      <c r="G1975" t="s">
        <v>9735</v>
      </c>
      <c r="H1975">
        <v>16439.36</v>
      </c>
      <c r="I1975">
        <v>34.9</v>
      </c>
      <c r="J1975" t="s">
        <v>120</v>
      </c>
      <c r="K1975" t="s">
        <v>6398</v>
      </c>
      <c r="L1975">
        <v>2.76</v>
      </c>
      <c r="M1975">
        <v>59.18</v>
      </c>
      <c r="N1975">
        <v>1.96</v>
      </c>
      <c r="O1975">
        <v>8.86</v>
      </c>
      <c r="P1975">
        <v>60.58</v>
      </c>
      <c r="Q1975">
        <v>-1.38</v>
      </c>
      <c r="R1975">
        <v>54.88</v>
      </c>
      <c r="S1975">
        <v>55.39</v>
      </c>
      <c r="T1975">
        <v>28266</v>
      </c>
      <c r="U1975">
        <v>59.19</v>
      </c>
      <c r="V1975">
        <v>55.65</v>
      </c>
      <c r="W1975">
        <v>55.75</v>
      </c>
      <c r="X1975" t="s">
        <v>229</v>
      </c>
      <c r="Y1975" t="s">
        <v>547</v>
      </c>
      <c r="Z1975">
        <v>10.24</v>
      </c>
      <c r="AA1975">
        <v>58.16</v>
      </c>
      <c r="AB1975">
        <v>13496</v>
      </c>
      <c r="AC1975">
        <v>14770</v>
      </c>
      <c r="AD1975">
        <v>0.91</v>
      </c>
      <c r="AE1975">
        <v>4</v>
      </c>
      <c r="AF1975">
        <v>1</v>
      </c>
      <c r="AG1975" t="s">
        <v>120</v>
      </c>
      <c r="AH1975">
        <v>0.02</v>
      </c>
      <c r="AI1975" t="s">
        <v>120</v>
      </c>
      <c r="AJ1975">
        <v>1.02</v>
      </c>
      <c r="AK1975" t="s">
        <v>309</v>
      </c>
      <c r="AL1975">
        <v>8.26</v>
      </c>
      <c r="AM1975">
        <v>2338</v>
      </c>
      <c r="AN1975">
        <v>12</v>
      </c>
      <c r="AO1975">
        <v>1.1999999999999999E-3</v>
      </c>
      <c r="AP1975">
        <v>2</v>
      </c>
      <c r="AQ1975">
        <v>3.07</v>
      </c>
      <c r="AR1975">
        <v>6.98</v>
      </c>
      <c r="AS1975">
        <v>11.18</v>
      </c>
      <c r="AT1975">
        <v>30.78</v>
      </c>
      <c r="AU1975">
        <v>43.5</v>
      </c>
      <c r="AV1975">
        <v>1</v>
      </c>
      <c r="AW1975">
        <v>7.39</v>
      </c>
      <c r="AX1975">
        <v>35.270000000000003</v>
      </c>
      <c r="AY1975">
        <v>65.709999999999994</v>
      </c>
      <c r="AZ1975">
        <v>101.98</v>
      </c>
      <c r="BA1975">
        <v>1.48</v>
      </c>
      <c r="BB1975" t="s">
        <v>143</v>
      </c>
      <c r="BF1975">
        <v>4.51</v>
      </c>
      <c r="BG1975">
        <v>6.84</v>
      </c>
      <c r="BH1975">
        <v>-2.31</v>
      </c>
      <c r="BI1975">
        <v>7.84</v>
      </c>
      <c r="BJ1975">
        <v>20210903</v>
      </c>
      <c r="BK1975">
        <v>20170310</v>
      </c>
      <c r="BL1975">
        <v>1.0900000000000001</v>
      </c>
      <c r="BM1975" t="s">
        <v>120</v>
      </c>
      <c r="BN1975" t="s">
        <v>120</v>
      </c>
      <c r="BO1975">
        <v>16.649999999999999</v>
      </c>
      <c r="BP1975">
        <v>59.18</v>
      </c>
      <c r="BQ1975">
        <v>14.53</v>
      </c>
      <c r="BR1975" t="s">
        <v>120</v>
      </c>
      <c r="BS1975">
        <v>12.71</v>
      </c>
      <c r="BT1975">
        <v>11.83</v>
      </c>
      <c r="BU1975">
        <v>2.4900000000000002</v>
      </c>
      <c r="BV1975">
        <v>0.28999999999999998</v>
      </c>
      <c r="BW1975">
        <v>1.62</v>
      </c>
      <c r="BX1975">
        <v>7.97</v>
      </c>
      <c r="BY1975">
        <v>1.64</v>
      </c>
      <c r="BZ1975">
        <v>1.73</v>
      </c>
      <c r="CA1975" t="s">
        <v>120</v>
      </c>
      <c r="CB1975">
        <v>10.65</v>
      </c>
      <c r="CC1975">
        <v>3.07</v>
      </c>
      <c r="CD1975">
        <v>1.79</v>
      </c>
      <c r="CE1975">
        <v>0.65</v>
      </c>
      <c r="CF1975">
        <v>0</v>
      </c>
      <c r="CG1975">
        <v>0.65</v>
      </c>
      <c r="CH1975">
        <v>0.57999999999999996</v>
      </c>
      <c r="CI1975">
        <v>0.57999999999999996</v>
      </c>
      <c r="CJ1975">
        <v>3.53</v>
      </c>
      <c r="CK1975">
        <v>0.51</v>
      </c>
      <c r="CL1975">
        <v>2.79</v>
      </c>
      <c r="CM1975">
        <v>0.28000000000000003</v>
      </c>
      <c r="CN1975">
        <v>-0.52</v>
      </c>
      <c r="CO1975">
        <v>10978</v>
      </c>
      <c r="CP1975">
        <v>3486</v>
      </c>
      <c r="CQ1975" t="s">
        <v>9736</v>
      </c>
      <c r="CR1975">
        <v>131.28</v>
      </c>
      <c r="CS1975">
        <v>47.1</v>
      </c>
      <c r="CT1975">
        <v>4.42</v>
      </c>
      <c r="CU1975">
        <v>232.14</v>
      </c>
      <c r="CV1975">
        <v>20.89</v>
      </c>
      <c r="CW1975">
        <v>0.36</v>
      </c>
      <c r="CX1975" t="s">
        <v>263</v>
      </c>
      <c r="CY1975">
        <v>13.39</v>
      </c>
      <c r="CZ1975">
        <v>13.39</v>
      </c>
      <c r="DA1975">
        <v>9.82</v>
      </c>
      <c r="DB1975">
        <v>2.57</v>
      </c>
      <c r="DC1975">
        <v>0.25</v>
      </c>
      <c r="DD1975">
        <v>87.29</v>
      </c>
      <c r="DE1975" t="s">
        <v>2871</v>
      </c>
      <c r="DF1975">
        <v>41.66</v>
      </c>
      <c r="DG1975">
        <v>21.21</v>
      </c>
      <c r="DH1975">
        <v>18.73</v>
      </c>
      <c r="DI1975">
        <v>0.31</v>
      </c>
      <c r="DJ1975">
        <v>1281</v>
      </c>
      <c r="DK1975">
        <v>300620</v>
      </c>
      <c r="DL1975" t="s">
        <v>120</v>
      </c>
      <c r="DM1975" t="s">
        <v>120</v>
      </c>
      <c r="DN1975" t="s">
        <v>120</v>
      </c>
    </row>
    <row r="1976" spans="1:118">
      <c r="A1976" t="str">
        <f>"300621"</f>
        <v>300621</v>
      </c>
      <c r="B1976" t="s">
        <v>9737</v>
      </c>
      <c r="C1976">
        <v>-2.85</v>
      </c>
      <c r="D1976">
        <v>0</v>
      </c>
      <c r="E1976">
        <v>-0.19</v>
      </c>
      <c r="F1976">
        <v>589</v>
      </c>
      <c r="G1976" t="s">
        <v>9340</v>
      </c>
      <c r="H1976">
        <v>8943.36</v>
      </c>
      <c r="I1976">
        <v>141.99</v>
      </c>
      <c r="J1976" t="s">
        <v>120</v>
      </c>
      <c r="K1976" t="s">
        <v>9738</v>
      </c>
      <c r="L1976">
        <v>4.34</v>
      </c>
      <c r="M1976">
        <v>10.23</v>
      </c>
      <c r="N1976">
        <v>1.61</v>
      </c>
      <c r="O1976">
        <v>3.8</v>
      </c>
      <c r="P1976">
        <v>10.93</v>
      </c>
      <c r="Q1976">
        <v>-2.85</v>
      </c>
      <c r="R1976">
        <v>10.23</v>
      </c>
      <c r="S1976">
        <v>10.51</v>
      </c>
      <c r="T1976">
        <v>84126</v>
      </c>
      <c r="U1976">
        <v>10.24</v>
      </c>
      <c r="V1976">
        <v>10.53</v>
      </c>
      <c r="W1976">
        <v>37.31</v>
      </c>
      <c r="X1976" t="s">
        <v>3122</v>
      </c>
      <c r="Y1976" t="s">
        <v>123</v>
      </c>
      <c r="Z1976">
        <v>6.65</v>
      </c>
      <c r="AA1976">
        <v>10.63</v>
      </c>
      <c r="AB1976">
        <v>42944</v>
      </c>
      <c r="AC1976">
        <v>41182</v>
      </c>
      <c r="AD1976">
        <v>1.04</v>
      </c>
      <c r="AE1976">
        <v>22</v>
      </c>
      <c r="AF1976">
        <v>39</v>
      </c>
      <c r="AG1976" t="s">
        <v>120</v>
      </c>
      <c r="AH1976">
        <v>0.17</v>
      </c>
      <c r="AI1976" t="s">
        <v>120</v>
      </c>
      <c r="AJ1976">
        <v>1.94</v>
      </c>
      <c r="AK1976" t="s">
        <v>9739</v>
      </c>
      <c r="AL1976">
        <v>-0.94</v>
      </c>
      <c r="AM1976">
        <v>2449</v>
      </c>
      <c r="AN1976">
        <v>34</v>
      </c>
      <c r="AO1976">
        <v>1.8E-3</v>
      </c>
      <c r="AP1976">
        <v>-1</v>
      </c>
      <c r="AQ1976">
        <v>4.78</v>
      </c>
      <c r="AR1976">
        <v>-2.76</v>
      </c>
      <c r="AS1976">
        <v>-1.35</v>
      </c>
      <c r="AT1976">
        <v>-5.45</v>
      </c>
      <c r="AU1976">
        <v>12.48</v>
      </c>
      <c r="AV1976">
        <v>3</v>
      </c>
      <c r="AW1976">
        <v>10.62</v>
      </c>
      <c r="AX1976">
        <v>38.06</v>
      </c>
      <c r="AY1976">
        <v>40.18</v>
      </c>
      <c r="AZ1976">
        <v>47.56</v>
      </c>
      <c r="BA1976">
        <v>0.68</v>
      </c>
      <c r="BB1976" t="s">
        <v>143</v>
      </c>
      <c r="BF1976">
        <v>0.96</v>
      </c>
      <c r="BG1976">
        <v>-2.66</v>
      </c>
      <c r="BH1976">
        <v>-6.4</v>
      </c>
      <c r="BI1976">
        <v>0</v>
      </c>
      <c r="BJ1976">
        <v>20210821</v>
      </c>
      <c r="BK1976">
        <v>20170316</v>
      </c>
      <c r="BL1976">
        <v>2.08</v>
      </c>
      <c r="BM1976" t="s">
        <v>120</v>
      </c>
      <c r="BN1976" t="s">
        <v>120</v>
      </c>
      <c r="BO1976">
        <v>66.13</v>
      </c>
      <c r="BP1976">
        <v>10.23</v>
      </c>
      <c r="BQ1976">
        <v>8.77</v>
      </c>
      <c r="BR1976">
        <v>2.72</v>
      </c>
      <c r="BS1976">
        <v>82.62</v>
      </c>
      <c r="BT1976">
        <v>62.28</v>
      </c>
      <c r="BU1976">
        <v>1.08</v>
      </c>
      <c r="BV1976">
        <v>0.17</v>
      </c>
      <c r="BW1976">
        <v>51.79</v>
      </c>
      <c r="BX1976">
        <v>10.17</v>
      </c>
      <c r="BY1976">
        <v>2.62</v>
      </c>
      <c r="BZ1976">
        <v>8.94</v>
      </c>
      <c r="CA1976">
        <v>0.02</v>
      </c>
      <c r="CB1976">
        <v>1.19</v>
      </c>
      <c r="CC1976">
        <v>39.130000000000003</v>
      </c>
      <c r="CD1976">
        <v>36.25</v>
      </c>
      <c r="CE1976">
        <v>0.77</v>
      </c>
      <c r="CF1976">
        <v>0.05</v>
      </c>
      <c r="CG1976">
        <v>0.77</v>
      </c>
      <c r="CH1976">
        <v>0.56999999999999995</v>
      </c>
      <c r="CI1976">
        <v>0.28999999999999998</v>
      </c>
      <c r="CJ1976">
        <v>-0.3</v>
      </c>
      <c r="CK1976">
        <v>0.22</v>
      </c>
      <c r="CL1976">
        <v>4.55</v>
      </c>
      <c r="CM1976">
        <v>-0.16</v>
      </c>
      <c r="CN1976">
        <v>-0.25</v>
      </c>
      <c r="CO1976">
        <v>14365</v>
      </c>
      <c r="CP1976">
        <v>5512</v>
      </c>
      <c r="CQ1976" t="s">
        <v>9740</v>
      </c>
      <c r="CR1976">
        <v>42.19</v>
      </c>
      <c r="CS1976">
        <v>373.03</v>
      </c>
      <c r="CT1976">
        <v>2.4300000000000002</v>
      </c>
      <c r="CU1976">
        <v>-132.74</v>
      </c>
      <c r="CV1976">
        <v>0.54</v>
      </c>
      <c r="CW1976">
        <v>0.33</v>
      </c>
      <c r="CX1976" t="s">
        <v>300</v>
      </c>
      <c r="CY1976">
        <v>4.22</v>
      </c>
      <c r="CZ1976">
        <v>0</v>
      </c>
      <c r="DA1976">
        <v>0.56999999999999995</v>
      </c>
      <c r="DB1976">
        <v>2.19</v>
      </c>
      <c r="DC1976">
        <v>-0.08</v>
      </c>
      <c r="DD1976">
        <v>13.27</v>
      </c>
      <c r="DE1976" t="s">
        <v>4432</v>
      </c>
      <c r="DF1976">
        <v>7.35</v>
      </c>
      <c r="DG1976">
        <v>1.98</v>
      </c>
      <c r="DH1976">
        <v>0.73</v>
      </c>
      <c r="DI1976">
        <v>0.19</v>
      </c>
      <c r="DJ1976">
        <v>779</v>
      </c>
      <c r="DK1976">
        <v>300621</v>
      </c>
      <c r="DL1976" t="s">
        <v>120</v>
      </c>
      <c r="DM1976" t="s">
        <v>120</v>
      </c>
      <c r="DN1976" t="s">
        <v>120</v>
      </c>
    </row>
    <row r="1977" spans="1:118">
      <c r="A1977" t="str">
        <f>"300622"</f>
        <v>300622</v>
      </c>
      <c r="B1977" t="s">
        <v>9741</v>
      </c>
      <c r="C1977">
        <v>0.15</v>
      </c>
      <c r="D1977">
        <v>0.1</v>
      </c>
      <c r="E1977">
        <v>-0.28999999999999998</v>
      </c>
      <c r="F1977">
        <v>180</v>
      </c>
      <c r="G1977" t="s">
        <v>9742</v>
      </c>
      <c r="H1977">
        <v>3320.84</v>
      </c>
      <c r="I1977">
        <v>2.85</v>
      </c>
      <c r="J1977" t="s">
        <v>120</v>
      </c>
      <c r="K1977" t="s">
        <v>9743</v>
      </c>
      <c r="L1977">
        <v>1.52</v>
      </c>
      <c r="M1977">
        <v>20.420000000000002</v>
      </c>
      <c r="N1977">
        <v>0.9</v>
      </c>
      <c r="O1977">
        <v>2.11</v>
      </c>
      <c r="P1977">
        <v>20.82</v>
      </c>
      <c r="Q1977">
        <v>-0.78</v>
      </c>
      <c r="R1977">
        <v>20.23</v>
      </c>
      <c r="S1977">
        <v>20.329999999999998</v>
      </c>
      <c r="T1977">
        <v>16159</v>
      </c>
      <c r="U1977">
        <v>20.43</v>
      </c>
      <c r="V1977">
        <v>20.39</v>
      </c>
      <c r="W1977">
        <v>39.08</v>
      </c>
      <c r="X1977" t="s">
        <v>221</v>
      </c>
      <c r="Y1977" t="s">
        <v>123</v>
      </c>
      <c r="Z1977">
        <v>2.89</v>
      </c>
      <c r="AA1977">
        <v>20.55</v>
      </c>
      <c r="AB1977">
        <v>9234</v>
      </c>
      <c r="AC1977">
        <v>6925</v>
      </c>
      <c r="AD1977">
        <v>1.33</v>
      </c>
      <c r="AE1977">
        <v>3</v>
      </c>
      <c r="AF1977">
        <v>39</v>
      </c>
      <c r="AG1977" t="s">
        <v>120</v>
      </c>
      <c r="AH1977">
        <v>0</v>
      </c>
      <c r="AI1977" t="s">
        <v>120</v>
      </c>
      <c r="AJ1977">
        <v>1.06</v>
      </c>
      <c r="AK1977" t="s">
        <v>9744</v>
      </c>
      <c r="AL1977">
        <v>2.06</v>
      </c>
      <c r="AM1977">
        <v>935</v>
      </c>
      <c r="AN1977">
        <v>17</v>
      </c>
      <c r="AO1977">
        <v>1.6000000000000001E-3</v>
      </c>
      <c r="AP1977">
        <v>1</v>
      </c>
      <c r="AQ1977">
        <v>-1.83</v>
      </c>
      <c r="AR1977">
        <v>-2.16</v>
      </c>
      <c r="AS1977">
        <v>1.29</v>
      </c>
      <c r="AT1977">
        <v>5.81</v>
      </c>
      <c r="AU1977">
        <v>49.49</v>
      </c>
      <c r="AV1977">
        <v>0</v>
      </c>
      <c r="AW1977">
        <v>1.88</v>
      </c>
      <c r="AX1977">
        <v>49.72</v>
      </c>
      <c r="AY1977">
        <v>32.450000000000003</v>
      </c>
      <c r="AZ1977">
        <v>50.85</v>
      </c>
      <c r="BA1977">
        <v>0.56000000000000005</v>
      </c>
      <c r="BB1977" t="s">
        <v>143</v>
      </c>
      <c r="BF1977">
        <v>0.79</v>
      </c>
      <c r="BG1977">
        <v>0.44</v>
      </c>
      <c r="BH1977">
        <v>-1.92</v>
      </c>
      <c r="BI1977">
        <v>0.94</v>
      </c>
      <c r="BJ1977">
        <v>20210826</v>
      </c>
      <c r="BK1977">
        <v>20170315</v>
      </c>
      <c r="BL1977">
        <v>1.73</v>
      </c>
      <c r="BM1977" t="s">
        <v>120</v>
      </c>
      <c r="BN1977" t="s">
        <v>120</v>
      </c>
      <c r="BO1977">
        <v>9.4</v>
      </c>
      <c r="BP1977">
        <v>20.420000000000002</v>
      </c>
      <c r="BQ1977">
        <v>5.95</v>
      </c>
      <c r="BR1977">
        <v>0.05</v>
      </c>
      <c r="BS1977">
        <v>36.21</v>
      </c>
      <c r="BT1977">
        <v>6.18</v>
      </c>
      <c r="BU1977">
        <v>0.22</v>
      </c>
      <c r="BV1977">
        <v>0.11</v>
      </c>
      <c r="BW1977">
        <v>2.41</v>
      </c>
      <c r="BX1977">
        <v>2.4500000000000002</v>
      </c>
      <c r="BY1977">
        <v>1.48</v>
      </c>
      <c r="BZ1977">
        <v>0.47</v>
      </c>
      <c r="CA1977" t="s">
        <v>120</v>
      </c>
      <c r="CB1977">
        <v>2.12</v>
      </c>
      <c r="CC1977">
        <v>4.22</v>
      </c>
      <c r="CD1977">
        <v>1.56</v>
      </c>
      <c r="CE1977">
        <v>0.56000000000000005</v>
      </c>
      <c r="CF1977">
        <v>0.01</v>
      </c>
      <c r="CG1977">
        <v>0.56000000000000005</v>
      </c>
      <c r="CH1977">
        <v>0.45</v>
      </c>
      <c r="CI1977">
        <v>0.45</v>
      </c>
      <c r="CJ1977">
        <v>0.03</v>
      </c>
      <c r="CK1977">
        <v>0.4</v>
      </c>
      <c r="CL1977">
        <v>1.95</v>
      </c>
      <c r="CM1977">
        <v>1.1399999999999999</v>
      </c>
      <c r="CN1977">
        <v>-1.68</v>
      </c>
      <c r="CO1977">
        <v>6210</v>
      </c>
      <c r="CP1977">
        <v>13812</v>
      </c>
      <c r="CQ1977" t="s">
        <v>9745</v>
      </c>
      <c r="CR1977">
        <v>669.03</v>
      </c>
      <c r="CS1977">
        <v>62.29</v>
      </c>
      <c r="CT1977">
        <v>5.92</v>
      </c>
      <c r="CU1977">
        <v>30.87</v>
      </c>
      <c r="CV1977">
        <v>8.35</v>
      </c>
      <c r="CW1977">
        <v>1.7</v>
      </c>
      <c r="CX1977" t="s">
        <v>1233</v>
      </c>
      <c r="CY1977">
        <v>3.45</v>
      </c>
      <c r="CZ1977">
        <v>0</v>
      </c>
      <c r="DA1977">
        <v>1.23</v>
      </c>
      <c r="DB1977">
        <v>1.1299999999999999</v>
      </c>
      <c r="DC1977">
        <v>0.66</v>
      </c>
      <c r="DD1977">
        <v>63.3</v>
      </c>
      <c r="DE1977" t="s">
        <v>9746</v>
      </c>
      <c r="DF1977">
        <v>63.05</v>
      </c>
      <c r="DG1977">
        <v>13.38</v>
      </c>
      <c r="DH1977">
        <v>10.69</v>
      </c>
      <c r="DI1977" t="s">
        <v>120</v>
      </c>
      <c r="DJ1977">
        <v>1775</v>
      </c>
      <c r="DK1977">
        <v>300622</v>
      </c>
      <c r="DL1977" t="s">
        <v>120</v>
      </c>
      <c r="DM1977" t="s">
        <v>120</v>
      </c>
      <c r="DN1977" t="s">
        <v>120</v>
      </c>
    </row>
    <row r="1978" spans="1:118">
      <c r="A1978" t="str">
        <f>"300623"</f>
        <v>300623</v>
      </c>
      <c r="B1978" t="s">
        <v>9747</v>
      </c>
      <c r="C1978">
        <v>-4.9400000000000004</v>
      </c>
      <c r="D1978">
        <v>0</v>
      </c>
      <c r="E1978">
        <v>-7.0000000000000007E-2</v>
      </c>
      <c r="F1978">
        <v>1127</v>
      </c>
      <c r="G1978" t="s">
        <v>9748</v>
      </c>
      <c r="H1978">
        <v>44857.45</v>
      </c>
      <c r="I1978">
        <v>57.2</v>
      </c>
      <c r="J1978" t="s">
        <v>120</v>
      </c>
      <c r="K1978" t="s">
        <v>9749</v>
      </c>
      <c r="L1978">
        <v>2.41</v>
      </c>
      <c r="M1978">
        <v>28.49</v>
      </c>
      <c r="N1978">
        <v>0.97</v>
      </c>
      <c r="O1978">
        <v>0</v>
      </c>
      <c r="P1978">
        <v>29.97</v>
      </c>
      <c r="Q1978">
        <v>-5.17</v>
      </c>
      <c r="R1978">
        <v>28.42</v>
      </c>
      <c r="S1978">
        <v>29.95</v>
      </c>
      <c r="T1978">
        <v>153773</v>
      </c>
      <c r="U1978">
        <v>28.5</v>
      </c>
      <c r="V1978">
        <v>29.97</v>
      </c>
      <c r="W1978">
        <v>43.81</v>
      </c>
      <c r="X1978" t="s">
        <v>3245</v>
      </c>
      <c r="Y1978" t="s">
        <v>319</v>
      </c>
      <c r="Z1978">
        <v>5.17</v>
      </c>
      <c r="AA1978">
        <v>29.17</v>
      </c>
      <c r="AB1978">
        <v>91113</v>
      </c>
      <c r="AC1978">
        <v>62660</v>
      </c>
      <c r="AD1978">
        <v>1.45</v>
      </c>
      <c r="AE1978">
        <v>332</v>
      </c>
      <c r="AF1978">
        <v>77</v>
      </c>
      <c r="AG1978" t="s">
        <v>120</v>
      </c>
      <c r="AH1978">
        <v>0.01</v>
      </c>
      <c r="AI1978" t="s">
        <v>120</v>
      </c>
      <c r="AJ1978">
        <v>6.38</v>
      </c>
      <c r="AK1978" t="s">
        <v>9750</v>
      </c>
      <c r="AL1978">
        <v>-3.02</v>
      </c>
      <c r="AM1978">
        <v>4110</v>
      </c>
      <c r="AN1978">
        <v>37</v>
      </c>
      <c r="AO1978">
        <v>5.9999999999999995E-4</v>
      </c>
      <c r="AP1978">
        <v>-2</v>
      </c>
      <c r="AQ1978">
        <v>-1.1499999999999999</v>
      </c>
      <c r="AR1978">
        <v>-4.97</v>
      </c>
      <c r="AS1978">
        <v>-12.1</v>
      </c>
      <c r="AT1978">
        <v>-19</v>
      </c>
      <c r="AU1978">
        <v>-1.39</v>
      </c>
      <c r="AV1978">
        <v>1</v>
      </c>
      <c r="AW1978">
        <v>4.33</v>
      </c>
      <c r="AX1978">
        <v>48.23</v>
      </c>
      <c r="AY1978">
        <v>54.33</v>
      </c>
      <c r="AZ1978">
        <v>77.86</v>
      </c>
      <c r="BA1978">
        <v>0.85</v>
      </c>
      <c r="BB1978" t="s">
        <v>143</v>
      </c>
      <c r="BF1978">
        <v>-2.67</v>
      </c>
      <c r="BG1978">
        <v>-4.87</v>
      </c>
      <c r="BH1978">
        <v>-4.9400000000000004</v>
      </c>
      <c r="BI1978">
        <v>0.25</v>
      </c>
      <c r="BJ1978">
        <v>20210915</v>
      </c>
      <c r="BK1978">
        <v>20170314</v>
      </c>
      <c r="BL1978">
        <v>7.37</v>
      </c>
      <c r="BM1978" t="s">
        <v>120</v>
      </c>
      <c r="BN1978" t="s">
        <v>120</v>
      </c>
      <c r="BO1978">
        <v>44.57</v>
      </c>
      <c r="BP1978">
        <v>28.49</v>
      </c>
      <c r="BQ1978">
        <v>29.91</v>
      </c>
      <c r="BR1978">
        <v>0.05</v>
      </c>
      <c r="BS1978">
        <v>32.78</v>
      </c>
      <c r="BT1978">
        <v>30.12</v>
      </c>
      <c r="BU1978">
        <v>7.35</v>
      </c>
      <c r="BV1978">
        <v>1.1299999999999999</v>
      </c>
      <c r="BW1978">
        <v>5.19</v>
      </c>
      <c r="BX1978">
        <v>18.350000000000001</v>
      </c>
      <c r="BY1978">
        <v>2.25</v>
      </c>
      <c r="BZ1978">
        <v>3.66</v>
      </c>
      <c r="CA1978" t="s">
        <v>120</v>
      </c>
      <c r="CB1978">
        <v>9.42</v>
      </c>
      <c r="CC1978">
        <v>8.52</v>
      </c>
      <c r="CD1978">
        <v>4.34</v>
      </c>
      <c r="CE1978">
        <v>2.87</v>
      </c>
      <c r="CF1978">
        <v>0.06</v>
      </c>
      <c r="CG1978">
        <v>2.87</v>
      </c>
      <c r="CH1978">
        <v>2.39</v>
      </c>
      <c r="CI1978">
        <v>2.4</v>
      </c>
      <c r="CJ1978">
        <v>-1.48</v>
      </c>
      <c r="CK1978">
        <v>2.2599999999999998</v>
      </c>
      <c r="CL1978">
        <v>9.4700000000000006</v>
      </c>
      <c r="CM1978">
        <v>2.69</v>
      </c>
      <c r="CN1978">
        <v>14.91</v>
      </c>
      <c r="CO1978">
        <v>86287</v>
      </c>
      <c r="CP1978">
        <v>4118</v>
      </c>
      <c r="CQ1978" t="s">
        <v>9751</v>
      </c>
      <c r="CR1978">
        <v>105.21</v>
      </c>
      <c r="CS1978">
        <v>109.03</v>
      </c>
      <c r="CT1978">
        <v>7.82</v>
      </c>
      <c r="CU1978">
        <v>78.09</v>
      </c>
      <c r="CV1978">
        <v>24.64</v>
      </c>
      <c r="CW1978">
        <v>0.36</v>
      </c>
      <c r="CX1978" t="s">
        <v>2443</v>
      </c>
      <c r="CY1978">
        <v>3.64</v>
      </c>
      <c r="CZ1978">
        <v>3.64</v>
      </c>
      <c r="DA1978">
        <v>1.28</v>
      </c>
      <c r="DB1978">
        <v>1.29</v>
      </c>
      <c r="DC1978">
        <v>0.36</v>
      </c>
      <c r="DD1978">
        <v>67.11</v>
      </c>
      <c r="DE1978" t="s">
        <v>9752</v>
      </c>
      <c r="DF1978">
        <v>49.02</v>
      </c>
      <c r="DG1978">
        <v>33.729999999999997</v>
      </c>
      <c r="DH1978">
        <v>28.12</v>
      </c>
      <c r="DI1978">
        <v>0.56000000000000005</v>
      </c>
      <c r="DJ1978">
        <v>1279</v>
      </c>
      <c r="DK1978">
        <v>300623</v>
      </c>
      <c r="DL1978" t="s">
        <v>120</v>
      </c>
      <c r="DM1978" t="s">
        <v>120</v>
      </c>
      <c r="DN1978" t="s">
        <v>120</v>
      </c>
    </row>
    <row r="1979" spans="1:118">
      <c r="A1979" t="str">
        <f>"300624"</f>
        <v>300624</v>
      </c>
      <c r="B1979" t="s">
        <v>9753</v>
      </c>
      <c r="C1979">
        <v>-0.4</v>
      </c>
      <c r="D1979">
        <v>0.99</v>
      </c>
      <c r="E1979">
        <v>-0.24</v>
      </c>
      <c r="F1979">
        <v>664</v>
      </c>
      <c r="G1979" t="s">
        <v>9754</v>
      </c>
      <c r="H1979">
        <v>19272.39</v>
      </c>
      <c r="I1979">
        <v>16.02</v>
      </c>
      <c r="J1979" t="s">
        <v>120</v>
      </c>
      <c r="K1979" t="s">
        <v>9755</v>
      </c>
      <c r="L1979">
        <v>3.46</v>
      </c>
      <c r="M1979">
        <v>49.98</v>
      </c>
      <c r="N1979">
        <v>0.56000000000000005</v>
      </c>
      <c r="O1979">
        <v>3.63</v>
      </c>
      <c r="P1979">
        <v>52</v>
      </c>
      <c r="Q1979">
        <v>-2.0499999999999998</v>
      </c>
      <c r="R1979">
        <v>49.15</v>
      </c>
      <c r="S1979">
        <v>50.06</v>
      </c>
      <c r="T1979">
        <v>38250</v>
      </c>
      <c r="U1979">
        <v>49.99</v>
      </c>
      <c r="V1979">
        <v>50.18</v>
      </c>
      <c r="W1979">
        <v>68.69</v>
      </c>
      <c r="X1979" t="s">
        <v>141</v>
      </c>
      <c r="Y1979" t="s">
        <v>1886</v>
      </c>
      <c r="Z1979">
        <v>5.68</v>
      </c>
      <c r="AA1979">
        <v>50.39</v>
      </c>
      <c r="AB1979">
        <v>21357</v>
      </c>
      <c r="AC1979">
        <v>16893</v>
      </c>
      <c r="AD1979">
        <v>1.26</v>
      </c>
      <c r="AE1979">
        <v>1787</v>
      </c>
      <c r="AF1979">
        <v>4</v>
      </c>
      <c r="AG1979" t="s">
        <v>120</v>
      </c>
      <c r="AH1979">
        <v>0</v>
      </c>
      <c r="AI1979" t="s">
        <v>120</v>
      </c>
      <c r="AJ1979">
        <v>1.1100000000000001</v>
      </c>
      <c r="AK1979" t="s">
        <v>9756</v>
      </c>
      <c r="AL1979">
        <v>1.52</v>
      </c>
      <c r="AM1979">
        <v>2709</v>
      </c>
      <c r="AN1979">
        <v>14</v>
      </c>
      <c r="AO1979">
        <v>1.2999999999999999E-3</v>
      </c>
      <c r="AP1979">
        <v>-2</v>
      </c>
      <c r="AQ1979">
        <v>-2.94</v>
      </c>
      <c r="AR1979">
        <v>-1.81</v>
      </c>
      <c r="AS1979">
        <v>10.38</v>
      </c>
      <c r="AT1979">
        <v>-18.739999999999998</v>
      </c>
      <c r="AU1979">
        <v>-9.44</v>
      </c>
      <c r="AV1979">
        <v>1</v>
      </c>
      <c r="AW1979">
        <v>4.7300000000000004</v>
      </c>
      <c r="AX1979">
        <v>62.24</v>
      </c>
      <c r="AY1979">
        <v>78.400000000000006</v>
      </c>
      <c r="AZ1979">
        <v>52.07</v>
      </c>
      <c r="BA1979">
        <v>0.7</v>
      </c>
      <c r="BB1979" t="s">
        <v>143</v>
      </c>
      <c r="BF1979">
        <v>0.41</v>
      </c>
      <c r="BG1979">
        <v>-0.16</v>
      </c>
      <c r="BH1979">
        <v>-3.88</v>
      </c>
      <c r="BI1979">
        <v>1.69</v>
      </c>
      <c r="BJ1979">
        <v>20210827</v>
      </c>
      <c r="BK1979">
        <v>20180118</v>
      </c>
      <c r="BL1979">
        <v>1.3</v>
      </c>
      <c r="BM1979" t="s">
        <v>120</v>
      </c>
      <c r="BN1979" t="s">
        <v>120</v>
      </c>
      <c r="BO1979">
        <v>14.66</v>
      </c>
      <c r="BP1979">
        <v>49.98</v>
      </c>
      <c r="BQ1979">
        <v>8.65</v>
      </c>
      <c r="BR1979">
        <v>-0.1</v>
      </c>
      <c r="BS1979">
        <v>41.65</v>
      </c>
      <c r="BT1979">
        <v>7.24</v>
      </c>
      <c r="BU1979">
        <v>1.43</v>
      </c>
      <c r="BV1979">
        <v>0.04</v>
      </c>
      <c r="BW1979">
        <v>1.31</v>
      </c>
      <c r="BX1979">
        <v>5.24</v>
      </c>
      <c r="BY1979">
        <v>0</v>
      </c>
      <c r="BZ1979">
        <v>0.26</v>
      </c>
      <c r="CA1979" t="s">
        <v>120</v>
      </c>
      <c r="CB1979">
        <v>2.8</v>
      </c>
      <c r="CC1979">
        <v>5.03</v>
      </c>
      <c r="CD1979">
        <v>0.25</v>
      </c>
      <c r="CE1979">
        <v>0.64</v>
      </c>
      <c r="CF1979">
        <v>0.04</v>
      </c>
      <c r="CG1979">
        <v>0.64</v>
      </c>
      <c r="CH1979">
        <v>0.59</v>
      </c>
      <c r="CI1979">
        <v>0.47</v>
      </c>
      <c r="CJ1979">
        <v>-0.2</v>
      </c>
      <c r="CK1979">
        <v>0.38</v>
      </c>
      <c r="CL1979">
        <v>4.01</v>
      </c>
      <c r="CM1979">
        <v>0.65</v>
      </c>
      <c r="CN1979">
        <v>3.97</v>
      </c>
      <c r="CO1979">
        <v>29436</v>
      </c>
      <c r="CP1979">
        <v>2748</v>
      </c>
      <c r="CQ1979" t="s">
        <v>892</v>
      </c>
      <c r="CR1979">
        <v>-47.09</v>
      </c>
      <c r="CS1979">
        <v>5.94</v>
      </c>
      <c r="CT1979">
        <v>7.71</v>
      </c>
      <c r="CU1979">
        <v>99.79</v>
      </c>
      <c r="CV1979">
        <v>12.92</v>
      </c>
      <c r="CW1979">
        <v>0.4</v>
      </c>
      <c r="CX1979" t="s">
        <v>709</v>
      </c>
      <c r="CY1979">
        <v>6.48</v>
      </c>
      <c r="CZ1979">
        <v>6.48</v>
      </c>
      <c r="DA1979">
        <v>2.16</v>
      </c>
      <c r="DB1979">
        <v>3.09</v>
      </c>
      <c r="DC1979">
        <v>0.5</v>
      </c>
      <c r="DD1979">
        <v>59.02</v>
      </c>
      <c r="DE1979" t="s">
        <v>9757</v>
      </c>
      <c r="DF1979">
        <v>95.07</v>
      </c>
      <c r="DG1979">
        <v>12.67</v>
      </c>
      <c r="DH1979">
        <v>9.4</v>
      </c>
      <c r="DI1979">
        <v>1.42</v>
      </c>
      <c r="DJ1979">
        <v>1433</v>
      </c>
      <c r="DK1979">
        <v>300624</v>
      </c>
      <c r="DL1979" t="s">
        <v>120</v>
      </c>
      <c r="DM1979" t="s">
        <v>120</v>
      </c>
      <c r="DN1979" t="s">
        <v>120</v>
      </c>
    </row>
    <row r="1980" spans="1:118">
      <c r="A1980" t="str">
        <f>"300625"</f>
        <v>300625</v>
      </c>
      <c r="B1980" t="s">
        <v>9758</v>
      </c>
      <c r="C1980">
        <v>-0.93</v>
      </c>
      <c r="D1980">
        <v>0</v>
      </c>
      <c r="E1980">
        <v>-0.31</v>
      </c>
      <c r="F1980">
        <v>178</v>
      </c>
      <c r="G1980" t="s">
        <v>9759</v>
      </c>
      <c r="H1980">
        <v>3347.59</v>
      </c>
      <c r="I1980">
        <v>11.47</v>
      </c>
      <c r="J1980" t="s">
        <v>120</v>
      </c>
      <c r="K1980" t="s">
        <v>9760</v>
      </c>
      <c r="L1980">
        <v>1.49</v>
      </c>
      <c r="M1980">
        <v>16.059999999999999</v>
      </c>
      <c r="N1980">
        <v>0.92</v>
      </c>
      <c r="O1980">
        <v>2.04</v>
      </c>
      <c r="P1980">
        <v>16.54</v>
      </c>
      <c r="Q1980">
        <v>-1.3</v>
      </c>
      <c r="R1980">
        <v>16</v>
      </c>
      <c r="S1980">
        <v>16.16</v>
      </c>
      <c r="T1980">
        <v>20602</v>
      </c>
      <c r="U1980">
        <v>16.059999999999999</v>
      </c>
      <c r="V1980">
        <v>16.21</v>
      </c>
      <c r="W1980">
        <v>31.21</v>
      </c>
      <c r="X1980" t="s">
        <v>3245</v>
      </c>
      <c r="Y1980" t="s">
        <v>547</v>
      </c>
      <c r="Z1980">
        <v>3.33</v>
      </c>
      <c r="AA1980">
        <v>16.25</v>
      </c>
      <c r="AB1980">
        <v>11135</v>
      </c>
      <c r="AC1980">
        <v>9467</v>
      </c>
      <c r="AD1980">
        <v>1.18</v>
      </c>
      <c r="AE1980">
        <v>93</v>
      </c>
      <c r="AF1980">
        <v>42</v>
      </c>
      <c r="AG1980" t="s">
        <v>120</v>
      </c>
      <c r="AH1980">
        <v>0.01</v>
      </c>
      <c r="AI1980" t="s">
        <v>120</v>
      </c>
      <c r="AJ1980">
        <v>1.38</v>
      </c>
      <c r="AK1980" t="s">
        <v>6619</v>
      </c>
      <c r="AL1980">
        <v>0.99</v>
      </c>
      <c r="AM1980">
        <v>1093</v>
      </c>
      <c r="AN1980">
        <v>19</v>
      </c>
      <c r="AO1980">
        <v>1.4E-3</v>
      </c>
      <c r="AP1980">
        <v>-2</v>
      </c>
      <c r="AQ1980">
        <v>-0.55000000000000004</v>
      </c>
      <c r="AR1980">
        <v>-1.1599999999999999</v>
      </c>
      <c r="AS1980">
        <v>1.19</v>
      </c>
      <c r="AT1980">
        <v>5.18</v>
      </c>
      <c r="AU1980">
        <v>6.71</v>
      </c>
      <c r="AV1980">
        <v>0</v>
      </c>
      <c r="AW1980">
        <v>2.2599999999999998</v>
      </c>
      <c r="AX1980">
        <v>32.57</v>
      </c>
      <c r="AY1980">
        <v>19.21</v>
      </c>
      <c r="AZ1980">
        <v>19.34</v>
      </c>
      <c r="BA1980">
        <v>0.53</v>
      </c>
      <c r="BB1980" t="s">
        <v>143</v>
      </c>
      <c r="BF1980">
        <v>0.24</v>
      </c>
      <c r="BG1980">
        <v>-0.62</v>
      </c>
      <c r="BH1980">
        <v>-2.9</v>
      </c>
      <c r="BI1980">
        <v>0.38</v>
      </c>
      <c r="BJ1980">
        <v>20210818</v>
      </c>
      <c r="BK1980">
        <v>20170317</v>
      </c>
      <c r="BL1980">
        <v>2.8</v>
      </c>
      <c r="BM1980" t="s">
        <v>120</v>
      </c>
      <c r="BN1980" t="s">
        <v>120</v>
      </c>
      <c r="BO1980">
        <v>32.799999999999997</v>
      </c>
      <c r="BP1980">
        <v>16.05</v>
      </c>
      <c r="BQ1980">
        <v>22.75</v>
      </c>
      <c r="BR1980" t="s">
        <v>120</v>
      </c>
      <c r="BS1980">
        <v>30.63</v>
      </c>
      <c r="BT1980">
        <v>25.21</v>
      </c>
      <c r="BU1980">
        <v>3.56</v>
      </c>
      <c r="BV1980">
        <v>1.23</v>
      </c>
      <c r="BW1980">
        <v>9.23</v>
      </c>
      <c r="BX1980">
        <v>7.17</v>
      </c>
      <c r="BY1980">
        <v>4.5599999999999996</v>
      </c>
      <c r="BZ1980">
        <v>4.82</v>
      </c>
      <c r="CA1980" t="s">
        <v>120</v>
      </c>
      <c r="CB1980">
        <v>12.08</v>
      </c>
      <c r="CC1980">
        <v>11.16</v>
      </c>
      <c r="CD1980">
        <v>7.83</v>
      </c>
      <c r="CE1980">
        <v>0.87</v>
      </c>
      <c r="CF1980">
        <v>-0.05</v>
      </c>
      <c r="CG1980">
        <v>0.87</v>
      </c>
      <c r="CH1980">
        <v>0.72</v>
      </c>
      <c r="CI1980">
        <v>0.72</v>
      </c>
      <c r="CJ1980">
        <v>-0.15</v>
      </c>
      <c r="CK1980">
        <v>0.67</v>
      </c>
      <c r="CL1980">
        <v>6.73</v>
      </c>
      <c r="CM1980">
        <v>0.34</v>
      </c>
      <c r="CN1980">
        <v>2.29</v>
      </c>
      <c r="CO1980">
        <v>23409</v>
      </c>
      <c r="CP1980">
        <v>3896</v>
      </c>
      <c r="CQ1980" t="s">
        <v>8119</v>
      </c>
      <c r="CR1980">
        <v>2.33</v>
      </c>
      <c r="CS1980">
        <v>33.1</v>
      </c>
      <c r="CT1980">
        <v>1.98</v>
      </c>
      <c r="CU1980">
        <v>131.91</v>
      </c>
      <c r="CV1980">
        <v>4.03</v>
      </c>
      <c r="CW1980">
        <v>4.26</v>
      </c>
      <c r="CX1980" t="s">
        <v>670</v>
      </c>
      <c r="CY1980">
        <v>8.1300000000000008</v>
      </c>
      <c r="CZ1980">
        <v>0</v>
      </c>
      <c r="DA1980">
        <v>4.32</v>
      </c>
      <c r="DB1980">
        <v>2.4</v>
      </c>
      <c r="DC1980">
        <v>0.12</v>
      </c>
      <c r="DD1980">
        <v>69.37</v>
      </c>
      <c r="DE1980" t="s">
        <v>9761</v>
      </c>
      <c r="DF1980">
        <v>29.82</v>
      </c>
      <c r="DG1980">
        <v>7.83</v>
      </c>
      <c r="DH1980">
        <v>6.46</v>
      </c>
      <c r="DI1980">
        <v>0.33</v>
      </c>
      <c r="DJ1980">
        <v>4337</v>
      </c>
      <c r="DK1980">
        <v>300625</v>
      </c>
      <c r="DL1980" t="s">
        <v>120</v>
      </c>
      <c r="DM1980" t="s">
        <v>120</v>
      </c>
      <c r="DN1980" t="s">
        <v>120</v>
      </c>
    </row>
    <row r="1981" spans="1:118">
      <c r="A1981" t="str">
        <f>"300626"</f>
        <v>300626</v>
      </c>
      <c r="B1981" t="s">
        <v>9762</v>
      </c>
      <c r="C1981">
        <v>-1.72</v>
      </c>
      <c r="D1981">
        <v>-0.09</v>
      </c>
      <c r="E1981">
        <v>-0.19</v>
      </c>
      <c r="F1981">
        <v>875</v>
      </c>
      <c r="G1981" t="s">
        <v>9763</v>
      </c>
      <c r="H1981">
        <v>6739.05</v>
      </c>
      <c r="I1981">
        <v>37.65</v>
      </c>
      <c r="J1981" t="s">
        <v>120</v>
      </c>
      <c r="K1981" t="s">
        <v>9128</v>
      </c>
      <c r="L1981">
        <v>4.76</v>
      </c>
      <c r="M1981">
        <v>10.27</v>
      </c>
      <c r="N1981">
        <v>1.3</v>
      </c>
      <c r="O1981">
        <v>2.87</v>
      </c>
      <c r="P1981">
        <v>10.75</v>
      </c>
      <c r="Q1981">
        <v>-2.11</v>
      </c>
      <c r="R1981">
        <v>10.23</v>
      </c>
      <c r="S1981">
        <v>10.43</v>
      </c>
      <c r="T1981">
        <v>64384</v>
      </c>
      <c r="U1981">
        <v>10.28</v>
      </c>
      <c r="V1981">
        <v>10.45</v>
      </c>
      <c r="W1981">
        <v>51.09</v>
      </c>
      <c r="X1981" t="s">
        <v>394</v>
      </c>
      <c r="Y1981" t="s">
        <v>585</v>
      </c>
      <c r="Z1981">
        <v>4.9800000000000004</v>
      </c>
      <c r="AA1981">
        <v>10.47</v>
      </c>
      <c r="AB1981">
        <v>34506</v>
      </c>
      <c r="AC1981">
        <v>29878</v>
      </c>
      <c r="AD1981">
        <v>1.1499999999999999</v>
      </c>
      <c r="AE1981">
        <v>106</v>
      </c>
      <c r="AF1981">
        <v>97</v>
      </c>
      <c r="AG1981" t="s">
        <v>120</v>
      </c>
      <c r="AH1981">
        <v>0.04</v>
      </c>
      <c r="AI1981" t="s">
        <v>120</v>
      </c>
      <c r="AJ1981">
        <v>1.35</v>
      </c>
      <c r="AK1981" t="s">
        <v>5070</v>
      </c>
      <c r="AL1981">
        <v>0.19</v>
      </c>
      <c r="AM1981">
        <v>2124</v>
      </c>
      <c r="AN1981">
        <v>30</v>
      </c>
      <c r="AO1981">
        <v>2.2000000000000001E-3</v>
      </c>
      <c r="AP1981">
        <v>-1</v>
      </c>
      <c r="AQ1981">
        <v>5.03</v>
      </c>
      <c r="AR1981">
        <v>0.39</v>
      </c>
      <c r="AS1981">
        <v>5.87</v>
      </c>
      <c r="AT1981">
        <v>14.49</v>
      </c>
      <c r="AU1981">
        <v>13.74</v>
      </c>
      <c r="AV1981">
        <v>1</v>
      </c>
      <c r="AW1981">
        <v>7.36</v>
      </c>
      <c r="AX1981">
        <v>48.57</v>
      </c>
      <c r="AY1981">
        <v>72.790000000000006</v>
      </c>
      <c r="AZ1981">
        <v>160.35</v>
      </c>
      <c r="BA1981">
        <v>1.0900000000000001</v>
      </c>
      <c r="BB1981" t="s">
        <v>168</v>
      </c>
      <c r="BF1981">
        <v>0.16</v>
      </c>
      <c r="BG1981">
        <v>-1.53</v>
      </c>
      <c r="BH1981">
        <v>-4.47</v>
      </c>
      <c r="BI1981">
        <v>0.39</v>
      </c>
      <c r="BJ1981">
        <v>20210910</v>
      </c>
      <c r="BK1981">
        <v>20170320</v>
      </c>
      <c r="BL1981">
        <v>1.8</v>
      </c>
      <c r="BM1981" t="s">
        <v>120</v>
      </c>
      <c r="BN1981" t="s">
        <v>120</v>
      </c>
      <c r="BO1981">
        <v>12.54</v>
      </c>
      <c r="BP1981">
        <v>10.27</v>
      </c>
      <c r="BQ1981">
        <v>5.69</v>
      </c>
      <c r="BR1981" t="s">
        <v>120</v>
      </c>
      <c r="BS1981">
        <v>54.61</v>
      </c>
      <c r="BT1981">
        <v>6.63</v>
      </c>
      <c r="BU1981">
        <v>1.98</v>
      </c>
      <c r="BV1981">
        <v>0.27</v>
      </c>
      <c r="BW1981">
        <v>5.89</v>
      </c>
      <c r="BX1981">
        <v>1.21</v>
      </c>
      <c r="BY1981">
        <v>2.4300000000000002</v>
      </c>
      <c r="BZ1981">
        <v>2.16</v>
      </c>
      <c r="CA1981" t="s">
        <v>120</v>
      </c>
      <c r="CB1981">
        <v>1.3</v>
      </c>
      <c r="CC1981">
        <v>5.0599999999999996</v>
      </c>
      <c r="CD1981">
        <v>3.94</v>
      </c>
      <c r="CE1981">
        <v>0.21</v>
      </c>
      <c r="CF1981">
        <v>-0.02</v>
      </c>
      <c r="CG1981">
        <v>0.21</v>
      </c>
      <c r="CH1981">
        <v>0.18</v>
      </c>
      <c r="CI1981">
        <v>0.18</v>
      </c>
      <c r="CJ1981">
        <v>-0.18</v>
      </c>
      <c r="CK1981">
        <v>0.21</v>
      </c>
      <c r="CL1981">
        <v>2.48</v>
      </c>
      <c r="CM1981">
        <v>0.46</v>
      </c>
      <c r="CN1981">
        <v>0.39</v>
      </c>
      <c r="CO1981">
        <v>10570</v>
      </c>
      <c r="CP1981">
        <v>8271</v>
      </c>
      <c r="CQ1981" t="s">
        <v>3584</v>
      </c>
      <c r="CR1981">
        <v>354.45</v>
      </c>
      <c r="CS1981">
        <v>71.760000000000005</v>
      </c>
      <c r="CT1981">
        <v>3.25</v>
      </c>
      <c r="CU1981">
        <v>40.130000000000003</v>
      </c>
      <c r="CV1981">
        <v>3.65</v>
      </c>
      <c r="CW1981">
        <v>0</v>
      </c>
      <c r="CX1981" t="s">
        <v>411</v>
      </c>
      <c r="CY1981">
        <v>3.16</v>
      </c>
      <c r="CZ1981">
        <v>0</v>
      </c>
      <c r="DA1981">
        <v>0.72</v>
      </c>
      <c r="DB1981">
        <v>1.38</v>
      </c>
      <c r="DC1981">
        <v>0.26</v>
      </c>
      <c r="DD1981">
        <v>45.39</v>
      </c>
      <c r="DE1981" t="s">
        <v>6196</v>
      </c>
      <c r="DF1981">
        <v>22.1</v>
      </c>
      <c r="DG1981">
        <v>4.24</v>
      </c>
      <c r="DH1981">
        <v>3.58</v>
      </c>
      <c r="DI1981">
        <v>0.21</v>
      </c>
      <c r="DJ1981">
        <v>1514</v>
      </c>
      <c r="DK1981">
        <v>300626</v>
      </c>
      <c r="DL1981" t="s">
        <v>120</v>
      </c>
      <c r="DM1981" t="s">
        <v>120</v>
      </c>
      <c r="DN1981" t="s">
        <v>120</v>
      </c>
    </row>
    <row r="1982" spans="1:118">
      <c r="A1982" t="str">
        <f>"300627"</f>
        <v>300627</v>
      </c>
      <c r="B1982" t="s">
        <v>9764</v>
      </c>
      <c r="C1982">
        <v>-0.91</v>
      </c>
      <c r="D1982">
        <v>-0.09</v>
      </c>
      <c r="E1982">
        <v>0.42</v>
      </c>
      <c r="F1982">
        <v>103</v>
      </c>
      <c r="G1982" t="s">
        <v>2356</v>
      </c>
      <c r="H1982">
        <v>12434.59</v>
      </c>
      <c r="I1982">
        <v>1.22</v>
      </c>
      <c r="J1982" t="s">
        <v>120</v>
      </c>
      <c r="K1982" t="s">
        <v>9765</v>
      </c>
      <c r="L1982">
        <v>1.1100000000000001</v>
      </c>
      <c r="M1982">
        <v>40.19</v>
      </c>
      <c r="N1982">
        <v>0.82</v>
      </c>
      <c r="O1982">
        <v>4.24</v>
      </c>
      <c r="P1982">
        <v>42.28</v>
      </c>
      <c r="Q1982">
        <v>-1.21</v>
      </c>
      <c r="R1982">
        <v>40.07</v>
      </c>
      <c r="S1982">
        <v>40.729999999999997</v>
      </c>
      <c r="T1982">
        <v>30028</v>
      </c>
      <c r="U1982">
        <v>40.19</v>
      </c>
      <c r="V1982">
        <v>40.56</v>
      </c>
      <c r="W1982">
        <v>69.349999999999994</v>
      </c>
      <c r="X1982" t="s">
        <v>462</v>
      </c>
      <c r="Y1982" t="s">
        <v>1510</v>
      </c>
      <c r="Z1982">
        <v>5.45</v>
      </c>
      <c r="AA1982">
        <v>41.41</v>
      </c>
      <c r="AB1982">
        <v>14730</v>
      </c>
      <c r="AC1982">
        <v>15298</v>
      </c>
      <c r="AD1982">
        <v>0.96</v>
      </c>
      <c r="AE1982">
        <v>4</v>
      </c>
      <c r="AF1982">
        <v>90</v>
      </c>
      <c r="AG1982" t="s">
        <v>120</v>
      </c>
      <c r="AH1982">
        <v>0</v>
      </c>
      <c r="AI1982" t="s">
        <v>120</v>
      </c>
      <c r="AJ1982">
        <v>2.71</v>
      </c>
      <c r="AK1982" t="s">
        <v>9766</v>
      </c>
      <c r="AL1982">
        <v>1</v>
      </c>
      <c r="AM1982">
        <v>2489</v>
      </c>
      <c r="AN1982">
        <v>12</v>
      </c>
      <c r="AO1982">
        <v>4.0000000000000002E-4</v>
      </c>
      <c r="AP1982">
        <v>-4</v>
      </c>
      <c r="AQ1982">
        <v>-1.19</v>
      </c>
      <c r="AR1982">
        <v>-4.42</v>
      </c>
      <c r="AS1982">
        <v>-18.96</v>
      </c>
      <c r="AT1982">
        <v>16.39</v>
      </c>
      <c r="AU1982">
        <v>78.78</v>
      </c>
      <c r="AV1982">
        <v>0</v>
      </c>
      <c r="AW1982">
        <v>2.29</v>
      </c>
      <c r="AX1982">
        <v>34.75</v>
      </c>
      <c r="AY1982">
        <v>60.59</v>
      </c>
      <c r="AZ1982">
        <v>77.819999999999993</v>
      </c>
      <c r="BA1982">
        <v>0.69</v>
      </c>
      <c r="BB1982" t="s">
        <v>143</v>
      </c>
      <c r="BF1982">
        <v>2.09</v>
      </c>
      <c r="BG1982">
        <v>-1.33</v>
      </c>
      <c r="BH1982">
        <v>-4.9400000000000004</v>
      </c>
      <c r="BI1982">
        <v>0.3</v>
      </c>
      <c r="BJ1982">
        <v>20210821</v>
      </c>
      <c r="BK1982">
        <v>20170321</v>
      </c>
      <c r="BL1982">
        <v>3.78</v>
      </c>
      <c r="BM1982" t="s">
        <v>120</v>
      </c>
      <c r="BN1982" t="s">
        <v>120</v>
      </c>
      <c r="BO1982">
        <v>29.35</v>
      </c>
      <c r="BP1982">
        <v>40.18</v>
      </c>
      <c r="BQ1982">
        <v>19.75</v>
      </c>
      <c r="BR1982">
        <v>0.56999999999999995</v>
      </c>
      <c r="BS1982">
        <v>30.75</v>
      </c>
      <c r="BT1982">
        <v>23.8</v>
      </c>
      <c r="BU1982">
        <v>0.6</v>
      </c>
      <c r="BV1982">
        <v>1.73</v>
      </c>
      <c r="BW1982">
        <v>7.84</v>
      </c>
      <c r="BX1982">
        <v>11.68</v>
      </c>
      <c r="BY1982">
        <v>3.6</v>
      </c>
      <c r="BZ1982">
        <v>5.69</v>
      </c>
      <c r="CA1982" t="s">
        <v>120</v>
      </c>
      <c r="CB1982">
        <v>10.58</v>
      </c>
      <c r="CC1982">
        <v>8.5399999999999991</v>
      </c>
      <c r="CD1982">
        <v>3.71</v>
      </c>
      <c r="CE1982">
        <v>1.1399999999999999</v>
      </c>
      <c r="CF1982">
        <v>0.1</v>
      </c>
      <c r="CG1982">
        <v>1.1299999999999999</v>
      </c>
      <c r="CH1982">
        <v>1.08</v>
      </c>
      <c r="CI1982">
        <v>1.0900000000000001</v>
      </c>
      <c r="CJ1982">
        <v>-0.37</v>
      </c>
      <c r="CK1982">
        <v>0.8</v>
      </c>
      <c r="CL1982">
        <v>4.92</v>
      </c>
      <c r="CM1982">
        <v>-0.97</v>
      </c>
      <c r="CN1982">
        <v>6.76</v>
      </c>
      <c r="CO1982">
        <v>18971</v>
      </c>
      <c r="CP1982">
        <v>6922</v>
      </c>
      <c r="CQ1982" t="s">
        <v>9767</v>
      </c>
      <c r="CR1982">
        <v>104.64</v>
      </c>
      <c r="CS1982">
        <v>78.239999999999995</v>
      </c>
      <c r="CT1982">
        <v>7.67</v>
      </c>
      <c r="CU1982">
        <v>-157.13999999999999</v>
      </c>
      <c r="CV1982">
        <v>17.78</v>
      </c>
      <c r="CW1982">
        <v>0.56000000000000005</v>
      </c>
      <c r="CX1982" t="s">
        <v>966</v>
      </c>
      <c r="CY1982">
        <v>5.24</v>
      </c>
      <c r="CZ1982">
        <v>5.24</v>
      </c>
      <c r="DA1982">
        <v>2.8</v>
      </c>
      <c r="DB1982">
        <v>1.3</v>
      </c>
      <c r="DC1982">
        <v>-0.26</v>
      </c>
      <c r="DD1982">
        <v>67.290000000000006</v>
      </c>
      <c r="DE1982" t="s">
        <v>9768</v>
      </c>
      <c r="DF1982">
        <v>56.59</v>
      </c>
      <c r="DG1982">
        <v>13.31</v>
      </c>
      <c r="DH1982">
        <v>12.82</v>
      </c>
      <c r="DI1982">
        <v>1.55</v>
      </c>
      <c r="DJ1982">
        <v>1210</v>
      </c>
      <c r="DK1982">
        <v>300627</v>
      </c>
      <c r="DL1982" t="s">
        <v>120</v>
      </c>
      <c r="DM1982" t="s">
        <v>120</v>
      </c>
      <c r="DN1982" t="s">
        <v>120</v>
      </c>
    </row>
    <row r="1983" spans="1:118">
      <c r="A1983" t="str">
        <f>"300628"</f>
        <v>300628</v>
      </c>
      <c r="B1983" t="s">
        <v>9769</v>
      </c>
      <c r="C1983">
        <v>-2.64</v>
      </c>
      <c r="D1983">
        <v>-0.49</v>
      </c>
      <c r="E1983">
        <v>-0.28000000000000003</v>
      </c>
      <c r="F1983">
        <v>481</v>
      </c>
      <c r="G1983" t="s">
        <v>9770</v>
      </c>
      <c r="H1983">
        <v>18787.59</v>
      </c>
      <c r="I1983">
        <v>9.5399999999999991</v>
      </c>
      <c r="J1983" t="s">
        <v>120</v>
      </c>
      <c r="K1983" t="s">
        <v>9771</v>
      </c>
      <c r="L1983">
        <v>0.5</v>
      </c>
      <c r="M1983">
        <v>77.13</v>
      </c>
      <c r="N1983">
        <v>1.29</v>
      </c>
      <c r="O1983">
        <v>0.05</v>
      </c>
      <c r="P1983">
        <v>79.260000000000005</v>
      </c>
      <c r="Q1983">
        <v>-3.11</v>
      </c>
      <c r="R1983">
        <v>76.760000000000005</v>
      </c>
      <c r="S1983">
        <v>79</v>
      </c>
      <c r="T1983">
        <v>24174</v>
      </c>
      <c r="U1983">
        <v>77.180000000000007</v>
      </c>
      <c r="V1983">
        <v>79.22</v>
      </c>
      <c r="W1983">
        <v>43.2</v>
      </c>
      <c r="X1983" t="s">
        <v>462</v>
      </c>
      <c r="Y1983" t="s">
        <v>937</v>
      </c>
      <c r="Z1983">
        <v>3.16</v>
      </c>
      <c r="AA1983">
        <v>77.72</v>
      </c>
      <c r="AB1983">
        <v>13302</v>
      </c>
      <c r="AC1983">
        <v>10872</v>
      </c>
      <c r="AD1983">
        <v>1.22</v>
      </c>
      <c r="AE1983">
        <v>1</v>
      </c>
      <c r="AF1983">
        <v>7</v>
      </c>
      <c r="AG1983" t="s">
        <v>120</v>
      </c>
      <c r="AH1983">
        <v>0</v>
      </c>
      <c r="AI1983" t="s">
        <v>120</v>
      </c>
      <c r="AJ1983">
        <v>4.82</v>
      </c>
      <c r="AK1983" t="s">
        <v>9772</v>
      </c>
      <c r="AL1983">
        <v>-0.72</v>
      </c>
      <c r="AM1983">
        <v>3231</v>
      </c>
      <c r="AN1983">
        <v>7</v>
      </c>
      <c r="AO1983">
        <v>2.0000000000000001E-4</v>
      </c>
      <c r="AP1983">
        <v>-4</v>
      </c>
      <c r="AQ1983">
        <v>-0.84</v>
      </c>
      <c r="AR1983">
        <v>-4.13</v>
      </c>
      <c r="AS1983">
        <v>-11.35</v>
      </c>
      <c r="AT1983">
        <v>-10.210000000000001</v>
      </c>
      <c r="AU1983">
        <v>6.43</v>
      </c>
      <c r="AV1983">
        <v>0</v>
      </c>
      <c r="AW1983">
        <v>0.63</v>
      </c>
      <c r="AX1983">
        <v>42.69</v>
      </c>
      <c r="AY1983">
        <v>49.69</v>
      </c>
      <c r="AZ1983">
        <v>55.94</v>
      </c>
      <c r="BA1983">
        <v>0.85</v>
      </c>
      <c r="BB1983" t="s">
        <v>134</v>
      </c>
      <c r="BF1983">
        <v>-1.9</v>
      </c>
      <c r="BG1983">
        <v>-2.37</v>
      </c>
      <c r="BH1983">
        <v>-2.69</v>
      </c>
      <c r="BI1983">
        <v>0.48</v>
      </c>
      <c r="BJ1983">
        <v>20210914</v>
      </c>
      <c r="BK1983">
        <v>20170317</v>
      </c>
      <c r="BL1983">
        <v>9.0299999999999994</v>
      </c>
      <c r="BM1983" t="s">
        <v>120</v>
      </c>
      <c r="BN1983" t="s">
        <v>120</v>
      </c>
      <c r="BO1983">
        <v>61.31</v>
      </c>
      <c r="BP1983">
        <v>77.13</v>
      </c>
      <c r="BQ1983">
        <v>54.23</v>
      </c>
      <c r="BR1983" t="s">
        <v>120</v>
      </c>
      <c r="BS1983">
        <v>11.56</v>
      </c>
      <c r="BT1983">
        <v>53.84</v>
      </c>
      <c r="BU1983">
        <v>0.93</v>
      </c>
      <c r="BV1983">
        <v>3.1</v>
      </c>
      <c r="BW1983">
        <v>7.04</v>
      </c>
      <c r="BX1983">
        <v>3.05</v>
      </c>
      <c r="BY1983">
        <v>6.58</v>
      </c>
      <c r="BZ1983">
        <v>5.76</v>
      </c>
      <c r="CA1983" t="s">
        <v>120</v>
      </c>
      <c r="CB1983">
        <v>10.07</v>
      </c>
      <c r="CC1983">
        <v>16.5</v>
      </c>
      <c r="CD1983">
        <v>6.13</v>
      </c>
      <c r="CE1983">
        <v>8.91</v>
      </c>
      <c r="CF1983">
        <v>0.6</v>
      </c>
      <c r="CG1983">
        <v>8.92</v>
      </c>
      <c r="CH1983">
        <v>8.06</v>
      </c>
      <c r="CI1983">
        <v>8.06</v>
      </c>
      <c r="CJ1983">
        <v>-2.09</v>
      </c>
      <c r="CK1983">
        <v>7.11</v>
      </c>
      <c r="CL1983">
        <v>32.53</v>
      </c>
      <c r="CM1983">
        <v>4.63</v>
      </c>
      <c r="CN1983">
        <v>-0.1</v>
      </c>
      <c r="CO1983">
        <v>13497</v>
      </c>
      <c r="CP1983">
        <v>28564</v>
      </c>
      <c r="CQ1983" t="s">
        <v>9773</v>
      </c>
      <c r="CR1983">
        <v>24.92</v>
      </c>
      <c r="CS1983">
        <v>37.42</v>
      </c>
      <c r="CT1983">
        <v>12.84</v>
      </c>
      <c r="CU1983">
        <v>150.41</v>
      </c>
      <c r="CV1983">
        <v>42.2</v>
      </c>
      <c r="CW1983">
        <v>0.82</v>
      </c>
      <c r="CX1983" t="s">
        <v>397</v>
      </c>
      <c r="CY1983">
        <v>6.01</v>
      </c>
      <c r="CZ1983">
        <v>0</v>
      </c>
      <c r="DA1983">
        <v>1.1100000000000001</v>
      </c>
      <c r="DB1983">
        <v>3.6</v>
      </c>
      <c r="DC1983">
        <v>0.51</v>
      </c>
      <c r="DD1983">
        <v>88.44</v>
      </c>
      <c r="DE1983" t="s">
        <v>9774</v>
      </c>
      <c r="DF1983">
        <v>62.83</v>
      </c>
      <c r="DG1983">
        <v>54.01</v>
      </c>
      <c r="DH1983">
        <v>48.85</v>
      </c>
      <c r="DI1983">
        <v>1.2</v>
      </c>
      <c r="DJ1983">
        <v>1393</v>
      </c>
      <c r="DK1983">
        <v>300628</v>
      </c>
      <c r="DL1983" t="s">
        <v>120</v>
      </c>
      <c r="DM1983" t="s">
        <v>120</v>
      </c>
      <c r="DN1983" t="s">
        <v>120</v>
      </c>
    </row>
    <row r="1984" spans="1:118">
      <c r="A1984" t="str">
        <f>"300629"</f>
        <v>300629</v>
      </c>
      <c r="B1984" t="s">
        <v>9775</v>
      </c>
      <c r="C1984">
        <v>-1.44</v>
      </c>
      <c r="D1984">
        <v>0.17</v>
      </c>
      <c r="E1984">
        <v>-1.4</v>
      </c>
      <c r="F1984">
        <v>486</v>
      </c>
      <c r="G1984" t="s">
        <v>9776</v>
      </c>
      <c r="H1984">
        <v>23454.39</v>
      </c>
      <c r="I1984">
        <v>252.82</v>
      </c>
      <c r="J1984" t="s">
        <v>120</v>
      </c>
      <c r="K1984" t="s">
        <v>9026</v>
      </c>
      <c r="L1984">
        <v>8.7899999999999991</v>
      </c>
      <c r="M1984">
        <v>29.49</v>
      </c>
      <c r="N1984">
        <v>1.05</v>
      </c>
      <c r="O1984">
        <v>2.54</v>
      </c>
      <c r="P1984">
        <v>30.68</v>
      </c>
      <c r="Q1984">
        <v>-2.14</v>
      </c>
      <c r="R1984">
        <v>29.28</v>
      </c>
      <c r="S1984">
        <v>29.5</v>
      </c>
      <c r="T1984">
        <v>78360</v>
      </c>
      <c r="U1984">
        <v>29.5</v>
      </c>
      <c r="V1984">
        <v>29.92</v>
      </c>
      <c r="W1984">
        <v>47.08</v>
      </c>
      <c r="X1984" t="s">
        <v>229</v>
      </c>
      <c r="Y1984" t="s">
        <v>547</v>
      </c>
      <c r="Z1984">
        <v>4.68</v>
      </c>
      <c r="AA1984">
        <v>29.93</v>
      </c>
      <c r="AB1984">
        <v>42769</v>
      </c>
      <c r="AC1984">
        <v>35591</v>
      </c>
      <c r="AD1984">
        <v>1.2</v>
      </c>
      <c r="AE1984">
        <v>7</v>
      </c>
      <c r="AF1984">
        <v>18</v>
      </c>
      <c r="AG1984" t="s">
        <v>120</v>
      </c>
      <c r="AH1984">
        <v>0.11</v>
      </c>
      <c r="AI1984" t="s">
        <v>120</v>
      </c>
      <c r="AJ1984">
        <v>0.89</v>
      </c>
      <c r="AK1984" t="s">
        <v>9777</v>
      </c>
      <c r="AL1984">
        <v>0.48</v>
      </c>
      <c r="AM1984">
        <v>3195</v>
      </c>
      <c r="AN1984">
        <v>25</v>
      </c>
      <c r="AO1984">
        <v>2.8E-3</v>
      </c>
      <c r="AP1984">
        <v>-1</v>
      </c>
      <c r="AQ1984">
        <v>5.39</v>
      </c>
      <c r="AR1984">
        <v>4.83</v>
      </c>
      <c r="AS1984">
        <v>-18.89</v>
      </c>
      <c r="AT1984">
        <v>32.42</v>
      </c>
      <c r="AU1984">
        <v>29.12</v>
      </c>
      <c r="AV1984">
        <v>4</v>
      </c>
      <c r="AW1984">
        <v>10.37</v>
      </c>
      <c r="AX1984">
        <v>54.13</v>
      </c>
      <c r="AY1984">
        <v>69.91</v>
      </c>
      <c r="AZ1984">
        <v>83.32</v>
      </c>
      <c r="BA1984">
        <v>0.28999999999999998</v>
      </c>
      <c r="BB1984" t="s">
        <v>168</v>
      </c>
      <c r="BF1984">
        <v>0.04</v>
      </c>
      <c r="BG1984">
        <v>-0.03</v>
      </c>
      <c r="BH1984">
        <v>-3.88</v>
      </c>
      <c r="BI1984">
        <v>0.72</v>
      </c>
      <c r="BJ1984">
        <v>20210831</v>
      </c>
      <c r="BK1984">
        <v>20170324</v>
      </c>
      <c r="BL1984">
        <v>1.4</v>
      </c>
      <c r="BM1984" t="s">
        <v>120</v>
      </c>
      <c r="BN1984" t="s">
        <v>120</v>
      </c>
      <c r="BO1984">
        <v>11.85</v>
      </c>
      <c r="BP1984">
        <v>29.49</v>
      </c>
      <c r="BQ1984">
        <v>9.36</v>
      </c>
      <c r="BR1984" t="s">
        <v>120</v>
      </c>
      <c r="BS1984">
        <v>20.97</v>
      </c>
      <c r="BT1984">
        <v>6.3</v>
      </c>
      <c r="BU1984">
        <v>0.55000000000000004</v>
      </c>
      <c r="BV1984">
        <v>0.33</v>
      </c>
      <c r="BW1984">
        <v>1.22</v>
      </c>
      <c r="BX1984">
        <v>0.79</v>
      </c>
      <c r="BY1984">
        <v>1.59</v>
      </c>
      <c r="BZ1984">
        <v>0.74</v>
      </c>
      <c r="CA1984" t="s">
        <v>120</v>
      </c>
      <c r="CB1984">
        <v>5.79</v>
      </c>
      <c r="CC1984">
        <v>1.64</v>
      </c>
      <c r="CD1984">
        <v>0.74</v>
      </c>
      <c r="CE1984">
        <v>0.49</v>
      </c>
      <c r="CF1984">
        <v>0.01</v>
      </c>
      <c r="CG1984">
        <v>0.5</v>
      </c>
      <c r="CH1984">
        <v>0.44</v>
      </c>
      <c r="CI1984">
        <v>0.44</v>
      </c>
      <c r="CJ1984">
        <v>-0.43</v>
      </c>
      <c r="CK1984">
        <v>0.39</v>
      </c>
      <c r="CL1984">
        <v>1.77</v>
      </c>
      <c r="CM1984">
        <v>-0.14000000000000001</v>
      </c>
      <c r="CN1984">
        <v>-1.35</v>
      </c>
      <c r="CO1984">
        <v>14072</v>
      </c>
      <c r="CP1984">
        <v>5368</v>
      </c>
      <c r="CQ1984" t="s">
        <v>7103</v>
      </c>
      <c r="CR1984">
        <v>28.18</v>
      </c>
      <c r="CS1984">
        <v>11.07</v>
      </c>
      <c r="CT1984">
        <v>4.28</v>
      </c>
      <c r="CU1984">
        <v>-286.81</v>
      </c>
      <c r="CV1984">
        <v>25.05</v>
      </c>
      <c r="CW1984">
        <v>0.31</v>
      </c>
      <c r="CX1984" t="s">
        <v>2443</v>
      </c>
      <c r="CY1984">
        <v>6.89</v>
      </c>
      <c r="CZ1984">
        <v>6.89</v>
      </c>
      <c r="DA1984">
        <v>4.1500000000000004</v>
      </c>
      <c r="DB1984">
        <v>1.27</v>
      </c>
      <c r="DC1984">
        <v>-0.1</v>
      </c>
      <c r="DD1984">
        <v>79.03</v>
      </c>
      <c r="DE1984" t="s">
        <v>9778</v>
      </c>
      <c r="DF1984">
        <v>54.97</v>
      </c>
      <c r="DG1984">
        <v>29.67</v>
      </c>
      <c r="DH1984">
        <v>26.6</v>
      </c>
      <c r="DI1984">
        <v>0.18</v>
      </c>
      <c r="DJ1984">
        <v>561</v>
      </c>
      <c r="DK1984">
        <v>300629</v>
      </c>
      <c r="DL1984" t="s">
        <v>120</v>
      </c>
      <c r="DM1984" t="s">
        <v>120</v>
      </c>
      <c r="DN1984" t="s">
        <v>120</v>
      </c>
    </row>
    <row r="1985" spans="1:118">
      <c r="A1985" t="str">
        <f>"300630"</f>
        <v>300630</v>
      </c>
      <c r="B1985" t="s">
        <v>9779</v>
      </c>
      <c r="C1985">
        <v>0</v>
      </c>
      <c r="D1985">
        <v>0.05</v>
      </c>
      <c r="E1985">
        <v>0.84</v>
      </c>
      <c r="F1985">
        <v>256</v>
      </c>
      <c r="G1985" t="s">
        <v>9780</v>
      </c>
      <c r="H1985">
        <v>18907.93</v>
      </c>
      <c r="I1985">
        <v>109.6</v>
      </c>
      <c r="J1985" t="s">
        <v>120</v>
      </c>
      <c r="K1985" t="s">
        <v>9781</v>
      </c>
      <c r="L1985">
        <v>1.38</v>
      </c>
      <c r="M1985">
        <v>42.62</v>
      </c>
      <c r="N1985">
        <v>1.58</v>
      </c>
      <c r="O1985">
        <v>1.95</v>
      </c>
      <c r="P1985">
        <v>43.45</v>
      </c>
      <c r="Q1985">
        <v>-3.31</v>
      </c>
      <c r="R1985">
        <v>41.21</v>
      </c>
      <c r="S1985">
        <v>42.98</v>
      </c>
      <c r="T1985">
        <v>44410</v>
      </c>
      <c r="U1985">
        <v>42.62</v>
      </c>
      <c r="V1985">
        <v>42.62</v>
      </c>
      <c r="W1985">
        <v>41.37</v>
      </c>
      <c r="X1985" t="s">
        <v>569</v>
      </c>
      <c r="Y1985" t="s">
        <v>835</v>
      </c>
      <c r="Z1985">
        <v>5.26</v>
      </c>
      <c r="AA1985">
        <v>42.58</v>
      </c>
      <c r="AB1985">
        <v>20759</v>
      </c>
      <c r="AC1985">
        <v>23651</v>
      </c>
      <c r="AD1985">
        <v>0.88</v>
      </c>
      <c r="AE1985">
        <v>14</v>
      </c>
      <c r="AF1985">
        <v>223</v>
      </c>
      <c r="AG1985" t="s">
        <v>120</v>
      </c>
      <c r="AH1985">
        <v>0.01</v>
      </c>
      <c r="AI1985" t="s">
        <v>120</v>
      </c>
      <c r="AJ1985">
        <v>3.22</v>
      </c>
      <c r="AK1985" t="s">
        <v>9782</v>
      </c>
      <c r="AL1985">
        <v>1.91</v>
      </c>
      <c r="AM1985">
        <v>3195</v>
      </c>
      <c r="AN1985">
        <v>14</v>
      </c>
      <c r="AO1985">
        <v>4.0000000000000002E-4</v>
      </c>
      <c r="AP1985">
        <v>0</v>
      </c>
      <c r="AQ1985">
        <v>7.22</v>
      </c>
      <c r="AR1985">
        <v>9.0500000000000007</v>
      </c>
      <c r="AS1985">
        <v>-4.93</v>
      </c>
      <c r="AT1985">
        <v>-15.21</v>
      </c>
      <c r="AU1985">
        <v>2.2000000000000002</v>
      </c>
      <c r="AV1985">
        <v>0</v>
      </c>
      <c r="AW1985">
        <v>1.53</v>
      </c>
      <c r="AX1985">
        <v>66.48</v>
      </c>
      <c r="AY1985">
        <v>39.29</v>
      </c>
      <c r="AZ1985">
        <v>45.71</v>
      </c>
      <c r="BA1985">
        <v>0.63</v>
      </c>
      <c r="BB1985" t="s">
        <v>143</v>
      </c>
      <c r="BF1985">
        <v>-0.1</v>
      </c>
      <c r="BG1985">
        <v>-0.84</v>
      </c>
      <c r="BH1985">
        <v>-1.91</v>
      </c>
      <c r="BI1985">
        <v>3.42</v>
      </c>
      <c r="BJ1985">
        <v>20210906</v>
      </c>
      <c r="BK1985">
        <v>20170328</v>
      </c>
      <c r="BL1985">
        <v>4.37</v>
      </c>
      <c r="BM1985" t="s">
        <v>120</v>
      </c>
      <c r="BN1985" t="s">
        <v>120</v>
      </c>
      <c r="BO1985">
        <v>41.55</v>
      </c>
      <c r="BP1985">
        <v>42.61</v>
      </c>
      <c r="BQ1985">
        <v>24.24</v>
      </c>
      <c r="BR1985" t="s">
        <v>120</v>
      </c>
      <c r="BS1985">
        <v>41.66</v>
      </c>
      <c r="BT1985">
        <v>18.75</v>
      </c>
      <c r="BU1985">
        <v>5.6</v>
      </c>
      <c r="BV1985">
        <v>1.1200000000000001</v>
      </c>
      <c r="BW1985">
        <v>8.0299999999999994</v>
      </c>
      <c r="BX1985">
        <v>7.39</v>
      </c>
      <c r="BY1985">
        <v>2.35</v>
      </c>
      <c r="BZ1985">
        <v>6.63</v>
      </c>
      <c r="CA1985" t="s">
        <v>120</v>
      </c>
      <c r="CB1985">
        <v>6.77</v>
      </c>
      <c r="CC1985">
        <v>6.23</v>
      </c>
      <c r="CD1985">
        <v>1.39</v>
      </c>
      <c r="CE1985">
        <v>2.3199999999999998</v>
      </c>
      <c r="CF1985">
        <v>0</v>
      </c>
      <c r="CG1985">
        <v>2.3199999999999998</v>
      </c>
      <c r="CH1985">
        <v>2.25</v>
      </c>
      <c r="CI1985">
        <v>2.25</v>
      </c>
      <c r="CJ1985">
        <v>0</v>
      </c>
      <c r="CK1985">
        <v>2.19</v>
      </c>
      <c r="CL1985">
        <v>10.130000000000001</v>
      </c>
      <c r="CM1985">
        <v>0.62</v>
      </c>
      <c r="CN1985">
        <v>3.83</v>
      </c>
      <c r="CO1985">
        <v>14400</v>
      </c>
      <c r="CP1985">
        <v>20177</v>
      </c>
      <c r="CQ1985" t="s">
        <v>9783</v>
      </c>
      <c r="CR1985">
        <v>42.06</v>
      </c>
      <c r="CS1985">
        <v>55.11</v>
      </c>
      <c r="CT1985">
        <v>8.49</v>
      </c>
      <c r="CU1985">
        <v>298.64999999999998</v>
      </c>
      <c r="CV1985">
        <v>29.89</v>
      </c>
      <c r="CW1985">
        <v>0.44</v>
      </c>
      <c r="CX1985" t="s">
        <v>948</v>
      </c>
      <c r="CY1985">
        <v>5.0199999999999996</v>
      </c>
      <c r="CZ1985">
        <v>5.0199999999999996</v>
      </c>
      <c r="DA1985">
        <v>1.55</v>
      </c>
      <c r="DB1985">
        <v>2.3199999999999998</v>
      </c>
      <c r="DC1985">
        <v>0.14000000000000001</v>
      </c>
      <c r="DD1985">
        <v>58.34</v>
      </c>
      <c r="DE1985" t="s">
        <v>2826</v>
      </c>
      <c r="DF1985">
        <v>77.7</v>
      </c>
      <c r="DG1985">
        <v>37.26</v>
      </c>
      <c r="DH1985">
        <v>36.130000000000003</v>
      </c>
      <c r="DI1985">
        <v>1.1000000000000001</v>
      </c>
      <c r="DJ1985">
        <v>848</v>
      </c>
      <c r="DK1985">
        <v>300630</v>
      </c>
      <c r="DL1985" t="s">
        <v>120</v>
      </c>
      <c r="DM1985" t="s">
        <v>120</v>
      </c>
      <c r="DN1985" t="s">
        <v>120</v>
      </c>
    </row>
    <row r="1986" spans="1:118">
      <c r="A1986" t="str">
        <f>"300631"</f>
        <v>300631</v>
      </c>
      <c r="B1986" t="s">
        <v>9784</v>
      </c>
      <c r="C1986">
        <v>-5.46</v>
      </c>
      <c r="D1986">
        <v>-0.05</v>
      </c>
      <c r="E1986">
        <v>-2.63</v>
      </c>
      <c r="F1986">
        <v>770</v>
      </c>
      <c r="G1986" t="s">
        <v>9785</v>
      </c>
      <c r="H1986">
        <v>67215.86</v>
      </c>
      <c r="I1986">
        <v>475.41</v>
      </c>
      <c r="J1986" t="s">
        <v>120</v>
      </c>
      <c r="K1986" t="s">
        <v>9786</v>
      </c>
      <c r="L1986">
        <v>12.66</v>
      </c>
      <c r="M1986">
        <v>49.53</v>
      </c>
      <c r="N1986">
        <v>1</v>
      </c>
      <c r="O1986">
        <v>-0.13</v>
      </c>
      <c r="P1986">
        <v>52.32</v>
      </c>
      <c r="Q1986">
        <v>-11.2</v>
      </c>
      <c r="R1986">
        <v>46.52</v>
      </c>
      <c r="S1986">
        <v>51.01</v>
      </c>
      <c r="T1986">
        <v>134479</v>
      </c>
      <c r="U1986">
        <v>49.53</v>
      </c>
      <c r="V1986">
        <v>52.39</v>
      </c>
      <c r="W1986">
        <v>302.10000000000002</v>
      </c>
      <c r="X1986" t="s">
        <v>318</v>
      </c>
      <c r="Y1986" t="s">
        <v>319</v>
      </c>
      <c r="Z1986">
        <v>11.07</v>
      </c>
      <c r="AA1986">
        <v>49.98</v>
      </c>
      <c r="AB1986">
        <v>68864</v>
      </c>
      <c r="AC1986">
        <v>65615</v>
      </c>
      <c r="AD1986">
        <v>1.05</v>
      </c>
      <c r="AE1986">
        <v>1</v>
      </c>
      <c r="AF1986">
        <v>84</v>
      </c>
      <c r="AG1986" t="s">
        <v>120</v>
      </c>
      <c r="AH1986">
        <v>0.14000000000000001</v>
      </c>
      <c r="AI1986" t="s">
        <v>120</v>
      </c>
      <c r="AJ1986">
        <v>1.06</v>
      </c>
      <c r="AK1986" t="s">
        <v>9787</v>
      </c>
      <c r="AL1986">
        <v>-3.55</v>
      </c>
      <c r="AM1986">
        <v>4246</v>
      </c>
      <c r="AN1986">
        <v>32</v>
      </c>
      <c r="AO1986">
        <v>3.0000000000000001E-3</v>
      </c>
      <c r="AP1986">
        <v>-1</v>
      </c>
      <c r="AQ1986">
        <v>8.2899999999999991</v>
      </c>
      <c r="AR1986">
        <v>5.5</v>
      </c>
      <c r="AS1986">
        <v>-11.85</v>
      </c>
      <c r="AT1986">
        <v>117.81</v>
      </c>
      <c r="AU1986">
        <v>188.97</v>
      </c>
      <c r="AV1986">
        <v>4</v>
      </c>
      <c r="AW1986">
        <v>20.149999999999999</v>
      </c>
      <c r="AX1986">
        <v>61.45</v>
      </c>
      <c r="AY1986">
        <v>80.569999999999993</v>
      </c>
      <c r="AZ1986">
        <v>68.8</v>
      </c>
      <c r="BA1986">
        <v>2.0099999999999998</v>
      </c>
      <c r="BB1986" t="s">
        <v>751</v>
      </c>
      <c r="BF1986">
        <v>-4.5999999999999996</v>
      </c>
      <c r="BG1986">
        <v>-2.9</v>
      </c>
      <c r="BH1986">
        <v>-5.33</v>
      </c>
      <c r="BI1986">
        <v>6.47</v>
      </c>
      <c r="BJ1986">
        <v>20210824</v>
      </c>
      <c r="BK1986">
        <v>20170323</v>
      </c>
      <c r="BL1986">
        <v>1.0900000000000001</v>
      </c>
      <c r="BM1986" t="s">
        <v>120</v>
      </c>
      <c r="BN1986" t="s">
        <v>120</v>
      </c>
      <c r="BO1986">
        <v>13.26</v>
      </c>
      <c r="BP1986">
        <v>49.52</v>
      </c>
      <c r="BQ1986">
        <v>8.1199999999999992</v>
      </c>
      <c r="BR1986">
        <v>0.3</v>
      </c>
      <c r="BS1986">
        <v>36.520000000000003</v>
      </c>
      <c r="BT1986">
        <v>9.4600000000000009</v>
      </c>
      <c r="BU1986">
        <v>2.4900000000000002</v>
      </c>
      <c r="BV1986">
        <v>0.5</v>
      </c>
      <c r="BW1986">
        <v>2.14</v>
      </c>
      <c r="BX1986">
        <v>1.1299999999999999</v>
      </c>
      <c r="BY1986">
        <v>1.51</v>
      </c>
      <c r="BZ1986">
        <v>2.3199999999999998</v>
      </c>
      <c r="CA1986" t="s">
        <v>120</v>
      </c>
      <c r="CB1986">
        <v>2.35</v>
      </c>
      <c r="CC1986">
        <v>1.85</v>
      </c>
      <c r="CD1986">
        <v>1.18</v>
      </c>
      <c r="CE1986">
        <v>0.1</v>
      </c>
      <c r="CF1986">
        <v>0.01</v>
      </c>
      <c r="CG1986">
        <v>0.1</v>
      </c>
      <c r="CH1986">
        <v>0.1</v>
      </c>
      <c r="CI1986">
        <v>0.09</v>
      </c>
      <c r="CJ1986">
        <v>-2.86</v>
      </c>
      <c r="CK1986">
        <v>0.04</v>
      </c>
      <c r="CL1986">
        <v>4.29</v>
      </c>
      <c r="CM1986">
        <v>0.05</v>
      </c>
      <c r="CN1986">
        <v>-0.35</v>
      </c>
      <c r="CO1986">
        <v>16168</v>
      </c>
      <c r="CP1986">
        <v>4129</v>
      </c>
      <c r="CQ1986" t="s">
        <v>9788</v>
      </c>
      <c r="CR1986">
        <v>-57.59</v>
      </c>
      <c r="CS1986">
        <v>7.53</v>
      </c>
      <c r="CT1986">
        <v>6.64</v>
      </c>
      <c r="CU1986">
        <v>1073.6099999999999</v>
      </c>
      <c r="CV1986">
        <v>29.02</v>
      </c>
      <c r="CW1986">
        <v>0.34</v>
      </c>
      <c r="CX1986" t="s">
        <v>535</v>
      </c>
      <c r="CY1986">
        <v>7.46</v>
      </c>
      <c r="CZ1986">
        <v>7.46</v>
      </c>
      <c r="DA1986">
        <v>2.16</v>
      </c>
      <c r="DB1986">
        <v>3.94</v>
      </c>
      <c r="DC1986">
        <v>0.05</v>
      </c>
      <c r="DD1986">
        <v>61.23</v>
      </c>
      <c r="DE1986" t="s">
        <v>3324</v>
      </c>
      <c r="DF1986">
        <v>36.15</v>
      </c>
      <c r="DG1986">
        <v>5.2</v>
      </c>
      <c r="DH1986">
        <v>4.8</v>
      </c>
      <c r="DI1986">
        <v>0.15</v>
      </c>
      <c r="DJ1986">
        <v>418</v>
      </c>
      <c r="DK1986">
        <v>300631</v>
      </c>
      <c r="DL1986">
        <v>20210617</v>
      </c>
      <c r="DM1986">
        <v>21.35</v>
      </c>
      <c r="DN1986">
        <v>131.99</v>
      </c>
    </row>
    <row r="1987" spans="1:118">
      <c r="A1987" t="str">
        <f>"300632"</f>
        <v>300632</v>
      </c>
      <c r="B1987" t="s">
        <v>9789</v>
      </c>
      <c r="C1987">
        <v>0.43</v>
      </c>
      <c r="D1987">
        <v>-0.13</v>
      </c>
      <c r="E1987">
        <v>0.28999999999999998</v>
      </c>
      <c r="F1987">
        <v>500</v>
      </c>
      <c r="G1987" t="s">
        <v>9198</v>
      </c>
      <c r="H1987">
        <v>6349.5</v>
      </c>
      <c r="I1987">
        <v>14.04</v>
      </c>
      <c r="J1987" t="s">
        <v>120</v>
      </c>
      <c r="K1987" t="s">
        <v>9790</v>
      </c>
      <c r="L1987">
        <v>2.2599999999999998</v>
      </c>
      <c r="M1987">
        <v>13.92</v>
      </c>
      <c r="N1987">
        <v>1.08</v>
      </c>
      <c r="O1987">
        <v>3.25</v>
      </c>
      <c r="P1987">
        <v>14.31</v>
      </c>
      <c r="Q1987">
        <v>-0.28999999999999998</v>
      </c>
      <c r="R1987">
        <v>13.82</v>
      </c>
      <c r="S1987">
        <v>13.9</v>
      </c>
      <c r="T1987">
        <v>45180</v>
      </c>
      <c r="U1987">
        <v>13.93</v>
      </c>
      <c r="V1987">
        <v>13.86</v>
      </c>
      <c r="W1987">
        <v>29.86</v>
      </c>
      <c r="X1987" t="s">
        <v>3245</v>
      </c>
      <c r="Y1987" t="s">
        <v>937</v>
      </c>
      <c r="Z1987">
        <v>3.54</v>
      </c>
      <c r="AA1987">
        <v>14.05</v>
      </c>
      <c r="AB1987">
        <v>24218</v>
      </c>
      <c r="AC1987">
        <v>20962</v>
      </c>
      <c r="AD1987">
        <v>1.1599999999999999</v>
      </c>
      <c r="AE1987">
        <v>137</v>
      </c>
      <c r="AF1987">
        <v>158</v>
      </c>
      <c r="AG1987" t="s">
        <v>120</v>
      </c>
      <c r="AH1987">
        <v>0.01</v>
      </c>
      <c r="AI1987" t="s">
        <v>120</v>
      </c>
      <c r="AJ1987">
        <v>2</v>
      </c>
      <c r="AK1987" t="s">
        <v>9791</v>
      </c>
      <c r="AL1987">
        <v>2.35</v>
      </c>
      <c r="AM1987">
        <v>1498</v>
      </c>
      <c r="AN1987">
        <v>30</v>
      </c>
      <c r="AO1987">
        <v>1.5E-3</v>
      </c>
      <c r="AP1987">
        <v>1</v>
      </c>
      <c r="AQ1987">
        <v>-0.93</v>
      </c>
      <c r="AR1987">
        <v>-1.9</v>
      </c>
      <c r="AS1987">
        <v>-9.9</v>
      </c>
      <c r="AT1987">
        <v>-4.92</v>
      </c>
      <c r="AU1987">
        <v>-0.64</v>
      </c>
      <c r="AV1987">
        <v>0</v>
      </c>
      <c r="AW1987">
        <v>2.94</v>
      </c>
      <c r="AX1987">
        <v>50.15</v>
      </c>
      <c r="AY1987">
        <v>33.01</v>
      </c>
      <c r="AZ1987">
        <v>31.33</v>
      </c>
      <c r="BA1987">
        <v>1.03</v>
      </c>
      <c r="BB1987" t="s">
        <v>134</v>
      </c>
      <c r="BF1987">
        <v>1.4</v>
      </c>
      <c r="BG1987">
        <v>0.14000000000000001</v>
      </c>
      <c r="BH1987">
        <v>-2.73</v>
      </c>
      <c r="BI1987">
        <v>0.72</v>
      </c>
      <c r="BJ1987">
        <v>20210902</v>
      </c>
      <c r="BK1987">
        <v>20170406</v>
      </c>
      <c r="BL1987">
        <v>3.06</v>
      </c>
      <c r="BM1987" t="s">
        <v>120</v>
      </c>
      <c r="BN1987" t="s">
        <v>120</v>
      </c>
      <c r="BO1987">
        <v>25.02</v>
      </c>
      <c r="BP1987">
        <v>13.92</v>
      </c>
      <c r="BQ1987">
        <v>19.84</v>
      </c>
      <c r="BR1987">
        <v>0.1</v>
      </c>
      <c r="BS1987">
        <v>20.3</v>
      </c>
      <c r="BT1987">
        <v>20.96</v>
      </c>
      <c r="BU1987">
        <v>2.25</v>
      </c>
      <c r="BV1987">
        <v>0.15</v>
      </c>
      <c r="BW1987">
        <v>4.83</v>
      </c>
      <c r="BX1987">
        <v>4.99</v>
      </c>
      <c r="BY1987">
        <v>1.49</v>
      </c>
      <c r="BZ1987">
        <v>2.99</v>
      </c>
      <c r="CA1987">
        <v>0</v>
      </c>
      <c r="CB1987">
        <v>10.42</v>
      </c>
      <c r="CC1987">
        <v>5.3</v>
      </c>
      <c r="CD1987">
        <v>3.86</v>
      </c>
      <c r="CE1987">
        <v>0.84</v>
      </c>
      <c r="CF1987">
        <v>0.12</v>
      </c>
      <c r="CG1987">
        <v>0.84</v>
      </c>
      <c r="CH1987">
        <v>0.72</v>
      </c>
      <c r="CI1987">
        <v>0.71</v>
      </c>
      <c r="CJ1987">
        <v>0.06</v>
      </c>
      <c r="CK1987">
        <v>0.42</v>
      </c>
      <c r="CL1987">
        <v>5.83</v>
      </c>
      <c r="CM1987">
        <v>-0.65</v>
      </c>
      <c r="CN1987">
        <v>-3.35</v>
      </c>
      <c r="CO1987">
        <v>23964</v>
      </c>
      <c r="CP1987">
        <v>6407</v>
      </c>
      <c r="CQ1987" t="s">
        <v>2442</v>
      </c>
      <c r="CR1987">
        <v>-8.77</v>
      </c>
      <c r="CS1987">
        <v>16.34</v>
      </c>
      <c r="CT1987">
        <v>2.15</v>
      </c>
      <c r="CU1987">
        <v>-65.58</v>
      </c>
      <c r="CV1987">
        <v>8.0399999999999991</v>
      </c>
      <c r="CW1987">
        <v>0.72</v>
      </c>
      <c r="CX1987" t="s">
        <v>694</v>
      </c>
      <c r="CY1987">
        <v>6.48</v>
      </c>
      <c r="CZ1987">
        <v>0</v>
      </c>
      <c r="DA1987">
        <v>3.4</v>
      </c>
      <c r="DB1987">
        <v>1.91</v>
      </c>
      <c r="DC1987">
        <v>-0.21</v>
      </c>
      <c r="DD1987">
        <v>79.290000000000006</v>
      </c>
      <c r="DE1987" t="s">
        <v>1060</v>
      </c>
      <c r="DF1987">
        <v>27.19</v>
      </c>
      <c r="DG1987">
        <v>15.8</v>
      </c>
      <c r="DH1987">
        <v>13.46</v>
      </c>
      <c r="DI1987">
        <v>0.28000000000000003</v>
      </c>
      <c r="DJ1987">
        <v>1633</v>
      </c>
      <c r="DK1987">
        <v>300632</v>
      </c>
      <c r="DL1987" t="s">
        <v>120</v>
      </c>
      <c r="DM1987" t="s">
        <v>120</v>
      </c>
      <c r="DN1987" t="s">
        <v>120</v>
      </c>
    </row>
    <row r="1988" spans="1:118">
      <c r="A1988" t="str">
        <f>"300633"</f>
        <v>300633</v>
      </c>
      <c r="B1988" t="s">
        <v>9792</v>
      </c>
      <c r="C1988">
        <v>1.4</v>
      </c>
      <c r="D1988">
        <v>-0.4</v>
      </c>
      <c r="E1988">
        <v>0.28999999999999998</v>
      </c>
      <c r="F1988">
        <v>641</v>
      </c>
      <c r="G1988" t="s">
        <v>9793</v>
      </c>
      <c r="H1988">
        <v>23362.29</v>
      </c>
      <c r="I1988">
        <v>38.409999999999997</v>
      </c>
      <c r="J1988" t="s">
        <v>120</v>
      </c>
      <c r="K1988" t="s">
        <v>9794</v>
      </c>
      <c r="L1988">
        <v>1.81</v>
      </c>
      <c r="M1988">
        <v>31.83</v>
      </c>
      <c r="N1988">
        <v>1.71</v>
      </c>
      <c r="O1988">
        <v>5.13</v>
      </c>
      <c r="P1988">
        <v>33</v>
      </c>
      <c r="Q1988">
        <v>-0.03</v>
      </c>
      <c r="R1988">
        <v>31.38</v>
      </c>
      <c r="S1988">
        <v>31.48</v>
      </c>
      <c r="T1988">
        <v>72339</v>
      </c>
      <c r="U1988">
        <v>31.83</v>
      </c>
      <c r="V1988">
        <v>31.39</v>
      </c>
      <c r="W1988">
        <v>58.66</v>
      </c>
      <c r="X1988" t="s">
        <v>555</v>
      </c>
      <c r="Y1988" t="s">
        <v>123</v>
      </c>
      <c r="Z1988">
        <v>5.16</v>
      </c>
      <c r="AA1988">
        <v>32.299999999999997</v>
      </c>
      <c r="AB1988">
        <v>29473</v>
      </c>
      <c r="AC1988">
        <v>42866</v>
      </c>
      <c r="AD1988">
        <v>0.69</v>
      </c>
      <c r="AE1988">
        <v>1</v>
      </c>
      <c r="AF1988">
        <v>15</v>
      </c>
      <c r="AG1988" t="s">
        <v>120</v>
      </c>
      <c r="AH1988">
        <v>0.01</v>
      </c>
      <c r="AI1988" t="s">
        <v>120</v>
      </c>
      <c r="AJ1988">
        <v>4</v>
      </c>
      <c r="AK1988" t="s">
        <v>9795</v>
      </c>
      <c r="AL1988">
        <v>3.32</v>
      </c>
      <c r="AM1988">
        <v>3353</v>
      </c>
      <c r="AN1988">
        <v>22</v>
      </c>
      <c r="AO1988">
        <v>5.0000000000000001E-4</v>
      </c>
      <c r="AP1988">
        <v>1</v>
      </c>
      <c r="AQ1988">
        <v>-1.35</v>
      </c>
      <c r="AR1988">
        <v>4.87</v>
      </c>
      <c r="AS1988">
        <v>4.6399999999999997</v>
      </c>
      <c r="AT1988">
        <v>7.35</v>
      </c>
      <c r="AU1988">
        <v>23.08</v>
      </c>
      <c r="AV1988">
        <v>0</v>
      </c>
      <c r="AW1988">
        <v>4.01</v>
      </c>
      <c r="AX1988">
        <v>44.86</v>
      </c>
      <c r="AY1988">
        <v>335.73</v>
      </c>
      <c r="AZ1988" t="s">
        <v>120</v>
      </c>
      <c r="BA1988">
        <v>1.05</v>
      </c>
      <c r="BB1988" t="s">
        <v>143</v>
      </c>
      <c r="BF1988">
        <v>2.88</v>
      </c>
      <c r="BG1988">
        <v>1.1100000000000001</v>
      </c>
      <c r="BH1988">
        <v>-3.55</v>
      </c>
      <c r="BI1988">
        <v>1.43</v>
      </c>
      <c r="BJ1988">
        <v>20210908</v>
      </c>
      <c r="BK1988">
        <v>20170406</v>
      </c>
      <c r="BL1988">
        <v>4.0199999999999996</v>
      </c>
      <c r="BM1988" t="s">
        <v>120</v>
      </c>
      <c r="BN1988" t="s">
        <v>120</v>
      </c>
      <c r="BO1988">
        <v>20.91</v>
      </c>
      <c r="BP1988">
        <v>31.81</v>
      </c>
      <c r="BQ1988">
        <v>14.64</v>
      </c>
      <c r="BR1988" t="s">
        <v>120</v>
      </c>
      <c r="BS1988">
        <v>30</v>
      </c>
      <c r="BT1988">
        <v>12.92</v>
      </c>
      <c r="BU1988">
        <v>0.7</v>
      </c>
      <c r="BV1988">
        <v>1.7</v>
      </c>
      <c r="BW1988">
        <v>5.39</v>
      </c>
      <c r="BX1988">
        <v>4.18</v>
      </c>
      <c r="BY1988">
        <v>4.16</v>
      </c>
      <c r="BZ1988">
        <v>2.12</v>
      </c>
      <c r="CA1988" t="s">
        <v>120</v>
      </c>
      <c r="CB1988">
        <v>3.07</v>
      </c>
      <c r="CC1988">
        <v>6.43</v>
      </c>
      <c r="CD1988">
        <v>2.21</v>
      </c>
      <c r="CE1988">
        <v>1.1599999999999999</v>
      </c>
      <c r="CF1988">
        <v>0.05</v>
      </c>
      <c r="CG1988">
        <v>1.1599999999999999</v>
      </c>
      <c r="CH1988">
        <v>1.0900000000000001</v>
      </c>
      <c r="CI1988">
        <v>1.0900000000000001</v>
      </c>
      <c r="CJ1988">
        <v>0.44</v>
      </c>
      <c r="CK1988">
        <v>0.91</v>
      </c>
      <c r="CL1988">
        <v>7.07</v>
      </c>
      <c r="CM1988">
        <v>0.78</v>
      </c>
      <c r="CN1988">
        <v>-1.23</v>
      </c>
      <c r="CO1988">
        <v>17867</v>
      </c>
      <c r="CP1988">
        <v>10092</v>
      </c>
      <c r="CQ1988" t="s">
        <v>9796</v>
      </c>
      <c r="CR1988">
        <v>332.62</v>
      </c>
      <c r="CS1988">
        <v>32.21</v>
      </c>
      <c r="CT1988">
        <v>8.7799999999999994</v>
      </c>
      <c r="CU1988">
        <v>163.93</v>
      </c>
      <c r="CV1988">
        <v>19.899999999999999</v>
      </c>
      <c r="CW1988">
        <v>0</v>
      </c>
      <c r="CX1988" t="s">
        <v>1233</v>
      </c>
      <c r="CY1988">
        <v>3.63</v>
      </c>
      <c r="CZ1988">
        <v>3.63</v>
      </c>
      <c r="DA1988">
        <v>0.76</v>
      </c>
      <c r="DB1988">
        <v>1.76</v>
      </c>
      <c r="DC1988">
        <v>0.19</v>
      </c>
      <c r="DD1988">
        <v>70</v>
      </c>
      <c r="DE1988" t="s">
        <v>9797</v>
      </c>
      <c r="DF1988">
        <v>65.59</v>
      </c>
      <c r="DG1988">
        <v>17.98</v>
      </c>
      <c r="DH1988">
        <v>16.97</v>
      </c>
      <c r="DI1988">
        <v>1.27</v>
      </c>
      <c r="DJ1988">
        <v>2127</v>
      </c>
      <c r="DK1988">
        <v>300633</v>
      </c>
      <c r="DL1988" t="s">
        <v>120</v>
      </c>
      <c r="DM1988" t="s">
        <v>120</v>
      </c>
      <c r="DN1988" t="s">
        <v>120</v>
      </c>
    </row>
    <row r="1989" spans="1:118">
      <c r="A1989" t="str">
        <f>"300634"</f>
        <v>300634</v>
      </c>
      <c r="B1989" t="s">
        <v>9798</v>
      </c>
      <c r="C1989">
        <v>-3.57</v>
      </c>
      <c r="D1989">
        <v>-0.6</v>
      </c>
      <c r="E1989">
        <v>1.1299999999999999</v>
      </c>
      <c r="F1989">
        <v>1935</v>
      </c>
      <c r="G1989" t="s">
        <v>1412</v>
      </c>
      <c r="H1989">
        <v>5136.33</v>
      </c>
      <c r="I1989">
        <v>18.52</v>
      </c>
      <c r="J1989" t="s">
        <v>120</v>
      </c>
      <c r="K1989" t="s">
        <v>9799</v>
      </c>
      <c r="L1989">
        <v>0.82</v>
      </c>
      <c r="M1989">
        <v>16.2</v>
      </c>
      <c r="N1989">
        <v>0.77</v>
      </c>
      <c r="O1989">
        <v>1.1299999999999999</v>
      </c>
      <c r="P1989">
        <v>16.989999999999998</v>
      </c>
      <c r="Q1989">
        <v>-3.57</v>
      </c>
      <c r="R1989">
        <v>16.2</v>
      </c>
      <c r="S1989">
        <v>16.989999999999998</v>
      </c>
      <c r="T1989">
        <v>30941</v>
      </c>
      <c r="U1989">
        <v>16.2</v>
      </c>
      <c r="V1989">
        <v>16.8</v>
      </c>
      <c r="W1989">
        <v>58.19</v>
      </c>
      <c r="X1989" t="s">
        <v>141</v>
      </c>
      <c r="Y1989" t="s">
        <v>123</v>
      </c>
      <c r="Z1989">
        <v>4.7</v>
      </c>
      <c r="AA1989">
        <v>16.600000000000001</v>
      </c>
      <c r="AB1989">
        <v>20099</v>
      </c>
      <c r="AC1989">
        <v>10842</v>
      </c>
      <c r="AD1989">
        <v>1.85</v>
      </c>
      <c r="AE1989">
        <v>131</v>
      </c>
      <c r="AF1989">
        <v>314</v>
      </c>
      <c r="AG1989" t="s">
        <v>120</v>
      </c>
      <c r="AH1989">
        <v>0.01</v>
      </c>
      <c r="AI1989" t="s">
        <v>120</v>
      </c>
      <c r="AJ1989">
        <v>3.76</v>
      </c>
      <c r="AK1989" t="s">
        <v>3171</v>
      </c>
      <c r="AL1989">
        <v>-1.66</v>
      </c>
      <c r="AM1989">
        <v>1467</v>
      </c>
      <c r="AN1989">
        <v>21</v>
      </c>
      <c r="AO1989">
        <v>5.9999999999999995E-4</v>
      </c>
      <c r="AP1989">
        <v>-2</v>
      </c>
      <c r="AQ1989">
        <v>-2.15</v>
      </c>
      <c r="AR1989">
        <v>-1.69</v>
      </c>
      <c r="AS1989">
        <v>-3.51</v>
      </c>
      <c r="AT1989">
        <v>5.4</v>
      </c>
      <c r="AU1989">
        <v>-12.53</v>
      </c>
      <c r="AV1989">
        <v>1</v>
      </c>
      <c r="AW1989">
        <v>2.79</v>
      </c>
      <c r="AX1989">
        <v>24.96</v>
      </c>
      <c r="AY1989">
        <v>54.03</v>
      </c>
      <c r="AZ1989">
        <v>54.61</v>
      </c>
      <c r="BA1989">
        <v>1.43</v>
      </c>
      <c r="BB1989" t="s">
        <v>143</v>
      </c>
      <c r="BF1989">
        <v>-1.19</v>
      </c>
      <c r="BG1989">
        <v>-4.6500000000000004</v>
      </c>
      <c r="BH1989">
        <v>-4.6500000000000004</v>
      </c>
      <c r="BI1989">
        <v>0</v>
      </c>
      <c r="BJ1989">
        <v>20210915</v>
      </c>
      <c r="BK1989">
        <v>20180323</v>
      </c>
      <c r="BL1989">
        <v>4.4400000000000004</v>
      </c>
      <c r="BM1989" t="s">
        <v>120</v>
      </c>
      <c r="BN1989" t="s">
        <v>120</v>
      </c>
      <c r="BO1989">
        <v>23.68</v>
      </c>
      <c r="BP1989">
        <v>16.190000000000001</v>
      </c>
      <c r="BQ1989">
        <v>20.14</v>
      </c>
      <c r="BR1989">
        <v>0.57999999999999996</v>
      </c>
      <c r="BS1989">
        <v>12.51</v>
      </c>
      <c r="BT1989">
        <v>16.05</v>
      </c>
      <c r="BU1989">
        <v>1.22</v>
      </c>
      <c r="BV1989">
        <v>7.0000000000000007E-2</v>
      </c>
      <c r="BW1989">
        <v>2.39</v>
      </c>
      <c r="BX1989">
        <v>3.13</v>
      </c>
      <c r="BY1989">
        <v>0.79</v>
      </c>
      <c r="BZ1989">
        <v>1.27</v>
      </c>
      <c r="CA1989">
        <v>0.01</v>
      </c>
      <c r="CB1989">
        <v>9.18</v>
      </c>
      <c r="CC1989">
        <v>4.0199999999999996</v>
      </c>
      <c r="CD1989">
        <v>2.2400000000000002</v>
      </c>
      <c r="CE1989">
        <v>0.82</v>
      </c>
      <c r="CF1989">
        <v>0.03</v>
      </c>
      <c r="CG1989">
        <v>0.82</v>
      </c>
      <c r="CH1989">
        <v>0.67</v>
      </c>
      <c r="CI1989">
        <v>0.62</v>
      </c>
      <c r="CJ1989">
        <v>-0.6</v>
      </c>
      <c r="CK1989">
        <v>0.53</v>
      </c>
      <c r="CL1989">
        <v>5.66</v>
      </c>
      <c r="CM1989">
        <v>-0.75</v>
      </c>
      <c r="CN1989">
        <v>-1.25</v>
      </c>
      <c r="CO1989">
        <v>21597</v>
      </c>
      <c r="CP1989">
        <v>5132</v>
      </c>
      <c r="CQ1989" t="s">
        <v>3146</v>
      </c>
      <c r="CR1989">
        <v>2.41</v>
      </c>
      <c r="CS1989">
        <v>24.51</v>
      </c>
      <c r="CT1989">
        <v>3.57</v>
      </c>
      <c r="CU1989">
        <v>-95.9</v>
      </c>
      <c r="CV1989">
        <v>17.89</v>
      </c>
      <c r="CW1989">
        <v>0.36</v>
      </c>
      <c r="CX1989" t="s">
        <v>373</v>
      </c>
      <c r="CY1989">
        <v>4.54</v>
      </c>
      <c r="CZ1989">
        <v>0</v>
      </c>
      <c r="DA1989">
        <v>2.0699999999999998</v>
      </c>
      <c r="DB1989">
        <v>1.28</v>
      </c>
      <c r="DC1989">
        <v>-0.17</v>
      </c>
      <c r="DD1989">
        <v>85.05</v>
      </c>
      <c r="DE1989" t="s">
        <v>9800</v>
      </c>
      <c r="DF1989">
        <v>44.23</v>
      </c>
      <c r="DG1989">
        <v>20.420000000000002</v>
      </c>
      <c r="DH1989">
        <v>15.38</v>
      </c>
      <c r="DI1989">
        <v>0.63</v>
      </c>
      <c r="DJ1989">
        <v>2211</v>
      </c>
      <c r="DK1989">
        <v>300634</v>
      </c>
      <c r="DL1989" t="s">
        <v>120</v>
      </c>
      <c r="DM1989" t="s">
        <v>120</v>
      </c>
      <c r="DN1989" t="s">
        <v>120</v>
      </c>
    </row>
    <row r="1990" spans="1:118">
      <c r="A1990" t="str">
        <f>"300635"</f>
        <v>300635</v>
      </c>
      <c r="B1990" t="s">
        <v>9801</v>
      </c>
      <c r="C1990">
        <v>-1.1499999999999999</v>
      </c>
      <c r="D1990">
        <v>-0.11</v>
      </c>
      <c r="E1990">
        <v>-0.06</v>
      </c>
      <c r="F1990">
        <v>105</v>
      </c>
      <c r="G1990" t="s">
        <v>9802</v>
      </c>
      <c r="H1990">
        <v>2432.38</v>
      </c>
      <c r="I1990">
        <v>3.63</v>
      </c>
      <c r="J1990" t="s">
        <v>120</v>
      </c>
      <c r="K1990" t="s">
        <v>9803</v>
      </c>
      <c r="L1990">
        <v>1.54</v>
      </c>
      <c r="M1990">
        <v>16.309999999999999</v>
      </c>
      <c r="N1990">
        <v>0.93</v>
      </c>
      <c r="O1990">
        <v>1.58</v>
      </c>
      <c r="P1990">
        <v>16.760000000000002</v>
      </c>
      <c r="Q1990">
        <v>-1.7</v>
      </c>
      <c r="R1990">
        <v>16.22</v>
      </c>
      <c r="S1990">
        <v>16.489999999999998</v>
      </c>
      <c r="T1990">
        <v>14744</v>
      </c>
      <c r="U1990">
        <v>16.32</v>
      </c>
      <c r="V1990">
        <v>16.5</v>
      </c>
      <c r="W1990">
        <v>41.57</v>
      </c>
      <c r="X1990" t="s">
        <v>175</v>
      </c>
      <c r="Y1990" t="s">
        <v>547</v>
      </c>
      <c r="Z1990">
        <v>3.27</v>
      </c>
      <c r="AA1990">
        <v>16.5</v>
      </c>
      <c r="AB1990">
        <v>8042</v>
      </c>
      <c r="AC1990">
        <v>6702</v>
      </c>
      <c r="AD1990">
        <v>1.2</v>
      </c>
      <c r="AE1990">
        <v>19</v>
      </c>
      <c r="AF1990">
        <v>130</v>
      </c>
      <c r="AG1990" t="s">
        <v>120</v>
      </c>
      <c r="AH1990">
        <v>0</v>
      </c>
      <c r="AI1990" t="s">
        <v>120</v>
      </c>
      <c r="AJ1990">
        <v>0.96</v>
      </c>
      <c r="AK1990" t="s">
        <v>9760</v>
      </c>
      <c r="AL1990">
        <v>0.76</v>
      </c>
      <c r="AM1990">
        <v>924</v>
      </c>
      <c r="AN1990">
        <v>16</v>
      </c>
      <c r="AO1990">
        <v>1.6999999999999999E-3</v>
      </c>
      <c r="AP1990">
        <v>-1</v>
      </c>
      <c r="AQ1990">
        <v>2.93</v>
      </c>
      <c r="AR1990">
        <v>0.55000000000000004</v>
      </c>
      <c r="AS1990">
        <v>6.46</v>
      </c>
      <c r="AT1990">
        <v>-16.7</v>
      </c>
      <c r="AU1990">
        <v>-25.78</v>
      </c>
      <c r="AV1990">
        <v>0</v>
      </c>
      <c r="AW1990">
        <v>1.75</v>
      </c>
      <c r="AX1990">
        <v>61.94</v>
      </c>
      <c r="AY1990">
        <v>37.49</v>
      </c>
      <c r="AZ1990">
        <v>75.37</v>
      </c>
      <c r="BA1990">
        <v>0.62</v>
      </c>
      <c r="BB1990" t="s">
        <v>143</v>
      </c>
      <c r="BF1990">
        <v>-0.02</v>
      </c>
      <c r="BG1990">
        <v>-1.0900000000000001</v>
      </c>
      <c r="BH1990">
        <v>-2.68</v>
      </c>
      <c r="BI1990">
        <v>0.55000000000000004</v>
      </c>
      <c r="BJ1990">
        <v>20210830</v>
      </c>
      <c r="BK1990">
        <v>20170331</v>
      </c>
      <c r="BL1990">
        <v>1.36</v>
      </c>
      <c r="BM1990" t="s">
        <v>120</v>
      </c>
      <c r="BN1990" t="s">
        <v>120</v>
      </c>
      <c r="BO1990">
        <v>12.33</v>
      </c>
      <c r="BP1990">
        <v>16.309999999999999</v>
      </c>
      <c r="BQ1990">
        <v>6.59</v>
      </c>
      <c r="BR1990">
        <v>0.25</v>
      </c>
      <c r="BS1990">
        <v>44.51</v>
      </c>
      <c r="BT1990">
        <v>8.85</v>
      </c>
      <c r="BU1990">
        <v>0.4</v>
      </c>
      <c r="BV1990">
        <v>0.02</v>
      </c>
      <c r="BW1990">
        <v>4.58</v>
      </c>
      <c r="BX1990">
        <v>1.37</v>
      </c>
      <c r="BY1990">
        <v>0</v>
      </c>
      <c r="BZ1990">
        <v>1.17</v>
      </c>
      <c r="CA1990" t="s">
        <v>120</v>
      </c>
      <c r="CB1990">
        <v>1.3</v>
      </c>
      <c r="CC1990">
        <v>2.86</v>
      </c>
      <c r="CD1990">
        <v>2.0299999999999998</v>
      </c>
      <c r="CE1990">
        <v>0.34</v>
      </c>
      <c r="CF1990">
        <v>0</v>
      </c>
      <c r="CG1990">
        <v>0.34</v>
      </c>
      <c r="CH1990">
        <v>0.28999999999999998</v>
      </c>
      <c r="CI1990">
        <v>0.27</v>
      </c>
      <c r="CJ1990">
        <v>-0.19</v>
      </c>
      <c r="CK1990">
        <v>0.26</v>
      </c>
      <c r="CL1990">
        <v>3.55</v>
      </c>
      <c r="CM1990">
        <v>-0.05</v>
      </c>
      <c r="CN1990">
        <v>-0.32</v>
      </c>
      <c r="CO1990">
        <v>6163</v>
      </c>
      <c r="CP1990">
        <v>13700</v>
      </c>
      <c r="CQ1990" t="s">
        <v>9804</v>
      </c>
      <c r="CR1990">
        <v>883.45</v>
      </c>
      <c r="CS1990">
        <v>50.29</v>
      </c>
      <c r="CT1990">
        <v>3.37</v>
      </c>
      <c r="CU1990">
        <v>-409.02</v>
      </c>
      <c r="CV1990">
        <v>7.77</v>
      </c>
      <c r="CW1990">
        <v>0.13</v>
      </c>
      <c r="CX1990" t="s">
        <v>492</v>
      </c>
      <c r="CY1990">
        <v>4.83</v>
      </c>
      <c r="CZ1990">
        <v>0</v>
      </c>
      <c r="DA1990">
        <v>0.95</v>
      </c>
      <c r="DB1990">
        <v>2.61</v>
      </c>
      <c r="DC1990">
        <v>-0.04</v>
      </c>
      <c r="DD1990">
        <v>53.47</v>
      </c>
      <c r="DE1990" t="s">
        <v>5424</v>
      </c>
      <c r="DF1990">
        <v>28.99</v>
      </c>
      <c r="DG1990">
        <v>11.76</v>
      </c>
      <c r="DH1990">
        <v>9.35</v>
      </c>
      <c r="DI1990">
        <v>0.21</v>
      </c>
      <c r="DJ1990">
        <v>3495</v>
      </c>
      <c r="DK1990">
        <v>300635</v>
      </c>
      <c r="DL1990" t="s">
        <v>120</v>
      </c>
      <c r="DM1990" t="s">
        <v>120</v>
      </c>
      <c r="DN1990" t="s">
        <v>120</v>
      </c>
    </row>
    <row r="1991" spans="1:118">
      <c r="A1991" t="str">
        <f>"300636"</f>
        <v>300636</v>
      </c>
      <c r="B1991" t="s">
        <v>9805</v>
      </c>
      <c r="C1991">
        <v>-2.66</v>
      </c>
      <c r="D1991">
        <v>0.13</v>
      </c>
      <c r="E1991">
        <v>0.95</v>
      </c>
      <c r="F1991">
        <v>248</v>
      </c>
      <c r="G1991" t="s">
        <v>6510</v>
      </c>
      <c r="H1991">
        <v>4588.25</v>
      </c>
      <c r="I1991">
        <v>4.63</v>
      </c>
      <c r="J1991" t="s">
        <v>120</v>
      </c>
      <c r="K1991" t="s">
        <v>9806</v>
      </c>
      <c r="L1991">
        <v>1.68</v>
      </c>
      <c r="M1991">
        <v>15.39</v>
      </c>
      <c r="N1991">
        <v>0.86</v>
      </c>
      <c r="O1991">
        <v>1.08</v>
      </c>
      <c r="P1991">
        <v>15.98</v>
      </c>
      <c r="Q1991">
        <v>-3.1</v>
      </c>
      <c r="R1991">
        <v>15.32</v>
      </c>
      <c r="S1991">
        <v>15.96</v>
      </c>
      <c r="T1991">
        <v>29436</v>
      </c>
      <c r="U1991">
        <v>15.4</v>
      </c>
      <c r="V1991">
        <v>15.81</v>
      </c>
      <c r="W1991">
        <v>37.25</v>
      </c>
      <c r="X1991" t="s">
        <v>569</v>
      </c>
      <c r="Y1991" t="s">
        <v>676</v>
      </c>
      <c r="Z1991">
        <v>4.17</v>
      </c>
      <c r="AA1991">
        <v>15.59</v>
      </c>
      <c r="AB1991">
        <v>17543</v>
      </c>
      <c r="AC1991">
        <v>11893</v>
      </c>
      <c r="AD1991">
        <v>1.48</v>
      </c>
      <c r="AE1991">
        <v>26</v>
      </c>
      <c r="AF1991">
        <v>13</v>
      </c>
      <c r="AG1991" t="s">
        <v>120</v>
      </c>
      <c r="AH1991">
        <v>0</v>
      </c>
      <c r="AI1991" t="s">
        <v>120</v>
      </c>
      <c r="AJ1991">
        <v>1.76</v>
      </c>
      <c r="AK1991" t="s">
        <v>4094</v>
      </c>
      <c r="AL1991">
        <v>-0.74</v>
      </c>
      <c r="AM1991">
        <v>1656</v>
      </c>
      <c r="AN1991">
        <v>18</v>
      </c>
      <c r="AO1991">
        <v>1E-3</v>
      </c>
      <c r="AP1991">
        <v>-2</v>
      </c>
      <c r="AQ1991">
        <v>-0.25</v>
      </c>
      <c r="AR1991">
        <v>-2.2200000000000002</v>
      </c>
      <c r="AS1991">
        <v>22.34</v>
      </c>
      <c r="AT1991">
        <v>-5.35</v>
      </c>
      <c r="AU1991">
        <v>9.7100000000000009</v>
      </c>
      <c r="AV1991">
        <v>2</v>
      </c>
      <c r="AW1991">
        <v>2.2799999999999998</v>
      </c>
      <c r="AX1991">
        <v>62.73</v>
      </c>
      <c r="AY1991">
        <v>45.94</v>
      </c>
      <c r="AZ1991">
        <v>46.46</v>
      </c>
      <c r="BA1991">
        <v>0.24</v>
      </c>
      <c r="BB1991" t="s">
        <v>143</v>
      </c>
      <c r="BF1991">
        <v>-1.41</v>
      </c>
      <c r="BG1991">
        <v>-3.57</v>
      </c>
      <c r="BH1991">
        <v>-3.69</v>
      </c>
      <c r="BI1991">
        <v>0.46</v>
      </c>
      <c r="BJ1991">
        <v>20210806</v>
      </c>
      <c r="BK1991">
        <v>20170331</v>
      </c>
      <c r="BL1991">
        <v>2.06</v>
      </c>
      <c r="BM1991" t="s">
        <v>120</v>
      </c>
      <c r="BN1991" t="s">
        <v>120</v>
      </c>
      <c r="BO1991">
        <v>16.46</v>
      </c>
      <c r="BP1991">
        <v>15.39</v>
      </c>
      <c r="BQ1991">
        <v>8.49</v>
      </c>
      <c r="BR1991" t="s">
        <v>120</v>
      </c>
      <c r="BS1991">
        <v>48.41</v>
      </c>
      <c r="BT1991">
        <v>6.17</v>
      </c>
      <c r="BU1991">
        <v>4.26</v>
      </c>
      <c r="BV1991">
        <v>0.22</v>
      </c>
      <c r="BW1991">
        <v>2.86</v>
      </c>
      <c r="BX1991">
        <v>1.21</v>
      </c>
      <c r="BY1991">
        <v>3.7</v>
      </c>
      <c r="BZ1991">
        <v>0.81</v>
      </c>
      <c r="CA1991" t="s">
        <v>120</v>
      </c>
      <c r="CB1991">
        <v>2.5099999999999998</v>
      </c>
      <c r="CC1991">
        <v>2.78</v>
      </c>
      <c r="CD1991">
        <v>1.96</v>
      </c>
      <c r="CE1991">
        <v>0.47</v>
      </c>
      <c r="CF1991">
        <v>0</v>
      </c>
      <c r="CG1991">
        <v>0.47</v>
      </c>
      <c r="CH1991">
        <v>0.43</v>
      </c>
      <c r="CI1991">
        <v>0.43</v>
      </c>
      <c r="CJ1991">
        <v>-0.42</v>
      </c>
      <c r="CK1991">
        <v>0.41</v>
      </c>
      <c r="CL1991">
        <v>3.08</v>
      </c>
      <c r="CM1991">
        <v>0.49</v>
      </c>
      <c r="CN1991">
        <v>-1.62</v>
      </c>
      <c r="CO1991">
        <v>8855</v>
      </c>
      <c r="CP1991">
        <v>14584</v>
      </c>
      <c r="CQ1991" t="s">
        <v>9807</v>
      </c>
      <c r="CR1991">
        <v>1.89</v>
      </c>
      <c r="CS1991">
        <v>17.03</v>
      </c>
      <c r="CT1991">
        <v>3.97</v>
      </c>
      <c r="CU1991">
        <v>64.400000000000006</v>
      </c>
      <c r="CV1991">
        <v>11.42</v>
      </c>
      <c r="CW1991">
        <v>0.34</v>
      </c>
      <c r="CX1991" t="s">
        <v>2385</v>
      </c>
      <c r="CY1991">
        <v>3.88</v>
      </c>
      <c r="CZ1991">
        <v>3.88</v>
      </c>
      <c r="DA1991">
        <v>1.22</v>
      </c>
      <c r="DB1991">
        <v>1.5</v>
      </c>
      <c r="DC1991">
        <v>0.24</v>
      </c>
      <c r="DD1991">
        <v>51.59</v>
      </c>
      <c r="DE1991" t="s">
        <v>3715</v>
      </c>
      <c r="DF1991">
        <v>29.42</v>
      </c>
      <c r="DG1991">
        <v>16.93</v>
      </c>
      <c r="DH1991">
        <v>15.32</v>
      </c>
      <c r="DI1991">
        <v>0.15</v>
      </c>
      <c r="DJ1991">
        <v>965</v>
      </c>
      <c r="DK1991">
        <v>300636</v>
      </c>
      <c r="DL1991" t="s">
        <v>120</v>
      </c>
      <c r="DM1991" t="s">
        <v>120</v>
      </c>
      <c r="DN1991" t="s">
        <v>120</v>
      </c>
    </row>
    <row r="1992" spans="1:118">
      <c r="A1992" t="str">
        <f>"300637"</f>
        <v>300637</v>
      </c>
      <c r="B1992" t="s">
        <v>9808</v>
      </c>
      <c r="C1992">
        <v>-0.11</v>
      </c>
      <c r="D1992">
        <v>-0.1</v>
      </c>
      <c r="E1992">
        <v>0.56999999999999995</v>
      </c>
      <c r="F1992">
        <v>479</v>
      </c>
      <c r="G1992" t="s">
        <v>4132</v>
      </c>
      <c r="H1992">
        <v>6404.93</v>
      </c>
      <c r="I1992">
        <v>6.83</v>
      </c>
      <c r="J1992" t="s">
        <v>120</v>
      </c>
      <c r="K1992" t="s">
        <v>4434</v>
      </c>
      <c r="L1992">
        <v>3.09</v>
      </c>
      <c r="M1992">
        <v>8.69</v>
      </c>
      <c r="N1992">
        <v>1.53</v>
      </c>
      <c r="O1992">
        <v>3.1</v>
      </c>
      <c r="P1992">
        <v>8.9700000000000006</v>
      </c>
      <c r="Q1992">
        <v>-0.11</v>
      </c>
      <c r="R1992">
        <v>8.69</v>
      </c>
      <c r="S1992">
        <v>8.75</v>
      </c>
      <c r="T1992">
        <v>72385</v>
      </c>
      <c r="U1992">
        <v>8.6999999999999993</v>
      </c>
      <c r="V1992">
        <v>8.6999999999999993</v>
      </c>
      <c r="W1992">
        <v>102.84</v>
      </c>
      <c r="X1992" t="s">
        <v>868</v>
      </c>
      <c r="Y1992" t="s">
        <v>585</v>
      </c>
      <c r="Z1992">
        <v>3.22</v>
      </c>
      <c r="AA1992">
        <v>8.85</v>
      </c>
      <c r="AB1992">
        <v>35058</v>
      </c>
      <c r="AC1992">
        <v>37327</v>
      </c>
      <c r="AD1992">
        <v>0.94</v>
      </c>
      <c r="AE1992">
        <v>36</v>
      </c>
      <c r="AF1992">
        <v>20</v>
      </c>
      <c r="AG1992" t="s">
        <v>120</v>
      </c>
      <c r="AH1992">
        <v>0.01</v>
      </c>
      <c r="AI1992" t="s">
        <v>120</v>
      </c>
      <c r="AJ1992">
        <v>2.34</v>
      </c>
      <c r="AK1992" t="s">
        <v>9809</v>
      </c>
      <c r="AL1992">
        <v>1.8</v>
      </c>
      <c r="AM1992">
        <v>1756</v>
      </c>
      <c r="AN1992">
        <v>41</v>
      </c>
      <c r="AO1992">
        <v>1.8E-3</v>
      </c>
      <c r="AP1992">
        <v>-1</v>
      </c>
      <c r="AQ1992">
        <v>2.11</v>
      </c>
      <c r="AR1992">
        <v>1.04</v>
      </c>
      <c r="AS1992">
        <v>-15.72</v>
      </c>
      <c r="AT1992">
        <v>-4.4000000000000004</v>
      </c>
      <c r="AU1992">
        <v>6.63</v>
      </c>
      <c r="AV1992">
        <v>0</v>
      </c>
      <c r="AW1992">
        <v>5.12</v>
      </c>
      <c r="AX1992">
        <v>60.23</v>
      </c>
      <c r="AY1992">
        <v>108.42</v>
      </c>
      <c r="AZ1992">
        <v>73.87</v>
      </c>
      <c r="BA1992">
        <v>0.5</v>
      </c>
      <c r="BB1992" t="s">
        <v>143</v>
      </c>
      <c r="BF1992">
        <v>1.71</v>
      </c>
      <c r="BG1992">
        <v>-0.69</v>
      </c>
      <c r="BH1992">
        <v>-3.12</v>
      </c>
      <c r="BI1992">
        <v>0</v>
      </c>
      <c r="BJ1992">
        <v>20210901</v>
      </c>
      <c r="BK1992">
        <v>20170412</v>
      </c>
      <c r="BL1992">
        <v>2.35</v>
      </c>
      <c r="BM1992" t="s">
        <v>120</v>
      </c>
      <c r="BN1992" t="s">
        <v>120</v>
      </c>
      <c r="BO1992">
        <v>13.21</v>
      </c>
      <c r="BP1992">
        <v>8.69</v>
      </c>
      <c r="BQ1992">
        <v>7.63</v>
      </c>
      <c r="BR1992">
        <v>0</v>
      </c>
      <c r="BS1992">
        <v>42.31</v>
      </c>
      <c r="BT1992">
        <v>4.1399999999999997</v>
      </c>
      <c r="BU1992">
        <v>6.82</v>
      </c>
      <c r="BV1992">
        <v>0.38</v>
      </c>
      <c r="BW1992">
        <v>4.0599999999999996</v>
      </c>
      <c r="BX1992">
        <v>0.98</v>
      </c>
      <c r="BY1992">
        <v>1.75</v>
      </c>
      <c r="BZ1992">
        <v>0.47</v>
      </c>
      <c r="CA1992" t="s">
        <v>120</v>
      </c>
      <c r="CB1992">
        <v>2.36</v>
      </c>
      <c r="CC1992">
        <v>3.17</v>
      </c>
      <c r="CD1992">
        <v>2.52</v>
      </c>
      <c r="CE1992">
        <v>0.09</v>
      </c>
      <c r="CF1992">
        <v>0</v>
      </c>
      <c r="CG1992">
        <v>0.1</v>
      </c>
      <c r="CH1992">
        <v>0.09</v>
      </c>
      <c r="CI1992">
        <v>0.1</v>
      </c>
      <c r="CJ1992">
        <v>-0.01</v>
      </c>
      <c r="CK1992">
        <v>0.09</v>
      </c>
      <c r="CL1992">
        <v>2.8</v>
      </c>
      <c r="CM1992">
        <v>0.23</v>
      </c>
      <c r="CN1992">
        <v>0.36</v>
      </c>
      <c r="CO1992">
        <v>15857</v>
      </c>
      <c r="CP1992">
        <v>8917</v>
      </c>
      <c r="CQ1992" t="s">
        <v>3218</v>
      </c>
      <c r="CR1992">
        <v>-47.05</v>
      </c>
      <c r="CS1992">
        <v>43.02</v>
      </c>
      <c r="CT1992">
        <v>2.68</v>
      </c>
      <c r="CU1992">
        <v>86.84</v>
      </c>
      <c r="CV1992">
        <v>6.43</v>
      </c>
      <c r="CW1992">
        <v>0.34</v>
      </c>
      <c r="CX1992" t="s">
        <v>145</v>
      </c>
      <c r="CY1992">
        <v>3.25</v>
      </c>
      <c r="CZ1992">
        <v>0</v>
      </c>
      <c r="DA1992">
        <v>1</v>
      </c>
      <c r="DB1992">
        <v>1.19</v>
      </c>
      <c r="DC1992">
        <v>0.1</v>
      </c>
      <c r="DD1992">
        <v>57.73</v>
      </c>
      <c r="DE1992" t="s">
        <v>7565</v>
      </c>
      <c r="DF1992">
        <v>20.65</v>
      </c>
      <c r="DG1992">
        <v>2.91</v>
      </c>
      <c r="DH1992">
        <v>3.13</v>
      </c>
      <c r="DI1992">
        <v>0.16</v>
      </c>
      <c r="DJ1992">
        <v>876</v>
      </c>
      <c r="DK1992">
        <v>300637</v>
      </c>
      <c r="DL1992" t="s">
        <v>120</v>
      </c>
      <c r="DM1992" t="s">
        <v>120</v>
      </c>
      <c r="DN1992" t="s">
        <v>120</v>
      </c>
    </row>
    <row r="1993" spans="1:118">
      <c r="A1993" t="str">
        <f>"300638"</f>
        <v>300638</v>
      </c>
      <c r="B1993" t="s">
        <v>9810</v>
      </c>
      <c r="C1993">
        <v>-4.4800000000000004</v>
      </c>
      <c r="D1993">
        <v>0</v>
      </c>
      <c r="E1993">
        <v>0.38</v>
      </c>
      <c r="F1993">
        <v>299</v>
      </c>
      <c r="G1993" t="s">
        <v>9811</v>
      </c>
      <c r="H1993">
        <v>16442.34</v>
      </c>
      <c r="I1993">
        <v>39.71</v>
      </c>
      <c r="J1993" t="s">
        <v>120</v>
      </c>
      <c r="K1993" t="s">
        <v>9812</v>
      </c>
      <c r="L1993">
        <v>1.47</v>
      </c>
      <c r="M1993">
        <v>42.46</v>
      </c>
      <c r="N1993">
        <v>1.23</v>
      </c>
      <c r="O1993">
        <v>2</v>
      </c>
      <c r="P1993">
        <v>45.34</v>
      </c>
      <c r="Q1993">
        <v>-4.5</v>
      </c>
      <c r="R1993">
        <v>42.45</v>
      </c>
      <c r="S1993">
        <v>44.62</v>
      </c>
      <c r="T1993">
        <v>37925</v>
      </c>
      <c r="U1993">
        <v>42.47</v>
      </c>
      <c r="V1993">
        <v>44.45</v>
      </c>
      <c r="W1993">
        <v>43.3</v>
      </c>
      <c r="X1993" t="s">
        <v>462</v>
      </c>
      <c r="Y1993" t="s">
        <v>123</v>
      </c>
      <c r="Z1993">
        <v>6.5</v>
      </c>
      <c r="AA1993">
        <v>43.35</v>
      </c>
      <c r="AB1993">
        <v>21216</v>
      </c>
      <c r="AC1993">
        <v>16709</v>
      </c>
      <c r="AD1993">
        <v>1.27</v>
      </c>
      <c r="AE1993">
        <v>133</v>
      </c>
      <c r="AF1993">
        <v>19</v>
      </c>
      <c r="AG1993" t="s">
        <v>120</v>
      </c>
      <c r="AH1993">
        <v>0</v>
      </c>
      <c r="AI1993" t="s">
        <v>120</v>
      </c>
      <c r="AJ1993">
        <v>2.57</v>
      </c>
      <c r="AK1993" t="s">
        <v>9813</v>
      </c>
      <c r="AL1993">
        <v>-2.56</v>
      </c>
      <c r="AM1993">
        <v>2639</v>
      </c>
      <c r="AN1993">
        <v>14</v>
      </c>
      <c r="AO1993">
        <v>5.9999999999999995E-4</v>
      </c>
      <c r="AP1993">
        <v>-4</v>
      </c>
      <c r="AQ1993">
        <v>-1.55</v>
      </c>
      <c r="AR1993">
        <v>-7.84</v>
      </c>
      <c r="AS1993">
        <v>-18.13</v>
      </c>
      <c r="AT1993">
        <v>-4.63</v>
      </c>
      <c r="AU1993">
        <v>21.21</v>
      </c>
      <c r="AV1993">
        <v>0</v>
      </c>
      <c r="AW1993">
        <v>2.1</v>
      </c>
      <c r="AX1993">
        <v>43.75</v>
      </c>
      <c r="AY1993">
        <v>52.69</v>
      </c>
      <c r="AZ1993">
        <v>64.78</v>
      </c>
      <c r="BA1993">
        <v>1.1299999999999999</v>
      </c>
      <c r="BB1993" t="s">
        <v>125</v>
      </c>
      <c r="BF1993">
        <v>-2.46</v>
      </c>
      <c r="BG1993">
        <v>-4.84</v>
      </c>
      <c r="BH1993">
        <v>-6.35</v>
      </c>
      <c r="BI1993">
        <v>0.02</v>
      </c>
      <c r="BJ1993">
        <v>20210821</v>
      </c>
      <c r="BK1993">
        <v>20170413</v>
      </c>
      <c r="BL1993">
        <v>4.13</v>
      </c>
      <c r="BM1993" t="s">
        <v>120</v>
      </c>
      <c r="BN1993" t="s">
        <v>120</v>
      </c>
      <c r="BO1993">
        <v>38.729999999999997</v>
      </c>
      <c r="BP1993">
        <v>42.46</v>
      </c>
      <c r="BQ1993">
        <v>17.149999999999999</v>
      </c>
      <c r="BR1993" t="s">
        <v>120</v>
      </c>
      <c r="BS1993">
        <v>55.72</v>
      </c>
      <c r="BT1993">
        <v>30.81</v>
      </c>
      <c r="BU1993">
        <v>0.65</v>
      </c>
      <c r="BV1993">
        <v>1.8</v>
      </c>
      <c r="BW1993">
        <v>21.2</v>
      </c>
      <c r="BX1993">
        <v>5.3</v>
      </c>
      <c r="BY1993">
        <v>10.72</v>
      </c>
      <c r="BZ1993">
        <v>6.36</v>
      </c>
      <c r="CA1993" t="s">
        <v>120</v>
      </c>
      <c r="CB1993">
        <v>6.33</v>
      </c>
      <c r="CC1993">
        <v>18.22</v>
      </c>
      <c r="CD1993">
        <v>13.57</v>
      </c>
      <c r="CE1993">
        <v>2.12</v>
      </c>
      <c r="CF1993">
        <v>0.08</v>
      </c>
      <c r="CG1993">
        <v>2.12</v>
      </c>
      <c r="CH1993">
        <v>2.0299999999999998</v>
      </c>
      <c r="CI1993">
        <v>2.0299999999999998</v>
      </c>
      <c r="CJ1993">
        <v>-1.99</v>
      </c>
      <c r="CK1993">
        <v>1.78</v>
      </c>
      <c r="CL1993">
        <v>6.32</v>
      </c>
      <c r="CM1993">
        <v>-2.2000000000000002</v>
      </c>
      <c r="CN1993">
        <v>-0.32</v>
      </c>
      <c r="CO1993">
        <v>21916</v>
      </c>
      <c r="CP1993">
        <v>8252</v>
      </c>
      <c r="CQ1993" t="s">
        <v>9814</v>
      </c>
      <c r="CR1993">
        <v>47.27</v>
      </c>
      <c r="CS1993">
        <v>43.85</v>
      </c>
      <c r="CT1993">
        <v>10.23</v>
      </c>
      <c r="CU1993">
        <v>-79.88</v>
      </c>
      <c r="CV1993">
        <v>9.6300000000000008</v>
      </c>
      <c r="CW1993">
        <v>0.39</v>
      </c>
      <c r="CX1993" t="s">
        <v>3347</v>
      </c>
      <c r="CY1993">
        <v>4.1500000000000004</v>
      </c>
      <c r="CZ1993">
        <v>0</v>
      </c>
      <c r="DA1993">
        <v>1.53</v>
      </c>
      <c r="DB1993">
        <v>1.53</v>
      </c>
      <c r="DC1993">
        <v>-0.53</v>
      </c>
      <c r="DD1993">
        <v>44.28</v>
      </c>
      <c r="DE1993" t="s">
        <v>9815</v>
      </c>
      <c r="DF1993">
        <v>25.52</v>
      </c>
      <c r="DG1993">
        <v>11.62</v>
      </c>
      <c r="DH1993">
        <v>11.13</v>
      </c>
      <c r="DI1993">
        <v>1.93</v>
      </c>
      <c r="DJ1993">
        <v>1275</v>
      </c>
      <c r="DK1993">
        <v>300638</v>
      </c>
      <c r="DL1993" t="s">
        <v>120</v>
      </c>
      <c r="DM1993" t="s">
        <v>120</v>
      </c>
      <c r="DN1993" t="s">
        <v>120</v>
      </c>
    </row>
    <row r="1994" spans="1:118">
      <c r="A1994" t="str">
        <f>"300639"</f>
        <v>300639</v>
      </c>
      <c r="B1994" t="s">
        <v>9816</v>
      </c>
      <c r="C1994">
        <v>-2.3199999999999998</v>
      </c>
      <c r="D1994">
        <v>0.06</v>
      </c>
      <c r="E1994">
        <v>-0.28000000000000003</v>
      </c>
      <c r="F1994">
        <v>586</v>
      </c>
      <c r="G1994" t="s">
        <v>9817</v>
      </c>
      <c r="H1994">
        <v>14315.45</v>
      </c>
      <c r="I1994">
        <v>37.56</v>
      </c>
      <c r="J1994" t="s">
        <v>120</v>
      </c>
      <c r="K1994" t="s">
        <v>9818</v>
      </c>
      <c r="L1994">
        <v>1.58</v>
      </c>
      <c r="M1994">
        <v>31.18</v>
      </c>
      <c r="N1994">
        <v>0.73</v>
      </c>
      <c r="O1994">
        <v>-0.28000000000000003</v>
      </c>
      <c r="P1994">
        <v>31.83</v>
      </c>
      <c r="Q1994">
        <v>-2.41</v>
      </c>
      <c r="R1994">
        <v>31.15</v>
      </c>
      <c r="S1994">
        <v>31.83</v>
      </c>
      <c r="T1994">
        <v>45658</v>
      </c>
      <c r="U1994">
        <v>31.18</v>
      </c>
      <c r="V1994">
        <v>31.92</v>
      </c>
      <c r="W1994">
        <v>11.72</v>
      </c>
      <c r="X1994" t="s">
        <v>555</v>
      </c>
      <c r="Y1994" t="s">
        <v>547</v>
      </c>
      <c r="Z1994">
        <v>2.13</v>
      </c>
      <c r="AA1994">
        <v>31.35</v>
      </c>
      <c r="AB1994">
        <v>28355</v>
      </c>
      <c r="AC1994">
        <v>17303</v>
      </c>
      <c r="AD1994">
        <v>1.64</v>
      </c>
      <c r="AE1994">
        <v>55</v>
      </c>
      <c r="AF1994">
        <v>15</v>
      </c>
      <c r="AG1994" t="s">
        <v>120</v>
      </c>
      <c r="AH1994">
        <v>0.01</v>
      </c>
      <c r="AI1994" t="s">
        <v>120</v>
      </c>
      <c r="AJ1994">
        <v>2.89</v>
      </c>
      <c r="AK1994" t="s">
        <v>9819</v>
      </c>
      <c r="AL1994">
        <v>-0.4</v>
      </c>
      <c r="AM1994">
        <v>3029</v>
      </c>
      <c r="AN1994">
        <v>15</v>
      </c>
      <c r="AO1994">
        <v>5.0000000000000001E-4</v>
      </c>
      <c r="AP1994">
        <v>-1</v>
      </c>
      <c r="AQ1994">
        <v>1.4</v>
      </c>
      <c r="AR1994">
        <v>-3.23</v>
      </c>
      <c r="AS1994">
        <v>-6.11</v>
      </c>
      <c r="AT1994">
        <v>-1.1499999999999999</v>
      </c>
      <c r="AU1994">
        <v>4.53</v>
      </c>
      <c r="AV1994">
        <v>0</v>
      </c>
      <c r="AW1994">
        <v>2.56</v>
      </c>
      <c r="AX1994">
        <v>60.66</v>
      </c>
      <c r="AY1994">
        <v>15.02</v>
      </c>
      <c r="AZ1994">
        <v>25.87</v>
      </c>
      <c r="BA1994">
        <v>0.93</v>
      </c>
      <c r="BB1994" t="s">
        <v>143</v>
      </c>
      <c r="BF1994">
        <v>-1.77</v>
      </c>
      <c r="BG1994">
        <v>-2.04</v>
      </c>
      <c r="BH1994">
        <v>-2.04</v>
      </c>
      <c r="BI1994">
        <v>0.1</v>
      </c>
      <c r="BJ1994">
        <v>20210901</v>
      </c>
      <c r="BK1994">
        <v>20170412</v>
      </c>
      <c r="BL1994">
        <v>2.94</v>
      </c>
      <c r="BM1994" t="s">
        <v>120</v>
      </c>
      <c r="BN1994" t="s">
        <v>120</v>
      </c>
      <c r="BO1994">
        <v>35.44</v>
      </c>
      <c r="BP1994">
        <v>31.17</v>
      </c>
      <c r="BQ1994">
        <v>26.55</v>
      </c>
      <c r="BR1994">
        <v>1.97</v>
      </c>
      <c r="BS1994">
        <v>19.53</v>
      </c>
      <c r="BT1994">
        <v>23.84</v>
      </c>
      <c r="BU1994">
        <v>6.37</v>
      </c>
      <c r="BV1994">
        <v>1.04</v>
      </c>
      <c r="BW1994">
        <v>6.67</v>
      </c>
      <c r="BX1994">
        <v>2.89</v>
      </c>
      <c r="BY1994">
        <v>1.79</v>
      </c>
      <c r="BZ1994">
        <v>11.06</v>
      </c>
      <c r="CA1994" t="s">
        <v>120</v>
      </c>
      <c r="CB1994">
        <v>12.87</v>
      </c>
      <c r="CC1994">
        <v>12.99</v>
      </c>
      <c r="CD1994">
        <v>4.45</v>
      </c>
      <c r="CE1994">
        <v>4.91</v>
      </c>
      <c r="CF1994">
        <v>0.06</v>
      </c>
      <c r="CG1994">
        <v>4.91</v>
      </c>
      <c r="CH1994">
        <v>4.1100000000000003</v>
      </c>
      <c r="CI1994">
        <v>3.91</v>
      </c>
      <c r="CJ1994">
        <v>-0.74</v>
      </c>
      <c r="CK1994">
        <v>3.82</v>
      </c>
      <c r="CL1994">
        <v>11.41</v>
      </c>
      <c r="CM1994">
        <v>7.0000000000000007E-2</v>
      </c>
      <c r="CN1994">
        <v>-1.03</v>
      </c>
      <c r="CO1994">
        <v>26960</v>
      </c>
      <c r="CP1994">
        <v>6613</v>
      </c>
      <c r="CQ1994" t="s">
        <v>7630</v>
      </c>
      <c r="CR1994">
        <v>203.15</v>
      </c>
      <c r="CS1994">
        <v>156.88</v>
      </c>
      <c r="CT1994">
        <v>3.45</v>
      </c>
      <c r="CU1994">
        <v>1235.3900000000001</v>
      </c>
      <c r="CV1994">
        <v>7.06</v>
      </c>
      <c r="CW1994">
        <v>0.62</v>
      </c>
      <c r="CX1994" t="s">
        <v>9820</v>
      </c>
      <c r="CY1994">
        <v>9.0299999999999994</v>
      </c>
      <c r="CZ1994">
        <v>0</v>
      </c>
      <c r="DA1994">
        <v>4.38</v>
      </c>
      <c r="DB1994">
        <v>3.88</v>
      </c>
      <c r="DC1994">
        <v>0.03</v>
      </c>
      <c r="DD1994">
        <v>74.91</v>
      </c>
      <c r="DE1994" t="s">
        <v>9821</v>
      </c>
      <c r="DF1994">
        <v>65.75</v>
      </c>
      <c r="DG1994">
        <v>37.82</v>
      </c>
      <c r="DH1994">
        <v>30.11</v>
      </c>
      <c r="DI1994">
        <v>0.5</v>
      </c>
      <c r="DJ1994">
        <v>1642</v>
      </c>
      <c r="DK1994">
        <v>300639</v>
      </c>
      <c r="DL1994" t="s">
        <v>120</v>
      </c>
      <c r="DM1994" t="s">
        <v>120</v>
      </c>
      <c r="DN1994" t="s">
        <v>120</v>
      </c>
    </row>
    <row r="1995" spans="1:118">
      <c r="A1995" t="str">
        <f>"300640"</f>
        <v>300640</v>
      </c>
      <c r="B1995" t="s">
        <v>9822</v>
      </c>
      <c r="C1995">
        <v>0.76</v>
      </c>
      <c r="D1995">
        <v>0</v>
      </c>
      <c r="E1995">
        <v>0.15</v>
      </c>
      <c r="F1995">
        <v>700</v>
      </c>
      <c r="G1995" t="s">
        <v>9823</v>
      </c>
      <c r="H1995">
        <v>2574.04</v>
      </c>
      <c r="I1995">
        <v>8.41</v>
      </c>
      <c r="J1995" t="s">
        <v>120</v>
      </c>
      <c r="K1995" t="s">
        <v>9824</v>
      </c>
      <c r="L1995">
        <v>2.97</v>
      </c>
      <c r="M1995">
        <v>6.61</v>
      </c>
      <c r="N1995">
        <v>2.3199999999999998</v>
      </c>
      <c r="O1995">
        <v>3.81</v>
      </c>
      <c r="P1995">
        <v>6.81</v>
      </c>
      <c r="Q1995">
        <v>0.15</v>
      </c>
      <c r="R1995">
        <v>6.57</v>
      </c>
      <c r="S1995">
        <v>6.57</v>
      </c>
      <c r="T1995">
        <v>38462</v>
      </c>
      <c r="U1995">
        <v>6.61</v>
      </c>
      <c r="V1995">
        <v>6.56</v>
      </c>
      <c r="W1995">
        <v>78.94</v>
      </c>
      <c r="X1995" t="s">
        <v>213</v>
      </c>
      <c r="Y1995" t="s">
        <v>937</v>
      </c>
      <c r="Z1995">
        <v>3.66</v>
      </c>
      <c r="AA1995">
        <v>6.69</v>
      </c>
      <c r="AB1995">
        <v>18224</v>
      </c>
      <c r="AC1995">
        <v>20238</v>
      </c>
      <c r="AD1995">
        <v>0.9</v>
      </c>
      <c r="AE1995">
        <v>120</v>
      </c>
      <c r="AF1995">
        <v>58</v>
      </c>
      <c r="AG1995" t="s">
        <v>120</v>
      </c>
      <c r="AH1995">
        <v>0.01</v>
      </c>
      <c r="AI1995" t="s">
        <v>120</v>
      </c>
      <c r="AJ1995">
        <v>1.3</v>
      </c>
      <c r="AK1995" t="s">
        <v>1849</v>
      </c>
      <c r="AL1995">
        <v>2.68</v>
      </c>
      <c r="AM1995">
        <v>1028</v>
      </c>
      <c r="AN1995">
        <v>37</v>
      </c>
      <c r="AO1995">
        <v>2.8999999999999998E-3</v>
      </c>
      <c r="AP1995">
        <v>2</v>
      </c>
      <c r="AQ1995">
        <v>1.71</v>
      </c>
      <c r="AR1995">
        <v>1.85</v>
      </c>
      <c r="AS1995">
        <v>4.26</v>
      </c>
      <c r="AT1995">
        <v>-3.36</v>
      </c>
      <c r="AU1995">
        <v>-8.83</v>
      </c>
      <c r="AV1995">
        <v>0</v>
      </c>
      <c r="AW1995">
        <v>4.03</v>
      </c>
      <c r="AX1995">
        <v>33.299999999999997</v>
      </c>
      <c r="AY1995">
        <v>68.16</v>
      </c>
      <c r="AZ1995">
        <v>48.24</v>
      </c>
      <c r="BA1995">
        <v>0.56000000000000005</v>
      </c>
      <c r="BB1995" t="s">
        <v>1103</v>
      </c>
      <c r="BF1995">
        <v>2.02</v>
      </c>
      <c r="BG1995">
        <v>0.61</v>
      </c>
      <c r="BH1995">
        <v>-2.94</v>
      </c>
      <c r="BI1995">
        <v>0.61</v>
      </c>
      <c r="BJ1995">
        <v>20210830</v>
      </c>
      <c r="BK1995">
        <v>20170417</v>
      </c>
      <c r="BL1995">
        <v>2.87</v>
      </c>
      <c r="BM1995" t="s">
        <v>120</v>
      </c>
      <c r="BN1995" t="s">
        <v>120</v>
      </c>
      <c r="BO1995">
        <v>8.56</v>
      </c>
      <c r="BP1995">
        <v>6.6</v>
      </c>
      <c r="BQ1995">
        <v>6.67</v>
      </c>
      <c r="BR1995" t="s">
        <v>120</v>
      </c>
      <c r="BS1995">
        <v>22.07</v>
      </c>
      <c r="BT1995">
        <v>4.8899999999999997</v>
      </c>
      <c r="BU1995">
        <v>0.15</v>
      </c>
      <c r="BV1995">
        <v>0.13</v>
      </c>
      <c r="BW1995">
        <v>1.83</v>
      </c>
      <c r="BX1995">
        <v>0.87</v>
      </c>
      <c r="BY1995">
        <v>0.08</v>
      </c>
      <c r="BZ1995">
        <v>1.18</v>
      </c>
      <c r="CA1995" t="s">
        <v>120</v>
      </c>
      <c r="CB1995">
        <v>2.86</v>
      </c>
      <c r="CC1995">
        <v>3.55</v>
      </c>
      <c r="CD1995">
        <v>3.11</v>
      </c>
      <c r="CE1995">
        <v>0.13</v>
      </c>
      <c r="CF1995">
        <v>0</v>
      </c>
      <c r="CG1995">
        <v>0.13</v>
      </c>
      <c r="CH1995">
        <v>0.12</v>
      </c>
      <c r="CI1995">
        <v>0.12</v>
      </c>
      <c r="CJ1995">
        <v>0.05</v>
      </c>
      <c r="CK1995">
        <v>0.09</v>
      </c>
      <c r="CL1995">
        <v>0.67</v>
      </c>
      <c r="CM1995">
        <v>-0.22</v>
      </c>
      <c r="CN1995">
        <v>0.3</v>
      </c>
      <c r="CO1995">
        <v>7924</v>
      </c>
      <c r="CP1995">
        <v>12054</v>
      </c>
      <c r="CQ1995" t="s">
        <v>1124</v>
      </c>
      <c r="CR1995">
        <v>-48.69</v>
      </c>
      <c r="CS1995">
        <v>49.68</v>
      </c>
      <c r="CT1995">
        <v>2.84</v>
      </c>
      <c r="CU1995">
        <v>-84.5</v>
      </c>
      <c r="CV1995">
        <v>5.35</v>
      </c>
      <c r="CW1995">
        <v>0.76</v>
      </c>
      <c r="CX1995" t="s">
        <v>1248</v>
      </c>
      <c r="CY1995">
        <v>2.33</v>
      </c>
      <c r="CZ1995">
        <v>0</v>
      </c>
      <c r="DA1995">
        <v>1</v>
      </c>
      <c r="DB1995">
        <v>0.23</v>
      </c>
      <c r="DC1995">
        <v>-0.08</v>
      </c>
      <c r="DD1995">
        <v>77.930000000000007</v>
      </c>
      <c r="DE1995" t="s">
        <v>9825</v>
      </c>
      <c r="DF1995">
        <v>12.43</v>
      </c>
      <c r="DG1995">
        <v>3.6</v>
      </c>
      <c r="DH1995">
        <v>3.39</v>
      </c>
      <c r="DI1995">
        <v>0.09</v>
      </c>
      <c r="DJ1995">
        <v>330</v>
      </c>
      <c r="DK1995">
        <v>300640</v>
      </c>
      <c r="DL1995" t="s">
        <v>120</v>
      </c>
      <c r="DM1995" t="s">
        <v>120</v>
      </c>
      <c r="DN1995" t="s">
        <v>120</v>
      </c>
    </row>
    <row r="1996" spans="1:118">
      <c r="A1996" t="str">
        <f>"300641"</f>
        <v>300641</v>
      </c>
      <c r="B1996" t="s">
        <v>9826</v>
      </c>
      <c r="C1996">
        <v>0.48</v>
      </c>
      <c r="D1996">
        <v>0.24</v>
      </c>
      <c r="E1996">
        <v>0</v>
      </c>
      <c r="F1996">
        <v>3032</v>
      </c>
      <c r="G1996" t="s">
        <v>5895</v>
      </c>
      <c r="H1996">
        <v>23898.59</v>
      </c>
      <c r="I1996">
        <v>49.34</v>
      </c>
      <c r="J1996" t="s">
        <v>120</v>
      </c>
      <c r="K1996" t="s">
        <v>9827</v>
      </c>
      <c r="L1996">
        <v>5.68</v>
      </c>
      <c r="M1996">
        <v>8.4600000000000009</v>
      </c>
      <c r="N1996">
        <v>1.67</v>
      </c>
      <c r="O1996">
        <v>5.58</v>
      </c>
      <c r="P1996">
        <v>8.89</v>
      </c>
      <c r="Q1996">
        <v>-0.59</v>
      </c>
      <c r="R1996">
        <v>8.3699999999999992</v>
      </c>
      <c r="S1996">
        <v>8.42</v>
      </c>
      <c r="T1996">
        <v>278302</v>
      </c>
      <c r="U1996">
        <v>8.4600000000000009</v>
      </c>
      <c r="V1996">
        <v>8.42</v>
      </c>
      <c r="W1996">
        <v>33.61</v>
      </c>
      <c r="X1996" t="s">
        <v>868</v>
      </c>
      <c r="Y1996" t="s">
        <v>319</v>
      </c>
      <c r="Z1996">
        <v>6.18</v>
      </c>
      <c r="AA1996">
        <v>8.59</v>
      </c>
      <c r="AB1996">
        <v>137836</v>
      </c>
      <c r="AC1996">
        <v>140466</v>
      </c>
      <c r="AD1996">
        <v>0.98</v>
      </c>
      <c r="AE1996">
        <v>126</v>
      </c>
      <c r="AF1996">
        <v>21</v>
      </c>
      <c r="AG1996" t="s">
        <v>120</v>
      </c>
      <c r="AH1996">
        <v>0.03</v>
      </c>
      <c r="AI1996" t="s">
        <v>120</v>
      </c>
      <c r="AJ1996">
        <v>4.9000000000000004</v>
      </c>
      <c r="AK1996" t="s">
        <v>9827</v>
      </c>
      <c r="AL1996">
        <v>2.39</v>
      </c>
      <c r="AM1996">
        <v>3475</v>
      </c>
      <c r="AN1996">
        <v>80</v>
      </c>
      <c r="AO1996">
        <v>1.6000000000000001E-3</v>
      </c>
      <c r="AP1996">
        <v>2</v>
      </c>
      <c r="AQ1996">
        <v>5.51</v>
      </c>
      <c r="AR1996">
        <v>1.8</v>
      </c>
      <c r="AS1996">
        <v>-0.59</v>
      </c>
      <c r="AT1996">
        <v>8.8800000000000008</v>
      </c>
      <c r="AU1996">
        <v>59.93</v>
      </c>
      <c r="AV1996">
        <v>6</v>
      </c>
      <c r="AW1996">
        <v>15.03</v>
      </c>
      <c r="AX1996">
        <v>37.83</v>
      </c>
      <c r="AY1996">
        <v>42.51</v>
      </c>
      <c r="AZ1996">
        <v>95.88</v>
      </c>
      <c r="BA1996">
        <v>0.84</v>
      </c>
      <c r="BB1996" t="s">
        <v>143</v>
      </c>
      <c r="BF1996">
        <v>1.99</v>
      </c>
      <c r="BG1996">
        <v>0.48</v>
      </c>
      <c r="BH1996">
        <v>-4.84</v>
      </c>
      <c r="BI1996">
        <v>1.08</v>
      </c>
      <c r="BJ1996">
        <v>20210901</v>
      </c>
      <c r="BK1996">
        <v>20170418</v>
      </c>
      <c r="BL1996">
        <v>4.9000000000000004</v>
      </c>
      <c r="BM1996" t="s">
        <v>120</v>
      </c>
      <c r="BN1996" t="s">
        <v>120</v>
      </c>
      <c r="BO1996">
        <v>20.8</v>
      </c>
      <c r="BP1996">
        <v>8.4499999999999993</v>
      </c>
      <c r="BQ1996">
        <v>14.96</v>
      </c>
      <c r="BR1996" t="s">
        <v>120</v>
      </c>
      <c r="BS1996">
        <v>28.07</v>
      </c>
      <c r="BT1996">
        <v>14.1</v>
      </c>
      <c r="BU1996">
        <v>5.46</v>
      </c>
      <c r="BV1996">
        <v>0.31</v>
      </c>
      <c r="BW1996">
        <v>3.48</v>
      </c>
      <c r="BX1996">
        <v>3.84</v>
      </c>
      <c r="BY1996">
        <v>2.4</v>
      </c>
      <c r="BZ1996">
        <v>1.76</v>
      </c>
      <c r="CA1996" t="s">
        <v>120</v>
      </c>
      <c r="CB1996">
        <v>4.6900000000000004</v>
      </c>
      <c r="CC1996">
        <v>8.15</v>
      </c>
      <c r="CD1996">
        <v>6.67</v>
      </c>
      <c r="CE1996">
        <v>0.72</v>
      </c>
      <c r="CF1996">
        <v>0.03</v>
      </c>
      <c r="CG1996">
        <v>0.73</v>
      </c>
      <c r="CH1996">
        <v>0.62</v>
      </c>
      <c r="CI1996">
        <v>0.62</v>
      </c>
      <c r="CJ1996">
        <v>0.04</v>
      </c>
      <c r="CK1996">
        <v>0.56999999999999995</v>
      </c>
      <c r="CL1996">
        <v>4.12</v>
      </c>
      <c r="CM1996">
        <v>-0.4</v>
      </c>
      <c r="CN1996">
        <v>0.11</v>
      </c>
      <c r="CO1996">
        <v>25257</v>
      </c>
      <c r="CP1996">
        <v>7333</v>
      </c>
      <c r="CQ1996" t="s">
        <v>7561</v>
      </c>
      <c r="CR1996">
        <v>705.57</v>
      </c>
      <c r="CS1996">
        <v>44.02</v>
      </c>
      <c r="CT1996">
        <v>2.94</v>
      </c>
      <c r="CU1996">
        <v>-103.92</v>
      </c>
      <c r="CV1996">
        <v>5.08</v>
      </c>
      <c r="CW1996">
        <v>0.24</v>
      </c>
      <c r="CX1996" t="s">
        <v>986</v>
      </c>
      <c r="CY1996">
        <v>2.88</v>
      </c>
      <c r="CZ1996">
        <v>2.88</v>
      </c>
      <c r="DA1996">
        <v>0.96</v>
      </c>
      <c r="DB1996">
        <v>0.84</v>
      </c>
      <c r="DC1996">
        <v>-0.08</v>
      </c>
      <c r="DD1996">
        <v>71.930000000000007</v>
      </c>
      <c r="DE1996" t="s">
        <v>7234</v>
      </c>
      <c r="DF1996">
        <v>18.149999999999999</v>
      </c>
      <c r="DG1996">
        <v>8.8699999999999992</v>
      </c>
      <c r="DH1996">
        <v>7.56</v>
      </c>
      <c r="DI1996">
        <v>0.28999999999999998</v>
      </c>
      <c r="DJ1996">
        <v>407</v>
      </c>
      <c r="DK1996">
        <v>300641</v>
      </c>
      <c r="DL1996">
        <v>20210914</v>
      </c>
      <c r="DM1996">
        <v>8.31</v>
      </c>
      <c r="DN1996">
        <v>1.81</v>
      </c>
    </row>
    <row r="1997" spans="1:118">
      <c r="A1997" t="str">
        <f>"300642"</f>
        <v>300642</v>
      </c>
      <c r="B1997" t="s">
        <v>9828</v>
      </c>
      <c r="C1997">
        <v>-0.23</v>
      </c>
      <c r="D1997">
        <v>-0.19</v>
      </c>
      <c r="E1997">
        <v>0.11</v>
      </c>
      <c r="F1997">
        <v>94</v>
      </c>
      <c r="G1997" t="s">
        <v>7420</v>
      </c>
      <c r="H1997">
        <v>12159.82</v>
      </c>
      <c r="I1997">
        <v>32.07</v>
      </c>
      <c r="J1997" t="s">
        <v>120</v>
      </c>
      <c r="K1997" t="s">
        <v>9829</v>
      </c>
      <c r="L1997">
        <v>2.48</v>
      </c>
      <c r="M1997">
        <v>34.81</v>
      </c>
      <c r="N1997">
        <v>1.54</v>
      </c>
      <c r="O1997">
        <v>4.6100000000000003</v>
      </c>
      <c r="P1997">
        <v>36.5</v>
      </c>
      <c r="Q1997">
        <v>-1.52</v>
      </c>
      <c r="R1997">
        <v>34.36</v>
      </c>
      <c r="S1997">
        <v>34.93</v>
      </c>
      <c r="T1997">
        <v>34340</v>
      </c>
      <c r="U1997">
        <v>34.82</v>
      </c>
      <c r="V1997">
        <v>34.89</v>
      </c>
      <c r="W1997">
        <v>38.14</v>
      </c>
      <c r="X1997" t="s">
        <v>555</v>
      </c>
      <c r="Y1997" t="s">
        <v>1510</v>
      </c>
      <c r="Z1997">
        <v>6.13</v>
      </c>
      <c r="AA1997">
        <v>35.409999999999997</v>
      </c>
      <c r="AB1997">
        <v>18282</v>
      </c>
      <c r="AC1997">
        <v>16058</v>
      </c>
      <c r="AD1997">
        <v>1.1399999999999999</v>
      </c>
      <c r="AE1997">
        <v>10</v>
      </c>
      <c r="AF1997">
        <v>2</v>
      </c>
      <c r="AG1997" t="s">
        <v>120</v>
      </c>
      <c r="AH1997">
        <v>0.01</v>
      </c>
      <c r="AI1997" t="s">
        <v>120</v>
      </c>
      <c r="AJ1997">
        <v>1.39</v>
      </c>
      <c r="AK1997" t="s">
        <v>9830</v>
      </c>
      <c r="AL1997">
        <v>1.68</v>
      </c>
      <c r="AM1997">
        <v>2576</v>
      </c>
      <c r="AN1997">
        <v>13</v>
      </c>
      <c r="AO1997">
        <v>1E-3</v>
      </c>
      <c r="AP1997">
        <v>-2</v>
      </c>
      <c r="AQ1997">
        <v>-2.1800000000000002</v>
      </c>
      <c r="AR1997">
        <v>-1.95</v>
      </c>
      <c r="AS1997">
        <v>-0.28000000000000003</v>
      </c>
      <c r="AT1997">
        <v>-25.97</v>
      </c>
      <c r="AU1997">
        <v>9.94</v>
      </c>
      <c r="AV1997">
        <v>1</v>
      </c>
      <c r="AW1997">
        <v>3.44</v>
      </c>
      <c r="AX1997">
        <v>60.87</v>
      </c>
      <c r="AY1997">
        <v>28.04</v>
      </c>
      <c r="AZ1997">
        <v>47.45</v>
      </c>
      <c r="BA1997">
        <v>1.65</v>
      </c>
      <c r="BB1997" t="s">
        <v>143</v>
      </c>
      <c r="BF1997">
        <v>1.49</v>
      </c>
      <c r="BG1997">
        <v>-0.34</v>
      </c>
      <c r="BH1997">
        <v>-4.63</v>
      </c>
      <c r="BI1997">
        <v>1.31</v>
      </c>
      <c r="BJ1997">
        <v>20210915</v>
      </c>
      <c r="BK1997">
        <v>20170421</v>
      </c>
      <c r="BL1997">
        <v>1.64</v>
      </c>
      <c r="BM1997" t="s">
        <v>120</v>
      </c>
      <c r="BN1997" t="s">
        <v>120</v>
      </c>
      <c r="BO1997">
        <v>14.5</v>
      </c>
      <c r="BP1997">
        <v>34.81</v>
      </c>
      <c r="BQ1997">
        <v>13.13</v>
      </c>
      <c r="BR1997" t="s">
        <v>120</v>
      </c>
      <c r="BS1997">
        <v>9.4600000000000009</v>
      </c>
      <c r="BT1997">
        <v>9.48</v>
      </c>
      <c r="BU1997">
        <v>3.17</v>
      </c>
      <c r="BV1997">
        <v>0.13</v>
      </c>
      <c r="BW1997">
        <v>1.1499999999999999</v>
      </c>
      <c r="BX1997">
        <v>2.89</v>
      </c>
      <c r="BY1997">
        <v>1.89</v>
      </c>
      <c r="BZ1997">
        <v>1.57</v>
      </c>
      <c r="CA1997">
        <v>0</v>
      </c>
      <c r="CB1997">
        <v>5.76</v>
      </c>
      <c r="CC1997">
        <v>3.03</v>
      </c>
      <c r="CD1997">
        <v>0.99</v>
      </c>
      <c r="CE1997">
        <v>0.84</v>
      </c>
      <c r="CF1997">
        <v>0.05</v>
      </c>
      <c r="CG1997">
        <v>0.83</v>
      </c>
      <c r="CH1997">
        <v>0.75</v>
      </c>
      <c r="CI1997">
        <v>0.75</v>
      </c>
      <c r="CJ1997">
        <v>-0.08</v>
      </c>
      <c r="CK1997">
        <v>0.63</v>
      </c>
      <c r="CL1997">
        <v>5.93</v>
      </c>
      <c r="CM1997">
        <v>0.68</v>
      </c>
      <c r="CN1997">
        <v>-0.25</v>
      </c>
      <c r="CO1997">
        <v>9038</v>
      </c>
      <c r="CP1997">
        <v>11040</v>
      </c>
      <c r="CQ1997" t="s">
        <v>9831</v>
      </c>
      <c r="CR1997">
        <v>968.67</v>
      </c>
      <c r="CS1997">
        <v>157.93</v>
      </c>
      <c r="CT1997">
        <v>4.3499999999999996</v>
      </c>
      <c r="CU1997">
        <v>83.61</v>
      </c>
      <c r="CV1997">
        <v>18.809999999999999</v>
      </c>
      <c r="CW1997">
        <v>0.64</v>
      </c>
      <c r="CX1997" t="s">
        <v>9832</v>
      </c>
      <c r="CY1997">
        <v>8.01</v>
      </c>
      <c r="CZ1997">
        <v>0</v>
      </c>
      <c r="DA1997">
        <v>3.51</v>
      </c>
      <c r="DB1997">
        <v>3.62</v>
      </c>
      <c r="DC1997">
        <v>0.42</v>
      </c>
      <c r="DD1997">
        <v>90.54</v>
      </c>
      <c r="DE1997" t="s">
        <v>9833</v>
      </c>
      <c r="DF1997">
        <v>67.23</v>
      </c>
      <c r="DG1997">
        <v>27.6</v>
      </c>
      <c r="DH1997">
        <v>24.67</v>
      </c>
      <c r="DI1997">
        <v>0.33</v>
      </c>
      <c r="DJ1997">
        <v>654</v>
      </c>
      <c r="DK1997">
        <v>300642</v>
      </c>
      <c r="DL1997" t="s">
        <v>120</v>
      </c>
      <c r="DM1997" t="s">
        <v>120</v>
      </c>
      <c r="DN1997" t="s">
        <v>120</v>
      </c>
    </row>
    <row r="1998" spans="1:118">
      <c r="A1998" t="str">
        <f>"300643"</f>
        <v>300643</v>
      </c>
      <c r="B1998" t="s">
        <v>9834</v>
      </c>
      <c r="C1998">
        <v>-1.74</v>
      </c>
      <c r="D1998">
        <v>-7.0000000000000007E-2</v>
      </c>
      <c r="E1998">
        <v>0.4</v>
      </c>
      <c r="F1998">
        <v>85</v>
      </c>
      <c r="G1998" t="s">
        <v>9835</v>
      </c>
      <c r="H1998">
        <v>4060.41</v>
      </c>
      <c r="I1998">
        <v>8.49</v>
      </c>
      <c r="J1998" t="s">
        <v>120</v>
      </c>
      <c r="K1998" t="s">
        <v>3397</v>
      </c>
      <c r="L1998">
        <v>1.62</v>
      </c>
      <c r="M1998">
        <v>12.4</v>
      </c>
      <c r="N1998">
        <v>0.76</v>
      </c>
      <c r="O1998">
        <v>1.51</v>
      </c>
      <c r="P1998">
        <v>12.81</v>
      </c>
      <c r="Q1998">
        <v>-2.54</v>
      </c>
      <c r="R1998">
        <v>12.3</v>
      </c>
      <c r="S1998">
        <v>12.67</v>
      </c>
      <c r="T1998">
        <v>32312</v>
      </c>
      <c r="U1998">
        <v>12.41</v>
      </c>
      <c r="V1998">
        <v>12.62</v>
      </c>
      <c r="W1998">
        <v>28.77</v>
      </c>
      <c r="X1998" t="s">
        <v>289</v>
      </c>
      <c r="Y1998" t="s">
        <v>585</v>
      </c>
      <c r="Z1998">
        <v>4.04</v>
      </c>
      <c r="AA1998">
        <v>12.57</v>
      </c>
      <c r="AB1998">
        <v>17594</v>
      </c>
      <c r="AC1998">
        <v>14718</v>
      </c>
      <c r="AD1998">
        <v>1.2</v>
      </c>
      <c r="AE1998">
        <v>939</v>
      </c>
      <c r="AF1998">
        <v>102</v>
      </c>
      <c r="AG1998" t="s">
        <v>120</v>
      </c>
      <c r="AH1998">
        <v>0.01</v>
      </c>
      <c r="AI1998" t="s">
        <v>120</v>
      </c>
      <c r="AJ1998">
        <v>2</v>
      </c>
      <c r="AK1998" t="s">
        <v>9836</v>
      </c>
      <c r="AL1998">
        <v>0.17</v>
      </c>
      <c r="AM1998">
        <v>1628</v>
      </c>
      <c r="AN1998">
        <v>20</v>
      </c>
      <c r="AO1998">
        <v>1E-3</v>
      </c>
      <c r="AP1998">
        <v>-1</v>
      </c>
      <c r="AQ1998">
        <v>0.72</v>
      </c>
      <c r="AR1998">
        <v>-2.59</v>
      </c>
      <c r="AS1998">
        <v>-4.84</v>
      </c>
      <c r="AT1998">
        <v>5.98</v>
      </c>
      <c r="AU1998">
        <v>-1.66</v>
      </c>
      <c r="AV1998">
        <v>1</v>
      </c>
      <c r="AW1998">
        <v>3.41</v>
      </c>
      <c r="AX1998">
        <v>41.15</v>
      </c>
      <c r="AY1998">
        <v>38.22</v>
      </c>
      <c r="AZ1998">
        <v>79.83</v>
      </c>
      <c r="BA1998">
        <v>1.2</v>
      </c>
      <c r="BB1998" t="s">
        <v>143</v>
      </c>
      <c r="BF1998">
        <v>-0.43</v>
      </c>
      <c r="BG1998">
        <v>-2.13</v>
      </c>
      <c r="BH1998">
        <v>-3.2</v>
      </c>
      <c r="BI1998">
        <v>0.81</v>
      </c>
      <c r="BJ1998">
        <v>20210901</v>
      </c>
      <c r="BK1998">
        <v>20170505</v>
      </c>
      <c r="BL1998">
        <v>2.2999999999999998</v>
      </c>
      <c r="BM1998" t="s">
        <v>120</v>
      </c>
      <c r="BN1998" t="s">
        <v>120</v>
      </c>
      <c r="BO1998">
        <v>9.61</v>
      </c>
      <c r="BP1998">
        <v>12.4</v>
      </c>
      <c r="BQ1998">
        <v>4.8600000000000003</v>
      </c>
      <c r="BR1998">
        <v>0</v>
      </c>
      <c r="BS1998">
        <v>49.48</v>
      </c>
      <c r="BT1998">
        <v>4.66</v>
      </c>
      <c r="BU1998">
        <v>2.83</v>
      </c>
      <c r="BV1998">
        <v>0.86</v>
      </c>
      <c r="BW1998">
        <v>3.06</v>
      </c>
      <c r="BX1998">
        <v>0.77</v>
      </c>
      <c r="BY1998">
        <v>1.41</v>
      </c>
      <c r="BZ1998">
        <v>2.11</v>
      </c>
      <c r="CA1998" t="s">
        <v>120</v>
      </c>
      <c r="CB1998">
        <v>1.33</v>
      </c>
      <c r="CC1998">
        <v>5.03</v>
      </c>
      <c r="CD1998">
        <v>3.52</v>
      </c>
      <c r="CE1998">
        <v>0.57999999999999996</v>
      </c>
      <c r="CF1998">
        <v>0.01</v>
      </c>
      <c r="CG1998">
        <v>0.57999999999999996</v>
      </c>
      <c r="CH1998">
        <v>0.5</v>
      </c>
      <c r="CI1998">
        <v>0.5</v>
      </c>
      <c r="CJ1998">
        <v>-0.22</v>
      </c>
      <c r="CK1998">
        <v>0.49</v>
      </c>
      <c r="CL1998">
        <v>1.41</v>
      </c>
      <c r="CM1998">
        <v>0.35</v>
      </c>
      <c r="CN1998">
        <v>-7.0000000000000007E-2</v>
      </c>
      <c r="CO1998">
        <v>18949</v>
      </c>
      <c r="CP1998">
        <v>4994</v>
      </c>
      <c r="CQ1998" t="s">
        <v>5092</v>
      </c>
      <c r="CR1998">
        <v>396.61</v>
      </c>
      <c r="CS1998">
        <v>38.76</v>
      </c>
      <c r="CT1998">
        <v>5.0999999999999996</v>
      </c>
      <c r="CU1998">
        <v>81.34</v>
      </c>
      <c r="CV1998">
        <v>5.67</v>
      </c>
      <c r="CW1998">
        <v>0.62</v>
      </c>
      <c r="CX1998" t="s">
        <v>863</v>
      </c>
      <c r="CY1998">
        <v>2.4300000000000002</v>
      </c>
      <c r="CZ1998">
        <v>2.4300000000000002</v>
      </c>
      <c r="DA1998">
        <v>0.57999999999999996</v>
      </c>
      <c r="DB1998">
        <v>0.61</v>
      </c>
      <c r="DC1998">
        <v>0.15</v>
      </c>
      <c r="DD1998">
        <v>50.54</v>
      </c>
      <c r="DE1998" t="s">
        <v>9837</v>
      </c>
      <c r="DF1998">
        <v>30.06</v>
      </c>
      <c r="DG1998">
        <v>11.54</v>
      </c>
      <c r="DH1998">
        <v>9.85</v>
      </c>
      <c r="DI1998">
        <v>0.18</v>
      </c>
      <c r="DJ1998">
        <v>1021</v>
      </c>
      <c r="DK1998">
        <v>300643</v>
      </c>
      <c r="DL1998" t="s">
        <v>120</v>
      </c>
      <c r="DM1998" t="s">
        <v>120</v>
      </c>
      <c r="DN1998" t="s">
        <v>120</v>
      </c>
    </row>
    <row r="1999" spans="1:118">
      <c r="A1999" t="str">
        <f>"300644"</f>
        <v>300644</v>
      </c>
      <c r="B1999" t="s">
        <v>9838</v>
      </c>
      <c r="C1999">
        <v>0.18</v>
      </c>
      <c r="D1999">
        <v>0</v>
      </c>
      <c r="E1999">
        <v>1.66</v>
      </c>
      <c r="F1999">
        <v>837</v>
      </c>
      <c r="G1999" t="s">
        <v>9839</v>
      </c>
      <c r="H1999">
        <v>24156.42</v>
      </c>
      <c r="I1999">
        <v>175.08</v>
      </c>
      <c r="J1999" t="s">
        <v>120</v>
      </c>
      <c r="K1999" t="s">
        <v>8427</v>
      </c>
      <c r="L1999">
        <v>11.23</v>
      </c>
      <c r="M1999">
        <v>21.75</v>
      </c>
      <c r="N1999">
        <v>2.15</v>
      </c>
      <c r="O1999">
        <v>9.86</v>
      </c>
      <c r="P1999">
        <v>23.85</v>
      </c>
      <c r="Q1999">
        <v>-0.05</v>
      </c>
      <c r="R1999">
        <v>21.7</v>
      </c>
      <c r="S1999">
        <v>22.07</v>
      </c>
      <c r="T1999">
        <v>106687</v>
      </c>
      <c r="U1999">
        <v>21.75</v>
      </c>
      <c r="V1999">
        <v>21.71</v>
      </c>
      <c r="W1999">
        <v>46.62</v>
      </c>
      <c r="X1999" t="s">
        <v>2211</v>
      </c>
      <c r="Y1999" t="s">
        <v>319</v>
      </c>
      <c r="Z1999">
        <v>9.9</v>
      </c>
      <c r="AA1999">
        <v>22.64</v>
      </c>
      <c r="AB1999">
        <v>50811</v>
      </c>
      <c r="AC1999">
        <v>55876</v>
      </c>
      <c r="AD1999">
        <v>0.91</v>
      </c>
      <c r="AE1999">
        <v>44</v>
      </c>
      <c r="AF1999">
        <v>218</v>
      </c>
      <c r="AG1999" t="s">
        <v>120</v>
      </c>
      <c r="AH1999">
        <v>0.14000000000000001</v>
      </c>
      <c r="AI1999" t="s">
        <v>120</v>
      </c>
      <c r="AJ1999">
        <v>0.95</v>
      </c>
      <c r="AK1999" t="s">
        <v>4614</v>
      </c>
      <c r="AL1999">
        <v>2.1</v>
      </c>
      <c r="AM1999">
        <v>2866</v>
      </c>
      <c r="AN1999">
        <v>37</v>
      </c>
      <c r="AO1999">
        <v>3.8999999999999998E-3</v>
      </c>
      <c r="AP1999">
        <v>2</v>
      </c>
      <c r="AQ1999">
        <v>3.78</v>
      </c>
      <c r="AR1999">
        <v>1.35</v>
      </c>
      <c r="AS1999">
        <v>-0.23</v>
      </c>
      <c r="AT1999">
        <v>2.71</v>
      </c>
      <c r="AU1999">
        <v>4.51</v>
      </c>
      <c r="AV1999">
        <v>1</v>
      </c>
      <c r="AW1999">
        <v>18.739999999999998</v>
      </c>
      <c r="AX1999">
        <v>52.32</v>
      </c>
      <c r="AY1999">
        <v>58.82</v>
      </c>
      <c r="AZ1999">
        <v>38.61</v>
      </c>
      <c r="BA1999">
        <v>1.3</v>
      </c>
      <c r="BB1999" t="s">
        <v>143</v>
      </c>
      <c r="BF1999">
        <v>4.29</v>
      </c>
      <c r="BG1999">
        <v>-1.45</v>
      </c>
      <c r="BH1999">
        <v>-8.81</v>
      </c>
      <c r="BI1999">
        <v>0.23</v>
      </c>
      <c r="BJ1999">
        <v>20210907</v>
      </c>
      <c r="BK1999">
        <v>20180206</v>
      </c>
      <c r="BL1999">
        <v>1.0900000000000001</v>
      </c>
      <c r="BM1999" t="s">
        <v>120</v>
      </c>
      <c r="BN1999" t="s">
        <v>120</v>
      </c>
      <c r="BO1999">
        <v>14.02</v>
      </c>
      <c r="BP1999">
        <v>21.74</v>
      </c>
      <c r="BQ1999">
        <v>7.32</v>
      </c>
      <c r="BR1999">
        <v>7.0000000000000007E-2</v>
      </c>
      <c r="BS1999">
        <v>47.26</v>
      </c>
      <c r="BT1999">
        <v>9.58</v>
      </c>
      <c r="BU1999">
        <v>3.52</v>
      </c>
      <c r="BV1999">
        <v>0.22</v>
      </c>
      <c r="BW1999">
        <v>6.08</v>
      </c>
      <c r="BX1999">
        <v>0.97</v>
      </c>
      <c r="BY1999">
        <v>3.03</v>
      </c>
      <c r="BZ1999">
        <v>3.4</v>
      </c>
      <c r="CA1999" t="s">
        <v>120</v>
      </c>
      <c r="CB1999">
        <v>2.83</v>
      </c>
      <c r="CC1999">
        <v>7.51</v>
      </c>
      <c r="CD1999">
        <v>6.61</v>
      </c>
      <c r="CE1999">
        <v>0.27</v>
      </c>
      <c r="CF1999">
        <v>0.01</v>
      </c>
      <c r="CG1999">
        <v>0.27</v>
      </c>
      <c r="CH1999">
        <v>0.26</v>
      </c>
      <c r="CI1999">
        <v>0.25</v>
      </c>
      <c r="CJ1999">
        <v>0.04</v>
      </c>
      <c r="CK1999">
        <v>0.21</v>
      </c>
      <c r="CL1999">
        <v>3.26</v>
      </c>
      <c r="CM1999">
        <v>-0.7</v>
      </c>
      <c r="CN1999">
        <v>-0.33</v>
      </c>
      <c r="CO1999">
        <v>14432</v>
      </c>
      <c r="CP1999">
        <v>3944</v>
      </c>
      <c r="CQ1999" t="s">
        <v>8341</v>
      </c>
      <c r="CR1999">
        <v>-45.3</v>
      </c>
      <c r="CS1999">
        <v>60.2</v>
      </c>
      <c r="CT1999">
        <v>3.23</v>
      </c>
      <c r="CU1999">
        <v>-33.869999999999997</v>
      </c>
      <c r="CV1999">
        <v>3.15</v>
      </c>
      <c r="CW1999">
        <v>0.81</v>
      </c>
      <c r="CX1999" t="s">
        <v>4562</v>
      </c>
      <c r="CY1999">
        <v>6.73</v>
      </c>
      <c r="CZ1999">
        <v>0</v>
      </c>
      <c r="DA1999">
        <v>2.6</v>
      </c>
      <c r="DB1999">
        <v>3</v>
      </c>
      <c r="DC1999">
        <v>-0.64</v>
      </c>
      <c r="DD1999">
        <v>52.23</v>
      </c>
      <c r="DE1999" t="s">
        <v>2135</v>
      </c>
      <c r="DF1999">
        <v>12.02</v>
      </c>
      <c r="DG1999">
        <v>3.56</v>
      </c>
      <c r="DH1999">
        <v>3.38</v>
      </c>
      <c r="DI1999">
        <v>0.26</v>
      </c>
      <c r="DJ1999">
        <v>690</v>
      </c>
      <c r="DK1999">
        <v>300644</v>
      </c>
      <c r="DL1999" t="s">
        <v>120</v>
      </c>
      <c r="DM1999" t="s">
        <v>120</v>
      </c>
      <c r="DN1999" t="s">
        <v>120</v>
      </c>
    </row>
    <row r="2000" spans="1:118">
      <c r="A2000" t="str">
        <f>"300645"</f>
        <v>300645</v>
      </c>
      <c r="B2000" t="s">
        <v>9840</v>
      </c>
      <c r="C2000">
        <v>1.08</v>
      </c>
      <c r="D2000">
        <v>-0.13</v>
      </c>
      <c r="E2000">
        <v>-0.28000000000000003</v>
      </c>
      <c r="F2000">
        <v>690</v>
      </c>
      <c r="G2000" t="s">
        <v>9841</v>
      </c>
      <c r="H2000">
        <v>9716.7099999999991</v>
      </c>
      <c r="I2000">
        <v>38.99</v>
      </c>
      <c r="J2000" t="s">
        <v>120</v>
      </c>
      <c r="K2000" t="s">
        <v>2221</v>
      </c>
      <c r="L2000">
        <v>3.54</v>
      </c>
      <c r="M2000">
        <v>21.48</v>
      </c>
      <c r="N2000">
        <v>0.83</v>
      </c>
      <c r="O2000">
        <v>5.08</v>
      </c>
      <c r="P2000">
        <v>22.33</v>
      </c>
      <c r="Q2000">
        <v>-2.4900000000000002</v>
      </c>
      <c r="R2000">
        <v>20.72</v>
      </c>
      <c r="S2000">
        <v>21.19</v>
      </c>
      <c r="T2000">
        <v>45096</v>
      </c>
      <c r="U2000">
        <v>21.48</v>
      </c>
      <c r="V2000">
        <v>21.25</v>
      </c>
      <c r="W2000">
        <v>1143.81</v>
      </c>
      <c r="X2000" t="s">
        <v>141</v>
      </c>
      <c r="Y2000" t="s">
        <v>585</v>
      </c>
      <c r="Z2000">
        <v>7.58</v>
      </c>
      <c r="AA2000">
        <v>21.55</v>
      </c>
      <c r="AB2000">
        <v>24079</v>
      </c>
      <c r="AC2000">
        <v>21017</v>
      </c>
      <c r="AD2000">
        <v>1.1499999999999999</v>
      </c>
      <c r="AE2000">
        <v>20</v>
      </c>
      <c r="AF2000">
        <v>475</v>
      </c>
      <c r="AG2000" t="s">
        <v>120</v>
      </c>
      <c r="AH2000">
        <v>0.02</v>
      </c>
      <c r="AI2000" t="s">
        <v>120</v>
      </c>
      <c r="AJ2000">
        <v>1.27</v>
      </c>
      <c r="AK2000" t="s">
        <v>2221</v>
      </c>
      <c r="AL2000">
        <v>3</v>
      </c>
      <c r="AM2000">
        <v>1722</v>
      </c>
      <c r="AN2000">
        <v>26</v>
      </c>
      <c r="AO2000">
        <v>2.0999999999999999E-3</v>
      </c>
      <c r="AP2000">
        <v>2</v>
      </c>
      <c r="AQ2000">
        <v>2.81</v>
      </c>
      <c r="AR2000">
        <v>3.17</v>
      </c>
      <c r="AS2000">
        <v>12.46</v>
      </c>
      <c r="AT2000">
        <v>27.1</v>
      </c>
      <c r="AU2000">
        <v>29.94</v>
      </c>
      <c r="AV2000">
        <v>0</v>
      </c>
      <c r="AW2000">
        <v>5.96</v>
      </c>
      <c r="AX2000">
        <v>59.42</v>
      </c>
      <c r="AY2000">
        <v>76.55</v>
      </c>
      <c r="AZ2000">
        <v>97.89</v>
      </c>
      <c r="BA2000">
        <v>0.37</v>
      </c>
      <c r="BB2000" t="s">
        <v>143</v>
      </c>
      <c r="BF2000">
        <v>1.4</v>
      </c>
      <c r="BG2000">
        <v>1.37</v>
      </c>
      <c r="BH2000">
        <v>-3.81</v>
      </c>
      <c r="BI2000">
        <v>3.67</v>
      </c>
      <c r="BJ2000">
        <v>20210903</v>
      </c>
      <c r="BK2000">
        <v>20170421</v>
      </c>
      <c r="BL2000">
        <v>1.27</v>
      </c>
      <c r="BM2000" t="s">
        <v>120</v>
      </c>
      <c r="BN2000" t="s">
        <v>120</v>
      </c>
      <c r="BO2000">
        <v>15.45</v>
      </c>
      <c r="BP2000">
        <v>21.46</v>
      </c>
      <c r="BQ2000">
        <v>6.86</v>
      </c>
      <c r="BR2000">
        <v>0.68</v>
      </c>
      <c r="BS2000">
        <v>51.17</v>
      </c>
      <c r="BT2000">
        <v>10.95</v>
      </c>
      <c r="BU2000">
        <v>0.54</v>
      </c>
      <c r="BV2000">
        <v>0.46</v>
      </c>
      <c r="BW2000">
        <v>6.43</v>
      </c>
      <c r="BX2000">
        <v>1.96</v>
      </c>
      <c r="BY2000">
        <v>2.72</v>
      </c>
      <c r="BZ2000">
        <v>4.46</v>
      </c>
      <c r="CA2000" t="s">
        <v>120</v>
      </c>
      <c r="CB2000">
        <v>2.34</v>
      </c>
      <c r="CC2000">
        <v>2.89</v>
      </c>
      <c r="CD2000">
        <v>1.63</v>
      </c>
      <c r="CE2000">
        <v>-0.03</v>
      </c>
      <c r="CF2000">
        <v>0.06</v>
      </c>
      <c r="CG2000">
        <v>-0.03</v>
      </c>
      <c r="CH2000">
        <v>-0.03</v>
      </c>
      <c r="CI2000">
        <v>0.01</v>
      </c>
      <c r="CJ2000">
        <v>0.23</v>
      </c>
      <c r="CK2000">
        <v>0</v>
      </c>
      <c r="CL2000">
        <v>2.56</v>
      </c>
      <c r="CM2000">
        <v>-1.77</v>
      </c>
      <c r="CN2000">
        <v>-0.6</v>
      </c>
      <c r="CO2000">
        <v>9601</v>
      </c>
      <c r="CP2000">
        <v>7880</v>
      </c>
      <c r="CQ2000" t="s">
        <v>9842</v>
      </c>
      <c r="CR2000">
        <v>118.36</v>
      </c>
      <c r="CS2000">
        <v>14.8</v>
      </c>
      <c r="CT2000">
        <v>4.21</v>
      </c>
      <c r="CU2000">
        <v>-15.45</v>
      </c>
      <c r="CV2000">
        <v>9.4600000000000009</v>
      </c>
      <c r="CW2000">
        <v>0.14000000000000001</v>
      </c>
      <c r="CX2000" t="s">
        <v>178</v>
      </c>
      <c r="CY2000">
        <v>5.1100000000000003</v>
      </c>
      <c r="CZ2000">
        <v>5.1100000000000003</v>
      </c>
      <c r="DA2000">
        <v>1.84</v>
      </c>
      <c r="DB2000">
        <v>2.0099999999999998</v>
      </c>
      <c r="DC2000">
        <v>-1.39</v>
      </c>
      <c r="DD2000">
        <v>44.4</v>
      </c>
      <c r="DE2000" t="s">
        <v>2192</v>
      </c>
      <c r="DF2000">
        <v>43.59</v>
      </c>
      <c r="DG2000">
        <v>-1.1299999999999999</v>
      </c>
      <c r="DH2000">
        <v>0.41</v>
      </c>
      <c r="DI2000">
        <v>0.53</v>
      </c>
      <c r="DJ2000">
        <v>1279</v>
      </c>
      <c r="DK2000">
        <v>300645</v>
      </c>
      <c r="DL2000" t="s">
        <v>120</v>
      </c>
      <c r="DM2000" t="s">
        <v>120</v>
      </c>
      <c r="DN2000" t="s">
        <v>120</v>
      </c>
    </row>
    <row r="2001" spans="1:118">
      <c r="A2001" t="str">
        <f>"300647"</f>
        <v>300647</v>
      </c>
      <c r="B2001" t="s">
        <v>9843</v>
      </c>
      <c r="C2001">
        <v>-4.21</v>
      </c>
      <c r="D2001">
        <v>0</v>
      </c>
      <c r="E2001">
        <v>-1.1200000000000001</v>
      </c>
      <c r="F2001">
        <v>2970</v>
      </c>
      <c r="G2001" t="s">
        <v>5836</v>
      </c>
      <c r="H2001">
        <v>7726.04</v>
      </c>
      <c r="I2001">
        <v>24.92</v>
      </c>
      <c r="J2001" t="s">
        <v>120</v>
      </c>
      <c r="K2001" t="s">
        <v>5123</v>
      </c>
      <c r="L2001">
        <v>2.15</v>
      </c>
      <c r="M2001">
        <v>10.23</v>
      </c>
      <c r="N2001">
        <v>0.81</v>
      </c>
      <c r="O2001">
        <v>0.19</v>
      </c>
      <c r="P2001">
        <v>10.7</v>
      </c>
      <c r="Q2001">
        <v>-4.4000000000000004</v>
      </c>
      <c r="R2001">
        <v>10.210000000000001</v>
      </c>
      <c r="S2001">
        <v>10.56</v>
      </c>
      <c r="T2001">
        <v>73876</v>
      </c>
      <c r="U2001">
        <v>10.24</v>
      </c>
      <c r="V2001">
        <v>10.68</v>
      </c>
      <c r="W2001">
        <v>1574.65</v>
      </c>
      <c r="X2001" t="s">
        <v>229</v>
      </c>
      <c r="Y2001" t="s">
        <v>123</v>
      </c>
      <c r="Z2001">
        <v>4.59</v>
      </c>
      <c r="AA2001">
        <v>10.46</v>
      </c>
      <c r="AB2001">
        <v>47507</v>
      </c>
      <c r="AC2001">
        <v>26369</v>
      </c>
      <c r="AD2001">
        <v>1.8</v>
      </c>
      <c r="AE2001">
        <v>692</v>
      </c>
      <c r="AF2001">
        <v>469</v>
      </c>
      <c r="AG2001" t="s">
        <v>120</v>
      </c>
      <c r="AH2001">
        <v>0.01</v>
      </c>
      <c r="AI2001" t="s">
        <v>120</v>
      </c>
      <c r="AJ2001">
        <v>3.43</v>
      </c>
      <c r="AK2001" t="s">
        <v>9844</v>
      </c>
      <c r="AL2001">
        <v>-2.2999999999999998</v>
      </c>
      <c r="AM2001">
        <v>2024</v>
      </c>
      <c r="AN2001">
        <v>36</v>
      </c>
      <c r="AO2001">
        <v>1.1000000000000001E-3</v>
      </c>
      <c r="AP2001">
        <v>-1</v>
      </c>
      <c r="AQ2001">
        <v>0.95</v>
      </c>
      <c r="AR2001">
        <v>-2.19</v>
      </c>
      <c r="AS2001">
        <v>-12.86</v>
      </c>
      <c r="AT2001">
        <v>-3.68</v>
      </c>
      <c r="AU2001">
        <v>-16.690000000000001</v>
      </c>
      <c r="AV2001">
        <v>1</v>
      </c>
      <c r="AW2001">
        <v>3.79</v>
      </c>
      <c r="AX2001">
        <v>45.22</v>
      </c>
      <c r="AY2001">
        <v>354.72</v>
      </c>
      <c r="AZ2001">
        <v>297.83</v>
      </c>
      <c r="BA2001">
        <v>0.72</v>
      </c>
      <c r="BB2001" t="s">
        <v>143</v>
      </c>
      <c r="BF2001">
        <v>-2.08</v>
      </c>
      <c r="BG2001">
        <v>-3.12</v>
      </c>
      <c r="BH2001">
        <v>-4.3899999999999997</v>
      </c>
      <c r="BI2001">
        <v>0.2</v>
      </c>
      <c r="BJ2001">
        <v>20210913</v>
      </c>
      <c r="BK2001">
        <v>20170503</v>
      </c>
      <c r="BL2001">
        <v>4.3099999999999996</v>
      </c>
      <c r="BM2001" t="s">
        <v>120</v>
      </c>
      <c r="BN2001" t="s">
        <v>120</v>
      </c>
      <c r="BO2001">
        <v>19.73</v>
      </c>
      <c r="BP2001">
        <v>10.23</v>
      </c>
      <c r="BQ2001">
        <v>11.74</v>
      </c>
      <c r="BR2001">
        <v>0.37</v>
      </c>
      <c r="BS2001">
        <v>38.590000000000003</v>
      </c>
      <c r="BT2001">
        <v>11.36</v>
      </c>
      <c r="BU2001">
        <v>2.77</v>
      </c>
      <c r="BV2001">
        <v>0.5</v>
      </c>
      <c r="BW2001">
        <v>7.16</v>
      </c>
      <c r="BX2001">
        <v>2.89</v>
      </c>
      <c r="BY2001">
        <v>1.86</v>
      </c>
      <c r="BZ2001">
        <v>3.01</v>
      </c>
      <c r="CA2001" t="s">
        <v>120</v>
      </c>
      <c r="CB2001">
        <v>5.89</v>
      </c>
      <c r="CC2001">
        <v>2.37</v>
      </c>
      <c r="CD2001">
        <v>1.53</v>
      </c>
      <c r="CE2001">
        <v>-0.08</v>
      </c>
      <c r="CF2001">
        <v>0.02</v>
      </c>
      <c r="CG2001">
        <v>-0.08</v>
      </c>
      <c r="CH2001">
        <v>-0.02</v>
      </c>
      <c r="CI2001">
        <v>0.01</v>
      </c>
      <c r="CJ2001">
        <v>-0.45</v>
      </c>
      <c r="CK2001">
        <v>-0.04</v>
      </c>
      <c r="CL2001">
        <v>1.45</v>
      </c>
      <c r="CM2001">
        <v>-0.72</v>
      </c>
      <c r="CN2001">
        <v>1.93</v>
      </c>
      <c r="CO2001">
        <v>30286</v>
      </c>
      <c r="CP2001">
        <v>6429</v>
      </c>
      <c r="CQ2001" t="s">
        <v>4553</v>
      </c>
      <c r="CR2001">
        <v>-63.91</v>
      </c>
      <c r="CS2001">
        <v>15.44</v>
      </c>
      <c r="CT2001">
        <v>3.75</v>
      </c>
      <c r="CU2001">
        <v>-61.26</v>
      </c>
      <c r="CV2001">
        <v>18.57</v>
      </c>
      <c r="CW2001">
        <v>0</v>
      </c>
      <c r="CX2001" t="s">
        <v>1097</v>
      </c>
      <c r="CY2001">
        <v>2.73</v>
      </c>
      <c r="CZ2001">
        <v>0</v>
      </c>
      <c r="DA2001">
        <v>1.37</v>
      </c>
      <c r="DB2001">
        <v>0.34</v>
      </c>
      <c r="DC2001">
        <v>-0.17</v>
      </c>
      <c r="DD2001">
        <v>59.52</v>
      </c>
      <c r="DE2001" t="s">
        <v>2288</v>
      </c>
      <c r="DF2001">
        <v>35.32</v>
      </c>
      <c r="DG2001">
        <v>-3.32</v>
      </c>
      <c r="DH2001">
        <v>0.59</v>
      </c>
      <c r="DI2001">
        <v>0.17</v>
      </c>
      <c r="DJ2001">
        <v>799</v>
      </c>
      <c r="DK2001">
        <v>300647</v>
      </c>
      <c r="DL2001" t="s">
        <v>120</v>
      </c>
      <c r="DM2001" t="s">
        <v>120</v>
      </c>
      <c r="DN2001" t="s">
        <v>120</v>
      </c>
    </row>
    <row r="2002" spans="1:118">
      <c r="A2002" t="str">
        <f>"300648"</f>
        <v>300648</v>
      </c>
      <c r="B2002" t="s">
        <v>9845</v>
      </c>
      <c r="C2002">
        <v>-7.39</v>
      </c>
      <c r="D2002">
        <v>-0.01</v>
      </c>
      <c r="E2002">
        <v>-1.29</v>
      </c>
      <c r="F2002">
        <v>405</v>
      </c>
      <c r="G2002" t="s">
        <v>9846</v>
      </c>
      <c r="H2002">
        <v>30686.27</v>
      </c>
      <c r="I2002">
        <v>90.1</v>
      </c>
      <c r="J2002" t="s">
        <v>120</v>
      </c>
      <c r="K2002" t="s">
        <v>9847</v>
      </c>
      <c r="L2002">
        <v>5.61</v>
      </c>
      <c r="M2002">
        <v>57.5</v>
      </c>
      <c r="N2002">
        <v>0.67</v>
      </c>
      <c r="O2002">
        <v>0.39</v>
      </c>
      <c r="P2002">
        <v>62.33</v>
      </c>
      <c r="Q2002">
        <v>-7.44</v>
      </c>
      <c r="R2002">
        <v>57.47</v>
      </c>
      <c r="S2002">
        <v>61.29</v>
      </c>
      <c r="T2002">
        <v>51803</v>
      </c>
      <c r="U2002">
        <v>57.5</v>
      </c>
      <c r="V2002">
        <v>62.09</v>
      </c>
      <c r="W2002">
        <v>69.33</v>
      </c>
      <c r="X2002" t="s">
        <v>2717</v>
      </c>
      <c r="Y2002" t="s">
        <v>937</v>
      </c>
      <c r="Z2002">
        <v>7.83</v>
      </c>
      <c r="AA2002">
        <v>59.24</v>
      </c>
      <c r="AB2002">
        <v>28551</v>
      </c>
      <c r="AC2002">
        <v>23252</v>
      </c>
      <c r="AD2002">
        <v>1.23</v>
      </c>
      <c r="AE2002">
        <v>4</v>
      </c>
      <c r="AF2002">
        <v>95</v>
      </c>
      <c r="AG2002" t="s">
        <v>120</v>
      </c>
      <c r="AH2002">
        <v>0.02</v>
      </c>
      <c r="AI2002" t="s">
        <v>120</v>
      </c>
      <c r="AJ2002">
        <v>0.92</v>
      </c>
      <c r="AK2002" t="s">
        <v>9848</v>
      </c>
      <c r="AL2002">
        <v>-5.48</v>
      </c>
      <c r="AM2002">
        <v>3514</v>
      </c>
      <c r="AN2002">
        <v>15</v>
      </c>
      <c r="AO2002">
        <v>1.6000000000000001E-3</v>
      </c>
      <c r="AP2002">
        <v>-1</v>
      </c>
      <c r="AQ2002">
        <v>0.84</v>
      </c>
      <c r="AR2002">
        <v>0.17</v>
      </c>
      <c r="AS2002">
        <v>-8.6199999999999992</v>
      </c>
      <c r="AT2002">
        <v>80.14</v>
      </c>
      <c r="AU2002">
        <v>29.65</v>
      </c>
      <c r="AV2002">
        <v>3</v>
      </c>
      <c r="AW2002">
        <v>6.71</v>
      </c>
      <c r="AX2002">
        <v>52.25</v>
      </c>
      <c r="AY2002">
        <v>107.89</v>
      </c>
      <c r="AZ2002">
        <v>160.99</v>
      </c>
      <c r="BA2002">
        <v>1.21</v>
      </c>
      <c r="BB2002" t="s">
        <v>143</v>
      </c>
      <c r="BF2002">
        <v>-4.5999999999999996</v>
      </c>
      <c r="BG2002">
        <v>-6.18</v>
      </c>
      <c r="BH2002">
        <v>-7.75</v>
      </c>
      <c r="BI2002">
        <v>0.05</v>
      </c>
      <c r="BJ2002">
        <v>20210825</v>
      </c>
      <c r="BK2002">
        <v>20170425</v>
      </c>
      <c r="BL2002">
        <v>1.48</v>
      </c>
      <c r="BM2002" t="s">
        <v>120</v>
      </c>
      <c r="BN2002" t="s">
        <v>120</v>
      </c>
      <c r="BO2002">
        <v>17.149999999999999</v>
      </c>
      <c r="BP2002">
        <v>57.48</v>
      </c>
      <c r="BQ2002">
        <v>10.31</v>
      </c>
      <c r="BR2002">
        <v>0.1</v>
      </c>
      <c r="BS2002">
        <v>39.29</v>
      </c>
      <c r="BT2002">
        <v>11.86</v>
      </c>
      <c r="BU2002">
        <v>2.23</v>
      </c>
      <c r="BV2002">
        <v>0.68</v>
      </c>
      <c r="BW2002">
        <v>5.22</v>
      </c>
      <c r="BX2002">
        <v>2.04</v>
      </c>
      <c r="BY2002">
        <v>2.92</v>
      </c>
      <c r="BZ2002">
        <v>3.13</v>
      </c>
      <c r="CA2002" t="s">
        <v>120</v>
      </c>
      <c r="CB2002">
        <v>6.02</v>
      </c>
      <c r="CC2002">
        <v>3.51</v>
      </c>
      <c r="CD2002">
        <v>1.73</v>
      </c>
      <c r="CE2002">
        <v>0.66</v>
      </c>
      <c r="CF2002">
        <v>0</v>
      </c>
      <c r="CG2002">
        <v>0.66</v>
      </c>
      <c r="CH2002">
        <v>0.64</v>
      </c>
      <c r="CI2002">
        <v>0.61</v>
      </c>
      <c r="CJ2002">
        <v>-4.59</v>
      </c>
      <c r="CK2002">
        <v>0.59</v>
      </c>
      <c r="CL2002">
        <v>2.56</v>
      </c>
      <c r="CM2002">
        <v>-0.67</v>
      </c>
      <c r="CN2002">
        <v>0.15</v>
      </c>
      <c r="CO2002">
        <v>12620</v>
      </c>
      <c r="CP2002">
        <v>6118</v>
      </c>
      <c r="CQ2002" t="s">
        <v>9849</v>
      </c>
      <c r="CR2002">
        <v>84.4</v>
      </c>
      <c r="CS2002">
        <v>57.51</v>
      </c>
      <c r="CT2002">
        <v>8.24</v>
      </c>
      <c r="CU2002">
        <v>-127.3</v>
      </c>
      <c r="CV2002">
        <v>24.23</v>
      </c>
      <c r="CW2002">
        <v>0.06</v>
      </c>
      <c r="CX2002" t="s">
        <v>1327</v>
      </c>
      <c r="CY2002">
        <v>6.98</v>
      </c>
      <c r="CZ2002">
        <v>0</v>
      </c>
      <c r="DA2002">
        <v>4.07</v>
      </c>
      <c r="DB2002">
        <v>1.73</v>
      </c>
      <c r="DC2002">
        <v>-0.45</v>
      </c>
      <c r="DD2002">
        <v>60.15</v>
      </c>
      <c r="DE2002" t="s">
        <v>9850</v>
      </c>
      <c r="DF2002">
        <v>50.8</v>
      </c>
      <c r="DG2002">
        <v>18.89</v>
      </c>
      <c r="DH2002">
        <v>17.47</v>
      </c>
      <c r="DI2002">
        <v>0.61</v>
      </c>
      <c r="DJ2002">
        <v>1239</v>
      </c>
      <c r="DK2002">
        <v>300648</v>
      </c>
      <c r="DL2002" t="s">
        <v>120</v>
      </c>
      <c r="DM2002" t="s">
        <v>120</v>
      </c>
      <c r="DN2002" t="s">
        <v>120</v>
      </c>
    </row>
    <row r="2003" spans="1:118">
      <c r="A2003" t="str">
        <f>"300649"</f>
        <v>300649</v>
      </c>
      <c r="B2003" t="s">
        <v>9851</v>
      </c>
      <c r="C2003">
        <v>-1.73</v>
      </c>
      <c r="D2003">
        <v>-0.05</v>
      </c>
      <c r="E2003">
        <v>0.48</v>
      </c>
      <c r="F2003">
        <v>216</v>
      </c>
      <c r="G2003" t="s">
        <v>9852</v>
      </c>
      <c r="H2003">
        <v>2812.86</v>
      </c>
      <c r="I2003">
        <v>5.74</v>
      </c>
      <c r="J2003" t="s">
        <v>120</v>
      </c>
      <c r="K2003" t="s">
        <v>7202</v>
      </c>
      <c r="L2003">
        <v>1.62</v>
      </c>
      <c r="M2003">
        <v>16.52</v>
      </c>
      <c r="N2003">
        <v>0.76</v>
      </c>
      <c r="O2003">
        <v>2.14</v>
      </c>
      <c r="P2003">
        <v>17.170000000000002</v>
      </c>
      <c r="Q2003">
        <v>-1.78</v>
      </c>
      <c r="R2003">
        <v>16.510000000000002</v>
      </c>
      <c r="S2003">
        <v>16.89</v>
      </c>
      <c r="T2003">
        <v>16705</v>
      </c>
      <c r="U2003">
        <v>16.53</v>
      </c>
      <c r="V2003">
        <v>16.809999999999999</v>
      </c>
      <c r="W2003">
        <v>37.07</v>
      </c>
      <c r="X2003" t="s">
        <v>175</v>
      </c>
      <c r="Y2003" t="s">
        <v>585</v>
      </c>
      <c r="Z2003">
        <v>3.93</v>
      </c>
      <c r="AA2003">
        <v>16.84</v>
      </c>
      <c r="AB2003">
        <v>9201</v>
      </c>
      <c r="AC2003">
        <v>7504</v>
      </c>
      <c r="AD2003">
        <v>1.23</v>
      </c>
      <c r="AE2003">
        <v>68</v>
      </c>
      <c r="AF2003">
        <v>28</v>
      </c>
      <c r="AG2003" t="s">
        <v>120</v>
      </c>
      <c r="AH2003">
        <v>0</v>
      </c>
      <c r="AI2003" t="s">
        <v>120</v>
      </c>
      <c r="AJ2003">
        <v>1.03</v>
      </c>
      <c r="AK2003" t="s">
        <v>5922</v>
      </c>
      <c r="AL2003">
        <v>0.19</v>
      </c>
      <c r="AM2003">
        <v>927</v>
      </c>
      <c r="AN2003">
        <v>18</v>
      </c>
      <c r="AO2003">
        <v>1.6999999999999999E-3</v>
      </c>
      <c r="AP2003">
        <v>-1</v>
      </c>
      <c r="AQ2003">
        <v>1.69</v>
      </c>
      <c r="AR2003">
        <v>-3.05</v>
      </c>
      <c r="AS2003">
        <v>2.74</v>
      </c>
      <c r="AT2003">
        <v>-19.22</v>
      </c>
      <c r="AU2003">
        <v>6.24</v>
      </c>
      <c r="AV2003">
        <v>2</v>
      </c>
      <c r="AW2003">
        <v>2.1800000000000002</v>
      </c>
      <c r="AX2003">
        <v>57.86</v>
      </c>
      <c r="AY2003">
        <v>42.91</v>
      </c>
      <c r="AZ2003">
        <v>44.25</v>
      </c>
      <c r="BA2003">
        <v>0.46</v>
      </c>
      <c r="BB2003" t="s">
        <v>143</v>
      </c>
      <c r="BF2003">
        <v>0.17</v>
      </c>
      <c r="BG2003">
        <v>-2.19</v>
      </c>
      <c r="BH2003">
        <v>-3.79</v>
      </c>
      <c r="BI2003">
        <v>0.06</v>
      </c>
      <c r="BJ2003">
        <v>20210903</v>
      </c>
      <c r="BK2003">
        <v>20170505</v>
      </c>
      <c r="BL2003">
        <v>1.32</v>
      </c>
      <c r="BM2003" t="s">
        <v>120</v>
      </c>
      <c r="BN2003" t="s">
        <v>120</v>
      </c>
      <c r="BO2003">
        <v>11.07</v>
      </c>
      <c r="BP2003">
        <v>16.52</v>
      </c>
      <c r="BQ2003">
        <v>4.66</v>
      </c>
      <c r="BR2003" t="s">
        <v>120</v>
      </c>
      <c r="BS2003">
        <v>57.9</v>
      </c>
      <c r="BT2003">
        <v>8.76</v>
      </c>
      <c r="BU2003">
        <v>1.82</v>
      </c>
      <c r="BV2003">
        <v>0.01</v>
      </c>
      <c r="BW2003">
        <v>6.39</v>
      </c>
      <c r="BX2003">
        <v>0.64</v>
      </c>
      <c r="BY2003">
        <v>0</v>
      </c>
      <c r="BZ2003">
        <v>2.34</v>
      </c>
      <c r="CA2003">
        <v>0</v>
      </c>
      <c r="CB2003">
        <v>0.67</v>
      </c>
      <c r="CC2003">
        <v>3.32</v>
      </c>
      <c r="CD2003">
        <v>2.64</v>
      </c>
      <c r="CE2003">
        <v>0.33</v>
      </c>
      <c r="CF2003">
        <v>0</v>
      </c>
      <c r="CG2003">
        <v>0.33</v>
      </c>
      <c r="CH2003">
        <v>0.3</v>
      </c>
      <c r="CI2003">
        <v>0.3</v>
      </c>
      <c r="CJ2003">
        <v>-0.28999999999999998</v>
      </c>
      <c r="CK2003">
        <v>0.26</v>
      </c>
      <c r="CL2003">
        <v>2.33</v>
      </c>
      <c r="CM2003">
        <v>-7.0000000000000007E-2</v>
      </c>
      <c r="CN2003">
        <v>-0.2</v>
      </c>
      <c r="CO2003">
        <v>12230</v>
      </c>
      <c r="CP2003">
        <v>6264</v>
      </c>
      <c r="CQ2003" t="s">
        <v>9853</v>
      </c>
      <c r="CR2003">
        <v>5.63</v>
      </c>
      <c r="CS2003">
        <v>16.61</v>
      </c>
      <c r="CT2003">
        <v>4.54</v>
      </c>
      <c r="CU2003">
        <v>-313.26</v>
      </c>
      <c r="CV2003">
        <v>6.6</v>
      </c>
      <c r="CW2003">
        <v>0.46</v>
      </c>
      <c r="CX2003" t="s">
        <v>694</v>
      </c>
      <c r="CY2003">
        <v>3.64</v>
      </c>
      <c r="CZ2003">
        <v>3.64</v>
      </c>
      <c r="DA2003">
        <v>0.5</v>
      </c>
      <c r="DB2003">
        <v>1.76</v>
      </c>
      <c r="DC2003">
        <v>-0.05</v>
      </c>
      <c r="DD2003">
        <v>42.1</v>
      </c>
      <c r="DE2003" t="s">
        <v>8709</v>
      </c>
      <c r="DF2003">
        <v>20.36</v>
      </c>
      <c r="DG2003">
        <v>9.94</v>
      </c>
      <c r="DH2003">
        <v>8.9</v>
      </c>
      <c r="DI2003">
        <v>0.13</v>
      </c>
      <c r="DJ2003">
        <v>317</v>
      </c>
      <c r="DK2003">
        <v>300649</v>
      </c>
      <c r="DL2003" t="s">
        <v>120</v>
      </c>
      <c r="DM2003" t="s">
        <v>120</v>
      </c>
      <c r="DN2003" t="s">
        <v>120</v>
      </c>
    </row>
    <row r="2004" spans="1:118">
      <c r="A2004" t="str">
        <f>"300650"</f>
        <v>300650</v>
      </c>
      <c r="B2004" t="s">
        <v>9854</v>
      </c>
      <c r="C2004">
        <v>-1.65</v>
      </c>
      <c r="D2004">
        <v>-0.08</v>
      </c>
      <c r="E2004">
        <v>-0.36</v>
      </c>
      <c r="F2004">
        <v>113</v>
      </c>
      <c r="G2004" t="s">
        <v>7285</v>
      </c>
      <c r="H2004">
        <v>1653.57</v>
      </c>
      <c r="I2004">
        <v>2.9</v>
      </c>
      <c r="J2004" t="s">
        <v>120</v>
      </c>
      <c r="K2004" t="s">
        <v>9855</v>
      </c>
      <c r="L2004">
        <v>1.3</v>
      </c>
      <c r="M2004">
        <v>22.01</v>
      </c>
      <c r="N2004">
        <v>0.72</v>
      </c>
      <c r="O2004">
        <v>1.56</v>
      </c>
      <c r="P2004">
        <v>22.73</v>
      </c>
      <c r="Q2004">
        <v>-1.97</v>
      </c>
      <c r="R2004">
        <v>21.94</v>
      </c>
      <c r="S2004">
        <v>22.3</v>
      </c>
      <c r="T2004">
        <v>7411</v>
      </c>
      <c r="U2004">
        <v>22.03</v>
      </c>
      <c r="V2004">
        <v>22.38</v>
      </c>
      <c r="W2004">
        <v>18.79</v>
      </c>
      <c r="X2004" t="s">
        <v>394</v>
      </c>
      <c r="Y2004" t="s">
        <v>937</v>
      </c>
      <c r="Z2004">
        <v>3.53</v>
      </c>
      <c r="AA2004">
        <v>22.31</v>
      </c>
      <c r="AB2004">
        <v>4128</v>
      </c>
      <c r="AC2004">
        <v>3283</v>
      </c>
      <c r="AD2004">
        <v>1.26</v>
      </c>
      <c r="AE2004">
        <v>61</v>
      </c>
      <c r="AF2004">
        <v>21</v>
      </c>
      <c r="AG2004" t="s">
        <v>120</v>
      </c>
      <c r="AH2004">
        <v>0</v>
      </c>
      <c r="AI2004" t="s">
        <v>120</v>
      </c>
      <c r="AJ2004">
        <v>0.56999999999999995</v>
      </c>
      <c r="AK2004" t="s">
        <v>9856</v>
      </c>
      <c r="AL2004">
        <v>0.26</v>
      </c>
      <c r="AM2004">
        <v>787</v>
      </c>
      <c r="AN2004">
        <v>9</v>
      </c>
      <c r="AO2004">
        <v>1.6999999999999999E-3</v>
      </c>
      <c r="AP2004">
        <v>-5</v>
      </c>
      <c r="AQ2004">
        <v>-1.84</v>
      </c>
      <c r="AR2004">
        <v>-4.43</v>
      </c>
      <c r="AS2004">
        <v>-8.1300000000000008</v>
      </c>
      <c r="AT2004">
        <v>4.07</v>
      </c>
      <c r="AU2004">
        <v>32.11</v>
      </c>
      <c r="AV2004">
        <v>0</v>
      </c>
      <c r="AW2004">
        <v>1.63</v>
      </c>
      <c r="AX2004">
        <v>35.44</v>
      </c>
      <c r="AY2004">
        <v>28.65</v>
      </c>
      <c r="AZ2004">
        <v>108.17</v>
      </c>
      <c r="BA2004">
        <v>0.54</v>
      </c>
      <c r="BB2004" t="s">
        <v>134</v>
      </c>
      <c r="BF2004">
        <v>-0.3</v>
      </c>
      <c r="BG2004">
        <v>-1.3</v>
      </c>
      <c r="BH2004">
        <v>-3.17</v>
      </c>
      <c r="BI2004">
        <v>0.32</v>
      </c>
      <c r="BJ2004">
        <v>20210830</v>
      </c>
      <c r="BK2004">
        <v>20170503</v>
      </c>
      <c r="BL2004">
        <v>1.29</v>
      </c>
      <c r="BM2004" t="s">
        <v>120</v>
      </c>
      <c r="BN2004" t="s">
        <v>120</v>
      </c>
      <c r="BO2004">
        <v>20.99</v>
      </c>
      <c r="BP2004">
        <v>22.01</v>
      </c>
      <c r="BQ2004">
        <v>6.32</v>
      </c>
      <c r="BR2004">
        <v>0.22</v>
      </c>
      <c r="BS2004">
        <v>68.819999999999993</v>
      </c>
      <c r="BT2004">
        <v>12.6</v>
      </c>
      <c r="BU2004">
        <v>1.72</v>
      </c>
      <c r="BV2004">
        <v>0.19</v>
      </c>
      <c r="BW2004">
        <v>13.77</v>
      </c>
      <c r="BX2004">
        <v>1.1100000000000001</v>
      </c>
      <c r="BY2004">
        <v>5.1100000000000003</v>
      </c>
      <c r="BZ2004">
        <v>3.52</v>
      </c>
      <c r="CA2004">
        <v>0</v>
      </c>
      <c r="CB2004">
        <v>1.79</v>
      </c>
      <c r="CC2004">
        <v>27.36</v>
      </c>
      <c r="CD2004">
        <v>25.31</v>
      </c>
      <c r="CE2004">
        <v>0.9</v>
      </c>
      <c r="CF2004">
        <v>0</v>
      </c>
      <c r="CG2004">
        <v>0.96</v>
      </c>
      <c r="CH2004">
        <v>0.77</v>
      </c>
      <c r="CI2004">
        <v>0.75</v>
      </c>
      <c r="CJ2004">
        <v>-0.37</v>
      </c>
      <c r="CK2004">
        <v>0.69</v>
      </c>
      <c r="CL2004">
        <v>3.3</v>
      </c>
      <c r="CM2004">
        <v>1.57</v>
      </c>
      <c r="CN2004">
        <v>0.15</v>
      </c>
      <c r="CO2004">
        <v>5143</v>
      </c>
      <c r="CP2004">
        <v>8859</v>
      </c>
      <c r="CQ2004" t="s">
        <v>5714</v>
      </c>
      <c r="CR2004">
        <v>5022.32</v>
      </c>
      <c r="CS2004">
        <v>2015.17</v>
      </c>
      <c r="CT2004">
        <v>3.74</v>
      </c>
      <c r="CU2004">
        <v>18.07</v>
      </c>
      <c r="CV2004">
        <v>1.03</v>
      </c>
      <c r="CW2004">
        <v>0</v>
      </c>
      <c r="CX2004" t="s">
        <v>2021</v>
      </c>
      <c r="CY2004">
        <v>5.89</v>
      </c>
      <c r="CZ2004">
        <v>5.89</v>
      </c>
      <c r="DA2004">
        <v>1.39</v>
      </c>
      <c r="DB2004">
        <v>2.56</v>
      </c>
      <c r="DC2004">
        <v>1.22</v>
      </c>
      <c r="DD2004">
        <v>30.13</v>
      </c>
      <c r="DE2004" t="s">
        <v>9857</v>
      </c>
      <c r="DF2004">
        <v>7.49</v>
      </c>
      <c r="DG2004">
        <v>3.29</v>
      </c>
      <c r="DH2004">
        <v>2.75</v>
      </c>
      <c r="DI2004">
        <v>0.22</v>
      </c>
      <c r="DJ2004">
        <v>944</v>
      </c>
      <c r="DK2004">
        <v>300650</v>
      </c>
      <c r="DL2004" t="s">
        <v>120</v>
      </c>
      <c r="DM2004" t="s">
        <v>120</v>
      </c>
      <c r="DN2004" t="s">
        <v>120</v>
      </c>
    </row>
    <row r="2005" spans="1:118">
      <c r="A2005" t="str">
        <f>"300651"</f>
        <v>300651</v>
      </c>
      <c r="B2005" t="s">
        <v>9858</v>
      </c>
      <c r="C2005">
        <v>-5.64</v>
      </c>
      <c r="D2005">
        <v>-0.09</v>
      </c>
      <c r="E2005">
        <v>-0.64</v>
      </c>
      <c r="F2005">
        <v>276</v>
      </c>
      <c r="G2005" t="s">
        <v>9809</v>
      </c>
      <c r="H2005">
        <v>6050.03</v>
      </c>
      <c r="I2005">
        <v>45.23</v>
      </c>
      <c r="J2005" t="s">
        <v>120</v>
      </c>
      <c r="K2005" t="s">
        <v>9859</v>
      </c>
      <c r="L2005">
        <v>2.73</v>
      </c>
      <c r="M2005">
        <v>29.42</v>
      </c>
      <c r="N2005">
        <v>1.1200000000000001</v>
      </c>
      <c r="O2005">
        <v>1.64</v>
      </c>
      <c r="P2005">
        <v>31.69</v>
      </c>
      <c r="Q2005">
        <v>-5.64</v>
      </c>
      <c r="R2005">
        <v>29.42</v>
      </c>
      <c r="S2005">
        <v>30.98</v>
      </c>
      <c r="T2005">
        <v>19847</v>
      </c>
      <c r="U2005">
        <v>29.45</v>
      </c>
      <c r="V2005">
        <v>31.18</v>
      </c>
      <c r="W2005">
        <v>118.8</v>
      </c>
      <c r="X2005" t="s">
        <v>213</v>
      </c>
      <c r="Y2005" t="s">
        <v>319</v>
      </c>
      <c r="Z2005">
        <v>7.28</v>
      </c>
      <c r="AA2005">
        <v>30.48</v>
      </c>
      <c r="AB2005">
        <v>11779</v>
      </c>
      <c r="AC2005">
        <v>8068</v>
      </c>
      <c r="AD2005">
        <v>1.46</v>
      </c>
      <c r="AE2005">
        <v>20</v>
      </c>
      <c r="AF2005">
        <v>41</v>
      </c>
      <c r="AG2005" t="s">
        <v>120</v>
      </c>
      <c r="AH2005">
        <v>0.02</v>
      </c>
      <c r="AI2005" t="s">
        <v>120</v>
      </c>
      <c r="AJ2005">
        <v>0.73</v>
      </c>
      <c r="AK2005" t="s">
        <v>9860</v>
      </c>
      <c r="AL2005">
        <v>-3.73</v>
      </c>
      <c r="AM2005">
        <v>1538</v>
      </c>
      <c r="AN2005">
        <v>13</v>
      </c>
      <c r="AO2005">
        <v>1.8E-3</v>
      </c>
      <c r="AP2005">
        <v>-1</v>
      </c>
      <c r="AQ2005">
        <v>2.16</v>
      </c>
      <c r="AR2005">
        <v>-6.55</v>
      </c>
      <c r="AS2005">
        <v>-8.3000000000000007</v>
      </c>
      <c r="AT2005">
        <v>-30.34</v>
      </c>
      <c r="AU2005">
        <v>-34.06</v>
      </c>
      <c r="AV2005">
        <v>1</v>
      </c>
      <c r="AW2005">
        <v>2.86</v>
      </c>
      <c r="AX2005">
        <v>53.85</v>
      </c>
      <c r="AY2005">
        <v>133.19</v>
      </c>
      <c r="AZ2005">
        <v>133.44</v>
      </c>
      <c r="BA2005">
        <v>0.77</v>
      </c>
      <c r="BB2005" t="s">
        <v>143</v>
      </c>
      <c r="BF2005">
        <v>-2.23</v>
      </c>
      <c r="BG2005">
        <v>-5.04</v>
      </c>
      <c r="BH2005">
        <v>-7.16</v>
      </c>
      <c r="BI2005">
        <v>0</v>
      </c>
      <c r="BJ2005">
        <v>20210830</v>
      </c>
      <c r="BK2005">
        <v>20170509</v>
      </c>
      <c r="BL2005">
        <v>1.29</v>
      </c>
      <c r="BM2005" t="s">
        <v>120</v>
      </c>
      <c r="BN2005" t="s">
        <v>120</v>
      </c>
      <c r="BO2005">
        <v>12.33</v>
      </c>
      <c r="BP2005">
        <v>29.42</v>
      </c>
      <c r="BQ2005">
        <v>7.26</v>
      </c>
      <c r="BR2005">
        <v>0.12</v>
      </c>
      <c r="BS2005">
        <v>40.14</v>
      </c>
      <c r="BT2005">
        <v>6.94</v>
      </c>
      <c r="BU2005">
        <v>3.1</v>
      </c>
      <c r="BV2005">
        <v>0.52</v>
      </c>
      <c r="BW2005">
        <v>2.73</v>
      </c>
      <c r="BX2005">
        <v>0.48</v>
      </c>
      <c r="BY2005">
        <v>1.93</v>
      </c>
      <c r="BZ2005">
        <v>1.34</v>
      </c>
      <c r="CA2005" t="s">
        <v>120</v>
      </c>
      <c r="CB2005">
        <v>1.96</v>
      </c>
      <c r="CC2005">
        <v>1.72</v>
      </c>
      <c r="CD2005">
        <v>1.1000000000000001</v>
      </c>
      <c r="CE2005">
        <v>0.23</v>
      </c>
      <c r="CF2005">
        <v>-0.02</v>
      </c>
      <c r="CG2005">
        <v>0.23</v>
      </c>
      <c r="CH2005">
        <v>0.17</v>
      </c>
      <c r="CI2005">
        <v>0.16</v>
      </c>
      <c r="CJ2005">
        <v>-1.76</v>
      </c>
      <c r="CK2005">
        <v>0.12</v>
      </c>
      <c r="CL2005">
        <v>3.23</v>
      </c>
      <c r="CM2005">
        <v>-0.08</v>
      </c>
      <c r="CN2005">
        <v>0.02</v>
      </c>
      <c r="CO2005">
        <v>7077</v>
      </c>
      <c r="CP2005">
        <v>9797</v>
      </c>
      <c r="CQ2005" t="s">
        <v>3129</v>
      </c>
      <c r="CR2005">
        <v>0.35</v>
      </c>
      <c r="CS2005">
        <v>-1.82</v>
      </c>
      <c r="CT2005">
        <v>5.49</v>
      </c>
      <c r="CU2005">
        <v>-452.46</v>
      </c>
      <c r="CV2005">
        <v>22.05</v>
      </c>
      <c r="CW2005">
        <v>0.32</v>
      </c>
      <c r="CX2005" t="s">
        <v>4602</v>
      </c>
      <c r="CY2005">
        <v>5.36</v>
      </c>
      <c r="CZ2005">
        <v>5.36</v>
      </c>
      <c r="DA2005">
        <v>1.52</v>
      </c>
      <c r="DB2005">
        <v>2.5099999999999998</v>
      </c>
      <c r="DC2005">
        <v>-7.0000000000000007E-2</v>
      </c>
      <c r="DD2005">
        <v>58.85</v>
      </c>
      <c r="DE2005" t="s">
        <v>1974</v>
      </c>
      <c r="DF2005">
        <v>36.159999999999997</v>
      </c>
      <c r="DG2005">
        <v>13.26</v>
      </c>
      <c r="DH2005">
        <v>9.2799999999999994</v>
      </c>
      <c r="DI2005">
        <v>0.08</v>
      </c>
      <c r="DJ2005">
        <v>768</v>
      </c>
      <c r="DK2005">
        <v>300651</v>
      </c>
      <c r="DL2005" t="s">
        <v>120</v>
      </c>
      <c r="DM2005" t="s">
        <v>120</v>
      </c>
      <c r="DN2005" t="s">
        <v>120</v>
      </c>
    </row>
    <row r="2006" spans="1:118">
      <c r="A2006" t="str">
        <f>"300652"</f>
        <v>300652</v>
      </c>
      <c r="B2006" t="s">
        <v>9861</v>
      </c>
      <c r="C2006">
        <v>0.21</v>
      </c>
      <c r="D2006">
        <v>0.31</v>
      </c>
      <c r="E2006">
        <v>0.52</v>
      </c>
      <c r="F2006">
        <v>99</v>
      </c>
      <c r="G2006" t="s">
        <v>7365</v>
      </c>
      <c r="H2006">
        <v>2568.0100000000002</v>
      </c>
      <c r="I2006">
        <v>2.5099999999999998</v>
      </c>
      <c r="J2006" t="s">
        <v>120</v>
      </c>
      <c r="K2006" t="s">
        <v>9862</v>
      </c>
      <c r="L2006">
        <v>1.58</v>
      </c>
      <c r="M2006">
        <v>19.260000000000002</v>
      </c>
      <c r="N2006">
        <v>0.92</v>
      </c>
      <c r="O2006">
        <v>3.28</v>
      </c>
      <c r="P2006">
        <v>19.850000000000001</v>
      </c>
      <c r="Q2006">
        <v>-0.47</v>
      </c>
      <c r="R2006">
        <v>19.13</v>
      </c>
      <c r="S2006">
        <v>19.32</v>
      </c>
      <c r="T2006">
        <v>13178</v>
      </c>
      <c r="U2006">
        <v>19.28</v>
      </c>
      <c r="V2006">
        <v>19.22</v>
      </c>
      <c r="W2006">
        <v>27</v>
      </c>
      <c r="X2006" t="s">
        <v>289</v>
      </c>
      <c r="Y2006" t="s">
        <v>585</v>
      </c>
      <c r="Z2006">
        <v>3.75</v>
      </c>
      <c r="AA2006">
        <v>19.489999999999998</v>
      </c>
      <c r="AB2006">
        <v>7016</v>
      </c>
      <c r="AC2006">
        <v>6162</v>
      </c>
      <c r="AD2006">
        <v>1.1399999999999999</v>
      </c>
      <c r="AE2006">
        <v>57</v>
      </c>
      <c r="AF2006">
        <v>70</v>
      </c>
      <c r="AG2006" t="s">
        <v>120</v>
      </c>
      <c r="AH2006">
        <v>0</v>
      </c>
      <c r="AI2006" t="s">
        <v>120</v>
      </c>
      <c r="AJ2006">
        <v>0.84</v>
      </c>
      <c r="AK2006" t="s">
        <v>4265</v>
      </c>
      <c r="AL2006">
        <v>2.12</v>
      </c>
      <c r="AM2006">
        <v>968</v>
      </c>
      <c r="AN2006">
        <v>14</v>
      </c>
      <c r="AO2006">
        <v>1.6000000000000001E-3</v>
      </c>
      <c r="AP2006">
        <v>1</v>
      </c>
      <c r="AQ2006">
        <v>-0.26</v>
      </c>
      <c r="AR2006">
        <v>-0.05</v>
      </c>
      <c r="AS2006">
        <v>0.89</v>
      </c>
      <c r="AT2006">
        <v>-4.84</v>
      </c>
      <c r="AU2006">
        <v>-1.89</v>
      </c>
      <c r="AV2006">
        <v>0</v>
      </c>
      <c r="AW2006">
        <v>3.5</v>
      </c>
      <c r="AX2006">
        <v>40</v>
      </c>
      <c r="AY2006">
        <v>26.34</v>
      </c>
      <c r="AZ2006">
        <v>30.47</v>
      </c>
      <c r="BA2006">
        <v>1.2</v>
      </c>
      <c r="BB2006" t="s">
        <v>143</v>
      </c>
      <c r="BF2006">
        <v>1.39</v>
      </c>
      <c r="BG2006">
        <v>-0.31</v>
      </c>
      <c r="BH2006">
        <v>-2.97</v>
      </c>
      <c r="BI2006">
        <v>0.68</v>
      </c>
      <c r="BJ2006">
        <v>20210830</v>
      </c>
      <c r="BK2006">
        <v>20170516</v>
      </c>
      <c r="BL2006">
        <v>0.94</v>
      </c>
      <c r="BM2006" t="s">
        <v>120</v>
      </c>
      <c r="BN2006" t="s">
        <v>120</v>
      </c>
      <c r="BO2006">
        <v>13.22</v>
      </c>
      <c r="BP2006">
        <v>19.260000000000002</v>
      </c>
      <c r="BQ2006">
        <v>9.4600000000000009</v>
      </c>
      <c r="BR2006" t="s">
        <v>120</v>
      </c>
      <c r="BS2006">
        <v>28.44</v>
      </c>
      <c r="BT2006">
        <v>9.57</v>
      </c>
      <c r="BU2006">
        <v>2.1</v>
      </c>
      <c r="BV2006">
        <v>0.59</v>
      </c>
      <c r="BW2006">
        <v>2.23</v>
      </c>
      <c r="BX2006">
        <v>1.65</v>
      </c>
      <c r="BY2006">
        <v>1.94</v>
      </c>
      <c r="BZ2006">
        <v>0.95</v>
      </c>
      <c r="CA2006" t="s">
        <v>120</v>
      </c>
      <c r="CB2006">
        <v>4.6900000000000004</v>
      </c>
      <c r="CC2006">
        <v>2.5099999999999998</v>
      </c>
      <c r="CD2006">
        <v>1.75</v>
      </c>
      <c r="CE2006">
        <v>0.39</v>
      </c>
      <c r="CF2006">
        <v>0.09</v>
      </c>
      <c r="CG2006">
        <v>0.4</v>
      </c>
      <c r="CH2006">
        <v>0.34</v>
      </c>
      <c r="CI2006">
        <v>0.34</v>
      </c>
      <c r="CJ2006">
        <v>0.04</v>
      </c>
      <c r="CK2006">
        <v>0.32</v>
      </c>
      <c r="CL2006">
        <v>3.17</v>
      </c>
      <c r="CM2006">
        <v>0.15</v>
      </c>
      <c r="CN2006">
        <v>-0.85</v>
      </c>
      <c r="CO2006">
        <v>7533</v>
      </c>
      <c r="CP2006">
        <v>4996</v>
      </c>
      <c r="CQ2006" t="s">
        <v>4556</v>
      </c>
      <c r="CR2006">
        <v>38.369999999999997</v>
      </c>
      <c r="CS2006">
        <v>26.9</v>
      </c>
      <c r="CT2006">
        <v>1.96</v>
      </c>
      <c r="CU2006">
        <v>123.74</v>
      </c>
      <c r="CV2006">
        <v>7.22</v>
      </c>
      <c r="CW2006">
        <v>2.6</v>
      </c>
      <c r="CX2006" t="s">
        <v>472</v>
      </c>
      <c r="CY2006">
        <v>9.82</v>
      </c>
      <c r="CZ2006">
        <v>9.82</v>
      </c>
      <c r="DA2006">
        <v>4.99</v>
      </c>
      <c r="DB2006">
        <v>3.36</v>
      </c>
      <c r="DC2006">
        <v>0.16</v>
      </c>
      <c r="DD2006">
        <v>71.56</v>
      </c>
      <c r="DE2006" t="s">
        <v>3080</v>
      </c>
      <c r="DF2006">
        <v>30.28</v>
      </c>
      <c r="DG2006">
        <v>15.66</v>
      </c>
      <c r="DH2006">
        <v>13.36</v>
      </c>
      <c r="DI2006">
        <v>0.12</v>
      </c>
      <c r="DJ2006">
        <v>748</v>
      </c>
      <c r="DK2006">
        <v>300652</v>
      </c>
      <c r="DL2006" t="s">
        <v>120</v>
      </c>
      <c r="DM2006" t="s">
        <v>120</v>
      </c>
      <c r="DN2006" t="s">
        <v>120</v>
      </c>
    </row>
    <row r="2007" spans="1:118">
      <c r="A2007" t="str">
        <f>"300653"</f>
        <v>300653</v>
      </c>
      <c r="B2007" t="s">
        <v>9863</v>
      </c>
      <c r="C2007">
        <v>0.25</v>
      </c>
      <c r="D2007">
        <v>-0.01</v>
      </c>
      <c r="E2007">
        <v>-0.21</v>
      </c>
      <c r="F2007">
        <v>54</v>
      </c>
      <c r="G2007" t="s">
        <v>5488</v>
      </c>
      <c r="H2007">
        <v>6747.2</v>
      </c>
      <c r="I2007">
        <v>10.98</v>
      </c>
      <c r="J2007" t="s">
        <v>120</v>
      </c>
      <c r="K2007" t="s">
        <v>6610</v>
      </c>
      <c r="L2007">
        <v>1.17</v>
      </c>
      <c r="M2007">
        <v>47.98</v>
      </c>
      <c r="N2007">
        <v>0.85</v>
      </c>
      <c r="O2007">
        <v>1.65</v>
      </c>
      <c r="P2007">
        <v>48.65</v>
      </c>
      <c r="Q2007">
        <v>-1.65</v>
      </c>
      <c r="R2007">
        <v>47.07</v>
      </c>
      <c r="S2007">
        <v>47.76</v>
      </c>
      <c r="T2007">
        <v>14043</v>
      </c>
      <c r="U2007">
        <v>47.98</v>
      </c>
      <c r="V2007">
        <v>47.86</v>
      </c>
      <c r="W2007">
        <v>35.5</v>
      </c>
      <c r="X2007" t="s">
        <v>555</v>
      </c>
      <c r="Y2007" t="s">
        <v>638</v>
      </c>
      <c r="Z2007">
        <v>3.3</v>
      </c>
      <c r="AA2007">
        <v>48.05</v>
      </c>
      <c r="AB2007">
        <v>7351</v>
      </c>
      <c r="AC2007">
        <v>6692</v>
      </c>
      <c r="AD2007">
        <v>1.1000000000000001</v>
      </c>
      <c r="AE2007">
        <v>9</v>
      </c>
      <c r="AF2007">
        <v>2</v>
      </c>
      <c r="AG2007" t="s">
        <v>120</v>
      </c>
      <c r="AH2007">
        <v>0</v>
      </c>
      <c r="AI2007" t="s">
        <v>120</v>
      </c>
      <c r="AJ2007">
        <v>1.2</v>
      </c>
      <c r="AK2007" t="s">
        <v>6610</v>
      </c>
      <c r="AL2007">
        <v>2.16</v>
      </c>
      <c r="AM2007">
        <v>1709</v>
      </c>
      <c r="AN2007">
        <v>8</v>
      </c>
      <c r="AO2007">
        <v>6.9999999999999999E-4</v>
      </c>
      <c r="AP2007">
        <v>1</v>
      </c>
      <c r="AQ2007">
        <v>-3.8</v>
      </c>
      <c r="AR2007">
        <v>-2.87</v>
      </c>
      <c r="AS2007">
        <v>-15.99</v>
      </c>
      <c r="AT2007">
        <v>-32.119999999999997</v>
      </c>
      <c r="AU2007">
        <v>-14.9</v>
      </c>
      <c r="AV2007">
        <v>0</v>
      </c>
      <c r="AW2007">
        <v>2.2599999999999998</v>
      </c>
      <c r="AX2007">
        <v>51.83</v>
      </c>
      <c r="AY2007">
        <v>39.770000000000003</v>
      </c>
      <c r="AZ2007">
        <v>48.53</v>
      </c>
      <c r="BA2007">
        <v>1.17</v>
      </c>
      <c r="BB2007" t="s">
        <v>125</v>
      </c>
      <c r="BF2007">
        <v>0.39</v>
      </c>
      <c r="BG2007">
        <v>0.46</v>
      </c>
      <c r="BH2007">
        <v>-1.38</v>
      </c>
      <c r="BI2007">
        <v>1.93</v>
      </c>
      <c r="BJ2007">
        <v>20210806</v>
      </c>
      <c r="BK2007">
        <v>20170516</v>
      </c>
      <c r="BL2007">
        <v>1.2</v>
      </c>
      <c r="BM2007" t="s">
        <v>120</v>
      </c>
      <c r="BN2007" t="s">
        <v>120</v>
      </c>
      <c r="BO2007">
        <v>8.39</v>
      </c>
      <c r="BP2007">
        <v>47.96</v>
      </c>
      <c r="BQ2007">
        <v>6.98</v>
      </c>
      <c r="BR2007" t="s">
        <v>120</v>
      </c>
      <c r="BS2007">
        <v>16.84</v>
      </c>
      <c r="BT2007">
        <v>5.62</v>
      </c>
      <c r="BU2007">
        <v>2.27</v>
      </c>
      <c r="BV2007">
        <v>0.39</v>
      </c>
      <c r="BW2007">
        <v>1.3</v>
      </c>
      <c r="BX2007">
        <v>0.97</v>
      </c>
      <c r="BY2007">
        <v>0.25</v>
      </c>
      <c r="BZ2007">
        <v>0.57999999999999996</v>
      </c>
      <c r="CA2007" t="s">
        <v>120</v>
      </c>
      <c r="CB2007">
        <v>2.29</v>
      </c>
      <c r="CC2007">
        <v>2.0099999999999998</v>
      </c>
      <c r="CD2007">
        <v>0.19</v>
      </c>
      <c r="CE2007">
        <v>0.96</v>
      </c>
      <c r="CF2007">
        <v>0</v>
      </c>
      <c r="CG2007">
        <v>0.96</v>
      </c>
      <c r="CH2007">
        <v>0.81</v>
      </c>
      <c r="CI2007">
        <v>0.81</v>
      </c>
      <c r="CJ2007">
        <v>0.12</v>
      </c>
      <c r="CK2007">
        <v>0.79</v>
      </c>
      <c r="CL2007">
        <v>3.04</v>
      </c>
      <c r="CM2007">
        <v>0.83</v>
      </c>
      <c r="CN2007">
        <v>-0.79</v>
      </c>
      <c r="CO2007">
        <v>17786</v>
      </c>
      <c r="CP2007">
        <v>3497</v>
      </c>
      <c r="CQ2007" t="s">
        <v>9864</v>
      </c>
      <c r="CR2007">
        <v>47.39</v>
      </c>
      <c r="CS2007">
        <v>49.5</v>
      </c>
      <c r="CT2007">
        <v>8.25</v>
      </c>
      <c r="CU2007">
        <v>69.17</v>
      </c>
      <c r="CV2007">
        <v>28.65</v>
      </c>
      <c r="CW2007">
        <v>0.52</v>
      </c>
      <c r="CX2007" t="s">
        <v>527</v>
      </c>
      <c r="CY2007">
        <v>5.82</v>
      </c>
      <c r="CZ2007">
        <v>0</v>
      </c>
      <c r="DA2007">
        <v>1.91</v>
      </c>
      <c r="DB2007">
        <v>2.5299999999999998</v>
      </c>
      <c r="DC2007">
        <v>0.69</v>
      </c>
      <c r="DD2007">
        <v>83.16</v>
      </c>
      <c r="DE2007" t="s">
        <v>9865</v>
      </c>
      <c r="DF2007">
        <v>90.78</v>
      </c>
      <c r="DG2007">
        <v>47.89</v>
      </c>
      <c r="DH2007">
        <v>40.35</v>
      </c>
      <c r="DI2007">
        <v>0.14000000000000001</v>
      </c>
      <c r="DJ2007">
        <v>354</v>
      </c>
      <c r="DK2007">
        <v>300653</v>
      </c>
      <c r="DL2007" t="s">
        <v>120</v>
      </c>
      <c r="DM2007" t="s">
        <v>120</v>
      </c>
      <c r="DN2007" t="s">
        <v>120</v>
      </c>
    </row>
    <row r="2008" spans="1:118">
      <c r="A2008" t="str">
        <f>"300654"</f>
        <v>300654</v>
      </c>
      <c r="B2008" t="s">
        <v>9866</v>
      </c>
      <c r="C2008">
        <v>0.13</v>
      </c>
      <c r="D2008">
        <v>-0.25</v>
      </c>
      <c r="E2008">
        <v>-0.13</v>
      </c>
      <c r="F2008">
        <v>558</v>
      </c>
      <c r="G2008" t="s">
        <v>9867</v>
      </c>
      <c r="H2008">
        <v>1938.23</v>
      </c>
      <c r="I2008">
        <v>0</v>
      </c>
      <c r="J2008" t="s">
        <v>120</v>
      </c>
      <c r="K2008" t="s">
        <v>9868</v>
      </c>
      <c r="L2008">
        <v>1.41</v>
      </c>
      <c r="M2008">
        <v>7.78</v>
      </c>
      <c r="N2008">
        <v>1.1399999999999999</v>
      </c>
      <c r="O2008">
        <v>3.73</v>
      </c>
      <c r="P2008">
        <v>8.06</v>
      </c>
      <c r="Q2008">
        <v>-0.51</v>
      </c>
      <c r="R2008">
        <v>7.73</v>
      </c>
      <c r="S2008">
        <v>7.76</v>
      </c>
      <c r="T2008">
        <v>24539</v>
      </c>
      <c r="U2008">
        <v>7.79</v>
      </c>
      <c r="V2008">
        <v>7.77</v>
      </c>
      <c r="W2008" t="s">
        <v>120</v>
      </c>
      <c r="X2008" t="s">
        <v>1730</v>
      </c>
      <c r="Y2008" t="s">
        <v>638</v>
      </c>
      <c r="Z2008">
        <v>4.25</v>
      </c>
      <c r="AA2008">
        <v>7.9</v>
      </c>
      <c r="AB2008">
        <v>11050</v>
      </c>
      <c r="AC2008">
        <v>13489</v>
      </c>
      <c r="AD2008">
        <v>0.82</v>
      </c>
      <c r="AE2008">
        <v>74</v>
      </c>
      <c r="AF2008">
        <v>71</v>
      </c>
      <c r="AG2008" t="s">
        <v>120</v>
      </c>
      <c r="AH2008">
        <v>0</v>
      </c>
      <c r="AI2008" t="s">
        <v>120</v>
      </c>
      <c r="AJ2008">
        <v>1.74</v>
      </c>
      <c r="AK2008" t="s">
        <v>8950</v>
      </c>
      <c r="AL2008">
        <v>2.04</v>
      </c>
      <c r="AM2008">
        <v>1008</v>
      </c>
      <c r="AN2008">
        <v>24</v>
      </c>
      <c r="AO2008">
        <v>1.4E-3</v>
      </c>
      <c r="AP2008">
        <v>1</v>
      </c>
      <c r="AQ2008">
        <v>-1.77</v>
      </c>
      <c r="AR2008">
        <v>-4.1900000000000004</v>
      </c>
      <c r="AS2008">
        <v>-2.62</v>
      </c>
      <c r="AT2008">
        <v>-6.38</v>
      </c>
      <c r="AU2008">
        <v>-15.66</v>
      </c>
      <c r="AV2008">
        <v>0</v>
      </c>
      <c r="AW2008">
        <v>2.83</v>
      </c>
      <c r="AX2008">
        <v>47.62</v>
      </c>
      <c r="AY2008">
        <v>43.72</v>
      </c>
      <c r="AZ2008">
        <v>42.51</v>
      </c>
      <c r="BA2008">
        <v>0.86</v>
      </c>
      <c r="BB2008" t="s">
        <v>2725</v>
      </c>
      <c r="BF2008">
        <v>1.66</v>
      </c>
      <c r="BG2008">
        <v>0.26</v>
      </c>
      <c r="BH2008">
        <v>-3.47</v>
      </c>
      <c r="BI2008">
        <v>0.65</v>
      </c>
      <c r="BJ2008">
        <v>20210825</v>
      </c>
      <c r="BK2008">
        <v>20170926</v>
      </c>
      <c r="BL2008">
        <v>1.82</v>
      </c>
      <c r="BM2008" t="s">
        <v>120</v>
      </c>
      <c r="BN2008" t="s">
        <v>120</v>
      </c>
      <c r="BO2008">
        <v>6.46</v>
      </c>
      <c r="BP2008">
        <v>7.78</v>
      </c>
      <c r="BQ2008">
        <v>4.7699999999999996</v>
      </c>
      <c r="BR2008">
        <v>0.1</v>
      </c>
      <c r="BS2008">
        <v>24.54</v>
      </c>
      <c r="BT2008">
        <v>4.88</v>
      </c>
      <c r="BU2008">
        <v>0.47</v>
      </c>
      <c r="BV2008">
        <v>0.36</v>
      </c>
      <c r="BW2008">
        <v>1.46</v>
      </c>
      <c r="BX2008">
        <v>0.75</v>
      </c>
      <c r="BY2008">
        <v>0.51</v>
      </c>
      <c r="BZ2008">
        <v>1.1499999999999999</v>
      </c>
      <c r="CA2008">
        <v>0</v>
      </c>
      <c r="CB2008">
        <v>1.17</v>
      </c>
      <c r="CC2008">
        <v>0.95</v>
      </c>
      <c r="CD2008">
        <v>0.66</v>
      </c>
      <c r="CE2008">
        <v>0</v>
      </c>
      <c r="CF2008">
        <v>0.05</v>
      </c>
      <c r="CG2008">
        <v>0</v>
      </c>
      <c r="CH2008">
        <v>0</v>
      </c>
      <c r="CI2008">
        <v>0</v>
      </c>
      <c r="CJ2008">
        <v>0.01</v>
      </c>
      <c r="CK2008">
        <v>-0.06</v>
      </c>
      <c r="CL2008">
        <v>1.54</v>
      </c>
      <c r="CM2008">
        <v>-0.46</v>
      </c>
      <c r="CN2008">
        <v>-0.27</v>
      </c>
      <c r="CO2008">
        <v>8898</v>
      </c>
      <c r="CP2008">
        <v>9742</v>
      </c>
      <c r="CQ2008" t="s">
        <v>8797</v>
      </c>
      <c r="CR2008">
        <v>-163.72</v>
      </c>
      <c r="CS2008">
        <v>18.899999999999999</v>
      </c>
      <c r="CT2008">
        <v>2.97</v>
      </c>
      <c r="CU2008">
        <v>-31</v>
      </c>
      <c r="CV2008">
        <v>14.93</v>
      </c>
      <c r="CW2008">
        <v>1.0900000000000001</v>
      </c>
      <c r="CX2008" t="s">
        <v>9869</v>
      </c>
      <c r="CY2008">
        <v>2.62</v>
      </c>
      <c r="CZ2008">
        <v>0</v>
      </c>
      <c r="DA2008">
        <v>0.64</v>
      </c>
      <c r="DB2008">
        <v>0.84</v>
      </c>
      <c r="DC2008">
        <v>-0.25</v>
      </c>
      <c r="DD2008">
        <v>73.91</v>
      </c>
      <c r="DE2008" t="s">
        <v>9870</v>
      </c>
      <c r="DF2008">
        <v>30.07</v>
      </c>
      <c r="DG2008">
        <v>0.05</v>
      </c>
      <c r="DH2008">
        <v>-0.38</v>
      </c>
      <c r="DI2008">
        <v>0.02</v>
      </c>
      <c r="DJ2008">
        <v>647</v>
      </c>
      <c r="DK2008">
        <v>300654</v>
      </c>
      <c r="DL2008" t="s">
        <v>120</v>
      </c>
      <c r="DM2008" t="s">
        <v>120</v>
      </c>
      <c r="DN2008" t="s">
        <v>120</v>
      </c>
    </row>
    <row r="2009" spans="1:118">
      <c r="A2009" t="str">
        <f>"300655"</f>
        <v>300655</v>
      </c>
      <c r="B2009" t="s">
        <v>9871</v>
      </c>
      <c r="C2009">
        <v>-5.57</v>
      </c>
      <c r="D2009">
        <v>0</v>
      </c>
      <c r="E2009">
        <v>0.19</v>
      </c>
      <c r="F2009">
        <v>1625</v>
      </c>
      <c r="G2009" t="s">
        <v>9872</v>
      </c>
      <c r="H2009">
        <v>56606.35</v>
      </c>
      <c r="I2009">
        <v>208.08</v>
      </c>
      <c r="J2009" t="s">
        <v>120</v>
      </c>
      <c r="K2009" t="s">
        <v>9873</v>
      </c>
      <c r="L2009">
        <v>4.22</v>
      </c>
      <c r="M2009">
        <v>45.61</v>
      </c>
      <c r="N2009">
        <v>0.51</v>
      </c>
      <c r="O2009">
        <v>0.77</v>
      </c>
      <c r="P2009">
        <v>48.67</v>
      </c>
      <c r="Q2009">
        <v>-5.59</v>
      </c>
      <c r="R2009">
        <v>45.6</v>
      </c>
      <c r="S2009">
        <v>48.39</v>
      </c>
      <c r="T2009">
        <v>121147</v>
      </c>
      <c r="U2009">
        <v>45.61</v>
      </c>
      <c r="V2009">
        <v>48.3</v>
      </c>
      <c r="W2009">
        <v>67.459999999999994</v>
      </c>
      <c r="X2009" t="s">
        <v>868</v>
      </c>
      <c r="Y2009" t="s">
        <v>319</v>
      </c>
      <c r="Z2009">
        <v>6.36</v>
      </c>
      <c r="AA2009">
        <v>46.73</v>
      </c>
      <c r="AB2009">
        <v>67847</v>
      </c>
      <c r="AC2009">
        <v>53300</v>
      </c>
      <c r="AD2009">
        <v>1.27</v>
      </c>
      <c r="AE2009">
        <v>940</v>
      </c>
      <c r="AF2009">
        <v>78</v>
      </c>
      <c r="AG2009" t="s">
        <v>120</v>
      </c>
      <c r="AH2009">
        <v>0.02</v>
      </c>
      <c r="AI2009" t="s">
        <v>120</v>
      </c>
      <c r="AJ2009">
        <v>2.87</v>
      </c>
      <c r="AK2009" t="s">
        <v>9874</v>
      </c>
      <c r="AL2009">
        <v>-3.66</v>
      </c>
      <c r="AM2009">
        <v>4271</v>
      </c>
      <c r="AN2009">
        <v>28</v>
      </c>
      <c r="AO2009">
        <v>1E-3</v>
      </c>
      <c r="AP2009">
        <v>-2</v>
      </c>
      <c r="AQ2009">
        <v>-1.63</v>
      </c>
      <c r="AR2009">
        <v>-6.15</v>
      </c>
      <c r="AS2009">
        <v>-8.7799999999999994</v>
      </c>
      <c r="AT2009">
        <v>57.27</v>
      </c>
      <c r="AU2009">
        <v>141.77000000000001</v>
      </c>
      <c r="AV2009">
        <v>2</v>
      </c>
      <c r="AW2009">
        <v>5.86</v>
      </c>
      <c r="AX2009">
        <v>60.73</v>
      </c>
      <c r="AY2009">
        <v>95.76</v>
      </c>
      <c r="AZ2009">
        <v>213.82</v>
      </c>
      <c r="BA2009">
        <v>0.98</v>
      </c>
      <c r="BB2009" t="s">
        <v>143</v>
      </c>
      <c r="BF2009">
        <v>-3.26</v>
      </c>
      <c r="BG2009">
        <v>-5.74</v>
      </c>
      <c r="BH2009">
        <v>-6.29</v>
      </c>
      <c r="BI2009">
        <v>0.02</v>
      </c>
      <c r="BJ2009">
        <v>20210909</v>
      </c>
      <c r="BK2009">
        <v>20170523</v>
      </c>
      <c r="BL2009">
        <v>3.41</v>
      </c>
      <c r="BM2009" t="s">
        <v>120</v>
      </c>
      <c r="BN2009" t="s">
        <v>120</v>
      </c>
      <c r="BO2009">
        <v>24.9</v>
      </c>
      <c r="BP2009">
        <v>45.6</v>
      </c>
      <c r="BQ2009">
        <v>14.02</v>
      </c>
      <c r="BR2009">
        <v>0.77</v>
      </c>
      <c r="BS2009">
        <v>40.619999999999997</v>
      </c>
      <c r="BT2009">
        <v>10.45</v>
      </c>
      <c r="BU2009">
        <v>4.7699999999999996</v>
      </c>
      <c r="BV2009">
        <v>1</v>
      </c>
      <c r="BW2009">
        <v>7.51</v>
      </c>
      <c r="BX2009">
        <v>2.83</v>
      </c>
      <c r="BY2009">
        <v>1.04</v>
      </c>
      <c r="BZ2009">
        <v>3.41</v>
      </c>
      <c r="CA2009">
        <v>0</v>
      </c>
      <c r="CB2009">
        <v>7.46</v>
      </c>
      <c r="CC2009">
        <v>8.6300000000000008</v>
      </c>
      <c r="CD2009">
        <v>7.02</v>
      </c>
      <c r="CE2009">
        <v>1.48</v>
      </c>
      <c r="CF2009">
        <v>0.01</v>
      </c>
      <c r="CG2009">
        <v>1.48</v>
      </c>
      <c r="CH2009">
        <v>1.2</v>
      </c>
      <c r="CI2009">
        <v>1.1499999999999999</v>
      </c>
      <c r="CJ2009">
        <v>-2.69</v>
      </c>
      <c r="CK2009">
        <v>0.55000000000000004</v>
      </c>
      <c r="CL2009">
        <v>2.78</v>
      </c>
      <c r="CM2009">
        <v>0.36</v>
      </c>
      <c r="CN2009">
        <v>-0.03</v>
      </c>
      <c r="CO2009">
        <v>46430</v>
      </c>
      <c r="CP2009">
        <v>4456</v>
      </c>
      <c r="CQ2009" t="s">
        <v>7163</v>
      </c>
      <c r="CR2009">
        <v>467.24</v>
      </c>
      <c r="CS2009">
        <v>101.34</v>
      </c>
      <c r="CT2009">
        <v>11.16</v>
      </c>
      <c r="CU2009">
        <v>426.86</v>
      </c>
      <c r="CV2009">
        <v>18</v>
      </c>
      <c r="CW2009">
        <v>0.23</v>
      </c>
      <c r="CX2009" t="s">
        <v>1574</v>
      </c>
      <c r="CY2009">
        <v>4.09</v>
      </c>
      <c r="CZ2009">
        <v>4.09</v>
      </c>
      <c r="DA2009">
        <v>2.19</v>
      </c>
      <c r="DB2009">
        <v>0.82</v>
      </c>
      <c r="DC2009">
        <v>0.11</v>
      </c>
      <c r="DD2009">
        <v>56.29</v>
      </c>
      <c r="DE2009" t="s">
        <v>9875</v>
      </c>
      <c r="DF2009">
        <v>18.649999999999999</v>
      </c>
      <c r="DG2009">
        <v>17.18</v>
      </c>
      <c r="DH2009">
        <v>13.35</v>
      </c>
      <c r="DI2009">
        <v>0.19</v>
      </c>
      <c r="DJ2009">
        <v>578</v>
      </c>
      <c r="DK2009">
        <v>300655</v>
      </c>
      <c r="DL2009">
        <v>20210429</v>
      </c>
      <c r="DM2009">
        <v>37.68</v>
      </c>
      <c r="DN2009">
        <v>118.43</v>
      </c>
    </row>
    <row r="2010" spans="1:118">
      <c r="A2010" t="str">
        <f>"300656"</f>
        <v>300656</v>
      </c>
      <c r="B2010" t="s">
        <v>9876</v>
      </c>
      <c r="C2010">
        <v>-9.5299999999999994</v>
      </c>
      <c r="D2010">
        <v>-0.22</v>
      </c>
      <c r="E2010">
        <v>-3.64</v>
      </c>
      <c r="F2010">
        <v>372</v>
      </c>
      <c r="G2010" t="s">
        <v>6039</v>
      </c>
      <c r="H2010">
        <v>15679.1</v>
      </c>
      <c r="I2010">
        <v>339.46</v>
      </c>
      <c r="J2010" t="s">
        <v>120</v>
      </c>
      <c r="K2010" t="s">
        <v>9877</v>
      </c>
      <c r="L2010">
        <v>4.6500000000000004</v>
      </c>
      <c r="M2010">
        <v>39.01</v>
      </c>
      <c r="N2010">
        <v>1.03</v>
      </c>
      <c r="O2010">
        <v>-1.41</v>
      </c>
      <c r="P2010">
        <v>42.51</v>
      </c>
      <c r="Q2010">
        <v>-9.5299999999999994</v>
      </c>
      <c r="R2010">
        <v>39.01</v>
      </c>
      <c r="S2010">
        <v>41.55</v>
      </c>
      <c r="T2010">
        <v>38450</v>
      </c>
      <c r="U2010">
        <v>39.03</v>
      </c>
      <c r="V2010">
        <v>43.12</v>
      </c>
      <c r="W2010">
        <v>90.8</v>
      </c>
      <c r="X2010" t="s">
        <v>238</v>
      </c>
      <c r="Y2010" t="s">
        <v>123</v>
      </c>
      <c r="Z2010">
        <v>8.1199999999999992</v>
      </c>
      <c r="AA2010">
        <v>40.78</v>
      </c>
      <c r="AB2010">
        <v>22823</v>
      </c>
      <c r="AC2010">
        <v>15627</v>
      </c>
      <c r="AD2010">
        <v>1.46</v>
      </c>
      <c r="AE2010">
        <v>5</v>
      </c>
      <c r="AF2010">
        <v>3</v>
      </c>
      <c r="AG2010" t="s">
        <v>120</v>
      </c>
      <c r="AH2010">
        <v>0.2</v>
      </c>
      <c r="AI2010" t="s">
        <v>120</v>
      </c>
      <c r="AJ2010">
        <v>0.83</v>
      </c>
      <c r="AK2010" t="s">
        <v>9878</v>
      </c>
      <c r="AL2010">
        <v>-7.62</v>
      </c>
      <c r="AM2010">
        <v>2614</v>
      </c>
      <c r="AN2010">
        <v>15</v>
      </c>
      <c r="AO2010">
        <v>1.8E-3</v>
      </c>
      <c r="AP2010">
        <v>-1</v>
      </c>
      <c r="AQ2010">
        <v>5.56</v>
      </c>
      <c r="AR2010">
        <v>1.07</v>
      </c>
      <c r="AS2010">
        <v>-14.82</v>
      </c>
      <c r="AT2010">
        <v>8.69</v>
      </c>
      <c r="AU2010">
        <v>51.25</v>
      </c>
      <c r="AV2010">
        <v>4</v>
      </c>
      <c r="AW2010">
        <v>9.61</v>
      </c>
      <c r="AX2010">
        <v>33.409999999999997</v>
      </c>
      <c r="AY2010">
        <v>85.78</v>
      </c>
      <c r="AZ2010">
        <v>100.1</v>
      </c>
      <c r="BA2010">
        <v>0.43</v>
      </c>
      <c r="BB2010" t="s">
        <v>143</v>
      </c>
      <c r="BF2010">
        <v>-5.43</v>
      </c>
      <c r="BG2010">
        <v>-6.11</v>
      </c>
      <c r="BH2010">
        <v>-8.23</v>
      </c>
      <c r="BI2010">
        <v>0</v>
      </c>
      <c r="BJ2010">
        <v>20210807</v>
      </c>
      <c r="BK2010">
        <v>20170519</v>
      </c>
      <c r="BL2010">
        <v>1.2</v>
      </c>
      <c r="BM2010" t="s">
        <v>120</v>
      </c>
      <c r="BN2010" t="s">
        <v>120</v>
      </c>
      <c r="BO2010">
        <v>8.17</v>
      </c>
      <c r="BP2010">
        <v>39.01</v>
      </c>
      <c r="BQ2010">
        <v>5.0599999999999996</v>
      </c>
      <c r="BR2010">
        <v>0.09</v>
      </c>
      <c r="BS2010">
        <v>36.92</v>
      </c>
      <c r="BT2010">
        <v>4.43</v>
      </c>
      <c r="BU2010">
        <v>0.1</v>
      </c>
      <c r="BV2010">
        <v>0.05</v>
      </c>
      <c r="BW2010">
        <v>2.86</v>
      </c>
      <c r="BX2010">
        <v>1.25</v>
      </c>
      <c r="BY2010">
        <v>0.83</v>
      </c>
      <c r="BZ2010">
        <v>1.62</v>
      </c>
      <c r="CA2010" t="s">
        <v>120</v>
      </c>
      <c r="CB2010">
        <v>1.25</v>
      </c>
      <c r="CC2010">
        <v>2.0299999999999998</v>
      </c>
      <c r="CD2010">
        <v>1.42</v>
      </c>
      <c r="CE2010">
        <v>0.28000000000000003</v>
      </c>
      <c r="CF2010">
        <v>0.01</v>
      </c>
      <c r="CG2010">
        <v>0.28000000000000003</v>
      </c>
      <c r="CH2010">
        <v>0.25</v>
      </c>
      <c r="CI2010">
        <v>0.26</v>
      </c>
      <c r="CJ2010">
        <v>-4.1100000000000003</v>
      </c>
      <c r="CK2010">
        <v>0.24</v>
      </c>
      <c r="CL2010">
        <v>2.23</v>
      </c>
      <c r="CM2010">
        <v>0.34</v>
      </c>
      <c r="CN2010">
        <v>0.54</v>
      </c>
      <c r="CO2010">
        <v>9166</v>
      </c>
      <c r="CP2010">
        <v>4366</v>
      </c>
      <c r="CQ2010" t="s">
        <v>5000</v>
      </c>
      <c r="CR2010">
        <v>50.32</v>
      </c>
      <c r="CS2010">
        <v>74.45</v>
      </c>
      <c r="CT2010">
        <v>9.24</v>
      </c>
      <c r="CU2010">
        <v>138.49</v>
      </c>
      <c r="CV2010">
        <v>23.07</v>
      </c>
      <c r="CW2010">
        <v>0.21</v>
      </c>
      <c r="CX2010" t="s">
        <v>8013</v>
      </c>
      <c r="CY2010">
        <v>4.22</v>
      </c>
      <c r="CZ2010">
        <v>0</v>
      </c>
      <c r="DA2010">
        <v>1.04</v>
      </c>
      <c r="DB2010">
        <v>1.87</v>
      </c>
      <c r="DC2010">
        <v>0.28000000000000003</v>
      </c>
      <c r="DD2010">
        <v>61.93</v>
      </c>
      <c r="DE2010" t="s">
        <v>6808</v>
      </c>
      <c r="DF2010">
        <v>30.12</v>
      </c>
      <c r="DG2010">
        <v>13.86</v>
      </c>
      <c r="DH2010">
        <v>12.71</v>
      </c>
      <c r="DI2010">
        <v>0.1</v>
      </c>
      <c r="DJ2010">
        <v>233</v>
      </c>
      <c r="DK2010">
        <v>300656</v>
      </c>
      <c r="DL2010" t="s">
        <v>120</v>
      </c>
      <c r="DM2010" t="s">
        <v>120</v>
      </c>
      <c r="DN2010" t="s">
        <v>120</v>
      </c>
    </row>
    <row r="2011" spans="1:118">
      <c r="A2011" t="str">
        <f>"300657"</f>
        <v>300657</v>
      </c>
      <c r="B2011" t="s">
        <v>9879</v>
      </c>
      <c r="C2011">
        <v>-6.35</v>
      </c>
      <c r="D2011">
        <v>-0.09</v>
      </c>
      <c r="E2011">
        <v>-0.9</v>
      </c>
      <c r="F2011">
        <v>1375</v>
      </c>
      <c r="G2011" t="s">
        <v>9880</v>
      </c>
      <c r="H2011">
        <v>32188.31</v>
      </c>
      <c r="I2011">
        <v>69.959999999999994</v>
      </c>
      <c r="J2011" t="s">
        <v>120</v>
      </c>
      <c r="K2011" t="s">
        <v>9881</v>
      </c>
      <c r="L2011">
        <v>3.87</v>
      </c>
      <c r="M2011">
        <v>20.79</v>
      </c>
      <c r="N2011">
        <v>0.85</v>
      </c>
      <c r="O2011">
        <v>1.71</v>
      </c>
      <c r="P2011">
        <v>22.58</v>
      </c>
      <c r="Q2011">
        <v>-6.53</v>
      </c>
      <c r="R2011">
        <v>20.75</v>
      </c>
      <c r="S2011">
        <v>22</v>
      </c>
      <c r="T2011">
        <v>149962</v>
      </c>
      <c r="U2011">
        <v>20.79</v>
      </c>
      <c r="V2011">
        <v>22.2</v>
      </c>
      <c r="W2011" t="s">
        <v>120</v>
      </c>
      <c r="X2011" t="s">
        <v>229</v>
      </c>
      <c r="Y2011" t="s">
        <v>937</v>
      </c>
      <c r="Z2011">
        <v>8.24</v>
      </c>
      <c r="AA2011">
        <v>21.46</v>
      </c>
      <c r="AB2011">
        <v>95997</v>
      </c>
      <c r="AC2011">
        <v>53965</v>
      </c>
      <c r="AD2011">
        <v>1.78</v>
      </c>
      <c r="AE2011">
        <v>82</v>
      </c>
      <c r="AF2011">
        <v>452</v>
      </c>
      <c r="AG2011" t="s">
        <v>120</v>
      </c>
      <c r="AH2011">
        <v>0.01</v>
      </c>
      <c r="AI2011" t="s">
        <v>120</v>
      </c>
      <c r="AJ2011">
        <v>3.87</v>
      </c>
      <c r="AK2011" t="s">
        <v>9882</v>
      </c>
      <c r="AL2011">
        <v>-4.4400000000000004</v>
      </c>
      <c r="AM2011">
        <v>3842</v>
      </c>
      <c r="AN2011">
        <v>39</v>
      </c>
      <c r="AO2011">
        <v>1E-3</v>
      </c>
      <c r="AP2011">
        <v>-1</v>
      </c>
      <c r="AQ2011">
        <v>2.92</v>
      </c>
      <c r="AR2011">
        <v>-6.48</v>
      </c>
      <c r="AS2011">
        <v>29.05</v>
      </c>
      <c r="AT2011">
        <v>49.48</v>
      </c>
      <c r="AU2011">
        <v>58.4</v>
      </c>
      <c r="AV2011">
        <v>0</v>
      </c>
      <c r="AW2011">
        <v>6.02</v>
      </c>
      <c r="AX2011">
        <v>60.87</v>
      </c>
      <c r="AY2011">
        <v>273.07</v>
      </c>
      <c r="AZ2011">
        <v>100.48</v>
      </c>
      <c r="BA2011">
        <v>1.35</v>
      </c>
      <c r="BB2011" t="s">
        <v>143</v>
      </c>
      <c r="BF2011">
        <v>-3.31</v>
      </c>
      <c r="BG2011">
        <v>-5.5</v>
      </c>
      <c r="BH2011">
        <v>-7.93</v>
      </c>
      <c r="BI2011">
        <v>0.19</v>
      </c>
      <c r="BJ2011">
        <v>20210826</v>
      </c>
      <c r="BK2011">
        <v>20170523</v>
      </c>
      <c r="BL2011">
        <v>4.0999999999999996</v>
      </c>
      <c r="BM2011" t="s">
        <v>120</v>
      </c>
      <c r="BN2011" t="s">
        <v>120</v>
      </c>
      <c r="BO2011">
        <v>48.56</v>
      </c>
      <c r="BP2011">
        <v>20.78</v>
      </c>
      <c r="BQ2011">
        <v>14.26</v>
      </c>
      <c r="BR2011">
        <v>0.86</v>
      </c>
      <c r="BS2011">
        <v>68.86</v>
      </c>
      <c r="BT2011">
        <v>26.43</v>
      </c>
      <c r="BU2011">
        <v>12.95</v>
      </c>
      <c r="BV2011">
        <v>0.52</v>
      </c>
      <c r="BW2011">
        <v>23.59</v>
      </c>
      <c r="BX2011">
        <v>6.14</v>
      </c>
      <c r="BY2011">
        <v>4.54</v>
      </c>
      <c r="BZ2011">
        <v>10.199999999999999</v>
      </c>
      <c r="CA2011" t="s">
        <v>120</v>
      </c>
      <c r="CB2011">
        <v>5.8</v>
      </c>
      <c r="CC2011">
        <v>15.51</v>
      </c>
      <c r="CD2011">
        <v>14.53</v>
      </c>
      <c r="CE2011">
        <v>-0.8</v>
      </c>
      <c r="CF2011">
        <v>-0.04</v>
      </c>
      <c r="CG2011">
        <v>-0.83</v>
      </c>
      <c r="CH2011">
        <v>-0.69</v>
      </c>
      <c r="CI2011">
        <v>-0.56000000000000005</v>
      </c>
      <c r="CJ2011">
        <v>-1.41</v>
      </c>
      <c r="CK2011">
        <v>-0.71</v>
      </c>
      <c r="CL2011">
        <v>4</v>
      </c>
      <c r="CM2011">
        <v>0.77</v>
      </c>
      <c r="CN2011">
        <v>-2.88</v>
      </c>
      <c r="CO2011">
        <v>19344</v>
      </c>
      <c r="CP2011">
        <v>12888</v>
      </c>
      <c r="CQ2011" t="s">
        <v>9533</v>
      </c>
      <c r="CR2011">
        <v>-7000.26</v>
      </c>
      <c r="CS2011">
        <v>42.66</v>
      </c>
      <c r="CT2011">
        <v>5.97</v>
      </c>
      <c r="CU2011">
        <v>110.06</v>
      </c>
      <c r="CV2011">
        <v>5.49</v>
      </c>
      <c r="CW2011">
        <v>0.22</v>
      </c>
      <c r="CX2011" t="s">
        <v>9883</v>
      </c>
      <c r="CY2011">
        <v>3.48</v>
      </c>
      <c r="CZ2011">
        <v>0</v>
      </c>
      <c r="DA2011">
        <v>1.42</v>
      </c>
      <c r="DB2011">
        <v>0.98</v>
      </c>
      <c r="DC2011">
        <v>0.19</v>
      </c>
      <c r="DD2011">
        <v>29.37</v>
      </c>
      <c r="DE2011" t="s">
        <v>7840</v>
      </c>
      <c r="DF2011">
        <v>6.35</v>
      </c>
      <c r="DG2011">
        <v>-5.18</v>
      </c>
      <c r="DH2011">
        <v>-3.63</v>
      </c>
      <c r="DI2011">
        <v>0.66</v>
      </c>
      <c r="DJ2011">
        <v>5375</v>
      </c>
      <c r="DK2011">
        <v>300657</v>
      </c>
      <c r="DL2011" t="s">
        <v>120</v>
      </c>
      <c r="DM2011" t="s">
        <v>120</v>
      </c>
      <c r="DN2011" t="s">
        <v>120</v>
      </c>
    </row>
    <row r="2012" spans="1:118">
      <c r="A2012" t="str">
        <f>"300658"</f>
        <v>300658</v>
      </c>
      <c r="B2012" t="s">
        <v>9884</v>
      </c>
      <c r="C2012">
        <v>-3.27</v>
      </c>
      <c r="D2012">
        <v>-0.16</v>
      </c>
      <c r="E2012">
        <v>0.08</v>
      </c>
      <c r="F2012">
        <v>306</v>
      </c>
      <c r="G2012" t="s">
        <v>9885</v>
      </c>
      <c r="H2012">
        <v>3637.44</v>
      </c>
      <c r="I2012">
        <v>0</v>
      </c>
      <c r="J2012" t="s">
        <v>120</v>
      </c>
      <c r="K2012" t="s">
        <v>9886</v>
      </c>
      <c r="L2012">
        <v>2.27</v>
      </c>
      <c r="M2012">
        <v>11.54</v>
      </c>
      <c r="N2012">
        <v>0.87</v>
      </c>
      <c r="O2012">
        <v>2.4300000000000002</v>
      </c>
      <c r="P2012">
        <v>12.22</v>
      </c>
      <c r="Q2012">
        <v>-3.44</v>
      </c>
      <c r="R2012">
        <v>11.52</v>
      </c>
      <c r="S2012">
        <v>11.94</v>
      </c>
      <c r="T2012">
        <v>30728</v>
      </c>
      <c r="U2012">
        <v>11.55</v>
      </c>
      <c r="V2012">
        <v>11.93</v>
      </c>
      <c r="W2012">
        <v>322.38</v>
      </c>
      <c r="X2012" t="s">
        <v>1766</v>
      </c>
      <c r="Y2012" t="s">
        <v>937</v>
      </c>
      <c r="Z2012">
        <v>5.87</v>
      </c>
      <c r="AA2012">
        <v>11.84</v>
      </c>
      <c r="AB2012">
        <v>17398</v>
      </c>
      <c r="AC2012">
        <v>13330</v>
      </c>
      <c r="AD2012">
        <v>1.31</v>
      </c>
      <c r="AE2012">
        <v>13</v>
      </c>
      <c r="AF2012">
        <v>34</v>
      </c>
      <c r="AG2012" t="s">
        <v>120</v>
      </c>
      <c r="AH2012">
        <v>0</v>
      </c>
      <c r="AI2012" t="s">
        <v>120</v>
      </c>
      <c r="AJ2012">
        <v>1.36</v>
      </c>
      <c r="AK2012" t="s">
        <v>7272</v>
      </c>
      <c r="AL2012">
        <v>-1.36</v>
      </c>
      <c r="AM2012">
        <v>1290</v>
      </c>
      <c r="AN2012">
        <v>24</v>
      </c>
      <c r="AO2012">
        <v>1.8E-3</v>
      </c>
      <c r="AP2012">
        <v>-3</v>
      </c>
      <c r="AQ2012">
        <v>-0.42</v>
      </c>
      <c r="AR2012">
        <v>-7.16</v>
      </c>
      <c r="AS2012">
        <v>-1.29</v>
      </c>
      <c r="AT2012">
        <v>-1.29</v>
      </c>
      <c r="AU2012">
        <v>-40.450000000000003</v>
      </c>
      <c r="AV2012">
        <v>1</v>
      </c>
      <c r="AW2012">
        <v>4.0999999999999996</v>
      </c>
      <c r="AX2012">
        <v>32.950000000000003</v>
      </c>
      <c r="AY2012" t="s">
        <v>120</v>
      </c>
      <c r="AZ2012">
        <v>9.07</v>
      </c>
      <c r="BA2012">
        <v>1</v>
      </c>
      <c r="BB2012" t="s">
        <v>125</v>
      </c>
      <c r="BF2012">
        <v>-0.77</v>
      </c>
      <c r="BG2012">
        <v>-3.35</v>
      </c>
      <c r="BH2012">
        <v>-5.56</v>
      </c>
      <c r="BI2012">
        <v>0.17</v>
      </c>
      <c r="BJ2012">
        <v>20210827</v>
      </c>
      <c r="BK2012">
        <v>20170602</v>
      </c>
      <c r="BL2012">
        <v>2.2799999999999998</v>
      </c>
      <c r="BM2012" t="s">
        <v>120</v>
      </c>
      <c r="BN2012" t="s">
        <v>120</v>
      </c>
      <c r="BO2012">
        <v>18.96</v>
      </c>
      <c r="BP2012">
        <v>11.54</v>
      </c>
      <c r="BQ2012">
        <v>9.99</v>
      </c>
      <c r="BR2012">
        <v>0.16</v>
      </c>
      <c r="BS2012">
        <v>46.43</v>
      </c>
      <c r="BT2012">
        <v>9.56</v>
      </c>
      <c r="BU2012">
        <v>6.2</v>
      </c>
      <c r="BV2012">
        <v>0.39</v>
      </c>
      <c r="BW2012">
        <v>6.79</v>
      </c>
      <c r="BX2012">
        <v>4.22</v>
      </c>
      <c r="BY2012">
        <v>1.88</v>
      </c>
      <c r="BZ2012">
        <v>2.2200000000000002</v>
      </c>
      <c r="CA2012" t="s">
        <v>120</v>
      </c>
      <c r="CB2012">
        <v>3.53</v>
      </c>
      <c r="CC2012">
        <v>5.65</v>
      </c>
      <c r="CD2012">
        <v>4.2300000000000004</v>
      </c>
      <c r="CE2012">
        <v>0.11</v>
      </c>
      <c r="CF2012">
        <v>0.11</v>
      </c>
      <c r="CG2012">
        <v>0.11</v>
      </c>
      <c r="CH2012">
        <v>7.0000000000000007E-2</v>
      </c>
      <c r="CI2012">
        <v>0.04</v>
      </c>
      <c r="CJ2012">
        <v>-0.39</v>
      </c>
      <c r="CK2012">
        <v>-0.05</v>
      </c>
      <c r="CL2012">
        <v>3.7</v>
      </c>
      <c r="CM2012">
        <v>0.77</v>
      </c>
      <c r="CN2012">
        <v>1.27</v>
      </c>
      <c r="CO2012">
        <v>14492</v>
      </c>
      <c r="CP2012">
        <v>5177</v>
      </c>
      <c r="CQ2012" t="s">
        <v>5163</v>
      </c>
      <c r="CR2012">
        <v>-98.66</v>
      </c>
      <c r="CS2012">
        <v>-40.450000000000003</v>
      </c>
      <c r="CT2012">
        <v>2.63</v>
      </c>
      <c r="CU2012">
        <v>34.31</v>
      </c>
      <c r="CV2012">
        <v>4.6500000000000004</v>
      </c>
      <c r="CW2012">
        <v>3.63</v>
      </c>
      <c r="CX2012" t="s">
        <v>499</v>
      </c>
      <c r="CY2012">
        <v>4.3899999999999997</v>
      </c>
      <c r="CZ2012">
        <v>0</v>
      </c>
      <c r="DA2012">
        <v>1.55</v>
      </c>
      <c r="DB2012">
        <v>1.62</v>
      </c>
      <c r="DC2012">
        <v>0.34</v>
      </c>
      <c r="DD2012">
        <v>52.7</v>
      </c>
      <c r="DE2012" t="s">
        <v>500</v>
      </c>
      <c r="DF2012">
        <v>25.08</v>
      </c>
      <c r="DG2012">
        <v>1.94</v>
      </c>
      <c r="DH2012">
        <v>0.72</v>
      </c>
      <c r="DI2012">
        <v>0.22</v>
      </c>
      <c r="DJ2012">
        <v>1161</v>
      </c>
      <c r="DK2012">
        <v>300658</v>
      </c>
      <c r="DL2012" t="s">
        <v>120</v>
      </c>
      <c r="DM2012" t="s">
        <v>120</v>
      </c>
      <c r="DN2012" t="s">
        <v>120</v>
      </c>
    </row>
    <row r="2013" spans="1:118">
      <c r="A2013" t="str">
        <f>"300659"</f>
        <v>300659</v>
      </c>
      <c r="B2013" t="s">
        <v>9887</v>
      </c>
      <c r="C2013">
        <v>1.37</v>
      </c>
      <c r="D2013">
        <v>0.99</v>
      </c>
      <c r="E2013">
        <v>-0.71</v>
      </c>
      <c r="F2013">
        <v>1153</v>
      </c>
      <c r="G2013" t="s">
        <v>9888</v>
      </c>
      <c r="H2013">
        <v>20024.38</v>
      </c>
      <c r="I2013">
        <v>53.3</v>
      </c>
      <c r="J2013" t="s">
        <v>120</v>
      </c>
      <c r="K2013" t="s">
        <v>9889</v>
      </c>
      <c r="L2013">
        <v>2.94</v>
      </c>
      <c r="M2013">
        <v>45.73</v>
      </c>
      <c r="N2013">
        <v>0.85</v>
      </c>
      <c r="O2013">
        <v>3.75</v>
      </c>
      <c r="P2013">
        <v>46.8</v>
      </c>
      <c r="Q2013">
        <v>-0.71</v>
      </c>
      <c r="R2013">
        <v>44.79</v>
      </c>
      <c r="S2013">
        <v>44.79</v>
      </c>
      <c r="T2013">
        <v>43645</v>
      </c>
      <c r="U2013">
        <v>45.74</v>
      </c>
      <c r="V2013">
        <v>45.11</v>
      </c>
      <c r="W2013">
        <v>2707.22</v>
      </c>
      <c r="X2013" t="s">
        <v>141</v>
      </c>
      <c r="Y2013" t="s">
        <v>638</v>
      </c>
      <c r="Z2013">
        <v>4.46</v>
      </c>
      <c r="AA2013">
        <v>45.88</v>
      </c>
      <c r="AB2013">
        <v>22458</v>
      </c>
      <c r="AC2013">
        <v>21187</v>
      </c>
      <c r="AD2013">
        <v>1.06</v>
      </c>
      <c r="AE2013">
        <v>4246</v>
      </c>
      <c r="AF2013">
        <v>11</v>
      </c>
      <c r="AG2013" t="s">
        <v>120</v>
      </c>
      <c r="AH2013">
        <v>0.01</v>
      </c>
      <c r="AI2013" t="s">
        <v>120</v>
      </c>
      <c r="AJ2013">
        <v>1.49</v>
      </c>
      <c r="AK2013" t="s">
        <v>9890</v>
      </c>
      <c r="AL2013">
        <v>3.29</v>
      </c>
      <c r="AM2013">
        <v>2659</v>
      </c>
      <c r="AN2013">
        <v>16</v>
      </c>
      <c r="AO2013">
        <v>1.1000000000000001E-3</v>
      </c>
      <c r="AP2013">
        <v>1</v>
      </c>
      <c r="AQ2013">
        <v>-0.09</v>
      </c>
      <c r="AR2013">
        <v>5.24</v>
      </c>
      <c r="AS2013">
        <v>20.53</v>
      </c>
      <c r="AT2013">
        <v>35.54</v>
      </c>
      <c r="AU2013">
        <v>-6.35</v>
      </c>
      <c r="AV2013">
        <v>0</v>
      </c>
      <c r="AW2013">
        <v>3.48</v>
      </c>
      <c r="AX2013">
        <v>55.32</v>
      </c>
      <c r="AY2013">
        <v>39.72</v>
      </c>
      <c r="AZ2013">
        <v>42.3</v>
      </c>
      <c r="BA2013">
        <v>0.51</v>
      </c>
      <c r="BB2013" t="s">
        <v>751</v>
      </c>
      <c r="BF2013">
        <v>1.71</v>
      </c>
      <c r="BG2013">
        <v>2.1</v>
      </c>
      <c r="BH2013">
        <v>-2.29</v>
      </c>
      <c r="BI2013">
        <v>2.1</v>
      </c>
      <c r="BJ2013">
        <v>20210830</v>
      </c>
      <c r="BK2013">
        <v>20170526</v>
      </c>
      <c r="BL2013">
        <v>2.27</v>
      </c>
      <c r="BM2013" t="s">
        <v>120</v>
      </c>
      <c r="BN2013" t="s">
        <v>120</v>
      </c>
      <c r="BO2013">
        <v>18.45</v>
      </c>
      <c r="BP2013">
        <v>45.73</v>
      </c>
      <c r="BQ2013">
        <v>15.27</v>
      </c>
      <c r="BR2013">
        <v>0</v>
      </c>
      <c r="BS2013">
        <v>17.23</v>
      </c>
      <c r="BT2013">
        <v>15.93</v>
      </c>
      <c r="BU2013">
        <v>0.54</v>
      </c>
      <c r="BV2013">
        <v>0.05</v>
      </c>
      <c r="BW2013">
        <v>2.59</v>
      </c>
      <c r="BX2013">
        <v>4.1900000000000004</v>
      </c>
      <c r="BY2013">
        <v>1.03</v>
      </c>
      <c r="BZ2013">
        <v>4.1500000000000004</v>
      </c>
      <c r="CA2013">
        <v>0.01</v>
      </c>
      <c r="CB2013">
        <v>9.5299999999999994</v>
      </c>
      <c r="CC2013">
        <v>3.63</v>
      </c>
      <c r="CD2013">
        <v>1.06</v>
      </c>
      <c r="CE2013">
        <v>0.09</v>
      </c>
      <c r="CF2013">
        <v>0.08</v>
      </c>
      <c r="CG2013">
        <v>0.09</v>
      </c>
      <c r="CH2013">
        <v>0.02</v>
      </c>
      <c r="CI2013">
        <v>0.02</v>
      </c>
      <c r="CJ2013">
        <v>0.62</v>
      </c>
      <c r="CK2013">
        <v>-0.12</v>
      </c>
      <c r="CL2013">
        <v>3.51</v>
      </c>
      <c r="CM2013">
        <v>-0.91</v>
      </c>
      <c r="CN2013">
        <v>-3.34</v>
      </c>
      <c r="CO2013">
        <v>18532</v>
      </c>
      <c r="CP2013">
        <v>6766</v>
      </c>
      <c r="CQ2013" t="s">
        <v>9891</v>
      </c>
      <c r="CR2013">
        <v>113.87</v>
      </c>
      <c r="CS2013">
        <v>106.61</v>
      </c>
      <c r="CT2013">
        <v>6.79</v>
      </c>
      <c r="CU2013">
        <v>-113.48</v>
      </c>
      <c r="CV2013">
        <v>28.55</v>
      </c>
      <c r="CW2013">
        <v>0.55000000000000004</v>
      </c>
      <c r="CX2013" t="s">
        <v>178</v>
      </c>
      <c r="CY2013">
        <v>6.74</v>
      </c>
      <c r="CZ2013">
        <v>0</v>
      </c>
      <c r="DA2013">
        <v>4.2</v>
      </c>
      <c r="DB2013">
        <v>1.55</v>
      </c>
      <c r="DC2013">
        <v>-0.4</v>
      </c>
      <c r="DD2013">
        <v>82.77</v>
      </c>
      <c r="DE2013" t="s">
        <v>5960</v>
      </c>
      <c r="DF2013">
        <v>70.81</v>
      </c>
      <c r="DG2013">
        <v>2.5499999999999998</v>
      </c>
      <c r="DH2013">
        <v>0.53</v>
      </c>
      <c r="DI2013">
        <v>1.1200000000000001</v>
      </c>
      <c r="DJ2013">
        <v>1677</v>
      </c>
      <c r="DK2013">
        <v>300659</v>
      </c>
      <c r="DL2013" t="s">
        <v>120</v>
      </c>
      <c r="DM2013" t="s">
        <v>120</v>
      </c>
      <c r="DN2013" t="s">
        <v>120</v>
      </c>
    </row>
    <row r="2014" spans="1:118">
      <c r="A2014" t="str">
        <f>"300660"</f>
        <v>300660</v>
      </c>
      <c r="B2014" t="s">
        <v>9892</v>
      </c>
      <c r="C2014">
        <v>-7.19</v>
      </c>
      <c r="D2014">
        <v>0.11</v>
      </c>
      <c r="E2014">
        <v>-0.18</v>
      </c>
      <c r="F2014">
        <v>460</v>
      </c>
      <c r="G2014" t="s">
        <v>9893</v>
      </c>
      <c r="H2014">
        <v>9805.92</v>
      </c>
      <c r="I2014">
        <v>39.549999999999997</v>
      </c>
      <c r="J2014" t="s">
        <v>120</v>
      </c>
      <c r="K2014" t="s">
        <v>9894</v>
      </c>
      <c r="L2014">
        <v>2.9</v>
      </c>
      <c r="M2014">
        <v>26.45</v>
      </c>
      <c r="N2014">
        <v>1.46</v>
      </c>
      <c r="O2014">
        <v>-0.18</v>
      </c>
      <c r="P2014">
        <v>28.45</v>
      </c>
      <c r="Q2014">
        <v>-7.37</v>
      </c>
      <c r="R2014">
        <v>26.4</v>
      </c>
      <c r="S2014">
        <v>28.45</v>
      </c>
      <c r="T2014">
        <v>36015</v>
      </c>
      <c r="U2014">
        <v>26.46</v>
      </c>
      <c r="V2014">
        <v>28.5</v>
      </c>
      <c r="W2014">
        <v>21.21</v>
      </c>
      <c r="X2014" t="s">
        <v>394</v>
      </c>
      <c r="Y2014" t="s">
        <v>319</v>
      </c>
      <c r="Z2014">
        <v>7.19</v>
      </c>
      <c r="AA2014">
        <v>27.23</v>
      </c>
      <c r="AB2014">
        <v>24190</v>
      </c>
      <c r="AC2014">
        <v>11825</v>
      </c>
      <c r="AD2014">
        <v>2.0499999999999998</v>
      </c>
      <c r="AE2014">
        <v>25</v>
      </c>
      <c r="AF2014">
        <v>37</v>
      </c>
      <c r="AG2014" t="s">
        <v>120</v>
      </c>
      <c r="AH2014">
        <v>0.02</v>
      </c>
      <c r="AI2014" t="s">
        <v>120</v>
      </c>
      <c r="AJ2014">
        <v>1.24</v>
      </c>
      <c r="AK2014" t="s">
        <v>9895</v>
      </c>
      <c r="AL2014">
        <v>-5.28</v>
      </c>
      <c r="AM2014">
        <v>2699</v>
      </c>
      <c r="AN2014">
        <v>13</v>
      </c>
      <c r="AO2014">
        <v>1.1000000000000001E-3</v>
      </c>
      <c r="AP2014">
        <v>-1</v>
      </c>
      <c r="AQ2014">
        <v>2</v>
      </c>
      <c r="AR2014">
        <v>-5.27</v>
      </c>
      <c r="AS2014">
        <v>-15.47</v>
      </c>
      <c r="AT2014">
        <v>28.58</v>
      </c>
      <c r="AU2014">
        <v>49.27</v>
      </c>
      <c r="AV2014">
        <v>1</v>
      </c>
      <c r="AW2014">
        <v>5.39</v>
      </c>
      <c r="AX2014">
        <v>25.75</v>
      </c>
      <c r="AY2014">
        <v>24.53</v>
      </c>
      <c r="AZ2014">
        <v>27.08</v>
      </c>
      <c r="BA2014">
        <v>0.43</v>
      </c>
      <c r="BB2014" t="s">
        <v>168</v>
      </c>
      <c r="BF2014">
        <v>-4.47</v>
      </c>
      <c r="BG2014">
        <v>-7.03</v>
      </c>
      <c r="BH2014">
        <v>-7.03</v>
      </c>
      <c r="BI2014">
        <v>0.19</v>
      </c>
      <c r="BJ2014">
        <v>20210912</v>
      </c>
      <c r="BK2014">
        <v>20170602</v>
      </c>
      <c r="BL2014">
        <v>2.59</v>
      </c>
      <c r="BM2014" t="s">
        <v>120</v>
      </c>
      <c r="BN2014" t="s">
        <v>120</v>
      </c>
      <c r="BO2014">
        <v>41.5</v>
      </c>
      <c r="BP2014">
        <v>26.45</v>
      </c>
      <c r="BQ2014">
        <v>25.71</v>
      </c>
      <c r="BR2014">
        <v>0.75</v>
      </c>
      <c r="BS2014">
        <v>36.24</v>
      </c>
      <c r="BT2014">
        <v>31.97</v>
      </c>
      <c r="BU2014">
        <v>4.16</v>
      </c>
      <c r="BV2014">
        <v>1.32</v>
      </c>
      <c r="BW2014">
        <v>14.71</v>
      </c>
      <c r="BX2014">
        <v>13.07</v>
      </c>
      <c r="BY2014">
        <v>5.94</v>
      </c>
      <c r="BZ2014">
        <v>9.15</v>
      </c>
      <c r="CA2014" t="s">
        <v>120</v>
      </c>
      <c r="CB2014">
        <v>14.33</v>
      </c>
      <c r="CC2014">
        <v>14.54</v>
      </c>
      <c r="CD2014">
        <v>10.41</v>
      </c>
      <c r="CE2014">
        <v>1.98</v>
      </c>
      <c r="CF2014">
        <v>-0.03</v>
      </c>
      <c r="CG2014">
        <v>1.99</v>
      </c>
      <c r="CH2014">
        <v>1.74</v>
      </c>
      <c r="CI2014">
        <v>1.62</v>
      </c>
      <c r="CJ2014">
        <v>-2.0499999999999998</v>
      </c>
      <c r="CK2014">
        <v>1.6</v>
      </c>
      <c r="CL2014">
        <v>7.86</v>
      </c>
      <c r="CM2014">
        <v>5.08</v>
      </c>
      <c r="CN2014">
        <v>2.88</v>
      </c>
      <c r="CO2014">
        <v>12879</v>
      </c>
      <c r="CP2014">
        <v>5186</v>
      </c>
      <c r="CQ2014" t="s">
        <v>9896</v>
      </c>
      <c r="CR2014">
        <v>21.31</v>
      </c>
      <c r="CS2014">
        <v>36.78</v>
      </c>
      <c r="CT2014">
        <v>2.67</v>
      </c>
      <c r="CU2014">
        <v>13.51</v>
      </c>
      <c r="CV2014">
        <v>4.72</v>
      </c>
      <c r="CW2014">
        <v>1.61</v>
      </c>
      <c r="CX2014" t="s">
        <v>8995</v>
      </c>
      <c r="CY2014">
        <v>9.92</v>
      </c>
      <c r="CZ2014">
        <v>0</v>
      </c>
      <c r="DA2014">
        <v>5.53</v>
      </c>
      <c r="DB2014">
        <v>3.03</v>
      </c>
      <c r="DC2014">
        <v>1.96</v>
      </c>
      <c r="DD2014">
        <v>61.96</v>
      </c>
      <c r="DE2014" t="s">
        <v>7237</v>
      </c>
      <c r="DF2014">
        <v>28.42</v>
      </c>
      <c r="DG2014">
        <v>13.64</v>
      </c>
      <c r="DH2014">
        <v>11.12</v>
      </c>
      <c r="DI2014">
        <v>0.64</v>
      </c>
      <c r="DJ2014">
        <v>3815</v>
      </c>
      <c r="DK2014">
        <v>300660</v>
      </c>
      <c r="DL2014" t="s">
        <v>120</v>
      </c>
      <c r="DM2014" t="s">
        <v>120</v>
      </c>
      <c r="DN2014" t="s">
        <v>120</v>
      </c>
    </row>
    <row r="2015" spans="1:118">
      <c r="A2015" t="str">
        <f>"300661"</f>
        <v>300661</v>
      </c>
      <c r="B2015" t="s">
        <v>9897</v>
      </c>
      <c r="C2015">
        <v>-4.16</v>
      </c>
      <c r="D2015">
        <v>-0.27</v>
      </c>
      <c r="E2015">
        <v>0.61</v>
      </c>
      <c r="F2015">
        <v>603</v>
      </c>
      <c r="G2015" t="s">
        <v>9898</v>
      </c>
      <c r="H2015">
        <v>122209.08</v>
      </c>
      <c r="I2015">
        <v>144.43</v>
      </c>
      <c r="J2015" t="s">
        <v>120</v>
      </c>
      <c r="K2015" t="s">
        <v>9899</v>
      </c>
      <c r="L2015">
        <v>1.84</v>
      </c>
      <c r="M2015">
        <v>305.74</v>
      </c>
      <c r="N2015">
        <v>1.49</v>
      </c>
      <c r="O2015">
        <v>0.61</v>
      </c>
      <c r="P2015">
        <v>320.95999999999998</v>
      </c>
      <c r="Q2015">
        <v>-8.15</v>
      </c>
      <c r="R2015">
        <v>293</v>
      </c>
      <c r="S2015">
        <v>320.95999999999998</v>
      </c>
      <c r="T2015">
        <v>40139</v>
      </c>
      <c r="U2015">
        <v>306</v>
      </c>
      <c r="V2015">
        <v>319</v>
      </c>
      <c r="W2015">
        <v>137.96</v>
      </c>
      <c r="X2015" t="s">
        <v>229</v>
      </c>
      <c r="Y2015" t="s">
        <v>158</v>
      </c>
      <c r="Z2015">
        <v>8.76</v>
      </c>
      <c r="AA2015">
        <v>304.45999999999998</v>
      </c>
      <c r="AB2015">
        <v>20633</v>
      </c>
      <c r="AC2015">
        <v>19506</v>
      </c>
      <c r="AD2015">
        <v>1.06</v>
      </c>
      <c r="AE2015">
        <v>28</v>
      </c>
      <c r="AF2015">
        <v>15</v>
      </c>
      <c r="AG2015" t="s">
        <v>120</v>
      </c>
      <c r="AH2015">
        <v>0</v>
      </c>
      <c r="AI2015" t="s">
        <v>120</v>
      </c>
      <c r="AJ2015">
        <v>2.1800000000000002</v>
      </c>
      <c r="AK2015" t="s">
        <v>9900</v>
      </c>
      <c r="AL2015">
        <v>-2.2400000000000002</v>
      </c>
      <c r="AM2015">
        <v>3975</v>
      </c>
      <c r="AN2015">
        <v>10</v>
      </c>
      <c r="AO2015">
        <v>5.0000000000000001E-4</v>
      </c>
      <c r="AP2015">
        <v>-3</v>
      </c>
      <c r="AQ2015">
        <v>-1.73</v>
      </c>
      <c r="AR2015">
        <v>-10.19</v>
      </c>
      <c r="AS2015">
        <v>-9.5299999999999994</v>
      </c>
      <c r="AT2015">
        <v>58.66</v>
      </c>
      <c r="AU2015">
        <v>74.180000000000007</v>
      </c>
      <c r="AV2015">
        <v>1</v>
      </c>
      <c r="AW2015">
        <v>2.96</v>
      </c>
      <c r="AX2015">
        <v>57.7</v>
      </c>
      <c r="AY2015">
        <v>168.65</v>
      </c>
      <c r="AZ2015">
        <v>259.73</v>
      </c>
      <c r="BA2015">
        <v>1.76</v>
      </c>
      <c r="BB2015" t="s">
        <v>143</v>
      </c>
      <c r="BF2015">
        <v>-4.5599999999999996</v>
      </c>
      <c r="BG2015">
        <v>-4.74</v>
      </c>
      <c r="BH2015">
        <v>-4.74</v>
      </c>
      <c r="BI2015">
        <v>4.3499999999999996</v>
      </c>
      <c r="BJ2015">
        <v>20210914</v>
      </c>
      <c r="BK2015">
        <v>20170606</v>
      </c>
      <c r="BL2015">
        <v>2.35</v>
      </c>
      <c r="BM2015" t="s">
        <v>120</v>
      </c>
      <c r="BN2015" t="s">
        <v>120</v>
      </c>
      <c r="BO2015">
        <v>23.02</v>
      </c>
      <c r="BP2015">
        <v>305.74</v>
      </c>
      <c r="BQ2015">
        <v>17.579999999999998</v>
      </c>
      <c r="BR2015">
        <v>0.06</v>
      </c>
      <c r="BS2015">
        <v>23.36</v>
      </c>
      <c r="BT2015">
        <v>15.6</v>
      </c>
      <c r="BU2015">
        <v>0.75</v>
      </c>
      <c r="BV2015">
        <v>0.23</v>
      </c>
      <c r="BW2015">
        <v>3.91</v>
      </c>
      <c r="BX2015">
        <v>8.3699999999999992</v>
      </c>
      <c r="BY2015">
        <v>3.24</v>
      </c>
      <c r="BZ2015">
        <v>1.26</v>
      </c>
      <c r="CA2015" t="s">
        <v>120</v>
      </c>
      <c r="CB2015">
        <v>6.34</v>
      </c>
      <c r="CC2015">
        <v>9.15</v>
      </c>
      <c r="CD2015">
        <v>4.47</v>
      </c>
      <c r="CE2015">
        <v>2.87</v>
      </c>
      <c r="CF2015">
        <v>0.78</v>
      </c>
      <c r="CG2015">
        <v>2.87</v>
      </c>
      <c r="CH2015">
        <v>2.57</v>
      </c>
      <c r="CI2015">
        <v>2.61</v>
      </c>
      <c r="CJ2015">
        <v>-13.26</v>
      </c>
      <c r="CK2015">
        <v>2.25</v>
      </c>
      <c r="CL2015">
        <v>8.17</v>
      </c>
      <c r="CM2015">
        <v>2.13</v>
      </c>
      <c r="CN2015">
        <v>0.66</v>
      </c>
      <c r="CO2015">
        <v>13824</v>
      </c>
      <c r="CP2015">
        <v>9814</v>
      </c>
      <c r="CQ2015" t="s">
        <v>9901</v>
      </c>
      <c r="CR2015">
        <v>149.16</v>
      </c>
      <c r="CS2015">
        <v>96.66</v>
      </c>
      <c r="CT2015">
        <v>40.81</v>
      </c>
      <c r="CU2015">
        <v>338.03</v>
      </c>
      <c r="CV2015">
        <v>78.52</v>
      </c>
      <c r="CW2015">
        <v>0.1</v>
      </c>
      <c r="CX2015" t="s">
        <v>3404</v>
      </c>
      <c r="CY2015">
        <v>7.49</v>
      </c>
      <c r="CZ2015">
        <v>7.49</v>
      </c>
      <c r="DA2015">
        <v>2.7</v>
      </c>
      <c r="DB2015">
        <v>3.47</v>
      </c>
      <c r="DC2015">
        <v>0.9</v>
      </c>
      <c r="DD2015">
        <v>76.39</v>
      </c>
      <c r="DE2015" t="s">
        <v>9902</v>
      </c>
      <c r="DF2015">
        <v>51.22</v>
      </c>
      <c r="DG2015">
        <v>31.37</v>
      </c>
      <c r="DH2015">
        <v>28.46</v>
      </c>
      <c r="DI2015">
        <v>1.56</v>
      </c>
      <c r="DJ2015">
        <v>572</v>
      </c>
      <c r="DK2015">
        <v>300661</v>
      </c>
      <c r="DL2015" t="s">
        <v>120</v>
      </c>
      <c r="DM2015" t="s">
        <v>120</v>
      </c>
      <c r="DN2015" t="s">
        <v>120</v>
      </c>
    </row>
    <row r="2016" spans="1:118">
      <c r="A2016" t="str">
        <f>"300662"</f>
        <v>300662</v>
      </c>
      <c r="B2016" t="s">
        <v>9903</v>
      </c>
      <c r="C2016">
        <v>2.62</v>
      </c>
      <c r="D2016">
        <v>0</v>
      </c>
      <c r="E2016">
        <v>0.82</v>
      </c>
      <c r="F2016">
        <v>111</v>
      </c>
      <c r="G2016" t="s">
        <v>9904</v>
      </c>
      <c r="H2016">
        <v>4250.43</v>
      </c>
      <c r="I2016">
        <v>11.75</v>
      </c>
      <c r="J2016" t="s">
        <v>120</v>
      </c>
      <c r="K2016" t="s">
        <v>9905</v>
      </c>
      <c r="L2016">
        <v>0.47</v>
      </c>
      <c r="M2016">
        <v>49.83</v>
      </c>
      <c r="N2016">
        <v>0.7</v>
      </c>
      <c r="O2016">
        <v>3.46</v>
      </c>
      <c r="P2016">
        <v>50.24</v>
      </c>
      <c r="Q2016">
        <v>-0.54</v>
      </c>
      <c r="R2016">
        <v>48.3</v>
      </c>
      <c r="S2016">
        <v>48.96</v>
      </c>
      <c r="T2016">
        <v>8574</v>
      </c>
      <c r="U2016">
        <v>49.85</v>
      </c>
      <c r="V2016">
        <v>48.56</v>
      </c>
      <c r="W2016">
        <v>47.7</v>
      </c>
      <c r="X2016" t="s">
        <v>166</v>
      </c>
      <c r="Y2016" t="s">
        <v>158</v>
      </c>
      <c r="Z2016">
        <v>4</v>
      </c>
      <c r="AA2016">
        <v>49.57</v>
      </c>
      <c r="AB2016">
        <v>3690</v>
      </c>
      <c r="AC2016">
        <v>4884</v>
      </c>
      <c r="AD2016">
        <v>0.76</v>
      </c>
      <c r="AE2016">
        <v>63</v>
      </c>
      <c r="AF2016">
        <v>4</v>
      </c>
      <c r="AG2016" t="s">
        <v>120</v>
      </c>
      <c r="AH2016">
        <v>0</v>
      </c>
      <c r="AI2016" t="s">
        <v>120</v>
      </c>
      <c r="AJ2016">
        <v>1.83</v>
      </c>
      <c r="AK2016" t="s">
        <v>9906</v>
      </c>
      <c r="AL2016">
        <v>4.53</v>
      </c>
      <c r="AM2016">
        <v>2057</v>
      </c>
      <c r="AN2016">
        <v>4</v>
      </c>
      <c r="AO2016">
        <v>2.0000000000000001E-4</v>
      </c>
      <c r="AP2016">
        <v>1</v>
      </c>
      <c r="AQ2016">
        <v>-1.94</v>
      </c>
      <c r="AR2016">
        <v>1.69</v>
      </c>
      <c r="AS2016">
        <v>-17.25</v>
      </c>
      <c r="AT2016">
        <v>-14.17</v>
      </c>
      <c r="AU2016">
        <v>-7.89</v>
      </c>
      <c r="AV2016">
        <v>0</v>
      </c>
      <c r="AW2016">
        <v>0.77</v>
      </c>
      <c r="AX2016">
        <v>56.83</v>
      </c>
      <c r="AY2016">
        <v>44.37</v>
      </c>
      <c r="AZ2016">
        <v>51.32</v>
      </c>
      <c r="BA2016">
        <v>0.57999999999999996</v>
      </c>
      <c r="BB2016" t="s">
        <v>125</v>
      </c>
      <c r="BF2016">
        <v>2.08</v>
      </c>
      <c r="BG2016">
        <v>1.78</v>
      </c>
      <c r="BH2016">
        <v>-0.82</v>
      </c>
      <c r="BI2016">
        <v>3.17</v>
      </c>
      <c r="BJ2016">
        <v>20210913</v>
      </c>
      <c r="BK2016">
        <v>20170608</v>
      </c>
      <c r="BL2016">
        <v>1.97</v>
      </c>
      <c r="BM2016" t="s">
        <v>120</v>
      </c>
      <c r="BN2016" t="s">
        <v>120</v>
      </c>
      <c r="BO2016">
        <v>23.47</v>
      </c>
      <c r="BP2016">
        <v>49.83</v>
      </c>
      <c r="BQ2016">
        <v>11.64</v>
      </c>
      <c r="BR2016">
        <v>1.48</v>
      </c>
      <c r="BS2016">
        <v>44.11</v>
      </c>
      <c r="BT2016">
        <v>17.13</v>
      </c>
      <c r="BU2016">
        <v>0.08</v>
      </c>
      <c r="BV2016">
        <v>1.75</v>
      </c>
      <c r="BW2016">
        <v>9.2200000000000006</v>
      </c>
      <c r="BX2016">
        <v>2.94</v>
      </c>
      <c r="BY2016">
        <v>0</v>
      </c>
      <c r="BZ2016">
        <v>13.4</v>
      </c>
      <c r="CA2016" t="s">
        <v>120</v>
      </c>
      <c r="CB2016">
        <v>3.11</v>
      </c>
      <c r="CC2016">
        <v>31.57</v>
      </c>
      <c r="CD2016">
        <v>28.23</v>
      </c>
      <c r="CE2016">
        <v>1.47</v>
      </c>
      <c r="CF2016">
        <v>0.02</v>
      </c>
      <c r="CG2016">
        <v>1.59</v>
      </c>
      <c r="CH2016">
        <v>1.19</v>
      </c>
      <c r="CI2016">
        <v>1.03</v>
      </c>
      <c r="CJ2016">
        <v>1.27</v>
      </c>
      <c r="CK2016">
        <v>0.86</v>
      </c>
      <c r="CL2016">
        <v>6.74</v>
      </c>
      <c r="CM2016">
        <v>-2.66</v>
      </c>
      <c r="CN2016">
        <v>-1.91</v>
      </c>
      <c r="CO2016">
        <v>5899</v>
      </c>
      <c r="CP2016">
        <v>18969</v>
      </c>
      <c r="CQ2016" t="s">
        <v>9907</v>
      </c>
      <c r="CR2016">
        <v>39.590000000000003</v>
      </c>
      <c r="CS2016">
        <v>79.19</v>
      </c>
      <c r="CT2016">
        <v>7.83</v>
      </c>
      <c r="CU2016">
        <v>-36.93</v>
      </c>
      <c r="CV2016">
        <v>3.11</v>
      </c>
      <c r="CW2016">
        <v>0.2</v>
      </c>
      <c r="CX2016" t="s">
        <v>1881</v>
      </c>
      <c r="CY2016">
        <v>6.37</v>
      </c>
      <c r="CZ2016">
        <v>6.37</v>
      </c>
      <c r="DA2016">
        <v>1.58</v>
      </c>
      <c r="DB2016">
        <v>3.42</v>
      </c>
      <c r="DC2016">
        <v>-1.35</v>
      </c>
      <c r="DD2016">
        <v>49.58</v>
      </c>
      <c r="DE2016" t="s">
        <v>9135</v>
      </c>
      <c r="DF2016">
        <v>10.58</v>
      </c>
      <c r="DG2016">
        <v>4.66</v>
      </c>
      <c r="DH2016">
        <v>3.26</v>
      </c>
      <c r="DI2016">
        <v>0.17</v>
      </c>
      <c r="DJ2016">
        <v>2668</v>
      </c>
      <c r="DK2016">
        <v>300662</v>
      </c>
      <c r="DL2016" t="s">
        <v>120</v>
      </c>
      <c r="DM2016" t="s">
        <v>120</v>
      </c>
      <c r="DN2016" t="s">
        <v>120</v>
      </c>
    </row>
    <row r="2017" spans="1:118">
      <c r="A2017" t="str">
        <f>"300663"</f>
        <v>300663</v>
      </c>
      <c r="B2017" t="s">
        <v>9908</v>
      </c>
      <c r="C2017">
        <v>-2.72</v>
      </c>
      <c r="D2017">
        <v>-0.04</v>
      </c>
      <c r="E2017">
        <v>-1.08</v>
      </c>
      <c r="F2017">
        <v>3531</v>
      </c>
      <c r="G2017" t="s">
        <v>3229</v>
      </c>
      <c r="H2017">
        <v>48768.480000000003</v>
      </c>
      <c r="I2017">
        <v>513.07000000000005</v>
      </c>
      <c r="J2017" t="s">
        <v>120</v>
      </c>
      <c r="K2017" t="s">
        <v>9909</v>
      </c>
      <c r="L2017">
        <v>7.44</v>
      </c>
      <c r="M2017">
        <v>18.989999999999998</v>
      </c>
      <c r="N2017">
        <v>0.79</v>
      </c>
      <c r="O2017">
        <v>1.1299999999999999</v>
      </c>
      <c r="P2017">
        <v>19.739999999999998</v>
      </c>
      <c r="Q2017">
        <v>-3.23</v>
      </c>
      <c r="R2017">
        <v>18.89</v>
      </c>
      <c r="S2017">
        <v>19.309999999999999</v>
      </c>
      <c r="T2017">
        <v>253227</v>
      </c>
      <c r="U2017">
        <v>19</v>
      </c>
      <c r="V2017">
        <v>19.52</v>
      </c>
      <c r="W2017" t="s">
        <v>120</v>
      </c>
      <c r="X2017" t="s">
        <v>141</v>
      </c>
      <c r="Y2017" t="s">
        <v>158</v>
      </c>
      <c r="Z2017">
        <v>4.3499999999999996</v>
      </c>
      <c r="AA2017">
        <v>19.260000000000002</v>
      </c>
      <c r="AB2017">
        <v>131255</v>
      </c>
      <c r="AC2017">
        <v>121972</v>
      </c>
      <c r="AD2017">
        <v>1.08</v>
      </c>
      <c r="AE2017">
        <v>1113</v>
      </c>
      <c r="AF2017">
        <v>530</v>
      </c>
      <c r="AG2017" t="s">
        <v>120</v>
      </c>
      <c r="AH2017">
        <v>0.09</v>
      </c>
      <c r="AI2017" t="s">
        <v>120</v>
      </c>
      <c r="AJ2017">
        <v>3.41</v>
      </c>
      <c r="AK2017" t="s">
        <v>5444</v>
      </c>
      <c r="AL2017">
        <v>-0.8</v>
      </c>
      <c r="AM2017">
        <v>4183</v>
      </c>
      <c r="AN2017">
        <v>61</v>
      </c>
      <c r="AO2017">
        <v>1.8E-3</v>
      </c>
      <c r="AP2017">
        <v>-2</v>
      </c>
      <c r="AQ2017">
        <v>-7.05</v>
      </c>
      <c r="AR2017">
        <v>5.79</v>
      </c>
      <c r="AS2017">
        <v>-2.0099999999999998</v>
      </c>
      <c r="AT2017">
        <v>-36.659999999999997</v>
      </c>
      <c r="AU2017">
        <v>25.26</v>
      </c>
      <c r="AV2017">
        <v>3</v>
      </c>
      <c r="AW2017">
        <v>8.6</v>
      </c>
      <c r="AX2017">
        <v>63.14</v>
      </c>
      <c r="AY2017">
        <v>140.79</v>
      </c>
      <c r="AZ2017">
        <v>150.44</v>
      </c>
      <c r="BA2017">
        <v>0.14000000000000001</v>
      </c>
      <c r="BB2017" t="s">
        <v>143</v>
      </c>
      <c r="BF2017">
        <v>-1.34</v>
      </c>
      <c r="BG2017">
        <v>-1.66</v>
      </c>
      <c r="BH2017">
        <v>-3.8</v>
      </c>
      <c r="BI2017">
        <v>0.53</v>
      </c>
      <c r="BJ2017">
        <v>20210809</v>
      </c>
      <c r="BK2017">
        <v>20170608</v>
      </c>
      <c r="BL2017">
        <v>4.66</v>
      </c>
      <c r="BM2017" t="s">
        <v>120</v>
      </c>
      <c r="BN2017" t="s">
        <v>120</v>
      </c>
      <c r="BO2017">
        <v>24.39</v>
      </c>
      <c r="BP2017">
        <v>18.989999999999998</v>
      </c>
      <c r="BQ2017">
        <v>10.72</v>
      </c>
      <c r="BR2017">
        <v>0.42</v>
      </c>
      <c r="BS2017">
        <v>54.33</v>
      </c>
      <c r="BT2017">
        <v>18.079999999999998</v>
      </c>
      <c r="BU2017">
        <v>0.33</v>
      </c>
      <c r="BV2017">
        <v>1.52</v>
      </c>
      <c r="BW2017">
        <v>11.07</v>
      </c>
      <c r="BX2017">
        <v>2.5</v>
      </c>
      <c r="BY2017">
        <v>5.83</v>
      </c>
      <c r="BZ2017">
        <v>8.89</v>
      </c>
      <c r="CA2017" t="s">
        <v>120</v>
      </c>
      <c r="CB2017">
        <v>5.18</v>
      </c>
      <c r="CC2017">
        <v>4.47</v>
      </c>
      <c r="CD2017">
        <v>2.85</v>
      </c>
      <c r="CE2017">
        <v>-0.23</v>
      </c>
      <c r="CF2017">
        <v>0</v>
      </c>
      <c r="CG2017">
        <v>-0.23</v>
      </c>
      <c r="CH2017">
        <v>-0.14000000000000001</v>
      </c>
      <c r="CI2017">
        <v>-0.14000000000000001</v>
      </c>
      <c r="CJ2017">
        <v>-0.53</v>
      </c>
      <c r="CK2017">
        <v>-0.16</v>
      </c>
      <c r="CL2017">
        <v>2.2599999999999998</v>
      </c>
      <c r="CM2017">
        <v>-2.6</v>
      </c>
      <c r="CN2017">
        <v>-1.89</v>
      </c>
      <c r="CO2017">
        <v>68134</v>
      </c>
      <c r="CP2017">
        <v>4323</v>
      </c>
      <c r="CQ2017" t="s">
        <v>5765</v>
      </c>
      <c r="CR2017">
        <v>23.38</v>
      </c>
      <c r="CS2017">
        <v>21.29</v>
      </c>
      <c r="CT2017">
        <v>8.27</v>
      </c>
      <c r="CU2017">
        <v>-34.07</v>
      </c>
      <c r="CV2017">
        <v>19.829999999999998</v>
      </c>
      <c r="CW2017">
        <v>0.1</v>
      </c>
      <c r="CX2017" t="s">
        <v>9910</v>
      </c>
      <c r="CY2017">
        <v>2.2999999999999998</v>
      </c>
      <c r="CZ2017">
        <v>0</v>
      </c>
      <c r="DA2017">
        <v>1.1100000000000001</v>
      </c>
      <c r="DB2017">
        <v>0.48</v>
      </c>
      <c r="DC2017">
        <v>-0.56000000000000005</v>
      </c>
      <c r="DD2017">
        <v>43.94</v>
      </c>
      <c r="DE2017" t="s">
        <v>9911</v>
      </c>
      <c r="DF2017">
        <v>36.17</v>
      </c>
      <c r="DG2017">
        <v>-5.15</v>
      </c>
      <c r="DH2017">
        <v>-3.04</v>
      </c>
      <c r="DI2017">
        <v>0.56999999999999995</v>
      </c>
      <c r="DJ2017">
        <v>5268</v>
      </c>
      <c r="DK2017">
        <v>300663</v>
      </c>
      <c r="DL2017">
        <v>20210914</v>
      </c>
      <c r="DM2017">
        <v>21</v>
      </c>
      <c r="DN2017">
        <v>-9.57</v>
      </c>
    </row>
    <row r="2018" spans="1:118">
      <c r="A2018" t="str">
        <f>"300664"</f>
        <v>300664</v>
      </c>
      <c r="B2018" t="s">
        <v>9912</v>
      </c>
      <c r="C2018">
        <v>-1.75</v>
      </c>
      <c r="D2018">
        <v>0</v>
      </c>
      <c r="E2018">
        <v>0.57999999999999996</v>
      </c>
      <c r="F2018">
        <v>1090</v>
      </c>
      <c r="G2018" t="s">
        <v>6187</v>
      </c>
      <c r="H2018">
        <v>10252.49</v>
      </c>
      <c r="I2018">
        <v>25.42</v>
      </c>
      <c r="J2018" t="s">
        <v>120</v>
      </c>
      <c r="K2018" t="s">
        <v>9913</v>
      </c>
      <c r="L2018">
        <v>2.12</v>
      </c>
      <c r="M2018">
        <v>6.73</v>
      </c>
      <c r="N2018">
        <v>0.85</v>
      </c>
      <c r="O2018">
        <v>1.75</v>
      </c>
      <c r="P2018">
        <v>6.97</v>
      </c>
      <c r="Q2018">
        <v>-1.9</v>
      </c>
      <c r="R2018">
        <v>6.72</v>
      </c>
      <c r="S2018">
        <v>6.89</v>
      </c>
      <c r="T2018">
        <v>149538</v>
      </c>
      <c r="U2018">
        <v>6.74</v>
      </c>
      <c r="V2018">
        <v>6.85</v>
      </c>
      <c r="W2018">
        <v>13.28</v>
      </c>
      <c r="X2018" t="s">
        <v>318</v>
      </c>
      <c r="Y2018" t="s">
        <v>319</v>
      </c>
      <c r="Z2018">
        <v>3.65</v>
      </c>
      <c r="AA2018">
        <v>6.86</v>
      </c>
      <c r="AB2018">
        <v>82818</v>
      </c>
      <c r="AC2018">
        <v>66720</v>
      </c>
      <c r="AD2018">
        <v>1.24</v>
      </c>
      <c r="AE2018">
        <v>255</v>
      </c>
      <c r="AF2018">
        <v>593</v>
      </c>
      <c r="AG2018" t="s">
        <v>120</v>
      </c>
      <c r="AH2018">
        <v>0.01</v>
      </c>
      <c r="AI2018" t="s">
        <v>120</v>
      </c>
      <c r="AJ2018">
        <v>7.04</v>
      </c>
      <c r="AK2018" t="s">
        <v>9914</v>
      </c>
      <c r="AL2018">
        <v>0.16</v>
      </c>
      <c r="AM2018">
        <v>2128</v>
      </c>
      <c r="AN2018">
        <v>70</v>
      </c>
      <c r="AO2018">
        <v>1E-3</v>
      </c>
      <c r="AP2018">
        <v>-1</v>
      </c>
      <c r="AQ2018">
        <v>0.59</v>
      </c>
      <c r="AR2018">
        <v>-4.53</v>
      </c>
      <c r="AS2018">
        <v>1.35</v>
      </c>
      <c r="AT2018">
        <v>-0.15</v>
      </c>
      <c r="AU2018">
        <v>-9.24</v>
      </c>
      <c r="AV2018">
        <v>0</v>
      </c>
      <c r="AW2018">
        <v>3.09</v>
      </c>
      <c r="AX2018">
        <v>67.709999999999994</v>
      </c>
      <c r="AY2018">
        <v>11.83</v>
      </c>
      <c r="AZ2018">
        <v>12.68</v>
      </c>
      <c r="BA2018">
        <v>0.4</v>
      </c>
      <c r="BB2018" t="s">
        <v>240</v>
      </c>
      <c r="BF2018">
        <v>0.09</v>
      </c>
      <c r="BG2018">
        <v>-2.3199999999999998</v>
      </c>
      <c r="BH2018">
        <v>-3.44</v>
      </c>
      <c r="BI2018">
        <v>0.15</v>
      </c>
      <c r="BJ2018">
        <v>20210827</v>
      </c>
      <c r="BK2018">
        <v>20180105</v>
      </c>
      <c r="BL2018">
        <v>7.14</v>
      </c>
      <c r="BM2018" t="s">
        <v>120</v>
      </c>
      <c r="BN2018" t="s">
        <v>120</v>
      </c>
      <c r="BO2018">
        <v>69.36</v>
      </c>
      <c r="BP2018">
        <v>6.73</v>
      </c>
      <c r="BQ2018">
        <v>36.78</v>
      </c>
      <c r="BR2018">
        <v>2.75</v>
      </c>
      <c r="BS2018">
        <v>43.01</v>
      </c>
      <c r="BT2018">
        <v>23.83</v>
      </c>
      <c r="BU2018">
        <v>3.73</v>
      </c>
      <c r="BV2018">
        <v>0.7</v>
      </c>
      <c r="BW2018">
        <v>21.26</v>
      </c>
      <c r="BX2018">
        <v>3.71</v>
      </c>
      <c r="BY2018">
        <v>1.3</v>
      </c>
      <c r="BZ2018">
        <v>7.74</v>
      </c>
      <c r="CA2018" t="s">
        <v>120</v>
      </c>
      <c r="CB2018">
        <v>9.51</v>
      </c>
      <c r="CC2018">
        <v>10.039999999999999</v>
      </c>
      <c r="CD2018">
        <v>6.5</v>
      </c>
      <c r="CE2018">
        <v>2.33</v>
      </c>
      <c r="CF2018">
        <v>0.02</v>
      </c>
      <c r="CG2018">
        <v>2.34</v>
      </c>
      <c r="CH2018">
        <v>1.85</v>
      </c>
      <c r="CI2018">
        <v>1.81</v>
      </c>
      <c r="CJ2018">
        <v>-0.12</v>
      </c>
      <c r="CK2018">
        <v>1.8</v>
      </c>
      <c r="CL2018">
        <v>19.829999999999998</v>
      </c>
      <c r="CM2018">
        <v>-3.41</v>
      </c>
      <c r="CN2018">
        <v>-3.32</v>
      </c>
      <c r="CO2018">
        <v>44087</v>
      </c>
      <c r="CP2018">
        <v>10970</v>
      </c>
      <c r="CQ2018" t="s">
        <v>1662</v>
      </c>
      <c r="CR2018">
        <v>18.29</v>
      </c>
      <c r="CS2018">
        <v>28</v>
      </c>
      <c r="CT2018">
        <v>1.31</v>
      </c>
      <c r="CU2018">
        <v>-14.12</v>
      </c>
      <c r="CV2018">
        <v>4.79</v>
      </c>
      <c r="CW2018">
        <v>0.95</v>
      </c>
      <c r="CX2018" t="s">
        <v>863</v>
      </c>
      <c r="CY2018">
        <v>5.15</v>
      </c>
      <c r="CZ2018">
        <v>0</v>
      </c>
      <c r="DA2018">
        <v>1.33</v>
      </c>
      <c r="DB2018">
        <v>2.78</v>
      </c>
      <c r="DC2018">
        <v>-0.48</v>
      </c>
      <c r="DD2018">
        <v>53.02</v>
      </c>
      <c r="DE2018" t="s">
        <v>4297</v>
      </c>
      <c r="DF2018">
        <v>35.22</v>
      </c>
      <c r="DG2018">
        <v>23.18</v>
      </c>
      <c r="DH2018">
        <v>18.03</v>
      </c>
      <c r="DI2018">
        <v>0.14000000000000001</v>
      </c>
      <c r="DJ2018">
        <v>1328</v>
      </c>
      <c r="DK2018">
        <v>300664</v>
      </c>
      <c r="DL2018" t="s">
        <v>120</v>
      </c>
      <c r="DM2018" t="s">
        <v>120</v>
      </c>
      <c r="DN2018" t="s">
        <v>120</v>
      </c>
    </row>
    <row r="2019" spans="1:118">
      <c r="A2019" t="str">
        <f>"300665"</f>
        <v>300665</v>
      </c>
      <c r="B2019" t="s">
        <v>9915</v>
      </c>
      <c r="C2019">
        <v>6.06</v>
      </c>
      <c r="D2019">
        <v>0.25</v>
      </c>
      <c r="E2019">
        <v>1.42</v>
      </c>
      <c r="F2019">
        <v>3540</v>
      </c>
      <c r="G2019" t="s">
        <v>8005</v>
      </c>
      <c r="H2019">
        <v>36854.22</v>
      </c>
      <c r="I2019">
        <v>224.95</v>
      </c>
      <c r="J2019" t="s">
        <v>120</v>
      </c>
      <c r="K2019" t="s">
        <v>9916</v>
      </c>
      <c r="L2019">
        <v>24.19</v>
      </c>
      <c r="M2019">
        <v>11.91</v>
      </c>
      <c r="N2019">
        <v>2.77</v>
      </c>
      <c r="O2019">
        <v>9.5299999999999994</v>
      </c>
      <c r="P2019">
        <v>12.3</v>
      </c>
      <c r="Q2019">
        <v>-2.4</v>
      </c>
      <c r="R2019">
        <v>10.96</v>
      </c>
      <c r="S2019">
        <v>11.39</v>
      </c>
      <c r="T2019">
        <v>311650</v>
      </c>
      <c r="U2019">
        <v>11.91</v>
      </c>
      <c r="V2019">
        <v>11.23</v>
      </c>
      <c r="W2019">
        <v>294.18</v>
      </c>
      <c r="X2019" t="s">
        <v>1145</v>
      </c>
      <c r="Y2019" t="s">
        <v>594</v>
      </c>
      <c r="Z2019">
        <v>11.93</v>
      </c>
      <c r="AA2019">
        <v>11.83</v>
      </c>
      <c r="AB2019">
        <v>143560</v>
      </c>
      <c r="AC2019">
        <v>168090</v>
      </c>
      <c r="AD2019">
        <v>0.85</v>
      </c>
      <c r="AE2019">
        <v>2</v>
      </c>
      <c r="AF2019">
        <v>594</v>
      </c>
      <c r="AG2019" t="s">
        <v>120</v>
      </c>
      <c r="AH2019">
        <v>0.17</v>
      </c>
      <c r="AI2019" t="s">
        <v>120</v>
      </c>
      <c r="AJ2019">
        <v>1.29</v>
      </c>
      <c r="AK2019" t="s">
        <v>9917</v>
      </c>
      <c r="AL2019">
        <v>7.97</v>
      </c>
      <c r="AM2019">
        <v>3549</v>
      </c>
      <c r="AN2019">
        <v>88</v>
      </c>
      <c r="AO2019">
        <v>6.7999999999999996E-3</v>
      </c>
      <c r="AP2019">
        <v>4</v>
      </c>
      <c r="AQ2019">
        <v>2.1800000000000002</v>
      </c>
      <c r="AR2019">
        <v>16.3</v>
      </c>
      <c r="AS2019">
        <v>23.54</v>
      </c>
      <c r="AT2019">
        <v>35.340000000000003</v>
      </c>
      <c r="AU2019">
        <v>52.84</v>
      </c>
      <c r="AV2019">
        <v>0</v>
      </c>
      <c r="AW2019">
        <v>27.21</v>
      </c>
      <c r="AX2019">
        <v>66.099999999999994</v>
      </c>
      <c r="AY2019">
        <v>75.040000000000006</v>
      </c>
      <c r="AZ2019">
        <v>80.55</v>
      </c>
      <c r="BA2019">
        <v>0.69</v>
      </c>
      <c r="BB2019" t="s">
        <v>184</v>
      </c>
      <c r="BF2019">
        <v>5.3</v>
      </c>
      <c r="BG2019">
        <v>4.57</v>
      </c>
      <c r="BH2019">
        <v>-3.17</v>
      </c>
      <c r="BI2019">
        <v>8.67</v>
      </c>
      <c r="BJ2019">
        <v>20210821</v>
      </c>
      <c r="BK2019">
        <v>20170613</v>
      </c>
      <c r="BL2019">
        <v>1.73</v>
      </c>
      <c r="BM2019" t="s">
        <v>120</v>
      </c>
      <c r="BN2019" t="s">
        <v>120</v>
      </c>
      <c r="BO2019">
        <v>14.44</v>
      </c>
      <c r="BP2019">
        <v>11.9</v>
      </c>
      <c r="BQ2019">
        <v>5.38</v>
      </c>
      <c r="BR2019">
        <v>0.11</v>
      </c>
      <c r="BS2019">
        <v>62.01</v>
      </c>
      <c r="BT2019">
        <v>7.92</v>
      </c>
      <c r="BU2019">
        <v>1.7</v>
      </c>
      <c r="BV2019">
        <v>0.64</v>
      </c>
      <c r="BW2019">
        <v>4.84</v>
      </c>
      <c r="BX2019">
        <v>1.71</v>
      </c>
      <c r="BY2019">
        <v>1.26</v>
      </c>
      <c r="BZ2019">
        <v>3.44</v>
      </c>
      <c r="CA2019" t="s">
        <v>120</v>
      </c>
      <c r="CB2019">
        <v>1.39</v>
      </c>
      <c r="CC2019">
        <v>2.41</v>
      </c>
      <c r="CD2019">
        <v>1.87</v>
      </c>
      <c r="CE2019">
        <v>0.03</v>
      </c>
      <c r="CF2019">
        <v>0</v>
      </c>
      <c r="CG2019">
        <v>0.04</v>
      </c>
      <c r="CH2019">
        <v>0.03</v>
      </c>
      <c r="CI2019">
        <v>0.04</v>
      </c>
      <c r="CJ2019">
        <v>0.68</v>
      </c>
      <c r="CK2019">
        <v>0.02</v>
      </c>
      <c r="CL2019">
        <v>1.86</v>
      </c>
      <c r="CM2019">
        <v>-0.45</v>
      </c>
      <c r="CN2019">
        <v>-0.53</v>
      </c>
      <c r="CO2019">
        <v>7660</v>
      </c>
      <c r="CP2019">
        <v>14951</v>
      </c>
      <c r="CQ2019" t="s">
        <v>9918</v>
      </c>
      <c r="CR2019">
        <v>102.6</v>
      </c>
      <c r="CS2019">
        <v>31.09</v>
      </c>
      <c r="CT2019">
        <v>4.1100000000000003</v>
      </c>
      <c r="CU2019">
        <v>-46.14</v>
      </c>
      <c r="CV2019">
        <v>8.57</v>
      </c>
      <c r="CW2019">
        <v>0.38</v>
      </c>
      <c r="CX2019" t="s">
        <v>499</v>
      </c>
      <c r="CY2019">
        <v>2.9</v>
      </c>
      <c r="CZ2019">
        <v>2.9</v>
      </c>
      <c r="DA2019">
        <v>0.8</v>
      </c>
      <c r="DB2019">
        <v>1.08</v>
      </c>
      <c r="DC2019">
        <v>-0.26</v>
      </c>
      <c r="DD2019">
        <v>37.25</v>
      </c>
      <c r="DE2019" t="s">
        <v>9919</v>
      </c>
      <c r="DF2019">
        <v>22.43</v>
      </c>
      <c r="DG2019">
        <v>1.24</v>
      </c>
      <c r="DH2019">
        <v>1.46</v>
      </c>
      <c r="DI2019">
        <v>0.08</v>
      </c>
      <c r="DJ2019">
        <v>534</v>
      </c>
      <c r="DK2019">
        <v>300665</v>
      </c>
      <c r="DL2019" t="s">
        <v>120</v>
      </c>
      <c r="DM2019" t="s">
        <v>120</v>
      </c>
      <c r="DN2019" t="s">
        <v>120</v>
      </c>
    </row>
    <row r="2020" spans="1:118">
      <c r="A2020" t="str">
        <f>"300666"</f>
        <v>300666</v>
      </c>
      <c r="B2020" t="s">
        <v>9920</v>
      </c>
      <c r="C2020">
        <v>-2.89</v>
      </c>
      <c r="D2020">
        <v>0.02</v>
      </c>
      <c r="E2020">
        <v>0</v>
      </c>
      <c r="F2020">
        <v>383</v>
      </c>
      <c r="G2020" t="s">
        <v>9921</v>
      </c>
      <c r="H2020">
        <v>14731.81</v>
      </c>
      <c r="I2020">
        <v>39.409999999999997</v>
      </c>
      <c r="J2020" t="s">
        <v>120</v>
      </c>
      <c r="K2020" t="s">
        <v>9922</v>
      </c>
      <c r="L2020">
        <v>2.12</v>
      </c>
      <c r="M2020">
        <v>45.02</v>
      </c>
      <c r="N2020">
        <v>0.75</v>
      </c>
      <c r="O2020">
        <v>1.06</v>
      </c>
      <c r="P2020">
        <v>46.85</v>
      </c>
      <c r="Q2020">
        <v>-2.93</v>
      </c>
      <c r="R2020">
        <v>45</v>
      </c>
      <c r="S2020">
        <v>46.36</v>
      </c>
      <c r="T2020">
        <v>32165</v>
      </c>
      <c r="U2020">
        <v>45.03</v>
      </c>
      <c r="V2020">
        <v>46.36</v>
      </c>
      <c r="W2020">
        <v>83.59</v>
      </c>
      <c r="X2020" t="s">
        <v>229</v>
      </c>
      <c r="Y2020" t="s">
        <v>585</v>
      </c>
      <c r="Z2020">
        <v>3.99</v>
      </c>
      <c r="AA2020">
        <v>45.8</v>
      </c>
      <c r="AB2020">
        <v>19693</v>
      </c>
      <c r="AC2020">
        <v>12472</v>
      </c>
      <c r="AD2020">
        <v>1.58</v>
      </c>
      <c r="AE2020">
        <v>115</v>
      </c>
      <c r="AF2020">
        <v>3</v>
      </c>
      <c r="AG2020" t="s">
        <v>120</v>
      </c>
      <c r="AH2020">
        <v>0.01</v>
      </c>
      <c r="AI2020" t="s">
        <v>120</v>
      </c>
      <c r="AJ2020">
        <v>1.52</v>
      </c>
      <c r="AK2020" t="s">
        <v>9923</v>
      </c>
      <c r="AL2020">
        <v>-0.98</v>
      </c>
      <c r="AM2020">
        <v>2539</v>
      </c>
      <c r="AN2020">
        <v>13</v>
      </c>
      <c r="AO2020">
        <v>8.0000000000000004E-4</v>
      </c>
      <c r="AP2020">
        <v>-1</v>
      </c>
      <c r="AQ2020">
        <v>0.22</v>
      </c>
      <c r="AR2020">
        <v>-2.5299999999999998</v>
      </c>
      <c r="AS2020">
        <v>-7.54</v>
      </c>
      <c r="AT2020">
        <v>-9.07</v>
      </c>
      <c r="AU2020">
        <v>-8.81</v>
      </c>
      <c r="AV2020">
        <v>0</v>
      </c>
      <c r="AW2020">
        <v>2.29</v>
      </c>
      <c r="AX2020">
        <v>62.34</v>
      </c>
      <c r="AY2020">
        <v>62.52</v>
      </c>
      <c r="AZ2020">
        <v>70.930000000000007</v>
      </c>
      <c r="BA2020">
        <v>0.85</v>
      </c>
      <c r="BB2020" t="s">
        <v>143</v>
      </c>
      <c r="BF2020">
        <v>-1.21</v>
      </c>
      <c r="BG2020">
        <v>-2.89</v>
      </c>
      <c r="BH2020">
        <v>-3.91</v>
      </c>
      <c r="BI2020">
        <v>0.04</v>
      </c>
      <c r="BJ2020">
        <v>20210827</v>
      </c>
      <c r="BK2020">
        <v>20170615</v>
      </c>
      <c r="BL2020">
        <v>2.25</v>
      </c>
      <c r="BM2020" t="s">
        <v>120</v>
      </c>
      <c r="BN2020" t="s">
        <v>120</v>
      </c>
      <c r="BO2020">
        <v>26.81</v>
      </c>
      <c r="BP2020">
        <v>45.02</v>
      </c>
      <c r="BQ2020">
        <v>11.41</v>
      </c>
      <c r="BR2020">
        <v>0.06</v>
      </c>
      <c r="BS2020">
        <v>57.22</v>
      </c>
      <c r="BT2020">
        <v>11.89</v>
      </c>
      <c r="BU2020">
        <v>4.82</v>
      </c>
      <c r="BV2020">
        <v>1.32</v>
      </c>
      <c r="BW2020">
        <v>12.22</v>
      </c>
      <c r="BX2020">
        <v>2.88</v>
      </c>
      <c r="BY2020">
        <v>4.93</v>
      </c>
      <c r="BZ2020">
        <v>3.31</v>
      </c>
      <c r="CA2020" t="s">
        <v>120</v>
      </c>
      <c r="CB2020">
        <v>4.9400000000000004</v>
      </c>
      <c r="CC2020">
        <v>7.23</v>
      </c>
      <c r="CD2020">
        <v>5.25</v>
      </c>
      <c r="CE2020">
        <v>0.63</v>
      </c>
      <c r="CF2020">
        <v>0</v>
      </c>
      <c r="CG2020">
        <v>0.63</v>
      </c>
      <c r="CH2020">
        <v>0.53</v>
      </c>
      <c r="CI2020">
        <v>0.61</v>
      </c>
      <c r="CJ2020">
        <v>-1.34</v>
      </c>
      <c r="CK2020">
        <v>0.4</v>
      </c>
      <c r="CL2020">
        <v>3.74</v>
      </c>
      <c r="CM2020">
        <v>0.28000000000000003</v>
      </c>
      <c r="CN2020">
        <v>-1.1499999999999999</v>
      </c>
      <c r="CO2020">
        <v>45792</v>
      </c>
      <c r="CP2020">
        <v>3065</v>
      </c>
      <c r="CQ2020" t="s">
        <v>1468</v>
      </c>
      <c r="CR2020">
        <v>48.49</v>
      </c>
      <c r="CS2020">
        <v>35.68</v>
      </c>
      <c r="CT2020">
        <v>8.8800000000000008</v>
      </c>
      <c r="CU2020">
        <v>359.39</v>
      </c>
      <c r="CV2020">
        <v>14.01</v>
      </c>
      <c r="CW2020">
        <v>0.28999999999999998</v>
      </c>
      <c r="CX2020" t="s">
        <v>1233</v>
      </c>
      <c r="CY2020">
        <v>5.07</v>
      </c>
      <c r="CZ2020">
        <v>0</v>
      </c>
      <c r="DA2020">
        <v>2.2000000000000002</v>
      </c>
      <c r="DB2020">
        <v>1.66</v>
      </c>
      <c r="DC2020">
        <v>0.13</v>
      </c>
      <c r="DD2020">
        <v>42.56</v>
      </c>
      <c r="DE2020" t="s">
        <v>2687</v>
      </c>
      <c r="DF2020">
        <v>27.41</v>
      </c>
      <c r="DG2020">
        <v>8.73</v>
      </c>
      <c r="DH2020">
        <v>8.3800000000000008</v>
      </c>
      <c r="DI2020">
        <v>0.45</v>
      </c>
      <c r="DJ2020">
        <v>1044</v>
      </c>
      <c r="DK2020">
        <v>300666</v>
      </c>
      <c r="DL2020" t="s">
        <v>120</v>
      </c>
      <c r="DM2020" t="s">
        <v>120</v>
      </c>
      <c r="DN2020" t="s">
        <v>120</v>
      </c>
    </row>
    <row r="2021" spans="1:118">
      <c r="A2021" t="str">
        <f>"300667"</f>
        <v>300667</v>
      </c>
      <c r="B2021" t="s">
        <v>9924</v>
      </c>
      <c r="C2021">
        <v>-3.93</v>
      </c>
      <c r="D2021">
        <v>0.09</v>
      </c>
      <c r="E2021">
        <v>0</v>
      </c>
      <c r="F2021">
        <v>263</v>
      </c>
      <c r="G2021" t="s">
        <v>9925</v>
      </c>
      <c r="H2021">
        <v>6215.41</v>
      </c>
      <c r="I2021">
        <v>2.13</v>
      </c>
      <c r="J2021" t="s">
        <v>120</v>
      </c>
      <c r="K2021" t="s">
        <v>9926</v>
      </c>
      <c r="L2021">
        <v>1.87</v>
      </c>
      <c r="M2021">
        <v>22.72</v>
      </c>
      <c r="N2021">
        <v>1.29</v>
      </c>
      <c r="O2021">
        <v>0.38</v>
      </c>
      <c r="P2021">
        <v>23.74</v>
      </c>
      <c r="Q2021">
        <v>-4.5199999999999996</v>
      </c>
      <c r="R2021">
        <v>22.58</v>
      </c>
      <c r="S2021">
        <v>23.65</v>
      </c>
      <c r="T2021">
        <v>26939</v>
      </c>
      <c r="U2021">
        <v>22.78</v>
      </c>
      <c r="V2021">
        <v>23.65</v>
      </c>
      <c r="W2021">
        <v>223.16</v>
      </c>
      <c r="X2021" t="s">
        <v>2717</v>
      </c>
      <c r="Y2021" t="s">
        <v>158</v>
      </c>
      <c r="Z2021">
        <v>4.9000000000000004</v>
      </c>
      <c r="AA2021">
        <v>23.07</v>
      </c>
      <c r="AB2021">
        <v>16220</v>
      </c>
      <c r="AC2021">
        <v>10719</v>
      </c>
      <c r="AD2021">
        <v>1.51</v>
      </c>
      <c r="AE2021">
        <v>80</v>
      </c>
      <c r="AF2021">
        <v>20</v>
      </c>
      <c r="AG2021" t="s">
        <v>120</v>
      </c>
      <c r="AH2021">
        <v>0</v>
      </c>
      <c r="AI2021" t="s">
        <v>120</v>
      </c>
      <c r="AJ2021">
        <v>1.44</v>
      </c>
      <c r="AK2021" t="s">
        <v>9927</v>
      </c>
      <c r="AL2021">
        <v>-2.02</v>
      </c>
      <c r="AM2021">
        <v>1293</v>
      </c>
      <c r="AN2021">
        <v>21</v>
      </c>
      <c r="AO2021">
        <v>1.4E-3</v>
      </c>
      <c r="AP2021">
        <v>-2</v>
      </c>
      <c r="AQ2021">
        <v>-1.5</v>
      </c>
      <c r="AR2021">
        <v>-4.74</v>
      </c>
      <c r="AS2021">
        <v>-6.57</v>
      </c>
      <c r="AT2021">
        <v>-9.0399999999999991</v>
      </c>
      <c r="AU2021">
        <v>-10.66</v>
      </c>
      <c r="AV2021">
        <v>0</v>
      </c>
      <c r="AW2021">
        <v>2.5499999999999998</v>
      </c>
      <c r="AX2021">
        <v>53.07</v>
      </c>
      <c r="AY2021">
        <v>85.14</v>
      </c>
      <c r="AZ2021">
        <v>92.9</v>
      </c>
      <c r="BA2021">
        <v>0.87</v>
      </c>
      <c r="BB2021" t="s">
        <v>143</v>
      </c>
      <c r="BF2021">
        <v>-2.44</v>
      </c>
      <c r="BG2021">
        <v>-3.93</v>
      </c>
      <c r="BH2021">
        <v>-4.3</v>
      </c>
      <c r="BI2021">
        <v>0.62</v>
      </c>
      <c r="BJ2021">
        <v>20210913</v>
      </c>
      <c r="BK2021">
        <v>20170619</v>
      </c>
      <c r="BL2021">
        <v>1.99</v>
      </c>
      <c r="BM2021" t="s">
        <v>120</v>
      </c>
      <c r="BN2021" t="s">
        <v>120</v>
      </c>
      <c r="BO2021">
        <v>15.93</v>
      </c>
      <c r="BP2021">
        <v>22.72</v>
      </c>
      <c r="BQ2021">
        <v>11.48</v>
      </c>
      <c r="BR2021">
        <v>7.0000000000000007E-2</v>
      </c>
      <c r="BS2021">
        <v>27.46</v>
      </c>
      <c r="BT2021">
        <v>9.1199999999999992</v>
      </c>
      <c r="BU2021">
        <v>1.83</v>
      </c>
      <c r="BV2021">
        <v>0.67</v>
      </c>
      <c r="BW2021">
        <v>3.59</v>
      </c>
      <c r="BX2021">
        <v>2.84</v>
      </c>
      <c r="BY2021">
        <v>2.86</v>
      </c>
      <c r="BZ2021">
        <v>2</v>
      </c>
      <c r="CA2021" t="s">
        <v>120</v>
      </c>
      <c r="CB2021">
        <v>7.21</v>
      </c>
      <c r="CC2021">
        <v>3.37</v>
      </c>
      <c r="CD2021">
        <v>2.1800000000000002</v>
      </c>
      <c r="CE2021">
        <v>0.17</v>
      </c>
      <c r="CF2021">
        <v>0.01</v>
      </c>
      <c r="CG2021">
        <v>0.17</v>
      </c>
      <c r="CH2021">
        <v>0.11</v>
      </c>
      <c r="CI2021">
        <v>0.1</v>
      </c>
      <c r="CJ2021">
        <v>-0.93</v>
      </c>
      <c r="CK2021">
        <v>7.0000000000000007E-2</v>
      </c>
      <c r="CL2021">
        <v>2.19</v>
      </c>
      <c r="CM2021">
        <v>-0.14000000000000001</v>
      </c>
      <c r="CN2021">
        <v>0.06</v>
      </c>
      <c r="CO2021">
        <v>13930</v>
      </c>
      <c r="CP2021">
        <v>7574</v>
      </c>
      <c r="CQ2021" t="s">
        <v>9928</v>
      </c>
      <c r="CR2021">
        <v>83.87</v>
      </c>
      <c r="CS2021">
        <v>3.81</v>
      </c>
      <c r="CT2021">
        <v>3.94</v>
      </c>
      <c r="CU2021">
        <v>-330.91</v>
      </c>
      <c r="CV2021">
        <v>13.38</v>
      </c>
      <c r="CW2021">
        <v>0.42</v>
      </c>
      <c r="CX2021" t="s">
        <v>1248</v>
      </c>
      <c r="CY2021">
        <v>5.76</v>
      </c>
      <c r="CZ2021">
        <v>5.76</v>
      </c>
      <c r="DA2021">
        <v>3.63</v>
      </c>
      <c r="DB2021">
        <v>1.1000000000000001</v>
      </c>
      <c r="DC2021">
        <v>-7.0000000000000007E-2</v>
      </c>
      <c r="DD2021">
        <v>72.11</v>
      </c>
      <c r="DE2021" t="s">
        <v>6739</v>
      </c>
      <c r="DF2021">
        <v>35.33</v>
      </c>
      <c r="DG2021">
        <v>4.8899999999999997</v>
      </c>
      <c r="DH2021">
        <v>3</v>
      </c>
      <c r="DI2021">
        <v>0.34</v>
      </c>
      <c r="DJ2021">
        <v>620</v>
      </c>
      <c r="DK2021">
        <v>300667</v>
      </c>
      <c r="DL2021" t="s">
        <v>120</v>
      </c>
      <c r="DM2021" t="s">
        <v>120</v>
      </c>
      <c r="DN2021" t="s">
        <v>120</v>
      </c>
    </row>
    <row r="2022" spans="1:118">
      <c r="A2022" t="str">
        <f>"300668"</f>
        <v>300668</v>
      </c>
      <c r="B2022" t="s">
        <v>9929</v>
      </c>
      <c r="C2022">
        <v>-4.29</v>
      </c>
      <c r="D2022">
        <v>0</v>
      </c>
      <c r="E2022">
        <v>-3.38</v>
      </c>
      <c r="F2022">
        <v>917</v>
      </c>
      <c r="G2022" t="s">
        <v>9930</v>
      </c>
      <c r="H2022">
        <v>17943.48</v>
      </c>
      <c r="I2022">
        <v>609.6</v>
      </c>
      <c r="J2022" t="s">
        <v>120</v>
      </c>
      <c r="K2022" t="s">
        <v>9931</v>
      </c>
      <c r="L2022">
        <v>19.89</v>
      </c>
      <c r="M2022">
        <v>15.85</v>
      </c>
      <c r="N2022">
        <v>2.78</v>
      </c>
      <c r="O2022">
        <v>0.72</v>
      </c>
      <c r="P2022">
        <v>16.68</v>
      </c>
      <c r="Q2022">
        <v>-6.64</v>
      </c>
      <c r="R2022">
        <v>15.46</v>
      </c>
      <c r="S2022">
        <v>16</v>
      </c>
      <c r="T2022">
        <v>111521</v>
      </c>
      <c r="U2022">
        <v>15.86</v>
      </c>
      <c r="V2022">
        <v>16.559999999999999</v>
      </c>
      <c r="W2022">
        <v>54.81</v>
      </c>
      <c r="X2022" t="s">
        <v>3122</v>
      </c>
      <c r="Y2022" t="s">
        <v>123</v>
      </c>
      <c r="Z2022">
        <v>7.37</v>
      </c>
      <c r="AA2022">
        <v>16.09</v>
      </c>
      <c r="AB2022">
        <v>55104</v>
      </c>
      <c r="AC2022">
        <v>56417</v>
      </c>
      <c r="AD2022">
        <v>0.98</v>
      </c>
      <c r="AE2022">
        <v>823</v>
      </c>
      <c r="AF2022">
        <v>14</v>
      </c>
      <c r="AG2022" t="s">
        <v>120</v>
      </c>
      <c r="AH2022">
        <v>1.05</v>
      </c>
      <c r="AI2022" t="s">
        <v>120</v>
      </c>
      <c r="AJ2022">
        <v>0.56000000000000005</v>
      </c>
      <c r="AK2022" t="s">
        <v>9932</v>
      </c>
      <c r="AL2022">
        <v>-2.37</v>
      </c>
      <c r="AM2022">
        <v>2972</v>
      </c>
      <c r="AN2022">
        <v>38</v>
      </c>
      <c r="AO2022">
        <v>6.7000000000000002E-3</v>
      </c>
      <c r="AP2022">
        <v>-1</v>
      </c>
      <c r="AQ2022">
        <v>20</v>
      </c>
      <c r="AR2022">
        <v>13.87</v>
      </c>
      <c r="AS2022">
        <v>16.88</v>
      </c>
      <c r="AT2022">
        <v>14.04</v>
      </c>
      <c r="AU2022">
        <v>11.39</v>
      </c>
      <c r="AV2022">
        <v>1</v>
      </c>
      <c r="AW2022">
        <v>30.6</v>
      </c>
      <c r="AX2022">
        <v>34.57</v>
      </c>
      <c r="AY2022">
        <v>79.16</v>
      </c>
      <c r="AZ2022">
        <v>85.89</v>
      </c>
      <c r="BA2022">
        <v>0.57999999999999996</v>
      </c>
      <c r="BB2022" t="s">
        <v>751</v>
      </c>
      <c r="BF2022">
        <v>-2.84</v>
      </c>
      <c r="BG2022">
        <v>-0.94</v>
      </c>
      <c r="BH2022">
        <v>-4.9800000000000004</v>
      </c>
      <c r="BI2022">
        <v>2.52</v>
      </c>
      <c r="BJ2022">
        <v>20210914</v>
      </c>
      <c r="BK2022">
        <v>20170619</v>
      </c>
      <c r="BL2022">
        <v>1.05</v>
      </c>
      <c r="BM2022" t="s">
        <v>120</v>
      </c>
      <c r="BN2022" t="s">
        <v>120</v>
      </c>
      <c r="BO2022">
        <v>5.69</v>
      </c>
      <c r="BP2022">
        <v>15.85</v>
      </c>
      <c r="BQ2022">
        <v>4.58</v>
      </c>
      <c r="BR2022">
        <v>0</v>
      </c>
      <c r="BS2022">
        <v>19.46</v>
      </c>
      <c r="BT2022">
        <v>4.28</v>
      </c>
      <c r="BU2022">
        <v>0.81</v>
      </c>
      <c r="BV2022">
        <v>0.03</v>
      </c>
      <c r="BW2022">
        <v>0.8</v>
      </c>
      <c r="BX2022">
        <v>1.04</v>
      </c>
      <c r="BY2022">
        <v>0</v>
      </c>
      <c r="BZ2022">
        <v>2.19</v>
      </c>
      <c r="CA2022" t="s">
        <v>120</v>
      </c>
      <c r="CB2022">
        <v>1.36</v>
      </c>
      <c r="CC2022">
        <v>1.6</v>
      </c>
      <c r="CD2022">
        <v>0.96</v>
      </c>
      <c r="CE2022">
        <v>0.17</v>
      </c>
      <c r="CF2022">
        <v>0</v>
      </c>
      <c r="CG2022">
        <v>0.17</v>
      </c>
      <c r="CH2022">
        <v>0.15</v>
      </c>
      <c r="CI2022">
        <v>0.15</v>
      </c>
      <c r="CJ2022">
        <v>-0.71</v>
      </c>
      <c r="CK2022">
        <v>0.14000000000000001</v>
      </c>
      <c r="CL2022">
        <v>2.02</v>
      </c>
      <c r="CM2022">
        <v>-0.36</v>
      </c>
      <c r="CN2022">
        <v>-0.67</v>
      </c>
      <c r="CO2022">
        <v>8110</v>
      </c>
      <c r="CP2022">
        <v>4493</v>
      </c>
      <c r="CQ2022" t="s">
        <v>7933</v>
      </c>
      <c r="CR2022">
        <v>12.78</v>
      </c>
      <c r="CS2022">
        <v>28.01</v>
      </c>
      <c r="CT2022">
        <v>3.65</v>
      </c>
      <c r="CU2022">
        <v>-46.83</v>
      </c>
      <c r="CV2022">
        <v>10.41</v>
      </c>
      <c r="CW2022">
        <v>1.81</v>
      </c>
      <c r="CX2022" t="s">
        <v>2736</v>
      </c>
      <c r="CY2022">
        <v>4.3499999999999996</v>
      </c>
      <c r="CZ2022">
        <v>0</v>
      </c>
      <c r="DA2022">
        <v>1.29</v>
      </c>
      <c r="DB2022">
        <v>1.92</v>
      </c>
      <c r="DC2022">
        <v>-0.34</v>
      </c>
      <c r="DD2022">
        <v>80.52</v>
      </c>
      <c r="DE2022" t="s">
        <v>1841</v>
      </c>
      <c r="DF2022">
        <v>40.18</v>
      </c>
      <c r="DG2022">
        <v>10.78</v>
      </c>
      <c r="DH2022">
        <v>9.5</v>
      </c>
      <c r="DI2022">
        <v>0.04</v>
      </c>
      <c r="DJ2022">
        <v>771</v>
      </c>
      <c r="DK2022">
        <v>300668</v>
      </c>
      <c r="DL2022" t="s">
        <v>120</v>
      </c>
      <c r="DM2022" t="s">
        <v>120</v>
      </c>
      <c r="DN2022" t="s">
        <v>120</v>
      </c>
    </row>
    <row r="2023" spans="1:118">
      <c r="A2023" t="str">
        <f>"300669"</f>
        <v>300669</v>
      </c>
      <c r="B2023" t="s">
        <v>9933</v>
      </c>
      <c r="C2023">
        <v>-4.5599999999999996</v>
      </c>
      <c r="D2023">
        <v>0</v>
      </c>
      <c r="E2023">
        <v>1.1399999999999999</v>
      </c>
      <c r="F2023">
        <v>515</v>
      </c>
      <c r="G2023" t="s">
        <v>6391</v>
      </c>
      <c r="H2023">
        <v>3898.03</v>
      </c>
      <c r="I2023">
        <v>31.79</v>
      </c>
      <c r="J2023" t="s">
        <v>120</v>
      </c>
      <c r="K2023" t="s">
        <v>9934</v>
      </c>
      <c r="L2023">
        <v>2.06</v>
      </c>
      <c r="M2023">
        <v>18.399999999999999</v>
      </c>
      <c r="N2023">
        <v>0.73</v>
      </c>
      <c r="O2023">
        <v>1.1399999999999999</v>
      </c>
      <c r="P2023">
        <v>19.5</v>
      </c>
      <c r="Q2023">
        <v>-4.7699999999999996</v>
      </c>
      <c r="R2023">
        <v>18.36</v>
      </c>
      <c r="S2023">
        <v>19.5</v>
      </c>
      <c r="T2023">
        <v>20723</v>
      </c>
      <c r="U2023">
        <v>18.399999999999999</v>
      </c>
      <c r="V2023">
        <v>19.28</v>
      </c>
      <c r="W2023">
        <v>45.75</v>
      </c>
      <c r="X2023" t="s">
        <v>959</v>
      </c>
      <c r="Y2023" t="s">
        <v>585</v>
      </c>
      <c r="Z2023">
        <v>5.91</v>
      </c>
      <c r="AA2023">
        <v>18.809999999999999</v>
      </c>
      <c r="AB2023">
        <v>12731</v>
      </c>
      <c r="AC2023">
        <v>7992</v>
      </c>
      <c r="AD2023">
        <v>1.59</v>
      </c>
      <c r="AE2023">
        <v>45</v>
      </c>
      <c r="AF2023">
        <v>318</v>
      </c>
      <c r="AG2023" t="s">
        <v>120</v>
      </c>
      <c r="AH2023">
        <v>0.04</v>
      </c>
      <c r="AI2023" t="s">
        <v>120</v>
      </c>
      <c r="AJ2023">
        <v>1.01</v>
      </c>
      <c r="AK2023" t="s">
        <v>9605</v>
      </c>
      <c r="AL2023">
        <v>-2.65</v>
      </c>
      <c r="AM2023">
        <v>1290</v>
      </c>
      <c r="AN2023">
        <v>16</v>
      </c>
      <c r="AO2023">
        <v>1.6000000000000001E-3</v>
      </c>
      <c r="AP2023">
        <v>-2</v>
      </c>
      <c r="AQ2023">
        <v>-3.6</v>
      </c>
      <c r="AR2023">
        <v>-7.54</v>
      </c>
      <c r="AS2023">
        <v>0.55000000000000004</v>
      </c>
      <c r="AT2023">
        <v>-13.21</v>
      </c>
      <c r="AU2023">
        <v>-48.72</v>
      </c>
      <c r="AV2023">
        <v>1</v>
      </c>
      <c r="AW2023">
        <v>5.32</v>
      </c>
      <c r="AX2023">
        <v>35.090000000000003</v>
      </c>
      <c r="AY2023">
        <v>39.729999999999997</v>
      </c>
      <c r="AZ2023">
        <v>39.479999999999997</v>
      </c>
      <c r="BA2023">
        <v>0.87</v>
      </c>
      <c r="BB2023" t="s">
        <v>143</v>
      </c>
      <c r="BF2023">
        <v>-2.44</v>
      </c>
      <c r="BG2023">
        <v>-5.64</v>
      </c>
      <c r="BH2023">
        <v>-5.64</v>
      </c>
      <c r="BI2023">
        <v>0.22</v>
      </c>
      <c r="BJ2023">
        <v>20210827</v>
      </c>
      <c r="BK2023">
        <v>20170629</v>
      </c>
      <c r="BL2023">
        <v>1.1100000000000001</v>
      </c>
      <c r="BM2023" t="s">
        <v>120</v>
      </c>
      <c r="BN2023" t="s">
        <v>120</v>
      </c>
      <c r="BO2023">
        <v>6.34</v>
      </c>
      <c r="BP2023">
        <v>18.39</v>
      </c>
      <c r="BQ2023">
        <v>5.64</v>
      </c>
      <c r="BR2023" t="s">
        <v>120</v>
      </c>
      <c r="BS2023">
        <v>11.05</v>
      </c>
      <c r="BT2023">
        <v>3.95</v>
      </c>
      <c r="BU2023">
        <v>1.17</v>
      </c>
      <c r="BV2023">
        <v>0.27</v>
      </c>
      <c r="BW2023">
        <v>0.65</v>
      </c>
      <c r="BX2023">
        <v>0.64</v>
      </c>
      <c r="BY2023">
        <v>0.46</v>
      </c>
      <c r="BZ2023">
        <v>1.39</v>
      </c>
      <c r="CA2023" t="s">
        <v>120</v>
      </c>
      <c r="CB2023">
        <v>2.86</v>
      </c>
      <c r="CC2023">
        <v>1.82</v>
      </c>
      <c r="CD2023">
        <v>1.33</v>
      </c>
      <c r="CE2023">
        <v>0.26</v>
      </c>
      <c r="CF2023">
        <v>0.01</v>
      </c>
      <c r="CG2023">
        <v>0.26</v>
      </c>
      <c r="CH2023">
        <v>0.22</v>
      </c>
      <c r="CI2023">
        <v>0.22</v>
      </c>
      <c r="CJ2023">
        <v>-0.88</v>
      </c>
      <c r="CK2023">
        <v>0.2</v>
      </c>
      <c r="CL2023">
        <v>1.48</v>
      </c>
      <c r="CM2023">
        <v>-0.03</v>
      </c>
      <c r="CN2023">
        <v>-0.36</v>
      </c>
      <c r="CO2023">
        <v>11404</v>
      </c>
      <c r="CP2023">
        <v>3417</v>
      </c>
      <c r="CQ2023" t="s">
        <v>1550</v>
      </c>
      <c r="CR2023">
        <v>-1.52</v>
      </c>
      <c r="CS2023">
        <v>18.68</v>
      </c>
      <c r="CT2023">
        <v>3.62</v>
      </c>
      <c r="CU2023">
        <v>-699.68</v>
      </c>
      <c r="CV2023">
        <v>11.22</v>
      </c>
      <c r="CW2023">
        <v>0.93</v>
      </c>
      <c r="CX2023" t="s">
        <v>492</v>
      </c>
      <c r="CY2023">
        <v>5.08</v>
      </c>
      <c r="CZ2023">
        <v>0</v>
      </c>
      <c r="DA2023">
        <v>2.58</v>
      </c>
      <c r="DB2023">
        <v>1.33</v>
      </c>
      <c r="DC2023">
        <v>-0.03</v>
      </c>
      <c r="DD2023">
        <v>88.95</v>
      </c>
      <c r="DE2023" t="s">
        <v>2871</v>
      </c>
      <c r="DF2023">
        <v>27.09</v>
      </c>
      <c r="DG2023">
        <v>14.31</v>
      </c>
      <c r="DH2023">
        <v>12.26</v>
      </c>
      <c r="DI2023">
        <v>0.08</v>
      </c>
      <c r="DJ2023">
        <v>607</v>
      </c>
      <c r="DK2023">
        <v>300669</v>
      </c>
      <c r="DL2023">
        <v>20210901</v>
      </c>
      <c r="DM2023">
        <v>20.72</v>
      </c>
      <c r="DN2023">
        <v>-11.2</v>
      </c>
    </row>
    <row r="2024" spans="1:118">
      <c r="A2024" t="str">
        <f>"300670"</f>
        <v>300670</v>
      </c>
      <c r="B2024" t="s">
        <v>9935</v>
      </c>
      <c r="C2024">
        <v>-5.38</v>
      </c>
      <c r="D2024">
        <v>0</v>
      </c>
      <c r="E2024">
        <v>-1.69</v>
      </c>
      <c r="F2024">
        <v>1879</v>
      </c>
      <c r="G2024" t="s">
        <v>4699</v>
      </c>
      <c r="H2024">
        <v>10388.85</v>
      </c>
      <c r="I2024">
        <v>182.61</v>
      </c>
      <c r="J2024" t="s">
        <v>120</v>
      </c>
      <c r="K2024" t="s">
        <v>7675</v>
      </c>
      <c r="L2024">
        <v>5.05</v>
      </c>
      <c r="M2024">
        <v>9.49</v>
      </c>
      <c r="N2024">
        <v>0.79</v>
      </c>
      <c r="O2024">
        <v>0.6</v>
      </c>
      <c r="P2024">
        <v>10.09</v>
      </c>
      <c r="Q2024">
        <v>-5.48</v>
      </c>
      <c r="R2024">
        <v>9.48</v>
      </c>
      <c r="S2024">
        <v>9.86</v>
      </c>
      <c r="T2024">
        <v>106536</v>
      </c>
      <c r="U2024">
        <v>9.5</v>
      </c>
      <c r="V2024">
        <v>10.029999999999999</v>
      </c>
      <c r="W2024">
        <v>82.16</v>
      </c>
      <c r="X2024" t="s">
        <v>394</v>
      </c>
      <c r="Y2024" t="s">
        <v>319</v>
      </c>
      <c r="Z2024">
        <v>6.08</v>
      </c>
      <c r="AA2024">
        <v>9.75</v>
      </c>
      <c r="AB2024">
        <v>65140</v>
      </c>
      <c r="AC2024">
        <v>41396</v>
      </c>
      <c r="AD2024">
        <v>1.57</v>
      </c>
      <c r="AE2024">
        <v>22</v>
      </c>
      <c r="AF2024">
        <v>297</v>
      </c>
      <c r="AG2024" t="s">
        <v>120</v>
      </c>
      <c r="AH2024">
        <v>0.12</v>
      </c>
      <c r="AI2024" t="s">
        <v>120</v>
      </c>
      <c r="AJ2024">
        <v>2.11</v>
      </c>
      <c r="AK2024" t="s">
        <v>6938</v>
      </c>
      <c r="AL2024">
        <v>-3.47</v>
      </c>
      <c r="AM2024">
        <v>2848</v>
      </c>
      <c r="AN2024">
        <v>37</v>
      </c>
      <c r="AO2024">
        <v>1.8E-3</v>
      </c>
      <c r="AP2024">
        <v>-1</v>
      </c>
      <c r="AQ2024">
        <v>5.14</v>
      </c>
      <c r="AR2024">
        <v>-5.2</v>
      </c>
      <c r="AS2024">
        <v>-6.23</v>
      </c>
      <c r="AT2024">
        <v>23.89</v>
      </c>
      <c r="AU2024">
        <v>15.31</v>
      </c>
      <c r="AV2024">
        <v>5</v>
      </c>
      <c r="AW2024">
        <v>7.05</v>
      </c>
      <c r="AX2024">
        <v>47.87</v>
      </c>
      <c r="AY2024">
        <v>49.87</v>
      </c>
      <c r="AZ2024">
        <v>50.07</v>
      </c>
      <c r="BA2024">
        <v>0.9</v>
      </c>
      <c r="BB2024" t="s">
        <v>143</v>
      </c>
      <c r="BF2024">
        <v>-2.78</v>
      </c>
      <c r="BG2024">
        <v>-3.75</v>
      </c>
      <c r="BH2024">
        <v>-5.95</v>
      </c>
      <c r="BI2024">
        <v>0.11</v>
      </c>
      <c r="BJ2024">
        <v>20210820</v>
      </c>
      <c r="BK2024">
        <v>20170703</v>
      </c>
      <c r="BL2024">
        <v>3.16</v>
      </c>
      <c r="BM2024" t="s">
        <v>120</v>
      </c>
      <c r="BN2024" t="s">
        <v>120</v>
      </c>
      <c r="BO2024">
        <v>12.22</v>
      </c>
      <c r="BP2024">
        <v>9.49</v>
      </c>
      <c r="BQ2024">
        <v>9.27</v>
      </c>
      <c r="BR2024">
        <v>0.86</v>
      </c>
      <c r="BS2024">
        <v>17.170000000000002</v>
      </c>
      <c r="BT2024">
        <v>5.78</v>
      </c>
      <c r="BU2024">
        <v>2.5099999999999998</v>
      </c>
      <c r="BV2024">
        <v>0.52</v>
      </c>
      <c r="BW2024">
        <v>2</v>
      </c>
      <c r="BX2024">
        <v>0.57999999999999996</v>
      </c>
      <c r="BY2024">
        <v>0.47</v>
      </c>
      <c r="BZ2024">
        <v>3.39</v>
      </c>
      <c r="CA2024" t="s">
        <v>120</v>
      </c>
      <c r="CB2024">
        <v>3.26</v>
      </c>
      <c r="CC2024">
        <v>2.17</v>
      </c>
      <c r="CD2024">
        <v>1.55</v>
      </c>
      <c r="CE2024">
        <v>0.26</v>
      </c>
      <c r="CF2024">
        <v>0.02</v>
      </c>
      <c r="CG2024">
        <v>0.26</v>
      </c>
      <c r="CH2024">
        <v>0.23</v>
      </c>
      <c r="CI2024">
        <v>0.18</v>
      </c>
      <c r="CJ2024">
        <v>-0.54</v>
      </c>
      <c r="CK2024">
        <v>0.16</v>
      </c>
      <c r="CL2024">
        <v>2.57</v>
      </c>
      <c r="CM2024">
        <v>0.03</v>
      </c>
      <c r="CN2024">
        <v>-1.38</v>
      </c>
      <c r="CO2024">
        <v>20134</v>
      </c>
      <c r="CP2024">
        <v>7510</v>
      </c>
      <c r="CQ2024" t="s">
        <v>9936</v>
      </c>
      <c r="CR2024">
        <v>1.43</v>
      </c>
      <c r="CS2024">
        <v>1.94</v>
      </c>
      <c r="CT2024">
        <v>3.24</v>
      </c>
      <c r="CU2024">
        <v>1088.45</v>
      </c>
      <c r="CV2024">
        <v>13.81</v>
      </c>
      <c r="CW2024">
        <v>0.6</v>
      </c>
      <c r="CX2024" t="s">
        <v>9937</v>
      </c>
      <c r="CY2024">
        <v>2.93</v>
      </c>
      <c r="CZ2024">
        <v>0</v>
      </c>
      <c r="DA2024">
        <v>1.03</v>
      </c>
      <c r="DB2024">
        <v>0.81</v>
      </c>
      <c r="DC2024">
        <v>0.01</v>
      </c>
      <c r="DD2024">
        <v>75.81</v>
      </c>
      <c r="DE2024" t="s">
        <v>3654</v>
      </c>
      <c r="DF2024">
        <v>28.45</v>
      </c>
      <c r="DG2024">
        <v>12.08</v>
      </c>
      <c r="DH2024">
        <v>8.4</v>
      </c>
      <c r="DI2024">
        <v>0.09</v>
      </c>
      <c r="DJ2024">
        <v>476</v>
      </c>
      <c r="DK2024">
        <v>300670</v>
      </c>
      <c r="DL2024">
        <v>20210726</v>
      </c>
      <c r="DM2024">
        <v>9.26</v>
      </c>
      <c r="DN2024">
        <v>2.48</v>
      </c>
    </row>
    <row r="2025" spans="1:118">
      <c r="A2025" t="str">
        <f>"300671"</f>
        <v>300671</v>
      </c>
      <c r="B2025" t="s">
        <v>9938</v>
      </c>
      <c r="C2025">
        <v>-4.09</v>
      </c>
      <c r="D2025">
        <v>0.35</v>
      </c>
      <c r="E2025">
        <v>0.89</v>
      </c>
      <c r="F2025">
        <v>1283</v>
      </c>
      <c r="G2025" t="s">
        <v>9939</v>
      </c>
      <c r="H2025">
        <v>90447.13</v>
      </c>
      <c r="I2025">
        <v>463.09</v>
      </c>
      <c r="J2025" t="s">
        <v>120</v>
      </c>
      <c r="K2025" t="s">
        <v>9940</v>
      </c>
      <c r="L2025">
        <v>4.01</v>
      </c>
      <c r="M2025">
        <v>109.24</v>
      </c>
      <c r="N2025">
        <v>0.86</v>
      </c>
      <c r="O2025">
        <v>1.23</v>
      </c>
      <c r="P2025">
        <v>115.3</v>
      </c>
      <c r="Q2025">
        <v>-4.74</v>
      </c>
      <c r="R2025">
        <v>108.5</v>
      </c>
      <c r="S2025">
        <v>114.91</v>
      </c>
      <c r="T2025">
        <v>81693</v>
      </c>
      <c r="U2025">
        <v>109.25</v>
      </c>
      <c r="V2025">
        <v>113.9</v>
      </c>
      <c r="W2025">
        <v>35.409999999999997</v>
      </c>
      <c r="X2025" t="s">
        <v>3245</v>
      </c>
      <c r="Y2025" t="s">
        <v>123</v>
      </c>
      <c r="Z2025">
        <v>5.97</v>
      </c>
      <c r="AA2025">
        <v>110.72</v>
      </c>
      <c r="AB2025">
        <v>42190</v>
      </c>
      <c r="AC2025">
        <v>39503</v>
      </c>
      <c r="AD2025">
        <v>1.07</v>
      </c>
      <c r="AE2025">
        <v>375</v>
      </c>
      <c r="AF2025">
        <v>3</v>
      </c>
      <c r="AG2025" t="s">
        <v>120</v>
      </c>
      <c r="AH2025">
        <v>0.03</v>
      </c>
      <c r="AI2025" t="s">
        <v>120</v>
      </c>
      <c r="AJ2025">
        <v>2.04</v>
      </c>
      <c r="AK2025" t="s">
        <v>9941</v>
      </c>
      <c r="AL2025">
        <v>-2.1800000000000002</v>
      </c>
      <c r="AM2025">
        <v>4104</v>
      </c>
      <c r="AN2025">
        <v>20</v>
      </c>
      <c r="AO2025">
        <v>1E-3</v>
      </c>
      <c r="AP2025">
        <v>-1</v>
      </c>
      <c r="AQ2025">
        <v>0.09</v>
      </c>
      <c r="AR2025">
        <v>-1.89</v>
      </c>
      <c r="AS2025">
        <v>-13.72</v>
      </c>
      <c r="AT2025">
        <v>27.91</v>
      </c>
      <c r="AU2025">
        <v>228.28</v>
      </c>
      <c r="AV2025">
        <v>2</v>
      </c>
      <c r="AW2025">
        <v>6.15</v>
      </c>
      <c r="AX2025">
        <v>64.77</v>
      </c>
      <c r="AY2025">
        <v>59.53</v>
      </c>
      <c r="AZ2025">
        <v>232.35</v>
      </c>
      <c r="BA2025">
        <v>1.02</v>
      </c>
      <c r="BB2025" t="s">
        <v>125</v>
      </c>
      <c r="BF2025">
        <v>-2.79</v>
      </c>
      <c r="BG2025">
        <v>-4.93</v>
      </c>
      <c r="BH2025">
        <v>-5.26</v>
      </c>
      <c r="BI2025">
        <v>0.68</v>
      </c>
      <c r="BJ2025">
        <v>20210803</v>
      </c>
      <c r="BK2025">
        <v>20170705</v>
      </c>
      <c r="BL2025">
        <v>2.0499999999999998</v>
      </c>
      <c r="BM2025" t="s">
        <v>120</v>
      </c>
      <c r="BN2025" t="s">
        <v>120</v>
      </c>
      <c r="BO2025">
        <v>21.35</v>
      </c>
      <c r="BP2025">
        <v>109.24</v>
      </c>
      <c r="BQ2025">
        <v>13.26</v>
      </c>
      <c r="BR2025">
        <v>0.06</v>
      </c>
      <c r="BS2025">
        <v>37.6</v>
      </c>
      <c r="BT2025">
        <v>15.95</v>
      </c>
      <c r="BU2025">
        <v>3.27</v>
      </c>
      <c r="BV2025">
        <v>0.4</v>
      </c>
      <c r="BW2025">
        <v>6.52</v>
      </c>
      <c r="BX2025">
        <v>1.97</v>
      </c>
      <c r="BY2025">
        <v>2.33</v>
      </c>
      <c r="BZ2025">
        <v>3.85</v>
      </c>
      <c r="CA2025" t="s">
        <v>120</v>
      </c>
      <c r="CB2025">
        <v>5.0599999999999996</v>
      </c>
      <c r="CC2025">
        <v>8.51</v>
      </c>
      <c r="CD2025">
        <v>4.08</v>
      </c>
      <c r="CE2025">
        <v>3.46</v>
      </c>
      <c r="CF2025">
        <v>0.03</v>
      </c>
      <c r="CG2025">
        <v>3.46</v>
      </c>
      <c r="CH2025">
        <v>3.15</v>
      </c>
      <c r="CI2025">
        <v>3.16</v>
      </c>
      <c r="CJ2025">
        <v>-4.66</v>
      </c>
      <c r="CK2025">
        <v>3.04</v>
      </c>
      <c r="CL2025">
        <v>5.87</v>
      </c>
      <c r="CM2025">
        <v>1.39</v>
      </c>
      <c r="CN2025">
        <v>0.02</v>
      </c>
      <c r="CO2025">
        <v>24856</v>
      </c>
      <c r="CP2025">
        <v>5341</v>
      </c>
      <c r="CQ2025" t="s">
        <v>9942</v>
      </c>
      <c r="CR2025">
        <v>1190.55</v>
      </c>
      <c r="CS2025">
        <v>239.31</v>
      </c>
      <c r="CT2025">
        <v>16.88</v>
      </c>
      <c r="CU2025">
        <v>161.22999999999999</v>
      </c>
      <c r="CV2025">
        <v>26.31</v>
      </c>
      <c r="CW2025">
        <v>0.14000000000000001</v>
      </c>
      <c r="CX2025" t="s">
        <v>9943</v>
      </c>
      <c r="CY2025">
        <v>6.47</v>
      </c>
      <c r="CZ2025">
        <v>0</v>
      </c>
      <c r="DA2025">
        <v>2.4700000000000002</v>
      </c>
      <c r="DB2025">
        <v>2.86</v>
      </c>
      <c r="DC2025">
        <v>0.68</v>
      </c>
      <c r="DD2025">
        <v>62.13</v>
      </c>
      <c r="DE2025" t="s">
        <v>9944</v>
      </c>
      <c r="DF2025">
        <v>51.99</v>
      </c>
      <c r="DG2025">
        <v>40.61</v>
      </c>
      <c r="DH2025">
        <v>37.159999999999997</v>
      </c>
      <c r="DI2025">
        <v>0.68</v>
      </c>
      <c r="DJ2025">
        <v>899</v>
      </c>
      <c r="DK2025">
        <v>300671</v>
      </c>
      <c r="DL2025">
        <v>20210603</v>
      </c>
      <c r="DM2025">
        <v>59.37</v>
      </c>
      <c r="DN2025">
        <v>84</v>
      </c>
    </row>
    <row r="2026" spans="1:118">
      <c r="A2026" t="str">
        <f>"300672"</f>
        <v>300672</v>
      </c>
      <c r="B2026" t="s">
        <v>9945</v>
      </c>
      <c r="C2026">
        <v>-7.17</v>
      </c>
      <c r="D2026">
        <v>-1.33</v>
      </c>
      <c r="E2026">
        <v>-1.01</v>
      </c>
      <c r="F2026">
        <v>2117</v>
      </c>
      <c r="G2026" t="s">
        <v>9946</v>
      </c>
      <c r="H2026">
        <v>44403.03</v>
      </c>
      <c r="I2026">
        <v>104.1</v>
      </c>
      <c r="J2026" t="s">
        <v>120</v>
      </c>
      <c r="K2026" t="s">
        <v>9947</v>
      </c>
      <c r="L2026">
        <v>2.09</v>
      </c>
      <c r="M2026">
        <v>119.05</v>
      </c>
      <c r="N2026">
        <v>1.1000000000000001</v>
      </c>
      <c r="O2026">
        <v>-0.03</v>
      </c>
      <c r="P2026">
        <v>128.19999999999999</v>
      </c>
      <c r="Q2026">
        <v>-7.17</v>
      </c>
      <c r="R2026">
        <v>119.05</v>
      </c>
      <c r="S2026">
        <v>126.95</v>
      </c>
      <c r="T2026">
        <v>36175</v>
      </c>
      <c r="U2026">
        <v>119.46</v>
      </c>
      <c r="V2026">
        <v>128.24</v>
      </c>
      <c r="W2026" t="s">
        <v>120</v>
      </c>
      <c r="X2026" t="s">
        <v>3245</v>
      </c>
      <c r="Y2026" t="s">
        <v>594</v>
      </c>
      <c r="Z2026">
        <v>7.14</v>
      </c>
      <c r="AA2026">
        <v>122.75</v>
      </c>
      <c r="AB2026">
        <v>21844</v>
      </c>
      <c r="AC2026">
        <v>14331</v>
      </c>
      <c r="AD2026">
        <v>1.52</v>
      </c>
      <c r="AE2026">
        <v>48</v>
      </c>
      <c r="AF2026">
        <v>197</v>
      </c>
      <c r="AG2026" t="s">
        <v>120</v>
      </c>
      <c r="AH2026">
        <v>0.01</v>
      </c>
      <c r="AI2026" t="s">
        <v>120</v>
      </c>
      <c r="AJ2026">
        <v>1.73</v>
      </c>
      <c r="AK2026" t="s">
        <v>9948</v>
      </c>
      <c r="AL2026">
        <v>-5.25</v>
      </c>
      <c r="AM2026">
        <v>3220</v>
      </c>
      <c r="AN2026">
        <v>11</v>
      </c>
      <c r="AO2026">
        <v>5.9999999999999995E-4</v>
      </c>
      <c r="AP2026">
        <v>-1</v>
      </c>
      <c r="AQ2026">
        <v>0.22</v>
      </c>
      <c r="AR2026">
        <v>-6.7</v>
      </c>
      <c r="AS2026">
        <v>-15.99</v>
      </c>
      <c r="AT2026">
        <v>36.74</v>
      </c>
      <c r="AU2026">
        <v>173.87</v>
      </c>
      <c r="AV2026">
        <v>3</v>
      </c>
      <c r="AW2026">
        <v>4.2699999999999996</v>
      </c>
      <c r="AX2026">
        <v>46.93</v>
      </c>
      <c r="AY2026">
        <v>286.12</v>
      </c>
      <c r="AZ2026">
        <v>326.35000000000002</v>
      </c>
      <c r="BA2026">
        <v>0.73</v>
      </c>
      <c r="BB2026" t="s">
        <v>143</v>
      </c>
      <c r="BF2026">
        <v>-4.28</v>
      </c>
      <c r="BG2026">
        <v>-6.22</v>
      </c>
      <c r="BH2026">
        <v>-7.14</v>
      </c>
      <c r="BI2026">
        <v>0</v>
      </c>
      <c r="BJ2026">
        <v>20210828</v>
      </c>
      <c r="BK2026">
        <v>20170712</v>
      </c>
      <c r="BL2026">
        <v>1.8</v>
      </c>
      <c r="BM2026" t="s">
        <v>120</v>
      </c>
      <c r="BN2026" t="s">
        <v>120</v>
      </c>
      <c r="BO2026">
        <v>29.97</v>
      </c>
      <c r="BP2026">
        <v>119.05</v>
      </c>
      <c r="BQ2026">
        <v>12.5</v>
      </c>
      <c r="BR2026">
        <v>-0.22</v>
      </c>
      <c r="BS2026">
        <v>59.04</v>
      </c>
      <c r="BT2026">
        <v>15.58</v>
      </c>
      <c r="BU2026">
        <v>1.39</v>
      </c>
      <c r="BV2026">
        <v>2.59</v>
      </c>
      <c r="BW2026">
        <v>15</v>
      </c>
      <c r="BX2026">
        <v>3.11</v>
      </c>
      <c r="BY2026">
        <v>6.55</v>
      </c>
      <c r="BZ2026">
        <v>2.54</v>
      </c>
      <c r="CA2026" t="s">
        <v>120</v>
      </c>
      <c r="CB2026">
        <v>6.99</v>
      </c>
      <c r="CC2026">
        <v>9.52</v>
      </c>
      <c r="CD2026">
        <v>8.3800000000000008</v>
      </c>
      <c r="CE2026">
        <v>-0.53</v>
      </c>
      <c r="CF2026">
        <v>-0.1</v>
      </c>
      <c r="CG2026">
        <v>-0.33</v>
      </c>
      <c r="CH2026">
        <v>-0.09</v>
      </c>
      <c r="CI2026">
        <v>-0.1</v>
      </c>
      <c r="CJ2026">
        <v>-9.19</v>
      </c>
      <c r="CK2026">
        <v>-0.3</v>
      </c>
      <c r="CL2026">
        <v>2.81</v>
      </c>
      <c r="CM2026">
        <v>1.37</v>
      </c>
      <c r="CN2026">
        <v>-1.97</v>
      </c>
      <c r="CO2026">
        <v>19022</v>
      </c>
      <c r="CP2026">
        <v>4449</v>
      </c>
      <c r="CQ2026" t="s">
        <v>9949</v>
      </c>
      <c r="CR2026">
        <v>49.35</v>
      </c>
      <c r="CS2026">
        <v>393.08</v>
      </c>
      <c r="CT2026">
        <v>17.18</v>
      </c>
      <c r="CU2026">
        <v>156.4</v>
      </c>
      <c r="CV2026">
        <v>22.55</v>
      </c>
      <c r="CW2026">
        <v>0.25</v>
      </c>
      <c r="CX2026" t="s">
        <v>9950</v>
      </c>
      <c r="CY2026">
        <v>6.93</v>
      </c>
      <c r="CZ2026">
        <v>0</v>
      </c>
      <c r="DA2026">
        <v>3.88</v>
      </c>
      <c r="DB2026">
        <v>1.56</v>
      </c>
      <c r="DC2026">
        <v>0.76</v>
      </c>
      <c r="DD2026">
        <v>41.71</v>
      </c>
      <c r="DE2026" t="s">
        <v>9951</v>
      </c>
      <c r="DF2026">
        <v>11.99</v>
      </c>
      <c r="DG2026">
        <v>-5.53</v>
      </c>
      <c r="DH2026">
        <v>-1.07</v>
      </c>
      <c r="DI2026">
        <v>1.66</v>
      </c>
      <c r="DJ2026">
        <v>578</v>
      </c>
      <c r="DK2026">
        <v>300672</v>
      </c>
      <c r="DL2026" t="s">
        <v>120</v>
      </c>
      <c r="DM2026" t="s">
        <v>120</v>
      </c>
      <c r="DN2026" t="s">
        <v>120</v>
      </c>
    </row>
    <row r="2027" spans="1:118">
      <c r="A2027" t="str">
        <f>"300673"</f>
        <v>300673</v>
      </c>
      <c r="B2027" t="s">
        <v>9952</v>
      </c>
      <c r="C2027">
        <v>0.28000000000000003</v>
      </c>
      <c r="D2027">
        <v>0.06</v>
      </c>
      <c r="E2027">
        <v>-0.06</v>
      </c>
      <c r="F2027">
        <v>242</v>
      </c>
      <c r="G2027" t="s">
        <v>9953</v>
      </c>
      <c r="H2027">
        <v>4484.75</v>
      </c>
      <c r="I2027">
        <v>0.54</v>
      </c>
      <c r="J2027" t="s">
        <v>120</v>
      </c>
      <c r="K2027" t="s">
        <v>5524</v>
      </c>
      <c r="L2027">
        <v>1.53</v>
      </c>
      <c r="M2027">
        <v>17.93</v>
      </c>
      <c r="N2027">
        <v>1.06</v>
      </c>
      <c r="O2027">
        <v>2.29</v>
      </c>
      <c r="P2027">
        <v>18.29</v>
      </c>
      <c r="Q2027">
        <v>-0.45</v>
      </c>
      <c r="R2027">
        <v>17.8</v>
      </c>
      <c r="S2027">
        <v>17.87</v>
      </c>
      <c r="T2027">
        <v>24819</v>
      </c>
      <c r="U2027">
        <v>17.940000000000001</v>
      </c>
      <c r="V2027">
        <v>17.88</v>
      </c>
      <c r="W2027">
        <v>34.97</v>
      </c>
      <c r="X2027" t="s">
        <v>386</v>
      </c>
      <c r="Y2027" t="s">
        <v>585</v>
      </c>
      <c r="Z2027">
        <v>2.74</v>
      </c>
      <c r="AA2027">
        <v>18.07</v>
      </c>
      <c r="AB2027">
        <v>13090</v>
      </c>
      <c r="AC2027">
        <v>11729</v>
      </c>
      <c r="AD2027">
        <v>1.1200000000000001</v>
      </c>
      <c r="AE2027">
        <v>120</v>
      </c>
      <c r="AF2027">
        <v>55</v>
      </c>
      <c r="AG2027" t="s">
        <v>120</v>
      </c>
      <c r="AH2027">
        <v>0</v>
      </c>
      <c r="AI2027" t="s">
        <v>120</v>
      </c>
      <c r="AJ2027">
        <v>1.62</v>
      </c>
      <c r="AK2027" t="s">
        <v>9954</v>
      </c>
      <c r="AL2027">
        <v>2.19</v>
      </c>
      <c r="AM2027">
        <v>1446</v>
      </c>
      <c r="AN2027">
        <v>17</v>
      </c>
      <c r="AO2027">
        <v>1.1000000000000001E-3</v>
      </c>
      <c r="AP2027">
        <v>1</v>
      </c>
      <c r="AQ2027">
        <v>-0.06</v>
      </c>
      <c r="AR2027">
        <v>-0.72</v>
      </c>
      <c r="AS2027">
        <v>-4.67</v>
      </c>
      <c r="AT2027">
        <v>-20.309999999999999</v>
      </c>
      <c r="AU2027">
        <v>-13.77</v>
      </c>
      <c r="AV2027">
        <v>0</v>
      </c>
      <c r="AW2027">
        <v>2.12</v>
      </c>
      <c r="AX2027">
        <v>46.17</v>
      </c>
      <c r="AY2027">
        <v>33.19</v>
      </c>
      <c r="AZ2027">
        <v>39.46</v>
      </c>
      <c r="BA2027">
        <v>0.21</v>
      </c>
      <c r="BB2027" t="s">
        <v>240</v>
      </c>
      <c r="BF2027">
        <v>1.06</v>
      </c>
      <c r="BG2027">
        <v>0.34</v>
      </c>
      <c r="BH2027">
        <v>-1.97</v>
      </c>
      <c r="BI2027">
        <v>0.73</v>
      </c>
      <c r="BJ2027">
        <v>20210915</v>
      </c>
      <c r="BK2027">
        <v>20170711</v>
      </c>
      <c r="BL2027">
        <v>2.5299999999999998</v>
      </c>
      <c r="BM2027" t="s">
        <v>120</v>
      </c>
      <c r="BN2027" t="s">
        <v>120</v>
      </c>
      <c r="BO2027">
        <v>20.58</v>
      </c>
      <c r="BP2027">
        <v>17.93</v>
      </c>
      <c r="BQ2027">
        <v>16.440000000000001</v>
      </c>
      <c r="BR2027">
        <v>0.15</v>
      </c>
      <c r="BS2027">
        <v>19.43</v>
      </c>
      <c r="BT2027">
        <v>10.57</v>
      </c>
      <c r="BU2027">
        <v>3.53</v>
      </c>
      <c r="BV2027">
        <v>0.71</v>
      </c>
      <c r="BW2027">
        <v>3.65</v>
      </c>
      <c r="BX2027">
        <v>2.4900000000000002</v>
      </c>
      <c r="BY2027">
        <v>3.3</v>
      </c>
      <c r="BZ2027">
        <v>3.06</v>
      </c>
      <c r="CA2027">
        <v>0.01</v>
      </c>
      <c r="CB2027">
        <v>9.6199999999999992</v>
      </c>
      <c r="CC2027">
        <v>7.11</v>
      </c>
      <c r="CD2027">
        <v>5.33</v>
      </c>
      <c r="CE2027">
        <v>0.8</v>
      </c>
      <c r="CF2027">
        <v>0.02</v>
      </c>
      <c r="CG2027">
        <v>0.79</v>
      </c>
      <c r="CH2027">
        <v>0.66</v>
      </c>
      <c r="CI2027">
        <v>0.65</v>
      </c>
      <c r="CJ2027">
        <v>0.05</v>
      </c>
      <c r="CK2027">
        <v>0.62</v>
      </c>
      <c r="CL2027">
        <v>4.03</v>
      </c>
      <c r="CM2027">
        <v>-0.76</v>
      </c>
      <c r="CN2027">
        <v>-2.21</v>
      </c>
      <c r="CO2027">
        <v>18133</v>
      </c>
      <c r="CP2027">
        <v>6452</v>
      </c>
      <c r="CQ2027" t="s">
        <v>9955</v>
      </c>
      <c r="CR2027">
        <v>50.09</v>
      </c>
      <c r="CS2027">
        <v>22.3</v>
      </c>
      <c r="CT2027">
        <v>2.76</v>
      </c>
      <c r="CU2027">
        <v>-59.78</v>
      </c>
      <c r="CV2027">
        <v>6.39</v>
      </c>
      <c r="CW2027">
        <v>0.37</v>
      </c>
      <c r="CX2027" t="s">
        <v>670</v>
      </c>
      <c r="CY2027">
        <v>6.49</v>
      </c>
      <c r="CZ2027">
        <v>0</v>
      </c>
      <c r="DA2027">
        <v>3.79</v>
      </c>
      <c r="DB2027">
        <v>1.59</v>
      </c>
      <c r="DC2027">
        <v>-0.3</v>
      </c>
      <c r="DD2027">
        <v>79.87</v>
      </c>
      <c r="DE2027" t="s">
        <v>450</v>
      </c>
      <c r="DF2027">
        <v>25.06</v>
      </c>
      <c r="DG2027">
        <v>11.29</v>
      </c>
      <c r="DH2027">
        <v>9.1300000000000008</v>
      </c>
      <c r="DI2027">
        <v>0.1</v>
      </c>
      <c r="DJ2027">
        <v>4898</v>
      </c>
      <c r="DK2027">
        <v>300673</v>
      </c>
      <c r="DL2027" t="s">
        <v>120</v>
      </c>
      <c r="DM2027" t="s">
        <v>120</v>
      </c>
      <c r="DN2027" t="s">
        <v>120</v>
      </c>
    </row>
    <row r="2028" spans="1:118">
      <c r="A2028" t="str">
        <f>"300674"</f>
        <v>300674</v>
      </c>
      <c r="B2028" t="s">
        <v>9956</v>
      </c>
      <c r="C2028">
        <v>-2.78</v>
      </c>
      <c r="D2028">
        <v>0.17</v>
      </c>
      <c r="E2028">
        <v>0.05</v>
      </c>
      <c r="F2028">
        <v>978</v>
      </c>
      <c r="G2028" t="s">
        <v>9957</v>
      </c>
      <c r="H2028">
        <v>12221.68</v>
      </c>
      <c r="I2028">
        <v>30.18</v>
      </c>
      <c r="J2028" t="s">
        <v>120</v>
      </c>
      <c r="K2028" t="s">
        <v>9958</v>
      </c>
      <c r="L2028">
        <v>1.5</v>
      </c>
      <c r="M2028">
        <v>17.86</v>
      </c>
      <c r="N2028">
        <v>0.83</v>
      </c>
      <c r="O2028">
        <v>1.63</v>
      </c>
      <c r="P2028">
        <v>18.670000000000002</v>
      </c>
      <c r="Q2028">
        <v>-3.38</v>
      </c>
      <c r="R2028">
        <v>17.75</v>
      </c>
      <c r="S2028">
        <v>18.38</v>
      </c>
      <c r="T2028">
        <v>67466</v>
      </c>
      <c r="U2028">
        <v>17.87</v>
      </c>
      <c r="V2028">
        <v>18.37</v>
      </c>
      <c r="W2028">
        <v>44.27</v>
      </c>
      <c r="X2028" t="s">
        <v>141</v>
      </c>
      <c r="Y2028" t="s">
        <v>158</v>
      </c>
      <c r="Z2028">
        <v>5.01</v>
      </c>
      <c r="AA2028">
        <v>18.12</v>
      </c>
      <c r="AB2028">
        <v>43641</v>
      </c>
      <c r="AC2028">
        <v>23825</v>
      </c>
      <c r="AD2028">
        <v>1.83</v>
      </c>
      <c r="AE2028">
        <v>87</v>
      </c>
      <c r="AF2028">
        <v>86</v>
      </c>
      <c r="AG2028" t="s">
        <v>120</v>
      </c>
      <c r="AH2028">
        <v>0</v>
      </c>
      <c r="AI2028" t="s">
        <v>120</v>
      </c>
      <c r="AJ2028">
        <v>4.49</v>
      </c>
      <c r="AK2028" t="s">
        <v>9959</v>
      </c>
      <c r="AL2028">
        <v>-0.86</v>
      </c>
      <c r="AM2028">
        <v>2782</v>
      </c>
      <c r="AN2028">
        <v>24</v>
      </c>
      <c r="AO2028">
        <v>5.0000000000000001E-4</v>
      </c>
      <c r="AP2028">
        <v>-2</v>
      </c>
      <c r="AQ2028">
        <v>-3.26</v>
      </c>
      <c r="AR2028">
        <v>-4.95</v>
      </c>
      <c r="AS2028">
        <v>-2.35</v>
      </c>
      <c r="AT2028">
        <v>0.17</v>
      </c>
      <c r="AU2028">
        <v>-15.1</v>
      </c>
      <c r="AV2028">
        <v>0</v>
      </c>
      <c r="AW2028">
        <v>1.83</v>
      </c>
      <c r="AX2028">
        <v>55.73</v>
      </c>
      <c r="AY2028">
        <v>26.61</v>
      </c>
      <c r="AZ2028">
        <v>26.86</v>
      </c>
      <c r="BA2028">
        <v>0.91</v>
      </c>
      <c r="BB2028" t="s">
        <v>143</v>
      </c>
      <c r="BF2028">
        <v>-1.39</v>
      </c>
      <c r="BG2028">
        <v>-2.83</v>
      </c>
      <c r="BH2028">
        <v>-4.34</v>
      </c>
      <c r="BI2028">
        <v>0.62</v>
      </c>
      <c r="BJ2028">
        <v>20210821</v>
      </c>
      <c r="BK2028">
        <v>20181107</v>
      </c>
      <c r="BL2028">
        <v>6.62</v>
      </c>
      <c r="BM2028" t="s">
        <v>120</v>
      </c>
      <c r="BN2028" t="s">
        <v>120</v>
      </c>
      <c r="BO2028">
        <v>38.47</v>
      </c>
      <c r="BP2028">
        <v>17.86</v>
      </c>
      <c r="BQ2028">
        <v>24.05</v>
      </c>
      <c r="BR2028">
        <v>0.18</v>
      </c>
      <c r="BS2028">
        <v>37.020000000000003</v>
      </c>
      <c r="BT2028">
        <v>30.97</v>
      </c>
      <c r="BU2028">
        <v>0.87</v>
      </c>
      <c r="BV2028">
        <v>0.05</v>
      </c>
      <c r="BW2028">
        <v>14.17</v>
      </c>
      <c r="BX2028">
        <v>6.09</v>
      </c>
      <c r="BY2028">
        <v>11.91</v>
      </c>
      <c r="BZ2028">
        <v>11.01</v>
      </c>
      <c r="CA2028" t="s">
        <v>120</v>
      </c>
      <c r="CB2028">
        <v>8.0500000000000007</v>
      </c>
      <c r="CC2028">
        <v>13.51</v>
      </c>
      <c r="CD2028">
        <v>8.65</v>
      </c>
      <c r="CE2028">
        <v>1.52</v>
      </c>
      <c r="CF2028">
        <v>0.45</v>
      </c>
      <c r="CG2028">
        <v>1.52</v>
      </c>
      <c r="CH2028">
        <v>1.28</v>
      </c>
      <c r="CI2028">
        <v>1.34</v>
      </c>
      <c r="CJ2028">
        <v>-0.51</v>
      </c>
      <c r="CK2028">
        <v>1.07</v>
      </c>
      <c r="CL2028">
        <v>11.24</v>
      </c>
      <c r="CM2028">
        <v>-5.66</v>
      </c>
      <c r="CN2028">
        <v>-6.88</v>
      </c>
      <c r="CO2028">
        <v>27764</v>
      </c>
      <c r="CP2028">
        <v>13291</v>
      </c>
      <c r="CQ2028" t="s">
        <v>9960</v>
      </c>
      <c r="CR2028">
        <v>3.2</v>
      </c>
      <c r="CS2028">
        <v>25.4</v>
      </c>
      <c r="CT2028">
        <v>4.92</v>
      </c>
      <c r="CU2028">
        <v>-20.89</v>
      </c>
      <c r="CV2028">
        <v>8.75</v>
      </c>
      <c r="CW2028">
        <v>0.92</v>
      </c>
      <c r="CX2028" t="s">
        <v>2097</v>
      </c>
      <c r="CY2028">
        <v>3.63</v>
      </c>
      <c r="CZ2028">
        <v>0</v>
      </c>
      <c r="DA2028">
        <v>1.22</v>
      </c>
      <c r="DB2028">
        <v>1.7</v>
      </c>
      <c r="DC2028">
        <v>-0.86</v>
      </c>
      <c r="DD2028">
        <v>62.53</v>
      </c>
      <c r="DE2028" t="s">
        <v>9961</v>
      </c>
      <c r="DF2028">
        <v>35.979999999999997</v>
      </c>
      <c r="DG2028">
        <v>11.27</v>
      </c>
      <c r="DH2028">
        <v>9.89</v>
      </c>
      <c r="DI2028">
        <v>1.8</v>
      </c>
      <c r="DJ2028">
        <v>11117</v>
      </c>
      <c r="DK2028">
        <v>300674</v>
      </c>
      <c r="DL2028" t="s">
        <v>120</v>
      </c>
      <c r="DM2028" t="s">
        <v>120</v>
      </c>
      <c r="DN2028" t="s">
        <v>120</v>
      </c>
    </row>
    <row r="2029" spans="1:118">
      <c r="A2029" t="str">
        <f>"300675"</f>
        <v>300675</v>
      </c>
      <c r="B2029" t="s">
        <v>9962</v>
      </c>
      <c r="C2029">
        <v>-1.47</v>
      </c>
      <c r="D2029">
        <v>-0.05</v>
      </c>
      <c r="E2029">
        <v>-1.23</v>
      </c>
      <c r="F2029">
        <v>609</v>
      </c>
      <c r="G2029" t="s">
        <v>7734</v>
      </c>
      <c r="H2029">
        <v>8436.1200000000008</v>
      </c>
      <c r="I2029">
        <v>267.42</v>
      </c>
      <c r="J2029" t="s">
        <v>120</v>
      </c>
      <c r="K2029" t="s">
        <v>5962</v>
      </c>
      <c r="L2029">
        <v>3.41</v>
      </c>
      <c r="M2029">
        <v>16.760000000000002</v>
      </c>
      <c r="N2029">
        <v>1.1200000000000001</v>
      </c>
      <c r="O2029">
        <v>1.23</v>
      </c>
      <c r="P2029">
        <v>17.22</v>
      </c>
      <c r="Q2029">
        <v>-2.88</v>
      </c>
      <c r="R2029">
        <v>16.52</v>
      </c>
      <c r="S2029">
        <v>16.8</v>
      </c>
      <c r="T2029">
        <v>49962</v>
      </c>
      <c r="U2029">
        <v>16.77</v>
      </c>
      <c r="V2029">
        <v>17.010000000000002</v>
      </c>
      <c r="W2029">
        <v>1132.8800000000001</v>
      </c>
      <c r="X2029" t="s">
        <v>175</v>
      </c>
      <c r="Y2029" t="s">
        <v>123</v>
      </c>
      <c r="Z2029">
        <v>4.12</v>
      </c>
      <c r="AA2029">
        <v>16.89</v>
      </c>
      <c r="AB2029">
        <v>27999</v>
      </c>
      <c r="AC2029">
        <v>21963</v>
      </c>
      <c r="AD2029">
        <v>1.27</v>
      </c>
      <c r="AE2029">
        <v>203</v>
      </c>
      <c r="AF2029">
        <v>2</v>
      </c>
      <c r="AG2029" t="s">
        <v>120</v>
      </c>
      <c r="AH2029">
        <v>0.23</v>
      </c>
      <c r="AI2029" t="s">
        <v>120</v>
      </c>
      <c r="AJ2029">
        <v>1.47</v>
      </c>
      <c r="AK2029" t="s">
        <v>5962</v>
      </c>
      <c r="AL2029">
        <v>0.44</v>
      </c>
      <c r="AM2029">
        <v>1910</v>
      </c>
      <c r="AN2029">
        <v>26</v>
      </c>
      <c r="AO2029">
        <v>1.8E-3</v>
      </c>
      <c r="AP2029">
        <v>-1</v>
      </c>
      <c r="AQ2029">
        <v>3.85</v>
      </c>
      <c r="AR2029">
        <v>4.17</v>
      </c>
      <c r="AS2029">
        <v>4.75</v>
      </c>
      <c r="AT2029">
        <v>-6.37</v>
      </c>
      <c r="AU2029">
        <v>-1.47</v>
      </c>
      <c r="AV2029">
        <v>4</v>
      </c>
      <c r="AW2029">
        <v>7.1</v>
      </c>
      <c r="AX2029">
        <v>47.96</v>
      </c>
      <c r="AY2029">
        <v>59.82</v>
      </c>
      <c r="AZ2029">
        <v>56.87</v>
      </c>
      <c r="BA2029">
        <v>0.82</v>
      </c>
      <c r="BB2029" t="s">
        <v>143</v>
      </c>
      <c r="BF2029">
        <v>-0.73</v>
      </c>
      <c r="BG2029">
        <v>-0.24</v>
      </c>
      <c r="BH2029">
        <v>-2.67</v>
      </c>
      <c r="BI2029">
        <v>1.45</v>
      </c>
      <c r="BJ2029">
        <v>20210901</v>
      </c>
      <c r="BK2029">
        <v>20170719</v>
      </c>
      <c r="BL2029">
        <v>1.47</v>
      </c>
      <c r="BM2029" t="s">
        <v>120</v>
      </c>
      <c r="BN2029" t="s">
        <v>120</v>
      </c>
      <c r="BO2029">
        <v>12.13</v>
      </c>
      <c r="BP2029">
        <v>16.760000000000002</v>
      </c>
      <c r="BQ2029">
        <v>4.91</v>
      </c>
      <c r="BR2029">
        <v>0.27</v>
      </c>
      <c r="BS2029">
        <v>57.27</v>
      </c>
      <c r="BT2029">
        <v>6.2</v>
      </c>
      <c r="BU2029">
        <v>1.08</v>
      </c>
      <c r="BV2029">
        <v>0.87</v>
      </c>
      <c r="BW2029">
        <v>4.17</v>
      </c>
      <c r="BX2029">
        <v>1.47</v>
      </c>
      <c r="BY2029">
        <v>0</v>
      </c>
      <c r="BZ2029">
        <v>3.22</v>
      </c>
      <c r="CA2029">
        <v>0.02</v>
      </c>
      <c r="CB2029">
        <v>1.28</v>
      </c>
      <c r="CC2029">
        <v>1.94</v>
      </c>
      <c r="CD2029">
        <v>1.29</v>
      </c>
      <c r="CE2029">
        <v>0.01</v>
      </c>
      <c r="CF2029">
        <v>-0.01</v>
      </c>
      <c r="CG2029">
        <v>0.02</v>
      </c>
      <c r="CH2029">
        <v>0.03</v>
      </c>
      <c r="CI2029">
        <v>0.01</v>
      </c>
      <c r="CJ2029">
        <v>-0.25</v>
      </c>
      <c r="CK2029">
        <v>-0.06</v>
      </c>
      <c r="CL2029">
        <v>1.98</v>
      </c>
      <c r="CM2029">
        <v>-1</v>
      </c>
      <c r="CN2029">
        <v>-1.24</v>
      </c>
      <c r="CO2029">
        <v>17138</v>
      </c>
      <c r="CP2029">
        <v>4105</v>
      </c>
      <c r="CQ2029" t="s">
        <v>9963</v>
      </c>
      <c r="CR2029">
        <v>-66.569999999999993</v>
      </c>
      <c r="CS2029">
        <v>8.94</v>
      </c>
      <c r="CT2029">
        <v>5</v>
      </c>
      <c r="CU2029">
        <v>-24.67</v>
      </c>
      <c r="CV2029">
        <v>12.64</v>
      </c>
      <c r="CW2029">
        <v>0.53</v>
      </c>
      <c r="CX2029" t="s">
        <v>2745</v>
      </c>
      <c r="CY2029">
        <v>3.35</v>
      </c>
      <c r="CZ2029">
        <v>0</v>
      </c>
      <c r="DA2029">
        <v>0.87</v>
      </c>
      <c r="DB2029">
        <v>1.35</v>
      </c>
      <c r="DC2029">
        <v>-0.68</v>
      </c>
      <c r="DD2029">
        <v>40.5</v>
      </c>
      <c r="DE2029" t="s">
        <v>1024</v>
      </c>
      <c r="DF2029">
        <v>33.869999999999997</v>
      </c>
      <c r="DG2029">
        <v>0.77</v>
      </c>
      <c r="DH2029">
        <v>0.56000000000000005</v>
      </c>
      <c r="DI2029">
        <v>0.16</v>
      </c>
      <c r="DJ2029">
        <v>852</v>
      </c>
      <c r="DK2029">
        <v>300675</v>
      </c>
      <c r="DL2029" t="s">
        <v>120</v>
      </c>
      <c r="DM2029" t="s">
        <v>120</v>
      </c>
      <c r="DN2029" t="s">
        <v>120</v>
      </c>
    </row>
    <row r="2030" spans="1:118">
      <c r="A2030" t="str">
        <f>"300676"</f>
        <v>300676</v>
      </c>
      <c r="B2030" t="s">
        <v>9964</v>
      </c>
      <c r="C2030">
        <v>-2.2200000000000002</v>
      </c>
      <c r="D2030">
        <v>-0.04</v>
      </c>
      <c r="E2030">
        <v>-0.62</v>
      </c>
      <c r="F2030">
        <v>628</v>
      </c>
      <c r="G2030" t="s">
        <v>9965</v>
      </c>
      <c r="H2030">
        <v>26987.55</v>
      </c>
      <c r="I2030">
        <v>68.930000000000007</v>
      </c>
      <c r="J2030" t="s">
        <v>120</v>
      </c>
      <c r="K2030" t="s">
        <v>9966</v>
      </c>
      <c r="L2030">
        <v>1.1200000000000001</v>
      </c>
      <c r="M2030">
        <v>91.65</v>
      </c>
      <c r="N2030">
        <v>1.01</v>
      </c>
      <c r="O2030">
        <v>0</v>
      </c>
      <c r="P2030">
        <v>93.73</v>
      </c>
      <c r="Q2030">
        <v>-2.27</v>
      </c>
      <c r="R2030">
        <v>91.6</v>
      </c>
      <c r="S2030">
        <v>93.15</v>
      </c>
      <c r="T2030">
        <v>29208</v>
      </c>
      <c r="U2030">
        <v>91.69</v>
      </c>
      <c r="V2030">
        <v>93.73</v>
      </c>
      <c r="W2030">
        <v>17.47</v>
      </c>
      <c r="X2030" t="s">
        <v>555</v>
      </c>
      <c r="Y2030" t="s">
        <v>123</v>
      </c>
      <c r="Z2030">
        <v>2.27</v>
      </c>
      <c r="AA2030">
        <v>92.4</v>
      </c>
      <c r="AB2030">
        <v>17128</v>
      </c>
      <c r="AC2030">
        <v>12080</v>
      </c>
      <c r="AD2030">
        <v>1.42</v>
      </c>
      <c r="AE2030">
        <v>55</v>
      </c>
      <c r="AF2030">
        <v>1</v>
      </c>
      <c r="AG2030" t="s">
        <v>120</v>
      </c>
      <c r="AH2030">
        <v>0</v>
      </c>
      <c r="AI2030" t="s">
        <v>120</v>
      </c>
      <c r="AJ2030">
        <v>2.62</v>
      </c>
      <c r="AK2030" t="s">
        <v>9967</v>
      </c>
      <c r="AL2030">
        <v>-0.31</v>
      </c>
      <c r="AM2030">
        <v>3246</v>
      </c>
      <c r="AN2030">
        <v>9</v>
      </c>
      <c r="AO2030">
        <v>2.9999999999999997E-4</v>
      </c>
      <c r="AP2030">
        <v>-2</v>
      </c>
      <c r="AQ2030">
        <v>-2.56</v>
      </c>
      <c r="AR2030">
        <v>-4.13</v>
      </c>
      <c r="AS2030">
        <v>-11.15</v>
      </c>
      <c r="AT2030">
        <v>-21.07</v>
      </c>
      <c r="AU2030">
        <v>-28.51</v>
      </c>
      <c r="AV2030">
        <v>0</v>
      </c>
      <c r="AW2030">
        <v>1.31</v>
      </c>
      <c r="AX2030">
        <v>53.95</v>
      </c>
      <c r="AY2030">
        <v>25.44</v>
      </c>
      <c r="AZ2030">
        <v>18.559999999999999</v>
      </c>
      <c r="BA2030">
        <v>0.63</v>
      </c>
      <c r="BB2030" t="s">
        <v>125</v>
      </c>
      <c r="BF2030">
        <v>-1.42</v>
      </c>
      <c r="BG2030">
        <v>-1.61</v>
      </c>
      <c r="BH2030">
        <v>-2.2200000000000002</v>
      </c>
      <c r="BI2030">
        <v>0.05</v>
      </c>
      <c r="BJ2030">
        <v>20210827</v>
      </c>
      <c r="BK2030">
        <v>20170714</v>
      </c>
      <c r="BL2030">
        <v>4.1399999999999997</v>
      </c>
      <c r="BM2030" t="s">
        <v>120</v>
      </c>
      <c r="BN2030" t="s">
        <v>120</v>
      </c>
      <c r="BO2030">
        <v>137.52000000000001</v>
      </c>
      <c r="BP2030">
        <v>91.65</v>
      </c>
      <c r="BQ2030">
        <v>90.59</v>
      </c>
      <c r="BR2030">
        <v>1.1399999999999999</v>
      </c>
      <c r="BS2030">
        <v>33.299999999999997</v>
      </c>
      <c r="BT2030">
        <v>107.9</v>
      </c>
      <c r="BU2030">
        <v>10.81</v>
      </c>
      <c r="BV2030">
        <v>2.06</v>
      </c>
      <c r="BW2030">
        <v>31.17</v>
      </c>
      <c r="BX2030">
        <v>63.05</v>
      </c>
      <c r="BY2030">
        <v>9.85</v>
      </c>
      <c r="BZ2030">
        <v>20.11</v>
      </c>
      <c r="CA2030" t="s">
        <v>120</v>
      </c>
      <c r="CB2030">
        <v>46.33</v>
      </c>
      <c r="CC2030">
        <v>36.46</v>
      </c>
      <c r="CD2030">
        <v>14.19</v>
      </c>
      <c r="CE2030">
        <v>12.96</v>
      </c>
      <c r="CF2030">
        <v>0.95</v>
      </c>
      <c r="CG2030">
        <v>12.78</v>
      </c>
      <c r="CH2030">
        <v>10.94</v>
      </c>
      <c r="CI2030">
        <v>10.86</v>
      </c>
      <c r="CJ2030">
        <v>-2.08</v>
      </c>
      <c r="CK2030">
        <v>10.3</v>
      </c>
      <c r="CL2030">
        <v>40.909999999999997</v>
      </c>
      <c r="CM2030">
        <v>6.65</v>
      </c>
      <c r="CN2030">
        <v>7.92</v>
      </c>
      <c r="CO2030">
        <v>73858</v>
      </c>
      <c r="CP2030">
        <v>3024</v>
      </c>
      <c r="CQ2030" t="s">
        <v>9968</v>
      </c>
      <c r="CR2030">
        <v>-34.24</v>
      </c>
      <c r="CS2030">
        <v>-11.24</v>
      </c>
      <c r="CT2030">
        <v>4.1900000000000004</v>
      </c>
      <c r="CU2030">
        <v>57.08</v>
      </c>
      <c r="CV2030">
        <v>10.4</v>
      </c>
      <c r="CW2030">
        <v>0.37</v>
      </c>
      <c r="CX2030" t="s">
        <v>9969</v>
      </c>
      <c r="CY2030">
        <v>21.89</v>
      </c>
      <c r="CZ2030">
        <v>0</v>
      </c>
      <c r="DA2030">
        <v>11.19</v>
      </c>
      <c r="DB2030">
        <v>9.8800000000000008</v>
      </c>
      <c r="DC2030">
        <v>1.61</v>
      </c>
      <c r="DD2030">
        <v>65.87</v>
      </c>
      <c r="DE2030" t="s">
        <v>9970</v>
      </c>
      <c r="DF2030">
        <v>61.08</v>
      </c>
      <c r="DG2030">
        <v>35.54</v>
      </c>
      <c r="DH2030">
        <v>29.78</v>
      </c>
      <c r="DI2030">
        <v>2.12</v>
      </c>
      <c r="DJ2030">
        <v>3778</v>
      </c>
      <c r="DK2030">
        <v>300676</v>
      </c>
      <c r="DL2030" t="s">
        <v>120</v>
      </c>
      <c r="DM2030" t="s">
        <v>120</v>
      </c>
      <c r="DN2030" t="s">
        <v>120</v>
      </c>
    </row>
    <row r="2031" spans="1:118">
      <c r="A2031" t="str">
        <f>"300677"</f>
        <v>300677</v>
      </c>
      <c r="B2031" t="s">
        <v>9971</v>
      </c>
      <c r="C2031">
        <v>-4.5</v>
      </c>
      <c r="D2031">
        <v>0.01</v>
      </c>
      <c r="E2031">
        <v>-0.86</v>
      </c>
      <c r="F2031">
        <v>1524</v>
      </c>
      <c r="G2031" t="s">
        <v>9972</v>
      </c>
      <c r="H2031">
        <v>95072.78</v>
      </c>
      <c r="I2031">
        <v>693.89</v>
      </c>
      <c r="J2031" t="s">
        <v>120</v>
      </c>
      <c r="K2031" t="s">
        <v>9973</v>
      </c>
      <c r="L2031">
        <v>4.0999999999999996</v>
      </c>
      <c r="M2031">
        <v>90.7</v>
      </c>
      <c r="N2031">
        <v>1.25</v>
      </c>
      <c r="O2031">
        <v>-0.84</v>
      </c>
      <c r="P2031">
        <v>94.17</v>
      </c>
      <c r="Q2031">
        <v>-4.5199999999999996</v>
      </c>
      <c r="R2031">
        <v>90.68</v>
      </c>
      <c r="S2031">
        <v>94.15</v>
      </c>
      <c r="T2031">
        <v>103436</v>
      </c>
      <c r="U2031">
        <v>90.71</v>
      </c>
      <c r="V2031">
        <v>94.97</v>
      </c>
      <c r="W2031">
        <v>2.83</v>
      </c>
      <c r="X2031" t="s">
        <v>555</v>
      </c>
      <c r="Y2031" t="s">
        <v>638</v>
      </c>
      <c r="Z2031">
        <v>3.67</v>
      </c>
      <c r="AA2031">
        <v>91.91</v>
      </c>
      <c r="AB2031">
        <v>55543</v>
      </c>
      <c r="AC2031">
        <v>47893</v>
      </c>
      <c r="AD2031">
        <v>1.1599999999999999</v>
      </c>
      <c r="AE2031">
        <v>67</v>
      </c>
      <c r="AF2031">
        <v>13</v>
      </c>
      <c r="AG2031" t="s">
        <v>120</v>
      </c>
      <c r="AH2031">
        <v>0.03</v>
      </c>
      <c r="AI2031" t="s">
        <v>120</v>
      </c>
      <c r="AJ2031">
        <v>2.52</v>
      </c>
      <c r="AK2031" t="s">
        <v>9974</v>
      </c>
      <c r="AL2031">
        <v>-2.58</v>
      </c>
      <c r="AM2031">
        <v>4084</v>
      </c>
      <c r="AN2031">
        <v>25</v>
      </c>
      <c r="AO2031">
        <v>1E-3</v>
      </c>
      <c r="AP2031">
        <v>-2</v>
      </c>
      <c r="AQ2031">
        <v>-2.91</v>
      </c>
      <c r="AR2031">
        <v>-5.28</v>
      </c>
      <c r="AS2031">
        <v>-13.61</v>
      </c>
      <c r="AT2031">
        <v>-11.17</v>
      </c>
      <c r="AU2031">
        <v>-45.08</v>
      </c>
      <c r="AV2031">
        <v>1</v>
      </c>
      <c r="AW2031">
        <v>4.82</v>
      </c>
      <c r="AX2031">
        <v>58.55</v>
      </c>
      <c r="AY2031">
        <v>3.17</v>
      </c>
      <c r="AZ2031">
        <v>4.97</v>
      </c>
      <c r="BA2031">
        <v>0.42</v>
      </c>
      <c r="BB2031" t="s">
        <v>134</v>
      </c>
      <c r="BF2031">
        <v>-3.22</v>
      </c>
      <c r="BG2031">
        <v>-3.66</v>
      </c>
      <c r="BH2031">
        <v>-3.68</v>
      </c>
      <c r="BI2031">
        <v>0.02</v>
      </c>
      <c r="BJ2031">
        <v>20210913</v>
      </c>
      <c r="BK2031">
        <v>20170721</v>
      </c>
      <c r="BL2031">
        <v>3.66</v>
      </c>
      <c r="BM2031" t="s">
        <v>120</v>
      </c>
      <c r="BN2031" t="s">
        <v>120</v>
      </c>
      <c r="BO2031">
        <v>191.25</v>
      </c>
      <c r="BP2031">
        <v>90.7</v>
      </c>
      <c r="BQ2031">
        <v>143.12</v>
      </c>
      <c r="BR2031">
        <v>2.1800000000000002</v>
      </c>
      <c r="BS2031">
        <v>24.03</v>
      </c>
      <c r="BT2031">
        <v>110.68</v>
      </c>
      <c r="BU2031">
        <v>35.020000000000003</v>
      </c>
      <c r="BV2031">
        <v>5.92</v>
      </c>
      <c r="BW2031">
        <v>20.76</v>
      </c>
      <c r="BX2031">
        <v>73.97</v>
      </c>
      <c r="BY2031">
        <v>8.91</v>
      </c>
      <c r="BZ2031">
        <v>10.35</v>
      </c>
      <c r="CA2031">
        <v>0.03</v>
      </c>
      <c r="CB2031">
        <v>17.010000000000002</v>
      </c>
      <c r="CC2031">
        <v>106.74</v>
      </c>
      <c r="CD2031">
        <v>31.4</v>
      </c>
      <c r="CE2031">
        <v>69.5</v>
      </c>
      <c r="CF2031">
        <v>0</v>
      </c>
      <c r="CG2031">
        <v>69.489999999999995</v>
      </c>
      <c r="CH2031">
        <v>58.81</v>
      </c>
      <c r="CI2031">
        <v>58.79</v>
      </c>
      <c r="CJ2031">
        <v>-4.2699999999999996</v>
      </c>
      <c r="CK2031">
        <v>58.5</v>
      </c>
      <c r="CL2031">
        <v>121.57</v>
      </c>
      <c r="CM2031">
        <v>66.819999999999993</v>
      </c>
      <c r="CN2031">
        <v>24</v>
      </c>
      <c r="CO2031">
        <v>93395</v>
      </c>
      <c r="CP2031">
        <v>2297</v>
      </c>
      <c r="CQ2031" t="s">
        <v>5063</v>
      </c>
      <c r="CR2031">
        <v>205.98</v>
      </c>
      <c r="CS2031">
        <v>139.88</v>
      </c>
      <c r="CT2031">
        <v>2.3199999999999998</v>
      </c>
      <c r="CU2031">
        <v>4.97</v>
      </c>
      <c r="CV2031">
        <v>3.11</v>
      </c>
      <c r="CW2031">
        <v>3.04</v>
      </c>
      <c r="CX2031" t="s">
        <v>9975</v>
      </c>
      <c r="CY2031">
        <v>39.08</v>
      </c>
      <c r="CZ2031">
        <v>39.08</v>
      </c>
      <c r="DA2031">
        <v>4.6399999999999997</v>
      </c>
      <c r="DB2031">
        <v>33.19</v>
      </c>
      <c r="DC2031">
        <v>18.239999999999998</v>
      </c>
      <c r="DD2031">
        <v>74.83</v>
      </c>
      <c r="DE2031" t="s">
        <v>9976</v>
      </c>
      <c r="DF2031">
        <v>70.58</v>
      </c>
      <c r="DG2031">
        <v>65.11</v>
      </c>
      <c r="DH2031">
        <v>55.07</v>
      </c>
      <c r="DI2031">
        <v>1.84</v>
      </c>
      <c r="DJ2031">
        <v>6503</v>
      </c>
      <c r="DK2031">
        <v>300677</v>
      </c>
      <c r="DL2031" t="s">
        <v>120</v>
      </c>
      <c r="DM2031" t="s">
        <v>120</v>
      </c>
      <c r="DN2031" t="s">
        <v>120</v>
      </c>
    </row>
    <row r="2032" spans="1:118">
      <c r="A2032" t="str">
        <f>"300678"</f>
        <v>300678</v>
      </c>
      <c r="B2032" t="s">
        <v>9977</v>
      </c>
      <c r="C2032">
        <v>-1.07</v>
      </c>
      <c r="D2032">
        <v>0</v>
      </c>
      <c r="E2032">
        <v>0.34</v>
      </c>
      <c r="F2032">
        <v>291</v>
      </c>
      <c r="G2032" t="s">
        <v>9978</v>
      </c>
      <c r="H2032">
        <v>3125.31</v>
      </c>
      <c r="I2032">
        <v>3.94</v>
      </c>
      <c r="J2032" t="s">
        <v>120</v>
      </c>
      <c r="K2032" t="s">
        <v>408</v>
      </c>
      <c r="L2032">
        <v>0.98</v>
      </c>
      <c r="M2032">
        <v>17.649999999999999</v>
      </c>
      <c r="N2032">
        <v>0.71</v>
      </c>
      <c r="O2032">
        <v>0.78</v>
      </c>
      <c r="P2032">
        <v>17.98</v>
      </c>
      <c r="Q2032">
        <v>-1.74</v>
      </c>
      <c r="R2032">
        <v>17.53</v>
      </c>
      <c r="S2032">
        <v>17.899999999999999</v>
      </c>
      <c r="T2032">
        <v>17620</v>
      </c>
      <c r="U2032">
        <v>17.649999999999999</v>
      </c>
      <c r="V2032">
        <v>17.84</v>
      </c>
      <c r="W2032">
        <v>170.02</v>
      </c>
      <c r="X2032" t="s">
        <v>141</v>
      </c>
      <c r="Y2032" t="s">
        <v>578</v>
      </c>
      <c r="Z2032">
        <v>2.52</v>
      </c>
      <c r="AA2032">
        <v>17.739999999999998</v>
      </c>
      <c r="AB2032">
        <v>10211</v>
      </c>
      <c r="AC2032">
        <v>7409</v>
      </c>
      <c r="AD2032">
        <v>1.38</v>
      </c>
      <c r="AE2032">
        <v>81</v>
      </c>
      <c r="AF2032">
        <v>37</v>
      </c>
      <c r="AG2032" t="s">
        <v>120</v>
      </c>
      <c r="AH2032">
        <v>0</v>
      </c>
      <c r="AI2032" t="s">
        <v>120</v>
      </c>
      <c r="AJ2032">
        <v>1.8</v>
      </c>
      <c r="AK2032" t="s">
        <v>408</v>
      </c>
      <c r="AL2032">
        <v>0.85</v>
      </c>
      <c r="AM2032">
        <v>1295</v>
      </c>
      <c r="AN2032">
        <v>14</v>
      </c>
      <c r="AO2032">
        <v>8.0000000000000004E-4</v>
      </c>
      <c r="AP2032">
        <v>-2</v>
      </c>
      <c r="AQ2032">
        <v>-2.78</v>
      </c>
      <c r="AR2032">
        <v>-3.13</v>
      </c>
      <c r="AS2032">
        <v>-1.62</v>
      </c>
      <c r="AT2032">
        <v>-2.87</v>
      </c>
      <c r="AU2032">
        <v>-19.77</v>
      </c>
      <c r="AV2032">
        <v>1</v>
      </c>
      <c r="AW2032">
        <v>2.02</v>
      </c>
      <c r="AX2032">
        <v>48.38</v>
      </c>
      <c r="AY2032">
        <v>107.59</v>
      </c>
      <c r="AZ2032">
        <v>98.62</v>
      </c>
      <c r="BA2032">
        <v>0.46</v>
      </c>
      <c r="BB2032" t="s">
        <v>143</v>
      </c>
      <c r="BF2032">
        <v>-0.57999999999999996</v>
      </c>
      <c r="BG2032">
        <v>-1.4</v>
      </c>
      <c r="BH2032">
        <v>-1.84</v>
      </c>
      <c r="BI2032">
        <v>0.68</v>
      </c>
      <c r="BJ2032">
        <v>20210825</v>
      </c>
      <c r="BK2032">
        <v>20170728</v>
      </c>
      <c r="BL2032">
        <v>1.8</v>
      </c>
      <c r="BM2032" t="s">
        <v>120</v>
      </c>
      <c r="BN2032" t="s">
        <v>120</v>
      </c>
      <c r="BO2032">
        <v>7.86</v>
      </c>
      <c r="BP2032">
        <v>17.64</v>
      </c>
      <c r="BQ2032">
        <v>6.17</v>
      </c>
      <c r="BR2032">
        <v>0</v>
      </c>
      <c r="BS2032">
        <v>21.54</v>
      </c>
      <c r="BT2032">
        <v>6.22</v>
      </c>
      <c r="BU2032">
        <v>0.18</v>
      </c>
      <c r="BV2032">
        <v>0.12</v>
      </c>
      <c r="BW2032">
        <v>1.66</v>
      </c>
      <c r="BX2032">
        <v>1.95</v>
      </c>
      <c r="BY2032">
        <v>1.1000000000000001</v>
      </c>
      <c r="BZ2032">
        <v>2.34</v>
      </c>
      <c r="CA2032" t="s">
        <v>120</v>
      </c>
      <c r="CB2032">
        <v>1.78</v>
      </c>
      <c r="CC2032">
        <v>0.95</v>
      </c>
      <c r="CD2032">
        <v>0.64</v>
      </c>
      <c r="CE2032">
        <v>0.11</v>
      </c>
      <c r="CF2032">
        <v>0.06</v>
      </c>
      <c r="CG2032">
        <v>0.11</v>
      </c>
      <c r="CH2032">
        <v>0.09</v>
      </c>
      <c r="CI2032">
        <v>0.09</v>
      </c>
      <c r="CJ2032">
        <v>-0.19</v>
      </c>
      <c r="CK2032">
        <v>0.05</v>
      </c>
      <c r="CL2032">
        <v>2.2200000000000002</v>
      </c>
      <c r="CM2032">
        <v>-0.18</v>
      </c>
      <c r="CN2032">
        <v>-0.61</v>
      </c>
      <c r="CO2032">
        <v>27104</v>
      </c>
      <c r="CP2032">
        <v>3213</v>
      </c>
      <c r="CQ2032" t="s">
        <v>4356</v>
      </c>
      <c r="CR2032">
        <v>-22.5</v>
      </c>
      <c r="CS2032">
        <v>-14.76</v>
      </c>
      <c r="CT2032">
        <v>5.15</v>
      </c>
      <c r="CU2032">
        <v>-173.07</v>
      </c>
      <c r="CV2032">
        <v>33.46</v>
      </c>
      <c r="CW2032">
        <v>0.28000000000000003</v>
      </c>
      <c r="CX2032" t="s">
        <v>2960</v>
      </c>
      <c r="CY2032">
        <v>3.43</v>
      </c>
      <c r="CZ2032">
        <v>0</v>
      </c>
      <c r="DA2032">
        <v>0.99</v>
      </c>
      <c r="DB2032">
        <v>1.23</v>
      </c>
      <c r="DC2032">
        <v>-0.1</v>
      </c>
      <c r="DD2032">
        <v>78.45</v>
      </c>
      <c r="DE2032" t="s">
        <v>5243</v>
      </c>
      <c r="DF2032">
        <v>32.340000000000003</v>
      </c>
      <c r="DG2032">
        <v>11.88</v>
      </c>
      <c r="DH2032">
        <v>9.84</v>
      </c>
      <c r="DI2032">
        <v>0.1</v>
      </c>
      <c r="DJ2032">
        <v>506</v>
      </c>
      <c r="DK2032">
        <v>300678</v>
      </c>
      <c r="DL2032" t="s">
        <v>120</v>
      </c>
      <c r="DM2032" t="s">
        <v>120</v>
      </c>
      <c r="DN2032" t="s">
        <v>120</v>
      </c>
    </row>
    <row r="2033" spans="1:118">
      <c r="A2033" t="str">
        <f>"300679"</f>
        <v>300679</v>
      </c>
      <c r="B2033" t="s">
        <v>9979</v>
      </c>
      <c r="C2033">
        <v>-5.0599999999999996</v>
      </c>
      <c r="D2033">
        <v>-0.04</v>
      </c>
      <c r="E2033">
        <v>-1.1100000000000001</v>
      </c>
      <c r="F2033">
        <v>1056</v>
      </c>
      <c r="G2033" t="s">
        <v>9980</v>
      </c>
      <c r="H2033">
        <v>47970.07</v>
      </c>
      <c r="I2033">
        <v>39.43</v>
      </c>
      <c r="J2033" t="s">
        <v>120</v>
      </c>
      <c r="K2033" t="s">
        <v>9981</v>
      </c>
      <c r="L2033">
        <v>3.46</v>
      </c>
      <c r="M2033">
        <v>43.51</v>
      </c>
      <c r="N2033">
        <v>1.54</v>
      </c>
      <c r="O2033">
        <v>3.43</v>
      </c>
      <c r="P2033">
        <v>47.4</v>
      </c>
      <c r="Q2033">
        <v>-5.67</v>
      </c>
      <c r="R2033">
        <v>43.23</v>
      </c>
      <c r="S2033">
        <v>45.32</v>
      </c>
      <c r="T2033">
        <v>107238</v>
      </c>
      <c r="U2033">
        <v>43.53</v>
      </c>
      <c r="V2033">
        <v>45.83</v>
      </c>
      <c r="W2033">
        <v>48.79</v>
      </c>
      <c r="X2033" t="s">
        <v>229</v>
      </c>
      <c r="Y2033" t="s">
        <v>123</v>
      </c>
      <c r="Z2033">
        <v>9.1</v>
      </c>
      <c r="AA2033">
        <v>44.73</v>
      </c>
      <c r="AB2033">
        <v>56568</v>
      </c>
      <c r="AC2033">
        <v>50670</v>
      </c>
      <c r="AD2033">
        <v>1.1200000000000001</v>
      </c>
      <c r="AE2033">
        <v>952</v>
      </c>
      <c r="AF2033">
        <v>88</v>
      </c>
      <c r="AG2033" t="s">
        <v>120</v>
      </c>
      <c r="AH2033">
        <v>0</v>
      </c>
      <c r="AI2033" t="s">
        <v>120</v>
      </c>
      <c r="AJ2033">
        <v>3.1</v>
      </c>
      <c r="AK2033" t="s">
        <v>9982</v>
      </c>
      <c r="AL2033">
        <v>-3.15</v>
      </c>
      <c r="AM2033">
        <v>3509</v>
      </c>
      <c r="AN2033">
        <v>31</v>
      </c>
      <c r="AO2033">
        <v>1E-3</v>
      </c>
      <c r="AP2033">
        <v>-1</v>
      </c>
      <c r="AQ2033">
        <v>0.39</v>
      </c>
      <c r="AR2033">
        <v>-3.82</v>
      </c>
      <c r="AS2033">
        <v>13.39</v>
      </c>
      <c r="AT2033">
        <v>60.08</v>
      </c>
      <c r="AU2033">
        <v>94.41</v>
      </c>
      <c r="AV2033">
        <v>1</v>
      </c>
      <c r="AW2033">
        <v>5.3</v>
      </c>
      <c r="AX2033">
        <v>48</v>
      </c>
      <c r="AY2033">
        <v>52.02</v>
      </c>
      <c r="AZ2033">
        <v>71.83</v>
      </c>
      <c r="BA2033">
        <v>2.2599999999999998</v>
      </c>
      <c r="BB2033" t="s">
        <v>143</v>
      </c>
      <c r="BF2033">
        <v>-2.4</v>
      </c>
      <c r="BG2033">
        <v>-3.99</v>
      </c>
      <c r="BH2033">
        <v>-8.2100000000000009</v>
      </c>
      <c r="BI2033">
        <v>0.65</v>
      </c>
      <c r="BJ2033">
        <v>20210915</v>
      </c>
      <c r="BK2033">
        <v>20170731</v>
      </c>
      <c r="BL2033">
        <v>4.21</v>
      </c>
      <c r="BM2033" t="s">
        <v>120</v>
      </c>
      <c r="BN2033" t="s">
        <v>120</v>
      </c>
      <c r="BO2033">
        <v>49.13</v>
      </c>
      <c r="BP2033">
        <v>43.51</v>
      </c>
      <c r="BQ2033">
        <v>36.659999999999997</v>
      </c>
      <c r="BR2033">
        <v>1.46</v>
      </c>
      <c r="BS2033">
        <v>22.41</v>
      </c>
      <c r="BT2033">
        <v>36.61</v>
      </c>
      <c r="BU2033">
        <v>7.03</v>
      </c>
      <c r="BV2033">
        <v>0.96</v>
      </c>
      <c r="BW2033">
        <v>9.01</v>
      </c>
      <c r="BX2033">
        <v>13.75</v>
      </c>
      <c r="BY2033">
        <v>4.78</v>
      </c>
      <c r="BZ2033">
        <v>5.34</v>
      </c>
      <c r="CA2033">
        <v>0</v>
      </c>
      <c r="CB2033">
        <v>19.77</v>
      </c>
      <c r="CC2033">
        <v>15.81</v>
      </c>
      <c r="CD2033">
        <v>10.6</v>
      </c>
      <c r="CE2033">
        <v>2.23</v>
      </c>
      <c r="CF2033">
        <v>0.09</v>
      </c>
      <c r="CG2033">
        <v>2.2400000000000002</v>
      </c>
      <c r="CH2033">
        <v>1.9</v>
      </c>
      <c r="CI2033">
        <v>1.88</v>
      </c>
      <c r="CJ2033">
        <v>-2.3199999999999998</v>
      </c>
      <c r="CK2033">
        <v>1.72</v>
      </c>
      <c r="CL2033">
        <v>12.87</v>
      </c>
      <c r="CM2033">
        <v>1.23</v>
      </c>
      <c r="CN2033">
        <v>-3.8</v>
      </c>
      <c r="CO2033">
        <v>14210</v>
      </c>
      <c r="CP2033">
        <v>14228</v>
      </c>
      <c r="CQ2033" t="s">
        <v>9983</v>
      </c>
      <c r="CR2033">
        <v>119.71</v>
      </c>
      <c r="CS2033">
        <v>46.72</v>
      </c>
      <c r="CT2033">
        <v>5</v>
      </c>
      <c r="CU2033">
        <v>148.86000000000001</v>
      </c>
      <c r="CV2033">
        <v>11.59</v>
      </c>
      <c r="CW2033">
        <v>0.57999999999999996</v>
      </c>
      <c r="CX2033" t="s">
        <v>1520</v>
      </c>
      <c r="CY2033">
        <v>8.6999999999999993</v>
      </c>
      <c r="CZ2033">
        <v>0</v>
      </c>
      <c r="DA2033">
        <v>4.6900000000000004</v>
      </c>
      <c r="DB2033">
        <v>3.06</v>
      </c>
      <c r="DC2033">
        <v>0.28999999999999998</v>
      </c>
      <c r="DD2033">
        <v>74.61</v>
      </c>
      <c r="DE2033" t="s">
        <v>3575</v>
      </c>
      <c r="DF2033">
        <v>32.99</v>
      </c>
      <c r="DG2033">
        <v>14.13</v>
      </c>
      <c r="DH2033">
        <v>11.88</v>
      </c>
      <c r="DI2033">
        <v>1.33</v>
      </c>
      <c r="DJ2033">
        <v>5539</v>
      </c>
      <c r="DK2033">
        <v>300679</v>
      </c>
      <c r="DL2033" t="s">
        <v>120</v>
      </c>
      <c r="DM2033" t="s">
        <v>120</v>
      </c>
      <c r="DN2033" t="s">
        <v>120</v>
      </c>
    </row>
    <row r="2034" spans="1:118">
      <c r="A2034" t="str">
        <f>"300680"</f>
        <v>300680</v>
      </c>
      <c r="B2034" t="s">
        <v>9984</v>
      </c>
      <c r="C2034">
        <v>-2.78</v>
      </c>
      <c r="D2034">
        <v>0.19</v>
      </c>
      <c r="E2034">
        <v>1.04</v>
      </c>
      <c r="F2034">
        <v>165</v>
      </c>
      <c r="G2034" t="s">
        <v>9985</v>
      </c>
      <c r="H2034">
        <v>5650.38</v>
      </c>
      <c r="I2034">
        <v>30.84</v>
      </c>
      <c r="J2034" t="s">
        <v>120</v>
      </c>
      <c r="K2034" t="s">
        <v>5368</v>
      </c>
      <c r="L2034">
        <v>1.52</v>
      </c>
      <c r="M2034">
        <v>26.26</v>
      </c>
      <c r="N2034">
        <v>0.4</v>
      </c>
      <c r="O2034">
        <v>1.04</v>
      </c>
      <c r="P2034">
        <v>27.29</v>
      </c>
      <c r="Q2034">
        <v>-3.7</v>
      </c>
      <c r="R2034">
        <v>26.01</v>
      </c>
      <c r="S2034">
        <v>27.29</v>
      </c>
      <c r="T2034">
        <v>21230</v>
      </c>
      <c r="U2034">
        <v>26.26</v>
      </c>
      <c r="V2034">
        <v>27.01</v>
      </c>
      <c r="W2034">
        <v>61.98</v>
      </c>
      <c r="X2034" t="s">
        <v>289</v>
      </c>
      <c r="Y2034" t="s">
        <v>319</v>
      </c>
      <c r="Z2034">
        <v>4.74</v>
      </c>
      <c r="AA2034">
        <v>26.62</v>
      </c>
      <c r="AB2034">
        <v>13687</v>
      </c>
      <c r="AC2034">
        <v>7543</v>
      </c>
      <c r="AD2034">
        <v>1.81</v>
      </c>
      <c r="AE2034">
        <v>5</v>
      </c>
      <c r="AF2034">
        <v>319</v>
      </c>
      <c r="AG2034" t="s">
        <v>120</v>
      </c>
      <c r="AH2034">
        <v>0.01</v>
      </c>
      <c r="AI2034" t="s">
        <v>120</v>
      </c>
      <c r="AJ2034">
        <v>1.4</v>
      </c>
      <c r="AK2034" t="s">
        <v>9986</v>
      </c>
      <c r="AL2034">
        <v>-0.86</v>
      </c>
      <c r="AM2034">
        <v>1285</v>
      </c>
      <c r="AN2034">
        <v>17</v>
      </c>
      <c r="AO2034">
        <v>1.1999999999999999E-3</v>
      </c>
      <c r="AP2034">
        <v>-4</v>
      </c>
      <c r="AQ2034">
        <v>-1.1299999999999999</v>
      </c>
      <c r="AR2034">
        <v>-7.24</v>
      </c>
      <c r="AS2034">
        <v>-21.61</v>
      </c>
      <c r="AT2034">
        <v>-0.79</v>
      </c>
      <c r="AU2034">
        <v>18.170000000000002</v>
      </c>
      <c r="AV2034">
        <v>0</v>
      </c>
      <c r="AW2034">
        <v>1.69</v>
      </c>
      <c r="AX2034">
        <v>62.26</v>
      </c>
      <c r="AY2034">
        <v>66.760000000000005</v>
      </c>
      <c r="AZ2034">
        <v>101.58</v>
      </c>
      <c r="BA2034">
        <v>1.36</v>
      </c>
      <c r="BB2034" t="s">
        <v>134</v>
      </c>
      <c r="BF2034">
        <v>-1.46</v>
      </c>
      <c r="BG2034">
        <v>-3.77</v>
      </c>
      <c r="BH2034">
        <v>-3.77</v>
      </c>
      <c r="BI2034">
        <v>0.96</v>
      </c>
      <c r="BJ2034">
        <v>20210830</v>
      </c>
      <c r="BK2034">
        <v>20170725</v>
      </c>
      <c r="BL2034">
        <v>2.02</v>
      </c>
      <c r="BM2034" t="s">
        <v>120</v>
      </c>
      <c r="BN2034" t="s">
        <v>120</v>
      </c>
      <c r="BO2034">
        <v>15</v>
      </c>
      <c r="BP2034">
        <v>26.22</v>
      </c>
      <c r="BQ2034">
        <v>8.4499999999999993</v>
      </c>
      <c r="BR2034">
        <v>0.44</v>
      </c>
      <c r="BS2034">
        <v>40.76</v>
      </c>
      <c r="BT2034">
        <v>7.43</v>
      </c>
      <c r="BU2034">
        <v>3.17</v>
      </c>
      <c r="BV2034">
        <v>0.49</v>
      </c>
      <c r="BW2034">
        <v>5.18</v>
      </c>
      <c r="BX2034">
        <v>1.59</v>
      </c>
      <c r="BY2034">
        <v>1.99</v>
      </c>
      <c r="BZ2034">
        <v>2.56</v>
      </c>
      <c r="CA2034" t="s">
        <v>120</v>
      </c>
      <c r="CB2034">
        <v>4.57</v>
      </c>
      <c r="CC2034">
        <v>3.96</v>
      </c>
      <c r="CD2034">
        <v>2.96</v>
      </c>
      <c r="CE2034">
        <v>0.49</v>
      </c>
      <c r="CF2034">
        <v>0.03</v>
      </c>
      <c r="CG2034">
        <v>0.5</v>
      </c>
      <c r="CH2034">
        <v>0.44</v>
      </c>
      <c r="CI2034">
        <v>0.43</v>
      </c>
      <c r="CJ2034">
        <v>-0.75</v>
      </c>
      <c r="CK2034">
        <v>0.39</v>
      </c>
      <c r="CL2034">
        <v>1.72</v>
      </c>
      <c r="CM2034">
        <v>0.13</v>
      </c>
      <c r="CN2034">
        <v>0.51</v>
      </c>
      <c r="CO2034">
        <v>10241</v>
      </c>
      <c r="CP2034">
        <v>12272</v>
      </c>
      <c r="CQ2034" t="s">
        <v>9987</v>
      </c>
      <c r="CR2034">
        <v>189.6</v>
      </c>
      <c r="CS2034">
        <v>79.8</v>
      </c>
      <c r="CT2034">
        <v>6.27</v>
      </c>
      <c r="CU2034">
        <v>409.48</v>
      </c>
      <c r="CV2034">
        <v>13.39</v>
      </c>
      <c r="CW2034">
        <v>0.26</v>
      </c>
      <c r="CX2034" t="s">
        <v>2097</v>
      </c>
      <c r="CY2034">
        <v>4.18</v>
      </c>
      <c r="CZ2034">
        <v>0</v>
      </c>
      <c r="DA2034">
        <v>2.2599999999999998</v>
      </c>
      <c r="DB2034">
        <v>0.85</v>
      </c>
      <c r="DC2034">
        <v>0.06</v>
      </c>
      <c r="DD2034">
        <v>56.31</v>
      </c>
      <c r="DE2034" t="s">
        <v>1394</v>
      </c>
      <c r="DF2034">
        <v>25.26</v>
      </c>
      <c r="DG2034">
        <v>12.38</v>
      </c>
      <c r="DH2034">
        <v>10.8</v>
      </c>
      <c r="DI2034">
        <v>0.19</v>
      </c>
      <c r="DJ2034">
        <v>591</v>
      </c>
      <c r="DK2034">
        <v>300680</v>
      </c>
      <c r="DL2034" t="s">
        <v>120</v>
      </c>
      <c r="DM2034" t="s">
        <v>120</v>
      </c>
      <c r="DN2034" t="s">
        <v>120</v>
      </c>
    </row>
    <row r="2035" spans="1:118">
      <c r="A2035" t="str">
        <f>"300681"</f>
        <v>300681</v>
      </c>
      <c r="B2035" t="s">
        <v>9988</v>
      </c>
      <c r="C2035">
        <v>17.97</v>
      </c>
      <c r="D2035">
        <v>0</v>
      </c>
      <c r="E2035">
        <v>2.54</v>
      </c>
      <c r="F2035">
        <v>606</v>
      </c>
      <c r="G2035" t="s">
        <v>8513</v>
      </c>
      <c r="H2035">
        <v>39670.5</v>
      </c>
      <c r="I2035">
        <v>178.2</v>
      </c>
      <c r="J2035" t="s">
        <v>120</v>
      </c>
      <c r="K2035" t="s">
        <v>2245</v>
      </c>
      <c r="L2035">
        <v>12.32</v>
      </c>
      <c r="M2035">
        <v>77.66</v>
      </c>
      <c r="N2035">
        <v>2.25</v>
      </c>
      <c r="O2035">
        <v>18.53</v>
      </c>
      <c r="P2035">
        <v>78.03</v>
      </c>
      <c r="Q2035">
        <v>1.78</v>
      </c>
      <c r="R2035">
        <v>67</v>
      </c>
      <c r="S2035">
        <v>67.5</v>
      </c>
      <c r="T2035">
        <v>53407</v>
      </c>
      <c r="U2035">
        <v>77.66</v>
      </c>
      <c r="V2035">
        <v>65.83</v>
      </c>
      <c r="W2035">
        <v>175.7</v>
      </c>
      <c r="X2035" t="s">
        <v>289</v>
      </c>
      <c r="Y2035" t="s">
        <v>547</v>
      </c>
      <c r="Z2035">
        <v>16.760000000000002</v>
      </c>
      <c r="AA2035">
        <v>74.28</v>
      </c>
      <c r="AB2035">
        <v>25194</v>
      </c>
      <c r="AC2035">
        <v>28213</v>
      </c>
      <c r="AD2035">
        <v>0.89</v>
      </c>
      <c r="AE2035">
        <v>103</v>
      </c>
      <c r="AF2035">
        <v>130</v>
      </c>
      <c r="AG2035" t="s">
        <v>120</v>
      </c>
      <c r="AH2035">
        <v>0.09</v>
      </c>
      <c r="AI2035" t="s">
        <v>120</v>
      </c>
      <c r="AJ2035">
        <v>0.43</v>
      </c>
      <c r="AK2035" t="s">
        <v>9989</v>
      </c>
      <c r="AL2035">
        <v>19.88</v>
      </c>
      <c r="AM2035">
        <v>3268</v>
      </c>
      <c r="AN2035">
        <v>16</v>
      </c>
      <c r="AO2035">
        <v>3.8E-3</v>
      </c>
      <c r="AP2035">
        <v>1</v>
      </c>
      <c r="AQ2035">
        <v>-1.82</v>
      </c>
      <c r="AR2035">
        <v>23.17</v>
      </c>
      <c r="AS2035">
        <v>-18.47</v>
      </c>
      <c r="AT2035">
        <v>129.36000000000001</v>
      </c>
      <c r="AU2035">
        <v>131.82</v>
      </c>
      <c r="AV2035">
        <v>5</v>
      </c>
      <c r="AW2035">
        <v>18.260000000000002</v>
      </c>
      <c r="AX2035">
        <v>38.69</v>
      </c>
      <c r="AY2035">
        <v>132.6</v>
      </c>
      <c r="AZ2035">
        <v>378.26</v>
      </c>
      <c r="BA2035">
        <v>0</v>
      </c>
      <c r="BB2035" t="s">
        <v>143</v>
      </c>
      <c r="BF2035">
        <v>12.84</v>
      </c>
      <c r="BG2035">
        <v>15.05</v>
      </c>
      <c r="BH2035">
        <v>-0.47</v>
      </c>
      <c r="BI2035">
        <v>15.91</v>
      </c>
      <c r="BJ2035">
        <v>20210817</v>
      </c>
      <c r="BK2035">
        <v>20170725</v>
      </c>
      <c r="BL2035">
        <v>0.76</v>
      </c>
      <c r="BM2035" t="s">
        <v>120</v>
      </c>
      <c r="BN2035" t="s">
        <v>120</v>
      </c>
      <c r="BO2035">
        <v>12.77</v>
      </c>
      <c r="BP2035">
        <v>77.650000000000006</v>
      </c>
      <c r="BQ2035">
        <v>6.03</v>
      </c>
      <c r="BR2035" t="s">
        <v>120</v>
      </c>
      <c r="BS2035">
        <v>52.82</v>
      </c>
      <c r="BT2035">
        <v>7.44</v>
      </c>
      <c r="BU2035">
        <v>3.41</v>
      </c>
      <c r="BV2035">
        <v>0.14000000000000001</v>
      </c>
      <c r="BW2035">
        <v>5.42</v>
      </c>
      <c r="BX2035">
        <v>0.73</v>
      </c>
      <c r="BY2035">
        <v>3.24</v>
      </c>
      <c r="BZ2035">
        <v>2.34</v>
      </c>
      <c r="CA2035" t="s">
        <v>120</v>
      </c>
      <c r="CB2035">
        <v>3.74</v>
      </c>
      <c r="CC2035">
        <v>3.13</v>
      </c>
      <c r="CD2035">
        <v>2.5</v>
      </c>
      <c r="CE2035">
        <v>0.11</v>
      </c>
      <c r="CF2035">
        <v>0</v>
      </c>
      <c r="CG2035">
        <v>0.15</v>
      </c>
      <c r="CH2035">
        <v>0.17</v>
      </c>
      <c r="CI2035">
        <v>0.17</v>
      </c>
      <c r="CJ2035">
        <v>11.83</v>
      </c>
      <c r="CK2035">
        <v>0.02</v>
      </c>
      <c r="CL2035">
        <v>1.22</v>
      </c>
      <c r="CM2035">
        <v>-0.56999999999999995</v>
      </c>
      <c r="CN2035">
        <v>-0.2</v>
      </c>
      <c r="CO2035">
        <v>5623</v>
      </c>
      <c r="CP2035">
        <v>5202</v>
      </c>
      <c r="CQ2035" t="s">
        <v>9990</v>
      </c>
      <c r="CR2035">
        <v>317.93</v>
      </c>
      <c r="CS2035">
        <v>121.17</v>
      </c>
      <c r="CT2035">
        <v>9.74</v>
      </c>
      <c r="CU2035">
        <v>-102.11</v>
      </c>
      <c r="CV2035">
        <v>18.760000000000002</v>
      </c>
      <c r="CW2035">
        <v>0.08</v>
      </c>
      <c r="CX2035" t="s">
        <v>9991</v>
      </c>
      <c r="CY2035">
        <v>7.97</v>
      </c>
      <c r="CZ2035">
        <v>0</v>
      </c>
      <c r="DA2035">
        <v>4.95</v>
      </c>
      <c r="DB2035">
        <v>1.62</v>
      </c>
      <c r="DC2035">
        <v>-0.76</v>
      </c>
      <c r="DD2035">
        <v>47.18</v>
      </c>
      <c r="DE2035" t="s">
        <v>1500</v>
      </c>
      <c r="DF2035">
        <v>20.239999999999998</v>
      </c>
      <c r="DG2035">
        <v>3.47</v>
      </c>
      <c r="DH2035">
        <v>5.34</v>
      </c>
      <c r="DI2035">
        <v>0.35</v>
      </c>
      <c r="DJ2035">
        <v>855</v>
      </c>
      <c r="DK2035">
        <v>300681</v>
      </c>
      <c r="DL2035">
        <v>20210916</v>
      </c>
      <c r="DM2035">
        <v>75.099999999999994</v>
      </c>
      <c r="DN2035">
        <v>3.41</v>
      </c>
    </row>
    <row r="2036" spans="1:118">
      <c r="A2036" t="str">
        <f>"300682"</f>
        <v>300682</v>
      </c>
      <c r="B2036" t="s">
        <v>9992</v>
      </c>
      <c r="C2036">
        <v>-3.1</v>
      </c>
      <c r="D2036">
        <v>0.09</v>
      </c>
      <c r="E2036">
        <v>-1.23</v>
      </c>
      <c r="F2036">
        <v>670</v>
      </c>
      <c r="G2036" t="s">
        <v>9993</v>
      </c>
      <c r="H2036">
        <v>14979.95</v>
      </c>
      <c r="I2036">
        <v>133.77000000000001</v>
      </c>
      <c r="J2036" t="s">
        <v>120</v>
      </c>
      <c r="K2036" t="s">
        <v>9994</v>
      </c>
      <c r="L2036">
        <v>0.97</v>
      </c>
      <c r="M2036">
        <v>21.27</v>
      </c>
      <c r="N2036">
        <v>0.93</v>
      </c>
      <c r="O2036">
        <v>2.2799999999999998</v>
      </c>
      <c r="P2036">
        <v>22.45</v>
      </c>
      <c r="Q2036">
        <v>-3.46</v>
      </c>
      <c r="R2036">
        <v>21.19</v>
      </c>
      <c r="S2036">
        <v>21.68</v>
      </c>
      <c r="T2036">
        <v>68885</v>
      </c>
      <c r="U2036">
        <v>21.27</v>
      </c>
      <c r="V2036">
        <v>21.95</v>
      </c>
      <c r="W2036">
        <v>91.86</v>
      </c>
      <c r="X2036" t="s">
        <v>141</v>
      </c>
      <c r="Y2036" t="s">
        <v>319</v>
      </c>
      <c r="Z2036">
        <v>5.74</v>
      </c>
      <c r="AA2036">
        <v>21.75</v>
      </c>
      <c r="AB2036">
        <v>37860</v>
      </c>
      <c r="AC2036">
        <v>31025</v>
      </c>
      <c r="AD2036">
        <v>1.22</v>
      </c>
      <c r="AE2036">
        <v>7</v>
      </c>
      <c r="AF2036">
        <v>634</v>
      </c>
      <c r="AG2036" t="s">
        <v>120</v>
      </c>
      <c r="AH2036">
        <v>0.02</v>
      </c>
      <c r="AI2036" t="s">
        <v>120</v>
      </c>
      <c r="AJ2036">
        <v>7.08</v>
      </c>
      <c r="AK2036" t="s">
        <v>9995</v>
      </c>
      <c r="AL2036">
        <v>-1.18</v>
      </c>
      <c r="AM2036">
        <v>2799</v>
      </c>
      <c r="AN2036">
        <v>25</v>
      </c>
      <c r="AO2036">
        <v>2.9999999999999997E-4</v>
      </c>
      <c r="AP2036">
        <v>-1</v>
      </c>
      <c r="AQ2036">
        <v>3.93</v>
      </c>
      <c r="AR2036">
        <v>1.28</v>
      </c>
      <c r="AS2036">
        <v>8.85</v>
      </c>
      <c r="AT2036">
        <v>24.32</v>
      </c>
      <c r="AU2036">
        <v>46.69</v>
      </c>
      <c r="AV2036">
        <v>0</v>
      </c>
      <c r="AW2036">
        <v>2.11</v>
      </c>
      <c r="AX2036">
        <v>31.99</v>
      </c>
      <c r="AY2036">
        <v>30.16</v>
      </c>
      <c r="AZ2036">
        <v>31.73</v>
      </c>
      <c r="BA2036">
        <v>1.1200000000000001</v>
      </c>
      <c r="BB2036" t="s">
        <v>184</v>
      </c>
      <c r="BF2036">
        <v>-0.93</v>
      </c>
      <c r="BG2036">
        <v>-1.89</v>
      </c>
      <c r="BH2036">
        <v>-5.26</v>
      </c>
      <c r="BI2036">
        <v>0.38</v>
      </c>
      <c r="BJ2036">
        <v>20210914</v>
      </c>
      <c r="BK2036">
        <v>20170801</v>
      </c>
      <c r="BL2036">
        <v>10.220000000000001</v>
      </c>
      <c r="BM2036" t="s">
        <v>120</v>
      </c>
      <c r="BN2036" t="s">
        <v>120</v>
      </c>
      <c r="BO2036">
        <v>73.59</v>
      </c>
      <c r="BP2036">
        <v>21.26</v>
      </c>
      <c r="BQ2036">
        <v>53.85</v>
      </c>
      <c r="BR2036">
        <v>0.64</v>
      </c>
      <c r="BS2036">
        <v>25.95</v>
      </c>
      <c r="BT2036">
        <v>48.55</v>
      </c>
      <c r="BU2036">
        <v>0.65</v>
      </c>
      <c r="BV2036">
        <v>0.84</v>
      </c>
      <c r="BW2036">
        <v>11.39</v>
      </c>
      <c r="BX2036">
        <v>14.32</v>
      </c>
      <c r="BY2036">
        <v>5.31</v>
      </c>
      <c r="BZ2036">
        <v>18.059999999999999</v>
      </c>
      <c r="CA2036" t="s">
        <v>120</v>
      </c>
      <c r="CB2036">
        <v>22.37</v>
      </c>
      <c r="CC2036">
        <v>13.07</v>
      </c>
      <c r="CD2036">
        <v>7.62</v>
      </c>
      <c r="CE2036">
        <v>0.96</v>
      </c>
      <c r="CF2036">
        <v>0.2</v>
      </c>
      <c r="CG2036">
        <v>0.95</v>
      </c>
      <c r="CH2036">
        <v>1.05</v>
      </c>
      <c r="CI2036">
        <v>1.18</v>
      </c>
      <c r="CJ2036">
        <v>-0.68</v>
      </c>
      <c r="CK2036">
        <v>0.88</v>
      </c>
      <c r="CL2036">
        <v>21.03</v>
      </c>
      <c r="CM2036">
        <v>-3.7</v>
      </c>
      <c r="CN2036">
        <v>-8.7200000000000006</v>
      </c>
      <c r="CO2036">
        <v>14366</v>
      </c>
      <c r="CP2036">
        <v>22765</v>
      </c>
      <c r="CQ2036" t="s">
        <v>9996</v>
      </c>
      <c r="CR2036">
        <v>45.09</v>
      </c>
      <c r="CS2036">
        <v>52.36</v>
      </c>
      <c r="CT2036">
        <v>4.13</v>
      </c>
      <c r="CU2036">
        <v>-58.8</v>
      </c>
      <c r="CV2036">
        <v>16.63</v>
      </c>
      <c r="CW2036">
        <v>0.54</v>
      </c>
      <c r="CX2036" t="s">
        <v>8308</v>
      </c>
      <c r="CY2036">
        <v>5.15</v>
      </c>
      <c r="CZ2036">
        <v>5.15</v>
      </c>
      <c r="DA2036">
        <v>2.19</v>
      </c>
      <c r="DB2036">
        <v>2.06</v>
      </c>
      <c r="DC2036">
        <v>-0.36</v>
      </c>
      <c r="DD2036">
        <v>73.180000000000007</v>
      </c>
      <c r="DE2036" t="s">
        <v>1974</v>
      </c>
      <c r="DF2036">
        <v>41.67</v>
      </c>
      <c r="DG2036">
        <v>7.37</v>
      </c>
      <c r="DH2036">
        <v>9.0500000000000007</v>
      </c>
      <c r="DI2036">
        <v>2.37</v>
      </c>
      <c r="DJ2036">
        <v>4969</v>
      </c>
      <c r="DK2036">
        <v>300682</v>
      </c>
      <c r="DL2036" t="s">
        <v>120</v>
      </c>
      <c r="DM2036" t="s">
        <v>120</v>
      </c>
      <c r="DN2036" t="s">
        <v>120</v>
      </c>
    </row>
    <row r="2037" spans="1:118">
      <c r="A2037" t="str">
        <f>"300683"</f>
        <v>300683</v>
      </c>
      <c r="B2037" t="s">
        <v>9997</v>
      </c>
      <c r="C2037">
        <v>0.34</v>
      </c>
      <c r="D2037">
        <v>-0.27</v>
      </c>
      <c r="E2037">
        <v>0</v>
      </c>
      <c r="F2037">
        <v>79</v>
      </c>
      <c r="G2037" t="s">
        <v>6870</v>
      </c>
      <c r="H2037">
        <v>2161.69</v>
      </c>
      <c r="I2037">
        <v>24.81</v>
      </c>
      <c r="J2037" t="s">
        <v>120</v>
      </c>
      <c r="K2037" t="s">
        <v>9998</v>
      </c>
      <c r="L2037">
        <v>0.57999999999999996</v>
      </c>
      <c r="M2037">
        <v>38.9</v>
      </c>
      <c r="N2037">
        <v>0.82</v>
      </c>
      <c r="O2037">
        <v>2.12</v>
      </c>
      <c r="P2037">
        <v>39.590000000000003</v>
      </c>
      <c r="Q2037">
        <v>-0.44</v>
      </c>
      <c r="R2037">
        <v>38.6</v>
      </c>
      <c r="S2037">
        <v>38.770000000000003</v>
      </c>
      <c r="T2037">
        <v>5525</v>
      </c>
      <c r="U2037">
        <v>38.92</v>
      </c>
      <c r="V2037">
        <v>38.770000000000003</v>
      </c>
      <c r="W2037">
        <v>278.54000000000002</v>
      </c>
      <c r="X2037" t="s">
        <v>666</v>
      </c>
      <c r="Y2037" t="s">
        <v>763</v>
      </c>
      <c r="Z2037">
        <v>2.5499999999999998</v>
      </c>
      <c r="AA2037">
        <v>39.130000000000003</v>
      </c>
      <c r="AB2037">
        <v>3098</v>
      </c>
      <c r="AC2037">
        <v>2427</v>
      </c>
      <c r="AD2037">
        <v>1.28</v>
      </c>
      <c r="AE2037">
        <v>19</v>
      </c>
      <c r="AF2037">
        <v>2</v>
      </c>
      <c r="AG2037" t="s">
        <v>120</v>
      </c>
      <c r="AH2037">
        <v>0.01</v>
      </c>
      <c r="AI2037" t="s">
        <v>120</v>
      </c>
      <c r="AJ2037">
        <v>0.95</v>
      </c>
      <c r="AK2037" t="s">
        <v>4455</v>
      </c>
      <c r="AL2037">
        <v>2.25</v>
      </c>
      <c r="AM2037">
        <v>599</v>
      </c>
      <c r="AN2037">
        <v>9</v>
      </c>
      <c r="AO2037">
        <v>1E-3</v>
      </c>
      <c r="AP2037">
        <v>1</v>
      </c>
      <c r="AQ2037">
        <v>-2.71</v>
      </c>
      <c r="AR2037">
        <v>-3.21</v>
      </c>
      <c r="AS2037">
        <v>-0.21</v>
      </c>
      <c r="AT2037">
        <v>-6.74</v>
      </c>
      <c r="AU2037">
        <v>-4.84</v>
      </c>
      <c r="AV2037">
        <v>0</v>
      </c>
      <c r="AW2037">
        <v>1.19</v>
      </c>
      <c r="AX2037">
        <v>45.09</v>
      </c>
      <c r="AY2037" t="s">
        <v>120</v>
      </c>
      <c r="AZ2037" t="s">
        <v>120</v>
      </c>
      <c r="BA2037">
        <v>0.44</v>
      </c>
      <c r="BB2037" t="s">
        <v>125</v>
      </c>
      <c r="BF2037">
        <v>0.92</v>
      </c>
      <c r="BG2037">
        <v>0.34</v>
      </c>
      <c r="BH2037">
        <v>-1.74</v>
      </c>
      <c r="BI2037">
        <v>0.78</v>
      </c>
      <c r="BJ2037">
        <v>20210901</v>
      </c>
      <c r="BK2037">
        <v>20170808</v>
      </c>
      <c r="BL2037">
        <v>1.03</v>
      </c>
      <c r="BM2037" t="s">
        <v>120</v>
      </c>
      <c r="BN2037" t="s">
        <v>120</v>
      </c>
      <c r="BO2037">
        <v>19.329999999999998</v>
      </c>
      <c r="BP2037">
        <v>38.9</v>
      </c>
      <c r="BQ2037">
        <v>17.16</v>
      </c>
      <c r="BR2037">
        <v>0.15</v>
      </c>
      <c r="BS2037">
        <v>10.42</v>
      </c>
      <c r="BT2037">
        <v>9.9</v>
      </c>
      <c r="BU2037">
        <v>2.62</v>
      </c>
      <c r="BV2037">
        <v>0.92</v>
      </c>
      <c r="BW2037">
        <v>1.23</v>
      </c>
      <c r="BX2037">
        <v>3.47</v>
      </c>
      <c r="BY2037">
        <v>0.68</v>
      </c>
      <c r="BZ2037">
        <v>0.62</v>
      </c>
      <c r="CA2037" t="s">
        <v>120</v>
      </c>
      <c r="CB2037">
        <v>9.8800000000000008</v>
      </c>
      <c r="CC2037">
        <v>2.2599999999999998</v>
      </c>
      <c r="CD2037">
        <v>0.7</v>
      </c>
      <c r="CE2037">
        <v>0.01</v>
      </c>
      <c r="CF2037">
        <v>0.08</v>
      </c>
      <c r="CG2037">
        <v>0.01</v>
      </c>
      <c r="CH2037">
        <v>0.06</v>
      </c>
      <c r="CI2037">
        <v>7.0000000000000007E-2</v>
      </c>
      <c r="CJ2037">
        <v>0.13</v>
      </c>
      <c r="CK2037">
        <v>0.03</v>
      </c>
      <c r="CL2037">
        <v>5.71</v>
      </c>
      <c r="CM2037">
        <v>-0.09</v>
      </c>
      <c r="CN2037">
        <v>-2.62</v>
      </c>
      <c r="CO2037">
        <v>10140</v>
      </c>
      <c r="CP2037">
        <v>4596</v>
      </c>
      <c r="CQ2037" t="s">
        <v>9999</v>
      </c>
      <c r="CR2037">
        <v>290.95</v>
      </c>
      <c r="CS2037">
        <v>17.260000000000002</v>
      </c>
      <c r="CT2037">
        <v>2.34</v>
      </c>
      <c r="CU2037">
        <v>-463.73</v>
      </c>
      <c r="CV2037">
        <v>17.829999999999998</v>
      </c>
      <c r="CW2037">
        <v>0</v>
      </c>
      <c r="CX2037" t="s">
        <v>679</v>
      </c>
      <c r="CY2037">
        <v>16.61</v>
      </c>
      <c r="CZ2037">
        <v>0</v>
      </c>
      <c r="DA2037">
        <v>9.56</v>
      </c>
      <c r="DB2037">
        <v>5.53</v>
      </c>
      <c r="DC2037">
        <v>-0.08</v>
      </c>
      <c r="DD2037">
        <v>88.8</v>
      </c>
      <c r="DE2037" t="s">
        <v>146</v>
      </c>
      <c r="DF2037">
        <v>68.86</v>
      </c>
      <c r="DG2037">
        <v>0.64</v>
      </c>
      <c r="DH2037">
        <v>3.2</v>
      </c>
      <c r="DI2037">
        <v>0.43</v>
      </c>
      <c r="DJ2037">
        <v>900</v>
      </c>
      <c r="DK2037">
        <v>300683</v>
      </c>
      <c r="DL2037" t="s">
        <v>120</v>
      </c>
      <c r="DM2037" t="s">
        <v>120</v>
      </c>
      <c r="DN2037" t="s">
        <v>120</v>
      </c>
    </row>
    <row r="2038" spans="1:118">
      <c r="A2038" t="str">
        <f>"300684"</f>
        <v>300684</v>
      </c>
      <c r="B2038" t="s">
        <v>10000</v>
      </c>
      <c r="C2038">
        <v>-2.72</v>
      </c>
      <c r="D2038">
        <v>0</v>
      </c>
      <c r="E2038">
        <v>-0.96</v>
      </c>
      <c r="F2038">
        <v>676</v>
      </c>
      <c r="G2038" t="s">
        <v>10001</v>
      </c>
      <c r="H2038">
        <v>14444.41</v>
      </c>
      <c r="I2038">
        <v>100.66</v>
      </c>
      <c r="J2038" t="s">
        <v>120</v>
      </c>
      <c r="K2038" t="s">
        <v>10002</v>
      </c>
      <c r="L2038">
        <v>4.3</v>
      </c>
      <c r="M2038">
        <v>19.309999999999999</v>
      </c>
      <c r="N2038">
        <v>1</v>
      </c>
      <c r="O2038">
        <v>0.65</v>
      </c>
      <c r="P2038">
        <v>19.98</v>
      </c>
      <c r="Q2038">
        <v>-3.17</v>
      </c>
      <c r="R2038">
        <v>19.22</v>
      </c>
      <c r="S2038">
        <v>19.66</v>
      </c>
      <c r="T2038">
        <v>73943</v>
      </c>
      <c r="U2038">
        <v>19.309999999999999</v>
      </c>
      <c r="V2038">
        <v>19.850000000000001</v>
      </c>
      <c r="W2038">
        <v>37.99</v>
      </c>
      <c r="X2038" t="s">
        <v>868</v>
      </c>
      <c r="Y2038" t="s">
        <v>158</v>
      </c>
      <c r="Z2038">
        <v>3.83</v>
      </c>
      <c r="AA2038">
        <v>19.53</v>
      </c>
      <c r="AB2038">
        <v>42734</v>
      </c>
      <c r="AC2038">
        <v>31209</v>
      </c>
      <c r="AD2038">
        <v>1.37</v>
      </c>
      <c r="AE2038">
        <v>269</v>
      </c>
      <c r="AF2038">
        <v>43</v>
      </c>
      <c r="AG2038" t="s">
        <v>120</v>
      </c>
      <c r="AH2038">
        <v>0.04</v>
      </c>
      <c r="AI2038" t="s">
        <v>120</v>
      </c>
      <c r="AJ2038">
        <v>1.72</v>
      </c>
      <c r="AK2038" t="s">
        <v>10003</v>
      </c>
      <c r="AL2038">
        <v>-0.81</v>
      </c>
      <c r="AM2038">
        <v>2734</v>
      </c>
      <c r="AN2038">
        <v>27</v>
      </c>
      <c r="AO2038">
        <v>1.6000000000000001E-3</v>
      </c>
      <c r="AP2038">
        <v>-6</v>
      </c>
      <c r="AQ2038">
        <v>-10.02</v>
      </c>
      <c r="AR2038">
        <v>-12.78</v>
      </c>
      <c r="AS2038">
        <v>-24.19</v>
      </c>
      <c r="AT2038">
        <v>-11.02</v>
      </c>
      <c r="AU2038">
        <v>-13.06</v>
      </c>
      <c r="AV2038">
        <v>0</v>
      </c>
      <c r="AW2038">
        <v>5.29</v>
      </c>
      <c r="AX2038">
        <v>49.72</v>
      </c>
      <c r="AY2038">
        <v>28.45</v>
      </c>
      <c r="AZ2038">
        <v>29.65</v>
      </c>
      <c r="BA2038">
        <v>0.93</v>
      </c>
      <c r="BB2038" t="s">
        <v>125</v>
      </c>
      <c r="BF2038">
        <v>-1.59</v>
      </c>
      <c r="BG2038">
        <v>-1.78</v>
      </c>
      <c r="BH2038">
        <v>-3.35</v>
      </c>
      <c r="BI2038">
        <v>0.47</v>
      </c>
      <c r="BJ2038">
        <v>20210827</v>
      </c>
      <c r="BK2038">
        <v>20171227</v>
      </c>
      <c r="BL2038">
        <v>2.81</v>
      </c>
      <c r="BM2038" t="s">
        <v>120</v>
      </c>
      <c r="BN2038" t="s">
        <v>120</v>
      </c>
      <c r="BO2038">
        <v>18.71</v>
      </c>
      <c r="BP2038">
        <v>19.3</v>
      </c>
      <c r="BQ2038">
        <v>15.86</v>
      </c>
      <c r="BR2038">
        <v>0.16</v>
      </c>
      <c r="BS2038">
        <v>14.39</v>
      </c>
      <c r="BT2038">
        <v>13.81</v>
      </c>
      <c r="BU2038">
        <v>3.33</v>
      </c>
      <c r="BV2038">
        <v>0.43</v>
      </c>
      <c r="BW2038">
        <v>2.56</v>
      </c>
      <c r="BX2038">
        <v>3.07</v>
      </c>
      <c r="BY2038">
        <v>1.39</v>
      </c>
      <c r="BZ2038">
        <v>3.6</v>
      </c>
      <c r="CA2038" t="s">
        <v>120</v>
      </c>
      <c r="CB2038">
        <v>8.98</v>
      </c>
      <c r="CC2038">
        <v>5.89</v>
      </c>
      <c r="CD2038">
        <v>4.3099999999999996</v>
      </c>
      <c r="CE2038">
        <v>0.8</v>
      </c>
      <c r="CF2038">
        <v>0.06</v>
      </c>
      <c r="CG2038">
        <v>0.79</v>
      </c>
      <c r="CH2038">
        <v>0.71</v>
      </c>
      <c r="CI2038">
        <v>0.71</v>
      </c>
      <c r="CJ2038">
        <v>-0.54</v>
      </c>
      <c r="CK2038">
        <v>0.63</v>
      </c>
      <c r="CL2038">
        <v>3.65</v>
      </c>
      <c r="CM2038">
        <v>0.55000000000000004</v>
      </c>
      <c r="CN2038">
        <v>-3.38</v>
      </c>
      <c r="CO2038">
        <v>25899</v>
      </c>
      <c r="CP2038">
        <v>5393</v>
      </c>
      <c r="CQ2038" t="s">
        <v>10004</v>
      </c>
      <c r="CR2038">
        <v>12.44</v>
      </c>
      <c r="CS2038">
        <v>48.49</v>
      </c>
      <c r="CT2038">
        <v>3.42</v>
      </c>
      <c r="CU2038">
        <v>98.56</v>
      </c>
      <c r="CV2038">
        <v>9.2100000000000009</v>
      </c>
      <c r="CW2038">
        <v>3.17</v>
      </c>
      <c r="CX2038" t="s">
        <v>863</v>
      </c>
      <c r="CY2038">
        <v>5.64</v>
      </c>
      <c r="CZ2038">
        <v>5.64</v>
      </c>
      <c r="DA2038">
        <v>3.2</v>
      </c>
      <c r="DB2038">
        <v>1.3</v>
      </c>
      <c r="DC2038">
        <v>0.2</v>
      </c>
      <c r="DD2038">
        <v>84.74</v>
      </c>
      <c r="DE2038" t="s">
        <v>3283</v>
      </c>
      <c r="DF2038">
        <v>26.76</v>
      </c>
      <c r="DG2038">
        <v>13.52</v>
      </c>
      <c r="DH2038">
        <v>12.12</v>
      </c>
      <c r="DI2038">
        <v>0.33</v>
      </c>
      <c r="DJ2038">
        <v>920</v>
      </c>
      <c r="DK2038">
        <v>300684</v>
      </c>
      <c r="DL2038" t="s">
        <v>120</v>
      </c>
      <c r="DM2038" t="s">
        <v>120</v>
      </c>
      <c r="DN2038" t="s">
        <v>120</v>
      </c>
    </row>
    <row r="2039" spans="1:118">
      <c r="A2039" t="str">
        <f>"300685"</f>
        <v>300685</v>
      </c>
      <c r="B2039" t="s">
        <v>10005</v>
      </c>
      <c r="C2039">
        <v>-0.48</v>
      </c>
      <c r="D2039">
        <v>-0.02</v>
      </c>
      <c r="E2039">
        <v>-0.56000000000000005</v>
      </c>
      <c r="F2039">
        <v>170</v>
      </c>
      <c r="G2039" t="s">
        <v>10006</v>
      </c>
      <c r="H2039">
        <v>11871.18</v>
      </c>
      <c r="I2039">
        <v>11.55</v>
      </c>
      <c r="J2039" t="s">
        <v>120</v>
      </c>
      <c r="K2039" t="s">
        <v>10007</v>
      </c>
      <c r="L2039">
        <v>0.74</v>
      </c>
      <c r="M2039">
        <v>72.260000000000005</v>
      </c>
      <c r="N2039">
        <v>1.04</v>
      </c>
      <c r="O2039">
        <v>2.58</v>
      </c>
      <c r="P2039">
        <v>74.48</v>
      </c>
      <c r="Q2039">
        <v>-0.7</v>
      </c>
      <c r="R2039">
        <v>72.099999999999994</v>
      </c>
      <c r="S2039">
        <v>72.2</v>
      </c>
      <c r="T2039">
        <v>16210</v>
      </c>
      <c r="U2039">
        <v>72.27</v>
      </c>
      <c r="V2039">
        <v>72.61</v>
      </c>
      <c r="W2039">
        <v>71.959999999999994</v>
      </c>
      <c r="X2039" t="s">
        <v>666</v>
      </c>
      <c r="Y2039" t="s">
        <v>937</v>
      </c>
      <c r="Z2039">
        <v>3.28</v>
      </c>
      <c r="AA2039">
        <v>73.23</v>
      </c>
      <c r="AB2039">
        <v>6993</v>
      </c>
      <c r="AC2039">
        <v>9217</v>
      </c>
      <c r="AD2039">
        <v>0.76</v>
      </c>
      <c r="AE2039">
        <v>9</v>
      </c>
      <c r="AF2039">
        <v>2</v>
      </c>
      <c r="AG2039" t="s">
        <v>120</v>
      </c>
      <c r="AH2039">
        <v>0</v>
      </c>
      <c r="AI2039" t="s">
        <v>120</v>
      </c>
      <c r="AJ2039">
        <v>2.2000000000000002</v>
      </c>
      <c r="AK2039" t="s">
        <v>10008</v>
      </c>
      <c r="AL2039">
        <v>1.43</v>
      </c>
      <c r="AM2039">
        <v>2310</v>
      </c>
      <c r="AN2039">
        <v>7</v>
      </c>
      <c r="AO2039">
        <v>2.9999999999999997E-4</v>
      </c>
      <c r="AP2039">
        <v>-2</v>
      </c>
      <c r="AQ2039">
        <v>-4.6500000000000004</v>
      </c>
      <c r="AR2039">
        <v>-4.45</v>
      </c>
      <c r="AS2039">
        <v>-15.57</v>
      </c>
      <c r="AT2039">
        <v>-24.16</v>
      </c>
      <c r="AU2039">
        <v>-7.36</v>
      </c>
      <c r="AV2039">
        <v>0</v>
      </c>
      <c r="AW2039">
        <v>1.18</v>
      </c>
      <c r="AX2039">
        <v>61.79</v>
      </c>
      <c r="AY2039">
        <v>76.36</v>
      </c>
      <c r="AZ2039">
        <v>89.28</v>
      </c>
      <c r="BA2039">
        <v>1.42</v>
      </c>
      <c r="BB2039" t="s">
        <v>125</v>
      </c>
      <c r="BF2039">
        <v>0.86</v>
      </c>
      <c r="BG2039">
        <v>0.08</v>
      </c>
      <c r="BH2039">
        <v>-2.98</v>
      </c>
      <c r="BI2039">
        <v>0.22</v>
      </c>
      <c r="BJ2039">
        <v>20210726</v>
      </c>
      <c r="BK2039">
        <v>20170802</v>
      </c>
      <c r="BL2039">
        <v>2.2200000000000002</v>
      </c>
      <c r="BM2039" t="s">
        <v>120</v>
      </c>
      <c r="BN2039" t="s">
        <v>120</v>
      </c>
      <c r="BO2039">
        <v>13.58</v>
      </c>
      <c r="BP2039">
        <v>72.260000000000005</v>
      </c>
      <c r="BQ2039">
        <v>12.3</v>
      </c>
      <c r="BR2039">
        <v>0.04</v>
      </c>
      <c r="BS2039">
        <v>9.1300000000000008</v>
      </c>
      <c r="BT2039">
        <v>10.47</v>
      </c>
      <c r="BU2039">
        <v>1.83</v>
      </c>
      <c r="BV2039">
        <v>0.17</v>
      </c>
      <c r="BW2039">
        <v>1.0900000000000001</v>
      </c>
      <c r="BX2039">
        <v>3.92</v>
      </c>
      <c r="BY2039">
        <v>0.36</v>
      </c>
      <c r="BZ2039">
        <v>3.54</v>
      </c>
      <c r="CA2039" t="s">
        <v>120</v>
      </c>
      <c r="CB2039">
        <v>4.5199999999999996</v>
      </c>
      <c r="CC2039">
        <v>3.99</v>
      </c>
      <c r="CD2039">
        <v>0.62</v>
      </c>
      <c r="CE2039">
        <v>1.25</v>
      </c>
      <c r="CF2039">
        <v>0.01</v>
      </c>
      <c r="CG2039">
        <v>1.25</v>
      </c>
      <c r="CH2039">
        <v>1.1100000000000001</v>
      </c>
      <c r="CI2039">
        <v>1.1100000000000001</v>
      </c>
      <c r="CJ2039">
        <v>-0.35</v>
      </c>
      <c r="CK2039">
        <v>1.01</v>
      </c>
      <c r="CL2039">
        <v>5.31</v>
      </c>
      <c r="CM2039">
        <v>0.93</v>
      </c>
      <c r="CN2039">
        <v>0.36</v>
      </c>
      <c r="CO2039">
        <v>17879</v>
      </c>
      <c r="CP2039">
        <v>7663</v>
      </c>
      <c r="CQ2039" t="s">
        <v>10009</v>
      </c>
      <c r="CR2039">
        <v>37.770000000000003</v>
      </c>
      <c r="CS2039">
        <v>40.96</v>
      </c>
      <c r="CT2039">
        <v>13.02</v>
      </c>
      <c r="CU2039">
        <v>172.43</v>
      </c>
      <c r="CV2039">
        <v>40.159999999999997</v>
      </c>
      <c r="CW2039">
        <v>0.34</v>
      </c>
      <c r="CX2039" t="s">
        <v>550</v>
      </c>
      <c r="CY2039">
        <v>5.55</v>
      </c>
      <c r="CZ2039">
        <v>0</v>
      </c>
      <c r="DA2039">
        <v>2.04</v>
      </c>
      <c r="DB2039">
        <v>2.4</v>
      </c>
      <c r="DC2039">
        <v>0.42</v>
      </c>
      <c r="DD2039">
        <v>90.58</v>
      </c>
      <c r="DE2039" t="s">
        <v>4961</v>
      </c>
      <c r="DF2039">
        <v>84.43</v>
      </c>
      <c r="DG2039">
        <v>31.36</v>
      </c>
      <c r="DH2039">
        <v>27.9</v>
      </c>
      <c r="DI2039">
        <v>0.68</v>
      </c>
      <c r="DJ2039">
        <v>840</v>
      </c>
      <c r="DK2039">
        <v>300685</v>
      </c>
      <c r="DL2039" t="s">
        <v>120</v>
      </c>
      <c r="DM2039" t="s">
        <v>120</v>
      </c>
      <c r="DN2039" t="s">
        <v>120</v>
      </c>
    </row>
    <row r="2040" spans="1:118">
      <c r="A2040" t="str">
        <f>"300686"</f>
        <v>300686</v>
      </c>
      <c r="B2040" t="s">
        <v>10010</v>
      </c>
      <c r="C2040">
        <v>-1.4</v>
      </c>
      <c r="D2040">
        <v>-0.06</v>
      </c>
      <c r="E2040">
        <v>-0.33</v>
      </c>
      <c r="F2040">
        <v>111</v>
      </c>
      <c r="G2040" t="s">
        <v>10011</v>
      </c>
      <c r="H2040">
        <v>1497.61</v>
      </c>
      <c r="I2040">
        <v>0.89</v>
      </c>
      <c r="J2040" t="s">
        <v>120</v>
      </c>
      <c r="K2040" t="s">
        <v>6110</v>
      </c>
      <c r="L2040">
        <v>0.51</v>
      </c>
      <c r="M2040">
        <v>14.74</v>
      </c>
      <c r="N2040">
        <v>0.69</v>
      </c>
      <c r="O2040">
        <v>0.54</v>
      </c>
      <c r="P2040">
        <v>15.03</v>
      </c>
      <c r="Q2040">
        <v>-1.67</v>
      </c>
      <c r="R2040">
        <v>14.7</v>
      </c>
      <c r="S2040">
        <v>14.9</v>
      </c>
      <c r="T2040">
        <v>10070</v>
      </c>
      <c r="U2040">
        <v>14.75</v>
      </c>
      <c r="V2040">
        <v>14.95</v>
      </c>
      <c r="W2040">
        <v>33.700000000000003</v>
      </c>
      <c r="X2040" t="s">
        <v>229</v>
      </c>
      <c r="Y2040" t="s">
        <v>123</v>
      </c>
      <c r="Z2040">
        <v>2.21</v>
      </c>
      <c r="AA2040">
        <v>14.87</v>
      </c>
      <c r="AB2040">
        <v>6747</v>
      </c>
      <c r="AC2040">
        <v>3323</v>
      </c>
      <c r="AD2040">
        <v>2.0299999999999998</v>
      </c>
      <c r="AE2040">
        <v>14</v>
      </c>
      <c r="AF2040">
        <v>1</v>
      </c>
      <c r="AG2040" t="s">
        <v>120</v>
      </c>
      <c r="AH2040">
        <v>0</v>
      </c>
      <c r="AI2040" t="s">
        <v>120</v>
      </c>
      <c r="AJ2040">
        <v>1.98</v>
      </c>
      <c r="AK2040" t="s">
        <v>155</v>
      </c>
      <c r="AL2040">
        <v>0.51</v>
      </c>
      <c r="AM2040">
        <v>811</v>
      </c>
      <c r="AN2040">
        <v>12</v>
      </c>
      <c r="AO2040">
        <v>5.9999999999999995E-4</v>
      </c>
      <c r="AP2040">
        <v>-1</v>
      </c>
      <c r="AQ2040">
        <v>0.81</v>
      </c>
      <c r="AR2040">
        <v>-1.47</v>
      </c>
      <c r="AS2040">
        <v>-4.9000000000000004</v>
      </c>
      <c r="AT2040">
        <v>-10.34</v>
      </c>
      <c r="AU2040">
        <v>-26.34</v>
      </c>
      <c r="AV2040">
        <v>0</v>
      </c>
      <c r="AW2040">
        <v>0.56999999999999995</v>
      </c>
      <c r="AX2040">
        <v>66.31</v>
      </c>
      <c r="AY2040">
        <v>34.51</v>
      </c>
      <c r="AZ2040">
        <v>37.81</v>
      </c>
      <c r="BA2040">
        <v>0.52</v>
      </c>
      <c r="BB2040" t="s">
        <v>143</v>
      </c>
      <c r="BF2040">
        <v>-0.52</v>
      </c>
      <c r="BG2040">
        <v>-1.07</v>
      </c>
      <c r="BH2040">
        <v>-1.93</v>
      </c>
      <c r="BI2040">
        <v>0.27</v>
      </c>
      <c r="BJ2040">
        <v>20210907</v>
      </c>
      <c r="BK2040">
        <v>20170804</v>
      </c>
      <c r="BL2040">
        <v>2.66</v>
      </c>
      <c r="BM2040" t="s">
        <v>120</v>
      </c>
      <c r="BN2040" t="s">
        <v>120</v>
      </c>
      <c r="BO2040">
        <v>28.7</v>
      </c>
      <c r="BP2040">
        <v>14.74</v>
      </c>
      <c r="BQ2040">
        <v>17.37</v>
      </c>
      <c r="BR2040">
        <v>0</v>
      </c>
      <c r="BS2040">
        <v>39.46</v>
      </c>
      <c r="BT2040">
        <v>16.47</v>
      </c>
      <c r="BU2040">
        <v>6.4</v>
      </c>
      <c r="BV2040">
        <v>0.35</v>
      </c>
      <c r="BW2040">
        <v>9.48</v>
      </c>
      <c r="BX2040">
        <v>7.95</v>
      </c>
      <c r="BY2040">
        <v>2.4500000000000002</v>
      </c>
      <c r="BZ2040">
        <v>4.55</v>
      </c>
      <c r="CA2040" t="s">
        <v>120</v>
      </c>
      <c r="CB2040">
        <v>9.61</v>
      </c>
      <c r="CC2040">
        <v>11.23</v>
      </c>
      <c r="CD2040">
        <v>9.19</v>
      </c>
      <c r="CE2040">
        <v>0.68</v>
      </c>
      <c r="CF2040">
        <v>0.03</v>
      </c>
      <c r="CG2040">
        <v>0.63</v>
      </c>
      <c r="CH2040">
        <v>0.57999999999999996</v>
      </c>
      <c r="CI2040">
        <v>0.57999999999999996</v>
      </c>
      <c r="CJ2040">
        <v>-0.21</v>
      </c>
      <c r="CK2040">
        <v>0.56999999999999995</v>
      </c>
      <c r="CL2040">
        <v>4.9000000000000004</v>
      </c>
      <c r="CM2040">
        <v>0.79</v>
      </c>
      <c r="CN2040">
        <v>-4.91</v>
      </c>
      <c r="CO2040">
        <v>16306</v>
      </c>
      <c r="CP2040">
        <v>10802</v>
      </c>
      <c r="CQ2040" t="s">
        <v>10012</v>
      </c>
      <c r="CR2040">
        <v>20.87</v>
      </c>
      <c r="CS2040">
        <v>28.9</v>
      </c>
      <c r="CT2040">
        <v>2.25</v>
      </c>
      <c r="CU2040">
        <v>49.72</v>
      </c>
      <c r="CV2040">
        <v>3.49</v>
      </c>
      <c r="CW2040">
        <v>0.27</v>
      </c>
      <c r="CX2040" t="s">
        <v>10013</v>
      </c>
      <c r="CY2040">
        <v>6.54</v>
      </c>
      <c r="CZ2040">
        <v>0</v>
      </c>
      <c r="DA2040">
        <v>3.62</v>
      </c>
      <c r="DB2040">
        <v>1.85</v>
      </c>
      <c r="DC2040">
        <v>0.3</v>
      </c>
      <c r="DD2040">
        <v>60.53</v>
      </c>
      <c r="DE2040" t="s">
        <v>6440</v>
      </c>
      <c r="DF2040">
        <v>18.2</v>
      </c>
      <c r="DG2040">
        <v>6.03</v>
      </c>
      <c r="DH2040">
        <v>5.17</v>
      </c>
      <c r="DI2040">
        <v>0.56999999999999995</v>
      </c>
      <c r="DJ2040">
        <v>4584</v>
      </c>
      <c r="DK2040">
        <v>300686</v>
      </c>
      <c r="DL2040" t="s">
        <v>120</v>
      </c>
      <c r="DM2040" t="s">
        <v>120</v>
      </c>
      <c r="DN2040" t="s">
        <v>120</v>
      </c>
    </row>
    <row r="2041" spans="1:118">
      <c r="A2041" t="str">
        <f>"300687"</f>
        <v>300687</v>
      </c>
      <c r="B2041" t="s">
        <v>10014</v>
      </c>
      <c r="C2041">
        <v>0.75</v>
      </c>
      <c r="D2041">
        <v>-0.12</v>
      </c>
      <c r="E2041">
        <v>-1.1399999999999999</v>
      </c>
      <c r="F2041">
        <v>725</v>
      </c>
      <c r="G2041" t="s">
        <v>916</v>
      </c>
      <c r="H2041">
        <v>18162.86</v>
      </c>
      <c r="I2041">
        <v>65.42</v>
      </c>
      <c r="J2041" t="s">
        <v>120</v>
      </c>
      <c r="K2041" t="s">
        <v>10015</v>
      </c>
      <c r="L2041">
        <v>2.92</v>
      </c>
      <c r="M2041">
        <v>22.91</v>
      </c>
      <c r="N2041">
        <v>1.02</v>
      </c>
      <c r="O2041">
        <v>2.59</v>
      </c>
      <c r="P2041">
        <v>23.33</v>
      </c>
      <c r="Q2041">
        <v>-3.25</v>
      </c>
      <c r="R2041">
        <v>22</v>
      </c>
      <c r="S2041">
        <v>22.48</v>
      </c>
      <c r="T2041">
        <v>79138</v>
      </c>
      <c r="U2041">
        <v>22.94</v>
      </c>
      <c r="V2041">
        <v>22.74</v>
      </c>
      <c r="W2041">
        <v>76.819999999999993</v>
      </c>
      <c r="X2041" t="s">
        <v>141</v>
      </c>
      <c r="Y2041" t="s">
        <v>547</v>
      </c>
      <c r="Z2041">
        <v>5.85</v>
      </c>
      <c r="AA2041">
        <v>22.95</v>
      </c>
      <c r="AB2041">
        <v>32366</v>
      </c>
      <c r="AC2041">
        <v>46772</v>
      </c>
      <c r="AD2041">
        <v>0.69</v>
      </c>
      <c r="AE2041">
        <v>85</v>
      </c>
      <c r="AF2041">
        <v>14</v>
      </c>
      <c r="AG2041" t="s">
        <v>120</v>
      </c>
      <c r="AH2041">
        <v>0.02</v>
      </c>
      <c r="AI2041" t="s">
        <v>120</v>
      </c>
      <c r="AJ2041">
        <v>2.71</v>
      </c>
      <c r="AK2041" t="s">
        <v>10016</v>
      </c>
      <c r="AL2041">
        <v>2.66</v>
      </c>
      <c r="AM2041">
        <v>3517</v>
      </c>
      <c r="AN2041">
        <v>23</v>
      </c>
      <c r="AO2041">
        <v>8.0000000000000004E-4</v>
      </c>
      <c r="AP2041">
        <v>1</v>
      </c>
      <c r="AQ2041">
        <v>-8.42</v>
      </c>
      <c r="AR2041">
        <v>-6.91</v>
      </c>
      <c r="AS2041">
        <v>-10.93</v>
      </c>
      <c r="AT2041">
        <v>3.48</v>
      </c>
      <c r="AU2041">
        <v>60.98</v>
      </c>
      <c r="AV2041">
        <v>1</v>
      </c>
      <c r="AW2041">
        <v>4.34</v>
      </c>
      <c r="AX2041">
        <v>49.34</v>
      </c>
      <c r="AY2041">
        <v>45.46</v>
      </c>
      <c r="AZ2041">
        <v>47.76</v>
      </c>
      <c r="BA2041">
        <v>1.53</v>
      </c>
      <c r="BB2041" t="s">
        <v>1723</v>
      </c>
      <c r="BF2041">
        <v>0.93</v>
      </c>
      <c r="BG2041">
        <v>1.91</v>
      </c>
      <c r="BH2041">
        <v>-1.8</v>
      </c>
      <c r="BI2041">
        <v>4.1399999999999997</v>
      </c>
      <c r="BJ2041">
        <v>20210830</v>
      </c>
      <c r="BK2041">
        <v>20170803</v>
      </c>
      <c r="BL2041">
        <v>3.7</v>
      </c>
      <c r="BM2041" t="s">
        <v>120</v>
      </c>
      <c r="BN2041" t="s">
        <v>120</v>
      </c>
      <c r="BO2041">
        <v>20.65</v>
      </c>
      <c r="BP2041">
        <v>22.91</v>
      </c>
      <c r="BQ2041">
        <v>11.54</v>
      </c>
      <c r="BR2041">
        <v>1.86</v>
      </c>
      <c r="BS2041">
        <v>35.119999999999997</v>
      </c>
      <c r="BT2041">
        <v>11.69</v>
      </c>
      <c r="BU2041">
        <v>2.12</v>
      </c>
      <c r="BV2041">
        <v>0.37</v>
      </c>
      <c r="BW2041">
        <v>3.64</v>
      </c>
      <c r="BX2041">
        <v>4.43</v>
      </c>
      <c r="BY2041">
        <v>0.9</v>
      </c>
      <c r="BZ2041">
        <v>5.04</v>
      </c>
      <c r="CA2041">
        <v>0</v>
      </c>
      <c r="CB2041">
        <v>2.48</v>
      </c>
      <c r="CC2041">
        <v>8.67</v>
      </c>
      <c r="CD2041">
        <v>6.21</v>
      </c>
      <c r="CE2041">
        <v>0.54</v>
      </c>
      <c r="CF2041">
        <v>-0.01</v>
      </c>
      <c r="CG2041">
        <v>0.54</v>
      </c>
      <c r="CH2041">
        <v>0.57999999999999996</v>
      </c>
      <c r="CI2041">
        <v>0.55000000000000004</v>
      </c>
      <c r="CJ2041">
        <v>0.17</v>
      </c>
      <c r="CK2041">
        <v>0.5</v>
      </c>
      <c r="CL2041">
        <v>4.38</v>
      </c>
      <c r="CM2041">
        <v>0.14000000000000001</v>
      </c>
      <c r="CN2041">
        <v>-0.64</v>
      </c>
      <c r="CO2041">
        <v>17156</v>
      </c>
      <c r="CP2041">
        <v>10636</v>
      </c>
      <c r="CQ2041" t="s">
        <v>10017</v>
      </c>
      <c r="CR2041">
        <v>19.36</v>
      </c>
      <c r="CS2041">
        <v>61.57</v>
      </c>
      <c r="CT2041">
        <v>7.52</v>
      </c>
      <c r="CU2041">
        <v>586.74</v>
      </c>
      <c r="CV2041">
        <v>9.77</v>
      </c>
      <c r="CW2041">
        <v>0.44</v>
      </c>
      <c r="CX2041" t="s">
        <v>1091</v>
      </c>
      <c r="CY2041">
        <v>3.05</v>
      </c>
      <c r="CZ2041">
        <v>3.05</v>
      </c>
      <c r="DA2041">
        <v>0.67</v>
      </c>
      <c r="DB2041">
        <v>1.18</v>
      </c>
      <c r="DC2041">
        <v>0.04</v>
      </c>
      <c r="DD2041">
        <v>55.85</v>
      </c>
      <c r="DE2041" t="s">
        <v>1592</v>
      </c>
      <c r="DF2041">
        <v>28.42</v>
      </c>
      <c r="DG2041">
        <v>6.26</v>
      </c>
      <c r="DH2041">
        <v>6.36</v>
      </c>
      <c r="DI2041">
        <v>0.77</v>
      </c>
      <c r="DJ2041">
        <v>4650</v>
      </c>
      <c r="DK2041">
        <v>300687</v>
      </c>
      <c r="DL2041" t="s">
        <v>120</v>
      </c>
      <c r="DM2041" t="s">
        <v>120</v>
      </c>
      <c r="DN2041" t="s">
        <v>120</v>
      </c>
    </row>
    <row r="2042" spans="1:118">
      <c r="A2042" t="str">
        <f>"300688"</f>
        <v>300688</v>
      </c>
      <c r="B2042" t="s">
        <v>10018</v>
      </c>
      <c r="C2042">
        <v>13.67</v>
      </c>
      <c r="D2042">
        <v>-0.31</v>
      </c>
      <c r="E2042">
        <v>-3.7</v>
      </c>
      <c r="F2042">
        <v>3203</v>
      </c>
      <c r="G2042" t="s">
        <v>2194</v>
      </c>
      <c r="H2042">
        <v>110174.97</v>
      </c>
      <c r="I2042">
        <v>1308.51</v>
      </c>
      <c r="J2042" t="s">
        <v>120</v>
      </c>
      <c r="K2042" t="s">
        <v>10019</v>
      </c>
      <c r="L2042">
        <v>35.840000000000003</v>
      </c>
      <c r="M2042">
        <v>37.18</v>
      </c>
      <c r="N2042">
        <v>1.46</v>
      </c>
      <c r="O2042">
        <v>18.86</v>
      </c>
      <c r="P2042">
        <v>38.880000000000003</v>
      </c>
      <c r="Q2042">
        <v>-5.56</v>
      </c>
      <c r="R2042">
        <v>30.89</v>
      </c>
      <c r="S2042">
        <v>31.5</v>
      </c>
      <c r="T2042">
        <v>315859</v>
      </c>
      <c r="U2042">
        <v>37.18</v>
      </c>
      <c r="V2042">
        <v>32.71</v>
      </c>
      <c r="W2042">
        <v>385.08</v>
      </c>
      <c r="X2042" t="s">
        <v>166</v>
      </c>
      <c r="Y2042" t="s">
        <v>158</v>
      </c>
      <c r="Z2042">
        <v>24.43</v>
      </c>
      <c r="AA2042">
        <v>34.880000000000003</v>
      </c>
      <c r="AB2042">
        <v>141794</v>
      </c>
      <c r="AC2042">
        <v>174065</v>
      </c>
      <c r="AD2042">
        <v>0.81</v>
      </c>
      <c r="AE2042">
        <v>8</v>
      </c>
      <c r="AF2042">
        <v>622</v>
      </c>
      <c r="AG2042" t="s">
        <v>120</v>
      </c>
      <c r="AH2042">
        <v>0.66</v>
      </c>
      <c r="AI2042" t="s">
        <v>120</v>
      </c>
      <c r="AJ2042">
        <v>0.88</v>
      </c>
      <c r="AK2042" t="s">
        <v>6473</v>
      </c>
      <c r="AL2042">
        <v>15.58</v>
      </c>
      <c r="AM2042">
        <v>4501</v>
      </c>
      <c r="AN2042">
        <v>70</v>
      </c>
      <c r="AO2042">
        <v>8.0000000000000002E-3</v>
      </c>
      <c r="AP2042">
        <v>3</v>
      </c>
      <c r="AQ2042">
        <v>2.12</v>
      </c>
      <c r="AR2042">
        <v>20.440000000000001</v>
      </c>
      <c r="AS2042">
        <v>102.72</v>
      </c>
      <c r="AT2042">
        <v>98.82</v>
      </c>
      <c r="AU2042">
        <v>77.39</v>
      </c>
      <c r="AV2042">
        <v>2</v>
      </c>
      <c r="AW2042">
        <v>49.81</v>
      </c>
      <c r="AX2042">
        <v>58.07</v>
      </c>
      <c r="AY2042">
        <v>320.19</v>
      </c>
      <c r="AZ2042">
        <v>487.43</v>
      </c>
      <c r="BA2042">
        <v>0.46</v>
      </c>
      <c r="BB2042" t="s">
        <v>240</v>
      </c>
      <c r="BF2042">
        <v>6.64</v>
      </c>
      <c r="BG2042">
        <v>18.03</v>
      </c>
      <c r="BH2042">
        <v>-4.37</v>
      </c>
      <c r="BI2042">
        <v>20.36</v>
      </c>
      <c r="BJ2042">
        <v>20210910</v>
      </c>
      <c r="BK2042">
        <v>20170810</v>
      </c>
      <c r="BL2042">
        <v>1.0900000000000001</v>
      </c>
      <c r="BM2042" t="s">
        <v>120</v>
      </c>
      <c r="BN2042" t="s">
        <v>120</v>
      </c>
      <c r="BO2042">
        <v>7.4</v>
      </c>
      <c r="BP2042">
        <v>37.17</v>
      </c>
      <c r="BQ2042">
        <v>5.85</v>
      </c>
      <c r="BR2042">
        <v>-0.08</v>
      </c>
      <c r="BS2042">
        <v>22.09</v>
      </c>
      <c r="BT2042">
        <v>5.97</v>
      </c>
      <c r="BU2042">
        <v>0.03</v>
      </c>
      <c r="BV2042">
        <v>0.09</v>
      </c>
      <c r="BW2042">
        <v>1.6</v>
      </c>
      <c r="BX2042">
        <v>3.84</v>
      </c>
      <c r="BY2042">
        <v>0</v>
      </c>
      <c r="BZ2042">
        <v>0.1</v>
      </c>
      <c r="CA2042" t="s">
        <v>120</v>
      </c>
      <c r="CB2042">
        <v>3.75</v>
      </c>
      <c r="CC2042">
        <v>0.99</v>
      </c>
      <c r="CD2042">
        <v>0.46</v>
      </c>
      <c r="CE2042">
        <v>-0.1</v>
      </c>
      <c r="CF2042">
        <v>0.1</v>
      </c>
      <c r="CG2042">
        <v>-0.09</v>
      </c>
      <c r="CH2042">
        <v>-0.03</v>
      </c>
      <c r="CI2042">
        <v>0.05</v>
      </c>
      <c r="CJ2042">
        <v>4.47</v>
      </c>
      <c r="CK2042">
        <v>0.04</v>
      </c>
      <c r="CL2042">
        <v>0.92</v>
      </c>
      <c r="CM2042">
        <v>-0.04</v>
      </c>
      <c r="CN2042">
        <v>0.9</v>
      </c>
      <c r="CO2042">
        <v>12180</v>
      </c>
      <c r="CP2042">
        <v>5207</v>
      </c>
      <c r="CQ2042" t="s">
        <v>10020</v>
      </c>
      <c r="CR2042">
        <v>265.08</v>
      </c>
      <c r="CS2042">
        <v>70.94</v>
      </c>
      <c r="CT2042">
        <v>6.94</v>
      </c>
      <c r="CU2042">
        <v>-975.05</v>
      </c>
      <c r="CV2042">
        <v>41.02</v>
      </c>
      <c r="CW2042">
        <v>0.31</v>
      </c>
      <c r="CX2042" t="s">
        <v>1248</v>
      </c>
      <c r="CY2042">
        <v>5.36</v>
      </c>
      <c r="CZ2042">
        <v>0</v>
      </c>
      <c r="DA2042">
        <v>3.44</v>
      </c>
      <c r="DB2042">
        <v>0.84</v>
      </c>
      <c r="DC2042">
        <v>-0.04</v>
      </c>
      <c r="DD2042">
        <v>79.05</v>
      </c>
      <c r="DE2042" t="s">
        <v>3883</v>
      </c>
      <c r="DF2042">
        <v>53.13</v>
      </c>
      <c r="DG2042">
        <v>-10.35</v>
      </c>
      <c r="DH2042">
        <v>5.33</v>
      </c>
      <c r="DI2042">
        <v>0.06</v>
      </c>
      <c r="DJ2042">
        <v>956</v>
      </c>
      <c r="DK2042">
        <v>300688</v>
      </c>
      <c r="DL2042">
        <v>20210831</v>
      </c>
      <c r="DM2042">
        <v>25.62</v>
      </c>
      <c r="DN2042">
        <v>45.12</v>
      </c>
    </row>
    <row r="2043" spans="1:118">
      <c r="A2043" t="str">
        <f>"300689"</f>
        <v>300689</v>
      </c>
      <c r="B2043" t="s">
        <v>10021</v>
      </c>
      <c r="C2043">
        <v>-3.54</v>
      </c>
      <c r="D2043">
        <v>-0.03</v>
      </c>
      <c r="E2043">
        <v>-0.68</v>
      </c>
      <c r="F2043">
        <v>128</v>
      </c>
      <c r="G2043" t="s">
        <v>10022</v>
      </c>
      <c r="H2043">
        <v>2499.1799999999998</v>
      </c>
      <c r="I2043">
        <v>10.25</v>
      </c>
      <c r="J2043" t="s">
        <v>120</v>
      </c>
      <c r="K2043" t="s">
        <v>10023</v>
      </c>
      <c r="L2043">
        <v>1.1200000000000001</v>
      </c>
      <c r="M2043">
        <v>22.63</v>
      </c>
      <c r="N2043">
        <v>0.82</v>
      </c>
      <c r="O2043">
        <v>0.51</v>
      </c>
      <c r="P2043">
        <v>23.58</v>
      </c>
      <c r="Q2043">
        <v>-3.92</v>
      </c>
      <c r="R2043">
        <v>22.54</v>
      </c>
      <c r="S2043">
        <v>23.3</v>
      </c>
      <c r="T2043">
        <v>10847</v>
      </c>
      <c r="U2043">
        <v>22.63</v>
      </c>
      <c r="V2043">
        <v>23.46</v>
      </c>
      <c r="W2043">
        <v>168.14</v>
      </c>
      <c r="X2043" t="s">
        <v>229</v>
      </c>
      <c r="Y2043" t="s">
        <v>123</v>
      </c>
      <c r="Z2043">
        <v>4.43</v>
      </c>
      <c r="AA2043">
        <v>23.04</v>
      </c>
      <c r="AB2043">
        <v>7098</v>
      </c>
      <c r="AC2043">
        <v>3749</v>
      </c>
      <c r="AD2043">
        <v>1.89</v>
      </c>
      <c r="AE2043">
        <v>155</v>
      </c>
      <c r="AF2043">
        <v>47</v>
      </c>
      <c r="AG2043" t="s">
        <v>120</v>
      </c>
      <c r="AH2043">
        <v>0.01</v>
      </c>
      <c r="AI2043" t="s">
        <v>120</v>
      </c>
      <c r="AJ2043">
        <v>0.97</v>
      </c>
      <c r="AK2043" t="s">
        <v>6953</v>
      </c>
      <c r="AL2043">
        <v>-1.62</v>
      </c>
      <c r="AM2043">
        <v>1036</v>
      </c>
      <c r="AN2043">
        <v>10</v>
      </c>
      <c r="AO2043">
        <v>1.1000000000000001E-3</v>
      </c>
      <c r="AP2043">
        <v>-1</v>
      </c>
      <c r="AQ2043">
        <v>2.1800000000000002</v>
      </c>
      <c r="AR2043">
        <v>-2.71</v>
      </c>
      <c r="AS2043">
        <v>-17.77</v>
      </c>
      <c r="AT2043">
        <v>-10.47</v>
      </c>
      <c r="AU2043">
        <v>-7.54</v>
      </c>
      <c r="AV2043">
        <v>4</v>
      </c>
      <c r="AW2043">
        <v>3.12</v>
      </c>
      <c r="AX2043">
        <v>30.11</v>
      </c>
      <c r="AY2043">
        <v>155.81</v>
      </c>
      <c r="AZ2043">
        <v>114.94</v>
      </c>
      <c r="BA2043">
        <v>0.44</v>
      </c>
      <c r="BB2043" t="s">
        <v>143</v>
      </c>
      <c r="BF2043">
        <v>-1.79</v>
      </c>
      <c r="BG2043">
        <v>-2.88</v>
      </c>
      <c r="BH2043">
        <v>-4.03</v>
      </c>
      <c r="BI2043">
        <v>0.4</v>
      </c>
      <c r="BJ2043">
        <v>20210826</v>
      </c>
      <c r="BK2043">
        <v>20170809</v>
      </c>
      <c r="BL2043">
        <v>1.1599999999999999</v>
      </c>
      <c r="BM2043" t="s">
        <v>120</v>
      </c>
      <c r="BN2043" t="s">
        <v>120</v>
      </c>
      <c r="BO2043">
        <v>7.31</v>
      </c>
      <c r="BP2043">
        <v>22.6</v>
      </c>
      <c r="BQ2043">
        <v>6.21</v>
      </c>
      <c r="BR2043">
        <v>0.04</v>
      </c>
      <c r="BS2043">
        <v>14.44</v>
      </c>
      <c r="BT2043">
        <v>3.66</v>
      </c>
      <c r="BU2043">
        <v>2</v>
      </c>
      <c r="BV2043">
        <v>0.25</v>
      </c>
      <c r="BW2043">
        <v>0.9</v>
      </c>
      <c r="BX2043">
        <v>0.94</v>
      </c>
      <c r="BY2043">
        <v>0.46</v>
      </c>
      <c r="BZ2043">
        <v>1.1399999999999999</v>
      </c>
      <c r="CA2043" t="s">
        <v>120</v>
      </c>
      <c r="CB2043">
        <v>2.4700000000000002</v>
      </c>
      <c r="CC2043">
        <v>2.0099999999999998</v>
      </c>
      <c r="CD2043">
        <v>1.64</v>
      </c>
      <c r="CE2043">
        <v>0.1</v>
      </c>
      <c r="CF2043">
        <v>0.02</v>
      </c>
      <c r="CG2043">
        <v>0.1</v>
      </c>
      <c r="CH2043">
        <v>0.08</v>
      </c>
      <c r="CI2043">
        <v>0.08</v>
      </c>
      <c r="CJ2043">
        <v>-0.83</v>
      </c>
      <c r="CK2043">
        <v>0.06</v>
      </c>
      <c r="CL2043">
        <v>3.09</v>
      </c>
      <c r="CM2043">
        <v>0.15</v>
      </c>
      <c r="CN2043">
        <v>0.38</v>
      </c>
      <c r="CO2043">
        <v>9019</v>
      </c>
      <c r="CP2043">
        <v>3859</v>
      </c>
      <c r="CQ2043" t="s">
        <v>10024</v>
      </c>
      <c r="CR2043">
        <v>-44.3</v>
      </c>
      <c r="CS2043">
        <v>13.3</v>
      </c>
      <c r="CT2043">
        <v>4.21</v>
      </c>
      <c r="CU2043">
        <v>174.97</v>
      </c>
      <c r="CV2043">
        <v>12.99</v>
      </c>
      <c r="CW2043">
        <v>0</v>
      </c>
      <c r="CX2043" t="s">
        <v>1845</v>
      </c>
      <c r="CY2043">
        <v>5.37</v>
      </c>
      <c r="CZ2043">
        <v>0</v>
      </c>
      <c r="DA2043">
        <v>2.14</v>
      </c>
      <c r="DB2043">
        <v>2.67</v>
      </c>
      <c r="DC2043">
        <v>0.13</v>
      </c>
      <c r="DD2043">
        <v>85.01</v>
      </c>
      <c r="DE2043" t="s">
        <v>4522</v>
      </c>
      <c r="DF2043">
        <v>18.47</v>
      </c>
      <c r="DG2043">
        <v>4.8099999999999996</v>
      </c>
      <c r="DH2043">
        <v>3.86</v>
      </c>
      <c r="DI2043">
        <v>7.0000000000000007E-2</v>
      </c>
      <c r="DJ2043">
        <v>721</v>
      </c>
      <c r="DK2043">
        <v>300689</v>
      </c>
      <c r="DL2043" t="s">
        <v>120</v>
      </c>
      <c r="DM2043" t="s">
        <v>120</v>
      </c>
      <c r="DN2043" t="s">
        <v>120</v>
      </c>
    </row>
    <row r="2044" spans="1:118">
      <c r="A2044" t="str">
        <f>"300690"</f>
        <v>300690</v>
      </c>
      <c r="B2044" t="s">
        <v>10025</v>
      </c>
      <c r="C2044">
        <v>6.53</v>
      </c>
      <c r="D2044">
        <v>0.06</v>
      </c>
      <c r="E2044">
        <v>2.57</v>
      </c>
      <c r="F2044">
        <v>2952</v>
      </c>
      <c r="G2044" t="s">
        <v>10026</v>
      </c>
      <c r="H2044">
        <v>97361</v>
      </c>
      <c r="I2044">
        <v>1797.75</v>
      </c>
      <c r="J2044" t="s">
        <v>120</v>
      </c>
      <c r="K2044" t="s">
        <v>2125</v>
      </c>
      <c r="L2044">
        <v>28.35</v>
      </c>
      <c r="M2044">
        <v>32.799999999999997</v>
      </c>
      <c r="N2044">
        <v>3.42</v>
      </c>
      <c r="O2044">
        <v>13.35</v>
      </c>
      <c r="P2044">
        <v>34.9</v>
      </c>
      <c r="Q2044">
        <v>-4.58</v>
      </c>
      <c r="R2044">
        <v>29.38</v>
      </c>
      <c r="S2044">
        <v>31.58</v>
      </c>
      <c r="T2044">
        <v>308246</v>
      </c>
      <c r="U2044">
        <v>32.799999999999997</v>
      </c>
      <c r="V2044">
        <v>30.79</v>
      </c>
      <c r="W2044">
        <v>25.79</v>
      </c>
      <c r="X2044" t="s">
        <v>394</v>
      </c>
      <c r="Y2044" t="s">
        <v>638</v>
      </c>
      <c r="Z2044">
        <v>17.93</v>
      </c>
      <c r="AA2044">
        <v>31.59</v>
      </c>
      <c r="AB2044">
        <v>145421</v>
      </c>
      <c r="AC2044">
        <v>162825</v>
      </c>
      <c r="AD2044">
        <v>0.89</v>
      </c>
      <c r="AE2044">
        <v>631</v>
      </c>
      <c r="AF2044">
        <v>88</v>
      </c>
      <c r="AG2044" t="s">
        <v>120</v>
      </c>
      <c r="AH2044">
        <v>0.68</v>
      </c>
      <c r="AI2044" t="s">
        <v>120</v>
      </c>
      <c r="AJ2044">
        <v>1.0900000000000001</v>
      </c>
      <c r="AK2044" t="s">
        <v>10027</v>
      </c>
      <c r="AL2044">
        <v>8.44</v>
      </c>
      <c r="AM2044">
        <v>4135</v>
      </c>
      <c r="AN2044">
        <v>75</v>
      </c>
      <c r="AO2044">
        <v>6.8999999999999999E-3</v>
      </c>
      <c r="AP2044">
        <v>2</v>
      </c>
      <c r="AQ2044">
        <v>19.989999999999998</v>
      </c>
      <c r="AR2044">
        <v>26.63</v>
      </c>
      <c r="AS2044">
        <v>40.89</v>
      </c>
      <c r="AT2044">
        <v>23.58</v>
      </c>
      <c r="AU2044">
        <v>-14.48</v>
      </c>
      <c r="AV2044">
        <v>3</v>
      </c>
      <c r="AW2044">
        <v>36.72</v>
      </c>
      <c r="AX2044">
        <v>50.47</v>
      </c>
      <c r="AY2044">
        <v>16.940000000000001</v>
      </c>
      <c r="AZ2044">
        <v>15.89</v>
      </c>
      <c r="BA2044">
        <v>0.77</v>
      </c>
      <c r="BB2044" t="s">
        <v>700</v>
      </c>
      <c r="BF2044">
        <v>2.58</v>
      </c>
      <c r="BG2044">
        <v>3.86</v>
      </c>
      <c r="BH2044">
        <v>-6.02</v>
      </c>
      <c r="BI2044">
        <v>11.64</v>
      </c>
      <c r="BJ2044">
        <v>20210724</v>
      </c>
      <c r="BK2044">
        <v>20170808</v>
      </c>
      <c r="BL2044">
        <v>1.66</v>
      </c>
      <c r="BM2044" t="s">
        <v>120</v>
      </c>
      <c r="BN2044" t="s">
        <v>120</v>
      </c>
      <c r="BO2044">
        <v>15.66</v>
      </c>
      <c r="BP2044">
        <v>32.79</v>
      </c>
      <c r="BQ2044">
        <v>12.86</v>
      </c>
      <c r="BR2044">
        <v>0</v>
      </c>
      <c r="BS2044">
        <v>17.86</v>
      </c>
      <c r="BT2044">
        <v>10.99</v>
      </c>
      <c r="BU2044">
        <v>2.71</v>
      </c>
      <c r="BV2044">
        <v>0.68</v>
      </c>
      <c r="BW2044">
        <v>2.74</v>
      </c>
      <c r="BX2044">
        <v>2.76</v>
      </c>
      <c r="BY2044">
        <v>1.66</v>
      </c>
      <c r="BZ2044">
        <v>4.08</v>
      </c>
      <c r="CA2044" t="s">
        <v>120</v>
      </c>
      <c r="CB2044">
        <v>5.0999999999999996</v>
      </c>
      <c r="CC2044">
        <v>5.62</v>
      </c>
      <c r="CD2044">
        <v>3.86</v>
      </c>
      <c r="CE2044">
        <v>1.24</v>
      </c>
      <c r="CF2044">
        <v>0.03</v>
      </c>
      <c r="CG2044">
        <v>1.24</v>
      </c>
      <c r="CH2044">
        <v>1.05</v>
      </c>
      <c r="CI2044">
        <v>1.06</v>
      </c>
      <c r="CJ2044">
        <v>2.0099999999999998</v>
      </c>
      <c r="CK2044">
        <v>0.99</v>
      </c>
      <c r="CL2044">
        <v>5.32</v>
      </c>
      <c r="CM2044">
        <v>0.39</v>
      </c>
      <c r="CN2044">
        <v>-0.96</v>
      </c>
      <c r="CO2044">
        <v>22103</v>
      </c>
      <c r="CP2044">
        <v>3798</v>
      </c>
      <c r="CQ2044" t="s">
        <v>10028</v>
      </c>
      <c r="CR2044">
        <v>-15.85</v>
      </c>
      <c r="CS2044">
        <v>3.84</v>
      </c>
      <c r="CT2044">
        <v>4.24</v>
      </c>
      <c r="CU2044">
        <v>138.66999999999999</v>
      </c>
      <c r="CV2044">
        <v>9.7100000000000009</v>
      </c>
      <c r="CW2044">
        <v>2.17</v>
      </c>
      <c r="CX2044" t="s">
        <v>2039</v>
      </c>
      <c r="CY2044">
        <v>7.73</v>
      </c>
      <c r="CZ2044">
        <v>0</v>
      </c>
      <c r="DA2044">
        <v>3.06</v>
      </c>
      <c r="DB2044">
        <v>3.2</v>
      </c>
      <c r="DC2044">
        <v>0.24</v>
      </c>
      <c r="DD2044">
        <v>82.11</v>
      </c>
      <c r="DE2044" t="s">
        <v>9875</v>
      </c>
      <c r="DF2044">
        <v>31.22</v>
      </c>
      <c r="DG2044">
        <v>22.08</v>
      </c>
      <c r="DH2044">
        <v>18.829999999999998</v>
      </c>
      <c r="DI2044">
        <v>0.13</v>
      </c>
      <c r="DJ2044">
        <v>2059</v>
      </c>
      <c r="DK2044">
        <v>300690</v>
      </c>
      <c r="DL2044" t="s">
        <v>120</v>
      </c>
      <c r="DM2044" t="s">
        <v>120</v>
      </c>
      <c r="DN2044" t="s">
        <v>120</v>
      </c>
    </row>
    <row r="2045" spans="1:118">
      <c r="A2045" t="str">
        <f>"300691"</f>
        <v>300691</v>
      </c>
      <c r="B2045" t="s">
        <v>10029</v>
      </c>
      <c r="C2045">
        <v>-1.06</v>
      </c>
      <c r="D2045">
        <v>0</v>
      </c>
      <c r="E2045">
        <v>-0.53</v>
      </c>
      <c r="F2045">
        <v>494</v>
      </c>
      <c r="G2045" t="s">
        <v>10030</v>
      </c>
      <c r="H2045">
        <v>10964.27</v>
      </c>
      <c r="I2045">
        <v>5.26</v>
      </c>
      <c r="J2045" t="s">
        <v>120</v>
      </c>
      <c r="K2045" t="s">
        <v>8746</v>
      </c>
      <c r="L2045">
        <v>3.18</v>
      </c>
      <c r="M2045">
        <v>18.68</v>
      </c>
      <c r="N2045">
        <v>0.65</v>
      </c>
      <c r="O2045">
        <v>2.6</v>
      </c>
      <c r="P2045">
        <v>19.37</v>
      </c>
      <c r="Q2045">
        <v>-2.2799999999999998</v>
      </c>
      <c r="R2045">
        <v>18.45</v>
      </c>
      <c r="S2045">
        <v>18.78</v>
      </c>
      <c r="T2045">
        <v>58263</v>
      </c>
      <c r="U2045">
        <v>18.690000000000001</v>
      </c>
      <c r="V2045">
        <v>18.88</v>
      </c>
      <c r="W2045">
        <v>47.33</v>
      </c>
      <c r="X2045" t="s">
        <v>229</v>
      </c>
      <c r="Y2045" t="s">
        <v>547</v>
      </c>
      <c r="Z2045">
        <v>4.87</v>
      </c>
      <c r="AA2045">
        <v>18.82</v>
      </c>
      <c r="AB2045">
        <v>31940</v>
      </c>
      <c r="AC2045">
        <v>26323</v>
      </c>
      <c r="AD2045">
        <v>1.21</v>
      </c>
      <c r="AE2045">
        <v>161</v>
      </c>
      <c r="AF2045">
        <v>18</v>
      </c>
      <c r="AG2045" t="s">
        <v>120</v>
      </c>
      <c r="AH2045">
        <v>0</v>
      </c>
      <c r="AI2045" t="s">
        <v>120</v>
      </c>
      <c r="AJ2045">
        <v>1.83</v>
      </c>
      <c r="AK2045" t="s">
        <v>1945</v>
      </c>
      <c r="AL2045">
        <v>0.85</v>
      </c>
      <c r="AM2045">
        <v>2579</v>
      </c>
      <c r="AN2045">
        <v>23</v>
      </c>
      <c r="AO2045">
        <v>1.1999999999999999E-3</v>
      </c>
      <c r="AP2045">
        <v>-1</v>
      </c>
      <c r="AQ2045">
        <v>1.23</v>
      </c>
      <c r="AR2045">
        <v>-0.11</v>
      </c>
      <c r="AS2045">
        <v>23.47</v>
      </c>
      <c r="AT2045">
        <v>14.95</v>
      </c>
      <c r="AU2045">
        <v>45.94</v>
      </c>
      <c r="AV2045">
        <v>0</v>
      </c>
      <c r="AW2045">
        <v>4.8</v>
      </c>
      <c r="AX2045">
        <v>54.01</v>
      </c>
      <c r="AY2045">
        <v>51.06</v>
      </c>
      <c r="AZ2045">
        <v>85.07</v>
      </c>
      <c r="BA2045">
        <v>0.83</v>
      </c>
      <c r="BB2045" t="s">
        <v>184</v>
      </c>
      <c r="BF2045">
        <v>-0.33</v>
      </c>
      <c r="BG2045">
        <v>-0.53</v>
      </c>
      <c r="BH2045">
        <v>-3.56</v>
      </c>
      <c r="BI2045">
        <v>1.25</v>
      </c>
      <c r="BJ2045">
        <v>20210912</v>
      </c>
      <c r="BK2045">
        <v>20170811</v>
      </c>
      <c r="BL2045">
        <v>2.25</v>
      </c>
      <c r="BM2045" t="s">
        <v>120</v>
      </c>
      <c r="BN2045" t="s">
        <v>120</v>
      </c>
      <c r="BO2045">
        <v>18.86</v>
      </c>
      <c r="BP2045">
        <v>18.68</v>
      </c>
      <c r="BQ2045">
        <v>9.82</v>
      </c>
      <c r="BR2045">
        <v>0.02</v>
      </c>
      <c r="BS2045">
        <v>47.86</v>
      </c>
      <c r="BT2045">
        <v>10.44</v>
      </c>
      <c r="BU2045">
        <v>3.98</v>
      </c>
      <c r="BV2045">
        <v>0.5</v>
      </c>
      <c r="BW2045">
        <v>8.57</v>
      </c>
      <c r="BX2045">
        <v>1.56</v>
      </c>
      <c r="BY2045">
        <v>3.05</v>
      </c>
      <c r="BZ2045">
        <v>3.35</v>
      </c>
      <c r="CA2045" t="s">
        <v>120</v>
      </c>
      <c r="CB2045">
        <v>4.4800000000000004</v>
      </c>
      <c r="CC2045">
        <v>8.1</v>
      </c>
      <c r="CD2045">
        <v>6.39</v>
      </c>
      <c r="CE2045">
        <v>0.5</v>
      </c>
      <c r="CF2045">
        <v>0.03</v>
      </c>
      <c r="CG2045">
        <v>0.5</v>
      </c>
      <c r="CH2045">
        <v>0.44</v>
      </c>
      <c r="CI2045">
        <v>0.44</v>
      </c>
      <c r="CJ2045">
        <v>-0.2</v>
      </c>
      <c r="CK2045">
        <v>0.4</v>
      </c>
      <c r="CL2045">
        <v>2.8</v>
      </c>
      <c r="CM2045">
        <v>-0.04</v>
      </c>
      <c r="CN2045">
        <v>-1.1200000000000001</v>
      </c>
      <c r="CO2045">
        <v>13913</v>
      </c>
      <c r="CP2045">
        <v>8723</v>
      </c>
      <c r="CQ2045" t="s">
        <v>10031</v>
      </c>
      <c r="CR2045">
        <v>298.52999999999997</v>
      </c>
      <c r="CS2045">
        <v>76.03</v>
      </c>
      <c r="CT2045">
        <v>4.29</v>
      </c>
      <c r="CU2045">
        <v>-1171.1300000000001</v>
      </c>
      <c r="CV2045">
        <v>5.18</v>
      </c>
      <c r="CW2045">
        <v>0.53</v>
      </c>
      <c r="CX2045" t="s">
        <v>492</v>
      </c>
      <c r="CY2045">
        <v>4.3600000000000003</v>
      </c>
      <c r="CZ2045">
        <v>4.3600000000000003</v>
      </c>
      <c r="DA2045">
        <v>2</v>
      </c>
      <c r="DB2045">
        <v>1.24</v>
      </c>
      <c r="DC2045">
        <v>-0.02</v>
      </c>
      <c r="DD2045">
        <v>52.05</v>
      </c>
      <c r="DE2045" t="s">
        <v>4825</v>
      </c>
      <c r="DF2045">
        <v>21.13</v>
      </c>
      <c r="DG2045">
        <v>6.15</v>
      </c>
      <c r="DH2045">
        <v>5.47</v>
      </c>
      <c r="DI2045">
        <v>0.57999999999999996</v>
      </c>
      <c r="DJ2045">
        <v>1721</v>
      </c>
      <c r="DK2045">
        <v>300691</v>
      </c>
      <c r="DL2045" t="s">
        <v>120</v>
      </c>
      <c r="DM2045" t="s">
        <v>120</v>
      </c>
      <c r="DN2045" t="s">
        <v>120</v>
      </c>
    </row>
    <row r="2046" spans="1:118">
      <c r="A2046" t="str">
        <f>"300692"</f>
        <v>300692</v>
      </c>
      <c r="B2046" t="s">
        <v>10032</v>
      </c>
      <c r="C2046">
        <v>-4.32</v>
      </c>
      <c r="D2046">
        <v>0</v>
      </c>
      <c r="E2046">
        <v>0</v>
      </c>
      <c r="F2046">
        <v>1643</v>
      </c>
      <c r="G2046" t="s">
        <v>10033</v>
      </c>
      <c r="H2046">
        <v>16152.16</v>
      </c>
      <c r="I2046">
        <v>40.19</v>
      </c>
      <c r="J2046" t="s">
        <v>120</v>
      </c>
      <c r="K2046" t="s">
        <v>10034</v>
      </c>
      <c r="L2046">
        <v>5.17</v>
      </c>
      <c r="M2046">
        <v>8.1999999999999993</v>
      </c>
      <c r="N2046">
        <v>0.55000000000000004</v>
      </c>
      <c r="O2046">
        <v>0</v>
      </c>
      <c r="P2046">
        <v>8.57</v>
      </c>
      <c r="Q2046">
        <v>-4.78</v>
      </c>
      <c r="R2046">
        <v>8.16</v>
      </c>
      <c r="S2046">
        <v>8.57</v>
      </c>
      <c r="T2046">
        <v>193825</v>
      </c>
      <c r="U2046">
        <v>8.2100000000000009</v>
      </c>
      <c r="V2046">
        <v>8.57</v>
      </c>
      <c r="W2046">
        <v>21.02</v>
      </c>
      <c r="X2046" t="s">
        <v>318</v>
      </c>
      <c r="Y2046" t="s">
        <v>570</v>
      </c>
      <c r="Z2046">
        <v>4.78</v>
      </c>
      <c r="AA2046">
        <v>8.33</v>
      </c>
      <c r="AB2046">
        <v>120192</v>
      </c>
      <c r="AC2046">
        <v>73633</v>
      </c>
      <c r="AD2046">
        <v>1.63</v>
      </c>
      <c r="AE2046">
        <v>2224</v>
      </c>
      <c r="AF2046">
        <v>362</v>
      </c>
      <c r="AG2046" t="s">
        <v>120</v>
      </c>
      <c r="AH2046">
        <v>0.02</v>
      </c>
      <c r="AI2046" t="s">
        <v>120</v>
      </c>
      <c r="AJ2046">
        <v>3.75</v>
      </c>
      <c r="AK2046" t="s">
        <v>5820</v>
      </c>
      <c r="AL2046">
        <v>-2.4</v>
      </c>
      <c r="AM2046">
        <v>2944</v>
      </c>
      <c r="AN2046">
        <v>66</v>
      </c>
      <c r="AO2046">
        <v>1.8E-3</v>
      </c>
      <c r="AP2046">
        <v>-1</v>
      </c>
      <c r="AQ2046">
        <v>0.94</v>
      </c>
      <c r="AR2046">
        <v>-8.69</v>
      </c>
      <c r="AS2046">
        <v>5.39</v>
      </c>
      <c r="AT2046">
        <v>-0.6</v>
      </c>
      <c r="AU2046">
        <v>0.26</v>
      </c>
      <c r="AV2046">
        <v>0</v>
      </c>
      <c r="AW2046">
        <v>6.88</v>
      </c>
      <c r="AX2046">
        <v>66.5</v>
      </c>
      <c r="AY2046">
        <v>19.329999999999998</v>
      </c>
      <c r="AZ2046">
        <v>23.02</v>
      </c>
      <c r="BA2046">
        <v>0.45</v>
      </c>
      <c r="BB2046" t="s">
        <v>143</v>
      </c>
      <c r="BF2046">
        <v>-2.76</v>
      </c>
      <c r="BG2046">
        <v>-4.32</v>
      </c>
      <c r="BH2046">
        <v>-4.32</v>
      </c>
      <c r="BI2046">
        <v>0.49</v>
      </c>
      <c r="BJ2046">
        <v>20210821</v>
      </c>
      <c r="BK2046">
        <v>20170821</v>
      </c>
      <c r="BL2046">
        <v>4.24</v>
      </c>
      <c r="BM2046" t="s">
        <v>120</v>
      </c>
      <c r="BN2046" t="s">
        <v>120</v>
      </c>
      <c r="BO2046">
        <v>49.23</v>
      </c>
      <c r="BP2046">
        <v>8.1999999999999993</v>
      </c>
      <c r="BQ2046">
        <v>18.78</v>
      </c>
      <c r="BR2046">
        <v>2.4300000000000002</v>
      </c>
      <c r="BS2046">
        <v>56.9</v>
      </c>
      <c r="BT2046">
        <v>12.23</v>
      </c>
      <c r="BU2046">
        <v>1</v>
      </c>
      <c r="BV2046">
        <v>14.02</v>
      </c>
      <c r="BW2046">
        <v>13.43</v>
      </c>
      <c r="BX2046">
        <v>1.34</v>
      </c>
      <c r="BY2046">
        <v>0.1</v>
      </c>
      <c r="BZ2046">
        <v>3.35</v>
      </c>
      <c r="CA2046" t="s">
        <v>120</v>
      </c>
      <c r="CB2046">
        <v>9.31</v>
      </c>
      <c r="CC2046">
        <v>4.8099999999999996</v>
      </c>
      <c r="CD2046">
        <v>3.09</v>
      </c>
      <c r="CE2046">
        <v>0.95</v>
      </c>
      <c r="CF2046">
        <v>0</v>
      </c>
      <c r="CG2046">
        <v>0.95</v>
      </c>
      <c r="CH2046">
        <v>0.87</v>
      </c>
      <c r="CI2046">
        <v>0.83</v>
      </c>
      <c r="CJ2046">
        <v>-0.37</v>
      </c>
      <c r="CK2046">
        <v>0.8</v>
      </c>
      <c r="CL2046">
        <v>4.96</v>
      </c>
      <c r="CM2046">
        <v>-0.12</v>
      </c>
      <c r="CN2046">
        <v>-0.2</v>
      </c>
      <c r="CO2046">
        <v>26821</v>
      </c>
      <c r="CP2046">
        <v>10506</v>
      </c>
      <c r="CQ2046" t="s">
        <v>10035</v>
      </c>
      <c r="CR2046">
        <v>57.46</v>
      </c>
      <c r="CS2046">
        <v>41.63</v>
      </c>
      <c r="CT2046">
        <v>1.85</v>
      </c>
      <c r="CU2046">
        <v>-282.08999999999997</v>
      </c>
      <c r="CV2046">
        <v>7.23</v>
      </c>
      <c r="CW2046">
        <v>0.49</v>
      </c>
      <c r="CX2046" t="s">
        <v>492</v>
      </c>
      <c r="CY2046">
        <v>4.43</v>
      </c>
      <c r="CZ2046">
        <v>0</v>
      </c>
      <c r="DA2046">
        <v>2.2000000000000002</v>
      </c>
      <c r="DB2046">
        <v>1.17</v>
      </c>
      <c r="DC2046">
        <v>-0.03</v>
      </c>
      <c r="DD2046">
        <v>38.15</v>
      </c>
      <c r="DE2046" t="s">
        <v>1194</v>
      </c>
      <c r="DF2046">
        <v>35.67</v>
      </c>
      <c r="DG2046">
        <v>19.78</v>
      </c>
      <c r="DH2046">
        <v>17.18</v>
      </c>
      <c r="DI2046">
        <v>0.11</v>
      </c>
      <c r="DJ2046">
        <v>825</v>
      </c>
      <c r="DK2046">
        <v>300692</v>
      </c>
      <c r="DL2046" t="s">
        <v>120</v>
      </c>
      <c r="DM2046" t="s">
        <v>120</v>
      </c>
      <c r="DN2046" t="s">
        <v>120</v>
      </c>
    </row>
    <row r="2047" spans="1:118">
      <c r="A2047" t="str">
        <f>"300693"</f>
        <v>300693</v>
      </c>
      <c r="B2047" t="s">
        <v>10036</v>
      </c>
      <c r="C2047">
        <v>-8.57</v>
      </c>
      <c r="D2047">
        <v>0.06</v>
      </c>
      <c r="E2047">
        <v>-1.49</v>
      </c>
      <c r="F2047">
        <v>1049</v>
      </c>
      <c r="G2047" t="s">
        <v>7463</v>
      </c>
      <c r="H2047">
        <v>58163.33</v>
      </c>
      <c r="I2047">
        <v>426.5</v>
      </c>
      <c r="J2047" t="s">
        <v>120</v>
      </c>
      <c r="K2047" t="s">
        <v>10037</v>
      </c>
      <c r="L2047">
        <v>11.34</v>
      </c>
      <c r="M2047">
        <v>35</v>
      </c>
      <c r="N2047">
        <v>0.99</v>
      </c>
      <c r="O2047">
        <v>-1.2</v>
      </c>
      <c r="P2047">
        <v>37.82</v>
      </c>
      <c r="Q2047">
        <v>-8.6199999999999992</v>
      </c>
      <c r="R2047">
        <v>34.979999999999997</v>
      </c>
      <c r="S2047">
        <v>37.71</v>
      </c>
      <c r="T2047">
        <v>159491</v>
      </c>
      <c r="U2047">
        <v>35</v>
      </c>
      <c r="V2047">
        <v>38.28</v>
      </c>
      <c r="W2047">
        <v>71.77</v>
      </c>
      <c r="X2047" t="s">
        <v>394</v>
      </c>
      <c r="Y2047" t="s">
        <v>123</v>
      </c>
      <c r="Z2047">
        <v>7.42</v>
      </c>
      <c r="AA2047">
        <v>36.47</v>
      </c>
      <c r="AB2047">
        <v>95010</v>
      </c>
      <c r="AC2047">
        <v>64481</v>
      </c>
      <c r="AD2047">
        <v>1.47</v>
      </c>
      <c r="AE2047">
        <v>269</v>
      </c>
      <c r="AF2047">
        <v>429</v>
      </c>
      <c r="AG2047" t="s">
        <v>120</v>
      </c>
      <c r="AH2047">
        <v>0.09</v>
      </c>
      <c r="AI2047" t="s">
        <v>120</v>
      </c>
      <c r="AJ2047">
        <v>1.41</v>
      </c>
      <c r="AK2047" t="s">
        <v>5950</v>
      </c>
      <c r="AL2047">
        <v>-6.65</v>
      </c>
      <c r="AM2047">
        <v>4185</v>
      </c>
      <c r="AN2047">
        <v>38</v>
      </c>
      <c r="AO2047">
        <v>2.7000000000000001E-3</v>
      </c>
      <c r="AP2047">
        <v>-1</v>
      </c>
      <c r="AQ2047">
        <v>2.41</v>
      </c>
      <c r="AR2047">
        <v>-2.39</v>
      </c>
      <c r="AS2047">
        <v>-26.09</v>
      </c>
      <c r="AT2047">
        <v>95.64</v>
      </c>
      <c r="AU2047">
        <v>91.33</v>
      </c>
      <c r="AV2047">
        <v>3</v>
      </c>
      <c r="AW2047">
        <v>12.68</v>
      </c>
      <c r="AX2047">
        <v>61.26</v>
      </c>
      <c r="AY2047">
        <v>70.319999999999993</v>
      </c>
      <c r="AZ2047">
        <v>74.06</v>
      </c>
      <c r="BA2047">
        <v>1.25</v>
      </c>
      <c r="BB2047" t="s">
        <v>143</v>
      </c>
      <c r="BF2047">
        <v>-4.7300000000000004</v>
      </c>
      <c r="BG2047">
        <v>-7.19</v>
      </c>
      <c r="BH2047">
        <v>-7.46</v>
      </c>
      <c r="BI2047">
        <v>0.06</v>
      </c>
      <c r="BJ2047">
        <v>20210909</v>
      </c>
      <c r="BK2047">
        <v>20170822</v>
      </c>
      <c r="BL2047">
        <v>2.0499999999999998</v>
      </c>
      <c r="BM2047" t="s">
        <v>120</v>
      </c>
      <c r="BN2047" t="s">
        <v>120</v>
      </c>
      <c r="BO2047">
        <v>13.8</v>
      </c>
      <c r="BP2047">
        <v>34.99</v>
      </c>
      <c r="BQ2047">
        <v>7.84</v>
      </c>
      <c r="BR2047">
        <v>0</v>
      </c>
      <c r="BS2047">
        <v>43.11</v>
      </c>
      <c r="BT2047">
        <v>10.47</v>
      </c>
      <c r="BU2047">
        <v>1.64</v>
      </c>
      <c r="BV2047">
        <v>0.86</v>
      </c>
      <c r="BW2047">
        <v>5.91</v>
      </c>
      <c r="BX2047">
        <v>2.67</v>
      </c>
      <c r="BY2047">
        <v>2.31</v>
      </c>
      <c r="BZ2047">
        <v>3.21</v>
      </c>
      <c r="CA2047" t="s">
        <v>120</v>
      </c>
      <c r="CB2047">
        <v>2.4700000000000002</v>
      </c>
      <c r="CC2047">
        <v>3.89</v>
      </c>
      <c r="CD2047">
        <v>2.0699999999999998</v>
      </c>
      <c r="CE2047">
        <v>0.56000000000000005</v>
      </c>
      <c r="CF2047">
        <v>-0.01</v>
      </c>
      <c r="CG2047">
        <v>0.56000000000000005</v>
      </c>
      <c r="CH2047">
        <v>0.5</v>
      </c>
      <c r="CI2047">
        <v>0.5</v>
      </c>
      <c r="CJ2047">
        <v>-3.28</v>
      </c>
      <c r="CK2047">
        <v>0.44</v>
      </c>
      <c r="CL2047">
        <v>2.93</v>
      </c>
      <c r="CM2047">
        <v>0.43</v>
      </c>
      <c r="CN2047">
        <v>0.57999999999999996</v>
      </c>
      <c r="CO2047">
        <v>42262</v>
      </c>
      <c r="CP2047">
        <v>2975</v>
      </c>
      <c r="CQ2047" t="s">
        <v>10004</v>
      </c>
      <c r="CR2047">
        <v>12.72</v>
      </c>
      <c r="CS2047">
        <v>36.299999999999997</v>
      </c>
      <c r="CT2047">
        <v>9.16</v>
      </c>
      <c r="CU2047">
        <v>166.55</v>
      </c>
      <c r="CV2047">
        <v>18.45</v>
      </c>
      <c r="CW2047">
        <v>0.28000000000000003</v>
      </c>
      <c r="CX2047" t="s">
        <v>4588</v>
      </c>
      <c r="CY2047">
        <v>3.82</v>
      </c>
      <c r="CZ2047">
        <v>0</v>
      </c>
      <c r="DA2047">
        <v>1.2</v>
      </c>
      <c r="DB2047">
        <v>1.43</v>
      </c>
      <c r="DC2047">
        <v>0.21</v>
      </c>
      <c r="DD2047">
        <v>56.86</v>
      </c>
      <c r="DE2047" t="s">
        <v>3384</v>
      </c>
      <c r="DF2047">
        <v>46.98</v>
      </c>
      <c r="DG2047">
        <v>14.33</v>
      </c>
      <c r="DH2047">
        <v>12.85</v>
      </c>
      <c r="DI2047">
        <v>0.47</v>
      </c>
      <c r="DJ2047">
        <v>835</v>
      </c>
      <c r="DK2047">
        <v>300693</v>
      </c>
      <c r="DL2047" t="s">
        <v>120</v>
      </c>
      <c r="DM2047" t="s">
        <v>120</v>
      </c>
      <c r="DN2047" t="s">
        <v>120</v>
      </c>
    </row>
    <row r="2048" spans="1:118">
      <c r="A2048" t="str">
        <f>"300694"</f>
        <v>300694</v>
      </c>
      <c r="B2048" t="s">
        <v>10038</v>
      </c>
      <c r="C2048">
        <v>-1.29</v>
      </c>
      <c r="D2048">
        <v>-0.55000000000000004</v>
      </c>
      <c r="E2048">
        <v>0.55000000000000004</v>
      </c>
      <c r="F2048">
        <v>234</v>
      </c>
      <c r="G2048" t="s">
        <v>4132</v>
      </c>
      <c r="H2048">
        <v>3187.6</v>
      </c>
      <c r="I2048">
        <v>1.2</v>
      </c>
      <c r="J2048" t="s">
        <v>120</v>
      </c>
      <c r="K2048" t="s">
        <v>2355</v>
      </c>
      <c r="L2048">
        <v>2.25</v>
      </c>
      <c r="M2048">
        <v>10.72</v>
      </c>
      <c r="N2048">
        <v>1.24</v>
      </c>
      <c r="O2048">
        <v>1.29</v>
      </c>
      <c r="P2048">
        <v>11</v>
      </c>
      <c r="Q2048">
        <v>-1.84</v>
      </c>
      <c r="R2048">
        <v>10.66</v>
      </c>
      <c r="S2048">
        <v>10.92</v>
      </c>
      <c r="T2048">
        <v>29468</v>
      </c>
      <c r="U2048">
        <v>10.73</v>
      </c>
      <c r="V2048">
        <v>10.86</v>
      </c>
      <c r="W2048">
        <v>71.81</v>
      </c>
      <c r="X2048" t="s">
        <v>289</v>
      </c>
      <c r="Y2048" t="s">
        <v>319</v>
      </c>
      <c r="Z2048">
        <v>3.13</v>
      </c>
      <c r="AA2048">
        <v>10.82</v>
      </c>
      <c r="AB2048">
        <v>16970</v>
      </c>
      <c r="AC2048">
        <v>12498</v>
      </c>
      <c r="AD2048">
        <v>1.36</v>
      </c>
      <c r="AE2048">
        <v>24</v>
      </c>
      <c r="AF2048">
        <v>128</v>
      </c>
      <c r="AG2048" t="s">
        <v>120</v>
      </c>
      <c r="AH2048">
        <v>0</v>
      </c>
      <c r="AI2048" t="s">
        <v>120</v>
      </c>
      <c r="AJ2048">
        <v>1.31</v>
      </c>
      <c r="AK2048" t="s">
        <v>10039</v>
      </c>
      <c r="AL2048">
        <v>0.62</v>
      </c>
      <c r="AM2048">
        <v>1120</v>
      </c>
      <c r="AN2048">
        <v>26</v>
      </c>
      <c r="AO2048">
        <v>2E-3</v>
      </c>
      <c r="AP2048">
        <v>-2</v>
      </c>
      <c r="AQ2048">
        <v>-0.91</v>
      </c>
      <c r="AR2048">
        <v>-1.2</v>
      </c>
      <c r="AS2048">
        <v>-13.55</v>
      </c>
      <c r="AT2048">
        <v>-4.1100000000000003</v>
      </c>
      <c r="AU2048">
        <v>-6.6</v>
      </c>
      <c r="AV2048">
        <v>0</v>
      </c>
      <c r="AW2048">
        <v>2.57</v>
      </c>
      <c r="AX2048">
        <v>53.27</v>
      </c>
      <c r="AY2048">
        <v>102.05</v>
      </c>
      <c r="AZ2048">
        <v>51.04</v>
      </c>
      <c r="BA2048">
        <v>0.72</v>
      </c>
      <c r="BB2048" t="s">
        <v>143</v>
      </c>
      <c r="BF2048">
        <v>-0.39</v>
      </c>
      <c r="BG2048">
        <v>-1.83</v>
      </c>
      <c r="BH2048">
        <v>-2.5499999999999998</v>
      </c>
      <c r="BI2048">
        <v>0.56000000000000005</v>
      </c>
      <c r="BJ2048">
        <v>20210914</v>
      </c>
      <c r="BK2048">
        <v>20181015</v>
      </c>
      <c r="BL2048">
        <v>2.15</v>
      </c>
      <c r="BM2048" t="s">
        <v>120</v>
      </c>
      <c r="BN2048" t="s">
        <v>120</v>
      </c>
      <c r="BO2048">
        <v>19.95</v>
      </c>
      <c r="BP2048">
        <v>10.72</v>
      </c>
      <c r="BQ2048">
        <v>12.39</v>
      </c>
      <c r="BR2048" t="s">
        <v>120</v>
      </c>
      <c r="BS2048">
        <v>37.909999999999997</v>
      </c>
      <c r="BT2048">
        <v>11.26</v>
      </c>
      <c r="BU2048">
        <v>6.45</v>
      </c>
      <c r="BV2048">
        <v>0.46</v>
      </c>
      <c r="BW2048">
        <v>7.23</v>
      </c>
      <c r="BX2048">
        <v>1.03</v>
      </c>
      <c r="BY2048">
        <v>4.95</v>
      </c>
      <c r="BZ2048">
        <v>3.96</v>
      </c>
      <c r="CA2048" t="s">
        <v>120</v>
      </c>
      <c r="CB2048">
        <v>6.62</v>
      </c>
      <c r="CC2048">
        <v>6.81</v>
      </c>
      <c r="CD2048">
        <v>5.67</v>
      </c>
      <c r="CE2048">
        <v>0.19</v>
      </c>
      <c r="CF2048">
        <v>-0.02</v>
      </c>
      <c r="CG2048">
        <v>0.19</v>
      </c>
      <c r="CH2048">
        <v>0.16</v>
      </c>
      <c r="CI2048">
        <v>0.16</v>
      </c>
      <c r="CJ2048">
        <v>-0.14000000000000001</v>
      </c>
      <c r="CK2048">
        <v>0.15</v>
      </c>
      <c r="CL2048">
        <v>3.28</v>
      </c>
      <c r="CM2048">
        <v>0.43</v>
      </c>
      <c r="CN2048">
        <v>0.16</v>
      </c>
      <c r="CO2048">
        <v>16422</v>
      </c>
      <c r="CP2048">
        <v>6984</v>
      </c>
      <c r="CQ2048" t="s">
        <v>410</v>
      </c>
      <c r="CR2048">
        <v>-58.76</v>
      </c>
      <c r="CS2048">
        <v>55.09</v>
      </c>
      <c r="CT2048">
        <v>1.86</v>
      </c>
      <c r="CU2048">
        <v>54.26</v>
      </c>
      <c r="CV2048">
        <v>3.39</v>
      </c>
      <c r="CW2048">
        <v>0.3</v>
      </c>
      <c r="CX2048" t="s">
        <v>679</v>
      </c>
      <c r="CY2048">
        <v>5.75</v>
      </c>
      <c r="CZ2048">
        <v>0</v>
      </c>
      <c r="DA2048">
        <v>3.07</v>
      </c>
      <c r="DB2048">
        <v>1.52</v>
      </c>
      <c r="DC2048">
        <v>0.2</v>
      </c>
      <c r="DD2048">
        <v>62.09</v>
      </c>
      <c r="DE2048" t="s">
        <v>7565</v>
      </c>
      <c r="DF2048">
        <v>16.78</v>
      </c>
      <c r="DG2048">
        <v>2.77</v>
      </c>
      <c r="DH2048">
        <v>2.36</v>
      </c>
      <c r="DI2048">
        <v>0.28000000000000003</v>
      </c>
      <c r="DJ2048">
        <v>2169</v>
      </c>
      <c r="DK2048">
        <v>300694</v>
      </c>
      <c r="DL2048" t="s">
        <v>120</v>
      </c>
      <c r="DM2048" t="s">
        <v>120</v>
      </c>
      <c r="DN2048" t="s">
        <v>120</v>
      </c>
    </row>
    <row r="2049" spans="1:118">
      <c r="A2049" t="str">
        <f>"300695"</f>
        <v>300695</v>
      </c>
      <c r="B2049" t="s">
        <v>10040</v>
      </c>
      <c r="C2049">
        <v>1.1599999999999999</v>
      </c>
      <c r="D2049">
        <v>0.09</v>
      </c>
      <c r="E2049">
        <v>-0.51</v>
      </c>
      <c r="F2049">
        <v>119</v>
      </c>
      <c r="G2049" t="s">
        <v>10041</v>
      </c>
      <c r="H2049">
        <v>2395.5300000000002</v>
      </c>
      <c r="I2049">
        <v>9.94</v>
      </c>
      <c r="J2049" t="s">
        <v>120</v>
      </c>
      <c r="K2049" t="s">
        <v>10042</v>
      </c>
      <c r="L2049">
        <v>0.68</v>
      </c>
      <c r="M2049">
        <v>53.2</v>
      </c>
      <c r="N2049">
        <v>0.45</v>
      </c>
      <c r="O2049">
        <v>1.65</v>
      </c>
      <c r="P2049">
        <v>53.46</v>
      </c>
      <c r="Q2049">
        <v>-0.51</v>
      </c>
      <c r="R2049">
        <v>52.32</v>
      </c>
      <c r="S2049">
        <v>52.32</v>
      </c>
      <c r="T2049">
        <v>4532</v>
      </c>
      <c r="U2049">
        <v>53.27</v>
      </c>
      <c r="V2049">
        <v>52.59</v>
      </c>
      <c r="W2049">
        <v>31.71</v>
      </c>
      <c r="X2049" t="s">
        <v>289</v>
      </c>
      <c r="Y2049" t="s">
        <v>585</v>
      </c>
      <c r="Z2049">
        <v>2.17</v>
      </c>
      <c r="AA2049">
        <v>52.86</v>
      </c>
      <c r="AB2049">
        <v>2624</v>
      </c>
      <c r="AC2049">
        <v>1908</v>
      </c>
      <c r="AD2049">
        <v>1.38</v>
      </c>
      <c r="AE2049">
        <v>11</v>
      </c>
      <c r="AF2049">
        <v>1</v>
      </c>
      <c r="AG2049" t="s">
        <v>120</v>
      </c>
      <c r="AH2049">
        <v>0.01</v>
      </c>
      <c r="AI2049" t="s">
        <v>120</v>
      </c>
      <c r="AJ2049">
        <v>0.67</v>
      </c>
      <c r="AK2049" t="s">
        <v>10042</v>
      </c>
      <c r="AL2049">
        <v>3.07</v>
      </c>
      <c r="AM2049">
        <v>759</v>
      </c>
      <c r="AN2049">
        <v>6</v>
      </c>
      <c r="AO2049">
        <v>8.9999999999999998E-4</v>
      </c>
      <c r="AP2049">
        <v>1</v>
      </c>
      <c r="AQ2049">
        <v>-1.68</v>
      </c>
      <c r="AR2049">
        <v>-4.75</v>
      </c>
      <c r="AS2049">
        <v>7.98</v>
      </c>
      <c r="AT2049">
        <v>1.92</v>
      </c>
      <c r="AU2049">
        <v>-5.69</v>
      </c>
      <c r="AV2049">
        <v>0</v>
      </c>
      <c r="AW2049">
        <v>2.72</v>
      </c>
      <c r="AX2049">
        <v>25.01</v>
      </c>
      <c r="AY2049">
        <v>27.38</v>
      </c>
      <c r="AZ2049">
        <v>21.94</v>
      </c>
      <c r="BA2049">
        <v>0.39</v>
      </c>
      <c r="BB2049" t="s">
        <v>125</v>
      </c>
      <c r="BF2049">
        <v>0.51</v>
      </c>
      <c r="BG2049">
        <v>1.68</v>
      </c>
      <c r="BH2049">
        <v>-0.49</v>
      </c>
      <c r="BI2049">
        <v>1.68</v>
      </c>
      <c r="BJ2049">
        <v>20210830</v>
      </c>
      <c r="BK2049">
        <v>20170908</v>
      </c>
      <c r="BL2049">
        <v>0.67</v>
      </c>
      <c r="BM2049" t="s">
        <v>120</v>
      </c>
      <c r="BN2049" t="s">
        <v>120</v>
      </c>
      <c r="BO2049">
        <v>23.88</v>
      </c>
      <c r="BP2049">
        <v>53.2</v>
      </c>
      <c r="BQ2049">
        <v>18.899999999999999</v>
      </c>
      <c r="BR2049">
        <v>0.45</v>
      </c>
      <c r="BS2049">
        <v>18.97</v>
      </c>
      <c r="BT2049">
        <v>16.75</v>
      </c>
      <c r="BU2049">
        <v>2.27</v>
      </c>
      <c r="BV2049">
        <v>0.61</v>
      </c>
      <c r="BW2049">
        <v>4.03</v>
      </c>
      <c r="BX2049">
        <v>12.31</v>
      </c>
      <c r="BY2049">
        <v>1.59</v>
      </c>
      <c r="BZ2049">
        <v>2.59</v>
      </c>
      <c r="CA2049" t="s">
        <v>120</v>
      </c>
      <c r="CB2049">
        <v>9.99</v>
      </c>
      <c r="CC2049">
        <v>3.22</v>
      </c>
      <c r="CD2049">
        <v>2.25</v>
      </c>
      <c r="CE2049">
        <v>0.61</v>
      </c>
      <c r="CF2049">
        <v>0</v>
      </c>
      <c r="CG2049">
        <v>0.61</v>
      </c>
      <c r="CH2049">
        <v>0.52</v>
      </c>
      <c r="CI2049">
        <v>0.56000000000000005</v>
      </c>
      <c r="CJ2049">
        <v>0.61</v>
      </c>
      <c r="CK2049">
        <v>0.49</v>
      </c>
      <c r="CL2049">
        <v>6.8</v>
      </c>
      <c r="CM2049">
        <v>0.39</v>
      </c>
      <c r="CN2049">
        <v>0.06</v>
      </c>
      <c r="CO2049">
        <v>8991</v>
      </c>
      <c r="CP2049">
        <v>1855</v>
      </c>
      <c r="CQ2049" t="s">
        <v>6617</v>
      </c>
      <c r="CR2049">
        <v>-36.24</v>
      </c>
      <c r="CS2049">
        <v>26.41</v>
      </c>
      <c r="CT2049">
        <v>1.88</v>
      </c>
      <c r="CU2049">
        <v>91.93</v>
      </c>
      <c r="CV2049">
        <v>11.03</v>
      </c>
      <c r="CW2049">
        <v>0</v>
      </c>
      <c r="CX2049" t="s">
        <v>1362</v>
      </c>
      <c r="CY2049">
        <v>28.34</v>
      </c>
      <c r="CZ2049">
        <v>0</v>
      </c>
      <c r="DA2049">
        <v>14.98</v>
      </c>
      <c r="DB2049">
        <v>10.199999999999999</v>
      </c>
      <c r="DC2049">
        <v>0.57999999999999996</v>
      </c>
      <c r="DD2049">
        <v>79.13</v>
      </c>
      <c r="DE2049" t="s">
        <v>9372</v>
      </c>
      <c r="DF2049">
        <v>30.05</v>
      </c>
      <c r="DG2049">
        <v>18.95</v>
      </c>
      <c r="DH2049">
        <v>17.39</v>
      </c>
      <c r="DI2049">
        <v>0.2</v>
      </c>
      <c r="DJ2049">
        <v>573</v>
      </c>
      <c r="DK2049">
        <v>300695</v>
      </c>
      <c r="DL2049" t="s">
        <v>120</v>
      </c>
      <c r="DM2049" t="s">
        <v>120</v>
      </c>
      <c r="DN2049" t="s">
        <v>120</v>
      </c>
    </row>
    <row r="2050" spans="1:118">
      <c r="A2050" t="str">
        <f>"300696"</f>
        <v>300696</v>
      </c>
      <c r="B2050" t="s">
        <v>10043</v>
      </c>
      <c r="C2050">
        <v>-3.58</v>
      </c>
      <c r="D2050">
        <v>0.5</v>
      </c>
      <c r="E2050">
        <v>1.1299999999999999</v>
      </c>
      <c r="F2050">
        <v>270</v>
      </c>
      <c r="G2050" t="s">
        <v>9602</v>
      </c>
      <c r="H2050">
        <v>12747.41</v>
      </c>
      <c r="I2050">
        <v>141.76</v>
      </c>
      <c r="J2050" t="s">
        <v>120</v>
      </c>
      <c r="K2050" t="s">
        <v>10044</v>
      </c>
      <c r="L2050">
        <v>2.06</v>
      </c>
      <c r="M2050">
        <v>42.5</v>
      </c>
      <c r="N2050">
        <v>0.61</v>
      </c>
      <c r="O2050">
        <v>1.1299999999999999</v>
      </c>
      <c r="P2050">
        <v>44.58</v>
      </c>
      <c r="Q2050">
        <v>-4.26</v>
      </c>
      <c r="R2050">
        <v>42.2</v>
      </c>
      <c r="S2050">
        <v>44.58</v>
      </c>
      <c r="T2050">
        <v>29434</v>
      </c>
      <c r="U2050">
        <v>42.5</v>
      </c>
      <c r="V2050">
        <v>44.08</v>
      </c>
      <c r="W2050">
        <v>48.29</v>
      </c>
      <c r="X2050" t="s">
        <v>1621</v>
      </c>
      <c r="Y2050" t="s">
        <v>578</v>
      </c>
      <c r="Z2050">
        <v>5.4</v>
      </c>
      <c r="AA2050">
        <v>43.31</v>
      </c>
      <c r="AB2050">
        <v>17490</v>
      </c>
      <c r="AC2050">
        <v>11944</v>
      </c>
      <c r="AD2050">
        <v>1.46</v>
      </c>
      <c r="AE2050">
        <v>10</v>
      </c>
      <c r="AF2050">
        <v>9</v>
      </c>
      <c r="AG2050" t="s">
        <v>120</v>
      </c>
      <c r="AH2050">
        <v>0.13</v>
      </c>
      <c r="AI2050" t="s">
        <v>120</v>
      </c>
      <c r="AJ2050">
        <v>1.43</v>
      </c>
      <c r="AK2050" t="s">
        <v>10045</v>
      </c>
      <c r="AL2050">
        <v>-1.67</v>
      </c>
      <c r="AM2050">
        <v>2407</v>
      </c>
      <c r="AN2050">
        <v>12</v>
      </c>
      <c r="AO2050">
        <v>8.9999999999999998E-4</v>
      </c>
      <c r="AP2050">
        <v>-1</v>
      </c>
      <c r="AQ2050">
        <v>0.46</v>
      </c>
      <c r="AR2050">
        <v>-5.55</v>
      </c>
      <c r="AS2050">
        <v>-19.52</v>
      </c>
      <c r="AT2050">
        <v>-0.35</v>
      </c>
      <c r="AU2050">
        <v>1.32</v>
      </c>
      <c r="AV2050">
        <v>0</v>
      </c>
      <c r="AW2050">
        <v>11.65</v>
      </c>
      <c r="AX2050">
        <v>10.34</v>
      </c>
      <c r="AY2050">
        <v>57.39</v>
      </c>
      <c r="AZ2050">
        <v>78.739999999999995</v>
      </c>
      <c r="BA2050">
        <v>0.88</v>
      </c>
      <c r="BB2050" t="s">
        <v>134</v>
      </c>
      <c r="BF2050">
        <v>-1.75</v>
      </c>
      <c r="BG2050">
        <v>-4.67</v>
      </c>
      <c r="BH2050">
        <v>-4.67</v>
      </c>
      <c r="BI2050">
        <v>0.71</v>
      </c>
      <c r="BJ2050">
        <v>20210824</v>
      </c>
      <c r="BK2050">
        <v>20170822</v>
      </c>
      <c r="BL2050">
        <v>2.44</v>
      </c>
      <c r="BM2050" t="s">
        <v>120</v>
      </c>
      <c r="BN2050" t="s">
        <v>120</v>
      </c>
      <c r="BO2050">
        <v>11.76</v>
      </c>
      <c r="BP2050">
        <v>42.49</v>
      </c>
      <c r="BQ2050">
        <v>10.59</v>
      </c>
      <c r="BR2050" t="s">
        <v>120</v>
      </c>
      <c r="BS2050">
        <v>9.9700000000000006</v>
      </c>
      <c r="BT2050">
        <v>7.85</v>
      </c>
      <c r="BU2050">
        <v>2.44</v>
      </c>
      <c r="BV2050">
        <v>0.31</v>
      </c>
      <c r="BW2050">
        <v>0.74</v>
      </c>
      <c r="BX2050">
        <v>2.04</v>
      </c>
      <c r="BY2050">
        <v>1.65</v>
      </c>
      <c r="BZ2050">
        <v>2.48</v>
      </c>
      <c r="CA2050" t="s">
        <v>120</v>
      </c>
      <c r="CB2050">
        <v>3.77</v>
      </c>
      <c r="CC2050">
        <v>2.2599999999999998</v>
      </c>
      <c r="CD2050">
        <v>0.83</v>
      </c>
      <c r="CE2050">
        <v>1.26</v>
      </c>
      <c r="CF2050">
        <v>0</v>
      </c>
      <c r="CG2050">
        <v>1.26</v>
      </c>
      <c r="CH2050">
        <v>1.08</v>
      </c>
      <c r="CI2050">
        <v>1.08</v>
      </c>
      <c r="CJ2050">
        <v>-1.58</v>
      </c>
      <c r="CK2050">
        <v>1.06</v>
      </c>
      <c r="CL2050">
        <v>4.01</v>
      </c>
      <c r="CM2050">
        <v>0.36</v>
      </c>
      <c r="CN2050">
        <v>0.55000000000000004</v>
      </c>
      <c r="CO2050">
        <v>15213</v>
      </c>
      <c r="CP2050">
        <v>1661</v>
      </c>
      <c r="CQ2050" t="s">
        <v>1272</v>
      </c>
      <c r="CR2050">
        <v>89.85</v>
      </c>
      <c r="CS2050">
        <v>100.17</v>
      </c>
      <c r="CT2050">
        <v>9.33</v>
      </c>
      <c r="CU2050">
        <v>284.67</v>
      </c>
      <c r="CV2050">
        <v>45.95</v>
      </c>
      <c r="CW2050">
        <v>0.2</v>
      </c>
      <c r="CX2050" t="s">
        <v>1631</v>
      </c>
      <c r="CY2050">
        <v>4.55</v>
      </c>
      <c r="CZ2050">
        <v>4.55</v>
      </c>
      <c r="DA2050">
        <v>1.54</v>
      </c>
      <c r="DB2050">
        <v>1.64</v>
      </c>
      <c r="DC2050">
        <v>0.15</v>
      </c>
      <c r="DD2050">
        <v>90.03</v>
      </c>
      <c r="DE2050" t="s">
        <v>6465</v>
      </c>
      <c r="DF2050">
        <v>63.26</v>
      </c>
      <c r="DG2050">
        <v>55.88</v>
      </c>
      <c r="DH2050">
        <v>47.57</v>
      </c>
      <c r="DI2050">
        <v>7.0000000000000007E-2</v>
      </c>
      <c r="DJ2050">
        <v>639</v>
      </c>
      <c r="DK2050">
        <v>300696</v>
      </c>
      <c r="DL2050" t="s">
        <v>120</v>
      </c>
      <c r="DM2050" t="s">
        <v>120</v>
      </c>
      <c r="DN2050" t="s">
        <v>120</v>
      </c>
    </row>
    <row r="2051" spans="1:118">
      <c r="A2051" t="str">
        <f>"300697"</f>
        <v>300697</v>
      </c>
      <c r="B2051" t="s">
        <v>10046</v>
      </c>
      <c r="C2051">
        <v>2</v>
      </c>
      <c r="D2051">
        <v>7.0000000000000007E-2</v>
      </c>
      <c r="E2051">
        <v>0.53</v>
      </c>
      <c r="F2051">
        <v>3196</v>
      </c>
      <c r="G2051" t="s">
        <v>6347</v>
      </c>
      <c r="H2051">
        <v>20374.02</v>
      </c>
      <c r="I2051">
        <v>34</v>
      </c>
      <c r="J2051" t="s">
        <v>120</v>
      </c>
      <c r="K2051" t="s">
        <v>8720</v>
      </c>
      <c r="L2051">
        <v>6.06</v>
      </c>
      <c r="M2051">
        <v>15.33</v>
      </c>
      <c r="N2051">
        <v>0.71</v>
      </c>
      <c r="O2051">
        <v>3.33</v>
      </c>
      <c r="P2051">
        <v>15.53</v>
      </c>
      <c r="Q2051">
        <v>-0.73</v>
      </c>
      <c r="R2051">
        <v>14.92</v>
      </c>
      <c r="S2051">
        <v>15.11</v>
      </c>
      <c r="T2051">
        <v>133593</v>
      </c>
      <c r="U2051">
        <v>15.34</v>
      </c>
      <c r="V2051">
        <v>15.03</v>
      </c>
      <c r="W2051">
        <v>43.85</v>
      </c>
      <c r="X2051" t="s">
        <v>1398</v>
      </c>
      <c r="Y2051" t="s">
        <v>319</v>
      </c>
      <c r="Z2051">
        <v>4.0599999999999996</v>
      </c>
      <c r="AA2051">
        <v>15.25</v>
      </c>
      <c r="AB2051">
        <v>72784</v>
      </c>
      <c r="AC2051">
        <v>60809</v>
      </c>
      <c r="AD2051">
        <v>1.2</v>
      </c>
      <c r="AE2051">
        <v>755</v>
      </c>
      <c r="AF2051">
        <v>228</v>
      </c>
      <c r="AG2051" t="s">
        <v>120</v>
      </c>
      <c r="AH2051">
        <v>0.03</v>
      </c>
      <c r="AI2051" t="s">
        <v>120</v>
      </c>
      <c r="AJ2051">
        <v>2.2000000000000002</v>
      </c>
      <c r="AK2051" t="s">
        <v>10047</v>
      </c>
      <c r="AL2051">
        <v>3.91</v>
      </c>
      <c r="AM2051">
        <v>3167</v>
      </c>
      <c r="AN2051">
        <v>42</v>
      </c>
      <c r="AO2051">
        <v>1.9E-3</v>
      </c>
      <c r="AP2051">
        <v>1</v>
      </c>
      <c r="AQ2051">
        <v>-1.7</v>
      </c>
      <c r="AR2051">
        <v>-6.41</v>
      </c>
      <c r="AS2051">
        <v>8.26</v>
      </c>
      <c r="AT2051">
        <v>20.8</v>
      </c>
      <c r="AU2051">
        <v>70.92</v>
      </c>
      <c r="AV2051">
        <v>4</v>
      </c>
      <c r="AW2051">
        <v>16.059999999999999</v>
      </c>
      <c r="AX2051">
        <v>25</v>
      </c>
      <c r="AY2051">
        <v>40.299999999999997</v>
      </c>
      <c r="AZ2051">
        <v>43.29</v>
      </c>
      <c r="BA2051">
        <v>0.31</v>
      </c>
      <c r="BB2051" t="s">
        <v>240</v>
      </c>
      <c r="BF2051">
        <v>1.47</v>
      </c>
      <c r="BG2051">
        <v>1.46</v>
      </c>
      <c r="BH2051">
        <v>-1.29</v>
      </c>
      <c r="BI2051">
        <v>2.75</v>
      </c>
      <c r="BJ2051">
        <v>20210821</v>
      </c>
      <c r="BK2051">
        <v>20170907</v>
      </c>
      <c r="BL2051">
        <v>3.33</v>
      </c>
      <c r="BM2051" t="s">
        <v>120</v>
      </c>
      <c r="BN2051" t="s">
        <v>120</v>
      </c>
      <c r="BO2051">
        <v>13.98</v>
      </c>
      <c r="BP2051">
        <v>15.33</v>
      </c>
      <c r="BQ2051">
        <v>8.6999999999999993</v>
      </c>
      <c r="BR2051">
        <v>0.02</v>
      </c>
      <c r="BS2051">
        <v>37.67</v>
      </c>
      <c r="BT2051">
        <v>11.44</v>
      </c>
      <c r="BU2051">
        <v>1.87</v>
      </c>
      <c r="BV2051">
        <v>0.23</v>
      </c>
      <c r="BW2051">
        <v>5.2</v>
      </c>
      <c r="BX2051">
        <v>1.68</v>
      </c>
      <c r="BY2051">
        <v>3.27</v>
      </c>
      <c r="BZ2051">
        <v>4.92</v>
      </c>
      <c r="CA2051" t="s">
        <v>120</v>
      </c>
      <c r="CB2051">
        <v>1.92</v>
      </c>
      <c r="CC2051">
        <v>9.9499999999999993</v>
      </c>
      <c r="CD2051">
        <v>8.6300000000000008</v>
      </c>
      <c r="CE2051">
        <v>0.72</v>
      </c>
      <c r="CF2051">
        <v>0.01</v>
      </c>
      <c r="CG2051">
        <v>0.72</v>
      </c>
      <c r="CH2051">
        <v>0.57999999999999996</v>
      </c>
      <c r="CI2051">
        <v>0.57999999999999996</v>
      </c>
      <c r="CJ2051">
        <v>0.3</v>
      </c>
      <c r="CK2051">
        <v>0.57999999999999996</v>
      </c>
      <c r="CL2051">
        <v>3.13</v>
      </c>
      <c r="CM2051">
        <v>-1.1000000000000001</v>
      </c>
      <c r="CN2051">
        <v>-0.75</v>
      </c>
      <c r="CO2051">
        <v>22882</v>
      </c>
      <c r="CP2051">
        <v>3636</v>
      </c>
      <c r="CQ2051" t="s">
        <v>4176</v>
      </c>
      <c r="CR2051">
        <v>17.309999999999999</v>
      </c>
      <c r="CS2051">
        <v>35.51</v>
      </c>
      <c r="CT2051">
        <v>5.87</v>
      </c>
      <c r="CU2051">
        <v>-46.45</v>
      </c>
      <c r="CV2051">
        <v>5.13</v>
      </c>
      <c r="CW2051">
        <v>1.66</v>
      </c>
      <c r="CX2051" t="s">
        <v>1193</v>
      </c>
      <c r="CY2051">
        <v>2.61</v>
      </c>
      <c r="CZ2051">
        <v>0</v>
      </c>
      <c r="DA2051">
        <v>0.57999999999999996</v>
      </c>
      <c r="DB2051">
        <v>0.94</v>
      </c>
      <c r="DC2051">
        <v>-0.33</v>
      </c>
      <c r="DD2051">
        <v>62.19</v>
      </c>
      <c r="DE2051" t="s">
        <v>1187</v>
      </c>
      <c r="DF2051">
        <v>13.28</v>
      </c>
      <c r="DG2051">
        <v>7.26</v>
      </c>
      <c r="DH2051">
        <v>5.84</v>
      </c>
      <c r="DI2051">
        <v>0.14000000000000001</v>
      </c>
      <c r="DJ2051">
        <v>596</v>
      </c>
      <c r="DK2051">
        <v>300697</v>
      </c>
      <c r="DL2051">
        <v>20210825</v>
      </c>
      <c r="DM2051">
        <v>15.1</v>
      </c>
      <c r="DN2051">
        <v>1.52</v>
      </c>
    </row>
    <row r="2052" spans="1:118">
      <c r="A2052" t="str">
        <f>"300698"</f>
        <v>300698</v>
      </c>
      <c r="B2052" t="s">
        <v>10048</v>
      </c>
      <c r="C2052">
        <v>-7.14</v>
      </c>
      <c r="D2052">
        <v>0.14000000000000001</v>
      </c>
      <c r="E2052">
        <v>-2.5099999999999998</v>
      </c>
      <c r="F2052">
        <v>1442</v>
      </c>
      <c r="G2052" t="s">
        <v>10049</v>
      </c>
      <c r="H2052">
        <v>24546.12</v>
      </c>
      <c r="I2052">
        <v>381.38</v>
      </c>
      <c r="J2052" t="s">
        <v>120</v>
      </c>
      <c r="K2052" t="s">
        <v>10050</v>
      </c>
      <c r="L2052">
        <v>10.91</v>
      </c>
      <c r="M2052">
        <v>22.23</v>
      </c>
      <c r="N2052">
        <v>1.49</v>
      </c>
      <c r="O2052">
        <v>-1.25</v>
      </c>
      <c r="P2052">
        <v>23.64</v>
      </c>
      <c r="Q2052">
        <v>-8.65</v>
      </c>
      <c r="R2052">
        <v>21.87</v>
      </c>
      <c r="S2052">
        <v>23.34</v>
      </c>
      <c r="T2052">
        <v>108603</v>
      </c>
      <c r="U2052">
        <v>22.27</v>
      </c>
      <c r="V2052">
        <v>23.94</v>
      </c>
      <c r="W2052">
        <v>269.22000000000003</v>
      </c>
      <c r="X2052" t="s">
        <v>462</v>
      </c>
      <c r="Y2052" t="s">
        <v>585</v>
      </c>
      <c r="Z2052">
        <v>7.39</v>
      </c>
      <c r="AA2052">
        <v>22.6</v>
      </c>
      <c r="AB2052">
        <v>59026</v>
      </c>
      <c r="AC2052">
        <v>49577</v>
      </c>
      <c r="AD2052">
        <v>1.19</v>
      </c>
      <c r="AE2052">
        <v>61</v>
      </c>
      <c r="AF2052">
        <v>2</v>
      </c>
      <c r="AG2052" t="s">
        <v>120</v>
      </c>
      <c r="AH2052">
        <v>0.31</v>
      </c>
      <c r="AI2052" t="s">
        <v>120</v>
      </c>
      <c r="AJ2052">
        <v>1</v>
      </c>
      <c r="AK2052" t="s">
        <v>8544</v>
      </c>
      <c r="AL2052">
        <v>-5.23</v>
      </c>
      <c r="AM2052">
        <v>3476</v>
      </c>
      <c r="AN2052">
        <v>31</v>
      </c>
      <c r="AO2052">
        <v>3.0999999999999999E-3</v>
      </c>
      <c r="AP2052">
        <v>-1</v>
      </c>
      <c r="AQ2052">
        <v>4.3600000000000003</v>
      </c>
      <c r="AR2052">
        <v>16.27</v>
      </c>
      <c r="AS2052">
        <v>21.14</v>
      </c>
      <c r="AT2052">
        <v>11.21</v>
      </c>
      <c r="AU2052">
        <v>34.64</v>
      </c>
      <c r="AV2052">
        <v>3</v>
      </c>
      <c r="AW2052">
        <v>20.83</v>
      </c>
      <c r="AX2052">
        <v>38.909999999999997</v>
      </c>
      <c r="AY2052">
        <v>431.89</v>
      </c>
      <c r="AZ2052" t="s">
        <v>120</v>
      </c>
      <c r="BA2052">
        <v>0.84</v>
      </c>
      <c r="BB2052" t="s">
        <v>184</v>
      </c>
      <c r="BF2052">
        <v>-5.59</v>
      </c>
      <c r="BG2052">
        <v>-4.76</v>
      </c>
      <c r="BH2052">
        <v>-5.96</v>
      </c>
      <c r="BI2052">
        <v>1.65</v>
      </c>
      <c r="BJ2052">
        <v>20210831</v>
      </c>
      <c r="BK2052">
        <v>20170831</v>
      </c>
      <c r="BL2052">
        <v>1.34</v>
      </c>
      <c r="BM2052" t="s">
        <v>120</v>
      </c>
      <c r="BN2052" t="s">
        <v>120</v>
      </c>
      <c r="BO2052">
        <v>7.98</v>
      </c>
      <c r="BP2052">
        <v>22.23</v>
      </c>
      <c r="BQ2052">
        <v>3.8</v>
      </c>
      <c r="BR2052">
        <v>0.63</v>
      </c>
      <c r="BS2052">
        <v>44.45</v>
      </c>
      <c r="BT2052">
        <v>6.69</v>
      </c>
      <c r="BU2052">
        <v>0.7</v>
      </c>
      <c r="BV2052">
        <v>0.43</v>
      </c>
      <c r="BW2052">
        <v>3.45</v>
      </c>
      <c r="BX2052">
        <v>0.42</v>
      </c>
      <c r="BY2052">
        <v>1.37</v>
      </c>
      <c r="BZ2052">
        <v>2.9</v>
      </c>
      <c r="CA2052" t="s">
        <v>120</v>
      </c>
      <c r="CB2052">
        <v>1.61</v>
      </c>
      <c r="CC2052">
        <v>2.59</v>
      </c>
      <c r="CD2052">
        <v>1.95</v>
      </c>
      <c r="CE2052">
        <v>0.12</v>
      </c>
      <c r="CF2052">
        <v>0.01</v>
      </c>
      <c r="CG2052">
        <v>0.12</v>
      </c>
      <c r="CH2052">
        <v>7.0000000000000007E-2</v>
      </c>
      <c r="CI2052">
        <v>0.06</v>
      </c>
      <c r="CJ2052">
        <v>-1.71</v>
      </c>
      <c r="CK2052">
        <v>0.05</v>
      </c>
      <c r="CL2052">
        <v>0.74</v>
      </c>
      <c r="CM2052">
        <v>-0.59</v>
      </c>
      <c r="CN2052">
        <v>-0.63</v>
      </c>
      <c r="CO2052">
        <v>10465</v>
      </c>
      <c r="CP2052">
        <v>4982</v>
      </c>
      <c r="CQ2052" t="s">
        <v>9426</v>
      </c>
      <c r="CR2052">
        <v>144.25</v>
      </c>
      <c r="CS2052">
        <v>86.54</v>
      </c>
      <c r="CT2052">
        <v>7.84</v>
      </c>
      <c r="CU2052">
        <v>-50.15</v>
      </c>
      <c r="CV2052">
        <v>11.48</v>
      </c>
      <c r="CW2052">
        <v>0</v>
      </c>
      <c r="CX2052" t="s">
        <v>1409</v>
      </c>
      <c r="CY2052">
        <v>2.84</v>
      </c>
      <c r="CZ2052">
        <v>0</v>
      </c>
      <c r="DA2052">
        <v>1.2</v>
      </c>
      <c r="DB2052">
        <v>0.56000000000000005</v>
      </c>
      <c r="DC2052">
        <v>-0.44</v>
      </c>
      <c r="DD2052">
        <v>47.65</v>
      </c>
      <c r="DE2052" t="s">
        <v>536</v>
      </c>
      <c r="DF2052">
        <v>24.78</v>
      </c>
      <c r="DG2052">
        <v>4.54</v>
      </c>
      <c r="DH2052">
        <v>2.13</v>
      </c>
      <c r="DI2052">
        <v>0.13</v>
      </c>
      <c r="DJ2052">
        <v>582</v>
      </c>
      <c r="DK2052">
        <v>300698</v>
      </c>
      <c r="DL2052" t="s">
        <v>120</v>
      </c>
      <c r="DM2052" t="s">
        <v>120</v>
      </c>
      <c r="DN2052" t="s">
        <v>120</v>
      </c>
    </row>
    <row r="2053" spans="1:118">
      <c r="A2053" t="str">
        <f>"300699"</f>
        <v>300699</v>
      </c>
      <c r="B2053" t="s">
        <v>10051</v>
      </c>
      <c r="C2053">
        <v>-0.22</v>
      </c>
      <c r="D2053">
        <v>0.42</v>
      </c>
      <c r="E2053">
        <v>0.01</v>
      </c>
      <c r="F2053">
        <v>1188</v>
      </c>
      <c r="G2053" t="s">
        <v>10052</v>
      </c>
      <c r="H2053">
        <v>36037.480000000003</v>
      </c>
      <c r="I2053">
        <v>85.88</v>
      </c>
      <c r="J2053" t="s">
        <v>120</v>
      </c>
      <c r="K2053" t="s">
        <v>10053</v>
      </c>
      <c r="L2053">
        <v>1</v>
      </c>
      <c r="M2053">
        <v>71.400000000000006</v>
      </c>
      <c r="N2053">
        <v>0.77</v>
      </c>
      <c r="O2053">
        <v>0.81</v>
      </c>
      <c r="P2053">
        <v>72.14</v>
      </c>
      <c r="Q2053">
        <v>-1.57</v>
      </c>
      <c r="R2053">
        <v>70.44</v>
      </c>
      <c r="S2053">
        <v>71.569999999999993</v>
      </c>
      <c r="T2053">
        <v>50567</v>
      </c>
      <c r="U2053">
        <v>71.400000000000006</v>
      </c>
      <c r="V2053">
        <v>71.56</v>
      </c>
      <c r="W2053">
        <v>42.63</v>
      </c>
      <c r="X2053" t="s">
        <v>868</v>
      </c>
      <c r="Y2053" t="s">
        <v>638</v>
      </c>
      <c r="Z2053">
        <v>2.38</v>
      </c>
      <c r="AA2053">
        <v>71.27</v>
      </c>
      <c r="AB2053">
        <v>30548</v>
      </c>
      <c r="AC2053">
        <v>20019</v>
      </c>
      <c r="AD2053">
        <v>1.53</v>
      </c>
      <c r="AE2053">
        <v>10</v>
      </c>
      <c r="AF2053">
        <v>266</v>
      </c>
      <c r="AG2053" t="s">
        <v>120</v>
      </c>
      <c r="AH2053">
        <v>0</v>
      </c>
      <c r="AI2053" t="s">
        <v>120</v>
      </c>
      <c r="AJ2053">
        <v>5.08</v>
      </c>
      <c r="AK2053" t="s">
        <v>10054</v>
      </c>
      <c r="AL2053">
        <v>1.69</v>
      </c>
      <c r="AM2053">
        <v>3448</v>
      </c>
      <c r="AN2053">
        <v>15</v>
      </c>
      <c r="AO2053">
        <v>2.9999999999999997E-4</v>
      </c>
      <c r="AP2053">
        <v>-1</v>
      </c>
      <c r="AQ2053">
        <v>1.71</v>
      </c>
      <c r="AR2053">
        <v>1.93</v>
      </c>
      <c r="AS2053">
        <v>-13.38</v>
      </c>
      <c r="AT2053">
        <v>-3.63</v>
      </c>
      <c r="AU2053">
        <v>-19.37</v>
      </c>
      <c r="AV2053">
        <v>0</v>
      </c>
      <c r="AW2053">
        <v>1.96</v>
      </c>
      <c r="AX2053">
        <v>49.8</v>
      </c>
      <c r="AY2053">
        <v>51.23</v>
      </c>
      <c r="AZ2053">
        <v>57.8</v>
      </c>
      <c r="BA2053">
        <v>1.1399999999999999</v>
      </c>
      <c r="BB2053" t="s">
        <v>168</v>
      </c>
      <c r="BF2053">
        <v>-0.41</v>
      </c>
      <c r="BG2053">
        <v>-0.24</v>
      </c>
      <c r="BH2053">
        <v>-1.03</v>
      </c>
      <c r="BI2053">
        <v>1.36</v>
      </c>
      <c r="BJ2053">
        <v>20210912</v>
      </c>
      <c r="BK2053">
        <v>20170901</v>
      </c>
      <c r="BL2053">
        <v>5.18</v>
      </c>
      <c r="BM2053" t="s">
        <v>120</v>
      </c>
      <c r="BN2053" t="s">
        <v>120</v>
      </c>
      <c r="BO2053">
        <v>49.2</v>
      </c>
      <c r="BP2053">
        <v>71.39</v>
      </c>
      <c r="BQ2053">
        <v>38.11</v>
      </c>
      <c r="BR2053">
        <v>1.2</v>
      </c>
      <c r="BS2053">
        <v>20.11</v>
      </c>
      <c r="BT2053">
        <v>28.61</v>
      </c>
      <c r="BU2053">
        <v>13.85</v>
      </c>
      <c r="BV2053">
        <v>2.36</v>
      </c>
      <c r="BW2053">
        <v>5.72</v>
      </c>
      <c r="BX2053">
        <v>8.48</v>
      </c>
      <c r="BY2053">
        <v>3.91</v>
      </c>
      <c r="BZ2053">
        <v>3.43</v>
      </c>
      <c r="CA2053" t="s">
        <v>120</v>
      </c>
      <c r="CB2053">
        <v>15.28</v>
      </c>
      <c r="CC2053">
        <v>12.83</v>
      </c>
      <c r="CD2053">
        <v>6.35</v>
      </c>
      <c r="CE2053">
        <v>4.88</v>
      </c>
      <c r="CF2053">
        <v>0.02</v>
      </c>
      <c r="CG2053">
        <v>4.88</v>
      </c>
      <c r="CH2053">
        <v>4.33</v>
      </c>
      <c r="CI2053">
        <v>4.34</v>
      </c>
      <c r="CJ2053">
        <v>-0.16</v>
      </c>
      <c r="CK2053">
        <v>4.0199999999999996</v>
      </c>
      <c r="CL2053">
        <v>16.75</v>
      </c>
      <c r="CM2053">
        <v>-1.6</v>
      </c>
      <c r="CN2053">
        <v>-6.63</v>
      </c>
      <c r="CO2053">
        <v>55557</v>
      </c>
      <c r="CP2053">
        <v>4646</v>
      </c>
      <c r="CQ2053" t="s">
        <v>10055</v>
      </c>
      <c r="CR2053">
        <v>23.4</v>
      </c>
      <c r="CS2053">
        <v>27.73</v>
      </c>
      <c r="CT2053">
        <v>9.7100000000000009</v>
      </c>
      <c r="CU2053">
        <v>-230.79</v>
      </c>
      <c r="CV2053">
        <v>28.84</v>
      </c>
      <c r="CW2053">
        <v>0.7</v>
      </c>
      <c r="CX2053" t="s">
        <v>1362</v>
      </c>
      <c r="CY2053">
        <v>7.35</v>
      </c>
      <c r="CZ2053">
        <v>0</v>
      </c>
      <c r="DA2053">
        <v>2.95</v>
      </c>
      <c r="DB2053">
        <v>3.23</v>
      </c>
      <c r="DC2053">
        <v>-0.31</v>
      </c>
      <c r="DD2053">
        <v>77.45</v>
      </c>
      <c r="DE2053" t="s">
        <v>10056</v>
      </c>
      <c r="DF2053">
        <v>50.53</v>
      </c>
      <c r="DG2053">
        <v>38.03</v>
      </c>
      <c r="DH2053">
        <v>33.82</v>
      </c>
      <c r="DI2053">
        <v>1.07</v>
      </c>
      <c r="DJ2053">
        <v>1852</v>
      </c>
      <c r="DK2053">
        <v>300699</v>
      </c>
      <c r="DL2053" t="s">
        <v>120</v>
      </c>
      <c r="DM2053" t="s">
        <v>120</v>
      </c>
      <c r="DN2053" t="s">
        <v>120</v>
      </c>
    </row>
    <row r="2054" spans="1:118">
      <c r="A2054" t="str">
        <f>"300700"</f>
        <v>300700</v>
      </c>
      <c r="B2054" t="s">
        <v>10057</v>
      </c>
      <c r="C2054">
        <v>-2.23</v>
      </c>
      <c r="D2054">
        <v>0.15</v>
      </c>
      <c r="E2054">
        <v>0</v>
      </c>
      <c r="F2054">
        <v>238</v>
      </c>
      <c r="G2054" t="s">
        <v>10058</v>
      </c>
      <c r="H2054">
        <v>4236.07</v>
      </c>
      <c r="I2054">
        <v>5.56</v>
      </c>
      <c r="J2054" t="s">
        <v>120</v>
      </c>
      <c r="K2054" t="s">
        <v>10059</v>
      </c>
      <c r="L2054">
        <v>3.95</v>
      </c>
      <c r="M2054">
        <v>13.6</v>
      </c>
      <c r="N2054">
        <v>0.84</v>
      </c>
      <c r="O2054">
        <v>1.87</v>
      </c>
      <c r="P2054">
        <v>14.17</v>
      </c>
      <c r="Q2054">
        <v>-2.73</v>
      </c>
      <c r="R2054">
        <v>13.53</v>
      </c>
      <c r="S2054">
        <v>13.91</v>
      </c>
      <c r="T2054">
        <v>30524</v>
      </c>
      <c r="U2054">
        <v>13.63</v>
      </c>
      <c r="V2054">
        <v>13.91</v>
      </c>
      <c r="W2054" t="s">
        <v>120</v>
      </c>
      <c r="X2054" t="s">
        <v>1991</v>
      </c>
      <c r="Y2054" t="s">
        <v>594</v>
      </c>
      <c r="Z2054">
        <v>4.5999999999999996</v>
      </c>
      <c r="AA2054">
        <v>13.88</v>
      </c>
      <c r="AB2054">
        <v>18504</v>
      </c>
      <c r="AC2054">
        <v>12020</v>
      </c>
      <c r="AD2054">
        <v>1.54</v>
      </c>
      <c r="AE2054">
        <v>43</v>
      </c>
      <c r="AF2054">
        <v>173</v>
      </c>
      <c r="AG2054" t="s">
        <v>120</v>
      </c>
      <c r="AH2054">
        <v>0.01</v>
      </c>
      <c r="AI2054" t="s">
        <v>120</v>
      </c>
      <c r="AJ2054">
        <v>0.77</v>
      </c>
      <c r="AK2054" t="s">
        <v>5735</v>
      </c>
      <c r="AL2054">
        <v>-0.31</v>
      </c>
      <c r="AM2054">
        <v>1447</v>
      </c>
      <c r="AN2054">
        <v>21</v>
      </c>
      <c r="AO2054">
        <v>2.7000000000000001E-3</v>
      </c>
      <c r="AP2054">
        <v>-1</v>
      </c>
      <c r="AQ2054">
        <v>0.36</v>
      </c>
      <c r="AR2054">
        <v>-3.82</v>
      </c>
      <c r="AS2054">
        <v>-3.48</v>
      </c>
      <c r="AT2054">
        <v>-4.6900000000000004</v>
      </c>
      <c r="AU2054">
        <v>-15</v>
      </c>
      <c r="AV2054">
        <v>0</v>
      </c>
      <c r="AW2054">
        <v>4.53</v>
      </c>
      <c r="AX2054">
        <v>62.86</v>
      </c>
      <c r="AY2054" t="s">
        <v>120</v>
      </c>
      <c r="AZ2054">
        <v>991.01</v>
      </c>
      <c r="BA2054">
        <v>0.91</v>
      </c>
      <c r="BB2054" t="s">
        <v>143</v>
      </c>
      <c r="BF2054">
        <v>-0.23</v>
      </c>
      <c r="BG2054">
        <v>-2.23</v>
      </c>
      <c r="BH2054">
        <v>-4.0199999999999996</v>
      </c>
      <c r="BI2054">
        <v>0.52</v>
      </c>
      <c r="BJ2054">
        <v>20210827</v>
      </c>
      <c r="BK2054">
        <v>20170912</v>
      </c>
      <c r="BL2054">
        <v>1.07</v>
      </c>
      <c r="BM2054" t="s">
        <v>120</v>
      </c>
      <c r="BN2054" t="s">
        <v>120</v>
      </c>
      <c r="BO2054">
        <v>11.2</v>
      </c>
      <c r="BP2054">
        <v>13.6</v>
      </c>
      <c r="BQ2054">
        <v>5.17</v>
      </c>
      <c r="BR2054">
        <v>-0.01</v>
      </c>
      <c r="BS2054">
        <v>53.93</v>
      </c>
      <c r="BT2054">
        <v>4.9000000000000004</v>
      </c>
      <c r="BU2054">
        <v>3.57</v>
      </c>
      <c r="BV2054">
        <v>0.39</v>
      </c>
      <c r="BW2054">
        <v>3.8</v>
      </c>
      <c r="BX2054">
        <v>0.84</v>
      </c>
      <c r="BY2054">
        <v>1.51</v>
      </c>
      <c r="BZ2054">
        <v>1.1100000000000001</v>
      </c>
      <c r="CA2054" t="s">
        <v>120</v>
      </c>
      <c r="CB2054">
        <v>2.15</v>
      </c>
      <c r="CC2054">
        <v>1.01</v>
      </c>
      <c r="CD2054">
        <v>0.89</v>
      </c>
      <c r="CE2054">
        <v>-0.21</v>
      </c>
      <c r="CF2054">
        <v>0</v>
      </c>
      <c r="CG2054">
        <v>-0.22</v>
      </c>
      <c r="CH2054">
        <v>-0.18</v>
      </c>
      <c r="CI2054">
        <v>-0.17</v>
      </c>
      <c r="CJ2054">
        <v>-0.31</v>
      </c>
      <c r="CK2054">
        <v>-0.19</v>
      </c>
      <c r="CL2054">
        <v>1.24</v>
      </c>
      <c r="CM2054">
        <v>-0.1</v>
      </c>
      <c r="CN2054">
        <v>-0.14000000000000001</v>
      </c>
      <c r="CO2054">
        <v>11837</v>
      </c>
      <c r="CP2054">
        <v>5689</v>
      </c>
      <c r="CQ2054" t="s">
        <v>686</v>
      </c>
      <c r="CR2054">
        <v>-915.9</v>
      </c>
      <c r="CS2054">
        <v>-13.71</v>
      </c>
      <c r="CT2054">
        <v>3.07</v>
      </c>
      <c r="CU2054">
        <v>-152.55000000000001</v>
      </c>
      <c r="CV2054">
        <v>14.43</v>
      </c>
      <c r="CW2054">
        <v>0</v>
      </c>
      <c r="CX2054" t="s">
        <v>893</v>
      </c>
      <c r="CY2054">
        <v>4.42</v>
      </c>
      <c r="CZ2054">
        <v>4.42</v>
      </c>
      <c r="DA2054">
        <v>2.0099999999999998</v>
      </c>
      <c r="DB2054">
        <v>1.1599999999999999</v>
      </c>
      <c r="DC2054">
        <v>-0.09</v>
      </c>
      <c r="DD2054">
        <v>46.13</v>
      </c>
      <c r="DE2054" t="s">
        <v>8600</v>
      </c>
      <c r="DF2054">
        <v>11.92</v>
      </c>
      <c r="DG2054">
        <v>-21.23</v>
      </c>
      <c r="DH2054">
        <v>-16.75</v>
      </c>
      <c r="DI2054">
        <v>0.08</v>
      </c>
      <c r="DJ2054">
        <v>686</v>
      </c>
      <c r="DK2054">
        <v>300700</v>
      </c>
      <c r="DL2054" t="s">
        <v>120</v>
      </c>
      <c r="DM2054" t="s">
        <v>120</v>
      </c>
      <c r="DN2054" t="s">
        <v>120</v>
      </c>
    </row>
    <row r="2055" spans="1:118">
      <c r="A2055" t="str">
        <f>"300701"</f>
        <v>300701</v>
      </c>
      <c r="B2055" t="s">
        <v>10060</v>
      </c>
      <c r="C2055">
        <v>-1.22</v>
      </c>
      <c r="D2055">
        <v>-0.05</v>
      </c>
      <c r="E2055">
        <v>0.12</v>
      </c>
      <c r="F2055">
        <v>203</v>
      </c>
      <c r="G2055" t="s">
        <v>10061</v>
      </c>
      <c r="H2055">
        <v>2352.5300000000002</v>
      </c>
      <c r="I2055">
        <v>3.61</v>
      </c>
      <c r="J2055" t="s">
        <v>120</v>
      </c>
      <c r="K2055" t="s">
        <v>10062</v>
      </c>
      <c r="L2055">
        <v>0.76</v>
      </c>
      <c r="M2055">
        <v>16.97</v>
      </c>
      <c r="N2055">
        <v>0.78</v>
      </c>
      <c r="O2055">
        <v>1.1100000000000001</v>
      </c>
      <c r="P2055">
        <v>17.37</v>
      </c>
      <c r="Q2055">
        <v>-1.28</v>
      </c>
      <c r="R2055">
        <v>16.96</v>
      </c>
      <c r="S2055">
        <v>17.2</v>
      </c>
      <c r="T2055">
        <v>13741</v>
      </c>
      <c r="U2055">
        <v>16.98</v>
      </c>
      <c r="V2055">
        <v>17.18</v>
      </c>
      <c r="W2055">
        <v>22.82</v>
      </c>
      <c r="X2055" t="s">
        <v>229</v>
      </c>
      <c r="Y2055" t="s">
        <v>645</v>
      </c>
      <c r="Z2055">
        <v>2.39</v>
      </c>
      <c r="AA2055">
        <v>17.12</v>
      </c>
      <c r="AB2055">
        <v>8428</v>
      </c>
      <c r="AC2055">
        <v>5313</v>
      </c>
      <c r="AD2055">
        <v>1.59</v>
      </c>
      <c r="AE2055">
        <v>70</v>
      </c>
      <c r="AF2055">
        <v>22</v>
      </c>
      <c r="AG2055" t="s">
        <v>120</v>
      </c>
      <c r="AH2055">
        <v>0</v>
      </c>
      <c r="AI2055" t="s">
        <v>120</v>
      </c>
      <c r="AJ2055">
        <v>1.8</v>
      </c>
      <c r="AK2055" t="s">
        <v>10062</v>
      </c>
      <c r="AL2055">
        <v>0.69</v>
      </c>
      <c r="AM2055">
        <v>1041</v>
      </c>
      <c r="AN2055">
        <v>13</v>
      </c>
      <c r="AO2055">
        <v>6.9999999999999999E-4</v>
      </c>
      <c r="AP2055">
        <v>-1</v>
      </c>
      <c r="AQ2055">
        <v>0.28999999999999998</v>
      </c>
      <c r="AR2055">
        <v>-0.71</v>
      </c>
      <c r="AS2055">
        <v>-15.99</v>
      </c>
      <c r="AT2055">
        <v>-30.91</v>
      </c>
      <c r="AU2055">
        <v>-10.87</v>
      </c>
      <c r="AV2055">
        <v>0</v>
      </c>
      <c r="AW2055">
        <v>2.2000000000000002</v>
      </c>
      <c r="AX2055">
        <v>34.75</v>
      </c>
      <c r="AY2055">
        <v>21.18</v>
      </c>
      <c r="AZ2055">
        <v>19.18</v>
      </c>
      <c r="BA2055">
        <v>0.95</v>
      </c>
      <c r="BB2055" t="s">
        <v>125</v>
      </c>
      <c r="BF2055">
        <v>-0.35</v>
      </c>
      <c r="BG2055">
        <v>-1.34</v>
      </c>
      <c r="BH2055">
        <v>-2.2999999999999998</v>
      </c>
      <c r="BI2055">
        <v>0.06</v>
      </c>
      <c r="BJ2055">
        <v>20210827</v>
      </c>
      <c r="BK2055">
        <v>20170915</v>
      </c>
      <c r="BL2055">
        <v>1.8</v>
      </c>
      <c r="BM2055" t="s">
        <v>120</v>
      </c>
      <c r="BN2055" t="s">
        <v>120</v>
      </c>
      <c r="BO2055">
        <v>7.62</v>
      </c>
      <c r="BP2055">
        <v>16.97</v>
      </c>
      <c r="BQ2055">
        <v>6.85</v>
      </c>
      <c r="BR2055" t="s">
        <v>120</v>
      </c>
      <c r="BS2055">
        <v>10.09</v>
      </c>
      <c r="BT2055">
        <v>6.08</v>
      </c>
      <c r="BU2055">
        <v>0.61</v>
      </c>
      <c r="BV2055">
        <v>0.17</v>
      </c>
      <c r="BW2055">
        <v>0.68</v>
      </c>
      <c r="BX2055">
        <v>1.79</v>
      </c>
      <c r="BY2055">
        <v>0.54</v>
      </c>
      <c r="BZ2055">
        <v>0.26</v>
      </c>
      <c r="CA2055" t="s">
        <v>120</v>
      </c>
      <c r="CB2055">
        <v>1.23</v>
      </c>
      <c r="CC2055">
        <v>1.7</v>
      </c>
      <c r="CD2055">
        <v>0.81</v>
      </c>
      <c r="CE2055">
        <v>0.78</v>
      </c>
      <c r="CF2055">
        <v>0.12</v>
      </c>
      <c r="CG2055">
        <v>0.79</v>
      </c>
      <c r="CH2055">
        <v>0.67</v>
      </c>
      <c r="CI2055">
        <v>0.67</v>
      </c>
      <c r="CJ2055">
        <v>-0.21</v>
      </c>
      <c r="CK2055">
        <v>0.57999999999999996</v>
      </c>
      <c r="CL2055">
        <v>3.29</v>
      </c>
      <c r="CM2055">
        <v>0.25</v>
      </c>
      <c r="CN2055">
        <v>-0.49</v>
      </c>
      <c r="CO2055">
        <v>15704</v>
      </c>
      <c r="CP2055">
        <v>3983</v>
      </c>
      <c r="CQ2055" t="s">
        <v>10063</v>
      </c>
      <c r="CR2055">
        <v>-18.55</v>
      </c>
      <c r="CS2055">
        <v>1.65</v>
      </c>
      <c r="CT2055">
        <v>4.46</v>
      </c>
      <c r="CU2055">
        <v>124.16</v>
      </c>
      <c r="CV2055">
        <v>17.989999999999998</v>
      </c>
      <c r="CW2055">
        <v>1.94</v>
      </c>
      <c r="CX2055" t="s">
        <v>709</v>
      </c>
      <c r="CY2055">
        <v>3.81</v>
      </c>
      <c r="CZ2055">
        <v>0</v>
      </c>
      <c r="DA2055">
        <v>0.68</v>
      </c>
      <c r="DB2055">
        <v>1.83</v>
      </c>
      <c r="DC2055">
        <v>0.14000000000000001</v>
      </c>
      <c r="DD2055">
        <v>89.91</v>
      </c>
      <c r="DE2055" t="s">
        <v>4867</v>
      </c>
      <c r="DF2055">
        <v>52.4</v>
      </c>
      <c r="DG2055">
        <v>46.16</v>
      </c>
      <c r="DH2055">
        <v>39.4</v>
      </c>
      <c r="DI2055">
        <v>0.05</v>
      </c>
      <c r="DJ2055">
        <v>808</v>
      </c>
      <c r="DK2055">
        <v>300701</v>
      </c>
      <c r="DL2055" t="s">
        <v>120</v>
      </c>
      <c r="DM2055" t="s">
        <v>120</v>
      </c>
      <c r="DN2055" t="s">
        <v>120</v>
      </c>
    </row>
    <row r="2056" spans="1:118">
      <c r="A2056" t="str">
        <f>"300702"</f>
        <v>300702</v>
      </c>
      <c r="B2056" t="s">
        <v>10064</v>
      </c>
      <c r="C2056">
        <v>2.69</v>
      </c>
      <c r="D2056">
        <v>0</v>
      </c>
      <c r="E2056">
        <v>-0.23</v>
      </c>
      <c r="F2056">
        <v>462</v>
      </c>
      <c r="G2056" t="s">
        <v>10065</v>
      </c>
      <c r="H2056">
        <v>30949.35</v>
      </c>
      <c r="I2056">
        <v>136.6</v>
      </c>
      <c r="J2056" t="s">
        <v>120</v>
      </c>
      <c r="K2056" t="s">
        <v>10066</v>
      </c>
      <c r="L2056">
        <v>2.77</v>
      </c>
      <c r="M2056">
        <v>52.7</v>
      </c>
      <c r="N2056">
        <v>1.1200000000000001</v>
      </c>
      <c r="O2056">
        <v>5.28</v>
      </c>
      <c r="P2056">
        <v>54.03</v>
      </c>
      <c r="Q2056">
        <v>-2.9</v>
      </c>
      <c r="R2056">
        <v>49.83</v>
      </c>
      <c r="S2056">
        <v>51.2</v>
      </c>
      <c r="T2056">
        <v>58658</v>
      </c>
      <c r="U2056">
        <v>52.7</v>
      </c>
      <c r="V2056">
        <v>51.32</v>
      </c>
      <c r="W2056">
        <v>50.76</v>
      </c>
      <c r="X2056" t="s">
        <v>569</v>
      </c>
      <c r="Y2056" t="s">
        <v>585</v>
      </c>
      <c r="Z2056">
        <v>8.18</v>
      </c>
      <c r="AA2056">
        <v>52.76</v>
      </c>
      <c r="AB2056">
        <v>25561</v>
      </c>
      <c r="AC2056">
        <v>33097</v>
      </c>
      <c r="AD2056">
        <v>0.77</v>
      </c>
      <c r="AE2056">
        <v>14</v>
      </c>
      <c r="AF2056">
        <v>109</v>
      </c>
      <c r="AG2056" t="s">
        <v>120</v>
      </c>
      <c r="AH2056">
        <v>0.02</v>
      </c>
      <c r="AI2056" t="s">
        <v>120</v>
      </c>
      <c r="AJ2056">
        <v>2.12</v>
      </c>
      <c r="AK2056" t="s">
        <v>10067</v>
      </c>
      <c r="AL2056">
        <v>4.5999999999999996</v>
      </c>
      <c r="AM2056">
        <v>2870</v>
      </c>
      <c r="AN2056">
        <v>20</v>
      </c>
      <c r="AO2056">
        <v>1E-3</v>
      </c>
      <c r="AP2056">
        <v>1</v>
      </c>
      <c r="AQ2056">
        <v>-0.28999999999999998</v>
      </c>
      <c r="AR2056">
        <v>8.9700000000000006</v>
      </c>
      <c r="AS2056">
        <v>7.55</v>
      </c>
      <c r="AT2056">
        <v>42.12</v>
      </c>
      <c r="AU2056">
        <v>2</v>
      </c>
      <c r="AV2056">
        <v>1</v>
      </c>
      <c r="AW2056">
        <v>4.4400000000000004</v>
      </c>
      <c r="AX2056">
        <v>38</v>
      </c>
      <c r="AY2056">
        <v>38.29</v>
      </c>
      <c r="AZ2056">
        <v>26.77</v>
      </c>
      <c r="BA2056">
        <v>0.86</v>
      </c>
      <c r="BB2056" t="s">
        <v>143</v>
      </c>
      <c r="BF2056">
        <v>2.81</v>
      </c>
      <c r="BG2056">
        <v>2.93</v>
      </c>
      <c r="BH2056">
        <v>-2.46</v>
      </c>
      <c r="BI2056">
        <v>5.76</v>
      </c>
      <c r="BJ2056">
        <v>20210827</v>
      </c>
      <c r="BK2056">
        <v>20170919</v>
      </c>
      <c r="BL2056">
        <v>3.48</v>
      </c>
      <c r="BM2056" t="s">
        <v>120</v>
      </c>
      <c r="BN2056" t="s">
        <v>120</v>
      </c>
      <c r="BO2056">
        <v>50.75</v>
      </c>
      <c r="BP2056">
        <v>52.69</v>
      </c>
      <c r="BQ2056">
        <v>36.85</v>
      </c>
      <c r="BR2056" t="s">
        <v>120</v>
      </c>
      <c r="BS2056">
        <v>27.39</v>
      </c>
      <c r="BT2056">
        <v>26.43</v>
      </c>
      <c r="BU2056">
        <v>14.67</v>
      </c>
      <c r="BV2056">
        <v>2.39</v>
      </c>
      <c r="BW2056">
        <v>12.75</v>
      </c>
      <c r="BX2056">
        <v>6.85</v>
      </c>
      <c r="BY2056">
        <v>12.45</v>
      </c>
      <c r="BZ2056">
        <v>4.7</v>
      </c>
      <c r="CA2056">
        <v>0</v>
      </c>
      <c r="CB2056">
        <v>14.92</v>
      </c>
      <c r="CC2056">
        <v>13.67</v>
      </c>
      <c r="CD2056">
        <v>8.2799999999999994</v>
      </c>
      <c r="CE2056">
        <v>2.0699999999999998</v>
      </c>
      <c r="CF2056">
        <v>0.45</v>
      </c>
      <c r="CG2056">
        <v>2.0499999999999998</v>
      </c>
      <c r="CH2056">
        <v>1.81</v>
      </c>
      <c r="CI2056">
        <v>1.81</v>
      </c>
      <c r="CJ2056">
        <v>1.38</v>
      </c>
      <c r="CK2056">
        <v>1.6</v>
      </c>
      <c r="CL2056">
        <v>17.5</v>
      </c>
      <c r="CM2056">
        <v>-1.29</v>
      </c>
      <c r="CN2056">
        <v>-7.98</v>
      </c>
      <c r="CO2056">
        <v>16648</v>
      </c>
      <c r="CP2056">
        <v>7942</v>
      </c>
      <c r="CQ2056" t="s">
        <v>10068</v>
      </c>
      <c r="CR2056">
        <v>-52.63</v>
      </c>
      <c r="CS2056">
        <v>2.64</v>
      </c>
      <c r="CT2056">
        <v>4.9800000000000004</v>
      </c>
      <c r="CU2056">
        <v>-142.69999999999999</v>
      </c>
      <c r="CV2056">
        <v>13.41</v>
      </c>
      <c r="CW2056">
        <v>0.54</v>
      </c>
      <c r="CX2056" t="s">
        <v>948</v>
      </c>
      <c r="CY2056">
        <v>10.59</v>
      </c>
      <c r="CZ2056">
        <v>0</v>
      </c>
      <c r="DA2056">
        <v>4.29</v>
      </c>
      <c r="DB2056">
        <v>5.03</v>
      </c>
      <c r="DC2056">
        <v>-0.37</v>
      </c>
      <c r="DD2056">
        <v>72.61</v>
      </c>
      <c r="DE2056" t="s">
        <v>619</v>
      </c>
      <c r="DF2056">
        <v>39.4</v>
      </c>
      <c r="DG2056">
        <v>15.17</v>
      </c>
      <c r="DH2056">
        <v>13.21</v>
      </c>
      <c r="DI2056">
        <v>1.1100000000000001</v>
      </c>
      <c r="DJ2056">
        <v>4309</v>
      </c>
      <c r="DK2056">
        <v>300702</v>
      </c>
      <c r="DL2056" t="s">
        <v>120</v>
      </c>
      <c r="DM2056" t="s">
        <v>120</v>
      </c>
      <c r="DN2056" t="s">
        <v>120</v>
      </c>
    </row>
    <row r="2057" spans="1:118">
      <c r="A2057" t="str">
        <f>"300703"</f>
        <v>300703</v>
      </c>
      <c r="B2057" t="s">
        <v>10069</v>
      </c>
      <c r="C2057">
        <v>-1.39</v>
      </c>
      <c r="D2057">
        <v>0.39</v>
      </c>
      <c r="E2057">
        <v>3.02</v>
      </c>
      <c r="F2057">
        <v>492</v>
      </c>
      <c r="G2057" t="s">
        <v>8420</v>
      </c>
      <c r="H2057">
        <v>5963.73</v>
      </c>
      <c r="I2057">
        <v>43.89</v>
      </c>
      <c r="J2057" t="s">
        <v>120</v>
      </c>
      <c r="K2057" t="s">
        <v>530</v>
      </c>
      <c r="L2057">
        <v>2.7</v>
      </c>
      <c r="M2057">
        <v>12.73</v>
      </c>
      <c r="N2057">
        <v>0.6</v>
      </c>
      <c r="O2057">
        <v>3.33</v>
      </c>
      <c r="P2057">
        <v>13.34</v>
      </c>
      <c r="Q2057">
        <v>-1.94</v>
      </c>
      <c r="R2057">
        <v>12.66</v>
      </c>
      <c r="S2057">
        <v>13.3</v>
      </c>
      <c r="T2057">
        <v>46484</v>
      </c>
      <c r="U2057">
        <v>12.73</v>
      </c>
      <c r="V2057">
        <v>12.91</v>
      </c>
      <c r="W2057">
        <v>470.98</v>
      </c>
      <c r="X2057" t="s">
        <v>213</v>
      </c>
      <c r="Y2057" t="s">
        <v>585</v>
      </c>
      <c r="Z2057">
        <v>5.27</v>
      </c>
      <c r="AA2057">
        <v>12.83</v>
      </c>
      <c r="AB2057">
        <v>24249</v>
      </c>
      <c r="AC2057">
        <v>22235</v>
      </c>
      <c r="AD2057">
        <v>1.0900000000000001</v>
      </c>
      <c r="AE2057">
        <v>50</v>
      </c>
      <c r="AF2057">
        <v>15</v>
      </c>
      <c r="AG2057" t="s">
        <v>120</v>
      </c>
      <c r="AH2057">
        <v>0.03</v>
      </c>
      <c r="AI2057" t="s">
        <v>120</v>
      </c>
      <c r="AJ2057">
        <v>1.72</v>
      </c>
      <c r="AK2057" t="s">
        <v>2090</v>
      </c>
      <c r="AL2057">
        <v>0.52</v>
      </c>
      <c r="AM2057">
        <v>1883</v>
      </c>
      <c r="AN2057">
        <v>25</v>
      </c>
      <c r="AO2057">
        <v>1.4E-3</v>
      </c>
      <c r="AP2057">
        <v>-1</v>
      </c>
      <c r="AQ2057">
        <v>2.2200000000000002</v>
      </c>
      <c r="AR2057">
        <v>-5.07</v>
      </c>
      <c r="AS2057">
        <v>33.159999999999997</v>
      </c>
      <c r="AT2057">
        <v>27.3</v>
      </c>
      <c r="AU2057">
        <v>24.56</v>
      </c>
      <c r="AV2057">
        <v>0</v>
      </c>
      <c r="AW2057">
        <v>4.0199999999999996</v>
      </c>
      <c r="AX2057">
        <v>62.91</v>
      </c>
      <c r="AY2057">
        <v>73.84</v>
      </c>
      <c r="AZ2057">
        <v>45.78</v>
      </c>
      <c r="BA2057">
        <v>1.08</v>
      </c>
      <c r="BB2057" t="s">
        <v>184</v>
      </c>
      <c r="BF2057">
        <v>-0.62</v>
      </c>
      <c r="BG2057">
        <v>-4.29</v>
      </c>
      <c r="BH2057">
        <v>-4.57</v>
      </c>
      <c r="BI2057">
        <v>0.55000000000000004</v>
      </c>
      <c r="BJ2057">
        <v>20210823</v>
      </c>
      <c r="BK2057">
        <v>20170919</v>
      </c>
      <c r="BL2057">
        <v>1.84</v>
      </c>
      <c r="BM2057" t="s">
        <v>120</v>
      </c>
      <c r="BN2057" t="s">
        <v>120</v>
      </c>
      <c r="BO2057">
        <v>15.63</v>
      </c>
      <c r="BP2057">
        <v>12.72</v>
      </c>
      <c r="BQ2057">
        <v>6.85</v>
      </c>
      <c r="BR2057">
        <v>0.27</v>
      </c>
      <c r="BS2057">
        <v>54.43</v>
      </c>
      <c r="BT2057">
        <v>9.26</v>
      </c>
      <c r="BU2057">
        <v>3.81</v>
      </c>
      <c r="BV2057">
        <v>0.68</v>
      </c>
      <c r="BW2057">
        <v>7.33</v>
      </c>
      <c r="BX2057">
        <v>1.99</v>
      </c>
      <c r="BY2057">
        <v>3.02</v>
      </c>
      <c r="BZ2057">
        <v>3.07</v>
      </c>
      <c r="CA2057" t="s">
        <v>120</v>
      </c>
      <c r="CB2057">
        <v>3.07</v>
      </c>
      <c r="CC2057">
        <v>6.3</v>
      </c>
      <c r="CD2057">
        <v>4.74</v>
      </c>
      <c r="CE2057">
        <v>0.08</v>
      </c>
      <c r="CF2057">
        <v>0.02</v>
      </c>
      <c r="CG2057">
        <v>0.08</v>
      </c>
      <c r="CH2057">
        <v>0.05</v>
      </c>
      <c r="CI2057">
        <v>0.02</v>
      </c>
      <c r="CJ2057">
        <v>-0.18</v>
      </c>
      <c r="CK2057">
        <v>-0.01</v>
      </c>
      <c r="CL2057">
        <v>1.95</v>
      </c>
      <c r="CM2057">
        <v>-0.7</v>
      </c>
      <c r="CN2057">
        <v>-0.82</v>
      </c>
      <c r="CO2057">
        <v>10386</v>
      </c>
      <c r="CP2057">
        <v>11131</v>
      </c>
      <c r="CQ2057" t="s">
        <v>10070</v>
      </c>
      <c r="CR2057">
        <v>-88.8</v>
      </c>
      <c r="CS2057">
        <v>32.299999999999997</v>
      </c>
      <c r="CT2057">
        <v>3.41</v>
      </c>
      <c r="CU2057">
        <v>-33.26</v>
      </c>
      <c r="CV2057">
        <v>3.71</v>
      </c>
      <c r="CW2057">
        <v>1.1499999999999999</v>
      </c>
      <c r="CX2057" t="s">
        <v>178</v>
      </c>
      <c r="CY2057">
        <v>3.73</v>
      </c>
      <c r="CZ2057">
        <v>0</v>
      </c>
      <c r="DA2057">
        <v>1.67</v>
      </c>
      <c r="DB2057">
        <v>1.06</v>
      </c>
      <c r="DC2057">
        <v>-0.38</v>
      </c>
      <c r="DD2057">
        <v>43.84</v>
      </c>
      <c r="DE2057" t="s">
        <v>3639</v>
      </c>
      <c r="DF2057">
        <v>24.79</v>
      </c>
      <c r="DG2057">
        <v>1.23</v>
      </c>
      <c r="DH2057">
        <v>0.39</v>
      </c>
      <c r="DI2057">
        <v>0.28999999999999998</v>
      </c>
      <c r="DJ2057">
        <v>2298</v>
      </c>
      <c r="DK2057">
        <v>300703</v>
      </c>
      <c r="DL2057" t="s">
        <v>120</v>
      </c>
      <c r="DM2057" t="s">
        <v>120</v>
      </c>
      <c r="DN2057" t="s">
        <v>120</v>
      </c>
    </row>
    <row r="2058" spans="1:118">
      <c r="A2058" t="str">
        <f>"300705"</f>
        <v>300705</v>
      </c>
      <c r="B2058" t="s">
        <v>10071</v>
      </c>
      <c r="C2058">
        <v>7.0000000000000007E-2</v>
      </c>
      <c r="D2058">
        <v>7.0000000000000007E-2</v>
      </c>
      <c r="E2058">
        <v>0.87</v>
      </c>
      <c r="F2058">
        <v>214</v>
      </c>
      <c r="G2058" t="s">
        <v>142</v>
      </c>
      <c r="H2058">
        <v>11650.55</v>
      </c>
      <c r="I2058">
        <v>24.82</v>
      </c>
      <c r="J2058" t="s">
        <v>120</v>
      </c>
      <c r="K2058" t="s">
        <v>8338</v>
      </c>
      <c r="L2058">
        <v>2.93</v>
      </c>
      <c r="M2058">
        <v>27.67</v>
      </c>
      <c r="N2058">
        <v>1.64</v>
      </c>
      <c r="O2058">
        <v>3.51</v>
      </c>
      <c r="P2058">
        <v>28.62</v>
      </c>
      <c r="Q2058">
        <v>-0.11</v>
      </c>
      <c r="R2058">
        <v>27.62</v>
      </c>
      <c r="S2058">
        <v>27.89</v>
      </c>
      <c r="T2058">
        <v>41452</v>
      </c>
      <c r="U2058">
        <v>27.7</v>
      </c>
      <c r="V2058">
        <v>27.65</v>
      </c>
      <c r="W2058">
        <v>28.78</v>
      </c>
      <c r="X2058" t="s">
        <v>569</v>
      </c>
      <c r="Y2058" t="s">
        <v>594</v>
      </c>
      <c r="Z2058">
        <v>3.62</v>
      </c>
      <c r="AA2058">
        <v>28.11</v>
      </c>
      <c r="AB2058">
        <v>20808</v>
      </c>
      <c r="AC2058">
        <v>20644</v>
      </c>
      <c r="AD2058">
        <v>1.01</v>
      </c>
      <c r="AE2058">
        <v>95</v>
      </c>
      <c r="AF2058">
        <v>1</v>
      </c>
      <c r="AG2058" t="s">
        <v>120</v>
      </c>
      <c r="AH2058">
        <v>0.01</v>
      </c>
      <c r="AI2058" t="s">
        <v>120</v>
      </c>
      <c r="AJ2058">
        <v>1.42</v>
      </c>
      <c r="AK2058" t="s">
        <v>7144</v>
      </c>
      <c r="AL2058">
        <v>1.99</v>
      </c>
      <c r="AM2058">
        <v>2672</v>
      </c>
      <c r="AN2058">
        <v>16</v>
      </c>
      <c r="AO2058">
        <v>1.1000000000000001E-3</v>
      </c>
      <c r="AP2058">
        <v>2</v>
      </c>
      <c r="AQ2058">
        <v>3.09</v>
      </c>
      <c r="AR2058">
        <v>3.01</v>
      </c>
      <c r="AS2058">
        <v>-4.0199999999999996</v>
      </c>
      <c r="AT2058">
        <v>-23.45</v>
      </c>
      <c r="AU2058">
        <v>3.41</v>
      </c>
      <c r="AV2058">
        <v>0</v>
      </c>
      <c r="AW2058">
        <v>3.7</v>
      </c>
      <c r="AX2058">
        <v>47.71</v>
      </c>
      <c r="AY2058">
        <v>39.99</v>
      </c>
      <c r="AZ2058">
        <v>78.88</v>
      </c>
      <c r="BA2058">
        <v>0.67</v>
      </c>
      <c r="BB2058" t="s">
        <v>168</v>
      </c>
      <c r="BF2058">
        <v>1.65</v>
      </c>
      <c r="BG2058">
        <v>-0.79</v>
      </c>
      <c r="BH2058">
        <v>-3.32</v>
      </c>
      <c r="BI2058">
        <v>0.18</v>
      </c>
      <c r="BJ2058">
        <v>20210810</v>
      </c>
      <c r="BK2058">
        <v>20171010</v>
      </c>
      <c r="BL2058">
        <v>2.35</v>
      </c>
      <c r="BM2058" t="s">
        <v>120</v>
      </c>
      <c r="BN2058" t="s">
        <v>120</v>
      </c>
      <c r="BO2058">
        <v>15.72</v>
      </c>
      <c r="BP2058">
        <v>27.67</v>
      </c>
      <c r="BQ2058">
        <v>10.08</v>
      </c>
      <c r="BR2058" t="s">
        <v>120</v>
      </c>
      <c r="BS2058">
        <v>35.909999999999997</v>
      </c>
      <c r="BT2058">
        <v>9.23</v>
      </c>
      <c r="BU2058">
        <v>5.42</v>
      </c>
      <c r="BV2058">
        <v>0.51</v>
      </c>
      <c r="BW2058">
        <v>2.5099999999999998</v>
      </c>
      <c r="BX2058">
        <v>2.72</v>
      </c>
      <c r="BY2058">
        <v>2.04</v>
      </c>
      <c r="BZ2058">
        <v>2.37</v>
      </c>
      <c r="CA2058" t="s">
        <v>120</v>
      </c>
      <c r="CB2058">
        <v>2.79</v>
      </c>
      <c r="CC2058">
        <v>7.32</v>
      </c>
      <c r="CD2058">
        <v>1.55</v>
      </c>
      <c r="CE2058">
        <v>1.25</v>
      </c>
      <c r="CF2058">
        <v>0.01</v>
      </c>
      <c r="CG2058">
        <v>1.26</v>
      </c>
      <c r="CH2058">
        <v>1.1299999999999999</v>
      </c>
      <c r="CI2058">
        <v>1.1299999999999999</v>
      </c>
      <c r="CJ2058">
        <v>0.02</v>
      </c>
      <c r="CK2058">
        <v>1.02</v>
      </c>
      <c r="CL2058">
        <v>3.82</v>
      </c>
      <c r="CM2058">
        <v>0.67</v>
      </c>
      <c r="CN2058">
        <v>1.3</v>
      </c>
      <c r="CO2058">
        <v>8464</v>
      </c>
      <c r="CP2058">
        <v>13228</v>
      </c>
      <c r="CQ2058" t="s">
        <v>10072</v>
      </c>
      <c r="CR2058">
        <v>243.72</v>
      </c>
      <c r="CS2058">
        <v>86.05</v>
      </c>
      <c r="CT2058">
        <v>6.92</v>
      </c>
      <c r="CU2058">
        <v>97.18</v>
      </c>
      <c r="CV2058">
        <v>8.8699999999999992</v>
      </c>
      <c r="CW2058">
        <v>0.16</v>
      </c>
      <c r="CX2058" t="s">
        <v>780</v>
      </c>
      <c r="CY2058">
        <v>4</v>
      </c>
      <c r="CZ2058">
        <v>4</v>
      </c>
      <c r="DA2058">
        <v>1.19</v>
      </c>
      <c r="DB2058">
        <v>1.63</v>
      </c>
      <c r="DC2058">
        <v>0.28000000000000003</v>
      </c>
      <c r="DD2058">
        <v>64.09</v>
      </c>
      <c r="DE2058" t="s">
        <v>10073</v>
      </c>
      <c r="DF2058">
        <v>78.760000000000005</v>
      </c>
      <c r="DG2058">
        <v>17.11</v>
      </c>
      <c r="DH2058">
        <v>15.42</v>
      </c>
      <c r="DI2058">
        <v>0.56000000000000005</v>
      </c>
      <c r="DJ2058">
        <v>1273</v>
      </c>
      <c r="DK2058">
        <v>300705</v>
      </c>
      <c r="DL2058" t="s">
        <v>120</v>
      </c>
      <c r="DM2058" t="s">
        <v>120</v>
      </c>
      <c r="DN2058" t="s">
        <v>120</v>
      </c>
    </row>
    <row r="2059" spans="1:118">
      <c r="A2059" t="str">
        <f>"300706"</f>
        <v>300706</v>
      </c>
      <c r="B2059" t="s">
        <v>10074</v>
      </c>
      <c r="C2059">
        <v>-2.14</v>
      </c>
      <c r="D2059">
        <v>0</v>
      </c>
      <c r="E2059">
        <v>-0.8</v>
      </c>
      <c r="F2059">
        <v>511</v>
      </c>
      <c r="G2059" t="s">
        <v>4265</v>
      </c>
      <c r="H2059">
        <v>8876.4599999999991</v>
      </c>
      <c r="I2059">
        <v>17.260000000000002</v>
      </c>
      <c r="J2059" t="s">
        <v>120</v>
      </c>
      <c r="K2059" t="s">
        <v>10075</v>
      </c>
      <c r="L2059">
        <v>3.94</v>
      </c>
      <c r="M2059">
        <v>27.03</v>
      </c>
      <c r="N2059">
        <v>0.66</v>
      </c>
      <c r="O2059">
        <v>2.21</v>
      </c>
      <c r="P2059">
        <v>28.23</v>
      </c>
      <c r="Q2059">
        <v>-2.17</v>
      </c>
      <c r="R2059">
        <v>27.02</v>
      </c>
      <c r="S2059">
        <v>27.4</v>
      </c>
      <c r="T2059">
        <v>32143</v>
      </c>
      <c r="U2059">
        <v>27.03</v>
      </c>
      <c r="V2059">
        <v>27.62</v>
      </c>
      <c r="W2059">
        <v>343.17</v>
      </c>
      <c r="X2059" t="s">
        <v>229</v>
      </c>
      <c r="Y2059" t="s">
        <v>937</v>
      </c>
      <c r="Z2059">
        <v>4.38</v>
      </c>
      <c r="AA2059">
        <v>27.62</v>
      </c>
      <c r="AB2059">
        <v>17715</v>
      </c>
      <c r="AC2059">
        <v>14428</v>
      </c>
      <c r="AD2059">
        <v>1.23</v>
      </c>
      <c r="AE2059">
        <v>312</v>
      </c>
      <c r="AF2059">
        <v>257</v>
      </c>
      <c r="AG2059" t="s">
        <v>120</v>
      </c>
      <c r="AH2059">
        <v>0.01</v>
      </c>
      <c r="AI2059" t="s">
        <v>120</v>
      </c>
      <c r="AJ2059">
        <v>0.82</v>
      </c>
      <c r="AK2059" t="s">
        <v>5036</v>
      </c>
      <c r="AL2059">
        <v>-0.22</v>
      </c>
      <c r="AM2059">
        <v>2459</v>
      </c>
      <c r="AN2059">
        <v>13</v>
      </c>
      <c r="AO2059">
        <v>1.6000000000000001E-3</v>
      </c>
      <c r="AP2059">
        <v>-2</v>
      </c>
      <c r="AQ2059">
        <v>-1</v>
      </c>
      <c r="AR2059">
        <v>-2.66</v>
      </c>
      <c r="AS2059">
        <v>-11.05</v>
      </c>
      <c r="AT2059">
        <v>-5.98</v>
      </c>
      <c r="AU2059">
        <v>7.13</v>
      </c>
      <c r="AV2059">
        <v>2</v>
      </c>
      <c r="AW2059">
        <v>4.79</v>
      </c>
      <c r="AX2059">
        <v>43.86</v>
      </c>
      <c r="AY2059">
        <v>288.42</v>
      </c>
      <c r="AZ2059">
        <v>719.86</v>
      </c>
      <c r="BA2059">
        <v>0.27</v>
      </c>
      <c r="BB2059" t="s">
        <v>134</v>
      </c>
      <c r="BF2059">
        <v>-0.02</v>
      </c>
      <c r="BG2059">
        <v>-1.35</v>
      </c>
      <c r="BH2059">
        <v>-4.25</v>
      </c>
      <c r="BI2059">
        <v>0.04</v>
      </c>
      <c r="BJ2059">
        <v>20210827</v>
      </c>
      <c r="BK2059">
        <v>20170926</v>
      </c>
      <c r="BL2059">
        <v>1.53</v>
      </c>
      <c r="BM2059" t="s">
        <v>120</v>
      </c>
      <c r="BN2059" t="s">
        <v>120</v>
      </c>
      <c r="BO2059">
        <v>10.52</v>
      </c>
      <c r="BP2059">
        <v>27.02</v>
      </c>
      <c r="BQ2059">
        <v>4.4800000000000004</v>
      </c>
      <c r="BR2059">
        <v>0.71</v>
      </c>
      <c r="BS2059">
        <v>50.65</v>
      </c>
      <c r="BT2059">
        <v>4.67</v>
      </c>
      <c r="BU2059">
        <v>3.7</v>
      </c>
      <c r="BV2059">
        <v>0.33</v>
      </c>
      <c r="BW2059">
        <v>4.3499999999999996</v>
      </c>
      <c r="BX2059">
        <v>0.76</v>
      </c>
      <c r="BY2059">
        <v>2.09</v>
      </c>
      <c r="BZ2059">
        <v>1.27</v>
      </c>
      <c r="CA2059" t="s">
        <v>120</v>
      </c>
      <c r="CB2059">
        <v>1.7</v>
      </c>
      <c r="CC2059">
        <v>2.41</v>
      </c>
      <c r="CD2059">
        <v>1.99</v>
      </c>
      <c r="CE2059">
        <v>0.1</v>
      </c>
      <c r="CF2059">
        <v>0</v>
      </c>
      <c r="CG2059">
        <v>0.1</v>
      </c>
      <c r="CH2059">
        <v>0.1</v>
      </c>
      <c r="CI2059">
        <v>0.06</v>
      </c>
      <c r="CJ2059">
        <v>-0.59</v>
      </c>
      <c r="CK2059">
        <v>0.04</v>
      </c>
      <c r="CL2059">
        <v>1.22</v>
      </c>
      <c r="CM2059">
        <v>0.47</v>
      </c>
      <c r="CN2059">
        <v>-0.33</v>
      </c>
      <c r="CO2059">
        <v>29418</v>
      </c>
      <c r="CP2059">
        <v>2279</v>
      </c>
      <c r="CQ2059" t="s">
        <v>5621</v>
      </c>
      <c r="CR2059">
        <v>318.69</v>
      </c>
      <c r="CS2059">
        <v>93.4</v>
      </c>
      <c r="CT2059">
        <v>8.52</v>
      </c>
      <c r="CU2059">
        <v>87.6</v>
      </c>
      <c r="CV2059">
        <v>17.14</v>
      </c>
      <c r="CW2059">
        <v>0.03</v>
      </c>
      <c r="CX2059" t="s">
        <v>145</v>
      </c>
      <c r="CY2059">
        <v>3.17</v>
      </c>
      <c r="CZ2059">
        <v>3.17</v>
      </c>
      <c r="DA2059">
        <v>1.1100000000000001</v>
      </c>
      <c r="DB2059">
        <v>0.8</v>
      </c>
      <c r="DC2059">
        <v>0.31</v>
      </c>
      <c r="DD2059">
        <v>42.56</v>
      </c>
      <c r="DE2059" t="s">
        <v>1410</v>
      </c>
      <c r="DF2059">
        <v>17.440000000000001</v>
      </c>
      <c r="DG2059">
        <v>3.96</v>
      </c>
      <c r="DH2059">
        <v>2.5</v>
      </c>
      <c r="DI2059">
        <v>0.11</v>
      </c>
      <c r="DJ2059">
        <v>387</v>
      </c>
      <c r="DK2059">
        <v>300706</v>
      </c>
      <c r="DL2059" t="s">
        <v>120</v>
      </c>
      <c r="DM2059" t="s">
        <v>120</v>
      </c>
      <c r="DN2059" t="s">
        <v>120</v>
      </c>
    </row>
    <row r="2060" spans="1:118">
      <c r="A2060" t="str">
        <f>"300707"</f>
        <v>300707</v>
      </c>
      <c r="B2060" t="s">
        <v>10076</v>
      </c>
      <c r="C2060">
        <v>-4.08</v>
      </c>
      <c r="D2060">
        <v>0.13</v>
      </c>
      <c r="E2060">
        <v>0.66</v>
      </c>
      <c r="F2060">
        <v>806</v>
      </c>
      <c r="G2060" t="s">
        <v>7109</v>
      </c>
      <c r="H2060">
        <v>6610.04</v>
      </c>
      <c r="I2060">
        <v>0.17</v>
      </c>
      <c r="J2060" t="s">
        <v>120</v>
      </c>
      <c r="K2060" t="s">
        <v>10077</v>
      </c>
      <c r="L2060">
        <v>3.7</v>
      </c>
      <c r="M2060">
        <v>16</v>
      </c>
      <c r="N2060">
        <v>1.81</v>
      </c>
      <c r="O2060">
        <v>0.66</v>
      </c>
      <c r="P2060">
        <v>16.79</v>
      </c>
      <c r="Q2060">
        <v>-7.07</v>
      </c>
      <c r="R2060">
        <v>15.5</v>
      </c>
      <c r="S2060">
        <v>16.79</v>
      </c>
      <c r="T2060">
        <v>41223</v>
      </c>
      <c r="U2060">
        <v>16.02</v>
      </c>
      <c r="V2060">
        <v>16.68</v>
      </c>
      <c r="W2060">
        <v>60.47</v>
      </c>
      <c r="X2060" t="s">
        <v>675</v>
      </c>
      <c r="Y2060" t="s">
        <v>319</v>
      </c>
      <c r="Z2060">
        <v>7.73</v>
      </c>
      <c r="AA2060">
        <v>16.03</v>
      </c>
      <c r="AB2060">
        <v>28254</v>
      </c>
      <c r="AC2060">
        <v>12969</v>
      </c>
      <c r="AD2060">
        <v>2.1800000000000002</v>
      </c>
      <c r="AE2060">
        <v>92</v>
      </c>
      <c r="AF2060">
        <v>20</v>
      </c>
      <c r="AG2060" t="s">
        <v>120</v>
      </c>
      <c r="AH2060">
        <v>0</v>
      </c>
      <c r="AI2060" t="s">
        <v>120</v>
      </c>
      <c r="AJ2060">
        <v>1.1100000000000001</v>
      </c>
      <c r="AK2060" t="s">
        <v>10078</v>
      </c>
      <c r="AL2060">
        <v>-2.16</v>
      </c>
      <c r="AM2060">
        <v>1721</v>
      </c>
      <c r="AN2060">
        <v>24</v>
      </c>
      <c r="AO2060">
        <v>2.2000000000000001E-3</v>
      </c>
      <c r="AP2060">
        <v>-6</v>
      </c>
      <c r="AQ2060">
        <v>-1.42</v>
      </c>
      <c r="AR2060">
        <v>-6.21</v>
      </c>
      <c r="AS2060">
        <v>-5.88</v>
      </c>
      <c r="AT2060">
        <v>-3.56</v>
      </c>
      <c r="AU2060">
        <v>-6.93</v>
      </c>
      <c r="AV2060">
        <v>1</v>
      </c>
      <c r="AW2060">
        <v>5.27</v>
      </c>
      <c r="AX2060">
        <v>49.81</v>
      </c>
      <c r="AY2060">
        <v>92.74</v>
      </c>
      <c r="AZ2060">
        <v>82.43</v>
      </c>
      <c r="BA2060">
        <v>1</v>
      </c>
      <c r="BB2060" t="s">
        <v>134</v>
      </c>
      <c r="BF2060">
        <v>-3.87</v>
      </c>
      <c r="BG2060">
        <v>-4.71</v>
      </c>
      <c r="BH2060">
        <v>-4.71</v>
      </c>
      <c r="BI2060">
        <v>3.23</v>
      </c>
      <c r="BJ2060">
        <v>20210814</v>
      </c>
      <c r="BK2060">
        <v>20171010</v>
      </c>
      <c r="BL2060">
        <v>1.57</v>
      </c>
      <c r="BM2060" t="s">
        <v>120</v>
      </c>
      <c r="BN2060" t="s">
        <v>120</v>
      </c>
      <c r="BO2060">
        <v>12.32</v>
      </c>
      <c r="BP2060">
        <v>16</v>
      </c>
      <c r="BQ2060">
        <v>7.34</v>
      </c>
      <c r="BR2060">
        <v>0.08</v>
      </c>
      <c r="BS2060">
        <v>39.75</v>
      </c>
      <c r="BT2060">
        <v>7.97</v>
      </c>
      <c r="BU2060">
        <v>2.31</v>
      </c>
      <c r="BV2060">
        <v>0.54</v>
      </c>
      <c r="BW2060">
        <v>1.89</v>
      </c>
      <c r="BX2060">
        <v>4.1500000000000004</v>
      </c>
      <c r="BY2060">
        <v>1.84</v>
      </c>
      <c r="BZ2060">
        <v>1.76</v>
      </c>
      <c r="CA2060">
        <v>0</v>
      </c>
      <c r="CB2060">
        <v>2.42</v>
      </c>
      <c r="CC2060">
        <v>3.12</v>
      </c>
      <c r="CD2060">
        <v>2.36</v>
      </c>
      <c r="CE2060">
        <v>0.23</v>
      </c>
      <c r="CF2060">
        <v>0</v>
      </c>
      <c r="CG2060">
        <v>0.23</v>
      </c>
      <c r="CH2060">
        <v>0.21</v>
      </c>
      <c r="CI2060">
        <v>0.21</v>
      </c>
      <c r="CJ2060">
        <v>-0.68</v>
      </c>
      <c r="CK2060">
        <v>0.19</v>
      </c>
      <c r="CL2060">
        <v>2.58</v>
      </c>
      <c r="CM2060">
        <v>0.18</v>
      </c>
      <c r="CN2060">
        <v>-0.68</v>
      </c>
      <c r="CO2060">
        <v>11168</v>
      </c>
      <c r="CP2060">
        <v>7005</v>
      </c>
      <c r="CQ2060" t="s">
        <v>10079</v>
      </c>
      <c r="CR2060">
        <v>-14.53</v>
      </c>
      <c r="CS2060">
        <v>21.76</v>
      </c>
      <c r="CT2060">
        <v>3.61</v>
      </c>
      <c r="CU2060">
        <v>141.78</v>
      </c>
      <c r="CV2060">
        <v>8.07</v>
      </c>
      <c r="CW2060">
        <v>0.18</v>
      </c>
      <c r="CX2060" t="s">
        <v>1663</v>
      </c>
      <c r="CY2060">
        <v>4.43</v>
      </c>
      <c r="CZ2060">
        <v>4.43</v>
      </c>
      <c r="DA2060">
        <v>1.54</v>
      </c>
      <c r="DB2060">
        <v>1.64</v>
      </c>
      <c r="DC2060">
        <v>0.11</v>
      </c>
      <c r="DD2060">
        <v>59.56</v>
      </c>
      <c r="DE2060" t="s">
        <v>2379</v>
      </c>
      <c r="DF2060">
        <v>24.15</v>
      </c>
      <c r="DG2060">
        <v>7.46</v>
      </c>
      <c r="DH2060">
        <v>6.67</v>
      </c>
      <c r="DI2060">
        <v>0.14000000000000001</v>
      </c>
      <c r="DJ2060">
        <v>766</v>
      </c>
      <c r="DK2060">
        <v>300707</v>
      </c>
      <c r="DL2060" t="s">
        <v>120</v>
      </c>
      <c r="DM2060" t="s">
        <v>120</v>
      </c>
      <c r="DN2060" t="s">
        <v>120</v>
      </c>
    </row>
    <row r="2061" spans="1:118">
      <c r="A2061" t="str">
        <f>"300708"</f>
        <v>300708</v>
      </c>
      <c r="B2061" t="s">
        <v>10080</v>
      </c>
      <c r="C2061">
        <v>-5.52</v>
      </c>
      <c r="D2061">
        <v>0.06</v>
      </c>
      <c r="E2061">
        <v>-0.67</v>
      </c>
      <c r="F2061">
        <v>1380</v>
      </c>
      <c r="G2061" t="s">
        <v>10081</v>
      </c>
      <c r="H2061">
        <v>38009.35</v>
      </c>
      <c r="I2061">
        <v>61.22</v>
      </c>
      <c r="J2061" t="s">
        <v>120</v>
      </c>
      <c r="K2061" t="s">
        <v>10082</v>
      </c>
      <c r="L2061">
        <v>5.54</v>
      </c>
      <c r="M2061">
        <v>35.29</v>
      </c>
      <c r="N2061">
        <v>0.75</v>
      </c>
      <c r="O2061">
        <v>1.07</v>
      </c>
      <c r="P2061">
        <v>37.75</v>
      </c>
      <c r="Q2061">
        <v>-6.08</v>
      </c>
      <c r="R2061">
        <v>35.08</v>
      </c>
      <c r="S2061">
        <v>37.1</v>
      </c>
      <c r="T2061">
        <v>104293</v>
      </c>
      <c r="U2061">
        <v>35.29</v>
      </c>
      <c r="V2061">
        <v>37.35</v>
      </c>
      <c r="W2061">
        <v>76.069999999999993</v>
      </c>
      <c r="X2061" t="s">
        <v>3245</v>
      </c>
      <c r="Y2061" t="s">
        <v>319</v>
      </c>
      <c r="Z2061">
        <v>7.15</v>
      </c>
      <c r="AA2061">
        <v>36.44</v>
      </c>
      <c r="AB2061">
        <v>60567</v>
      </c>
      <c r="AC2061">
        <v>43726</v>
      </c>
      <c r="AD2061">
        <v>1.39</v>
      </c>
      <c r="AE2061">
        <v>18</v>
      </c>
      <c r="AF2061">
        <v>143</v>
      </c>
      <c r="AG2061" t="s">
        <v>120</v>
      </c>
      <c r="AH2061">
        <v>0.01</v>
      </c>
      <c r="AI2061" t="s">
        <v>120</v>
      </c>
      <c r="AJ2061">
        <v>1.88</v>
      </c>
      <c r="AK2061" t="s">
        <v>10083</v>
      </c>
      <c r="AL2061">
        <v>-3.6</v>
      </c>
      <c r="AM2061">
        <v>3787</v>
      </c>
      <c r="AN2061">
        <v>28</v>
      </c>
      <c r="AO2061">
        <v>1.5E-3</v>
      </c>
      <c r="AP2061">
        <v>-1</v>
      </c>
      <c r="AQ2061">
        <v>0.95</v>
      </c>
      <c r="AR2061">
        <v>-4.6500000000000004</v>
      </c>
      <c r="AS2061">
        <v>-12.58</v>
      </c>
      <c r="AT2061">
        <v>-2.5099999999999998</v>
      </c>
      <c r="AU2061">
        <v>33.22</v>
      </c>
      <c r="AV2061">
        <v>3</v>
      </c>
      <c r="AW2061">
        <v>8.26</v>
      </c>
      <c r="AX2061">
        <v>41.78</v>
      </c>
      <c r="AY2061">
        <v>145.09</v>
      </c>
      <c r="AZ2061">
        <v>528.12</v>
      </c>
      <c r="BA2061">
        <v>0.23</v>
      </c>
      <c r="BB2061" t="s">
        <v>143</v>
      </c>
      <c r="BF2061">
        <v>-2.42</v>
      </c>
      <c r="BG2061">
        <v>-4.88</v>
      </c>
      <c r="BH2061">
        <v>-6.52</v>
      </c>
      <c r="BI2061">
        <v>0.6</v>
      </c>
      <c r="BJ2061">
        <v>20210818</v>
      </c>
      <c r="BK2061">
        <v>20171016</v>
      </c>
      <c r="BL2061">
        <v>3.02</v>
      </c>
      <c r="BM2061" t="s">
        <v>120</v>
      </c>
      <c r="BN2061" t="s">
        <v>120</v>
      </c>
      <c r="BO2061">
        <v>29.71</v>
      </c>
      <c r="BP2061">
        <v>35.28</v>
      </c>
      <c r="BQ2061">
        <v>15.46</v>
      </c>
      <c r="BR2061" t="s">
        <v>120</v>
      </c>
      <c r="BS2061">
        <v>47.97</v>
      </c>
      <c r="BT2061">
        <v>17.71</v>
      </c>
      <c r="BU2061">
        <v>10.27</v>
      </c>
      <c r="BV2061">
        <v>0.2</v>
      </c>
      <c r="BW2061">
        <v>11.42</v>
      </c>
      <c r="BX2061">
        <v>5.19</v>
      </c>
      <c r="BY2061">
        <v>2.23</v>
      </c>
      <c r="BZ2061">
        <v>4.01</v>
      </c>
      <c r="CA2061" t="s">
        <v>120</v>
      </c>
      <c r="CB2061">
        <v>9.5299999999999994</v>
      </c>
      <c r="CC2061">
        <v>9.61</v>
      </c>
      <c r="CD2061">
        <v>8.01</v>
      </c>
      <c r="CE2061">
        <v>0.77</v>
      </c>
      <c r="CF2061">
        <v>0</v>
      </c>
      <c r="CG2061">
        <v>0.76</v>
      </c>
      <c r="CH2061">
        <v>0.7</v>
      </c>
      <c r="CI2061">
        <v>0.7</v>
      </c>
      <c r="CJ2061">
        <v>-2.06</v>
      </c>
      <c r="CK2061">
        <v>0.08</v>
      </c>
      <c r="CL2061">
        <v>2.59</v>
      </c>
      <c r="CM2061">
        <v>3.23</v>
      </c>
      <c r="CN2061">
        <v>1.76</v>
      </c>
      <c r="CO2061">
        <v>56232</v>
      </c>
      <c r="CP2061">
        <v>2245</v>
      </c>
      <c r="CQ2061" t="s">
        <v>3910</v>
      </c>
      <c r="CR2061">
        <v>412.55</v>
      </c>
      <c r="CS2061">
        <v>56.7</v>
      </c>
      <c r="CT2061">
        <v>6.9</v>
      </c>
      <c r="CU2061">
        <v>33.04</v>
      </c>
      <c r="CV2061">
        <v>11.1</v>
      </c>
      <c r="CW2061">
        <v>0.05</v>
      </c>
      <c r="CX2061" t="s">
        <v>670</v>
      </c>
      <c r="CY2061">
        <v>5.1100000000000003</v>
      </c>
      <c r="CZ2061">
        <v>0</v>
      </c>
      <c r="DA2061">
        <v>3.15</v>
      </c>
      <c r="DB2061">
        <v>0.86</v>
      </c>
      <c r="DC2061">
        <v>1.07</v>
      </c>
      <c r="DD2061">
        <v>52.03</v>
      </c>
      <c r="DE2061" t="s">
        <v>10084</v>
      </c>
      <c r="DF2061">
        <v>16.61</v>
      </c>
      <c r="DG2061">
        <v>7.98</v>
      </c>
      <c r="DH2061">
        <v>7.29</v>
      </c>
      <c r="DI2061">
        <v>0.45</v>
      </c>
      <c r="DJ2061">
        <v>1161</v>
      </c>
      <c r="DK2061">
        <v>300708</v>
      </c>
      <c r="DL2061" t="s">
        <v>120</v>
      </c>
      <c r="DM2061" t="s">
        <v>120</v>
      </c>
      <c r="DN2061" t="s">
        <v>120</v>
      </c>
    </row>
    <row r="2062" spans="1:118">
      <c r="A2062" t="str">
        <f>"300709"</f>
        <v>300709</v>
      </c>
      <c r="B2062" t="s">
        <v>10085</v>
      </c>
      <c r="C2062">
        <v>-1.46</v>
      </c>
      <c r="D2062">
        <v>0</v>
      </c>
      <c r="E2062">
        <v>-0.23</v>
      </c>
      <c r="F2062">
        <v>411</v>
      </c>
      <c r="G2062" t="s">
        <v>6875</v>
      </c>
      <c r="H2062">
        <v>10630.39</v>
      </c>
      <c r="I2062">
        <v>87.58</v>
      </c>
      <c r="J2062" t="s">
        <v>120</v>
      </c>
      <c r="K2062" t="s">
        <v>4814</v>
      </c>
      <c r="L2062">
        <v>2.9</v>
      </c>
      <c r="M2062">
        <v>33.79</v>
      </c>
      <c r="N2062">
        <v>0.52</v>
      </c>
      <c r="O2062">
        <v>2.1</v>
      </c>
      <c r="P2062">
        <v>35.01</v>
      </c>
      <c r="Q2062">
        <v>-1.72</v>
      </c>
      <c r="R2062">
        <v>33.700000000000003</v>
      </c>
      <c r="S2062">
        <v>34.21</v>
      </c>
      <c r="T2062">
        <v>30981</v>
      </c>
      <c r="U2062">
        <v>33.799999999999997</v>
      </c>
      <c r="V2062">
        <v>34.29</v>
      </c>
      <c r="W2062">
        <v>144.36000000000001</v>
      </c>
      <c r="X2062" t="s">
        <v>229</v>
      </c>
      <c r="Y2062" t="s">
        <v>319</v>
      </c>
      <c r="Z2062">
        <v>3.82</v>
      </c>
      <c r="AA2062">
        <v>34.31</v>
      </c>
      <c r="AB2062">
        <v>16327</v>
      </c>
      <c r="AC2062">
        <v>14654</v>
      </c>
      <c r="AD2062">
        <v>1.1100000000000001</v>
      </c>
      <c r="AE2062">
        <v>19</v>
      </c>
      <c r="AF2062">
        <v>116</v>
      </c>
      <c r="AG2062" t="s">
        <v>120</v>
      </c>
      <c r="AH2062">
        <v>0.03</v>
      </c>
      <c r="AI2062" t="s">
        <v>120</v>
      </c>
      <c r="AJ2062">
        <v>1.07</v>
      </c>
      <c r="AK2062" t="s">
        <v>10086</v>
      </c>
      <c r="AL2062">
        <v>0.46</v>
      </c>
      <c r="AM2062">
        <v>2221</v>
      </c>
      <c r="AN2062">
        <v>14</v>
      </c>
      <c r="AO2062">
        <v>1.2999999999999999E-3</v>
      </c>
      <c r="AP2062">
        <v>-3</v>
      </c>
      <c r="AQ2062">
        <v>-0.7</v>
      </c>
      <c r="AR2062">
        <v>-4.5599999999999996</v>
      </c>
      <c r="AS2062">
        <v>13.09</v>
      </c>
      <c r="AT2062">
        <v>-12.8</v>
      </c>
      <c r="AU2062">
        <v>-22.93</v>
      </c>
      <c r="AV2062">
        <v>0</v>
      </c>
      <c r="AW2062">
        <v>3.44</v>
      </c>
      <c r="AX2062">
        <v>64.900000000000006</v>
      </c>
      <c r="AY2062">
        <v>39.08</v>
      </c>
      <c r="AZ2062">
        <v>33.520000000000003</v>
      </c>
      <c r="BA2062">
        <v>1.63</v>
      </c>
      <c r="BB2062" t="s">
        <v>125</v>
      </c>
      <c r="BF2062">
        <v>7.0000000000000007E-2</v>
      </c>
      <c r="BG2062">
        <v>-1.23</v>
      </c>
      <c r="BH2062">
        <v>-3.48</v>
      </c>
      <c r="BI2062">
        <v>0.27</v>
      </c>
      <c r="BJ2062">
        <v>20210915</v>
      </c>
      <c r="BK2062">
        <v>20171019</v>
      </c>
      <c r="BL2062">
        <v>1.39</v>
      </c>
      <c r="BM2062" t="s">
        <v>120</v>
      </c>
      <c r="BN2062" t="s">
        <v>120</v>
      </c>
      <c r="BO2062">
        <v>34.119999999999997</v>
      </c>
      <c r="BP2062">
        <v>33.79</v>
      </c>
      <c r="BQ2062">
        <v>17.149999999999999</v>
      </c>
      <c r="BR2062">
        <v>0.3</v>
      </c>
      <c r="BS2062">
        <v>48.85</v>
      </c>
      <c r="BT2062">
        <v>18.329999999999998</v>
      </c>
      <c r="BU2062">
        <v>9.0399999999999991</v>
      </c>
      <c r="BV2062">
        <v>1.57</v>
      </c>
      <c r="BW2062">
        <v>11.94</v>
      </c>
      <c r="BX2062">
        <v>2.9</v>
      </c>
      <c r="BY2062">
        <v>5.47</v>
      </c>
      <c r="BZ2062">
        <v>5.57</v>
      </c>
      <c r="CA2062" t="s">
        <v>120</v>
      </c>
      <c r="CB2062">
        <v>8.56</v>
      </c>
      <c r="CC2062">
        <v>9.1300000000000008</v>
      </c>
      <c r="CD2062">
        <v>7.24</v>
      </c>
      <c r="CE2062">
        <v>0.03</v>
      </c>
      <c r="CF2062">
        <v>0.1</v>
      </c>
      <c r="CG2062">
        <v>0.06</v>
      </c>
      <c r="CH2062">
        <v>0.15</v>
      </c>
      <c r="CI2062">
        <v>0.16</v>
      </c>
      <c r="CJ2062">
        <v>-0.5</v>
      </c>
      <c r="CK2062">
        <v>-0.02</v>
      </c>
      <c r="CL2062">
        <v>5.1100000000000003</v>
      </c>
      <c r="CM2062">
        <v>0.4</v>
      </c>
      <c r="CN2062">
        <v>-4.96</v>
      </c>
      <c r="CO2062">
        <v>19666</v>
      </c>
      <c r="CP2062">
        <v>4576</v>
      </c>
      <c r="CQ2062" t="s">
        <v>10087</v>
      </c>
      <c r="CR2062">
        <v>-55.43</v>
      </c>
      <c r="CS2062">
        <v>50.29</v>
      </c>
      <c r="CT2062">
        <v>2.99</v>
      </c>
      <c r="CU2062">
        <v>118.29</v>
      </c>
      <c r="CV2062">
        <v>5.13</v>
      </c>
      <c r="CW2062">
        <v>0.49</v>
      </c>
      <c r="CX2062" t="s">
        <v>850</v>
      </c>
      <c r="CY2062">
        <v>11.3</v>
      </c>
      <c r="CZ2062">
        <v>11.3</v>
      </c>
      <c r="DA2062">
        <v>6.17</v>
      </c>
      <c r="DB2062">
        <v>3.69</v>
      </c>
      <c r="DC2062">
        <v>0.28999999999999998</v>
      </c>
      <c r="DD2062">
        <v>50.26</v>
      </c>
      <c r="DE2062" t="s">
        <v>344</v>
      </c>
      <c r="DF2062">
        <v>20.76</v>
      </c>
      <c r="DG2062">
        <v>0.36</v>
      </c>
      <c r="DH2062">
        <v>1.78</v>
      </c>
      <c r="DI2062">
        <v>0.84</v>
      </c>
      <c r="DJ2062">
        <v>3152</v>
      </c>
      <c r="DK2062">
        <v>300709</v>
      </c>
      <c r="DL2062" t="s">
        <v>120</v>
      </c>
      <c r="DM2062" t="s">
        <v>120</v>
      </c>
      <c r="DN2062" t="s">
        <v>120</v>
      </c>
    </row>
    <row r="2063" spans="1:118">
      <c r="A2063" t="str">
        <f>"300710"</f>
        <v>300710</v>
      </c>
      <c r="B2063" t="s">
        <v>10088</v>
      </c>
      <c r="C2063">
        <v>0.84</v>
      </c>
      <c r="D2063">
        <v>0.1</v>
      </c>
      <c r="E2063">
        <v>2.61</v>
      </c>
      <c r="F2063">
        <v>595</v>
      </c>
      <c r="G2063" t="s">
        <v>10089</v>
      </c>
      <c r="H2063">
        <v>21819.56</v>
      </c>
      <c r="I2063">
        <v>241.02</v>
      </c>
      <c r="J2063" t="s">
        <v>120</v>
      </c>
      <c r="K2063" t="s">
        <v>10090</v>
      </c>
      <c r="L2063">
        <v>10.3</v>
      </c>
      <c r="M2063">
        <v>47.85</v>
      </c>
      <c r="N2063">
        <v>0.56000000000000005</v>
      </c>
      <c r="O2063">
        <v>3.27</v>
      </c>
      <c r="P2063">
        <v>49</v>
      </c>
      <c r="Q2063">
        <v>-2.57</v>
      </c>
      <c r="R2063">
        <v>46.23</v>
      </c>
      <c r="S2063">
        <v>48.69</v>
      </c>
      <c r="T2063">
        <v>45462</v>
      </c>
      <c r="U2063">
        <v>47.85</v>
      </c>
      <c r="V2063">
        <v>47.45</v>
      </c>
      <c r="W2063">
        <v>175.34</v>
      </c>
      <c r="X2063" t="s">
        <v>462</v>
      </c>
      <c r="Y2063" t="s">
        <v>585</v>
      </c>
      <c r="Z2063">
        <v>5.84</v>
      </c>
      <c r="AA2063">
        <v>48</v>
      </c>
      <c r="AB2063">
        <v>20155</v>
      </c>
      <c r="AC2063">
        <v>25307</v>
      </c>
      <c r="AD2063">
        <v>0.8</v>
      </c>
      <c r="AE2063">
        <v>5</v>
      </c>
      <c r="AF2063">
        <v>42</v>
      </c>
      <c r="AG2063" t="s">
        <v>120</v>
      </c>
      <c r="AH2063">
        <v>0.12</v>
      </c>
      <c r="AI2063" t="s">
        <v>120</v>
      </c>
      <c r="AJ2063">
        <v>0.44</v>
      </c>
      <c r="AK2063" t="s">
        <v>9894</v>
      </c>
      <c r="AL2063">
        <v>2.76</v>
      </c>
      <c r="AM2063">
        <v>2872</v>
      </c>
      <c r="AN2063">
        <v>16</v>
      </c>
      <c r="AO2063">
        <v>3.5999999999999999E-3</v>
      </c>
      <c r="AP2063">
        <v>1</v>
      </c>
      <c r="AQ2063">
        <v>-1.1299999999999999</v>
      </c>
      <c r="AR2063">
        <v>5.07</v>
      </c>
      <c r="AS2063">
        <v>67.14</v>
      </c>
      <c r="AT2063">
        <v>41.61</v>
      </c>
      <c r="AU2063">
        <v>69.86</v>
      </c>
      <c r="AV2063">
        <v>1</v>
      </c>
      <c r="AW2063">
        <v>11.33</v>
      </c>
      <c r="AX2063">
        <v>58.46</v>
      </c>
      <c r="AY2063">
        <v>44.44</v>
      </c>
      <c r="AZ2063">
        <v>53.89</v>
      </c>
      <c r="BA2063">
        <v>1.1100000000000001</v>
      </c>
      <c r="BB2063" t="s">
        <v>184</v>
      </c>
      <c r="BF2063">
        <v>1.1499999999999999</v>
      </c>
      <c r="BG2063">
        <v>-1.73</v>
      </c>
      <c r="BH2063">
        <v>-2.35</v>
      </c>
      <c r="BI2063">
        <v>3.5</v>
      </c>
      <c r="BJ2063">
        <v>20210910</v>
      </c>
      <c r="BK2063">
        <v>20171019</v>
      </c>
      <c r="BL2063">
        <v>0.69</v>
      </c>
      <c r="BM2063" t="s">
        <v>120</v>
      </c>
      <c r="BN2063" t="s">
        <v>120</v>
      </c>
      <c r="BO2063">
        <v>10.19</v>
      </c>
      <c r="BP2063">
        <v>47.81</v>
      </c>
      <c r="BQ2063">
        <v>6.53</v>
      </c>
      <c r="BR2063">
        <v>0.32</v>
      </c>
      <c r="BS2063">
        <v>32.75</v>
      </c>
      <c r="BT2063">
        <v>7.47</v>
      </c>
      <c r="BU2063">
        <v>0.48</v>
      </c>
      <c r="BV2063">
        <v>0.08</v>
      </c>
      <c r="BW2063">
        <v>3.19</v>
      </c>
      <c r="BX2063">
        <v>0.75</v>
      </c>
      <c r="BY2063">
        <v>1.36</v>
      </c>
      <c r="BZ2063">
        <v>2.69</v>
      </c>
      <c r="CA2063" t="s">
        <v>120</v>
      </c>
      <c r="CB2063">
        <v>3.3</v>
      </c>
      <c r="CC2063">
        <v>3.44</v>
      </c>
      <c r="CD2063">
        <v>2.8</v>
      </c>
      <c r="CE2063">
        <v>0.09</v>
      </c>
      <c r="CF2063">
        <v>0.02</v>
      </c>
      <c r="CG2063">
        <v>0.09</v>
      </c>
      <c r="CH2063">
        <v>0.09</v>
      </c>
      <c r="CI2063">
        <v>0.09</v>
      </c>
      <c r="CJ2063">
        <v>0.4</v>
      </c>
      <c r="CK2063">
        <v>0.01</v>
      </c>
      <c r="CL2063">
        <v>2.25</v>
      </c>
      <c r="CM2063">
        <v>-0.01</v>
      </c>
      <c r="CN2063">
        <v>-0.53</v>
      </c>
      <c r="CO2063">
        <v>6483</v>
      </c>
      <c r="CP2063">
        <v>6187</v>
      </c>
      <c r="CQ2063" t="s">
        <v>2934</v>
      </c>
      <c r="CR2063">
        <v>368.55</v>
      </c>
      <c r="CS2063">
        <v>62.2</v>
      </c>
      <c r="CT2063">
        <v>5.03</v>
      </c>
      <c r="CU2063">
        <v>-3772.9</v>
      </c>
      <c r="CV2063">
        <v>9.5500000000000007</v>
      </c>
      <c r="CW2063">
        <v>0.11</v>
      </c>
      <c r="CX2063" t="s">
        <v>10091</v>
      </c>
      <c r="CY2063">
        <v>9.52</v>
      </c>
      <c r="CZ2063">
        <v>0</v>
      </c>
      <c r="DA2063">
        <v>4.8099999999999996</v>
      </c>
      <c r="DB2063">
        <v>3.28</v>
      </c>
      <c r="DC2063">
        <v>-0.01</v>
      </c>
      <c r="DD2063">
        <v>64.13</v>
      </c>
      <c r="DE2063" t="s">
        <v>1242</v>
      </c>
      <c r="DF2063">
        <v>18.649999999999999</v>
      </c>
      <c r="DG2063">
        <v>2.56</v>
      </c>
      <c r="DH2063">
        <v>2.72</v>
      </c>
      <c r="DI2063">
        <v>0.16</v>
      </c>
      <c r="DJ2063">
        <v>785</v>
      </c>
      <c r="DK2063">
        <v>300710</v>
      </c>
      <c r="DL2063">
        <v>20210908</v>
      </c>
      <c r="DM2063">
        <v>40.03</v>
      </c>
      <c r="DN2063">
        <v>19.54</v>
      </c>
    </row>
    <row r="2064" spans="1:118">
      <c r="A2064" t="str">
        <f>"300711"</f>
        <v>300711</v>
      </c>
      <c r="B2064" t="s">
        <v>10092</v>
      </c>
      <c r="C2064">
        <v>-2.8</v>
      </c>
      <c r="D2064">
        <v>7.0000000000000007E-2</v>
      </c>
      <c r="E2064">
        <v>0.21</v>
      </c>
      <c r="F2064">
        <v>828</v>
      </c>
      <c r="G2064" t="s">
        <v>6841</v>
      </c>
      <c r="H2064">
        <v>3771.93</v>
      </c>
      <c r="I2064">
        <v>31.75</v>
      </c>
      <c r="J2064" t="s">
        <v>120</v>
      </c>
      <c r="K2064" t="s">
        <v>4133</v>
      </c>
      <c r="L2064">
        <v>1.29</v>
      </c>
      <c r="M2064">
        <v>13.87</v>
      </c>
      <c r="N2064">
        <v>1.1100000000000001</v>
      </c>
      <c r="O2064">
        <v>1.54</v>
      </c>
      <c r="P2064">
        <v>14.49</v>
      </c>
      <c r="Q2064">
        <v>-3.08</v>
      </c>
      <c r="R2064">
        <v>13.83</v>
      </c>
      <c r="S2064">
        <v>14.3</v>
      </c>
      <c r="T2064">
        <v>26646</v>
      </c>
      <c r="U2064">
        <v>13.88</v>
      </c>
      <c r="V2064">
        <v>14.27</v>
      </c>
      <c r="W2064" t="s">
        <v>120</v>
      </c>
      <c r="X2064" t="s">
        <v>462</v>
      </c>
      <c r="Y2064" t="s">
        <v>547</v>
      </c>
      <c r="Z2064">
        <v>4.63</v>
      </c>
      <c r="AA2064">
        <v>14.16</v>
      </c>
      <c r="AB2064">
        <v>14960</v>
      </c>
      <c r="AC2064">
        <v>11686</v>
      </c>
      <c r="AD2064">
        <v>1.28</v>
      </c>
      <c r="AE2064">
        <v>43</v>
      </c>
      <c r="AF2064">
        <v>200</v>
      </c>
      <c r="AG2064" t="s">
        <v>120</v>
      </c>
      <c r="AH2064">
        <v>0.03</v>
      </c>
      <c r="AI2064" t="s">
        <v>120</v>
      </c>
      <c r="AJ2064">
        <v>2.06</v>
      </c>
      <c r="AK2064" t="s">
        <v>10093</v>
      </c>
      <c r="AL2064">
        <v>-0.89</v>
      </c>
      <c r="AM2064">
        <v>1192</v>
      </c>
      <c r="AN2064">
        <v>22</v>
      </c>
      <c r="AO2064">
        <v>1.1000000000000001E-3</v>
      </c>
      <c r="AP2064">
        <v>-1</v>
      </c>
      <c r="AQ2064">
        <v>7.0000000000000007E-2</v>
      </c>
      <c r="AR2064">
        <v>-3.68</v>
      </c>
      <c r="AS2064">
        <v>-18.690000000000001</v>
      </c>
      <c r="AT2064">
        <v>-14.7</v>
      </c>
      <c r="AU2064">
        <v>-21.2</v>
      </c>
      <c r="AV2064">
        <v>4</v>
      </c>
      <c r="AW2064">
        <v>3.76</v>
      </c>
      <c r="AX2064">
        <v>34.17</v>
      </c>
      <c r="AY2064">
        <v>103.49</v>
      </c>
      <c r="AZ2064">
        <v>96.13</v>
      </c>
      <c r="BA2064">
        <v>0.76</v>
      </c>
      <c r="BB2064" t="s">
        <v>134</v>
      </c>
      <c r="BF2064">
        <v>-0.8</v>
      </c>
      <c r="BG2064">
        <v>-3.01</v>
      </c>
      <c r="BH2064">
        <v>-4.28</v>
      </c>
      <c r="BI2064">
        <v>0.28999999999999998</v>
      </c>
      <c r="BJ2064">
        <v>20210821</v>
      </c>
      <c r="BK2064">
        <v>20171101</v>
      </c>
      <c r="BL2064">
        <v>2.08</v>
      </c>
      <c r="BM2064" t="s">
        <v>120</v>
      </c>
      <c r="BN2064" t="s">
        <v>120</v>
      </c>
      <c r="BO2064">
        <v>7.72</v>
      </c>
      <c r="BP2064">
        <v>13.87</v>
      </c>
      <c r="BQ2064">
        <v>5.86</v>
      </c>
      <c r="BR2064" t="s">
        <v>120</v>
      </c>
      <c r="BS2064">
        <v>24.09</v>
      </c>
      <c r="BT2064">
        <v>6.9</v>
      </c>
      <c r="BU2064">
        <v>0.53</v>
      </c>
      <c r="BV2064">
        <v>0.12</v>
      </c>
      <c r="BW2064">
        <v>1.85</v>
      </c>
      <c r="BX2064">
        <v>3.42</v>
      </c>
      <c r="BY2064">
        <v>2.2000000000000002</v>
      </c>
      <c r="BZ2064">
        <v>1.1399999999999999</v>
      </c>
      <c r="CA2064">
        <v>0</v>
      </c>
      <c r="CB2064">
        <v>1.92</v>
      </c>
      <c r="CC2064">
        <v>0.89</v>
      </c>
      <c r="CD2064">
        <v>0.35</v>
      </c>
      <c r="CE2064">
        <v>-7.0000000000000007E-2</v>
      </c>
      <c r="CF2064">
        <v>0</v>
      </c>
      <c r="CG2064">
        <v>-0.06</v>
      </c>
      <c r="CH2064">
        <v>-0.05</v>
      </c>
      <c r="CI2064">
        <v>-0.05</v>
      </c>
      <c r="CJ2064">
        <v>-0.4</v>
      </c>
      <c r="CK2064">
        <v>-0.06</v>
      </c>
      <c r="CL2064">
        <v>1.59</v>
      </c>
      <c r="CM2064">
        <v>-0.11</v>
      </c>
      <c r="CN2064">
        <v>-0.23</v>
      </c>
      <c r="CO2064">
        <v>18468</v>
      </c>
      <c r="CP2064">
        <v>3842</v>
      </c>
      <c r="CQ2064" t="s">
        <v>5037</v>
      </c>
      <c r="CR2064">
        <v>-79.959999999999994</v>
      </c>
      <c r="CS2064">
        <v>15.96</v>
      </c>
      <c r="CT2064">
        <v>4.91</v>
      </c>
      <c r="CU2064">
        <v>-259.52999999999997</v>
      </c>
      <c r="CV2064">
        <v>32.49</v>
      </c>
      <c r="CW2064">
        <v>0.27</v>
      </c>
      <c r="CX2064" t="s">
        <v>8680</v>
      </c>
      <c r="CY2064">
        <v>2.82</v>
      </c>
      <c r="CZ2064">
        <v>0</v>
      </c>
      <c r="DA2064">
        <v>0.93</v>
      </c>
      <c r="DB2064">
        <v>0.77</v>
      </c>
      <c r="DC2064">
        <v>-0.05</v>
      </c>
      <c r="DD2064">
        <v>75.91</v>
      </c>
      <c r="DE2064" t="s">
        <v>5914</v>
      </c>
      <c r="DF2064">
        <v>60.09</v>
      </c>
      <c r="DG2064">
        <v>-8.1199999999999992</v>
      </c>
      <c r="DH2064">
        <v>-5.57</v>
      </c>
      <c r="DI2064">
        <v>0.23</v>
      </c>
      <c r="DJ2064">
        <v>422</v>
      </c>
      <c r="DK2064">
        <v>300711</v>
      </c>
      <c r="DL2064" t="s">
        <v>120</v>
      </c>
      <c r="DM2064" t="s">
        <v>120</v>
      </c>
      <c r="DN2064" t="s">
        <v>120</v>
      </c>
    </row>
    <row r="2065" spans="1:118">
      <c r="A2065" t="str">
        <f>"300712"</f>
        <v>300712</v>
      </c>
      <c r="B2065" t="s">
        <v>10094</v>
      </c>
      <c r="C2065">
        <v>-11.54</v>
      </c>
      <c r="D2065">
        <v>-0.01</v>
      </c>
      <c r="E2065">
        <v>-0.97</v>
      </c>
      <c r="F2065">
        <v>1217</v>
      </c>
      <c r="G2065" t="s">
        <v>10095</v>
      </c>
      <c r="H2065">
        <v>53845.43</v>
      </c>
      <c r="I2065">
        <v>226.27</v>
      </c>
      <c r="J2065" t="s">
        <v>120</v>
      </c>
      <c r="K2065" t="s">
        <v>10096</v>
      </c>
      <c r="L2065">
        <v>5.57</v>
      </c>
      <c r="M2065">
        <v>51.04</v>
      </c>
      <c r="N2065">
        <v>1.25</v>
      </c>
      <c r="O2065">
        <v>-0.69</v>
      </c>
      <c r="P2065">
        <v>57.3</v>
      </c>
      <c r="Q2065">
        <v>-11.85</v>
      </c>
      <c r="R2065">
        <v>50.86</v>
      </c>
      <c r="S2065">
        <v>57.14</v>
      </c>
      <c r="T2065">
        <v>101501</v>
      </c>
      <c r="U2065">
        <v>51.04</v>
      </c>
      <c r="V2065">
        <v>57.7</v>
      </c>
      <c r="W2065">
        <v>362.99</v>
      </c>
      <c r="X2065" t="s">
        <v>175</v>
      </c>
      <c r="Y2065" t="s">
        <v>937</v>
      </c>
      <c r="Z2065">
        <v>11.16</v>
      </c>
      <c r="AA2065">
        <v>53.05</v>
      </c>
      <c r="AB2065">
        <v>52798</v>
      </c>
      <c r="AC2065">
        <v>48703</v>
      </c>
      <c r="AD2065">
        <v>1.08</v>
      </c>
      <c r="AE2065">
        <v>29</v>
      </c>
      <c r="AF2065">
        <v>28</v>
      </c>
      <c r="AG2065" t="s">
        <v>120</v>
      </c>
      <c r="AH2065">
        <v>0.05</v>
      </c>
      <c r="AI2065" t="s">
        <v>120</v>
      </c>
      <c r="AJ2065">
        <v>1.82</v>
      </c>
      <c r="AK2065" t="s">
        <v>10096</v>
      </c>
      <c r="AL2065">
        <v>-9.6300000000000008</v>
      </c>
      <c r="AM2065">
        <v>3840</v>
      </c>
      <c r="AN2065">
        <v>26</v>
      </c>
      <c r="AO2065">
        <v>1.5E-3</v>
      </c>
      <c r="AP2065">
        <v>-2</v>
      </c>
      <c r="AQ2065">
        <v>-2.5299999999999998</v>
      </c>
      <c r="AR2065">
        <v>-12.3</v>
      </c>
      <c r="AS2065">
        <v>-15.65</v>
      </c>
      <c r="AT2065">
        <v>31.55</v>
      </c>
      <c r="AU2065">
        <v>101.9</v>
      </c>
      <c r="AV2065">
        <v>2</v>
      </c>
      <c r="AW2065">
        <v>12.36</v>
      </c>
      <c r="AX2065">
        <v>45.11</v>
      </c>
      <c r="AY2065">
        <v>312.68</v>
      </c>
      <c r="AZ2065">
        <v>206.36</v>
      </c>
      <c r="BA2065">
        <v>2.31</v>
      </c>
      <c r="BB2065" t="s">
        <v>143</v>
      </c>
      <c r="BF2065">
        <v>-8.06</v>
      </c>
      <c r="BG2065">
        <v>-10.68</v>
      </c>
      <c r="BH2065">
        <v>-10.92</v>
      </c>
      <c r="BI2065">
        <v>0.35</v>
      </c>
      <c r="BJ2065">
        <v>20210826</v>
      </c>
      <c r="BK2065">
        <v>20171031</v>
      </c>
      <c r="BL2065">
        <v>1.82</v>
      </c>
      <c r="BM2065" t="s">
        <v>120</v>
      </c>
      <c r="BN2065" t="s">
        <v>120</v>
      </c>
      <c r="BO2065">
        <v>23.65</v>
      </c>
      <c r="BP2065">
        <v>51.03</v>
      </c>
      <c r="BQ2065">
        <v>10.45</v>
      </c>
      <c r="BR2065">
        <v>0.13</v>
      </c>
      <c r="BS2065">
        <v>55.24</v>
      </c>
      <c r="BT2065">
        <v>19.73</v>
      </c>
      <c r="BU2065">
        <v>2.25</v>
      </c>
      <c r="BV2065">
        <v>0.34</v>
      </c>
      <c r="BW2065">
        <v>12.97</v>
      </c>
      <c r="BX2065">
        <v>3.08</v>
      </c>
      <c r="BY2065">
        <v>1.62</v>
      </c>
      <c r="BZ2065">
        <v>6.45</v>
      </c>
      <c r="CA2065" t="s">
        <v>120</v>
      </c>
      <c r="CB2065">
        <v>4.93</v>
      </c>
      <c r="CC2065">
        <v>5.7</v>
      </c>
      <c r="CD2065">
        <v>4.38</v>
      </c>
      <c r="CE2065">
        <v>0.16</v>
      </c>
      <c r="CF2065">
        <v>0.09</v>
      </c>
      <c r="CG2065">
        <v>0.16</v>
      </c>
      <c r="CH2065">
        <v>0.06</v>
      </c>
      <c r="CI2065">
        <v>0.13</v>
      </c>
      <c r="CJ2065">
        <v>-6.66</v>
      </c>
      <c r="CK2065">
        <v>0.03</v>
      </c>
      <c r="CL2065">
        <v>3.24</v>
      </c>
      <c r="CM2065">
        <v>0.16</v>
      </c>
      <c r="CN2065">
        <v>-0.68</v>
      </c>
      <c r="CO2065">
        <v>9007</v>
      </c>
      <c r="CP2065">
        <v>9120</v>
      </c>
      <c r="CQ2065" t="s">
        <v>10097</v>
      </c>
      <c r="CR2065">
        <v>-57.49</v>
      </c>
      <c r="CS2065">
        <v>24.82</v>
      </c>
      <c r="CT2065">
        <v>8.89</v>
      </c>
      <c r="CU2065">
        <v>574.16</v>
      </c>
      <c r="CV2065">
        <v>16.3</v>
      </c>
      <c r="CW2065">
        <v>0.17</v>
      </c>
      <c r="CX2065" t="s">
        <v>679</v>
      </c>
      <c r="CY2065">
        <v>5.74</v>
      </c>
      <c r="CZ2065">
        <v>0</v>
      </c>
      <c r="DA2065">
        <v>2.71</v>
      </c>
      <c r="DB2065">
        <v>1.78</v>
      </c>
      <c r="DC2065">
        <v>0.09</v>
      </c>
      <c r="DD2065">
        <v>44.19</v>
      </c>
      <c r="DE2065" t="s">
        <v>6498</v>
      </c>
      <c r="DF2065">
        <v>23.12</v>
      </c>
      <c r="DG2065">
        <v>2.78</v>
      </c>
      <c r="DH2065">
        <v>2.2400000000000002</v>
      </c>
      <c r="DI2065">
        <v>0.25</v>
      </c>
      <c r="DJ2065">
        <v>1138</v>
      </c>
      <c r="DK2065">
        <v>300712</v>
      </c>
      <c r="DL2065">
        <v>20210121</v>
      </c>
      <c r="DM2065">
        <v>24.44</v>
      </c>
      <c r="DN2065">
        <v>109.25</v>
      </c>
    </row>
    <row r="2066" spans="1:118">
      <c r="A2066" t="str">
        <f>"300713"</f>
        <v>300713</v>
      </c>
      <c r="B2066" t="s">
        <v>10098</v>
      </c>
      <c r="C2066">
        <v>-1.07</v>
      </c>
      <c r="D2066">
        <v>0</v>
      </c>
      <c r="E2066">
        <v>0.96</v>
      </c>
      <c r="F2066">
        <v>418</v>
      </c>
      <c r="G2066" t="s">
        <v>10099</v>
      </c>
      <c r="H2066">
        <v>7204.15</v>
      </c>
      <c r="I2066">
        <v>14.73</v>
      </c>
      <c r="J2066" t="s">
        <v>120</v>
      </c>
      <c r="K2066" t="s">
        <v>10100</v>
      </c>
      <c r="L2066">
        <v>4.21</v>
      </c>
      <c r="M2066">
        <v>18.5</v>
      </c>
      <c r="N2066">
        <v>1.23</v>
      </c>
      <c r="O2066">
        <v>3.05</v>
      </c>
      <c r="P2066">
        <v>19.27</v>
      </c>
      <c r="Q2066">
        <v>-1.07</v>
      </c>
      <c r="R2066">
        <v>18.5</v>
      </c>
      <c r="S2066">
        <v>18.88</v>
      </c>
      <c r="T2066">
        <v>38068</v>
      </c>
      <c r="U2066">
        <v>18.510000000000002</v>
      </c>
      <c r="V2066">
        <v>18.7</v>
      </c>
      <c r="W2066">
        <v>152.9</v>
      </c>
      <c r="X2066" t="s">
        <v>394</v>
      </c>
      <c r="Y2066" t="s">
        <v>123</v>
      </c>
      <c r="Z2066">
        <v>4.12</v>
      </c>
      <c r="AA2066">
        <v>18.920000000000002</v>
      </c>
      <c r="AB2066">
        <v>20226</v>
      </c>
      <c r="AC2066">
        <v>17842</v>
      </c>
      <c r="AD2066">
        <v>1.1299999999999999</v>
      </c>
      <c r="AE2066">
        <v>358</v>
      </c>
      <c r="AF2066">
        <v>14</v>
      </c>
      <c r="AG2066" t="s">
        <v>120</v>
      </c>
      <c r="AH2066">
        <v>0.02</v>
      </c>
      <c r="AI2066" t="s">
        <v>120</v>
      </c>
      <c r="AJ2066">
        <v>0.9</v>
      </c>
      <c r="AK2066" t="s">
        <v>10101</v>
      </c>
      <c r="AL2066">
        <v>0.84</v>
      </c>
      <c r="AM2066">
        <v>1809</v>
      </c>
      <c r="AN2066">
        <v>21</v>
      </c>
      <c r="AO2066">
        <v>2.3E-3</v>
      </c>
      <c r="AP2066">
        <v>-1</v>
      </c>
      <c r="AQ2066">
        <v>1.36</v>
      </c>
      <c r="AR2066">
        <v>0.99</v>
      </c>
      <c r="AS2066">
        <v>-7.27</v>
      </c>
      <c r="AT2066">
        <v>10.119999999999999</v>
      </c>
      <c r="AU2066">
        <v>-6.01</v>
      </c>
      <c r="AV2066">
        <v>7</v>
      </c>
      <c r="AW2066">
        <v>7.39</v>
      </c>
      <c r="AX2066">
        <v>32.64</v>
      </c>
      <c r="AY2066">
        <v>90.66</v>
      </c>
      <c r="AZ2066">
        <v>103.95</v>
      </c>
      <c r="BA2066">
        <v>0.88</v>
      </c>
      <c r="BB2066" t="s">
        <v>143</v>
      </c>
      <c r="BF2066">
        <v>1.2</v>
      </c>
      <c r="BG2066">
        <v>-2.0099999999999998</v>
      </c>
      <c r="BH2066">
        <v>-4</v>
      </c>
      <c r="BI2066">
        <v>0</v>
      </c>
      <c r="BJ2066">
        <v>20210825</v>
      </c>
      <c r="BK2066">
        <v>20171101</v>
      </c>
      <c r="BL2066">
        <v>1.58</v>
      </c>
      <c r="BM2066" t="s">
        <v>120</v>
      </c>
      <c r="BN2066" t="s">
        <v>120</v>
      </c>
      <c r="BO2066">
        <v>9.6</v>
      </c>
      <c r="BP2066">
        <v>18.5</v>
      </c>
      <c r="BQ2066">
        <v>7.3</v>
      </c>
      <c r="BR2066">
        <v>0.01</v>
      </c>
      <c r="BS2066">
        <v>23.89</v>
      </c>
      <c r="BT2066">
        <v>6.42</v>
      </c>
      <c r="BU2066">
        <v>1.0900000000000001</v>
      </c>
      <c r="BV2066">
        <v>0.92</v>
      </c>
      <c r="BW2066">
        <v>1.96</v>
      </c>
      <c r="BX2066">
        <v>1.27</v>
      </c>
      <c r="BY2066">
        <v>0.96</v>
      </c>
      <c r="BZ2066">
        <v>1.77</v>
      </c>
      <c r="CA2066" t="s">
        <v>120</v>
      </c>
      <c r="CB2066">
        <v>3.4</v>
      </c>
      <c r="CC2066">
        <v>1.22</v>
      </c>
      <c r="CD2066">
        <v>0.86</v>
      </c>
      <c r="CE2066">
        <v>0.08</v>
      </c>
      <c r="CF2066">
        <v>0.01</v>
      </c>
      <c r="CG2066">
        <v>0.1</v>
      </c>
      <c r="CH2066">
        <v>0.09</v>
      </c>
      <c r="CI2066">
        <v>0.1</v>
      </c>
      <c r="CJ2066">
        <v>-0.2</v>
      </c>
      <c r="CK2066">
        <v>0.05</v>
      </c>
      <c r="CL2066">
        <v>2.06</v>
      </c>
      <c r="CM2066">
        <v>0.15</v>
      </c>
      <c r="CN2066">
        <v>0.05</v>
      </c>
      <c r="CO2066">
        <v>16383</v>
      </c>
      <c r="CP2066">
        <v>3144</v>
      </c>
      <c r="CQ2066" t="s">
        <v>5913</v>
      </c>
      <c r="CR2066">
        <v>77.23</v>
      </c>
      <c r="CS2066">
        <v>17.53</v>
      </c>
      <c r="CT2066">
        <v>4</v>
      </c>
      <c r="CU2066">
        <v>194.46</v>
      </c>
      <c r="CV2066">
        <v>23.95</v>
      </c>
      <c r="CW2066">
        <v>0</v>
      </c>
      <c r="CX2066" t="s">
        <v>1064</v>
      </c>
      <c r="CY2066">
        <v>4.63</v>
      </c>
      <c r="CZ2066">
        <v>0</v>
      </c>
      <c r="DA2066">
        <v>2.15</v>
      </c>
      <c r="DB2066">
        <v>1.31</v>
      </c>
      <c r="DC2066">
        <v>0.1</v>
      </c>
      <c r="DD2066">
        <v>76.010000000000005</v>
      </c>
      <c r="DE2066" t="s">
        <v>5272</v>
      </c>
      <c r="DF2066">
        <v>29.37</v>
      </c>
      <c r="DG2066">
        <v>6.88</v>
      </c>
      <c r="DH2066">
        <v>7.83</v>
      </c>
      <c r="DI2066">
        <v>0.17</v>
      </c>
      <c r="DJ2066">
        <v>494</v>
      </c>
      <c r="DK2066">
        <v>300713</v>
      </c>
      <c r="DL2066" t="s">
        <v>120</v>
      </c>
      <c r="DM2066" t="s">
        <v>120</v>
      </c>
      <c r="DN2066" t="s">
        <v>120</v>
      </c>
    </row>
    <row r="2067" spans="1:118">
      <c r="A2067" t="str">
        <f>"300715"</f>
        <v>300715</v>
      </c>
      <c r="B2067" t="s">
        <v>10102</v>
      </c>
      <c r="C2067">
        <v>-5.92</v>
      </c>
      <c r="D2067">
        <v>-0.11</v>
      </c>
      <c r="E2067">
        <v>-2.2999999999999998</v>
      </c>
      <c r="F2067">
        <v>842</v>
      </c>
      <c r="G2067" t="s">
        <v>10103</v>
      </c>
      <c r="H2067">
        <v>27034.32</v>
      </c>
      <c r="I2067">
        <v>803.88</v>
      </c>
      <c r="J2067" t="s">
        <v>120</v>
      </c>
      <c r="K2067" t="s">
        <v>10104</v>
      </c>
      <c r="L2067">
        <v>3.84</v>
      </c>
      <c r="M2067">
        <v>24.93</v>
      </c>
      <c r="N2067">
        <v>1.04</v>
      </c>
      <c r="O2067">
        <v>-1.74</v>
      </c>
      <c r="P2067">
        <v>26.04</v>
      </c>
      <c r="Q2067">
        <v>-6.42</v>
      </c>
      <c r="R2067">
        <v>24.8</v>
      </c>
      <c r="S2067">
        <v>25.89</v>
      </c>
      <c r="T2067">
        <v>106465</v>
      </c>
      <c r="U2067">
        <v>24.94</v>
      </c>
      <c r="V2067">
        <v>26.5</v>
      </c>
      <c r="W2067">
        <v>35.090000000000003</v>
      </c>
      <c r="X2067" t="s">
        <v>247</v>
      </c>
      <c r="Y2067" t="s">
        <v>319</v>
      </c>
      <c r="Z2067">
        <v>4.68</v>
      </c>
      <c r="AA2067">
        <v>25.39</v>
      </c>
      <c r="AB2067">
        <v>61470</v>
      </c>
      <c r="AC2067">
        <v>44995</v>
      </c>
      <c r="AD2067">
        <v>1.37</v>
      </c>
      <c r="AE2067">
        <v>101</v>
      </c>
      <c r="AF2067">
        <v>106</v>
      </c>
      <c r="AG2067" t="s">
        <v>120</v>
      </c>
      <c r="AH2067">
        <v>0.24</v>
      </c>
      <c r="AI2067" t="s">
        <v>120</v>
      </c>
      <c r="AJ2067">
        <v>2.77</v>
      </c>
      <c r="AK2067" t="s">
        <v>10105</v>
      </c>
      <c r="AL2067">
        <v>-4.01</v>
      </c>
      <c r="AM2067">
        <v>3101</v>
      </c>
      <c r="AN2067">
        <v>34</v>
      </c>
      <c r="AO2067">
        <v>1.1999999999999999E-3</v>
      </c>
      <c r="AP2067">
        <v>-3</v>
      </c>
      <c r="AQ2067">
        <v>-1.85</v>
      </c>
      <c r="AR2067">
        <v>-9.2799999999999994</v>
      </c>
      <c r="AS2067">
        <v>3.28</v>
      </c>
      <c r="AT2067">
        <v>3.19</v>
      </c>
      <c r="AU2067">
        <v>14.76</v>
      </c>
      <c r="AV2067">
        <v>1</v>
      </c>
      <c r="AW2067">
        <v>8.1199999999999992</v>
      </c>
      <c r="AX2067">
        <v>33.590000000000003</v>
      </c>
      <c r="AY2067">
        <v>31.55</v>
      </c>
      <c r="AZ2067">
        <v>37.119999999999997</v>
      </c>
      <c r="BA2067">
        <v>0.33</v>
      </c>
      <c r="BB2067" t="s">
        <v>143</v>
      </c>
      <c r="BF2067">
        <v>-4.18</v>
      </c>
      <c r="BG2067">
        <v>-3.71</v>
      </c>
      <c r="BH2067">
        <v>-4.26</v>
      </c>
      <c r="BI2067">
        <v>0.52</v>
      </c>
      <c r="BJ2067">
        <v>20210903</v>
      </c>
      <c r="BK2067">
        <v>20171026</v>
      </c>
      <c r="BL2067">
        <v>3.9</v>
      </c>
      <c r="BM2067" t="s">
        <v>120</v>
      </c>
      <c r="BN2067" t="s">
        <v>120</v>
      </c>
      <c r="BO2067">
        <v>57.08</v>
      </c>
      <c r="BP2067">
        <v>24.93</v>
      </c>
      <c r="BQ2067">
        <v>28.66</v>
      </c>
      <c r="BR2067">
        <v>0.03</v>
      </c>
      <c r="BS2067">
        <v>49.73</v>
      </c>
      <c r="BT2067">
        <v>46.61</v>
      </c>
      <c r="BU2067">
        <v>5.34</v>
      </c>
      <c r="BV2067">
        <v>1.44</v>
      </c>
      <c r="BW2067">
        <v>22.81</v>
      </c>
      <c r="BX2067">
        <v>16.45</v>
      </c>
      <c r="BY2067">
        <v>2.78</v>
      </c>
      <c r="BZ2067">
        <v>12.42</v>
      </c>
      <c r="CA2067" t="s">
        <v>120</v>
      </c>
      <c r="CB2067">
        <v>19.489999999999998</v>
      </c>
      <c r="CC2067">
        <v>12.19</v>
      </c>
      <c r="CD2067">
        <v>7.95</v>
      </c>
      <c r="CE2067">
        <v>1.62</v>
      </c>
      <c r="CF2067">
        <v>0.01</v>
      </c>
      <c r="CG2067">
        <v>1.61</v>
      </c>
      <c r="CH2067">
        <v>1.39</v>
      </c>
      <c r="CI2067">
        <v>1.39</v>
      </c>
      <c r="CJ2067">
        <v>-1.57</v>
      </c>
      <c r="CK2067">
        <v>1.21</v>
      </c>
      <c r="CL2067">
        <v>5.33</v>
      </c>
      <c r="CM2067">
        <v>-3.7</v>
      </c>
      <c r="CN2067">
        <v>9.43</v>
      </c>
      <c r="CO2067">
        <v>11396</v>
      </c>
      <c r="CP2067">
        <v>11500</v>
      </c>
      <c r="CQ2067" t="s">
        <v>10106</v>
      </c>
      <c r="CR2067">
        <v>54.97</v>
      </c>
      <c r="CS2067">
        <v>58.35</v>
      </c>
      <c r="CT2067">
        <v>3.39</v>
      </c>
      <c r="CU2067">
        <v>-26.28</v>
      </c>
      <c r="CV2067">
        <v>7.98</v>
      </c>
      <c r="CW2067">
        <v>0.99</v>
      </c>
      <c r="CX2067" t="s">
        <v>2809</v>
      </c>
      <c r="CY2067">
        <v>7.35</v>
      </c>
      <c r="CZ2067">
        <v>0</v>
      </c>
      <c r="DA2067">
        <v>4.99</v>
      </c>
      <c r="DB2067">
        <v>1.37</v>
      </c>
      <c r="DC2067">
        <v>-0.95</v>
      </c>
      <c r="DD2067">
        <v>50.22</v>
      </c>
      <c r="DE2067" t="s">
        <v>2865</v>
      </c>
      <c r="DF2067">
        <v>34.799999999999997</v>
      </c>
      <c r="DG2067">
        <v>13.31</v>
      </c>
      <c r="DH2067">
        <v>11.37</v>
      </c>
      <c r="DI2067">
        <v>0.57999999999999996</v>
      </c>
      <c r="DJ2067">
        <v>1316</v>
      </c>
      <c r="DK2067">
        <v>300715</v>
      </c>
      <c r="DL2067" t="s">
        <v>120</v>
      </c>
      <c r="DM2067" t="s">
        <v>120</v>
      </c>
      <c r="DN2067" t="s">
        <v>120</v>
      </c>
    </row>
    <row r="2068" spans="1:118">
      <c r="A2068" t="str">
        <f>"300716"</f>
        <v>300716</v>
      </c>
      <c r="B2068" t="s">
        <v>10107</v>
      </c>
      <c r="C2068">
        <v>19.98</v>
      </c>
      <c r="D2068">
        <v>0</v>
      </c>
      <c r="E2068">
        <v>0.09</v>
      </c>
      <c r="F2068">
        <v>710</v>
      </c>
      <c r="G2068" t="s">
        <v>10108</v>
      </c>
      <c r="H2068">
        <v>28696.87</v>
      </c>
      <c r="I2068">
        <v>194.09</v>
      </c>
      <c r="J2068">
        <v>4192.05</v>
      </c>
      <c r="K2068" t="s">
        <v>6903</v>
      </c>
      <c r="L2068">
        <v>14.51</v>
      </c>
      <c r="M2068">
        <v>12.79</v>
      </c>
      <c r="N2068">
        <v>3.9</v>
      </c>
      <c r="O2068">
        <v>19.98</v>
      </c>
      <c r="P2068">
        <v>12.79</v>
      </c>
      <c r="Q2068">
        <v>-0.28000000000000003</v>
      </c>
      <c r="R2068">
        <v>10.63</v>
      </c>
      <c r="S2068">
        <v>10.67</v>
      </c>
      <c r="T2068">
        <v>232160</v>
      </c>
      <c r="U2068" t="s">
        <v>120</v>
      </c>
      <c r="V2068">
        <v>10.66</v>
      </c>
      <c r="W2068">
        <v>48.39</v>
      </c>
      <c r="X2068" t="s">
        <v>2211</v>
      </c>
      <c r="Y2068" t="s">
        <v>547</v>
      </c>
      <c r="Z2068">
        <v>20.260000000000002</v>
      </c>
      <c r="AA2068">
        <v>12.36</v>
      </c>
      <c r="AB2068">
        <v>145788</v>
      </c>
      <c r="AC2068">
        <v>86372</v>
      </c>
      <c r="AD2068">
        <v>1.69</v>
      </c>
      <c r="AE2068">
        <v>32776</v>
      </c>
      <c r="AF2068">
        <v>0</v>
      </c>
      <c r="AG2068" t="s">
        <v>120</v>
      </c>
      <c r="AH2068">
        <v>0.24</v>
      </c>
      <c r="AI2068">
        <v>0.14000000000000001</v>
      </c>
      <c r="AJ2068">
        <v>1.6</v>
      </c>
      <c r="AK2068" t="s">
        <v>6903</v>
      </c>
      <c r="AL2068">
        <v>21.89</v>
      </c>
      <c r="AM2068">
        <v>1505</v>
      </c>
      <c r="AN2068">
        <v>154</v>
      </c>
      <c r="AO2068">
        <v>9.5999999999999992E-3</v>
      </c>
      <c r="AP2068">
        <v>2</v>
      </c>
      <c r="AQ2068">
        <v>7.35</v>
      </c>
      <c r="AR2068">
        <v>25.89</v>
      </c>
      <c r="AS2068">
        <v>26.63</v>
      </c>
      <c r="AT2068">
        <v>30.65</v>
      </c>
      <c r="AU2068">
        <v>50.65</v>
      </c>
      <c r="AV2068">
        <v>1</v>
      </c>
      <c r="AW2068">
        <v>30.97</v>
      </c>
      <c r="AX2068">
        <v>46.85</v>
      </c>
      <c r="AY2068" t="s">
        <v>120</v>
      </c>
      <c r="AZ2068" t="s">
        <v>120</v>
      </c>
      <c r="BA2068">
        <v>1.1200000000000001</v>
      </c>
      <c r="BB2068" t="s">
        <v>751</v>
      </c>
      <c r="BF2068">
        <v>15.96</v>
      </c>
      <c r="BG2068">
        <v>19.87</v>
      </c>
      <c r="BH2068">
        <v>0</v>
      </c>
      <c r="BI2068">
        <v>20.32</v>
      </c>
      <c r="BJ2068">
        <v>20210830</v>
      </c>
      <c r="BK2068">
        <v>20171109</v>
      </c>
      <c r="BL2068">
        <v>1.6</v>
      </c>
      <c r="BM2068" t="s">
        <v>120</v>
      </c>
      <c r="BN2068" t="s">
        <v>120</v>
      </c>
      <c r="BO2068">
        <v>21.64</v>
      </c>
      <c r="BP2068">
        <v>12.79</v>
      </c>
      <c r="BQ2068">
        <v>5.34</v>
      </c>
      <c r="BR2068">
        <v>0.92</v>
      </c>
      <c r="BS2068">
        <v>71.05</v>
      </c>
      <c r="BT2068">
        <v>11.16</v>
      </c>
      <c r="BU2068">
        <v>6.07</v>
      </c>
      <c r="BV2068">
        <v>0.57999999999999996</v>
      </c>
      <c r="BW2068">
        <v>11.06</v>
      </c>
      <c r="BX2068">
        <v>1.38</v>
      </c>
      <c r="BY2068">
        <v>3.12</v>
      </c>
      <c r="BZ2068">
        <v>5.67</v>
      </c>
      <c r="CA2068">
        <v>0.06</v>
      </c>
      <c r="CB2068">
        <v>4.5</v>
      </c>
      <c r="CC2068">
        <v>10.28</v>
      </c>
      <c r="CD2068">
        <v>8.73</v>
      </c>
      <c r="CE2068">
        <v>0.21</v>
      </c>
      <c r="CF2068">
        <v>0.14000000000000001</v>
      </c>
      <c r="CG2068">
        <v>0.21</v>
      </c>
      <c r="CH2068">
        <v>0.15</v>
      </c>
      <c r="CI2068">
        <v>0.21</v>
      </c>
      <c r="CJ2068">
        <v>2.13</v>
      </c>
      <c r="CK2068">
        <v>0.05</v>
      </c>
      <c r="CL2068">
        <v>-0.98</v>
      </c>
      <c r="CM2068">
        <v>0.26</v>
      </c>
      <c r="CN2068">
        <v>-0.62</v>
      </c>
      <c r="CO2068">
        <v>10458</v>
      </c>
      <c r="CP2068">
        <v>7169</v>
      </c>
      <c r="CQ2068" t="s">
        <v>2236</v>
      </c>
      <c r="CR2068">
        <v>134.33000000000001</v>
      </c>
      <c r="CS2068">
        <v>-13.35</v>
      </c>
      <c r="CT2068">
        <v>3.83</v>
      </c>
      <c r="CU2068">
        <v>78.06</v>
      </c>
      <c r="CV2068">
        <v>1.99</v>
      </c>
      <c r="CW2068">
        <v>0</v>
      </c>
      <c r="CX2068" t="s">
        <v>986</v>
      </c>
      <c r="CY2068">
        <v>3.34</v>
      </c>
      <c r="CZ2068">
        <v>0</v>
      </c>
      <c r="DA2068">
        <v>2.81</v>
      </c>
      <c r="DB2068">
        <v>-0.61</v>
      </c>
      <c r="DC2068">
        <v>0.16</v>
      </c>
      <c r="DD2068">
        <v>24.69</v>
      </c>
      <c r="DE2068" t="s">
        <v>2871</v>
      </c>
      <c r="DF2068">
        <v>15.07</v>
      </c>
      <c r="DG2068">
        <v>2.0299999999999998</v>
      </c>
      <c r="DH2068">
        <v>2.06</v>
      </c>
      <c r="DI2068">
        <v>0.32</v>
      </c>
      <c r="DJ2068">
        <v>4692</v>
      </c>
      <c r="DK2068">
        <v>300716</v>
      </c>
      <c r="DL2068" t="s">
        <v>120</v>
      </c>
      <c r="DM2068" t="s">
        <v>120</v>
      </c>
      <c r="DN2068" t="s">
        <v>120</v>
      </c>
    </row>
    <row r="2069" spans="1:118">
      <c r="A2069" t="str">
        <f>"300717"</f>
        <v>300717</v>
      </c>
      <c r="B2069" t="s">
        <v>10109</v>
      </c>
      <c r="C2069">
        <v>19.98</v>
      </c>
      <c r="D2069">
        <v>0</v>
      </c>
      <c r="E2069">
        <v>5.25</v>
      </c>
      <c r="F2069">
        <v>444</v>
      </c>
      <c r="G2069" t="s">
        <v>10110</v>
      </c>
      <c r="H2069">
        <v>28508.87</v>
      </c>
      <c r="I2069">
        <v>612.1</v>
      </c>
      <c r="J2069">
        <v>6051.29</v>
      </c>
      <c r="K2069" t="s">
        <v>7944</v>
      </c>
      <c r="L2069">
        <v>14.07</v>
      </c>
      <c r="M2069">
        <v>20.12</v>
      </c>
      <c r="N2069">
        <v>5.46</v>
      </c>
      <c r="O2069">
        <v>19.98</v>
      </c>
      <c r="P2069">
        <v>20.12</v>
      </c>
      <c r="Q2069">
        <v>5.25</v>
      </c>
      <c r="R2069">
        <v>17.649999999999999</v>
      </c>
      <c r="S2069">
        <v>17.649999999999999</v>
      </c>
      <c r="T2069">
        <v>142795</v>
      </c>
      <c r="U2069" t="s">
        <v>120</v>
      </c>
      <c r="V2069">
        <v>16.77</v>
      </c>
      <c r="W2069">
        <v>72.89</v>
      </c>
      <c r="X2069" t="s">
        <v>2211</v>
      </c>
      <c r="Y2069" t="s">
        <v>319</v>
      </c>
      <c r="Z2069">
        <v>14.73</v>
      </c>
      <c r="AA2069">
        <v>19.96</v>
      </c>
      <c r="AB2069">
        <v>129148</v>
      </c>
      <c r="AC2069">
        <v>13647</v>
      </c>
      <c r="AD2069">
        <v>9.4600000000000009</v>
      </c>
      <c r="AE2069">
        <v>30076</v>
      </c>
      <c r="AF2069">
        <v>0</v>
      </c>
      <c r="AG2069" t="s">
        <v>120</v>
      </c>
      <c r="AH2069">
        <v>0.82</v>
      </c>
      <c r="AI2069">
        <v>0.21</v>
      </c>
      <c r="AJ2069">
        <v>1.01</v>
      </c>
      <c r="AK2069" t="s">
        <v>3577</v>
      </c>
      <c r="AL2069">
        <v>21.89</v>
      </c>
      <c r="AM2069">
        <v>1555</v>
      </c>
      <c r="AN2069">
        <v>92</v>
      </c>
      <c r="AO2069">
        <v>8.9999999999999993E-3</v>
      </c>
      <c r="AP2069">
        <v>2</v>
      </c>
      <c r="AQ2069">
        <v>6.61</v>
      </c>
      <c r="AR2069">
        <v>24.04</v>
      </c>
      <c r="AS2069">
        <v>20.98</v>
      </c>
      <c r="AT2069">
        <v>29.14</v>
      </c>
      <c r="AU2069">
        <v>6.51</v>
      </c>
      <c r="AV2069">
        <v>2</v>
      </c>
      <c r="AW2069">
        <v>33.6</v>
      </c>
      <c r="AX2069">
        <v>41.5</v>
      </c>
      <c r="AY2069">
        <v>54.06</v>
      </c>
      <c r="AZ2069">
        <v>47.35</v>
      </c>
      <c r="BA2069">
        <v>0.35</v>
      </c>
      <c r="BB2069" t="s">
        <v>168</v>
      </c>
      <c r="BF2069">
        <v>19.05</v>
      </c>
      <c r="BG2069">
        <v>13.99</v>
      </c>
      <c r="BH2069">
        <v>0</v>
      </c>
      <c r="BI2069">
        <v>13.99</v>
      </c>
      <c r="BJ2069">
        <v>20210827</v>
      </c>
      <c r="BK2069">
        <v>20171106</v>
      </c>
      <c r="BL2069">
        <v>1.02</v>
      </c>
      <c r="BM2069" t="s">
        <v>120</v>
      </c>
      <c r="BN2069" t="s">
        <v>120</v>
      </c>
      <c r="BO2069">
        <v>6.86</v>
      </c>
      <c r="BP2069">
        <v>20.12</v>
      </c>
      <c r="BQ2069">
        <v>6.05</v>
      </c>
      <c r="BR2069" t="s">
        <v>120</v>
      </c>
      <c r="BS2069">
        <v>11.72</v>
      </c>
      <c r="BT2069">
        <v>3.01</v>
      </c>
      <c r="BU2069">
        <v>3.2</v>
      </c>
      <c r="BV2069">
        <v>0.25</v>
      </c>
      <c r="BW2069">
        <v>0.64</v>
      </c>
      <c r="BX2069">
        <v>1.04</v>
      </c>
      <c r="BY2069">
        <v>0.5</v>
      </c>
      <c r="BZ2069">
        <v>1.24</v>
      </c>
      <c r="CA2069" t="s">
        <v>120</v>
      </c>
      <c r="CB2069">
        <v>2.39</v>
      </c>
      <c r="CC2069">
        <v>1.37</v>
      </c>
      <c r="CD2069">
        <v>1.07</v>
      </c>
      <c r="CE2069">
        <v>0.17</v>
      </c>
      <c r="CF2069">
        <v>0</v>
      </c>
      <c r="CG2069">
        <v>0.17</v>
      </c>
      <c r="CH2069">
        <v>0.14000000000000001</v>
      </c>
      <c r="CI2069">
        <v>0.14000000000000001</v>
      </c>
      <c r="CJ2069">
        <v>3.35</v>
      </c>
      <c r="CK2069">
        <v>0.13</v>
      </c>
      <c r="CL2069">
        <v>2.3199999999999998</v>
      </c>
      <c r="CM2069">
        <v>0.09</v>
      </c>
      <c r="CN2069">
        <v>-0.1</v>
      </c>
      <c r="CO2069">
        <v>12909</v>
      </c>
      <c r="CP2069">
        <v>3292</v>
      </c>
      <c r="CQ2069" t="s">
        <v>7753</v>
      </c>
      <c r="CR2069">
        <v>-24.17</v>
      </c>
      <c r="CS2069">
        <v>13.72</v>
      </c>
      <c r="CT2069">
        <v>3.4</v>
      </c>
      <c r="CU2069">
        <v>228.07</v>
      </c>
      <c r="CV2069">
        <v>15</v>
      </c>
      <c r="CW2069">
        <v>0.6</v>
      </c>
      <c r="CX2069" t="s">
        <v>300</v>
      </c>
      <c r="CY2069">
        <v>5.91</v>
      </c>
      <c r="CZ2069">
        <v>0</v>
      </c>
      <c r="DA2069">
        <v>2.33</v>
      </c>
      <c r="DB2069">
        <v>2.27</v>
      </c>
      <c r="DC2069">
        <v>0.09</v>
      </c>
      <c r="DD2069">
        <v>88.28</v>
      </c>
      <c r="DE2069" t="s">
        <v>10111</v>
      </c>
      <c r="DF2069">
        <v>21.9</v>
      </c>
      <c r="DG2069">
        <v>12.1</v>
      </c>
      <c r="DH2069">
        <v>10.29</v>
      </c>
      <c r="DI2069">
        <v>0.04</v>
      </c>
      <c r="DJ2069">
        <v>378</v>
      </c>
      <c r="DK2069">
        <v>300717</v>
      </c>
      <c r="DL2069">
        <v>20210916</v>
      </c>
      <c r="DM2069">
        <v>20.12</v>
      </c>
      <c r="DN2069">
        <v>0</v>
      </c>
    </row>
    <row r="2070" spans="1:118">
      <c r="A2070" t="str">
        <f>"300718"</f>
        <v>300718</v>
      </c>
      <c r="B2070" t="s">
        <v>10112</v>
      </c>
      <c r="C2070">
        <v>-2.2000000000000002</v>
      </c>
      <c r="D2070">
        <v>0</v>
      </c>
      <c r="E2070">
        <v>-1.57</v>
      </c>
      <c r="F2070">
        <v>144</v>
      </c>
      <c r="G2070" t="s">
        <v>8153</v>
      </c>
      <c r="H2070">
        <v>11304.56</v>
      </c>
      <c r="I2070">
        <v>22.52</v>
      </c>
      <c r="J2070" t="s">
        <v>120</v>
      </c>
      <c r="K2070" t="s">
        <v>5943</v>
      </c>
      <c r="L2070">
        <v>3.46</v>
      </c>
      <c r="M2070">
        <v>18.649999999999999</v>
      </c>
      <c r="N2070">
        <v>1.97</v>
      </c>
      <c r="O2070">
        <v>7.6</v>
      </c>
      <c r="P2070">
        <v>20.52</v>
      </c>
      <c r="Q2070">
        <v>-2.46</v>
      </c>
      <c r="R2070">
        <v>18.600000000000001</v>
      </c>
      <c r="S2070">
        <v>18.77</v>
      </c>
      <c r="T2070">
        <v>58246</v>
      </c>
      <c r="U2070">
        <v>18.66</v>
      </c>
      <c r="V2070">
        <v>19.07</v>
      </c>
      <c r="W2070">
        <v>30.26</v>
      </c>
      <c r="X2070" t="s">
        <v>959</v>
      </c>
      <c r="Y2070" t="s">
        <v>585</v>
      </c>
      <c r="Z2070">
        <v>10.07</v>
      </c>
      <c r="AA2070">
        <v>19.41</v>
      </c>
      <c r="AB2070">
        <v>31647</v>
      </c>
      <c r="AC2070">
        <v>26599</v>
      </c>
      <c r="AD2070">
        <v>1.19</v>
      </c>
      <c r="AE2070">
        <v>125</v>
      </c>
      <c r="AF2070">
        <v>276</v>
      </c>
      <c r="AG2070" t="s">
        <v>120</v>
      </c>
      <c r="AH2070">
        <v>0.01</v>
      </c>
      <c r="AI2070" t="s">
        <v>120</v>
      </c>
      <c r="AJ2070">
        <v>1.68</v>
      </c>
      <c r="AK2070" t="s">
        <v>10113</v>
      </c>
      <c r="AL2070">
        <v>-0.28999999999999998</v>
      </c>
      <c r="AM2070">
        <v>2313</v>
      </c>
      <c r="AN2070">
        <v>25</v>
      </c>
      <c r="AO2070">
        <v>1.5E-3</v>
      </c>
      <c r="AP2070">
        <v>-1</v>
      </c>
      <c r="AQ2070">
        <v>0.69</v>
      </c>
      <c r="AR2070">
        <v>-2.0499999999999998</v>
      </c>
      <c r="AS2070">
        <v>11.27</v>
      </c>
      <c r="AT2070">
        <v>42.26</v>
      </c>
      <c r="AU2070">
        <v>58.31</v>
      </c>
      <c r="AV2070">
        <v>1</v>
      </c>
      <c r="AW2070">
        <v>5.76</v>
      </c>
      <c r="AX2070">
        <v>34.020000000000003</v>
      </c>
      <c r="AY2070">
        <v>31.84</v>
      </c>
      <c r="AZ2070">
        <v>39</v>
      </c>
      <c r="BA2070">
        <v>1.32</v>
      </c>
      <c r="BB2070" t="s">
        <v>143</v>
      </c>
      <c r="BF2070">
        <v>1.77</v>
      </c>
      <c r="BG2070">
        <v>-0.64</v>
      </c>
      <c r="BH2070">
        <v>-9.11</v>
      </c>
      <c r="BI2070">
        <v>0.27</v>
      </c>
      <c r="BJ2070">
        <v>20210818</v>
      </c>
      <c r="BK2070">
        <v>20171106</v>
      </c>
      <c r="BL2070">
        <v>2.97</v>
      </c>
      <c r="BM2070" t="s">
        <v>120</v>
      </c>
      <c r="BN2070" t="s">
        <v>120</v>
      </c>
      <c r="BO2070">
        <v>15.28</v>
      </c>
      <c r="BP2070">
        <v>18.649999999999999</v>
      </c>
      <c r="BQ2070">
        <v>12.85</v>
      </c>
      <c r="BR2070">
        <v>0.55000000000000004</v>
      </c>
      <c r="BS2070">
        <v>12.29</v>
      </c>
      <c r="BT2070">
        <v>9.56</v>
      </c>
      <c r="BU2070">
        <v>4.4400000000000004</v>
      </c>
      <c r="BV2070">
        <v>0.4</v>
      </c>
      <c r="BW2070">
        <v>1.6</v>
      </c>
      <c r="BX2070">
        <v>0.78</v>
      </c>
      <c r="BY2070">
        <v>1.51</v>
      </c>
      <c r="BZ2070">
        <v>2.29</v>
      </c>
      <c r="CA2070" t="s">
        <v>120</v>
      </c>
      <c r="CB2070">
        <v>3.17</v>
      </c>
      <c r="CC2070">
        <v>5</v>
      </c>
      <c r="CD2070">
        <v>3.5</v>
      </c>
      <c r="CE2070">
        <v>1.08</v>
      </c>
      <c r="CF2070">
        <v>0.12</v>
      </c>
      <c r="CG2070">
        <v>1.08</v>
      </c>
      <c r="CH2070">
        <v>0.93</v>
      </c>
      <c r="CI2070">
        <v>0.92</v>
      </c>
      <c r="CJ2070">
        <v>-0.42</v>
      </c>
      <c r="CK2070">
        <v>0.75</v>
      </c>
      <c r="CL2070">
        <v>5.82</v>
      </c>
      <c r="CM2070">
        <v>0.1</v>
      </c>
      <c r="CN2070">
        <v>0.18</v>
      </c>
      <c r="CO2070">
        <v>10794</v>
      </c>
      <c r="CP2070">
        <v>9368</v>
      </c>
      <c r="CQ2070" t="s">
        <v>6986</v>
      </c>
      <c r="CR2070">
        <v>55.58</v>
      </c>
      <c r="CS2070">
        <v>80.06</v>
      </c>
      <c r="CT2070">
        <v>4.3099999999999996</v>
      </c>
      <c r="CU2070">
        <v>555.92999999999995</v>
      </c>
      <c r="CV2070">
        <v>11.09</v>
      </c>
      <c r="CW2070">
        <v>1.75</v>
      </c>
      <c r="CX2070" t="s">
        <v>2752</v>
      </c>
      <c r="CY2070">
        <v>4.32</v>
      </c>
      <c r="CZ2070">
        <v>0</v>
      </c>
      <c r="DA2070">
        <v>1.07</v>
      </c>
      <c r="DB2070">
        <v>1.96</v>
      </c>
      <c r="DC2070">
        <v>0.03</v>
      </c>
      <c r="DD2070">
        <v>84.1</v>
      </c>
      <c r="DE2070" t="s">
        <v>2998</v>
      </c>
      <c r="DF2070">
        <v>30.03</v>
      </c>
      <c r="DG2070">
        <v>21.58</v>
      </c>
      <c r="DH2070">
        <v>18.32</v>
      </c>
      <c r="DI2070">
        <v>0.19</v>
      </c>
      <c r="DJ2070">
        <v>790</v>
      </c>
      <c r="DK2070">
        <v>300718</v>
      </c>
      <c r="DL2070" t="s">
        <v>120</v>
      </c>
      <c r="DM2070" t="s">
        <v>120</v>
      </c>
      <c r="DN2070" t="s">
        <v>120</v>
      </c>
    </row>
    <row r="2071" spans="1:118">
      <c r="A2071" t="str">
        <f>"300719"</f>
        <v>300719</v>
      </c>
      <c r="B2071" t="s">
        <v>10114</v>
      </c>
      <c r="C2071">
        <v>-2.2799999999999998</v>
      </c>
      <c r="D2071">
        <v>0</v>
      </c>
      <c r="E2071">
        <v>0.33</v>
      </c>
      <c r="F2071">
        <v>1123</v>
      </c>
      <c r="G2071" t="s">
        <v>10115</v>
      </c>
      <c r="H2071">
        <v>10259.81</v>
      </c>
      <c r="I2071">
        <v>5.85</v>
      </c>
      <c r="J2071" t="s">
        <v>120</v>
      </c>
      <c r="K2071" t="s">
        <v>10116</v>
      </c>
      <c r="L2071">
        <v>3.71</v>
      </c>
      <c r="M2071">
        <v>15</v>
      </c>
      <c r="N2071">
        <v>0.82</v>
      </c>
      <c r="O2071">
        <v>1.69</v>
      </c>
      <c r="P2071">
        <v>15.61</v>
      </c>
      <c r="Q2071">
        <v>-2.2799999999999998</v>
      </c>
      <c r="R2071">
        <v>15</v>
      </c>
      <c r="S2071">
        <v>15.4</v>
      </c>
      <c r="T2071">
        <v>67210</v>
      </c>
      <c r="U2071">
        <v>15</v>
      </c>
      <c r="V2071">
        <v>15.35</v>
      </c>
      <c r="W2071" t="s">
        <v>120</v>
      </c>
      <c r="X2071" t="s">
        <v>1621</v>
      </c>
      <c r="Y2071" t="s">
        <v>158</v>
      </c>
      <c r="Z2071">
        <v>3.97</v>
      </c>
      <c r="AA2071">
        <v>15.27</v>
      </c>
      <c r="AB2071">
        <v>40192</v>
      </c>
      <c r="AC2071">
        <v>27018</v>
      </c>
      <c r="AD2071">
        <v>1.49</v>
      </c>
      <c r="AE2071">
        <v>113</v>
      </c>
      <c r="AF2071">
        <v>92</v>
      </c>
      <c r="AG2071" t="s">
        <v>120</v>
      </c>
      <c r="AH2071">
        <v>0</v>
      </c>
      <c r="AI2071" t="s">
        <v>120</v>
      </c>
      <c r="AJ2071">
        <v>1.81</v>
      </c>
      <c r="AK2071" t="s">
        <v>9273</v>
      </c>
      <c r="AL2071">
        <v>-0.37</v>
      </c>
      <c r="AM2071">
        <v>2201</v>
      </c>
      <c r="AN2071">
        <v>31</v>
      </c>
      <c r="AO2071">
        <v>1.6999999999999999E-3</v>
      </c>
      <c r="AP2071">
        <v>-5</v>
      </c>
      <c r="AQ2071">
        <v>-0.32</v>
      </c>
      <c r="AR2071">
        <v>-3.28</v>
      </c>
      <c r="AS2071">
        <v>-19.53</v>
      </c>
      <c r="AT2071">
        <v>-8.08</v>
      </c>
      <c r="AU2071">
        <v>-18.03</v>
      </c>
      <c r="AV2071">
        <v>2</v>
      </c>
      <c r="AW2071">
        <v>5.48</v>
      </c>
      <c r="AX2071">
        <v>48.26</v>
      </c>
      <c r="AY2071">
        <v>75.13</v>
      </c>
      <c r="AZ2071">
        <v>40.840000000000003</v>
      </c>
      <c r="BA2071">
        <v>0.6</v>
      </c>
      <c r="BB2071" t="s">
        <v>125</v>
      </c>
      <c r="BF2071">
        <v>-0.55000000000000004</v>
      </c>
      <c r="BG2071">
        <v>-2.6</v>
      </c>
      <c r="BH2071">
        <v>-3.91</v>
      </c>
      <c r="BI2071">
        <v>0</v>
      </c>
      <c r="BJ2071">
        <v>20210824</v>
      </c>
      <c r="BK2071">
        <v>20171109</v>
      </c>
      <c r="BL2071">
        <v>2.54</v>
      </c>
      <c r="BM2071" t="s">
        <v>120</v>
      </c>
      <c r="BN2071" t="s">
        <v>120</v>
      </c>
      <c r="BO2071">
        <v>12.95</v>
      </c>
      <c r="BP2071">
        <v>14.99</v>
      </c>
      <c r="BQ2071">
        <v>9.8800000000000008</v>
      </c>
      <c r="BR2071" t="s">
        <v>120</v>
      </c>
      <c r="BS2071">
        <v>23.71</v>
      </c>
      <c r="BT2071">
        <v>11.3</v>
      </c>
      <c r="BU2071">
        <v>1.24</v>
      </c>
      <c r="BV2071">
        <v>0.12</v>
      </c>
      <c r="BW2071">
        <v>2.98</v>
      </c>
      <c r="BX2071">
        <v>1.69</v>
      </c>
      <c r="BY2071">
        <v>2.71</v>
      </c>
      <c r="BZ2071">
        <v>5.54</v>
      </c>
      <c r="CA2071" t="s">
        <v>120</v>
      </c>
      <c r="CB2071">
        <v>4.54</v>
      </c>
      <c r="CC2071">
        <v>1.61</v>
      </c>
      <c r="CD2071">
        <v>0.89</v>
      </c>
      <c r="CE2071">
        <v>-0.18</v>
      </c>
      <c r="CF2071">
        <v>0</v>
      </c>
      <c r="CG2071">
        <v>-0.18</v>
      </c>
      <c r="CH2071">
        <v>-0.12</v>
      </c>
      <c r="CI2071">
        <v>-0.12</v>
      </c>
      <c r="CJ2071">
        <v>-0.35</v>
      </c>
      <c r="CK2071">
        <v>-0.13</v>
      </c>
      <c r="CL2071">
        <v>2.46</v>
      </c>
      <c r="CM2071">
        <v>-0.05</v>
      </c>
      <c r="CN2071">
        <v>-1.31</v>
      </c>
      <c r="CO2071">
        <v>28878</v>
      </c>
      <c r="CP2071">
        <v>4245</v>
      </c>
      <c r="CQ2071" t="s">
        <v>342</v>
      </c>
      <c r="CR2071">
        <v>-140.06</v>
      </c>
      <c r="CS2071">
        <v>-24.25</v>
      </c>
      <c r="CT2071">
        <v>3.86</v>
      </c>
      <c r="CU2071">
        <v>-694.16</v>
      </c>
      <c r="CV2071">
        <v>23.7</v>
      </c>
      <c r="CW2071">
        <v>1.3</v>
      </c>
      <c r="CX2071" t="s">
        <v>10117</v>
      </c>
      <c r="CY2071">
        <v>3.89</v>
      </c>
      <c r="CZ2071">
        <v>0</v>
      </c>
      <c r="DA2071">
        <v>1.79</v>
      </c>
      <c r="DB2071">
        <v>0.97</v>
      </c>
      <c r="DC2071">
        <v>-0.02</v>
      </c>
      <c r="DD2071">
        <v>76.290000000000006</v>
      </c>
      <c r="DE2071" t="s">
        <v>8624</v>
      </c>
      <c r="DF2071">
        <v>44.66</v>
      </c>
      <c r="DG2071">
        <v>-11.23</v>
      </c>
      <c r="DH2071">
        <v>-7.75</v>
      </c>
      <c r="DI2071">
        <v>0.3</v>
      </c>
      <c r="DJ2071">
        <v>609</v>
      </c>
      <c r="DK2071">
        <v>300719</v>
      </c>
      <c r="DL2071" t="s">
        <v>120</v>
      </c>
      <c r="DM2071" t="s">
        <v>120</v>
      </c>
      <c r="DN2071" t="s">
        <v>120</v>
      </c>
    </row>
    <row r="2072" spans="1:118">
      <c r="A2072" t="str">
        <f>"300720"</f>
        <v>300720</v>
      </c>
      <c r="B2072" t="s">
        <v>10118</v>
      </c>
      <c r="C2072">
        <v>-2.99</v>
      </c>
      <c r="D2072">
        <v>-7.0000000000000007E-2</v>
      </c>
      <c r="E2072">
        <v>0.16</v>
      </c>
      <c r="F2072">
        <v>264</v>
      </c>
      <c r="G2072" t="s">
        <v>7150</v>
      </c>
      <c r="H2072">
        <v>2420.8200000000002</v>
      </c>
      <c r="I2072">
        <v>0</v>
      </c>
      <c r="J2072" t="s">
        <v>120</v>
      </c>
      <c r="K2072" t="s">
        <v>6268</v>
      </c>
      <c r="L2072">
        <v>1.99</v>
      </c>
      <c r="M2072">
        <v>12.01</v>
      </c>
      <c r="N2072">
        <v>0.67</v>
      </c>
      <c r="O2072">
        <v>0.4</v>
      </c>
      <c r="P2072">
        <v>12.43</v>
      </c>
      <c r="Q2072">
        <v>-3.07</v>
      </c>
      <c r="R2072">
        <v>12</v>
      </c>
      <c r="S2072">
        <v>12.4</v>
      </c>
      <c r="T2072">
        <v>19866</v>
      </c>
      <c r="U2072">
        <v>12.01</v>
      </c>
      <c r="V2072">
        <v>12.38</v>
      </c>
      <c r="W2072">
        <v>36.31</v>
      </c>
      <c r="X2072" t="s">
        <v>2717</v>
      </c>
      <c r="Y2072" t="s">
        <v>547</v>
      </c>
      <c r="Z2072">
        <v>3.47</v>
      </c>
      <c r="AA2072">
        <v>12.19</v>
      </c>
      <c r="AB2072">
        <v>12642</v>
      </c>
      <c r="AC2072">
        <v>7224</v>
      </c>
      <c r="AD2072">
        <v>1.75</v>
      </c>
      <c r="AE2072">
        <v>799</v>
      </c>
      <c r="AF2072">
        <v>205</v>
      </c>
      <c r="AG2072" t="s">
        <v>120</v>
      </c>
      <c r="AH2072">
        <v>0</v>
      </c>
      <c r="AI2072" t="s">
        <v>120</v>
      </c>
      <c r="AJ2072">
        <v>1</v>
      </c>
      <c r="AK2072" t="s">
        <v>1544</v>
      </c>
      <c r="AL2072">
        <v>-1.08</v>
      </c>
      <c r="AM2072">
        <v>1041</v>
      </c>
      <c r="AN2072">
        <v>19</v>
      </c>
      <c r="AO2072">
        <v>1.9E-3</v>
      </c>
      <c r="AP2072">
        <v>-1</v>
      </c>
      <c r="AQ2072">
        <v>2.06</v>
      </c>
      <c r="AR2072">
        <v>-2.91</v>
      </c>
      <c r="AS2072">
        <v>2.04</v>
      </c>
      <c r="AT2072">
        <v>-10.44</v>
      </c>
      <c r="AU2072">
        <v>-9.43</v>
      </c>
      <c r="AV2072">
        <v>5</v>
      </c>
      <c r="AW2072">
        <v>3.2</v>
      </c>
      <c r="AX2072">
        <v>31.9</v>
      </c>
      <c r="AY2072">
        <v>28.29</v>
      </c>
      <c r="AZ2072">
        <v>32.92</v>
      </c>
      <c r="BA2072">
        <v>1.38</v>
      </c>
      <c r="BB2072" t="s">
        <v>143</v>
      </c>
      <c r="BF2072">
        <v>-1.57</v>
      </c>
      <c r="BG2072">
        <v>-3.15</v>
      </c>
      <c r="BH2072">
        <v>-3.38</v>
      </c>
      <c r="BI2072">
        <v>0.08</v>
      </c>
      <c r="BJ2072">
        <v>20210827</v>
      </c>
      <c r="BK2072">
        <v>20171106</v>
      </c>
      <c r="BL2072">
        <v>1.94</v>
      </c>
      <c r="BM2072" t="s">
        <v>120</v>
      </c>
      <c r="BN2072" t="s">
        <v>120</v>
      </c>
      <c r="BO2072">
        <v>5.94</v>
      </c>
      <c r="BP2072">
        <v>12</v>
      </c>
      <c r="BQ2072">
        <v>5.31</v>
      </c>
      <c r="BR2072">
        <v>0.01</v>
      </c>
      <c r="BS2072">
        <v>10.39</v>
      </c>
      <c r="BT2072">
        <v>4.7</v>
      </c>
      <c r="BU2072">
        <v>0.87</v>
      </c>
      <c r="BV2072">
        <v>0.18</v>
      </c>
      <c r="BW2072">
        <v>0.62</v>
      </c>
      <c r="BX2072">
        <v>3.44</v>
      </c>
      <c r="BY2072">
        <v>1.04</v>
      </c>
      <c r="BZ2072">
        <v>0.11</v>
      </c>
      <c r="CA2072" t="s">
        <v>120</v>
      </c>
      <c r="CB2072">
        <v>0.66</v>
      </c>
      <c r="CC2072">
        <v>0.98</v>
      </c>
      <c r="CD2072">
        <v>0.35</v>
      </c>
      <c r="CE2072">
        <v>0.38</v>
      </c>
      <c r="CF2072">
        <v>0.03</v>
      </c>
      <c r="CG2072">
        <v>0.38</v>
      </c>
      <c r="CH2072">
        <v>0.32</v>
      </c>
      <c r="CI2072">
        <v>0.32</v>
      </c>
      <c r="CJ2072">
        <v>-0.37</v>
      </c>
      <c r="CK2072">
        <v>0.3</v>
      </c>
      <c r="CL2072">
        <v>2.34</v>
      </c>
      <c r="CM2072">
        <v>0.26</v>
      </c>
      <c r="CN2072">
        <v>2.14</v>
      </c>
      <c r="CO2072">
        <v>11277</v>
      </c>
      <c r="CP2072">
        <v>5499</v>
      </c>
      <c r="CQ2072" t="s">
        <v>723</v>
      </c>
      <c r="CR2072">
        <v>59.3</v>
      </c>
      <c r="CS2072">
        <v>32.54</v>
      </c>
      <c r="CT2072">
        <v>4.4000000000000004</v>
      </c>
      <c r="CU2072">
        <v>88.61</v>
      </c>
      <c r="CV2072">
        <v>23.78</v>
      </c>
      <c r="CW2072">
        <v>1.35</v>
      </c>
      <c r="CX2072" t="s">
        <v>1193</v>
      </c>
      <c r="CY2072">
        <v>2.73</v>
      </c>
      <c r="CZ2072">
        <v>0</v>
      </c>
      <c r="DA2072">
        <v>0.34</v>
      </c>
      <c r="DB2072">
        <v>1.21</v>
      </c>
      <c r="DC2072">
        <v>0.14000000000000001</v>
      </c>
      <c r="DD2072">
        <v>89.39</v>
      </c>
      <c r="DE2072" t="s">
        <v>5611</v>
      </c>
      <c r="DF2072">
        <v>64.010000000000005</v>
      </c>
      <c r="DG2072">
        <v>38.28</v>
      </c>
      <c r="DH2072">
        <v>32.74</v>
      </c>
      <c r="DI2072">
        <v>7.0000000000000007E-2</v>
      </c>
      <c r="DJ2072">
        <v>511</v>
      </c>
      <c r="DK2072">
        <v>300720</v>
      </c>
      <c r="DL2072" t="s">
        <v>120</v>
      </c>
      <c r="DM2072" t="s">
        <v>120</v>
      </c>
      <c r="DN2072" t="s">
        <v>120</v>
      </c>
    </row>
    <row r="2073" spans="1:118">
      <c r="A2073" t="str">
        <f>"300721"</f>
        <v>300721</v>
      </c>
      <c r="B2073" t="s">
        <v>10119</v>
      </c>
      <c r="C2073">
        <v>0.26</v>
      </c>
      <c r="D2073">
        <v>0.1</v>
      </c>
      <c r="E2073">
        <v>2.15</v>
      </c>
      <c r="F2073">
        <v>328</v>
      </c>
      <c r="G2073" t="s">
        <v>10120</v>
      </c>
      <c r="H2073">
        <v>14419.21</v>
      </c>
      <c r="I2073">
        <v>31.52</v>
      </c>
      <c r="J2073" t="s">
        <v>120</v>
      </c>
      <c r="K2073" t="s">
        <v>3786</v>
      </c>
      <c r="L2073">
        <v>2.89</v>
      </c>
      <c r="M2073">
        <v>60.66</v>
      </c>
      <c r="N2073">
        <v>1.03</v>
      </c>
      <c r="O2073">
        <v>8.41</v>
      </c>
      <c r="P2073">
        <v>65.59</v>
      </c>
      <c r="Q2073">
        <v>0.17</v>
      </c>
      <c r="R2073">
        <v>60.6</v>
      </c>
      <c r="S2073">
        <v>61.8</v>
      </c>
      <c r="T2073">
        <v>22913</v>
      </c>
      <c r="U2073">
        <v>60.72</v>
      </c>
      <c r="V2073">
        <v>60.5</v>
      </c>
      <c r="W2073">
        <v>42.59</v>
      </c>
      <c r="X2073" t="s">
        <v>868</v>
      </c>
      <c r="Y2073" t="s">
        <v>319</v>
      </c>
      <c r="Z2073">
        <v>8.25</v>
      </c>
      <c r="AA2073">
        <v>62.93</v>
      </c>
      <c r="AB2073">
        <v>10700</v>
      </c>
      <c r="AC2073">
        <v>12213</v>
      </c>
      <c r="AD2073">
        <v>0.88</v>
      </c>
      <c r="AE2073">
        <v>16</v>
      </c>
      <c r="AF2073">
        <v>2</v>
      </c>
      <c r="AG2073" t="s">
        <v>120</v>
      </c>
      <c r="AH2073">
        <v>0.01</v>
      </c>
      <c r="AI2073" t="s">
        <v>120</v>
      </c>
      <c r="AJ2073">
        <v>0.79</v>
      </c>
      <c r="AK2073" t="s">
        <v>1795</v>
      </c>
      <c r="AL2073">
        <v>2.1800000000000002</v>
      </c>
      <c r="AM2073">
        <v>1813</v>
      </c>
      <c r="AN2073">
        <v>13</v>
      </c>
      <c r="AO2073">
        <v>1.6000000000000001E-3</v>
      </c>
      <c r="AP2073">
        <v>1</v>
      </c>
      <c r="AQ2073">
        <v>-0.23</v>
      </c>
      <c r="AR2073">
        <v>-5.97</v>
      </c>
      <c r="AS2073">
        <v>13.6</v>
      </c>
      <c r="AT2073">
        <v>68.97</v>
      </c>
      <c r="AU2073">
        <v>107.67</v>
      </c>
      <c r="AV2073">
        <v>0</v>
      </c>
      <c r="AW2073">
        <v>5.14</v>
      </c>
      <c r="AX2073">
        <v>51.95</v>
      </c>
      <c r="AY2073">
        <v>79.88</v>
      </c>
      <c r="AZ2073" t="s">
        <v>120</v>
      </c>
      <c r="BA2073">
        <v>0.55000000000000004</v>
      </c>
      <c r="BB2073" t="s">
        <v>125</v>
      </c>
      <c r="BF2073">
        <v>4.0199999999999996</v>
      </c>
      <c r="BG2073">
        <v>-1.84</v>
      </c>
      <c r="BH2073">
        <v>-7.52</v>
      </c>
      <c r="BI2073">
        <v>0.1</v>
      </c>
      <c r="BJ2073">
        <v>20210912</v>
      </c>
      <c r="BK2073">
        <v>20171115</v>
      </c>
      <c r="BL2073">
        <v>0.86</v>
      </c>
      <c r="BM2073" t="s">
        <v>120</v>
      </c>
      <c r="BN2073" t="s">
        <v>120</v>
      </c>
      <c r="BO2073">
        <v>24.12</v>
      </c>
      <c r="BP2073">
        <v>60.66</v>
      </c>
      <c r="BQ2073">
        <v>10.52</v>
      </c>
      <c r="BR2073">
        <v>0.53</v>
      </c>
      <c r="BS2073">
        <v>54.19</v>
      </c>
      <c r="BT2073">
        <v>7.02</v>
      </c>
      <c r="BU2073">
        <v>4.2300000000000004</v>
      </c>
      <c r="BV2073">
        <v>1.58</v>
      </c>
      <c r="BW2073">
        <v>11.14</v>
      </c>
      <c r="BX2073">
        <v>1.88</v>
      </c>
      <c r="BY2073">
        <v>1.87</v>
      </c>
      <c r="BZ2073">
        <v>1.57</v>
      </c>
      <c r="CA2073" t="s">
        <v>120</v>
      </c>
      <c r="CB2073">
        <v>6.84</v>
      </c>
      <c r="CC2073">
        <v>6.88</v>
      </c>
      <c r="CD2073">
        <v>5.46</v>
      </c>
      <c r="CE2073">
        <v>0.75</v>
      </c>
      <c r="CF2073">
        <v>0</v>
      </c>
      <c r="CG2073">
        <v>0.74</v>
      </c>
      <c r="CH2073">
        <v>0.61</v>
      </c>
      <c r="CI2073">
        <v>0.61</v>
      </c>
      <c r="CJ2073">
        <v>0.16</v>
      </c>
      <c r="CK2073">
        <v>0.6</v>
      </c>
      <c r="CL2073">
        <v>2.54</v>
      </c>
      <c r="CM2073">
        <v>0.47</v>
      </c>
      <c r="CN2073">
        <v>0.44</v>
      </c>
      <c r="CO2073">
        <v>8125</v>
      </c>
      <c r="CP2073">
        <v>5484</v>
      </c>
      <c r="CQ2073" t="s">
        <v>10121</v>
      </c>
      <c r="CR2073">
        <v>886.98</v>
      </c>
      <c r="CS2073">
        <v>56.94</v>
      </c>
      <c r="CT2073">
        <v>4.95</v>
      </c>
      <c r="CU2073">
        <v>110.28</v>
      </c>
      <c r="CV2073">
        <v>7.56</v>
      </c>
      <c r="CW2073">
        <v>0</v>
      </c>
      <c r="CX2073" t="s">
        <v>3301</v>
      </c>
      <c r="CY2073">
        <v>12.27</v>
      </c>
      <c r="CZ2073">
        <v>0</v>
      </c>
      <c r="DA2073">
        <v>7.97</v>
      </c>
      <c r="DB2073">
        <v>2.96</v>
      </c>
      <c r="DC2073">
        <v>0.55000000000000004</v>
      </c>
      <c r="DD2073">
        <v>43.61</v>
      </c>
      <c r="DE2073" t="s">
        <v>4733</v>
      </c>
      <c r="DF2073">
        <v>20.64</v>
      </c>
      <c r="DG2073">
        <v>10.83</v>
      </c>
      <c r="DH2073">
        <v>8.8800000000000008</v>
      </c>
      <c r="DI2073">
        <v>0.11</v>
      </c>
      <c r="DJ2073">
        <v>797</v>
      </c>
      <c r="DK2073">
        <v>300721</v>
      </c>
      <c r="DL2073">
        <v>20210824</v>
      </c>
      <c r="DM2073">
        <v>63.05</v>
      </c>
      <c r="DN2073">
        <v>-3.79</v>
      </c>
    </row>
    <row r="2074" spans="1:118">
      <c r="A2074" t="str">
        <f>"300722"</f>
        <v>300722</v>
      </c>
      <c r="B2074" t="s">
        <v>10122</v>
      </c>
      <c r="C2074">
        <v>0.49</v>
      </c>
      <c r="D2074">
        <v>0</v>
      </c>
      <c r="E2074">
        <v>1</v>
      </c>
      <c r="F2074">
        <v>529</v>
      </c>
      <c r="G2074" t="s">
        <v>10123</v>
      </c>
      <c r="H2074">
        <v>11552.43</v>
      </c>
      <c r="I2074">
        <v>20.79</v>
      </c>
      <c r="J2074" t="s">
        <v>120</v>
      </c>
      <c r="K2074" t="s">
        <v>7920</v>
      </c>
      <c r="L2074">
        <v>1.52</v>
      </c>
      <c r="M2074">
        <v>43.09</v>
      </c>
      <c r="N2074">
        <v>0.85</v>
      </c>
      <c r="O2074">
        <v>3.8</v>
      </c>
      <c r="P2074">
        <v>44.51</v>
      </c>
      <c r="Q2074">
        <v>-0.82</v>
      </c>
      <c r="R2074">
        <v>42.53</v>
      </c>
      <c r="S2074">
        <v>43.31</v>
      </c>
      <c r="T2074">
        <v>26610</v>
      </c>
      <c r="U2074">
        <v>43.09</v>
      </c>
      <c r="V2074">
        <v>42.88</v>
      </c>
      <c r="W2074">
        <v>177.47</v>
      </c>
      <c r="X2074" t="s">
        <v>675</v>
      </c>
      <c r="Y2074" t="s">
        <v>676</v>
      </c>
      <c r="Z2074">
        <v>4.62</v>
      </c>
      <c r="AA2074">
        <v>43.41</v>
      </c>
      <c r="AB2074">
        <v>15252</v>
      </c>
      <c r="AC2074">
        <v>11358</v>
      </c>
      <c r="AD2074">
        <v>1.34</v>
      </c>
      <c r="AE2074">
        <v>84</v>
      </c>
      <c r="AF2074">
        <v>72</v>
      </c>
      <c r="AG2074" t="s">
        <v>120</v>
      </c>
      <c r="AH2074">
        <v>0.01</v>
      </c>
      <c r="AI2074" t="s">
        <v>120</v>
      </c>
      <c r="AJ2074">
        <v>1.75</v>
      </c>
      <c r="AK2074" t="s">
        <v>7920</v>
      </c>
      <c r="AL2074">
        <v>2.4</v>
      </c>
      <c r="AM2074">
        <v>2291</v>
      </c>
      <c r="AN2074">
        <v>12</v>
      </c>
      <c r="AO2074">
        <v>6.9999999999999999E-4</v>
      </c>
      <c r="AP2074">
        <v>1</v>
      </c>
      <c r="AQ2074">
        <v>-1.72</v>
      </c>
      <c r="AR2074">
        <v>-4.22</v>
      </c>
      <c r="AS2074">
        <v>-15.56</v>
      </c>
      <c r="AT2074">
        <v>-26.94</v>
      </c>
      <c r="AU2074">
        <v>-6.54</v>
      </c>
      <c r="AV2074">
        <v>7</v>
      </c>
      <c r="AW2074">
        <v>5.37</v>
      </c>
      <c r="AX2074">
        <v>28.34</v>
      </c>
      <c r="AY2074">
        <v>127.77</v>
      </c>
      <c r="AZ2074">
        <v>152.27000000000001</v>
      </c>
      <c r="BA2074">
        <v>0.75</v>
      </c>
      <c r="BB2074" t="s">
        <v>125</v>
      </c>
      <c r="BF2074">
        <v>1.24</v>
      </c>
      <c r="BG2074">
        <v>-0.51</v>
      </c>
      <c r="BH2074">
        <v>-3.19</v>
      </c>
      <c r="BI2074">
        <v>1.32</v>
      </c>
      <c r="BJ2074">
        <v>20210909</v>
      </c>
      <c r="BK2074">
        <v>20171110</v>
      </c>
      <c r="BL2074">
        <v>1.75</v>
      </c>
      <c r="BM2074" t="s">
        <v>120</v>
      </c>
      <c r="BN2074" t="s">
        <v>120</v>
      </c>
      <c r="BO2074">
        <v>5.49</v>
      </c>
      <c r="BP2074">
        <v>43.08</v>
      </c>
      <c r="BQ2074">
        <v>4.59</v>
      </c>
      <c r="BR2074">
        <v>0.02</v>
      </c>
      <c r="BS2074">
        <v>16.13</v>
      </c>
      <c r="BT2074">
        <v>2.98</v>
      </c>
      <c r="BU2074">
        <v>2.09</v>
      </c>
      <c r="BV2074">
        <v>0.33</v>
      </c>
      <c r="BW2074">
        <v>0.62</v>
      </c>
      <c r="BX2074">
        <v>0.76</v>
      </c>
      <c r="BY2074">
        <v>0.9</v>
      </c>
      <c r="BZ2074">
        <v>0.98</v>
      </c>
      <c r="CA2074" t="s">
        <v>120</v>
      </c>
      <c r="CB2074">
        <v>1.1000000000000001</v>
      </c>
      <c r="CC2074">
        <v>1.18</v>
      </c>
      <c r="CD2074">
        <v>0.61</v>
      </c>
      <c r="CE2074">
        <v>0.25</v>
      </c>
      <c r="CF2074">
        <v>0</v>
      </c>
      <c r="CG2074">
        <v>0.24</v>
      </c>
      <c r="CH2074">
        <v>0.21</v>
      </c>
      <c r="CI2074">
        <v>0.21</v>
      </c>
      <c r="CJ2074">
        <v>0.21</v>
      </c>
      <c r="CK2074">
        <v>0.21</v>
      </c>
      <c r="CL2074">
        <v>1.38</v>
      </c>
      <c r="CM2074">
        <v>-0.13</v>
      </c>
      <c r="CN2074">
        <v>-0.55000000000000004</v>
      </c>
      <c r="CO2074">
        <v>28999</v>
      </c>
      <c r="CP2074">
        <v>1708</v>
      </c>
      <c r="CQ2074" t="s">
        <v>3812</v>
      </c>
      <c r="CR2074">
        <v>80.06</v>
      </c>
      <c r="CS2074">
        <v>28.74</v>
      </c>
      <c r="CT2074">
        <v>16.399999999999999</v>
      </c>
      <c r="CU2074">
        <v>-574.4</v>
      </c>
      <c r="CV2074">
        <v>63.85</v>
      </c>
      <c r="CW2074">
        <v>0.43</v>
      </c>
      <c r="CX2074" t="s">
        <v>850</v>
      </c>
      <c r="CY2074">
        <v>2.63</v>
      </c>
      <c r="CZ2074">
        <v>0</v>
      </c>
      <c r="DA2074">
        <v>0.63</v>
      </c>
      <c r="DB2074">
        <v>0.79</v>
      </c>
      <c r="DC2074">
        <v>-0.08</v>
      </c>
      <c r="DD2074">
        <v>83.59</v>
      </c>
      <c r="DE2074" t="s">
        <v>10124</v>
      </c>
      <c r="DF2074">
        <v>48.61</v>
      </c>
      <c r="DG2074">
        <v>20.86</v>
      </c>
      <c r="DH2074">
        <v>17.989999999999998</v>
      </c>
      <c r="DI2074">
        <v>0.12</v>
      </c>
      <c r="DJ2074">
        <v>643</v>
      </c>
      <c r="DK2074">
        <v>300722</v>
      </c>
      <c r="DL2074" t="s">
        <v>120</v>
      </c>
      <c r="DM2074" t="s">
        <v>120</v>
      </c>
      <c r="DN2074" t="s">
        <v>120</v>
      </c>
    </row>
    <row r="2075" spans="1:118">
      <c r="A2075" t="str">
        <f>"300723"</f>
        <v>300723</v>
      </c>
      <c r="B2075" t="s">
        <v>10125</v>
      </c>
      <c r="C2075">
        <v>-2.11</v>
      </c>
      <c r="D2075">
        <v>0.32</v>
      </c>
      <c r="E2075">
        <v>0.06</v>
      </c>
      <c r="F2075">
        <v>633</v>
      </c>
      <c r="G2075" t="s">
        <v>10126</v>
      </c>
      <c r="H2075">
        <v>4000.71</v>
      </c>
      <c r="I2075">
        <v>1.59</v>
      </c>
      <c r="J2075" t="s">
        <v>120</v>
      </c>
      <c r="K2075" t="s">
        <v>10126</v>
      </c>
      <c r="L2075">
        <v>1.03</v>
      </c>
      <c r="M2075">
        <v>31.05</v>
      </c>
      <c r="N2075">
        <v>0.87</v>
      </c>
      <c r="O2075">
        <v>1.42</v>
      </c>
      <c r="P2075">
        <v>32.17</v>
      </c>
      <c r="Q2075">
        <v>-3.34</v>
      </c>
      <c r="R2075">
        <v>30.66</v>
      </c>
      <c r="S2075">
        <v>31.74</v>
      </c>
      <c r="T2075">
        <v>12790</v>
      </c>
      <c r="U2075">
        <v>31.1</v>
      </c>
      <c r="V2075">
        <v>31.72</v>
      </c>
      <c r="W2075">
        <v>37.909999999999997</v>
      </c>
      <c r="X2075" t="s">
        <v>569</v>
      </c>
      <c r="Y2075" t="s">
        <v>547</v>
      </c>
      <c r="Z2075">
        <v>4.76</v>
      </c>
      <c r="AA2075">
        <v>31.28</v>
      </c>
      <c r="AB2075">
        <v>7092</v>
      </c>
      <c r="AC2075">
        <v>5698</v>
      </c>
      <c r="AD2075">
        <v>1.24</v>
      </c>
      <c r="AE2075">
        <v>128</v>
      </c>
      <c r="AF2075">
        <v>100</v>
      </c>
      <c r="AG2075" t="s">
        <v>120</v>
      </c>
      <c r="AH2075">
        <v>0</v>
      </c>
      <c r="AI2075" t="s">
        <v>120</v>
      </c>
      <c r="AJ2075">
        <v>1.24</v>
      </c>
      <c r="AK2075" t="s">
        <v>10127</v>
      </c>
      <c r="AL2075">
        <v>-0.2</v>
      </c>
      <c r="AM2075">
        <v>1085</v>
      </c>
      <c r="AN2075">
        <v>12</v>
      </c>
      <c r="AO2075">
        <v>1E-3</v>
      </c>
      <c r="AP2075">
        <v>-4</v>
      </c>
      <c r="AQ2075">
        <v>-0.94</v>
      </c>
      <c r="AR2075">
        <v>-3.85</v>
      </c>
      <c r="AS2075">
        <v>-14.37</v>
      </c>
      <c r="AT2075">
        <v>15.52</v>
      </c>
      <c r="AU2075">
        <v>38.770000000000003</v>
      </c>
      <c r="AV2075">
        <v>0</v>
      </c>
      <c r="AW2075">
        <v>1.03</v>
      </c>
      <c r="AX2075">
        <v>42.95</v>
      </c>
      <c r="AY2075">
        <v>34.72</v>
      </c>
      <c r="AZ2075">
        <v>40.5</v>
      </c>
      <c r="BA2075">
        <v>0.61</v>
      </c>
      <c r="BB2075" t="s">
        <v>1723</v>
      </c>
      <c r="BF2075">
        <v>-1.39</v>
      </c>
      <c r="BG2075">
        <v>-2.17</v>
      </c>
      <c r="BH2075">
        <v>-3.48</v>
      </c>
      <c r="BI2075">
        <v>1.27</v>
      </c>
      <c r="BJ2075">
        <v>20210825</v>
      </c>
      <c r="BK2075">
        <v>20171116</v>
      </c>
      <c r="BL2075">
        <v>2.88</v>
      </c>
      <c r="BM2075" t="s">
        <v>120</v>
      </c>
      <c r="BN2075" t="s">
        <v>120</v>
      </c>
      <c r="BO2075">
        <v>27.84</v>
      </c>
      <c r="BP2075">
        <v>31.05</v>
      </c>
      <c r="BQ2075">
        <v>15.62</v>
      </c>
      <c r="BR2075">
        <v>0.09</v>
      </c>
      <c r="BS2075">
        <v>43.54</v>
      </c>
      <c r="BT2075">
        <v>14.18</v>
      </c>
      <c r="BU2075">
        <v>1.52</v>
      </c>
      <c r="BV2075">
        <v>2.88</v>
      </c>
      <c r="BW2075">
        <v>6.48</v>
      </c>
      <c r="BX2075">
        <v>6.6</v>
      </c>
      <c r="BY2075">
        <v>1.2</v>
      </c>
      <c r="BZ2075">
        <v>1.56</v>
      </c>
      <c r="CA2075" t="s">
        <v>120</v>
      </c>
      <c r="CB2075">
        <v>5.21</v>
      </c>
      <c r="CC2075">
        <v>9.5299999999999994</v>
      </c>
      <c r="CD2075">
        <v>1.39</v>
      </c>
      <c r="CE2075">
        <v>1.32</v>
      </c>
      <c r="CF2075">
        <v>0.03</v>
      </c>
      <c r="CG2075">
        <v>1.34</v>
      </c>
      <c r="CH2075">
        <v>1.17</v>
      </c>
      <c r="CI2075">
        <v>1.18</v>
      </c>
      <c r="CJ2075">
        <v>-0.67</v>
      </c>
      <c r="CK2075">
        <v>1.08</v>
      </c>
      <c r="CL2075">
        <v>8.5500000000000007</v>
      </c>
      <c r="CM2075">
        <v>0.73</v>
      </c>
      <c r="CN2075">
        <v>-0.66</v>
      </c>
      <c r="CO2075">
        <v>11275</v>
      </c>
      <c r="CP2075">
        <v>10971</v>
      </c>
      <c r="CQ2075" t="s">
        <v>10128</v>
      </c>
      <c r="CR2075">
        <v>46.61</v>
      </c>
      <c r="CS2075">
        <v>46.48</v>
      </c>
      <c r="CT2075">
        <v>6.06</v>
      </c>
      <c r="CU2075">
        <v>123.01</v>
      </c>
      <c r="CV2075">
        <v>9.3800000000000008</v>
      </c>
      <c r="CW2075">
        <v>0.43</v>
      </c>
      <c r="CX2075" t="s">
        <v>803</v>
      </c>
      <c r="CY2075">
        <v>5.12</v>
      </c>
      <c r="CZ2075">
        <v>5.12</v>
      </c>
      <c r="DA2075">
        <v>1.81</v>
      </c>
      <c r="DB2075">
        <v>2.97</v>
      </c>
      <c r="DC2075">
        <v>0.25</v>
      </c>
      <c r="DD2075">
        <v>56.12</v>
      </c>
      <c r="DE2075" t="s">
        <v>10129</v>
      </c>
      <c r="DF2075">
        <v>85.38</v>
      </c>
      <c r="DG2075">
        <v>13.89</v>
      </c>
      <c r="DH2075">
        <v>12.38</v>
      </c>
      <c r="DI2075">
        <v>0.53</v>
      </c>
      <c r="DJ2075">
        <v>940</v>
      </c>
      <c r="DK2075">
        <v>300723</v>
      </c>
      <c r="DL2075" t="s">
        <v>120</v>
      </c>
      <c r="DM2075" t="s">
        <v>120</v>
      </c>
      <c r="DN2075" t="s">
        <v>120</v>
      </c>
    </row>
    <row r="2076" spans="1:118">
      <c r="A2076" t="str">
        <f>"300724"</f>
        <v>300724</v>
      </c>
      <c r="B2076" t="s">
        <v>10130</v>
      </c>
      <c r="C2076">
        <v>-5</v>
      </c>
      <c r="D2076">
        <v>-0.5</v>
      </c>
      <c r="E2076">
        <v>0.7</v>
      </c>
      <c r="F2076">
        <v>1115</v>
      </c>
      <c r="G2076" t="s">
        <v>10131</v>
      </c>
      <c r="H2076">
        <v>102497.71</v>
      </c>
      <c r="I2076">
        <v>350.3</v>
      </c>
      <c r="J2076" t="s">
        <v>120</v>
      </c>
      <c r="K2076" t="s">
        <v>10132</v>
      </c>
      <c r="L2076">
        <v>2.2200000000000002</v>
      </c>
      <c r="M2076">
        <v>146.22999999999999</v>
      </c>
      <c r="N2076">
        <v>1.02</v>
      </c>
      <c r="O2076">
        <v>3.66</v>
      </c>
      <c r="P2076">
        <v>159.56</v>
      </c>
      <c r="Q2076">
        <v>-5.14</v>
      </c>
      <c r="R2076">
        <v>146.01</v>
      </c>
      <c r="S2076">
        <v>155</v>
      </c>
      <c r="T2076">
        <v>67270</v>
      </c>
      <c r="U2076">
        <v>146.22999999999999</v>
      </c>
      <c r="V2076">
        <v>153.91999999999999</v>
      </c>
      <c r="W2076">
        <v>55.53</v>
      </c>
      <c r="X2076" t="s">
        <v>675</v>
      </c>
      <c r="Y2076" t="s">
        <v>123</v>
      </c>
      <c r="Z2076">
        <v>8.8000000000000007</v>
      </c>
      <c r="AA2076">
        <v>152.37</v>
      </c>
      <c r="AB2076">
        <v>35355</v>
      </c>
      <c r="AC2076">
        <v>31915</v>
      </c>
      <c r="AD2076">
        <v>1.1100000000000001</v>
      </c>
      <c r="AE2076">
        <v>3</v>
      </c>
      <c r="AF2076">
        <v>13</v>
      </c>
      <c r="AG2076" t="s">
        <v>120</v>
      </c>
      <c r="AH2076">
        <v>0.01</v>
      </c>
      <c r="AI2076" t="s">
        <v>120</v>
      </c>
      <c r="AJ2076">
        <v>3.03</v>
      </c>
      <c r="AK2076" t="s">
        <v>10133</v>
      </c>
      <c r="AL2076">
        <v>-3.08</v>
      </c>
      <c r="AM2076">
        <v>4230</v>
      </c>
      <c r="AN2076">
        <v>16</v>
      </c>
      <c r="AO2076">
        <v>5.0000000000000001E-4</v>
      </c>
      <c r="AP2076">
        <v>-1</v>
      </c>
      <c r="AQ2076">
        <v>3.4</v>
      </c>
      <c r="AR2076">
        <v>-1.53</v>
      </c>
      <c r="AS2076">
        <v>-21.76</v>
      </c>
      <c r="AT2076">
        <v>29.98</v>
      </c>
      <c r="AU2076">
        <v>0.56000000000000005</v>
      </c>
      <c r="AV2076">
        <v>1</v>
      </c>
      <c r="AW2076">
        <v>3.54</v>
      </c>
      <c r="AX2076">
        <v>54.63</v>
      </c>
      <c r="AY2076">
        <v>73.150000000000006</v>
      </c>
      <c r="AZ2076">
        <v>102.32</v>
      </c>
      <c r="BA2076">
        <v>0.92</v>
      </c>
      <c r="BB2076" t="s">
        <v>143</v>
      </c>
      <c r="BF2076">
        <v>-1.01</v>
      </c>
      <c r="BG2076">
        <v>-5.66</v>
      </c>
      <c r="BH2076">
        <v>-8.35</v>
      </c>
      <c r="BI2076">
        <v>0.15</v>
      </c>
      <c r="BJ2076">
        <v>20210913</v>
      </c>
      <c r="BK2076">
        <v>20180810</v>
      </c>
      <c r="BL2076">
        <v>3.48</v>
      </c>
      <c r="BM2076" t="s">
        <v>120</v>
      </c>
      <c r="BN2076" t="s">
        <v>120</v>
      </c>
      <c r="BO2076">
        <v>131.28</v>
      </c>
      <c r="BP2076">
        <v>146.22</v>
      </c>
      <c r="BQ2076">
        <v>59.23</v>
      </c>
      <c r="BR2076">
        <v>-0.05</v>
      </c>
      <c r="BS2076">
        <v>54.92</v>
      </c>
      <c r="BT2076">
        <v>121.63</v>
      </c>
      <c r="BU2076">
        <v>3.04</v>
      </c>
      <c r="BV2076">
        <v>1.1200000000000001</v>
      </c>
      <c r="BW2076">
        <v>71.59</v>
      </c>
      <c r="BX2076">
        <v>40.07</v>
      </c>
      <c r="BY2076">
        <v>46.13</v>
      </c>
      <c r="BZ2076">
        <v>14.38</v>
      </c>
      <c r="CA2076" t="s">
        <v>120</v>
      </c>
      <c r="CB2076">
        <v>36.43</v>
      </c>
      <c r="CC2076">
        <v>26.24</v>
      </c>
      <c r="CD2076">
        <v>19.420000000000002</v>
      </c>
      <c r="CE2076">
        <v>5.1100000000000003</v>
      </c>
      <c r="CF2076">
        <v>0.03</v>
      </c>
      <c r="CG2076">
        <v>5.09</v>
      </c>
      <c r="CH2076">
        <v>4.54</v>
      </c>
      <c r="CI2076">
        <v>4.58</v>
      </c>
      <c r="CJ2076">
        <v>-7.69</v>
      </c>
      <c r="CK2076">
        <v>4.25</v>
      </c>
      <c r="CL2076">
        <v>18.260000000000002</v>
      </c>
      <c r="CM2076">
        <v>5.46</v>
      </c>
      <c r="CN2076">
        <v>24.02</v>
      </c>
      <c r="CO2076">
        <v>34350</v>
      </c>
      <c r="CP2076">
        <v>5530</v>
      </c>
      <c r="CQ2076" t="s">
        <v>10134</v>
      </c>
      <c r="CR2076">
        <v>83.7</v>
      </c>
      <c r="CS2076">
        <v>38.619999999999997</v>
      </c>
      <c r="CT2076">
        <v>8.58</v>
      </c>
      <c r="CU2076">
        <v>93.07</v>
      </c>
      <c r="CV2076">
        <v>19.38</v>
      </c>
      <c r="CW2076">
        <v>0.12</v>
      </c>
      <c r="CX2076" t="s">
        <v>2765</v>
      </c>
      <c r="CY2076">
        <v>17.04</v>
      </c>
      <c r="CZ2076">
        <v>0</v>
      </c>
      <c r="DA2076">
        <v>10.48</v>
      </c>
      <c r="DB2076">
        <v>5.25</v>
      </c>
      <c r="DC2076">
        <v>1.57</v>
      </c>
      <c r="DD2076">
        <v>45.12</v>
      </c>
      <c r="DE2076" t="s">
        <v>10135</v>
      </c>
      <c r="DF2076">
        <v>25.99</v>
      </c>
      <c r="DG2076">
        <v>19.46</v>
      </c>
      <c r="DH2076">
        <v>17.45</v>
      </c>
      <c r="DI2076">
        <v>1.35</v>
      </c>
      <c r="DJ2076">
        <v>2589</v>
      </c>
      <c r="DK2076">
        <v>300724</v>
      </c>
      <c r="DL2076" t="s">
        <v>120</v>
      </c>
      <c r="DM2076" t="s">
        <v>120</v>
      </c>
      <c r="DN2076" t="s">
        <v>120</v>
      </c>
    </row>
    <row r="2077" spans="1:118">
      <c r="A2077" t="str">
        <f>"300725"</f>
        <v>300725</v>
      </c>
      <c r="B2077" t="s">
        <v>10136</v>
      </c>
      <c r="C2077">
        <v>-0.2</v>
      </c>
      <c r="D2077">
        <v>-0.06</v>
      </c>
      <c r="E2077">
        <v>0.33</v>
      </c>
      <c r="F2077">
        <v>248</v>
      </c>
      <c r="G2077" t="s">
        <v>10137</v>
      </c>
      <c r="H2077">
        <v>61745.52</v>
      </c>
      <c r="I2077">
        <v>531.98</v>
      </c>
      <c r="J2077" t="s">
        <v>120</v>
      </c>
      <c r="K2077" t="s">
        <v>10138</v>
      </c>
      <c r="L2077">
        <v>1.97</v>
      </c>
      <c r="M2077">
        <v>193</v>
      </c>
      <c r="N2077">
        <v>0.95</v>
      </c>
      <c r="O2077">
        <v>2.13</v>
      </c>
      <c r="P2077">
        <v>197.5</v>
      </c>
      <c r="Q2077">
        <v>-2.78</v>
      </c>
      <c r="R2077">
        <v>188</v>
      </c>
      <c r="S2077">
        <v>194.01</v>
      </c>
      <c r="T2077">
        <v>32042</v>
      </c>
      <c r="U2077">
        <v>193.05</v>
      </c>
      <c r="V2077">
        <v>193.38</v>
      </c>
      <c r="W2077">
        <v>50.55</v>
      </c>
      <c r="X2077" t="s">
        <v>569</v>
      </c>
      <c r="Y2077" t="s">
        <v>319</v>
      </c>
      <c r="Z2077">
        <v>4.91</v>
      </c>
      <c r="AA2077">
        <v>192.7</v>
      </c>
      <c r="AB2077">
        <v>15855</v>
      </c>
      <c r="AC2077">
        <v>16187</v>
      </c>
      <c r="AD2077">
        <v>0.98</v>
      </c>
      <c r="AE2077">
        <v>20</v>
      </c>
      <c r="AF2077">
        <v>1</v>
      </c>
      <c r="AG2077" t="s">
        <v>120</v>
      </c>
      <c r="AH2077">
        <v>0.02</v>
      </c>
      <c r="AI2077" t="s">
        <v>120</v>
      </c>
      <c r="AJ2077">
        <v>1.63</v>
      </c>
      <c r="AK2077" t="s">
        <v>10139</v>
      </c>
      <c r="AL2077">
        <v>1.72</v>
      </c>
      <c r="AM2077">
        <v>3655</v>
      </c>
      <c r="AN2077">
        <v>9</v>
      </c>
      <c r="AO2077">
        <v>5.0000000000000001E-4</v>
      </c>
      <c r="AP2077">
        <v>-1</v>
      </c>
      <c r="AQ2077">
        <v>2.06</v>
      </c>
      <c r="AR2077">
        <v>7.8</v>
      </c>
      <c r="AS2077">
        <v>14.49</v>
      </c>
      <c r="AT2077">
        <v>21.15</v>
      </c>
      <c r="AU2077">
        <v>81.94</v>
      </c>
      <c r="AV2077">
        <v>2</v>
      </c>
      <c r="AW2077">
        <v>2.2200000000000002</v>
      </c>
      <c r="AX2077">
        <v>72.44</v>
      </c>
      <c r="AY2077">
        <v>80.77</v>
      </c>
      <c r="AZ2077">
        <v>209.64</v>
      </c>
      <c r="BA2077">
        <v>2.02</v>
      </c>
      <c r="BB2077" t="s">
        <v>143</v>
      </c>
      <c r="BF2077">
        <v>-0.35</v>
      </c>
      <c r="BG2077">
        <v>-0.52</v>
      </c>
      <c r="BH2077">
        <v>-2.2799999999999998</v>
      </c>
      <c r="BI2077">
        <v>2.66</v>
      </c>
      <c r="BJ2077">
        <v>20210914</v>
      </c>
      <c r="BK2077">
        <v>20171110</v>
      </c>
      <c r="BL2077">
        <v>2</v>
      </c>
      <c r="BM2077" t="s">
        <v>120</v>
      </c>
      <c r="BN2077" t="s">
        <v>120</v>
      </c>
      <c r="BO2077">
        <v>32.57</v>
      </c>
      <c r="BP2077">
        <v>193</v>
      </c>
      <c r="BQ2077">
        <v>22.81</v>
      </c>
      <c r="BR2077">
        <v>1.88</v>
      </c>
      <c r="BS2077">
        <v>24.21</v>
      </c>
      <c r="BT2077">
        <v>18.690000000000001</v>
      </c>
      <c r="BU2077">
        <v>5.17</v>
      </c>
      <c r="BV2077">
        <v>1.1200000000000001</v>
      </c>
      <c r="BW2077">
        <v>7.12</v>
      </c>
      <c r="BX2077">
        <v>7.8</v>
      </c>
      <c r="BY2077">
        <v>3.54</v>
      </c>
      <c r="BZ2077">
        <v>1.33</v>
      </c>
      <c r="CA2077" t="s">
        <v>120</v>
      </c>
      <c r="CB2077">
        <v>12.88</v>
      </c>
      <c r="CC2077">
        <v>6.21</v>
      </c>
      <c r="CD2077">
        <v>3.13</v>
      </c>
      <c r="CE2077">
        <v>3.96</v>
      </c>
      <c r="CF2077">
        <v>2.2999999999999998</v>
      </c>
      <c r="CG2077">
        <v>4.0199999999999996</v>
      </c>
      <c r="CH2077">
        <v>3.86</v>
      </c>
      <c r="CI2077">
        <v>3.81</v>
      </c>
      <c r="CJ2077">
        <v>-0.38</v>
      </c>
      <c r="CK2077">
        <v>1.45</v>
      </c>
      <c r="CL2077">
        <v>8.1</v>
      </c>
      <c r="CM2077">
        <v>1.9</v>
      </c>
      <c r="CN2077">
        <v>-4.74</v>
      </c>
      <c r="CO2077">
        <v>15475</v>
      </c>
      <c r="CP2077">
        <v>9348</v>
      </c>
      <c r="CQ2077" t="s">
        <v>10140</v>
      </c>
      <c r="CR2077">
        <v>336.52</v>
      </c>
      <c r="CS2077">
        <v>35.24</v>
      </c>
      <c r="CT2077">
        <v>16.899999999999999</v>
      </c>
      <c r="CU2077">
        <v>202.43</v>
      </c>
      <c r="CV2077">
        <v>62.03</v>
      </c>
      <c r="CW2077">
        <v>0.04</v>
      </c>
      <c r="CX2077" t="s">
        <v>10141</v>
      </c>
      <c r="CY2077">
        <v>11.42</v>
      </c>
      <c r="CZ2077">
        <v>0</v>
      </c>
      <c r="DA2077">
        <v>6.45</v>
      </c>
      <c r="DB2077">
        <v>4.0599999999999996</v>
      </c>
      <c r="DC2077">
        <v>0.95</v>
      </c>
      <c r="DD2077">
        <v>70.03</v>
      </c>
      <c r="DE2077" t="s">
        <v>10142</v>
      </c>
      <c r="DF2077">
        <v>49.64</v>
      </c>
      <c r="DG2077">
        <v>63.69</v>
      </c>
      <c r="DH2077">
        <v>61.36</v>
      </c>
      <c r="DI2077">
        <v>0.51</v>
      </c>
      <c r="DJ2077">
        <v>1369</v>
      </c>
      <c r="DK2077">
        <v>300725</v>
      </c>
      <c r="DL2077" t="s">
        <v>120</v>
      </c>
      <c r="DM2077" t="s">
        <v>120</v>
      </c>
      <c r="DN2077" t="s">
        <v>120</v>
      </c>
    </row>
    <row r="2078" spans="1:118">
      <c r="A2078" t="str">
        <f>"300726"</f>
        <v>300726</v>
      </c>
      <c r="B2078" t="s">
        <v>10143</v>
      </c>
      <c r="C2078">
        <v>-5.3</v>
      </c>
      <c r="D2078">
        <v>0</v>
      </c>
      <c r="E2078">
        <v>0</v>
      </c>
      <c r="F2078">
        <v>318</v>
      </c>
      <c r="G2078" t="s">
        <v>10144</v>
      </c>
      <c r="H2078">
        <v>30223.56</v>
      </c>
      <c r="I2078">
        <v>36.83</v>
      </c>
      <c r="J2078" t="s">
        <v>120</v>
      </c>
      <c r="K2078" t="s">
        <v>10145</v>
      </c>
      <c r="L2078">
        <v>2.14</v>
      </c>
      <c r="M2078">
        <v>75.819999999999993</v>
      </c>
      <c r="N2078">
        <v>1.27</v>
      </c>
      <c r="O2078">
        <v>0.05</v>
      </c>
      <c r="P2078">
        <v>80.099999999999994</v>
      </c>
      <c r="Q2078">
        <v>-5.46</v>
      </c>
      <c r="R2078">
        <v>75.69</v>
      </c>
      <c r="S2078">
        <v>80.06</v>
      </c>
      <c r="T2078">
        <v>39247</v>
      </c>
      <c r="U2078">
        <v>75.819999999999993</v>
      </c>
      <c r="V2078">
        <v>80.06</v>
      </c>
      <c r="W2078">
        <v>37.979999999999997</v>
      </c>
      <c r="X2078" t="s">
        <v>229</v>
      </c>
      <c r="Y2078" t="s">
        <v>594</v>
      </c>
      <c r="Z2078">
        <v>5.51</v>
      </c>
      <c r="AA2078">
        <v>77.010000000000005</v>
      </c>
      <c r="AB2078">
        <v>21426</v>
      </c>
      <c r="AC2078">
        <v>17821</v>
      </c>
      <c r="AD2078">
        <v>1.2</v>
      </c>
      <c r="AE2078">
        <v>57</v>
      </c>
      <c r="AF2078">
        <v>156</v>
      </c>
      <c r="AG2078" t="s">
        <v>120</v>
      </c>
      <c r="AH2078">
        <v>0</v>
      </c>
      <c r="AI2078" t="s">
        <v>120</v>
      </c>
      <c r="AJ2078">
        <v>1.83</v>
      </c>
      <c r="AK2078" t="s">
        <v>10146</v>
      </c>
      <c r="AL2078">
        <v>-3.38</v>
      </c>
      <c r="AM2078">
        <v>3506</v>
      </c>
      <c r="AN2078">
        <v>11</v>
      </c>
      <c r="AO2078">
        <v>5.9999999999999995E-4</v>
      </c>
      <c r="AP2078">
        <v>-4</v>
      </c>
      <c r="AQ2078">
        <v>-0.24</v>
      </c>
      <c r="AR2078">
        <v>-6.86</v>
      </c>
      <c r="AS2078">
        <v>-18.55</v>
      </c>
      <c r="AT2078">
        <v>10.37</v>
      </c>
      <c r="AU2078">
        <v>5.03</v>
      </c>
      <c r="AV2078">
        <v>0</v>
      </c>
      <c r="AW2078">
        <v>3.53</v>
      </c>
      <c r="AX2078">
        <v>27.8</v>
      </c>
      <c r="AY2078">
        <v>46.32</v>
      </c>
      <c r="AZ2078">
        <v>66.209999999999994</v>
      </c>
      <c r="BA2078">
        <v>1.17</v>
      </c>
      <c r="BB2078" t="s">
        <v>143</v>
      </c>
      <c r="BF2078">
        <v>-3.81</v>
      </c>
      <c r="BG2078">
        <v>-5.3</v>
      </c>
      <c r="BH2078">
        <v>-5.34</v>
      </c>
      <c r="BI2078">
        <v>0.17</v>
      </c>
      <c r="BJ2078">
        <v>20210830</v>
      </c>
      <c r="BK2078">
        <v>20171121</v>
      </c>
      <c r="BL2078">
        <v>4</v>
      </c>
      <c r="BM2078" t="s">
        <v>120</v>
      </c>
      <c r="BN2078" t="s">
        <v>120</v>
      </c>
      <c r="BO2078">
        <v>34.01</v>
      </c>
      <c r="BP2078">
        <v>75.81</v>
      </c>
      <c r="BQ2078">
        <v>24.51</v>
      </c>
      <c r="BR2078">
        <v>1.3</v>
      </c>
      <c r="BS2078">
        <v>24.11</v>
      </c>
      <c r="BT2078">
        <v>26.56</v>
      </c>
      <c r="BU2078">
        <v>2.6</v>
      </c>
      <c r="BV2078">
        <v>0.35</v>
      </c>
      <c r="BW2078">
        <v>5.86</v>
      </c>
      <c r="BX2078">
        <v>2.5</v>
      </c>
      <c r="BY2078">
        <v>7.42</v>
      </c>
      <c r="BZ2078">
        <v>10.45</v>
      </c>
      <c r="CA2078" t="s">
        <v>120</v>
      </c>
      <c r="CB2078">
        <v>6.67</v>
      </c>
      <c r="CC2078">
        <v>9.23</v>
      </c>
      <c r="CD2078">
        <v>2.77</v>
      </c>
      <c r="CE2078">
        <v>5.09</v>
      </c>
      <c r="CF2078">
        <v>0</v>
      </c>
      <c r="CG2078">
        <v>5.08</v>
      </c>
      <c r="CH2078">
        <v>4.33</v>
      </c>
      <c r="CI2078">
        <v>3.99</v>
      </c>
      <c r="CJ2078">
        <v>-4.24</v>
      </c>
      <c r="CK2078">
        <v>3.58</v>
      </c>
      <c r="CL2078">
        <v>12.5</v>
      </c>
      <c r="CM2078">
        <v>2.41</v>
      </c>
      <c r="CN2078">
        <v>0.51</v>
      </c>
      <c r="CO2078">
        <v>17810</v>
      </c>
      <c r="CP2078">
        <v>6246</v>
      </c>
      <c r="CQ2078" t="s">
        <v>10147</v>
      </c>
      <c r="CR2078">
        <v>108.46</v>
      </c>
      <c r="CS2078">
        <v>77.53</v>
      </c>
      <c r="CT2078">
        <v>12.38</v>
      </c>
      <c r="CU2078">
        <v>126.03</v>
      </c>
      <c r="CV2078">
        <v>32.880000000000003</v>
      </c>
      <c r="CW2078">
        <v>0.2</v>
      </c>
      <c r="CX2078" t="s">
        <v>10148</v>
      </c>
      <c r="CY2078">
        <v>6.13</v>
      </c>
      <c r="CZ2078">
        <v>0</v>
      </c>
      <c r="DA2078">
        <v>1.67</v>
      </c>
      <c r="DB2078">
        <v>3.13</v>
      </c>
      <c r="DC2078">
        <v>0.6</v>
      </c>
      <c r="DD2078">
        <v>72.06</v>
      </c>
      <c r="DE2078" t="s">
        <v>10149</v>
      </c>
      <c r="DF2078">
        <v>69.959999999999994</v>
      </c>
      <c r="DG2078">
        <v>55.12</v>
      </c>
      <c r="DH2078">
        <v>43.28</v>
      </c>
      <c r="DI2078">
        <v>0.47</v>
      </c>
      <c r="DJ2078">
        <v>1579</v>
      </c>
      <c r="DK2078">
        <v>300726</v>
      </c>
      <c r="DL2078" t="s">
        <v>120</v>
      </c>
      <c r="DM2078" t="s">
        <v>120</v>
      </c>
      <c r="DN2078" t="s">
        <v>120</v>
      </c>
    </row>
    <row r="2079" spans="1:118">
      <c r="A2079" t="str">
        <f>"300727"</f>
        <v>300727</v>
      </c>
      <c r="B2079" t="s">
        <v>10150</v>
      </c>
      <c r="C2079">
        <v>-7.34</v>
      </c>
      <c r="D2079">
        <v>0.06</v>
      </c>
      <c r="E2079">
        <v>-2.17</v>
      </c>
      <c r="F2079">
        <v>651</v>
      </c>
      <c r="G2079" t="s">
        <v>7172</v>
      </c>
      <c r="H2079">
        <v>20324.599999999999</v>
      </c>
      <c r="I2079">
        <v>148.68</v>
      </c>
      <c r="J2079" t="s">
        <v>120</v>
      </c>
      <c r="K2079" t="s">
        <v>10126</v>
      </c>
      <c r="L2079">
        <v>5.1100000000000003</v>
      </c>
      <c r="M2079">
        <v>34.1</v>
      </c>
      <c r="N2079">
        <v>0.84</v>
      </c>
      <c r="O2079">
        <v>1.39</v>
      </c>
      <c r="P2079">
        <v>37.31</v>
      </c>
      <c r="Q2079">
        <v>-8.48</v>
      </c>
      <c r="R2079">
        <v>33.68</v>
      </c>
      <c r="S2079">
        <v>36</v>
      </c>
      <c r="T2079">
        <v>57537</v>
      </c>
      <c r="U2079">
        <v>34.11</v>
      </c>
      <c r="V2079">
        <v>36.799999999999997</v>
      </c>
      <c r="W2079">
        <v>55.04</v>
      </c>
      <c r="X2079" t="s">
        <v>868</v>
      </c>
      <c r="Y2079" t="s">
        <v>585</v>
      </c>
      <c r="Z2079">
        <v>9.86</v>
      </c>
      <c r="AA2079">
        <v>35.32</v>
      </c>
      <c r="AB2079">
        <v>32947</v>
      </c>
      <c r="AC2079">
        <v>24590</v>
      </c>
      <c r="AD2079">
        <v>1.34</v>
      </c>
      <c r="AE2079">
        <v>11</v>
      </c>
      <c r="AF2079">
        <v>5</v>
      </c>
      <c r="AG2079" t="s">
        <v>120</v>
      </c>
      <c r="AH2079">
        <v>0.1</v>
      </c>
      <c r="AI2079" t="s">
        <v>120</v>
      </c>
      <c r="AJ2079">
        <v>1.1299999999999999</v>
      </c>
      <c r="AK2079" t="s">
        <v>5129</v>
      </c>
      <c r="AL2079">
        <v>-5.42</v>
      </c>
      <c r="AM2079">
        <v>3056</v>
      </c>
      <c r="AN2079">
        <v>19</v>
      </c>
      <c r="AO2079">
        <v>1.6999999999999999E-3</v>
      </c>
      <c r="AP2079">
        <v>-2</v>
      </c>
      <c r="AQ2079">
        <v>-3.13</v>
      </c>
      <c r="AR2079">
        <v>-7.63</v>
      </c>
      <c r="AS2079">
        <v>-21.79</v>
      </c>
      <c r="AT2079">
        <v>-5.59</v>
      </c>
      <c r="AU2079">
        <v>8.17</v>
      </c>
      <c r="AV2079">
        <v>8</v>
      </c>
      <c r="AW2079">
        <v>13.88</v>
      </c>
      <c r="AX2079">
        <v>32.67</v>
      </c>
      <c r="AY2079">
        <v>63.35</v>
      </c>
      <c r="AZ2079">
        <v>86.18</v>
      </c>
      <c r="BA2079">
        <v>0.91</v>
      </c>
      <c r="BB2079" t="s">
        <v>143</v>
      </c>
      <c r="BF2079">
        <v>-4.01</v>
      </c>
      <c r="BG2079">
        <v>-5.28</v>
      </c>
      <c r="BH2079">
        <v>-8.6</v>
      </c>
      <c r="BI2079">
        <v>1.25</v>
      </c>
      <c r="BJ2079">
        <v>20210830</v>
      </c>
      <c r="BK2079">
        <v>20171127</v>
      </c>
      <c r="BL2079">
        <v>1.27</v>
      </c>
      <c r="BM2079" t="s">
        <v>120</v>
      </c>
      <c r="BN2079" t="s">
        <v>120</v>
      </c>
      <c r="BO2079">
        <v>9.99</v>
      </c>
      <c r="BP2079">
        <v>34.1</v>
      </c>
      <c r="BQ2079">
        <v>6.23</v>
      </c>
      <c r="BR2079" t="s">
        <v>120</v>
      </c>
      <c r="BS2079">
        <v>37.619999999999997</v>
      </c>
      <c r="BT2079">
        <v>5.67</v>
      </c>
      <c r="BU2079">
        <v>2.5499999999999998</v>
      </c>
      <c r="BV2079">
        <v>0.51</v>
      </c>
      <c r="BW2079">
        <v>3.65</v>
      </c>
      <c r="BX2079">
        <v>0.86</v>
      </c>
      <c r="BY2079">
        <v>0.85</v>
      </c>
      <c r="BZ2079">
        <v>2.15</v>
      </c>
      <c r="CA2079" t="s">
        <v>120</v>
      </c>
      <c r="CB2079">
        <v>2.21</v>
      </c>
      <c r="CC2079">
        <v>5.04</v>
      </c>
      <c r="CD2079">
        <v>3.97</v>
      </c>
      <c r="CE2079">
        <v>0.46</v>
      </c>
      <c r="CF2079">
        <v>0.01</v>
      </c>
      <c r="CG2079">
        <v>0.46</v>
      </c>
      <c r="CH2079">
        <v>0.39</v>
      </c>
      <c r="CI2079">
        <v>0.39</v>
      </c>
      <c r="CJ2079">
        <v>-2.7</v>
      </c>
      <c r="CK2079">
        <v>0.38</v>
      </c>
      <c r="CL2079">
        <v>2.21</v>
      </c>
      <c r="CM2079">
        <v>0.18</v>
      </c>
      <c r="CN2079">
        <v>-0.25</v>
      </c>
      <c r="CO2079">
        <v>24537</v>
      </c>
      <c r="CP2079">
        <v>1689</v>
      </c>
      <c r="CQ2079" t="s">
        <v>5032</v>
      </c>
      <c r="CR2079">
        <v>98.7</v>
      </c>
      <c r="CS2079">
        <v>89.77</v>
      </c>
      <c r="CT2079">
        <v>6.94</v>
      </c>
      <c r="CU2079">
        <v>240.03</v>
      </c>
      <c r="CV2079">
        <v>8.59</v>
      </c>
      <c r="CW2079">
        <v>0.34</v>
      </c>
      <c r="CX2079" t="s">
        <v>2752</v>
      </c>
      <c r="CY2079">
        <v>4.91</v>
      </c>
      <c r="CZ2079">
        <v>0</v>
      </c>
      <c r="DA2079">
        <v>1.74</v>
      </c>
      <c r="DB2079">
        <v>1.75</v>
      </c>
      <c r="DC2079">
        <v>0.14000000000000001</v>
      </c>
      <c r="DD2079">
        <v>62.38</v>
      </c>
      <c r="DE2079" t="s">
        <v>7317</v>
      </c>
      <c r="DF2079">
        <v>21.31</v>
      </c>
      <c r="DG2079">
        <v>9.14</v>
      </c>
      <c r="DH2079">
        <v>7.8</v>
      </c>
      <c r="DI2079">
        <v>0.17</v>
      </c>
      <c r="DJ2079">
        <v>414</v>
      </c>
      <c r="DK2079">
        <v>300727</v>
      </c>
      <c r="DL2079" t="s">
        <v>120</v>
      </c>
      <c r="DM2079" t="s">
        <v>120</v>
      </c>
      <c r="DN2079" t="s">
        <v>120</v>
      </c>
    </row>
    <row r="2080" spans="1:118">
      <c r="A2080" t="str">
        <f>"300729"</f>
        <v>300729</v>
      </c>
      <c r="B2080" t="s">
        <v>10151</v>
      </c>
      <c r="C2080">
        <v>-1.54</v>
      </c>
      <c r="D2080">
        <v>-0.04</v>
      </c>
      <c r="E2080">
        <v>0.61</v>
      </c>
      <c r="F2080">
        <v>153</v>
      </c>
      <c r="G2080" t="s">
        <v>6321</v>
      </c>
      <c r="H2080">
        <v>3286.64</v>
      </c>
      <c r="I2080">
        <v>43.87</v>
      </c>
      <c r="J2080" t="s">
        <v>120</v>
      </c>
      <c r="K2080" t="s">
        <v>10152</v>
      </c>
      <c r="L2080">
        <v>0.88</v>
      </c>
      <c r="M2080">
        <v>21.14</v>
      </c>
      <c r="N2080">
        <v>0.75</v>
      </c>
      <c r="O2080">
        <v>2.4700000000000002</v>
      </c>
      <c r="P2080">
        <v>22</v>
      </c>
      <c r="Q2080">
        <v>-1.63</v>
      </c>
      <c r="R2080">
        <v>21.12</v>
      </c>
      <c r="S2080">
        <v>21.6</v>
      </c>
      <c r="T2080">
        <v>15315</v>
      </c>
      <c r="U2080">
        <v>21.14</v>
      </c>
      <c r="V2080">
        <v>21.47</v>
      </c>
      <c r="W2080">
        <v>22.85</v>
      </c>
      <c r="X2080" t="s">
        <v>2409</v>
      </c>
      <c r="Y2080" t="s">
        <v>585</v>
      </c>
      <c r="Z2080">
        <v>4.0999999999999996</v>
      </c>
      <c r="AA2080">
        <v>21.46</v>
      </c>
      <c r="AB2080">
        <v>9790</v>
      </c>
      <c r="AC2080">
        <v>5525</v>
      </c>
      <c r="AD2080">
        <v>1.77</v>
      </c>
      <c r="AE2080">
        <v>93</v>
      </c>
      <c r="AF2080">
        <v>3</v>
      </c>
      <c r="AG2080" t="s">
        <v>120</v>
      </c>
      <c r="AH2080">
        <v>0.03</v>
      </c>
      <c r="AI2080" t="s">
        <v>120</v>
      </c>
      <c r="AJ2080">
        <v>1.74</v>
      </c>
      <c r="AK2080" t="s">
        <v>10153</v>
      </c>
      <c r="AL2080">
        <v>0.38</v>
      </c>
      <c r="AM2080">
        <v>1130</v>
      </c>
      <c r="AN2080">
        <v>14</v>
      </c>
      <c r="AO2080">
        <v>8.0000000000000004E-4</v>
      </c>
      <c r="AP2080">
        <v>-5</v>
      </c>
      <c r="AQ2080">
        <v>-0.23</v>
      </c>
      <c r="AR2080">
        <v>-5.2</v>
      </c>
      <c r="AS2080">
        <v>-1.45</v>
      </c>
      <c r="AT2080">
        <v>-15.16</v>
      </c>
      <c r="AU2080">
        <v>-35.03</v>
      </c>
      <c r="AV2080">
        <v>1</v>
      </c>
      <c r="AW2080">
        <v>2.38</v>
      </c>
      <c r="AX2080">
        <v>35.47</v>
      </c>
      <c r="AY2080">
        <v>16.739999999999998</v>
      </c>
      <c r="AZ2080">
        <v>17.96</v>
      </c>
      <c r="BA2080">
        <v>0.43</v>
      </c>
      <c r="BB2080" t="s">
        <v>143</v>
      </c>
      <c r="BF2080">
        <v>-0.05</v>
      </c>
      <c r="BG2080">
        <v>-2.13</v>
      </c>
      <c r="BH2080">
        <v>-3.91</v>
      </c>
      <c r="BI2080">
        <v>0.09</v>
      </c>
      <c r="BJ2080">
        <v>20210909</v>
      </c>
      <c r="BK2080">
        <v>20171201</v>
      </c>
      <c r="BL2080">
        <v>1.82</v>
      </c>
      <c r="BM2080" t="s">
        <v>120</v>
      </c>
      <c r="BN2080" t="s">
        <v>120</v>
      </c>
      <c r="BO2080">
        <v>30.55</v>
      </c>
      <c r="BP2080">
        <v>21.13</v>
      </c>
      <c r="BQ2080">
        <v>10.9</v>
      </c>
      <c r="BR2080">
        <v>0</v>
      </c>
      <c r="BS2080">
        <v>64.319999999999993</v>
      </c>
      <c r="BT2080">
        <v>17.18</v>
      </c>
      <c r="BU2080">
        <v>8.11</v>
      </c>
      <c r="BV2080">
        <v>2.5099999999999998</v>
      </c>
      <c r="BW2080">
        <v>14.75</v>
      </c>
      <c r="BX2080">
        <v>8.32</v>
      </c>
      <c r="BY2080">
        <v>5.5</v>
      </c>
      <c r="BZ2080">
        <v>1.57</v>
      </c>
      <c r="CA2080">
        <v>0.09</v>
      </c>
      <c r="CB2080">
        <v>2.76</v>
      </c>
      <c r="CC2080">
        <v>13.97</v>
      </c>
      <c r="CD2080">
        <v>8.3800000000000008</v>
      </c>
      <c r="CE2080">
        <v>0.89</v>
      </c>
      <c r="CF2080">
        <v>0.2</v>
      </c>
      <c r="CG2080">
        <v>0.93</v>
      </c>
      <c r="CH2080">
        <v>0.84</v>
      </c>
      <c r="CI2080">
        <v>0.84</v>
      </c>
      <c r="CJ2080">
        <v>-0.33</v>
      </c>
      <c r="CK2080">
        <v>0.66</v>
      </c>
      <c r="CL2080">
        <v>5.76</v>
      </c>
      <c r="CM2080">
        <v>0.32</v>
      </c>
      <c r="CN2080">
        <v>-0.82</v>
      </c>
      <c r="CO2080">
        <v>11252</v>
      </c>
      <c r="CP2080">
        <v>5724</v>
      </c>
      <c r="CQ2080" t="s">
        <v>10154</v>
      </c>
      <c r="CR2080">
        <v>23.25</v>
      </c>
      <c r="CS2080">
        <v>120.68</v>
      </c>
      <c r="CT2080">
        <v>3.63</v>
      </c>
      <c r="CU2080">
        <v>118.31</v>
      </c>
      <c r="CV2080">
        <v>2.75</v>
      </c>
      <c r="CW2080">
        <v>0.64</v>
      </c>
      <c r="CX2080" t="s">
        <v>1071</v>
      </c>
      <c r="CY2080">
        <v>5.83</v>
      </c>
      <c r="CZ2080">
        <v>5.83</v>
      </c>
      <c r="DA2080">
        <v>1.52</v>
      </c>
      <c r="DB2080">
        <v>3.17</v>
      </c>
      <c r="DC2080">
        <v>0.18</v>
      </c>
      <c r="DD2080">
        <v>35.67</v>
      </c>
      <c r="DE2080" t="s">
        <v>10155</v>
      </c>
      <c r="DF2080">
        <v>40</v>
      </c>
      <c r="DG2080">
        <v>6.34</v>
      </c>
      <c r="DH2080">
        <v>6.01</v>
      </c>
      <c r="DI2080">
        <v>0.55000000000000004</v>
      </c>
      <c r="DJ2080">
        <v>2956</v>
      </c>
      <c r="DK2080">
        <v>300729</v>
      </c>
      <c r="DL2080" t="s">
        <v>120</v>
      </c>
      <c r="DM2080" t="s">
        <v>120</v>
      </c>
      <c r="DN2080" t="s">
        <v>120</v>
      </c>
    </row>
    <row r="2081" spans="1:118">
      <c r="A2081" t="str">
        <f>"300730"</f>
        <v>300730</v>
      </c>
      <c r="B2081" t="s">
        <v>10156</v>
      </c>
      <c r="C2081">
        <v>-1.92</v>
      </c>
      <c r="D2081">
        <v>-0.06</v>
      </c>
      <c r="E2081">
        <v>-0.2</v>
      </c>
      <c r="F2081">
        <v>287</v>
      </c>
      <c r="G2081" t="s">
        <v>10157</v>
      </c>
      <c r="H2081">
        <v>3281.36</v>
      </c>
      <c r="I2081">
        <v>16.399999999999999</v>
      </c>
      <c r="J2081" t="s">
        <v>120</v>
      </c>
      <c r="K2081" t="s">
        <v>10158</v>
      </c>
      <c r="L2081">
        <v>1.86</v>
      </c>
      <c r="M2081">
        <v>14.79</v>
      </c>
      <c r="N2081">
        <v>0.92</v>
      </c>
      <c r="O2081">
        <v>1.06</v>
      </c>
      <c r="P2081">
        <v>15.24</v>
      </c>
      <c r="Q2081">
        <v>-1.99</v>
      </c>
      <c r="R2081">
        <v>14.78</v>
      </c>
      <c r="S2081">
        <v>15.05</v>
      </c>
      <c r="T2081">
        <v>21902</v>
      </c>
      <c r="U2081">
        <v>14.79</v>
      </c>
      <c r="V2081">
        <v>15.08</v>
      </c>
      <c r="W2081" t="s">
        <v>120</v>
      </c>
      <c r="X2081" t="s">
        <v>141</v>
      </c>
      <c r="Y2081" t="s">
        <v>594</v>
      </c>
      <c r="Z2081">
        <v>3.05</v>
      </c>
      <c r="AA2081">
        <v>14.98</v>
      </c>
      <c r="AB2081">
        <v>11311</v>
      </c>
      <c r="AC2081">
        <v>10591</v>
      </c>
      <c r="AD2081">
        <v>1.07</v>
      </c>
      <c r="AE2081">
        <v>20</v>
      </c>
      <c r="AF2081">
        <v>31</v>
      </c>
      <c r="AG2081" t="s">
        <v>120</v>
      </c>
      <c r="AH2081">
        <v>0.01</v>
      </c>
      <c r="AI2081" t="s">
        <v>120</v>
      </c>
      <c r="AJ2081">
        <v>1.17</v>
      </c>
      <c r="AK2081" t="s">
        <v>10159</v>
      </c>
      <c r="AL2081">
        <v>-0.01</v>
      </c>
      <c r="AM2081">
        <v>1196</v>
      </c>
      <c r="AN2081">
        <v>18</v>
      </c>
      <c r="AO2081">
        <v>1.6000000000000001E-3</v>
      </c>
      <c r="AP2081">
        <v>-2</v>
      </c>
      <c r="AQ2081">
        <v>-2.65</v>
      </c>
      <c r="AR2081">
        <v>-2.5099999999999998</v>
      </c>
      <c r="AS2081">
        <v>-2.63</v>
      </c>
      <c r="AT2081">
        <v>1.93</v>
      </c>
      <c r="AU2081">
        <v>-3.58</v>
      </c>
      <c r="AV2081">
        <v>2</v>
      </c>
      <c r="AW2081">
        <v>2.93</v>
      </c>
      <c r="AX2081">
        <v>46.78</v>
      </c>
      <c r="AY2081">
        <v>70.66</v>
      </c>
      <c r="AZ2081">
        <v>74.16</v>
      </c>
      <c r="BA2081">
        <v>0.78</v>
      </c>
      <c r="BB2081" t="s">
        <v>125</v>
      </c>
      <c r="BF2081">
        <v>-0.65</v>
      </c>
      <c r="BG2081">
        <v>-1.73</v>
      </c>
      <c r="BH2081">
        <v>-2.95</v>
      </c>
      <c r="BI2081">
        <v>7.0000000000000007E-2</v>
      </c>
      <c r="BJ2081">
        <v>20210828</v>
      </c>
      <c r="BK2081">
        <v>20171205</v>
      </c>
      <c r="BL2081">
        <v>1.6</v>
      </c>
      <c r="BM2081" t="s">
        <v>120</v>
      </c>
      <c r="BN2081" t="s">
        <v>120</v>
      </c>
      <c r="BO2081">
        <v>6.48</v>
      </c>
      <c r="BP2081">
        <v>14.78</v>
      </c>
      <c r="BQ2081">
        <v>4.38</v>
      </c>
      <c r="BR2081">
        <v>0.08</v>
      </c>
      <c r="BS2081">
        <v>31.23</v>
      </c>
      <c r="BT2081">
        <v>5.15</v>
      </c>
      <c r="BU2081">
        <v>0.65</v>
      </c>
      <c r="BV2081">
        <v>0.12</v>
      </c>
      <c r="BW2081">
        <v>1.75</v>
      </c>
      <c r="BX2081">
        <v>0.56999999999999995</v>
      </c>
      <c r="BY2081">
        <v>1.67</v>
      </c>
      <c r="BZ2081">
        <v>1.96</v>
      </c>
      <c r="CA2081" t="s">
        <v>120</v>
      </c>
      <c r="CB2081">
        <v>0.97</v>
      </c>
      <c r="CC2081">
        <v>1.1499999999999999</v>
      </c>
      <c r="CD2081">
        <v>0.78</v>
      </c>
      <c r="CE2081">
        <v>-0.13</v>
      </c>
      <c r="CF2081">
        <v>0</v>
      </c>
      <c r="CG2081">
        <v>-0.13</v>
      </c>
      <c r="CH2081">
        <v>-0.13</v>
      </c>
      <c r="CI2081">
        <v>-0.13</v>
      </c>
      <c r="CJ2081">
        <v>-0.28999999999999998</v>
      </c>
      <c r="CK2081">
        <v>-0.15</v>
      </c>
      <c r="CL2081">
        <v>1.63</v>
      </c>
      <c r="CM2081">
        <v>-1.38</v>
      </c>
      <c r="CN2081">
        <v>-1.29</v>
      </c>
      <c r="CO2081">
        <v>14821</v>
      </c>
      <c r="CP2081">
        <v>5035</v>
      </c>
      <c r="CQ2081" t="s">
        <v>8081</v>
      </c>
      <c r="CR2081">
        <v>11.19</v>
      </c>
      <c r="CS2081">
        <v>27.69</v>
      </c>
      <c r="CT2081">
        <v>5.39</v>
      </c>
      <c r="CU2081">
        <v>-17.07</v>
      </c>
      <c r="CV2081">
        <v>20.59</v>
      </c>
      <c r="CW2081">
        <v>0.4</v>
      </c>
      <c r="CX2081" t="s">
        <v>1320</v>
      </c>
      <c r="CY2081">
        <v>2.74</v>
      </c>
      <c r="CZ2081">
        <v>0</v>
      </c>
      <c r="DA2081">
        <v>0.61</v>
      </c>
      <c r="DB2081">
        <v>1.02</v>
      </c>
      <c r="DC2081">
        <v>-0.87</v>
      </c>
      <c r="DD2081">
        <v>67.510000000000005</v>
      </c>
      <c r="DE2081" t="s">
        <v>10160</v>
      </c>
      <c r="DF2081">
        <v>31.99</v>
      </c>
      <c r="DG2081">
        <v>-11.22</v>
      </c>
      <c r="DH2081">
        <v>-11.12</v>
      </c>
      <c r="DI2081">
        <v>0.19</v>
      </c>
      <c r="DJ2081">
        <v>1205</v>
      </c>
      <c r="DK2081">
        <v>300730</v>
      </c>
      <c r="DL2081" t="s">
        <v>120</v>
      </c>
      <c r="DM2081" t="s">
        <v>120</v>
      </c>
      <c r="DN2081" t="s">
        <v>120</v>
      </c>
    </row>
    <row r="2082" spans="1:118">
      <c r="A2082" t="str">
        <f>"300731"</f>
        <v>300731</v>
      </c>
      <c r="B2082" t="s">
        <v>10161</v>
      </c>
      <c r="C2082">
        <v>-6.67</v>
      </c>
      <c r="D2082">
        <v>-0.38</v>
      </c>
      <c r="E2082">
        <v>3.22</v>
      </c>
      <c r="F2082">
        <v>403</v>
      </c>
      <c r="G2082" t="s">
        <v>8058</v>
      </c>
      <c r="H2082">
        <v>13714.55</v>
      </c>
      <c r="I2082">
        <v>78.7</v>
      </c>
      <c r="J2082" t="s">
        <v>120</v>
      </c>
      <c r="K2082" t="s">
        <v>1115</v>
      </c>
      <c r="L2082">
        <v>3.36</v>
      </c>
      <c r="M2082">
        <v>33.6</v>
      </c>
      <c r="N2082">
        <v>1.1599999999999999</v>
      </c>
      <c r="O2082">
        <v>3.61</v>
      </c>
      <c r="P2082">
        <v>37.299999999999997</v>
      </c>
      <c r="Q2082">
        <v>-7.14</v>
      </c>
      <c r="R2082">
        <v>33.43</v>
      </c>
      <c r="S2082">
        <v>37.159999999999997</v>
      </c>
      <c r="T2082">
        <v>39580</v>
      </c>
      <c r="U2082">
        <v>33.700000000000003</v>
      </c>
      <c r="V2082">
        <v>36</v>
      </c>
      <c r="W2082">
        <v>99.73</v>
      </c>
      <c r="X2082" t="s">
        <v>2306</v>
      </c>
      <c r="Y2082" t="s">
        <v>123</v>
      </c>
      <c r="Z2082">
        <v>10.75</v>
      </c>
      <c r="AA2082">
        <v>34.65</v>
      </c>
      <c r="AB2082">
        <v>25178</v>
      </c>
      <c r="AC2082">
        <v>14402</v>
      </c>
      <c r="AD2082">
        <v>1.75</v>
      </c>
      <c r="AE2082">
        <v>96</v>
      </c>
      <c r="AF2082">
        <v>200</v>
      </c>
      <c r="AG2082" t="s">
        <v>120</v>
      </c>
      <c r="AH2082">
        <v>0.03</v>
      </c>
      <c r="AI2082" t="s">
        <v>120</v>
      </c>
      <c r="AJ2082">
        <v>1.18</v>
      </c>
      <c r="AK2082" t="s">
        <v>10162</v>
      </c>
      <c r="AL2082">
        <v>-4.75</v>
      </c>
      <c r="AM2082">
        <v>2541</v>
      </c>
      <c r="AN2082">
        <v>16</v>
      </c>
      <c r="AO2082">
        <v>1.2999999999999999E-3</v>
      </c>
      <c r="AP2082">
        <v>-1</v>
      </c>
      <c r="AQ2082">
        <v>1.52</v>
      </c>
      <c r="AR2082">
        <v>-2.89</v>
      </c>
      <c r="AS2082">
        <v>-5.35</v>
      </c>
      <c r="AT2082">
        <v>9.44</v>
      </c>
      <c r="AU2082">
        <v>52.94</v>
      </c>
      <c r="AV2082">
        <v>2</v>
      </c>
      <c r="AW2082">
        <v>5.63</v>
      </c>
      <c r="AX2082">
        <v>56.21</v>
      </c>
      <c r="AY2082">
        <v>360.46</v>
      </c>
      <c r="AZ2082">
        <v>169.07</v>
      </c>
      <c r="BA2082">
        <v>0.74</v>
      </c>
      <c r="BB2082" t="s">
        <v>143</v>
      </c>
      <c r="BF2082">
        <v>-3.75</v>
      </c>
      <c r="BG2082">
        <v>-9.58</v>
      </c>
      <c r="BH2082">
        <v>-9.92</v>
      </c>
      <c r="BI2082">
        <v>0.51</v>
      </c>
      <c r="BJ2082">
        <v>20210824</v>
      </c>
      <c r="BK2082">
        <v>20171208</v>
      </c>
      <c r="BL2082">
        <v>1.25</v>
      </c>
      <c r="BM2082" t="s">
        <v>120</v>
      </c>
      <c r="BN2082" t="s">
        <v>120</v>
      </c>
      <c r="BO2082">
        <v>10.6</v>
      </c>
      <c r="BP2082">
        <v>33.6</v>
      </c>
      <c r="BQ2082">
        <v>6.15</v>
      </c>
      <c r="BR2082">
        <v>0.64</v>
      </c>
      <c r="BS2082">
        <v>35.99</v>
      </c>
      <c r="BT2082">
        <v>5.08</v>
      </c>
      <c r="BU2082">
        <v>0.91</v>
      </c>
      <c r="BV2082">
        <v>0.53</v>
      </c>
      <c r="BW2082">
        <v>2.48</v>
      </c>
      <c r="BX2082">
        <v>1.57</v>
      </c>
      <c r="BY2082">
        <v>0.93</v>
      </c>
      <c r="BZ2082">
        <v>1.55</v>
      </c>
      <c r="CA2082" t="s">
        <v>120</v>
      </c>
      <c r="CB2082">
        <v>3.51</v>
      </c>
      <c r="CC2082">
        <v>3.01</v>
      </c>
      <c r="CD2082">
        <v>2.04</v>
      </c>
      <c r="CE2082">
        <v>0.18</v>
      </c>
      <c r="CF2082">
        <v>0</v>
      </c>
      <c r="CG2082">
        <v>0.26</v>
      </c>
      <c r="CH2082">
        <v>0.24</v>
      </c>
      <c r="CI2082">
        <v>0.21</v>
      </c>
      <c r="CJ2082">
        <v>-2.4</v>
      </c>
      <c r="CK2082">
        <v>0.15</v>
      </c>
      <c r="CL2082">
        <v>1.27</v>
      </c>
      <c r="CM2082">
        <v>-0.18</v>
      </c>
      <c r="CN2082">
        <v>-0.35</v>
      </c>
      <c r="CO2082">
        <v>6789</v>
      </c>
      <c r="CP2082">
        <v>10357</v>
      </c>
      <c r="CQ2082" t="s">
        <v>10163</v>
      </c>
      <c r="CR2082">
        <v>-40.159999999999997</v>
      </c>
      <c r="CS2082">
        <v>89.72</v>
      </c>
      <c r="CT2082">
        <v>6.88</v>
      </c>
      <c r="CU2082">
        <v>-230.37</v>
      </c>
      <c r="CV2082">
        <v>13.98</v>
      </c>
      <c r="CW2082">
        <v>0.28000000000000003</v>
      </c>
      <c r="CX2082" t="s">
        <v>1193</v>
      </c>
      <c r="CY2082">
        <v>4.88</v>
      </c>
      <c r="CZ2082">
        <v>4.88</v>
      </c>
      <c r="DA2082">
        <v>2.81</v>
      </c>
      <c r="DB2082">
        <v>1.02</v>
      </c>
      <c r="DC2082">
        <v>-0.15</v>
      </c>
      <c r="DD2082">
        <v>58</v>
      </c>
      <c r="DE2082" t="s">
        <v>4854</v>
      </c>
      <c r="DF2082">
        <v>32.06</v>
      </c>
      <c r="DG2082">
        <v>6.08</v>
      </c>
      <c r="DH2082">
        <v>7.01</v>
      </c>
      <c r="DI2082">
        <v>0.18</v>
      </c>
      <c r="DJ2082">
        <v>891</v>
      </c>
      <c r="DK2082">
        <v>300731</v>
      </c>
      <c r="DL2082" t="s">
        <v>120</v>
      </c>
      <c r="DM2082" t="s">
        <v>120</v>
      </c>
      <c r="DN2082" t="s">
        <v>120</v>
      </c>
    </row>
    <row r="2083" spans="1:118">
      <c r="A2083" t="str">
        <f>"300732"</f>
        <v>300732</v>
      </c>
      <c r="B2083" t="s">
        <v>10164</v>
      </c>
      <c r="C2083">
        <v>2.68</v>
      </c>
      <c r="D2083">
        <v>0</v>
      </c>
      <c r="E2083">
        <v>0.84</v>
      </c>
      <c r="F2083">
        <v>469</v>
      </c>
      <c r="G2083" t="s">
        <v>10165</v>
      </c>
      <c r="H2083">
        <v>11485.78</v>
      </c>
      <c r="I2083">
        <v>31.48</v>
      </c>
      <c r="J2083" t="s">
        <v>120</v>
      </c>
      <c r="K2083" t="s">
        <v>9027</v>
      </c>
      <c r="L2083">
        <v>3.41</v>
      </c>
      <c r="M2083">
        <v>12.28</v>
      </c>
      <c r="N2083">
        <v>1.43</v>
      </c>
      <c r="O2083">
        <v>9.36</v>
      </c>
      <c r="P2083">
        <v>13.08</v>
      </c>
      <c r="Q2083">
        <v>0.08</v>
      </c>
      <c r="R2083">
        <v>11.97</v>
      </c>
      <c r="S2083">
        <v>12.06</v>
      </c>
      <c r="T2083">
        <v>91362</v>
      </c>
      <c r="U2083">
        <v>12.28</v>
      </c>
      <c r="V2083">
        <v>11.96</v>
      </c>
      <c r="W2083">
        <v>15.49</v>
      </c>
      <c r="X2083" t="s">
        <v>175</v>
      </c>
      <c r="Y2083" t="s">
        <v>645</v>
      </c>
      <c r="Z2083">
        <v>9.2799999999999994</v>
      </c>
      <c r="AA2083">
        <v>12.57</v>
      </c>
      <c r="AB2083">
        <v>42011</v>
      </c>
      <c r="AC2083">
        <v>49351</v>
      </c>
      <c r="AD2083">
        <v>0.85</v>
      </c>
      <c r="AE2083">
        <v>503</v>
      </c>
      <c r="AF2083">
        <v>204</v>
      </c>
      <c r="AG2083" t="s">
        <v>120</v>
      </c>
      <c r="AH2083">
        <v>0.02</v>
      </c>
      <c r="AI2083" t="s">
        <v>120</v>
      </c>
      <c r="AJ2083">
        <v>2.68</v>
      </c>
      <c r="AK2083" t="s">
        <v>3143</v>
      </c>
      <c r="AL2083">
        <v>4.59</v>
      </c>
      <c r="AM2083">
        <v>2078</v>
      </c>
      <c r="AN2083">
        <v>44</v>
      </c>
      <c r="AO2083">
        <v>1.6000000000000001E-3</v>
      </c>
      <c r="AP2083">
        <v>2</v>
      </c>
      <c r="AQ2083">
        <v>2.13</v>
      </c>
      <c r="AR2083">
        <v>0.15</v>
      </c>
      <c r="AS2083">
        <v>6.69</v>
      </c>
      <c r="AT2083">
        <v>11.33</v>
      </c>
      <c r="AU2083">
        <v>10.47</v>
      </c>
      <c r="AV2083">
        <v>0</v>
      </c>
      <c r="AW2083">
        <v>6.6</v>
      </c>
      <c r="AX2083">
        <v>50.25</v>
      </c>
      <c r="AY2083">
        <v>9.7799999999999994</v>
      </c>
      <c r="AZ2083">
        <v>10.75</v>
      </c>
      <c r="BA2083">
        <v>0.42</v>
      </c>
      <c r="BB2083" t="s">
        <v>143</v>
      </c>
      <c r="BF2083">
        <v>5.12</v>
      </c>
      <c r="BG2083">
        <v>1.82</v>
      </c>
      <c r="BH2083">
        <v>-6.12</v>
      </c>
      <c r="BI2083">
        <v>2.59</v>
      </c>
      <c r="BJ2083">
        <v>20210827</v>
      </c>
      <c r="BK2083">
        <v>20171212</v>
      </c>
      <c r="BL2083">
        <v>2.75</v>
      </c>
      <c r="BM2083" t="s">
        <v>120</v>
      </c>
      <c r="BN2083" t="s">
        <v>120</v>
      </c>
      <c r="BO2083">
        <v>50.7</v>
      </c>
      <c r="BP2083">
        <v>12.27</v>
      </c>
      <c r="BQ2083">
        <v>24.59</v>
      </c>
      <c r="BR2083">
        <v>0.85</v>
      </c>
      <c r="BS2083">
        <v>49.84</v>
      </c>
      <c r="BT2083">
        <v>38.479999999999997</v>
      </c>
      <c r="BU2083">
        <v>4.0199999999999996</v>
      </c>
      <c r="BV2083">
        <v>1.2</v>
      </c>
      <c r="BW2083">
        <v>18.66</v>
      </c>
      <c r="BX2083">
        <v>6.11</v>
      </c>
      <c r="BY2083">
        <v>5.12</v>
      </c>
      <c r="BZ2083">
        <v>14.54</v>
      </c>
      <c r="CA2083" t="s">
        <v>120</v>
      </c>
      <c r="CB2083">
        <v>10.94</v>
      </c>
      <c r="CC2083">
        <v>7.81</v>
      </c>
      <c r="CD2083">
        <v>4.87</v>
      </c>
      <c r="CE2083">
        <v>1.31</v>
      </c>
      <c r="CF2083">
        <v>0.04</v>
      </c>
      <c r="CG2083">
        <v>1.31</v>
      </c>
      <c r="CH2083">
        <v>1.1000000000000001</v>
      </c>
      <c r="CI2083">
        <v>1.0900000000000001</v>
      </c>
      <c r="CJ2083">
        <v>0.32</v>
      </c>
      <c r="CK2083">
        <v>1</v>
      </c>
      <c r="CL2083">
        <v>10.42</v>
      </c>
      <c r="CM2083">
        <v>-1.03</v>
      </c>
      <c r="CN2083">
        <v>-4.9000000000000004</v>
      </c>
      <c r="CO2083">
        <v>16000</v>
      </c>
      <c r="CP2083">
        <v>8646</v>
      </c>
      <c r="CQ2083" t="s">
        <v>10166</v>
      </c>
      <c r="CR2083">
        <v>38.22</v>
      </c>
      <c r="CS2083">
        <v>40.03</v>
      </c>
      <c r="CT2083">
        <v>1.37</v>
      </c>
      <c r="CU2083">
        <v>-32.69</v>
      </c>
      <c r="CV2083">
        <v>4.33</v>
      </c>
      <c r="CW2083">
        <v>1.73</v>
      </c>
      <c r="CX2083" t="s">
        <v>780</v>
      </c>
      <c r="CY2083">
        <v>8.93</v>
      </c>
      <c r="CZ2083">
        <v>0</v>
      </c>
      <c r="DA2083">
        <v>3.97</v>
      </c>
      <c r="DB2083">
        <v>3.79</v>
      </c>
      <c r="DC2083">
        <v>-0.38</v>
      </c>
      <c r="DD2083">
        <v>48.49</v>
      </c>
      <c r="DE2083" t="s">
        <v>4256</v>
      </c>
      <c r="DF2083">
        <v>37.57</v>
      </c>
      <c r="DG2083">
        <v>16.809999999999999</v>
      </c>
      <c r="DH2083">
        <v>13.98</v>
      </c>
      <c r="DI2083">
        <v>0.46</v>
      </c>
      <c r="DJ2083">
        <v>2610</v>
      </c>
      <c r="DK2083">
        <v>300732</v>
      </c>
      <c r="DL2083" t="s">
        <v>120</v>
      </c>
      <c r="DM2083" t="s">
        <v>120</v>
      </c>
      <c r="DN2083" t="s">
        <v>120</v>
      </c>
    </row>
    <row r="2084" spans="1:118">
      <c r="A2084" t="str">
        <f>"300733"</f>
        <v>300733</v>
      </c>
      <c r="B2084" t="s">
        <v>10167</v>
      </c>
      <c r="C2084">
        <v>-5.21</v>
      </c>
      <c r="D2084">
        <v>-0.27</v>
      </c>
      <c r="E2084">
        <v>0.04</v>
      </c>
      <c r="F2084">
        <v>305</v>
      </c>
      <c r="G2084" t="s">
        <v>10168</v>
      </c>
      <c r="H2084">
        <v>8235.41</v>
      </c>
      <c r="I2084">
        <v>12.7</v>
      </c>
      <c r="J2084" t="s">
        <v>120</v>
      </c>
      <c r="K2084" t="s">
        <v>706</v>
      </c>
      <c r="L2084">
        <v>3.24</v>
      </c>
      <c r="M2084">
        <v>21.11</v>
      </c>
      <c r="N2084">
        <v>1.35</v>
      </c>
      <c r="O2084">
        <v>0.04</v>
      </c>
      <c r="P2084">
        <v>22.28</v>
      </c>
      <c r="Q2084">
        <v>-5.7</v>
      </c>
      <c r="R2084">
        <v>21</v>
      </c>
      <c r="S2084">
        <v>22.28</v>
      </c>
      <c r="T2084">
        <v>38455</v>
      </c>
      <c r="U2084">
        <v>21.12</v>
      </c>
      <c r="V2084">
        <v>22.27</v>
      </c>
      <c r="W2084">
        <v>56.25</v>
      </c>
      <c r="X2084" t="s">
        <v>289</v>
      </c>
      <c r="Y2084" t="s">
        <v>578</v>
      </c>
      <c r="Z2084">
        <v>5.75</v>
      </c>
      <c r="AA2084">
        <v>21.42</v>
      </c>
      <c r="AB2084">
        <v>27390</v>
      </c>
      <c r="AC2084">
        <v>11065</v>
      </c>
      <c r="AD2084">
        <v>2.48</v>
      </c>
      <c r="AE2084">
        <v>88</v>
      </c>
      <c r="AF2084">
        <v>49</v>
      </c>
      <c r="AG2084" t="s">
        <v>120</v>
      </c>
      <c r="AH2084">
        <v>0.01</v>
      </c>
      <c r="AI2084" t="s">
        <v>120</v>
      </c>
      <c r="AJ2084">
        <v>1.19</v>
      </c>
      <c r="AK2084" t="s">
        <v>5263</v>
      </c>
      <c r="AL2084">
        <v>-3.3</v>
      </c>
      <c r="AM2084">
        <v>2099</v>
      </c>
      <c r="AN2084">
        <v>18</v>
      </c>
      <c r="AO2084">
        <v>1.5E-3</v>
      </c>
      <c r="AP2084">
        <v>-1</v>
      </c>
      <c r="AQ2084">
        <v>2.34</v>
      </c>
      <c r="AR2084">
        <v>-4.87</v>
      </c>
      <c r="AS2084">
        <v>-16.37</v>
      </c>
      <c r="AT2084">
        <v>-11.89</v>
      </c>
      <c r="AU2084">
        <v>8.48</v>
      </c>
      <c r="AV2084">
        <v>3</v>
      </c>
      <c r="AW2084">
        <v>5.69</v>
      </c>
      <c r="AX2084">
        <v>39.44</v>
      </c>
      <c r="AY2084">
        <v>102.77</v>
      </c>
      <c r="AZ2084">
        <v>470.5</v>
      </c>
      <c r="BA2084">
        <v>0.77</v>
      </c>
      <c r="BB2084" t="s">
        <v>143</v>
      </c>
      <c r="BF2084">
        <v>-3.84</v>
      </c>
      <c r="BG2084">
        <v>-5.25</v>
      </c>
      <c r="BH2084">
        <v>-5.25</v>
      </c>
      <c r="BI2084">
        <v>0.52</v>
      </c>
      <c r="BJ2084">
        <v>20210910</v>
      </c>
      <c r="BK2084">
        <v>20180116</v>
      </c>
      <c r="BL2084">
        <v>1.71</v>
      </c>
      <c r="BM2084" t="s">
        <v>120</v>
      </c>
      <c r="BN2084" t="s">
        <v>120</v>
      </c>
      <c r="BO2084">
        <v>21.19</v>
      </c>
      <c r="BP2084">
        <v>21.11</v>
      </c>
      <c r="BQ2084">
        <v>13.15</v>
      </c>
      <c r="BR2084">
        <v>0.36</v>
      </c>
      <c r="BS2084">
        <v>36.200000000000003</v>
      </c>
      <c r="BT2084">
        <v>7.32</v>
      </c>
      <c r="BU2084">
        <v>8.6300000000000008</v>
      </c>
      <c r="BV2084">
        <v>0.83</v>
      </c>
      <c r="BW2084">
        <v>6.79</v>
      </c>
      <c r="BX2084">
        <v>1.07</v>
      </c>
      <c r="BY2084">
        <v>2.83</v>
      </c>
      <c r="BZ2084">
        <v>2.4500000000000002</v>
      </c>
      <c r="CA2084" t="s">
        <v>120</v>
      </c>
      <c r="CB2084">
        <v>7.43</v>
      </c>
      <c r="CC2084">
        <v>3.5</v>
      </c>
      <c r="CD2084">
        <v>2.63</v>
      </c>
      <c r="CE2084">
        <v>0.33</v>
      </c>
      <c r="CF2084">
        <v>0</v>
      </c>
      <c r="CG2084">
        <v>0.33</v>
      </c>
      <c r="CH2084">
        <v>0.35</v>
      </c>
      <c r="CI2084">
        <v>0.32</v>
      </c>
      <c r="CJ2084">
        <v>-1.1599999999999999</v>
      </c>
      <c r="CK2084">
        <v>0.32</v>
      </c>
      <c r="CL2084">
        <v>3.75</v>
      </c>
      <c r="CM2084">
        <v>-0.53</v>
      </c>
      <c r="CN2084">
        <v>0.32</v>
      </c>
      <c r="CO2084">
        <v>10278</v>
      </c>
      <c r="CP2084">
        <v>6577</v>
      </c>
      <c r="CQ2084" t="s">
        <v>10169</v>
      </c>
      <c r="CR2084">
        <v>926.8</v>
      </c>
      <c r="CS2084">
        <v>65.36</v>
      </c>
      <c r="CT2084">
        <v>2.75</v>
      </c>
      <c r="CU2084">
        <v>-68.900000000000006</v>
      </c>
      <c r="CV2084">
        <v>10.33</v>
      </c>
      <c r="CW2084">
        <v>0</v>
      </c>
      <c r="CX2084" t="s">
        <v>442</v>
      </c>
      <c r="CY2084">
        <v>7.67</v>
      </c>
      <c r="CZ2084">
        <v>0</v>
      </c>
      <c r="DA2084">
        <v>4.34</v>
      </c>
      <c r="DB2084">
        <v>2.19</v>
      </c>
      <c r="DC2084">
        <v>-0.31</v>
      </c>
      <c r="DD2084">
        <v>62.08</v>
      </c>
      <c r="DE2084" t="s">
        <v>10170</v>
      </c>
      <c r="DF2084">
        <v>25.04</v>
      </c>
      <c r="DG2084">
        <v>9.35</v>
      </c>
      <c r="DH2084">
        <v>9.18</v>
      </c>
      <c r="DI2084">
        <v>0.11</v>
      </c>
      <c r="DJ2084">
        <v>1979</v>
      </c>
      <c r="DK2084">
        <v>300733</v>
      </c>
      <c r="DL2084" t="s">
        <v>120</v>
      </c>
      <c r="DM2084" t="s">
        <v>120</v>
      </c>
      <c r="DN2084" t="s">
        <v>120</v>
      </c>
    </row>
    <row r="2085" spans="1:118">
      <c r="A2085" t="str">
        <f>"300735"</f>
        <v>300735</v>
      </c>
      <c r="B2085" t="s">
        <v>10171</v>
      </c>
      <c r="C2085">
        <v>1.24</v>
      </c>
      <c r="D2085">
        <v>0.15</v>
      </c>
      <c r="E2085">
        <v>1.62</v>
      </c>
      <c r="F2085">
        <v>1288</v>
      </c>
      <c r="G2085" t="s">
        <v>5039</v>
      </c>
      <c r="H2085">
        <v>20762.64</v>
      </c>
      <c r="I2085">
        <v>50.43</v>
      </c>
      <c r="J2085" t="s">
        <v>120</v>
      </c>
      <c r="K2085" t="s">
        <v>10172</v>
      </c>
      <c r="L2085">
        <v>2.0699999999999998</v>
      </c>
      <c r="M2085">
        <v>13.1</v>
      </c>
      <c r="N2085">
        <v>1</v>
      </c>
      <c r="O2085">
        <v>5.87</v>
      </c>
      <c r="P2085">
        <v>13.7</v>
      </c>
      <c r="Q2085">
        <v>0.7</v>
      </c>
      <c r="R2085">
        <v>13.03</v>
      </c>
      <c r="S2085">
        <v>13.15</v>
      </c>
      <c r="T2085">
        <v>155276</v>
      </c>
      <c r="U2085">
        <v>13.1</v>
      </c>
      <c r="V2085">
        <v>12.94</v>
      </c>
      <c r="W2085">
        <v>47.29</v>
      </c>
      <c r="X2085" t="s">
        <v>462</v>
      </c>
      <c r="Y2085" t="s">
        <v>547</v>
      </c>
      <c r="Z2085">
        <v>5.18</v>
      </c>
      <c r="AA2085">
        <v>13.37</v>
      </c>
      <c r="AB2085">
        <v>81268</v>
      </c>
      <c r="AC2085">
        <v>74008</v>
      </c>
      <c r="AD2085">
        <v>1.1000000000000001</v>
      </c>
      <c r="AE2085">
        <v>41</v>
      </c>
      <c r="AF2085">
        <v>10</v>
      </c>
      <c r="AG2085" t="s">
        <v>120</v>
      </c>
      <c r="AH2085">
        <v>0.01</v>
      </c>
      <c r="AI2085" t="s">
        <v>120</v>
      </c>
      <c r="AJ2085">
        <v>7.5</v>
      </c>
      <c r="AK2085" t="s">
        <v>10173</v>
      </c>
      <c r="AL2085">
        <v>3.15</v>
      </c>
      <c r="AM2085">
        <v>3134</v>
      </c>
      <c r="AN2085">
        <v>50</v>
      </c>
      <c r="AO2085">
        <v>6.9999999999999999E-4</v>
      </c>
      <c r="AP2085">
        <v>1</v>
      </c>
      <c r="AQ2085">
        <v>-1.22</v>
      </c>
      <c r="AR2085">
        <v>-2.38</v>
      </c>
      <c r="AS2085">
        <v>6.86</v>
      </c>
      <c r="AT2085">
        <v>8.89</v>
      </c>
      <c r="AU2085">
        <v>-2.6</v>
      </c>
      <c r="AV2085">
        <v>0</v>
      </c>
      <c r="AW2085">
        <v>4.38</v>
      </c>
      <c r="AX2085">
        <v>45.79</v>
      </c>
      <c r="AY2085">
        <v>40.07</v>
      </c>
      <c r="AZ2085">
        <v>31.45</v>
      </c>
      <c r="BA2085">
        <v>0.89</v>
      </c>
      <c r="BB2085" t="s">
        <v>125</v>
      </c>
      <c r="BF2085">
        <v>3.33</v>
      </c>
      <c r="BG2085">
        <v>-0.38</v>
      </c>
      <c r="BH2085">
        <v>-4.38</v>
      </c>
      <c r="BI2085">
        <v>0.54</v>
      </c>
      <c r="BJ2085">
        <v>20210827</v>
      </c>
      <c r="BK2085">
        <v>20171229</v>
      </c>
      <c r="BL2085">
        <v>7.75</v>
      </c>
      <c r="BM2085" t="s">
        <v>120</v>
      </c>
      <c r="BN2085" t="s">
        <v>120</v>
      </c>
      <c r="BO2085">
        <v>53.21</v>
      </c>
      <c r="BP2085">
        <v>13.09</v>
      </c>
      <c r="BQ2085">
        <v>41.69</v>
      </c>
      <c r="BR2085">
        <v>1.42</v>
      </c>
      <c r="BS2085">
        <v>18.97</v>
      </c>
      <c r="BT2085">
        <v>35.14</v>
      </c>
      <c r="BU2085">
        <v>13.08</v>
      </c>
      <c r="BV2085">
        <v>0.79</v>
      </c>
      <c r="BW2085">
        <v>9.14</v>
      </c>
      <c r="BX2085">
        <v>6.92</v>
      </c>
      <c r="BY2085">
        <v>1.24</v>
      </c>
      <c r="BZ2085">
        <v>9.4600000000000009</v>
      </c>
      <c r="CA2085" t="s">
        <v>120</v>
      </c>
      <c r="CB2085">
        <v>27.02</v>
      </c>
      <c r="CC2085">
        <v>11.94</v>
      </c>
      <c r="CD2085">
        <v>9.24</v>
      </c>
      <c r="CE2085">
        <v>1.45</v>
      </c>
      <c r="CF2085">
        <v>0.25</v>
      </c>
      <c r="CG2085">
        <v>1.46</v>
      </c>
      <c r="CH2085">
        <v>1.22</v>
      </c>
      <c r="CI2085">
        <v>1.07</v>
      </c>
      <c r="CJ2085">
        <v>0.16</v>
      </c>
      <c r="CK2085">
        <v>0.69</v>
      </c>
      <c r="CL2085">
        <v>7.75</v>
      </c>
      <c r="CM2085">
        <v>-0.27</v>
      </c>
      <c r="CN2085">
        <v>-1.5</v>
      </c>
      <c r="CO2085">
        <v>38871</v>
      </c>
      <c r="CP2085">
        <v>9125</v>
      </c>
      <c r="CQ2085" t="s">
        <v>10174</v>
      </c>
      <c r="CR2085">
        <v>-38.99</v>
      </c>
      <c r="CS2085">
        <v>4.67</v>
      </c>
      <c r="CT2085">
        <v>2.4300000000000002</v>
      </c>
      <c r="CU2085">
        <v>-369.66</v>
      </c>
      <c r="CV2085">
        <v>8.5</v>
      </c>
      <c r="CW2085">
        <v>1.52</v>
      </c>
      <c r="CX2085" t="s">
        <v>300</v>
      </c>
      <c r="CY2085">
        <v>5.38</v>
      </c>
      <c r="CZ2085">
        <v>0</v>
      </c>
      <c r="DA2085">
        <v>3.49</v>
      </c>
      <c r="DB2085">
        <v>1</v>
      </c>
      <c r="DC2085">
        <v>-0.04</v>
      </c>
      <c r="DD2085">
        <v>78.349999999999994</v>
      </c>
      <c r="DE2085" t="s">
        <v>703</v>
      </c>
      <c r="DF2085">
        <v>22.67</v>
      </c>
      <c r="DG2085">
        <v>12.13</v>
      </c>
      <c r="DH2085">
        <v>8.98</v>
      </c>
      <c r="DI2085">
        <v>0.5</v>
      </c>
      <c r="DJ2085">
        <v>7850</v>
      </c>
      <c r="DK2085">
        <v>300735</v>
      </c>
      <c r="DL2085" t="s">
        <v>120</v>
      </c>
      <c r="DM2085" t="s">
        <v>120</v>
      </c>
      <c r="DN2085" t="s">
        <v>120</v>
      </c>
    </row>
    <row r="2086" spans="1:118">
      <c r="A2086" t="str">
        <f>"300736"</f>
        <v>300736</v>
      </c>
      <c r="B2086" t="s">
        <v>10175</v>
      </c>
      <c r="C2086">
        <v>-0.17</v>
      </c>
      <c r="D2086">
        <v>0</v>
      </c>
      <c r="E2086">
        <v>-0.95</v>
      </c>
      <c r="F2086">
        <v>415</v>
      </c>
      <c r="G2086" t="s">
        <v>10176</v>
      </c>
      <c r="H2086">
        <v>2189.23</v>
      </c>
      <c r="I2086">
        <v>71.349999999999994</v>
      </c>
      <c r="J2086" t="s">
        <v>120</v>
      </c>
      <c r="K2086" t="s">
        <v>7599</v>
      </c>
      <c r="L2086">
        <v>1.8</v>
      </c>
      <c r="M2086">
        <v>11.58</v>
      </c>
      <c r="N2086">
        <v>0.76</v>
      </c>
      <c r="O2086">
        <v>2.16</v>
      </c>
      <c r="P2086">
        <v>11.85</v>
      </c>
      <c r="Q2086">
        <v>-1.9</v>
      </c>
      <c r="R2086">
        <v>11.38</v>
      </c>
      <c r="S2086">
        <v>11.49</v>
      </c>
      <c r="T2086">
        <v>18752</v>
      </c>
      <c r="U2086">
        <v>11.58</v>
      </c>
      <c r="V2086">
        <v>11.6</v>
      </c>
      <c r="W2086">
        <v>134.86000000000001</v>
      </c>
      <c r="X2086" t="s">
        <v>462</v>
      </c>
      <c r="Y2086" t="s">
        <v>158</v>
      </c>
      <c r="Z2086">
        <v>4.05</v>
      </c>
      <c r="AA2086">
        <v>11.67</v>
      </c>
      <c r="AB2086">
        <v>9168</v>
      </c>
      <c r="AC2086">
        <v>9584</v>
      </c>
      <c r="AD2086">
        <v>0.96</v>
      </c>
      <c r="AE2086">
        <v>11</v>
      </c>
      <c r="AF2086">
        <v>119</v>
      </c>
      <c r="AG2086" t="s">
        <v>120</v>
      </c>
      <c r="AH2086">
        <v>0.12</v>
      </c>
      <c r="AI2086" t="s">
        <v>120</v>
      </c>
      <c r="AJ2086">
        <v>1.04</v>
      </c>
      <c r="AK2086" t="s">
        <v>10177</v>
      </c>
      <c r="AL2086">
        <v>1.74</v>
      </c>
      <c r="AM2086">
        <v>1138</v>
      </c>
      <c r="AN2086">
        <v>16</v>
      </c>
      <c r="AO2086">
        <v>1.6000000000000001E-3</v>
      </c>
      <c r="AP2086">
        <v>-5</v>
      </c>
      <c r="AQ2086">
        <v>-1.69</v>
      </c>
      <c r="AR2086">
        <v>-2.76</v>
      </c>
      <c r="AS2086">
        <v>15.34</v>
      </c>
      <c r="AT2086">
        <v>5.66</v>
      </c>
      <c r="AU2086">
        <v>25.19</v>
      </c>
      <c r="AV2086">
        <v>0</v>
      </c>
      <c r="AW2086">
        <v>3.65</v>
      </c>
      <c r="AX2086">
        <v>39.409999999999997</v>
      </c>
      <c r="AY2086" t="s">
        <v>120</v>
      </c>
      <c r="AZ2086" t="s">
        <v>120</v>
      </c>
      <c r="BA2086">
        <v>1.1000000000000001</v>
      </c>
      <c r="BB2086" t="s">
        <v>143</v>
      </c>
      <c r="BF2086">
        <v>0.65</v>
      </c>
      <c r="BG2086">
        <v>0.78</v>
      </c>
      <c r="BH2086">
        <v>-2.2799999999999998</v>
      </c>
      <c r="BI2086">
        <v>1.76</v>
      </c>
      <c r="BJ2086">
        <v>20210909</v>
      </c>
      <c r="BK2086">
        <v>20180109</v>
      </c>
      <c r="BL2086">
        <v>1.3</v>
      </c>
      <c r="BM2086" t="s">
        <v>120</v>
      </c>
      <c r="BN2086" t="s">
        <v>120</v>
      </c>
      <c r="BO2086">
        <v>2.34</v>
      </c>
      <c r="BP2086">
        <v>11.57</v>
      </c>
      <c r="BQ2086">
        <v>1.62</v>
      </c>
      <c r="BR2086" t="s">
        <v>120</v>
      </c>
      <c r="BS2086">
        <v>30.92</v>
      </c>
      <c r="BT2086">
        <v>1.86</v>
      </c>
      <c r="BU2086">
        <v>0.03</v>
      </c>
      <c r="BV2086">
        <v>0.05</v>
      </c>
      <c r="BW2086">
        <v>0.55000000000000004</v>
      </c>
      <c r="BX2086">
        <v>0.85</v>
      </c>
      <c r="BY2086">
        <v>0.2</v>
      </c>
      <c r="BZ2086">
        <v>0.21</v>
      </c>
      <c r="CA2086" t="s">
        <v>120</v>
      </c>
      <c r="CB2086">
        <v>1.57</v>
      </c>
      <c r="CC2086">
        <v>1.86</v>
      </c>
      <c r="CD2086">
        <v>1.53</v>
      </c>
      <c r="CE2086">
        <v>0.05</v>
      </c>
      <c r="CF2086">
        <v>0</v>
      </c>
      <c r="CG2086">
        <v>0.05</v>
      </c>
      <c r="CH2086">
        <v>0.06</v>
      </c>
      <c r="CI2086">
        <v>0.06</v>
      </c>
      <c r="CJ2086">
        <v>-0.02</v>
      </c>
      <c r="CK2086">
        <v>0.05</v>
      </c>
      <c r="CL2086">
        <v>-1.03</v>
      </c>
      <c r="CM2086">
        <v>0.16</v>
      </c>
      <c r="CN2086">
        <v>-0.41</v>
      </c>
      <c r="CO2086">
        <v>7992</v>
      </c>
      <c r="CP2086">
        <v>6423</v>
      </c>
      <c r="CQ2086" t="s">
        <v>6671</v>
      </c>
      <c r="CR2086">
        <v>128.1</v>
      </c>
      <c r="CS2086">
        <v>-23.79</v>
      </c>
      <c r="CT2086">
        <v>9.33</v>
      </c>
      <c r="CU2086">
        <v>91.97</v>
      </c>
      <c r="CV2086">
        <v>8.1300000000000008</v>
      </c>
      <c r="CW2086">
        <v>0</v>
      </c>
      <c r="CX2086" t="s">
        <v>145</v>
      </c>
      <c r="CY2086">
        <v>1.24</v>
      </c>
      <c r="CZ2086">
        <v>0</v>
      </c>
      <c r="DA2086">
        <v>1.2</v>
      </c>
      <c r="DB2086">
        <v>-0.79</v>
      </c>
      <c r="DC2086">
        <v>0.13</v>
      </c>
      <c r="DD2086">
        <v>69.08</v>
      </c>
      <c r="DE2086" t="s">
        <v>5093</v>
      </c>
      <c r="DF2086">
        <v>17.440000000000001</v>
      </c>
      <c r="DG2086">
        <v>2.57</v>
      </c>
      <c r="DH2086">
        <v>3.01</v>
      </c>
      <c r="DI2086">
        <v>0.03</v>
      </c>
      <c r="DJ2086">
        <v>804</v>
      </c>
      <c r="DK2086">
        <v>300736</v>
      </c>
      <c r="DL2086" t="s">
        <v>120</v>
      </c>
      <c r="DM2086" t="s">
        <v>120</v>
      </c>
      <c r="DN2086" t="s">
        <v>120</v>
      </c>
    </row>
    <row r="2087" spans="1:118">
      <c r="A2087" t="str">
        <f>"300737"</f>
        <v>300737</v>
      </c>
      <c r="B2087" t="s">
        <v>10178</v>
      </c>
      <c r="C2087">
        <v>-8.6999999999999993</v>
      </c>
      <c r="D2087">
        <v>0.06</v>
      </c>
      <c r="E2087">
        <v>-0.63</v>
      </c>
      <c r="F2087">
        <v>1449</v>
      </c>
      <c r="G2087" t="s">
        <v>10179</v>
      </c>
      <c r="H2087">
        <v>46743.040000000001</v>
      </c>
      <c r="I2087">
        <v>132.94999999999999</v>
      </c>
      <c r="J2087" t="s">
        <v>120</v>
      </c>
      <c r="K2087" t="s">
        <v>10180</v>
      </c>
      <c r="L2087">
        <v>3.35</v>
      </c>
      <c r="M2087">
        <v>16.05</v>
      </c>
      <c r="N2087">
        <v>1.1100000000000001</v>
      </c>
      <c r="O2087">
        <v>-0.63</v>
      </c>
      <c r="P2087">
        <v>17.47</v>
      </c>
      <c r="Q2087">
        <v>-9.61</v>
      </c>
      <c r="R2087">
        <v>15.89</v>
      </c>
      <c r="S2087">
        <v>17.47</v>
      </c>
      <c r="T2087">
        <v>283237</v>
      </c>
      <c r="U2087">
        <v>16.05</v>
      </c>
      <c r="V2087">
        <v>17.579999999999998</v>
      </c>
      <c r="W2087">
        <v>19.559999999999999</v>
      </c>
      <c r="X2087" t="s">
        <v>247</v>
      </c>
      <c r="Y2087" t="s">
        <v>547</v>
      </c>
      <c r="Z2087">
        <v>8.99</v>
      </c>
      <c r="AA2087">
        <v>16.5</v>
      </c>
      <c r="AB2087">
        <v>167848</v>
      </c>
      <c r="AC2087">
        <v>115389</v>
      </c>
      <c r="AD2087">
        <v>1.45</v>
      </c>
      <c r="AE2087">
        <v>326</v>
      </c>
      <c r="AF2087">
        <v>192</v>
      </c>
      <c r="AG2087" t="s">
        <v>120</v>
      </c>
      <c r="AH2087">
        <v>0.01</v>
      </c>
      <c r="AI2087" t="s">
        <v>120</v>
      </c>
      <c r="AJ2087">
        <v>8.4600000000000009</v>
      </c>
      <c r="AK2087" t="s">
        <v>10181</v>
      </c>
      <c r="AL2087">
        <v>-6.79</v>
      </c>
      <c r="AM2087">
        <v>4049</v>
      </c>
      <c r="AN2087">
        <v>70</v>
      </c>
      <c r="AO2087">
        <v>8.0000000000000004E-4</v>
      </c>
      <c r="AP2087">
        <v>-3</v>
      </c>
      <c r="AQ2087">
        <v>-5.69</v>
      </c>
      <c r="AR2087">
        <v>-16.71</v>
      </c>
      <c r="AS2087">
        <v>-12.39</v>
      </c>
      <c r="AT2087">
        <v>-11.71</v>
      </c>
      <c r="AU2087">
        <v>35.57</v>
      </c>
      <c r="AV2087">
        <v>0</v>
      </c>
      <c r="AW2087">
        <v>5.08</v>
      </c>
      <c r="AX2087">
        <v>48.65</v>
      </c>
      <c r="AY2087">
        <v>18.82</v>
      </c>
      <c r="AZ2087">
        <v>22.63</v>
      </c>
      <c r="BA2087">
        <v>1.1299999999999999</v>
      </c>
      <c r="BB2087" t="s">
        <v>240</v>
      </c>
      <c r="BF2087">
        <v>-6.13</v>
      </c>
      <c r="BG2087">
        <v>-8.1300000000000008</v>
      </c>
      <c r="BH2087">
        <v>-8.1300000000000008</v>
      </c>
      <c r="BI2087">
        <v>1.01</v>
      </c>
      <c r="BJ2087">
        <v>20210913</v>
      </c>
      <c r="BK2087">
        <v>20180125</v>
      </c>
      <c r="BL2087">
        <v>11.46</v>
      </c>
      <c r="BM2087" t="s">
        <v>120</v>
      </c>
      <c r="BN2087" t="s">
        <v>120</v>
      </c>
      <c r="BO2087">
        <v>95.51</v>
      </c>
      <c r="BP2087">
        <v>16.04</v>
      </c>
      <c r="BQ2087">
        <v>48.04</v>
      </c>
      <c r="BR2087" t="s">
        <v>120</v>
      </c>
      <c r="BS2087">
        <v>49.7</v>
      </c>
      <c r="BT2087">
        <v>72.37</v>
      </c>
      <c r="BU2087">
        <v>13.38</v>
      </c>
      <c r="BV2087">
        <v>1.45</v>
      </c>
      <c r="BW2087">
        <v>42.4</v>
      </c>
      <c r="BX2087">
        <v>11.44</v>
      </c>
      <c r="BY2087">
        <v>4.26</v>
      </c>
      <c r="BZ2087">
        <v>36.869999999999997</v>
      </c>
      <c r="CA2087" t="s">
        <v>120</v>
      </c>
      <c r="CB2087">
        <v>16.25</v>
      </c>
      <c r="CC2087">
        <v>37.61</v>
      </c>
      <c r="CD2087">
        <v>25.83</v>
      </c>
      <c r="CE2087">
        <v>5.57</v>
      </c>
      <c r="CF2087">
        <v>0.02</v>
      </c>
      <c r="CG2087">
        <v>5.6</v>
      </c>
      <c r="CH2087">
        <v>4.7</v>
      </c>
      <c r="CI2087">
        <v>4.7</v>
      </c>
      <c r="CJ2087">
        <v>-1.53</v>
      </c>
      <c r="CK2087">
        <v>4.33</v>
      </c>
      <c r="CL2087">
        <v>19.64</v>
      </c>
      <c r="CM2087">
        <v>-6.75</v>
      </c>
      <c r="CN2087">
        <v>-2.72</v>
      </c>
      <c r="CO2087">
        <v>37664</v>
      </c>
      <c r="CP2087">
        <v>14801</v>
      </c>
      <c r="CQ2087" t="s">
        <v>10182</v>
      </c>
      <c r="CR2087">
        <v>62.13</v>
      </c>
      <c r="CS2087">
        <v>41.42</v>
      </c>
      <c r="CT2087">
        <v>3.83</v>
      </c>
      <c r="CU2087">
        <v>-27.25</v>
      </c>
      <c r="CV2087">
        <v>4.8899999999999997</v>
      </c>
      <c r="CW2087">
        <v>0.47</v>
      </c>
      <c r="CX2087" t="s">
        <v>803</v>
      </c>
      <c r="CY2087">
        <v>4.1900000000000004</v>
      </c>
      <c r="CZ2087">
        <v>0</v>
      </c>
      <c r="DA2087">
        <v>1.42</v>
      </c>
      <c r="DB2087">
        <v>1.71</v>
      </c>
      <c r="DC2087">
        <v>-0.59</v>
      </c>
      <c r="DD2087">
        <v>50.3</v>
      </c>
      <c r="DE2087" t="s">
        <v>10183</v>
      </c>
      <c r="DF2087">
        <v>31.31</v>
      </c>
      <c r="DG2087">
        <v>14.81</v>
      </c>
      <c r="DH2087">
        <v>12.5</v>
      </c>
      <c r="DI2087">
        <v>1.4</v>
      </c>
      <c r="DJ2087">
        <v>3378</v>
      </c>
      <c r="DK2087">
        <v>300737</v>
      </c>
      <c r="DL2087" t="s">
        <v>120</v>
      </c>
      <c r="DM2087" t="s">
        <v>120</v>
      </c>
      <c r="DN2087" t="s">
        <v>120</v>
      </c>
    </row>
    <row r="2088" spans="1:118">
      <c r="A2088" t="str">
        <f>"300738"</f>
        <v>300738</v>
      </c>
      <c r="B2088" t="s">
        <v>10184</v>
      </c>
      <c r="C2088">
        <v>-1.67</v>
      </c>
      <c r="D2088">
        <v>0.16</v>
      </c>
      <c r="E2088">
        <v>0.05</v>
      </c>
      <c r="F2088">
        <v>266</v>
      </c>
      <c r="G2088" t="s">
        <v>10185</v>
      </c>
      <c r="H2088">
        <v>5487.58</v>
      </c>
      <c r="I2088">
        <v>10.36</v>
      </c>
      <c r="J2088" t="s">
        <v>120</v>
      </c>
      <c r="K2088" t="s">
        <v>10186</v>
      </c>
      <c r="L2088">
        <v>0.77</v>
      </c>
      <c r="M2088">
        <v>18.86</v>
      </c>
      <c r="N2088">
        <v>0.9</v>
      </c>
      <c r="O2088">
        <v>0.52</v>
      </c>
      <c r="P2088">
        <v>19.28</v>
      </c>
      <c r="Q2088">
        <v>-2.09</v>
      </c>
      <c r="R2088">
        <v>18.78</v>
      </c>
      <c r="S2088">
        <v>19.190000000000001</v>
      </c>
      <c r="T2088">
        <v>28980</v>
      </c>
      <c r="U2088">
        <v>18.86</v>
      </c>
      <c r="V2088">
        <v>19.18</v>
      </c>
      <c r="W2088">
        <v>48.84</v>
      </c>
      <c r="X2088" t="s">
        <v>3322</v>
      </c>
      <c r="Y2088" t="s">
        <v>547</v>
      </c>
      <c r="Z2088">
        <v>2.61</v>
      </c>
      <c r="AA2088">
        <v>18.940000000000001</v>
      </c>
      <c r="AB2088">
        <v>19597</v>
      </c>
      <c r="AC2088">
        <v>9383</v>
      </c>
      <c r="AD2088">
        <v>2.09</v>
      </c>
      <c r="AE2088">
        <v>7</v>
      </c>
      <c r="AF2088">
        <v>13</v>
      </c>
      <c r="AG2088" t="s">
        <v>120</v>
      </c>
      <c r="AH2088">
        <v>0</v>
      </c>
      <c r="AI2088" t="s">
        <v>120</v>
      </c>
      <c r="AJ2088">
        <v>3.78</v>
      </c>
      <c r="AK2088" t="s">
        <v>5569</v>
      </c>
      <c r="AL2088">
        <v>0.25</v>
      </c>
      <c r="AM2088">
        <v>1833</v>
      </c>
      <c r="AN2088">
        <v>16</v>
      </c>
      <c r="AO2088">
        <v>4.0000000000000002E-4</v>
      </c>
      <c r="AP2088">
        <v>-1</v>
      </c>
      <c r="AQ2088">
        <v>0.21</v>
      </c>
      <c r="AR2088">
        <v>-0.94</v>
      </c>
      <c r="AS2088">
        <v>-8.5299999999999994</v>
      </c>
      <c r="AT2088">
        <v>-9.58</v>
      </c>
      <c r="AU2088">
        <v>-2.5099999999999998</v>
      </c>
      <c r="AV2088">
        <v>0</v>
      </c>
      <c r="AW2088">
        <v>1.37</v>
      </c>
      <c r="AX2088">
        <v>55.38</v>
      </c>
      <c r="AY2088">
        <v>57.55</v>
      </c>
      <c r="AZ2088">
        <v>46.74</v>
      </c>
      <c r="BA2088">
        <v>1.17</v>
      </c>
      <c r="BB2088" t="s">
        <v>751</v>
      </c>
      <c r="BF2088">
        <v>-1.27</v>
      </c>
      <c r="BG2088">
        <v>-1.72</v>
      </c>
      <c r="BH2088">
        <v>-2.1800000000000002</v>
      </c>
      <c r="BI2088">
        <v>0.43</v>
      </c>
      <c r="BJ2088">
        <v>20210821</v>
      </c>
      <c r="BK2088">
        <v>20180119</v>
      </c>
      <c r="BL2088">
        <v>3.82</v>
      </c>
      <c r="BM2088" t="s">
        <v>120</v>
      </c>
      <c r="BN2088" t="s">
        <v>120</v>
      </c>
      <c r="BO2088">
        <v>40.49</v>
      </c>
      <c r="BP2088">
        <v>18.850000000000001</v>
      </c>
      <c r="BQ2088">
        <v>13.54</v>
      </c>
      <c r="BR2088">
        <v>0.01</v>
      </c>
      <c r="BS2088">
        <v>66.52</v>
      </c>
      <c r="BT2088">
        <v>7.04</v>
      </c>
      <c r="BU2088">
        <v>11.07</v>
      </c>
      <c r="BV2088">
        <v>5.49</v>
      </c>
      <c r="BW2088">
        <v>11.79</v>
      </c>
      <c r="BX2088">
        <v>2.33</v>
      </c>
      <c r="BY2088">
        <v>0.14000000000000001</v>
      </c>
      <c r="BZ2088">
        <v>3.16</v>
      </c>
      <c r="CA2088" t="s">
        <v>120</v>
      </c>
      <c r="CB2088">
        <v>4.74</v>
      </c>
      <c r="CC2088">
        <v>5.89</v>
      </c>
      <c r="CD2088">
        <v>4.0999999999999996</v>
      </c>
      <c r="CE2088">
        <v>0.82</v>
      </c>
      <c r="CF2088">
        <v>-0.16</v>
      </c>
      <c r="CG2088">
        <v>0.81</v>
      </c>
      <c r="CH2088">
        <v>0.72</v>
      </c>
      <c r="CI2088">
        <v>0.74</v>
      </c>
      <c r="CJ2088">
        <v>-0.32</v>
      </c>
      <c r="CK2088">
        <v>0.89</v>
      </c>
      <c r="CL2088">
        <v>4.6399999999999997</v>
      </c>
      <c r="CM2088">
        <v>2.31</v>
      </c>
      <c r="CN2088">
        <v>0.31</v>
      </c>
      <c r="CO2088">
        <v>25774</v>
      </c>
      <c r="CP2088">
        <v>8200</v>
      </c>
      <c r="CQ2088" t="s">
        <v>10087</v>
      </c>
      <c r="CR2088">
        <v>-28.53</v>
      </c>
      <c r="CS2088">
        <v>56.43</v>
      </c>
      <c r="CT2088">
        <v>5.32</v>
      </c>
      <c r="CU2088">
        <v>31.16</v>
      </c>
      <c r="CV2088">
        <v>12.23</v>
      </c>
      <c r="CW2088">
        <v>0.22</v>
      </c>
      <c r="CX2088" t="s">
        <v>5991</v>
      </c>
      <c r="CY2088">
        <v>3.55</v>
      </c>
      <c r="CZ2088">
        <v>0</v>
      </c>
      <c r="DA2088">
        <v>1.24</v>
      </c>
      <c r="DB2088">
        <v>1.22</v>
      </c>
      <c r="DC2088">
        <v>0.61</v>
      </c>
      <c r="DD2088">
        <v>33.450000000000003</v>
      </c>
      <c r="DE2088" t="s">
        <v>10187</v>
      </c>
      <c r="DF2088">
        <v>30.28</v>
      </c>
      <c r="DG2088">
        <v>13.88</v>
      </c>
      <c r="DH2088">
        <v>12.52</v>
      </c>
      <c r="DI2088">
        <v>0.16</v>
      </c>
      <c r="DJ2088">
        <v>252</v>
      </c>
      <c r="DK2088">
        <v>300738</v>
      </c>
      <c r="DL2088" t="s">
        <v>120</v>
      </c>
      <c r="DM2088" t="s">
        <v>120</v>
      </c>
      <c r="DN2088" t="s">
        <v>120</v>
      </c>
    </row>
    <row r="2089" spans="1:118">
      <c r="A2089" t="str">
        <f>"300739"</f>
        <v>300739</v>
      </c>
      <c r="B2089" t="s">
        <v>10188</v>
      </c>
      <c r="C2089">
        <v>-4</v>
      </c>
      <c r="D2089">
        <v>-0.05</v>
      </c>
      <c r="E2089">
        <v>0.42</v>
      </c>
      <c r="F2089">
        <v>832</v>
      </c>
      <c r="G2089" t="s">
        <v>1408</v>
      </c>
      <c r="H2089">
        <v>7881.98</v>
      </c>
      <c r="I2089">
        <v>22.88</v>
      </c>
      <c r="J2089" t="s">
        <v>120</v>
      </c>
      <c r="K2089" t="s">
        <v>10189</v>
      </c>
      <c r="L2089">
        <v>1.66</v>
      </c>
      <c r="M2089">
        <v>16.079999999999998</v>
      </c>
      <c r="N2089">
        <v>0.87</v>
      </c>
      <c r="O2089">
        <v>0.66</v>
      </c>
      <c r="P2089">
        <v>16.86</v>
      </c>
      <c r="Q2089">
        <v>-4</v>
      </c>
      <c r="R2089">
        <v>16.079999999999998</v>
      </c>
      <c r="S2089">
        <v>16.82</v>
      </c>
      <c r="T2089">
        <v>47827</v>
      </c>
      <c r="U2089">
        <v>16.09</v>
      </c>
      <c r="V2089">
        <v>16.75</v>
      </c>
      <c r="W2089">
        <v>58.23</v>
      </c>
      <c r="X2089" t="s">
        <v>229</v>
      </c>
      <c r="Y2089" t="s">
        <v>123</v>
      </c>
      <c r="Z2089">
        <v>4.66</v>
      </c>
      <c r="AA2089">
        <v>16.48</v>
      </c>
      <c r="AB2089">
        <v>31676</v>
      </c>
      <c r="AC2089">
        <v>16151</v>
      </c>
      <c r="AD2089">
        <v>1.96</v>
      </c>
      <c r="AE2089">
        <v>92</v>
      </c>
      <c r="AF2089">
        <v>450</v>
      </c>
      <c r="AG2089" t="s">
        <v>120</v>
      </c>
      <c r="AH2089">
        <v>0.01</v>
      </c>
      <c r="AI2089" t="s">
        <v>120</v>
      </c>
      <c r="AJ2089">
        <v>2.88</v>
      </c>
      <c r="AK2089" t="s">
        <v>10190</v>
      </c>
      <c r="AL2089">
        <v>-2.09</v>
      </c>
      <c r="AM2089">
        <v>2121</v>
      </c>
      <c r="AN2089">
        <v>23</v>
      </c>
      <c r="AO2089">
        <v>8.0000000000000004E-4</v>
      </c>
      <c r="AP2089">
        <v>-1</v>
      </c>
      <c r="AQ2089">
        <v>0.9</v>
      </c>
      <c r="AR2089">
        <v>-3.83</v>
      </c>
      <c r="AS2089">
        <v>-15.15</v>
      </c>
      <c r="AT2089">
        <v>-8.5299999999999994</v>
      </c>
      <c r="AU2089">
        <v>-16.16</v>
      </c>
      <c r="AV2089">
        <v>2</v>
      </c>
      <c r="AW2089">
        <v>4.72</v>
      </c>
      <c r="AX2089">
        <v>34.369999999999997</v>
      </c>
      <c r="AY2089">
        <v>54.47</v>
      </c>
      <c r="AZ2089">
        <v>37.130000000000003</v>
      </c>
      <c r="BA2089">
        <v>0.72</v>
      </c>
      <c r="BB2089" t="s">
        <v>143</v>
      </c>
      <c r="BF2089">
        <v>-1.61</v>
      </c>
      <c r="BG2089">
        <v>-4.4000000000000004</v>
      </c>
      <c r="BH2089">
        <v>-4.63</v>
      </c>
      <c r="BI2089">
        <v>0</v>
      </c>
      <c r="BJ2089">
        <v>20210914</v>
      </c>
      <c r="BK2089">
        <v>20180201</v>
      </c>
      <c r="BL2089">
        <v>2.95</v>
      </c>
      <c r="BM2089" t="s">
        <v>120</v>
      </c>
      <c r="BN2089" t="s">
        <v>120</v>
      </c>
      <c r="BO2089">
        <v>28.25</v>
      </c>
      <c r="BP2089">
        <v>16.079999999999998</v>
      </c>
      <c r="BQ2089">
        <v>14.51</v>
      </c>
      <c r="BR2089">
        <v>0</v>
      </c>
      <c r="BS2089">
        <v>48.63</v>
      </c>
      <c r="BT2089">
        <v>18.11</v>
      </c>
      <c r="BU2089">
        <v>5.96</v>
      </c>
      <c r="BV2089">
        <v>0.67</v>
      </c>
      <c r="BW2089">
        <v>6.87</v>
      </c>
      <c r="BX2089">
        <v>5.12</v>
      </c>
      <c r="BY2089">
        <v>2.67</v>
      </c>
      <c r="BZ2089">
        <v>3.08</v>
      </c>
      <c r="CA2089" t="s">
        <v>120</v>
      </c>
      <c r="CB2089">
        <v>7.45</v>
      </c>
      <c r="CC2089">
        <v>7.67</v>
      </c>
      <c r="CD2089">
        <v>5.82</v>
      </c>
      <c r="CE2089">
        <v>0.41</v>
      </c>
      <c r="CF2089">
        <v>0.11</v>
      </c>
      <c r="CG2089">
        <v>0.42</v>
      </c>
      <c r="CH2089">
        <v>0.4</v>
      </c>
      <c r="CI2089">
        <v>0.41</v>
      </c>
      <c r="CJ2089">
        <v>-0.67</v>
      </c>
      <c r="CK2089">
        <v>0.22</v>
      </c>
      <c r="CL2089">
        <v>3.14</v>
      </c>
      <c r="CM2089">
        <v>0.56000000000000005</v>
      </c>
      <c r="CN2089">
        <v>-5.18</v>
      </c>
      <c r="CO2089">
        <v>19015</v>
      </c>
      <c r="CP2089">
        <v>5328</v>
      </c>
      <c r="CQ2089" t="s">
        <v>10191</v>
      </c>
      <c r="CR2089">
        <v>-50.99</v>
      </c>
      <c r="CS2089">
        <v>21.53</v>
      </c>
      <c r="CT2089">
        <v>3.29</v>
      </c>
      <c r="CU2089">
        <v>84.71</v>
      </c>
      <c r="CV2089">
        <v>6.18</v>
      </c>
      <c r="CW2089">
        <v>1.7</v>
      </c>
      <c r="CX2089" t="s">
        <v>373</v>
      </c>
      <c r="CY2089">
        <v>4.8899999999999997</v>
      </c>
      <c r="CZ2089">
        <v>4.8899999999999997</v>
      </c>
      <c r="DA2089">
        <v>2.5299999999999998</v>
      </c>
      <c r="DB2089">
        <v>1.07</v>
      </c>
      <c r="DC2089">
        <v>0.19</v>
      </c>
      <c r="DD2089">
        <v>51.37</v>
      </c>
      <c r="DE2089" t="s">
        <v>3586</v>
      </c>
      <c r="DF2089">
        <v>24.09</v>
      </c>
      <c r="DG2089">
        <v>5.33</v>
      </c>
      <c r="DH2089">
        <v>5.3</v>
      </c>
      <c r="DI2089">
        <v>0.33</v>
      </c>
      <c r="DJ2089">
        <v>2516</v>
      </c>
      <c r="DK2089">
        <v>300739</v>
      </c>
      <c r="DL2089">
        <v>20210727</v>
      </c>
      <c r="DM2089">
        <v>18.84</v>
      </c>
      <c r="DN2089">
        <v>-14.65</v>
      </c>
    </row>
    <row r="2090" spans="1:118">
      <c r="A2090" t="str">
        <f>"300740"</f>
        <v>300740</v>
      </c>
      <c r="B2090" t="s">
        <v>10192</v>
      </c>
      <c r="C2090">
        <v>-2.15</v>
      </c>
      <c r="D2090">
        <v>0.12</v>
      </c>
      <c r="E2090">
        <v>0.28000000000000003</v>
      </c>
      <c r="F2090">
        <v>610</v>
      </c>
      <c r="G2090" t="s">
        <v>10193</v>
      </c>
      <c r="H2090">
        <v>12879.05</v>
      </c>
      <c r="I2090">
        <v>29.29</v>
      </c>
      <c r="J2090" t="s">
        <v>120</v>
      </c>
      <c r="K2090" t="s">
        <v>10194</v>
      </c>
      <c r="L2090">
        <v>1.92</v>
      </c>
      <c r="M2090">
        <v>17.32</v>
      </c>
      <c r="N2090">
        <v>0.94</v>
      </c>
      <c r="O2090">
        <v>3.84</v>
      </c>
      <c r="P2090">
        <v>18.38</v>
      </c>
      <c r="Q2090">
        <v>-2.54</v>
      </c>
      <c r="R2090">
        <v>17.25</v>
      </c>
      <c r="S2090">
        <v>17.75</v>
      </c>
      <c r="T2090">
        <v>72482</v>
      </c>
      <c r="U2090">
        <v>17.32</v>
      </c>
      <c r="V2090">
        <v>17.7</v>
      </c>
      <c r="W2090">
        <v>40.03</v>
      </c>
      <c r="X2090" t="s">
        <v>1817</v>
      </c>
      <c r="Y2090" t="s">
        <v>594</v>
      </c>
      <c r="Z2090">
        <v>6.38</v>
      </c>
      <c r="AA2090">
        <v>17.77</v>
      </c>
      <c r="AB2090">
        <v>39900</v>
      </c>
      <c r="AC2090">
        <v>32582</v>
      </c>
      <c r="AD2090">
        <v>1.22</v>
      </c>
      <c r="AE2090">
        <v>48</v>
      </c>
      <c r="AF2090">
        <v>11</v>
      </c>
      <c r="AG2090" t="s">
        <v>120</v>
      </c>
      <c r="AH2090">
        <v>0.01</v>
      </c>
      <c r="AI2090" t="s">
        <v>120</v>
      </c>
      <c r="AJ2090">
        <v>3.77</v>
      </c>
      <c r="AK2090" t="s">
        <v>10195</v>
      </c>
      <c r="AL2090">
        <v>-0.23</v>
      </c>
      <c r="AM2090">
        <v>2851</v>
      </c>
      <c r="AN2090">
        <v>25</v>
      </c>
      <c r="AO2090">
        <v>6.9999999999999999E-4</v>
      </c>
      <c r="AP2090">
        <v>-1</v>
      </c>
      <c r="AQ2090">
        <v>1.61</v>
      </c>
      <c r="AR2090">
        <v>-2.97</v>
      </c>
      <c r="AS2090">
        <v>9.6199999999999992</v>
      </c>
      <c r="AT2090">
        <v>-14.68</v>
      </c>
      <c r="AU2090">
        <v>-4.3099999999999996</v>
      </c>
      <c r="AV2090">
        <v>1</v>
      </c>
      <c r="AW2090">
        <v>3.19</v>
      </c>
      <c r="AX2090">
        <v>55.2</v>
      </c>
      <c r="AY2090">
        <v>37.200000000000003</v>
      </c>
      <c r="AZ2090">
        <v>51.87</v>
      </c>
      <c r="BA2090">
        <v>0.68</v>
      </c>
      <c r="BB2090" t="s">
        <v>143</v>
      </c>
      <c r="BF2090">
        <v>0.39</v>
      </c>
      <c r="BG2090">
        <v>-2.42</v>
      </c>
      <c r="BH2090">
        <v>-5.77</v>
      </c>
      <c r="BI2090">
        <v>0.41</v>
      </c>
      <c r="BJ2090">
        <v>20210901</v>
      </c>
      <c r="BK2090">
        <v>20180208</v>
      </c>
      <c r="BL2090">
        <v>4.1100000000000003</v>
      </c>
      <c r="BM2090" t="s">
        <v>120</v>
      </c>
      <c r="BN2090" t="s">
        <v>120</v>
      </c>
      <c r="BO2090">
        <v>24</v>
      </c>
      <c r="BP2090">
        <v>17.309999999999999</v>
      </c>
      <c r="BQ2090">
        <v>14.64</v>
      </c>
      <c r="BR2090">
        <v>-0.04</v>
      </c>
      <c r="BS2090">
        <v>39.159999999999997</v>
      </c>
      <c r="BT2090">
        <v>15.8</v>
      </c>
      <c r="BU2090">
        <v>1.01</v>
      </c>
      <c r="BV2090">
        <v>0.71</v>
      </c>
      <c r="BW2090">
        <v>8.5299999999999994</v>
      </c>
      <c r="BX2090">
        <v>4.03</v>
      </c>
      <c r="BY2090">
        <v>7.17</v>
      </c>
      <c r="BZ2090">
        <v>2.39</v>
      </c>
      <c r="CA2090" t="s">
        <v>120</v>
      </c>
      <c r="CB2090">
        <v>6.55</v>
      </c>
      <c r="CC2090">
        <v>21.19</v>
      </c>
      <c r="CD2090">
        <v>9.93</v>
      </c>
      <c r="CE2090">
        <v>1.1299999999999999</v>
      </c>
      <c r="CF2090">
        <v>0.03</v>
      </c>
      <c r="CG2090">
        <v>1.1299999999999999</v>
      </c>
      <c r="CH2090">
        <v>0.89</v>
      </c>
      <c r="CI2090">
        <v>0.89</v>
      </c>
      <c r="CJ2090">
        <v>-0.38</v>
      </c>
      <c r="CK2090">
        <v>0.79</v>
      </c>
      <c r="CL2090">
        <v>6.06</v>
      </c>
      <c r="CM2090">
        <v>1.49</v>
      </c>
      <c r="CN2090">
        <v>0.22</v>
      </c>
      <c r="CO2090">
        <v>20544</v>
      </c>
      <c r="CP2090">
        <v>11046</v>
      </c>
      <c r="CQ2090" t="s">
        <v>10196</v>
      </c>
      <c r="CR2090">
        <v>164.48</v>
      </c>
      <c r="CS2090">
        <v>49.83</v>
      </c>
      <c r="CT2090">
        <v>4.8600000000000003</v>
      </c>
      <c r="CU2090">
        <v>47.92</v>
      </c>
      <c r="CV2090">
        <v>3.36</v>
      </c>
      <c r="CW2090">
        <v>0</v>
      </c>
      <c r="CX2090" t="s">
        <v>694</v>
      </c>
      <c r="CY2090">
        <v>3.56</v>
      </c>
      <c r="CZ2090">
        <v>0</v>
      </c>
      <c r="DA2090">
        <v>1.59</v>
      </c>
      <c r="DB2090">
        <v>1.47</v>
      </c>
      <c r="DC2090">
        <v>0.36</v>
      </c>
      <c r="DD2090">
        <v>61</v>
      </c>
      <c r="DE2090" t="s">
        <v>10197</v>
      </c>
      <c r="DF2090">
        <v>53.13</v>
      </c>
      <c r="DG2090">
        <v>5.31</v>
      </c>
      <c r="DH2090">
        <v>4.2</v>
      </c>
      <c r="DI2090">
        <v>0.31</v>
      </c>
      <c r="DJ2090">
        <v>1856</v>
      </c>
      <c r="DK2090">
        <v>300740</v>
      </c>
      <c r="DL2090" t="s">
        <v>120</v>
      </c>
      <c r="DM2090" t="s">
        <v>120</v>
      </c>
      <c r="DN2090" t="s">
        <v>120</v>
      </c>
    </row>
    <row r="2091" spans="1:118">
      <c r="A2091" t="str">
        <f>"300741"</f>
        <v>300741</v>
      </c>
      <c r="B2091" t="s">
        <v>10198</v>
      </c>
      <c r="C2091">
        <v>0.25</v>
      </c>
      <c r="D2091">
        <v>7.0000000000000007E-2</v>
      </c>
      <c r="E2091">
        <v>0</v>
      </c>
      <c r="F2091">
        <v>576</v>
      </c>
      <c r="G2091" t="s">
        <v>10199</v>
      </c>
      <c r="H2091">
        <v>4500.18</v>
      </c>
      <c r="I2091">
        <v>8.01</v>
      </c>
      <c r="J2091" t="s">
        <v>120</v>
      </c>
      <c r="K2091" t="s">
        <v>10200</v>
      </c>
      <c r="L2091">
        <v>0.16</v>
      </c>
      <c r="M2091">
        <v>44.61</v>
      </c>
      <c r="N2091">
        <v>0.5</v>
      </c>
      <c r="O2091">
        <v>2.61</v>
      </c>
      <c r="P2091">
        <v>45.66</v>
      </c>
      <c r="Q2091">
        <v>-0.9</v>
      </c>
      <c r="R2091">
        <v>44.1</v>
      </c>
      <c r="S2091">
        <v>44.5</v>
      </c>
      <c r="T2091">
        <v>10024</v>
      </c>
      <c r="U2091">
        <v>44.61</v>
      </c>
      <c r="V2091">
        <v>44.5</v>
      </c>
      <c r="W2091">
        <v>25.93</v>
      </c>
      <c r="X2091" t="s">
        <v>847</v>
      </c>
      <c r="Y2091" t="s">
        <v>1886</v>
      </c>
      <c r="Z2091">
        <v>3.51</v>
      </c>
      <c r="AA2091">
        <v>44.89</v>
      </c>
      <c r="AB2091">
        <v>5443</v>
      </c>
      <c r="AC2091">
        <v>4581</v>
      </c>
      <c r="AD2091">
        <v>1.19</v>
      </c>
      <c r="AE2091">
        <v>19</v>
      </c>
      <c r="AF2091">
        <v>231</v>
      </c>
      <c r="AG2091" t="s">
        <v>120</v>
      </c>
      <c r="AH2091">
        <v>0</v>
      </c>
      <c r="AI2091" t="s">
        <v>120</v>
      </c>
      <c r="AJ2091">
        <v>6.16</v>
      </c>
      <c r="AK2091" t="s">
        <v>10200</v>
      </c>
      <c r="AL2091">
        <v>2.16</v>
      </c>
      <c r="AM2091">
        <v>1447</v>
      </c>
      <c r="AN2091">
        <v>7</v>
      </c>
      <c r="AO2091">
        <v>1E-4</v>
      </c>
      <c r="AP2091">
        <v>1</v>
      </c>
      <c r="AQ2091">
        <v>-2.73</v>
      </c>
      <c r="AR2091">
        <v>-5.48</v>
      </c>
      <c r="AS2091">
        <v>6.97</v>
      </c>
      <c r="AT2091">
        <v>-20.62</v>
      </c>
      <c r="AU2091">
        <v>-16.25</v>
      </c>
      <c r="AV2091">
        <v>0</v>
      </c>
      <c r="AW2091">
        <v>0.86</v>
      </c>
      <c r="AX2091">
        <v>18.899999999999999</v>
      </c>
      <c r="AY2091">
        <v>23.53</v>
      </c>
      <c r="AZ2091">
        <v>23.22</v>
      </c>
      <c r="BA2091">
        <v>0.63</v>
      </c>
      <c r="BB2091" t="s">
        <v>143</v>
      </c>
      <c r="BF2091">
        <v>0.89</v>
      </c>
      <c r="BG2091">
        <v>0.25</v>
      </c>
      <c r="BH2091">
        <v>-2.2999999999999998</v>
      </c>
      <c r="BI2091">
        <v>1.1599999999999999</v>
      </c>
      <c r="BJ2091">
        <v>20210831</v>
      </c>
      <c r="BK2091">
        <v>20180301</v>
      </c>
      <c r="BL2091">
        <v>6.16</v>
      </c>
      <c r="BM2091" t="s">
        <v>120</v>
      </c>
      <c r="BN2091" t="s">
        <v>120</v>
      </c>
      <c r="BO2091">
        <v>78.08</v>
      </c>
      <c r="BP2091">
        <v>44.59</v>
      </c>
      <c r="BQ2091">
        <v>72.59</v>
      </c>
      <c r="BR2091">
        <v>1.33</v>
      </c>
      <c r="BS2091">
        <v>5.32</v>
      </c>
      <c r="BT2091">
        <v>60.46</v>
      </c>
      <c r="BU2091">
        <v>2.75</v>
      </c>
      <c r="BV2091">
        <v>0.61</v>
      </c>
      <c r="BW2091">
        <v>3.88</v>
      </c>
      <c r="BX2091">
        <v>28.98</v>
      </c>
      <c r="BY2091">
        <v>4.4800000000000004</v>
      </c>
      <c r="BZ2091">
        <v>5.26</v>
      </c>
      <c r="CA2091" t="s">
        <v>120</v>
      </c>
      <c r="CB2091">
        <v>46.35</v>
      </c>
      <c r="CC2091">
        <v>9.17</v>
      </c>
      <c r="CD2091">
        <v>2.52</v>
      </c>
      <c r="CE2091">
        <v>6.29</v>
      </c>
      <c r="CF2091">
        <v>0.02</v>
      </c>
      <c r="CG2091">
        <v>6.28</v>
      </c>
      <c r="CH2091">
        <v>5.41</v>
      </c>
      <c r="CI2091">
        <v>5.3</v>
      </c>
      <c r="CJ2091">
        <v>0.11</v>
      </c>
      <c r="CK2091">
        <v>4.25</v>
      </c>
      <c r="CL2091">
        <v>17.05</v>
      </c>
      <c r="CM2091">
        <v>5.0999999999999996</v>
      </c>
      <c r="CN2091">
        <v>-5.49</v>
      </c>
      <c r="CO2091">
        <v>13880</v>
      </c>
      <c r="CP2091">
        <v>8385</v>
      </c>
      <c r="CQ2091" t="s">
        <v>10201</v>
      </c>
      <c r="CR2091">
        <v>-2.82</v>
      </c>
      <c r="CS2091">
        <v>-2.0299999999999998</v>
      </c>
      <c r="CT2091">
        <v>3.78</v>
      </c>
      <c r="CU2091">
        <v>53.86</v>
      </c>
      <c r="CV2091">
        <v>29.97</v>
      </c>
      <c r="CW2091">
        <v>3.6</v>
      </c>
      <c r="CX2091" t="s">
        <v>10202</v>
      </c>
      <c r="CY2091">
        <v>11.79</v>
      </c>
      <c r="CZ2091">
        <v>0</v>
      </c>
      <c r="DA2091">
        <v>7.53</v>
      </c>
      <c r="DB2091">
        <v>2.77</v>
      </c>
      <c r="DC2091">
        <v>0.83</v>
      </c>
      <c r="DD2091">
        <v>92.98</v>
      </c>
      <c r="DE2091" t="s">
        <v>10203</v>
      </c>
      <c r="DF2091">
        <v>72.489999999999995</v>
      </c>
      <c r="DG2091">
        <v>68.61</v>
      </c>
      <c r="DH2091">
        <v>57.79</v>
      </c>
      <c r="DI2091">
        <v>0.62</v>
      </c>
      <c r="DJ2091">
        <v>949</v>
      </c>
      <c r="DK2091">
        <v>300741</v>
      </c>
      <c r="DL2091" t="s">
        <v>120</v>
      </c>
      <c r="DM2091" t="s">
        <v>120</v>
      </c>
      <c r="DN2091" t="s">
        <v>120</v>
      </c>
    </row>
    <row r="2092" spans="1:118">
      <c r="A2092" t="str">
        <f>"300742"</f>
        <v>300742</v>
      </c>
      <c r="B2092" t="s">
        <v>10204</v>
      </c>
      <c r="C2092">
        <v>0.82</v>
      </c>
      <c r="D2092">
        <v>0</v>
      </c>
      <c r="E2092">
        <v>-0.53</v>
      </c>
      <c r="F2092">
        <v>362</v>
      </c>
      <c r="G2092" t="s">
        <v>10205</v>
      </c>
      <c r="H2092">
        <v>9588.08</v>
      </c>
      <c r="I2092">
        <v>9.69</v>
      </c>
      <c r="J2092" t="s">
        <v>120</v>
      </c>
      <c r="K2092" t="s">
        <v>6330</v>
      </c>
      <c r="L2092">
        <v>7.18</v>
      </c>
      <c r="M2092">
        <v>30.68</v>
      </c>
      <c r="N2092">
        <v>0.8</v>
      </c>
      <c r="O2092">
        <v>3.52</v>
      </c>
      <c r="P2092">
        <v>31.5</v>
      </c>
      <c r="Q2092">
        <v>-1.35</v>
      </c>
      <c r="R2092">
        <v>30.02</v>
      </c>
      <c r="S2092">
        <v>30.27</v>
      </c>
      <c r="T2092">
        <v>31095</v>
      </c>
      <c r="U2092">
        <v>30.69</v>
      </c>
      <c r="V2092">
        <v>30.43</v>
      </c>
      <c r="W2092">
        <v>45.27</v>
      </c>
      <c r="X2092" t="s">
        <v>289</v>
      </c>
      <c r="Y2092" t="s">
        <v>319</v>
      </c>
      <c r="Z2092">
        <v>4.8600000000000003</v>
      </c>
      <c r="AA2092">
        <v>30.84</v>
      </c>
      <c r="AB2092">
        <v>16703</v>
      </c>
      <c r="AC2092">
        <v>14392</v>
      </c>
      <c r="AD2092">
        <v>1.1599999999999999</v>
      </c>
      <c r="AE2092">
        <v>88</v>
      </c>
      <c r="AF2092">
        <v>16</v>
      </c>
      <c r="AG2092" t="s">
        <v>120</v>
      </c>
      <c r="AH2092">
        <v>0.01</v>
      </c>
      <c r="AI2092" t="s">
        <v>120</v>
      </c>
      <c r="AJ2092">
        <v>0.43</v>
      </c>
      <c r="AK2092" t="s">
        <v>969</v>
      </c>
      <c r="AL2092">
        <v>2.74</v>
      </c>
      <c r="AM2092">
        <v>2200</v>
      </c>
      <c r="AN2092">
        <v>14</v>
      </c>
      <c r="AO2092">
        <v>3.3E-3</v>
      </c>
      <c r="AP2092">
        <v>2</v>
      </c>
      <c r="AQ2092">
        <v>1.6</v>
      </c>
      <c r="AR2092">
        <v>0.19</v>
      </c>
      <c r="AS2092">
        <v>5.25</v>
      </c>
      <c r="AT2092">
        <v>16.829999999999998</v>
      </c>
      <c r="AU2092">
        <v>27.62</v>
      </c>
      <c r="AV2092">
        <v>2</v>
      </c>
      <c r="AW2092">
        <v>8.0399999999999991</v>
      </c>
      <c r="AX2092">
        <v>49.3</v>
      </c>
      <c r="AY2092">
        <v>77.41</v>
      </c>
      <c r="AZ2092">
        <v>297.86</v>
      </c>
      <c r="BA2092">
        <v>0.95</v>
      </c>
      <c r="BB2092" t="s">
        <v>143</v>
      </c>
      <c r="BF2092">
        <v>1.33</v>
      </c>
      <c r="BG2092">
        <v>1.35</v>
      </c>
      <c r="BH2092">
        <v>-2.6</v>
      </c>
      <c r="BI2092">
        <v>2.2000000000000002</v>
      </c>
      <c r="BJ2092">
        <v>20210830</v>
      </c>
      <c r="BK2092">
        <v>20180508</v>
      </c>
      <c r="BL2092">
        <v>0.78</v>
      </c>
      <c r="BM2092" t="s">
        <v>120</v>
      </c>
      <c r="BN2092" t="s">
        <v>120</v>
      </c>
      <c r="BO2092">
        <v>15.72</v>
      </c>
      <c r="BP2092">
        <v>30.68</v>
      </c>
      <c r="BQ2092">
        <v>3.85</v>
      </c>
      <c r="BR2092">
        <v>1.03</v>
      </c>
      <c r="BS2092">
        <v>68.94</v>
      </c>
      <c r="BT2092">
        <v>9.16</v>
      </c>
      <c r="BU2092">
        <v>1.71</v>
      </c>
      <c r="BV2092">
        <v>0.6</v>
      </c>
      <c r="BW2092">
        <v>10.33</v>
      </c>
      <c r="BX2092">
        <v>0.48</v>
      </c>
      <c r="BY2092">
        <v>3.43</v>
      </c>
      <c r="BZ2092">
        <v>4.01</v>
      </c>
      <c r="CA2092" t="s">
        <v>120</v>
      </c>
      <c r="CB2092">
        <v>8.8699999999999992</v>
      </c>
      <c r="CC2092">
        <v>2.08</v>
      </c>
      <c r="CD2092">
        <v>1.68</v>
      </c>
      <c r="CE2092">
        <v>0.17</v>
      </c>
      <c r="CF2092">
        <v>0</v>
      </c>
      <c r="CG2092">
        <v>0.17</v>
      </c>
      <c r="CH2092">
        <v>0.09</v>
      </c>
      <c r="CI2092">
        <v>0.27</v>
      </c>
      <c r="CJ2092">
        <v>0.25</v>
      </c>
      <c r="CK2092">
        <v>0.03</v>
      </c>
      <c r="CL2092">
        <v>-6.01</v>
      </c>
      <c r="CM2092">
        <v>-0.71</v>
      </c>
      <c r="CN2092">
        <v>-0.34</v>
      </c>
      <c r="CO2092">
        <v>12578</v>
      </c>
      <c r="CP2092">
        <v>3077</v>
      </c>
      <c r="CQ2092" t="s">
        <v>10206</v>
      </c>
      <c r="CR2092">
        <v>607.21</v>
      </c>
      <c r="CS2092">
        <v>19.29</v>
      </c>
      <c r="CT2092">
        <v>6.26</v>
      </c>
      <c r="CU2092">
        <v>-34.11</v>
      </c>
      <c r="CV2092">
        <v>11.58</v>
      </c>
      <c r="CW2092">
        <v>0</v>
      </c>
      <c r="CX2092" t="s">
        <v>1574</v>
      </c>
      <c r="CY2092">
        <v>4.9000000000000004</v>
      </c>
      <c r="CZ2092">
        <v>0</v>
      </c>
      <c r="DA2092">
        <v>11.3</v>
      </c>
      <c r="DB2092">
        <v>-7.66</v>
      </c>
      <c r="DC2092">
        <v>-0.9</v>
      </c>
      <c r="DD2092">
        <v>24.48</v>
      </c>
      <c r="DE2092" t="s">
        <v>3400</v>
      </c>
      <c r="DF2092">
        <v>19.39</v>
      </c>
      <c r="DG2092">
        <v>8.26</v>
      </c>
      <c r="DH2092">
        <v>12.79</v>
      </c>
      <c r="DI2092">
        <v>0.13</v>
      </c>
      <c r="DJ2092">
        <v>475</v>
      </c>
      <c r="DK2092">
        <v>300742</v>
      </c>
      <c r="DL2092" t="s">
        <v>120</v>
      </c>
      <c r="DM2092" t="s">
        <v>120</v>
      </c>
      <c r="DN2092" t="s">
        <v>120</v>
      </c>
    </row>
    <row r="2093" spans="1:118">
      <c r="A2093" t="str">
        <f>"300743"</f>
        <v>300743</v>
      </c>
      <c r="B2093" t="s">
        <v>10207</v>
      </c>
      <c r="C2093">
        <v>0.09</v>
      </c>
      <c r="D2093">
        <v>-0.08</v>
      </c>
      <c r="E2093">
        <v>-0.34</v>
      </c>
      <c r="F2093">
        <v>321</v>
      </c>
      <c r="G2093" t="s">
        <v>10208</v>
      </c>
      <c r="H2093">
        <v>4175.88</v>
      </c>
      <c r="I2093">
        <v>7.7</v>
      </c>
      <c r="J2093" t="s">
        <v>120</v>
      </c>
      <c r="K2093" t="s">
        <v>10209</v>
      </c>
      <c r="L2093">
        <v>3.55</v>
      </c>
      <c r="M2093">
        <v>11.71</v>
      </c>
      <c r="N2093">
        <v>1.71</v>
      </c>
      <c r="O2093">
        <v>4.79</v>
      </c>
      <c r="P2093">
        <v>12.26</v>
      </c>
      <c r="Q2093">
        <v>-0.34</v>
      </c>
      <c r="R2093">
        <v>11.66</v>
      </c>
      <c r="S2093">
        <v>11.66</v>
      </c>
      <c r="T2093">
        <v>34887</v>
      </c>
      <c r="U2093">
        <v>11.72</v>
      </c>
      <c r="V2093">
        <v>11.7</v>
      </c>
      <c r="W2093">
        <v>79.709999999999994</v>
      </c>
      <c r="X2093" t="s">
        <v>238</v>
      </c>
      <c r="Y2093" t="s">
        <v>585</v>
      </c>
      <c r="Z2093">
        <v>5.13</v>
      </c>
      <c r="AA2093">
        <v>11.97</v>
      </c>
      <c r="AB2093">
        <v>18210</v>
      </c>
      <c r="AC2093">
        <v>16677</v>
      </c>
      <c r="AD2093">
        <v>1.0900000000000001</v>
      </c>
      <c r="AE2093">
        <v>23</v>
      </c>
      <c r="AF2093">
        <v>27</v>
      </c>
      <c r="AG2093" t="s">
        <v>120</v>
      </c>
      <c r="AH2093">
        <v>0.01</v>
      </c>
      <c r="AI2093" t="s">
        <v>120</v>
      </c>
      <c r="AJ2093">
        <v>0.98</v>
      </c>
      <c r="AK2093" t="s">
        <v>10210</v>
      </c>
      <c r="AL2093">
        <v>2</v>
      </c>
      <c r="AM2093">
        <v>1914</v>
      </c>
      <c r="AN2093">
        <v>18</v>
      </c>
      <c r="AO2093">
        <v>1.9E-3</v>
      </c>
      <c r="AP2093">
        <v>2</v>
      </c>
      <c r="AQ2093">
        <v>1.83</v>
      </c>
      <c r="AR2093">
        <v>-0.43</v>
      </c>
      <c r="AS2093">
        <v>-7.94</v>
      </c>
      <c r="AT2093">
        <v>-2.91</v>
      </c>
      <c r="AU2093">
        <v>6.77</v>
      </c>
      <c r="AV2093">
        <v>0</v>
      </c>
      <c r="AW2093">
        <v>5.29</v>
      </c>
      <c r="AX2093">
        <v>47.56</v>
      </c>
      <c r="AY2093">
        <v>70.709999999999994</v>
      </c>
      <c r="AZ2093">
        <v>71.37</v>
      </c>
      <c r="BA2093">
        <v>0.99</v>
      </c>
      <c r="BB2093" t="s">
        <v>168</v>
      </c>
      <c r="BF2093">
        <v>2.2999999999999998</v>
      </c>
      <c r="BG2093">
        <v>0.43</v>
      </c>
      <c r="BH2093">
        <v>-4.49</v>
      </c>
      <c r="BI2093">
        <v>0.43</v>
      </c>
      <c r="BJ2093">
        <v>20210830</v>
      </c>
      <c r="BK2093">
        <v>20180427</v>
      </c>
      <c r="BL2093">
        <v>1.39</v>
      </c>
      <c r="BM2093" t="s">
        <v>120</v>
      </c>
      <c r="BN2093" t="s">
        <v>120</v>
      </c>
      <c r="BO2093">
        <v>6.23</v>
      </c>
      <c r="BP2093">
        <v>11.71</v>
      </c>
      <c r="BQ2093">
        <v>3.77</v>
      </c>
      <c r="BR2093">
        <v>0</v>
      </c>
      <c r="BS2093">
        <v>39.549999999999997</v>
      </c>
      <c r="BT2093">
        <v>4.3099999999999996</v>
      </c>
      <c r="BU2093">
        <v>1.17</v>
      </c>
      <c r="BV2093">
        <v>0.22</v>
      </c>
      <c r="BW2093">
        <v>2.44</v>
      </c>
      <c r="BX2093">
        <v>1.49</v>
      </c>
      <c r="BY2093">
        <v>1.2</v>
      </c>
      <c r="BZ2093">
        <v>1.0900000000000001</v>
      </c>
      <c r="CA2093" t="s">
        <v>120</v>
      </c>
      <c r="CB2093">
        <v>1.29</v>
      </c>
      <c r="CC2093">
        <v>2.42</v>
      </c>
      <c r="CD2093">
        <v>1.85</v>
      </c>
      <c r="CE2093">
        <v>0.13</v>
      </c>
      <c r="CF2093">
        <v>0.02</v>
      </c>
      <c r="CG2093">
        <v>0.13</v>
      </c>
      <c r="CH2093">
        <v>0.1</v>
      </c>
      <c r="CI2093">
        <v>0.1</v>
      </c>
      <c r="CJ2093">
        <v>0.01</v>
      </c>
      <c r="CK2093">
        <v>7.0000000000000007E-2</v>
      </c>
      <c r="CL2093">
        <v>0.93</v>
      </c>
      <c r="CM2093">
        <v>0.02</v>
      </c>
      <c r="CN2093">
        <v>0.19</v>
      </c>
      <c r="CO2093">
        <v>10380</v>
      </c>
      <c r="CP2093">
        <v>6348</v>
      </c>
      <c r="CQ2093" t="s">
        <v>6497</v>
      </c>
      <c r="CR2093">
        <v>2.11</v>
      </c>
      <c r="CS2093">
        <v>26.33</v>
      </c>
      <c r="CT2093">
        <v>4.3099999999999996</v>
      </c>
      <c r="CU2093">
        <v>953.09</v>
      </c>
      <c r="CV2093">
        <v>6.71</v>
      </c>
      <c r="CW2093">
        <v>1.83</v>
      </c>
      <c r="CX2093" t="s">
        <v>679</v>
      </c>
      <c r="CY2093">
        <v>2.72</v>
      </c>
      <c r="CZ2093">
        <v>0</v>
      </c>
      <c r="DA2093">
        <v>0.93</v>
      </c>
      <c r="DB2093">
        <v>0.67</v>
      </c>
      <c r="DC2093">
        <v>0.01</v>
      </c>
      <c r="DD2093">
        <v>60.42</v>
      </c>
      <c r="DE2093" t="s">
        <v>1779</v>
      </c>
      <c r="DF2093">
        <v>23.26</v>
      </c>
      <c r="DG2093">
        <v>5.4</v>
      </c>
      <c r="DH2093">
        <v>4.21</v>
      </c>
      <c r="DI2093">
        <v>0.08</v>
      </c>
      <c r="DJ2093">
        <v>527</v>
      </c>
      <c r="DK2093">
        <v>300743</v>
      </c>
      <c r="DL2093" t="s">
        <v>120</v>
      </c>
      <c r="DM2093" t="s">
        <v>120</v>
      </c>
      <c r="DN2093" t="s">
        <v>120</v>
      </c>
    </row>
    <row r="2094" spans="1:118">
      <c r="A2094" t="str">
        <f>"300745"</f>
        <v>300745</v>
      </c>
      <c r="B2094" t="s">
        <v>10211</v>
      </c>
      <c r="C2094">
        <v>1.99</v>
      </c>
      <c r="D2094">
        <v>-0.04</v>
      </c>
      <c r="E2094">
        <v>-0.36</v>
      </c>
      <c r="F2094">
        <v>1059</v>
      </c>
      <c r="G2094" t="s">
        <v>2446</v>
      </c>
      <c r="H2094">
        <v>17764.34</v>
      </c>
      <c r="I2094">
        <v>7.29</v>
      </c>
      <c r="J2094" t="s">
        <v>120</v>
      </c>
      <c r="K2094" t="s">
        <v>4822</v>
      </c>
      <c r="L2094">
        <v>5.6</v>
      </c>
      <c r="M2094">
        <v>37.33</v>
      </c>
      <c r="N2094">
        <v>1.42</v>
      </c>
      <c r="O2094">
        <v>3.47</v>
      </c>
      <c r="P2094">
        <v>37.869999999999997</v>
      </c>
      <c r="Q2094">
        <v>-5.36</v>
      </c>
      <c r="R2094">
        <v>34.64</v>
      </c>
      <c r="S2094">
        <v>36.47</v>
      </c>
      <c r="T2094">
        <v>48373</v>
      </c>
      <c r="U2094">
        <v>37.340000000000003</v>
      </c>
      <c r="V2094">
        <v>36.6</v>
      </c>
      <c r="W2094">
        <v>196.61</v>
      </c>
      <c r="X2094" t="s">
        <v>289</v>
      </c>
      <c r="Y2094" t="s">
        <v>123</v>
      </c>
      <c r="Z2094">
        <v>8.83</v>
      </c>
      <c r="AA2094">
        <v>36.72</v>
      </c>
      <c r="AB2094">
        <v>24747</v>
      </c>
      <c r="AC2094">
        <v>23626</v>
      </c>
      <c r="AD2094">
        <v>1.05</v>
      </c>
      <c r="AE2094">
        <v>8</v>
      </c>
      <c r="AF2094">
        <v>8</v>
      </c>
      <c r="AG2094" t="s">
        <v>120</v>
      </c>
      <c r="AH2094">
        <v>0</v>
      </c>
      <c r="AI2094" t="s">
        <v>120</v>
      </c>
      <c r="AJ2094">
        <v>0.86</v>
      </c>
      <c r="AK2094" t="s">
        <v>7893</v>
      </c>
      <c r="AL2094">
        <v>3.91</v>
      </c>
      <c r="AM2094">
        <v>2336</v>
      </c>
      <c r="AN2094">
        <v>21</v>
      </c>
      <c r="AO2094">
        <v>2.3999999999999998E-3</v>
      </c>
      <c r="AP2094">
        <v>1</v>
      </c>
      <c r="AQ2094">
        <v>-1.35</v>
      </c>
      <c r="AR2094">
        <v>-2.79</v>
      </c>
      <c r="AS2094">
        <v>-0.16</v>
      </c>
      <c r="AT2094">
        <v>67.03</v>
      </c>
      <c r="AU2094">
        <v>87.12</v>
      </c>
      <c r="AV2094">
        <v>2</v>
      </c>
      <c r="AW2094">
        <v>7.7</v>
      </c>
      <c r="AX2094">
        <v>54.84</v>
      </c>
      <c r="AY2094" t="s">
        <v>120</v>
      </c>
      <c r="AZ2094" t="s">
        <v>120</v>
      </c>
      <c r="BA2094">
        <v>0.5</v>
      </c>
      <c r="BB2094" t="s">
        <v>143</v>
      </c>
      <c r="BF2094">
        <v>0.34</v>
      </c>
      <c r="BG2094">
        <v>2.36</v>
      </c>
      <c r="BH2094">
        <v>-1.43</v>
      </c>
      <c r="BI2094">
        <v>7.77</v>
      </c>
      <c r="BJ2094">
        <v>20210821</v>
      </c>
      <c r="BK2094">
        <v>20180523</v>
      </c>
      <c r="BL2094">
        <v>1.1499999999999999</v>
      </c>
      <c r="BM2094" t="s">
        <v>120</v>
      </c>
      <c r="BN2094" t="s">
        <v>120</v>
      </c>
      <c r="BO2094">
        <v>15.17</v>
      </c>
      <c r="BP2094">
        <v>37.33</v>
      </c>
      <c r="BQ2094">
        <v>8.4600000000000009</v>
      </c>
      <c r="BR2094" t="s">
        <v>120</v>
      </c>
      <c r="BS2094">
        <v>44.23</v>
      </c>
      <c r="BT2094">
        <v>10.199999999999999</v>
      </c>
      <c r="BU2094">
        <v>1.03</v>
      </c>
      <c r="BV2094">
        <v>1.1599999999999999</v>
      </c>
      <c r="BW2094">
        <v>5.3</v>
      </c>
      <c r="BX2094">
        <v>0.85</v>
      </c>
      <c r="BY2094">
        <v>2.92</v>
      </c>
      <c r="BZ2094">
        <v>3.74</v>
      </c>
      <c r="CA2094" t="s">
        <v>120</v>
      </c>
      <c r="CB2094">
        <v>6.32</v>
      </c>
      <c r="CC2094">
        <v>3.9</v>
      </c>
      <c r="CD2094">
        <v>3.06</v>
      </c>
      <c r="CE2094">
        <v>0.05</v>
      </c>
      <c r="CF2094">
        <v>0.02</v>
      </c>
      <c r="CG2094">
        <v>0.05</v>
      </c>
      <c r="CH2094">
        <v>0.11</v>
      </c>
      <c r="CI2094">
        <v>0.11</v>
      </c>
      <c r="CJ2094">
        <v>0.73</v>
      </c>
      <c r="CK2094">
        <v>0.01</v>
      </c>
      <c r="CL2094">
        <v>0.59</v>
      </c>
      <c r="CM2094">
        <v>-0.57999999999999996</v>
      </c>
      <c r="CN2094">
        <v>-0.27</v>
      </c>
      <c r="CO2094">
        <v>11355</v>
      </c>
      <c r="CP2094">
        <v>5534</v>
      </c>
      <c r="CQ2094" t="s">
        <v>10212</v>
      </c>
      <c r="CR2094">
        <v>111.08</v>
      </c>
      <c r="CS2094">
        <v>238.82</v>
      </c>
      <c r="CT2094">
        <v>5.05</v>
      </c>
      <c r="CU2094">
        <v>-73.400000000000006</v>
      </c>
      <c r="CV2094">
        <v>10.96</v>
      </c>
      <c r="CW2094">
        <v>0</v>
      </c>
      <c r="CX2094" t="s">
        <v>329</v>
      </c>
      <c r="CY2094">
        <v>7.38</v>
      </c>
      <c r="CZ2094">
        <v>0</v>
      </c>
      <c r="DA2094">
        <v>5.52</v>
      </c>
      <c r="DB2094">
        <v>0.51</v>
      </c>
      <c r="DC2094">
        <v>-0.51</v>
      </c>
      <c r="DD2094">
        <v>55.77</v>
      </c>
      <c r="DE2094" t="s">
        <v>4937</v>
      </c>
      <c r="DF2094">
        <v>21.65</v>
      </c>
      <c r="DG2094">
        <v>1.2</v>
      </c>
      <c r="DH2094">
        <v>2.79</v>
      </c>
      <c r="DI2094">
        <v>0.33</v>
      </c>
      <c r="DJ2094">
        <v>970</v>
      </c>
      <c r="DK2094">
        <v>300745</v>
      </c>
      <c r="DL2094">
        <v>20210729</v>
      </c>
      <c r="DM2094">
        <v>28.78</v>
      </c>
      <c r="DN2094">
        <v>29.71</v>
      </c>
    </row>
    <row r="2095" spans="1:118">
      <c r="A2095" t="str">
        <f>"300746"</f>
        <v>300746</v>
      </c>
      <c r="B2095" t="s">
        <v>10213</v>
      </c>
      <c r="C2095">
        <v>-1.1200000000000001</v>
      </c>
      <c r="D2095">
        <v>0</v>
      </c>
      <c r="E2095">
        <v>5.49</v>
      </c>
      <c r="F2095">
        <v>2551</v>
      </c>
      <c r="G2095" t="s">
        <v>10214</v>
      </c>
      <c r="H2095">
        <v>61884.1</v>
      </c>
      <c r="I2095">
        <v>1637.86</v>
      </c>
      <c r="J2095" t="s">
        <v>120</v>
      </c>
      <c r="K2095" t="s">
        <v>10215</v>
      </c>
      <c r="L2095">
        <v>15.62</v>
      </c>
      <c r="M2095">
        <v>18.559999999999999</v>
      </c>
      <c r="N2095">
        <v>2.33</v>
      </c>
      <c r="O2095">
        <v>9.48</v>
      </c>
      <c r="P2095">
        <v>20.55</v>
      </c>
      <c r="Q2095">
        <v>-6.61</v>
      </c>
      <c r="R2095">
        <v>17.53</v>
      </c>
      <c r="S2095">
        <v>19.8</v>
      </c>
      <c r="T2095">
        <v>327085</v>
      </c>
      <c r="U2095">
        <v>18.559999999999999</v>
      </c>
      <c r="V2095">
        <v>18.77</v>
      </c>
      <c r="W2095">
        <v>26.17</v>
      </c>
      <c r="X2095" t="s">
        <v>175</v>
      </c>
      <c r="Y2095" t="s">
        <v>585</v>
      </c>
      <c r="Z2095">
        <v>16.09</v>
      </c>
      <c r="AA2095">
        <v>18.920000000000002</v>
      </c>
      <c r="AB2095">
        <v>170226</v>
      </c>
      <c r="AC2095">
        <v>156859</v>
      </c>
      <c r="AD2095">
        <v>1.0900000000000001</v>
      </c>
      <c r="AE2095">
        <v>17</v>
      </c>
      <c r="AF2095">
        <v>562</v>
      </c>
      <c r="AG2095" t="s">
        <v>120</v>
      </c>
      <c r="AH2095">
        <v>1.1200000000000001</v>
      </c>
      <c r="AI2095" t="s">
        <v>120</v>
      </c>
      <c r="AJ2095">
        <v>2.09</v>
      </c>
      <c r="AK2095" t="s">
        <v>867</v>
      </c>
      <c r="AL2095">
        <v>0.79</v>
      </c>
      <c r="AM2095">
        <v>4018</v>
      </c>
      <c r="AN2095">
        <v>81</v>
      </c>
      <c r="AO2095">
        <v>3.8999999999999998E-3</v>
      </c>
      <c r="AP2095">
        <v>-1</v>
      </c>
      <c r="AQ2095">
        <v>20.010000000000002</v>
      </c>
      <c r="AR2095">
        <v>23.9</v>
      </c>
      <c r="AS2095">
        <v>45.45</v>
      </c>
      <c r="AT2095">
        <v>70.430000000000007</v>
      </c>
      <c r="AU2095">
        <v>57.95</v>
      </c>
      <c r="AV2095">
        <v>3</v>
      </c>
      <c r="AW2095">
        <v>44.21</v>
      </c>
      <c r="AX2095">
        <v>32.78</v>
      </c>
      <c r="AY2095">
        <v>38.93</v>
      </c>
      <c r="AZ2095">
        <v>60.44</v>
      </c>
      <c r="BA2095">
        <v>0.99</v>
      </c>
      <c r="BB2095" t="s">
        <v>168</v>
      </c>
      <c r="BF2095">
        <v>0.8</v>
      </c>
      <c r="BG2095">
        <v>-6.26</v>
      </c>
      <c r="BH2095">
        <v>-9.68</v>
      </c>
      <c r="BI2095">
        <v>5.88</v>
      </c>
      <c r="BJ2095">
        <v>20210821</v>
      </c>
      <c r="BK2095">
        <v>20180525</v>
      </c>
      <c r="BL2095">
        <v>2.2599999999999998</v>
      </c>
      <c r="BM2095" t="s">
        <v>120</v>
      </c>
      <c r="BN2095" t="s">
        <v>120</v>
      </c>
      <c r="BO2095">
        <v>20.440000000000001</v>
      </c>
      <c r="BP2095">
        <v>18.55</v>
      </c>
      <c r="BQ2095">
        <v>12.88</v>
      </c>
      <c r="BR2095">
        <v>0.51</v>
      </c>
      <c r="BS2095">
        <v>34.49</v>
      </c>
      <c r="BT2095">
        <v>11.61</v>
      </c>
      <c r="BU2095">
        <v>2.0499999999999998</v>
      </c>
      <c r="BV2095">
        <v>0.13</v>
      </c>
      <c r="BW2095">
        <v>5.7</v>
      </c>
      <c r="BX2095">
        <v>2.82</v>
      </c>
      <c r="BY2095">
        <v>0</v>
      </c>
      <c r="BZ2095">
        <v>4.5</v>
      </c>
      <c r="CA2095" t="s">
        <v>120</v>
      </c>
      <c r="CB2095">
        <v>4.83</v>
      </c>
      <c r="CC2095">
        <v>11.71</v>
      </c>
      <c r="CD2095">
        <v>10.38</v>
      </c>
      <c r="CE2095">
        <v>0.93</v>
      </c>
      <c r="CF2095">
        <v>0.48</v>
      </c>
      <c r="CG2095">
        <v>0.93</v>
      </c>
      <c r="CH2095">
        <v>0.82</v>
      </c>
      <c r="CI2095">
        <v>0.8</v>
      </c>
      <c r="CJ2095">
        <v>-0.21</v>
      </c>
      <c r="CK2095">
        <v>0.26</v>
      </c>
      <c r="CL2095">
        <v>5.05</v>
      </c>
      <c r="CM2095">
        <v>0.11</v>
      </c>
      <c r="CN2095">
        <v>-0.14000000000000001</v>
      </c>
      <c r="CO2095">
        <v>18613</v>
      </c>
      <c r="CP2095">
        <v>3975</v>
      </c>
      <c r="CQ2095" t="s">
        <v>1662</v>
      </c>
      <c r="CR2095">
        <v>93.74</v>
      </c>
      <c r="CS2095">
        <v>39.24</v>
      </c>
      <c r="CT2095">
        <v>3.25</v>
      </c>
      <c r="CU2095">
        <v>375.6</v>
      </c>
      <c r="CV2095">
        <v>3.58</v>
      </c>
      <c r="CW2095">
        <v>0.53</v>
      </c>
      <c r="CX2095" t="s">
        <v>269</v>
      </c>
      <c r="CY2095">
        <v>5.71</v>
      </c>
      <c r="CZ2095">
        <v>0</v>
      </c>
      <c r="DA2095">
        <v>2.14</v>
      </c>
      <c r="DB2095">
        <v>2.2400000000000002</v>
      </c>
      <c r="DC2095">
        <v>0.05</v>
      </c>
      <c r="DD2095">
        <v>63.02</v>
      </c>
      <c r="DE2095" t="s">
        <v>2505</v>
      </c>
      <c r="DF2095">
        <v>11.35</v>
      </c>
      <c r="DG2095">
        <v>7.94</v>
      </c>
      <c r="DH2095">
        <v>6.83</v>
      </c>
      <c r="DI2095">
        <v>0.36</v>
      </c>
      <c r="DJ2095">
        <v>2251</v>
      </c>
      <c r="DK2095">
        <v>300746</v>
      </c>
      <c r="DL2095">
        <v>20210915</v>
      </c>
      <c r="DM2095">
        <v>18.77</v>
      </c>
      <c r="DN2095">
        <v>-1.1200000000000001</v>
      </c>
    </row>
    <row r="2096" spans="1:118">
      <c r="A2096" t="str">
        <f>"300747"</f>
        <v>300747</v>
      </c>
      <c r="B2096" t="s">
        <v>10216</v>
      </c>
      <c r="C2096">
        <v>-1.1299999999999999</v>
      </c>
      <c r="D2096">
        <v>0.05</v>
      </c>
      <c r="E2096">
        <v>-0.12</v>
      </c>
      <c r="F2096">
        <v>189</v>
      </c>
      <c r="G2096" t="s">
        <v>10217</v>
      </c>
      <c r="H2096">
        <v>15843.54</v>
      </c>
      <c r="I2096">
        <v>11.44</v>
      </c>
      <c r="J2096" t="s">
        <v>120</v>
      </c>
      <c r="K2096" t="s">
        <v>10218</v>
      </c>
      <c r="L2096">
        <v>0.7</v>
      </c>
      <c r="M2096">
        <v>59.58</v>
      </c>
      <c r="N2096">
        <v>0.91</v>
      </c>
      <c r="O2096">
        <v>0.32</v>
      </c>
      <c r="P2096">
        <v>60.45</v>
      </c>
      <c r="Q2096">
        <v>-2.09</v>
      </c>
      <c r="R2096">
        <v>59</v>
      </c>
      <c r="S2096">
        <v>60.19</v>
      </c>
      <c r="T2096">
        <v>26502</v>
      </c>
      <c r="U2096">
        <v>59.59</v>
      </c>
      <c r="V2096">
        <v>60.26</v>
      </c>
      <c r="W2096">
        <v>49.39</v>
      </c>
      <c r="X2096" t="s">
        <v>229</v>
      </c>
      <c r="Y2096" t="s">
        <v>763</v>
      </c>
      <c r="Z2096">
        <v>2.41</v>
      </c>
      <c r="AA2096">
        <v>59.78</v>
      </c>
      <c r="AB2096">
        <v>13501</v>
      </c>
      <c r="AC2096">
        <v>13001</v>
      </c>
      <c r="AD2096">
        <v>1.04</v>
      </c>
      <c r="AE2096">
        <v>41</v>
      </c>
      <c r="AF2096">
        <v>9</v>
      </c>
      <c r="AG2096" t="s">
        <v>120</v>
      </c>
      <c r="AH2096">
        <v>0</v>
      </c>
      <c r="AI2096" t="s">
        <v>120</v>
      </c>
      <c r="AJ2096">
        <v>3.76</v>
      </c>
      <c r="AK2096" t="s">
        <v>10219</v>
      </c>
      <c r="AL2096">
        <v>0.79</v>
      </c>
      <c r="AM2096">
        <v>2642</v>
      </c>
      <c r="AN2096">
        <v>10</v>
      </c>
      <c r="AO2096">
        <v>2.9999999999999997E-4</v>
      </c>
      <c r="AP2096">
        <v>-1</v>
      </c>
      <c r="AQ2096">
        <v>0.22</v>
      </c>
      <c r="AR2096">
        <v>-0.63</v>
      </c>
      <c r="AS2096">
        <v>-9</v>
      </c>
      <c r="AT2096">
        <v>-15.65</v>
      </c>
      <c r="AU2096">
        <v>1.84</v>
      </c>
      <c r="AV2096">
        <v>0</v>
      </c>
      <c r="AW2096">
        <v>1.36</v>
      </c>
      <c r="AX2096">
        <v>45.12</v>
      </c>
      <c r="AY2096">
        <v>53.18</v>
      </c>
      <c r="AZ2096">
        <v>87.92</v>
      </c>
      <c r="BA2096">
        <v>1.4</v>
      </c>
      <c r="BB2096" t="s">
        <v>143</v>
      </c>
      <c r="BF2096">
        <v>-0.79</v>
      </c>
      <c r="BG2096">
        <v>-1.01</v>
      </c>
      <c r="BH2096">
        <v>-1.44</v>
      </c>
      <c r="BI2096">
        <v>0.98</v>
      </c>
      <c r="BJ2096">
        <v>20210829</v>
      </c>
      <c r="BK2096">
        <v>20180625</v>
      </c>
      <c r="BL2096">
        <v>4.32</v>
      </c>
      <c r="BM2096" t="s">
        <v>120</v>
      </c>
      <c r="BN2096" t="s">
        <v>120</v>
      </c>
      <c r="BO2096">
        <v>42.46</v>
      </c>
      <c r="BP2096">
        <v>59.58</v>
      </c>
      <c r="BQ2096">
        <v>27.97</v>
      </c>
      <c r="BR2096">
        <v>1.22</v>
      </c>
      <c r="BS2096">
        <v>31.26</v>
      </c>
      <c r="BT2096">
        <v>34.46</v>
      </c>
      <c r="BU2096">
        <v>4.71</v>
      </c>
      <c r="BV2096">
        <v>0.61</v>
      </c>
      <c r="BW2096">
        <v>11.48</v>
      </c>
      <c r="BX2096">
        <v>8.9</v>
      </c>
      <c r="BY2096">
        <v>8.19</v>
      </c>
      <c r="BZ2096">
        <v>7.42</v>
      </c>
      <c r="CA2096" t="s">
        <v>120</v>
      </c>
      <c r="CB2096">
        <v>10.65</v>
      </c>
      <c r="CC2096">
        <v>16.100000000000001</v>
      </c>
      <c r="CD2096">
        <v>11.1</v>
      </c>
      <c r="CE2096">
        <v>3.17</v>
      </c>
      <c r="CF2096">
        <v>0</v>
      </c>
      <c r="CG2096">
        <v>3.17</v>
      </c>
      <c r="CH2096">
        <v>2.82</v>
      </c>
      <c r="CI2096">
        <v>2.61</v>
      </c>
      <c r="CJ2096">
        <v>-0.68</v>
      </c>
      <c r="CK2096">
        <v>2.48</v>
      </c>
      <c r="CL2096">
        <v>13.24</v>
      </c>
      <c r="CM2096">
        <v>1.28</v>
      </c>
      <c r="CN2096">
        <v>0.49</v>
      </c>
      <c r="CO2096">
        <v>20142</v>
      </c>
      <c r="CP2096">
        <v>9676</v>
      </c>
      <c r="CQ2096" t="s">
        <v>10220</v>
      </c>
      <c r="CR2096">
        <v>288.35000000000002</v>
      </c>
      <c r="CS2096">
        <v>126.91</v>
      </c>
      <c r="CT2096">
        <v>9.1999999999999993</v>
      </c>
      <c r="CU2096">
        <v>200.34</v>
      </c>
      <c r="CV2096">
        <v>15.99</v>
      </c>
      <c r="CW2096">
        <v>0.11</v>
      </c>
      <c r="CX2096" t="s">
        <v>10221</v>
      </c>
      <c r="CY2096">
        <v>6.48</v>
      </c>
      <c r="CZ2096">
        <v>0</v>
      </c>
      <c r="DA2096">
        <v>2.4700000000000002</v>
      </c>
      <c r="DB2096">
        <v>3.07</v>
      </c>
      <c r="DC2096">
        <v>0.3</v>
      </c>
      <c r="DD2096">
        <v>65.88</v>
      </c>
      <c r="DE2096" t="s">
        <v>10222</v>
      </c>
      <c r="DF2096">
        <v>31.04</v>
      </c>
      <c r="DG2096">
        <v>19.7</v>
      </c>
      <c r="DH2096">
        <v>16.190000000000001</v>
      </c>
      <c r="DI2096">
        <v>1.1000000000000001</v>
      </c>
      <c r="DJ2096">
        <v>2532</v>
      </c>
      <c r="DK2096">
        <v>300747</v>
      </c>
      <c r="DL2096" t="s">
        <v>120</v>
      </c>
      <c r="DM2096" t="s">
        <v>120</v>
      </c>
      <c r="DN2096" t="s">
        <v>120</v>
      </c>
    </row>
    <row r="2097" spans="1:118">
      <c r="A2097" t="str">
        <f>"300748"</f>
        <v>300748</v>
      </c>
      <c r="B2097" t="s">
        <v>10223</v>
      </c>
      <c r="C2097">
        <v>-7.15</v>
      </c>
      <c r="D2097">
        <v>0.23</v>
      </c>
      <c r="E2097">
        <v>0.26</v>
      </c>
      <c r="F2097">
        <v>2465</v>
      </c>
      <c r="G2097" t="s">
        <v>10224</v>
      </c>
      <c r="H2097">
        <v>120137.39</v>
      </c>
      <c r="I2097">
        <v>248.83</v>
      </c>
      <c r="J2097" t="s">
        <v>120</v>
      </c>
      <c r="K2097" t="s">
        <v>10225</v>
      </c>
      <c r="L2097">
        <v>7.19</v>
      </c>
      <c r="M2097">
        <v>35.56</v>
      </c>
      <c r="N2097">
        <v>1.05</v>
      </c>
      <c r="O2097">
        <v>0.47</v>
      </c>
      <c r="P2097">
        <v>38.479999999999997</v>
      </c>
      <c r="Q2097">
        <v>-8.67</v>
      </c>
      <c r="R2097">
        <v>34.979999999999997</v>
      </c>
      <c r="S2097">
        <v>38.4</v>
      </c>
      <c r="T2097">
        <v>328554</v>
      </c>
      <c r="U2097">
        <v>35.57</v>
      </c>
      <c r="V2097">
        <v>38.299999999999997</v>
      </c>
      <c r="W2097">
        <v>57.1</v>
      </c>
      <c r="X2097" t="s">
        <v>229</v>
      </c>
      <c r="Y2097" t="s">
        <v>676</v>
      </c>
      <c r="Z2097">
        <v>9.14</v>
      </c>
      <c r="AA2097">
        <v>36.57</v>
      </c>
      <c r="AB2097">
        <v>187129</v>
      </c>
      <c r="AC2097">
        <v>141425</v>
      </c>
      <c r="AD2097">
        <v>1.32</v>
      </c>
      <c r="AE2097">
        <v>5</v>
      </c>
      <c r="AF2097">
        <v>6</v>
      </c>
      <c r="AG2097" t="s">
        <v>120</v>
      </c>
      <c r="AH2097">
        <v>0.02</v>
      </c>
      <c r="AI2097" t="s">
        <v>120</v>
      </c>
      <c r="AJ2097">
        <v>4.57</v>
      </c>
      <c r="AK2097" t="s">
        <v>10226</v>
      </c>
      <c r="AL2097">
        <v>-5.24</v>
      </c>
      <c r="AM2097">
        <v>4532</v>
      </c>
      <c r="AN2097">
        <v>72</v>
      </c>
      <c r="AO2097">
        <v>1.6000000000000001E-3</v>
      </c>
      <c r="AP2097">
        <v>-2</v>
      </c>
      <c r="AQ2097">
        <v>-2.67</v>
      </c>
      <c r="AR2097">
        <v>-6.71</v>
      </c>
      <c r="AS2097">
        <v>0.79</v>
      </c>
      <c r="AT2097">
        <v>31.55</v>
      </c>
      <c r="AU2097">
        <v>57.43</v>
      </c>
      <c r="AV2097">
        <v>1</v>
      </c>
      <c r="AW2097">
        <v>10.38</v>
      </c>
      <c r="AX2097">
        <v>44.74</v>
      </c>
      <c r="AY2097">
        <v>72.59</v>
      </c>
      <c r="AZ2097">
        <v>110.85</v>
      </c>
      <c r="BA2097">
        <v>0.59</v>
      </c>
      <c r="BB2097" t="s">
        <v>143</v>
      </c>
      <c r="BF2097">
        <v>-4.53</v>
      </c>
      <c r="BG2097">
        <v>-7.4</v>
      </c>
      <c r="BH2097">
        <v>-7.59</v>
      </c>
      <c r="BI2097">
        <v>1.66</v>
      </c>
      <c r="BJ2097">
        <v>20210908</v>
      </c>
      <c r="BK2097">
        <v>20180921</v>
      </c>
      <c r="BL2097">
        <v>7.08</v>
      </c>
      <c r="BM2097" t="s">
        <v>120</v>
      </c>
      <c r="BN2097" t="s">
        <v>120</v>
      </c>
      <c r="BO2097">
        <v>47.9</v>
      </c>
      <c r="BP2097">
        <v>35.56</v>
      </c>
      <c r="BQ2097">
        <v>22.6</v>
      </c>
      <c r="BR2097">
        <v>0</v>
      </c>
      <c r="BS2097">
        <v>52.8</v>
      </c>
      <c r="BT2097">
        <v>36.75</v>
      </c>
      <c r="BU2097">
        <v>5.39</v>
      </c>
      <c r="BV2097">
        <v>0.04</v>
      </c>
      <c r="BW2097">
        <v>19.53</v>
      </c>
      <c r="BX2097">
        <v>11.66</v>
      </c>
      <c r="BY2097">
        <v>11.07</v>
      </c>
      <c r="BZ2097">
        <v>11.66</v>
      </c>
      <c r="CA2097">
        <v>0</v>
      </c>
      <c r="CB2097">
        <v>7.55</v>
      </c>
      <c r="CC2097">
        <v>18.09</v>
      </c>
      <c r="CD2097">
        <v>13.64</v>
      </c>
      <c r="CE2097">
        <v>2.48</v>
      </c>
      <c r="CF2097">
        <v>0.02</v>
      </c>
      <c r="CG2097">
        <v>2.4700000000000002</v>
      </c>
      <c r="CH2097">
        <v>2.21</v>
      </c>
      <c r="CI2097">
        <v>2.2000000000000002</v>
      </c>
      <c r="CJ2097">
        <v>-2.74</v>
      </c>
      <c r="CK2097">
        <v>2.0499999999999998</v>
      </c>
      <c r="CL2097">
        <v>6.69</v>
      </c>
      <c r="CM2097">
        <v>-0.59</v>
      </c>
      <c r="CN2097">
        <v>4.6399999999999997</v>
      </c>
      <c r="CO2097">
        <v>48456</v>
      </c>
      <c r="CP2097">
        <v>6533</v>
      </c>
      <c r="CQ2097" t="s">
        <v>10227</v>
      </c>
      <c r="CR2097">
        <v>140.81</v>
      </c>
      <c r="CS2097">
        <v>87.75</v>
      </c>
      <c r="CT2097">
        <v>11.41</v>
      </c>
      <c r="CU2097">
        <v>-422.97</v>
      </c>
      <c r="CV2097">
        <v>13.91</v>
      </c>
      <c r="CW2097">
        <v>0.32</v>
      </c>
      <c r="CX2097" t="s">
        <v>966</v>
      </c>
      <c r="CY2097">
        <v>3.12</v>
      </c>
      <c r="CZ2097">
        <v>3.12</v>
      </c>
      <c r="DA2097">
        <v>1.07</v>
      </c>
      <c r="DB2097">
        <v>0.94</v>
      </c>
      <c r="DC2097">
        <v>-0.08</v>
      </c>
      <c r="DD2097">
        <v>47.19</v>
      </c>
      <c r="DE2097" t="s">
        <v>8898</v>
      </c>
      <c r="DF2097">
        <v>24.6</v>
      </c>
      <c r="DG2097">
        <v>13.69</v>
      </c>
      <c r="DH2097">
        <v>12.18</v>
      </c>
      <c r="DI2097">
        <v>0.78</v>
      </c>
      <c r="DJ2097">
        <v>3038</v>
      </c>
      <c r="DK2097">
        <v>300748</v>
      </c>
      <c r="DL2097" t="s">
        <v>120</v>
      </c>
      <c r="DM2097" t="s">
        <v>120</v>
      </c>
      <c r="DN2097" t="s">
        <v>120</v>
      </c>
    </row>
    <row r="2098" spans="1:118">
      <c r="A2098" t="str">
        <f>"300749"</f>
        <v>300749</v>
      </c>
      <c r="B2098" t="s">
        <v>10228</v>
      </c>
      <c r="C2098">
        <v>-2.84</v>
      </c>
      <c r="D2098">
        <v>0</v>
      </c>
      <c r="E2098">
        <v>0.33</v>
      </c>
      <c r="F2098">
        <v>555</v>
      </c>
      <c r="G2098" t="s">
        <v>10229</v>
      </c>
      <c r="H2098">
        <v>1967.33</v>
      </c>
      <c r="I2098">
        <v>2.85</v>
      </c>
      <c r="J2098" t="s">
        <v>120</v>
      </c>
      <c r="K2098" t="s">
        <v>10229</v>
      </c>
      <c r="L2098">
        <v>2.4300000000000002</v>
      </c>
      <c r="M2098">
        <v>8.91</v>
      </c>
      <c r="N2098">
        <v>1.1599999999999999</v>
      </c>
      <c r="O2098">
        <v>0.76</v>
      </c>
      <c r="P2098">
        <v>9.24</v>
      </c>
      <c r="Q2098">
        <v>-3.05</v>
      </c>
      <c r="R2098">
        <v>8.89</v>
      </c>
      <c r="S2098">
        <v>9.1999999999999993</v>
      </c>
      <c r="T2098">
        <v>21710</v>
      </c>
      <c r="U2098">
        <v>8.92</v>
      </c>
      <c r="V2098">
        <v>9.17</v>
      </c>
      <c r="W2098">
        <v>22.21</v>
      </c>
      <c r="X2098" t="s">
        <v>2409</v>
      </c>
      <c r="Y2098" t="s">
        <v>547</v>
      </c>
      <c r="Z2098">
        <v>3.82</v>
      </c>
      <c r="AA2098">
        <v>9.06</v>
      </c>
      <c r="AB2098">
        <v>13168</v>
      </c>
      <c r="AC2098">
        <v>8542</v>
      </c>
      <c r="AD2098">
        <v>1.54</v>
      </c>
      <c r="AE2098">
        <v>388</v>
      </c>
      <c r="AF2098">
        <v>3</v>
      </c>
      <c r="AG2098" t="s">
        <v>120</v>
      </c>
      <c r="AH2098">
        <v>0</v>
      </c>
      <c r="AI2098" t="s">
        <v>120</v>
      </c>
      <c r="AJ2098">
        <v>0.89</v>
      </c>
      <c r="AK2098" t="s">
        <v>10230</v>
      </c>
      <c r="AL2098">
        <v>-0.92</v>
      </c>
      <c r="AM2098">
        <v>1235</v>
      </c>
      <c r="AN2098">
        <v>18</v>
      </c>
      <c r="AO2098">
        <v>2E-3</v>
      </c>
      <c r="AP2098">
        <v>-1</v>
      </c>
      <c r="AQ2098">
        <v>1.44</v>
      </c>
      <c r="AR2098">
        <v>-3.57</v>
      </c>
      <c r="AS2098">
        <v>-10.9</v>
      </c>
      <c r="AT2098">
        <v>-4.9000000000000004</v>
      </c>
      <c r="AU2098">
        <v>-3.16</v>
      </c>
      <c r="AV2098">
        <v>0</v>
      </c>
      <c r="AW2098">
        <v>2.4300000000000002</v>
      </c>
      <c r="AX2098">
        <v>43.54</v>
      </c>
      <c r="AY2098">
        <v>33.83</v>
      </c>
      <c r="AZ2098">
        <v>86.54</v>
      </c>
      <c r="BA2098">
        <v>0.59</v>
      </c>
      <c r="BB2098" t="s">
        <v>143</v>
      </c>
      <c r="BF2098">
        <v>-1.18</v>
      </c>
      <c r="BG2098">
        <v>-3.15</v>
      </c>
      <c r="BH2098">
        <v>-3.57</v>
      </c>
      <c r="BI2098">
        <v>0.22</v>
      </c>
      <c r="BJ2098">
        <v>20210827</v>
      </c>
      <c r="BK2098">
        <v>20180925</v>
      </c>
      <c r="BL2098">
        <v>2.0499999999999998</v>
      </c>
      <c r="BM2098" t="s">
        <v>120</v>
      </c>
      <c r="BN2098" t="s">
        <v>120</v>
      </c>
      <c r="BO2098">
        <v>15.84</v>
      </c>
      <c r="BP2098">
        <v>8.91</v>
      </c>
      <c r="BQ2098">
        <v>8.27</v>
      </c>
      <c r="BR2098">
        <v>7.0000000000000007E-2</v>
      </c>
      <c r="BS2098">
        <v>47.36</v>
      </c>
      <c r="BT2098">
        <v>9.66</v>
      </c>
      <c r="BU2098">
        <v>2.21</v>
      </c>
      <c r="BV2098">
        <v>0.81</v>
      </c>
      <c r="BW2098">
        <v>6.64</v>
      </c>
      <c r="BX2098">
        <v>2.04</v>
      </c>
      <c r="BY2098">
        <v>2.15</v>
      </c>
      <c r="BZ2098">
        <v>2.13</v>
      </c>
      <c r="CA2098" t="s">
        <v>120</v>
      </c>
      <c r="CB2098">
        <v>2.5099999999999998</v>
      </c>
      <c r="CC2098">
        <v>5.22</v>
      </c>
      <c r="CD2098">
        <v>3.48</v>
      </c>
      <c r="CE2098">
        <v>0.48</v>
      </c>
      <c r="CF2098">
        <v>0</v>
      </c>
      <c r="CG2098">
        <v>0.48</v>
      </c>
      <c r="CH2098">
        <v>0.4</v>
      </c>
      <c r="CI2098">
        <v>0.41</v>
      </c>
      <c r="CJ2098">
        <v>-0.26</v>
      </c>
      <c r="CK2098">
        <v>0.38</v>
      </c>
      <c r="CL2098">
        <v>3.26</v>
      </c>
      <c r="CM2098">
        <v>-1.31</v>
      </c>
      <c r="CN2098">
        <v>-2.33</v>
      </c>
      <c r="CO2098">
        <v>9654</v>
      </c>
      <c r="CP2098">
        <v>9253</v>
      </c>
      <c r="CQ2098" t="s">
        <v>8037</v>
      </c>
      <c r="CR2098">
        <v>464.6</v>
      </c>
      <c r="CS2098">
        <v>69.709999999999994</v>
      </c>
      <c r="CT2098">
        <v>2.21</v>
      </c>
      <c r="CU2098">
        <v>-14</v>
      </c>
      <c r="CV2098">
        <v>3.5</v>
      </c>
      <c r="CW2098">
        <v>1.0900000000000001</v>
      </c>
      <c r="CX2098" t="s">
        <v>492</v>
      </c>
      <c r="CY2098">
        <v>4.03</v>
      </c>
      <c r="CZ2098">
        <v>0</v>
      </c>
      <c r="DA2098">
        <v>1.22</v>
      </c>
      <c r="DB2098">
        <v>1.59</v>
      </c>
      <c r="DC2098">
        <v>-0.64</v>
      </c>
      <c r="DD2098">
        <v>52.2</v>
      </c>
      <c r="DE2098" t="s">
        <v>137</v>
      </c>
      <c r="DF2098">
        <v>33.409999999999997</v>
      </c>
      <c r="DG2098">
        <v>9.18</v>
      </c>
      <c r="DH2098">
        <v>7.88</v>
      </c>
      <c r="DI2098">
        <v>0.19</v>
      </c>
      <c r="DJ2098">
        <v>1895</v>
      </c>
      <c r="DK2098">
        <v>300749</v>
      </c>
      <c r="DL2098" t="s">
        <v>120</v>
      </c>
      <c r="DM2098" t="s">
        <v>120</v>
      </c>
      <c r="DN2098" t="s">
        <v>120</v>
      </c>
    </row>
    <row r="2099" spans="1:118">
      <c r="A2099" t="str">
        <f>"300750"</f>
        <v>300750</v>
      </c>
      <c r="B2099" t="s">
        <v>10231</v>
      </c>
      <c r="C2099">
        <v>-5.21</v>
      </c>
      <c r="D2099">
        <v>-7.0000000000000007E-2</v>
      </c>
      <c r="E2099">
        <v>-0.45</v>
      </c>
      <c r="F2099">
        <v>2299</v>
      </c>
      <c r="G2099" t="s">
        <v>10232</v>
      </c>
      <c r="H2099">
        <v>571284.98</v>
      </c>
      <c r="I2099">
        <v>2602.2399999999998</v>
      </c>
      <c r="J2099" t="s">
        <v>120</v>
      </c>
      <c r="K2099" t="s">
        <v>10233</v>
      </c>
      <c r="L2099">
        <v>0.55000000000000004</v>
      </c>
      <c r="M2099">
        <v>498</v>
      </c>
      <c r="N2099">
        <v>0.86</v>
      </c>
      <c r="O2099">
        <v>-0.45</v>
      </c>
      <c r="P2099">
        <v>523</v>
      </c>
      <c r="Q2099">
        <v>-5.21</v>
      </c>
      <c r="R2099">
        <v>498</v>
      </c>
      <c r="S2099">
        <v>523</v>
      </c>
      <c r="T2099">
        <v>112604</v>
      </c>
      <c r="U2099">
        <v>498.05</v>
      </c>
      <c r="V2099">
        <v>525.35</v>
      </c>
      <c r="W2099">
        <v>129.34</v>
      </c>
      <c r="X2099" t="s">
        <v>394</v>
      </c>
      <c r="Y2099" t="s">
        <v>937</v>
      </c>
      <c r="Z2099">
        <v>4.76</v>
      </c>
      <c r="AA2099">
        <v>507.34</v>
      </c>
      <c r="AB2099">
        <v>64832</v>
      </c>
      <c r="AC2099">
        <v>47772</v>
      </c>
      <c r="AD2099">
        <v>1.36</v>
      </c>
      <c r="AE2099">
        <v>925</v>
      </c>
      <c r="AF2099">
        <v>2</v>
      </c>
      <c r="AG2099" t="s">
        <v>120</v>
      </c>
      <c r="AH2099">
        <v>0</v>
      </c>
      <c r="AI2099" t="s">
        <v>120</v>
      </c>
      <c r="AJ2099">
        <v>20.3</v>
      </c>
      <c r="AK2099" t="s">
        <v>10234</v>
      </c>
      <c r="AL2099">
        <v>-3.29</v>
      </c>
      <c r="AM2099">
        <v>4638</v>
      </c>
      <c r="AN2099">
        <v>24</v>
      </c>
      <c r="AO2099">
        <v>1E-4</v>
      </c>
      <c r="AP2099">
        <v>-2</v>
      </c>
      <c r="AQ2099">
        <v>-0.86</v>
      </c>
      <c r="AR2099">
        <v>-0.96</v>
      </c>
      <c r="AS2099">
        <v>-1</v>
      </c>
      <c r="AT2099">
        <v>6.62</v>
      </c>
      <c r="AU2099">
        <v>41.93</v>
      </c>
      <c r="AV2099">
        <v>0</v>
      </c>
      <c r="AW2099">
        <v>0.91</v>
      </c>
      <c r="AX2099">
        <v>53.03</v>
      </c>
      <c r="AY2099">
        <v>150.5</v>
      </c>
      <c r="AZ2099">
        <v>219.14</v>
      </c>
      <c r="BA2099">
        <v>1.64</v>
      </c>
      <c r="BB2099" t="s">
        <v>143</v>
      </c>
      <c r="BF2099">
        <v>-3.43</v>
      </c>
      <c r="BG2099">
        <v>-4.78</v>
      </c>
      <c r="BH2099">
        <v>-4.78</v>
      </c>
      <c r="BI2099">
        <v>0</v>
      </c>
      <c r="BJ2099">
        <v>20210826</v>
      </c>
      <c r="BK2099">
        <v>20180611</v>
      </c>
      <c r="BL2099">
        <v>23.29</v>
      </c>
      <c r="BM2099" t="s">
        <v>120</v>
      </c>
      <c r="BN2099" t="s">
        <v>120</v>
      </c>
      <c r="BO2099">
        <v>2077.83</v>
      </c>
      <c r="BP2099">
        <v>498</v>
      </c>
      <c r="BQ2099">
        <v>687.58</v>
      </c>
      <c r="BR2099">
        <v>67.3</v>
      </c>
      <c r="BS2099">
        <v>63.67</v>
      </c>
      <c r="BT2099">
        <v>1329.96</v>
      </c>
      <c r="BU2099">
        <v>251.32</v>
      </c>
      <c r="BV2099">
        <v>33.950000000000003</v>
      </c>
      <c r="BW2099">
        <v>926.9</v>
      </c>
      <c r="BX2099">
        <v>746.87</v>
      </c>
      <c r="BY2099">
        <v>241.66</v>
      </c>
      <c r="BZ2099">
        <v>139.82</v>
      </c>
      <c r="CA2099" t="s">
        <v>120</v>
      </c>
      <c r="CB2099">
        <v>414.47</v>
      </c>
      <c r="CC2099">
        <v>440.75</v>
      </c>
      <c r="CD2099">
        <v>320.62</v>
      </c>
      <c r="CE2099">
        <v>63.17</v>
      </c>
      <c r="CF2099">
        <v>1.17</v>
      </c>
      <c r="CG2099">
        <v>63.35</v>
      </c>
      <c r="CH2099">
        <v>53.25</v>
      </c>
      <c r="CI2099">
        <v>44.84</v>
      </c>
      <c r="CJ2099">
        <v>-27.35</v>
      </c>
      <c r="CK2099">
        <v>39.18</v>
      </c>
      <c r="CL2099">
        <v>225.66</v>
      </c>
      <c r="CM2099">
        <v>257.42</v>
      </c>
      <c r="CN2099">
        <v>40.79</v>
      </c>
      <c r="CO2099">
        <v>135198</v>
      </c>
      <c r="CP2099">
        <v>9136</v>
      </c>
      <c r="CQ2099" t="s">
        <v>10235</v>
      </c>
      <c r="CR2099">
        <v>131.44999999999999</v>
      </c>
      <c r="CS2099">
        <v>134.07</v>
      </c>
      <c r="CT2099">
        <v>16.87</v>
      </c>
      <c r="CU2099">
        <v>45.06</v>
      </c>
      <c r="CV2099">
        <v>26.32</v>
      </c>
      <c r="CW2099">
        <v>0.05</v>
      </c>
      <c r="CX2099" t="s">
        <v>10236</v>
      </c>
      <c r="CY2099">
        <v>29.52</v>
      </c>
      <c r="CZ2099">
        <v>0</v>
      </c>
      <c r="DA2099">
        <v>17.8</v>
      </c>
      <c r="DB2099">
        <v>9.69</v>
      </c>
      <c r="DC2099">
        <v>11.05</v>
      </c>
      <c r="DD2099">
        <v>33.090000000000003</v>
      </c>
      <c r="DE2099" t="s">
        <v>6646</v>
      </c>
      <c r="DF2099">
        <v>27.26</v>
      </c>
      <c r="DG2099">
        <v>14.33</v>
      </c>
      <c r="DH2099">
        <v>10.17</v>
      </c>
      <c r="DI2099">
        <v>27.94</v>
      </c>
      <c r="DJ2099">
        <v>33078</v>
      </c>
      <c r="DK2099">
        <v>300750</v>
      </c>
      <c r="DL2099">
        <v>20210914</v>
      </c>
      <c r="DM2099">
        <v>532</v>
      </c>
      <c r="DN2099">
        <v>-6.39</v>
      </c>
    </row>
    <row r="2100" spans="1:118">
      <c r="A2100" t="str">
        <f>"300751"</f>
        <v>300751</v>
      </c>
      <c r="B2100" t="s">
        <v>10237</v>
      </c>
      <c r="C2100">
        <v>-6.56</v>
      </c>
      <c r="D2100">
        <v>0.09</v>
      </c>
      <c r="E2100">
        <v>0.74</v>
      </c>
      <c r="F2100">
        <v>357</v>
      </c>
      <c r="G2100" t="s">
        <v>10238</v>
      </c>
      <c r="H2100">
        <v>105668.16</v>
      </c>
      <c r="I2100">
        <v>435.55</v>
      </c>
      <c r="J2100" t="s">
        <v>120</v>
      </c>
      <c r="K2100" t="s">
        <v>10239</v>
      </c>
      <c r="L2100">
        <v>3.24</v>
      </c>
      <c r="M2100">
        <v>612.04</v>
      </c>
      <c r="N2100">
        <v>1.07</v>
      </c>
      <c r="O2100">
        <v>0.75</v>
      </c>
      <c r="P2100">
        <v>659.95</v>
      </c>
      <c r="Q2100">
        <v>-7.47</v>
      </c>
      <c r="R2100">
        <v>606.1</v>
      </c>
      <c r="S2100">
        <v>659.92</v>
      </c>
      <c r="T2100">
        <v>16979</v>
      </c>
      <c r="U2100">
        <v>612.17999999999995</v>
      </c>
      <c r="V2100">
        <v>655.04</v>
      </c>
      <c r="W2100">
        <v>125.17</v>
      </c>
      <c r="X2100" t="s">
        <v>675</v>
      </c>
      <c r="Y2100" t="s">
        <v>319</v>
      </c>
      <c r="Z2100">
        <v>8.2200000000000006</v>
      </c>
      <c r="AA2100">
        <v>622.34</v>
      </c>
      <c r="AB2100">
        <v>10213</v>
      </c>
      <c r="AC2100">
        <v>6766</v>
      </c>
      <c r="AD2100">
        <v>1.51</v>
      </c>
      <c r="AE2100">
        <v>60</v>
      </c>
      <c r="AF2100">
        <v>4</v>
      </c>
      <c r="AG2100" t="s">
        <v>120</v>
      </c>
      <c r="AH2100">
        <v>0.02</v>
      </c>
      <c r="AI2100" t="s">
        <v>120</v>
      </c>
      <c r="AJ2100">
        <v>0.52</v>
      </c>
      <c r="AK2100" t="s">
        <v>10240</v>
      </c>
      <c r="AL2100">
        <v>-4.6500000000000004</v>
      </c>
      <c r="AM2100">
        <v>3382</v>
      </c>
      <c r="AN2100">
        <v>5</v>
      </c>
      <c r="AO2100">
        <v>1E-3</v>
      </c>
      <c r="AP2100">
        <v>-1</v>
      </c>
      <c r="AQ2100">
        <v>2.5</v>
      </c>
      <c r="AR2100">
        <v>-1.57</v>
      </c>
      <c r="AS2100">
        <v>-10.78</v>
      </c>
      <c r="AT2100">
        <v>56.73</v>
      </c>
      <c r="AU2100">
        <v>63.09</v>
      </c>
      <c r="AV2100">
        <v>0</v>
      </c>
      <c r="AW2100">
        <v>4.09</v>
      </c>
      <c r="AX2100">
        <v>40.28</v>
      </c>
      <c r="AY2100">
        <v>147.71</v>
      </c>
      <c r="AZ2100">
        <v>171.22</v>
      </c>
      <c r="BA2100">
        <v>1.52</v>
      </c>
      <c r="BB2100" t="s">
        <v>168</v>
      </c>
      <c r="BF2100">
        <v>-4.99</v>
      </c>
      <c r="BG2100">
        <v>-7.26</v>
      </c>
      <c r="BH2100">
        <v>-7.26</v>
      </c>
      <c r="BI2100">
        <v>0.98</v>
      </c>
      <c r="BJ2100">
        <v>20210910</v>
      </c>
      <c r="BK2100">
        <v>20181109</v>
      </c>
      <c r="BL2100">
        <v>1.03</v>
      </c>
      <c r="BM2100" t="s">
        <v>120</v>
      </c>
      <c r="BN2100" t="s">
        <v>120</v>
      </c>
      <c r="BO2100">
        <v>62.72</v>
      </c>
      <c r="BP2100">
        <v>612.04</v>
      </c>
      <c r="BQ2100">
        <v>25.57</v>
      </c>
      <c r="BR2100">
        <v>-0.17</v>
      </c>
      <c r="BS2100">
        <v>59.51</v>
      </c>
      <c r="BT2100">
        <v>56.5</v>
      </c>
      <c r="BU2100">
        <v>3.56</v>
      </c>
      <c r="BV2100">
        <v>0.4</v>
      </c>
      <c r="BW2100">
        <v>37.06</v>
      </c>
      <c r="BX2100">
        <v>12.81</v>
      </c>
      <c r="BY2100">
        <v>29.43</v>
      </c>
      <c r="BZ2100">
        <v>6.41</v>
      </c>
      <c r="CA2100" t="s">
        <v>120</v>
      </c>
      <c r="CB2100">
        <v>13.61</v>
      </c>
      <c r="CC2100">
        <v>12.39</v>
      </c>
      <c r="CD2100">
        <v>7.61</v>
      </c>
      <c r="CE2100">
        <v>2.85</v>
      </c>
      <c r="CF2100">
        <v>-0.01</v>
      </c>
      <c r="CG2100">
        <v>2.85</v>
      </c>
      <c r="CH2100">
        <v>2.46</v>
      </c>
      <c r="CI2100">
        <v>2.52</v>
      </c>
      <c r="CJ2100">
        <v>-43</v>
      </c>
      <c r="CK2100">
        <v>2.37</v>
      </c>
      <c r="CL2100">
        <v>9.92</v>
      </c>
      <c r="CM2100">
        <v>3.04</v>
      </c>
      <c r="CN2100">
        <v>4.84</v>
      </c>
      <c r="CO2100">
        <v>13144</v>
      </c>
      <c r="CP2100">
        <v>3160</v>
      </c>
      <c r="CQ2100" t="s">
        <v>10241</v>
      </c>
      <c r="CR2100">
        <v>33.17</v>
      </c>
      <c r="CS2100">
        <v>32.07</v>
      </c>
      <c r="CT2100">
        <v>24.68</v>
      </c>
      <c r="CU2100">
        <v>207.82</v>
      </c>
      <c r="CV2100">
        <v>50.94</v>
      </c>
      <c r="CW2100">
        <v>0.13</v>
      </c>
      <c r="CX2100" t="s">
        <v>10242</v>
      </c>
      <c r="CY2100">
        <v>24.8</v>
      </c>
      <c r="CZ2100">
        <v>0</v>
      </c>
      <c r="DA2100">
        <v>13.2</v>
      </c>
      <c r="DB2100">
        <v>9.6199999999999992</v>
      </c>
      <c r="DC2100">
        <v>2.95</v>
      </c>
      <c r="DD2100">
        <v>40.76</v>
      </c>
      <c r="DE2100" t="s">
        <v>10243</v>
      </c>
      <c r="DF2100">
        <v>38.58</v>
      </c>
      <c r="DG2100">
        <v>23</v>
      </c>
      <c r="DH2100">
        <v>20.350000000000001</v>
      </c>
      <c r="DI2100">
        <v>1.31</v>
      </c>
      <c r="DJ2100">
        <v>1915</v>
      </c>
      <c r="DK2100">
        <v>300751</v>
      </c>
      <c r="DL2100">
        <v>20200908</v>
      </c>
      <c r="DM2100">
        <v>332.01</v>
      </c>
      <c r="DN2100">
        <v>232.27</v>
      </c>
    </row>
    <row r="2101" spans="1:118">
      <c r="A2101" t="str">
        <f>"300752"</f>
        <v>300752</v>
      </c>
      <c r="B2101" t="s">
        <v>10244</v>
      </c>
      <c r="C2101">
        <v>-5.36</v>
      </c>
      <c r="D2101">
        <v>-0.08</v>
      </c>
      <c r="E2101">
        <v>0.04</v>
      </c>
      <c r="F2101">
        <v>613</v>
      </c>
      <c r="G2101" t="s">
        <v>6058</v>
      </c>
      <c r="H2101">
        <v>9421.69</v>
      </c>
      <c r="I2101">
        <v>0</v>
      </c>
      <c r="J2101" t="s">
        <v>120</v>
      </c>
      <c r="K2101" t="s">
        <v>6058</v>
      </c>
      <c r="L2101">
        <v>7.07</v>
      </c>
      <c r="M2101">
        <v>21.52</v>
      </c>
      <c r="N2101">
        <v>1.02</v>
      </c>
      <c r="O2101">
        <v>0.92</v>
      </c>
      <c r="P2101">
        <v>22.95</v>
      </c>
      <c r="Q2101">
        <v>-5.36</v>
      </c>
      <c r="R2101">
        <v>21.52</v>
      </c>
      <c r="S2101">
        <v>22.75</v>
      </c>
      <c r="T2101">
        <v>42599</v>
      </c>
      <c r="U2101">
        <v>21.52</v>
      </c>
      <c r="V2101">
        <v>22.74</v>
      </c>
      <c r="W2101" t="s">
        <v>120</v>
      </c>
      <c r="X2101" t="s">
        <v>229</v>
      </c>
      <c r="Y2101" t="s">
        <v>123</v>
      </c>
      <c r="Z2101">
        <v>6.29</v>
      </c>
      <c r="AA2101">
        <v>22.12</v>
      </c>
      <c r="AB2101">
        <v>24901</v>
      </c>
      <c r="AC2101">
        <v>17698</v>
      </c>
      <c r="AD2101">
        <v>1.41</v>
      </c>
      <c r="AE2101">
        <v>83</v>
      </c>
      <c r="AF2101">
        <v>94</v>
      </c>
      <c r="AG2101" t="s">
        <v>120</v>
      </c>
      <c r="AH2101">
        <v>0</v>
      </c>
      <c r="AI2101" t="s">
        <v>120</v>
      </c>
      <c r="AJ2101">
        <v>0.6</v>
      </c>
      <c r="AK2101" t="s">
        <v>10245</v>
      </c>
      <c r="AL2101">
        <v>-3.45</v>
      </c>
      <c r="AM2101">
        <v>2172</v>
      </c>
      <c r="AN2101">
        <v>20</v>
      </c>
      <c r="AO2101">
        <v>3.3E-3</v>
      </c>
      <c r="AP2101">
        <v>-4</v>
      </c>
      <c r="AQ2101">
        <v>-1.52</v>
      </c>
      <c r="AR2101">
        <v>-6.84</v>
      </c>
      <c r="AS2101">
        <v>-17.07</v>
      </c>
      <c r="AT2101">
        <v>14.17</v>
      </c>
      <c r="AU2101">
        <v>-5.59</v>
      </c>
      <c r="AV2101">
        <v>8</v>
      </c>
      <c r="AW2101">
        <v>7.07</v>
      </c>
      <c r="AX2101">
        <v>30.37</v>
      </c>
      <c r="AY2101" t="s">
        <v>120</v>
      </c>
      <c r="AZ2101">
        <v>103.81</v>
      </c>
      <c r="BA2101">
        <v>1.86</v>
      </c>
      <c r="BB2101" t="s">
        <v>125</v>
      </c>
      <c r="BF2101">
        <v>-2.74</v>
      </c>
      <c r="BG2101">
        <v>-5.41</v>
      </c>
      <c r="BH2101">
        <v>-6.23</v>
      </c>
      <c r="BI2101">
        <v>0</v>
      </c>
      <c r="BJ2101">
        <v>20210826</v>
      </c>
      <c r="BK2101">
        <v>20181130</v>
      </c>
      <c r="BL2101">
        <v>1.98</v>
      </c>
      <c r="BM2101" t="s">
        <v>120</v>
      </c>
      <c r="BN2101" t="s">
        <v>120</v>
      </c>
      <c r="BO2101">
        <v>23.06</v>
      </c>
      <c r="BP2101">
        <v>21.51</v>
      </c>
      <c r="BQ2101">
        <v>8.07</v>
      </c>
      <c r="BR2101" t="s">
        <v>120</v>
      </c>
      <c r="BS2101">
        <v>65.03</v>
      </c>
      <c r="BT2101">
        <v>14.69</v>
      </c>
      <c r="BU2101">
        <v>4.0599999999999996</v>
      </c>
      <c r="BV2101">
        <v>0.46</v>
      </c>
      <c r="BW2101">
        <v>10.92</v>
      </c>
      <c r="BX2101">
        <v>3.07</v>
      </c>
      <c r="BY2101">
        <v>1.33</v>
      </c>
      <c r="BZ2101">
        <v>6.4</v>
      </c>
      <c r="CA2101" t="s">
        <v>120</v>
      </c>
      <c r="CB2101">
        <v>4.12</v>
      </c>
      <c r="CC2101">
        <v>9.19</v>
      </c>
      <c r="CD2101">
        <v>8.9</v>
      </c>
      <c r="CE2101">
        <v>-1.17</v>
      </c>
      <c r="CF2101">
        <v>0.01</v>
      </c>
      <c r="CG2101">
        <v>-1.17</v>
      </c>
      <c r="CH2101">
        <v>-0.89</v>
      </c>
      <c r="CI2101">
        <v>-0.89</v>
      </c>
      <c r="CJ2101">
        <v>-1.22</v>
      </c>
      <c r="CK2101">
        <v>-0.99</v>
      </c>
      <c r="CL2101">
        <v>2.02</v>
      </c>
      <c r="CM2101">
        <v>-0.64</v>
      </c>
      <c r="CN2101">
        <v>-2.5099999999999998</v>
      </c>
      <c r="CO2101">
        <v>14062</v>
      </c>
      <c r="CP2101">
        <v>4285</v>
      </c>
      <c r="CQ2101" t="s">
        <v>10246</v>
      </c>
      <c r="CR2101">
        <v>-370.32</v>
      </c>
      <c r="CS2101">
        <v>-9.36</v>
      </c>
      <c r="CT2101">
        <v>5.14</v>
      </c>
      <c r="CU2101">
        <v>-66.55</v>
      </c>
      <c r="CV2101">
        <v>4.6500000000000004</v>
      </c>
      <c r="CW2101">
        <v>0.21</v>
      </c>
      <c r="CX2101" t="s">
        <v>10247</v>
      </c>
      <c r="CY2101">
        <v>4.1900000000000004</v>
      </c>
      <c r="CZ2101">
        <v>4.1900000000000004</v>
      </c>
      <c r="DA2101">
        <v>2.08</v>
      </c>
      <c r="DB2101">
        <v>1.02</v>
      </c>
      <c r="DC2101">
        <v>-0.32</v>
      </c>
      <c r="DD2101">
        <v>34.97</v>
      </c>
      <c r="DE2101" t="s">
        <v>10248</v>
      </c>
      <c r="DF2101">
        <v>3.07</v>
      </c>
      <c r="DG2101">
        <v>-12.75</v>
      </c>
      <c r="DH2101">
        <v>-9.68</v>
      </c>
      <c r="DI2101">
        <v>0.56000000000000005</v>
      </c>
      <c r="DJ2101">
        <v>3928</v>
      </c>
      <c r="DK2101">
        <v>300752</v>
      </c>
      <c r="DL2101" t="s">
        <v>120</v>
      </c>
      <c r="DM2101" t="s">
        <v>120</v>
      </c>
      <c r="DN2101" t="s">
        <v>120</v>
      </c>
    </row>
    <row r="2102" spans="1:118">
      <c r="A2102" t="str">
        <f>"300753"</f>
        <v>300753</v>
      </c>
      <c r="B2102" t="s">
        <v>10249</v>
      </c>
      <c r="C2102">
        <v>-0.45</v>
      </c>
      <c r="D2102">
        <v>0</v>
      </c>
      <c r="E2102">
        <v>0.2</v>
      </c>
      <c r="F2102">
        <v>247</v>
      </c>
      <c r="G2102" t="s">
        <v>10250</v>
      </c>
      <c r="H2102">
        <v>1644.16</v>
      </c>
      <c r="I2102">
        <v>0</v>
      </c>
      <c r="J2102" t="s">
        <v>120</v>
      </c>
      <c r="K2102" t="s">
        <v>10250</v>
      </c>
      <c r="L2102">
        <v>1.4</v>
      </c>
      <c r="M2102">
        <v>19.72</v>
      </c>
      <c r="N2102">
        <v>0.99</v>
      </c>
      <c r="O2102">
        <v>1.36</v>
      </c>
      <c r="P2102">
        <v>20.079999999999998</v>
      </c>
      <c r="Q2102">
        <v>-0.45</v>
      </c>
      <c r="R2102">
        <v>19.72</v>
      </c>
      <c r="S2102">
        <v>19.850000000000001</v>
      </c>
      <c r="T2102">
        <v>8283</v>
      </c>
      <c r="U2102">
        <v>19.73</v>
      </c>
      <c r="V2102">
        <v>19.809999999999999</v>
      </c>
      <c r="W2102">
        <v>33.42</v>
      </c>
      <c r="X2102" t="s">
        <v>555</v>
      </c>
      <c r="Y2102" t="s">
        <v>319</v>
      </c>
      <c r="Z2102">
        <v>1.82</v>
      </c>
      <c r="AA2102">
        <v>19.850000000000001</v>
      </c>
      <c r="AB2102">
        <v>4103</v>
      </c>
      <c r="AC2102">
        <v>4180</v>
      </c>
      <c r="AD2102">
        <v>0.98</v>
      </c>
      <c r="AE2102">
        <v>6</v>
      </c>
      <c r="AF2102">
        <v>44</v>
      </c>
      <c r="AG2102" t="s">
        <v>120</v>
      </c>
      <c r="AH2102">
        <v>0</v>
      </c>
      <c r="AI2102" t="s">
        <v>120</v>
      </c>
      <c r="AJ2102">
        <v>0.59</v>
      </c>
      <c r="AK2102" t="s">
        <v>8180</v>
      </c>
      <c r="AL2102">
        <v>1.46</v>
      </c>
      <c r="AM2102">
        <v>704</v>
      </c>
      <c r="AN2102">
        <v>12</v>
      </c>
      <c r="AO2102">
        <v>2E-3</v>
      </c>
      <c r="AP2102">
        <v>-2</v>
      </c>
      <c r="AQ2102">
        <v>-2.5099999999999998</v>
      </c>
      <c r="AR2102">
        <v>-2.48</v>
      </c>
      <c r="AS2102">
        <v>-7.24</v>
      </c>
      <c r="AT2102">
        <v>-10.85</v>
      </c>
      <c r="AU2102">
        <v>-5.34</v>
      </c>
      <c r="AV2102">
        <v>0</v>
      </c>
      <c r="AW2102">
        <v>1.4</v>
      </c>
      <c r="AX2102">
        <v>46.87</v>
      </c>
      <c r="AY2102">
        <v>24.65</v>
      </c>
      <c r="AZ2102">
        <v>25.75</v>
      </c>
      <c r="BA2102">
        <v>0.6</v>
      </c>
      <c r="BB2102" t="s">
        <v>125</v>
      </c>
      <c r="BF2102">
        <v>0.2</v>
      </c>
      <c r="BG2102">
        <v>-0.65</v>
      </c>
      <c r="BH2102">
        <v>-1.79</v>
      </c>
      <c r="BI2102">
        <v>0</v>
      </c>
      <c r="BJ2102">
        <v>20210821</v>
      </c>
      <c r="BK2102">
        <v>20181213</v>
      </c>
      <c r="BL2102">
        <v>1.26</v>
      </c>
      <c r="BM2102" t="s">
        <v>120</v>
      </c>
      <c r="BN2102" t="s">
        <v>120</v>
      </c>
      <c r="BO2102">
        <v>8.24</v>
      </c>
      <c r="BP2102">
        <v>19.72</v>
      </c>
      <c r="BQ2102">
        <v>7.58</v>
      </c>
      <c r="BR2102">
        <v>0.02</v>
      </c>
      <c r="BS2102">
        <v>7.7</v>
      </c>
      <c r="BT2102">
        <v>4.5599999999999996</v>
      </c>
      <c r="BU2102">
        <v>0.69</v>
      </c>
      <c r="BV2102">
        <v>0.36</v>
      </c>
      <c r="BW2102">
        <v>0.56999999999999995</v>
      </c>
      <c r="BX2102">
        <v>2.21</v>
      </c>
      <c r="BY2102">
        <v>0.46</v>
      </c>
      <c r="BZ2102">
        <v>0.99</v>
      </c>
      <c r="CA2102" t="s">
        <v>120</v>
      </c>
      <c r="CB2102">
        <v>3.43</v>
      </c>
      <c r="CC2102">
        <v>2.14</v>
      </c>
      <c r="CD2102">
        <v>0.75</v>
      </c>
      <c r="CE2102">
        <v>0.43</v>
      </c>
      <c r="CF2102">
        <v>-0.01</v>
      </c>
      <c r="CG2102">
        <v>0.43</v>
      </c>
      <c r="CH2102">
        <v>0.37</v>
      </c>
      <c r="CI2102">
        <v>0.37</v>
      </c>
      <c r="CJ2102">
        <v>-0.09</v>
      </c>
      <c r="CK2102">
        <v>0.37</v>
      </c>
      <c r="CL2102">
        <v>2.5299999999999998</v>
      </c>
      <c r="CM2102">
        <v>-0.18</v>
      </c>
      <c r="CN2102">
        <v>-1.67</v>
      </c>
      <c r="CO2102">
        <v>10983</v>
      </c>
      <c r="CP2102">
        <v>5379</v>
      </c>
      <c r="CQ2102" t="s">
        <v>10251</v>
      </c>
      <c r="CR2102">
        <v>13.23</v>
      </c>
      <c r="CS2102">
        <v>59.06</v>
      </c>
      <c r="CT2102">
        <v>3.28</v>
      </c>
      <c r="CU2102">
        <v>-140.94</v>
      </c>
      <c r="CV2102">
        <v>11.63</v>
      </c>
      <c r="CW2102">
        <v>1.26</v>
      </c>
      <c r="CX2102" t="s">
        <v>10252</v>
      </c>
      <c r="CY2102">
        <v>6.02</v>
      </c>
      <c r="CZ2102">
        <v>0</v>
      </c>
      <c r="DA2102">
        <v>2.72</v>
      </c>
      <c r="DB2102">
        <v>2.0099999999999998</v>
      </c>
      <c r="DC2102">
        <v>-0.14000000000000001</v>
      </c>
      <c r="DD2102">
        <v>92.07</v>
      </c>
      <c r="DE2102" t="s">
        <v>619</v>
      </c>
      <c r="DF2102">
        <v>64.959999999999994</v>
      </c>
      <c r="DG2102">
        <v>20.16</v>
      </c>
      <c r="DH2102">
        <v>17.39</v>
      </c>
      <c r="DI2102">
        <v>0.14000000000000001</v>
      </c>
      <c r="DJ2102">
        <v>694</v>
      </c>
      <c r="DK2102">
        <v>300753</v>
      </c>
      <c r="DL2102" t="s">
        <v>120</v>
      </c>
      <c r="DM2102" t="s">
        <v>120</v>
      </c>
      <c r="DN2102" t="s">
        <v>120</v>
      </c>
    </row>
    <row r="2103" spans="1:118">
      <c r="A2103" t="str">
        <f>"300755"</f>
        <v>300755</v>
      </c>
      <c r="B2103" t="s">
        <v>10253</v>
      </c>
      <c r="C2103">
        <v>0.68</v>
      </c>
      <c r="D2103">
        <v>0.03</v>
      </c>
      <c r="E2103">
        <v>-0.92</v>
      </c>
      <c r="F2103">
        <v>635</v>
      </c>
      <c r="G2103" t="s">
        <v>6220</v>
      </c>
      <c r="H2103">
        <v>19912.689999999999</v>
      </c>
      <c r="I2103">
        <v>58.4</v>
      </c>
      <c r="J2103" t="s">
        <v>120</v>
      </c>
      <c r="K2103" t="s">
        <v>10254</v>
      </c>
      <c r="L2103">
        <v>5.6</v>
      </c>
      <c r="M2103">
        <v>29.67</v>
      </c>
      <c r="N2103">
        <v>0.8</v>
      </c>
      <c r="O2103">
        <v>3.05</v>
      </c>
      <c r="P2103">
        <v>30.37</v>
      </c>
      <c r="Q2103">
        <v>-1.43</v>
      </c>
      <c r="R2103">
        <v>29.05</v>
      </c>
      <c r="S2103">
        <v>29.2</v>
      </c>
      <c r="T2103">
        <v>66965</v>
      </c>
      <c r="U2103">
        <v>29.68</v>
      </c>
      <c r="V2103">
        <v>29.47</v>
      </c>
      <c r="W2103">
        <v>16.87</v>
      </c>
      <c r="X2103" t="s">
        <v>221</v>
      </c>
      <c r="Y2103" t="s">
        <v>1006</v>
      </c>
      <c r="Z2103">
        <v>4.4800000000000004</v>
      </c>
      <c r="AA2103">
        <v>29.74</v>
      </c>
      <c r="AB2103">
        <v>34061</v>
      </c>
      <c r="AC2103">
        <v>32904</v>
      </c>
      <c r="AD2103">
        <v>1.04</v>
      </c>
      <c r="AE2103">
        <v>39</v>
      </c>
      <c r="AF2103">
        <v>7</v>
      </c>
      <c r="AG2103" t="s">
        <v>120</v>
      </c>
      <c r="AH2103">
        <v>0.02</v>
      </c>
      <c r="AI2103" t="s">
        <v>120</v>
      </c>
      <c r="AJ2103">
        <v>1.2</v>
      </c>
      <c r="AK2103" t="s">
        <v>10255</v>
      </c>
      <c r="AL2103">
        <v>2.59</v>
      </c>
      <c r="AM2103">
        <v>3451</v>
      </c>
      <c r="AN2103">
        <v>19</v>
      </c>
      <c r="AO2103">
        <v>1.6000000000000001E-3</v>
      </c>
      <c r="AP2103">
        <v>1</v>
      </c>
      <c r="AQ2103">
        <v>-2.2599999999999998</v>
      </c>
      <c r="AR2103">
        <v>-1.01</v>
      </c>
      <c r="AS2103">
        <v>2.1</v>
      </c>
      <c r="AT2103">
        <v>-28.18</v>
      </c>
      <c r="AU2103">
        <v>14.12</v>
      </c>
      <c r="AV2103">
        <v>0</v>
      </c>
      <c r="AW2103">
        <v>5.98</v>
      </c>
      <c r="AX2103">
        <v>26.86</v>
      </c>
      <c r="AY2103">
        <v>23.34</v>
      </c>
      <c r="AZ2103">
        <v>32.92</v>
      </c>
      <c r="BA2103">
        <v>1.19</v>
      </c>
      <c r="BB2103" t="s">
        <v>143</v>
      </c>
      <c r="BF2103">
        <v>0.9</v>
      </c>
      <c r="BG2103">
        <v>1.61</v>
      </c>
      <c r="BH2103">
        <v>-2.2999999999999998</v>
      </c>
      <c r="BI2103">
        <v>2.13</v>
      </c>
      <c r="BJ2103">
        <v>20210827</v>
      </c>
      <c r="BK2103">
        <v>20190129</v>
      </c>
      <c r="BL2103">
        <v>4.17</v>
      </c>
      <c r="BM2103" t="s">
        <v>120</v>
      </c>
      <c r="BN2103" t="s">
        <v>120</v>
      </c>
      <c r="BO2103">
        <v>47.85</v>
      </c>
      <c r="BP2103">
        <v>29.67</v>
      </c>
      <c r="BQ2103">
        <v>31.04</v>
      </c>
      <c r="BR2103">
        <v>0.62</v>
      </c>
      <c r="BS2103">
        <v>33.83</v>
      </c>
      <c r="BT2103">
        <v>45.51</v>
      </c>
      <c r="BU2103">
        <v>0.42</v>
      </c>
      <c r="BV2103">
        <v>7.0000000000000007E-2</v>
      </c>
      <c r="BW2103">
        <v>15.82</v>
      </c>
      <c r="BX2103">
        <v>11.32</v>
      </c>
      <c r="BY2103">
        <v>18.55</v>
      </c>
      <c r="BZ2103">
        <v>1.84</v>
      </c>
      <c r="CA2103" t="s">
        <v>120</v>
      </c>
      <c r="CB2103">
        <v>8.57</v>
      </c>
      <c r="CC2103">
        <v>39.54</v>
      </c>
      <c r="CD2103">
        <v>30.87</v>
      </c>
      <c r="CE2103">
        <v>4.66</v>
      </c>
      <c r="CF2103">
        <v>0.02</v>
      </c>
      <c r="CG2103">
        <v>4.67</v>
      </c>
      <c r="CH2103">
        <v>3.71</v>
      </c>
      <c r="CI2103">
        <v>3.66</v>
      </c>
      <c r="CJ2103">
        <v>0.2</v>
      </c>
      <c r="CK2103">
        <v>3.59</v>
      </c>
      <c r="CL2103">
        <v>17.079999999999998</v>
      </c>
      <c r="CM2103">
        <v>1.1399999999999999</v>
      </c>
      <c r="CN2103">
        <v>-2.14</v>
      </c>
      <c r="CO2103">
        <v>13488</v>
      </c>
      <c r="CP2103">
        <v>8300</v>
      </c>
      <c r="CQ2103" t="s">
        <v>10256</v>
      </c>
      <c r="CR2103">
        <v>71.7</v>
      </c>
      <c r="CS2103">
        <v>67.36</v>
      </c>
      <c r="CT2103">
        <v>3.98</v>
      </c>
      <c r="CU2103">
        <v>108.18</v>
      </c>
      <c r="CV2103">
        <v>3.13</v>
      </c>
      <c r="CW2103">
        <v>0.61</v>
      </c>
      <c r="CX2103" t="s">
        <v>465</v>
      </c>
      <c r="CY2103">
        <v>7.45</v>
      </c>
      <c r="CZ2103">
        <v>0</v>
      </c>
      <c r="DA2103">
        <v>2.06</v>
      </c>
      <c r="DB2103">
        <v>4.0999999999999996</v>
      </c>
      <c r="DC2103">
        <v>0.27</v>
      </c>
      <c r="DD2103">
        <v>64.87</v>
      </c>
      <c r="DE2103" t="s">
        <v>10257</v>
      </c>
      <c r="DF2103">
        <v>21.93</v>
      </c>
      <c r="DG2103">
        <v>11.8</v>
      </c>
      <c r="DH2103">
        <v>9.27</v>
      </c>
      <c r="DI2103" t="s">
        <v>120</v>
      </c>
      <c r="DJ2103">
        <v>1211</v>
      </c>
      <c r="DK2103">
        <v>300755</v>
      </c>
      <c r="DL2103" t="s">
        <v>120</v>
      </c>
      <c r="DM2103" t="s">
        <v>120</v>
      </c>
      <c r="DN2103" t="s">
        <v>120</v>
      </c>
    </row>
    <row r="2104" spans="1:118">
      <c r="A2104" t="str">
        <f>"300756"</f>
        <v>300756</v>
      </c>
      <c r="B2104" t="s">
        <v>10258</v>
      </c>
      <c r="C2104">
        <v>-5.03</v>
      </c>
      <c r="D2104">
        <v>0</v>
      </c>
      <c r="E2104">
        <v>-0.53</v>
      </c>
      <c r="F2104">
        <v>277</v>
      </c>
      <c r="G2104" t="s">
        <v>6641</v>
      </c>
      <c r="H2104">
        <v>5564.74</v>
      </c>
      <c r="I2104">
        <v>15.14</v>
      </c>
      <c r="J2104" t="s">
        <v>120</v>
      </c>
      <c r="K2104" t="s">
        <v>6641</v>
      </c>
      <c r="L2104">
        <v>6.54</v>
      </c>
      <c r="M2104">
        <v>24.92</v>
      </c>
      <c r="N2104">
        <v>0.81</v>
      </c>
      <c r="O2104">
        <v>0.91</v>
      </c>
      <c r="P2104">
        <v>26.48</v>
      </c>
      <c r="Q2104">
        <v>-5.37</v>
      </c>
      <c r="R2104">
        <v>24.83</v>
      </c>
      <c r="S2104">
        <v>26.1</v>
      </c>
      <c r="T2104">
        <v>21797</v>
      </c>
      <c r="U2104">
        <v>24.98</v>
      </c>
      <c r="V2104">
        <v>26.24</v>
      </c>
      <c r="W2104">
        <v>48.89</v>
      </c>
      <c r="X2104" t="s">
        <v>675</v>
      </c>
      <c r="Y2104" t="s">
        <v>547</v>
      </c>
      <c r="Z2104">
        <v>6.29</v>
      </c>
      <c r="AA2104">
        <v>25.53</v>
      </c>
      <c r="AB2104">
        <v>12151</v>
      </c>
      <c r="AC2104">
        <v>9646</v>
      </c>
      <c r="AD2104">
        <v>1.26</v>
      </c>
      <c r="AE2104">
        <v>32</v>
      </c>
      <c r="AF2104">
        <v>47</v>
      </c>
      <c r="AG2104" t="s">
        <v>120</v>
      </c>
      <c r="AH2104">
        <v>0.02</v>
      </c>
      <c r="AI2104" t="s">
        <v>120</v>
      </c>
      <c r="AJ2104">
        <v>0.33</v>
      </c>
      <c r="AK2104" t="s">
        <v>384</v>
      </c>
      <c r="AL2104">
        <v>-3.12</v>
      </c>
      <c r="AM2104">
        <v>1651</v>
      </c>
      <c r="AN2104">
        <v>13</v>
      </c>
      <c r="AO2104">
        <v>4.0000000000000001E-3</v>
      </c>
      <c r="AP2104">
        <v>-3</v>
      </c>
      <c r="AQ2104">
        <v>-1.39</v>
      </c>
      <c r="AR2104">
        <v>-8.15</v>
      </c>
      <c r="AS2104">
        <v>1.63</v>
      </c>
      <c r="AT2104">
        <v>-16.12</v>
      </c>
      <c r="AU2104">
        <v>10.51</v>
      </c>
      <c r="AV2104">
        <v>1</v>
      </c>
      <c r="AW2104">
        <v>6.54</v>
      </c>
      <c r="AX2104">
        <v>32.83</v>
      </c>
      <c r="AY2104">
        <v>199.21</v>
      </c>
      <c r="AZ2104" t="s">
        <v>120</v>
      </c>
      <c r="BA2104">
        <v>0.56999999999999995</v>
      </c>
      <c r="BB2104" t="s">
        <v>143</v>
      </c>
      <c r="BF2104">
        <v>-2.71</v>
      </c>
      <c r="BG2104">
        <v>-4.5199999999999996</v>
      </c>
      <c r="BH2104">
        <v>-5.89</v>
      </c>
      <c r="BI2104">
        <v>0.36</v>
      </c>
      <c r="BJ2104">
        <v>20210827</v>
      </c>
      <c r="BK2104">
        <v>20181228</v>
      </c>
      <c r="BL2104">
        <v>1.02</v>
      </c>
      <c r="BM2104" t="s">
        <v>120</v>
      </c>
      <c r="BN2104" t="s">
        <v>120</v>
      </c>
      <c r="BO2104">
        <v>18.11</v>
      </c>
      <c r="BP2104">
        <v>24.92</v>
      </c>
      <c r="BQ2104">
        <v>10.48</v>
      </c>
      <c r="BR2104">
        <v>0.15</v>
      </c>
      <c r="BS2104">
        <v>41.35</v>
      </c>
      <c r="BT2104">
        <v>14.53</v>
      </c>
      <c r="BU2104">
        <v>2.2999999999999998</v>
      </c>
      <c r="BV2104">
        <v>0.89</v>
      </c>
      <c r="BW2104">
        <v>6.88</v>
      </c>
      <c r="BX2104">
        <v>6.6</v>
      </c>
      <c r="BY2104">
        <v>3.18</v>
      </c>
      <c r="BZ2104">
        <v>1.26</v>
      </c>
      <c r="CA2104" t="s">
        <v>120</v>
      </c>
      <c r="CB2104">
        <v>4.54</v>
      </c>
      <c r="CC2104">
        <v>2.74</v>
      </c>
      <c r="CD2104">
        <v>1.29</v>
      </c>
      <c r="CE2104">
        <v>0.28999999999999998</v>
      </c>
      <c r="CF2104">
        <v>0.04</v>
      </c>
      <c r="CG2104">
        <v>0.28999999999999998</v>
      </c>
      <c r="CH2104">
        <v>0.25</v>
      </c>
      <c r="CI2104">
        <v>0.26</v>
      </c>
      <c r="CJ2104">
        <v>-1.32</v>
      </c>
      <c r="CK2104">
        <v>0.22</v>
      </c>
      <c r="CL2104">
        <v>4.63</v>
      </c>
      <c r="CM2104">
        <v>-0.12</v>
      </c>
      <c r="CN2104">
        <v>-0.39</v>
      </c>
      <c r="CO2104">
        <v>5478</v>
      </c>
      <c r="CP2104">
        <v>6088</v>
      </c>
      <c r="CQ2104" t="s">
        <v>7687</v>
      </c>
      <c r="CR2104">
        <v>438.65</v>
      </c>
      <c r="CS2104">
        <v>85.56</v>
      </c>
      <c r="CT2104">
        <v>2.42</v>
      </c>
      <c r="CU2104">
        <v>-212.51</v>
      </c>
      <c r="CV2104">
        <v>9.23</v>
      </c>
      <c r="CW2104">
        <v>0</v>
      </c>
      <c r="CX2104" t="s">
        <v>863</v>
      </c>
      <c r="CY2104">
        <v>10.31</v>
      </c>
      <c r="CZ2104">
        <v>0</v>
      </c>
      <c r="DA2104">
        <v>4.47</v>
      </c>
      <c r="DB2104">
        <v>4.5599999999999996</v>
      </c>
      <c r="DC2104">
        <v>-0.12</v>
      </c>
      <c r="DD2104">
        <v>57.84</v>
      </c>
      <c r="DE2104" t="s">
        <v>427</v>
      </c>
      <c r="DF2104">
        <v>52.85</v>
      </c>
      <c r="DG2104">
        <v>10.76</v>
      </c>
      <c r="DH2104">
        <v>9.44</v>
      </c>
      <c r="DI2104">
        <v>0.55000000000000004</v>
      </c>
      <c r="DJ2104">
        <v>1014</v>
      </c>
      <c r="DK2104">
        <v>300756</v>
      </c>
      <c r="DL2104" t="s">
        <v>120</v>
      </c>
      <c r="DM2104" t="s">
        <v>120</v>
      </c>
      <c r="DN2104" t="s">
        <v>120</v>
      </c>
    </row>
    <row r="2105" spans="1:118">
      <c r="A2105" t="str">
        <f>"300757"</f>
        <v>300757</v>
      </c>
      <c r="B2105" t="s">
        <v>10259</v>
      </c>
      <c r="C2105">
        <v>-3.94</v>
      </c>
      <c r="D2105">
        <v>0</v>
      </c>
      <c r="E2105">
        <v>0.84</v>
      </c>
      <c r="F2105">
        <v>276</v>
      </c>
      <c r="G2105" t="s">
        <v>10260</v>
      </c>
      <c r="H2105">
        <v>6096</v>
      </c>
      <c r="I2105">
        <v>26.87</v>
      </c>
      <c r="J2105" t="s">
        <v>120</v>
      </c>
      <c r="K2105" t="s">
        <v>6027</v>
      </c>
      <c r="L2105">
        <v>2.73</v>
      </c>
      <c r="M2105">
        <v>39.99</v>
      </c>
      <c r="N2105">
        <v>1.06</v>
      </c>
      <c r="O2105">
        <v>1.66</v>
      </c>
      <c r="P2105">
        <v>42.32</v>
      </c>
      <c r="Q2105">
        <v>-4.13</v>
      </c>
      <c r="R2105">
        <v>39.909999999999997</v>
      </c>
      <c r="S2105">
        <v>41.98</v>
      </c>
      <c r="T2105">
        <v>15004</v>
      </c>
      <c r="U2105">
        <v>39.99</v>
      </c>
      <c r="V2105">
        <v>41.63</v>
      </c>
      <c r="W2105">
        <v>60.4</v>
      </c>
      <c r="X2105" t="s">
        <v>675</v>
      </c>
      <c r="Y2105" t="s">
        <v>319</v>
      </c>
      <c r="Z2105">
        <v>5.79</v>
      </c>
      <c r="AA2105">
        <v>40.630000000000003</v>
      </c>
      <c r="AB2105">
        <v>10189</v>
      </c>
      <c r="AC2105">
        <v>4815</v>
      </c>
      <c r="AD2105">
        <v>2.12</v>
      </c>
      <c r="AE2105">
        <v>42</v>
      </c>
      <c r="AF2105">
        <v>2</v>
      </c>
      <c r="AG2105" t="s">
        <v>120</v>
      </c>
      <c r="AH2105">
        <v>0.01</v>
      </c>
      <c r="AI2105" t="s">
        <v>120</v>
      </c>
      <c r="AJ2105">
        <v>0.55000000000000004</v>
      </c>
      <c r="AK2105" t="s">
        <v>1811</v>
      </c>
      <c r="AL2105">
        <v>-2.0299999999999998</v>
      </c>
      <c r="AM2105">
        <v>1433</v>
      </c>
      <c r="AN2105">
        <v>10</v>
      </c>
      <c r="AO2105">
        <v>1.9E-3</v>
      </c>
      <c r="AP2105">
        <v>-1</v>
      </c>
      <c r="AQ2105">
        <v>1.31</v>
      </c>
      <c r="AR2105">
        <v>-4.1500000000000004</v>
      </c>
      <c r="AS2105">
        <v>-15.88</v>
      </c>
      <c r="AT2105">
        <v>8.2899999999999991</v>
      </c>
      <c r="AU2105">
        <v>6.3</v>
      </c>
      <c r="AV2105">
        <v>1</v>
      </c>
      <c r="AW2105">
        <v>3.38</v>
      </c>
      <c r="AX2105">
        <v>42.74</v>
      </c>
      <c r="AY2105" t="s">
        <v>120</v>
      </c>
      <c r="AZ2105" t="s">
        <v>120</v>
      </c>
      <c r="BA2105">
        <v>1.36</v>
      </c>
      <c r="BB2105" t="s">
        <v>143</v>
      </c>
      <c r="BF2105">
        <v>-2.4</v>
      </c>
      <c r="BG2105">
        <v>-4.74</v>
      </c>
      <c r="BH2105">
        <v>-5.51</v>
      </c>
      <c r="BI2105">
        <v>0.2</v>
      </c>
      <c r="BJ2105">
        <v>20210826</v>
      </c>
      <c r="BK2105">
        <v>20190108</v>
      </c>
      <c r="BL2105">
        <v>1.04</v>
      </c>
      <c r="BM2105" t="s">
        <v>120</v>
      </c>
      <c r="BN2105" t="s">
        <v>120</v>
      </c>
      <c r="BO2105">
        <v>21.82</v>
      </c>
      <c r="BP2105">
        <v>39.979999999999997</v>
      </c>
      <c r="BQ2105">
        <v>7.3</v>
      </c>
      <c r="BR2105">
        <v>0</v>
      </c>
      <c r="BS2105">
        <v>66.55</v>
      </c>
      <c r="BT2105">
        <v>16.34</v>
      </c>
      <c r="BU2105">
        <v>2.35</v>
      </c>
      <c r="BV2105">
        <v>0.48</v>
      </c>
      <c r="BW2105">
        <v>13.82</v>
      </c>
      <c r="BX2105">
        <v>1.69</v>
      </c>
      <c r="BY2105">
        <v>7.84</v>
      </c>
      <c r="BZ2105">
        <v>3.37</v>
      </c>
      <c r="CA2105" t="s">
        <v>120</v>
      </c>
      <c r="CB2105">
        <v>3.42</v>
      </c>
      <c r="CC2105">
        <v>4.91</v>
      </c>
      <c r="CD2105">
        <v>3.69</v>
      </c>
      <c r="CE2105">
        <v>0.37</v>
      </c>
      <c r="CF2105">
        <v>0.02</v>
      </c>
      <c r="CG2105">
        <v>0.37</v>
      </c>
      <c r="CH2105">
        <v>0.35</v>
      </c>
      <c r="CI2105">
        <v>0.34</v>
      </c>
      <c r="CJ2105">
        <v>-1.64</v>
      </c>
      <c r="CK2105">
        <v>0.33</v>
      </c>
      <c r="CL2105">
        <v>2.5099999999999998</v>
      </c>
      <c r="CM2105">
        <v>-1.22</v>
      </c>
      <c r="CN2105">
        <v>0.19</v>
      </c>
      <c r="CO2105">
        <v>4961</v>
      </c>
      <c r="CP2105">
        <v>8959</v>
      </c>
      <c r="CQ2105" t="s">
        <v>10261</v>
      </c>
      <c r="CR2105">
        <v>215.56</v>
      </c>
      <c r="CS2105">
        <v>85.27</v>
      </c>
      <c r="CT2105">
        <v>5.7</v>
      </c>
      <c r="CU2105">
        <v>-34.01</v>
      </c>
      <c r="CV2105">
        <v>8.4700000000000006</v>
      </c>
      <c r="CW2105">
        <v>0</v>
      </c>
      <c r="CX2105" t="s">
        <v>2443</v>
      </c>
      <c r="CY2105">
        <v>7.02</v>
      </c>
      <c r="CZ2105">
        <v>0</v>
      </c>
      <c r="DA2105">
        <v>3.29</v>
      </c>
      <c r="DB2105">
        <v>2.41</v>
      </c>
      <c r="DC2105">
        <v>-1.18</v>
      </c>
      <c r="DD2105">
        <v>33.43</v>
      </c>
      <c r="DE2105" t="s">
        <v>2571</v>
      </c>
      <c r="DF2105">
        <v>24.95</v>
      </c>
      <c r="DG2105">
        <v>7.47</v>
      </c>
      <c r="DH2105">
        <v>7.01</v>
      </c>
      <c r="DI2105">
        <v>0.2</v>
      </c>
      <c r="DJ2105">
        <v>668</v>
      </c>
      <c r="DK2105">
        <v>300757</v>
      </c>
      <c r="DL2105" t="s">
        <v>120</v>
      </c>
      <c r="DM2105" t="s">
        <v>120</v>
      </c>
      <c r="DN2105" t="s">
        <v>120</v>
      </c>
    </row>
    <row r="2106" spans="1:118">
      <c r="A2106" t="str">
        <f>"300758"</f>
        <v>300758</v>
      </c>
      <c r="B2106" t="s">
        <v>10262</v>
      </c>
      <c r="C2106">
        <v>1.72</v>
      </c>
      <c r="D2106">
        <v>0.03</v>
      </c>
      <c r="E2106">
        <v>0.86</v>
      </c>
      <c r="F2106">
        <v>792</v>
      </c>
      <c r="G2106" t="s">
        <v>7902</v>
      </c>
      <c r="H2106">
        <v>27291.200000000001</v>
      </c>
      <c r="I2106">
        <v>127.59</v>
      </c>
      <c r="J2106" t="s">
        <v>120</v>
      </c>
      <c r="K2106" t="s">
        <v>10263</v>
      </c>
      <c r="L2106">
        <v>7.6</v>
      </c>
      <c r="M2106">
        <v>29.58</v>
      </c>
      <c r="N2106">
        <v>2.15</v>
      </c>
      <c r="O2106">
        <v>5.81</v>
      </c>
      <c r="P2106">
        <v>30.77</v>
      </c>
      <c r="Q2106">
        <v>0</v>
      </c>
      <c r="R2106">
        <v>29.08</v>
      </c>
      <c r="S2106">
        <v>29.33</v>
      </c>
      <c r="T2106">
        <v>91267</v>
      </c>
      <c r="U2106">
        <v>29.58</v>
      </c>
      <c r="V2106">
        <v>29.08</v>
      </c>
      <c r="W2106">
        <v>31.6</v>
      </c>
      <c r="X2106" t="s">
        <v>1145</v>
      </c>
      <c r="Y2106" t="s">
        <v>432</v>
      </c>
      <c r="Z2106">
        <v>5.81</v>
      </c>
      <c r="AA2106">
        <v>29.9</v>
      </c>
      <c r="AB2106">
        <v>43702</v>
      </c>
      <c r="AC2106">
        <v>47565</v>
      </c>
      <c r="AD2106">
        <v>0.92</v>
      </c>
      <c r="AE2106">
        <v>29</v>
      </c>
      <c r="AF2106">
        <v>71</v>
      </c>
      <c r="AG2106" t="s">
        <v>120</v>
      </c>
      <c r="AH2106">
        <v>0.04</v>
      </c>
      <c r="AI2106" t="s">
        <v>120</v>
      </c>
      <c r="AJ2106">
        <v>1.2</v>
      </c>
      <c r="AK2106" t="s">
        <v>10264</v>
      </c>
      <c r="AL2106">
        <v>3.63</v>
      </c>
      <c r="AM2106">
        <v>3119</v>
      </c>
      <c r="AN2106">
        <v>29</v>
      </c>
      <c r="AO2106">
        <v>2.3999999999999998E-3</v>
      </c>
      <c r="AP2106">
        <v>2</v>
      </c>
      <c r="AQ2106">
        <v>1.71</v>
      </c>
      <c r="AR2106">
        <v>2.6</v>
      </c>
      <c r="AS2106">
        <v>17.989999999999998</v>
      </c>
      <c r="AT2106">
        <v>28.89</v>
      </c>
      <c r="AU2106">
        <v>29.57</v>
      </c>
      <c r="AV2106">
        <v>1</v>
      </c>
      <c r="AW2106">
        <v>7.94</v>
      </c>
      <c r="AX2106">
        <v>47.63</v>
      </c>
      <c r="AY2106">
        <v>35.68</v>
      </c>
      <c r="AZ2106">
        <v>40.01</v>
      </c>
      <c r="BA2106">
        <v>0.71</v>
      </c>
      <c r="BB2106" t="s">
        <v>143</v>
      </c>
      <c r="BF2106">
        <v>2.83</v>
      </c>
      <c r="BG2106">
        <v>0.85</v>
      </c>
      <c r="BH2106">
        <v>-3.87</v>
      </c>
      <c r="BI2106">
        <v>1.72</v>
      </c>
      <c r="BJ2106">
        <v>20210826</v>
      </c>
      <c r="BK2106">
        <v>20190222</v>
      </c>
      <c r="BL2106">
        <v>2.41</v>
      </c>
      <c r="BM2106" t="s">
        <v>120</v>
      </c>
      <c r="BN2106" t="s">
        <v>120</v>
      </c>
      <c r="BO2106">
        <v>24.16</v>
      </c>
      <c r="BP2106">
        <v>29.57</v>
      </c>
      <c r="BQ2106">
        <v>17.52</v>
      </c>
      <c r="BR2106">
        <v>0.56000000000000005</v>
      </c>
      <c r="BS2106">
        <v>25.15</v>
      </c>
      <c r="BT2106">
        <v>12.56</v>
      </c>
      <c r="BU2106">
        <v>5.16</v>
      </c>
      <c r="BV2106">
        <v>1.1100000000000001</v>
      </c>
      <c r="BW2106">
        <v>5.16</v>
      </c>
      <c r="BX2106">
        <v>5.0199999999999996</v>
      </c>
      <c r="BY2106">
        <v>2.93</v>
      </c>
      <c r="BZ2106">
        <v>2.09</v>
      </c>
      <c r="CA2106" t="s">
        <v>120</v>
      </c>
      <c r="CB2106">
        <v>10.11</v>
      </c>
      <c r="CC2106">
        <v>6.1</v>
      </c>
      <c r="CD2106">
        <v>4.09</v>
      </c>
      <c r="CE2106">
        <v>1.27</v>
      </c>
      <c r="CF2106">
        <v>0</v>
      </c>
      <c r="CG2106">
        <v>1.43</v>
      </c>
      <c r="CH2106">
        <v>1.27</v>
      </c>
      <c r="CI2106">
        <v>1.1299999999999999</v>
      </c>
      <c r="CJ2106">
        <v>0.5</v>
      </c>
      <c r="CK2106">
        <v>0.83</v>
      </c>
      <c r="CL2106">
        <v>5.25</v>
      </c>
      <c r="CM2106">
        <v>0.63</v>
      </c>
      <c r="CN2106">
        <v>2.82</v>
      </c>
      <c r="CO2106">
        <v>14731</v>
      </c>
      <c r="CP2106">
        <v>7806</v>
      </c>
      <c r="CQ2106" t="s">
        <v>10265</v>
      </c>
      <c r="CR2106">
        <v>23.22</v>
      </c>
      <c r="CS2106">
        <v>43.46</v>
      </c>
      <c r="CT2106">
        <v>4.07</v>
      </c>
      <c r="CU2106">
        <v>113.66</v>
      </c>
      <c r="CV2106">
        <v>11.7</v>
      </c>
      <c r="CW2106">
        <v>1.69</v>
      </c>
      <c r="CX2106" t="s">
        <v>1426</v>
      </c>
      <c r="CY2106">
        <v>7.26</v>
      </c>
      <c r="CZ2106">
        <v>0</v>
      </c>
      <c r="DA2106">
        <v>4.1900000000000004</v>
      </c>
      <c r="DB2106">
        <v>2.1800000000000002</v>
      </c>
      <c r="DC2106">
        <v>0.26</v>
      </c>
      <c r="DD2106">
        <v>72.53</v>
      </c>
      <c r="DE2106" t="s">
        <v>9622</v>
      </c>
      <c r="DF2106">
        <v>33.049999999999997</v>
      </c>
      <c r="DG2106">
        <v>20.8</v>
      </c>
      <c r="DH2106">
        <v>18.52</v>
      </c>
      <c r="DI2106">
        <v>0.35</v>
      </c>
      <c r="DJ2106">
        <v>1418</v>
      </c>
      <c r="DK2106">
        <v>300758</v>
      </c>
      <c r="DL2106" t="s">
        <v>120</v>
      </c>
      <c r="DM2106" t="s">
        <v>120</v>
      </c>
      <c r="DN2106" t="s">
        <v>120</v>
      </c>
    </row>
    <row r="2107" spans="1:118">
      <c r="A2107" t="str">
        <f>"300759"</f>
        <v>300759</v>
      </c>
      <c r="B2107" t="s">
        <v>10266</v>
      </c>
      <c r="C2107">
        <v>0</v>
      </c>
      <c r="D2107">
        <v>0.05</v>
      </c>
      <c r="E2107">
        <v>-0.9</v>
      </c>
      <c r="F2107">
        <v>453</v>
      </c>
      <c r="G2107" t="s">
        <v>10267</v>
      </c>
      <c r="H2107">
        <v>59465.31</v>
      </c>
      <c r="I2107">
        <v>430.77</v>
      </c>
      <c r="J2107" t="s">
        <v>120</v>
      </c>
      <c r="K2107" t="s">
        <v>10268</v>
      </c>
      <c r="L2107">
        <v>1</v>
      </c>
      <c r="M2107">
        <v>210</v>
      </c>
      <c r="N2107">
        <v>0.97</v>
      </c>
      <c r="O2107">
        <v>1.33</v>
      </c>
      <c r="P2107">
        <v>212.8</v>
      </c>
      <c r="Q2107">
        <v>-2.81</v>
      </c>
      <c r="R2107">
        <v>204.1</v>
      </c>
      <c r="S2107">
        <v>208.1</v>
      </c>
      <c r="T2107">
        <v>28453</v>
      </c>
      <c r="U2107">
        <v>210.02</v>
      </c>
      <c r="V2107">
        <v>210</v>
      </c>
      <c r="W2107">
        <v>147.66999999999999</v>
      </c>
      <c r="X2107" t="s">
        <v>569</v>
      </c>
      <c r="Y2107" t="s">
        <v>158</v>
      </c>
      <c r="Z2107">
        <v>4.1399999999999997</v>
      </c>
      <c r="AA2107">
        <v>208.99</v>
      </c>
      <c r="AB2107">
        <v>14077</v>
      </c>
      <c r="AC2107">
        <v>14376</v>
      </c>
      <c r="AD2107">
        <v>0.98</v>
      </c>
      <c r="AE2107">
        <v>294</v>
      </c>
      <c r="AF2107">
        <v>3</v>
      </c>
      <c r="AG2107" t="s">
        <v>120</v>
      </c>
      <c r="AH2107">
        <v>0.01</v>
      </c>
      <c r="AI2107" t="s">
        <v>120</v>
      </c>
      <c r="AJ2107">
        <v>2.85</v>
      </c>
      <c r="AK2107" t="s">
        <v>10269</v>
      </c>
      <c r="AL2107">
        <v>1.91</v>
      </c>
      <c r="AM2107">
        <v>3315</v>
      </c>
      <c r="AN2107">
        <v>9</v>
      </c>
      <c r="AO2107">
        <v>2.9999999999999997E-4</v>
      </c>
      <c r="AP2107">
        <v>0</v>
      </c>
      <c r="AQ2107">
        <v>2.5</v>
      </c>
      <c r="AR2107">
        <v>9.08</v>
      </c>
      <c r="AS2107">
        <v>8.6999999999999993</v>
      </c>
      <c r="AT2107">
        <v>0.69</v>
      </c>
      <c r="AU2107">
        <v>74.849999999999994</v>
      </c>
      <c r="AV2107">
        <v>0</v>
      </c>
      <c r="AW2107">
        <v>1.22</v>
      </c>
      <c r="AX2107">
        <v>35.25</v>
      </c>
      <c r="AY2107">
        <v>132.58000000000001</v>
      </c>
      <c r="AZ2107">
        <v>142.29</v>
      </c>
      <c r="BA2107">
        <v>1.99</v>
      </c>
      <c r="BB2107" t="s">
        <v>143</v>
      </c>
      <c r="BF2107">
        <v>-0.48</v>
      </c>
      <c r="BG2107">
        <v>0.91</v>
      </c>
      <c r="BH2107">
        <v>-1.32</v>
      </c>
      <c r="BI2107">
        <v>2.89</v>
      </c>
      <c r="BJ2107">
        <v>20210830</v>
      </c>
      <c r="BK2107">
        <v>20190128</v>
      </c>
      <c r="BL2107">
        <v>7.94</v>
      </c>
      <c r="BM2107" t="s">
        <v>120</v>
      </c>
      <c r="BN2107">
        <v>1.34</v>
      </c>
      <c r="BO2107">
        <v>170.38</v>
      </c>
      <c r="BP2107">
        <v>210</v>
      </c>
      <c r="BQ2107">
        <v>93.67</v>
      </c>
      <c r="BR2107">
        <v>1.37</v>
      </c>
      <c r="BS2107">
        <v>44.22</v>
      </c>
      <c r="BT2107">
        <v>88.18</v>
      </c>
      <c r="BU2107">
        <v>33.92</v>
      </c>
      <c r="BV2107">
        <v>6.54</v>
      </c>
      <c r="BW2107">
        <v>25.16</v>
      </c>
      <c r="BX2107">
        <v>59.69</v>
      </c>
      <c r="BY2107">
        <v>4.45</v>
      </c>
      <c r="BZ2107">
        <v>11.27</v>
      </c>
      <c r="CA2107" t="s">
        <v>120</v>
      </c>
      <c r="CB2107">
        <v>60.53</v>
      </c>
      <c r="CC2107">
        <v>32.86</v>
      </c>
      <c r="CD2107">
        <v>20.93</v>
      </c>
      <c r="CE2107">
        <v>6.7</v>
      </c>
      <c r="CF2107">
        <v>1.32</v>
      </c>
      <c r="CG2107">
        <v>6.66</v>
      </c>
      <c r="CH2107">
        <v>5.47</v>
      </c>
      <c r="CI2107">
        <v>5.65</v>
      </c>
      <c r="CJ2107">
        <v>0</v>
      </c>
      <c r="CK2107">
        <v>5.83</v>
      </c>
      <c r="CL2107">
        <v>22.56</v>
      </c>
      <c r="CM2107">
        <v>8.4499999999999993</v>
      </c>
      <c r="CN2107">
        <v>25.58</v>
      </c>
      <c r="CO2107">
        <v>27491</v>
      </c>
      <c r="CP2107">
        <v>8467</v>
      </c>
      <c r="CQ2107" t="s">
        <v>10270</v>
      </c>
      <c r="CR2107">
        <v>17.93</v>
      </c>
      <c r="CS2107">
        <v>49.81</v>
      </c>
      <c r="CT2107">
        <v>18.2</v>
      </c>
      <c r="CU2107">
        <v>197.41</v>
      </c>
      <c r="CV2107">
        <v>50.77</v>
      </c>
      <c r="CW2107">
        <v>0.14000000000000001</v>
      </c>
      <c r="CX2107" t="s">
        <v>4948</v>
      </c>
      <c r="CY2107">
        <v>11.54</v>
      </c>
      <c r="CZ2107">
        <v>11.54</v>
      </c>
      <c r="DA2107">
        <v>7.62</v>
      </c>
      <c r="DB2107">
        <v>2.84</v>
      </c>
      <c r="DC2107">
        <v>1.06</v>
      </c>
      <c r="DD2107">
        <v>54.98</v>
      </c>
      <c r="DE2107" t="s">
        <v>1934</v>
      </c>
      <c r="DF2107">
        <v>36.31</v>
      </c>
      <c r="DG2107">
        <v>20.38</v>
      </c>
      <c r="DH2107">
        <v>17.190000000000001</v>
      </c>
      <c r="DI2107">
        <v>0.64</v>
      </c>
      <c r="DJ2107">
        <v>12776</v>
      </c>
      <c r="DK2107">
        <v>300759</v>
      </c>
      <c r="DL2107" t="s">
        <v>120</v>
      </c>
      <c r="DM2107" t="s">
        <v>120</v>
      </c>
      <c r="DN2107" t="s">
        <v>120</v>
      </c>
    </row>
    <row r="2108" spans="1:118">
      <c r="A2108" t="str">
        <f>"300760"</f>
        <v>300760</v>
      </c>
      <c r="B2108" t="s">
        <v>10271</v>
      </c>
      <c r="C2108">
        <v>1.68</v>
      </c>
      <c r="D2108">
        <v>-0.52</v>
      </c>
      <c r="E2108">
        <v>-0.15</v>
      </c>
      <c r="F2108">
        <v>962</v>
      </c>
      <c r="G2108" t="s">
        <v>10272</v>
      </c>
      <c r="H2108">
        <v>205168.63</v>
      </c>
      <c r="I2108">
        <v>619.91999999999996</v>
      </c>
      <c r="J2108" t="s">
        <v>120</v>
      </c>
      <c r="K2108" t="s">
        <v>10273</v>
      </c>
      <c r="L2108">
        <v>1.23</v>
      </c>
      <c r="M2108">
        <v>334.01</v>
      </c>
      <c r="N2108">
        <v>1.06</v>
      </c>
      <c r="O2108">
        <v>4.8499999999999996</v>
      </c>
      <c r="P2108">
        <v>344.42</v>
      </c>
      <c r="Q2108">
        <v>-1.1200000000000001</v>
      </c>
      <c r="R2108">
        <v>324.83</v>
      </c>
      <c r="S2108">
        <v>328</v>
      </c>
      <c r="T2108">
        <v>61295</v>
      </c>
      <c r="U2108">
        <v>334.03</v>
      </c>
      <c r="V2108">
        <v>328.5</v>
      </c>
      <c r="W2108">
        <v>46.73</v>
      </c>
      <c r="X2108" t="s">
        <v>555</v>
      </c>
      <c r="Y2108" t="s">
        <v>123</v>
      </c>
      <c r="Z2108">
        <v>5.96</v>
      </c>
      <c r="AA2108">
        <v>334.72</v>
      </c>
      <c r="AB2108">
        <v>27287</v>
      </c>
      <c r="AC2108">
        <v>34008</v>
      </c>
      <c r="AD2108">
        <v>0.8</v>
      </c>
      <c r="AE2108">
        <v>21</v>
      </c>
      <c r="AF2108">
        <v>2</v>
      </c>
      <c r="AG2108" t="s">
        <v>120</v>
      </c>
      <c r="AH2108">
        <v>0</v>
      </c>
      <c r="AI2108" t="s">
        <v>120</v>
      </c>
      <c r="AJ2108">
        <v>4.99</v>
      </c>
      <c r="AK2108" t="s">
        <v>10274</v>
      </c>
      <c r="AL2108">
        <v>3.59</v>
      </c>
      <c r="AM2108">
        <v>4399</v>
      </c>
      <c r="AN2108">
        <v>14</v>
      </c>
      <c r="AO2108">
        <v>2.9999999999999997E-4</v>
      </c>
      <c r="AP2108">
        <v>1</v>
      </c>
      <c r="AQ2108">
        <v>-3.13</v>
      </c>
      <c r="AR2108">
        <v>-0.7</v>
      </c>
      <c r="AS2108">
        <v>-0.38</v>
      </c>
      <c r="AT2108">
        <v>-27.69</v>
      </c>
      <c r="AU2108">
        <v>-21.13</v>
      </c>
      <c r="AV2108">
        <v>0</v>
      </c>
      <c r="AW2108">
        <v>1.49</v>
      </c>
      <c r="AX2108">
        <v>33.93</v>
      </c>
      <c r="AY2108">
        <v>52.91</v>
      </c>
      <c r="AZ2108">
        <v>59.98</v>
      </c>
      <c r="BA2108">
        <v>1.73</v>
      </c>
      <c r="BB2108" t="s">
        <v>143</v>
      </c>
      <c r="BF2108">
        <v>1.89</v>
      </c>
      <c r="BG2108">
        <v>1.83</v>
      </c>
      <c r="BH2108">
        <v>-3.02</v>
      </c>
      <c r="BI2108">
        <v>2.83</v>
      </c>
      <c r="BJ2108">
        <v>20210826</v>
      </c>
      <c r="BK2108">
        <v>20181016</v>
      </c>
      <c r="BL2108">
        <v>12.16</v>
      </c>
      <c r="BM2108" t="s">
        <v>120</v>
      </c>
      <c r="BN2108" t="s">
        <v>120</v>
      </c>
      <c r="BO2108">
        <v>339.05</v>
      </c>
      <c r="BP2108">
        <v>334.01</v>
      </c>
      <c r="BQ2108">
        <v>245.55</v>
      </c>
      <c r="BR2108">
        <v>0.14000000000000001</v>
      </c>
      <c r="BS2108">
        <v>27.54</v>
      </c>
      <c r="BT2108">
        <v>216.53</v>
      </c>
      <c r="BU2108">
        <v>33.71</v>
      </c>
      <c r="BV2108">
        <v>10.85</v>
      </c>
      <c r="BW2108">
        <v>78.27</v>
      </c>
      <c r="BX2108">
        <v>156.36000000000001</v>
      </c>
      <c r="BY2108">
        <v>33.68</v>
      </c>
      <c r="BZ2108">
        <v>18.7</v>
      </c>
      <c r="CA2108" t="s">
        <v>120</v>
      </c>
      <c r="CB2108">
        <v>81.53</v>
      </c>
      <c r="CC2108">
        <v>127.78</v>
      </c>
      <c r="CD2108">
        <v>43.99</v>
      </c>
      <c r="CE2108">
        <v>49.22</v>
      </c>
      <c r="CF2108">
        <v>-0.02</v>
      </c>
      <c r="CG2108">
        <v>49.16</v>
      </c>
      <c r="CH2108">
        <v>43.46</v>
      </c>
      <c r="CI2108">
        <v>43.44</v>
      </c>
      <c r="CJ2108">
        <v>5.51</v>
      </c>
      <c r="CK2108">
        <v>43.09</v>
      </c>
      <c r="CL2108">
        <v>147.29</v>
      </c>
      <c r="CM2108">
        <v>35.229999999999997</v>
      </c>
      <c r="CN2108">
        <v>-1.76</v>
      </c>
      <c r="CO2108">
        <v>65003</v>
      </c>
      <c r="CP2108">
        <v>6345</v>
      </c>
      <c r="CQ2108" t="s">
        <v>10275</v>
      </c>
      <c r="CR2108">
        <v>25.79</v>
      </c>
      <c r="CS2108">
        <v>20.96</v>
      </c>
      <c r="CT2108">
        <v>16.54</v>
      </c>
      <c r="CU2108">
        <v>115.26</v>
      </c>
      <c r="CV2108">
        <v>31.78</v>
      </c>
      <c r="CW2108">
        <v>0.76</v>
      </c>
      <c r="CX2108" t="s">
        <v>10276</v>
      </c>
      <c r="CY2108">
        <v>20.2</v>
      </c>
      <c r="CZ2108">
        <v>0</v>
      </c>
      <c r="DA2108">
        <v>6.71</v>
      </c>
      <c r="DB2108">
        <v>12.12</v>
      </c>
      <c r="DC2108">
        <v>2.9</v>
      </c>
      <c r="DD2108">
        <v>72.42</v>
      </c>
      <c r="DE2108" t="s">
        <v>10277</v>
      </c>
      <c r="DF2108">
        <v>65.569999999999993</v>
      </c>
      <c r="DG2108">
        <v>38.520000000000003</v>
      </c>
      <c r="DH2108">
        <v>34</v>
      </c>
      <c r="DI2108">
        <v>10.61</v>
      </c>
      <c r="DJ2108">
        <v>11833</v>
      </c>
      <c r="DK2108">
        <v>300760</v>
      </c>
      <c r="DL2108" t="s">
        <v>120</v>
      </c>
      <c r="DM2108" t="s">
        <v>120</v>
      </c>
      <c r="DN2108" t="s">
        <v>120</v>
      </c>
    </row>
    <row r="2109" spans="1:118">
      <c r="A2109" t="str">
        <f>"300761"</f>
        <v>300761</v>
      </c>
      <c r="B2109" t="s">
        <v>10278</v>
      </c>
      <c r="C2109">
        <v>7</v>
      </c>
      <c r="D2109">
        <v>0.36</v>
      </c>
      <c r="E2109">
        <v>0.19</v>
      </c>
      <c r="F2109">
        <v>812</v>
      </c>
      <c r="G2109" t="s">
        <v>10279</v>
      </c>
      <c r="H2109">
        <v>24220.63</v>
      </c>
      <c r="I2109">
        <v>2.08</v>
      </c>
      <c r="J2109" t="s">
        <v>120</v>
      </c>
      <c r="K2109" t="s">
        <v>10279</v>
      </c>
      <c r="L2109">
        <v>7.24</v>
      </c>
      <c r="M2109">
        <v>27.82</v>
      </c>
      <c r="N2109">
        <v>3.65</v>
      </c>
      <c r="O2109">
        <v>17.27</v>
      </c>
      <c r="P2109">
        <v>30.49</v>
      </c>
      <c r="Q2109">
        <v>-0.15</v>
      </c>
      <c r="R2109">
        <v>25.96</v>
      </c>
      <c r="S2109">
        <v>26.05</v>
      </c>
      <c r="T2109">
        <v>86701</v>
      </c>
      <c r="U2109">
        <v>27.82</v>
      </c>
      <c r="V2109">
        <v>26</v>
      </c>
      <c r="W2109" t="s">
        <v>120</v>
      </c>
      <c r="X2109" t="s">
        <v>447</v>
      </c>
      <c r="Y2109" t="s">
        <v>319</v>
      </c>
      <c r="Z2109">
        <v>17.420000000000002</v>
      </c>
      <c r="AA2109">
        <v>27.94</v>
      </c>
      <c r="AB2109">
        <v>37765</v>
      </c>
      <c r="AC2109">
        <v>48936</v>
      </c>
      <c r="AD2109">
        <v>0.77</v>
      </c>
      <c r="AE2109">
        <v>9</v>
      </c>
      <c r="AF2109">
        <v>100</v>
      </c>
      <c r="AG2109" t="s">
        <v>120</v>
      </c>
      <c r="AH2109">
        <v>0</v>
      </c>
      <c r="AI2109" t="s">
        <v>120</v>
      </c>
      <c r="AJ2109">
        <v>1.2</v>
      </c>
      <c r="AK2109" t="s">
        <v>2304</v>
      </c>
      <c r="AL2109">
        <v>8.91</v>
      </c>
      <c r="AM2109">
        <v>2816</v>
      </c>
      <c r="AN2109">
        <v>31</v>
      </c>
      <c r="AO2109">
        <v>2.5999999999999999E-3</v>
      </c>
      <c r="AP2109">
        <v>1</v>
      </c>
      <c r="AQ2109">
        <v>-0.42</v>
      </c>
      <c r="AR2109">
        <v>6.8</v>
      </c>
      <c r="AS2109">
        <v>4.2</v>
      </c>
      <c r="AT2109">
        <v>-13.28</v>
      </c>
      <c r="AU2109">
        <v>-9.8800000000000008</v>
      </c>
      <c r="AV2109">
        <v>0</v>
      </c>
      <c r="AW2109">
        <v>7.24</v>
      </c>
      <c r="AX2109">
        <v>29.65</v>
      </c>
      <c r="AY2109">
        <v>41.62</v>
      </c>
      <c r="AZ2109">
        <v>41.33</v>
      </c>
      <c r="BA2109">
        <v>0.55000000000000004</v>
      </c>
      <c r="BB2109" t="s">
        <v>143</v>
      </c>
      <c r="BF2109">
        <v>7.45</v>
      </c>
      <c r="BG2109">
        <v>6.79</v>
      </c>
      <c r="BH2109">
        <v>-8.76</v>
      </c>
      <c r="BI2109">
        <v>7.16</v>
      </c>
      <c r="BJ2109">
        <v>20210814</v>
      </c>
      <c r="BK2109">
        <v>20190218</v>
      </c>
      <c r="BL2109">
        <v>4.04</v>
      </c>
      <c r="BM2109" t="s">
        <v>120</v>
      </c>
      <c r="BN2109" t="s">
        <v>120</v>
      </c>
      <c r="BO2109">
        <v>103.54</v>
      </c>
      <c r="BP2109">
        <v>27.8</v>
      </c>
      <c r="BQ2109">
        <v>63.45</v>
      </c>
      <c r="BR2109" t="s">
        <v>120</v>
      </c>
      <c r="BS2109">
        <v>38.72</v>
      </c>
      <c r="BT2109">
        <v>37.1</v>
      </c>
      <c r="BU2109">
        <v>32.619999999999997</v>
      </c>
      <c r="BV2109">
        <v>2.37</v>
      </c>
      <c r="BW2109">
        <v>28.98</v>
      </c>
      <c r="BX2109">
        <v>3.45</v>
      </c>
      <c r="BY2109">
        <v>16.07</v>
      </c>
      <c r="BZ2109">
        <v>7.0000000000000007E-2</v>
      </c>
      <c r="CA2109" t="s">
        <v>120</v>
      </c>
      <c r="CB2109">
        <v>14.88</v>
      </c>
      <c r="CC2109">
        <v>52.81</v>
      </c>
      <c r="CD2109">
        <v>48.42</v>
      </c>
      <c r="CE2109">
        <v>-2.79</v>
      </c>
      <c r="CF2109">
        <v>0.23</v>
      </c>
      <c r="CG2109">
        <v>-2.8</v>
      </c>
      <c r="CH2109">
        <v>-2.8</v>
      </c>
      <c r="CI2109">
        <v>-2.8</v>
      </c>
      <c r="CJ2109">
        <v>1.82</v>
      </c>
      <c r="CK2109">
        <v>-2.98</v>
      </c>
      <c r="CL2109">
        <v>42.27</v>
      </c>
      <c r="CM2109">
        <v>2.57</v>
      </c>
      <c r="CN2109">
        <v>0.27</v>
      </c>
      <c r="CO2109">
        <v>15714</v>
      </c>
      <c r="CP2109">
        <v>7621</v>
      </c>
      <c r="CQ2109" t="s">
        <v>10280</v>
      </c>
      <c r="CR2109">
        <v>-0.64</v>
      </c>
      <c r="CS2109">
        <v>58.41</v>
      </c>
      <c r="CT2109">
        <v>1.77</v>
      </c>
      <c r="CU2109">
        <v>43.66</v>
      </c>
      <c r="CV2109">
        <v>2.13</v>
      </c>
      <c r="CW2109">
        <v>0.57999999999999996</v>
      </c>
      <c r="CX2109" t="s">
        <v>10281</v>
      </c>
      <c r="CY2109">
        <v>15.71</v>
      </c>
      <c r="CZ2109">
        <v>0</v>
      </c>
      <c r="DA2109">
        <v>3.68</v>
      </c>
      <c r="DB2109">
        <v>10.47</v>
      </c>
      <c r="DC2109">
        <v>0.64</v>
      </c>
      <c r="DD2109">
        <v>61.28</v>
      </c>
      <c r="DE2109" t="s">
        <v>10282</v>
      </c>
      <c r="DF2109">
        <v>8.31</v>
      </c>
      <c r="DG2109">
        <v>-5.28</v>
      </c>
      <c r="DH2109">
        <v>-5.31</v>
      </c>
      <c r="DI2109">
        <v>0.15</v>
      </c>
      <c r="DJ2109">
        <v>5772</v>
      </c>
      <c r="DK2109">
        <v>300761</v>
      </c>
      <c r="DL2109" t="s">
        <v>120</v>
      </c>
      <c r="DM2109" t="s">
        <v>120</v>
      </c>
      <c r="DN2109" t="s">
        <v>120</v>
      </c>
    </row>
    <row r="2110" spans="1:118">
      <c r="A2110" t="str">
        <f>"300762"</f>
        <v>300762</v>
      </c>
      <c r="B2110" t="s">
        <v>10283</v>
      </c>
      <c r="C2110">
        <v>-7.61</v>
      </c>
      <c r="D2110">
        <v>-0.06</v>
      </c>
      <c r="E2110">
        <v>0</v>
      </c>
      <c r="F2110">
        <v>1148</v>
      </c>
      <c r="G2110" t="s">
        <v>9355</v>
      </c>
      <c r="H2110">
        <v>34459.68</v>
      </c>
      <c r="I2110">
        <v>22.87</v>
      </c>
      <c r="J2110" t="s">
        <v>120</v>
      </c>
      <c r="K2110" t="s">
        <v>10284</v>
      </c>
      <c r="L2110">
        <v>7.04</v>
      </c>
      <c r="M2110">
        <v>27.44</v>
      </c>
      <c r="N2110">
        <v>1.29</v>
      </c>
      <c r="O2110">
        <v>0.67</v>
      </c>
      <c r="P2110">
        <v>29.9</v>
      </c>
      <c r="Q2110">
        <v>-7.88</v>
      </c>
      <c r="R2110">
        <v>27.36</v>
      </c>
      <c r="S2110">
        <v>29.7</v>
      </c>
      <c r="T2110">
        <v>121669</v>
      </c>
      <c r="U2110">
        <v>27.45</v>
      </c>
      <c r="V2110">
        <v>29.7</v>
      </c>
      <c r="W2110">
        <v>246.76</v>
      </c>
      <c r="X2110" t="s">
        <v>462</v>
      </c>
      <c r="Y2110" t="s">
        <v>1510</v>
      </c>
      <c r="Z2110">
        <v>8.5500000000000007</v>
      </c>
      <c r="AA2110">
        <v>28.32</v>
      </c>
      <c r="AB2110">
        <v>69922</v>
      </c>
      <c r="AC2110">
        <v>51747</v>
      </c>
      <c r="AD2110">
        <v>1.35</v>
      </c>
      <c r="AE2110">
        <v>94</v>
      </c>
      <c r="AF2110">
        <v>188</v>
      </c>
      <c r="AG2110" t="s">
        <v>120</v>
      </c>
      <c r="AH2110">
        <v>0.01</v>
      </c>
      <c r="AI2110" t="s">
        <v>120</v>
      </c>
      <c r="AJ2110">
        <v>1.73</v>
      </c>
      <c r="AK2110" t="s">
        <v>10285</v>
      </c>
      <c r="AL2110">
        <v>-5.7</v>
      </c>
      <c r="AM2110">
        <v>3367</v>
      </c>
      <c r="AN2110">
        <v>36</v>
      </c>
      <c r="AO2110">
        <v>2.0999999999999999E-3</v>
      </c>
      <c r="AP2110">
        <v>-1</v>
      </c>
      <c r="AQ2110">
        <v>0.17</v>
      </c>
      <c r="AR2110">
        <v>-10.5</v>
      </c>
      <c r="AS2110">
        <v>-16.04</v>
      </c>
      <c r="AT2110">
        <v>-6.29</v>
      </c>
      <c r="AU2110">
        <v>1.56</v>
      </c>
      <c r="AV2110">
        <v>2</v>
      </c>
      <c r="AW2110">
        <v>8.35</v>
      </c>
      <c r="AX2110">
        <v>37.15</v>
      </c>
      <c r="AY2110">
        <v>57.57</v>
      </c>
      <c r="AZ2110">
        <v>69.599999999999994</v>
      </c>
      <c r="BA2110">
        <v>0.21</v>
      </c>
      <c r="BB2110" t="s">
        <v>143</v>
      </c>
      <c r="BF2110">
        <v>-4.6399999999999997</v>
      </c>
      <c r="BG2110">
        <v>-7.61</v>
      </c>
      <c r="BH2110">
        <v>-8.23</v>
      </c>
      <c r="BI2110">
        <v>0.28999999999999998</v>
      </c>
      <c r="BJ2110">
        <v>20210824</v>
      </c>
      <c r="BK2110">
        <v>20190314</v>
      </c>
      <c r="BL2110">
        <v>3.92</v>
      </c>
      <c r="BM2110" t="s">
        <v>120</v>
      </c>
      <c r="BN2110" t="s">
        <v>120</v>
      </c>
      <c r="BO2110">
        <v>29.04</v>
      </c>
      <c r="BP2110">
        <v>27.44</v>
      </c>
      <c r="BQ2110">
        <v>23.85</v>
      </c>
      <c r="BR2110" t="s">
        <v>120</v>
      </c>
      <c r="BS2110">
        <v>17.88</v>
      </c>
      <c r="BT2110">
        <v>26.79</v>
      </c>
      <c r="BU2110">
        <v>0.7</v>
      </c>
      <c r="BV2110">
        <v>0.52</v>
      </c>
      <c r="BW2110">
        <v>4.6900000000000004</v>
      </c>
      <c r="BX2110">
        <v>14.93</v>
      </c>
      <c r="BY2110">
        <v>2.19</v>
      </c>
      <c r="BZ2110">
        <v>7.56</v>
      </c>
      <c r="CA2110" t="s">
        <v>120</v>
      </c>
      <c r="CB2110">
        <v>14.99</v>
      </c>
      <c r="CC2110">
        <v>1.71</v>
      </c>
      <c r="CD2110">
        <v>0.61</v>
      </c>
      <c r="CE2110">
        <v>0.24</v>
      </c>
      <c r="CF2110">
        <v>0</v>
      </c>
      <c r="CG2110">
        <v>0.25</v>
      </c>
      <c r="CH2110">
        <v>0.22</v>
      </c>
      <c r="CI2110">
        <v>0.22</v>
      </c>
      <c r="CJ2110">
        <v>-2.2599999999999998</v>
      </c>
      <c r="CK2110">
        <v>0.12</v>
      </c>
      <c r="CL2110">
        <v>4.51</v>
      </c>
      <c r="CM2110">
        <v>1.06</v>
      </c>
      <c r="CN2110">
        <v>10.33</v>
      </c>
      <c r="CO2110">
        <v>17747</v>
      </c>
      <c r="CP2110">
        <v>8206</v>
      </c>
      <c r="CQ2110" t="s">
        <v>10286</v>
      </c>
      <c r="CR2110">
        <v>265.58999999999997</v>
      </c>
      <c r="CS2110">
        <v>48.18</v>
      </c>
      <c r="CT2110">
        <v>4.51</v>
      </c>
      <c r="CU2110">
        <v>101.8</v>
      </c>
      <c r="CV2110">
        <v>62.97</v>
      </c>
      <c r="CW2110">
        <v>0.15</v>
      </c>
      <c r="CX2110" t="s">
        <v>1064</v>
      </c>
      <c r="CY2110">
        <v>6.09</v>
      </c>
      <c r="CZ2110">
        <v>0</v>
      </c>
      <c r="DA2110">
        <v>3.82</v>
      </c>
      <c r="DB2110">
        <v>1.1499999999999999</v>
      </c>
      <c r="DC2110">
        <v>0.27</v>
      </c>
      <c r="DD2110">
        <v>82.12</v>
      </c>
      <c r="DE2110" t="s">
        <v>2062</v>
      </c>
      <c r="DF2110">
        <v>64.48</v>
      </c>
      <c r="DG2110">
        <v>14</v>
      </c>
      <c r="DH2110">
        <v>12.76</v>
      </c>
      <c r="DI2110">
        <v>0.74</v>
      </c>
      <c r="DJ2110">
        <v>349</v>
      </c>
      <c r="DK2110">
        <v>300762</v>
      </c>
      <c r="DL2110" t="s">
        <v>120</v>
      </c>
      <c r="DM2110" t="s">
        <v>120</v>
      </c>
      <c r="DN2110" t="s">
        <v>120</v>
      </c>
    </row>
    <row r="2111" spans="1:118">
      <c r="A2111" t="str">
        <f>"300763"</f>
        <v>300763</v>
      </c>
      <c r="B2111" t="s">
        <v>10287</v>
      </c>
      <c r="C2111">
        <v>-6.48</v>
      </c>
      <c r="D2111">
        <v>1.02</v>
      </c>
      <c r="E2111">
        <v>0.05</v>
      </c>
      <c r="F2111">
        <v>1636</v>
      </c>
      <c r="G2111" t="s">
        <v>6178</v>
      </c>
      <c r="H2111">
        <v>94751.44</v>
      </c>
      <c r="I2111">
        <v>366.19</v>
      </c>
      <c r="J2111" t="s">
        <v>120</v>
      </c>
      <c r="K2111" t="s">
        <v>10288</v>
      </c>
      <c r="L2111">
        <v>4.3600000000000003</v>
      </c>
      <c r="M2111">
        <v>199</v>
      </c>
      <c r="N2111">
        <v>0.93</v>
      </c>
      <c r="O2111">
        <v>0.73</v>
      </c>
      <c r="P2111">
        <v>214.36</v>
      </c>
      <c r="Q2111">
        <v>-7.58</v>
      </c>
      <c r="R2111">
        <v>196.66</v>
      </c>
      <c r="S2111">
        <v>212.9</v>
      </c>
      <c r="T2111">
        <v>46773</v>
      </c>
      <c r="U2111">
        <v>199</v>
      </c>
      <c r="V2111">
        <v>212.8</v>
      </c>
      <c r="W2111">
        <v>103.44</v>
      </c>
      <c r="X2111" t="s">
        <v>394</v>
      </c>
      <c r="Y2111" t="s">
        <v>585</v>
      </c>
      <c r="Z2111">
        <v>8.32</v>
      </c>
      <c r="AA2111">
        <v>202.58</v>
      </c>
      <c r="AB2111">
        <v>22043</v>
      </c>
      <c r="AC2111">
        <v>24730</v>
      </c>
      <c r="AD2111">
        <v>0.89</v>
      </c>
      <c r="AE2111">
        <v>1</v>
      </c>
      <c r="AF2111">
        <v>97</v>
      </c>
      <c r="AG2111" t="s">
        <v>120</v>
      </c>
      <c r="AH2111">
        <v>0.02</v>
      </c>
      <c r="AI2111" t="s">
        <v>120</v>
      </c>
      <c r="AJ2111">
        <v>1.07</v>
      </c>
      <c r="AK2111" t="s">
        <v>10289</v>
      </c>
      <c r="AL2111">
        <v>-4.57</v>
      </c>
      <c r="AM2111">
        <v>4226</v>
      </c>
      <c r="AN2111">
        <v>11</v>
      </c>
      <c r="AO2111">
        <v>1E-3</v>
      </c>
      <c r="AP2111">
        <v>-1</v>
      </c>
      <c r="AQ2111">
        <v>0.38</v>
      </c>
      <c r="AR2111">
        <v>-2.79</v>
      </c>
      <c r="AS2111">
        <v>-19.91</v>
      </c>
      <c r="AT2111">
        <v>30.9</v>
      </c>
      <c r="AU2111">
        <v>128.35</v>
      </c>
      <c r="AV2111">
        <v>0</v>
      </c>
      <c r="AW2111">
        <v>5.49</v>
      </c>
      <c r="AX2111">
        <v>34.39</v>
      </c>
      <c r="AY2111">
        <v>120.31</v>
      </c>
      <c r="AZ2111">
        <v>165.62</v>
      </c>
      <c r="BA2111">
        <v>1.88</v>
      </c>
      <c r="BB2111" t="s">
        <v>134</v>
      </c>
      <c r="BF2111">
        <v>-4.8</v>
      </c>
      <c r="BG2111">
        <v>-6.53</v>
      </c>
      <c r="BH2111">
        <v>-7.17</v>
      </c>
      <c r="BI2111">
        <v>1.19</v>
      </c>
      <c r="BJ2111">
        <v>20210803</v>
      </c>
      <c r="BK2111">
        <v>20190319</v>
      </c>
      <c r="BL2111">
        <v>2.48</v>
      </c>
      <c r="BM2111" t="s">
        <v>120</v>
      </c>
      <c r="BN2111" t="s">
        <v>120</v>
      </c>
      <c r="BO2111">
        <v>47.15</v>
      </c>
      <c r="BP2111">
        <v>198.76</v>
      </c>
      <c r="BQ2111">
        <v>21.1</v>
      </c>
      <c r="BR2111" t="s">
        <v>120</v>
      </c>
      <c r="BS2111">
        <v>55.25</v>
      </c>
      <c r="BT2111">
        <v>24.81</v>
      </c>
      <c r="BU2111">
        <v>13.9</v>
      </c>
      <c r="BV2111">
        <v>0.56999999999999995</v>
      </c>
      <c r="BW2111">
        <v>19.72</v>
      </c>
      <c r="BX2111">
        <v>9.3800000000000008</v>
      </c>
      <c r="BY2111">
        <v>8.08</v>
      </c>
      <c r="BZ2111">
        <v>4.6399999999999997</v>
      </c>
      <c r="CA2111">
        <v>0.06</v>
      </c>
      <c r="CB2111">
        <v>11.65</v>
      </c>
      <c r="CC2111">
        <v>14.54</v>
      </c>
      <c r="CD2111">
        <v>10.27</v>
      </c>
      <c r="CE2111">
        <v>2.56</v>
      </c>
      <c r="CF2111">
        <v>0.27</v>
      </c>
      <c r="CG2111">
        <v>2.56</v>
      </c>
      <c r="CH2111">
        <v>2.38</v>
      </c>
      <c r="CI2111">
        <v>2.38</v>
      </c>
      <c r="CJ2111">
        <v>-13.8</v>
      </c>
      <c r="CK2111">
        <v>2.02</v>
      </c>
      <c r="CL2111">
        <v>6.48</v>
      </c>
      <c r="CM2111">
        <v>2.4700000000000002</v>
      </c>
      <c r="CN2111">
        <v>-0.51</v>
      </c>
      <c r="CO2111">
        <v>16510</v>
      </c>
      <c r="CP2111">
        <v>5157</v>
      </c>
      <c r="CQ2111" t="s">
        <v>10290</v>
      </c>
      <c r="CR2111">
        <v>101.26</v>
      </c>
      <c r="CS2111">
        <v>99.8</v>
      </c>
      <c r="CT2111">
        <v>23.35</v>
      </c>
      <c r="CU2111">
        <v>199.71</v>
      </c>
      <c r="CV2111">
        <v>33.9</v>
      </c>
      <c r="CW2111">
        <v>0.23</v>
      </c>
      <c r="CX2111" t="s">
        <v>4116</v>
      </c>
      <c r="CY2111">
        <v>8.52</v>
      </c>
      <c r="CZ2111">
        <v>0</v>
      </c>
      <c r="DA2111">
        <v>4.7</v>
      </c>
      <c r="DB2111">
        <v>2.62</v>
      </c>
      <c r="DC2111">
        <v>1</v>
      </c>
      <c r="DD2111">
        <v>44.75</v>
      </c>
      <c r="DE2111" t="s">
        <v>10291</v>
      </c>
      <c r="DF2111">
        <v>29.35</v>
      </c>
      <c r="DG2111">
        <v>17.59</v>
      </c>
      <c r="DH2111">
        <v>16.38</v>
      </c>
      <c r="DI2111">
        <v>0.64</v>
      </c>
      <c r="DJ2111">
        <v>1571</v>
      </c>
      <c r="DK2111">
        <v>300763</v>
      </c>
      <c r="DL2111" t="s">
        <v>120</v>
      </c>
      <c r="DM2111" t="s">
        <v>120</v>
      </c>
      <c r="DN2111" t="s">
        <v>120</v>
      </c>
    </row>
    <row r="2112" spans="1:118">
      <c r="A2112" t="str">
        <f>"300765"</f>
        <v>300765</v>
      </c>
      <c r="B2112" t="s">
        <v>10292</v>
      </c>
      <c r="C2112">
        <v>2.48</v>
      </c>
      <c r="D2112">
        <v>0</v>
      </c>
      <c r="E2112">
        <v>0.08</v>
      </c>
      <c r="F2112">
        <v>412</v>
      </c>
      <c r="G2112" t="s">
        <v>4640</v>
      </c>
      <c r="H2112">
        <v>4799.99</v>
      </c>
      <c r="I2112">
        <v>7.4</v>
      </c>
      <c r="J2112" t="s">
        <v>120</v>
      </c>
      <c r="K2112" t="s">
        <v>4640</v>
      </c>
      <c r="L2112">
        <v>2.82</v>
      </c>
      <c r="M2112">
        <v>12.42</v>
      </c>
      <c r="N2112">
        <v>2.0299999999999998</v>
      </c>
      <c r="O2112">
        <v>4.62</v>
      </c>
      <c r="P2112">
        <v>12.68</v>
      </c>
      <c r="Q2112">
        <v>0.08</v>
      </c>
      <c r="R2112">
        <v>12.13</v>
      </c>
      <c r="S2112">
        <v>12.13</v>
      </c>
      <c r="T2112">
        <v>38525</v>
      </c>
      <c r="U2112">
        <v>12.42</v>
      </c>
      <c r="V2112">
        <v>12.12</v>
      </c>
      <c r="W2112">
        <v>20.74</v>
      </c>
      <c r="X2112" t="s">
        <v>847</v>
      </c>
      <c r="Y2112" t="s">
        <v>602</v>
      </c>
      <c r="Z2112">
        <v>4.54</v>
      </c>
      <c r="AA2112">
        <v>12.46</v>
      </c>
      <c r="AB2112">
        <v>16509</v>
      </c>
      <c r="AC2112">
        <v>22016</v>
      </c>
      <c r="AD2112">
        <v>0.75</v>
      </c>
      <c r="AE2112">
        <v>87</v>
      </c>
      <c r="AF2112">
        <v>11</v>
      </c>
      <c r="AG2112" t="s">
        <v>120</v>
      </c>
      <c r="AH2112">
        <v>0</v>
      </c>
      <c r="AI2112" t="s">
        <v>120</v>
      </c>
      <c r="AJ2112">
        <v>1.37</v>
      </c>
      <c r="AK2112" t="s">
        <v>10293</v>
      </c>
      <c r="AL2112">
        <v>4.3899999999999997</v>
      </c>
      <c r="AM2112">
        <v>1488</v>
      </c>
      <c r="AN2112">
        <v>26</v>
      </c>
      <c r="AO2112">
        <v>1.9E-3</v>
      </c>
      <c r="AP2112">
        <v>1</v>
      </c>
      <c r="AQ2112">
        <v>-1.46</v>
      </c>
      <c r="AR2112">
        <v>-0.47</v>
      </c>
      <c r="AS2112">
        <v>-1.9</v>
      </c>
      <c r="AT2112">
        <v>-8.81</v>
      </c>
      <c r="AU2112">
        <v>-13.24</v>
      </c>
      <c r="AV2112">
        <v>0</v>
      </c>
      <c r="AW2112">
        <v>2.82</v>
      </c>
      <c r="AX2112">
        <v>25</v>
      </c>
      <c r="AY2112">
        <v>23.32</v>
      </c>
      <c r="AZ2112">
        <v>22.07</v>
      </c>
      <c r="BA2112">
        <v>0.18</v>
      </c>
      <c r="BB2112" t="s">
        <v>143</v>
      </c>
      <c r="BF2112">
        <v>2.8</v>
      </c>
      <c r="BG2112">
        <v>2.39</v>
      </c>
      <c r="BH2112">
        <v>-2.0499999999999998</v>
      </c>
      <c r="BI2112">
        <v>2.39</v>
      </c>
      <c r="BJ2112">
        <v>20210915</v>
      </c>
      <c r="BK2112">
        <v>20190322</v>
      </c>
      <c r="BL2112">
        <v>5.46</v>
      </c>
      <c r="BM2112" t="s">
        <v>120</v>
      </c>
      <c r="BN2112" t="s">
        <v>120</v>
      </c>
      <c r="BO2112">
        <v>30.59</v>
      </c>
      <c r="BP2112">
        <v>12.41</v>
      </c>
      <c r="BQ2112">
        <v>27.99</v>
      </c>
      <c r="BR2112">
        <v>0.08</v>
      </c>
      <c r="BS2112">
        <v>8.2200000000000006</v>
      </c>
      <c r="BT2112">
        <v>21.45</v>
      </c>
      <c r="BU2112">
        <v>4.78</v>
      </c>
      <c r="BV2112">
        <v>0.43</v>
      </c>
      <c r="BW2112">
        <v>2.1800000000000002</v>
      </c>
      <c r="BX2112">
        <v>12.65</v>
      </c>
      <c r="BY2112">
        <v>1.5</v>
      </c>
      <c r="BZ2112">
        <v>2.11</v>
      </c>
      <c r="CA2112" t="s">
        <v>120</v>
      </c>
      <c r="CB2112">
        <v>7.56</v>
      </c>
      <c r="CC2112">
        <v>7.07</v>
      </c>
      <c r="CD2112">
        <v>3.35</v>
      </c>
      <c r="CE2112">
        <v>2.02</v>
      </c>
      <c r="CF2112">
        <v>0.06</v>
      </c>
      <c r="CG2112">
        <v>2.0099999999999998</v>
      </c>
      <c r="CH2112">
        <v>1.63</v>
      </c>
      <c r="CI2112">
        <v>1.63</v>
      </c>
      <c r="CJ2112">
        <v>0.3</v>
      </c>
      <c r="CK2112">
        <v>1.55</v>
      </c>
      <c r="CL2112">
        <v>13.44</v>
      </c>
      <c r="CM2112">
        <v>0.91</v>
      </c>
      <c r="CN2112">
        <v>1.27</v>
      </c>
      <c r="CO2112">
        <v>22812</v>
      </c>
      <c r="CP2112">
        <v>5984</v>
      </c>
      <c r="CQ2112" t="s">
        <v>6497</v>
      </c>
      <c r="CR2112">
        <v>-8.92</v>
      </c>
      <c r="CS2112">
        <v>2.94</v>
      </c>
      <c r="CT2112">
        <v>2.42</v>
      </c>
      <c r="CU2112">
        <v>74.349999999999994</v>
      </c>
      <c r="CV2112">
        <v>9.59</v>
      </c>
      <c r="CW2112">
        <v>0.63</v>
      </c>
      <c r="CX2112" t="s">
        <v>1340</v>
      </c>
      <c r="CY2112">
        <v>5.13</v>
      </c>
      <c r="CZ2112">
        <v>0</v>
      </c>
      <c r="DA2112">
        <v>1.39</v>
      </c>
      <c r="DB2112">
        <v>2.46</v>
      </c>
      <c r="DC2112">
        <v>0.17</v>
      </c>
      <c r="DD2112">
        <v>91.5</v>
      </c>
      <c r="DE2112" t="s">
        <v>2219</v>
      </c>
      <c r="DF2112">
        <v>52.67</v>
      </c>
      <c r="DG2112">
        <v>28.53</v>
      </c>
      <c r="DH2112">
        <v>23.11</v>
      </c>
      <c r="DI2112">
        <v>7.0000000000000007E-2</v>
      </c>
      <c r="DJ2112">
        <v>1672</v>
      </c>
      <c r="DK2112">
        <v>300765</v>
      </c>
      <c r="DL2112" t="s">
        <v>120</v>
      </c>
      <c r="DM2112" t="s">
        <v>120</v>
      </c>
      <c r="DN2112" t="s">
        <v>120</v>
      </c>
    </row>
    <row r="2113" spans="1:118">
      <c r="A2113" t="str">
        <f>"300766"</f>
        <v>300766</v>
      </c>
      <c r="B2113" t="s">
        <v>10294</v>
      </c>
      <c r="C2113">
        <v>-1.65</v>
      </c>
      <c r="D2113">
        <v>-0.21</v>
      </c>
      <c r="E2113">
        <v>0.65</v>
      </c>
      <c r="F2113">
        <v>1552</v>
      </c>
      <c r="G2113" t="s">
        <v>10103</v>
      </c>
      <c r="H2113">
        <v>9374.31</v>
      </c>
      <c r="I2113">
        <v>47.49</v>
      </c>
      <c r="J2113" t="s">
        <v>120</v>
      </c>
      <c r="K2113" t="s">
        <v>10295</v>
      </c>
      <c r="L2113">
        <v>2.1800000000000002</v>
      </c>
      <c r="M2113">
        <v>13.69</v>
      </c>
      <c r="N2113">
        <v>0.78</v>
      </c>
      <c r="O2113">
        <v>1.65</v>
      </c>
      <c r="P2113">
        <v>14.15</v>
      </c>
      <c r="Q2113">
        <v>-1.8</v>
      </c>
      <c r="R2113">
        <v>13.67</v>
      </c>
      <c r="S2113">
        <v>14.01</v>
      </c>
      <c r="T2113">
        <v>67609</v>
      </c>
      <c r="U2113">
        <v>13.7</v>
      </c>
      <c r="V2113">
        <v>13.92</v>
      </c>
      <c r="W2113">
        <v>49.18</v>
      </c>
      <c r="X2113" t="s">
        <v>1531</v>
      </c>
      <c r="Y2113" t="s">
        <v>585</v>
      </c>
      <c r="Z2113">
        <v>3.45</v>
      </c>
      <c r="AA2113">
        <v>13.87</v>
      </c>
      <c r="AB2113">
        <v>36755</v>
      </c>
      <c r="AC2113">
        <v>30854</v>
      </c>
      <c r="AD2113">
        <v>1.19</v>
      </c>
      <c r="AE2113">
        <v>35</v>
      </c>
      <c r="AF2113">
        <v>419</v>
      </c>
      <c r="AG2113" t="s">
        <v>120</v>
      </c>
      <c r="AH2113">
        <v>0.01</v>
      </c>
      <c r="AI2113" t="s">
        <v>120</v>
      </c>
      <c r="AJ2113">
        <v>3.1</v>
      </c>
      <c r="AK2113" t="s">
        <v>10296</v>
      </c>
      <c r="AL2113">
        <v>0.26</v>
      </c>
      <c r="AM2113">
        <v>2606</v>
      </c>
      <c r="AN2113">
        <v>26</v>
      </c>
      <c r="AO2113">
        <v>8.0000000000000004E-4</v>
      </c>
      <c r="AP2113">
        <v>-3</v>
      </c>
      <c r="AQ2113">
        <v>-0.36</v>
      </c>
      <c r="AR2113">
        <v>-4.87</v>
      </c>
      <c r="AS2113">
        <v>6.13</v>
      </c>
      <c r="AT2113">
        <v>-6.17</v>
      </c>
      <c r="AU2113">
        <v>-16.73</v>
      </c>
      <c r="AV2113">
        <v>0</v>
      </c>
      <c r="AW2113">
        <v>2.83</v>
      </c>
      <c r="AX2113">
        <v>59.64</v>
      </c>
      <c r="AY2113">
        <v>76.58</v>
      </c>
      <c r="AZ2113">
        <v>77.37</v>
      </c>
      <c r="BA2113">
        <v>1</v>
      </c>
      <c r="BB2113" t="s">
        <v>143</v>
      </c>
      <c r="BF2113">
        <v>-0.39</v>
      </c>
      <c r="BG2113">
        <v>-2.2799999999999998</v>
      </c>
      <c r="BH2113">
        <v>-3.25</v>
      </c>
      <c r="BI2113">
        <v>0.15</v>
      </c>
      <c r="BJ2113">
        <v>20210827</v>
      </c>
      <c r="BK2113">
        <v>20190325</v>
      </c>
      <c r="BL2113">
        <v>4</v>
      </c>
      <c r="BM2113" t="s">
        <v>120</v>
      </c>
      <c r="BN2113" t="s">
        <v>120</v>
      </c>
      <c r="BO2113">
        <v>19.559999999999999</v>
      </c>
      <c r="BP2113">
        <v>13.69</v>
      </c>
      <c r="BQ2113">
        <v>16.170000000000002</v>
      </c>
      <c r="BR2113">
        <v>0.41</v>
      </c>
      <c r="BS2113">
        <v>15.27</v>
      </c>
      <c r="BT2113">
        <v>13.18</v>
      </c>
      <c r="BU2113">
        <v>0.42</v>
      </c>
      <c r="BV2113">
        <v>1.22</v>
      </c>
      <c r="BW2113">
        <v>2.1</v>
      </c>
      <c r="BX2113">
        <v>9.32</v>
      </c>
      <c r="BY2113">
        <v>7.0000000000000007E-2</v>
      </c>
      <c r="BZ2113">
        <v>1.95</v>
      </c>
      <c r="CA2113" t="s">
        <v>120</v>
      </c>
      <c r="CB2113">
        <v>8.01</v>
      </c>
      <c r="CC2113">
        <v>2.68</v>
      </c>
      <c r="CD2113">
        <v>1.02</v>
      </c>
      <c r="CE2113">
        <v>0.63</v>
      </c>
      <c r="CF2113">
        <v>0.2</v>
      </c>
      <c r="CG2113">
        <v>0.63</v>
      </c>
      <c r="CH2113">
        <v>0.62</v>
      </c>
      <c r="CI2113">
        <v>0.56000000000000005</v>
      </c>
      <c r="CJ2113">
        <v>-0.23</v>
      </c>
      <c r="CK2113">
        <v>0.37</v>
      </c>
      <c r="CL2113">
        <v>4.8600000000000003</v>
      </c>
      <c r="CM2113">
        <v>0.56000000000000005</v>
      </c>
      <c r="CN2113">
        <v>-0.61</v>
      </c>
      <c r="CO2113">
        <v>31898</v>
      </c>
      <c r="CP2113">
        <v>7480</v>
      </c>
      <c r="CQ2113" t="s">
        <v>8525</v>
      </c>
      <c r="CR2113">
        <v>1.36</v>
      </c>
      <c r="CS2113">
        <v>15.84</v>
      </c>
      <c r="CT2113">
        <v>3.39</v>
      </c>
      <c r="CU2113">
        <v>98.09</v>
      </c>
      <c r="CV2113">
        <v>20.41</v>
      </c>
      <c r="CW2113">
        <v>0.35</v>
      </c>
      <c r="CX2113" t="s">
        <v>300</v>
      </c>
      <c r="CY2113">
        <v>4.04</v>
      </c>
      <c r="CZ2113">
        <v>0</v>
      </c>
      <c r="DA2113">
        <v>2</v>
      </c>
      <c r="DB2113">
        <v>1.22</v>
      </c>
      <c r="DC2113">
        <v>0.14000000000000001</v>
      </c>
      <c r="DD2113">
        <v>82.65</v>
      </c>
      <c r="DE2113" t="s">
        <v>405</v>
      </c>
      <c r="DF2113">
        <v>62.13</v>
      </c>
      <c r="DG2113">
        <v>23.42</v>
      </c>
      <c r="DH2113">
        <v>20.75</v>
      </c>
      <c r="DI2113">
        <v>0.62</v>
      </c>
      <c r="DJ2113">
        <v>686</v>
      </c>
      <c r="DK2113">
        <v>300766</v>
      </c>
      <c r="DL2113" t="s">
        <v>120</v>
      </c>
      <c r="DM2113" t="s">
        <v>120</v>
      </c>
      <c r="DN2113" t="s">
        <v>120</v>
      </c>
    </row>
    <row r="2114" spans="1:118">
      <c r="A2114" t="str">
        <f>"300767"</f>
        <v>300767</v>
      </c>
      <c r="B2114" t="s">
        <v>10297</v>
      </c>
      <c r="C2114">
        <v>-2.5099999999999998</v>
      </c>
      <c r="D2114">
        <v>0.33</v>
      </c>
      <c r="E2114">
        <v>2.38</v>
      </c>
      <c r="F2114">
        <v>2803</v>
      </c>
      <c r="G2114" t="s">
        <v>10298</v>
      </c>
      <c r="H2114">
        <v>32355.61</v>
      </c>
      <c r="I2114">
        <v>370.37</v>
      </c>
      <c r="J2114" t="s">
        <v>120</v>
      </c>
      <c r="K2114" t="s">
        <v>10298</v>
      </c>
      <c r="L2114">
        <v>2.72</v>
      </c>
      <c r="M2114">
        <v>97.97</v>
      </c>
      <c r="N2114">
        <v>1.29</v>
      </c>
      <c r="O2114">
        <v>5.46</v>
      </c>
      <c r="P2114">
        <v>105.98</v>
      </c>
      <c r="Q2114">
        <v>-2.9</v>
      </c>
      <c r="R2114">
        <v>97.58</v>
      </c>
      <c r="S2114">
        <v>102.88</v>
      </c>
      <c r="T2114">
        <v>31983</v>
      </c>
      <c r="U2114">
        <v>97.97</v>
      </c>
      <c r="V2114">
        <v>100.49</v>
      </c>
      <c r="W2114">
        <v>150.97999999999999</v>
      </c>
      <c r="X2114" t="s">
        <v>2306</v>
      </c>
      <c r="Y2114" t="s">
        <v>1006</v>
      </c>
      <c r="Z2114">
        <v>8.36</v>
      </c>
      <c r="AA2114">
        <v>101.17</v>
      </c>
      <c r="AB2114">
        <v>17983</v>
      </c>
      <c r="AC2114">
        <v>14000</v>
      </c>
      <c r="AD2114">
        <v>1.28</v>
      </c>
      <c r="AE2114">
        <v>1</v>
      </c>
      <c r="AF2114">
        <v>134</v>
      </c>
      <c r="AG2114" t="s">
        <v>120</v>
      </c>
      <c r="AH2114">
        <v>0.03</v>
      </c>
      <c r="AI2114" t="s">
        <v>120</v>
      </c>
      <c r="AJ2114">
        <v>1.18</v>
      </c>
      <c r="AK2114" t="s">
        <v>10299</v>
      </c>
      <c r="AL2114">
        <v>-0.59</v>
      </c>
      <c r="AM2114">
        <v>2622</v>
      </c>
      <c r="AN2114">
        <v>12</v>
      </c>
      <c r="AO2114">
        <v>1E-3</v>
      </c>
      <c r="AP2114">
        <v>-2</v>
      </c>
      <c r="AQ2114">
        <v>-0.89</v>
      </c>
      <c r="AR2114">
        <v>-2.15</v>
      </c>
      <c r="AS2114">
        <v>-16.670000000000002</v>
      </c>
      <c r="AT2114">
        <v>28.71</v>
      </c>
      <c r="AU2114">
        <v>88.46</v>
      </c>
      <c r="AV2114">
        <v>1</v>
      </c>
      <c r="AW2114">
        <v>2.72</v>
      </c>
      <c r="AX2114">
        <v>58.39</v>
      </c>
      <c r="AY2114">
        <v>152.16</v>
      </c>
      <c r="AZ2114">
        <v>126.05</v>
      </c>
      <c r="BA2114">
        <v>0.28000000000000003</v>
      </c>
      <c r="BB2114" t="s">
        <v>168</v>
      </c>
      <c r="BF2114">
        <v>0.67</v>
      </c>
      <c r="BG2114">
        <v>-4.7699999999999996</v>
      </c>
      <c r="BH2114">
        <v>-7.56</v>
      </c>
      <c r="BI2114">
        <v>0.4</v>
      </c>
      <c r="BJ2114">
        <v>20210828</v>
      </c>
      <c r="BK2114">
        <v>20190329</v>
      </c>
      <c r="BL2114">
        <v>2.02</v>
      </c>
      <c r="BM2114" t="s">
        <v>120</v>
      </c>
      <c r="BN2114" t="s">
        <v>120</v>
      </c>
      <c r="BO2114">
        <v>17.52</v>
      </c>
      <c r="BP2114">
        <v>97.78</v>
      </c>
      <c r="BQ2114">
        <v>12.41</v>
      </c>
      <c r="BR2114" t="s">
        <v>120</v>
      </c>
      <c r="BS2114">
        <v>29.13</v>
      </c>
      <c r="BT2114">
        <v>13.62</v>
      </c>
      <c r="BU2114">
        <v>1.27</v>
      </c>
      <c r="BV2114">
        <v>0.38</v>
      </c>
      <c r="BW2114">
        <v>3.08</v>
      </c>
      <c r="BX2114">
        <v>3.2</v>
      </c>
      <c r="BY2114">
        <v>1.9</v>
      </c>
      <c r="BZ2114">
        <v>4.7</v>
      </c>
      <c r="CA2114" t="s">
        <v>120</v>
      </c>
      <c r="CB2114">
        <v>3.67</v>
      </c>
      <c r="CC2114">
        <v>3.32</v>
      </c>
      <c r="CD2114">
        <v>1.77</v>
      </c>
      <c r="CE2114">
        <v>0.78</v>
      </c>
      <c r="CF2114">
        <v>0.01</v>
      </c>
      <c r="CG2114">
        <v>0.78</v>
      </c>
      <c r="CH2114">
        <v>0.65</v>
      </c>
      <c r="CI2114">
        <v>0.65</v>
      </c>
      <c r="CJ2114">
        <v>-2.52</v>
      </c>
      <c r="CK2114">
        <v>0.61</v>
      </c>
      <c r="CL2114">
        <v>5.19</v>
      </c>
      <c r="CM2114">
        <v>-0.98</v>
      </c>
      <c r="CN2114">
        <v>-1.93</v>
      </c>
      <c r="CO2114">
        <v>12476</v>
      </c>
      <c r="CP2114">
        <v>9435</v>
      </c>
      <c r="CQ2114" t="s">
        <v>10300</v>
      </c>
      <c r="CR2114">
        <v>-29.66</v>
      </c>
      <c r="CS2114">
        <v>19.29</v>
      </c>
      <c r="CT2114">
        <v>17.25</v>
      </c>
      <c r="CU2114">
        <v>-201.07</v>
      </c>
      <c r="CV2114">
        <v>59.5</v>
      </c>
      <c r="CW2114">
        <v>0.16</v>
      </c>
      <c r="CX2114" t="s">
        <v>10301</v>
      </c>
      <c r="CY2114">
        <v>5.68</v>
      </c>
      <c r="CZ2114">
        <v>5.68</v>
      </c>
      <c r="DA2114">
        <v>1.82</v>
      </c>
      <c r="DB2114">
        <v>2.57</v>
      </c>
      <c r="DC2114">
        <v>-0.49</v>
      </c>
      <c r="DD2114">
        <v>70.87</v>
      </c>
      <c r="DE2114" t="s">
        <v>10302</v>
      </c>
      <c r="DF2114">
        <v>46.6</v>
      </c>
      <c r="DG2114">
        <v>23.6</v>
      </c>
      <c r="DH2114">
        <v>19.7</v>
      </c>
      <c r="DI2114">
        <v>0.06</v>
      </c>
      <c r="DJ2114">
        <v>523</v>
      </c>
      <c r="DK2114">
        <v>300767</v>
      </c>
      <c r="DL2114">
        <v>20210723</v>
      </c>
      <c r="DM2114">
        <v>87.9</v>
      </c>
      <c r="DN2114">
        <v>11.46</v>
      </c>
    </row>
    <row r="2115" spans="1:118">
      <c r="A2115" t="str">
        <f>"300768"</f>
        <v>300768</v>
      </c>
      <c r="B2115" t="s">
        <v>10303</v>
      </c>
      <c r="C2115">
        <v>-0.14000000000000001</v>
      </c>
      <c r="D2115">
        <v>1</v>
      </c>
      <c r="E2115">
        <v>0.52</v>
      </c>
      <c r="F2115">
        <v>572</v>
      </c>
      <c r="G2115" t="s">
        <v>10304</v>
      </c>
      <c r="H2115">
        <v>7026.48</v>
      </c>
      <c r="I2115">
        <v>49.34</v>
      </c>
      <c r="J2115" t="s">
        <v>120</v>
      </c>
      <c r="K2115" t="s">
        <v>10305</v>
      </c>
      <c r="L2115">
        <v>1.17</v>
      </c>
      <c r="M2115">
        <v>42.62</v>
      </c>
      <c r="N2115">
        <v>0.81</v>
      </c>
      <c r="O2115">
        <v>3.23</v>
      </c>
      <c r="P2115">
        <v>44.06</v>
      </c>
      <c r="Q2115">
        <v>-1.29</v>
      </c>
      <c r="R2115">
        <v>42.13</v>
      </c>
      <c r="S2115">
        <v>42.9</v>
      </c>
      <c r="T2115">
        <v>16323</v>
      </c>
      <c r="U2115">
        <v>42.71</v>
      </c>
      <c r="V2115">
        <v>42.68</v>
      </c>
      <c r="W2115">
        <v>80.87</v>
      </c>
      <c r="X2115" t="s">
        <v>141</v>
      </c>
      <c r="Y2115" t="s">
        <v>585</v>
      </c>
      <c r="Z2115">
        <v>4.5199999999999996</v>
      </c>
      <c r="AA2115">
        <v>43.05</v>
      </c>
      <c r="AB2115">
        <v>8879</v>
      </c>
      <c r="AC2115">
        <v>7444</v>
      </c>
      <c r="AD2115">
        <v>1.19</v>
      </c>
      <c r="AE2115">
        <v>6522</v>
      </c>
      <c r="AF2115">
        <v>21</v>
      </c>
      <c r="AG2115" t="s">
        <v>120</v>
      </c>
      <c r="AH2115">
        <v>0.01</v>
      </c>
      <c r="AI2115" t="s">
        <v>120</v>
      </c>
      <c r="AJ2115">
        <v>1.4</v>
      </c>
      <c r="AK2115" t="s">
        <v>10306</v>
      </c>
      <c r="AL2115">
        <v>1.77</v>
      </c>
      <c r="AM2115">
        <v>1660</v>
      </c>
      <c r="AN2115">
        <v>10</v>
      </c>
      <c r="AO2115">
        <v>6.9999999999999999E-4</v>
      </c>
      <c r="AP2115">
        <v>-2</v>
      </c>
      <c r="AQ2115">
        <v>-3.92</v>
      </c>
      <c r="AR2115">
        <v>6.02</v>
      </c>
      <c r="AS2115">
        <v>8.1999999999999993</v>
      </c>
      <c r="AT2115">
        <v>11.01</v>
      </c>
      <c r="AU2115">
        <v>17.52</v>
      </c>
      <c r="AV2115">
        <v>0</v>
      </c>
      <c r="AW2115">
        <v>1.87</v>
      </c>
      <c r="AX2115">
        <v>21.85</v>
      </c>
      <c r="AY2115">
        <v>57.64</v>
      </c>
      <c r="AZ2115">
        <v>61.78</v>
      </c>
      <c r="BA2115">
        <v>1.1399999999999999</v>
      </c>
      <c r="BB2115" t="s">
        <v>143</v>
      </c>
      <c r="BF2115">
        <v>0.86</v>
      </c>
      <c r="BG2115">
        <v>-0.65</v>
      </c>
      <c r="BH2115">
        <v>-3.27</v>
      </c>
      <c r="BI2115">
        <v>1.1599999999999999</v>
      </c>
      <c r="BJ2115">
        <v>20210730</v>
      </c>
      <c r="BK2115">
        <v>20190412</v>
      </c>
      <c r="BL2115">
        <v>4</v>
      </c>
      <c r="BM2115" t="s">
        <v>120</v>
      </c>
      <c r="BN2115" t="s">
        <v>120</v>
      </c>
      <c r="BO2115">
        <v>23.53</v>
      </c>
      <c r="BP2115">
        <v>42.62</v>
      </c>
      <c r="BQ2115">
        <v>19.850000000000001</v>
      </c>
      <c r="BR2115" t="s">
        <v>120</v>
      </c>
      <c r="BS2115">
        <v>15.66</v>
      </c>
      <c r="BT2115">
        <v>21.01</v>
      </c>
      <c r="BU2115">
        <v>0.32</v>
      </c>
      <c r="BV2115">
        <v>0.13</v>
      </c>
      <c r="BW2115">
        <v>3.33</v>
      </c>
      <c r="BX2115">
        <v>17.670000000000002</v>
      </c>
      <c r="BY2115">
        <v>2.0299999999999998</v>
      </c>
      <c r="BZ2115">
        <v>0.78</v>
      </c>
      <c r="CA2115" t="s">
        <v>120</v>
      </c>
      <c r="CB2115">
        <v>6.87</v>
      </c>
      <c r="CC2115">
        <v>4.33</v>
      </c>
      <c r="CD2115">
        <v>1.3</v>
      </c>
      <c r="CE2115">
        <v>1.1000000000000001</v>
      </c>
      <c r="CF2115">
        <v>0</v>
      </c>
      <c r="CG2115">
        <v>1.1000000000000001</v>
      </c>
      <c r="CH2115">
        <v>1.05</v>
      </c>
      <c r="CI2115">
        <v>1.05</v>
      </c>
      <c r="CJ2115">
        <v>-0.06</v>
      </c>
      <c r="CK2115">
        <v>0.95</v>
      </c>
      <c r="CL2115">
        <v>8.11</v>
      </c>
      <c r="CM2115">
        <v>0.14000000000000001</v>
      </c>
      <c r="CN2115">
        <v>-1.37</v>
      </c>
      <c r="CO2115">
        <v>11129</v>
      </c>
      <c r="CP2115">
        <v>7853</v>
      </c>
      <c r="CQ2115" t="s">
        <v>10307</v>
      </c>
      <c r="CR2115">
        <v>23.14</v>
      </c>
      <c r="CS2115">
        <v>36.840000000000003</v>
      </c>
      <c r="CT2115">
        <v>8.59</v>
      </c>
      <c r="CU2115">
        <v>1194.03</v>
      </c>
      <c r="CV2115">
        <v>39.380000000000003</v>
      </c>
      <c r="CW2115">
        <v>0.28999999999999998</v>
      </c>
      <c r="CX2115" t="s">
        <v>670</v>
      </c>
      <c r="CY2115">
        <v>4.96</v>
      </c>
      <c r="CZ2115">
        <v>0</v>
      </c>
      <c r="DA2115">
        <v>1.72</v>
      </c>
      <c r="DB2115">
        <v>2.0299999999999998</v>
      </c>
      <c r="DC2115">
        <v>0.04</v>
      </c>
      <c r="DD2115">
        <v>84.34</v>
      </c>
      <c r="DE2115" t="s">
        <v>2687</v>
      </c>
      <c r="DF2115">
        <v>70.040000000000006</v>
      </c>
      <c r="DG2115">
        <v>25.4</v>
      </c>
      <c r="DH2115">
        <v>24.35</v>
      </c>
      <c r="DI2115">
        <v>1.1399999999999999</v>
      </c>
      <c r="DJ2115">
        <v>1297</v>
      </c>
      <c r="DK2115">
        <v>300768</v>
      </c>
      <c r="DL2115">
        <v>20210914</v>
      </c>
      <c r="DM2115">
        <v>44.42</v>
      </c>
      <c r="DN2115">
        <v>-4.05</v>
      </c>
    </row>
    <row r="2116" spans="1:118">
      <c r="A2116" t="str">
        <f>"300769"</f>
        <v>300769</v>
      </c>
      <c r="B2116" t="s">
        <v>10308</v>
      </c>
      <c r="C2116">
        <v>-6.6</v>
      </c>
      <c r="D2116">
        <v>-0.73</v>
      </c>
      <c r="E2116">
        <v>0</v>
      </c>
      <c r="F2116">
        <v>277</v>
      </c>
      <c r="G2116" t="s">
        <v>10309</v>
      </c>
      <c r="H2116">
        <v>109529.12</v>
      </c>
      <c r="I2116">
        <v>371</v>
      </c>
      <c r="J2116" t="s">
        <v>120</v>
      </c>
      <c r="K2116" t="s">
        <v>10309</v>
      </c>
      <c r="L2116">
        <v>3.92</v>
      </c>
      <c r="M2116">
        <v>495</v>
      </c>
      <c r="N2116">
        <v>1.01</v>
      </c>
      <c r="O2116">
        <v>0</v>
      </c>
      <c r="P2116">
        <v>530</v>
      </c>
      <c r="Q2116">
        <v>-6.6</v>
      </c>
      <c r="R2116">
        <v>495</v>
      </c>
      <c r="S2116">
        <v>530</v>
      </c>
      <c r="T2116">
        <v>21361</v>
      </c>
      <c r="U2116">
        <v>495</v>
      </c>
      <c r="V2116">
        <v>530</v>
      </c>
      <c r="W2116">
        <v>163.46</v>
      </c>
      <c r="X2116" t="s">
        <v>868</v>
      </c>
      <c r="Y2116" t="s">
        <v>123</v>
      </c>
      <c r="Z2116">
        <v>6.6</v>
      </c>
      <c r="AA2116">
        <v>512.74</v>
      </c>
      <c r="AB2116">
        <v>11129</v>
      </c>
      <c r="AC2116">
        <v>10232</v>
      </c>
      <c r="AD2116">
        <v>1.0900000000000001</v>
      </c>
      <c r="AE2116">
        <v>2</v>
      </c>
      <c r="AF2116">
        <v>130</v>
      </c>
      <c r="AG2116" t="s">
        <v>120</v>
      </c>
      <c r="AH2116">
        <v>0.01</v>
      </c>
      <c r="AI2116" t="s">
        <v>120</v>
      </c>
      <c r="AJ2116">
        <v>0.54</v>
      </c>
      <c r="AK2116" t="s">
        <v>10310</v>
      </c>
      <c r="AL2116">
        <v>-4.6900000000000004</v>
      </c>
      <c r="AM2116">
        <v>3207</v>
      </c>
      <c r="AN2116">
        <v>7</v>
      </c>
      <c r="AO2116">
        <v>1.1999999999999999E-3</v>
      </c>
      <c r="AP2116">
        <v>-1</v>
      </c>
      <c r="AQ2116">
        <v>4.99</v>
      </c>
      <c r="AR2116">
        <v>11.36</v>
      </c>
      <c r="AS2116">
        <v>56.07</v>
      </c>
      <c r="AT2116">
        <v>145.03</v>
      </c>
      <c r="AU2116">
        <v>196.06</v>
      </c>
      <c r="AV2116">
        <v>0</v>
      </c>
      <c r="AW2116">
        <v>3.92</v>
      </c>
      <c r="AX2116">
        <v>61.03</v>
      </c>
      <c r="AY2116">
        <v>416.87</v>
      </c>
      <c r="AZ2116" t="s">
        <v>120</v>
      </c>
      <c r="BA2116">
        <v>1.49</v>
      </c>
      <c r="BB2116" t="s">
        <v>184</v>
      </c>
      <c r="BF2116">
        <v>-3.26</v>
      </c>
      <c r="BG2116">
        <v>-6.6</v>
      </c>
      <c r="BH2116">
        <v>-6.6</v>
      </c>
      <c r="BI2116">
        <v>0</v>
      </c>
      <c r="BJ2116">
        <v>20210828</v>
      </c>
      <c r="BK2116">
        <v>20190415</v>
      </c>
      <c r="BL2116">
        <v>0.89</v>
      </c>
      <c r="BM2116" t="s">
        <v>120</v>
      </c>
      <c r="BN2116" t="s">
        <v>120</v>
      </c>
      <c r="BO2116">
        <v>48.04</v>
      </c>
      <c r="BP2116">
        <v>494.23</v>
      </c>
      <c r="BQ2116">
        <v>22.61</v>
      </c>
      <c r="BR2116">
        <v>0.89</v>
      </c>
      <c r="BS2116">
        <v>51.08</v>
      </c>
      <c r="BT2116">
        <v>19.96</v>
      </c>
      <c r="BU2116">
        <v>11.53</v>
      </c>
      <c r="BV2116">
        <v>2.0099999999999998</v>
      </c>
      <c r="BW2116">
        <v>20.93</v>
      </c>
      <c r="BX2116">
        <v>2.99</v>
      </c>
      <c r="BY2116">
        <v>6.09</v>
      </c>
      <c r="BZ2116">
        <v>3.97</v>
      </c>
      <c r="CA2116" t="s">
        <v>120</v>
      </c>
      <c r="CB2116">
        <v>16.79</v>
      </c>
      <c r="CC2116">
        <v>12.75</v>
      </c>
      <c r="CD2116">
        <v>9.98</v>
      </c>
      <c r="CE2116">
        <v>1.59</v>
      </c>
      <c r="CF2116">
        <v>0.03</v>
      </c>
      <c r="CG2116">
        <v>1.49</v>
      </c>
      <c r="CH2116">
        <v>1.33</v>
      </c>
      <c r="CI2116">
        <v>1.35</v>
      </c>
      <c r="CJ2116">
        <v>-35</v>
      </c>
      <c r="CK2116">
        <v>1.1499999999999999</v>
      </c>
      <c r="CL2116">
        <v>4.9000000000000004</v>
      </c>
      <c r="CM2116">
        <v>-6.85</v>
      </c>
      <c r="CN2116">
        <v>-8.27</v>
      </c>
      <c r="CO2116">
        <v>10728</v>
      </c>
      <c r="CP2116">
        <v>5076</v>
      </c>
      <c r="CQ2116" t="s">
        <v>10311</v>
      </c>
      <c r="CR2116">
        <v>2104.61</v>
      </c>
      <c r="CS2116">
        <v>257.69</v>
      </c>
      <c r="CT2116">
        <v>19.53</v>
      </c>
      <c r="CU2116">
        <v>-64.489999999999995</v>
      </c>
      <c r="CV2116">
        <v>34.65</v>
      </c>
      <c r="CW2116">
        <v>0</v>
      </c>
      <c r="CX2116" t="s">
        <v>10312</v>
      </c>
      <c r="CY2116">
        <v>25.34</v>
      </c>
      <c r="CZ2116">
        <v>0</v>
      </c>
      <c r="DA2116">
        <v>18.809999999999999</v>
      </c>
      <c r="DB2116">
        <v>5.49</v>
      </c>
      <c r="DC2116">
        <v>-7.68</v>
      </c>
      <c r="DD2116">
        <v>47.07</v>
      </c>
      <c r="DE2116" t="s">
        <v>580</v>
      </c>
      <c r="DF2116">
        <v>21.71</v>
      </c>
      <c r="DG2116">
        <v>12.46</v>
      </c>
      <c r="DH2116">
        <v>10.6</v>
      </c>
      <c r="DI2116">
        <v>0.49</v>
      </c>
      <c r="DJ2116">
        <v>1718</v>
      </c>
      <c r="DK2116">
        <v>300769</v>
      </c>
      <c r="DL2116">
        <v>20210914</v>
      </c>
      <c r="DM2116">
        <v>504.82</v>
      </c>
      <c r="DN2116">
        <v>-1.95</v>
      </c>
    </row>
    <row r="2117" spans="1:118">
      <c r="A2117" t="str">
        <f>"300770"</f>
        <v>300770</v>
      </c>
      <c r="B2117" t="s">
        <v>10313</v>
      </c>
      <c r="C2117">
        <v>-2.52</v>
      </c>
      <c r="D2117">
        <v>0.12</v>
      </c>
      <c r="E2117">
        <v>-0.87</v>
      </c>
      <c r="F2117">
        <v>850</v>
      </c>
      <c r="G2117" t="s">
        <v>10314</v>
      </c>
      <c r="H2117">
        <v>16382.89</v>
      </c>
      <c r="I2117">
        <v>184.11</v>
      </c>
      <c r="J2117" t="s">
        <v>120</v>
      </c>
      <c r="K2117" t="s">
        <v>10315</v>
      </c>
      <c r="L2117">
        <v>2.31</v>
      </c>
      <c r="M2117">
        <v>49.2</v>
      </c>
      <c r="N2117">
        <v>0.88</v>
      </c>
      <c r="O2117">
        <v>1.37</v>
      </c>
      <c r="P2117">
        <v>51.16</v>
      </c>
      <c r="Q2117">
        <v>-2.91</v>
      </c>
      <c r="R2117">
        <v>49</v>
      </c>
      <c r="S2117">
        <v>50.03</v>
      </c>
      <c r="T2117">
        <v>32741</v>
      </c>
      <c r="U2117">
        <v>49.2</v>
      </c>
      <c r="V2117">
        <v>50.47</v>
      </c>
      <c r="W2117">
        <v>15.73</v>
      </c>
      <c r="X2117" t="s">
        <v>584</v>
      </c>
      <c r="Y2117" t="s">
        <v>547</v>
      </c>
      <c r="Z2117">
        <v>4.28</v>
      </c>
      <c r="AA2117">
        <v>50.04</v>
      </c>
      <c r="AB2117">
        <v>20193</v>
      </c>
      <c r="AC2117">
        <v>12548</v>
      </c>
      <c r="AD2117">
        <v>1.61</v>
      </c>
      <c r="AE2117">
        <v>2</v>
      </c>
      <c r="AF2117">
        <v>9</v>
      </c>
      <c r="AG2117" t="s">
        <v>120</v>
      </c>
      <c r="AH2117">
        <v>0.03</v>
      </c>
      <c r="AI2117" t="s">
        <v>120</v>
      </c>
      <c r="AJ2117">
        <v>1.42</v>
      </c>
      <c r="AK2117" t="s">
        <v>10316</v>
      </c>
      <c r="AL2117">
        <v>-0.6</v>
      </c>
      <c r="AM2117">
        <v>2533</v>
      </c>
      <c r="AN2117">
        <v>13</v>
      </c>
      <c r="AO2117">
        <v>8.9999999999999998E-4</v>
      </c>
      <c r="AP2117">
        <v>-1</v>
      </c>
      <c r="AQ2117">
        <v>0.6</v>
      </c>
      <c r="AR2117">
        <v>-4.1500000000000004</v>
      </c>
      <c r="AS2117">
        <v>3.12</v>
      </c>
      <c r="AT2117">
        <v>0.43</v>
      </c>
      <c r="AU2117">
        <v>-29.21</v>
      </c>
      <c r="AV2117">
        <v>0</v>
      </c>
      <c r="AW2117">
        <v>3</v>
      </c>
      <c r="AX2117">
        <v>47.18</v>
      </c>
      <c r="AY2117">
        <v>18.52</v>
      </c>
      <c r="AZ2117">
        <v>20.28</v>
      </c>
      <c r="BA2117">
        <v>1.33</v>
      </c>
      <c r="BB2117" t="s">
        <v>143</v>
      </c>
      <c r="BF2117">
        <v>-0.86</v>
      </c>
      <c r="BG2117">
        <v>-1.66</v>
      </c>
      <c r="BH2117">
        <v>-3.83</v>
      </c>
      <c r="BI2117">
        <v>0.41</v>
      </c>
      <c r="BJ2117">
        <v>20210908</v>
      </c>
      <c r="BK2117">
        <v>20190419</v>
      </c>
      <c r="BL2117">
        <v>2.31</v>
      </c>
      <c r="BM2117" t="s">
        <v>120</v>
      </c>
      <c r="BN2117" t="s">
        <v>120</v>
      </c>
      <c r="BO2117">
        <v>35.6</v>
      </c>
      <c r="BP2117">
        <v>49.17</v>
      </c>
      <c r="BQ2117">
        <v>27.56</v>
      </c>
      <c r="BR2117">
        <v>0.02</v>
      </c>
      <c r="BS2117">
        <v>22.53</v>
      </c>
      <c r="BT2117">
        <v>30.87</v>
      </c>
      <c r="BU2117">
        <v>1.4</v>
      </c>
      <c r="BV2117">
        <v>1.58</v>
      </c>
      <c r="BW2117">
        <v>7.75</v>
      </c>
      <c r="BX2117">
        <v>22.71</v>
      </c>
      <c r="BY2117">
        <v>0</v>
      </c>
      <c r="BZ2117">
        <v>3.96</v>
      </c>
      <c r="CA2117" t="s">
        <v>120</v>
      </c>
      <c r="CB2117">
        <v>12.58</v>
      </c>
      <c r="CC2117">
        <v>6.58</v>
      </c>
      <c r="CD2117">
        <v>2.9</v>
      </c>
      <c r="CE2117">
        <v>3.62</v>
      </c>
      <c r="CF2117">
        <v>0.02</v>
      </c>
      <c r="CG2117">
        <v>3.63</v>
      </c>
      <c r="CH2117">
        <v>3.61</v>
      </c>
      <c r="CI2117">
        <v>3.61</v>
      </c>
      <c r="CJ2117">
        <v>-1.27</v>
      </c>
      <c r="CK2117">
        <v>3.19</v>
      </c>
      <c r="CL2117">
        <v>12.16</v>
      </c>
      <c r="CM2117">
        <v>4.82</v>
      </c>
      <c r="CN2117">
        <v>1.53</v>
      </c>
      <c r="CO2117">
        <v>28869</v>
      </c>
      <c r="CP2117">
        <v>3776</v>
      </c>
      <c r="CQ2117" t="s">
        <v>10317</v>
      </c>
      <c r="CR2117">
        <v>17.87</v>
      </c>
      <c r="CS2117">
        <v>11.01</v>
      </c>
      <c r="CT2117">
        <v>4.12</v>
      </c>
      <c r="CU2117">
        <v>23.58</v>
      </c>
      <c r="CV2117">
        <v>17.27</v>
      </c>
      <c r="CW2117">
        <v>1.58</v>
      </c>
      <c r="CX2117" t="s">
        <v>2771</v>
      </c>
      <c r="CY2117">
        <v>11.93</v>
      </c>
      <c r="CZ2117">
        <v>0</v>
      </c>
      <c r="DA2117">
        <v>5.45</v>
      </c>
      <c r="DB2117">
        <v>5.26</v>
      </c>
      <c r="DC2117">
        <v>2.09</v>
      </c>
      <c r="DD2117">
        <v>77.41</v>
      </c>
      <c r="DE2117" t="s">
        <v>10318</v>
      </c>
      <c r="DF2117">
        <v>55.98</v>
      </c>
      <c r="DG2117">
        <v>55.05</v>
      </c>
      <c r="DH2117">
        <v>54.91</v>
      </c>
      <c r="DI2117">
        <v>0.22</v>
      </c>
      <c r="DJ2117">
        <v>326</v>
      </c>
      <c r="DK2117">
        <v>300770</v>
      </c>
      <c r="DL2117" t="s">
        <v>120</v>
      </c>
      <c r="DM2117" t="s">
        <v>120</v>
      </c>
      <c r="DN2117" t="s">
        <v>120</v>
      </c>
    </row>
    <row r="2118" spans="1:118">
      <c r="A2118" t="str">
        <f>"300771"</f>
        <v>300771</v>
      </c>
      <c r="B2118" t="s">
        <v>10319</v>
      </c>
      <c r="C2118">
        <v>1.22</v>
      </c>
      <c r="D2118">
        <v>0.17</v>
      </c>
      <c r="E2118">
        <v>-0.39</v>
      </c>
      <c r="F2118">
        <v>200</v>
      </c>
      <c r="G2118" t="s">
        <v>10320</v>
      </c>
      <c r="H2118">
        <v>4179.68</v>
      </c>
      <c r="I2118">
        <v>2.86</v>
      </c>
      <c r="J2118" t="s">
        <v>120</v>
      </c>
      <c r="K2118" t="s">
        <v>10320</v>
      </c>
      <c r="L2118">
        <v>3</v>
      </c>
      <c r="M2118">
        <v>18.18</v>
      </c>
      <c r="N2118">
        <v>1.24</v>
      </c>
      <c r="O2118">
        <v>3.62</v>
      </c>
      <c r="P2118">
        <v>18.61</v>
      </c>
      <c r="Q2118">
        <v>-0.56000000000000005</v>
      </c>
      <c r="R2118">
        <v>17.86</v>
      </c>
      <c r="S2118">
        <v>17.89</v>
      </c>
      <c r="T2118">
        <v>22824</v>
      </c>
      <c r="U2118">
        <v>18.18</v>
      </c>
      <c r="V2118">
        <v>17.96</v>
      </c>
      <c r="W2118">
        <v>31.52</v>
      </c>
      <c r="X2118" t="s">
        <v>238</v>
      </c>
      <c r="Y2118" t="s">
        <v>123</v>
      </c>
      <c r="Z2118">
        <v>4.18</v>
      </c>
      <c r="AA2118">
        <v>18.309999999999999</v>
      </c>
      <c r="AB2118">
        <v>8900</v>
      </c>
      <c r="AC2118">
        <v>13924</v>
      </c>
      <c r="AD2118">
        <v>0.64</v>
      </c>
      <c r="AE2118">
        <v>44</v>
      </c>
      <c r="AF2118">
        <v>14</v>
      </c>
      <c r="AG2118" t="s">
        <v>120</v>
      </c>
      <c r="AH2118">
        <v>0</v>
      </c>
      <c r="AI2118" t="s">
        <v>120</v>
      </c>
      <c r="AJ2118">
        <v>0.76</v>
      </c>
      <c r="AK2118" t="s">
        <v>10321</v>
      </c>
      <c r="AL2118">
        <v>3.14</v>
      </c>
      <c r="AM2118">
        <v>1426</v>
      </c>
      <c r="AN2118">
        <v>16</v>
      </c>
      <c r="AO2118">
        <v>2.0999999999999999E-3</v>
      </c>
      <c r="AP2118">
        <v>1</v>
      </c>
      <c r="AQ2118">
        <v>-0.5</v>
      </c>
      <c r="AR2118">
        <v>-1.31</v>
      </c>
      <c r="AS2118">
        <v>3.64</v>
      </c>
      <c r="AT2118">
        <v>-27.42</v>
      </c>
      <c r="AU2118">
        <v>-34.979999999999997</v>
      </c>
      <c r="AV2118">
        <v>0</v>
      </c>
      <c r="AW2118">
        <v>3</v>
      </c>
      <c r="AX2118">
        <v>47.57</v>
      </c>
      <c r="AY2118">
        <v>16.8</v>
      </c>
      <c r="AZ2118">
        <v>12</v>
      </c>
      <c r="BA2118">
        <v>0.78</v>
      </c>
      <c r="BB2118" t="s">
        <v>143</v>
      </c>
      <c r="BF2118">
        <v>1.96</v>
      </c>
      <c r="BG2118">
        <v>1.62</v>
      </c>
      <c r="BH2118">
        <v>-2.31</v>
      </c>
      <c r="BI2118">
        <v>1.79</v>
      </c>
      <c r="BJ2118">
        <v>20210913</v>
      </c>
      <c r="BK2118">
        <v>20190422</v>
      </c>
      <c r="BL2118">
        <v>1.6</v>
      </c>
      <c r="BM2118" t="s">
        <v>120</v>
      </c>
      <c r="BN2118" t="s">
        <v>120</v>
      </c>
      <c r="BO2118">
        <v>21.94</v>
      </c>
      <c r="BP2118">
        <v>18.170000000000002</v>
      </c>
      <c r="BQ2118">
        <v>17.53</v>
      </c>
      <c r="BR2118">
        <v>0</v>
      </c>
      <c r="BS2118">
        <v>20.11</v>
      </c>
      <c r="BT2118">
        <v>18.43</v>
      </c>
      <c r="BU2118">
        <v>1.61</v>
      </c>
      <c r="BV2118">
        <v>0.27</v>
      </c>
      <c r="BW2118">
        <v>4.1399999999999997</v>
      </c>
      <c r="BX2118">
        <v>11.78</v>
      </c>
      <c r="BY2118">
        <v>3.75</v>
      </c>
      <c r="BZ2118">
        <v>1.35</v>
      </c>
      <c r="CA2118" t="s">
        <v>120</v>
      </c>
      <c r="CB2118">
        <v>7.72</v>
      </c>
      <c r="CC2118">
        <v>5.49</v>
      </c>
      <c r="CD2118">
        <v>3.39</v>
      </c>
      <c r="CE2118">
        <v>0.56999999999999995</v>
      </c>
      <c r="CF2118">
        <v>0.01</v>
      </c>
      <c r="CG2118">
        <v>0.56999999999999995</v>
      </c>
      <c r="CH2118">
        <v>0.46</v>
      </c>
      <c r="CI2118">
        <v>0.46</v>
      </c>
      <c r="CJ2118">
        <v>0.22</v>
      </c>
      <c r="CK2118">
        <v>0.41</v>
      </c>
      <c r="CL2118">
        <v>7.59</v>
      </c>
      <c r="CM2118">
        <v>-0.28000000000000003</v>
      </c>
      <c r="CN2118">
        <v>-0.54</v>
      </c>
      <c r="CO2118">
        <v>14722</v>
      </c>
      <c r="CP2118">
        <v>5170</v>
      </c>
      <c r="CQ2118" t="s">
        <v>7480</v>
      </c>
      <c r="CR2118">
        <v>-59.7</v>
      </c>
      <c r="CS2118">
        <v>14.98</v>
      </c>
      <c r="CT2118">
        <v>1.66</v>
      </c>
      <c r="CU2118">
        <v>-103.6</v>
      </c>
      <c r="CV2118">
        <v>5.3</v>
      </c>
      <c r="CW2118">
        <v>2.23</v>
      </c>
      <c r="CX2118" t="s">
        <v>293</v>
      </c>
      <c r="CY2118">
        <v>10.96</v>
      </c>
      <c r="CZ2118">
        <v>0</v>
      </c>
      <c r="DA2118">
        <v>4.83</v>
      </c>
      <c r="DB2118">
        <v>4.74</v>
      </c>
      <c r="DC2118">
        <v>-0.18</v>
      </c>
      <c r="DD2118">
        <v>79.89</v>
      </c>
      <c r="DE2118" t="s">
        <v>1861</v>
      </c>
      <c r="DF2118">
        <v>38.29</v>
      </c>
      <c r="DG2118">
        <v>10.33</v>
      </c>
      <c r="DH2118">
        <v>8.41</v>
      </c>
      <c r="DI2118">
        <v>0.47</v>
      </c>
      <c r="DJ2118">
        <v>2318</v>
      </c>
      <c r="DK2118">
        <v>300771</v>
      </c>
      <c r="DL2118" t="s">
        <v>120</v>
      </c>
      <c r="DM2118" t="s">
        <v>120</v>
      </c>
      <c r="DN2118" t="s">
        <v>120</v>
      </c>
    </row>
    <row r="2119" spans="1:118">
      <c r="A2119" t="str">
        <f>"300772"</f>
        <v>300772</v>
      </c>
      <c r="B2119" t="s">
        <v>10322</v>
      </c>
      <c r="C2119">
        <v>-3.17</v>
      </c>
      <c r="D2119">
        <v>-0.2</v>
      </c>
      <c r="E2119">
        <v>0.44</v>
      </c>
      <c r="F2119">
        <v>1461</v>
      </c>
      <c r="G2119" t="s">
        <v>4195</v>
      </c>
      <c r="H2119">
        <v>171693.19</v>
      </c>
      <c r="I2119">
        <v>1654</v>
      </c>
      <c r="J2119" t="s">
        <v>120</v>
      </c>
      <c r="K2119" t="s">
        <v>10323</v>
      </c>
      <c r="L2119">
        <v>17.7</v>
      </c>
      <c r="M2119">
        <v>48.2</v>
      </c>
      <c r="N2119">
        <v>1.55</v>
      </c>
      <c r="O2119">
        <v>9.52</v>
      </c>
      <c r="P2119">
        <v>54.52</v>
      </c>
      <c r="Q2119">
        <v>-4.9800000000000004</v>
      </c>
      <c r="R2119">
        <v>47.3</v>
      </c>
      <c r="S2119">
        <v>50</v>
      </c>
      <c r="T2119">
        <v>335470</v>
      </c>
      <c r="U2119">
        <v>48.2</v>
      </c>
      <c r="V2119">
        <v>49.78</v>
      </c>
      <c r="W2119">
        <v>63.56</v>
      </c>
      <c r="X2119" t="s">
        <v>394</v>
      </c>
      <c r="Y2119" t="s">
        <v>585</v>
      </c>
      <c r="Z2119">
        <v>14.5</v>
      </c>
      <c r="AA2119">
        <v>51.18</v>
      </c>
      <c r="AB2119">
        <v>178542</v>
      </c>
      <c r="AC2119">
        <v>156928</v>
      </c>
      <c r="AD2119">
        <v>1.1399999999999999</v>
      </c>
      <c r="AE2119">
        <v>2</v>
      </c>
      <c r="AF2119">
        <v>65</v>
      </c>
      <c r="AG2119" t="s">
        <v>120</v>
      </c>
      <c r="AH2119">
        <v>0.2</v>
      </c>
      <c r="AI2119" t="s">
        <v>120</v>
      </c>
      <c r="AJ2119">
        <v>1.9</v>
      </c>
      <c r="AK2119" t="s">
        <v>4179</v>
      </c>
      <c r="AL2119">
        <v>-1.26</v>
      </c>
      <c r="AM2119">
        <v>4642</v>
      </c>
      <c r="AN2119">
        <v>72</v>
      </c>
      <c r="AO2119">
        <v>3.8E-3</v>
      </c>
      <c r="AP2119">
        <v>-1</v>
      </c>
      <c r="AQ2119">
        <v>12.12</v>
      </c>
      <c r="AR2119">
        <v>13.15</v>
      </c>
      <c r="AS2119">
        <v>60.99</v>
      </c>
      <c r="AT2119">
        <v>159.84</v>
      </c>
      <c r="AU2119">
        <v>191.24</v>
      </c>
      <c r="AV2119">
        <v>1</v>
      </c>
      <c r="AW2119">
        <v>20.13</v>
      </c>
      <c r="AX2119">
        <v>49.54</v>
      </c>
      <c r="AY2119">
        <v>61.68</v>
      </c>
      <c r="AZ2119">
        <v>96.81</v>
      </c>
      <c r="BA2119">
        <v>0.56999999999999995</v>
      </c>
      <c r="BB2119" t="s">
        <v>700</v>
      </c>
      <c r="BF2119">
        <v>2.81</v>
      </c>
      <c r="BG2119">
        <v>-3.6</v>
      </c>
      <c r="BH2119">
        <v>-11.59</v>
      </c>
      <c r="BI2119">
        <v>1.9</v>
      </c>
      <c r="BJ2119">
        <v>20210904</v>
      </c>
      <c r="BK2119">
        <v>20190426</v>
      </c>
      <c r="BL2119">
        <v>3.36</v>
      </c>
      <c r="BM2119" t="s">
        <v>120</v>
      </c>
      <c r="BN2119" t="s">
        <v>120</v>
      </c>
      <c r="BO2119">
        <v>167.56</v>
      </c>
      <c r="BP2119">
        <v>48.13</v>
      </c>
      <c r="BQ2119">
        <v>19.149999999999999</v>
      </c>
      <c r="BR2119">
        <v>0.62</v>
      </c>
      <c r="BS2119">
        <v>88.2</v>
      </c>
      <c r="BT2119">
        <v>117.55</v>
      </c>
      <c r="BU2119">
        <v>10.92</v>
      </c>
      <c r="BV2119">
        <v>0.57999999999999996</v>
      </c>
      <c r="BW2119">
        <v>127.71</v>
      </c>
      <c r="BX2119">
        <v>17.57</v>
      </c>
      <c r="BY2119">
        <v>37.75</v>
      </c>
      <c r="BZ2119">
        <v>51.25</v>
      </c>
      <c r="CA2119" t="s">
        <v>120</v>
      </c>
      <c r="CB2119">
        <v>7.39</v>
      </c>
      <c r="CC2119">
        <v>50.08</v>
      </c>
      <c r="CD2119">
        <v>39.909999999999997</v>
      </c>
      <c r="CE2119">
        <v>1.17</v>
      </c>
      <c r="CF2119">
        <v>0.08</v>
      </c>
      <c r="CG2119">
        <v>1.19</v>
      </c>
      <c r="CH2119">
        <v>1.28</v>
      </c>
      <c r="CI2119">
        <v>1.28</v>
      </c>
      <c r="CJ2119">
        <v>-1.58</v>
      </c>
      <c r="CK2119">
        <v>1.23</v>
      </c>
      <c r="CL2119">
        <v>7.12</v>
      </c>
      <c r="CM2119">
        <v>-10.16</v>
      </c>
      <c r="CN2119">
        <v>-10.16</v>
      </c>
      <c r="CO2119">
        <v>12022</v>
      </c>
      <c r="CP2119">
        <v>13865</v>
      </c>
      <c r="CQ2119" t="s">
        <v>10324</v>
      </c>
      <c r="CR2119">
        <v>339.5</v>
      </c>
      <c r="CS2119">
        <v>41.42</v>
      </c>
      <c r="CT2119">
        <v>8.19</v>
      </c>
      <c r="CU2119">
        <v>-15.96</v>
      </c>
      <c r="CV2119">
        <v>3.24</v>
      </c>
      <c r="CW2119">
        <v>0</v>
      </c>
      <c r="CX2119" t="s">
        <v>1462</v>
      </c>
      <c r="CY2119">
        <v>5.89</v>
      </c>
      <c r="CZ2119">
        <v>5.89</v>
      </c>
      <c r="DA2119">
        <v>2.2000000000000002</v>
      </c>
      <c r="DB2119">
        <v>2.12</v>
      </c>
      <c r="DC2119">
        <v>-3.02</v>
      </c>
      <c r="DD2119">
        <v>11.43</v>
      </c>
      <c r="DE2119" t="s">
        <v>10325</v>
      </c>
      <c r="DF2119">
        <v>20.309999999999999</v>
      </c>
      <c r="DG2119">
        <v>2.34</v>
      </c>
      <c r="DH2119">
        <v>2.5499999999999998</v>
      </c>
      <c r="DI2119">
        <v>1.67</v>
      </c>
      <c r="DJ2119">
        <v>1452</v>
      </c>
      <c r="DK2119">
        <v>300772</v>
      </c>
      <c r="DL2119">
        <v>20210721</v>
      </c>
      <c r="DM2119">
        <v>27.98</v>
      </c>
      <c r="DN2119">
        <v>72.27</v>
      </c>
    </row>
    <row r="2120" spans="1:118">
      <c r="A2120" t="str">
        <f>"300773"</f>
        <v>300773</v>
      </c>
      <c r="B2120" t="s">
        <v>10326</v>
      </c>
      <c r="C2120">
        <v>-1.18</v>
      </c>
      <c r="D2120">
        <v>0.32</v>
      </c>
      <c r="E2120">
        <v>0.31</v>
      </c>
      <c r="F2120">
        <v>1619</v>
      </c>
      <c r="G2120" t="s">
        <v>10327</v>
      </c>
      <c r="H2120">
        <v>20125.77</v>
      </c>
      <c r="I2120">
        <v>41.15</v>
      </c>
      <c r="J2120" t="s">
        <v>120</v>
      </c>
      <c r="K2120" t="s">
        <v>10327</v>
      </c>
      <c r="L2120">
        <v>2.0699999999999998</v>
      </c>
      <c r="M2120">
        <v>25.18</v>
      </c>
      <c r="N2120">
        <v>0.9</v>
      </c>
      <c r="O2120">
        <v>1.69</v>
      </c>
      <c r="P2120">
        <v>25.91</v>
      </c>
      <c r="Q2120">
        <v>-1.84</v>
      </c>
      <c r="R2120">
        <v>25.01</v>
      </c>
      <c r="S2120">
        <v>25.56</v>
      </c>
      <c r="T2120">
        <v>79194</v>
      </c>
      <c r="U2120">
        <v>25.18</v>
      </c>
      <c r="V2120">
        <v>25.48</v>
      </c>
      <c r="W2120">
        <v>18.28</v>
      </c>
      <c r="X2120" t="s">
        <v>141</v>
      </c>
      <c r="Y2120" t="s">
        <v>158</v>
      </c>
      <c r="Z2120">
        <v>3.53</v>
      </c>
      <c r="AA2120">
        <v>25.41</v>
      </c>
      <c r="AB2120">
        <v>40784</v>
      </c>
      <c r="AC2120">
        <v>38410</v>
      </c>
      <c r="AD2120">
        <v>1.06</v>
      </c>
      <c r="AE2120">
        <v>20</v>
      </c>
      <c r="AF2120">
        <v>10</v>
      </c>
      <c r="AG2120" t="s">
        <v>120</v>
      </c>
      <c r="AH2120">
        <v>0</v>
      </c>
      <c r="AI2120" t="s">
        <v>120</v>
      </c>
      <c r="AJ2120">
        <v>3.83</v>
      </c>
      <c r="AK2120" t="s">
        <v>10328</v>
      </c>
      <c r="AL2120">
        <v>0.74</v>
      </c>
      <c r="AM2120">
        <v>3260</v>
      </c>
      <c r="AN2120">
        <v>24</v>
      </c>
      <c r="AO2120">
        <v>5.9999999999999995E-4</v>
      </c>
      <c r="AP2120">
        <v>-4</v>
      </c>
      <c r="AQ2120">
        <v>-2.71</v>
      </c>
      <c r="AR2120">
        <v>-5.19</v>
      </c>
      <c r="AS2120">
        <v>-5.23</v>
      </c>
      <c r="AT2120">
        <v>-12.9</v>
      </c>
      <c r="AU2120">
        <v>-12.93</v>
      </c>
      <c r="AV2120">
        <v>0</v>
      </c>
      <c r="AW2120">
        <v>2.0699999999999998</v>
      </c>
      <c r="AX2120">
        <v>47.91</v>
      </c>
      <c r="AY2120">
        <v>19.489999999999998</v>
      </c>
      <c r="AZ2120">
        <v>21.9</v>
      </c>
      <c r="BA2120">
        <v>0.59</v>
      </c>
      <c r="BB2120" t="s">
        <v>1723</v>
      </c>
      <c r="BF2120">
        <v>-0.26</v>
      </c>
      <c r="BG2120">
        <v>-1.49</v>
      </c>
      <c r="BH2120">
        <v>-2.82</v>
      </c>
      <c r="BI2120">
        <v>0.68</v>
      </c>
      <c r="BJ2120">
        <v>20210818</v>
      </c>
      <c r="BK2120">
        <v>20190425</v>
      </c>
      <c r="BL2120">
        <v>8</v>
      </c>
      <c r="BM2120" t="s">
        <v>120</v>
      </c>
      <c r="BN2120" t="s">
        <v>120</v>
      </c>
      <c r="BO2120">
        <v>114.6</v>
      </c>
      <c r="BP2120">
        <v>25.15</v>
      </c>
      <c r="BQ2120">
        <v>42.57</v>
      </c>
      <c r="BR2120">
        <v>0.03</v>
      </c>
      <c r="BS2120">
        <v>62.82</v>
      </c>
      <c r="BT2120">
        <v>78.28</v>
      </c>
      <c r="BU2120">
        <v>17.059999999999999</v>
      </c>
      <c r="BV2120">
        <v>0.51</v>
      </c>
      <c r="BW2120">
        <v>70.62</v>
      </c>
      <c r="BX2120">
        <v>66.849999999999994</v>
      </c>
      <c r="BY2120">
        <v>0.1</v>
      </c>
      <c r="BZ2120">
        <v>8.5299999999999994</v>
      </c>
      <c r="CA2120">
        <v>0.14000000000000001</v>
      </c>
      <c r="CB2120">
        <v>20.02</v>
      </c>
      <c r="CC2120">
        <v>32.950000000000003</v>
      </c>
      <c r="CD2120">
        <v>21.45</v>
      </c>
      <c r="CE2120">
        <v>6.49</v>
      </c>
      <c r="CF2120">
        <v>0.18</v>
      </c>
      <c r="CG2120">
        <v>6.47</v>
      </c>
      <c r="CH2120">
        <v>5.52</v>
      </c>
      <c r="CI2120">
        <v>5.51</v>
      </c>
      <c r="CJ2120">
        <v>-0.3</v>
      </c>
      <c r="CK2120">
        <v>4.95</v>
      </c>
      <c r="CL2120">
        <v>17.25</v>
      </c>
      <c r="CM2120">
        <v>6.54</v>
      </c>
      <c r="CN2120">
        <v>-7.41</v>
      </c>
      <c r="CO2120">
        <v>60523</v>
      </c>
      <c r="CP2120">
        <v>6333</v>
      </c>
      <c r="CQ2120" t="s">
        <v>10329</v>
      </c>
      <c r="CR2120">
        <v>26.41</v>
      </c>
      <c r="CS2120">
        <v>31.52</v>
      </c>
      <c r="CT2120">
        <v>4.7300000000000004</v>
      </c>
      <c r="CU2120">
        <v>30.79</v>
      </c>
      <c r="CV2120">
        <v>6.11</v>
      </c>
      <c r="CW2120">
        <v>3.83</v>
      </c>
      <c r="CX2120" t="s">
        <v>2021</v>
      </c>
      <c r="CY2120">
        <v>5.32</v>
      </c>
      <c r="CZ2120">
        <v>0</v>
      </c>
      <c r="DA2120">
        <v>2.5</v>
      </c>
      <c r="DB2120">
        <v>2.16</v>
      </c>
      <c r="DC2120">
        <v>0.82</v>
      </c>
      <c r="DD2120">
        <v>37.15</v>
      </c>
      <c r="DE2120" t="s">
        <v>10330</v>
      </c>
      <c r="DF2120">
        <v>34.909999999999997</v>
      </c>
      <c r="DG2120">
        <v>19.68</v>
      </c>
      <c r="DH2120">
        <v>16.72</v>
      </c>
      <c r="DI2120">
        <v>1.25</v>
      </c>
      <c r="DJ2120">
        <v>3215</v>
      </c>
      <c r="DK2120">
        <v>300773</v>
      </c>
      <c r="DL2120" t="s">
        <v>120</v>
      </c>
      <c r="DM2120" t="s">
        <v>120</v>
      </c>
      <c r="DN2120" t="s">
        <v>120</v>
      </c>
    </row>
    <row r="2121" spans="1:118">
      <c r="A2121" t="str">
        <f>"300774"</f>
        <v>300774</v>
      </c>
      <c r="B2121" t="s">
        <v>10331</v>
      </c>
      <c r="C2121">
        <v>-1.87</v>
      </c>
      <c r="D2121">
        <v>-0.17</v>
      </c>
      <c r="E2121">
        <v>2.1</v>
      </c>
      <c r="F2121">
        <v>762</v>
      </c>
      <c r="G2121" t="s">
        <v>10332</v>
      </c>
      <c r="H2121">
        <v>8408.17</v>
      </c>
      <c r="I2121">
        <v>278.11</v>
      </c>
      <c r="J2121" t="s">
        <v>120</v>
      </c>
      <c r="K2121" t="s">
        <v>10332</v>
      </c>
      <c r="L2121">
        <v>12.91</v>
      </c>
      <c r="M2121">
        <v>16.8</v>
      </c>
      <c r="N2121">
        <v>0.89</v>
      </c>
      <c r="O2121">
        <v>2.1</v>
      </c>
      <c r="P2121">
        <v>17.48</v>
      </c>
      <c r="Q2121">
        <v>-2.92</v>
      </c>
      <c r="R2121">
        <v>16.62</v>
      </c>
      <c r="S2121">
        <v>17.48</v>
      </c>
      <c r="T2121">
        <v>49548</v>
      </c>
      <c r="U2121">
        <v>16.8</v>
      </c>
      <c r="V2121">
        <v>17.12</v>
      </c>
      <c r="W2121">
        <v>47.56</v>
      </c>
      <c r="X2121" t="s">
        <v>318</v>
      </c>
      <c r="Y2121" t="s">
        <v>158</v>
      </c>
      <c r="Z2121">
        <v>5.0199999999999996</v>
      </c>
      <c r="AA2121">
        <v>16.97</v>
      </c>
      <c r="AB2121">
        <v>30309</v>
      </c>
      <c r="AC2121">
        <v>19239</v>
      </c>
      <c r="AD2121">
        <v>1.58</v>
      </c>
      <c r="AE2121">
        <v>22</v>
      </c>
      <c r="AF2121">
        <v>242</v>
      </c>
      <c r="AG2121" t="s">
        <v>120</v>
      </c>
      <c r="AH2121">
        <v>0.41</v>
      </c>
      <c r="AI2121" t="s">
        <v>120</v>
      </c>
      <c r="AJ2121">
        <v>0.38</v>
      </c>
      <c r="AK2121" t="s">
        <v>10333</v>
      </c>
      <c r="AL2121">
        <v>0.04</v>
      </c>
      <c r="AM2121">
        <v>1976</v>
      </c>
      <c r="AN2121">
        <v>25</v>
      </c>
      <c r="AO2121">
        <v>6.4999999999999997E-3</v>
      </c>
      <c r="AP2121">
        <v>-1</v>
      </c>
      <c r="AQ2121">
        <v>0.06</v>
      </c>
      <c r="AR2121">
        <v>-2.1</v>
      </c>
      <c r="AS2121">
        <v>-3.51</v>
      </c>
      <c r="AT2121">
        <v>267.62</v>
      </c>
      <c r="AU2121">
        <v>267.62</v>
      </c>
      <c r="AV2121">
        <v>0</v>
      </c>
      <c r="AW2121">
        <v>12.91</v>
      </c>
      <c r="AX2121">
        <v>9.39</v>
      </c>
      <c r="AY2121">
        <v>38.380000000000003</v>
      </c>
      <c r="AZ2121">
        <v>46.84</v>
      </c>
      <c r="BA2121">
        <v>0</v>
      </c>
      <c r="BB2121" t="s">
        <v>168</v>
      </c>
      <c r="BF2121">
        <v>-0.88</v>
      </c>
      <c r="BG2121">
        <v>-3.89</v>
      </c>
      <c r="BH2121">
        <v>-3.89</v>
      </c>
      <c r="BI2121">
        <v>1.08</v>
      </c>
      <c r="BJ2121">
        <v>20210828</v>
      </c>
      <c r="BK2121">
        <v>20210804</v>
      </c>
      <c r="BL2121">
        <v>4.09</v>
      </c>
      <c r="BM2121" t="s">
        <v>120</v>
      </c>
      <c r="BN2121" t="s">
        <v>120</v>
      </c>
      <c r="BO2121">
        <v>16.93</v>
      </c>
      <c r="BP2121">
        <v>16.79</v>
      </c>
      <c r="BQ2121">
        <v>11.89</v>
      </c>
      <c r="BR2121">
        <v>0.18</v>
      </c>
      <c r="BS2121">
        <v>28.72</v>
      </c>
      <c r="BT2121">
        <v>11.78</v>
      </c>
      <c r="BU2121">
        <v>0.7</v>
      </c>
      <c r="BV2121">
        <v>2.98</v>
      </c>
      <c r="BW2121">
        <v>4.76</v>
      </c>
      <c r="BX2121">
        <v>3.51</v>
      </c>
      <c r="BY2121">
        <v>1.36</v>
      </c>
      <c r="BZ2121">
        <v>2.92</v>
      </c>
      <c r="CA2121" t="s">
        <v>120</v>
      </c>
      <c r="CB2121">
        <v>4.0599999999999996</v>
      </c>
      <c r="CC2121">
        <v>3.12</v>
      </c>
      <c r="CD2121">
        <v>2.0299999999999998</v>
      </c>
      <c r="CE2121">
        <v>0.87</v>
      </c>
      <c r="CF2121">
        <v>0.04</v>
      </c>
      <c r="CG2121">
        <v>0.85</v>
      </c>
      <c r="CH2121">
        <v>0.74</v>
      </c>
      <c r="CI2121">
        <v>0.72</v>
      </c>
      <c r="CJ2121">
        <v>-0.32</v>
      </c>
      <c r="CK2121">
        <v>0.7</v>
      </c>
      <c r="CL2121">
        <v>3.62</v>
      </c>
      <c r="CM2121">
        <v>-1.44</v>
      </c>
      <c r="CN2121">
        <v>-3.21</v>
      </c>
      <c r="CO2121">
        <v>38475</v>
      </c>
      <c r="CP2121">
        <v>997</v>
      </c>
      <c r="CQ2121" t="s">
        <v>10334</v>
      </c>
      <c r="CR2121">
        <v>0</v>
      </c>
      <c r="CS2121">
        <v>0</v>
      </c>
      <c r="CT2121">
        <v>5.14</v>
      </c>
      <c r="CU2121">
        <v>-47.81</v>
      </c>
      <c r="CV2121">
        <v>21.99</v>
      </c>
      <c r="CW2121">
        <v>0</v>
      </c>
      <c r="CX2121" t="s">
        <v>492</v>
      </c>
      <c r="CY2121">
        <v>3.27</v>
      </c>
      <c r="CZ2121">
        <v>3.27</v>
      </c>
      <c r="DA2121">
        <v>0.99</v>
      </c>
      <c r="DB2121">
        <v>0.89</v>
      </c>
      <c r="DC2121">
        <v>-0.35</v>
      </c>
      <c r="DD2121">
        <v>70.23</v>
      </c>
      <c r="DE2121" t="s">
        <v>10197</v>
      </c>
      <c r="DF2121">
        <v>35</v>
      </c>
      <c r="DG2121">
        <v>27.72</v>
      </c>
      <c r="DH2121">
        <v>23.12</v>
      </c>
      <c r="DI2121">
        <v>0.09</v>
      </c>
      <c r="DJ2121">
        <v>414</v>
      </c>
      <c r="DK2121">
        <v>300774</v>
      </c>
      <c r="DL2121" t="s">
        <v>120</v>
      </c>
      <c r="DM2121" t="s">
        <v>120</v>
      </c>
      <c r="DN2121" t="s">
        <v>120</v>
      </c>
    </row>
    <row r="2122" spans="1:118">
      <c r="A2122" t="str">
        <f>"300775"</f>
        <v>300775</v>
      </c>
      <c r="B2122" t="s">
        <v>10335</v>
      </c>
      <c r="C2122">
        <v>-1.72</v>
      </c>
      <c r="D2122">
        <v>-0.04</v>
      </c>
      <c r="E2122">
        <v>0</v>
      </c>
      <c r="F2122">
        <v>1010</v>
      </c>
      <c r="G2122" t="s">
        <v>10336</v>
      </c>
      <c r="H2122">
        <v>28328.92</v>
      </c>
      <c r="I2122">
        <v>108.61</v>
      </c>
      <c r="J2122" t="s">
        <v>120</v>
      </c>
      <c r="K2122" t="s">
        <v>10336</v>
      </c>
      <c r="L2122">
        <v>2.4</v>
      </c>
      <c r="M2122">
        <v>44.11</v>
      </c>
      <c r="N2122">
        <v>0.81</v>
      </c>
      <c r="O2122">
        <v>1.67</v>
      </c>
      <c r="P2122">
        <v>45.63</v>
      </c>
      <c r="Q2122">
        <v>-2.41</v>
      </c>
      <c r="R2122">
        <v>43.8</v>
      </c>
      <c r="S2122">
        <v>44.88</v>
      </c>
      <c r="T2122">
        <v>63399</v>
      </c>
      <c r="U2122">
        <v>44.11</v>
      </c>
      <c r="V2122">
        <v>44.88</v>
      </c>
      <c r="W2122">
        <v>66.180000000000007</v>
      </c>
      <c r="X2122" t="s">
        <v>1621</v>
      </c>
      <c r="Y2122" t="s">
        <v>890</v>
      </c>
      <c r="Z2122">
        <v>4.08</v>
      </c>
      <c r="AA2122">
        <v>44.68</v>
      </c>
      <c r="AB2122">
        <v>33210</v>
      </c>
      <c r="AC2122">
        <v>30189</v>
      </c>
      <c r="AD2122">
        <v>1.1000000000000001</v>
      </c>
      <c r="AE2122">
        <v>59</v>
      </c>
      <c r="AF2122">
        <v>25</v>
      </c>
      <c r="AG2122" t="s">
        <v>120</v>
      </c>
      <c r="AH2122">
        <v>0.01</v>
      </c>
      <c r="AI2122" t="s">
        <v>120</v>
      </c>
      <c r="AJ2122">
        <v>2.64</v>
      </c>
      <c r="AK2122" t="s">
        <v>10337</v>
      </c>
      <c r="AL2122">
        <v>0.2</v>
      </c>
      <c r="AM2122">
        <v>3383</v>
      </c>
      <c r="AN2122">
        <v>19</v>
      </c>
      <c r="AO2122">
        <v>6.9999999999999999E-4</v>
      </c>
      <c r="AP2122">
        <v>-1</v>
      </c>
      <c r="AQ2122">
        <v>1.68</v>
      </c>
      <c r="AR2122">
        <v>-4.75</v>
      </c>
      <c r="AS2122">
        <v>-13.51</v>
      </c>
      <c r="AT2122">
        <v>17.13</v>
      </c>
      <c r="AU2122">
        <v>12.13</v>
      </c>
      <c r="AV2122">
        <v>0</v>
      </c>
      <c r="AW2122">
        <v>2.4</v>
      </c>
      <c r="AX2122">
        <v>53.28</v>
      </c>
      <c r="AY2122">
        <v>82.7</v>
      </c>
      <c r="AZ2122">
        <v>108.79</v>
      </c>
      <c r="BA2122">
        <v>1.19</v>
      </c>
      <c r="BB2122" t="s">
        <v>143</v>
      </c>
      <c r="BF2122">
        <v>-0.44</v>
      </c>
      <c r="BG2122">
        <v>-1.72</v>
      </c>
      <c r="BH2122">
        <v>-3.33</v>
      </c>
      <c r="BI2122">
        <v>0.71</v>
      </c>
      <c r="BJ2122">
        <v>20210813</v>
      </c>
      <c r="BK2122">
        <v>20190521</v>
      </c>
      <c r="BL2122">
        <v>4.96</v>
      </c>
      <c r="BM2122" t="s">
        <v>120</v>
      </c>
      <c r="BN2122" t="s">
        <v>120</v>
      </c>
      <c r="BO2122">
        <v>35.85</v>
      </c>
      <c r="BP2122">
        <v>44.1</v>
      </c>
      <c r="BQ2122">
        <v>22.09</v>
      </c>
      <c r="BR2122" t="s">
        <v>120</v>
      </c>
      <c r="BS2122">
        <v>38.39</v>
      </c>
      <c r="BT2122">
        <v>28.06</v>
      </c>
      <c r="BU2122">
        <v>5.75</v>
      </c>
      <c r="BV2122">
        <v>0.62</v>
      </c>
      <c r="BW2122">
        <v>5.65</v>
      </c>
      <c r="BX2122">
        <v>12</v>
      </c>
      <c r="BY2122">
        <v>8.58</v>
      </c>
      <c r="BZ2122">
        <v>5.66</v>
      </c>
      <c r="CA2122" t="s">
        <v>120</v>
      </c>
      <c r="CB2122">
        <v>7.73</v>
      </c>
      <c r="CC2122">
        <v>4.67</v>
      </c>
      <c r="CD2122">
        <v>2.48</v>
      </c>
      <c r="CE2122">
        <v>1.9</v>
      </c>
      <c r="CF2122">
        <v>0</v>
      </c>
      <c r="CG2122">
        <v>1.9</v>
      </c>
      <c r="CH2122">
        <v>1.65</v>
      </c>
      <c r="CI2122">
        <v>1.65</v>
      </c>
      <c r="CJ2122">
        <v>-0.77</v>
      </c>
      <c r="CK2122">
        <v>1.59</v>
      </c>
      <c r="CL2122">
        <v>7.07</v>
      </c>
      <c r="CM2122">
        <v>0.15</v>
      </c>
      <c r="CN2122">
        <v>8.33</v>
      </c>
      <c r="CO2122">
        <v>24172</v>
      </c>
      <c r="CP2122">
        <v>10922</v>
      </c>
      <c r="CQ2122" t="s">
        <v>10338</v>
      </c>
      <c r="CR2122">
        <v>64.06</v>
      </c>
      <c r="CS2122">
        <v>45.28</v>
      </c>
      <c r="CT2122">
        <v>10.66</v>
      </c>
      <c r="CU2122">
        <v>1414.24</v>
      </c>
      <c r="CV2122">
        <v>46.83</v>
      </c>
      <c r="CW2122">
        <v>0.18</v>
      </c>
      <c r="CX2122" t="s">
        <v>2443</v>
      </c>
      <c r="CY2122">
        <v>4.1399999999999997</v>
      </c>
      <c r="CZ2122">
        <v>4.1399999999999997</v>
      </c>
      <c r="DA2122">
        <v>1.56</v>
      </c>
      <c r="DB2122">
        <v>1.43</v>
      </c>
      <c r="DC2122">
        <v>0.03</v>
      </c>
      <c r="DD2122">
        <v>61.61</v>
      </c>
      <c r="DE2122" t="s">
        <v>920</v>
      </c>
      <c r="DF2122">
        <v>46.9</v>
      </c>
      <c r="DG2122">
        <v>40.799999999999997</v>
      </c>
      <c r="DH2122">
        <v>35.380000000000003</v>
      </c>
      <c r="DI2122">
        <v>0.19</v>
      </c>
      <c r="DJ2122">
        <v>306</v>
      </c>
      <c r="DK2122">
        <v>300775</v>
      </c>
      <c r="DL2122" t="s">
        <v>120</v>
      </c>
      <c r="DM2122" t="s">
        <v>120</v>
      </c>
      <c r="DN2122" t="s">
        <v>120</v>
      </c>
    </row>
    <row r="2123" spans="1:118">
      <c r="A2123" t="str">
        <f>"300776"</f>
        <v>300776</v>
      </c>
      <c r="B2123" t="s">
        <v>10339</v>
      </c>
      <c r="C2123">
        <v>-5.33</v>
      </c>
      <c r="D2123">
        <v>0.01</v>
      </c>
      <c r="E2123">
        <v>-0.47</v>
      </c>
      <c r="F2123">
        <v>89</v>
      </c>
      <c r="G2123" t="s">
        <v>10340</v>
      </c>
      <c r="H2123">
        <v>20489.95</v>
      </c>
      <c r="I2123">
        <v>23.97</v>
      </c>
      <c r="J2123" t="s">
        <v>120</v>
      </c>
      <c r="K2123" t="s">
        <v>10341</v>
      </c>
      <c r="L2123">
        <v>2.81</v>
      </c>
      <c r="M2123">
        <v>152</v>
      </c>
      <c r="N2123">
        <v>1.49</v>
      </c>
      <c r="O2123">
        <v>0.9</v>
      </c>
      <c r="P2123">
        <v>162</v>
      </c>
      <c r="Q2123">
        <v>-5.95</v>
      </c>
      <c r="R2123">
        <v>151</v>
      </c>
      <c r="S2123">
        <v>159.81</v>
      </c>
      <c r="T2123">
        <v>13237</v>
      </c>
      <c r="U2123">
        <v>152</v>
      </c>
      <c r="V2123">
        <v>160.56</v>
      </c>
      <c r="W2123">
        <v>45.21</v>
      </c>
      <c r="X2123" t="s">
        <v>675</v>
      </c>
      <c r="Y2123" t="s">
        <v>763</v>
      </c>
      <c r="Z2123">
        <v>6.85</v>
      </c>
      <c r="AA2123">
        <v>154.79</v>
      </c>
      <c r="AB2123">
        <v>6988</v>
      </c>
      <c r="AC2123">
        <v>6249</v>
      </c>
      <c r="AD2123">
        <v>1.1200000000000001</v>
      </c>
      <c r="AE2123">
        <v>13</v>
      </c>
      <c r="AF2123">
        <v>8</v>
      </c>
      <c r="AG2123" t="s">
        <v>120</v>
      </c>
      <c r="AH2123">
        <v>0</v>
      </c>
      <c r="AI2123" t="s">
        <v>120</v>
      </c>
      <c r="AJ2123">
        <v>0.47</v>
      </c>
      <c r="AK2123" t="s">
        <v>10342</v>
      </c>
      <c r="AL2123">
        <v>-3.42</v>
      </c>
      <c r="AM2123">
        <v>2579</v>
      </c>
      <c r="AN2123">
        <v>5</v>
      </c>
      <c r="AO2123">
        <v>1.1000000000000001E-3</v>
      </c>
      <c r="AP2123">
        <v>-2</v>
      </c>
      <c r="AQ2123">
        <v>-1.86</v>
      </c>
      <c r="AR2123">
        <v>-5.74</v>
      </c>
      <c r="AS2123">
        <v>0.99</v>
      </c>
      <c r="AT2123">
        <v>-0.46</v>
      </c>
      <c r="AU2123">
        <v>1.7</v>
      </c>
      <c r="AV2123">
        <v>1</v>
      </c>
      <c r="AW2123">
        <v>2.94</v>
      </c>
      <c r="AX2123">
        <v>42.63</v>
      </c>
      <c r="AY2123">
        <v>43.63</v>
      </c>
      <c r="AZ2123">
        <v>45.52</v>
      </c>
      <c r="BA2123">
        <v>0.9</v>
      </c>
      <c r="BB2123" t="s">
        <v>143</v>
      </c>
      <c r="BF2123">
        <v>-3.59</v>
      </c>
      <c r="BG2123">
        <v>-4.8899999999999997</v>
      </c>
      <c r="BH2123">
        <v>-6.17</v>
      </c>
      <c r="BI2123">
        <v>0.66</v>
      </c>
      <c r="BJ2123">
        <v>20210826</v>
      </c>
      <c r="BK2123">
        <v>20190517</v>
      </c>
      <c r="BL2123">
        <v>1.06</v>
      </c>
      <c r="BM2123" t="s">
        <v>120</v>
      </c>
      <c r="BN2123" t="s">
        <v>120</v>
      </c>
      <c r="BO2123">
        <v>28.01</v>
      </c>
      <c r="BP2123">
        <v>151.97999999999999</v>
      </c>
      <c r="BQ2123">
        <v>19.059999999999999</v>
      </c>
      <c r="BR2123" t="s">
        <v>120</v>
      </c>
      <c r="BS2123">
        <v>31.95</v>
      </c>
      <c r="BT2123">
        <v>26.3</v>
      </c>
      <c r="BU2123">
        <v>0.17</v>
      </c>
      <c r="BV2123">
        <v>0.48</v>
      </c>
      <c r="BW2123">
        <v>8.3800000000000008</v>
      </c>
      <c r="BX2123">
        <v>10.61</v>
      </c>
      <c r="BY2123">
        <v>8.2200000000000006</v>
      </c>
      <c r="BZ2123">
        <v>2.42</v>
      </c>
      <c r="CA2123" t="s">
        <v>120</v>
      </c>
      <c r="CB2123">
        <v>8.4600000000000009</v>
      </c>
      <c r="CC2123">
        <v>6</v>
      </c>
      <c r="CD2123">
        <v>3.44</v>
      </c>
      <c r="CE2123">
        <v>2.0299999999999998</v>
      </c>
      <c r="CF2123">
        <v>0</v>
      </c>
      <c r="CG2123">
        <v>2.0299999999999998</v>
      </c>
      <c r="CH2123">
        <v>1.78</v>
      </c>
      <c r="CI2123">
        <v>1.78</v>
      </c>
      <c r="CJ2123">
        <v>-8.56</v>
      </c>
      <c r="CK2123">
        <v>1.69</v>
      </c>
      <c r="CL2123">
        <v>9.0399999999999991</v>
      </c>
      <c r="CM2123">
        <v>0.83</v>
      </c>
      <c r="CN2123">
        <v>-0.16</v>
      </c>
      <c r="CO2123">
        <v>7547</v>
      </c>
      <c r="CP2123">
        <v>5976</v>
      </c>
      <c r="CQ2123" t="s">
        <v>10343</v>
      </c>
      <c r="CR2123">
        <v>10.01</v>
      </c>
      <c r="CS2123">
        <v>34.46</v>
      </c>
      <c r="CT2123">
        <v>8.44</v>
      </c>
      <c r="CU2123">
        <v>193.85</v>
      </c>
      <c r="CV2123">
        <v>26.78</v>
      </c>
      <c r="CW2123">
        <v>0.47</v>
      </c>
      <c r="CX2123" t="s">
        <v>10344</v>
      </c>
      <c r="CY2123">
        <v>18.02</v>
      </c>
      <c r="CZ2123">
        <v>0</v>
      </c>
      <c r="DA2123">
        <v>7.99</v>
      </c>
      <c r="DB2123">
        <v>8.5500000000000007</v>
      </c>
      <c r="DC2123">
        <v>0.78</v>
      </c>
      <c r="DD2123">
        <v>68.05</v>
      </c>
      <c r="DE2123" t="s">
        <v>10345</v>
      </c>
      <c r="DF2123">
        <v>42.75</v>
      </c>
      <c r="DG2123">
        <v>33.799999999999997</v>
      </c>
      <c r="DH2123">
        <v>29.62</v>
      </c>
      <c r="DI2123">
        <v>0.47</v>
      </c>
      <c r="DJ2123">
        <v>491</v>
      </c>
      <c r="DK2123">
        <v>300776</v>
      </c>
      <c r="DL2123" t="s">
        <v>120</v>
      </c>
      <c r="DM2123" t="s">
        <v>120</v>
      </c>
      <c r="DN2123" t="s">
        <v>120</v>
      </c>
    </row>
    <row r="2124" spans="1:118">
      <c r="A2124" t="str">
        <f>"300777"</f>
        <v>300777</v>
      </c>
      <c r="B2124" t="s">
        <v>10346</v>
      </c>
      <c r="C2124">
        <v>1.46</v>
      </c>
      <c r="D2124">
        <v>0</v>
      </c>
      <c r="E2124">
        <v>-0.22</v>
      </c>
      <c r="F2124">
        <v>1163</v>
      </c>
      <c r="G2124" t="s">
        <v>10347</v>
      </c>
      <c r="H2124">
        <v>42778.239999999998</v>
      </c>
      <c r="I2124">
        <v>51.62</v>
      </c>
      <c r="J2124" t="s">
        <v>120</v>
      </c>
      <c r="K2124" t="s">
        <v>10348</v>
      </c>
      <c r="L2124">
        <v>3.32</v>
      </c>
      <c r="M2124">
        <v>49.99</v>
      </c>
      <c r="N2124">
        <v>1.77</v>
      </c>
      <c r="O2124">
        <v>2.39</v>
      </c>
      <c r="P2124">
        <v>50.45</v>
      </c>
      <c r="Q2124">
        <v>-2.78</v>
      </c>
      <c r="R2124">
        <v>47.9</v>
      </c>
      <c r="S2124">
        <v>49.16</v>
      </c>
      <c r="T2124">
        <v>87028</v>
      </c>
      <c r="U2124">
        <v>50</v>
      </c>
      <c r="V2124">
        <v>49.27</v>
      </c>
      <c r="W2124">
        <v>106.52</v>
      </c>
      <c r="X2124" t="s">
        <v>623</v>
      </c>
      <c r="Y2124" t="s">
        <v>319</v>
      </c>
      <c r="Z2124">
        <v>5.18</v>
      </c>
      <c r="AA2124">
        <v>49.15</v>
      </c>
      <c r="AB2124">
        <v>40464</v>
      </c>
      <c r="AC2124">
        <v>46564</v>
      </c>
      <c r="AD2124">
        <v>0.87</v>
      </c>
      <c r="AE2124">
        <v>7</v>
      </c>
      <c r="AF2124">
        <v>315</v>
      </c>
      <c r="AG2124" t="s">
        <v>120</v>
      </c>
      <c r="AH2124">
        <v>0</v>
      </c>
      <c r="AI2124" t="s">
        <v>120</v>
      </c>
      <c r="AJ2124">
        <v>2.62</v>
      </c>
      <c r="AK2124" t="s">
        <v>10349</v>
      </c>
      <c r="AL2124">
        <v>3.38</v>
      </c>
      <c r="AM2124">
        <v>3297</v>
      </c>
      <c r="AN2124">
        <v>26</v>
      </c>
      <c r="AO2124">
        <v>1E-3</v>
      </c>
      <c r="AP2124">
        <v>2</v>
      </c>
      <c r="AQ2124">
        <v>6.44</v>
      </c>
      <c r="AR2124">
        <v>6.53</v>
      </c>
      <c r="AS2124">
        <v>-6.64</v>
      </c>
      <c r="AT2124">
        <v>6.85</v>
      </c>
      <c r="AU2124">
        <v>-1.02</v>
      </c>
      <c r="AV2124">
        <v>0</v>
      </c>
      <c r="AW2124">
        <v>3.6</v>
      </c>
      <c r="AX2124">
        <v>60.37</v>
      </c>
      <c r="AY2124">
        <v>84.68</v>
      </c>
      <c r="AZ2124">
        <v>84.82</v>
      </c>
      <c r="BA2124">
        <v>1.34</v>
      </c>
      <c r="BB2124" t="s">
        <v>751</v>
      </c>
      <c r="BF2124">
        <v>-0.23</v>
      </c>
      <c r="BG2124">
        <v>1.69</v>
      </c>
      <c r="BH2124">
        <v>-0.91</v>
      </c>
      <c r="BI2124">
        <v>4.3600000000000003</v>
      </c>
      <c r="BJ2124">
        <v>20210912</v>
      </c>
      <c r="BK2124">
        <v>20190516</v>
      </c>
      <c r="BL2124">
        <v>4</v>
      </c>
      <c r="BM2124" t="s">
        <v>120</v>
      </c>
      <c r="BN2124" t="s">
        <v>120</v>
      </c>
      <c r="BO2124">
        <v>14.16</v>
      </c>
      <c r="BP2124">
        <v>49.99</v>
      </c>
      <c r="BQ2124">
        <v>12.37</v>
      </c>
      <c r="BR2124" t="s">
        <v>120</v>
      </c>
      <c r="BS2124">
        <v>12.6</v>
      </c>
      <c r="BT2124">
        <v>6.56</v>
      </c>
      <c r="BU2124">
        <v>6.59</v>
      </c>
      <c r="BV2124">
        <v>0.35</v>
      </c>
      <c r="BW2124">
        <v>1.22</v>
      </c>
      <c r="BX2124">
        <v>1.45</v>
      </c>
      <c r="BY2124">
        <v>0.24</v>
      </c>
      <c r="BZ2124">
        <v>2.77</v>
      </c>
      <c r="CA2124" t="s">
        <v>120</v>
      </c>
      <c r="CB2124">
        <v>1.71</v>
      </c>
      <c r="CC2124">
        <v>2.0099999999999998</v>
      </c>
      <c r="CD2124">
        <v>0.42</v>
      </c>
      <c r="CE2124">
        <v>1.08</v>
      </c>
      <c r="CF2124">
        <v>0.01</v>
      </c>
      <c r="CG2124">
        <v>1.1000000000000001</v>
      </c>
      <c r="CH2124">
        <v>0.94</v>
      </c>
      <c r="CI2124">
        <v>0.94</v>
      </c>
      <c r="CJ2124">
        <v>0.72</v>
      </c>
      <c r="CK2124">
        <v>0.86</v>
      </c>
      <c r="CL2124">
        <v>5.98</v>
      </c>
      <c r="CM2124">
        <v>0.2</v>
      </c>
      <c r="CN2124">
        <v>-0.56000000000000005</v>
      </c>
      <c r="CO2124">
        <v>26553</v>
      </c>
      <c r="CP2124">
        <v>9095</v>
      </c>
      <c r="CQ2124" t="s">
        <v>10350</v>
      </c>
      <c r="CR2124">
        <v>0.43</v>
      </c>
      <c r="CS2124">
        <v>19.36</v>
      </c>
      <c r="CT2124">
        <v>16.16</v>
      </c>
      <c r="CU2124">
        <v>995.03</v>
      </c>
      <c r="CV2124">
        <v>99.42</v>
      </c>
      <c r="CW2124">
        <v>0.21</v>
      </c>
      <c r="CX2124" t="s">
        <v>694</v>
      </c>
      <c r="CY2124">
        <v>3.09</v>
      </c>
      <c r="CZ2124">
        <v>0</v>
      </c>
      <c r="DA2124">
        <v>0.43</v>
      </c>
      <c r="DB2124">
        <v>1.5</v>
      </c>
      <c r="DC2124">
        <v>0.05</v>
      </c>
      <c r="DD2124">
        <v>87.4</v>
      </c>
      <c r="DE2124" t="s">
        <v>9746</v>
      </c>
      <c r="DF2124">
        <v>78.91</v>
      </c>
      <c r="DG2124">
        <v>53.73</v>
      </c>
      <c r="DH2124">
        <v>46.67</v>
      </c>
      <c r="DI2124">
        <v>0.15</v>
      </c>
      <c r="DJ2124">
        <v>264</v>
      </c>
      <c r="DK2124">
        <v>300777</v>
      </c>
      <c r="DL2124" t="s">
        <v>120</v>
      </c>
      <c r="DM2124" t="s">
        <v>120</v>
      </c>
      <c r="DN2124" t="s">
        <v>120</v>
      </c>
    </row>
    <row r="2125" spans="1:118">
      <c r="A2125" t="str">
        <f>"300778"</f>
        <v>300778</v>
      </c>
      <c r="B2125" t="s">
        <v>10351</v>
      </c>
      <c r="C2125">
        <v>2.74</v>
      </c>
      <c r="D2125">
        <v>-0.08</v>
      </c>
      <c r="E2125">
        <v>0</v>
      </c>
      <c r="F2125">
        <v>845</v>
      </c>
      <c r="G2125" t="s">
        <v>10352</v>
      </c>
      <c r="H2125">
        <v>5792.07</v>
      </c>
      <c r="I2125">
        <v>20.95</v>
      </c>
      <c r="J2125" t="s">
        <v>120</v>
      </c>
      <c r="K2125" t="s">
        <v>9715</v>
      </c>
      <c r="L2125">
        <v>4.68</v>
      </c>
      <c r="M2125">
        <v>21.74</v>
      </c>
      <c r="N2125">
        <v>0.91</v>
      </c>
      <c r="O2125">
        <v>3.02</v>
      </c>
      <c r="P2125">
        <v>21.8</v>
      </c>
      <c r="Q2125">
        <v>-0.9</v>
      </c>
      <c r="R2125">
        <v>20.97</v>
      </c>
      <c r="S2125">
        <v>21.16</v>
      </c>
      <c r="T2125">
        <v>26949</v>
      </c>
      <c r="U2125">
        <v>21.75</v>
      </c>
      <c r="V2125">
        <v>21.16</v>
      </c>
      <c r="W2125">
        <v>33.24</v>
      </c>
      <c r="X2125" t="s">
        <v>175</v>
      </c>
      <c r="Y2125" t="s">
        <v>123</v>
      </c>
      <c r="Z2125">
        <v>3.92</v>
      </c>
      <c r="AA2125">
        <v>21.49</v>
      </c>
      <c r="AB2125">
        <v>12017</v>
      </c>
      <c r="AC2125">
        <v>14932</v>
      </c>
      <c r="AD2125">
        <v>0.8</v>
      </c>
      <c r="AE2125">
        <v>21</v>
      </c>
      <c r="AF2125">
        <v>297</v>
      </c>
      <c r="AG2125" t="s">
        <v>120</v>
      </c>
      <c r="AH2125">
        <v>0.03</v>
      </c>
      <c r="AI2125" t="s">
        <v>120</v>
      </c>
      <c r="AJ2125">
        <v>0.57999999999999996</v>
      </c>
      <c r="AK2125" t="s">
        <v>10116</v>
      </c>
      <c r="AL2125">
        <v>4.6500000000000004</v>
      </c>
      <c r="AM2125">
        <v>1693</v>
      </c>
      <c r="AN2125">
        <v>16</v>
      </c>
      <c r="AO2125">
        <v>2.8E-3</v>
      </c>
      <c r="AP2125">
        <v>2</v>
      </c>
      <c r="AQ2125">
        <v>1.44</v>
      </c>
      <c r="AR2125">
        <v>-0.59</v>
      </c>
      <c r="AS2125">
        <v>10.19</v>
      </c>
      <c r="AT2125">
        <v>9.31</v>
      </c>
      <c r="AU2125">
        <v>4.7699999999999996</v>
      </c>
      <c r="AV2125">
        <v>1</v>
      </c>
      <c r="AW2125">
        <v>8.4600000000000009</v>
      </c>
      <c r="AX2125">
        <v>25.5</v>
      </c>
      <c r="AY2125">
        <v>28.02</v>
      </c>
      <c r="AZ2125">
        <v>26.24</v>
      </c>
      <c r="BA2125">
        <v>0.63</v>
      </c>
      <c r="BB2125" t="s">
        <v>143</v>
      </c>
      <c r="BF2125">
        <v>1.57</v>
      </c>
      <c r="BG2125">
        <v>2.74</v>
      </c>
      <c r="BH2125">
        <v>-0.28000000000000003</v>
      </c>
      <c r="BI2125">
        <v>3.67</v>
      </c>
      <c r="BJ2125">
        <v>20210827</v>
      </c>
      <c r="BK2125">
        <v>20190510</v>
      </c>
      <c r="BL2125">
        <v>1.25</v>
      </c>
      <c r="BM2125" t="s">
        <v>120</v>
      </c>
      <c r="BN2125" t="s">
        <v>120</v>
      </c>
      <c r="BO2125">
        <v>12.49</v>
      </c>
      <c r="BP2125">
        <v>21.74</v>
      </c>
      <c r="BQ2125">
        <v>9.7799999999999994</v>
      </c>
      <c r="BR2125">
        <v>0</v>
      </c>
      <c r="BS2125">
        <v>21.72</v>
      </c>
      <c r="BT2125">
        <v>11.77</v>
      </c>
      <c r="BU2125">
        <v>0.17</v>
      </c>
      <c r="BV2125">
        <v>0.06</v>
      </c>
      <c r="BW2125">
        <v>2.7</v>
      </c>
      <c r="BX2125">
        <v>3.01</v>
      </c>
      <c r="BY2125">
        <v>0</v>
      </c>
      <c r="BZ2125">
        <v>1.87</v>
      </c>
      <c r="CA2125">
        <v>0</v>
      </c>
      <c r="CB2125">
        <v>5.31</v>
      </c>
      <c r="CC2125">
        <v>2.04</v>
      </c>
      <c r="CD2125">
        <v>1.1299999999999999</v>
      </c>
      <c r="CE2125">
        <v>0.47</v>
      </c>
      <c r="CF2125">
        <v>0.1</v>
      </c>
      <c r="CG2125">
        <v>0.47</v>
      </c>
      <c r="CH2125">
        <v>0.4</v>
      </c>
      <c r="CI2125">
        <v>0.41</v>
      </c>
      <c r="CJ2125">
        <v>0.57999999999999996</v>
      </c>
      <c r="CK2125">
        <v>0.32</v>
      </c>
      <c r="CL2125">
        <v>2.82</v>
      </c>
      <c r="CM2125">
        <v>-0.93</v>
      </c>
      <c r="CN2125">
        <v>-0.94</v>
      </c>
      <c r="CO2125">
        <v>9652</v>
      </c>
      <c r="CP2125">
        <v>3302</v>
      </c>
      <c r="CQ2125" t="s">
        <v>4063</v>
      </c>
      <c r="CR2125">
        <v>-13.52</v>
      </c>
      <c r="CS2125">
        <v>8.1</v>
      </c>
      <c r="CT2125">
        <v>2.78</v>
      </c>
      <c r="CU2125">
        <v>-29.12</v>
      </c>
      <c r="CV2125">
        <v>13.32</v>
      </c>
      <c r="CW2125">
        <v>1.51</v>
      </c>
      <c r="CX2125" t="s">
        <v>10353</v>
      </c>
      <c r="CY2125">
        <v>7.82</v>
      </c>
      <c r="CZ2125">
        <v>0</v>
      </c>
      <c r="DA2125">
        <v>4.25</v>
      </c>
      <c r="DB2125">
        <v>2.25</v>
      </c>
      <c r="DC2125">
        <v>-0.75</v>
      </c>
      <c r="DD2125">
        <v>78.290000000000006</v>
      </c>
      <c r="DE2125" t="s">
        <v>3761</v>
      </c>
      <c r="DF2125">
        <v>44.62</v>
      </c>
      <c r="DG2125">
        <v>22.83</v>
      </c>
      <c r="DH2125">
        <v>20.03</v>
      </c>
      <c r="DI2125">
        <v>0.06</v>
      </c>
      <c r="DJ2125">
        <v>944</v>
      </c>
      <c r="DK2125">
        <v>300778</v>
      </c>
      <c r="DL2125" t="s">
        <v>120</v>
      </c>
      <c r="DM2125" t="s">
        <v>120</v>
      </c>
      <c r="DN2125" t="s">
        <v>120</v>
      </c>
    </row>
    <row r="2126" spans="1:118">
      <c r="A2126" t="str">
        <f>"300779"</f>
        <v>300779</v>
      </c>
      <c r="B2126" t="s">
        <v>10354</v>
      </c>
      <c r="C2126">
        <v>0</v>
      </c>
      <c r="D2126">
        <v>0.21</v>
      </c>
      <c r="E2126">
        <v>-0.56000000000000005</v>
      </c>
      <c r="F2126">
        <v>751</v>
      </c>
      <c r="G2126" t="s">
        <v>10355</v>
      </c>
      <c r="H2126">
        <v>9400.7900000000009</v>
      </c>
      <c r="I2126">
        <v>102.33</v>
      </c>
      <c r="J2126" t="s">
        <v>120</v>
      </c>
      <c r="K2126" t="s">
        <v>6321</v>
      </c>
      <c r="L2126">
        <v>6.95</v>
      </c>
      <c r="M2126">
        <v>19.489999999999998</v>
      </c>
      <c r="N2126">
        <v>0.84</v>
      </c>
      <c r="O2126">
        <v>1.39</v>
      </c>
      <c r="P2126">
        <v>19.760000000000002</v>
      </c>
      <c r="Q2126">
        <v>-2.15</v>
      </c>
      <c r="R2126">
        <v>19.07</v>
      </c>
      <c r="S2126">
        <v>19.38</v>
      </c>
      <c r="T2126">
        <v>48590</v>
      </c>
      <c r="U2126">
        <v>19.5</v>
      </c>
      <c r="V2126">
        <v>19.489999999999998</v>
      </c>
      <c r="W2126">
        <v>177.56</v>
      </c>
      <c r="X2126" t="s">
        <v>318</v>
      </c>
      <c r="Y2126" t="s">
        <v>638</v>
      </c>
      <c r="Z2126">
        <v>3.54</v>
      </c>
      <c r="AA2126">
        <v>19.350000000000001</v>
      </c>
      <c r="AB2126">
        <v>25301</v>
      </c>
      <c r="AC2126">
        <v>23289</v>
      </c>
      <c r="AD2126">
        <v>1.0900000000000001</v>
      </c>
      <c r="AE2126">
        <v>18</v>
      </c>
      <c r="AF2126">
        <v>141</v>
      </c>
      <c r="AG2126" t="s">
        <v>120</v>
      </c>
      <c r="AH2126">
        <v>0.09</v>
      </c>
      <c r="AI2126" t="s">
        <v>120</v>
      </c>
      <c r="AJ2126">
        <v>0.7</v>
      </c>
      <c r="AK2126" t="s">
        <v>10356</v>
      </c>
      <c r="AL2126">
        <v>1.91</v>
      </c>
      <c r="AM2126">
        <v>2051</v>
      </c>
      <c r="AN2126">
        <v>24</v>
      </c>
      <c r="AO2126">
        <v>3.3999999999999998E-3</v>
      </c>
      <c r="AP2126">
        <v>0</v>
      </c>
      <c r="AQ2126">
        <v>5.29</v>
      </c>
      <c r="AR2126">
        <v>0.51</v>
      </c>
      <c r="AS2126">
        <v>12.92</v>
      </c>
      <c r="AT2126">
        <v>11.05</v>
      </c>
      <c r="AU2126">
        <v>10.99</v>
      </c>
      <c r="AV2126">
        <v>1</v>
      </c>
      <c r="AW2126">
        <v>8.42</v>
      </c>
      <c r="AX2126">
        <v>57.71</v>
      </c>
      <c r="AY2126">
        <v>88.05</v>
      </c>
      <c r="AZ2126">
        <v>72.14</v>
      </c>
      <c r="BA2126">
        <v>0.75</v>
      </c>
      <c r="BB2126" t="s">
        <v>700</v>
      </c>
      <c r="BF2126">
        <v>-0.73</v>
      </c>
      <c r="BG2126">
        <v>0.56999999999999995</v>
      </c>
      <c r="BH2126">
        <v>-1.37</v>
      </c>
      <c r="BI2126">
        <v>2.2000000000000002</v>
      </c>
      <c r="BJ2126">
        <v>20210827</v>
      </c>
      <c r="BK2126">
        <v>20190522</v>
      </c>
      <c r="BL2126">
        <v>1</v>
      </c>
      <c r="BM2126" t="s">
        <v>120</v>
      </c>
      <c r="BN2126" t="s">
        <v>120</v>
      </c>
      <c r="BO2126">
        <v>11.18</v>
      </c>
      <c r="BP2126">
        <v>19.489999999999998</v>
      </c>
      <c r="BQ2126">
        <v>6.61</v>
      </c>
      <c r="BR2126" t="s">
        <v>120</v>
      </c>
      <c r="BS2126">
        <v>40.82</v>
      </c>
      <c r="BT2126">
        <v>3.96</v>
      </c>
      <c r="BU2126">
        <v>3.05</v>
      </c>
      <c r="BV2126">
        <v>1.0900000000000001</v>
      </c>
      <c r="BW2126">
        <v>2.4900000000000002</v>
      </c>
      <c r="BX2126">
        <v>1.77</v>
      </c>
      <c r="BY2126">
        <v>0.79</v>
      </c>
      <c r="BZ2126">
        <v>0.88</v>
      </c>
      <c r="CA2126" t="s">
        <v>120</v>
      </c>
      <c r="CB2126">
        <v>4</v>
      </c>
      <c r="CC2126">
        <v>1.35</v>
      </c>
      <c r="CD2126">
        <v>0.98</v>
      </c>
      <c r="CE2126">
        <v>0.06</v>
      </c>
      <c r="CF2126">
        <v>0</v>
      </c>
      <c r="CG2126">
        <v>0.06</v>
      </c>
      <c r="CH2126">
        <v>0.05</v>
      </c>
      <c r="CI2126">
        <v>0.05</v>
      </c>
      <c r="CJ2126">
        <v>0</v>
      </c>
      <c r="CK2126">
        <v>0.03</v>
      </c>
      <c r="CL2126">
        <v>1.37</v>
      </c>
      <c r="CM2126">
        <v>-0.56000000000000005</v>
      </c>
      <c r="CN2126">
        <v>0.25</v>
      </c>
      <c r="CO2126">
        <v>9601</v>
      </c>
      <c r="CP2126">
        <v>6011</v>
      </c>
      <c r="CQ2126" t="s">
        <v>2898</v>
      </c>
      <c r="CR2126">
        <v>-47.07</v>
      </c>
      <c r="CS2126">
        <v>-18.37</v>
      </c>
      <c r="CT2126">
        <v>2.95</v>
      </c>
      <c r="CU2126">
        <v>-34.520000000000003</v>
      </c>
      <c r="CV2126">
        <v>14.45</v>
      </c>
      <c r="CW2126">
        <v>0.51</v>
      </c>
      <c r="CX2126" t="s">
        <v>1248</v>
      </c>
      <c r="CY2126">
        <v>6.61</v>
      </c>
      <c r="CZ2126">
        <v>0</v>
      </c>
      <c r="DA2126">
        <v>4</v>
      </c>
      <c r="DB2126">
        <v>1.37</v>
      </c>
      <c r="DC2126">
        <v>-0.56000000000000005</v>
      </c>
      <c r="DD2126">
        <v>59.18</v>
      </c>
      <c r="DE2126" t="s">
        <v>10357</v>
      </c>
      <c r="DF2126">
        <v>27.32</v>
      </c>
      <c r="DG2126">
        <v>4.58</v>
      </c>
      <c r="DH2126">
        <v>4.07</v>
      </c>
      <c r="DI2126">
        <v>0.09</v>
      </c>
      <c r="DJ2126">
        <v>465</v>
      </c>
      <c r="DK2126">
        <v>300779</v>
      </c>
      <c r="DL2126" t="s">
        <v>120</v>
      </c>
      <c r="DM2126" t="s">
        <v>120</v>
      </c>
      <c r="DN2126" t="s">
        <v>120</v>
      </c>
    </row>
    <row r="2127" spans="1:118">
      <c r="A2127" t="str">
        <f>"300780"</f>
        <v>300780</v>
      </c>
      <c r="B2127" t="s">
        <v>10358</v>
      </c>
      <c r="C2127">
        <v>1.51</v>
      </c>
      <c r="D2127">
        <v>0.06</v>
      </c>
      <c r="E2127">
        <v>-2.33</v>
      </c>
      <c r="F2127">
        <v>1237</v>
      </c>
      <c r="G2127" t="s">
        <v>6752</v>
      </c>
      <c r="H2127">
        <v>14687.99</v>
      </c>
      <c r="I2127">
        <v>123.31</v>
      </c>
      <c r="J2127" t="s">
        <v>120</v>
      </c>
      <c r="K2127" t="s">
        <v>705</v>
      </c>
      <c r="L2127">
        <v>13.04</v>
      </c>
      <c r="M2127">
        <v>17.46</v>
      </c>
      <c r="N2127">
        <v>2.12</v>
      </c>
      <c r="O2127">
        <v>4.01</v>
      </c>
      <c r="P2127">
        <v>17.89</v>
      </c>
      <c r="Q2127">
        <v>-2.73</v>
      </c>
      <c r="R2127">
        <v>16.73</v>
      </c>
      <c r="S2127">
        <v>16.8</v>
      </c>
      <c r="T2127">
        <v>84926</v>
      </c>
      <c r="U2127">
        <v>17.47</v>
      </c>
      <c r="V2127">
        <v>17.2</v>
      </c>
      <c r="W2127">
        <v>42.77</v>
      </c>
      <c r="X2127" t="s">
        <v>959</v>
      </c>
      <c r="Y2127" t="s">
        <v>578</v>
      </c>
      <c r="Z2127">
        <v>6.74</v>
      </c>
      <c r="AA2127">
        <v>17.3</v>
      </c>
      <c r="AB2127">
        <v>44262</v>
      </c>
      <c r="AC2127">
        <v>40664</v>
      </c>
      <c r="AD2127">
        <v>1.0900000000000001</v>
      </c>
      <c r="AE2127">
        <v>223</v>
      </c>
      <c r="AF2127">
        <v>124</v>
      </c>
      <c r="AG2127" t="s">
        <v>120</v>
      </c>
      <c r="AH2127">
        <v>0.14000000000000001</v>
      </c>
      <c r="AI2127" t="s">
        <v>120</v>
      </c>
      <c r="AJ2127">
        <v>0.65</v>
      </c>
      <c r="AK2127" t="s">
        <v>4066</v>
      </c>
      <c r="AL2127">
        <v>3.43</v>
      </c>
      <c r="AM2127">
        <v>2587</v>
      </c>
      <c r="AN2127">
        <v>33</v>
      </c>
      <c r="AO2127">
        <v>5.0000000000000001E-3</v>
      </c>
      <c r="AP2127">
        <v>4</v>
      </c>
      <c r="AQ2127">
        <v>4.88</v>
      </c>
      <c r="AR2127">
        <v>7.77</v>
      </c>
      <c r="AS2127">
        <v>13.67</v>
      </c>
      <c r="AT2127">
        <v>20.079999999999998</v>
      </c>
      <c r="AU2127">
        <v>6.08</v>
      </c>
      <c r="AV2127">
        <v>0</v>
      </c>
      <c r="AW2127">
        <v>15.86</v>
      </c>
      <c r="AX2127">
        <v>36.5</v>
      </c>
      <c r="AY2127">
        <v>31.26</v>
      </c>
      <c r="AZ2127">
        <v>25.67</v>
      </c>
      <c r="BA2127">
        <v>0.9</v>
      </c>
      <c r="BB2127" t="s">
        <v>4512</v>
      </c>
      <c r="BF2127">
        <v>0.55000000000000004</v>
      </c>
      <c r="BG2127">
        <v>3.93</v>
      </c>
      <c r="BH2127">
        <v>-2.4</v>
      </c>
      <c r="BI2127">
        <v>4.3600000000000003</v>
      </c>
      <c r="BJ2127">
        <v>20210825</v>
      </c>
      <c r="BK2127">
        <v>20190531</v>
      </c>
      <c r="BL2127">
        <v>1.47</v>
      </c>
      <c r="BM2127" t="s">
        <v>120</v>
      </c>
      <c r="BN2127" t="s">
        <v>120</v>
      </c>
      <c r="BO2127">
        <v>16.190000000000001</v>
      </c>
      <c r="BP2127">
        <v>17.46</v>
      </c>
      <c r="BQ2127">
        <v>10.68</v>
      </c>
      <c r="BR2127">
        <v>0.04</v>
      </c>
      <c r="BS2127">
        <v>33.840000000000003</v>
      </c>
      <c r="BT2127">
        <v>4.95</v>
      </c>
      <c r="BU2127">
        <v>4.4400000000000004</v>
      </c>
      <c r="BV2127">
        <v>1.35</v>
      </c>
      <c r="BW2127">
        <v>3.54</v>
      </c>
      <c r="BX2127">
        <v>0.52</v>
      </c>
      <c r="BY2127">
        <v>2.44</v>
      </c>
      <c r="BZ2127">
        <v>0.91</v>
      </c>
      <c r="CA2127" t="s">
        <v>120</v>
      </c>
      <c r="CB2127">
        <v>5.75</v>
      </c>
      <c r="CC2127">
        <v>2.58</v>
      </c>
      <c r="CD2127">
        <v>1.83</v>
      </c>
      <c r="CE2127">
        <v>0.35</v>
      </c>
      <c r="CF2127">
        <v>0.03</v>
      </c>
      <c r="CG2127">
        <v>0.35</v>
      </c>
      <c r="CH2127">
        <v>0.3</v>
      </c>
      <c r="CI2127">
        <v>0.3</v>
      </c>
      <c r="CJ2127">
        <v>0.26</v>
      </c>
      <c r="CK2127">
        <v>0.26</v>
      </c>
      <c r="CL2127">
        <v>2.9</v>
      </c>
      <c r="CM2127">
        <v>0.35</v>
      </c>
      <c r="CN2127">
        <v>-0.41</v>
      </c>
      <c r="CO2127">
        <v>11881</v>
      </c>
      <c r="CP2127">
        <v>4506</v>
      </c>
      <c r="CQ2127" t="s">
        <v>10359</v>
      </c>
      <c r="CR2127">
        <v>-36.99</v>
      </c>
      <c r="CS2127">
        <v>18.2</v>
      </c>
      <c r="CT2127">
        <v>2.4</v>
      </c>
      <c r="CU2127">
        <v>72.27</v>
      </c>
      <c r="CV2127">
        <v>9.94</v>
      </c>
      <c r="CW2127">
        <v>0.7</v>
      </c>
      <c r="CX2127" t="s">
        <v>492</v>
      </c>
      <c r="CY2127">
        <v>7.28</v>
      </c>
      <c r="CZ2127">
        <v>0</v>
      </c>
      <c r="DA2127">
        <v>3.92</v>
      </c>
      <c r="DB2127">
        <v>1.98</v>
      </c>
      <c r="DC2127">
        <v>0.24</v>
      </c>
      <c r="DD2127">
        <v>65.94</v>
      </c>
      <c r="DE2127" t="s">
        <v>2028</v>
      </c>
      <c r="DF2127">
        <v>29.07</v>
      </c>
      <c r="DG2127">
        <v>13.76</v>
      </c>
      <c r="DH2127">
        <v>11.62</v>
      </c>
      <c r="DI2127">
        <v>0.05</v>
      </c>
      <c r="DJ2127">
        <v>1439</v>
      </c>
      <c r="DK2127">
        <v>300780</v>
      </c>
      <c r="DL2127" t="s">
        <v>120</v>
      </c>
      <c r="DM2127" t="s">
        <v>120</v>
      </c>
      <c r="DN2127" t="s">
        <v>120</v>
      </c>
    </row>
    <row r="2128" spans="1:118">
      <c r="A2128" t="str">
        <f>"300781"</f>
        <v>300781</v>
      </c>
      <c r="B2128" t="s">
        <v>10360</v>
      </c>
      <c r="C2128">
        <v>2.58</v>
      </c>
      <c r="D2128">
        <v>0.05</v>
      </c>
      <c r="E2128">
        <v>0.19</v>
      </c>
      <c r="F2128">
        <v>236</v>
      </c>
      <c r="G2128" t="s">
        <v>7332</v>
      </c>
      <c r="H2128">
        <v>7561.88</v>
      </c>
      <c r="I2128">
        <v>1.44</v>
      </c>
      <c r="J2128" t="s">
        <v>120</v>
      </c>
      <c r="K2128" t="s">
        <v>7332</v>
      </c>
      <c r="L2128">
        <v>9.92</v>
      </c>
      <c r="M2128">
        <v>21.07</v>
      </c>
      <c r="N2128">
        <v>2</v>
      </c>
      <c r="O2128">
        <v>6.77</v>
      </c>
      <c r="P2128">
        <v>21.93</v>
      </c>
      <c r="Q2128">
        <v>-0.73</v>
      </c>
      <c r="R2128">
        <v>20.39</v>
      </c>
      <c r="S2128">
        <v>20.58</v>
      </c>
      <c r="T2128">
        <v>35511</v>
      </c>
      <c r="U2128">
        <v>21.07</v>
      </c>
      <c r="V2128">
        <v>20.54</v>
      </c>
      <c r="W2128">
        <v>36.49</v>
      </c>
      <c r="X2128" t="s">
        <v>339</v>
      </c>
      <c r="Y2128" t="s">
        <v>547</v>
      </c>
      <c r="Z2128">
        <v>7.5</v>
      </c>
      <c r="AA2128">
        <v>21.29</v>
      </c>
      <c r="AB2128">
        <v>15366</v>
      </c>
      <c r="AC2128">
        <v>20145</v>
      </c>
      <c r="AD2128">
        <v>0.76</v>
      </c>
      <c r="AE2128">
        <v>226</v>
      </c>
      <c r="AF2128">
        <v>24</v>
      </c>
      <c r="AG2128" t="s">
        <v>120</v>
      </c>
      <c r="AH2128">
        <v>0</v>
      </c>
      <c r="AI2128" t="s">
        <v>120</v>
      </c>
      <c r="AJ2128">
        <v>0.36</v>
      </c>
      <c r="AK2128" t="s">
        <v>10361</v>
      </c>
      <c r="AL2128">
        <v>4.49</v>
      </c>
      <c r="AM2128">
        <v>1913</v>
      </c>
      <c r="AN2128">
        <v>19</v>
      </c>
      <c r="AO2128">
        <v>5.1999999999999998E-3</v>
      </c>
      <c r="AP2128">
        <v>2</v>
      </c>
      <c r="AQ2128">
        <v>0.39</v>
      </c>
      <c r="AR2128">
        <v>1</v>
      </c>
      <c r="AS2128">
        <v>6.68</v>
      </c>
      <c r="AT2128">
        <v>-5.05</v>
      </c>
      <c r="AU2128">
        <v>-9.2100000000000009</v>
      </c>
      <c r="AV2128">
        <v>3</v>
      </c>
      <c r="AW2128">
        <v>9.92</v>
      </c>
      <c r="AX2128">
        <v>32.58</v>
      </c>
      <c r="AY2128">
        <v>74.8</v>
      </c>
      <c r="AZ2128">
        <v>141.58000000000001</v>
      </c>
      <c r="BA2128">
        <v>0.81</v>
      </c>
      <c r="BB2128" t="s">
        <v>240</v>
      </c>
      <c r="BF2128">
        <v>3.67</v>
      </c>
      <c r="BG2128">
        <v>2.38</v>
      </c>
      <c r="BH2128">
        <v>-3.92</v>
      </c>
      <c r="BI2128">
        <v>3.33</v>
      </c>
      <c r="BJ2128">
        <v>20210902</v>
      </c>
      <c r="BK2128">
        <v>20190606</v>
      </c>
      <c r="BL2128">
        <v>1.1000000000000001</v>
      </c>
      <c r="BM2128" t="s">
        <v>120</v>
      </c>
      <c r="BN2128" t="s">
        <v>120</v>
      </c>
      <c r="BO2128">
        <v>9.43</v>
      </c>
      <c r="BP2128">
        <v>21.06</v>
      </c>
      <c r="BQ2128">
        <v>6.49</v>
      </c>
      <c r="BR2128">
        <v>0.6</v>
      </c>
      <c r="BS2128">
        <v>24.86</v>
      </c>
      <c r="BT2128">
        <v>6.03</v>
      </c>
      <c r="BU2128">
        <v>0.95</v>
      </c>
      <c r="BV2128">
        <v>0.01</v>
      </c>
      <c r="BW2128">
        <v>2.31</v>
      </c>
      <c r="BX2128">
        <v>2.97</v>
      </c>
      <c r="BY2128">
        <v>0</v>
      </c>
      <c r="BZ2128">
        <v>2.52</v>
      </c>
      <c r="CA2128" t="s">
        <v>120</v>
      </c>
      <c r="CB2128">
        <v>3.51</v>
      </c>
      <c r="CC2128">
        <v>4.53</v>
      </c>
      <c r="CD2128">
        <v>3.4</v>
      </c>
      <c r="CE2128">
        <v>0.55000000000000004</v>
      </c>
      <c r="CF2128">
        <v>0</v>
      </c>
      <c r="CG2128">
        <v>0.56000000000000005</v>
      </c>
      <c r="CH2128">
        <v>0.46</v>
      </c>
      <c r="CI2128">
        <v>0.32</v>
      </c>
      <c r="CJ2128">
        <v>0.53</v>
      </c>
      <c r="CK2128">
        <v>0.28999999999999998</v>
      </c>
      <c r="CL2128">
        <v>1.66</v>
      </c>
      <c r="CM2128">
        <v>-0.2</v>
      </c>
      <c r="CN2128">
        <v>-0.66</v>
      </c>
      <c r="CO2128">
        <v>11554</v>
      </c>
      <c r="CP2128">
        <v>3099</v>
      </c>
      <c r="CQ2128" t="s">
        <v>7949</v>
      </c>
      <c r="CR2128">
        <v>81.400000000000006</v>
      </c>
      <c r="CS2128">
        <v>222.02</v>
      </c>
      <c r="CT2128">
        <v>3.57</v>
      </c>
      <c r="CU2128">
        <v>-117.45</v>
      </c>
      <c r="CV2128">
        <v>5.1100000000000003</v>
      </c>
      <c r="CW2128">
        <v>0.22</v>
      </c>
      <c r="CX2128" t="s">
        <v>10362</v>
      </c>
      <c r="CY2128">
        <v>5.9</v>
      </c>
      <c r="CZ2128">
        <v>0</v>
      </c>
      <c r="DA2128">
        <v>3.2</v>
      </c>
      <c r="DB2128">
        <v>1.51</v>
      </c>
      <c r="DC2128">
        <v>-0.18</v>
      </c>
      <c r="DD2128">
        <v>68.77</v>
      </c>
      <c r="DE2128" t="s">
        <v>4482</v>
      </c>
      <c r="DF2128">
        <v>24.88</v>
      </c>
      <c r="DG2128">
        <v>12.24</v>
      </c>
      <c r="DH2128">
        <v>7.01</v>
      </c>
      <c r="DI2128" t="s">
        <v>120</v>
      </c>
      <c r="DJ2128">
        <v>562</v>
      </c>
      <c r="DK2128">
        <v>300781</v>
      </c>
      <c r="DL2128" t="s">
        <v>120</v>
      </c>
      <c r="DM2128" t="s">
        <v>120</v>
      </c>
      <c r="DN2128" t="s">
        <v>120</v>
      </c>
    </row>
    <row r="2129" spans="1:118">
      <c r="A2129" t="str">
        <f>"300782"</f>
        <v>300782</v>
      </c>
      <c r="B2129" t="s">
        <v>10363</v>
      </c>
      <c r="C2129">
        <v>-1.76</v>
      </c>
      <c r="D2129">
        <v>-0.08</v>
      </c>
      <c r="E2129">
        <v>0.44</v>
      </c>
      <c r="F2129">
        <v>525</v>
      </c>
      <c r="G2129" t="s">
        <v>10364</v>
      </c>
      <c r="H2129">
        <v>128350.19</v>
      </c>
      <c r="I2129">
        <v>1062.52</v>
      </c>
      <c r="J2129" t="s">
        <v>120</v>
      </c>
      <c r="K2129" t="s">
        <v>10365</v>
      </c>
      <c r="L2129">
        <v>1.89</v>
      </c>
      <c r="M2129">
        <v>333.51</v>
      </c>
      <c r="N2129">
        <v>0.85</v>
      </c>
      <c r="O2129">
        <v>2.79</v>
      </c>
      <c r="P2129">
        <v>348.98</v>
      </c>
      <c r="Q2129">
        <v>-2.17</v>
      </c>
      <c r="R2129">
        <v>332.13</v>
      </c>
      <c r="S2129">
        <v>341</v>
      </c>
      <c r="T2129">
        <v>37844</v>
      </c>
      <c r="U2129">
        <v>333.65</v>
      </c>
      <c r="V2129">
        <v>339.5</v>
      </c>
      <c r="W2129">
        <v>54.83</v>
      </c>
      <c r="X2129" t="s">
        <v>229</v>
      </c>
      <c r="Y2129" t="s">
        <v>319</v>
      </c>
      <c r="Z2129">
        <v>4.96</v>
      </c>
      <c r="AA2129">
        <v>339.16</v>
      </c>
      <c r="AB2129">
        <v>18563</v>
      </c>
      <c r="AC2129">
        <v>19281</v>
      </c>
      <c r="AD2129">
        <v>0.96</v>
      </c>
      <c r="AE2129">
        <v>72</v>
      </c>
      <c r="AF2129">
        <v>1</v>
      </c>
      <c r="AG2129" t="s">
        <v>120</v>
      </c>
      <c r="AH2129">
        <v>0.02</v>
      </c>
      <c r="AI2129" t="s">
        <v>120</v>
      </c>
      <c r="AJ2129">
        <v>2.0099999999999998</v>
      </c>
      <c r="AK2129" t="s">
        <v>10366</v>
      </c>
      <c r="AL2129">
        <v>0.15</v>
      </c>
      <c r="AM2129">
        <v>3954</v>
      </c>
      <c r="AN2129">
        <v>10</v>
      </c>
      <c r="AO2129">
        <v>5.0000000000000001E-4</v>
      </c>
      <c r="AP2129">
        <v>-2</v>
      </c>
      <c r="AQ2129">
        <v>-3.82</v>
      </c>
      <c r="AR2129">
        <v>-3.65</v>
      </c>
      <c r="AS2129">
        <v>-22.41</v>
      </c>
      <c r="AT2129">
        <v>-31.93</v>
      </c>
      <c r="AU2129">
        <v>5.41</v>
      </c>
      <c r="AV2129">
        <v>0</v>
      </c>
      <c r="AW2129">
        <v>1.93</v>
      </c>
      <c r="AX2129">
        <v>58.87</v>
      </c>
      <c r="AY2129">
        <v>65.3</v>
      </c>
      <c r="AZ2129">
        <v>105.56</v>
      </c>
      <c r="BA2129">
        <v>0.81</v>
      </c>
      <c r="BB2129" t="s">
        <v>134</v>
      </c>
      <c r="BF2129">
        <v>-0.1</v>
      </c>
      <c r="BG2129">
        <v>-2.2000000000000002</v>
      </c>
      <c r="BH2129">
        <v>-4.43</v>
      </c>
      <c r="BI2129">
        <v>0.42</v>
      </c>
      <c r="BJ2129">
        <v>20210913</v>
      </c>
      <c r="BK2129">
        <v>20190618</v>
      </c>
      <c r="BL2129">
        <v>3.34</v>
      </c>
      <c r="BM2129" t="s">
        <v>120</v>
      </c>
      <c r="BN2129" t="s">
        <v>120</v>
      </c>
      <c r="BO2129">
        <v>69.86</v>
      </c>
      <c r="BP2129">
        <v>333.51</v>
      </c>
      <c r="BQ2129">
        <v>64.540000000000006</v>
      </c>
      <c r="BR2129">
        <v>-0.09</v>
      </c>
      <c r="BS2129">
        <v>7.75</v>
      </c>
      <c r="BT2129">
        <v>56.87</v>
      </c>
      <c r="BU2129">
        <v>2.2799999999999998</v>
      </c>
      <c r="BV2129">
        <v>0.77</v>
      </c>
      <c r="BW2129">
        <v>4.93</v>
      </c>
      <c r="BX2129">
        <v>17.52</v>
      </c>
      <c r="BY2129">
        <v>8.7799999999999994</v>
      </c>
      <c r="BZ2129">
        <v>7.65</v>
      </c>
      <c r="CA2129" t="s">
        <v>120</v>
      </c>
      <c r="CB2129">
        <v>36.82</v>
      </c>
      <c r="CC2129">
        <v>23.59</v>
      </c>
      <c r="CD2129">
        <v>10</v>
      </c>
      <c r="CE2129">
        <v>11.79</v>
      </c>
      <c r="CF2129">
        <v>0.09</v>
      </c>
      <c r="CG2129">
        <v>11.79</v>
      </c>
      <c r="CH2129">
        <v>10.14</v>
      </c>
      <c r="CI2129">
        <v>10.14</v>
      </c>
      <c r="CJ2129">
        <v>-5.99</v>
      </c>
      <c r="CK2129">
        <v>9.94</v>
      </c>
      <c r="CL2129">
        <v>23.85</v>
      </c>
      <c r="CM2129">
        <v>4.34</v>
      </c>
      <c r="CN2129">
        <v>2.27</v>
      </c>
      <c r="CO2129">
        <v>63991</v>
      </c>
      <c r="CP2129">
        <v>3069</v>
      </c>
      <c r="CQ2129" t="s">
        <v>10367</v>
      </c>
      <c r="CR2129">
        <v>187.37</v>
      </c>
      <c r="CS2129">
        <v>136.47999999999999</v>
      </c>
      <c r="CT2129">
        <v>17.239999999999998</v>
      </c>
      <c r="CU2129">
        <v>256.60000000000002</v>
      </c>
      <c r="CV2129">
        <v>47.15</v>
      </c>
      <c r="CW2129">
        <v>0.16</v>
      </c>
      <c r="CX2129" t="s">
        <v>10368</v>
      </c>
      <c r="CY2129">
        <v>19.350000000000001</v>
      </c>
      <c r="CZ2129">
        <v>0</v>
      </c>
      <c r="DA2129">
        <v>11.04</v>
      </c>
      <c r="DB2129">
        <v>7.15</v>
      </c>
      <c r="DC2129">
        <v>1.3</v>
      </c>
      <c r="DD2129">
        <v>92.37</v>
      </c>
      <c r="DE2129" t="s">
        <v>10369</v>
      </c>
      <c r="DF2129">
        <v>57.63</v>
      </c>
      <c r="DG2129">
        <v>49.99</v>
      </c>
      <c r="DH2129">
        <v>43</v>
      </c>
      <c r="DI2129">
        <v>1.23</v>
      </c>
      <c r="DJ2129">
        <v>276</v>
      </c>
      <c r="DK2129">
        <v>300782</v>
      </c>
      <c r="DL2129" t="s">
        <v>120</v>
      </c>
      <c r="DM2129" t="s">
        <v>120</v>
      </c>
      <c r="DN2129" t="s">
        <v>120</v>
      </c>
    </row>
    <row r="2130" spans="1:118">
      <c r="A2130" t="str">
        <f>"300783"</f>
        <v>300783</v>
      </c>
      <c r="B2130" t="s">
        <v>10370</v>
      </c>
      <c r="C2130">
        <v>2.5299999999999998</v>
      </c>
      <c r="D2130">
        <v>-0.04</v>
      </c>
      <c r="E2130">
        <v>-0.55000000000000004</v>
      </c>
      <c r="F2130">
        <v>895</v>
      </c>
      <c r="G2130" t="s">
        <v>4595</v>
      </c>
      <c r="H2130">
        <v>27694.06</v>
      </c>
      <c r="I2130">
        <v>62.59</v>
      </c>
      <c r="J2130" t="s">
        <v>120</v>
      </c>
      <c r="K2130" t="s">
        <v>10371</v>
      </c>
      <c r="L2130">
        <v>3.29</v>
      </c>
      <c r="M2130">
        <v>37.299999999999997</v>
      </c>
      <c r="N2130">
        <v>2.1800000000000002</v>
      </c>
      <c r="O2130">
        <v>3.52</v>
      </c>
      <c r="P2130">
        <v>37.659999999999997</v>
      </c>
      <c r="Q2130">
        <v>-1.04</v>
      </c>
      <c r="R2130">
        <v>36</v>
      </c>
      <c r="S2130">
        <v>36.18</v>
      </c>
      <c r="T2130">
        <v>74682</v>
      </c>
      <c r="U2130">
        <v>37.299999999999997</v>
      </c>
      <c r="V2130">
        <v>36.380000000000003</v>
      </c>
      <c r="W2130">
        <v>21.26</v>
      </c>
      <c r="X2130" t="s">
        <v>847</v>
      </c>
      <c r="Y2130" t="s">
        <v>570</v>
      </c>
      <c r="Z2130">
        <v>4.5599999999999996</v>
      </c>
      <c r="AA2130">
        <v>37.08</v>
      </c>
      <c r="AB2130">
        <v>36131</v>
      </c>
      <c r="AC2130">
        <v>38551</v>
      </c>
      <c r="AD2130">
        <v>0.94</v>
      </c>
      <c r="AE2130">
        <v>24</v>
      </c>
      <c r="AF2130">
        <v>5</v>
      </c>
      <c r="AG2130" t="s">
        <v>120</v>
      </c>
      <c r="AH2130">
        <v>0.02</v>
      </c>
      <c r="AI2130" t="s">
        <v>120</v>
      </c>
      <c r="AJ2130">
        <v>2.27</v>
      </c>
      <c r="AK2130" t="s">
        <v>455</v>
      </c>
      <c r="AL2130">
        <v>4.4400000000000004</v>
      </c>
      <c r="AM2130">
        <v>3703</v>
      </c>
      <c r="AN2130">
        <v>20</v>
      </c>
      <c r="AO2130">
        <v>8.9999999999999998E-4</v>
      </c>
      <c r="AP2130">
        <v>2</v>
      </c>
      <c r="AQ2130">
        <v>1.06</v>
      </c>
      <c r="AR2130">
        <v>3.62</v>
      </c>
      <c r="AS2130">
        <v>-6.49</v>
      </c>
      <c r="AT2130">
        <v>-26.89</v>
      </c>
      <c r="AU2130">
        <v>-8.67</v>
      </c>
      <c r="AV2130">
        <v>0</v>
      </c>
      <c r="AW2130">
        <v>8.16</v>
      </c>
      <c r="AX2130">
        <v>22.82</v>
      </c>
      <c r="AY2130">
        <v>31.35</v>
      </c>
      <c r="AZ2130">
        <v>48.41</v>
      </c>
      <c r="BA2130">
        <v>0.8</v>
      </c>
      <c r="BB2130" t="s">
        <v>143</v>
      </c>
      <c r="BF2130">
        <v>1.93</v>
      </c>
      <c r="BG2130">
        <v>3.1</v>
      </c>
      <c r="BH2130">
        <v>-0.96</v>
      </c>
      <c r="BI2130">
        <v>3.61</v>
      </c>
      <c r="BJ2130">
        <v>20210817</v>
      </c>
      <c r="BK2130">
        <v>20190712</v>
      </c>
      <c r="BL2130">
        <v>4.01</v>
      </c>
      <c r="BM2130" t="s">
        <v>120</v>
      </c>
      <c r="BN2130" t="s">
        <v>120</v>
      </c>
      <c r="BO2130">
        <v>37</v>
      </c>
      <c r="BP2130">
        <v>37.29</v>
      </c>
      <c r="BQ2130">
        <v>21.76</v>
      </c>
      <c r="BR2130" t="s">
        <v>120</v>
      </c>
      <c r="BS2130">
        <v>41.19</v>
      </c>
      <c r="BT2130">
        <v>25.59</v>
      </c>
      <c r="BU2130">
        <v>5.57</v>
      </c>
      <c r="BV2130">
        <v>1.1299999999999999</v>
      </c>
      <c r="BW2130">
        <v>11.3</v>
      </c>
      <c r="BX2130">
        <v>4.59</v>
      </c>
      <c r="BY2130">
        <v>4.12</v>
      </c>
      <c r="BZ2130">
        <v>1.64</v>
      </c>
      <c r="CA2130" t="s">
        <v>120</v>
      </c>
      <c r="CB2130">
        <v>5.54</v>
      </c>
      <c r="CC2130">
        <v>52.61</v>
      </c>
      <c r="CD2130">
        <v>36.229999999999997</v>
      </c>
      <c r="CE2130">
        <v>4.03</v>
      </c>
      <c r="CF2130">
        <v>0.28999999999999998</v>
      </c>
      <c r="CG2130">
        <v>4.76</v>
      </c>
      <c r="CH2130">
        <v>3.52</v>
      </c>
      <c r="CI2130">
        <v>3.52</v>
      </c>
      <c r="CJ2130">
        <v>0.92</v>
      </c>
      <c r="CK2130">
        <v>2.64</v>
      </c>
      <c r="CL2130">
        <v>12.79</v>
      </c>
      <c r="CM2130">
        <v>2.96</v>
      </c>
      <c r="CN2130">
        <v>-6.54</v>
      </c>
      <c r="CO2130">
        <v>22723</v>
      </c>
      <c r="CP2130">
        <v>4026</v>
      </c>
      <c r="CQ2130" t="s">
        <v>2102</v>
      </c>
      <c r="CR2130">
        <v>87.32</v>
      </c>
      <c r="CS2130">
        <v>0.17</v>
      </c>
      <c r="CT2130">
        <v>6.87</v>
      </c>
      <c r="CU2130">
        <v>50.58</v>
      </c>
      <c r="CV2130">
        <v>2.84</v>
      </c>
      <c r="CW2130">
        <v>0.69</v>
      </c>
      <c r="CX2130" t="s">
        <v>465</v>
      </c>
      <c r="CY2130">
        <v>5.43</v>
      </c>
      <c r="CZ2130">
        <v>0</v>
      </c>
      <c r="DA2130">
        <v>1.38</v>
      </c>
      <c r="DB2130">
        <v>3.19</v>
      </c>
      <c r="DC2130">
        <v>0.74</v>
      </c>
      <c r="DD2130">
        <v>58.81</v>
      </c>
      <c r="DE2130" t="s">
        <v>2926</v>
      </c>
      <c r="DF2130">
        <v>31.13</v>
      </c>
      <c r="DG2130">
        <v>7.67</v>
      </c>
      <c r="DH2130">
        <v>6.69</v>
      </c>
      <c r="DI2130">
        <v>0.26</v>
      </c>
      <c r="DJ2130">
        <v>5144</v>
      </c>
      <c r="DK2130">
        <v>300783</v>
      </c>
      <c r="DL2130" t="s">
        <v>120</v>
      </c>
      <c r="DM2130" t="s">
        <v>120</v>
      </c>
      <c r="DN2130" t="s">
        <v>120</v>
      </c>
    </row>
    <row r="2131" spans="1:118">
      <c r="A2131" t="str">
        <f>"300785"</f>
        <v>300785</v>
      </c>
      <c r="B2131" t="s">
        <v>10372</v>
      </c>
      <c r="C2131">
        <v>-1.42</v>
      </c>
      <c r="D2131">
        <v>0.11</v>
      </c>
      <c r="E2131">
        <v>-0.82</v>
      </c>
      <c r="F2131">
        <v>162</v>
      </c>
      <c r="G2131" t="s">
        <v>10373</v>
      </c>
      <c r="H2131">
        <v>9297.1</v>
      </c>
      <c r="I2131">
        <v>7.38</v>
      </c>
      <c r="J2131" t="s">
        <v>120</v>
      </c>
      <c r="K2131" t="s">
        <v>10373</v>
      </c>
      <c r="L2131">
        <v>3.62</v>
      </c>
      <c r="M2131">
        <v>81.489999999999995</v>
      </c>
      <c r="N2131">
        <v>1.39</v>
      </c>
      <c r="O2131">
        <v>1.94</v>
      </c>
      <c r="P2131">
        <v>84.26</v>
      </c>
      <c r="Q2131">
        <v>-3.24</v>
      </c>
      <c r="R2131">
        <v>79.98</v>
      </c>
      <c r="S2131">
        <v>81.98</v>
      </c>
      <c r="T2131">
        <v>11331</v>
      </c>
      <c r="U2131">
        <v>81.5</v>
      </c>
      <c r="V2131">
        <v>82.66</v>
      </c>
      <c r="W2131">
        <v>42.67</v>
      </c>
      <c r="X2131" t="s">
        <v>1531</v>
      </c>
      <c r="Y2131" t="s">
        <v>158</v>
      </c>
      <c r="Z2131">
        <v>5.18</v>
      </c>
      <c r="AA2131">
        <v>82.05</v>
      </c>
      <c r="AB2131">
        <v>6589</v>
      </c>
      <c r="AC2131">
        <v>4742</v>
      </c>
      <c r="AD2131">
        <v>1.39</v>
      </c>
      <c r="AE2131">
        <v>7</v>
      </c>
      <c r="AF2131">
        <v>33</v>
      </c>
      <c r="AG2131" t="s">
        <v>120</v>
      </c>
      <c r="AH2131">
        <v>0</v>
      </c>
      <c r="AI2131" t="s">
        <v>120</v>
      </c>
      <c r="AJ2131">
        <v>0.31</v>
      </c>
      <c r="AK2131" t="s">
        <v>10374</v>
      </c>
      <c r="AL2131">
        <v>0.5</v>
      </c>
      <c r="AM2131">
        <v>1541</v>
      </c>
      <c r="AN2131">
        <v>7</v>
      </c>
      <c r="AO2131">
        <v>2.3E-3</v>
      </c>
      <c r="AP2131">
        <v>-1</v>
      </c>
      <c r="AQ2131">
        <v>0.8</v>
      </c>
      <c r="AR2131">
        <v>3.2</v>
      </c>
      <c r="AS2131">
        <v>14.58</v>
      </c>
      <c r="AT2131">
        <v>-11.89</v>
      </c>
      <c r="AU2131">
        <v>-9.8800000000000008</v>
      </c>
      <c r="AV2131">
        <v>0</v>
      </c>
      <c r="AW2131">
        <v>3.62</v>
      </c>
      <c r="AX2131">
        <v>35.25</v>
      </c>
      <c r="AY2131">
        <v>42.43</v>
      </c>
      <c r="AZ2131">
        <v>46.83</v>
      </c>
      <c r="BA2131">
        <v>0.67</v>
      </c>
      <c r="BB2131" t="s">
        <v>143</v>
      </c>
      <c r="BF2131">
        <v>-0.74</v>
      </c>
      <c r="BG2131">
        <v>-0.6</v>
      </c>
      <c r="BH2131">
        <v>-3.29</v>
      </c>
      <c r="BI2131">
        <v>1.89</v>
      </c>
      <c r="BJ2131">
        <v>20210915</v>
      </c>
      <c r="BK2131">
        <v>20190715</v>
      </c>
      <c r="BL2131">
        <v>0.89</v>
      </c>
      <c r="BM2131" t="s">
        <v>120</v>
      </c>
      <c r="BN2131" t="s">
        <v>120</v>
      </c>
      <c r="BO2131">
        <v>21.09</v>
      </c>
      <c r="BP2131">
        <v>81.489999999999995</v>
      </c>
      <c r="BQ2131">
        <v>17.149999999999999</v>
      </c>
      <c r="BR2131">
        <v>-0.01</v>
      </c>
      <c r="BS2131">
        <v>18.68</v>
      </c>
      <c r="BT2131">
        <v>15.16</v>
      </c>
      <c r="BU2131">
        <v>4.37</v>
      </c>
      <c r="BV2131">
        <v>0.08</v>
      </c>
      <c r="BW2131">
        <v>2.2000000000000002</v>
      </c>
      <c r="BX2131">
        <v>8.42</v>
      </c>
      <c r="BY2131">
        <v>0.13</v>
      </c>
      <c r="BZ2131">
        <v>3.54</v>
      </c>
      <c r="CA2131" t="s">
        <v>120</v>
      </c>
      <c r="CB2131">
        <v>11.66</v>
      </c>
      <c r="CC2131">
        <v>6.32</v>
      </c>
      <c r="CD2131">
        <v>2.59</v>
      </c>
      <c r="CE2131">
        <v>0.99</v>
      </c>
      <c r="CF2131">
        <v>0</v>
      </c>
      <c r="CG2131">
        <v>0.99</v>
      </c>
      <c r="CH2131">
        <v>0.84</v>
      </c>
      <c r="CI2131">
        <v>0.85</v>
      </c>
      <c r="CJ2131">
        <v>-1.17</v>
      </c>
      <c r="CK2131">
        <v>0.77</v>
      </c>
      <c r="CL2131">
        <v>4.18</v>
      </c>
      <c r="CM2131">
        <v>0.15</v>
      </c>
      <c r="CN2131">
        <v>-4.05</v>
      </c>
      <c r="CO2131">
        <v>10000</v>
      </c>
      <c r="CP2131">
        <v>3132</v>
      </c>
      <c r="CQ2131" t="s">
        <v>10375</v>
      </c>
      <c r="CR2131">
        <v>23.73</v>
      </c>
      <c r="CS2131">
        <v>74.260000000000005</v>
      </c>
      <c r="CT2131">
        <v>4.22</v>
      </c>
      <c r="CU2131">
        <v>498.02</v>
      </c>
      <c r="CV2131">
        <v>11.46</v>
      </c>
      <c r="CW2131">
        <v>0.54</v>
      </c>
      <c r="CX2131" t="s">
        <v>4116</v>
      </c>
      <c r="CY2131">
        <v>19.309999999999999</v>
      </c>
      <c r="CZ2131">
        <v>0</v>
      </c>
      <c r="DA2131">
        <v>13.13</v>
      </c>
      <c r="DB2131">
        <v>4.71</v>
      </c>
      <c r="DC2131">
        <v>0.16</v>
      </c>
      <c r="DD2131">
        <v>81.349999999999994</v>
      </c>
      <c r="DE2131" t="s">
        <v>7241</v>
      </c>
      <c r="DF2131">
        <v>58.99</v>
      </c>
      <c r="DG2131">
        <v>15.63</v>
      </c>
      <c r="DH2131">
        <v>13.42</v>
      </c>
      <c r="DI2131">
        <v>0.72</v>
      </c>
      <c r="DJ2131">
        <v>1506</v>
      </c>
      <c r="DK2131">
        <v>300785</v>
      </c>
      <c r="DL2131" t="s">
        <v>120</v>
      </c>
      <c r="DM2131" t="s">
        <v>120</v>
      </c>
      <c r="DN2131" t="s">
        <v>120</v>
      </c>
    </row>
    <row r="2132" spans="1:118">
      <c r="A2132" t="str">
        <f>"300786"</f>
        <v>300786</v>
      </c>
      <c r="B2132" t="s">
        <v>10376</v>
      </c>
      <c r="C2132">
        <v>-3.02</v>
      </c>
      <c r="D2132">
        <v>0.03</v>
      </c>
      <c r="E2132">
        <v>-0.85</v>
      </c>
      <c r="F2132">
        <v>526</v>
      </c>
      <c r="G2132" t="s">
        <v>10377</v>
      </c>
      <c r="H2132">
        <v>19029.96</v>
      </c>
      <c r="I2132">
        <v>129.71</v>
      </c>
      <c r="J2132" t="s">
        <v>120</v>
      </c>
      <c r="K2132" t="s">
        <v>10115</v>
      </c>
      <c r="L2132">
        <v>10.01</v>
      </c>
      <c r="M2132">
        <v>35.340000000000003</v>
      </c>
      <c r="N2132">
        <v>1.05</v>
      </c>
      <c r="O2132">
        <v>3.95</v>
      </c>
      <c r="P2132">
        <v>37.880000000000003</v>
      </c>
      <c r="Q2132">
        <v>-3.1</v>
      </c>
      <c r="R2132">
        <v>35.31</v>
      </c>
      <c r="S2132">
        <v>36.130000000000003</v>
      </c>
      <c r="T2132">
        <v>52109</v>
      </c>
      <c r="U2132">
        <v>35.35</v>
      </c>
      <c r="V2132">
        <v>36.44</v>
      </c>
      <c r="W2132">
        <v>51.8</v>
      </c>
      <c r="X2132" t="s">
        <v>318</v>
      </c>
      <c r="Y2132" t="s">
        <v>638</v>
      </c>
      <c r="Z2132">
        <v>7.05</v>
      </c>
      <c r="AA2132">
        <v>36.520000000000003</v>
      </c>
      <c r="AB2132">
        <v>29699</v>
      </c>
      <c r="AC2132">
        <v>22410</v>
      </c>
      <c r="AD2132">
        <v>1.33</v>
      </c>
      <c r="AE2132">
        <v>33</v>
      </c>
      <c r="AF2132">
        <v>96</v>
      </c>
      <c r="AG2132" t="s">
        <v>120</v>
      </c>
      <c r="AH2132">
        <v>0.08</v>
      </c>
      <c r="AI2132" t="s">
        <v>120</v>
      </c>
      <c r="AJ2132">
        <v>0.52</v>
      </c>
      <c r="AK2132" t="s">
        <v>10378</v>
      </c>
      <c r="AL2132">
        <v>-1.1000000000000001</v>
      </c>
      <c r="AM2132">
        <v>3011</v>
      </c>
      <c r="AN2132">
        <v>17</v>
      </c>
      <c r="AO2132">
        <v>3.3E-3</v>
      </c>
      <c r="AP2132">
        <v>-1</v>
      </c>
      <c r="AQ2132">
        <v>3.38</v>
      </c>
      <c r="AR2132">
        <v>-2.27</v>
      </c>
      <c r="AS2132">
        <v>18.47</v>
      </c>
      <c r="AT2132">
        <v>64.22</v>
      </c>
      <c r="AU2132">
        <v>54.86</v>
      </c>
      <c r="AV2132">
        <v>4</v>
      </c>
      <c r="AW2132">
        <v>10.96</v>
      </c>
      <c r="AX2132">
        <v>46.52</v>
      </c>
      <c r="AY2132">
        <v>45.95</v>
      </c>
      <c r="AZ2132">
        <v>46.57</v>
      </c>
      <c r="BA2132">
        <v>1.2</v>
      </c>
      <c r="BB2132" t="s">
        <v>143</v>
      </c>
      <c r="BF2132">
        <v>0.22</v>
      </c>
      <c r="BG2132">
        <v>-2.19</v>
      </c>
      <c r="BH2132">
        <v>-6.71</v>
      </c>
      <c r="BI2132">
        <v>0.08</v>
      </c>
      <c r="BJ2132">
        <v>20210913</v>
      </c>
      <c r="BK2132">
        <v>20190723</v>
      </c>
      <c r="BL2132">
        <v>1.02</v>
      </c>
      <c r="BM2132" t="s">
        <v>120</v>
      </c>
      <c r="BN2132" t="s">
        <v>120</v>
      </c>
      <c r="BO2132">
        <v>11.98</v>
      </c>
      <c r="BP2132">
        <v>35.340000000000003</v>
      </c>
      <c r="BQ2132">
        <v>8.52</v>
      </c>
      <c r="BR2132">
        <v>0.03</v>
      </c>
      <c r="BS2132">
        <v>28.67</v>
      </c>
      <c r="BT2132">
        <v>8.3800000000000008</v>
      </c>
      <c r="BU2132">
        <v>1.81</v>
      </c>
      <c r="BV2132">
        <v>0.26</v>
      </c>
      <c r="BW2132">
        <v>3.43</v>
      </c>
      <c r="BX2132">
        <v>2.4</v>
      </c>
      <c r="BY2132">
        <v>3.1</v>
      </c>
      <c r="BZ2132">
        <v>1.85</v>
      </c>
      <c r="CA2132" t="s">
        <v>120</v>
      </c>
      <c r="CB2132">
        <v>3.75</v>
      </c>
      <c r="CC2132">
        <v>2.2000000000000002</v>
      </c>
      <c r="CD2132">
        <v>1.42</v>
      </c>
      <c r="CE2132">
        <v>0.4</v>
      </c>
      <c r="CF2132">
        <v>0</v>
      </c>
      <c r="CG2132">
        <v>0.41</v>
      </c>
      <c r="CH2132">
        <v>0.35</v>
      </c>
      <c r="CI2132">
        <v>0.35</v>
      </c>
      <c r="CJ2132">
        <v>-1.1000000000000001</v>
      </c>
      <c r="CK2132">
        <v>0.34</v>
      </c>
      <c r="CL2132">
        <v>3.57</v>
      </c>
      <c r="CM2132">
        <v>-0.11</v>
      </c>
      <c r="CN2132">
        <v>-0.94</v>
      </c>
      <c r="CO2132">
        <v>10004</v>
      </c>
      <c r="CP2132">
        <v>4754</v>
      </c>
      <c r="CQ2132" t="s">
        <v>10379</v>
      </c>
      <c r="CR2132">
        <v>3.21</v>
      </c>
      <c r="CS2132">
        <v>43.35</v>
      </c>
      <c r="CT2132">
        <v>3.54</v>
      </c>
      <c r="CU2132">
        <v>-340.1</v>
      </c>
      <c r="CV2132">
        <v>16.41</v>
      </c>
      <c r="CW2132">
        <v>0.44</v>
      </c>
      <c r="CX2132" t="s">
        <v>803</v>
      </c>
      <c r="CY2132">
        <v>9.9700000000000006</v>
      </c>
      <c r="CZ2132">
        <v>9.9700000000000006</v>
      </c>
      <c r="DA2132">
        <v>3.67</v>
      </c>
      <c r="DB2132">
        <v>3.49</v>
      </c>
      <c r="DC2132">
        <v>-0.1</v>
      </c>
      <c r="DD2132">
        <v>71.099999999999994</v>
      </c>
      <c r="DE2132" t="s">
        <v>10380</v>
      </c>
      <c r="DF2132">
        <v>35.61</v>
      </c>
      <c r="DG2132">
        <v>18.239999999999998</v>
      </c>
      <c r="DH2132">
        <v>15.84</v>
      </c>
      <c r="DI2132">
        <v>0.09</v>
      </c>
      <c r="DJ2132">
        <v>602</v>
      </c>
      <c r="DK2132">
        <v>300786</v>
      </c>
      <c r="DL2132">
        <v>20210809</v>
      </c>
      <c r="DM2132">
        <v>30.55</v>
      </c>
      <c r="DN2132">
        <v>15.68</v>
      </c>
    </row>
    <row r="2133" spans="1:118">
      <c r="A2133" t="str">
        <f>"300787"</f>
        <v>300787</v>
      </c>
      <c r="B2133" t="s">
        <v>10381</v>
      </c>
      <c r="C2133">
        <v>-1.52</v>
      </c>
      <c r="D2133">
        <v>-0.03</v>
      </c>
      <c r="E2133">
        <v>-0.2</v>
      </c>
      <c r="F2133">
        <v>186</v>
      </c>
      <c r="G2133" t="s">
        <v>7367</v>
      </c>
      <c r="H2133">
        <v>2554.12</v>
      </c>
      <c r="I2133">
        <v>2</v>
      </c>
      <c r="J2133" t="s">
        <v>120</v>
      </c>
      <c r="K2133" t="s">
        <v>1342</v>
      </c>
      <c r="L2133">
        <v>1.98</v>
      </c>
      <c r="M2133">
        <v>24.62</v>
      </c>
      <c r="N2133">
        <v>0.57999999999999996</v>
      </c>
      <c r="O2133">
        <v>0.4</v>
      </c>
      <c r="P2133">
        <v>25.1</v>
      </c>
      <c r="Q2133">
        <v>-1.6</v>
      </c>
      <c r="R2133">
        <v>24.6</v>
      </c>
      <c r="S2133">
        <v>24.95</v>
      </c>
      <c r="T2133">
        <v>10295</v>
      </c>
      <c r="U2133">
        <v>24.62</v>
      </c>
      <c r="V2133">
        <v>25</v>
      </c>
      <c r="W2133">
        <v>36.74</v>
      </c>
      <c r="X2133" t="s">
        <v>462</v>
      </c>
      <c r="Y2133" t="s">
        <v>676</v>
      </c>
      <c r="Z2133">
        <v>2</v>
      </c>
      <c r="AA2133">
        <v>24.81</v>
      </c>
      <c r="AB2133">
        <v>6029</v>
      </c>
      <c r="AC2133">
        <v>4266</v>
      </c>
      <c r="AD2133">
        <v>1.41</v>
      </c>
      <c r="AE2133">
        <v>53</v>
      </c>
      <c r="AF2133">
        <v>148</v>
      </c>
      <c r="AG2133" t="s">
        <v>120</v>
      </c>
      <c r="AH2133">
        <v>0</v>
      </c>
      <c r="AI2133" t="s">
        <v>120</v>
      </c>
      <c r="AJ2133">
        <v>0.52</v>
      </c>
      <c r="AK2133" t="s">
        <v>8786</v>
      </c>
      <c r="AL2133">
        <v>0.39</v>
      </c>
      <c r="AM2133">
        <v>918</v>
      </c>
      <c r="AN2133">
        <v>11</v>
      </c>
      <c r="AO2133">
        <v>2.2000000000000001E-3</v>
      </c>
      <c r="AP2133">
        <v>-2</v>
      </c>
      <c r="AQ2133">
        <v>-3.62</v>
      </c>
      <c r="AR2133">
        <v>-4.6500000000000004</v>
      </c>
      <c r="AS2133">
        <v>-1.1299999999999999</v>
      </c>
      <c r="AT2133">
        <v>-20.11</v>
      </c>
      <c r="AU2133">
        <v>-28.43</v>
      </c>
      <c r="AV2133">
        <v>0</v>
      </c>
      <c r="AW2133">
        <v>2.6</v>
      </c>
      <c r="AX2133">
        <v>25.92</v>
      </c>
      <c r="AY2133">
        <v>49.97</v>
      </c>
      <c r="AZ2133">
        <v>33.65</v>
      </c>
      <c r="BA2133">
        <v>0.89</v>
      </c>
      <c r="BB2133" t="s">
        <v>125</v>
      </c>
      <c r="BF2133">
        <v>-0.76</v>
      </c>
      <c r="BG2133">
        <v>-1.32</v>
      </c>
      <c r="BH2133">
        <v>-1.91</v>
      </c>
      <c r="BI2133">
        <v>0.08</v>
      </c>
      <c r="BJ2133">
        <v>20210826</v>
      </c>
      <c r="BK2133">
        <v>20190815</v>
      </c>
      <c r="BL2133">
        <v>1.53</v>
      </c>
      <c r="BM2133" t="s">
        <v>120</v>
      </c>
      <c r="BN2133" t="s">
        <v>120</v>
      </c>
      <c r="BO2133">
        <v>21.98</v>
      </c>
      <c r="BP2133">
        <v>24.61</v>
      </c>
      <c r="BQ2133">
        <v>12.17</v>
      </c>
      <c r="BR2133" t="s">
        <v>120</v>
      </c>
      <c r="BS2133">
        <v>44.64</v>
      </c>
      <c r="BT2133">
        <v>11.02</v>
      </c>
      <c r="BU2133">
        <v>8.26</v>
      </c>
      <c r="BV2133">
        <v>1.33</v>
      </c>
      <c r="BW2133">
        <v>9.24</v>
      </c>
      <c r="BX2133">
        <v>2.7</v>
      </c>
      <c r="BY2133">
        <v>4.4000000000000004</v>
      </c>
      <c r="BZ2133">
        <v>3.03</v>
      </c>
      <c r="CA2133" t="s">
        <v>120</v>
      </c>
      <c r="CB2133">
        <v>4.38</v>
      </c>
      <c r="CC2133">
        <v>8.26</v>
      </c>
      <c r="CD2133">
        <v>6.43</v>
      </c>
      <c r="CE2133">
        <v>0.46</v>
      </c>
      <c r="CF2133">
        <v>-0.02</v>
      </c>
      <c r="CG2133">
        <v>0.46</v>
      </c>
      <c r="CH2133">
        <v>0.51</v>
      </c>
      <c r="CI2133">
        <v>0.51</v>
      </c>
      <c r="CJ2133">
        <v>-0.38</v>
      </c>
      <c r="CK2133">
        <v>0.39</v>
      </c>
      <c r="CL2133">
        <v>5.67</v>
      </c>
      <c r="CM2133">
        <v>-0.31</v>
      </c>
      <c r="CN2133">
        <v>-0.18</v>
      </c>
      <c r="CO2133">
        <v>14953</v>
      </c>
      <c r="CP2133">
        <v>2649</v>
      </c>
      <c r="CQ2133" t="s">
        <v>1533</v>
      </c>
      <c r="CR2133">
        <v>-42</v>
      </c>
      <c r="CS2133">
        <v>28.14</v>
      </c>
      <c r="CT2133">
        <v>3.09</v>
      </c>
      <c r="CU2133">
        <v>-121.86</v>
      </c>
      <c r="CV2133">
        <v>4.55</v>
      </c>
      <c r="CW2133">
        <v>1.17</v>
      </c>
      <c r="CX2133" t="s">
        <v>10382</v>
      </c>
      <c r="CY2133">
        <v>7.97</v>
      </c>
      <c r="CZ2133">
        <v>0</v>
      </c>
      <c r="DA2133">
        <v>2.87</v>
      </c>
      <c r="DB2133">
        <v>3.71</v>
      </c>
      <c r="DC2133">
        <v>-0.2</v>
      </c>
      <c r="DD2133">
        <v>55.36</v>
      </c>
      <c r="DE2133" t="s">
        <v>2365</v>
      </c>
      <c r="DF2133">
        <v>22.15</v>
      </c>
      <c r="DG2133">
        <v>5.52</v>
      </c>
      <c r="DH2133">
        <v>6.19</v>
      </c>
      <c r="DI2133">
        <v>0.51</v>
      </c>
      <c r="DJ2133">
        <v>7111</v>
      </c>
      <c r="DK2133">
        <v>300787</v>
      </c>
      <c r="DL2133" t="s">
        <v>120</v>
      </c>
      <c r="DM2133" t="s">
        <v>120</v>
      </c>
      <c r="DN2133" t="s">
        <v>120</v>
      </c>
    </row>
    <row r="2134" spans="1:118">
      <c r="A2134" t="str">
        <f>"300788"</f>
        <v>300788</v>
      </c>
      <c r="B2134" t="s">
        <v>10383</v>
      </c>
      <c r="C2134">
        <v>-1.81</v>
      </c>
      <c r="D2134">
        <v>0.33</v>
      </c>
      <c r="E2134">
        <v>-0.27</v>
      </c>
      <c r="F2134">
        <v>71</v>
      </c>
      <c r="G2134" t="s">
        <v>10384</v>
      </c>
      <c r="H2134">
        <v>1688.29</v>
      </c>
      <c r="I2134">
        <v>0</v>
      </c>
      <c r="J2134" t="s">
        <v>120</v>
      </c>
      <c r="K2134" t="s">
        <v>10384</v>
      </c>
      <c r="L2134">
        <v>1.01</v>
      </c>
      <c r="M2134">
        <v>33.18</v>
      </c>
      <c r="N2134">
        <v>0.42</v>
      </c>
      <c r="O2134">
        <v>0.44</v>
      </c>
      <c r="P2134">
        <v>33.94</v>
      </c>
      <c r="Q2134">
        <v>-2.63</v>
      </c>
      <c r="R2134">
        <v>32.9</v>
      </c>
      <c r="S2134">
        <v>33.700000000000003</v>
      </c>
      <c r="T2134">
        <v>5075</v>
      </c>
      <c r="U2134">
        <v>33.229999999999997</v>
      </c>
      <c r="V2134">
        <v>33.79</v>
      </c>
      <c r="W2134">
        <v>21.8</v>
      </c>
      <c r="X2134" t="s">
        <v>1730</v>
      </c>
      <c r="Y2134" t="s">
        <v>158</v>
      </c>
      <c r="Z2134">
        <v>3.08</v>
      </c>
      <c r="AA2134">
        <v>33.270000000000003</v>
      </c>
      <c r="AB2134">
        <v>3295</v>
      </c>
      <c r="AC2134">
        <v>1780</v>
      </c>
      <c r="AD2134">
        <v>1.85</v>
      </c>
      <c r="AE2134">
        <v>7</v>
      </c>
      <c r="AF2134">
        <v>18</v>
      </c>
      <c r="AG2134" t="s">
        <v>120</v>
      </c>
      <c r="AH2134">
        <v>0</v>
      </c>
      <c r="AI2134" t="s">
        <v>120</v>
      </c>
      <c r="AJ2134">
        <v>0.5</v>
      </c>
      <c r="AK2134" t="s">
        <v>10385</v>
      </c>
      <c r="AL2134">
        <v>0.11</v>
      </c>
      <c r="AM2134">
        <v>649</v>
      </c>
      <c r="AN2134">
        <v>8</v>
      </c>
      <c r="AO2134">
        <v>1.6000000000000001E-3</v>
      </c>
      <c r="AP2134">
        <v>-3</v>
      </c>
      <c r="AQ2134">
        <v>-2.34</v>
      </c>
      <c r="AR2134">
        <v>-7.16</v>
      </c>
      <c r="AS2134">
        <v>8.5299999999999994</v>
      </c>
      <c r="AT2134">
        <v>-9.59</v>
      </c>
      <c r="AU2134">
        <v>-20.86</v>
      </c>
      <c r="AV2134">
        <v>0</v>
      </c>
      <c r="AW2134">
        <v>1.01</v>
      </c>
      <c r="AX2134">
        <v>26.5</v>
      </c>
      <c r="AY2134">
        <v>19.78</v>
      </c>
      <c r="AZ2134">
        <v>22.78</v>
      </c>
      <c r="BA2134">
        <v>0.49</v>
      </c>
      <c r="BB2134" t="s">
        <v>143</v>
      </c>
      <c r="BF2134">
        <v>-1.55</v>
      </c>
      <c r="BG2134">
        <v>-1.54</v>
      </c>
      <c r="BH2134">
        <v>-2.2400000000000002</v>
      </c>
      <c r="BI2134">
        <v>0.85</v>
      </c>
      <c r="BJ2134">
        <v>20210827</v>
      </c>
      <c r="BK2134">
        <v>20190705</v>
      </c>
      <c r="BL2134">
        <v>1.9</v>
      </c>
      <c r="BM2134" t="s">
        <v>120</v>
      </c>
      <c r="BN2134" t="s">
        <v>120</v>
      </c>
      <c r="BO2134">
        <v>34.5</v>
      </c>
      <c r="BP2134">
        <v>33.17</v>
      </c>
      <c r="BQ2134">
        <v>19.22</v>
      </c>
      <c r="BR2134">
        <v>-0.02</v>
      </c>
      <c r="BS2134">
        <v>44.35</v>
      </c>
      <c r="BT2134">
        <v>29.7</v>
      </c>
      <c r="BU2134">
        <v>0.13</v>
      </c>
      <c r="BV2134">
        <v>0.14000000000000001</v>
      </c>
      <c r="BW2134">
        <v>12.59</v>
      </c>
      <c r="BX2134">
        <v>16.399999999999999</v>
      </c>
      <c r="BY2134">
        <v>8.4700000000000006</v>
      </c>
      <c r="BZ2134">
        <v>1.05</v>
      </c>
      <c r="CA2134" t="s">
        <v>120</v>
      </c>
      <c r="CB2134">
        <v>7.51</v>
      </c>
      <c r="CC2134">
        <v>9.52</v>
      </c>
      <c r="CD2134">
        <v>5.83</v>
      </c>
      <c r="CE2134">
        <v>1.41</v>
      </c>
      <c r="CF2134">
        <v>-0.01</v>
      </c>
      <c r="CG2134">
        <v>1.43</v>
      </c>
      <c r="CH2134">
        <v>1.42</v>
      </c>
      <c r="CI2134">
        <v>1.45</v>
      </c>
      <c r="CJ2134">
        <v>-0.61</v>
      </c>
      <c r="CK2134">
        <v>1.34</v>
      </c>
      <c r="CL2134">
        <v>8.7200000000000006</v>
      </c>
      <c r="CM2134">
        <v>1.07</v>
      </c>
      <c r="CN2134">
        <v>-1.8</v>
      </c>
      <c r="CO2134">
        <v>7903</v>
      </c>
      <c r="CP2134">
        <v>6376</v>
      </c>
      <c r="CQ2134" t="s">
        <v>10386</v>
      </c>
      <c r="CR2134">
        <v>41.85</v>
      </c>
      <c r="CS2134">
        <v>18.82</v>
      </c>
      <c r="CT2134">
        <v>3.28</v>
      </c>
      <c r="CU2134">
        <v>58.8</v>
      </c>
      <c r="CV2134">
        <v>6.63</v>
      </c>
      <c r="CW2134">
        <v>1.42</v>
      </c>
      <c r="CX2134" t="s">
        <v>2809</v>
      </c>
      <c r="CY2134">
        <v>10.11</v>
      </c>
      <c r="CZ2134">
        <v>0</v>
      </c>
      <c r="DA2134">
        <v>3.95</v>
      </c>
      <c r="DB2134">
        <v>4.58</v>
      </c>
      <c r="DC2134">
        <v>0.56000000000000005</v>
      </c>
      <c r="DD2134">
        <v>55.69</v>
      </c>
      <c r="DE2134" t="s">
        <v>2798</v>
      </c>
      <c r="DF2134">
        <v>38.69</v>
      </c>
      <c r="DG2134">
        <v>14.86</v>
      </c>
      <c r="DH2134">
        <v>15.2</v>
      </c>
      <c r="DI2134">
        <v>0.06</v>
      </c>
      <c r="DJ2134">
        <v>1483</v>
      </c>
      <c r="DK2134">
        <v>300788</v>
      </c>
      <c r="DL2134" t="s">
        <v>120</v>
      </c>
      <c r="DM2134" t="s">
        <v>120</v>
      </c>
      <c r="DN2134" t="s">
        <v>120</v>
      </c>
    </row>
    <row r="2135" spans="1:118">
      <c r="A2135" t="str">
        <f>"300789"</f>
        <v>300789</v>
      </c>
      <c r="B2135" t="s">
        <v>10387</v>
      </c>
      <c r="C2135">
        <v>-1.58</v>
      </c>
      <c r="D2135">
        <v>-0.03</v>
      </c>
      <c r="E2135">
        <v>0.13</v>
      </c>
      <c r="F2135">
        <v>25</v>
      </c>
      <c r="G2135" t="s">
        <v>7250</v>
      </c>
      <c r="H2135">
        <v>889.15</v>
      </c>
      <c r="I2135">
        <v>0</v>
      </c>
      <c r="J2135" t="s">
        <v>120</v>
      </c>
      <c r="K2135" t="s">
        <v>7221</v>
      </c>
      <c r="L2135">
        <v>1.24</v>
      </c>
      <c r="M2135">
        <v>23</v>
      </c>
      <c r="N2135">
        <v>0.79</v>
      </c>
      <c r="O2135">
        <v>1.54</v>
      </c>
      <c r="P2135">
        <v>23.73</v>
      </c>
      <c r="Q2135">
        <v>-2.0099999999999998</v>
      </c>
      <c r="R2135">
        <v>22.9</v>
      </c>
      <c r="S2135">
        <v>23.4</v>
      </c>
      <c r="T2135">
        <v>3814</v>
      </c>
      <c r="U2135">
        <v>23.01</v>
      </c>
      <c r="V2135">
        <v>23.37</v>
      </c>
      <c r="W2135">
        <v>38.71</v>
      </c>
      <c r="X2135" t="s">
        <v>141</v>
      </c>
      <c r="Y2135" t="s">
        <v>578</v>
      </c>
      <c r="Z2135">
        <v>3.55</v>
      </c>
      <c r="AA2135">
        <v>23.31</v>
      </c>
      <c r="AB2135">
        <v>1875</v>
      </c>
      <c r="AC2135">
        <v>1939</v>
      </c>
      <c r="AD2135">
        <v>0.97</v>
      </c>
      <c r="AE2135">
        <v>76</v>
      </c>
      <c r="AF2135">
        <v>11</v>
      </c>
      <c r="AG2135" t="s">
        <v>120</v>
      </c>
      <c r="AH2135">
        <v>0</v>
      </c>
      <c r="AI2135" t="s">
        <v>120</v>
      </c>
      <c r="AJ2135">
        <v>0.31</v>
      </c>
      <c r="AK2135" t="s">
        <v>10388</v>
      </c>
      <c r="AL2135">
        <v>0.33</v>
      </c>
      <c r="AM2135">
        <v>504</v>
      </c>
      <c r="AN2135">
        <v>8</v>
      </c>
      <c r="AO2135">
        <v>2.5000000000000001E-3</v>
      </c>
      <c r="AP2135">
        <v>-1</v>
      </c>
      <c r="AQ2135">
        <v>0.17</v>
      </c>
      <c r="AR2135">
        <v>-1.58</v>
      </c>
      <c r="AS2135">
        <v>-9.0500000000000007</v>
      </c>
      <c r="AT2135">
        <v>-11.27</v>
      </c>
      <c r="AU2135">
        <v>-12.36</v>
      </c>
      <c r="AV2135">
        <v>0</v>
      </c>
      <c r="AW2135">
        <v>1.68</v>
      </c>
      <c r="AX2135">
        <v>27.48</v>
      </c>
      <c r="AY2135">
        <v>29.6</v>
      </c>
      <c r="AZ2135">
        <v>29.96</v>
      </c>
      <c r="BA2135">
        <v>0.59</v>
      </c>
      <c r="BB2135" t="s">
        <v>143</v>
      </c>
      <c r="BF2135">
        <v>-0.25</v>
      </c>
      <c r="BG2135">
        <v>-1.71</v>
      </c>
      <c r="BH2135">
        <v>-3.08</v>
      </c>
      <c r="BI2135">
        <v>0.44</v>
      </c>
      <c r="BJ2135">
        <v>20210823</v>
      </c>
      <c r="BK2135">
        <v>20190828</v>
      </c>
      <c r="BL2135">
        <v>0.83</v>
      </c>
      <c r="BM2135" t="s">
        <v>120</v>
      </c>
      <c r="BN2135" t="s">
        <v>120</v>
      </c>
      <c r="BO2135">
        <v>9.7100000000000009</v>
      </c>
      <c r="BP2135">
        <v>23</v>
      </c>
      <c r="BQ2135">
        <v>7.61</v>
      </c>
      <c r="BR2135">
        <v>0.03</v>
      </c>
      <c r="BS2135">
        <v>21.3</v>
      </c>
      <c r="BT2135">
        <v>8.9700000000000006</v>
      </c>
      <c r="BU2135">
        <v>0.1</v>
      </c>
      <c r="BV2135">
        <v>0.09</v>
      </c>
      <c r="BW2135">
        <v>1.93</v>
      </c>
      <c r="BX2135">
        <v>2.72</v>
      </c>
      <c r="BY2135">
        <v>1.62</v>
      </c>
      <c r="BZ2135">
        <v>2.08</v>
      </c>
      <c r="CA2135" t="s">
        <v>120</v>
      </c>
      <c r="CB2135">
        <v>3.54</v>
      </c>
      <c r="CC2135">
        <v>1.41</v>
      </c>
      <c r="CD2135">
        <v>0.7</v>
      </c>
      <c r="CE2135">
        <v>0.27</v>
      </c>
      <c r="CF2135">
        <v>0.02</v>
      </c>
      <c r="CG2135">
        <v>0.27</v>
      </c>
      <c r="CH2135">
        <v>0.25</v>
      </c>
      <c r="CI2135">
        <v>0.25</v>
      </c>
      <c r="CJ2135">
        <v>-0.37</v>
      </c>
      <c r="CK2135">
        <v>0.21</v>
      </c>
      <c r="CL2135">
        <v>3.01</v>
      </c>
      <c r="CM2135">
        <v>-0.09</v>
      </c>
      <c r="CN2135">
        <v>-0.43</v>
      </c>
      <c r="CO2135">
        <v>6731</v>
      </c>
      <c r="CP2135">
        <v>3379</v>
      </c>
      <c r="CQ2135" t="s">
        <v>8771</v>
      </c>
      <c r="CR2135">
        <v>3.3</v>
      </c>
      <c r="CS2135">
        <v>42.02</v>
      </c>
      <c r="CT2135">
        <v>2.5</v>
      </c>
      <c r="CU2135">
        <v>-212.58</v>
      </c>
      <c r="CV2135">
        <v>13.46</v>
      </c>
      <c r="CW2135">
        <v>0.67</v>
      </c>
      <c r="CX2135" t="s">
        <v>2954</v>
      </c>
      <c r="CY2135">
        <v>9.1999999999999993</v>
      </c>
      <c r="CZ2135">
        <v>0</v>
      </c>
      <c r="DA2135">
        <v>4.28</v>
      </c>
      <c r="DB2135">
        <v>3.64</v>
      </c>
      <c r="DC2135">
        <v>-0.11</v>
      </c>
      <c r="DD2135">
        <v>78.400000000000006</v>
      </c>
      <c r="DE2135" t="s">
        <v>1482</v>
      </c>
      <c r="DF2135">
        <v>50.45</v>
      </c>
      <c r="DG2135">
        <v>18.75</v>
      </c>
      <c r="DH2135">
        <v>17.39</v>
      </c>
      <c r="DI2135">
        <v>0.23</v>
      </c>
      <c r="DJ2135">
        <v>418</v>
      </c>
      <c r="DK2135">
        <v>300789</v>
      </c>
      <c r="DL2135" t="s">
        <v>120</v>
      </c>
      <c r="DM2135" t="s">
        <v>120</v>
      </c>
      <c r="DN2135" t="s">
        <v>120</v>
      </c>
    </row>
    <row r="2136" spans="1:118">
      <c r="A2136" t="str">
        <f>"300790"</f>
        <v>300790</v>
      </c>
      <c r="B2136" t="s">
        <v>10389</v>
      </c>
      <c r="C2136">
        <v>-1.36</v>
      </c>
      <c r="D2136">
        <v>0</v>
      </c>
      <c r="E2136">
        <v>0.11</v>
      </c>
      <c r="F2136">
        <v>326</v>
      </c>
      <c r="G2136" t="s">
        <v>10390</v>
      </c>
      <c r="H2136">
        <v>9312.36</v>
      </c>
      <c r="I2136">
        <v>7.89</v>
      </c>
      <c r="J2136" t="s">
        <v>120</v>
      </c>
      <c r="K2136" t="s">
        <v>10390</v>
      </c>
      <c r="L2136">
        <v>2.3199999999999998</v>
      </c>
      <c r="M2136">
        <v>37</v>
      </c>
      <c r="N2136">
        <v>0.67</v>
      </c>
      <c r="O2136">
        <v>0.77</v>
      </c>
      <c r="P2136">
        <v>37.799999999999997</v>
      </c>
      <c r="Q2136">
        <v>-2.5299999999999998</v>
      </c>
      <c r="R2136">
        <v>36.56</v>
      </c>
      <c r="S2136">
        <v>37.549999999999997</v>
      </c>
      <c r="T2136">
        <v>25097</v>
      </c>
      <c r="U2136">
        <v>37.01</v>
      </c>
      <c r="V2136">
        <v>37.51</v>
      </c>
      <c r="W2136">
        <v>29.42</v>
      </c>
      <c r="X2136" t="s">
        <v>2717</v>
      </c>
      <c r="Y2136" t="s">
        <v>547</v>
      </c>
      <c r="Z2136">
        <v>3.31</v>
      </c>
      <c r="AA2136">
        <v>37.1</v>
      </c>
      <c r="AB2136">
        <v>12092</v>
      </c>
      <c r="AC2136">
        <v>13005</v>
      </c>
      <c r="AD2136">
        <v>0.93</v>
      </c>
      <c r="AE2136">
        <v>539</v>
      </c>
      <c r="AF2136">
        <v>12</v>
      </c>
      <c r="AG2136" t="s">
        <v>120</v>
      </c>
      <c r="AH2136">
        <v>0</v>
      </c>
      <c r="AI2136" t="s">
        <v>120</v>
      </c>
      <c r="AJ2136">
        <v>1.08</v>
      </c>
      <c r="AK2136" t="s">
        <v>10391</v>
      </c>
      <c r="AL2136">
        <v>0.55000000000000004</v>
      </c>
      <c r="AM2136">
        <v>2502</v>
      </c>
      <c r="AN2136">
        <v>10</v>
      </c>
      <c r="AO2136">
        <v>8.9999999999999998E-4</v>
      </c>
      <c r="AP2136">
        <v>-6</v>
      </c>
      <c r="AQ2136">
        <v>-1.93</v>
      </c>
      <c r="AR2136">
        <v>-7.42</v>
      </c>
      <c r="AS2136">
        <v>-9.75</v>
      </c>
      <c r="AT2136">
        <v>9.5299999999999994</v>
      </c>
      <c r="AU2136">
        <v>106.36</v>
      </c>
      <c r="AV2136">
        <v>0</v>
      </c>
      <c r="AW2136">
        <v>2.3199999999999998</v>
      </c>
      <c r="AX2136">
        <v>49.3</v>
      </c>
      <c r="AY2136">
        <v>37.49</v>
      </c>
      <c r="AZ2136">
        <v>64.84</v>
      </c>
      <c r="BA2136">
        <v>1.31</v>
      </c>
      <c r="BB2136" t="s">
        <v>134</v>
      </c>
      <c r="BF2136">
        <v>-1.08</v>
      </c>
      <c r="BG2136">
        <v>-1.46</v>
      </c>
      <c r="BH2136">
        <v>-2.12</v>
      </c>
      <c r="BI2136">
        <v>1.2</v>
      </c>
      <c r="BJ2136">
        <v>20210820</v>
      </c>
      <c r="BK2136">
        <v>20190920</v>
      </c>
      <c r="BL2136">
        <v>2.19</v>
      </c>
      <c r="BM2136" t="s">
        <v>120</v>
      </c>
      <c r="BN2136" t="s">
        <v>120</v>
      </c>
      <c r="BO2136">
        <v>30.57</v>
      </c>
      <c r="BP2136">
        <v>37</v>
      </c>
      <c r="BQ2136">
        <v>15.1</v>
      </c>
      <c r="BR2136" t="s">
        <v>120</v>
      </c>
      <c r="BS2136">
        <v>50.6</v>
      </c>
      <c r="BT2136">
        <v>14.61</v>
      </c>
      <c r="BU2136">
        <v>11.01</v>
      </c>
      <c r="BV2136">
        <v>0.63</v>
      </c>
      <c r="BW2136">
        <v>12.3</v>
      </c>
      <c r="BX2136">
        <v>2.29</v>
      </c>
      <c r="BY2136">
        <v>4.92</v>
      </c>
      <c r="BZ2136">
        <v>4.53</v>
      </c>
      <c r="CA2136" t="s">
        <v>120</v>
      </c>
      <c r="CB2136">
        <v>8.4600000000000009</v>
      </c>
      <c r="CC2136">
        <v>9.94</v>
      </c>
      <c r="CD2136">
        <v>7.32</v>
      </c>
      <c r="CE2136">
        <v>1.64</v>
      </c>
      <c r="CF2136">
        <v>0</v>
      </c>
      <c r="CG2136">
        <v>1.65</v>
      </c>
      <c r="CH2136">
        <v>1.38</v>
      </c>
      <c r="CI2136">
        <v>1.38</v>
      </c>
      <c r="CJ2136">
        <v>-0.51</v>
      </c>
      <c r="CK2136">
        <v>1.33</v>
      </c>
      <c r="CL2136">
        <v>4.3899999999999997</v>
      </c>
      <c r="CM2136">
        <v>2.8</v>
      </c>
      <c r="CN2136">
        <v>-0.04</v>
      </c>
      <c r="CO2136">
        <v>10069</v>
      </c>
      <c r="CP2136">
        <v>10728</v>
      </c>
      <c r="CQ2136" t="s">
        <v>10392</v>
      </c>
      <c r="CR2136">
        <v>204.32</v>
      </c>
      <c r="CS2136">
        <v>91.6</v>
      </c>
      <c r="CT2136">
        <v>5.37</v>
      </c>
      <c r="CU2136">
        <v>28.99</v>
      </c>
      <c r="CV2136">
        <v>8.15</v>
      </c>
      <c r="CW2136">
        <v>0.77</v>
      </c>
      <c r="CX2136" t="s">
        <v>2533</v>
      </c>
      <c r="CY2136">
        <v>6.89</v>
      </c>
      <c r="CZ2136">
        <v>0</v>
      </c>
      <c r="DA2136">
        <v>3.86</v>
      </c>
      <c r="DB2136">
        <v>2</v>
      </c>
      <c r="DC2136">
        <v>1.28</v>
      </c>
      <c r="DD2136">
        <v>49.4</v>
      </c>
      <c r="DE2136" t="s">
        <v>10393</v>
      </c>
      <c r="DF2136">
        <v>26.38</v>
      </c>
      <c r="DG2136">
        <v>16.55</v>
      </c>
      <c r="DH2136">
        <v>13.86</v>
      </c>
      <c r="DI2136">
        <v>0.48</v>
      </c>
      <c r="DJ2136">
        <v>1492</v>
      </c>
      <c r="DK2136">
        <v>300790</v>
      </c>
      <c r="DL2136" t="s">
        <v>120</v>
      </c>
      <c r="DM2136" t="s">
        <v>120</v>
      </c>
      <c r="DN2136" t="s">
        <v>120</v>
      </c>
    </row>
    <row r="2137" spans="1:118">
      <c r="A2137" t="str">
        <f>"300791"</f>
        <v>300791</v>
      </c>
      <c r="B2137" t="s">
        <v>10394</v>
      </c>
      <c r="C2137">
        <v>-2.35</v>
      </c>
      <c r="D2137">
        <v>0.05</v>
      </c>
      <c r="E2137">
        <v>-0.02</v>
      </c>
      <c r="F2137">
        <v>261</v>
      </c>
      <c r="G2137" t="s">
        <v>7034</v>
      </c>
      <c r="H2137">
        <v>5380.15</v>
      </c>
      <c r="I2137">
        <v>4.96</v>
      </c>
      <c r="J2137" t="s">
        <v>120</v>
      </c>
      <c r="K2137" t="s">
        <v>10395</v>
      </c>
      <c r="L2137">
        <v>2.2799999999999998</v>
      </c>
      <c r="M2137">
        <v>44.07</v>
      </c>
      <c r="N2137">
        <v>1.63</v>
      </c>
      <c r="O2137">
        <v>0.42</v>
      </c>
      <c r="P2137">
        <v>45.32</v>
      </c>
      <c r="Q2137">
        <v>-3.48</v>
      </c>
      <c r="R2137">
        <v>43.56</v>
      </c>
      <c r="S2137">
        <v>45.12</v>
      </c>
      <c r="T2137">
        <v>12136</v>
      </c>
      <c r="U2137">
        <v>44.07</v>
      </c>
      <c r="V2137">
        <v>45.13</v>
      </c>
      <c r="W2137">
        <v>27.21</v>
      </c>
      <c r="X2137" t="s">
        <v>555</v>
      </c>
      <c r="Y2137" t="s">
        <v>547</v>
      </c>
      <c r="Z2137">
        <v>3.9</v>
      </c>
      <c r="AA2137">
        <v>44.33</v>
      </c>
      <c r="AB2137">
        <v>7183</v>
      </c>
      <c r="AC2137">
        <v>4953</v>
      </c>
      <c r="AD2137">
        <v>1.45</v>
      </c>
      <c r="AE2137">
        <v>3</v>
      </c>
      <c r="AF2137">
        <v>20</v>
      </c>
      <c r="AG2137" t="s">
        <v>120</v>
      </c>
      <c r="AH2137">
        <v>0</v>
      </c>
      <c r="AI2137" t="s">
        <v>120</v>
      </c>
      <c r="AJ2137">
        <v>0.53</v>
      </c>
      <c r="AK2137" t="s">
        <v>10396</v>
      </c>
      <c r="AL2137">
        <v>-0.44</v>
      </c>
      <c r="AM2137">
        <v>1340</v>
      </c>
      <c r="AN2137">
        <v>9</v>
      </c>
      <c r="AO2137">
        <v>1.6999999999999999E-3</v>
      </c>
      <c r="AP2137">
        <v>-7</v>
      </c>
      <c r="AQ2137">
        <v>-0.66</v>
      </c>
      <c r="AR2137">
        <v>-4.03</v>
      </c>
      <c r="AS2137">
        <v>-20.93</v>
      </c>
      <c r="AT2137">
        <v>-15.44</v>
      </c>
      <c r="AU2137">
        <v>-27.64</v>
      </c>
      <c r="AV2137">
        <v>0</v>
      </c>
      <c r="AW2137">
        <v>2.54</v>
      </c>
      <c r="AX2137">
        <v>26.54</v>
      </c>
      <c r="AY2137">
        <v>29.13</v>
      </c>
      <c r="AZ2137">
        <v>31.56</v>
      </c>
      <c r="BA2137">
        <v>1</v>
      </c>
      <c r="BB2137" t="s">
        <v>134</v>
      </c>
      <c r="BF2137">
        <v>-1.76</v>
      </c>
      <c r="BG2137">
        <v>-2.33</v>
      </c>
      <c r="BH2137">
        <v>-2.76</v>
      </c>
      <c r="BI2137">
        <v>1.17</v>
      </c>
      <c r="BJ2137">
        <v>20210827</v>
      </c>
      <c r="BK2137">
        <v>20190925</v>
      </c>
      <c r="BL2137">
        <v>1.8</v>
      </c>
      <c r="BM2137" t="s">
        <v>120</v>
      </c>
      <c r="BN2137" t="s">
        <v>120</v>
      </c>
      <c r="BO2137">
        <v>37.94</v>
      </c>
      <c r="BP2137">
        <v>44.06</v>
      </c>
      <c r="BQ2137">
        <v>24.61</v>
      </c>
      <c r="BR2137" t="s">
        <v>120</v>
      </c>
      <c r="BS2137">
        <v>35.14</v>
      </c>
      <c r="BT2137">
        <v>23.23</v>
      </c>
      <c r="BU2137">
        <v>7.47</v>
      </c>
      <c r="BV2137">
        <v>1.32</v>
      </c>
      <c r="BW2137">
        <v>4.32</v>
      </c>
      <c r="BX2137">
        <v>11.81</v>
      </c>
      <c r="BY2137">
        <v>3.25</v>
      </c>
      <c r="BZ2137">
        <v>3</v>
      </c>
      <c r="CA2137" t="s">
        <v>120</v>
      </c>
      <c r="CB2137">
        <v>10.33</v>
      </c>
      <c r="CC2137">
        <v>11.65</v>
      </c>
      <c r="CD2137">
        <v>7.6</v>
      </c>
      <c r="CE2137">
        <v>1.73</v>
      </c>
      <c r="CF2137">
        <v>0.11</v>
      </c>
      <c r="CG2137">
        <v>1.72</v>
      </c>
      <c r="CH2137">
        <v>1.46</v>
      </c>
      <c r="CI2137">
        <v>1.46</v>
      </c>
      <c r="CJ2137">
        <v>-1.06</v>
      </c>
      <c r="CK2137">
        <v>1.33</v>
      </c>
      <c r="CL2137">
        <v>9.9600000000000009</v>
      </c>
      <c r="CM2137">
        <v>1.58</v>
      </c>
      <c r="CN2137">
        <v>9.69</v>
      </c>
      <c r="CO2137">
        <v>7449</v>
      </c>
      <c r="CP2137">
        <v>6412</v>
      </c>
      <c r="CQ2137" t="s">
        <v>10397</v>
      </c>
      <c r="CR2137">
        <v>17.329999999999998</v>
      </c>
      <c r="CS2137">
        <v>27.22</v>
      </c>
      <c r="CT2137">
        <v>3.51</v>
      </c>
      <c r="CU2137">
        <v>50.1</v>
      </c>
      <c r="CV2137">
        <v>6.81</v>
      </c>
      <c r="CW2137">
        <v>0.89</v>
      </c>
      <c r="CX2137" t="s">
        <v>2792</v>
      </c>
      <c r="CY2137">
        <v>12.55</v>
      </c>
      <c r="CZ2137">
        <v>12.55</v>
      </c>
      <c r="DA2137">
        <v>5.74</v>
      </c>
      <c r="DB2137">
        <v>5.53</v>
      </c>
      <c r="DC2137">
        <v>0.88</v>
      </c>
      <c r="DD2137">
        <v>64.86</v>
      </c>
      <c r="DE2137" t="s">
        <v>8115</v>
      </c>
      <c r="DF2137">
        <v>34.76</v>
      </c>
      <c r="DG2137">
        <v>14.89</v>
      </c>
      <c r="DH2137">
        <v>12.51</v>
      </c>
      <c r="DI2137">
        <v>0.4</v>
      </c>
      <c r="DJ2137">
        <v>2187</v>
      </c>
      <c r="DK2137">
        <v>300791</v>
      </c>
      <c r="DL2137" t="s">
        <v>120</v>
      </c>
      <c r="DM2137" t="s">
        <v>120</v>
      </c>
      <c r="DN2137" t="s">
        <v>120</v>
      </c>
    </row>
    <row r="2138" spans="1:118">
      <c r="A2138" t="str">
        <f>"300792"</f>
        <v>300792</v>
      </c>
      <c r="B2138" t="s">
        <v>10398</v>
      </c>
      <c r="C2138">
        <v>-1.71</v>
      </c>
      <c r="D2138">
        <v>0</v>
      </c>
      <c r="E2138">
        <v>-0.75</v>
      </c>
      <c r="F2138">
        <v>1273</v>
      </c>
      <c r="G2138" t="s">
        <v>10399</v>
      </c>
      <c r="H2138">
        <v>38091.69</v>
      </c>
      <c r="I2138">
        <v>235.93</v>
      </c>
      <c r="J2138" t="s">
        <v>120</v>
      </c>
      <c r="K2138" t="s">
        <v>364</v>
      </c>
      <c r="L2138">
        <v>7.22</v>
      </c>
      <c r="M2138">
        <v>56.3</v>
      </c>
      <c r="N2138">
        <v>1.47</v>
      </c>
      <c r="O2138">
        <v>3.19</v>
      </c>
      <c r="P2138">
        <v>59.11</v>
      </c>
      <c r="Q2138">
        <v>-3.4</v>
      </c>
      <c r="R2138">
        <v>55.33</v>
      </c>
      <c r="S2138">
        <v>56.85</v>
      </c>
      <c r="T2138">
        <v>66414</v>
      </c>
      <c r="U2138">
        <v>56.31</v>
      </c>
      <c r="V2138">
        <v>57.28</v>
      </c>
      <c r="W2138">
        <v>53.12</v>
      </c>
      <c r="X2138" t="s">
        <v>1531</v>
      </c>
      <c r="Y2138" t="s">
        <v>585</v>
      </c>
      <c r="Z2138">
        <v>6.6</v>
      </c>
      <c r="AA2138">
        <v>57.35</v>
      </c>
      <c r="AB2138">
        <v>35256</v>
      </c>
      <c r="AC2138">
        <v>31158</v>
      </c>
      <c r="AD2138">
        <v>1.1299999999999999</v>
      </c>
      <c r="AE2138">
        <v>149</v>
      </c>
      <c r="AF2138">
        <v>50</v>
      </c>
      <c r="AG2138" t="s">
        <v>120</v>
      </c>
      <c r="AH2138">
        <v>0.05</v>
      </c>
      <c r="AI2138" t="s">
        <v>120</v>
      </c>
      <c r="AJ2138">
        <v>0.92</v>
      </c>
      <c r="AK2138" t="s">
        <v>10400</v>
      </c>
      <c r="AL2138">
        <v>0.2</v>
      </c>
      <c r="AM2138">
        <v>3555</v>
      </c>
      <c r="AN2138">
        <v>19</v>
      </c>
      <c r="AO2138">
        <v>2E-3</v>
      </c>
      <c r="AP2138">
        <v>-1</v>
      </c>
      <c r="AQ2138">
        <v>5.62</v>
      </c>
      <c r="AR2138">
        <v>9.2100000000000009</v>
      </c>
      <c r="AS2138">
        <v>13.05</v>
      </c>
      <c r="AT2138">
        <v>5.0199999999999996</v>
      </c>
      <c r="AU2138">
        <v>-23.12</v>
      </c>
      <c r="AV2138">
        <v>1</v>
      </c>
      <c r="AW2138">
        <v>8.0500000000000007</v>
      </c>
      <c r="AX2138">
        <v>34.57</v>
      </c>
      <c r="AY2138">
        <v>41.67</v>
      </c>
      <c r="AZ2138">
        <v>44.1</v>
      </c>
      <c r="BA2138">
        <v>0.7</v>
      </c>
      <c r="BB2138" t="s">
        <v>700</v>
      </c>
      <c r="BF2138">
        <v>0.13</v>
      </c>
      <c r="BG2138">
        <v>-0.97</v>
      </c>
      <c r="BH2138">
        <v>-4.75</v>
      </c>
      <c r="BI2138">
        <v>1.75</v>
      </c>
      <c r="BJ2138">
        <v>20210827</v>
      </c>
      <c r="BK2138">
        <v>20190927</v>
      </c>
      <c r="BL2138">
        <v>2.39</v>
      </c>
      <c r="BM2138" t="s">
        <v>120</v>
      </c>
      <c r="BN2138" t="s">
        <v>120</v>
      </c>
      <c r="BO2138">
        <v>20.100000000000001</v>
      </c>
      <c r="BP2138">
        <v>56.3</v>
      </c>
      <c r="BQ2138">
        <v>15.64</v>
      </c>
      <c r="BR2138">
        <v>0.61</v>
      </c>
      <c r="BS2138">
        <v>19.149999999999999</v>
      </c>
      <c r="BT2138">
        <v>11.78</v>
      </c>
      <c r="BU2138">
        <v>1</v>
      </c>
      <c r="BV2138">
        <v>0.33</v>
      </c>
      <c r="BW2138">
        <v>3.63</v>
      </c>
      <c r="BX2138">
        <v>5.81</v>
      </c>
      <c r="BY2138">
        <v>1.05</v>
      </c>
      <c r="BZ2138">
        <v>2.06</v>
      </c>
      <c r="CA2138">
        <v>0</v>
      </c>
      <c r="CB2138">
        <v>5.99</v>
      </c>
      <c r="CC2138">
        <v>4.8600000000000003</v>
      </c>
      <c r="CD2138">
        <v>2.48</v>
      </c>
      <c r="CE2138">
        <v>1.75</v>
      </c>
      <c r="CF2138">
        <v>0.19</v>
      </c>
      <c r="CG2138">
        <v>1.74</v>
      </c>
      <c r="CH2138">
        <v>1.39</v>
      </c>
      <c r="CI2138">
        <v>1.27</v>
      </c>
      <c r="CJ2138">
        <v>-0.98</v>
      </c>
      <c r="CK2138">
        <v>1.1499999999999999</v>
      </c>
      <c r="CL2138">
        <v>7.02</v>
      </c>
      <c r="CM2138">
        <v>-0.61</v>
      </c>
      <c r="CN2138">
        <v>-0.5</v>
      </c>
      <c r="CO2138">
        <v>20995</v>
      </c>
      <c r="CP2138">
        <v>3930</v>
      </c>
      <c r="CQ2138" t="s">
        <v>10401</v>
      </c>
      <c r="CR2138">
        <v>16.66</v>
      </c>
      <c r="CS2138">
        <v>-12.82</v>
      </c>
      <c r="CT2138">
        <v>7.79</v>
      </c>
      <c r="CU2138">
        <v>-219.15</v>
      </c>
      <c r="CV2138">
        <v>27.63</v>
      </c>
      <c r="CW2138">
        <v>0.57999999999999996</v>
      </c>
      <c r="CX2138" t="s">
        <v>597</v>
      </c>
      <c r="CY2138">
        <v>7.23</v>
      </c>
      <c r="CZ2138">
        <v>7.23</v>
      </c>
      <c r="DA2138">
        <v>2.5099999999999998</v>
      </c>
      <c r="DB2138">
        <v>2.94</v>
      </c>
      <c r="DC2138">
        <v>-0.26</v>
      </c>
      <c r="DD2138">
        <v>77.819999999999993</v>
      </c>
      <c r="DE2138" t="s">
        <v>10402</v>
      </c>
      <c r="DF2138">
        <v>49.11</v>
      </c>
      <c r="DG2138">
        <v>35.880000000000003</v>
      </c>
      <c r="DH2138">
        <v>26.01</v>
      </c>
      <c r="DI2138">
        <v>0.1</v>
      </c>
      <c r="DJ2138">
        <v>1796</v>
      </c>
      <c r="DK2138">
        <v>300792</v>
      </c>
      <c r="DL2138" t="s">
        <v>120</v>
      </c>
      <c r="DM2138" t="s">
        <v>120</v>
      </c>
      <c r="DN2138" t="s">
        <v>120</v>
      </c>
    </row>
    <row r="2139" spans="1:118">
      <c r="A2139" t="str">
        <f>"300793"</f>
        <v>300793</v>
      </c>
      <c r="B2139" t="s">
        <v>10403</v>
      </c>
      <c r="C2139">
        <v>-1.45</v>
      </c>
      <c r="D2139">
        <v>-0.05</v>
      </c>
      <c r="E2139">
        <v>0.93</v>
      </c>
      <c r="F2139">
        <v>771</v>
      </c>
      <c r="G2139" t="s">
        <v>7389</v>
      </c>
      <c r="H2139">
        <v>6029.83</v>
      </c>
      <c r="I2139">
        <v>11.99</v>
      </c>
      <c r="J2139" t="s">
        <v>120</v>
      </c>
      <c r="K2139" t="s">
        <v>7389</v>
      </c>
      <c r="L2139">
        <v>3.44</v>
      </c>
      <c r="M2139">
        <v>16.96</v>
      </c>
      <c r="N2139">
        <v>0.6</v>
      </c>
      <c r="O2139">
        <v>1.98</v>
      </c>
      <c r="P2139">
        <v>17.55</v>
      </c>
      <c r="Q2139">
        <v>-1.45</v>
      </c>
      <c r="R2139">
        <v>16.96</v>
      </c>
      <c r="S2139">
        <v>17.37</v>
      </c>
      <c r="T2139">
        <v>35033</v>
      </c>
      <c r="U2139">
        <v>16.97</v>
      </c>
      <c r="V2139">
        <v>17.21</v>
      </c>
      <c r="W2139">
        <v>60.39</v>
      </c>
      <c r="X2139" t="s">
        <v>238</v>
      </c>
      <c r="Y2139" t="s">
        <v>547</v>
      </c>
      <c r="Z2139">
        <v>3.43</v>
      </c>
      <c r="AA2139">
        <v>17.21</v>
      </c>
      <c r="AB2139">
        <v>18994</v>
      </c>
      <c r="AC2139">
        <v>16039</v>
      </c>
      <c r="AD2139">
        <v>1.18</v>
      </c>
      <c r="AE2139">
        <v>207</v>
      </c>
      <c r="AF2139">
        <v>26</v>
      </c>
      <c r="AG2139" t="s">
        <v>120</v>
      </c>
      <c r="AH2139">
        <v>0.01</v>
      </c>
      <c r="AI2139" t="s">
        <v>120</v>
      </c>
      <c r="AJ2139">
        <v>1.02</v>
      </c>
      <c r="AK2139" t="s">
        <v>10404</v>
      </c>
      <c r="AL2139">
        <v>0.46</v>
      </c>
      <c r="AM2139">
        <v>1905</v>
      </c>
      <c r="AN2139">
        <v>18</v>
      </c>
      <c r="AO2139">
        <v>1.8E-3</v>
      </c>
      <c r="AP2139">
        <v>-3</v>
      </c>
      <c r="AQ2139">
        <v>-1.83</v>
      </c>
      <c r="AR2139">
        <v>-6.3</v>
      </c>
      <c r="AS2139">
        <v>10.49</v>
      </c>
      <c r="AT2139">
        <v>-4.82</v>
      </c>
      <c r="AU2139">
        <v>-8.86</v>
      </c>
      <c r="AV2139">
        <v>2</v>
      </c>
      <c r="AW2139">
        <v>3.44</v>
      </c>
      <c r="AX2139">
        <v>38.200000000000003</v>
      </c>
      <c r="AY2139">
        <v>51.5</v>
      </c>
      <c r="AZ2139">
        <v>67.25</v>
      </c>
      <c r="BA2139">
        <v>1.23</v>
      </c>
      <c r="BB2139" t="s">
        <v>143</v>
      </c>
      <c r="BF2139">
        <v>0.01</v>
      </c>
      <c r="BG2139">
        <v>-2.36</v>
      </c>
      <c r="BH2139">
        <v>-3.36</v>
      </c>
      <c r="BI2139">
        <v>0</v>
      </c>
      <c r="BJ2139">
        <v>20210830</v>
      </c>
      <c r="BK2139">
        <v>20191018</v>
      </c>
      <c r="BL2139">
        <v>2.67</v>
      </c>
      <c r="BM2139" t="s">
        <v>120</v>
      </c>
      <c r="BN2139" t="s">
        <v>120</v>
      </c>
      <c r="BO2139">
        <v>25.98</v>
      </c>
      <c r="BP2139">
        <v>16.96</v>
      </c>
      <c r="BQ2139">
        <v>12.33</v>
      </c>
      <c r="BR2139">
        <v>0.02</v>
      </c>
      <c r="BS2139">
        <v>52.46</v>
      </c>
      <c r="BT2139">
        <v>19.440000000000001</v>
      </c>
      <c r="BU2139">
        <v>3.58</v>
      </c>
      <c r="BV2139">
        <v>0.67</v>
      </c>
      <c r="BW2139">
        <v>13.36</v>
      </c>
      <c r="BX2139">
        <v>4.45</v>
      </c>
      <c r="BY2139">
        <v>6.67</v>
      </c>
      <c r="BZ2139">
        <v>5.85</v>
      </c>
      <c r="CA2139" t="s">
        <v>120</v>
      </c>
      <c r="CB2139">
        <v>6.68</v>
      </c>
      <c r="CC2139">
        <v>12.75</v>
      </c>
      <c r="CD2139">
        <v>11.61</v>
      </c>
      <c r="CE2139">
        <v>0.25</v>
      </c>
      <c r="CF2139">
        <v>0.06</v>
      </c>
      <c r="CG2139">
        <v>0.26</v>
      </c>
      <c r="CH2139">
        <v>0.37</v>
      </c>
      <c r="CI2139">
        <v>0.37</v>
      </c>
      <c r="CJ2139">
        <v>-0.25</v>
      </c>
      <c r="CK2139">
        <v>0.09</v>
      </c>
      <c r="CL2139">
        <v>2.61</v>
      </c>
      <c r="CM2139">
        <v>-2.52</v>
      </c>
      <c r="CN2139">
        <v>-0.72</v>
      </c>
      <c r="CO2139">
        <v>24335</v>
      </c>
      <c r="CP2139">
        <v>4187</v>
      </c>
      <c r="CQ2139" t="s">
        <v>232</v>
      </c>
      <c r="CR2139">
        <v>126</v>
      </c>
      <c r="CS2139">
        <v>72.28</v>
      </c>
      <c r="CT2139">
        <v>3.67</v>
      </c>
      <c r="CU2139">
        <v>-17.98</v>
      </c>
      <c r="CV2139">
        <v>3.55</v>
      </c>
      <c r="CW2139">
        <v>0.57999999999999996</v>
      </c>
      <c r="CX2139" t="s">
        <v>300</v>
      </c>
      <c r="CY2139">
        <v>4.62</v>
      </c>
      <c r="CZ2139">
        <v>0</v>
      </c>
      <c r="DA2139">
        <v>2.5</v>
      </c>
      <c r="DB2139">
        <v>0.98</v>
      </c>
      <c r="DC2139">
        <v>-0.94</v>
      </c>
      <c r="DD2139">
        <v>47.47</v>
      </c>
      <c r="DE2139" t="s">
        <v>10405</v>
      </c>
      <c r="DF2139">
        <v>8.93</v>
      </c>
      <c r="DG2139">
        <v>1.98</v>
      </c>
      <c r="DH2139">
        <v>2.94</v>
      </c>
      <c r="DI2139">
        <v>0.45</v>
      </c>
      <c r="DJ2139">
        <v>8107</v>
      </c>
      <c r="DK2139">
        <v>300793</v>
      </c>
      <c r="DL2139" t="s">
        <v>120</v>
      </c>
      <c r="DM2139" t="s">
        <v>120</v>
      </c>
      <c r="DN2139" t="s">
        <v>120</v>
      </c>
    </row>
    <row r="2140" spans="1:118">
      <c r="A2140" t="str">
        <f>"300796"</f>
        <v>300796</v>
      </c>
      <c r="B2140" t="s">
        <v>10406</v>
      </c>
      <c r="C2140">
        <v>0.32</v>
      </c>
      <c r="D2140">
        <v>-0.31</v>
      </c>
      <c r="E2140">
        <v>0</v>
      </c>
      <c r="F2140">
        <v>156</v>
      </c>
      <c r="G2140" t="s">
        <v>10407</v>
      </c>
      <c r="H2140">
        <v>2697.53</v>
      </c>
      <c r="I2140">
        <v>0</v>
      </c>
      <c r="J2140" t="s">
        <v>120</v>
      </c>
      <c r="K2140" t="s">
        <v>2507</v>
      </c>
      <c r="L2140">
        <v>2.3199999999999998</v>
      </c>
      <c r="M2140">
        <v>18.61</v>
      </c>
      <c r="N2140">
        <v>0.95</v>
      </c>
      <c r="O2140">
        <v>3.45</v>
      </c>
      <c r="P2140">
        <v>19.190000000000001</v>
      </c>
      <c r="Q2140">
        <v>-0.75</v>
      </c>
      <c r="R2140">
        <v>18.41</v>
      </c>
      <c r="S2140">
        <v>18.55</v>
      </c>
      <c r="T2140">
        <v>14325</v>
      </c>
      <c r="U2140">
        <v>18.61</v>
      </c>
      <c r="V2140">
        <v>18.55</v>
      </c>
      <c r="W2140">
        <v>30.12</v>
      </c>
      <c r="X2140" t="s">
        <v>868</v>
      </c>
      <c r="Y2140" t="s">
        <v>585</v>
      </c>
      <c r="Z2140">
        <v>4.2</v>
      </c>
      <c r="AA2140">
        <v>18.829999999999998</v>
      </c>
      <c r="AB2140">
        <v>6432</v>
      </c>
      <c r="AC2140">
        <v>7893</v>
      </c>
      <c r="AD2140">
        <v>0.81</v>
      </c>
      <c r="AE2140">
        <v>20</v>
      </c>
      <c r="AF2140">
        <v>10</v>
      </c>
      <c r="AG2140" t="s">
        <v>120</v>
      </c>
      <c r="AH2140">
        <v>0</v>
      </c>
      <c r="AI2140" t="s">
        <v>120</v>
      </c>
      <c r="AJ2140">
        <v>0.62</v>
      </c>
      <c r="AK2140" t="s">
        <v>853</v>
      </c>
      <c r="AL2140">
        <v>2.2400000000000002</v>
      </c>
      <c r="AM2140">
        <v>1030</v>
      </c>
      <c r="AN2140">
        <v>14</v>
      </c>
      <c r="AO2140">
        <v>2.2000000000000001E-3</v>
      </c>
      <c r="AP2140">
        <v>1</v>
      </c>
      <c r="AQ2140">
        <v>-0.7</v>
      </c>
      <c r="AR2140">
        <v>-1.95</v>
      </c>
      <c r="AS2140">
        <v>-5</v>
      </c>
      <c r="AT2140">
        <v>2.48</v>
      </c>
      <c r="AU2140">
        <v>-3.13</v>
      </c>
      <c r="AV2140">
        <v>0</v>
      </c>
      <c r="AW2140">
        <v>2.86</v>
      </c>
      <c r="AX2140">
        <v>41.4</v>
      </c>
      <c r="AY2140">
        <v>35.409999999999997</v>
      </c>
      <c r="AZ2140">
        <v>58.51</v>
      </c>
      <c r="BA2140">
        <v>0.83</v>
      </c>
      <c r="BB2140" t="s">
        <v>134</v>
      </c>
      <c r="BF2140">
        <v>1.52</v>
      </c>
      <c r="BG2140">
        <v>0.32</v>
      </c>
      <c r="BH2140">
        <v>-3.02</v>
      </c>
      <c r="BI2140">
        <v>1.0900000000000001</v>
      </c>
      <c r="BJ2140">
        <v>20210827</v>
      </c>
      <c r="BK2140">
        <v>20191115</v>
      </c>
      <c r="BL2140">
        <v>1.21</v>
      </c>
      <c r="BM2140" t="s">
        <v>120</v>
      </c>
      <c r="BN2140" t="s">
        <v>120</v>
      </c>
      <c r="BO2140">
        <v>13.05</v>
      </c>
      <c r="BP2140">
        <v>18.600000000000001</v>
      </c>
      <c r="BQ2140">
        <v>10.59</v>
      </c>
      <c r="BR2140">
        <v>0.11</v>
      </c>
      <c r="BS2140">
        <v>17.96</v>
      </c>
      <c r="BT2140">
        <v>5.91</v>
      </c>
      <c r="BU2140">
        <v>3.81</v>
      </c>
      <c r="BV2140">
        <v>1.77</v>
      </c>
      <c r="BW2140">
        <v>2.21</v>
      </c>
      <c r="BX2140">
        <v>3.57</v>
      </c>
      <c r="BY2140">
        <v>0.62</v>
      </c>
      <c r="BZ2140">
        <v>0.61</v>
      </c>
      <c r="CA2140" t="s">
        <v>120</v>
      </c>
      <c r="CB2140">
        <v>6.8</v>
      </c>
      <c r="CC2140">
        <v>2.76</v>
      </c>
      <c r="CD2140">
        <v>1.88</v>
      </c>
      <c r="CE2140">
        <v>0.44</v>
      </c>
      <c r="CF2140">
        <v>-0.02</v>
      </c>
      <c r="CG2140">
        <v>0.43</v>
      </c>
      <c r="CH2140">
        <v>0.38</v>
      </c>
      <c r="CI2140">
        <v>0.37</v>
      </c>
      <c r="CJ2140">
        <v>0.06</v>
      </c>
      <c r="CK2140">
        <v>0.37</v>
      </c>
      <c r="CL2140">
        <v>2.33</v>
      </c>
      <c r="CM2140">
        <v>0.87</v>
      </c>
      <c r="CN2140">
        <v>-0.81</v>
      </c>
      <c r="CO2140">
        <v>9446</v>
      </c>
      <c r="CP2140">
        <v>5310</v>
      </c>
      <c r="CQ2140" t="s">
        <v>441</v>
      </c>
      <c r="CR2140">
        <v>202.31</v>
      </c>
      <c r="CS2140">
        <v>53.3</v>
      </c>
      <c r="CT2140">
        <v>2.13</v>
      </c>
      <c r="CU2140">
        <v>25.82</v>
      </c>
      <c r="CV2140">
        <v>8.17</v>
      </c>
      <c r="CW2140">
        <v>0.27</v>
      </c>
      <c r="CX2140" t="s">
        <v>2752</v>
      </c>
      <c r="CY2140">
        <v>8.75</v>
      </c>
      <c r="CZ2140">
        <v>0</v>
      </c>
      <c r="DA2140">
        <v>5.61</v>
      </c>
      <c r="DB2140">
        <v>1.92</v>
      </c>
      <c r="DC2140">
        <v>0.72</v>
      </c>
      <c r="DD2140">
        <v>81.17</v>
      </c>
      <c r="DE2140" t="s">
        <v>1556</v>
      </c>
      <c r="DF2140">
        <v>31.85</v>
      </c>
      <c r="DG2140">
        <v>15.84</v>
      </c>
      <c r="DH2140">
        <v>13.56</v>
      </c>
      <c r="DI2140">
        <v>0.16</v>
      </c>
      <c r="DJ2140">
        <v>449</v>
      </c>
      <c r="DK2140">
        <v>300796</v>
      </c>
      <c r="DL2140" t="s">
        <v>120</v>
      </c>
      <c r="DM2140" t="s">
        <v>120</v>
      </c>
      <c r="DN2140" t="s">
        <v>120</v>
      </c>
    </row>
    <row r="2141" spans="1:118">
      <c r="A2141" t="str">
        <f>"300797"</f>
        <v>300797</v>
      </c>
      <c r="B2141" t="s">
        <v>10408</v>
      </c>
      <c r="C2141">
        <v>-4.5599999999999996</v>
      </c>
      <c r="D2141">
        <v>0</v>
      </c>
      <c r="E2141">
        <v>0.12</v>
      </c>
      <c r="F2141">
        <v>562</v>
      </c>
      <c r="G2141" t="s">
        <v>10409</v>
      </c>
      <c r="H2141">
        <v>6383.7</v>
      </c>
      <c r="I2141">
        <v>4.2300000000000004</v>
      </c>
      <c r="J2141" t="s">
        <v>120</v>
      </c>
      <c r="K2141" t="s">
        <v>10409</v>
      </c>
      <c r="L2141">
        <v>5.09</v>
      </c>
      <c r="M2141">
        <v>16.11</v>
      </c>
      <c r="N2141">
        <v>1.37</v>
      </c>
      <c r="O2141">
        <v>2.19</v>
      </c>
      <c r="P2141">
        <v>17.25</v>
      </c>
      <c r="Q2141">
        <v>-5.21</v>
      </c>
      <c r="R2141">
        <v>16</v>
      </c>
      <c r="S2141">
        <v>16.899999999999999</v>
      </c>
      <c r="T2141">
        <v>38846</v>
      </c>
      <c r="U2141">
        <v>16.11</v>
      </c>
      <c r="V2141">
        <v>16.88</v>
      </c>
      <c r="W2141">
        <v>51.03</v>
      </c>
      <c r="X2141" t="s">
        <v>2717</v>
      </c>
      <c r="Y2141" t="s">
        <v>158</v>
      </c>
      <c r="Z2141">
        <v>7.41</v>
      </c>
      <c r="AA2141">
        <v>16.43</v>
      </c>
      <c r="AB2141">
        <v>25554</v>
      </c>
      <c r="AC2141">
        <v>13292</v>
      </c>
      <c r="AD2141">
        <v>1.92</v>
      </c>
      <c r="AE2141">
        <v>34</v>
      </c>
      <c r="AF2141">
        <v>211</v>
      </c>
      <c r="AG2141" t="s">
        <v>120</v>
      </c>
      <c r="AH2141">
        <v>0</v>
      </c>
      <c r="AI2141" t="s">
        <v>120</v>
      </c>
      <c r="AJ2141">
        <v>0.76</v>
      </c>
      <c r="AK2141" t="s">
        <v>10410</v>
      </c>
      <c r="AL2141">
        <v>-2.65</v>
      </c>
      <c r="AM2141">
        <v>1770</v>
      </c>
      <c r="AN2141">
        <v>22</v>
      </c>
      <c r="AO2141">
        <v>2.8999999999999998E-3</v>
      </c>
      <c r="AP2141">
        <v>-1</v>
      </c>
      <c r="AQ2141">
        <v>0.72</v>
      </c>
      <c r="AR2141">
        <v>-6.6</v>
      </c>
      <c r="AS2141">
        <v>-10.6</v>
      </c>
      <c r="AT2141">
        <v>5.0199999999999996</v>
      </c>
      <c r="AU2141">
        <v>0.64</v>
      </c>
      <c r="AV2141">
        <v>2</v>
      </c>
      <c r="AW2141">
        <v>5.09</v>
      </c>
      <c r="AX2141">
        <v>30.77</v>
      </c>
      <c r="AY2141">
        <v>44.33</v>
      </c>
      <c r="AZ2141">
        <v>54.26</v>
      </c>
      <c r="BA2141">
        <v>0.86</v>
      </c>
      <c r="BB2141" t="s">
        <v>143</v>
      </c>
      <c r="BF2141">
        <v>-2.65</v>
      </c>
      <c r="BG2141">
        <v>-4.67</v>
      </c>
      <c r="BH2141">
        <v>-6.61</v>
      </c>
      <c r="BI2141">
        <v>0.69</v>
      </c>
      <c r="BJ2141">
        <v>20210825</v>
      </c>
      <c r="BK2141">
        <v>20191101</v>
      </c>
      <c r="BL2141">
        <v>2.48</v>
      </c>
      <c r="BM2141" t="s">
        <v>120</v>
      </c>
      <c r="BN2141" t="s">
        <v>120</v>
      </c>
      <c r="BO2141">
        <v>11.69</v>
      </c>
      <c r="BP2141">
        <v>16.100000000000001</v>
      </c>
      <c r="BQ2141">
        <v>8.19</v>
      </c>
      <c r="BR2141" t="s">
        <v>120</v>
      </c>
      <c r="BS2141">
        <v>29.89</v>
      </c>
      <c r="BT2141">
        <v>8.24</v>
      </c>
      <c r="BU2141">
        <v>1.55</v>
      </c>
      <c r="BV2141">
        <v>0.1</v>
      </c>
      <c r="BW2141">
        <v>2.71</v>
      </c>
      <c r="BX2141">
        <v>3.62</v>
      </c>
      <c r="BY2141">
        <v>1.85</v>
      </c>
      <c r="BZ2141">
        <v>1.71</v>
      </c>
      <c r="CA2141" t="s">
        <v>120</v>
      </c>
      <c r="CB2141">
        <v>2.81</v>
      </c>
      <c r="CC2141">
        <v>2.79</v>
      </c>
      <c r="CD2141">
        <v>1.42</v>
      </c>
      <c r="CE2141">
        <v>0.42</v>
      </c>
      <c r="CF2141">
        <v>0</v>
      </c>
      <c r="CG2141">
        <v>0.45</v>
      </c>
      <c r="CH2141">
        <v>0.39</v>
      </c>
      <c r="CI2141">
        <v>0.39</v>
      </c>
      <c r="CJ2141">
        <v>-0.77</v>
      </c>
      <c r="CK2141">
        <v>0.26</v>
      </c>
      <c r="CL2141">
        <v>2.67</v>
      </c>
      <c r="CM2141">
        <v>-0.12</v>
      </c>
      <c r="CN2141">
        <v>-0.82</v>
      </c>
      <c r="CO2141">
        <v>18486</v>
      </c>
      <c r="CP2141">
        <v>4131</v>
      </c>
      <c r="CQ2141" t="s">
        <v>1392</v>
      </c>
      <c r="CR2141">
        <v>78.91</v>
      </c>
      <c r="CS2141">
        <v>35.770000000000003</v>
      </c>
      <c r="CT2141">
        <v>4.88</v>
      </c>
      <c r="CU2141">
        <v>-328.73</v>
      </c>
      <c r="CV2141">
        <v>14.35</v>
      </c>
      <c r="CW2141">
        <v>0.19</v>
      </c>
      <c r="CX2141" t="s">
        <v>10411</v>
      </c>
      <c r="CY2141">
        <v>3.3</v>
      </c>
      <c r="CZ2141">
        <v>0</v>
      </c>
      <c r="DA2141">
        <v>1.1299999999999999</v>
      </c>
      <c r="DB2141">
        <v>1.08</v>
      </c>
      <c r="DC2141">
        <v>-0.05</v>
      </c>
      <c r="DD2141">
        <v>70.11</v>
      </c>
      <c r="DE2141" t="s">
        <v>1592</v>
      </c>
      <c r="DF2141">
        <v>48.99</v>
      </c>
      <c r="DG2141">
        <v>14.91</v>
      </c>
      <c r="DH2141">
        <v>14.06</v>
      </c>
      <c r="DI2141">
        <v>0.25</v>
      </c>
      <c r="DJ2141">
        <v>924</v>
      </c>
      <c r="DK2141">
        <v>300797</v>
      </c>
      <c r="DL2141" t="s">
        <v>120</v>
      </c>
      <c r="DM2141" t="s">
        <v>120</v>
      </c>
      <c r="DN2141" t="s">
        <v>120</v>
      </c>
    </row>
    <row r="2142" spans="1:118">
      <c r="A2142" t="str">
        <f>"300798"</f>
        <v>300798</v>
      </c>
      <c r="B2142" t="s">
        <v>10412</v>
      </c>
      <c r="C2142">
        <v>1.1399999999999999</v>
      </c>
      <c r="D2142">
        <v>0.61</v>
      </c>
      <c r="E2142">
        <v>-1.31</v>
      </c>
      <c r="F2142">
        <v>1790</v>
      </c>
      <c r="G2142" t="s">
        <v>10413</v>
      </c>
      <c r="H2142">
        <v>16588.47</v>
      </c>
      <c r="I2142">
        <v>86.78</v>
      </c>
      <c r="J2142" t="s">
        <v>120</v>
      </c>
      <c r="K2142" t="s">
        <v>10414</v>
      </c>
      <c r="L2142">
        <v>6.73</v>
      </c>
      <c r="M2142">
        <v>11.58</v>
      </c>
      <c r="N2142">
        <v>1.62</v>
      </c>
      <c r="O2142">
        <v>7.69</v>
      </c>
      <c r="P2142">
        <v>12.33</v>
      </c>
      <c r="Q2142">
        <v>-1.31</v>
      </c>
      <c r="R2142">
        <v>11.3</v>
      </c>
      <c r="S2142">
        <v>11.3</v>
      </c>
      <c r="T2142">
        <v>141546</v>
      </c>
      <c r="U2142">
        <v>11.59</v>
      </c>
      <c r="V2142">
        <v>11.45</v>
      </c>
      <c r="W2142">
        <v>65.7</v>
      </c>
      <c r="X2142" t="s">
        <v>1145</v>
      </c>
      <c r="Y2142" t="s">
        <v>319</v>
      </c>
      <c r="Z2142">
        <v>9</v>
      </c>
      <c r="AA2142">
        <v>11.72</v>
      </c>
      <c r="AB2142">
        <v>68065</v>
      </c>
      <c r="AC2142">
        <v>73481</v>
      </c>
      <c r="AD2142">
        <v>0.93</v>
      </c>
      <c r="AE2142">
        <v>73</v>
      </c>
      <c r="AF2142">
        <v>126</v>
      </c>
      <c r="AG2142" t="s">
        <v>120</v>
      </c>
      <c r="AH2142">
        <v>0.12</v>
      </c>
      <c r="AI2142" t="s">
        <v>120</v>
      </c>
      <c r="AJ2142">
        <v>2.1</v>
      </c>
      <c r="AK2142" t="s">
        <v>5030</v>
      </c>
      <c r="AL2142">
        <v>3.05</v>
      </c>
      <c r="AM2142">
        <v>2908</v>
      </c>
      <c r="AN2142">
        <v>49</v>
      </c>
      <c r="AO2142">
        <v>2.3E-3</v>
      </c>
      <c r="AP2142">
        <v>2</v>
      </c>
      <c r="AQ2142">
        <v>5.24</v>
      </c>
      <c r="AR2142">
        <v>3.03</v>
      </c>
      <c r="AS2142">
        <v>12.1</v>
      </c>
      <c r="AT2142">
        <v>28.24</v>
      </c>
      <c r="AU2142">
        <v>6.73</v>
      </c>
      <c r="AV2142">
        <v>1</v>
      </c>
      <c r="AW2142">
        <v>21.8</v>
      </c>
      <c r="AX2142">
        <v>15.54</v>
      </c>
      <c r="AY2142">
        <v>84.34</v>
      </c>
      <c r="AZ2142">
        <v>208.95</v>
      </c>
      <c r="BA2142">
        <v>0.79</v>
      </c>
      <c r="BB2142" t="s">
        <v>751</v>
      </c>
      <c r="BF2142">
        <v>2.35</v>
      </c>
      <c r="BG2142">
        <v>2.48</v>
      </c>
      <c r="BH2142">
        <v>-6.08</v>
      </c>
      <c r="BI2142">
        <v>2.48</v>
      </c>
      <c r="BJ2142">
        <v>20210830</v>
      </c>
      <c r="BK2142">
        <v>20191122</v>
      </c>
      <c r="BL2142">
        <v>4.18</v>
      </c>
      <c r="BM2142" t="s">
        <v>120</v>
      </c>
      <c r="BN2142" t="s">
        <v>120</v>
      </c>
      <c r="BO2142">
        <v>15.16</v>
      </c>
      <c r="BP2142">
        <v>11.58</v>
      </c>
      <c r="BQ2142">
        <v>12.39</v>
      </c>
      <c r="BR2142" t="s">
        <v>120</v>
      </c>
      <c r="BS2142">
        <v>18.309999999999999</v>
      </c>
      <c r="BT2142">
        <v>9.85</v>
      </c>
      <c r="BU2142">
        <v>2.31</v>
      </c>
      <c r="BV2142">
        <v>0.7</v>
      </c>
      <c r="BW2142">
        <v>2.66</v>
      </c>
      <c r="BX2142">
        <v>1.82</v>
      </c>
      <c r="BY2142">
        <v>2.73</v>
      </c>
      <c r="BZ2142">
        <v>2.4</v>
      </c>
      <c r="CA2142" t="s">
        <v>120</v>
      </c>
      <c r="CB2142">
        <v>2.42</v>
      </c>
      <c r="CC2142">
        <v>4.9800000000000004</v>
      </c>
      <c r="CD2142">
        <v>4.0599999999999996</v>
      </c>
      <c r="CE2142">
        <v>0.49</v>
      </c>
      <c r="CF2142">
        <v>0.02</v>
      </c>
      <c r="CG2142">
        <v>0.43</v>
      </c>
      <c r="CH2142">
        <v>0.37</v>
      </c>
      <c r="CI2142">
        <v>0.37</v>
      </c>
      <c r="CJ2142">
        <v>0.13</v>
      </c>
      <c r="CK2142">
        <v>0.4</v>
      </c>
      <c r="CL2142">
        <v>5.62</v>
      </c>
      <c r="CM2142">
        <v>-0.27</v>
      </c>
      <c r="CN2142">
        <v>-0.46</v>
      </c>
      <c r="CO2142">
        <v>12188</v>
      </c>
      <c r="CP2142">
        <v>5327</v>
      </c>
      <c r="CQ2142" t="s">
        <v>3881</v>
      </c>
      <c r="CR2142">
        <v>1129.3800000000001</v>
      </c>
      <c r="CS2142">
        <v>56.3</v>
      </c>
      <c r="CT2142">
        <v>3.91</v>
      </c>
      <c r="CU2142">
        <v>-179.49</v>
      </c>
      <c r="CV2142">
        <v>9.7100000000000009</v>
      </c>
      <c r="CW2142">
        <v>0.17</v>
      </c>
      <c r="CX2142" t="s">
        <v>1681</v>
      </c>
      <c r="CY2142">
        <v>2.97</v>
      </c>
      <c r="CZ2142">
        <v>0</v>
      </c>
      <c r="DA2142">
        <v>0.57999999999999996</v>
      </c>
      <c r="DB2142">
        <v>1.35</v>
      </c>
      <c r="DC2142">
        <v>-0.06</v>
      </c>
      <c r="DD2142">
        <v>81.69</v>
      </c>
      <c r="DE2142" t="s">
        <v>1563</v>
      </c>
      <c r="DF2142">
        <v>18.48</v>
      </c>
      <c r="DG2142">
        <v>9.93</v>
      </c>
      <c r="DH2142">
        <v>7.39</v>
      </c>
      <c r="DI2142">
        <v>0.14000000000000001</v>
      </c>
      <c r="DJ2142">
        <v>686</v>
      </c>
      <c r="DK2142">
        <v>300798</v>
      </c>
      <c r="DL2142" t="s">
        <v>120</v>
      </c>
      <c r="DM2142" t="s">
        <v>120</v>
      </c>
      <c r="DN2142" t="s">
        <v>120</v>
      </c>
    </row>
    <row r="2143" spans="1:118">
      <c r="A2143" t="str">
        <f>"300799"</f>
        <v>300799</v>
      </c>
      <c r="B2143" t="s">
        <v>10415</v>
      </c>
      <c r="C2143">
        <v>-3.23</v>
      </c>
      <c r="D2143">
        <v>0</v>
      </c>
      <c r="E2143">
        <v>0.02</v>
      </c>
      <c r="F2143">
        <v>48</v>
      </c>
      <c r="G2143" t="s">
        <v>331</v>
      </c>
      <c r="H2143">
        <v>2271.9899999999998</v>
      </c>
      <c r="I2143">
        <v>0.51</v>
      </c>
      <c r="J2143" t="s">
        <v>120</v>
      </c>
      <c r="K2143" t="s">
        <v>331</v>
      </c>
      <c r="L2143">
        <v>1.38</v>
      </c>
      <c r="M2143">
        <v>49.74</v>
      </c>
      <c r="N2143">
        <v>1.17</v>
      </c>
      <c r="O2143">
        <v>1.0900000000000001</v>
      </c>
      <c r="P2143">
        <v>51.96</v>
      </c>
      <c r="Q2143">
        <v>-3.29</v>
      </c>
      <c r="R2143">
        <v>49.71</v>
      </c>
      <c r="S2143">
        <v>51.41</v>
      </c>
      <c r="T2143">
        <v>4489</v>
      </c>
      <c r="U2143">
        <v>49.8</v>
      </c>
      <c r="V2143">
        <v>51.4</v>
      </c>
      <c r="W2143">
        <v>144.86000000000001</v>
      </c>
      <c r="X2143" t="s">
        <v>141</v>
      </c>
      <c r="Y2143" t="s">
        <v>158</v>
      </c>
      <c r="Z2143">
        <v>4.38</v>
      </c>
      <c r="AA2143">
        <v>50.61</v>
      </c>
      <c r="AB2143">
        <v>2775</v>
      </c>
      <c r="AC2143">
        <v>1714</v>
      </c>
      <c r="AD2143">
        <v>1.62</v>
      </c>
      <c r="AE2143">
        <v>12</v>
      </c>
      <c r="AF2143">
        <v>17</v>
      </c>
      <c r="AG2143" t="s">
        <v>120</v>
      </c>
      <c r="AH2143">
        <v>0</v>
      </c>
      <c r="AI2143" t="s">
        <v>120</v>
      </c>
      <c r="AJ2143">
        <v>0.33</v>
      </c>
      <c r="AK2143" t="s">
        <v>10416</v>
      </c>
      <c r="AL2143">
        <v>-1.32</v>
      </c>
      <c r="AM2143">
        <v>750</v>
      </c>
      <c r="AN2143">
        <v>6</v>
      </c>
      <c r="AO2143">
        <v>1.8E-3</v>
      </c>
      <c r="AP2143">
        <v>-4</v>
      </c>
      <c r="AQ2143">
        <v>-1.81</v>
      </c>
      <c r="AR2143">
        <v>-5.08</v>
      </c>
      <c r="AS2143">
        <v>-7.97</v>
      </c>
      <c r="AT2143">
        <v>-9.81</v>
      </c>
      <c r="AU2143">
        <v>-13.79</v>
      </c>
      <c r="AV2143">
        <v>1</v>
      </c>
      <c r="AW2143">
        <v>1.38</v>
      </c>
      <c r="AX2143">
        <v>31.97</v>
      </c>
      <c r="AY2143">
        <v>49.11</v>
      </c>
      <c r="AZ2143">
        <v>56.03</v>
      </c>
      <c r="BA2143">
        <v>0.82</v>
      </c>
      <c r="BB2143" t="s">
        <v>134</v>
      </c>
      <c r="BF2143">
        <v>-1.53</v>
      </c>
      <c r="BG2143">
        <v>-3.25</v>
      </c>
      <c r="BH2143">
        <v>-4.2699999999999996</v>
      </c>
      <c r="BI2143">
        <v>0.06</v>
      </c>
      <c r="BJ2143">
        <v>20210819</v>
      </c>
      <c r="BK2143">
        <v>20191029</v>
      </c>
      <c r="BL2143">
        <v>1.02</v>
      </c>
      <c r="BM2143" t="s">
        <v>120</v>
      </c>
      <c r="BN2143" t="s">
        <v>120</v>
      </c>
      <c r="BO2143">
        <v>7.73</v>
      </c>
      <c r="BP2143">
        <v>49.74</v>
      </c>
      <c r="BQ2143">
        <v>7.09</v>
      </c>
      <c r="BR2143">
        <v>0</v>
      </c>
      <c r="BS2143">
        <v>8.26</v>
      </c>
      <c r="BT2143">
        <v>6.73</v>
      </c>
      <c r="BU2143">
        <v>0.62</v>
      </c>
      <c r="BV2143">
        <v>7.0000000000000007E-2</v>
      </c>
      <c r="BW2143">
        <v>0.64</v>
      </c>
      <c r="BX2143">
        <v>2.29</v>
      </c>
      <c r="BY2143">
        <v>0.93</v>
      </c>
      <c r="BZ2143">
        <v>2.79</v>
      </c>
      <c r="CA2143">
        <v>0</v>
      </c>
      <c r="CB2143">
        <v>3.05</v>
      </c>
      <c r="CC2143">
        <v>0.71</v>
      </c>
      <c r="CD2143">
        <v>0.15</v>
      </c>
      <c r="CE2143">
        <v>0.19</v>
      </c>
      <c r="CF2143">
        <v>0</v>
      </c>
      <c r="CG2143">
        <v>0.2</v>
      </c>
      <c r="CH2143">
        <v>0.16</v>
      </c>
      <c r="CI2143">
        <v>0.18</v>
      </c>
      <c r="CJ2143">
        <v>-1.66</v>
      </c>
      <c r="CK2143">
        <v>0.15</v>
      </c>
      <c r="CL2143">
        <v>2.73</v>
      </c>
      <c r="CM2143">
        <v>-0.69</v>
      </c>
      <c r="CN2143">
        <v>-1.06</v>
      </c>
      <c r="CO2143">
        <v>9671</v>
      </c>
      <c r="CP2143">
        <v>3374</v>
      </c>
      <c r="CQ2143" t="s">
        <v>9864</v>
      </c>
      <c r="CR2143">
        <v>305.20999999999998</v>
      </c>
      <c r="CS2143">
        <v>185.96</v>
      </c>
      <c r="CT2143">
        <v>7.16</v>
      </c>
      <c r="CU2143">
        <v>-73.349999999999994</v>
      </c>
      <c r="CV2143">
        <v>71.38</v>
      </c>
      <c r="CW2143">
        <v>0.26</v>
      </c>
      <c r="CX2143" t="s">
        <v>10417</v>
      </c>
      <c r="CY2143">
        <v>6.95</v>
      </c>
      <c r="CZ2143">
        <v>0</v>
      </c>
      <c r="DA2143">
        <v>2.99</v>
      </c>
      <c r="DB2143">
        <v>2.67</v>
      </c>
      <c r="DC2143">
        <v>-0.68</v>
      </c>
      <c r="DD2143">
        <v>91.77</v>
      </c>
      <c r="DE2143" t="s">
        <v>427</v>
      </c>
      <c r="DF2143">
        <v>78.23</v>
      </c>
      <c r="DG2143">
        <v>26.44</v>
      </c>
      <c r="DH2143">
        <v>24.64</v>
      </c>
      <c r="DI2143">
        <v>0.28000000000000003</v>
      </c>
      <c r="DJ2143">
        <v>213</v>
      </c>
      <c r="DK2143">
        <v>300799</v>
      </c>
      <c r="DL2143" t="s">
        <v>120</v>
      </c>
      <c r="DM2143" t="s">
        <v>120</v>
      </c>
      <c r="DN2143" t="s">
        <v>120</v>
      </c>
    </row>
    <row r="2144" spans="1:118">
      <c r="A2144" t="str">
        <f>"300800"</f>
        <v>300800</v>
      </c>
      <c r="B2144" t="s">
        <v>10418</v>
      </c>
      <c r="C2144">
        <v>2.63</v>
      </c>
      <c r="D2144">
        <v>0.09</v>
      </c>
      <c r="E2144">
        <v>0.92</v>
      </c>
      <c r="F2144">
        <v>958</v>
      </c>
      <c r="G2144" t="s">
        <v>3984</v>
      </c>
      <c r="H2144">
        <v>7361.2</v>
      </c>
      <c r="I2144">
        <v>1.53</v>
      </c>
      <c r="J2144" t="s">
        <v>120</v>
      </c>
      <c r="K2144" t="s">
        <v>5336</v>
      </c>
      <c r="L2144">
        <v>2.31</v>
      </c>
      <c r="M2144">
        <v>22.23</v>
      </c>
      <c r="N2144">
        <v>1.25</v>
      </c>
      <c r="O2144">
        <v>2.91</v>
      </c>
      <c r="P2144">
        <v>22.29</v>
      </c>
      <c r="Q2144">
        <v>-0.42</v>
      </c>
      <c r="R2144">
        <v>21.57</v>
      </c>
      <c r="S2144">
        <v>21.86</v>
      </c>
      <c r="T2144">
        <v>33389</v>
      </c>
      <c r="U2144">
        <v>22.24</v>
      </c>
      <c r="V2144">
        <v>21.66</v>
      </c>
      <c r="W2144">
        <v>21.11</v>
      </c>
      <c r="X2144" t="s">
        <v>318</v>
      </c>
      <c r="Y2144" t="s">
        <v>594</v>
      </c>
      <c r="Z2144">
        <v>3.32</v>
      </c>
      <c r="AA2144">
        <v>22.05</v>
      </c>
      <c r="AB2144">
        <v>13990</v>
      </c>
      <c r="AC2144">
        <v>19399</v>
      </c>
      <c r="AD2144">
        <v>0.72</v>
      </c>
      <c r="AE2144">
        <v>98</v>
      </c>
      <c r="AF2144">
        <v>114</v>
      </c>
      <c r="AG2144" t="s">
        <v>120</v>
      </c>
      <c r="AH2144">
        <v>0</v>
      </c>
      <c r="AI2144" t="s">
        <v>120</v>
      </c>
      <c r="AJ2144">
        <v>1.45</v>
      </c>
      <c r="AK2144" t="s">
        <v>10419</v>
      </c>
      <c r="AL2144">
        <v>4.55</v>
      </c>
      <c r="AM2144">
        <v>1678</v>
      </c>
      <c r="AN2144">
        <v>20</v>
      </c>
      <c r="AO2144">
        <v>1.4E-3</v>
      </c>
      <c r="AP2144">
        <v>1</v>
      </c>
      <c r="AQ2144">
        <v>-0.18</v>
      </c>
      <c r="AR2144">
        <v>0.18</v>
      </c>
      <c r="AS2144">
        <v>12.38</v>
      </c>
      <c r="AT2144">
        <v>9.77</v>
      </c>
      <c r="AU2144">
        <v>22.1</v>
      </c>
      <c r="AV2144">
        <v>0</v>
      </c>
      <c r="AW2144">
        <v>3.72</v>
      </c>
      <c r="AX2144">
        <v>37.68</v>
      </c>
      <c r="AY2144">
        <v>19.190000000000001</v>
      </c>
      <c r="AZ2144">
        <v>19.760000000000002</v>
      </c>
      <c r="BA2144">
        <v>0.27</v>
      </c>
      <c r="BB2144" t="s">
        <v>143</v>
      </c>
      <c r="BF2144">
        <v>1.79</v>
      </c>
      <c r="BG2144">
        <v>1.69</v>
      </c>
      <c r="BH2144">
        <v>-0.27</v>
      </c>
      <c r="BI2144">
        <v>3.06</v>
      </c>
      <c r="BJ2144">
        <v>20210821</v>
      </c>
      <c r="BK2144">
        <v>20191106</v>
      </c>
      <c r="BL2144">
        <v>2.38</v>
      </c>
      <c r="BM2144" t="s">
        <v>120</v>
      </c>
      <c r="BN2144" t="s">
        <v>120</v>
      </c>
      <c r="BO2144">
        <v>21.52</v>
      </c>
      <c r="BP2144">
        <v>22.23</v>
      </c>
      <c r="BQ2144">
        <v>18.739999999999998</v>
      </c>
      <c r="BR2144" t="s">
        <v>120</v>
      </c>
      <c r="BS2144">
        <v>12.89</v>
      </c>
      <c r="BT2144">
        <v>18.97</v>
      </c>
      <c r="BU2144">
        <v>1.93</v>
      </c>
      <c r="BV2144">
        <v>0.12</v>
      </c>
      <c r="BW2144">
        <v>2.31</v>
      </c>
      <c r="BX2144">
        <v>3.84</v>
      </c>
      <c r="BY2144">
        <v>1.45</v>
      </c>
      <c r="BZ2144">
        <v>3.46</v>
      </c>
      <c r="CA2144" t="s">
        <v>120</v>
      </c>
      <c r="CB2144">
        <v>8.1199999999999992</v>
      </c>
      <c r="CC2144">
        <v>4.01</v>
      </c>
      <c r="CD2144">
        <v>2.14</v>
      </c>
      <c r="CE2144">
        <v>1.43</v>
      </c>
      <c r="CF2144">
        <v>0.12</v>
      </c>
      <c r="CG2144">
        <v>1.43</v>
      </c>
      <c r="CH2144">
        <v>1.26</v>
      </c>
      <c r="CI2144">
        <v>1.26</v>
      </c>
      <c r="CJ2144">
        <v>0.56999999999999995</v>
      </c>
      <c r="CK2144">
        <v>1.08</v>
      </c>
      <c r="CL2144">
        <v>8.43</v>
      </c>
      <c r="CM2144">
        <v>-0.64</v>
      </c>
      <c r="CN2144">
        <v>-1.59</v>
      </c>
      <c r="CO2144">
        <v>16316</v>
      </c>
      <c r="CP2144">
        <v>5505</v>
      </c>
      <c r="CQ2144" t="s">
        <v>10420</v>
      </c>
      <c r="CR2144">
        <v>6.6</v>
      </c>
      <c r="CS2144">
        <v>28.85</v>
      </c>
      <c r="CT2144">
        <v>2.83</v>
      </c>
      <c r="CU2144">
        <v>-82.39</v>
      </c>
      <c r="CV2144">
        <v>13.21</v>
      </c>
      <c r="CW2144">
        <v>0.76</v>
      </c>
      <c r="CX2144" t="s">
        <v>2391</v>
      </c>
      <c r="CY2144">
        <v>7.86</v>
      </c>
      <c r="CZ2144">
        <v>0</v>
      </c>
      <c r="DA2144">
        <v>3.41</v>
      </c>
      <c r="DB2144">
        <v>3.54</v>
      </c>
      <c r="DC2144">
        <v>-0.27</v>
      </c>
      <c r="DD2144">
        <v>87.11</v>
      </c>
      <c r="DE2144" t="s">
        <v>8840</v>
      </c>
      <c r="DF2144">
        <v>46.53</v>
      </c>
      <c r="DG2144">
        <v>35.72</v>
      </c>
      <c r="DH2144">
        <v>31.29</v>
      </c>
      <c r="DI2144">
        <v>0.28000000000000003</v>
      </c>
      <c r="DJ2144">
        <v>949</v>
      </c>
      <c r="DK2144">
        <v>300800</v>
      </c>
      <c r="DL2144" t="s">
        <v>120</v>
      </c>
      <c r="DM2144" t="s">
        <v>120</v>
      </c>
      <c r="DN2144" t="s">
        <v>120</v>
      </c>
    </row>
    <row r="2145" spans="1:118">
      <c r="A2145" t="str">
        <f>"300801"</f>
        <v>300801</v>
      </c>
      <c r="B2145" t="s">
        <v>10421</v>
      </c>
      <c r="C2145">
        <v>-4.54</v>
      </c>
      <c r="D2145">
        <v>-0.04</v>
      </c>
      <c r="E2145">
        <v>-1.43</v>
      </c>
      <c r="F2145">
        <v>522</v>
      </c>
      <c r="G2145" t="s">
        <v>6183</v>
      </c>
      <c r="H2145">
        <v>10227.43</v>
      </c>
      <c r="I2145">
        <v>113.49</v>
      </c>
      <c r="J2145" t="s">
        <v>120</v>
      </c>
      <c r="K2145" t="s">
        <v>10422</v>
      </c>
      <c r="L2145">
        <v>6.25</v>
      </c>
      <c r="M2145">
        <v>19.350000000000001</v>
      </c>
      <c r="N2145">
        <v>1.04</v>
      </c>
      <c r="O2145">
        <v>-0.54</v>
      </c>
      <c r="P2145">
        <v>20.16</v>
      </c>
      <c r="Q2145">
        <v>-5.18</v>
      </c>
      <c r="R2145">
        <v>19.22</v>
      </c>
      <c r="S2145">
        <v>19.98</v>
      </c>
      <c r="T2145">
        <v>52151</v>
      </c>
      <c r="U2145">
        <v>19.350000000000001</v>
      </c>
      <c r="V2145">
        <v>20.27</v>
      </c>
      <c r="W2145">
        <v>29.44</v>
      </c>
      <c r="X2145" t="s">
        <v>868</v>
      </c>
      <c r="Y2145" t="s">
        <v>638</v>
      </c>
      <c r="Z2145">
        <v>4.6399999999999997</v>
      </c>
      <c r="AA2145">
        <v>19.61</v>
      </c>
      <c r="AB2145">
        <v>30250</v>
      </c>
      <c r="AC2145">
        <v>21901</v>
      </c>
      <c r="AD2145">
        <v>1.38</v>
      </c>
      <c r="AE2145">
        <v>13</v>
      </c>
      <c r="AF2145">
        <v>30</v>
      </c>
      <c r="AG2145" t="s">
        <v>120</v>
      </c>
      <c r="AH2145">
        <v>0.1</v>
      </c>
      <c r="AI2145" t="s">
        <v>120</v>
      </c>
      <c r="AJ2145">
        <v>0.83</v>
      </c>
      <c r="AK2145" t="s">
        <v>916</v>
      </c>
      <c r="AL2145">
        <v>-2.63</v>
      </c>
      <c r="AM2145">
        <v>2098</v>
      </c>
      <c r="AN2145">
        <v>25</v>
      </c>
      <c r="AO2145">
        <v>3.0000000000000001E-3</v>
      </c>
      <c r="AP2145">
        <v>-1</v>
      </c>
      <c r="AQ2145">
        <v>5.96</v>
      </c>
      <c r="AR2145">
        <v>-1.1299999999999999</v>
      </c>
      <c r="AS2145">
        <v>-3.73</v>
      </c>
      <c r="AT2145">
        <v>2.87</v>
      </c>
      <c r="AU2145">
        <v>-6.11</v>
      </c>
      <c r="AV2145">
        <v>0</v>
      </c>
      <c r="AW2145">
        <v>9.0500000000000007</v>
      </c>
      <c r="AX2145">
        <v>26.68</v>
      </c>
      <c r="AY2145">
        <v>31.18</v>
      </c>
      <c r="AZ2145">
        <v>22.43</v>
      </c>
      <c r="BA2145">
        <v>0.22</v>
      </c>
      <c r="BB2145" t="s">
        <v>1103</v>
      </c>
      <c r="BF2145">
        <v>-3.25</v>
      </c>
      <c r="BG2145">
        <v>-3.15</v>
      </c>
      <c r="BH2145">
        <v>-4.0199999999999996</v>
      </c>
      <c r="BI2145">
        <v>0.68</v>
      </c>
      <c r="BJ2145">
        <v>20210824</v>
      </c>
      <c r="BK2145">
        <v>20191128</v>
      </c>
      <c r="BL2145">
        <v>2.16</v>
      </c>
      <c r="BM2145" t="s">
        <v>120</v>
      </c>
      <c r="BN2145" t="s">
        <v>120</v>
      </c>
      <c r="BO2145">
        <v>21.12</v>
      </c>
      <c r="BP2145">
        <v>19.34</v>
      </c>
      <c r="BQ2145">
        <v>18.86</v>
      </c>
      <c r="BR2145" t="s">
        <v>120</v>
      </c>
      <c r="BS2145">
        <v>10.73</v>
      </c>
      <c r="BT2145">
        <v>12.78</v>
      </c>
      <c r="BU2145">
        <v>3.74</v>
      </c>
      <c r="BV2145">
        <v>0.66</v>
      </c>
      <c r="BW2145">
        <v>2.2000000000000002</v>
      </c>
      <c r="BX2145">
        <v>8.33</v>
      </c>
      <c r="BY2145">
        <v>1.03</v>
      </c>
      <c r="BZ2145">
        <v>1.83</v>
      </c>
      <c r="CA2145" t="s">
        <v>120</v>
      </c>
      <c r="CB2145">
        <v>9.77</v>
      </c>
      <c r="CC2145">
        <v>8.58</v>
      </c>
      <c r="CD2145">
        <v>7.11</v>
      </c>
      <c r="CE2145">
        <v>0.83</v>
      </c>
      <c r="CF2145">
        <v>0.06</v>
      </c>
      <c r="CG2145">
        <v>0.83</v>
      </c>
      <c r="CH2145">
        <v>0.71</v>
      </c>
      <c r="CI2145">
        <v>0.71</v>
      </c>
      <c r="CJ2145">
        <v>-0.92</v>
      </c>
      <c r="CK2145">
        <v>0.62</v>
      </c>
      <c r="CL2145">
        <v>6.2</v>
      </c>
      <c r="CM2145">
        <v>0.45</v>
      </c>
      <c r="CN2145">
        <v>3.01</v>
      </c>
      <c r="CO2145">
        <v>16178</v>
      </c>
      <c r="CP2145">
        <v>3562</v>
      </c>
      <c r="CQ2145" t="s">
        <v>1933</v>
      </c>
      <c r="CR2145">
        <v>-43.56</v>
      </c>
      <c r="CS2145">
        <v>10.32</v>
      </c>
      <c r="CT2145">
        <v>2.2200000000000002</v>
      </c>
      <c r="CU2145">
        <v>92.39</v>
      </c>
      <c r="CV2145">
        <v>4.87</v>
      </c>
      <c r="CW2145">
        <v>1.23</v>
      </c>
      <c r="CX2145" t="s">
        <v>10423</v>
      </c>
      <c r="CY2145">
        <v>8.73</v>
      </c>
      <c r="CZ2145">
        <v>0</v>
      </c>
      <c r="DA2145">
        <v>4.5199999999999996</v>
      </c>
      <c r="DB2145">
        <v>2.87</v>
      </c>
      <c r="DC2145">
        <v>0.21</v>
      </c>
      <c r="DD2145">
        <v>89.27</v>
      </c>
      <c r="DE2145" t="s">
        <v>2098</v>
      </c>
      <c r="DF2145">
        <v>17.14</v>
      </c>
      <c r="DG2145">
        <v>9.66</v>
      </c>
      <c r="DH2145">
        <v>8.27</v>
      </c>
      <c r="DI2145">
        <v>0.39</v>
      </c>
      <c r="DJ2145">
        <v>606</v>
      </c>
      <c r="DK2145">
        <v>300801</v>
      </c>
      <c r="DL2145" t="s">
        <v>120</v>
      </c>
      <c r="DM2145" t="s">
        <v>120</v>
      </c>
      <c r="DN2145" t="s">
        <v>120</v>
      </c>
    </row>
    <row r="2146" spans="1:118">
      <c r="A2146" t="str">
        <f>"300802"</f>
        <v>300802</v>
      </c>
      <c r="B2146" t="s">
        <v>10424</v>
      </c>
      <c r="C2146">
        <v>-5.75</v>
      </c>
      <c r="D2146">
        <v>-0.06</v>
      </c>
      <c r="E2146">
        <v>-1.35</v>
      </c>
      <c r="F2146">
        <v>843</v>
      </c>
      <c r="G2146" t="s">
        <v>5524</v>
      </c>
      <c r="H2146">
        <v>12261.01</v>
      </c>
      <c r="I2146">
        <v>23.63</v>
      </c>
      <c r="J2146" t="s">
        <v>120</v>
      </c>
      <c r="K2146" t="s">
        <v>1619</v>
      </c>
      <c r="L2146">
        <v>3.33</v>
      </c>
      <c r="M2146">
        <v>42.6</v>
      </c>
      <c r="N2146">
        <v>0.85</v>
      </c>
      <c r="O2146">
        <v>0.49</v>
      </c>
      <c r="P2146">
        <v>45.42</v>
      </c>
      <c r="Q2146">
        <v>-5.97</v>
      </c>
      <c r="R2146">
        <v>42.5</v>
      </c>
      <c r="S2146">
        <v>44.59</v>
      </c>
      <c r="T2146">
        <v>27859</v>
      </c>
      <c r="U2146">
        <v>42.61</v>
      </c>
      <c r="V2146">
        <v>45.2</v>
      </c>
      <c r="W2146">
        <v>60.14</v>
      </c>
      <c r="X2146" t="s">
        <v>238</v>
      </c>
      <c r="Y2146" t="s">
        <v>1510</v>
      </c>
      <c r="Z2146">
        <v>6.46</v>
      </c>
      <c r="AA2146">
        <v>44.01</v>
      </c>
      <c r="AB2146">
        <v>16487</v>
      </c>
      <c r="AC2146">
        <v>11372</v>
      </c>
      <c r="AD2146">
        <v>1.45</v>
      </c>
      <c r="AE2146">
        <v>177</v>
      </c>
      <c r="AF2146">
        <v>61</v>
      </c>
      <c r="AG2146" t="s">
        <v>120</v>
      </c>
      <c r="AH2146">
        <v>0.01</v>
      </c>
      <c r="AI2146" t="s">
        <v>120</v>
      </c>
      <c r="AJ2146">
        <v>0.84</v>
      </c>
      <c r="AK2146" t="s">
        <v>10425</v>
      </c>
      <c r="AL2146">
        <v>-3.84</v>
      </c>
      <c r="AM2146">
        <v>1925</v>
      </c>
      <c r="AN2146">
        <v>14</v>
      </c>
      <c r="AO2146">
        <v>1.6999999999999999E-3</v>
      </c>
      <c r="AP2146">
        <v>-2</v>
      </c>
      <c r="AQ2146">
        <v>-1.61</v>
      </c>
      <c r="AR2146">
        <v>-6.1</v>
      </c>
      <c r="AS2146">
        <v>-0.59</v>
      </c>
      <c r="AT2146">
        <v>28.31</v>
      </c>
      <c r="AU2146">
        <v>36.590000000000003</v>
      </c>
      <c r="AV2146">
        <v>1</v>
      </c>
      <c r="AW2146">
        <v>4.08</v>
      </c>
      <c r="AX2146">
        <v>42.08</v>
      </c>
      <c r="AY2146">
        <v>70.260000000000005</v>
      </c>
      <c r="AZ2146">
        <v>82.35</v>
      </c>
      <c r="BA2146">
        <v>0.34</v>
      </c>
      <c r="BB2146" t="s">
        <v>143</v>
      </c>
      <c r="BF2146">
        <v>-2.63</v>
      </c>
      <c r="BG2146">
        <v>-4.46</v>
      </c>
      <c r="BH2146">
        <v>-6.21</v>
      </c>
      <c r="BI2146">
        <v>0.24</v>
      </c>
      <c r="BJ2146">
        <v>20210827</v>
      </c>
      <c r="BK2146">
        <v>20191114</v>
      </c>
      <c r="BL2146">
        <v>1.62</v>
      </c>
      <c r="BM2146" t="s">
        <v>120</v>
      </c>
      <c r="BN2146" t="s">
        <v>120</v>
      </c>
      <c r="BO2146">
        <v>11.68</v>
      </c>
      <c r="BP2146">
        <v>42.6</v>
      </c>
      <c r="BQ2146">
        <v>10.050000000000001</v>
      </c>
      <c r="BR2146">
        <v>0.01</v>
      </c>
      <c r="BS2146">
        <v>13.83</v>
      </c>
      <c r="BT2146">
        <v>9.52</v>
      </c>
      <c r="BU2146">
        <v>1.1000000000000001</v>
      </c>
      <c r="BV2146">
        <v>7.0000000000000007E-2</v>
      </c>
      <c r="BW2146">
        <v>1.58</v>
      </c>
      <c r="BX2146">
        <v>4.7</v>
      </c>
      <c r="BY2146">
        <v>2.08</v>
      </c>
      <c r="BZ2146">
        <v>1.83</v>
      </c>
      <c r="CA2146" t="s">
        <v>120</v>
      </c>
      <c r="CB2146">
        <v>5.21</v>
      </c>
      <c r="CC2146">
        <v>2.62</v>
      </c>
      <c r="CD2146">
        <v>1.64</v>
      </c>
      <c r="CE2146">
        <v>0.67</v>
      </c>
      <c r="CF2146">
        <v>0.03</v>
      </c>
      <c r="CG2146">
        <v>0.67</v>
      </c>
      <c r="CH2146">
        <v>0.56000000000000005</v>
      </c>
      <c r="CI2146">
        <v>0.57999999999999996</v>
      </c>
      <c r="CJ2146">
        <v>-2.6</v>
      </c>
      <c r="CK2146">
        <v>0.54</v>
      </c>
      <c r="CL2146">
        <v>3.62</v>
      </c>
      <c r="CM2146">
        <v>7.0000000000000007E-2</v>
      </c>
      <c r="CN2146">
        <v>-0.28999999999999998</v>
      </c>
      <c r="CO2146">
        <v>13750</v>
      </c>
      <c r="CP2146">
        <v>4971</v>
      </c>
      <c r="CQ2146" t="s">
        <v>6722</v>
      </c>
      <c r="CR2146">
        <v>36.39</v>
      </c>
      <c r="CS2146">
        <v>12.46</v>
      </c>
      <c r="CT2146">
        <v>6.89</v>
      </c>
      <c r="CU2146">
        <v>1016.85</v>
      </c>
      <c r="CV2146">
        <v>26.45</v>
      </c>
      <c r="CW2146">
        <v>0.27</v>
      </c>
      <c r="CX2146" t="s">
        <v>269</v>
      </c>
      <c r="CY2146">
        <v>6.19</v>
      </c>
      <c r="CZ2146">
        <v>0</v>
      </c>
      <c r="DA2146">
        <v>3.2</v>
      </c>
      <c r="DB2146">
        <v>2.23</v>
      </c>
      <c r="DC2146">
        <v>0.04</v>
      </c>
      <c r="DD2146">
        <v>86.07</v>
      </c>
      <c r="DE2146" t="s">
        <v>6718</v>
      </c>
      <c r="DF2146">
        <v>37.31</v>
      </c>
      <c r="DG2146">
        <v>25.77</v>
      </c>
      <c r="DH2146">
        <v>21.99</v>
      </c>
      <c r="DI2146">
        <v>0.15</v>
      </c>
      <c r="DJ2146">
        <v>726</v>
      </c>
      <c r="DK2146">
        <v>300802</v>
      </c>
      <c r="DL2146" t="s">
        <v>120</v>
      </c>
      <c r="DM2146" t="s">
        <v>120</v>
      </c>
      <c r="DN2146" t="s">
        <v>120</v>
      </c>
    </row>
    <row r="2147" spans="1:118">
      <c r="A2147" t="str">
        <f>"300803"</f>
        <v>300803</v>
      </c>
      <c r="B2147" t="s">
        <v>10426</v>
      </c>
      <c r="C2147">
        <v>-0.78</v>
      </c>
      <c r="D2147">
        <v>0</v>
      </c>
      <c r="E2147">
        <v>-0.28999999999999998</v>
      </c>
      <c r="F2147">
        <v>1352</v>
      </c>
      <c r="G2147" t="s">
        <v>10427</v>
      </c>
      <c r="H2147">
        <v>59287.83</v>
      </c>
      <c r="I2147">
        <v>191.02</v>
      </c>
      <c r="J2147" t="s">
        <v>120</v>
      </c>
      <c r="K2147" t="s">
        <v>10427</v>
      </c>
      <c r="L2147">
        <v>6.45</v>
      </c>
      <c r="M2147">
        <v>40.880000000000003</v>
      </c>
      <c r="N2147">
        <v>0.77</v>
      </c>
      <c r="O2147">
        <v>5.0999999999999996</v>
      </c>
      <c r="P2147">
        <v>43.3</v>
      </c>
      <c r="Q2147">
        <v>-1.87</v>
      </c>
      <c r="R2147">
        <v>40.43</v>
      </c>
      <c r="S2147">
        <v>41.08</v>
      </c>
      <c r="T2147">
        <v>142386</v>
      </c>
      <c r="U2147">
        <v>40.89</v>
      </c>
      <c r="V2147">
        <v>41.2</v>
      </c>
      <c r="W2147">
        <v>63.15</v>
      </c>
      <c r="X2147" t="s">
        <v>141</v>
      </c>
      <c r="Y2147" t="s">
        <v>158</v>
      </c>
      <c r="Z2147">
        <v>6.97</v>
      </c>
      <c r="AA2147">
        <v>41.64</v>
      </c>
      <c r="AB2147">
        <v>69035</v>
      </c>
      <c r="AC2147">
        <v>73351</v>
      </c>
      <c r="AD2147">
        <v>0.94</v>
      </c>
      <c r="AE2147">
        <v>24</v>
      </c>
      <c r="AF2147">
        <v>40</v>
      </c>
      <c r="AG2147" t="s">
        <v>120</v>
      </c>
      <c r="AH2147">
        <v>0.02</v>
      </c>
      <c r="AI2147" t="s">
        <v>120</v>
      </c>
      <c r="AJ2147">
        <v>2.21</v>
      </c>
      <c r="AK2147" t="s">
        <v>10428</v>
      </c>
      <c r="AL2147">
        <v>1.1399999999999999</v>
      </c>
      <c r="AM2147">
        <v>3814</v>
      </c>
      <c r="AN2147">
        <v>37</v>
      </c>
      <c r="AO2147">
        <v>1.6999999999999999E-3</v>
      </c>
      <c r="AP2147">
        <v>-1</v>
      </c>
      <c r="AQ2147">
        <v>7.77</v>
      </c>
      <c r="AR2147">
        <v>2.74</v>
      </c>
      <c r="AS2147">
        <v>15.9</v>
      </c>
      <c r="AT2147">
        <v>3.76</v>
      </c>
      <c r="AU2147">
        <v>25.59</v>
      </c>
      <c r="AV2147">
        <v>0</v>
      </c>
      <c r="AW2147">
        <v>6.45</v>
      </c>
      <c r="AX2147">
        <v>54.47</v>
      </c>
      <c r="AY2147">
        <v>120.08</v>
      </c>
      <c r="AZ2147">
        <v>187.04</v>
      </c>
      <c r="BA2147">
        <v>1.04</v>
      </c>
      <c r="BB2147" t="s">
        <v>184</v>
      </c>
      <c r="BF2147">
        <v>1.06</v>
      </c>
      <c r="BG2147">
        <v>-0.49</v>
      </c>
      <c r="BH2147">
        <v>-5.59</v>
      </c>
      <c r="BI2147">
        <v>1.1100000000000001</v>
      </c>
      <c r="BJ2147">
        <v>20210830</v>
      </c>
      <c r="BK2147">
        <v>20191118</v>
      </c>
      <c r="BL2147">
        <v>4.05</v>
      </c>
      <c r="BM2147" t="s">
        <v>120</v>
      </c>
      <c r="BN2147" t="s">
        <v>120</v>
      </c>
      <c r="BO2147">
        <v>18.96</v>
      </c>
      <c r="BP2147">
        <v>40.880000000000003</v>
      </c>
      <c r="BQ2147">
        <v>12.54</v>
      </c>
      <c r="BR2147" t="s">
        <v>120</v>
      </c>
      <c r="BS2147">
        <v>33.869999999999997</v>
      </c>
      <c r="BT2147">
        <v>15.46</v>
      </c>
      <c r="BU2147">
        <v>3.28</v>
      </c>
      <c r="BV2147">
        <v>0.01</v>
      </c>
      <c r="BW2147">
        <v>1.59</v>
      </c>
      <c r="BX2147">
        <v>8.76</v>
      </c>
      <c r="BY2147">
        <v>0</v>
      </c>
      <c r="BZ2147">
        <v>7.0000000000000007E-2</v>
      </c>
      <c r="CA2147" t="s">
        <v>120</v>
      </c>
      <c r="CB2147">
        <v>2.57</v>
      </c>
      <c r="CC2147">
        <v>5.41</v>
      </c>
      <c r="CD2147">
        <v>0.56000000000000005</v>
      </c>
      <c r="CE2147">
        <v>1.59</v>
      </c>
      <c r="CF2147">
        <v>0.01</v>
      </c>
      <c r="CG2147">
        <v>1.58</v>
      </c>
      <c r="CH2147">
        <v>1.31</v>
      </c>
      <c r="CI2147">
        <v>1.31</v>
      </c>
      <c r="CJ2147">
        <v>-0.32</v>
      </c>
      <c r="CK2147">
        <v>1.28</v>
      </c>
      <c r="CL2147">
        <v>5.28</v>
      </c>
      <c r="CM2147">
        <v>2.88</v>
      </c>
      <c r="CN2147">
        <v>-3.29</v>
      </c>
      <c r="CO2147">
        <v>30081</v>
      </c>
      <c r="CP2147">
        <v>7333</v>
      </c>
      <c r="CQ2147" t="s">
        <v>9157</v>
      </c>
      <c r="CR2147">
        <v>61.17</v>
      </c>
      <c r="CS2147">
        <v>38.57</v>
      </c>
      <c r="CT2147">
        <v>13.2</v>
      </c>
      <c r="CU2147">
        <v>57.48</v>
      </c>
      <c r="CV2147">
        <v>30.58</v>
      </c>
      <c r="CW2147">
        <v>0.12</v>
      </c>
      <c r="CX2147" t="s">
        <v>966</v>
      </c>
      <c r="CY2147">
        <v>3.1</v>
      </c>
      <c r="CZ2147">
        <v>0</v>
      </c>
      <c r="DA2147">
        <v>0.63</v>
      </c>
      <c r="DB2147">
        <v>1.3</v>
      </c>
      <c r="DC2147">
        <v>0.71</v>
      </c>
      <c r="DD2147">
        <v>66.13</v>
      </c>
      <c r="DE2147" t="s">
        <v>10429</v>
      </c>
      <c r="DF2147">
        <v>89.61</v>
      </c>
      <c r="DG2147">
        <v>29.28</v>
      </c>
      <c r="DH2147">
        <v>24.21</v>
      </c>
      <c r="DI2147">
        <v>0.56000000000000005</v>
      </c>
      <c r="DJ2147">
        <v>1703</v>
      </c>
      <c r="DK2147">
        <v>300803</v>
      </c>
      <c r="DL2147">
        <v>20210908</v>
      </c>
      <c r="DM2147">
        <v>41.3</v>
      </c>
      <c r="DN2147">
        <v>-1.02</v>
      </c>
    </row>
    <row r="2148" spans="1:118">
      <c r="A2148" t="str">
        <f>"300805"</f>
        <v>300805</v>
      </c>
      <c r="B2148" t="s">
        <v>10430</v>
      </c>
      <c r="C2148">
        <v>-1.94</v>
      </c>
      <c r="D2148">
        <v>0</v>
      </c>
      <c r="E2148">
        <v>-0.08</v>
      </c>
      <c r="F2148">
        <v>235</v>
      </c>
      <c r="G2148" t="s">
        <v>10431</v>
      </c>
      <c r="H2148">
        <v>1978.41</v>
      </c>
      <c r="I2148">
        <v>13.29</v>
      </c>
      <c r="J2148" t="s">
        <v>120</v>
      </c>
      <c r="K2148" t="s">
        <v>10431</v>
      </c>
      <c r="L2148">
        <v>1.31</v>
      </c>
      <c r="M2148">
        <v>11.65</v>
      </c>
      <c r="N2148">
        <v>0.82</v>
      </c>
      <c r="O2148">
        <v>1.68</v>
      </c>
      <c r="P2148">
        <v>12.08</v>
      </c>
      <c r="Q2148">
        <v>-2.02</v>
      </c>
      <c r="R2148">
        <v>11.64</v>
      </c>
      <c r="S2148">
        <v>11.87</v>
      </c>
      <c r="T2148">
        <v>16756</v>
      </c>
      <c r="U2148">
        <v>11.66</v>
      </c>
      <c r="V2148">
        <v>11.88</v>
      </c>
      <c r="W2148">
        <v>4068.85</v>
      </c>
      <c r="X2148" t="s">
        <v>339</v>
      </c>
      <c r="Y2148" t="s">
        <v>547</v>
      </c>
      <c r="Z2148">
        <v>3.7</v>
      </c>
      <c r="AA2148">
        <v>11.81</v>
      </c>
      <c r="AB2148">
        <v>10599</v>
      </c>
      <c r="AC2148">
        <v>6157</v>
      </c>
      <c r="AD2148">
        <v>1.72</v>
      </c>
      <c r="AE2148">
        <v>22</v>
      </c>
      <c r="AF2148">
        <v>3</v>
      </c>
      <c r="AG2148" t="s">
        <v>120</v>
      </c>
      <c r="AH2148">
        <v>0.01</v>
      </c>
      <c r="AI2148" t="s">
        <v>120</v>
      </c>
      <c r="AJ2148">
        <v>1.28</v>
      </c>
      <c r="AK2148" t="s">
        <v>6578</v>
      </c>
      <c r="AL2148">
        <v>-0.02</v>
      </c>
      <c r="AM2148">
        <v>811</v>
      </c>
      <c r="AN2148">
        <v>21</v>
      </c>
      <c r="AO2148">
        <v>1.6000000000000001E-3</v>
      </c>
      <c r="AP2148">
        <v>-1</v>
      </c>
      <c r="AQ2148">
        <v>0.51</v>
      </c>
      <c r="AR2148">
        <v>-2.67</v>
      </c>
      <c r="AS2148">
        <v>-7.24</v>
      </c>
      <c r="AT2148">
        <v>-22.44</v>
      </c>
      <c r="AU2148">
        <v>-38.03</v>
      </c>
      <c r="AV2148">
        <v>2</v>
      </c>
      <c r="AW2148">
        <v>1.31</v>
      </c>
      <c r="AX2148">
        <v>30.25</v>
      </c>
      <c r="AY2148">
        <v>53.25</v>
      </c>
      <c r="AZ2148">
        <v>35.9</v>
      </c>
      <c r="BA2148">
        <v>0.55000000000000004</v>
      </c>
      <c r="BB2148" t="s">
        <v>143</v>
      </c>
      <c r="BF2148">
        <v>-0.61</v>
      </c>
      <c r="BG2148">
        <v>-1.85</v>
      </c>
      <c r="BH2148">
        <v>-3.56</v>
      </c>
      <c r="BI2148">
        <v>0.09</v>
      </c>
      <c r="BJ2148">
        <v>20210826</v>
      </c>
      <c r="BK2148">
        <v>20191121</v>
      </c>
      <c r="BL2148">
        <v>4.2300000000000004</v>
      </c>
      <c r="BM2148" t="s">
        <v>120</v>
      </c>
      <c r="BN2148" t="s">
        <v>120</v>
      </c>
      <c r="BO2148">
        <v>24.33</v>
      </c>
      <c r="BP2148">
        <v>11.65</v>
      </c>
      <c r="BQ2148">
        <v>16.66</v>
      </c>
      <c r="BR2148" t="s">
        <v>120</v>
      </c>
      <c r="BS2148">
        <v>31.54</v>
      </c>
      <c r="BT2148">
        <v>22.48</v>
      </c>
      <c r="BU2148">
        <v>0.19</v>
      </c>
      <c r="BV2148">
        <v>0.22</v>
      </c>
      <c r="BW2148">
        <v>7.46</v>
      </c>
      <c r="BX2148">
        <v>9.2899999999999991</v>
      </c>
      <c r="BY2148">
        <v>0.88</v>
      </c>
      <c r="BZ2148">
        <v>9.07</v>
      </c>
      <c r="CA2148" t="s">
        <v>120</v>
      </c>
      <c r="CB2148">
        <v>5.05</v>
      </c>
      <c r="CC2148">
        <v>14.21</v>
      </c>
      <c r="CD2148">
        <v>12.27</v>
      </c>
      <c r="CE2148">
        <v>0.02</v>
      </c>
      <c r="CF2148">
        <v>-0.01</v>
      </c>
      <c r="CG2148">
        <v>0.03</v>
      </c>
      <c r="CH2148">
        <v>0.01</v>
      </c>
      <c r="CI2148">
        <v>0.01</v>
      </c>
      <c r="CJ2148">
        <v>-0.23</v>
      </c>
      <c r="CK2148">
        <v>-0.04</v>
      </c>
      <c r="CL2148">
        <v>6.49</v>
      </c>
      <c r="CM2148">
        <v>0.32</v>
      </c>
      <c r="CN2148">
        <v>-0.09</v>
      </c>
      <c r="CO2148">
        <v>14515</v>
      </c>
      <c r="CP2148">
        <v>8821</v>
      </c>
      <c r="CQ2148" t="s">
        <v>1192</v>
      </c>
      <c r="CR2148">
        <v>-98.69</v>
      </c>
      <c r="CS2148">
        <v>7.84</v>
      </c>
      <c r="CT2148">
        <v>2.96</v>
      </c>
      <c r="CU2148">
        <v>155.88999999999999</v>
      </c>
      <c r="CV2148">
        <v>3.47</v>
      </c>
      <c r="CW2148">
        <v>0.42</v>
      </c>
      <c r="CX2148" t="s">
        <v>1415</v>
      </c>
      <c r="CY2148">
        <v>3.94</v>
      </c>
      <c r="CZ2148">
        <v>0</v>
      </c>
      <c r="DA2148">
        <v>1.19</v>
      </c>
      <c r="DB2148">
        <v>1.53</v>
      </c>
      <c r="DC2148">
        <v>7.0000000000000007E-2</v>
      </c>
      <c r="DD2148">
        <v>68.459999999999994</v>
      </c>
      <c r="DE2148" t="s">
        <v>1696</v>
      </c>
      <c r="DF2148">
        <v>13.69</v>
      </c>
      <c r="DG2148">
        <v>0.11</v>
      </c>
      <c r="DH2148">
        <v>0.04</v>
      </c>
      <c r="DI2148">
        <v>0.15</v>
      </c>
      <c r="DJ2148">
        <v>15723</v>
      </c>
      <c r="DK2148">
        <v>300805</v>
      </c>
      <c r="DL2148" t="s">
        <v>120</v>
      </c>
      <c r="DM2148" t="s">
        <v>120</v>
      </c>
      <c r="DN2148" t="s">
        <v>120</v>
      </c>
    </row>
    <row r="2149" spans="1:118">
      <c r="A2149" t="str">
        <f>"300806"</f>
        <v>300806</v>
      </c>
      <c r="B2149" t="s">
        <v>10432</v>
      </c>
      <c r="C2149">
        <v>1.34</v>
      </c>
      <c r="D2149">
        <v>0.02</v>
      </c>
      <c r="E2149">
        <v>0</v>
      </c>
      <c r="F2149">
        <v>81</v>
      </c>
      <c r="G2149" t="s">
        <v>10433</v>
      </c>
      <c r="H2149">
        <v>18270.240000000002</v>
      </c>
      <c r="I2149">
        <v>39.68</v>
      </c>
      <c r="J2149" t="s">
        <v>120</v>
      </c>
      <c r="K2149" t="s">
        <v>10434</v>
      </c>
      <c r="L2149">
        <v>2.69</v>
      </c>
      <c r="M2149">
        <v>64.86</v>
      </c>
      <c r="N2149">
        <v>1.77</v>
      </c>
      <c r="O2149">
        <v>4.53</v>
      </c>
      <c r="P2149">
        <v>66.900000000000006</v>
      </c>
      <c r="Q2149">
        <v>-1.88</v>
      </c>
      <c r="R2149">
        <v>62.8</v>
      </c>
      <c r="S2149">
        <v>64</v>
      </c>
      <c r="T2149">
        <v>28065</v>
      </c>
      <c r="U2149">
        <v>64.88</v>
      </c>
      <c r="V2149">
        <v>64</v>
      </c>
      <c r="W2149">
        <v>90.59</v>
      </c>
      <c r="X2149" t="s">
        <v>2211</v>
      </c>
      <c r="Y2149" t="s">
        <v>319</v>
      </c>
      <c r="Z2149">
        <v>6.41</v>
      </c>
      <c r="AA2149">
        <v>65.099999999999994</v>
      </c>
      <c r="AB2149">
        <v>12717</v>
      </c>
      <c r="AC2149">
        <v>15348</v>
      </c>
      <c r="AD2149">
        <v>0.83</v>
      </c>
      <c r="AE2149">
        <v>9</v>
      </c>
      <c r="AF2149">
        <v>3</v>
      </c>
      <c r="AG2149" t="s">
        <v>120</v>
      </c>
      <c r="AH2149">
        <v>0.01</v>
      </c>
      <c r="AI2149" t="s">
        <v>120</v>
      </c>
      <c r="AJ2149">
        <v>1.04</v>
      </c>
      <c r="AK2149" t="s">
        <v>10435</v>
      </c>
      <c r="AL2149">
        <v>3.26</v>
      </c>
      <c r="AM2149">
        <v>2196</v>
      </c>
      <c r="AN2149">
        <v>13</v>
      </c>
      <c r="AO2149">
        <v>1.1999999999999999E-3</v>
      </c>
      <c r="AP2149">
        <v>1</v>
      </c>
      <c r="AQ2149">
        <v>-1.81</v>
      </c>
      <c r="AR2149">
        <v>6.33</v>
      </c>
      <c r="AS2149">
        <v>11.29</v>
      </c>
      <c r="AT2149">
        <v>35.659999999999997</v>
      </c>
      <c r="AU2149">
        <v>100.34</v>
      </c>
      <c r="AV2149">
        <v>0</v>
      </c>
      <c r="AW2149">
        <v>2.97</v>
      </c>
      <c r="AX2149">
        <v>49.72</v>
      </c>
      <c r="AY2149">
        <v>61.41</v>
      </c>
      <c r="AZ2149">
        <v>66.95</v>
      </c>
      <c r="BA2149">
        <v>0.63</v>
      </c>
      <c r="BB2149" t="s">
        <v>143</v>
      </c>
      <c r="BF2149">
        <v>1.72</v>
      </c>
      <c r="BG2149">
        <v>1.34</v>
      </c>
      <c r="BH2149">
        <v>-3.05</v>
      </c>
      <c r="BI2149">
        <v>3.28</v>
      </c>
      <c r="BJ2149">
        <v>20210828</v>
      </c>
      <c r="BK2149">
        <v>20191125</v>
      </c>
      <c r="BL2149">
        <v>1.9</v>
      </c>
      <c r="BM2149" t="s">
        <v>120</v>
      </c>
      <c r="BN2149" t="s">
        <v>120</v>
      </c>
      <c r="BO2149">
        <v>37.58</v>
      </c>
      <c r="BP2149">
        <v>64.86</v>
      </c>
      <c r="BQ2149">
        <v>13.21</v>
      </c>
      <c r="BR2149">
        <v>0.03</v>
      </c>
      <c r="BS2149">
        <v>64.77</v>
      </c>
      <c r="BT2149">
        <v>16.63</v>
      </c>
      <c r="BU2149">
        <v>6.1</v>
      </c>
      <c r="BV2149">
        <v>1.86</v>
      </c>
      <c r="BW2149">
        <v>17.239999999999998</v>
      </c>
      <c r="BX2149">
        <v>5.87</v>
      </c>
      <c r="BY2149">
        <v>2.41</v>
      </c>
      <c r="BZ2149">
        <v>6.43</v>
      </c>
      <c r="CA2149" t="s">
        <v>120</v>
      </c>
      <c r="CB2149">
        <v>5.22</v>
      </c>
      <c r="CC2149">
        <v>9.5299999999999994</v>
      </c>
      <c r="CD2149">
        <v>7.43</v>
      </c>
      <c r="CE2149">
        <v>0.8</v>
      </c>
      <c r="CF2149">
        <v>0</v>
      </c>
      <c r="CG2149">
        <v>0.8</v>
      </c>
      <c r="CH2149">
        <v>0.68</v>
      </c>
      <c r="CI2149">
        <v>0.68</v>
      </c>
      <c r="CJ2149">
        <v>0.86</v>
      </c>
      <c r="CK2149">
        <v>0.42</v>
      </c>
      <c r="CL2149">
        <v>6</v>
      </c>
      <c r="CM2149">
        <v>3.75</v>
      </c>
      <c r="CN2149">
        <v>-0.93</v>
      </c>
      <c r="CO2149">
        <v>8027</v>
      </c>
      <c r="CP2149">
        <v>11769</v>
      </c>
      <c r="CQ2149" t="s">
        <v>10436</v>
      </c>
      <c r="CR2149">
        <v>31.76</v>
      </c>
      <c r="CS2149">
        <v>40.75</v>
      </c>
      <c r="CT2149">
        <v>9.33</v>
      </c>
      <c r="CU2149">
        <v>32.869999999999997</v>
      </c>
      <c r="CV2149">
        <v>12.94</v>
      </c>
      <c r="CW2149">
        <v>0.2</v>
      </c>
      <c r="CX2149" t="s">
        <v>472</v>
      </c>
      <c r="CY2149">
        <v>6.95</v>
      </c>
      <c r="CZ2149">
        <v>0</v>
      </c>
      <c r="DA2149">
        <v>2.75</v>
      </c>
      <c r="DB2149">
        <v>3.16</v>
      </c>
      <c r="DC2149">
        <v>1.97</v>
      </c>
      <c r="DD2149">
        <v>35.15</v>
      </c>
      <c r="DE2149" t="s">
        <v>9427</v>
      </c>
      <c r="DF2149">
        <v>21.99</v>
      </c>
      <c r="DG2149">
        <v>8.3800000000000008</v>
      </c>
      <c r="DH2149">
        <v>7.14</v>
      </c>
      <c r="DI2149">
        <v>0.47</v>
      </c>
      <c r="DJ2149">
        <v>1104</v>
      </c>
      <c r="DK2149">
        <v>300806</v>
      </c>
      <c r="DL2149" t="s">
        <v>120</v>
      </c>
      <c r="DM2149" t="s">
        <v>120</v>
      </c>
      <c r="DN2149" t="s">
        <v>120</v>
      </c>
    </row>
    <row r="2150" spans="1:118">
      <c r="A2150" t="str">
        <f>"300807"</f>
        <v>300807</v>
      </c>
      <c r="B2150" t="s">
        <v>10437</v>
      </c>
      <c r="C2150">
        <v>-0.33</v>
      </c>
      <c r="D2150">
        <v>0</v>
      </c>
      <c r="E2150">
        <v>0.5</v>
      </c>
      <c r="F2150">
        <v>221</v>
      </c>
      <c r="G2150" t="s">
        <v>7221</v>
      </c>
      <c r="H2150">
        <v>3710.99</v>
      </c>
      <c r="I2150">
        <v>0</v>
      </c>
      <c r="J2150" t="s">
        <v>120</v>
      </c>
      <c r="K2150" t="s">
        <v>7221</v>
      </c>
      <c r="L2150">
        <v>5.17</v>
      </c>
      <c r="M2150">
        <v>23.98</v>
      </c>
      <c r="N2150">
        <v>0.53</v>
      </c>
      <c r="O2150">
        <v>3.33</v>
      </c>
      <c r="P2150">
        <v>24.86</v>
      </c>
      <c r="Q2150">
        <v>-0.33</v>
      </c>
      <c r="R2150">
        <v>23.98</v>
      </c>
      <c r="S2150">
        <v>24.18</v>
      </c>
      <c r="T2150">
        <v>15275</v>
      </c>
      <c r="U2150">
        <v>23.99</v>
      </c>
      <c r="V2150">
        <v>24.06</v>
      </c>
      <c r="W2150" t="s">
        <v>120</v>
      </c>
      <c r="X2150" t="s">
        <v>141</v>
      </c>
      <c r="Y2150" t="s">
        <v>645</v>
      </c>
      <c r="Z2150">
        <v>3.66</v>
      </c>
      <c r="AA2150">
        <v>24.3</v>
      </c>
      <c r="AB2150">
        <v>8077</v>
      </c>
      <c r="AC2150">
        <v>7198</v>
      </c>
      <c r="AD2150">
        <v>1.1200000000000001</v>
      </c>
      <c r="AE2150">
        <v>51</v>
      </c>
      <c r="AF2150">
        <v>15</v>
      </c>
      <c r="AG2150" t="s">
        <v>120</v>
      </c>
      <c r="AH2150">
        <v>0</v>
      </c>
      <c r="AI2150" t="s">
        <v>120</v>
      </c>
      <c r="AJ2150">
        <v>0.3</v>
      </c>
      <c r="AK2150" t="s">
        <v>10438</v>
      </c>
      <c r="AL2150">
        <v>1.58</v>
      </c>
      <c r="AM2150">
        <v>984</v>
      </c>
      <c r="AN2150">
        <v>16</v>
      </c>
      <c r="AO2150">
        <v>5.1999999999999998E-3</v>
      </c>
      <c r="AP2150">
        <v>-1</v>
      </c>
      <c r="AQ2150">
        <v>0.33</v>
      </c>
      <c r="AR2150">
        <v>-0.79</v>
      </c>
      <c r="AS2150">
        <v>-11.32</v>
      </c>
      <c r="AT2150">
        <v>-7.16</v>
      </c>
      <c r="AU2150">
        <v>-34.08</v>
      </c>
      <c r="AV2150">
        <v>4</v>
      </c>
      <c r="AW2150">
        <v>5.17</v>
      </c>
      <c r="AX2150">
        <v>43.58</v>
      </c>
      <c r="AY2150" t="s">
        <v>120</v>
      </c>
      <c r="AZ2150">
        <v>514.96</v>
      </c>
      <c r="BA2150">
        <v>0.88</v>
      </c>
      <c r="BB2150" t="s">
        <v>143</v>
      </c>
      <c r="BF2150">
        <v>0.98</v>
      </c>
      <c r="BG2150">
        <v>-0.83</v>
      </c>
      <c r="BH2150">
        <v>-3.54</v>
      </c>
      <c r="BI2150">
        <v>0</v>
      </c>
      <c r="BJ2150">
        <v>20210830</v>
      </c>
      <c r="BK2150">
        <v>20191219</v>
      </c>
      <c r="BL2150">
        <v>0.68</v>
      </c>
      <c r="BM2150" t="s">
        <v>120</v>
      </c>
      <c r="BN2150" t="s">
        <v>120</v>
      </c>
      <c r="BO2150">
        <v>7.18</v>
      </c>
      <c r="BP2150">
        <v>23.98</v>
      </c>
      <c r="BQ2150">
        <v>6.11</v>
      </c>
      <c r="BR2150">
        <v>0</v>
      </c>
      <c r="BS2150">
        <v>14.93</v>
      </c>
      <c r="BT2150">
        <v>4.6100000000000003</v>
      </c>
      <c r="BU2150">
        <v>1.47</v>
      </c>
      <c r="BV2150">
        <v>0.09</v>
      </c>
      <c r="BW2150">
        <v>1.06</v>
      </c>
      <c r="BX2150">
        <v>0.65</v>
      </c>
      <c r="BY2150">
        <v>1.35</v>
      </c>
      <c r="BZ2150">
        <v>1.4</v>
      </c>
      <c r="CA2150" t="s">
        <v>120</v>
      </c>
      <c r="CB2150">
        <v>3.58</v>
      </c>
      <c r="CC2150">
        <v>0.56000000000000005</v>
      </c>
      <c r="CD2150">
        <v>0.31</v>
      </c>
      <c r="CE2150">
        <v>-0.34</v>
      </c>
      <c r="CF2150">
        <v>0.01</v>
      </c>
      <c r="CG2150">
        <v>-0.33</v>
      </c>
      <c r="CH2150">
        <v>-0.27</v>
      </c>
      <c r="CI2150">
        <v>-0.27</v>
      </c>
      <c r="CJ2150">
        <v>-0.08</v>
      </c>
      <c r="CK2150">
        <v>-0.32</v>
      </c>
      <c r="CL2150">
        <v>1.58</v>
      </c>
      <c r="CM2150">
        <v>-0.45</v>
      </c>
      <c r="CN2150">
        <v>-0.26</v>
      </c>
      <c r="CO2150">
        <v>10596</v>
      </c>
      <c r="CP2150">
        <v>2791</v>
      </c>
      <c r="CQ2150" t="s">
        <v>4802</v>
      </c>
      <c r="CR2150">
        <v>-630.83000000000004</v>
      </c>
      <c r="CS2150">
        <v>-12.14</v>
      </c>
      <c r="CT2150">
        <v>2.66</v>
      </c>
      <c r="CU2150">
        <v>-36.4</v>
      </c>
      <c r="CV2150">
        <v>28.84</v>
      </c>
      <c r="CW2150">
        <v>0</v>
      </c>
      <c r="CX2150" t="s">
        <v>9305</v>
      </c>
      <c r="CY2150">
        <v>9</v>
      </c>
      <c r="CZ2150">
        <v>0</v>
      </c>
      <c r="DA2150">
        <v>5.27</v>
      </c>
      <c r="DB2150">
        <v>2.3199999999999998</v>
      </c>
      <c r="DC2150">
        <v>-0.66</v>
      </c>
      <c r="DD2150">
        <v>85.06</v>
      </c>
      <c r="DE2150" t="s">
        <v>10439</v>
      </c>
      <c r="DF2150">
        <v>44.17</v>
      </c>
      <c r="DG2150">
        <v>-59.88</v>
      </c>
      <c r="DH2150">
        <v>-47.51</v>
      </c>
      <c r="DI2150">
        <v>0.32</v>
      </c>
      <c r="DJ2150">
        <v>676</v>
      </c>
      <c r="DK2150">
        <v>300807</v>
      </c>
      <c r="DL2150" t="s">
        <v>120</v>
      </c>
      <c r="DM2150" t="s">
        <v>120</v>
      </c>
      <c r="DN2150" t="s">
        <v>120</v>
      </c>
    </row>
    <row r="2151" spans="1:118">
      <c r="A2151" t="str">
        <f>"300808"</f>
        <v>300808</v>
      </c>
      <c r="B2151" t="s">
        <v>10440</v>
      </c>
      <c r="C2151">
        <v>0.13</v>
      </c>
      <c r="D2151">
        <v>0</v>
      </c>
      <c r="E2151">
        <v>0</v>
      </c>
      <c r="F2151">
        <v>319</v>
      </c>
      <c r="G2151" t="s">
        <v>10441</v>
      </c>
      <c r="H2151">
        <v>2483.0500000000002</v>
      </c>
      <c r="I2151">
        <v>7.48</v>
      </c>
      <c r="J2151" t="s">
        <v>120</v>
      </c>
      <c r="K2151" t="s">
        <v>10441</v>
      </c>
      <c r="L2151">
        <v>3.34</v>
      </c>
      <c r="M2151">
        <v>14.97</v>
      </c>
      <c r="N2151">
        <v>1.1000000000000001</v>
      </c>
      <c r="O2151">
        <v>1.2</v>
      </c>
      <c r="P2151">
        <v>15.13</v>
      </c>
      <c r="Q2151">
        <v>-1</v>
      </c>
      <c r="R2151">
        <v>14.8</v>
      </c>
      <c r="S2151">
        <v>14.95</v>
      </c>
      <c r="T2151">
        <v>16585</v>
      </c>
      <c r="U2151">
        <v>14.98</v>
      </c>
      <c r="V2151">
        <v>14.95</v>
      </c>
      <c r="W2151">
        <v>65.61</v>
      </c>
      <c r="X2151" t="s">
        <v>205</v>
      </c>
      <c r="Y2151" t="s">
        <v>547</v>
      </c>
      <c r="Z2151">
        <v>2.21</v>
      </c>
      <c r="AA2151">
        <v>14.97</v>
      </c>
      <c r="AB2151">
        <v>8285</v>
      </c>
      <c r="AC2151">
        <v>8300</v>
      </c>
      <c r="AD2151">
        <v>1</v>
      </c>
      <c r="AE2151">
        <v>249</v>
      </c>
      <c r="AF2151">
        <v>1</v>
      </c>
      <c r="AG2151" t="s">
        <v>120</v>
      </c>
      <c r="AH2151">
        <v>0.01</v>
      </c>
      <c r="AI2151" t="s">
        <v>120</v>
      </c>
      <c r="AJ2151">
        <v>0.5</v>
      </c>
      <c r="AK2151" t="s">
        <v>10442</v>
      </c>
      <c r="AL2151">
        <v>2.0499999999999998</v>
      </c>
      <c r="AM2151">
        <v>1191</v>
      </c>
      <c r="AN2151">
        <v>14</v>
      </c>
      <c r="AO2151">
        <v>2.8E-3</v>
      </c>
      <c r="AP2151">
        <v>2</v>
      </c>
      <c r="AQ2151">
        <v>1.56</v>
      </c>
      <c r="AR2151">
        <v>1.62</v>
      </c>
      <c r="AS2151">
        <v>-1.51</v>
      </c>
      <c r="AT2151">
        <v>5.13</v>
      </c>
      <c r="AU2151">
        <v>-8.7799999999999994</v>
      </c>
      <c r="AV2151">
        <v>2</v>
      </c>
      <c r="AW2151">
        <v>3.34</v>
      </c>
      <c r="AX2151">
        <v>31</v>
      </c>
      <c r="AY2151">
        <v>67.569999999999993</v>
      </c>
      <c r="AZ2151">
        <v>62.39</v>
      </c>
      <c r="BA2151">
        <v>0.55000000000000004</v>
      </c>
      <c r="BB2151" t="s">
        <v>143</v>
      </c>
      <c r="BF2151">
        <v>0.15</v>
      </c>
      <c r="BG2151">
        <v>0.13</v>
      </c>
      <c r="BH2151">
        <v>-1.06</v>
      </c>
      <c r="BI2151">
        <v>1.1499999999999999</v>
      </c>
      <c r="BJ2151">
        <v>20210913</v>
      </c>
      <c r="BK2151">
        <v>20191129</v>
      </c>
      <c r="BL2151">
        <v>1.6</v>
      </c>
      <c r="BM2151" t="s">
        <v>120</v>
      </c>
      <c r="BN2151" t="s">
        <v>120</v>
      </c>
      <c r="BO2151">
        <v>14.02</v>
      </c>
      <c r="BP2151">
        <v>14.97</v>
      </c>
      <c r="BQ2151">
        <v>10.9</v>
      </c>
      <c r="BR2151">
        <v>0.03</v>
      </c>
      <c r="BS2151">
        <v>21.96</v>
      </c>
      <c r="BT2151">
        <v>6.94</v>
      </c>
      <c r="BU2151">
        <v>4.01</v>
      </c>
      <c r="BV2151">
        <v>1.08</v>
      </c>
      <c r="BW2151">
        <v>2.2200000000000002</v>
      </c>
      <c r="BX2151">
        <v>0.79</v>
      </c>
      <c r="BY2151">
        <v>1.93</v>
      </c>
      <c r="BZ2151">
        <v>3.08</v>
      </c>
      <c r="CA2151" t="s">
        <v>120</v>
      </c>
      <c r="CB2151">
        <v>5.5</v>
      </c>
      <c r="CC2151">
        <v>3.33</v>
      </c>
      <c r="CD2151">
        <v>2.63</v>
      </c>
      <c r="CE2151">
        <v>0.19</v>
      </c>
      <c r="CF2151">
        <v>0.01</v>
      </c>
      <c r="CG2151">
        <v>0.19</v>
      </c>
      <c r="CH2151">
        <v>0.18</v>
      </c>
      <c r="CI2151">
        <v>0.18</v>
      </c>
      <c r="CJ2151">
        <v>0.02</v>
      </c>
      <c r="CK2151">
        <v>0.17</v>
      </c>
      <c r="CL2151">
        <v>3.41</v>
      </c>
      <c r="CM2151">
        <v>-0.22</v>
      </c>
      <c r="CN2151">
        <v>-0.54</v>
      </c>
      <c r="CO2151">
        <v>16353</v>
      </c>
      <c r="CP2151">
        <v>3033</v>
      </c>
      <c r="CQ2151" t="s">
        <v>10443</v>
      </c>
      <c r="CR2151">
        <v>-13.88</v>
      </c>
      <c r="CS2151">
        <v>8.3800000000000008</v>
      </c>
      <c r="CT2151">
        <v>2.2000000000000002</v>
      </c>
      <c r="CU2151">
        <v>-109.91</v>
      </c>
      <c r="CV2151">
        <v>7.19</v>
      </c>
      <c r="CW2151">
        <v>0.2</v>
      </c>
      <c r="CX2151" t="s">
        <v>1147</v>
      </c>
      <c r="CY2151">
        <v>6.81</v>
      </c>
      <c r="CZ2151">
        <v>0</v>
      </c>
      <c r="DA2151">
        <v>3.44</v>
      </c>
      <c r="DB2151">
        <v>2.13</v>
      </c>
      <c r="DC2151">
        <v>-0.14000000000000001</v>
      </c>
      <c r="DD2151">
        <v>77.790000000000006</v>
      </c>
      <c r="DE2151" t="s">
        <v>662</v>
      </c>
      <c r="DF2151">
        <v>21.08</v>
      </c>
      <c r="DG2151">
        <v>5.59</v>
      </c>
      <c r="DH2151">
        <v>5.48</v>
      </c>
      <c r="DI2151">
        <v>0.12</v>
      </c>
      <c r="DJ2151">
        <v>821</v>
      </c>
      <c r="DK2151">
        <v>300808</v>
      </c>
      <c r="DL2151" t="s">
        <v>120</v>
      </c>
      <c r="DM2151" t="s">
        <v>120</v>
      </c>
      <c r="DN2151" t="s">
        <v>120</v>
      </c>
    </row>
    <row r="2152" spans="1:118">
      <c r="A2152" t="str">
        <f>"300809"</f>
        <v>300809</v>
      </c>
      <c r="B2152" t="s">
        <v>10444</v>
      </c>
      <c r="C2152">
        <v>5.77</v>
      </c>
      <c r="D2152">
        <v>0.05</v>
      </c>
      <c r="E2152">
        <v>-0.16</v>
      </c>
      <c r="F2152">
        <v>2330</v>
      </c>
      <c r="G2152" t="s">
        <v>9070</v>
      </c>
      <c r="H2152">
        <v>133901.54</v>
      </c>
      <c r="I2152">
        <v>853.5</v>
      </c>
      <c r="J2152" t="s">
        <v>120</v>
      </c>
      <c r="K2152" t="s">
        <v>9070</v>
      </c>
      <c r="L2152">
        <v>49.11</v>
      </c>
      <c r="M2152">
        <v>60.28</v>
      </c>
      <c r="N2152">
        <v>1.19</v>
      </c>
      <c r="O2152">
        <v>14</v>
      </c>
      <c r="P2152">
        <v>64.97</v>
      </c>
      <c r="Q2152">
        <v>-5.42</v>
      </c>
      <c r="R2152">
        <v>53.9</v>
      </c>
      <c r="S2152">
        <v>56.9</v>
      </c>
      <c r="T2152">
        <v>223411</v>
      </c>
      <c r="U2152">
        <v>60.29</v>
      </c>
      <c r="V2152">
        <v>56.99</v>
      </c>
      <c r="W2152">
        <v>74.08</v>
      </c>
      <c r="X2152" t="s">
        <v>2161</v>
      </c>
      <c r="Y2152" t="s">
        <v>319</v>
      </c>
      <c r="Z2152">
        <v>19.420000000000002</v>
      </c>
      <c r="AA2152">
        <v>59.94</v>
      </c>
      <c r="AB2152">
        <v>105867</v>
      </c>
      <c r="AC2152">
        <v>117544</v>
      </c>
      <c r="AD2152">
        <v>0.9</v>
      </c>
      <c r="AE2152">
        <v>1186</v>
      </c>
      <c r="AF2152">
        <v>3</v>
      </c>
      <c r="AG2152" t="s">
        <v>120</v>
      </c>
      <c r="AH2152">
        <v>0.33</v>
      </c>
      <c r="AI2152" t="s">
        <v>120</v>
      </c>
      <c r="AJ2152">
        <v>0.45</v>
      </c>
      <c r="AK2152" t="s">
        <v>10445</v>
      </c>
      <c r="AL2152">
        <v>7.69</v>
      </c>
      <c r="AM2152">
        <v>4607</v>
      </c>
      <c r="AN2152">
        <v>48</v>
      </c>
      <c r="AO2152">
        <v>1.0699999999999999E-2</v>
      </c>
      <c r="AP2152">
        <v>1</v>
      </c>
      <c r="AQ2152">
        <v>-1.4</v>
      </c>
      <c r="AR2152">
        <v>24.96</v>
      </c>
      <c r="AS2152">
        <v>138.07</v>
      </c>
      <c r="AT2152">
        <v>210.88</v>
      </c>
      <c r="AU2152">
        <v>245.85</v>
      </c>
      <c r="AV2152">
        <v>6</v>
      </c>
      <c r="AW2152">
        <v>49.11</v>
      </c>
      <c r="AX2152">
        <v>28.99</v>
      </c>
      <c r="AY2152">
        <v>83.91</v>
      </c>
      <c r="AZ2152">
        <v>266.61</v>
      </c>
      <c r="BA2152">
        <v>0.34</v>
      </c>
      <c r="BB2152" t="s">
        <v>143</v>
      </c>
      <c r="BF2152">
        <v>5.17</v>
      </c>
      <c r="BG2152">
        <v>5.94</v>
      </c>
      <c r="BH2152">
        <v>-7.22</v>
      </c>
      <c r="BI2152">
        <v>11.84</v>
      </c>
      <c r="BJ2152">
        <v>20210824</v>
      </c>
      <c r="BK2152">
        <v>20191204</v>
      </c>
      <c r="BL2152">
        <v>1.57</v>
      </c>
      <c r="BM2152" t="s">
        <v>120</v>
      </c>
      <c r="BN2152" t="s">
        <v>120</v>
      </c>
      <c r="BO2152">
        <v>18.53</v>
      </c>
      <c r="BP2152">
        <v>60.28</v>
      </c>
      <c r="BQ2152">
        <v>14.24</v>
      </c>
      <c r="BR2152">
        <v>0.03</v>
      </c>
      <c r="BS2152">
        <v>22.98</v>
      </c>
      <c r="BT2152">
        <v>15.95</v>
      </c>
      <c r="BU2152">
        <v>1.9</v>
      </c>
      <c r="BV2152">
        <v>0.21</v>
      </c>
      <c r="BW2152">
        <v>3.63</v>
      </c>
      <c r="BX2152">
        <v>2.35</v>
      </c>
      <c r="BY2152">
        <v>2.2999999999999998</v>
      </c>
      <c r="BZ2152">
        <v>0.99</v>
      </c>
      <c r="CA2152" t="s">
        <v>120</v>
      </c>
      <c r="CB2152">
        <v>9.08</v>
      </c>
      <c r="CC2152">
        <v>2.5099999999999998</v>
      </c>
      <c r="CD2152">
        <v>1.5</v>
      </c>
      <c r="CE2152">
        <v>0.76</v>
      </c>
      <c r="CF2152">
        <v>0.06</v>
      </c>
      <c r="CG2152">
        <v>0.76</v>
      </c>
      <c r="CH2152">
        <v>0.66</v>
      </c>
      <c r="CI2152">
        <v>0.64</v>
      </c>
      <c r="CJ2152">
        <v>3.29</v>
      </c>
      <c r="CK2152">
        <v>0.56000000000000005</v>
      </c>
      <c r="CL2152">
        <v>3.06</v>
      </c>
      <c r="CM2152">
        <v>0.21</v>
      </c>
      <c r="CN2152">
        <v>0.05</v>
      </c>
      <c r="CO2152">
        <v>14359</v>
      </c>
      <c r="CP2152">
        <v>3168</v>
      </c>
      <c r="CQ2152" t="s">
        <v>10446</v>
      </c>
      <c r="CR2152">
        <v>794.38</v>
      </c>
      <c r="CS2152">
        <v>503.48</v>
      </c>
      <c r="CT2152">
        <v>6.64</v>
      </c>
      <c r="CU2152">
        <v>441.71</v>
      </c>
      <c r="CV2152">
        <v>37.65</v>
      </c>
      <c r="CW2152">
        <v>0.35</v>
      </c>
      <c r="CX2152" t="s">
        <v>803</v>
      </c>
      <c r="CY2152">
        <v>9.07</v>
      </c>
      <c r="CZ2152">
        <v>0</v>
      </c>
      <c r="DA2152">
        <v>5.79</v>
      </c>
      <c r="DB2152">
        <v>1.95</v>
      </c>
      <c r="DC2152">
        <v>0.14000000000000001</v>
      </c>
      <c r="DD2152">
        <v>76.849999999999994</v>
      </c>
      <c r="DE2152" t="s">
        <v>7019</v>
      </c>
      <c r="DF2152">
        <v>40.119999999999997</v>
      </c>
      <c r="DG2152">
        <v>30.37</v>
      </c>
      <c r="DH2152">
        <v>25.41</v>
      </c>
      <c r="DI2152">
        <v>0.11</v>
      </c>
      <c r="DJ2152">
        <v>479</v>
      </c>
      <c r="DK2152">
        <v>300809</v>
      </c>
      <c r="DL2152">
        <v>20210819</v>
      </c>
      <c r="DM2152">
        <v>25.32</v>
      </c>
      <c r="DN2152">
        <v>138.07</v>
      </c>
    </row>
    <row r="2153" spans="1:118">
      <c r="A2153" t="str">
        <f>"300810"</f>
        <v>300810</v>
      </c>
      <c r="B2153" t="s">
        <v>10447</v>
      </c>
      <c r="C2153">
        <v>6.06</v>
      </c>
      <c r="D2153">
        <v>0</v>
      </c>
      <c r="E2153">
        <v>0.37</v>
      </c>
      <c r="F2153">
        <v>470</v>
      </c>
      <c r="G2153" t="s">
        <v>1315</v>
      </c>
      <c r="H2153">
        <v>18019.79</v>
      </c>
      <c r="I2153">
        <v>25.88</v>
      </c>
      <c r="J2153" t="s">
        <v>120</v>
      </c>
      <c r="K2153" t="s">
        <v>10448</v>
      </c>
      <c r="L2153">
        <v>8.99</v>
      </c>
      <c r="M2153">
        <v>25.56</v>
      </c>
      <c r="N2153">
        <v>3.33</v>
      </c>
      <c r="O2153">
        <v>9.83</v>
      </c>
      <c r="P2153">
        <v>26.47</v>
      </c>
      <c r="Q2153">
        <v>0.04</v>
      </c>
      <c r="R2153">
        <v>24.11</v>
      </c>
      <c r="S2153">
        <v>24.19</v>
      </c>
      <c r="T2153">
        <v>70232</v>
      </c>
      <c r="U2153">
        <v>25.56</v>
      </c>
      <c r="V2153">
        <v>24.1</v>
      </c>
      <c r="W2153">
        <v>99.71</v>
      </c>
      <c r="X2153" t="s">
        <v>141</v>
      </c>
      <c r="Y2153" t="s">
        <v>158</v>
      </c>
      <c r="Z2153">
        <v>9.7899999999999991</v>
      </c>
      <c r="AA2153">
        <v>25.66</v>
      </c>
      <c r="AB2153">
        <v>26106</v>
      </c>
      <c r="AC2153">
        <v>44126</v>
      </c>
      <c r="AD2153">
        <v>0.59</v>
      </c>
      <c r="AE2153">
        <v>36</v>
      </c>
      <c r="AF2153">
        <v>520</v>
      </c>
      <c r="AG2153" t="s">
        <v>120</v>
      </c>
      <c r="AH2153">
        <v>0.02</v>
      </c>
      <c r="AI2153" t="s">
        <v>120</v>
      </c>
      <c r="AJ2153">
        <v>0.78</v>
      </c>
      <c r="AK2153" t="s">
        <v>10449</v>
      </c>
      <c r="AL2153">
        <v>7.97</v>
      </c>
      <c r="AM2153">
        <v>2548</v>
      </c>
      <c r="AN2153">
        <v>28</v>
      </c>
      <c r="AO2153">
        <v>3.5000000000000001E-3</v>
      </c>
      <c r="AP2153">
        <v>1</v>
      </c>
      <c r="AQ2153">
        <v>-2.5099999999999998</v>
      </c>
      <c r="AR2153">
        <v>3.82</v>
      </c>
      <c r="AS2153">
        <v>-7.42</v>
      </c>
      <c r="AT2153">
        <v>-0.55000000000000004</v>
      </c>
      <c r="AU2153">
        <v>2.38</v>
      </c>
      <c r="AV2153">
        <v>0</v>
      </c>
      <c r="AW2153">
        <v>13.05</v>
      </c>
      <c r="AX2153">
        <v>45.6</v>
      </c>
      <c r="AY2153">
        <v>62.59</v>
      </c>
      <c r="AZ2153">
        <v>134.13999999999999</v>
      </c>
      <c r="BA2153">
        <v>0.44</v>
      </c>
      <c r="BB2153" t="s">
        <v>134</v>
      </c>
      <c r="BF2153">
        <v>6.46</v>
      </c>
      <c r="BG2153">
        <v>5.66</v>
      </c>
      <c r="BH2153">
        <v>-3.44</v>
      </c>
      <c r="BI2153">
        <v>6.01</v>
      </c>
      <c r="BJ2153">
        <v>20210903</v>
      </c>
      <c r="BK2153">
        <v>20191206</v>
      </c>
      <c r="BL2153">
        <v>1.18</v>
      </c>
      <c r="BM2153" t="s">
        <v>120</v>
      </c>
      <c r="BN2153" t="s">
        <v>120</v>
      </c>
      <c r="BO2153">
        <v>11.36</v>
      </c>
      <c r="BP2153">
        <v>25.55</v>
      </c>
      <c r="BQ2153">
        <v>10.210000000000001</v>
      </c>
      <c r="BR2153">
        <v>0.01</v>
      </c>
      <c r="BS2153">
        <v>10.02</v>
      </c>
      <c r="BT2153">
        <v>10.29</v>
      </c>
      <c r="BU2153">
        <v>0.38</v>
      </c>
      <c r="BV2153">
        <v>0.09</v>
      </c>
      <c r="BW2153">
        <v>0.93</v>
      </c>
      <c r="BX2153">
        <v>4.34</v>
      </c>
      <c r="BY2153">
        <v>1.31</v>
      </c>
      <c r="BZ2153">
        <v>4.07</v>
      </c>
      <c r="CA2153" t="s">
        <v>120</v>
      </c>
      <c r="CB2153">
        <v>6.71</v>
      </c>
      <c r="CC2153">
        <v>1.1200000000000001</v>
      </c>
      <c r="CD2153">
        <v>0.41</v>
      </c>
      <c r="CE2153">
        <v>0.16</v>
      </c>
      <c r="CF2153">
        <v>0.01</v>
      </c>
      <c r="CG2153">
        <v>0.19</v>
      </c>
      <c r="CH2153">
        <v>0.16</v>
      </c>
      <c r="CI2153">
        <v>0.15</v>
      </c>
      <c r="CJ2153">
        <v>1.46</v>
      </c>
      <c r="CK2153">
        <v>0.11</v>
      </c>
      <c r="CL2153">
        <v>2.4300000000000002</v>
      </c>
      <c r="CM2153">
        <v>-0.22</v>
      </c>
      <c r="CN2153">
        <v>2</v>
      </c>
      <c r="CO2153">
        <v>15348</v>
      </c>
      <c r="CP2153">
        <v>3507</v>
      </c>
      <c r="CQ2153" t="s">
        <v>4666</v>
      </c>
      <c r="CR2153">
        <v>266.01</v>
      </c>
      <c r="CS2153">
        <v>263.83999999999997</v>
      </c>
      <c r="CT2153">
        <v>2.95</v>
      </c>
      <c r="CU2153">
        <v>-135.77000000000001</v>
      </c>
      <c r="CV2153">
        <v>27.04</v>
      </c>
      <c r="CW2153">
        <v>0.14000000000000001</v>
      </c>
      <c r="CX2153" t="s">
        <v>10450</v>
      </c>
      <c r="CY2153">
        <v>8.65</v>
      </c>
      <c r="CZ2153">
        <v>0</v>
      </c>
      <c r="DA2153">
        <v>5.69</v>
      </c>
      <c r="DB2153">
        <v>2.06</v>
      </c>
      <c r="DC2153">
        <v>-0.19</v>
      </c>
      <c r="DD2153">
        <v>89.91</v>
      </c>
      <c r="DE2153" t="s">
        <v>680</v>
      </c>
      <c r="DF2153">
        <v>63.64</v>
      </c>
      <c r="DG2153">
        <v>14.01</v>
      </c>
      <c r="DH2153">
        <v>13.56</v>
      </c>
      <c r="DI2153">
        <v>0.22</v>
      </c>
      <c r="DJ2153">
        <v>243</v>
      </c>
      <c r="DK2153">
        <v>300810</v>
      </c>
      <c r="DL2153" t="s">
        <v>120</v>
      </c>
      <c r="DM2153" t="s">
        <v>120</v>
      </c>
      <c r="DN2153" t="s">
        <v>120</v>
      </c>
    </row>
    <row r="2154" spans="1:118">
      <c r="A2154" t="str">
        <f>"300811"</f>
        <v>300811</v>
      </c>
      <c r="B2154" t="s">
        <v>10451</v>
      </c>
      <c r="C2154">
        <v>-4.66</v>
      </c>
      <c r="D2154">
        <v>-0.11</v>
      </c>
      <c r="E2154">
        <v>1.24</v>
      </c>
      <c r="F2154">
        <v>141</v>
      </c>
      <c r="G2154" t="s">
        <v>6406</v>
      </c>
      <c r="H2154">
        <v>7689.65</v>
      </c>
      <c r="I2154">
        <v>68.81</v>
      </c>
      <c r="J2154" t="s">
        <v>120</v>
      </c>
      <c r="K2154" t="s">
        <v>10452</v>
      </c>
      <c r="L2154">
        <v>1.84</v>
      </c>
      <c r="M2154">
        <v>81</v>
      </c>
      <c r="N2154">
        <v>0.63</v>
      </c>
      <c r="O2154">
        <v>1.46</v>
      </c>
      <c r="P2154">
        <v>86.2</v>
      </c>
      <c r="Q2154">
        <v>-4.78</v>
      </c>
      <c r="R2154">
        <v>80.900000000000006</v>
      </c>
      <c r="S2154">
        <v>86.01</v>
      </c>
      <c r="T2154">
        <v>9309</v>
      </c>
      <c r="U2154">
        <v>81</v>
      </c>
      <c r="V2154">
        <v>84.96</v>
      </c>
      <c r="W2154">
        <v>80.13</v>
      </c>
      <c r="X2154" t="s">
        <v>229</v>
      </c>
      <c r="Y2154" t="s">
        <v>123</v>
      </c>
      <c r="Z2154">
        <v>6.24</v>
      </c>
      <c r="AA2154">
        <v>82.6</v>
      </c>
      <c r="AB2154">
        <v>5836</v>
      </c>
      <c r="AC2154">
        <v>3473</v>
      </c>
      <c r="AD2154">
        <v>1.68</v>
      </c>
      <c r="AE2154">
        <v>25</v>
      </c>
      <c r="AF2154">
        <v>14</v>
      </c>
      <c r="AG2154" t="s">
        <v>120</v>
      </c>
      <c r="AH2154">
        <v>0.02</v>
      </c>
      <c r="AI2154" t="s">
        <v>120</v>
      </c>
      <c r="AJ2154">
        <v>0.5</v>
      </c>
      <c r="AK2154" t="s">
        <v>9143</v>
      </c>
      <c r="AL2154">
        <v>-2.75</v>
      </c>
      <c r="AM2154">
        <v>1581</v>
      </c>
      <c r="AN2154">
        <v>6</v>
      </c>
      <c r="AO2154">
        <v>1.1999999999999999E-3</v>
      </c>
      <c r="AP2154">
        <v>-1</v>
      </c>
      <c r="AQ2154">
        <v>5.92</v>
      </c>
      <c r="AR2154">
        <v>-4.74</v>
      </c>
      <c r="AS2154">
        <v>-3.69</v>
      </c>
      <c r="AT2154">
        <v>45.03</v>
      </c>
      <c r="AU2154">
        <v>99.48</v>
      </c>
      <c r="AV2154">
        <v>1</v>
      </c>
      <c r="AW2154">
        <v>2.2799999999999998</v>
      </c>
      <c r="AX2154">
        <v>39.4</v>
      </c>
      <c r="AY2154">
        <v>74.400000000000006</v>
      </c>
      <c r="AZ2154">
        <v>82.69</v>
      </c>
      <c r="BA2154">
        <v>1.1000000000000001</v>
      </c>
      <c r="BB2154" t="s">
        <v>143</v>
      </c>
      <c r="BF2154">
        <v>-2.78</v>
      </c>
      <c r="BG2154">
        <v>-5.82</v>
      </c>
      <c r="BH2154">
        <v>-6.03</v>
      </c>
      <c r="BI2154">
        <v>0.12</v>
      </c>
      <c r="BJ2154">
        <v>20210902</v>
      </c>
      <c r="BK2154">
        <v>20191230</v>
      </c>
      <c r="BL2154">
        <v>1.04</v>
      </c>
      <c r="BM2154" t="s">
        <v>120</v>
      </c>
      <c r="BN2154" t="s">
        <v>120</v>
      </c>
      <c r="BO2154">
        <v>11.37</v>
      </c>
      <c r="BP2154">
        <v>80.989999999999995</v>
      </c>
      <c r="BQ2154">
        <v>9.0399999999999991</v>
      </c>
      <c r="BR2154" t="s">
        <v>120</v>
      </c>
      <c r="BS2154">
        <v>20.45</v>
      </c>
      <c r="BT2154">
        <v>7.37</v>
      </c>
      <c r="BU2154">
        <v>2.37</v>
      </c>
      <c r="BV2154">
        <v>0.35</v>
      </c>
      <c r="BW2154">
        <v>1.7</v>
      </c>
      <c r="BX2154">
        <v>1.76</v>
      </c>
      <c r="BY2154">
        <v>0.72</v>
      </c>
      <c r="BZ2154">
        <v>2.23</v>
      </c>
      <c r="CA2154" t="s">
        <v>120</v>
      </c>
      <c r="CB2154">
        <v>3.8</v>
      </c>
      <c r="CC2154">
        <v>3.18</v>
      </c>
      <c r="CD2154">
        <v>2.09</v>
      </c>
      <c r="CE2154">
        <v>0.64</v>
      </c>
      <c r="CF2154">
        <v>0.02</v>
      </c>
      <c r="CG2154">
        <v>0.62</v>
      </c>
      <c r="CH2154">
        <v>0.52</v>
      </c>
      <c r="CI2154">
        <v>0.52</v>
      </c>
      <c r="CJ2154">
        <v>-3.96</v>
      </c>
      <c r="CK2154">
        <v>0.5</v>
      </c>
      <c r="CL2154">
        <v>3.91</v>
      </c>
      <c r="CM2154">
        <v>-0.08</v>
      </c>
      <c r="CN2154">
        <v>-0.36</v>
      </c>
      <c r="CO2154">
        <v>9426</v>
      </c>
      <c r="CP2154">
        <v>4334</v>
      </c>
      <c r="CQ2154" t="s">
        <v>10453</v>
      </c>
      <c r="CR2154">
        <v>29.27</v>
      </c>
      <c r="CS2154">
        <v>62.23</v>
      </c>
      <c r="CT2154">
        <v>9.2899999999999991</v>
      </c>
      <c r="CU2154">
        <v>-1061.9100000000001</v>
      </c>
      <c r="CV2154">
        <v>26.38</v>
      </c>
      <c r="CW2154">
        <v>0.18</v>
      </c>
      <c r="CX2154" t="s">
        <v>1001</v>
      </c>
      <c r="CY2154">
        <v>8.7200000000000006</v>
      </c>
      <c r="CZ2154">
        <v>0</v>
      </c>
      <c r="DA2154">
        <v>3.67</v>
      </c>
      <c r="DB2154">
        <v>3.77</v>
      </c>
      <c r="DC2154">
        <v>-0.08</v>
      </c>
      <c r="DD2154">
        <v>79.55</v>
      </c>
      <c r="DE2154" t="s">
        <v>2841</v>
      </c>
      <c r="DF2154">
        <v>34.26</v>
      </c>
      <c r="DG2154">
        <v>20.07</v>
      </c>
      <c r="DH2154">
        <v>16.46</v>
      </c>
      <c r="DI2154">
        <v>0.15</v>
      </c>
      <c r="DJ2154">
        <v>886</v>
      </c>
      <c r="DK2154">
        <v>300811</v>
      </c>
      <c r="DL2154" t="s">
        <v>120</v>
      </c>
      <c r="DM2154" t="s">
        <v>120</v>
      </c>
      <c r="DN2154" t="s">
        <v>120</v>
      </c>
    </row>
    <row r="2155" spans="1:118">
      <c r="A2155" t="str">
        <f>"300812"</f>
        <v>300812</v>
      </c>
      <c r="B2155" t="s">
        <v>10454</v>
      </c>
      <c r="C2155">
        <v>-1.3</v>
      </c>
      <c r="D2155">
        <v>-0.08</v>
      </c>
      <c r="E2155">
        <v>0</v>
      </c>
      <c r="F2155">
        <v>217</v>
      </c>
      <c r="G2155" t="s">
        <v>10455</v>
      </c>
      <c r="H2155">
        <v>3382.33</v>
      </c>
      <c r="I2155">
        <v>10.11</v>
      </c>
      <c r="J2155" t="s">
        <v>120</v>
      </c>
      <c r="K2155" t="s">
        <v>10456</v>
      </c>
      <c r="L2155">
        <v>2.6</v>
      </c>
      <c r="M2155">
        <v>21.22</v>
      </c>
      <c r="N2155">
        <v>0.73</v>
      </c>
      <c r="O2155">
        <v>1.81</v>
      </c>
      <c r="P2155">
        <v>21.89</v>
      </c>
      <c r="Q2155">
        <v>-1.3</v>
      </c>
      <c r="R2155">
        <v>21.22</v>
      </c>
      <c r="S2155">
        <v>21.5</v>
      </c>
      <c r="T2155">
        <v>15718</v>
      </c>
      <c r="U2155">
        <v>21.23</v>
      </c>
      <c r="V2155">
        <v>21.5</v>
      </c>
      <c r="W2155">
        <v>30.81</v>
      </c>
      <c r="X2155" t="s">
        <v>675</v>
      </c>
      <c r="Y2155" t="s">
        <v>123</v>
      </c>
      <c r="Z2155">
        <v>3.12</v>
      </c>
      <c r="AA2155">
        <v>21.52</v>
      </c>
      <c r="AB2155">
        <v>11040</v>
      </c>
      <c r="AC2155">
        <v>4678</v>
      </c>
      <c r="AD2155">
        <v>2.36</v>
      </c>
      <c r="AE2155">
        <v>11</v>
      </c>
      <c r="AF2155">
        <v>8</v>
      </c>
      <c r="AG2155" t="s">
        <v>120</v>
      </c>
      <c r="AH2155">
        <v>0.01</v>
      </c>
      <c r="AI2155" t="s">
        <v>120</v>
      </c>
      <c r="AJ2155">
        <v>0.61</v>
      </c>
      <c r="AK2155" t="s">
        <v>10457</v>
      </c>
      <c r="AL2155">
        <v>0.61</v>
      </c>
      <c r="AM2155">
        <v>1134</v>
      </c>
      <c r="AN2155">
        <v>14</v>
      </c>
      <c r="AO2155">
        <v>2.3E-3</v>
      </c>
      <c r="AP2155">
        <v>-1</v>
      </c>
      <c r="AQ2155">
        <v>0.61</v>
      </c>
      <c r="AR2155">
        <v>-2.88</v>
      </c>
      <c r="AS2155">
        <v>-18.07</v>
      </c>
      <c r="AT2155">
        <v>-17.11</v>
      </c>
      <c r="AU2155">
        <v>0.25</v>
      </c>
      <c r="AV2155">
        <v>2</v>
      </c>
      <c r="AW2155">
        <v>2.97</v>
      </c>
      <c r="AX2155">
        <v>37.9</v>
      </c>
      <c r="AY2155">
        <v>41.11</v>
      </c>
      <c r="AZ2155">
        <v>50.88</v>
      </c>
      <c r="BA2155">
        <v>1.22</v>
      </c>
      <c r="BB2155" t="s">
        <v>143</v>
      </c>
      <c r="BF2155">
        <v>0.09</v>
      </c>
      <c r="BG2155">
        <v>-1.3</v>
      </c>
      <c r="BH2155">
        <v>-3.06</v>
      </c>
      <c r="BI2155">
        <v>0</v>
      </c>
      <c r="BJ2155">
        <v>20210827</v>
      </c>
      <c r="BK2155">
        <v>20200109</v>
      </c>
      <c r="BL2155">
        <v>1.4</v>
      </c>
      <c r="BM2155" t="s">
        <v>120</v>
      </c>
      <c r="BN2155" t="s">
        <v>120</v>
      </c>
      <c r="BO2155">
        <v>13.67</v>
      </c>
      <c r="BP2155">
        <v>21.22</v>
      </c>
      <c r="BQ2155">
        <v>8.0399999999999991</v>
      </c>
      <c r="BR2155">
        <v>0.04</v>
      </c>
      <c r="BS2155">
        <v>40.880000000000003</v>
      </c>
      <c r="BT2155">
        <v>11.63</v>
      </c>
      <c r="BU2155">
        <v>1.46</v>
      </c>
      <c r="BV2155">
        <v>0.18</v>
      </c>
      <c r="BW2155">
        <v>5.35</v>
      </c>
      <c r="BX2155">
        <v>3.95</v>
      </c>
      <c r="BY2155">
        <v>4.43</v>
      </c>
      <c r="BZ2155">
        <v>1.9</v>
      </c>
      <c r="CA2155" t="s">
        <v>120</v>
      </c>
      <c r="CB2155">
        <v>3.73</v>
      </c>
      <c r="CC2155">
        <v>2.08</v>
      </c>
      <c r="CD2155">
        <v>1.06</v>
      </c>
      <c r="CE2155">
        <v>0.51</v>
      </c>
      <c r="CF2155">
        <v>0</v>
      </c>
      <c r="CG2155">
        <v>0.54</v>
      </c>
      <c r="CH2155">
        <v>0.48</v>
      </c>
      <c r="CI2155">
        <v>0.48</v>
      </c>
      <c r="CJ2155">
        <v>-0.28000000000000003</v>
      </c>
      <c r="CK2155">
        <v>0.41</v>
      </c>
      <c r="CL2155">
        <v>2.62</v>
      </c>
      <c r="CM2155">
        <v>-0.37</v>
      </c>
      <c r="CN2155">
        <v>-0.76</v>
      </c>
      <c r="CO2155">
        <v>12900</v>
      </c>
      <c r="CP2155">
        <v>4099</v>
      </c>
      <c r="CQ2155" t="s">
        <v>6489</v>
      </c>
      <c r="CR2155">
        <v>41.19</v>
      </c>
      <c r="CS2155">
        <v>2.2200000000000002</v>
      </c>
      <c r="CT2155">
        <v>3.68</v>
      </c>
      <c r="CU2155">
        <v>-79.650000000000006</v>
      </c>
      <c r="CV2155">
        <v>14.22</v>
      </c>
      <c r="CW2155">
        <v>0.39</v>
      </c>
      <c r="CX2155" t="s">
        <v>1574</v>
      </c>
      <c r="CY2155">
        <v>5.76</v>
      </c>
      <c r="CZ2155">
        <v>0</v>
      </c>
      <c r="DA2155">
        <v>2.67</v>
      </c>
      <c r="DB2155">
        <v>1.88</v>
      </c>
      <c r="DC2155">
        <v>-0.27</v>
      </c>
      <c r="DD2155">
        <v>58.83</v>
      </c>
      <c r="DE2155" t="s">
        <v>580</v>
      </c>
      <c r="DF2155">
        <v>48.97</v>
      </c>
      <c r="DG2155">
        <v>24.62</v>
      </c>
      <c r="DH2155">
        <v>23.07</v>
      </c>
      <c r="DI2155">
        <v>0.2</v>
      </c>
      <c r="DJ2155">
        <v>602</v>
      </c>
      <c r="DK2155">
        <v>300812</v>
      </c>
      <c r="DL2155" t="s">
        <v>120</v>
      </c>
      <c r="DM2155" t="s">
        <v>120</v>
      </c>
      <c r="DN2155" t="s">
        <v>120</v>
      </c>
    </row>
    <row r="2156" spans="1:118">
      <c r="A2156" t="str">
        <f>"300813"</f>
        <v>300813</v>
      </c>
      <c r="B2156" t="s">
        <v>10458</v>
      </c>
      <c r="C2156">
        <v>2.6</v>
      </c>
      <c r="D2156">
        <v>0.12</v>
      </c>
      <c r="E2156">
        <v>0.11</v>
      </c>
      <c r="F2156">
        <v>181</v>
      </c>
      <c r="G2156" t="s">
        <v>10459</v>
      </c>
      <c r="H2156">
        <v>11583.63</v>
      </c>
      <c r="I2156">
        <v>8.98</v>
      </c>
      <c r="J2156" t="s">
        <v>120</v>
      </c>
      <c r="K2156" t="s">
        <v>10459</v>
      </c>
      <c r="L2156">
        <v>9.2200000000000006</v>
      </c>
      <c r="M2156">
        <v>76.69</v>
      </c>
      <c r="N2156">
        <v>1.18</v>
      </c>
      <c r="O2156">
        <v>8.36</v>
      </c>
      <c r="P2156">
        <v>81</v>
      </c>
      <c r="Q2156">
        <v>-2.88</v>
      </c>
      <c r="R2156">
        <v>72.599999999999994</v>
      </c>
      <c r="S2156">
        <v>74.83</v>
      </c>
      <c r="T2156">
        <v>15001</v>
      </c>
      <c r="U2156">
        <v>76.7</v>
      </c>
      <c r="V2156">
        <v>74.75</v>
      </c>
      <c r="W2156">
        <v>72.06</v>
      </c>
      <c r="X2156" t="s">
        <v>555</v>
      </c>
      <c r="Y2156" t="s">
        <v>585</v>
      </c>
      <c r="Z2156">
        <v>11.24</v>
      </c>
      <c r="AA2156">
        <v>77.22</v>
      </c>
      <c r="AB2156">
        <v>7560</v>
      </c>
      <c r="AC2156">
        <v>7441</v>
      </c>
      <c r="AD2156">
        <v>1.02</v>
      </c>
      <c r="AE2156">
        <v>8</v>
      </c>
      <c r="AF2156">
        <v>3</v>
      </c>
      <c r="AG2156" t="s">
        <v>120</v>
      </c>
      <c r="AH2156">
        <v>0.01</v>
      </c>
      <c r="AI2156" t="s">
        <v>120</v>
      </c>
      <c r="AJ2156">
        <v>0.16</v>
      </c>
      <c r="AK2156" t="s">
        <v>10185</v>
      </c>
      <c r="AL2156">
        <v>4.51</v>
      </c>
      <c r="AM2156">
        <v>1894</v>
      </c>
      <c r="AN2156">
        <v>8</v>
      </c>
      <c r="AO2156">
        <v>4.8999999999999998E-3</v>
      </c>
      <c r="AP2156">
        <v>1</v>
      </c>
      <c r="AQ2156">
        <v>-3.36</v>
      </c>
      <c r="AR2156">
        <v>1.5</v>
      </c>
      <c r="AS2156">
        <v>18.78</v>
      </c>
      <c r="AT2156">
        <v>61.12</v>
      </c>
      <c r="AU2156">
        <v>56.77</v>
      </c>
      <c r="AV2156">
        <v>3</v>
      </c>
      <c r="AW2156">
        <v>9.2200000000000006</v>
      </c>
      <c r="AX2156">
        <v>31.32</v>
      </c>
      <c r="AY2156">
        <v>67.28</v>
      </c>
      <c r="AZ2156">
        <v>80.290000000000006</v>
      </c>
      <c r="BA2156">
        <v>0.64</v>
      </c>
      <c r="BB2156" t="s">
        <v>143</v>
      </c>
      <c r="BF2156">
        <v>3.31</v>
      </c>
      <c r="BG2156">
        <v>2.4900000000000002</v>
      </c>
      <c r="BH2156">
        <v>-5.32</v>
      </c>
      <c r="BI2156">
        <v>5.63</v>
      </c>
      <c r="BJ2156">
        <v>20210830</v>
      </c>
      <c r="BK2156">
        <v>20200114</v>
      </c>
      <c r="BL2156">
        <v>0.52</v>
      </c>
      <c r="BM2156" t="s">
        <v>120</v>
      </c>
      <c r="BN2156" t="s">
        <v>120</v>
      </c>
      <c r="BO2156">
        <v>5.67</v>
      </c>
      <c r="BP2156">
        <v>76.69</v>
      </c>
      <c r="BQ2156">
        <v>4.62</v>
      </c>
      <c r="BR2156" t="s">
        <v>120</v>
      </c>
      <c r="BS2156">
        <v>18.649999999999999</v>
      </c>
      <c r="BT2156">
        <v>4.49</v>
      </c>
      <c r="BU2156">
        <v>0.85</v>
      </c>
      <c r="BV2156">
        <v>0.11</v>
      </c>
      <c r="BW2156">
        <v>1.06</v>
      </c>
      <c r="BX2156">
        <v>2.92</v>
      </c>
      <c r="BY2156">
        <v>0.92</v>
      </c>
      <c r="BZ2156">
        <v>0.35</v>
      </c>
      <c r="CA2156" t="s">
        <v>120</v>
      </c>
      <c r="CB2156">
        <v>2.2799999999999998</v>
      </c>
      <c r="CC2156">
        <v>1.1100000000000001</v>
      </c>
      <c r="CD2156">
        <v>0.4</v>
      </c>
      <c r="CE2156">
        <v>0.31</v>
      </c>
      <c r="CF2156">
        <v>0</v>
      </c>
      <c r="CG2156">
        <v>0.31</v>
      </c>
      <c r="CH2156">
        <v>0.28000000000000003</v>
      </c>
      <c r="CI2156">
        <v>0.28000000000000003</v>
      </c>
      <c r="CJ2156">
        <v>1.94</v>
      </c>
      <c r="CK2156">
        <v>0.27</v>
      </c>
      <c r="CL2156">
        <v>1.61</v>
      </c>
      <c r="CM2156">
        <v>-0.12</v>
      </c>
      <c r="CN2156">
        <v>-2.1800000000000002</v>
      </c>
      <c r="CO2156">
        <v>8368</v>
      </c>
      <c r="CP2156">
        <v>1945</v>
      </c>
      <c r="CQ2156" t="s">
        <v>10460</v>
      </c>
      <c r="CR2156">
        <v>51.15</v>
      </c>
      <c r="CS2156">
        <v>28.81</v>
      </c>
      <c r="CT2156">
        <v>8.64</v>
      </c>
      <c r="CU2156">
        <v>-327.58999999999997</v>
      </c>
      <c r="CV2156">
        <v>35.89</v>
      </c>
      <c r="CW2156">
        <v>0.27</v>
      </c>
      <c r="CX2156" t="s">
        <v>2391</v>
      </c>
      <c r="CY2156">
        <v>8.8800000000000008</v>
      </c>
      <c r="CZ2156">
        <v>0</v>
      </c>
      <c r="DA2156">
        <v>4.3899999999999997</v>
      </c>
      <c r="DB2156">
        <v>3.1</v>
      </c>
      <c r="DC2156">
        <v>-0.23</v>
      </c>
      <c r="DD2156">
        <v>81.349999999999994</v>
      </c>
      <c r="DE2156" t="s">
        <v>9575</v>
      </c>
      <c r="DF2156">
        <v>64.180000000000007</v>
      </c>
      <c r="DG2156">
        <v>27.71</v>
      </c>
      <c r="DH2156">
        <v>24.9</v>
      </c>
      <c r="DI2156">
        <v>0.22</v>
      </c>
      <c r="DJ2156">
        <v>589</v>
      </c>
      <c r="DK2156">
        <v>300813</v>
      </c>
      <c r="DL2156" t="s">
        <v>120</v>
      </c>
      <c r="DM2156" t="s">
        <v>120</v>
      </c>
      <c r="DN2156" t="s">
        <v>120</v>
      </c>
    </row>
    <row r="2157" spans="1:118">
      <c r="A2157" t="str">
        <f>"300814"</f>
        <v>300814</v>
      </c>
      <c r="B2157" t="s">
        <v>10461</v>
      </c>
      <c r="C2157">
        <v>-3.54</v>
      </c>
      <c r="D2157">
        <v>-0.15</v>
      </c>
      <c r="E2157">
        <v>-0.83</v>
      </c>
      <c r="F2157">
        <v>471</v>
      </c>
      <c r="G2157" t="s">
        <v>6237</v>
      </c>
      <c r="H2157">
        <v>7747.51</v>
      </c>
      <c r="I2157">
        <v>34.93</v>
      </c>
      <c r="J2157" t="s">
        <v>120</v>
      </c>
      <c r="K2157" t="s">
        <v>6237</v>
      </c>
      <c r="L2157">
        <v>7.52</v>
      </c>
      <c r="M2157">
        <v>24.27</v>
      </c>
      <c r="N2157">
        <v>0.72</v>
      </c>
      <c r="O2157">
        <v>1.1100000000000001</v>
      </c>
      <c r="P2157">
        <v>25.44</v>
      </c>
      <c r="Q2157">
        <v>-3.78</v>
      </c>
      <c r="R2157">
        <v>24.21</v>
      </c>
      <c r="S2157">
        <v>24.95</v>
      </c>
      <c r="T2157">
        <v>31341</v>
      </c>
      <c r="U2157">
        <v>24.29</v>
      </c>
      <c r="V2157">
        <v>25.16</v>
      </c>
      <c r="W2157">
        <v>48.96</v>
      </c>
      <c r="X2157" t="s">
        <v>229</v>
      </c>
      <c r="Y2157" t="s">
        <v>123</v>
      </c>
      <c r="Z2157">
        <v>4.8899999999999997</v>
      </c>
      <c r="AA2157">
        <v>24.72</v>
      </c>
      <c r="AB2157">
        <v>19042</v>
      </c>
      <c r="AC2157">
        <v>12299</v>
      </c>
      <c r="AD2157">
        <v>1.55</v>
      </c>
      <c r="AE2157">
        <v>53</v>
      </c>
      <c r="AF2157">
        <v>14</v>
      </c>
      <c r="AG2157" t="s">
        <v>120</v>
      </c>
      <c r="AH2157">
        <v>0.03</v>
      </c>
      <c r="AI2157" t="s">
        <v>120</v>
      </c>
      <c r="AJ2157">
        <v>0.42</v>
      </c>
      <c r="AK2157" t="s">
        <v>10462</v>
      </c>
      <c r="AL2157">
        <v>-1.62</v>
      </c>
      <c r="AM2157">
        <v>2098</v>
      </c>
      <c r="AN2157">
        <v>15</v>
      </c>
      <c r="AO2157">
        <v>3.5999999999999999E-3</v>
      </c>
      <c r="AP2157">
        <v>-2</v>
      </c>
      <c r="AQ2157">
        <v>-0.83</v>
      </c>
      <c r="AR2157">
        <v>-2.4900000000000002</v>
      </c>
      <c r="AS2157">
        <v>-11.17</v>
      </c>
      <c r="AT2157">
        <v>188.92</v>
      </c>
      <c r="AU2157">
        <v>188.92</v>
      </c>
      <c r="AV2157">
        <v>0</v>
      </c>
      <c r="AW2157">
        <v>7.52</v>
      </c>
      <c r="AX2157">
        <v>23.72</v>
      </c>
      <c r="AY2157">
        <v>46.84</v>
      </c>
      <c r="AZ2157">
        <v>42.96</v>
      </c>
      <c r="BA2157">
        <v>0</v>
      </c>
      <c r="BB2157" t="s">
        <v>143</v>
      </c>
      <c r="BF2157">
        <v>-1.75</v>
      </c>
      <c r="BG2157">
        <v>-2.73</v>
      </c>
      <c r="BH2157">
        <v>-4.5999999999999996</v>
      </c>
      <c r="BI2157">
        <v>0.25</v>
      </c>
      <c r="BJ2157">
        <v>20210906</v>
      </c>
      <c r="BK2157">
        <v>20210812</v>
      </c>
      <c r="BL2157">
        <v>1.76</v>
      </c>
      <c r="BM2157" t="s">
        <v>120</v>
      </c>
      <c r="BN2157" t="s">
        <v>120</v>
      </c>
      <c r="BO2157">
        <v>13.23</v>
      </c>
      <c r="BP2157">
        <v>24.27</v>
      </c>
      <c r="BQ2157">
        <v>6.75</v>
      </c>
      <c r="BR2157" t="s">
        <v>120</v>
      </c>
      <c r="BS2157">
        <v>48.98</v>
      </c>
      <c r="BT2157">
        <v>8.66</v>
      </c>
      <c r="BU2157">
        <v>3.32</v>
      </c>
      <c r="BV2157">
        <v>0.19</v>
      </c>
      <c r="BW2157">
        <v>6.21</v>
      </c>
      <c r="BX2157">
        <v>1.32</v>
      </c>
      <c r="BY2157">
        <v>3.85</v>
      </c>
      <c r="BZ2157">
        <v>2.64</v>
      </c>
      <c r="CA2157" t="s">
        <v>120</v>
      </c>
      <c r="CB2157">
        <v>3.08</v>
      </c>
      <c r="CC2157">
        <v>6.05</v>
      </c>
      <c r="CD2157">
        <v>4.8499999999999996</v>
      </c>
      <c r="CE2157">
        <v>0.49</v>
      </c>
      <c r="CF2157">
        <v>0</v>
      </c>
      <c r="CG2157">
        <v>0.49</v>
      </c>
      <c r="CH2157">
        <v>0.44</v>
      </c>
      <c r="CI2157">
        <v>0.44</v>
      </c>
      <c r="CJ2157">
        <v>-0.89</v>
      </c>
      <c r="CK2157">
        <v>0.41</v>
      </c>
      <c r="CL2157">
        <v>2.27</v>
      </c>
      <c r="CM2157">
        <v>0.97</v>
      </c>
      <c r="CN2157">
        <v>0.04</v>
      </c>
      <c r="CO2157">
        <v>32196</v>
      </c>
      <c r="CP2157">
        <v>1295</v>
      </c>
      <c r="CQ2157" t="s">
        <v>10463</v>
      </c>
      <c r="CR2157">
        <v>0</v>
      </c>
      <c r="CS2157">
        <v>0</v>
      </c>
      <c r="CT2157">
        <v>4.25</v>
      </c>
      <c r="CU2157">
        <v>43.76</v>
      </c>
      <c r="CV2157">
        <v>7.06</v>
      </c>
      <c r="CW2157">
        <v>0</v>
      </c>
      <c r="CX2157" t="s">
        <v>7899</v>
      </c>
      <c r="CY2157">
        <v>5.72</v>
      </c>
      <c r="CZ2157">
        <v>5.72</v>
      </c>
      <c r="DA2157">
        <v>1.75</v>
      </c>
      <c r="DB2157">
        <v>1.29</v>
      </c>
      <c r="DC2157">
        <v>0.55000000000000004</v>
      </c>
      <c r="DD2157">
        <v>51.02</v>
      </c>
      <c r="DE2157" t="s">
        <v>9622</v>
      </c>
      <c r="DF2157">
        <v>19.8</v>
      </c>
      <c r="DG2157">
        <v>8.1199999999999992</v>
      </c>
      <c r="DH2157">
        <v>7.2</v>
      </c>
      <c r="DI2157">
        <v>0.31</v>
      </c>
      <c r="DJ2157">
        <v>1878</v>
      </c>
      <c r="DK2157">
        <v>300814</v>
      </c>
      <c r="DL2157" t="s">
        <v>120</v>
      </c>
      <c r="DM2157" t="s">
        <v>120</v>
      </c>
      <c r="DN2157" t="s">
        <v>120</v>
      </c>
    </row>
    <row r="2158" spans="1:118">
      <c r="A2158" t="str">
        <f>"300815"</f>
        <v>300815</v>
      </c>
      <c r="B2158" t="s">
        <v>10464</v>
      </c>
      <c r="C2158">
        <v>-3.59</v>
      </c>
      <c r="D2158">
        <v>-7.0000000000000007E-2</v>
      </c>
      <c r="E2158">
        <v>-0.1</v>
      </c>
      <c r="F2158">
        <v>604</v>
      </c>
      <c r="G2158" t="s">
        <v>5655</v>
      </c>
      <c r="H2158">
        <v>11387.21</v>
      </c>
      <c r="I2158">
        <v>14.88</v>
      </c>
      <c r="J2158" t="s">
        <v>120</v>
      </c>
      <c r="K2158" t="s">
        <v>8638</v>
      </c>
      <c r="L2158">
        <v>2.6</v>
      </c>
      <c r="M2158">
        <v>36.83</v>
      </c>
      <c r="N2158">
        <v>0.55000000000000004</v>
      </c>
      <c r="O2158">
        <v>0.86</v>
      </c>
      <c r="P2158">
        <v>38.53</v>
      </c>
      <c r="Q2158">
        <v>-3.64</v>
      </c>
      <c r="R2158">
        <v>36.81</v>
      </c>
      <c r="S2158">
        <v>38.159999999999997</v>
      </c>
      <c r="T2158">
        <v>30328</v>
      </c>
      <c r="U2158">
        <v>36.840000000000003</v>
      </c>
      <c r="V2158">
        <v>38.200000000000003</v>
      </c>
      <c r="W2158">
        <v>16.190000000000001</v>
      </c>
      <c r="X2158" t="s">
        <v>318</v>
      </c>
      <c r="Y2158" t="s">
        <v>570</v>
      </c>
      <c r="Z2158">
        <v>4.5</v>
      </c>
      <c r="AA2158">
        <v>37.549999999999997</v>
      </c>
      <c r="AB2158">
        <v>19674</v>
      </c>
      <c r="AC2158">
        <v>10654</v>
      </c>
      <c r="AD2158">
        <v>1.85</v>
      </c>
      <c r="AE2158">
        <v>13</v>
      </c>
      <c r="AF2158">
        <v>9</v>
      </c>
      <c r="AG2158" t="s">
        <v>120</v>
      </c>
      <c r="AH2158">
        <v>0.01</v>
      </c>
      <c r="AI2158" t="s">
        <v>120</v>
      </c>
      <c r="AJ2158">
        <v>1.17</v>
      </c>
      <c r="AK2158" t="s">
        <v>10465</v>
      </c>
      <c r="AL2158">
        <v>-1.67</v>
      </c>
      <c r="AM2158">
        <v>2232</v>
      </c>
      <c r="AN2158">
        <v>14</v>
      </c>
      <c r="AO2158">
        <v>1.1999999999999999E-3</v>
      </c>
      <c r="AP2158">
        <v>-1</v>
      </c>
      <c r="AQ2158">
        <v>0.66</v>
      </c>
      <c r="AR2158">
        <v>-8.08</v>
      </c>
      <c r="AS2158">
        <v>4.6900000000000004</v>
      </c>
      <c r="AT2158">
        <v>-0.16</v>
      </c>
      <c r="AU2158">
        <v>-19.75</v>
      </c>
      <c r="AV2158">
        <v>1</v>
      </c>
      <c r="AW2158">
        <v>3.96</v>
      </c>
      <c r="AX2158">
        <v>27.66</v>
      </c>
      <c r="AY2158">
        <v>17.68</v>
      </c>
      <c r="AZ2158">
        <v>16.760000000000002</v>
      </c>
      <c r="BA2158">
        <v>0.5</v>
      </c>
      <c r="BB2158" t="s">
        <v>240</v>
      </c>
      <c r="BF2158">
        <v>-1.71</v>
      </c>
      <c r="BG2158">
        <v>-3.49</v>
      </c>
      <c r="BH2158">
        <v>-4.41</v>
      </c>
      <c r="BI2158">
        <v>0.05</v>
      </c>
      <c r="BJ2158">
        <v>20210914</v>
      </c>
      <c r="BK2158">
        <v>20200123</v>
      </c>
      <c r="BL2158">
        <v>2.77</v>
      </c>
      <c r="BM2158" t="s">
        <v>120</v>
      </c>
      <c r="BN2158" t="s">
        <v>120</v>
      </c>
      <c r="BO2158">
        <v>49.87</v>
      </c>
      <c r="BP2158">
        <v>36.83</v>
      </c>
      <c r="BQ2158">
        <v>27.18</v>
      </c>
      <c r="BR2158">
        <v>1.79</v>
      </c>
      <c r="BS2158">
        <v>41.9</v>
      </c>
      <c r="BT2158">
        <v>30.19</v>
      </c>
      <c r="BU2158">
        <v>7.77</v>
      </c>
      <c r="BV2158">
        <v>3.04</v>
      </c>
      <c r="BW2158">
        <v>16.149999999999999</v>
      </c>
      <c r="BX2158">
        <v>10.78</v>
      </c>
      <c r="BY2158">
        <v>7.0000000000000007E-2</v>
      </c>
      <c r="BZ2158">
        <v>14.08</v>
      </c>
      <c r="CA2158" t="s">
        <v>120</v>
      </c>
      <c r="CB2158">
        <v>8.19</v>
      </c>
      <c r="CC2158">
        <v>23.98</v>
      </c>
      <c r="CD2158">
        <v>17.88</v>
      </c>
      <c r="CE2158">
        <v>4.3099999999999996</v>
      </c>
      <c r="CF2158">
        <v>0.11</v>
      </c>
      <c r="CG2158">
        <v>4.2699999999999996</v>
      </c>
      <c r="CH2158">
        <v>3.42</v>
      </c>
      <c r="CI2158">
        <v>3.15</v>
      </c>
      <c r="CJ2158">
        <v>-1.37</v>
      </c>
      <c r="CK2158">
        <v>3.07</v>
      </c>
      <c r="CL2158">
        <v>15.83</v>
      </c>
      <c r="CM2158">
        <v>1.79</v>
      </c>
      <c r="CN2158">
        <v>-2.34</v>
      </c>
      <c r="CO2158">
        <v>22136</v>
      </c>
      <c r="CP2158">
        <v>3459</v>
      </c>
      <c r="CQ2158" t="s">
        <v>10466</v>
      </c>
      <c r="CR2158">
        <v>-9.5</v>
      </c>
      <c r="CS2158">
        <v>16.61</v>
      </c>
      <c r="CT2158">
        <v>3.75</v>
      </c>
      <c r="CU2158">
        <v>56.95</v>
      </c>
      <c r="CV2158">
        <v>4.25</v>
      </c>
      <c r="CW2158">
        <v>1.47</v>
      </c>
      <c r="CX2158" t="s">
        <v>878</v>
      </c>
      <c r="CY2158">
        <v>9.82</v>
      </c>
      <c r="CZ2158">
        <v>0</v>
      </c>
      <c r="DA2158">
        <v>2.96</v>
      </c>
      <c r="DB2158">
        <v>5.72</v>
      </c>
      <c r="DC2158">
        <v>0.65</v>
      </c>
      <c r="DD2158">
        <v>54.51</v>
      </c>
      <c r="DE2158" t="s">
        <v>10467</v>
      </c>
      <c r="DF2158">
        <v>25.46</v>
      </c>
      <c r="DG2158">
        <v>17.96</v>
      </c>
      <c r="DH2158">
        <v>13.12</v>
      </c>
      <c r="DI2158">
        <v>0.04</v>
      </c>
      <c r="DJ2158">
        <v>66855</v>
      </c>
      <c r="DK2158">
        <v>300815</v>
      </c>
      <c r="DL2158">
        <v>20210831</v>
      </c>
      <c r="DM2158">
        <v>39.54</v>
      </c>
      <c r="DN2158">
        <v>-6.85</v>
      </c>
    </row>
    <row r="2159" spans="1:118">
      <c r="A2159" t="str">
        <f>"300816"</f>
        <v>300816</v>
      </c>
      <c r="B2159" t="s">
        <v>10468</v>
      </c>
      <c r="C2159">
        <v>-0.78</v>
      </c>
      <c r="D2159">
        <v>0.02</v>
      </c>
      <c r="E2159">
        <v>-0.53</v>
      </c>
      <c r="F2159">
        <v>85</v>
      </c>
      <c r="G2159" t="s">
        <v>8079</v>
      </c>
      <c r="H2159">
        <v>3260.57</v>
      </c>
      <c r="I2159">
        <v>24.06</v>
      </c>
      <c r="J2159" t="s">
        <v>120</v>
      </c>
      <c r="K2159" t="s">
        <v>9917</v>
      </c>
      <c r="L2159">
        <v>1.56</v>
      </c>
      <c r="M2159">
        <v>55.82</v>
      </c>
      <c r="N2159">
        <v>0.6</v>
      </c>
      <c r="O2159">
        <v>2.68</v>
      </c>
      <c r="P2159">
        <v>57.77</v>
      </c>
      <c r="Q2159">
        <v>-1.19</v>
      </c>
      <c r="R2159">
        <v>55.59</v>
      </c>
      <c r="S2159">
        <v>55.96</v>
      </c>
      <c r="T2159">
        <v>5769</v>
      </c>
      <c r="U2159">
        <v>55.84</v>
      </c>
      <c r="V2159">
        <v>56.26</v>
      </c>
      <c r="W2159">
        <v>44.86</v>
      </c>
      <c r="X2159" t="s">
        <v>318</v>
      </c>
      <c r="Y2159" t="s">
        <v>570</v>
      </c>
      <c r="Z2159">
        <v>3.87</v>
      </c>
      <c r="AA2159">
        <v>56.51</v>
      </c>
      <c r="AB2159">
        <v>3423</v>
      </c>
      <c r="AC2159">
        <v>2346</v>
      </c>
      <c r="AD2159">
        <v>1.46</v>
      </c>
      <c r="AE2159">
        <v>13</v>
      </c>
      <c r="AF2159">
        <v>2</v>
      </c>
      <c r="AG2159" t="s">
        <v>120</v>
      </c>
      <c r="AH2159">
        <v>0.01</v>
      </c>
      <c r="AI2159" t="s">
        <v>120</v>
      </c>
      <c r="AJ2159">
        <v>0.37</v>
      </c>
      <c r="AK2159" t="s">
        <v>10469</v>
      </c>
      <c r="AL2159">
        <v>1.1299999999999999</v>
      </c>
      <c r="AM2159">
        <v>830</v>
      </c>
      <c r="AN2159">
        <v>7</v>
      </c>
      <c r="AO2159">
        <v>1.9E-3</v>
      </c>
      <c r="AP2159">
        <v>-3</v>
      </c>
      <c r="AQ2159">
        <v>-1.3</v>
      </c>
      <c r="AR2159">
        <v>-5.14</v>
      </c>
      <c r="AS2159">
        <v>-32.18</v>
      </c>
      <c r="AT2159">
        <v>-32.19</v>
      </c>
      <c r="AU2159">
        <v>-30.23</v>
      </c>
      <c r="AV2159">
        <v>1</v>
      </c>
      <c r="AW2159">
        <v>1.91</v>
      </c>
      <c r="AX2159">
        <v>37.75</v>
      </c>
      <c r="AY2159">
        <v>38.93</v>
      </c>
      <c r="AZ2159">
        <v>35.89</v>
      </c>
      <c r="BA2159">
        <v>1.02</v>
      </c>
      <c r="BB2159" t="s">
        <v>134</v>
      </c>
      <c r="BF2159">
        <v>0.45</v>
      </c>
      <c r="BG2159">
        <v>-0.25</v>
      </c>
      <c r="BH2159">
        <v>-3.38</v>
      </c>
      <c r="BI2159">
        <v>0.41</v>
      </c>
      <c r="BJ2159">
        <v>20210827</v>
      </c>
      <c r="BK2159">
        <v>20200210</v>
      </c>
      <c r="BL2159">
        <v>0.8</v>
      </c>
      <c r="BM2159" t="s">
        <v>120</v>
      </c>
      <c r="BN2159" t="s">
        <v>120</v>
      </c>
      <c r="BO2159">
        <v>12.97</v>
      </c>
      <c r="BP2159">
        <v>55.82</v>
      </c>
      <c r="BQ2159">
        <v>7.99</v>
      </c>
      <c r="BR2159">
        <v>0.08</v>
      </c>
      <c r="BS2159">
        <v>37.72</v>
      </c>
      <c r="BT2159">
        <v>11.75</v>
      </c>
      <c r="BU2159">
        <v>0.85</v>
      </c>
      <c r="BV2159">
        <v>0.08</v>
      </c>
      <c r="BW2159">
        <v>4.41</v>
      </c>
      <c r="BX2159">
        <v>0.98</v>
      </c>
      <c r="BY2159">
        <v>1.83</v>
      </c>
      <c r="BZ2159">
        <v>2.19</v>
      </c>
      <c r="CA2159" t="s">
        <v>120</v>
      </c>
      <c r="CB2159">
        <v>3.55</v>
      </c>
      <c r="CC2159">
        <v>3.89</v>
      </c>
      <c r="CD2159">
        <v>2.79</v>
      </c>
      <c r="CE2159">
        <v>0.54</v>
      </c>
      <c r="CF2159">
        <v>0.08</v>
      </c>
      <c r="CG2159">
        <v>0.55000000000000004</v>
      </c>
      <c r="CH2159">
        <v>0.48</v>
      </c>
      <c r="CI2159">
        <v>0.5</v>
      </c>
      <c r="CJ2159">
        <v>-0.44</v>
      </c>
      <c r="CK2159">
        <v>0.37</v>
      </c>
      <c r="CL2159">
        <v>3.24</v>
      </c>
      <c r="CM2159">
        <v>0.12</v>
      </c>
      <c r="CN2159">
        <v>-0.8</v>
      </c>
      <c r="CO2159">
        <v>5167</v>
      </c>
      <c r="CP2159">
        <v>5845</v>
      </c>
      <c r="CQ2159" t="s">
        <v>10470</v>
      </c>
      <c r="CR2159">
        <v>-16.43</v>
      </c>
      <c r="CS2159">
        <v>29.82</v>
      </c>
      <c r="CT2159">
        <v>5.59</v>
      </c>
      <c r="CU2159">
        <v>362.59</v>
      </c>
      <c r="CV2159">
        <v>11.48</v>
      </c>
      <c r="CW2159">
        <v>0.56000000000000005</v>
      </c>
      <c r="CX2159" t="s">
        <v>8995</v>
      </c>
      <c r="CY2159">
        <v>9.99</v>
      </c>
      <c r="CZ2159">
        <v>0</v>
      </c>
      <c r="DA2159">
        <v>4.4400000000000004</v>
      </c>
      <c r="DB2159">
        <v>4.05</v>
      </c>
      <c r="DC2159">
        <v>0.15</v>
      </c>
      <c r="DD2159">
        <v>61.63</v>
      </c>
      <c r="DE2159" t="s">
        <v>3273</v>
      </c>
      <c r="DF2159">
        <v>28.22</v>
      </c>
      <c r="DG2159">
        <v>13.95</v>
      </c>
      <c r="DH2159">
        <v>12.79</v>
      </c>
      <c r="DI2159">
        <v>0.22</v>
      </c>
      <c r="DJ2159">
        <v>451</v>
      </c>
      <c r="DK2159">
        <v>300816</v>
      </c>
      <c r="DL2159" t="s">
        <v>120</v>
      </c>
      <c r="DM2159" t="s">
        <v>120</v>
      </c>
      <c r="DN2159" t="s">
        <v>120</v>
      </c>
    </row>
    <row r="2160" spans="1:118">
      <c r="A2160" t="str">
        <f>"300817"</f>
        <v>300817</v>
      </c>
      <c r="B2160" t="s">
        <v>10471</v>
      </c>
      <c r="C2160">
        <v>-1.36</v>
      </c>
      <c r="D2160">
        <v>0.04</v>
      </c>
      <c r="E2160">
        <v>0.22</v>
      </c>
      <c r="F2160">
        <v>222</v>
      </c>
      <c r="G2160" t="s">
        <v>10472</v>
      </c>
      <c r="H2160">
        <v>3037.12</v>
      </c>
      <c r="I2160">
        <v>2.75</v>
      </c>
      <c r="J2160" t="s">
        <v>120</v>
      </c>
      <c r="K2160" t="s">
        <v>10473</v>
      </c>
      <c r="L2160">
        <v>3.16</v>
      </c>
      <c r="M2160">
        <v>22.55</v>
      </c>
      <c r="N2160">
        <v>0.84</v>
      </c>
      <c r="O2160">
        <v>2.14</v>
      </c>
      <c r="P2160">
        <v>23.35</v>
      </c>
      <c r="Q2160">
        <v>-1.53</v>
      </c>
      <c r="R2160">
        <v>22.51</v>
      </c>
      <c r="S2160">
        <v>22.91</v>
      </c>
      <c r="T2160">
        <v>13245</v>
      </c>
      <c r="U2160">
        <v>22.57</v>
      </c>
      <c r="V2160">
        <v>22.86</v>
      </c>
      <c r="W2160">
        <v>24.97</v>
      </c>
      <c r="X2160" t="s">
        <v>959</v>
      </c>
      <c r="Y2160" t="s">
        <v>585</v>
      </c>
      <c r="Z2160">
        <v>3.67</v>
      </c>
      <c r="AA2160">
        <v>22.93</v>
      </c>
      <c r="AB2160">
        <v>8228</v>
      </c>
      <c r="AC2160">
        <v>5017</v>
      </c>
      <c r="AD2160">
        <v>1.64</v>
      </c>
      <c r="AE2160">
        <v>253</v>
      </c>
      <c r="AF2160">
        <v>8</v>
      </c>
      <c r="AG2160" t="s">
        <v>120</v>
      </c>
      <c r="AH2160">
        <v>0</v>
      </c>
      <c r="AI2160" t="s">
        <v>120</v>
      </c>
      <c r="AJ2160">
        <v>0.42</v>
      </c>
      <c r="AK2160" t="s">
        <v>2221</v>
      </c>
      <c r="AL2160">
        <v>0.56000000000000005</v>
      </c>
      <c r="AM2160">
        <v>1188</v>
      </c>
      <c r="AN2160">
        <v>11</v>
      </c>
      <c r="AO2160">
        <v>2.7000000000000001E-3</v>
      </c>
      <c r="AP2160">
        <v>-1</v>
      </c>
      <c r="AQ2160">
        <v>0.79</v>
      </c>
      <c r="AR2160">
        <v>-4.3</v>
      </c>
      <c r="AS2160">
        <v>-4.9400000000000004</v>
      </c>
      <c r="AT2160">
        <v>5.86</v>
      </c>
      <c r="AU2160">
        <v>0.3</v>
      </c>
      <c r="AV2160">
        <v>0</v>
      </c>
      <c r="AW2160">
        <v>3.29</v>
      </c>
      <c r="AX2160">
        <v>33.22</v>
      </c>
      <c r="AY2160">
        <v>29.18</v>
      </c>
      <c r="AZ2160">
        <v>37.14</v>
      </c>
      <c r="BA2160">
        <v>0.93</v>
      </c>
      <c r="BB2160" t="s">
        <v>2725</v>
      </c>
      <c r="BF2160">
        <v>0.31</v>
      </c>
      <c r="BG2160">
        <v>-1.57</v>
      </c>
      <c r="BH2160">
        <v>-3.43</v>
      </c>
      <c r="BI2160">
        <v>0.18</v>
      </c>
      <c r="BJ2160">
        <v>20210827</v>
      </c>
      <c r="BK2160">
        <v>20200218</v>
      </c>
      <c r="BL2160">
        <v>1.21</v>
      </c>
      <c r="BM2160" t="s">
        <v>120</v>
      </c>
      <c r="BN2160" t="s">
        <v>120</v>
      </c>
      <c r="BO2160">
        <v>11.98</v>
      </c>
      <c r="BP2160">
        <v>22.55</v>
      </c>
      <c r="BQ2160">
        <v>9.1199999999999992</v>
      </c>
      <c r="BR2160">
        <v>0.14000000000000001</v>
      </c>
      <c r="BS2160">
        <v>22.75</v>
      </c>
      <c r="BT2160">
        <v>6.74</v>
      </c>
      <c r="BU2160">
        <v>3.14</v>
      </c>
      <c r="BV2160">
        <v>0.7</v>
      </c>
      <c r="BW2160">
        <v>2.39</v>
      </c>
      <c r="BX2160">
        <v>0.5</v>
      </c>
      <c r="BY2160">
        <v>1.34</v>
      </c>
      <c r="BZ2160">
        <v>2.29</v>
      </c>
      <c r="CA2160">
        <v>0</v>
      </c>
      <c r="CB2160">
        <v>3.42</v>
      </c>
      <c r="CC2160">
        <v>4.68</v>
      </c>
      <c r="CD2160">
        <v>3.28</v>
      </c>
      <c r="CE2160">
        <v>0.65</v>
      </c>
      <c r="CF2160">
        <v>0.02</v>
      </c>
      <c r="CG2160">
        <v>0.65</v>
      </c>
      <c r="CH2160">
        <v>0.56999999999999995</v>
      </c>
      <c r="CI2160">
        <v>0.55000000000000004</v>
      </c>
      <c r="CJ2160">
        <v>-0.31</v>
      </c>
      <c r="CK2160">
        <v>0.52</v>
      </c>
      <c r="CL2160">
        <v>3.95</v>
      </c>
      <c r="CM2160">
        <v>-0.28000000000000003</v>
      </c>
      <c r="CN2160">
        <v>-0.16</v>
      </c>
      <c r="CO2160">
        <v>11063</v>
      </c>
      <c r="CP2160">
        <v>3641</v>
      </c>
      <c r="CQ2160" t="s">
        <v>5765</v>
      </c>
      <c r="CR2160">
        <v>59.23</v>
      </c>
      <c r="CS2160">
        <v>69.180000000000007</v>
      </c>
      <c r="CT2160">
        <v>3</v>
      </c>
      <c r="CU2160">
        <v>-96.56</v>
      </c>
      <c r="CV2160">
        <v>5.85</v>
      </c>
      <c r="CW2160">
        <v>0.91</v>
      </c>
      <c r="CX2160" t="s">
        <v>1520</v>
      </c>
      <c r="CY2160">
        <v>7.52</v>
      </c>
      <c r="CZ2160">
        <v>0</v>
      </c>
      <c r="DA2160">
        <v>2.82</v>
      </c>
      <c r="DB2160">
        <v>3.25</v>
      </c>
      <c r="DC2160">
        <v>-0.23</v>
      </c>
      <c r="DD2160">
        <v>76.12</v>
      </c>
      <c r="DE2160" t="s">
        <v>1002</v>
      </c>
      <c r="DF2160">
        <v>29.82</v>
      </c>
      <c r="DG2160">
        <v>13.91</v>
      </c>
      <c r="DH2160">
        <v>11.71</v>
      </c>
      <c r="DI2160">
        <v>0.23</v>
      </c>
      <c r="DJ2160">
        <v>1064</v>
      </c>
      <c r="DK2160">
        <v>300817</v>
      </c>
      <c r="DL2160" t="s">
        <v>120</v>
      </c>
      <c r="DM2160" t="s">
        <v>120</v>
      </c>
      <c r="DN2160" t="s">
        <v>120</v>
      </c>
    </row>
    <row r="2161" spans="1:118">
      <c r="A2161" t="str">
        <f>"300818"</f>
        <v>300818</v>
      </c>
      <c r="B2161" t="s">
        <v>10474</v>
      </c>
      <c r="C2161">
        <v>-2.0499999999999998</v>
      </c>
      <c r="D2161">
        <v>0</v>
      </c>
      <c r="E2161">
        <v>-1.1499999999999999</v>
      </c>
      <c r="F2161">
        <v>97</v>
      </c>
      <c r="G2161" t="s">
        <v>10475</v>
      </c>
      <c r="H2161">
        <v>6897.33</v>
      </c>
      <c r="I2161">
        <v>130.18</v>
      </c>
      <c r="J2161" t="s">
        <v>120</v>
      </c>
      <c r="K2161" t="s">
        <v>9367</v>
      </c>
      <c r="L2161">
        <v>6.16</v>
      </c>
      <c r="M2161">
        <v>34.96</v>
      </c>
      <c r="N2161">
        <v>1.1200000000000001</v>
      </c>
      <c r="O2161">
        <v>2.8</v>
      </c>
      <c r="P2161">
        <v>36.69</v>
      </c>
      <c r="Q2161">
        <v>-2.35</v>
      </c>
      <c r="R2161">
        <v>34.85</v>
      </c>
      <c r="S2161">
        <v>35.28</v>
      </c>
      <c r="T2161">
        <v>19362</v>
      </c>
      <c r="U2161">
        <v>34.97</v>
      </c>
      <c r="V2161">
        <v>35.69</v>
      </c>
      <c r="W2161">
        <v>24.15</v>
      </c>
      <c r="X2161" t="s">
        <v>675</v>
      </c>
      <c r="Y2161" t="s">
        <v>676</v>
      </c>
      <c r="Z2161">
        <v>5.16</v>
      </c>
      <c r="AA2161">
        <v>35.619999999999997</v>
      </c>
      <c r="AB2161">
        <v>11104</v>
      </c>
      <c r="AC2161">
        <v>8258</v>
      </c>
      <c r="AD2161">
        <v>1.34</v>
      </c>
      <c r="AE2161">
        <v>41</v>
      </c>
      <c r="AF2161">
        <v>5</v>
      </c>
      <c r="AG2161" t="s">
        <v>120</v>
      </c>
      <c r="AH2161">
        <v>0.13</v>
      </c>
      <c r="AI2161" t="s">
        <v>120</v>
      </c>
      <c r="AJ2161">
        <v>0.31</v>
      </c>
      <c r="AK2161" t="s">
        <v>10476</v>
      </c>
      <c r="AL2161">
        <v>-0.13</v>
      </c>
      <c r="AM2161">
        <v>1542</v>
      </c>
      <c r="AN2161">
        <v>13</v>
      </c>
      <c r="AO2161">
        <v>4.0000000000000001E-3</v>
      </c>
      <c r="AP2161">
        <v>-1</v>
      </c>
      <c r="AQ2161">
        <v>4.5999999999999996</v>
      </c>
      <c r="AR2161">
        <v>0.18</v>
      </c>
      <c r="AS2161">
        <v>18.39</v>
      </c>
      <c r="AT2161">
        <v>31.83</v>
      </c>
      <c r="AU2161">
        <v>11.24</v>
      </c>
      <c r="AV2161">
        <v>0</v>
      </c>
      <c r="AW2161">
        <v>7.05</v>
      </c>
      <c r="AX2161">
        <v>39.22</v>
      </c>
      <c r="AY2161">
        <v>33.97</v>
      </c>
      <c r="AZ2161">
        <v>61.5</v>
      </c>
      <c r="BA2161">
        <v>0.84</v>
      </c>
      <c r="BB2161" t="s">
        <v>143</v>
      </c>
      <c r="BF2161">
        <v>-0.19</v>
      </c>
      <c r="BG2161">
        <v>-0.91</v>
      </c>
      <c r="BH2161">
        <v>-4.72</v>
      </c>
      <c r="BI2161">
        <v>0.32</v>
      </c>
      <c r="BJ2161">
        <v>20210913</v>
      </c>
      <c r="BK2161">
        <v>20200212</v>
      </c>
      <c r="BL2161">
        <v>0.7</v>
      </c>
      <c r="BM2161" t="s">
        <v>120</v>
      </c>
      <c r="BN2161" t="s">
        <v>120</v>
      </c>
      <c r="BO2161">
        <v>16.89</v>
      </c>
      <c r="BP2161">
        <v>34.96</v>
      </c>
      <c r="BQ2161">
        <v>9</v>
      </c>
      <c r="BR2161">
        <v>0.06</v>
      </c>
      <c r="BS2161">
        <v>46.34</v>
      </c>
      <c r="BT2161">
        <v>11.25</v>
      </c>
      <c r="BU2161">
        <v>1.81</v>
      </c>
      <c r="BV2161">
        <v>0.38</v>
      </c>
      <c r="BW2161">
        <v>5.87</v>
      </c>
      <c r="BX2161">
        <v>5.65</v>
      </c>
      <c r="BY2161">
        <v>1.5</v>
      </c>
      <c r="BZ2161">
        <v>0.9</v>
      </c>
      <c r="CA2161" t="s">
        <v>120</v>
      </c>
      <c r="CB2161">
        <v>3.53</v>
      </c>
      <c r="CC2161">
        <v>4.25</v>
      </c>
      <c r="CD2161">
        <v>3.16</v>
      </c>
      <c r="CE2161">
        <v>0.59</v>
      </c>
      <c r="CF2161">
        <v>0.01</v>
      </c>
      <c r="CG2161">
        <v>0.59</v>
      </c>
      <c r="CH2161">
        <v>0.51</v>
      </c>
      <c r="CI2161">
        <v>0.51</v>
      </c>
      <c r="CJ2161">
        <v>-0.73</v>
      </c>
      <c r="CK2161">
        <v>0.5</v>
      </c>
      <c r="CL2161">
        <v>4.49</v>
      </c>
      <c r="CM2161">
        <v>0.11</v>
      </c>
      <c r="CN2161">
        <v>-1.45</v>
      </c>
      <c r="CO2161">
        <v>8964</v>
      </c>
      <c r="CP2161">
        <v>3063</v>
      </c>
      <c r="CQ2161" t="s">
        <v>8753</v>
      </c>
      <c r="CR2161">
        <v>185.39</v>
      </c>
      <c r="CS2161">
        <v>216.45</v>
      </c>
      <c r="CT2161">
        <v>2.72</v>
      </c>
      <c r="CU2161">
        <v>230.02</v>
      </c>
      <c r="CV2161">
        <v>5.75</v>
      </c>
      <c r="CW2161">
        <v>0.2</v>
      </c>
      <c r="CX2161" t="s">
        <v>6967</v>
      </c>
      <c r="CY2161">
        <v>12.86</v>
      </c>
      <c r="CZ2161">
        <v>0</v>
      </c>
      <c r="DA2161">
        <v>5.05</v>
      </c>
      <c r="DB2161">
        <v>6.42</v>
      </c>
      <c r="DC2161">
        <v>0.15</v>
      </c>
      <c r="DD2161">
        <v>53.32</v>
      </c>
      <c r="DE2161" t="s">
        <v>2727</v>
      </c>
      <c r="DF2161">
        <v>25.6</v>
      </c>
      <c r="DG2161">
        <v>13.96</v>
      </c>
      <c r="DH2161">
        <v>11.91</v>
      </c>
      <c r="DI2161">
        <v>0.08</v>
      </c>
      <c r="DJ2161">
        <v>503</v>
      </c>
      <c r="DK2161">
        <v>300818</v>
      </c>
      <c r="DL2161" t="s">
        <v>120</v>
      </c>
      <c r="DM2161" t="s">
        <v>120</v>
      </c>
      <c r="DN2161" t="s">
        <v>120</v>
      </c>
    </row>
    <row r="2162" spans="1:118">
      <c r="A2162" t="str">
        <f>"300819"</f>
        <v>300819</v>
      </c>
      <c r="B2162" t="s">
        <v>10477</v>
      </c>
      <c r="C2162">
        <v>-2.87</v>
      </c>
      <c r="D2162">
        <v>0</v>
      </c>
      <c r="E2162">
        <v>-0.78</v>
      </c>
      <c r="F2162">
        <v>379</v>
      </c>
      <c r="G2162" t="s">
        <v>10478</v>
      </c>
      <c r="H2162">
        <v>5006.8</v>
      </c>
      <c r="I2162">
        <v>19.440000000000001</v>
      </c>
      <c r="J2162" t="s">
        <v>120</v>
      </c>
      <c r="K2162" t="s">
        <v>10478</v>
      </c>
      <c r="L2162">
        <v>6.4</v>
      </c>
      <c r="M2162">
        <v>26.07</v>
      </c>
      <c r="N2162">
        <v>1.1100000000000001</v>
      </c>
      <c r="O2162">
        <v>1.1200000000000001</v>
      </c>
      <c r="P2162">
        <v>27.14</v>
      </c>
      <c r="Q2162">
        <v>-2.98</v>
      </c>
      <c r="R2162">
        <v>26.04</v>
      </c>
      <c r="S2162">
        <v>26.63</v>
      </c>
      <c r="T2162">
        <v>18852</v>
      </c>
      <c r="U2162">
        <v>26.07</v>
      </c>
      <c r="V2162">
        <v>26.84</v>
      </c>
      <c r="W2162">
        <v>60.42</v>
      </c>
      <c r="X2162" t="s">
        <v>623</v>
      </c>
      <c r="Y2162" t="s">
        <v>319</v>
      </c>
      <c r="Z2162">
        <v>4.0999999999999996</v>
      </c>
      <c r="AA2162">
        <v>26.56</v>
      </c>
      <c r="AB2162">
        <v>11590</v>
      </c>
      <c r="AC2162">
        <v>7262</v>
      </c>
      <c r="AD2162">
        <v>1.6</v>
      </c>
      <c r="AE2162">
        <v>80</v>
      </c>
      <c r="AF2162">
        <v>229</v>
      </c>
      <c r="AG2162" t="s">
        <v>120</v>
      </c>
      <c r="AH2162">
        <v>0.02</v>
      </c>
      <c r="AI2162" t="s">
        <v>120</v>
      </c>
      <c r="AJ2162">
        <v>0.28999999999999998</v>
      </c>
      <c r="AK2162" t="s">
        <v>2344</v>
      </c>
      <c r="AL2162">
        <v>-0.96</v>
      </c>
      <c r="AM2162">
        <v>1497</v>
      </c>
      <c r="AN2162">
        <v>13</v>
      </c>
      <c r="AO2162">
        <v>4.3E-3</v>
      </c>
      <c r="AP2162">
        <v>-1</v>
      </c>
      <c r="AQ2162">
        <v>2.99</v>
      </c>
      <c r="AR2162">
        <v>0.74</v>
      </c>
      <c r="AS2162">
        <v>-4.3600000000000003</v>
      </c>
      <c r="AT2162">
        <v>-8.27</v>
      </c>
      <c r="AU2162">
        <v>-28.72</v>
      </c>
      <c r="AV2162">
        <v>4</v>
      </c>
      <c r="AW2162">
        <v>6.4</v>
      </c>
      <c r="AX2162">
        <v>29.63</v>
      </c>
      <c r="AY2162">
        <v>143.30000000000001</v>
      </c>
      <c r="AZ2162">
        <v>459.55</v>
      </c>
      <c r="BA2162">
        <v>0.81</v>
      </c>
      <c r="BB2162" t="s">
        <v>168</v>
      </c>
      <c r="BF2162">
        <v>-1.05</v>
      </c>
      <c r="BG2162">
        <v>-2.1</v>
      </c>
      <c r="BH2162">
        <v>-3.94</v>
      </c>
      <c r="BI2162">
        <v>0.12</v>
      </c>
      <c r="BJ2162">
        <v>20210913</v>
      </c>
      <c r="BK2162">
        <v>20200312</v>
      </c>
      <c r="BL2162">
        <v>0.99</v>
      </c>
      <c r="BM2162" t="s">
        <v>120</v>
      </c>
      <c r="BN2162" t="s">
        <v>120</v>
      </c>
      <c r="BO2162">
        <v>9.33</v>
      </c>
      <c r="BP2162">
        <v>26.06</v>
      </c>
      <c r="BQ2162">
        <v>7.96</v>
      </c>
      <c r="BR2162">
        <v>0.28000000000000003</v>
      </c>
      <c r="BS2162">
        <v>11.6</v>
      </c>
      <c r="BT2162">
        <v>4.82</v>
      </c>
      <c r="BU2162">
        <v>2.56</v>
      </c>
      <c r="BV2162">
        <v>0.42</v>
      </c>
      <c r="BW2162">
        <v>1</v>
      </c>
      <c r="BX2162">
        <v>2.73</v>
      </c>
      <c r="BY2162">
        <v>0.88</v>
      </c>
      <c r="BZ2162">
        <v>1.1100000000000001</v>
      </c>
      <c r="CA2162" t="s">
        <v>120</v>
      </c>
      <c r="CB2162">
        <v>5.07</v>
      </c>
      <c r="CC2162">
        <v>2.2999999999999998</v>
      </c>
      <c r="CD2162">
        <v>1.85</v>
      </c>
      <c r="CE2162">
        <v>0.11</v>
      </c>
      <c r="CF2162">
        <v>0</v>
      </c>
      <c r="CG2162">
        <v>0.23</v>
      </c>
      <c r="CH2162">
        <v>0.18</v>
      </c>
      <c r="CI2162">
        <v>0.21</v>
      </c>
      <c r="CJ2162">
        <v>-0.77</v>
      </c>
      <c r="CK2162">
        <v>0.11</v>
      </c>
      <c r="CL2162">
        <v>1.69</v>
      </c>
      <c r="CM2162">
        <v>-0.16</v>
      </c>
      <c r="CN2162">
        <v>-1.62</v>
      </c>
      <c r="CO2162">
        <v>12582</v>
      </c>
      <c r="CP2162">
        <v>2342</v>
      </c>
      <c r="CQ2162" t="s">
        <v>2516</v>
      </c>
      <c r="CR2162">
        <v>148.44999999999999</v>
      </c>
      <c r="CS2162">
        <v>15.97</v>
      </c>
      <c r="CT2162">
        <v>3.26</v>
      </c>
      <c r="CU2162">
        <v>-163.03</v>
      </c>
      <c r="CV2162">
        <v>11.29</v>
      </c>
      <c r="CW2162">
        <v>1.1200000000000001</v>
      </c>
      <c r="CX2162" t="s">
        <v>3361</v>
      </c>
      <c r="CY2162">
        <v>8.01</v>
      </c>
      <c r="CZ2162">
        <v>0</v>
      </c>
      <c r="DA2162">
        <v>5.0999999999999996</v>
      </c>
      <c r="DB2162">
        <v>1.7</v>
      </c>
      <c r="DC2162">
        <v>-0.16</v>
      </c>
      <c r="DD2162">
        <v>85.38</v>
      </c>
      <c r="DE2162" t="s">
        <v>7467</v>
      </c>
      <c r="DF2162">
        <v>19.559999999999999</v>
      </c>
      <c r="DG2162">
        <v>4.7</v>
      </c>
      <c r="DH2162">
        <v>9.34</v>
      </c>
      <c r="DI2162">
        <v>0.1</v>
      </c>
      <c r="DJ2162">
        <v>1040</v>
      </c>
      <c r="DK2162">
        <v>300819</v>
      </c>
      <c r="DL2162" t="s">
        <v>120</v>
      </c>
      <c r="DM2162" t="s">
        <v>120</v>
      </c>
      <c r="DN2162" t="s">
        <v>120</v>
      </c>
    </row>
    <row r="2163" spans="1:118">
      <c r="A2163" t="str">
        <f>"300820"</f>
        <v>300820</v>
      </c>
      <c r="B2163" t="s">
        <v>10479</v>
      </c>
      <c r="C2163">
        <v>-8.89</v>
      </c>
      <c r="D2163">
        <v>-0.02</v>
      </c>
      <c r="E2163">
        <v>0</v>
      </c>
      <c r="F2163">
        <v>130</v>
      </c>
      <c r="G2163" t="s">
        <v>10480</v>
      </c>
      <c r="H2163">
        <v>23470.6</v>
      </c>
      <c r="I2163">
        <v>30.04</v>
      </c>
      <c r="J2163" t="s">
        <v>120</v>
      </c>
      <c r="K2163" t="s">
        <v>10480</v>
      </c>
      <c r="L2163">
        <v>10.84</v>
      </c>
      <c r="M2163">
        <v>70.180000000000007</v>
      </c>
      <c r="N2163">
        <v>1.45</v>
      </c>
      <c r="O2163">
        <v>1.36</v>
      </c>
      <c r="P2163">
        <v>78.08</v>
      </c>
      <c r="Q2163">
        <v>-9.42</v>
      </c>
      <c r="R2163">
        <v>69.77</v>
      </c>
      <c r="S2163">
        <v>77.03</v>
      </c>
      <c r="T2163">
        <v>32317</v>
      </c>
      <c r="U2163">
        <v>70.180000000000007</v>
      </c>
      <c r="V2163">
        <v>77.03</v>
      </c>
      <c r="W2163">
        <v>46.1</v>
      </c>
      <c r="X2163" t="s">
        <v>394</v>
      </c>
      <c r="Y2163" t="s">
        <v>578</v>
      </c>
      <c r="Z2163">
        <v>10.79</v>
      </c>
      <c r="AA2163">
        <v>72.63</v>
      </c>
      <c r="AB2163">
        <v>17013</v>
      </c>
      <c r="AC2163">
        <v>15304</v>
      </c>
      <c r="AD2163">
        <v>1.1100000000000001</v>
      </c>
      <c r="AE2163">
        <v>5</v>
      </c>
      <c r="AF2163">
        <v>18</v>
      </c>
      <c r="AG2163" t="s">
        <v>120</v>
      </c>
      <c r="AH2163">
        <v>0.01</v>
      </c>
      <c r="AI2163" t="s">
        <v>120</v>
      </c>
      <c r="AJ2163">
        <v>0.3</v>
      </c>
      <c r="AK2163" t="s">
        <v>4901</v>
      </c>
      <c r="AL2163">
        <v>-6.98</v>
      </c>
      <c r="AM2163">
        <v>3208</v>
      </c>
      <c r="AN2163">
        <v>10</v>
      </c>
      <c r="AO2163">
        <v>3.3999999999999998E-3</v>
      </c>
      <c r="AP2163">
        <v>-1</v>
      </c>
      <c r="AQ2163">
        <v>2.11</v>
      </c>
      <c r="AR2163">
        <v>-6.4</v>
      </c>
      <c r="AS2163">
        <v>0.35</v>
      </c>
      <c r="AT2163">
        <v>34.340000000000003</v>
      </c>
      <c r="AU2163">
        <v>31.42</v>
      </c>
      <c r="AV2163">
        <v>1</v>
      </c>
      <c r="AW2163">
        <v>10.84</v>
      </c>
      <c r="AX2163">
        <v>31.26</v>
      </c>
      <c r="AY2163">
        <v>54.98</v>
      </c>
      <c r="AZ2163">
        <v>70.27</v>
      </c>
      <c r="BA2163">
        <v>0.53</v>
      </c>
      <c r="BB2163" t="s">
        <v>143</v>
      </c>
      <c r="BF2163">
        <v>-5.72</v>
      </c>
      <c r="BG2163">
        <v>-8.89</v>
      </c>
      <c r="BH2163">
        <v>-10.119999999999999</v>
      </c>
      <c r="BI2163">
        <v>0.59</v>
      </c>
      <c r="BJ2163">
        <v>20210827</v>
      </c>
      <c r="BK2163">
        <v>20200213</v>
      </c>
      <c r="BL2163">
        <v>0.95</v>
      </c>
      <c r="BM2163" t="s">
        <v>120</v>
      </c>
      <c r="BN2163" t="s">
        <v>120</v>
      </c>
      <c r="BO2163">
        <v>17.440000000000001</v>
      </c>
      <c r="BP2163">
        <v>70.17</v>
      </c>
      <c r="BQ2163">
        <v>10.95</v>
      </c>
      <c r="BR2163" t="s">
        <v>120</v>
      </c>
      <c r="BS2163">
        <v>37.19</v>
      </c>
      <c r="BT2163">
        <v>16.59</v>
      </c>
      <c r="BU2163">
        <v>0.46</v>
      </c>
      <c r="BV2163">
        <v>0.1</v>
      </c>
      <c r="BW2163">
        <v>6.44</v>
      </c>
      <c r="BX2163">
        <v>1.25</v>
      </c>
      <c r="BY2163">
        <v>5.34</v>
      </c>
      <c r="BZ2163">
        <v>0.51</v>
      </c>
      <c r="CA2163" t="s">
        <v>120</v>
      </c>
      <c r="CB2163">
        <v>4.8499999999999996</v>
      </c>
      <c r="CC2163">
        <v>2.69</v>
      </c>
      <c r="CD2163">
        <v>1.48</v>
      </c>
      <c r="CE2163">
        <v>0.84</v>
      </c>
      <c r="CF2163">
        <v>0.09</v>
      </c>
      <c r="CG2163">
        <v>0.84</v>
      </c>
      <c r="CH2163">
        <v>0.73</v>
      </c>
      <c r="CI2163">
        <v>0.73</v>
      </c>
      <c r="CJ2163">
        <v>-6.85</v>
      </c>
      <c r="CK2163">
        <v>0.65</v>
      </c>
      <c r="CL2163">
        <v>4.87</v>
      </c>
      <c r="CM2163">
        <v>-0.39</v>
      </c>
      <c r="CN2163">
        <v>-0.53</v>
      </c>
      <c r="CO2163">
        <v>11274</v>
      </c>
      <c r="CP2163">
        <v>2643</v>
      </c>
      <c r="CQ2163" t="s">
        <v>8578</v>
      </c>
      <c r="CR2163">
        <v>66.78</v>
      </c>
      <c r="CS2163">
        <v>43.15</v>
      </c>
      <c r="CT2163">
        <v>6.11</v>
      </c>
      <c r="CU2163">
        <v>-170.3</v>
      </c>
      <c r="CV2163">
        <v>24.86</v>
      </c>
      <c r="CW2163">
        <v>0.52</v>
      </c>
      <c r="CX2163" t="s">
        <v>2809</v>
      </c>
      <c r="CY2163">
        <v>11.49</v>
      </c>
      <c r="CZ2163">
        <v>0</v>
      </c>
      <c r="DA2163">
        <v>5.09</v>
      </c>
      <c r="DB2163">
        <v>5.1100000000000003</v>
      </c>
      <c r="DC2163">
        <v>-0.41</v>
      </c>
      <c r="DD2163">
        <v>62.81</v>
      </c>
      <c r="DE2163" t="s">
        <v>6377</v>
      </c>
      <c r="DF2163">
        <v>45.11</v>
      </c>
      <c r="DG2163">
        <v>31.09</v>
      </c>
      <c r="DH2163">
        <v>26.96</v>
      </c>
      <c r="DI2163">
        <v>0.2</v>
      </c>
      <c r="DJ2163">
        <v>569</v>
      </c>
      <c r="DK2163">
        <v>300820</v>
      </c>
      <c r="DL2163" t="s">
        <v>120</v>
      </c>
      <c r="DM2163" t="s">
        <v>120</v>
      </c>
      <c r="DN2163" t="s">
        <v>120</v>
      </c>
    </row>
    <row r="2164" spans="1:118">
      <c r="A2164" t="str">
        <f>"300821"</f>
        <v>300821</v>
      </c>
      <c r="B2164" t="s">
        <v>10481</v>
      </c>
      <c r="C2164">
        <v>-8.3699999999999992</v>
      </c>
      <c r="D2164">
        <v>0</v>
      </c>
      <c r="E2164">
        <v>0.28999999999999998</v>
      </c>
      <c r="F2164">
        <v>6540</v>
      </c>
      <c r="G2164" t="s">
        <v>10482</v>
      </c>
      <c r="H2164">
        <v>152070.47</v>
      </c>
      <c r="I2164">
        <v>783.21</v>
      </c>
      <c r="J2164" t="s">
        <v>120</v>
      </c>
      <c r="K2164" t="s">
        <v>10483</v>
      </c>
      <c r="L2164">
        <v>13.77</v>
      </c>
      <c r="M2164">
        <v>25.29</v>
      </c>
      <c r="N2164">
        <v>0.68</v>
      </c>
      <c r="O2164">
        <v>2.17</v>
      </c>
      <c r="P2164">
        <v>28.2</v>
      </c>
      <c r="Q2164">
        <v>-8.48</v>
      </c>
      <c r="R2164">
        <v>25.26</v>
      </c>
      <c r="S2164">
        <v>27.68</v>
      </c>
      <c r="T2164">
        <v>574233</v>
      </c>
      <c r="U2164">
        <v>25.3</v>
      </c>
      <c r="V2164">
        <v>27.6</v>
      </c>
      <c r="W2164">
        <v>41.02</v>
      </c>
      <c r="X2164" t="s">
        <v>868</v>
      </c>
      <c r="Y2164" t="s">
        <v>638</v>
      </c>
      <c r="Z2164">
        <v>10.65</v>
      </c>
      <c r="AA2164">
        <v>26.48</v>
      </c>
      <c r="AB2164">
        <v>313427</v>
      </c>
      <c r="AC2164">
        <v>260806</v>
      </c>
      <c r="AD2164">
        <v>1.2</v>
      </c>
      <c r="AE2164">
        <v>628</v>
      </c>
      <c r="AF2164">
        <v>84</v>
      </c>
      <c r="AG2164" t="s">
        <v>120</v>
      </c>
      <c r="AH2164">
        <v>0.09</v>
      </c>
      <c r="AI2164" t="s">
        <v>120</v>
      </c>
      <c r="AJ2164">
        <v>4.17</v>
      </c>
      <c r="AK2164" t="s">
        <v>10484</v>
      </c>
      <c r="AL2164">
        <v>-6.46</v>
      </c>
      <c r="AM2164">
        <v>4636</v>
      </c>
      <c r="AN2164">
        <v>124</v>
      </c>
      <c r="AO2164">
        <v>3.0000000000000001E-3</v>
      </c>
      <c r="AP2164">
        <v>-2</v>
      </c>
      <c r="AQ2164">
        <v>-1.08</v>
      </c>
      <c r="AR2164">
        <v>-7.71</v>
      </c>
      <c r="AS2164">
        <v>14.79</v>
      </c>
      <c r="AT2164">
        <v>105.61</v>
      </c>
      <c r="AU2164">
        <v>121.75</v>
      </c>
      <c r="AV2164">
        <v>2</v>
      </c>
      <c r="AW2164">
        <v>19.14</v>
      </c>
      <c r="AX2164">
        <v>25</v>
      </c>
      <c r="AY2164">
        <v>58.39</v>
      </c>
      <c r="AZ2164">
        <v>117.98</v>
      </c>
      <c r="BA2164">
        <v>0.5</v>
      </c>
      <c r="BB2164" t="s">
        <v>168</v>
      </c>
      <c r="BF2164">
        <v>-4.05</v>
      </c>
      <c r="BG2164">
        <v>-8.6300000000000008</v>
      </c>
      <c r="BH2164">
        <v>-10.32</v>
      </c>
      <c r="BI2164">
        <v>0.12</v>
      </c>
      <c r="BJ2164">
        <v>20210907</v>
      </c>
      <c r="BK2164">
        <v>20200312</v>
      </c>
      <c r="BL2164">
        <v>12</v>
      </c>
      <c r="BM2164" t="s">
        <v>120</v>
      </c>
      <c r="BN2164" t="s">
        <v>120</v>
      </c>
      <c r="BO2164">
        <v>49.21</v>
      </c>
      <c r="BP2164">
        <v>25.29</v>
      </c>
      <c r="BQ2164">
        <v>42.99</v>
      </c>
      <c r="BR2164" t="s">
        <v>120</v>
      </c>
      <c r="BS2164">
        <v>12.64</v>
      </c>
      <c r="BT2164">
        <v>29.91</v>
      </c>
      <c r="BU2164">
        <v>6.69</v>
      </c>
      <c r="BV2164">
        <v>1.88</v>
      </c>
      <c r="BW2164">
        <v>5.96</v>
      </c>
      <c r="BX2164">
        <v>23.56</v>
      </c>
      <c r="BY2164">
        <v>1.99</v>
      </c>
      <c r="BZ2164">
        <v>0.53</v>
      </c>
      <c r="CA2164" t="s">
        <v>120</v>
      </c>
      <c r="CB2164">
        <v>21.07</v>
      </c>
      <c r="CC2164">
        <v>16.54</v>
      </c>
      <c r="CD2164">
        <v>10.64</v>
      </c>
      <c r="CE2164">
        <v>4.37</v>
      </c>
      <c r="CF2164">
        <v>7.0000000000000007E-2</v>
      </c>
      <c r="CG2164">
        <v>4.37</v>
      </c>
      <c r="CH2164">
        <v>3.7</v>
      </c>
      <c r="CI2164">
        <v>3.7</v>
      </c>
      <c r="CJ2164">
        <v>-2.31</v>
      </c>
      <c r="CK2164">
        <v>3.75</v>
      </c>
      <c r="CL2164">
        <v>8.3699999999999992</v>
      </c>
      <c r="CM2164">
        <v>2</v>
      </c>
      <c r="CN2164">
        <v>3.55</v>
      </c>
      <c r="CO2164">
        <v>102121</v>
      </c>
      <c r="CP2164">
        <v>2938</v>
      </c>
      <c r="CQ2164" t="s">
        <v>6497</v>
      </c>
      <c r="CR2164">
        <v>343.42</v>
      </c>
      <c r="CS2164">
        <v>43.14</v>
      </c>
      <c r="CT2164">
        <v>7.06</v>
      </c>
      <c r="CU2164">
        <v>151.99</v>
      </c>
      <c r="CV2164">
        <v>18.34</v>
      </c>
      <c r="CW2164">
        <v>0.45</v>
      </c>
      <c r="CX2164" t="s">
        <v>2752</v>
      </c>
      <c r="CY2164">
        <v>3.58</v>
      </c>
      <c r="CZ2164">
        <v>0</v>
      </c>
      <c r="DA2164">
        <v>1.76</v>
      </c>
      <c r="DB2164">
        <v>0.7</v>
      </c>
      <c r="DC2164">
        <v>0.17</v>
      </c>
      <c r="DD2164">
        <v>87.36</v>
      </c>
      <c r="DE2164" t="s">
        <v>6381</v>
      </c>
      <c r="DF2164">
        <v>35.659999999999997</v>
      </c>
      <c r="DG2164">
        <v>26.41</v>
      </c>
      <c r="DH2164">
        <v>22.36</v>
      </c>
      <c r="DI2164">
        <v>0.97</v>
      </c>
      <c r="DJ2164">
        <v>852</v>
      </c>
      <c r="DK2164">
        <v>300821</v>
      </c>
      <c r="DL2164">
        <v>20210819</v>
      </c>
      <c r="DM2164">
        <v>22.03</v>
      </c>
      <c r="DN2164">
        <v>14.8</v>
      </c>
    </row>
    <row r="2165" spans="1:118">
      <c r="A2165" t="str">
        <f>"300822"</f>
        <v>300822</v>
      </c>
      <c r="B2165" t="s">
        <v>10485</v>
      </c>
      <c r="C2165">
        <v>-2.35</v>
      </c>
      <c r="D2165">
        <v>0.04</v>
      </c>
      <c r="E2165">
        <v>-0.96</v>
      </c>
      <c r="F2165">
        <v>143</v>
      </c>
      <c r="G2165" t="s">
        <v>10486</v>
      </c>
      <c r="H2165">
        <v>2594.13</v>
      </c>
      <c r="I2165">
        <v>0</v>
      </c>
      <c r="J2165" t="s">
        <v>120</v>
      </c>
      <c r="K2165" t="s">
        <v>10486</v>
      </c>
      <c r="L2165">
        <v>2.44</v>
      </c>
      <c r="M2165">
        <v>25.38</v>
      </c>
      <c r="N2165">
        <v>0.73</v>
      </c>
      <c r="O2165">
        <v>0.27</v>
      </c>
      <c r="P2165">
        <v>26.06</v>
      </c>
      <c r="Q2165">
        <v>-2.46</v>
      </c>
      <c r="R2165">
        <v>25.35</v>
      </c>
      <c r="S2165">
        <v>25.74</v>
      </c>
      <c r="T2165">
        <v>10125</v>
      </c>
      <c r="U2165">
        <v>25.38</v>
      </c>
      <c r="V2165">
        <v>25.99</v>
      </c>
      <c r="W2165">
        <v>23.59</v>
      </c>
      <c r="X2165" t="s">
        <v>229</v>
      </c>
      <c r="Y2165" t="s">
        <v>123</v>
      </c>
      <c r="Z2165">
        <v>2.73</v>
      </c>
      <c r="AA2165">
        <v>25.62</v>
      </c>
      <c r="AB2165">
        <v>6521</v>
      </c>
      <c r="AC2165">
        <v>3604</v>
      </c>
      <c r="AD2165">
        <v>1.81</v>
      </c>
      <c r="AE2165">
        <v>42</v>
      </c>
      <c r="AF2165">
        <v>33</v>
      </c>
      <c r="AG2165" t="s">
        <v>120</v>
      </c>
      <c r="AH2165">
        <v>0</v>
      </c>
      <c r="AI2165" t="s">
        <v>120</v>
      </c>
      <c r="AJ2165">
        <v>0.42</v>
      </c>
      <c r="AK2165" t="s">
        <v>10487</v>
      </c>
      <c r="AL2165">
        <v>-0.43</v>
      </c>
      <c r="AM2165">
        <v>877</v>
      </c>
      <c r="AN2165">
        <v>12</v>
      </c>
      <c r="AO2165">
        <v>2.8E-3</v>
      </c>
      <c r="AP2165">
        <v>-1</v>
      </c>
      <c r="AQ2165">
        <v>1.33</v>
      </c>
      <c r="AR2165">
        <v>-2.2000000000000002</v>
      </c>
      <c r="AS2165">
        <v>-3.31</v>
      </c>
      <c r="AT2165">
        <v>-4.8</v>
      </c>
      <c r="AU2165">
        <v>-13.5</v>
      </c>
      <c r="AV2165">
        <v>1</v>
      </c>
      <c r="AW2165">
        <v>2.44</v>
      </c>
      <c r="AX2165">
        <v>25.94</v>
      </c>
      <c r="AY2165">
        <v>23.27</v>
      </c>
      <c r="AZ2165">
        <v>24.59</v>
      </c>
      <c r="BA2165">
        <v>0.93</v>
      </c>
      <c r="BB2165" t="s">
        <v>143</v>
      </c>
      <c r="BF2165">
        <v>-1.41</v>
      </c>
      <c r="BG2165">
        <v>-1.4</v>
      </c>
      <c r="BH2165">
        <v>-2.61</v>
      </c>
      <c r="BI2165">
        <v>0.12</v>
      </c>
      <c r="BJ2165">
        <v>20210827</v>
      </c>
      <c r="BK2165">
        <v>20200313</v>
      </c>
      <c r="BL2165">
        <v>1.6</v>
      </c>
      <c r="BM2165" t="s">
        <v>120</v>
      </c>
      <c r="BN2165" t="s">
        <v>120</v>
      </c>
      <c r="BO2165">
        <v>15.47</v>
      </c>
      <c r="BP2165">
        <v>25.37</v>
      </c>
      <c r="BQ2165">
        <v>11.72</v>
      </c>
      <c r="BR2165" t="s">
        <v>120</v>
      </c>
      <c r="BS2165">
        <v>24.21</v>
      </c>
      <c r="BT2165">
        <v>10.98</v>
      </c>
      <c r="BU2165">
        <v>2.08</v>
      </c>
      <c r="BV2165">
        <v>0.54</v>
      </c>
      <c r="BW2165">
        <v>3.58</v>
      </c>
      <c r="BX2165">
        <v>4.3099999999999996</v>
      </c>
      <c r="BY2165">
        <v>3.24</v>
      </c>
      <c r="BZ2165">
        <v>3.05</v>
      </c>
      <c r="CA2165" t="s">
        <v>120</v>
      </c>
      <c r="CB2165">
        <v>5.85</v>
      </c>
      <c r="CC2165">
        <v>5.7</v>
      </c>
      <c r="CD2165">
        <v>4.21</v>
      </c>
      <c r="CE2165">
        <v>0.97</v>
      </c>
      <c r="CF2165">
        <v>0</v>
      </c>
      <c r="CG2165">
        <v>0.97</v>
      </c>
      <c r="CH2165">
        <v>0.86</v>
      </c>
      <c r="CI2165">
        <v>0.86</v>
      </c>
      <c r="CJ2165">
        <v>-0.61</v>
      </c>
      <c r="CK2165">
        <v>0.82</v>
      </c>
      <c r="CL2165">
        <v>3.87</v>
      </c>
      <c r="CM2165">
        <v>-1.43</v>
      </c>
      <c r="CN2165">
        <v>-1.65</v>
      </c>
      <c r="CO2165">
        <v>13814</v>
      </c>
      <c r="CP2165">
        <v>3005</v>
      </c>
      <c r="CQ2165" t="s">
        <v>10488</v>
      </c>
      <c r="CR2165">
        <v>12.56</v>
      </c>
      <c r="CS2165">
        <v>72.900000000000006</v>
      </c>
      <c r="CT2165">
        <v>3.46</v>
      </c>
      <c r="CU2165">
        <v>-28.3</v>
      </c>
      <c r="CV2165">
        <v>7.12</v>
      </c>
      <c r="CW2165">
        <v>1.28</v>
      </c>
      <c r="CX2165" t="s">
        <v>10489</v>
      </c>
      <c r="CY2165">
        <v>7.33</v>
      </c>
      <c r="CZ2165">
        <v>0</v>
      </c>
      <c r="DA2165">
        <v>3.66</v>
      </c>
      <c r="DB2165">
        <v>2.42</v>
      </c>
      <c r="DC2165">
        <v>-0.9</v>
      </c>
      <c r="DD2165">
        <v>75.790000000000006</v>
      </c>
      <c r="DE2165" t="s">
        <v>10490</v>
      </c>
      <c r="DF2165">
        <v>26.19</v>
      </c>
      <c r="DG2165">
        <v>17.02</v>
      </c>
      <c r="DH2165">
        <v>15.1</v>
      </c>
      <c r="DI2165">
        <v>0.24</v>
      </c>
      <c r="DJ2165">
        <v>1812</v>
      </c>
      <c r="DK2165">
        <v>300822</v>
      </c>
      <c r="DL2165" t="s">
        <v>120</v>
      </c>
      <c r="DM2165" t="s">
        <v>120</v>
      </c>
      <c r="DN2165" t="s">
        <v>120</v>
      </c>
    </row>
    <row r="2166" spans="1:118">
      <c r="A2166" t="str">
        <f>"300823"</f>
        <v>300823</v>
      </c>
      <c r="B2166" t="s">
        <v>10491</v>
      </c>
      <c r="C2166">
        <v>-1.76</v>
      </c>
      <c r="D2166">
        <v>0.08</v>
      </c>
      <c r="E2166">
        <v>-0.68</v>
      </c>
      <c r="F2166">
        <v>211</v>
      </c>
      <c r="G2166" t="s">
        <v>6752</v>
      </c>
      <c r="H2166">
        <v>3609.65</v>
      </c>
      <c r="I2166">
        <v>7.93</v>
      </c>
      <c r="J2166" t="s">
        <v>120</v>
      </c>
      <c r="K2166" t="s">
        <v>6752</v>
      </c>
      <c r="L2166">
        <v>3.82</v>
      </c>
      <c r="M2166">
        <v>24.5</v>
      </c>
      <c r="N2166">
        <v>0.56999999999999995</v>
      </c>
      <c r="O2166">
        <v>0.72</v>
      </c>
      <c r="P2166">
        <v>25.12</v>
      </c>
      <c r="Q2166">
        <v>-2.4500000000000002</v>
      </c>
      <c r="R2166">
        <v>24.33</v>
      </c>
      <c r="S2166">
        <v>24.77</v>
      </c>
      <c r="T2166">
        <v>14590</v>
      </c>
      <c r="U2166">
        <v>24.51</v>
      </c>
      <c r="V2166">
        <v>24.94</v>
      </c>
      <c r="W2166">
        <v>25.22</v>
      </c>
      <c r="X2166" t="s">
        <v>675</v>
      </c>
      <c r="Y2166" t="s">
        <v>997</v>
      </c>
      <c r="Z2166">
        <v>3.17</v>
      </c>
      <c r="AA2166">
        <v>24.74</v>
      </c>
      <c r="AB2166">
        <v>8734</v>
      </c>
      <c r="AC2166">
        <v>5856</v>
      </c>
      <c r="AD2166">
        <v>1.49</v>
      </c>
      <c r="AE2166">
        <v>61</v>
      </c>
      <c r="AF2166">
        <v>54</v>
      </c>
      <c r="AG2166" t="s">
        <v>120</v>
      </c>
      <c r="AH2166">
        <v>0.01</v>
      </c>
      <c r="AI2166" t="s">
        <v>120</v>
      </c>
      <c r="AJ2166">
        <v>0.38</v>
      </c>
      <c r="AK2166" t="s">
        <v>3898</v>
      </c>
      <c r="AL2166">
        <v>0.15</v>
      </c>
      <c r="AM2166">
        <v>1041</v>
      </c>
      <c r="AN2166">
        <v>14</v>
      </c>
      <c r="AO2166">
        <v>3.7000000000000002E-3</v>
      </c>
      <c r="AP2166">
        <v>-2</v>
      </c>
      <c r="AQ2166">
        <v>-2.54</v>
      </c>
      <c r="AR2166">
        <v>-2.78</v>
      </c>
      <c r="AS2166">
        <v>7.36</v>
      </c>
      <c r="AT2166">
        <v>-1.21</v>
      </c>
      <c r="AU2166">
        <v>-13.83</v>
      </c>
      <c r="AV2166">
        <v>0</v>
      </c>
      <c r="AW2166">
        <v>3.82</v>
      </c>
      <c r="AX2166">
        <v>40.799999999999997</v>
      </c>
      <c r="AY2166">
        <v>24.66</v>
      </c>
      <c r="AZ2166">
        <v>26</v>
      </c>
      <c r="BA2166">
        <v>0.4</v>
      </c>
      <c r="BB2166" t="s">
        <v>143</v>
      </c>
      <c r="BF2166">
        <v>-0.8</v>
      </c>
      <c r="BG2166">
        <v>-1.0900000000000001</v>
      </c>
      <c r="BH2166">
        <v>-2.4700000000000002</v>
      </c>
      <c r="BI2166">
        <v>0.7</v>
      </c>
      <c r="BJ2166">
        <v>20210914</v>
      </c>
      <c r="BK2166">
        <v>20200319</v>
      </c>
      <c r="BL2166">
        <v>0.94</v>
      </c>
      <c r="BM2166" t="s">
        <v>120</v>
      </c>
      <c r="BN2166" t="s">
        <v>120</v>
      </c>
      <c r="BO2166">
        <v>12.18</v>
      </c>
      <c r="BP2166">
        <v>24.5</v>
      </c>
      <c r="BQ2166">
        <v>9.3000000000000007</v>
      </c>
      <c r="BR2166">
        <v>0.05</v>
      </c>
      <c r="BS2166">
        <v>23.18</v>
      </c>
      <c r="BT2166">
        <v>8.77</v>
      </c>
      <c r="BU2166">
        <v>1.71</v>
      </c>
      <c r="BV2166">
        <v>1.04</v>
      </c>
      <c r="BW2166">
        <v>2.48</v>
      </c>
      <c r="BX2166">
        <v>3.65</v>
      </c>
      <c r="BY2166">
        <v>2.36</v>
      </c>
      <c r="BZ2166">
        <v>2.0499999999999998</v>
      </c>
      <c r="CA2166" t="s">
        <v>120</v>
      </c>
      <c r="CB2166">
        <v>3.92</v>
      </c>
      <c r="CC2166">
        <v>2.2599999999999998</v>
      </c>
      <c r="CD2166">
        <v>1.21</v>
      </c>
      <c r="CE2166">
        <v>0.54</v>
      </c>
      <c r="CF2166">
        <v>0</v>
      </c>
      <c r="CG2166">
        <v>0.54</v>
      </c>
      <c r="CH2166">
        <v>0.46</v>
      </c>
      <c r="CI2166">
        <v>0.45</v>
      </c>
      <c r="CJ2166">
        <v>-0.44</v>
      </c>
      <c r="CK2166">
        <v>0.44</v>
      </c>
      <c r="CL2166">
        <v>3.87</v>
      </c>
      <c r="CM2166">
        <v>0.45</v>
      </c>
      <c r="CN2166">
        <v>-0.25</v>
      </c>
      <c r="CO2166">
        <v>10500</v>
      </c>
      <c r="CP2166">
        <v>3636</v>
      </c>
      <c r="CQ2166" t="s">
        <v>3105</v>
      </c>
      <c r="CR2166">
        <v>11.97</v>
      </c>
      <c r="CS2166">
        <v>7.38</v>
      </c>
      <c r="CT2166">
        <v>2.46</v>
      </c>
      <c r="CU2166">
        <v>50.56</v>
      </c>
      <c r="CV2166">
        <v>10.16</v>
      </c>
      <c r="CW2166">
        <v>1.72</v>
      </c>
      <c r="CX2166" t="s">
        <v>3347</v>
      </c>
      <c r="CY2166">
        <v>9.94</v>
      </c>
      <c r="CZ2166">
        <v>0</v>
      </c>
      <c r="DA2166">
        <v>4.18</v>
      </c>
      <c r="DB2166">
        <v>4.1399999999999997</v>
      </c>
      <c r="DC2166">
        <v>0.48</v>
      </c>
      <c r="DD2166">
        <v>76.37</v>
      </c>
      <c r="DE2166" t="s">
        <v>4482</v>
      </c>
      <c r="DF2166">
        <v>46.6</v>
      </c>
      <c r="DG2166">
        <v>23.82</v>
      </c>
      <c r="DH2166">
        <v>20.14</v>
      </c>
      <c r="DI2166">
        <v>0.14000000000000001</v>
      </c>
      <c r="DJ2166">
        <v>590</v>
      </c>
      <c r="DK2166">
        <v>300823</v>
      </c>
      <c r="DL2166" t="s">
        <v>120</v>
      </c>
      <c r="DM2166" t="s">
        <v>120</v>
      </c>
      <c r="DN2166" t="s">
        <v>120</v>
      </c>
    </row>
    <row r="2167" spans="1:118">
      <c r="A2167" t="str">
        <f>"300824"</f>
        <v>300824</v>
      </c>
      <c r="B2167" t="s">
        <v>10492</v>
      </c>
      <c r="C2167">
        <v>-2.41</v>
      </c>
      <c r="D2167">
        <v>0</v>
      </c>
      <c r="E2167">
        <v>-0.1</v>
      </c>
      <c r="F2167">
        <v>165</v>
      </c>
      <c r="G2167" t="s">
        <v>10493</v>
      </c>
      <c r="H2167">
        <v>1716.74</v>
      </c>
      <c r="I2167">
        <v>3.52</v>
      </c>
      <c r="J2167" t="s">
        <v>120</v>
      </c>
      <c r="K2167" t="s">
        <v>4291</v>
      </c>
      <c r="L2167">
        <v>0.87</v>
      </c>
      <c r="M2167">
        <v>20.239999999999998</v>
      </c>
      <c r="N2167">
        <v>0.83</v>
      </c>
      <c r="O2167">
        <v>0.39</v>
      </c>
      <c r="P2167">
        <v>20.82</v>
      </c>
      <c r="Q2167">
        <v>-2.6</v>
      </c>
      <c r="R2167">
        <v>20.2</v>
      </c>
      <c r="S2167">
        <v>20.72</v>
      </c>
      <c r="T2167">
        <v>8404</v>
      </c>
      <c r="U2167">
        <v>20.25</v>
      </c>
      <c r="V2167">
        <v>20.74</v>
      </c>
      <c r="W2167">
        <v>43.91</v>
      </c>
      <c r="X2167" t="s">
        <v>205</v>
      </c>
      <c r="Y2167" t="s">
        <v>123</v>
      </c>
      <c r="Z2167">
        <v>2.99</v>
      </c>
      <c r="AA2167">
        <v>20.43</v>
      </c>
      <c r="AB2167">
        <v>5333</v>
      </c>
      <c r="AC2167">
        <v>3071</v>
      </c>
      <c r="AD2167">
        <v>1.74</v>
      </c>
      <c r="AE2167">
        <v>139</v>
      </c>
      <c r="AF2167">
        <v>98</v>
      </c>
      <c r="AG2167" t="s">
        <v>120</v>
      </c>
      <c r="AH2167">
        <v>0</v>
      </c>
      <c r="AI2167" t="s">
        <v>120</v>
      </c>
      <c r="AJ2167">
        <v>0.96</v>
      </c>
      <c r="AK2167" t="s">
        <v>5670</v>
      </c>
      <c r="AL2167">
        <v>-0.5</v>
      </c>
      <c r="AM2167">
        <v>706</v>
      </c>
      <c r="AN2167">
        <v>12</v>
      </c>
      <c r="AO2167">
        <v>1.1999999999999999E-3</v>
      </c>
      <c r="AP2167">
        <v>-5</v>
      </c>
      <c r="AQ2167">
        <v>-2.4900000000000002</v>
      </c>
      <c r="AR2167">
        <v>-5.1100000000000003</v>
      </c>
      <c r="AS2167">
        <v>-6.08</v>
      </c>
      <c r="AT2167">
        <v>-18.72</v>
      </c>
      <c r="AU2167">
        <v>-26.88</v>
      </c>
      <c r="AV2167">
        <v>0</v>
      </c>
      <c r="AW2167">
        <v>1.1599999999999999</v>
      </c>
      <c r="AX2167">
        <v>33.32</v>
      </c>
      <c r="AY2167">
        <v>42.7</v>
      </c>
      <c r="AZ2167">
        <v>44.93</v>
      </c>
      <c r="BA2167">
        <v>1</v>
      </c>
      <c r="BB2167" t="s">
        <v>134</v>
      </c>
      <c r="BF2167">
        <v>-1.51</v>
      </c>
      <c r="BG2167">
        <v>-2.3199999999999998</v>
      </c>
      <c r="BH2167">
        <v>-2.79</v>
      </c>
      <c r="BI2167">
        <v>0.2</v>
      </c>
      <c r="BJ2167">
        <v>20210824</v>
      </c>
      <c r="BK2167">
        <v>20200619</v>
      </c>
      <c r="BL2167">
        <v>2.17</v>
      </c>
      <c r="BM2167" t="s">
        <v>120</v>
      </c>
      <c r="BN2167" t="s">
        <v>120</v>
      </c>
      <c r="BO2167">
        <v>9.2200000000000006</v>
      </c>
      <c r="BP2167">
        <v>20.239999999999998</v>
      </c>
      <c r="BQ2167">
        <v>6.56</v>
      </c>
      <c r="BR2167" t="s">
        <v>120</v>
      </c>
      <c r="BS2167">
        <v>28.83</v>
      </c>
      <c r="BT2167">
        <v>7.74</v>
      </c>
      <c r="BU2167">
        <v>0.43</v>
      </c>
      <c r="BV2167">
        <v>0.05</v>
      </c>
      <c r="BW2167">
        <v>2.06</v>
      </c>
      <c r="BX2167">
        <v>3.47</v>
      </c>
      <c r="BY2167">
        <v>1.96</v>
      </c>
      <c r="BZ2167">
        <v>0.28999999999999998</v>
      </c>
      <c r="CA2167" t="s">
        <v>120</v>
      </c>
      <c r="CB2167">
        <v>2.58</v>
      </c>
      <c r="CC2167">
        <v>3.54</v>
      </c>
      <c r="CD2167">
        <v>1.78</v>
      </c>
      <c r="CE2167">
        <v>0.56999999999999995</v>
      </c>
      <c r="CF2167">
        <v>0.05</v>
      </c>
      <c r="CG2167">
        <v>0.56999999999999995</v>
      </c>
      <c r="CH2167">
        <v>0.5</v>
      </c>
      <c r="CI2167">
        <v>0.5</v>
      </c>
      <c r="CJ2167">
        <v>-0.5</v>
      </c>
      <c r="CK2167">
        <v>0.45</v>
      </c>
      <c r="CL2167">
        <v>1.5</v>
      </c>
      <c r="CM2167">
        <v>0.26</v>
      </c>
      <c r="CN2167">
        <v>-1.66</v>
      </c>
      <c r="CO2167">
        <v>17207</v>
      </c>
      <c r="CP2167">
        <v>4210</v>
      </c>
      <c r="CQ2167" t="s">
        <v>836</v>
      </c>
      <c r="CR2167">
        <v>11.66</v>
      </c>
      <c r="CS2167">
        <v>26.56</v>
      </c>
      <c r="CT2167">
        <v>6.7</v>
      </c>
      <c r="CU2167">
        <v>167.33</v>
      </c>
      <c r="CV2167">
        <v>12.42</v>
      </c>
      <c r="CW2167">
        <v>1.21</v>
      </c>
      <c r="CX2167" t="s">
        <v>694</v>
      </c>
      <c r="CY2167">
        <v>3.02</v>
      </c>
      <c r="CZ2167">
        <v>0</v>
      </c>
      <c r="DA2167">
        <v>1.19</v>
      </c>
      <c r="DB2167">
        <v>0.69</v>
      </c>
      <c r="DC2167">
        <v>0.12</v>
      </c>
      <c r="DD2167">
        <v>71.17</v>
      </c>
      <c r="DE2167" t="s">
        <v>4898</v>
      </c>
      <c r="DF2167">
        <v>49.67</v>
      </c>
      <c r="DG2167">
        <v>16</v>
      </c>
      <c r="DH2167">
        <v>14.14</v>
      </c>
      <c r="DI2167">
        <v>0.12</v>
      </c>
      <c r="DJ2167">
        <v>1114</v>
      </c>
      <c r="DK2167">
        <v>300824</v>
      </c>
      <c r="DL2167" t="s">
        <v>120</v>
      </c>
      <c r="DM2167" t="s">
        <v>120</v>
      </c>
      <c r="DN2167" t="s">
        <v>120</v>
      </c>
    </row>
    <row r="2168" spans="1:118">
      <c r="A2168" t="str">
        <f>"300825"</f>
        <v>300825</v>
      </c>
      <c r="B2168" t="s">
        <v>10494</v>
      </c>
      <c r="C2168">
        <v>-4.75</v>
      </c>
      <c r="D2168">
        <v>-7.0000000000000007E-2</v>
      </c>
      <c r="E2168">
        <v>-1.17</v>
      </c>
      <c r="F2168">
        <v>1402</v>
      </c>
      <c r="G2168" t="s">
        <v>10495</v>
      </c>
      <c r="H2168">
        <v>69392.539999999994</v>
      </c>
      <c r="I2168">
        <v>400.03</v>
      </c>
      <c r="J2168" t="s">
        <v>120</v>
      </c>
      <c r="K2168" t="s">
        <v>10496</v>
      </c>
      <c r="L2168">
        <v>7.99</v>
      </c>
      <c r="M2168">
        <v>35.700000000000003</v>
      </c>
      <c r="N2168">
        <v>1.78</v>
      </c>
      <c r="O2168">
        <v>-0.08</v>
      </c>
      <c r="P2168">
        <v>37.450000000000003</v>
      </c>
      <c r="Q2168">
        <v>-8</v>
      </c>
      <c r="R2168">
        <v>34.479999999999997</v>
      </c>
      <c r="S2168">
        <v>37.04</v>
      </c>
      <c r="T2168">
        <v>195510</v>
      </c>
      <c r="U2168">
        <v>35.700000000000003</v>
      </c>
      <c r="V2168">
        <v>37.479999999999997</v>
      </c>
      <c r="W2168">
        <v>52.68</v>
      </c>
      <c r="X2168" t="s">
        <v>253</v>
      </c>
      <c r="Y2168" t="s">
        <v>158</v>
      </c>
      <c r="Z2168">
        <v>7.92</v>
      </c>
      <c r="AA2168">
        <v>35.49</v>
      </c>
      <c r="AB2168">
        <v>115312</v>
      </c>
      <c r="AC2168">
        <v>80198</v>
      </c>
      <c r="AD2168">
        <v>1.44</v>
      </c>
      <c r="AE2168">
        <v>50</v>
      </c>
      <c r="AF2168">
        <v>59</v>
      </c>
      <c r="AG2168" t="s">
        <v>120</v>
      </c>
      <c r="AH2168">
        <v>0.05</v>
      </c>
      <c r="AI2168" t="s">
        <v>120</v>
      </c>
      <c r="AJ2168">
        <v>2.4500000000000002</v>
      </c>
      <c r="AK2168" t="s">
        <v>10497</v>
      </c>
      <c r="AL2168">
        <v>-2.84</v>
      </c>
      <c r="AM2168">
        <v>3815</v>
      </c>
      <c r="AN2168">
        <v>51</v>
      </c>
      <c r="AO2168">
        <v>2.0999999999999999E-3</v>
      </c>
      <c r="AP2168">
        <v>-1</v>
      </c>
      <c r="AQ2168">
        <v>6.03</v>
      </c>
      <c r="AR2168">
        <v>1.4</v>
      </c>
      <c r="AS2168">
        <v>24.39</v>
      </c>
      <c r="AT2168">
        <v>32.03</v>
      </c>
      <c r="AU2168">
        <v>29.35</v>
      </c>
      <c r="AV2168">
        <v>0</v>
      </c>
      <c r="AW2168">
        <v>9.58</v>
      </c>
      <c r="AX2168">
        <v>66.790000000000006</v>
      </c>
      <c r="AY2168">
        <v>64.58</v>
      </c>
      <c r="AZ2168">
        <v>103.27</v>
      </c>
      <c r="BA2168">
        <v>0.87</v>
      </c>
      <c r="BB2168" t="s">
        <v>168</v>
      </c>
      <c r="BF2168">
        <v>-5.3</v>
      </c>
      <c r="BG2168">
        <v>-3.62</v>
      </c>
      <c r="BH2168">
        <v>-4.67</v>
      </c>
      <c r="BI2168">
        <v>3.54</v>
      </c>
      <c r="BJ2168">
        <v>20210827</v>
      </c>
      <c r="BK2168">
        <v>20200327</v>
      </c>
      <c r="BL2168">
        <v>3.06</v>
      </c>
      <c r="BM2168" t="s">
        <v>120</v>
      </c>
      <c r="BN2168" t="s">
        <v>120</v>
      </c>
      <c r="BO2168">
        <v>23.34</v>
      </c>
      <c r="BP2168">
        <v>35.69</v>
      </c>
      <c r="BQ2168">
        <v>15.89</v>
      </c>
      <c r="BR2168">
        <v>2.2599999999999998</v>
      </c>
      <c r="BS2168">
        <v>22.25</v>
      </c>
      <c r="BT2168">
        <v>14.62</v>
      </c>
      <c r="BU2168">
        <v>1.78</v>
      </c>
      <c r="BV2168">
        <v>1.51</v>
      </c>
      <c r="BW2168">
        <v>3.51</v>
      </c>
      <c r="BX2168">
        <v>3.87</v>
      </c>
      <c r="BY2168">
        <v>3.4</v>
      </c>
      <c r="BZ2168">
        <v>1.58</v>
      </c>
      <c r="CA2168" t="s">
        <v>120</v>
      </c>
      <c r="CB2168">
        <v>8.33</v>
      </c>
      <c r="CC2168">
        <v>6.12</v>
      </c>
      <c r="CD2168">
        <v>3.88</v>
      </c>
      <c r="CE2168">
        <v>1.1100000000000001</v>
      </c>
      <c r="CF2168">
        <v>0.05</v>
      </c>
      <c r="CG2168">
        <v>1.1200000000000001</v>
      </c>
      <c r="CH2168">
        <v>1</v>
      </c>
      <c r="CI2168">
        <v>1.04</v>
      </c>
      <c r="CJ2168">
        <v>-1.78</v>
      </c>
      <c r="CK2168">
        <v>1.01</v>
      </c>
      <c r="CL2168">
        <v>4.0199999999999996</v>
      </c>
      <c r="CM2168">
        <v>1.41</v>
      </c>
      <c r="CN2168">
        <v>2.4500000000000002</v>
      </c>
      <c r="CO2168">
        <v>13374</v>
      </c>
      <c r="CP2168">
        <v>15266</v>
      </c>
      <c r="CQ2168" t="s">
        <v>7447</v>
      </c>
      <c r="CR2168">
        <v>179.17</v>
      </c>
      <c r="CS2168">
        <v>82.47</v>
      </c>
      <c r="CT2168">
        <v>6.87</v>
      </c>
      <c r="CU2168">
        <v>77.23</v>
      </c>
      <c r="CV2168">
        <v>17.829999999999998</v>
      </c>
      <c r="CW2168">
        <v>0</v>
      </c>
      <c r="CX2168" t="s">
        <v>10498</v>
      </c>
      <c r="CY2168">
        <v>5.2</v>
      </c>
      <c r="CZ2168">
        <v>0</v>
      </c>
      <c r="DA2168">
        <v>2.73</v>
      </c>
      <c r="DB2168">
        <v>1.32</v>
      </c>
      <c r="DC2168">
        <v>0.46</v>
      </c>
      <c r="DD2168">
        <v>68.06</v>
      </c>
      <c r="DE2168" t="s">
        <v>6646</v>
      </c>
      <c r="DF2168">
        <v>36.69</v>
      </c>
      <c r="DG2168">
        <v>18.2</v>
      </c>
      <c r="DH2168">
        <v>16.920000000000002</v>
      </c>
      <c r="DI2168">
        <v>0.41</v>
      </c>
      <c r="DJ2168">
        <v>1722</v>
      </c>
      <c r="DK2168">
        <v>300825</v>
      </c>
      <c r="DL2168" t="s">
        <v>120</v>
      </c>
      <c r="DM2168" t="s">
        <v>120</v>
      </c>
      <c r="DN2168" t="s">
        <v>120</v>
      </c>
    </row>
    <row r="2169" spans="1:118">
      <c r="A2169" t="str">
        <f>"300826"</f>
        <v>300826</v>
      </c>
      <c r="B2169" t="s">
        <v>10499</v>
      </c>
      <c r="C2169">
        <v>-0.42</v>
      </c>
      <c r="D2169">
        <v>-0.3</v>
      </c>
      <c r="E2169">
        <v>0.31</v>
      </c>
      <c r="F2169">
        <v>44</v>
      </c>
      <c r="G2169" t="s">
        <v>10500</v>
      </c>
      <c r="H2169">
        <v>1131.4000000000001</v>
      </c>
      <c r="I2169">
        <v>1.35</v>
      </c>
      <c r="J2169" t="s">
        <v>120</v>
      </c>
      <c r="K2169" t="s">
        <v>10500</v>
      </c>
      <c r="L2169">
        <v>1.1499999999999999</v>
      </c>
      <c r="M2169">
        <v>19.14</v>
      </c>
      <c r="N2169">
        <v>0.55000000000000004</v>
      </c>
      <c r="O2169">
        <v>1.56</v>
      </c>
      <c r="P2169">
        <v>19.52</v>
      </c>
      <c r="Q2169">
        <v>-0.68</v>
      </c>
      <c r="R2169">
        <v>19.09</v>
      </c>
      <c r="S2169">
        <v>19.28</v>
      </c>
      <c r="T2169">
        <v>5861</v>
      </c>
      <c r="U2169">
        <v>19.14</v>
      </c>
      <c r="V2169">
        <v>19.22</v>
      </c>
      <c r="W2169">
        <v>36.43</v>
      </c>
      <c r="X2169" t="s">
        <v>175</v>
      </c>
      <c r="Y2169" t="s">
        <v>319</v>
      </c>
      <c r="Z2169">
        <v>2.2400000000000002</v>
      </c>
      <c r="AA2169">
        <v>19.3</v>
      </c>
      <c r="AB2169">
        <v>2931</v>
      </c>
      <c r="AC2169">
        <v>2930</v>
      </c>
      <c r="AD2169">
        <v>1</v>
      </c>
      <c r="AE2169">
        <v>30</v>
      </c>
      <c r="AF2169">
        <v>5</v>
      </c>
      <c r="AG2169" t="s">
        <v>120</v>
      </c>
      <c r="AH2169">
        <v>0</v>
      </c>
      <c r="AI2169" t="s">
        <v>120</v>
      </c>
      <c r="AJ2169">
        <v>0.51</v>
      </c>
      <c r="AK2169" t="s">
        <v>10501</v>
      </c>
      <c r="AL2169">
        <v>1.5</v>
      </c>
      <c r="AM2169">
        <v>540</v>
      </c>
      <c r="AN2169">
        <v>11</v>
      </c>
      <c r="AO2169">
        <v>2.0999999999999999E-3</v>
      </c>
      <c r="AP2169">
        <v>-1</v>
      </c>
      <c r="AQ2169">
        <v>0.47</v>
      </c>
      <c r="AR2169">
        <v>-1.85</v>
      </c>
      <c r="AS2169">
        <v>0.47</v>
      </c>
      <c r="AT2169">
        <v>-5.85</v>
      </c>
      <c r="AU2169">
        <v>-10.11</v>
      </c>
      <c r="AV2169">
        <v>0</v>
      </c>
      <c r="AW2169">
        <v>1.1499999999999999</v>
      </c>
      <c r="AX2169">
        <v>45.4</v>
      </c>
      <c r="AY2169">
        <v>29.16</v>
      </c>
      <c r="AZ2169">
        <v>29.64</v>
      </c>
      <c r="BA2169">
        <v>0.51</v>
      </c>
      <c r="BB2169" t="s">
        <v>240</v>
      </c>
      <c r="BF2169">
        <v>0.44</v>
      </c>
      <c r="BG2169">
        <v>-0.73</v>
      </c>
      <c r="BH2169">
        <v>-1.95</v>
      </c>
      <c r="BI2169">
        <v>0.26</v>
      </c>
      <c r="BJ2169">
        <v>20210826</v>
      </c>
      <c r="BK2169">
        <v>20200403</v>
      </c>
      <c r="BL2169">
        <v>1.1200000000000001</v>
      </c>
      <c r="BM2169" t="s">
        <v>120</v>
      </c>
      <c r="BN2169" t="s">
        <v>120</v>
      </c>
      <c r="BO2169">
        <v>20.51</v>
      </c>
      <c r="BP2169">
        <v>19.13</v>
      </c>
      <c r="BQ2169">
        <v>9.8800000000000008</v>
      </c>
      <c r="BR2169">
        <v>0.25</v>
      </c>
      <c r="BS2169">
        <v>50.59</v>
      </c>
      <c r="BT2169">
        <v>16.41</v>
      </c>
      <c r="BU2169">
        <v>1.4</v>
      </c>
      <c r="BV2169">
        <v>0.19</v>
      </c>
      <c r="BW2169">
        <v>10.32</v>
      </c>
      <c r="BX2169">
        <v>3.2</v>
      </c>
      <c r="BY2169">
        <v>7.98</v>
      </c>
      <c r="BZ2169">
        <v>2.93</v>
      </c>
      <c r="CA2169">
        <v>0.02</v>
      </c>
      <c r="CB2169">
        <v>6.24</v>
      </c>
      <c r="CC2169">
        <v>2.2200000000000002</v>
      </c>
      <c r="CD2169">
        <v>1.37</v>
      </c>
      <c r="CE2169">
        <v>0.37</v>
      </c>
      <c r="CF2169">
        <v>0.04</v>
      </c>
      <c r="CG2169">
        <v>0.37</v>
      </c>
      <c r="CH2169">
        <v>0.31</v>
      </c>
      <c r="CI2169">
        <v>0.28999999999999998</v>
      </c>
      <c r="CJ2169">
        <v>-0.08</v>
      </c>
      <c r="CK2169">
        <v>0.25</v>
      </c>
      <c r="CL2169">
        <v>2.19</v>
      </c>
      <c r="CM2169">
        <v>-0.7</v>
      </c>
      <c r="CN2169">
        <v>-0.69</v>
      </c>
      <c r="CO2169">
        <v>11573</v>
      </c>
      <c r="CP2169">
        <v>4394</v>
      </c>
      <c r="CQ2169" t="s">
        <v>10502</v>
      </c>
      <c r="CR2169">
        <v>4.32</v>
      </c>
      <c r="CS2169">
        <v>9.1300000000000008</v>
      </c>
      <c r="CT2169">
        <v>2.17</v>
      </c>
      <c r="CU2169">
        <v>-30.65</v>
      </c>
      <c r="CV2169">
        <v>9.66</v>
      </c>
      <c r="CW2169">
        <v>2.79</v>
      </c>
      <c r="CX2169" t="s">
        <v>1574</v>
      </c>
      <c r="CY2169">
        <v>8.83</v>
      </c>
      <c r="CZ2169">
        <v>0</v>
      </c>
      <c r="DA2169">
        <v>5.58</v>
      </c>
      <c r="DB2169">
        <v>1.96</v>
      </c>
      <c r="DC2169">
        <v>-0.62</v>
      </c>
      <c r="DD2169">
        <v>48.18</v>
      </c>
      <c r="DE2169" t="s">
        <v>3152</v>
      </c>
      <c r="DF2169">
        <v>38.26</v>
      </c>
      <c r="DG2169">
        <v>16.73</v>
      </c>
      <c r="DH2169">
        <v>13.26</v>
      </c>
      <c r="DI2169">
        <v>0.14000000000000001</v>
      </c>
      <c r="DJ2169">
        <v>920</v>
      </c>
      <c r="DK2169">
        <v>300826</v>
      </c>
      <c r="DL2169" t="s">
        <v>120</v>
      </c>
      <c r="DM2169" t="s">
        <v>120</v>
      </c>
      <c r="DN2169" t="s">
        <v>120</v>
      </c>
    </row>
    <row r="2170" spans="1:118">
      <c r="A2170" t="str">
        <f>"300827"</f>
        <v>300827</v>
      </c>
      <c r="B2170" t="s">
        <v>10503</v>
      </c>
      <c r="C2170">
        <v>-13.08</v>
      </c>
      <c r="D2170">
        <v>-0.47</v>
      </c>
      <c r="E2170">
        <v>-2.31</v>
      </c>
      <c r="F2170">
        <v>2743</v>
      </c>
      <c r="G2170" t="s">
        <v>9389</v>
      </c>
      <c r="H2170">
        <v>129896.02</v>
      </c>
      <c r="I2170">
        <v>843.28</v>
      </c>
      <c r="J2170" t="s">
        <v>120</v>
      </c>
      <c r="K2170" t="s">
        <v>10504</v>
      </c>
      <c r="L2170">
        <v>19.95</v>
      </c>
      <c r="M2170">
        <v>113</v>
      </c>
      <c r="N2170">
        <v>1.17</v>
      </c>
      <c r="O2170">
        <v>-1.1100000000000001</v>
      </c>
      <c r="P2170">
        <v>128.56</v>
      </c>
      <c r="Q2170">
        <v>-13.85</v>
      </c>
      <c r="R2170">
        <v>112</v>
      </c>
      <c r="S2170">
        <v>127</v>
      </c>
      <c r="T2170">
        <v>107594</v>
      </c>
      <c r="U2170">
        <v>113.01</v>
      </c>
      <c r="V2170">
        <v>130</v>
      </c>
      <c r="W2170">
        <v>311.64</v>
      </c>
      <c r="X2170" t="s">
        <v>394</v>
      </c>
      <c r="Y2170" t="s">
        <v>319</v>
      </c>
      <c r="Z2170">
        <v>12.74</v>
      </c>
      <c r="AA2170">
        <v>120.73</v>
      </c>
      <c r="AB2170">
        <v>62425</v>
      </c>
      <c r="AC2170">
        <v>45169</v>
      </c>
      <c r="AD2170">
        <v>1.38</v>
      </c>
      <c r="AE2170">
        <v>105</v>
      </c>
      <c r="AF2170">
        <v>4</v>
      </c>
      <c r="AG2170" t="s">
        <v>120</v>
      </c>
      <c r="AH2170">
        <v>0.14000000000000001</v>
      </c>
      <c r="AI2170" t="s">
        <v>120</v>
      </c>
      <c r="AJ2170">
        <v>0.54</v>
      </c>
      <c r="AK2170" t="s">
        <v>8655</v>
      </c>
      <c r="AL2170">
        <v>-11.16</v>
      </c>
      <c r="AM2170">
        <v>4299</v>
      </c>
      <c r="AN2170">
        <v>25</v>
      </c>
      <c r="AO2170">
        <v>4.5999999999999999E-3</v>
      </c>
      <c r="AP2170">
        <v>-1</v>
      </c>
      <c r="AQ2170">
        <v>5.86</v>
      </c>
      <c r="AR2170">
        <v>-3.24</v>
      </c>
      <c r="AS2170">
        <v>-35.06</v>
      </c>
      <c r="AT2170">
        <v>216.68</v>
      </c>
      <c r="AU2170">
        <v>153.4</v>
      </c>
      <c r="AV2170">
        <v>7</v>
      </c>
      <c r="AW2170">
        <v>22.81</v>
      </c>
      <c r="AX2170">
        <v>35.74</v>
      </c>
      <c r="AY2170">
        <v>241.6</v>
      </c>
      <c r="AZ2170">
        <v>221.55</v>
      </c>
      <c r="BA2170">
        <v>2.0299999999999998</v>
      </c>
      <c r="BB2170" t="s">
        <v>143</v>
      </c>
      <c r="BF2170">
        <v>-7.13</v>
      </c>
      <c r="BG2170">
        <v>-11.02</v>
      </c>
      <c r="BH2170">
        <v>-12.1</v>
      </c>
      <c r="BI2170">
        <v>0.89</v>
      </c>
      <c r="BJ2170">
        <v>20210914</v>
      </c>
      <c r="BK2170">
        <v>20200410</v>
      </c>
      <c r="BL2170">
        <v>1.32</v>
      </c>
      <c r="BM2170" t="s">
        <v>120</v>
      </c>
      <c r="BN2170" t="s">
        <v>120</v>
      </c>
      <c r="BO2170">
        <v>22.81</v>
      </c>
      <c r="BP2170">
        <v>113</v>
      </c>
      <c r="BQ2170">
        <v>8.5399999999999991</v>
      </c>
      <c r="BR2170" t="s">
        <v>120</v>
      </c>
      <c r="BS2170">
        <v>62.55</v>
      </c>
      <c r="BT2170">
        <v>20.04</v>
      </c>
      <c r="BU2170">
        <v>0.63</v>
      </c>
      <c r="BV2170">
        <v>0.23</v>
      </c>
      <c r="BW2170">
        <v>14.08</v>
      </c>
      <c r="BX2170">
        <v>3.75</v>
      </c>
      <c r="BY2170">
        <v>5.46</v>
      </c>
      <c r="BZ2170">
        <v>5.48</v>
      </c>
      <c r="CA2170" t="s">
        <v>120</v>
      </c>
      <c r="CB2170">
        <v>3.96</v>
      </c>
      <c r="CC2170">
        <v>3.96</v>
      </c>
      <c r="CD2170">
        <v>3.04</v>
      </c>
      <c r="CE2170">
        <v>0.25</v>
      </c>
      <c r="CF2170">
        <v>0.03</v>
      </c>
      <c r="CG2170">
        <v>0.25</v>
      </c>
      <c r="CH2170">
        <v>0.24</v>
      </c>
      <c r="CI2170">
        <v>0.24</v>
      </c>
      <c r="CJ2170">
        <v>-17</v>
      </c>
      <c r="CK2170">
        <v>0.18</v>
      </c>
      <c r="CL2170">
        <v>2.96</v>
      </c>
      <c r="CM2170">
        <v>-2.2599999999999998</v>
      </c>
      <c r="CN2170">
        <v>-2.85</v>
      </c>
      <c r="CO2170">
        <v>29188</v>
      </c>
      <c r="CP2170">
        <v>1616</v>
      </c>
      <c r="CQ2170" t="s">
        <v>10505</v>
      </c>
      <c r="CR2170">
        <v>-21.17</v>
      </c>
      <c r="CS2170">
        <v>57.25</v>
      </c>
      <c r="CT2170">
        <v>17.46</v>
      </c>
      <c r="CU2170">
        <v>-65.930000000000007</v>
      </c>
      <c r="CV2170">
        <v>37.64</v>
      </c>
      <c r="CW2170">
        <v>0.09</v>
      </c>
      <c r="CX2170" t="s">
        <v>242</v>
      </c>
      <c r="CY2170">
        <v>6.47</v>
      </c>
      <c r="CZ2170">
        <v>0</v>
      </c>
      <c r="DA2170">
        <v>3</v>
      </c>
      <c r="DB2170">
        <v>2.2400000000000002</v>
      </c>
      <c r="DC2170">
        <v>-1.71</v>
      </c>
      <c r="DD2170">
        <v>37.450000000000003</v>
      </c>
      <c r="DE2170" t="s">
        <v>2028</v>
      </c>
      <c r="DF2170">
        <v>23.35</v>
      </c>
      <c r="DG2170">
        <v>6.34</v>
      </c>
      <c r="DH2170">
        <v>6.04</v>
      </c>
      <c r="DI2170">
        <v>0.36</v>
      </c>
      <c r="DJ2170">
        <v>607</v>
      </c>
      <c r="DK2170">
        <v>300827</v>
      </c>
      <c r="DL2170">
        <v>20210629</v>
      </c>
      <c r="DM2170">
        <v>82.74</v>
      </c>
      <c r="DN2170">
        <v>146.07</v>
      </c>
    </row>
    <row r="2171" spans="1:118">
      <c r="A2171" t="str">
        <f>"300828"</f>
        <v>300828</v>
      </c>
      <c r="B2171" t="s">
        <v>10506</v>
      </c>
      <c r="C2171">
        <v>-5.83</v>
      </c>
      <c r="D2171">
        <v>-1.08</v>
      </c>
      <c r="E2171">
        <v>-0.48</v>
      </c>
      <c r="F2171">
        <v>3287</v>
      </c>
      <c r="G2171" t="s">
        <v>7254</v>
      </c>
      <c r="H2171">
        <v>19478.88</v>
      </c>
      <c r="I2171">
        <v>192.96</v>
      </c>
      <c r="J2171" t="s">
        <v>120</v>
      </c>
      <c r="K2171" t="s">
        <v>1304</v>
      </c>
      <c r="L2171">
        <v>13.42</v>
      </c>
      <c r="M2171">
        <v>25.5</v>
      </c>
      <c r="N2171">
        <v>0.81</v>
      </c>
      <c r="O2171">
        <v>-0.48</v>
      </c>
      <c r="P2171">
        <v>26.95</v>
      </c>
      <c r="Q2171">
        <v>-5.83</v>
      </c>
      <c r="R2171">
        <v>25.5</v>
      </c>
      <c r="S2171">
        <v>26.95</v>
      </c>
      <c r="T2171">
        <v>74592</v>
      </c>
      <c r="U2171">
        <v>25.52</v>
      </c>
      <c r="V2171">
        <v>27.08</v>
      </c>
      <c r="W2171">
        <v>45.17</v>
      </c>
      <c r="X2171" t="s">
        <v>1325</v>
      </c>
      <c r="Y2171" t="s">
        <v>997</v>
      </c>
      <c r="Z2171">
        <v>5.35</v>
      </c>
      <c r="AA2171">
        <v>26.11</v>
      </c>
      <c r="AB2171">
        <v>43165</v>
      </c>
      <c r="AC2171">
        <v>31427</v>
      </c>
      <c r="AD2171">
        <v>1.37</v>
      </c>
      <c r="AE2171">
        <v>300</v>
      </c>
      <c r="AF2171">
        <v>6</v>
      </c>
      <c r="AG2171" t="s">
        <v>120</v>
      </c>
      <c r="AH2171">
        <v>0.21</v>
      </c>
      <c r="AI2171" t="s">
        <v>120</v>
      </c>
      <c r="AJ2171">
        <v>0.56000000000000005</v>
      </c>
      <c r="AK2171" t="s">
        <v>8168</v>
      </c>
      <c r="AL2171">
        <v>-3.92</v>
      </c>
      <c r="AM2171">
        <v>3100</v>
      </c>
      <c r="AN2171">
        <v>24</v>
      </c>
      <c r="AO2171">
        <v>4.3E-3</v>
      </c>
      <c r="AP2171">
        <v>-1</v>
      </c>
      <c r="AQ2171">
        <v>1.23</v>
      </c>
      <c r="AR2171">
        <v>-10.09</v>
      </c>
      <c r="AS2171">
        <v>13.08</v>
      </c>
      <c r="AT2171">
        <v>6.29</v>
      </c>
      <c r="AU2171">
        <v>-12.28</v>
      </c>
      <c r="AV2171">
        <v>3</v>
      </c>
      <c r="AW2171">
        <v>21.86</v>
      </c>
      <c r="AX2171">
        <v>30.95</v>
      </c>
      <c r="AY2171">
        <v>43.47</v>
      </c>
      <c r="AZ2171">
        <v>45.42</v>
      </c>
      <c r="BA2171">
        <v>0.59</v>
      </c>
      <c r="BB2171" t="s">
        <v>125</v>
      </c>
      <c r="BF2171">
        <v>-3.57</v>
      </c>
      <c r="BG2171">
        <v>-5.38</v>
      </c>
      <c r="BH2171">
        <v>-5.38</v>
      </c>
      <c r="BI2171">
        <v>0</v>
      </c>
      <c r="BJ2171">
        <v>20210824</v>
      </c>
      <c r="BK2171">
        <v>20200421</v>
      </c>
      <c r="BL2171">
        <v>1.1000000000000001</v>
      </c>
      <c r="BM2171" t="s">
        <v>120</v>
      </c>
      <c r="BN2171" t="s">
        <v>120</v>
      </c>
      <c r="BO2171">
        <v>7.75</v>
      </c>
      <c r="BP2171">
        <v>25.5</v>
      </c>
      <c r="BQ2171">
        <v>7.31</v>
      </c>
      <c r="BR2171" t="s">
        <v>120</v>
      </c>
      <c r="BS2171">
        <v>5.59</v>
      </c>
      <c r="BT2171">
        <v>4.4800000000000004</v>
      </c>
      <c r="BU2171">
        <v>2.81</v>
      </c>
      <c r="BV2171">
        <v>0.33</v>
      </c>
      <c r="BW2171">
        <v>0.38</v>
      </c>
      <c r="BX2171">
        <v>0.59</v>
      </c>
      <c r="BY2171">
        <v>1.26</v>
      </c>
      <c r="BZ2171">
        <v>1.17</v>
      </c>
      <c r="CA2171" t="s">
        <v>120</v>
      </c>
      <c r="CB2171">
        <v>3.32</v>
      </c>
      <c r="CC2171">
        <v>2.52</v>
      </c>
      <c r="CD2171">
        <v>1.9</v>
      </c>
      <c r="CE2171">
        <v>0.37</v>
      </c>
      <c r="CF2171">
        <v>0.03</v>
      </c>
      <c r="CG2171">
        <v>0.37</v>
      </c>
      <c r="CH2171">
        <v>0.31</v>
      </c>
      <c r="CI2171">
        <v>0.31</v>
      </c>
      <c r="CJ2171">
        <v>-1.58</v>
      </c>
      <c r="CK2171">
        <v>0.28000000000000003</v>
      </c>
      <c r="CL2171">
        <v>2.41</v>
      </c>
      <c r="CM2171">
        <v>0.08</v>
      </c>
      <c r="CN2171">
        <v>0.22</v>
      </c>
      <c r="CO2171">
        <v>14067</v>
      </c>
      <c r="CP2171">
        <v>2426</v>
      </c>
      <c r="CQ2171" t="s">
        <v>5092</v>
      </c>
      <c r="CR2171">
        <v>10.5</v>
      </c>
      <c r="CS2171">
        <v>50.8</v>
      </c>
      <c r="CT2171">
        <v>3.85</v>
      </c>
      <c r="CU2171">
        <v>353.16</v>
      </c>
      <c r="CV2171">
        <v>11.14</v>
      </c>
      <c r="CW2171">
        <v>1.1100000000000001</v>
      </c>
      <c r="CX2171" t="s">
        <v>1054</v>
      </c>
      <c r="CY2171">
        <v>6.63</v>
      </c>
      <c r="CZ2171">
        <v>0</v>
      </c>
      <c r="DA2171">
        <v>3.01</v>
      </c>
      <c r="DB2171">
        <v>2.1800000000000002</v>
      </c>
      <c r="DC2171">
        <v>7.0000000000000007E-2</v>
      </c>
      <c r="DD2171">
        <v>94.41</v>
      </c>
      <c r="DE2171" t="s">
        <v>10507</v>
      </c>
      <c r="DF2171">
        <v>24.86</v>
      </c>
      <c r="DG2171">
        <v>14.72</v>
      </c>
      <c r="DH2171">
        <v>12.33</v>
      </c>
      <c r="DI2171">
        <v>0.13</v>
      </c>
      <c r="DJ2171">
        <v>611</v>
      </c>
      <c r="DK2171">
        <v>300828</v>
      </c>
      <c r="DL2171">
        <v>20210916</v>
      </c>
      <c r="DM2171">
        <v>27.08</v>
      </c>
      <c r="DN2171">
        <v>-5.83</v>
      </c>
    </row>
    <row r="2172" spans="1:118">
      <c r="A2172" t="str">
        <f>"300829"</f>
        <v>300829</v>
      </c>
      <c r="B2172" t="s">
        <v>10508</v>
      </c>
      <c r="C2172">
        <v>-1.26</v>
      </c>
      <c r="D2172">
        <v>0.06</v>
      </c>
      <c r="E2172">
        <v>-0.59</v>
      </c>
      <c r="F2172">
        <v>222</v>
      </c>
      <c r="G2172" t="s">
        <v>10509</v>
      </c>
      <c r="H2172">
        <v>19068.14</v>
      </c>
      <c r="I2172">
        <v>141.44</v>
      </c>
      <c r="J2172" t="s">
        <v>120</v>
      </c>
      <c r="K2172" t="s">
        <v>3690</v>
      </c>
      <c r="L2172">
        <v>3.62</v>
      </c>
      <c r="M2172">
        <v>51.65</v>
      </c>
      <c r="N2172">
        <v>1.58</v>
      </c>
      <c r="O2172">
        <v>5.0999999999999996</v>
      </c>
      <c r="P2172">
        <v>54.98</v>
      </c>
      <c r="Q2172">
        <v>-1.49</v>
      </c>
      <c r="R2172">
        <v>51.53</v>
      </c>
      <c r="S2172">
        <v>52</v>
      </c>
      <c r="T2172">
        <v>35992</v>
      </c>
      <c r="U2172">
        <v>51.67</v>
      </c>
      <c r="V2172">
        <v>52.31</v>
      </c>
      <c r="W2172">
        <v>66.34</v>
      </c>
      <c r="X2172" t="s">
        <v>847</v>
      </c>
      <c r="Y2172" t="s">
        <v>645</v>
      </c>
      <c r="Z2172">
        <v>6.6</v>
      </c>
      <c r="AA2172">
        <v>52.98</v>
      </c>
      <c r="AB2172">
        <v>17558</v>
      </c>
      <c r="AC2172">
        <v>18434</v>
      </c>
      <c r="AD2172">
        <v>0.95</v>
      </c>
      <c r="AE2172">
        <v>491</v>
      </c>
      <c r="AF2172">
        <v>5</v>
      </c>
      <c r="AG2172" t="s">
        <v>120</v>
      </c>
      <c r="AH2172">
        <v>0.03</v>
      </c>
      <c r="AI2172" t="s">
        <v>120</v>
      </c>
      <c r="AJ2172">
        <v>0.99</v>
      </c>
      <c r="AK2172" t="s">
        <v>10510</v>
      </c>
      <c r="AL2172">
        <v>0.65</v>
      </c>
      <c r="AM2172">
        <v>2602</v>
      </c>
      <c r="AN2172">
        <v>14</v>
      </c>
      <c r="AO2172">
        <v>1.4E-3</v>
      </c>
      <c r="AP2172">
        <v>-1</v>
      </c>
      <c r="AQ2172">
        <v>8.24</v>
      </c>
      <c r="AR2172">
        <v>8.85</v>
      </c>
      <c r="AS2172">
        <v>3.59</v>
      </c>
      <c r="AT2172">
        <v>-10.220000000000001</v>
      </c>
      <c r="AU2172">
        <v>-10.53</v>
      </c>
      <c r="AV2172">
        <v>1</v>
      </c>
      <c r="AW2172">
        <v>4.6100000000000003</v>
      </c>
      <c r="AX2172">
        <v>43.25</v>
      </c>
      <c r="AY2172">
        <v>75.86</v>
      </c>
      <c r="AZ2172">
        <v>78.989999999999995</v>
      </c>
      <c r="BA2172">
        <v>0.66</v>
      </c>
      <c r="BB2172" t="s">
        <v>751</v>
      </c>
      <c r="BF2172">
        <v>1.28</v>
      </c>
      <c r="BG2172">
        <v>-0.67</v>
      </c>
      <c r="BH2172">
        <v>-6.06</v>
      </c>
      <c r="BI2172">
        <v>0.23</v>
      </c>
      <c r="BJ2172">
        <v>20210827</v>
      </c>
      <c r="BK2172">
        <v>20200422</v>
      </c>
      <c r="BL2172">
        <v>1.81</v>
      </c>
      <c r="BM2172" t="s">
        <v>120</v>
      </c>
      <c r="BN2172" t="s">
        <v>120</v>
      </c>
      <c r="BO2172">
        <v>18.12</v>
      </c>
      <c r="BP2172">
        <v>51.65</v>
      </c>
      <c r="BQ2172">
        <v>13.49</v>
      </c>
      <c r="BR2172">
        <v>0.27</v>
      </c>
      <c r="BS2172">
        <v>24.05</v>
      </c>
      <c r="BT2172">
        <v>5.0999999999999996</v>
      </c>
      <c r="BU2172">
        <v>8.67</v>
      </c>
      <c r="BV2172">
        <v>1.43</v>
      </c>
      <c r="BW2172">
        <v>3.21</v>
      </c>
      <c r="BX2172">
        <v>1.93</v>
      </c>
      <c r="BY2172">
        <v>1.62</v>
      </c>
      <c r="BZ2172">
        <v>0.51</v>
      </c>
      <c r="CA2172" t="s">
        <v>120</v>
      </c>
      <c r="CB2172">
        <v>6.05</v>
      </c>
      <c r="CC2172">
        <v>6.58</v>
      </c>
      <c r="CD2172">
        <v>5.22</v>
      </c>
      <c r="CE2172">
        <v>0.75</v>
      </c>
      <c r="CF2172">
        <v>0.03</v>
      </c>
      <c r="CG2172">
        <v>0.75</v>
      </c>
      <c r="CH2172">
        <v>0.69</v>
      </c>
      <c r="CI2172">
        <v>0.7</v>
      </c>
      <c r="CJ2172">
        <v>-0.66</v>
      </c>
      <c r="CK2172">
        <v>0.62</v>
      </c>
      <c r="CL2172">
        <v>5.09</v>
      </c>
      <c r="CM2172">
        <v>0.37</v>
      </c>
      <c r="CN2172">
        <v>0.55000000000000004</v>
      </c>
      <c r="CO2172">
        <v>14520</v>
      </c>
      <c r="CP2172">
        <v>5382</v>
      </c>
      <c r="CQ2172" t="s">
        <v>10511</v>
      </c>
      <c r="CR2172">
        <v>7.55</v>
      </c>
      <c r="CS2172">
        <v>39.25</v>
      </c>
      <c r="CT2172">
        <v>6.92</v>
      </c>
      <c r="CU2172">
        <v>253.79</v>
      </c>
      <c r="CV2172">
        <v>14.17</v>
      </c>
      <c r="CW2172">
        <v>0.24</v>
      </c>
      <c r="CX2172" t="s">
        <v>1980</v>
      </c>
      <c r="CY2172">
        <v>7.47</v>
      </c>
      <c r="CZ2172">
        <v>0</v>
      </c>
      <c r="DA2172">
        <v>3.35</v>
      </c>
      <c r="DB2172">
        <v>2.82</v>
      </c>
      <c r="DC2172">
        <v>0.2</v>
      </c>
      <c r="DD2172">
        <v>74.45</v>
      </c>
      <c r="DE2172" t="s">
        <v>8143</v>
      </c>
      <c r="DF2172">
        <v>20.69</v>
      </c>
      <c r="DG2172">
        <v>11.36</v>
      </c>
      <c r="DH2172">
        <v>10.68</v>
      </c>
      <c r="DI2172">
        <v>0.24</v>
      </c>
      <c r="DJ2172">
        <v>1019</v>
      </c>
      <c r="DK2172">
        <v>300829</v>
      </c>
      <c r="DL2172" t="s">
        <v>120</v>
      </c>
      <c r="DM2172" t="s">
        <v>120</v>
      </c>
      <c r="DN2172" t="s">
        <v>120</v>
      </c>
    </row>
    <row r="2173" spans="1:118">
      <c r="A2173" t="str">
        <f>"300830"</f>
        <v>300830</v>
      </c>
      <c r="B2173" t="s">
        <v>10512</v>
      </c>
      <c r="C2173">
        <v>20</v>
      </c>
      <c r="D2173">
        <v>0</v>
      </c>
      <c r="E2173">
        <v>-0.43</v>
      </c>
      <c r="F2173">
        <v>2546</v>
      </c>
      <c r="G2173" t="s">
        <v>6459</v>
      </c>
      <c r="H2173">
        <v>69695.94</v>
      </c>
      <c r="I2173">
        <v>503.67</v>
      </c>
      <c r="J2173">
        <v>8320.34</v>
      </c>
      <c r="K2173" t="s">
        <v>6712</v>
      </c>
      <c r="L2173">
        <v>28.81</v>
      </c>
      <c r="M2173">
        <v>13.98</v>
      </c>
      <c r="N2173">
        <v>1.23</v>
      </c>
      <c r="O2173">
        <v>20</v>
      </c>
      <c r="P2173">
        <v>13.98</v>
      </c>
      <c r="Q2173">
        <v>-1.1200000000000001</v>
      </c>
      <c r="R2173">
        <v>11.52</v>
      </c>
      <c r="S2173">
        <v>11.6</v>
      </c>
      <c r="T2173">
        <v>551077</v>
      </c>
      <c r="U2173" t="s">
        <v>120</v>
      </c>
      <c r="V2173">
        <v>11.65</v>
      </c>
      <c r="W2173">
        <v>179.23</v>
      </c>
      <c r="X2173" t="s">
        <v>141</v>
      </c>
      <c r="Y2173" t="s">
        <v>638</v>
      </c>
      <c r="Z2173">
        <v>21.12</v>
      </c>
      <c r="AA2173">
        <v>12.65</v>
      </c>
      <c r="AB2173">
        <v>257514</v>
      </c>
      <c r="AC2173">
        <v>293563</v>
      </c>
      <c r="AD2173">
        <v>0.88</v>
      </c>
      <c r="AE2173">
        <v>59516</v>
      </c>
      <c r="AF2173">
        <v>0</v>
      </c>
      <c r="AG2173" t="s">
        <v>120</v>
      </c>
      <c r="AH2173">
        <v>0.24</v>
      </c>
      <c r="AI2173">
        <v>0.11</v>
      </c>
      <c r="AJ2173">
        <v>1.91</v>
      </c>
      <c r="AK2173" t="s">
        <v>4085</v>
      </c>
      <c r="AL2173">
        <v>21.91</v>
      </c>
      <c r="AM2173">
        <v>4126</v>
      </c>
      <c r="AN2173">
        <v>134</v>
      </c>
      <c r="AO2173">
        <v>7.0000000000000001E-3</v>
      </c>
      <c r="AP2173">
        <v>1</v>
      </c>
      <c r="AQ2173">
        <v>-2.84</v>
      </c>
      <c r="AR2173">
        <v>7.61</v>
      </c>
      <c r="AS2173">
        <v>33.14</v>
      </c>
      <c r="AT2173">
        <v>32.26</v>
      </c>
      <c r="AU2173">
        <v>15.38</v>
      </c>
      <c r="AV2173">
        <v>2</v>
      </c>
      <c r="AW2173">
        <v>30.08</v>
      </c>
      <c r="AX2173">
        <v>42.6</v>
      </c>
      <c r="AY2173">
        <v>73.38</v>
      </c>
      <c r="AZ2173">
        <v>73.989999999999995</v>
      </c>
      <c r="BA2173">
        <v>0.44</v>
      </c>
      <c r="BB2173" t="s">
        <v>125</v>
      </c>
      <c r="BF2173">
        <v>8.56</v>
      </c>
      <c r="BG2173">
        <v>20.52</v>
      </c>
      <c r="BH2173">
        <v>0</v>
      </c>
      <c r="BI2173">
        <v>21.35</v>
      </c>
      <c r="BJ2173">
        <v>20210915</v>
      </c>
      <c r="BK2173">
        <v>20200506</v>
      </c>
      <c r="BL2173">
        <v>4.3</v>
      </c>
      <c r="BM2173" t="s">
        <v>120</v>
      </c>
      <c r="BN2173" t="s">
        <v>120</v>
      </c>
      <c r="BO2173">
        <v>11.78</v>
      </c>
      <c r="BP2173">
        <v>13.98</v>
      </c>
      <c r="BQ2173">
        <v>11.17</v>
      </c>
      <c r="BR2173">
        <v>0</v>
      </c>
      <c r="BS2173">
        <v>5.26</v>
      </c>
      <c r="BT2173">
        <v>10.85</v>
      </c>
      <c r="BU2173">
        <v>0.7</v>
      </c>
      <c r="BV2173">
        <v>0</v>
      </c>
      <c r="BW2173">
        <v>0.51</v>
      </c>
      <c r="BX2173">
        <v>1.73</v>
      </c>
      <c r="BY2173">
        <v>1.22</v>
      </c>
      <c r="BZ2173">
        <v>4.59</v>
      </c>
      <c r="CA2173">
        <v>0</v>
      </c>
      <c r="CB2173">
        <v>2.5099999999999998</v>
      </c>
      <c r="CC2173">
        <v>1.85</v>
      </c>
      <c r="CD2173">
        <v>1.02</v>
      </c>
      <c r="CE2173">
        <v>0.18</v>
      </c>
      <c r="CF2173">
        <v>0.05</v>
      </c>
      <c r="CG2173">
        <v>0.18</v>
      </c>
      <c r="CH2173">
        <v>0.16</v>
      </c>
      <c r="CI2173">
        <v>0.17</v>
      </c>
      <c r="CJ2173">
        <v>2.33</v>
      </c>
      <c r="CK2173">
        <v>0.05</v>
      </c>
      <c r="CL2173">
        <v>3.84</v>
      </c>
      <c r="CM2173">
        <v>-0.46</v>
      </c>
      <c r="CN2173">
        <v>0.66</v>
      </c>
      <c r="CO2173">
        <v>29902</v>
      </c>
      <c r="CP2173">
        <v>6128</v>
      </c>
      <c r="CQ2173" t="s">
        <v>10191</v>
      </c>
      <c r="CR2173">
        <v>3.49</v>
      </c>
      <c r="CS2173">
        <v>8.73</v>
      </c>
      <c r="CT2173">
        <v>5.39</v>
      </c>
      <c r="CU2173">
        <v>-130.94999999999999</v>
      </c>
      <c r="CV2173">
        <v>32.5</v>
      </c>
      <c r="CW2173">
        <v>0.2</v>
      </c>
      <c r="CX2173" t="s">
        <v>145</v>
      </c>
      <c r="CY2173">
        <v>2.6</v>
      </c>
      <c r="CZ2173">
        <v>0</v>
      </c>
      <c r="DA2173">
        <v>0.57999999999999996</v>
      </c>
      <c r="DB2173">
        <v>0.89</v>
      </c>
      <c r="DC2173">
        <v>-0.11</v>
      </c>
      <c r="DD2173">
        <v>94.77</v>
      </c>
      <c r="DE2173" t="s">
        <v>10513</v>
      </c>
      <c r="DF2173">
        <v>44.82</v>
      </c>
      <c r="DG2173">
        <v>9.91</v>
      </c>
      <c r="DH2173">
        <v>9.07</v>
      </c>
      <c r="DI2173">
        <v>0.27</v>
      </c>
      <c r="DJ2173">
        <v>2833</v>
      </c>
      <c r="DK2173">
        <v>300830</v>
      </c>
      <c r="DL2173">
        <v>20210910</v>
      </c>
      <c r="DM2173">
        <v>11.81</v>
      </c>
      <c r="DN2173">
        <v>18.37</v>
      </c>
    </row>
    <row r="2174" spans="1:118">
      <c r="A2174" t="str">
        <f>"300831"</f>
        <v>300831</v>
      </c>
      <c r="B2174" t="s">
        <v>10514</v>
      </c>
      <c r="C2174">
        <v>1.63</v>
      </c>
      <c r="D2174">
        <v>-0.05</v>
      </c>
      <c r="E2174">
        <v>-0.85</v>
      </c>
      <c r="F2174">
        <v>7577</v>
      </c>
      <c r="G2174" t="s">
        <v>3887</v>
      </c>
      <c r="H2174">
        <v>15029.15</v>
      </c>
      <c r="I2174">
        <v>50.33</v>
      </c>
      <c r="J2174" t="s">
        <v>120</v>
      </c>
      <c r="K2174" t="s">
        <v>538</v>
      </c>
      <c r="L2174">
        <v>5.32</v>
      </c>
      <c r="M2174">
        <v>15.63</v>
      </c>
      <c r="N2174">
        <v>0.78</v>
      </c>
      <c r="O2174">
        <v>1.69</v>
      </c>
      <c r="P2174">
        <v>15.64</v>
      </c>
      <c r="Q2174">
        <v>-2.93</v>
      </c>
      <c r="R2174">
        <v>14.93</v>
      </c>
      <c r="S2174">
        <v>15.25</v>
      </c>
      <c r="T2174">
        <v>98191</v>
      </c>
      <c r="U2174">
        <v>15.64</v>
      </c>
      <c r="V2174">
        <v>15.38</v>
      </c>
      <c r="W2174">
        <v>219.57</v>
      </c>
      <c r="X2174" t="s">
        <v>229</v>
      </c>
      <c r="Y2174" t="s">
        <v>890</v>
      </c>
      <c r="Z2174">
        <v>4.62</v>
      </c>
      <c r="AA2174">
        <v>15.31</v>
      </c>
      <c r="AB2174">
        <v>58200</v>
      </c>
      <c r="AC2174">
        <v>39991</v>
      </c>
      <c r="AD2174">
        <v>1.46</v>
      </c>
      <c r="AE2174">
        <v>18</v>
      </c>
      <c r="AF2174">
        <v>1367</v>
      </c>
      <c r="AG2174" t="s">
        <v>120</v>
      </c>
      <c r="AH2174">
        <v>0.02</v>
      </c>
      <c r="AI2174" t="s">
        <v>120</v>
      </c>
      <c r="AJ2174">
        <v>1.84</v>
      </c>
      <c r="AK2174" t="s">
        <v>10515</v>
      </c>
      <c r="AL2174">
        <v>3.54</v>
      </c>
      <c r="AM2174">
        <v>2726</v>
      </c>
      <c r="AN2174">
        <v>36</v>
      </c>
      <c r="AO2174">
        <v>2E-3</v>
      </c>
      <c r="AP2174">
        <v>2</v>
      </c>
      <c r="AQ2174">
        <v>1.1200000000000001</v>
      </c>
      <c r="AR2174">
        <v>-2</v>
      </c>
      <c r="AS2174">
        <v>6.84</v>
      </c>
      <c r="AT2174">
        <v>-1.66</v>
      </c>
      <c r="AU2174">
        <v>-20.02</v>
      </c>
      <c r="AV2174">
        <v>3</v>
      </c>
      <c r="AW2174">
        <v>6.75</v>
      </c>
      <c r="AX2174">
        <v>45.48</v>
      </c>
      <c r="AY2174">
        <v>254.48</v>
      </c>
      <c r="AZ2174">
        <v>168.42</v>
      </c>
      <c r="BA2174">
        <v>1.18</v>
      </c>
      <c r="BB2174" t="s">
        <v>143</v>
      </c>
      <c r="BF2174">
        <v>-0.48</v>
      </c>
      <c r="BG2174">
        <v>2.4900000000000002</v>
      </c>
      <c r="BH2174">
        <v>-0.06</v>
      </c>
      <c r="BI2174">
        <v>4.6900000000000004</v>
      </c>
      <c r="BJ2174">
        <v>20210901</v>
      </c>
      <c r="BK2174">
        <v>20200507</v>
      </c>
      <c r="BL2174">
        <v>3.2</v>
      </c>
      <c r="BM2174" t="s">
        <v>120</v>
      </c>
      <c r="BN2174" t="s">
        <v>120</v>
      </c>
      <c r="BO2174">
        <v>8.24</v>
      </c>
      <c r="BP2174">
        <v>15.63</v>
      </c>
      <c r="BQ2174">
        <v>7.7</v>
      </c>
      <c r="BR2174">
        <v>0.01</v>
      </c>
      <c r="BS2174">
        <v>6.51</v>
      </c>
      <c r="BT2174">
        <v>6.9</v>
      </c>
      <c r="BU2174">
        <v>0.79</v>
      </c>
      <c r="BV2174">
        <v>0.12</v>
      </c>
      <c r="BW2174">
        <v>0.49</v>
      </c>
      <c r="BX2174">
        <v>3.25</v>
      </c>
      <c r="BY2174">
        <v>0.82</v>
      </c>
      <c r="BZ2174">
        <v>1.19</v>
      </c>
      <c r="CA2174" t="s">
        <v>120</v>
      </c>
      <c r="CB2174">
        <v>1.93</v>
      </c>
      <c r="CC2174">
        <v>0.71</v>
      </c>
      <c r="CD2174">
        <v>0.43</v>
      </c>
      <c r="CE2174">
        <v>0.15</v>
      </c>
      <c r="CF2174">
        <v>0.02</v>
      </c>
      <c r="CG2174">
        <v>0.15</v>
      </c>
      <c r="CH2174">
        <v>0.11</v>
      </c>
      <c r="CI2174">
        <v>0.11</v>
      </c>
      <c r="CJ2174">
        <v>0.25</v>
      </c>
      <c r="CK2174">
        <v>0.1</v>
      </c>
      <c r="CL2174">
        <v>2.3199999999999998</v>
      </c>
      <c r="CM2174">
        <v>0.06</v>
      </c>
      <c r="CN2174">
        <v>-1.28</v>
      </c>
      <c r="CO2174">
        <v>37971</v>
      </c>
      <c r="CP2174">
        <v>3833</v>
      </c>
      <c r="CQ2174" t="s">
        <v>7213</v>
      </c>
      <c r="CR2174">
        <v>-46.46</v>
      </c>
      <c r="CS2174">
        <v>-20.54</v>
      </c>
      <c r="CT2174">
        <v>6.49</v>
      </c>
      <c r="CU2174">
        <v>788.51</v>
      </c>
      <c r="CV2174">
        <v>70.38</v>
      </c>
      <c r="CW2174">
        <v>0.11</v>
      </c>
      <c r="CX2174" t="s">
        <v>926</v>
      </c>
      <c r="CY2174">
        <v>2.41</v>
      </c>
      <c r="CZ2174">
        <v>0</v>
      </c>
      <c r="DA2174">
        <v>0.6</v>
      </c>
      <c r="DB2174">
        <v>0.72</v>
      </c>
      <c r="DC2174">
        <v>0.02</v>
      </c>
      <c r="DD2174">
        <v>93.41</v>
      </c>
      <c r="DE2174" t="s">
        <v>680</v>
      </c>
      <c r="DF2174">
        <v>39.29</v>
      </c>
      <c r="DG2174">
        <v>20.41</v>
      </c>
      <c r="DH2174">
        <v>16.03</v>
      </c>
      <c r="DI2174">
        <v>0.03</v>
      </c>
      <c r="DJ2174">
        <v>396</v>
      </c>
      <c r="DK2174">
        <v>300831</v>
      </c>
      <c r="DL2174" t="s">
        <v>120</v>
      </c>
      <c r="DM2174" t="s">
        <v>120</v>
      </c>
      <c r="DN2174" t="s">
        <v>120</v>
      </c>
    </row>
    <row r="2175" spans="1:118">
      <c r="A2175" t="str">
        <f>"300832"</f>
        <v>300832</v>
      </c>
      <c r="B2175" t="s">
        <v>10516</v>
      </c>
      <c r="C2175">
        <v>-0.13</v>
      </c>
      <c r="D2175">
        <v>0.99</v>
      </c>
      <c r="E2175">
        <v>0.69</v>
      </c>
      <c r="F2175">
        <v>2528</v>
      </c>
      <c r="G2175" t="s">
        <v>10517</v>
      </c>
      <c r="H2175">
        <v>7526.09</v>
      </c>
      <c r="I2175">
        <v>1.81</v>
      </c>
      <c r="J2175" t="s">
        <v>120</v>
      </c>
      <c r="K2175" t="s">
        <v>10517</v>
      </c>
      <c r="L2175">
        <v>0.62</v>
      </c>
      <c r="M2175">
        <v>44.93</v>
      </c>
      <c r="N2175">
        <v>1.04</v>
      </c>
      <c r="O2175">
        <v>0.69</v>
      </c>
      <c r="P2175">
        <v>45.3</v>
      </c>
      <c r="Q2175">
        <v>-1.22</v>
      </c>
      <c r="R2175">
        <v>44.44</v>
      </c>
      <c r="S2175">
        <v>45.3</v>
      </c>
      <c r="T2175">
        <v>16799</v>
      </c>
      <c r="U2175">
        <v>44.95</v>
      </c>
      <c r="V2175">
        <v>44.99</v>
      </c>
      <c r="W2175">
        <v>41.23</v>
      </c>
      <c r="X2175" t="s">
        <v>555</v>
      </c>
      <c r="Y2175" t="s">
        <v>123</v>
      </c>
      <c r="Z2175">
        <v>1.91</v>
      </c>
      <c r="AA2175">
        <v>44.8</v>
      </c>
      <c r="AB2175">
        <v>9950</v>
      </c>
      <c r="AC2175">
        <v>6849</v>
      </c>
      <c r="AD2175">
        <v>1.45</v>
      </c>
      <c r="AE2175">
        <v>1493</v>
      </c>
      <c r="AF2175">
        <v>6</v>
      </c>
      <c r="AG2175" t="s">
        <v>120</v>
      </c>
      <c r="AH2175">
        <v>0</v>
      </c>
      <c r="AI2175" t="s">
        <v>120</v>
      </c>
      <c r="AJ2175">
        <v>2.72</v>
      </c>
      <c r="AK2175" t="s">
        <v>10518</v>
      </c>
      <c r="AL2175">
        <v>1.78</v>
      </c>
      <c r="AM2175">
        <v>1634</v>
      </c>
      <c r="AN2175">
        <v>10</v>
      </c>
      <c r="AO2175">
        <v>4.0000000000000002E-4</v>
      </c>
      <c r="AP2175">
        <v>-3</v>
      </c>
      <c r="AQ2175">
        <v>-1.1000000000000001</v>
      </c>
      <c r="AR2175">
        <v>-1.54</v>
      </c>
      <c r="AS2175">
        <v>-19.48</v>
      </c>
      <c r="AT2175">
        <v>-28.91</v>
      </c>
      <c r="AU2175">
        <v>-34.869999999999997</v>
      </c>
      <c r="AV2175">
        <v>0</v>
      </c>
      <c r="AW2175">
        <v>0.62</v>
      </c>
      <c r="AX2175">
        <v>34.520000000000003</v>
      </c>
      <c r="AY2175">
        <v>39.68</v>
      </c>
      <c r="AZ2175">
        <v>37.69</v>
      </c>
      <c r="BA2175">
        <v>0.64</v>
      </c>
      <c r="BB2175" t="s">
        <v>134</v>
      </c>
      <c r="BF2175">
        <v>-0.42</v>
      </c>
      <c r="BG2175">
        <v>-0.82</v>
      </c>
      <c r="BH2175">
        <v>-0.82</v>
      </c>
      <c r="BI2175">
        <v>1.1000000000000001</v>
      </c>
      <c r="BJ2175">
        <v>20210825</v>
      </c>
      <c r="BK2175">
        <v>20200512</v>
      </c>
      <c r="BL2175">
        <v>7.87</v>
      </c>
      <c r="BM2175" t="s">
        <v>120</v>
      </c>
      <c r="BN2175" t="s">
        <v>120</v>
      </c>
      <c r="BO2175">
        <v>55.26</v>
      </c>
      <c r="BP2175">
        <v>44.93</v>
      </c>
      <c r="BQ2175">
        <v>50.91</v>
      </c>
      <c r="BR2175" t="s">
        <v>120</v>
      </c>
      <c r="BS2175">
        <v>7.87</v>
      </c>
      <c r="BT2175">
        <v>41.14</v>
      </c>
      <c r="BU2175">
        <v>6.58</v>
      </c>
      <c r="BV2175">
        <v>0.97</v>
      </c>
      <c r="BW2175">
        <v>4.2699999999999996</v>
      </c>
      <c r="BX2175">
        <v>11.86</v>
      </c>
      <c r="BY2175">
        <v>5.81</v>
      </c>
      <c r="BZ2175">
        <v>2.94</v>
      </c>
      <c r="CA2175" t="s">
        <v>120</v>
      </c>
      <c r="CB2175">
        <v>14.97</v>
      </c>
      <c r="CC2175">
        <v>12.26</v>
      </c>
      <c r="CD2175">
        <v>3.6</v>
      </c>
      <c r="CE2175">
        <v>4.96</v>
      </c>
      <c r="CF2175">
        <v>0.22</v>
      </c>
      <c r="CG2175">
        <v>4.9400000000000004</v>
      </c>
      <c r="CH2175">
        <v>4.29</v>
      </c>
      <c r="CI2175">
        <v>4.29</v>
      </c>
      <c r="CJ2175">
        <v>-0.06</v>
      </c>
      <c r="CK2175">
        <v>3.83</v>
      </c>
      <c r="CL2175">
        <v>26.6</v>
      </c>
      <c r="CM2175">
        <v>2.8</v>
      </c>
      <c r="CN2175">
        <v>1.26</v>
      </c>
      <c r="CO2175">
        <v>24901</v>
      </c>
      <c r="CP2175">
        <v>10904</v>
      </c>
      <c r="CQ2175" t="s">
        <v>10519</v>
      </c>
      <c r="CR2175">
        <v>-9.9</v>
      </c>
      <c r="CS2175">
        <v>26.35</v>
      </c>
      <c r="CT2175">
        <v>6.94</v>
      </c>
      <c r="CU2175">
        <v>126.19</v>
      </c>
      <c r="CV2175">
        <v>28.84</v>
      </c>
      <c r="CW2175">
        <v>1.17</v>
      </c>
      <c r="CX2175" t="s">
        <v>1581</v>
      </c>
      <c r="CY2175">
        <v>6.47</v>
      </c>
      <c r="CZ2175">
        <v>0</v>
      </c>
      <c r="DA2175">
        <v>1.9</v>
      </c>
      <c r="DB2175">
        <v>3.38</v>
      </c>
      <c r="DC2175">
        <v>0.36</v>
      </c>
      <c r="DD2175">
        <v>92.13</v>
      </c>
      <c r="DE2175" t="s">
        <v>3319</v>
      </c>
      <c r="DF2175">
        <v>70.64</v>
      </c>
      <c r="DG2175">
        <v>40.43</v>
      </c>
      <c r="DH2175">
        <v>34.97</v>
      </c>
      <c r="DI2175">
        <v>0.85</v>
      </c>
      <c r="DJ2175">
        <v>1949</v>
      </c>
      <c r="DK2175">
        <v>300832</v>
      </c>
      <c r="DL2175" t="s">
        <v>120</v>
      </c>
      <c r="DM2175" t="s">
        <v>120</v>
      </c>
      <c r="DN2175" t="s">
        <v>120</v>
      </c>
    </row>
    <row r="2176" spans="1:118">
      <c r="A2176" t="str">
        <f>"300833"</f>
        <v>300833</v>
      </c>
      <c r="B2176" t="s">
        <v>10520</v>
      </c>
      <c r="C2176">
        <v>-6.09</v>
      </c>
      <c r="D2176">
        <v>0</v>
      </c>
      <c r="E2176">
        <v>-0.43</v>
      </c>
      <c r="F2176">
        <v>68</v>
      </c>
      <c r="G2176" t="s">
        <v>9636</v>
      </c>
      <c r="H2176">
        <v>5504.79</v>
      </c>
      <c r="I2176">
        <v>5.23</v>
      </c>
      <c r="J2176" t="s">
        <v>120</v>
      </c>
      <c r="K2176" t="s">
        <v>9636</v>
      </c>
      <c r="L2176">
        <v>4.1100000000000003</v>
      </c>
      <c r="M2176">
        <v>61.7</v>
      </c>
      <c r="N2176">
        <v>0.9</v>
      </c>
      <c r="O2176">
        <v>2.21</v>
      </c>
      <c r="P2176">
        <v>67.150000000000006</v>
      </c>
      <c r="Q2176">
        <v>-7.37</v>
      </c>
      <c r="R2176">
        <v>60.86</v>
      </c>
      <c r="S2176">
        <v>65.42</v>
      </c>
      <c r="T2176">
        <v>8665</v>
      </c>
      <c r="U2176">
        <v>61.7</v>
      </c>
      <c r="V2176">
        <v>65.7</v>
      </c>
      <c r="W2176">
        <v>76.260000000000005</v>
      </c>
      <c r="X2176" t="s">
        <v>675</v>
      </c>
      <c r="Y2176" t="s">
        <v>547</v>
      </c>
      <c r="Z2176">
        <v>9.57</v>
      </c>
      <c r="AA2176">
        <v>63.53</v>
      </c>
      <c r="AB2176">
        <v>5068</v>
      </c>
      <c r="AC2176">
        <v>3597</v>
      </c>
      <c r="AD2176">
        <v>1.41</v>
      </c>
      <c r="AE2176">
        <v>7</v>
      </c>
      <c r="AF2176">
        <v>12</v>
      </c>
      <c r="AG2176" t="s">
        <v>120</v>
      </c>
      <c r="AH2176">
        <v>0</v>
      </c>
      <c r="AI2176" t="s">
        <v>120</v>
      </c>
      <c r="AJ2176">
        <v>0.21</v>
      </c>
      <c r="AK2176" t="s">
        <v>10521</v>
      </c>
      <c r="AL2176">
        <v>-4.17</v>
      </c>
      <c r="AM2176">
        <v>1121</v>
      </c>
      <c r="AN2176">
        <v>8</v>
      </c>
      <c r="AO2176">
        <v>3.7000000000000002E-3</v>
      </c>
      <c r="AP2176">
        <v>-1</v>
      </c>
      <c r="AQ2176">
        <v>0.06</v>
      </c>
      <c r="AR2176">
        <v>-8.6</v>
      </c>
      <c r="AS2176">
        <v>9.1999999999999993</v>
      </c>
      <c r="AT2176">
        <v>24.59</v>
      </c>
      <c r="AU2176">
        <v>35.99</v>
      </c>
      <c r="AV2176">
        <v>0</v>
      </c>
      <c r="AW2176">
        <v>4.1100000000000003</v>
      </c>
      <c r="AX2176">
        <v>25</v>
      </c>
      <c r="AY2176">
        <v>97.09</v>
      </c>
      <c r="AZ2176">
        <v>62.87</v>
      </c>
      <c r="BA2176">
        <v>1.3</v>
      </c>
      <c r="BB2176" t="s">
        <v>184</v>
      </c>
      <c r="BF2176">
        <v>-3.3</v>
      </c>
      <c r="BG2176">
        <v>-5.69</v>
      </c>
      <c r="BH2176">
        <v>-8.1199999999999992</v>
      </c>
      <c r="BI2176">
        <v>1.38</v>
      </c>
      <c r="BJ2176">
        <v>20210828</v>
      </c>
      <c r="BK2176">
        <v>20200520</v>
      </c>
      <c r="BL2176">
        <v>0.84</v>
      </c>
      <c r="BM2176" t="s">
        <v>120</v>
      </c>
      <c r="BN2176" t="s">
        <v>120</v>
      </c>
      <c r="BO2176">
        <v>19.05</v>
      </c>
      <c r="BP2176">
        <v>61.68</v>
      </c>
      <c r="BQ2176">
        <v>17.559999999999999</v>
      </c>
      <c r="BR2176">
        <v>0.17</v>
      </c>
      <c r="BS2176">
        <v>6.88</v>
      </c>
      <c r="BT2176">
        <v>17.190000000000001</v>
      </c>
      <c r="BU2176">
        <v>0.6</v>
      </c>
      <c r="BV2176">
        <v>0.61</v>
      </c>
      <c r="BW2176">
        <v>1.1100000000000001</v>
      </c>
      <c r="BX2176">
        <v>12.32</v>
      </c>
      <c r="BY2176">
        <v>1.54</v>
      </c>
      <c r="BZ2176">
        <v>1.36</v>
      </c>
      <c r="CA2176" t="s">
        <v>120</v>
      </c>
      <c r="CB2176">
        <v>11.34</v>
      </c>
      <c r="CC2176">
        <v>1.89</v>
      </c>
      <c r="CD2176">
        <v>1.07</v>
      </c>
      <c r="CE2176">
        <v>0.4</v>
      </c>
      <c r="CF2176">
        <v>0.01</v>
      </c>
      <c r="CG2176">
        <v>0.4</v>
      </c>
      <c r="CH2176">
        <v>0.35</v>
      </c>
      <c r="CI2176">
        <v>0.34</v>
      </c>
      <c r="CJ2176">
        <v>-4</v>
      </c>
      <c r="CK2176">
        <v>0.32</v>
      </c>
      <c r="CL2176">
        <v>4.97</v>
      </c>
      <c r="CM2176">
        <v>0.2</v>
      </c>
      <c r="CN2176">
        <v>-1.71</v>
      </c>
      <c r="CO2176">
        <v>12309</v>
      </c>
      <c r="CP2176">
        <v>1713</v>
      </c>
      <c r="CQ2176" t="s">
        <v>3185</v>
      </c>
      <c r="CR2176">
        <v>-47.66</v>
      </c>
      <c r="CS2176">
        <v>-26.38</v>
      </c>
      <c r="CT2176">
        <v>2.96</v>
      </c>
      <c r="CU2176">
        <v>254.61</v>
      </c>
      <c r="CV2176">
        <v>27.47</v>
      </c>
      <c r="CW2176">
        <v>0.61</v>
      </c>
      <c r="CX2176" t="s">
        <v>10522</v>
      </c>
      <c r="CY2176">
        <v>20.83</v>
      </c>
      <c r="CZ2176">
        <v>0</v>
      </c>
      <c r="DA2176">
        <v>13.44</v>
      </c>
      <c r="DB2176">
        <v>5.89</v>
      </c>
      <c r="DC2176">
        <v>0.24</v>
      </c>
      <c r="DD2176">
        <v>92.21</v>
      </c>
      <c r="DE2176" t="s">
        <v>5805</v>
      </c>
      <c r="DF2176">
        <v>43.74</v>
      </c>
      <c r="DG2176">
        <v>21.1</v>
      </c>
      <c r="DH2176">
        <v>18.010000000000002</v>
      </c>
      <c r="DI2176">
        <v>0.18</v>
      </c>
      <c r="DJ2176">
        <v>800</v>
      </c>
      <c r="DK2176">
        <v>300833</v>
      </c>
      <c r="DL2176" t="s">
        <v>120</v>
      </c>
      <c r="DM2176" t="s">
        <v>120</v>
      </c>
      <c r="DN2176" t="s">
        <v>120</v>
      </c>
    </row>
    <row r="2177" spans="1:118">
      <c r="A2177" t="str">
        <f>"300835"</f>
        <v>300835</v>
      </c>
      <c r="B2177" t="s">
        <v>10523</v>
      </c>
      <c r="C2177">
        <v>-6.91</v>
      </c>
      <c r="D2177">
        <v>-0.09</v>
      </c>
      <c r="E2177">
        <v>-0.92</v>
      </c>
      <c r="F2177">
        <v>528</v>
      </c>
      <c r="G2177" t="s">
        <v>10524</v>
      </c>
      <c r="H2177">
        <v>22088.52</v>
      </c>
      <c r="I2177">
        <v>48.31</v>
      </c>
      <c r="J2177" t="s">
        <v>120</v>
      </c>
      <c r="K2177" t="s">
        <v>10524</v>
      </c>
      <c r="L2177">
        <v>10.79</v>
      </c>
      <c r="M2177">
        <v>49.34</v>
      </c>
      <c r="N2177">
        <v>1.32</v>
      </c>
      <c r="O2177">
        <v>0</v>
      </c>
      <c r="P2177">
        <v>53</v>
      </c>
      <c r="Q2177">
        <v>-7.36</v>
      </c>
      <c r="R2177">
        <v>49.1</v>
      </c>
      <c r="S2177">
        <v>52.51</v>
      </c>
      <c r="T2177">
        <v>43490</v>
      </c>
      <c r="U2177">
        <v>49.34</v>
      </c>
      <c r="V2177">
        <v>53</v>
      </c>
      <c r="W2177">
        <v>28.05</v>
      </c>
      <c r="X2177" t="s">
        <v>229</v>
      </c>
      <c r="Y2177" t="s">
        <v>570</v>
      </c>
      <c r="Z2177">
        <v>7.36</v>
      </c>
      <c r="AA2177">
        <v>50.79</v>
      </c>
      <c r="AB2177">
        <v>25146</v>
      </c>
      <c r="AC2177">
        <v>18344</v>
      </c>
      <c r="AD2177">
        <v>1.37</v>
      </c>
      <c r="AE2177">
        <v>109</v>
      </c>
      <c r="AF2177">
        <v>58</v>
      </c>
      <c r="AG2177" t="s">
        <v>120</v>
      </c>
      <c r="AH2177">
        <v>0.02</v>
      </c>
      <c r="AI2177" t="s">
        <v>120</v>
      </c>
      <c r="AJ2177">
        <v>0.4</v>
      </c>
      <c r="AK2177" t="s">
        <v>7558</v>
      </c>
      <c r="AL2177">
        <v>-4.99</v>
      </c>
      <c r="AM2177">
        <v>2753</v>
      </c>
      <c r="AN2177">
        <v>16</v>
      </c>
      <c r="AO2177">
        <v>3.8999999999999998E-3</v>
      </c>
      <c r="AP2177">
        <v>-2</v>
      </c>
      <c r="AQ2177">
        <v>-1.1200000000000001</v>
      </c>
      <c r="AR2177">
        <v>-5.82</v>
      </c>
      <c r="AS2177">
        <v>4.87</v>
      </c>
      <c r="AT2177">
        <v>12.13</v>
      </c>
      <c r="AU2177">
        <v>-0.12</v>
      </c>
      <c r="AV2177">
        <v>1</v>
      </c>
      <c r="AW2177">
        <v>10.79</v>
      </c>
      <c r="AX2177">
        <v>57.03</v>
      </c>
      <c r="AY2177">
        <v>34.090000000000003</v>
      </c>
      <c r="AZ2177">
        <v>54.91</v>
      </c>
      <c r="BA2177">
        <v>0.78</v>
      </c>
      <c r="BB2177" t="s">
        <v>240</v>
      </c>
      <c r="BF2177">
        <v>-4.17</v>
      </c>
      <c r="BG2177">
        <v>-6.04</v>
      </c>
      <c r="BH2177">
        <v>-6.91</v>
      </c>
      <c r="BI2177">
        <v>0.49</v>
      </c>
      <c r="BJ2177">
        <v>20210827</v>
      </c>
      <c r="BK2177">
        <v>20200525</v>
      </c>
      <c r="BL2177">
        <v>0.71</v>
      </c>
      <c r="BM2177" t="s">
        <v>120</v>
      </c>
      <c r="BN2177" t="s">
        <v>120</v>
      </c>
      <c r="BO2177">
        <v>11.26</v>
      </c>
      <c r="BP2177">
        <v>49.33</v>
      </c>
      <c r="BQ2177">
        <v>8.84</v>
      </c>
      <c r="BR2177" t="s">
        <v>120</v>
      </c>
      <c r="BS2177">
        <v>21.5</v>
      </c>
      <c r="BT2177">
        <v>5.99</v>
      </c>
      <c r="BU2177">
        <v>3.88</v>
      </c>
      <c r="BV2177">
        <v>0.42</v>
      </c>
      <c r="BW2177">
        <v>2.02</v>
      </c>
      <c r="BX2177">
        <v>1.32</v>
      </c>
      <c r="BY2177">
        <v>1.86</v>
      </c>
      <c r="BZ2177">
        <v>1.88</v>
      </c>
      <c r="CA2177" t="s">
        <v>120</v>
      </c>
      <c r="CB2177">
        <v>2.98</v>
      </c>
      <c r="CC2177">
        <v>4.0199999999999996</v>
      </c>
      <c r="CD2177">
        <v>2.54</v>
      </c>
      <c r="CE2177">
        <v>0.71</v>
      </c>
      <c r="CF2177">
        <v>0.01</v>
      </c>
      <c r="CG2177">
        <v>0.71</v>
      </c>
      <c r="CH2177">
        <v>0.62</v>
      </c>
      <c r="CI2177">
        <v>0.62</v>
      </c>
      <c r="CJ2177">
        <v>-3.66</v>
      </c>
      <c r="CK2177">
        <v>0.59</v>
      </c>
      <c r="CL2177">
        <v>4.6500000000000004</v>
      </c>
      <c r="CM2177">
        <v>0.49</v>
      </c>
      <c r="CN2177">
        <v>-0.05</v>
      </c>
      <c r="CO2177">
        <v>15576</v>
      </c>
      <c r="CP2177">
        <v>2587</v>
      </c>
      <c r="CQ2177" t="s">
        <v>10525</v>
      </c>
      <c r="CR2177">
        <v>203.29</v>
      </c>
      <c r="CS2177">
        <v>83.31</v>
      </c>
      <c r="CT2177">
        <v>3.95</v>
      </c>
      <c r="CU2177">
        <v>71.45</v>
      </c>
      <c r="CV2177">
        <v>8.66</v>
      </c>
      <c r="CW2177">
        <v>0.38</v>
      </c>
      <c r="CX2177" t="s">
        <v>465</v>
      </c>
      <c r="CY2177">
        <v>12.5</v>
      </c>
      <c r="CZ2177">
        <v>0</v>
      </c>
      <c r="DA2177">
        <v>4.21</v>
      </c>
      <c r="DB2177">
        <v>6.57</v>
      </c>
      <c r="DC2177">
        <v>0.69</v>
      </c>
      <c r="DD2177">
        <v>78.5</v>
      </c>
      <c r="DE2177" t="s">
        <v>5617</v>
      </c>
      <c r="DF2177">
        <v>36.9</v>
      </c>
      <c r="DG2177">
        <v>17.55</v>
      </c>
      <c r="DH2177">
        <v>15.44</v>
      </c>
      <c r="DI2177">
        <v>0.17</v>
      </c>
      <c r="DJ2177">
        <v>1587</v>
      </c>
      <c r="DK2177">
        <v>300835</v>
      </c>
      <c r="DL2177" t="s">
        <v>120</v>
      </c>
      <c r="DM2177" t="s">
        <v>120</v>
      </c>
      <c r="DN2177" t="s">
        <v>120</v>
      </c>
    </row>
    <row r="2178" spans="1:118">
      <c r="A2178" t="str">
        <f>"300836"</f>
        <v>300836</v>
      </c>
      <c r="B2178" t="s">
        <v>10526</v>
      </c>
      <c r="C2178">
        <v>0.89</v>
      </c>
      <c r="D2178">
        <v>0.36</v>
      </c>
      <c r="E2178">
        <v>1.0900000000000001</v>
      </c>
      <c r="F2178">
        <v>23</v>
      </c>
      <c r="G2178" t="s">
        <v>2812</v>
      </c>
      <c r="H2178">
        <v>2371.5</v>
      </c>
      <c r="I2178">
        <v>12.67</v>
      </c>
      <c r="J2178" t="s">
        <v>120</v>
      </c>
      <c r="K2178" t="s">
        <v>3636</v>
      </c>
      <c r="L2178">
        <v>2.04</v>
      </c>
      <c r="M2178">
        <v>36.130000000000003</v>
      </c>
      <c r="N2178">
        <v>1.8</v>
      </c>
      <c r="O2178">
        <v>4.58</v>
      </c>
      <c r="P2178">
        <v>37.450000000000003</v>
      </c>
      <c r="Q2178">
        <v>0.39</v>
      </c>
      <c r="R2178">
        <v>35.950000000000003</v>
      </c>
      <c r="S2178">
        <v>36.200000000000003</v>
      </c>
      <c r="T2178">
        <v>6469</v>
      </c>
      <c r="U2178">
        <v>36.130000000000003</v>
      </c>
      <c r="V2178">
        <v>35.81</v>
      </c>
      <c r="W2178">
        <v>89.45</v>
      </c>
      <c r="X2178" t="s">
        <v>675</v>
      </c>
      <c r="Y2178" t="s">
        <v>319</v>
      </c>
      <c r="Z2178">
        <v>4.1900000000000004</v>
      </c>
      <c r="AA2178">
        <v>36.659999999999997</v>
      </c>
      <c r="AB2178">
        <v>3155</v>
      </c>
      <c r="AC2178">
        <v>3314</v>
      </c>
      <c r="AD2178">
        <v>0.95</v>
      </c>
      <c r="AE2178">
        <v>4</v>
      </c>
      <c r="AF2178">
        <v>17</v>
      </c>
      <c r="AG2178" t="s">
        <v>120</v>
      </c>
      <c r="AH2178">
        <v>0.02</v>
      </c>
      <c r="AI2178" t="s">
        <v>120</v>
      </c>
      <c r="AJ2178">
        <v>0.32</v>
      </c>
      <c r="AK2178" t="s">
        <v>4340</v>
      </c>
      <c r="AL2178">
        <v>2.81</v>
      </c>
      <c r="AM2178">
        <v>713</v>
      </c>
      <c r="AN2178">
        <v>9</v>
      </c>
      <c r="AO2178">
        <v>2.8999999999999998E-3</v>
      </c>
      <c r="AP2178">
        <v>2</v>
      </c>
      <c r="AQ2178">
        <v>0.06</v>
      </c>
      <c r="AR2178">
        <v>-0.71</v>
      </c>
      <c r="AS2178">
        <v>-6.16</v>
      </c>
      <c r="AT2178">
        <v>-3.26</v>
      </c>
      <c r="AU2178">
        <v>-24.73</v>
      </c>
      <c r="AV2178">
        <v>2</v>
      </c>
      <c r="AW2178">
        <v>3</v>
      </c>
      <c r="AX2178">
        <v>43.8</v>
      </c>
      <c r="AY2178">
        <v>173.6</v>
      </c>
      <c r="AZ2178">
        <v>115.9</v>
      </c>
      <c r="BA2178">
        <v>0.77</v>
      </c>
      <c r="BB2178" t="s">
        <v>143</v>
      </c>
      <c r="BF2178">
        <v>2.37</v>
      </c>
      <c r="BG2178">
        <v>-0.19</v>
      </c>
      <c r="BH2178">
        <v>-3.52</v>
      </c>
      <c r="BI2178">
        <v>0.5</v>
      </c>
      <c r="BJ2178">
        <v>20210906</v>
      </c>
      <c r="BK2178">
        <v>20200528</v>
      </c>
      <c r="BL2178">
        <v>0.49</v>
      </c>
      <c r="BM2178" t="s">
        <v>120</v>
      </c>
      <c r="BN2178" t="s">
        <v>120</v>
      </c>
      <c r="BO2178">
        <v>8.67</v>
      </c>
      <c r="BP2178">
        <v>36.03</v>
      </c>
      <c r="BQ2178">
        <v>6.21</v>
      </c>
      <c r="BR2178">
        <v>0.01</v>
      </c>
      <c r="BS2178">
        <v>28.15</v>
      </c>
      <c r="BT2178">
        <v>7.62</v>
      </c>
      <c r="BU2178">
        <v>0.31</v>
      </c>
      <c r="BV2178">
        <v>0.18</v>
      </c>
      <c r="BW2178">
        <v>2.12</v>
      </c>
      <c r="BX2178">
        <v>1.63</v>
      </c>
      <c r="BY2178">
        <v>2.41</v>
      </c>
      <c r="BZ2178">
        <v>2.98</v>
      </c>
      <c r="CA2178" t="s">
        <v>120</v>
      </c>
      <c r="CB2178">
        <v>3.67</v>
      </c>
      <c r="CC2178">
        <v>1.51</v>
      </c>
      <c r="CD2178">
        <v>0.99</v>
      </c>
      <c r="CE2178">
        <v>0.09</v>
      </c>
      <c r="CF2178">
        <v>0.01</v>
      </c>
      <c r="CG2178">
        <v>0.11</v>
      </c>
      <c r="CH2178">
        <v>0.1</v>
      </c>
      <c r="CI2178">
        <v>0.1</v>
      </c>
      <c r="CJ2178">
        <v>0.32</v>
      </c>
      <c r="CK2178">
        <v>7.0000000000000007E-2</v>
      </c>
      <c r="CL2178">
        <v>1.88</v>
      </c>
      <c r="CM2178">
        <v>-1</v>
      </c>
      <c r="CN2178">
        <v>-0.36</v>
      </c>
      <c r="CO2178">
        <v>8216</v>
      </c>
      <c r="CP2178">
        <v>2626</v>
      </c>
      <c r="CQ2178" t="s">
        <v>9193</v>
      </c>
      <c r="CR2178">
        <v>-33.71</v>
      </c>
      <c r="CS2178">
        <v>20.87</v>
      </c>
      <c r="CT2178">
        <v>2.86</v>
      </c>
      <c r="CU2178">
        <v>-17.850000000000001</v>
      </c>
      <c r="CV2178">
        <v>11.82</v>
      </c>
      <c r="CW2178">
        <v>0</v>
      </c>
      <c r="CX2178" t="s">
        <v>4763</v>
      </c>
      <c r="CY2178">
        <v>12.62</v>
      </c>
      <c r="CZ2178">
        <v>0</v>
      </c>
      <c r="DA2178">
        <v>7.46</v>
      </c>
      <c r="DB2178">
        <v>3.81</v>
      </c>
      <c r="DC2178">
        <v>-2.02</v>
      </c>
      <c r="DD2178">
        <v>71.680000000000007</v>
      </c>
      <c r="DE2178" t="s">
        <v>8473</v>
      </c>
      <c r="DF2178">
        <v>34.56</v>
      </c>
      <c r="DG2178">
        <v>6.11</v>
      </c>
      <c r="DH2178">
        <v>6.61</v>
      </c>
      <c r="DI2178">
        <v>0.12</v>
      </c>
      <c r="DJ2178">
        <v>727</v>
      </c>
      <c r="DK2178">
        <v>300836</v>
      </c>
      <c r="DL2178" t="s">
        <v>120</v>
      </c>
      <c r="DM2178" t="s">
        <v>120</v>
      </c>
      <c r="DN2178" t="s">
        <v>120</v>
      </c>
    </row>
    <row r="2179" spans="1:118">
      <c r="A2179" t="str">
        <f>"300837"</f>
        <v>300837</v>
      </c>
      <c r="B2179" t="s">
        <v>10527</v>
      </c>
      <c r="C2179">
        <v>-0.73</v>
      </c>
      <c r="D2179">
        <v>-0.06</v>
      </c>
      <c r="E2179">
        <v>7.0000000000000007E-2</v>
      </c>
      <c r="F2179">
        <v>92</v>
      </c>
      <c r="G2179" t="s">
        <v>10528</v>
      </c>
      <c r="H2179">
        <v>2165.29</v>
      </c>
      <c r="I2179">
        <v>7.51</v>
      </c>
      <c r="J2179" t="s">
        <v>120</v>
      </c>
      <c r="K2179" t="s">
        <v>5735</v>
      </c>
      <c r="L2179">
        <v>1.48</v>
      </c>
      <c r="M2179">
        <v>43.81</v>
      </c>
      <c r="N2179">
        <v>0.64</v>
      </c>
      <c r="O2179">
        <v>0.97</v>
      </c>
      <c r="P2179">
        <v>44.56</v>
      </c>
      <c r="Q2179">
        <v>-2.4</v>
      </c>
      <c r="R2179">
        <v>43.07</v>
      </c>
      <c r="S2179">
        <v>44.16</v>
      </c>
      <c r="T2179">
        <v>4916</v>
      </c>
      <c r="U2179">
        <v>43.81</v>
      </c>
      <c r="V2179">
        <v>44.13</v>
      </c>
      <c r="W2179">
        <v>27.32</v>
      </c>
      <c r="X2179" t="s">
        <v>675</v>
      </c>
      <c r="Y2179" t="s">
        <v>585</v>
      </c>
      <c r="Z2179">
        <v>3.38</v>
      </c>
      <c r="AA2179">
        <v>44.04</v>
      </c>
      <c r="AB2179">
        <v>2517</v>
      </c>
      <c r="AC2179">
        <v>2399</v>
      </c>
      <c r="AD2179">
        <v>1.05</v>
      </c>
      <c r="AE2179">
        <v>1</v>
      </c>
      <c r="AF2179">
        <v>12</v>
      </c>
      <c r="AG2179" t="s">
        <v>120</v>
      </c>
      <c r="AH2179">
        <v>0.01</v>
      </c>
      <c r="AI2179" t="s">
        <v>120</v>
      </c>
      <c r="AJ2179">
        <v>0.33</v>
      </c>
      <c r="AK2179" t="s">
        <v>9593</v>
      </c>
      <c r="AL2179">
        <v>1.19</v>
      </c>
      <c r="AM2179">
        <v>653</v>
      </c>
      <c r="AN2179">
        <v>8</v>
      </c>
      <c r="AO2179">
        <v>2.3E-3</v>
      </c>
      <c r="AP2179">
        <v>-2</v>
      </c>
      <c r="AQ2179">
        <v>-2.56</v>
      </c>
      <c r="AR2179">
        <v>-3.25</v>
      </c>
      <c r="AS2179">
        <v>-5.15</v>
      </c>
      <c r="AT2179">
        <v>-4.7699999999999996</v>
      </c>
      <c r="AU2179">
        <v>-7.2</v>
      </c>
      <c r="AV2179">
        <v>0</v>
      </c>
      <c r="AW2179">
        <v>1.97</v>
      </c>
      <c r="AX2179">
        <v>25</v>
      </c>
      <c r="AY2179">
        <v>31.62</v>
      </c>
      <c r="AZ2179">
        <v>36.43</v>
      </c>
      <c r="BA2179">
        <v>0.55000000000000004</v>
      </c>
      <c r="BB2179" t="s">
        <v>143</v>
      </c>
      <c r="BF2179">
        <v>-0.2</v>
      </c>
      <c r="BG2179">
        <v>-0.79</v>
      </c>
      <c r="BH2179">
        <v>-1.68</v>
      </c>
      <c r="BI2179">
        <v>1.72</v>
      </c>
      <c r="BJ2179">
        <v>20210824</v>
      </c>
      <c r="BK2179">
        <v>20200605</v>
      </c>
      <c r="BL2179">
        <v>1</v>
      </c>
      <c r="BM2179" t="s">
        <v>120</v>
      </c>
      <c r="BN2179" t="s">
        <v>120</v>
      </c>
      <c r="BO2179">
        <v>13.83</v>
      </c>
      <c r="BP2179">
        <v>43.76</v>
      </c>
      <c r="BQ2179">
        <v>9.93</v>
      </c>
      <c r="BR2179" t="s">
        <v>120</v>
      </c>
      <c r="BS2179">
        <v>28.21</v>
      </c>
      <c r="BT2179">
        <v>9.65</v>
      </c>
      <c r="BU2179">
        <v>1.22</v>
      </c>
      <c r="BV2179">
        <v>0.4</v>
      </c>
      <c r="BW2179">
        <v>3.86</v>
      </c>
      <c r="BX2179">
        <v>5.24</v>
      </c>
      <c r="BY2179">
        <v>3.05</v>
      </c>
      <c r="BZ2179">
        <v>1.18</v>
      </c>
      <c r="CA2179" t="s">
        <v>120</v>
      </c>
      <c r="CB2179">
        <v>3.86</v>
      </c>
      <c r="CC2179">
        <v>2.78</v>
      </c>
      <c r="CD2179">
        <v>1.56</v>
      </c>
      <c r="CE2179">
        <v>0.9</v>
      </c>
      <c r="CF2179">
        <v>0</v>
      </c>
      <c r="CG2179">
        <v>0.93</v>
      </c>
      <c r="CH2179">
        <v>0.8</v>
      </c>
      <c r="CI2179">
        <v>0.8</v>
      </c>
      <c r="CJ2179">
        <v>-0.32</v>
      </c>
      <c r="CK2179">
        <v>0.77</v>
      </c>
      <c r="CL2179">
        <v>4.6100000000000003</v>
      </c>
      <c r="CM2179">
        <v>1.0900000000000001</v>
      </c>
      <c r="CN2179">
        <v>-0.35</v>
      </c>
      <c r="CO2179">
        <v>8854</v>
      </c>
      <c r="CP2179">
        <v>2824</v>
      </c>
      <c r="CQ2179" t="s">
        <v>6002</v>
      </c>
      <c r="CR2179">
        <v>29.88</v>
      </c>
      <c r="CS2179">
        <v>32.04</v>
      </c>
      <c r="CT2179">
        <v>4.41</v>
      </c>
      <c r="CU2179">
        <v>40.369999999999997</v>
      </c>
      <c r="CV2179">
        <v>15.76</v>
      </c>
      <c r="CW2179">
        <v>0.68</v>
      </c>
      <c r="CX2179" t="s">
        <v>127</v>
      </c>
      <c r="CY2179">
        <v>9.93</v>
      </c>
      <c r="CZ2179">
        <v>0</v>
      </c>
      <c r="DA2179">
        <v>3.86</v>
      </c>
      <c r="DB2179">
        <v>4.6100000000000003</v>
      </c>
      <c r="DC2179">
        <v>1.0900000000000001</v>
      </c>
      <c r="DD2179">
        <v>71.790000000000006</v>
      </c>
      <c r="DE2179" t="s">
        <v>5078</v>
      </c>
      <c r="DF2179">
        <v>43.74</v>
      </c>
      <c r="DG2179">
        <v>32.35</v>
      </c>
      <c r="DH2179">
        <v>28.84</v>
      </c>
      <c r="DI2179">
        <v>0.1</v>
      </c>
      <c r="DJ2179">
        <v>344</v>
      </c>
      <c r="DK2179">
        <v>300837</v>
      </c>
      <c r="DL2179" t="s">
        <v>120</v>
      </c>
      <c r="DM2179" t="s">
        <v>120</v>
      </c>
      <c r="DN2179" t="s">
        <v>120</v>
      </c>
    </row>
    <row r="2180" spans="1:118">
      <c r="A2180" t="str">
        <f>"300838"</f>
        <v>300838</v>
      </c>
      <c r="B2180" t="s">
        <v>10529</v>
      </c>
      <c r="C2180">
        <v>-1.1200000000000001</v>
      </c>
      <c r="D2180">
        <v>-0.05</v>
      </c>
      <c r="E2180">
        <v>-0.41</v>
      </c>
      <c r="F2180">
        <v>238</v>
      </c>
      <c r="G2180" t="s">
        <v>6948</v>
      </c>
      <c r="H2180">
        <v>1989.72</v>
      </c>
      <c r="I2180">
        <v>1.69</v>
      </c>
      <c r="J2180" t="s">
        <v>120</v>
      </c>
      <c r="K2180" t="s">
        <v>6948</v>
      </c>
      <c r="L2180">
        <v>2.23</v>
      </c>
      <c r="M2180">
        <v>16.82</v>
      </c>
      <c r="N2180">
        <v>0.83</v>
      </c>
      <c r="O2180">
        <v>0.53</v>
      </c>
      <c r="P2180">
        <v>17.100000000000001</v>
      </c>
      <c r="Q2180">
        <v>-1.1200000000000001</v>
      </c>
      <c r="R2180">
        <v>16.82</v>
      </c>
      <c r="S2180">
        <v>16.940000000000001</v>
      </c>
      <c r="T2180">
        <v>11725</v>
      </c>
      <c r="U2180">
        <v>16.829999999999998</v>
      </c>
      <c r="V2180">
        <v>17.010000000000002</v>
      </c>
      <c r="W2180">
        <v>29.56</v>
      </c>
      <c r="X2180" t="s">
        <v>2717</v>
      </c>
      <c r="Y2180" t="s">
        <v>585</v>
      </c>
      <c r="Z2180">
        <v>1.65</v>
      </c>
      <c r="AA2180">
        <v>16.97</v>
      </c>
      <c r="AB2180">
        <v>6829</v>
      </c>
      <c r="AC2180">
        <v>4896</v>
      </c>
      <c r="AD2180">
        <v>1.39</v>
      </c>
      <c r="AE2180">
        <v>184</v>
      </c>
      <c r="AF2180">
        <v>39</v>
      </c>
      <c r="AG2180" t="s">
        <v>120</v>
      </c>
      <c r="AH2180">
        <v>0</v>
      </c>
      <c r="AI2180" t="s">
        <v>120</v>
      </c>
      <c r="AJ2180">
        <v>0.53</v>
      </c>
      <c r="AK2180" t="s">
        <v>3969</v>
      </c>
      <c r="AL2180">
        <v>0.8</v>
      </c>
      <c r="AM2180">
        <v>826</v>
      </c>
      <c r="AN2180">
        <v>14</v>
      </c>
      <c r="AO2180">
        <v>2.7000000000000001E-3</v>
      </c>
      <c r="AP2180">
        <v>-1</v>
      </c>
      <c r="AQ2180">
        <v>0.95</v>
      </c>
      <c r="AR2180">
        <v>-2.0299999999999998</v>
      </c>
      <c r="AS2180">
        <v>0</v>
      </c>
      <c r="AT2180">
        <v>4.92</v>
      </c>
      <c r="AU2180">
        <v>-10.77</v>
      </c>
      <c r="AV2180">
        <v>0</v>
      </c>
      <c r="AW2180">
        <v>2.23</v>
      </c>
      <c r="AX2180">
        <v>38.64</v>
      </c>
      <c r="AY2180">
        <v>32.58</v>
      </c>
      <c r="AZ2180">
        <v>37.36</v>
      </c>
      <c r="BA2180">
        <v>0.19</v>
      </c>
      <c r="BB2180" t="s">
        <v>143</v>
      </c>
      <c r="BF2180">
        <v>-0.24</v>
      </c>
      <c r="BG2180">
        <v>-0.71</v>
      </c>
      <c r="BH2180">
        <v>-1.64</v>
      </c>
      <c r="BI2180">
        <v>0</v>
      </c>
      <c r="BJ2180">
        <v>20210823</v>
      </c>
      <c r="BK2180">
        <v>20200608</v>
      </c>
      <c r="BL2180">
        <v>1.36</v>
      </c>
      <c r="BM2180" t="s">
        <v>120</v>
      </c>
      <c r="BN2180" t="s">
        <v>120</v>
      </c>
      <c r="BO2180">
        <v>10.02</v>
      </c>
      <c r="BP2180">
        <v>16.82</v>
      </c>
      <c r="BQ2180">
        <v>7.92</v>
      </c>
      <c r="BR2180" t="s">
        <v>120</v>
      </c>
      <c r="BS2180">
        <v>20.99</v>
      </c>
      <c r="BT2180">
        <v>7.51</v>
      </c>
      <c r="BU2180">
        <v>1.27</v>
      </c>
      <c r="BV2180">
        <v>0.45</v>
      </c>
      <c r="BW2180">
        <v>2.08</v>
      </c>
      <c r="BX2180">
        <v>0.64</v>
      </c>
      <c r="BY2180">
        <v>1.65</v>
      </c>
      <c r="BZ2180">
        <v>3.06</v>
      </c>
      <c r="CA2180" t="s">
        <v>120</v>
      </c>
      <c r="CB2180">
        <v>3.53</v>
      </c>
      <c r="CC2180">
        <v>2.99</v>
      </c>
      <c r="CD2180">
        <v>2.15</v>
      </c>
      <c r="CE2180">
        <v>0.44</v>
      </c>
      <c r="CF2180">
        <v>0.03</v>
      </c>
      <c r="CG2180">
        <v>0.44</v>
      </c>
      <c r="CH2180">
        <v>0.39</v>
      </c>
      <c r="CI2180">
        <v>0.39</v>
      </c>
      <c r="CJ2180">
        <v>-0.19</v>
      </c>
      <c r="CK2180">
        <v>0.38</v>
      </c>
      <c r="CL2180">
        <v>2.68</v>
      </c>
      <c r="CM2180">
        <v>0.35</v>
      </c>
      <c r="CN2180">
        <v>-0.46</v>
      </c>
      <c r="CO2180">
        <v>15188</v>
      </c>
      <c r="CP2180">
        <v>3469</v>
      </c>
      <c r="CQ2180" t="s">
        <v>678</v>
      </c>
      <c r="CR2180">
        <v>30.7</v>
      </c>
      <c r="CS2180">
        <v>65.849999999999994</v>
      </c>
      <c r="CT2180">
        <v>2.9</v>
      </c>
      <c r="CU2180">
        <v>64.67</v>
      </c>
      <c r="CV2180">
        <v>7.68</v>
      </c>
      <c r="CW2180">
        <v>0.88</v>
      </c>
      <c r="CX2180" t="s">
        <v>1054</v>
      </c>
      <c r="CY2180">
        <v>5.81</v>
      </c>
      <c r="CZ2180">
        <v>0</v>
      </c>
      <c r="DA2180">
        <v>2.59</v>
      </c>
      <c r="DB2180">
        <v>1.97</v>
      </c>
      <c r="DC2180">
        <v>0.26</v>
      </c>
      <c r="DD2180">
        <v>79.010000000000005</v>
      </c>
      <c r="DE2180" t="s">
        <v>619</v>
      </c>
      <c r="DF2180">
        <v>27.93</v>
      </c>
      <c r="DG2180">
        <v>14.67</v>
      </c>
      <c r="DH2180">
        <v>12.98</v>
      </c>
      <c r="DI2180">
        <v>0.12</v>
      </c>
      <c r="DJ2180">
        <v>645</v>
      </c>
      <c r="DK2180">
        <v>300838</v>
      </c>
      <c r="DL2180" t="s">
        <v>120</v>
      </c>
      <c r="DM2180" t="s">
        <v>120</v>
      </c>
      <c r="DN2180" t="s">
        <v>120</v>
      </c>
    </row>
    <row r="2181" spans="1:118">
      <c r="A2181" t="str">
        <f>"300839"</f>
        <v>300839</v>
      </c>
      <c r="B2181" t="s">
        <v>10530</v>
      </c>
      <c r="C2181">
        <v>-5.62</v>
      </c>
      <c r="D2181">
        <v>-0.17</v>
      </c>
      <c r="E2181">
        <v>-3.66</v>
      </c>
      <c r="F2181">
        <v>558</v>
      </c>
      <c r="G2181" t="s">
        <v>10531</v>
      </c>
      <c r="H2181">
        <v>13667.32</v>
      </c>
      <c r="I2181">
        <v>93.39</v>
      </c>
      <c r="J2181" t="s">
        <v>120</v>
      </c>
      <c r="K2181" t="s">
        <v>10531</v>
      </c>
      <c r="L2181">
        <v>10.3</v>
      </c>
      <c r="M2181">
        <v>21.68</v>
      </c>
      <c r="N2181">
        <v>1.1499999999999999</v>
      </c>
      <c r="O2181">
        <v>3.61</v>
      </c>
      <c r="P2181">
        <v>23.8</v>
      </c>
      <c r="Q2181">
        <v>-7.62</v>
      </c>
      <c r="R2181">
        <v>21.22</v>
      </c>
      <c r="S2181">
        <v>22.13</v>
      </c>
      <c r="T2181">
        <v>62006</v>
      </c>
      <c r="U2181">
        <v>21.69</v>
      </c>
      <c r="V2181">
        <v>22.97</v>
      </c>
      <c r="W2181">
        <v>89.47</v>
      </c>
      <c r="X2181" t="s">
        <v>431</v>
      </c>
      <c r="Y2181" t="s">
        <v>585</v>
      </c>
      <c r="Z2181">
        <v>11.23</v>
      </c>
      <c r="AA2181">
        <v>22.04</v>
      </c>
      <c r="AB2181">
        <v>34438</v>
      </c>
      <c r="AC2181">
        <v>27568</v>
      </c>
      <c r="AD2181">
        <v>1.25</v>
      </c>
      <c r="AE2181">
        <v>22</v>
      </c>
      <c r="AF2181">
        <v>9</v>
      </c>
      <c r="AG2181" t="s">
        <v>120</v>
      </c>
      <c r="AH2181">
        <v>7.0000000000000007E-2</v>
      </c>
      <c r="AI2181" t="s">
        <v>120</v>
      </c>
      <c r="AJ2181">
        <v>0.6</v>
      </c>
      <c r="AK2181" t="s">
        <v>3426</v>
      </c>
      <c r="AL2181">
        <v>-3.7</v>
      </c>
      <c r="AM2181">
        <v>2704</v>
      </c>
      <c r="AN2181">
        <v>23</v>
      </c>
      <c r="AO2181">
        <v>3.8E-3</v>
      </c>
      <c r="AP2181">
        <v>-1</v>
      </c>
      <c r="AQ2181">
        <v>7.74</v>
      </c>
      <c r="AR2181">
        <v>0.37</v>
      </c>
      <c r="AS2181">
        <v>32.68</v>
      </c>
      <c r="AT2181">
        <v>24.77</v>
      </c>
      <c r="AU2181">
        <v>16.18</v>
      </c>
      <c r="AV2181">
        <v>3</v>
      </c>
      <c r="AW2181">
        <v>10.3</v>
      </c>
      <c r="AX2181">
        <v>44.52</v>
      </c>
      <c r="AY2181">
        <v>101.2</v>
      </c>
      <c r="AZ2181">
        <v>53.74</v>
      </c>
      <c r="BA2181">
        <v>0.89</v>
      </c>
      <c r="BB2181" t="s">
        <v>143</v>
      </c>
      <c r="BF2181">
        <v>-4.04</v>
      </c>
      <c r="BG2181">
        <v>-2.0299999999999998</v>
      </c>
      <c r="BH2181">
        <v>-8.91</v>
      </c>
      <c r="BI2181">
        <v>2.17</v>
      </c>
      <c r="BJ2181">
        <v>20210830</v>
      </c>
      <c r="BK2181">
        <v>20200630</v>
      </c>
      <c r="BL2181">
        <v>1.35</v>
      </c>
      <c r="BM2181" t="s">
        <v>120</v>
      </c>
      <c r="BN2181" t="s">
        <v>120</v>
      </c>
      <c r="BO2181">
        <v>17.190000000000001</v>
      </c>
      <c r="BP2181">
        <v>21.68</v>
      </c>
      <c r="BQ2181">
        <v>8.41</v>
      </c>
      <c r="BR2181" t="s">
        <v>120</v>
      </c>
      <c r="BS2181">
        <v>51.11</v>
      </c>
      <c r="BT2181">
        <v>6.96</v>
      </c>
      <c r="BU2181">
        <v>8.4</v>
      </c>
      <c r="BV2181">
        <v>0.86</v>
      </c>
      <c r="BW2181">
        <v>6.56</v>
      </c>
      <c r="BX2181">
        <v>0.7</v>
      </c>
      <c r="BY2181">
        <v>1.69</v>
      </c>
      <c r="BZ2181">
        <v>0</v>
      </c>
      <c r="CA2181" t="s">
        <v>120</v>
      </c>
      <c r="CB2181">
        <v>4.33</v>
      </c>
      <c r="CC2181">
        <v>4.1399999999999997</v>
      </c>
      <c r="CD2181">
        <v>3.47</v>
      </c>
      <c r="CE2181">
        <v>0.18</v>
      </c>
      <c r="CF2181">
        <v>0</v>
      </c>
      <c r="CG2181">
        <v>0.18</v>
      </c>
      <c r="CH2181">
        <v>0.16</v>
      </c>
      <c r="CI2181">
        <v>0.16</v>
      </c>
      <c r="CJ2181">
        <v>-1.29</v>
      </c>
      <c r="CK2181">
        <v>0.16</v>
      </c>
      <c r="CL2181">
        <v>2.58</v>
      </c>
      <c r="CM2181">
        <v>-0.66</v>
      </c>
      <c r="CN2181">
        <v>0.22</v>
      </c>
      <c r="CO2181">
        <v>11526</v>
      </c>
      <c r="CP2181">
        <v>5223</v>
      </c>
      <c r="CQ2181" t="s">
        <v>10532</v>
      </c>
      <c r="CR2181">
        <v>-62.33</v>
      </c>
      <c r="CS2181">
        <v>-2.95</v>
      </c>
      <c r="CT2181">
        <v>3.49</v>
      </c>
      <c r="CU2181">
        <v>-44.12</v>
      </c>
      <c r="CV2181">
        <v>7.08</v>
      </c>
      <c r="CW2181">
        <v>0.33</v>
      </c>
      <c r="CX2181" t="s">
        <v>1908</v>
      </c>
      <c r="CY2181">
        <v>6.22</v>
      </c>
      <c r="CZ2181">
        <v>0</v>
      </c>
      <c r="DA2181">
        <v>3.2</v>
      </c>
      <c r="DB2181">
        <v>1.91</v>
      </c>
      <c r="DC2181">
        <v>-0.49</v>
      </c>
      <c r="DD2181">
        <v>48.89</v>
      </c>
      <c r="DE2181" t="s">
        <v>1768</v>
      </c>
      <c r="DF2181">
        <v>16.25</v>
      </c>
      <c r="DG2181">
        <v>4.37</v>
      </c>
      <c r="DH2181">
        <v>3.96</v>
      </c>
      <c r="DI2181">
        <v>0.09</v>
      </c>
      <c r="DJ2181">
        <v>311</v>
      </c>
      <c r="DK2181">
        <v>300839</v>
      </c>
      <c r="DL2181" t="s">
        <v>120</v>
      </c>
      <c r="DM2181" t="s">
        <v>120</v>
      </c>
      <c r="DN2181" t="s">
        <v>120</v>
      </c>
    </row>
    <row r="2182" spans="1:118">
      <c r="A2182" t="str">
        <f>"300840"</f>
        <v>300840</v>
      </c>
      <c r="B2182" t="s">
        <v>10533</v>
      </c>
      <c r="C2182">
        <v>-1.7</v>
      </c>
      <c r="D2182">
        <v>0</v>
      </c>
      <c r="E2182">
        <v>0.17</v>
      </c>
      <c r="F2182">
        <v>133</v>
      </c>
      <c r="G2182" t="s">
        <v>10534</v>
      </c>
      <c r="H2182">
        <v>1164.9100000000001</v>
      </c>
      <c r="I2182">
        <v>0</v>
      </c>
      <c r="J2182" t="s">
        <v>120</v>
      </c>
      <c r="K2182" t="s">
        <v>1741</v>
      </c>
      <c r="L2182">
        <v>0.65</v>
      </c>
      <c r="M2182">
        <v>11.58</v>
      </c>
      <c r="N2182">
        <v>0.85</v>
      </c>
      <c r="O2182">
        <v>0.85</v>
      </c>
      <c r="P2182">
        <v>11.88</v>
      </c>
      <c r="Q2182">
        <v>-2.12</v>
      </c>
      <c r="R2182">
        <v>11.53</v>
      </c>
      <c r="S2182">
        <v>11.8</v>
      </c>
      <c r="T2182">
        <v>9965</v>
      </c>
      <c r="U2182">
        <v>11.58</v>
      </c>
      <c r="V2182">
        <v>11.78</v>
      </c>
      <c r="W2182">
        <v>42.58</v>
      </c>
      <c r="X2182" t="s">
        <v>2806</v>
      </c>
      <c r="Y2182" t="s">
        <v>638</v>
      </c>
      <c r="Z2182">
        <v>2.97</v>
      </c>
      <c r="AA2182">
        <v>11.69</v>
      </c>
      <c r="AB2182">
        <v>6715</v>
      </c>
      <c r="AC2182">
        <v>3250</v>
      </c>
      <c r="AD2182">
        <v>2.0699999999999998</v>
      </c>
      <c r="AE2182">
        <v>11</v>
      </c>
      <c r="AF2182">
        <v>98</v>
      </c>
      <c r="AG2182" t="s">
        <v>120</v>
      </c>
      <c r="AH2182">
        <v>0</v>
      </c>
      <c r="AI2182" t="s">
        <v>120</v>
      </c>
      <c r="AJ2182">
        <v>1.54</v>
      </c>
      <c r="AK2182" t="s">
        <v>9237</v>
      </c>
      <c r="AL2182">
        <v>0.22</v>
      </c>
      <c r="AM2182">
        <v>576</v>
      </c>
      <c r="AN2182">
        <v>17</v>
      </c>
      <c r="AO2182">
        <v>1.1000000000000001E-3</v>
      </c>
      <c r="AP2182">
        <v>-3</v>
      </c>
      <c r="AQ2182">
        <v>-0.42</v>
      </c>
      <c r="AR2182">
        <v>-3.41</v>
      </c>
      <c r="AS2182">
        <v>-6.76</v>
      </c>
      <c r="AT2182">
        <v>-19.91</v>
      </c>
      <c r="AU2182">
        <v>-31.48</v>
      </c>
      <c r="AV2182">
        <v>3</v>
      </c>
      <c r="AW2182">
        <v>1.06</v>
      </c>
      <c r="AX2182">
        <v>39.15</v>
      </c>
      <c r="AY2182">
        <v>94.53</v>
      </c>
      <c r="AZ2182">
        <v>59.37</v>
      </c>
      <c r="BA2182">
        <v>0.63</v>
      </c>
      <c r="BB2182" t="s">
        <v>143</v>
      </c>
      <c r="BF2182">
        <v>-0.76</v>
      </c>
      <c r="BG2182">
        <v>-1.86</v>
      </c>
      <c r="BH2182">
        <v>-2.5299999999999998</v>
      </c>
      <c r="BI2182">
        <v>0.43</v>
      </c>
      <c r="BJ2182">
        <v>20210830</v>
      </c>
      <c r="BK2182">
        <v>20200708</v>
      </c>
      <c r="BL2182">
        <v>2.4</v>
      </c>
      <c r="BM2182" t="s">
        <v>120</v>
      </c>
      <c r="BN2182" t="s">
        <v>120</v>
      </c>
      <c r="BO2182">
        <v>11.39</v>
      </c>
      <c r="BP2182">
        <v>11.57</v>
      </c>
      <c r="BQ2182">
        <v>9.75</v>
      </c>
      <c r="BR2182" t="s">
        <v>120</v>
      </c>
      <c r="BS2182">
        <v>14.4</v>
      </c>
      <c r="BT2182">
        <v>6.16</v>
      </c>
      <c r="BU2182">
        <v>3.31</v>
      </c>
      <c r="BV2182">
        <v>0.62</v>
      </c>
      <c r="BW2182">
        <v>1.37</v>
      </c>
      <c r="BX2182">
        <v>0.97</v>
      </c>
      <c r="BY2182">
        <v>0.98</v>
      </c>
      <c r="BZ2182">
        <v>0.4</v>
      </c>
      <c r="CA2182">
        <v>0.02</v>
      </c>
      <c r="CB2182">
        <v>4.0599999999999996</v>
      </c>
      <c r="CC2182">
        <v>2.92</v>
      </c>
      <c r="CD2182">
        <v>1.91</v>
      </c>
      <c r="CE2182">
        <v>0.43</v>
      </c>
      <c r="CF2182">
        <v>0.04</v>
      </c>
      <c r="CG2182">
        <v>0.43</v>
      </c>
      <c r="CH2182">
        <v>0.33</v>
      </c>
      <c r="CI2182">
        <v>0.33</v>
      </c>
      <c r="CJ2182">
        <v>-0.2</v>
      </c>
      <c r="CK2182">
        <v>0.24</v>
      </c>
      <c r="CL2182">
        <v>3.03</v>
      </c>
      <c r="CM2182">
        <v>0.17</v>
      </c>
      <c r="CN2182">
        <v>-0.65</v>
      </c>
      <c r="CO2182">
        <v>20385</v>
      </c>
      <c r="CP2182">
        <v>4609</v>
      </c>
      <c r="CQ2182" t="s">
        <v>2990</v>
      </c>
      <c r="CR2182">
        <v>-35.18</v>
      </c>
      <c r="CS2182">
        <v>-21.62</v>
      </c>
      <c r="CT2182">
        <v>2.85</v>
      </c>
      <c r="CU2182">
        <v>166.62</v>
      </c>
      <c r="CV2182">
        <v>9.52</v>
      </c>
      <c r="CW2182">
        <v>0.15</v>
      </c>
      <c r="CX2182" t="s">
        <v>300</v>
      </c>
      <c r="CY2182">
        <v>4.0599999999999996</v>
      </c>
      <c r="CZ2182">
        <v>0</v>
      </c>
      <c r="DA2182">
        <v>1.69</v>
      </c>
      <c r="DB2182">
        <v>1.26</v>
      </c>
      <c r="DC2182">
        <v>7.0000000000000007E-2</v>
      </c>
      <c r="DD2182">
        <v>85.6</v>
      </c>
      <c r="DE2182" t="s">
        <v>739</v>
      </c>
      <c r="DF2182">
        <v>34.53</v>
      </c>
      <c r="DG2182">
        <v>14.71</v>
      </c>
      <c r="DH2182">
        <v>11.18</v>
      </c>
      <c r="DI2182">
        <v>0.05</v>
      </c>
      <c r="DJ2182">
        <v>2013</v>
      </c>
      <c r="DK2182">
        <v>300840</v>
      </c>
      <c r="DL2182" t="s">
        <v>120</v>
      </c>
      <c r="DM2182" t="s">
        <v>120</v>
      </c>
      <c r="DN2182" t="s">
        <v>120</v>
      </c>
    </row>
    <row r="2183" spans="1:118">
      <c r="A2183" t="str">
        <f>"300841"</f>
        <v>300841</v>
      </c>
      <c r="B2183" t="s">
        <v>10535</v>
      </c>
      <c r="C2183">
        <v>0.17</v>
      </c>
      <c r="D2183">
        <v>-0.13</v>
      </c>
      <c r="E2183">
        <v>0.05</v>
      </c>
      <c r="F2183">
        <v>658</v>
      </c>
      <c r="G2183" t="s">
        <v>10536</v>
      </c>
      <c r="H2183">
        <v>14368.93</v>
      </c>
      <c r="I2183">
        <v>96.31</v>
      </c>
      <c r="J2183" t="s">
        <v>120</v>
      </c>
      <c r="K2183" t="s">
        <v>10537</v>
      </c>
      <c r="L2183">
        <v>1.32</v>
      </c>
      <c r="M2183">
        <v>172.2</v>
      </c>
      <c r="N2183">
        <v>1.51</v>
      </c>
      <c r="O2183">
        <v>1.69</v>
      </c>
      <c r="P2183">
        <v>174.8</v>
      </c>
      <c r="Q2183">
        <v>-1.69</v>
      </c>
      <c r="R2183">
        <v>169</v>
      </c>
      <c r="S2183">
        <v>171.99</v>
      </c>
      <c r="T2183">
        <v>8346</v>
      </c>
      <c r="U2183">
        <v>172.21</v>
      </c>
      <c r="V2183">
        <v>171.9</v>
      </c>
      <c r="W2183">
        <v>30.73</v>
      </c>
      <c r="X2183" t="s">
        <v>666</v>
      </c>
      <c r="Y2183" t="s">
        <v>578</v>
      </c>
      <c r="Z2183">
        <v>3.37</v>
      </c>
      <c r="AA2183">
        <v>172.17</v>
      </c>
      <c r="AB2183">
        <v>3998</v>
      </c>
      <c r="AC2183">
        <v>4348</v>
      </c>
      <c r="AD2183">
        <v>0.92</v>
      </c>
      <c r="AE2183">
        <v>7</v>
      </c>
      <c r="AF2183">
        <v>7</v>
      </c>
      <c r="AG2183" t="s">
        <v>120</v>
      </c>
      <c r="AH2183">
        <v>0.02</v>
      </c>
      <c r="AI2183" t="s">
        <v>120</v>
      </c>
      <c r="AJ2183">
        <v>0.63</v>
      </c>
      <c r="AK2183" t="s">
        <v>10538</v>
      </c>
      <c r="AL2183">
        <v>2.09</v>
      </c>
      <c r="AM2183">
        <v>1911</v>
      </c>
      <c r="AN2183">
        <v>4</v>
      </c>
      <c r="AO2183">
        <v>6.9999999999999999E-4</v>
      </c>
      <c r="AP2183">
        <v>1</v>
      </c>
      <c r="AQ2183">
        <v>-1.38</v>
      </c>
      <c r="AR2183">
        <v>-2.74</v>
      </c>
      <c r="AS2183">
        <v>-9.2799999999999994</v>
      </c>
      <c r="AT2183">
        <v>-37.32</v>
      </c>
      <c r="AU2183">
        <v>-44.66</v>
      </c>
      <c r="AV2183">
        <v>0</v>
      </c>
      <c r="AW2183">
        <v>3.25</v>
      </c>
      <c r="AX2183">
        <v>28.56</v>
      </c>
      <c r="AY2183">
        <v>32.4</v>
      </c>
      <c r="AZ2183">
        <v>37.909999999999997</v>
      </c>
      <c r="BA2183">
        <v>0.85</v>
      </c>
      <c r="BB2183" t="s">
        <v>134</v>
      </c>
      <c r="BF2183">
        <v>0.16</v>
      </c>
      <c r="BG2183">
        <v>0.12</v>
      </c>
      <c r="BH2183">
        <v>-1.49</v>
      </c>
      <c r="BI2183">
        <v>1.89</v>
      </c>
      <c r="BJ2183">
        <v>20210803</v>
      </c>
      <c r="BK2183">
        <v>20200616</v>
      </c>
      <c r="BL2183">
        <v>0.9</v>
      </c>
      <c r="BM2183" t="s">
        <v>120</v>
      </c>
      <c r="BN2183" t="s">
        <v>120</v>
      </c>
      <c r="BO2183">
        <v>23.29</v>
      </c>
      <c r="BP2183">
        <v>172.2</v>
      </c>
      <c r="BQ2183">
        <v>21.41</v>
      </c>
      <c r="BR2183" t="s">
        <v>120</v>
      </c>
      <c r="BS2183">
        <v>8.06</v>
      </c>
      <c r="BT2183">
        <v>17.86</v>
      </c>
      <c r="BU2183">
        <v>0.83</v>
      </c>
      <c r="BV2183">
        <v>0.2</v>
      </c>
      <c r="BW2183">
        <v>1.84</v>
      </c>
      <c r="BX2183">
        <v>9.1199999999999992</v>
      </c>
      <c r="BY2183">
        <v>0.6</v>
      </c>
      <c r="BZ2183">
        <v>6.17</v>
      </c>
      <c r="CA2183" t="s">
        <v>120</v>
      </c>
      <c r="CB2183">
        <v>12.12</v>
      </c>
      <c r="CC2183">
        <v>5.6</v>
      </c>
      <c r="CD2183">
        <v>0.44</v>
      </c>
      <c r="CE2183">
        <v>2.99</v>
      </c>
      <c r="CF2183">
        <v>0.03</v>
      </c>
      <c r="CG2183">
        <v>2.98</v>
      </c>
      <c r="CH2183">
        <v>2.52</v>
      </c>
      <c r="CI2183">
        <v>2.52</v>
      </c>
      <c r="CJ2183">
        <v>0.3</v>
      </c>
      <c r="CK2183">
        <v>2.4300000000000002</v>
      </c>
      <c r="CL2183">
        <v>8.09</v>
      </c>
      <c r="CM2183">
        <v>-0.19</v>
      </c>
      <c r="CN2183">
        <v>-2.34</v>
      </c>
      <c r="CO2183">
        <v>19863</v>
      </c>
      <c r="CP2183">
        <v>1294</v>
      </c>
      <c r="CQ2183" t="s">
        <v>10539</v>
      </c>
      <c r="CR2183">
        <v>38.03</v>
      </c>
      <c r="CS2183">
        <v>23.19</v>
      </c>
      <c r="CT2183">
        <v>7.24</v>
      </c>
      <c r="CU2183">
        <v>-806.48</v>
      </c>
      <c r="CV2183">
        <v>27.65</v>
      </c>
      <c r="CW2183">
        <v>0.57999999999999996</v>
      </c>
      <c r="CX2183" t="s">
        <v>10540</v>
      </c>
      <c r="CY2183">
        <v>23.79</v>
      </c>
      <c r="CZ2183">
        <v>0</v>
      </c>
      <c r="DA2183">
        <v>13.47</v>
      </c>
      <c r="DB2183">
        <v>8.99</v>
      </c>
      <c r="DC2183">
        <v>-0.21</v>
      </c>
      <c r="DD2183">
        <v>91.94</v>
      </c>
      <c r="DE2183" t="s">
        <v>10541</v>
      </c>
      <c r="DF2183">
        <v>92.22</v>
      </c>
      <c r="DG2183">
        <v>53.3</v>
      </c>
      <c r="DH2183">
        <v>45</v>
      </c>
      <c r="DI2183">
        <v>0.34</v>
      </c>
      <c r="DJ2183">
        <v>408</v>
      </c>
      <c r="DK2183">
        <v>300841</v>
      </c>
      <c r="DL2183" t="s">
        <v>120</v>
      </c>
      <c r="DM2183" t="s">
        <v>120</v>
      </c>
      <c r="DN2183" t="s">
        <v>120</v>
      </c>
    </row>
    <row r="2184" spans="1:118">
      <c r="A2184" t="str">
        <f>"300842"</f>
        <v>300842</v>
      </c>
      <c r="B2184" t="s">
        <v>10542</v>
      </c>
      <c r="C2184">
        <v>-10.56</v>
      </c>
      <c r="D2184">
        <v>0</v>
      </c>
      <c r="E2184">
        <v>-2.23</v>
      </c>
      <c r="F2184">
        <v>739</v>
      </c>
      <c r="G2184" t="s">
        <v>3388</v>
      </c>
      <c r="H2184">
        <v>53290.5</v>
      </c>
      <c r="I2184">
        <v>168.29</v>
      </c>
      <c r="J2184" t="s">
        <v>120</v>
      </c>
      <c r="K2184" t="s">
        <v>10543</v>
      </c>
      <c r="L2184">
        <v>7.95</v>
      </c>
      <c r="M2184">
        <v>92.39</v>
      </c>
      <c r="N2184">
        <v>1.4</v>
      </c>
      <c r="O2184">
        <v>-1.3</v>
      </c>
      <c r="P2184">
        <v>101.96</v>
      </c>
      <c r="Q2184">
        <v>-10.94</v>
      </c>
      <c r="R2184">
        <v>92</v>
      </c>
      <c r="S2184">
        <v>101</v>
      </c>
      <c r="T2184">
        <v>55266</v>
      </c>
      <c r="U2184">
        <v>92.39</v>
      </c>
      <c r="V2184">
        <v>103.3</v>
      </c>
      <c r="W2184">
        <v>67.67</v>
      </c>
      <c r="X2184" t="s">
        <v>3245</v>
      </c>
      <c r="Y2184" t="s">
        <v>319</v>
      </c>
      <c r="Z2184">
        <v>9.64</v>
      </c>
      <c r="AA2184">
        <v>96.43</v>
      </c>
      <c r="AB2184">
        <v>29681</v>
      </c>
      <c r="AC2184">
        <v>25585</v>
      </c>
      <c r="AD2184">
        <v>1.1599999999999999</v>
      </c>
      <c r="AE2184">
        <v>40</v>
      </c>
      <c r="AF2184">
        <v>543</v>
      </c>
      <c r="AG2184" t="s">
        <v>120</v>
      </c>
      <c r="AH2184">
        <v>0.04</v>
      </c>
      <c r="AI2184" t="s">
        <v>120</v>
      </c>
      <c r="AJ2184">
        <v>0.7</v>
      </c>
      <c r="AK2184" t="s">
        <v>10544</v>
      </c>
      <c r="AL2184">
        <v>-8.65</v>
      </c>
      <c r="AM2184">
        <v>3364</v>
      </c>
      <c r="AN2184">
        <v>16</v>
      </c>
      <c r="AO2184">
        <v>2.3999999999999998E-3</v>
      </c>
      <c r="AP2184">
        <v>-2</v>
      </c>
      <c r="AQ2184">
        <v>-1.4</v>
      </c>
      <c r="AR2184">
        <v>-11.21</v>
      </c>
      <c r="AS2184">
        <v>11.3</v>
      </c>
      <c r="AT2184">
        <v>40.24</v>
      </c>
      <c r="AU2184">
        <v>33.53</v>
      </c>
      <c r="AV2184">
        <v>3</v>
      </c>
      <c r="AW2184">
        <v>12.84</v>
      </c>
      <c r="AX2184">
        <v>43.05</v>
      </c>
      <c r="AY2184">
        <v>101.21</v>
      </c>
      <c r="AZ2184">
        <v>125.84</v>
      </c>
      <c r="BA2184">
        <v>0.87</v>
      </c>
      <c r="BB2184" t="s">
        <v>143</v>
      </c>
      <c r="BF2184">
        <v>-6.65</v>
      </c>
      <c r="BG2184">
        <v>-8.52</v>
      </c>
      <c r="BH2184">
        <v>-9.39</v>
      </c>
      <c r="BI2184">
        <v>0.42</v>
      </c>
      <c r="BJ2184">
        <v>20210827</v>
      </c>
      <c r="BK2184">
        <v>20200618</v>
      </c>
      <c r="BL2184">
        <v>1</v>
      </c>
      <c r="BM2184" t="s">
        <v>120</v>
      </c>
      <c r="BN2184" t="s">
        <v>120</v>
      </c>
      <c r="BO2184">
        <v>20.54</v>
      </c>
      <c r="BP2184">
        <v>92.38</v>
      </c>
      <c r="BQ2184">
        <v>9.0299999999999994</v>
      </c>
      <c r="BR2184" t="s">
        <v>120</v>
      </c>
      <c r="BS2184">
        <v>56.01</v>
      </c>
      <c r="BT2184">
        <v>18.88</v>
      </c>
      <c r="BU2184">
        <v>0.32</v>
      </c>
      <c r="BV2184">
        <v>0.1</v>
      </c>
      <c r="BW2184">
        <v>11.5</v>
      </c>
      <c r="BX2184">
        <v>2.6</v>
      </c>
      <c r="BY2184">
        <v>2.11</v>
      </c>
      <c r="BZ2184">
        <v>6.69</v>
      </c>
      <c r="CA2184" t="s">
        <v>120</v>
      </c>
      <c r="CB2184">
        <v>5.23</v>
      </c>
      <c r="CC2184">
        <v>13.95</v>
      </c>
      <c r="CD2184">
        <v>12.25</v>
      </c>
      <c r="CE2184">
        <v>0.67</v>
      </c>
      <c r="CF2184">
        <v>-0.22</v>
      </c>
      <c r="CG2184">
        <v>0.74</v>
      </c>
      <c r="CH2184">
        <v>0.68</v>
      </c>
      <c r="CI2184">
        <v>0.68</v>
      </c>
      <c r="CJ2184">
        <v>-10.91</v>
      </c>
      <c r="CK2184">
        <v>0.59</v>
      </c>
      <c r="CL2184">
        <v>2.59</v>
      </c>
      <c r="CM2184">
        <v>-1.68</v>
      </c>
      <c r="CN2184">
        <v>0.82</v>
      </c>
      <c r="CO2184">
        <v>16876</v>
      </c>
      <c r="CP2184">
        <v>2551</v>
      </c>
      <c r="CQ2184" t="s">
        <v>10545</v>
      </c>
      <c r="CR2184">
        <v>41.38</v>
      </c>
      <c r="CS2184">
        <v>179.38</v>
      </c>
      <c r="CT2184">
        <v>10.23</v>
      </c>
      <c r="CU2184">
        <v>-55.01</v>
      </c>
      <c r="CV2184">
        <v>6.62</v>
      </c>
      <c r="CW2184">
        <v>0</v>
      </c>
      <c r="CX2184" t="s">
        <v>527</v>
      </c>
      <c r="CY2184">
        <v>9.0299999999999994</v>
      </c>
      <c r="CZ2184">
        <v>0</v>
      </c>
      <c r="DA2184">
        <v>5.23</v>
      </c>
      <c r="DB2184">
        <v>2.59</v>
      </c>
      <c r="DC2184">
        <v>-1.68</v>
      </c>
      <c r="DD2184">
        <v>43.99</v>
      </c>
      <c r="DE2184" t="s">
        <v>458</v>
      </c>
      <c r="DF2184">
        <v>12.24</v>
      </c>
      <c r="DG2184">
        <v>4.8099999999999996</v>
      </c>
      <c r="DH2184">
        <v>4.8899999999999997</v>
      </c>
      <c r="DI2184">
        <v>0.49</v>
      </c>
      <c r="DJ2184">
        <v>227</v>
      </c>
      <c r="DK2184">
        <v>300842</v>
      </c>
      <c r="DL2184" t="s">
        <v>120</v>
      </c>
      <c r="DM2184" t="s">
        <v>120</v>
      </c>
      <c r="DN2184" t="s">
        <v>120</v>
      </c>
    </row>
    <row r="2185" spans="1:118">
      <c r="A2185" t="str">
        <f>"300843"</f>
        <v>300843</v>
      </c>
      <c r="B2185" t="s">
        <v>10546</v>
      </c>
      <c r="C2185">
        <v>1.48</v>
      </c>
      <c r="D2185">
        <v>0</v>
      </c>
      <c r="E2185">
        <v>0.12</v>
      </c>
      <c r="F2185">
        <v>460</v>
      </c>
      <c r="G2185" t="s">
        <v>10547</v>
      </c>
      <c r="H2185">
        <v>4182.33</v>
      </c>
      <c r="I2185">
        <v>3.6</v>
      </c>
      <c r="J2185" t="s">
        <v>120</v>
      </c>
      <c r="K2185" t="s">
        <v>2689</v>
      </c>
      <c r="L2185">
        <v>3.04</v>
      </c>
      <c r="M2185">
        <v>26.05</v>
      </c>
      <c r="N2185">
        <v>0.99</v>
      </c>
      <c r="O2185">
        <v>2.2200000000000002</v>
      </c>
      <c r="P2185">
        <v>26.24</v>
      </c>
      <c r="Q2185">
        <v>-0.39</v>
      </c>
      <c r="R2185">
        <v>25.57</v>
      </c>
      <c r="S2185">
        <v>25.7</v>
      </c>
      <c r="T2185">
        <v>16101</v>
      </c>
      <c r="U2185">
        <v>26.06</v>
      </c>
      <c r="V2185">
        <v>25.67</v>
      </c>
      <c r="W2185">
        <v>36.26</v>
      </c>
      <c r="X2185" t="s">
        <v>229</v>
      </c>
      <c r="Y2185" t="s">
        <v>547</v>
      </c>
      <c r="Z2185">
        <v>2.61</v>
      </c>
      <c r="AA2185">
        <v>25.98</v>
      </c>
      <c r="AB2185">
        <v>8358</v>
      </c>
      <c r="AC2185">
        <v>7743</v>
      </c>
      <c r="AD2185">
        <v>1.08</v>
      </c>
      <c r="AE2185">
        <v>307</v>
      </c>
      <c r="AF2185">
        <v>138</v>
      </c>
      <c r="AG2185" t="s">
        <v>120</v>
      </c>
      <c r="AH2185">
        <v>0</v>
      </c>
      <c r="AI2185" t="s">
        <v>120</v>
      </c>
      <c r="AJ2185">
        <v>0.53</v>
      </c>
      <c r="AK2185" t="s">
        <v>10548</v>
      </c>
      <c r="AL2185">
        <v>3.39</v>
      </c>
      <c r="AM2185">
        <v>1302</v>
      </c>
      <c r="AN2185">
        <v>12</v>
      </c>
      <c r="AO2185">
        <v>2.3E-3</v>
      </c>
      <c r="AP2185">
        <v>1</v>
      </c>
      <c r="AQ2185">
        <v>-0.93</v>
      </c>
      <c r="AR2185">
        <v>3.61</v>
      </c>
      <c r="AS2185">
        <v>-9.9600000000000009</v>
      </c>
      <c r="AT2185">
        <v>-2.0299999999999998</v>
      </c>
      <c r="AU2185">
        <v>-10.55</v>
      </c>
      <c r="AV2185">
        <v>2</v>
      </c>
      <c r="AW2185">
        <v>4.32</v>
      </c>
      <c r="AX2185">
        <v>25</v>
      </c>
      <c r="AY2185">
        <v>33.31</v>
      </c>
      <c r="AZ2185">
        <v>38.21</v>
      </c>
      <c r="BA2185">
        <v>1.07</v>
      </c>
      <c r="BB2185" t="s">
        <v>143</v>
      </c>
      <c r="BF2185">
        <v>1.19</v>
      </c>
      <c r="BG2185">
        <v>1.36</v>
      </c>
      <c r="BH2185">
        <v>-0.72</v>
      </c>
      <c r="BI2185">
        <v>1.88</v>
      </c>
      <c r="BJ2185">
        <v>20210825</v>
      </c>
      <c r="BK2185">
        <v>20200702</v>
      </c>
      <c r="BL2185">
        <v>1.49</v>
      </c>
      <c r="BM2185" t="s">
        <v>120</v>
      </c>
      <c r="BN2185" t="s">
        <v>120</v>
      </c>
      <c r="BO2185">
        <v>14.31</v>
      </c>
      <c r="BP2185">
        <v>26.05</v>
      </c>
      <c r="BQ2185">
        <v>8.81</v>
      </c>
      <c r="BR2185">
        <v>0.27</v>
      </c>
      <c r="BS2185">
        <v>36.53</v>
      </c>
      <c r="BT2185">
        <v>10.51</v>
      </c>
      <c r="BU2185">
        <v>2.08</v>
      </c>
      <c r="BV2185">
        <v>0.2</v>
      </c>
      <c r="BW2185">
        <v>4.84</v>
      </c>
      <c r="BX2185">
        <v>3.04</v>
      </c>
      <c r="BY2185">
        <v>1.55</v>
      </c>
      <c r="BZ2185">
        <v>4.63</v>
      </c>
      <c r="CA2185" t="s">
        <v>120</v>
      </c>
      <c r="CB2185">
        <v>3.78</v>
      </c>
      <c r="CC2185">
        <v>6.07</v>
      </c>
      <c r="CD2185">
        <v>4.68</v>
      </c>
      <c r="CE2185">
        <v>0.62</v>
      </c>
      <c r="CF2185">
        <v>0.02</v>
      </c>
      <c r="CG2185">
        <v>0.62</v>
      </c>
      <c r="CH2185">
        <v>0.56999999999999995</v>
      </c>
      <c r="CI2185">
        <v>0.53</v>
      </c>
      <c r="CJ2185">
        <v>0.38</v>
      </c>
      <c r="CK2185">
        <v>0.5</v>
      </c>
      <c r="CL2185">
        <v>3.29</v>
      </c>
      <c r="CM2185">
        <v>0.17</v>
      </c>
      <c r="CN2185">
        <v>-0.38</v>
      </c>
      <c r="CO2185">
        <v>16491</v>
      </c>
      <c r="CP2185">
        <v>2257</v>
      </c>
      <c r="CQ2185" t="s">
        <v>7218</v>
      </c>
      <c r="CR2185">
        <v>38.020000000000003</v>
      </c>
      <c r="CS2185">
        <v>88.76</v>
      </c>
      <c r="CT2185">
        <v>4.4000000000000004</v>
      </c>
      <c r="CU2185">
        <v>224.67</v>
      </c>
      <c r="CV2185">
        <v>6.39</v>
      </c>
      <c r="CW2185">
        <v>0.57999999999999996</v>
      </c>
      <c r="CX2185" t="s">
        <v>472</v>
      </c>
      <c r="CY2185">
        <v>5.92</v>
      </c>
      <c r="CZ2185">
        <v>0</v>
      </c>
      <c r="DA2185">
        <v>2.54</v>
      </c>
      <c r="DB2185">
        <v>2.21</v>
      </c>
      <c r="DC2185">
        <v>0.12</v>
      </c>
      <c r="DD2185">
        <v>61.56</v>
      </c>
      <c r="DE2185" t="s">
        <v>10197</v>
      </c>
      <c r="DF2185">
        <v>22.82</v>
      </c>
      <c r="DG2185">
        <v>10.220000000000001</v>
      </c>
      <c r="DH2185">
        <v>8.82</v>
      </c>
      <c r="DI2185">
        <v>0.31</v>
      </c>
      <c r="DJ2185">
        <v>2190</v>
      </c>
      <c r="DK2185">
        <v>300843</v>
      </c>
      <c r="DL2185" t="s">
        <v>120</v>
      </c>
      <c r="DM2185" t="s">
        <v>120</v>
      </c>
      <c r="DN2185" t="s">
        <v>120</v>
      </c>
    </row>
    <row r="2186" spans="1:118">
      <c r="A2186" t="str">
        <f>"300844"</f>
        <v>300844</v>
      </c>
      <c r="B2186" t="s">
        <v>10549</v>
      </c>
      <c r="C2186">
        <v>-1.9</v>
      </c>
      <c r="D2186">
        <v>-0.04</v>
      </c>
      <c r="E2186">
        <v>0</v>
      </c>
      <c r="F2186">
        <v>70</v>
      </c>
      <c r="G2186" t="s">
        <v>6789</v>
      </c>
      <c r="H2186">
        <v>2809.98</v>
      </c>
      <c r="I2186">
        <v>2.7</v>
      </c>
      <c r="J2186" t="s">
        <v>120</v>
      </c>
      <c r="K2186" t="s">
        <v>6789</v>
      </c>
      <c r="L2186">
        <v>4.1500000000000004</v>
      </c>
      <c r="M2186">
        <v>66.12</v>
      </c>
      <c r="N2186">
        <v>1.34</v>
      </c>
      <c r="O2186">
        <v>0.49</v>
      </c>
      <c r="P2186">
        <v>67.73</v>
      </c>
      <c r="Q2186">
        <v>-2.02</v>
      </c>
      <c r="R2186">
        <v>66.040000000000006</v>
      </c>
      <c r="S2186">
        <v>67.400000000000006</v>
      </c>
      <c r="T2186">
        <v>4195</v>
      </c>
      <c r="U2186">
        <v>66.150000000000006</v>
      </c>
      <c r="V2186">
        <v>67.400000000000006</v>
      </c>
      <c r="W2186">
        <v>28.68</v>
      </c>
      <c r="X2186" t="s">
        <v>175</v>
      </c>
      <c r="Y2186" t="s">
        <v>547</v>
      </c>
      <c r="Z2186">
        <v>2.5099999999999998</v>
      </c>
      <c r="AA2186">
        <v>66.98</v>
      </c>
      <c r="AB2186">
        <v>2737</v>
      </c>
      <c r="AC2186">
        <v>1458</v>
      </c>
      <c r="AD2186">
        <v>1.88</v>
      </c>
      <c r="AE2186">
        <v>41</v>
      </c>
      <c r="AF2186">
        <v>9</v>
      </c>
      <c r="AG2186" t="s">
        <v>120</v>
      </c>
      <c r="AH2186">
        <v>0</v>
      </c>
      <c r="AI2186" t="s">
        <v>120</v>
      </c>
      <c r="AJ2186">
        <v>0.1</v>
      </c>
      <c r="AK2186" t="s">
        <v>10550</v>
      </c>
      <c r="AL2186">
        <v>0.01</v>
      </c>
      <c r="AM2186">
        <v>874</v>
      </c>
      <c r="AN2186">
        <v>5</v>
      </c>
      <c r="AO2186">
        <v>4.7999999999999996E-3</v>
      </c>
      <c r="AP2186">
        <v>-7</v>
      </c>
      <c r="AQ2186">
        <v>-0.18</v>
      </c>
      <c r="AR2186">
        <v>-2.81</v>
      </c>
      <c r="AS2186">
        <v>-14.7</v>
      </c>
      <c r="AT2186">
        <v>-17.59</v>
      </c>
      <c r="AU2186">
        <v>-17.59</v>
      </c>
      <c r="AV2186">
        <v>0</v>
      </c>
      <c r="AW2186">
        <v>4.1500000000000004</v>
      </c>
      <c r="AX2186">
        <v>25</v>
      </c>
      <c r="AY2186">
        <v>26.68</v>
      </c>
      <c r="AZ2186">
        <v>26.68</v>
      </c>
      <c r="BA2186">
        <v>0</v>
      </c>
      <c r="BB2186" t="s">
        <v>143</v>
      </c>
      <c r="BF2186">
        <v>-0.62</v>
      </c>
      <c r="BG2186">
        <v>-1.9</v>
      </c>
      <c r="BH2186">
        <v>-2.38</v>
      </c>
      <c r="BI2186">
        <v>0.12</v>
      </c>
      <c r="BJ2186">
        <v>20210812</v>
      </c>
      <c r="BK2186">
        <v>20210813</v>
      </c>
      <c r="BL2186">
        <v>0.4</v>
      </c>
      <c r="BM2186" t="s">
        <v>120</v>
      </c>
      <c r="BN2186" t="s">
        <v>120</v>
      </c>
      <c r="BO2186">
        <v>4.8099999999999996</v>
      </c>
      <c r="BP2186">
        <v>66.12</v>
      </c>
      <c r="BQ2186">
        <v>2.71</v>
      </c>
      <c r="BR2186" t="s">
        <v>120</v>
      </c>
      <c r="BS2186">
        <v>43.67</v>
      </c>
      <c r="BT2186">
        <v>3.83</v>
      </c>
      <c r="BU2186">
        <v>0.14000000000000001</v>
      </c>
      <c r="BV2186">
        <v>0.04</v>
      </c>
      <c r="BW2186">
        <v>1.68</v>
      </c>
      <c r="BX2186">
        <v>0.61</v>
      </c>
      <c r="BY2186">
        <v>0</v>
      </c>
      <c r="BZ2186">
        <v>2.61</v>
      </c>
      <c r="CA2186" t="s">
        <v>120</v>
      </c>
      <c r="CB2186">
        <v>0.43</v>
      </c>
      <c r="CC2186">
        <v>2.82</v>
      </c>
      <c r="CD2186">
        <v>1.41</v>
      </c>
      <c r="CE2186">
        <v>0.52</v>
      </c>
      <c r="CF2186">
        <v>0</v>
      </c>
      <c r="CG2186">
        <v>0.52</v>
      </c>
      <c r="CH2186">
        <v>0.47</v>
      </c>
      <c r="CI2186">
        <v>0.47</v>
      </c>
      <c r="CJ2186">
        <v>-1.28</v>
      </c>
      <c r="CK2186">
        <v>0.46</v>
      </c>
      <c r="CL2186">
        <v>1.76</v>
      </c>
      <c r="CM2186">
        <v>-0.55000000000000004</v>
      </c>
      <c r="CN2186">
        <v>-0.66</v>
      </c>
      <c r="CO2186">
        <v>20201</v>
      </c>
      <c r="CP2186">
        <v>500</v>
      </c>
      <c r="CQ2186" t="s">
        <v>10551</v>
      </c>
      <c r="CR2186">
        <v>0</v>
      </c>
      <c r="CS2186">
        <v>0</v>
      </c>
      <c r="CT2186">
        <v>2.78</v>
      </c>
      <c r="CU2186">
        <v>-48.65</v>
      </c>
      <c r="CV2186">
        <v>9.48</v>
      </c>
      <c r="CW2186">
        <v>0</v>
      </c>
      <c r="CX2186" t="s">
        <v>10552</v>
      </c>
      <c r="CY2186">
        <v>23.81</v>
      </c>
      <c r="CZ2186">
        <v>23.81</v>
      </c>
      <c r="DA2186">
        <v>1.05</v>
      </c>
      <c r="DB2186">
        <v>4.3499999999999996</v>
      </c>
      <c r="DC2186">
        <v>-1.36</v>
      </c>
      <c r="DD2186">
        <v>56.33</v>
      </c>
      <c r="DE2186" t="s">
        <v>10553</v>
      </c>
      <c r="DF2186">
        <v>49.93</v>
      </c>
      <c r="DG2186">
        <v>18.62</v>
      </c>
      <c r="DH2186">
        <v>16.53</v>
      </c>
      <c r="DI2186">
        <v>0.2</v>
      </c>
      <c r="DJ2186">
        <v>1323</v>
      </c>
      <c r="DK2186">
        <v>300844</v>
      </c>
      <c r="DL2186" t="s">
        <v>120</v>
      </c>
      <c r="DM2186" t="s">
        <v>120</v>
      </c>
      <c r="DN2186" t="s">
        <v>120</v>
      </c>
    </row>
    <row r="2187" spans="1:118">
      <c r="A2187" t="str">
        <f>"300845"</f>
        <v>300845</v>
      </c>
      <c r="B2187" t="s">
        <v>10554</v>
      </c>
      <c r="C2187">
        <v>-2.21</v>
      </c>
      <c r="D2187">
        <v>-0.04</v>
      </c>
      <c r="E2187">
        <v>0.98</v>
      </c>
      <c r="F2187">
        <v>249</v>
      </c>
      <c r="G2187" t="s">
        <v>5302</v>
      </c>
      <c r="H2187">
        <v>2794.21</v>
      </c>
      <c r="I2187">
        <v>0</v>
      </c>
      <c r="J2187" t="s">
        <v>120</v>
      </c>
      <c r="K2187" t="s">
        <v>1543</v>
      </c>
      <c r="L2187">
        <v>2.1800000000000002</v>
      </c>
      <c r="M2187">
        <v>19.93</v>
      </c>
      <c r="N2187">
        <v>0.73</v>
      </c>
      <c r="O2187">
        <v>1.57</v>
      </c>
      <c r="P2187">
        <v>20.7</v>
      </c>
      <c r="Q2187">
        <v>-2.36</v>
      </c>
      <c r="R2187">
        <v>19.899999999999999</v>
      </c>
      <c r="S2187">
        <v>20.58</v>
      </c>
      <c r="T2187">
        <v>13778</v>
      </c>
      <c r="U2187">
        <v>19.940000000000001</v>
      </c>
      <c r="V2187">
        <v>20.38</v>
      </c>
      <c r="W2187">
        <v>105.6</v>
      </c>
      <c r="X2187" t="s">
        <v>141</v>
      </c>
      <c r="Y2187" t="s">
        <v>645</v>
      </c>
      <c r="Z2187">
        <v>3.93</v>
      </c>
      <c r="AA2187">
        <v>20.28</v>
      </c>
      <c r="AB2187">
        <v>7447</v>
      </c>
      <c r="AC2187">
        <v>6331</v>
      </c>
      <c r="AD2187">
        <v>1.18</v>
      </c>
      <c r="AE2187">
        <v>42</v>
      </c>
      <c r="AF2187">
        <v>130</v>
      </c>
      <c r="AG2187" t="s">
        <v>120</v>
      </c>
      <c r="AH2187">
        <v>0</v>
      </c>
      <c r="AI2187" t="s">
        <v>120</v>
      </c>
      <c r="AJ2187">
        <v>0.63</v>
      </c>
      <c r="AK2187" t="s">
        <v>1143</v>
      </c>
      <c r="AL2187">
        <v>-0.28999999999999998</v>
      </c>
      <c r="AM2187">
        <v>1074</v>
      </c>
      <c r="AN2187">
        <v>13</v>
      </c>
      <c r="AO2187">
        <v>2E-3</v>
      </c>
      <c r="AP2187">
        <v>-1</v>
      </c>
      <c r="AQ2187">
        <v>0.2</v>
      </c>
      <c r="AR2187">
        <v>-4.91</v>
      </c>
      <c r="AS2187">
        <v>0.86</v>
      </c>
      <c r="AT2187">
        <v>-16.079999999999998</v>
      </c>
      <c r="AU2187">
        <v>-35.79</v>
      </c>
      <c r="AV2187">
        <v>0</v>
      </c>
      <c r="AW2187">
        <v>3.14</v>
      </c>
      <c r="AX2187">
        <v>47.49</v>
      </c>
      <c r="AY2187">
        <v>30.78</v>
      </c>
      <c r="AZ2187">
        <v>27.8</v>
      </c>
      <c r="BA2187">
        <v>0.49</v>
      </c>
      <c r="BB2187" t="s">
        <v>143</v>
      </c>
      <c r="BF2187">
        <v>-0.49</v>
      </c>
      <c r="BG2187">
        <v>-3.16</v>
      </c>
      <c r="BH2187">
        <v>-3.72</v>
      </c>
      <c r="BI2187">
        <v>0.15</v>
      </c>
      <c r="BJ2187">
        <v>20210906</v>
      </c>
      <c r="BK2187">
        <v>20200703</v>
      </c>
      <c r="BL2187">
        <v>0.92</v>
      </c>
      <c r="BM2187" t="s">
        <v>120</v>
      </c>
      <c r="BN2187" t="s">
        <v>120</v>
      </c>
      <c r="BO2187">
        <v>8.2799999999999994</v>
      </c>
      <c r="BP2187">
        <v>19.93</v>
      </c>
      <c r="BQ2187">
        <v>7.23</v>
      </c>
      <c r="BR2187">
        <v>0.01</v>
      </c>
      <c r="BS2187">
        <v>12.59</v>
      </c>
      <c r="BT2187">
        <v>6.85</v>
      </c>
      <c r="BU2187">
        <v>0.16</v>
      </c>
      <c r="BV2187">
        <v>0.23</v>
      </c>
      <c r="BW2187">
        <v>0.72</v>
      </c>
      <c r="BX2187">
        <v>3.55</v>
      </c>
      <c r="BY2187">
        <v>0.81</v>
      </c>
      <c r="BZ2187">
        <v>1.93</v>
      </c>
      <c r="CA2187">
        <v>0</v>
      </c>
      <c r="CB2187">
        <v>4.1100000000000003</v>
      </c>
      <c r="CC2187">
        <v>0.74</v>
      </c>
      <c r="CD2187">
        <v>0.36</v>
      </c>
      <c r="CE2187">
        <v>0.05</v>
      </c>
      <c r="CF2187">
        <v>0</v>
      </c>
      <c r="CG2187">
        <v>0.1</v>
      </c>
      <c r="CH2187">
        <v>0.08</v>
      </c>
      <c r="CI2187">
        <v>0.09</v>
      </c>
      <c r="CJ2187">
        <v>-0.45</v>
      </c>
      <c r="CK2187">
        <v>0.02</v>
      </c>
      <c r="CL2187">
        <v>1.9</v>
      </c>
      <c r="CM2187">
        <v>-0.88</v>
      </c>
      <c r="CN2187">
        <v>-1.53</v>
      </c>
      <c r="CO2187">
        <v>13000</v>
      </c>
      <c r="CP2187">
        <v>3374</v>
      </c>
      <c r="CQ2187" t="s">
        <v>4601</v>
      </c>
      <c r="CR2187">
        <v>-42.94</v>
      </c>
      <c r="CS2187">
        <v>-0.23</v>
      </c>
      <c r="CT2187">
        <v>2.5499999999999998</v>
      </c>
      <c r="CU2187">
        <v>-20.94</v>
      </c>
      <c r="CV2187">
        <v>24.83</v>
      </c>
      <c r="CW2187">
        <v>2.94</v>
      </c>
      <c r="CX2187" t="s">
        <v>329</v>
      </c>
      <c r="CY2187">
        <v>7.83</v>
      </c>
      <c r="CZ2187">
        <v>0</v>
      </c>
      <c r="DA2187">
        <v>4.45</v>
      </c>
      <c r="DB2187">
        <v>2.06</v>
      </c>
      <c r="DC2187">
        <v>-0.95</v>
      </c>
      <c r="DD2187">
        <v>87.24</v>
      </c>
      <c r="DE2187" t="s">
        <v>5965</v>
      </c>
      <c r="DF2187">
        <v>51.13</v>
      </c>
      <c r="DG2187">
        <v>6.64</v>
      </c>
      <c r="DH2187">
        <v>11.76</v>
      </c>
      <c r="DI2187">
        <v>0.13</v>
      </c>
      <c r="DJ2187">
        <v>577</v>
      </c>
      <c r="DK2187">
        <v>300845</v>
      </c>
      <c r="DL2187" t="s">
        <v>120</v>
      </c>
      <c r="DM2187" t="s">
        <v>120</v>
      </c>
      <c r="DN2187" t="s">
        <v>120</v>
      </c>
    </row>
    <row r="2188" spans="1:118">
      <c r="A2188" t="str">
        <f>"300846"</f>
        <v>300846</v>
      </c>
      <c r="B2188" t="s">
        <v>10555</v>
      </c>
      <c r="C2188">
        <v>-1.84</v>
      </c>
      <c r="D2188">
        <v>0</v>
      </c>
      <c r="E2188">
        <v>-0.46</v>
      </c>
      <c r="F2188">
        <v>544</v>
      </c>
      <c r="G2188" t="s">
        <v>10556</v>
      </c>
      <c r="H2188">
        <v>4854.22</v>
      </c>
      <c r="I2188">
        <v>11.45</v>
      </c>
      <c r="J2188" t="s">
        <v>120</v>
      </c>
      <c r="K2188" t="s">
        <v>5512</v>
      </c>
      <c r="L2188">
        <v>1.41</v>
      </c>
      <c r="M2188">
        <v>12.83</v>
      </c>
      <c r="N2188">
        <v>0.61</v>
      </c>
      <c r="O2188">
        <v>0.77</v>
      </c>
      <c r="P2188">
        <v>13.17</v>
      </c>
      <c r="Q2188">
        <v>-2.0699999999999998</v>
      </c>
      <c r="R2188">
        <v>12.8</v>
      </c>
      <c r="S2188">
        <v>13.01</v>
      </c>
      <c r="T2188">
        <v>37494</v>
      </c>
      <c r="U2188">
        <v>12.83</v>
      </c>
      <c r="V2188">
        <v>13.07</v>
      </c>
      <c r="W2188">
        <v>190.72</v>
      </c>
      <c r="X2188" t="s">
        <v>141</v>
      </c>
      <c r="Y2188" t="s">
        <v>158</v>
      </c>
      <c r="Z2188">
        <v>2.83</v>
      </c>
      <c r="AA2188">
        <v>12.95</v>
      </c>
      <c r="AB2188">
        <v>24086</v>
      </c>
      <c r="AC2188">
        <v>13408</v>
      </c>
      <c r="AD2188">
        <v>1.8</v>
      </c>
      <c r="AE2188">
        <v>462</v>
      </c>
      <c r="AF2188">
        <v>197</v>
      </c>
      <c r="AG2188" t="s">
        <v>120</v>
      </c>
      <c r="AH2188">
        <v>0</v>
      </c>
      <c r="AI2188" t="s">
        <v>120</v>
      </c>
      <c r="AJ2188">
        <v>2.65</v>
      </c>
      <c r="AK2188" t="s">
        <v>10557</v>
      </c>
      <c r="AL2188">
        <v>0.08</v>
      </c>
      <c r="AM2188">
        <v>1737</v>
      </c>
      <c r="AN2188">
        <v>22</v>
      </c>
      <c r="AO2188">
        <v>8.0000000000000004E-4</v>
      </c>
      <c r="AP2188">
        <v>-1</v>
      </c>
      <c r="AQ2188">
        <v>0.85</v>
      </c>
      <c r="AR2188">
        <v>-2.72</v>
      </c>
      <c r="AS2188">
        <v>1.99</v>
      </c>
      <c r="AT2188">
        <v>-30.98</v>
      </c>
      <c r="AU2188">
        <v>-42.18</v>
      </c>
      <c r="AV2188">
        <v>3</v>
      </c>
      <c r="AW2188">
        <v>1.77</v>
      </c>
      <c r="AX2188">
        <v>51.51</v>
      </c>
      <c r="AY2188">
        <v>247.43</v>
      </c>
      <c r="AZ2188">
        <v>134.12</v>
      </c>
      <c r="BA2188">
        <v>1.21</v>
      </c>
      <c r="BB2188" t="s">
        <v>143</v>
      </c>
      <c r="BF2188">
        <v>-0.94</v>
      </c>
      <c r="BG2188">
        <v>-1.38</v>
      </c>
      <c r="BH2188">
        <v>-2.58</v>
      </c>
      <c r="BI2188">
        <v>0.23</v>
      </c>
      <c r="BJ2188">
        <v>20210826</v>
      </c>
      <c r="BK2188">
        <v>20200701</v>
      </c>
      <c r="BL2188">
        <v>4.1100000000000003</v>
      </c>
      <c r="BM2188" t="s">
        <v>120</v>
      </c>
      <c r="BN2188" t="s">
        <v>120</v>
      </c>
      <c r="BO2188">
        <v>13.6</v>
      </c>
      <c r="BP2188">
        <v>12.82</v>
      </c>
      <c r="BQ2188">
        <v>6.43</v>
      </c>
      <c r="BR2188">
        <v>0</v>
      </c>
      <c r="BS2188">
        <v>52.69</v>
      </c>
      <c r="BT2188">
        <v>4.18</v>
      </c>
      <c r="BU2188">
        <v>4.75</v>
      </c>
      <c r="BV2188">
        <v>0.19</v>
      </c>
      <c r="BW2188">
        <v>4.93</v>
      </c>
      <c r="BX2188">
        <v>1.25</v>
      </c>
      <c r="BY2188">
        <v>0</v>
      </c>
      <c r="BZ2188">
        <v>2.33</v>
      </c>
      <c r="CA2188" t="s">
        <v>120</v>
      </c>
      <c r="CB2188">
        <v>0.17</v>
      </c>
      <c r="CC2188">
        <v>5.83</v>
      </c>
      <c r="CD2188">
        <v>4.5999999999999996</v>
      </c>
      <c r="CE2188">
        <v>0.04</v>
      </c>
      <c r="CF2188">
        <v>0</v>
      </c>
      <c r="CG2188">
        <v>0.14000000000000001</v>
      </c>
      <c r="CH2188">
        <v>0.15</v>
      </c>
      <c r="CI2188">
        <v>0.14000000000000001</v>
      </c>
      <c r="CJ2188">
        <v>-0.24</v>
      </c>
      <c r="CK2188">
        <v>0.02</v>
      </c>
      <c r="CL2188">
        <v>2.02</v>
      </c>
      <c r="CM2188">
        <v>1.01</v>
      </c>
      <c r="CN2188">
        <v>-0.45</v>
      </c>
      <c r="CO2188">
        <v>21385</v>
      </c>
      <c r="CP2188">
        <v>9908</v>
      </c>
      <c r="CQ2188" t="s">
        <v>10558</v>
      </c>
      <c r="CR2188">
        <v>-57.02</v>
      </c>
      <c r="CS2188">
        <v>20.22</v>
      </c>
      <c r="CT2188">
        <v>8.2100000000000009</v>
      </c>
      <c r="CU2188">
        <v>52.24</v>
      </c>
      <c r="CV2188">
        <v>9.0500000000000007</v>
      </c>
      <c r="CW2188">
        <v>0</v>
      </c>
      <c r="CX2188" t="s">
        <v>919</v>
      </c>
      <c r="CY2188">
        <v>1.56</v>
      </c>
      <c r="CZ2188">
        <v>0</v>
      </c>
      <c r="DA2188">
        <v>0.04</v>
      </c>
      <c r="DB2188">
        <v>0.49</v>
      </c>
      <c r="DC2188">
        <v>0.25</v>
      </c>
      <c r="DD2188">
        <v>47.28</v>
      </c>
      <c r="DE2188" t="s">
        <v>4691</v>
      </c>
      <c r="DF2188">
        <v>21.05</v>
      </c>
      <c r="DG2188">
        <v>0.64</v>
      </c>
      <c r="DH2188">
        <v>2.37</v>
      </c>
      <c r="DI2188">
        <v>0.37</v>
      </c>
      <c r="DJ2188">
        <v>520</v>
      </c>
      <c r="DK2188">
        <v>300846</v>
      </c>
      <c r="DL2188" t="s">
        <v>120</v>
      </c>
      <c r="DM2188" t="s">
        <v>120</v>
      </c>
      <c r="DN2188" t="s">
        <v>120</v>
      </c>
    </row>
    <row r="2189" spans="1:118">
      <c r="A2189" t="str">
        <f>"300847"</f>
        <v>300847</v>
      </c>
      <c r="B2189" t="s">
        <v>10559</v>
      </c>
      <c r="C2189">
        <v>0.38</v>
      </c>
      <c r="D2189">
        <v>0.19</v>
      </c>
      <c r="E2189">
        <v>0.63</v>
      </c>
      <c r="F2189">
        <v>578</v>
      </c>
      <c r="G2189" t="s">
        <v>6271</v>
      </c>
      <c r="H2189">
        <v>7560.56</v>
      </c>
      <c r="I2189">
        <v>10.53</v>
      </c>
      <c r="J2189" t="s">
        <v>120</v>
      </c>
      <c r="K2189" t="s">
        <v>6501</v>
      </c>
      <c r="L2189">
        <v>3.15</v>
      </c>
      <c r="M2189">
        <v>15.92</v>
      </c>
      <c r="N2189">
        <v>0.53</v>
      </c>
      <c r="O2189">
        <v>1.83</v>
      </c>
      <c r="P2189">
        <v>16.149999999999999</v>
      </c>
      <c r="Q2189">
        <v>-1.58</v>
      </c>
      <c r="R2189">
        <v>15.61</v>
      </c>
      <c r="S2189">
        <v>15.96</v>
      </c>
      <c r="T2189">
        <v>47502</v>
      </c>
      <c r="U2189">
        <v>15.92</v>
      </c>
      <c r="V2189">
        <v>15.86</v>
      </c>
      <c r="W2189">
        <v>52.39</v>
      </c>
      <c r="X2189" t="s">
        <v>868</v>
      </c>
      <c r="Y2189" t="s">
        <v>602</v>
      </c>
      <c r="Z2189">
        <v>3.4</v>
      </c>
      <c r="AA2189">
        <v>15.92</v>
      </c>
      <c r="AB2189">
        <v>26134</v>
      </c>
      <c r="AC2189">
        <v>21368</v>
      </c>
      <c r="AD2189">
        <v>1.22</v>
      </c>
      <c r="AE2189">
        <v>14</v>
      </c>
      <c r="AF2189">
        <v>48</v>
      </c>
      <c r="AG2189" t="s">
        <v>120</v>
      </c>
      <c r="AH2189">
        <v>0.01</v>
      </c>
      <c r="AI2189" t="s">
        <v>120</v>
      </c>
      <c r="AJ2189">
        <v>1.51</v>
      </c>
      <c r="AK2189" t="s">
        <v>10560</v>
      </c>
      <c r="AL2189">
        <v>2.29</v>
      </c>
      <c r="AM2189">
        <v>2088</v>
      </c>
      <c r="AN2189">
        <v>23</v>
      </c>
      <c r="AO2189">
        <v>1.5E-3</v>
      </c>
      <c r="AP2189">
        <v>1</v>
      </c>
      <c r="AQ2189">
        <v>-2.46</v>
      </c>
      <c r="AR2189">
        <v>-6.08</v>
      </c>
      <c r="AS2189">
        <v>-2.4500000000000002</v>
      </c>
      <c r="AT2189">
        <v>-13.43</v>
      </c>
      <c r="AU2189">
        <v>-2.16</v>
      </c>
      <c r="AV2189">
        <v>1</v>
      </c>
      <c r="AW2189">
        <v>5.03</v>
      </c>
      <c r="AX2189">
        <v>31.89</v>
      </c>
      <c r="AY2189">
        <v>48.85</v>
      </c>
      <c r="AZ2189">
        <v>51.8</v>
      </c>
      <c r="BA2189">
        <v>0.5</v>
      </c>
      <c r="BB2189" t="s">
        <v>1723</v>
      </c>
      <c r="BF2189">
        <v>0.35</v>
      </c>
      <c r="BG2189">
        <v>-0.25</v>
      </c>
      <c r="BH2189">
        <v>-1.42</v>
      </c>
      <c r="BI2189">
        <v>1.99</v>
      </c>
      <c r="BJ2189">
        <v>20210823</v>
      </c>
      <c r="BK2189">
        <v>20200709</v>
      </c>
      <c r="BL2189">
        <v>2.96</v>
      </c>
      <c r="BM2189" t="s">
        <v>120</v>
      </c>
      <c r="BN2189" t="s">
        <v>120</v>
      </c>
      <c r="BO2189">
        <v>12.54</v>
      </c>
      <c r="BP2189">
        <v>15.91</v>
      </c>
      <c r="BQ2189">
        <v>11.05</v>
      </c>
      <c r="BR2189">
        <v>7.0000000000000007E-2</v>
      </c>
      <c r="BS2189">
        <v>11.41</v>
      </c>
      <c r="BT2189">
        <v>9.18</v>
      </c>
      <c r="BU2189">
        <v>2.79</v>
      </c>
      <c r="BV2189">
        <v>0.24</v>
      </c>
      <c r="BW2189">
        <v>1.3</v>
      </c>
      <c r="BX2189">
        <v>5.04</v>
      </c>
      <c r="BY2189">
        <v>2.09</v>
      </c>
      <c r="BZ2189">
        <v>1.42</v>
      </c>
      <c r="CA2189" t="s">
        <v>120</v>
      </c>
      <c r="CB2189">
        <v>3.34</v>
      </c>
      <c r="CC2189">
        <v>4.7699999999999996</v>
      </c>
      <c r="CD2189">
        <v>3.89</v>
      </c>
      <c r="CE2189">
        <v>0.47</v>
      </c>
      <c r="CF2189">
        <v>0</v>
      </c>
      <c r="CG2189">
        <v>0.53</v>
      </c>
      <c r="CH2189">
        <v>0.46</v>
      </c>
      <c r="CI2189">
        <v>0.45</v>
      </c>
      <c r="CJ2189">
        <v>0.06</v>
      </c>
      <c r="CK2189">
        <v>0.39</v>
      </c>
      <c r="CL2189">
        <v>4.5</v>
      </c>
      <c r="CM2189">
        <v>-0.16</v>
      </c>
      <c r="CN2189">
        <v>-0.52</v>
      </c>
      <c r="CO2189">
        <v>25192</v>
      </c>
      <c r="CP2189">
        <v>3747</v>
      </c>
      <c r="CQ2189" t="s">
        <v>1289</v>
      </c>
      <c r="CR2189">
        <v>13.82</v>
      </c>
      <c r="CS2189">
        <v>15.37</v>
      </c>
      <c r="CT2189">
        <v>4.2699999999999996</v>
      </c>
      <c r="CU2189">
        <v>-287.89999999999998</v>
      </c>
      <c r="CV2189">
        <v>9.8699999999999992</v>
      </c>
      <c r="CW2189">
        <v>0.39</v>
      </c>
      <c r="CX2189" t="s">
        <v>242</v>
      </c>
      <c r="CY2189">
        <v>3.73</v>
      </c>
      <c r="CZ2189">
        <v>0</v>
      </c>
      <c r="DA2189">
        <v>1.1299999999999999</v>
      </c>
      <c r="DB2189">
        <v>1.52</v>
      </c>
      <c r="DC2189">
        <v>-0.06</v>
      </c>
      <c r="DD2189">
        <v>88.07</v>
      </c>
      <c r="DE2189" t="s">
        <v>6213</v>
      </c>
      <c r="DF2189">
        <v>18.440000000000001</v>
      </c>
      <c r="DG2189">
        <v>9.85</v>
      </c>
      <c r="DH2189">
        <v>9.42</v>
      </c>
      <c r="DI2189">
        <v>0.22</v>
      </c>
      <c r="DJ2189">
        <v>1058</v>
      </c>
      <c r="DK2189">
        <v>300847</v>
      </c>
      <c r="DL2189" t="s">
        <v>120</v>
      </c>
      <c r="DM2189" t="s">
        <v>120</v>
      </c>
      <c r="DN2189" t="s">
        <v>120</v>
      </c>
    </row>
    <row r="2190" spans="1:118">
      <c r="A2190" t="str">
        <f>"300848"</f>
        <v>300848</v>
      </c>
      <c r="B2190" t="s">
        <v>10561</v>
      </c>
      <c r="C2190">
        <v>-3.39</v>
      </c>
      <c r="D2190">
        <v>0</v>
      </c>
      <c r="E2190">
        <v>-3.39</v>
      </c>
      <c r="F2190">
        <v>282</v>
      </c>
      <c r="G2190" t="s">
        <v>7078</v>
      </c>
      <c r="H2190">
        <v>16629.11</v>
      </c>
      <c r="I2190">
        <v>246.65</v>
      </c>
      <c r="J2190" t="s">
        <v>120</v>
      </c>
      <c r="K2190" t="s">
        <v>7078</v>
      </c>
      <c r="L2190">
        <v>12.8</v>
      </c>
      <c r="M2190">
        <v>34.21</v>
      </c>
      <c r="N2190">
        <v>1.65</v>
      </c>
      <c r="O2190">
        <v>3.28</v>
      </c>
      <c r="P2190">
        <v>36.57</v>
      </c>
      <c r="Q2190">
        <v>-3.39</v>
      </c>
      <c r="R2190">
        <v>34.21</v>
      </c>
      <c r="S2190">
        <v>34.21</v>
      </c>
      <c r="T2190">
        <v>47042</v>
      </c>
      <c r="U2190">
        <v>34.22</v>
      </c>
      <c r="V2190">
        <v>35.409999999999997</v>
      </c>
      <c r="W2190">
        <v>50.06</v>
      </c>
      <c r="X2190" t="s">
        <v>868</v>
      </c>
      <c r="Y2190" t="s">
        <v>638</v>
      </c>
      <c r="Z2190">
        <v>6.66</v>
      </c>
      <c r="AA2190">
        <v>35.35</v>
      </c>
      <c r="AB2190">
        <v>23278</v>
      </c>
      <c r="AC2190">
        <v>23764</v>
      </c>
      <c r="AD2190">
        <v>0.98</v>
      </c>
      <c r="AE2190">
        <v>44</v>
      </c>
      <c r="AF2190">
        <v>113</v>
      </c>
      <c r="AG2190" t="s">
        <v>120</v>
      </c>
      <c r="AH2190">
        <v>0.2</v>
      </c>
      <c r="AI2190" t="s">
        <v>120</v>
      </c>
      <c r="AJ2190">
        <v>0.37</v>
      </c>
      <c r="AK2190" t="s">
        <v>833</v>
      </c>
      <c r="AL2190">
        <v>-1.48</v>
      </c>
      <c r="AM2190">
        <v>2188</v>
      </c>
      <c r="AN2190">
        <v>21</v>
      </c>
      <c r="AO2190">
        <v>5.8999999999999999E-3</v>
      </c>
      <c r="AP2190">
        <v>-1</v>
      </c>
      <c r="AQ2190">
        <v>7.69</v>
      </c>
      <c r="AR2190">
        <v>0.32</v>
      </c>
      <c r="AS2190">
        <v>3.05</v>
      </c>
      <c r="AT2190">
        <v>9.16</v>
      </c>
      <c r="AU2190">
        <v>43.47</v>
      </c>
      <c r="AV2190">
        <v>3</v>
      </c>
      <c r="AW2190">
        <v>12.8</v>
      </c>
      <c r="AX2190">
        <v>27.55</v>
      </c>
      <c r="AY2190">
        <v>42.71</v>
      </c>
      <c r="AZ2190">
        <v>46.28</v>
      </c>
      <c r="BA2190">
        <v>0.42</v>
      </c>
      <c r="BB2190" t="s">
        <v>168</v>
      </c>
      <c r="BF2190">
        <v>-0.17</v>
      </c>
      <c r="BG2190">
        <v>0</v>
      </c>
      <c r="BH2190">
        <v>-6.45</v>
      </c>
      <c r="BI2190">
        <v>0</v>
      </c>
      <c r="BJ2190">
        <v>20210810</v>
      </c>
      <c r="BK2190">
        <v>20200720</v>
      </c>
      <c r="BL2190">
        <v>1.33</v>
      </c>
      <c r="BM2190" t="s">
        <v>120</v>
      </c>
      <c r="BN2190" t="s">
        <v>120</v>
      </c>
      <c r="BO2190">
        <v>14.9</v>
      </c>
      <c r="BP2190">
        <v>34.21</v>
      </c>
      <c r="BQ2190">
        <v>8.15</v>
      </c>
      <c r="BR2190" t="s">
        <v>120</v>
      </c>
      <c r="BS2190">
        <v>45.27</v>
      </c>
      <c r="BT2190">
        <v>12.79</v>
      </c>
      <c r="BU2190">
        <v>1.63</v>
      </c>
      <c r="BV2190">
        <v>0.26</v>
      </c>
      <c r="BW2190">
        <v>6.62</v>
      </c>
      <c r="BX2190">
        <v>4.08</v>
      </c>
      <c r="BY2190">
        <v>3.43</v>
      </c>
      <c r="BZ2190">
        <v>0.49</v>
      </c>
      <c r="CA2190" t="s">
        <v>120</v>
      </c>
      <c r="CB2190">
        <v>3.72</v>
      </c>
      <c r="CC2190">
        <v>5.26</v>
      </c>
      <c r="CD2190">
        <v>4.43</v>
      </c>
      <c r="CE2190">
        <v>0.54</v>
      </c>
      <c r="CF2190">
        <v>0.06</v>
      </c>
      <c r="CG2190">
        <v>0.54</v>
      </c>
      <c r="CH2190">
        <v>0.46</v>
      </c>
      <c r="CI2190">
        <v>0.46</v>
      </c>
      <c r="CJ2190">
        <v>-1.2</v>
      </c>
      <c r="CK2190">
        <v>0.36</v>
      </c>
      <c r="CL2190">
        <v>2.77</v>
      </c>
      <c r="CM2190">
        <v>0.92</v>
      </c>
      <c r="CN2190">
        <v>1.87</v>
      </c>
      <c r="CO2190">
        <v>15142</v>
      </c>
      <c r="CP2190">
        <v>2426</v>
      </c>
      <c r="CQ2190" t="s">
        <v>10562</v>
      </c>
      <c r="CR2190">
        <v>23.03</v>
      </c>
      <c r="CS2190">
        <v>88.99</v>
      </c>
      <c r="CT2190">
        <v>5.6</v>
      </c>
      <c r="CU2190">
        <v>49.84</v>
      </c>
      <c r="CV2190">
        <v>8.67</v>
      </c>
      <c r="CW2190">
        <v>0.28000000000000003</v>
      </c>
      <c r="CX2190" t="s">
        <v>1574</v>
      </c>
      <c r="CY2190">
        <v>6.11</v>
      </c>
      <c r="CZ2190">
        <v>0</v>
      </c>
      <c r="DA2190">
        <v>2.79</v>
      </c>
      <c r="DB2190">
        <v>2.08</v>
      </c>
      <c r="DC2190">
        <v>0.69</v>
      </c>
      <c r="DD2190">
        <v>54.73</v>
      </c>
      <c r="DE2190" t="s">
        <v>7117</v>
      </c>
      <c r="DF2190">
        <v>15.78</v>
      </c>
      <c r="DG2190">
        <v>10.25</v>
      </c>
      <c r="DH2190">
        <v>8.66</v>
      </c>
      <c r="DI2190">
        <v>0.22</v>
      </c>
      <c r="DJ2190">
        <v>260</v>
      </c>
      <c r="DK2190">
        <v>300848</v>
      </c>
      <c r="DL2190" t="s">
        <v>120</v>
      </c>
      <c r="DM2190" t="s">
        <v>120</v>
      </c>
      <c r="DN2190" t="s">
        <v>120</v>
      </c>
    </row>
    <row r="2191" spans="1:118">
      <c r="A2191" t="str">
        <f>"300849"</f>
        <v>300849</v>
      </c>
      <c r="B2191" t="s">
        <v>10563</v>
      </c>
      <c r="C2191">
        <v>2.56</v>
      </c>
      <c r="D2191">
        <v>0</v>
      </c>
      <c r="E2191">
        <v>-0.08</v>
      </c>
      <c r="F2191">
        <v>655</v>
      </c>
      <c r="G2191" t="s">
        <v>10564</v>
      </c>
      <c r="H2191">
        <v>7744.66</v>
      </c>
      <c r="I2191">
        <v>30.26</v>
      </c>
      <c r="J2191" t="s">
        <v>120</v>
      </c>
      <c r="K2191" t="s">
        <v>10565</v>
      </c>
      <c r="L2191">
        <v>6.4</v>
      </c>
      <c r="M2191">
        <v>13.62</v>
      </c>
      <c r="N2191">
        <v>2.37</v>
      </c>
      <c r="O2191">
        <v>8.43</v>
      </c>
      <c r="P2191">
        <v>14.4</v>
      </c>
      <c r="Q2191">
        <v>-0.6</v>
      </c>
      <c r="R2191">
        <v>13.2</v>
      </c>
      <c r="S2191">
        <v>13.27</v>
      </c>
      <c r="T2191">
        <v>55850</v>
      </c>
      <c r="U2191">
        <v>13.63</v>
      </c>
      <c r="V2191">
        <v>13.28</v>
      </c>
      <c r="W2191">
        <v>79.05</v>
      </c>
      <c r="X2191" t="s">
        <v>2211</v>
      </c>
      <c r="Y2191" t="s">
        <v>585</v>
      </c>
      <c r="Z2191">
        <v>9.0399999999999991</v>
      </c>
      <c r="AA2191">
        <v>13.87</v>
      </c>
      <c r="AB2191">
        <v>27333</v>
      </c>
      <c r="AC2191">
        <v>28517</v>
      </c>
      <c r="AD2191">
        <v>0.96</v>
      </c>
      <c r="AE2191">
        <v>45</v>
      </c>
      <c r="AF2191">
        <v>238</v>
      </c>
      <c r="AG2191" t="s">
        <v>120</v>
      </c>
      <c r="AH2191">
        <v>0.05</v>
      </c>
      <c r="AI2191" t="s">
        <v>120</v>
      </c>
      <c r="AJ2191">
        <v>0.87</v>
      </c>
      <c r="AK2191" t="s">
        <v>9605</v>
      </c>
      <c r="AL2191">
        <v>4.47</v>
      </c>
      <c r="AM2191">
        <v>1647</v>
      </c>
      <c r="AN2191">
        <v>34</v>
      </c>
      <c r="AO2191">
        <v>3.8999999999999998E-3</v>
      </c>
      <c r="AP2191">
        <v>2</v>
      </c>
      <c r="AQ2191">
        <v>2.39</v>
      </c>
      <c r="AR2191">
        <v>4.29</v>
      </c>
      <c r="AS2191">
        <v>10.91</v>
      </c>
      <c r="AT2191">
        <v>-11.61</v>
      </c>
      <c r="AU2191">
        <v>-15.34</v>
      </c>
      <c r="AV2191">
        <v>1</v>
      </c>
      <c r="AW2191">
        <v>11.65</v>
      </c>
      <c r="AX2191">
        <v>31.96</v>
      </c>
      <c r="AY2191">
        <v>85.86</v>
      </c>
      <c r="AZ2191">
        <v>57.76</v>
      </c>
      <c r="BA2191">
        <v>0.57999999999999996</v>
      </c>
      <c r="BB2191" t="s">
        <v>143</v>
      </c>
      <c r="BF2191">
        <v>4.42</v>
      </c>
      <c r="BG2191">
        <v>2.64</v>
      </c>
      <c r="BH2191">
        <v>-5.42</v>
      </c>
      <c r="BI2191">
        <v>3.18</v>
      </c>
      <c r="BJ2191">
        <v>20210817</v>
      </c>
      <c r="BK2191">
        <v>20200710</v>
      </c>
      <c r="BL2191">
        <v>1.5</v>
      </c>
      <c r="BM2191" t="s">
        <v>120</v>
      </c>
      <c r="BN2191" t="s">
        <v>120</v>
      </c>
      <c r="BO2191">
        <v>7.29</v>
      </c>
      <c r="BP2191">
        <v>13.62</v>
      </c>
      <c r="BQ2191">
        <v>6.85</v>
      </c>
      <c r="BR2191" t="s">
        <v>120</v>
      </c>
      <c r="BS2191">
        <v>6.08</v>
      </c>
      <c r="BT2191">
        <v>4.2</v>
      </c>
      <c r="BU2191">
        <v>1.74</v>
      </c>
      <c r="BV2191">
        <v>0.13</v>
      </c>
      <c r="BW2191">
        <v>0.42</v>
      </c>
      <c r="BX2191">
        <v>1.44</v>
      </c>
      <c r="BY2191">
        <v>0.68</v>
      </c>
      <c r="BZ2191">
        <v>0.86</v>
      </c>
      <c r="CA2191" t="s">
        <v>120</v>
      </c>
      <c r="CB2191">
        <v>3.24</v>
      </c>
      <c r="CC2191">
        <v>1.43</v>
      </c>
      <c r="CD2191">
        <v>1.04</v>
      </c>
      <c r="CE2191">
        <v>0.14000000000000001</v>
      </c>
      <c r="CF2191">
        <v>0</v>
      </c>
      <c r="CG2191">
        <v>0.14000000000000001</v>
      </c>
      <c r="CH2191">
        <v>0.13</v>
      </c>
      <c r="CI2191">
        <v>0.13</v>
      </c>
      <c r="CJ2191">
        <v>0.34</v>
      </c>
      <c r="CK2191">
        <v>0.06</v>
      </c>
      <c r="CL2191">
        <v>1.9</v>
      </c>
      <c r="CM2191">
        <v>0.1</v>
      </c>
      <c r="CN2191">
        <v>0.1</v>
      </c>
      <c r="CO2191">
        <v>12180</v>
      </c>
      <c r="CP2191">
        <v>3936</v>
      </c>
      <c r="CQ2191" t="s">
        <v>2586</v>
      </c>
      <c r="CR2191">
        <v>-46.63</v>
      </c>
      <c r="CS2191">
        <v>12.54</v>
      </c>
      <c r="CT2191">
        <v>2.98</v>
      </c>
      <c r="CU2191">
        <v>201.54</v>
      </c>
      <c r="CV2191">
        <v>14.33</v>
      </c>
      <c r="CW2191">
        <v>1.26</v>
      </c>
      <c r="CX2191" t="s">
        <v>329</v>
      </c>
      <c r="CY2191">
        <v>4.57</v>
      </c>
      <c r="CZ2191">
        <v>0</v>
      </c>
      <c r="DA2191">
        <v>2.16</v>
      </c>
      <c r="DB2191">
        <v>1.26</v>
      </c>
      <c r="DC2191">
        <v>7.0000000000000007E-2</v>
      </c>
      <c r="DD2191">
        <v>93.92</v>
      </c>
      <c r="DE2191" t="s">
        <v>3669</v>
      </c>
      <c r="DF2191">
        <v>26.84</v>
      </c>
      <c r="DG2191">
        <v>9.89</v>
      </c>
      <c r="DH2191">
        <v>9.06</v>
      </c>
      <c r="DI2191">
        <v>7.0000000000000007E-2</v>
      </c>
      <c r="DJ2191">
        <v>842</v>
      </c>
      <c r="DK2191">
        <v>300849</v>
      </c>
      <c r="DL2191" t="s">
        <v>120</v>
      </c>
      <c r="DM2191" t="s">
        <v>120</v>
      </c>
      <c r="DN2191" t="s">
        <v>120</v>
      </c>
    </row>
    <row r="2192" spans="1:118">
      <c r="A2192" t="str">
        <f>"300850"</f>
        <v>300850</v>
      </c>
      <c r="B2192" t="s">
        <v>10566</v>
      </c>
      <c r="C2192">
        <v>2.16</v>
      </c>
      <c r="D2192">
        <v>-0.09</v>
      </c>
      <c r="E2192">
        <v>0.01</v>
      </c>
      <c r="F2192">
        <v>1360</v>
      </c>
      <c r="G2192" t="s">
        <v>10567</v>
      </c>
      <c r="H2192">
        <v>89891.33</v>
      </c>
      <c r="I2192">
        <v>528.27</v>
      </c>
      <c r="J2192" t="s">
        <v>120</v>
      </c>
      <c r="K2192" t="s">
        <v>10568</v>
      </c>
      <c r="L2192">
        <v>4.5199999999999996</v>
      </c>
      <c r="M2192">
        <v>190.01</v>
      </c>
      <c r="N2192">
        <v>1.1299999999999999</v>
      </c>
      <c r="O2192">
        <v>6.82</v>
      </c>
      <c r="P2192">
        <v>198.68</v>
      </c>
      <c r="Q2192">
        <v>-2.46</v>
      </c>
      <c r="R2192">
        <v>181.43</v>
      </c>
      <c r="S2192">
        <v>186.01</v>
      </c>
      <c r="T2192">
        <v>46814</v>
      </c>
      <c r="U2192">
        <v>190.04</v>
      </c>
      <c r="V2192">
        <v>186</v>
      </c>
      <c r="W2192">
        <v>105.12</v>
      </c>
      <c r="X2192" t="s">
        <v>959</v>
      </c>
      <c r="Y2192" t="s">
        <v>645</v>
      </c>
      <c r="Z2192">
        <v>9.27</v>
      </c>
      <c r="AA2192">
        <v>192.02</v>
      </c>
      <c r="AB2192">
        <v>23204</v>
      </c>
      <c r="AC2192">
        <v>23610</v>
      </c>
      <c r="AD2192">
        <v>0.98</v>
      </c>
      <c r="AE2192">
        <v>21</v>
      </c>
      <c r="AF2192">
        <v>4</v>
      </c>
      <c r="AG2192" t="s">
        <v>120</v>
      </c>
      <c r="AH2192">
        <v>0.04</v>
      </c>
      <c r="AI2192" t="s">
        <v>120</v>
      </c>
      <c r="AJ2192">
        <v>1.04</v>
      </c>
      <c r="AK2192" t="s">
        <v>10569</v>
      </c>
      <c r="AL2192">
        <v>4.07</v>
      </c>
      <c r="AM2192">
        <v>3835</v>
      </c>
      <c r="AN2192">
        <v>12</v>
      </c>
      <c r="AO2192">
        <v>1.1999999999999999E-3</v>
      </c>
      <c r="AP2192">
        <v>2</v>
      </c>
      <c r="AQ2192">
        <v>17.420000000000002</v>
      </c>
      <c r="AR2192">
        <v>15.15</v>
      </c>
      <c r="AS2192">
        <v>36.71</v>
      </c>
      <c r="AT2192">
        <v>119.94</v>
      </c>
      <c r="AU2192">
        <v>102.54</v>
      </c>
      <c r="AV2192">
        <v>4</v>
      </c>
      <c r="AW2192">
        <v>6.3</v>
      </c>
      <c r="AX2192">
        <v>38.29</v>
      </c>
      <c r="AY2192">
        <v>72.19</v>
      </c>
      <c r="AZ2192">
        <v>84.94</v>
      </c>
      <c r="BA2192">
        <v>0.42</v>
      </c>
      <c r="BB2192" t="s">
        <v>168</v>
      </c>
      <c r="BF2192">
        <v>3.24</v>
      </c>
      <c r="BG2192">
        <v>2.15</v>
      </c>
      <c r="BH2192">
        <v>-4.3600000000000003</v>
      </c>
      <c r="BI2192">
        <v>4.7300000000000004</v>
      </c>
      <c r="BJ2192">
        <v>20210826</v>
      </c>
      <c r="BK2192">
        <v>20200713</v>
      </c>
      <c r="BL2192">
        <v>1.94</v>
      </c>
      <c r="BM2192" t="s">
        <v>120</v>
      </c>
      <c r="BN2192" t="s">
        <v>120</v>
      </c>
      <c r="BO2192">
        <v>39.03</v>
      </c>
      <c r="BP2192">
        <v>190.01</v>
      </c>
      <c r="BQ2192">
        <v>16.46</v>
      </c>
      <c r="BR2192" t="s">
        <v>120</v>
      </c>
      <c r="BS2192">
        <v>57.84</v>
      </c>
      <c r="BT2192">
        <v>26.34</v>
      </c>
      <c r="BU2192">
        <v>5.61</v>
      </c>
      <c r="BV2192">
        <v>0.96</v>
      </c>
      <c r="BW2192">
        <v>15.32</v>
      </c>
      <c r="BX2192">
        <v>4.84</v>
      </c>
      <c r="BY2192">
        <v>4.26</v>
      </c>
      <c r="BZ2192">
        <v>8.1199999999999992</v>
      </c>
      <c r="CA2192" t="s">
        <v>120</v>
      </c>
      <c r="CB2192">
        <v>5.56</v>
      </c>
      <c r="CC2192">
        <v>12.61</v>
      </c>
      <c r="CD2192">
        <v>9.02</v>
      </c>
      <c r="CE2192">
        <v>1.98</v>
      </c>
      <c r="CF2192">
        <v>0</v>
      </c>
      <c r="CG2192">
        <v>1.98</v>
      </c>
      <c r="CH2192">
        <v>1.75</v>
      </c>
      <c r="CI2192">
        <v>1.75</v>
      </c>
      <c r="CJ2192">
        <v>4.01</v>
      </c>
      <c r="CK2192">
        <v>2.23</v>
      </c>
      <c r="CL2192">
        <v>8.33</v>
      </c>
      <c r="CM2192">
        <v>-2.0099999999999998</v>
      </c>
      <c r="CN2192">
        <v>-6.09</v>
      </c>
      <c r="CO2192">
        <v>10897</v>
      </c>
      <c r="CP2192">
        <v>6814</v>
      </c>
      <c r="CQ2192" t="s">
        <v>10570</v>
      </c>
      <c r="CR2192">
        <v>74.73</v>
      </c>
      <c r="CS2192">
        <v>132.47999999999999</v>
      </c>
      <c r="CT2192">
        <v>20.81</v>
      </c>
      <c r="CU2192">
        <v>-183.04</v>
      </c>
      <c r="CV2192">
        <v>29.23</v>
      </c>
      <c r="CW2192">
        <v>0.12</v>
      </c>
      <c r="CX2192" t="s">
        <v>3944</v>
      </c>
      <c r="CY2192">
        <v>9.1300000000000008</v>
      </c>
      <c r="CZ2192">
        <v>9.1300000000000008</v>
      </c>
      <c r="DA2192">
        <v>2.87</v>
      </c>
      <c r="DB2192">
        <v>4.29</v>
      </c>
      <c r="DC2192">
        <v>-1.04</v>
      </c>
      <c r="DD2192">
        <v>42.16</v>
      </c>
      <c r="DE2192" t="s">
        <v>10571</v>
      </c>
      <c r="DF2192">
        <v>28.49</v>
      </c>
      <c r="DG2192">
        <v>15.7</v>
      </c>
      <c r="DH2192">
        <v>13.9</v>
      </c>
      <c r="DI2192">
        <v>0.52</v>
      </c>
      <c r="DJ2192">
        <v>1708</v>
      </c>
      <c r="DK2192">
        <v>300850</v>
      </c>
      <c r="DL2192">
        <v>20210902</v>
      </c>
      <c r="DM2192">
        <v>174.7</v>
      </c>
      <c r="DN2192">
        <v>8.76</v>
      </c>
    </row>
    <row r="2193" spans="1:118">
      <c r="A2193" t="str">
        <f>"300851"</f>
        <v>300851</v>
      </c>
      <c r="B2193" t="s">
        <v>10572</v>
      </c>
      <c r="C2193">
        <v>-1.6</v>
      </c>
      <c r="D2193">
        <v>0</v>
      </c>
      <c r="E2193">
        <v>0</v>
      </c>
      <c r="F2193">
        <v>70</v>
      </c>
      <c r="G2193" t="s">
        <v>6409</v>
      </c>
      <c r="H2193">
        <v>1861.41</v>
      </c>
      <c r="I2193">
        <v>4.1900000000000004</v>
      </c>
      <c r="J2193" t="s">
        <v>120</v>
      </c>
      <c r="K2193" t="s">
        <v>10573</v>
      </c>
      <c r="L2193">
        <v>1.31</v>
      </c>
      <c r="M2193">
        <v>34.340000000000003</v>
      </c>
      <c r="N2193">
        <v>0.75</v>
      </c>
      <c r="O2193">
        <v>0.28999999999999998</v>
      </c>
      <c r="P2193">
        <v>35</v>
      </c>
      <c r="Q2193">
        <v>-1.6</v>
      </c>
      <c r="R2193">
        <v>34.340000000000003</v>
      </c>
      <c r="S2193">
        <v>34.9</v>
      </c>
      <c r="T2193">
        <v>5394</v>
      </c>
      <c r="U2193">
        <v>34.340000000000003</v>
      </c>
      <c r="V2193">
        <v>34.9</v>
      </c>
      <c r="W2193">
        <v>42.39</v>
      </c>
      <c r="X2193" t="s">
        <v>141</v>
      </c>
      <c r="Y2193" t="s">
        <v>158</v>
      </c>
      <c r="Z2193">
        <v>1.89</v>
      </c>
      <c r="AA2193">
        <v>34.51</v>
      </c>
      <c r="AB2193">
        <v>3939</v>
      </c>
      <c r="AC2193">
        <v>1455</v>
      </c>
      <c r="AD2193">
        <v>2.71</v>
      </c>
      <c r="AE2193">
        <v>2</v>
      </c>
      <c r="AF2193">
        <v>58</v>
      </c>
      <c r="AG2193" t="s">
        <v>120</v>
      </c>
      <c r="AH2193">
        <v>0</v>
      </c>
      <c r="AI2193" t="s">
        <v>120</v>
      </c>
      <c r="AJ2193">
        <v>0.41</v>
      </c>
      <c r="AK2193" t="s">
        <v>5760</v>
      </c>
      <c r="AL2193">
        <v>0.31</v>
      </c>
      <c r="AM2193">
        <v>619</v>
      </c>
      <c r="AN2193">
        <v>9</v>
      </c>
      <c r="AO2193">
        <v>2.0999999999999999E-3</v>
      </c>
      <c r="AP2193">
        <v>-1</v>
      </c>
      <c r="AQ2193">
        <v>1.9</v>
      </c>
      <c r="AR2193">
        <v>-0.41</v>
      </c>
      <c r="AS2193">
        <v>-3.84</v>
      </c>
      <c r="AT2193">
        <v>1.36</v>
      </c>
      <c r="AU2193">
        <v>-2.27</v>
      </c>
      <c r="AV2193">
        <v>1</v>
      </c>
      <c r="AW2193">
        <v>1.8</v>
      </c>
      <c r="AX2193">
        <v>34.53</v>
      </c>
      <c r="AY2193">
        <v>24.63</v>
      </c>
      <c r="AZ2193">
        <v>25.15</v>
      </c>
      <c r="BA2193">
        <v>0.27</v>
      </c>
      <c r="BB2193" t="s">
        <v>143</v>
      </c>
      <c r="BF2193">
        <v>-1.1200000000000001</v>
      </c>
      <c r="BG2193">
        <v>-1.6</v>
      </c>
      <c r="BH2193">
        <v>-1.89</v>
      </c>
      <c r="BI2193">
        <v>0</v>
      </c>
      <c r="BJ2193">
        <v>20210902</v>
      </c>
      <c r="BK2193">
        <v>20200717</v>
      </c>
      <c r="BL2193">
        <v>0.87</v>
      </c>
      <c r="BM2193" t="s">
        <v>120</v>
      </c>
      <c r="BN2193" t="s">
        <v>120</v>
      </c>
      <c r="BO2193">
        <v>12.96</v>
      </c>
      <c r="BP2193">
        <v>34.33</v>
      </c>
      <c r="BQ2193">
        <v>11.67</v>
      </c>
      <c r="BR2193">
        <v>0.05</v>
      </c>
      <c r="BS2193">
        <v>9.48</v>
      </c>
      <c r="BT2193">
        <v>10.54</v>
      </c>
      <c r="BU2193">
        <v>0.77</v>
      </c>
      <c r="BV2193">
        <v>0.35</v>
      </c>
      <c r="BW2193">
        <v>1.0900000000000001</v>
      </c>
      <c r="BX2193">
        <v>1.24</v>
      </c>
      <c r="BY2193">
        <v>1.35</v>
      </c>
      <c r="BZ2193">
        <v>1.67</v>
      </c>
      <c r="CA2193">
        <v>0.02</v>
      </c>
      <c r="CB2193">
        <v>6.65</v>
      </c>
      <c r="CC2193">
        <v>1.41</v>
      </c>
      <c r="CD2193">
        <v>0.39</v>
      </c>
      <c r="CE2193">
        <v>0.37</v>
      </c>
      <c r="CF2193">
        <v>0.05</v>
      </c>
      <c r="CG2193">
        <v>0.38</v>
      </c>
      <c r="CH2193">
        <v>0.35</v>
      </c>
      <c r="CI2193">
        <v>0.35</v>
      </c>
      <c r="CJ2193">
        <v>-0.56000000000000005</v>
      </c>
      <c r="CK2193">
        <v>0.24</v>
      </c>
      <c r="CL2193">
        <v>3.72</v>
      </c>
      <c r="CM2193">
        <v>0.19</v>
      </c>
      <c r="CN2193">
        <v>-3</v>
      </c>
      <c r="CO2193">
        <v>13838</v>
      </c>
      <c r="CP2193">
        <v>2169</v>
      </c>
      <c r="CQ2193" t="s">
        <v>8081</v>
      </c>
      <c r="CR2193">
        <v>7.91</v>
      </c>
      <c r="CS2193">
        <v>20.399999999999999</v>
      </c>
      <c r="CT2193">
        <v>2.56</v>
      </c>
      <c r="CU2193">
        <v>160.33000000000001</v>
      </c>
      <c r="CV2193">
        <v>21.12</v>
      </c>
      <c r="CW2193">
        <v>1</v>
      </c>
      <c r="CX2193" t="s">
        <v>10522</v>
      </c>
      <c r="CY2193">
        <v>13.43</v>
      </c>
      <c r="CZ2193">
        <v>0</v>
      </c>
      <c r="DA2193">
        <v>7.65</v>
      </c>
      <c r="DB2193">
        <v>4.28</v>
      </c>
      <c r="DC2193">
        <v>0.21</v>
      </c>
      <c r="DD2193">
        <v>90.1</v>
      </c>
      <c r="DE2193" t="s">
        <v>7929</v>
      </c>
      <c r="DF2193">
        <v>72.25</v>
      </c>
      <c r="DG2193">
        <v>26.46</v>
      </c>
      <c r="DH2193">
        <v>24.92</v>
      </c>
      <c r="DI2193">
        <v>0.45</v>
      </c>
      <c r="DJ2193">
        <v>414</v>
      </c>
      <c r="DK2193">
        <v>300851</v>
      </c>
      <c r="DL2193" t="s">
        <v>120</v>
      </c>
      <c r="DM2193" t="s">
        <v>120</v>
      </c>
      <c r="DN2193" t="s">
        <v>120</v>
      </c>
    </row>
    <row r="2194" spans="1:118">
      <c r="A2194" t="str">
        <f>"300852"</f>
        <v>300852</v>
      </c>
      <c r="B2194" t="s">
        <v>10574</v>
      </c>
      <c r="C2194">
        <v>-3.51</v>
      </c>
      <c r="D2194">
        <v>0</v>
      </c>
      <c r="E2194">
        <v>0.06</v>
      </c>
      <c r="F2194">
        <v>171</v>
      </c>
      <c r="G2194" t="s">
        <v>7664</v>
      </c>
      <c r="H2194">
        <v>7611.11</v>
      </c>
      <c r="I2194">
        <v>36.56</v>
      </c>
      <c r="J2194" t="s">
        <v>120</v>
      </c>
      <c r="K2194" t="s">
        <v>7664</v>
      </c>
      <c r="L2194">
        <v>4.47</v>
      </c>
      <c r="M2194">
        <v>47</v>
      </c>
      <c r="N2194">
        <v>0.71</v>
      </c>
      <c r="O2194">
        <v>0.56999999999999995</v>
      </c>
      <c r="P2194">
        <v>48.99</v>
      </c>
      <c r="Q2194">
        <v>-3.74</v>
      </c>
      <c r="R2194">
        <v>46.89</v>
      </c>
      <c r="S2194">
        <v>48.74</v>
      </c>
      <c r="T2194">
        <v>15926</v>
      </c>
      <c r="U2194">
        <v>47</v>
      </c>
      <c r="V2194">
        <v>48.71</v>
      </c>
      <c r="W2194">
        <v>28.69</v>
      </c>
      <c r="X2194" t="s">
        <v>229</v>
      </c>
      <c r="Y2194" t="s">
        <v>547</v>
      </c>
      <c r="Z2194">
        <v>4.3099999999999996</v>
      </c>
      <c r="AA2194">
        <v>47.79</v>
      </c>
      <c r="AB2194">
        <v>9124</v>
      </c>
      <c r="AC2194">
        <v>6802</v>
      </c>
      <c r="AD2194">
        <v>1.34</v>
      </c>
      <c r="AE2194">
        <v>5</v>
      </c>
      <c r="AF2194">
        <v>39</v>
      </c>
      <c r="AG2194" t="s">
        <v>120</v>
      </c>
      <c r="AH2194">
        <v>0.02</v>
      </c>
      <c r="AI2194" t="s">
        <v>120</v>
      </c>
      <c r="AJ2194">
        <v>0.36</v>
      </c>
      <c r="AK2194" t="s">
        <v>10575</v>
      </c>
      <c r="AL2194">
        <v>-1.6</v>
      </c>
      <c r="AM2194">
        <v>1620</v>
      </c>
      <c r="AN2194">
        <v>10</v>
      </c>
      <c r="AO2194">
        <v>2.8E-3</v>
      </c>
      <c r="AP2194">
        <v>-2</v>
      </c>
      <c r="AQ2194">
        <v>-4.04</v>
      </c>
      <c r="AR2194">
        <v>-7.08</v>
      </c>
      <c r="AS2194">
        <v>-9.67</v>
      </c>
      <c r="AT2194">
        <v>-1.07</v>
      </c>
      <c r="AU2194">
        <v>-6.96</v>
      </c>
      <c r="AV2194">
        <v>2</v>
      </c>
      <c r="AW2194">
        <v>4.47</v>
      </c>
      <c r="AX2194">
        <v>34.92</v>
      </c>
      <c r="AY2194">
        <v>34.69</v>
      </c>
      <c r="AZ2194">
        <v>41.21</v>
      </c>
      <c r="BA2194">
        <v>1.05</v>
      </c>
      <c r="BB2194" t="s">
        <v>240</v>
      </c>
      <c r="BF2194">
        <v>-1.89</v>
      </c>
      <c r="BG2194">
        <v>-3.57</v>
      </c>
      <c r="BH2194">
        <v>-4.0599999999999996</v>
      </c>
      <c r="BI2194">
        <v>0.23</v>
      </c>
      <c r="BJ2194">
        <v>20210901</v>
      </c>
      <c r="BK2194">
        <v>20200713</v>
      </c>
      <c r="BL2194">
        <v>1.02</v>
      </c>
      <c r="BM2194" t="s">
        <v>120</v>
      </c>
      <c r="BN2194" t="s">
        <v>120</v>
      </c>
      <c r="BO2194">
        <v>12.33</v>
      </c>
      <c r="BP2194">
        <v>46.99</v>
      </c>
      <c r="BQ2194">
        <v>9.39</v>
      </c>
      <c r="BR2194" t="s">
        <v>120</v>
      </c>
      <c r="BS2194">
        <v>23.85</v>
      </c>
      <c r="BT2194">
        <v>7.16</v>
      </c>
      <c r="BU2194">
        <v>2.38</v>
      </c>
      <c r="BV2194">
        <v>0.92</v>
      </c>
      <c r="BW2194">
        <v>2.48</v>
      </c>
      <c r="BX2194">
        <v>1.21</v>
      </c>
      <c r="BY2194">
        <v>0.89</v>
      </c>
      <c r="BZ2194">
        <v>1.92</v>
      </c>
      <c r="CA2194" t="s">
        <v>120</v>
      </c>
      <c r="CB2194">
        <v>5.48</v>
      </c>
      <c r="CC2194">
        <v>4.57</v>
      </c>
      <c r="CD2194">
        <v>3.18</v>
      </c>
      <c r="CE2194">
        <v>0.95</v>
      </c>
      <c r="CF2194">
        <v>0.03</v>
      </c>
      <c r="CG2194">
        <v>0.95</v>
      </c>
      <c r="CH2194">
        <v>0.84</v>
      </c>
      <c r="CI2194">
        <v>0.84</v>
      </c>
      <c r="CJ2194">
        <v>-1.71</v>
      </c>
      <c r="CK2194">
        <v>0.79</v>
      </c>
      <c r="CL2194">
        <v>2.62</v>
      </c>
      <c r="CM2194">
        <v>0.94</v>
      </c>
      <c r="CN2194">
        <v>-0.28000000000000003</v>
      </c>
      <c r="CO2194">
        <v>15903</v>
      </c>
      <c r="CP2194">
        <v>2238</v>
      </c>
      <c r="CQ2194" t="s">
        <v>3068</v>
      </c>
      <c r="CR2194">
        <v>37.22</v>
      </c>
      <c r="CS2194">
        <v>38.33</v>
      </c>
      <c r="CT2194">
        <v>5.0999999999999996</v>
      </c>
      <c r="CU2194">
        <v>50.76</v>
      </c>
      <c r="CV2194">
        <v>10.49</v>
      </c>
      <c r="CW2194">
        <v>0.46</v>
      </c>
      <c r="CX2194" t="s">
        <v>10576</v>
      </c>
      <c r="CY2194">
        <v>9.2100000000000009</v>
      </c>
      <c r="CZ2194">
        <v>0</v>
      </c>
      <c r="DA2194">
        <v>5.37</v>
      </c>
      <c r="DB2194">
        <v>2.57</v>
      </c>
      <c r="DC2194">
        <v>0.93</v>
      </c>
      <c r="DD2194">
        <v>76.150000000000006</v>
      </c>
      <c r="DE2194" t="s">
        <v>10577</v>
      </c>
      <c r="DF2194">
        <v>30.27</v>
      </c>
      <c r="DG2194">
        <v>20.84</v>
      </c>
      <c r="DH2194">
        <v>18.29</v>
      </c>
      <c r="DI2194">
        <v>0.2</v>
      </c>
      <c r="DJ2194">
        <v>1037</v>
      </c>
      <c r="DK2194">
        <v>300852</v>
      </c>
      <c r="DL2194" t="s">
        <v>120</v>
      </c>
      <c r="DM2194" t="s">
        <v>120</v>
      </c>
      <c r="DN2194" t="s">
        <v>120</v>
      </c>
    </row>
    <row r="2195" spans="1:118">
      <c r="A2195" t="str">
        <f>"300853"</f>
        <v>300853</v>
      </c>
      <c r="B2195" t="s">
        <v>10578</v>
      </c>
      <c r="C2195">
        <v>-2.2400000000000002</v>
      </c>
      <c r="D2195">
        <v>0</v>
      </c>
      <c r="E2195">
        <v>0</v>
      </c>
      <c r="F2195">
        <v>358</v>
      </c>
      <c r="G2195" t="s">
        <v>10579</v>
      </c>
      <c r="H2195">
        <v>4690.43</v>
      </c>
      <c r="I2195">
        <v>18.72</v>
      </c>
      <c r="J2195" t="s">
        <v>120</v>
      </c>
      <c r="K2195" t="s">
        <v>6188</v>
      </c>
      <c r="L2195">
        <v>1.37</v>
      </c>
      <c r="M2195">
        <v>36.6</v>
      </c>
      <c r="N2195">
        <v>0.43</v>
      </c>
      <c r="O2195">
        <v>0.48</v>
      </c>
      <c r="P2195">
        <v>37.619999999999997</v>
      </c>
      <c r="Q2195">
        <v>-2.27</v>
      </c>
      <c r="R2195">
        <v>36.590000000000003</v>
      </c>
      <c r="S2195">
        <v>37.44</v>
      </c>
      <c r="T2195">
        <v>12686</v>
      </c>
      <c r="U2195">
        <v>36.65</v>
      </c>
      <c r="V2195">
        <v>37.44</v>
      </c>
      <c r="W2195">
        <v>64.06</v>
      </c>
      <c r="X2195" t="s">
        <v>2717</v>
      </c>
      <c r="Y2195" t="s">
        <v>585</v>
      </c>
      <c r="Z2195">
        <v>2.75</v>
      </c>
      <c r="AA2195">
        <v>36.97</v>
      </c>
      <c r="AB2195">
        <v>7928</v>
      </c>
      <c r="AC2195">
        <v>4758</v>
      </c>
      <c r="AD2195">
        <v>1.67</v>
      </c>
      <c r="AE2195">
        <v>64</v>
      </c>
      <c r="AF2195">
        <v>8</v>
      </c>
      <c r="AG2195" t="s">
        <v>120</v>
      </c>
      <c r="AH2195">
        <v>0.01</v>
      </c>
      <c r="AI2195" t="s">
        <v>120</v>
      </c>
      <c r="AJ2195">
        <v>0.93</v>
      </c>
      <c r="AK2195" t="s">
        <v>10580</v>
      </c>
      <c r="AL2195">
        <v>-0.33</v>
      </c>
      <c r="AM2195">
        <v>1315</v>
      </c>
      <c r="AN2195">
        <v>10</v>
      </c>
      <c r="AO2195">
        <v>1E-3</v>
      </c>
      <c r="AP2195">
        <v>-1</v>
      </c>
      <c r="AQ2195">
        <v>0.38</v>
      </c>
      <c r="AR2195">
        <v>-5.33</v>
      </c>
      <c r="AS2195">
        <v>-6.56</v>
      </c>
      <c r="AT2195">
        <v>-4.59</v>
      </c>
      <c r="AU2195">
        <v>1.93</v>
      </c>
      <c r="AV2195">
        <v>1</v>
      </c>
      <c r="AW2195">
        <v>1.76</v>
      </c>
      <c r="AX2195">
        <v>49.03</v>
      </c>
      <c r="AY2195">
        <v>34.590000000000003</v>
      </c>
      <c r="AZ2195">
        <v>33.93</v>
      </c>
      <c r="BA2195">
        <v>1.29</v>
      </c>
      <c r="BB2195" t="s">
        <v>143</v>
      </c>
      <c r="BF2195">
        <v>-1.25</v>
      </c>
      <c r="BG2195">
        <v>-2.2400000000000002</v>
      </c>
      <c r="BH2195">
        <v>-2.71</v>
      </c>
      <c r="BI2195">
        <v>0.03</v>
      </c>
      <c r="BJ2195">
        <v>20210827</v>
      </c>
      <c r="BK2195">
        <v>20200724</v>
      </c>
      <c r="BL2195">
        <v>1.47</v>
      </c>
      <c r="BM2195" t="s">
        <v>120</v>
      </c>
      <c r="BN2195" t="s">
        <v>120</v>
      </c>
      <c r="BO2195">
        <v>14.9</v>
      </c>
      <c r="BP2195">
        <v>36.6</v>
      </c>
      <c r="BQ2195">
        <v>11.67</v>
      </c>
      <c r="BR2195" t="s">
        <v>120</v>
      </c>
      <c r="BS2195">
        <v>21.73</v>
      </c>
      <c r="BT2195">
        <v>10.67</v>
      </c>
      <c r="BU2195">
        <v>2.4300000000000002</v>
      </c>
      <c r="BV2195">
        <v>0.23</v>
      </c>
      <c r="BW2195">
        <v>3.03</v>
      </c>
      <c r="BX2195">
        <v>2.35</v>
      </c>
      <c r="BY2195">
        <v>0.71</v>
      </c>
      <c r="BZ2195">
        <v>4.63</v>
      </c>
      <c r="CA2195" t="s">
        <v>120</v>
      </c>
      <c r="CB2195">
        <v>5.52</v>
      </c>
      <c r="CC2195">
        <v>2.5099999999999998</v>
      </c>
      <c r="CD2195">
        <v>1.1100000000000001</v>
      </c>
      <c r="CE2195">
        <v>0.48</v>
      </c>
      <c r="CF2195">
        <v>0.03</v>
      </c>
      <c r="CG2195">
        <v>0.48</v>
      </c>
      <c r="CH2195">
        <v>0.42</v>
      </c>
      <c r="CI2195">
        <v>0.42</v>
      </c>
      <c r="CJ2195">
        <v>-0.84</v>
      </c>
      <c r="CK2195">
        <v>0.39</v>
      </c>
      <c r="CL2195">
        <v>4.16</v>
      </c>
      <c r="CM2195">
        <v>-0.78</v>
      </c>
      <c r="CN2195">
        <v>-3.59</v>
      </c>
      <c r="CO2195">
        <v>11984</v>
      </c>
      <c r="CP2195">
        <v>6011</v>
      </c>
      <c r="CQ2195" t="s">
        <v>10581</v>
      </c>
      <c r="CR2195">
        <v>-6.82</v>
      </c>
      <c r="CS2195">
        <v>22.86</v>
      </c>
      <c r="CT2195">
        <v>4.6100000000000003</v>
      </c>
      <c r="CU2195">
        <v>-68.92</v>
      </c>
      <c r="CV2195">
        <v>21.39</v>
      </c>
      <c r="CW2195">
        <v>0.53</v>
      </c>
      <c r="CX2195" t="s">
        <v>293</v>
      </c>
      <c r="CY2195">
        <v>7.94</v>
      </c>
      <c r="CZ2195">
        <v>0</v>
      </c>
      <c r="DA2195">
        <v>3.76</v>
      </c>
      <c r="DB2195">
        <v>2.83</v>
      </c>
      <c r="DC2195">
        <v>-0.53</v>
      </c>
      <c r="DD2195">
        <v>78.27</v>
      </c>
      <c r="DE2195" t="s">
        <v>1060</v>
      </c>
      <c r="DF2195">
        <v>56</v>
      </c>
      <c r="DG2195">
        <v>19.079999999999998</v>
      </c>
      <c r="DH2195">
        <v>16.7</v>
      </c>
      <c r="DI2195">
        <v>0.39</v>
      </c>
      <c r="DJ2195">
        <v>527</v>
      </c>
      <c r="DK2195">
        <v>300853</v>
      </c>
      <c r="DL2195" t="s">
        <v>120</v>
      </c>
      <c r="DM2195" t="s">
        <v>120</v>
      </c>
      <c r="DN2195" t="s">
        <v>120</v>
      </c>
    </row>
    <row r="2196" spans="1:118">
      <c r="A2196" t="str">
        <f>"300854"</f>
        <v>300854</v>
      </c>
      <c r="B2196" t="s">
        <v>10582</v>
      </c>
      <c r="C2196">
        <v>262.3</v>
      </c>
      <c r="D2196">
        <v>0.03</v>
      </c>
      <c r="E2196">
        <v>232.43</v>
      </c>
      <c r="F2196">
        <v>1213</v>
      </c>
      <c r="G2196" t="s">
        <v>10583</v>
      </c>
      <c r="H2196">
        <v>58366.97</v>
      </c>
      <c r="I2196">
        <v>2051.88</v>
      </c>
      <c r="J2196" t="s">
        <v>120</v>
      </c>
      <c r="K2196" t="s">
        <v>10583</v>
      </c>
      <c r="L2196">
        <v>67.739999999999995</v>
      </c>
      <c r="M2196">
        <v>36.090000000000003</v>
      </c>
      <c r="N2196">
        <v>0</v>
      </c>
      <c r="O2196">
        <v>302.70999999999998</v>
      </c>
      <c r="P2196">
        <v>40.11</v>
      </c>
      <c r="Q2196">
        <v>232.43</v>
      </c>
      <c r="R2196">
        <v>33.11</v>
      </c>
      <c r="S2196">
        <v>33.11</v>
      </c>
      <c r="T2196">
        <v>159319</v>
      </c>
      <c r="U2196">
        <v>36.090000000000003</v>
      </c>
      <c r="V2196">
        <v>9.9600000000000009</v>
      </c>
      <c r="W2196">
        <v>55.53</v>
      </c>
      <c r="X2196" t="s">
        <v>318</v>
      </c>
      <c r="Y2196" t="s">
        <v>123</v>
      </c>
      <c r="Z2196">
        <v>70.28</v>
      </c>
      <c r="AA2196">
        <v>36.64</v>
      </c>
      <c r="AB2196">
        <v>81770</v>
      </c>
      <c r="AC2196">
        <v>77549</v>
      </c>
      <c r="AD2196">
        <v>1.05</v>
      </c>
      <c r="AE2196">
        <v>402</v>
      </c>
      <c r="AF2196">
        <v>64</v>
      </c>
      <c r="AG2196" t="s">
        <v>120</v>
      </c>
      <c r="AH2196">
        <v>2.63</v>
      </c>
      <c r="AI2196" t="s">
        <v>120</v>
      </c>
      <c r="AJ2196">
        <v>0.24</v>
      </c>
      <c r="AK2196" t="s">
        <v>7092</v>
      </c>
      <c r="AL2196">
        <v>264.26</v>
      </c>
      <c r="AM2196">
        <v>4313</v>
      </c>
      <c r="AN2196">
        <v>37</v>
      </c>
      <c r="AO2196">
        <v>1.5699999999999999E-2</v>
      </c>
      <c r="AP2196" t="s">
        <v>120</v>
      </c>
      <c r="AQ2196" t="s">
        <v>120</v>
      </c>
      <c r="AR2196" t="s">
        <v>120</v>
      </c>
      <c r="AS2196" t="s">
        <v>120</v>
      </c>
      <c r="AT2196" t="s">
        <v>120</v>
      </c>
      <c r="AU2196" t="s">
        <v>120</v>
      </c>
      <c r="AV2196">
        <v>0</v>
      </c>
      <c r="AW2196">
        <v>67.739999999999995</v>
      </c>
      <c r="AX2196">
        <v>23.73</v>
      </c>
      <c r="AY2196" t="s">
        <v>120</v>
      </c>
      <c r="AZ2196" t="s">
        <v>120</v>
      </c>
      <c r="BA2196" t="s">
        <v>120</v>
      </c>
      <c r="BB2196" t="s">
        <v>143</v>
      </c>
      <c r="BF2196">
        <v>267.82</v>
      </c>
      <c r="BG2196">
        <v>9</v>
      </c>
      <c r="BH2196">
        <v>-10.02</v>
      </c>
      <c r="BI2196">
        <v>9</v>
      </c>
      <c r="BJ2196">
        <v>20210915</v>
      </c>
      <c r="BK2196">
        <v>20210916</v>
      </c>
      <c r="BL2196">
        <v>0.99</v>
      </c>
      <c r="BM2196" t="s">
        <v>120</v>
      </c>
      <c r="BN2196" t="s">
        <v>120</v>
      </c>
      <c r="BO2196">
        <v>11.3</v>
      </c>
      <c r="BP2196">
        <v>36.08</v>
      </c>
      <c r="BQ2196">
        <v>6.81</v>
      </c>
      <c r="BR2196">
        <v>0.24</v>
      </c>
      <c r="BS2196">
        <v>37.630000000000003</v>
      </c>
      <c r="BT2196">
        <v>9.08</v>
      </c>
      <c r="BU2196">
        <v>1.17</v>
      </c>
      <c r="BV2196">
        <v>0.51</v>
      </c>
      <c r="BW2196">
        <v>4.16</v>
      </c>
      <c r="BX2196">
        <v>0.5</v>
      </c>
      <c r="BY2196">
        <v>0.36</v>
      </c>
      <c r="BZ2196">
        <v>2.81</v>
      </c>
      <c r="CA2196" t="s">
        <v>120</v>
      </c>
      <c r="CB2196">
        <v>2.93</v>
      </c>
      <c r="CC2196">
        <v>2.63</v>
      </c>
      <c r="CD2196">
        <v>1.96</v>
      </c>
      <c r="CE2196">
        <v>0.37</v>
      </c>
      <c r="CF2196">
        <v>0.04</v>
      </c>
      <c r="CG2196">
        <v>0.37</v>
      </c>
      <c r="CH2196">
        <v>0.34</v>
      </c>
      <c r="CI2196">
        <v>0.32</v>
      </c>
      <c r="CJ2196">
        <v>26.13</v>
      </c>
      <c r="CK2196">
        <v>0.25</v>
      </c>
      <c r="CL2196">
        <v>2.88</v>
      </c>
      <c r="CM2196">
        <v>-0.39</v>
      </c>
      <c r="CN2196">
        <v>0.23</v>
      </c>
      <c r="CO2196">
        <v>32244</v>
      </c>
      <c r="CP2196">
        <v>729</v>
      </c>
      <c r="CQ2196" t="s">
        <v>10584</v>
      </c>
      <c r="CR2196">
        <v>0</v>
      </c>
      <c r="CS2196">
        <v>0</v>
      </c>
      <c r="CT2196">
        <v>4.07</v>
      </c>
      <c r="CU2196">
        <v>-91.43</v>
      </c>
      <c r="CV2196">
        <v>13.59</v>
      </c>
      <c r="CW2196">
        <v>0</v>
      </c>
      <c r="CX2196" t="s">
        <v>10585</v>
      </c>
      <c r="CY2196">
        <v>8.8699999999999992</v>
      </c>
      <c r="CZ2196">
        <v>8.8699999999999992</v>
      </c>
      <c r="DA2196">
        <v>2.96</v>
      </c>
      <c r="DB2196">
        <v>2.9</v>
      </c>
      <c r="DC2196">
        <v>-0.39</v>
      </c>
      <c r="DD2196">
        <v>60.29</v>
      </c>
      <c r="DE2196" t="s">
        <v>3512</v>
      </c>
      <c r="DF2196">
        <v>25.39</v>
      </c>
      <c r="DG2196">
        <v>14.02</v>
      </c>
      <c r="DH2196">
        <v>12.24</v>
      </c>
      <c r="DI2196">
        <v>0.09</v>
      </c>
      <c r="DJ2196">
        <v>351</v>
      </c>
      <c r="DK2196">
        <v>300854</v>
      </c>
      <c r="DL2196" t="s">
        <v>120</v>
      </c>
      <c r="DM2196" t="s">
        <v>120</v>
      </c>
      <c r="DN2196" t="s">
        <v>120</v>
      </c>
    </row>
    <row r="2197" spans="1:118">
      <c r="A2197" t="str">
        <f>"300855"</f>
        <v>300855</v>
      </c>
      <c r="B2197" t="s">
        <v>10586</v>
      </c>
      <c r="C2197">
        <v>-5.66</v>
      </c>
      <c r="D2197">
        <v>0.15</v>
      </c>
      <c r="E2197">
        <v>-2.0699999999999998</v>
      </c>
      <c r="F2197">
        <v>264</v>
      </c>
      <c r="G2197" t="s">
        <v>10587</v>
      </c>
      <c r="H2197">
        <v>18753.419999999998</v>
      </c>
      <c r="I2197">
        <v>101</v>
      </c>
      <c r="J2197" t="s">
        <v>120</v>
      </c>
      <c r="K2197" t="s">
        <v>10588</v>
      </c>
      <c r="L2197">
        <v>3.15</v>
      </c>
      <c r="M2197">
        <v>52.03</v>
      </c>
      <c r="N2197">
        <v>0.95</v>
      </c>
      <c r="O2197">
        <v>0.96</v>
      </c>
      <c r="P2197">
        <v>55.68</v>
      </c>
      <c r="Q2197">
        <v>-5.91</v>
      </c>
      <c r="R2197">
        <v>51.89</v>
      </c>
      <c r="S2197">
        <v>54.01</v>
      </c>
      <c r="T2197">
        <v>34853</v>
      </c>
      <c r="U2197">
        <v>52.03</v>
      </c>
      <c r="V2197">
        <v>55.15</v>
      </c>
      <c r="W2197">
        <v>58.26</v>
      </c>
      <c r="X2197" t="s">
        <v>1925</v>
      </c>
      <c r="Y2197" t="s">
        <v>319</v>
      </c>
      <c r="Z2197">
        <v>6.87</v>
      </c>
      <c r="AA2197">
        <v>53.81</v>
      </c>
      <c r="AB2197">
        <v>20661</v>
      </c>
      <c r="AC2197">
        <v>14192</v>
      </c>
      <c r="AD2197">
        <v>1.46</v>
      </c>
      <c r="AE2197">
        <v>20</v>
      </c>
      <c r="AF2197">
        <v>186</v>
      </c>
      <c r="AG2197" t="s">
        <v>120</v>
      </c>
      <c r="AH2197">
        <v>0.02</v>
      </c>
      <c r="AI2197" t="s">
        <v>120</v>
      </c>
      <c r="AJ2197">
        <v>1.1000000000000001</v>
      </c>
      <c r="AK2197" t="s">
        <v>10589</v>
      </c>
      <c r="AL2197">
        <v>-3.74</v>
      </c>
      <c r="AM2197">
        <v>2842</v>
      </c>
      <c r="AN2197">
        <v>12</v>
      </c>
      <c r="AO2197">
        <v>1.1000000000000001E-3</v>
      </c>
      <c r="AP2197">
        <v>-1</v>
      </c>
      <c r="AQ2197">
        <v>5.05</v>
      </c>
      <c r="AR2197">
        <v>-3.47</v>
      </c>
      <c r="AS2197">
        <v>-22.33</v>
      </c>
      <c r="AT2197">
        <v>29.43</v>
      </c>
      <c r="AU2197">
        <v>9.1</v>
      </c>
      <c r="AV2197">
        <v>0</v>
      </c>
      <c r="AW2197">
        <v>4.05</v>
      </c>
      <c r="AX2197">
        <v>43.04</v>
      </c>
      <c r="AY2197">
        <v>69.53</v>
      </c>
      <c r="AZ2197">
        <v>101.12</v>
      </c>
      <c r="BA2197">
        <v>0</v>
      </c>
      <c r="BB2197" t="s">
        <v>168</v>
      </c>
      <c r="BF2197">
        <v>-2.4300000000000002</v>
      </c>
      <c r="BG2197">
        <v>-3.67</v>
      </c>
      <c r="BH2197">
        <v>-6.56</v>
      </c>
      <c r="BI2197">
        <v>0.27</v>
      </c>
      <c r="BJ2197">
        <v>20210913</v>
      </c>
      <c r="BK2197">
        <v>20200723</v>
      </c>
      <c r="BL2197">
        <v>2</v>
      </c>
      <c r="BM2197" t="s">
        <v>120</v>
      </c>
      <c r="BN2197" t="s">
        <v>120</v>
      </c>
      <c r="BO2197">
        <v>11.73</v>
      </c>
      <c r="BP2197">
        <v>52.02</v>
      </c>
      <c r="BQ2197">
        <v>11.2</v>
      </c>
      <c r="BR2197" t="s">
        <v>120</v>
      </c>
      <c r="BS2197">
        <v>4.51</v>
      </c>
      <c r="BT2197">
        <v>8.49</v>
      </c>
      <c r="BU2197">
        <v>1.9</v>
      </c>
      <c r="BV2197">
        <v>0.55000000000000004</v>
      </c>
      <c r="BW2197">
        <v>0.49</v>
      </c>
      <c r="BX2197">
        <v>2.2799999999999998</v>
      </c>
      <c r="BY2197">
        <v>2.4</v>
      </c>
      <c r="BZ2197">
        <v>0.5</v>
      </c>
      <c r="CA2197" t="s">
        <v>120</v>
      </c>
      <c r="CB2197">
        <v>5.8</v>
      </c>
      <c r="CC2197">
        <v>3.47</v>
      </c>
      <c r="CD2197">
        <v>2.1</v>
      </c>
      <c r="CE2197">
        <v>1.03</v>
      </c>
      <c r="CF2197">
        <v>0</v>
      </c>
      <c r="CG2197">
        <v>1.03</v>
      </c>
      <c r="CH2197">
        <v>0.89</v>
      </c>
      <c r="CI2197">
        <v>0.89</v>
      </c>
      <c r="CJ2197">
        <v>-3.12</v>
      </c>
      <c r="CK2197">
        <v>0.78</v>
      </c>
      <c r="CL2197">
        <v>3.05</v>
      </c>
      <c r="CM2197">
        <v>0.87</v>
      </c>
      <c r="CN2197">
        <v>-0.32</v>
      </c>
      <c r="CO2197">
        <v>14800</v>
      </c>
      <c r="CP2197">
        <v>5816</v>
      </c>
      <c r="CQ2197" t="s">
        <v>10590</v>
      </c>
      <c r="CR2197">
        <v>124.63</v>
      </c>
      <c r="CS2197">
        <v>35.67</v>
      </c>
      <c r="CT2197">
        <v>9.2899999999999991</v>
      </c>
      <c r="CU2197">
        <v>120.2</v>
      </c>
      <c r="CV2197">
        <v>29.95</v>
      </c>
      <c r="CW2197">
        <v>0.36</v>
      </c>
      <c r="CX2197" t="s">
        <v>1520</v>
      </c>
      <c r="CY2197">
        <v>5.6</v>
      </c>
      <c r="CZ2197">
        <v>0</v>
      </c>
      <c r="DA2197">
        <v>2.9</v>
      </c>
      <c r="DB2197">
        <v>1.52</v>
      </c>
      <c r="DC2197">
        <v>0.43</v>
      </c>
      <c r="DD2197">
        <v>95.49</v>
      </c>
      <c r="DE2197" t="s">
        <v>9267</v>
      </c>
      <c r="DF2197">
        <v>39.57</v>
      </c>
      <c r="DG2197">
        <v>29.58</v>
      </c>
      <c r="DH2197">
        <v>25.7</v>
      </c>
      <c r="DI2197">
        <v>0.18</v>
      </c>
      <c r="DJ2197">
        <v>499</v>
      </c>
      <c r="DK2197">
        <v>300855</v>
      </c>
      <c r="DL2197">
        <v>20210726</v>
      </c>
      <c r="DM2197">
        <v>51</v>
      </c>
      <c r="DN2197">
        <v>2.02</v>
      </c>
    </row>
    <row r="2198" spans="1:118">
      <c r="A2198" t="str">
        <f>"300856"</f>
        <v>300856</v>
      </c>
      <c r="B2198" t="s">
        <v>10591</v>
      </c>
      <c r="C2198">
        <v>2.64</v>
      </c>
      <c r="D2198">
        <v>0</v>
      </c>
      <c r="E2198">
        <v>0</v>
      </c>
      <c r="F2198">
        <v>210</v>
      </c>
      <c r="G2198" t="s">
        <v>2278</v>
      </c>
      <c r="H2198">
        <v>6988.46</v>
      </c>
      <c r="I2198">
        <v>7.7</v>
      </c>
      <c r="J2198" t="s">
        <v>120</v>
      </c>
      <c r="K2198" t="s">
        <v>10592</v>
      </c>
      <c r="L2198">
        <v>4.1100000000000003</v>
      </c>
      <c r="M2198">
        <v>43.91</v>
      </c>
      <c r="N2198">
        <v>1.95</v>
      </c>
      <c r="O2198">
        <v>4.21</v>
      </c>
      <c r="P2198">
        <v>44.58</v>
      </c>
      <c r="Q2198">
        <v>-1.24</v>
      </c>
      <c r="R2198">
        <v>42.25</v>
      </c>
      <c r="S2198">
        <v>42.78</v>
      </c>
      <c r="T2198">
        <v>15941</v>
      </c>
      <c r="U2198">
        <v>43.92</v>
      </c>
      <c r="V2198">
        <v>42.78</v>
      </c>
      <c r="W2198">
        <v>28.65</v>
      </c>
      <c r="X2198" t="s">
        <v>868</v>
      </c>
      <c r="Y2198" t="s">
        <v>319</v>
      </c>
      <c r="Z2198">
        <v>5.45</v>
      </c>
      <c r="AA2198">
        <v>43.84</v>
      </c>
      <c r="AB2198">
        <v>7388</v>
      </c>
      <c r="AC2198">
        <v>8553</v>
      </c>
      <c r="AD2198">
        <v>0.86</v>
      </c>
      <c r="AE2198">
        <v>49</v>
      </c>
      <c r="AF2198">
        <v>28</v>
      </c>
      <c r="AG2198" t="s">
        <v>120</v>
      </c>
      <c r="AH2198">
        <v>0.01</v>
      </c>
      <c r="AI2198" t="s">
        <v>120</v>
      </c>
      <c r="AJ2198">
        <v>0.39</v>
      </c>
      <c r="AK2198" t="s">
        <v>10593</v>
      </c>
      <c r="AL2198">
        <v>4.5599999999999996</v>
      </c>
      <c r="AM2198">
        <v>1508</v>
      </c>
      <c r="AN2198">
        <v>11</v>
      </c>
      <c r="AO2198">
        <v>2.7000000000000001E-3</v>
      </c>
      <c r="AP2198">
        <v>2</v>
      </c>
      <c r="AQ2198">
        <v>2.17</v>
      </c>
      <c r="AR2198">
        <v>4.2</v>
      </c>
      <c r="AS2198">
        <v>8.98</v>
      </c>
      <c r="AT2198">
        <v>-11.96</v>
      </c>
      <c r="AU2198">
        <v>-19.309999999999999</v>
      </c>
      <c r="AV2198">
        <v>0</v>
      </c>
      <c r="AW2198">
        <v>5.12</v>
      </c>
      <c r="AX2198">
        <v>27.58</v>
      </c>
      <c r="AY2198">
        <v>30.88</v>
      </c>
      <c r="AZ2198">
        <v>29.54</v>
      </c>
      <c r="BA2198">
        <v>0.77</v>
      </c>
      <c r="BB2198" t="s">
        <v>168</v>
      </c>
      <c r="BF2198">
        <v>2.4700000000000002</v>
      </c>
      <c r="BG2198">
        <v>2.64</v>
      </c>
      <c r="BH2198">
        <v>-1.5</v>
      </c>
      <c r="BI2198">
        <v>3.93</v>
      </c>
      <c r="BJ2198">
        <v>20210913</v>
      </c>
      <c r="BK2198">
        <v>20200722</v>
      </c>
      <c r="BL2198">
        <v>1.1299999999999999</v>
      </c>
      <c r="BM2198" t="s">
        <v>120</v>
      </c>
      <c r="BN2198" t="s">
        <v>120</v>
      </c>
      <c r="BO2198">
        <v>17.399999999999999</v>
      </c>
      <c r="BP2198">
        <v>43.91</v>
      </c>
      <c r="BQ2198">
        <v>15.45</v>
      </c>
      <c r="BR2198" t="s">
        <v>120</v>
      </c>
      <c r="BS2198">
        <v>11.23</v>
      </c>
      <c r="BT2198">
        <v>10.3</v>
      </c>
      <c r="BU2198">
        <v>5.66</v>
      </c>
      <c r="BV2198">
        <v>0.46</v>
      </c>
      <c r="BW2198">
        <v>1.79</v>
      </c>
      <c r="BX2198">
        <v>0.72</v>
      </c>
      <c r="BY2198">
        <v>2.91</v>
      </c>
      <c r="BZ2198">
        <v>1.1299999999999999</v>
      </c>
      <c r="CA2198" t="s">
        <v>120</v>
      </c>
      <c r="CB2198">
        <v>8.8000000000000007</v>
      </c>
      <c r="CC2198">
        <v>5.09</v>
      </c>
      <c r="CD2198">
        <v>3.43</v>
      </c>
      <c r="CE2198">
        <v>1</v>
      </c>
      <c r="CF2198">
        <v>0.08</v>
      </c>
      <c r="CG2198">
        <v>1</v>
      </c>
      <c r="CH2198">
        <v>0.86</v>
      </c>
      <c r="CI2198">
        <v>0.86</v>
      </c>
      <c r="CJ2198">
        <v>1.1299999999999999</v>
      </c>
      <c r="CK2198">
        <v>0.77</v>
      </c>
      <c r="CL2198">
        <v>5.3</v>
      </c>
      <c r="CM2198">
        <v>1.05</v>
      </c>
      <c r="CN2198">
        <v>-0.48</v>
      </c>
      <c r="CO2198">
        <v>15000</v>
      </c>
      <c r="CP2198">
        <v>2076</v>
      </c>
      <c r="CQ2198" t="s">
        <v>10594</v>
      </c>
      <c r="CR2198">
        <v>-7.56</v>
      </c>
      <c r="CS2198">
        <v>-10.51</v>
      </c>
      <c r="CT2198">
        <v>3.21</v>
      </c>
      <c r="CU2198">
        <v>47.33</v>
      </c>
      <c r="CV2198">
        <v>9.74</v>
      </c>
      <c r="CW2198">
        <v>0.35</v>
      </c>
      <c r="CX2198" t="s">
        <v>10595</v>
      </c>
      <c r="CY2198">
        <v>13.68</v>
      </c>
      <c r="CZ2198">
        <v>0</v>
      </c>
      <c r="DA2198">
        <v>7.79</v>
      </c>
      <c r="DB2198">
        <v>4.6900000000000004</v>
      </c>
      <c r="DC2198">
        <v>0.93</v>
      </c>
      <c r="DD2198">
        <v>88.77</v>
      </c>
      <c r="DE2198" t="s">
        <v>2955</v>
      </c>
      <c r="DF2198">
        <v>32.61</v>
      </c>
      <c r="DG2198">
        <v>19.75</v>
      </c>
      <c r="DH2198">
        <v>17.010000000000002</v>
      </c>
      <c r="DI2198">
        <v>0.23</v>
      </c>
      <c r="DJ2198">
        <v>975</v>
      </c>
      <c r="DK2198">
        <v>300856</v>
      </c>
      <c r="DL2198" t="s">
        <v>120</v>
      </c>
      <c r="DM2198" t="s">
        <v>120</v>
      </c>
      <c r="DN2198" t="s">
        <v>120</v>
      </c>
    </row>
    <row r="2199" spans="1:118">
      <c r="A2199" t="str">
        <f>"300857"</f>
        <v>300857</v>
      </c>
      <c r="B2199" t="s">
        <v>10596</v>
      </c>
      <c r="C2199">
        <v>0.62</v>
      </c>
      <c r="D2199">
        <v>-0.11</v>
      </c>
      <c r="E2199">
        <v>0.12</v>
      </c>
      <c r="F2199">
        <v>78</v>
      </c>
      <c r="G2199" t="s">
        <v>10597</v>
      </c>
      <c r="H2199">
        <v>2184.33</v>
      </c>
      <c r="I2199">
        <v>3.17</v>
      </c>
      <c r="J2199" t="s">
        <v>120</v>
      </c>
      <c r="K2199" t="s">
        <v>10598</v>
      </c>
      <c r="L2199">
        <v>0.63</v>
      </c>
      <c r="M2199">
        <v>24.47</v>
      </c>
      <c r="N2199">
        <v>0.59</v>
      </c>
      <c r="O2199">
        <v>1.77</v>
      </c>
      <c r="P2199">
        <v>24.75</v>
      </c>
      <c r="Q2199">
        <v>-0.9</v>
      </c>
      <c r="R2199">
        <v>24.1</v>
      </c>
      <c r="S2199">
        <v>24.35</v>
      </c>
      <c r="T2199">
        <v>8975</v>
      </c>
      <c r="U2199">
        <v>24.48</v>
      </c>
      <c r="V2199">
        <v>24.32</v>
      </c>
      <c r="W2199">
        <v>36.5</v>
      </c>
      <c r="X2199" t="s">
        <v>238</v>
      </c>
      <c r="Y2199" t="s">
        <v>123</v>
      </c>
      <c r="Z2199">
        <v>2.67</v>
      </c>
      <c r="AA2199">
        <v>24.34</v>
      </c>
      <c r="AB2199">
        <v>5210</v>
      </c>
      <c r="AC2199">
        <v>3765</v>
      </c>
      <c r="AD2199">
        <v>1.38</v>
      </c>
      <c r="AE2199">
        <v>30</v>
      </c>
      <c r="AF2199">
        <v>17</v>
      </c>
      <c r="AG2199" t="s">
        <v>120</v>
      </c>
      <c r="AH2199">
        <v>0</v>
      </c>
      <c r="AI2199" t="s">
        <v>120</v>
      </c>
      <c r="AJ2199">
        <v>1.42</v>
      </c>
      <c r="AK2199" t="s">
        <v>10599</v>
      </c>
      <c r="AL2199">
        <v>2.5299999999999998</v>
      </c>
      <c r="AM2199">
        <v>851</v>
      </c>
      <c r="AN2199">
        <v>11</v>
      </c>
      <c r="AO2199">
        <v>6.9999999999999999E-4</v>
      </c>
      <c r="AP2199">
        <v>1</v>
      </c>
      <c r="AQ2199">
        <v>-3.72</v>
      </c>
      <c r="AR2199">
        <v>-2.12</v>
      </c>
      <c r="AS2199">
        <v>-11.41</v>
      </c>
      <c r="AT2199">
        <v>-7.24</v>
      </c>
      <c r="AU2199">
        <v>-16.989999999999998</v>
      </c>
      <c r="AV2199">
        <v>0</v>
      </c>
      <c r="AW2199">
        <v>1.55</v>
      </c>
      <c r="AX2199">
        <v>28.05</v>
      </c>
      <c r="AY2199">
        <v>47.23</v>
      </c>
      <c r="AZ2199">
        <v>50.12</v>
      </c>
      <c r="BA2199">
        <v>0.68</v>
      </c>
      <c r="BB2199" t="s">
        <v>125</v>
      </c>
      <c r="BF2199">
        <v>7.0000000000000007E-2</v>
      </c>
      <c r="BG2199">
        <v>0.49</v>
      </c>
      <c r="BH2199">
        <v>-1.1299999999999999</v>
      </c>
      <c r="BI2199">
        <v>1.54</v>
      </c>
      <c r="BJ2199">
        <v>20210824</v>
      </c>
      <c r="BK2199">
        <v>20200727</v>
      </c>
      <c r="BL2199">
        <v>2.0699999999999998</v>
      </c>
      <c r="BM2199" t="s">
        <v>120</v>
      </c>
      <c r="BN2199" t="s">
        <v>120</v>
      </c>
      <c r="BO2199">
        <v>22.91</v>
      </c>
      <c r="BP2199">
        <v>24.47</v>
      </c>
      <c r="BQ2199">
        <v>12.35</v>
      </c>
      <c r="BR2199">
        <v>0.03</v>
      </c>
      <c r="BS2199">
        <v>45.93</v>
      </c>
      <c r="BT2199">
        <v>18.59</v>
      </c>
      <c r="BU2199">
        <v>3.02</v>
      </c>
      <c r="BV2199">
        <v>0.18</v>
      </c>
      <c r="BW2199">
        <v>9.7899999999999991</v>
      </c>
      <c r="BX2199">
        <v>4.2</v>
      </c>
      <c r="BY2199">
        <v>5.15</v>
      </c>
      <c r="BZ2199">
        <v>6.48</v>
      </c>
      <c r="CA2199" t="s">
        <v>120</v>
      </c>
      <c r="CB2199">
        <v>6.38</v>
      </c>
      <c r="CC2199">
        <v>14.92</v>
      </c>
      <c r="CD2199">
        <v>13.21</v>
      </c>
      <c r="CE2199">
        <v>0.76</v>
      </c>
      <c r="CF2199">
        <v>0.01</v>
      </c>
      <c r="CG2199">
        <v>0.76</v>
      </c>
      <c r="CH2199">
        <v>0.68</v>
      </c>
      <c r="CI2199">
        <v>0.69</v>
      </c>
      <c r="CJ2199">
        <v>0.15</v>
      </c>
      <c r="CK2199">
        <v>0.61</v>
      </c>
      <c r="CL2199">
        <v>3.86</v>
      </c>
      <c r="CM2199">
        <v>0.61</v>
      </c>
      <c r="CN2199">
        <v>-1.28</v>
      </c>
      <c r="CO2199">
        <v>22016</v>
      </c>
      <c r="CP2199">
        <v>2632</v>
      </c>
      <c r="CQ2199" t="s">
        <v>3967</v>
      </c>
      <c r="CR2199">
        <v>9.6999999999999993</v>
      </c>
      <c r="CS2199">
        <v>48.56</v>
      </c>
      <c r="CT2199">
        <v>4.09</v>
      </c>
      <c r="CU2199">
        <v>82.59</v>
      </c>
      <c r="CV2199">
        <v>3.39</v>
      </c>
      <c r="CW2199">
        <v>0.21</v>
      </c>
      <c r="CX2199" t="s">
        <v>1574</v>
      </c>
      <c r="CY2199">
        <v>5.98</v>
      </c>
      <c r="CZ2199">
        <v>0</v>
      </c>
      <c r="DA2199">
        <v>3.09</v>
      </c>
      <c r="DB2199">
        <v>1.87</v>
      </c>
      <c r="DC2199">
        <v>0.3</v>
      </c>
      <c r="DD2199">
        <v>53.91</v>
      </c>
      <c r="DE2199" t="s">
        <v>2955</v>
      </c>
      <c r="DF2199">
        <v>11.47</v>
      </c>
      <c r="DG2199">
        <v>5.0599999999999996</v>
      </c>
      <c r="DH2199">
        <v>4.6399999999999997</v>
      </c>
      <c r="DI2199">
        <v>0.39</v>
      </c>
      <c r="DJ2199">
        <v>2251</v>
      </c>
      <c r="DK2199">
        <v>300857</v>
      </c>
      <c r="DL2199" t="s">
        <v>120</v>
      </c>
      <c r="DM2199" t="s">
        <v>120</v>
      </c>
      <c r="DN2199" t="s">
        <v>120</v>
      </c>
    </row>
    <row r="2200" spans="1:118">
      <c r="A2200" t="str">
        <f>"300858"</f>
        <v>300858</v>
      </c>
      <c r="B2200" t="s">
        <v>10600</v>
      </c>
      <c r="C2200">
        <v>-4.09</v>
      </c>
      <c r="D2200">
        <v>0.11</v>
      </c>
      <c r="E2200">
        <v>0</v>
      </c>
      <c r="F2200">
        <v>182</v>
      </c>
      <c r="G2200" t="s">
        <v>10601</v>
      </c>
      <c r="H2200">
        <v>7901.84</v>
      </c>
      <c r="I2200">
        <v>9.4600000000000009</v>
      </c>
      <c r="J2200" t="s">
        <v>120</v>
      </c>
      <c r="K2200" t="s">
        <v>10602</v>
      </c>
      <c r="L2200">
        <v>5.18</v>
      </c>
      <c r="M2200">
        <v>28.36</v>
      </c>
      <c r="N2200">
        <v>3.7</v>
      </c>
      <c r="O2200">
        <v>1.39</v>
      </c>
      <c r="P2200">
        <v>29.98</v>
      </c>
      <c r="Q2200">
        <v>-5.58</v>
      </c>
      <c r="R2200">
        <v>27.92</v>
      </c>
      <c r="S2200">
        <v>29.57</v>
      </c>
      <c r="T2200">
        <v>27523</v>
      </c>
      <c r="U2200">
        <v>28.39</v>
      </c>
      <c r="V2200">
        <v>29.57</v>
      </c>
      <c r="W2200">
        <v>47.23</v>
      </c>
      <c r="X2200" t="s">
        <v>847</v>
      </c>
      <c r="Y2200" t="s">
        <v>158</v>
      </c>
      <c r="Z2200">
        <v>6.97</v>
      </c>
      <c r="AA2200">
        <v>28.71</v>
      </c>
      <c r="AB2200">
        <v>15751</v>
      </c>
      <c r="AC2200">
        <v>11772</v>
      </c>
      <c r="AD2200">
        <v>1.34</v>
      </c>
      <c r="AE2200">
        <v>4</v>
      </c>
      <c r="AF2200">
        <v>23</v>
      </c>
      <c r="AG2200" t="s">
        <v>120</v>
      </c>
      <c r="AH2200">
        <v>0.01</v>
      </c>
      <c r="AI2200" t="s">
        <v>120</v>
      </c>
      <c r="AJ2200">
        <v>0.53</v>
      </c>
      <c r="AK2200" t="s">
        <v>10603</v>
      </c>
      <c r="AL2200">
        <v>-2.1800000000000002</v>
      </c>
      <c r="AM2200">
        <v>1915</v>
      </c>
      <c r="AN2200">
        <v>14</v>
      </c>
      <c r="AO2200">
        <v>2.7000000000000001E-3</v>
      </c>
      <c r="AP2200">
        <v>-4</v>
      </c>
      <c r="AQ2200">
        <v>-6.63</v>
      </c>
      <c r="AR2200">
        <v>-11.52</v>
      </c>
      <c r="AS2200">
        <v>-13.8</v>
      </c>
      <c r="AT2200">
        <v>-24.01</v>
      </c>
      <c r="AU2200">
        <v>-14.31</v>
      </c>
      <c r="AV2200">
        <v>1</v>
      </c>
      <c r="AW2200">
        <v>6.41</v>
      </c>
      <c r="AX2200">
        <v>28.9</v>
      </c>
      <c r="AY2200">
        <v>42.81</v>
      </c>
      <c r="AZ2200">
        <v>45.48</v>
      </c>
      <c r="BA2200">
        <v>0</v>
      </c>
      <c r="BB2200" t="s">
        <v>1723</v>
      </c>
      <c r="BF2200">
        <v>-2.91</v>
      </c>
      <c r="BG2200">
        <v>-4.09</v>
      </c>
      <c r="BH2200">
        <v>-5.4</v>
      </c>
      <c r="BI2200">
        <v>1.58</v>
      </c>
      <c r="BJ2200">
        <v>20210818</v>
      </c>
      <c r="BK2200">
        <v>20200727</v>
      </c>
      <c r="BL2200">
        <v>1.49</v>
      </c>
      <c r="BM2200" t="s">
        <v>120</v>
      </c>
      <c r="BN2200" t="s">
        <v>120</v>
      </c>
      <c r="BO2200">
        <v>10.49</v>
      </c>
      <c r="BP2200">
        <v>28.36</v>
      </c>
      <c r="BQ2200">
        <v>8.98</v>
      </c>
      <c r="BR2200" t="s">
        <v>120</v>
      </c>
      <c r="BS2200">
        <v>14.35</v>
      </c>
      <c r="BT2200">
        <v>7.64</v>
      </c>
      <c r="BU2200">
        <v>1.18</v>
      </c>
      <c r="BV2200">
        <v>0.18</v>
      </c>
      <c r="BW2200">
        <v>1.44</v>
      </c>
      <c r="BX2200">
        <v>1.97</v>
      </c>
      <c r="BY2200">
        <v>0.67</v>
      </c>
      <c r="BZ2200">
        <v>0.96</v>
      </c>
      <c r="CA2200" t="s">
        <v>120</v>
      </c>
      <c r="CB2200">
        <v>5.93</v>
      </c>
      <c r="CC2200">
        <v>1.67</v>
      </c>
      <c r="CD2200">
        <v>0.82</v>
      </c>
      <c r="CE2200">
        <v>0.52</v>
      </c>
      <c r="CF2200">
        <v>0.02</v>
      </c>
      <c r="CG2200">
        <v>0.52</v>
      </c>
      <c r="CH2200">
        <v>0.45</v>
      </c>
      <c r="CI2200">
        <v>0.45</v>
      </c>
      <c r="CJ2200">
        <v>-1.21</v>
      </c>
      <c r="CK2200">
        <v>0.4</v>
      </c>
      <c r="CL2200">
        <v>1.95</v>
      </c>
      <c r="CM2200">
        <v>0.18</v>
      </c>
      <c r="CN2200">
        <v>-0.06</v>
      </c>
      <c r="CO2200">
        <v>9357</v>
      </c>
      <c r="CP2200">
        <v>4587</v>
      </c>
      <c r="CQ2200" t="s">
        <v>10604</v>
      </c>
      <c r="CR2200">
        <v>15.57</v>
      </c>
      <c r="CS2200">
        <v>19.38</v>
      </c>
      <c r="CT2200">
        <v>4.6900000000000004</v>
      </c>
      <c r="CU2200">
        <v>235.96</v>
      </c>
      <c r="CV2200">
        <v>25.18</v>
      </c>
      <c r="CW2200">
        <v>1.88</v>
      </c>
      <c r="CX2200" t="s">
        <v>1340</v>
      </c>
      <c r="CY2200">
        <v>6.05</v>
      </c>
      <c r="CZ2200">
        <v>0</v>
      </c>
      <c r="DA2200">
        <v>3.99</v>
      </c>
      <c r="DB2200">
        <v>1.31</v>
      </c>
      <c r="DC2200">
        <v>0.12</v>
      </c>
      <c r="DD2200">
        <v>85.65</v>
      </c>
      <c r="DE2200" t="s">
        <v>9491</v>
      </c>
      <c r="DF2200">
        <v>50.94</v>
      </c>
      <c r="DG2200">
        <v>31.22</v>
      </c>
      <c r="DH2200">
        <v>26.65</v>
      </c>
      <c r="DI2200">
        <v>0.14000000000000001</v>
      </c>
      <c r="DJ2200">
        <v>172</v>
      </c>
      <c r="DK2200">
        <v>300858</v>
      </c>
      <c r="DL2200" t="s">
        <v>120</v>
      </c>
      <c r="DM2200" t="s">
        <v>120</v>
      </c>
      <c r="DN2200" t="s">
        <v>120</v>
      </c>
    </row>
    <row r="2201" spans="1:118">
      <c r="A2201" t="str">
        <f>"300860"</f>
        <v>300860</v>
      </c>
      <c r="B2201" t="s">
        <v>10605</v>
      </c>
      <c r="C2201">
        <v>-1.29</v>
      </c>
      <c r="D2201">
        <v>0.25</v>
      </c>
      <c r="E2201">
        <v>0.2</v>
      </c>
      <c r="F2201">
        <v>111</v>
      </c>
      <c r="G2201" t="s">
        <v>5305</v>
      </c>
      <c r="H2201">
        <v>2699.31</v>
      </c>
      <c r="I2201">
        <v>17.22</v>
      </c>
      <c r="J2201" t="s">
        <v>120</v>
      </c>
      <c r="K2201" t="s">
        <v>10606</v>
      </c>
      <c r="L2201">
        <v>1.58</v>
      </c>
      <c r="M2201">
        <v>40.4</v>
      </c>
      <c r="N2201">
        <v>0.86</v>
      </c>
      <c r="O2201">
        <v>1.1499999999999999</v>
      </c>
      <c r="P2201">
        <v>41.4</v>
      </c>
      <c r="Q2201">
        <v>-1.83</v>
      </c>
      <c r="R2201">
        <v>40.18</v>
      </c>
      <c r="S2201">
        <v>41.01</v>
      </c>
      <c r="T2201">
        <v>6617</v>
      </c>
      <c r="U2201">
        <v>40.4</v>
      </c>
      <c r="V2201">
        <v>40.93</v>
      </c>
      <c r="W2201">
        <v>47.16</v>
      </c>
      <c r="X2201" t="s">
        <v>213</v>
      </c>
      <c r="Y2201" t="s">
        <v>158</v>
      </c>
      <c r="Z2201">
        <v>2.98</v>
      </c>
      <c r="AA2201">
        <v>40.79</v>
      </c>
      <c r="AB2201">
        <v>3912</v>
      </c>
      <c r="AC2201">
        <v>2705</v>
      </c>
      <c r="AD2201">
        <v>1.45</v>
      </c>
      <c r="AE2201">
        <v>5</v>
      </c>
      <c r="AF2201">
        <v>65</v>
      </c>
      <c r="AG2201" t="s">
        <v>120</v>
      </c>
      <c r="AH2201">
        <v>0.01</v>
      </c>
      <c r="AI2201" t="s">
        <v>120</v>
      </c>
      <c r="AJ2201">
        <v>0.42</v>
      </c>
      <c r="AK2201" t="s">
        <v>4675</v>
      </c>
      <c r="AL2201">
        <v>0.62</v>
      </c>
      <c r="AM2201">
        <v>927</v>
      </c>
      <c r="AN2201">
        <v>7</v>
      </c>
      <c r="AO2201">
        <v>1.6999999999999999E-3</v>
      </c>
      <c r="AP2201">
        <v>-1</v>
      </c>
      <c r="AQ2201">
        <v>0.71</v>
      </c>
      <c r="AR2201">
        <v>-3.95</v>
      </c>
      <c r="AS2201">
        <v>-16.059999999999999</v>
      </c>
      <c r="AT2201">
        <v>-35.020000000000003</v>
      </c>
      <c r="AU2201">
        <v>-40.82</v>
      </c>
      <c r="AV2201">
        <v>0</v>
      </c>
      <c r="AW2201">
        <v>1.93</v>
      </c>
      <c r="AX2201">
        <v>25</v>
      </c>
      <c r="AY2201">
        <v>25.22</v>
      </c>
      <c r="AZ2201">
        <v>21.52</v>
      </c>
      <c r="BA2201">
        <v>0.35</v>
      </c>
      <c r="BB2201" t="s">
        <v>143</v>
      </c>
      <c r="BF2201">
        <v>-0.33</v>
      </c>
      <c r="BG2201">
        <v>-1.49</v>
      </c>
      <c r="BH2201">
        <v>-2.42</v>
      </c>
      <c r="BI2201">
        <v>0.55000000000000004</v>
      </c>
      <c r="BJ2201">
        <v>20210903</v>
      </c>
      <c r="BK2201">
        <v>20200824</v>
      </c>
      <c r="BL2201">
        <v>1.37</v>
      </c>
      <c r="BM2201" t="s">
        <v>120</v>
      </c>
      <c r="BN2201" t="s">
        <v>120</v>
      </c>
      <c r="BO2201">
        <v>36.57</v>
      </c>
      <c r="BP2201">
        <v>40.35</v>
      </c>
      <c r="BQ2201">
        <v>31.49</v>
      </c>
      <c r="BR2201">
        <v>0.2</v>
      </c>
      <c r="BS2201">
        <v>13.38</v>
      </c>
      <c r="BT2201">
        <v>34.979999999999997</v>
      </c>
      <c r="BU2201">
        <v>0.45</v>
      </c>
      <c r="BV2201">
        <v>0</v>
      </c>
      <c r="BW2201">
        <v>4.6100000000000003</v>
      </c>
      <c r="BX2201">
        <v>13.24</v>
      </c>
      <c r="BY2201">
        <v>0.75</v>
      </c>
      <c r="BZ2201">
        <v>4.3499999999999996</v>
      </c>
      <c r="CA2201" t="s">
        <v>120</v>
      </c>
      <c r="CB2201">
        <v>23.09</v>
      </c>
      <c r="CC2201">
        <v>2.1800000000000002</v>
      </c>
      <c r="CD2201">
        <v>1.34</v>
      </c>
      <c r="CE2201">
        <v>0.72</v>
      </c>
      <c r="CF2201">
        <v>0.28000000000000003</v>
      </c>
      <c r="CG2201">
        <v>0.75</v>
      </c>
      <c r="CH2201">
        <v>0.59</v>
      </c>
      <c r="CI2201">
        <v>0.59</v>
      </c>
      <c r="CJ2201">
        <v>-0.53</v>
      </c>
      <c r="CK2201">
        <v>0.28999999999999998</v>
      </c>
      <c r="CL2201">
        <v>6.67</v>
      </c>
      <c r="CM2201">
        <v>-0.24</v>
      </c>
      <c r="CN2201">
        <v>4.9000000000000004</v>
      </c>
      <c r="CO2201">
        <v>14987</v>
      </c>
      <c r="CP2201">
        <v>2285</v>
      </c>
      <c r="CQ2201" t="s">
        <v>312</v>
      </c>
      <c r="CR2201">
        <v>-39.47</v>
      </c>
      <c r="CS2201">
        <v>-48.98</v>
      </c>
      <c r="CT2201">
        <v>1.76</v>
      </c>
      <c r="CU2201">
        <v>-226.58</v>
      </c>
      <c r="CV2201">
        <v>25.34</v>
      </c>
      <c r="CW2201">
        <v>1.29</v>
      </c>
      <c r="CX2201" t="s">
        <v>1462</v>
      </c>
      <c r="CY2201">
        <v>22.99</v>
      </c>
      <c r="CZ2201">
        <v>0</v>
      </c>
      <c r="DA2201">
        <v>16.86</v>
      </c>
      <c r="DB2201">
        <v>4.87</v>
      </c>
      <c r="DC2201">
        <v>-0.18</v>
      </c>
      <c r="DD2201">
        <v>86.09</v>
      </c>
      <c r="DE2201" t="s">
        <v>1456</v>
      </c>
      <c r="DF2201">
        <v>38.64</v>
      </c>
      <c r="DG2201">
        <v>33.18</v>
      </c>
      <c r="DH2201">
        <v>26.86</v>
      </c>
      <c r="DI2201">
        <v>0.13</v>
      </c>
      <c r="DJ2201">
        <v>271</v>
      </c>
      <c r="DK2201">
        <v>300860</v>
      </c>
      <c r="DL2201" t="s">
        <v>120</v>
      </c>
      <c r="DM2201" t="s">
        <v>120</v>
      </c>
      <c r="DN2201" t="s">
        <v>120</v>
      </c>
    </row>
    <row r="2202" spans="1:118">
      <c r="A2202" t="str">
        <f>"300861"</f>
        <v>300861</v>
      </c>
      <c r="B2202" t="s">
        <v>10607</v>
      </c>
      <c r="C2202">
        <v>-5.21</v>
      </c>
      <c r="D2202">
        <v>0.04</v>
      </c>
      <c r="E2202">
        <v>0.05</v>
      </c>
      <c r="F2202">
        <v>339</v>
      </c>
      <c r="G2202" t="s">
        <v>10608</v>
      </c>
      <c r="H2202">
        <v>37290.019999999997</v>
      </c>
      <c r="I2202">
        <v>28.01</v>
      </c>
      <c r="J2202" t="s">
        <v>120</v>
      </c>
      <c r="K2202" t="s">
        <v>10609</v>
      </c>
      <c r="L2202">
        <v>2.75</v>
      </c>
      <c r="M2202">
        <v>75.81</v>
      </c>
      <c r="N2202">
        <v>2.31</v>
      </c>
      <c r="O2202">
        <v>1.1299999999999999</v>
      </c>
      <c r="P2202">
        <v>80.88</v>
      </c>
      <c r="Q2202">
        <v>-5.25</v>
      </c>
      <c r="R2202">
        <v>75.78</v>
      </c>
      <c r="S2202">
        <v>80.02</v>
      </c>
      <c r="T2202">
        <v>48276</v>
      </c>
      <c r="U2202">
        <v>75.930000000000007</v>
      </c>
      <c r="V2202">
        <v>79.98</v>
      </c>
      <c r="W2202">
        <v>41.23</v>
      </c>
      <c r="X2202" t="s">
        <v>1991</v>
      </c>
      <c r="Y2202" t="s">
        <v>890</v>
      </c>
      <c r="Z2202">
        <v>6.38</v>
      </c>
      <c r="AA2202">
        <v>77.239999999999995</v>
      </c>
      <c r="AB2202">
        <v>27495</v>
      </c>
      <c r="AC2202">
        <v>20781</v>
      </c>
      <c r="AD2202">
        <v>1.32</v>
      </c>
      <c r="AE2202">
        <v>35</v>
      </c>
      <c r="AF2202">
        <v>11</v>
      </c>
      <c r="AG2202" t="s">
        <v>120</v>
      </c>
      <c r="AH2202">
        <v>0</v>
      </c>
      <c r="AI2202" t="s">
        <v>120</v>
      </c>
      <c r="AJ2202">
        <v>1.76</v>
      </c>
      <c r="AK2202" t="s">
        <v>10610</v>
      </c>
      <c r="AL2202">
        <v>-3.3</v>
      </c>
      <c r="AM2202">
        <v>2302</v>
      </c>
      <c r="AN2202">
        <v>21</v>
      </c>
      <c r="AO2202">
        <v>1.1999999999999999E-3</v>
      </c>
      <c r="AP2202">
        <v>-1</v>
      </c>
      <c r="AQ2202">
        <v>2.67</v>
      </c>
      <c r="AR2202">
        <v>-3.61</v>
      </c>
      <c r="AS2202">
        <v>14.27</v>
      </c>
      <c r="AT2202">
        <v>-10.92</v>
      </c>
      <c r="AU2202">
        <v>43.83</v>
      </c>
      <c r="AV2202">
        <v>0</v>
      </c>
      <c r="AW2202">
        <v>4.5599999999999996</v>
      </c>
      <c r="AX2202">
        <v>26.44</v>
      </c>
      <c r="AY2202">
        <v>53.51</v>
      </c>
      <c r="AZ2202">
        <v>71.150000000000006</v>
      </c>
      <c r="BA2202">
        <v>0.78</v>
      </c>
      <c r="BB2202" t="s">
        <v>143</v>
      </c>
      <c r="BF2202">
        <v>-3.42</v>
      </c>
      <c r="BG2202">
        <v>-5.26</v>
      </c>
      <c r="BH2202">
        <v>-6.27</v>
      </c>
      <c r="BI2202">
        <v>0.04</v>
      </c>
      <c r="BJ2202">
        <v>20210827</v>
      </c>
      <c r="BK2202">
        <v>20200824</v>
      </c>
      <c r="BL2202">
        <v>4</v>
      </c>
      <c r="BM2202" t="s">
        <v>120</v>
      </c>
      <c r="BN2202" t="s">
        <v>120</v>
      </c>
      <c r="BO2202">
        <v>40.08</v>
      </c>
      <c r="BP2202">
        <v>75.81</v>
      </c>
      <c r="BQ2202">
        <v>36.22</v>
      </c>
      <c r="BR2202" t="s">
        <v>120</v>
      </c>
      <c r="BS2202">
        <v>9.6300000000000008</v>
      </c>
      <c r="BT2202">
        <v>32.229999999999997</v>
      </c>
      <c r="BU2202">
        <v>5.94</v>
      </c>
      <c r="BV2202">
        <v>0.4</v>
      </c>
      <c r="BW2202">
        <v>2.88</v>
      </c>
      <c r="BX2202">
        <v>1.32</v>
      </c>
      <c r="BY2202">
        <v>2.79</v>
      </c>
      <c r="BZ2202">
        <v>2.13</v>
      </c>
      <c r="CA2202" t="s">
        <v>120</v>
      </c>
      <c r="CB2202">
        <v>18.32</v>
      </c>
      <c r="CC2202">
        <v>8.27</v>
      </c>
      <c r="CD2202">
        <v>3.55</v>
      </c>
      <c r="CE2202">
        <v>4.28</v>
      </c>
      <c r="CF2202">
        <v>0.27</v>
      </c>
      <c r="CG2202">
        <v>4.33</v>
      </c>
      <c r="CH2202">
        <v>3.68</v>
      </c>
      <c r="CI2202">
        <v>3.68</v>
      </c>
      <c r="CJ2202">
        <v>-4.17</v>
      </c>
      <c r="CK2202">
        <v>3.16</v>
      </c>
      <c r="CL2202">
        <v>12.05</v>
      </c>
      <c r="CM2202">
        <v>1.66</v>
      </c>
      <c r="CN2202">
        <v>-13.62</v>
      </c>
      <c r="CO2202">
        <v>10069</v>
      </c>
      <c r="CP2202">
        <v>10504</v>
      </c>
      <c r="CQ2202" t="s">
        <v>10611</v>
      </c>
      <c r="CR2202">
        <v>67.5</v>
      </c>
      <c r="CS2202">
        <v>41.5</v>
      </c>
      <c r="CT2202">
        <v>8.3699999999999992</v>
      </c>
      <c r="CU2202">
        <v>182.19</v>
      </c>
      <c r="CV2202">
        <v>36.68</v>
      </c>
      <c r="CW2202">
        <v>0.63</v>
      </c>
      <c r="CX2202" t="s">
        <v>4187</v>
      </c>
      <c r="CY2202">
        <v>9.0500000000000007</v>
      </c>
      <c r="CZ2202">
        <v>0</v>
      </c>
      <c r="DA2202">
        <v>4.58</v>
      </c>
      <c r="DB2202">
        <v>3.01</v>
      </c>
      <c r="DC2202">
        <v>0.42</v>
      </c>
      <c r="DD2202">
        <v>90.37</v>
      </c>
      <c r="DE2202" t="s">
        <v>7860</v>
      </c>
      <c r="DF2202">
        <v>57.09</v>
      </c>
      <c r="DG2202">
        <v>51.83</v>
      </c>
      <c r="DH2202">
        <v>44.48</v>
      </c>
      <c r="DI2202">
        <v>0.4</v>
      </c>
      <c r="DJ2202">
        <v>2082</v>
      </c>
      <c r="DK2202">
        <v>300861</v>
      </c>
      <c r="DL2202" t="s">
        <v>120</v>
      </c>
      <c r="DM2202" t="s">
        <v>120</v>
      </c>
      <c r="DN2202" t="s">
        <v>120</v>
      </c>
    </row>
    <row r="2203" spans="1:118">
      <c r="A2203" t="str">
        <f>"300862"</f>
        <v>300862</v>
      </c>
      <c r="B2203" t="s">
        <v>10612</v>
      </c>
      <c r="C2203">
        <v>-2.17</v>
      </c>
      <c r="D2203">
        <v>0.06</v>
      </c>
      <c r="E2203">
        <v>0.62</v>
      </c>
      <c r="F2203">
        <v>128</v>
      </c>
      <c r="G2203" t="s">
        <v>10613</v>
      </c>
      <c r="H2203">
        <v>6043.55</v>
      </c>
      <c r="I2203">
        <v>18.54</v>
      </c>
      <c r="J2203" t="s">
        <v>120</v>
      </c>
      <c r="K2203" t="s">
        <v>10614</v>
      </c>
      <c r="L2203">
        <v>2.09</v>
      </c>
      <c r="M2203">
        <v>33.380000000000003</v>
      </c>
      <c r="N2203">
        <v>1.1000000000000001</v>
      </c>
      <c r="O2203">
        <v>0.62</v>
      </c>
      <c r="P2203">
        <v>34.33</v>
      </c>
      <c r="Q2203">
        <v>-2.7</v>
      </c>
      <c r="R2203">
        <v>33.200000000000003</v>
      </c>
      <c r="S2203">
        <v>34.33</v>
      </c>
      <c r="T2203">
        <v>17985</v>
      </c>
      <c r="U2203">
        <v>33.39</v>
      </c>
      <c r="V2203">
        <v>34.119999999999997</v>
      </c>
      <c r="W2203">
        <v>45.96</v>
      </c>
      <c r="X2203" t="s">
        <v>2717</v>
      </c>
      <c r="Y2203" t="s">
        <v>570</v>
      </c>
      <c r="Z2203">
        <v>3.31</v>
      </c>
      <c r="AA2203">
        <v>33.6</v>
      </c>
      <c r="AB2203">
        <v>10392</v>
      </c>
      <c r="AC2203">
        <v>7593</v>
      </c>
      <c r="AD2203">
        <v>1.37</v>
      </c>
      <c r="AE2203">
        <v>42</v>
      </c>
      <c r="AF2203">
        <v>20</v>
      </c>
      <c r="AG2203" t="s">
        <v>120</v>
      </c>
      <c r="AH2203">
        <v>0.01</v>
      </c>
      <c r="AI2203" t="s">
        <v>120</v>
      </c>
      <c r="AJ2203">
        <v>0.86</v>
      </c>
      <c r="AK2203" t="s">
        <v>10615</v>
      </c>
      <c r="AL2203">
        <v>-0.26</v>
      </c>
      <c r="AM2203">
        <v>1389</v>
      </c>
      <c r="AN2203">
        <v>13</v>
      </c>
      <c r="AO2203">
        <v>1.5E-3</v>
      </c>
      <c r="AP2203">
        <v>-1</v>
      </c>
      <c r="AQ2203">
        <v>0.38</v>
      </c>
      <c r="AR2203">
        <v>-5.07</v>
      </c>
      <c r="AS2203">
        <v>-8.58</v>
      </c>
      <c r="AT2203">
        <v>-11.35</v>
      </c>
      <c r="AU2203">
        <v>-16.170000000000002</v>
      </c>
      <c r="AV2203">
        <v>1</v>
      </c>
      <c r="AW2203">
        <v>2.62</v>
      </c>
      <c r="AX2203">
        <v>52.12</v>
      </c>
      <c r="AY2203">
        <v>29.35</v>
      </c>
      <c r="AZ2203">
        <v>34.6</v>
      </c>
      <c r="BA2203">
        <v>0.72</v>
      </c>
      <c r="BB2203" t="s">
        <v>143</v>
      </c>
      <c r="BF2203">
        <v>-1.52</v>
      </c>
      <c r="BG2203">
        <v>-2.77</v>
      </c>
      <c r="BH2203">
        <v>-2.77</v>
      </c>
      <c r="BI2203">
        <v>0.54</v>
      </c>
      <c r="BJ2203">
        <v>20210824</v>
      </c>
      <c r="BK2203">
        <v>20200824</v>
      </c>
      <c r="BL2203">
        <v>1.32</v>
      </c>
      <c r="BM2203" t="s">
        <v>120</v>
      </c>
      <c r="BN2203" t="s">
        <v>120</v>
      </c>
      <c r="BO2203">
        <v>22.72</v>
      </c>
      <c r="BP2203">
        <v>33.380000000000003</v>
      </c>
      <c r="BQ2203">
        <v>18.440000000000001</v>
      </c>
      <c r="BR2203">
        <v>0.13</v>
      </c>
      <c r="BS2203">
        <v>18.260000000000002</v>
      </c>
      <c r="BT2203">
        <v>20.440000000000001</v>
      </c>
      <c r="BU2203">
        <v>1.46</v>
      </c>
      <c r="BV2203">
        <v>0.1</v>
      </c>
      <c r="BW2203">
        <v>3.54</v>
      </c>
      <c r="BX2203">
        <v>2.29</v>
      </c>
      <c r="BY2203">
        <v>3.34</v>
      </c>
      <c r="BZ2203">
        <v>3.67</v>
      </c>
      <c r="CA2203" t="s">
        <v>120</v>
      </c>
      <c r="CB2203">
        <v>11.45</v>
      </c>
      <c r="CC2203">
        <v>3.19</v>
      </c>
      <c r="CD2203">
        <v>2.04</v>
      </c>
      <c r="CE2203">
        <v>0.55000000000000004</v>
      </c>
      <c r="CF2203">
        <v>0.09</v>
      </c>
      <c r="CG2203">
        <v>0.56000000000000005</v>
      </c>
      <c r="CH2203">
        <v>0.5</v>
      </c>
      <c r="CI2203">
        <v>0.48</v>
      </c>
      <c r="CJ2203">
        <v>-0.74</v>
      </c>
      <c r="CK2203">
        <v>0.32</v>
      </c>
      <c r="CL2203">
        <v>5</v>
      </c>
      <c r="CM2203">
        <v>-1.31</v>
      </c>
      <c r="CN2203">
        <v>-2.33</v>
      </c>
      <c r="CO2203">
        <v>18018</v>
      </c>
      <c r="CP2203">
        <v>3815</v>
      </c>
      <c r="CQ2203" t="s">
        <v>6896</v>
      </c>
      <c r="CR2203">
        <v>94.64</v>
      </c>
      <c r="CS2203">
        <v>29.62</v>
      </c>
      <c r="CT2203">
        <v>2.39</v>
      </c>
      <c r="CU2203">
        <v>-33.72</v>
      </c>
      <c r="CV2203">
        <v>13.81</v>
      </c>
      <c r="CW2203">
        <v>0</v>
      </c>
      <c r="CX2203" t="s">
        <v>472</v>
      </c>
      <c r="CY2203">
        <v>13.98</v>
      </c>
      <c r="CZ2203">
        <v>0</v>
      </c>
      <c r="DA2203">
        <v>8.68</v>
      </c>
      <c r="DB2203">
        <v>3.79</v>
      </c>
      <c r="DC2203">
        <v>-0.99</v>
      </c>
      <c r="DD2203">
        <v>81.16</v>
      </c>
      <c r="DE2203" t="s">
        <v>3597</v>
      </c>
      <c r="DF2203">
        <v>35.92</v>
      </c>
      <c r="DG2203">
        <v>17.28</v>
      </c>
      <c r="DH2203">
        <v>15.02</v>
      </c>
      <c r="DI2203">
        <v>0.21</v>
      </c>
      <c r="DJ2203">
        <v>1701</v>
      </c>
      <c r="DK2203">
        <v>300862</v>
      </c>
      <c r="DL2203" t="s">
        <v>120</v>
      </c>
      <c r="DM2203" t="s">
        <v>120</v>
      </c>
      <c r="DN2203" t="s">
        <v>120</v>
      </c>
    </row>
    <row r="2204" spans="1:118">
      <c r="A2204" t="str">
        <f>"300863"</f>
        <v>300863</v>
      </c>
      <c r="B2204" t="s">
        <v>10616</v>
      </c>
      <c r="C2204">
        <v>0.87</v>
      </c>
      <c r="D2204">
        <v>0.03</v>
      </c>
      <c r="E2204">
        <v>0.31</v>
      </c>
      <c r="F2204">
        <v>156</v>
      </c>
      <c r="G2204" t="s">
        <v>10617</v>
      </c>
      <c r="H2204">
        <v>6101.43</v>
      </c>
      <c r="I2204">
        <v>21.44</v>
      </c>
      <c r="J2204" t="s">
        <v>120</v>
      </c>
      <c r="K2204" t="s">
        <v>10617</v>
      </c>
      <c r="L2204">
        <v>5.24</v>
      </c>
      <c r="M2204">
        <v>61.59</v>
      </c>
      <c r="N2204">
        <v>1.36</v>
      </c>
      <c r="O2204">
        <v>4.75</v>
      </c>
      <c r="P2204">
        <v>63.96</v>
      </c>
      <c r="Q2204">
        <v>-0.11</v>
      </c>
      <c r="R2204">
        <v>60.99</v>
      </c>
      <c r="S2204">
        <v>61.25</v>
      </c>
      <c r="T2204">
        <v>9803</v>
      </c>
      <c r="U2204">
        <v>61.59</v>
      </c>
      <c r="V2204">
        <v>61.06</v>
      </c>
      <c r="W2204">
        <v>54.07</v>
      </c>
      <c r="X2204" t="s">
        <v>289</v>
      </c>
      <c r="Y2204" t="s">
        <v>585</v>
      </c>
      <c r="Z2204">
        <v>4.8600000000000003</v>
      </c>
      <c r="AA2204">
        <v>62.24</v>
      </c>
      <c r="AB2204">
        <v>4768</v>
      </c>
      <c r="AC2204">
        <v>5035</v>
      </c>
      <c r="AD2204">
        <v>0.95</v>
      </c>
      <c r="AE2204">
        <v>19</v>
      </c>
      <c r="AF2204">
        <v>4</v>
      </c>
      <c r="AG2204" t="s">
        <v>120</v>
      </c>
      <c r="AH2204">
        <v>0.02</v>
      </c>
      <c r="AI2204" t="s">
        <v>120</v>
      </c>
      <c r="AJ2204">
        <v>0.19</v>
      </c>
      <c r="AK2204" t="s">
        <v>6464</v>
      </c>
      <c r="AL2204">
        <v>2.78</v>
      </c>
      <c r="AM2204">
        <v>1320</v>
      </c>
      <c r="AN2204">
        <v>7</v>
      </c>
      <c r="AO2204">
        <v>4.0000000000000001E-3</v>
      </c>
      <c r="AP2204">
        <v>1</v>
      </c>
      <c r="AQ2204">
        <v>-1.17</v>
      </c>
      <c r="AR2204">
        <v>-0.99</v>
      </c>
      <c r="AS2204">
        <v>-11.7</v>
      </c>
      <c r="AT2204">
        <v>-21.09</v>
      </c>
      <c r="AU2204">
        <v>-42.83</v>
      </c>
      <c r="AV2204">
        <v>7</v>
      </c>
      <c r="AW2204">
        <v>5.24</v>
      </c>
      <c r="AX2204">
        <v>33.89</v>
      </c>
      <c r="AY2204">
        <v>53.95</v>
      </c>
      <c r="AZ2204">
        <v>63.74</v>
      </c>
      <c r="BA2204">
        <v>0.73</v>
      </c>
      <c r="BB2204" t="s">
        <v>134</v>
      </c>
      <c r="BF2204">
        <v>1.93</v>
      </c>
      <c r="BG2204">
        <v>0.56000000000000005</v>
      </c>
      <c r="BH2204">
        <v>-3.71</v>
      </c>
      <c r="BI2204">
        <v>0.98</v>
      </c>
      <c r="BJ2204">
        <v>20210827</v>
      </c>
      <c r="BK2204">
        <v>20200824</v>
      </c>
      <c r="BL2204">
        <v>0.55000000000000004</v>
      </c>
      <c r="BM2204" t="s">
        <v>120</v>
      </c>
      <c r="BN2204" t="s">
        <v>120</v>
      </c>
      <c r="BO2204">
        <v>13.55</v>
      </c>
      <c r="BP2204">
        <v>61.58</v>
      </c>
      <c r="BQ2204">
        <v>5.92</v>
      </c>
      <c r="BR2204" t="s">
        <v>120</v>
      </c>
      <c r="BS2204">
        <v>56.29</v>
      </c>
      <c r="BT2204">
        <v>8.8699999999999992</v>
      </c>
      <c r="BU2204">
        <v>1.6</v>
      </c>
      <c r="BV2204">
        <v>0.42</v>
      </c>
      <c r="BW2204">
        <v>7.48</v>
      </c>
      <c r="BX2204">
        <v>1.02</v>
      </c>
      <c r="BY2204">
        <v>2.31</v>
      </c>
      <c r="BZ2204">
        <v>4.3899999999999997</v>
      </c>
      <c r="CA2204">
        <v>0.01</v>
      </c>
      <c r="CB2204">
        <v>2.74</v>
      </c>
      <c r="CC2204">
        <v>9.16</v>
      </c>
      <c r="CD2204">
        <v>8.31</v>
      </c>
      <c r="CE2204">
        <v>0.38</v>
      </c>
      <c r="CF2204">
        <v>7.0000000000000007E-2</v>
      </c>
      <c r="CG2204">
        <v>0.38</v>
      </c>
      <c r="CH2204">
        <v>0.31</v>
      </c>
      <c r="CI2204">
        <v>0.31</v>
      </c>
      <c r="CJ2204">
        <v>0.53</v>
      </c>
      <c r="CK2204">
        <v>0.26</v>
      </c>
      <c r="CL2204">
        <v>2.4700000000000002</v>
      </c>
      <c r="CM2204">
        <v>-0.12</v>
      </c>
      <c r="CN2204">
        <v>-0.31</v>
      </c>
      <c r="CO2204">
        <v>13234</v>
      </c>
      <c r="CP2204">
        <v>1415</v>
      </c>
      <c r="CQ2204" t="s">
        <v>1623</v>
      </c>
      <c r="CR2204">
        <v>43.93</v>
      </c>
      <c r="CS2204">
        <v>123.3</v>
      </c>
      <c r="CT2204">
        <v>5.74</v>
      </c>
      <c r="CU2204">
        <v>-289.67</v>
      </c>
      <c r="CV2204">
        <v>3.71</v>
      </c>
      <c r="CW2204">
        <v>0.56999999999999995</v>
      </c>
      <c r="CX2204" t="s">
        <v>1881</v>
      </c>
      <c r="CY2204">
        <v>10.73</v>
      </c>
      <c r="CZ2204">
        <v>0</v>
      </c>
      <c r="DA2204">
        <v>4.95</v>
      </c>
      <c r="DB2204">
        <v>4.47</v>
      </c>
      <c r="DC2204">
        <v>-0.21</v>
      </c>
      <c r="DD2204">
        <v>43.71</v>
      </c>
      <c r="DE2204" t="s">
        <v>2687</v>
      </c>
      <c r="DF2204">
        <v>9.23</v>
      </c>
      <c r="DG2204">
        <v>4.1100000000000003</v>
      </c>
      <c r="DH2204">
        <v>3.43</v>
      </c>
      <c r="DI2204">
        <v>0.19</v>
      </c>
      <c r="DJ2204">
        <v>556</v>
      </c>
      <c r="DK2204">
        <v>300863</v>
      </c>
      <c r="DL2204" t="s">
        <v>120</v>
      </c>
      <c r="DM2204" t="s">
        <v>120</v>
      </c>
      <c r="DN2204" t="s">
        <v>120</v>
      </c>
    </row>
    <row r="2205" spans="1:118">
      <c r="A2205" t="str">
        <f>"300864"</f>
        <v>300864</v>
      </c>
      <c r="B2205" t="s">
        <v>10618</v>
      </c>
      <c r="C2205">
        <v>-4.32</v>
      </c>
      <c r="D2205">
        <v>-7.0000000000000007E-2</v>
      </c>
      <c r="E2205">
        <v>1.18</v>
      </c>
      <c r="F2205">
        <v>277</v>
      </c>
      <c r="G2205" t="s">
        <v>10619</v>
      </c>
      <c r="H2205">
        <v>8128.21</v>
      </c>
      <c r="I2205">
        <v>6.15</v>
      </c>
      <c r="J2205" t="s">
        <v>120</v>
      </c>
      <c r="K2205" t="s">
        <v>10619</v>
      </c>
      <c r="L2205">
        <v>7.19</v>
      </c>
      <c r="M2205">
        <v>48.49</v>
      </c>
      <c r="N2205">
        <v>0.69</v>
      </c>
      <c r="O2205">
        <v>1.56</v>
      </c>
      <c r="P2205">
        <v>51.47</v>
      </c>
      <c r="Q2205">
        <v>-4.34</v>
      </c>
      <c r="R2205">
        <v>48.48</v>
      </c>
      <c r="S2205">
        <v>51.28</v>
      </c>
      <c r="T2205">
        <v>16391</v>
      </c>
      <c r="U2205">
        <v>48.49</v>
      </c>
      <c r="V2205">
        <v>50.68</v>
      </c>
      <c r="W2205">
        <v>34.43</v>
      </c>
      <c r="X2205" t="s">
        <v>318</v>
      </c>
      <c r="Y2205" t="s">
        <v>319</v>
      </c>
      <c r="Z2205">
        <v>5.9</v>
      </c>
      <c r="AA2205">
        <v>49.59</v>
      </c>
      <c r="AB2205">
        <v>10170</v>
      </c>
      <c r="AC2205">
        <v>6221</v>
      </c>
      <c r="AD2205">
        <v>1.63</v>
      </c>
      <c r="AE2205">
        <v>14</v>
      </c>
      <c r="AF2205">
        <v>20</v>
      </c>
      <c r="AG2205" t="s">
        <v>120</v>
      </c>
      <c r="AH2205">
        <v>0.01</v>
      </c>
      <c r="AI2205" t="s">
        <v>120</v>
      </c>
      <c r="AJ2205">
        <v>0.23</v>
      </c>
      <c r="AK2205" t="s">
        <v>3160</v>
      </c>
      <c r="AL2205">
        <v>-2.41</v>
      </c>
      <c r="AM2205">
        <v>1737</v>
      </c>
      <c r="AN2205">
        <v>9</v>
      </c>
      <c r="AO2205">
        <v>4.1000000000000003E-3</v>
      </c>
      <c r="AP2205">
        <v>-3</v>
      </c>
      <c r="AQ2205">
        <v>-0.55000000000000004</v>
      </c>
      <c r="AR2205">
        <v>-9.99</v>
      </c>
      <c r="AS2205">
        <v>3.04</v>
      </c>
      <c r="AT2205">
        <v>-16.53</v>
      </c>
      <c r="AU2205">
        <v>-0.45</v>
      </c>
      <c r="AV2205">
        <v>2</v>
      </c>
      <c r="AW2205">
        <v>7.19</v>
      </c>
      <c r="AX2205">
        <v>25</v>
      </c>
      <c r="AY2205">
        <v>34.58</v>
      </c>
      <c r="AZ2205">
        <v>35.03</v>
      </c>
      <c r="BA2205">
        <v>0.62</v>
      </c>
      <c r="BB2205" t="s">
        <v>143</v>
      </c>
      <c r="BF2205">
        <v>-2.15</v>
      </c>
      <c r="BG2205">
        <v>-5.44</v>
      </c>
      <c r="BH2205">
        <v>-5.79</v>
      </c>
      <c r="BI2205">
        <v>0.02</v>
      </c>
      <c r="BJ2205">
        <v>20210806</v>
      </c>
      <c r="BK2205">
        <v>20200824</v>
      </c>
      <c r="BL2205">
        <v>0.91</v>
      </c>
      <c r="BM2205" t="s">
        <v>120</v>
      </c>
      <c r="BN2205" t="s">
        <v>120</v>
      </c>
      <c r="BO2205">
        <v>13.13</v>
      </c>
      <c r="BP2205">
        <v>48.48</v>
      </c>
      <c r="BQ2205">
        <v>10.86</v>
      </c>
      <c r="BR2205">
        <v>0.28999999999999998</v>
      </c>
      <c r="BS2205">
        <v>15.06</v>
      </c>
      <c r="BT2205">
        <v>12.35</v>
      </c>
      <c r="BU2205">
        <v>0.4</v>
      </c>
      <c r="BV2205">
        <v>0.01</v>
      </c>
      <c r="BW2205">
        <v>1.94</v>
      </c>
      <c r="BX2205">
        <v>4.79</v>
      </c>
      <c r="BY2205">
        <v>0.09</v>
      </c>
      <c r="BZ2205">
        <v>1.5</v>
      </c>
      <c r="CA2205" t="s">
        <v>120</v>
      </c>
      <c r="CB2205">
        <v>7.35</v>
      </c>
      <c r="CC2205">
        <v>2.57</v>
      </c>
      <c r="CD2205">
        <v>1.54</v>
      </c>
      <c r="CE2205">
        <v>0.76</v>
      </c>
      <c r="CF2205">
        <v>0.1</v>
      </c>
      <c r="CG2205">
        <v>0.75</v>
      </c>
      <c r="CH2205">
        <v>0.66</v>
      </c>
      <c r="CI2205">
        <v>0.64</v>
      </c>
      <c r="CJ2205">
        <v>-2.19</v>
      </c>
      <c r="CK2205">
        <v>0.57999999999999996</v>
      </c>
      <c r="CL2205">
        <v>2.35</v>
      </c>
      <c r="CM2205">
        <v>-0.41</v>
      </c>
      <c r="CN2205">
        <v>-1.85</v>
      </c>
      <c r="CO2205">
        <v>13311</v>
      </c>
      <c r="CP2205">
        <v>1713</v>
      </c>
      <c r="CQ2205" t="s">
        <v>3146</v>
      </c>
      <c r="CR2205">
        <v>2.79</v>
      </c>
      <c r="CS2205">
        <v>20.350000000000001</v>
      </c>
      <c r="CT2205">
        <v>4.07</v>
      </c>
      <c r="CU2205">
        <v>-106.93</v>
      </c>
      <c r="CV2205">
        <v>17.23</v>
      </c>
      <c r="CW2205">
        <v>1.04</v>
      </c>
      <c r="CX2205" t="s">
        <v>2021</v>
      </c>
      <c r="CY2205">
        <v>11.91</v>
      </c>
      <c r="CZ2205">
        <v>0</v>
      </c>
      <c r="DA2205">
        <v>8.06</v>
      </c>
      <c r="DB2205">
        <v>2.58</v>
      </c>
      <c r="DC2205">
        <v>-0.45</v>
      </c>
      <c r="DD2205">
        <v>82.73</v>
      </c>
      <c r="DE2205" t="s">
        <v>627</v>
      </c>
      <c r="DF2205">
        <v>39.86</v>
      </c>
      <c r="DG2205">
        <v>29.47</v>
      </c>
      <c r="DH2205">
        <v>25.03</v>
      </c>
      <c r="DI2205">
        <v>0.18</v>
      </c>
      <c r="DJ2205">
        <v>563</v>
      </c>
      <c r="DK2205">
        <v>300864</v>
      </c>
      <c r="DL2205" t="s">
        <v>120</v>
      </c>
      <c r="DM2205" t="s">
        <v>120</v>
      </c>
      <c r="DN2205" t="s">
        <v>120</v>
      </c>
    </row>
    <row r="2206" spans="1:118">
      <c r="A2206" t="str">
        <f>"300865"</f>
        <v>300865</v>
      </c>
      <c r="B2206" t="s">
        <v>10620</v>
      </c>
      <c r="C2206">
        <v>2.77</v>
      </c>
      <c r="D2206">
        <v>7.0000000000000007E-2</v>
      </c>
      <c r="E2206">
        <v>-2.37</v>
      </c>
      <c r="F2206">
        <v>542</v>
      </c>
      <c r="G2206" t="s">
        <v>10621</v>
      </c>
      <c r="H2206">
        <v>11137.63</v>
      </c>
      <c r="I2206">
        <v>476.16</v>
      </c>
      <c r="J2206" t="s">
        <v>120</v>
      </c>
      <c r="K2206" t="s">
        <v>6744</v>
      </c>
      <c r="L2206">
        <v>13.1</v>
      </c>
      <c r="M2206">
        <v>30.77</v>
      </c>
      <c r="N2206">
        <v>2.0499999999999998</v>
      </c>
      <c r="O2206">
        <v>4.54</v>
      </c>
      <c r="P2206">
        <v>31.3</v>
      </c>
      <c r="Q2206">
        <v>-4.1399999999999997</v>
      </c>
      <c r="R2206">
        <v>28.7</v>
      </c>
      <c r="S2206">
        <v>29.23</v>
      </c>
      <c r="T2206">
        <v>36902</v>
      </c>
      <c r="U2206">
        <v>30.78</v>
      </c>
      <c r="V2206">
        <v>29.94</v>
      </c>
      <c r="W2206">
        <v>38.840000000000003</v>
      </c>
      <c r="X2206" t="s">
        <v>675</v>
      </c>
      <c r="Y2206" t="s">
        <v>578</v>
      </c>
      <c r="Z2206">
        <v>8.68</v>
      </c>
      <c r="AA2206">
        <v>30.18</v>
      </c>
      <c r="AB2206">
        <v>18187</v>
      </c>
      <c r="AC2206">
        <v>18715</v>
      </c>
      <c r="AD2206">
        <v>0.97</v>
      </c>
      <c r="AE2206">
        <v>23</v>
      </c>
      <c r="AF2206">
        <v>113</v>
      </c>
      <c r="AG2206" t="s">
        <v>120</v>
      </c>
      <c r="AH2206">
        <v>0.65</v>
      </c>
      <c r="AI2206" t="s">
        <v>120</v>
      </c>
      <c r="AJ2206">
        <v>0.28000000000000003</v>
      </c>
      <c r="AK2206" t="s">
        <v>5138</v>
      </c>
      <c r="AL2206">
        <v>4.6900000000000004</v>
      </c>
      <c r="AM2206">
        <v>2005</v>
      </c>
      <c r="AN2206">
        <v>18</v>
      </c>
      <c r="AO2206">
        <v>6.4999999999999997E-3</v>
      </c>
      <c r="AP2206">
        <v>2</v>
      </c>
      <c r="AQ2206">
        <v>4.03</v>
      </c>
      <c r="AR2206">
        <v>4.87</v>
      </c>
      <c r="AS2206">
        <v>10.77</v>
      </c>
      <c r="AT2206">
        <v>0.55000000000000004</v>
      </c>
      <c r="AU2206">
        <v>-19.8</v>
      </c>
      <c r="AV2206">
        <v>0</v>
      </c>
      <c r="AW2206">
        <v>14.75</v>
      </c>
      <c r="AX2206">
        <v>26.14</v>
      </c>
      <c r="AY2206">
        <v>43.94</v>
      </c>
      <c r="AZ2206">
        <v>44.11</v>
      </c>
      <c r="BA2206">
        <v>0.59</v>
      </c>
      <c r="BB2206" t="s">
        <v>143</v>
      </c>
      <c r="BF2206">
        <v>0.81</v>
      </c>
      <c r="BG2206">
        <v>5.27</v>
      </c>
      <c r="BH2206">
        <v>-1.69</v>
      </c>
      <c r="BI2206">
        <v>7.21</v>
      </c>
      <c r="BJ2206">
        <v>20210902</v>
      </c>
      <c r="BK2206">
        <v>20200824</v>
      </c>
      <c r="BL2206">
        <v>0.96</v>
      </c>
      <c r="BM2206" t="s">
        <v>120</v>
      </c>
      <c r="BN2206" t="s">
        <v>120</v>
      </c>
      <c r="BO2206">
        <v>11.29</v>
      </c>
      <c r="BP2206">
        <v>30.77</v>
      </c>
      <c r="BQ2206">
        <v>9.01</v>
      </c>
      <c r="BR2206" t="s">
        <v>120</v>
      </c>
      <c r="BS2206">
        <v>20.149999999999999</v>
      </c>
      <c r="BT2206">
        <v>8.93</v>
      </c>
      <c r="BU2206">
        <v>0.95</v>
      </c>
      <c r="BV2206">
        <v>0.37</v>
      </c>
      <c r="BW2206">
        <v>2.15</v>
      </c>
      <c r="BX2206">
        <v>2.2999999999999998</v>
      </c>
      <c r="BY2206">
        <v>3.08</v>
      </c>
      <c r="BZ2206">
        <v>1.27</v>
      </c>
      <c r="CA2206" t="s">
        <v>120</v>
      </c>
      <c r="CB2206">
        <v>4.93</v>
      </c>
      <c r="CC2206">
        <v>3.9</v>
      </c>
      <c r="CD2206">
        <v>2.86</v>
      </c>
      <c r="CE2206">
        <v>0.42</v>
      </c>
      <c r="CF2206">
        <v>0.04</v>
      </c>
      <c r="CG2206">
        <v>0.42</v>
      </c>
      <c r="CH2206">
        <v>0.38</v>
      </c>
      <c r="CI2206">
        <v>0.38</v>
      </c>
      <c r="CJ2206">
        <v>0.83</v>
      </c>
      <c r="CK2206">
        <v>0.34</v>
      </c>
      <c r="CL2206">
        <v>2.68</v>
      </c>
      <c r="CM2206">
        <v>-0.63</v>
      </c>
      <c r="CN2206">
        <v>1.35</v>
      </c>
      <c r="CO2206">
        <v>11536</v>
      </c>
      <c r="CP2206">
        <v>2168</v>
      </c>
      <c r="CQ2206" t="s">
        <v>4824</v>
      </c>
      <c r="CR2206">
        <v>0.67</v>
      </c>
      <c r="CS2206">
        <v>46.25</v>
      </c>
      <c r="CT2206">
        <v>3.27</v>
      </c>
      <c r="CU2206">
        <v>-46.43</v>
      </c>
      <c r="CV2206">
        <v>7.55</v>
      </c>
      <c r="CW2206">
        <v>0.68</v>
      </c>
      <c r="CX2206" t="s">
        <v>10622</v>
      </c>
      <c r="CY2206">
        <v>9.42</v>
      </c>
      <c r="CZ2206">
        <v>0</v>
      </c>
      <c r="DA2206">
        <v>5.16</v>
      </c>
      <c r="DB2206">
        <v>2.8</v>
      </c>
      <c r="DC2206">
        <v>-0.66</v>
      </c>
      <c r="DD2206">
        <v>79.849999999999994</v>
      </c>
      <c r="DE2206" t="s">
        <v>4391</v>
      </c>
      <c r="DF2206">
        <v>26.64</v>
      </c>
      <c r="DG2206">
        <v>10.65</v>
      </c>
      <c r="DH2206">
        <v>9.7200000000000006</v>
      </c>
      <c r="DI2206">
        <v>0.12</v>
      </c>
      <c r="DJ2206">
        <v>794</v>
      </c>
      <c r="DK2206">
        <v>300865</v>
      </c>
      <c r="DL2206" t="s">
        <v>120</v>
      </c>
      <c r="DM2206" t="s">
        <v>120</v>
      </c>
      <c r="DN2206" t="s">
        <v>120</v>
      </c>
    </row>
    <row r="2207" spans="1:118">
      <c r="A2207" t="str">
        <f>"300866"</f>
        <v>300866</v>
      </c>
      <c r="B2207" t="s">
        <v>10623</v>
      </c>
      <c r="C2207">
        <v>-2.83</v>
      </c>
      <c r="D2207">
        <v>-0.71</v>
      </c>
      <c r="E2207">
        <v>7.0000000000000007E-2</v>
      </c>
      <c r="F2207">
        <v>1414</v>
      </c>
      <c r="G2207" t="s">
        <v>10624</v>
      </c>
      <c r="H2207">
        <v>18172.05</v>
      </c>
      <c r="I2207">
        <v>27.96</v>
      </c>
      <c r="J2207" t="s">
        <v>120</v>
      </c>
      <c r="K2207" t="s">
        <v>10625</v>
      </c>
      <c r="L2207">
        <v>1.22</v>
      </c>
      <c r="M2207">
        <v>96.98</v>
      </c>
      <c r="N2207">
        <v>1.26</v>
      </c>
      <c r="O2207">
        <v>0.59</v>
      </c>
      <c r="P2207">
        <v>100.39</v>
      </c>
      <c r="Q2207">
        <v>-2.83</v>
      </c>
      <c r="R2207">
        <v>96.98</v>
      </c>
      <c r="S2207">
        <v>99.87</v>
      </c>
      <c r="T2207">
        <v>18457</v>
      </c>
      <c r="U2207">
        <v>96.98</v>
      </c>
      <c r="V2207">
        <v>99.8</v>
      </c>
      <c r="W2207">
        <v>48.27</v>
      </c>
      <c r="X2207" t="s">
        <v>229</v>
      </c>
      <c r="Y2207" t="s">
        <v>594</v>
      </c>
      <c r="Z2207">
        <v>3.42</v>
      </c>
      <c r="AA2207">
        <v>98.46</v>
      </c>
      <c r="AB2207">
        <v>8982</v>
      </c>
      <c r="AC2207">
        <v>9475</v>
      </c>
      <c r="AD2207">
        <v>0.95</v>
      </c>
      <c r="AE2207">
        <v>8</v>
      </c>
      <c r="AF2207">
        <v>229</v>
      </c>
      <c r="AG2207" t="s">
        <v>120</v>
      </c>
      <c r="AH2207">
        <v>0</v>
      </c>
      <c r="AI2207" t="s">
        <v>120</v>
      </c>
      <c r="AJ2207">
        <v>1.51</v>
      </c>
      <c r="AK2207" t="s">
        <v>10626</v>
      </c>
      <c r="AL2207">
        <v>-0.91</v>
      </c>
      <c r="AM2207">
        <v>2778</v>
      </c>
      <c r="AN2207">
        <v>7</v>
      </c>
      <c r="AO2207">
        <v>4.0000000000000002E-4</v>
      </c>
      <c r="AP2207">
        <v>-8</v>
      </c>
      <c r="AQ2207">
        <v>-2.95</v>
      </c>
      <c r="AR2207">
        <v>-7.31</v>
      </c>
      <c r="AS2207">
        <v>-22.3</v>
      </c>
      <c r="AT2207">
        <v>-40.65</v>
      </c>
      <c r="AU2207">
        <v>-40.68</v>
      </c>
      <c r="AV2207">
        <v>0</v>
      </c>
      <c r="AW2207">
        <v>1.79</v>
      </c>
      <c r="AX2207">
        <v>25.38</v>
      </c>
      <c r="AY2207">
        <v>41.07</v>
      </c>
      <c r="AZ2207">
        <v>47.39</v>
      </c>
      <c r="BA2207">
        <v>1.1100000000000001</v>
      </c>
      <c r="BB2207" t="s">
        <v>134</v>
      </c>
      <c r="BF2207">
        <v>-1.35</v>
      </c>
      <c r="BG2207">
        <v>-2.89</v>
      </c>
      <c r="BH2207">
        <v>-3.4</v>
      </c>
      <c r="BI2207">
        <v>0</v>
      </c>
      <c r="BJ2207">
        <v>20210907</v>
      </c>
      <c r="BK2207">
        <v>20200824</v>
      </c>
      <c r="BL2207">
        <v>4.0599999999999996</v>
      </c>
      <c r="BM2207" t="s">
        <v>120</v>
      </c>
      <c r="BN2207" t="s">
        <v>120</v>
      </c>
      <c r="BO2207">
        <v>78.540000000000006</v>
      </c>
      <c r="BP2207">
        <v>96.96</v>
      </c>
      <c r="BQ2207">
        <v>54.72</v>
      </c>
      <c r="BR2207">
        <v>0.86</v>
      </c>
      <c r="BS2207">
        <v>29.23</v>
      </c>
      <c r="BT2207">
        <v>69.69</v>
      </c>
      <c r="BU2207">
        <v>0.71</v>
      </c>
      <c r="BV2207">
        <v>0.11</v>
      </c>
      <c r="BW2207">
        <v>18.97</v>
      </c>
      <c r="BX2207">
        <v>6.93</v>
      </c>
      <c r="BY2207">
        <v>23.45</v>
      </c>
      <c r="BZ2207">
        <v>10.36</v>
      </c>
      <c r="CA2207" t="s">
        <v>120</v>
      </c>
      <c r="CB2207">
        <v>30.3</v>
      </c>
      <c r="CC2207">
        <v>53.71</v>
      </c>
      <c r="CD2207">
        <v>29.6</v>
      </c>
      <c r="CE2207">
        <v>4.66</v>
      </c>
      <c r="CF2207">
        <v>0.65</v>
      </c>
      <c r="CG2207">
        <v>4.6500000000000004</v>
      </c>
      <c r="CH2207">
        <v>4.29</v>
      </c>
      <c r="CI2207">
        <v>4.08</v>
      </c>
      <c r="CJ2207">
        <v>-2.82</v>
      </c>
      <c r="CK2207">
        <v>3</v>
      </c>
      <c r="CL2207">
        <v>18.53</v>
      </c>
      <c r="CM2207">
        <v>-1.1599999999999999</v>
      </c>
      <c r="CN2207">
        <v>-0.11</v>
      </c>
      <c r="CO2207">
        <v>11053</v>
      </c>
      <c r="CP2207">
        <v>9334</v>
      </c>
      <c r="CQ2207" t="s">
        <v>10627</v>
      </c>
      <c r="CR2207">
        <v>47.63</v>
      </c>
      <c r="CS2207">
        <v>52.24</v>
      </c>
      <c r="CT2207">
        <v>7.2</v>
      </c>
      <c r="CU2207">
        <v>-339.07</v>
      </c>
      <c r="CV2207">
        <v>7.34</v>
      </c>
      <c r="CW2207">
        <v>0.8</v>
      </c>
      <c r="CX2207" t="s">
        <v>10628</v>
      </c>
      <c r="CY2207">
        <v>13.46</v>
      </c>
      <c r="CZ2207">
        <v>0</v>
      </c>
      <c r="DA2207">
        <v>7.46</v>
      </c>
      <c r="DB2207">
        <v>4.5599999999999996</v>
      </c>
      <c r="DC2207">
        <v>-0.28999999999999998</v>
      </c>
      <c r="DD2207">
        <v>69.680000000000007</v>
      </c>
      <c r="DE2207" t="s">
        <v>8502</v>
      </c>
      <c r="DF2207">
        <v>44.88</v>
      </c>
      <c r="DG2207">
        <v>8.67</v>
      </c>
      <c r="DH2207">
        <v>7.6</v>
      </c>
      <c r="DI2207">
        <v>3.26</v>
      </c>
      <c r="DJ2207">
        <v>3010</v>
      </c>
      <c r="DK2207">
        <v>300866</v>
      </c>
      <c r="DL2207" t="s">
        <v>120</v>
      </c>
      <c r="DM2207" t="s">
        <v>120</v>
      </c>
      <c r="DN2207" t="s">
        <v>120</v>
      </c>
    </row>
    <row r="2208" spans="1:118">
      <c r="A2208" t="str">
        <f>"300867"</f>
        <v>300867</v>
      </c>
      <c r="B2208" t="s">
        <v>10629</v>
      </c>
      <c r="C2208">
        <v>-3.06</v>
      </c>
      <c r="D2208">
        <v>0.13</v>
      </c>
      <c r="E2208">
        <v>0.1</v>
      </c>
      <c r="F2208">
        <v>365</v>
      </c>
      <c r="G2208" t="s">
        <v>5587</v>
      </c>
      <c r="H2208">
        <v>14286.2</v>
      </c>
      <c r="I2208">
        <v>18.75</v>
      </c>
      <c r="J2208" t="s">
        <v>120</v>
      </c>
      <c r="K2208" t="s">
        <v>10630</v>
      </c>
      <c r="L2208">
        <v>3.05</v>
      </c>
      <c r="M2208">
        <v>29.77</v>
      </c>
      <c r="N2208">
        <v>0.93</v>
      </c>
      <c r="O2208">
        <v>0.75</v>
      </c>
      <c r="P2208">
        <v>30.94</v>
      </c>
      <c r="Q2208">
        <v>-3.32</v>
      </c>
      <c r="R2208">
        <v>29.69</v>
      </c>
      <c r="S2208">
        <v>30.74</v>
      </c>
      <c r="T2208">
        <v>47172</v>
      </c>
      <c r="U2208">
        <v>29.78</v>
      </c>
      <c r="V2208">
        <v>30.71</v>
      </c>
      <c r="W2208">
        <v>11.18</v>
      </c>
      <c r="X2208" t="s">
        <v>318</v>
      </c>
      <c r="Y2208" t="s">
        <v>937</v>
      </c>
      <c r="Z2208">
        <v>4.07</v>
      </c>
      <c r="AA2208">
        <v>30.29</v>
      </c>
      <c r="AB2208">
        <v>30336</v>
      </c>
      <c r="AC2208">
        <v>16836</v>
      </c>
      <c r="AD2208">
        <v>1.8</v>
      </c>
      <c r="AE2208">
        <v>139</v>
      </c>
      <c r="AF2208">
        <v>4</v>
      </c>
      <c r="AG2208" t="s">
        <v>120</v>
      </c>
      <c r="AH2208">
        <v>0</v>
      </c>
      <c r="AI2208" t="s">
        <v>120</v>
      </c>
      <c r="AJ2208">
        <v>1.55</v>
      </c>
      <c r="AK2208" t="s">
        <v>10631</v>
      </c>
      <c r="AL2208">
        <v>-1.1499999999999999</v>
      </c>
      <c r="AM2208">
        <v>2378</v>
      </c>
      <c r="AN2208">
        <v>20</v>
      </c>
      <c r="AO2208">
        <v>1.2999999999999999E-3</v>
      </c>
      <c r="AP2208">
        <v>-1</v>
      </c>
      <c r="AQ2208">
        <v>0.1</v>
      </c>
      <c r="AR2208">
        <v>-5.85</v>
      </c>
      <c r="AS2208">
        <v>-11.26</v>
      </c>
      <c r="AT2208">
        <v>-2.2400000000000002</v>
      </c>
      <c r="AU2208">
        <v>-10.27</v>
      </c>
      <c r="AV2208">
        <v>0</v>
      </c>
      <c r="AW2208">
        <v>3.51</v>
      </c>
      <c r="AX2208">
        <v>49.47</v>
      </c>
      <c r="AY2208">
        <v>15.25</v>
      </c>
      <c r="AZ2208">
        <v>27.48</v>
      </c>
      <c r="BA2208">
        <v>0.62</v>
      </c>
      <c r="BB2208" t="s">
        <v>125</v>
      </c>
      <c r="BF2208">
        <v>-1.38</v>
      </c>
      <c r="BG2208">
        <v>-3.16</v>
      </c>
      <c r="BH2208">
        <v>-3.78</v>
      </c>
      <c r="BI2208">
        <v>0.27</v>
      </c>
      <c r="BJ2208">
        <v>20210913</v>
      </c>
      <c r="BK2208">
        <v>20200824</v>
      </c>
      <c r="BL2208">
        <v>2.72</v>
      </c>
      <c r="BM2208" t="s">
        <v>120</v>
      </c>
      <c r="BN2208" t="s">
        <v>120</v>
      </c>
      <c r="BO2208">
        <v>77.87</v>
      </c>
      <c r="BP2208">
        <v>29.77</v>
      </c>
      <c r="BQ2208">
        <v>30.81</v>
      </c>
      <c r="BR2208">
        <v>0</v>
      </c>
      <c r="BS2208">
        <v>60.43</v>
      </c>
      <c r="BT2208">
        <v>16</v>
      </c>
      <c r="BU2208">
        <v>5.04</v>
      </c>
      <c r="BV2208">
        <v>52.43</v>
      </c>
      <c r="BW2208">
        <v>13.29</v>
      </c>
      <c r="BX2208">
        <v>1.44</v>
      </c>
      <c r="BY2208">
        <v>0.28999999999999998</v>
      </c>
      <c r="BZ2208">
        <v>8.19</v>
      </c>
      <c r="CA2208" t="s">
        <v>120</v>
      </c>
      <c r="CB2208">
        <v>14.14</v>
      </c>
      <c r="CC2208">
        <v>13.67</v>
      </c>
      <c r="CD2208">
        <v>9.06</v>
      </c>
      <c r="CE2208">
        <v>4.22</v>
      </c>
      <c r="CF2208">
        <v>0.03</v>
      </c>
      <c r="CG2208">
        <v>4.21</v>
      </c>
      <c r="CH2208">
        <v>3.62</v>
      </c>
      <c r="CI2208">
        <v>3.62</v>
      </c>
      <c r="CJ2208">
        <v>-0.94</v>
      </c>
      <c r="CK2208">
        <v>3.06</v>
      </c>
      <c r="CL2208">
        <v>13.84</v>
      </c>
      <c r="CM2208">
        <v>1.19</v>
      </c>
      <c r="CN2208">
        <v>-1.1299999999999999</v>
      </c>
      <c r="CO2208">
        <v>28437</v>
      </c>
      <c r="CP2208">
        <v>4727</v>
      </c>
      <c r="CQ2208" t="s">
        <v>3003</v>
      </c>
      <c r="CR2208">
        <v>205.77</v>
      </c>
      <c r="CS2208">
        <v>201.48</v>
      </c>
      <c r="CT2208">
        <v>2.63</v>
      </c>
      <c r="CU2208">
        <v>68.239999999999995</v>
      </c>
      <c r="CV2208">
        <v>5.92</v>
      </c>
      <c r="CW2208">
        <v>0.39</v>
      </c>
      <c r="CX2208" t="s">
        <v>10632</v>
      </c>
      <c r="CY2208">
        <v>11.34</v>
      </c>
      <c r="CZ2208">
        <v>0</v>
      </c>
      <c r="DA2208">
        <v>5.2</v>
      </c>
      <c r="DB2208">
        <v>5.09</v>
      </c>
      <c r="DC2208">
        <v>0.44</v>
      </c>
      <c r="DD2208">
        <v>39.57</v>
      </c>
      <c r="DE2208" t="s">
        <v>10633</v>
      </c>
      <c r="DF2208">
        <v>33.69</v>
      </c>
      <c r="DG2208">
        <v>30.85</v>
      </c>
      <c r="DH2208">
        <v>26.47</v>
      </c>
      <c r="DI2208">
        <v>7.0000000000000007E-2</v>
      </c>
      <c r="DJ2208">
        <v>1253</v>
      </c>
      <c r="DK2208">
        <v>300867</v>
      </c>
      <c r="DL2208" t="s">
        <v>120</v>
      </c>
      <c r="DM2208" t="s">
        <v>120</v>
      </c>
      <c r="DN2208" t="s">
        <v>120</v>
      </c>
    </row>
    <row r="2209" spans="1:118">
      <c r="A2209" t="str">
        <f>"300868"</f>
        <v>300868</v>
      </c>
      <c r="B2209" t="s">
        <v>10634</v>
      </c>
      <c r="C2209">
        <v>0.32</v>
      </c>
      <c r="D2209">
        <v>0.12</v>
      </c>
      <c r="E2209">
        <v>0</v>
      </c>
      <c r="F2209">
        <v>80</v>
      </c>
      <c r="G2209" t="s">
        <v>10635</v>
      </c>
      <c r="H2209">
        <v>3006.27</v>
      </c>
      <c r="I2209">
        <v>3.69</v>
      </c>
      <c r="J2209" t="s">
        <v>120</v>
      </c>
      <c r="K2209" t="s">
        <v>10635</v>
      </c>
      <c r="L2209">
        <v>2.41</v>
      </c>
      <c r="M2209">
        <v>24.71</v>
      </c>
      <c r="N2209">
        <v>1.44</v>
      </c>
      <c r="O2209">
        <v>1.91</v>
      </c>
      <c r="P2209">
        <v>25.1</v>
      </c>
      <c r="Q2209">
        <v>-0.53</v>
      </c>
      <c r="R2209">
        <v>24.5</v>
      </c>
      <c r="S2209">
        <v>24.63</v>
      </c>
      <c r="T2209">
        <v>12124</v>
      </c>
      <c r="U2209">
        <v>24.71</v>
      </c>
      <c r="V2209">
        <v>24.63</v>
      </c>
      <c r="W2209">
        <v>101.73</v>
      </c>
      <c r="X2209" t="s">
        <v>462</v>
      </c>
      <c r="Y2209" t="s">
        <v>123</v>
      </c>
      <c r="Z2209">
        <v>2.44</v>
      </c>
      <c r="AA2209">
        <v>24.8</v>
      </c>
      <c r="AB2209">
        <v>7553</v>
      </c>
      <c r="AC2209">
        <v>4571</v>
      </c>
      <c r="AD2209">
        <v>1.65</v>
      </c>
      <c r="AE2209">
        <v>52</v>
      </c>
      <c r="AF2209">
        <v>7</v>
      </c>
      <c r="AG2209" t="s">
        <v>120</v>
      </c>
      <c r="AH2209">
        <v>0</v>
      </c>
      <c r="AI2209" t="s">
        <v>120</v>
      </c>
      <c r="AJ2209">
        <v>0.5</v>
      </c>
      <c r="AK2209" t="s">
        <v>4700</v>
      </c>
      <c r="AL2209">
        <v>2.2400000000000002</v>
      </c>
      <c r="AM2209">
        <v>986</v>
      </c>
      <c r="AN2209">
        <v>12</v>
      </c>
      <c r="AO2209">
        <v>2.3999999999999998E-3</v>
      </c>
      <c r="AP2209">
        <v>2</v>
      </c>
      <c r="AQ2209">
        <v>0.41</v>
      </c>
      <c r="AR2209">
        <v>-1.1599999999999999</v>
      </c>
      <c r="AS2209">
        <v>-8.34</v>
      </c>
      <c r="AT2209">
        <v>-21.56</v>
      </c>
      <c r="AU2209">
        <v>-44.18</v>
      </c>
      <c r="AV2209">
        <v>0</v>
      </c>
      <c r="AW2209">
        <v>2.41</v>
      </c>
      <c r="AX2209">
        <v>39.24</v>
      </c>
      <c r="AY2209">
        <v>48.48</v>
      </c>
      <c r="AZ2209">
        <v>29.64</v>
      </c>
      <c r="BA2209">
        <v>0.61</v>
      </c>
      <c r="BB2209" t="s">
        <v>125</v>
      </c>
      <c r="BF2209">
        <v>0.67</v>
      </c>
      <c r="BG2209">
        <v>0.32</v>
      </c>
      <c r="BH2209">
        <v>-1.55</v>
      </c>
      <c r="BI2209">
        <v>0.86</v>
      </c>
      <c r="BJ2209">
        <v>20210823</v>
      </c>
      <c r="BK2209">
        <v>20200824</v>
      </c>
      <c r="BL2209">
        <v>1.28</v>
      </c>
      <c r="BM2209" t="s">
        <v>120</v>
      </c>
      <c r="BN2209" t="s">
        <v>120</v>
      </c>
      <c r="BO2209">
        <v>20.8</v>
      </c>
      <c r="BP2209">
        <v>24.69</v>
      </c>
      <c r="BQ2209">
        <v>17.690000000000001</v>
      </c>
      <c r="BR2209" t="s">
        <v>120</v>
      </c>
      <c r="BS2209">
        <v>14.99</v>
      </c>
      <c r="BT2209">
        <v>17.34</v>
      </c>
      <c r="BU2209">
        <v>0.52</v>
      </c>
      <c r="BV2209">
        <v>0.52</v>
      </c>
      <c r="BW2209">
        <v>1.99</v>
      </c>
      <c r="BX2209">
        <v>5.1100000000000003</v>
      </c>
      <c r="BY2209">
        <v>0.72</v>
      </c>
      <c r="BZ2209">
        <v>1.7</v>
      </c>
      <c r="CA2209">
        <v>0</v>
      </c>
      <c r="CB2209">
        <v>13.33</v>
      </c>
      <c r="CC2209">
        <v>3</v>
      </c>
      <c r="CD2209">
        <v>2.0699999999999998</v>
      </c>
      <c r="CE2209">
        <v>0.19</v>
      </c>
      <c r="CF2209">
        <v>0.09</v>
      </c>
      <c r="CG2209">
        <v>0.19</v>
      </c>
      <c r="CH2209">
        <v>0.16</v>
      </c>
      <c r="CI2209">
        <v>0.16</v>
      </c>
      <c r="CJ2209">
        <v>0.08</v>
      </c>
      <c r="CK2209">
        <v>0</v>
      </c>
      <c r="CL2209">
        <v>2.76</v>
      </c>
      <c r="CM2209">
        <v>0.17</v>
      </c>
      <c r="CN2209">
        <v>-9.69</v>
      </c>
      <c r="CO2209">
        <v>19253</v>
      </c>
      <c r="CP2209">
        <v>2609</v>
      </c>
      <c r="CQ2209" t="s">
        <v>10636</v>
      </c>
      <c r="CR2209">
        <v>-72.67</v>
      </c>
      <c r="CS2209">
        <v>-21.27</v>
      </c>
      <c r="CT2209">
        <v>1.79</v>
      </c>
      <c r="CU2209">
        <v>188.17</v>
      </c>
      <c r="CV2209">
        <v>10.53</v>
      </c>
      <c r="CW2209">
        <v>1.54</v>
      </c>
      <c r="CX2209" t="s">
        <v>1908</v>
      </c>
      <c r="CY2209">
        <v>13.82</v>
      </c>
      <c r="CZ2209">
        <v>0</v>
      </c>
      <c r="DA2209">
        <v>10.41</v>
      </c>
      <c r="DB2209">
        <v>2.16</v>
      </c>
      <c r="DC2209">
        <v>0.13</v>
      </c>
      <c r="DD2209">
        <v>85.01</v>
      </c>
      <c r="DE2209" t="s">
        <v>6739</v>
      </c>
      <c r="DF2209">
        <v>31.02</v>
      </c>
      <c r="DG2209">
        <v>6.48</v>
      </c>
      <c r="DH2209">
        <v>5.17</v>
      </c>
      <c r="DI2209">
        <v>0.21</v>
      </c>
      <c r="DJ2209">
        <v>1211</v>
      </c>
      <c r="DK2209">
        <v>300868</v>
      </c>
      <c r="DL2209" t="s">
        <v>120</v>
      </c>
      <c r="DM2209" t="s">
        <v>120</v>
      </c>
      <c r="DN2209" t="s">
        <v>120</v>
      </c>
    </row>
    <row r="2210" spans="1:118">
      <c r="A2210" t="str">
        <f>"300869"</f>
        <v>300869</v>
      </c>
      <c r="B2210" t="s">
        <v>10637</v>
      </c>
      <c r="C2210">
        <v>0.08</v>
      </c>
      <c r="D2210">
        <v>-7.0000000000000007E-2</v>
      </c>
      <c r="E2210">
        <v>-0.24</v>
      </c>
      <c r="F2210">
        <v>1571</v>
      </c>
      <c r="G2210" t="s">
        <v>10638</v>
      </c>
      <c r="H2210">
        <v>20647.39</v>
      </c>
      <c r="I2210">
        <v>182.95</v>
      </c>
      <c r="J2210" t="s">
        <v>120</v>
      </c>
      <c r="K2210" t="s">
        <v>8736</v>
      </c>
      <c r="L2210">
        <v>2.56</v>
      </c>
      <c r="M2210">
        <v>37.380000000000003</v>
      </c>
      <c r="N2210">
        <v>0.99</v>
      </c>
      <c r="O2210">
        <v>2.54</v>
      </c>
      <c r="P2210">
        <v>38.299999999999997</v>
      </c>
      <c r="Q2210">
        <v>-0.72</v>
      </c>
      <c r="R2210">
        <v>37.08</v>
      </c>
      <c r="S2210">
        <v>37.26</v>
      </c>
      <c r="T2210">
        <v>54789</v>
      </c>
      <c r="U2210">
        <v>37.39</v>
      </c>
      <c r="V2210">
        <v>37.35</v>
      </c>
      <c r="W2210">
        <v>37.090000000000003</v>
      </c>
      <c r="X2210" t="s">
        <v>555</v>
      </c>
      <c r="Y2210" t="s">
        <v>602</v>
      </c>
      <c r="Z2210">
        <v>3.27</v>
      </c>
      <c r="AA2210">
        <v>37.69</v>
      </c>
      <c r="AB2210">
        <v>26653</v>
      </c>
      <c r="AC2210">
        <v>28136</v>
      </c>
      <c r="AD2210">
        <v>0.95</v>
      </c>
      <c r="AE2210">
        <v>232</v>
      </c>
      <c r="AF2210">
        <v>5</v>
      </c>
      <c r="AG2210" t="s">
        <v>120</v>
      </c>
      <c r="AH2210">
        <v>0.04</v>
      </c>
      <c r="AI2210" t="s">
        <v>120</v>
      </c>
      <c r="AJ2210">
        <v>2.14</v>
      </c>
      <c r="AK2210" t="s">
        <v>10639</v>
      </c>
      <c r="AL2210">
        <v>1.99</v>
      </c>
      <c r="AM2210">
        <v>3141</v>
      </c>
      <c r="AN2210">
        <v>17</v>
      </c>
      <c r="AO2210">
        <v>8.0000000000000004E-4</v>
      </c>
      <c r="AP2210">
        <v>1</v>
      </c>
      <c r="AQ2210">
        <v>-3.66</v>
      </c>
      <c r="AR2210">
        <v>-3.16</v>
      </c>
      <c r="AS2210">
        <v>-36.4</v>
      </c>
      <c r="AT2210">
        <v>-45.74</v>
      </c>
      <c r="AU2210">
        <v>-68.5</v>
      </c>
      <c r="AV2210">
        <v>4</v>
      </c>
      <c r="AW2210">
        <v>4.25</v>
      </c>
      <c r="AX2210">
        <v>32.08</v>
      </c>
      <c r="AY2210">
        <v>33.19</v>
      </c>
      <c r="AZ2210">
        <v>24.47</v>
      </c>
      <c r="BA2210">
        <v>0.46</v>
      </c>
      <c r="BB2210" t="s">
        <v>134</v>
      </c>
      <c r="BF2210">
        <v>0.9</v>
      </c>
      <c r="BG2210">
        <v>0.32</v>
      </c>
      <c r="BH2210">
        <v>-2.4</v>
      </c>
      <c r="BI2210">
        <v>0.81</v>
      </c>
      <c r="BJ2210">
        <v>20210823</v>
      </c>
      <c r="BK2210">
        <v>20200824</v>
      </c>
      <c r="BL2210">
        <v>4.0199999999999996</v>
      </c>
      <c r="BM2210" t="s">
        <v>120</v>
      </c>
      <c r="BN2210" t="s">
        <v>120</v>
      </c>
      <c r="BO2210">
        <v>26.05</v>
      </c>
      <c r="BP2210">
        <v>37.380000000000003</v>
      </c>
      <c r="BQ2210">
        <v>16.71</v>
      </c>
      <c r="BR2210" t="s">
        <v>120</v>
      </c>
      <c r="BS2210">
        <v>35.869999999999997</v>
      </c>
      <c r="BT2210">
        <v>11.58</v>
      </c>
      <c r="BU2210">
        <v>1.61</v>
      </c>
      <c r="BV2210">
        <v>0.18</v>
      </c>
      <c r="BW2210">
        <v>9.2100000000000009</v>
      </c>
      <c r="BX2210">
        <v>6.01</v>
      </c>
      <c r="BY2210">
        <v>3.6</v>
      </c>
      <c r="BZ2210">
        <v>1.1100000000000001</v>
      </c>
      <c r="CA2210" t="s">
        <v>120</v>
      </c>
      <c r="CB2210">
        <v>3.45</v>
      </c>
      <c r="CC2210">
        <v>5.15</v>
      </c>
      <c r="CD2210">
        <v>2.5299999999999998</v>
      </c>
      <c r="CE2210">
        <v>2.35</v>
      </c>
      <c r="CF2210">
        <v>0.01</v>
      </c>
      <c r="CG2210">
        <v>2.37</v>
      </c>
      <c r="CH2210">
        <v>2.02</v>
      </c>
      <c r="CI2210">
        <v>2.02</v>
      </c>
      <c r="CJ2210">
        <v>0.03</v>
      </c>
      <c r="CK2210">
        <v>1.98</v>
      </c>
      <c r="CL2210">
        <v>8.1999999999999993</v>
      </c>
      <c r="CM2210">
        <v>-0.1</v>
      </c>
      <c r="CN2210">
        <v>-2</v>
      </c>
      <c r="CO2210">
        <v>33108</v>
      </c>
      <c r="CP2210">
        <v>3893</v>
      </c>
      <c r="CQ2210" t="s">
        <v>2428</v>
      </c>
      <c r="CR2210">
        <v>-44.34</v>
      </c>
      <c r="CS2210">
        <v>-31.45</v>
      </c>
      <c r="CT2210">
        <v>8.99</v>
      </c>
      <c r="CU2210">
        <v>-1576.98</v>
      </c>
      <c r="CV2210">
        <v>29.17</v>
      </c>
      <c r="CW2210">
        <v>0.67</v>
      </c>
      <c r="CX2210" t="s">
        <v>550</v>
      </c>
      <c r="CY2210">
        <v>4.16</v>
      </c>
      <c r="CZ2210">
        <v>0</v>
      </c>
      <c r="DA2210">
        <v>0.86</v>
      </c>
      <c r="DB2210">
        <v>2.04</v>
      </c>
      <c r="DC2210">
        <v>-0.02</v>
      </c>
      <c r="DD2210">
        <v>64.13</v>
      </c>
      <c r="DE2210" t="s">
        <v>6333</v>
      </c>
      <c r="DF2210">
        <v>50.84</v>
      </c>
      <c r="DG2210">
        <v>45.56</v>
      </c>
      <c r="DH2210">
        <v>39.32</v>
      </c>
      <c r="DI2210">
        <v>0.28999999999999998</v>
      </c>
      <c r="DJ2210">
        <v>1347</v>
      </c>
      <c r="DK2210">
        <v>300869</v>
      </c>
      <c r="DL2210" t="s">
        <v>120</v>
      </c>
      <c r="DM2210" t="s">
        <v>120</v>
      </c>
      <c r="DN2210" t="s">
        <v>120</v>
      </c>
    </row>
    <row r="2211" spans="1:118">
      <c r="A2211" t="str">
        <f>"300870"</f>
        <v>300870</v>
      </c>
      <c r="B2211" t="s">
        <v>10640</v>
      </c>
      <c r="C2211">
        <v>-1.3</v>
      </c>
      <c r="D2211">
        <v>-0.12</v>
      </c>
      <c r="E2211">
        <v>-0.39</v>
      </c>
      <c r="F2211">
        <v>55</v>
      </c>
      <c r="G2211" t="s">
        <v>2153</v>
      </c>
      <c r="H2211">
        <v>4972.47</v>
      </c>
      <c r="I2211">
        <v>0</v>
      </c>
      <c r="J2211" t="s">
        <v>120</v>
      </c>
      <c r="K2211" t="s">
        <v>2153</v>
      </c>
      <c r="L2211">
        <v>1.97</v>
      </c>
      <c r="M2211">
        <v>63.22</v>
      </c>
      <c r="N2211">
        <v>1.01</v>
      </c>
      <c r="O2211">
        <v>2.2599999999999998</v>
      </c>
      <c r="P2211">
        <v>65.5</v>
      </c>
      <c r="Q2211">
        <v>-1.56</v>
      </c>
      <c r="R2211">
        <v>63.05</v>
      </c>
      <c r="S2211">
        <v>63.8</v>
      </c>
      <c r="T2211">
        <v>7721</v>
      </c>
      <c r="U2211">
        <v>63.23</v>
      </c>
      <c r="V2211">
        <v>64.05</v>
      </c>
      <c r="W2211">
        <v>44.84</v>
      </c>
      <c r="X2211" t="s">
        <v>229</v>
      </c>
      <c r="Y2211" t="s">
        <v>123</v>
      </c>
      <c r="Z2211">
        <v>3.83</v>
      </c>
      <c r="AA2211">
        <v>64.400000000000006</v>
      </c>
      <c r="AB2211">
        <v>3511</v>
      </c>
      <c r="AC2211">
        <v>4210</v>
      </c>
      <c r="AD2211">
        <v>0.83</v>
      </c>
      <c r="AE2211">
        <v>2</v>
      </c>
      <c r="AF2211">
        <v>2</v>
      </c>
      <c r="AG2211" t="s">
        <v>120</v>
      </c>
      <c r="AH2211">
        <v>0</v>
      </c>
      <c r="AI2211" t="s">
        <v>120</v>
      </c>
      <c r="AJ2211">
        <v>0.39</v>
      </c>
      <c r="AK2211" t="s">
        <v>10641</v>
      </c>
      <c r="AL2211">
        <v>0.62</v>
      </c>
      <c r="AM2211">
        <v>1254</v>
      </c>
      <c r="AN2211">
        <v>6</v>
      </c>
      <c r="AO2211">
        <v>1.6000000000000001E-3</v>
      </c>
      <c r="AP2211">
        <v>-1</v>
      </c>
      <c r="AQ2211">
        <v>1.59</v>
      </c>
      <c r="AR2211">
        <v>2.14</v>
      </c>
      <c r="AS2211">
        <v>8.25</v>
      </c>
      <c r="AT2211">
        <v>0.67</v>
      </c>
      <c r="AU2211">
        <v>-7.42</v>
      </c>
      <c r="AV2211">
        <v>1</v>
      </c>
      <c r="AW2211">
        <v>1.97</v>
      </c>
      <c r="AX2211">
        <v>38.630000000000003</v>
      </c>
      <c r="AY2211">
        <v>34.880000000000003</v>
      </c>
      <c r="AZ2211">
        <v>33.42</v>
      </c>
      <c r="BA2211">
        <v>0.5</v>
      </c>
      <c r="BB2211" t="s">
        <v>143</v>
      </c>
      <c r="BF2211">
        <v>0.55000000000000004</v>
      </c>
      <c r="BG2211">
        <v>-0.91</v>
      </c>
      <c r="BH2211">
        <v>-3.48</v>
      </c>
      <c r="BI2211">
        <v>0.27</v>
      </c>
      <c r="BJ2211">
        <v>20210827</v>
      </c>
      <c r="BK2211">
        <v>20200824</v>
      </c>
      <c r="BL2211">
        <v>1.01</v>
      </c>
      <c r="BM2211" t="s">
        <v>120</v>
      </c>
      <c r="BN2211" t="s">
        <v>120</v>
      </c>
      <c r="BO2211">
        <v>26.01</v>
      </c>
      <c r="BP2211">
        <v>63.22</v>
      </c>
      <c r="BQ2211">
        <v>15.36</v>
      </c>
      <c r="BR2211">
        <v>0</v>
      </c>
      <c r="BS2211">
        <v>40.97</v>
      </c>
      <c r="BT2211">
        <v>21.37</v>
      </c>
      <c r="BU2211">
        <v>2.63</v>
      </c>
      <c r="BV2211">
        <v>0.51</v>
      </c>
      <c r="BW2211">
        <v>10.51</v>
      </c>
      <c r="BX2211">
        <v>4.04</v>
      </c>
      <c r="BY2211">
        <v>4.42</v>
      </c>
      <c r="BZ2211">
        <v>6.91</v>
      </c>
      <c r="CA2211">
        <v>0</v>
      </c>
      <c r="CB2211">
        <v>10.210000000000001</v>
      </c>
      <c r="CC2211">
        <v>12.13</v>
      </c>
      <c r="CD2211">
        <v>10.14</v>
      </c>
      <c r="CE2211">
        <v>0.8</v>
      </c>
      <c r="CF2211">
        <v>0.09</v>
      </c>
      <c r="CG2211">
        <v>0.79</v>
      </c>
      <c r="CH2211">
        <v>0.71</v>
      </c>
      <c r="CI2211">
        <v>0.71</v>
      </c>
      <c r="CJ2211">
        <v>-0.83</v>
      </c>
      <c r="CK2211">
        <v>0.57999999999999996</v>
      </c>
      <c r="CL2211">
        <v>3.9</v>
      </c>
      <c r="CM2211">
        <v>0.63</v>
      </c>
      <c r="CN2211">
        <v>-0.2</v>
      </c>
      <c r="CO2211">
        <v>12000</v>
      </c>
      <c r="CP2211">
        <v>3258</v>
      </c>
      <c r="CQ2211" t="s">
        <v>10642</v>
      </c>
      <c r="CR2211">
        <v>-10.24</v>
      </c>
      <c r="CS2211">
        <v>46.59</v>
      </c>
      <c r="CT2211">
        <v>4.17</v>
      </c>
      <c r="CU2211">
        <v>102</v>
      </c>
      <c r="CV2211">
        <v>5.27</v>
      </c>
      <c r="CW2211">
        <v>0.52</v>
      </c>
      <c r="CX2211" t="s">
        <v>2021</v>
      </c>
      <c r="CY2211">
        <v>15.17</v>
      </c>
      <c r="CZ2211">
        <v>0</v>
      </c>
      <c r="DA2211">
        <v>10.09</v>
      </c>
      <c r="DB2211">
        <v>3.86</v>
      </c>
      <c r="DC2211">
        <v>0.62</v>
      </c>
      <c r="DD2211">
        <v>59.04</v>
      </c>
      <c r="DE2211" t="s">
        <v>473</v>
      </c>
      <c r="DF2211">
        <v>16.45</v>
      </c>
      <c r="DG2211">
        <v>6.63</v>
      </c>
      <c r="DH2211">
        <v>5.88</v>
      </c>
      <c r="DI2211">
        <v>0.51</v>
      </c>
      <c r="DJ2211">
        <v>4372</v>
      </c>
      <c r="DK2211">
        <v>300870</v>
      </c>
      <c r="DL2211" t="s">
        <v>120</v>
      </c>
      <c r="DM2211" t="s">
        <v>120</v>
      </c>
      <c r="DN2211" t="s">
        <v>120</v>
      </c>
    </row>
    <row r="2212" spans="1:118">
      <c r="A2212" t="str">
        <f>"300871"</f>
        <v>300871</v>
      </c>
      <c r="B2212" t="s">
        <v>10643</v>
      </c>
      <c r="C2212">
        <v>-2.83</v>
      </c>
      <c r="D2212">
        <v>0</v>
      </c>
      <c r="E2212">
        <v>-0.28999999999999998</v>
      </c>
      <c r="F2212">
        <v>90</v>
      </c>
      <c r="G2212" t="s">
        <v>10320</v>
      </c>
      <c r="H2212">
        <v>4769.79</v>
      </c>
      <c r="I2212">
        <v>24.6</v>
      </c>
      <c r="J2212" t="s">
        <v>120</v>
      </c>
      <c r="K2212" t="s">
        <v>10644</v>
      </c>
      <c r="L2212">
        <v>1.78</v>
      </c>
      <c r="M2212">
        <v>33.299999999999997</v>
      </c>
      <c r="N2212">
        <v>1.3</v>
      </c>
      <c r="O2212">
        <v>1.37</v>
      </c>
      <c r="P2212">
        <v>34.74</v>
      </c>
      <c r="Q2212">
        <v>-3.24</v>
      </c>
      <c r="R2212">
        <v>33.159999999999997</v>
      </c>
      <c r="S2212">
        <v>34.17</v>
      </c>
      <c r="T2212">
        <v>14022</v>
      </c>
      <c r="U2212">
        <v>33.299999999999997</v>
      </c>
      <c r="V2212">
        <v>34.270000000000003</v>
      </c>
      <c r="W2212">
        <v>27.32</v>
      </c>
      <c r="X2212" t="s">
        <v>447</v>
      </c>
      <c r="Y2212" t="s">
        <v>763</v>
      </c>
      <c r="Z2212">
        <v>4.6100000000000003</v>
      </c>
      <c r="AA2212">
        <v>34.020000000000003</v>
      </c>
      <c r="AB2212">
        <v>8575</v>
      </c>
      <c r="AC2212">
        <v>5447</v>
      </c>
      <c r="AD2212">
        <v>1.57</v>
      </c>
      <c r="AE2212">
        <v>9</v>
      </c>
      <c r="AF2212">
        <v>91</v>
      </c>
      <c r="AG2212" t="s">
        <v>120</v>
      </c>
      <c r="AH2212">
        <v>0.02</v>
      </c>
      <c r="AI2212" t="s">
        <v>120</v>
      </c>
      <c r="AJ2212">
        <v>0.79</v>
      </c>
      <c r="AK2212" t="s">
        <v>10645</v>
      </c>
      <c r="AL2212">
        <v>-0.92</v>
      </c>
      <c r="AM2212">
        <v>1234</v>
      </c>
      <c r="AN2212">
        <v>11</v>
      </c>
      <c r="AO2212">
        <v>1.4E-3</v>
      </c>
      <c r="AP2212">
        <v>-2</v>
      </c>
      <c r="AQ2212">
        <v>-4.1900000000000004</v>
      </c>
      <c r="AR2212">
        <v>-5.85</v>
      </c>
      <c r="AS2212">
        <v>-2.71</v>
      </c>
      <c r="AT2212">
        <v>-15.66</v>
      </c>
      <c r="AU2212">
        <v>26.39</v>
      </c>
      <c r="AV2212">
        <v>0</v>
      </c>
      <c r="AW2212">
        <v>3.37</v>
      </c>
      <c r="AX2212">
        <v>24.99</v>
      </c>
      <c r="AY2212">
        <v>28.64</v>
      </c>
      <c r="AZ2212">
        <v>37.94</v>
      </c>
      <c r="BA2212">
        <v>1.07</v>
      </c>
      <c r="BB2212" t="s">
        <v>125</v>
      </c>
      <c r="BF2212">
        <v>-0.74</v>
      </c>
      <c r="BG2212">
        <v>-2.5499999999999998</v>
      </c>
      <c r="BH2212">
        <v>-4.1500000000000004</v>
      </c>
      <c r="BI2212">
        <v>0.42</v>
      </c>
      <c r="BJ2212">
        <v>20210909</v>
      </c>
      <c r="BK2212">
        <v>20200824</v>
      </c>
      <c r="BL2212">
        <v>1.66</v>
      </c>
      <c r="BM2212" t="s">
        <v>120</v>
      </c>
      <c r="BN2212" t="s">
        <v>120</v>
      </c>
      <c r="BO2212">
        <v>18.78</v>
      </c>
      <c r="BP2212">
        <v>33.270000000000003</v>
      </c>
      <c r="BQ2212">
        <v>14.35</v>
      </c>
      <c r="BR2212" t="s">
        <v>120</v>
      </c>
      <c r="BS2212">
        <v>23.57</v>
      </c>
      <c r="BT2212">
        <v>10.64</v>
      </c>
      <c r="BU2212">
        <v>3.49</v>
      </c>
      <c r="BV2212">
        <v>1.1200000000000001</v>
      </c>
      <c r="BW2212">
        <v>4.0599999999999996</v>
      </c>
      <c r="BX2212">
        <v>5.38</v>
      </c>
      <c r="BY2212">
        <v>2.33</v>
      </c>
      <c r="BZ2212">
        <v>1.88</v>
      </c>
      <c r="CA2212" t="s">
        <v>120</v>
      </c>
      <c r="CB2212">
        <v>8.7200000000000006</v>
      </c>
      <c r="CC2212">
        <v>5.36</v>
      </c>
      <c r="CD2212">
        <v>3.58</v>
      </c>
      <c r="CE2212">
        <v>1.18</v>
      </c>
      <c r="CF2212">
        <v>0.02</v>
      </c>
      <c r="CG2212">
        <v>1.18</v>
      </c>
      <c r="CH2212">
        <v>1.01</v>
      </c>
      <c r="CI2212">
        <v>1.01</v>
      </c>
      <c r="CJ2212">
        <v>-0.97</v>
      </c>
      <c r="CK2212">
        <v>0.95</v>
      </c>
      <c r="CL2212">
        <v>3.68</v>
      </c>
      <c r="CM2212">
        <v>0.62</v>
      </c>
      <c r="CN2212">
        <v>1.55</v>
      </c>
      <c r="CO2212">
        <v>10018</v>
      </c>
      <c r="CP2212">
        <v>4148</v>
      </c>
      <c r="CQ2212" t="s">
        <v>10646</v>
      </c>
      <c r="CR2212">
        <v>92.77</v>
      </c>
      <c r="CS2212">
        <v>86.78</v>
      </c>
      <c r="CT2212">
        <v>3.85</v>
      </c>
      <c r="CU2212">
        <v>89.34</v>
      </c>
      <c r="CV2212">
        <v>10.33</v>
      </c>
      <c r="CW2212">
        <v>0.8</v>
      </c>
      <c r="CX2212" t="s">
        <v>1656</v>
      </c>
      <c r="CY2212">
        <v>8.66</v>
      </c>
      <c r="CZ2212">
        <v>8.66</v>
      </c>
      <c r="DA2212">
        <v>5.24</v>
      </c>
      <c r="DB2212">
        <v>2.21</v>
      </c>
      <c r="DC2212">
        <v>0.37</v>
      </c>
      <c r="DD2212">
        <v>76.430000000000007</v>
      </c>
      <c r="DE2212" t="s">
        <v>10647</v>
      </c>
      <c r="DF2212">
        <v>33.200000000000003</v>
      </c>
      <c r="DG2212">
        <v>22.06</v>
      </c>
      <c r="DH2212">
        <v>18.91</v>
      </c>
      <c r="DI2212">
        <v>0.15</v>
      </c>
      <c r="DJ2212">
        <v>684</v>
      </c>
      <c r="DK2212">
        <v>300871</v>
      </c>
      <c r="DL2212" t="s">
        <v>120</v>
      </c>
      <c r="DM2212" t="s">
        <v>120</v>
      </c>
      <c r="DN2212" t="s">
        <v>120</v>
      </c>
    </row>
    <row r="2213" spans="1:118">
      <c r="A2213" t="str">
        <f>"300872"</f>
        <v>300872</v>
      </c>
      <c r="B2213" t="s">
        <v>10648</v>
      </c>
      <c r="C2213">
        <v>-0.6</v>
      </c>
      <c r="D2213">
        <v>0</v>
      </c>
      <c r="E2213">
        <v>-0.22</v>
      </c>
      <c r="F2213">
        <v>429</v>
      </c>
      <c r="G2213" t="s">
        <v>2403</v>
      </c>
      <c r="H2213">
        <v>5039.28</v>
      </c>
      <c r="I2213">
        <v>46.26</v>
      </c>
      <c r="J2213" t="s">
        <v>120</v>
      </c>
      <c r="K2213" t="s">
        <v>10649</v>
      </c>
      <c r="L2213">
        <v>1.1200000000000001</v>
      </c>
      <c r="M2213">
        <v>31.35</v>
      </c>
      <c r="N2213">
        <v>0.65</v>
      </c>
      <c r="O2213">
        <v>0.98</v>
      </c>
      <c r="P2213">
        <v>31.85</v>
      </c>
      <c r="Q2213">
        <v>-0.82</v>
      </c>
      <c r="R2213">
        <v>31.28</v>
      </c>
      <c r="S2213">
        <v>31.47</v>
      </c>
      <c r="T2213">
        <v>16009</v>
      </c>
      <c r="U2213">
        <v>31.37</v>
      </c>
      <c r="V2213">
        <v>31.54</v>
      </c>
      <c r="W2213">
        <v>46.01</v>
      </c>
      <c r="X2213" t="s">
        <v>141</v>
      </c>
      <c r="Y2213" t="s">
        <v>1886</v>
      </c>
      <c r="Z2213">
        <v>1.81</v>
      </c>
      <c r="AA2213">
        <v>31.48</v>
      </c>
      <c r="AB2213">
        <v>8853</v>
      </c>
      <c r="AC2213">
        <v>7156</v>
      </c>
      <c r="AD2213">
        <v>1.24</v>
      </c>
      <c r="AE2213">
        <v>23</v>
      </c>
      <c r="AF2213">
        <v>38</v>
      </c>
      <c r="AG2213" t="s">
        <v>120</v>
      </c>
      <c r="AH2213">
        <v>0.01</v>
      </c>
      <c r="AI2213" t="s">
        <v>120</v>
      </c>
      <c r="AJ2213">
        <v>1.42</v>
      </c>
      <c r="AK2213" t="s">
        <v>7738</v>
      </c>
      <c r="AL2213">
        <v>1.31</v>
      </c>
      <c r="AM2213">
        <v>1382</v>
      </c>
      <c r="AN2213">
        <v>12</v>
      </c>
      <c r="AO2213">
        <v>8.0000000000000004E-4</v>
      </c>
      <c r="AP2213">
        <v>-4</v>
      </c>
      <c r="AQ2213">
        <v>-0.72</v>
      </c>
      <c r="AR2213">
        <v>-1.78</v>
      </c>
      <c r="AS2213">
        <v>-3.03</v>
      </c>
      <c r="AT2213">
        <v>-12.75</v>
      </c>
      <c r="AU2213">
        <v>-19.739999999999998</v>
      </c>
      <c r="AV2213">
        <v>2</v>
      </c>
      <c r="AW2213">
        <v>1.56</v>
      </c>
      <c r="AX2213">
        <v>45.68</v>
      </c>
      <c r="AY2213">
        <v>44.42</v>
      </c>
      <c r="AZ2213">
        <v>52.97</v>
      </c>
      <c r="BA2213">
        <v>0.87</v>
      </c>
      <c r="BB2213" t="s">
        <v>143</v>
      </c>
      <c r="BF2213">
        <v>-0.2</v>
      </c>
      <c r="BG2213">
        <v>-0.38</v>
      </c>
      <c r="BH2213">
        <v>-1.57</v>
      </c>
      <c r="BI2213">
        <v>0.22</v>
      </c>
      <c r="BJ2213">
        <v>20210830</v>
      </c>
      <c r="BK2213">
        <v>20200824</v>
      </c>
      <c r="BL2213">
        <v>2.25</v>
      </c>
      <c r="BM2213" t="s">
        <v>120</v>
      </c>
      <c r="BN2213" t="s">
        <v>120</v>
      </c>
      <c r="BO2213">
        <v>26.85</v>
      </c>
      <c r="BP2213">
        <v>31.35</v>
      </c>
      <c r="BQ2213">
        <v>22.39</v>
      </c>
      <c r="BR2213">
        <v>7.0000000000000007E-2</v>
      </c>
      <c r="BS2213">
        <v>16.37</v>
      </c>
      <c r="BT2213">
        <v>23.08</v>
      </c>
      <c r="BU2213">
        <v>1.24</v>
      </c>
      <c r="BV2213">
        <v>0</v>
      </c>
      <c r="BW2213">
        <v>4.28</v>
      </c>
      <c r="BX2213">
        <v>3.1</v>
      </c>
      <c r="BY2213">
        <v>3.01</v>
      </c>
      <c r="BZ2213">
        <v>12.51</v>
      </c>
      <c r="CA2213" t="s">
        <v>120</v>
      </c>
      <c r="CB2213">
        <v>15.32</v>
      </c>
      <c r="CC2213">
        <v>7.8</v>
      </c>
      <c r="CD2213">
        <v>5.39</v>
      </c>
      <c r="CE2213">
        <v>0.85</v>
      </c>
      <c r="CF2213">
        <v>0.04</v>
      </c>
      <c r="CG2213">
        <v>0.85</v>
      </c>
      <c r="CH2213">
        <v>0.77</v>
      </c>
      <c r="CI2213">
        <v>0.77</v>
      </c>
      <c r="CJ2213">
        <v>-0.19</v>
      </c>
      <c r="CK2213">
        <v>0.35</v>
      </c>
      <c r="CL2213">
        <v>4.4800000000000004</v>
      </c>
      <c r="CM2213">
        <v>-3.57</v>
      </c>
      <c r="CN2213">
        <v>-7</v>
      </c>
      <c r="CO2213">
        <v>27803</v>
      </c>
      <c r="CP2213">
        <v>3692</v>
      </c>
      <c r="CQ2213" t="s">
        <v>9955</v>
      </c>
      <c r="CR2213">
        <v>50.64</v>
      </c>
      <c r="CS2213">
        <v>44.85</v>
      </c>
      <c r="CT2213">
        <v>3.15</v>
      </c>
      <c r="CU2213">
        <v>-19.71</v>
      </c>
      <c r="CV2213">
        <v>9.0299999999999994</v>
      </c>
      <c r="CW2213">
        <v>0.63</v>
      </c>
      <c r="CX2213" t="s">
        <v>1574</v>
      </c>
      <c r="CY2213">
        <v>9.9600000000000009</v>
      </c>
      <c r="CZ2213">
        <v>0</v>
      </c>
      <c r="DA2213">
        <v>6.82</v>
      </c>
      <c r="DB2213">
        <v>2</v>
      </c>
      <c r="DC2213">
        <v>-1.59</v>
      </c>
      <c r="DD2213">
        <v>83.38</v>
      </c>
      <c r="DE2213" t="s">
        <v>367</v>
      </c>
      <c r="DF2213">
        <v>30.94</v>
      </c>
      <c r="DG2213">
        <v>10.89</v>
      </c>
      <c r="DH2213">
        <v>9.81</v>
      </c>
      <c r="DI2213">
        <v>0.98</v>
      </c>
      <c r="DJ2213">
        <v>6808</v>
      </c>
      <c r="DK2213">
        <v>300872</v>
      </c>
      <c r="DL2213" t="s">
        <v>120</v>
      </c>
      <c r="DM2213" t="s">
        <v>120</v>
      </c>
      <c r="DN2213" t="s">
        <v>120</v>
      </c>
    </row>
    <row r="2214" spans="1:118">
      <c r="A2214" t="str">
        <f>"300873"</f>
        <v>300873</v>
      </c>
      <c r="B2214" t="s">
        <v>10650</v>
      </c>
      <c r="C2214">
        <v>2.44</v>
      </c>
      <c r="D2214">
        <v>-0.01</v>
      </c>
      <c r="E2214">
        <v>7.0000000000000007E-2</v>
      </c>
      <c r="F2214">
        <v>95</v>
      </c>
      <c r="G2214" t="s">
        <v>3376</v>
      </c>
      <c r="H2214">
        <v>5770.94</v>
      </c>
      <c r="I2214">
        <v>3.13</v>
      </c>
      <c r="J2214" t="s">
        <v>120</v>
      </c>
      <c r="K2214" t="s">
        <v>10034</v>
      </c>
      <c r="L2214">
        <v>1.89</v>
      </c>
      <c r="M2214">
        <v>45.72</v>
      </c>
      <c r="N2214">
        <v>1.26</v>
      </c>
      <c r="O2214">
        <v>3.29</v>
      </c>
      <c r="P2214">
        <v>46.1</v>
      </c>
      <c r="Q2214">
        <v>7.0000000000000007E-2</v>
      </c>
      <c r="R2214">
        <v>44.66</v>
      </c>
      <c r="S2214">
        <v>44.66</v>
      </c>
      <c r="T2214">
        <v>12693</v>
      </c>
      <c r="U2214">
        <v>45.73</v>
      </c>
      <c r="V2214">
        <v>44.63</v>
      </c>
      <c r="W2214">
        <v>18.36</v>
      </c>
      <c r="X2214" t="s">
        <v>2775</v>
      </c>
      <c r="Y2214" t="s">
        <v>319</v>
      </c>
      <c r="Z2214">
        <v>3.23</v>
      </c>
      <c r="AA2214">
        <v>45.46</v>
      </c>
      <c r="AB2214">
        <v>5267</v>
      </c>
      <c r="AC2214">
        <v>7426</v>
      </c>
      <c r="AD2214">
        <v>0.71</v>
      </c>
      <c r="AE2214">
        <v>62</v>
      </c>
      <c r="AF2214">
        <v>37</v>
      </c>
      <c r="AG2214" t="s">
        <v>120</v>
      </c>
      <c r="AH2214">
        <v>0</v>
      </c>
      <c r="AI2214" t="s">
        <v>120</v>
      </c>
      <c r="AJ2214">
        <v>0.67</v>
      </c>
      <c r="AK2214" t="s">
        <v>10651</v>
      </c>
      <c r="AL2214">
        <v>4.3600000000000003</v>
      </c>
      <c r="AM2214">
        <v>1285</v>
      </c>
      <c r="AN2214">
        <v>10</v>
      </c>
      <c r="AO2214">
        <v>1.5E-3</v>
      </c>
      <c r="AP2214">
        <v>1</v>
      </c>
      <c r="AQ2214">
        <v>-0.93</v>
      </c>
      <c r="AR2214">
        <v>1.08</v>
      </c>
      <c r="AS2214">
        <v>4.07</v>
      </c>
      <c r="AT2214">
        <v>0.81</v>
      </c>
      <c r="AU2214">
        <v>7.55</v>
      </c>
      <c r="AV2214">
        <v>0</v>
      </c>
      <c r="AW2214">
        <v>3.3</v>
      </c>
      <c r="AX2214">
        <v>28.89</v>
      </c>
      <c r="AY2214">
        <v>22.43</v>
      </c>
      <c r="AZ2214">
        <v>30.55</v>
      </c>
      <c r="BA2214">
        <v>0.24</v>
      </c>
      <c r="BB2214" t="s">
        <v>143</v>
      </c>
      <c r="BF2214">
        <v>1.87</v>
      </c>
      <c r="BG2214">
        <v>2.37</v>
      </c>
      <c r="BH2214">
        <v>-0.82</v>
      </c>
      <c r="BI2214">
        <v>2.37</v>
      </c>
      <c r="BJ2214">
        <v>20210823</v>
      </c>
      <c r="BK2214">
        <v>20200824</v>
      </c>
      <c r="BL2214">
        <v>1.33</v>
      </c>
      <c r="BM2214" t="s">
        <v>120</v>
      </c>
      <c r="BN2214" t="s">
        <v>120</v>
      </c>
      <c r="BO2214">
        <v>23.64</v>
      </c>
      <c r="BP2214">
        <v>45.72</v>
      </c>
      <c r="BQ2214">
        <v>19.079999999999998</v>
      </c>
      <c r="BR2214">
        <v>0.82</v>
      </c>
      <c r="BS2214">
        <v>15.8</v>
      </c>
      <c r="BT2214">
        <v>17.93</v>
      </c>
      <c r="BU2214">
        <v>2.59</v>
      </c>
      <c r="BV2214">
        <v>1.07</v>
      </c>
      <c r="BW2214">
        <v>2.91</v>
      </c>
      <c r="BX2214">
        <v>6.83</v>
      </c>
      <c r="BY2214">
        <v>0.28000000000000003</v>
      </c>
      <c r="BZ2214">
        <v>2.98</v>
      </c>
      <c r="CA2214">
        <v>0.04</v>
      </c>
      <c r="CB2214">
        <v>10.83</v>
      </c>
      <c r="CC2214">
        <v>6.6</v>
      </c>
      <c r="CD2214">
        <v>4.5599999999999996</v>
      </c>
      <c r="CE2214">
        <v>2.0099999999999998</v>
      </c>
      <c r="CF2214">
        <v>0.11</v>
      </c>
      <c r="CG2214">
        <v>2.04</v>
      </c>
      <c r="CH2214">
        <v>1.73</v>
      </c>
      <c r="CI2214">
        <v>1.66</v>
      </c>
      <c r="CJ2214">
        <v>1.0900000000000001</v>
      </c>
      <c r="CK2214">
        <v>1.1000000000000001</v>
      </c>
      <c r="CL2214">
        <v>6.74</v>
      </c>
      <c r="CM2214">
        <v>1.73</v>
      </c>
      <c r="CN2214">
        <v>2.42</v>
      </c>
      <c r="CO2214">
        <v>12818</v>
      </c>
      <c r="CP2214">
        <v>3005</v>
      </c>
      <c r="CQ2214" t="s">
        <v>8712</v>
      </c>
      <c r="CR2214">
        <v>73.86</v>
      </c>
      <c r="CS2214">
        <v>41.46</v>
      </c>
      <c r="CT2214">
        <v>3.19</v>
      </c>
      <c r="CU2214">
        <v>35.29</v>
      </c>
      <c r="CV2214">
        <v>9.24</v>
      </c>
      <c r="CW2214">
        <v>0.34</v>
      </c>
      <c r="CX2214" t="s">
        <v>10652</v>
      </c>
      <c r="CY2214">
        <v>14.31</v>
      </c>
      <c r="CZ2214">
        <v>0</v>
      </c>
      <c r="DA2214">
        <v>8.1199999999999992</v>
      </c>
      <c r="DB2214">
        <v>5.05</v>
      </c>
      <c r="DC2214">
        <v>1.3</v>
      </c>
      <c r="DD2214">
        <v>80.73</v>
      </c>
      <c r="DE2214" t="s">
        <v>3544</v>
      </c>
      <c r="DF2214">
        <v>30.91</v>
      </c>
      <c r="DG2214">
        <v>30.41</v>
      </c>
      <c r="DH2214">
        <v>25.17</v>
      </c>
      <c r="DI2214">
        <v>7.0000000000000007E-2</v>
      </c>
      <c r="DJ2214">
        <v>1332</v>
      </c>
      <c r="DK2214">
        <v>300873</v>
      </c>
      <c r="DL2214" t="s">
        <v>120</v>
      </c>
      <c r="DM2214" t="s">
        <v>120</v>
      </c>
      <c r="DN2214" t="s">
        <v>120</v>
      </c>
    </row>
    <row r="2215" spans="1:118">
      <c r="A2215" t="str">
        <f>"300875"</f>
        <v>300875</v>
      </c>
      <c r="B2215" t="s">
        <v>10653</v>
      </c>
      <c r="C2215">
        <v>-2.4300000000000002</v>
      </c>
      <c r="D2215">
        <v>-0.03</v>
      </c>
      <c r="E2215">
        <v>-0.52</v>
      </c>
      <c r="F2215">
        <v>61</v>
      </c>
      <c r="G2215" t="s">
        <v>10654</v>
      </c>
      <c r="H2215">
        <v>5457.23</v>
      </c>
      <c r="I2215">
        <v>2.19</v>
      </c>
      <c r="J2215" t="s">
        <v>120</v>
      </c>
      <c r="K2215" t="s">
        <v>2744</v>
      </c>
      <c r="L2215">
        <v>2.2000000000000002</v>
      </c>
      <c r="M2215">
        <v>71.62</v>
      </c>
      <c r="N2215">
        <v>0.81</v>
      </c>
      <c r="O2215">
        <v>-0.34</v>
      </c>
      <c r="P2215">
        <v>73.150000000000006</v>
      </c>
      <c r="Q2215">
        <v>-2.59</v>
      </c>
      <c r="R2215">
        <v>71.5</v>
      </c>
      <c r="S2215">
        <v>73.02</v>
      </c>
      <c r="T2215">
        <v>7564</v>
      </c>
      <c r="U2215">
        <v>71.650000000000006</v>
      </c>
      <c r="V2215">
        <v>73.400000000000006</v>
      </c>
      <c r="W2215">
        <v>285.14999999999998</v>
      </c>
      <c r="X2215" t="s">
        <v>675</v>
      </c>
      <c r="Y2215" t="s">
        <v>997</v>
      </c>
      <c r="Z2215">
        <v>2.25</v>
      </c>
      <c r="AA2215">
        <v>72.14</v>
      </c>
      <c r="AB2215">
        <v>4895</v>
      </c>
      <c r="AC2215">
        <v>2669</v>
      </c>
      <c r="AD2215">
        <v>1.83</v>
      </c>
      <c r="AE2215">
        <v>4</v>
      </c>
      <c r="AF2215">
        <v>15</v>
      </c>
      <c r="AG2215" t="s">
        <v>120</v>
      </c>
      <c r="AH2215">
        <v>0</v>
      </c>
      <c r="AI2215" t="s">
        <v>120</v>
      </c>
      <c r="AJ2215">
        <v>0.34</v>
      </c>
      <c r="AK2215" t="s">
        <v>1558</v>
      </c>
      <c r="AL2215">
        <v>-0.51</v>
      </c>
      <c r="AM2215">
        <v>1213</v>
      </c>
      <c r="AN2215">
        <v>6</v>
      </c>
      <c r="AO2215">
        <v>1.8E-3</v>
      </c>
      <c r="AP2215">
        <v>-2</v>
      </c>
      <c r="AQ2215">
        <v>-2.35</v>
      </c>
      <c r="AR2215">
        <v>-1.98</v>
      </c>
      <c r="AS2215">
        <v>-5.89</v>
      </c>
      <c r="AT2215">
        <v>-4</v>
      </c>
      <c r="AU2215">
        <v>-22.01</v>
      </c>
      <c r="AV2215">
        <v>0</v>
      </c>
      <c r="AW2215">
        <v>2.48</v>
      </c>
      <c r="AX2215">
        <v>39.65</v>
      </c>
      <c r="AY2215">
        <v>91.86</v>
      </c>
      <c r="AZ2215">
        <v>56.32</v>
      </c>
      <c r="BA2215">
        <v>0.21</v>
      </c>
      <c r="BB2215" t="s">
        <v>143</v>
      </c>
      <c r="BF2215">
        <v>-1.71</v>
      </c>
      <c r="BG2215">
        <v>-1.92</v>
      </c>
      <c r="BH2215">
        <v>-2.09</v>
      </c>
      <c r="BI2215">
        <v>0.17</v>
      </c>
      <c r="BJ2215">
        <v>20210825</v>
      </c>
      <c r="BK2215">
        <v>20200824</v>
      </c>
      <c r="BL2215">
        <v>0.77</v>
      </c>
      <c r="BM2215" t="s">
        <v>120</v>
      </c>
      <c r="BN2215" t="s">
        <v>120</v>
      </c>
      <c r="BO2215">
        <v>14.17</v>
      </c>
      <c r="BP2215">
        <v>71.62</v>
      </c>
      <c r="BQ2215">
        <v>13.5</v>
      </c>
      <c r="BR2215">
        <v>0.03</v>
      </c>
      <c r="BS2215">
        <v>4.5</v>
      </c>
      <c r="BT2215">
        <v>10.81</v>
      </c>
      <c r="BU2215">
        <v>2.06</v>
      </c>
      <c r="BV2215">
        <v>0.49</v>
      </c>
      <c r="BW2215">
        <v>0.48</v>
      </c>
      <c r="BX2215">
        <v>3.8</v>
      </c>
      <c r="BY2215">
        <v>0.31</v>
      </c>
      <c r="BZ2215">
        <v>1.07</v>
      </c>
      <c r="CA2215" t="s">
        <v>120</v>
      </c>
      <c r="CB2215">
        <v>10.050000000000001</v>
      </c>
      <c r="CC2215">
        <v>0.5</v>
      </c>
      <c r="CD2215">
        <v>0.3</v>
      </c>
      <c r="CE2215">
        <v>0.09</v>
      </c>
      <c r="CF2215">
        <v>7.0000000000000007E-2</v>
      </c>
      <c r="CG2215">
        <v>0.09</v>
      </c>
      <c r="CH2215">
        <v>0.08</v>
      </c>
      <c r="CI2215">
        <v>0.1</v>
      </c>
      <c r="CJ2215">
        <v>-1.78</v>
      </c>
      <c r="CK2215">
        <v>0.01</v>
      </c>
      <c r="CL2215">
        <v>2.41</v>
      </c>
      <c r="CM2215">
        <v>1.1000000000000001</v>
      </c>
      <c r="CN2215">
        <v>-0.47</v>
      </c>
      <c r="CO2215">
        <v>16532</v>
      </c>
      <c r="CP2215">
        <v>1842</v>
      </c>
      <c r="CQ2215" t="s">
        <v>7609</v>
      </c>
      <c r="CR2215">
        <v>-80.06</v>
      </c>
      <c r="CS2215">
        <v>-56.51</v>
      </c>
      <c r="CT2215">
        <v>4.07</v>
      </c>
      <c r="CU2215">
        <v>50.13</v>
      </c>
      <c r="CV2215">
        <v>109.52</v>
      </c>
      <c r="CW2215">
        <v>0.41</v>
      </c>
      <c r="CX2215" t="s">
        <v>986</v>
      </c>
      <c r="CY2215">
        <v>17.579999999999998</v>
      </c>
      <c r="CZ2215">
        <v>0</v>
      </c>
      <c r="DA2215">
        <v>13.09</v>
      </c>
      <c r="DB2215">
        <v>3.14</v>
      </c>
      <c r="DC2215">
        <v>1.43</v>
      </c>
      <c r="DD2215">
        <v>95.27</v>
      </c>
      <c r="DE2215" t="s">
        <v>7942</v>
      </c>
      <c r="DF2215">
        <v>40.31</v>
      </c>
      <c r="DG2215">
        <v>18.190000000000001</v>
      </c>
      <c r="DH2215">
        <v>19.2</v>
      </c>
      <c r="DI2215">
        <v>0.14000000000000001</v>
      </c>
      <c r="DJ2215">
        <v>267</v>
      </c>
      <c r="DK2215">
        <v>300875</v>
      </c>
      <c r="DL2215" t="s">
        <v>120</v>
      </c>
      <c r="DM2215" t="s">
        <v>120</v>
      </c>
      <c r="DN2215" t="s">
        <v>120</v>
      </c>
    </row>
    <row r="2216" spans="1:118">
      <c r="A2216" t="str">
        <f>"300876"</f>
        <v>300876</v>
      </c>
      <c r="B2216" t="s">
        <v>10655</v>
      </c>
      <c r="C2216">
        <v>-0.98</v>
      </c>
      <c r="D2216">
        <v>-0.02</v>
      </c>
      <c r="E2216">
        <v>-0.83</v>
      </c>
      <c r="F2216">
        <v>137</v>
      </c>
      <c r="G2216" t="s">
        <v>10473</v>
      </c>
      <c r="H2216">
        <v>5746.94</v>
      </c>
      <c r="I2216">
        <v>85.3</v>
      </c>
      <c r="J2216" t="s">
        <v>120</v>
      </c>
      <c r="K2216" t="s">
        <v>10473</v>
      </c>
      <c r="L2216">
        <v>6.03</v>
      </c>
      <c r="M2216">
        <v>33.4</v>
      </c>
      <c r="N2216">
        <v>1.39</v>
      </c>
      <c r="O2216">
        <v>1.69</v>
      </c>
      <c r="P2216">
        <v>34.299999999999997</v>
      </c>
      <c r="Q2216">
        <v>-2.13</v>
      </c>
      <c r="R2216">
        <v>33.01</v>
      </c>
      <c r="S2216">
        <v>33.450000000000003</v>
      </c>
      <c r="T2216">
        <v>17063</v>
      </c>
      <c r="U2216">
        <v>33.409999999999997</v>
      </c>
      <c r="V2216">
        <v>33.729999999999997</v>
      </c>
      <c r="W2216">
        <v>37.08</v>
      </c>
      <c r="X2216" t="s">
        <v>623</v>
      </c>
      <c r="Y2216" t="s">
        <v>547</v>
      </c>
      <c r="Z2216">
        <v>3.82</v>
      </c>
      <c r="AA2216">
        <v>33.68</v>
      </c>
      <c r="AB2216">
        <v>8827</v>
      </c>
      <c r="AC2216">
        <v>8236</v>
      </c>
      <c r="AD2216">
        <v>1.07</v>
      </c>
      <c r="AE2216">
        <v>63</v>
      </c>
      <c r="AF2216">
        <v>13</v>
      </c>
      <c r="AG2216" t="s">
        <v>120</v>
      </c>
      <c r="AH2216">
        <v>0.09</v>
      </c>
      <c r="AI2216" t="s">
        <v>120</v>
      </c>
      <c r="AJ2216">
        <v>0.28000000000000003</v>
      </c>
      <c r="AK2216" t="s">
        <v>10656</v>
      </c>
      <c r="AL2216">
        <v>0.94</v>
      </c>
      <c r="AM2216">
        <v>1415</v>
      </c>
      <c r="AN2216">
        <v>12</v>
      </c>
      <c r="AO2216">
        <v>4.3E-3</v>
      </c>
      <c r="AP2216">
        <v>-1</v>
      </c>
      <c r="AQ2216">
        <v>5.9</v>
      </c>
      <c r="AR2216">
        <v>2.64</v>
      </c>
      <c r="AS2216">
        <v>-6.1</v>
      </c>
      <c r="AT2216">
        <v>-0.09</v>
      </c>
      <c r="AU2216">
        <v>-12.34</v>
      </c>
      <c r="AV2216">
        <v>0</v>
      </c>
      <c r="AW2216">
        <v>6.03</v>
      </c>
      <c r="AX2216">
        <v>29.5</v>
      </c>
      <c r="AY2216">
        <v>37.450000000000003</v>
      </c>
      <c r="AZ2216">
        <v>40.44</v>
      </c>
      <c r="BA2216">
        <v>1.05</v>
      </c>
      <c r="BB2216" t="s">
        <v>751</v>
      </c>
      <c r="BF2216">
        <v>-0.15</v>
      </c>
      <c r="BG2216">
        <v>-0.15</v>
      </c>
      <c r="BH2216">
        <v>-2.62</v>
      </c>
      <c r="BI2216">
        <v>1.18</v>
      </c>
      <c r="BJ2216">
        <v>20210823</v>
      </c>
      <c r="BK2216">
        <v>20200824</v>
      </c>
      <c r="BL2216">
        <v>0.96</v>
      </c>
      <c r="BM2216" t="s">
        <v>120</v>
      </c>
      <c r="BN2216" t="s">
        <v>120</v>
      </c>
      <c r="BO2216">
        <v>8.6</v>
      </c>
      <c r="BP2216">
        <v>33.4</v>
      </c>
      <c r="BQ2216">
        <v>7.82</v>
      </c>
      <c r="BR2216" t="s">
        <v>120</v>
      </c>
      <c r="BS2216">
        <v>9.0299999999999994</v>
      </c>
      <c r="BT2216">
        <v>6.97</v>
      </c>
      <c r="BU2216">
        <v>0.54</v>
      </c>
      <c r="BV2216">
        <v>0.6</v>
      </c>
      <c r="BW2216">
        <v>0.74</v>
      </c>
      <c r="BX2216">
        <v>2.17</v>
      </c>
      <c r="BY2216">
        <v>0.82</v>
      </c>
      <c r="BZ2216">
        <v>0.55000000000000004</v>
      </c>
      <c r="CA2216" t="s">
        <v>120</v>
      </c>
      <c r="CB2216">
        <v>4.55</v>
      </c>
      <c r="CC2216">
        <v>1.95</v>
      </c>
      <c r="CD2216">
        <v>1.46</v>
      </c>
      <c r="CE2216">
        <v>0.5</v>
      </c>
      <c r="CF2216">
        <v>0.05</v>
      </c>
      <c r="CG2216">
        <v>0.5</v>
      </c>
      <c r="CH2216">
        <v>0.43</v>
      </c>
      <c r="CI2216">
        <v>0.43</v>
      </c>
      <c r="CJ2216">
        <v>-0.33</v>
      </c>
      <c r="CK2216">
        <v>0.32</v>
      </c>
      <c r="CL2216">
        <v>2.0499999999999998</v>
      </c>
      <c r="CM2216">
        <v>0.02</v>
      </c>
      <c r="CN2216">
        <v>1.01</v>
      </c>
      <c r="CO2216">
        <v>13271</v>
      </c>
      <c r="CP2216">
        <v>2134</v>
      </c>
      <c r="CQ2216" t="s">
        <v>9936</v>
      </c>
      <c r="CR2216">
        <v>17.350000000000001</v>
      </c>
      <c r="CS2216">
        <v>18.940000000000001</v>
      </c>
      <c r="CT2216">
        <v>4.0999999999999996</v>
      </c>
      <c r="CU2216">
        <v>2019.14</v>
      </c>
      <c r="CV2216">
        <v>16.47</v>
      </c>
      <c r="CW2216">
        <v>0.59</v>
      </c>
      <c r="CX2216" t="s">
        <v>1520</v>
      </c>
      <c r="CY2216">
        <v>8.15</v>
      </c>
      <c r="CZ2216">
        <v>0</v>
      </c>
      <c r="DA2216">
        <v>4.74</v>
      </c>
      <c r="DB2216">
        <v>2.14</v>
      </c>
      <c r="DC2216">
        <v>0.02</v>
      </c>
      <c r="DD2216">
        <v>90.97</v>
      </c>
      <c r="DE2216" t="s">
        <v>6753</v>
      </c>
      <c r="DF2216">
        <v>25.25</v>
      </c>
      <c r="DG2216">
        <v>25.56</v>
      </c>
      <c r="DH2216">
        <v>22.21</v>
      </c>
      <c r="DI2216">
        <v>7.0000000000000007E-2</v>
      </c>
      <c r="DJ2216">
        <v>276</v>
      </c>
      <c r="DK2216">
        <v>300876</v>
      </c>
      <c r="DL2216" t="s">
        <v>120</v>
      </c>
      <c r="DM2216" t="s">
        <v>120</v>
      </c>
      <c r="DN2216" t="s">
        <v>120</v>
      </c>
    </row>
    <row r="2217" spans="1:118">
      <c r="A2217" t="str">
        <f>"300877"</f>
        <v>300877</v>
      </c>
      <c r="B2217" t="s">
        <v>10657</v>
      </c>
      <c r="C2217">
        <v>-1.86</v>
      </c>
      <c r="D2217">
        <v>0.35</v>
      </c>
      <c r="E2217">
        <v>7.0000000000000007E-2</v>
      </c>
      <c r="F2217">
        <v>83</v>
      </c>
      <c r="G2217" t="s">
        <v>1548</v>
      </c>
      <c r="H2217">
        <v>2481.4699999999998</v>
      </c>
      <c r="I2217">
        <v>0</v>
      </c>
      <c r="J2217" t="s">
        <v>120</v>
      </c>
      <c r="K2217" t="s">
        <v>10658</v>
      </c>
      <c r="L2217">
        <v>1.7</v>
      </c>
      <c r="M2217">
        <v>28.52</v>
      </c>
      <c r="N2217">
        <v>1.02</v>
      </c>
      <c r="O2217">
        <v>1.17</v>
      </c>
      <c r="P2217">
        <v>29.4</v>
      </c>
      <c r="Q2217">
        <v>-2.2000000000000002</v>
      </c>
      <c r="R2217">
        <v>28.42</v>
      </c>
      <c r="S2217">
        <v>29.08</v>
      </c>
      <c r="T2217">
        <v>8600</v>
      </c>
      <c r="U2217">
        <v>28.56</v>
      </c>
      <c r="V2217">
        <v>29.06</v>
      </c>
      <c r="W2217">
        <v>15.97</v>
      </c>
      <c r="X2217" t="s">
        <v>1766</v>
      </c>
      <c r="Y2217" t="s">
        <v>570</v>
      </c>
      <c r="Z2217">
        <v>3.37</v>
      </c>
      <c r="AA2217">
        <v>28.85</v>
      </c>
      <c r="AB2217">
        <v>5360</v>
      </c>
      <c r="AC2217">
        <v>3240</v>
      </c>
      <c r="AD2217">
        <v>1.65</v>
      </c>
      <c r="AE2217">
        <v>4</v>
      </c>
      <c r="AF2217">
        <v>41</v>
      </c>
      <c r="AG2217" t="s">
        <v>120</v>
      </c>
      <c r="AH2217">
        <v>0</v>
      </c>
      <c r="AI2217" t="s">
        <v>120</v>
      </c>
      <c r="AJ2217">
        <v>0.51</v>
      </c>
      <c r="AK2217" t="s">
        <v>1012</v>
      </c>
      <c r="AL2217">
        <v>0.06</v>
      </c>
      <c r="AM2217">
        <v>976</v>
      </c>
      <c r="AN2217">
        <v>9</v>
      </c>
      <c r="AO2217">
        <v>1.6999999999999999E-3</v>
      </c>
      <c r="AP2217">
        <v>-3</v>
      </c>
      <c r="AQ2217">
        <v>-1.49</v>
      </c>
      <c r="AR2217">
        <v>-3.46</v>
      </c>
      <c r="AS2217">
        <v>-11.87</v>
      </c>
      <c r="AT2217">
        <v>-23.74</v>
      </c>
      <c r="AU2217">
        <v>-45.35</v>
      </c>
      <c r="AV2217">
        <v>1</v>
      </c>
      <c r="AW2217">
        <v>2.36</v>
      </c>
      <c r="AX2217">
        <v>30.42</v>
      </c>
      <c r="AY2217">
        <v>14.26</v>
      </c>
      <c r="AZ2217">
        <v>12.63</v>
      </c>
      <c r="BA2217">
        <v>0.32</v>
      </c>
      <c r="BB2217" t="s">
        <v>125</v>
      </c>
      <c r="BF2217">
        <v>-0.71</v>
      </c>
      <c r="BG2217">
        <v>-1.93</v>
      </c>
      <c r="BH2217">
        <v>-2.99</v>
      </c>
      <c r="BI2217">
        <v>0.35</v>
      </c>
      <c r="BJ2217">
        <v>20210825</v>
      </c>
      <c r="BK2217">
        <v>20200824</v>
      </c>
      <c r="BL2217">
        <v>1.2</v>
      </c>
      <c r="BM2217" t="s">
        <v>120</v>
      </c>
      <c r="BN2217" t="s">
        <v>120</v>
      </c>
      <c r="BO2217">
        <v>18.260000000000002</v>
      </c>
      <c r="BP2217">
        <v>28.52</v>
      </c>
      <c r="BQ2217">
        <v>16.440000000000001</v>
      </c>
      <c r="BR2217">
        <v>0.02</v>
      </c>
      <c r="BS2217">
        <v>9.89</v>
      </c>
      <c r="BT2217">
        <v>12.67</v>
      </c>
      <c r="BU2217">
        <v>4.2</v>
      </c>
      <c r="BV2217">
        <v>0.37</v>
      </c>
      <c r="BW2217">
        <v>1.44</v>
      </c>
      <c r="BX2217">
        <v>1.42</v>
      </c>
      <c r="BY2217">
        <v>0.73</v>
      </c>
      <c r="BZ2217">
        <v>1.02</v>
      </c>
      <c r="CA2217" t="s">
        <v>120</v>
      </c>
      <c r="CB2217">
        <v>9.56</v>
      </c>
      <c r="CC2217">
        <v>4.51</v>
      </c>
      <c r="CD2217">
        <v>3.61</v>
      </c>
      <c r="CE2217">
        <v>1.18</v>
      </c>
      <c r="CF2217">
        <v>0.09</v>
      </c>
      <c r="CG2217">
        <v>1.26</v>
      </c>
      <c r="CH2217">
        <v>1.07</v>
      </c>
      <c r="CI2217">
        <v>1.07</v>
      </c>
      <c r="CJ2217">
        <v>-0.54</v>
      </c>
      <c r="CK2217">
        <v>0.43</v>
      </c>
      <c r="CL2217">
        <v>5.14</v>
      </c>
      <c r="CM2217">
        <v>-0.08</v>
      </c>
      <c r="CN2217">
        <v>-0.41</v>
      </c>
      <c r="CO2217">
        <v>16809</v>
      </c>
      <c r="CP2217">
        <v>2171</v>
      </c>
      <c r="CQ2217" t="s">
        <v>5092</v>
      </c>
      <c r="CR2217">
        <v>-22.74</v>
      </c>
      <c r="CS2217">
        <v>-19.09</v>
      </c>
      <c r="CT2217">
        <v>2.08</v>
      </c>
      <c r="CU2217">
        <v>-408.93</v>
      </c>
      <c r="CV2217">
        <v>7.59</v>
      </c>
      <c r="CW2217">
        <v>2.41</v>
      </c>
      <c r="CX2217" t="s">
        <v>6180</v>
      </c>
      <c r="CY2217">
        <v>13.7</v>
      </c>
      <c r="CZ2217">
        <v>0</v>
      </c>
      <c r="DA2217">
        <v>7.97</v>
      </c>
      <c r="DB2217">
        <v>4.28</v>
      </c>
      <c r="DC2217">
        <v>-7.0000000000000007E-2</v>
      </c>
      <c r="DD2217">
        <v>90.01</v>
      </c>
      <c r="DE2217" t="s">
        <v>6646</v>
      </c>
      <c r="DF2217">
        <v>20</v>
      </c>
      <c r="DG2217">
        <v>26.11</v>
      </c>
      <c r="DH2217">
        <v>23.77</v>
      </c>
      <c r="DI2217">
        <v>0.2</v>
      </c>
      <c r="DJ2217">
        <v>641</v>
      </c>
      <c r="DK2217">
        <v>300877</v>
      </c>
      <c r="DL2217" t="s">
        <v>120</v>
      </c>
      <c r="DM2217" t="s">
        <v>120</v>
      </c>
      <c r="DN2217" t="s">
        <v>120</v>
      </c>
    </row>
    <row r="2218" spans="1:118">
      <c r="A2218" t="str">
        <f>"300878"</f>
        <v>300878</v>
      </c>
      <c r="B2218" t="s">
        <v>10659</v>
      </c>
      <c r="C2218">
        <v>0.16</v>
      </c>
      <c r="D2218">
        <v>0.05</v>
      </c>
      <c r="E2218">
        <v>-0.23</v>
      </c>
      <c r="F2218">
        <v>27</v>
      </c>
      <c r="G2218" t="s">
        <v>1298</v>
      </c>
      <c r="H2218">
        <v>1097.3699999999999</v>
      </c>
      <c r="I2218">
        <v>4.32</v>
      </c>
      <c r="J2218" t="s">
        <v>120</v>
      </c>
      <c r="K2218" t="s">
        <v>1298</v>
      </c>
      <c r="L2218">
        <v>1.1100000000000001</v>
      </c>
      <c r="M2218">
        <v>43.32</v>
      </c>
      <c r="N2218">
        <v>0.7</v>
      </c>
      <c r="O2218">
        <v>1.57</v>
      </c>
      <c r="P2218">
        <v>43.93</v>
      </c>
      <c r="Q2218">
        <v>-0.23</v>
      </c>
      <c r="R2218">
        <v>43.15</v>
      </c>
      <c r="S2218">
        <v>43.15</v>
      </c>
      <c r="T2218">
        <v>2523</v>
      </c>
      <c r="U2218">
        <v>43.32</v>
      </c>
      <c r="V2218">
        <v>43.25</v>
      </c>
      <c r="W2218">
        <v>27.32</v>
      </c>
      <c r="X2218" t="s">
        <v>771</v>
      </c>
      <c r="Y2218" t="s">
        <v>585</v>
      </c>
      <c r="Z2218">
        <v>1.8</v>
      </c>
      <c r="AA2218">
        <v>43.49</v>
      </c>
      <c r="AB2218">
        <v>1393</v>
      </c>
      <c r="AC2218">
        <v>1130</v>
      </c>
      <c r="AD2218">
        <v>1.23</v>
      </c>
      <c r="AE2218">
        <v>3</v>
      </c>
      <c r="AF2218">
        <v>11</v>
      </c>
      <c r="AG2218" t="s">
        <v>120</v>
      </c>
      <c r="AH2218">
        <v>0</v>
      </c>
      <c r="AI2218" t="s">
        <v>120</v>
      </c>
      <c r="AJ2218">
        <v>0.23</v>
      </c>
      <c r="AK2218" t="s">
        <v>8071</v>
      </c>
      <c r="AL2218">
        <v>2.08</v>
      </c>
      <c r="AM2218">
        <v>459</v>
      </c>
      <c r="AN2218">
        <v>5</v>
      </c>
      <c r="AO2218">
        <v>2.3999999999999998E-3</v>
      </c>
      <c r="AP2218">
        <v>1</v>
      </c>
      <c r="AQ2218">
        <v>0</v>
      </c>
      <c r="AR2218">
        <v>-0.92</v>
      </c>
      <c r="AS2218">
        <v>-5.07</v>
      </c>
      <c r="AT2218">
        <v>-4.05</v>
      </c>
      <c r="AU2218">
        <v>-12.11</v>
      </c>
      <c r="AV2218">
        <v>0</v>
      </c>
      <c r="AW2218">
        <v>1.1100000000000001</v>
      </c>
      <c r="AX2218">
        <v>28.27</v>
      </c>
      <c r="AY2218">
        <v>24.58</v>
      </c>
      <c r="AZ2218">
        <v>25.62</v>
      </c>
      <c r="BA2218">
        <v>0.47</v>
      </c>
      <c r="BB2218" t="s">
        <v>134</v>
      </c>
      <c r="BF2218">
        <v>0.56999999999999995</v>
      </c>
      <c r="BG2218">
        <v>0.39</v>
      </c>
      <c r="BH2218">
        <v>-1.39</v>
      </c>
      <c r="BI2218">
        <v>0.39</v>
      </c>
      <c r="BJ2218">
        <v>20210827</v>
      </c>
      <c r="BK2218">
        <v>20200824</v>
      </c>
      <c r="BL2218">
        <v>0.8</v>
      </c>
      <c r="BM2218" t="s">
        <v>120</v>
      </c>
      <c r="BN2218" t="s">
        <v>120</v>
      </c>
      <c r="BO2218">
        <v>16.170000000000002</v>
      </c>
      <c r="BP2218">
        <v>43.31</v>
      </c>
      <c r="BQ2218">
        <v>13.65</v>
      </c>
      <c r="BR2218">
        <v>0.06</v>
      </c>
      <c r="BS2218">
        <v>15.23</v>
      </c>
      <c r="BT2218">
        <v>9.2799999999999994</v>
      </c>
      <c r="BU2218">
        <v>1.24</v>
      </c>
      <c r="BV2218">
        <v>0.35</v>
      </c>
      <c r="BW2218">
        <v>2.0499999999999998</v>
      </c>
      <c r="BX2218">
        <v>3.69</v>
      </c>
      <c r="BY2218">
        <v>0.95</v>
      </c>
      <c r="BZ2218">
        <v>3.66</v>
      </c>
      <c r="CA2218" t="s">
        <v>120</v>
      </c>
      <c r="CB2218">
        <v>7.45</v>
      </c>
      <c r="CC2218">
        <v>3.32</v>
      </c>
      <c r="CD2218">
        <v>0.95</v>
      </c>
      <c r="CE2218">
        <v>0.74</v>
      </c>
      <c r="CF2218">
        <v>0</v>
      </c>
      <c r="CG2218">
        <v>0.74</v>
      </c>
      <c r="CH2218">
        <v>0.64</v>
      </c>
      <c r="CI2218">
        <v>0.64</v>
      </c>
      <c r="CJ2218">
        <v>7.0000000000000007E-2</v>
      </c>
      <c r="CK2218">
        <v>0.54</v>
      </c>
      <c r="CL2218">
        <v>4.8</v>
      </c>
      <c r="CM2218">
        <v>-0.62</v>
      </c>
      <c r="CN2218">
        <v>-2.2599999999999998</v>
      </c>
      <c r="CO2218">
        <v>14211</v>
      </c>
      <c r="CP2218">
        <v>1600</v>
      </c>
      <c r="CQ2218" t="s">
        <v>6439</v>
      </c>
      <c r="CR2218">
        <v>9.8699999999999992</v>
      </c>
      <c r="CS2218">
        <v>8.25</v>
      </c>
      <c r="CT2218">
        <v>2.5499999999999998</v>
      </c>
      <c r="CU2218">
        <v>-56.39</v>
      </c>
      <c r="CV2218">
        <v>10.5</v>
      </c>
      <c r="CW2218">
        <v>2.31</v>
      </c>
      <c r="CX2218" t="s">
        <v>3050</v>
      </c>
      <c r="CY2218">
        <v>16.96</v>
      </c>
      <c r="CZ2218">
        <v>0</v>
      </c>
      <c r="DA2218">
        <v>9.26</v>
      </c>
      <c r="DB2218">
        <v>5.97</v>
      </c>
      <c r="DC2218">
        <v>-0.77</v>
      </c>
      <c r="DD2218">
        <v>84.4</v>
      </c>
      <c r="DE2218" t="s">
        <v>9778</v>
      </c>
      <c r="DF2218">
        <v>71.36</v>
      </c>
      <c r="DG2218">
        <v>22.23</v>
      </c>
      <c r="DH2218">
        <v>19.22</v>
      </c>
      <c r="DI2218">
        <v>0.09</v>
      </c>
      <c r="DJ2218">
        <v>1049</v>
      </c>
      <c r="DK2218">
        <v>300878</v>
      </c>
      <c r="DL2218" t="s">
        <v>120</v>
      </c>
      <c r="DM2218" t="s">
        <v>120</v>
      </c>
      <c r="DN2218" t="s">
        <v>120</v>
      </c>
    </row>
    <row r="2219" spans="1:118">
      <c r="A2219" t="str">
        <f>"300879"</f>
        <v>300879</v>
      </c>
      <c r="B2219" t="s">
        <v>10660</v>
      </c>
      <c r="C2219">
        <v>-1.56</v>
      </c>
      <c r="D2219">
        <v>-0.23</v>
      </c>
      <c r="E2219">
        <v>-0.43</v>
      </c>
      <c r="F2219">
        <v>374</v>
      </c>
      <c r="G2219" t="s">
        <v>10661</v>
      </c>
      <c r="H2219">
        <v>3598.62</v>
      </c>
      <c r="I2219">
        <v>11.34</v>
      </c>
      <c r="J2219" t="s">
        <v>120</v>
      </c>
      <c r="K2219" t="s">
        <v>10661</v>
      </c>
      <c r="L2219">
        <v>3.12</v>
      </c>
      <c r="M2219">
        <v>20.76</v>
      </c>
      <c r="N2219">
        <v>1.23</v>
      </c>
      <c r="O2219">
        <v>0.71</v>
      </c>
      <c r="P2219">
        <v>21.24</v>
      </c>
      <c r="Q2219">
        <v>-1.61</v>
      </c>
      <c r="R2219">
        <v>20.75</v>
      </c>
      <c r="S2219">
        <v>21</v>
      </c>
      <c r="T2219">
        <v>17171</v>
      </c>
      <c r="U2219">
        <v>20.76</v>
      </c>
      <c r="V2219">
        <v>21.09</v>
      </c>
      <c r="W2219">
        <v>26.19</v>
      </c>
      <c r="X2219" t="s">
        <v>2079</v>
      </c>
      <c r="Y2219" t="s">
        <v>585</v>
      </c>
      <c r="Z2219">
        <v>2.3199999999999998</v>
      </c>
      <c r="AA2219">
        <v>20.96</v>
      </c>
      <c r="AB2219">
        <v>8197</v>
      </c>
      <c r="AC2219">
        <v>8974</v>
      </c>
      <c r="AD2219">
        <v>0.91</v>
      </c>
      <c r="AE2219">
        <v>155</v>
      </c>
      <c r="AF2219">
        <v>65</v>
      </c>
      <c r="AG2219" t="s">
        <v>120</v>
      </c>
      <c r="AH2219">
        <v>0.01</v>
      </c>
      <c r="AI2219" t="s">
        <v>120</v>
      </c>
      <c r="AJ2219">
        <v>0.55000000000000004</v>
      </c>
      <c r="AK2219" t="s">
        <v>10662</v>
      </c>
      <c r="AL2219">
        <v>0.35</v>
      </c>
      <c r="AM2219">
        <v>1053</v>
      </c>
      <c r="AN2219">
        <v>16</v>
      </c>
      <c r="AO2219">
        <v>3.0000000000000001E-3</v>
      </c>
      <c r="AP2219">
        <v>-6</v>
      </c>
      <c r="AQ2219">
        <v>-0.05</v>
      </c>
      <c r="AR2219">
        <v>-1.99</v>
      </c>
      <c r="AS2219">
        <v>-2.2999999999999998</v>
      </c>
      <c r="AT2219">
        <v>-17.75</v>
      </c>
      <c r="AU2219">
        <v>-26.12</v>
      </c>
      <c r="AV2219">
        <v>3</v>
      </c>
      <c r="AW2219">
        <v>3.12</v>
      </c>
      <c r="AX2219">
        <v>34.380000000000003</v>
      </c>
      <c r="AY2219">
        <v>41.51</v>
      </c>
      <c r="AZ2219">
        <v>43.99</v>
      </c>
      <c r="BA2219">
        <v>0.75</v>
      </c>
      <c r="BB2219" t="s">
        <v>134</v>
      </c>
      <c r="BF2219">
        <v>-0.63</v>
      </c>
      <c r="BG2219">
        <v>-1.1399999999999999</v>
      </c>
      <c r="BH2219">
        <v>-2.2599999999999998</v>
      </c>
      <c r="BI2219">
        <v>0.05</v>
      </c>
      <c r="BJ2219">
        <v>20210831</v>
      </c>
      <c r="BK2219">
        <v>20200901</v>
      </c>
      <c r="BL2219">
        <v>1.6</v>
      </c>
      <c r="BM2219" t="s">
        <v>120</v>
      </c>
      <c r="BN2219" t="s">
        <v>120</v>
      </c>
      <c r="BO2219">
        <v>22.13</v>
      </c>
      <c r="BP2219">
        <v>20.75</v>
      </c>
      <c r="BQ2219">
        <v>9.66</v>
      </c>
      <c r="BR2219" t="s">
        <v>120</v>
      </c>
      <c r="BS2219">
        <v>56.38</v>
      </c>
      <c r="BT2219">
        <v>12.52</v>
      </c>
      <c r="BU2219">
        <v>4.0199999999999996</v>
      </c>
      <c r="BV2219">
        <v>1.73</v>
      </c>
      <c r="BW2219">
        <v>10.99</v>
      </c>
      <c r="BX2219">
        <v>3.65</v>
      </c>
      <c r="BY2219">
        <v>5.13</v>
      </c>
      <c r="BZ2219">
        <v>3.23</v>
      </c>
      <c r="CA2219" t="s">
        <v>120</v>
      </c>
      <c r="CB2219">
        <v>4.49</v>
      </c>
      <c r="CC2219">
        <v>9.1199999999999992</v>
      </c>
      <c r="CD2219">
        <v>7.4</v>
      </c>
      <c r="CE2219">
        <v>0.68</v>
      </c>
      <c r="CF2219">
        <v>0.03</v>
      </c>
      <c r="CG2219">
        <v>0.68</v>
      </c>
      <c r="CH2219">
        <v>0.63</v>
      </c>
      <c r="CI2219">
        <v>0.63</v>
      </c>
      <c r="CJ2219">
        <v>-0.33</v>
      </c>
      <c r="CK2219">
        <v>0.68</v>
      </c>
      <c r="CL2219">
        <v>3.26</v>
      </c>
      <c r="CM2219">
        <v>0.5</v>
      </c>
      <c r="CN2219">
        <v>1.94</v>
      </c>
      <c r="CO2219">
        <v>19019</v>
      </c>
      <c r="CP2219">
        <v>2892</v>
      </c>
      <c r="CQ2219" t="s">
        <v>10663</v>
      </c>
      <c r="CR2219">
        <v>7.79</v>
      </c>
      <c r="CS2219">
        <v>33.94</v>
      </c>
      <c r="CT2219">
        <v>3.44</v>
      </c>
      <c r="CU2219">
        <v>66.67</v>
      </c>
      <c r="CV2219">
        <v>3.64</v>
      </c>
      <c r="CW2219">
        <v>0.47</v>
      </c>
      <c r="CX2219" t="s">
        <v>3527</v>
      </c>
      <c r="CY2219">
        <v>6.03</v>
      </c>
      <c r="CZ2219">
        <v>0</v>
      </c>
      <c r="DA2219">
        <v>2.81</v>
      </c>
      <c r="DB2219">
        <v>2.04</v>
      </c>
      <c r="DC2219">
        <v>0.31</v>
      </c>
      <c r="DD2219">
        <v>43.62</v>
      </c>
      <c r="DE2219" t="s">
        <v>2255</v>
      </c>
      <c r="DF2219">
        <v>18.899999999999999</v>
      </c>
      <c r="DG2219">
        <v>7.45</v>
      </c>
      <c r="DH2219">
        <v>6.95</v>
      </c>
      <c r="DI2219">
        <v>0.28999999999999998</v>
      </c>
      <c r="DJ2219">
        <v>1058</v>
      </c>
      <c r="DK2219">
        <v>300879</v>
      </c>
      <c r="DL2219" t="s">
        <v>120</v>
      </c>
      <c r="DM2219" t="s">
        <v>120</v>
      </c>
      <c r="DN2219" t="s">
        <v>120</v>
      </c>
    </row>
    <row r="2220" spans="1:118">
      <c r="A2220" t="str">
        <f>"300880"</f>
        <v>300880</v>
      </c>
      <c r="B2220" t="s">
        <v>10664</v>
      </c>
      <c r="C2220">
        <v>-2.4</v>
      </c>
      <c r="D2220">
        <v>0.09</v>
      </c>
      <c r="E2220">
        <v>0.71</v>
      </c>
      <c r="F2220">
        <v>365</v>
      </c>
      <c r="G2220" t="s">
        <v>10665</v>
      </c>
      <c r="H2220">
        <v>3829.64</v>
      </c>
      <c r="I2220">
        <v>7.92</v>
      </c>
      <c r="J2220" t="s">
        <v>120</v>
      </c>
      <c r="K2220" t="s">
        <v>10666</v>
      </c>
      <c r="L2220">
        <v>2.4500000000000002</v>
      </c>
      <c r="M2220">
        <v>21.94</v>
      </c>
      <c r="N2220">
        <v>0.52</v>
      </c>
      <c r="O2220">
        <v>1.51</v>
      </c>
      <c r="P2220">
        <v>22.82</v>
      </c>
      <c r="Q2220">
        <v>-2.58</v>
      </c>
      <c r="R2220">
        <v>21.9</v>
      </c>
      <c r="S2220">
        <v>22.64</v>
      </c>
      <c r="T2220">
        <v>17168</v>
      </c>
      <c r="U2220">
        <v>21.94</v>
      </c>
      <c r="V2220">
        <v>22.48</v>
      </c>
      <c r="W2220">
        <v>35.99</v>
      </c>
      <c r="X2220" t="s">
        <v>2717</v>
      </c>
      <c r="Y2220" t="s">
        <v>585</v>
      </c>
      <c r="Z2220">
        <v>4.09</v>
      </c>
      <c r="AA2220">
        <v>22.31</v>
      </c>
      <c r="AB2220">
        <v>9749</v>
      </c>
      <c r="AC2220">
        <v>7419</v>
      </c>
      <c r="AD2220">
        <v>1.31</v>
      </c>
      <c r="AE2220">
        <v>1</v>
      </c>
      <c r="AF2220">
        <v>66</v>
      </c>
      <c r="AG2220" t="s">
        <v>120</v>
      </c>
      <c r="AH2220">
        <v>0.01</v>
      </c>
      <c r="AI2220" t="s">
        <v>120</v>
      </c>
      <c r="AJ2220">
        <v>0.7</v>
      </c>
      <c r="AK2220" t="s">
        <v>904</v>
      </c>
      <c r="AL2220">
        <v>-0.49</v>
      </c>
      <c r="AM2220">
        <v>1298</v>
      </c>
      <c r="AN2220">
        <v>13</v>
      </c>
      <c r="AO2220">
        <v>1.9E-3</v>
      </c>
      <c r="AP2220">
        <v>-3</v>
      </c>
      <c r="AQ2220">
        <v>-3.77</v>
      </c>
      <c r="AR2220">
        <v>-9.15</v>
      </c>
      <c r="AS2220">
        <v>-4.57</v>
      </c>
      <c r="AT2220">
        <v>-17.920000000000002</v>
      </c>
      <c r="AU2220">
        <v>-28.09</v>
      </c>
      <c r="AV2220">
        <v>2</v>
      </c>
      <c r="AW2220">
        <v>3.3</v>
      </c>
      <c r="AX2220">
        <v>32.5</v>
      </c>
      <c r="AY2220">
        <v>36.630000000000003</v>
      </c>
      <c r="AZ2220">
        <v>45.58</v>
      </c>
      <c r="BA2220">
        <v>0.76</v>
      </c>
      <c r="BB2220" t="s">
        <v>240</v>
      </c>
      <c r="BF2220">
        <v>-0.77</v>
      </c>
      <c r="BG2220">
        <v>-3.09</v>
      </c>
      <c r="BH2220">
        <v>-3.86</v>
      </c>
      <c r="BI2220">
        <v>0.18</v>
      </c>
      <c r="BJ2220">
        <v>20210831</v>
      </c>
      <c r="BK2220">
        <v>20200901</v>
      </c>
      <c r="BL2220">
        <v>1.6</v>
      </c>
      <c r="BM2220" t="s">
        <v>120</v>
      </c>
      <c r="BN2220" t="s">
        <v>120</v>
      </c>
      <c r="BO2220">
        <v>9.9499999999999993</v>
      </c>
      <c r="BP2220">
        <v>21.93</v>
      </c>
      <c r="BQ2220">
        <v>6.66</v>
      </c>
      <c r="BR2220" t="s">
        <v>120</v>
      </c>
      <c r="BS2220">
        <v>33.090000000000003</v>
      </c>
      <c r="BT2220">
        <v>8.59</v>
      </c>
      <c r="BU2220">
        <v>0.24</v>
      </c>
      <c r="BV2220">
        <v>0.26</v>
      </c>
      <c r="BW2220">
        <v>3.28</v>
      </c>
      <c r="BX2220">
        <v>1.51</v>
      </c>
      <c r="BY2220">
        <v>0.53</v>
      </c>
      <c r="BZ2220">
        <v>3.04</v>
      </c>
      <c r="CA2220" t="s">
        <v>120</v>
      </c>
      <c r="CB2220">
        <v>2.48</v>
      </c>
      <c r="CC2220">
        <v>2.76</v>
      </c>
      <c r="CD2220">
        <v>1.87</v>
      </c>
      <c r="CE2220">
        <v>0.56999999999999995</v>
      </c>
      <c r="CF2220">
        <v>0.02</v>
      </c>
      <c r="CG2220">
        <v>0.56999999999999995</v>
      </c>
      <c r="CH2220">
        <v>0.49</v>
      </c>
      <c r="CI2220">
        <v>0.49</v>
      </c>
      <c r="CJ2220">
        <v>-0.54</v>
      </c>
      <c r="CK2220">
        <v>0.44</v>
      </c>
      <c r="CL2220">
        <v>2.33</v>
      </c>
      <c r="CM2220">
        <v>-0.59</v>
      </c>
      <c r="CN2220">
        <v>-1.25</v>
      </c>
      <c r="CO2220">
        <v>16807</v>
      </c>
      <c r="CP2220">
        <v>3095</v>
      </c>
      <c r="CQ2220" t="s">
        <v>3500</v>
      </c>
      <c r="CR2220">
        <v>65.44</v>
      </c>
      <c r="CS2220">
        <v>64.150000000000006</v>
      </c>
      <c r="CT2220">
        <v>5.27</v>
      </c>
      <c r="CU2220">
        <v>-59.4</v>
      </c>
      <c r="CV2220">
        <v>12.74</v>
      </c>
      <c r="CW2220">
        <v>0.74</v>
      </c>
      <c r="CX2220" t="s">
        <v>10667</v>
      </c>
      <c r="CY2220">
        <v>4.16</v>
      </c>
      <c r="CZ2220">
        <v>0</v>
      </c>
      <c r="DA2220">
        <v>1.55</v>
      </c>
      <c r="DB2220">
        <v>1.46</v>
      </c>
      <c r="DC2220">
        <v>-0.37</v>
      </c>
      <c r="DD2220">
        <v>66.91</v>
      </c>
      <c r="DE2220" t="s">
        <v>3490</v>
      </c>
      <c r="DF2220">
        <v>32.200000000000003</v>
      </c>
      <c r="DG2220">
        <v>20.81</v>
      </c>
      <c r="DH2220">
        <v>17.7</v>
      </c>
      <c r="DI2220">
        <v>0.11</v>
      </c>
      <c r="DJ2220">
        <v>389</v>
      </c>
      <c r="DK2220">
        <v>300880</v>
      </c>
      <c r="DL2220" t="s">
        <v>120</v>
      </c>
      <c r="DM2220" t="s">
        <v>120</v>
      </c>
      <c r="DN2220" t="s">
        <v>120</v>
      </c>
    </row>
    <row r="2221" spans="1:118">
      <c r="A2221" t="str">
        <f>"300881"</f>
        <v>300881</v>
      </c>
      <c r="B2221" t="s">
        <v>10668</v>
      </c>
      <c r="C2221">
        <v>4.8899999999999997</v>
      </c>
      <c r="D2221">
        <v>-0.05</v>
      </c>
      <c r="E2221">
        <v>3.54</v>
      </c>
      <c r="F2221">
        <v>455</v>
      </c>
      <c r="G2221" t="s">
        <v>10669</v>
      </c>
      <c r="H2221">
        <v>19424.580000000002</v>
      </c>
      <c r="I2221">
        <v>278.52999999999997</v>
      </c>
      <c r="J2221" t="s">
        <v>120</v>
      </c>
      <c r="K2221" t="s">
        <v>10669</v>
      </c>
      <c r="L2221">
        <v>23.08</v>
      </c>
      <c r="M2221">
        <v>32.619999999999997</v>
      </c>
      <c r="N2221">
        <v>1.29</v>
      </c>
      <c r="O2221">
        <v>15.76</v>
      </c>
      <c r="P2221">
        <v>36</v>
      </c>
      <c r="Q2221">
        <v>3.54</v>
      </c>
      <c r="R2221">
        <v>32.200000000000003</v>
      </c>
      <c r="S2221">
        <v>32.200000000000003</v>
      </c>
      <c r="T2221">
        <v>57695</v>
      </c>
      <c r="U2221">
        <v>32.630000000000003</v>
      </c>
      <c r="V2221">
        <v>31.1</v>
      </c>
      <c r="W2221">
        <v>77.150000000000006</v>
      </c>
      <c r="X2221" t="s">
        <v>1925</v>
      </c>
      <c r="Y2221" t="s">
        <v>319</v>
      </c>
      <c r="Z2221">
        <v>12.22</v>
      </c>
      <c r="AA2221">
        <v>33.67</v>
      </c>
      <c r="AB2221">
        <v>26756</v>
      </c>
      <c r="AC2221">
        <v>30939</v>
      </c>
      <c r="AD2221">
        <v>0.86</v>
      </c>
      <c r="AE2221">
        <v>7</v>
      </c>
      <c r="AF2221">
        <v>131</v>
      </c>
      <c r="AG2221" t="s">
        <v>120</v>
      </c>
      <c r="AH2221">
        <v>0.35</v>
      </c>
      <c r="AI2221" t="s">
        <v>120</v>
      </c>
      <c r="AJ2221">
        <v>0.25</v>
      </c>
      <c r="AK2221" t="s">
        <v>4394</v>
      </c>
      <c r="AL2221">
        <v>6.8</v>
      </c>
      <c r="AM2221">
        <v>2272</v>
      </c>
      <c r="AN2221">
        <v>25</v>
      </c>
      <c r="AO2221">
        <v>1.0200000000000001E-2</v>
      </c>
      <c r="AP2221">
        <v>1</v>
      </c>
      <c r="AQ2221">
        <v>-1.74</v>
      </c>
      <c r="AR2221">
        <v>-2.92</v>
      </c>
      <c r="AS2221">
        <v>9.17</v>
      </c>
      <c r="AT2221">
        <v>8.16</v>
      </c>
      <c r="AU2221">
        <v>-5.39</v>
      </c>
      <c r="AV2221">
        <v>5</v>
      </c>
      <c r="AW2221">
        <v>23.08</v>
      </c>
      <c r="AX2221">
        <v>25</v>
      </c>
      <c r="AY2221">
        <v>61.2</v>
      </c>
      <c r="AZ2221">
        <v>59.69</v>
      </c>
      <c r="BA2221">
        <v>0.91</v>
      </c>
      <c r="BB2221" t="s">
        <v>2411</v>
      </c>
      <c r="BF2221">
        <v>8.26</v>
      </c>
      <c r="BG2221">
        <v>1.3</v>
      </c>
      <c r="BH2221">
        <v>-9.39</v>
      </c>
      <c r="BI2221">
        <v>1.3</v>
      </c>
      <c r="BJ2221">
        <v>20210828</v>
      </c>
      <c r="BK2221">
        <v>20200901</v>
      </c>
      <c r="BL2221">
        <v>1</v>
      </c>
      <c r="BM2221" t="s">
        <v>120</v>
      </c>
      <c r="BN2221" t="s">
        <v>120</v>
      </c>
      <c r="BO2221">
        <v>12.95</v>
      </c>
      <c r="BP2221">
        <v>32.619999999999997</v>
      </c>
      <c r="BQ2221">
        <v>7.45</v>
      </c>
      <c r="BR2221" t="s">
        <v>120</v>
      </c>
      <c r="BS2221">
        <v>42.48</v>
      </c>
      <c r="BT2221">
        <v>11.25</v>
      </c>
      <c r="BU2221">
        <v>0.64</v>
      </c>
      <c r="BV2221">
        <v>0.59</v>
      </c>
      <c r="BW2221">
        <v>5.5</v>
      </c>
      <c r="BX2221">
        <v>2.1</v>
      </c>
      <c r="BY2221">
        <v>2.63</v>
      </c>
      <c r="BZ2221">
        <v>2.78</v>
      </c>
      <c r="CA2221" t="s">
        <v>120</v>
      </c>
      <c r="CB2221">
        <v>4.42</v>
      </c>
      <c r="CC2221">
        <v>4.97</v>
      </c>
      <c r="CD2221">
        <v>4.3899999999999997</v>
      </c>
      <c r="CE2221">
        <v>0.25</v>
      </c>
      <c r="CF2221">
        <v>0</v>
      </c>
      <c r="CG2221">
        <v>0.25</v>
      </c>
      <c r="CH2221">
        <v>0.21</v>
      </c>
      <c r="CI2221">
        <v>0.21</v>
      </c>
      <c r="CJ2221">
        <v>1.52</v>
      </c>
      <c r="CK2221">
        <v>0.18</v>
      </c>
      <c r="CL2221">
        <v>1.8</v>
      </c>
      <c r="CM2221">
        <v>0.55000000000000004</v>
      </c>
      <c r="CN2221">
        <v>-1.02</v>
      </c>
      <c r="CO2221">
        <v>13422</v>
      </c>
      <c r="CP2221">
        <v>1863</v>
      </c>
      <c r="CQ2221" t="s">
        <v>1972</v>
      </c>
      <c r="CR2221">
        <v>-5.75</v>
      </c>
      <c r="CS2221">
        <v>21.81</v>
      </c>
      <c r="CT2221">
        <v>4.38</v>
      </c>
      <c r="CU2221">
        <v>59.33</v>
      </c>
      <c r="CV2221">
        <v>6.56</v>
      </c>
      <c r="CW2221">
        <v>0.42</v>
      </c>
      <c r="CX2221" t="s">
        <v>2097</v>
      </c>
      <c r="CY2221">
        <v>7.45</v>
      </c>
      <c r="CZ2221">
        <v>0</v>
      </c>
      <c r="DA2221">
        <v>4.42</v>
      </c>
      <c r="DB2221">
        <v>1.8</v>
      </c>
      <c r="DC2221">
        <v>0.55000000000000004</v>
      </c>
      <c r="DD2221">
        <v>57.52</v>
      </c>
      <c r="DE2221" t="s">
        <v>1335</v>
      </c>
      <c r="DF2221">
        <v>11.58</v>
      </c>
      <c r="DG2221">
        <v>5.0599999999999996</v>
      </c>
      <c r="DH2221">
        <v>4.25</v>
      </c>
      <c r="DI2221">
        <v>0.19</v>
      </c>
      <c r="DJ2221">
        <v>534</v>
      </c>
      <c r="DK2221">
        <v>300881</v>
      </c>
      <c r="DL2221" t="s">
        <v>120</v>
      </c>
      <c r="DM2221" t="s">
        <v>120</v>
      </c>
      <c r="DN2221" t="s">
        <v>120</v>
      </c>
    </row>
    <row r="2222" spans="1:118">
      <c r="A2222" t="str">
        <f>"300882"</f>
        <v>300882</v>
      </c>
      <c r="B2222" t="s">
        <v>10670</v>
      </c>
      <c r="C2222">
        <v>3.37</v>
      </c>
      <c r="D2222">
        <v>0.05</v>
      </c>
      <c r="E2222">
        <v>-1.01</v>
      </c>
      <c r="F2222">
        <v>2496</v>
      </c>
      <c r="G2222" t="s">
        <v>10671</v>
      </c>
      <c r="H2222">
        <v>13844.01</v>
      </c>
      <c r="I2222">
        <v>22.03</v>
      </c>
      <c r="J2222" t="s">
        <v>120</v>
      </c>
      <c r="K2222" t="s">
        <v>10671</v>
      </c>
      <c r="L2222">
        <v>13.34</v>
      </c>
      <c r="M2222">
        <v>18.399999999999999</v>
      </c>
      <c r="N2222">
        <v>1.04</v>
      </c>
      <c r="O2222">
        <v>3.37</v>
      </c>
      <c r="P2222">
        <v>18.399999999999999</v>
      </c>
      <c r="Q2222">
        <v>-2.92</v>
      </c>
      <c r="R2222">
        <v>17.28</v>
      </c>
      <c r="S2222">
        <v>17.62</v>
      </c>
      <c r="T2222">
        <v>76864</v>
      </c>
      <c r="U2222">
        <v>18.420000000000002</v>
      </c>
      <c r="V2222">
        <v>17.8</v>
      </c>
      <c r="W2222">
        <v>48.58</v>
      </c>
      <c r="X2222" t="s">
        <v>2717</v>
      </c>
      <c r="Y2222" t="s">
        <v>585</v>
      </c>
      <c r="Z2222">
        <v>6.29</v>
      </c>
      <c r="AA2222">
        <v>18.010000000000002</v>
      </c>
      <c r="AB2222">
        <v>36786</v>
      </c>
      <c r="AC2222">
        <v>40078</v>
      </c>
      <c r="AD2222">
        <v>0.92</v>
      </c>
      <c r="AE2222">
        <v>345</v>
      </c>
      <c r="AF2222">
        <v>69</v>
      </c>
      <c r="AG2222" t="s">
        <v>120</v>
      </c>
      <c r="AH2222">
        <v>0.02</v>
      </c>
      <c r="AI2222" t="s">
        <v>120</v>
      </c>
      <c r="AJ2222">
        <v>0.57999999999999996</v>
      </c>
      <c r="AK2222" t="s">
        <v>5003</v>
      </c>
      <c r="AL2222">
        <v>5.28</v>
      </c>
      <c r="AM2222">
        <v>2517</v>
      </c>
      <c r="AN2222">
        <v>31</v>
      </c>
      <c r="AO2222">
        <v>5.3E-3</v>
      </c>
      <c r="AP2222">
        <v>1</v>
      </c>
      <c r="AQ2222">
        <v>-2.09</v>
      </c>
      <c r="AR2222">
        <v>2.2799999999999998</v>
      </c>
      <c r="AS2222">
        <v>15.29</v>
      </c>
      <c r="AT2222">
        <v>0.93</v>
      </c>
      <c r="AU2222">
        <v>-11.5</v>
      </c>
      <c r="AV2222">
        <v>2</v>
      </c>
      <c r="AW2222">
        <v>13.34</v>
      </c>
      <c r="AX2222">
        <v>28.18</v>
      </c>
      <c r="AY2222">
        <v>45.27</v>
      </c>
      <c r="AZ2222">
        <v>41.67</v>
      </c>
      <c r="BA2222">
        <v>0.41</v>
      </c>
      <c r="BB2222" t="s">
        <v>341</v>
      </c>
      <c r="BF2222">
        <v>1.19</v>
      </c>
      <c r="BG2222">
        <v>4.43</v>
      </c>
      <c r="BH2222">
        <v>0</v>
      </c>
      <c r="BI2222">
        <v>6.48</v>
      </c>
      <c r="BJ2222">
        <v>20210909</v>
      </c>
      <c r="BK2222">
        <v>20200910</v>
      </c>
      <c r="BL2222">
        <v>2.04</v>
      </c>
      <c r="BM2222" t="s">
        <v>120</v>
      </c>
      <c r="BN2222" t="s">
        <v>120</v>
      </c>
      <c r="BO2222">
        <v>10.34</v>
      </c>
      <c r="BP2222">
        <v>18.399999999999999</v>
      </c>
      <c r="BQ2222">
        <v>8.0399999999999991</v>
      </c>
      <c r="BR2222" t="s">
        <v>120</v>
      </c>
      <c r="BS2222">
        <v>22.23</v>
      </c>
      <c r="BT2222">
        <v>8.1999999999999993</v>
      </c>
      <c r="BU2222">
        <v>0.85</v>
      </c>
      <c r="BV2222">
        <v>0.28000000000000003</v>
      </c>
      <c r="BW2222">
        <v>2.25</v>
      </c>
      <c r="BX2222">
        <v>2.65</v>
      </c>
      <c r="BY2222">
        <v>0.35</v>
      </c>
      <c r="BZ2222">
        <v>3.8</v>
      </c>
      <c r="CA2222" t="s">
        <v>120</v>
      </c>
      <c r="CB2222">
        <v>3.17</v>
      </c>
      <c r="CC2222">
        <v>2.4300000000000002</v>
      </c>
      <c r="CD2222">
        <v>1.59</v>
      </c>
      <c r="CE2222">
        <v>0.46</v>
      </c>
      <c r="CF2222">
        <v>0.02</v>
      </c>
      <c r="CG2222">
        <v>0.46</v>
      </c>
      <c r="CH2222">
        <v>0.39</v>
      </c>
      <c r="CI2222">
        <v>0.39</v>
      </c>
      <c r="CJ2222">
        <v>0.6</v>
      </c>
      <c r="CK2222">
        <v>0.34</v>
      </c>
      <c r="CL2222">
        <v>2.4900000000000002</v>
      </c>
      <c r="CM2222">
        <v>-0.93</v>
      </c>
      <c r="CN2222">
        <v>-1.45</v>
      </c>
      <c r="CO2222">
        <v>17937</v>
      </c>
      <c r="CP2222">
        <v>3212</v>
      </c>
      <c r="CQ2222" t="s">
        <v>7094</v>
      </c>
      <c r="CR2222">
        <v>-15.23</v>
      </c>
      <c r="CS2222">
        <v>-8.09</v>
      </c>
      <c r="CT2222">
        <v>4.68</v>
      </c>
      <c r="CU2222">
        <v>-40.64</v>
      </c>
      <c r="CV2222">
        <v>15.48</v>
      </c>
      <c r="CW2222">
        <v>1.3</v>
      </c>
      <c r="CX2222" t="s">
        <v>442</v>
      </c>
      <c r="CY2222">
        <v>3.93</v>
      </c>
      <c r="CZ2222">
        <v>0</v>
      </c>
      <c r="DA2222">
        <v>1.55</v>
      </c>
      <c r="DB2222">
        <v>1.22</v>
      </c>
      <c r="DC2222">
        <v>-0.45</v>
      </c>
      <c r="DD2222">
        <v>77.77</v>
      </c>
      <c r="DE2222" t="s">
        <v>8264</v>
      </c>
      <c r="DF2222">
        <v>34.72</v>
      </c>
      <c r="DG2222">
        <v>18.82</v>
      </c>
      <c r="DH2222">
        <v>15.93</v>
      </c>
      <c r="DI2222">
        <v>0.21</v>
      </c>
      <c r="DJ2222">
        <v>560</v>
      </c>
      <c r="DK2222">
        <v>300882</v>
      </c>
      <c r="DL2222" t="s">
        <v>120</v>
      </c>
      <c r="DM2222" t="s">
        <v>120</v>
      </c>
      <c r="DN2222" t="s">
        <v>120</v>
      </c>
    </row>
    <row r="2223" spans="1:118">
      <c r="A2223" t="str">
        <f>"300883"</f>
        <v>300883</v>
      </c>
      <c r="B2223" t="s">
        <v>10672</v>
      </c>
      <c r="C2223">
        <v>-1.78</v>
      </c>
      <c r="D2223">
        <v>0</v>
      </c>
      <c r="E2223">
        <v>0</v>
      </c>
      <c r="F2223">
        <v>1346</v>
      </c>
      <c r="G2223" t="s">
        <v>10422</v>
      </c>
      <c r="H2223">
        <v>9774.6200000000008</v>
      </c>
      <c r="I2223">
        <v>30.33</v>
      </c>
      <c r="J2223" t="s">
        <v>120</v>
      </c>
      <c r="K2223" t="s">
        <v>10090</v>
      </c>
      <c r="L2223">
        <v>4.59</v>
      </c>
      <c r="M2223">
        <v>8.84</v>
      </c>
      <c r="N2223">
        <v>1.29</v>
      </c>
      <c r="O2223">
        <v>0.44</v>
      </c>
      <c r="P2223">
        <v>9.0399999999999991</v>
      </c>
      <c r="Q2223">
        <v>-2.44</v>
      </c>
      <c r="R2223">
        <v>8.7799999999999994</v>
      </c>
      <c r="S2223">
        <v>9</v>
      </c>
      <c r="T2223">
        <v>109546</v>
      </c>
      <c r="U2223">
        <v>8.85</v>
      </c>
      <c r="V2223">
        <v>9</v>
      </c>
      <c r="W2223">
        <v>56.21</v>
      </c>
      <c r="X2223" t="s">
        <v>814</v>
      </c>
      <c r="Y2223" t="s">
        <v>570</v>
      </c>
      <c r="Z2223">
        <v>2.89</v>
      </c>
      <c r="AA2223">
        <v>8.92</v>
      </c>
      <c r="AB2223">
        <v>59513</v>
      </c>
      <c r="AC2223">
        <v>50033</v>
      </c>
      <c r="AD2223">
        <v>1.19</v>
      </c>
      <c r="AE2223">
        <v>1</v>
      </c>
      <c r="AF2223">
        <v>148</v>
      </c>
      <c r="AG2223" t="s">
        <v>120</v>
      </c>
      <c r="AH2223">
        <v>0.02</v>
      </c>
      <c r="AI2223" t="s">
        <v>120</v>
      </c>
      <c r="AJ2223">
        <v>2.39</v>
      </c>
      <c r="AK2223" t="s">
        <v>10673</v>
      </c>
      <c r="AL2223">
        <v>0.14000000000000001</v>
      </c>
      <c r="AM2223">
        <v>2137</v>
      </c>
      <c r="AN2223">
        <v>51</v>
      </c>
      <c r="AO2223">
        <v>2.0999999999999999E-3</v>
      </c>
      <c r="AP2223">
        <v>-7</v>
      </c>
      <c r="AQ2223">
        <v>-3.74</v>
      </c>
      <c r="AR2223">
        <v>-9.33</v>
      </c>
      <c r="AS2223">
        <v>-15.17</v>
      </c>
      <c r="AT2223">
        <v>-26.76</v>
      </c>
      <c r="AU2223">
        <v>-40.630000000000003</v>
      </c>
      <c r="AV2223">
        <v>1</v>
      </c>
      <c r="AW2223">
        <v>6</v>
      </c>
      <c r="AX2223">
        <v>52.8</v>
      </c>
      <c r="AY2223">
        <v>50.99</v>
      </c>
      <c r="AZ2223">
        <v>47.69</v>
      </c>
      <c r="BA2223">
        <v>0.81</v>
      </c>
      <c r="BB2223" t="s">
        <v>134</v>
      </c>
      <c r="BF2223">
        <v>-0.86</v>
      </c>
      <c r="BG2223">
        <v>-1.78</v>
      </c>
      <c r="BH2223">
        <v>-2.21</v>
      </c>
      <c r="BI2223">
        <v>0.68</v>
      </c>
      <c r="BJ2223">
        <v>20210910</v>
      </c>
      <c r="BK2223">
        <v>20200910</v>
      </c>
      <c r="BL2223">
        <v>3.46</v>
      </c>
      <c r="BM2223" t="s">
        <v>120</v>
      </c>
      <c r="BN2223" t="s">
        <v>120</v>
      </c>
      <c r="BO2223">
        <v>18.510000000000002</v>
      </c>
      <c r="BP2223">
        <v>8.84</v>
      </c>
      <c r="BQ2223">
        <v>13.95</v>
      </c>
      <c r="BR2223" t="s">
        <v>120</v>
      </c>
      <c r="BS2223">
        <v>24.64</v>
      </c>
      <c r="BT2223">
        <v>11.53</v>
      </c>
      <c r="BU2223">
        <v>4.18</v>
      </c>
      <c r="BV2223">
        <v>1.2</v>
      </c>
      <c r="BW2223">
        <v>4.21</v>
      </c>
      <c r="BX2223">
        <v>5.93</v>
      </c>
      <c r="BY2223">
        <v>3.12</v>
      </c>
      <c r="BZ2223">
        <v>1.41</v>
      </c>
      <c r="CA2223" t="s">
        <v>120</v>
      </c>
      <c r="CB2223">
        <v>5.61</v>
      </c>
      <c r="CC2223">
        <v>3.46</v>
      </c>
      <c r="CD2223">
        <v>2.77</v>
      </c>
      <c r="CE2223">
        <v>0.3</v>
      </c>
      <c r="CF2223">
        <v>0.01</v>
      </c>
      <c r="CG2223">
        <v>0.3</v>
      </c>
      <c r="CH2223">
        <v>0.27</v>
      </c>
      <c r="CI2223">
        <v>0.27</v>
      </c>
      <c r="CJ2223">
        <v>-0.16</v>
      </c>
      <c r="CK2223">
        <v>0.21</v>
      </c>
      <c r="CL2223">
        <v>4.58</v>
      </c>
      <c r="CM2223">
        <v>0.21</v>
      </c>
      <c r="CN2223">
        <v>0.49</v>
      </c>
      <c r="CO2223">
        <v>25056</v>
      </c>
      <c r="CP2223">
        <v>7291</v>
      </c>
      <c r="CQ2223" t="s">
        <v>3967</v>
      </c>
      <c r="CR2223">
        <v>-13.46</v>
      </c>
      <c r="CS2223">
        <v>2.25</v>
      </c>
      <c r="CT2223">
        <v>2.19</v>
      </c>
      <c r="CU2223">
        <v>146.75</v>
      </c>
      <c r="CV2223">
        <v>8.84</v>
      </c>
      <c r="CW2223">
        <v>0.11</v>
      </c>
      <c r="CX2223" t="s">
        <v>3295</v>
      </c>
      <c r="CY2223">
        <v>4.03</v>
      </c>
      <c r="CZ2223">
        <v>0</v>
      </c>
      <c r="DA2223">
        <v>1.62</v>
      </c>
      <c r="DB2223">
        <v>1.32</v>
      </c>
      <c r="DC2223">
        <v>0.06</v>
      </c>
      <c r="DD2223">
        <v>75.36</v>
      </c>
      <c r="DE2223" t="s">
        <v>1768</v>
      </c>
      <c r="DF2223">
        <v>19.98</v>
      </c>
      <c r="DG2223">
        <v>8.5299999999999994</v>
      </c>
      <c r="DH2223">
        <v>7.86</v>
      </c>
      <c r="DI2223">
        <v>0.16</v>
      </c>
      <c r="DJ2223">
        <v>516</v>
      </c>
      <c r="DK2223">
        <v>300883</v>
      </c>
      <c r="DL2223" t="s">
        <v>120</v>
      </c>
      <c r="DM2223" t="s">
        <v>120</v>
      </c>
      <c r="DN2223" t="s">
        <v>120</v>
      </c>
    </row>
    <row r="2224" spans="1:118">
      <c r="A2224" t="str">
        <f>"300884"</f>
        <v>300884</v>
      </c>
      <c r="B2224" t="s">
        <v>10674</v>
      </c>
      <c r="C2224">
        <v>3.21</v>
      </c>
      <c r="D2224">
        <v>0</v>
      </c>
      <c r="E2224">
        <v>0.18</v>
      </c>
      <c r="F2224">
        <v>525</v>
      </c>
      <c r="G2224" t="s">
        <v>881</v>
      </c>
      <c r="H2224">
        <v>5208.8999999999996</v>
      </c>
      <c r="I2224">
        <v>1.0900000000000001</v>
      </c>
      <c r="J2224" t="s">
        <v>120</v>
      </c>
      <c r="K2224" t="s">
        <v>881</v>
      </c>
      <c r="L2224">
        <v>5.18</v>
      </c>
      <c r="M2224">
        <v>22.52</v>
      </c>
      <c r="N2224">
        <v>2.21</v>
      </c>
      <c r="O2224">
        <v>6.23</v>
      </c>
      <c r="P2224">
        <v>23.18</v>
      </c>
      <c r="Q2224">
        <v>0</v>
      </c>
      <c r="R2224">
        <v>21.82</v>
      </c>
      <c r="S2224">
        <v>21.86</v>
      </c>
      <c r="T2224">
        <v>23289</v>
      </c>
      <c r="U2224">
        <v>22.53</v>
      </c>
      <c r="V2224">
        <v>21.82</v>
      </c>
      <c r="W2224">
        <v>40.369999999999997</v>
      </c>
      <c r="X2224" t="s">
        <v>462</v>
      </c>
      <c r="Y2224" t="s">
        <v>937</v>
      </c>
      <c r="Z2224">
        <v>6.23</v>
      </c>
      <c r="AA2224">
        <v>22.37</v>
      </c>
      <c r="AB2224">
        <v>10793</v>
      </c>
      <c r="AC2224">
        <v>12496</v>
      </c>
      <c r="AD2224">
        <v>0.86</v>
      </c>
      <c r="AE2224">
        <v>44</v>
      </c>
      <c r="AF2224">
        <v>26</v>
      </c>
      <c r="AG2224" t="s">
        <v>120</v>
      </c>
      <c r="AH2224">
        <v>0</v>
      </c>
      <c r="AI2224" t="s">
        <v>120</v>
      </c>
      <c r="AJ2224">
        <v>0.45</v>
      </c>
      <c r="AK2224" t="s">
        <v>10675</v>
      </c>
      <c r="AL2224">
        <v>5.12</v>
      </c>
      <c r="AM2224">
        <v>1148</v>
      </c>
      <c r="AN2224">
        <v>20</v>
      </c>
      <c r="AO2224">
        <v>4.4999999999999997E-3</v>
      </c>
      <c r="AP2224">
        <v>1</v>
      </c>
      <c r="AQ2224">
        <v>-0.64</v>
      </c>
      <c r="AR2224">
        <v>1.76</v>
      </c>
      <c r="AS2224">
        <v>-4.7</v>
      </c>
      <c r="AT2224">
        <v>-17.510000000000002</v>
      </c>
      <c r="AU2224">
        <v>-22.3</v>
      </c>
      <c r="AV2224">
        <v>1</v>
      </c>
      <c r="AW2224">
        <v>5.18</v>
      </c>
      <c r="AX2224">
        <v>25</v>
      </c>
      <c r="AY2224">
        <v>26.03</v>
      </c>
      <c r="AZ2224">
        <v>25.45</v>
      </c>
      <c r="BA2224">
        <v>0.76</v>
      </c>
      <c r="BB2224" t="s">
        <v>134</v>
      </c>
      <c r="BF2224">
        <v>2.5</v>
      </c>
      <c r="BG2224">
        <v>3.02</v>
      </c>
      <c r="BH2224">
        <v>-2.85</v>
      </c>
      <c r="BI2224">
        <v>3.21</v>
      </c>
      <c r="BJ2224">
        <v>20210901</v>
      </c>
      <c r="BK2224">
        <v>20201112</v>
      </c>
      <c r="BL2224">
        <v>1.8</v>
      </c>
      <c r="BM2224" t="s">
        <v>120</v>
      </c>
      <c r="BN2224" t="s">
        <v>120</v>
      </c>
      <c r="BO2224">
        <v>16.579999999999998</v>
      </c>
      <c r="BP2224">
        <v>22.52</v>
      </c>
      <c r="BQ2224">
        <v>12.4</v>
      </c>
      <c r="BR2224">
        <v>0.03</v>
      </c>
      <c r="BS2224">
        <v>25.02</v>
      </c>
      <c r="BT2224">
        <v>15.4</v>
      </c>
      <c r="BU2224">
        <v>0.14000000000000001</v>
      </c>
      <c r="BV2224">
        <v>0.1</v>
      </c>
      <c r="BW2224">
        <v>4.1399999999999997</v>
      </c>
      <c r="BX2224">
        <v>6.63</v>
      </c>
      <c r="BY2224">
        <v>1.94</v>
      </c>
      <c r="BZ2224">
        <v>3.75</v>
      </c>
      <c r="CA2224" t="s">
        <v>120</v>
      </c>
      <c r="CB2224">
        <v>6.8</v>
      </c>
      <c r="CC2224">
        <v>3.79</v>
      </c>
      <c r="CD2224">
        <v>2.42</v>
      </c>
      <c r="CE2224">
        <v>0.56000000000000005</v>
      </c>
      <c r="CF2224">
        <v>0.08</v>
      </c>
      <c r="CG2224">
        <v>0.56000000000000005</v>
      </c>
      <c r="CH2224">
        <v>0.5</v>
      </c>
      <c r="CI2224">
        <v>0.5</v>
      </c>
      <c r="CJ2224">
        <v>0.7</v>
      </c>
      <c r="CK2224">
        <v>0.4</v>
      </c>
      <c r="CL2224">
        <v>3.43</v>
      </c>
      <c r="CM2224">
        <v>-0.76</v>
      </c>
      <c r="CN2224">
        <v>3.47</v>
      </c>
      <c r="CO2224">
        <v>17084</v>
      </c>
      <c r="CP2224">
        <v>2634</v>
      </c>
      <c r="CQ2224" t="s">
        <v>3124</v>
      </c>
      <c r="CR2224">
        <v>-6.38</v>
      </c>
      <c r="CS2224">
        <v>41.4</v>
      </c>
      <c r="CT2224">
        <v>3.27</v>
      </c>
      <c r="CU2224">
        <v>-53.09</v>
      </c>
      <c r="CV2224">
        <v>10.71</v>
      </c>
      <c r="CW2224">
        <v>0.61</v>
      </c>
      <c r="CX2224" t="s">
        <v>1054</v>
      </c>
      <c r="CY2224">
        <v>6.89</v>
      </c>
      <c r="CZ2224">
        <v>0</v>
      </c>
      <c r="DA2224">
        <v>3.78</v>
      </c>
      <c r="DB2224">
        <v>1.91</v>
      </c>
      <c r="DC2224">
        <v>-0.42</v>
      </c>
      <c r="DD2224">
        <v>74.819999999999993</v>
      </c>
      <c r="DE2224" t="s">
        <v>3624</v>
      </c>
      <c r="DF2224">
        <v>36.17</v>
      </c>
      <c r="DG2224">
        <v>14.8</v>
      </c>
      <c r="DH2224">
        <v>13.26</v>
      </c>
      <c r="DI2224">
        <v>0.19</v>
      </c>
      <c r="DJ2224">
        <v>1069</v>
      </c>
      <c r="DK2224">
        <v>300884</v>
      </c>
      <c r="DL2224" t="s">
        <v>120</v>
      </c>
      <c r="DM2224" t="s">
        <v>120</v>
      </c>
      <c r="DN2224" t="s">
        <v>120</v>
      </c>
    </row>
    <row r="2225" spans="1:118">
      <c r="A2225" t="str">
        <f>"300885"</f>
        <v>300885</v>
      </c>
      <c r="B2225" t="s">
        <v>10676</v>
      </c>
      <c r="C2225">
        <v>0.44</v>
      </c>
      <c r="D2225">
        <v>-0.04</v>
      </c>
      <c r="E2225">
        <v>0</v>
      </c>
      <c r="F2225">
        <v>439</v>
      </c>
      <c r="G2225" t="s">
        <v>10677</v>
      </c>
      <c r="H2225">
        <v>4025.7</v>
      </c>
      <c r="I2225">
        <v>3.24</v>
      </c>
      <c r="J2225" t="s">
        <v>120</v>
      </c>
      <c r="K2225" t="s">
        <v>10455</v>
      </c>
      <c r="L2225">
        <v>3.54</v>
      </c>
      <c r="M2225">
        <v>20.37</v>
      </c>
      <c r="N2225">
        <v>0.8</v>
      </c>
      <c r="O2225">
        <v>4.34</v>
      </c>
      <c r="P2225">
        <v>21.16</v>
      </c>
      <c r="Q2225">
        <v>-0.1</v>
      </c>
      <c r="R2225">
        <v>20.260000000000002</v>
      </c>
      <c r="S2225">
        <v>20.28</v>
      </c>
      <c r="T2225">
        <v>19504</v>
      </c>
      <c r="U2225">
        <v>20.38</v>
      </c>
      <c r="V2225">
        <v>20.28</v>
      </c>
      <c r="W2225">
        <v>31.56</v>
      </c>
      <c r="X2225" t="s">
        <v>959</v>
      </c>
      <c r="Y2225" t="s">
        <v>319</v>
      </c>
      <c r="Z2225">
        <v>4.4400000000000004</v>
      </c>
      <c r="AA2225">
        <v>20.64</v>
      </c>
      <c r="AB2225">
        <v>10459</v>
      </c>
      <c r="AC2225">
        <v>9045</v>
      </c>
      <c r="AD2225">
        <v>1.1599999999999999</v>
      </c>
      <c r="AE2225">
        <v>167</v>
      </c>
      <c r="AF2225">
        <v>44</v>
      </c>
      <c r="AG2225" t="s">
        <v>120</v>
      </c>
      <c r="AH2225">
        <v>0</v>
      </c>
      <c r="AI2225" t="s">
        <v>120</v>
      </c>
      <c r="AJ2225">
        <v>0.55000000000000004</v>
      </c>
      <c r="AK2225" t="s">
        <v>1144</v>
      </c>
      <c r="AL2225">
        <v>2.36</v>
      </c>
      <c r="AM2225">
        <v>1115</v>
      </c>
      <c r="AN2225">
        <v>17</v>
      </c>
      <c r="AO2225">
        <v>3.2000000000000002E-3</v>
      </c>
      <c r="AP2225">
        <v>2</v>
      </c>
      <c r="AQ2225">
        <v>1</v>
      </c>
      <c r="AR2225">
        <v>0.6</v>
      </c>
      <c r="AS2225">
        <v>-3.41</v>
      </c>
      <c r="AT2225">
        <v>-14.8</v>
      </c>
      <c r="AU2225">
        <v>12.45</v>
      </c>
      <c r="AV2225">
        <v>4</v>
      </c>
      <c r="AW2225">
        <v>5.13</v>
      </c>
      <c r="AX2225">
        <v>25</v>
      </c>
      <c r="AY2225">
        <v>35.06</v>
      </c>
      <c r="AZ2225">
        <v>49.22</v>
      </c>
      <c r="BA2225">
        <v>1.1100000000000001</v>
      </c>
      <c r="BB2225" t="s">
        <v>143</v>
      </c>
      <c r="BF2225">
        <v>1.78</v>
      </c>
      <c r="BG2225">
        <v>0.44</v>
      </c>
      <c r="BH2225">
        <v>-3.73</v>
      </c>
      <c r="BI2225">
        <v>0.54</v>
      </c>
      <c r="BJ2225">
        <v>20210909</v>
      </c>
      <c r="BK2225">
        <v>20200910</v>
      </c>
      <c r="BL2225">
        <v>1.52</v>
      </c>
      <c r="BM2225" t="s">
        <v>120</v>
      </c>
      <c r="BN2225" t="s">
        <v>120</v>
      </c>
      <c r="BO2225">
        <v>7.54</v>
      </c>
      <c r="BP2225">
        <v>20.37</v>
      </c>
      <c r="BQ2225">
        <v>6.97</v>
      </c>
      <c r="BR2225" t="s">
        <v>120</v>
      </c>
      <c r="BS2225">
        <v>7.64</v>
      </c>
      <c r="BT2225">
        <v>6.39</v>
      </c>
      <c r="BU2225">
        <v>0.89</v>
      </c>
      <c r="BV2225">
        <v>0.14000000000000001</v>
      </c>
      <c r="BW2225">
        <v>0.56999999999999995</v>
      </c>
      <c r="BX2225">
        <v>1.73</v>
      </c>
      <c r="BY2225">
        <v>0.56999999999999995</v>
      </c>
      <c r="BZ2225">
        <v>1.03</v>
      </c>
      <c r="CA2225" t="s">
        <v>120</v>
      </c>
      <c r="CB2225">
        <v>3.23</v>
      </c>
      <c r="CC2225">
        <v>1.61</v>
      </c>
      <c r="CD2225">
        <v>0.93</v>
      </c>
      <c r="CE2225">
        <v>0.54</v>
      </c>
      <c r="CF2225">
        <v>0.04</v>
      </c>
      <c r="CG2225">
        <v>0.57999999999999996</v>
      </c>
      <c r="CH2225">
        <v>0.49</v>
      </c>
      <c r="CI2225">
        <v>0.49</v>
      </c>
      <c r="CJ2225">
        <v>0.09</v>
      </c>
      <c r="CK2225">
        <v>0.43</v>
      </c>
      <c r="CL2225">
        <v>1.98</v>
      </c>
      <c r="CM2225">
        <v>0.25</v>
      </c>
      <c r="CN2225">
        <v>-1.22</v>
      </c>
      <c r="CO2225">
        <v>15352</v>
      </c>
      <c r="CP2225">
        <v>2475</v>
      </c>
      <c r="CQ2225" t="s">
        <v>5308</v>
      </c>
      <c r="CR2225">
        <v>106.44</v>
      </c>
      <c r="CS2225">
        <v>99.1</v>
      </c>
      <c r="CT2225">
        <v>4.4400000000000004</v>
      </c>
      <c r="CU2225">
        <v>121.93</v>
      </c>
      <c r="CV2225">
        <v>19.239999999999998</v>
      </c>
      <c r="CW2225">
        <v>1.95</v>
      </c>
      <c r="CX2225" t="s">
        <v>2391</v>
      </c>
      <c r="CY2225">
        <v>4.58</v>
      </c>
      <c r="CZ2225">
        <v>0</v>
      </c>
      <c r="DA2225">
        <v>2.12</v>
      </c>
      <c r="DB2225">
        <v>1.3</v>
      </c>
      <c r="DC2225">
        <v>0.17</v>
      </c>
      <c r="DD2225">
        <v>92.36</v>
      </c>
      <c r="DE2225" t="s">
        <v>7219</v>
      </c>
      <c r="DF2225">
        <v>42.38</v>
      </c>
      <c r="DG2225">
        <v>33.82</v>
      </c>
      <c r="DH2225">
        <v>30.48</v>
      </c>
      <c r="DI2225">
        <v>0.06</v>
      </c>
      <c r="DJ2225">
        <v>248</v>
      </c>
      <c r="DK2225">
        <v>300885</v>
      </c>
      <c r="DL2225" t="s">
        <v>120</v>
      </c>
      <c r="DM2225" t="s">
        <v>120</v>
      </c>
      <c r="DN2225" t="s">
        <v>120</v>
      </c>
    </row>
    <row r="2226" spans="1:118">
      <c r="A2226" t="str">
        <f>"300886"</f>
        <v>300886</v>
      </c>
      <c r="B2226" t="s">
        <v>10678</v>
      </c>
      <c r="C2226">
        <v>4.55</v>
      </c>
      <c r="D2226">
        <v>-0.06</v>
      </c>
      <c r="E2226">
        <v>0.26</v>
      </c>
      <c r="F2226">
        <v>170</v>
      </c>
      <c r="G2226" t="s">
        <v>5811</v>
      </c>
      <c r="H2226">
        <v>7335.11</v>
      </c>
      <c r="I2226">
        <v>1.08</v>
      </c>
      <c r="J2226" t="s">
        <v>120</v>
      </c>
      <c r="K2226" t="s">
        <v>10679</v>
      </c>
      <c r="L2226">
        <v>5.22</v>
      </c>
      <c r="M2226">
        <v>28.26</v>
      </c>
      <c r="N2226">
        <v>2.1</v>
      </c>
      <c r="O2226">
        <v>9.36</v>
      </c>
      <c r="P2226">
        <v>29.56</v>
      </c>
      <c r="Q2226">
        <v>-0.48</v>
      </c>
      <c r="R2226">
        <v>26.9</v>
      </c>
      <c r="S2226">
        <v>27.1</v>
      </c>
      <c r="T2226">
        <v>25740</v>
      </c>
      <c r="U2226">
        <v>28.26</v>
      </c>
      <c r="V2226">
        <v>27.03</v>
      </c>
      <c r="W2226">
        <v>73.900000000000006</v>
      </c>
      <c r="X2226" t="s">
        <v>868</v>
      </c>
      <c r="Y2226" t="s">
        <v>570</v>
      </c>
      <c r="Z2226">
        <v>9.84</v>
      </c>
      <c r="AA2226">
        <v>28.5</v>
      </c>
      <c r="AB2226">
        <v>10330</v>
      </c>
      <c r="AC2226">
        <v>15410</v>
      </c>
      <c r="AD2226">
        <v>0.67</v>
      </c>
      <c r="AE2226">
        <v>107</v>
      </c>
      <c r="AF2226">
        <v>17</v>
      </c>
      <c r="AG2226" t="s">
        <v>120</v>
      </c>
      <c r="AH2226">
        <v>0</v>
      </c>
      <c r="AI2226" t="s">
        <v>120</v>
      </c>
      <c r="AJ2226">
        <v>0.49</v>
      </c>
      <c r="AK2226" t="s">
        <v>10680</v>
      </c>
      <c r="AL2226">
        <v>6.46</v>
      </c>
      <c r="AM2226">
        <v>1706</v>
      </c>
      <c r="AN2226">
        <v>15</v>
      </c>
      <c r="AO2226">
        <v>3.0999999999999999E-3</v>
      </c>
      <c r="AP2226">
        <v>1</v>
      </c>
      <c r="AQ2226">
        <v>-2.0699999999999998</v>
      </c>
      <c r="AR2226">
        <v>1.32</v>
      </c>
      <c r="AS2226">
        <v>1.43</v>
      </c>
      <c r="AT2226">
        <v>-13.66</v>
      </c>
      <c r="AU2226">
        <v>-23.63</v>
      </c>
      <c r="AV2226">
        <v>1</v>
      </c>
      <c r="AW2226">
        <v>13.8</v>
      </c>
      <c r="AX2226">
        <v>25.02</v>
      </c>
      <c r="AY2226">
        <v>68.44</v>
      </c>
      <c r="AZ2226">
        <v>50.11</v>
      </c>
      <c r="BA2226">
        <v>0.96</v>
      </c>
      <c r="BB2226" t="s">
        <v>125</v>
      </c>
      <c r="BF2226">
        <v>5.43</v>
      </c>
      <c r="BG2226">
        <v>4.28</v>
      </c>
      <c r="BH2226">
        <v>-4.4000000000000004</v>
      </c>
      <c r="BI2226">
        <v>5.0599999999999996</v>
      </c>
      <c r="BJ2226">
        <v>20210915</v>
      </c>
      <c r="BK2226">
        <v>20200916</v>
      </c>
      <c r="BL2226">
        <v>0.75</v>
      </c>
      <c r="BM2226" t="s">
        <v>120</v>
      </c>
      <c r="BN2226" t="s">
        <v>120</v>
      </c>
      <c r="BO2226">
        <v>5.54</v>
      </c>
      <c r="BP2226">
        <v>28.25</v>
      </c>
      <c r="BQ2226">
        <v>5.2</v>
      </c>
      <c r="BR2226" t="s">
        <v>120</v>
      </c>
      <c r="BS2226">
        <v>6.22</v>
      </c>
      <c r="BT2226">
        <v>3.45</v>
      </c>
      <c r="BU2226">
        <v>1.52</v>
      </c>
      <c r="BV2226">
        <v>0.33</v>
      </c>
      <c r="BW2226">
        <v>0.18</v>
      </c>
      <c r="BX2226">
        <v>1.52</v>
      </c>
      <c r="BY2226">
        <v>0.68</v>
      </c>
      <c r="BZ2226">
        <v>0.71</v>
      </c>
      <c r="CA2226" t="s">
        <v>120</v>
      </c>
      <c r="CB2226">
        <v>2.27</v>
      </c>
      <c r="CC2226">
        <v>1.22</v>
      </c>
      <c r="CD2226">
        <v>0.93</v>
      </c>
      <c r="CE2226">
        <v>0.16</v>
      </c>
      <c r="CF2226">
        <v>0</v>
      </c>
      <c r="CG2226">
        <v>0.16</v>
      </c>
      <c r="CH2226">
        <v>0.14000000000000001</v>
      </c>
      <c r="CI2226">
        <v>0.14000000000000001</v>
      </c>
      <c r="CJ2226">
        <v>1.23</v>
      </c>
      <c r="CK2226">
        <v>0.12</v>
      </c>
      <c r="CL2226">
        <v>1.87</v>
      </c>
      <c r="CM2226">
        <v>0.22</v>
      </c>
      <c r="CN2226">
        <v>-0.05</v>
      </c>
      <c r="CO2226">
        <v>9337</v>
      </c>
      <c r="CP2226">
        <v>1998</v>
      </c>
      <c r="CQ2226" t="s">
        <v>3672</v>
      </c>
      <c r="CR2226">
        <v>-43.04</v>
      </c>
      <c r="CS2226">
        <v>6.81</v>
      </c>
      <c r="CT2226">
        <v>4.05</v>
      </c>
      <c r="CU2226">
        <v>94.95</v>
      </c>
      <c r="CV2226">
        <v>17.23</v>
      </c>
      <c r="CW2226">
        <v>0.56999999999999995</v>
      </c>
      <c r="CX2226" t="s">
        <v>10681</v>
      </c>
      <c r="CY2226">
        <v>6.97</v>
      </c>
      <c r="CZ2226">
        <v>0</v>
      </c>
      <c r="DA2226">
        <v>3.04</v>
      </c>
      <c r="DB2226">
        <v>2.5099999999999998</v>
      </c>
      <c r="DC2226">
        <v>0.3</v>
      </c>
      <c r="DD2226">
        <v>93.78</v>
      </c>
      <c r="DE2226" t="s">
        <v>746</v>
      </c>
      <c r="DF2226">
        <v>24.27</v>
      </c>
      <c r="DG2226">
        <v>13.3</v>
      </c>
      <c r="DH2226">
        <v>11.66</v>
      </c>
      <c r="DI2226">
        <v>0.06</v>
      </c>
      <c r="DJ2226">
        <v>243</v>
      </c>
      <c r="DK2226">
        <v>300886</v>
      </c>
      <c r="DL2226" t="s">
        <v>120</v>
      </c>
      <c r="DM2226" t="s">
        <v>120</v>
      </c>
      <c r="DN2226" t="s">
        <v>120</v>
      </c>
    </row>
    <row r="2227" spans="1:118">
      <c r="A2227" t="str">
        <f>"300887"</f>
        <v>300887</v>
      </c>
      <c r="B2227" t="s">
        <v>10682</v>
      </c>
      <c r="C2227">
        <v>-3.35</v>
      </c>
      <c r="D2227">
        <v>0.09</v>
      </c>
      <c r="E2227">
        <v>-1.83</v>
      </c>
      <c r="F2227">
        <v>68</v>
      </c>
      <c r="G2227" t="s">
        <v>9627</v>
      </c>
      <c r="H2227">
        <v>5197.2299999999996</v>
      </c>
      <c r="I2227">
        <v>102.02</v>
      </c>
      <c r="J2227" t="s">
        <v>120</v>
      </c>
      <c r="K2227" t="s">
        <v>9627</v>
      </c>
      <c r="L2227">
        <v>2.5099999999999998</v>
      </c>
      <c r="M2227">
        <v>66.959999999999994</v>
      </c>
      <c r="N2227">
        <v>0.63</v>
      </c>
      <c r="O2227">
        <v>-0.45</v>
      </c>
      <c r="P2227">
        <v>68.97</v>
      </c>
      <c r="Q2227">
        <v>-4.26</v>
      </c>
      <c r="R2227">
        <v>66.33</v>
      </c>
      <c r="S2227">
        <v>68.010000000000005</v>
      </c>
      <c r="T2227">
        <v>7730</v>
      </c>
      <c r="U2227">
        <v>67</v>
      </c>
      <c r="V2227">
        <v>69.28</v>
      </c>
      <c r="W2227">
        <v>174</v>
      </c>
      <c r="X2227" t="s">
        <v>166</v>
      </c>
      <c r="Y2227" t="s">
        <v>158</v>
      </c>
      <c r="Z2227">
        <v>3.81</v>
      </c>
      <c r="AA2227">
        <v>67.239999999999995</v>
      </c>
      <c r="AB2227">
        <v>4319</v>
      </c>
      <c r="AC2227">
        <v>3411</v>
      </c>
      <c r="AD2227">
        <v>1.27</v>
      </c>
      <c r="AE2227">
        <v>11</v>
      </c>
      <c r="AF2227">
        <v>1</v>
      </c>
      <c r="AG2227" t="s">
        <v>120</v>
      </c>
      <c r="AH2227">
        <v>0.05</v>
      </c>
      <c r="AI2227" t="s">
        <v>120</v>
      </c>
      <c r="AJ2227">
        <v>0.31</v>
      </c>
      <c r="AK2227" t="s">
        <v>10683</v>
      </c>
      <c r="AL2227">
        <v>-1.44</v>
      </c>
      <c r="AM2227">
        <v>1302</v>
      </c>
      <c r="AN2227">
        <v>6</v>
      </c>
      <c r="AO2227">
        <v>1.9E-3</v>
      </c>
      <c r="AP2227">
        <v>-4</v>
      </c>
      <c r="AQ2227">
        <v>-0.9</v>
      </c>
      <c r="AR2227">
        <v>-6.47</v>
      </c>
      <c r="AS2227">
        <v>0.78</v>
      </c>
      <c r="AT2227">
        <v>-22.12</v>
      </c>
      <c r="AU2227">
        <v>55.74</v>
      </c>
      <c r="AV2227">
        <v>1</v>
      </c>
      <c r="AW2227">
        <v>2.5099999999999998</v>
      </c>
      <c r="AX2227">
        <v>22.47</v>
      </c>
      <c r="AY2227">
        <v>54.43</v>
      </c>
      <c r="AZ2227">
        <v>57.98</v>
      </c>
      <c r="BA2227">
        <v>0.62</v>
      </c>
      <c r="BB2227" t="s">
        <v>143</v>
      </c>
      <c r="BF2227">
        <v>-2.95</v>
      </c>
      <c r="BG2227">
        <v>-1.54</v>
      </c>
      <c r="BH2227">
        <v>-2.91</v>
      </c>
      <c r="BI2227">
        <v>0.95</v>
      </c>
      <c r="BJ2227">
        <v>20210913</v>
      </c>
      <c r="BK2227">
        <v>20200916</v>
      </c>
      <c r="BL2227">
        <v>1.37</v>
      </c>
      <c r="BM2227" t="s">
        <v>120</v>
      </c>
      <c r="BN2227" t="s">
        <v>120</v>
      </c>
      <c r="BO2227">
        <v>22.17</v>
      </c>
      <c r="BP2227">
        <v>66.959999999999994</v>
      </c>
      <c r="BQ2227">
        <v>18.09</v>
      </c>
      <c r="BR2227" t="s">
        <v>120</v>
      </c>
      <c r="BS2227">
        <v>18.399999999999999</v>
      </c>
      <c r="BT2227">
        <v>11.2</v>
      </c>
      <c r="BU2227">
        <v>7.77</v>
      </c>
      <c r="BV2227">
        <v>0.88</v>
      </c>
      <c r="BW2227">
        <v>2.67</v>
      </c>
      <c r="BX2227">
        <v>4.08</v>
      </c>
      <c r="BY2227">
        <v>0.16</v>
      </c>
      <c r="BZ2227">
        <v>5.51</v>
      </c>
      <c r="CA2227" t="s">
        <v>120</v>
      </c>
      <c r="CB2227">
        <v>6.95</v>
      </c>
      <c r="CC2227">
        <v>7.39</v>
      </c>
      <c r="CD2227">
        <v>4.25</v>
      </c>
      <c r="CE2227">
        <v>0.32</v>
      </c>
      <c r="CF2227">
        <v>0.02</v>
      </c>
      <c r="CG2227">
        <v>0.32</v>
      </c>
      <c r="CH2227">
        <v>0.26</v>
      </c>
      <c r="CI2227">
        <v>0.26</v>
      </c>
      <c r="CJ2227">
        <v>-2.3199999999999998</v>
      </c>
      <c r="CK2227">
        <v>0.11</v>
      </c>
      <c r="CL2227">
        <v>9.39</v>
      </c>
      <c r="CM2227">
        <v>-0.95</v>
      </c>
      <c r="CN2227">
        <v>-2.61</v>
      </c>
      <c r="CO2227">
        <v>8743</v>
      </c>
      <c r="CP2227">
        <v>3521</v>
      </c>
      <c r="CQ2227" t="s">
        <v>8383</v>
      </c>
      <c r="CR2227">
        <v>68.17</v>
      </c>
      <c r="CS2227">
        <v>36.85</v>
      </c>
      <c r="CT2227">
        <v>5.0599999999999996</v>
      </c>
      <c r="CU2227">
        <v>-96.27</v>
      </c>
      <c r="CV2227">
        <v>12.42</v>
      </c>
      <c r="CW2227">
        <v>0.4</v>
      </c>
      <c r="CX2227" t="s">
        <v>442</v>
      </c>
      <c r="CY2227">
        <v>13.22</v>
      </c>
      <c r="CZ2227">
        <v>13.22</v>
      </c>
      <c r="DA2227">
        <v>5.07</v>
      </c>
      <c r="DB2227">
        <v>6.85</v>
      </c>
      <c r="DC2227">
        <v>-0.7</v>
      </c>
      <c r="DD2227">
        <v>81.599999999999994</v>
      </c>
      <c r="DE2227" t="s">
        <v>536</v>
      </c>
      <c r="DF2227">
        <v>42.49</v>
      </c>
      <c r="DG2227">
        <v>4.29</v>
      </c>
      <c r="DH2227">
        <v>3.57</v>
      </c>
      <c r="DI2227">
        <v>0.55000000000000004</v>
      </c>
      <c r="DJ2227">
        <v>6557</v>
      </c>
      <c r="DK2227">
        <v>300887</v>
      </c>
      <c r="DL2227" t="s">
        <v>120</v>
      </c>
      <c r="DM2227" t="s">
        <v>120</v>
      </c>
      <c r="DN2227" t="s">
        <v>120</v>
      </c>
    </row>
    <row r="2228" spans="1:118">
      <c r="A2228" t="str">
        <f>"300888"</f>
        <v>300888</v>
      </c>
      <c r="B2228" t="s">
        <v>10684</v>
      </c>
      <c r="C2228">
        <v>2.15</v>
      </c>
      <c r="D2228">
        <v>-0.02</v>
      </c>
      <c r="E2228">
        <v>0</v>
      </c>
      <c r="F2228">
        <v>1267</v>
      </c>
      <c r="G2228" t="s">
        <v>10685</v>
      </c>
      <c r="H2228">
        <v>18009.22</v>
      </c>
      <c r="I2228">
        <v>20.09</v>
      </c>
      <c r="J2228" t="s">
        <v>120</v>
      </c>
      <c r="K2228" t="s">
        <v>10685</v>
      </c>
      <c r="L2228">
        <v>4.7699999999999996</v>
      </c>
      <c r="M2228">
        <v>78.91</v>
      </c>
      <c r="N2228">
        <v>1.78</v>
      </c>
      <c r="O2228">
        <v>4.16</v>
      </c>
      <c r="P2228">
        <v>80.459999999999994</v>
      </c>
      <c r="Q2228">
        <v>-0.27</v>
      </c>
      <c r="R2228">
        <v>77.040000000000006</v>
      </c>
      <c r="S2228">
        <v>77.25</v>
      </c>
      <c r="T2228">
        <v>22683</v>
      </c>
      <c r="U2228">
        <v>78.91</v>
      </c>
      <c r="V2228">
        <v>77.25</v>
      </c>
      <c r="W2228">
        <v>22.11</v>
      </c>
      <c r="X2228" t="s">
        <v>555</v>
      </c>
      <c r="Y2228" t="s">
        <v>123</v>
      </c>
      <c r="Z2228">
        <v>4.43</v>
      </c>
      <c r="AA2228">
        <v>79.400000000000006</v>
      </c>
      <c r="AB2228">
        <v>9438</v>
      </c>
      <c r="AC2228">
        <v>13245</v>
      </c>
      <c r="AD2228">
        <v>0.71</v>
      </c>
      <c r="AE2228">
        <v>2</v>
      </c>
      <c r="AF2228">
        <v>39</v>
      </c>
      <c r="AG2228" t="s">
        <v>120</v>
      </c>
      <c r="AH2228">
        <v>0.01</v>
      </c>
      <c r="AI2228" t="s">
        <v>120</v>
      </c>
      <c r="AJ2228">
        <v>0.48</v>
      </c>
      <c r="AK2228" t="s">
        <v>10686</v>
      </c>
      <c r="AL2228">
        <v>4.0599999999999996</v>
      </c>
      <c r="AM2228">
        <v>2620</v>
      </c>
      <c r="AN2228">
        <v>9</v>
      </c>
      <c r="AO2228">
        <v>1.8E-3</v>
      </c>
      <c r="AP2228">
        <v>1</v>
      </c>
      <c r="AQ2228">
        <v>-2.7</v>
      </c>
      <c r="AR2228">
        <v>-0.87</v>
      </c>
      <c r="AS2228">
        <v>-8.6300000000000008</v>
      </c>
      <c r="AT2228">
        <v>-33.57</v>
      </c>
      <c r="AU2228">
        <v>-51.94</v>
      </c>
      <c r="AV2228">
        <v>1</v>
      </c>
      <c r="AW2228">
        <v>4.7699999999999996</v>
      </c>
      <c r="AX2228">
        <v>11.15</v>
      </c>
      <c r="AY2228">
        <v>9.31</v>
      </c>
      <c r="AZ2228">
        <v>8.65</v>
      </c>
      <c r="BA2228">
        <v>0.8</v>
      </c>
      <c r="BB2228" t="s">
        <v>125</v>
      </c>
      <c r="BF2228">
        <v>2.78</v>
      </c>
      <c r="BG2228">
        <v>2.15</v>
      </c>
      <c r="BH2228">
        <v>-1.93</v>
      </c>
      <c r="BI2228">
        <v>2.4300000000000002</v>
      </c>
      <c r="BJ2228">
        <v>20210915</v>
      </c>
      <c r="BK2228">
        <v>20200917</v>
      </c>
      <c r="BL2228">
        <v>4.26</v>
      </c>
      <c r="BM2228" t="s">
        <v>120</v>
      </c>
      <c r="BN2228" t="s">
        <v>120</v>
      </c>
      <c r="BO2228">
        <v>131.13</v>
      </c>
      <c r="BP2228">
        <v>78.900000000000006</v>
      </c>
      <c r="BQ2228">
        <v>105.19</v>
      </c>
      <c r="BR2228">
        <v>0.14000000000000001</v>
      </c>
      <c r="BS2228">
        <v>19.670000000000002</v>
      </c>
      <c r="BT2228">
        <v>103.85</v>
      </c>
      <c r="BU2228">
        <v>14.38</v>
      </c>
      <c r="BV2228">
        <v>2.06</v>
      </c>
      <c r="BW2228">
        <v>18.34</v>
      </c>
      <c r="BX2228">
        <v>47.01</v>
      </c>
      <c r="BY2228">
        <v>12.64</v>
      </c>
      <c r="BZ2228">
        <v>8.64</v>
      </c>
      <c r="CA2228" t="s">
        <v>120</v>
      </c>
      <c r="CB2228">
        <v>46.13</v>
      </c>
      <c r="CC2228">
        <v>40.6</v>
      </c>
      <c r="CD2228">
        <v>19.22</v>
      </c>
      <c r="CE2228">
        <v>9.11</v>
      </c>
      <c r="CF2228">
        <v>0.5</v>
      </c>
      <c r="CG2228">
        <v>9.0399999999999991</v>
      </c>
      <c r="CH2228">
        <v>7.61</v>
      </c>
      <c r="CI2228">
        <v>7.61</v>
      </c>
      <c r="CJ2228">
        <v>1.66</v>
      </c>
      <c r="CK2228">
        <v>6.27</v>
      </c>
      <c r="CL2228">
        <v>50.6</v>
      </c>
      <c r="CM2228">
        <v>1.98</v>
      </c>
      <c r="CN2228">
        <v>5.0999999999999996</v>
      </c>
      <c r="CO2228">
        <v>33529</v>
      </c>
      <c r="CP2228">
        <v>1418</v>
      </c>
      <c r="CQ2228" t="s">
        <v>10687</v>
      </c>
      <c r="CR2228">
        <v>-26.27</v>
      </c>
      <c r="CS2228">
        <v>-2.87</v>
      </c>
      <c r="CT2228">
        <v>3.2</v>
      </c>
      <c r="CU2228">
        <v>170.31</v>
      </c>
      <c r="CV2228">
        <v>8.2899999999999991</v>
      </c>
      <c r="CW2228">
        <v>2.33</v>
      </c>
      <c r="CX2228" t="s">
        <v>10688</v>
      </c>
      <c r="CY2228">
        <v>24.66</v>
      </c>
      <c r="CZ2228">
        <v>0</v>
      </c>
      <c r="DA2228">
        <v>10.82</v>
      </c>
      <c r="DB2228">
        <v>11.86</v>
      </c>
      <c r="DC2228">
        <v>0.46</v>
      </c>
      <c r="DD2228">
        <v>80.22</v>
      </c>
      <c r="DE2228" t="s">
        <v>7785</v>
      </c>
      <c r="DF2228">
        <v>52.66</v>
      </c>
      <c r="DG2228">
        <v>22.43</v>
      </c>
      <c r="DH2228">
        <v>18.75</v>
      </c>
      <c r="DI2228">
        <v>1.9</v>
      </c>
      <c r="DJ2228">
        <v>12389</v>
      </c>
      <c r="DK2228">
        <v>300888</v>
      </c>
      <c r="DL2228" t="s">
        <v>120</v>
      </c>
      <c r="DM2228" t="s">
        <v>120</v>
      </c>
      <c r="DN2228" t="s">
        <v>120</v>
      </c>
    </row>
    <row r="2229" spans="1:118">
      <c r="A2229" t="str">
        <f>"300889"</f>
        <v>300889</v>
      </c>
      <c r="B2229" t="s">
        <v>10689</v>
      </c>
      <c r="C2229">
        <v>0.42</v>
      </c>
      <c r="D2229">
        <v>0</v>
      </c>
      <c r="E2229">
        <v>0</v>
      </c>
      <c r="F2229">
        <v>362</v>
      </c>
      <c r="G2229" t="s">
        <v>10690</v>
      </c>
      <c r="H2229">
        <v>2173.3200000000002</v>
      </c>
      <c r="I2229">
        <v>0.21</v>
      </c>
      <c r="J2229" t="s">
        <v>120</v>
      </c>
      <c r="K2229" t="s">
        <v>10690</v>
      </c>
      <c r="L2229">
        <v>2.58</v>
      </c>
      <c r="M2229">
        <v>21.56</v>
      </c>
      <c r="N2229">
        <v>0.97</v>
      </c>
      <c r="O2229">
        <v>1.3</v>
      </c>
      <c r="P2229">
        <v>21.75</v>
      </c>
      <c r="Q2229">
        <v>-0.33</v>
      </c>
      <c r="R2229">
        <v>21.4</v>
      </c>
      <c r="S2229">
        <v>21.47</v>
      </c>
      <c r="T2229">
        <v>10048</v>
      </c>
      <c r="U2229">
        <v>21.56</v>
      </c>
      <c r="V2229">
        <v>21.47</v>
      </c>
      <c r="W2229">
        <v>40.53</v>
      </c>
      <c r="X2229" t="s">
        <v>394</v>
      </c>
      <c r="Y2229" t="s">
        <v>123</v>
      </c>
      <c r="Z2229">
        <v>1.63</v>
      </c>
      <c r="AA2229">
        <v>21.63</v>
      </c>
      <c r="AB2229">
        <v>5101</v>
      </c>
      <c r="AC2229">
        <v>4947</v>
      </c>
      <c r="AD2229">
        <v>1.03</v>
      </c>
      <c r="AE2229">
        <v>6</v>
      </c>
      <c r="AF2229">
        <v>175</v>
      </c>
      <c r="AG2229" t="s">
        <v>120</v>
      </c>
      <c r="AH2229">
        <v>0</v>
      </c>
      <c r="AI2229" t="s">
        <v>120</v>
      </c>
      <c r="AJ2229">
        <v>0.39</v>
      </c>
      <c r="AK2229" t="s">
        <v>10691</v>
      </c>
      <c r="AL2229">
        <v>2.33</v>
      </c>
      <c r="AM2229">
        <v>1049</v>
      </c>
      <c r="AN2229">
        <v>10</v>
      </c>
      <c r="AO2229">
        <v>2.5000000000000001E-3</v>
      </c>
      <c r="AP2229">
        <v>2</v>
      </c>
      <c r="AQ2229">
        <v>0.56000000000000005</v>
      </c>
      <c r="AR2229">
        <v>-2.09</v>
      </c>
      <c r="AS2229">
        <v>-4.8499999999999996</v>
      </c>
      <c r="AT2229">
        <v>-8.91</v>
      </c>
      <c r="AU2229">
        <v>-31.36</v>
      </c>
      <c r="AV2229">
        <v>1</v>
      </c>
      <c r="AW2229">
        <v>2.58</v>
      </c>
      <c r="AX2229">
        <v>25</v>
      </c>
      <c r="AY2229">
        <v>35.840000000000003</v>
      </c>
      <c r="AZ2229">
        <v>33.96</v>
      </c>
      <c r="BA2229">
        <v>0.61</v>
      </c>
      <c r="BB2229" t="s">
        <v>143</v>
      </c>
      <c r="BF2229">
        <v>0.75</v>
      </c>
      <c r="BG2229">
        <v>0.42</v>
      </c>
      <c r="BH2229">
        <v>-0.87</v>
      </c>
      <c r="BI2229">
        <v>0.75</v>
      </c>
      <c r="BJ2229">
        <v>20210913</v>
      </c>
      <c r="BK2229">
        <v>20200916</v>
      </c>
      <c r="BL2229">
        <v>1.56</v>
      </c>
      <c r="BM2229" t="s">
        <v>120</v>
      </c>
      <c r="BN2229" t="s">
        <v>120</v>
      </c>
      <c r="BO2229">
        <v>24.92</v>
      </c>
      <c r="BP2229">
        <v>21.55</v>
      </c>
      <c r="BQ2229">
        <v>15.64</v>
      </c>
      <c r="BR2229">
        <v>0.04</v>
      </c>
      <c r="BS2229">
        <v>37.090000000000003</v>
      </c>
      <c r="BT2229">
        <v>22.15</v>
      </c>
      <c r="BU2229">
        <v>0.56000000000000005</v>
      </c>
      <c r="BV2229">
        <v>0.16</v>
      </c>
      <c r="BW2229">
        <v>8.2200000000000006</v>
      </c>
      <c r="BX2229">
        <v>6.64</v>
      </c>
      <c r="BY2229">
        <v>2.04</v>
      </c>
      <c r="BZ2229">
        <v>8.1300000000000008</v>
      </c>
      <c r="CA2229">
        <v>0</v>
      </c>
      <c r="CB2229">
        <v>9.8800000000000008</v>
      </c>
      <c r="CC2229">
        <v>5.75</v>
      </c>
      <c r="CD2229">
        <v>4</v>
      </c>
      <c r="CE2229">
        <v>0.49</v>
      </c>
      <c r="CF2229">
        <v>0.04</v>
      </c>
      <c r="CG2229">
        <v>0.48</v>
      </c>
      <c r="CH2229">
        <v>0.43</v>
      </c>
      <c r="CI2229">
        <v>0.41</v>
      </c>
      <c r="CJ2229">
        <v>0.09</v>
      </c>
      <c r="CK2229">
        <v>0.27</v>
      </c>
      <c r="CL2229">
        <v>3.78</v>
      </c>
      <c r="CM2229">
        <v>-1.06</v>
      </c>
      <c r="CN2229">
        <v>0.52</v>
      </c>
      <c r="CO2229">
        <v>18013</v>
      </c>
      <c r="CP2229">
        <v>2165</v>
      </c>
      <c r="CQ2229" t="s">
        <v>7553</v>
      </c>
      <c r="CR2229">
        <v>-11.06</v>
      </c>
      <c r="CS2229">
        <v>42.73</v>
      </c>
      <c r="CT2229">
        <v>2.15</v>
      </c>
      <c r="CU2229">
        <v>-31.74</v>
      </c>
      <c r="CV2229">
        <v>5.85</v>
      </c>
      <c r="CW2229">
        <v>0.47</v>
      </c>
      <c r="CX2229" t="s">
        <v>871</v>
      </c>
      <c r="CY2229">
        <v>10.02</v>
      </c>
      <c r="CZ2229">
        <v>0</v>
      </c>
      <c r="DA2229">
        <v>6.34</v>
      </c>
      <c r="DB2229">
        <v>2.42</v>
      </c>
      <c r="DC2229">
        <v>-0.68</v>
      </c>
      <c r="DD2229">
        <v>62.74</v>
      </c>
      <c r="DE2229" t="s">
        <v>1432</v>
      </c>
      <c r="DF2229">
        <v>30.41</v>
      </c>
      <c r="DG2229">
        <v>8.44</v>
      </c>
      <c r="DH2229">
        <v>7.22</v>
      </c>
      <c r="DI2229">
        <v>0.35</v>
      </c>
      <c r="DJ2229">
        <v>1615</v>
      </c>
      <c r="DK2229">
        <v>300889</v>
      </c>
      <c r="DL2229" t="s">
        <v>120</v>
      </c>
      <c r="DM2229" t="s">
        <v>120</v>
      </c>
      <c r="DN2229" t="s">
        <v>120</v>
      </c>
    </row>
    <row r="2230" spans="1:118">
      <c r="A2230" t="str">
        <f>"300890"</f>
        <v>300890</v>
      </c>
      <c r="B2230" t="s">
        <v>10692</v>
      </c>
      <c r="C2230">
        <v>-6.32</v>
      </c>
      <c r="D2230">
        <v>-1.52</v>
      </c>
      <c r="E2230">
        <v>0.28999999999999998</v>
      </c>
      <c r="F2230">
        <v>550</v>
      </c>
      <c r="G2230" t="s">
        <v>10693</v>
      </c>
      <c r="H2230">
        <v>30867.09</v>
      </c>
      <c r="I2230">
        <v>1121.8599999999999</v>
      </c>
      <c r="J2230" t="s">
        <v>120</v>
      </c>
      <c r="K2230" t="s">
        <v>10693</v>
      </c>
      <c r="L2230">
        <v>21.45</v>
      </c>
      <c r="M2230">
        <v>55.27</v>
      </c>
      <c r="N2230">
        <v>1.45</v>
      </c>
      <c r="O2230">
        <v>1.49</v>
      </c>
      <c r="P2230">
        <v>59.88</v>
      </c>
      <c r="Q2230">
        <v>-6.78</v>
      </c>
      <c r="R2230">
        <v>55</v>
      </c>
      <c r="S2230">
        <v>59.17</v>
      </c>
      <c r="T2230">
        <v>53633</v>
      </c>
      <c r="U2230">
        <v>55.5</v>
      </c>
      <c r="V2230">
        <v>59</v>
      </c>
      <c r="W2230">
        <v>64.72</v>
      </c>
      <c r="X2230" t="s">
        <v>1991</v>
      </c>
      <c r="Y2230" t="s">
        <v>123</v>
      </c>
      <c r="Z2230">
        <v>8.27</v>
      </c>
      <c r="AA2230">
        <v>57.55</v>
      </c>
      <c r="AB2230">
        <v>28242</v>
      </c>
      <c r="AC2230">
        <v>25391</v>
      </c>
      <c r="AD2230">
        <v>1.1100000000000001</v>
      </c>
      <c r="AE2230">
        <v>20</v>
      </c>
      <c r="AF2230">
        <v>1</v>
      </c>
      <c r="AG2230" t="s">
        <v>120</v>
      </c>
      <c r="AH2230">
        <v>0.76</v>
      </c>
      <c r="AI2230" t="s">
        <v>120</v>
      </c>
      <c r="AJ2230">
        <v>0.25</v>
      </c>
      <c r="AK2230" t="s">
        <v>10694</v>
      </c>
      <c r="AL2230">
        <v>-4.41</v>
      </c>
      <c r="AM2230">
        <v>3108</v>
      </c>
      <c r="AN2230">
        <v>17</v>
      </c>
      <c r="AO2230">
        <v>6.8999999999999999E-3</v>
      </c>
      <c r="AP2230">
        <v>-1</v>
      </c>
      <c r="AQ2230">
        <v>6.34</v>
      </c>
      <c r="AR2230">
        <v>7.86</v>
      </c>
      <c r="AS2230">
        <v>5.28</v>
      </c>
      <c r="AT2230">
        <v>7.3</v>
      </c>
      <c r="AU2230">
        <v>4.3</v>
      </c>
      <c r="AV2230">
        <v>3</v>
      </c>
      <c r="AW2230">
        <v>21.45</v>
      </c>
      <c r="AX2230">
        <v>25</v>
      </c>
      <c r="AY2230">
        <v>97.67</v>
      </c>
      <c r="AZ2230">
        <v>129.80000000000001</v>
      </c>
      <c r="BA2230">
        <v>0.67</v>
      </c>
      <c r="BB2230" t="s">
        <v>751</v>
      </c>
      <c r="BF2230">
        <v>-2.4500000000000002</v>
      </c>
      <c r="BG2230">
        <v>-6.59</v>
      </c>
      <c r="BH2230">
        <v>-7.7</v>
      </c>
      <c r="BI2230">
        <v>0.49</v>
      </c>
      <c r="BJ2230">
        <v>20210901</v>
      </c>
      <c r="BK2230">
        <v>20200917</v>
      </c>
      <c r="BL2230">
        <v>1</v>
      </c>
      <c r="BM2230" t="s">
        <v>120</v>
      </c>
      <c r="BN2230" t="s">
        <v>120</v>
      </c>
      <c r="BO2230">
        <v>17.350000000000001</v>
      </c>
      <c r="BP2230">
        <v>55.27</v>
      </c>
      <c r="BQ2230">
        <v>10.56</v>
      </c>
      <c r="BR2230" t="s">
        <v>120</v>
      </c>
      <c r="BS2230">
        <v>39.11</v>
      </c>
      <c r="BT2230">
        <v>11.27</v>
      </c>
      <c r="BU2230">
        <v>2.87</v>
      </c>
      <c r="BV2230">
        <v>0.59</v>
      </c>
      <c r="BW2230">
        <v>5.99</v>
      </c>
      <c r="BX2230">
        <v>2.3199999999999998</v>
      </c>
      <c r="BY2230">
        <v>1.87</v>
      </c>
      <c r="BZ2230">
        <v>3.79</v>
      </c>
      <c r="CA2230" t="s">
        <v>120</v>
      </c>
      <c r="CB2230">
        <v>6.72</v>
      </c>
      <c r="CC2230">
        <v>3.82</v>
      </c>
      <c r="CD2230">
        <v>2.8</v>
      </c>
      <c r="CE2230">
        <v>0.5</v>
      </c>
      <c r="CF2230">
        <v>0.02</v>
      </c>
      <c r="CG2230">
        <v>0.48</v>
      </c>
      <c r="CH2230">
        <v>0.43</v>
      </c>
      <c r="CI2230">
        <v>0.43</v>
      </c>
      <c r="CJ2230">
        <v>-3.73</v>
      </c>
      <c r="CK2230">
        <v>0.38</v>
      </c>
      <c r="CL2230">
        <v>2.79</v>
      </c>
      <c r="CM2230">
        <v>0.22</v>
      </c>
      <c r="CN2230">
        <v>-0.37</v>
      </c>
      <c r="CO2230">
        <v>14125</v>
      </c>
      <c r="CP2230">
        <v>1770</v>
      </c>
      <c r="CQ2230" t="s">
        <v>6901</v>
      </c>
      <c r="CR2230">
        <v>53.91</v>
      </c>
      <c r="CS2230">
        <v>81.180000000000007</v>
      </c>
      <c r="CT2230">
        <v>5.23</v>
      </c>
      <c r="CU2230">
        <v>250.99</v>
      </c>
      <c r="CV2230">
        <v>14.47</v>
      </c>
      <c r="CW2230">
        <v>0.17</v>
      </c>
      <c r="CX2230" t="s">
        <v>10695</v>
      </c>
      <c r="CY2230">
        <v>10.56</v>
      </c>
      <c r="CZ2230">
        <v>0</v>
      </c>
      <c r="DA2230">
        <v>6.72</v>
      </c>
      <c r="DB2230">
        <v>2.79</v>
      </c>
      <c r="DC2230">
        <v>0.22</v>
      </c>
      <c r="DD2230">
        <v>60.89</v>
      </c>
      <c r="DE2230" t="s">
        <v>7205</v>
      </c>
      <c r="DF2230">
        <v>26.77</v>
      </c>
      <c r="DG2230">
        <v>13.06</v>
      </c>
      <c r="DH2230">
        <v>11.18</v>
      </c>
      <c r="DI2230">
        <v>0.13</v>
      </c>
      <c r="DJ2230">
        <v>352</v>
      </c>
      <c r="DK2230">
        <v>300890</v>
      </c>
      <c r="DL2230" t="s">
        <v>120</v>
      </c>
      <c r="DM2230" t="s">
        <v>120</v>
      </c>
      <c r="DN2230" t="s">
        <v>120</v>
      </c>
    </row>
    <row r="2231" spans="1:118">
      <c r="A2231" t="str">
        <f>"300891"</f>
        <v>300891</v>
      </c>
      <c r="B2231" t="s">
        <v>10696</v>
      </c>
      <c r="C2231">
        <v>-6.16</v>
      </c>
      <c r="D2231">
        <v>0</v>
      </c>
      <c r="E2231">
        <v>-2.7</v>
      </c>
      <c r="F2231">
        <v>2469</v>
      </c>
      <c r="G2231" t="s">
        <v>1184</v>
      </c>
      <c r="H2231">
        <v>59825.89</v>
      </c>
      <c r="I2231">
        <v>1225.49</v>
      </c>
      <c r="J2231" t="s">
        <v>120</v>
      </c>
      <c r="K2231" t="s">
        <v>1184</v>
      </c>
      <c r="L2231">
        <v>27.19</v>
      </c>
      <c r="M2231">
        <v>21.19</v>
      </c>
      <c r="N2231">
        <v>1.27</v>
      </c>
      <c r="O2231">
        <v>3.1</v>
      </c>
      <c r="P2231">
        <v>23.28</v>
      </c>
      <c r="Q2231">
        <v>-6.78</v>
      </c>
      <c r="R2231">
        <v>21.05</v>
      </c>
      <c r="S2231">
        <v>21.97</v>
      </c>
      <c r="T2231">
        <v>271863</v>
      </c>
      <c r="U2231">
        <v>21.2</v>
      </c>
      <c r="V2231">
        <v>22.58</v>
      </c>
      <c r="W2231">
        <v>39.1</v>
      </c>
      <c r="X2231" t="s">
        <v>868</v>
      </c>
      <c r="Y2231" t="s">
        <v>547</v>
      </c>
      <c r="Z2231">
        <v>9.8800000000000008</v>
      </c>
      <c r="AA2231">
        <v>22.01</v>
      </c>
      <c r="AB2231">
        <v>145705</v>
      </c>
      <c r="AC2231">
        <v>126158</v>
      </c>
      <c r="AD2231">
        <v>1.1499999999999999</v>
      </c>
      <c r="AE2231">
        <v>610</v>
      </c>
      <c r="AF2231">
        <v>47</v>
      </c>
      <c r="AG2231" t="s">
        <v>120</v>
      </c>
      <c r="AH2231">
        <v>0.56000000000000005</v>
      </c>
      <c r="AI2231" t="s">
        <v>120</v>
      </c>
      <c r="AJ2231">
        <v>1</v>
      </c>
      <c r="AK2231" t="s">
        <v>7460</v>
      </c>
      <c r="AL2231">
        <v>-4.24</v>
      </c>
      <c r="AM2231">
        <v>4058</v>
      </c>
      <c r="AN2231">
        <v>67</v>
      </c>
      <c r="AO2231">
        <v>6.7000000000000002E-3</v>
      </c>
      <c r="AP2231">
        <v>-1</v>
      </c>
      <c r="AQ2231">
        <v>4.1500000000000004</v>
      </c>
      <c r="AR2231">
        <v>-0.52</v>
      </c>
      <c r="AS2231">
        <v>9.9700000000000006</v>
      </c>
      <c r="AT2231">
        <v>26.51</v>
      </c>
      <c r="AU2231">
        <v>19.420000000000002</v>
      </c>
      <c r="AV2231">
        <v>4</v>
      </c>
      <c r="AW2231">
        <v>27.19</v>
      </c>
      <c r="AX2231">
        <v>25</v>
      </c>
      <c r="AY2231">
        <v>59.86</v>
      </c>
      <c r="AZ2231">
        <v>101.34</v>
      </c>
      <c r="BA2231">
        <v>0.48</v>
      </c>
      <c r="BB2231" t="s">
        <v>168</v>
      </c>
      <c r="BF2231">
        <v>-2.54</v>
      </c>
      <c r="BG2231">
        <v>-3.55</v>
      </c>
      <c r="BH2231">
        <v>-8.98</v>
      </c>
      <c r="BI2231">
        <v>0.67</v>
      </c>
      <c r="BJ2231">
        <v>20210812</v>
      </c>
      <c r="BK2231">
        <v>20200917</v>
      </c>
      <c r="BL2231">
        <v>4</v>
      </c>
      <c r="BM2231" t="s">
        <v>120</v>
      </c>
      <c r="BN2231" t="s">
        <v>120</v>
      </c>
      <c r="BO2231">
        <v>16.059999999999999</v>
      </c>
      <c r="BP2231">
        <v>21.19</v>
      </c>
      <c r="BQ2231">
        <v>12.18</v>
      </c>
      <c r="BR2231" t="s">
        <v>120</v>
      </c>
      <c r="BS2231">
        <v>24.18</v>
      </c>
      <c r="BT2231">
        <v>9.08</v>
      </c>
      <c r="BU2231">
        <v>5.13</v>
      </c>
      <c r="BV2231">
        <v>0.78</v>
      </c>
      <c r="BW2231">
        <v>3.72</v>
      </c>
      <c r="BX2231">
        <v>2.7</v>
      </c>
      <c r="BY2231">
        <v>2.4</v>
      </c>
      <c r="BZ2231">
        <v>1.08</v>
      </c>
      <c r="CA2231">
        <v>0</v>
      </c>
      <c r="CB2231">
        <v>3.81</v>
      </c>
      <c r="CC2231">
        <v>7.24</v>
      </c>
      <c r="CD2231">
        <v>5.33</v>
      </c>
      <c r="CE2231">
        <v>1.33</v>
      </c>
      <c r="CF2231">
        <v>0</v>
      </c>
      <c r="CG2231">
        <v>1.29</v>
      </c>
      <c r="CH2231">
        <v>1.08</v>
      </c>
      <c r="CI2231">
        <v>1.08</v>
      </c>
      <c r="CJ2231">
        <v>-1.39</v>
      </c>
      <c r="CK2231">
        <v>1.1100000000000001</v>
      </c>
      <c r="CL2231">
        <v>3.89</v>
      </c>
      <c r="CM2231">
        <v>0.46</v>
      </c>
      <c r="CN2231">
        <v>-0.11</v>
      </c>
      <c r="CO2231">
        <v>33175</v>
      </c>
      <c r="CP2231">
        <v>3014</v>
      </c>
      <c r="CQ2231" t="s">
        <v>6502</v>
      </c>
      <c r="CR2231">
        <v>132.38</v>
      </c>
      <c r="CS2231">
        <v>70.650000000000006</v>
      </c>
      <c r="CT2231">
        <v>6.96</v>
      </c>
      <c r="CU2231">
        <v>183.65</v>
      </c>
      <c r="CV2231">
        <v>11.7</v>
      </c>
      <c r="CW2231">
        <v>0.33</v>
      </c>
      <c r="CX2231" t="s">
        <v>1233</v>
      </c>
      <c r="CY2231">
        <v>3.04</v>
      </c>
      <c r="CZ2231">
        <v>0</v>
      </c>
      <c r="DA2231">
        <v>0.95</v>
      </c>
      <c r="DB2231">
        <v>0.97</v>
      </c>
      <c r="DC2231">
        <v>0.12</v>
      </c>
      <c r="DD2231">
        <v>75.819999999999993</v>
      </c>
      <c r="DE2231" t="s">
        <v>10697</v>
      </c>
      <c r="DF2231">
        <v>26.47</v>
      </c>
      <c r="DG2231">
        <v>18.36</v>
      </c>
      <c r="DH2231">
        <v>14.96</v>
      </c>
      <c r="DI2231">
        <v>0.22</v>
      </c>
      <c r="DJ2231">
        <v>1073</v>
      </c>
      <c r="DK2231">
        <v>300891</v>
      </c>
      <c r="DL2231" t="s">
        <v>120</v>
      </c>
      <c r="DM2231" t="s">
        <v>120</v>
      </c>
      <c r="DN2231" t="s">
        <v>120</v>
      </c>
    </row>
    <row r="2232" spans="1:118">
      <c r="A2232" t="str">
        <f>"300892"</f>
        <v>300892</v>
      </c>
      <c r="B2232" t="s">
        <v>10698</v>
      </c>
      <c r="C2232">
        <v>7.49</v>
      </c>
      <c r="D2232">
        <v>0</v>
      </c>
      <c r="E2232">
        <v>0</v>
      </c>
      <c r="F2232">
        <v>420</v>
      </c>
      <c r="G2232" t="s">
        <v>4459</v>
      </c>
      <c r="H2232">
        <v>9952</v>
      </c>
      <c r="I2232">
        <v>0</v>
      </c>
      <c r="J2232" t="s">
        <v>120</v>
      </c>
      <c r="K2232" t="s">
        <v>4459</v>
      </c>
      <c r="L2232">
        <v>11.48</v>
      </c>
      <c r="M2232">
        <v>34.6</v>
      </c>
      <c r="N2232">
        <v>3.86</v>
      </c>
      <c r="O2232">
        <v>15.81</v>
      </c>
      <c r="P2232">
        <v>37.28</v>
      </c>
      <c r="Q2232">
        <v>-0.56000000000000005</v>
      </c>
      <c r="R2232">
        <v>32.01</v>
      </c>
      <c r="S2232">
        <v>32.19</v>
      </c>
      <c r="T2232">
        <v>28690</v>
      </c>
      <c r="U2232">
        <v>34.630000000000003</v>
      </c>
      <c r="V2232">
        <v>32.19</v>
      </c>
      <c r="W2232">
        <v>39.090000000000003</v>
      </c>
      <c r="X2232" t="s">
        <v>4454</v>
      </c>
      <c r="Y2232" t="s">
        <v>1510</v>
      </c>
      <c r="Z2232">
        <v>16.37</v>
      </c>
      <c r="AA2232">
        <v>34.69</v>
      </c>
      <c r="AB2232">
        <v>13085</v>
      </c>
      <c r="AC2232">
        <v>15605</v>
      </c>
      <c r="AD2232">
        <v>0.84</v>
      </c>
      <c r="AE2232">
        <v>190</v>
      </c>
      <c r="AF2232">
        <v>30</v>
      </c>
      <c r="AG2232" t="s">
        <v>120</v>
      </c>
      <c r="AH2232">
        <v>0</v>
      </c>
      <c r="AI2232" t="s">
        <v>120</v>
      </c>
      <c r="AJ2232">
        <v>0.25</v>
      </c>
      <c r="AK2232" t="s">
        <v>3046</v>
      </c>
      <c r="AL2232">
        <v>9.4</v>
      </c>
      <c r="AM2232">
        <v>1811</v>
      </c>
      <c r="AN2232">
        <v>16</v>
      </c>
      <c r="AO2232">
        <v>6.3E-3</v>
      </c>
      <c r="AP2232">
        <v>1</v>
      </c>
      <c r="AQ2232">
        <v>-2.2799999999999998</v>
      </c>
      <c r="AR2232">
        <v>3.93</v>
      </c>
      <c r="AS2232">
        <v>-4.84</v>
      </c>
      <c r="AT2232">
        <v>-25.54</v>
      </c>
      <c r="AU2232">
        <v>-46.94</v>
      </c>
      <c r="AV2232">
        <v>1</v>
      </c>
      <c r="AW2232">
        <v>11.48</v>
      </c>
      <c r="AX2232">
        <v>25</v>
      </c>
      <c r="AY2232">
        <v>28.53</v>
      </c>
      <c r="AZ2232">
        <v>23.7</v>
      </c>
      <c r="BA2232">
        <v>0.97</v>
      </c>
      <c r="BB2232" t="s">
        <v>134</v>
      </c>
      <c r="BF2232">
        <v>7.76</v>
      </c>
      <c r="BG2232">
        <v>7.49</v>
      </c>
      <c r="BH2232">
        <v>-7.19</v>
      </c>
      <c r="BI2232">
        <v>8.09</v>
      </c>
      <c r="BJ2232">
        <v>20210817</v>
      </c>
      <c r="BK2232">
        <v>20200924</v>
      </c>
      <c r="BL2232">
        <v>1</v>
      </c>
      <c r="BM2232" t="s">
        <v>120</v>
      </c>
      <c r="BN2232" t="s">
        <v>120</v>
      </c>
      <c r="BO2232">
        <v>15.11</v>
      </c>
      <c r="BP2232">
        <v>34.6</v>
      </c>
      <c r="BQ2232">
        <v>10.97</v>
      </c>
      <c r="BR2232" t="s">
        <v>120</v>
      </c>
      <c r="BS2232">
        <v>27.39</v>
      </c>
      <c r="BT2232">
        <v>12.79</v>
      </c>
      <c r="BU2232">
        <v>1.58</v>
      </c>
      <c r="BV2232">
        <v>0.39</v>
      </c>
      <c r="BW2232">
        <v>3.95</v>
      </c>
      <c r="BX2232">
        <v>5.41</v>
      </c>
      <c r="BY2232">
        <v>3.17</v>
      </c>
      <c r="BZ2232">
        <v>1.46</v>
      </c>
      <c r="CA2232" t="s">
        <v>120</v>
      </c>
      <c r="CB2232">
        <v>6</v>
      </c>
      <c r="CC2232">
        <v>6.89</v>
      </c>
      <c r="CD2232">
        <v>4.7300000000000004</v>
      </c>
      <c r="CE2232">
        <v>0.53</v>
      </c>
      <c r="CF2232">
        <v>0.05</v>
      </c>
      <c r="CG2232">
        <v>0.61</v>
      </c>
      <c r="CH2232">
        <v>0.44</v>
      </c>
      <c r="CI2232">
        <v>0.44</v>
      </c>
      <c r="CJ2232">
        <v>2.41</v>
      </c>
      <c r="CK2232">
        <v>0.31</v>
      </c>
      <c r="CL2232">
        <v>3.71</v>
      </c>
      <c r="CM2232">
        <v>-0.01</v>
      </c>
      <c r="CN2232">
        <v>0.59</v>
      </c>
      <c r="CO2232">
        <v>12455</v>
      </c>
      <c r="CP2232">
        <v>2007</v>
      </c>
      <c r="CQ2232" t="s">
        <v>3920</v>
      </c>
      <c r="CR2232">
        <v>-34.22</v>
      </c>
      <c r="CS2232">
        <v>0.97</v>
      </c>
      <c r="CT2232">
        <v>3.15</v>
      </c>
      <c r="CU2232">
        <v>-6633.44</v>
      </c>
      <c r="CV2232">
        <v>5.0199999999999996</v>
      </c>
      <c r="CW2232">
        <v>0.84</v>
      </c>
      <c r="CX2232" t="s">
        <v>194</v>
      </c>
      <c r="CY2232">
        <v>10.97</v>
      </c>
      <c r="CZ2232">
        <v>0</v>
      </c>
      <c r="DA2232">
        <v>6</v>
      </c>
      <c r="DB2232">
        <v>3.71</v>
      </c>
      <c r="DC2232">
        <v>-0.01</v>
      </c>
      <c r="DD2232">
        <v>72.61</v>
      </c>
      <c r="DE2232" t="s">
        <v>10699</v>
      </c>
      <c r="DF2232">
        <v>31.28</v>
      </c>
      <c r="DG2232">
        <v>7.69</v>
      </c>
      <c r="DH2232">
        <v>6.42</v>
      </c>
      <c r="DI2232">
        <v>0</v>
      </c>
      <c r="DJ2232">
        <v>396</v>
      </c>
      <c r="DK2232">
        <v>300892</v>
      </c>
      <c r="DL2232" t="s">
        <v>120</v>
      </c>
      <c r="DM2232" t="s">
        <v>120</v>
      </c>
      <c r="DN2232" t="s">
        <v>120</v>
      </c>
    </row>
    <row r="2233" spans="1:118">
      <c r="A2233" t="str">
        <f>"300893"</f>
        <v>300893</v>
      </c>
      <c r="B2233" t="s">
        <v>10700</v>
      </c>
      <c r="C2233">
        <v>-0.37</v>
      </c>
      <c r="D2233">
        <v>-0.04</v>
      </c>
      <c r="E2233">
        <v>0.37</v>
      </c>
      <c r="F2233">
        <v>223</v>
      </c>
      <c r="G2233" t="s">
        <v>10701</v>
      </c>
      <c r="H2233">
        <v>2130.66</v>
      </c>
      <c r="I2233">
        <v>0.43</v>
      </c>
      <c r="J2233" t="s">
        <v>120</v>
      </c>
      <c r="K2233" t="s">
        <v>10701</v>
      </c>
      <c r="L2233">
        <v>2.63</v>
      </c>
      <c r="M2233">
        <v>21.49</v>
      </c>
      <c r="N2233">
        <v>0.62</v>
      </c>
      <c r="O2233">
        <v>1.1100000000000001</v>
      </c>
      <c r="P2233">
        <v>21.81</v>
      </c>
      <c r="Q2233">
        <v>-0.42</v>
      </c>
      <c r="R2233">
        <v>21.48</v>
      </c>
      <c r="S2233">
        <v>21.65</v>
      </c>
      <c r="T2233">
        <v>9858</v>
      </c>
      <c r="U2233">
        <v>21.5</v>
      </c>
      <c r="V2233">
        <v>21.57</v>
      </c>
      <c r="W2233">
        <v>30.57</v>
      </c>
      <c r="X2233" t="s">
        <v>289</v>
      </c>
      <c r="Y2233" t="s">
        <v>585</v>
      </c>
      <c r="Z2233">
        <v>1.53</v>
      </c>
      <c r="AA2233">
        <v>21.61</v>
      </c>
      <c r="AB2233">
        <v>5875</v>
      </c>
      <c r="AC2233">
        <v>3983</v>
      </c>
      <c r="AD2233">
        <v>1.48</v>
      </c>
      <c r="AE2233">
        <v>87</v>
      </c>
      <c r="AF2233">
        <v>20</v>
      </c>
      <c r="AG2233" t="s">
        <v>120</v>
      </c>
      <c r="AH2233">
        <v>0</v>
      </c>
      <c r="AI2233" t="s">
        <v>120</v>
      </c>
      <c r="AJ2233">
        <v>0.38</v>
      </c>
      <c r="AK2233" t="s">
        <v>10702</v>
      </c>
      <c r="AL2233">
        <v>1.54</v>
      </c>
      <c r="AM2233">
        <v>813</v>
      </c>
      <c r="AN2233">
        <v>12</v>
      </c>
      <c r="AO2233">
        <v>3.2000000000000002E-3</v>
      </c>
      <c r="AP2233">
        <v>-5</v>
      </c>
      <c r="AQ2233">
        <v>-0.69</v>
      </c>
      <c r="AR2233">
        <v>-1.42</v>
      </c>
      <c r="AS2233">
        <v>-1.79</v>
      </c>
      <c r="AT2233">
        <v>-9.25</v>
      </c>
      <c r="AU2233">
        <v>-16.309999999999999</v>
      </c>
      <c r="AV2233">
        <v>4</v>
      </c>
      <c r="AW2233">
        <v>2.63</v>
      </c>
      <c r="AX2233">
        <v>25</v>
      </c>
      <c r="AY2233">
        <v>30.3</v>
      </c>
      <c r="AZ2233">
        <v>35.94</v>
      </c>
      <c r="BA2233">
        <v>0.73</v>
      </c>
      <c r="BB2233" t="s">
        <v>143</v>
      </c>
      <c r="BF2233">
        <v>0.2</v>
      </c>
      <c r="BG2233">
        <v>-0.74</v>
      </c>
      <c r="BH2233">
        <v>-1.47</v>
      </c>
      <c r="BI2233">
        <v>0.05</v>
      </c>
      <c r="BJ2233">
        <v>20210902</v>
      </c>
      <c r="BK2233">
        <v>20200924</v>
      </c>
      <c r="BL2233">
        <v>1.5</v>
      </c>
      <c r="BM2233" t="s">
        <v>120</v>
      </c>
      <c r="BN2233" t="s">
        <v>120</v>
      </c>
      <c r="BO2233">
        <v>9.58</v>
      </c>
      <c r="BP2233">
        <v>21.49</v>
      </c>
      <c r="BQ2233">
        <v>7.14</v>
      </c>
      <c r="BR2233" t="s">
        <v>120</v>
      </c>
      <c r="BS2233">
        <v>25.46</v>
      </c>
      <c r="BT2233">
        <v>6.35</v>
      </c>
      <c r="BU2233">
        <v>1.69</v>
      </c>
      <c r="BV2233">
        <v>0.67</v>
      </c>
      <c r="BW2233">
        <v>2.31</v>
      </c>
      <c r="BX2233">
        <v>0.4</v>
      </c>
      <c r="BY2233">
        <v>1.1599999999999999</v>
      </c>
      <c r="BZ2233">
        <v>2.23</v>
      </c>
      <c r="CA2233" t="s">
        <v>120</v>
      </c>
      <c r="CB2233">
        <v>3.39</v>
      </c>
      <c r="CC2233">
        <v>3.34</v>
      </c>
      <c r="CD2233">
        <v>2.19</v>
      </c>
      <c r="CE2233">
        <v>0.6</v>
      </c>
      <c r="CF2233">
        <v>0</v>
      </c>
      <c r="CG2233">
        <v>0.59</v>
      </c>
      <c r="CH2233">
        <v>0.53</v>
      </c>
      <c r="CI2233">
        <v>0.53</v>
      </c>
      <c r="CJ2233">
        <v>-0.08</v>
      </c>
      <c r="CK2233">
        <v>0.52</v>
      </c>
      <c r="CL2233">
        <v>1.94</v>
      </c>
      <c r="CM2233">
        <v>0.31</v>
      </c>
      <c r="CN2233">
        <v>-0.83</v>
      </c>
      <c r="CO2233">
        <v>11757</v>
      </c>
      <c r="CP2233">
        <v>3190</v>
      </c>
      <c r="CQ2233" t="s">
        <v>3506</v>
      </c>
      <c r="CR2233">
        <v>46.62</v>
      </c>
      <c r="CS2233">
        <v>61.88</v>
      </c>
      <c r="CT2233">
        <v>4.5199999999999996</v>
      </c>
      <c r="CU2233">
        <v>103.97</v>
      </c>
      <c r="CV2233">
        <v>9.64</v>
      </c>
      <c r="CW2233">
        <v>1.55</v>
      </c>
      <c r="CX2233" t="s">
        <v>3347</v>
      </c>
      <c r="CY2233">
        <v>4.76</v>
      </c>
      <c r="CZ2233">
        <v>0</v>
      </c>
      <c r="DA2233">
        <v>2.2599999999999998</v>
      </c>
      <c r="DB2233">
        <v>1.3</v>
      </c>
      <c r="DC2233">
        <v>0.21</v>
      </c>
      <c r="DD2233">
        <v>74.540000000000006</v>
      </c>
      <c r="DE2233" t="s">
        <v>3560</v>
      </c>
      <c r="DF2233">
        <v>34.49</v>
      </c>
      <c r="DG2233">
        <v>17.82</v>
      </c>
      <c r="DH2233">
        <v>15.77</v>
      </c>
      <c r="DI2233">
        <v>0.17</v>
      </c>
      <c r="DJ2233">
        <v>683</v>
      </c>
      <c r="DK2233">
        <v>300893</v>
      </c>
      <c r="DL2233" t="s">
        <v>120</v>
      </c>
      <c r="DM2233" t="s">
        <v>120</v>
      </c>
      <c r="DN2233" t="s">
        <v>120</v>
      </c>
    </row>
    <row r="2234" spans="1:118">
      <c r="A2234" t="str">
        <f>"300894"</f>
        <v>300894</v>
      </c>
      <c r="B2234" t="s">
        <v>10703</v>
      </c>
      <c r="C2234">
        <v>-1.66</v>
      </c>
      <c r="D2234">
        <v>0.09</v>
      </c>
      <c r="E2234">
        <v>-0.15</v>
      </c>
      <c r="F2234">
        <v>148</v>
      </c>
      <c r="G2234" t="s">
        <v>9171</v>
      </c>
      <c r="H2234">
        <v>5737.84</v>
      </c>
      <c r="I2234">
        <v>12.06</v>
      </c>
      <c r="J2234" t="s">
        <v>120</v>
      </c>
      <c r="K2234" t="s">
        <v>9171</v>
      </c>
      <c r="L2234">
        <v>3.07</v>
      </c>
      <c r="M2234">
        <v>45.59</v>
      </c>
      <c r="N2234">
        <v>0.61</v>
      </c>
      <c r="O2234">
        <v>2.2000000000000002</v>
      </c>
      <c r="P2234">
        <v>47.38</v>
      </c>
      <c r="Q2234">
        <v>-1.83</v>
      </c>
      <c r="R2234">
        <v>45.51</v>
      </c>
      <c r="S2234">
        <v>46.29</v>
      </c>
      <c r="T2234">
        <v>12418</v>
      </c>
      <c r="U2234">
        <v>45.59</v>
      </c>
      <c r="V2234">
        <v>46.36</v>
      </c>
      <c r="W2234">
        <v>66.28</v>
      </c>
      <c r="X2234" t="s">
        <v>205</v>
      </c>
      <c r="Y2234" t="s">
        <v>585</v>
      </c>
      <c r="Z2234">
        <v>4.03</v>
      </c>
      <c r="AA2234">
        <v>46.21</v>
      </c>
      <c r="AB2234">
        <v>6502</v>
      </c>
      <c r="AC2234">
        <v>5916</v>
      </c>
      <c r="AD2234">
        <v>1.1000000000000001</v>
      </c>
      <c r="AE2234">
        <v>3</v>
      </c>
      <c r="AF2234">
        <v>59</v>
      </c>
      <c r="AG2234" t="s">
        <v>120</v>
      </c>
      <c r="AH2234">
        <v>0.01</v>
      </c>
      <c r="AI2234" t="s">
        <v>120</v>
      </c>
      <c r="AJ2234">
        <v>0.41</v>
      </c>
      <c r="AK2234" t="s">
        <v>10704</v>
      </c>
      <c r="AL2234">
        <v>0.25</v>
      </c>
      <c r="AM2234">
        <v>1862</v>
      </c>
      <c r="AN2234">
        <v>7</v>
      </c>
      <c r="AO2234">
        <v>1.6000000000000001E-3</v>
      </c>
      <c r="AP2234">
        <v>-2</v>
      </c>
      <c r="AQ2234">
        <v>-4.25</v>
      </c>
      <c r="AR2234">
        <v>-3.71</v>
      </c>
      <c r="AS2234">
        <v>-24.77</v>
      </c>
      <c r="AT2234">
        <v>-32.159999999999997</v>
      </c>
      <c r="AU2234">
        <v>-5.8</v>
      </c>
      <c r="AV2234">
        <v>0</v>
      </c>
      <c r="AW2234">
        <v>3.07</v>
      </c>
      <c r="AX2234">
        <v>10</v>
      </c>
      <c r="AY2234">
        <v>51.52</v>
      </c>
      <c r="AZ2234">
        <v>68.23</v>
      </c>
      <c r="BA2234">
        <v>1.18</v>
      </c>
      <c r="BB2234" t="s">
        <v>125</v>
      </c>
      <c r="BF2234">
        <v>-0.33</v>
      </c>
      <c r="BG2234">
        <v>-1.51</v>
      </c>
      <c r="BH2234">
        <v>-3.78</v>
      </c>
      <c r="BI2234">
        <v>0.18</v>
      </c>
      <c r="BJ2234">
        <v>20210912</v>
      </c>
      <c r="BK2234">
        <v>20201231</v>
      </c>
      <c r="BL2234">
        <v>4.05</v>
      </c>
      <c r="BM2234" t="s">
        <v>120</v>
      </c>
      <c r="BN2234" t="s">
        <v>120</v>
      </c>
      <c r="BO2234">
        <v>19.88</v>
      </c>
      <c r="BP2234">
        <v>45.58</v>
      </c>
      <c r="BQ2234">
        <v>12.41</v>
      </c>
      <c r="BR2234" t="s">
        <v>120</v>
      </c>
      <c r="BS2234">
        <v>37.56</v>
      </c>
      <c r="BT2234">
        <v>12.36</v>
      </c>
      <c r="BU2234">
        <v>6.25</v>
      </c>
      <c r="BV2234">
        <v>0.54</v>
      </c>
      <c r="BW2234">
        <v>7.09</v>
      </c>
      <c r="BX2234">
        <v>7.76</v>
      </c>
      <c r="BY2234">
        <v>2.69</v>
      </c>
      <c r="BZ2234">
        <v>0.72</v>
      </c>
      <c r="CA2234">
        <v>0.21</v>
      </c>
      <c r="CB2234">
        <v>4.4800000000000004</v>
      </c>
      <c r="CC2234">
        <v>9.2200000000000006</v>
      </c>
      <c r="CD2234">
        <v>4.62</v>
      </c>
      <c r="CE2234">
        <v>1.58</v>
      </c>
      <c r="CF2234">
        <v>0.01</v>
      </c>
      <c r="CG2234">
        <v>1.6</v>
      </c>
      <c r="CH2234">
        <v>1.39</v>
      </c>
      <c r="CI2234">
        <v>1.39</v>
      </c>
      <c r="CJ2234">
        <v>-0.77</v>
      </c>
      <c r="CK2234">
        <v>1.3</v>
      </c>
      <c r="CL2234">
        <v>3.1</v>
      </c>
      <c r="CM2234">
        <v>1.32</v>
      </c>
      <c r="CN2234">
        <v>-3.38</v>
      </c>
      <c r="CO2234">
        <v>12309</v>
      </c>
      <c r="CP2234">
        <v>3290</v>
      </c>
      <c r="CQ2234" t="s">
        <v>10705</v>
      </c>
      <c r="CR2234">
        <v>178.23</v>
      </c>
      <c r="CS2234">
        <v>79.67</v>
      </c>
      <c r="CT2234">
        <v>14.87</v>
      </c>
      <c r="CU2234">
        <v>140.11000000000001</v>
      </c>
      <c r="CV2234">
        <v>20.03</v>
      </c>
      <c r="CW2234">
        <v>1.29</v>
      </c>
      <c r="CX2234" t="s">
        <v>1574</v>
      </c>
      <c r="CY2234">
        <v>3.07</v>
      </c>
      <c r="CZ2234">
        <v>0</v>
      </c>
      <c r="DA2234">
        <v>1.1100000000000001</v>
      </c>
      <c r="DB2234">
        <v>0.77</v>
      </c>
      <c r="DC2234">
        <v>0.33</v>
      </c>
      <c r="DD2234">
        <v>62.44</v>
      </c>
      <c r="DE2234" t="s">
        <v>10706</v>
      </c>
      <c r="DF2234">
        <v>49.84</v>
      </c>
      <c r="DG2234">
        <v>17.149999999999999</v>
      </c>
      <c r="DH2234">
        <v>15.11</v>
      </c>
      <c r="DI2234">
        <v>0.33</v>
      </c>
      <c r="DJ2234">
        <v>1895</v>
      </c>
      <c r="DK2234">
        <v>300894</v>
      </c>
      <c r="DL2234" t="s">
        <v>120</v>
      </c>
      <c r="DM2234" t="s">
        <v>120</v>
      </c>
      <c r="DN2234" t="s">
        <v>120</v>
      </c>
    </row>
    <row r="2235" spans="1:118">
      <c r="A2235" t="str">
        <f>"300895"</f>
        <v>300895</v>
      </c>
      <c r="B2235" t="s">
        <v>10707</v>
      </c>
      <c r="C2235">
        <v>-6.83</v>
      </c>
      <c r="D2235">
        <v>-0.04</v>
      </c>
      <c r="E2235">
        <v>-0.26</v>
      </c>
      <c r="F2235">
        <v>808</v>
      </c>
      <c r="G2235" t="s">
        <v>6780</v>
      </c>
      <c r="H2235">
        <v>27446.15</v>
      </c>
      <c r="I2235">
        <v>137.44</v>
      </c>
      <c r="J2235" t="s">
        <v>120</v>
      </c>
      <c r="K2235" t="s">
        <v>6780</v>
      </c>
      <c r="L2235">
        <v>22.78</v>
      </c>
      <c r="M2235">
        <v>40.119999999999997</v>
      </c>
      <c r="N2235">
        <v>0.99</v>
      </c>
      <c r="O2235">
        <v>0.28000000000000003</v>
      </c>
      <c r="P2235">
        <v>43.18</v>
      </c>
      <c r="Q2235">
        <v>-7.2</v>
      </c>
      <c r="R2235">
        <v>39.96</v>
      </c>
      <c r="S2235">
        <v>42.95</v>
      </c>
      <c r="T2235">
        <v>66296</v>
      </c>
      <c r="U2235">
        <v>40.130000000000003</v>
      </c>
      <c r="V2235">
        <v>43.06</v>
      </c>
      <c r="W2235">
        <v>80.52</v>
      </c>
      <c r="X2235" t="s">
        <v>141</v>
      </c>
      <c r="Y2235" t="s">
        <v>158</v>
      </c>
      <c r="Z2235">
        <v>7.48</v>
      </c>
      <c r="AA2235">
        <v>41.4</v>
      </c>
      <c r="AB2235">
        <v>37258</v>
      </c>
      <c r="AC2235">
        <v>29038</v>
      </c>
      <c r="AD2235">
        <v>1.28</v>
      </c>
      <c r="AE2235">
        <v>2</v>
      </c>
      <c r="AF2235">
        <v>20</v>
      </c>
      <c r="AG2235" t="s">
        <v>120</v>
      </c>
      <c r="AH2235">
        <v>0.11</v>
      </c>
      <c r="AI2235" t="s">
        <v>120</v>
      </c>
      <c r="AJ2235">
        <v>0.28999999999999998</v>
      </c>
      <c r="AK2235" t="s">
        <v>3671</v>
      </c>
      <c r="AL2235">
        <v>-4.91</v>
      </c>
      <c r="AM2235">
        <v>3311</v>
      </c>
      <c r="AN2235">
        <v>20</v>
      </c>
      <c r="AO2235">
        <v>6.8999999999999999E-3</v>
      </c>
      <c r="AP2235">
        <v>-2</v>
      </c>
      <c r="AQ2235">
        <v>-5.76</v>
      </c>
      <c r="AR2235">
        <v>-7.14</v>
      </c>
      <c r="AS2235">
        <v>18.52</v>
      </c>
      <c r="AT2235">
        <v>13.65</v>
      </c>
      <c r="AU2235">
        <v>-2.54</v>
      </c>
      <c r="AV2235">
        <v>4</v>
      </c>
      <c r="AW2235">
        <v>22.78</v>
      </c>
      <c r="AX2235">
        <v>25.01</v>
      </c>
      <c r="AY2235">
        <v>86.74</v>
      </c>
      <c r="AZ2235">
        <v>90.23</v>
      </c>
      <c r="BA2235">
        <v>0.65</v>
      </c>
      <c r="BB2235" t="s">
        <v>143</v>
      </c>
      <c r="BF2235">
        <v>-3.86</v>
      </c>
      <c r="BG2235">
        <v>-6.59</v>
      </c>
      <c r="BH2235">
        <v>-7.09</v>
      </c>
      <c r="BI2235">
        <v>0.4</v>
      </c>
      <c r="BJ2235">
        <v>20210811</v>
      </c>
      <c r="BK2235">
        <v>20200924</v>
      </c>
      <c r="BL2235">
        <v>1.1599999999999999</v>
      </c>
      <c r="BM2235" t="s">
        <v>120</v>
      </c>
      <c r="BN2235" t="s">
        <v>120</v>
      </c>
      <c r="BO2235">
        <v>14.49</v>
      </c>
      <c r="BP2235">
        <v>40.119999999999997</v>
      </c>
      <c r="BQ2235">
        <v>11.39</v>
      </c>
      <c r="BR2235">
        <v>0.28999999999999998</v>
      </c>
      <c r="BS2235">
        <v>19.39</v>
      </c>
      <c r="BT2235">
        <v>7.44</v>
      </c>
      <c r="BU2235">
        <v>1.6</v>
      </c>
      <c r="BV2235">
        <v>2.4700000000000002</v>
      </c>
      <c r="BW2235">
        <v>2.69</v>
      </c>
      <c r="BX2235">
        <v>2.81</v>
      </c>
      <c r="BY2235">
        <v>1.99</v>
      </c>
      <c r="BZ2235">
        <v>1.03</v>
      </c>
      <c r="CA2235" t="s">
        <v>120</v>
      </c>
      <c r="CB2235">
        <v>7.79</v>
      </c>
      <c r="CC2235">
        <v>1.63</v>
      </c>
      <c r="CD2235">
        <v>1.18</v>
      </c>
      <c r="CE2235">
        <v>0.27</v>
      </c>
      <c r="CF2235">
        <v>0</v>
      </c>
      <c r="CG2235">
        <v>0.3</v>
      </c>
      <c r="CH2235">
        <v>0.28000000000000003</v>
      </c>
      <c r="CI2235">
        <v>0.28999999999999998</v>
      </c>
      <c r="CJ2235">
        <v>-2.94</v>
      </c>
      <c r="CK2235">
        <v>0.26</v>
      </c>
      <c r="CL2235">
        <v>2.2000000000000002</v>
      </c>
      <c r="CM2235">
        <v>-0.74</v>
      </c>
      <c r="CN2235">
        <v>-1.19</v>
      </c>
      <c r="CO2235">
        <v>14795</v>
      </c>
      <c r="CP2235">
        <v>1967</v>
      </c>
      <c r="CQ2235" t="s">
        <v>3100</v>
      </c>
      <c r="CR2235">
        <v>8.35</v>
      </c>
      <c r="CS2235">
        <v>9.09</v>
      </c>
      <c r="CT2235">
        <v>4.0999999999999996</v>
      </c>
      <c r="CU2235">
        <v>-63.13</v>
      </c>
      <c r="CV2235">
        <v>28.6</v>
      </c>
      <c r="CW2235">
        <v>0.15</v>
      </c>
      <c r="CX2235" t="s">
        <v>1054</v>
      </c>
      <c r="CY2235">
        <v>9.7899999999999991</v>
      </c>
      <c r="CZ2235">
        <v>0</v>
      </c>
      <c r="DA2235">
        <v>6.69</v>
      </c>
      <c r="DB2235">
        <v>1.89</v>
      </c>
      <c r="DC2235">
        <v>-0.64</v>
      </c>
      <c r="DD2235">
        <v>78.61</v>
      </c>
      <c r="DE2235" t="s">
        <v>10708</v>
      </c>
      <c r="DF2235">
        <v>28.01</v>
      </c>
      <c r="DG2235">
        <v>16.62</v>
      </c>
      <c r="DH2235">
        <v>17.760000000000002</v>
      </c>
      <c r="DI2235">
        <v>0.06</v>
      </c>
      <c r="DJ2235">
        <v>190</v>
      </c>
      <c r="DK2235">
        <v>300895</v>
      </c>
      <c r="DL2235">
        <v>20210827</v>
      </c>
      <c r="DM2235">
        <v>39.01</v>
      </c>
      <c r="DN2235">
        <v>2.85</v>
      </c>
    </row>
    <row r="2236" spans="1:118">
      <c r="A2236" t="str">
        <f>"300896"</f>
        <v>300896</v>
      </c>
      <c r="B2236" t="s">
        <v>10709</v>
      </c>
      <c r="C2236">
        <v>1.85</v>
      </c>
      <c r="D2236">
        <v>-0.04</v>
      </c>
      <c r="E2236">
        <v>-1.5</v>
      </c>
      <c r="F2236">
        <v>1363</v>
      </c>
      <c r="G2236" t="s">
        <v>10710</v>
      </c>
      <c r="H2236">
        <v>135702.78</v>
      </c>
      <c r="I2236">
        <v>728.37</v>
      </c>
      <c r="J2236" t="s">
        <v>120</v>
      </c>
      <c r="K2236" t="s">
        <v>10710</v>
      </c>
      <c r="L2236">
        <v>5.14</v>
      </c>
      <c r="M2236">
        <v>538.72</v>
      </c>
      <c r="N2236">
        <v>1.65</v>
      </c>
      <c r="O2236">
        <v>3.04</v>
      </c>
      <c r="P2236">
        <v>545</v>
      </c>
      <c r="Q2236">
        <v>-2.91</v>
      </c>
      <c r="R2236">
        <v>513.52</v>
      </c>
      <c r="S2236">
        <v>521.01</v>
      </c>
      <c r="T2236">
        <v>25405</v>
      </c>
      <c r="U2236">
        <v>538.73</v>
      </c>
      <c r="V2236">
        <v>528.92999999999995</v>
      </c>
      <c r="W2236">
        <v>136.97</v>
      </c>
      <c r="X2236" t="s">
        <v>555</v>
      </c>
      <c r="Y2236" t="s">
        <v>158</v>
      </c>
      <c r="Z2236">
        <v>5.95</v>
      </c>
      <c r="AA2236">
        <v>534.15</v>
      </c>
      <c r="AB2236">
        <v>10698</v>
      </c>
      <c r="AC2236">
        <v>14707</v>
      </c>
      <c r="AD2236">
        <v>0.73</v>
      </c>
      <c r="AE2236">
        <v>29</v>
      </c>
      <c r="AF2236">
        <v>1</v>
      </c>
      <c r="AG2236" t="s">
        <v>120</v>
      </c>
      <c r="AH2236">
        <v>0.03</v>
      </c>
      <c r="AI2236" t="s">
        <v>120</v>
      </c>
      <c r="AJ2236">
        <v>0.49</v>
      </c>
      <c r="AK2236" t="s">
        <v>10711</v>
      </c>
      <c r="AL2236">
        <v>3.76</v>
      </c>
      <c r="AM2236">
        <v>3926</v>
      </c>
      <c r="AN2236">
        <v>6</v>
      </c>
      <c r="AO2236">
        <v>1.2999999999999999E-3</v>
      </c>
      <c r="AP2236">
        <v>1</v>
      </c>
      <c r="AQ2236">
        <v>-0.81</v>
      </c>
      <c r="AR2236">
        <v>0.37</v>
      </c>
      <c r="AS2236">
        <v>-9.76</v>
      </c>
      <c r="AT2236">
        <v>-21.94</v>
      </c>
      <c r="AU2236">
        <v>48.83</v>
      </c>
      <c r="AV2236">
        <v>1</v>
      </c>
      <c r="AW2236">
        <v>5.14</v>
      </c>
      <c r="AX2236">
        <v>22.82</v>
      </c>
      <c r="AY2236">
        <v>159.4</v>
      </c>
      <c r="AZ2236">
        <v>260.24</v>
      </c>
      <c r="BA2236">
        <v>1.76</v>
      </c>
      <c r="BB2236" t="s">
        <v>134</v>
      </c>
      <c r="BF2236">
        <v>0.99</v>
      </c>
      <c r="BG2236">
        <v>3.4</v>
      </c>
      <c r="BH2236">
        <v>-1.1499999999999999</v>
      </c>
      <c r="BI2236">
        <v>4.91</v>
      </c>
      <c r="BJ2236">
        <v>20210824</v>
      </c>
      <c r="BK2236">
        <v>20200928</v>
      </c>
      <c r="BL2236">
        <v>2.16</v>
      </c>
      <c r="BM2236" t="s">
        <v>120</v>
      </c>
      <c r="BN2236" t="s">
        <v>120</v>
      </c>
      <c r="BO2236">
        <v>46.71</v>
      </c>
      <c r="BP2236">
        <v>538.72</v>
      </c>
      <c r="BQ2236">
        <v>45.01</v>
      </c>
      <c r="BR2236">
        <v>0</v>
      </c>
      <c r="BS2236">
        <v>3.64</v>
      </c>
      <c r="BT2236">
        <v>42.2</v>
      </c>
      <c r="BU2236">
        <v>1.4</v>
      </c>
      <c r="BV2236">
        <v>0.1</v>
      </c>
      <c r="BW2236">
        <v>1.22</v>
      </c>
      <c r="BX2236">
        <v>34.299999999999997</v>
      </c>
      <c r="BY2236">
        <v>0.27</v>
      </c>
      <c r="BZ2236">
        <v>0.39</v>
      </c>
      <c r="CA2236" t="s">
        <v>120</v>
      </c>
      <c r="CB2236">
        <v>34.11</v>
      </c>
      <c r="CC2236">
        <v>6.33</v>
      </c>
      <c r="CD2236">
        <v>0.43</v>
      </c>
      <c r="CE2236">
        <v>4.9800000000000004</v>
      </c>
      <c r="CF2236">
        <v>0.03</v>
      </c>
      <c r="CG2236">
        <v>4.9800000000000004</v>
      </c>
      <c r="CH2236">
        <v>4.25</v>
      </c>
      <c r="CI2236">
        <v>4.25</v>
      </c>
      <c r="CJ2236">
        <v>9.7899999999999991</v>
      </c>
      <c r="CK2236">
        <v>4.1100000000000003</v>
      </c>
      <c r="CL2236">
        <v>8.14</v>
      </c>
      <c r="CM2236">
        <v>4.38</v>
      </c>
      <c r="CN2236">
        <v>-0.26</v>
      </c>
      <c r="CO2236">
        <v>47976</v>
      </c>
      <c r="CP2236">
        <v>1029</v>
      </c>
      <c r="CQ2236" t="s">
        <v>10712</v>
      </c>
      <c r="CR2236">
        <v>188.86</v>
      </c>
      <c r="CS2236">
        <v>161.87</v>
      </c>
      <c r="CT2236">
        <v>25.9</v>
      </c>
      <c r="CU2236">
        <v>266.27</v>
      </c>
      <c r="CV2236">
        <v>184</v>
      </c>
      <c r="CW2236">
        <v>0.37</v>
      </c>
      <c r="CX2236" t="s">
        <v>10713</v>
      </c>
      <c r="CY2236">
        <v>20.8</v>
      </c>
      <c r="CZ2236">
        <v>0</v>
      </c>
      <c r="DA2236">
        <v>15.76</v>
      </c>
      <c r="DB2236">
        <v>3.76</v>
      </c>
      <c r="DC2236">
        <v>2.02</v>
      </c>
      <c r="DD2236">
        <v>96.36</v>
      </c>
      <c r="DE2236" t="s">
        <v>6482</v>
      </c>
      <c r="DF2236">
        <v>93.25</v>
      </c>
      <c r="DG2236">
        <v>78.55</v>
      </c>
      <c r="DH2236">
        <v>67.17</v>
      </c>
      <c r="DI2236">
        <v>0.44</v>
      </c>
      <c r="DJ2236">
        <v>432</v>
      </c>
      <c r="DK2236">
        <v>300896</v>
      </c>
      <c r="DL2236" t="s">
        <v>120</v>
      </c>
      <c r="DM2236" t="s">
        <v>120</v>
      </c>
      <c r="DN2236" t="s">
        <v>120</v>
      </c>
    </row>
    <row r="2237" spans="1:118">
      <c r="A2237" t="str">
        <f>"300897"</f>
        <v>300897</v>
      </c>
      <c r="B2237" t="s">
        <v>10714</v>
      </c>
      <c r="C2237">
        <v>-0.21</v>
      </c>
      <c r="D2237">
        <v>0.24</v>
      </c>
      <c r="E2237">
        <v>0.03</v>
      </c>
      <c r="F2237">
        <v>114</v>
      </c>
      <c r="G2237" t="s">
        <v>10715</v>
      </c>
      <c r="H2237">
        <v>1172.8900000000001</v>
      </c>
      <c r="I2237">
        <v>1.68</v>
      </c>
      <c r="J2237" t="s">
        <v>120</v>
      </c>
      <c r="K2237" t="s">
        <v>10715</v>
      </c>
      <c r="L2237">
        <v>2.06</v>
      </c>
      <c r="M2237">
        <v>33.5</v>
      </c>
      <c r="N2237">
        <v>0.38</v>
      </c>
      <c r="O2237">
        <v>0.6</v>
      </c>
      <c r="P2237">
        <v>33.770000000000003</v>
      </c>
      <c r="Q2237">
        <v>-0.63</v>
      </c>
      <c r="R2237">
        <v>33.36</v>
      </c>
      <c r="S2237">
        <v>33.58</v>
      </c>
      <c r="T2237">
        <v>3497</v>
      </c>
      <c r="U2237">
        <v>33.54</v>
      </c>
      <c r="V2237">
        <v>33.57</v>
      </c>
      <c r="W2237">
        <v>41.37</v>
      </c>
      <c r="X2237" t="s">
        <v>2717</v>
      </c>
      <c r="Y2237" t="s">
        <v>585</v>
      </c>
      <c r="Z2237">
        <v>1.22</v>
      </c>
      <c r="AA2237">
        <v>33.54</v>
      </c>
      <c r="AB2237">
        <v>2347</v>
      </c>
      <c r="AC2237">
        <v>1150</v>
      </c>
      <c r="AD2237">
        <v>2.04</v>
      </c>
      <c r="AE2237">
        <v>54</v>
      </c>
      <c r="AF2237">
        <v>4</v>
      </c>
      <c r="AG2237" t="s">
        <v>120</v>
      </c>
      <c r="AH2237">
        <v>0</v>
      </c>
      <c r="AI2237" t="s">
        <v>120</v>
      </c>
      <c r="AJ2237">
        <v>0.17</v>
      </c>
      <c r="AK2237" t="s">
        <v>9375</v>
      </c>
      <c r="AL2237">
        <v>1.71</v>
      </c>
      <c r="AM2237">
        <v>485</v>
      </c>
      <c r="AN2237">
        <v>7</v>
      </c>
      <c r="AO2237">
        <v>4.1999999999999997E-3</v>
      </c>
      <c r="AP2237">
        <v>-1</v>
      </c>
      <c r="AQ2237">
        <v>0.99</v>
      </c>
      <c r="AR2237">
        <v>-1.9</v>
      </c>
      <c r="AS2237">
        <v>-0.15</v>
      </c>
      <c r="AT2237">
        <v>-7.61</v>
      </c>
      <c r="AU2237">
        <v>-16.79</v>
      </c>
      <c r="AV2237">
        <v>1</v>
      </c>
      <c r="AW2237">
        <v>2.06</v>
      </c>
      <c r="AX2237">
        <v>25</v>
      </c>
      <c r="AY2237">
        <v>29.33</v>
      </c>
      <c r="AZ2237">
        <v>32.69</v>
      </c>
      <c r="BA2237">
        <v>0.28000000000000003</v>
      </c>
      <c r="BB2237" t="s">
        <v>143</v>
      </c>
      <c r="BF2237">
        <v>-0.08</v>
      </c>
      <c r="BG2237">
        <v>-0.24</v>
      </c>
      <c r="BH2237">
        <v>-0.8</v>
      </c>
      <c r="BI2237">
        <v>0.42</v>
      </c>
      <c r="BJ2237">
        <v>20210827</v>
      </c>
      <c r="BK2237">
        <v>20200928</v>
      </c>
      <c r="BL2237">
        <v>0.68</v>
      </c>
      <c r="BM2237" t="s">
        <v>120</v>
      </c>
      <c r="BN2237" t="s">
        <v>120</v>
      </c>
      <c r="BO2237">
        <v>10.34</v>
      </c>
      <c r="BP2237">
        <v>33.5</v>
      </c>
      <c r="BQ2237">
        <v>8.34</v>
      </c>
      <c r="BR2237" t="s">
        <v>120</v>
      </c>
      <c r="BS2237">
        <v>19.3</v>
      </c>
      <c r="BT2237">
        <v>8.14</v>
      </c>
      <c r="BU2237">
        <v>0.66</v>
      </c>
      <c r="BV2237">
        <v>0.27</v>
      </c>
      <c r="BW2237">
        <v>2</v>
      </c>
      <c r="BX2237">
        <v>0.75</v>
      </c>
      <c r="BY2237">
        <v>1.1399999999999999</v>
      </c>
      <c r="BZ2237">
        <v>2.58</v>
      </c>
      <c r="CA2237" t="s">
        <v>120</v>
      </c>
      <c r="CB2237">
        <v>5.41</v>
      </c>
      <c r="CC2237">
        <v>1.86</v>
      </c>
      <c r="CD2237">
        <v>1.03</v>
      </c>
      <c r="CE2237">
        <v>0.3</v>
      </c>
      <c r="CF2237">
        <v>0.01</v>
      </c>
      <c r="CG2237">
        <v>0.31</v>
      </c>
      <c r="CH2237">
        <v>0.28000000000000003</v>
      </c>
      <c r="CI2237">
        <v>0.28000000000000003</v>
      </c>
      <c r="CJ2237">
        <v>-7.0000000000000007E-2</v>
      </c>
      <c r="CK2237">
        <v>0.22</v>
      </c>
      <c r="CL2237">
        <v>2</v>
      </c>
      <c r="CM2237">
        <v>-0.43</v>
      </c>
      <c r="CN2237">
        <v>-2.17</v>
      </c>
      <c r="CO2237">
        <v>11576</v>
      </c>
      <c r="CP2237">
        <v>1469</v>
      </c>
      <c r="CQ2237" t="s">
        <v>1567</v>
      </c>
      <c r="CR2237">
        <v>41</v>
      </c>
      <c r="CS2237">
        <v>46.26</v>
      </c>
      <c r="CT2237">
        <v>2.73</v>
      </c>
      <c r="CU2237">
        <v>-53.31</v>
      </c>
      <c r="CV2237">
        <v>12.26</v>
      </c>
      <c r="CW2237">
        <v>1.79</v>
      </c>
      <c r="CX2237" t="s">
        <v>3527</v>
      </c>
      <c r="CY2237">
        <v>12.27</v>
      </c>
      <c r="CZ2237">
        <v>0</v>
      </c>
      <c r="DA2237">
        <v>7.95</v>
      </c>
      <c r="DB2237">
        <v>2.94</v>
      </c>
      <c r="DC2237">
        <v>-0.63</v>
      </c>
      <c r="DD2237">
        <v>80.7</v>
      </c>
      <c r="DE2237" t="s">
        <v>6470</v>
      </c>
      <c r="DF2237">
        <v>44.76</v>
      </c>
      <c r="DG2237">
        <v>16.059999999999999</v>
      </c>
      <c r="DH2237">
        <v>14.82</v>
      </c>
      <c r="DI2237">
        <v>0.16</v>
      </c>
      <c r="DJ2237">
        <v>471</v>
      </c>
      <c r="DK2237">
        <v>300897</v>
      </c>
      <c r="DL2237" t="s">
        <v>120</v>
      </c>
      <c r="DM2237" t="s">
        <v>120</v>
      </c>
      <c r="DN2237" t="s">
        <v>120</v>
      </c>
    </row>
    <row r="2238" spans="1:118">
      <c r="A2238" t="str">
        <f>"300898"</f>
        <v>300898</v>
      </c>
      <c r="B2238" t="s">
        <v>10716</v>
      </c>
      <c r="C2238">
        <v>2.0699999999999998</v>
      </c>
      <c r="D2238">
        <v>0.06</v>
      </c>
      <c r="E2238">
        <v>-0.06</v>
      </c>
      <c r="F2238">
        <v>228</v>
      </c>
      <c r="G2238" t="s">
        <v>7285</v>
      </c>
      <c r="H2238">
        <v>6450.34</v>
      </c>
      <c r="I2238">
        <v>2.23</v>
      </c>
      <c r="J2238" t="s">
        <v>120</v>
      </c>
      <c r="K2238" t="s">
        <v>7285</v>
      </c>
      <c r="L2238">
        <v>6.42</v>
      </c>
      <c r="M2238">
        <v>32.5</v>
      </c>
      <c r="N2238">
        <v>1.76</v>
      </c>
      <c r="O2238">
        <v>4.33</v>
      </c>
      <c r="P2238">
        <v>33.22</v>
      </c>
      <c r="Q2238">
        <v>-0.16</v>
      </c>
      <c r="R2238">
        <v>31.79</v>
      </c>
      <c r="S2238">
        <v>31.82</v>
      </c>
      <c r="T2238">
        <v>19815</v>
      </c>
      <c r="U2238">
        <v>32.51</v>
      </c>
      <c r="V2238">
        <v>31.84</v>
      </c>
      <c r="W2238">
        <v>55.47</v>
      </c>
      <c r="X2238" t="s">
        <v>4454</v>
      </c>
      <c r="Y2238" t="s">
        <v>585</v>
      </c>
      <c r="Z2238">
        <v>4.49</v>
      </c>
      <c r="AA2238">
        <v>32.549999999999997</v>
      </c>
      <c r="AB2238">
        <v>8417</v>
      </c>
      <c r="AC2238">
        <v>11398</v>
      </c>
      <c r="AD2238">
        <v>0.74</v>
      </c>
      <c r="AE2238">
        <v>12</v>
      </c>
      <c r="AF2238">
        <v>1</v>
      </c>
      <c r="AG2238" t="s">
        <v>120</v>
      </c>
      <c r="AH2238">
        <v>0</v>
      </c>
      <c r="AI2238" t="s">
        <v>120</v>
      </c>
      <c r="AJ2238">
        <v>0.31</v>
      </c>
      <c r="AK2238" t="s">
        <v>10717</v>
      </c>
      <c r="AL2238">
        <v>3.99</v>
      </c>
      <c r="AM2238">
        <v>1647</v>
      </c>
      <c r="AN2238">
        <v>12</v>
      </c>
      <c r="AO2238">
        <v>3.8999999999999998E-3</v>
      </c>
      <c r="AP2238">
        <v>1</v>
      </c>
      <c r="AQ2238">
        <v>-1.85</v>
      </c>
      <c r="AR2238">
        <v>-0.98</v>
      </c>
      <c r="AS2238">
        <v>-3.45</v>
      </c>
      <c r="AT2238">
        <v>-11.99</v>
      </c>
      <c r="AU2238">
        <v>-31.13</v>
      </c>
      <c r="AV2238">
        <v>2</v>
      </c>
      <c r="AW2238">
        <v>6.42</v>
      </c>
      <c r="AX2238">
        <v>24.89</v>
      </c>
      <c r="AY2238">
        <v>37.049999999999997</v>
      </c>
      <c r="AZ2238">
        <v>48.44</v>
      </c>
      <c r="BA2238">
        <v>0.5</v>
      </c>
      <c r="BB2238" t="s">
        <v>240</v>
      </c>
      <c r="BF2238">
        <v>2.2400000000000002</v>
      </c>
      <c r="BG2238">
        <v>2.14</v>
      </c>
      <c r="BH2238">
        <v>-2.17</v>
      </c>
      <c r="BI2238">
        <v>2.23</v>
      </c>
      <c r="BJ2238">
        <v>20210818</v>
      </c>
      <c r="BK2238">
        <v>20201016</v>
      </c>
      <c r="BL2238">
        <v>1.24</v>
      </c>
      <c r="BM2238" t="s">
        <v>120</v>
      </c>
      <c r="BN2238" t="s">
        <v>120</v>
      </c>
      <c r="BO2238">
        <v>9.36</v>
      </c>
      <c r="BP2238">
        <v>32.5</v>
      </c>
      <c r="BQ2238">
        <v>7.87</v>
      </c>
      <c r="BR2238">
        <v>0.14000000000000001</v>
      </c>
      <c r="BS2238">
        <v>14.39</v>
      </c>
      <c r="BT2238">
        <v>6.5</v>
      </c>
      <c r="BU2238">
        <v>1.63</v>
      </c>
      <c r="BV2238">
        <v>0.5</v>
      </c>
      <c r="BW2238">
        <v>1.34</v>
      </c>
      <c r="BX2238">
        <v>2.2599999999999998</v>
      </c>
      <c r="BY2238">
        <v>1.7</v>
      </c>
      <c r="BZ2238">
        <v>0.28000000000000003</v>
      </c>
      <c r="CA2238" t="s">
        <v>120</v>
      </c>
      <c r="CB2238">
        <v>4.1100000000000003</v>
      </c>
      <c r="CC2238">
        <v>3.9</v>
      </c>
      <c r="CD2238">
        <v>2.91</v>
      </c>
      <c r="CE2238">
        <v>0.49</v>
      </c>
      <c r="CF2238">
        <v>0</v>
      </c>
      <c r="CG2238">
        <v>0.49</v>
      </c>
      <c r="CH2238">
        <v>0.39</v>
      </c>
      <c r="CI2238">
        <v>0.36</v>
      </c>
      <c r="CJ2238">
        <v>0.66</v>
      </c>
      <c r="CK2238">
        <v>0.28999999999999998</v>
      </c>
      <c r="CL2238">
        <v>2.0099999999999998</v>
      </c>
      <c r="CM2238">
        <v>-0.18</v>
      </c>
      <c r="CN2238">
        <v>0.31</v>
      </c>
      <c r="CO2238">
        <v>15954</v>
      </c>
      <c r="CP2238">
        <v>1934</v>
      </c>
      <c r="CQ2238" t="s">
        <v>1550</v>
      </c>
      <c r="CR2238">
        <v>222.37</v>
      </c>
      <c r="CS2238">
        <v>65.48</v>
      </c>
      <c r="CT2238">
        <v>5.12</v>
      </c>
      <c r="CU2238">
        <v>-230.14</v>
      </c>
      <c r="CV2238">
        <v>10.32</v>
      </c>
      <c r="CW2238">
        <v>0.47</v>
      </c>
      <c r="CX2238" t="s">
        <v>10718</v>
      </c>
      <c r="CY2238">
        <v>6.35</v>
      </c>
      <c r="CZ2238">
        <v>0</v>
      </c>
      <c r="DA2238">
        <v>3.32</v>
      </c>
      <c r="DB2238">
        <v>1.62</v>
      </c>
      <c r="DC2238">
        <v>-0.14000000000000001</v>
      </c>
      <c r="DD2238">
        <v>84.09</v>
      </c>
      <c r="DE2238" t="s">
        <v>10124</v>
      </c>
      <c r="DF2238">
        <v>25.57</v>
      </c>
      <c r="DG2238">
        <v>12.55</v>
      </c>
      <c r="DH2238">
        <v>9.31</v>
      </c>
      <c r="DI2238">
        <v>0.08</v>
      </c>
      <c r="DJ2238">
        <v>541</v>
      </c>
      <c r="DK2238">
        <v>300898</v>
      </c>
      <c r="DL2238" t="s">
        <v>120</v>
      </c>
      <c r="DM2238" t="s">
        <v>120</v>
      </c>
      <c r="DN2238" t="s">
        <v>120</v>
      </c>
    </row>
    <row r="2239" spans="1:118">
      <c r="A2239" t="str">
        <f>"300899"</f>
        <v>300899</v>
      </c>
      <c r="B2239" t="s">
        <v>10719</v>
      </c>
      <c r="C2239">
        <v>-1.36</v>
      </c>
      <c r="D2239">
        <v>-0.04</v>
      </c>
      <c r="E2239">
        <v>0.65</v>
      </c>
      <c r="F2239">
        <v>87</v>
      </c>
      <c r="G2239" t="s">
        <v>10720</v>
      </c>
      <c r="H2239">
        <v>1403.1</v>
      </c>
      <c r="I2239">
        <v>3.08</v>
      </c>
      <c r="J2239" t="s">
        <v>120</v>
      </c>
      <c r="K2239" t="s">
        <v>10720</v>
      </c>
      <c r="L2239">
        <v>2.3199999999999998</v>
      </c>
      <c r="M2239">
        <v>37.68</v>
      </c>
      <c r="N2239">
        <v>0.44</v>
      </c>
      <c r="O2239">
        <v>0.73</v>
      </c>
      <c r="P2239">
        <v>38.479999999999997</v>
      </c>
      <c r="Q2239">
        <v>-1.44</v>
      </c>
      <c r="R2239">
        <v>37.65</v>
      </c>
      <c r="S2239">
        <v>38.450000000000003</v>
      </c>
      <c r="T2239">
        <v>3701</v>
      </c>
      <c r="U2239">
        <v>37.75</v>
      </c>
      <c r="V2239">
        <v>38.200000000000003</v>
      </c>
      <c r="W2239">
        <v>58.49</v>
      </c>
      <c r="X2239" t="s">
        <v>318</v>
      </c>
      <c r="Y2239" t="s">
        <v>1510</v>
      </c>
      <c r="Z2239">
        <v>2.17</v>
      </c>
      <c r="AA2239">
        <v>37.909999999999997</v>
      </c>
      <c r="AB2239">
        <v>2377</v>
      </c>
      <c r="AC2239">
        <v>1324</v>
      </c>
      <c r="AD2239">
        <v>1.8</v>
      </c>
      <c r="AE2239">
        <v>2</v>
      </c>
      <c r="AF2239">
        <v>12</v>
      </c>
      <c r="AG2239" t="s">
        <v>120</v>
      </c>
      <c r="AH2239">
        <v>0.01</v>
      </c>
      <c r="AI2239" t="s">
        <v>120</v>
      </c>
      <c r="AJ2239">
        <v>0.16</v>
      </c>
      <c r="AK2239" t="s">
        <v>6798</v>
      </c>
      <c r="AL2239">
        <v>0.55000000000000004</v>
      </c>
      <c r="AM2239">
        <v>546</v>
      </c>
      <c r="AN2239">
        <v>7</v>
      </c>
      <c r="AO2239">
        <v>4.1999999999999997E-3</v>
      </c>
      <c r="AP2239">
        <v>-1</v>
      </c>
      <c r="AQ2239">
        <v>1.06</v>
      </c>
      <c r="AR2239">
        <v>-4.3899999999999997</v>
      </c>
      <c r="AS2239">
        <v>-7.38</v>
      </c>
      <c r="AT2239">
        <v>-4.41</v>
      </c>
      <c r="AU2239">
        <v>-15.93</v>
      </c>
      <c r="AV2239">
        <v>3</v>
      </c>
      <c r="AW2239">
        <v>2.3199999999999998</v>
      </c>
      <c r="AX2239">
        <v>25.01</v>
      </c>
      <c r="AY2239">
        <v>63.63</v>
      </c>
      <c r="AZ2239">
        <v>55.53</v>
      </c>
      <c r="BA2239">
        <v>0.62</v>
      </c>
      <c r="BB2239" t="s">
        <v>143</v>
      </c>
      <c r="BF2239">
        <v>-0.76</v>
      </c>
      <c r="BG2239">
        <v>-2</v>
      </c>
      <c r="BH2239">
        <v>-2.08</v>
      </c>
      <c r="BI2239">
        <v>0.08</v>
      </c>
      <c r="BJ2239">
        <v>20210902</v>
      </c>
      <c r="BK2239">
        <v>20201016</v>
      </c>
      <c r="BL2239">
        <v>0.64</v>
      </c>
      <c r="BM2239" t="s">
        <v>120</v>
      </c>
      <c r="BN2239" t="s">
        <v>120</v>
      </c>
      <c r="BO2239">
        <v>7.3</v>
      </c>
      <c r="BP2239">
        <v>37.68</v>
      </c>
      <c r="BQ2239">
        <v>6.24</v>
      </c>
      <c r="BR2239">
        <v>0</v>
      </c>
      <c r="BS2239">
        <v>14.51</v>
      </c>
      <c r="BT2239">
        <v>6.59</v>
      </c>
      <c r="BU2239">
        <v>0.43</v>
      </c>
      <c r="BV2239">
        <v>7.0000000000000007E-2</v>
      </c>
      <c r="BW2239">
        <v>0.95</v>
      </c>
      <c r="BX2239">
        <v>2.0699999999999998</v>
      </c>
      <c r="BY2239">
        <v>0.66</v>
      </c>
      <c r="BZ2239">
        <v>1.2</v>
      </c>
      <c r="CA2239" t="s">
        <v>120</v>
      </c>
      <c r="CB2239">
        <v>3.84</v>
      </c>
      <c r="CC2239">
        <v>1.08</v>
      </c>
      <c r="CD2239">
        <v>0.69</v>
      </c>
      <c r="CE2239">
        <v>0.23</v>
      </c>
      <c r="CF2239">
        <v>0.01</v>
      </c>
      <c r="CG2239">
        <v>0.23</v>
      </c>
      <c r="CH2239">
        <v>0.21</v>
      </c>
      <c r="CI2239">
        <v>0.21</v>
      </c>
      <c r="CJ2239">
        <v>-0.52</v>
      </c>
      <c r="CK2239">
        <v>0.2</v>
      </c>
      <c r="CL2239">
        <v>1.54</v>
      </c>
      <c r="CM2239">
        <v>0.33</v>
      </c>
      <c r="CN2239">
        <v>-1.96</v>
      </c>
      <c r="CO2239">
        <v>10120</v>
      </c>
      <c r="CP2239">
        <v>1576</v>
      </c>
      <c r="CQ2239" t="s">
        <v>1041</v>
      </c>
      <c r="CR2239">
        <v>-21.37</v>
      </c>
      <c r="CS2239">
        <v>12.84</v>
      </c>
      <c r="CT2239">
        <v>3.85</v>
      </c>
      <c r="CU2239">
        <v>72.599999999999994</v>
      </c>
      <c r="CV2239">
        <v>22.27</v>
      </c>
      <c r="CW2239">
        <v>0.79</v>
      </c>
      <c r="CX2239" t="s">
        <v>7112</v>
      </c>
      <c r="CY2239">
        <v>9.7799999999999994</v>
      </c>
      <c r="CZ2239">
        <v>0</v>
      </c>
      <c r="DA2239">
        <v>6.02</v>
      </c>
      <c r="DB2239">
        <v>2.42</v>
      </c>
      <c r="DC2239">
        <v>0.52</v>
      </c>
      <c r="DD2239">
        <v>85.47</v>
      </c>
      <c r="DE2239" t="s">
        <v>8609</v>
      </c>
      <c r="DF2239">
        <v>35.909999999999997</v>
      </c>
      <c r="DG2239">
        <v>21.54</v>
      </c>
      <c r="DH2239">
        <v>19.03</v>
      </c>
      <c r="DI2239">
        <v>7.0000000000000007E-2</v>
      </c>
      <c r="DJ2239">
        <v>87</v>
      </c>
      <c r="DK2239">
        <v>300899</v>
      </c>
      <c r="DL2239" t="s">
        <v>120</v>
      </c>
      <c r="DM2239" t="s">
        <v>120</v>
      </c>
      <c r="DN2239" t="s">
        <v>120</v>
      </c>
    </row>
    <row r="2240" spans="1:118">
      <c r="A2240" t="str">
        <f>"300900"</f>
        <v>300900</v>
      </c>
      <c r="B2240" t="s">
        <v>10721</v>
      </c>
      <c r="C2240">
        <v>2.27</v>
      </c>
      <c r="D2240">
        <v>7.0000000000000007E-2</v>
      </c>
      <c r="E2240">
        <v>-0.56999999999999995</v>
      </c>
      <c r="F2240">
        <v>938</v>
      </c>
      <c r="G2240" t="s">
        <v>3285</v>
      </c>
      <c r="H2240">
        <v>26298.51</v>
      </c>
      <c r="I2240">
        <v>16.82</v>
      </c>
      <c r="J2240" t="s">
        <v>120</v>
      </c>
      <c r="K2240" t="s">
        <v>3285</v>
      </c>
      <c r="L2240">
        <v>12.97</v>
      </c>
      <c r="M2240">
        <v>43.25</v>
      </c>
      <c r="N2240">
        <v>1.3</v>
      </c>
      <c r="O2240">
        <v>5.46</v>
      </c>
      <c r="P2240">
        <v>44.6</v>
      </c>
      <c r="Q2240">
        <v>-1.4</v>
      </c>
      <c r="R2240">
        <v>41.7</v>
      </c>
      <c r="S2240">
        <v>42.05</v>
      </c>
      <c r="T2240">
        <v>60906</v>
      </c>
      <c r="U2240">
        <v>43.26</v>
      </c>
      <c r="V2240">
        <v>42.29</v>
      </c>
      <c r="W2240">
        <v>191.46</v>
      </c>
      <c r="X2240" t="s">
        <v>1621</v>
      </c>
      <c r="Y2240" t="s">
        <v>1686</v>
      </c>
      <c r="Z2240">
        <v>6.86</v>
      </c>
      <c r="AA2240">
        <v>43.18</v>
      </c>
      <c r="AB2240">
        <v>28690</v>
      </c>
      <c r="AC2240">
        <v>32216</v>
      </c>
      <c r="AD2240">
        <v>0.89</v>
      </c>
      <c r="AE2240">
        <v>51</v>
      </c>
      <c r="AF2240">
        <v>7</v>
      </c>
      <c r="AG2240" t="s">
        <v>120</v>
      </c>
      <c r="AH2240">
        <v>0.01</v>
      </c>
      <c r="AI2240" t="s">
        <v>120</v>
      </c>
      <c r="AJ2240">
        <v>0.47</v>
      </c>
      <c r="AK2240" t="s">
        <v>5742</v>
      </c>
      <c r="AL2240">
        <v>4.18</v>
      </c>
      <c r="AM2240">
        <v>3100</v>
      </c>
      <c r="AN2240">
        <v>20</v>
      </c>
      <c r="AO2240">
        <v>4.1999999999999997E-3</v>
      </c>
      <c r="AP2240">
        <v>2</v>
      </c>
      <c r="AQ2240">
        <v>1.1200000000000001</v>
      </c>
      <c r="AR2240">
        <v>3.22</v>
      </c>
      <c r="AS2240">
        <v>-6.79</v>
      </c>
      <c r="AT2240">
        <v>20.079999999999998</v>
      </c>
      <c r="AU2240">
        <v>-4.3</v>
      </c>
      <c r="AV2240">
        <v>1</v>
      </c>
      <c r="AW2240">
        <v>12.97</v>
      </c>
      <c r="AX2240">
        <v>22.34</v>
      </c>
      <c r="AY2240">
        <v>78.63</v>
      </c>
      <c r="AZ2240">
        <v>88.43</v>
      </c>
      <c r="BA2240">
        <v>1.01</v>
      </c>
      <c r="BB2240" t="s">
        <v>143</v>
      </c>
      <c r="BF2240">
        <v>2.1</v>
      </c>
      <c r="BG2240">
        <v>2.85</v>
      </c>
      <c r="BH2240">
        <v>-3.03</v>
      </c>
      <c r="BI2240">
        <v>3.72</v>
      </c>
      <c r="BJ2240">
        <v>20210818</v>
      </c>
      <c r="BK2240">
        <v>20201029</v>
      </c>
      <c r="BL2240">
        <v>2.1</v>
      </c>
      <c r="BM2240" t="s">
        <v>120</v>
      </c>
      <c r="BN2240" t="s">
        <v>120</v>
      </c>
      <c r="BO2240">
        <v>16.54</v>
      </c>
      <c r="BP2240">
        <v>43.25</v>
      </c>
      <c r="BQ2240">
        <v>15.2</v>
      </c>
      <c r="BR2240">
        <v>0</v>
      </c>
      <c r="BS2240">
        <v>8.07</v>
      </c>
      <c r="BT2240">
        <v>10.02</v>
      </c>
      <c r="BU2240">
        <v>3.14</v>
      </c>
      <c r="BV2240">
        <v>0.37</v>
      </c>
      <c r="BW2240">
        <v>0.84</v>
      </c>
      <c r="BX2240">
        <v>2.09</v>
      </c>
      <c r="BY2240">
        <v>1.21</v>
      </c>
      <c r="BZ2240">
        <v>4.1900000000000004</v>
      </c>
      <c r="CA2240" t="s">
        <v>120</v>
      </c>
      <c r="CB2240">
        <v>10.53</v>
      </c>
      <c r="CC2240">
        <v>1.1200000000000001</v>
      </c>
      <c r="CD2240">
        <v>0.64</v>
      </c>
      <c r="CE2240">
        <v>0.24</v>
      </c>
      <c r="CF2240">
        <v>0.03</v>
      </c>
      <c r="CG2240">
        <v>0.27</v>
      </c>
      <c r="CH2240">
        <v>0.24</v>
      </c>
      <c r="CI2240">
        <v>0.24</v>
      </c>
      <c r="CJ2240">
        <v>0.96</v>
      </c>
      <c r="CK2240">
        <v>0.14000000000000001</v>
      </c>
      <c r="CL2240">
        <v>2.33</v>
      </c>
      <c r="CM2240">
        <v>-0.88</v>
      </c>
      <c r="CN2240">
        <v>-2.85</v>
      </c>
      <c r="CO2240">
        <v>23152</v>
      </c>
      <c r="CP2240">
        <v>2029</v>
      </c>
      <c r="CQ2240" t="s">
        <v>4466</v>
      </c>
      <c r="CR2240">
        <v>111.83</v>
      </c>
      <c r="CS2240">
        <v>42.46</v>
      </c>
      <c r="CT2240">
        <v>5.98</v>
      </c>
      <c r="CU2240">
        <v>-103.87</v>
      </c>
      <c r="CV2240">
        <v>81.37</v>
      </c>
      <c r="CW2240">
        <v>0.24</v>
      </c>
      <c r="CX2240" t="s">
        <v>1147</v>
      </c>
      <c r="CY2240">
        <v>7.23</v>
      </c>
      <c r="CZ2240">
        <v>0</v>
      </c>
      <c r="DA2240">
        <v>5.01</v>
      </c>
      <c r="DB2240">
        <v>1.1100000000000001</v>
      </c>
      <c r="DC2240">
        <v>-0.42</v>
      </c>
      <c r="DD2240">
        <v>91.93</v>
      </c>
      <c r="DE2240" t="s">
        <v>7740</v>
      </c>
      <c r="DF2240">
        <v>42.53</v>
      </c>
      <c r="DG2240">
        <v>21.75</v>
      </c>
      <c r="DH2240">
        <v>21.25</v>
      </c>
      <c r="DI2240">
        <v>0.12</v>
      </c>
      <c r="DJ2240">
        <v>354</v>
      </c>
      <c r="DK2240">
        <v>300900</v>
      </c>
      <c r="DL2240" t="s">
        <v>120</v>
      </c>
      <c r="DM2240" t="s">
        <v>120</v>
      </c>
      <c r="DN2240" t="s">
        <v>120</v>
      </c>
    </row>
    <row r="2241" spans="1:118">
      <c r="A2241" t="str">
        <f>"300901"</f>
        <v>300901</v>
      </c>
      <c r="B2241" t="s">
        <v>10722</v>
      </c>
      <c r="C2241">
        <v>-1.97</v>
      </c>
      <c r="D2241">
        <v>0</v>
      </c>
      <c r="E2241">
        <v>0.57999999999999996</v>
      </c>
      <c r="F2241">
        <v>333</v>
      </c>
      <c r="G2241" t="s">
        <v>10701</v>
      </c>
      <c r="H2241">
        <v>2498.0500000000002</v>
      </c>
      <c r="I2241">
        <v>3.31</v>
      </c>
      <c r="J2241" t="s">
        <v>120</v>
      </c>
      <c r="K2241" t="s">
        <v>10701</v>
      </c>
      <c r="L2241">
        <v>3.05</v>
      </c>
      <c r="M2241">
        <v>13.43</v>
      </c>
      <c r="N2241">
        <v>0.74</v>
      </c>
      <c r="O2241">
        <v>1.46</v>
      </c>
      <c r="P2241">
        <v>13.9</v>
      </c>
      <c r="Q2241">
        <v>-2.34</v>
      </c>
      <c r="R2241">
        <v>13.38</v>
      </c>
      <c r="S2241">
        <v>13.78</v>
      </c>
      <c r="T2241">
        <v>18304</v>
      </c>
      <c r="U2241">
        <v>13.43</v>
      </c>
      <c r="V2241">
        <v>13.7</v>
      </c>
      <c r="W2241">
        <v>38.22</v>
      </c>
      <c r="X2241" t="s">
        <v>2806</v>
      </c>
      <c r="Y2241" t="s">
        <v>585</v>
      </c>
      <c r="Z2241">
        <v>3.8</v>
      </c>
      <c r="AA2241">
        <v>13.65</v>
      </c>
      <c r="AB2241">
        <v>11300</v>
      </c>
      <c r="AC2241">
        <v>7004</v>
      </c>
      <c r="AD2241">
        <v>1.61</v>
      </c>
      <c r="AE2241">
        <v>144</v>
      </c>
      <c r="AF2241">
        <v>84</v>
      </c>
      <c r="AG2241" t="s">
        <v>120</v>
      </c>
      <c r="AH2241">
        <v>0</v>
      </c>
      <c r="AI2241" t="s">
        <v>120</v>
      </c>
      <c r="AJ2241">
        <v>0.6</v>
      </c>
      <c r="AK2241" t="s">
        <v>10723</v>
      </c>
      <c r="AL2241">
        <v>-0.06</v>
      </c>
      <c r="AM2241">
        <v>990</v>
      </c>
      <c r="AN2241">
        <v>18</v>
      </c>
      <c r="AO2241">
        <v>3.0999999999999999E-3</v>
      </c>
      <c r="AP2241">
        <v>-3</v>
      </c>
      <c r="AQ2241">
        <v>-1.44</v>
      </c>
      <c r="AR2241">
        <v>-6.16</v>
      </c>
      <c r="AS2241">
        <v>-8.14</v>
      </c>
      <c r="AT2241">
        <v>-15.59</v>
      </c>
      <c r="AU2241">
        <v>-35.61</v>
      </c>
      <c r="AV2241">
        <v>1</v>
      </c>
      <c r="AW2241">
        <v>3.05</v>
      </c>
      <c r="AX2241">
        <v>25</v>
      </c>
      <c r="AY2241">
        <v>35.270000000000003</v>
      </c>
      <c r="AZ2241">
        <v>31.48</v>
      </c>
      <c r="BA2241">
        <v>0.63</v>
      </c>
      <c r="BB2241" t="s">
        <v>125</v>
      </c>
      <c r="BF2241">
        <v>-0.38</v>
      </c>
      <c r="BG2241">
        <v>-2.54</v>
      </c>
      <c r="BH2241">
        <v>-3.38</v>
      </c>
      <c r="BI2241">
        <v>0.37</v>
      </c>
      <c r="BJ2241">
        <v>20210827</v>
      </c>
      <c r="BK2241">
        <v>20201029</v>
      </c>
      <c r="BL2241">
        <v>2.4</v>
      </c>
      <c r="BM2241" t="s">
        <v>120</v>
      </c>
      <c r="BN2241" t="s">
        <v>120</v>
      </c>
      <c r="BO2241">
        <v>11.32</v>
      </c>
      <c r="BP2241">
        <v>13.42</v>
      </c>
      <c r="BQ2241">
        <v>9.8800000000000008</v>
      </c>
      <c r="BR2241">
        <v>0</v>
      </c>
      <c r="BS2241">
        <v>12.71</v>
      </c>
      <c r="BT2241">
        <v>9.67</v>
      </c>
      <c r="BU2241">
        <v>0.95</v>
      </c>
      <c r="BV2241">
        <v>0.28000000000000003</v>
      </c>
      <c r="BW2241">
        <v>1.42</v>
      </c>
      <c r="BX2241">
        <v>4</v>
      </c>
      <c r="BY2241">
        <v>0.1</v>
      </c>
      <c r="BZ2241">
        <v>1.52</v>
      </c>
      <c r="CA2241" t="s">
        <v>120</v>
      </c>
      <c r="CB2241">
        <v>4.4000000000000004</v>
      </c>
      <c r="CC2241">
        <v>2.84</v>
      </c>
      <c r="CD2241">
        <v>2.2200000000000002</v>
      </c>
      <c r="CE2241">
        <v>0.52</v>
      </c>
      <c r="CF2241">
        <v>0.01</v>
      </c>
      <c r="CG2241">
        <v>0.55000000000000004</v>
      </c>
      <c r="CH2241">
        <v>0.42</v>
      </c>
      <c r="CI2241">
        <v>0.42</v>
      </c>
      <c r="CJ2241">
        <v>-0.27</v>
      </c>
      <c r="CK2241">
        <v>0.31</v>
      </c>
      <c r="CL2241">
        <v>2.84</v>
      </c>
      <c r="CM2241">
        <v>0</v>
      </c>
      <c r="CN2241">
        <v>-0.31</v>
      </c>
      <c r="CO2241">
        <v>20000</v>
      </c>
      <c r="CP2241">
        <v>3000</v>
      </c>
      <c r="CQ2241" t="s">
        <v>483</v>
      </c>
      <c r="CR2241">
        <v>-21.01</v>
      </c>
      <c r="CS2241">
        <v>-2.2400000000000002</v>
      </c>
      <c r="CT2241">
        <v>3.26</v>
      </c>
      <c r="CU2241">
        <v>41376.129999999997</v>
      </c>
      <c r="CV2241">
        <v>11.37</v>
      </c>
      <c r="CW2241">
        <v>0.36</v>
      </c>
      <c r="CX2241" t="s">
        <v>242</v>
      </c>
      <c r="CY2241">
        <v>4.12</v>
      </c>
      <c r="CZ2241">
        <v>0</v>
      </c>
      <c r="DA2241">
        <v>1.83</v>
      </c>
      <c r="DB2241">
        <v>1.18</v>
      </c>
      <c r="DC2241">
        <v>0</v>
      </c>
      <c r="DD2241">
        <v>87.28</v>
      </c>
      <c r="DE2241" t="s">
        <v>2110</v>
      </c>
      <c r="DF2241">
        <v>21.7</v>
      </c>
      <c r="DG2241">
        <v>18.25</v>
      </c>
      <c r="DH2241">
        <v>14.87</v>
      </c>
      <c r="DI2241">
        <v>0.03</v>
      </c>
      <c r="DJ2241">
        <v>196</v>
      </c>
      <c r="DK2241">
        <v>300901</v>
      </c>
      <c r="DL2241" t="s">
        <v>120</v>
      </c>
      <c r="DM2241" t="s">
        <v>120</v>
      </c>
      <c r="DN2241" t="s">
        <v>120</v>
      </c>
    </row>
    <row r="2242" spans="1:118">
      <c r="A2242" t="str">
        <f>"300902"</f>
        <v>300902</v>
      </c>
      <c r="B2242" t="s">
        <v>10724</v>
      </c>
      <c r="C2242">
        <v>-1.03</v>
      </c>
      <c r="D2242">
        <v>-0.03</v>
      </c>
      <c r="E2242">
        <v>-3.92</v>
      </c>
      <c r="F2242">
        <v>257</v>
      </c>
      <c r="G2242" t="s">
        <v>6154</v>
      </c>
      <c r="H2242">
        <v>3791.18</v>
      </c>
      <c r="I2242">
        <v>70.98</v>
      </c>
      <c r="J2242" t="s">
        <v>120</v>
      </c>
      <c r="K2242" t="s">
        <v>6154</v>
      </c>
      <c r="L2242">
        <v>4.43</v>
      </c>
      <c r="M2242">
        <v>26.78</v>
      </c>
      <c r="N2242">
        <v>0.5</v>
      </c>
      <c r="O2242">
        <v>0.15</v>
      </c>
      <c r="P2242">
        <v>27.1</v>
      </c>
      <c r="Q2242">
        <v>-3.92</v>
      </c>
      <c r="R2242">
        <v>26</v>
      </c>
      <c r="S2242">
        <v>26</v>
      </c>
      <c r="T2242">
        <v>14173</v>
      </c>
      <c r="U2242">
        <v>26.79</v>
      </c>
      <c r="V2242">
        <v>27.06</v>
      </c>
      <c r="W2242">
        <v>149.09</v>
      </c>
      <c r="X2242" t="s">
        <v>675</v>
      </c>
      <c r="Y2242" t="s">
        <v>937</v>
      </c>
      <c r="Z2242">
        <v>4.07</v>
      </c>
      <c r="AA2242">
        <v>26.75</v>
      </c>
      <c r="AB2242">
        <v>6976</v>
      </c>
      <c r="AC2242">
        <v>7197</v>
      </c>
      <c r="AD2242">
        <v>0.97</v>
      </c>
      <c r="AE2242">
        <v>143</v>
      </c>
      <c r="AF2242">
        <v>34</v>
      </c>
      <c r="AG2242" t="s">
        <v>120</v>
      </c>
      <c r="AH2242">
        <v>0.09</v>
      </c>
      <c r="AI2242" t="s">
        <v>120</v>
      </c>
      <c r="AJ2242">
        <v>0.32</v>
      </c>
      <c r="AK2242" t="s">
        <v>8457</v>
      </c>
      <c r="AL2242">
        <v>0.88</v>
      </c>
      <c r="AM2242">
        <v>1051</v>
      </c>
      <c r="AN2242">
        <v>13</v>
      </c>
      <c r="AO2242">
        <v>4.1999999999999997E-3</v>
      </c>
      <c r="AP2242">
        <v>-3</v>
      </c>
      <c r="AQ2242">
        <v>-2.2799999999999998</v>
      </c>
      <c r="AR2242">
        <v>-7.94</v>
      </c>
      <c r="AS2242">
        <v>3.56</v>
      </c>
      <c r="AT2242">
        <v>7.63</v>
      </c>
      <c r="AU2242">
        <v>-18.3</v>
      </c>
      <c r="AV2242">
        <v>1</v>
      </c>
      <c r="AW2242">
        <v>4.43</v>
      </c>
      <c r="AX2242">
        <v>25</v>
      </c>
      <c r="AY2242">
        <v>70.400000000000006</v>
      </c>
      <c r="AZ2242">
        <v>55.75</v>
      </c>
      <c r="BA2242">
        <v>0.55000000000000004</v>
      </c>
      <c r="BB2242" t="s">
        <v>125</v>
      </c>
      <c r="BF2242">
        <v>-1.1499999999999999</v>
      </c>
      <c r="BG2242">
        <v>3</v>
      </c>
      <c r="BH2242">
        <v>-1.18</v>
      </c>
      <c r="BI2242">
        <v>3</v>
      </c>
      <c r="BJ2242">
        <v>20210827</v>
      </c>
      <c r="BK2242">
        <v>20201029</v>
      </c>
      <c r="BL2242">
        <v>1.28</v>
      </c>
      <c r="BM2242" t="s">
        <v>120</v>
      </c>
      <c r="BN2242" t="s">
        <v>120</v>
      </c>
      <c r="BO2242">
        <v>8.74</v>
      </c>
      <c r="BP2242">
        <v>26.78</v>
      </c>
      <c r="BQ2242">
        <v>7.95</v>
      </c>
      <c r="BR2242">
        <v>0.03</v>
      </c>
      <c r="BS2242">
        <v>8.67</v>
      </c>
      <c r="BT2242">
        <v>6.35</v>
      </c>
      <c r="BU2242">
        <v>0.99</v>
      </c>
      <c r="BV2242">
        <v>0.24</v>
      </c>
      <c r="BW2242">
        <v>0.71</v>
      </c>
      <c r="BX2242">
        <v>0.81</v>
      </c>
      <c r="BY2242">
        <v>0.51</v>
      </c>
      <c r="BZ2242">
        <v>1.31</v>
      </c>
      <c r="CA2242" t="s">
        <v>120</v>
      </c>
      <c r="CB2242">
        <v>4.18</v>
      </c>
      <c r="CC2242">
        <v>1.06</v>
      </c>
      <c r="CD2242">
        <v>0.55000000000000004</v>
      </c>
      <c r="CE2242">
        <v>0.13</v>
      </c>
      <c r="CF2242">
        <v>0.01</v>
      </c>
      <c r="CG2242">
        <v>0.13</v>
      </c>
      <c r="CH2242">
        <v>0.11</v>
      </c>
      <c r="CI2242">
        <v>0.11</v>
      </c>
      <c r="CJ2242">
        <v>-0.28000000000000003</v>
      </c>
      <c r="CK2242">
        <v>0.06</v>
      </c>
      <c r="CL2242">
        <v>2.33</v>
      </c>
      <c r="CM2242">
        <v>0.13</v>
      </c>
      <c r="CN2242">
        <v>0.19</v>
      </c>
      <c r="CO2242">
        <v>14905</v>
      </c>
      <c r="CP2242">
        <v>2147</v>
      </c>
      <c r="CQ2242" t="s">
        <v>498</v>
      </c>
      <c r="CR2242">
        <v>-52.94</v>
      </c>
      <c r="CS2242">
        <v>18.45</v>
      </c>
      <c r="CT2242">
        <v>4.3099999999999996</v>
      </c>
      <c r="CU2242">
        <v>259.16000000000003</v>
      </c>
      <c r="CV2242">
        <v>32.25</v>
      </c>
      <c r="CW2242">
        <v>1.48</v>
      </c>
      <c r="CX2242" t="s">
        <v>329</v>
      </c>
      <c r="CY2242">
        <v>6.21</v>
      </c>
      <c r="CZ2242">
        <v>0</v>
      </c>
      <c r="DA2242">
        <v>3.27</v>
      </c>
      <c r="DB2242">
        <v>1.82</v>
      </c>
      <c r="DC2242">
        <v>0.1</v>
      </c>
      <c r="DD2242">
        <v>90.99</v>
      </c>
      <c r="DE2242" t="s">
        <v>4678</v>
      </c>
      <c r="DF2242">
        <v>48.34</v>
      </c>
      <c r="DG2242">
        <v>12.13</v>
      </c>
      <c r="DH2242">
        <v>10.81</v>
      </c>
      <c r="DI2242">
        <v>7.0000000000000007E-2</v>
      </c>
      <c r="DJ2242">
        <v>358</v>
      </c>
      <c r="DK2242">
        <v>300902</v>
      </c>
      <c r="DL2242" t="s">
        <v>120</v>
      </c>
      <c r="DM2242" t="s">
        <v>120</v>
      </c>
      <c r="DN2242" t="s">
        <v>120</v>
      </c>
    </row>
    <row r="2243" spans="1:118">
      <c r="A2243" t="str">
        <f>"300903"</f>
        <v>300903</v>
      </c>
      <c r="B2243" t="s">
        <v>10725</v>
      </c>
      <c r="C2243">
        <v>-3.37</v>
      </c>
      <c r="D2243">
        <v>-0.16</v>
      </c>
      <c r="E2243">
        <v>-0.96</v>
      </c>
      <c r="F2243">
        <v>543</v>
      </c>
      <c r="G2243" t="s">
        <v>10726</v>
      </c>
      <c r="H2243">
        <v>4906.1000000000004</v>
      </c>
      <c r="I2243">
        <v>11.73</v>
      </c>
      <c r="J2243" t="s">
        <v>120</v>
      </c>
      <c r="K2243" t="s">
        <v>10726</v>
      </c>
      <c r="L2243">
        <v>3.71</v>
      </c>
      <c r="M2243">
        <v>30.13</v>
      </c>
      <c r="N2243">
        <v>0.78</v>
      </c>
      <c r="O2243">
        <v>0.26</v>
      </c>
      <c r="P2243">
        <v>31.26</v>
      </c>
      <c r="Q2243">
        <v>-3.37</v>
      </c>
      <c r="R2243">
        <v>30.13</v>
      </c>
      <c r="S2243">
        <v>30.88</v>
      </c>
      <c r="T2243">
        <v>15972</v>
      </c>
      <c r="U2243">
        <v>30.13</v>
      </c>
      <c r="V2243">
        <v>31.18</v>
      </c>
      <c r="W2243">
        <v>53.1</v>
      </c>
      <c r="X2243" t="s">
        <v>229</v>
      </c>
      <c r="Y2243" t="s">
        <v>547</v>
      </c>
      <c r="Z2243">
        <v>3.62</v>
      </c>
      <c r="AA2243">
        <v>30.72</v>
      </c>
      <c r="AB2243">
        <v>9694</v>
      </c>
      <c r="AC2243">
        <v>6278</v>
      </c>
      <c r="AD2243">
        <v>1.54</v>
      </c>
      <c r="AE2243">
        <v>2</v>
      </c>
      <c r="AF2243">
        <v>47</v>
      </c>
      <c r="AG2243" t="s">
        <v>120</v>
      </c>
      <c r="AH2243">
        <v>0.01</v>
      </c>
      <c r="AI2243" t="s">
        <v>120</v>
      </c>
      <c r="AJ2243">
        <v>0.43</v>
      </c>
      <c r="AK2243" t="s">
        <v>10727</v>
      </c>
      <c r="AL2243">
        <v>-1.45</v>
      </c>
      <c r="AM2243">
        <v>1342</v>
      </c>
      <c r="AN2243">
        <v>12</v>
      </c>
      <c r="AO2243">
        <v>2.8E-3</v>
      </c>
      <c r="AP2243">
        <v>-3</v>
      </c>
      <c r="AQ2243">
        <v>-1.24</v>
      </c>
      <c r="AR2243">
        <v>-5.2</v>
      </c>
      <c r="AS2243">
        <v>-8.5299999999999994</v>
      </c>
      <c r="AT2243">
        <v>-12.16</v>
      </c>
      <c r="AU2243">
        <v>-28.63</v>
      </c>
      <c r="AV2243">
        <v>1</v>
      </c>
      <c r="AW2243">
        <v>3.71</v>
      </c>
      <c r="AX2243">
        <v>25.01</v>
      </c>
      <c r="AY2243">
        <v>48.31</v>
      </c>
      <c r="AZ2243">
        <v>51.16</v>
      </c>
      <c r="BA2243">
        <v>0.02</v>
      </c>
      <c r="BB2243" t="s">
        <v>125</v>
      </c>
      <c r="BF2243">
        <v>-1.49</v>
      </c>
      <c r="BG2243">
        <v>-2.4300000000000002</v>
      </c>
      <c r="BH2243">
        <v>-3.61</v>
      </c>
      <c r="BI2243">
        <v>0</v>
      </c>
      <c r="BJ2243">
        <v>20210906</v>
      </c>
      <c r="BK2243">
        <v>20201105</v>
      </c>
      <c r="BL2243">
        <v>1.72</v>
      </c>
      <c r="BM2243" t="s">
        <v>120</v>
      </c>
      <c r="BN2243" t="s">
        <v>120</v>
      </c>
      <c r="BO2243">
        <v>26.69</v>
      </c>
      <c r="BP2243">
        <v>30.12</v>
      </c>
      <c r="BQ2243">
        <v>11.85</v>
      </c>
      <c r="BR2243" t="s">
        <v>120</v>
      </c>
      <c r="BS2243">
        <v>55.62</v>
      </c>
      <c r="BT2243">
        <v>18.77</v>
      </c>
      <c r="BU2243">
        <v>4.9000000000000004</v>
      </c>
      <c r="BV2243">
        <v>0.35</v>
      </c>
      <c r="BW2243">
        <v>14.18</v>
      </c>
      <c r="BX2243">
        <v>4.95</v>
      </c>
      <c r="BY2243">
        <v>2.5499999999999998</v>
      </c>
      <c r="BZ2243">
        <v>7.68</v>
      </c>
      <c r="CA2243">
        <v>0.04</v>
      </c>
      <c r="CB2243">
        <v>7.25</v>
      </c>
      <c r="CC2243">
        <v>10.220000000000001</v>
      </c>
      <c r="CD2243">
        <v>8.4</v>
      </c>
      <c r="CE2243">
        <v>0.47</v>
      </c>
      <c r="CF2243">
        <v>0.02</v>
      </c>
      <c r="CG2243">
        <v>0.5</v>
      </c>
      <c r="CH2243">
        <v>0.49</v>
      </c>
      <c r="CI2243">
        <v>0.49</v>
      </c>
      <c r="CJ2243">
        <v>-1.05</v>
      </c>
      <c r="CK2243">
        <v>0.44</v>
      </c>
      <c r="CL2243">
        <v>2.79</v>
      </c>
      <c r="CM2243">
        <v>0.15</v>
      </c>
      <c r="CN2243">
        <v>0.14000000000000001</v>
      </c>
      <c r="CO2243">
        <v>19693</v>
      </c>
      <c r="CP2243">
        <v>2189</v>
      </c>
      <c r="CQ2243" t="s">
        <v>418</v>
      </c>
      <c r="CR2243">
        <v>14.5</v>
      </c>
      <c r="CS2243">
        <v>51.03</v>
      </c>
      <c r="CT2243">
        <v>4.38</v>
      </c>
      <c r="CU2243">
        <v>351.75</v>
      </c>
      <c r="CV2243">
        <v>5.08</v>
      </c>
      <c r="CW2243">
        <v>0.21</v>
      </c>
      <c r="CX2243" t="s">
        <v>10728</v>
      </c>
      <c r="CY2243">
        <v>6.87</v>
      </c>
      <c r="CZ2243">
        <v>0</v>
      </c>
      <c r="DA2243">
        <v>4.21</v>
      </c>
      <c r="DB2243">
        <v>1.62</v>
      </c>
      <c r="DC2243">
        <v>0.09</v>
      </c>
      <c r="DD2243">
        <v>44.38</v>
      </c>
      <c r="DE2243" t="s">
        <v>1175</v>
      </c>
      <c r="DF2243">
        <v>17.760000000000002</v>
      </c>
      <c r="DG2243">
        <v>4.6399999999999997</v>
      </c>
      <c r="DH2243">
        <v>4.78</v>
      </c>
      <c r="DI2243">
        <v>0.49</v>
      </c>
      <c r="DJ2243">
        <v>2629</v>
      </c>
      <c r="DK2243">
        <v>300903</v>
      </c>
      <c r="DL2243" t="s">
        <v>120</v>
      </c>
      <c r="DM2243" t="s">
        <v>120</v>
      </c>
      <c r="DN2243" t="s">
        <v>120</v>
      </c>
    </row>
    <row r="2244" spans="1:118">
      <c r="A2244" t="str">
        <f>"300905"</f>
        <v>300905</v>
      </c>
      <c r="B2244" t="s">
        <v>10729</v>
      </c>
      <c r="C2244">
        <v>-3.88</v>
      </c>
      <c r="D2244">
        <v>-0.09</v>
      </c>
      <c r="E2244">
        <v>0.25</v>
      </c>
      <c r="F2244">
        <v>390</v>
      </c>
      <c r="G2244" t="s">
        <v>10157</v>
      </c>
      <c r="H2244">
        <v>9577.76</v>
      </c>
      <c r="I2244">
        <v>16.64</v>
      </c>
      <c r="J2244" t="s">
        <v>120</v>
      </c>
      <c r="K2244" t="s">
        <v>10157</v>
      </c>
      <c r="L2244">
        <v>8.3800000000000008</v>
      </c>
      <c r="M2244">
        <v>30.68</v>
      </c>
      <c r="N2244">
        <v>0.92</v>
      </c>
      <c r="O2244">
        <v>2.5099999999999998</v>
      </c>
      <c r="P2244">
        <v>32.72</v>
      </c>
      <c r="Q2244">
        <v>-3.98</v>
      </c>
      <c r="R2244">
        <v>30.65</v>
      </c>
      <c r="S2244">
        <v>32</v>
      </c>
      <c r="T2244">
        <v>30178</v>
      </c>
      <c r="U2244">
        <v>30.68</v>
      </c>
      <c r="V2244">
        <v>31.92</v>
      </c>
      <c r="W2244">
        <v>38.799999999999997</v>
      </c>
      <c r="X2244" t="s">
        <v>2211</v>
      </c>
      <c r="Y2244" t="s">
        <v>319</v>
      </c>
      <c r="Z2244">
        <v>6.48</v>
      </c>
      <c r="AA2244">
        <v>31.74</v>
      </c>
      <c r="AB2244">
        <v>17920</v>
      </c>
      <c r="AC2244">
        <v>12258</v>
      </c>
      <c r="AD2244">
        <v>1.46</v>
      </c>
      <c r="AE2244">
        <v>4</v>
      </c>
      <c r="AF2244">
        <v>72</v>
      </c>
      <c r="AG2244" t="s">
        <v>120</v>
      </c>
      <c r="AH2244">
        <v>0.01</v>
      </c>
      <c r="AI2244" t="s">
        <v>120</v>
      </c>
      <c r="AJ2244">
        <v>0.36</v>
      </c>
      <c r="AK2244" t="s">
        <v>10730</v>
      </c>
      <c r="AL2244">
        <v>-1.97</v>
      </c>
      <c r="AM2244">
        <v>1934</v>
      </c>
      <c r="AN2244">
        <v>16</v>
      </c>
      <c r="AO2244">
        <v>4.3E-3</v>
      </c>
      <c r="AP2244">
        <v>-1</v>
      </c>
      <c r="AQ2244">
        <v>1.88</v>
      </c>
      <c r="AR2244">
        <v>-3.53</v>
      </c>
      <c r="AS2244">
        <v>4.07</v>
      </c>
      <c r="AT2244">
        <v>-0.39</v>
      </c>
      <c r="AU2244">
        <v>10.3</v>
      </c>
      <c r="AV2244">
        <v>2</v>
      </c>
      <c r="AW2244">
        <v>8.3800000000000008</v>
      </c>
      <c r="AX2244">
        <v>25</v>
      </c>
      <c r="AY2244">
        <v>39.61</v>
      </c>
      <c r="AZ2244">
        <v>44.03</v>
      </c>
      <c r="BA2244">
        <v>0.23</v>
      </c>
      <c r="BB2244" t="s">
        <v>143</v>
      </c>
      <c r="BF2244">
        <v>-0.56999999999999995</v>
      </c>
      <c r="BG2244">
        <v>-4.12</v>
      </c>
      <c r="BH2244">
        <v>-6.23</v>
      </c>
      <c r="BI2244">
        <v>0.1</v>
      </c>
      <c r="BJ2244">
        <v>20210810</v>
      </c>
      <c r="BK2244">
        <v>20201105</v>
      </c>
      <c r="BL2244">
        <v>1.44</v>
      </c>
      <c r="BM2244" t="s">
        <v>120</v>
      </c>
      <c r="BN2244" t="s">
        <v>120</v>
      </c>
      <c r="BO2244">
        <v>13.46</v>
      </c>
      <c r="BP2244">
        <v>30.67</v>
      </c>
      <c r="BQ2244">
        <v>12.4</v>
      </c>
      <c r="BR2244" t="s">
        <v>120</v>
      </c>
      <c r="BS2244">
        <v>7.91</v>
      </c>
      <c r="BT2244">
        <v>9.9499999999999993</v>
      </c>
      <c r="BU2244">
        <v>1.23</v>
      </c>
      <c r="BV2244">
        <v>0.11</v>
      </c>
      <c r="BW2244">
        <v>1.03</v>
      </c>
      <c r="BX2244">
        <v>5.52</v>
      </c>
      <c r="BY2244">
        <v>1.1299999999999999</v>
      </c>
      <c r="BZ2244">
        <v>0.61</v>
      </c>
      <c r="CA2244" t="s">
        <v>120</v>
      </c>
      <c r="CB2244">
        <v>8.77</v>
      </c>
      <c r="CC2244">
        <v>3.58</v>
      </c>
      <c r="CD2244">
        <v>2.74</v>
      </c>
      <c r="CE2244">
        <v>0.7</v>
      </c>
      <c r="CF2244">
        <v>0.03</v>
      </c>
      <c r="CG2244">
        <v>0.7</v>
      </c>
      <c r="CH2244">
        <v>0.56999999999999995</v>
      </c>
      <c r="CI2244">
        <v>0.56999999999999995</v>
      </c>
      <c r="CJ2244">
        <v>-1.24</v>
      </c>
      <c r="CK2244">
        <v>0.56000000000000005</v>
      </c>
      <c r="CL2244">
        <v>2.0299999999999998</v>
      </c>
      <c r="CM2244">
        <v>-0.13</v>
      </c>
      <c r="CN2244">
        <v>-3.31</v>
      </c>
      <c r="CO2244">
        <v>15609</v>
      </c>
      <c r="CP2244">
        <v>2306</v>
      </c>
      <c r="CQ2244" t="s">
        <v>10731</v>
      </c>
      <c r="CR2244">
        <v>25.76</v>
      </c>
      <c r="CS2244">
        <v>21.99</v>
      </c>
      <c r="CT2244">
        <v>3.56</v>
      </c>
      <c r="CU2244">
        <v>-340.59</v>
      </c>
      <c r="CV2244">
        <v>12.35</v>
      </c>
      <c r="CW2244">
        <v>1.57</v>
      </c>
      <c r="CX2244" t="s">
        <v>3527</v>
      </c>
      <c r="CY2244">
        <v>8.61</v>
      </c>
      <c r="CZ2244">
        <v>0</v>
      </c>
      <c r="DA2244">
        <v>6.09</v>
      </c>
      <c r="DB2244">
        <v>1.41</v>
      </c>
      <c r="DC2244">
        <v>-0.09</v>
      </c>
      <c r="DD2244">
        <v>92.09</v>
      </c>
      <c r="DE2244" t="s">
        <v>4776</v>
      </c>
      <c r="DF2244">
        <v>23.42</v>
      </c>
      <c r="DG2244">
        <v>19.600000000000001</v>
      </c>
      <c r="DH2244">
        <v>15.92</v>
      </c>
      <c r="DI2244">
        <v>0.1</v>
      </c>
      <c r="DJ2244">
        <v>387</v>
      </c>
      <c r="DK2244">
        <v>300905</v>
      </c>
      <c r="DL2244" t="s">
        <v>120</v>
      </c>
      <c r="DM2244" t="s">
        <v>120</v>
      </c>
      <c r="DN2244" t="s">
        <v>120</v>
      </c>
    </row>
    <row r="2245" spans="1:118">
      <c r="A2245" t="str">
        <f>"300906"</f>
        <v>300906</v>
      </c>
      <c r="B2245" t="s">
        <v>10732</v>
      </c>
      <c r="C2245">
        <v>-1.02</v>
      </c>
      <c r="D2245">
        <v>-0.31</v>
      </c>
      <c r="E2245">
        <v>0.06</v>
      </c>
      <c r="F2245">
        <v>278</v>
      </c>
      <c r="G2245" t="s">
        <v>10733</v>
      </c>
      <c r="H2245">
        <v>2824.54</v>
      </c>
      <c r="I2245">
        <v>11</v>
      </c>
      <c r="J2245" t="s">
        <v>120</v>
      </c>
      <c r="K2245" t="s">
        <v>10733</v>
      </c>
      <c r="L2245">
        <v>4.0999999999999996</v>
      </c>
      <c r="M2245">
        <v>34</v>
      </c>
      <c r="N2245">
        <v>0.53</v>
      </c>
      <c r="O2245">
        <v>1.54</v>
      </c>
      <c r="P2245">
        <v>34.880000000000003</v>
      </c>
      <c r="Q2245">
        <v>-1.02</v>
      </c>
      <c r="R2245">
        <v>34</v>
      </c>
      <c r="S2245">
        <v>34.369999999999997</v>
      </c>
      <c r="T2245">
        <v>8194</v>
      </c>
      <c r="U2245">
        <v>34.020000000000003</v>
      </c>
      <c r="V2245">
        <v>34.35</v>
      </c>
      <c r="W2245">
        <v>74.55</v>
      </c>
      <c r="X2245" t="s">
        <v>675</v>
      </c>
      <c r="Y2245" t="s">
        <v>676</v>
      </c>
      <c r="Z2245">
        <v>2.56</v>
      </c>
      <c r="AA2245">
        <v>34.47</v>
      </c>
      <c r="AB2245">
        <v>4841</v>
      </c>
      <c r="AC2245">
        <v>3353</v>
      </c>
      <c r="AD2245">
        <v>1.44</v>
      </c>
      <c r="AE2245">
        <v>7</v>
      </c>
      <c r="AF2245">
        <v>3</v>
      </c>
      <c r="AG2245" t="s">
        <v>120</v>
      </c>
      <c r="AH2245">
        <v>0.02</v>
      </c>
      <c r="AI2245" t="s">
        <v>120</v>
      </c>
      <c r="AJ2245">
        <v>0.2</v>
      </c>
      <c r="AK2245" t="s">
        <v>7419</v>
      </c>
      <c r="AL2245">
        <v>0.89</v>
      </c>
      <c r="AM2245">
        <v>853</v>
      </c>
      <c r="AN2245">
        <v>10</v>
      </c>
      <c r="AO2245">
        <v>4.7999999999999996E-3</v>
      </c>
      <c r="AP2245">
        <v>-2</v>
      </c>
      <c r="AQ2245">
        <v>-3.1</v>
      </c>
      <c r="AR2245">
        <v>-3.35</v>
      </c>
      <c r="AS2245">
        <v>-7.13</v>
      </c>
      <c r="AT2245">
        <v>-6.7</v>
      </c>
      <c r="AU2245">
        <v>-6.62</v>
      </c>
      <c r="AV2245">
        <v>5</v>
      </c>
      <c r="AW2245">
        <v>4.0999999999999996</v>
      </c>
      <c r="AX2245">
        <v>25</v>
      </c>
      <c r="AY2245">
        <v>46.49</v>
      </c>
      <c r="AZ2245">
        <v>50.93</v>
      </c>
      <c r="BA2245">
        <v>0.74</v>
      </c>
      <c r="BB2245" t="s">
        <v>143</v>
      </c>
      <c r="BF2245">
        <v>0.35</v>
      </c>
      <c r="BG2245">
        <v>-1.08</v>
      </c>
      <c r="BH2245">
        <v>-2.52</v>
      </c>
      <c r="BI2245">
        <v>0</v>
      </c>
      <c r="BJ2245">
        <v>20210827</v>
      </c>
      <c r="BK2245">
        <v>20201105</v>
      </c>
      <c r="BL2245">
        <v>0.8</v>
      </c>
      <c r="BM2245" t="s">
        <v>120</v>
      </c>
      <c r="BN2245" t="s">
        <v>120</v>
      </c>
      <c r="BO2245">
        <v>8.65</v>
      </c>
      <c r="BP2245">
        <v>34</v>
      </c>
      <c r="BQ2245">
        <v>7.95</v>
      </c>
      <c r="BR2245" t="s">
        <v>120</v>
      </c>
      <c r="BS2245">
        <v>8.1</v>
      </c>
      <c r="BT2245">
        <v>7.97</v>
      </c>
      <c r="BU2245">
        <v>0.2</v>
      </c>
      <c r="BV2245">
        <v>0.06</v>
      </c>
      <c r="BW2245">
        <v>0.59</v>
      </c>
      <c r="BX2245">
        <v>4.25</v>
      </c>
      <c r="BY2245">
        <v>0.18</v>
      </c>
      <c r="BZ2245">
        <v>1.23</v>
      </c>
      <c r="CA2245" t="s">
        <v>120</v>
      </c>
      <c r="CB2245">
        <v>5.58</v>
      </c>
      <c r="CC2245">
        <v>0.43</v>
      </c>
      <c r="CD2245">
        <v>0.17</v>
      </c>
      <c r="CE2245">
        <v>0.21</v>
      </c>
      <c r="CF2245">
        <v>0</v>
      </c>
      <c r="CG2245">
        <v>0.22</v>
      </c>
      <c r="CH2245">
        <v>0.18</v>
      </c>
      <c r="CI2245">
        <v>0.18</v>
      </c>
      <c r="CJ2245">
        <v>-0.35</v>
      </c>
      <c r="CK2245">
        <v>0.12</v>
      </c>
      <c r="CL2245">
        <v>1.33</v>
      </c>
      <c r="CM2245">
        <v>7.0000000000000007E-2</v>
      </c>
      <c r="CN2245">
        <v>-2.4500000000000002</v>
      </c>
      <c r="CO2245">
        <v>13150</v>
      </c>
      <c r="CP2245">
        <v>1521</v>
      </c>
      <c r="CQ2245" t="s">
        <v>4390</v>
      </c>
      <c r="CR2245">
        <v>39.35</v>
      </c>
      <c r="CS2245">
        <v>30.83</v>
      </c>
      <c r="CT2245">
        <v>3.42</v>
      </c>
      <c r="CU2245">
        <v>393.88</v>
      </c>
      <c r="CV2245">
        <v>63.08</v>
      </c>
      <c r="CW2245">
        <v>1.46</v>
      </c>
      <c r="CX2245" t="s">
        <v>2473</v>
      </c>
      <c r="CY2245">
        <v>9.94</v>
      </c>
      <c r="CZ2245">
        <v>0</v>
      </c>
      <c r="DA2245">
        <v>6.98</v>
      </c>
      <c r="DB2245">
        <v>1.66</v>
      </c>
      <c r="DC2245">
        <v>0.09</v>
      </c>
      <c r="DD2245">
        <v>91.9</v>
      </c>
      <c r="DE2245" t="s">
        <v>6349</v>
      </c>
      <c r="DF2245">
        <v>59.48</v>
      </c>
      <c r="DG2245">
        <v>49.86</v>
      </c>
      <c r="DH2245">
        <v>42.31</v>
      </c>
      <c r="DI2245">
        <v>0.04</v>
      </c>
      <c r="DJ2245">
        <v>141</v>
      </c>
      <c r="DK2245">
        <v>300906</v>
      </c>
      <c r="DL2245" t="s">
        <v>120</v>
      </c>
      <c r="DM2245" t="s">
        <v>120</v>
      </c>
      <c r="DN2245" t="s">
        <v>120</v>
      </c>
    </row>
    <row r="2246" spans="1:118">
      <c r="A2246" t="str">
        <f>"300907"</f>
        <v>300907</v>
      </c>
      <c r="B2246" t="s">
        <v>10734</v>
      </c>
      <c r="C2246">
        <v>-0.11</v>
      </c>
      <c r="D2246">
        <v>-0.1</v>
      </c>
      <c r="E2246">
        <v>-0.04</v>
      </c>
      <c r="F2246">
        <v>224</v>
      </c>
      <c r="G2246" t="s">
        <v>10735</v>
      </c>
      <c r="H2246">
        <v>2093.71</v>
      </c>
      <c r="I2246">
        <v>3.61</v>
      </c>
      <c r="J2246" t="s">
        <v>120</v>
      </c>
      <c r="K2246" t="s">
        <v>10735</v>
      </c>
      <c r="L2246">
        <v>3.13</v>
      </c>
      <c r="M2246">
        <v>27.76</v>
      </c>
      <c r="N2246">
        <v>0.56999999999999995</v>
      </c>
      <c r="O2246">
        <v>1.37</v>
      </c>
      <c r="P2246">
        <v>28.17</v>
      </c>
      <c r="Q2246">
        <v>-0.94</v>
      </c>
      <c r="R2246">
        <v>27.53</v>
      </c>
      <c r="S2246">
        <v>27.78</v>
      </c>
      <c r="T2246">
        <v>7508</v>
      </c>
      <c r="U2246">
        <v>27.77</v>
      </c>
      <c r="V2246">
        <v>27.79</v>
      </c>
      <c r="W2246">
        <v>46.77</v>
      </c>
      <c r="X2246" t="s">
        <v>394</v>
      </c>
      <c r="Y2246" t="s">
        <v>319</v>
      </c>
      <c r="Z2246">
        <v>2.2999999999999998</v>
      </c>
      <c r="AA2246">
        <v>27.89</v>
      </c>
      <c r="AB2246">
        <v>4097</v>
      </c>
      <c r="AC2246">
        <v>3411</v>
      </c>
      <c r="AD2246">
        <v>1.2</v>
      </c>
      <c r="AE2246">
        <v>14</v>
      </c>
      <c r="AF2246">
        <v>118</v>
      </c>
      <c r="AG2246" t="s">
        <v>120</v>
      </c>
      <c r="AH2246">
        <v>0.01</v>
      </c>
      <c r="AI2246" t="s">
        <v>120</v>
      </c>
      <c r="AJ2246">
        <v>0.24</v>
      </c>
      <c r="AK2246" t="s">
        <v>8679</v>
      </c>
      <c r="AL2246">
        <v>1.81</v>
      </c>
      <c r="AM2246">
        <v>874</v>
      </c>
      <c r="AN2246">
        <v>9</v>
      </c>
      <c r="AO2246">
        <v>3.5999999999999999E-3</v>
      </c>
      <c r="AP2246">
        <v>-3</v>
      </c>
      <c r="AQ2246">
        <v>-2.4900000000000002</v>
      </c>
      <c r="AR2246">
        <v>-4.5999999999999996</v>
      </c>
      <c r="AS2246">
        <v>1.17</v>
      </c>
      <c r="AT2246">
        <v>-9.58</v>
      </c>
      <c r="AU2246">
        <v>-24.09</v>
      </c>
      <c r="AV2246">
        <v>1</v>
      </c>
      <c r="AW2246">
        <v>3.13</v>
      </c>
      <c r="AX2246">
        <v>25</v>
      </c>
      <c r="AY2246">
        <v>42.79</v>
      </c>
      <c r="AZ2246">
        <v>44.35</v>
      </c>
      <c r="BA2246">
        <v>0.59</v>
      </c>
      <c r="BB2246" t="s">
        <v>143</v>
      </c>
      <c r="BF2246">
        <v>0.35</v>
      </c>
      <c r="BG2246">
        <v>-7.0000000000000007E-2</v>
      </c>
      <c r="BH2246">
        <v>-1.46</v>
      </c>
      <c r="BI2246">
        <v>0.84</v>
      </c>
      <c r="BJ2246">
        <v>20210913</v>
      </c>
      <c r="BK2246">
        <v>20201118</v>
      </c>
      <c r="BL2246">
        <v>0.96</v>
      </c>
      <c r="BM2246" t="s">
        <v>120</v>
      </c>
      <c r="BN2246" t="s">
        <v>120</v>
      </c>
      <c r="BO2246">
        <v>12.15</v>
      </c>
      <c r="BP2246">
        <v>27.76</v>
      </c>
      <c r="BQ2246">
        <v>7.51</v>
      </c>
      <c r="BR2246" t="s">
        <v>120</v>
      </c>
      <c r="BS2246">
        <v>38.159999999999997</v>
      </c>
      <c r="BT2246">
        <v>8.9700000000000006</v>
      </c>
      <c r="BU2246">
        <v>2.27</v>
      </c>
      <c r="BV2246">
        <v>0.27</v>
      </c>
      <c r="BW2246">
        <v>4.38</v>
      </c>
      <c r="BX2246">
        <v>2.77</v>
      </c>
      <c r="BY2246">
        <v>2.48</v>
      </c>
      <c r="BZ2246">
        <v>2.52</v>
      </c>
      <c r="CA2246" t="s">
        <v>120</v>
      </c>
      <c r="CB2246">
        <v>4.24</v>
      </c>
      <c r="CC2246">
        <v>6.34</v>
      </c>
      <c r="CD2246">
        <v>5.69</v>
      </c>
      <c r="CE2246">
        <v>0.28000000000000003</v>
      </c>
      <c r="CF2246">
        <v>0.02</v>
      </c>
      <c r="CG2246">
        <v>0.28999999999999998</v>
      </c>
      <c r="CH2246">
        <v>0.28000000000000003</v>
      </c>
      <c r="CI2246">
        <v>0.28000000000000003</v>
      </c>
      <c r="CJ2246">
        <v>-0.03</v>
      </c>
      <c r="CK2246">
        <v>0.25</v>
      </c>
      <c r="CL2246">
        <v>2</v>
      </c>
      <c r="CM2246">
        <v>-0.47</v>
      </c>
      <c r="CN2246">
        <v>-0.86</v>
      </c>
      <c r="CO2246">
        <v>11338</v>
      </c>
      <c r="CP2246">
        <v>2117</v>
      </c>
      <c r="CQ2246" t="s">
        <v>7218</v>
      </c>
      <c r="CR2246">
        <v>8.33</v>
      </c>
      <c r="CS2246">
        <v>95</v>
      </c>
      <c r="CT2246">
        <v>3.55</v>
      </c>
      <c r="CU2246">
        <v>-56.42</v>
      </c>
      <c r="CV2246">
        <v>4.2</v>
      </c>
      <c r="CW2246">
        <v>1.8</v>
      </c>
      <c r="CX2246" t="s">
        <v>2954</v>
      </c>
      <c r="CY2246">
        <v>7.82</v>
      </c>
      <c r="CZ2246">
        <v>0</v>
      </c>
      <c r="DA2246">
        <v>4.41</v>
      </c>
      <c r="DB2246">
        <v>2.09</v>
      </c>
      <c r="DC2246">
        <v>-0.49</v>
      </c>
      <c r="DD2246">
        <v>61.84</v>
      </c>
      <c r="DE2246" t="s">
        <v>6448</v>
      </c>
      <c r="DF2246">
        <v>10.35</v>
      </c>
      <c r="DG2246">
        <v>4.4800000000000004</v>
      </c>
      <c r="DH2246">
        <v>4.49</v>
      </c>
      <c r="DI2246">
        <v>0.19</v>
      </c>
      <c r="DJ2246">
        <v>2065</v>
      </c>
      <c r="DK2246">
        <v>300907</v>
      </c>
      <c r="DL2246" t="s">
        <v>120</v>
      </c>
      <c r="DM2246" t="s">
        <v>120</v>
      </c>
      <c r="DN2246" t="s">
        <v>120</v>
      </c>
    </row>
    <row r="2247" spans="1:118">
      <c r="A2247" t="str">
        <f>"300908"</f>
        <v>300908</v>
      </c>
      <c r="B2247" t="s">
        <v>10736</v>
      </c>
      <c r="C2247">
        <v>5.42</v>
      </c>
      <c r="D2247">
        <v>-0.14000000000000001</v>
      </c>
      <c r="E2247">
        <v>0.44</v>
      </c>
      <c r="F2247">
        <v>251</v>
      </c>
      <c r="G2247" t="s">
        <v>2278</v>
      </c>
      <c r="H2247">
        <v>9468.92</v>
      </c>
      <c r="I2247">
        <v>31.77</v>
      </c>
      <c r="J2247" t="s">
        <v>120</v>
      </c>
      <c r="K2247" t="s">
        <v>2278</v>
      </c>
      <c r="L2247">
        <v>6.95</v>
      </c>
      <c r="M2247">
        <v>54.67</v>
      </c>
      <c r="N2247">
        <v>2.13</v>
      </c>
      <c r="O2247">
        <v>7.94</v>
      </c>
      <c r="P2247">
        <v>55.98</v>
      </c>
      <c r="Q2247">
        <v>0.27</v>
      </c>
      <c r="R2247">
        <v>52</v>
      </c>
      <c r="S2247">
        <v>52.09</v>
      </c>
      <c r="T2247">
        <v>17375</v>
      </c>
      <c r="U2247">
        <v>54.7</v>
      </c>
      <c r="V2247">
        <v>51.86</v>
      </c>
      <c r="W2247">
        <v>39.57</v>
      </c>
      <c r="X2247" t="s">
        <v>847</v>
      </c>
      <c r="Y2247" t="s">
        <v>645</v>
      </c>
      <c r="Z2247">
        <v>7.67</v>
      </c>
      <c r="AA2247">
        <v>54.5</v>
      </c>
      <c r="AB2247">
        <v>7709</v>
      </c>
      <c r="AC2247">
        <v>9666</v>
      </c>
      <c r="AD2247">
        <v>0.8</v>
      </c>
      <c r="AE2247">
        <v>147</v>
      </c>
      <c r="AF2247">
        <v>61</v>
      </c>
      <c r="AG2247" t="s">
        <v>120</v>
      </c>
      <c r="AH2247">
        <v>0.02</v>
      </c>
      <c r="AI2247" t="s">
        <v>120</v>
      </c>
      <c r="AJ2247">
        <v>0.25</v>
      </c>
      <c r="AK2247" t="s">
        <v>10737</v>
      </c>
      <c r="AL2247">
        <v>7.33</v>
      </c>
      <c r="AM2247">
        <v>1847</v>
      </c>
      <c r="AN2247">
        <v>9</v>
      </c>
      <c r="AO2247">
        <v>3.8E-3</v>
      </c>
      <c r="AP2247">
        <v>1</v>
      </c>
      <c r="AQ2247">
        <v>-4.28</v>
      </c>
      <c r="AR2247">
        <v>1.49</v>
      </c>
      <c r="AS2247">
        <v>-13.49</v>
      </c>
      <c r="AT2247">
        <v>-13.63</v>
      </c>
      <c r="AU2247">
        <v>-29.94</v>
      </c>
      <c r="AV2247">
        <v>1</v>
      </c>
      <c r="AW2247">
        <v>6.95</v>
      </c>
      <c r="AX2247">
        <v>25</v>
      </c>
      <c r="AY2247">
        <v>39.119999999999997</v>
      </c>
      <c r="AZ2247">
        <v>40.520000000000003</v>
      </c>
      <c r="BA2247">
        <v>0.8</v>
      </c>
      <c r="BB2247" t="s">
        <v>134</v>
      </c>
      <c r="BF2247">
        <v>5.08</v>
      </c>
      <c r="BG2247">
        <v>4.95</v>
      </c>
      <c r="BH2247">
        <v>-2.34</v>
      </c>
      <c r="BI2247">
        <v>5.13</v>
      </c>
      <c r="BJ2247">
        <v>20210825</v>
      </c>
      <c r="BK2247">
        <v>20201123</v>
      </c>
      <c r="BL2247">
        <v>1</v>
      </c>
      <c r="BM2247" t="s">
        <v>120</v>
      </c>
      <c r="BN2247" t="s">
        <v>120</v>
      </c>
      <c r="BO2247">
        <v>16.36</v>
      </c>
      <c r="BP2247">
        <v>54.67</v>
      </c>
      <c r="BQ2247">
        <v>14.81</v>
      </c>
      <c r="BR2247">
        <v>0.02</v>
      </c>
      <c r="BS2247">
        <v>9.41</v>
      </c>
      <c r="BT2247">
        <v>11.85</v>
      </c>
      <c r="BU2247">
        <v>2.75</v>
      </c>
      <c r="BV2247">
        <v>0.21</v>
      </c>
      <c r="BW2247">
        <v>1.33</v>
      </c>
      <c r="BX2247">
        <v>3.93</v>
      </c>
      <c r="BY2247">
        <v>1.65</v>
      </c>
      <c r="BZ2247">
        <v>0.75</v>
      </c>
      <c r="CA2247" t="s">
        <v>120</v>
      </c>
      <c r="CB2247">
        <v>8.8800000000000008</v>
      </c>
      <c r="CC2247">
        <v>3.93</v>
      </c>
      <c r="CD2247">
        <v>2.3199999999999998</v>
      </c>
      <c r="CE2247">
        <v>0.76</v>
      </c>
      <c r="CF2247">
        <v>0.1</v>
      </c>
      <c r="CG2247">
        <v>0.79</v>
      </c>
      <c r="CH2247">
        <v>0.69</v>
      </c>
      <c r="CI2247">
        <v>0.69</v>
      </c>
      <c r="CJ2247">
        <v>2.81</v>
      </c>
      <c r="CK2247">
        <v>0.56999999999999995</v>
      </c>
      <c r="CL2247">
        <v>4.43</v>
      </c>
      <c r="CM2247">
        <v>0.75</v>
      </c>
      <c r="CN2247">
        <v>2.13</v>
      </c>
      <c r="CO2247">
        <v>15625</v>
      </c>
      <c r="CP2247">
        <v>1600</v>
      </c>
      <c r="CQ2247" t="s">
        <v>3574</v>
      </c>
      <c r="CR2247">
        <v>7.14</v>
      </c>
      <c r="CS2247">
        <v>12.34</v>
      </c>
      <c r="CT2247">
        <v>3.69</v>
      </c>
      <c r="CU2247">
        <v>72.94</v>
      </c>
      <c r="CV2247">
        <v>13.93</v>
      </c>
      <c r="CW2247">
        <v>0.96</v>
      </c>
      <c r="CX2247" t="s">
        <v>2797</v>
      </c>
      <c r="CY2247">
        <v>14.81</v>
      </c>
      <c r="CZ2247">
        <v>0</v>
      </c>
      <c r="DA2247">
        <v>8.8800000000000008</v>
      </c>
      <c r="DB2247">
        <v>4.43</v>
      </c>
      <c r="DC2247">
        <v>0.75</v>
      </c>
      <c r="DD2247">
        <v>90.48</v>
      </c>
      <c r="DE2247" t="s">
        <v>9778</v>
      </c>
      <c r="DF2247">
        <v>40.83</v>
      </c>
      <c r="DG2247">
        <v>19.36</v>
      </c>
      <c r="DH2247">
        <v>17.600000000000001</v>
      </c>
      <c r="DI2247">
        <v>0.17</v>
      </c>
      <c r="DJ2247">
        <v>902</v>
      </c>
      <c r="DK2247">
        <v>300908</v>
      </c>
      <c r="DL2247" t="s">
        <v>120</v>
      </c>
      <c r="DM2247" t="s">
        <v>120</v>
      </c>
      <c r="DN2247" t="s">
        <v>120</v>
      </c>
    </row>
    <row r="2248" spans="1:118">
      <c r="A2248" t="str">
        <f>"300909"</f>
        <v>300909</v>
      </c>
      <c r="B2248" t="s">
        <v>10738</v>
      </c>
      <c r="C2248">
        <v>-4.62</v>
      </c>
      <c r="D2248">
        <v>0</v>
      </c>
      <c r="E2248">
        <v>-0.04</v>
      </c>
      <c r="F2248">
        <v>260</v>
      </c>
      <c r="G2248" t="s">
        <v>6682</v>
      </c>
      <c r="H2248">
        <v>6413.55</v>
      </c>
      <c r="I2248">
        <v>22.2</v>
      </c>
      <c r="J2248" t="s">
        <v>120</v>
      </c>
      <c r="K2248" t="s">
        <v>6682</v>
      </c>
      <c r="L2248">
        <v>5.62</v>
      </c>
      <c r="M2248">
        <v>44.14</v>
      </c>
      <c r="N2248">
        <v>0.98</v>
      </c>
      <c r="O2248">
        <v>1.6</v>
      </c>
      <c r="P2248">
        <v>47.02</v>
      </c>
      <c r="Q2248">
        <v>-4.6500000000000004</v>
      </c>
      <c r="R2248">
        <v>44.13</v>
      </c>
      <c r="S2248">
        <v>46.26</v>
      </c>
      <c r="T2248">
        <v>14165</v>
      </c>
      <c r="U2248">
        <v>44.14</v>
      </c>
      <c r="V2248">
        <v>46.28</v>
      </c>
      <c r="W2248">
        <v>29.7</v>
      </c>
      <c r="X2248" t="s">
        <v>229</v>
      </c>
      <c r="Y2248" t="s">
        <v>123</v>
      </c>
      <c r="Z2248">
        <v>6.24</v>
      </c>
      <c r="AA2248">
        <v>45.28</v>
      </c>
      <c r="AB2248">
        <v>9179</v>
      </c>
      <c r="AC2248">
        <v>4986</v>
      </c>
      <c r="AD2248">
        <v>1.84</v>
      </c>
      <c r="AE2248">
        <v>62</v>
      </c>
      <c r="AF2248">
        <v>86</v>
      </c>
      <c r="AG2248" t="s">
        <v>120</v>
      </c>
      <c r="AH2248">
        <v>0.02</v>
      </c>
      <c r="AI2248" t="s">
        <v>120</v>
      </c>
      <c r="AJ2248">
        <v>0.25</v>
      </c>
      <c r="AK2248" t="s">
        <v>10739</v>
      </c>
      <c r="AL2248">
        <v>-2.71</v>
      </c>
      <c r="AM2248">
        <v>1587</v>
      </c>
      <c r="AN2248">
        <v>9</v>
      </c>
      <c r="AO2248">
        <v>3.5000000000000001E-3</v>
      </c>
      <c r="AP2248">
        <v>-1</v>
      </c>
      <c r="AQ2248">
        <v>0.35</v>
      </c>
      <c r="AR2248">
        <v>-7.98</v>
      </c>
      <c r="AS2248">
        <v>9.18</v>
      </c>
      <c r="AT2248">
        <v>1.71</v>
      </c>
      <c r="AU2248">
        <v>-16.48</v>
      </c>
      <c r="AV2248">
        <v>0</v>
      </c>
      <c r="AW2248">
        <v>5.62</v>
      </c>
      <c r="AX2248">
        <v>25</v>
      </c>
      <c r="AY2248">
        <v>37.75</v>
      </c>
      <c r="AZ2248">
        <v>49.35</v>
      </c>
      <c r="BA2248">
        <v>0.47</v>
      </c>
      <c r="BB2248" t="s">
        <v>143</v>
      </c>
      <c r="BF2248">
        <v>-2.17</v>
      </c>
      <c r="BG2248">
        <v>-4.58</v>
      </c>
      <c r="BH2248">
        <v>-6.13</v>
      </c>
      <c r="BI2248">
        <v>0.02</v>
      </c>
      <c r="BJ2248">
        <v>20210825</v>
      </c>
      <c r="BK2248">
        <v>20201118</v>
      </c>
      <c r="BL2248">
        <v>1.01</v>
      </c>
      <c r="BM2248" t="s">
        <v>120</v>
      </c>
      <c r="BN2248" t="s">
        <v>120</v>
      </c>
      <c r="BO2248">
        <v>14.55</v>
      </c>
      <c r="BP2248">
        <v>44.13</v>
      </c>
      <c r="BQ2248">
        <v>12.05</v>
      </c>
      <c r="BR2248" t="s">
        <v>120</v>
      </c>
      <c r="BS2248">
        <v>17.16</v>
      </c>
      <c r="BT2248">
        <v>10.88</v>
      </c>
      <c r="BU2248">
        <v>1.26</v>
      </c>
      <c r="BV2248">
        <v>0.1</v>
      </c>
      <c r="BW2248">
        <v>2.4900000000000002</v>
      </c>
      <c r="BX2248">
        <v>3.55</v>
      </c>
      <c r="BY2248">
        <v>1.35</v>
      </c>
      <c r="BZ2248">
        <v>2.78</v>
      </c>
      <c r="CA2248" t="s">
        <v>120</v>
      </c>
      <c r="CB2248">
        <v>7.43</v>
      </c>
      <c r="CC2248">
        <v>3.86</v>
      </c>
      <c r="CD2248">
        <v>2.5</v>
      </c>
      <c r="CE2248">
        <v>0.77</v>
      </c>
      <c r="CF2248">
        <v>0</v>
      </c>
      <c r="CG2248">
        <v>0.82</v>
      </c>
      <c r="CH2248">
        <v>0.75</v>
      </c>
      <c r="CI2248">
        <v>0.75</v>
      </c>
      <c r="CJ2248">
        <v>-2.14</v>
      </c>
      <c r="CK2248">
        <v>0.69</v>
      </c>
      <c r="CL2248">
        <v>3.26</v>
      </c>
      <c r="CM2248">
        <v>-0.19</v>
      </c>
      <c r="CN2248">
        <v>-3.25</v>
      </c>
      <c r="CO2248">
        <v>15920</v>
      </c>
      <c r="CP2248">
        <v>1585</v>
      </c>
      <c r="CQ2248" t="s">
        <v>1498</v>
      </c>
      <c r="CR2248">
        <v>63.29</v>
      </c>
      <c r="CS2248">
        <v>49.73</v>
      </c>
      <c r="CT2248">
        <v>3.7</v>
      </c>
      <c r="CU2248">
        <v>-230.36</v>
      </c>
      <c r="CV2248">
        <v>11.53</v>
      </c>
      <c r="CW2248">
        <v>0</v>
      </c>
      <c r="CX2248" t="s">
        <v>10740</v>
      </c>
      <c r="CY2248">
        <v>11.94</v>
      </c>
      <c r="CZ2248">
        <v>0</v>
      </c>
      <c r="DA2248">
        <v>7.36</v>
      </c>
      <c r="DB2248">
        <v>3.23</v>
      </c>
      <c r="DC2248">
        <v>-0.19</v>
      </c>
      <c r="DD2248">
        <v>82.84</v>
      </c>
      <c r="DE2248" t="s">
        <v>10741</v>
      </c>
      <c r="DF2248">
        <v>35.26</v>
      </c>
      <c r="DG2248">
        <v>20.05</v>
      </c>
      <c r="DH2248">
        <v>19.41</v>
      </c>
      <c r="DI2248">
        <v>0.18</v>
      </c>
      <c r="DJ2248">
        <v>1312</v>
      </c>
      <c r="DK2248">
        <v>300909</v>
      </c>
      <c r="DL2248" t="s">
        <v>120</v>
      </c>
      <c r="DM2248" t="s">
        <v>120</v>
      </c>
      <c r="DN2248" t="s">
        <v>120</v>
      </c>
    </row>
    <row r="2249" spans="1:118">
      <c r="A2249" t="str">
        <f>"300910"</f>
        <v>300910</v>
      </c>
      <c r="B2249" t="s">
        <v>10742</v>
      </c>
      <c r="C2249">
        <v>-3.63</v>
      </c>
      <c r="D2249">
        <v>0</v>
      </c>
      <c r="E2249">
        <v>-0.05</v>
      </c>
      <c r="F2249">
        <v>132</v>
      </c>
      <c r="G2249" t="s">
        <v>7298</v>
      </c>
      <c r="H2249">
        <v>10527.13</v>
      </c>
      <c r="I2249">
        <v>7.4</v>
      </c>
      <c r="J2249" t="s">
        <v>120</v>
      </c>
      <c r="K2249" t="s">
        <v>7298</v>
      </c>
      <c r="L2249">
        <v>3.49</v>
      </c>
      <c r="M2249">
        <v>79.31</v>
      </c>
      <c r="N2249">
        <v>1.82</v>
      </c>
      <c r="O2249">
        <v>2.93</v>
      </c>
      <c r="P2249">
        <v>84.71</v>
      </c>
      <c r="Q2249">
        <v>-4.96</v>
      </c>
      <c r="R2249">
        <v>78.22</v>
      </c>
      <c r="S2249">
        <v>82.26</v>
      </c>
      <c r="T2249">
        <v>13072</v>
      </c>
      <c r="U2249">
        <v>79.31</v>
      </c>
      <c r="V2249">
        <v>82.3</v>
      </c>
      <c r="W2249">
        <v>57.18</v>
      </c>
      <c r="X2249" t="s">
        <v>868</v>
      </c>
      <c r="Y2249" t="s">
        <v>645</v>
      </c>
      <c r="Z2249">
        <v>7.89</v>
      </c>
      <c r="AA2249">
        <v>80.53</v>
      </c>
      <c r="AB2249">
        <v>8984</v>
      </c>
      <c r="AC2249">
        <v>4088</v>
      </c>
      <c r="AD2249">
        <v>2.2000000000000002</v>
      </c>
      <c r="AE2249">
        <v>13</v>
      </c>
      <c r="AF2249">
        <v>151</v>
      </c>
      <c r="AG2249" t="s">
        <v>120</v>
      </c>
      <c r="AH2249">
        <v>0</v>
      </c>
      <c r="AI2249" t="s">
        <v>120</v>
      </c>
      <c r="AJ2249">
        <v>0.38</v>
      </c>
      <c r="AK2249" t="s">
        <v>10743</v>
      </c>
      <c r="AL2249">
        <v>-1.72</v>
      </c>
      <c r="AM2249">
        <v>1731</v>
      </c>
      <c r="AN2249">
        <v>8</v>
      </c>
      <c r="AO2249">
        <v>2E-3</v>
      </c>
      <c r="AP2249">
        <v>-7</v>
      </c>
      <c r="AQ2249">
        <v>-3.65</v>
      </c>
      <c r="AR2249">
        <v>-7.67</v>
      </c>
      <c r="AS2249">
        <v>-8.51</v>
      </c>
      <c r="AT2249">
        <v>-25.95</v>
      </c>
      <c r="AU2249">
        <v>26.49</v>
      </c>
      <c r="AV2249">
        <v>0</v>
      </c>
      <c r="AW2249">
        <v>3.49</v>
      </c>
      <c r="AX2249">
        <v>25</v>
      </c>
      <c r="AY2249">
        <v>57.29</v>
      </c>
      <c r="AZ2249">
        <v>67.510000000000005</v>
      </c>
      <c r="BA2249">
        <v>1.22</v>
      </c>
      <c r="BB2249" t="s">
        <v>143</v>
      </c>
      <c r="BF2249">
        <v>-2.15</v>
      </c>
      <c r="BG2249">
        <v>-3.59</v>
      </c>
      <c r="BH2249">
        <v>-6.37</v>
      </c>
      <c r="BI2249">
        <v>1.39</v>
      </c>
      <c r="BJ2249">
        <v>20210826</v>
      </c>
      <c r="BK2249">
        <v>20201127</v>
      </c>
      <c r="BL2249">
        <v>1.5</v>
      </c>
      <c r="BM2249" t="s">
        <v>120</v>
      </c>
      <c r="BN2249" t="s">
        <v>120</v>
      </c>
      <c r="BO2249">
        <v>22.62</v>
      </c>
      <c r="BP2249">
        <v>79.3</v>
      </c>
      <c r="BQ2249">
        <v>20.61</v>
      </c>
      <c r="BR2249" t="s">
        <v>120</v>
      </c>
      <c r="BS2249">
        <v>8.91</v>
      </c>
      <c r="BT2249">
        <v>18.760000000000002</v>
      </c>
      <c r="BU2249">
        <v>1.82</v>
      </c>
      <c r="BV2249">
        <v>0.71</v>
      </c>
      <c r="BW2249">
        <v>2.0099999999999998</v>
      </c>
      <c r="BX2249">
        <v>13.51</v>
      </c>
      <c r="BY2249">
        <v>1.63</v>
      </c>
      <c r="BZ2249">
        <v>1.36</v>
      </c>
      <c r="CA2249" t="s">
        <v>120</v>
      </c>
      <c r="CB2249">
        <v>15.31</v>
      </c>
      <c r="CC2249">
        <v>4.8600000000000003</v>
      </c>
      <c r="CD2249">
        <v>3.21</v>
      </c>
      <c r="CE2249">
        <v>1.2</v>
      </c>
      <c r="CF2249">
        <v>0</v>
      </c>
      <c r="CG2249">
        <v>1.19</v>
      </c>
      <c r="CH2249">
        <v>1.04</v>
      </c>
      <c r="CI2249">
        <v>1.04</v>
      </c>
      <c r="CJ2249">
        <v>-2.99</v>
      </c>
      <c r="CK2249">
        <v>1.01</v>
      </c>
      <c r="CL2249">
        <v>3.35</v>
      </c>
      <c r="CM2249">
        <v>0.09</v>
      </c>
      <c r="CN2249">
        <v>-0.78</v>
      </c>
      <c r="CO2249">
        <v>8292</v>
      </c>
      <c r="CP2249">
        <v>4522</v>
      </c>
      <c r="CQ2249" t="s">
        <v>10744</v>
      </c>
      <c r="CR2249">
        <v>45.66</v>
      </c>
      <c r="CS2249">
        <v>35.72</v>
      </c>
      <c r="CT2249">
        <v>5.77</v>
      </c>
      <c r="CU2249">
        <v>1372.94</v>
      </c>
      <c r="CV2249">
        <v>24.48</v>
      </c>
      <c r="CW2249">
        <v>0.97</v>
      </c>
      <c r="CX2249" t="s">
        <v>2797</v>
      </c>
      <c r="CY2249">
        <v>13.74</v>
      </c>
      <c r="CZ2249">
        <v>0</v>
      </c>
      <c r="DA2249">
        <v>10.210000000000001</v>
      </c>
      <c r="DB2249">
        <v>2.23</v>
      </c>
      <c r="DC2249">
        <v>0.06</v>
      </c>
      <c r="DD2249">
        <v>91.09</v>
      </c>
      <c r="DE2249" t="s">
        <v>710</v>
      </c>
      <c r="DF2249">
        <v>33.909999999999997</v>
      </c>
      <c r="DG2249">
        <v>24.64</v>
      </c>
      <c r="DH2249">
        <v>21.41</v>
      </c>
      <c r="DI2249">
        <v>0.18</v>
      </c>
      <c r="DJ2249">
        <v>633</v>
      </c>
      <c r="DK2249">
        <v>300910</v>
      </c>
      <c r="DL2249" t="s">
        <v>120</v>
      </c>
      <c r="DM2249" t="s">
        <v>120</v>
      </c>
      <c r="DN2249" t="s">
        <v>120</v>
      </c>
    </row>
    <row r="2250" spans="1:118">
      <c r="A2250" t="str">
        <f>"300911"</f>
        <v>300911</v>
      </c>
      <c r="B2250" t="s">
        <v>10745</v>
      </c>
      <c r="C2250">
        <v>-6.29</v>
      </c>
      <c r="D2250">
        <v>-0.24</v>
      </c>
      <c r="E2250">
        <v>-2.36</v>
      </c>
      <c r="F2250">
        <v>124</v>
      </c>
      <c r="G2250" t="s">
        <v>10746</v>
      </c>
      <c r="H2250">
        <v>6211.33</v>
      </c>
      <c r="I2250">
        <v>130.22</v>
      </c>
      <c r="J2250" t="s">
        <v>120</v>
      </c>
      <c r="K2250" t="s">
        <v>10746</v>
      </c>
      <c r="L2250">
        <v>3.74</v>
      </c>
      <c r="M2250">
        <v>60.35</v>
      </c>
      <c r="N2250">
        <v>0.76</v>
      </c>
      <c r="O2250">
        <v>1.07</v>
      </c>
      <c r="P2250">
        <v>65.09</v>
      </c>
      <c r="Q2250">
        <v>-6.83</v>
      </c>
      <c r="R2250">
        <v>60</v>
      </c>
      <c r="S2250">
        <v>62.88</v>
      </c>
      <c r="T2250">
        <v>9967</v>
      </c>
      <c r="U2250">
        <v>60.36</v>
      </c>
      <c r="V2250">
        <v>64.400000000000006</v>
      </c>
      <c r="W2250">
        <v>35.14</v>
      </c>
      <c r="X2250" t="s">
        <v>205</v>
      </c>
      <c r="Y2250" t="s">
        <v>585</v>
      </c>
      <c r="Z2250">
        <v>7.9</v>
      </c>
      <c r="AA2250">
        <v>62.32</v>
      </c>
      <c r="AB2250">
        <v>5392</v>
      </c>
      <c r="AC2250">
        <v>4575</v>
      </c>
      <c r="AD2250">
        <v>1.18</v>
      </c>
      <c r="AE2250">
        <v>27</v>
      </c>
      <c r="AF2250">
        <v>3</v>
      </c>
      <c r="AG2250" t="s">
        <v>120</v>
      </c>
      <c r="AH2250">
        <v>0.08</v>
      </c>
      <c r="AI2250" t="s">
        <v>120</v>
      </c>
      <c r="AJ2250">
        <v>0.27</v>
      </c>
      <c r="AK2250" t="s">
        <v>10747</v>
      </c>
      <c r="AL2250">
        <v>-4.38</v>
      </c>
      <c r="AM2250">
        <v>1421</v>
      </c>
      <c r="AN2250">
        <v>7</v>
      </c>
      <c r="AO2250">
        <v>2.5999999999999999E-3</v>
      </c>
      <c r="AP2250">
        <v>-2</v>
      </c>
      <c r="AQ2250">
        <v>-1.63</v>
      </c>
      <c r="AR2250">
        <v>-4.3899999999999997</v>
      </c>
      <c r="AS2250">
        <v>9.9700000000000006</v>
      </c>
      <c r="AT2250">
        <v>-13.19</v>
      </c>
      <c r="AU2250">
        <v>46.3</v>
      </c>
      <c r="AV2250">
        <v>0</v>
      </c>
      <c r="AW2250">
        <v>3.74</v>
      </c>
      <c r="AX2250">
        <v>25</v>
      </c>
      <c r="AY2250">
        <v>38.11</v>
      </c>
      <c r="AZ2250">
        <v>47.78</v>
      </c>
      <c r="BA2250">
        <v>1.05</v>
      </c>
      <c r="BB2250" t="s">
        <v>143</v>
      </c>
      <c r="BF2250">
        <v>-3.23</v>
      </c>
      <c r="BG2250">
        <v>-4.0199999999999996</v>
      </c>
      <c r="BH2250">
        <v>-7.28</v>
      </c>
      <c r="BI2250">
        <v>0.57999999999999996</v>
      </c>
      <c r="BJ2250">
        <v>20210913</v>
      </c>
      <c r="BK2250">
        <v>20201203</v>
      </c>
      <c r="BL2250">
        <v>1.07</v>
      </c>
      <c r="BM2250" t="s">
        <v>120</v>
      </c>
      <c r="BN2250" t="s">
        <v>120</v>
      </c>
      <c r="BO2250">
        <v>15.04</v>
      </c>
      <c r="BP2250">
        <v>60.35</v>
      </c>
      <c r="BQ2250">
        <v>10.64</v>
      </c>
      <c r="BR2250" t="s">
        <v>120</v>
      </c>
      <c r="BS2250">
        <v>29.25</v>
      </c>
      <c r="BT2250">
        <v>12.44</v>
      </c>
      <c r="BU2250">
        <v>1.57</v>
      </c>
      <c r="BV2250">
        <v>0.67</v>
      </c>
      <c r="BW2250">
        <v>4.01</v>
      </c>
      <c r="BX2250">
        <v>2.66</v>
      </c>
      <c r="BY2250">
        <v>0.89</v>
      </c>
      <c r="BZ2250">
        <v>0.35</v>
      </c>
      <c r="CA2250" t="s">
        <v>120</v>
      </c>
      <c r="CB2250">
        <v>6.47</v>
      </c>
      <c r="CC2250">
        <v>5.01</v>
      </c>
      <c r="CD2250">
        <v>2.7</v>
      </c>
      <c r="CE2250">
        <v>1.01</v>
      </c>
      <c r="CF2250">
        <v>0</v>
      </c>
      <c r="CG2250">
        <v>1.05</v>
      </c>
      <c r="CH2250">
        <v>0.92</v>
      </c>
      <c r="CI2250">
        <v>0.92</v>
      </c>
      <c r="CJ2250">
        <v>-4.05</v>
      </c>
      <c r="CK2250">
        <v>0.84</v>
      </c>
      <c r="CL2250">
        <v>2.65</v>
      </c>
      <c r="CM2250">
        <v>1.08</v>
      </c>
      <c r="CN2250">
        <v>-5.53</v>
      </c>
      <c r="CO2250">
        <v>6860</v>
      </c>
      <c r="CP2250">
        <v>3887</v>
      </c>
      <c r="CQ2250" t="s">
        <v>10748</v>
      </c>
      <c r="CR2250">
        <v>66.239999999999995</v>
      </c>
      <c r="CS2250">
        <v>92.12</v>
      </c>
      <c r="CT2250">
        <v>6.05</v>
      </c>
      <c r="CU2250">
        <v>59.81</v>
      </c>
      <c r="CV2250">
        <v>12.85</v>
      </c>
      <c r="CW2250">
        <v>0.78</v>
      </c>
      <c r="CX2250" t="s">
        <v>10202</v>
      </c>
      <c r="CY2250">
        <v>9.98</v>
      </c>
      <c r="CZ2250">
        <v>0</v>
      </c>
      <c r="DA2250">
        <v>6.07</v>
      </c>
      <c r="DB2250">
        <v>2.48</v>
      </c>
      <c r="DC2250">
        <v>1.01</v>
      </c>
      <c r="DD2250">
        <v>70.75</v>
      </c>
      <c r="DE2250" t="s">
        <v>6381</v>
      </c>
      <c r="DF2250">
        <v>46.05</v>
      </c>
      <c r="DG2250">
        <v>20.18</v>
      </c>
      <c r="DH2250">
        <v>18.29</v>
      </c>
      <c r="DI2250">
        <v>0.17</v>
      </c>
      <c r="DJ2250">
        <v>1154</v>
      </c>
      <c r="DK2250">
        <v>300911</v>
      </c>
      <c r="DL2250" t="s">
        <v>120</v>
      </c>
      <c r="DM2250" t="s">
        <v>120</v>
      </c>
      <c r="DN2250" t="s">
        <v>120</v>
      </c>
    </row>
    <row r="2251" spans="1:118">
      <c r="A2251" t="str">
        <f>"300912"</f>
        <v>300912</v>
      </c>
      <c r="B2251" t="s">
        <v>10749</v>
      </c>
      <c r="C2251">
        <v>-2.17</v>
      </c>
      <c r="D2251">
        <v>-0.1</v>
      </c>
      <c r="E2251">
        <v>0</v>
      </c>
      <c r="F2251">
        <v>90</v>
      </c>
      <c r="G2251" t="s">
        <v>10750</v>
      </c>
      <c r="H2251">
        <v>1731.2</v>
      </c>
      <c r="I2251">
        <v>1.66</v>
      </c>
      <c r="J2251" t="s">
        <v>120</v>
      </c>
      <c r="K2251" t="s">
        <v>10750</v>
      </c>
      <c r="L2251">
        <v>2.2599999999999998</v>
      </c>
      <c r="M2251">
        <v>27.08</v>
      </c>
      <c r="N2251">
        <v>0.73</v>
      </c>
      <c r="O2251">
        <v>0.87</v>
      </c>
      <c r="P2251">
        <v>27.92</v>
      </c>
      <c r="Q2251">
        <v>-2.2799999999999998</v>
      </c>
      <c r="R2251">
        <v>27.05</v>
      </c>
      <c r="S2251">
        <v>27.68</v>
      </c>
      <c r="T2251">
        <v>6322</v>
      </c>
      <c r="U2251">
        <v>27.1</v>
      </c>
      <c r="V2251">
        <v>27.68</v>
      </c>
      <c r="W2251">
        <v>596.14</v>
      </c>
      <c r="X2251" t="s">
        <v>318</v>
      </c>
      <c r="Y2251" t="s">
        <v>319</v>
      </c>
      <c r="Z2251">
        <v>3.14</v>
      </c>
      <c r="AA2251">
        <v>27.38</v>
      </c>
      <c r="AB2251">
        <v>3977</v>
      </c>
      <c r="AC2251">
        <v>2345</v>
      </c>
      <c r="AD2251">
        <v>1.7</v>
      </c>
      <c r="AE2251">
        <v>12</v>
      </c>
      <c r="AF2251">
        <v>5</v>
      </c>
      <c r="AG2251" t="s">
        <v>120</v>
      </c>
      <c r="AH2251">
        <v>0</v>
      </c>
      <c r="AI2251" t="s">
        <v>120</v>
      </c>
      <c r="AJ2251">
        <v>0.28000000000000003</v>
      </c>
      <c r="AK2251" t="s">
        <v>10751</v>
      </c>
      <c r="AL2251">
        <v>-0.25</v>
      </c>
      <c r="AM2251">
        <v>585</v>
      </c>
      <c r="AN2251">
        <v>11</v>
      </c>
      <c r="AO2251">
        <v>3.8999999999999998E-3</v>
      </c>
      <c r="AP2251">
        <v>-3</v>
      </c>
      <c r="AQ2251">
        <v>-0.97</v>
      </c>
      <c r="AR2251">
        <v>-6.3</v>
      </c>
      <c r="AS2251">
        <v>-12.36</v>
      </c>
      <c r="AT2251">
        <v>-31.36</v>
      </c>
      <c r="AU2251">
        <v>-28.49</v>
      </c>
      <c r="AV2251">
        <v>1</v>
      </c>
      <c r="AW2251">
        <v>2.2599999999999998</v>
      </c>
      <c r="AX2251">
        <v>25.01</v>
      </c>
      <c r="AY2251">
        <v>56.92</v>
      </c>
      <c r="AZ2251">
        <v>31.14</v>
      </c>
      <c r="BA2251">
        <v>0.94</v>
      </c>
      <c r="BB2251" t="s">
        <v>125</v>
      </c>
      <c r="BF2251">
        <v>-1.07</v>
      </c>
      <c r="BG2251">
        <v>-2.17</v>
      </c>
      <c r="BH2251">
        <v>-3.01</v>
      </c>
      <c r="BI2251">
        <v>0.11</v>
      </c>
      <c r="BJ2251">
        <v>20210820</v>
      </c>
      <c r="BK2251">
        <v>20201207</v>
      </c>
      <c r="BL2251">
        <v>1.1200000000000001</v>
      </c>
      <c r="BM2251" t="s">
        <v>120</v>
      </c>
      <c r="BN2251" t="s">
        <v>120</v>
      </c>
      <c r="BO2251">
        <v>18.27</v>
      </c>
      <c r="BP2251">
        <v>27.08</v>
      </c>
      <c r="BQ2251">
        <v>11.96</v>
      </c>
      <c r="BR2251">
        <v>0.08</v>
      </c>
      <c r="BS2251">
        <v>34.08</v>
      </c>
      <c r="BT2251">
        <v>11.99</v>
      </c>
      <c r="BU2251">
        <v>4.07</v>
      </c>
      <c r="BV2251">
        <v>0.57999999999999996</v>
      </c>
      <c r="BW2251">
        <v>5.64</v>
      </c>
      <c r="BX2251">
        <v>1.28</v>
      </c>
      <c r="BY2251">
        <v>2.77</v>
      </c>
      <c r="BZ2251">
        <v>4.9800000000000004</v>
      </c>
      <c r="CA2251" t="s">
        <v>120</v>
      </c>
      <c r="CB2251">
        <v>7.27</v>
      </c>
      <c r="CC2251">
        <v>5.34</v>
      </c>
      <c r="CD2251">
        <v>4.08</v>
      </c>
      <c r="CE2251">
        <v>0.05</v>
      </c>
      <c r="CF2251">
        <v>0.01</v>
      </c>
      <c r="CG2251">
        <v>0.04</v>
      </c>
      <c r="CH2251">
        <v>0.03</v>
      </c>
      <c r="CI2251">
        <v>0.03</v>
      </c>
      <c r="CJ2251">
        <v>-0.6</v>
      </c>
      <c r="CK2251">
        <v>-0.04</v>
      </c>
      <c r="CL2251">
        <v>3.31</v>
      </c>
      <c r="CM2251">
        <v>-0.55000000000000004</v>
      </c>
      <c r="CN2251">
        <v>-3.88</v>
      </c>
      <c r="CO2251">
        <v>10306</v>
      </c>
      <c r="CP2251">
        <v>2717</v>
      </c>
      <c r="CQ2251" t="s">
        <v>3812</v>
      </c>
      <c r="CR2251">
        <v>-94.66</v>
      </c>
      <c r="CS2251">
        <v>-4.26</v>
      </c>
      <c r="CT2251">
        <v>2.54</v>
      </c>
      <c r="CU2251">
        <v>-55.09</v>
      </c>
      <c r="CV2251">
        <v>5.68</v>
      </c>
      <c r="CW2251">
        <v>0.64</v>
      </c>
      <c r="CX2251" t="s">
        <v>499</v>
      </c>
      <c r="CY2251">
        <v>10.68</v>
      </c>
      <c r="CZ2251">
        <v>0</v>
      </c>
      <c r="DA2251">
        <v>6.49</v>
      </c>
      <c r="DB2251">
        <v>2.95</v>
      </c>
      <c r="DC2251">
        <v>-0.49</v>
      </c>
      <c r="DD2251">
        <v>65.47</v>
      </c>
      <c r="DE2251" t="s">
        <v>10752</v>
      </c>
      <c r="DF2251">
        <v>23.59</v>
      </c>
      <c r="DG2251">
        <v>0.88</v>
      </c>
      <c r="DH2251">
        <v>0.48</v>
      </c>
      <c r="DI2251">
        <v>0.56000000000000005</v>
      </c>
      <c r="DJ2251">
        <v>1435</v>
      </c>
      <c r="DK2251">
        <v>300912</v>
      </c>
      <c r="DL2251" t="s">
        <v>120</v>
      </c>
      <c r="DM2251" t="s">
        <v>120</v>
      </c>
      <c r="DN2251" t="s">
        <v>120</v>
      </c>
    </row>
    <row r="2252" spans="1:118">
      <c r="A2252" t="str">
        <f>"300913"</f>
        <v>300913</v>
      </c>
      <c r="B2252" t="s">
        <v>10753</v>
      </c>
      <c r="C2252">
        <v>-3.09</v>
      </c>
      <c r="D2252">
        <v>-7.0000000000000007E-2</v>
      </c>
      <c r="E2252">
        <v>0</v>
      </c>
      <c r="F2252">
        <v>226</v>
      </c>
      <c r="G2252" t="s">
        <v>10478</v>
      </c>
      <c r="H2252">
        <v>3247.55</v>
      </c>
      <c r="I2252">
        <v>0</v>
      </c>
      <c r="J2252" t="s">
        <v>120</v>
      </c>
      <c r="K2252" t="s">
        <v>10478</v>
      </c>
      <c r="L2252">
        <v>4.16</v>
      </c>
      <c r="M2252">
        <v>25.08</v>
      </c>
      <c r="N2252">
        <v>0.64</v>
      </c>
      <c r="O2252">
        <v>0.15</v>
      </c>
      <c r="P2252">
        <v>25.92</v>
      </c>
      <c r="Q2252">
        <v>-3.36</v>
      </c>
      <c r="R2252">
        <v>25.01</v>
      </c>
      <c r="S2252">
        <v>25.88</v>
      </c>
      <c r="T2252">
        <v>12748</v>
      </c>
      <c r="U2252">
        <v>25.08</v>
      </c>
      <c r="V2252">
        <v>25.88</v>
      </c>
      <c r="W2252">
        <v>37.93</v>
      </c>
      <c r="X2252" t="s">
        <v>394</v>
      </c>
      <c r="Y2252" t="s">
        <v>585</v>
      </c>
      <c r="Z2252">
        <v>3.52</v>
      </c>
      <c r="AA2252">
        <v>25.47</v>
      </c>
      <c r="AB2252">
        <v>8099</v>
      </c>
      <c r="AC2252">
        <v>4649</v>
      </c>
      <c r="AD2252">
        <v>1.74</v>
      </c>
      <c r="AE2252">
        <v>16</v>
      </c>
      <c r="AF2252">
        <v>69</v>
      </c>
      <c r="AG2252" t="s">
        <v>120</v>
      </c>
      <c r="AH2252">
        <v>0</v>
      </c>
      <c r="AI2252" t="s">
        <v>120</v>
      </c>
      <c r="AJ2252">
        <v>0.31</v>
      </c>
      <c r="AK2252" t="s">
        <v>10034</v>
      </c>
      <c r="AL2252">
        <v>-1.18</v>
      </c>
      <c r="AM2252">
        <v>1095</v>
      </c>
      <c r="AN2252">
        <v>12</v>
      </c>
      <c r="AO2252">
        <v>3.8E-3</v>
      </c>
      <c r="AP2252">
        <v>-1</v>
      </c>
      <c r="AQ2252">
        <v>2.25</v>
      </c>
      <c r="AR2252">
        <v>-2.19</v>
      </c>
      <c r="AS2252">
        <v>-3.61</v>
      </c>
      <c r="AT2252">
        <v>-6.56</v>
      </c>
      <c r="AU2252">
        <v>-19.72</v>
      </c>
      <c r="AV2252">
        <v>1</v>
      </c>
      <c r="AW2252">
        <v>4.16</v>
      </c>
      <c r="AX2252">
        <v>25</v>
      </c>
      <c r="AY2252">
        <v>38.28</v>
      </c>
      <c r="AZ2252">
        <v>43.43</v>
      </c>
      <c r="BA2252">
        <v>0.79</v>
      </c>
      <c r="BB2252" t="s">
        <v>143</v>
      </c>
      <c r="BF2252">
        <v>-1.57</v>
      </c>
      <c r="BG2252">
        <v>-3.09</v>
      </c>
      <c r="BH2252">
        <v>-3.24</v>
      </c>
      <c r="BI2252">
        <v>0.28000000000000003</v>
      </c>
      <c r="BJ2252">
        <v>20210827</v>
      </c>
      <c r="BK2252">
        <v>20201207</v>
      </c>
      <c r="BL2252">
        <v>1.23</v>
      </c>
      <c r="BM2252" t="s">
        <v>120</v>
      </c>
      <c r="BN2252" t="s">
        <v>120</v>
      </c>
      <c r="BO2252">
        <v>10.27</v>
      </c>
      <c r="BP2252">
        <v>25.07</v>
      </c>
      <c r="BQ2252">
        <v>8.2100000000000009</v>
      </c>
      <c r="BR2252" t="s">
        <v>120</v>
      </c>
      <c r="BS2252">
        <v>20.03</v>
      </c>
      <c r="BT2252">
        <v>7.49</v>
      </c>
      <c r="BU2252">
        <v>1.19</v>
      </c>
      <c r="BV2252">
        <v>0.34</v>
      </c>
      <c r="BW2252">
        <v>2.0299999999999998</v>
      </c>
      <c r="BX2252">
        <v>1.31</v>
      </c>
      <c r="BY2252">
        <v>2.34</v>
      </c>
      <c r="BZ2252">
        <v>2.5099999999999998</v>
      </c>
      <c r="CA2252" t="s">
        <v>120</v>
      </c>
      <c r="CB2252">
        <v>4.3099999999999996</v>
      </c>
      <c r="CC2252">
        <v>6.77</v>
      </c>
      <c r="CD2252">
        <v>5.86</v>
      </c>
      <c r="CE2252">
        <v>0.43</v>
      </c>
      <c r="CF2252">
        <v>0</v>
      </c>
      <c r="CG2252">
        <v>0.43</v>
      </c>
      <c r="CH2252">
        <v>0.41</v>
      </c>
      <c r="CI2252">
        <v>0.41</v>
      </c>
      <c r="CJ2252">
        <v>-0.8</v>
      </c>
      <c r="CK2252">
        <v>0.33</v>
      </c>
      <c r="CL2252">
        <v>2.46</v>
      </c>
      <c r="CM2252">
        <v>-0.14000000000000001</v>
      </c>
      <c r="CN2252">
        <v>-2.19</v>
      </c>
      <c r="CO2252">
        <v>15825</v>
      </c>
      <c r="CP2252">
        <v>1935</v>
      </c>
      <c r="CQ2252" t="s">
        <v>1300</v>
      </c>
      <c r="CR2252">
        <v>32.07</v>
      </c>
      <c r="CS2252">
        <v>38.840000000000003</v>
      </c>
      <c r="CT2252">
        <v>3.74</v>
      </c>
      <c r="CU2252">
        <v>-212.76</v>
      </c>
      <c r="CV2252">
        <v>4.54</v>
      </c>
      <c r="CW2252">
        <v>0.46</v>
      </c>
      <c r="CX2252" t="s">
        <v>7054</v>
      </c>
      <c r="CY2252">
        <v>6.71</v>
      </c>
      <c r="CZ2252">
        <v>0</v>
      </c>
      <c r="DA2252">
        <v>3.51</v>
      </c>
      <c r="DB2252">
        <v>2.0099999999999998</v>
      </c>
      <c r="DC2252">
        <v>-0.12</v>
      </c>
      <c r="DD2252">
        <v>79.97</v>
      </c>
      <c r="DE2252" t="s">
        <v>9343</v>
      </c>
      <c r="DF2252">
        <v>13.47</v>
      </c>
      <c r="DG2252">
        <v>6.33</v>
      </c>
      <c r="DH2252">
        <v>5.98</v>
      </c>
      <c r="DI2252">
        <v>0.26</v>
      </c>
      <c r="DJ2252">
        <v>1085</v>
      </c>
      <c r="DK2252">
        <v>300913</v>
      </c>
      <c r="DL2252" t="s">
        <v>120</v>
      </c>
      <c r="DM2252" t="s">
        <v>120</v>
      </c>
      <c r="DN2252" t="s">
        <v>120</v>
      </c>
    </row>
    <row r="2253" spans="1:118">
      <c r="A2253" t="str">
        <f>"300915"</f>
        <v>300915</v>
      </c>
      <c r="B2253" t="s">
        <v>10754</v>
      </c>
      <c r="C2253">
        <v>0.94</v>
      </c>
      <c r="D2253">
        <v>-0.15</v>
      </c>
      <c r="E2253">
        <v>-0.06</v>
      </c>
      <c r="F2253">
        <v>65</v>
      </c>
      <c r="G2253" t="s">
        <v>6682</v>
      </c>
      <c r="H2253">
        <v>2863.3</v>
      </c>
      <c r="I2253">
        <v>3.19</v>
      </c>
      <c r="J2253" t="s">
        <v>120</v>
      </c>
      <c r="K2253" t="s">
        <v>6682</v>
      </c>
      <c r="L2253">
        <v>2.56</v>
      </c>
      <c r="M2253">
        <v>49.51</v>
      </c>
      <c r="N2253">
        <v>1.1399999999999999</v>
      </c>
      <c r="O2253">
        <v>3.57</v>
      </c>
      <c r="P2253">
        <v>50.8</v>
      </c>
      <c r="Q2253">
        <v>-0.49</v>
      </c>
      <c r="R2253">
        <v>48.81</v>
      </c>
      <c r="S2253">
        <v>49.02</v>
      </c>
      <c r="T2253">
        <v>5755</v>
      </c>
      <c r="U2253">
        <v>49.52</v>
      </c>
      <c r="V2253">
        <v>49.05</v>
      </c>
      <c r="W2253">
        <v>43.06</v>
      </c>
      <c r="X2253" t="s">
        <v>847</v>
      </c>
      <c r="Y2253" t="s">
        <v>1510</v>
      </c>
      <c r="Z2253">
        <v>4.0599999999999996</v>
      </c>
      <c r="AA2253">
        <v>49.76</v>
      </c>
      <c r="AB2253">
        <v>2591</v>
      </c>
      <c r="AC2253">
        <v>3164</v>
      </c>
      <c r="AD2253">
        <v>0.82</v>
      </c>
      <c r="AE2253">
        <v>33</v>
      </c>
      <c r="AF2253">
        <v>9</v>
      </c>
      <c r="AG2253" t="s">
        <v>120</v>
      </c>
      <c r="AH2253">
        <v>0</v>
      </c>
      <c r="AI2253" t="s">
        <v>120</v>
      </c>
      <c r="AJ2253">
        <v>0.23</v>
      </c>
      <c r="AK2253" t="s">
        <v>10081</v>
      </c>
      <c r="AL2253">
        <v>2.85</v>
      </c>
      <c r="AM2253">
        <v>867</v>
      </c>
      <c r="AN2253">
        <v>7</v>
      </c>
      <c r="AO2253">
        <v>2.8999999999999998E-3</v>
      </c>
      <c r="AP2253">
        <v>1</v>
      </c>
      <c r="AQ2253">
        <v>-1.19</v>
      </c>
      <c r="AR2253">
        <v>-1.49</v>
      </c>
      <c r="AS2253">
        <v>-4.5999999999999996</v>
      </c>
      <c r="AT2253">
        <v>-17.48</v>
      </c>
      <c r="AU2253">
        <v>-7.03</v>
      </c>
      <c r="AV2253">
        <v>0</v>
      </c>
      <c r="AW2253">
        <v>2.56</v>
      </c>
      <c r="AX2253">
        <v>25</v>
      </c>
      <c r="AY2253">
        <v>39.83</v>
      </c>
      <c r="AZ2253">
        <v>50.84</v>
      </c>
      <c r="BA2253">
        <v>0.5</v>
      </c>
      <c r="BB2253" t="s">
        <v>240</v>
      </c>
      <c r="BF2253">
        <v>1.44</v>
      </c>
      <c r="BG2253">
        <v>1</v>
      </c>
      <c r="BH2253">
        <v>-2.54</v>
      </c>
      <c r="BI2253">
        <v>1.43</v>
      </c>
      <c r="BJ2253">
        <v>20210913</v>
      </c>
      <c r="BK2253">
        <v>20201202</v>
      </c>
      <c r="BL2253">
        <v>0.9</v>
      </c>
      <c r="BM2253" t="s">
        <v>120</v>
      </c>
      <c r="BN2253" t="s">
        <v>120</v>
      </c>
      <c r="BO2253">
        <v>14.65</v>
      </c>
      <c r="BP2253">
        <v>49.51</v>
      </c>
      <c r="BQ2253">
        <v>13.39</v>
      </c>
      <c r="BR2253" t="s">
        <v>120</v>
      </c>
      <c r="BS2253">
        <v>8.65</v>
      </c>
      <c r="BT2253">
        <v>13.01</v>
      </c>
      <c r="BU2253">
        <v>1.06</v>
      </c>
      <c r="BV2253">
        <v>0.26</v>
      </c>
      <c r="BW2253">
        <v>1.21</v>
      </c>
      <c r="BX2253">
        <v>1.78</v>
      </c>
      <c r="BY2253">
        <v>0.83</v>
      </c>
      <c r="BZ2253">
        <v>0.27</v>
      </c>
      <c r="CA2253" t="s">
        <v>120</v>
      </c>
      <c r="CB2253">
        <v>9.67</v>
      </c>
      <c r="CC2253">
        <v>3.5</v>
      </c>
      <c r="CD2253">
        <v>1.85</v>
      </c>
      <c r="CE2253">
        <v>0.61</v>
      </c>
      <c r="CF2253">
        <v>0.09</v>
      </c>
      <c r="CG2253">
        <v>0.61</v>
      </c>
      <c r="CH2253">
        <v>0.52</v>
      </c>
      <c r="CI2253">
        <v>0.52</v>
      </c>
      <c r="CJ2253">
        <v>0.46</v>
      </c>
      <c r="CK2253">
        <v>0.51</v>
      </c>
      <c r="CL2253">
        <v>2.48</v>
      </c>
      <c r="CM2253">
        <v>-0.38</v>
      </c>
      <c r="CN2253">
        <v>-10.68</v>
      </c>
      <c r="CO2253">
        <v>11339</v>
      </c>
      <c r="CP2253">
        <v>1984</v>
      </c>
      <c r="CQ2253" t="s">
        <v>10755</v>
      </c>
      <c r="CR2253">
        <v>86.51</v>
      </c>
      <c r="CS2253">
        <v>53.52</v>
      </c>
      <c r="CT2253">
        <v>3.33</v>
      </c>
      <c r="CU2253">
        <v>-118.71</v>
      </c>
      <c r="CV2253">
        <v>12.73</v>
      </c>
      <c r="CW2253">
        <v>0.82</v>
      </c>
      <c r="CX2253" t="s">
        <v>1881</v>
      </c>
      <c r="CY2253">
        <v>14.87</v>
      </c>
      <c r="CZ2253">
        <v>0</v>
      </c>
      <c r="DA2253">
        <v>10.75</v>
      </c>
      <c r="DB2253">
        <v>2.76</v>
      </c>
      <c r="DC2253">
        <v>-0.42</v>
      </c>
      <c r="DD2253">
        <v>91.35</v>
      </c>
      <c r="DE2253" t="s">
        <v>5809</v>
      </c>
      <c r="DF2253">
        <v>47.21</v>
      </c>
      <c r="DG2253">
        <v>17.420000000000002</v>
      </c>
      <c r="DH2253">
        <v>14.79</v>
      </c>
      <c r="DI2253">
        <v>0.16</v>
      </c>
      <c r="DJ2253">
        <v>766</v>
      </c>
      <c r="DK2253">
        <v>300915</v>
      </c>
      <c r="DL2253" t="s">
        <v>120</v>
      </c>
      <c r="DM2253" t="s">
        <v>120</v>
      </c>
      <c r="DN2253" t="s">
        <v>120</v>
      </c>
    </row>
    <row r="2254" spans="1:118">
      <c r="A2254" t="str">
        <f>"300916"</f>
        <v>300916</v>
      </c>
      <c r="B2254" t="s">
        <v>10756</v>
      </c>
      <c r="C2254">
        <v>0.02</v>
      </c>
      <c r="D2254">
        <v>0.05</v>
      </c>
      <c r="E2254">
        <v>-0.53</v>
      </c>
      <c r="F2254">
        <v>60</v>
      </c>
      <c r="G2254" t="s">
        <v>10757</v>
      </c>
      <c r="H2254">
        <v>4030.38</v>
      </c>
      <c r="I2254">
        <v>17.86</v>
      </c>
      <c r="J2254" t="s">
        <v>120</v>
      </c>
      <c r="K2254" t="s">
        <v>10757</v>
      </c>
      <c r="L2254">
        <v>4.07</v>
      </c>
      <c r="M2254">
        <v>61.94</v>
      </c>
      <c r="N2254">
        <v>0.66</v>
      </c>
      <c r="O2254">
        <v>1.05</v>
      </c>
      <c r="P2254">
        <v>62.58</v>
      </c>
      <c r="Q2254">
        <v>-0.81</v>
      </c>
      <c r="R2254">
        <v>61.43</v>
      </c>
      <c r="S2254">
        <v>61.6</v>
      </c>
      <c r="T2254">
        <v>6507</v>
      </c>
      <c r="U2254">
        <v>61.94</v>
      </c>
      <c r="V2254">
        <v>61.93</v>
      </c>
      <c r="W2254">
        <v>30.84</v>
      </c>
      <c r="X2254" t="s">
        <v>229</v>
      </c>
      <c r="Y2254" t="s">
        <v>123</v>
      </c>
      <c r="Z2254">
        <v>1.86</v>
      </c>
      <c r="AA2254">
        <v>61.94</v>
      </c>
      <c r="AB2254">
        <v>3818</v>
      </c>
      <c r="AC2254">
        <v>2689</v>
      </c>
      <c r="AD2254">
        <v>1.42</v>
      </c>
      <c r="AE2254">
        <v>2</v>
      </c>
      <c r="AF2254">
        <v>18</v>
      </c>
      <c r="AG2254" t="s">
        <v>120</v>
      </c>
      <c r="AH2254">
        <v>0.02</v>
      </c>
      <c r="AI2254" t="s">
        <v>120</v>
      </c>
      <c r="AJ2254">
        <v>0.16</v>
      </c>
      <c r="AK2254" t="s">
        <v>4424</v>
      </c>
      <c r="AL2254">
        <v>1.93</v>
      </c>
      <c r="AM2254">
        <v>1028</v>
      </c>
      <c r="AN2254">
        <v>6</v>
      </c>
      <c r="AO2254">
        <v>4.0000000000000001E-3</v>
      </c>
      <c r="AP2254">
        <v>1</v>
      </c>
      <c r="AQ2254">
        <v>-1.7</v>
      </c>
      <c r="AR2254">
        <v>-5</v>
      </c>
      <c r="AS2254">
        <v>5.5</v>
      </c>
      <c r="AT2254">
        <v>-13.13</v>
      </c>
      <c r="AU2254">
        <v>-11.52</v>
      </c>
      <c r="AV2254">
        <v>1</v>
      </c>
      <c r="AW2254">
        <v>4.07</v>
      </c>
      <c r="AX2254">
        <v>25.01</v>
      </c>
      <c r="AY2254">
        <v>32.450000000000003</v>
      </c>
      <c r="AZ2254">
        <v>44.31</v>
      </c>
      <c r="BA2254">
        <v>0.79</v>
      </c>
      <c r="BB2254" t="s">
        <v>240</v>
      </c>
      <c r="BF2254">
        <v>0.02</v>
      </c>
      <c r="BG2254">
        <v>0.55000000000000004</v>
      </c>
      <c r="BH2254">
        <v>-1.02</v>
      </c>
      <c r="BI2254">
        <v>0.83</v>
      </c>
      <c r="BJ2254">
        <v>20210907</v>
      </c>
      <c r="BK2254">
        <v>20201202</v>
      </c>
      <c r="BL2254">
        <v>0.64</v>
      </c>
      <c r="BM2254" t="s">
        <v>120</v>
      </c>
      <c r="BN2254" t="s">
        <v>120</v>
      </c>
      <c r="BO2254">
        <v>11.66</v>
      </c>
      <c r="BP2254">
        <v>61.93</v>
      </c>
      <c r="BQ2254">
        <v>8.84</v>
      </c>
      <c r="BR2254" t="s">
        <v>120</v>
      </c>
      <c r="BS2254">
        <v>24.16</v>
      </c>
      <c r="BT2254">
        <v>10.56</v>
      </c>
      <c r="BU2254">
        <v>0.83</v>
      </c>
      <c r="BV2254">
        <v>0.02</v>
      </c>
      <c r="BW2254">
        <v>2.57</v>
      </c>
      <c r="BX2254">
        <v>1.43</v>
      </c>
      <c r="BY2254">
        <v>1.47</v>
      </c>
      <c r="BZ2254">
        <v>2.37</v>
      </c>
      <c r="CA2254" t="s">
        <v>120</v>
      </c>
      <c r="CB2254">
        <v>5.86</v>
      </c>
      <c r="CC2254">
        <v>4.2</v>
      </c>
      <c r="CD2254">
        <v>3.26</v>
      </c>
      <c r="CE2254">
        <v>0.72</v>
      </c>
      <c r="CF2254">
        <v>0.05</v>
      </c>
      <c r="CG2254">
        <v>0.72</v>
      </c>
      <c r="CH2254">
        <v>0.64</v>
      </c>
      <c r="CI2254">
        <v>0.64</v>
      </c>
      <c r="CJ2254">
        <v>0.01</v>
      </c>
      <c r="CK2254">
        <v>0.51</v>
      </c>
      <c r="CL2254">
        <v>2.15</v>
      </c>
      <c r="CM2254">
        <v>0</v>
      </c>
      <c r="CN2254">
        <v>-4.57</v>
      </c>
      <c r="CO2254">
        <v>11000</v>
      </c>
      <c r="CP2254">
        <v>1452</v>
      </c>
      <c r="CQ2254" t="s">
        <v>6474</v>
      </c>
      <c r="CR2254">
        <v>103.65</v>
      </c>
      <c r="CS2254">
        <v>61.07</v>
      </c>
      <c r="CT2254">
        <v>4.47</v>
      </c>
      <c r="CU2254">
        <v>94193.05</v>
      </c>
      <c r="CV2254">
        <v>9.42</v>
      </c>
      <c r="CW2254">
        <v>0.32</v>
      </c>
      <c r="CX2254" t="s">
        <v>10628</v>
      </c>
      <c r="CY2254">
        <v>13.85</v>
      </c>
      <c r="CZ2254">
        <v>0</v>
      </c>
      <c r="DA2254">
        <v>9.17</v>
      </c>
      <c r="DB2254">
        <v>3.36</v>
      </c>
      <c r="DC2254">
        <v>0</v>
      </c>
      <c r="DD2254">
        <v>75.84</v>
      </c>
      <c r="DE2254" t="s">
        <v>10758</v>
      </c>
      <c r="DF2254">
        <v>22.43</v>
      </c>
      <c r="DG2254">
        <v>17.059999999999999</v>
      </c>
      <c r="DH2254">
        <v>15.26</v>
      </c>
      <c r="DI2254">
        <v>0.16</v>
      </c>
      <c r="DJ2254">
        <v>1244</v>
      </c>
      <c r="DK2254">
        <v>300916</v>
      </c>
      <c r="DL2254" t="s">
        <v>120</v>
      </c>
      <c r="DM2254" t="s">
        <v>120</v>
      </c>
      <c r="DN2254" t="s">
        <v>120</v>
      </c>
    </row>
    <row r="2255" spans="1:118">
      <c r="A2255" t="str">
        <f>"300917"</f>
        <v>300917</v>
      </c>
      <c r="B2255" t="s">
        <v>10759</v>
      </c>
      <c r="C2255">
        <v>-2.02</v>
      </c>
      <c r="D2255">
        <v>-0.03</v>
      </c>
      <c r="E2255">
        <v>-0.24</v>
      </c>
      <c r="F2255">
        <v>227</v>
      </c>
      <c r="G2255" t="s">
        <v>10760</v>
      </c>
      <c r="H2255">
        <v>1546.36</v>
      </c>
      <c r="I2255">
        <v>0</v>
      </c>
      <c r="J2255" t="s">
        <v>120</v>
      </c>
      <c r="K2255" t="s">
        <v>10760</v>
      </c>
      <c r="L2255">
        <v>2.09</v>
      </c>
      <c r="M2255">
        <v>24.77</v>
      </c>
      <c r="N2255">
        <v>0.75</v>
      </c>
      <c r="O2255">
        <v>1.19</v>
      </c>
      <c r="P2255">
        <v>25.58</v>
      </c>
      <c r="Q2255">
        <v>-2.02</v>
      </c>
      <c r="R2255">
        <v>24.77</v>
      </c>
      <c r="S2255">
        <v>25.22</v>
      </c>
      <c r="T2255">
        <v>6150</v>
      </c>
      <c r="U2255">
        <v>24.78</v>
      </c>
      <c r="V2255">
        <v>25.28</v>
      </c>
      <c r="W2255">
        <v>28.56</v>
      </c>
      <c r="X2255" t="s">
        <v>416</v>
      </c>
      <c r="Y2255" t="s">
        <v>123</v>
      </c>
      <c r="Z2255">
        <v>3.2</v>
      </c>
      <c r="AA2255">
        <v>25.14</v>
      </c>
      <c r="AB2255">
        <v>3563</v>
      </c>
      <c r="AC2255">
        <v>2587</v>
      </c>
      <c r="AD2255">
        <v>1.38</v>
      </c>
      <c r="AE2255">
        <v>2</v>
      </c>
      <c r="AF2255">
        <v>27</v>
      </c>
      <c r="AG2255" t="s">
        <v>120</v>
      </c>
      <c r="AH2255">
        <v>0</v>
      </c>
      <c r="AI2255" t="s">
        <v>120</v>
      </c>
      <c r="AJ2255">
        <v>0.28999999999999998</v>
      </c>
      <c r="AK2255" t="s">
        <v>10761</v>
      </c>
      <c r="AL2255">
        <v>-0.1</v>
      </c>
      <c r="AM2255">
        <v>573</v>
      </c>
      <c r="AN2255">
        <v>11</v>
      </c>
      <c r="AO2255">
        <v>3.7000000000000002E-3</v>
      </c>
      <c r="AP2255">
        <v>-3</v>
      </c>
      <c r="AQ2255">
        <v>-1.1000000000000001</v>
      </c>
      <c r="AR2255">
        <v>-6.56</v>
      </c>
      <c r="AS2255">
        <v>-4.4400000000000004</v>
      </c>
      <c r="AT2255">
        <v>-13.12</v>
      </c>
      <c r="AU2255">
        <v>-19.8</v>
      </c>
      <c r="AV2255">
        <v>1</v>
      </c>
      <c r="AW2255">
        <v>2.09</v>
      </c>
      <c r="AX2255">
        <v>22.6</v>
      </c>
      <c r="AY2255">
        <v>29.45</v>
      </c>
      <c r="AZ2255">
        <v>33.090000000000003</v>
      </c>
      <c r="BA2255">
        <v>0.62</v>
      </c>
      <c r="BB2255" t="s">
        <v>240</v>
      </c>
      <c r="BF2255">
        <v>-0.53</v>
      </c>
      <c r="BG2255">
        <v>-1.78</v>
      </c>
      <c r="BH2255">
        <v>-3.17</v>
      </c>
      <c r="BI2255">
        <v>0</v>
      </c>
      <c r="BJ2255">
        <v>20210906</v>
      </c>
      <c r="BK2255">
        <v>20201221</v>
      </c>
      <c r="BL2255">
        <v>1.3</v>
      </c>
      <c r="BM2255" t="s">
        <v>120</v>
      </c>
      <c r="BN2255" t="s">
        <v>120</v>
      </c>
      <c r="BO2255">
        <v>12.61</v>
      </c>
      <c r="BP2255">
        <v>24.77</v>
      </c>
      <c r="BQ2255">
        <v>8.0500000000000007</v>
      </c>
      <c r="BR2255">
        <v>0.15</v>
      </c>
      <c r="BS2255">
        <v>34.979999999999997</v>
      </c>
      <c r="BT2255">
        <v>11.59</v>
      </c>
      <c r="BU2255">
        <v>0.1</v>
      </c>
      <c r="BV2255">
        <v>0.01</v>
      </c>
      <c r="BW2255">
        <v>4.1500000000000004</v>
      </c>
      <c r="BX2255">
        <v>3.71</v>
      </c>
      <c r="BY2255">
        <v>0.04</v>
      </c>
      <c r="BZ2255">
        <v>3.24</v>
      </c>
      <c r="CA2255" t="s">
        <v>120</v>
      </c>
      <c r="CB2255">
        <v>4.3</v>
      </c>
      <c r="CC2255">
        <v>7.73</v>
      </c>
      <c r="CD2255">
        <v>6.44</v>
      </c>
      <c r="CE2255">
        <v>0.77</v>
      </c>
      <c r="CF2255">
        <v>0.01</v>
      </c>
      <c r="CG2255">
        <v>0.77</v>
      </c>
      <c r="CH2255">
        <v>0.59</v>
      </c>
      <c r="CI2255">
        <v>0.56000000000000005</v>
      </c>
      <c r="CJ2255">
        <v>-0.51</v>
      </c>
      <c r="CK2255">
        <v>0.52</v>
      </c>
      <c r="CL2255">
        <v>2.29</v>
      </c>
      <c r="CM2255">
        <v>1.26</v>
      </c>
      <c r="CN2255">
        <v>-3.46</v>
      </c>
      <c r="CO2255">
        <v>7727</v>
      </c>
      <c r="CP2255">
        <v>3802</v>
      </c>
      <c r="CQ2255" t="s">
        <v>3089</v>
      </c>
      <c r="CR2255">
        <v>27.91</v>
      </c>
      <c r="CS2255">
        <v>58.31</v>
      </c>
      <c r="CT2255">
        <v>4</v>
      </c>
      <c r="CU2255">
        <v>25.48</v>
      </c>
      <c r="CV2255">
        <v>4.17</v>
      </c>
      <c r="CW2255">
        <v>1.06</v>
      </c>
      <c r="CX2255" t="s">
        <v>4780</v>
      </c>
      <c r="CY2255">
        <v>6.19</v>
      </c>
      <c r="CZ2255">
        <v>0</v>
      </c>
      <c r="DA2255">
        <v>3.3</v>
      </c>
      <c r="DB2255">
        <v>1.76</v>
      </c>
      <c r="DC2255">
        <v>0.97</v>
      </c>
      <c r="DD2255">
        <v>63.85</v>
      </c>
      <c r="DE2255" t="s">
        <v>10762</v>
      </c>
      <c r="DF2255">
        <v>16.62</v>
      </c>
      <c r="DG2255">
        <v>9.94</v>
      </c>
      <c r="DH2255">
        <v>7.3</v>
      </c>
      <c r="DI2255">
        <v>0</v>
      </c>
      <c r="DJ2255">
        <v>8758</v>
      </c>
      <c r="DK2255">
        <v>300917</v>
      </c>
      <c r="DL2255" t="s">
        <v>120</v>
      </c>
      <c r="DM2255" t="s">
        <v>120</v>
      </c>
      <c r="DN2255" t="s">
        <v>120</v>
      </c>
    </row>
    <row r="2256" spans="1:118">
      <c r="A2256" t="str">
        <f>"300918"</f>
        <v>300918</v>
      </c>
      <c r="B2256" t="s">
        <v>10763</v>
      </c>
      <c r="C2256">
        <v>-1.88</v>
      </c>
      <c r="D2256">
        <v>-0.19</v>
      </c>
      <c r="E2256">
        <v>-0.4</v>
      </c>
      <c r="F2256">
        <v>774</v>
      </c>
      <c r="G2256" t="s">
        <v>10764</v>
      </c>
      <c r="H2256">
        <v>4281.5200000000004</v>
      </c>
      <c r="I2256">
        <v>11.08</v>
      </c>
      <c r="J2256" t="s">
        <v>120</v>
      </c>
      <c r="K2256" t="s">
        <v>10764</v>
      </c>
      <c r="L2256">
        <v>4.72</v>
      </c>
      <c r="M2256">
        <v>9.92</v>
      </c>
      <c r="N2256">
        <v>0.54</v>
      </c>
      <c r="O2256">
        <v>1.38</v>
      </c>
      <c r="P2256">
        <v>10.25</v>
      </c>
      <c r="Q2256">
        <v>-1.98</v>
      </c>
      <c r="R2256">
        <v>9.91</v>
      </c>
      <c r="S2256">
        <v>10.07</v>
      </c>
      <c r="T2256">
        <v>42457</v>
      </c>
      <c r="U2256">
        <v>9.93</v>
      </c>
      <c r="V2256">
        <v>10.11</v>
      </c>
      <c r="W2256">
        <v>29.79</v>
      </c>
      <c r="X2256" t="s">
        <v>1766</v>
      </c>
      <c r="Y2256" t="s">
        <v>638</v>
      </c>
      <c r="Z2256">
        <v>3.36</v>
      </c>
      <c r="AA2256">
        <v>10.08</v>
      </c>
      <c r="AB2256">
        <v>25625</v>
      </c>
      <c r="AC2256">
        <v>16832</v>
      </c>
      <c r="AD2256">
        <v>1.52</v>
      </c>
      <c r="AE2256">
        <v>182</v>
      </c>
      <c r="AF2256">
        <v>20</v>
      </c>
      <c r="AG2256" t="s">
        <v>120</v>
      </c>
      <c r="AH2256">
        <v>0.01</v>
      </c>
      <c r="AI2256" t="s">
        <v>120</v>
      </c>
      <c r="AJ2256">
        <v>0.9</v>
      </c>
      <c r="AK2256" t="s">
        <v>10765</v>
      </c>
      <c r="AL2256">
        <v>0.03</v>
      </c>
      <c r="AM2256">
        <v>1531</v>
      </c>
      <c r="AN2256">
        <v>28</v>
      </c>
      <c r="AO2256">
        <v>3.0999999999999999E-3</v>
      </c>
      <c r="AP2256">
        <v>-3</v>
      </c>
      <c r="AQ2256">
        <v>-0.3</v>
      </c>
      <c r="AR2256">
        <v>-4.53</v>
      </c>
      <c r="AS2256">
        <v>6.89</v>
      </c>
      <c r="AT2256">
        <v>-5.88</v>
      </c>
      <c r="AU2256">
        <v>-16.28</v>
      </c>
      <c r="AV2256">
        <v>2</v>
      </c>
      <c r="AW2256">
        <v>4.72</v>
      </c>
      <c r="AX2256">
        <v>25</v>
      </c>
      <c r="AY2256">
        <v>37</v>
      </c>
      <c r="AZ2256">
        <v>41.59</v>
      </c>
      <c r="BA2256">
        <v>0.37</v>
      </c>
      <c r="BB2256" t="s">
        <v>125</v>
      </c>
      <c r="BF2256">
        <v>-0.25</v>
      </c>
      <c r="BG2256">
        <v>-1.49</v>
      </c>
      <c r="BH2256">
        <v>-3.22</v>
      </c>
      <c r="BI2256">
        <v>0.1</v>
      </c>
      <c r="BJ2256">
        <v>20210913</v>
      </c>
      <c r="BK2256">
        <v>20201222</v>
      </c>
      <c r="BL2256">
        <v>3.6</v>
      </c>
      <c r="BM2256" t="s">
        <v>120</v>
      </c>
      <c r="BN2256" t="s">
        <v>120</v>
      </c>
      <c r="BO2256">
        <v>23.73</v>
      </c>
      <c r="BP2256">
        <v>9.92</v>
      </c>
      <c r="BQ2256">
        <v>15.72</v>
      </c>
      <c r="BR2256">
        <v>0.06</v>
      </c>
      <c r="BS2256">
        <v>33.51</v>
      </c>
      <c r="BT2256">
        <v>17.84</v>
      </c>
      <c r="BU2256">
        <v>3.57</v>
      </c>
      <c r="BV2256">
        <v>1.49</v>
      </c>
      <c r="BW2256">
        <v>7.34</v>
      </c>
      <c r="BX2256">
        <v>8.2799999999999994</v>
      </c>
      <c r="BY2256">
        <v>5.7</v>
      </c>
      <c r="BZ2256">
        <v>2.99</v>
      </c>
      <c r="CA2256" t="s">
        <v>120</v>
      </c>
      <c r="CB2256">
        <v>8.4499999999999993</v>
      </c>
      <c r="CC2256">
        <v>6.58</v>
      </c>
      <c r="CD2256">
        <v>4.29</v>
      </c>
      <c r="CE2256">
        <v>0.69</v>
      </c>
      <c r="CF2256">
        <v>0</v>
      </c>
      <c r="CG2256">
        <v>0.69</v>
      </c>
      <c r="CH2256">
        <v>0.6</v>
      </c>
      <c r="CI2256">
        <v>0.6</v>
      </c>
      <c r="CJ2256">
        <v>-0.19</v>
      </c>
      <c r="CK2256">
        <v>0.6</v>
      </c>
      <c r="CL2256">
        <v>3.41</v>
      </c>
      <c r="CM2256">
        <v>-0.95</v>
      </c>
      <c r="CN2256">
        <v>-1.82</v>
      </c>
      <c r="CO2256">
        <v>21678</v>
      </c>
      <c r="CP2256">
        <v>4152</v>
      </c>
      <c r="CQ2256" t="s">
        <v>10766</v>
      </c>
      <c r="CR2256">
        <v>22.1</v>
      </c>
      <c r="CS2256">
        <v>1.82</v>
      </c>
      <c r="CT2256">
        <v>2.27</v>
      </c>
      <c r="CU2256">
        <v>-37.729999999999997</v>
      </c>
      <c r="CV2256">
        <v>5.43</v>
      </c>
      <c r="CW2256">
        <v>0.59</v>
      </c>
      <c r="CX2256" t="s">
        <v>1193</v>
      </c>
      <c r="CY2256">
        <v>4.37</v>
      </c>
      <c r="CZ2256">
        <v>0</v>
      </c>
      <c r="DA2256">
        <v>2.35</v>
      </c>
      <c r="DB2256">
        <v>0.95</v>
      </c>
      <c r="DC2256">
        <v>-0.26</v>
      </c>
      <c r="DD2256">
        <v>66.25</v>
      </c>
      <c r="DE2256" t="s">
        <v>1125</v>
      </c>
      <c r="DF2256">
        <v>34.86</v>
      </c>
      <c r="DG2256">
        <v>10.56</v>
      </c>
      <c r="DH2256">
        <v>9.11</v>
      </c>
      <c r="DI2256">
        <v>0.23</v>
      </c>
      <c r="DJ2256">
        <v>5328</v>
      </c>
      <c r="DK2256">
        <v>300918</v>
      </c>
      <c r="DL2256" t="s">
        <v>120</v>
      </c>
      <c r="DM2256" t="s">
        <v>120</v>
      </c>
      <c r="DN2256" t="s">
        <v>120</v>
      </c>
    </row>
    <row r="2257" spans="1:118">
      <c r="A2257" t="str">
        <f>"300919"</f>
        <v>300919</v>
      </c>
      <c r="B2257" t="s">
        <v>10767</v>
      </c>
      <c r="C2257">
        <v>0.69</v>
      </c>
      <c r="D2257">
        <v>0.05</v>
      </c>
      <c r="E2257">
        <v>0.63</v>
      </c>
      <c r="F2257">
        <v>228</v>
      </c>
      <c r="G2257" t="s">
        <v>10768</v>
      </c>
      <c r="H2257">
        <v>50691.44</v>
      </c>
      <c r="I2257">
        <v>47.88</v>
      </c>
      <c r="J2257" t="s">
        <v>120</v>
      </c>
      <c r="K2257" t="s">
        <v>10768</v>
      </c>
      <c r="L2257">
        <v>5.79</v>
      </c>
      <c r="M2257">
        <v>171.1</v>
      </c>
      <c r="N2257">
        <v>1.44</v>
      </c>
      <c r="O2257">
        <v>5.05</v>
      </c>
      <c r="P2257">
        <v>178.5</v>
      </c>
      <c r="Q2257">
        <v>-0.92</v>
      </c>
      <c r="R2257">
        <v>168.36</v>
      </c>
      <c r="S2257">
        <v>170.99</v>
      </c>
      <c r="T2257">
        <v>29122</v>
      </c>
      <c r="U2257">
        <v>171.19</v>
      </c>
      <c r="V2257">
        <v>169.92</v>
      </c>
      <c r="W2257">
        <v>99.89</v>
      </c>
      <c r="X2257" t="s">
        <v>868</v>
      </c>
      <c r="Y2257" t="s">
        <v>1021</v>
      </c>
      <c r="Z2257">
        <v>5.97</v>
      </c>
      <c r="AA2257">
        <v>174.07</v>
      </c>
      <c r="AB2257">
        <v>15163</v>
      </c>
      <c r="AC2257">
        <v>13959</v>
      </c>
      <c r="AD2257">
        <v>1.0900000000000001</v>
      </c>
      <c r="AE2257">
        <v>88</v>
      </c>
      <c r="AF2257">
        <v>4</v>
      </c>
      <c r="AG2257" t="s">
        <v>120</v>
      </c>
      <c r="AH2257">
        <v>0.01</v>
      </c>
      <c r="AI2257" t="s">
        <v>120</v>
      </c>
      <c r="AJ2257">
        <v>0.5</v>
      </c>
      <c r="AK2257" t="s">
        <v>10769</v>
      </c>
      <c r="AL2257">
        <v>2.61</v>
      </c>
      <c r="AM2257">
        <v>3012</v>
      </c>
      <c r="AN2257">
        <v>10</v>
      </c>
      <c r="AO2257">
        <v>1.9E-3</v>
      </c>
      <c r="AP2257">
        <v>6</v>
      </c>
      <c r="AQ2257">
        <v>0.78</v>
      </c>
      <c r="AR2257">
        <v>2.21</v>
      </c>
      <c r="AS2257">
        <v>2.83</v>
      </c>
      <c r="AT2257">
        <v>22.27</v>
      </c>
      <c r="AU2257">
        <v>109.58</v>
      </c>
      <c r="AV2257">
        <v>0</v>
      </c>
      <c r="AW2257">
        <v>5.79</v>
      </c>
      <c r="AX2257">
        <v>8.83</v>
      </c>
      <c r="AY2257">
        <v>128.38999999999999</v>
      </c>
      <c r="AZ2257">
        <v>230.38</v>
      </c>
      <c r="BA2257">
        <v>1.51</v>
      </c>
      <c r="BB2257" t="s">
        <v>143</v>
      </c>
      <c r="BF2257">
        <v>2.44</v>
      </c>
      <c r="BG2257">
        <v>0.06</v>
      </c>
      <c r="BH2257">
        <v>-4.1500000000000004</v>
      </c>
      <c r="BI2257">
        <v>1.63</v>
      </c>
      <c r="BJ2257">
        <v>20210827</v>
      </c>
      <c r="BK2257">
        <v>20201223</v>
      </c>
      <c r="BL2257">
        <v>5.7</v>
      </c>
      <c r="BM2257" t="s">
        <v>120</v>
      </c>
      <c r="BN2257" t="s">
        <v>120</v>
      </c>
      <c r="BO2257">
        <v>158.59</v>
      </c>
      <c r="BP2257">
        <v>171.1</v>
      </c>
      <c r="BQ2257">
        <v>42.94</v>
      </c>
      <c r="BR2257" t="s">
        <v>120</v>
      </c>
      <c r="BS2257">
        <v>72.930000000000007</v>
      </c>
      <c r="BT2257">
        <v>110.91</v>
      </c>
      <c r="BU2257">
        <v>28.84</v>
      </c>
      <c r="BV2257">
        <v>5.87</v>
      </c>
      <c r="BW2257">
        <v>98.64</v>
      </c>
      <c r="BX2257">
        <v>36.25</v>
      </c>
      <c r="BY2257">
        <v>30.91</v>
      </c>
      <c r="BZ2257">
        <v>26.12</v>
      </c>
      <c r="CA2257" t="s">
        <v>120</v>
      </c>
      <c r="CB2257">
        <v>27.88</v>
      </c>
      <c r="CC2257">
        <v>83.56</v>
      </c>
      <c r="CD2257">
        <v>73.13</v>
      </c>
      <c r="CE2257">
        <v>5.77</v>
      </c>
      <c r="CF2257">
        <v>-0.3</v>
      </c>
      <c r="CG2257">
        <v>5.77</v>
      </c>
      <c r="CH2257">
        <v>4.88</v>
      </c>
      <c r="CI2257">
        <v>4.88</v>
      </c>
      <c r="CJ2257">
        <v>1.18</v>
      </c>
      <c r="CK2257">
        <v>4.26</v>
      </c>
      <c r="CL2257">
        <v>9.1199999999999992</v>
      </c>
      <c r="CM2257">
        <v>0.17</v>
      </c>
      <c r="CN2257">
        <v>1.55</v>
      </c>
      <c r="CO2257">
        <v>16467</v>
      </c>
      <c r="CP2257">
        <v>3054</v>
      </c>
      <c r="CQ2257" t="s">
        <v>10770</v>
      </c>
      <c r="CR2257">
        <v>216.57</v>
      </c>
      <c r="CS2257">
        <v>182.71</v>
      </c>
      <c r="CT2257">
        <v>22.7</v>
      </c>
      <c r="CU2257">
        <v>5589.9</v>
      </c>
      <c r="CV2257">
        <v>11.66</v>
      </c>
      <c r="CW2257">
        <v>0.05</v>
      </c>
      <c r="CX2257" t="s">
        <v>10202</v>
      </c>
      <c r="CY2257">
        <v>7.54</v>
      </c>
      <c r="CZ2257">
        <v>0</v>
      </c>
      <c r="DA2257">
        <v>4.8899999999999997</v>
      </c>
      <c r="DB2257">
        <v>1.6</v>
      </c>
      <c r="DC2257">
        <v>0.03</v>
      </c>
      <c r="DD2257">
        <v>27.07</v>
      </c>
      <c r="DE2257" t="s">
        <v>10771</v>
      </c>
      <c r="DF2257">
        <v>12.47</v>
      </c>
      <c r="DG2257">
        <v>6.9</v>
      </c>
      <c r="DH2257">
        <v>5.84</v>
      </c>
      <c r="DI2257">
        <v>2.85</v>
      </c>
      <c r="DJ2257">
        <v>2977</v>
      </c>
      <c r="DK2257">
        <v>300919</v>
      </c>
      <c r="DL2257">
        <v>20210805</v>
      </c>
      <c r="DM2257">
        <v>174.9</v>
      </c>
      <c r="DN2257">
        <v>-2.17</v>
      </c>
    </row>
    <row r="2258" spans="1:118">
      <c r="A2258" t="str">
        <f>"300920"</f>
        <v>300920</v>
      </c>
      <c r="B2258" t="s">
        <v>10772</v>
      </c>
      <c r="C2258">
        <v>1.62</v>
      </c>
      <c r="D2258">
        <v>0</v>
      </c>
      <c r="E2258">
        <v>-0.45</v>
      </c>
      <c r="F2258">
        <v>141</v>
      </c>
      <c r="G2258" t="s">
        <v>10773</v>
      </c>
      <c r="H2258">
        <v>3673.91</v>
      </c>
      <c r="I2258">
        <v>4.63</v>
      </c>
      <c r="J2258" t="s">
        <v>120</v>
      </c>
      <c r="K2258" t="s">
        <v>10773</v>
      </c>
      <c r="L2258">
        <v>4.0599999999999996</v>
      </c>
      <c r="M2258">
        <v>36.340000000000003</v>
      </c>
      <c r="N2258">
        <v>0.52</v>
      </c>
      <c r="O2258">
        <v>2.4300000000000002</v>
      </c>
      <c r="P2258">
        <v>36.630000000000003</v>
      </c>
      <c r="Q2258">
        <v>-0.78</v>
      </c>
      <c r="R2258">
        <v>35.479999999999997</v>
      </c>
      <c r="S2258">
        <v>35.6</v>
      </c>
      <c r="T2258">
        <v>10148</v>
      </c>
      <c r="U2258">
        <v>36.35</v>
      </c>
      <c r="V2258">
        <v>35.76</v>
      </c>
      <c r="W2258">
        <v>33.74</v>
      </c>
      <c r="X2258" t="s">
        <v>2211</v>
      </c>
      <c r="Y2258" t="s">
        <v>585</v>
      </c>
      <c r="Z2258">
        <v>3.22</v>
      </c>
      <c r="AA2258">
        <v>36.200000000000003</v>
      </c>
      <c r="AB2258">
        <v>5067</v>
      </c>
      <c r="AC2258">
        <v>5081</v>
      </c>
      <c r="AD2258">
        <v>1</v>
      </c>
      <c r="AE2258">
        <v>116</v>
      </c>
      <c r="AF2258">
        <v>30</v>
      </c>
      <c r="AG2258" t="s">
        <v>120</v>
      </c>
      <c r="AH2258">
        <v>0.01</v>
      </c>
      <c r="AI2258" t="s">
        <v>120</v>
      </c>
      <c r="AJ2258">
        <v>0.25</v>
      </c>
      <c r="AK2258" t="s">
        <v>8506</v>
      </c>
      <c r="AL2258">
        <v>3.54</v>
      </c>
      <c r="AM2258">
        <v>1156</v>
      </c>
      <c r="AN2258">
        <v>9</v>
      </c>
      <c r="AO2258">
        <v>3.5000000000000001E-3</v>
      </c>
      <c r="AP2258">
        <v>2</v>
      </c>
      <c r="AQ2258">
        <v>1.19</v>
      </c>
      <c r="AR2258">
        <v>0.12</v>
      </c>
      <c r="AS2258">
        <v>11.99</v>
      </c>
      <c r="AT2258">
        <v>5.12</v>
      </c>
      <c r="AU2258">
        <v>-5.56</v>
      </c>
      <c r="AV2258">
        <v>0</v>
      </c>
      <c r="AW2258">
        <v>4.0599999999999996</v>
      </c>
      <c r="AX2258">
        <v>25</v>
      </c>
      <c r="AY2258">
        <v>29.58</v>
      </c>
      <c r="AZ2258">
        <v>28.17</v>
      </c>
      <c r="BA2258">
        <v>0.78</v>
      </c>
      <c r="BB2258" t="s">
        <v>143</v>
      </c>
      <c r="BF2258">
        <v>1.24</v>
      </c>
      <c r="BG2258">
        <v>2.08</v>
      </c>
      <c r="BH2258">
        <v>-0.79</v>
      </c>
      <c r="BI2258">
        <v>2.42</v>
      </c>
      <c r="BJ2258">
        <v>20210828</v>
      </c>
      <c r="BK2258">
        <v>20201225</v>
      </c>
      <c r="BL2258">
        <v>1</v>
      </c>
      <c r="BM2258" t="s">
        <v>120</v>
      </c>
      <c r="BN2258" t="s">
        <v>120</v>
      </c>
      <c r="BO2258">
        <v>14.38</v>
      </c>
      <c r="BP2258">
        <v>36.340000000000003</v>
      </c>
      <c r="BQ2258">
        <v>11.37</v>
      </c>
      <c r="BR2258" t="s">
        <v>120</v>
      </c>
      <c r="BS2258">
        <v>20.93</v>
      </c>
      <c r="BT2258">
        <v>10.26</v>
      </c>
      <c r="BU2258">
        <v>2.52</v>
      </c>
      <c r="BV2258">
        <v>0.79</v>
      </c>
      <c r="BW2258">
        <v>2.71</v>
      </c>
      <c r="BX2258">
        <v>7.62</v>
      </c>
      <c r="BY2258">
        <v>0.74</v>
      </c>
      <c r="BZ2258">
        <v>1.04</v>
      </c>
      <c r="CA2258" t="s">
        <v>120</v>
      </c>
      <c r="CB2258">
        <v>6.67</v>
      </c>
      <c r="CC2258">
        <v>2.38</v>
      </c>
      <c r="CD2258">
        <v>1.46</v>
      </c>
      <c r="CE2258">
        <v>0.67</v>
      </c>
      <c r="CF2258">
        <v>0</v>
      </c>
      <c r="CG2258">
        <v>0.67</v>
      </c>
      <c r="CH2258">
        <v>0.54</v>
      </c>
      <c r="CI2258">
        <v>0.54</v>
      </c>
      <c r="CJ2258">
        <v>0.57999999999999996</v>
      </c>
      <c r="CK2258">
        <v>0.49</v>
      </c>
      <c r="CL2258">
        <v>3.41</v>
      </c>
      <c r="CM2258">
        <v>0.12</v>
      </c>
      <c r="CN2258">
        <v>0.14000000000000001</v>
      </c>
      <c r="CO2258">
        <v>8769</v>
      </c>
      <c r="CP2258">
        <v>2851</v>
      </c>
      <c r="CQ2258" t="s">
        <v>1076</v>
      </c>
      <c r="CR2258">
        <v>-10.11</v>
      </c>
      <c r="CS2258">
        <v>27.99</v>
      </c>
      <c r="CT2258">
        <v>3.2</v>
      </c>
      <c r="CU2258">
        <v>296.14999999999998</v>
      </c>
      <c r="CV2258">
        <v>15.28</v>
      </c>
      <c r="CW2258">
        <v>1.1200000000000001</v>
      </c>
      <c r="CX2258" t="s">
        <v>263</v>
      </c>
      <c r="CY2258">
        <v>11.37</v>
      </c>
      <c r="CZ2258">
        <v>0</v>
      </c>
      <c r="DA2258">
        <v>6.67</v>
      </c>
      <c r="DB2258">
        <v>3.41</v>
      </c>
      <c r="DC2258">
        <v>0.12</v>
      </c>
      <c r="DD2258">
        <v>79.069999999999993</v>
      </c>
      <c r="DE2258" t="s">
        <v>1827</v>
      </c>
      <c r="DF2258">
        <v>38.74</v>
      </c>
      <c r="DG2258">
        <v>28.01</v>
      </c>
      <c r="DH2258">
        <v>22.65</v>
      </c>
      <c r="DI2258">
        <v>0.09</v>
      </c>
      <c r="DJ2258">
        <v>665</v>
      </c>
      <c r="DK2258">
        <v>300920</v>
      </c>
      <c r="DL2258" t="s">
        <v>120</v>
      </c>
      <c r="DM2258" t="s">
        <v>120</v>
      </c>
      <c r="DN2258" t="s">
        <v>120</v>
      </c>
    </row>
    <row r="2259" spans="1:118">
      <c r="A2259" t="str">
        <f>"300921"</f>
        <v>300921</v>
      </c>
      <c r="B2259" t="s">
        <v>10774</v>
      </c>
      <c r="C2259">
        <v>-2.73</v>
      </c>
      <c r="D2259">
        <v>0</v>
      </c>
      <c r="E2259">
        <v>0.05</v>
      </c>
      <c r="F2259">
        <v>467</v>
      </c>
      <c r="G2259" t="s">
        <v>10775</v>
      </c>
      <c r="H2259">
        <v>2499.83</v>
      </c>
      <c r="I2259">
        <v>0.22</v>
      </c>
      <c r="J2259" t="s">
        <v>120</v>
      </c>
      <c r="K2259" t="s">
        <v>10775</v>
      </c>
      <c r="L2259">
        <v>3.5</v>
      </c>
      <c r="M2259">
        <v>21.4</v>
      </c>
      <c r="N2259">
        <v>1.04</v>
      </c>
      <c r="O2259">
        <v>0.64</v>
      </c>
      <c r="P2259">
        <v>22.14</v>
      </c>
      <c r="Q2259">
        <v>-2.73</v>
      </c>
      <c r="R2259">
        <v>21.4</v>
      </c>
      <c r="S2259">
        <v>22.01</v>
      </c>
      <c r="T2259">
        <v>11487</v>
      </c>
      <c r="U2259">
        <v>21.4</v>
      </c>
      <c r="V2259">
        <v>22</v>
      </c>
      <c r="W2259">
        <v>45.89</v>
      </c>
      <c r="X2259" t="s">
        <v>1531</v>
      </c>
      <c r="Y2259" t="s">
        <v>123</v>
      </c>
      <c r="Z2259">
        <v>3.36</v>
      </c>
      <c r="AA2259">
        <v>21.76</v>
      </c>
      <c r="AB2259">
        <v>7263</v>
      </c>
      <c r="AC2259">
        <v>4224</v>
      </c>
      <c r="AD2259">
        <v>1.72</v>
      </c>
      <c r="AE2259">
        <v>50</v>
      </c>
      <c r="AF2259">
        <v>13</v>
      </c>
      <c r="AG2259" t="s">
        <v>120</v>
      </c>
      <c r="AH2259">
        <v>0</v>
      </c>
      <c r="AI2259" t="s">
        <v>120</v>
      </c>
      <c r="AJ2259">
        <v>0.33</v>
      </c>
      <c r="AK2259" t="s">
        <v>2556</v>
      </c>
      <c r="AL2259">
        <v>-0.81</v>
      </c>
      <c r="AM2259">
        <v>940</v>
      </c>
      <c r="AN2259">
        <v>12</v>
      </c>
      <c r="AO2259">
        <v>3.7000000000000002E-3</v>
      </c>
      <c r="AP2259">
        <v>-2</v>
      </c>
      <c r="AQ2259">
        <v>-1.43</v>
      </c>
      <c r="AR2259">
        <v>-3.99</v>
      </c>
      <c r="AS2259">
        <v>-9.9</v>
      </c>
      <c r="AT2259">
        <v>-18.53</v>
      </c>
      <c r="AU2259">
        <v>-12.06</v>
      </c>
      <c r="AV2259">
        <v>1</v>
      </c>
      <c r="AW2259">
        <v>3.5</v>
      </c>
      <c r="AX2259">
        <v>24.92</v>
      </c>
      <c r="AY2259">
        <v>44.09</v>
      </c>
      <c r="AZ2259">
        <v>38.090000000000003</v>
      </c>
      <c r="BA2259">
        <v>0.78</v>
      </c>
      <c r="BB2259" t="s">
        <v>134</v>
      </c>
      <c r="BF2259">
        <v>-1.08</v>
      </c>
      <c r="BG2259">
        <v>-2.77</v>
      </c>
      <c r="BH2259">
        <v>-3.34</v>
      </c>
      <c r="BI2259">
        <v>0</v>
      </c>
      <c r="BJ2259">
        <v>20210826</v>
      </c>
      <c r="BK2259">
        <v>20201222</v>
      </c>
      <c r="BL2259">
        <v>1.32</v>
      </c>
      <c r="BM2259" t="s">
        <v>120</v>
      </c>
      <c r="BN2259" t="s">
        <v>120</v>
      </c>
      <c r="BO2259">
        <v>8.9</v>
      </c>
      <c r="BP2259">
        <v>21.39</v>
      </c>
      <c r="BQ2259">
        <v>7.79</v>
      </c>
      <c r="BR2259">
        <v>0</v>
      </c>
      <c r="BS2259">
        <v>12.52</v>
      </c>
      <c r="BT2259">
        <v>7.93</v>
      </c>
      <c r="BU2259">
        <v>0.63</v>
      </c>
      <c r="BV2259">
        <v>0.05</v>
      </c>
      <c r="BW2259">
        <v>0.91</v>
      </c>
      <c r="BX2259">
        <v>2.0699999999999998</v>
      </c>
      <c r="BY2259">
        <v>0.15</v>
      </c>
      <c r="BZ2259">
        <v>1.1299999999999999</v>
      </c>
      <c r="CA2259" t="s">
        <v>120</v>
      </c>
      <c r="CB2259">
        <v>4.76</v>
      </c>
      <c r="CC2259">
        <v>2.65</v>
      </c>
      <c r="CD2259">
        <v>1.73</v>
      </c>
      <c r="CE2259">
        <v>0.36</v>
      </c>
      <c r="CF2259">
        <v>0.03</v>
      </c>
      <c r="CG2259">
        <v>0.36</v>
      </c>
      <c r="CH2259">
        <v>0.31</v>
      </c>
      <c r="CI2259">
        <v>0.31</v>
      </c>
      <c r="CJ2259">
        <v>-0.6</v>
      </c>
      <c r="CK2259">
        <v>0.28000000000000003</v>
      </c>
      <c r="CL2259">
        <v>1.52</v>
      </c>
      <c r="CM2259">
        <v>0.12</v>
      </c>
      <c r="CN2259">
        <v>-4.87</v>
      </c>
      <c r="CO2259">
        <v>16287</v>
      </c>
      <c r="CP2259">
        <v>2015</v>
      </c>
      <c r="CQ2259" t="s">
        <v>223</v>
      </c>
      <c r="CR2259">
        <v>-25.22</v>
      </c>
      <c r="CS2259">
        <v>9.56</v>
      </c>
      <c r="CT2259">
        <v>3.62</v>
      </c>
      <c r="CU2259">
        <v>234.44</v>
      </c>
      <c r="CV2259">
        <v>10.63</v>
      </c>
      <c r="CW2259">
        <v>2.02</v>
      </c>
      <c r="CX2259" t="s">
        <v>694</v>
      </c>
      <c r="CY2259">
        <v>5.91</v>
      </c>
      <c r="CZ2259">
        <v>0</v>
      </c>
      <c r="DA2259">
        <v>3.61</v>
      </c>
      <c r="DB2259">
        <v>1.1599999999999999</v>
      </c>
      <c r="DC2259">
        <v>0.09</v>
      </c>
      <c r="DD2259">
        <v>87.49</v>
      </c>
      <c r="DE2259" t="s">
        <v>4916</v>
      </c>
      <c r="DF2259">
        <v>34.840000000000003</v>
      </c>
      <c r="DG2259">
        <v>13.72</v>
      </c>
      <c r="DH2259">
        <v>11.58</v>
      </c>
      <c r="DI2259">
        <v>0.22</v>
      </c>
      <c r="DJ2259">
        <v>341</v>
      </c>
      <c r="DK2259">
        <v>300921</v>
      </c>
      <c r="DL2259" t="s">
        <v>120</v>
      </c>
      <c r="DM2259" t="s">
        <v>120</v>
      </c>
      <c r="DN2259" t="s">
        <v>120</v>
      </c>
    </row>
    <row r="2260" spans="1:118">
      <c r="A2260" t="str">
        <f>"300922"</f>
        <v>300922</v>
      </c>
      <c r="B2260" t="s">
        <v>10776</v>
      </c>
      <c r="C2260">
        <v>5.78</v>
      </c>
      <c r="D2260">
        <v>0</v>
      </c>
      <c r="E2260">
        <v>-0.73</v>
      </c>
      <c r="F2260">
        <v>1495</v>
      </c>
      <c r="G2260" t="s">
        <v>7209</v>
      </c>
      <c r="H2260">
        <v>23852.48</v>
      </c>
      <c r="I2260">
        <v>35.35</v>
      </c>
      <c r="J2260" t="s">
        <v>120</v>
      </c>
      <c r="K2260" t="s">
        <v>7209</v>
      </c>
      <c r="L2260">
        <v>19.54</v>
      </c>
      <c r="M2260">
        <v>44.84</v>
      </c>
      <c r="N2260">
        <v>1.77</v>
      </c>
      <c r="O2260">
        <v>7.43</v>
      </c>
      <c r="P2260">
        <v>45.54</v>
      </c>
      <c r="Q2260">
        <v>-1.1599999999999999</v>
      </c>
      <c r="R2260">
        <v>41.9</v>
      </c>
      <c r="S2260">
        <v>42.08</v>
      </c>
      <c r="T2260">
        <v>54703</v>
      </c>
      <c r="U2260">
        <v>44.84</v>
      </c>
      <c r="V2260">
        <v>42.39</v>
      </c>
      <c r="W2260">
        <v>61.79</v>
      </c>
      <c r="X2260" t="s">
        <v>675</v>
      </c>
      <c r="Y2260" t="s">
        <v>602</v>
      </c>
      <c r="Z2260">
        <v>8.59</v>
      </c>
      <c r="AA2260">
        <v>43.6</v>
      </c>
      <c r="AB2260">
        <v>25979</v>
      </c>
      <c r="AC2260">
        <v>28724</v>
      </c>
      <c r="AD2260">
        <v>0.9</v>
      </c>
      <c r="AE2260">
        <v>5</v>
      </c>
      <c r="AF2260">
        <v>897</v>
      </c>
      <c r="AG2260" t="s">
        <v>120</v>
      </c>
      <c r="AH2260">
        <v>0.03</v>
      </c>
      <c r="AI2260" t="s">
        <v>120</v>
      </c>
      <c r="AJ2260">
        <v>0.28000000000000003</v>
      </c>
      <c r="AK2260" t="s">
        <v>10777</v>
      </c>
      <c r="AL2260">
        <v>7.69</v>
      </c>
      <c r="AM2260">
        <v>2770</v>
      </c>
      <c r="AN2260">
        <v>20</v>
      </c>
      <c r="AO2260">
        <v>7.1000000000000004E-3</v>
      </c>
      <c r="AP2260">
        <v>1</v>
      </c>
      <c r="AQ2260">
        <v>-0.4</v>
      </c>
      <c r="AR2260">
        <v>6.76</v>
      </c>
      <c r="AS2260">
        <v>-10.86</v>
      </c>
      <c r="AT2260">
        <v>20.6</v>
      </c>
      <c r="AU2260">
        <v>16.77</v>
      </c>
      <c r="AV2260">
        <v>3</v>
      </c>
      <c r="AW2260">
        <v>19.54</v>
      </c>
      <c r="AX2260">
        <v>25</v>
      </c>
      <c r="AY2260">
        <v>61.53</v>
      </c>
      <c r="AZ2260">
        <v>73.73</v>
      </c>
      <c r="BA2260">
        <v>0.79</v>
      </c>
      <c r="BB2260" t="s">
        <v>168</v>
      </c>
      <c r="BF2260">
        <v>2.86</v>
      </c>
      <c r="BG2260">
        <v>6.56</v>
      </c>
      <c r="BH2260">
        <v>-1.54</v>
      </c>
      <c r="BI2260">
        <v>7.02</v>
      </c>
      <c r="BJ2260">
        <v>20210820</v>
      </c>
      <c r="BK2260">
        <v>20201225</v>
      </c>
      <c r="BL2260">
        <v>1.1200000000000001</v>
      </c>
      <c r="BM2260" t="s">
        <v>120</v>
      </c>
      <c r="BN2260" t="s">
        <v>120</v>
      </c>
      <c r="BO2260">
        <v>8.7100000000000009</v>
      </c>
      <c r="BP2260">
        <v>44.83</v>
      </c>
      <c r="BQ2260">
        <v>8.3699999999999992</v>
      </c>
      <c r="BR2260" t="s">
        <v>120</v>
      </c>
      <c r="BS2260">
        <v>3.83</v>
      </c>
      <c r="BT2260">
        <v>7.6</v>
      </c>
      <c r="BU2260">
        <v>0.77</v>
      </c>
      <c r="BV2260">
        <v>0.08</v>
      </c>
      <c r="BW2260">
        <v>0.27</v>
      </c>
      <c r="BX2260">
        <v>3.59</v>
      </c>
      <c r="BY2260">
        <v>0.52</v>
      </c>
      <c r="BZ2260">
        <v>0.74</v>
      </c>
      <c r="CA2260" t="s">
        <v>120</v>
      </c>
      <c r="CB2260">
        <v>5.69</v>
      </c>
      <c r="CC2260">
        <v>1.0900000000000001</v>
      </c>
      <c r="CD2260">
        <v>0.62</v>
      </c>
      <c r="CE2260">
        <v>0.48</v>
      </c>
      <c r="CF2260">
        <v>0.01</v>
      </c>
      <c r="CG2260">
        <v>0.48</v>
      </c>
      <c r="CH2260">
        <v>0.41</v>
      </c>
      <c r="CI2260">
        <v>0.41</v>
      </c>
      <c r="CJ2260">
        <v>2.4500000000000002</v>
      </c>
      <c r="CK2260">
        <v>0.36</v>
      </c>
      <c r="CL2260">
        <v>1.29</v>
      </c>
      <c r="CM2260">
        <v>0.54</v>
      </c>
      <c r="CN2260">
        <v>-2.33</v>
      </c>
      <c r="CO2260">
        <v>15204</v>
      </c>
      <c r="CP2260">
        <v>1842</v>
      </c>
      <c r="CQ2260" t="s">
        <v>10778</v>
      </c>
      <c r="CR2260">
        <v>0</v>
      </c>
      <c r="CS2260">
        <v>0</v>
      </c>
      <c r="CT2260">
        <v>6</v>
      </c>
      <c r="CU2260">
        <v>93.04</v>
      </c>
      <c r="CV2260">
        <v>45.91</v>
      </c>
      <c r="CW2260">
        <v>0.83</v>
      </c>
      <c r="CX2260" t="s">
        <v>472</v>
      </c>
      <c r="CY2260">
        <v>7.47</v>
      </c>
      <c r="CZ2260">
        <v>0</v>
      </c>
      <c r="DA2260">
        <v>5.08</v>
      </c>
      <c r="DB2260">
        <v>1.1499999999999999</v>
      </c>
      <c r="DC2260">
        <v>0.48</v>
      </c>
      <c r="DD2260">
        <v>96.17</v>
      </c>
      <c r="DE2260" t="s">
        <v>2803</v>
      </c>
      <c r="DF2260">
        <v>43.19</v>
      </c>
      <c r="DG2260">
        <v>43.97</v>
      </c>
      <c r="DH2260">
        <v>37.15</v>
      </c>
      <c r="DI2260">
        <v>0.04</v>
      </c>
      <c r="DJ2260">
        <v>192</v>
      </c>
      <c r="DK2260">
        <v>300922</v>
      </c>
      <c r="DL2260" t="s">
        <v>120</v>
      </c>
      <c r="DM2260" t="s">
        <v>120</v>
      </c>
      <c r="DN2260" t="s">
        <v>120</v>
      </c>
    </row>
    <row r="2261" spans="1:118">
      <c r="A2261" t="str">
        <f>"300923"</f>
        <v>300923</v>
      </c>
      <c r="B2261" t="s">
        <v>10779</v>
      </c>
      <c r="C2261">
        <v>-1.75</v>
      </c>
      <c r="D2261">
        <v>-0.02</v>
      </c>
      <c r="E2261">
        <v>1.34</v>
      </c>
      <c r="F2261">
        <v>204</v>
      </c>
      <c r="G2261" t="s">
        <v>10780</v>
      </c>
      <c r="H2261">
        <v>2454.5100000000002</v>
      </c>
      <c r="I2261">
        <v>6.38</v>
      </c>
      <c r="J2261" t="s">
        <v>120</v>
      </c>
      <c r="K2261" t="s">
        <v>10780</v>
      </c>
      <c r="L2261">
        <v>3.99</v>
      </c>
      <c r="M2261">
        <v>30.91</v>
      </c>
      <c r="N2261">
        <v>0.7</v>
      </c>
      <c r="O2261">
        <v>1.34</v>
      </c>
      <c r="P2261">
        <v>31.88</v>
      </c>
      <c r="Q2261">
        <v>-1.78</v>
      </c>
      <c r="R2261">
        <v>30.9</v>
      </c>
      <c r="S2261">
        <v>31.88</v>
      </c>
      <c r="T2261">
        <v>7840</v>
      </c>
      <c r="U2261">
        <v>30.92</v>
      </c>
      <c r="V2261">
        <v>31.46</v>
      </c>
      <c r="W2261">
        <v>30.99</v>
      </c>
      <c r="X2261" t="s">
        <v>157</v>
      </c>
      <c r="Y2261" t="s">
        <v>290</v>
      </c>
      <c r="Z2261">
        <v>3.12</v>
      </c>
      <c r="AA2261">
        <v>31.31</v>
      </c>
      <c r="AB2261">
        <v>5061</v>
      </c>
      <c r="AC2261">
        <v>2779</v>
      </c>
      <c r="AD2261">
        <v>1.82</v>
      </c>
      <c r="AE2261">
        <v>7</v>
      </c>
      <c r="AF2261">
        <v>83</v>
      </c>
      <c r="AG2261" t="s">
        <v>120</v>
      </c>
      <c r="AH2261">
        <v>0.01</v>
      </c>
      <c r="AI2261" t="s">
        <v>120</v>
      </c>
      <c r="AJ2261">
        <v>0.2</v>
      </c>
      <c r="AK2261" t="s">
        <v>10781</v>
      </c>
      <c r="AL2261">
        <v>0.17</v>
      </c>
      <c r="AM2261">
        <v>809</v>
      </c>
      <c r="AN2261">
        <v>10</v>
      </c>
      <c r="AO2261">
        <v>4.8999999999999998E-3</v>
      </c>
      <c r="AP2261">
        <v>-3</v>
      </c>
      <c r="AQ2261">
        <v>-0.73</v>
      </c>
      <c r="AR2261">
        <v>-4.07</v>
      </c>
      <c r="AS2261">
        <v>-0.38</v>
      </c>
      <c r="AT2261">
        <v>-2.67</v>
      </c>
      <c r="AU2261">
        <v>-16.32</v>
      </c>
      <c r="AV2261">
        <v>1</v>
      </c>
      <c r="AW2261">
        <v>3.99</v>
      </c>
      <c r="AX2261">
        <v>25</v>
      </c>
      <c r="AY2261">
        <v>36.97</v>
      </c>
      <c r="AZ2261">
        <v>42.74</v>
      </c>
      <c r="BA2261">
        <v>0.83</v>
      </c>
      <c r="BB2261" t="s">
        <v>143</v>
      </c>
      <c r="BF2261">
        <v>-0.49</v>
      </c>
      <c r="BG2261">
        <v>-3.04</v>
      </c>
      <c r="BH2261">
        <v>-3.04</v>
      </c>
      <c r="BI2261">
        <v>0.03</v>
      </c>
      <c r="BJ2261">
        <v>20210903</v>
      </c>
      <c r="BK2261">
        <v>20201224</v>
      </c>
      <c r="BL2261">
        <v>0.79</v>
      </c>
      <c r="BM2261" t="s">
        <v>120</v>
      </c>
      <c r="BN2261" t="s">
        <v>120</v>
      </c>
      <c r="BO2261">
        <v>12.86</v>
      </c>
      <c r="BP2261">
        <v>30.91</v>
      </c>
      <c r="BQ2261">
        <v>10.94</v>
      </c>
      <c r="BR2261" t="s">
        <v>120</v>
      </c>
      <c r="BS2261">
        <v>14.95</v>
      </c>
      <c r="BT2261">
        <v>10.89</v>
      </c>
      <c r="BU2261">
        <v>0.74</v>
      </c>
      <c r="BV2261">
        <v>0.24</v>
      </c>
      <c r="BW2261">
        <v>1.84</v>
      </c>
      <c r="BX2261">
        <v>1.39</v>
      </c>
      <c r="BY2261">
        <v>1.51</v>
      </c>
      <c r="BZ2261">
        <v>2.36</v>
      </c>
      <c r="CA2261" t="s">
        <v>120</v>
      </c>
      <c r="CB2261">
        <v>8.02</v>
      </c>
      <c r="CC2261">
        <v>1.91</v>
      </c>
      <c r="CD2261">
        <v>1.18</v>
      </c>
      <c r="CE2261">
        <v>0.43</v>
      </c>
      <c r="CF2261">
        <v>7.0000000000000007E-2</v>
      </c>
      <c r="CG2261">
        <v>0.46</v>
      </c>
      <c r="CH2261">
        <v>0.39</v>
      </c>
      <c r="CI2261">
        <v>0.39</v>
      </c>
      <c r="CJ2261">
        <v>-0.55000000000000004</v>
      </c>
      <c r="CK2261">
        <v>0.33</v>
      </c>
      <c r="CL2261">
        <v>1.81</v>
      </c>
      <c r="CM2261">
        <v>-0.3</v>
      </c>
      <c r="CN2261">
        <v>-3.94</v>
      </c>
      <c r="CO2261">
        <v>13033</v>
      </c>
      <c r="CP2261">
        <v>1508</v>
      </c>
      <c r="CQ2261" t="s">
        <v>3644</v>
      </c>
      <c r="CR2261">
        <v>29.91</v>
      </c>
      <c r="CS2261">
        <v>22.8</v>
      </c>
      <c r="CT2261">
        <v>2.2200000000000002</v>
      </c>
      <c r="CU2261">
        <v>-80.069999999999993</v>
      </c>
      <c r="CV2261">
        <v>12.71</v>
      </c>
      <c r="CW2261">
        <v>0.56999999999999995</v>
      </c>
      <c r="CX2261" t="s">
        <v>550</v>
      </c>
      <c r="CY2261">
        <v>13.92</v>
      </c>
      <c r="CZ2261">
        <v>0</v>
      </c>
      <c r="DA2261">
        <v>10.199999999999999</v>
      </c>
      <c r="DB2261">
        <v>2.2999999999999998</v>
      </c>
      <c r="DC2261">
        <v>-0.39</v>
      </c>
      <c r="DD2261">
        <v>85.05</v>
      </c>
      <c r="DE2261" t="s">
        <v>10782</v>
      </c>
      <c r="DF2261">
        <v>38.15</v>
      </c>
      <c r="DG2261">
        <v>22.28</v>
      </c>
      <c r="DH2261">
        <v>20.5</v>
      </c>
      <c r="DI2261">
        <v>7.0000000000000007E-2</v>
      </c>
      <c r="DJ2261">
        <v>642</v>
      </c>
      <c r="DK2261">
        <v>300923</v>
      </c>
      <c r="DL2261" t="s">
        <v>120</v>
      </c>
      <c r="DM2261" t="s">
        <v>120</v>
      </c>
      <c r="DN2261" t="s">
        <v>120</v>
      </c>
    </row>
    <row r="2262" spans="1:118">
      <c r="A2262" t="str">
        <f>"300925"</f>
        <v>300925</v>
      </c>
      <c r="B2262" t="s">
        <v>10783</v>
      </c>
      <c r="C2262">
        <v>3.69</v>
      </c>
      <c r="D2262">
        <v>7.0000000000000007E-2</v>
      </c>
      <c r="E2262">
        <v>-0.84</v>
      </c>
      <c r="F2262">
        <v>2180</v>
      </c>
      <c r="G2262" t="s">
        <v>3806</v>
      </c>
      <c r="H2262">
        <v>21436.51</v>
      </c>
      <c r="I2262">
        <v>25.58</v>
      </c>
      <c r="J2262" t="s">
        <v>120</v>
      </c>
      <c r="K2262" t="s">
        <v>3806</v>
      </c>
      <c r="L2262">
        <v>14.56</v>
      </c>
      <c r="M2262">
        <v>27.29</v>
      </c>
      <c r="N2262">
        <v>1.1000000000000001</v>
      </c>
      <c r="O2262">
        <v>3.76</v>
      </c>
      <c r="P2262">
        <v>27.31</v>
      </c>
      <c r="Q2262">
        <v>-1.98</v>
      </c>
      <c r="R2262">
        <v>25.8</v>
      </c>
      <c r="S2262">
        <v>26.1</v>
      </c>
      <c r="T2262">
        <v>80098</v>
      </c>
      <c r="U2262">
        <v>27.3</v>
      </c>
      <c r="V2262">
        <v>26.32</v>
      </c>
      <c r="W2262">
        <v>52.63</v>
      </c>
      <c r="X2262" t="s">
        <v>141</v>
      </c>
      <c r="Y2262" t="s">
        <v>123</v>
      </c>
      <c r="Z2262">
        <v>5.74</v>
      </c>
      <c r="AA2262">
        <v>26.76</v>
      </c>
      <c r="AB2262">
        <v>35862</v>
      </c>
      <c r="AC2262">
        <v>44236</v>
      </c>
      <c r="AD2262">
        <v>0.81</v>
      </c>
      <c r="AE2262">
        <v>190</v>
      </c>
      <c r="AF2262">
        <v>308</v>
      </c>
      <c r="AG2262" t="s">
        <v>120</v>
      </c>
      <c r="AH2262">
        <v>0.02</v>
      </c>
      <c r="AI2262" t="s">
        <v>120</v>
      </c>
      <c r="AJ2262">
        <v>0.55000000000000004</v>
      </c>
      <c r="AK2262" t="s">
        <v>10784</v>
      </c>
      <c r="AL2262">
        <v>5.6</v>
      </c>
      <c r="AM2262">
        <v>2931</v>
      </c>
      <c r="AN2262">
        <v>27</v>
      </c>
      <c r="AO2262">
        <v>5.0000000000000001E-3</v>
      </c>
      <c r="AP2262">
        <v>1</v>
      </c>
      <c r="AQ2262">
        <v>-0.11</v>
      </c>
      <c r="AR2262">
        <v>4.76</v>
      </c>
      <c r="AS2262">
        <v>13.01</v>
      </c>
      <c r="AT2262">
        <v>-5.24</v>
      </c>
      <c r="AU2262">
        <v>-1.29</v>
      </c>
      <c r="AV2262">
        <v>3</v>
      </c>
      <c r="AW2262">
        <v>14.56</v>
      </c>
      <c r="AX2262">
        <v>25</v>
      </c>
      <c r="AY2262">
        <v>44.28</v>
      </c>
      <c r="AZ2262">
        <v>47.66</v>
      </c>
      <c r="BA2262">
        <v>1.43</v>
      </c>
      <c r="BB2262" t="s">
        <v>143</v>
      </c>
      <c r="BF2262">
        <v>1.68</v>
      </c>
      <c r="BG2262">
        <v>4.5599999999999996</v>
      </c>
      <c r="BH2262">
        <v>-7.0000000000000007E-2</v>
      </c>
      <c r="BI2262">
        <v>5.78</v>
      </c>
      <c r="BJ2262">
        <v>20210827</v>
      </c>
      <c r="BK2262">
        <v>20201230</v>
      </c>
      <c r="BL2262">
        <v>2.2000000000000002</v>
      </c>
      <c r="BM2262" t="s">
        <v>120</v>
      </c>
      <c r="BN2262" t="s">
        <v>120</v>
      </c>
      <c r="BO2262">
        <v>16.190000000000001</v>
      </c>
      <c r="BP2262">
        <v>27.29</v>
      </c>
      <c r="BQ2262">
        <v>11.63</v>
      </c>
      <c r="BR2262" t="s">
        <v>120</v>
      </c>
      <c r="BS2262">
        <v>28.19</v>
      </c>
      <c r="BT2262">
        <v>14.92</v>
      </c>
      <c r="BU2262">
        <v>0.27</v>
      </c>
      <c r="BV2262">
        <v>0.01</v>
      </c>
      <c r="BW2262">
        <v>3.87</v>
      </c>
      <c r="BX2262">
        <v>2.79</v>
      </c>
      <c r="BY2262">
        <v>0.03</v>
      </c>
      <c r="BZ2262">
        <v>8.6999999999999993</v>
      </c>
      <c r="CA2262" t="s">
        <v>120</v>
      </c>
      <c r="CB2262">
        <v>5.77</v>
      </c>
      <c r="CC2262">
        <v>13.85</v>
      </c>
      <c r="CD2262">
        <v>10.29</v>
      </c>
      <c r="CE2262">
        <v>0.68</v>
      </c>
      <c r="CF2262">
        <v>0.03</v>
      </c>
      <c r="CG2262">
        <v>0.68</v>
      </c>
      <c r="CH2262">
        <v>0.56999999999999995</v>
      </c>
      <c r="CI2262">
        <v>0.56999999999999995</v>
      </c>
      <c r="CJ2262">
        <v>0.97</v>
      </c>
      <c r="CK2262">
        <v>0.48</v>
      </c>
      <c r="CL2262">
        <v>3.34</v>
      </c>
      <c r="CM2262">
        <v>-2.48</v>
      </c>
      <c r="CN2262">
        <v>-5.93</v>
      </c>
      <c r="CO2262">
        <v>25161</v>
      </c>
      <c r="CP2262">
        <v>2187</v>
      </c>
      <c r="CQ2262" t="s">
        <v>5163</v>
      </c>
      <c r="CR2262">
        <v>19.45</v>
      </c>
      <c r="CS2262">
        <v>73.7</v>
      </c>
      <c r="CT2262">
        <v>5.16</v>
      </c>
      <c r="CU2262">
        <v>-24.26</v>
      </c>
      <c r="CV2262">
        <v>4.34</v>
      </c>
      <c r="CW2262">
        <v>0.22</v>
      </c>
      <c r="CX2262" t="s">
        <v>670</v>
      </c>
      <c r="CY2262">
        <v>5.28</v>
      </c>
      <c r="CZ2262">
        <v>0</v>
      </c>
      <c r="DA2262">
        <v>2.62</v>
      </c>
      <c r="DB2262">
        <v>1.52</v>
      </c>
      <c r="DC2262">
        <v>-1.1200000000000001</v>
      </c>
      <c r="DD2262">
        <v>71.81</v>
      </c>
      <c r="DE2262" t="s">
        <v>3755</v>
      </c>
      <c r="DF2262">
        <v>25.66</v>
      </c>
      <c r="DG2262">
        <v>4.9000000000000004</v>
      </c>
      <c r="DH2262">
        <v>4.12</v>
      </c>
      <c r="DI2262">
        <v>0.79</v>
      </c>
      <c r="DJ2262">
        <v>13335</v>
      </c>
      <c r="DK2262">
        <v>300925</v>
      </c>
      <c r="DL2262" t="s">
        <v>120</v>
      </c>
      <c r="DM2262" t="s">
        <v>120</v>
      </c>
      <c r="DN2262" t="s">
        <v>120</v>
      </c>
    </row>
    <row r="2263" spans="1:118">
      <c r="A2263" t="str">
        <f>"300926"</f>
        <v>300926</v>
      </c>
      <c r="B2263" t="s">
        <v>10785</v>
      </c>
      <c r="C2263">
        <v>-0.61</v>
      </c>
      <c r="D2263">
        <v>0</v>
      </c>
      <c r="E2263">
        <v>-0.43</v>
      </c>
      <c r="F2263">
        <v>584</v>
      </c>
      <c r="G2263" t="s">
        <v>10786</v>
      </c>
      <c r="H2263">
        <v>9297.58</v>
      </c>
      <c r="I2263">
        <v>18.34</v>
      </c>
      <c r="J2263" t="s">
        <v>120</v>
      </c>
      <c r="K2263" t="s">
        <v>10786</v>
      </c>
      <c r="L2263">
        <v>11.28</v>
      </c>
      <c r="M2263">
        <v>22.88</v>
      </c>
      <c r="N2263">
        <v>0.9</v>
      </c>
      <c r="O2263">
        <v>3.26</v>
      </c>
      <c r="P2263">
        <v>23.77</v>
      </c>
      <c r="Q2263">
        <v>-1.35</v>
      </c>
      <c r="R2263">
        <v>22.71</v>
      </c>
      <c r="S2263">
        <v>22.92</v>
      </c>
      <c r="T2263">
        <v>40091</v>
      </c>
      <c r="U2263">
        <v>22.89</v>
      </c>
      <c r="V2263">
        <v>23.02</v>
      </c>
      <c r="W2263">
        <v>62.51</v>
      </c>
      <c r="X2263" t="s">
        <v>289</v>
      </c>
      <c r="Y2263" t="s">
        <v>319</v>
      </c>
      <c r="Z2263">
        <v>4.5999999999999996</v>
      </c>
      <c r="AA2263">
        <v>23.19</v>
      </c>
      <c r="AB2263">
        <v>22005</v>
      </c>
      <c r="AC2263">
        <v>18086</v>
      </c>
      <c r="AD2263">
        <v>1.22</v>
      </c>
      <c r="AE2263">
        <v>94</v>
      </c>
      <c r="AF2263">
        <v>3</v>
      </c>
      <c r="AG2263" t="s">
        <v>120</v>
      </c>
      <c r="AH2263">
        <v>0.02</v>
      </c>
      <c r="AI2263" t="s">
        <v>120</v>
      </c>
      <c r="AJ2263">
        <v>0.36</v>
      </c>
      <c r="AK2263" t="s">
        <v>10787</v>
      </c>
      <c r="AL2263">
        <v>1.31</v>
      </c>
      <c r="AM2263">
        <v>2063</v>
      </c>
      <c r="AN2263">
        <v>19</v>
      </c>
      <c r="AO2263">
        <v>5.4999999999999997E-3</v>
      </c>
      <c r="AP2263">
        <v>-2</v>
      </c>
      <c r="AQ2263">
        <v>-0.69</v>
      </c>
      <c r="AR2263">
        <v>1.78</v>
      </c>
      <c r="AS2263">
        <v>10.220000000000001</v>
      </c>
      <c r="AT2263">
        <v>1.78</v>
      </c>
      <c r="AU2263">
        <v>113.63</v>
      </c>
      <c r="AV2263">
        <v>1</v>
      </c>
      <c r="AW2263">
        <v>11.28</v>
      </c>
      <c r="AX2263">
        <v>25</v>
      </c>
      <c r="AY2263">
        <v>43.95</v>
      </c>
      <c r="AZ2263">
        <v>48.62</v>
      </c>
      <c r="BA2263">
        <v>1.03</v>
      </c>
      <c r="BB2263" t="s">
        <v>143</v>
      </c>
      <c r="BF2263">
        <v>0.74</v>
      </c>
      <c r="BG2263">
        <v>-0.17</v>
      </c>
      <c r="BH2263">
        <v>-3.74</v>
      </c>
      <c r="BI2263">
        <v>0.75</v>
      </c>
      <c r="BJ2263">
        <v>20210913</v>
      </c>
      <c r="BK2263">
        <v>20210107</v>
      </c>
      <c r="BL2263">
        <v>1.42</v>
      </c>
      <c r="BM2263" t="s">
        <v>120</v>
      </c>
      <c r="BN2263" t="s">
        <v>120</v>
      </c>
      <c r="BO2263">
        <v>14.83</v>
      </c>
      <c r="BP2263">
        <v>22.88</v>
      </c>
      <c r="BQ2263">
        <v>8.89</v>
      </c>
      <c r="BR2263" t="s">
        <v>120</v>
      </c>
      <c r="BS2263">
        <v>40.06</v>
      </c>
      <c r="BT2263">
        <v>8.58</v>
      </c>
      <c r="BU2263">
        <v>4.03</v>
      </c>
      <c r="BV2263">
        <v>0.44</v>
      </c>
      <c r="BW2263">
        <v>5.62</v>
      </c>
      <c r="BX2263">
        <v>3.04</v>
      </c>
      <c r="BY2263">
        <v>2.5299999999999998</v>
      </c>
      <c r="BZ2263">
        <v>2.14</v>
      </c>
      <c r="CA2263" t="s">
        <v>120</v>
      </c>
      <c r="CB2263">
        <v>3.34</v>
      </c>
      <c r="CC2263">
        <v>2.91</v>
      </c>
      <c r="CD2263">
        <v>2.17</v>
      </c>
      <c r="CE2263">
        <v>0.31</v>
      </c>
      <c r="CF2263">
        <v>0.02</v>
      </c>
      <c r="CG2263">
        <v>0.31</v>
      </c>
      <c r="CH2263">
        <v>0.26</v>
      </c>
      <c r="CI2263">
        <v>0.26</v>
      </c>
      <c r="CJ2263">
        <v>-0.14000000000000001</v>
      </c>
      <c r="CK2263">
        <v>0.24</v>
      </c>
      <c r="CL2263">
        <v>3.69</v>
      </c>
      <c r="CM2263">
        <v>0.42</v>
      </c>
      <c r="CN2263">
        <v>-1.1599999999999999</v>
      </c>
      <c r="CO2263">
        <v>15142</v>
      </c>
      <c r="CP2263">
        <v>2347</v>
      </c>
      <c r="CQ2263" t="s">
        <v>1920</v>
      </c>
      <c r="CR2263">
        <v>37.93</v>
      </c>
      <c r="CS2263">
        <v>40.17</v>
      </c>
      <c r="CT2263">
        <v>3.66</v>
      </c>
      <c r="CU2263">
        <v>76.819999999999993</v>
      </c>
      <c r="CV2263">
        <v>11.18</v>
      </c>
      <c r="CW2263">
        <v>0.22</v>
      </c>
      <c r="CX2263" t="s">
        <v>5225</v>
      </c>
      <c r="CY2263">
        <v>6.25</v>
      </c>
      <c r="CZ2263">
        <v>0</v>
      </c>
      <c r="DA2263">
        <v>2.35</v>
      </c>
      <c r="DB2263">
        <v>2.59</v>
      </c>
      <c r="DC2263">
        <v>0.3</v>
      </c>
      <c r="DD2263">
        <v>59.94</v>
      </c>
      <c r="DE2263" t="s">
        <v>7345</v>
      </c>
      <c r="DF2263">
        <v>25.55</v>
      </c>
      <c r="DG2263">
        <v>10.55</v>
      </c>
      <c r="DH2263">
        <v>8.94</v>
      </c>
      <c r="DI2263">
        <v>0.13</v>
      </c>
      <c r="DJ2263">
        <v>944</v>
      </c>
      <c r="DK2263">
        <v>300926</v>
      </c>
      <c r="DL2263" t="s">
        <v>120</v>
      </c>
      <c r="DM2263" t="s">
        <v>120</v>
      </c>
      <c r="DN2263" t="s">
        <v>120</v>
      </c>
    </row>
    <row r="2264" spans="1:118">
      <c r="A2264" t="str">
        <f>"300927"</f>
        <v>300927</v>
      </c>
      <c r="B2264" t="s">
        <v>10788</v>
      </c>
      <c r="C2264">
        <v>11.13</v>
      </c>
      <c r="D2264">
        <v>0.17</v>
      </c>
      <c r="E2264">
        <v>1.86</v>
      </c>
      <c r="F2264">
        <v>1320</v>
      </c>
      <c r="G2264" t="s">
        <v>10789</v>
      </c>
      <c r="H2264">
        <v>65966.559999999998</v>
      </c>
      <c r="I2264">
        <v>1143.71</v>
      </c>
      <c r="J2264" t="s">
        <v>120</v>
      </c>
      <c r="K2264" t="s">
        <v>10789</v>
      </c>
      <c r="L2264">
        <v>62.54</v>
      </c>
      <c r="M2264">
        <v>54.3</v>
      </c>
      <c r="N2264">
        <v>1.84</v>
      </c>
      <c r="O2264">
        <v>20</v>
      </c>
      <c r="P2264">
        <v>58.63</v>
      </c>
      <c r="Q2264">
        <v>0.28999999999999998</v>
      </c>
      <c r="R2264">
        <v>49</v>
      </c>
      <c r="S2264">
        <v>49.77</v>
      </c>
      <c r="T2264">
        <v>125397</v>
      </c>
      <c r="U2264">
        <v>54.33</v>
      </c>
      <c r="V2264">
        <v>48.86</v>
      </c>
      <c r="W2264">
        <v>53.28</v>
      </c>
      <c r="X2264" t="s">
        <v>868</v>
      </c>
      <c r="Y2264" t="s">
        <v>319</v>
      </c>
      <c r="Z2264">
        <v>19.71</v>
      </c>
      <c r="AA2264">
        <v>52.61</v>
      </c>
      <c r="AB2264">
        <v>58483</v>
      </c>
      <c r="AC2264">
        <v>66914</v>
      </c>
      <c r="AD2264">
        <v>0.87</v>
      </c>
      <c r="AE2264">
        <v>66</v>
      </c>
      <c r="AF2264">
        <v>21</v>
      </c>
      <c r="AG2264" t="s">
        <v>120</v>
      </c>
      <c r="AH2264">
        <v>1.1499999999999999</v>
      </c>
      <c r="AI2264" t="s">
        <v>120</v>
      </c>
      <c r="AJ2264">
        <v>0.2</v>
      </c>
      <c r="AK2264" t="s">
        <v>9311</v>
      </c>
      <c r="AL2264">
        <v>13.05</v>
      </c>
      <c r="AM2264">
        <v>3611</v>
      </c>
      <c r="AN2264">
        <v>35</v>
      </c>
      <c r="AO2264">
        <v>1.7299999999999999E-2</v>
      </c>
      <c r="AP2264">
        <v>2</v>
      </c>
      <c r="AQ2264">
        <v>19.989999999999998</v>
      </c>
      <c r="AR2264">
        <v>27.35</v>
      </c>
      <c r="AS2264">
        <v>70.7</v>
      </c>
      <c r="AT2264">
        <v>74.31</v>
      </c>
      <c r="AU2264">
        <v>311.98</v>
      </c>
      <c r="AV2264">
        <v>4</v>
      </c>
      <c r="AW2264">
        <v>62.54</v>
      </c>
      <c r="AX2264">
        <v>25</v>
      </c>
      <c r="AY2264">
        <v>59.48</v>
      </c>
      <c r="AZ2264">
        <v>71.239999999999995</v>
      </c>
      <c r="BA2264">
        <v>0.43</v>
      </c>
      <c r="BB2264" t="s">
        <v>700</v>
      </c>
      <c r="BF2264">
        <v>7.67</v>
      </c>
      <c r="BG2264">
        <v>9.1</v>
      </c>
      <c r="BH2264">
        <v>-7.39</v>
      </c>
      <c r="BI2264">
        <v>10.82</v>
      </c>
      <c r="BJ2264">
        <v>20210914</v>
      </c>
      <c r="BK2264">
        <v>20210107</v>
      </c>
      <c r="BL2264">
        <v>0.8</v>
      </c>
      <c r="BM2264" t="s">
        <v>120</v>
      </c>
      <c r="BN2264" t="s">
        <v>120</v>
      </c>
      <c r="BO2264">
        <v>7.07</v>
      </c>
      <c r="BP2264">
        <v>54.3</v>
      </c>
      <c r="BQ2264">
        <v>5.61</v>
      </c>
      <c r="BR2264" t="s">
        <v>120</v>
      </c>
      <c r="BS2264">
        <v>20.61</v>
      </c>
      <c r="BT2264">
        <v>3.66</v>
      </c>
      <c r="BU2264">
        <v>2.5299999999999998</v>
      </c>
      <c r="BV2264">
        <v>0.14000000000000001</v>
      </c>
      <c r="BW2264">
        <v>1.1100000000000001</v>
      </c>
      <c r="BX2264">
        <v>1.98</v>
      </c>
      <c r="BY2264">
        <v>0.32</v>
      </c>
      <c r="BZ2264">
        <v>0.62</v>
      </c>
      <c r="CA2264" t="s">
        <v>120</v>
      </c>
      <c r="CB2264">
        <v>2.87</v>
      </c>
      <c r="CC2264">
        <v>3.49</v>
      </c>
      <c r="CD2264">
        <v>2.73</v>
      </c>
      <c r="CE2264">
        <v>0.46</v>
      </c>
      <c r="CF2264">
        <v>0</v>
      </c>
      <c r="CG2264">
        <v>0.48</v>
      </c>
      <c r="CH2264">
        <v>0.41</v>
      </c>
      <c r="CI2264">
        <v>0.41</v>
      </c>
      <c r="CJ2264">
        <v>5.44</v>
      </c>
      <c r="CK2264">
        <v>0.39</v>
      </c>
      <c r="CL2264">
        <v>1.66</v>
      </c>
      <c r="CM2264">
        <v>-0.32</v>
      </c>
      <c r="CN2264">
        <v>-0.86</v>
      </c>
      <c r="CO2264">
        <v>9982</v>
      </c>
      <c r="CP2264">
        <v>2009</v>
      </c>
      <c r="CQ2264" t="s">
        <v>10790</v>
      </c>
      <c r="CR2264">
        <v>36.26</v>
      </c>
      <c r="CS2264">
        <v>65.14</v>
      </c>
      <c r="CT2264">
        <v>7.76</v>
      </c>
      <c r="CU2264">
        <v>-136.12</v>
      </c>
      <c r="CV2264">
        <v>12.5</v>
      </c>
      <c r="CW2264">
        <v>0.43</v>
      </c>
      <c r="CX2264" t="s">
        <v>1001</v>
      </c>
      <c r="CY2264">
        <v>7</v>
      </c>
      <c r="CZ2264">
        <v>0</v>
      </c>
      <c r="DA2264">
        <v>3.58</v>
      </c>
      <c r="DB2264">
        <v>2.0699999999999998</v>
      </c>
      <c r="DC2264">
        <v>-0.4</v>
      </c>
      <c r="DD2264">
        <v>79.39</v>
      </c>
      <c r="DE2264" t="s">
        <v>9186</v>
      </c>
      <c r="DF2264">
        <v>21.62</v>
      </c>
      <c r="DG2264">
        <v>13.26</v>
      </c>
      <c r="DH2264">
        <v>11.73</v>
      </c>
      <c r="DI2264">
        <v>0.03</v>
      </c>
      <c r="DJ2264">
        <v>193</v>
      </c>
      <c r="DK2264">
        <v>300927</v>
      </c>
      <c r="DL2264">
        <v>20210913</v>
      </c>
      <c r="DM2264">
        <v>42.64</v>
      </c>
      <c r="DN2264">
        <v>27.35</v>
      </c>
    </row>
    <row r="2265" spans="1:118">
      <c r="A2265" t="str">
        <f>"300928"</f>
        <v>300928</v>
      </c>
      <c r="B2265" t="s">
        <v>10791</v>
      </c>
      <c r="C2265">
        <v>-3.88</v>
      </c>
      <c r="D2265">
        <v>0</v>
      </c>
      <c r="E2265">
        <v>-0.59</v>
      </c>
      <c r="F2265">
        <v>185</v>
      </c>
      <c r="G2265" t="s">
        <v>6677</v>
      </c>
      <c r="H2265">
        <v>2197.9699999999998</v>
      </c>
      <c r="I2265">
        <v>3.36</v>
      </c>
      <c r="J2265" t="s">
        <v>120</v>
      </c>
      <c r="K2265" t="s">
        <v>6677</v>
      </c>
      <c r="L2265">
        <v>2.64</v>
      </c>
      <c r="M2265">
        <v>40.61</v>
      </c>
      <c r="N2265">
        <v>0.48</v>
      </c>
      <c r="O2265">
        <v>1.07</v>
      </c>
      <c r="P2265">
        <v>42.7</v>
      </c>
      <c r="Q2265">
        <v>-3.88</v>
      </c>
      <c r="R2265">
        <v>40.61</v>
      </c>
      <c r="S2265">
        <v>42</v>
      </c>
      <c r="T2265">
        <v>5281</v>
      </c>
      <c r="U2265">
        <v>40.61</v>
      </c>
      <c r="V2265">
        <v>42.25</v>
      </c>
      <c r="W2265">
        <v>67.53</v>
      </c>
      <c r="X2265" t="s">
        <v>289</v>
      </c>
      <c r="Y2265" t="s">
        <v>158</v>
      </c>
      <c r="Z2265">
        <v>4.95</v>
      </c>
      <c r="AA2265">
        <v>41.62</v>
      </c>
      <c r="AB2265">
        <v>3552</v>
      </c>
      <c r="AC2265">
        <v>1729</v>
      </c>
      <c r="AD2265">
        <v>2.0499999999999998</v>
      </c>
      <c r="AE2265">
        <v>74</v>
      </c>
      <c r="AF2265">
        <v>1</v>
      </c>
      <c r="AG2265" t="s">
        <v>120</v>
      </c>
      <c r="AH2265">
        <v>0</v>
      </c>
      <c r="AI2265" t="s">
        <v>120</v>
      </c>
      <c r="AJ2265">
        <v>0.2</v>
      </c>
      <c r="AK2265" t="s">
        <v>9166</v>
      </c>
      <c r="AL2265">
        <v>-1.97</v>
      </c>
      <c r="AM2265">
        <v>798</v>
      </c>
      <c r="AN2265">
        <v>7</v>
      </c>
      <c r="AO2265">
        <v>3.3E-3</v>
      </c>
      <c r="AP2265">
        <v>-3</v>
      </c>
      <c r="AQ2265">
        <v>-0.61</v>
      </c>
      <c r="AR2265">
        <v>-8.4700000000000006</v>
      </c>
      <c r="AS2265">
        <v>-12.53</v>
      </c>
      <c r="AT2265">
        <v>-11.93</v>
      </c>
      <c r="AU2265">
        <v>7.58</v>
      </c>
      <c r="AV2265">
        <v>1</v>
      </c>
      <c r="AW2265">
        <v>2.64</v>
      </c>
      <c r="AX2265">
        <v>25</v>
      </c>
      <c r="AY2265">
        <v>52.46</v>
      </c>
      <c r="AZ2265">
        <v>48.01</v>
      </c>
      <c r="BA2265">
        <v>0.84</v>
      </c>
      <c r="BB2265" t="s">
        <v>143</v>
      </c>
      <c r="BF2265">
        <v>-1.48</v>
      </c>
      <c r="BG2265">
        <v>-3.31</v>
      </c>
      <c r="BH2265">
        <v>-4.8899999999999997</v>
      </c>
      <c r="BI2265">
        <v>0</v>
      </c>
      <c r="BJ2265">
        <v>20210820</v>
      </c>
      <c r="BK2265">
        <v>20210106</v>
      </c>
      <c r="BL2265">
        <v>0.8</v>
      </c>
      <c r="BM2265" t="s">
        <v>120</v>
      </c>
      <c r="BN2265" t="s">
        <v>120</v>
      </c>
      <c r="BO2265">
        <v>13.38</v>
      </c>
      <c r="BP2265">
        <v>40.6</v>
      </c>
      <c r="BQ2265">
        <v>12.36</v>
      </c>
      <c r="BR2265">
        <v>7.0000000000000007E-2</v>
      </c>
      <c r="BS2265">
        <v>7.1</v>
      </c>
      <c r="BT2265">
        <v>12.9</v>
      </c>
      <c r="BU2265">
        <v>0.11</v>
      </c>
      <c r="BV2265">
        <v>0.21</v>
      </c>
      <c r="BW2265">
        <v>0.93</v>
      </c>
      <c r="BX2265">
        <v>5.9</v>
      </c>
      <c r="BY2265">
        <v>0.05</v>
      </c>
      <c r="BZ2265">
        <v>4.83</v>
      </c>
      <c r="CA2265" t="s">
        <v>120</v>
      </c>
      <c r="CB2265">
        <v>9.65</v>
      </c>
      <c r="CC2265">
        <v>3.8</v>
      </c>
      <c r="CD2265">
        <v>3.37</v>
      </c>
      <c r="CE2265">
        <v>0.23</v>
      </c>
      <c r="CF2265">
        <v>0.05</v>
      </c>
      <c r="CG2265">
        <v>0.26</v>
      </c>
      <c r="CH2265">
        <v>0.23</v>
      </c>
      <c r="CI2265">
        <v>0.24</v>
      </c>
      <c r="CJ2265">
        <v>-1.64</v>
      </c>
      <c r="CK2265">
        <v>0.18</v>
      </c>
      <c r="CL2265">
        <v>1.77</v>
      </c>
      <c r="CM2265">
        <v>-0.64</v>
      </c>
      <c r="CN2265">
        <v>-1.94</v>
      </c>
      <c r="CO2265">
        <v>16318</v>
      </c>
      <c r="CP2265">
        <v>1226</v>
      </c>
      <c r="CQ2265" t="s">
        <v>6713</v>
      </c>
      <c r="CR2265">
        <v>-19.899999999999999</v>
      </c>
      <c r="CS2265">
        <v>-3.92</v>
      </c>
      <c r="CT2265">
        <v>2.63</v>
      </c>
      <c r="CU2265">
        <v>-50.98</v>
      </c>
      <c r="CV2265">
        <v>8.5500000000000007</v>
      </c>
      <c r="CW2265">
        <v>0.71</v>
      </c>
      <c r="CX2265" t="s">
        <v>1340</v>
      </c>
      <c r="CY2265">
        <v>15.45</v>
      </c>
      <c r="CZ2265">
        <v>0</v>
      </c>
      <c r="DA2265">
        <v>12.06</v>
      </c>
      <c r="DB2265">
        <v>2.21</v>
      </c>
      <c r="DC2265">
        <v>-0.8</v>
      </c>
      <c r="DD2265">
        <v>92.4</v>
      </c>
      <c r="DE2265" t="s">
        <v>1768</v>
      </c>
      <c r="DF2265">
        <v>11.35</v>
      </c>
      <c r="DG2265">
        <v>6.16</v>
      </c>
      <c r="DH2265">
        <v>6.33</v>
      </c>
      <c r="DI2265">
        <v>0.1</v>
      </c>
      <c r="DJ2265">
        <v>157</v>
      </c>
      <c r="DK2265">
        <v>300928</v>
      </c>
      <c r="DL2265" t="s">
        <v>120</v>
      </c>
      <c r="DM2265" t="s">
        <v>120</v>
      </c>
      <c r="DN2265" t="s">
        <v>120</v>
      </c>
    </row>
    <row r="2266" spans="1:118">
      <c r="A2266" t="str">
        <f>"300929"</f>
        <v>300929</v>
      </c>
      <c r="B2266" t="s">
        <v>10792</v>
      </c>
      <c r="C2266">
        <v>-3.5</v>
      </c>
      <c r="D2266">
        <v>0</v>
      </c>
      <c r="E2266">
        <v>-0.1</v>
      </c>
      <c r="F2266">
        <v>359</v>
      </c>
      <c r="G2266" t="s">
        <v>10793</v>
      </c>
      <c r="H2266">
        <v>5969.31</v>
      </c>
      <c r="I2266">
        <v>18.88</v>
      </c>
      <c r="J2266" t="s">
        <v>120</v>
      </c>
      <c r="K2266" t="s">
        <v>10793</v>
      </c>
      <c r="L2266">
        <v>10.66</v>
      </c>
      <c r="M2266">
        <v>28.95</v>
      </c>
      <c r="N2266">
        <v>0.6</v>
      </c>
      <c r="O2266">
        <v>1.23</v>
      </c>
      <c r="P2266">
        <v>30.37</v>
      </c>
      <c r="Q2266">
        <v>-3.5</v>
      </c>
      <c r="R2266">
        <v>28.95</v>
      </c>
      <c r="S2266">
        <v>29.97</v>
      </c>
      <c r="T2266">
        <v>20196</v>
      </c>
      <c r="U2266">
        <v>28.99</v>
      </c>
      <c r="V2266">
        <v>30</v>
      </c>
      <c r="W2266">
        <v>38.049999999999997</v>
      </c>
      <c r="X2266" t="s">
        <v>318</v>
      </c>
      <c r="Y2266" t="s">
        <v>570</v>
      </c>
      <c r="Z2266">
        <v>4.7300000000000004</v>
      </c>
      <c r="AA2266">
        <v>29.56</v>
      </c>
      <c r="AB2266">
        <v>11483</v>
      </c>
      <c r="AC2266">
        <v>8713</v>
      </c>
      <c r="AD2266">
        <v>1.32</v>
      </c>
      <c r="AE2266">
        <v>56</v>
      </c>
      <c r="AF2266">
        <v>14</v>
      </c>
      <c r="AG2266" t="s">
        <v>120</v>
      </c>
      <c r="AH2266">
        <v>0.03</v>
      </c>
      <c r="AI2266" t="s">
        <v>120</v>
      </c>
      <c r="AJ2266">
        <v>0.19</v>
      </c>
      <c r="AK2266" t="s">
        <v>4206</v>
      </c>
      <c r="AL2266">
        <v>-1.59</v>
      </c>
      <c r="AM2266">
        <v>1616</v>
      </c>
      <c r="AN2266">
        <v>12</v>
      </c>
      <c r="AO2266">
        <v>6.6E-3</v>
      </c>
      <c r="AP2266">
        <v>-3</v>
      </c>
      <c r="AQ2266">
        <v>-1.38</v>
      </c>
      <c r="AR2266">
        <v>-7.95</v>
      </c>
      <c r="AS2266">
        <v>4.07</v>
      </c>
      <c r="AT2266">
        <v>-9.0500000000000007</v>
      </c>
      <c r="AU2266">
        <v>110.54</v>
      </c>
      <c r="AV2266">
        <v>4</v>
      </c>
      <c r="AW2266">
        <v>10.66</v>
      </c>
      <c r="AX2266">
        <v>22.94</v>
      </c>
      <c r="AY2266">
        <v>33.090000000000003</v>
      </c>
      <c r="AZ2266">
        <v>34.14</v>
      </c>
      <c r="BA2266">
        <v>0.67</v>
      </c>
      <c r="BB2266" t="s">
        <v>143</v>
      </c>
      <c r="BF2266">
        <v>-1.48</v>
      </c>
      <c r="BG2266">
        <v>-3.4</v>
      </c>
      <c r="BH2266">
        <v>-4.68</v>
      </c>
      <c r="BI2266">
        <v>0</v>
      </c>
      <c r="BJ2266">
        <v>20210914</v>
      </c>
      <c r="BK2266">
        <v>20210120</v>
      </c>
      <c r="BL2266">
        <v>0.83</v>
      </c>
      <c r="BM2266" t="s">
        <v>120</v>
      </c>
      <c r="BN2266" t="s">
        <v>120</v>
      </c>
      <c r="BO2266">
        <v>17.53</v>
      </c>
      <c r="BP2266">
        <v>28.95</v>
      </c>
      <c r="BQ2266">
        <v>7.78</v>
      </c>
      <c r="BR2266">
        <v>0.06</v>
      </c>
      <c r="BS2266">
        <v>55.28</v>
      </c>
      <c r="BT2266">
        <v>11.32</v>
      </c>
      <c r="BU2266">
        <v>0.65</v>
      </c>
      <c r="BV2266">
        <v>0.24</v>
      </c>
      <c r="BW2266">
        <v>5.62</v>
      </c>
      <c r="BX2266">
        <v>3.09</v>
      </c>
      <c r="BY2266">
        <v>0.53</v>
      </c>
      <c r="BZ2266">
        <v>1.88</v>
      </c>
      <c r="CA2266" t="s">
        <v>120</v>
      </c>
      <c r="CB2266">
        <v>3.96</v>
      </c>
      <c r="CC2266">
        <v>3.05</v>
      </c>
      <c r="CD2266">
        <v>2.36</v>
      </c>
      <c r="CE2266">
        <v>0.35</v>
      </c>
      <c r="CF2266">
        <v>0.01</v>
      </c>
      <c r="CG2266">
        <v>0.37</v>
      </c>
      <c r="CH2266">
        <v>0.31</v>
      </c>
      <c r="CI2266">
        <v>0.31</v>
      </c>
      <c r="CJ2266">
        <v>-1.05</v>
      </c>
      <c r="CK2266">
        <v>0.24</v>
      </c>
      <c r="CL2266">
        <v>2.7</v>
      </c>
      <c r="CM2266">
        <v>-0.92</v>
      </c>
      <c r="CN2266">
        <v>1.85</v>
      </c>
      <c r="CO2266">
        <v>10853</v>
      </c>
      <c r="CP2266">
        <v>1746</v>
      </c>
      <c r="CQ2266" t="s">
        <v>358</v>
      </c>
      <c r="CR2266">
        <v>7.99</v>
      </c>
      <c r="CS2266">
        <v>5.01</v>
      </c>
      <c r="CT2266">
        <v>3.07</v>
      </c>
      <c r="CU2266">
        <v>-26</v>
      </c>
      <c r="CV2266">
        <v>7.84</v>
      </c>
      <c r="CW2266">
        <v>0.4</v>
      </c>
      <c r="CX2266" t="s">
        <v>3527</v>
      </c>
      <c r="CY2266">
        <v>9.42</v>
      </c>
      <c r="CZ2266">
        <v>0</v>
      </c>
      <c r="DA2266">
        <v>4.8</v>
      </c>
      <c r="DB2266">
        <v>3.27</v>
      </c>
      <c r="DC2266">
        <v>-1.1100000000000001</v>
      </c>
      <c r="DD2266">
        <v>44.37</v>
      </c>
      <c r="DE2266" t="s">
        <v>7205</v>
      </c>
      <c r="DF2266">
        <v>22.71</v>
      </c>
      <c r="DG2266">
        <v>11.35</v>
      </c>
      <c r="DH2266">
        <v>10.3</v>
      </c>
      <c r="DI2266">
        <v>0.1</v>
      </c>
      <c r="DJ2266">
        <v>504</v>
      </c>
      <c r="DK2266">
        <v>300929</v>
      </c>
      <c r="DL2266">
        <v>20210831</v>
      </c>
      <c r="DM2266">
        <v>32.76</v>
      </c>
      <c r="DN2266">
        <v>-11.63</v>
      </c>
    </row>
    <row r="2267" spans="1:118">
      <c r="A2267" t="str">
        <f>"300930"</f>
        <v>300930</v>
      </c>
      <c r="B2267" t="s">
        <v>10794</v>
      </c>
      <c r="C2267">
        <v>-0.86</v>
      </c>
      <c r="D2267">
        <v>0.21</v>
      </c>
      <c r="E2267">
        <v>0</v>
      </c>
      <c r="F2267">
        <v>323</v>
      </c>
      <c r="G2267" t="s">
        <v>9699</v>
      </c>
      <c r="H2267">
        <v>7175.83</v>
      </c>
      <c r="I2267">
        <v>19.32</v>
      </c>
      <c r="J2267" t="s">
        <v>120</v>
      </c>
      <c r="K2267" t="s">
        <v>9699</v>
      </c>
      <c r="L2267">
        <v>8.44</v>
      </c>
      <c r="M2267">
        <v>33.61</v>
      </c>
      <c r="N2267">
        <v>0.75</v>
      </c>
      <c r="O2267">
        <v>5.19</v>
      </c>
      <c r="P2267">
        <v>35.659999999999997</v>
      </c>
      <c r="Q2267">
        <v>-2.65</v>
      </c>
      <c r="R2267">
        <v>33</v>
      </c>
      <c r="S2267">
        <v>33.9</v>
      </c>
      <c r="T2267">
        <v>21104</v>
      </c>
      <c r="U2267">
        <v>33.61</v>
      </c>
      <c r="V2267">
        <v>33.9</v>
      </c>
      <c r="W2267">
        <v>36.119999999999997</v>
      </c>
      <c r="X2267" t="s">
        <v>1390</v>
      </c>
      <c r="Y2267" t="s">
        <v>585</v>
      </c>
      <c r="Z2267">
        <v>7.85</v>
      </c>
      <c r="AA2267">
        <v>34</v>
      </c>
      <c r="AB2267">
        <v>11573</v>
      </c>
      <c r="AC2267">
        <v>9531</v>
      </c>
      <c r="AD2267">
        <v>1.21</v>
      </c>
      <c r="AE2267">
        <v>41</v>
      </c>
      <c r="AF2267">
        <v>4</v>
      </c>
      <c r="AG2267" t="s">
        <v>120</v>
      </c>
      <c r="AH2267">
        <v>0.02</v>
      </c>
      <c r="AI2267" t="s">
        <v>120</v>
      </c>
      <c r="AJ2267">
        <v>0.25</v>
      </c>
      <c r="AK2267" t="s">
        <v>3377</v>
      </c>
      <c r="AL2267">
        <v>1.06</v>
      </c>
      <c r="AM2267">
        <v>1786</v>
      </c>
      <c r="AN2267">
        <v>12</v>
      </c>
      <c r="AO2267">
        <v>4.7000000000000002E-3</v>
      </c>
      <c r="AP2267">
        <v>-1</v>
      </c>
      <c r="AQ2267">
        <v>2.91</v>
      </c>
      <c r="AR2267">
        <v>-1.3</v>
      </c>
      <c r="AS2267">
        <v>21.47</v>
      </c>
      <c r="AT2267">
        <v>28.38</v>
      </c>
      <c r="AU2267">
        <v>158.34</v>
      </c>
      <c r="AV2267">
        <v>0</v>
      </c>
      <c r="AW2267">
        <v>8.44</v>
      </c>
      <c r="AX2267">
        <v>25</v>
      </c>
      <c r="AY2267">
        <v>39.909999999999997</v>
      </c>
      <c r="AZ2267">
        <v>53.23</v>
      </c>
      <c r="BA2267">
        <v>0.96</v>
      </c>
      <c r="BB2267" t="s">
        <v>240</v>
      </c>
      <c r="BF2267">
        <v>0.3</v>
      </c>
      <c r="BG2267">
        <v>-0.86</v>
      </c>
      <c r="BH2267">
        <v>-5.75</v>
      </c>
      <c r="BI2267">
        <v>1.85</v>
      </c>
      <c r="BJ2267">
        <v>20210825</v>
      </c>
      <c r="BK2267">
        <v>20210121</v>
      </c>
      <c r="BL2267">
        <v>1</v>
      </c>
      <c r="BM2267" t="s">
        <v>120</v>
      </c>
      <c r="BN2267" t="s">
        <v>120</v>
      </c>
      <c r="BO2267">
        <v>7.09</v>
      </c>
      <c r="BP2267">
        <v>33.6</v>
      </c>
      <c r="BQ2267">
        <v>6.69</v>
      </c>
      <c r="BR2267" t="s">
        <v>120</v>
      </c>
      <c r="BS2267">
        <v>5.73</v>
      </c>
      <c r="BT2267">
        <v>5.63</v>
      </c>
      <c r="BU2267">
        <v>0.49</v>
      </c>
      <c r="BV2267">
        <v>0.31</v>
      </c>
      <c r="BW2267">
        <v>0.4</v>
      </c>
      <c r="BX2267">
        <v>0.28999999999999998</v>
      </c>
      <c r="BY2267">
        <v>0.21</v>
      </c>
      <c r="BZ2267">
        <v>0.43</v>
      </c>
      <c r="CA2267" t="s">
        <v>120</v>
      </c>
      <c r="CB2267">
        <v>3.95</v>
      </c>
      <c r="CC2267">
        <v>2.69</v>
      </c>
      <c r="CD2267">
        <v>2.0499999999999998</v>
      </c>
      <c r="CE2267">
        <v>0.53</v>
      </c>
      <c r="CF2267">
        <v>0.02</v>
      </c>
      <c r="CG2267">
        <v>0.53</v>
      </c>
      <c r="CH2267">
        <v>0.47</v>
      </c>
      <c r="CI2267">
        <v>0.47</v>
      </c>
      <c r="CJ2267">
        <v>-0.28999999999999998</v>
      </c>
      <c r="CK2267">
        <v>0.44</v>
      </c>
      <c r="CL2267">
        <v>1.6</v>
      </c>
      <c r="CM2267">
        <v>0.25</v>
      </c>
      <c r="CN2267">
        <v>-0.02</v>
      </c>
      <c r="CO2267">
        <v>17026</v>
      </c>
      <c r="CP2267">
        <v>1468</v>
      </c>
      <c r="CQ2267" t="s">
        <v>255</v>
      </c>
      <c r="CR2267">
        <v>84.08</v>
      </c>
      <c r="CS2267">
        <v>100.67</v>
      </c>
      <c r="CT2267">
        <v>5.03</v>
      </c>
      <c r="CU2267">
        <v>135.22</v>
      </c>
      <c r="CV2267">
        <v>12.5</v>
      </c>
      <c r="CW2267">
        <v>0.28999999999999998</v>
      </c>
      <c r="CX2267" t="s">
        <v>3347</v>
      </c>
      <c r="CY2267">
        <v>6.69</v>
      </c>
      <c r="CZ2267">
        <v>0</v>
      </c>
      <c r="DA2267">
        <v>3.95</v>
      </c>
      <c r="DB2267">
        <v>1.6</v>
      </c>
      <c r="DC2267">
        <v>0.25</v>
      </c>
      <c r="DD2267">
        <v>94.27</v>
      </c>
      <c r="DE2267" t="s">
        <v>9369</v>
      </c>
      <c r="DF2267">
        <v>23.56</v>
      </c>
      <c r="DG2267">
        <v>19.77</v>
      </c>
      <c r="DH2267">
        <v>17.309999999999999</v>
      </c>
      <c r="DI2267">
        <v>7.0000000000000007E-2</v>
      </c>
      <c r="DJ2267">
        <v>179</v>
      </c>
      <c r="DK2267">
        <v>300930</v>
      </c>
      <c r="DL2267" t="s">
        <v>120</v>
      </c>
      <c r="DM2267" t="s">
        <v>120</v>
      </c>
      <c r="DN2267" t="s">
        <v>120</v>
      </c>
    </row>
    <row r="2268" spans="1:118">
      <c r="A2268" t="str">
        <f>"300931"</f>
        <v>300931</v>
      </c>
      <c r="B2268" t="s">
        <v>10795</v>
      </c>
      <c r="C2268">
        <v>-3.35</v>
      </c>
      <c r="D2268">
        <v>-0.3</v>
      </c>
      <c r="E2268">
        <v>-0.6</v>
      </c>
      <c r="F2268">
        <v>1340</v>
      </c>
      <c r="G2268" t="s">
        <v>2812</v>
      </c>
      <c r="H2268">
        <v>8432.36</v>
      </c>
      <c r="I2268">
        <v>58.7</v>
      </c>
      <c r="J2268" t="s">
        <v>120</v>
      </c>
      <c r="K2268" t="s">
        <v>2812</v>
      </c>
      <c r="L2268">
        <v>10.59</v>
      </c>
      <c r="M2268">
        <v>12.97</v>
      </c>
      <c r="N2268">
        <v>0.72</v>
      </c>
      <c r="O2268">
        <v>1.56</v>
      </c>
      <c r="P2268">
        <v>13.63</v>
      </c>
      <c r="Q2268">
        <v>-3.35</v>
      </c>
      <c r="R2268">
        <v>12.97</v>
      </c>
      <c r="S2268">
        <v>13.34</v>
      </c>
      <c r="T2268">
        <v>63578</v>
      </c>
      <c r="U2268">
        <v>12.97</v>
      </c>
      <c r="V2268">
        <v>13.42</v>
      </c>
      <c r="W2268">
        <v>79.56</v>
      </c>
      <c r="X2268" t="s">
        <v>157</v>
      </c>
      <c r="Y2268" t="s">
        <v>319</v>
      </c>
      <c r="Z2268">
        <v>4.92</v>
      </c>
      <c r="AA2268">
        <v>13.26</v>
      </c>
      <c r="AB2268">
        <v>35753</v>
      </c>
      <c r="AC2268">
        <v>27825</v>
      </c>
      <c r="AD2268">
        <v>1.28</v>
      </c>
      <c r="AE2268">
        <v>41</v>
      </c>
      <c r="AF2268">
        <v>3</v>
      </c>
      <c r="AG2268" t="s">
        <v>120</v>
      </c>
      <c r="AH2268">
        <v>7.0000000000000007E-2</v>
      </c>
      <c r="AI2268" t="s">
        <v>120</v>
      </c>
      <c r="AJ2268">
        <v>0.6</v>
      </c>
      <c r="AK2268" t="s">
        <v>10796</v>
      </c>
      <c r="AL2268">
        <v>-1.44</v>
      </c>
      <c r="AM2268">
        <v>2298</v>
      </c>
      <c r="AN2268">
        <v>28</v>
      </c>
      <c r="AO2268">
        <v>4.5999999999999999E-3</v>
      </c>
      <c r="AP2268">
        <v>-2</v>
      </c>
      <c r="AQ2268">
        <v>-3.59</v>
      </c>
      <c r="AR2268">
        <v>-5.46</v>
      </c>
      <c r="AS2268">
        <v>1.81</v>
      </c>
      <c r="AT2268">
        <v>-2.7</v>
      </c>
      <c r="AU2268">
        <v>200.93</v>
      </c>
      <c r="AV2268">
        <v>5</v>
      </c>
      <c r="AW2268">
        <v>10.59</v>
      </c>
      <c r="AX2268">
        <v>25</v>
      </c>
      <c r="AY2268">
        <v>55.08</v>
      </c>
      <c r="AZ2268">
        <v>58.44</v>
      </c>
      <c r="BA2268">
        <v>0.81</v>
      </c>
      <c r="BB2268" t="s">
        <v>240</v>
      </c>
      <c r="BF2268">
        <v>-1.17</v>
      </c>
      <c r="BG2268">
        <v>-2.77</v>
      </c>
      <c r="BH2268">
        <v>-4.84</v>
      </c>
      <c r="BI2268">
        <v>0</v>
      </c>
      <c r="BJ2268">
        <v>20210728</v>
      </c>
      <c r="BK2268">
        <v>20210121</v>
      </c>
      <c r="BL2268">
        <v>2.4</v>
      </c>
      <c r="BM2268" t="s">
        <v>120</v>
      </c>
      <c r="BN2268" t="s">
        <v>120</v>
      </c>
      <c r="BO2268">
        <v>9.7100000000000009</v>
      </c>
      <c r="BP2268">
        <v>12.96</v>
      </c>
      <c r="BQ2268">
        <v>7.69</v>
      </c>
      <c r="BR2268" t="s">
        <v>120</v>
      </c>
      <c r="BS2268">
        <v>20.85</v>
      </c>
      <c r="BT2268">
        <v>8.7200000000000006</v>
      </c>
      <c r="BU2268">
        <v>0.54</v>
      </c>
      <c r="BV2268">
        <v>0.15</v>
      </c>
      <c r="BW2268">
        <v>2</v>
      </c>
      <c r="BX2268">
        <v>4.9400000000000004</v>
      </c>
      <c r="BY2268">
        <v>0.93</v>
      </c>
      <c r="BZ2268">
        <v>2.19</v>
      </c>
      <c r="CA2268" t="s">
        <v>120</v>
      </c>
      <c r="CB2268">
        <v>2.5299999999999998</v>
      </c>
      <c r="CC2268">
        <v>1.82</v>
      </c>
      <c r="CD2268">
        <v>1.34</v>
      </c>
      <c r="CE2268">
        <v>0.18</v>
      </c>
      <c r="CF2268">
        <v>0.01</v>
      </c>
      <c r="CG2268">
        <v>0.24</v>
      </c>
      <c r="CH2268">
        <v>0.2</v>
      </c>
      <c r="CI2268">
        <v>0.2</v>
      </c>
      <c r="CJ2268">
        <v>-0.45</v>
      </c>
      <c r="CK2268">
        <v>0.13</v>
      </c>
      <c r="CL2268">
        <v>2.4</v>
      </c>
      <c r="CM2268">
        <v>0.14000000000000001</v>
      </c>
      <c r="CN2268">
        <v>1.86</v>
      </c>
      <c r="CO2268">
        <v>25189</v>
      </c>
      <c r="CP2268">
        <v>2384</v>
      </c>
      <c r="CQ2268" t="s">
        <v>5242</v>
      </c>
      <c r="CR2268">
        <v>0</v>
      </c>
      <c r="CS2268">
        <v>0</v>
      </c>
      <c r="CT2268">
        <v>4.05</v>
      </c>
      <c r="CU2268">
        <v>223.55</v>
      </c>
      <c r="CV2268">
        <v>17.07</v>
      </c>
      <c r="CW2268">
        <v>0</v>
      </c>
      <c r="CX2268" t="s">
        <v>329</v>
      </c>
      <c r="CY2268">
        <v>3.2</v>
      </c>
      <c r="CZ2268">
        <v>0</v>
      </c>
      <c r="DA2268">
        <v>1.06</v>
      </c>
      <c r="DB2268">
        <v>1</v>
      </c>
      <c r="DC2268">
        <v>0.06</v>
      </c>
      <c r="DD2268">
        <v>79.150000000000006</v>
      </c>
      <c r="DE2268" t="s">
        <v>10708</v>
      </c>
      <c r="DF2268">
        <v>26.82</v>
      </c>
      <c r="DG2268">
        <v>9.61</v>
      </c>
      <c r="DH2268">
        <v>10.73</v>
      </c>
      <c r="DI2268">
        <v>0.08</v>
      </c>
      <c r="DJ2268">
        <v>376</v>
      </c>
      <c r="DK2268">
        <v>300931</v>
      </c>
      <c r="DL2268">
        <v>20210901</v>
      </c>
      <c r="DM2268">
        <v>14.52</v>
      </c>
      <c r="DN2268">
        <v>-10.67</v>
      </c>
    </row>
    <row r="2269" spans="1:118">
      <c r="A2269" t="str">
        <f>"300932"</f>
        <v>300932</v>
      </c>
      <c r="B2269" t="s">
        <v>10797</v>
      </c>
      <c r="C2269">
        <v>-4.54</v>
      </c>
      <c r="D2269">
        <v>-0.02</v>
      </c>
      <c r="E2269">
        <v>0.4</v>
      </c>
      <c r="F2269">
        <v>188</v>
      </c>
      <c r="G2269" t="s">
        <v>10671</v>
      </c>
      <c r="H2269">
        <v>5896.46</v>
      </c>
      <c r="I2269">
        <v>5.66</v>
      </c>
      <c r="J2269" t="s">
        <v>120</v>
      </c>
      <c r="K2269" t="s">
        <v>10671</v>
      </c>
      <c r="L2269">
        <v>5.48</v>
      </c>
      <c r="M2269">
        <v>33.659999999999997</v>
      </c>
      <c r="N2269">
        <v>1.33</v>
      </c>
      <c r="O2269">
        <v>0.43</v>
      </c>
      <c r="P2269">
        <v>35.409999999999997</v>
      </c>
      <c r="Q2269">
        <v>-4.74</v>
      </c>
      <c r="R2269">
        <v>33.590000000000003</v>
      </c>
      <c r="S2269">
        <v>35.4</v>
      </c>
      <c r="T2269">
        <v>17248</v>
      </c>
      <c r="U2269">
        <v>33.659999999999997</v>
      </c>
      <c r="V2269">
        <v>35.26</v>
      </c>
      <c r="W2269">
        <v>30.07</v>
      </c>
      <c r="X2269" t="s">
        <v>229</v>
      </c>
      <c r="Y2269" t="s">
        <v>547</v>
      </c>
      <c r="Z2269">
        <v>5.16</v>
      </c>
      <c r="AA2269">
        <v>34.19</v>
      </c>
      <c r="AB2269">
        <v>11977</v>
      </c>
      <c r="AC2269">
        <v>5271</v>
      </c>
      <c r="AD2269">
        <v>2.27</v>
      </c>
      <c r="AE2269">
        <v>2</v>
      </c>
      <c r="AF2269">
        <v>32</v>
      </c>
      <c r="AG2269" t="s">
        <v>120</v>
      </c>
      <c r="AH2269">
        <v>0.01</v>
      </c>
      <c r="AI2269" t="s">
        <v>120</v>
      </c>
      <c r="AJ2269">
        <v>0.32</v>
      </c>
      <c r="AK2269" t="s">
        <v>10798</v>
      </c>
      <c r="AL2269">
        <v>-2.62</v>
      </c>
      <c r="AM2269">
        <v>2339</v>
      </c>
      <c r="AN2269">
        <v>7</v>
      </c>
      <c r="AO2269">
        <v>2.3E-3</v>
      </c>
      <c r="AP2269">
        <v>-1</v>
      </c>
      <c r="AQ2269">
        <v>1.64</v>
      </c>
      <c r="AR2269">
        <v>-5.05</v>
      </c>
      <c r="AS2269">
        <v>-9.3699999999999992</v>
      </c>
      <c r="AT2269">
        <v>0.9</v>
      </c>
      <c r="AU2269">
        <v>38.29</v>
      </c>
      <c r="AV2269">
        <v>2</v>
      </c>
      <c r="AW2269">
        <v>5.48</v>
      </c>
      <c r="AX2269">
        <v>25.07</v>
      </c>
      <c r="AY2269">
        <v>27.85</v>
      </c>
      <c r="AZ2269">
        <v>29.6</v>
      </c>
      <c r="BA2269">
        <v>0.4</v>
      </c>
      <c r="BB2269" t="s">
        <v>143</v>
      </c>
      <c r="BF2269">
        <v>-3.04</v>
      </c>
      <c r="BG2269">
        <v>-4.92</v>
      </c>
      <c r="BH2269">
        <v>-4.9400000000000004</v>
      </c>
      <c r="BI2269">
        <v>0.21</v>
      </c>
      <c r="BJ2269">
        <v>20210828</v>
      </c>
      <c r="BK2269">
        <v>20210122</v>
      </c>
      <c r="BL2269">
        <v>1.26</v>
      </c>
      <c r="BM2269" t="s">
        <v>120</v>
      </c>
      <c r="BN2269" t="s">
        <v>120</v>
      </c>
      <c r="BO2269">
        <v>23.41</v>
      </c>
      <c r="BP2269">
        <v>33.65</v>
      </c>
      <c r="BQ2269">
        <v>16.04</v>
      </c>
      <c r="BR2269">
        <v>0.53</v>
      </c>
      <c r="BS2269">
        <v>29.22</v>
      </c>
      <c r="BT2269">
        <v>16.170000000000002</v>
      </c>
      <c r="BU2269">
        <v>3.97</v>
      </c>
      <c r="BV2269">
        <v>0.88</v>
      </c>
      <c r="BW2269">
        <v>6.11</v>
      </c>
      <c r="BX2269">
        <v>2.69</v>
      </c>
      <c r="BY2269">
        <v>2.5299999999999998</v>
      </c>
      <c r="BZ2269">
        <v>5.0999999999999996</v>
      </c>
      <c r="CA2269" t="s">
        <v>120</v>
      </c>
      <c r="CB2269">
        <v>10.29</v>
      </c>
      <c r="CC2269">
        <v>7.67</v>
      </c>
      <c r="CD2269">
        <v>6.07</v>
      </c>
      <c r="CE2269">
        <v>0.77</v>
      </c>
      <c r="CF2269">
        <v>0.01</v>
      </c>
      <c r="CG2269">
        <v>0.82</v>
      </c>
      <c r="CH2269">
        <v>0.7</v>
      </c>
      <c r="CI2269">
        <v>0.7</v>
      </c>
      <c r="CJ2269">
        <v>-1.6</v>
      </c>
      <c r="CK2269">
        <v>0.59</v>
      </c>
      <c r="CL2269">
        <v>4.33</v>
      </c>
      <c r="CM2269">
        <v>-7.0000000000000007E-2</v>
      </c>
      <c r="CN2269">
        <v>1.91</v>
      </c>
      <c r="CO2269">
        <v>20728</v>
      </c>
      <c r="CP2269">
        <v>1520</v>
      </c>
      <c r="CQ2269" t="s">
        <v>3339</v>
      </c>
      <c r="CR2269">
        <v>15.4</v>
      </c>
      <c r="CS2269">
        <v>31.27</v>
      </c>
      <c r="CT2269">
        <v>2.64</v>
      </c>
      <c r="CU2269">
        <v>-622.86</v>
      </c>
      <c r="CV2269">
        <v>5.52</v>
      </c>
      <c r="CW2269">
        <v>0.99</v>
      </c>
      <c r="CX2269" t="s">
        <v>2614</v>
      </c>
      <c r="CY2269">
        <v>12.77</v>
      </c>
      <c r="CZ2269">
        <v>0</v>
      </c>
      <c r="DA2269">
        <v>8.19</v>
      </c>
      <c r="DB2269">
        <v>3.45</v>
      </c>
      <c r="DC2269">
        <v>-0.05</v>
      </c>
      <c r="DD2269">
        <v>68.510000000000005</v>
      </c>
      <c r="DE2269" t="s">
        <v>3118</v>
      </c>
      <c r="DF2269">
        <v>20.9</v>
      </c>
      <c r="DG2269">
        <v>10.07</v>
      </c>
      <c r="DH2269">
        <v>9.17</v>
      </c>
      <c r="DI2269">
        <v>0.3</v>
      </c>
      <c r="DJ2269">
        <v>3210</v>
      </c>
      <c r="DK2269">
        <v>300932</v>
      </c>
      <c r="DL2269">
        <v>20210816</v>
      </c>
      <c r="DM2269">
        <v>44.64</v>
      </c>
      <c r="DN2269">
        <v>-24.6</v>
      </c>
    </row>
    <row r="2270" spans="1:118">
      <c r="A2270" t="str">
        <f>"300933"</f>
        <v>300933</v>
      </c>
      <c r="B2270" t="s">
        <v>10799</v>
      </c>
      <c r="C2270">
        <v>12.28</v>
      </c>
      <c r="D2270">
        <v>0</v>
      </c>
      <c r="E2270">
        <v>-1.0900000000000001</v>
      </c>
      <c r="F2270">
        <v>6998</v>
      </c>
      <c r="G2270" t="s">
        <v>6949</v>
      </c>
      <c r="H2270">
        <v>58626.6</v>
      </c>
      <c r="I2270">
        <v>240.22</v>
      </c>
      <c r="J2270" t="s">
        <v>120</v>
      </c>
      <c r="K2270" t="s">
        <v>6949</v>
      </c>
      <c r="L2270">
        <v>47.22</v>
      </c>
      <c r="M2270">
        <v>14.45</v>
      </c>
      <c r="N2270">
        <v>1.33</v>
      </c>
      <c r="O2270">
        <v>16.55</v>
      </c>
      <c r="P2270">
        <v>15</v>
      </c>
      <c r="Q2270">
        <v>-2.41</v>
      </c>
      <c r="R2270">
        <v>12.56</v>
      </c>
      <c r="S2270">
        <v>12.73</v>
      </c>
      <c r="T2270">
        <v>433048</v>
      </c>
      <c r="U2270">
        <v>14.46</v>
      </c>
      <c r="V2270">
        <v>12.87</v>
      </c>
      <c r="W2270">
        <v>78.400000000000006</v>
      </c>
      <c r="X2270" t="s">
        <v>394</v>
      </c>
      <c r="Y2270" t="s">
        <v>319</v>
      </c>
      <c r="Z2270">
        <v>18.96</v>
      </c>
      <c r="AA2270">
        <v>13.54</v>
      </c>
      <c r="AB2270">
        <v>203506</v>
      </c>
      <c r="AC2270">
        <v>229542</v>
      </c>
      <c r="AD2270">
        <v>0.89</v>
      </c>
      <c r="AE2270">
        <v>1074</v>
      </c>
      <c r="AF2270">
        <v>237</v>
      </c>
      <c r="AG2270" t="s">
        <v>120</v>
      </c>
      <c r="AH2270">
        <v>0.21</v>
      </c>
      <c r="AI2270" t="s">
        <v>120</v>
      </c>
      <c r="AJ2270">
        <v>0.92</v>
      </c>
      <c r="AK2270" t="s">
        <v>8495</v>
      </c>
      <c r="AL2270">
        <v>14.19</v>
      </c>
      <c r="AM2270">
        <v>4000</v>
      </c>
      <c r="AN2270">
        <v>108</v>
      </c>
      <c r="AO2270">
        <v>1.18E-2</v>
      </c>
      <c r="AP2270">
        <v>1</v>
      </c>
      <c r="AQ2270">
        <v>-3.81</v>
      </c>
      <c r="AR2270">
        <v>-2.95</v>
      </c>
      <c r="AS2270">
        <v>34.29</v>
      </c>
      <c r="AT2270">
        <v>29.83</v>
      </c>
      <c r="AU2270">
        <v>332.64</v>
      </c>
      <c r="AV2270">
        <v>3</v>
      </c>
      <c r="AW2270">
        <v>47.22</v>
      </c>
      <c r="AX2270">
        <v>20</v>
      </c>
      <c r="AY2270">
        <v>62.3</v>
      </c>
      <c r="AZ2270">
        <v>64.430000000000007</v>
      </c>
      <c r="BA2270">
        <v>0.57999999999999996</v>
      </c>
      <c r="BB2270" t="s">
        <v>125</v>
      </c>
      <c r="BF2270">
        <v>5.19</v>
      </c>
      <c r="BG2270">
        <v>13.51</v>
      </c>
      <c r="BH2270">
        <v>-3.67</v>
      </c>
      <c r="BI2270">
        <v>15.05</v>
      </c>
      <c r="BJ2270">
        <v>20210814</v>
      </c>
      <c r="BK2270">
        <v>20210122</v>
      </c>
      <c r="BL2270">
        <v>4.59</v>
      </c>
      <c r="BM2270" t="s">
        <v>120</v>
      </c>
      <c r="BN2270" t="s">
        <v>120</v>
      </c>
      <c r="BO2270">
        <v>26.07</v>
      </c>
      <c r="BP2270">
        <v>14.45</v>
      </c>
      <c r="BQ2270">
        <v>13.14</v>
      </c>
      <c r="BR2270">
        <v>0.28000000000000003</v>
      </c>
      <c r="BS2270">
        <v>48.52</v>
      </c>
      <c r="BT2270">
        <v>22.3</v>
      </c>
      <c r="BU2270">
        <v>2.1</v>
      </c>
      <c r="BV2270">
        <v>0.87</v>
      </c>
      <c r="BW2270">
        <v>12.5</v>
      </c>
      <c r="BX2270">
        <v>4.42</v>
      </c>
      <c r="BY2270">
        <v>4.55</v>
      </c>
      <c r="BZ2270">
        <v>11.57</v>
      </c>
      <c r="CA2270" t="s">
        <v>120</v>
      </c>
      <c r="CB2270">
        <v>4.78</v>
      </c>
      <c r="CC2270">
        <v>11.76</v>
      </c>
      <c r="CD2270">
        <v>10.050000000000001</v>
      </c>
      <c r="CE2270">
        <v>0.44</v>
      </c>
      <c r="CF2270">
        <v>0</v>
      </c>
      <c r="CG2270">
        <v>0.44</v>
      </c>
      <c r="CH2270">
        <v>0.4</v>
      </c>
      <c r="CI2270">
        <v>0.42</v>
      </c>
      <c r="CJ2270">
        <v>1.58</v>
      </c>
      <c r="CK2270">
        <v>0.42</v>
      </c>
      <c r="CL2270">
        <v>3.4</v>
      </c>
      <c r="CM2270">
        <v>-2.19</v>
      </c>
      <c r="CN2270">
        <v>0.39</v>
      </c>
      <c r="CO2270">
        <v>30636</v>
      </c>
      <c r="CP2270">
        <v>2993</v>
      </c>
      <c r="CQ2270" t="s">
        <v>2301</v>
      </c>
      <c r="CR2270">
        <v>7.99</v>
      </c>
      <c r="CS2270">
        <v>31.38</v>
      </c>
      <c r="CT2270">
        <v>5.04</v>
      </c>
      <c r="CU2270">
        <v>-30.24</v>
      </c>
      <c r="CV2270">
        <v>5.63</v>
      </c>
      <c r="CW2270">
        <v>0.23</v>
      </c>
      <c r="CX2270" t="s">
        <v>411</v>
      </c>
      <c r="CY2270">
        <v>2.87</v>
      </c>
      <c r="CZ2270">
        <v>0</v>
      </c>
      <c r="DA2270">
        <v>1.04</v>
      </c>
      <c r="DB2270">
        <v>0.74</v>
      </c>
      <c r="DC2270">
        <v>-0.48</v>
      </c>
      <c r="DD2270">
        <v>50.41</v>
      </c>
      <c r="DE2270" t="s">
        <v>2554</v>
      </c>
      <c r="DF2270">
        <v>14.52</v>
      </c>
      <c r="DG2270">
        <v>3.77</v>
      </c>
      <c r="DH2270">
        <v>3.59</v>
      </c>
      <c r="DI2270">
        <v>0.37</v>
      </c>
      <c r="DJ2270">
        <v>774</v>
      </c>
      <c r="DK2270">
        <v>300933</v>
      </c>
      <c r="DL2270">
        <v>20210916</v>
      </c>
      <c r="DM2270">
        <v>13.32</v>
      </c>
      <c r="DN2270">
        <v>8.48</v>
      </c>
    </row>
    <row r="2271" spans="1:118">
      <c r="A2271" t="str">
        <f>"300935"</f>
        <v>300935</v>
      </c>
      <c r="B2271" t="s">
        <v>10800</v>
      </c>
      <c r="C2271">
        <v>-0.26</v>
      </c>
      <c r="D2271">
        <v>0.02</v>
      </c>
      <c r="E2271">
        <v>-0.39</v>
      </c>
      <c r="F2271">
        <v>59</v>
      </c>
      <c r="G2271" t="s">
        <v>6749</v>
      </c>
      <c r="H2271">
        <v>1690.02</v>
      </c>
      <c r="I2271">
        <v>8.67</v>
      </c>
      <c r="J2271" t="s">
        <v>120</v>
      </c>
      <c r="K2271" t="s">
        <v>6749</v>
      </c>
      <c r="L2271">
        <v>1.92</v>
      </c>
      <c r="M2271">
        <v>62.01</v>
      </c>
      <c r="N2271">
        <v>0.67</v>
      </c>
      <c r="O2271">
        <v>0.72</v>
      </c>
      <c r="P2271">
        <v>62.62</v>
      </c>
      <c r="Q2271">
        <v>-0.39</v>
      </c>
      <c r="R2271">
        <v>61.93</v>
      </c>
      <c r="S2271">
        <v>61.93</v>
      </c>
      <c r="T2271">
        <v>2717</v>
      </c>
      <c r="U2271">
        <v>62.01</v>
      </c>
      <c r="V2271">
        <v>62.17</v>
      </c>
      <c r="W2271">
        <v>109.41</v>
      </c>
      <c r="X2271" t="s">
        <v>141</v>
      </c>
      <c r="Y2271" t="s">
        <v>158</v>
      </c>
      <c r="Z2271">
        <v>1.1100000000000001</v>
      </c>
      <c r="AA2271">
        <v>62.2</v>
      </c>
      <c r="AB2271">
        <v>1740</v>
      </c>
      <c r="AC2271">
        <v>977</v>
      </c>
      <c r="AD2271">
        <v>1.78</v>
      </c>
      <c r="AE2271">
        <v>17</v>
      </c>
      <c r="AF2271">
        <v>37</v>
      </c>
      <c r="AG2271" t="s">
        <v>120</v>
      </c>
      <c r="AH2271">
        <v>0.01</v>
      </c>
      <c r="AI2271" t="s">
        <v>120</v>
      </c>
      <c r="AJ2271">
        <v>0.14000000000000001</v>
      </c>
      <c r="AK2271" t="s">
        <v>1150</v>
      </c>
      <c r="AL2271">
        <v>1.66</v>
      </c>
      <c r="AM2271">
        <v>818</v>
      </c>
      <c r="AN2271">
        <v>3</v>
      </c>
      <c r="AO2271">
        <v>2.3999999999999998E-3</v>
      </c>
      <c r="AP2271">
        <v>-4</v>
      </c>
      <c r="AQ2271">
        <v>-0.85</v>
      </c>
      <c r="AR2271">
        <v>-1.8</v>
      </c>
      <c r="AS2271">
        <v>-14.81</v>
      </c>
      <c r="AT2271">
        <v>-17.420000000000002</v>
      </c>
      <c r="AU2271">
        <v>10.42</v>
      </c>
      <c r="AV2271">
        <v>0</v>
      </c>
      <c r="AW2271">
        <v>1.92</v>
      </c>
      <c r="AX2271">
        <v>25.01</v>
      </c>
      <c r="AY2271">
        <v>88.45</v>
      </c>
      <c r="AZ2271">
        <v>63.38</v>
      </c>
      <c r="BA2271">
        <v>0.62</v>
      </c>
      <c r="BB2271" t="s">
        <v>134</v>
      </c>
      <c r="BF2271">
        <v>0.05</v>
      </c>
      <c r="BG2271">
        <v>0.13</v>
      </c>
      <c r="BH2271">
        <v>-0.97</v>
      </c>
      <c r="BI2271">
        <v>0.13</v>
      </c>
      <c r="BJ2271">
        <v>20210903</v>
      </c>
      <c r="BK2271">
        <v>20210120</v>
      </c>
      <c r="BL2271">
        <v>0.56999999999999995</v>
      </c>
      <c r="BM2271" t="s">
        <v>120</v>
      </c>
      <c r="BN2271" t="s">
        <v>120</v>
      </c>
      <c r="BO2271">
        <v>10.02</v>
      </c>
      <c r="BP2271">
        <v>62</v>
      </c>
      <c r="BQ2271">
        <v>9.44</v>
      </c>
      <c r="BR2271" t="s">
        <v>120</v>
      </c>
      <c r="BS2271">
        <v>5.84</v>
      </c>
      <c r="BT2271">
        <v>9.57</v>
      </c>
      <c r="BU2271">
        <v>0.02</v>
      </c>
      <c r="BV2271">
        <v>0.01</v>
      </c>
      <c r="BW2271">
        <v>0.34</v>
      </c>
      <c r="BX2271">
        <v>1.9</v>
      </c>
      <c r="BY2271">
        <v>0</v>
      </c>
      <c r="BZ2271">
        <v>0.68</v>
      </c>
      <c r="CA2271" t="s">
        <v>120</v>
      </c>
      <c r="CB2271">
        <v>7.31</v>
      </c>
      <c r="CC2271">
        <v>0.7</v>
      </c>
      <c r="CD2271">
        <v>0.02</v>
      </c>
      <c r="CE2271">
        <v>0.16</v>
      </c>
      <c r="CF2271">
        <v>0.06</v>
      </c>
      <c r="CG2271">
        <v>0.17</v>
      </c>
      <c r="CH2271">
        <v>0.16</v>
      </c>
      <c r="CI2271">
        <v>0.16</v>
      </c>
      <c r="CJ2271">
        <v>-0.16</v>
      </c>
      <c r="CK2271">
        <v>0.09</v>
      </c>
      <c r="CL2271">
        <v>1.35</v>
      </c>
      <c r="CM2271">
        <v>-0.18</v>
      </c>
      <c r="CN2271">
        <v>-0.15</v>
      </c>
      <c r="CO2271">
        <v>11493</v>
      </c>
      <c r="CP2271">
        <v>1229</v>
      </c>
      <c r="CQ2271" t="s">
        <v>10801</v>
      </c>
      <c r="CR2271">
        <v>-49.53</v>
      </c>
      <c r="CS2271">
        <v>0.23</v>
      </c>
      <c r="CT2271">
        <v>3.71</v>
      </c>
      <c r="CU2271">
        <v>-199.86</v>
      </c>
      <c r="CV2271">
        <v>49.76</v>
      </c>
      <c r="CW2271">
        <v>1.29</v>
      </c>
      <c r="CX2271" t="s">
        <v>1340</v>
      </c>
      <c r="CY2271">
        <v>16.7</v>
      </c>
      <c r="CZ2271">
        <v>0</v>
      </c>
      <c r="DA2271">
        <v>12.94</v>
      </c>
      <c r="DB2271">
        <v>2.39</v>
      </c>
      <c r="DC2271">
        <v>-0.31</v>
      </c>
      <c r="DD2271">
        <v>94.16</v>
      </c>
      <c r="DE2271" t="s">
        <v>5935</v>
      </c>
      <c r="DF2271">
        <v>97.47</v>
      </c>
      <c r="DG2271">
        <v>23.01</v>
      </c>
      <c r="DH2271">
        <v>22.74</v>
      </c>
      <c r="DI2271">
        <v>0.2</v>
      </c>
      <c r="DJ2271">
        <v>192</v>
      </c>
      <c r="DK2271">
        <v>300935</v>
      </c>
      <c r="DL2271" t="s">
        <v>120</v>
      </c>
      <c r="DM2271" t="s">
        <v>120</v>
      </c>
      <c r="DN2271" t="s">
        <v>120</v>
      </c>
    </row>
    <row r="2272" spans="1:118">
      <c r="A2272" t="str">
        <f>"300936"</f>
        <v>300936</v>
      </c>
      <c r="B2272" t="s">
        <v>10802</v>
      </c>
      <c r="C2272">
        <v>-1.96</v>
      </c>
      <c r="D2272">
        <v>0</v>
      </c>
      <c r="E2272">
        <v>0.33</v>
      </c>
      <c r="F2272">
        <v>431</v>
      </c>
      <c r="G2272" t="s">
        <v>10803</v>
      </c>
      <c r="H2272">
        <v>3818.37</v>
      </c>
      <c r="I2272">
        <v>22.08</v>
      </c>
      <c r="J2272" t="s">
        <v>120</v>
      </c>
      <c r="K2272" t="s">
        <v>10803</v>
      </c>
      <c r="L2272">
        <v>4.46</v>
      </c>
      <c r="M2272">
        <v>44.95</v>
      </c>
      <c r="N2272">
        <v>0.57999999999999996</v>
      </c>
      <c r="O2272">
        <v>0.63</v>
      </c>
      <c r="P2272">
        <v>46.14</v>
      </c>
      <c r="Q2272">
        <v>-2.16</v>
      </c>
      <c r="R2272">
        <v>44.86</v>
      </c>
      <c r="S2272">
        <v>46</v>
      </c>
      <c r="T2272">
        <v>8386</v>
      </c>
      <c r="U2272">
        <v>44.99</v>
      </c>
      <c r="V2272">
        <v>45.85</v>
      </c>
      <c r="W2272">
        <v>77.37</v>
      </c>
      <c r="X2272" t="s">
        <v>229</v>
      </c>
      <c r="Y2272" t="s">
        <v>319</v>
      </c>
      <c r="Z2272">
        <v>2.79</v>
      </c>
      <c r="AA2272">
        <v>45.53</v>
      </c>
      <c r="AB2272">
        <v>4747</v>
      </c>
      <c r="AC2272">
        <v>3639</v>
      </c>
      <c r="AD2272">
        <v>1.3</v>
      </c>
      <c r="AE2272">
        <v>14</v>
      </c>
      <c r="AF2272">
        <v>44</v>
      </c>
      <c r="AG2272" t="s">
        <v>120</v>
      </c>
      <c r="AH2272">
        <v>0.03</v>
      </c>
      <c r="AI2272" t="s">
        <v>120</v>
      </c>
      <c r="AJ2272">
        <v>0.19</v>
      </c>
      <c r="AK2272" t="s">
        <v>8720</v>
      </c>
      <c r="AL2272">
        <v>-0.05</v>
      </c>
      <c r="AM2272">
        <v>974</v>
      </c>
      <c r="AN2272">
        <v>9</v>
      </c>
      <c r="AO2272">
        <v>4.5999999999999999E-3</v>
      </c>
      <c r="AP2272">
        <v>-6</v>
      </c>
      <c r="AQ2272">
        <v>-1.46</v>
      </c>
      <c r="AR2272">
        <v>-3.79</v>
      </c>
      <c r="AS2272">
        <v>-14.84</v>
      </c>
      <c r="AT2272">
        <v>-7.53</v>
      </c>
      <c r="AU2272">
        <v>50.39</v>
      </c>
      <c r="AV2272">
        <v>1</v>
      </c>
      <c r="AW2272">
        <v>4.46</v>
      </c>
      <c r="AX2272">
        <v>25</v>
      </c>
      <c r="AY2272">
        <v>63.69</v>
      </c>
      <c r="AZ2272">
        <v>59.68</v>
      </c>
      <c r="BA2272">
        <v>0.49</v>
      </c>
      <c r="BB2272" t="s">
        <v>134</v>
      </c>
      <c r="BF2272">
        <v>-0.69</v>
      </c>
      <c r="BG2272">
        <v>-2.2799999999999998</v>
      </c>
      <c r="BH2272">
        <v>-2.58</v>
      </c>
      <c r="BI2272">
        <v>0.2</v>
      </c>
      <c r="BJ2272">
        <v>20210823</v>
      </c>
      <c r="BK2272">
        <v>20210126</v>
      </c>
      <c r="BL2272">
        <v>0.75</v>
      </c>
      <c r="BM2272" t="s">
        <v>120</v>
      </c>
      <c r="BN2272" t="s">
        <v>120</v>
      </c>
      <c r="BO2272">
        <v>9.19</v>
      </c>
      <c r="BP2272">
        <v>44.95</v>
      </c>
      <c r="BQ2272">
        <v>8.5500000000000007</v>
      </c>
      <c r="BR2272" t="s">
        <v>120</v>
      </c>
      <c r="BS2272">
        <v>6.96</v>
      </c>
      <c r="BT2272">
        <v>7.17</v>
      </c>
      <c r="BU2272">
        <v>1.31</v>
      </c>
      <c r="BV2272">
        <v>0.28000000000000003</v>
      </c>
      <c r="BW2272">
        <v>0.64</v>
      </c>
      <c r="BX2272">
        <v>1.1399999999999999</v>
      </c>
      <c r="BY2272">
        <v>0.62</v>
      </c>
      <c r="BZ2272">
        <v>1.3</v>
      </c>
      <c r="CA2272" t="s">
        <v>120</v>
      </c>
      <c r="CB2272">
        <v>5.87</v>
      </c>
      <c r="CC2272">
        <v>0.94</v>
      </c>
      <c r="CD2272">
        <v>0.56000000000000005</v>
      </c>
      <c r="CE2272">
        <v>0.26</v>
      </c>
      <c r="CF2272">
        <v>0</v>
      </c>
      <c r="CG2272">
        <v>0.26</v>
      </c>
      <c r="CH2272">
        <v>0.22</v>
      </c>
      <c r="CI2272">
        <v>0.22</v>
      </c>
      <c r="CJ2272">
        <v>-0.9</v>
      </c>
      <c r="CK2272">
        <v>0.2</v>
      </c>
      <c r="CL2272">
        <v>1.71</v>
      </c>
      <c r="CM2272">
        <v>-0.12</v>
      </c>
      <c r="CN2272">
        <v>0.77</v>
      </c>
      <c r="CO2272">
        <v>16120</v>
      </c>
      <c r="CP2272">
        <v>1166</v>
      </c>
      <c r="CQ2272" t="s">
        <v>4367</v>
      </c>
      <c r="CR2272">
        <v>-14.28</v>
      </c>
      <c r="CS2272">
        <v>8.59</v>
      </c>
      <c r="CT2272">
        <v>3.95</v>
      </c>
      <c r="CU2272">
        <v>-282.64</v>
      </c>
      <c r="CV2272">
        <v>36.11</v>
      </c>
      <c r="CW2272">
        <v>1.0900000000000001</v>
      </c>
      <c r="CX2272" t="s">
        <v>1340</v>
      </c>
      <c r="CY2272">
        <v>11.37</v>
      </c>
      <c r="CZ2272">
        <v>0</v>
      </c>
      <c r="DA2272">
        <v>7.81</v>
      </c>
      <c r="DB2272">
        <v>2.27</v>
      </c>
      <c r="DC2272">
        <v>-0.16</v>
      </c>
      <c r="DD2272">
        <v>93.04</v>
      </c>
      <c r="DE2272" t="s">
        <v>10708</v>
      </c>
      <c r="DF2272">
        <v>40.450000000000003</v>
      </c>
      <c r="DG2272">
        <v>27.47</v>
      </c>
      <c r="DH2272">
        <v>23.33</v>
      </c>
      <c r="DI2272">
        <v>0.04</v>
      </c>
      <c r="DJ2272">
        <v>131</v>
      </c>
      <c r="DK2272">
        <v>300936</v>
      </c>
      <c r="DL2272" t="s">
        <v>120</v>
      </c>
      <c r="DM2272" t="s">
        <v>120</v>
      </c>
      <c r="DN2272" t="s">
        <v>120</v>
      </c>
    </row>
    <row r="2273" spans="1:118">
      <c r="A2273" t="str">
        <f>"300937"</f>
        <v>300937</v>
      </c>
      <c r="B2273" t="s">
        <v>10804</v>
      </c>
      <c r="C2273">
        <v>20.010000000000002</v>
      </c>
      <c r="D2273">
        <v>0</v>
      </c>
      <c r="E2273">
        <v>-0.57999999999999996</v>
      </c>
      <c r="F2273">
        <v>323</v>
      </c>
      <c r="G2273" t="s">
        <v>7734</v>
      </c>
      <c r="H2273">
        <v>39438.81</v>
      </c>
      <c r="I2273">
        <v>98.88</v>
      </c>
      <c r="J2273">
        <v>3447.06</v>
      </c>
      <c r="K2273" t="s">
        <v>7734</v>
      </c>
      <c r="L2273">
        <v>34.380000000000003</v>
      </c>
      <c r="M2273">
        <v>49.3</v>
      </c>
      <c r="N2273">
        <v>4.57</v>
      </c>
      <c r="O2273">
        <v>20.010000000000002</v>
      </c>
      <c r="P2273">
        <v>49.3</v>
      </c>
      <c r="Q2273">
        <v>-0.66</v>
      </c>
      <c r="R2273">
        <v>40.81</v>
      </c>
      <c r="S2273">
        <v>40.840000000000003</v>
      </c>
      <c r="T2273">
        <v>82230</v>
      </c>
      <c r="U2273" t="s">
        <v>120</v>
      </c>
      <c r="V2273">
        <v>41.08</v>
      </c>
      <c r="W2273">
        <v>264.63</v>
      </c>
      <c r="X2273" t="s">
        <v>274</v>
      </c>
      <c r="Y2273" t="s">
        <v>578</v>
      </c>
      <c r="Z2273">
        <v>20.67</v>
      </c>
      <c r="AA2273">
        <v>47.96</v>
      </c>
      <c r="AB2273">
        <v>52304</v>
      </c>
      <c r="AC2273">
        <v>29926</v>
      </c>
      <c r="AD2273">
        <v>1.75</v>
      </c>
      <c r="AE2273">
        <v>6992</v>
      </c>
      <c r="AF2273">
        <v>0</v>
      </c>
      <c r="AG2273" t="s">
        <v>120</v>
      </c>
      <c r="AH2273">
        <v>0.1</v>
      </c>
      <c r="AI2273">
        <v>0.09</v>
      </c>
      <c r="AJ2273">
        <v>0.24</v>
      </c>
      <c r="AK2273" t="s">
        <v>7858</v>
      </c>
      <c r="AL2273">
        <v>21.92</v>
      </c>
      <c r="AM2273">
        <v>1987</v>
      </c>
      <c r="AN2273">
        <v>41</v>
      </c>
      <c r="AO2273">
        <v>1.7299999999999999E-2</v>
      </c>
      <c r="AP2273">
        <v>1</v>
      </c>
      <c r="AQ2273">
        <v>-4.7300000000000004</v>
      </c>
      <c r="AR2273">
        <v>16.03</v>
      </c>
      <c r="AS2273">
        <v>6.74</v>
      </c>
      <c r="AT2273">
        <v>-7.41</v>
      </c>
      <c r="AU2273">
        <v>309.13</v>
      </c>
      <c r="AV2273">
        <v>4</v>
      </c>
      <c r="AW2273">
        <v>34.380000000000003</v>
      </c>
      <c r="AX2273">
        <v>25</v>
      </c>
      <c r="AY2273">
        <v>97.2</v>
      </c>
      <c r="AZ2273">
        <v>72.75</v>
      </c>
      <c r="BA2273">
        <v>0.96</v>
      </c>
      <c r="BB2273" t="s">
        <v>125</v>
      </c>
      <c r="BF2273">
        <v>16.75</v>
      </c>
      <c r="BG2273">
        <v>20.71</v>
      </c>
      <c r="BH2273">
        <v>0</v>
      </c>
      <c r="BI2273">
        <v>20.8</v>
      </c>
      <c r="BJ2273">
        <v>20210820</v>
      </c>
      <c r="BK2273">
        <v>20210127</v>
      </c>
      <c r="BL2273">
        <v>0.96</v>
      </c>
      <c r="BM2273" t="s">
        <v>120</v>
      </c>
      <c r="BN2273" t="s">
        <v>120</v>
      </c>
      <c r="BO2273">
        <v>11.27</v>
      </c>
      <c r="BP2273">
        <v>49.3</v>
      </c>
      <c r="BQ2273">
        <v>7.57</v>
      </c>
      <c r="BR2273">
        <v>0.21</v>
      </c>
      <c r="BS2273">
        <v>30.91</v>
      </c>
      <c r="BT2273">
        <v>9</v>
      </c>
      <c r="BU2273">
        <v>1.61</v>
      </c>
      <c r="BV2273">
        <v>0.41</v>
      </c>
      <c r="BW2273">
        <v>3.36</v>
      </c>
      <c r="BX2273">
        <v>1.67</v>
      </c>
      <c r="BY2273">
        <v>3.19</v>
      </c>
      <c r="BZ2273">
        <v>2.4</v>
      </c>
      <c r="CA2273" t="s">
        <v>120</v>
      </c>
      <c r="CB2273">
        <v>4.57</v>
      </c>
      <c r="CC2273">
        <v>15.93</v>
      </c>
      <c r="CD2273">
        <v>15</v>
      </c>
      <c r="CE2273">
        <v>0.14000000000000001</v>
      </c>
      <c r="CF2273">
        <v>0.11</v>
      </c>
      <c r="CG2273">
        <v>0.14000000000000001</v>
      </c>
      <c r="CH2273">
        <v>0.12</v>
      </c>
      <c r="CI2273">
        <v>0.09</v>
      </c>
      <c r="CJ2273">
        <v>8.2200000000000006</v>
      </c>
      <c r="CK2273">
        <v>-0.04</v>
      </c>
      <c r="CL2273">
        <v>1.78</v>
      </c>
      <c r="CM2273">
        <v>-1.47</v>
      </c>
      <c r="CN2273">
        <v>0.56000000000000005</v>
      </c>
      <c r="CO2273">
        <v>25096</v>
      </c>
      <c r="CP2273">
        <v>953</v>
      </c>
      <c r="CQ2273" t="s">
        <v>5667</v>
      </c>
      <c r="CR2273">
        <v>-60.39</v>
      </c>
      <c r="CS2273">
        <v>19.39</v>
      </c>
      <c r="CT2273">
        <v>6.23</v>
      </c>
      <c r="CU2273">
        <v>-32.11</v>
      </c>
      <c r="CV2273">
        <v>2.96</v>
      </c>
      <c r="CW2273">
        <v>0.49</v>
      </c>
      <c r="CX2273" t="s">
        <v>411</v>
      </c>
      <c r="CY2273">
        <v>7.92</v>
      </c>
      <c r="CZ2273">
        <v>0</v>
      </c>
      <c r="DA2273">
        <v>4.78</v>
      </c>
      <c r="DB2273">
        <v>1.86</v>
      </c>
      <c r="DC2273">
        <v>-1.54</v>
      </c>
      <c r="DD2273">
        <v>67.209999999999994</v>
      </c>
      <c r="DE2273" t="s">
        <v>1283</v>
      </c>
      <c r="DF2273">
        <v>5.85</v>
      </c>
      <c r="DG2273">
        <v>0.89</v>
      </c>
      <c r="DH2273">
        <v>0.56000000000000005</v>
      </c>
      <c r="DI2273" t="s">
        <v>120</v>
      </c>
      <c r="DJ2273">
        <v>759</v>
      </c>
      <c r="DK2273">
        <v>300937</v>
      </c>
      <c r="DL2273">
        <v>20210916</v>
      </c>
      <c r="DM2273">
        <v>49.3</v>
      </c>
      <c r="DN2273">
        <v>0</v>
      </c>
    </row>
    <row r="2274" spans="1:118">
      <c r="A2274" t="str">
        <f>"300938"</f>
        <v>300938</v>
      </c>
      <c r="B2274" t="s">
        <v>10805</v>
      </c>
      <c r="C2274">
        <v>0.21</v>
      </c>
      <c r="D2274">
        <v>0.09</v>
      </c>
      <c r="E2274">
        <v>0</v>
      </c>
      <c r="F2274">
        <v>39</v>
      </c>
      <c r="G2274" t="s">
        <v>10806</v>
      </c>
      <c r="H2274">
        <v>1719.12</v>
      </c>
      <c r="I2274">
        <v>2.81</v>
      </c>
      <c r="J2274" t="s">
        <v>120</v>
      </c>
      <c r="K2274" t="s">
        <v>10806</v>
      </c>
      <c r="L2274">
        <v>2.25</v>
      </c>
      <c r="M2274">
        <v>46.95</v>
      </c>
      <c r="N2274">
        <v>0.8</v>
      </c>
      <c r="O2274">
        <v>0.94</v>
      </c>
      <c r="P2274">
        <v>47.29</v>
      </c>
      <c r="Q2274">
        <v>-0.23</v>
      </c>
      <c r="R2274">
        <v>46.74</v>
      </c>
      <c r="S2274">
        <v>46.85</v>
      </c>
      <c r="T2274">
        <v>3660</v>
      </c>
      <c r="U2274">
        <v>46.96</v>
      </c>
      <c r="V2274">
        <v>46.85</v>
      </c>
      <c r="W2274">
        <v>42.25</v>
      </c>
      <c r="X2274" t="s">
        <v>166</v>
      </c>
      <c r="Y2274" t="s">
        <v>123</v>
      </c>
      <c r="Z2274">
        <v>1.17</v>
      </c>
      <c r="AA2274">
        <v>46.97</v>
      </c>
      <c r="AB2274">
        <v>2099</v>
      </c>
      <c r="AC2274">
        <v>1561</v>
      </c>
      <c r="AD2274">
        <v>1.34</v>
      </c>
      <c r="AE2274">
        <v>21</v>
      </c>
      <c r="AF2274">
        <v>8</v>
      </c>
      <c r="AG2274" t="s">
        <v>120</v>
      </c>
      <c r="AH2274">
        <v>0</v>
      </c>
      <c r="AI2274" t="s">
        <v>120</v>
      </c>
      <c r="AJ2274">
        <v>0.16</v>
      </c>
      <c r="AK2274" t="s">
        <v>10807</v>
      </c>
      <c r="AL2274">
        <v>2.13</v>
      </c>
      <c r="AM2274">
        <v>629</v>
      </c>
      <c r="AN2274">
        <v>6</v>
      </c>
      <c r="AO2274">
        <v>3.5999999999999999E-3</v>
      </c>
      <c r="AP2274">
        <v>1</v>
      </c>
      <c r="AQ2274">
        <v>-1.29</v>
      </c>
      <c r="AR2274">
        <v>-0.81</v>
      </c>
      <c r="AS2274">
        <v>-3.97</v>
      </c>
      <c r="AT2274">
        <v>-3.07</v>
      </c>
      <c r="AU2274">
        <v>26.96</v>
      </c>
      <c r="AV2274">
        <v>0</v>
      </c>
      <c r="AW2274">
        <v>2.25</v>
      </c>
      <c r="AX2274">
        <v>25</v>
      </c>
      <c r="AY2274">
        <v>41.42</v>
      </c>
      <c r="AZ2274">
        <v>50.62</v>
      </c>
      <c r="BA2274">
        <v>0.71</v>
      </c>
      <c r="BB2274" t="s">
        <v>134</v>
      </c>
      <c r="BF2274">
        <v>0.25</v>
      </c>
      <c r="BG2274">
        <v>0.21</v>
      </c>
      <c r="BH2274">
        <v>-0.72</v>
      </c>
      <c r="BI2274">
        <v>0.45</v>
      </c>
      <c r="BJ2274">
        <v>20210818</v>
      </c>
      <c r="BK2274">
        <v>20210127</v>
      </c>
      <c r="BL2274">
        <v>0.65</v>
      </c>
      <c r="BM2274" t="s">
        <v>120</v>
      </c>
      <c r="BN2274" t="s">
        <v>120</v>
      </c>
      <c r="BO2274">
        <v>11.48</v>
      </c>
      <c r="BP2274">
        <v>46.95</v>
      </c>
      <c r="BQ2274">
        <v>9.69</v>
      </c>
      <c r="BR2274">
        <v>0.02</v>
      </c>
      <c r="BS2274">
        <v>15.41</v>
      </c>
      <c r="BT2274">
        <v>6.9</v>
      </c>
      <c r="BU2274">
        <v>2.37</v>
      </c>
      <c r="BV2274">
        <v>0.17</v>
      </c>
      <c r="BW2274">
        <v>0.92</v>
      </c>
      <c r="BX2274">
        <v>3.36</v>
      </c>
      <c r="BY2274">
        <v>0</v>
      </c>
      <c r="BZ2274">
        <v>0.98</v>
      </c>
      <c r="CA2274" t="s">
        <v>120</v>
      </c>
      <c r="CB2274">
        <v>5.76</v>
      </c>
      <c r="CC2274">
        <v>1.7</v>
      </c>
      <c r="CD2274">
        <v>0.66</v>
      </c>
      <c r="CE2274">
        <v>0.43</v>
      </c>
      <c r="CF2274">
        <v>0</v>
      </c>
      <c r="CG2274">
        <v>0.43</v>
      </c>
      <c r="CH2274">
        <v>0.36</v>
      </c>
      <c r="CI2274">
        <v>0.36</v>
      </c>
      <c r="CJ2274">
        <v>0.1</v>
      </c>
      <c r="CK2274">
        <v>0.3</v>
      </c>
      <c r="CL2274">
        <v>3.14</v>
      </c>
      <c r="CM2274">
        <v>0.27</v>
      </c>
      <c r="CN2274">
        <v>2.48</v>
      </c>
      <c r="CO2274">
        <v>13436</v>
      </c>
      <c r="CP2274">
        <v>1211</v>
      </c>
      <c r="CQ2274" t="s">
        <v>3853</v>
      </c>
      <c r="CR2274">
        <v>58.7</v>
      </c>
      <c r="CS2274">
        <v>41.36</v>
      </c>
      <c r="CT2274">
        <v>3.15</v>
      </c>
      <c r="CU2274">
        <v>113.51</v>
      </c>
      <c r="CV2274">
        <v>18</v>
      </c>
      <c r="CW2274">
        <v>0.64</v>
      </c>
      <c r="CX2274" t="s">
        <v>2614</v>
      </c>
      <c r="CY2274">
        <v>14.88</v>
      </c>
      <c r="CZ2274">
        <v>0</v>
      </c>
      <c r="DA2274">
        <v>8.84</v>
      </c>
      <c r="DB2274">
        <v>4.82</v>
      </c>
      <c r="DC2274">
        <v>0.41</v>
      </c>
      <c r="DD2274">
        <v>84.38</v>
      </c>
      <c r="DE2274" t="s">
        <v>4130</v>
      </c>
      <c r="DF2274">
        <v>61.32</v>
      </c>
      <c r="DG2274">
        <v>25.18</v>
      </c>
      <c r="DH2274">
        <v>21.3</v>
      </c>
      <c r="DI2274">
        <v>0.13</v>
      </c>
      <c r="DJ2274">
        <v>899</v>
      </c>
      <c r="DK2274">
        <v>300938</v>
      </c>
      <c r="DL2274" t="s">
        <v>120</v>
      </c>
      <c r="DM2274" t="s">
        <v>120</v>
      </c>
      <c r="DN2274" t="s">
        <v>120</v>
      </c>
    </row>
    <row r="2275" spans="1:118">
      <c r="A2275" t="str">
        <f>"300939"</f>
        <v>300939</v>
      </c>
      <c r="B2275" t="s">
        <v>10808</v>
      </c>
      <c r="C2275">
        <v>1.69</v>
      </c>
      <c r="D2275">
        <v>0.14000000000000001</v>
      </c>
      <c r="E2275">
        <v>0.3</v>
      </c>
      <c r="F2275">
        <v>232</v>
      </c>
      <c r="G2275" t="s">
        <v>10809</v>
      </c>
      <c r="H2275">
        <v>6057.76</v>
      </c>
      <c r="I2275">
        <v>1.01</v>
      </c>
      <c r="J2275" t="s">
        <v>120</v>
      </c>
      <c r="K2275" t="s">
        <v>10809</v>
      </c>
      <c r="L2275">
        <v>5.89</v>
      </c>
      <c r="M2275">
        <v>51.25</v>
      </c>
      <c r="N2275">
        <v>0.94</v>
      </c>
      <c r="O2275">
        <v>4.21</v>
      </c>
      <c r="P2275">
        <v>52.52</v>
      </c>
      <c r="Q2275">
        <v>-0.34</v>
      </c>
      <c r="R2275">
        <v>50.23</v>
      </c>
      <c r="S2275">
        <v>50.55</v>
      </c>
      <c r="T2275">
        <v>11776</v>
      </c>
      <c r="U2275">
        <v>51.3</v>
      </c>
      <c r="V2275">
        <v>50.4</v>
      </c>
      <c r="W2275">
        <v>55.73</v>
      </c>
      <c r="X2275" t="s">
        <v>229</v>
      </c>
      <c r="Y2275" t="s">
        <v>123</v>
      </c>
      <c r="Z2275">
        <v>4.54</v>
      </c>
      <c r="AA2275">
        <v>51.44</v>
      </c>
      <c r="AB2275">
        <v>6314</v>
      </c>
      <c r="AC2275">
        <v>5462</v>
      </c>
      <c r="AD2275">
        <v>1.1599999999999999</v>
      </c>
      <c r="AE2275">
        <v>10</v>
      </c>
      <c r="AF2275">
        <v>57</v>
      </c>
      <c r="AG2275" t="s">
        <v>120</v>
      </c>
      <c r="AH2275">
        <v>0</v>
      </c>
      <c r="AI2275" t="s">
        <v>120</v>
      </c>
      <c r="AJ2275">
        <v>0.2</v>
      </c>
      <c r="AK2275" t="s">
        <v>6721</v>
      </c>
      <c r="AL2275">
        <v>3.6</v>
      </c>
      <c r="AM2275">
        <v>1337</v>
      </c>
      <c r="AN2275">
        <v>9</v>
      </c>
      <c r="AO2275">
        <v>4.4000000000000003E-3</v>
      </c>
      <c r="AP2275">
        <v>1</v>
      </c>
      <c r="AQ2275">
        <v>-1.1000000000000001</v>
      </c>
      <c r="AR2275">
        <v>-0.53</v>
      </c>
      <c r="AS2275">
        <v>4.8099999999999996</v>
      </c>
      <c r="AT2275">
        <v>-11.36</v>
      </c>
      <c r="AU2275">
        <v>39.72</v>
      </c>
      <c r="AV2275">
        <v>0</v>
      </c>
      <c r="AW2275">
        <v>5.89</v>
      </c>
      <c r="AX2275">
        <v>25</v>
      </c>
      <c r="AY2275">
        <v>47.27</v>
      </c>
      <c r="AZ2275">
        <v>48.38</v>
      </c>
      <c r="BA2275">
        <v>0.33</v>
      </c>
      <c r="BB2275" t="s">
        <v>143</v>
      </c>
      <c r="BF2275">
        <v>2.0699999999999998</v>
      </c>
      <c r="BG2275">
        <v>1.38</v>
      </c>
      <c r="BH2275">
        <v>-2.42</v>
      </c>
      <c r="BI2275">
        <v>2.0299999999999998</v>
      </c>
      <c r="BJ2275">
        <v>20210913</v>
      </c>
      <c r="BK2275">
        <v>20210128</v>
      </c>
      <c r="BL2275">
        <v>0.8</v>
      </c>
      <c r="BM2275" t="s">
        <v>120</v>
      </c>
      <c r="BN2275" t="s">
        <v>120</v>
      </c>
      <c r="BO2275">
        <v>13.41</v>
      </c>
      <c r="BP2275">
        <v>51.24</v>
      </c>
      <c r="BQ2275">
        <v>11.02</v>
      </c>
      <c r="BR2275" t="s">
        <v>120</v>
      </c>
      <c r="BS2275">
        <v>17.809999999999999</v>
      </c>
      <c r="BT2275">
        <v>11.92</v>
      </c>
      <c r="BU2275">
        <v>0.87</v>
      </c>
      <c r="BV2275">
        <v>7.0000000000000007E-2</v>
      </c>
      <c r="BW2275">
        <v>2.25</v>
      </c>
      <c r="BX2275">
        <v>1.89</v>
      </c>
      <c r="BY2275">
        <v>1.74</v>
      </c>
      <c r="BZ2275">
        <v>1.91</v>
      </c>
      <c r="CA2275" t="s">
        <v>120</v>
      </c>
      <c r="CB2275">
        <v>8.25</v>
      </c>
      <c r="CC2275">
        <v>4.9800000000000004</v>
      </c>
      <c r="CD2275">
        <v>3.89</v>
      </c>
      <c r="CE2275">
        <v>0.42</v>
      </c>
      <c r="CF2275">
        <v>0.1</v>
      </c>
      <c r="CG2275">
        <v>0.42</v>
      </c>
      <c r="CH2275">
        <v>0.37</v>
      </c>
      <c r="CI2275">
        <v>0.37</v>
      </c>
      <c r="CJ2275">
        <v>0.85</v>
      </c>
      <c r="CK2275">
        <v>0.25</v>
      </c>
      <c r="CL2275">
        <v>1.74</v>
      </c>
      <c r="CM2275">
        <v>-0.41</v>
      </c>
      <c r="CN2275">
        <v>0.51</v>
      </c>
      <c r="CO2275">
        <v>15328</v>
      </c>
      <c r="CP2275">
        <v>1305</v>
      </c>
      <c r="CQ2275" t="s">
        <v>4802</v>
      </c>
      <c r="CR2275">
        <v>5.59</v>
      </c>
      <c r="CS2275">
        <v>33.130000000000003</v>
      </c>
      <c r="CT2275">
        <v>3.72</v>
      </c>
      <c r="CU2275">
        <v>-99.2</v>
      </c>
      <c r="CV2275">
        <v>8.24</v>
      </c>
      <c r="CW2275">
        <v>0.99</v>
      </c>
      <c r="CX2275" t="s">
        <v>780</v>
      </c>
      <c r="CY2275">
        <v>13.77</v>
      </c>
      <c r="CZ2275">
        <v>0</v>
      </c>
      <c r="DA2275">
        <v>10.31</v>
      </c>
      <c r="DB2275">
        <v>2.17</v>
      </c>
      <c r="DC2275">
        <v>-0.52</v>
      </c>
      <c r="DD2275">
        <v>82.19</v>
      </c>
      <c r="DE2275" t="s">
        <v>6440</v>
      </c>
      <c r="DF2275">
        <v>21.87</v>
      </c>
      <c r="DG2275">
        <v>8.34</v>
      </c>
      <c r="DH2275">
        <v>7.39</v>
      </c>
      <c r="DI2275">
        <v>0.23</v>
      </c>
      <c r="DJ2275">
        <v>1994</v>
      </c>
      <c r="DK2275">
        <v>300939</v>
      </c>
      <c r="DL2275" t="s">
        <v>120</v>
      </c>
      <c r="DM2275" t="s">
        <v>120</v>
      </c>
      <c r="DN2275" t="s">
        <v>120</v>
      </c>
    </row>
    <row r="2276" spans="1:118">
      <c r="A2276" t="str">
        <f>"300940"</f>
        <v>300940</v>
      </c>
      <c r="B2276" t="s">
        <v>10810</v>
      </c>
      <c r="C2276">
        <v>0.92</v>
      </c>
      <c r="D2276">
        <v>0.03</v>
      </c>
      <c r="E2276">
        <v>-0.08</v>
      </c>
      <c r="F2276">
        <v>320</v>
      </c>
      <c r="G2276" t="s">
        <v>10811</v>
      </c>
      <c r="H2276">
        <v>6448.13</v>
      </c>
      <c r="I2276">
        <v>6.66</v>
      </c>
      <c r="J2276" t="s">
        <v>120</v>
      </c>
      <c r="K2276" t="s">
        <v>10811</v>
      </c>
      <c r="L2276">
        <v>5.52</v>
      </c>
      <c r="M2276">
        <v>39.57</v>
      </c>
      <c r="N2276">
        <v>0.79</v>
      </c>
      <c r="O2276">
        <v>2.3199999999999998</v>
      </c>
      <c r="P2276">
        <v>40.119999999999997</v>
      </c>
      <c r="Q2276">
        <v>-0.69</v>
      </c>
      <c r="R2276">
        <v>38.94</v>
      </c>
      <c r="S2276">
        <v>39.18</v>
      </c>
      <c r="T2276">
        <v>16332</v>
      </c>
      <c r="U2276">
        <v>39.58</v>
      </c>
      <c r="V2276">
        <v>39.21</v>
      </c>
      <c r="W2276">
        <v>122.86</v>
      </c>
      <c r="X2276" t="s">
        <v>229</v>
      </c>
      <c r="Y2276" t="s">
        <v>123</v>
      </c>
      <c r="Z2276">
        <v>3.01</v>
      </c>
      <c r="AA2276">
        <v>39.479999999999997</v>
      </c>
      <c r="AB2276">
        <v>7871</v>
      </c>
      <c r="AC2276">
        <v>8461</v>
      </c>
      <c r="AD2276">
        <v>0.93</v>
      </c>
      <c r="AE2276">
        <v>83</v>
      </c>
      <c r="AF2276">
        <v>45</v>
      </c>
      <c r="AG2276" t="s">
        <v>120</v>
      </c>
      <c r="AH2276">
        <v>0.01</v>
      </c>
      <c r="AI2276" t="s">
        <v>120</v>
      </c>
      <c r="AJ2276">
        <v>0.3</v>
      </c>
      <c r="AK2276" t="s">
        <v>10812</v>
      </c>
      <c r="AL2276">
        <v>2.83</v>
      </c>
      <c r="AM2276">
        <v>1617</v>
      </c>
      <c r="AN2276">
        <v>10</v>
      </c>
      <c r="AO2276">
        <v>3.3999999999999998E-3</v>
      </c>
      <c r="AP2276">
        <v>2</v>
      </c>
      <c r="AQ2276">
        <v>0.31</v>
      </c>
      <c r="AR2276">
        <v>-0.3</v>
      </c>
      <c r="AS2276">
        <v>2.48</v>
      </c>
      <c r="AT2276">
        <v>-11.95</v>
      </c>
      <c r="AU2276">
        <v>212.04</v>
      </c>
      <c r="AV2276">
        <v>3</v>
      </c>
      <c r="AW2276">
        <v>5.52</v>
      </c>
      <c r="AX2276">
        <v>25</v>
      </c>
      <c r="AY2276">
        <v>79.069999999999993</v>
      </c>
      <c r="AZ2276">
        <v>66.650000000000006</v>
      </c>
      <c r="BA2276">
        <v>0.47</v>
      </c>
      <c r="BB2276" t="s">
        <v>143</v>
      </c>
      <c r="BF2276">
        <v>0.7</v>
      </c>
      <c r="BG2276">
        <v>1</v>
      </c>
      <c r="BH2276">
        <v>-1.37</v>
      </c>
      <c r="BI2276">
        <v>1.62</v>
      </c>
      <c r="BJ2276">
        <v>20210826</v>
      </c>
      <c r="BK2276">
        <v>20210203</v>
      </c>
      <c r="BL2276">
        <v>1.18</v>
      </c>
      <c r="BM2276" t="s">
        <v>120</v>
      </c>
      <c r="BN2276" t="s">
        <v>120</v>
      </c>
      <c r="BO2276">
        <v>15.02</v>
      </c>
      <c r="BP2276">
        <v>39.57</v>
      </c>
      <c r="BQ2276">
        <v>8.39</v>
      </c>
      <c r="BR2276" t="s">
        <v>120</v>
      </c>
      <c r="BS2276">
        <v>44.15</v>
      </c>
      <c r="BT2276">
        <v>12.63</v>
      </c>
      <c r="BU2276">
        <v>1.56</v>
      </c>
      <c r="BV2276">
        <v>0.05</v>
      </c>
      <c r="BW2276">
        <v>5.99</v>
      </c>
      <c r="BX2276">
        <v>5.08</v>
      </c>
      <c r="BY2276">
        <v>0.68</v>
      </c>
      <c r="BZ2276">
        <v>4.3899999999999997</v>
      </c>
      <c r="CA2276" t="s">
        <v>120</v>
      </c>
      <c r="CB2276">
        <v>5.0199999999999996</v>
      </c>
      <c r="CC2276">
        <v>5.63</v>
      </c>
      <c r="CD2276">
        <v>4.96</v>
      </c>
      <c r="CE2276">
        <v>0.19</v>
      </c>
      <c r="CF2276">
        <v>0</v>
      </c>
      <c r="CG2276">
        <v>0.19</v>
      </c>
      <c r="CH2276">
        <v>0.19</v>
      </c>
      <c r="CI2276">
        <v>0.19</v>
      </c>
      <c r="CJ2276">
        <v>0.36</v>
      </c>
      <c r="CK2276">
        <v>0.11</v>
      </c>
      <c r="CL2276">
        <v>1.97</v>
      </c>
      <c r="CM2276">
        <v>0.37</v>
      </c>
      <c r="CN2276">
        <v>3.22</v>
      </c>
      <c r="CO2276">
        <v>25810</v>
      </c>
      <c r="CP2276">
        <v>1147</v>
      </c>
      <c r="CQ2276" t="s">
        <v>10443</v>
      </c>
      <c r="CR2276">
        <v>-36.46</v>
      </c>
      <c r="CS2276">
        <v>45.16</v>
      </c>
      <c r="CT2276">
        <v>5.59</v>
      </c>
      <c r="CU2276">
        <v>128.32</v>
      </c>
      <c r="CV2276">
        <v>8.33</v>
      </c>
      <c r="CW2276">
        <v>0.2</v>
      </c>
      <c r="CX2276" t="s">
        <v>242</v>
      </c>
      <c r="CY2276">
        <v>7.08</v>
      </c>
      <c r="CZ2276">
        <v>0</v>
      </c>
      <c r="DA2276">
        <v>4.24</v>
      </c>
      <c r="DB2276">
        <v>1.67</v>
      </c>
      <c r="DC2276">
        <v>0.31</v>
      </c>
      <c r="DD2276">
        <v>55.85</v>
      </c>
      <c r="DE2276" t="s">
        <v>5116</v>
      </c>
      <c r="DF2276">
        <v>11.92</v>
      </c>
      <c r="DG2276">
        <v>3.41</v>
      </c>
      <c r="DH2276">
        <v>3.39</v>
      </c>
      <c r="DI2276">
        <v>0.21</v>
      </c>
      <c r="DJ2276">
        <v>1956</v>
      </c>
      <c r="DK2276">
        <v>300940</v>
      </c>
      <c r="DL2276" t="s">
        <v>120</v>
      </c>
      <c r="DM2276" t="s">
        <v>120</v>
      </c>
      <c r="DN2276" t="s">
        <v>120</v>
      </c>
    </row>
    <row r="2277" spans="1:118">
      <c r="A2277" t="str">
        <f>"300941"</f>
        <v>300941</v>
      </c>
      <c r="B2277" t="s">
        <v>10813</v>
      </c>
      <c r="C2277">
        <v>-2.79</v>
      </c>
      <c r="D2277">
        <v>0.02</v>
      </c>
      <c r="E2277">
        <v>-0.52</v>
      </c>
      <c r="F2277">
        <v>343</v>
      </c>
      <c r="G2277" t="s">
        <v>10814</v>
      </c>
      <c r="H2277">
        <v>9754.86</v>
      </c>
      <c r="I2277">
        <v>58.55</v>
      </c>
      <c r="J2277" t="s">
        <v>120</v>
      </c>
      <c r="K2277" t="s">
        <v>10814</v>
      </c>
      <c r="L2277">
        <v>6.77</v>
      </c>
      <c r="M2277">
        <v>41.46</v>
      </c>
      <c r="N2277">
        <v>0.57999999999999996</v>
      </c>
      <c r="O2277">
        <v>1.22</v>
      </c>
      <c r="P2277">
        <v>43.17</v>
      </c>
      <c r="Q2277">
        <v>-3.05</v>
      </c>
      <c r="R2277">
        <v>41.35</v>
      </c>
      <c r="S2277">
        <v>42.43</v>
      </c>
      <c r="T2277">
        <v>23110</v>
      </c>
      <c r="U2277">
        <v>41.46</v>
      </c>
      <c r="V2277">
        <v>42.65</v>
      </c>
      <c r="W2277">
        <v>77</v>
      </c>
      <c r="X2277" t="s">
        <v>141</v>
      </c>
      <c r="Y2277" t="s">
        <v>937</v>
      </c>
      <c r="Z2277">
        <v>4.2699999999999996</v>
      </c>
      <c r="AA2277">
        <v>42.21</v>
      </c>
      <c r="AB2277">
        <v>13102</v>
      </c>
      <c r="AC2277">
        <v>10008</v>
      </c>
      <c r="AD2277">
        <v>1.31</v>
      </c>
      <c r="AE2277">
        <v>244</v>
      </c>
      <c r="AF2277">
        <v>20</v>
      </c>
      <c r="AG2277" t="s">
        <v>120</v>
      </c>
      <c r="AH2277">
        <v>0.04</v>
      </c>
      <c r="AI2277" t="s">
        <v>120</v>
      </c>
      <c r="AJ2277">
        <v>0.34</v>
      </c>
      <c r="AK2277" t="s">
        <v>10815</v>
      </c>
      <c r="AL2277">
        <v>-0.88</v>
      </c>
      <c r="AM2277">
        <v>2055</v>
      </c>
      <c r="AN2277">
        <v>11</v>
      </c>
      <c r="AO2277">
        <v>3.3E-3</v>
      </c>
      <c r="AP2277">
        <v>-3</v>
      </c>
      <c r="AQ2277">
        <v>-2.54</v>
      </c>
      <c r="AR2277">
        <v>-8.98</v>
      </c>
      <c r="AS2277">
        <v>-9.58</v>
      </c>
      <c r="AT2277">
        <v>-18.059999999999999</v>
      </c>
      <c r="AU2277">
        <v>97.34</v>
      </c>
      <c r="AV2277">
        <v>1</v>
      </c>
      <c r="AW2277">
        <v>6.77</v>
      </c>
      <c r="AX2277">
        <v>25</v>
      </c>
      <c r="AY2277">
        <v>42.36</v>
      </c>
      <c r="AZ2277">
        <v>39.78</v>
      </c>
      <c r="BA2277">
        <v>0.85</v>
      </c>
      <c r="BB2277" t="s">
        <v>143</v>
      </c>
      <c r="BF2277">
        <v>-1.03</v>
      </c>
      <c r="BG2277">
        <v>-2.29</v>
      </c>
      <c r="BH2277">
        <v>-3.96</v>
      </c>
      <c r="BI2277">
        <v>0.27</v>
      </c>
      <c r="BJ2277">
        <v>20210914</v>
      </c>
      <c r="BK2277">
        <v>20210209</v>
      </c>
      <c r="BL2277">
        <v>1.37</v>
      </c>
      <c r="BM2277" t="s">
        <v>120</v>
      </c>
      <c r="BN2277" t="s">
        <v>120</v>
      </c>
      <c r="BO2277">
        <v>11.79</v>
      </c>
      <c r="BP2277">
        <v>41.45</v>
      </c>
      <c r="BQ2277">
        <v>11.12</v>
      </c>
      <c r="BR2277" t="s">
        <v>120</v>
      </c>
      <c r="BS2277">
        <v>5.73</v>
      </c>
      <c r="BT2277">
        <v>11.64</v>
      </c>
      <c r="BU2277">
        <v>0.02</v>
      </c>
      <c r="BV2277">
        <v>0</v>
      </c>
      <c r="BW2277">
        <v>0.49</v>
      </c>
      <c r="BX2277">
        <v>7.42</v>
      </c>
      <c r="BY2277">
        <v>0.28000000000000003</v>
      </c>
      <c r="BZ2277">
        <v>1.0900000000000001</v>
      </c>
      <c r="CA2277" t="s">
        <v>120</v>
      </c>
      <c r="CB2277">
        <v>6.37</v>
      </c>
      <c r="CC2277">
        <v>1.77</v>
      </c>
      <c r="CD2277">
        <v>1.1399999999999999</v>
      </c>
      <c r="CE2277">
        <v>0.4</v>
      </c>
      <c r="CF2277">
        <v>0.04</v>
      </c>
      <c r="CG2277">
        <v>0.4</v>
      </c>
      <c r="CH2277">
        <v>0.37</v>
      </c>
      <c r="CI2277">
        <v>0.37</v>
      </c>
      <c r="CJ2277">
        <v>-1.19</v>
      </c>
      <c r="CK2277">
        <v>0.31</v>
      </c>
      <c r="CL2277">
        <v>3</v>
      </c>
      <c r="CM2277">
        <v>-0.81</v>
      </c>
      <c r="CN2277">
        <v>7.06</v>
      </c>
      <c r="CO2277">
        <v>20066</v>
      </c>
      <c r="CP2277">
        <v>1701</v>
      </c>
      <c r="CQ2277" t="s">
        <v>10816</v>
      </c>
      <c r="CR2277">
        <v>-19.52</v>
      </c>
      <c r="CS2277">
        <v>-20.81</v>
      </c>
      <c r="CT2277">
        <v>5.09</v>
      </c>
      <c r="CU2277">
        <v>-70.19</v>
      </c>
      <c r="CV2277">
        <v>31.99</v>
      </c>
      <c r="CW2277">
        <v>0.7</v>
      </c>
      <c r="CX2277" t="s">
        <v>293</v>
      </c>
      <c r="CY2277">
        <v>8.14</v>
      </c>
      <c r="CZ2277">
        <v>0</v>
      </c>
      <c r="DA2277">
        <v>4.67</v>
      </c>
      <c r="DB2277">
        <v>2.2000000000000002</v>
      </c>
      <c r="DC2277">
        <v>-0.59</v>
      </c>
      <c r="DD2277">
        <v>94.27</v>
      </c>
      <c r="DE2277" t="s">
        <v>257</v>
      </c>
      <c r="DF2277">
        <v>35.770000000000003</v>
      </c>
      <c r="DG2277">
        <v>22.72</v>
      </c>
      <c r="DH2277">
        <v>20.77</v>
      </c>
      <c r="DI2277">
        <v>0.2</v>
      </c>
      <c r="DJ2277">
        <v>242</v>
      </c>
      <c r="DK2277">
        <v>300941</v>
      </c>
      <c r="DL2277" t="s">
        <v>120</v>
      </c>
      <c r="DM2277" t="s">
        <v>120</v>
      </c>
      <c r="DN2277" t="s">
        <v>120</v>
      </c>
    </row>
    <row r="2278" spans="1:118">
      <c r="A2278" t="str">
        <f>"300942"</f>
        <v>300942</v>
      </c>
      <c r="B2278" t="s">
        <v>10817</v>
      </c>
      <c r="C2278">
        <v>2.61</v>
      </c>
      <c r="D2278">
        <v>-0.12</v>
      </c>
      <c r="E2278">
        <v>-0.14000000000000001</v>
      </c>
      <c r="F2278">
        <v>652</v>
      </c>
      <c r="G2278" t="s">
        <v>10818</v>
      </c>
      <c r="H2278">
        <v>11735.66</v>
      </c>
      <c r="I2278">
        <v>13.1</v>
      </c>
      <c r="J2278" t="s">
        <v>120</v>
      </c>
      <c r="K2278" t="s">
        <v>10818</v>
      </c>
      <c r="L2278">
        <v>9.66</v>
      </c>
      <c r="M2278">
        <v>29.9</v>
      </c>
      <c r="N2278">
        <v>1.98</v>
      </c>
      <c r="O2278">
        <v>5.87</v>
      </c>
      <c r="P2278">
        <v>30.85</v>
      </c>
      <c r="Q2278">
        <v>-2.95</v>
      </c>
      <c r="R2278">
        <v>28.28</v>
      </c>
      <c r="S2278">
        <v>29.1</v>
      </c>
      <c r="T2278">
        <v>39468</v>
      </c>
      <c r="U2278">
        <v>29.9</v>
      </c>
      <c r="V2278">
        <v>29.14</v>
      </c>
      <c r="W2278">
        <v>36.700000000000003</v>
      </c>
      <c r="X2278" t="s">
        <v>666</v>
      </c>
      <c r="Y2278" t="s">
        <v>123</v>
      </c>
      <c r="Z2278">
        <v>8.82</v>
      </c>
      <c r="AA2278">
        <v>29.73</v>
      </c>
      <c r="AB2278">
        <v>18950</v>
      </c>
      <c r="AC2278">
        <v>20518</v>
      </c>
      <c r="AD2278">
        <v>0.92</v>
      </c>
      <c r="AE2278">
        <v>50</v>
      </c>
      <c r="AF2278">
        <v>187</v>
      </c>
      <c r="AG2278" t="s">
        <v>120</v>
      </c>
      <c r="AH2278">
        <v>0.01</v>
      </c>
      <c r="AI2278" t="s">
        <v>120</v>
      </c>
      <c r="AJ2278">
        <v>0.41</v>
      </c>
      <c r="AK2278" t="s">
        <v>10819</v>
      </c>
      <c r="AL2278">
        <v>4.5199999999999996</v>
      </c>
      <c r="AM2278">
        <v>2111</v>
      </c>
      <c r="AN2278">
        <v>19</v>
      </c>
      <c r="AO2278">
        <v>4.5999999999999999E-3</v>
      </c>
      <c r="AP2278">
        <v>1</v>
      </c>
      <c r="AQ2278">
        <v>-3.83</v>
      </c>
      <c r="AR2278">
        <v>0.88</v>
      </c>
      <c r="AS2278">
        <v>-5.68</v>
      </c>
      <c r="AT2278">
        <v>10.01</v>
      </c>
      <c r="AU2278">
        <v>467.91</v>
      </c>
      <c r="AV2278">
        <v>1</v>
      </c>
      <c r="AW2278">
        <v>9.66</v>
      </c>
      <c r="AX2278">
        <v>10.19</v>
      </c>
      <c r="AY2278">
        <v>61.63</v>
      </c>
      <c r="AZ2278">
        <v>178.49</v>
      </c>
      <c r="BA2278">
        <v>0.8</v>
      </c>
      <c r="BB2278" t="s">
        <v>125</v>
      </c>
      <c r="BF2278">
        <v>2.04</v>
      </c>
      <c r="BG2278">
        <v>2.75</v>
      </c>
      <c r="BH2278">
        <v>-3.08</v>
      </c>
      <c r="BI2278">
        <v>5.73</v>
      </c>
      <c r="BJ2278">
        <v>20210826</v>
      </c>
      <c r="BK2278">
        <v>20210209</v>
      </c>
      <c r="BL2278">
        <v>4.01</v>
      </c>
      <c r="BM2278" t="s">
        <v>120</v>
      </c>
      <c r="BN2278" t="s">
        <v>120</v>
      </c>
      <c r="BO2278">
        <v>10.88</v>
      </c>
      <c r="BP2278">
        <v>29.89</v>
      </c>
      <c r="BQ2278">
        <v>8.69</v>
      </c>
      <c r="BR2278">
        <v>0</v>
      </c>
      <c r="BS2278">
        <v>20.149999999999999</v>
      </c>
      <c r="BT2278">
        <v>8.99</v>
      </c>
      <c r="BU2278">
        <v>0.5</v>
      </c>
      <c r="BV2278">
        <v>0.43</v>
      </c>
      <c r="BW2278">
        <v>1.57</v>
      </c>
      <c r="BX2278">
        <v>3.87</v>
      </c>
      <c r="BY2278">
        <v>0.96</v>
      </c>
      <c r="BZ2278">
        <v>0.8</v>
      </c>
      <c r="CA2278" t="s">
        <v>120</v>
      </c>
      <c r="CB2278">
        <v>1.39</v>
      </c>
      <c r="CC2278">
        <v>3.3</v>
      </c>
      <c r="CD2278">
        <v>0.75</v>
      </c>
      <c r="CE2278">
        <v>1.83</v>
      </c>
      <c r="CF2278">
        <v>0.01</v>
      </c>
      <c r="CG2278">
        <v>1.89</v>
      </c>
      <c r="CH2278">
        <v>1.63</v>
      </c>
      <c r="CI2278">
        <v>1.63</v>
      </c>
      <c r="CJ2278">
        <v>0.76</v>
      </c>
      <c r="CK2278">
        <v>1.49</v>
      </c>
      <c r="CL2278">
        <v>3.01</v>
      </c>
      <c r="CM2278">
        <v>1.87</v>
      </c>
      <c r="CN2278">
        <v>0.14000000000000001</v>
      </c>
      <c r="CO2278">
        <v>25066</v>
      </c>
      <c r="CP2278">
        <v>1630</v>
      </c>
      <c r="CQ2278" t="s">
        <v>10820</v>
      </c>
      <c r="CR2278">
        <v>316.45</v>
      </c>
      <c r="CS2278">
        <v>151.16</v>
      </c>
      <c r="CT2278">
        <v>13.79</v>
      </c>
      <c r="CU2278">
        <v>64.14</v>
      </c>
      <c r="CV2278">
        <v>36.270000000000003</v>
      </c>
      <c r="CW2278">
        <v>0.15</v>
      </c>
      <c r="CX2278" t="s">
        <v>1327</v>
      </c>
      <c r="CY2278">
        <v>2.17</v>
      </c>
      <c r="CZ2278">
        <v>0</v>
      </c>
      <c r="DA2278">
        <v>0.35</v>
      </c>
      <c r="DB2278">
        <v>0.75</v>
      </c>
      <c r="DC2278">
        <v>0.47</v>
      </c>
      <c r="DD2278">
        <v>79.86</v>
      </c>
      <c r="DE2278" t="s">
        <v>10821</v>
      </c>
      <c r="DF2278">
        <v>77.39</v>
      </c>
      <c r="DG2278">
        <v>55.31</v>
      </c>
      <c r="DH2278">
        <v>49.41</v>
      </c>
      <c r="DI2278">
        <v>0.3</v>
      </c>
      <c r="DJ2278">
        <v>476</v>
      </c>
      <c r="DK2278">
        <v>300942</v>
      </c>
      <c r="DL2278" t="s">
        <v>120</v>
      </c>
      <c r="DM2278" t="s">
        <v>120</v>
      </c>
      <c r="DN2278" t="s">
        <v>120</v>
      </c>
    </row>
    <row r="2279" spans="1:118">
      <c r="A2279" t="str">
        <f>"300943"</f>
        <v>300943</v>
      </c>
      <c r="B2279" t="s">
        <v>10822</v>
      </c>
      <c r="C2279">
        <v>-2.4300000000000002</v>
      </c>
      <c r="D2279">
        <v>0</v>
      </c>
      <c r="E2279">
        <v>-0.47</v>
      </c>
      <c r="F2279">
        <v>548</v>
      </c>
      <c r="G2279" t="s">
        <v>10823</v>
      </c>
      <c r="H2279">
        <v>4654.9399999999996</v>
      </c>
      <c r="I2279">
        <v>14.7</v>
      </c>
      <c r="J2279" t="s">
        <v>120</v>
      </c>
      <c r="K2279" t="s">
        <v>10823</v>
      </c>
      <c r="L2279">
        <v>6.55</v>
      </c>
      <c r="M2279">
        <v>22.87</v>
      </c>
      <c r="N2279">
        <v>0.51</v>
      </c>
      <c r="O2279">
        <v>0.73</v>
      </c>
      <c r="P2279">
        <v>23.61</v>
      </c>
      <c r="Q2279">
        <v>-2.4300000000000002</v>
      </c>
      <c r="R2279">
        <v>22.87</v>
      </c>
      <c r="S2279">
        <v>23.33</v>
      </c>
      <c r="T2279">
        <v>20051</v>
      </c>
      <c r="U2279">
        <v>22.88</v>
      </c>
      <c r="V2279">
        <v>23.44</v>
      </c>
      <c r="W2279">
        <v>39.159999999999997</v>
      </c>
      <c r="X2279" t="s">
        <v>959</v>
      </c>
      <c r="Y2279" t="s">
        <v>585</v>
      </c>
      <c r="Z2279">
        <v>3.16</v>
      </c>
      <c r="AA2279">
        <v>23.22</v>
      </c>
      <c r="AB2279">
        <v>11689</v>
      </c>
      <c r="AC2279">
        <v>8362</v>
      </c>
      <c r="AD2279">
        <v>1.4</v>
      </c>
      <c r="AE2279">
        <v>292</v>
      </c>
      <c r="AF2279">
        <v>35</v>
      </c>
      <c r="AG2279" t="s">
        <v>120</v>
      </c>
      <c r="AH2279">
        <v>0.02</v>
      </c>
      <c r="AI2279" t="s">
        <v>120</v>
      </c>
      <c r="AJ2279">
        <v>0.31</v>
      </c>
      <c r="AK2279" t="s">
        <v>10824</v>
      </c>
      <c r="AL2279">
        <v>-0.52</v>
      </c>
      <c r="AM2279">
        <v>1455</v>
      </c>
      <c r="AN2279">
        <v>14</v>
      </c>
      <c r="AO2279">
        <v>4.4999999999999997E-3</v>
      </c>
      <c r="AP2279">
        <v>-2</v>
      </c>
      <c r="AQ2279">
        <v>-2.09</v>
      </c>
      <c r="AR2279">
        <v>-3.46</v>
      </c>
      <c r="AS2279">
        <v>5.25</v>
      </c>
      <c r="AT2279">
        <v>-5.57</v>
      </c>
      <c r="AU2279">
        <v>136.02000000000001</v>
      </c>
      <c r="AV2279">
        <v>1</v>
      </c>
      <c r="AW2279">
        <v>6.55</v>
      </c>
      <c r="AX2279">
        <v>22.52</v>
      </c>
      <c r="AY2279">
        <v>40.54</v>
      </c>
      <c r="AZ2279">
        <v>43.19</v>
      </c>
      <c r="BA2279">
        <v>0.82</v>
      </c>
      <c r="BB2279" t="s">
        <v>143</v>
      </c>
      <c r="BF2279">
        <v>-0.96</v>
      </c>
      <c r="BG2279">
        <v>-1.97</v>
      </c>
      <c r="BH2279">
        <v>-3.13</v>
      </c>
      <c r="BI2279">
        <v>0</v>
      </c>
      <c r="BJ2279">
        <v>20210825</v>
      </c>
      <c r="BK2279">
        <v>20210210</v>
      </c>
      <c r="BL2279">
        <v>1.36</v>
      </c>
      <c r="BM2279" t="s">
        <v>120</v>
      </c>
      <c r="BN2279" t="s">
        <v>120</v>
      </c>
      <c r="BO2279">
        <v>10.54</v>
      </c>
      <c r="BP2279">
        <v>22.87</v>
      </c>
      <c r="BQ2279">
        <v>8.1199999999999992</v>
      </c>
      <c r="BR2279" t="s">
        <v>120</v>
      </c>
      <c r="BS2279">
        <v>22.95</v>
      </c>
      <c r="BT2279">
        <v>9.23</v>
      </c>
      <c r="BU2279">
        <v>0.84</v>
      </c>
      <c r="BV2279">
        <v>0.31</v>
      </c>
      <c r="BW2279">
        <v>2.42</v>
      </c>
      <c r="BX2279">
        <v>5.75</v>
      </c>
      <c r="BY2279">
        <v>0.78</v>
      </c>
      <c r="BZ2279">
        <v>1.35</v>
      </c>
      <c r="CA2279" t="s">
        <v>120</v>
      </c>
      <c r="CB2279">
        <v>3.01</v>
      </c>
      <c r="CC2279">
        <v>2.61</v>
      </c>
      <c r="CD2279">
        <v>1.82</v>
      </c>
      <c r="CE2279">
        <v>0.43</v>
      </c>
      <c r="CF2279">
        <v>0</v>
      </c>
      <c r="CG2279">
        <v>0.44</v>
      </c>
      <c r="CH2279">
        <v>0.4</v>
      </c>
      <c r="CI2279">
        <v>0.4</v>
      </c>
      <c r="CJ2279">
        <v>-0.56999999999999995</v>
      </c>
      <c r="CK2279">
        <v>0.34</v>
      </c>
      <c r="CL2279">
        <v>3.28</v>
      </c>
      <c r="CM2279">
        <v>-7.0000000000000007E-2</v>
      </c>
      <c r="CN2279">
        <v>2.4</v>
      </c>
      <c r="CO2279">
        <v>22343</v>
      </c>
      <c r="CP2279">
        <v>1370</v>
      </c>
      <c r="CQ2279" t="s">
        <v>5798</v>
      </c>
      <c r="CR2279">
        <v>13.81</v>
      </c>
      <c r="CS2279">
        <v>19.05</v>
      </c>
      <c r="CT2279">
        <v>3.83</v>
      </c>
      <c r="CU2279">
        <v>-444.12</v>
      </c>
      <c r="CV2279">
        <v>11.91</v>
      </c>
      <c r="CW2279">
        <v>0.43</v>
      </c>
      <c r="CX2279" t="s">
        <v>966</v>
      </c>
      <c r="CY2279">
        <v>5.98</v>
      </c>
      <c r="CZ2279">
        <v>0</v>
      </c>
      <c r="DA2279">
        <v>2.21</v>
      </c>
      <c r="DB2279">
        <v>2.41</v>
      </c>
      <c r="DC2279">
        <v>-0.05</v>
      </c>
      <c r="DD2279">
        <v>77.05</v>
      </c>
      <c r="DE2279" t="s">
        <v>1206</v>
      </c>
      <c r="DF2279">
        <v>30.16</v>
      </c>
      <c r="DG2279">
        <v>16.34</v>
      </c>
      <c r="DH2279">
        <v>15.2</v>
      </c>
      <c r="DI2279">
        <v>0.16</v>
      </c>
      <c r="DJ2279">
        <v>574</v>
      </c>
      <c r="DK2279">
        <v>300943</v>
      </c>
      <c r="DL2279" t="s">
        <v>120</v>
      </c>
      <c r="DM2279" t="s">
        <v>120</v>
      </c>
      <c r="DN2279" t="s">
        <v>120</v>
      </c>
    </row>
    <row r="2280" spans="1:118">
      <c r="A2280" t="str">
        <f>"300945"</f>
        <v>300945</v>
      </c>
      <c r="B2280" t="s">
        <v>10825</v>
      </c>
      <c r="C2280">
        <v>-2.37</v>
      </c>
      <c r="D2280">
        <v>0.06</v>
      </c>
      <c r="E2280">
        <v>-0.56000000000000005</v>
      </c>
      <c r="F2280">
        <v>624</v>
      </c>
      <c r="G2280" t="s">
        <v>10826</v>
      </c>
      <c r="H2280">
        <v>6692.39</v>
      </c>
      <c r="I2280">
        <v>24.99</v>
      </c>
      <c r="J2280" t="s">
        <v>120</v>
      </c>
      <c r="K2280" t="s">
        <v>10826</v>
      </c>
      <c r="L2280">
        <v>7.5</v>
      </c>
      <c r="M2280">
        <v>17.28</v>
      </c>
      <c r="N2280">
        <v>0.5</v>
      </c>
      <c r="O2280">
        <v>1.02</v>
      </c>
      <c r="P2280">
        <v>17.88</v>
      </c>
      <c r="Q2280">
        <v>-2.71</v>
      </c>
      <c r="R2280">
        <v>17.22</v>
      </c>
      <c r="S2280">
        <v>17.600000000000001</v>
      </c>
      <c r="T2280">
        <v>38232</v>
      </c>
      <c r="U2280">
        <v>17.29</v>
      </c>
      <c r="V2280">
        <v>17.7</v>
      </c>
      <c r="W2280">
        <v>39.74</v>
      </c>
      <c r="X2280" t="s">
        <v>2806</v>
      </c>
      <c r="Y2280" t="s">
        <v>585</v>
      </c>
      <c r="Z2280">
        <v>3.73</v>
      </c>
      <c r="AA2280">
        <v>17.5</v>
      </c>
      <c r="AB2280">
        <v>22166</v>
      </c>
      <c r="AC2280">
        <v>16066</v>
      </c>
      <c r="AD2280">
        <v>1.38</v>
      </c>
      <c r="AE2280">
        <v>380</v>
      </c>
      <c r="AF2280">
        <v>34</v>
      </c>
      <c r="AG2280" t="s">
        <v>120</v>
      </c>
      <c r="AH2280">
        <v>0.03</v>
      </c>
      <c r="AI2280" t="s">
        <v>120</v>
      </c>
      <c r="AJ2280">
        <v>0.51</v>
      </c>
      <c r="AK2280" t="s">
        <v>3908</v>
      </c>
      <c r="AL2280">
        <v>-0.46</v>
      </c>
      <c r="AM2280">
        <v>1866</v>
      </c>
      <c r="AN2280">
        <v>20</v>
      </c>
      <c r="AO2280">
        <v>4.0000000000000001E-3</v>
      </c>
      <c r="AP2280">
        <v>-3</v>
      </c>
      <c r="AQ2280">
        <v>-1.61</v>
      </c>
      <c r="AR2280">
        <v>-9.1999999999999993</v>
      </c>
      <c r="AS2280">
        <v>-4.53</v>
      </c>
      <c r="AT2280">
        <v>-13.69</v>
      </c>
      <c r="AU2280">
        <v>287.01</v>
      </c>
      <c r="AV2280">
        <v>2</v>
      </c>
      <c r="AW2280">
        <v>7.5</v>
      </c>
      <c r="AX2280">
        <v>25</v>
      </c>
      <c r="AY2280">
        <v>47.25</v>
      </c>
      <c r="AZ2280">
        <v>56.73</v>
      </c>
      <c r="BA2280">
        <v>0.34</v>
      </c>
      <c r="BB2280" t="s">
        <v>143</v>
      </c>
      <c r="BF2280">
        <v>-1.1000000000000001</v>
      </c>
      <c r="BG2280">
        <v>-1.82</v>
      </c>
      <c r="BH2280">
        <v>-3.36</v>
      </c>
      <c r="BI2280">
        <v>0.35</v>
      </c>
      <c r="BJ2280">
        <v>20210828</v>
      </c>
      <c r="BK2280">
        <v>20210210</v>
      </c>
      <c r="BL2280">
        <v>2.04</v>
      </c>
      <c r="BM2280" t="s">
        <v>120</v>
      </c>
      <c r="BN2280" t="s">
        <v>120</v>
      </c>
      <c r="BO2280">
        <v>8.08</v>
      </c>
      <c r="BP2280">
        <v>17.28</v>
      </c>
      <c r="BQ2280">
        <v>7.32</v>
      </c>
      <c r="BR2280" t="s">
        <v>120</v>
      </c>
      <c r="BS2280">
        <v>9.43</v>
      </c>
      <c r="BT2280">
        <v>7.02</v>
      </c>
      <c r="BU2280">
        <v>0.28999999999999998</v>
      </c>
      <c r="BV2280">
        <v>0.02</v>
      </c>
      <c r="BW2280">
        <v>0.66</v>
      </c>
      <c r="BX2280">
        <v>1.87</v>
      </c>
      <c r="BY2280">
        <v>3.81</v>
      </c>
      <c r="BZ2280">
        <v>0.49</v>
      </c>
      <c r="CA2280">
        <v>0.03</v>
      </c>
      <c r="CB2280">
        <v>1.35</v>
      </c>
      <c r="CC2280">
        <v>6.29</v>
      </c>
      <c r="CD2280">
        <v>4.95</v>
      </c>
      <c r="CE2280">
        <v>0.56000000000000005</v>
      </c>
      <c r="CF2280">
        <v>0</v>
      </c>
      <c r="CG2280">
        <v>0.56000000000000005</v>
      </c>
      <c r="CH2280">
        <v>0.44</v>
      </c>
      <c r="CI2280">
        <v>0.44</v>
      </c>
      <c r="CJ2280">
        <v>-0.42</v>
      </c>
      <c r="CK2280">
        <v>0.42</v>
      </c>
      <c r="CL2280">
        <v>3.72</v>
      </c>
      <c r="CM2280">
        <v>-0.05</v>
      </c>
      <c r="CN2280">
        <v>0.06</v>
      </c>
      <c r="CO2280">
        <v>28476</v>
      </c>
      <c r="CP2280">
        <v>1791</v>
      </c>
      <c r="CQ2280" t="s">
        <v>5242</v>
      </c>
      <c r="CR2280">
        <v>40.450000000000003</v>
      </c>
      <c r="CS2280">
        <v>68.430000000000007</v>
      </c>
      <c r="CT2280">
        <v>4.82</v>
      </c>
      <c r="CU2280">
        <v>-654.23</v>
      </c>
      <c r="CV2280">
        <v>5.6</v>
      </c>
      <c r="CW2280">
        <v>0.54</v>
      </c>
      <c r="CX2280" t="s">
        <v>626</v>
      </c>
      <c r="CY2280">
        <v>3.59</v>
      </c>
      <c r="CZ2280">
        <v>0</v>
      </c>
      <c r="DA2280">
        <v>0.66</v>
      </c>
      <c r="DB2280">
        <v>1.82</v>
      </c>
      <c r="DC2280">
        <v>-0.03</v>
      </c>
      <c r="DD2280">
        <v>90.57</v>
      </c>
      <c r="DE2280" t="s">
        <v>1598</v>
      </c>
      <c r="DF2280">
        <v>21.39</v>
      </c>
      <c r="DG2280">
        <v>8.91</v>
      </c>
      <c r="DH2280">
        <v>7.05</v>
      </c>
      <c r="DI2280">
        <v>0</v>
      </c>
      <c r="DJ2280">
        <v>680</v>
      </c>
      <c r="DK2280">
        <v>300945</v>
      </c>
      <c r="DL2280" t="s">
        <v>120</v>
      </c>
      <c r="DM2280" t="s">
        <v>120</v>
      </c>
      <c r="DN2280" t="s">
        <v>120</v>
      </c>
    </row>
    <row r="2281" spans="1:118">
      <c r="A2281" t="str">
        <f>"300946"</f>
        <v>300946</v>
      </c>
      <c r="B2281" t="s">
        <v>10827</v>
      </c>
      <c r="C2281">
        <v>0.61</v>
      </c>
      <c r="D2281">
        <v>0.02</v>
      </c>
      <c r="E2281">
        <v>-0.45</v>
      </c>
      <c r="F2281">
        <v>406</v>
      </c>
      <c r="G2281" t="s">
        <v>10828</v>
      </c>
      <c r="H2281">
        <v>51470.3</v>
      </c>
      <c r="I2281">
        <v>148.80000000000001</v>
      </c>
      <c r="J2281" t="s">
        <v>120</v>
      </c>
      <c r="K2281" t="s">
        <v>10828</v>
      </c>
      <c r="L2281">
        <v>31.22</v>
      </c>
      <c r="M2281">
        <v>97.02</v>
      </c>
      <c r="N2281">
        <v>1.1000000000000001</v>
      </c>
      <c r="O2281">
        <v>8.8699999999999992</v>
      </c>
      <c r="P2281">
        <v>104.98</v>
      </c>
      <c r="Q2281">
        <v>-3.56</v>
      </c>
      <c r="R2281">
        <v>93</v>
      </c>
      <c r="S2281">
        <v>96</v>
      </c>
      <c r="T2281">
        <v>52050</v>
      </c>
      <c r="U2281">
        <v>97.18</v>
      </c>
      <c r="V2281">
        <v>96.43</v>
      </c>
      <c r="W2281">
        <v>48.7</v>
      </c>
      <c r="X2281" t="s">
        <v>959</v>
      </c>
      <c r="Y2281" t="s">
        <v>937</v>
      </c>
      <c r="Z2281">
        <v>12.42</v>
      </c>
      <c r="AA2281">
        <v>98.89</v>
      </c>
      <c r="AB2281">
        <v>26018</v>
      </c>
      <c r="AC2281">
        <v>26032</v>
      </c>
      <c r="AD2281">
        <v>1</v>
      </c>
      <c r="AE2281">
        <v>65</v>
      </c>
      <c r="AF2281">
        <v>3</v>
      </c>
      <c r="AG2281" t="s">
        <v>120</v>
      </c>
      <c r="AH2281">
        <v>0.09</v>
      </c>
      <c r="AI2281" t="s">
        <v>120</v>
      </c>
      <c r="AJ2281">
        <v>0.17</v>
      </c>
      <c r="AK2281" t="s">
        <v>10829</v>
      </c>
      <c r="AL2281">
        <v>2.5299999999999998</v>
      </c>
      <c r="AM2281">
        <v>3826</v>
      </c>
      <c r="AN2281">
        <v>14</v>
      </c>
      <c r="AO2281">
        <v>8.2000000000000007E-3</v>
      </c>
      <c r="AP2281">
        <v>1</v>
      </c>
      <c r="AQ2281">
        <v>-4.3600000000000003</v>
      </c>
      <c r="AR2281">
        <v>8.1199999999999992</v>
      </c>
      <c r="AS2281">
        <v>67.39</v>
      </c>
      <c r="AT2281">
        <v>58.79</v>
      </c>
      <c r="AU2281">
        <v>234.2</v>
      </c>
      <c r="AV2281">
        <v>4</v>
      </c>
      <c r="AW2281">
        <v>31.22</v>
      </c>
      <c r="AX2281">
        <v>25</v>
      </c>
      <c r="AY2281">
        <v>61.4</v>
      </c>
      <c r="AZ2281">
        <v>69.099999999999994</v>
      </c>
      <c r="BA2281">
        <v>0</v>
      </c>
      <c r="BB2281" t="s">
        <v>143</v>
      </c>
      <c r="BF2281">
        <v>2.5499999999999998</v>
      </c>
      <c r="BG2281">
        <v>1.06</v>
      </c>
      <c r="BH2281">
        <v>-7.58</v>
      </c>
      <c r="BI2281">
        <v>4.32</v>
      </c>
      <c r="BJ2281">
        <v>20210821</v>
      </c>
      <c r="BK2281">
        <v>20210208</v>
      </c>
      <c r="BL2281">
        <v>0.67</v>
      </c>
      <c r="BM2281" t="s">
        <v>120</v>
      </c>
      <c r="BN2281" t="s">
        <v>120</v>
      </c>
      <c r="BO2281">
        <v>11.14</v>
      </c>
      <c r="BP2281">
        <v>97.02</v>
      </c>
      <c r="BQ2281">
        <v>9.52</v>
      </c>
      <c r="BR2281" t="s">
        <v>120</v>
      </c>
      <c r="BS2281">
        <v>14.53</v>
      </c>
      <c r="BT2281">
        <v>8.56</v>
      </c>
      <c r="BU2281">
        <v>1.2</v>
      </c>
      <c r="BV2281">
        <v>0.53</v>
      </c>
      <c r="BW2281">
        <v>1.6</v>
      </c>
      <c r="BX2281">
        <v>1.58</v>
      </c>
      <c r="BY2281">
        <v>1.83</v>
      </c>
      <c r="BZ2281">
        <v>1.51</v>
      </c>
      <c r="CA2281" t="s">
        <v>120</v>
      </c>
      <c r="CB2281">
        <v>6.48</v>
      </c>
      <c r="CC2281">
        <v>2.4</v>
      </c>
      <c r="CD2281">
        <v>1.64</v>
      </c>
      <c r="CE2281">
        <v>0.65</v>
      </c>
      <c r="CF2281">
        <v>0.02</v>
      </c>
      <c r="CG2281">
        <v>0.77</v>
      </c>
      <c r="CH2281">
        <v>0.66</v>
      </c>
      <c r="CI2281">
        <v>0.66</v>
      </c>
      <c r="CJ2281">
        <v>0.59</v>
      </c>
      <c r="CK2281">
        <v>0.48</v>
      </c>
      <c r="CL2281">
        <v>2.1800000000000002</v>
      </c>
      <c r="CM2281">
        <v>0.32</v>
      </c>
      <c r="CN2281">
        <v>0.73</v>
      </c>
      <c r="CO2281">
        <v>15168</v>
      </c>
      <c r="CP2281">
        <v>1099</v>
      </c>
      <c r="CQ2281" t="s">
        <v>4421</v>
      </c>
      <c r="CR2281">
        <v>21.31</v>
      </c>
      <c r="CS2281">
        <v>37.28</v>
      </c>
      <c r="CT2281">
        <v>6.8</v>
      </c>
      <c r="CU2281">
        <v>203.44</v>
      </c>
      <c r="CV2281">
        <v>26.99</v>
      </c>
      <c r="CW2281">
        <v>0.44</v>
      </c>
      <c r="CX2281" t="s">
        <v>1953</v>
      </c>
      <c r="CY2281">
        <v>14.28</v>
      </c>
      <c r="CZ2281">
        <v>0</v>
      </c>
      <c r="DA2281">
        <v>9.7100000000000009</v>
      </c>
      <c r="DB2281">
        <v>3.27</v>
      </c>
      <c r="DC2281">
        <v>0.48</v>
      </c>
      <c r="DD2281">
        <v>85.47</v>
      </c>
      <c r="DE2281" t="s">
        <v>6770</v>
      </c>
      <c r="DF2281">
        <v>31.73</v>
      </c>
      <c r="DG2281">
        <v>27.08</v>
      </c>
      <c r="DH2281">
        <v>27.71</v>
      </c>
      <c r="DI2281">
        <v>0.08</v>
      </c>
      <c r="DJ2281">
        <v>536</v>
      </c>
      <c r="DK2281">
        <v>300946</v>
      </c>
      <c r="DL2281">
        <v>20210820</v>
      </c>
      <c r="DM2281">
        <v>69.55</v>
      </c>
      <c r="DN2281">
        <v>39.5</v>
      </c>
    </row>
    <row r="2282" spans="1:118">
      <c r="A2282" t="str">
        <f>"300947"</f>
        <v>300947</v>
      </c>
      <c r="B2282" t="s">
        <v>10830</v>
      </c>
      <c r="C2282">
        <v>-1.89</v>
      </c>
      <c r="D2282">
        <v>-0.05</v>
      </c>
      <c r="E2282">
        <v>-0.09</v>
      </c>
      <c r="F2282">
        <v>52</v>
      </c>
      <c r="G2282" t="s">
        <v>10831</v>
      </c>
      <c r="H2282">
        <v>2221.4899999999998</v>
      </c>
      <c r="I2282">
        <v>4.58</v>
      </c>
      <c r="J2282" t="s">
        <v>120</v>
      </c>
      <c r="K2282" t="s">
        <v>10831</v>
      </c>
      <c r="L2282">
        <v>3.39</v>
      </c>
      <c r="M2282">
        <v>32.119999999999997</v>
      </c>
      <c r="N2282">
        <v>0.66</v>
      </c>
      <c r="O2282">
        <v>1.07</v>
      </c>
      <c r="P2282">
        <v>33.090000000000003</v>
      </c>
      <c r="Q2282">
        <v>-2.2599999999999998</v>
      </c>
      <c r="R2282">
        <v>32</v>
      </c>
      <c r="S2282">
        <v>32.71</v>
      </c>
      <c r="T2282">
        <v>6858</v>
      </c>
      <c r="U2282">
        <v>32.14</v>
      </c>
      <c r="V2282">
        <v>32.74</v>
      </c>
      <c r="W2282">
        <v>25.31</v>
      </c>
      <c r="X2282" t="s">
        <v>166</v>
      </c>
      <c r="Y2282" t="s">
        <v>1510</v>
      </c>
      <c r="Z2282">
        <v>3.33</v>
      </c>
      <c r="AA2282">
        <v>32.4</v>
      </c>
      <c r="AB2282">
        <v>4451</v>
      </c>
      <c r="AC2282">
        <v>2407</v>
      </c>
      <c r="AD2282">
        <v>1.85</v>
      </c>
      <c r="AE2282">
        <v>4</v>
      </c>
      <c r="AF2282">
        <v>3</v>
      </c>
      <c r="AG2282" t="s">
        <v>120</v>
      </c>
      <c r="AH2282">
        <v>0.01</v>
      </c>
      <c r="AI2282" t="s">
        <v>120</v>
      </c>
      <c r="AJ2282">
        <v>0.2</v>
      </c>
      <c r="AK2282" t="s">
        <v>10832</v>
      </c>
      <c r="AL2282">
        <v>0.02</v>
      </c>
      <c r="AM2282">
        <v>791</v>
      </c>
      <c r="AN2282">
        <v>9</v>
      </c>
      <c r="AO2282">
        <v>4.3E-3</v>
      </c>
      <c r="AP2282">
        <v>-1</v>
      </c>
      <c r="AQ2282">
        <v>0.92</v>
      </c>
      <c r="AR2282">
        <v>-3.95</v>
      </c>
      <c r="AS2282">
        <v>3.82</v>
      </c>
      <c r="AT2282">
        <v>-7.14</v>
      </c>
      <c r="AU2282">
        <v>-4.53</v>
      </c>
      <c r="AV2282">
        <v>0</v>
      </c>
      <c r="AW2282">
        <v>3.39</v>
      </c>
      <c r="AX2282">
        <v>25</v>
      </c>
      <c r="AY2282">
        <v>25.88</v>
      </c>
      <c r="AZ2282">
        <v>26.9</v>
      </c>
      <c r="BA2282">
        <v>0.36</v>
      </c>
      <c r="BB2282" t="s">
        <v>143</v>
      </c>
      <c r="BF2282">
        <v>-1.05</v>
      </c>
      <c r="BG2282">
        <v>-1.8</v>
      </c>
      <c r="BH2282">
        <v>-2.93</v>
      </c>
      <c r="BI2282">
        <v>0.38</v>
      </c>
      <c r="BJ2282">
        <v>20210830</v>
      </c>
      <c r="BK2282">
        <v>20210210</v>
      </c>
      <c r="BL2282">
        <v>0.81</v>
      </c>
      <c r="BM2282" t="s">
        <v>120</v>
      </c>
      <c r="BN2282" t="s">
        <v>120</v>
      </c>
      <c r="BO2282">
        <v>40.380000000000003</v>
      </c>
      <c r="BP2282">
        <v>32.119999999999997</v>
      </c>
      <c r="BQ2282">
        <v>13.15</v>
      </c>
      <c r="BR2282">
        <v>0.21</v>
      </c>
      <c r="BS2282">
        <v>66.900000000000006</v>
      </c>
      <c r="BT2282">
        <v>13.88</v>
      </c>
      <c r="BU2282">
        <v>0.04</v>
      </c>
      <c r="BV2282">
        <v>0.06</v>
      </c>
      <c r="BW2282">
        <v>4.29</v>
      </c>
      <c r="BX2282">
        <v>8.73</v>
      </c>
      <c r="BY2282">
        <v>0</v>
      </c>
      <c r="BZ2282">
        <v>0.05</v>
      </c>
      <c r="CA2282">
        <v>1.1000000000000001</v>
      </c>
      <c r="CB2282">
        <v>13.17</v>
      </c>
      <c r="CC2282">
        <v>4.54</v>
      </c>
      <c r="CD2282">
        <v>2.83</v>
      </c>
      <c r="CE2282">
        <v>0.68</v>
      </c>
      <c r="CF2282">
        <v>0.03</v>
      </c>
      <c r="CG2282">
        <v>0.68</v>
      </c>
      <c r="CH2282">
        <v>0.55000000000000004</v>
      </c>
      <c r="CI2282">
        <v>0.51</v>
      </c>
      <c r="CJ2282">
        <v>-0.62</v>
      </c>
      <c r="CK2282">
        <v>0.39</v>
      </c>
      <c r="CL2282">
        <v>-1.0900000000000001</v>
      </c>
      <c r="CM2282">
        <v>2.78</v>
      </c>
      <c r="CN2282">
        <v>2.2200000000000002</v>
      </c>
      <c r="CO2282">
        <v>13102</v>
      </c>
      <c r="CP2282">
        <v>1543</v>
      </c>
      <c r="CQ2282" t="s">
        <v>564</v>
      </c>
      <c r="CR2282">
        <v>8.19</v>
      </c>
      <c r="CS2282">
        <v>14.84</v>
      </c>
      <c r="CT2282">
        <v>1.97</v>
      </c>
      <c r="CU2282">
        <v>9.32</v>
      </c>
      <c r="CV2282">
        <v>5.72</v>
      </c>
      <c r="CW2282">
        <v>2.04</v>
      </c>
      <c r="CX2282" t="s">
        <v>1469</v>
      </c>
      <c r="CY2282">
        <v>16.27</v>
      </c>
      <c r="CZ2282">
        <v>0</v>
      </c>
      <c r="DA2282">
        <v>16.29</v>
      </c>
      <c r="DB2282">
        <v>-1.35</v>
      </c>
      <c r="DC2282">
        <v>3.44</v>
      </c>
      <c r="DD2282">
        <v>32.57</v>
      </c>
      <c r="DE2282" t="s">
        <v>2231</v>
      </c>
      <c r="DF2282">
        <v>37.619999999999997</v>
      </c>
      <c r="DG2282">
        <v>15.06</v>
      </c>
      <c r="DH2282">
        <v>11.3</v>
      </c>
      <c r="DI2282">
        <v>0.03</v>
      </c>
      <c r="DJ2282">
        <v>461</v>
      </c>
      <c r="DK2282">
        <v>300947</v>
      </c>
      <c r="DL2282" t="s">
        <v>120</v>
      </c>
      <c r="DM2282" t="s">
        <v>120</v>
      </c>
      <c r="DN2282" t="s">
        <v>120</v>
      </c>
    </row>
    <row r="2283" spans="1:118">
      <c r="A2283" t="str">
        <f>"300948"</f>
        <v>300948</v>
      </c>
      <c r="B2283" t="s">
        <v>10833</v>
      </c>
      <c r="C2283">
        <v>1.22</v>
      </c>
      <c r="D2283">
        <v>-0.71</v>
      </c>
      <c r="E2283">
        <v>3.67</v>
      </c>
      <c r="F2283">
        <v>804</v>
      </c>
      <c r="G2283" t="s">
        <v>10834</v>
      </c>
      <c r="H2283">
        <v>12474.68</v>
      </c>
      <c r="I2283">
        <v>246.13</v>
      </c>
      <c r="J2283" t="s">
        <v>120</v>
      </c>
      <c r="K2283" t="s">
        <v>10834</v>
      </c>
      <c r="L2283">
        <v>14</v>
      </c>
      <c r="M2283">
        <v>24.8</v>
      </c>
      <c r="N2283">
        <v>1.54</v>
      </c>
      <c r="O2283">
        <v>6.04</v>
      </c>
      <c r="P2283">
        <v>25.98</v>
      </c>
      <c r="Q2283">
        <v>1.22</v>
      </c>
      <c r="R2283">
        <v>24.8</v>
      </c>
      <c r="S2283">
        <v>25.4</v>
      </c>
      <c r="T2283">
        <v>49020</v>
      </c>
      <c r="U2283">
        <v>24.81</v>
      </c>
      <c r="V2283">
        <v>24.5</v>
      </c>
      <c r="W2283">
        <v>53.84</v>
      </c>
      <c r="X2283" t="s">
        <v>318</v>
      </c>
      <c r="Y2283" t="s">
        <v>638</v>
      </c>
      <c r="Z2283">
        <v>4.82</v>
      </c>
      <c r="AA2283">
        <v>25.45</v>
      </c>
      <c r="AB2283">
        <v>24683</v>
      </c>
      <c r="AC2283">
        <v>24337</v>
      </c>
      <c r="AD2283">
        <v>1.01</v>
      </c>
      <c r="AE2283">
        <v>219</v>
      </c>
      <c r="AF2283">
        <v>13</v>
      </c>
      <c r="AG2283" t="s">
        <v>120</v>
      </c>
      <c r="AH2283">
        <v>0.28000000000000003</v>
      </c>
      <c r="AI2283" t="s">
        <v>120</v>
      </c>
      <c r="AJ2283">
        <v>0.35</v>
      </c>
      <c r="AK2283" t="s">
        <v>10835</v>
      </c>
      <c r="AL2283">
        <v>3.14</v>
      </c>
      <c r="AM2283">
        <v>1981</v>
      </c>
      <c r="AN2283">
        <v>25</v>
      </c>
      <c r="AO2283">
        <v>7.1000000000000004E-3</v>
      </c>
      <c r="AP2283">
        <v>1</v>
      </c>
      <c r="AQ2283">
        <v>-0.04</v>
      </c>
      <c r="AR2283">
        <v>-1.78</v>
      </c>
      <c r="AS2283">
        <v>-1.63</v>
      </c>
      <c r="AT2283">
        <v>-20.74</v>
      </c>
      <c r="AU2283">
        <v>187.92</v>
      </c>
      <c r="AV2283">
        <v>1</v>
      </c>
      <c r="AW2283">
        <v>14</v>
      </c>
      <c r="AX2283">
        <v>25.01</v>
      </c>
      <c r="AY2283">
        <v>64.38</v>
      </c>
      <c r="AZ2283">
        <v>54.03</v>
      </c>
      <c r="BA2283">
        <v>0.68</v>
      </c>
      <c r="BB2283" t="s">
        <v>134</v>
      </c>
      <c r="BF2283">
        <v>3.87</v>
      </c>
      <c r="BG2283">
        <v>-2.36</v>
      </c>
      <c r="BH2283">
        <v>-4.54</v>
      </c>
      <c r="BI2283">
        <v>0</v>
      </c>
      <c r="BJ2283">
        <v>20210824</v>
      </c>
      <c r="BK2283">
        <v>20210225</v>
      </c>
      <c r="BL2283">
        <v>1.4</v>
      </c>
      <c r="BM2283" t="s">
        <v>120</v>
      </c>
      <c r="BN2283" t="s">
        <v>120</v>
      </c>
      <c r="BO2283">
        <v>9.98</v>
      </c>
      <c r="BP2283">
        <v>24.8</v>
      </c>
      <c r="BQ2283">
        <v>7.5</v>
      </c>
      <c r="BR2283" t="s">
        <v>120</v>
      </c>
      <c r="BS2283">
        <v>24.9</v>
      </c>
      <c r="BT2283">
        <v>8.2899999999999991</v>
      </c>
      <c r="BU2283">
        <v>0.33</v>
      </c>
      <c r="BV2283">
        <v>0.22</v>
      </c>
      <c r="BW2283">
        <v>2.48</v>
      </c>
      <c r="BX2283">
        <v>0.85</v>
      </c>
      <c r="BY2283">
        <v>0.04</v>
      </c>
      <c r="BZ2283">
        <v>2.42</v>
      </c>
      <c r="CA2283" t="s">
        <v>120</v>
      </c>
      <c r="CB2283">
        <v>3.17</v>
      </c>
      <c r="CC2283">
        <v>1.6</v>
      </c>
      <c r="CD2283">
        <v>0.95</v>
      </c>
      <c r="CE2283">
        <v>0.36</v>
      </c>
      <c r="CF2283">
        <v>0.02</v>
      </c>
      <c r="CG2283">
        <v>0.37</v>
      </c>
      <c r="CH2283">
        <v>0.32</v>
      </c>
      <c r="CI2283">
        <v>0.32</v>
      </c>
      <c r="CJ2283">
        <v>0.3</v>
      </c>
      <c r="CK2283">
        <v>0.3</v>
      </c>
      <c r="CL2283">
        <v>2.65</v>
      </c>
      <c r="CM2283">
        <v>-0.26</v>
      </c>
      <c r="CN2283">
        <v>-0.36</v>
      </c>
      <c r="CO2283">
        <v>21253</v>
      </c>
      <c r="CP2283">
        <v>1647</v>
      </c>
      <c r="CQ2283" t="s">
        <v>2770</v>
      </c>
      <c r="CR2283">
        <v>-24.05</v>
      </c>
      <c r="CS2283">
        <v>-5.01</v>
      </c>
      <c r="CT2283">
        <v>4.63</v>
      </c>
      <c r="CU2283">
        <v>-136.1</v>
      </c>
      <c r="CV2283">
        <v>21.68</v>
      </c>
      <c r="CW2283">
        <v>0.22</v>
      </c>
      <c r="CX2283" t="s">
        <v>626</v>
      </c>
      <c r="CY2283">
        <v>5.35</v>
      </c>
      <c r="CZ2283">
        <v>0</v>
      </c>
      <c r="DA2283">
        <v>2.27</v>
      </c>
      <c r="DB2283">
        <v>1.89</v>
      </c>
      <c r="DC2283">
        <v>-0.18</v>
      </c>
      <c r="DD2283">
        <v>75.099999999999994</v>
      </c>
      <c r="DE2283" t="s">
        <v>574</v>
      </c>
      <c r="DF2283">
        <v>40.53</v>
      </c>
      <c r="DG2283">
        <v>22.46</v>
      </c>
      <c r="DH2283">
        <v>20.13</v>
      </c>
      <c r="DI2283">
        <v>7.0000000000000007E-2</v>
      </c>
      <c r="DJ2283">
        <v>259</v>
      </c>
      <c r="DK2283">
        <v>300948</v>
      </c>
      <c r="DL2283" t="s">
        <v>120</v>
      </c>
      <c r="DM2283" t="s">
        <v>120</v>
      </c>
      <c r="DN2283" t="s">
        <v>120</v>
      </c>
    </row>
    <row r="2284" spans="1:118">
      <c r="A2284" t="str">
        <f>"300949"</f>
        <v>300949</v>
      </c>
      <c r="B2284" t="s">
        <v>10836</v>
      </c>
      <c r="C2284">
        <v>-0.73</v>
      </c>
      <c r="D2284">
        <v>0.22</v>
      </c>
      <c r="E2284">
        <v>0</v>
      </c>
      <c r="F2284">
        <v>41</v>
      </c>
      <c r="G2284" t="s">
        <v>6582</v>
      </c>
      <c r="H2284">
        <v>1304.44</v>
      </c>
      <c r="I2284">
        <v>0</v>
      </c>
      <c r="J2284" t="s">
        <v>120</v>
      </c>
      <c r="K2284" t="s">
        <v>6582</v>
      </c>
      <c r="L2284">
        <v>1.86</v>
      </c>
      <c r="M2284">
        <v>46.49</v>
      </c>
      <c r="N2284">
        <v>0.83</v>
      </c>
      <c r="O2284">
        <v>0.51</v>
      </c>
      <c r="P2284">
        <v>47.07</v>
      </c>
      <c r="Q2284">
        <v>-0.98</v>
      </c>
      <c r="R2284">
        <v>46.37</v>
      </c>
      <c r="S2284">
        <v>46.83</v>
      </c>
      <c r="T2284">
        <v>2792</v>
      </c>
      <c r="U2284">
        <v>46.5</v>
      </c>
      <c r="V2284">
        <v>46.83</v>
      </c>
      <c r="W2284">
        <v>68.63</v>
      </c>
      <c r="X2284" t="s">
        <v>175</v>
      </c>
      <c r="Y2284" t="s">
        <v>123</v>
      </c>
      <c r="Z2284">
        <v>1.49</v>
      </c>
      <c r="AA2284">
        <v>46.72</v>
      </c>
      <c r="AB2284">
        <v>1838</v>
      </c>
      <c r="AC2284">
        <v>954</v>
      </c>
      <c r="AD2284">
        <v>1.93</v>
      </c>
      <c r="AE2284">
        <v>3</v>
      </c>
      <c r="AF2284">
        <v>21</v>
      </c>
      <c r="AG2284" t="s">
        <v>120</v>
      </c>
      <c r="AH2284">
        <v>0</v>
      </c>
      <c r="AI2284" t="s">
        <v>120</v>
      </c>
      <c r="AJ2284">
        <v>0.15</v>
      </c>
      <c r="AK2284" t="s">
        <v>10837</v>
      </c>
      <c r="AL2284">
        <v>1.19</v>
      </c>
      <c r="AM2284">
        <v>442</v>
      </c>
      <c r="AN2284">
        <v>6</v>
      </c>
      <c r="AO2284">
        <v>4.1999999999999997E-3</v>
      </c>
      <c r="AP2284">
        <v>-1</v>
      </c>
      <c r="AQ2284">
        <v>0.09</v>
      </c>
      <c r="AR2284">
        <v>-1.69</v>
      </c>
      <c r="AS2284">
        <v>-5.35</v>
      </c>
      <c r="AT2284">
        <v>-15.04</v>
      </c>
      <c r="AU2284">
        <v>-14.28</v>
      </c>
      <c r="AV2284">
        <v>0</v>
      </c>
      <c r="AW2284">
        <v>1.86</v>
      </c>
      <c r="AX2284">
        <v>25</v>
      </c>
      <c r="AY2284">
        <v>32.25</v>
      </c>
      <c r="AZ2284">
        <v>27.37</v>
      </c>
      <c r="BA2284">
        <v>0.39</v>
      </c>
      <c r="BB2284" t="s">
        <v>134</v>
      </c>
      <c r="BF2284">
        <v>-0.23</v>
      </c>
      <c r="BG2284">
        <v>-0.73</v>
      </c>
      <c r="BH2284">
        <v>-1.23</v>
      </c>
      <c r="BI2284">
        <v>0.26</v>
      </c>
      <c r="BJ2284">
        <v>20210908</v>
      </c>
      <c r="BK2284">
        <v>20210226</v>
      </c>
      <c r="BL2284">
        <v>0.6</v>
      </c>
      <c r="BM2284" t="s">
        <v>120</v>
      </c>
      <c r="BN2284" t="s">
        <v>120</v>
      </c>
      <c r="BO2284">
        <v>13.91</v>
      </c>
      <c r="BP2284">
        <v>46.42</v>
      </c>
      <c r="BQ2284">
        <v>11.44</v>
      </c>
      <c r="BR2284" t="s">
        <v>120</v>
      </c>
      <c r="BS2284">
        <v>17.75</v>
      </c>
      <c r="BT2284">
        <v>12.04</v>
      </c>
      <c r="BU2284">
        <v>0.86</v>
      </c>
      <c r="BV2284">
        <v>0.01</v>
      </c>
      <c r="BW2284">
        <v>2.16</v>
      </c>
      <c r="BX2284">
        <v>1.72</v>
      </c>
      <c r="BY2284">
        <v>0.28999999999999998</v>
      </c>
      <c r="BZ2284">
        <v>2.2799999999999998</v>
      </c>
      <c r="CA2284" t="s">
        <v>120</v>
      </c>
      <c r="CB2284">
        <v>7.25</v>
      </c>
      <c r="CC2284">
        <v>2.59</v>
      </c>
      <c r="CD2284">
        <v>1.62</v>
      </c>
      <c r="CE2284">
        <v>0.25</v>
      </c>
      <c r="CF2284">
        <v>0.01</v>
      </c>
      <c r="CG2284">
        <v>0.25</v>
      </c>
      <c r="CH2284">
        <v>0.2</v>
      </c>
      <c r="CI2284">
        <v>0.2</v>
      </c>
      <c r="CJ2284">
        <v>-0.34</v>
      </c>
      <c r="CK2284">
        <v>0.16</v>
      </c>
      <c r="CL2284">
        <v>3.37</v>
      </c>
      <c r="CM2284">
        <v>-0.4</v>
      </c>
      <c r="CN2284">
        <v>-0.74</v>
      </c>
      <c r="CO2284">
        <v>12091</v>
      </c>
      <c r="CP2284">
        <v>1241</v>
      </c>
      <c r="CQ2284" t="s">
        <v>10838</v>
      </c>
      <c r="CR2284">
        <v>-43.33</v>
      </c>
      <c r="CS2284">
        <v>22.01</v>
      </c>
      <c r="CT2284">
        <v>2.44</v>
      </c>
      <c r="CU2284">
        <v>-70.27</v>
      </c>
      <c r="CV2284">
        <v>10.78</v>
      </c>
      <c r="CW2284">
        <v>0</v>
      </c>
      <c r="CX2284" t="s">
        <v>709</v>
      </c>
      <c r="CY2284">
        <v>19.07</v>
      </c>
      <c r="CZ2284">
        <v>0</v>
      </c>
      <c r="DA2284">
        <v>12.08</v>
      </c>
      <c r="DB2284">
        <v>5.62</v>
      </c>
      <c r="DC2284">
        <v>-0.66</v>
      </c>
      <c r="DD2284">
        <v>82.25</v>
      </c>
      <c r="DE2284" t="s">
        <v>10839</v>
      </c>
      <c r="DF2284">
        <v>37.51</v>
      </c>
      <c r="DG2284">
        <v>9.64</v>
      </c>
      <c r="DH2284">
        <v>7.86</v>
      </c>
      <c r="DI2284">
        <v>0.13</v>
      </c>
      <c r="DJ2284">
        <v>1566</v>
      </c>
      <c r="DK2284">
        <v>300949</v>
      </c>
      <c r="DL2284" t="s">
        <v>120</v>
      </c>
      <c r="DM2284" t="s">
        <v>120</v>
      </c>
      <c r="DN2284" t="s">
        <v>120</v>
      </c>
    </row>
    <row r="2285" spans="1:118">
      <c r="A2285" t="str">
        <f>"300950"</f>
        <v>300950</v>
      </c>
      <c r="B2285" t="s">
        <v>10840</v>
      </c>
      <c r="C2285">
        <v>-3.66</v>
      </c>
      <c r="D2285">
        <v>0</v>
      </c>
      <c r="E2285">
        <v>0.21</v>
      </c>
      <c r="F2285">
        <v>261</v>
      </c>
      <c r="G2285" t="s">
        <v>10472</v>
      </c>
      <c r="H2285">
        <v>7309.35</v>
      </c>
      <c r="I2285">
        <v>16.25</v>
      </c>
      <c r="J2285" t="s">
        <v>120</v>
      </c>
      <c r="K2285" t="s">
        <v>10472</v>
      </c>
      <c r="L2285">
        <v>7.95</v>
      </c>
      <c r="M2285">
        <v>36.32</v>
      </c>
      <c r="N2285">
        <v>0.69</v>
      </c>
      <c r="O2285">
        <v>0.24</v>
      </c>
      <c r="P2285">
        <v>37.79</v>
      </c>
      <c r="Q2285">
        <v>-4.4800000000000004</v>
      </c>
      <c r="R2285">
        <v>36.01</v>
      </c>
      <c r="S2285">
        <v>37.78</v>
      </c>
      <c r="T2285">
        <v>19884</v>
      </c>
      <c r="U2285">
        <v>36.32</v>
      </c>
      <c r="V2285">
        <v>37.700000000000003</v>
      </c>
      <c r="W2285">
        <v>101.73</v>
      </c>
      <c r="X2285" t="s">
        <v>675</v>
      </c>
      <c r="Y2285" t="s">
        <v>638</v>
      </c>
      <c r="Z2285">
        <v>4.72</v>
      </c>
      <c r="AA2285">
        <v>36.76</v>
      </c>
      <c r="AB2285">
        <v>11626</v>
      </c>
      <c r="AC2285">
        <v>8258</v>
      </c>
      <c r="AD2285">
        <v>1.41</v>
      </c>
      <c r="AE2285">
        <v>61</v>
      </c>
      <c r="AF2285">
        <v>33</v>
      </c>
      <c r="AG2285" t="s">
        <v>120</v>
      </c>
      <c r="AH2285">
        <v>0.02</v>
      </c>
      <c r="AI2285" t="s">
        <v>120</v>
      </c>
      <c r="AJ2285">
        <v>0.25</v>
      </c>
      <c r="AK2285" t="s">
        <v>9569</v>
      </c>
      <c r="AL2285">
        <v>-1.75</v>
      </c>
      <c r="AM2285">
        <v>1827</v>
      </c>
      <c r="AN2285">
        <v>11</v>
      </c>
      <c r="AO2285">
        <v>4.4000000000000003E-3</v>
      </c>
      <c r="AP2285">
        <v>-1</v>
      </c>
      <c r="AQ2285">
        <v>1.59</v>
      </c>
      <c r="AR2285">
        <v>-7.01</v>
      </c>
      <c r="AS2285">
        <v>-5.91</v>
      </c>
      <c r="AT2285">
        <v>-18.18</v>
      </c>
      <c r="AU2285">
        <v>337.06</v>
      </c>
      <c r="AV2285">
        <v>2</v>
      </c>
      <c r="AW2285">
        <v>7.95</v>
      </c>
      <c r="AX2285">
        <v>25</v>
      </c>
      <c r="AY2285">
        <v>65.489999999999995</v>
      </c>
      <c r="AZ2285">
        <v>61.28</v>
      </c>
      <c r="BA2285">
        <v>1.1200000000000001</v>
      </c>
      <c r="BB2285" t="s">
        <v>240</v>
      </c>
      <c r="BF2285">
        <v>-2.4900000000000002</v>
      </c>
      <c r="BG2285">
        <v>-3.86</v>
      </c>
      <c r="BH2285">
        <v>-3.89</v>
      </c>
      <c r="BI2285">
        <v>0.86</v>
      </c>
      <c r="BJ2285">
        <v>20210913</v>
      </c>
      <c r="BK2285">
        <v>20210303</v>
      </c>
      <c r="BL2285">
        <v>1</v>
      </c>
      <c r="BM2285" t="s">
        <v>120</v>
      </c>
      <c r="BN2285" t="s">
        <v>120</v>
      </c>
      <c r="BO2285">
        <v>7.38</v>
      </c>
      <c r="BP2285">
        <v>36.31</v>
      </c>
      <c r="BQ2285">
        <v>5.49</v>
      </c>
      <c r="BR2285" t="s">
        <v>120</v>
      </c>
      <c r="BS2285">
        <v>25.61</v>
      </c>
      <c r="BT2285">
        <v>5.87</v>
      </c>
      <c r="BU2285">
        <v>1.1100000000000001</v>
      </c>
      <c r="BV2285">
        <v>0.31</v>
      </c>
      <c r="BW2285">
        <v>1.72</v>
      </c>
      <c r="BX2285">
        <v>2.42</v>
      </c>
      <c r="BY2285">
        <v>1.19</v>
      </c>
      <c r="BZ2285">
        <v>0.61</v>
      </c>
      <c r="CA2285">
        <v>0</v>
      </c>
      <c r="CB2285">
        <v>2.2999999999999998</v>
      </c>
      <c r="CC2285">
        <v>1.05</v>
      </c>
      <c r="CD2285">
        <v>0.68</v>
      </c>
      <c r="CE2285">
        <v>0.21</v>
      </c>
      <c r="CF2285">
        <v>0.01</v>
      </c>
      <c r="CG2285">
        <v>0.21</v>
      </c>
      <c r="CH2285">
        <v>0.18</v>
      </c>
      <c r="CI2285">
        <v>0.18</v>
      </c>
      <c r="CJ2285">
        <v>-1.38</v>
      </c>
      <c r="CK2285">
        <v>0.1</v>
      </c>
      <c r="CL2285">
        <v>1.73</v>
      </c>
      <c r="CM2285">
        <v>0.13</v>
      </c>
      <c r="CN2285">
        <v>0.84</v>
      </c>
      <c r="CO2285">
        <v>15847</v>
      </c>
      <c r="CP2285">
        <v>1578</v>
      </c>
      <c r="CQ2285" t="s">
        <v>1461</v>
      </c>
      <c r="CR2285">
        <v>-18.14</v>
      </c>
      <c r="CS2285">
        <v>9.4</v>
      </c>
      <c r="CT2285">
        <v>6.62</v>
      </c>
      <c r="CU2285">
        <v>278.39999999999998</v>
      </c>
      <c r="CV2285">
        <v>34.590000000000003</v>
      </c>
      <c r="CW2285">
        <v>0.27</v>
      </c>
      <c r="CX2285" t="s">
        <v>442</v>
      </c>
      <c r="CY2285">
        <v>5.49</v>
      </c>
      <c r="CZ2285">
        <v>0</v>
      </c>
      <c r="DA2285">
        <v>2.2999999999999998</v>
      </c>
      <c r="DB2285">
        <v>1.73</v>
      </c>
      <c r="DC2285">
        <v>0.13</v>
      </c>
      <c r="DD2285">
        <v>74.39</v>
      </c>
      <c r="DE2285" t="s">
        <v>4432</v>
      </c>
      <c r="DF2285">
        <v>35.409999999999997</v>
      </c>
      <c r="DG2285">
        <v>20.05</v>
      </c>
      <c r="DH2285">
        <v>17</v>
      </c>
      <c r="DI2285">
        <v>0.06</v>
      </c>
      <c r="DJ2285">
        <v>304</v>
      </c>
      <c r="DK2285">
        <v>300950</v>
      </c>
      <c r="DL2285" t="s">
        <v>120</v>
      </c>
      <c r="DM2285" t="s">
        <v>120</v>
      </c>
      <c r="DN2285" t="s">
        <v>120</v>
      </c>
    </row>
    <row r="2286" spans="1:118">
      <c r="A2286" t="str">
        <f>"300951"</f>
        <v>300951</v>
      </c>
      <c r="B2286" t="s">
        <v>10841</v>
      </c>
      <c r="C2286">
        <v>0.13</v>
      </c>
      <c r="D2286">
        <v>0</v>
      </c>
      <c r="E2286">
        <v>-0.19</v>
      </c>
      <c r="F2286">
        <v>159</v>
      </c>
      <c r="G2286" t="s">
        <v>10842</v>
      </c>
      <c r="H2286">
        <v>3698.2</v>
      </c>
      <c r="I2286">
        <v>15.62</v>
      </c>
      <c r="J2286" t="s">
        <v>120</v>
      </c>
      <c r="K2286" t="s">
        <v>10842</v>
      </c>
      <c r="L2286">
        <v>2.2400000000000002</v>
      </c>
      <c r="M2286">
        <v>82.5</v>
      </c>
      <c r="N2286">
        <v>0.42</v>
      </c>
      <c r="O2286">
        <v>0.78</v>
      </c>
      <c r="P2286">
        <v>83.03</v>
      </c>
      <c r="Q2286">
        <v>-0.27</v>
      </c>
      <c r="R2286">
        <v>82.17</v>
      </c>
      <c r="S2286">
        <v>82.23</v>
      </c>
      <c r="T2286">
        <v>4483</v>
      </c>
      <c r="U2286">
        <v>82.52</v>
      </c>
      <c r="V2286">
        <v>82.39</v>
      </c>
      <c r="W2286">
        <v>36.96</v>
      </c>
      <c r="X2286" t="s">
        <v>229</v>
      </c>
      <c r="Y2286" t="s">
        <v>123</v>
      </c>
      <c r="Z2286">
        <v>1.04</v>
      </c>
      <c r="AA2286">
        <v>82.49</v>
      </c>
      <c r="AB2286">
        <v>2661</v>
      </c>
      <c r="AC2286">
        <v>1822</v>
      </c>
      <c r="AD2286">
        <v>1.46</v>
      </c>
      <c r="AE2286">
        <v>27</v>
      </c>
      <c r="AF2286">
        <v>9</v>
      </c>
      <c r="AG2286" t="s">
        <v>120</v>
      </c>
      <c r="AH2286">
        <v>0.01</v>
      </c>
      <c r="AI2286" t="s">
        <v>120</v>
      </c>
      <c r="AJ2286">
        <v>0.2</v>
      </c>
      <c r="AK2286" t="s">
        <v>10843</v>
      </c>
      <c r="AL2286">
        <v>2.0499999999999998</v>
      </c>
      <c r="AM2286">
        <v>948</v>
      </c>
      <c r="AN2286">
        <v>5</v>
      </c>
      <c r="AO2286">
        <v>2.3999999999999998E-3</v>
      </c>
      <c r="AP2286">
        <v>1</v>
      </c>
      <c r="AQ2286">
        <v>-2.0299999999999998</v>
      </c>
      <c r="AR2286">
        <v>-3.48</v>
      </c>
      <c r="AS2286">
        <v>1.23</v>
      </c>
      <c r="AT2286">
        <v>-4.1100000000000003</v>
      </c>
      <c r="AU2286">
        <v>11.59</v>
      </c>
      <c r="AV2286">
        <v>0</v>
      </c>
      <c r="AW2286">
        <v>2.2400000000000002</v>
      </c>
      <c r="AX2286">
        <v>25</v>
      </c>
      <c r="AY2286">
        <v>29.67</v>
      </c>
      <c r="AZ2286">
        <v>40.200000000000003</v>
      </c>
      <c r="BA2286">
        <v>1</v>
      </c>
      <c r="BB2286" t="s">
        <v>240</v>
      </c>
      <c r="BF2286">
        <v>0.13</v>
      </c>
      <c r="BG2286">
        <v>0.33</v>
      </c>
      <c r="BH2286">
        <v>-0.64</v>
      </c>
      <c r="BI2286">
        <v>0.4</v>
      </c>
      <c r="BJ2286">
        <v>20210913</v>
      </c>
      <c r="BK2286">
        <v>20210226</v>
      </c>
      <c r="BL2286">
        <v>0.8</v>
      </c>
      <c r="BM2286" t="s">
        <v>120</v>
      </c>
      <c r="BN2286" t="s">
        <v>120</v>
      </c>
      <c r="BO2286">
        <v>19.97</v>
      </c>
      <c r="BP2286">
        <v>82.5</v>
      </c>
      <c r="BQ2286">
        <v>17.57</v>
      </c>
      <c r="BR2286">
        <v>0.13</v>
      </c>
      <c r="BS2286">
        <v>11.38</v>
      </c>
      <c r="BT2286">
        <v>18.54</v>
      </c>
      <c r="BU2286">
        <v>0.41</v>
      </c>
      <c r="BV2286">
        <v>0.17</v>
      </c>
      <c r="BW2286">
        <v>1.75</v>
      </c>
      <c r="BX2286">
        <v>5.2</v>
      </c>
      <c r="BY2286">
        <v>0.45</v>
      </c>
      <c r="BZ2286">
        <v>2.89</v>
      </c>
      <c r="CA2286" t="s">
        <v>120</v>
      </c>
      <c r="CB2286">
        <v>14.81</v>
      </c>
      <c r="CC2286">
        <v>3</v>
      </c>
      <c r="CD2286">
        <v>1.59</v>
      </c>
      <c r="CE2286">
        <v>1.02</v>
      </c>
      <c r="CF2286">
        <v>0</v>
      </c>
      <c r="CG2286">
        <v>1.02</v>
      </c>
      <c r="CH2286">
        <v>0.9</v>
      </c>
      <c r="CI2286">
        <v>0.89</v>
      </c>
      <c r="CJ2286">
        <v>0.11</v>
      </c>
      <c r="CK2286">
        <v>0.83</v>
      </c>
      <c r="CL2286">
        <v>1.75</v>
      </c>
      <c r="CM2286">
        <v>1.95</v>
      </c>
      <c r="CN2286">
        <v>5</v>
      </c>
      <c r="CO2286">
        <v>19467</v>
      </c>
      <c r="CP2286">
        <v>1027</v>
      </c>
      <c r="CQ2286" t="s">
        <v>3393</v>
      </c>
      <c r="CR2286">
        <v>186.88</v>
      </c>
      <c r="CS2286">
        <v>54.39</v>
      </c>
      <c r="CT2286">
        <v>3.76</v>
      </c>
      <c r="CU2286">
        <v>33.869999999999997</v>
      </c>
      <c r="CV2286">
        <v>22.01</v>
      </c>
      <c r="CW2286">
        <v>1.52</v>
      </c>
      <c r="CX2286" t="s">
        <v>10844</v>
      </c>
      <c r="CY2286">
        <v>21.97</v>
      </c>
      <c r="CZ2286">
        <v>0</v>
      </c>
      <c r="DA2286">
        <v>18.510000000000002</v>
      </c>
      <c r="DB2286">
        <v>2.19</v>
      </c>
      <c r="DC2286">
        <v>2.44</v>
      </c>
      <c r="DD2286">
        <v>87.99</v>
      </c>
      <c r="DE2286" t="s">
        <v>3677</v>
      </c>
      <c r="DF2286">
        <v>46.99</v>
      </c>
      <c r="DG2286">
        <v>34.07</v>
      </c>
      <c r="DH2286">
        <v>29.78</v>
      </c>
      <c r="DI2286">
        <v>0.21</v>
      </c>
      <c r="DJ2286">
        <v>925</v>
      </c>
      <c r="DK2286">
        <v>300951</v>
      </c>
      <c r="DL2286" t="s">
        <v>120</v>
      </c>
      <c r="DM2286" t="s">
        <v>120</v>
      </c>
      <c r="DN2286" t="s">
        <v>120</v>
      </c>
    </row>
    <row r="2287" spans="1:118">
      <c r="A2287" t="str">
        <f>"300952"</f>
        <v>300952</v>
      </c>
      <c r="B2287" t="s">
        <v>10845</v>
      </c>
      <c r="C2287">
        <v>0.57999999999999996</v>
      </c>
      <c r="D2287">
        <v>0.08</v>
      </c>
      <c r="E2287">
        <v>-0.57999999999999996</v>
      </c>
      <c r="F2287">
        <v>424</v>
      </c>
      <c r="G2287" t="s">
        <v>10826</v>
      </c>
      <c r="H2287">
        <v>4579.67</v>
      </c>
      <c r="I2287">
        <v>9.61</v>
      </c>
      <c r="J2287" t="s">
        <v>120</v>
      </c>
      <c r="K2287" t="s">
        <v>10826</v>
      </c>
      <c r="L2287">
        <v>5.2</v>
      </c>
      <c r="M2287">
        <v>24.31</v>
      </c>
      <c r="N2287">
        <v>0.49</v>
      </c>
      <c r="O2287">
        <v>1.74</v>
      </c>
      <c r="P2287">
        <v>24.59</v>
      </c>
      <c r="Q2287">
        <v>-0.66</v>
      </c>
      <c r="R2287">
        <v>24.01</v>
      </c>
      <c r="S2287">
        <v>24.03</v>
      </c>
      <c r="T2287">
        <v>18849</v>
      </c>
      <c r="U2287">
        <v>24.32</v>
      </c>
      <c r="V2287">
        <v>24.17</v>
      </c>
      <c r="W2287">
        <v>38.28</v>
      </c>
      <c r="X2287" t="s">
        <v>1766</v>
      </c>
      <c r="Y2287" t="s">
        <v>319</v>
      </c>
      <c r="Z2287">
        <v>2.4</v>
      </c>
      <c r="AA2287">
        <v>24.3</v>
      </c>
      <c r="AB2287">
        <v>10016</v>
      </c>
      <c r="AC2287">
        <v>8833</v>
      </c>
      <c r="AD2287">
        <v>1.1299999999999999</v>
      </c>
      <c r="AE2287">
        <v>128</v>
      </c>
      <c r="AF2287">
        <v>15</v>
      </c>
      <c r="AG2287" t="s">
        <v>120</v>
      </c>
      <c r="AH2287">
        <v>0.01</v>
      </c>
      <c r="AI2287" t="s">
        <v>120</v>
      </c>
      <c r="AJ2287">
        <v>0.36</v>
      </c>
      <c r="AK2287" t="s">
        <v>3372</v>
      </c>
      <c r="AL2287">
        <v>2.4900000000000002</v>
      </c>
      <c r="AM2287">
        <v>1481</v>
      </c>
      <c r="AN2287">
        <v>13</v>
      </c>
      <c r="AO2287">
        <v>3.5000000000000001E-3</v>
      </c>
      <c r="AP2287">
        <v>1</v>
      </c>
      <c r="AQ2287">
        <v>-0.41</v>
      </c>
      <c r="AR2287">
        <v>2.23</v>
      </c>
      <c r="AS2287">
        <v>3.71</v>
      </c>
      <c r="AT2287">
        <v>-9.6300000000000008</v>
      </c>
      <c r="AU2287">
        <v>111.39</v>
      </c>
      <c r="AV2287">
        <v>0</v>
      </c>
      <c r="AW2287">
        <v>5.2</v>
      </c>
      <c r="AX2287">
        <v>25</v>
      </c>
      <c r="AY2287">
        <v>37.56</v>
      </c>
      <c r="AZ2287">
        <v>33.06</v>
      </c>
      <c r="BA2287">
        <v>0.62</v>
      </c>
      <c r="BB2287" t="s">
        <v>143</v>
      </c>
      <c r="BF2287">
        <v>0.52</v>
      </c>
      <c r="BG2287">
        <v>1.17</v>
      </c>
      <c r="BH2287">
        <v>-1.1399999999999999</v>
      </c>
      <c r="BI2287">
        <v>1.25</v>
      </c>
      <c r="BJ2287">
        <v>20210914</v>
      </c>
      <c r="BK2287">
        <v>20210311</v>
      </c>
      <c r="BL2287">
        <v>1.45</v>
      </c>
      <c r="BM2287" t="s">
        <v>120</v>
      </c>
      <c r="BN2287" t="s">
        <v>120</v>
      </c>
      <c r="BO2287">
        <v>11.99</v>
      </c>
      <c r="BP2287">
        <v>24.31</v>
      </c>
      <c r="BQ2287">
        <v>8.7899999999999991</v>
      </c>
      <c r="BR2287">
        <v>0.25</v>
      </c>
      <c r="BS2287">
        <v>24.63</v>
      </c>
      <c r="BT2287">
        <v>6.16</v>
      </c>
      <c r="BU2287">
        <v>3.86</v>
      </c>
      <c r="BV2287">
        <v>0.31</v>
      </c>
      <c r="BW2287">
        <v>2.59</v>
      </c>
      <c r="BX2287">
        <v>1.03</v>
      </c>
      <c r="BY2287">
        <v>1.87</v>
      </c>
      <c r="BZ2287">
        <v>1.61</v>
      </c>
      <c r="CA2287" t="s">
        <v>120</v>
      </c>
      <c r="CB2287">
        <v>4.82</v>
      </c>
      <c r="CC2287">
        <v>4.5599999999999996</v>
      </c>
      <c r="CD2287">
        <v>3.55</v>
      </c>
      <c r="CE2287">
        <v>0.56999999999999995</v>
      </c>
      <c r="CF2287">
        <v>0</v>
      </c>
      <c r="CG2287">
        <v>0.56999999999999995</v>
      </c>
      <c r="CH2287">
        <v>0.48</v>
      </c>
      <c r="CI2287">
        <v>0.46</v>
      </c>
      <c r="CJ2287">
        <v>0.14000000000000001</v>
      </c>
      <c r="CK2287">
        <v>0.4</v>
      </c>
      <c r="CL2287">
        <v>2.2799999999999998</v>
      </c>
      <c r="CM2287">
        <v>0.36</v>
      </c>
      <c r="CN2287">
        <v>0.83</v>
      </c>
      <c r="CO2287">
        <v>22452</v>
      </c>
      <c r="CP2287">
        <v>1614</v>
      </c>
      <c r="CQ2287" t="s">
        <v>10846</v>
      </c>
      <c r="CR2287">
        <v>-21.63</v>
      </c>
      <c r="CS2287">
        <v>21.28</v>
      </c>
      <c r="CT2287">
        <v>4.01</v>
      </c>
      <c r="CU2287">
        <v>98.49</v>
      </c>
      <c r="CV2287">
        <v>7.73</v>
      </c>
      <c r="CW2287">
        <v>0.91</v>
      </c>
      <c r="CX2287" t="s">
        <v>472</v>
      </c>
      <c r="CY2287">
        <v>6.07</v>
      </c>
      <c r="CZ2287">
        <v>0</v>
      </c>
      <c r="DA2287">
        <v>3.33</v>
      </c>
      <c r="DB2287">
        <v>1.57</v>
      </c>
      <c r="DC2287">
        <v>0.25</v>
      </c>
      <c r="DD2287">
        <v>73.31</v>
      </c>
      <c r="DE2287" t="s">
        <v>6218</v>
      </c>
      <c r="DF2287">
        <v>22.25</v>
      </c>
      <c r="DG2287">
        <v>12.45</v>
      </c>
      <c r="DH2287">
        <v>10.09</v>
      </c>
      <c r="DI2287">
        <v>0.21</v>
      </c>
      <c r="DJ2287">
        <v>1270</v>
      </c>
      <c r="DK2287">
        <v>300952</v>
      </c>
      <c r="DL2287" t="s">
        <v>120</v>
      </c>
      <c r="DM2287" t="s">
        <v>120</v>
      </c>
      <c r="DN2287" t="s">
        <v>120</v>
      </c>
    </row>
    <row r="2288" spans="1:118">
      <c r="A2288" t="str">
        <f>"300953"</f>
        <v>300953</v>
      </c>
      <c r="B2288" t="s">
        <v>10847</v>
      </c>
      <c r="C2288">
        <v>-5.52</v>
      </c>
      <c r="D2288">
        <v>-0.08</v>
      </c>
      <c r="E2288">
        <v>-0.11</v>
      </c>
      <c r="F2288">
        <v>201</v>
      </c>
      <c r="G2288" t="s">
        <v>6419</v>
      </c>
      <c r="H2288">
        <v>12978.98</v>
      </c>
      <c r="I2288">
        <v>64.31</v>
      </c>
      <c r="J2288" t="s">
        <v>120</v>
      </c>
      <c r="K2288" t="s">
        <v>6419</v>
      </c>
      <c r="L2288">
        <v>7.02</v>
      </c>
      <c r="M2288">
        <v>90.8</v>
      </c>
      <c r="N2288">
        <v>0.76</v>
      </c>
      <c r="O2288">
        <v>1.85</v>
      </c>
      <c r="P2288">
        <v>97.88</v>
      </c>
      <c r="Q2288">
        <v>-5.52</v>
      </c>
      <c r="R2288">
        <v>90.8</v>
      </c>
      <c r="S2288">
        <v>95.99</v>
      </c>
      <c r="T2288">
        <v>13932</v>
      </c>
      <c r="U2288">
        <v>90.8</v>
      </c>
      <c r="V2288">
        <v>96.1</v>
      </c>
      <c r="W2288">
        <v>57.89</v>
      </c>
      <c r="X2288" t="s">
        <v>959</v>
      </c>
      <c r="Y2288" t="s">
        <v>585</v>
      </c>
      <c r="Z2288">
        <v>7.37</v>
      </c>
      <c r="AA2288">
        <v>93.16</v>
      </c>
      <c r="AB2288">
        <v>8490</v>
      </c>
      <c r="AC2288">
        <v>5442</v>
      </c>
      <c r="AD2288">
        <v>1.56</v>
      </c>
      <c r="AE2288">
        <v>1</v>
      </c>
      <c r="AF2288">
        <v>48</v>
      </c>
      <c r="AG2288" t="s">
        <v>120</v>
      </c>
      <c r="AH2288">
        <v>0.03</v>
      </c>
      <c r="AI2288" t="s">
        <v>120</v>
      </c>
      <c r="AJ2288">
        <v>0.2</v>
      </c>
      <c r="AK2288" t="s">
        <v>10848</v>
      </c>
      <c r="AL2288">
        <v>-3.6</v>
      </c>
      <c r="AM2288">
        <v>1968</v>
      </c>
      <c r="AN2288">
        <v>7</v>
      </c>
      <c r="AO2288">
        <v>3.5999999999999999E-3</v>
      </c>
      <c r="AP2288">
        <v>-1</v>
      </c>
      <c r="AQ2288">
        <v>3.5</v>
      </c>
      <c r="AR2288">
        <v>1.0900000000000001</v>
      </c>
      <c r="AS2288">
        <v>-17.8</v>
      </c>
      <c r="AT2288">
        <v>-1.26</v>
      </c>
      <c r="AU2288">
        <v>217.15</v>
      </c>
      <c r="AV2288">
        <v>0</v>
      </c>
      <c r="AW2288">
        <v>7.02</v>
      </c>
      <c r="AX2288">
        <v>21.33</v>
      </c>
      <c r="AY2288">
        <v>52.58</v>
      </c>
      <c r="AZ2288">
        <v>68.67</v>
      </c>
      <c r="BA2288">
        <v>1.41</v>
      </c>
      <c r="BB2288" t="s">
        <v>143</v>
      </c>
      <c r="BF2288">
        <v>-3.06</v>
      </c>
      <c r="BG2288">
        <v>-5.41</v>
      </c>
      <c r="BH2288">
        <v>-7.23</v>
      </c>
      <c r="BI2288">
        <v>0</v>
      </c>
      <c r="BJ2288">
        <v>20210830</v>
      </c>
      <c r="BK2288">
        <v>20210318</v>
      </c>
      <c r="BL2288">
        <v>0.93</v>
      </c>
      <c r="BM2288" t="s">
        <v>120</v>
      </c>
      <c r="BN2288" t="s">
        <v>120</v>
      </c>
      <c r="BO2288">
        <v>30.24</v>
      </c>
      <c r="BP2288">
        <v>90.75</v>
      </c>
      <c r="BQ2288">
        <v>13.89</v>
      </c>
      <c r="BR2288" t="s">
        <v>120</v>
      </c>
      <c r="BS2288">
        <v>54.05</v>
      </c>
      <c r="BT2288">
        <v>19.059999999999999</v>
      </c>
      <c r="BU2288">
        <v>5.96</v>
      </c>
      <c r="BV2288">
        <v>0.91</v>
      </c>
      <c r="BW2288">
        <v>14.71</v>
      </c>
      <c r="BX2288">
        <v>3.38</v>
      </c>
      <c r="BY2288">
        <v>4.62</v>
      </c>
      <c r="BZ2288">
        <v>3.78</v>
      </c>
      <c r="CA2288" t="s">
        <v>120</v>
      </c>
      <c r="CB2288">
        <v>8.69</v>
      </c>
      <c r="CC2288">
        <v>10.88</v>
      </c>
      <c r="CD2288">
        <v>8.48</v>
      </c>
      <c r="CE2288">
        <v>0.78</v>
      </c>
      <c r="CF2288">
        <v>0</v>
      </c>
      <c r="CG2288">
        <v>0.77</v>
      </c>
      <c r="CH2288">
        <v>0.73</v>
      </c>
      <c r="CI2288">
        <v>0.73</v>
      </c>
      <c r="CJ2288">
        <v>-5.3</v>
      </c>
      <c r="CK2288">
        <v>0.73</v>
      </c>
      <c r="CL2288">
        <v>3.89</v>
      </c>
      <c r="CM2288">
        <v>-1.74</v>
      </c>
      <c r="CN2288">
        <v>2.1</v>
      </c>
      <c r="CO2288">
        <v>14566</v>
      </c>
      <c r="CP2288">
        <v>1363</v>
      </c>
      <c r="CQ2288" t="s">
        <v>10849</v>
      </c>
      <c r="CR2288">
        <v>120.35</v>
      </c>
      <c r="CS2288">
        <v>188.31</v>
      </c>
      <c r="CT2288">
        <v>6.08</v>
      </c>
      <c r="CU2288">
        <v>-48.7</v>
      </c>
      <c r="CV2288">
        <v>7.77</v>
      </c>
      <c r="CW2288">
        <v>0.15</v>
      </c>
      <c r="CX2288" t="s">
        <v>397</v>
      </c>
      <c r="CY2288">
        <v>14.93</v>
      </c>
      <c r="CZ2288">
        <v>0</v>
      </c>
      <c r="DA2288">
        <v>9.34</v>
      </c>
      <c r="DB2288">
        <v>4.18</v>
      </c>
      <c r="DC2288">
        <v>-1.86</v>
      </c>
      <c r="DD2288">
        <v>45.95</v>
      </c>
      <c r="DE2288" t="s">
        <v>2474</v>
      </c>
      <c r="DF2288">
        <v>22.1</v>
      </c>
      <c r="DG2288">
        <v>7.13</v>
      </c>
      <c r="DH2288">
        <v>6.71</v>
      </c>
      <c r="DI2288">
        <v>0.59</v>
      </c>
      <c r="DJ2288">
        <v>2219</v>
      </c>
      <c r="DK2288">
        <v>300953</v>
      </c>
      <c r="DL2288" t="s">
        <v>120</v>
      </c>
      <c r="DM2288" t="s">
        <v>120</v>
      </c>
      <c r="DN2288" t="s">
        <v>120</v>
      </c>
    </row>
    <row r="2289" spans="1:118">
      <c r="A2289" t="str">
        <f>"300955"</f>
        <v>300955</v>
      </c>
      <c r="B2289" t="s">
        <v>10850</v>
      </c>
      <c r="C2289">
        <v>1.69</v>
      </c>
      <c r="D2289">
        <v>0</v>
      </c>
      <c r="E2289">
        <v>0.51</v>
      </c>
      <c r="F2289">
        <v>135</v>
      </c>
      <c r="G2289" t="s">
        <v>10851</v>
      </c>
      <c r="H2289">
        <v>4710.1400000000003</v>
      </c>
      <c r="I2289">
        <v>1.01</v>
      </c>
      <c r="J2289" t="s">
        <v>120</v>
      </c>
      <c r="K2289" t="s">
        <v>10851</v>
      </c>
      <c r="L2289">
        <v>5.75</v>
      </c>
      <c r="M2289">
        <v>34.22</v>
      </c>
      <c r="N2289">
        <v>2.38</v>
      </c>
      <c r="O2289">
        <v>4.6399999999999997</v>
      </c>
      <c r="P2289">
        <v>35.21</v>
      </c>
      <c r="Q2289">
        <v>-1.58</v>
      </c>
      <c r="R2289">
        <v>33.119999999999997</v>
      </c>
      <c r="S2289">
        <v>33.82</v>
      </c>
      <c r="T2289">
        <v>13735</v>
      </c>
      <c r="U2289">
        <v>34.22</v>
      </c>
      <c r="V2289">
        <v>33.65</v>
      </c>
      <c r="W2289">
        <v>46.37</v>
      </c>
      <c r="X2289" t="s">
        <v>2211</v>
      </c>
      <c r="Y2289" t="s">
        <v>937</v>
      </c>
      <c r="Z2289">
        <v>6.21</v>
      </c>
      <c r="AA2289">
        <v>34.29</v>
      </c>
      <c r="AB2289">
        <v>6202</v>
      </c>
      <c r="AC2289">
        <v>7533</v>
      </c>
      <c r="AD2289">
        <v>0.82</v>
      </c>
      <c r="AE2289">
        <v>1</v>
      </c>
      <c r="AF2289">
        <v>82</v>
      </c>
      <c r="AG2289" t="s">
        <v>120</v>
      </c>
      <c r="AH2289">
        <v>0</v>
      </c>
      <c r="AI2289" t="s">
        <v>120</v>
      </c>
      <c r="AJ2289">
        <v>0.24</v>
      </c>
      <c r="AK2289" t="s">
        <v>10852</v>
      </c>
      <c r="AL2289">
        <v>3.61</v>
      </c>
      <c r="AM2289">
        <v>1332</v>
      </c>
      <c r="AN2289">
        <v>10</v>
      </c>
      <c r="AO2289">
        <v>4.3E-3</v>
      </c>
      <c r="AP2289">
        <v>1</v>
      </c>
      <c r="AQ2289">
        <v>-0.88</v>
      </c>
      <c r="AR2289">
        <v>0.83</v>
      </c>
      <c r="AS2289">
        <v>-9.33</v>
      </c>
      <c r="AT2289">
        <v>-33.270000000000003</v>
      </c>
      <c r="AU2289">
        <v>112.29</v>
      </c>
      <c r="AV2289">
        <v>1</v>
      </c>
      <c r="AW2289">
        <v>5.75</v>
      </c>
      <c r="AX2289">
        <v>23.69</v>
      </c>
      <c r="AY2289">
        <v>37.380000000000003</v>
      </c>
      <c r="AZ2289">
        <v>36.31</v>
      </c>
      <c r="BA2289">
        <v>0.78</v>
      </c>
      <c r="BB2289" t="s">
        <v>134</v>
      </c>
      <c r="BF2289">
        <v>1.91</v>
      </c>
      <c r="BG2289">
        <v>1.18</v>
      </c>
      <c r="BH2289">
        <v>-2.81</v>
      </c>
      <c r="BI2289">
        <v>3.32</v>
      </c>
      <c r="BJ2289">
        <v>20210830</v>
      </c>
      <c r="BK2289">
        <v>20210324</v>
      </c>
      <c r="BL2289">
        <v>1.01</v>
      </c>
      <c r="BM2289" t="s">
        <v>120</v>
      </c>
      <c r="BN2289" t="s">
        <v>120</v>
      </c>
      <c r="BO2289">
        <v>12.92</v>
      </c>
      <c r="BP2289">
        <v>34.200000000000003</v>
      </c>
      <c r="BQ2289">
        <v>8.99</v>
      </c>
      <c r="BR2289" t="s">
        <v>120</v>
      </c>
      <c r="BS2289">
        <v>30.37</v>
      </c>
      <c r="BT2289">
        <v>7.83</v>
      </c>
      <c r="BU2289">
        <v>2.34</v>
      </c>
      <c r="BV2289">
        <v>0.37</v>
      </c>
      <c r="BW2289">
        <v>3.51</v>
      </c>
      <c r="BX2289">
        <v>1.96</v>
      </c>
      <c r="BY2289">
        <v>1.7</v>
      </c>
      <c r="BZ2289">
        <v>2.5499999999999998</v>
      </c>
      <c r="CA2289">
        <v>0</v>
      </c>
      <c r="CB2289">
        <v>5.81</v>
      </c>
      <c r="CC2289">
        <v>5.14</v>
      </c>
      <c r="CD2289">
        <v>3.98</v>
      </c>
      <c r="CE2289">
        <v>0.44</v>
      </c>
      <c r="CF2289">
        <v>0</v>
      </c>
      <c r="CG2289">
        <v>0.45</v>
      </c>
      <c r="CH2289">
        <v>0.37</v>
      </c>
      <c r="CI2289">
        <v>0.37</v>
      </c>
      <c r="CJ2289">
        <v>0.56999999999999995</v>
      </c>
      <c r="CK2289">
        <v>0.37</v>
      </c>
      <c r="CL2289">
        <v>2.08</v>
      </c>
      <c r="CM2289">
        <v>0.5</v>
      </c>
      <c r="CN2289">
        <v>1.07</v>
      </c>
      <c r="CO2289">
        <v>15000</v>
      </c>
      <c r="CP2289">
        <v>1592</v>
      </c>
      <c r="CQ2289" t="s">
        <v>10853</v>
      </c>
      <c r="CR2289">
        <v>-6.72</v>
      </c>
      <c r="CS2289">
        <v>31.13</v>
      </c>
      <c r="CT2289">
        <v>3.83</v>
      </c>
      <c r="CU2289">
        <v>69.209999999999994</v>
      </c>
      <c r="CV2289">
        <v>6.71</v>
      </c>
      <c r="CW2289">
        <v>1.22</v>
      </c>
      <c r="CX2289" t="s">
        <v>1327</v>
      </c>
      <c r="CY2289">
        <v>8.92</v>
      </c>
      <c r="CZ2289">
        <v>0</v>
      </c>
      <c r="DA2289">
        <v>5.76</v>
      </c>
      <c r="DB2289">
        <v>2.0699999999999998</v>
      </c>
      <c r="DC2289">
        <v>0.49</v>
      </c>
      <c r="DD2289">
        <v>69.63</v>
      </c>
      <c r="DE2289" t="s">
        <v>1175</v>
      </c>
      <c r="DF2289">
        <v>22.54</v>
      </c>
      <c r="DG2289">
        <v>8.64</v>
      </c>
      <c r="DH2289">
        <v>7.23</v>
      </c>
      <c r="DI2289">
        <v>0.11</v>
      </c>
      <c r="DJ2289">
        <v>2023</v>
      </c>
      <c r="DK2289">
        <v>300955</v>
      </c>
      <c r="DL2289" t="s">
        <v>120</v>
      </c>
      <c r="DM2289" t="s">
        <v>120</v>
      </c>
      <c r="DN2289" t="s">
        <v>120</v>
      </c>
    </row>
    <row r="2290" spans="1:118">
      <c r="A2290" t="str">
        <f>"300956"</f>
        <v>300956</v>
      </c>
      <c r="B2290" t="s">
        <v>10854</v>
      </c>
      <c r="C2290">
        <v>0.36</v>
      </c>
      <c r="D2290">
        <v>0.09</v>
      </c>
      <c r="E2290">
        <v>0.27</v>
      </c>
      <c r="F2290">
        <v>226</v>
      </c>
      <c r="G2290" t="s">
        <v>10855</v>
      </c>
      <c r="H2290">
        <v>1673.29</v>
      </c>
      <c r="I2290">
        <v>8.4</v>
      </c>
      <c r="J2290" t="s">
        <v>120</v>
      </c>
      <c r="K2290" t="s">
        <v>10855</v>
      </c>
      <c r="L2290">
        <v>2.42</v>
      </c>
      <c r="M2290">
        <v>22.12</v>
      </c>
      <c r="N2290">
        <v>0.73</v>
      </c>
      <c r="O2290">
        <v>0.86</v>
      </c>
      <c r="P2290">
        <v>22.23</v>
      </c>
      <c r="Q2290">
        <v>-0.14000000000000001</v>
      </c>
      <c r="R2290">
        <v>22.01</v>
      </c>
      <c r="S2290">
        <v>22.1</v>
      </c>
      <c r="T2290">
        <v>7572</v>
      </c>
      <c r="U2290">
        <v>22.12</v>
      </c>
      <c r="V2290">
        <v>22.04</v>
      </c>
      <c r="W2290">
        <v>39.07</v>
      </c>
      <c r="X2290" t="s">
        <v>238</v>
      </c>
      <c r="Y2290" t="s">
        <v>570</v>
      </c>
      <c r="Z2290">
        <v>1</v>
      </c>
      <c r="AA2290">
        <v>22.1</v>
      </c>
      <c r="AB2290">
        <v>4193</v>
      </c>
      <c r="AC2290">
        <v>3379</v>
      </c>
      <c r="AD2290">
        <v>1.24</v>
      </c>
      <c r="AE2290">
        <v>77</v>
      </c>
      <c r="AF2290">
        <v>84</v>
      </c>
      <c r="AG2290" t="s">
        <v>120</v>
      </c>
      <c r="AH2290">
        <v>0.01</v>
      </c>
      <c r="AI2290" t="s">
        <v>120</v>
      </c>
      <c r="AJ2290">
        <v>0.31</v>
      </c>
      <c r="AK2290" t="s">
        <v>1538</v>
      </c>
      <c r="AL2290">
        <v>2.2799999999999998</v>
      </c>
      <c r="AM2290">
        <v>720</v>
      </c>
      <c r="AN2290">
        <v>11</v>
      </c>
      <c r="AO2290">
        <v>3.3999999999999998E-3</v>
      </c>
      <c r="AP2290">
        <v>1</v>
      </c>
      <c r="AQ2290">
        <v>-0.59</v>
      </c>
      <c r="AR2290">
        <v>-3.11</v>
      </c>
      <c r="AS2290">
        <v>-5.03</v>
      </c>
      <c r="AT2290">
        <v>-22.63</v>
      </c>
      <c r="AU2290">
        <v>76.260000000000005</v>
      </c>
      <c r="AV2290">
        <v>0</v>
      </c>
      <c r="AW2290">
        <v>2.42</v>
      </c>
      <c r="AX2290">
        <v>23.71</v>
      </c>
      <c r="AY2290">
        <v>34.49</v>
      </c>
      <c r="AZ2290">
        <v>29.23</v>
      </c>
      <c r="BA2290">
        <v>0.65</v>
      </c>
      <c r="BB2290" t="s">
        <v>134</v>
      </c>
      <c r="BF2290">
        <v>0.27</v>
      </c>
      <c r="BG2290">
        <v>0.09</v>
      </c>
      <c r="BH2290">
        <v>-0.49</v>
      </c>
      <c r="BI2290">
        <v>0.5</v>
      </c>
      <c r="BJ2290">
        <v>20210914</v>
      </c>
      <c r="BK2290">
        <v>20210326</v>
      </c>
      <c r="BL2290">
        <v>1.32</v>
      </c>
      <c r="BM2290" t="s">
        <v>120</v>
      </c>
      <c r="BN2290" t="s">
        <v>120</v>
      </c>
      <c r="BO2290">
        <v>20.88</v>
      </c>
      <c r="BP2290">
        <v>22.1</v>
      </c>
      <c r="BQ2290">
        <v>10.61</v>
      </c>
      <c r="BR2290" t="s">
        <v>120</v>
      </c>
      <c r="BS2290">
        <v>49.17</v>
      </c>
      <c r="BT2290">
        <v>13.14</v>
      </c>
      <c r="BU2290">
        <v>5.12</v>
      </c>
      <c r="BV2290">
        <v>0.7</v>
      </c>
      <c r="BW2290">
        <v>9.5500000000000007</v>
      </c>
      <c r="BX2290">
        <v>0.46</v>
      </c>
      <c r="BY2290">
        <v>4.3099999999999996</v>
      </c>
      <c r="BZ2290">
        <v>6.44</v>
      </c>
      <c r="CA2290" t="s">
        <v>120</v>
      </c>
      <c r="CB2290">
        <v>5.86</v>
      </c>
      <c r="CC2290">
        <v>7.99</v>
      </c>
      <c r="CD2290">
        <v>6.9</v>
      </c>
      <c r="CE2290">
        <v>0.32</v>
      </c>
      <c r="CF2290">
        <v>0.02</v>
      </c>
      <c r="CG2290">
        <v>0.4</v>
      </c>
      <c r="CH2290">
        <v>0.37</v>
      </c>
      <c r="CI2290">
        <v>0.37</v>
      </c>
      <c r="CJ2290">
        <v>0.08</v>
      </c>
      <c r="CK2290">
        <v>0.27</v>
      </c>
      <c r="CL2290">
        <v>3.34</v>
      </c>
      <c r="CM2290">
        <v>0.06</v>
      </c>
      <c r="CN2290">
        <v>0.3</v>
      </c>
      <c r="CO2290">
        <v>20803</v>
      </c>
      <c r="CP2290">
        <v>1505</v>
      </c>
      <c r="CQ2290" t="s">
        <v>7287</v>
      </c>
      <c r="CR2290">
        <v>-28.9</v>
      </c>
      <c r="CS2290">
        <v>21.79</v>
      </c>
      <c r="CT2290">
        <v>2.75</v>
      </c>
      <c r="CU2290">
        <v>470.68</v>
      </c>
      <c r="CV2290">
        <v>3.66</v>
      </c>
      <c r="CW2290">
        <v>1.36</v>
      </c>
      <c r="CX2290" t="s">
        <v>966</v>
      </c>
      <c r="CY2290">
        <v>8.0399999999999991</v>
      </c>
      <c r="CZ2290">
        <v>0</v>
      </c>
      <c r="DA2290">
        <v>4.4400000000000004</v>
      </c>
      <c r="DB2290">
        <v>2.5299999999999998</v>
      </c>
      <c r="DC2290">
        <v>0.05</v>
      </c>
      <c r="DD2290">
        <v>50.83</v>
      </c>
      <c r="DE2290" t="s">
        <v>4021</v>
      </c>
      <c r="DF2290">
        <v>13.63</v>
      </c>
      <c r="DG2290">
        <v>3.98</v>
      </c>
      <c r="DH2290">
        <v>4.68</v>
      </c>
      <c r="DI2290">
        <v>0.31</v>
      </c>
      <c r="DJ2290">
        <v>2552</v>
      </c>
      <c r="DK2290">
        <v>300956</v>
      </c>
      <c r="DL2290" t="s">
        <v>120</v>
      </c>
      <c r="DM2290" t="s">
        <v>120</v>
      </c>
      <c r="DN2290" t="s">
        <v>120</v>
      </c>
    </row>
    <row r="2291" spans="1:118">
      <c r="A2291" t="str">
        <f>"300957"</f>
        <v>300957</v>
      </c>
      <c r="B2291" t="s">
        <v>10856</v>
      </c>
      <c r="C2291">
        <v>2.19</v>
      </c>
      <c r="D2291">
        <v>0.04</v>
      </c>
      <c r="E2291">
        <v>1.1499999999999999</v>
      </c>
      <c r="F2291">
        <v>128</v>
      </c>
      <c r="G2291" t="s">
        <v>10857</v>
      </c>
      <c r="H2291">
        <v>43471.48</v>
      </c>
      <c r="I2291">
        <v>177.63</v>
      </c>
      <c r="J2291" t="s">
        <v>120</v>
      </c>
      <c r="K2291" t="s">
        <v>10857</v>
      </c>
      <c r="L2291">
        <v>4.4400000000000004</v>
      </c>
      <c r="M2291">
        <v>183.57</v>
      </c>
      <c r="N2291">
        <v>1.63</v>
      </c>
      <c r="O2291">
        <v>4.32</v>
      </c>
      <c r="P2291">
        <v>187.39</v>
      </c>
      <c r="Q2291">
        <v>-2.2999999999999998</v>
      </c>
      <c r="R2291">
        <v>175.5</v>
      </c>
      <c r="S2291">
        <v>181.7</v>
      </c>
      <c r="T2291">
        <v>23878</v>
      </c>
      <c r="U2291">
        <v>183.57</v>
      </c>
      <c r="V2291">
        <v>179.63</v>
      </c>
      <c r="W2291">
        <v>146.71</v>
      </c>
      <c r="X2291" t="s">
        <v>1817</v>
      </c>
      <c r="Y2291" t="s">
        <v>1006</v>
      </c>
      <c r="Z2291">
        <v>6.62</v>
      </c>
      <c r="AA2291">
        <v>182.05</v>
      </c>
      <c r="AB2291">
        <v>9912</v>
      </c>
      <c r="AC2291">
        <v>13966</v>
      </c>
      <c r="AD2291">
        <v>0.71</v>
      </c>
      <c r="AE2291">
        <v>2</v>
      </c>
      <c r="AF2291">
        <v>5</v>
      </c>
      <c r="AG2291" t="s">
        <v>120</v>
      </c>
      <c r="AH2291">
        <v>0.02</v>
      </c>
      <c r="AI2291" t="s">
        <v>120</v>
      </c>
      <c r="AJ2291">
        <v>0.54</v>
      </c>
      <c r="AK2291" t="s">
        <v>10858</v>
      </c>
      <c r="AL2291">
        <v>4.1100000000000003</v>
      </c>
      <c r="AM2291">
        <v>3313</v>
      </c>
      <c r="AN2291">
        <v>7</v>
      </c>
      <c r="AO2291">
        <v>1.2999999999999999E-3</v>
      </c>
      <c r="AP2291">
        <v>1</v>
      </c>
      <c r="AQ2291">
        <v>-4.82</v>
      </c>
      <c r="AR2291">
        <v>-3.88</v>
      </c>
      <c r="AS2291">
        <v>-8.5</v>
      </c>
      <c r="AT2291">
        <v>-27.54</v>
      </c>
      <c r="AU2291">
        <v>291.57</v>
      </c>
      <c r="AV2291">
        <v>0</v>
      </c>
      <c r="AW2291">
        <v>4.4400000000000004</v>
      </c>
      <c r="AX2291">
        <v>12.69</v>
      </c>
      <c r="AY2291">
        <v>117.39</v>
      </c>
      <c r="AZ2291">
        <v>140</v>
      </c>
      <c r="BA2291">
        <v>1.72</v>
      </c>
      <c r="BB2291" t="s">
        <v>240</v>
      </c>
      <c r="BF2291">
        <v>1.35</v>
      </c>
      <c r="BG2291">
        <v>1.03</v>
      </c>
      <c r="BH2291">
        <v>-2.04</v>
      </c>
      <c r="BI2291">
        <v>4.5999999999999996</v>
      </c>
      <c r="BJ2291">
        <v>20210811</v>
      </c>
      <c r="BK2291">
        <v>20210325</v>
      </c>
      <c r="BL2291">
        <v>4.24</v>
      </c>
      <c r="BM2291" t="s">
        <v>120</v>
      </c>
      <c r="BN2291" t="s">
        <v>120</v>
      </c>
      <c r="BO2291">
        <v>47.45</v>
      </c>
      <c r="BP2291">
        <v>183.53</v>
      </c>
      <c r="BQ2291">
        <v>41.57</v>
      </c>
      <c r="BR2291">
        <v>0.12</v>
      </c>
      <c r="BS2291">
        <v>12.12</v>
      </c>
      <c r="BT2291">
        <v>43.69</v>
      </c>
      <c r="BU2291">
        <v>0.77</v>
      </c>
      <c r="BV2291">
        <v>0.53</v>
      </c>
      <c r="BW2291">
        <v>5.0999999999999996</v>
      </c>
      <c r="BX2291">
        <v>24.99</v>
      </c>
      <c r="BY2291">
        <v>3.1</v>
      </c>
      <c r="BZ2291">
        <v>1.72</v>
      </c>
      <c r="CA2291" t="s">
        <v>120</v>
      </c>
      <c r="CB2291">
        <v>28.46</v>
      </c>
      <c r="CC2291">
        <v>14.12</v>
      </c>
      <c r="CD2291">
        <v>3.22</v>
      </c>
      <c r="CE2291">
        <v>3.17</v>
      </c>
      <c r="CF2291">
        <v>0.04</v>
      </c>
      <c r="CG2291">
        <v>3.14</v>
      </c>
      <c r="CH2291">
        <v>2.65</v>
      </c>
      <c r="CI2291">
        <v>2.65</v>
      </c>
      <c r="CJ2291">
        <v>3.94</v>
      </c>
      <c r="CK2291">
        <v>2.5299999999999998</v>
      </c>
      <c r="CL2291">
        <v>8.01</v>
      </c>
      <c r="CM2291">
        <v>3.65</v>
      </c>
      <c r="CN2291">
        <v>13.42</v>
      </c>
      <c r="CO2291">
        <v>32627</v>
      </c>
      <c r="CP2291">
        <v>1647</v>
      </c>
      <c r="CQ2291" t="s">
        <v>10859</v>
      </c>
      <c r="CR2291">
        <v>65.28</v>
      </c>
      <c r="CS2291">
        <v>49.94</v>
      </c>
      <c r="CT2291">
        <v>18.7</v>
      </c>
      <c r="CU2291">
        <v>212.95</v>
      </c>
      <c r="CV2291">
        <v>55.08</v>
      </c>
      <c r="CW2291">
        <v>0.25</v>
      </c>
      <c r="CX2291" t="s">
        <v>527</v>
      </c>
      <c r="CY2291">
        <v>9.81</v>
      </c>
      <c r="CZ2291">
        <v>0</v>
      </c>
      <c r="DA2291">
        <v>6.72</v>
      </c>
      <c r="DB2291">
        <v>1.89</v>
      </c>
      <c r="DC2291">
        <v>0.86</v>
      </c>
      <c r="DD2291">
        <v>87.62</v>
      </c>
      <c r="DE2291" t="s">
        <v>6422</v>
      </c>
      <c r="DF2291">
        <v>77.19</v>
      </c>
      <c r="DG2291">
        <v>22.49</v>
      </c>
      <c r="DH2291">
        <v>18.77</v>
      </c>
      <c r="DI2291">
        <v>0.44</v>
      </c>
      <c r="DJ2291">
        <v>1905</v>
      </c>
      <c r="DK2291">
        <v>300957</v>
      </c>
      <c r="DL2291" t="s">
        <v>120</v>
      </c>
      <c r="DM2291" t="s">
        <v>120</v>
      </c>
      <c r="DN2291" t="s">
        <v>120</v>
      </c>
    </row>
    <row r="2292" spans="1:118">
      <c r="A2292" t="str">
        <f>"300958"</f>
        <v>300958</v>
      </c>
      <c r="B2292" t="s">
        <v>10860</v>
      </c>
      <c r="C2292">
        <v>0.87</v>
      </c>
      <c r="D2292">
        <v>-0.09</v>
      </c>
      <c r="E2292">
        <v>2.16</v>
      </c>
      <c r="F2292">
        <v>265</v>
      </c>
      <c r="G2292" t="s">
        <v>10099</v>
      </c>
      <c r="H2292">
        <v>4865.6499999999996</v>
      </c>
      <c r="I2292">
        <v>82.1</v>
      </c>
      <c r="J2292" t="s">
        <v>120</v>
      </c>
      <c r="K2292" t="s">
        <v>10099</v>
      </c>
      <c r="L2292">
        <v>5.1100000000000003</v>
      </c>
      <c r="M2292">
        <v>31.3</v>
      </c>
      <c r="N2292">
        <v>0.56000000000000005</v>
      </c>
      <c r="O2292">
        <v>2.77</v>
      </c>
      <c r="P2292">
        <v>31.89</v>
      </c>
      <c r="Q2292">
        <v>-0.68</v>
      </c>
      <c r="R2292">
        <v>30.82</v>
      </c>
      <c r="S2292">
        <v>31.7</v>
      </c>
      <c r="T2292">
        <v>15549</v>
      </c>
      <c r="U2292">
        <v>31.3</v>
      </c>
      <c r="V2292">
        <v>31.03</v>
      </c>
      <c r="W2292">
        <v>76.78</v>
      </c>
      <c r="X2292" t="s">
        <v>318</v>
      </c>
      <c r="Y2292" t="s">
        <v>158</v>
      </c>
      <c r="Z2292">
        <v>3.45</v>
      </c>
      <c r="AA2292">
        <v>31.29</v>
      </c>
      <c r="AB2292">
        <v>8789</v>
      </c>
      <c r="AC2292">
        <v>6760</v>
      </c>
      <c r="AD2292">
        <v>1.3</v>
      </c>
      <c r="AE2292">
        <v>98</v>
      </c>
      <c r="AF2292">
        <v>87</v>
      </c>
      <c r="AG2292" t="s">
        <v>120</v>
      </c>
      <c r="AH2292">
        <v>0.09</v>
      </c>
      <c r="AI2292" t="s">
        <v>120</v>
      </c>
      <c r="AJ2292">
        <v>0.3</v>
      </c>
      <c r="AK2292" t="s">
        <v>1504</v>
      </c>
      <c r="AL2292">
        <v>2.78</v>
      </c>
      <c r="AM2292">
        <v>1304</v>
      </c>
      <c r="AN2292">
        <v>12</v>
      </c>
      <c r="AO2292">
        <v>3.8999999999999998E-3</v>
      </c>
      <c r="AP2292">
        <v>1</v>
      </c>
      <c r="AQ2292">
        <v>-0.57999999999999996</v>
      </c>
      <c r="AR2292">
        <v>-4.1399999999999997</v>
      </c>
      <c r="AS2292">
        <v>-8.2100000000000009</v>
      </c>
      <c r="AT2292">
        <v>1.65</v>
      </c>
      <c r="AU2292">
        <v>273.87</v>
      </c>
      <c r="AV2292">
        <v>1</v>
      </c>
      <c r="AW2292">
        <v>5.1100000000000003</v>
      </c>
      <c r="AX2292">
        <v>21.33</v>
      </c>
      <c r="AY2292">
        <v>53.76</v>
      </c>
      <c r="AZ2292">
        <v>53.16</v>
      </c>
      <c r="BA2292">
        <v>0.72</v>
      </c>
      <c r="BB2292" t="s">
        <v>240</v>
      </c>
      <c r="BF2292">
        <v>0.85</v>
      </c>
      <c r="BG2292">
        <v>-1.26</v>
      </c>
      <c r="BH2292">
        <v>-1.85</v>
      </c>
      <c r="BI2292">
        <v>1.56</v>
      </c>
      <c r="BJ2292">
        <v>20210821</v>
      </c>
      <c r="BK2292">
        <v>20210329</v>
      </c>
      <c r="BL2292">
        <v>1.43</v>
      </c>
      <c r="BM2292" t="s">
        <v>120</v>
      </c>
      <c r="BN2292" t="s">
        <v>120</v>
      </c>
      <c r="BO2292">
        <v>24.47</v>
      </c>
      <c r="BP2292">
        <v>31.29</v>
      </c>
      <c r="BQ2292">
        <v>9.89</v>
      </c>
      <c r="BR2292">
        <v>0.05</v>
      </c>
      <c r="BS2292">
        <v>59.38</v>
      </c>
      <c r="BT2292">
        <v>22.05</v>
      </c>
      <c r="BU2292">
        <v>1.22</v>
      </c>
      <c r="BV2292">
        <v>0.01</v>
      </c>
      <c r="BW2292">
        <v>14.13</v>
      </c>
      <c r="BX2292">
        <v>2.66</v>
      </c>
      <c r="BY2292">
        <v>0.09</v>
      </c>
      <c r="BZ2292">
        <v>4.9800000000000004</v>
      </c>
      <c r="CA2292" t="s">
        <v>120</v>
      </c>
      <c r="CB2292">
        <v>4.1500000000000004</v>
      </c>
      <c r="CC2292">
        <v>4.42</v>
      </c>
      <c r="CD2292">
        <v>3.34</v>
      </c>
      <c r="CE2292">
        <v>0.32</v>
      </c>
      <c r="CF2292">
        <v>0.06</v>
      </c>
      <c r="CG2292">
        <v>0.31</v>
      </c>
      <c r="CH2292">
        <v>0.28999999999999998</v>
      </c>
      <c r="CI2292">
        <v>0.28999999999999998</v>
      </c>
      <c r="CJ2292">
        <v>0.27</v>
      </c>
      <c r="CK2292">
        <v>0.2</v>
      </c>
      <c r="CL2292">
        <v>3.88</v>
      </c>
      <c r="CM2292">
        <v>-0.77</v>
      </c>
      <c r="CN2292">
        <v>0.36</v>
      </c>
      <c r="CO2292">
        <v>22730</v>
      </c>
      <c r="CP2292">
        <v>1339</v>
      </c>
      <c r="CQ2292" t="s">
        <v>1993</v>
      </c>
      <c r="CR2292">
        <v>-3.09</v>
      </c>
      <c r="CS2292">
        <v>17.29</v>
      </c>
      <c r="CT2292">
        <v>4.5199999999999996</v>
      </c>
      <c r="CU2292">
        <v>-57.84</v>
      </c>
      <c r="CV2292">
        <v>10.11</v>
      </c>
      <c r="CW2292">
        <v>0.51</v>
      </c>
      <c r="CX2292" t="s">
        <v>694</v>
      </c>
      <c r="CY2292">
        <v>6.93</v>
      </c>
      <c r="CZ2292">
        <v>0</v>
      </c>
      <c r="DA2292">
        <v>2.91</v>
      </c>
      <c r="DB2292">
        <v>2.72</v>
      </c>
      <c r="DC2292">
        <v>-0.54</v>
      </c>
      <c r="DD2292">
        <v>40.409999999999997</v>
      </c>
      <c r="DE2292" t="s">
        <v>4288</v>
      </c>
      <c r="DF2292">
        <v>24.3</v>
      </c>
      <c r="DG2292">
        <v>7.22</v>
      </c>
      <c r="DH2292">
        <v>6.58</v>
      </c>
      <c r="DI2292">
        <v>0.15</v>
      </c>
      <c r="DJ2292">
        <v>450</v>
      </c>
      <c r="DK2292">
        <v>300958</v>
      </c>
      <c r="DL2292" t="s">
        <v>120</v>
      </c>
      <c r="DM2292" t="s">
        <v>120</v>
      </c>
      <c r="DN2292" t="s">
        <v>120</v>
      </c>
    </row>
    <row r="2293" spans="1:118">
      <c r="A2293" t="str">
        <f>"300959"</f>
        <v>300959</v>
      </c>
      <c r="B2293" t="s">
        <v>10861</v>
      </c>
      <c r="C2293">
        <v>0.95</v>
      </c>
      <c r="D2293">
        <v>0</v>
      </c>
      <c r="E2293">
        <v>3.59</v>
      </c>
      <c r="F2293">
        <v>155</v>
      </c>
      <c r="G2293" t="s">
        <v>10862</v>
      </c>
      <c r="H2293">
        <v>8891.6200000000008</v>
      </c>
      <c r="I2293">
        <v>47.77</v>
      </c>
      <c r="J2293" t="s">
        <v>120</v>
      </c>
      <c r="K2293" t="s">
        <v>10862</v>
      </c>
      <c r="L2293">
        <v>8.41</v>
      </c>
      <c r="M2293">
        <v>51.16</v>
      </c>
      <c r="N2293">
        <v>2.59</v>
      </c>
      <c r="O2293">
        <v>7.97</v>
      </c>
      <c r="P2293">
        <v>54.72</v>
      </c>
      <c r="Q2293">
        <v>0.93</v>
      </c>
      <c r="R2293">
        <v>51.15</v>
      </c>
      <c r="S2293">
        <v>52.5</v>
      </c>
      <c r="T2293">
        <v>16810</v>
      </c>
      <c r="U2293">
        <v>51.17</v>
      </c>
      <c r="V2293">
        <v>50.68</v>
      </c>
      <c r="W2293">
        <v>51.85</v>
      </c>
      <c r="X2293" t="s">
        <v>462</v>
      </c>
      <c r="Y2293" t="s">
        <v>319</v>
      </c>
      <c r="Z2293">
        <v>7.04</v>
      </c>
      <c r="AA2293">
        <v>52.89</v>
      </c>
      <c r="AB2293">
        <v>9349</v>
      </c>
      <c r="AC2293">
        <v>7461</v>
      </c>
      <c r="AD2293">
        <v>1.25</v>
      </c>
      <c r="AE2293">
        <v>159</v>
      </c>
      <c r="AF2293">
        <v>4</v>
      </c>
      <c r="AG2293" t="s">
        <v>120</v>
      </c>
      <c r="AH2293">
        <v>0.05</v>
      </c>
      <c r="AI2293" t="s">
        <v>120</v>
      </c>
      <c r="AJ2293">
        <v>0.2</v>
      </c>
      <c r="AK2293" t="s">
        <v>5656</v>
      </c>
      <c r="AL2293">
        <v>2.86</v>
      </c>
      <c r="AM2293">
        <v>1492</v>
      </c>
      <c r="AN2293">
        <v>11</v>
      </c>
      <c r="AO2293">
        <v>5.5999999999999999E-3</v>
      </c>
      <c r="AP2293">
        <v>1</v>
      </c>
      <c r="AQ2293">
        <v>-1.21</v>
      </c>
      <c r="AR2293">
        <v>-0.19</v>
      </c>
      <c r="AS2293">
        <v>-3.84</v>
      </c>
      <c r="AT2293">
        <v>-21.75</v>
      </c>
      <c r="AU2293">
        <v>25.7</v>
      </c>
      <c r="AV2293">
        <v>1</v>
      </c>
      <c r="AW2293">
        <v>8.41</v>
      </c>
      <c r="AX2293">
        <v>25</v>
      </c>
      <c r="AY2293">
        <v>45.99</v>
      </c>
      <c r="AZ2293">
        <v>48.66</v>
      </c>
      <c r="BA2293">
        <v>1.01</v>
      </c>
      <c r="BB2293" t="s">
        <v>125</v>
      </c>
      <c r="BF2293">
        <v>4.37</v>
      </c>
      <c r="BG2293">
        <v>-2.5499999999999998</v>
      </c>
      <c r="BH2293">
        <v>-6.51</v>
      </c>
      <c r="BI2293">
        <v>0.02</v>
      </c>
      <c r="BJ2293">
        <v>20210908</v>
      </c>
      <c r="BK2293">
        <v>20210322</v>
      </c>
      <c r="BL2293">
        <v>0.8</v>
      </c>
      <c r="BM2293" t="s">
        <v>120</v>
      </c>
      <c r="BN2293" t="s">
        <v>120</v>
      </c>
      <c r="BO2293">
        <v>11.28</v>
      </c>
      <c r="BP2293">
        <v>51.16</v>
      </c>
      <c r="BQ2293">
        <v>10.89</v>
      </c>
      <c r="BR2293" t="s">
        <v>120</v>
      </c>
      <c r="BS2293">
        <v>3.4</v>
      </c>
      <c r="BT2293">
        <v>10.97</v>
      </c>
      <c r="BU2293">
        <v>0.19</v>
      </c>
      <c r="BV2293">
        <v>0</v>
      </c>
      <c r="BW2293">
        <v>0.36</v>
      </c>
      <c r="BX2293">
        <v>4.0999999999999996</v>
      </c>
      <c r="BY2293">
        <v>0</v>
      </c>
      <c r="BZ2293">
        <v>2.3199999999999998</v>
      </c>
      <c r="CA2293" t="s">
        <v>120</v>
      </c>
      <c r="CB2293">
        <v>7.99</v>
      </c>
      <c r="CC2293">
        <v>6.41</v>
      </c>
      <c r="CD2293">
        <v>5.7</v>
      </c>
      <c r="CE2293">
        <v>0.46</v>
      </c>
      <c r="CF2293">
        <v>0</v>
      </c>
      <c r="CG2293">
        <v>0.46</v>
      </c>
      <c r="CH2293">
        <v>0.39</v>
      </c>
      <c r="CI2293">
        <v>0.39</v>
      </c>
      <c r="CJ2293">
        <v>0.48</v>
      </c>
      <c r="CK2293">
        <v>0.38</v>
      </c>
      <c r="CL2293">
        <v>1.95</v>
      </c>
      <c r="CM2293">
        <v>0.1</v>
      </c>
      <c r="CN2293">
        <v>0.85</v>
      </c>
      <c r="CO2293">
        <v>19623</v>
      </c>
      <c r="CP2293">
        <v>1019</v>
      </c>
      <c r="CQ2293" t="s">
        <v>2091</v>
      </c>
      <c r="CR2293">
        <v>13.95</v>
      </c>
      <c r="CS2293">
        <v>49.48</v>
      </c>
      <c r="CT2293">
        <v>3.76</v>
      </c>
      <c r="CU2293">
        <v>395</v>
      </c>
      <c r="CV2293">
        <v>6.39</v>
      </c>
      <c r="CW2293">
        <v>0.59</v>
      </c>
      <c r="CX2293" t="s">
        <v>1426</v>
      </c>
      <c r="CY2293">
        <v>13.62</v>
      </c>
      <c r="CZ2293">
        <v>0</v>
      </c>
      <c r="DA2293">
        <v>9.99</v>
      </c>
      <c r="DB2293">
        <v>2.44</v>
      </c>
      <c r="DC2293">
        <v>0.13</v>
      </c>
      <c r="DD2293">
        <v>96.6</v>
      </c>
      <c r="DE2293" t="s">
        <v>7177</v>
      </c>
      <c r="DF2293">
        <v>11.01</v>
      </c>
      <c r="DG2293">
        <v>7.12</v>
      </c>
      <c r="DH2293">
        <v>6.16</v>
      </c>
      <c r="DI2293">
        <v>0.06</v>
      </c>
      <c r="DJ2293">
        <v>126</v>
      </c>
      <c r="DK2293">
        <v>300959</v>
      </c>
      <c r="DL2293" t="s">
        <v>120</v>
      </c>
      <c r="DM2293" t="s">
        <v>120</v>
      </c>
      <c r="DN2293" t="s">
        <v>120</v>
      </c>
    </row>
    <row r="2294" spans="1:118">
      <c r="A2294" t="str">
        <f>"300960"</f>
        <v>300960</v>
      </c>
      <c r="B2294" t="s">
        <v>10863</v>
      </c>
      <c r="C2294">
        <v>-3.69</v>
      </c>
      <c r="D2294">
        <v>0.04</v>
      </c>
      <c r="E2294">
        <v>0.04</v>
      </c>
      <c r="F2294">
        <v>535</v>
      </c>
      <c r="G2294" t="s">
        <v>10864</v>
      </c>
      <c r="H2294">
        <v>3997.83</v>
      </c>
      <c r="I2294">
        <v>6.52</v>
      </c>
      <c r="J2294" t="s">
        <v>120</v>
      </c>
      <c r="K2294" t="s">
        <v>10864</v>
      </c>
      <c r="L2294">
        <v>6.42</v>
      </c>
      <c r="M2294">
        <v>25.09</v>
      </c>
      <c r="N2294">
        <v>0.61</v>
      </c>
      <c r="O2294">
        <v>1.23</v>
      </c>
      <c r="P2294">
        <v>26.37</v>
      </c>
      <c r="Q2294">
        <v>-3.84</v>
      </c>
      <c r="R2294">
        <v>25.05</v>
      </c>
      <c r="S2294">
        <v>26.06</v>
      </c>
      <c r="T2294">
        <v>15591</v>
      </c>
      <c r="U2294">
        <v>25.1</v>
      </c>
      <c r="V2294">
        <v>26.05</v>
      </c>
      <c r="W2294">
        <v>142.13</v>
      </c>
      <c r="X2294" t="s">
        <v>157</v>
      </c>
      <c r="Y2294" t="s">
        <v>123</v>
      </c>
      <c r="Z2294">
        <v>5.07</v>
      </c>
      <c r="AA2294">
        <v>25.64</v>
      </c>
      <c r="AB2294">
        <v>9531</v>
      </c>
      <c r="AC2294">
        <v>6060</v>
      </c>
      <c r="AD2294">
        <v>1.57</v>
      </c>
      <c r="AE2294">
        <v>42</v>
      </c>
      <c r="AF2294">
        <v>49</v>
      </c>
      <c r="AG2294" t="s">
        <v>120</v>
      </c>
      <c r="AH2294">
        <v>0.01</v>
      </c>
      <c r="AI2294" t="s">
        <v>120</v>
      </c>
      <c r="AJ2294">
        <v>0.24</v>
      </c>
      <c r="AK2294" t="s">
        <v>10865</v>
      </c>
      <c r="AL2294">
        <v>-1.77</v>
      </c>
      <c r="AM2294">
        <v>1206</v>
      </c>
      <c r="AN2294">
        <v>13</v>
      </c>
      <c r="AO2294">
        <v>5.3E-3</v>
      </c>
      <c r="AP2294">
        <v>-2</v>
      </c>
      <c r="AQ2294">
        <v>-3.48</v>
      </c>
      <c r="AR2294">
        <v>-6.06</v>
      </c>
      <c r="AS2294">
        <v>-23.36</v>
      </c>
      <c r="AT2294">
        <v>1.37</v>
      </c>
      <c r="AU2294">
        <v>114.81</v>
      </c>
      <c r="AV2294">
        <v>1</v>
      </c>
      <c r="AW2294">
        <v>6.42</v>
      </c>
      <c r="AX2294">
        <v>23.71</v>
      </c>
      <c r="AY2294">
        <v>47.41</v>
      </c>
      <c r="AZ2294">
        <v>36.200000000000003</v>
      </c>
      <c r="BA2294">
        <v>1.33</v>
      </c>
      <c r="BB2294" t="s">
        <v>1723</v>
      </c>
      <c r="BF2294">
        <v>-1.56</v>
      </c>
      <c r="BG2294">
        <v>-3.72</v>
      </c>
      <c r="BH2294">
        <v>-4.8499999999999996</v>
      </c>
      <c r="BI2294">
        <v>0.16</v>
      </c>
      <c r="BJ2294">
        <v>20210820</v>
      </c>
      <c r="BK2294">
        <v>20210329</v>
      </c>
      <c r="BL2294">
        <v>1.02</v>
      </c>
      <c r="BM2294" t="s">
        <v>120</v>
      </c>
      <c r="BN2294" t="s">
        <v>120</v>
      </c>
      <c r="BO2294">
        <v>9.09</v>
      </c>
      <c r="BP2294">
        <v>25.09</v>
      </c>
      <c r="BQ2294">
        <v>6</v>
      </c>
      <c r="BR2294" t="s">
        <v>120</v>
      </c>
      <c r="BS2294">
        <v>33.93</v>
      </c>
      <c r="BT2294">
        <v>8.2799999999999994</v>
      </c>
      <c r="BU2294">
        <v>0.28999999999999998</v>
      </c>
      <c r="BV2294">
        <v>7.0000000000000007E-2</v>
      </c>
      <c r="BW2294">
        <v>2.64</v>
      </c>
      <c r="BX2294">
        <v>2.04</v>
      </c>
      <c r="BY2294">
        <v>1.4</v>
      </c>
      <c r="BZ2294">
        <v>2.15</v>
      </c>
      <c r="CA2294" t="s">
        <v>120</v>
      </c>
      <c r="CB2294">
        <v>3.2</v>
      </c>
      <c r="CC2294">
        <v>1.24</v>
      </c>
      <c r="CD2294">
        <v>0.64</v>
      </c>
      <c r="CE2294">
        <v>0.11</v>
      </c>
      <c r="CF2294">
        <v>0.02</v>
      </c>
      <c r="CG2294">
        <v>0.11</v>
      </c>
      <c r="CH2294">
        <v>0.09</v>
      </c>
      <c r="CI2294">
        <v>0.09</v>
      </c>
      <c r="CJ2294">
        <v>-0.96</v>
      </c>
      <c r="CK2294">
        <v>0.05</v>
      </c>
      <c r="CL2294">
        <v>1.19</v>
      </c>
      <c r="CM2294">
        <v>-0.59</v>
      </c>
      <c r="CN2294">
        <v>0.35</v>
      </c>
      <c r="CO2294">
        <v>20009</v>
      </c>
      <c r="CP2294">
        <v>1213</v>
      </c>
      <c r="CQ2294" t="s">
        <v>3888</v>
      </c>
      <c r="CR2294">
        <v>-65.849999999999994</v>
      </c>
      <c r="CS2294">
        <v>-7.17</v>
      </c>
      <c r="CT2294">
        <v>4.28</v>
      </c>
      <c r="CU2294">
        <v>-43.74</v>
      </c>
      <c r="CV2294">
        <v>20.66</v>
      </c>
      <c r="CW2294">
        <v>1.54</v>
      </c>
      <c r="CX2294" t="s">
        <v>411</v>
      </c>
      <c r="CY2294">
        <v>5.86</v>
      </c>
      <c r="CZ2294">
        <v>0</v>
      </c>
      <c r="DA2294">
        <v>3.13</v>
      </c>
      <c r="DB2294">
        <v>1.17</v>
      </c>
      <c r="DC2294">
        <v>-0.56999999999999995</v>
      </c>
      <c r="DD2294">
        <v>66.069999999999993</v>
      </c>
      <c r="DE2294" t="s">
        <v>5243</v>
      </c>
      <c r="DF2294">
        <v>48.48</v>
      </c>
      <c r="DG2294">
        <v>8.9</v>
      </c>
      <c r="DH2294">
        <v>7.27</v>
      </c>
      <c r="DI2294">
        <v>0.22</v>
      </c>
      <c r="DJ2294">
        <v>441</v>
      </c>
      <c r="DK2294">
        <v>300960</v>
      </c>
      <c r="DL2294" t="s">
        <v>120</v>
      </c>
      <c r="DM2294" t="s">
        <v>120</v>
      </c>
      <c r="DN2294" t="s">
        <v>120</v>
      </c>
    </row>
    <row r="2295" spans="1:118">
      <c r="A2295" t="str">
        <f>"300961"</f>
        <v>300961</v>
      </c>
      <c r="B2295" t="s">
        <v>10866</v>
      </c>
      <c r="C2295">
        <v>-6.16</v>
      </c>
      <c r="D2295">
        <v>-7.0000000000000007E-2</v>
      </c>
      <c r="E2295">
        <v>-1.67</v>
      </c>
      <c r="F2295">
        <v>776</v>
      </c>
      <c r="G2295" t="s">
        <v>10867</v>
      </c>
      <c r="H2295">
        <v>12341.17</v>
      </c>
      <c r="I2295">
        <v>61.14</v>
      </c>
      <c r="J2295" t="s">
        <v>120</v>
      </c>
      <c r="K2295" t="s">
        <v>10867</v>
      </c>
      <c r="L2295">
        <v>11.79</v>
      </c>
      <c r="M2295">
        <v>24.21</v>
      </c>
      <c r="N2295">
        <v>0.59</v>
      </c>
      <c r="O2295">
        <v>0.57999999999999996</v>
      </c>
      <c r="P2295">
        <v>25.95</v>
      </c>
      <c r="Q2295">
        <v>-6.28</v>
      </c>
      <c r="R2295">
        <v>24.18</v>
      </c>
      <c r="S2295">
        <v>25.37</v>
      </c>
      <c r="T2295">
        <v>49551</v>
      </c>
      <c r="U2295">
        <v>24.22</v>
      </c>
      <c r="V2295">
        <v>25.8</v>
      </c>
      <c r="W2295">
        <v>59.45</v>
      </c>
      <c r="X2295" t="s">
        <v>318</v>
      </c>
      <c r="Y2295" t="s">
        <v>123</v>
      </c>
      <c r="Z2295">
        <v>6.86</v>
      </c>
      <c r="AA2295">
        <v>24.91</v>
      </c>
      <c r="AB2295">
        <v>29717</v>
      </c>
      <c r="AC2295">
        <v>19834</v>
      </c>
      <c r="AD2295">
        <v>1.5</v>
      </c>
      <c r="AE2295">
        <v>47</v>
      </c>
      <c r="AF2295">
        <v>16</v>
      </c>
      <c r="AG2295" t="s">
        <v>120</v>
      </c>
      <c r="AH2295">
        <v>0.06</v>
      </c>
      <c r="AI2295" t="s">
        <v>120</v>
      </c>
      <c r="AJ2295">
        <v>0.42</v>
      </c>
      <c r="AK2295" t="s">
        <v>3123</v>
      </c>
      <c r="AL2295">
        <v>-4.25</v>
      </c>
      <c r="AM2295">
        <v>2467</v>
      </c>
      <c r="AN2295">
        <v>20</v>
      </c>
      <c r="AO2295">
        <v>4.7999999999999996E-3</v>
      </c>
      <c r="AP2295">
        <v>-3</v>
      </c>
      <c r="AQ2295">
        <v>-1.1100000000000001</v>
      </c>
      <c r="AR2295">
        <v>-11.61</v>
      </c>
      <c r="AS2295">
        <v>9.5</v>
      </c>
      <c r="AT2295">
        <v>-5.36</v>
      </c>
      <c r="AU2295">
        <v>187.29</v>
      </c>
      <c r="AV2295">
        <v>2</v>
      </c>
      <c r="AW2295">
        <v>11.79</v>
      </c>
      <c r="AX2295">
        <v>23.71</v>
      </c>
      <c r="AY2295">
        <v>48.82</v>
      </c>
      <c r="AZ2295">
        <v>49.49</v>
      </c>
      <c r="BA2295">
        <v>0.7</v>
      </c>
      <c r="BB2295" t="s">
        <v>125</v>
      </c>
      <c r="BF2295">
        <v>-3.46</v>
      </c>
      <c r="BG2295">
        <v>-4.57</v>
      </c>
      <c r="BH2295">
        <v>-6.71</v>
      </c>
      <c r="BI2295">
        <v>0.12</v>
      </c>
      <c r="BJ2295">
        <v>20210818</v>
      </c>
      <c r="BK2295">
        <v>20210330</v>
      </c>
      <c r="BL2295">
        <v>1.77</v>
      </c>
      <c r="BM2295" t="s">
        <v>120</v>
      </c>
      <c r="BN2295" t="s">
        <v>120</v>
      </c>
      <c r="BO2295">
        <v>22.33</v>
      </c>
      <c r="BP2295">
        <v>24.21</v>
      </c>
      <c r="BQ2295">
        <v>10.42</v>
      </c>
      <c r="BR2295">
        <v>0.04</v>
      </c>
      <c r="BS2295">
        <v>53.19</v>
      </c>
      <c r="BT2295">
        <v>7.63</v>
      </c>
      <c r="BU2295">
        <v>1.39</v>
      </c>
      <c r="BV2295">
        <v>4.9000000000000004</v>
      </c>
      <c r="BW2295">
        <v>8.34</v>
      </c>
      <c r="BX2295">
        <v>3.99</v>
      </c>
      <c r="BY2295">
        <v>0.04</v>
      </c>
      <c r="BZ2295">
        <v>2.2999999999999998</v>
      </c>
      <c r="CA2295" t="s">
        <v>120</v>
      </c>
      <c r="CB2295">
        <v>5.39</v>
      </c>
      <c r="CC2295">
        <v>2.82</v>
      </c>
      <c r="CD2295">
        <v>1.71</v>
      </c>
      <c r="CE2295">
        <v>0.42</v>
      </c>
      <c r="CF2295">
        <v>0</v>
      </c>
      <c r="CG2295">
        <v>0.41</v>
      </c>
      <c r="CH2295">
        <v>0.37</v>
      </c>
      <c r="CI2295">
        <v>0.36</v>
      </c>
      <c r="CJ2295">
        <v>-1.59</v>
      </c>
      <c r="CK2295">
        <v>0.35</v>
      </c>
      <c r="CL2295">
        <v>3.05</v>
      </c>
      <c r="CM2295">
        <v>-1.36</v>
      </c>
      <c r="CN2295">
        <v>3.49</v>
      </c>
      <c r="CO2295">
        <v>27791</v>
      </c>
      <c r="CP2295">
        <v>1513</v>
      </c>
      <c r="CQ2295" t="s">
        <v>3032</v>
      </c>
      <c r="CR2295">
        <v>3.6</v>
      </c>
      <c r="CS2295">
        <v>18.02</v>
      </c>
      <c r="CT2295">
        <v>4.12</v>
      </c>
      <c r="CU2295">
        <v>-31.67</v>
      </c>
      <c r="CV2295">
        <v>15.2</v>
      </c>
      <c r="CW2295">
        <v>0.21</v>
      </c>
      <c r="CX2295" t="s">
        <v>694</v>
      </c>
      <c r="CY2295">
        <v>5.88</v>
      </c>
      <c r="CZ2295">
        <v>0</v>
      </c>
      <c r="DA2295">
        <v>3.04</v>
      </c>
      <c r="DB2295">
        <v>1.72</v>
      </c>
      <c r="DC2295">
        <v>-0.76</v>
      </c>
      <c r="DD2295">
        <v>46.64</v>
      </c>
      <c r="DE2295" t="s">
        <v>5093</v>
      </c>
      <c r="DF2295">
        <v>39.47</v>
      </c>
      <c r="DG2295">
        <v>14.9</v>
      </c>
      <c r="DH2295">
        <v>12.78</v>
      </c>
      <c r="DI2295">
        <v>0.13</v>
      </c>
      <c r="DJ2295">
        <v>753</v>
      </c>
      <c r="DK2295">
        <v>300961</v>
      </c>
      <c r="DL2295" t="s">
        <v>120</v>
      </c>
      <c r="DM2295" t="s">
        <v>120</v>
      </c>
      <c r="DN2295" t="s">
        <v>120</v>
      </c>
    </row>
    <row r="2296" spans="1:118">
      <c r="A2296" t="str">
        <f>"300962"</f>
        <v>300962</v>
      </c>
      <c r="B2296" t="s">
        <v>10868</v>
      </c>
      <c r="C2296">
        <v>-5.16</v>
      </c>
      <c r="D2296">
        <v>-0.04</v>
      </c>
      <c r="E2296">
        <v>-0.14000000000000001</v>
      </c>
      <c r="F2296">
        <v>837</v>
      </c>
      <c r="G2296" t="s">
        <v>10869</v>
      </c>
      <c r="H2296">
        <v>8591.7099999999991</v>
      </c>
      <c r="I2296">
        <v>12.24</v>
      </c>
      <c r="J2296" t="s">
        <v>120</v>
      </c>
      <c r="K2296" t="s">
        <v>10869</v>
      </c>
      <c r="L2296">
        <v>6.6</v>
      </c>
      <c r="M2296">
        <v>20.399999999999999</v>
      </c>
      <c r="N2296">
        <v>1.02</v>
      </c>
      <c r="O2296">
        <v>-0.14000000000000001</v>
      </c>
      <c r="P2296">
        <v>21.48</v>
      </c>
      <c r="Q2296">
        <v>-5.16</v>
      </c>
      <c r="R2296">
        <v>20.399999999999999</v>
      </c>
      <c r="S2296">
        <v>21.48</v>
      </c>
      <c r="T2296">
        <v>41290</v>
      </c>
      <c r="U2296">
        <v>20.41</v>
      </c>
      <c r="V2296">
        <v>21.51</v>
      </c>
      <c r="W2296">
        <v>51</v>
      </c>
      <c r="X2296" t="s">
        <v>166</v>
      </c>
      <c r="Y2296" t="s">
        <v>123</v>
      </c>
      <c r="Z2296">
        <v>5.0199999999999996</v>
      </c>
      <c r="AA2296">
        <v>20.81</v>
      </c>
      <c r="AB2296">
        <v>26001</v>
      </c>
      <c r="AC2296">
        <v>15289</v>
      </c>
      <c r="AD2296">
        <v>1.7</v>
      </c>
      <c r="AE2296">
        <v>270</v>
      </c>
      <c r="AF2296">
        <v>104</v>
      </c>
      <c r="AG2296" t="s">
        <v>120</v>
      </c>
      <c r="AH2296">
        <v>0.01</v>
      </c>
      <c r="AI2296" t="s">
        <v>120</v>
      </c>
      <c r="AJ2296">
        <v>0.63</v>
      </c>
      <c r="AK2296" t="s">
        <v>8344</v>
      </c>
      <c r="AL2296">
        <v>-3.25</v>
      </c>
      <c r="AM2296">
        <v>1850</v>
      </c>
      <c r="AN2296">
        <v>22</v>
      </c>
      <c r="AO2296">
        <v>3.5999999999999999E-3</v>
      </c>
      <c r="AP2296">
        <v>-2</v>
      </c>
      <c r="AQ2296">
        <v>-2.36</v>
      </c>
      <c r="AR2296">
        <v>-5.38</v>
      </c>
      <c r="AS2296">
        <v>-3.55</v>
      </c>
      <c r="AT2296">
        <v>-19.489999999999998</v>
      </c>
      <c r="AU2296">
        <v>529.63</v>
      </c>
      <c r="AV2296">
        <v>2</v>
      </c>
      <c r="AW2296">
        <v>6.6</v>
      </c>
      <c r="AX2296">
        <v>23.71</v>
      </c>
      <c r="AY2296">
        <v>63.25</v>
      </c>
      <c r="AZ2296">
        <v>92.28</v>
      </c>
      <c r="BA2296">
        <v>0.65</v>
      </c>
      <c r="BB2296" t="s">
        <v>125</v>
      </c>
      <c r="BF2296">
        <v>-3.26</v>
      </c>
      <c r="BG2296">
        <v>-5.03</v>
      </c>
      <c r="BH2296">
        <v>-5.03</v>
      </c>
      <c r="BI2296">
        <v>0</v>
      </c>
      <c r="BJ2296">
        <v>20210907</v>
      </c>
      <c r="BK2296">
        <v>20210409</v>
      </c>
      <c r="BL2296">
        <v>2.64</v>
      </c>
      <c r="BM2296" t="s">
        <v>120</v>
      </c>
      <c r="BN2296" t="s">
        <v>120</v>
      </c>
      <c r="BO2296">
        <v>9.6999999999999993</v>
      </c>
      <c r="BP2296">
        <v>20.399999999999999</v>
      </c>
      <c r="BQ2296">
        <v>8.11</v>
      </c>
      <c r="BR2296">
        <v>0.31</v>
      </c>
      <c r="BS2296">
        <v>13.22</v>
      </c>
      <c r="BT2296">
        <v>3.22</v>
      </c>
      <c r="BU2296">
        <v>5.39</v>
      </c>
      <c r="BV2296">
        <v>0.39</v>
      </c>
      <c r="BW2296">
        <v>0.33</v>
      </c>
      <c r="BX2296">
        <v>2.73</v>
      </c>
      <c r="BY2296">
        <v>0.01</v>
      </c>
      <c r="BZ2296">
        <v>0.27</v>
      </c>
      <c r="CA2296">
        <v>0.01</v>
      </c>
      <c r="CB2296">
        <v>2.63</v>
      </c>
      <c r="CC2296">
        <v>1.47</v>
      </c>
      <c r="CD2296">
        <v>0.56000000000000005</v>
      </c>
      <c r="CE2296">
        <v>0.65</v>
      </c>
      <c r="CF2296">
        <v>0</v>
      </c>
      <c r="CG2296">
        <v>0.64</v>
      </c>
      <c r="CH2296">
        <v>0.55000000000000004</v>
      </c>
      <c r="CI2296">
        <v>0.53</v>
      </c>
      <c r="CJ2296">
        <v>-1.1100000000000001</v>
      </c>
      <c r="CK2296">
        <v>0.48</v>
      </c>
      <c r="CL2296">
        <v>2.61</v>
      </c>
      <c r="CM2296">
        <v>1.19</v>
      </c>
      <c r="CN2296">
        <v>2.35</v>
      </c>
      <c r="CO2296">
        <v>30457</v>
      </c>
      <c r="CP2296">
        <v>2055</v>
      </c>
      <c r="CQ2296" t="s">
        <v>1993</v>
      </c>
      <c r="CR2296">
        <v>115</v>
      </c>
      <c r="CS2296">
        <v>31.06</v>
      </c>
      <c r="CT2296">
        <v>6.64</v>
      </c>
      <c r="CU2296">
        <v>45.27</v>
      </c>
      <c r="CV2296">
        <v>36.549999999999997</v>
      </c>
      <c r="CW2296">
        <v>0.74</v>
      </c>
      <c r="CX2296" t="s">
        <v>694</v>
      </c>
      <c r="CY2296">
        <v>3.07</v>
      </c>
      <c r="CZ2296">
        <v>0</v>
      </c>
      <c r="DA2296">
        <v>1</v>
      </c>
      <c r="DB2296">
        <v>0.99</v>
      </c>
      <c r="DC2296">
        <v>0.45</v>
      </c>
      <c r="DD2296">
        <v>83.61</v>
      </c>
      <c r="DE2296" t="s">
        <v>10870</v>
      </c>
      <c r="DF2296">
        <v>62.26</v>
      </c>
      <c r="DG2296">
        <v>43.83</v>
      </c>
      <c r="DH2296">
        <v>35.840000000000003</v>
      </c>
      <c r="DI2296">
        <v>0.08</v>
      </c>
      <c r="DJ2296">
        <v>564</v>
      </c>
      <c r="DK2296">
        <v>300962</v>
      </c>
      <c r="DL2296" t="s">
        <v>120</v>
      </c>
      <c r="DM2296" t="s">
        <v>120</v>
      </c>
      <c r="DN2296" t="s">
        <v>120</v>
      </c>
    </row>
    <row r="2297" spans="1:118">
      <c r="A2297" t="str">
        <f>"300963"</f>
        <v>300963</v>
      </c>
      <c r="B2297" t="s">
        <v>10871</v>
      </c>
      <c r="C2297">
        <v>0.71</v>
      </c>
      <c r="D2297">
        <v>0</v>
      </c>
      <c r="E2297">
        <v>2.44</v>
      </c>
      <c r="F2297">
        <v>207</v>
      </c>
      <c r="G2297" t="s">
        <v>10803</v>
      </c>
      <c r="H2297">
        <v>8127.99</v>
      </c>
      <c r="I2297">
        <v>89.45</v>
      </c>
      <c r="J2297" t="s">
        <v>120</v>
      </c>
      <c r="K2297" t="s">
        <v>10803</v>
      </c>
      <c r="L2297">
        <v>9.43</v>
      </c>
      <c r="M2297">
        <v>29.71</v>
      </c>
      <c r="N2297">
        <v>1.26</v>
      </c>
      <c r="O2297">
        <v>4.58</v>
      </c>
      <c r="P2297">
        <v>30.85</v>
      </c>
      <c r="Q2297">
        <v>0.68</v>
      </c>
      <c r="R2297">
        <v>29.7</v>
      </c>
      <c r="S2297">
        <v>30.22</v>
      </c>
      <c r="T2297">
        <v>26844</v>
      </c>
      <c r="U2297">
        <v>29.71</v>
      </c>
      <c r="V2297">
        <v>29.5</v>
      </c>
      <c r="W2297">
        <v>76.59</v>
      </c>
      <c r="X2297" t="s">
        <v>1390</v>
      </c>
      <c r="Y2297" t="s">
        <v>1510</v>
      </c>
      <c r="Z2297">
        <v>3.9</v>
      </c>
      <c r="AA2297">
        <v>30.28</v>
      </c>
      <c r="AB2297">
        <v>13814</v>
      </c>
      <c r="AC2297">
        <v>13030</v>
      </c>
      <c r="AD2297">
        <v>1.06</v>
      </c>
      <c r="AE2297">
        <v>616</v>
      </c>
      <c r="AF2297">
        <v>14</v>
      </c>
      <c r="AG2297" t="s">
        <v>120</v>
      </c>
      <c r="AH2297">
        <v>0.1</v>
      </c>
      <c r="AI2297" t="s">
        <v>120</v>
      </c>
      <c r="AJ2297">
        <v>0.28000000000000003</v>
      </c>
      <c r="AK2297" t="s">
        <v>10872</v>
      </c>
      <c r="AL2297">
        <v>2.63</v>
      </c>
      <c r="AM2297">
        <v>1625</v>
      </c>
      <c r="AN2297">
        <v>17</v>
      </c>
      <c r="AO2297">
        <v>5.7999999999999996E-3</v>
      </c>
      <c r="AP2297">
        <v>2</v>
      </c>
      <c r="AQ2297">
        <v>0.99</v>
      </c>
      <c r="AR2297">
        <v>-0.97</v>
      </c>
      <c r="AS2297">
        <v>0</v>
      </c>
      <c r="AT2297">
        <v>-12.79</v>
      </c>
      <c r="AU2297">
        <v>147.99</v>
      </c>
      <c r="AV2297">
        <v>1</v>
      </c>
      <c r="AW2297">
        <v>9.43</v>
      </c>
      <c r="AX2297">
        <v>23.71</v>
      </c>
      <c r="AY2297">
        <v>66.56</v>
      </c>
      <c r="AZ2297">
        <v>57.95</v>
      </c>
      <c r="BA2297">
        <v>0.68</v>
      </c>
      <c r="BB2297" t="s">
        <v>240</v>
      </c>
      <c r="BF2297">
        <v>2.64</v>
      </c>
      <c r="BG2297">
        <v>-1.69</v>
      </c>
      <c r="BH2297">
        <v>-3.7</v>
      </c>
      <c r="BI2297">
        <v>0.03</v>
      </c>
      <c r="BJ2297">
        <v>20210820</v>
      </c>
      <c r="BK2297">
        <v>20210409</v>
      </c>
      <c r="BL2297">
        <v>1.2</v>
      </c>
      <c r="BM2297" t="s">
        <v>120</v>
      </c>
      <c r="BN2297" t="s">
        <v>120</v>
      </c>
      <c r="BO2297">
        <v>10.5</v>
      </c>
      <c r="BP2297">
        <v>29.7</v>
      </c>
      <c r="BQ2297">
        <v>8.41</v>
      </c>
      <c r="BR2297" t="s">
        <v>120</v>
      </c>
      <c r="BS2297">
        <v>19.920000000000002</v>
      </c>
      <c r="BT2297">
        <v>8.6300000000000008</v>
      </c>
      <c r="BU2297">
        <v>1.47</v>
      </c>
      <c r="BV2297">
        <v>0.15</v>
      </c>
      <c r="BW2297">
        <v>1.98</v>
      </c>
      <c r="BX2297">
        <v>2.1</v>
      </c>
      <c r="BY2297">
        <v>2.16</v>
      </c>
      <c r="BZ2297">
        <v>2.46</v>
      </c>
      <c r="CA2297" t="s">
        <v>120</v>
      </c>
      <c r="CB2297">
        <v>4.05</v>
      </c>
      <c r="CC2297">
        <v>3.37</v>
      </c>
      <c r="CD2297">
        <v>2.73</v>
      </c>
      <c r="CE2297">
        <v>0.23</v>
      </c>
      <c r="CF2297">
        <v>0.01</v>
      </c>
      <c r="CG2297">
        <v>0.26</v>
      </c>
      <c r="CH2297">
        <v>0.23</v>
      </c>
      <c r="CI2297">
        <v>0.23</v>
      </c>
      <c r="CJ2297">
        <v>0.21</v>
      </c>
      <c r="CK2297">
        <v>0.2</v>
      </c>
      <c r="CL2297">
        <v>2.82</v>
      </c>
      <c r="CM2297">
        <v>-0.96</v>
      </c>
      <c r="CN2297">
        <v>1.42</v>
      </c>
      <c r="CO2297">
        <v>23757</v>
      </c>
      <c r="CP2297">
        <v>1198</v>
      </c>
      <c r="CQ2297" t="s">
        <v>7355</v>
      </c>
      <c r="CR2297">
        <v>-25.35</v>
      </c>
      <c r="CS2297">
        <v>17.59</v>
      </c>
      <c r="CT2297">
        <v>4.24</v>
      </c>
      <c r="CU2297">
        <v>-37.22</v>
      </c>
      <c r="CV2297">
        <v>10.59</v>
      </c>
      <c r="CW2297">
        <v>0.51</v>
      </c>
      <c r="CX2297" t="s">
        <v>694</v>
      </c>
      <c r="CY2297">
        <v>7.01</v>
      </c>
      <c r="CZ2297">
        <v>0</v>
      </c>
      <c r="DA2297">
        <v>3.37</v>
      </c>
      <c r="DB2297">
        <v>2.35</v>
      </c>
      <c r="DC2297">
        <v>-0.8</v>
      </c>
      <c r="DD2297">
        <v>80.08</v>
      </c>
      <c r="DE2297" t="s">
        <v>1500</v>
      </c>
      <c r="DF2297">
        <v>18.97</v>
      </c>
      <c r="DG2297">
        <v>6.9</v>
      </c>
      <c r="DH2297">
        <v>6.92</v>
      </c>
      <c r="DI2297">
        <v>0.16</v>
      </c>
      <c r="DJ2297">
        <v>647</v>
      </c>
      <c r="DK2297">
        <v>300963</v>
      </c>
      <c r="DL2297" t="s">
        <v>120</v>
      </c>
      <c r="DM2297" t="s">
        <v>120</v>
      </c>
      <c r="DN2297" t="s">
        <v>120</v>
      </c>
    </row>
    <row r="2298" spans="1:118">
      <c r="A2298" t="str">
        <f>"300964"</f>
        <v>300964</v>
      </c>
      <c r="B2298" t="s">
        <v>10873</v>
      </c>
      <c r="C2298">
        <v>-3.32</v>
      </c>
      <c r="D2298">
        <v>-0.01</v>
      </c>
      <c r="E2298">
        <v>0.38</v>
      </c>
      <c r="F2298">
        <v>316</v>
      </c>
      <c r="G2298" t="s">
        <v>10874</v>
      </c>
      <c r="H2298">
        <v>6293.34</v>
      </c>
      <c r="I2298">
        <v>15.31</v>
      </c>
      <c r="J2298" t="s">
        <v>120</v>
      </c>
      <c r="K2298" t="s">
        <v>10874</v>
      </c>
      <c r="L2298">
        <v>6.97</v>
      </c>
      <c r="M2298">
        <v>46.08</v>
      </c>
      <c r="N2298">
        <v>1.22</v>
      </c>
      <c r="O2298">
        <v>1.76</v>
      </c>
      <c r="P2298">
        <v>48.5</v>
      </c>
      <c r="Q2298">
        <v>-3.32</v>
      </c>
      <c r="R2298">
        <v>46.08</v>
      </c>
      <c r="S2298">
        <v>47.84</v>
      </c>
      <c r="T2298">
        <v>13464</v>
      </c>
      <c r="U2298">
        <v>46.09</v>
      </c>
      <c r="V2298">
        <v>47.66</v>
      </c>
      <c r="W2298">
        <v>41.52</v>
      </c>
      <c r="X2298" t="s">
        <v>229</v>
      </c>
      <c r="Y2298" t="s">
        <v>319</v>
      </c>
      <c r="Z2298">
        <v>5.08</v>
      </c>
      <c r="AA2298">
        <v>46.74</v>
      </c>
      <c r="AB2298">
        <v>8563</v>
      </c>
      <c r="AC2298">
        <v>4901</v>
      </c>
      <c r="AD2298">
        <v>1.75</v>
      </c>
      <c r="AE2298">
        <v>8</v>
      </c>
      <c r="AF2298">
        <v>15</v>
      </c>
      <c r="AG2298" t="s">
        <v>120</v>
      </c>
      <c r="AH2298">
        <v>0.02</v>
      </c>
      <c r="AI2298" t="s">
        <v>120</v>
      </c>
      <c r="AJ2298">
        <v>0.19</v>
      </c>
      <c r="AK2298" t="s">
        <v>9289</v>
      </c>
      <c r="AL2298">
        <v>-1.4</v>
      </c>
      <c r="AM2298">
        <v>1587</v>
      </c>
      <c r="AN2298">
        <v>8</v>
      </c>
      <c r="AO2298">
        <v>4.4000000000000003E-3</v>
      </c>
      <c r="AP2298">
        <v>-1</v>
      </c>
      <c r="AQ2298">
        <v>0.74</v>
      </c>
      <c r="AR2298">
        <v>-3.38</v>
      </c>
      <c r="AS2298">
        <v>-9.24</v>
      </c>
      <c r="AT2298">
        <v>43.46</v>
      </c>
      <c r="AU2298">
        <v>43.46</v>
      </c>
      <c r="AV2298">
        <v>0</v>
      </c>
      <c r="AW2298">
        <v>6.97</v>
      </c>
      <c r="AX2298">
        <v>25</v>
      </c>
      <c r="AY2298">
        <v>48.03</v>
      </c>
      <c r="AZ2298">
        <v>44.6</v>
      </c>
      <c r="BA2298">
        <v>0</v>
      </c>
      <c r="BB2298" t="s">
        <v>143</v>
      </c>
      <c r="BF2298">
        <v>-1.93</v>
      </c>
      <c r="BG2298">
        <v>-3.68</v>
      </c>
      <c r="BH2298">
        <v>-4.99</v>
      </c>
      <c r="BI2298">
        <v>0</v>
      </c>
      <c r="BJ2298">
        <v>20210827</v>
      </c>
      <c r="BK2298">
        <v>20210805</v>
      </c>
      <c r="BL2298">
        <v>0.77</v>
      </c>
      <c r="BM2298" t="s">
        <v>120</v>
      </c>
      <c r="BN2298" t="s">
        <v>120</v>
      </c>
      <c r="BO2298">
        <v>6.45</v>
      </c>
      <c r="BP2298">
        <v>46.08</v>
      </c>
      <c r="BQ2298">
        <v>4.2</v>
      </c>
      <c r="BR2298" t="s">
        <v>120</v>
      </c>
      <c r="BS2298">
        <v>34.86</v>
      </c>
      <c r="BT2298">
        <v>5.0999999999999996</v>
      </c>
      <c r="BU2298">
        <v>0.88</v>
      </c>
      <c r="BV2298">
        <v>0.02</v>
      </c>
      <c r="BW2298">
        <v>2</v>
      </c>
      <c r="BX2298">
        <v>0.83</v>
      </c>
      <c r="BY2298">
        <v>1.19</v>
      </c>
      <c r="BZ2298">
        <v>1.46</v>
      </c>
      <c r="CA2298" t="s">
        <v>120</v>
      </c>
      <c r="CB2298">
        <v>0.79</v>
      </c>
      <c r="CC2298">
        <v>2.5499999999999998</v>
      </c>
      <c r="CD2298">
        <v>1.8</v>
      </c>
      <c r="CE2298">
        <v>0.49</v>
      </c>
      <c r="CF2298">
        <v>0</v>
      </c>
      <c r="CG2298">
        <v>0.49</v>
      </c>
      <c r="CH2298">
        <v>0.43</v>
      </c>
      <c r="CI2298">
        <v>0.43</v>
      </c>
      <c r="CJ2298">
        <v>-1.58</v>
      </c>
      <c r="CK2298">
        <v>0.39</v>
      </c>
      <c r="CL2298">
        <v>2.7</v>
      </c>
      <c r="CM2298">
        <v>-0.35</v>
      </c>
      <c r="CN2298">
        <v>-0.52</v>
      </c>
      <c r="CO2298">
        <v>38685</v>
      </c>
      <c r="CP2298">
        <v>500</v>
      </c>
      <c r="CQ2298" t="s">
        <v>10875</v>
      </c>
      <c r="CR2298">
        <v>0</v>
      </c>
      <c r="CS2298">
        <v>0</v>
      </c>
      <c r="CT2298">
        <v>3.63</v>
      </c>
      <c r="CU2298">
        <v>-101.33</v>
      </c>
      <c r="CV2298">
        <v>13.96</v>
      </c>
      <c r="CW2298">
        <v>0</v>
      </c>
      <c r="CX2298" t="s">
        <v>10740</v>
      </c>
      <c r="CY2298">
        <v>12.69</v>
      </c>
      <c r="CZ2298">
        <v>12.69</v>
      </c>
      <c r="DA2298">
        <v>1.02</v>
      </c>
      <c r="DB2298">
        <v>3.49</v>
      </c>
      <c r="DC2298">
        <v>-0.45</v>
      </c>
      <c r="DD2298">
        <v>65.14</v>
      </c>
      <c r="DE2298" t="s">
        <v>9837</v>
      </c>
      <c r="DF2298">
        <v>29.54</v>
      </c>
      <c r="DG2298">
        <v>19.23</v>
      </c>
      <c r="DH2298">
        <v>16.809999999999999</v>
      </c>
      <c r="DI2298">
        <v>0.11</v>
      </c>
      <c r="DJ2298">
        <v>670</v>
      </c>
      <c r="DK2298">
        <v>300964</v>
      </c>
      <c r="DL2298" t="s">
        <v>120</v>
      </c>
      <c r="DM2298" t="s">
        <v>120</v>
      </c>
      <c r="DN2298" t="s">
        <v>120</v>
      </c>
    </row>
    <row r="2299" spans="1:118">
      <c r="A2299" t="str">
        <f>"300965"</f>
        <v>300965</v>
      </c>
      <c r="B2299" t="s">
        <v>10876</v>
      </c>
      <c r="C2299">
        <v>0.11</v>
      </c>
      <c r="D2299">
        <v>-0.06</v>
      </c>
      <c r="E2299">
        <v>-0.04</v>
      </c>
      <c r="F2299">
        <v>131</v>
      </c>
      <c r="G2299" t="s">
        <v>10534</v>
      </c>
      <c r="H2299">
        <v>3976.56</v>
      </c>
      <c r="I2299">
        <v>2.17</v>
      </c>
      <c r="J2299" t="s">
        <v>120</v>
      </c>
      <c r="K2299" t="s">
        <v>10534</v>
      </c>
      <c r="L2299">
        <v>3.65</v>
      </c>
      <c r="M2299">
        <v>72.510000000000005</v>
      </c>
      <c r="N2299">
        <v>0.88</v>
      </c>
      <c r="O2299">
        <v>1.3</v>
      </c>
      <c r="P2299">
        <v>73.37</v>
      </c>
      <c r="Q2299">
        <v>-0.56999999999999995</v>
      </c>
      <c r="R2299">
        <v>72.02</v>
      </c>
      <c r="S2299">
        <v>72.400000000000006</v>
      </c>
      <c r="T2299">
        <v>5475</v>
      </c>
      <c r="U2299">
        <v>72.52</v>
      </c>
      <c r="V2299">
        <v>72.430000000000007</v>
      </c>
      <c r="W2299">
        <v>50.2</v>
      </c>
      <c r="X2299" t="s">
        <v>229</v>
      </c>
      <c r="Y2299" t="s">
        <v>158</v>
      </c>
      <c r="Z2299">
        <v>1.86</v>
      </c>
      <c r="AA2299">
        <v>72.63</v>
      </c>
      <c r="AB2299">
        <v>2627</v>
      </c>
      <c r="AC2299">
        <v>2848</v>
      </c>
      <c r="AD2299">
        <v>0.92</v>
      </c>
      <c r="AE2299">
        <v>1</v>
      </c>
      <c r="AF2299">
        <v>1</v>
      </c>
      <c r="AG2299" t="s">
        <v>120</v>
      </c>
      <c r="AH2299">
        <v>0</v>
      </c>
      <c r="AI2299" t="s">
        <v>120</v>
      </c>
      <c r="AJ2299">
        <v>0.15</v>
      </c>
      <c r="AK2299" t="s">
        <v>10877</v>
      </c>
      <c r="AL2299">
        <v>2.02</v>
      </c>
      <c r="AM2299">
        <v>931</v>
      </c>
      <c r="AN2299">
        <v>6</v>
      </c>
      <c r="AO2299">
        <v>3.8999999999999998E-3</v>
      </c>
      <c r="AP2299">
        <v>1</v>
      </c>
      <c r="AQ2299">
        <v>-0.69</v>
      </c>
      <c r="AR2299">
        <v>-0.66</v>
      </c>
      <c r="AS2299">
        <v>-15.69</v>
      </c>
      <c r="AT2299">
        <v>-15.62</v>
      </c>
      <c r="AU2299">
        <v>18.059999999999999</v>
      </c>
      <c r="AV2299">
        <v>1</v>
      </c>
      <c r="AW2299">
        <v>3.65</v>
      </c>
      <c r="AX2299">
        <v>25</v>
      </c>
      <c r="AY2299">
        <v>50.16</v>
      </c>
      <c r="AZ2299">
        <v>44.51</v>
      </c>
      <c r="BA2299">
        <v>0.1</v>
      </c>
      <c r="BB2299" t="s">
        <v>134</v>
      </c>
      <c r="BF2299">
        <v>0.28000000000000003</v>
      </c>
      <c r="BG2299">
        <v>0.15</v>
      </c>
      <c r="BH2299">
        <v>-1.17</v>
      </c>
      <c r="BI2299">
        <v>0.68</v>
      </c>
      <c r="BJ2299">
        <v>20210915</v>
      </c>
      <c r="BK2299">
        <v>20210402</v>
      </c>
      <c r="BL2299">
        <v>0.6</v>
      </c>
      <c r="BM2299" t="s">
        <v>120</v>
      </c>
      <c r="BN2299" t="s">
        <v>120</v>
      </c>
      <c r="BO2299">
        <v>14.89</v>
      </c>
      <c r="BP2299">
        <v>72.510000000000005</v>
      </c>
      <c r="BQ2299">
        <v>13.26</v>
      </c>
      <c r="BR2299" t="s">
        <v>120</v>
      </c>
      <c r="BS2299">
        <v>10.92</v>
      </c>
      <c r="BT2299">
        <v>13.63</v>
      </c>
      <c r="BU2299">
        <v>1.03</v>
      </c>
      <c r="BV2299">
        <v>0.01</v>
      </c>
      <c r="BW2299">
        <v>1.59</v>
      </c>
      <c r="BX2299">
        <v>9.35</v>
      </c>
      <c r="BY2299">
        <v>0.6</v>
      </c>
      <c r="BZ2299">
        <v>3.07</v>
      </c>
      <c r="CA2299" t="s">
        <v>120</v>
      </c>
      <c r="CB2299">
        <v>10.119999999999999</v>
      </c>
      <c r="CC2299">
        <v>0.89</v>
      </c>
      <c r="CD2299">
        <v>0.31</v>
      </c>
      <c r="CE2299">
        <v>0.44</v>
      </c>
      <c r="CF2299">
        <v>0</v>
      </c>
      <c r="CG2299">
        <v>0.51</v>
      </c>
      <c r="CH2299">
        <v>0.43</v>
      </c>
      <c r="CI2299">
        <v>0.43</v>
      </c>
      <c r="CJ2299">
        <v>0.08</v>
      </c>
      <c r="CK2299">
        <v>0.34</v>
      </c>
      <c r="CL2299">
        <v>2.21</v>
      </c>
      <c r="CM2299">
        <v>1.04</v>
      </c>
      <c r="CN2299">
        <v>8.83</v>
      </c>
      <c r="CO2299">
        <v>14526</v>
      </c>
      <c r="CP2299">
        <v>1033</v>
      </c>
      <c r="CQ2299" t="s">
        <v>410</v>
      </c>
      <c r="CR2299">
        <v>-20.23</v>
      </c>
      <c r="CS2299">
        <v>-16.29</v>
      </c>
      <c r="CT2299">
        <v>3.28</v>
      </c>
      <c r="CU2299">
        <v>42.01</v>
      </c>
      <c r="CV2299">
        <v>49.14</v>
      </c>
      <c r="CW2299">
        <v>0.41</v>
      </c>
      <c r="CX2299" t="s">
        <v>655</v>
      </c>
      <c r="CY2299">
        <v>22.1</v>
      </c>
      <c r="CZ2299">
        <v>0</v>
      </c>
      <c r="DA2299">
        <v>16.86</v>
      </c>
      <c r="DB2299">
        <v>3.69</v>
      </c>
      <c r="DC2299">
        <v>1.73</v>
      </c>
      <c r="DD2299">
        <v>89.08</v>
      </c>
      <c r="DE2299" t="s">
        <v>10878</v>
      </c>
      <c r="DF2299">
        <v>64.739999999999995</v>
      </c>
      <c r="DG2299">
        <v>49.62</v>
      </c>
      <c r="DH2299">
        <v>48.94</v>
      </c>
      <c r="DI2299">
        <v>0.05</v>
      </c>
      <c r="DJ2299">
        <v>111</v>
      </c>
      <c r="DK2299">
        <v>300965</v>
      </c>
      <c r="DL2299" t="s">
        <v>120</v>
      </c>
      <c r="DM2299" t="s">
        <v>120</v>
      </c>
      <c r="DN2299" t="s">
        <v>120</v>
      </c>
    </row>
    <row r="2300" spans="1:118">
      <c r="A2300" t="str">
        <f>"300966"</f>
        <v>300966</v>
      </c>
      <c r="B2300" t="s">
        <v>10879</v>
      </c>
      <c r="C2300">
        <v>3</v>
      </c>
      <c r="D2300">
        <v>-0.15</v>
      </c>
      <c r="E2300">
        <v>-0.02</v>
      </c>
      <c r="F2300">
        <v>304</v>
      </c>
      <c r="G2300" t="s">
        <v>10880</v>
      </c>
      <c r="H2300">
        <v>16160.75</v>
      </c>
      <c r="I2300">
        <v>71.89</v>
      </c>
      <c r="J2300" t="s">
        <v>120</v>
      </c>
      <c r="K2300" t="s">
        <v>10880</v>
      </c>
      <c r="L2300">
        <v>13.12</v>
      </c>
      <c r="M2300">
        <v>44.35</v>
      </c>
      <c r="N2300">
        <v>2.12</v>
      </c>
      <c r="O2300">
        <v>7.9</v>
      </c>
      <c r="P2300">
        <v>46.46</v>
      </c>
      <c r="Q2300">
        <v>-1.6</v>
      </c>
      <c r="R2300">
        <v>42.37</v>
      </c>
      <c r="S2300">
        <v>43.05</v>
      </c>
      <c r="T2300">
        <v>36074</v>
      </c>
      <c r="U2300">
        <v>44.36</v>
      </c>
      <c r="V2300">
        <v>43.06</v>
      </c>
      <c r="W2300">
        <v>62.28</v>
      </c>
      <c r="X2300" t="s">
        <v>569</v>
      </c>
      <c r="Y2300" t="s">
        <v>763</v>
      </c>
      <c r="Z2300">
        <v>9.5</v>
      </c>
      <c r="AA2300">
        <v>44.8</v>
      </c>
      <c r="AB2300">
        <v>14899</v>
      </c>
      <c r="AC2300">
        <v>21175</v>
      </c>
      <c r="AD2300">
        <v>0.7</v>
      </c>
      <c r="AE2300">
        <v>56</v>
      </c>
      <c r="AF2300">
        <v>21</v>
      </c>
      <c r="AG2300" t="s">
        <v>120</v>
      </c>
      <c r="AH2300">
        <v>0.06</v>
      </c>
      <c r="AI2300" t="s">
        <v>120</v>
      </c>
      <c r="AJ2300">
        <v>0.28000000000000003</v>
      </c>
      <c r="AK2300" t="s">
        <v>1985</v>
      </c>
      <c r="AL2300">
        <v>4.91</v>
      </c>
      <c r="AM2300">
        <v>2147</v>
      </c>
      <c r="AN2300">
        <v>17</v>
      </c>
      <c r="AO2300">
        <v>6.1000000000000004E-3</v>
      </c>
      <c r="AP2300">
        <v>1</v>
      </c>
      <c r="AQ2300">
        <v>-7.0000000000000007E-2</v>
      </c>
      <c r="AR2300">
        <v>0.66</v>
      </c>
      <c r="AS2300">
        <v>-5.84</v>
      </c>
      <c r="AT2300">
        <v>-11.65</v>
      </c>
      <c r="AU2300">
        <v>438.23</v>
      </c>
      <c r="AV2300">
        <v>6</v>
      </c>
      <c r="AW2300">
        <v>13.12</v>
      </c>
      <c r="AX2300">
        <v>23.86</v>
      </c>
      <c r="AY2300">
        <v>65.62</v>
      </c>
      <c r="AZ2300">
        <v>93.15</v>
      </c>
      <c r="BA2300">
        <v>0.01</v>
      </c>
      <c r="BB2300" t="s">
        <v>143</v>
      </c>
      <c r="BF2300">
        <v>4.04</v>
      </c>
      <c r="BG2300">
        <v>3.02</v>
      </c>
      <c r="BH2300">
        <v>-4.54</v>
      </c>
      <c r="BI2300">
        <v>4.67</v>
      </c>
      <c r="BJ2300">
        <v>20210826</v>
      </c>
      <c r="BK2300">
        <v>20210409</v>
      </c>
      <c r="BL2300">
        <v>1.1499999999999999</v>
      </c>
      <c r="BM2300" t="s">
        <v>120</v>
      </c>
      <c r="BN2300" t="s">
        <v>120</v>
      </c>
      <c r="BO2300">
        <v>10.45</v>
      </c>
      <c r="BP2300">
        <v>44.35</v>
      </c>
      <c r="BQ2300">
        <v>7.7</v>
      </c>
      <c r="BR2300">
        <v>0.05</v>
      </c>
      <c r="BS2300">
        <v>25.84</v>
      </c>
      <c r="BT2300">
        <v>7.76</v>
      </c>
      <c r="BU2300">
        <v>1.86</v>
      </c>
      <c r="BV2300">
        <v>0.28000000000000003</v>
      </c>
      <c r="BW2300">
        <v>2.6</v>
      </c>
      <c r="BX2300">
        <v>1.73</v>
      </c>
      <c r="BY2300">
        <v>2.48</v>
      </c>
      <c r="BZ2300">
        <v>2.27</v>
      </c>
      <c r="CA2300" t="s">
        <v>120</v>
      </c>
      <c r="CB2300">
        <v>4.09</v>
      </c>
      <c r="CC2300">
        <v>3.03</v>
      </c>
      <c r="CD2300">
        <v>2.2200000000000002</v>
      </c>
      <c r="CE2300">
        <v>0.41</v>
      </c>
      <c r="CF2300">
        <v>-0.01</v>
      </c>
      <c r="CG2300">
        <v>0.48</v>
      </c>
      <c r="CH2300">
        <v>0.41</v>
      </c>
      <c r="CI2300">
        <v>0.41</v>
      </c>
      <c r="CJ2300">
        <v>1.29</v>
      </c>
      <c r="CK2300">
        <v>0.35</v>
      </c>
      <c r="CL2300">
        <v>2.38</v>
      </c>
      <c r="CM2300">
        <v>0.06</v>
      </c>
      <c r="CN2300">
        <v>1.5</v>
      </c>
      <c r="CO2300">
        <v>25574</v>
      </c>
      <c r="CP2300">
        <v>1075</v>
      </c>
      <c r="CQ2300" t="s">
        <v>4952</v>
      </c>
      <c r="CR2300">
        <v>119.7</v>
      </c>
      <c r="CS2300">
        <v>49.79</v>
      </c>
      <c r="CT2300">
        <v>6.64</v>
      </c>
      <c r="CU2300">
        <v>862.21</v>
      </c>
      <c r="CV2300">
        <v>16.89</v>
      </c>
      <c r="CW2300">
        <v>0</v>
      </c>
      <c r="CX2300" t="s">
        <v>1462</v>
      </c>
      <c r="CY2300">
        <v>6.68</v>
      </c>
      <c r="CZ2300">
        <v>0</v>
      </c>
      <c r="DA2300">
        <v>3.55</v>
      </c>
      <c r="DB2300">
        <v>2.0699999999999998</v>
      </c>
      <c r="DC2300">
        <v>0.05</v>
      </c>
      <c r="DD2300">
        <v>73.67</v>
      </c>
      <c r="DE2300" t="s">
        <v>2753</v>
      </c>
      <c r="DF2300">
        <v>26.74</v>
      </c>
      <c r="DG2300">
        <v>13.49</v>
      </c>
      <c r="DH2300">
        <v>13.56</v>
      </c>
      <c r="DI2300">
        <v>0.13</v>
      </c>
      <c r="DJ2300">
        <v>439</v>
      </c>
      <c r="DK2300">
        <v>300966</v>
      </c>
      <c r="DL2300" t="s">
        <v>120</v>
      </c>
      <c r="DM2300" t="s">
        <v>120</v>
      </c>
      <c r="DN2300" t="s">
        <v>120</v>
      </c>
    </row>
    <row r="2301" spans="1:118">
      <c r="A2301" t="str">
        <f>"300967"</f>
        <v>300967</v>
      </c>
      <c r="B2301" t="s">
        <v>10881</v>
      </c>
      <c r="C2301">
        <v>19.989999999999998</v>
      </c>
      <c r="D2301">
        <v>0</v>
      </c>
      <c r="E2301">
        <v>0.24</v>
      </c>
      <c r="F2301">
        <v>442</v>
      </c>
      <c r="G2301" t="s">
        <v>10882</v>
      </c>
      <c r="H2301">
        <v>45106.02</v>
      </c>
      <c r="I2301">
        <v>43.43</v>
      </c>
      <c r="J2301">
        <v>3717.87</v>
      </c>
      <c r="K2301" t="s">
        <v>10882</v>
      </c>
      <c r="L2301">
        <v>52.29</v>
      </c>
      <c r="M2301">
        <v>20.23</v>
      </c>
      <c r="N2301">
        <v>3.65</v>
      </c>
      <c r="O2301">
        <v>19.989999999999998</v>
      </c>
      <c r="P2301">
        <v>20.23</v>
      </c>
      <c r="Q2301">
        <v>-0.36</v>
      </c>
      <c r="R2301">
        <v>16.8</v>
      </c>
      <c r="S2301">
        <v>16.899999999999999</v>
      </c>
      <c r="T2301">
        <v>233089</v>
      </c>
      <c r="U2301" t="s">
        <v>120</v>
      </c>
      <c r="V2301">
        <v>16.86</v>
      </c>
      <c r="W2301">
        <v>36.51</v>
      </c>
      <c r="X2301" t="s">
        <v>447</v>
      </c>
      <c r="Y2301" t="s">
        <v>1110</v>
      </c>
      <c r="Z2301">
        <v>20.34</v>
      </c>
      <c r="AA2301">
        <v>19.350000000000001</v>
      </c>
      <c r="AB2301">
        <v>133804</v>
      </c>
      <c r="AC2301">
        <v>99285</v>
      </c>
      <c r="AD2301">
        <v>1.35</v>
      </c>
      <c r="AE2301">
        <v>18378</v>
      </c>
      <c r="AF2301">
        <v>0</v>
      </c>
      <c r="AG2301" t="s">
        <v>120</v>
      </c>
      <c r="AH2301">
        <v>0.06</v>
      </c>
      <c r="AI2301">
        <v>0.08</v>
      </c>
      <c r="AJ2301">
        <v>0.45</v>
      </c>
      <c r="AK2301" t="s">
        <v>10883</v>
      </c>
      <c r="AL2301">
        <v>21.9</v>
      </c>
      <c r="AM2301">
        <v>3060</v>
      </c>
      <c r="AN2301">
        <v>76</v>
      </c>
      <c r="AO2301">
        <v>1.7100000000000001E-2</v>
      </c>
      <c r="AP2301">
        <v>2</v>
      </c>
      <c r="AQ2301">
        <v>0.36</v>
      </c>
      <c r="AR2301">
        <v>16.940000000000001</v>
      </c>
      <c r="AS2301">
        <v>25.65</v>
      </c>
      <c r="AT2301">
        <v>22.02</v>
      </c>
      <c r="AU2301">
        <v>355.63</v>
      </c>
      <c r="AV2301">
        <v>0</v>
      </c>
      <c r="AW2301">
        <v>52.29</v>
      </c>
      <c r="AX2301">
        <v>23.77</v>
      </c>
      <c r="AY2301">
        <v>45.18</v>
      </c>
      <c r="AZ2301">
        <v>62.91</v>
      </c>
      <c r="BA2301">
        <v>0.39</v>
      </c>
      <c r="BB2301" t="s">
        <v>240</v>
      </c>
      <c r="BF2301">
        <v>14.78</v>
      </c>
      <c r="BG2301">
        <v>19.7</v>
      </c>
      <c r="BH2301">
        <v>0</v>
      </c>
      <c r="BI2301">
        <v>20.420000000000002</v>
      </c>
      <c r="BJ2301">
        <v>20210818</v>
      </c>
      <c r="BK2301">
        <v>20210413</v>
      </c>
      <c r="BL2301">
        <v>1.88</v>
      </c>
      <c r="BM2301" t="s">
        <v>120</v>
      </c>
      <c r="BN2301" t="s">
        <v>120</v>
      </c>
      <c r="BO2301">
        <v>10.75</v>
      </c>
      <c r="BP2301">
        <v>20.23</v>
      </c>
      <c r="BQ2301">
        <v>7.95</v>
      </c>
      <c r="BR2301" t="s">
        <v>120</v>
      </c>
      <c r="BS2301">
        <v>25.98</v>
      </c>
      <c r="BT2301">
        <v>3.01</v>
      </c>
      <c r="BU2301">
        <v>5.88</v>
      </c>
      <c r="BV2301">
        <v>0.27</v>
      </c>
      <c r="BW2301">
        <v>1.4</v>
      </c>
      <c r="BX2301">
        <v>2.0099999999999998</v>
      </c>
      <c r="BY2301">
        <v>0.78</v>
      </c>
      <c r="BZ2301">
        <v>0.14000000000000001</v>
      </c>
      <c r="CA2301" t="s">
        <v>120</v>
      </c>
      <c r="CB2301">
        <v>2.75</v>
      </c>
      <c r="CC2301">
        <v>3.54</v>
      </c>
      <c r="CD2301">
        <v>2.46</v>
      </c>
      <c r="CE2301">
        <v>0.46</v>
      </c>
      <c r="CF2301">
        <v>0</v>
      </c>
      <c r="CG2301">
        <v>0.52</v>
      </c>
      <c r="CH2301">
        <v>0.52</v>
      </c>
      <c r="CI2301">
        <v>0.52</v>
      </c>
      <c r="CJ2301">
        <v>3.37</v>
      </c>
      <c r="CK2301">
        <v>0.43</v>
      </c>
      <c r="CL2301">
        <v>3</v>
      </c>
      <c r="CM2301">
        <v>0.91</v>
      </c>
      <c r="CN2301">
        <v>1.57</v>
      </c>
      <c r="CO2301">
        <v>26684</v>
      </c>
      <c r="CP2301">
        <v>1671</v>
      </c>
      <c r="CQ2301" t="s">
        <v>715</v>
      </c>
      <c r="CR2301">
        <v>61.23</v>
      </c>
      <c r="CS2301">
        <v>26.12</v>
      </c>
      <c r="CT2301">
        <v>4.7699999999999996</v>
      </c>
      <c r="CU2301">
        <v>41.68</v>
      </c>
      <c r="CV2301">
        <v>10.71</v>
      </c>
      <c r="CW2301">
        <v>0.59</v>
      </c>
      <c r="CX2301" t="s">
        <v>2443</v>
      </c>
      <c r="CY2301">
        <v>4.24</v>
      </c>
      <c r="CZ2301">
        <v>0</v>
      </c>
      <c r="DA2301">
        <v>1.46</v>
      </c>
      <c r="DB2301">
        <v>1.6</v>
      </c>
      <c r="DC2301">
        <v>0.49</v>
      </c>
      <c r="DD2301">
        <v>74.02</v>
      </c>
      <c r="DE2301" t="s">
        <v>4574</v>
      </c>
      <c r="DF2301">
        <v>30.57</v>
      </c>
      <c r="DG2301">
        <v>12.97</v>
      </c>
      <c r="DH2301">
        <v>14.66</v>
      </c>
      <c r="DI2301">
        <v>0.1</v>
      </c>
      <c r="DJ2301">
        <v>1558</v>
      </c>
      <c r="DK2301">
        <v>300967</v>
      </c>
      <c r="DL2301">
        <v>20210916</v>
      </c>
      <c r="DM2301">
        <v>20.23</v>
      </c>
      <c r="DN2301">
        <v>0</v>
      </c>
    </row>
    <row r="2302" spans="1:118">
      <c r="A2302" t="str">
        <f>"300968"</f>
        <v>300968</v>
      </c>
      <c r="B2302" t="s">
        <v>10884</v>
      </c>
      <c r="C2302">
        <v>0.14000000000000001</v>
      </c>
      <c r="D2302">
        <v>-0.06</v>
      </c>
      <c r="E2302">
        <v>-0.14000000000000001</v>
      </c>
      <c r="F2302">
        <v>390</v>
      </c>
      <c r="G2302" t="s">
        <v>3706</v>
      </c>
      <c r="H2302">
        <v>3422.94</v>
      </c>
      <c r="I2302">
        <v>4.3899999999999997</v>
      </c>
      <c r="J2302" t="s">
        <v>120</v>
      </c>
      <c r="K2302" t="s">
        <v>3706</v>
      </c>
      <c r="L2302">
        <v>2.76</v>
      </c>
      <c r="M2302">
        <v>14.19</v>
      </c>
      <c r="N2302">
        <v>1</v>
      </c>
      <c r="O2302">
        <v>1.06</v>
      </c>
      <c r="P2302">
        <v>14.32</v>
      </c>
      <c r="Q2302">
        <v>-0.49</v>
      </c>
      <c r="R2302">
        <v>14.1</v>
      </c>
      <c r="S2302">
        <v>14.15</v>
      </c>
      <c r="T2302">
        <v>24080</v>
      </c>
      <c r="U2302">
        <v>14.19</v>
      </c>
      <c r="V2302">
        <v>14.17</v>
      </c>
      <c r="W2302">
        <v>69.459999999999994</v>
      </c>
      <c r="X2302" t="s">
        <v>229</v>
      </c>
      <c r="Y2302" t="s">
        <v>547</v>
      </c>
      <c r="Z2302">
        <v>1.55</v>
      </c>
      <c r="AA2302">
        <v>14.21</v>
      </c>
      <c r="AB2302">
        <v>11575</v>
      </c>
      <c r="AC2302">
        <v>12505</v>
      </c>
      <c r="AD2302">
        <v>0.93</v>
      </c>
      <c r="AE2302">
        <v>299</v>
      </c>
      <c r="AF2302">
        <v>70</v>
      </c>
      <c r="AG2302" t="s">
        <v>120</v>
      </c>
      <c r="AH2302">
        <v>0</v>
      </c>
      <c r="AI2302" t="s">
        <v>120</v>
      </c>
      <c r="AJ2302">
        <v>0.87</v>
      </c>
      <c r="AK2302" t="s">
        <v>10885</v>
      </c>
      <c r="AL2302">
        <v>2.0499999999999998</v>
      </c>
      <c r="AM2302">
        <v>1230</v>
      </c>
      <c r="AN2302">
        <v>20</v>
      </c>
      <c r="AO2302">
        <v>2.2000000000000001E-3</v>
      </c>
      <c r="AP2302">
        <v>2</v>
      </c>
      <c r="AQ2302">
        <v>0.43</v>
      </c>
      <c r="AR2302">
        <v>0.43</v>
      </c>
      <c r="AS2302">
        <v>-2.2000000000000002</v>
      </c>
      <c r="AT2302">
        <v>-10.19</v>
      </c>
      <c r="AU2302">
        <v>106.55</v>
      </c>
      <c r="AV2302">
        <v>0</v>
      </c>
      <c r="AW2302">
        <v>2.76</v>
      </c>
      <c r="AX2302">
        <v>21.13</v>
      </c>
      <c r="AY2302">
        <v>35.44</v>
      </c>
      <c r="AZ2302">
        <v>33.869999999999997</v>
      </c>
      <c r="BA2302">
        <v>0.97</v>
      </c>
      <c r="BB2302" t="s">
        <v>143</v>
      </c>
      <c r="BF2302">
        <v>0.32</v>
      </c>
      <c r="BG2302">
        <v>0.28000000000000003</v>
      </c>
      <c r="BH2302">
        <v>-0.91</v>
      </c>
      <c r="BI2302">
        <v>0.64</v>
      </c>
      <c r="BJ2302">
        <v>20210826</v>
      </c>
      <c r="BK2302">
        <v>20210415</v>
      </c>
      <c r="BL2302">
        <v>4.13</v>
      </c>
      <c r="BM2302" t="s">
        <v>120</v>
      </c>
      <c r="BN2302" t="s">
        <v>120</v>
      </c>
      <c r="BO2302">
        <v>22.37</v>
      </c>
      <c r="BP2302">
        <v>14.18</v>
      </c>
      <c r="BQ2302">
        <v>18.45</v>
      </c>
      <c r="BR2302" t="s">
        <v>120</v>
      </c>
      <c r="BS2302">
        <v>17.52</v>
      </c>
      <c r="BT2302">
        <v>17.27</v>
      </c>
      <c r="BU2302">
        <v>4.41</v>
      </c>
      <c r="BV2302">
        <v>0.19</v>
      </c>
      <c r="BW2302">
        <v>3.85</v>
      </c>
      <c r="BX2302">
        <v>10.8</v>
      </c>
      <c r="BY2302">
        <v>3.06</v>
      </c>
      <c r="BZ2302">
        <v>2.81</v>
      </c>
      <c r="CA2302" t="s">
        <v>120</v>
      </c>
      <c r="CB2302">
        <v>8.74</v>
      </c>
      <c r="CC2302">
        <v>5.97</v>
      </c>
      <c r="CD2302">
        <v>4.57</v>
      </c>
      <c r="CE2302">
        <v>0.46</v>
      </c>
      <c r="CF2302">
        <v>0</v>
      </c>
      <c r="CG2302">
        <v>0.45</v>
      </c>
      <c r="CH2302">
        <v>0.42</v>
      </c>
      <c r="CI2302">
        <v>0.42</v>
      </c>
      <c r="CJ2302">
        <v>0.02</v>
      </c>
      <c r="CK2302">
        <v>0.42</v>
      </c>
      <c r="CL2302">
        <v>4.82</v>
      </c>
      <c r="CM2302">
        <v>1.28</v>
      </c>
      <c r="CN2302">
        <v>7.2</v>
      </c>
      <c r="CO2302">
        <v>45040</v>
      </c>
      <c r="CP2302">
        <v>1940</v>
      </c>
      <c r="CQ2302" t="s">
        <v>10886</v>
      </c>
      <c r="CR2302">
        <v>-15.37</v>
      </c>
      <c r="CS2302">
        <v>9.2100000000000009</v>
      </c>
      <c r="CT2302">
        <v>3.18</v>
      </c>
      <c r="CU2302">
        <v>45.84</v>
      </c>
      <c r="CV2302">
        <v>9.83</v>
      </c>
      <c r="CW2302">
        <v>0</v>
      </c>
      <c r="CX2302" t="s">
        <v>850</v>
      </c>
      <c r="CY2302">
        <v>4.46</v>
      </c>
      <c r="CZ2302">
        <v>0</v>
      </c>
      <c r="DA2302">
        <v>2.11</v>
      </c>
      <c r="DB2302">
        <v>1.17</v>
      </c>
      <c r="DC2302">
        <v>0.31</v>
      </c>
      <c r="DD2302">
        <v>82.48</v>
      </c>
      <c r="DE2302" t="s">
        <v>6349</v>
      </c>
      <c r="DF2302">
        <v>23.42</v>
      </c>
      <c r="DG2302">
        <v>7.64</v>
      </c>
      <c r="DH2302">
        <v>7.08</v>
      </c>
      <c r="DI2302">
        <v>0.49</v>
      </c>
      <c r="DJ2302">
        <v>4654</v>
      </c>
      <c r="DK2302">
        <v>300968</v>
      </c>
      <c r="DL2302" t="s">
        <v>120</v>
      </c>
      <c r="DM2302" t="s">
        <v>120</v>
      </c>
      <c r="DN2302" t="s">
        <v>120</v>
      </c>
    </row>
    <row r="2303" spans="1:118">
      <c r="A2303" t="str">
        <f>"300969"</f>
        <v>300969</v>
      </c>
      <c r="B2303" t="s">
        <v>10887</v>
      </c>
      <c r="C2303">
        <v>4.05</v>
      </c>
      <c r="D2303">
        <v>0.12</v>
      </c>
      <c r="E2303">
        <v>0.31</v>
      </c>
      <c r="F2303">
        <v>110</v>
      </c>
      <c r="G2303" t="s">
        <v>10888</v>
      </c>
      <c r="H2303">
        <v>19167.5</v>
      </c>
      <c r="I2303">
        <v>21.52</v>
      </c>
      <c r="J2303" t="s">
        <v>120</v>
      </c>
      <c r="K2303" t="s">
        <v>10888</v>
      </c>
      <c r="L2303">
        <v>16.559999999999999</v>
      </c>
      <c r="M2303">
        <v>57.23</v>
      </c>
      <c r="N2303">
        <v>1.19</v>
      </c>
      <c r="O2303">
        <v>8.64</v>
      </c>
      <c r="P2303">
        <v>59.75</v>
      </c>
      <c r="Q2303">
        <v>0.31</v>
      </c>
      <c r="R2303">
        <v>55.17</v>
      </c>
      <c r="S2303">
        <v>55.17</v>
      </c>
      <c r="T2303">
        <v>33127</v>
      </c>
      <c r="U2303">
        <v>57.25</v>
      </c>
      <c r="V2303">
        <v>55</v>
      </c>
      <c r="W2303">
        <v>37.340000000000003</v>
      </c>
      <c r="X2303" t="s">
        <v>289</v>
      </c>
      <c r="Y2303" t="s">
        <v>585</v>
      </c>
      <c r="Z2303">
        <v>8.33</v>
      </c>
      <c r="AA2303">
        <v>57.86</v>
      </c>
      <c r="AB2303">
        <v>16324</v>
      </c>
      <c r="AC2303">
        <v>16803</v>
      </c>
      <c r="AD2303">
        <v>0.97</v>
      </c>
      <c r="AE2303">
        <v>48</v>
      </c>
      <c r="AF2303">
        <v>7</v>
      </c>
      <c r="AG2303" t="s">
        <v>120</v>
      </c>
      <c r="AH2303">
        <v>0.02</v>
      </c>
      <c r="AI2303" t="s">
        <v>120</v>
      </c>
      <c r="AJ2303">
        <v>0.2</v>
      </c>
      <c r="AK2303" t="s">
        <v>8481</v>
      </c>
      <c r="AL2303">
        <v>5.97</v>
      </c>
      <c r="AM2303">
        <v>2606</v>
      </c>
      <c r="AN2303">
        <v>13</v>
      </c>
      <c r="AO2303">
        <v>6.4000000000000003E-3</v>
      </c>
      <c r="AP2303">
        <v>2</v>
      </c>
      <c r="AQ2303">
        <v>3.66</v>
      </c>
      <c r="AR2303">
        <v>3.34</v>
      </c>
      <c r="AS2303">
        <v>61.99</v>
      </c>
      <c r="AT2303">
        <v>51.36</v>
      </c>
      <c r="AU2303">
        <v>180.13</v>
      </c>
      <c r="AV2303">
        <v>2</v>
      </c>
      <c r="AW2303">
        <v>16.559999999999999</v>
      </c>
      <c r="AX2303">
        <v>25</v>
      </c>
      <c r="AY2303">
        <v>43.45</v>
      </c>
      <c r="AZ2303">
        <v>66.31</v>
      </c>
      <c r="BA2303">
        <v>0.57999999999999996</v>
      </c>
      <c r="BB2303" t="s">
        <v>240</v>
      </c>
      <c r="BF2303">
        <v>5.2</v>
      </c>
      <c r="BG2303">
        <v>3.73</v>
      </c>
      <c r="BH2303">
        <v>-4.22</v>
      </c>
      <c r="BI2303">
        <v>3.73</v>
      </c>
      <c r="BJ2303">
        <v>20210914</v>
      </c>
      <c r="BK2303">
        <v>20210412</v>
      </c>
      <c r="BL2303">
        <v>0.8</v>
      </c>
      <c r="BM2303" t="s">
        <v>120</v>
      </c>
      <c r="BN2303" t="s">
        <v>120</v>
      </c>
      <c r="BO2303">
        <v>8.61</v>
      </c>
      <c r="BP2303">
        <v>57.23</v>
      </c>
      <c r="BQ2303">
        <v>7.32</v>
      </c>
      <c r="BR2303" t="s">
        <v>120</v>
      </c>
      <c r="BS2303">
        <v>14.95</v>
      </c>
      <c r="BT2303">
        <v>6.37</v>
      </c>
      <c r="BU2303">
        <v>1.36</v>
      </c>
      <c r="BV2303">
        <v>0.6</v>
      </c>
      <c r="BW2303">
        <v>1.17</v>
      </c>
      <c r="BX2303">
        <v>0.55000000000000004</v>
      </c>
      <c r="BY2303">
        <v>0.77</v>
      </c>
      <c r="BZ2303">
        <v>1.07</v>
      </c>
      <c r="CA2303" t="s">
        <v>120</v>
      </c>
      <c r="CB2303">
        <v>4.95</v>
      </c>
      <c r="CC2303">
        <v>2.83</v>
      </c>
      <c r="CD2303">
        <v>1.8</v>
      </c>
      <c r="CE2303">
        <v>0.67</v>
      </c>
      <c r="CF2303">
        <v>0.03</v>
      </c>
      <c r="CG2303">
        <v>0.71</v>
      </c>
      <c r="CH2303">
        <v>0.61</v>
      </c>
      <c r="CI2303">
        <v>0.61</v>
      </c>
      <c r="CJ2303">
        <v>2.23</v>
      </c>
      <c r="CK2303">
        <v>0.56999999999999995</v>
      </c>
      <c r="CL2303">
        <v>1.46</v>
      </c>
      <c r="CM2303">
        <v>0.3</v>
      </c>
      <c r="CN2303">
        <v>0.09</v>
      </c>
      <c r="CO2303">
        <v>9297</v>
      </c>
      <c r="CP2303">
        <v>2151</v>
      </c>
      <c r="CQ2303" t="s">
        <v>6208</v>
      </c>
      <c r="CR2303">
        <v>132.18</v>
      </c>
      <c r="CS2303">
        <v>119.54</v>
      </c>
      <c r="CT2303">
        <v>6.25</v>
      </c>
      <c r="CU2303">
        <v>152.30000000000001</v>
      </c>
      <c r="CV2303">
        <v>16.2</v>
      </c>
      <c r="CW2303">
        <v>0.45</v>
      </c>
      <c r="CX2303" t="s">
        <v>4187</v>
      </c>
      <c r="CY2303">
        <v>9.16</v>
      </c>
      <c r="CZ2303">
        <v>0</v>
      </c>
      <c r="DA2303">
        <v>6.18</v>
      </c>
      <c r="DB2303">
        <v>1.82</v>
      </c>
      <c r="DC2303">
        <v>0.38</v>
      </c>
      <c r="DD2303">
        <v>85.05</v>
      </c>
      <c r="DE2303" t="s">
        <v>6475</v>
      </c>
      <c r="DF2303">
        <v>36.15</v>
      </c>
      <c r="DG2303">
        <v>23.86</v>
      </c>
      <c r="DH2303">
        <v>21.69</v>
      </c>
      <c r="DI2303">
        <v>0.08</v>
      </c>
      <c r="DJ2303">
        <v>644</v>
      </c>
      <c r="DK2303">
        <v>300969</v>
      </c>
      <c r="DL2303">
        <v>20210824</v>
      </c>
      <c r="DM2303">
        <v>44.21</v>
      </c>
      <c r="DN2303">
        <v>29.45</v>
      </c>
    </row>
    <row r="2304" spans="1:118">
      <c r="A2304" t="str">
        <f>"300970"</f>
        <v>300970</v>
      </c>
      <c r="B2304" t="s">
        <v>10889</v>
      </c>
      <c r="C2304">
        <v>3.19</v>
      </c>
      <c r="D2304">
        <v>0</v>
      </c>
      <c r="E2304">
        <v>-1.2</v>
      </c>
      <c r="F2304">
        <v>882</v>
      </c>
      <c r="G2304" t="s">
        <v>9364</v>
      </c>
      <c r="H2304">
        <v>21750.06</v>
      </c>
      <c r="I2304">
        <v>40.549999999999997</v>
      </c>
      <c r="J2304" t="s">
        <v>120</v>
      </c>
      <c r="K2304" t="s">
        <v>9364</v>
      </c>
      <c r="L2304">
        <v>26.85</v>
      </c>
      <c r="M2304">
        <v>27.5</v>
      </c>
      <c r="N2304">
        <v>1.1599999999999999</v>
      </c>
      <c r="O2304">
        <v>10.88</v>
      </c>
      <c r="P2304">
        <v>29.55</v>
      </c>
      <c r="Q2304">
        <v>-1.73</v>
      </c>
      <c r="R2304">
        <v>26.19</v>
      </c>
      <c r="S2304">
        <v>26.33</v>
      </c>
      <c r="T2304">
        <v>78349</v>
      </c>
      <c r="U2304">
        <v>27.5</v>
      </c>
      <c r="V2304">
        <v>26.65</v>
      </c>
      <c r="W2304">
        <v>25881.05</v>
      </c>
      <c r="X2304" t="s">
        <v>1700</v>
      </c>
      <c r="Y2304" t="s">
        <v>319</v>
      </c>
      <c r="Z2304">
        <v>12.61</v>
      </c>
      <c r="AA2304">
        <v>27.76</v>
      </c>
      <c r="AB2304">
        <v>36405</v>
      </c>
      <c r="AC2304">
        <v>41944</v>
      </c>
      <c r="AD2304">
        <v>0.87</v>
      </c>
      <c r="AE2304">
        <v>120</v>
      </c>
      <c r="AF2304">
        <v>8</v>
      </c>
      <c r="AG2304" t="s">
        <v>120</v>
      </c>
      <c r="AH2304">
        <v>0.05</v>
      </c>
      <c r="AI2304" t="s">
        <v>120</v>
      </c>
      <c r="AJ2304">
        <v>0.28999999999999998</v>
      </c>
      <c r="AK2304" t="s">
        <v>10890</v>
      </c>
      <c r="AL2304">
        <v>5.0999999999999996</v>
      </c>
      <c r="AM2304">
        <v>3095</v>
      </c>
      <c r="AN2304">
        <v>25</v>
      </c>
      <c r="AO2304">
        <v>8.6999999999999994E-3</v>
      </c>
      <c r="AP2304">
        <v>2</v>
      </c>
      <c r="AQ2304">
        <v>2.42</v>
      </c>
      <c r="AR2304">
        <v>3.03</v>
      </c>
      <c r="AS2304">
        <v>8.48</v>
      </c>
      <c r="AT2304">
        <v>-7.53</v>
      </c>
      <c r="AU2304">
        <v>24.29</v>
      </c>
      <c r="AV2304">
        <v>2</v>
      </c>
      <c r="AW2304">
        <v>26.85</v>
      </c>
      <c r="AX2304">
        <v>25</v>
      </c>
      <c r="AY2304">
        <v>50.65</v>
      </c>
      <c r="AZ2304">
        <v>23.47</v>
      </c>
      <c r="BA2304">
        <v>0.5</v>
      </c>
      <c r="BB2304" t="s">
        <v>143</v>
      </c>
      <c r="BF2304">
        <v>4.17</v>
      </c>
      <c r="BG2304">
        <v>4.4400000000000004</v>
      </c>
      <c r="BH2304">
        <v>-6.94</v>
      </c>
      <c r="BI2304">
        <v>5</v>
      </c>
      <c r="BJ2304">
        <v>20210827</v>
      </c>
      <c r="BK2304">
        <v>20210412</v>
      </c>
      <c r="BL2304">
        <v>1.17</v>
      </c>
      <c r="BM2304" t="s">
        <v>120</v>
      </c>
      <c r="BN2304" t="s">
        <v>120</v>
      </c>
      <c r="BO2304">
        <v>17.809999999999999</v>
      </c>
      <c r="BP2304">
        <v>27.49</v>
      </c>
      <c r="BQ2304">
        <v>14.14</v>
      </c>
      <c r="BR2304">
        <v>0.04</v>
      </c>
      <c r="BS2304">
        <v>20.37</v>
      </c>
      <c r="BT2304">
        <v>8.85</v>
      </c>
      <c r="BU2304">
        <v>6.69</v>
      </c>
      <c r="BV2304">
        <v>0.53</v>
      </c>
      <c r="BW2304">
        <v>1.28</v>
      </c>
      <c r="BX2304">
        <v>6.34</v>
      </c>
      <c r="BY2304">
        <v>0.98</v>
      </c>
      <c r="BZ2304">
        <v>0.26</v>
      </c>
      <c r="CA2304" t="s">
        <v>120</v>
      </c>
      <c r="CB2304">
        <v>9</v>
      </c>
      <c r="CC2304">
        <v>2.42</v>
      </c>
      <c r="CD2304">
        <v>2.38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0.85</v>
      </c>
      <c r="CK2304">
        <v>-7.0000000000000007E-2</v>
      </c>
      <c r="CL2304">
        <v>4.3499999999999996</v>
      </c>
      <c r="CM2304">
        <v>0.03</v>
      </c>
      <c r="CN2304">
        <v>4.42</v>
      </c>
      <c r="CO2304">
        <v>14502</v>
      </c>
      <c r="CP2304">
        <v>2012</v>
      </c>
      <c r="CQ2304" t="s">
        <v>2310</v>
      </c>
      <c r="CR2304">
        <v>-99.91</v>
      </c>
      <c r="CS2304">
        <v>-15.85</v>
      </c>
      <c r="CT2304">
        <v>2.27</v>
      </c>
      <c r="CU2304">
        <v>953.77</v>
      </c>
      <c r="CV2304">
        <v>13.29</v>
      </c>
      <c r="CW2304">
        <v>0.98</v>
      </c>
      <c r="CX2304" t="s">
        <v>1415</v>
      </c>
      <c r="CY2304">
        <v>12.12</v>
      </c>
      <c r="CZ2304">
        <v>0</v>
      </c>
      <c r="DA2304">
        <v>7.71</v>
      </c>
      <c r="DB2304">
        <v>3.73</v>
      </c>
      <c r="DC2304">
        <v>0.03</v>
      </c>
      <c r="DD2304">
        <v>79.44</v>
      </c>
      <c r="DE2304" t="s">
        <v>10891</v>
      </c>
      <c r="DF2304">
        <v>1.63</v>
      </c>
      <c r="DG2304">
        <v>0.15</v>
      </c>
      <c r="DH2304">
        <v>0.03</v>
      </c>
      <c r="DI2304">
        <v>0.04</v>
      </c>
      <c r="DJ2304">
        <v>1584</v>
      </c>
      <c r="DK2304">
        <v>300970</v>
      </c>
      <c r="DL2304" t="s">
        <v>120</v>
      </c>
      <c r="DM2304" t="s">
        <v>120</v>
      </c>
      <c r="DN2304" t="s">
        <v>120</v>
      </c>
    </row>
    <row r="2305" spans="1:118">
      <c r="A2305" t="str">
        <f>"300971"</f>
        <v>300971</v>
      </c>
      <c r="B2305" t="s">
        <v>10892</v>
      </c>
      <c r="C2305">
        <v>0.9</v>
      </c>
      <c r="D2305">
        <v>0.02</v>
      </c>
      <c r="E2305">
        <v>-0.49</v>
      </c>
      <c r="F2305">
        <v>243</v>
      </c>
      <c r="G2305" t="s">
        <v>6744</v>
      </c>
      <c r="H2305">
        <v>13252.23</v>
      </c>
      <c r="I2305">
        <v>57.98</v>
      </c>
      <c r="J2305" t="s">
        <v>120</v>
      </c>
      <c r="K2305" t="s">
        <v>6744</v>
      </c>
      <c r="L2305">
        <v>15.17</v>
      </c>
      <c r="M2305">
        <v>43.55</v>
      </c>
      <c r="N2305">
        <v>1.21</v>
      </c>
      <c r="O2305">
        <v>5.0999999999999996</v>
      </c>
      <c r="P2305">
        <v>45.36</v>
      </c>
      <c r="Q2305">
        <v>-1.85</v>
      </c>
      <c r="R2305">
        <v>42.36</v>
      </c>
      <c r="S2305">
        <v>42.95</v>
      </c>
      <c r="T2305">
        <v>30220</v>
      </c>
      <c r="U2305">
        <v>43.59</v>
      </c>
      <c r="V2305">
        <v>43.16</v>
      </c>
      <c r="W2305">
        <v>36.75</v>
      </c>
      <c r="X2305" t="s">
        <v>959</v>
      </c>
      <c r="Y2305" t="s">
        <v>763</v>
      </c>
      <c r="Z2305">
        <v>6.95</v>
      </c>
      <c r="AA2305">
        <v>43.85</v>
      </c>
      <c r="AB2305">
        <v>14926</v>
      </c>
      <c r="AC2305">
        <v>15294</v>
      </c>
      <c r="AD2305">
        <v>0.98</v>
      </c>
      <c r="AE2305">
        <v>115</v>
      </c>
      <c r="AF2305">
        <v>24</v>
      </c>
      <c r="AG2305" t="s">
        <v>120</v>
      </c>
      <c r="AH2305">
        <v>7.0000000000000007E-2</v>
      </c>
      <c r="AI2305" t="s">
        <v>120</v>
      </c>
      <c r="AJ2305">
        <v>0.2</v>
      </c>
      <c r="AK2305" t="s">
        <v>5316</v>
      </c>
      <c r="AL2305">
        <v>2.82</v>
      </c>
      <c r="AM2305">
        <v>2299</v>
      </c>
      <c r="AN2305">
        <v>13</v>
      </c>
      <c r="AO2305">
        <v>6.6E-3</v>
      </c>
      <c r="AP2305">
        <v>1</v>
      </c>
      <c r="AQ2305">
        <v>-1.84</v>
      </c>
      <c r="AR2305">
        <v>4.6399999999999997</v>
      </c>
      <c r="AS2305">
        <v>13.47</v>
      </c>
      <c r="AT2305">
        <v>20.47</v>
      </c>
      <c r="AU2305">
        <v>144.12</v>
      </c>
      <c r="AV2305">
        <v>0</v>
      </c>
      <c r="AW2305">
        <v>15.17</v>
      </c>
      <c r="AX2305">
        <v>23.71</v>
      </c>
      <c r="AY2305">
        <v>33.57</v>
      </c>
      <c r="AZ2305">
        <v>43.27</v>
      </c>
      <c r="BA2305">
        <v>0.43</v>
      </c>
      <c r="BB2305" t="s">
        <v>143</v>
      </c>
      <c r="BF2305">
        <v>1.6</v>
      </c>
      <c r="BG2305">
        <v>1.4</v>
      </c>
      <c r="BH2305">
        <v>-3.99</v>
      </c>
      <c r="BI2305">
        <v>2.81</v>
      </c>
      <c r="BJ2305">
        <v>20210826</v>
      </c>
      <c r="BK2305">
        <v>20210415</v>
      </c>
      <c r="BL2305">
        <v>0.84</v>
      </c>
      <c r="BM2305" t="s">
        <v>120</v>
      </c>
      <c r="BN2305" t="s">
        <v>120</v>
      </c>
      <c r="BO2305">
        <v>10.88</v>
      </c>
      <c r="BP2305">
        <v>43.55</v>
      </c>
      <c r="BQ2305">
        <v>8.59</v>
      </c>
      <c r="BR2305">
        <v>0.04</v>
      </c>
      <c r="BS2305">
        <v>20.63</v>
      </c>
      <c r="BT2305">
        <v>8.39</v>
      </c>
      <c r="BU2305">
        <v>1.79</v>
      </c>
      <c r="BV2305">
        <v>0.48</v>
      </c>
      <c r="BW2305">
        <v>1.9</v>
      </c>
      <c r="BX2305">
        <v>4.4800000000000004</v>
      </c>
      <c r="BY2305">
        <v>0.82</v>
      </c>
      <c r="BZ2305">
        <v>1.69</v>
      </c>
      <c r="CA2305" t="s">
        <v>120</v>
      </c>
      <c r="CB2305">
        <v>4.67</v>
      </c>
      <c r="CC2305">
        <v>1.87</v>
      </c>
      <c r="CD2305">
        <v>0.82</v>
      </c>
      <c r="CE2305">
        <v>0.52</v>
      </c>
      <c r="CF2305">
        <v>0</v>
      </c>
      <c r="CG2305">
        <v>0.57999999999999996</v>
      </c>
      <c r="CH2305">
        <v>0.49</v>
      </c>
      <c r="CI2305">
        <v>0.5</v>
      </c>
      <c r="CJ2305">
        <v>0.39</v>
      </c>
      <c r="CK2305">
        <v>0.42</v>
      </c>
      <c r="CL2305">
        <v>2.56</v>
      </c>
      <c r="CM2305">
        <v>0.33</v>
      </c>
      <c r="CN2305">
        <v>3.4</v>
      </c>
      <c r="CO2305">
        <v>17433</v>
      </c>
      <c r="CP2305">
        <v>1142</v>
      </c>
      <c r="CQ2305" t="s">
        <v>6713</v>
      </c>
      <c r="CR2305">
        <v>94.73</v>
      </c>
      <c r="CS2305">
        <v>25.77</v>
      </c>
      <c r="CT2305">
        <v>4.26</v>
      </c>
      <c r="CU2305">
        <v>110.32</v>
      </c>
      <c r="CV2305">
        <v>19.579999999999998</v>
      </c>
      <c r="CW2305">
        <v>0.93</v>
      </c>
      <c r="CX2305" t="s">
        <v>4948</v>
      </c>
      <c r="CY2305">
        <v>10.23</v>
      </c>
      <c r="CZ2305">
        <v>0</v>
      </c>
      <c r="DA2305">
        <v>5.56</v>
      </c>
      <c r="DB2305">
        <v>3.05</v>
      </c>
      <c r="DC2305">
        <v>0.39</v>
      </c>
      <c r="DD2305">
        <v>78.989999999999995</v>
      </c>
      <c r="DE2305" t="s">
        <v>4589</v>
      </c>
      <c r="DF2305">
        <v>56.15</v>
      </c>
      <c r="DG2305">
        <v>27.85</v>
      </c>
      <c r="DH2305">
        <v>26.64</v>
      </c>
      <c r="DI2305">
        <v>0.19</v>
      </c>
      <c r="DJ2305">
        <v>702</v>
      </c>
      <c r="DK2305">
        <v>300971</v>
      </c>
      <c r="DL2305" t="s">
        <v>120</v>
      </c>
      <c r="DM2305" t="s">
        <v>120</v>
      </c>
      <c r="DN2305" t="s">
        <v>120</v>
      </c>
    </row>
    <row r="2306" spans="1:118">
      <c r="A2306" t="str">
        <f>"300972"</f>
        <v>300972</v>
      </c>
      <c r="B2306" t="s">
        <v>10893</v>
      </c>
      <c r="C2306">
        <v>3.89</v>
      </c>
      <c r="D2306">
        <v>0</v>
      </c>
      <c r="E2306">
        <v>-0.42</v>
      </c>
      <c r="F2306">
        <v>680</v>
      </c>
      <c r="G2306" t="s">
        <v>10894</v>
      </c>
      <c r="H2306">
        <v>7542.4</v>
      </c>
      <c r="I2306">
        <v>10.02</v>
      </c>
      <c r="J2306" t="s">
        <v>120</v>
      </c>
      <c r="K2306" t="s">
        <v>10894</v>
      </c>
      <c r="L2306">
        <v>13.88</v>
      </c>
      <c r="M2306">
        <v>14.94</v>
      </c>
      <c r="N2306">
        <v>1.85</v>
      </c>
      <c r="O2306">
        <v>6.82</v>
      </c>
      <c r="P2306">
        <v>15.36</v>
      </c>
      <c r="Q2306">
        <v>-0.42</v>
      </c>
      <c r="R2306">
        <v>14.32</v>
      </c>
      <c r="S2306">
        <v>14.32</v>
      </c>
      <c r="T2306">
        <v>50522</v>
      </c>
      <c r="U2306">
        <v>14.95</v>
      </c>
      <c r="V2306">
        <v>14.38</v>
      </c>
      <c r="W2306" t="s">
        <v>120</v>
      </c>
      <c r="X2306" t="s">
        <v>1700</v>
      </c>
      <c r="Y2306" t="s">
        <v>937</v>
      </c>
      <c r="Z2306">
        <v>7.23</v>
      </c>
      <c r="AA2306">
        <v>14.93</v>
      </c>
      <c r="AB2306">
        <v>21959</v>
      </c>
      <c r="AC2306">
        <v>28563</v>
      </c>
      <c r="AD2306">
        <v>0.77</v>
      </c>
      <c r="AE2306">
        <v>12</v>
      </c>
      <c r="AF2306">
        <v>335</v>
      </c>
      <c r="AG2306" t="s">
        <v>120</v>
      </c>
      <c r="AH2306">
        <v>0.02</v>
      </c>
      <c r="AI2306" t="s">
        <v>120</v>
      </c>
      <c r="AJ2306">
        <v>0.36</v>
      </c>
      <c r="AK2306" t="s">
        <v>3969</v>
      </c>
      <c r="AL2306">
        <v>5.81</v>
      </c>
      <c r="AM2306">
        <v>2060</v>
      </c>
      <c r="AN2306">
        <v>25</v>
      </c>
      <c r="AO2306">
        <v>6.7000000000000002E-3</v>
      </c>
      <c r="AP2306">
        <v>2</v>
      </c>
      <c r="AQ2306">
        <v>0.98</v>
      </c>
      <c r="AR2306">
        <v>1.91</v>
      </c>
      <c r="AS2306">
        <v>-7.26</v>
      </c>
      <c r="AT2306">
        <v>-13.59</v>
      </c>
      <c r="AU2306">
        <v>107.79</v>
      </c>
      <c r="AV2306">
        <v>0</v>
      </c>
      <c r="AW2306">
        <v>13.88</v>
      </c>
      <c r="AX2306">
        <v>23.71</v>
      </c>
      <c r="AY2306">
        <v>67.67</v>
      </c>
      <c r="AZ2306">
        <v>22.96</v>
      </c>
      <c r="BA2306">
        <v>0.52</v>
      </c>
      <c r="BB2306" t="s">
        <v>143</v>
      </c>
      <c r="BF2306">
        <v>3.82</v>
      </c>
      <c r="BG2306">
        <v>4.33</v>
      </c>
      <c r="BH2306">
        <v>-2.73</v>
      </c>
      <c r="BI2306">
        <v>4.33</v>
      </c>
      <c r="BJ2306">
        <v>20210830</v>
      </c>
      <c r="BK2306">
        <v>20210419</v>
      </c>
      <c r="BL2306">
        <v>1.54</v>
      </c>
      <c r="BM2306" t="s">
        <v>120</v>
      </c>
      <c r="BN2306" t="s">
        <v>120</v>
      </c>
      <c r="BO2306">
        <v>8.48</v>
      </c>
      <c r="BP2306">
        <v>14.94</v>
      </c>
      <c r="BQ2306">
        <v>6.16</v>
      </c>
      <c r="BR2306" t="s">
        <v>120</v>
      </c>
      <c r="BS2306">
        <v>27.32</v>
      </c>
      <c r="BT2306">
        <v>2.91</v>
      </c>
      <c r="BU2306">
        <v>4.88</v>
      </c>
      <c r="BV2306">
        <v>0.54</v>
      </c>
      <c r="BW2306">
        <v>1.87</v>
      </c>
      <c r="BX2306">
        <v>2.36</v>
      </c>
      <c r="BY2306">
        <v>0.51</v>
      </c>
      <c r="BZ2306">
        <v>0.02</v>
      </c>
      <c r="CA2306" t="s">
        <v>120</v>
      </c>
      <c r="CB2306">
        <v>3.04</v>
      </c>
      <c r="CC2306">
        <v>1.65</v>
      </c>
      <c r="CD2306">
        <v>1.75</v>
      </c>
      <c r="CE2306">
        <v>-0.12</v>
      </c>
      <c r="CF2306">
        <v>0</v>
      </c>
      <c r="CG2306">
        <v>-0.13</v>
      </c>
      <c r="CH2306">
        <v>-0.13</v>
      </c>
      <c r="CI2306">
        <v>-0.13</v>
      </c>
      <c r="CJ2306">
        <v>0.56000000000000005</v>
      </c>
      <c r="CK2306">
        <v>-0.28000000000000003</v>
      </c>
      <c r="CL2306">
        <v>1.36</v>
      </c>
      <c r="CM2306">
        <v>0.4</v>
      </c>
      <c r="CN2306">
        <v>2.0299999999999998</v>
      </c>
      <c r="CO2306">
        <v>25237</v>
      </c>
      <c r="CP2306">
        <v>1442</v>
      </c>
      <c r="CQ2306" t="s">
        <v>10895</v>
      </c>
      <c r="CR2306">
        <v>-125.17</v>
      </c>
      <c r="CS2306">
        <v>-23.5</v>
      </c>
      <c r="CT2306">
        <v>3.72</v>
      </c>
      <c r="CU2306">
        <v>56.93</v>
      </c>
      <c r="CV2306">
        <v>13.86</v>
      </c>
      <c r="CW2306">
        <v>0</v>
      </c>
      <c r="CX2306" t="s">
        <v>1320</v>
      </c>
      <c r="CY2306">
        <v>4.0199999999999996</v>
      </c>
      <c r="CZ2306">
        <v>0</v>
      </c>
      <c r="DA2306">
        <v>1.98</v>
      </c>
      <c r="DB2306">
        <v>0.89</v>
      </c>
      <c r="DC2306">
        <v>0.26</v>
      </c>
      <c r="DD2306">
        <v>72.680000000000007</v>
      </c>
      <c r="DE2306" t="s">
        <v>1321</v>
      </c>
      <c r="DF2306">
        <v>-5.98</v>
      </c>
      <c r="DG2306">
        <v>-7.42</v>
      </c>
      <c r="DH2306">
        <v>-7.72</v>
      </c>
      <c r="DI2306">
        <v>0</v>
      </c>
      <c r="DJ2306">
        <v>1002</v>
      </c>
      <c r="DK2306">
        <v>300972</v>
      </c>
      <c r="DL2306" t="s">
        <v>120</v>
      </c>
      <c r="DM2306" t="s">
        <v>120</v>
      </c>
      <c r="DN2306" t="s">
        <v>120</v>
      </c>
    </row>
    <row r="2307" spans="1:118">
      <c r="A2307" t="str">
        <f>"300973"</f>
        <v>300973</v>
      </c>
      <c r="B2307" t="s">
        <v>10896</v>
      </c>
      <c r="C2307">
        <v>-2.71</v>
      </c>
      <c r="D2307">
        <v>0</v>
      </c>
      <c r="E2307">
        <v>1.28</v>
      </c>
      <c r="F2307">
        <v>67</v>
      </c>
      <c r="G2307" t="s">
        <v>10897</v>
      </c>
      <c r="H2307">
        <v>9476.4599999999991</v>
      </c>
      <c r="I2307">
        <v>16.100000000000001</v>
      </c>
      <c r="J2307" t="s">
        <v>120</v>
      </c>
      <c r="K2307" t="s">
        <v>10897</v>
      </c>
      <c r="L2307">
        <v>1.86</v>
      </c>
      <c r="M2307">
        <v>140.59</v>
      </c>
      <c r="N2307">
        <v>0.7</v>
      </c>
      <c r="O2307">
        <v>1.28</v>
      </c>
      <c r="P2307">
        <v>146.35</v>
      </c>
      <c r="Q2307">
        <v>-4.96</v>
      </c>
      <c r="R2307">
        <v>137.34</v>
      </c>
      <c r="S2307">
        <v>146.35</v>
      </c>
      <c r="T2307">
        <v>6739</v>
      </c>
      <c r="U2307">
        <v>140.59</v>
      </c>
      <c r="V2307">
        <v>144.5</v>
      </c>
      <c r="W2307">
        <v>87.04</v>
      </c>
      <c r="X2307" t="s">
        <v>847</v>
      </c>
      <c r="Y2307" t="s">
        <v>547</v>
      </c>
      <c r="Z2307">
        <v>6.24</v>
      </c>
      <c r="AA2307">
        <v>140.63</v>
      </c>
      <c r="AB2307">
        <v>3935</v>
      </c>
      <c r="AC2307">
        <v>2804</v>
      </c>
      <c r="AD2307">
        <v>1.4</v>
      </c>
      <c r="AE2307">
        <v>1</v>
      </c>
      <c r="AF2307">
        <v>3</v>
      </c>
      <c r="AG2307" t="s">
        <v>120</v>
      </c>
      <c r="AH2307">
        <v>0</v>
      </c>
      <c r="AI2307" t="s">
        <v>120</v>
      </c>
      <c r="AJ2307">
        <v>0.36</v>
      </c>
      <c r="AK2307" t="s">
        <v>10898</v>
      </c>
      <c r="AL2307">
        <v>-0.79</v>
      </c>
      <c r="AM2307">
        <v>1571</v>
      </c>
      <c r="AN2307">
        <v>4</v>
      </c>
      <c r="AO2307">
        <v>1.1999999999999999E-3</v>
      </c>
      <c r="AP2307">
        <v>-2</v>
      </c>
      <c r="AQ2307">
        <v>-3.4</v>
      </c>
      <c r="AR2307">
        <v>-2.0299999999999998</v>
      </c>
      <c r="AS2307">
        <v>12.02</v>
      </c>
      <c r="AT2307">
        <v>-1.3</v>
      </c>
      <c r="AU2307">
        <v>406.09</v>
      </c>
      <c r="AV2307">
        <v>0</v>
      </c>
      <c r="AW2307">
        <v>1.86</v>
      </c>
      <c r="AX2307">
        <v>21.34</v>
      </c>
      <c r="AY2307">
        <v>83.55</v>
      </c>
      <c r="AZ2307">
        <v>105.43</v>
      </c>
      <c r="BA2307">
        <v>1.52</v>
      </c>
      <c r="BB2307" t="s">
        <v>143</v>
      </c>
      <c r="BF2307">
        <v>-2.68</v>
      </c>
      <c r="BG2307">
        <v>-3.94</v>
      </c>
      <c r="BH2307">
        <v>-3.94</v>
      </c>
      <c r="BI2307">
        <v>2.37</v>
      </c>
      <c r="BJ2307">
        <v>20210827</v>
      </c>
      <c r="BK2307">
        <v>20210415</v>
      </c>
      <c r="BL2307">
        <v>1.69</v>
      </c>
      <c r="BM2307" t="s">
        <v>120</v>
      </c>
      <c r="BN2307" t="s">
        <v>120</v>
      </c>
      <c r="BO2307">
        <v>22.46</v>
      </c>
      <c r="BP2307">
        <v>140.58000000000001</v>
      </c>
      <c r="BQ2307">
        <v>18.100000000000001</v>
      </c>
      <c r="BR2307" t="s">
        <v>120</v>
      </c>
      <c r="BS2307">
        <v>19.41</v>
      </c>
      <c r="BT2307">
        <v>13.35</v>
      </c>
      <c r="BU2307">
        <v>3.37</v>
      </c>
      <c r="BV2307">
        <v>1.42</v>
      </c>
      <c r="BW2307">
        <v>3.43</v>
      </c>
      <c r="BX2307">
        <v>9.39</v>
      </c>
      <c r="BY2307">
        <v>1.98</v>
      </c>
      <c r="BZ2307">
        <v>1.42</v>
      </c>
      <c r="CA2307">
        <v>0</v>
      </c>
      <c r="CB2307">
        <v>11.69</v>
      </c>
      <c r="CC2307">
        <v>12.52</v>
      </c>
      <c r="CD2307">
        <v>8.02</v>
      </c>
      <c r="CE2307">
        <v>1.71</v>
      </c>
      <c r="CF2307">
        <v>0</v>
      </c>
      <c r="CG2307">
        <v>1.71</v>
      </c>
      <c r="CH2307">
        <v>1.37</v>
      </c>
      <c r="CI2307">
        <v>1.37</v>
      </c>
      <c r="CJ2307">
        <v>-3.91</v>
      </c>
      <c r="CK2307">
        <v>1.3</v>
      </c>
      <c r="CL2307">
        <v>4.4800000000000004</v>
      </c>
      <c r="CM2307">
        <v>0.77</v>
      </c>
      <c r="CN2307">
        <v>7.35</v>
      </c>
      <c r="CO2307">
        <v>12305</v>
      </c>
      <c r="CP2307">
        <v>2936</v>
      </c>
      <c r="CQ2307" t="s">
        <v>10899</v>
      </c>
      <c r="CR2307">
        <v>79.95</v>
      </c>
      <c r="CS2307">
        <v>86.79</v>
      </c>
      <c r="CT2307">
        <v>13.15</v>
      </c>
      <c r="CU2307">
        <v>308.87</v>
      </c>
      <c r="CV2307">
        <v>19.02</v>
      </c>
      <c r="CW2307">
        <v>0.35</v>
      </c>
      <c r="CX2307" t="s">
        <v>3944</v>
      </c>
      <c r="CY2307">
        <v>10.69</v>
      </c>
      <c r="CZ2307">
        <v>0</v>
      </c>
      <c r="DA2307">
        <v>6.9</v>
      </c>
      <c r="DB2307">
        <v>2.64</v>
      </c>
      <c r="DC2307">
        <v>0.46</v>
      </c>
      <c r="DD2307">
        <v>80.59</v>
      </c>
      <c r="DE2307" t="s">
        <v>458</v>
      </c>
      <c r="DF2307">
        <v>35.9</v>
      </c>
      <c r="DG2307">
        <v>13.65</v>
      </c>
      <c r="DH2307">
        <v>10.93</v>
      </c>
      <c r="DI2307">
        <v>0.4</v>
      </c>
      <c r="DJ2307">
        <v>2709</v>
      </c>
      <c r="DK2307">
        <v>300973</v>
      </c>
      <c r="DL2307" t="s">
        <v>120</v>
      </c>
      <c r="DM2307" t="s">
        <v>120</v>
      </c>
      <c r="DN2307" t="s">
        <v>120</v>
      </c>
    </row>
    <row r="2308" spans="1:118">
      <c r="A2308" t="str">
        <f>"300975"</f>
        <v>300975</v>
      </c>
      <c r="B2308" t="s">
        <v>10900</v>
      </c>
      <c r="C2308">
        <v>-0.79</v>
      </c>
      <c r="D2308">
        <v>0.06</v>
      </c>
      <c r="E2308">
        <v>0</v>
      </c>
      <c r="F2308">
        <v>387</v>
      </c>
      <c r="G2308" t="s">
        <v>10901</v>
      </c>
      <c r="H2308">
        <v>2928.92</v>
      </c>
      <c r="I2308">
        <v>0.18</v>
      </c>
      <c r="J2308" t="s">
        <v>120</v>
      </c>
      <c r="K2308" t="s">
        <v>10901</v>
      </c>
      <c r="L2308">
        <v>3.88</v>
      </c>
      <c r="M2308">
        <v>17.57</v>
      </c>
      <c r="N2308">
        <v>0.87</v>
      </c>
      <c r="O2308">
        <v>0.68</v>
      </c>
      <c r="P2308">
        <v>17.829999999999998</v>
      </c>
      <c r="Q2308">
        <v>-0.9</v>
      </c>
      <c r="R2308">
        <v>17.55</v>
      </c>
      <c r="S2308">
        <v>17.71</v>
      </c>
      <c r="T2308">
        <v>16532</v>
      </c>
      <c r="U2308">
        <v>17.59</v>
      </c>
      <c r="V2308">
        <v>17.71</v>
      </c>
      <c r="W2308">
        <v>29.31</v>
      </c>
      <c r="X2308" t="s">
        <v>229</v>
      </c>
      <c r="Y2308" t="s">
        <v>319</v>
      </c>
      <c r="Z2308">
        <v>1.58</v>
      </c>
      <c r="AA2308">
        <v>17.72</v>
      </c>
      <c r="AB2308">
        <v>9469</v>
      </c>
      <c r="AC2308">
        <v>7063</v>
      </c>
      <c r="AD2308">
        <v>1.34</v>
      </c>
      <c r="AE2308">
        <v>54</v>
      </c>
      <c r="AF2308">
        <v>47</v>
      </c>
      <c r="AG2308" t="s">
        <v>120</v>
      </c>
      <c r="AH2308">
        <v>0</v>
      </c>
      <c r="AI2308" t="s">
        <v>120</v>
      </c>
      <c r="AJ2308">
        <v>0.43</v>
      </c>
      <c r="AK2308" t="s">
        <v>10902</v>
      </c>
      <c r="AL2308">
        <v>1.1200000000000001</v>
      </c>
      <c r="AM2308">
        <v>934</v>
      </c>
      <c r="AN2308">
        <v>18</v>
      </c>
      <c r="AO2308">
        <v>4.1999999999999997E-3</v>
      </c>
      <c r="AP2308">
        <v>-4</v>
      </c>
      <c r="AQ2308">
        <v>-0.95</v>
      </c>
      <c r="AR2308">
        <v>-2.2799999999999998</v>
      </c>
      <c r="AS2308">
        <v>-14.08</v>
      </c>
      <c r="AT2308">
        <v>-3.36</v>
      </c>
      <c r="AU2308">
        <v>222.74</v>
      </c>
      <c r="AV2308">
        <v>0</v>
      </c>
      <c r="AW2308">
        <v>3.88</v>
      </c>
      <c r="AX2308">
        <v>10.14</v>
      </c>
      <c r="AY2308">
        <v>39.07</v>
      </c>
      <c r="AZ2308">
        <v>49.72</v>
      </c>
      <c r="BA2308">
        <v>0.57999999999999996</v>
      </c>
      <c r="BB2308" t="s">
        <v>134</v>
      </c>
      <c r="BF2308">
        <v>0.04</v>
      </c>
      <c r="BG2308">
        <v>-0.79</v>
      </c>
      <c r="BH2308">
        <v>-1.46</v>
      </c>
      <c r="BI2308">
        <v>0.11</v>
      </c>
      <c r="BJ2308">
        <v>20210818</v>
      </c>
      <c r="BK2308">
        <v>20210421</v>
      </c>
      <c r="BL2308">
        <v>4.2</v>
      </c>
      <c r="BM2308" t="s">
        <v>120</v>
      </c>
      <c r="BN2308" t="s">
        <v>120</v>
      </c>
      <c r="BO2308">
        <v>27.03</v>
      </c>
      <c r="BP2308">
        <v>17.57</v>
      </c>
      <c r="BQ2308">
        <v>14.43</v>
      </c>
      <c r="BR2308">
        <v>0</v>
      </c>
      <c r="BS2308">
        <v>46.59</v>
      </c>
      <c r="BT2308">
        <v>25.82</v>
      </c>
      <c r="BU2308">
        <v>0.33</v>
      </c>
      <c r="BV2308">
        <v>0.24</v>
      </c>
      <c r="BW2308">
        <v>12.36</v>
      </c>
      <c r="BX2308">
        <v>2.5299999999999998</v>
      </c>
      <c r="BY2308">
        <v>6.41</v>
      </c>
      <c r="BZ2308">
        <v>13.14</v>
      </c>
      <c r="CA2308" t="s">
        <v>120</v>
      </c>
      <c r="CB2308">
        <v>2.94</v>
      </c>
      <c r="CC2308">
        <v>23.11</v>
      </c>
      <c r="CD2308">
        <v>19.25</v>
      </c>
      <c r="CE2308">
        <v>1.62</v>
      </c>
      <c r="CF2308">
        <v>0</v>
      </c>
      <c r="CG2308">
        <v>1.73</v>
      </c>
      <c r="CH2308">
        <v>1.25</v>
      </c>
      <c r="CI2308">
        <v>1.26</v>
      </c>
      <c r="CJ2308">
        <v>-0.14000000000000001</v>
      </c>
      <c r="CK2308">
        <v>1.1599999999999999</v>
      </c>
      <c r="CL2308">
        <v>6.91</v>
      </c>
      <c r="CM2308">
        <v>-4.5</v>
      </c>
      <c r="CN2308">
        <v>0.99</v>
      </c>
      <c r="CO2308">
        <v>25231</v>
      </c>
      <c r="CP2308">
        <v>1688</v>
      </c>
      <c r="CQ2308" t="s">
        <v>3663</v>
      </c>
      <c r="CR2308">
        <v>47.92</v>
      </c>
      <c r="CS2308">
        <v>73.510000000000005</v>
      </c>
      <c r="CT2308">
        <v>5.1100000000000003</v>
      </c>
      <c r="CU2308">
        <v>-16.41</v>
      </c>
      <c r="CV2308">
        <v>3.19</v>
      </c>
      <c r="CW2308">
        <v>0.49</v>
      </c>
      <c r="CX2308" t="s">
        <v>2443</v>
      </c>
      <c r="CY2308">
        <v>3.44</v>
      </c>
      <c r="CZ2308">
        <v>0</v>
      </c>
      <c r="DA2308">
        <v>0.7</v>
      </c>
      <c r="DB2308">
        <v>1.65</v>
      </c>
      <c r="DC2308">
        <v>-1.07</v>
      </c>
      <c r="DD2308">
        <v>53.4</v>
      </c>
      <c r="DE2308" t="s">
        <v>7417</v>
      </c>
      <c r="DF2308">
        <v>16.690000000000001</v>
      </c>
      <c r="DG2308">
        <v>7.03</v>
      </c>
      <c r="DH2308">
        <v>5.45</v>
      </c>
      <c r="DI2308">
        <v>0.06</v>
      </c>
      <c r="DJ2308">
        <v>536</v>
      </c>
      <c r="DK2308">
        <v>300975</v>
      </c>
      <c r="DL2308" t="s">
        <v>120</v>
      </c>
      <c r="DM2308" t="s">
        <v>120</v>
      </c>
      <c r="DN2308" t="s">
        <v>120</v>
      </c>
    </row>
    <row r="2309" spans="1:118">
      <c r="A2309" t="str">
        <f>"300976"</f>
        <v>300976</v>
      </c>
      <c r="B2309" t="s">
        <v>10903</v>
      </c>
      <c r="C2309">
        <v>-2.7</v>
      </c>
      <c r="D2309">
        <v>0.04</v>
      </c>
      <c r="E2309">
        <v>0.01</v>
      </c>
      <c r="F2309">
        <v>122</v>
      </c>
      <c r="G2309" t="s">
        <v>8465</v>
      </c>
      <c r="H2309">
        <v>7686.15</v>
      </c>
      <c r="I2309">
        <v>13.85</v>
      </c>
      <c r="J2309" t="s">
        <v>120</v>
      </c>
      <c r="K2309" t="s">
        <v>8465</v>
      </c>
      <c r="L2309">
        <v>3.84</v>
      </c>
      <c r="M2309">
        <v>84.24</v>
      </c>
      <c r="N2309">
        <v>0.8</v>
      </c>
      <c r="O2309">
        <v>0.46</v>
      </c>
      <c r="P2309">
        <v>86.98</v>
      </c>
      <c r="Q2309">
        <v>-2.75</v>
      </c>
      <c r="R2309">
        <v>84.2</v>
      </c>
      <c r="S2309">
        <v>86.59</v>
      </c>
      <c r="T2309">
        <v>9020</v>
      </c>
      <c r="U2309">
        <v>84.25</v>
      </c>
      <c r="V2309">
        <v>86.58</v>
      </c>
      <c r="W2309">
        <v>37.89</v>
      </c>
      <c r="X2309" t="s">
        <v>229</v>
      </c>
      <c r="Y2309" t="s">
        <v>547</v>
      </c>
      <c r="Z2309">
        <v>3.21</v>
      </c>
      <c r="AA2309">
        <v>85.21</v>
      </c>
      <c r="AB2309">
        <v>6022</v>
      </c>
      <c r="AC2309">
        <v>2998</v>
      </c>
      <c r="AD2309">
        <v>2.0099999999999998</v>
      </c>
      <c r="AE2309">
        <v>39</v>
      </c>
      <c r="AF2309">
        <v>10</v>
      </c>
      <c r="AG2309" t="s">
        <v>120</v>
      </c>
      <c r="AH2309">
        <v>0.01</v>
      </c>
      <c r="AI2309" t="s">
        <v>120</v>
      </c>
      <c r="AJ2309">
        <v>0.23</v>
      </c>
      <c r="AK2309" t="s">
        <v>10904</v>
      </c>
      <c r="AL2309">
        <v>-0.79</v>
      </c>
      <c r="AM2309">
        <v>1516</v>
      </c>
      <c r="AN2309">
        <v>6</v>
      </c>
      <c r="AO2309">
        <v>2.5000000000000001E-3</v>
      </c>
      <c r="AP2309">
        <v>-1</v>
      </c>
      <c r="AQ2309">
        <v>0.86</v>
      </c>
      <c r="AR2309">
        <v>-2.76</v>
      </c>
      <c r="AS2309">
        <v>4.32</v>
      </c>
      <c r="AT2309">
        <v>-6.11</v>
      </c>
      <c r="AU2309">
        <v>-9.1999999999999993</v>
      </c>
      <c r="AV2309">
        <v>0</v>
      </c>
      <c r="AW2309">
        <v>3.84</v>
      </c>
      <c r="AX2309">
        <v>25</v>
      </c>
      <c r="AY2309">
        <v>35.31</v>
      </c>
      <c r="AZ2309">
        <v>38.04</v>
      </c>
      <c r="BA2309">
        <v>0.67</v>
      </c>
      <c r="BB2309" t="s">
        <v>240</v>
      </c>
      <c r="BF2309">
        <v>-1.58</v>
      </c>
      <c r="BG2309">
        <v>-2.71</v>
      </c>
      <c r="BH2309">
        <v>-3.15</v>
      </c>
      <c r="BI2309">
        <v>0.05</v>
      </c>
      <c r="BJ2309">
        <v>20210828</v>
      </c>
      <c r="BK2309">
        <v>20210419</v>
      </c>
      <c r="BL2309">
        <v>0.94</v>
      </c>
      <c r="BM2309" t="s">
        <v>120</v>
      </c>
      <c r="BN2309" t="s">
        <v>120</v>
      </c>
      <c r="BO2309">
        <v>31.7</v>
      </c>
      <c r="BP2309">
        <v>84.24</v>
      </c>
      <c r="BQ2309">
        <v>29.51</v>
      </c>
      <c r="BR2309" t="s">
        <v>120</v>
      </c>
      <c r="BS2309">
        <v>6.89</v>
      </c>
      <c r="BT2309">
        <v>26.62</v>
      </c>
      <c r="BU2309">
        <v>0.92</v>
      </c>
      <c r="BV2309">
        <v>0.73</v>
      </c>
      <c r="BW2309">
        <v>2.1</v>
      </c>
      <c r="BX2309">
        <v>22.13</v>
      </c>
      <c r="BY2309">
        <v>1.55</v>
      </c>
      <c r="BZ2309">
        <v>1.91</v>
      </c>
      <c r="CA2309" t="s">
        <v>120</v>
      </c>
      <c r="CB2309">
        <v>21.27</v>
      </c>
      <c r="CC2309">
        <v>5.94</v>
      </c>
      <c r="CD2309">
        <v>3.56</v>
      </c>
      <c r="CE2309">
        <v>1.25</v>
      </c>
      <c r="CF2309">
        <v>0.02</v>
      </c>
      <c r="CG2309">
        <v>1.25</v>
      </c>
      <c r="CH2309">
        <v>1.04</v>
      </c>
      <c r="CI2309">
        <v>1.04</v>
      </c>
      <c r="CJ2309">
        <v>-2.34</v>
      </c>
      <c r="CK2309">
        <v>1.04</v>
      </c>
      <c r="CL2309">
        <v>7.1</v>
      </c>
      <c r="CM2309">
        <v>1.4</v>
      </c>
      <c r="CN2309">
        <v>19.27</v>
      </c>
      <c r="CO2309">
        <v>21506</v>
      </c>
      <c r="CP2309">
        <v>1093</v>
      </c>
      <c r="CQ2309" t="s">
        <v>1732</v>
      </c>
      <c r="CR2309">
        <v>18.82</v>
      </c>
      <c r="CS2309">
        <v>58.98</v>
      </c>
      <c r="CT2309">
        <v>2.68</v>
      </c>
      <c r="CU2309">
        <v>56.36</v>
      </c>
      <c r="CV2309">
        <v>13.33</v>
      </c>
      <c r="CW2309">
        <v>0.64</v>
      </c>
      <c r="CX2309" t="s">
        <v>10905</v>
      </c>
      <c r="CY2309">
        <v>31.4</v>
      </c>
      <c r="CZ2309">
        <v>0</v>
      </c>
      <c r="DA2309">
        <v>22.64</v>
      </c>
      <c r="DB2309">
        <v>7.56</v>
      </c>
      <c r="DC2309">
        <v>1.49</v>
      </c>
      <c r="DD2309">
        <v>93.11</v>
      </c>
      <c r="DE2309" t="s">
        <v>1130</v>
      </c>
      <c r="DF2309">
        <v>40.130000000000003</v>
      </c>
      <c r="DG2309">
        <v>21.09</v>
      </c>
      <c r="DH2309">
        <v>17.59</v>
      </c>
      <c r="DI2309">
        <v>0.41</v>
      </c>
      <c r="DJ2309">
        <v>2803</v>
      </c>
      <c r="DK2309">
        <v>300976</v>
      </c>
      <c r="DL2309" t="s">
        <v>120</v>
      </c>
      <c r="DM2309" t="s">
        <v>120</v>
      </c>
      <c r="DN2309" t="s">
        <v>120</v>
      </c>
    </row>
    <row r="2310" spans="1:118">
      <c r="A2310" t="str">
        <f>"300977"</f>
        <v>300977</v>
      </c>
      <c r="B2310" t="s">
        <v>10906</v>
      </c>
      <c r="C2310">
        <v>-5.64</v>
      </c>
      <c r="D2310">
        <v>-0.04</v>
      </c>
      <c r="E2310">
        <v>0.37</v>
      </c>
      <c r="F2310">
        <v>116</v>
      </c>
      <c r="G2310" t="s">
        <v>1646</v>
      </c>
      <c r="H2310">
        <v>3606.35</v>
      </c>
      <c r="I2310">
        <v>0</v>
      </c>
      <c r="J2310" t="s">
        <v>120</v>
      </c>
      <c r="K2310" t="s">
        <v>1646</v>
      </c>
      <c r="L2310">
        <v>3.71</v>
      </c>
      <c r="M2310">
        <v>56.22</v>
      </c>
      <c r="N2310">
        <v>1.62</v>
      </c>
      <c r="O2310">
        <v>0.7</v>
      </c>
      <c r="P2310">
        <v>60</v>
      </c>
      <c r="Q2310">
        <v>-5.71</v>
      </c>
      <c r="R2310">
        <v>56.18</v>
      </c>
      <c r="S2310">
        <v>59.8</v>
      </c>
      <c r="T2310">
        <v>6227</v>
      </c>
      <c r="U2310">
        <v>56.25</v>
      </c>
      <c r="V2310">
        <v>59.58</v>
      </c>
      <c r="W2310">
        <v>37.9</v>
      </c>
      <c r="X2310" t="s">
        <v>175</v>
      </c>
      <c r="Y2310" t="s">
        <v>123</v>
      </c>
      <c r="Z2310">
        <v>6.41</v>
      </c>
      <c r="AA2310">
        <v>57.92</v>
      </c>
      <c r="AB2310">
        <v>3841</v>
      </c>
      <c r="AC2310">
        <v>2386</v>
      </c>
      <c r="AD2310">
        <v>1.61</v>
      </c>
      <c r="AE2310">
        <v>12</v>
      </c>
      <c r="AF2310">
        <v>36</v>
      </c>
      <c r="AG2310" t="s">
        <v>120</v>
      </c>
      <c r="AH2310">
        <v>0</v>
      </c>
      <c r="AI2310" t="s">
        <v>120</v>
      </c>
      <c r="AJ2310">
        <v>0.17</v>
      </c>
      <c r="AK2310" t="s">
        <v>445</v>
      </c>
      <c r="AL2310">
        <v>-3.73</v>
      </c>
      <c r="AM2310">
        <v>1081</v>
      </c>
      <c r="AN2310">
        <v>6</v>
      </c>
      <c r="AO2310">
        <v>3.3999999999999998E-3</v>
      </c>
      <c r="AP2310">
        <v>-4</v>
      </c>
      <c r="AQ2310">
        <v>-3.9</v>
      </c>
      <c r="AR2310">
        <v>-9.35</v>
      </c>
      <c r="AS2310">
        <v>-9.32</v>
      </c>
      <c r="AT2310">
        <v>-17.18</v>
      </c>
      <c r="AU2310">
        <v>-5</v>
      </c>
      <c r="AV2310">
        <v>1</v>
      </c>
      <c r="AW2310">
        <v>3.71</v>
      </c>
      <c r="AX2310">
        <v>25</v>
      </c>
      <c r="AY2310">
        <v>28.46</v>
      </c>
      <c r="AZ2310">
        <v>33.25</v>
      </c>
      <c r="BA2310">
        <v>0.47</v>
      </c>
      <c r="BB2310" t="s">
        <v>134</v>
      </c>
      <c r="BF2310">
        <v>-2.79</v>
      </c>
      <c r="BG2310">
        <v>-5.99</v>
      </c>
      <c r="BH2310">
        <v>-6.3</v>
      </c>
      <c r="BI2310">
        <v>7.0000000000000007E-2</v>
      </c>
      <c r="BJ2310">
        <v>20210901</v>
      </c>
      <c r="BK2310">
        <v>20210420</v>
      </c>
      <c r="BL2310">
        <v>0.67</v>
      </c>
      <c r="BM2310" t="s">
        <v>120</v>
      </c>
      <c r="BN2310" t="s">
        <v>120</v>
      </c>
      <c r="BO2310">
        <v>14.15</v>
      </c>
      <c r="BP2310">
        <v>56.22</v>
      </c>
      <c r="BQ2310">
        <v>13.08</v>
      </c>
      <c r="BR2310" t="s">
        <v>120</v>
      </c>
      <c r="BS2310">
        <v>7.55</v>
      </c>
      <c r="BT2310">
        <v>13.85</v>
      </c>
      <c r="BU2310">
        <v>0.05</v>
      </c>
      <c r="BV2310">
        <v>0.02</v>
      </c>
      <c r="BW2310">
        <v>1</v>
      </c>
      <c r="BX2310">
        <v>10.25</v>
      </c>
      <c r="BY2310">
        <v>0.03</v>
      </c>
      <c r="BZ2310">
        <v>3.46</v>
      </c>
      <c r="CA2310" t="s">
        <v>120</v>
      </c>
      <c r="CB2310">
        <v>9.43</v>
      </c>
      <c r="CC2310">
        <v>3.2</v>
      </c>
      <c r="CD2310">
        <v>1.93</v>
      </c>
      <c r="CE2310">
        <v>0.57999999999999996</v>
      </c>
      <c r="CF2310">
        <v>0</v>
      </c>
      <c r="CG2310">
        <v>0.57999999999999996</v>
      </c>
      <c r="CH2310">
        <v>0.5</v>
      </c>
      <c r="CI2310">
        <v>0.5</v>
      </c>
      <c r="CJ2310">
        <v>-3.36</v>
      </c>
      <c r="CK2310">
        <v>0.47</v>
      </c>
      <c r="CL2310">
        <v>2.81</v>
      </c>
      <c r="CM2310">
        <v>-0.49</v>
      </c>
      <c r="CN2310">
        <v>8.32</v>
      </c>
      <c r="CO2310">
        <v>6999</v>
      </c>
      <c r="CP2310">
        <v>2400</v>
      </c>
      <c r="CQ2310" t="s">
        <v>10907</v>
      </c>
      <c r="CR2310">
        <v>68.3</v>
      </c>
      <c r="CS2310">
        <v>62.49</v>
      </c>
      <c r="CT2310">
        <v>2.89</v>
      </c>
      <c r="CU2310">
        <v>-77.39</v>
      </c>
      <c r="CV2310">
        <v>11.81</v>
      </c>
      <c r="CW2310">
        <v>1</v>
      </c>
      <c r="CX2310" t="s">
        <v>6180</v>
      </c>
      <c r="CY2310">
        <v>19.46</v>
      </c>
      <c r="CZ2310">
        <v>0</v>
      </c>
      <c r="DA2310">
        <v>14.03</v>
      </c>
      <c r="DB2310">
        <v>4.18</v>
      </c>
      <c r="DC2310">
        <v>-0.73</v>
      </c>
      <c r="DD2310">
        <v>92.45</v>
      </c>
      <c r="DE2310" t="s">
        <v>1125</v>
      </c>
      <c r="DF2310">
        <v>39.78</v>
      </c>
      <c r="DG2310">
        <v>18.16</v>
      </c>
      <c r="DH2310">
        <v>15.58</v>
      </c>
      <c r="DI2310">
        <v>0.18</v>
      </c>
      <c r="DJ2310">
        <v>1919</v>
      </c>
      <c r="DK2310">
        <v>300977</v>
      </c>
      <c r="DL2310" t="s">
        <v>120</v>
      </c>
      <c r="DM2310" t="s">
        <v>120</v>
      </c>
      <c r="DN2310" t="s">
        <v>120</v>
      </c>
    </row>
    <row r="2311" spans="1:118">
      <c r="A2311" t="str">
        <f>"300978"</f>
        <v>300978</v>
      </c>
      <c r="B2311" t="s">
        <v>10908</v>
      </c>
      <c r="C2311">
        <v>-2.5299999999999998</v>
      </c>
      <c r="D2311">
        <v>-0.05</v>
      </c>
      <c r="E2311">
        <v>0</v>
      </c>
      <c r="F2311">
        <v>451</v>
      </c>
      <c r="G2311" t="s">
        <v>10909</v>
      </c>
      <c r="H2311">
        <v>2952.56</v>
      </c>
      <c r="I2311">
        <v>0.85</v>
      </c>
      <c r="J2311" t="s">
        <v>120</v>
      </c>
      <c r="K2311" t="s">
        <v>10909</v>
      </c>
      <c r="L2311">
        <v>4.42</v>
      </c>
      <c r="M2311">
        <v>16.55</v>
      </c>
      <c r="N2311">
        <v>0.83</v>
      </c>
      <c r="O2311">
        <v>0.28999999999999998</v>
      </c>
      <c r="P2311">
        <v>17.03</v>
      </c>
      <c r="Q2311">
        <v>-2.5299999999999998</v>
      </c>
      <c r="R2311">
        <v>16.55</v>
      </c>
      <c r="S2311">
        <v>16.98</v>
      </c>
      <c r="T2311">
        <v>17622</v>
      </c>
      <c r="U2311">
        <v>16.55</v>
      </c>
      <c r="V2311">
        <v>16.98</v>
      </c>
      <c r="W2311">
        <v>50.39</v>
      </c>
      <c r="X2311" t="s">
        <v>289</v>
      </c>
      <c r="Y2311" t="s">
        <v>547</v>
      </c>
      <c r="Z2311">
        <v>2.83</v>
      </c>
      <c r="AA2311">
        <v>16.760000000000002</v>
      </c>
      <c r="AB2311">
        <v>10764</v>
      </c>
      <c r="AC2311">
        <v>6858</v>
      </c>
      <c r="AD2311">
        <v>1.57</v>
      </c>
      <c r="AE2311">
        <v>46</v>
      </c>
      <c r="AF2311">
        <v>117</v>
      </c>
      <c r="AG2311" t="s">
        <v>120</v>
      </c>
      <c r="AH2311">
        <v>0</v>
      </c>
      <c r="AI2311" t="s">
        <v>120</v>
      </c>
      <c r="AJ2311">
        <v>0.4</v>
      </c>
      <c r="AK2311" t="s">
        <v>10910</v>
      </c>
      <c r="AL2311">
        <v>-0.62</v>
      </c>
      <c r="AM2311">
        <v>1058</v>
      </c>
      <c r="AN2311">
        <v>17</v>
      </c>
      <c r="AO2311">
        <v>4.1999999999999997E-3</v>
      </c>
      <c r="AP2311">
        <v>-1</v>
      </c>
      <c r="AQ2311">
        <v>1.07</v>
      </c>
      <c r="AR2311">
        <v>-2.42</v>
      </c>
      <c r="AS2311">
        <v>-23.23</v>
      </c>
      <c r="AT2311">
        <v>-16.37</v>
      </c>
      <c r="AU2311">
        <v>108.96</v>
      </c>
      <c r="AV2311">
        <v>1</v>
      </c>
      <c r="AW2311">
        <v>4.42</v>
      </c>
      <c r="AX2311">
        <v>9.44</v>
      </c>
      <c r="AY2311">
        <v>40.590000000000003</v>
      </c>
      <c r="AZ2311">
        <v>37.64</v>
      </c>
      <c r="BA2311">
        <v>0.72</v>
      </c>
      <c r="BB2311" t="s">
        <v>143</v>
      </c>
      <c r="BF2311">
        <v>-1.32</v>
      </c>
      <c r="BG2311">
        <v>-2.5299999999999998</v>
      </c>
      <c r="BH2311">
        <v>-2.82</v>
      </c>
      <c r="BI2311">
        <v>0</v>
      </c>
      <c r="BJ2311">
        <v>20210903</v>
      </c>
      <c r="BK2311">
        <v>20210426</v>
      </c>
      <c r="BL2311">
        <v>4.2300000000000004</v>
      </c>
      <c r="BM2311" t="s">
        <v>120</v>
      </c>
      <c r="BN2311" t="s">
        <v>120</v>
      </c>
      <c r="BO2311">
        <v>20.86</v>
      </c>
      <c r="BP2311">
        <v>16.53</v>
      </c>
      <c r="BQ2311">
        <v>14.7</v>
      </c>
      <c r="BR2311">
        <v>0.04</v>
      </c>
      <c r="BS2311">
        <v>29.34</v>
      </c>
      <c r="BT2311">
        <v>16.27</v>
      </c>
      <c r="BU2311">
        <v>2.66</v>
      </c>
      <c r="BV2311">
        <v>0.78</v>
      </c>
      <c r="BW2311">
        <v>5.38</v>
      </c>
      <c r="BX2311">
        <v>10.64</v>
      </c>
      <c r="BY2311">
        <v>2.19</v>
      </c>
      <c r="BZ2311">
        <v>2.94</v>
      </c>
      <c r="CA2311" t="s">
        <v>120</v>
      </c>
      <c r="CB2311">
        <v>7.7</v>
      </c>
      <c r="CC2311">
        <v>7.76</v>
      </c>
      <c r="CD2311">
        <v>5.3</v>
      </c>
      <c r="CE2311">
        <v>0.83</v>
      </c>
      <c r="CF2311">
        <v>0.04</v>
      </c>
      <c r="CG2311">
        <v>0.82</v>
      </c>
      <c r="CH2311">
        <v>0.7</v>
      </c>
      <c r="CI2311">
        <v>0.69</v>
      </c>
      <c r="CJ2311">
        <v>-0.43</v>
      </c>
      <c r="CK2311">
        <v>0.61</v>
      </c>
      <c r="CL2311">
        <v>2.11</v>
      </c>
      <c r="CM2311">
        <v>0.64</v>
      </c>
      <c r="CN2311">
        <v>2.63</v>
      </c>
      <c r="CO2311">
        <v>21540</v>
      </c>
      <c r="CP2311">
        <v>1853</v>
      </c>
      <c r="CQ2311" t="s">
        <v>10911</v>
      </c>
      <c r="CR2311">
        <v>-16.649999999999999</v>
      </c>
      <c r="CS2311">
        <v>22.45</v>
      </c>
      <c r="CT2311">
        <v>4.76</v>
      </c>
      <c r="CU2311">
        <v>110</v>
      </c>
      <c r="CV2311">
        <v>9.01</v>
      </c>
      <c r="CW2311">
        <v>2.94</v>
      </c>
      <c r="CX2311" t="s">
        <v>242</v>
      </c>
      <c r="CY2311">
        <v>3.48</v>
      </c>
      <c r="CZ2311">
        <v>0</v>
      </c>
      <c r="DA2311">
        <v>1.82</v>
      </c>
      <c r="DB2311">
        <v>0.5</v>
      </c>
      <c r="DC2311">
        <v>0.15</v>
      </c>
      <c r="DD2311">
        <v>70.47</v>
      </c>
      <c r="DE2311" t="s">
        <v>2571</v>
      </c>
      <c r="DF2311">
        <v>31.72</v>
      </c>
      <c r="DG2311">
        <v>10.64</v>
      </c>
      <c r="DH2311">
        <v>8.94</v>
      </c>
      <c r="DI2311">
        <v>0.28999999999999998</v>
      </c>
      <c r="DJ2311">
        <v>2999</v>
      </c>
      <c r="DK2311">
        <v>300978</v>
      </c>
      <c r="DL2311" t="s">
        <v>120</v>
      </c>
      <c r="DM2311" t="s">
        <v>120</v>
      </c>
      <c r="DN2311" t="s">
        <v>120</v>
      </c>
    </row>
    <row r="2312" spans="1:118">
      <c r="A2312" t="str">
        <f>"300979"</f>
        <v>300979</v>
      </c>
      <c r="B2312" t="s">
        <v>10912</v>
      </c>
      <c r="C2312">
        <v>5.51</v>
      </c>
      <c r="D2312">
        <v>0.06</v>
      </c>
      <c r="E2312">
        <v>0.06</v>
      </c>
      <c r="F2312">
        <v>198</v>
      </c>
      <c r="G2312" t="s">
        <v>10913</v>
      </c>
      <c r="H2312">
        <v>14720.29</v>
      </c>
      <c r="I2312">
        <v>74.83</v>
      </c>
      <c r="J2312" t="s">
        <v>120</v>
      </c>
      <c r="K2312" t="s">
        <v>10913</v>
      </c>
      <c r="L2312">
        <v>2.17</v>
      </c>
      <c r="M2312">
        <v>86.71</v>
      </c>
      <c r="N2312">
        <v>1.1499999999999999</v>
      </c>
      <c r="O2312">
        <v>6.28</v>
      </c>
      <c r="P2312">
        <v>87.34</v>
      </c>
      <c r="Q2312">
        <v>0.06</v>
      </c>
      <c r="R2312">
        <v>82.23</v>
      </c>
      <c r="S2312">
        <v>82.23</v>
      </c>
      <c r="T2312">
        <v>17097</v>
      </c>
      <c r="U2312">
        <v>86.73</v>
      </c>
      <c r="V2312">
        <v>82.18</v>
      </c>
      <c r="W2312">
        <v>39.200000000000003</v>
      </c>
      <c r="X2312" t="s">
        <v>2806</v>
      </c>
      <c r="Y2312" t="s">
        <v>547</v>
      </c>
      <c r="Z2312">
        <v>6.22</v>
      </c>
      <c r="AA2312">
        <v>86.1</v>
      </c>
      <c r="AB2312">
        <v>6502</v>
      </c>
      <c r="AC2312">
        <v>10595</v>
      </c>
      <c r="AD2312">
        <v>0.61</v>
      </c>
      <c r="AE2312">
        <v>1</v>
      </c>
      <c r="AF2312">
        <v>101</v>
      </c>
      <c r="AG2312" t="s">
        <v>120</v>
      </c>
      <c r="AH2312">
        <v>0.01</v>
      </c>
      <c r="AI2312" t="s">
        <v>120</v>
      </c>
      <c r="AJ2312">
        <v>0.79</v>
      </c>
      <c r="AK2312" t="s">
        <v>10914</v>
      </c>
      <c r="AL2312">
        <v>7.43</v>
      </c>
      <c r="AM2312">
        <v>2087</v>
      </c>
      <c r="AN2312">
        <v>8</v>
      </c>
      <c r="AO2312">
        <v>1E-3</v>
      </c>
      <c r="AP2312">
        <v>1</v>
      </c>
      <c r="AQ2312">
        <v>-3.05</v>
      </c>
      <c r="AR2312">
        <v>7.07</v>
      </c>
      <c r="AS2312">
        <v>-2.5299999999999998</v>
      </c>
      <c r="AT2312">
        <v>-13.53</v>
      </c>
      <c r="AU2312">
        <v>164.19</v>
      </c>
      <c r="AV2312">
        <v>0</v>
      </c>
      <c r="AW2312">
        <v>2.17</v>
      </c>
      <c r="AX2312">
        <v>6.74</v>
      </c>
      <c r="AY2312">
        <v>40.54</v>
      </c>
      <c r="AZ2312">
        <v>51.67</v>
      </c>
      <c r="BA2312">
        <v>0.96</v>
      </c>
      <c r="BB2312" t="s">
        <v>134</v>
      </c>
      <c r="BF2312">
        <v>4.7699999999999996</v>
      </c>
      <c r="BG2312">
        <v>5.45</v>
      </c>
      <c r="BH2312">
        <v>-0.72</v>
      </c>
      <c r="BI2312">
        <v>5.45</v>
      </c>
      <c r="BJ2312">
        <v>20210914</v>
      </c>
      <c r="BK2312">
        <v>20210426</v>
      </c>
      <c r="BL2312">
        <v>11.67</v>
      </c>
      <c r="BM2312" t="s">
        <v>120</v>
      </c>
      <c r="BN2312" t="s">
        <v>120</v>
      </c>
      <c r="BO2312">
        <v>155.30000000000001</v>
      </c>
      <c r="BP2312">
        <v>86.7</v>
      </c>
      <c r="BQ2312">
        <v>106.36</v>
      </c>
      <c r="BR2312" t="s">
        <v>120</v>
      </c>
      <c r="BS2312">
        <v>31.52</v>
      </c>
      <c r="BT2312">
        <v>120.53</v>
      </c>
      <c r="BU2312">
        <v>26.01</v>
      </c>
      <c r="BV2312">
        <v>1.99</v>
      </c>
      <c r="BW2312">
        <v>47.14</v>
      </c>
      <c r="BX2312">
        <v>56.04</v>
      </c>
      <c r="BY2312">
        <v>23.28</v>
      </c>
      <c r="BZ2312">
        <v>26.15</v>
      </c>
      <c r="CA2312" t="s">
        <v>120</v>
      </c>
      <c r="CB2312">
        <v>57.04</v>
      </c>
      <c r="CC2312">
        <v>81.95</v>
      </c>
      <c r="CD2312">
        <v>58.48</v>
      </c>
      <c r="CE2312">
        <v>17.559999999999999</v>
      </c>
      <c r="CF2312">
        <v>0</v>
      </c>
      <c r="CG2312">
        <v>17.45</v>
      </c>
      <c r="CH2312">
        <v>12.91</v>
      </c>
      <c r="CI2312">
        <v>12.91</v>
      </c>
      <c r="CJ2312">
        <v>4.53</v>
      </c>
      <c r="CK2312">
        <v>12.98</v>
      </c>
      <c r="CL2312">
        <v>44.91</v>
      </c>
      <c r="CM2312">
        <v>7.33</v>
      </c>
      <c r="CN2312">
        <v>25.29</v>
      </c>
      <c r="CO2312">
        <v>17200</v>
      </c>
      <c r="CP2312">
        <v>4576</v>
      </c>
      <c r="CQ2312" t="s">
        <v>10915</v>
      </c>
      <c r="CR2312">
        <v>66.58</v>
      </c>
      <c r="CS2312">
        <v>18.23</v>
      </c>
      <c r="CT2312">
        <v>9.51</v>
      </c>
      <c r="CU2312">
        <v>138.05000000000001</v>
      </c>
      <c r="CV2312">
        <v>12.35</v>
      </c>
      <c r="CW2312">
        <v>1.2</v>
      </c>
      <c r="CX2312" t="s">
        <v>10916</v>
      </c>
      <c r="CY2312">
        <v>9.11</v>
      </c>
      <c r="CZ2312">
        <v>0</v>
      </c>
      <c r="DA2312">
        <v>4.8899999999999997</v>
      </c>
      <c r="DB2312">
        <v>3.85</v>
      </c>
      <c r="DC2312">
        <v>0.63</v>
      </c>
      <c r="DD2312">
        <v>68.48</v>
      </c>
      <c r="DE2312" t="s">
        <v>10917</v>
      </c>
      <c r="DF2312">
        <v>28.63</v>
      </c>
      <c r="DG2312">
        <v>21.43</v>
      </c>
      <c r="DH2312">
        <v>15.75</v>
      </c>
      <c r="DI2312">
        <v>1.2</v>
      </c>
      <c r="DJ2312">
        <v>110292</v>
      </c>
      <c r="DK2312">
        <v>300979</v>
      </c>
      <c r="DL2312" t="s">
        <v>120</v>
      </c>
      <c r="DM2312" t="s">
        <v>120</v>
      </c>
      <c r="DN2312" t="s">
        <v>120</v>
      </c>
    </row>
    <row r="2313" spans="1:118">
      <c r="A2313" t="str">
        <f>"300980"</f>
        <v>300980</v>
      </c>
      <c r="B2313" t="s">
        <v>10918</v>
      </c>
      <c r="C2313">
        <v>2.21</v>
      </c>
      <c r="D2313">
        <v>0.02</v>
      </c>
      <c r="E2313">
        <v>-0.05</v>
      </c>
      <c r="F2313">
        <v>141</v>
      </c>
      <c r="G2313" t="s">
        <v>10919</v>
      </c>
      <c r="H2313">
        <v>7262.86</v>
      </c>
      <c r="I2313">
        <v>12.49</v>
      </c>
      <c r="J2313" t="s">
        <v>120</v>
      </c>
      <c r="K2313" t="s">
        <v>10919</v>
      </c>
      <c r="L2313">
        <v>9.73</v>
      </c>
      <c r="M2313">
        <v>41.19</v>
      </c>
      <c r="N2313">
        <v>1.66</v>
      </c>
      <c r="O2313">
        <v>5.01</v>
      </c>
      <c r="P2313">
        <v>42.32</v>
      </c>
      <c r="Q2313">
        <v>-0.05</v>
      </c>
      <c r="R2313">
        <v>40.28</v>
      </c>
      <c r="S2313">
        <v>40.28</v>
      </c>
      <c r="T2313">
        <v>17485</v>
      </c>
      <c r="U2313">
        <v>41.19</v>
      </c>
      <c r="V2313">
        <v>40.299999999999997</v>
      </c>
      <c r="W2313">
        <v>34.11</v>
      </c>
      <c r="X2313" t="s">
        <v>2211</v>
      </c>
      <c r="Y2313" t="s">
        <v>763</v>
      </c>
      <c r="Z2313">
        <v>5.0599999999999996</v>
      </c>
      <c r="AA2313">
        <v>41.54</v>
      </c>
      <c r="AB2313">
        <v>8333</v>
      </c>
      <c r="AC2313">
        <v>9152</v>
      </c>
      <c r="AD2313">
        <v>0.91</v>
      </c>
      <c r="AE2313">
        <v>156</v>
      </c>
      <c r="AF2313">
        <v>7</v>
      </c>
      <c r="AG2313" t="s">
        <v>120</v>
      </c>
      <c r="AH2313">
        <v>0.02</v>
      </c>
      <c r="AI2313" t="s">
        <v>120</v>
      </c>
      <c r="AJ2313">
        <v>0.18</v>
      </c>
      <c r="AK2313" t="s">
        <v>10457</v>
      </c>
      <c r="AL2313">
        <v>4.12</v>
      </c>
      <c r="AM2313">
        <v>1527</v>
      </c>
      <c r="AN2313">
        <v>11</v>
      </c>
      <c r="AO2313">
        <v>6.4000000000000003E-3</v>
      </c>
      <c r="AP2313">
        <v>2</v>
      </c>
      <c r="AQ2313">
        <v>0.6</v>
      </c>
      <c r="AR2313">
        <v>-0.1</v>
      </c>
      <c r="AS2313">
        <v>4.1500000000000004</v>
      </c>
      <c r="AT2313">
        <v>-2.39</v>
      </c>
      <c r="AU2313">
        <v>25.7</v>
      </c>
      <c r="AV2313">
        <v>0</v>
      </c>
      <c r="AW2313">
        <v>9.73</v>
      </c>
      <c r="AX2313">
        <v>25</v>
      </c>
      <c r="AY2313">
        <v>31.84</v>
      </c>
      <c r="AZ2313">
        <v>38.67</v>
      </c>
      <c r="BA2313">
        <v>0.7</v>
      </c>
      <c r="BB2313" t="s">
        <v>143</v>
      </c>
      <c r="BF2313">
        <v>3.07</v>
      </c>
      <c r="BG2313">
        <v>2.2599999999999998</v>
      </c>
      <c r="BH2313">
        <v>-2.67</v>
      </c>
      <c r="BI2313">
        <v>2.2599999999999998</v>
      </c>
      <c r="BJ2313">
        <v>20210826</v>
      </c>
      <c r="BK2313">
        <v>20210421</v>
      </c>
      <c r="BL2313">
        <v>0.72</v>
      </c>
      <c r="BM2313" t="s">
        <v>120</v>
      </c>
      <c r="BN2313" t="s">
        <v>120</v>
      </c>
      <c r="BO2313">
        <v>10.42</v>
      </c>
      <c r="BP2313">
        <v>41.18</v>
      </c>
      <c r="BQ2313">
        <v>8.73</v>
      </c>
      <c r="BR2313" t="s">
        <v>120</v>
      </c>
      <c r="BS2313">
        <v>16.239999999999998</v>
      </c>
      <c r="BT2313">
        <v>7.27</v>
      </c>
      <c r="BU2313">
        <v>1.75</v>
      </c>
      <c r="BV2313">
        <v>0.56000000000000005</v>
      </c>
      <c r="BW2313">
        <v>1.36</v>
      </c>
      <c r="BX2313">
        <v>1.1200000000000001</v>
      </c>
      <c r="BY2313">
        <v>0.48</v>
      </c>
      <c r="BZ2313">
        <v>0.78</v>
      </c>
      <c r="CA2313" t="s">
        <v>120</v>
      </c>
      <c r="CB2313">
        <v>5.77</v>
      </c>
      <c r="CC2313">
        <v>2.11</v>
      </c>
      <c r="CD2313">
        <v>1.26</v>
      </c>
      <c r="CE2313">
        <v>0.52</v>
      </c>
      <c r="CF2313">
        <v>0</v>
      </c>
      <c r="CG2313">
        <v>0.5</v>
      </c>
      <c r="CH2313">
        <v>0.43</v>
      </c>
      <c r="CI2313">
        <v>0.43</v>
      </c>
      <c r="CJ2313">
        <v>0.89</v>
      </c>
      <c r="CK2313">
        <v>0.39</v>
      </c>
      <c r="CL2313">
        <v>2.04</v>
      </c>
      <c r="CM2313">
        <v>0.08</v>
      </c>
      <c r="CN2313">
        <v>0.38</v>
      </c>
      <c r="CO2313">
        <v>15597</v>
      </c>
      <c r="CP2313">
        <v>1152</v>
      </c>
      <c r="CQ2313" t="s">
        <v>5640</v>
      </c>
      <c r="CR2313">
        <v>58.76</v>
      </c>
      <c r="CS2313">
        <v>86.86</v>
      </c>
      <c r="CT2313">
        <v>3.39</v>
      </c>
      <c r="CU2313">
        <v>386.4</v>
      </c>
      <c r="CV2313">
        <v>14.07</v>
      </c>
      <c r="CW2313">
        <v>0</v>
      </c>
      <c r="CX2313" t="s">
        <v>3301</v>
      </c>
      <c r="CY2313">
        <v>12.14</v>
      </c>
      <c r="CZ2313">
        <v>0</v>
      </c>
      <c r="DA2313">
        <v>8.0299999999999994</v>
      </c>
      <c r="DB2313">
        <v>2.84</v>
      </c>
      <c r="DC2313">
        <v>0.11</v>
      </c>
      <c r="DD2313">
        <v>83.76</v>
      </c>
      <c r="DE2313" t="s">
        <v>5005</v>
      </c>
      <c r="DF2313">
        <v>40.200000000000003</v>
      </c>
      <c r="DG2313">
        <v>24.6</v>
      </c>
      <c r="DH2313">
        <v>20.62</v>
      </c>
      <c r="DI2313">
        <v>0.1</v>
      </c>
      <c r="DJ2313">
        <v>705</v>
      </c>
      <c r="DK2313">
        <v>300980</v>
      </c>
      <c r="DL2313" t="s">
        <v>120</v>
      </c>
      <c r="DM2313" t="s">
        <v>120</v>
      </c>
      <c r="DN2313" t="s">
        <v>120</v>
      </c>
    </row>
    <row r="2314" spans="1:118">
      <c r="A2314" t="str">
        <f>"300981"</f>
        <v>300981</v>
      </c>
      <c r="B2314" t="s">
        <v>10920</v>
      </c>
      <c r="C2314">
        <v>-2.84</v>
      </c>
      <c r="D2314">
        <v>0</v>
      </c>
      <c r="E2314">
        <v>-0.1</v>
      </c>
      <c r="F2314">
        <v>174</v>
      </c>
      <c r="G2314" t="s">
        <v>1698</v>
      </c>
      <c r="H2314">
        <v>14372.3</v>
      </c>
      <c r="I2314">
        <v>27.5</v>
      </c>
      <c r="J2314" t="s">
        <v>120</v>
      </c>
      <c r="K2314" t="s">
        <v>1698</v>
      </c>
      <c r="L2314">
        <v>3.76</v>
      </c>
      <c r="M2314">
        <v>95.51</v>
      </c>
      <c r="N2314">
        <v>1.19</v>
      </c>
      <c r="O2314">
        <v>-0.09</v>
      </c>
      <c r="P2314">
        <v>98.21</v>
      </c>
      <c r="Q2314">
        <v>-2.94</v>
      </c>
      <c r="R2314">
        <v>95.41</v>
      </c>
      <c r="S2314">
        <v>98.2</v>
      </c>
      <c r="T2314">
        <v>14867</v>
      </c>
      <c r="U2314">
        <v>95.52</v>
      </c>
      <c r="V2314">
        <v>98.3</v>
      </c>
      <c r="W2314">
        <v>3.81</v>
      </c>
      <c r="X2314" t="s">
        <v>555</v>
      </c>
      <c r="Y2314" t="s">
        <v>602</v>
      </c>
      <c r="Z2314">
        <v>2.85</v>
      </c>
      <c r="AA2314">
        <v>96.67</v>
      </c>
      <c r="AB2314">
        <v>8523</v>
      </c>
      <c r="AC2314">
        <v>6344</v>
      </c>
      <c r="AD2314">
        <v>1.34</v>
      </c>
      <c r="AE2314">
        <v>78</v>
      </c>
      <c r="AF2314">
        <v>4</v>
      </c>
      <c r="AG2314" t="s">
        <v>120</v>
      </c>
      <c r="AH2314">
        <v>0.01</v>
      </c>
      <c r="AI2314" t="s">
        <v>120</v>
      </c>
      <c r="AJ2314">
        <v>0.4</v>
      </c>
      <c r="AK2314" t="s">
        <v>10921</v>
      </c>
      <c r="AL2314">
        <v>-0.92</v>
      </c>
      <c r="AM2314">
        <v>2055</v>
      </c>
      <c r="AN2314">
        <v>7</v>
      </c>
      <c r="AO2314">
        <v>1.8E-3</v>
      </c>
      <c r="AP2314">
        <v>-3</v>
      </c>
      <c r="AQ2314">
        <v>-3</v>
      </c>
      <c r="AR2314">
        <v>-5.87</v>
      </c>
      <c r="AS2314">
        <v>-14.5</v>
      </c>
      <c r="AT2314">
        <v>-10.45</v>
      </c>
      <c r="AU2314">
        <v>96.57</v>
      </c>
      <c r="AV2314">
        <v>0</v>
      </c>
      <c r="AW2314">
        <v>3.76</v>
      </c>
      <c r="AX2314">
        <v>23.71</v>
      </c>
      <c r="AY2314">
        <v>3.82</v>
      </c>
      <c r="AZ2314">
        <v>6.15</v>
      </c>
      <c r="BA2314">
        <v>0.23</v>
      </c>
      <c r="BB2314" t="s">
        <v>125</v>
      </c>
      <c r="BF2314">
        <v>-1.65</v>
      </c>
      <c r="BG2314">
        <v>-2.74</v>
      </c>
      <c r="BH2314">
        <v>-2.75</v>
      </c>
      <c r="BI2314">
        <v>0.1</v>
      </c>
      <c r="BJ2314">
        <v>20210827</v>
      </c>
      <c r="BK2314">
        <v>20210427</v>
      </c>
      <c r="BL2314">
        <v>1.67</v>
      </c>
      <c r="BM2314" t="s">
        <v>120</v>
      </c>
      <c r="BN2314" t="s">
        <v>120</v>
      </c>
      <c r="BO2314">
        <v>72.709999999999994</v>
      </c>
      <c r="BP2314">
        <v>95.51</v>
      </c>
      <c r="BQ2314">
        <v>65.41</v>
      </c>
      <c r="BR2314" t="s">
        <v>120</v>
      </c>
      <c r="BS2314">
        <v>10.039999999999999</v>
      </c>
      <c r="BT2314">
        <v>56.4</v>
      </c>
      <c r="BU2314">
        <v>8.34</v>
      </c>
      <c r="BV2314">
        <v>0.66</v>
      </c>
      <c r="BW2314">
        <v>7.18</v>
      </c>
      <c r="BX2314">
        <v>17.16</v>
      </c>
      <c r="BY2314">
        <v>4.47</v>
      </c>
      <c r="BZ2314">
        <v>4.04</v>
      </c>
      <c r="CA2314" t="s">
        <v>120</v>
      </c>
      <c r="CB2314">
        <v>19.39</v>
      </c>
      <c r="CC2314">
        <v>36.47</v>
      </c>
      <c r="CD2314">
        <v>10.14</v>
      </c>
      <c r="CE2314">
        <v>24.89</v>
      </c>
      <c r="CF2314">
        <v>0.13</v>
      </c>
      <c r="CG2314">
        <v>24.88</v>
      </c>
      <c r="CH2314">
        <v>20.89</v>
      </c>
      <c r="CI2314">
        <v>20.89</v>
      </c>
      <c r="CJ2314">
        <v>-2.79</v>
      </c>
      <c r="CK2314">
        <v>20.65</v>
      </c>
      <c r="CL2314">
        <v>43.51</v>
      </c>
      <c r="CM2314">
        <v>16.82</v>
      </c>
      <c r="CN2314">
        <v>6.03</v>
      </c>
      <c r="CO2314">
        <v>39550</v>
      </c>
      <c r="CP2314">
        <v>999</v>
      </c>
      <c r="CQ2314" t="s">
        <v>10922</v>
      </c>
      <c r="CR2314">
        <v>351.09</v>
      </c>
      <c r="CS2314">
        <v>221.17</v>
      </c>
      <c r="CT2314">
        <v>2.4300000000000002</v>
      </c>
      <c r="CU2314">
        <v>9.4600000000000009</v>
      </c>
      <c r="CV2314">
        <v>4.3600000000000003</v>
      </c>
      <c r="CW2314">
        <v>1.53</v>
      </c>
      <c r="CX2314" t="s">
        <v>10923</v>
      </c>
      <c r="CY2314">
        <v>39.24</v>
      </c>
      <c r="CZ2314">
        <v>0</v>
      </c>
      <c r="DA2314">
        <v>11.63</v>
      </c>
      <c r="DB2314">
        <v>26.11</v>
      </c>
      <c r="DC2314">
        <v>10.09</v>
      </c>
      <c r="DD2314">
        <v>89.96</v>
      </c>
      <c r="DE2314" t="s">
        <v>10924</v>
      </c>
      <c r="DF2314">
        <v>72.19</v>
      </c>
      <c r="DG2314">
        <v>68.25</v>
      </c>
      <c r="DH2314">
        <v>57.28</v>
      </c>
      <c r="DI2314">
        <v>0.12</v>
      </c>
      <c r="DJ2314">
        <v>2939</v>
      </c>
      <c r="DK2314">
        <v>300981</v>
      </c>
      <c r="DL2314" t="s">
        <v>120</v>
      </c>
      <c r="DM2314" t="s">
        <v>120</v>
      </c>
      <c r="DN2314" t="s">
        <v>120</v>
      </c>
    </row>
    <row r="2315" spans="1:118">
      <c r="A2315" t="str">
        <f>"300982"</f>
        <v>300982</v>
      </c>
      <c r="B2315" t="s">
        <v>10925</v>
      </c>
      <c r="C2315">
        <v>-1.82</v>
      </c>
      <c r="D2315">
        <v>-0.13</v>
      </c>
      <c r="E2315">
        <v>0.32</v>
      </c>
      <c r="F2315">
        <v>73</v>
      </c>
      <c r="G2315" t="s">
        <v>1859</v>
      </c>
      <c r="H2315">
        <v>10727.91</v>
      </c>
      <c r="I2315">
        <v>38.35</v>
      </c>
      <c r="J2315" t="s">
        <v>120</v>
      </c>
      <c r="K2315" t="s">
        <v>1859</v>
      </c>
      <c r="L2315">
        <v>5</v>
      </c>
      <c r="M2315">
        <v>63.61</v>
      </c>
      <c r="N2315">
        <v>0.95</v>
      </c>
      <c r="O2315">
        <v>3.41</v>
      </c>
      <c r="P2315">
        <v>67</v>
      </c>
      <c r="Q2315">
        <v>-2.95</v>
      </c>
      <c r="R2315">
        <v>62.88</v>
      </c>
      <c r="S2315">
        <v>65</v>
      </c>
      <c r="T2315">
        <v>16648</v>
      </c>
      <c r="U2315">
        <v>63.68</v>
      </c>
      <c r="V2315">
        <v>64.790000000000006</v>
      </c>
      <c r="W2315">
        <v>34.96</v>
      </c>
      <c r="X2315" t="s">
        <v>175</v>
      </c>
      <c r="Y2315" t="s">
        <v>319</v>
      </c>
      <c r="Z2315">
        <v>6.36</v>
      </c>
      <c r="AA2315">
        <v>64.44</v>
      </c>
      <c r="AB2315">
        <v>9128</v>
      </c>
      <c r="AC2315">
        <v>7520</v>
      </c>
      <c r="AD2315">
        <v>1.21</v>
      </c>
      <c r="AE2315">
        <v>6</v>
      </c>
      <c r="AF2315">
        <v>5</v>
      </c>
      <c r="AG2315" t="s">
        <v>120</v>
      </c>
      <c r="AH2315">
        <v>0.02</v>
      </c>
      <c r="AI2315" t="s">
        <v>120</v>
      </c>
      <c r="AJ2315">
        <v>0.33</v>
      </c>
      <c r="AK2315" t="s">
        <v>10926</v>
      </c>
      <c r="AL2315">
        <v>0.09</v>
      </c>
      <c r="AM2315">
        <v>1895</v>
      </c>
      <c r="AN2315">
        <v>9</v>
      </c>
      <c r="AO2315">
        <v>2.5999999999999999E-3</v>
      </c>
      <c r="AP2315">
        <v>-1</v>
      </c>
      <c r="AQ2315">
        <v>2.4500000000000002</v>
      </c>
      <c r="AR2315">
        <v>-0.47</v>
      </c>
      <c r="AS2315">
        <v>-12.26</v>
      </c>
      <c r="AT2315">
        <v>26.11</v>
      </c>
      <c r="AU2315">
        <v>314.94</v>
      </c>
      <c r="AV2315">
        <v>2</v>
      </c>
      <c r="AW2315">
        <v>5</v>
      </c>
      <c r="AX2315">
        <v>23.71</v>
      </c>
      <c r="AY2315">
        <v>31.77</v>
      </c>
      <c r="AZ2315">
        <v>38.159999999999997</v>
      </c>
      <c r="BA2315">
        <v>1.19</v>
      </c>
      <c r="BB2315" t="s">
        <v>143</v>
      </c>
      <c r="BF2315">
        <v>-0.54</v>
      </c>
      <c r="BG2315">
        <v>-2.14</v>
      </c>
      <c r="BH2315">
        <v>-5.0599999999999996</v>
      </c>
      <c r="BI2315">
        <v>1.1599999999999999</v>
      </c>
      <c r="BJ2315">
        <v>20210906</v>
      </c>
      <c r="BK2315">
        <v>20210427</v>
      </c>
      <c r="BL2315">
        <v>1.4</v>
      </c>
      <c r="BM2315" t="s">
        <v>120</v>
      </c>
      <c r="BN2315" t="s">
        <v>120</v>
      </c>
      <c r="BO2315">
        <v>20.76</v>
      </c>
      <c r="BP2315">
        <v>63.61</v>
      </c>
      <c r="BQ2315">
        <v>12.67</v>
      </c>
      <c r="BR2315" t="s">
        <v>120</v>
      </c>
      <c r="BS2315">
        <v>38.97</v>
      </c>
      <c r="BT2315">
        <v>18.920000000000002</v>
      </c>
      <c r="BU2315">
        <v>0.8</v>
      </c>
      <c r="BV2315">
        <v>0.43</v>
      </c>
      <c r="BW2315">
        <v>7.88</v>
      </c>
      <c r="BX2315">
        <v>8.26</v>
      </c>
      <c r="BY2315">
        <v>0.69</v>
      </c>
      <c r="BZ2315">
        <v>6.44</v>
      </c>
      <c r="CA2315" t="s">
        <v>120</v>
      </c>
      <c r="CB2315">
        <v>6.08</v>
      </c>
      <c r="CC2315">
        <v>7.27</v>
      </c>
      <c r="CD2315">
        <v>5.14</v>
      </c>
      <c r="CE2315">
        <v>1.35</v>
      </c>
      <c r="CF2315">
        <v>0.03</v>
      </c>
      <c r="CG2315">
        <v>1.48</v>
      </c>
      <c r="CH2315">
        <v>1.28</v>
      </c>
      <c r="CI2315">
        <v>1.28</v>
      </c>
      <c r="CJ2315">
        <v>-1.18</v>
      </c>
      <c r="CK2315">
        <v>1.1399999999999999</v>
      </c>
      <c r="CL2315">
        <v>4.71</v>
      </c>
      <c r="CM2315">
        <v>-0.43</v>
      </c>
      <c r="CN2315">
        <v>3.19</v>
      </c>
      <c r="CO2315">
        <v>14946</v>
      </c>
      <c r="CP2315">
        <v>2226</v>
      </c>
      <c r="CQ2315" t="s">
        <v>10927</v>
      </c>
      <c r="CR2315">
        <v>60.05</v>
      </c>
      <c r="CS2315">
        <v>38.4</v>
      </c>
      <c r="CT2315">
        <v>7.04</v>
      </c>
      <c r="CU2315">
        <v>-205.66</v>
      </c>
      <c r="CV2315">
        <v>12.27</v>
      </c>
      <c r="CW2315">
        <v>0.77</v>
      </c>
      <c r="CX2315" t="s">
        <v>1953</v>
      </c>
      <c r="CY2315">
        <v>9.0299999999999994</v>
      </c>
      <c r="CZ2315">
        <v>0</v>
      </c>
      <c r="DA2315">
        <v>4.33</v>
      </c>
      <c r="DB2315">
        <v>3.35</v>
      </c>
      <c r="DC2315">
        <v>-0.31</v>
      </c>
      <c r="DD2315">
        <v>61.03</v>
      </c>
      <c r="DE2315" t="s">
        <v>10928</v>
      </c>
      <c r="DF2315">
        <v>29.3</v>
      </c>
      <c r="DG2315">
        <v>18.59</v>
      </c>
      <c r="DH2315">
        <v>17.55</v>
      </c>
      <c r="DI2315">
        <v>0.26</v>
      </c>
      <c r="DJ2315">
        <v>645</v>
      </c>
      <c r="DK2315">
        <v>300982</v>
      </c>
      <c r="DL2315">
        <v>20210428</v>
      </c>
      <c r="DM2315">
        <v>44.65</v>
      </c>
      <c r="DN2315">
        <v>43.58</v>
      </c>
    </row>
    <row r="2316" spans="1:118">
      <c r="A2316" t="str">
        <f>"300983"</f>
        <v>300983</v>
      </c>
      <c r="B2316" t="s">
        <v>10929</v>
      </c>
      <c r="C2316">
        <v>-1.4</v>
      </c>
      <c r="D2316">
        <v>0</v>
      </c>
      <c r="E2316">
        <v>-0.2</v>
      </c>
      <c r="F2316">
        <v>78</v>
      </c>
      <c r="G2316" t="s">
        <v>10930</v>
      </c>
      <c r="H2316">
        <v>3901.47</v>
      </c>
      <c r="I2316">
        <v>8.89</v>
      </c>
      <c r="J2316" t="s">
        <v>120</v>
      </c>
      <c r="K2316" t="s">
        <v>10930</v>
      </c>
      <c r="L2316">
        <v>2.21</v>
      </c>
      <c r="M2316">
        <v>87.81</v>
      </c>
      <c r="N2316">
        <v>0.8</v>
      </c>
      <c r="O2316">
        <v>0.47</v>
      </c>
      <c r="P2316">
        <v>89.48</v>
      </c>
      <c r="Q2316">
        <v>-1.4</v>
      </c>
      <c r="R2316">
        <v>87.81</v>
      </c>
      <c r="S2316">
        <v>88.88</v>
      </c>
      <c r="T2316">
        <v>4410</v>
      </c>
      <c r="U2316">
        <v>87.82</v>
      </c>
      <c r="V2316">
        <v>89.06</v>
      </c>
      <c r="W2316">
        <v>24.32</v>
      </c>
      <c r="X2316" t="s">
        <v>175</v>
      </c>
      <c r="Y2316" t="s">
        <v>1510</v>
      </c>
      <c r="Z2316">
        <v>1.88</v>
      </c>
      <c r="AA2316">
        <v>88.46</v>
      </c>
      <c r="AB2316">
        <v>2976</v>
      </c>
      <c r="AC2316">
        <v>1434</v>
      </c>
      <c r="AD2316">
        <v>2.08</v>
      </c>
      <c r="AE2316">
        <v>5</v>
      </c>
      <c r="AF2316">
        <v>38</v>
      </c>
      <c r="AG2316" t="s">
        <v>120</v>
      </c>
      <c r="AH2316">
        <v>0.01</v>
      </c>
      <c r="AI2316" t="s">
        <v>120</v>
      </c>
      <c r="AJ2316">
        <v>0.2</v>
      </c>
      <c r="AK2316" t="s">
        <v>8622</v>
      </c>
      <c r="AL2316">
        <v>0.51</v>
      </c>
      <c r="AM2316">
        <v>914</v>
      </c>
      <c r="AN2316">
        <v>5</v>
      </c>
      <c r="AO2316">
        <v>2.3999999999999998E-3</v>
      </c>
      <c r="AP2316">
        <v>-1</v>
      </c>
      <c r="AQ2316">
        <v>0.17</v>
      </c>
      <c r="AR2316">
        <v>-3</v>
      </c>
      <c r="AS2316">
        <v>-2</v>
      </c>
      <c r="AT2316">
        <v>-6.04</v>
      </c>
      <c r="AU2316">
        <v>-27.3</v>
      </c>
      <c r="AV2316">
        <v>0</v>
      </c>
      <c r="AW2316">
        <v>2.21</v>
      </c>
      <c r="AX2316">
        <v>25</v>
      </c>
      <c r="AY2316">
        <v>22.16</v>
      </c>
      <c r="AZ2316">
        <v>24.38</v>
      </c>
      <c r="BA2316">
        <v>0.38</v>
      </c>
      <c r="BB2316" t="s">
        <v>240</v>
      </c>
      <c r="BF2316">
        <v>-0.67</v>
      </c>
      <c r="BG2316">
        <v>-1.2</v>
      </c>
      <c r="BH2316">
        <v>-1.87</v>
      </c>
      <c r="BI2316">
        <v>0</v>
      </c>
      <c r="BJ2316">
        <v>20210914</v>
      </c>
      <c r="BK2316">
        <v>20210420</v>
      </c>
      <c r="BL2316">
        <v>0.8</v>
      </c>
      <c r="BM2316" t="s">
        <v>120</v>
      </c>
      <c r="BN2316" t="s">
        <v>120</v>
      </c>
      <c r="BO2316">
        <v>34.71</v>
      </c>
      <c r="BP2316">
        <v>87.81</v>
      </c>
      <c r="BQ2316">
        <v>31.16</v>
      </c>
      <c r="BR2316">
        <v>0.03</v>
      </c>
      <c r="BS2316">
        <v>10.130000000000001</v>
      </c>
      <c r="BT2316">
        <v>32.590000000000003</v>
      </c>
      <c r="BU2316">
        <v>0.06</v>
      </c>
      <c r="BV2316">
        <v>0.03</v>
      </c>
      <c r="BW2316">
        <v>2.82</v>
      </c>
      <c r="BX2316">
        <v>24.61</v>
      </c>
      <c r="BY2316">
        <v>0</v>
      </c>
      <c r="BZ2316">
        <v>7.56</v>
      </c>
      <c r="CA2316">
        <v>0</v>
      </c>
      <c r="CB2316">
        <v>24</v>
      </c>
      <c r="CC2316">
        <v>4.63</v>
      </c>
      <c r="CD2316">
        <v>2.3199999999999998</v>
      </c>
      <c r="CE2316">
        <v>1.68</v>
      </c>
      <c r="CF2316">
        <v>-0.01</v>
      </c>
      <c r="CG2316">
        <v>1.68</v>
      </c>
      <c r="CH2316">
        <v>1.44</v>
      </c>
      <c r="CI2316">
        <v>1.44</v>
      </c>
      <c r="CJ2316">
        <v>-1.25</v>
      </c>
      <c r="CK2316">
        <v>1.3</v>
      </c>
      <c r="CL2316">
        <v>5.91</v>
      </c>
      <c r="CM2316">
        <v>-1.36</v>
      </c>
      <c r="CN2316">
        <v>20.87</v>
      </c>
      <c r="CO2316">
        <v>24670</v>
      </c>
      <c r="CP2316">
        <v>811</v>
      </c>
      <c r="CQ2316" t="s">
        <v>7933</v>
      </c>
      <c r="CR2316">
        <v>0</v>
      </c>
      <c r="CS2316">
        <v>0</v>
      </c>
      <c r="CT2316">
        <v>2.25</v>
      </c>
      <c r="CU2316">
        <v>-51.47</v>
      </c>
      <c r="CV2316">
        <v>15.18</v>
      </c>
      <c r="CW2316">
        <v>1.35</v>
      </c>
      <c r="CX2316" t="s">
        <v>633</v>
      </c>
      <c r="CY2316">
        <v>38.96</v>
      </c>
      <c r="CZ2316">
        <v>0</v>
      </c>
      <c r="DA2316">
        <v>30</v>
      </c>
      <c r="DB2316">
        <v>7.39</v>
      </c>
      <c r="DC2316">
        <v>-1.71</v>
      </c>
      <c r="DD2316">
        <v>89.78</v>
      </c>
      <c r="DE2316" t="s">
        <v>6657</v>
      </c>
      <c r="DF2316">
        <v>49.85</v>
      </c>
      <c r="DG2316">
        <v>36.270000000000003</v>
      </c>
      <c r="DH2316">
        <v>31.21</v>
      </c>
      <c r="DI2316">
        <v>0.21</v>
      </c>
      <c r="DJ2316">
        <v>1286</v>
      </c>
      <c r="DK2316">
        <v>300983</v>
      </c>
      <c r="DL2316" t="s">
        <v>120</v>
      </c>
      <c r="DM2316" t="s">
        <v>120</v>
      </c>
      <c r="DN2316" t="s">
        <v>120</v>
      </c>
    </row>
    <row r="2317" spans="1:118">
      <c r="A2317" t="str">
        <f>"300984"</f>
        <v>300984</v>
      </c>
      <c r="B2317" t="s">
        <v>10931</v>
      </c>
      <c r="C2317">
        <v>-1.49</v>
      </c>
      <c r="D2317">
        <v>-0.04</v>
      </c>
      <c r="E2317">
        <v>0.02</v>
      </c>
      <c r="F2317">
        <v>94</v>
      </c>
      <c r="G2317" t="s">
        <v>10932</v>
      </c>
      <c r="H2317">
        <v>1640.54</v>
      </c>
      <c r="I2317">
        <v>0.42</v>
      </c>
      <c r="J2317" t="s">
        <v>120</v>
      </c>
      <c r="K2317" t="s">
        <v>10932</v>
      </c>
      <c r="L2317">
        <v>3.25</v>
      </c>
      <c r="M2317">
        <v>41.57</v>
      </c>
      <c r="N2317">
        <v>0.96</v>
      </c>
      <c r="O2317">
        <v>0.5</v>
      </c>
      <c r="P2317">
        <v>42.41</v>
      </c>
      <c r="Q2317">
        <v>-1.49</v>
      </c>
      <c r="R2317">
        <v>41.57</v>
      </c>
      <c r="S2317">
        <v>42.21</v>
      </c>
      <c r="T2317">
        <v>3905</v>
      </c>
      <c r="U2317">
        <v>41.58</v>
      </c>
      <c r="V2317">
        <v>42.2</v>
      </c>
      <c r="W2317">
        <v>33.35</v>
      </c>
      <c r="X2317" t="s">
        <v>959</v>
      </c>
      <c r="Y2317" t="s">
        <v>585</v>
      </c>
      <c r="Z2317">
        <v>1.99</v>
      </c>
      <c r="AA2317">
        <v>42.01</v>
      </c>
      <c r="AB2317">
        <v>2420</v>
      </c>
      <c r="AC2317">
        <v>1485</v>
      </c>
      <c r="AD2317">
        <v>1.63</v>
      </c>
      <c r="AE2317">
        <v>35</v>
      </c>
      <c r="AF2317">
        <v>29</v>
      </c>
      <c r="AG2317" t="s">
        <v>120</v>
      </c>
      <c r="AH2317">
        <v>0</v>
      </c>
      <c r="AI2317" t="s">
        <v>120</v>
      </c>
      <c r="AJ2317">
        <v>0.12</v>
      </c>
      <c r="AK2317" t="s">
        <v>10933</v>
      </c>
      <c r="AL2317">
        <v>0.42</v>
      </c>
      <c r="AM2317">
        <v>610</v>
      </c>
      <c r="AN2317">
        <v>6</v>
      </c>
      <c r="AO2317">
        <v>5.3E-3</v>
      </c>
      <c r="AP2317">
        <v>-1</v>
      </c>
      <c r="AQ2317">
        <v>0.6</v>
      </c>
      <c r="AR2317">
        <v>-1.02</v>
      </c>
      <c r="AS2317">
        <v>-6.79</v>
      </c>
      <c r="AT2317">
        <v>-15.63</v>
      </c>
      <c r="AU2317">
        <v>36.43</v>
      </c>
      <c r="AV2317">
        <v>0</v>
      </c>
      <c r="AW2317">
        <v>3.25</v>
      </c>
      <c r="AX2317">
        <v>25</v>
      </c>
      <c r="AY2317">
        <v>30.95</v>
      </c>
      <c r="AZ2317">
        <v>35.07</v>
      </c>
      <c r="BA2317">
        <v>0.66</v>
      </c>
      <c r="BB2317" t="s">
        <v>143</v>
      </c>
      <c r="BF2317">
        <v>-0.45</v>
      </c>
      <c r="BG2317">
        <v>-1.52</v>
      </c>
      <c r="BH2317">
        <v>-1.98</v>
      </c>
      <c r="BI2317">
        <v>0</v>
      </c>
      <c r="BJ2317">
        <v>20210814</v>
      </c>
      <c r="BK2317">
        <v>20210618</v>
      </c>
      <c r="BL2317">
        <v>0.48</v>
      </c>
      <c r="BM2317" t="s">
        <v>120</v>
      </c>
      <c r="BN2317" t="s">
        <v>120</v>
      </c>
      <c r="BO2317">
        <v>10.69</v>
      </c>
      <c r="BP2317">
        <v>41.57</v>
      </c>
      <c r="BQ2317">
        <v>6.28</v>
      </c>
      <c r="BR2317" t="s">
        <v>120</v>
      </c>
      <c r="BS2317">
        <v>41.28</v>
      </c>
      <c r="BT2317">
        <v>7.61</v>
      </c>
      <c r="BU2317">
        <v>1.78</v>
      </c>
      <c r="BV2317">
        <v>0.4</v>
      </c>
      <c r="BW2317">
        <v>3.96</v>
      </c>
      <c r="BX2317">
        <v>3.7</v>
      </c>
      <c r="BY2317">
        <v>1.72</v>
      </c>
      <c r="BZ2317">
        <v>1.83</v>
      </c>
      <c r="CA2317" t="s">
        <v>120</v>
      </c>
      <c r="CB2317">
        <v>4.46</v>
      </c>
      <c r="CC2317">
        <v>4.05</v>
      </c>
      <c r="CD2317">
        <v>3.29</v>
      </c>
      <c r="CE2317">
        <v>0.35</v>
      </c>
      <c r="CF2317">
        <v>0</v>
      </c>
      <c r="CG2317">
        <v>0.35</v>
      </c>
      <c r="CH2317">
        <v>0.3</v>
      </c>
      <c r="CI2317">
        <v>0.3</v>
      </c>
      <c r="CJ2317">
        <v>-0.63</v>
      </c>
      <c r="CK2317">
        <v>0.28000000000000003</v>
      </c>
      <c r="CL2317">
        <v>1.24</v>
      </c>
      <c r="CM2317">
        <v>-0.23</v>
      </c>
      <c r="CN2317">
        <v>3.26</v>
      </c>
      <c r="CO2317">
        <v>13958</v>
      </c>
      <c r="CP2317">
        <v>860</v>
      </c>
      <c r="CQ2317" t="s">
        <v>2224</v>
      </c>
      <c r="CR2317">
        <v>0</v>
      </c>
      <c r="CS2317">
        <v>0</v>
      </c>
      <c r="CT2317">
        <v>3.18</v>
      </c>
      <c r="CU2317">
        <v>-87.25</v>
      </c>
      <c r="CV2317">
        <v>4.93</v>
      </c>
      <c r="CW2317">
        <v>1.18</v>
      </c>
      <c r="CX2317" t="s">
        <v>655</v>
      </c>
      <c r="CY2317">
        <v>13.08</v>
      </c>
      <c r="CZ2317">
        <v>0</v>
      </c>
      <c r="DA2317">
        <v>9.3000000000000007</v>
      </c>
      <c r="DB2317">
        <v>2.58</v>
      </c>
      <c r="DC2317">
        <v>-0.48</v>
      </c>
      <c r="DD2317">
        <v>58.72</v>
      </c>
      <c r="DE2317" t="s">
        <v>649</v>
      </c>
      <c r="DF2317">
        <v>18.75</v>
      </c>
      <c r="DG2317">
        <v>8.6300000000000008</v>
      </c>
      <c r="DH2317">
        <v>7.39</v>
      </c>
      <c r="DI2317">
        <v>0.15</v>
      </c>
      <c r="DJ2317">
        <v>813</v>
      </c>
      <c r="DK2317">
        <v>300984</v>
      </c>
      <c r="DL2317" t="s">
        <v>120</v>
      </c>
      <c r="DM2317" t="s">
        <v>120</v>
      </c>
      <c r="DN2317" t="s">
        <v>120</v>
      </c>
    </row>
    <row r="2318" spans="1:118">
      <c r="A2318" t="str">
        <f>"300985"</f>
        <v>300985</v>
      </c>
      <c r="B2318" t="s">
        <v>10934</v>
      </c>
      <c r="C2318">
        <v>-2</v>
      </c>
      <c r="D2318">
        <v>-0.08</v>
      </c>
      <c r="E2318">
        <v>-0.54</v>
      </c>
      <c r="F2318">
        <v>745</v>
      </c>
      <c r="G2318" t="s">
        <v>10935</v>
      </c>
      <c r="H2318">
        <v>16942.240000000002</v>
      </c>
      <c r="I2318">
        <v>50.81</v>
      </c>
      <c r="J2318" t="s">
        <v>120</v>
      </c>
      <c r="K2318" t="s">
        <v>10935</v>
      </c>
      <c r="L2318">
        <v>15.16</v>
      </c>
      <c r="M2318">
        <v>34.29</v>
      </c>
      <c r="N2318">
        <v>0.62</v>
      </c>
      <c r="O2318">
        <v>4</v>
      </c>
      <c r="P2318">
        <v>36.39</v>
      </c>
      <c r="Q2318">
        <v>-2.83</v>
      </c>
      <c r="R2318">
        <v>34</v>
      </c>
      <c r="S2318">
        <v>34.799999999999997</v>
      </c>
      <c r="T2318">
        <v>47920</v>
      </c>
      <c r="U2318">
        <v>34.299999999999997</v>
      </c>
      <c r="V2318">
        <v>34.99</v>
      </c>
      <c r="W2318">
        <v>75.69</v>
      </c>
      <c r="X2318" t="s">
        <v>289</v>
      </c>
      <c r="Y2318" t="s">
        <v>290</v>
      </c>
      <c r="Z2318">
        <v>6.83</v>
      </c>
      <c r="AA2318">
        <v>35.36</v>
      </c>
      <c r="AB2318">
        <v>25650</v>
      </c>
      <c r="AC2318">
        <v>22270</v>
      </c>
      <c r="AD2318">
        <v>1.1499999999999999</v>
      </c>
      <c r="AE2318">
        <v>44</v>
      </c>
      <c r="AF2318">
        <v>164</v>
      </c>
      <c r="AG2318" t="s">
        <v>120</v>
      </c>
      <c r="AH2318">
        <v>0.05</v>
      </c>
      <c r="AI2318" t="s">
        <v>120</v>
      </c>
      <c r="AJ2318">
        <v>0.32</v>
      </c>
      <c r="AK2318" t="s">
        <v>2002</v>
      </c>
      <c r="AL2318">
        <v>-0.09</v>
      </c>
      <c r="AM2318">
        <v>2523</v>
      </c>
      <c r="AN2318">
        <v>19</v>
      </c>
      <c r="AO2318">
        <v>6.0000000000000001E-3</v>
      </c>
      <c r="AP2318">
        <v>-2</v>
      </c>
      <c r="AQ2318">
        <v>-1.88</v>
      </c>
      <c r="AR2318">
        <v>-2.42</v>
      </c>
      <c r="AS2318">
        <v>-15.66</v>
      </c>
      <c r="AT2318">
        <v>19.809999999999999</v>
      </c>
      <c r="AU2318">
        <v>37.71</v>
      </c>
      <c r="AV2318">
        <v>3</v>
      </c>
      <c r="AW2318">
        <v>15.16</v>
      </c>
      <c r="AX2318">
        <v>23.71</v>
      </c>
      <c r="AY2318">
        <v>34.07</v>
      </c>
      <c r="AZ2318">
        <v>20.75</v>
      </c>
      <c r="BA2318">
        <v>0.41</v>
      </c>
      <c r="BB2318" t="s">
        <v>143</v>
      </c>
      <c r="BF2318">
        <v>1.04</v>
      </c>
      <c r="BG2318">
        <v>-1.47</v>
      </c>
      <c r="BH2318">
        <v>-5.77</v>
      </c>
      <c r="BI2318">
        <v>0.85</v>
      </c>
      <c r="BJ2318">
        <v>20210826</v>
      </c>
      <c r="BK2318">
        <v>20210429</v>
      </c>
      <c r="BL2318">
        <v>1.33</v>
      </c>
      <c r="BM2318" t="s">
        <v>120</v>
      </c>
      <c r="BN2318" t="s">
        <v>120</v>
      </c>
      <c r="BO2318">
        <v>16.899999999999999</v>
      </c>
      <c r="BP2318">
        <v>34.29</v>
      </c>
      <c r="BQ2318">
        <v>12.68</v>
      </c>
      <c r="BR2318">
        <v>0.41</v>
      </c>
      <c r="BS2318">
        <v>22.55</v>
      </c>
      <c r="BT2318">
        <v>13.73</v>
      </c>
      <c r="BU2318">
        <v>1.28</v>
      </c>
      <c r="BV2318">
        <v>0.83</v>
      </c>
      <c r="BW2318">
        <v>3.46</v>
      </c>
      <c r="BX2318">
        <v>7.96</v>
      </c>
      <c r="BY2318">
        <v>2.48</v>
      </c>
      <c r="BZ2318">
        <v>1.74</v>
      </c>
      <c r="CA2318">
        <v>0</v>
      </c>
      <c r="CB2318">
        <v>8.31</v>
      </c>
      <c r="CC2318">
        <v>3.06</v>
      </c>
      <c r="CD2318">
        <v>2.2400000000000002</v>
      </c>
      <c r="CE2318">
        <v>0.4</v>
      </c>
      <c r="CF2318">
        <v>-0.02</v>
      </c>
      <c r="CG2318">
        <v>0.4</v>
      </c>
      <c r="CH2318">
        <v>0.33</v>
      </c>
      <c r="CI2318">
        <v>0.3</v>
      </c>
      <c r="CJ2318">
        <v>-0.7</v>
      </c>
      <c r="CK2318">
        <v>0.28999999999999998</v>
      </c>
      <c r="CL2318">
        <v>2.75</v>
      </c>
      <c r="CM2318">
        <v>-0.52</v>
      </c>
      <c r="CN2318">
        <v>7.61</v>
      </c>
      <c r="CO2318">
        <v>25917</v>
      </c>
      <c r="CP2318">
        <v>1220</v>
      </c>
      <c r="CQ2318" t="s">
        <v>10936</v>
      </c>
      <c r="CR2318">
        <v>0</v>
      </c>
      <c r="CS2318">
        <v>0</v>
      </c>
      <c r="CT2318">
        <v>3.61</v>
      </c>
      <c r="CU2318">
        <v>-88.29</v>
      </c>
      <c r="CV2318">
        <v>14.96</v>
      </c>
      <c r="CW2318">
        <v>0</v>
      </c>
      <c r="CX2318" t="s">
        <v>1233</v>
      </c>
      <c r="CY2318">
        <v>9.51</v>
      </c>
      <c r="CZ2318">
        <v>0</v>
      </c>
      <c r="DA2318">
        <v>6.23</v>
      </c>
      <c r="DB2318">
        <v>2.06</v>
      </c>
      <c r="DC2318">
        <v>-0.39</v>
      </c>
      <c r="DD2318">
        <v>75.03</v>
      </c>
      <c r="DE2318" t="s">
        <v>8390</v>
      </c>
      <c r="DF2318">
        <v>26.67</v>
      </c>
      <c r="DG2318">
        <v>13.07</v>
      </c>
      <c r="DH2318">
        <v>9.8800000000000008</v>
      </c>
      <c r="DI2318">
        <v>0.12</v>
      </c>
      <c r="DJ2318">
        <v>764</v>
      </c>
      <c r="DK2318">
        <v>300985</v>
      </c>
      <c r="DL2318">
        <v>20210816</v>
      </c>
      <c r="DM2318">
        <v>47.08</v>
      </c>
      <c r="DN2318">
        <v>-27.17</v>
      </c>
    </row>
    <row r="2319" spans="1:118">
      <c r="A2319" t="str">
        <f>"300986"</f>
        <v>300986</v>
      </c>
      <c r="B2319" t="s">
        <v>10937</v>
      </c>
      <c r="C2319">
        <v>-3.7</v>
      </c>
      <c r="D2319">
        <v>7.0000000000000007E-2</v>
      </c>
      <c r="E2319">
        <v>5.39</v>
      </c>
      <c r="F2319">
        <v>38</v>
      </c>
      <c r="G2319" t="s">
        <v>10938</v>
      </c>
      <c r="H2319">
        <v>4389.1000000000004</v>
      </c>
      <c r="I2319">
        <v>37.130000000000003</v>
      </c>
      <c r="J2319" t="s">
        <v>120</v>
      </c>
      <c r="K2319" t="s">
        <v>10938</v>
      </c>
      <c r="L2319">
        <v>3.42</v>
      </c>
      <c r="M2319">
        <v>45.23</v>
      </c>
      <c r="N2319">
        <v>1.1299999999999999</v>
      </c>
      <c r="O2319">
        <v>5.39</v>
      </c>
      <c r="P2319">
        <v>49.5</v>
      </c>
      <c r="Q2319">
        <v>-3.81</v>
      </c>
      <c r="R2319">
        <v>45.18</v>
      </c>
      <c r="S2319">
        <v>49.5</v>
      </c>
      <c r="T2319">
        <v>9485</v>
      </c>
      <c r="U2319">
        <v>45.25</v>
      </c>
      <c r="V2319">
        <v>46.97</v>
      </c>
      <c r="W2319">
        <v>51.67</v>
      </c>
      <c r="X2319" t="s">
        <v>1325</v>
      </c>
      <c r="Y2319" t="s">
        <v>676</v>
      </c>
      <c r="Z2319">
        <v>9.1999999999999993</v>
      </c>
      <c r="AA2319">
        <v>46.28</v>
      </c>
      <c r="AB2319">
        <v>5217</v>
      </c>
      <c r="AC2319">
        <v>4268</v>
      </c>
      <c r="AD2319">
        <v>1.22</v>
      </c>
      <c r="AE2319">
        <v>8</v>
      </c>
      <c r="AF2319">
        <v>25</v>
      </c>
      <c r="AG2319" t="s">
        <v>120</v>
      </c>
      <c r="AH2319">
        <v>0.03</v>
      </c>
      <c r="AI2319" t="s">
        <v>120</v>
      </c>
      <c r="AJ2319">
        <v>0.28000000000000003</v>
      </c>
      <c r="AK2319" t="s">
        <v>10939</v>
      </c>
      <c r="AL2319">
        <v>-1.79</v>
      </c>
      <c r="AM2319">
        <v>1035</v>
      </c>
      <c r="AN2319">
        <v>9</v>
      </c>
      <c r="AO2319">
        <v>3.3E-3</v>
      </c>
      <c r="AP2319">
        <v>-6</v>
      </c>
      <c r="AQ2319">
        <v>-1.01</v>
      </c>
      <c r="AR2319">
        <v>-7.26</v>
      </c>
      <c r="AS2319">
        <v>6.3</v>
      </c>
      <c r="AT2319">
        <v>11.27</v>
      </c>
      <c r="AU2319">
        <v>205.82</v>
      </c>
      <c r="AV2319">
        <v>0</v>
      </c>
      <c r="AW2319">
        <v>3.42</v>
      </c>
      <c r="AX2319">
        <v>23.71</v>
      </c>
      <c r="AY2319">
        <v>34.43</v>
      </c>
      <c r="AZ2319">
        <v>32.64</v>
      </c>
      <c r="BA2319">
        <v>1.07</v>
      </c>
      <c r="BB2319" t="s">
        <v>143</v>
      </c>
      <c r="BF2319">
        <v>-1.48</v>
      </c>
      <c r="BG2319">
        <v>-8.6300000000000008</v>
      </c>
      <c r="BH2319">
        <v>-8.6300000000000008</v>
      </c>
      <c r="BI2319">
        <v>0.11</v>
      </c>
      <c r="BJ2319">
        <v>20210824</v>
      </c>
      <c r="BK2319">
        <v>20210430</v>
      </c>
      <c r="BL2319">
        <v>1.17</v>
      </c>
      <c r="BM2319" t="s">
        <v>120</v>
      </c>
      <c r="BN2319" t="s">
        <v>120</v>
      </c>
      <c r="BO2319">
        <v>25.85</v>
      </c>
      <c r="BP2319">
        <v>45.23</v>
      </c>
      <c r="BQ2319">
        <v>11.19</v>
      </c>
      <c r="BR2319">
        <v>0.25</v>
      </c>
      <c r="BS2319">
        <v>55.73</v>
      </c>
      <c r="BT2319">
        <v>10.49</v>
      </c>
      <c r="BU2319">
        <v>12.2</v>
      </c>
      <c r="BV2319">
        <v>1.29</v>
      </c>
      <c r="BW2319">
        <v>12.55</v>
      </c>
      <c r="BX2319">
        <v>3.09</v>
      </c>
      <c r="BY2319">
        <v>2.33</v>
      </c>
      <c r="BZ2319">
        <v>3.05</v>
      </c>
      <c r="CA2319" t="s">
        <v>120</v>
      </c>
      <c r="CB2319">
        <v>5.14</v>
      </c>
      <c r="CC2319">
        <v>6.05</v>
      </c>
      <c r="CD2319">
        <v>3.63</v>
      </c>
      <c r="CE2319">
        <v>0.72</v>
      </c>
      <c r="CF2319">
        <v>0</v>
      </c>
      <c r="CG2319">
        <v>0.72</v>
      </c>
      <c r="CH2319">
        <v>0.56000000000000005</v>
      </c>
      <c r="CI2319">
        <v>0.51</v>
      </c>
      <c r="CJ2319">
        <v>-1.74</v>
      </c>
      <c r="CK2319">
        <v>0.43</v>
      </c>
      <c r="CL2319">
        <v>4.49</v>
      </c>
      <c r="CM2319">
        <v>0.97</v>
      </c>
      <c r="CN2319">
        <v>1.39</v>
      </c>
      <c r="CO2319">
        <v>15098</v>
      </c>
      <c r="CP2319">
        <v>1838</v>
      </c>
      <c r="CQ2319" t="s">
        <v>3146</v>
      </c>
      <c r="CR2319">
        <v>0</v>
      </c>
      <c r="CS2319">
        <v>0</v>
      </c>
      <c r="CT2319">
        <v>4.7300000000000004</v>
      </c>
      <c r="CU2319">
        <v>54.32</v>
      </c>
      <c r="CV2319">
        <v>8.75</v>
      </c>
      <c r="CW2319">
        <v>0</v>
      </c>
      <c r="CX2319" t="s">
        <v>2391</v>
      </c>
      <c r="CY2319">
        <v>9.56</v>
      </c>
      <c r="CZ2319">
        <v>0</v>
      </c>
      <c r="DA2319">
        <v>4.3899999999999997</v>
      </c>
      <c r="DB2319">
        <v>3.84</v>
      </c>
      <c r="DC2319">
        <v>0.83</v>
      </c>
      <c r="DD2319">
        <v>43.28</v>
      </c>
      <c r="DE2319" t="s">
        <v>6891</v>
      </c>
      <c r="DF2319">
        <v>39.96</v>
      </c>
      <c r="DG2319">
        <v>11.87</v>
      </c>
      <c r="DH2319">
        <v>8.4700000000000006</v>
      </c>
      <c r="DI2319">
        <v>0.34</v>
      </c>
      <c r="DJ2319">
        <v>2405</v>
      </c>
      <c r="DK2319">
        <v>300986</v>
      </c>
      <c r="DL2319" t="s">
        <v>120</v>
      </c>
      <c r="DM2319" t="s">
        <v>120</v>
      </c>
      <c r="DN2319" t="s">
        <v>120</v>
      </c>
    </row>
    <row r="2320" spans="1:118">
      <c r="A2320" t="str">
        <f>"300987"</f>
        <v>300987</v>
      </c>
      <c r="B2320" t="s">
        <v>10940</v>
      </c>
      <c r="C2320">
        <v>-1.86</v>
      </c>
      <c r="D2320">
        <v>0.16</v>
      </c>
      <c r="E2320">
        <v>-2.4900000000000002</v>
      </c>
      <c r="F2320">
        <v>1732</v>
      </c>
      <c r="G2320" t="s">
        <v>10773</v>
      </c>
      <c r="H2320">
        <v>39643.040000000001</v>
      </c>
      <c r="I2320">
        <v>968.44</v>
      </c>
      <c r="J2320" t="s">
        <v>120</v>
      </c>
      <c r="K2320" t="s">
        <v>10773</v>
      </c>
      <c r="L2320">
        <v>44.18</v>
      </c>
      <c r="M2320">
        <v>31.2</v>
      </c>
      <c r="N2320">
        <v>3.55</v>
      </c>
      <c r="O2320">
        <v>-0.72</v>
      </c>
      <c r="P2320">
        <v>31.56</v>
      </c>
      <c r="Q2320">
        <v>-6.57</v>
      </c>
      <c r="R2320">
        <v>29.7</v>
      </c>
      <c r="S2320">
        <v>31</v>
      </c>
      <c r="T2320">
        <v>128739</v>
      </c>
      <c r="U2320">
        <v>31.22</v>
      </c>
      <c r="V2320">
        <v>31.79</v>
      </c>
      <c r="W2320">
        <v>116.51</v>
      </c>
      <c r="X2320" t="s">
        <v>1531</v>
      </c>
      <c r="Y2320" t="s">
        <v>578</v>
      </c>
      <c r="Z2320">
        <v>5.85</v>
      </c>
      <c r="AA2320">
        <v>30.79</v>
      </c>
      <c r="AB2320">
        <v>70250</v>
      </c>
      <c r="AC2320">
        <v>58489</v>
      </c>
      <c r="AD2320">
        <v>1.2</v>
      </c>
      <c r="AE2320">
        <v>47</v>
      </c>
      <c r="AF2320">
        <v>8</v>
      </c>
      <c r="AG2320" t="s">
        <v>120</v>
      </c>
      <c r="AH2320">
        <v>1.07</v>
      </c>
      <c r="AI2320" t="s">
        <v>120</v>
      </c>
      <c r="AJ2320">
        <v>0.28999999999999998</v>
      </c>
      <c r="AK2320" t="s">
        <v>10941</v>
      </c>
      <c r="AL2320">
        <v>0.06</v>
      </c>
      <c r="AM2320">
        <v>3537</v>
      </c>
      <c r="AN2320">
        <v>36</v>
      </c>
      <c r="AO2320">
        <v>1.2500000000000001E-2</v>
      </c>
      <c r="AP2320">
        <v>-1</v>
      </c>
      <c r="AQ2320">
        <v>20.010000000000002</v>
      </c>
      <c r="AR2320">
        <v>14.76</v>
      </c>
      <c r="AS2320">
        <v>9.4700000000000006</v>
      </c>
      <c r="AT2320">
        <v>-29.17</v>
      </c>
      <c r="AU2320">
        <v>359.5</v>
      </c>
      <c r="AV2320">
        <v>1</v>
      </c>
      <c r="AW2320">
        <v>44.18</v>
      </c>
      <c r="AX2320">
        <v>21.85</v>
      </c>
      <c r="AY2320">
        <v>70.930000000000007</v>
      </c>
      <c r="AZ2320">
        <v>70.540000000000006</v>
      </c>
      <c r="BA2320">
        <v>0.56999999999999995</v>
      </c>
      <c r="BB2320" t="s">
        <v>700</v>
      </c>
      <c r="BF2320">
        <v>-3.14</v>
      </c>
      <c r="BG2320">
        <v>0.65</v>
      </c>
      <c r="BH2320">
        <v>-1.1399999999999999</v>
      </c>
      <c r="BI2320">
        <v>5.05</v>
      </c>
      <c r="BJ2320">
        <v>20210901</v>
      </c>
      <c r="BK2320">
        <v>20210511</v>
      </c>
      <c r="BL2320">
        <v>1.33</v>
      </c>
      <c r="BM2320" t="s">
        <v>120</v>
      </c>
      <c r="BN2320" t="s">
        <v>120</v>
      </c>
      <c r="BO2320">
        <v>8.52</v>
      </c>
      <c r="BP2320">
        <v>31.2</v>
      </c>
      <c r="BQ2320">
        <v>7.41</v>
      </c>
      <c r="BR2320">
        <v>0.02</v>
      </c>
      <c r="BS2320">
        <v>12.87</v>
      </c>
      <c r="BT2320">
        <v>6.4</v>
      </c>
      <c r="BU2320">
        <v>0.9</v>
      </c>
      <c r="BV2320">
        <v>0.17</v>
      </c>
      <c r="BW2320">
        <v>0.73</v>
      </c>
      <c r="BX2320">
        <v>5.56</v>
      </c>
      <c r="BY2320">
        <v>0</v>
      </c>
      <c r="BZ2320">
        <v>0.63</v>
      </c>
      <c r="CA2320" t="s">
        <v>120</v>
      </c>
      <c r="CB2320">
        <v>2.57</v>
      </c>
      <c r="CC2320">
        <v>0.82</v>
      </c>
      <c r="CD2320">
        <v>0.43</v>
      </c>
      <c r="CE2320">
        <v>0.17</v>
      </c>
      <c r="CF2320">
        <v>0.04</v>
      </c>
      <c r="CG2320">
        <v>0.18</v>
      </c>
      <c r="CH2320">
        <v>0.18</v>
      </c>
      <c r="CI2320">
        <v>0.18</v>
      </c>
      <c r="CJ2320">
        <v>-0.59</v>
      </c>
      <c r="CK2320">
        <v>0.16</v>
      </c>
      <c r="CL2320">
        <v>3.16</v>
      </c>
      <c r="CM2320">
        <v>-0.19</v>
      </c>
      <c r="CN2320">
        <v>1.77</v>
      </c>
      <c r="CO2320">
        <v>20000</v>
      </c>
      <c r="CP2320">
        <v>1457</v>
      </c>
      <c r="CQ2320" t="s">
        <v>9365</v>
      </c>
      <c r="CR2320">
        <v>0</v>
      </c>
      <c r="CS2320">
        <v>0</v>
      </c>
      <c r="CT2320">
        <v>5.62</v>
      </c>
      <c r="CU2320">
        <v>-221.63</v>
      </c>
      <c r="CV2320">
        <v>50.77</v>
      </c>
      <c r="CW2320">
        <v>0</v>
      </c>
      <c r="CX2320" t="s">
        <v>1193</v>
      </c>
      <c r="CY2320">
        <v>5.56</v>
      </c>
      <c r="CZ2320">
        <v>0</v>
      </c>
      <c r="DA2320">
        <v>1.93</v>
      </c>
      <c r="DB2320">
        <v>2.37</v>
      </c>
      <c r="DC2320">
        <v>-0.14000000000000001</v>
      </c>
      <c r="DD2320">
        <v>86.93</v>
      </c>
      <c r="DE2320" t="s">
        <v>3085</v>
      </c>
      <c r="DF2320">
        <v>47.33</v>
      </c>
      <c r="DG2320">
        <v>20.68</v>
      </c>
      <c r="DH2320">
        <v>21.79</v>
      </c>
      <c r="DI2320" t="s">
        <v>120</v>
      </c>
      <c r="DJ2320">
        <v>438</v>
      </c>
      <c r="DK2320">
        <v>300987</v>
      </c>
      <c r="DL2320">
        <v>20210915</v>
      </c>
      <c r="DM2320">
        <v>31.79</v>
      </c>
      <c r="DN2320">
        <v>-1.86</v>
      </c>
    </row>
    <row r="2321" spans="1:118">
      <c r="A2321" t="str">
        <f>"300988"</f>
        <v>300988</v>
      </c>
      <c r="B2321" t="s">
        <v>10942</v>
      </c>
      <c r="C2321">
        <v>-2.67</v>
      </c>
      <c r="D2321">
        <v>-0.08</v>
      </c>
      <c r="E2321">
        <v>0.83</v>
      </c>
      <c r="F2321">
        <v>161</v>
      </c>
      <c r="G2321" t="s">
        <v>10943</v>
      </c>
      <c r="H2321">
        <v>2983.34</v>
      </c>
      <c r="I2321">
        <v>23.23</v>
      </c>
      <c r="J2321" t="s">
        <v>120</v>
      </c>
      <c r="K2321" t="s">
        <v>10943</v>
      </c>
      <c r="L2321">
        <v>4.5599999999999996</v>
      </c>
      <c r="M2321">
        <v>35.04</v>
      </c>
      <c r="N2321">
        <v>0.97</v>
      </c>
      <c r="O2321">
        <v>0.83</v>
      </c>
      <c r="P2321">
        <v>36.299999999999997</v>
      </c>
      <c r="Q2321">
        <v>-2.78</v>
      </c>
      <c r="R2321">
        <v>35</v>
      </c>
      <c r="S2321">
        <v>36.299999999999997</v>
      </c>
      <c r="T2321">
        <v>8419</v>
      </c>
      <c r="U2321">
        <v>35.04</v>
      </c>
      <c r="V2321">
        <v>36</v>
      </c>
      <c r="W2321">
        <v>39.15</v>
      </c>
      <c r="X2321" t="s">
        <v>959</v>
      </c>
      <c r="Y2321" t="s">
        <v>997</v>
      </c>
      <c r="Z2321">
        <v>3.61</v>
      </c>
      <c r="AA2321">
        <v>35.44</v>
      </c>
      <c r="AB2321">
        <v>5517</v>
      </c>
      <c r="AC2321">
        <v>2902</v>
      </c>
      <c r="AD2321">
        <v>1.9</v>
      </c>
      <c r="AE2321">
        <v>37</v>
      </c>
      <c r="AF2321">
        <v>9</v>
      </c>
      <c r="AG2321" t="s">
        <v>120</v>
      </c>
      <c r="AH2321">
        <v>0.03</v>
      </c>
      <c r="AI2321" t="s">
        <v>120</v>
      </c>
      <c r="AJ2321">
        <v>0.18</v>
      </c>
      <c r="AK2321" t="s">
        <v>10944</v>
      </c>
      <c r="AL2321">
        <v>-0.75</v>
      </c>
      <c r="AM2321">
        <v>830</v>
      </c>
      <c r="AN2321">
        <v>10</v>
      </c>
      <c r="AO2321">
        <v>5.4999999999999997E-3</v>
      </c>
      <c r="AP2321">
        <v>-1</v>
      </c>
      <c r="AQ2321">
        <v>3.09</v>
      </c>
      <c r="AR2321">
        <v>-0.14000000000000001</v>
      </c>
      <c r="AS2321">
        <v>-3.07</v>
      </c>
      <c r="AT2321">
        <v>-5.63</v>
      </c>
      <c r="AU2321">
        <v>50.2</v>
      </c>
      <c r="AV2321">
        <v>0</v>
      </c>
      <c r="AW2321">
        <v>4.5599999999999996</v>
      </c>
      <c r="AX2321">
        <v>25.01</v>
      </c>
      <c r="AY2321">
        <v>37.5</v>
      </c>
      <c r="AZ2321">
        <v>42.64</v>
      </c>
      <c r="BA2321">
        <v>0.7</v>
      </c>
      <c r="BB2321" t="s">
        <v>143</v>
      </c>
      <c r="BF2321">
        <v>-1.57</v>
      </c>
      <c r="BG2321">
        <v>-3.47</v>
      </c>
      <c r="BH2321">
        <v>-3.47</v>
      </c>
      <c r="BI2321">
        <v>0.11</v>
      </c>
      <c r="BJ2321">
        <v>20210820</v>
      </c>
      <c r="BK2321">
        <v>20210512</v>
      </c>
      <c r="BL2321">
        <v>0.74</v>
      </c>
      <c r="BM2321" t="s">
        <v>120</v>
      </c>
      <c r="BN2321" t="s">
        <v>120</v>
      </c>
      <c r="BO2321">
        <v>12.3</v>
      </c>
      <c r="BP2321">
        <v>35.03</v>
      </c>
      <c r="BQ2321">
        <v>8.64</v>
      </c>
      <c r="BR2321">
        <v>0.19</v>
      </c>
      <c r="BS2321">
        <v>28.19</v>
      </c>
      <c r="BT2321">
        <v>9.17</v>
      </c>
      <c r="BU2321">
        <v>1.89</v>
      </c>
      <c r="BV2321">
        <v>0.4</v>
      </c>
      <c r="BW2321">
        <v>3.29</v>
      </c>
      <c r="BX2321">
        <v>2.25</v>
      </c>
      <c r="BY2321">
        <v>2.72</v>
      </c>
      <c r="BZ2321">
        <v>2.36</v>
      </c>
      <c r="CA2321" t="s">
        <v>120</v>
      </c>
      <c r="CB2321">
        <v>5.49</v>
      </c>
      <c r="CC2321">
        <v>6.43</v>
      </c>
      <c r="CD2321">
        <v>5.3</v>
      </c>
      <c r="CE2321">
        <v>0.38</v>
      </c>
      <c r="CF2321">
        <v>0</v>
      </c>
      <c r="CG2321">
        <v>0.4</v>
      </c>
      <c r="CH2321">
        <v>0.34</v>
      </c>
      <c r="CI2321">
        <v>0.33</v>
      </c>
      <c r="CJ2321">
        <v>-0.96</v>
      </c>
      <c r="CK2321">
        <v>0.31</v>
      </c>
      <c r="CL2321">
        <v>2.2599999999999998</v>
      </c>
      <c r="CM2321">
        <v>-0.18</v>
      </c>
      <c r="CN2321">
        <v>1.73</v>
      </c>
      <c r="CO2321">
        <v>15803</v>
      </c>
      <c r="CP2321">
        <v>1169</v>
      </c>
      <c r="CQ2321" t="s">
        <v>4236</v>
      </c>
      <c r="CR2321">
        <v>0</v>
      </c>
      <c r="CS2321">
        <v>0</v>
      </c>
      <c r="CT2321">
        <v>3</v>
      </c>
      <c r="CU2321">
        <v>-146.52000000000001</v>
      </c>
      <c r="CV2321">
        <v>4.03</v>
      </c>
      <c r="CW2321">
        <v>1.1100000000000001</v>
      </c>
      <c r="CX2321" t="s">
        <v>1881</v>
      </c>
      <c r="CY2321">
        <v>11.69</v>
      </c>
      <c r="CZ2321">
        <v>0</v>
      </c>
      <c r="DA2321">
        <v>7.43</v>
      </c>
      <c r="DB2321">
        <v>3.06</v>
      </c>
      <c r="DC2321">
        <v>-0.24</v>
      </c>
      <c r="DD2321">
        <v>70.25</v>
      </c>
      <c r="DE2321" t="s">
        <v>4426</v>
      </c>
      <c r="DF2321">
        <v>17.489999999999998</v>
      </c>
      <c r="DG2321">
        <v>5.87</v>
      </c>
      <c r="DH2321">
        <v>5.14</v>
      </c>
      <c r="DI2321">
        <v>0.25</v>
      </c>
      <c r="DJ2321">
        <v>1002</v>
      </c>
      <c r="DK2321">
        <v>300988</v>
      </c>
      <c r="DL2321" t="s">
        <v>120</v>
      </c>
      <c r="DM2321" t="s">
        <v>120</v>
      </c>
      <c r="DN2321" t="s">
        <v>120</v>
      </c>
    </row>
    <row r="2322" spans="1:118">
      <c r="A2322" t="str">
        <f>"300989"</f>
        <v>300989</v>
      </c>
      <c r="B2322" t="s">
        <v>10945</v>
      </c>
      <c r="C2322">
        <v>-1.57</v>
      </c>
      <c r="D2322">
        <v>-0.13</v>
      </c>
      <c r="E2322">
        <v>0</v>
      </c>
      <c r="F2322">
        <v>75</v>
      </c>
      <c r="G2322" t="s">
        <v>7271</v>
      </c>
      <c r="H2322">
        <v>1472.18</v>
      </c>
      <c r="I2322">
        <v>4.8899999999999997</v>
      </c>
      <c r="J2322" t="s">
        <v>120</v>
      </c>
      <c r="K2322" t="s">
        <v>7271</v>
      </c>
      <c r="L2322">
        <v>2.21</v>
      </c>
      <c r="M2322">
        <v>43.77</v>
      </c>
      <c r="N2322">
        <v>0.63</v>
      </c>
      <c r="O2322">
        <v>1.08</v>
      </c>
      <c r="P2322">
        <v>44.95</v>
      </c>
      <c r="Q2322">
        <v>-1.62</v>
      </c>
      <c r="R2322">
        <v>43.75</v>
      </c>
      <c r="S2322">
        <v>44.47</v>
      </c>
      <c r="T2322">
        <v>3315</v>
      </c>
      <c r="U2322">
        <v>43.82</v>
      </c>
      <c r="V2322">
        <v>44.47</v>
      </c>
      <c r="W2322">
        <v>44.82</v>
      </c>
      <c r="X2322" t="s">
        <v>175</v>
      </c>
      <c r="Y2322" t="s">
        <v>123</v>
      </c>
      <c r="Z2322">
        <v>2.7</v>
      </c>
      <c r="AA2322">
        <v>44.41</v>
      </c>
      <c r="AB2322">
        <v>2171</v>
      </c>
      <c r="AC2322">
        <v>1144</v>
      </c>
      <c r="AD2322">
        <v>1.9</v>
      </c>
      <c r="AE2322">
        <v>21</v>
      </c>
      <c r="AF2322">
        <v>5</v>
      </c>
      <c r="AG2322" t="s">
        <v>120</v>
      </c>
      <c r="AH2322">
        <v>0.01</v>
      </c>
      <c r="AI2322" t="s">
        <v>120</v>
      </c>
      <c r="AJ2322">
        <v>0.15</v>
      </c>
      <c r="AK2322" t="s">
        <v>10946</v>
      </c>
      <c r="AL2322">
        <v>0.34</v>
      </c>
      <c r="AM2322">
        <v>528</v>
      </c>
      <c r="AN2322">
        <v>6</v>
      </c>
      <c r="AO2322">
        <v>4.1999999999999997E-3</v>
      </c>
      <c r="AP2322">
        <v>-1</v>
      </c>
      <c r="AQ2322">
        <v>0.2</v>
      </c>
      <c r="AR2322">
        <v>-5.12</v>
      </c>
      <c r="AS2322">
        <v>-3.63</v>
      </c>
      <c r="AT2322">
        <v>-11.22</v>
      </c>
      <c r="AU2322">
        <v>-15.21</v>
      </c>
      <c r="AV2322">
        <v>0</v>
      </c>
      <c r="AW2322">
        <v>2.21</v>
      </c>
      <c r="AX2322">
        <v>25</v>
      </c>
      <c r="AY2322">
        <v>27.56</v>
      </c>
      <c r="AZ2322">
        <v>28.29</v>
      </c>
      <c r="BA2322">
        <v>0.38</v>
      </c>
      <c r="BB2322" t="s">
        <v>240</v>
      </c>
      <c r="BF2322">
        <v>-0.14000000000000001</v>
      </c>
      <c r="BG2322">
        <v>-1.57</v>
      </c>
      <c r="BH2322">
        <v>-2.63</v>
      </c>
      <c r="BI2322">
        <v>0.05</v>
      </c>
      <c r="BJ2322">
        <v>20210826</v>
      </c>
      <c r="BK2322">
        <v>20210507</v>
      </c>
      <c r="BL2322">
        <v>0.6</v>
      </c>
      <c r="BM2322" t="s">
        <v>120</v>
      </c>
      <c r="BN2322" t="s">
        <v>120</v>
      </c>
      <c r="BO2322">
        <v>10.6</v>
      </c>
      <c r="BP2322">
        <v>43.77</v>
      </c>
      <c r="BQ2322">
        <v>9.15</v>
      </c>
      <c r="BR2322" t="s">
        <v>120</v>
      </c>
      <c r="BS2322">
        <v>13.69</v>
      </c>
      <c r="BT2322">
        <v>10.039999999999999</v>
      </c>
      <c r="BU2322">
        <v>0.09</v>
      </c>
      <c r="BV2322">
        <v>0.02</v>
      </c>
      <c r="BW2322">
        <v>1.26</v>
      </c>
      <c r="BX2322">
        <v>7.5</v>
      </c>
      <c r="BY2322">
        <v>0</v>
      </c>
      <c r="BZ2322">
        <v>0.87</v>
      </c>
      <c r="CA2322" t="s">
        <v>120</v>
      </c>
      <c r="CB2322">
        <v>6.81</v>
      </c>
      <c r="CC2322">
        <v>1.92</v>
      </c>
      <c r="CD2322">
        <v>0.99</v>
      </c>
      <c r="CE2322">
        <v>0.33</v>
      </c>
      <c r="CF2322">
        <v>0.01</v>
      </c>
      <c r="CG2322">
        <v>0.33</v>
      </c>
      <c r="CH2322">
        <v>0.28999999999999998</v>
      </c>
      <c r="CI2322">
        <v>0.28999999999999998</v>
      </c>
      <c r="CJ2322">
        <v>-0.7</v>
      </c>
      <c r="CK2322">
        <v>0.27</v>
      </c>
      <c r="CL2322">
        <v>1.49</v>
      </c>
      <c r="CM2322">
        <v>-1.07</v>
      </c>
      <c r="CN2322">
        <v>4.41</v>
      </c>
      <c r="CO2322">
        <v>15698</v>
      </c>
      <c r="CP2322">
        <v>956</v>
      </c>
      <c r="CQ2322" t="s">
        <v>10936</v>
      </c>
      <c r="CR2322">
        <v>0</v>
      </c>
      <c r="CS2322">
        <v>0</v>
      </c>
      <c r="CT2322">
        <v>2.87</v>
      </c>
      <c r="CU2322">
        <v>-24.46</v>
      </c>
      <c r="CV2322">
        <v>13.68</v>
      </c>
      <c r="CW2322">
        <v>0</v>
      </c>
      <c r="CX2322" t="s">
        <v>597</v>
      </c>
      <c r="CY2322">
        <v>15.25</v>
      </c>
      <c r="CZ2322">
        <v>0</v>
      </c>
      <c r="DA2322">
        <v>11.36</v>
      </c>
      <c r="DB2322">
        <v>2.4900000000000002</v>
      </c>
      <c r="DC2322">
        <v>-1.79</v>
      </c>
      <c r="DD2322">
        <v>86.31</v>
      </c>
      <c r="DE2322" t="s">
        <v>301</v>
      </c>
      <c r="DF2322">
        <v>48.38</v>
      </c>
      <c r="DG2322">
        <v>17.309999999999999</v>
      </c>
      <c r="DH2322">
        <v>15.26</v>
      </c>
      <c r="DI2322">
        <v>0.13</v>
      </c>
      <c r="DJ2322">
        <v>688</v>
      </c>
      <c r="DK2322">
        <v>300989</v>
      </c>
      <c r="DL2322" t="s">
        <v>120</v>
      </c>
      <c r="DM2322" t="s">
        <v>120</v>
      </c>
      <c r="DN2322" t="s">
        <v>120</v>
      </c>
    </row>
    <row r="2323" spans="1:118">
      <c r="A2323" t="str">
        <f>"300990"</f>
        <v>300990</v>
      </c>
      <c r="B2323" t="s">
        <v>10947</v>
      </c>
      <c r="C2323">
        <v>-4.37</v>
      </c>
      <c r="D2323">
        <v>0</v>
      </c>
      <c r="E2323">
        <v>-1.6</v>
      </c>
      <c r="F2323">
        <v>138</v>
      </c>
      <c r="G2323" t="s">
        <v>10948</v>
      </c>
      <c r="H2323">
        <v>7818.72</v>
      </c>
      <c r="I2323">
        <v>69.34</v>
      </c>
      <c r="J2323" t="s">
        <v>120</v>
      </c>
      <c r="K2323" t="s">
        <v>10948</v>
      </c>
      <c r="L2323">
        <v>6.85</v>
      </c>
      <c r="M2323">
        <v>86.4</v>
      </c>
      <c r="N2323">
        <v>1.06</v>
      </c>
      <c r="O2323">
        <v>-1.07</v>
      </c>
      <c r="P2323">
        <v>89.38</v>
      </c>
      <c r="Q2323">
        <v>-4.95</v>
      </c>
      <c r="R2323">
        <v>85.88</v>
      </c>
      <c r="S2323">
        <v>88.9</v>
      </c>
      <c r="T2323">
        <v>8901</v>
      </c>
      <c r="U2323">
        <v>86.41</v>
      </c>
      <c r="V2323">
        <v>90.35</v>
      </c>
      <c r="W2323">
        <v>34.39</v>
      </c>
      <c r="X2323" t="s">
        <v>675</v>
      </c>
      <c r="Y2323" t="s">
        <v>602</v>
      </c>
      <c r="Z2323">
        <v>3.87</v>
      </c>
      <c r="AA2323">
        <v>87.84</v>
      </c>
      <c r="AB2323">
        <v>5874</v>
      </c>
      <c r="AC2323">
        <v>3027</v>
      </c>
      <c r="AD2323">
        <v>1.94</v>
      </c>
      <c r="AE2323">
        <v>15</v>
      </c>
      <c r="AF2323">
        <v>6</v>
      </c>
      <c r="AG2323" t="s">
        <v>120</v>
      </c>
      <c r="AH2323">
        <v>0.06</v>
      </c>
      <c r="AI2323" t="s">
        <v>120</v>
      </c>
      <c r="AJ2323">
        <v>0.13</v>
      </c>
      <c r="AK2323" t="s">
        <v>10949</v>
      </c>
      <c r="AL2323">
        <v>-2.46</v>
      </c>
      <c r="AM2323">
        <v>1594</v>
      </c>
      <c r="AN2323">
        <v>6</v>
      </c>
      <c r="AO2323">
        <v>4.3E-3</v>
      </c>
      <c r="AP2323">
        <v>-1</v>
      </c>
      <c r="AQ2323">
        <v>6.7</v>
      </c>
      <c r="AR2323">
        <v>2.74</v>
      </c>
      <c r="AS2323">
        <v>-8.9499999999999993</v>
      </c>
      <c r="AT2323">
        <v>9.7799999999999994</v>
      </c>
      <c r="AU2323">
        <v>1.05</v>
      </c>
      <c r="AV2323">
        <v>1</v>
      </c>
      <c r="AW2323">
        <v>6.85</v>
      </c>
      <c r="AX2323">
        <v>25</v>
      </c>
      <c r="AY2323">
        <v>33.479999999999997</v>
      </c>
      <c r="AZ2323">
        <v>37.659999999999997</v>
      </c>
      <c r="BA2323">
        <v>0</v>
      </c>
      <c r="BB2323" t="s">
        <v>168</v>
      </c>
      <c r="BF2323">
        <v>-2.78</v>
      </c>
      <c r="BG2323">
        <v>-2.81</v>
      </c>
      <c r="BH2323">
        <v>-3.33</v>
      </c>
      <c r="BI2323">
        <v>0.61</v>
      </c>
      <c r="BJ2323">
        <v>20210825</v>
      </c>
      <c r="BK2323">
        <v>20210512</v>
      </c>
      <c r="BL2323">
        <v>0.52</v>
      </c>
      <c r="BM2323" t="s">
        <v>120</v>
      </c>
      <c r="BN2323" t="s">
        <v>120</v>
      </c>
      <c r="BO2323">
        <v>16.3</v>
      </c>
      <c r="BP2323">
        <v>86.4</v>
      </c>
      <c r="BQ2323">
        <v>15.4</v>
      </c>
      <c r="BR2323" t="s">
        <v>120</v>
      </c>
      <c r="BS2323">
        <v>5.51</v>
      </c>
      <c r="BT2323">
        <v>13.45</v>
      </c>
      <c r="BU2323">
        <v>0.43</v>
      </c>
      <c r="BV2323">
        <v>0.85</v>
      </c>
      <c r="BW2323">
        <v>0.8</v>
      </c>
      <c r="BX2323">
        <v>1.68</v>
      </c>
      <c r="BY2323">
        <v>0.76</v>
      </c>
      <c r="BZ2323">
        <v>1.71</v>
      </c>
      <c r="CA2323" t="s">
        <v>120</v>
      </c>
      <c r="CB2323">
        <v>11.77</v>
      </c>
      <c r="CC2323">
        <v>3.88</v>
      </c>
      <c r="CD2323">
        <v>2.56</v>
      </c>
      <c r="CE2323">
        <v>0.75</v>
      </c>
      <c r="CF2323">
        <v>0.01</v>
      </c>
      <c r="CG2323">
        <v>0.75</v>
      </c>
      <c r="CH2323">
        <v>0.65</v>
      </c>
      <c r="CI2323">
        <v>0.65</v>
      </c>
      <c r="CJ2323">
        <v>-3.95</v>
      </c>
      <c r="CK2323">
        <v>0.62</v>
      </c>
      <c r="CL2323">
        <v>2.8</v>
      </c>
      <c r="CM2323">
        <v>0.4</v>
      </c>
      <c r="CN2323">
        <v>1.04</v>
      </c>
      <c r="CO2323">
        <v>16910</v>
      </c>
      <c r="CP2323">
        <v>769</v>
      </c>
      <c r="CQ2323" t="s">
        <v>2067</v>
      </c>
      <c r="CR2323">
        <v>0</v>
      </c>
      <c r="CS2323">
        <v>0</v>
      </c>
      <c r="CT2323">
        <v>2.92</v>
      </c>
      <c r="CU2323">
        <v>111.08</v>
      </c>
      <c r="CV2323">
        <v>11.57</v>
      </c>
      <c r="CW2323">
        <v>0.89</v>
      </c>
      <c r="CX2323" t="s">
        <v>10950</v>
      </c>
      <c r="CY2323">
        <v>29.61</v>
      </c>
      <c r="CZ2323">
        <v>0</v>
      </c>
      <c r="DA2323">
        <v>22.64</v>
      </c>
      <c r="DB2323">
        <v>5.39</v>
      </c>
      <c r="DC2323">
        <v>0.78</v>
      </c>
      <c r="DD2323">
        <v>94.49</v>
      </c>
      <c r="DE2323" t="s">
        <v>3564</v>
      </c>
      <c r="DF2323">
        <v>34.06</v>
      </c>
      <c r="DG2323">
        <v>19.25</v>
      </c>
      <c r="DH2323">
        <v>16.82</v>
      </c>
      <c r="DI2323">
        <v>0.13</v>
      </c>
      <c r="DJ2323">
        <v>701</v>
      </c>
      <c r="DK2323">
        <v>300990</v>
      </c>
      <c r="DL2323">
        <v>20210720</v>
      </c>
      <c r="DM2323">
        <v>76.88</v>
      </c>
      <c r="DN2323">
        <v>12.38</v>
      </c>
    </row>
    <row r="2324" spans="1:118">
      <c r="A2324" t="str">
        <f>"300991"</f>
        <v>300991</v>
      </c>
      <c r="B2324" t="s">
        <v>10951</v>
      </c>
      <c r="C2324">
        <v>-4.09</v>
      </c>
      <c r="D2324">
        <v>0</v>
      </c>
      <c r="E2324">
        <v>-0.56999999999999995</v>
      </c>
      <c r="F2324">
        <v>187</v>
      </c>
      <c r="G2324" t="s">
        <v>10952</v>
      </c>
      <c r="H2324">
        <v>4715.1400000000003</v>
      </c>
      <c r="I2324">
        <v>22.75</v>
      </c>
      <c r="J2324" t="s">
        <v>120</v>
      </c>
      <c r="K2324" t="s">
        <v>10952</v>
      </c>
      <c r="L2324">
        <v>6.43</v>
      </c>
      <c r="M2324">
        <v>33.76</v>
      </c>
      <c r="N2324">
        <v>1.06</v>
      </c>
      <c r="O2324">
        <v>-0.09</v>
      </c>
      <c r="P2324">
        <v>35.17</v>
      </c>
      <c r="Q2324">
        <v>-4.2300000000000004</v>
      </c>
      <c r="R2324">
        <v>33.71</v>
      </c>
      <c r="S2324">
        <v>35</v>
      </c>
      <c r="T2324">
        <v>13720</v>
      </c>
      <c r="U2324">
        <v>33.76</v>
      </c>
      <c r="V2324">
        <v>35.200000000000003</v>
      </c>
      <c r="W2324">
        <v>35.119999999999997</v>
      </c>
      <c r="X2324" t="s">
        <v>229</v>
      </c>
      <c r="Y2324" t="s">
        <v>123</v>
      </c>
      <c r="Z2324">
        <v>4.1500000000000004</v>
      </c>
      <c r="AA2324">
        <v>34.369999999999997</v>
      </c>
      <c r="AB2324">
        <v>8867</v>
      </c>
      <c r="AC2324">
        <v>4853</v>
      </c>
      <c r="AD2324">
        <v>1.83</v>
      </c>
      <c r="AE2324">
        <v>4</v>
      </c>
      <c r="AF2324">
        <v>9</v>
      </c>
      <c r="AG2324" t="s">
        <v>120</v>
      </c>
      <c r="AH2324">
        <v>0.03</v>
      </c>
      <c r="AI2324" t="s">
        <v>120</v>
      </c>
      <c r="AJ2324">
        <v>0.21</v>
      </c>
      <c r="AK2324" t="s">
        <v>7390</v>
      </c>
      <c r="AL2324">
        <v>-2.1800000000000002</v>
      </c>
      <c r="AM2324">
        <v>1259</v>
      </c>
      <c r="AN2324">
        <v>11</v>
      </c>
      <c r="AO2324">
        <v>5.1000000000000004E-3</v>
      </c>
      <c r="AP2324">
        <v>-1</v>
      </c>
      <c r="AQ2324">
        <v>1.35</v>
      </c>
      <c r="AR2324">
        <v>-2.54</v>
      </c>
      <c r="AS2324">
        <v>-8.2799999999999994</v>
      </c>
      <c r="AT2324">
        <v>-5.57</v>
      </c>
      <c r="AU2324">
        <v>158.5</v>
      </c>
      <c r="AV2324">
        <v>0</v>
      </c>
      <c r="AW2324">
        <v>6.43</v>
      </c>
      <c r="AX2324">
        <v>23.71</v>
      </c>
      <c r="AY2324">
        <v>36.76</v>
      </c>
      <c r="AZ2324">
        <v>42.34</v>
      </c>
      <c r="BA2324">
        <v>0.44</v>
      </c>
      <c r="BB2324" t="s">
        <v>143</v>
      </c>
      <c r="BF2324">
        <v>-2.37</v>
      </c>
      <c r="BG2324">
        <v>-3.54</v>
      </c>
      <c r="BH2324">
        <v>-4.01</v>
      </c>
      <c r="BI2324">
        <v>0.15</v>
      </c>
      <c r="BJ2324">
        <v>20210913</v>
      </c>
      <c r="BK2324">
        <v>20210520</v>
      </c>
      <c r="BL2324">
        <v>0.9</v>
      </c>
      <c r="BM2324" t="s">
        <v>120</v>
      </c>
      <c r="BN2324" t="s">
        <v>120</v>
      </c>
      <c r="BO2324">
        <v>10.98</v>
      </c>
      <c r="BP2324">
        <v>33.75</v>
      </c>
      <c r="BQ2324">
        <v>6.22</v>
      </c>
      <c r="BR2324">
        <v>0.02</v>
      </c>
      <c r="BS2324">
        <v>43.22</v>
      </c>
      <c r="BT2324">
        <v>5.34</v>
      </c>
      <c r="BU2324">
        <v>0.64</v>
      </c>
      <c r="BV2324">
        <v>0.7</v>
      </c>
      <c r="BW2324">
        <v>2.56</v>
      </c>
      <c r="BX2324">
        <v>2.99</v>
      </c>
      <c r="BY2324">
        <v>0.85</v>
      </c>
      <c r="BZ2324">
        <v>1.32</v>
      </c>
      <c r="CA2324" t="s">
        <v>120</v>
      </c>
      <c r="CB2324">
        <v>2.4700000000000002</v>
      </c>
      <c r="CC2324">
        <v>2.5099999999999998</v>
      </c>
      <c r="CD2324">
        <v>1.68</v>
      </c>
      <c r="CE2324">
        <v>0.48</v>
      </c>
      <c r="CF2324">
        <v>0</v>
      </c>
      <c r="CG2324">
        <v>0.49</v>
      </c>
      <c r="CH2324">
        <v>0.43</v>
      </c>
      <c r="CI2324">
        <v>0.43</v>
      </c>
      <c r="CJ2324">
        <v>-1.44</v>
      </c>
      <c r="CK2324">
        <v>0.41</v>
      </c>
      <c r="CL2324">
        <v>2.59</v>
      </c>
      <c r="CM2324">
        <v>0.28999999999999998</v>
      </c>
      <c r="CN2324">
        <v>2.36</v>
      </c>
      <c r="CO2324">
        <v>16167</v>
      </c>
      <c r="CP2324">
        <v>1320</v>
      </c>
      <c r="CQ2324" t="s">
        <v>1046</v>
      </c>
      <c r="CR2324">
        <v>0</v>
      </c>
      <c r="CS2324">
        <v>0</v>
      </c>
      <c r="CT2324">
        <v>4.8899999999999997</v>
      </c>
      <c r="CU2324">
        <v>103.95</v>
      </c>
      <c r="CV2324">
        <v>12.11</v>
      </c>
      <c r="CW2324">
        <v>0</v>
      </c>
      <c r="CX2324" t="s">
        <v>1656</v>
      </c>
      <c r="CY2324">
        <v>6.91</v>
      </c>
      <c r="CZ2324">
        <v>0</v>
      </c>
      <c r="DA2324">
        <v>2.75</v>
      </c>
      <c r="DB2324">
        <v>2.88</v>
      </c>
      <c r="DC2324">
        <v>0.32</v>
      </c>
      <c r="DD2324">
        <v>56.6</v>
      </c>
      <c r="DE2324" t="s">
        <v>9369</v>
      </c>
      <c r="DF2324">
        <v>33.08</v>
      </c>
      <c r="DG2324">
        <v>19.07</v>
      </c>
      <c r="DH2324">
        <v>17.239999999999998</v>
      </c>
      <c r="DI2324">
        <v>0.13</v>
      </c>
      <c r="DJ2324">
        <v>1075</v>
      </c>
      <c r="DK2324">
        <v>300991</v>
      </c>
      <c r="DL2324" t="s">
        <v>120</v>
      </c>
      <c r="DM2324" t="s">
        <v>120</v>
      </c>
      <c r="DN2324" t="s">
        <v>120</v>
      </c>
    </row>
    <row r="2325" spans="1:118">
      <c r="A2325" t="str">
        <f>"300992"</f>
        <v>300992</v>
      </c>
      <c r="B2325" t="s">
        <v>10953</v>
      </c>
      <c r="C2325">
        <v>-2.94</v>
      </c>
      <c r="D2325">
        <v>0</v>
      </c>
      <c r="E2325">
        <v>-0.04</v>
      </c>
      <c r="F2325">
        <v>262</v>
      </c>
      <c r="G2325" t="s">
        <v>10954</v>
      </c>
      <c r="H2325">
        <v>5995.34</v>
      </c>
      <c r="I2325">
        <v>30.94</v>
      </c>
      <c r="J2325" t="s">
        <v>120</v>
      </c>
      <c r="K2325" t="s">
        <v>10954</v>
      </c>
      <c r="L2325">
        <v>10.11</v>
      </c>
      <c r="M2325">
        <v>27.06</v>
      </c>
      <c r="N2325">
        <v>0.47</v>
      </c>
      <c r="O2325">
        <v>0.79</v>
      </c>
      <c r="P2325">
        <v>28.1</v>
      </c>
      <c r="Q2325">
        <v>-2.94</v>
      </c>
      <c r="R2325">
        <v>27.06</v>
      </c>
      <c r="S2325">
        <v>27.87</v>
      </c>
      <c r="T2325">
        <v>21773</v>
      </c>
      <c r="U2325">
        <v>27.07</v>
      </c>
      <c r="V2325">
        <v>27.88</v>
      </c>
      <c r="W2325">
        <v>41.54</v>
      </c>
      <c r="X2325" t="s">
        <v>675</v>
      </c>
      <c r="Y2325" t="s">
        <v>585</v>
      </c>
      <c r="Z2325">
        <v>3.73</v>
      </c>
      <c r="AA2325">
        <v>27.54</v>
      </c>
      <c r="AB2325">
        <v>13659</v>
      </c>
      <c r="AC2325">
        <v>8114</v>
      </c>
      <c r="AD2325">
        <v>1.68</v>
      </c>
      <c r="AE2325">
        <v>334</v>
      </c>
      <c r="AF2325">
        <v>454</v>
      </c>
      <c r="AG2325" t="s">
        <v>120</v>
      </c>
      <c r="AH2325">
        <v>0.05</v>
      </c>
      <c r="AI2325" t="s">
        <v>120</v>
      </c>
      <c r="AJ2325">
        <v>0.22</v>
      </c>
      <c r="AK2325" t="s">
        <v>10955</v>
      </c>
      <c r="AL2325">
        <v>-1.03</v>
      </c>
      <c r="AM2325">
        <v>1685</v>
      </c>
      <c r="AN2325">
        <v>13</v>
      </c>
      <c r="AO2325">
        <v>6.0000000000000001E-3</v>
      </c>
      <c r="AP2325">
        <v>-4</v>
      </c>
      <c r="AQ2325">
        <v>-2</v>
      </c>
      <c r="AR2325">
        <v>-9.77</v>
      </c>
      <c r="AS2325">
        <v>-17.63</v>
      </c>
      <c r="AT2325">
        <v>-8.09</v>
      </c>
      <c r="AU2325">
        <v>189.1</v>
      </c>
      <c r="AV2325">
        <v>1</v>
      </c>
      <c r="AW2325">
        <v>10.11</v>
      </c>
      <c r="AX2325">
        <v>23.71</v>
      </c>
      <c r="AY2325">
        <v>41.6</v>
      </c>
      <c r="AZ2325">
        <v>36.26</v>
      </c>
      <c r="BA2325">
        <v>0.23</v>
      </c>
      <c r="BB2325" t="s">
        <v>240</v>
      </c>
      <c r="BF2325">
        <v>-1.23</v>
      </c>
      <c r="BG2325">
        <v>-2.91</v>
      </c>
      <c r="BH2325">
        <v>-3.7</v>
      </c>
      <c r="BI2325">
        <v>0</v>
      </c>
      <c r="BJ2325">
        <v>20210826</v>
      </c>
      <c r="BK2325">
        <v>20210525</v>
      </c>
      <c r="BL2325">
        <v>0.91</v>
      </c>
      <c r="BM2325" t="s">
        <v>120</v>
      </c>
      <c r="BN2325" t="s">
        <v>120</v>
      </c>
      <c r="BO2325">
        <v>8.0500000000000007</v>
      </c>
      <c r="BP2325">
        <v>27.06</v>
      </c>
      <c r="BQ2325">
        <v>6.48</v>
      </c>
      <c r="BR2325" t="s">
        <v>120</v>
      </c>
      <c r="BS2325">
        <v>19.52</v>
      </c>
      <c r="BT2325">
        <v>4.93</v>
      </c>
      <c r="BU2325">
        <v>1.99</v>
      </c>
      <c r="BV2325">
        <v>0.38</v>
      </c>
      <c r="BW2325">
        <v>1.33</v>
      </c>
      <c r="BX2325">
        <v>2.2000000000000002</v>
      </c>
      <c r="BY2325">
        <v>1.76</v>
      </c>
      <c r="BZ2325">
        <v>0.82</v>
      </c>
      <c r="CA2325" t="s">
        <v>120</v>
      </c>
      <c r="CB2325">
        <v>2.79</v>
      </c>
      <c r="CC2325">
        <v>2.52</v>
      </c>
      <c r="CD2325">
        <v>1.92</v>
      </c>
      <c r="CE2325">
        <v>0.34</v>
      </c>
      <c r="CF2325">
        <v>0</v>
      </c>
      <c r="CG2325">
        <v>0.34</v>
      </c>
      <c r="CH2325">
        <v>0.3</v>
      </c>
      <c r="CI2325">
        <v>0.3</v>
      </c>
      <c r="CJ2325">
        <v>-0.82</v>
      </c>
      <c r="CK2325">
        <v>0.3</v>
      </c>
      <c r="CL2325">
        <v>2.52</v>
      </c>
      <c r="CM2325">
        <v>0.46</v>
      </c>
      <c r="CN2325">
        <v>1.69</v>
      </c>
      <c r="CO2325">
        <v>19655</v>
      </c>
      <c r="CP2325">
        <v>1095</v>
      </c>
      <c r="CQ2325" t="s">
        <v>4110</v>
      </c>
      <c r="CR2325">
        <v>0</v>
      </c>
      <c r="CS2325">
        <v>0</v>
      </c>
      <c r="CT2325">
        <v>3.79</v>
      </c>
      <c r="CU2325">
        <v>53.88</v>
      </c>
      <c r="CV2325">
        <v>9.76</v>
      </c>
      <c r="CW2325">
        <v>0</v>
      </c>
      <c r="CX2325" t="s">
        <v>803</v>
      </c>
      <c r="CY2325">
        <v>7.14</v>
      </c>
      <c r="CZ2325">
        <v>0</v>
      </c>
      <c r="DA2325">
        <v>3.08</v>
      </c>
      <c r="DB2325">
        <v>2.78</v>
      </c>
      <c r="DC2325">
        <v>0.5</v>
      </c>
      <c r="DD2325">
        <v>80.48</v>
      </c>
      <c r="DE2325" t="s">
        <v>5919</v>
      </c>
      <c r="DF2325">
        <v>23.56</v>
      </c>
      <c r="DG2325">
        <v>13.41</v>
      </c>
      <c r="DH2325">
        <v>11.74</v>
      </c>
      <c r="DI2325">
        <v>0.11</v>
      </c>
      <c r="DJ2325">
        <v>685</v>
      </c>
      <c r="DK2325">
        <v>300992</v>
      </c>
      <c r="DL2325" t="s">
        <v>120</v>
      </c>
      <c r="DM2325" t="s">
        <v>120</v>
      </c>
      <c r="DN2325" t="s">
        <v>120</v>
      </c>
    </row>
    <row r="2326" spans="1:118">
      <c r="A2326" t="str">
        <f>"300993"</f>
        <v>300993</v>
      </c>
      <c r="B2326" t="s">
        <v>10956</v>
      </c>
      <c r="C2326">
        <v>-0.97</v>
      </c>
      <c r="D2326">
        <v>0.09</v>
      </c>
      <c r="E2326">
        <v>0.88</v>
      </c>
      <c r="F2326">
        <v>229</v>
      </c>
      <c r="G2326" t="s">
        <v>3804</v>
      </c>
      <c r="H2326">
        <v>2776</v>
      </c>
      <c r="I2326">
        <v>62.02</v>
      </c>
      <c r="J2326" t="s">
        <v>120</v>
      </c>
      <c r="K2326" t="s">
        <v>3804</v>
      </c>
      <c r="L2326">
        <v>3.89</v>
      </c>
      <c r="M2326">
        <v>22.55</v>
      </c>
      <c r="N2326">
        <v>0.84</v>
      </c>
      <c r="O2326">
        <v>1.49</v>
      </c>
      <c r="P2326">
        <v>23.11</v>
      </c>
      <c r="Q2326">
        <v>-1.1000000000000001</v>
      </c>
      <c r="R2326">
        <v>22.52</v>
      </c>
      <c r="S2326">
        <v>22.97</v>
      </c>
      <c r="T2326">
        <v>12153</v>
      </c>
      <c r="U2326">
        <v>22.56</v>
      </c>
      <c r="V2326">
        <v>22.77</v>
      </c>
      <c r="W2326">
        <v>23.02</v>
      </c>
      <c r="X2326" t="s">
        <v>868</v>
      </c>
      <c r="Y2326" t="s">
        <v>638</v>
      </c>
      <c r="Z2326">
        <v>2.59</v>
      </c>
      <c r="AA2326">
        <v>22.84</v>
      </c>
      <c r="AB2326">
        <v>7136</v>
      </c>
      <c r="AC2326">
        <v>5017</v>
      </c>
      <c r="AD2326">
        <v>1.42</v>
      </c>
      <c r="AE2326">
        <v>71</v>
      </c>
      <c r="AF2326">
        <v>34</v>
      </c>
      <c r="AG2326" t="s">
        <v>120</v>
      </c>
      <c r="AH2326">
        <v>0.09</v>
      </c>
      <c r="AI2326" t="s">
        <v>120</v>
      </c>
      <c r="AJ2326">
        <v>0.31</v>
      </c>
      <c r="AK2326" t="s">
        <v>1970</v>
      </c>
      <c r="AL2326">
        <v>0.95</v>
      </c>
      <c r="AM2326">
        <v>1039</v>
      </c>
      <c r="AN2326">
        <v>12</v>
      </c>
      <c r="AO2326">
        <v>3.7000000000000002E-3</v>
      </c>
      <c r="AP2326">
        <v>-1</v>
      </c>
      <c r="AQ2326">
        <v>1.1100000000000001</v>
      </c>
      <c r="AR2326">
        <v>-2.84</v>
      </c>
      <c r="AS2326">
        <v>-7.17</v>
      </c>
      <c r="AT2326">
        <v>-18.48</v>
      </c>
      <c r="AU2326">
        <v>86.36</v>
      </c>
      <c r="AV2326">
        <v>0</v>
      </c>
      <c r="AW2326">
        <v>3.89</v>
      </c>
      <c r="AX2326">
        <v>23.71</v>
      </c>
      <c r="AY2326">
        <v>24.58</v>
      </c>
      <c r="AZ2326">
        <v>27.75</v>
      </c>
      <c r="BA2326">
        <v>0.52</v>
      </c>
      <c r="BB2326" t="s">
        <v>143</v>
      </c>
      <c r="BF2326">
        <v>0.31</v>
      </c>
      <c r="BG2326">
        <v>-1.83</v>
      </c>
      <c r="BH2326">
        <v>-2.42</v>
      </c>
      <c r="BI2326">
        <v>0.13</v>
      </c>
      <c r="BJ2326">
        <v>20210827</v>
      </c>
      <c r="BK2326">
        <v>20210524</v>
      </c>
      <c r="BL2326">
        <v>1.32</v>
      </c>
      <c r="BM2326" t="s">
        <v>120</v>
      </c>
      <c r="BN2326" t="s">
        <v>120</v>
      </c>
      <c r="BO2326">
        <v>11.28</v>
      </c>
      <c r="BP2326">
        <v>22.55</v>
      </c>
      <c r="BQ2326">
        <v>10.64</v>
      </c>
      <c r="BR2326" t="s">
        <v>120</v>
      </c>
      <c r="BS2326">
        <v>5.67</v>
      </c>
      <c r="BT2326">
        <v>7.65</v>
      </c>
      <c r="BU2326">
        <v>1.75</v>
      </c>
      <c r="BV2326">
        <v>1.0900000000000001</v>
      </c>
      <c r="BW2326">
        <v>0.64</v>
      </c>
      <c r="BX2326">
        <v>5.34</v>
      </c>
      <c r="BY2326">
        <v>1.01</v>
      </c>
      <c r="BZ2326">
        <v>0.46</v>
      </c>
      <c r="CA2326" t="s">
        <v>120</v>
      </c>
      <c r="CB2326">
        <v>6.54</v>
      </c>
      <c r="CC2326">
        <v>2.34</v>
      </c>
      <c r="CD2326">
        <v>1.3</v>
      </c>
      <c r="CE2326">
        <v>0.74</v>
      </c>
      <c r="CF2326">
        <v>0.02</v>
      </c>
      <c r="CG2326">
        <v>0.75</v>
      </c>
      <c r="CH2326">
        <v>0.65</v>
      </c>
      <c r="CI2326">
        <v>0.65</v>
      </c>
      <c r="CJ2326">
        <v>-0.22</v>
      </c>
      <c r="CK2326">
        <v>0.62</v>
      </c>
      <c r="CL2326">
        <v>2.56</v>
      </c>
      <c r="CM2326">
        <v>0.54</v>
      </c>
      <c r="CN2326">
        <v>2.71</v>
      </c>
      <c r="CO2326">
        <v>24104</v>
      </c>
      <c r="CP2326">
        <v>1295</v>
      </c>
      <c r="CQ2326" t="s">
        <v>3702</v>
      </c>
      <c r="CR2326">
        <v>0</v>
      </c>
      <c r="CS2326">
        <v>0</v>
      </c>
      <c r="CT2326">
        <v>2.79</v>
      </c>
      <c r="CU2326">
        <v>54.69</v>
      </c>
      <c r="CV2326">
        <v>12.69</v>
      </c>
      <c r="CW2326">
        <v>0</v>
      </c>
      <c r="CX2326" t="s">
        <v>8995</v>
      </c>
      <c r="CY2326">
        <v>8.08</v>
      </c>
      <c r="CZ2326">
        <v>0</v>
      </c>
      <c r="DA2326">
        <v>4.97</v>
      </c>
      <c r="DB2326">
        <v>1.95</v>
      </c>
      <c r="DC2326">
        <v>0.41</v>
      </c>
      <c r="DD2326">
        <v>94.33</v>
      </c>
      <c r="DE2326" t="s">
        <v>1598</v>
      </c>
      <c r="DF2326">
        <v>44.36</v>
      </c>
      <c r="DG2326">
        <v>31.58</v>
      </c>
      <c r="DH2326">
        <v>27.57</v>
      </c>
      <c r="DI2326">
        <v>0.06</v>
      </c>
      <c r="DJ2326">
        <v>718</v>
      </c>
      <c r="DK2326">
        <v>300993</v>
      </c>
      <c r="DL2326" t="s">
        <v>120</v>
      </c>
      <c r="DM2326" t="s">
        <v>120</v>
      </c>
      <c r="DN2326" t="s">
        <v>120</v>
      </c>
    </row>
    <row r="2327" spans="1:118">
      <c r="A2327" t="str">
        <f>"300994"</f>
        <v>300994</v>
      </c>
      <c r="B2327" t="s">
        <v>10957</v>
      </c>
      <c r="C2327">
        <v>-8.08</v>
      </c>
      <c r="D2327">
        <v>0.12</v>
      </c>
      <c r="E2327">
        <v>-0.84</v>
      </c>
      <c r="F2327">
        <v>479</v>
      </c>
      <c r="G2327" t="s">
        <v>10958</v>
      </c>
      <c r="H2327">
        <v>13093.6</v>
      </c>
      <c r="I2327">
        <v>123.54</v>
      </c>
      <c r="J2327" t="s">
        <v>120</v>
      </c>
      <c r="K2327" t="s">
        <v>10958</v>
      </c>
      <c r="L2327">
        <v>8.14</v>
      </c>
      <c r="M2327">
        <v>33.880000000000003</v>
      </c>
      <c r="N2327">
        <v>0.92</v>
      </c>
      <c r="O2327">
        <v>1.38</v>
      </c>
      <c r="P2327">
        <v>37.369999999999997</v>
      </c>
      <c r="Q2327">
        <v>-9.06</v>
      </c>
      <c r="R2327">
        <v>33.520000000000003</v>
      </c>
      <c r="S2327">
        <v>36.549999999999997</v>
      </c>
      <c r="T2327">
        <v>37473</v>
      </c>
      <c r="U2327">
        <v>33.880000000000003</v>
      </c>
      <c r="V2327">
        <v>36.86</v>
      </c>
      <c r="W2327">
        <v>38.51</v>
      </c>
      <c r="X2327" t="s">
        <v>213</v>
      </c>
      <c r="Y2327" t="s">
        <v>585</v>
      </c>
      <c r="Z2327">
        <v>10.44</v>
      </c>
      <c r="AA2327">
        <v>34.94</v>
      </c>
      <c r="AB2327">
        <v>20675</v>
      </c>
      <c r="AC2327">
        <v>16798</v>
      </c>
      <c r="AD2327">
        <v>1.23</v>
      </c>
      <c r="AE2327">
        <v>6</v>
      </c>
      <c r="AF2327">
        <v>259</v>
      </c>
      <c r="AG2327" t="s">
        <v>120</v>
      </c>
      <c r="AH2327">
        <v>7.0000000000000007E-2</v>
      </c>
      <c r="AI2327" t="s">
        <v>120</v>
      </c>
      <c r="AJ2327">
        <v>0.46</v>
      </c>
      <c r="AK2327" t="s">
        <v>10959</v>
      </c>
      <c r="AL2327">
        <v>-6.17</v>
      </c>
      <c r="AM2327">
        <v>2377</v>
      </c>
      <c r="AN2327">
        <v>16</v>
      </c>
      <c r="AO2327">
        <v>3.3999999999999998E-3</v>
      </c>
      <c r="AP2327">
        <v>-2</v>
      </c>
      <c r="AQ2327">
        <v>-4.95</v>
      </c>
      <c r="AR2327">
        <v>-10.32</v>
      </c>
      <c r="AS2327">
        <v>0.87</v>
      </c>
      <c r="AT2327">
        <v>184.71</v>
      </c>
      <c r="AU2327">
        <v>184.71</v>
      </c>
      <c r="AV2327">
        <v>1</v>
      </c>
      <c r="AW2327">
        <v>8.14</v>
      </c>
      <c r="AX2327">
        <v>23.71</v>
      </c>
      <c r="AY2327">
        <v>39.33</v>
      </c>
      <c r="AZ2327">
        <v>45.68</v>
      </c>
      <c r="BA2327">
        <v>0</v>
      </c>
      <c r="BB2327" t="s">
        <v>240</v>
      </c>
      <c r="BF2327">
        <v>-5.2</v>
      </c>
      <c r="BG2327">
        <v>-7.31</v>
      </c>
      <c r="BH2327">
        <v>-9.34</v>
      </c>
      <c r="BI2327">
        <v>1.07</v>
      </c>
      <c r="BJ2327">
        <v>20210830</v>
      </c>
      <c r="BK2327">
        <v>20210812</v>
      </c>
      <c r="BL2327">
        <v>1.94</v>
      </c>
      <c r="BM2327" t="s">
        <v>120</v>
      </c>
      <c r="BN2327" t="s">
        <v>120</v>
      </c>
      <c r="BO2327">
        <v>11.74</v>
      </c>
      <c r="BP2327">
        <v>33.869999999999997</v>
      </c>
      <c r="BQ2327">
        <v>5.22</v>
      </c>
      <c r="BR2327" t="s">
        <v>120</v>
      </c>
      <c r="BS2327">
        <v>55.56</v>
      </c>
      <c r="BT2327">
        <v>10.82</v>
      </c>
      <c r="BU2327">
        <v>0.72</v>
      </c>
      <c r="BV2327">
        <v>0.05</v>
      </c>
      <c r="BW2327">
        <v>6.49</v>
      </c>
      <c r="BX2327">
        <v>2.87</v>
      </c>
      <c r="BY2327">
        <v>1.41</v>
      </c>
      <c r="BZ2327">
        <v>4.82</v>
      </c>
      <c r="CA2327">
        <v>0.14000000000000001</v>
      </c>
      <c r="CB2327">
        <v>1.25</v>
      </c>
      <c r="CC2327">
        <v>15.79</v>
      </c>
      <c r="CD2327">
        <v>13.17</v>
      </c>
      <c r="CE2327">
        <v>1.05</v>
      </c>
      <c r="CF2327">
        <v>0.17</v>
      </c>
      <c r="CG2327">
        <v>1.05</v>
      </c>
      <c r="CH2327">
        <v>0.85</v>
      </c>
      <c r="CI2327">
        <v>0.85</v>
      </c>
      <c r="CJ2327">
        <v>-2.98</v>
      </c>
      <c r="CK2327">
        <v>0.78</v>
      </c>
      <c r="CL2327">
        <v>2.3199999999999998</v>
      </c>
      <c r="CM2327">
        <v>-0.12</v>
      </c>
      <c r="CN2327">
        <v>0.32</v>
      </c>
      <c r="CO2327">
        <v>55110</v>
      </c>
      <c r="CP2327">
        <v>836</v>
      </c>
      <c r="CQ2327" t="s">
        <v>10960</v>
      </c>
      <c r="CR2327">
        <v>0</v>
      </c>
      <c r="CS2327">
        <v>0</v>
      </c>
      <c r="CT2327">
        <v>6.39</v>
      </c>
      <c r="CU2327">
        <v>-534.76</v>
      </c>
      <c r="CV2327">
        <v>4.17</v>
      </c>
      <c r="CW2327">
        <v>0.98</v>
      </c>
      <c r="CX2327" t="s">
        <v>597</v>
      </c>
      <c r="CY2327">
        <v>5.3</v>
      </c>
      <c r="CZ2327">
        <v>5.3</v>
      </c>
      <c r="DA2327">
        <v>0.64</v>
      </c>
      <c r="DB2327">
        <v>1.19</v>
      </c>
      <c r="DC2327">
        <v>-0.06</v>
      </c>
      <c r="DD2327">
        <v>44.44</v>
      </c>
      <c r="DE2327" t="s">
        <v>10961</v>
      </c>
      <c r="DF2327">
        <v>16.63</v>
      </c>
      <c r="DG2327">
        <v>6.63</v>
      </c>
      <c r="DH2327">
        <v>5.41</v>
      </c>
      <c r="DI2327">
        <v>7.0000000000000007E-2</v>
      </c>
      <c r="DJ2327">
        <v>683</v>
      </c>
      <c r="DK2327">
        <v>300994</v>
      </c>
      <c r="DL2327">
        <v>20210812</v>
      </c>
      <c r="DM2327">
        <v>31.69</v>
      </c>
      <c r="DN2327">
        <v>6.91</v>
      </c>
    </row>
    <row r="2328" spans="1:118">
      <c r="A2328" t="str">
        <f>"300995"</f>
        <v>300995</v>
      </c>
      <c r="B2328" t="s">
        <v>10962</v>
      </c>
      <c r="C2328">
        <v>5.49</v>
      </c>
      <c r="D2328">
        <v>-0.05</v>
      </c>
      <c r="E2328">
        <v>-1.7</v>
      </c>
      <c r="F2328">
        <v>620</v>
      </c>
      <c r="G2328" t="s">
        <v>10963</v>
      </c>
      <c r="H2328">
        <v>21706.2</v>
      </c>
      <c r="I2328">
        <v>87.21</v>
      </c>
      <c r="J2328" t="s">
        <v>120</v>
      </c>
      <c r="K2328" t="s">
        <v>10963</v>
      </c>
      <c r="L2328">
        <v>31.09</v>
      </c>
      <c r="M2328">
        <v>34.79</v>
      </c>
      <c r="N2328">
        <v>2.1</v>
      </c>
      <c r="O2328">
        <v>12.19</v>
      </c>
      <c r="P2328">
        <v>37</v>
      </c>
      <c r="Q2328">
        <v>-2.37</v>
      </c>
      <c r="R2328">
        <v>32.200000000000003</v>
      </c>
      <c r="S2328">
        <v>32.42</v>
      </c>
      <c r="T2328">
        <v>62047</v>
      </c>
      <c r="U2328">
        <v>34.79</v>
      </c>
      <c r="V2328">
        <v>32.979999999999997</v>
      </c>
      <c r="W2328">
        <v>60.18</v>
      </c>
      <c r="X2328" t="s">
        <v>2211</v>
      </c>
      <c r="Y2328" t="s">
        <v>547</v>
      </c>
      <c r="Z2328">
        <v>14.55</v>
      </c>
      <c r="AA2328">
        <v>34.979999999999997</v>
      </c>
      <c r="AB2328">
        <v>30781</v>
      </c>
      <c r="AC2328">
        <v>31266</v>
      </c>
      <c r="AD2328">
        <v>0.98</v>
      </c>
      <c r="AE2328">
        <v>70</v>
      </c>
      <c r="AF2328">
        <v>49</v>
      </c>
      <c r="AG2328" t="s">
        <v>120</v>
      </c>
      <c r="AH2328">
        <v>0.13</v>
      </c>
      <c r="AI2328" t="s">
        <v>120</v>
      </c>
      <c r="AJ2328">
        <v>0.2</v>
      </c>
      <c r="AK2328" t="s">
        <v>5475</v>
      </c>
      <c r="AL2328">
        <v>7.4</v>
      </c>
      <c r="AM2328">
        <v>2750</v>
      </c>
      <c r="AN2328">
        <v>23</v>
      </c>
      <c r="AO2328">
        <v>1.1299999999999999E-2</v>
      </c>
      <c r="AP2328">
        <v>2</v>
      </c>
      <c r="AQ2328">
        <v>1.6</v>
      </c>
      <c r="AR2328">
        <v>3.26</v>
      </c>
      <c r="AS2328">
        <v>1.85</v>
      </c>
      <c r="AT2328">
        <v>6.32</v>
      </c>
      <c r="AU2328">
        <v>136.35</v>
      </c>
      <c r="AV2328">
        <v>2</v>
      </c>
      <c r="AW2328">
        <v>31.09</v>
      </c>
      <c r="AX2328">
        <v>23.71</v>
      </c>
      <c r="AY2328">
        <v>51.68</v>
      </c>
      <c r="AZ2328">
        <v>33.020000000000003</v>
      </c>
      <c r="BA2328">
        <v>1.21</v>
      </c>
      <c r="BB2328" t="s">
        <v>125</v>
      </c>
      <c r="BF2328">
        <v>6.07</v>
      </c>
      <c r="BG2328">
        <v>7.31</v>
      </c>
      <c r="BH2328">
        <v>-5.97</v>
      </c>
      <c r="BI2328">
        <v>8.0399999999999991</v>
      </c>
      <c r="BJ2328">
        <v>20210823</v>
      </c>
      <c r="BK2328">
        <v>20210526</v>
      </c>
      <c r="BL2328">
        <v>0.84</v>
      </c>
      <c r="BM2328" t="s">
        <v>120</v>
      </c>
      <c r="BN2328" t="s">
        <v>120</v>
      </c>
      <c r="BO2328">
        <v>7.85</v>
      </c>
      <c r="BP2328">
        <v>34.76</v>
      </c>
      <c r="BQ2328">
        <v>6.57</v>
      </c>
      <c r="BR2328">
        <v>0.03</v>
      </c>
      <c r="BS2328">
        <v>15.97</v>
      </c>
      <c r="BT2328">
        <v>5.52</v>
      </c>
      <c r="BU2328">
        <v>0.79</v>
      </c>
      <c r="BV2328">
        <v>0.23</v>
      </c>
      <c r="BW2328">
        <v>0.57999999999999996</v>
      </c>
      <c r="BX2328">
        <v>3.61</v>
      </c>
      <c r="BY2328">
        <v>0.51</v>
      </c>
      <c r="BZ2328">
        <v>0.81</v>
      </c>
      <c r="CA2328" t="s">
        <v>120</v>
      </c>
      <c r="CB2328">
        <v>3.83</v>
      </c>
      <c r="CC2328">
        <v>1.53</v>
      </c>
      <c r="CD2328">
        <v>1.1000000000000001</v>
      </c>
      <c r="CE2328">
        <v>0.27</v>
      </c>
      <c r="CF2328">
        <v>0</v>
      </c>
      <c r="CG2328">
        <v>0.27</v>
      </c>
      <c r="CH2328">
        <v>0.24</v>
      </c>
      <c r="CI2328">
        <v>0.24</v>
      </c>
      <c r="CJ2328">
        <v>1.81</v>
      </c>
      <c r="CK2328">
        <v>0.21</v>
      </c>
      <c r="CL2328">
        <v>1.68</v>
      </c>
      <c r="CM2328">
        <v>0.12</v>
      </c>
      <c r="CN2328">
        <v>1.67</v>
      </c>
      <c r="CO2328">
        <v>21209</v>
      </c>
      <c r="CP2328">
        <v>941</v>
      </c>
      <c r="CQ2328" t="s">
        <v>6393</v>
      </c>
      <c r="CR2328">
        <v>0</v>
      </c>
      <c r="CS2328">
        <v>0</v>
      </c>
      <c r="CT2328">
        <v>4.46</v>
      </c>
      <c r="CU2328">
        <v>250.81</v>
      </c>
      <c r="CV2328">
        <v>19.100000000000001</v>
      </c>
      <c r="CW2328">
        <v>0.79</v>
      </c>
      <c r="CX2328" t="s">
        <v>709</v>
      </c>
      <c r="CY2328">
        <v>7.8</v>
      </c>
      <c r="CZ2328">
        <v>0</v>
      </c>
      <c r="DA2328">
        <v>4.55</v>
      </c>
      <c r="DB2328">
        <v>1.99</v>
      </c>
      <c r="DC2328">
        <v>0.14000000000000001</v>
      </c>
      <c r="DD2328">
        <v>83.63</v>
      </c>
      <c r="DE2328" t="s">
        <v>2654</v>
      </c>
      <c r="DF2328">
        <v>28.09</v>
      </c>
      <c r="DG2328">
        <v>17.73</v>
      </c>
      <c r="DH2328">
        <v>15.87</v>
      </c>
      <c r="DI2328">
        <v>7.0000000000000007E-2</v>
      </c>
      <c r="DJ2328">
        <v>382</v>
      </c>
      <c r="DK2328">
        <v>300995</v>
      </c>
      <c r="DL2328" t="s">
        <v>120</v>
      </c>
      <c r="DM2328" t="s">
        <v>120</v>
      </c>
      <c r="DN2328" t="s">
        <v>120</v>
      </c>
    </row>
    <row r="2329" spans="1:118">
      <c r="A2329" t="str">
        <f>"300996"</f>
        <v>300996</v>
      </c>
      <c r="B2329" t="s">
        <v>10964</v>
      </c>
      <c r="C2329">
        <v>-0.23</v>
      </c>
      <c r="D2329">
        <v>-0.34</v>
      </c>
      <c r="E2329">
        <v>-0.15</v>
      </c>
      <c r="F2329">
        <v>505</v>
      </c>
      <c r="G2329" t="s">
        <v>10665</v>
      </c>
      <c r="H2329">
        <v>7746</v>
      </c>
      <c r="I2329">
        <v>32.01</v>
      </c>
      <c r="J2329" t="s">
        <v>120</v>
      </c>
      <c r="K2329" t="s">
        <v>10665</v>
      </c>
      <c r="L2329">
        <v>6.72</v>
      </c>
      <c r="M2329">
        <v>34.020000000000003</v>
      </c>
      <c r="N2329">
        <v>0.69</v>
      </c>
      <c r="O2329">
        <v>2.29</v>
      </c>
      <c r="P2329">
        <v>34.880000000000003</v>
      </c>
      <c r="Q2329">
        <v>-0.79</v>
      </c>
      <c r="R2329">
        <v>33.83</v>
      </c>
      <c r="S2329">
        <v>34.049999999999997</v>
      </c>
      <c r="T2329">
        <v>22550</v>
      </c>
      <c r="U2329">
        <v>34.020000000000003</v>
      </c>
      <c r="V2329">
        <v>34.1</v>
      </c>
      <c r="W2329">
        <v>77.48</v>
      </c>
      <c r="X2329" t="s">
        <v>141</v>
      </c>
      <c r="Y2329" t="s">
        <v>638</v>
      </c>
      <c r="Z2329">
        <v>3.08</v>
      </c>
      <c r="AA2329">
        <v>34.35</v>
      </c>
      <c r="AB2329">
        <v>10075</v>
      </c>
      <c r="AC2329">
        <v>12475</v>
      </c>
      <c r="AD2329">
        <v>0.81</v>
      </c>
      <c r="AE2329">
        <v>88</v>
      </c>
      <c r="AF2329">
        <v>2</v>
      </c>
      <c r="AG2329" t="s">
        <v>120</v>
      </c>
      <c r="AH2329">
        <v>0.03</v>
      </c>
      <c r="AI2329" t="s">
        <v>120</v>
      </c>
      <c r="AJ2329">
        <v>0.34</v>
      </c>
      <c r="AK2329" t="s">
        <v>10965</v>
      </c>
      <c r="AL2329">
        <v>1.68</v>
      </c>
      <c r="AM2329">
        <v>1782</v>
      </c>
      <c r="AN2329">
        <v>13</v>
      </c>
      <c r="AO2329">
        <v>3.8E-3</v>
      </c>
      <c r="AP2329">
        <v>-2</v>
      </c>
      <c r="AQ2329">
        <v>-2.52</v>
      </c>
      <c r="AR2329">
        <v>-0.68</v>
      </c>
      <c r="AS2329">
        <v>-1.68</v>
      </c>
      <c r="AT2329">
        <v>-8.9600000000000009</v>
      </c>
      <c r="AU2329">
        <v>165.4</v>
      </c>
      <c r="AV2329">
        <v>2</v>
      </c>
      <c r="AW2329">
        <v>6.72</v>
      </c>
      <c r="AX2329">
        <v>23.78</v>
      </c>
      <c r="AY2329">
        <v>49.23</v>
      </c>
      <c r="AZ2329">
        <v>57.66</v>
      </c>
      <c r="BA2329">
        <v>0.67</v>
      </c>
      <c r="BB2329" t="s">
        <v>240</v>
      </c>
      <c r="BF2329">
        <v>0.73</v>
      </c>
      <c r="BG2329">
        <v>-0.09</v>
      </c>
      <c r="BH2329">
        <v>-2.4700000000000002</v>
      </c>
      <c r="BI2329">
        <v>0.56000000000000005</v>
      </c>
      <c r="BJ2329">
        <v>20210824</v>
      </c>
      <c r="BK2329">
        <v>20210603</v>
      </c>
      <c r="BL2329">
        <v>1.41</v>
      </c>
      <c r="BM2329" t="s">
        <v>120</v>
      </c>
      <c r="BN2329" t="s">
        <v>120</v>
      </c>
      <c r="BO2329">
        <v>9.31</v>
      </c>
      <c r="BP2329">
        <v>34.01</v>
      </c>
      <c r="BQ2329">
        <v>8.1</v>
      </c>
      <c r="BR2329" t="s">
        <v>120</v>
      </c>
      <c r="BS2329">
        <v>12.93</v>
      </c>
      <c r="BT2329">
        <v>8.52</v>
      </c>
      <c r="BU2329">
        <v>7.0000000000000007E-2</v>
      </c>
      <c r="BV2329">
        <v>0.01</v>
      </c>
      <c r="BW2329">
        <v>1.0900000000000001</v>
      </c>
      <c r="BX2329">
        <v>4.05</v>
      </c>
      <c r="BY2329">
        <v>0.95</v>
      </c>
      <c r="BZ2329">
        <v>1.74</v>
      </c>
      <c r="CA2329" t="s">
        <v>120</v>
      </c>
      <c r="CB2329">
        <v>4.57</v>
      </c>
      <c r="CC2329">
        <v>1.38</v>
      </c>
      <c r="CD2329">
        <v>0.7</v>
      </c>
      <c r="CE2329">
        <v>0.33</v>
      </c>
      <c r="CF2329">
        <v>0.01</v>
      </c>
      <c r="CG2329">
        <v>0.33</v>
      </c>
      <c r="CH2329">
        <v>0.31</v>
      </c>
      <c r="CI2329">
        <v>0.31</v>
      </c>
      <c r="CJ2329">
        <v>-0.08</v>
      </c>
      <c r="CK2329">
        <v>0.28999999999999998</v>
      </c>
      <c r="CL2329">
        <v>2.33</v>
      </c>
      <c r="CM2329">
        <v>-0.44</v>
      </c>
      <c r="CN2329">
        <v>3.25</v>
      </c>
      <c r="CO2329">
        <v>22979</v>
      </c>
      <c r="CP2329">
        <v>1459</v>
      </c>
      <c r="CQ2329" t="s">
        <v>6053</v>
      </c>
      <c r="CR2329">
        <v>0</v>
      </c>
      <c r="CS2329">
        <v>0</v>
      </c>
      <c r="CT2329">
        <v>5.92</v>
      </c>
      <c r="CU2329">
        <v>-108.15</v>
      </c>
      <c r="CV2329">
        <v>34.74</v>
      </c>
      <c r="CW2329">
        <v>0.55000000000000004</v>
      </c>
      <c r="CX2329" t="s">
        <v>3361</v>
      </c>
      <c r="CY2329">
        <v>5.75</v>
      </c>
      <c r="CZ2329">
        <v>0</v>
      </c>
      <c r="DA2329">
        <v>3.24</v>
      </c>
      <c r="DB2329">
        <v>1.65</v>
      </c>
      <c r="DC2329">
        <v>-0.31</v>
      </c>
      <c r="DD2329">
        <v>87.07</v>
      </c>
      <c r="DE2329" t="s">
        <v>10966</v>
      </c>
      <c r="DF2329">
        <v>49.11</v>
      </c>
      <c r="DG2329">
        <v>24.15</v>
      </c>
      <c r="DH2329">
        <v>22.42</v>
      </c>
      <c r="DI2329">
        <v>0.19</v>
      </c>
      <c r="DJ2329">
        <v>1420</v>
      </c>
      <c r="DK2329">
        <v>300996</v>
      </c>
      <c r="DL2329" t="s">
        <v>120</v>
      </c>
      <c r="DM2329" t="s">
        <v>120</v>
      </c>
      <c r="DN2329" t="s">
        <v>120</v>
      </c>
    </row>
    <row r="2330" spans="1:118">
      <c r="A2330" t="str">
        <f>"300997"</f>
        <v>300997</v>
      </c>
      <c r="B2330" t="s">
        <v>10967</v>
      </c>
      <c r="C2330">
        <v>3.14</v>
      </c>
      <c r="D2330">
        <v>-0.17</v>
      </c>
      <c r="E2330">
        <v>0.25</v>
      </c>
      <c r="F2330">
        <v>1402</v>
      </c>
      <c r="G2330" t="s">
        <v>10968</v>
      </c>
      <c r="H2330">
        <v>20000.63</v>
      </c>
      <c r="I2330">
        <v>8.94</v>
      </c>
      <c r="J2330" t="s">
        <v>120</v>
      </c>
      <c r="K2330" t="s">
        <v>10968</v>
      </c>
      <c r="L2330">
        <v>14.07</v>
      </c>
      <c r="M2330">
        <v>16.73</v>
      </c>
      <c r="N2330">
        <v>1.85</v>
      </c>
      <c r="O2330">
        <v>7.64</v>
      </c>
      <c r="P2330">
        <v>17.46</v>
      </c>
      <c r="Q2330">
        <v>-0.43</v>
      </c>
      <c r="R2330">
        <v>16.149999999999999</v>
      </c>
      <c r="S2330">
        <v>16.260000000000002</v>
      </c>
      <c r="T2330">
        <v>118919</v>
      </c>
      <c r="U2330">
        <v>16.739999999999998</v>
      </c>
      <c r="V2330">
        <v>16.22</v>
      </c>
      <c r="W2330">
        <v>39.06</v>
      </c>
      <c r="X2330" t="s">
        <v>2180</v>
      </c>
      <c r="Y2330" t="s">
        <v>547</v>
      </c>
      <c r="Z2330">
        <v>8.08</v>
      </c>
      <c r="AA2330">
        <v>16.82</v>
      </c>
      <c r="AB2330">
        <v>51946</v>
      </c>
      <c r="AC2330">
        <v>66973</v>
      </c>
      <c r="AD2330">
        <v>0.78</v>
      </c>
      <c r="AE2330">
        <v>44</v>
      </c>
      <c r="AF2330">
        <v>206</v>
      </c>
      <c r="AG2330" t="s">
        <v>120</v>
      </c>
      <c r="AH2330">
        <v>0.01</v>
      </c>
      <c r="AI2330" t="s">
        <v>120</v>
      </c>
      <c r="AJ2330">
        <v>0.85</v>
      </c>
      <c r="AK2330" t="s">
        <v>10969</v>
      </c>
      <c r="AL2330">
        <v>5.0599999999999996</v>
      </c>
      <c r="AM2330">
        <v>2787</v>
      </c>
      <c r="AN2330">
        <v>43</v>
      </c>
      <c r="AO2330">
        <v>5.0000000000000001E-3</v>
      </c>
      <c r="AP2330">
        <v>1</v>
      </c>
      <c r="AQ2330">
        <v>-0.25</v>
      </c>
      <c r="AR2330">
        <v>2.0099999999999998</v>
      </c>
      <c r="AS2330">
        <v>-1</v>
      </c>
      <c r="AT2330">
        <v>-11.72</v>
      </c>
      <c r="AU2330">
        <v>245.66</v>
      </c>
      <c r="AV2330">
        <v>1</v>
      </c>
      <c r="AW2330">
        <v>14.07</v>
      </c>
      <c r="AX2330">
        <v>18.78</v>
      </c>
      <c r="AY2330">
        <v>38.36</v>
      </c>
      <c r="AZ2330">
        <v>40.85</v>
      </c>
      <c r="BA2330">
        <v>1.66</v>
      </c>
      <c r="BB2330" t="s">
        <v>143</v>
      </c>
      <c r="BF2330">
        <v>3.69</v>
      </c>
      <c r="BG2330">
        <v>2.89</v>
      </c>
      <c r="BH2330">
        <v>-4.18</v>
      </c>
      <c r="BI2330">
        <v>3.59</v>
      </c>
      <c r="BJ2330">
        <v>20210819</v>
      </c>
      <c r="BK2330">
        <v>20210602</v>
      </c>
      <c r="BL2330">
        <v>4.5</v>
      </c>
      <c r="BM2330" t="s">
        <v>120</v>
      </c>
      <c r="BN2330" t="s">
        <v>120</v>
      </c>
      <c r="BO2330">
        <v>17.149999999999999</v>
      </c>
      <c r="BP2330">
        <v>16.73</v>
      </c>
      <c r="BQ2330">
        <v>12.2</v>
      </c>
      <c r="BR2330" t="s">
        <v>120</v>
      </c>
      <c r="BS2330">
        <v>28.85</v>
      </c>
      <c r="BT2330">
        <v>8.6199999999999992</v>
      </c>
      <c r="BU2330">
        <v>4.88</v>
      </c>
      <c r="BV2330">
        <v>1.62</v>
      </c>
      <c r="BW2330">
        <v>4.62</v>
      </c>
      <c r="BX2330">
        <v>5.53</v>
      </c>
      <c r="BY2330">
        <v>0.81</v>
      </c>
      <c r="BZ2330">
        <v>1.78</v>
      </c>
      <c r="CA2330">
        <v>0.73</v>
      </c>
      <c r="CB2330">
        <v>3.42</v>
      </c>
      <c r="CC2330">
        <v>6.64</v>
      </c>
      <c r="CD2330">
        <v>4.1100000000000003</v>
      </c>
      <c r="CE2330">
        <v>1.3</v>
      </c>
      <c r="CF2330">
        <v>0</v>
      </c>
      <c r="CG2330">
        <v>1.3</v>
      </c>
      <c r="CH2330">
        <v>0.96</v>
      </c>
      <c r="CI2330">
        <v>0.96</v>
      </c>
      <c r="CJ2330">
        <v>0.51</v>
      </c>
      <c r="CK2330">
        <v>0.88</v>
      </c>
      <c r="CL2330">
        <v>3.8</v>
      </c>
      <c r="CM2330">
        <v>0.95</v>
      </c>
      <c r="CN2330">
        <v>3.89</v>
      </c>
      <c r="CO2330">
        <v>44198</v>
      </c>
      <c r="CP2330">
        <v>1912</v>
      </c>
      <c r="CQ2330" t="s">
        <v>10970</v>
      </c>
      <c r="CR2330">
        <v>0</v>
      </c>
      <c r="CS2330">
        <v>0</v>
      </c>
      <c r="CT2330">
        <v>6.17</v>
      </c>
      <c r="CU2330">
        <v>78.94</v>
      </c>
      <c r="CV2330">
        <v>11.33</v>
      </c>
      <c r="CW2330">
        <v>0.62</v>
      </c>
      <c r="CX2330" t="s">
        <v>670</v>
      </c>
      <c r="CY2330">
        <v>2.71</v>
      </c>
      <c r="CZ2330">
        <v>0</v>
      </c>
      <c r="DA2330">
        <v>0.76</v>
      </c>
      <c r="DB2330">
        <v>0.84</v>
      </c>
      <c r="DC2330">
        <v>0.21</v>
      </c>
      <c r="DD2330">
        <v>71.150000000000006</v>
      </c>
      <c r="DE2330" t="s">
        <v>10971</v>
      </c>
      <c r="DF2330">
        <v>38.090000000000003</v>
      </c>
      <c r="DG2330">
        <v>19.55</v>
      </c>
      <c r="DH2330">
        <v>14.51</v>
      </c>
      <c r="DI2330">
        <v>0.01</v>
      </c>
      <c r="DJ2330">
        <v>1418</v>
      </c>
      <c r="DK2330">
        <v>300997</v>
      </c>
      <c r="DL2330" t="s">
        <v>120</v>
      </c>
      <c r="DM2330" t="s">
        <v>120</v>
      </c>
      <c r="DN2330" t="s">
        <v>120</v>
      </c>
    </row>
    <row r="2331" spans="1:118">
      <c r="A2331" t="str">
        <f>"300998"</f>
        <v>300998</v>
      </c>
      <c r="B2331" t="s">
        <v>10972</v>
      </c>
      <c r="C2331">
        <v>-3.18</v>
      </c>
      <c r="D2331">
        <v>-0.03</v>
      </c>
      <c r="E2331">
        <v>0.8</v>
      </c>
      <c r="F2331">
        <v>441</v>
      </c>
      <c r="G2331" t="s">
        <v>10973</v>
      </c>
      <c r="H2331">
        <v>4441.8</v>
      </c>
      <c r="I2331">
        <v>22.63</v>
      </c>
      <c r="J2331" t="s">
        <v>120</v>
      </c>
      <c r="K2331" t="s">
        <v>10973</v>
      </c>
      <c r="L2331">
        <v>7.59</v>
      </c>
      <c r="M2331">
        <v>25.27</v>
      </c>
      <c r="N2331">
        <v>0.7</v>
      </c>
      <c r="O2331">
        <v>1.42</v>
      </c>
      <c r="P2331">
        <v>26.47</v>
      </c>
      <c r="Q2331">
        <v>-3.18</v>
      </c>
      <c r="R2331">
        <v>25.27</v>
      </c>
      <c r="S2331">
        <v>26.31</v>
      </c>
      <c r="T2331">
        <v>17222</v>
      </c>
      <c r="U2331">
        <v>25.29</v>
      </c>
      <c r="V2331">
        <v>26.1</v>
      </c>
      <c r="W2331">
        <v>71.819999999999993</v>
      </c>
      <c r="X2331" t="s">
        <v>289</v>
      </c>
      <c r="Y2331" t="s">
        <v>585</v>
      </c>
      <c r="Z2331">
        <v>4.5999999999999996</v>
      </c>
      <c r="AA2331">
        <v>25.79</v>
      </c>
      <c r="AB2331">
        <v>9667</v>
      </c>
      <c r="AC2331">
        <v>7555</v>
      </c>
      <c r="AD2331">
        <v>1.28</v>
      </c>
      <c r="AE2331">
        <v>18</v>
      </c>
      <c r="AF2331">
        <v>36</v>
      </c>
      <c r="AG2331" t="s">
        <v>120</v>
      </c>
      <c r="AH2331">
        <v>0.04</v>
      </c>
      <c r="AI2331" t="s">
        <v>120</v>
      </c>
      <c r="AJ2331">
        <v>0.23</v>
      </c>
      <c r="AK2331" t="s">
        <v>10974</v>
      </c>
      <c r="AL2331">
        <v>-1.27</v>
      </c>
      <c r="AM2331">
        <v>1435</v>
      </c>
      <c r="AN2331">
        <v>12</v>
      </c>
      <c r="AO2331">
        <v>5.3E-3</v>
      </c>
      <c r="AP2331">
        <v>-2</v>
      </c>
      <c r="AQ2331">
        <v>-2.39</v>
      </c>
      <c r="AR2331">
        <v>-4.2699999999999996</v>
      </c>
      <c r="AS2331">
        <v>-15.68</v>
      </c>
      <c r="AT2331">
        <v>-25.7</v>
      </c>
      <c r="AU2331">
        <v>319.76</v>
      </c>
      <c r="AV2331">
        <v>2</v>
      </c>
      <c r="AW2331">
        <v>7.59</v>
      </c>
      <c r="AX2331">
        <v>21.33</v>
      </c>
      <c r="AY2331">
        <v>64.13</v>
      </c>
      <c r="AZ2331">
        <v>58.85</v>
      </c>
      <c r="BA2331">
        <v>1.38</v>
      </c>
      <c r="BB2331" t="s">
        <v>134</v>
      </c>
      <c r="BF2331">
        <v>-1.18</v>
      </c>
      <c r="BG2331">
        <v>-3.95</v>
      </c>
      <c r="BH2331">
        <v>-4.53</v>
      </c>
      <c r="BI2331">
        <v>0</v>
      </c>
      <c r="BJ2331">
        <v>20210826</v>
      </c>
      <c r="BK2331">
        <v>20210602</v>
      </c>
      <c r="BL2331">
        <v>1.06</v>
      </c>
      <c r="BM2331" t="s">
        <v>120</v>
      </c>
      <c r="BN2331" t="s">
        <v>120</v>
      </c>
      <c r="BO2331">
        <v>12.34</v>
      </c>
      <c r="BP2331">
        <v>25.27</v>
      </c>
      <c r="BQ2331">
        <v>5.55</v>
      </c>
      <c r="BR2331" t="s">
        <v>120</v>
      </c>
      <c r="BS2331">
        <v>55</v>
      </c>
      <c r="BT2331">
        <v>7.91</v>
      </c>
      <c r="BU2331">
        <v>3.53</v>
      </c>
      <c r="BV2331">
        <v>0.63</v>
      </c>
      <c r="BW2331">
        <v>6.07</v>
      </c>
      <c r="BX2331">
        <v>1.95</v>
      </c>
      <c r="BY2331">
        <v>3.96</v>
      </c>
      <c r="BZ2331">
        <v>1.74</v>
      </c>
      <c r="CA2331" t="s">
        <v>120</v>
      </c>
      <c r="CB2331">
        <v>2.56</v>
      </c>
      <c r="CC2331">
        <v>3.5</v>
      </c>
      <c r="CD2331">
        <v>2.74</v>
      </c>
      <c r="CE2331">
        <v>0.22</v>
      </c>
      <c r="CF2331">
        <v>0</v>
      </c>
      <c r="CG2331">
        <v>0.22</v>
      </c>
      <c r="CH2331">
        <v>0.19</v>
      </c>
      <c r="CI2331">
        <v>0.19</v>
      </c>
      <c r="CJ2331">
        <v>-0.83</v>
      </c>
      <c r="CK2331">
        <v>0.14000000000000001</v>
      </c>
      <c r="CL2331">
        <v>1.64</v>
      </c>
      <c r="CM2331">
        <v>0.06</v>
      </c>
      <c r="CN2331">
        <v>1.22</v>
      </c>
      <c r="CO2331">
        <v>19928</v>
      </c>
      <c r="CP2331">
        <v>1139</v>
      </c>
      <c r="CQ2331" t="s">
        <v>10975</v>
      </c>
      <c r="CR2331">
        <v>0</v>
      </c>
      <c r="CS2331">
        <v>0</v>
      </c>
      <c r="CT2331">
        <v>4.84</v>
      </c>
      <c r="CU2331">
        <v>429.97</v>
      </c>
      <c r="CV2331">
        <v>7.67</v>
      </c>
      <c r="CW2331">
        <v>0.38</v>
      </c>
      <c r="CX2331" t="s">
        <v>3361</v>
      </c>
      <c r="CY2331">
        <v>5.22</v>
      </c>
      <c r="CZ2331">
        <v>0</v>
      </c>
      <c r="DA2331">
        <v>2.41</v>
      </c>
      <c r="DB2331">
        <v>1.54</v>
      </c>
      <c r="DC2331">
        <v>0.06</v>
      </c>
      <c r="DD2331">
        <v>45</v>
      </c>
      <c r="DE2331" t="s">
        <v>2737</v>
      </c>
      <c r="DF2331">
        <v>21.89</v>
      </c>
      <c r="DG2331">
        <v>6.3</v>
      </c>
      <c r="DH2331">
        <v>5.34</v>
      </c>
      <c r="DI2331">
        <v>0.12</v>
      </c>
      <c r="DJ2331">
        <v>1116</v>
      </c>
      <c r="DK2331">
        <v>300998</v>
      </c>
      <c r="DL2331" t="s">
        <v>120</v>
      </c>
      <c r="DM2331" t="s">
        <v>120</v>
      </c>
      <c r="DN2331" t="s">
        <v>120</v>
      </c>
    </row>
    <row r="2332" spans="1:118">
      <c r="A2332" t="str">
        <f>"300999"</f>
        <v>300999</v>
      </c>
      <c r="B2332" t="s">
        <v>10976</v>
      </c>
      <c r="C2332">
        <v>1.43</v>
      </c>
      <c r="D2332">
        <v>-0.06</v>
      </c>
      <c r="E2332">
        <v>-0.37</v>
      </c>
      <c r="F2332">
        <v>1378</v>
      </c>
      <c r="G2332" t="s">
        <v>10977</v>
      </c>
      <c r="H2332">
        <v>92138.61</v>
      </c>
      <c r="I2332">
        <v>109.21</v>
      </c>
      <c r="J2332" t="s">
        <v>120</v>
      </c>
      <c r="K2332" t="s">
        <v>10977</v>
      </c>
      <c r="L2332">
        <v>3.43</v>
      </c>
      <c r="M2332">
        <v>68.209999999999994</v>
      </c>
      <c r="N2332">
        <v>1.53</v>
      </c>
      <c r="O2332">
        <v>2.72</v>
      </c>
      <c r="P2332">
        <v>69.08</v>
      </c>
      <c r="Q2332">
        <v>-1.41</v>
      </c>
      <c r="R2332">
        <v>66.3</v>
      </c>
      <c r="S2332">
        <v>67</v>
      </c>
      <c r="T2332">
        <v>135628</v>
      </c>
      <c r="U2332">
        <v>68.22</v>
      </c>
      <c r="V2332">
        <v>67.25</v>
      </c>
      <c r="W2332">
        <v>62.25</v>
      </c>
      <c r="X2332" t="s">
        <v>847</v>
      </c>
      <c r="Y2332" t="s">
        <v>1510</v>
      </c>
      <c r="Z2332">
        <v>4.13</v>
      </c>
      <c r="AA2332">
        <v>67.94</v>
      </c>
      <c r="AB2332">
        <v>68245</v>
      </c>
      <c r="AC2332">
        <v>67383</v>
      </c>
      <c r="AD2332">
        <v>1.01</v>
      </c>
      <c r="AE2332">
        <v>262</v>
      </c>
      <c r="AF2332">
        <v>102</v>
      </c>
      <c r="AG2332" t="s">
        <v>120</v>
      </c>
      <c r="AH2332">
        <v>0</v>
      </c>
      <c r="AI2332" t="s">
        <v>120</v>
      </c>
      <c r="AJ2332">
        <v>3.96</v>
      </c>
      <c r="AK2332" t="s">
        <v>10978</v>
      </c>
      <c r="AL2332">
        <v>3.34</v>
      </c>
      <c r="AM2332">
        <v>4437</v>
      </c>
      <c r="AN2332">
        <v>31</v>
      </c>
      <c r="AO2332">
        <v>8.0000000000000004E-4</v>
      </c>
      <c r="AP2332">
        <v>2</v>
      </c>
      <c r="AQ2332">
        <v>0.76</v>
      </c>
      <c r="AR2332">
        <v>1.54</v>
      </c>
      <c r="AS2332">
        <v>-3.24</v>
      </c>
      <c r="AT2332">
        <v>-21.14</v>
      </c>
      <c r="AU2332">
        <v>-36.96</v>
      </c>
      <c r="AV2332">
        <v>0</v>
      </c>
      <c r="AW2332">
        <v>3.43</v>
      </c>
      <c r="AX2332">
        <v>7.3</v>
      </c>
      <c r="AY2332">
        <v>61.14</v>
      </c>
      <c r="AZ2332">
        <v>60.76</v>
      </c>
      <c r="BA2332">
        <v>1.1499999999999999</v>
      </c>
      <c r="BB2332" t="s">
        <v>143</v>
      </c>
      <c r="BF2332">
        <v>1.02</v>
      </c>
      <c r="BG2332">
        <v>1.81</v>
      </c>
      <c r="BH2332">
        <v>-1.26</v>
      </c>
      <c r="BI2332">
        <v>2.88</v>
      </c>
      <c r="BJ2332">
        <v>20210913</v>
      </c>
      <c r="BK2332">
        <v>20201015</v>
      </c>
      <c r="BL2332">
        <v>54.22</v>
      </c>
      <c r="BM2332" t="s">
        <v>120</v>
      </c>
      <c r="BN2332" t="s">
        <v>120</v>
      </c>
      <c r="BO2332">
        <v>2001.25</v>
      </c>
      <c r="BP2332">
        <v>68.209999999999994</v>
      </c>
      <c r="BQ2332">
        <v>858.66</v>
      </c>
      <c r="BR2332">
        <v>44.76</v>
      </c>
      <c r="BS2332">
        <v>54.86</v>
      </c>
      <c r="BT2332">
        <v>1273.95</v>
      </c>
      <c r="BU2332">
        <v>288.02999999999997</v>
      </c>
      <c r="BV2332">
        <v>134.03</v>
      </c>
      <c r="BW2332">
        <v>986.76</v>
      </c>
      <c r="BX2332">
        <v>504.06</v>
      </c>
      <c r="BY2332">
        <v>483.38</v>
      </c>
      <c r="BZ2332">
        <v>65.69</v>
      </c>
      <c r="CA2332" t="s">
        <v>120</v>
      </c>
      <c r="CB2332">
        <v>368.95</v>
      </c>
      <c r="CC2332">
        <v>1032.3</v>
      </c>
      <c r="CD2332">
        <v>909.07</v>
      </c>
      <c r="CE2332">
        <v>46.02</v>
      </c>
      <c r="CF2332">
        <v>-18.77</v>
      </c>
      <c r="CG2332">
        <v>46.26</v>
      </c>
      <c r="CH2332">
        <v>33.19</v>
      </c>
      <c r="CI2332">
        <v>29.7</v>
      </c>
      <c r="CJ2332">
        <v>0.96</v>
      </c>
      <c r="CK2332">
        <v>39.119999999999997</v>
      </c>
      <c r="CL2332">
        <v>417.66</v>
      </c>
      <c r="CM2332">
        <v>-57.5</v>
      </c>
      <c r="CN2332">
        <v>-81.45</v>
      </c>
      <c r="CO2332">
        <v>195318</v>
      </c>
      <c r="CP2332">
        <v>2026</v>
      </c>
      <c r="CQ2332" t="s">
        <v>10979</v>
      </c>
      <c r="CR2332">
        <v>-1.24</v>
      </c>
      <c r="CS2332">
        <v>18.690000000000001</v>
      </c>
      <c r="CT2332">
        <v>4.3099999999999996</v>
      </c>
      <c r="CU2332">
        <v>-64.319999999999993</v>
      </c>
      <c r="CV2332">
        <v>3.58</v>
      </c>
      <c r="CW2332">
        <v>0.17</v>
      </c>
      <c r="CX2332" t="s">
        <v>1581</v>
      </c>
      <c r="CY2332">
        <v>15.84</v>
      </c>
      <c r="CZ2332">
        <v>0</v>
      </c>
      <c r="DA2332">
        <v>6.81</v>
      </c>
      <c r="DB2332">
        <v>7.7</v>
      </c>
      <c r="DC2332">
        <v>-1.06</v>
      </c>
      <c r="DD2332">
        <v>42.91</v>
      </c>
      <c r="DE2332" t="s">
        <v>5093</v>
      </c>
      <c r="DF2332">
        <v>11.94</v>
      </c>
      <c r="DG2332">
        <v>4.46</v>
      </c>
      <c r="DH2332">
        <v>2.88</v>
      </c>
      <c r="DI2332">
        <v>0.99</v>
      </c>
      <c r="DJ2332">
        <v>31512</v>
      </c>
      <c r="DK2332">
        <v>300999</v>
      </c>
      <c r="DL2332" t="s">
        <v>120</v>
      </c>
      <c r="DM2332" t="s">
        <v>120</v>
      </c>
      <c r="DN2332" t="s">
        <v>120</v>
      </c>
    </row>
    <row r="2333" spans="1:118">
      <c r="A2333" t="str">
        <f>"301000"</f>
        <v>301000</v>
      </c>
      <c r="B2333" t="s">
        <v>10980</v>
      </c>
      <c r="C2333">
        <v>-1.51</v>
      </c>
      <c r="D2333">
        <v>0.02</v>
      </c>
      <c r="E2333">
        <v>0</v>
      </c>
      <c r="F2333">
        <v>101</v>
      </c>
      <c r="G2333" t="s">
        <v>10041</v>
      </c>
      <c r="H2333">
        <v>2052.94</v>
      </c>
      <c r="I2333">
        <v>0</v>
      </c>
      <c r="J2333" t="s">
        <v>120</v>
      </c>
      <c r="K2333" t="s">
        <v>10041</v>
      </c>
      <c r="L2333">
        <v>2.2999999999999998</v>
      </c>
      <c r="M2333">
        <v>66.53</v>
      </c>
      <c r="N2333">
        <v>1.06</v>
      </c>
      <c r="O2333">
        <v>0.21</v>
      </c>
      <c r="P2333">
        <v>67.69</v>
      </c>
      <c r="Q2333">
        <v>-1.54</v>
      </c>
      <c r="R2333">
        <v>66.510000000000005</v>
      </c>
      <c r="S2333">
        <v>67.55</v>
      </c>
      <c r="T2333">
        <v>3064</v>
      </c>
      <c r="U2333">
        <v>66.540000000000006</v>
      </c>
      <c r="V2333">
        <v>67.55</v>
      </c>
      <c r="W2333">
        <v>32.04</v>
      </c>
      <c r="X2333" t="s">
        <v>2211</v>
      </c>
      <c r="Y2333" t="s">
        <v>1510</v>
      </c>
      <c r="Z2333">
        <v>1.75</v>
      </c>
      <c r="AA2333">
        <v>67</v>
      </c>
      <c r="AB2333">
        <v>2208</v>
      </c>
      <c r="AC2333">
        <v>856</v>
      </c>
      <c r="AD2333">
        <v>2.58</v>
      </c>
      <c r="AE2333">
        <v>11</v>
      </c>
      <c r="AF2333">
        <v>7</v>
      </c>
      <c r="AG2333" t="s">
        <v>120</v>
      </c>
      <c r="AH2333">
        <v>0</v>
      </c>
      <c r="AI2333" t="s">
        <v>120</v>
      </c>
      <c r="AJ2333">
        <v>0.13</v>
      </c>
      <c r="AK2333" t="s">
        <v>2454</v>
      </c>
      <c r="AL2333">
        <v>0.4</v>
      </c>
      <c r="AM2333">
        <v>659</v>
      </c>
      <c r="AN2333">
        <v>5</v>
      </c>
      <c r="AO2333">
        <v>3.5000000000000001E-3</v>
      </c>
      <c r="AP2333">
        <v>-1</v>
      </c>
      <c r="AQ2333">
        <v>0.3</v>
      </c>
      <c r="AR2333">
        <v>-2</v>
      </c>
      <c r="AS2333">
        <v>-4.3600000000000003</v>
      </c>
      <c r="AT2333">
        <v>-7.51</v>
      </c>
      <c r="AU2333">
        <v>5.42</v>
      </c>
      <c r="AV2333">
        <v>0</v>
      </c>
      <c r="AW2333">
        <v>2.2999999999999998</v>
      </c>
      <c r="AX2333">
        <v>25</v>
      </c>
      <c r="AY2333">
        <v>30.46</v>
      </c>
      <c r="AZ2333">
        <v>34.520000000000003</v>
      </c>
      <c r="BA2333">
        <v>0.42</v>
      </c>
      <c r="BB2333" t="s">
        <v>143</v>
      </c>
      <c r="BF2333">
        <v>-0.81</v>
      </c>
      <c r="BG2333">
        <v>-1.51</v>
      </c>
      <c r="BH2333">
        <v>-1.71</v>
      </c>
      <c r="BI2333">
        <v>0.03</v>
      </c>
      <c r="BJ2333">
        <v>20210903</v>
      </c>
      <c r="BK2333">
        <v>20210528</v>
      </c>
      <c r="BL2333">
        <v>0.53</v>
      </c>
      <c r="BM2333" t="s">
        <v>120</v>
      </c>
      <c r="BN2333" t="s">
        <v>120</v>
      </c>
      <c r="BO2333">
        <v>12.96</v>
      </c>
      <c r="BP2333">
        <v>66.53</v>
      </c>
      <c r="BQ2333">
        <v>10.43</v>
      </c>
      <c r="BR2333">
        <v>0</v>
      </c>
      <c r="BS2333">
        <v>19.510000000000002</v>
      </c>
      <c r="BT2333">
        <v>11.57</v>
      </c>
      <c r="BU2333">
        <v>0.78</v>
      </c>
      <c r="BV2333">
        <v>0.08</v>
      </c>
      <c r="BW2333">
        <v>2.33</v>
      </c>
      <c r="BX2333">
        <v>8.0500000000000007</v>
      </c>
      <c r="BY2333">
        <v>0.81</v>
      </c>
      <c r="BZ2333">
        <v>1.76</v>
      </c>
      <c r="CA2333" t="s">
        <v>120</v>
      </c>
      <c r="CB2333">
        <v>8.74</v>
      </c>
      <c r="CC2333">
        <v>3.06</v>
      </c>
      <c r="CD2333">
        <v>2</v>
      </c>
      <c r="CE2333">
        <v>0.64</v>
      </c>
      <c r="CF2333">
        <v>0</v>
      </c>
      <c r="CG2333">
        <v>0.64</v>
      </c>
      <c r="CH2333">
        <v>0.56000000000000005</v>
      </c>
      <c r="CI2333">
        <v>0.55000000000000004</v>
      </c>
      <c r="CJ2333">
        <v>-1.02</v>
      </c>
      <c r="CK2333">
        <v>0.55000000000000004</v>
      </c>
      <c r="CL2333">
        <v>0.98</v>
      </c>
      <c r="CM2333">
        <v>0.13</v>
      </c>
      <c r="CN2333">
        <v>7.67</v>
      </c>
      <c r="CO2333">
        <v>11947</v>
      </c>
      <c r="CP2333">
        <v>1116</v>
      </c>
      <c r="CQ2333" t="s">
        <v>6497</v>
      </c>
      <c r="CR2333">
        <v>0</v>
      </c>
      <c r="CS2333">
        <v>0</v>
      </c>
      <c r="CT2333">
        <v>3.4</v>
      </c>
      <c r="CU2333">
        <v>262.92</v>
      </c>
      <c r="CV2333">
        <v>11.59</v>
      </c>
      <c r="CW2333">
        <v>1.78</v>
      </c>
      <c r="CX2333" t="s">
        <v>3739</v>
      </c>
      <c r="CY2333">
        <v>19.55</v>
      </c>
      <c r="CZ2333">
        <v>0</v>
      </c>
      <c r="DA2333">
        <v>16.38</v>
      </c>
      <c r="DB2333">
        <v>1.83</v>
      </c>
      <c r="DC2333">
        <v>0.25</v>
      </c>
      <c r="DD2333">
        <v>80.47</v>
      </c>
      <c r="DE2333" t="s">
        <v>2687</v>
      </c>
      <c r="DF2333">
        <v>34.54</v>
      </c>
      <c r="DG2333">
        <v>20.88</v>
      </c>
      <c r="DH2333">
        <v>18.09</v>
      </c>
      <c r="DI2333">
        <v>0.12</v>
      </c>
      <c r="DJ2333">
        <v>353</v>
      </c>
      <c r="DK2333">
        <v>301000</v>
      </c>
      <c r="DL2333" t="s">
        <v>120</v>
      </c>
      <c r="DM2333" t="s">
        <v>120</v>
      </c>
      <c r="DN2333" t="s">
        <v>120</v>
      </c>
    </row>
    <row r="2334" spans="1:118">
      <c r="A2334" t="str">
        <f>"301001"</f>
        <v>301001</v>
      </c>
      <c r="B2334" t="s">
        <v>10981</v>
      </c>
      <c r="C2334">
        <v>3.54</v>
      </c>
      <c r="D2334">
        <v>0.12</v>
      </c>
      <c r="E2334">
        <v>0.22</v>
      </c>
      <c r="F2334">
        <v>405</v>
      </c>
      <c r="G2334" t="s">
        <v>10982</v>
      </c>
      <c r="H2334">
        <v>5577.16</v>
      </c>
      <c r="I2334">
        <v>0</v>
      </c>
      <c r="J2334" t="s">
        <v>120</v>
      </c>
      <c r="K2334" t="s">
        <v>10982</v>
      </c>
      <c r="L2334">
        <v>8.4700000000000006</v>
      </c>
      <c r="M2334">
        <v>33.35</v>
      </c>
      <c r="N2334">
        <v>3.21</v>
      </c>
      <c r="O2334">
        <v>4.84</v>
      </c>
      <c r="P2334">
        <v>33.770000000000003</v>
      </c>
      <c r="Q2334">
        <v>-0.22</v>
      </c>
      <c r="R2334">
        <v>32.14</v>
      </c>
      <c r="S2334">
        <v>32.28</v>
      </c>
      <c r="T2334">
        <v>16946</v>
      </c>
      <c r="U2334">
        <v>33.36</v>
      </c>
      <c r="V2334">
        <v>32.21</v>
      </c>
      <c r="W2334">
        <v>39.450000000000003</v>
      </c>
      <c r="X2334" t="s">
        <v>1531</v>
      </c>
      <c r="Y2334" t="s">
        <v>1510</v>
      </c>
      <c r="Z2334">
        <v>5.0599999999999996</v>
      </c>
      <c r="AA2334">
        <v>32.909999999999997</v>
      </c>
      <c r="AB2334">
        <v>6875</v>
      </c>
      <c r="AC2334">
        <v>10071</v>
      </c>
      <c r="AD2334">
        <v>0.68</v>
      </c>
      <c r="AE2334">
        <v>71</v>
      </c>
      <c r="AF2334">
        <v>20</v>
      </c>
      <c r="AG2334" t="s">
        <v>120</v>
      </c>
      <c r="AH2334">
        <v>0</v>
      </c>
      <c r="AI2334" t="s">
        <v>120</v>
      </c>
      <c r="AJ2334">
        <v>0.2</v>
      </c>
      <c r="AK2334" t="s">
        <v>10983</v>
      </c>
      <c r="AL2334">
        <v>5.45</v>
      </c>
      <c r="AM2334">
        <v>1112</v>
      </c>
      <c r="AN2334">
        <v>15</v>
      </c>
      <c r="AO2334">
        <v>7.6E-3</v>
      </c>
      <c r="AP2334">
        <v>2</v>
      </c>
      <c r="AQ2334">
        <v>0.41</v>
      </c>
      <c r="AR2334">
        <v>2.69</v>
      </c>
      <c r="AS2334">
        <v>-4.6100000000000003</v>
      </c>
      <c r="AT2334">
        <v>-13.73</v>
      </c>
      <c r="AU2334">
        <v>30.58</v>
      </c>
      <c r="AV2334">
        <v>0</v>
      </c>
      <c r="AW2334">
        <v>8.4700000000000006</v>
      </c>
      <c r="AX2334">
        <v>25</v>
      </c>
      <c r="AY2334">
        <v>32.340000000000003</v>
      </c>
      <c r="AZ2334">
        <v>30.45</v>
      </c>
      <c r="BA2334">
        <v>0.4</v>
      </c>
      <c r="BB2334" t="s">
        <v>143</v>
      </c>
      <c r="BF2334">
        <v>2.1800000000000002</v>
      </c>
      <c r="BG2334">
        <v>3.31</v>
      </c>
      <c r="BH2334">
        <v>-1.24</v>
      </c>
      <c r="BI2334">
        <v>3.76</v>
      </c>
      <c r="BJ2334">
        <v>20210828</v>
      </c>
      <c r="BK2334">
        <v>20210528</v>
      </c>
      <c r="BL2334">
        <v>0.8</v>
      </c>
      <c r="BM2334" t="s">
        <v>120</v>
      </c>
      <c r="BN2334" t="s">
        <v>120</v>
      </c>
      <c r="BO2334">
        <v>9.66</v>
      </c>
      <c r="BP2334">
        <v>33.35</v>
      </c>
      <c r="BQ2334">
        <v>8.19</v>
      </c>
      <c r="BR2334" t="s">
        <v>120</v>
      </c>
      <c r="BS2334">
        <v>15.23</v>
      </c>
      <c r="BT2334">
        <v>9.41</v>
      </c>
      <c r="BU2334">
        <v>0.01</v>
      </c>
      <c r="BV2334">
        <v>0</v>
      </c>
      <c r="BW2334">
        <v>1.39</v>
      </c>
      <c r="BX2334">
        <v>5.94</v>
      </c>
      <c r="BY2334">
        <v>1.17</v>
      </c>
      <c r="BZ2334">
        <v>1.77</v>
      </c>
      <c r="CA2334" t="s">
        <v>120</v>
      </c>
      <c r="CB2334">
        <v>4.92</v>
      </c>
      <c r="CC2334">
        <v>3.8</v>
      </c>
      <c r="CD2334">
        <v>2.66</v>
      </c>
      <c r="CE2334">
        <v>0.43</v>
      </c>
      <c r="CF2334">
        <v>0</v>
      </c>
      <c r="CG2334">
        <v>0.45</v>
      </c>
      <c r="CH2334">
        <v>0.34</v>
      </c>
      <c r="CI2334">
        <v>0.34</v>
      </c>
      <c r="CJ2334">
        <v>1.1399999999999999</v>
      </c>
      <c r="CK2334">
        <v>0.32</v>
      </c>
      <c r="CL2334">
        <v>2.17</v>
      </c>
      <c r="CM2334">
        <v>0.28000000000000003</v>
      </c>
      <c r="CN2334">
        <v>4.58</v>
      </c>
      <c r="CO2334">
        <v>17784</v>
      </c>
      <c r="CP2334">
        <v>1125</v>
      </c>
      <c r="CQ2334" t="s">
        <v>3294</v>
      </c>
      <c r="CR2334">
        <v>0</v>
      </c>
      <c r="CS2334">
        <v>0</v>
      </c>
      <c r="CT2334">
        <v>3.26</v>
      </c>
      <c r="CU2334">
        <v>94.33</v>
      </c>
      <c r="CV2334">
        <v>7.02</v>
      </c>
      <c r="CW2334">
        <v>0</v>
      </c>
      <c r="CX2334" t="s">
        <v>2391</v>
      </c>
      <c r="CY2334">
        <v>10.24</v>
      </c>
      <c r="CZ2334">
        <v>0</v>
      </c>
      <c r="DA2334">
        <v>6.15</v>
      </c>
      <c r="DB2334">
        <v>2.72</v>
      </c>
      <c r="DC2334">
        <v>0.35</v>
      </c>
      <c r="DD2334">
        <v>84.77</v>
      </c>
      <c r="DE2334" t="s">
        <v>1175</v>
      </c>
      <c r="DF2334">
        <v>30.07</v>
      </c>
      <c r="DG2334">
        <v>11.18</v>
      </c>
      <c r="DH2334">
        <v>8.89</v>
      </c>
      <c r="DI2334">
        <v>0.04</v>
      </c>
      <c r="DJ2334">
        <v>1369</v>
      </c>
      <c r="DK2334">
        <v>301001</v>
      </c>
      <c r="DL2334" t="s">
        <v>120</v>
      </c>
      <c r="DM2334" t="s">
        <v>120</v>
      </c>
      <c r="DN2334" t="s">
        <v>120</v>
      </c>
    </row>
    <row r="2335" spans="1:118">
      <c r="A2335" t="str">
        <f>"301002"</f>
        <v>301002</v>
      </c>
      <c r="B2335" t="s">
        <v>10984</v>
      </c>
      <c r="C2335">
        <v>-3.35</v>
      </c>
      <c r="D2335">
        <v>0.15</v>
      </c>
      <c r="E2335">
        <v>-0.28999999999999998</v>
      </c>
      <c r="F2335">
        <v>117</v>
      </c>
      <c r="G2335" t="s">
        <v>10985</v>
      </c>
      <c r="H2335">
        <v>4117.8500000000004</v>
      </c>
      <c r="I2335">
        <v>7.52</v>
      </c>
      <c r="J2335" t="s">
        <v>120</v>
      </c>
      <c r="K2335" t="s">
        <v>10985</v>
      </c>
      <c r="L2335">
        <v>2.74</v>
      </c>
      <c r="M2335">
        <v>66.3</v>
      </c>
      <c r="N2335">
        <v>0.95</v>
      </c>
      <c r="O2335">
        <v>0</v>
      </c>
      <c r="P2335">
        <v>68.599999999999994</v>
      </c>
      <c r="Q2335">
        <v>-3.7</v>
      </c>
      <c r="R2335">
        <v>66.06</v>
      </c>
      <c r="S2335">
        <v>68.400000000000006</v>
      </c>
      <c r="T2335">
        <v>6137</v>
      </c>
      <c r="U2335">
        <v>66.3</v>
      </c>
      <c r="V2335">
        <v>68.599999999999994</v>
      </c>
      <c r="W2335">
        <v>43.55</v>
      </c>
      <c r="X2335" t="s">
        <v>394</v>
      </c>
      <c r="Y2335" t="s">
        <v>123</v>
      </c>
      <c r="Z2335">
        <v>3.7</v>
      </c>
      <c r="AA2335">
        <v>67.099999999999994</v>
      </c>
      <c r="AB2335">
        <v>3935</v>
      </c>
      <c r="AC2335">
        <v>2202</v>
      </c>
      <c r="AD2335">
        <v>1.79</v>
      </c>
      <c r="AE2335">
        <v>12</v>
      </c>
      <c r="AF2335">
        <v>20</v>
      </c>
      <c r="AG2335" t="s">
        <v>120</v>
      </c>
      <c r="AH2335">
        <v>0</v>
      </c>
      <c r="AI2335" t="s">
        <v>120</v>
      </c>
      <c r="AJ2335">
        <v>0.22</v>
      </c>
      <c r="AK2335" t="s">
        <v>1040</v>
      </c>
      <c r="AL2335">
        <v>-1.44</v>
      </c>
      <c r="AM2335">
        <v>1398</v>
      </c>
      <c r="AN2335">
        <v>4</v>
      </c>
      <c r="AO2335">
        <v>2E-3</v>
      </c>
      <c r="AP2335">
        <v>-5</v>
      </c>
      <c r="AQ2335">
        <v>-3.38</v>
      </c>
      <c r="AR2335">
        <v>-7.11</v>
      </c>
      <c r="AS2335">
        <v>-11.43</v>
      </c>
      <c r="AT2335">
        <v>-15.68</v>
      </c>
      <c r="AU2335">
        <v>279.73</v>
      </c>
      <c r="AV2335">
        <v>0</v>
      </c>
      <c r="AW2335">
        <v>2.74</v>
      </c>
      <c r="AX2335">
        <v>23.71</v>
      </c>
      <c r="AY2335">
        <v>49.4</v>
      </c>
      <c r="AZ2335">
        <v>65.17</v>
      </c>
      <c r="BA2335">
        <v>0.95</v>
      </c>
      <c r="BB2335" t="s">
        <v>134</v>
      </c>
      <c r="BF2335">
        <v>-2.19</v>
      </c>
      <c r="BG2335">
        <v>-3.07</v>
      </c>
      <c r="BH2335">
        <v>-3.35</v>
      </c>
      <c r="BI2335">
        <v>0.36</v>
      </c>
      <c r="BJ2335">
        <v>20210810</v>
      </c>
      <c r="BK2335">
        <v>20210607</v>
      </c>
      <c r="BL2335">
        <v>0.95</v>
      </c>
      <c r="BM2335" t="s">
        <v>120</v>
      </c>
      <c r="BN2335" t="s">
        <v>120</v>
      </c>
      <c r="BO2335">
        <v>12.02</v>
      </c>
      <c r="BP2335">
        <v>66.260000000000005</v>
      </c>
      <c r="BQ2335">
        <v>8.0500000000000007</v>
      </c>
      <c r="BR2335" t="s">
        <v>120</v>
      </c>
      <c r="BS2335">
        <v>32.99</v>
      </c>
      <c r="BT2335">
        <v>10.220000000000001</v>
      </c>
      <c r="BU2335">
        <v>0.61</v>
      </c>
      <c r="BV2335">
        <v>0.2</v>
      </c>
      <c r="BW2335">
        <v>3.77</v>
      </c>
      <c r="BX2335">
        <v>4.7</v>
      </c>
      <c r="BY2335">
        <v>1.31</v>
      </c>
      <c r="BZ2335">
        <v>3.6</v>
      </c>
      <c r="CA2335">
        <v>0</v>
      </c>
      <c r="CB2335">
        <v>4.71</v>
      </c>
      <c r="CC2335">
        <v>5.54</v>
      </c>
      <c r="CD2335">
        <v>4.0599999999999996</v>
      </c>
      <c r="CE2335">
        <v>0.81</v>
      </c>
      <c r="CF2335">
        <v>0.01</v>
      </c>
      <c r="CG2335">
        <v>0.81</v>
      </c>
      <c r="CH2335">
        <v>0.72</v>
      </c>
      <c r="CI2335">
        <v>0.72</v>
      </c>
      <c r="CJ2335">
        <v>-2.2999999999999998</v>
      </c>
      <c r="CK2335">
        <v>0.66</v>
      </c>
      <c r="CL2335">
        <v>2.14</v>
      </c>
      <c r="CM2335">
        <v>-0.28999999999999998</v>
      </c>
      <c r="CN2335">
        <v>4.29</v>
      </c>
      <c r="CO2335">
        <v>14209</v>
      </c>
      <c r="CP2335">
        <v>1577</v>
      </c>
      <c r="CQ2335" t="s">
        <v>10986</v>
      </c>
      <c r="CR2335">
        <v>0</v>
      </c>
      <c r="CS2335">
        <v>0</v>
      </c>
      <c r="CT2335">
        <v>7.78</v>
      </c>
      <c r="CU2335">
        <v>-214.57</v>
      </c>
      <c r="CV2335">
        <v>11.31</v>
      </c>
      <c r="CW2335">
        <v>1.82</v>
      </c>
      <c r="CX2335" t="s">
        <v>4116</v>
      </c>
      <c r="CY2335">
        <v>8.52</v>
      </c>
      <c r="CZ2335">
        <v>0</v>
      </c>
      <c r="DA2335">
        <v>4.9800000000000004</v>
      </c>
      <c r="DB2335">
        <v>2.27</v>
      </c>
      <c r="DC2335">
        <v>-0.31</v>
      </c>
      <c r="DD2335">
        <v>67.010000000000005</v>
      </c>
      <c r="DE2335" t="s">
        <v>1201</v>
      </c>
      <c r="DF2335">
        <v>26.73</v>
      </c>
      <c r="DG2335">
        <v>14.67</v>
      </c>
      <c r="DH2335">
        <v>12.99</v>
      </c>
      <c r="DI2335">
        <v>0.21</v>
      </c>
      <c r="DJ2335">
        <v>1577</v>
      </c>
      <c r="DK2335">
        <v>301002</v>
      </c>
      <c r="DL2335" t="s">
        <v>120</v>
      </c>
      <c r="DM2335" t="s">
        <v>120</v>
      </c>
      <c r="DN2335" t="s">
        <v>120</v>
      </c>
    </row>
    <row r="2336" spans="1:118">
      <c r="A2336" t="str">
        <f>"301003"</f>
        <v>301003</v>
      </c>
      <c r="B2336" t="s">
        <v>10987</v>
      </c>
      <c r="C2336">
        <v>-1.63</v>
      </c>
      <c r="D2336">
        <v>7.0000000000000007E-2</v>
      </c>
      <c r="E2336">
        <v>0.64</v>
      </c>
      <c r="F2336">
        <v>80</v>
      </c>
      <c r="G2336" t="s">
        <v>10988</v>
      </c>
      <c r="H2336">
        <v>4090.25</v>
      </c>
      <c r="I2336">
        <v>28.5</v>
      </c>
      <c r="J2336" t="s">
        <v>120</v>
      </c>
      <c r="K2336" t="s">
        <v>10988</v>
      </c>
      <c r="L2336">
        <v>4.84</v>
      </c>
      <c r="M2336">
        <v>56.86</v>
      </c>
      <c r="N2336">
        <v>1.34</v>
      </c>
      <c r="O2336">
        <v>2.2799999999999998</v>
      </c>
      <c r="P2336">
        <v>59.12</v>
      </c>
      <c r="Q2336">
        <v>-1.7</v>
      </c>
      <c r="R2336">
        <v>56.82</v>
      </c>
      <c r="S2336">
        <v>58.17</v>
      </c>
      <c r="T2336">
        <v>7056</v>
      </c>
      <c r="U2336">
        <v>56.86</v>
      </c>
      <c r="V2336">
        <v>57.8</v>
      </c>
      <c r="W2336">
        <v>24.31</v>
      </c>
      <c r="X2336" t="s">
        <v>2211</v>
      </c>
      <c r="Y2336" t="s">
        <v>319</v>
      </c>
      <c r="Z2336">
        <v>3.98</v>
      </c>
      <c r="AA2336">
        <v>57.97</v>
      </c>
      <c r="AB2336">
        <v>3900</v>
      </c>
      <c r="AC2336">
        <v>3156</v>
      </c>
      <c r="AD2336">
        <v>1.24</v>
      </c>
      <c r="AE2336">
        <v>2</v>
      </c>
      <c r="AF2336">
        <v>6</v>
      </c>
      <c r="AG2336" t="s">
        <v>120</v>
      </c>
      <c r="AH2336">
        <v>0.03</v>
      </c>
      <c r="AI2336" t="s">
        <v>120</v>
      </c>
      <c r="AJ2336">
        <v>0.15</v>
      </c>
      <c r="AK2336" t="s">
        <v>10989</v>
      </c>
      <c r="AL2336">
        <v>0.28999999999999998</v>
      </c>
      <c r="AM2336">
        <v>974</v>
      </c>
      <c r="AN2336">
        <v>7</v>
      </c>
      <c r="AO2336">
        <v>5.0000000000000001E-3</v>
      </c>
      <c r="AP2336">
        <v>-3</v>
      </c>
      <c r="AQ2336">
        <v>-0.34</v>
      </c>
      <c r="AR2336">
        <v>-2.79</v>
      </c>
      <c r="AS2336">
        <v>-5.25</v>
      </c>
      <c r="AT2336">
        <v>-4.12</v>
      </c>
      <c r="AU2336">
        <v>1.76</v>
      </c>
      <c r="AV2336">
        <v>0</v>
      </c>
      <c r="AW2336">
        <v>4.84</v>
      </c>
      <c r="AX2336">
        <v>25</v>
      </c>
      <c r="AY2336">
        <v>25.06</v>
      </c>
      <c r="AZ2336">
        <v>30.38</v>
      </c>
      <c r="BA2336">
        <v>0.45</v>
      </c>
      <c r="BB2336" t="s">
        <v>143</v>
      </c>
      <c r="BF2336">
        <v>0.28999999999999998</v>
      </c>
      <c r="BG2336">
        <v>-2.25</v>
      </c>
      <c r="BH2336">
        <v>-3.82</v>
      </c>
      <c r="BI2336">
        <v>7.0000000000000007E-2</v>
      </c>
      <c r="BJ2336">
        <v>20210914</v>
      </c>
      <c r="BK2336">
        <v>20210601</v>
      </c>
      <c r="BL2336">
        <v>0.57999999999999996</v>
      </c>
      <c r="BM2336" t="s">
        <v>120</v>
      </c>
      <c r="BN2336" t="s">
        <v>120</v>
      </c>
      <c r="BO2336">
        <v>12.19</v>
      </c>
      <c r="BP2336">
        <v>56.85</v>
      </c>
      <c r="BQ2336">
        <v>10.69</v>
      </c>
      <c r="BR2336" t="s">
        <v>120</v>
      </c>
      <c r="BS2336">
        <v>12.34</v>
      </c>
      <c r="BT2336">
        <v>11.43</v>
      </c>
      <c r="BU2336">
        <v>0.35</v>
      </c>
      <c r="BV2336">
        <v>0.3</v>
      </c>
      <c r="BW2336">
        <v>1.5</v>
      </c>
      <c r="BX2336">
        <v>8.11</v>
      </c>
      <c r="BY2336">
        <v>1.43</v>
      </c>
      <c r="BZ2336">
        <v>1.51</v>
      </c>
      <c r="CA2336" t="s">
        <v>120</v>
      </c>
      <c r="CB2336">
        <v>7.41</v>
      </c>
      <c r="CC2336">
        <v>3.38</v>
      </c>
      <c r="CD2336">
        <v>2.2599999999999998</v>
      </c>
      <c r="CE2336">
        <v>0.81</v>
      </c>
      <c r="CF2336">
        <v>0</v>
      </c>
      <c r="CG2336">
        <v>0.81</v>
      </c>
      <c r="CH2336">
        <v>0.68</v>
      </c>
      <c r="CI2336">
        <v>0.68</v>
      </c>
      <c r="CJ2336">
        <v>-0.94</v>
      </c>
      <c r="CK2336">
        <v>0.68</v>
      </c>
      <c r="CL2336">
        <v>2.4700000000000002</v>
      </c>
      <c r="CM2336">
        <v>-0.1</v>
      </c>
      <c r="CN2336">
        <v>7.26</v>
      </c>
      <c r="CO2336">
        <v>12213</v>
      </c>
      <c r="CP2336">
        <v>1193</v>
      </c>
      <c r="CQ2336" t="s">
        <v>1225</v>
      </c>
      <c r="CR2336">
        <v>0</v>
      </c>
      <c r="CS2336">
        <v>0</v>
      </c>
      <c r="CT2336">
        <v>3.1</v>
      </c>
      <c r="CU2336">
        <v>-346.65</v>
      </c>
      <c r="CV2336">
        <v>9.7899999999999991</v>
      </c>
      <c r="CW2336">
        <v>1.73</v>
      </c>
      <c r="CX2336" t="s">
        <v>10990</v>
      </c>
      <c r="CY2336">
        <v>18.34</v>
      </c>
      <c r="CZ2336">
        <v>0</v>
      </c>
      <c r="DA2336">
        <v>12.72</v>
      </c>
      <c r="DB2336">
        <v>4.2300000000000004</v>
      </c>
      <c r="DC2336">
        <v>-0.16</v>
      </c>
      <c r="DD2336">
        <v>87.66</v>
      </c>
      <c r="DE2336" t="s">
        <v>3384</v>
      </c>
      <c r="DF2336">
        <v>33.11</v>
      </c>
      <c r="DG2336">
        <v>23.84</v>
      </c>
      <c r="DH2336">
        <v>20.13</v>
      </c>
      <c r="DI2336">
        <v>0.08</v>
      </c>
      <c r="DJ2336">
        <v>170</v>
      </c>
      <c r="DK2336">
        <v>301003</v>
      </c>
      <c r="DL2336" t="s">
        <v>120</v>
      </c>
      <c r="DM2336" t="s">
        <v>120</v>
      </c>
      <c r="DN2336" t="s">
        <v>120</v>
      </c>
    </row>
    <row r="2337" spans="1:118">
      <c r="A2337" t="str">
        <f>"301004"</f>
        <v>301004</v>
      </c>
      <c r="B2337" t="s">
        <v>10991</v>
      </c>
      <c r="C2337">
        <v>1.31</v>
      </c>
      <c r="D2337">
        <v>0</v>
      </c>
      <c r="E2337">
        <v>0</v>
      </c>
      <c r="F2337">
        <v>529</v>
      </c>
      <c r="G2337" t="s">
        <v>10992</v>
      </c>
      <c r="H2337">
        <v>3293.28</v>
      </c>
      <c r="I2337">
        <v>11.52</v>
      </c>
      <c r="J2337" t="s">
        <v>120</v>
      </c>
      <c r="K2337" t="s">
        <v>10992</v>
      </c>
      <c r="L2337">
        <v>6.68</v>
      </c>
      <c r="M2337">
        <v>20.85</v>
      </c>
      <c r="N2337">
        <v>1.35</v>
      </c>
      <c r="O2337">
        <v>2.33</v>
      </c>
      <c r="P2337">
        <v>21.06</v>
      </c>
      <c r="Q2337">
        <v>-0.1</v>
      </c>
      <c r="R2337">
        <v>20.56</v>
      </c>
      <c r="S2337">
        <v>20.58</v>
      </c>
      <c r="T2337">
        <v>15839</v>
      </c>
      <c r="U2337">
        <v>20.85</v>
      </c>
      <c r="V2337">
        <v>20.58</v>
      </c>
      <c r="W2337">
        <v>31.65</v>
      </c>
      <c r="X2337" t="s">
        <v>2409</v>
      </c>
      <c r="Y2337" t="s">
        <v>585</v>
      </c>
      <c r="Z2337">
        <v>2.4300000000000002</v>
      </c>
      <c r="AA2337">
        <v>20.79</v>
      </c>
      <c r="AB2337">
        <v>7052</v>
      </c>
      <c r="AC2337">
        <v>8787</v>
      </c>
      <c r="AD2337">
        <v>0.8</v>
      </c>
      <c r="AE2337">
        <v>61</v>
      </c>
      <c r="AF2337">
        <v>41</v>
      </c>
      <c r="AG2337" t="s">
        <v>120</v>
      </c>
      <c r="AH2337">
        <v>0.02</v>
      </c>
      <c r="AI2337" t="s">
        <v>120</v>
      </c>
      <c r="AJ2337">
        <v>0.24</v>
      </c>
      <c r="AK2337" t="s">
        <v>6893</v>
      </c>
      <c r="AL2337">
        <v>3.23</v>
      </c>
      <c r="AM2337">
        <v>1172</v>
      </c>
      <c r="AN2337">
        <v>14</v>
      </c>
      <c r="AO2337">
        <v>5.7000000000000002E-3</v>
      </c>
      <c r="AP2337">
        <v>2</v>
      </c>
      <c r="AQ2337">
        <v>0.05</v>
      </c>
      <c r="AR2337">
        <v>-0.33</v>
      </c>
      <c r="AS2337">
        <v>-2.62</v>
      </c>
      <c r="AT2337">
        <v>166.97</v>
      </c>
      <c r="AU2337">
        <v>166.97</v>
      </c>
      <c r="AV2337">
        <v>0</v>
      </c>
      <c r="AW2337">
        <v>6.68</v>
      </c>
      <c r="AX2337">
        <v>23.71</v>
      </c>
      <c r="AY2337">
        <v>30.15</v>
      </c>
      <c r="AZ2337">
        <v>31.74</v>
      </c>
      <c r="BA2337">
        <v>0</v>
      </c>
      <c r="BB2337" t="s">
        <v>240</v>
      </c>
      <c r="BF2337">
        <v>1.03</v>
      </c>
      <c r="BG2337">
        <v>1.31</v>
      </c>
      <c r="BH2337">
        <v>-1</v>
      </c>
      <c r="BI2337">
        <v>1.41</v>
      </c>
      <c r="BJ2337">
        <v>20210912</v>
      </c>
      <c r="BK2337">
        <v>20210625</v>
      </c>
      <c r="BL2337">
        <v>1</v>
      </c>
      <c r="BM2337" t="s">
        <v>120</v>
      </c>
      <c r="BN2337" t="s">
        <v>120</v>
      </c>
      <c r="BO2337">
        <v>7.01</v>
      </c>
      <c r="BP2337">
        <v>20.84</v>
      </c>
      <c r="BQ2337">
        <v>5.75</v>
      </c>
      <c r="BR2337">
        <v>0.01</v>
      </c>
      <c r="BS2337">
        <v>17.760000000000002</v>
      </c>
      <c r="BT2337">
        <v>5.43</v>
      </c>
      <c r="BU2337">
        <v>0.95</v>
      </c>
      <c r="BV2337">
        <v>0.53</v>
      </c>
      <c r="BW2337">
        <v>1.19</v>
      </c>
      <c r="BX2337">
        <v>3.21</v>
      </c>
      <c r="BY2337">
        <v>1.04</v>
      </c>
      <c r="BZ2337">
        <v>0.76</v>
      </c>
      <c r="CA2337" t="s">
        <v>120</v>
      </c>
      <c r="CB2337">
        <v>2.14</v>
      </c>
      <c r="CC2337">
        <v>2.1800000000000002</v>
      </c>
      <c r="CD2337">
        <v>1.54</v>
      </c>
      <c r="CE2337">
        <v>0.37</v>
      </c>
      <c r="CF2337">
        <v>0.02</v>
      </c>
      <c r="CG2337">
        <v>0.37</v>
      </c>
      <c r="CH2337">
        <v>0.33</v>
      </c>
      <c r="CI2337">
        <v>0.33</v>
      </c>
      <c r="CJ2337">
        <v>0.27</v>
      </c>
      <c r="CK2337">
        <v>0.3</v>
      </c>
      <c r="CL2337">
        <v>2.38</v>
      </c>
      <c r="CM2337">
        <v>0.17</v>
      </c>
      <c r="CN2337">
        <v>1.49</v>
      </c>
      <c r="CO2337">
        <v>16572</v>
      </c>
      <c r="CP2337">
        <v>1431</v>
      </c>
      <c r="CQ2337" t="s">
        <v>4797</v>
      </c>
      <c r="CR2337">
        <v>0</v>
      </c>
      <c r="CS2337">
        <v>0</v>
      </c>
      <c r="CT2337">
        <v>3.62</v>
      </c>
      <c r="CU2337">
        <v>120.04</v>
      </c>
      <c r="CV2337">
        <v>9.5500000000000007</v>
      </c>
      <c r="CW2337">
        <v>0.97</v>
      </c>
      <c r="CX2337" t="s">
        <v>194</v>
      </c>
      <c r="CY2337">
        <v>5.75</v>
      </c>
      <c r="CZ2337">
        <v>0</v>
      </c>
      <c r="DA2337">
        <v>2.14</v>
      </c>
      <c r="DB2337">
        <v>2.38</v>
      </c>
      <c r="DC2337">
        <v>0.17</v>
      </c>
      <c r="DD2337">
        <v>82.1</v>
      </c>
      <c r="DE2337" t="s">
        <v>6718</v>
      </c>
      <c r="DF2337">
        <v>29.39</v>
      </c>
      <c r="DG2337">
        <v>16.98</v>
      </c>
      <c r="DH2337">
        <v>15.09</v>
      </c>
      <c r="DI2337">
        <v>0.12</v>
      </c>
      <c r="DJ2337">
        <v>982</v>
      </c>
      <c r="DK2337">
        <v>301004</v>
      </c>
      <c r="DL2337" t="s">
        <v>120</v>
      </c>
      <c r="DM2337" t="s">
        <v>120</v>
      </c>
      <c r="DN2337" t="s">
        <v>120</v>
      </c>
    </row>
    <row r="2338" spans="1:118">
      <c r="A2338" t="str">
        <f>"301005"</f>
        <v>301005</v>
      </c>
      <c r="B2338" t="s">
        <v>10993</v>
      </c>
      <c r="C2338">
        <v>0.87</v>
      </c>
      <c r="D2338">
        <v>-0.39</v>
      </c>
      <c r="E2338">
        <v>0</v>
      </c>
      <c r="F2338">
        <v>247</v>
      </c>
      <c r="G2338" t="s">
        <v>9494</v>
      </c>
      <c r="H2338">
        <v>6116.86</v>
      </c>
      <c r="I2338">
        <v>8.25</v>
      </c>
      <c r="J2338" t="s">
        <v>120</v>
      </c>
      <c r="K2338" t="s">
        <v>9494</v>
      </c>
      <c r="L2338">
        <v>6.76</v>
      </c>
      <c r="M2338">
        <v>64.040000000000006</v>
      </c>
      <c r="N2338">
        <v>1.1499999999999999</v>
      </c>
      <c r="O2338">
        <v>2.0299999999999998</v>
      </c>
      <c r="P2338">
        <v>64.78</v>
      </c>
      <c r="Q2338">
        <v>-2.2400000000000002</v>
      </c>
      <c r="R2338">
        <v>62.07</v>
      </c>
      <c r="S2338">
        <v>63.49</v>
      </c>
      <c r="T2338">
        <v>9653</v>
      </c>
      <c r="U2338">
        <v>64.11</v>
      </c>
      <c r="V2338">
        <v>63.49</v>
      </c>
      <c r="W2338">
        <v>46.5</v>
      </c>
      <c r="X2338" t="s">
        <v>289</v>
      </c>
      <c r="Y2338" t="s">
        <v>1510</v>
      </c>
      <c r="Z2338">
        <v>4.2699999999999996</v>
      </c>
      <c r="AA2338">
        <v>63.37</v>
      </c>
      <c r="AB2338">
        <v>4923</v>
      </c>
      <c r="AC2338">
        <v>4730</v>
      </c>
      <c r="AD2338">
        <v>1.04</v>
      </c>
      <c r="AE2338">
        <v>3</v>
      </c>
      <c r="AF2338">
        <v>2</v>
      </c>
      <c r="AG2338" t="s">
        <v>120</v>
      </c>
      <c r="AH2338">
        <v>0.01</v>
      </c>
      <c r="AI2338" t="s">
        <v>120</v>
      </c>
      <c r="AJ2338">
        <v>0.14000000000000001</v>
      </c>
      <c r="AK2338" t="s">
        <v>5316</v>
      </c>
      <c r="AL2338">
        <v>2.78</v>
      </c>
      <c r="AM2338">
        <v>1225</v>
      </c>
      <c r="AN2338">
        <v>8</v>
      </c>
      <c r="AO2338">
        <v>5.4999999999999997E-3</v>
      </c>
      <c r="AP2338">
        <v>2</v>
      </c>
      <c r="AQ2338">
        <v>1.03</v>
      </c>
      <c r="AR2338">
        <v>1.49</v>
      </c>
      <c r="AS2338">
        <v>10.81</v>
      </c>
      <c r="AT2338">
        <v>33.14</v>
      </c>
      <c r="AU2338">
        <v>75.69</v>
      </c>
      <c r="AV2338">
        <v>0</v>
      </c>
      <c r="AW2338">
        <v>6.76</v>
      </c>
      <c r="AX2338">
        <v>25</v>
      </c>
      <c r="AY2338">
        <v>39.909999999999997</v>
      </c>
      <c r="AZ2338">
        <v>44.63</v>
      </c>
      <c r="BA2338">
        <v>0</v>
      </c>
      <c r="BB2338" t="s">
        <v>168</v>
      </c>
      <c r="BF2338">
        <v>-0.19</v>
      </c>
      <c r="BG2338">
        <v>0.87</v>
      </c>
      <c r="BH2338">
        <v>-1.1399999999999999</v>
      </c>
      <c r="BI2338">
        <v>3.17</v>
      </c>
      <c r="BJ2338">
        <v>20210913</v>
      </c>
      <c r="BK2338">
        <v>20210601</v>
      </c>
      <c r="BL2338">
        <v>0.56999999999999995</v>
      </c>
      <c r="BM2338" t="s">
        <v>120</v>
      </c>
      <c r="BN2338" t="s">
        <v>120</v>
      </c>
      <c r="BO2338">
        <v>8.7200000000000006</v>
      </c>
      <c r="BP2338">
        <v>64.040000000000006</v>
      </c>
      <c r="BQ2338">
        <v>7.63</v>
      </c>
      <c r="BR2338" t="s">
        <v>120</v>
      </c>
      <c r="BS2338">
        <v>12.48</v>
      </c>
      <c r="BT2338">
        <v>6.97</v>
      </c>
      <c r="BU2338">
        <v>0.52</v>
      </c>
      <c r="BV2338">
        <v>0.32</v>
      </c>
      <c r="BW2338">
        <v>1.04</v>
      </c>
      <c r="BX2338">
        <v>4.62</v>
      </c>
      <c r="BY2338">
        <v>1.01</v>
      </c>
      <c r="BZ2338">
        <v>0.99</v>
      </c>
      <c r="CA2338" t="s">
        <v>120</v>
      </c>
      <c r="CB2338">
        <v>5.32</v>
      </c>
      <c r="CC2338">
        <v>1.93</v>
      </c>
      <c r="CD2338">
        <v>1.22</v>
      </c>
      <c r="CE2338">
        <v>0.45</v>
      </c>
      <c r="CF2338">
        <v>0</v>
      </c>
      <c r="CG2338">
        <v>0.45</v>
      </c>
      <c r="CH2338">
        <v>0.39</v>
      </c>
      <c r="CI2338">
        <v>0.39</v>
      </c>
      <c r="CJ2338">
        <v>0.55000000000000004</v>
      </c>
      <c r="CK2338">
        <v>0.36</v>
      </c>
      <c r="CL2338">
        <v>1.54</v>
      </c>
      <c r="CM2338">
        <v>0.39</v>
      </c>
      <c r="CN2338">
        <v>4.28</v>
      </c>
      <c r="CO2338">
        <v>7261</v>
      </c>
      <c r="CP2338">
        <v>1967</v>
      </c>
      <c r="CQ2338" t="s">
        <v>1818</v>
      </c>
      <c r="CR2338">
        <v>0</v>
      </c>
      <c r="CS2338">
        <v>0</v>
      </c>
      <c r="CT2338">
        <v>4.79</v>
      </c>
      <c r="CU2338">
        <v>94.89</v>
      </c>
      <c r="CV2338">
        <v>19</v>
      </c>
      <c r="CW2338">
        <v>0.71</v>
      </c>
      <c r="CX2338" t="s">
        <v>2847</v>
      </c>
      <c r="CY2338">
        <v>13.36</v>
      </c>
      <c r="CZ2338">
        <v>0</v>
      </c>
      <c r="DA2338">
        <v>9.31</v>
      </c>
      <c r="DB2338">
        <v>2.7</v>
      </c>
      <c r="DC2338">
        <v>0.67</v>
      </c>
      <c r="DD2338">
        <v>87.52</v>
      </c>
      <c r="DE2338" t="s">
        <v>9427</v>
      </c>
      <c r="DF2338">
        <v>36.479999999999997</v>
      </c>
      <c r="DG2338">
        <v>23.17</v>
      </c>
      <c r="DH2338">
        <v>20.43</v>
      </c>
      <c r="DI2338">
        <v>0.1</v>
      </c>
      <c r="DJ2338">
        <v>527</v>
      </c>
      <c r="DK2338">
        <v>301005</v>
      </c>
      <c r="DL2338">
        <v>20210831</v>
      </c>
      <c r="DM2338">
        <v>65.599999999999994</v>
      </c>
      <c r="DN2338">
        <v>-2.38</v>
      </c>
    </row>
    <row r="2339" spans="1:118">
      <c r="A2339" t="str">
        <f>"301006"</f>
        <v>301006</v>
      </c>
      <c r="B2339" t="s">
        <v>10994</v>
      </c>
      <c r="C2339">
        <v>-3.18</v>
      </c>
      <c r="D2339">
        <v>7.0000000000000007E-2</v>
      </c>
      <c r="E2339">
        <v>0.59</v>
      </c>
      <c r="F2339">
        <v>208</v>
      </c>
      <c r="G2339" t="s">
        <v>10995</v>
      </c>
      <c r="H2339">
        <v>4064.7</v>
      </c>
      <c r="I2339">
        <v>4.3600000000000003</v>
      </c>
      <c r="J2339" t="s">
        <v>120</v>
      </c>
      <c r="K2339" t="s">
        <v>10995</v>
      </c>
      <c r="L2339">
        <v>4.32</v>
      </c>
      <c r="M2339">
        <v>28</v>
      </c>
      <c r="N2339">
        <v>1.1200000000000001</v>
      </c>
      <c r="O2339">
        <v>1.1100000000000001</v>
      </c>
      <c r="P2339">
        <v>29.24</v>
      </c>
      <c r="Q2339">
        <v>-3.53</v>
      </c>
      <c r="R2339">
        <v>27.9</v>
      </c>
      <c r="S2339">
        <v>29.09</v>
      </c>
      <c r="T2339">
        <v>14274</v>
      </c>
      <c r="U2339">
        <v>28.01</v>
      </c>
      <c r="V2339">
        <v>28.92</v>
      </c>
      <c r="W2339">
        <v>29.95</v>
      </c>
      <c r="X2339" t="s">
        <v>2717</v>
      </c>
      <c r="Y2339" t="s">
        <v>319</v>
      </c>
      <c r="Z2339">
        <v>4.63</v>
      </c>
      <c r="AA2339">
        <v>28.48</v>
      </c>
      <c r="AB2339">
        <v>9608</v>
      </c>
      <c r="AC2339">
        <v>4666</v>
      </c>
      <c r="AD2339">
        <v>2.06</v>
      </c>
      <c r="AE2339">
        <v>40</v>
      </c>
      <c r="AF2339">
        <v>3</v>
      </c>
      <c r="AG2339" t="s">
        <v>120</v>
      </c>
      <c r="AH2339">
        <v>0</v>
      </c>
      <c r="AI2339" t="s">
        <v>120</v>
      </c>
      <c r="AJ2339">
        <v>0.33</v>
      </c>
      <c r="AK2339" t="s">
        <v>10996</v>
      </c>
      <c r="AL2339">
        <v>-1.27</v>
      </c>
      <c r="AM2339">
        <v>1206</v>
      </c>
      <c r="AN2339">
        <v>12</v>
      </c>
      <c r="AO2339">
        <v>3.5999999999999999E-3</v>
      </c>
      <c r="AP2339">
        <v>-1</v>
      </c>
      <c r="AQ2339">
        <v>7.0000000000000007E-2</v>
      </c>
      <c r="AR2339">
        <v>-4.37</v>
      </c>
      <c r="AS2339">
        <v>-18.600000000000001</v>
      </c>
      <c r="AT2339">
        <v>-12.58</v>
      </c>
      <c r="AU2339">
        <v>101.15</v>
      </c>
      <c r="AV2339">
        <v>0</v>
      </c>
      <c r="AW2339">
        <v>4.32</v>
      </c>
      <c r="AX2339">
        <v>23.72</v>
      </c>
      <c r="AY2339">
        <v>22.48</v>
      </c>
      <c r="AZ2339">
        <v>23.11</v>
      </c>
      <c r="BA2339">
        <v>0.78</v>
      </c>
      <c r="BB2339" t="s">
        <v>134</v>
      </c>
      <c r="BF2339">
        <v>-1.54</v>
      </c>
      <c r="BG2339">
        <v>-3.75</v>
      </c>
      <c r="BH2339">
        <v>-4.24</v>
      </c>
      <c r="BI2339">
        <v>0.36</v>
      </c>
      <c r="BJ2339">
        <v>20210912</v>
      </c>
      <c r="BK2339">
        <v>20210607</v>
      </c>
      <c r="BL2339">
        <v>1.39</v>
      </c>
      <c r="BM2339" t="s">
        <v>120</v>
      </c>
      <c r="BN2339" t="s">
        <v>120</v>
      </c>
      <c r="BO2339">
        <v>11.73</v>
      </c>
      <c r="BP2339">
        <v>28</v>
      </c>
      <c r="BQ2339">
        <v>10.73</v>
      </c>
      <c r="BR2339" t="s">
        <v>120</v>
      </c>
      <c r="BS2339">
        <v>8.56</v>
      </c>
      <c r="BT2339">
        <v>10.98</v>
      </c>
      <c r="BU2339">
        <v>0.47</v>
      </c>
      <c r="BV2339">
        <v>0.14000000000000001</v>
      </c>
      <c r="BW2339">
        <v>1</v>
      </c>
      <c r="BX2339">
        <v>7.21</v>
      </c>
      <c r="BY2339">
        <v>0.8</v>
      </c>
      <c r="BZ2339">
        <v>1.9</v>
      </c>
      <c r="CA2339">
        <v>0</v>
      </c>
      <c r="CB2339">
        <v>5.42</v>
      </c>
      <c r="CC2339">
        <v>1.82</v>
      </c>
      <c r="CD2339">
        <v>0.77</v>
      </c>
      <c r="CE2339">
        <v>0.76</v>
      </c>
      <c r="CF2339">
        <v>0.04</v>
      </c>
      <c r="CG2339">
        <v>0.76</v>
      </c>
      <c r="CH2339">
        <v>0.65</v>
      </c>
      <c r="CI2339">
        <v>0.65</v>
      </c>
      <c r="CJ2339">
        <v>-0.92</v>
      </c>
      <c r="CK2339">
        <v>0.62</v>
      </c>
      <c r="CL2339">
        <v>3.53</v>
      </c>
      <c r="CM2339">
        <v>0.27</v>
      </c>
      <c r="CN2339">
        <v>4.08</v>
      </c>
      <c r="CO2339">
        <v>10946</v>
      </c>
      <c r="CP2339">
        <v>3019</v>
      </c>
      <c r="CQ2339" t="s">
        <v>5042</v>
      </c>
      <c r="CR2339">
        <v>0</v>
      </c>
      <c r="CS2339">
        <v>0</v>
      </c>
      <c r="CT2339">
        <v>3.63</v>
      </c>
      <c r="CU2339">
        <v>146.54</v>
      </c>
      <c r="CV2339">
        <v>21.41</v>
      </c>
      <c r="CW2339">
        <v>1.73</v>
      </c>
      <c r="CX2339" t="s">
        <v>597</v>
      </c>
      <c r="CY2339">
        <v>7.7</v>
      </c>
      <c r="CZ2339">
        <v>0</v>
      </c>
      <c r="DA2339">
        <v>3.89</v>
      </c>
      <c r="DB2339">
        <v>2.5299999999999998</v>
      </c>
      <c r="DC2339">
        <v>0.19</v>
      </c>
      <c r="DD2339">
        <v>91.44</v>
      </c>
      <c r="DE2339" t="s">
        <v>10197</v>
      </c>
      <c r="DF2339">
        <v>57.48</v>
      </c>
      <c r="DG2339">
        <v>41.84</v>
      </c>
      <c r="DH2339">
        <v>35.75</v>
      </c>
      <c r="DI2339">
        <v>0.06</v>
      </c>
      <c r="DJ2339">
        <v>363</v>
      </c>
      <c r="DK2339">
        <v>301006</v>
      </c>
      <c r="DL2339" t="s">
        <v>120</v>
      </c>
      <c r="DM2339" t="s">
        <v>120</v>
      </c>
      <c r="DN2339" t="s">
        <v>120</v>
      </c>
    </row>
    <row r="2340" spans="1:118">
      <c r="A2340" t="str">
        <f>"301007"</f>
        <v>301007</v>
      </c>
      <c r="B2340" t="s">
        <v>10997</v>
      </c>
      <c r="C2340">
        <v>-4.54</v>
      </c>
      <c r="D2340">
        <v>0</v>
      </c>
      <c r="E2340">
        <v>0.31</v>
      </c>
      <c r="F2340">
        <v>658</v>
      </c>
      <c r="G2340" t="s">
        <v>10735</v>
      </c>
      <c r="H2340">
        <v>6256.39</v>
      </c>
      <c r="I2340">
        <v>34.25</v>
      </c>
      <c r="J2340" t="s">
        <v>120</v>
      </c>
      <c r="K2340" t="s">
        <v>10735</v>
      </c>
      <c r="L2340">
        <v>9.2200000000000006</v>
      </c>
      <c r="M2340">
        <v>18.309999999999999</v>
      </c>
      <c r="N2340">
        <v>0.61</v>
      </c>
      <c r="O2340">
        <v>0.31</v>
      </c>
      <c r="P2340">
        <v>19.239999999999998</v>
      </c>
      <c r="Q2340">
        <v>-4.8499999999999996</v>
      </c>
      <c r="R2340">
        <v>18.25</v>
      </c>
      <c r="S2340">
        <v>19.239999999999998</v>
      </c>
      <c r="T2340">
        <v>33516</v>
      </c>
      <c r="U2340">
        <v>18.309999999999999</v>
      </c>
      <c r="V2340">
        <v>19.18</v>
      </c>
      <c r="W2340">
        <v>46.56</v>
      </c>
      <c r="X2340" t="s">
        <v>289</v>
      </c>
      <c r="Y2340" t="s">
        <v>432</v>
      </c>
      <c r="Z2340">
        <v>5.16</v>
      </c>
      <c r="AA2340">
        <v>18.670000000000002</v>
      </c>
      <c r="AB2340">
        <v>20816</v>
      </c>
      <c r="AC2340">
        <v>12700</v>
      </c>
      <c r="AD2340">
        <v>1.64</v>
      </c>
      <c r="AE2340">
        <v>104</v>
      </c>
      <c r="AF2340">
        <v>77</v>
      </c>
      <c r="AG2340" t="s">
        <v>120</v>
      </c>
      <c r="AH2340">
        <v>0.05</v>
      </c>
      <c r="AI2340" t="s">
        <v>120</v>
      </c>
      <c r="AJ2340">
        <v>0.36</v>
      </c>
      <c r="AK2340" t="s">
        <v>10998</v>
      </c>
      <c r="AL2340">
        <v>-2.62</v>
      </c>
      <c r="AM2340">
        <v>1987</v>
      </c>
      <c r="AN2340">
        <v>17</v>
      </c>
      <c r="AO2340">
        <v>4.5999999999999999E-3</v>
      </c>
      <c r="AP2340">
        <v>-1</v>
      </c>
      <c r="AQ2340">
        <v>2.68</v>
      </c>
      <c r="AR2340">
        <v>-5.61</v>
      </c>
      <c r="AS2340">
        <v>-1.35</v>
      </c>
      <c r="AT2340">
        <v>-13.76</v>
      </c>
      <c r="AU2340">
        <v>246.12</v>
      </c>
      <c r="AV2340">
        <v>0</v>
      </c>
      <c r="AW2340">
        <v>9.2200000000000006</v>
      </c>
      <c r="AX2340">
        <v>23.71</v>
      </c>
      <c r="AY2340">
        <v>45.74</v>
      </c>
      <c r="AZ2340">
        <v>57.95</v>
      </c>
      <c r="BA2340">
        <v>0.78</v>
      </c>
      <c r="BB2340" t="s">
        <v>143</v>
      </c>
      <c r="BF2340">
        <v>-2.68</v>
      </c>
      <c r="BG2340">
        <v>-4.83</v>
      </c>
      <c r="BH2340">
        <v>-4.83</v>
      </c>
      <c r="BI2340">
        <v>0.33</v>
      </c>
      <c r="BJ2340">
        <v>20210914</v>
      </c>
      <c r="BK2340">
        <v>20210616</v>
      </c>
      <c r="BL2340">
        <v>1.53</v>
      </c>
      <c r="BM2340" t="s">
        <v>120</v>
      </c>
      <c r="BN2340" t="s">
        <v>120</v>
      </c>
      <c r="BO2340">
        <v>9.42</v>
      </c>
      <c r="BP2340">
        <v>18.3</v>
      </c>
      <c r="BQ2340">
        <v>5.71</v>
      </c>
      <c r="BR2340" t="s">
        <v>120</v>
      </c>
      <c r="BS2340">
        <v>39.4</v>
      </c>
      <c r="BT2340">
        <v>4.78</v>
      </c>
      <c r="BU2340">
        <v>3.6</v>
      </c>
      <c r="BV2340">
        <v>0.15</v>
      </c>
      <c r="BW2340">
        <v>3.63</v>
      </c>
      <c r="BX2340">
        <v>2.2999999999999998</v>
      </c>
      <c r="BY2340">
        <v>0.98</v>
      </c>
      <c r="BZ2340">
        <v>1.41</v>
      </c>
      <c r="CA2340">
        <v>0</v>
      </c>
      <c r="CB2340">
        <v>1.96</v>
      </c>
      <c r="CC2340">
        <v>2.63</v>
      </c>
      <c r="CD2340">
        <v>1.94</v>
      </c>
      <c r="CE2340">
        <v>0.33</v>
      </c>
      <c r="CF2340">
        <v>0</v>
      </c>
      <c r="CG2340">
        <v>0.33</v>
      </c>
      <c r="CH2340">
        <v>0.3</v>
      </c>
      <c r="CI2340">
        <v>0.3</v>
      </c>
      <c r="CJ2340">
        <v>-0.87</v>
      </c>
      <c r="CK2340">
        <v>0.23</v>
      </c>
      <c r="CL2340">
        <v>2.0299999999999998</v>
      </c>
      <c r="CM2340">
        <v>0.34</v>
      </c>
      <c r="CN2340">
        <v>1.93</v>
      </c>
      <c r="CO2340">
        <v>24900</v>
      </c>
      <c r="CP2340">
        <v>1460</v>
      </c>
      <c r="CQ2340" t="s">
        <v>3726</v>
      </c>
      <c r="CR2340">
        <v>0</v>
      </c>
      <c r="CS2340">
        <v>0</v>
      </c>
      <c r="CT2340">
        <v>4.92</v>
      </c>
      <c r="CU2340">
        <v>81.45</v>
      </c>
      <c r="CV2340">
        <v>10.68</v>
      </c>
      <c r="CW2340">
        <v>0</v>
      </c>
      <c r="CX2340" t="s">
        <v>670</v>
      </c>
      <c r="CY2340">
        <v>3.72</v>
      </c>
      <c r="CZ2340">
        <v>0</v>
      </c>
      <c r="DA2340">
        <v>1.28</v>
      </c>
      <c r="DB2340">
        <v>1.32</v>
      </c>
      <c r="DC2340">
        <v>0.22</v>
      </c>
      <c r="DD2340">
        <v>60.6</v>
      </c>
      <c r="DE2340" t="s">
        <v>443</v>
      </c>
      <c r="DF2340">
        <v>26.33</v>
      </c>
      <c r="DG2340">
        <v>12.4</v>
      </c>
      <c r="DH2340">
        <v>11.47</v>
      </c>
      <c r="DI2340">
        <v>0.15</v>
      </c>
      <c r="DJ2340">
        <v>1222</v>
      </c>
      <c r="DK2340">
        <v>301007</v>
      </c>
      <c r="DL2340" t="s">
        <v>120</v>
      </c>
      <c r="DM2340" t="s">
        <v>120</v>
      </c>
      <c r="DN2340" t="s">
        <v>120</v>
      </c>
    </row>
    <row r="2341" spans="1:118">
      <c r="A2341" t="str">
        <f>"301008"</f>
        <v>301008</v>
      </c>
      <c r="B2341" t="s">
        <v>10999</v>
      </c>
      <c r="C2341">
        <v>-2.2000000000000002</v>
      </c>
      <c r="D2341">
        <v>0</v>
      </c>
      <c r="E2341">
        <v>-0.02</v>
      </c>
      <c r="F2341">
        <v>159</v>
      </c>
      <c r="G2341" t="s">
        <v>7365</v>
      </c>
      <c r="H2341">
        <v>1695.03</v>
      </c>
      <c r="I2341">
        <v>0.44</v>
      </c>
      <c r="J2341" t="s">
        <v>120</v>
      </c>
      <c r="K2341" t="s">
        <v>7365</v>
      </c>
      <c r="L2341">
        <v>2.31</v>
      </c>
      <c r="M2341">
        <v>43.52</v>
      </c>
      <c r="N2341">
        <v>0.7</v>
      </c>
      <c r="O2341">
        <v>0.38</v>
      </c>
      <c r="P2341">
        <v>44.67</v>
      </c>
      <c r="Q2341">
        <v>-2.2000000000000002</v>
      </c>
      <c r="R2341">
        <v>43.52</v>
      </c>
      <c r="S2341">
        <v>44.49</v>
      </c>
      <c r="T2341">
        <v>3852</v>
      </c>
      <c r="U2341">
        <v>43.56</v>
      </c>
      <c r="V2341">
        <v>44.5</v>
      </c>
      <c r="W2341">
        <v>42.95</v>
      </c>
      <c r="X2341" t="s">
        <v>394</v>
      </c>
      <c r="Y2341" t="s">
        <v>585</v>
      </c>
      <c r="Z2341">
        <v>2.58</v>
      </c>
      <c r="AA2341">
        <v>44</v>
      </c>
      <c r="AB2341">
        <v>2457</v>
      </c>
      <c r="AC2341">
        <v>1395</v>
      </c>
      <c r="AD2341">
        <v>1.76</v>
      </c>
      <c r="AE2341">
        <v>62</v>
      </c>
      <c r="AF2341">
        <v>4</v>
      </c>
      <c r="AG2341" t="s">
        <v>120</v>
      </c>
      <c r="AH2341">
        <v>0</v>
      </c>
      <c r="AI2341" t="s">
        <v>120</v>
      </c>
      <c r="AJ2341">
        <v>0.17</v>
      </c>
      <c r="AK2341" t="s">
        <v>7572</v>
      </c>
      <c r="AL2341">
        <v>-0.28999999999999998</v>
      </c>
      <c r="AM2341">
        <v>629</v>
      </c>
      <c r="AN2341">
        <v>6</v>
      </c>
      <c r="AO2341">
        <v>3.7000000000000002E-3</v>
      </c>
      <c r="AP2341">
        <v>-2</v>
      </c>
      <c r="AQ2341">
        <v>-0.78</v>
      </c>
      <c r="AR2341">
        <v>-0.3</v>
      </c>
      <c r="AS2341">
        <v>-5.56</v>
      </c>
      <c r="AT2341">
        <v>-12.5</v>
      </c>
      <c r="AU2341">
        <v>15.74</v>
      </c>
      <c r="AV2341">
        <v>0</v>
      </c>
      <c r="AW2341">
        <v>2.31</v>
      </c>
      <c r="AX2341">
        <v>25</v>
      </c>
      <c r="AY2341">
        <v>32.33</v>
      </c>
      <c r="AZ2341">
        <v>36.22</v>
      </c>
      <c r="BA2341">
        <v>0.38</v>
      </c>
      <c r="BB2341" t="s">
        <v>143</v>
      </c>
      <c r="BF2341">
        <v>-1.1100000000000001</v>
      </c>
      <c r="BG2341">
        <v>-2.1800000000000002</v>
      </c>
      <c r="BH2341">
        <v>-2.57</v>
      </c>
      <c r="BI2341">
        <v>0</v>
      </c>
      <c r="BJ2341">
        <v>20210828</v>
      </c>
      <c r="BK2341">
        <v>20210611</v>
      </c>
      <c r="BL2341">
        <v>0.67</v>
      </c>
      <c r="BM2341" t="s">
        <v>120</v>
      </c>
      <c r="BN2341" t="s">
        <v>120</v>
      </c>
      <c r="BO2341">
        <v>13.33</v>
      </c>
      <c r="BP2341">
        <v>43.52</v>
      </c>
      <c r="BQ2341">
        <v>9.6199999999999992</v>
      </c>
      <c r="BR2341" t="s">
        <v>120</v>
      </c>
      <c r="BS2341">
        <v>27.82</v>
      </c>
      <c r="BT2341">
        <v>11.21</v>
      </c>
      <c r="BU2341">
        <v>1.47</v>
      </c>
      <c r="BV2341">
        <v>0.3</v>
      </c>
      <c r="BW2341">
        <v>3.64</v>
      </c>
      <c r="BX2341">
        <v>6.28</v>
      </c>
      <c r="BY2341">
        <v>1.0900000000000001</v>
      </c>
      <c r="BZ2341">
        <v>2.08</v>
      </c>
      <c r="CA2341">
        <v>0.01</v>
      </c>
      <c r="CB2341">
        <v>7.32</v>
      </c>
      <c r="CC2341">
        <v>3.3</v>
      </c>
      <c r="CD2341">
        <v>2.59</v>
      </c>
      <c r="CE2341">
        <v>0.36</v>
      </c>
      <c r="CF2341">
        <v>-0.01</v>
      </c>
      <c r="CG2341">
        <v>0.36</v>
      </c>
      <c r="CH2341">
        <v>0.34</v>
      </c>
      <c r="CI2341">
        <v>0.34</v>
      </c>
      <c r="CJ2341">
        <v>-0.98</v>
      </c>
      <c r="CK2341">
        <v>0.28999999999999998</v>
      </c>
      <c r="CL2341">
        <v>1.46</v>
      </c>
      <c r="CM2341">
        <v>0.04</v>
      </c>
      <c r="CN2341">
        <v>5.5</v>
      </c>
      <c r="CO2341">
        <v>18862</v>
      </c>
      <c r="CP2341">
        <v>884</v>
      </c>
      <c r="CQ2341" t="s">
        <v>6833</v>
      </c>
      <c r="CR2341">
        <v>0</v>
      </c>
      <c r="CS2341">
        <v>0</v>
      </c>
      <c r="CT2341">
        <v>3.02</v>
      </c>
      <c r="CU2341">
        <v>772.66</v>
      </c>
      <c r="CV2341">
        <v>8.7899999999999991</v>
      </c>
      <c r="CW2341">
        <v>1.35</v>
      </c>
      <c r="CX2341" t="s">
        <v>527</v>
      </c>
      <c r="CY2341">
        <v>14.43</v>
      </c>
      <c r="CZ2341">
        <v>0</v>
      </c>
      <c r="DA2341">
        <v>10.98</v>
      </c>
      <c r="DB2341">
        <v>2.19</v>
      </c>
      <c r="DC2341">
        <v>0.06</v>
      </c>
      <c r="DD2341">
        <v>72.180000000000007</v>
      </c>
      <c r="DE2341" t="s">
        <v>9578</v>
      </c>
      <c r="DF2341">
        <v>21.5</v>
      </c>
      <c r="DG2341">
        <v>10.89</v>
      </c>
      <c r="DH2341">
        <v>10.23</v>
      </c>
      <c r="DI2341">
        <v>0.15</v>
      </c>
      <c r="DJ2341">
        <v>1543</v>
      </c>
      <c r="DK2341">
        <v>301008</v>
      </c>
      <c r="DL2341" t="s">
        <v>120</v>
      </c>
      <c r="DM2341" t="s">
        <v>120</v>
      </c>
      <c r="DN2341" t="s">
        <v>120</v>
      </c>
    </row>
    <row r="2342" spans="1:118">
      <c r="A2342" t="str">
        <f>"301009"</f>
        <v>301009</v>
      </c>
      <c r="B2342" t="s">
        <v>11000</v>
      </c>
      <c r="C2342">
        <v>1.64</v>
      </c>
      <c r="D2342">
        <v>-0.03</v>
      </c>
      <c r="E2342">
        <v>-0.6</v>
      </c>
      <c r="F2342">
        <v>398</v>
      </c>
      <c r="G2342" t="s">
        <v>10842</v>
      </c>
      <c r="H2342">
        <v>8065.22</v>
      </c>
      <c r="I2342">
        <v>9.2100000000000009</v>
      </c>
      <c r="J2342" t="s">
        <v>120</v>
      </c>
      <c r="K2342" t="s">
        <v>10842</v>
      </c>
      <c r="L2342">
        <v>4.9000000000000004</v>
      </c>
      <c r="M2342">
        <v>25.46</v>
      </c>
      <c r="N2342">
        <v>2.1</v>
      </c>
      <c r="O2342">
        <v>2.95</v>
      </c>
      <c r="P2342">
        <v>25.79</v>
      </c>
      <c r="Q2342">
        <v>-1.4</v>
      </c>
      <c r="R2342">
        <v>24.7</v>
      </c>
      <c r="S2342">
        <v>24.9</v>
      </c>
      <c r="T2342">
        <v>31741</v>
      </c>
      <c r="U2342">
        <v>25.46</v>
      </c>
      <c r="V2342">
        <v>25.05</v>
      </c>
      <c r="W2342">
        <v>51.38</v>
      </c>
      <c r="X2342" t="s">
        <v>814</v>
      </c>
      <c r="Y2342" t="s">
        <v>585</v>
      </c>
      <c r="Z2342">
        <v>4.3499999999999996</v>
      </c>
      <c r="AA2342">
        <v>25.41</v>
      </c>
      <c r="AB2342">
        <v>14267</v>
      </c>
      <c r="AC2342">
        <v>17474</v>
      </c>
      <c r="AD2342">
        <v>0.82</v>
      </c>
      <c r="AE2342">
        <v>98</v>
      </c>
      <c r="AF2342">
        <v>303</v>
      </c>
      <c r="AG2342" t="s">
        <v>120</v>
      </c>
      <c r="AH2342">
        <v>0.01</v>
      </c>
      <c r="AI2342" t="s">
        <v>120</v>
      </c>
      <c r="AJ2342">
        <v>0.65</v>
      </c>
      <c r="AK2342" t="s">
        <v>11001</v>
      </c>
      <c r="AL2342">
        <v>3.55</v>
      </c>
      <c r="AM2342">
        <v>1816</v>
      </c>
      <c r="AN2342">
        <v>17</v>
      </c>
      <c r="AO2342">
        <v>2.7000000000000001E-3</v>
      </c>
      <c r="AP2342">
        <v>2</v>
      </c>
      <c r="AQ2342">
        <v>1.05</v>
      </c>
      <c r="AR2342">
        <v>1.59</v>
      </c>
      <c r="AS2342">
        <v>-11.2</v>
      </c>
      <c r="AT2342">
        <v>-9.14</v>
      </c>
      <c r="AU2342">
        <v>103.03</v>
      </c>
      <c r="AV2342">
        <v>1</v>
      </c>
      <c r="AW2342">
        <v>4.9000000000000004</v>
      </c>
      <c r="AX2342">
        <v>23.84</v>
      </c>
      <c r="AY2342">
        <v>45.39</v>
      </c>
      <c r="AZ2342">
        <v>31.82</v>
      </c>
      <c r="BA2342">
        <v>0.93</v>
      </c>
      <c r="BB2342" t="s">
        <v>751</v>
      </c>
      <c r="BF2342">
        <v>1.44</v>
      </c>
      <c r="BG2342">
        <v>2.25</v>
      </c>
      <c r="BH2342">
        <v>-1.28</v>
      </c>
      <c r="BI2342">
        <v>3.08</v>
      </c>
      <c r="BJ2342">
        <v>20210821</v>
      </c>
      <c r="BK2342">
        <v>20210617</v>
      </c>
      <c r="BL2342">
        <v>2.72</v>
      </c>
      <c r="BM2342" t="s">
        <v>120</v>
      </c>
      <c r="BN2342" t="s">
        <v>120</v>
      </c>
      <c r="BO2342">
        <v>21.75</v>
      </c>
      <c r="BP2342">
        <v>25.45</v>
      </c>
      <c r="BQ2342">
        <v>14.42</v>
      </c>
      <c r="BR2342">
        <v>0.96</v>
      </c>
      <c r="BS2342">
        <v>29.29</v>
      </c>
      <c r="BT2342">
        <v>14.13</v>
      </c>
      <c r="BU2342">
        <v>5.07</v>
      </c>
      <c r="BV2342">
        <v>0.5</v>
      </c>
      <c r="BW2342">
        <v>6.3</v>
      </c>
      <c r="BX2342">
        <v>10.61</v>
      </c>
      <c r="BY2342">
        <v>1.0900000000000001</v>
      </c>
      <c r="BZ2342">
        <v>2.08</v>
      </c>
      <c r="CA2342" t="s">
        <v>120</v>
      </c>
      <c r="CB2342">
        <v>7.23</v>
      </c>
      <c r="CC2342">
        <v>6.3</v>
      </c>
      <c r="CD2342">
        <v>4.79</v>
      </c>
      <c r="CE2342">
        <v>0.79</v>
      </c>
      <c r="CF2342">
        <v>0.02</v>
      </c>
      <c r="CG2342">
        <v>0.79</v>
      </c>
      <c r="CH2342">
        <v>0.71</v>
      </c>
      <c r="CI2342">
        <v>0.67</v>
      </c>
      <c r="CJ2342">
        <v>0.41</v>
      </c>
      <c r="CK2342">
        <v>0.65</v>
      </c>
      <c r="CL2342">
        <v>3.82</v>
      </c>
      <c r="CM2342">
        <v>0.18</v>
      </c>
      <c r="CN2342">
        <v>7.49</v>
      </c>
      <c r="CO2342">
        <v>31708</v>
      </c>
      <c r="CP2342">
        <v>2044</v>
      </c>
      <c r="CQ2342" t="s">
        <v>2321</v>
      </c>
      <c r="CR2342">
        <v>0</v>
      </c>
      <c r="CS2342">
        <v>0</v>
      </c>
      <c r="CT2342">
        <v>4.8</v>
      </c>
      <c r="CU2342">
        <v>382.41</v>
      </c>
      <c r="CV2342">
        <v>10.98</v>
      </c>
      <c r="CW2342">
        <v>0</v>
      </c>
      <c r="CX2342" t="s">
        <v>2443</v>
      </c>
      <c r="CY2342">
        <v>5.31</v>
      </c>
      <c r="CZ2342">
        <v>0</v>
      </c>
      <c r="DA2342">
        <v>2.66</v>
      </c>
      <c r="DB2342">
        <v>1.41</v>
      </c>
      <c r="DC2342">
        <v>7.0000000000000007E-2</v>
      </c>
      <c r="DD2342">
        <v>66.3</v>
      </c>
      <c r="DE2342" t="s">
        <v>9778</v>
      </c>
      <c r="DF2342">
        <v>24.05</v>
      </c>
      <c r="DG2342">
        <v>12.52</v>
      </c>
      <c r="DH2342">
        <v>10.69</v>
      </c>
      <c r="DI2342">
        <v>0.24</v>
      </c>
      <c r="DJ2342">
        <v>815</v>
      </c>
      <c r="DK2342">
        <v>301009</v>
      </c>
      <c r="DL2342" t="s">
        <v>120</v>
      </c>
      <c r="DM2342" t="s">
        <v>120</v>
      </c>
      <c r="DN2342" t="s">
        <v>120</v>
      </c>
    </row>
    <row r="2343" spans="1:118">
      <c r="A2343" t="str">
        <f>"301010"</f>
        <v>301010</v>
      </c>
      <c r="B2343" t="s">
        <v>11002</v>
      </c>
      <c r="C2343">
        <v>1.54</v>
      </c>
      <c r="D2343">
        <v>0.04</v>
      </c>
      <c r="E2343">
        <v>-0.28999999999999998</v>
      </c>
      <c r="F2343">
        <v>613</v>
      </c>
      <c r="G2343" t="s">
        <v>7293</v>
      </c>
      <c r="H2343">
        <v>5766</v>
      </c>
      <c r="I2343">
        <v>5.52</v>
      </c>
      <c r="J2343" t="s">
        <v>120</v>
      </c>
      <c r="K2343" t="s">
        <v>7293</v>
      </c>
      <c r="L2343">
        <v>9.1999999999999993</v>
      </c>
      <c r="M2343">
        <v>24.46</v>
      </c>
      <c r="N2343">
        <v>1.06</v>
      </c>
      <c r="O2343">
        <v>3.53</v>
      </c>
      <c r="P2343">
        <v>24.94</v>
      </c>
      <c r="Q2343">
        <v>-0.46</v>
      </c>
      <c r="R2343">
        <v>23.98</v>
      </c>
      <c r="S2343">
        <v>24.02</v>
      </c>
      <c r="T2343">
        <v>23550</v>
      </c>
      <c r="U2343">
        <v>24.48</v>
      </c>
      <c r="V2343">
        <v>24.09</v>
      </c>
      <c r="W2343">
        <v>79.5</v>
      </c>
      <c r="X2343" t="s">
        <v>247</v>
      </c>
      <c r="Y2343" t="s">
        <v>319</v>
      </c>
      <c r="Z2343">
        <v>3.99</v>
      </c>
      <c r="AA2343">
        <v>24.48</v>
      </c>
      <c r="AB2343">
        <v>11465</v>
      </c>
      <c r="AC2343">
        <v>12085</v>
      </c>
      <c r="AD2343">
        <v>0.95</v>
      </c>
      <c r="AE2343">
        <v>2</v>
      </c>
      <c r="AF2343">
        <v>198</v>
      </c>
      <c r="AG2343" t="s">
        <v>120</v>
      </c>
      <c r="AH2343">
        <v>0.01</v>
      </c>
      <c r="AI2343" t="s">
        <v>120</v>
      </c>
      <c r="AJ2343">
        <v>0.26</v>
      </c>
      <c r="AK2343" t="s">
        <v>9041</v>
      </c>
      <c r="AL2343">
        <v>3.45</v>
      </c>
      <c r="AM2343">
        <v>1281</v>
      </c>
      <c r="AN2343">
        <v>18</v>
      </c>
      <c r="AO2343">
        <v>7.1999999999999998E-3</v>
      </c>
      <c r="AP2343">
        <v>2</v>
      </c>
      <c r="AQ2343">
        <v>0.38</v>
      </c>
      <c r="AR2343">
        <v>-0.16</v>
      </c>
      <c r="AS2343">
        <v>0.49</v>
      </c>
      <c r="AT2343">
        <v>-4.37</v>
      </c>
      <c r="AU2343">
        <v>212.39</v>
      </c>
      <c r="AV2343">
        <v>2</v>
      </c>
      <c r="AW2343">
        <v>9.1999999999999993</v>
      </c>
      <c r="AX2343">
        <v>23.71</v>
      </c>
      <c r="AY2343">
        <v>37.82</v>
      </c>
      <c r="AZ2343">
        <v>43.21</v>
      </c>
      <c r="BA2343">
        <v>1.01</v>
      </c>
      <c r="BB2343" t="s">
        <v>143</v>
      </c>
      <c r="BF2343">
        <v>1.64</v>
      </c>
      <c r="BG2343">
        <v>1.83</v>
      </c>
      <c r="BH2343">
        <v>-1.92</v>
      </c>
      <c r="BI2343">
        <v>2</v>
      </c>
      <c r="BJ2343">
        <v>20210825</v>
      </c>
      <c r="BK2343">
        <v>20210618</v>
      </c>
      <c r="BL2343">
        <v>1.08</v>
      </c>
      <c r="BM2343" t="s">
        <v>120</v>
      </c>
      <c r="BN2343" t="s">
        <v>120</v>
      </c>
      <c r="BO2343">
        <v>14.02</v>
      </c>
      <c r="BP2343">
        <v>24.46</v>
      </c>
      <c r="BQ2343">
        <v>7.33</v>
      </c>
      <c r="BR2343">
        <v>0</v>
      </c>
      <c r="BS2343">
        <v>47.67</v>
      </c>
      <c r="BT2343">
        <v>11.8</v>
      </c>
      <c r="BU2343">
        <v>0.93</v>
      </c>
      <c r="BV2343">
        <v>0.46</v>
      </c>
      <c r="BW2343">
        <v>6.53</v>
      </c>
      <c r="BX2343">
        <v>3.12</v>
      </c>
      <c r="BY2343">
        <v>5.0199999999999996</v>
      </c>
      <c r="BZ2343">
        <v>2.27</v>
      </c>
      <c r="CA2343" t="s">
        <v>120</v>
      </c>
      <c r="CB2343">
        <v>3.96</v>
      </c>
      <c r="CC2343">
        <v>2.77</v>
      </c>
      <c r="CD2343">
        <v>2.1800000000000002</v>
      </c>
      <c r="CE2343">
        <v>0.19</v>
      </c>
      <c r="CF2343">
        <v>0</v>
      </c>
      <c r="CG2343">
        <v>0.19</v>
      </c>
      <c r="CH2343">
        <v>0.17</v>
      </c>
      <c r="CI2343">
        <v>0.17</v>
      </c>
      <c r="CJ2343">
        <v>0.37</v>
      </c>
      <c r="CK2343">
        <v>0.15</v>
      </c>
      <c r="CL2343">
        <v>1.99</v>
      </c>
      <c r="CM2343">
        <v>-0.21</v>
      </c>
      <c r="CN2343">
        <v>1.19</v>
      </c>
      <c r="CO2343">
        <v>19961</v>
      </c>
      <c r="CP2343">
        <v>1283</v>
      </c>
      <c r="CQ2343" t="s">
        <v>10463</v>
      </c>
      <c r="CR2343">
        <v>0</v>
      </c>
      <c r="CS2343">
        <v>0</v>
      </c>
      <c r="CT2343">
        <v>3.6</v>
      </c>
      <c r="CU2343">
        <v>-126.47</v>
      </c>
      <c r="CV2343">
        <v>9.5399999999999991</v>
      </c>
      <c r="CW2343">
        <v>0</v>
      </c>
      <c r="CX2343" t="s">
        <v>442</v>
      </c>
      <c r="CY2343">
        <v>6.79</v>
      </c>
      <c r="CZ2343">
        <v>0</v>
      </c>
      <c r="DA2343">
        <v>3.67</v>
      </c>
      <c r="DB2343">
        <v>1.85</v>
      </c>
      <c r="DC2343">
        <v>-0.19</v>
      </c>
      <c r="DD2343">
        <v>52.3</v>
      </c>
      <c r="DE2343" t="s">
        <v>5116</v>
      </c>
      <c r="DF2343">
        <v>21.37</v>
      </c>
      <c r="DG2343">
        <v>6.86</v>
      </c>
      <c r="DH2343">
        <v>6</v>
      </c>
      <c r="DI2343">
        <v>0.1</v>
      </c>
      <c r="DJ2343">
        <v>474</v>
      </c>
      <c r="DK2343">
        <v>301010</v>
      </c>
      <c r="DL2343">
        <v>20210907</v>
      </c>
      <c r="DM2343">
        <v>24.99</v>
      </c>
      <c r="DN2343">
        <v>-2.12</v>
      </c>
    </row>
    <row r="2344" spans="1:118">
      <c r="A2344" t="str">
        <f>"301011"</f>
        <v>301011</v>
      </c>
      <c r="B2344" t="s">
        <v>11003</v>
      </c>
      <c r="C2344">
        <v>-1.41</v>
      </c>
      <c r="D2344">
        <v>0.2</v>
      </c>
      <c r="E2344">
        <v>-1.27</v>
      </c>
      <c r="F2344">
        <v>245</v>
      </c>
      <c r="G2344" t="s">
        <v>2789</v>
      </c>
      <c r="H2344">
        <v>8007.14</v>
      </c>
      <c r="I2344">
        <v>33.299999999999997</v>
      </c>
      <c r="J2344" t="s">
        <v>120</v>
      </c>
      <c r="K2344" t="s">
        <v>2789</v>
      </c>
      <c r="L2344">
        <v>6.98</v>
      </c>
      <c r="M2344">
        <v>61.57</v>
      </c>
      <c r="N2344">
        <v>0.4</v>
      </c>
      <c r="O2344">
        <v>1.76</v>
      </c>
      <c r="P2344">
        <v>63.55</v>
      </c>
      <c r="Q2344">
        <v>-3.27</v>
      </c>
      <c r="R2344">
        <v>60.41</v>
      </c>
      <c r="S2344">
        <v>61.66</v>
      </c>
      <c r="T2344">
        <v>12925</v>
      </c>
      <c r="U2344">
        <v>61.69</v>
      </c>
      <c r="V2344">
        <v>62.45</v>
      </c>
      <c r="W2344">
        <v>85.76</v>
      </c>
      <c r="X2344" t="s">
        <v>213</v>
      </c>
      <c r="Y2344" t="s">
        <v>547</v>
      </c>
      <c r="Z2344">
        <v>5.03</v>
      </c>
      <c r="AA2344">
        <v>61.95</v>
      </c>
      <c r="AB2344">
        <v>6587</v>
      </c>
      <c r="AC2344">
        <v>6338</v>
      </c>
      <c r="AD2344">
        <v>1.04</v>
      </c>
      <c r="AE2344">
        <v>21</v>
      </c>
      <c r="AF2344">
        <v>4</v>
      </c>
      <c r="AG2344" t="s">
        <v>120</v>
      </c>
      <c r="AH2344">
        <v>0.03</v>
      </c>
      <c r="AI2344" t="s">
        <v>120</v>
      </c>
      <c r="AJ2344">
        <v>0.19</v>
      </c>
      <c r="AK2344" t="s">
        <v>11004</v>
      </c>
      <c r="AL2344">
        <v>0.5</v>
      </c>
      <c r="AM2344">
        <v>1780</v>
      </c>
      <c r="AN2344">
        <v>7</v>
      </c>
      <c r="AO2344">
        <v>3.8999999999999998E-3</v>
      </c>
      <c r="AP2344">
        <v>-2</v>
      </c>
      <c r="AQ2344">
        <v>-3.69</v>
      </c>
      <c r="AR2344">
        <v>-4.96</v>
      </c>
      <c r="AS2344">
        <v>23.39</v>
      </c>
      <c r="AT2344">
        <v>34.049999999999997</v>
      </c>
      <c r="AU2344">
        <v>333.59</v>
      </c>
      <c r="AV2344">
        <v>1</v>
      </c>
      <c r="AW2344">
        <v>6.98</v>
      </c>
      <c r="AX2344">
        <v>21.34</v>
      </c>
      <c r="AY2344">
        <v>71.3</v>
      </c>
      <c r="AZ2344">
        <v>117.69</v>
      </c>
      <c r="BA2344">
        <v>1.3</v>
      </c>
      <c r="BB2344" t="s">
        <v>143</v>
      </c>
      <c r="BF2344">
        <v>-0.8</v>
      </c>
      <c r="BG2344">
        <v>-0.15</v>
      </c>
      <c r="BH2344">
        <v>-3.12</v>
      </c>
      <c r="BI2344">
        <v>1.92</v>
      </c>
      <c r="BJ2344">
        <v>20210825</v>
      </c>
      <c r="BK2344">
        <v>20210617</v>
      </c>
      <c r="BL2344">
        <v>0.87</v>
      </c>
      <c r="BM2344" t="s">
        <v>120</v>
      </c>
      <c r="BN2344" t="s">
        <v>120</v>
      </c>
      <c r="BO2344">
        <v>12.63</v>
      </c>
      <c r="BP2344">
        <v>61.57</v>
      </c>
      <c r="BQ2344">
        <v>7.05</v>
      </c>
      <c r="BR2344" t="s">
        <v>120</v>
      </c>
      <c r="BS2344">
        <v>44.14</v>
      </c>
      <c r="BT2344">
        <v>7.71</v>
      </c>
      <c r="BU2344">
        <v>2.74</v>
      </c>
      <c r="BV2344">
        <v>0.31</v>
      </c>
      <c r="BW2344">
        <v>4.1100000000000003</v>
      </c>
      <c r="BX2344">
        <v>3.02</v>
      </c>
      <c r="BY2344">
        <v>1.7</v>
      </c>
      <c r="BZ2344">
        <v>2.4500000000000002</v>
      </c>
      <c r="CA2344">
        <v>0</v>
      </c>
      <c r="CB2344">
        <v>4.01</v>
      </c>
      <c r="CC2344">
        <v>2.5</v>
      </c>
      <c r="CD2344">
        <v>1.78</v>
      </c>
      <c r="CE2344">
        <v>0.41</v>
      </c>
      <c r="CF2344">
        <v>0</v>
      </c>
      <c r="CG2344">
        <v>0.36</v>
      </c>
      <c r="CH2344">
        <v>0.31</v>
      </c>
      <c r="CI2344">
        <v>0.31</v>
      </c>
      <c r="CJ2344">
        <v>-0.88</v>
      </c>
      <c r="CK2344">
        <v>0.33</v>
      </c>
      <c r="CL2344">
        <v>2.0299999999999998</v>
      </c>
      <c r="CM2344">
        <v>0.25</v>
      </c>
      <c r="CN2344">
        <v>2.57</v>
      </c>
      <c r="CO2344">
        <v>21124</v>
      </c>
      <c r="CP2344">
        <v>877</v>
      </c>
      <c r="CQ2344" t="s">
        <v>4481</v>
      </c>
      <c r="CR2344">
        <v>0</v>
      </c>
      <c r="CS2344">
        <v>0</v>
      </c>
      <c r="CT2344">
        <v>7.58</v>
      </c>
      <c r="CU2344">
        <v>211.02</v>
      </c>
      <c r="CV2344">
        <v>21.4</v>
      </c>
      <c r="CW2344">
        <v>0</v>
      </c>
      <c r="CX2344" t="s">
        <v>780</v>
      </c>
      <c r="CY2344">
        <v>8.1300000000000008</v>
      </c>
      <c r="CZ2344">
        <v>0</v>
      </c>
      <c r="DA2344">
        <v>4.62</v>
      </c>
      <c r="DB2344">
        <v>2.33</v>
      </c>
      <c r="DC2344">
        <v>0.28999999999999998</v>
      </c>
      <c r="DD2344">
        <v>55.86</v>
      </c>
      <c r="DE2344" t="s">
        <v>3697</v>
      </c>
      <c r="DF2344">
        <v>28.84</v>
      </c>
      <c r="DG2344">
        <v>16.25</v>
      </c>
      <c r="DH2344">
        <v>12.48</v>
      </c>
      <c r="DI2344">
        <v>0.05</v>
      </c>
      <c r="DJ2344">
        <v>413</v>
      </c>
      <c r="DK2344">
        <v>301011</v>
      </c>
      <c r="DL2344">
        <v>20210831</v>
      </c>
      <c r="DM2344">
        <v>68.900000000000006</v>
      </c>
      <c r="DN2344">
        <v>-10.64</v>
      </c>
    </row>
    <row r="2345" spans="1:118">
      <c r="A2345" t="str">
        <f>"301012"</f>
        <v>301012</v>
      </c>
      <c r="B2345" t="s">
        <v>11005</v>
      </c>
      <c r="C2345">
        <v>9.2200000000000006</v>
      </c>
      <c r="D2345">
        <v>0</v>
      </c>
      <c r="E2345">
        <v>-1.47</v>
      </c>
      <c r="F2345">
        <v>1483</v>
      </c>
      <c r="G2345" t="s">
        <v>10988</v>
      </c>
      <c r="H2345">
        <v>27591.48</v>
      </c>
      <c r="I2345">
        <v>123.47</v>
      </c>
      <c r="J2345" t="s">
        <v>120</v>
      </c>
      <c r="K2345" t="s">
        <v>10988</v>
      </c>
      <c r="L2345">
        <v>34.909999999999997</v>
      </c>
      <c r="M2345">
        <v>41.6</v>
      </c>
      <c r="N2345">
        <v>1.26</v>
      </c>
      <c r="O2345">
        <v>11.58</v>
      </c>
      <c r="P2345">
        <v>42.5</v>
      </c>
      <c r="Q2345">
        <v>-2.0699999999999998</v>
      </c>
      <c r="R2345">
        <v>37.299999999999997</v>
      </c>
      <c r="S2345">
        <v>37.53</v>
      </c>
      <c r="T2345">
        <v>69515</v>
      </c>
      <c r="U2345">
        <v>41.61</v>
      </c>
      <c r="V2345">
        <v>38.090000000000003</v>
      </c>
      <c r="W2345">
        <v>66.069999999999993</v>
      </c>
      <c r="X2345" t="s">
        <v>394</v>
      </c>
      <c r="Y2345" t="s">
        <v>319</v>
      </c>
      <c r="Z2345">
        <v>13.65</v>
      </c>
      <c r="AA2345">
        <v>39.69</v>
      </c>
      <c r="AB2345">
        <v>30355</v>
      </c>
      <c r="AC2345">
        <v>39160</v>
      </c>
      <c r="AD2345">
        <v>0.78</v>
      </c>
      <c r="AE2345">
        <v>143</v>
      </c>
      <c r="AF2345">
        <v>6</v>
      </c>
      <c r="AG2345" t="s">
        <v>120</v>
      </c>
      <c r="AH2345">
        <v>0.17</v>
      </c>
      <c r="AI2345" t="s">
        <v>120</v>
      </c>
      <c r="AJ2345">
        <v>0.2</v>
      </c>
      <c r="AK2345" t="s">
        <v>4800</v>
      </c>
      <c r="AL2345">
        <v>11.13</v>
      </c>
      <c r="AM2345">
        <v>3014</v>
      </c>
      <c r="AN2345">
        <v>23</v>
      </c>
      <c r="AO2345">
        <v>1.1599999999999999E-2</v>
      </c>
      <c r="AP2345">
        <v>1</v>
      </c>
      <c r="AQ2345">
        <v>-4.03</v>
      </c>
      <c r="AR2345">
        <v>7.77</v>
      </c>
      <c r="AS2345">
        <v>3.1</v>
      </c>
      <c r="AT2345">
        <v>-11.71</v>
      </c>
      <c r="AU2345">
        <v>416.77</v>
      </c>
      <c r="AV2345">
        <v>1</v>
      </c>
      <c r="AW2345">
        <v>34.909999999999997</v>
      </c>
      <c r="AX2345">
        <v>23.7</v>
      </c>
      <c r="AY2345">
        <v>64.56</v>
      </c>
      <c r="AZ2345">
        <v>65.2</v>
      </c>
      <c r="BA2345">
        <v>0.56999999999999995</v>
      </c>
      <c r="BB2345" t="s">
        <v>143</v>
      </c>
      <c r="BF2345">
        <v>4.2</v>
      </c>
      <c r="BG2345">
        <v>10.84</v>
      </c>
      <c r="BH2345">
        <v>-2.12</v>
      </c>
      <c r="BI2345">
        <v>11.53</v>
      </c>
      <c r="BJ2345">
        <v>20210913</v>
      </c>
      <c r="BK2345">
        <v>20210622</v>
      </c>
      <c r="BL2345">
        <v>0.84</v>
      </c>
      <c r="BM2345" t="s">
        <v>120</v>
      </c>
      <c r="BN2345" t="s">
        <v>120</v>
      </c>
      <c r="BO2345">
        <v>7.9</v>
      </c>
      <c r="BP2345">
        <v>41.6</v>
      </c>
      <c r="BQ2345">
        <v>5.39</v>
      </c>
      <c r="BR2345" t="s">
        <v>120</v>
      </c>
      <c r="BS2345">
        <v>31.71</v>
      </c>
      <c r="BT2345">
        <v>6.83</v>
      </c>
      <c r="BU2345">
        <v>0.54</v>
      </c>
      <c r="BV2345">
        <v>0.25</v>
      </c>
      <c r="BW2345">
        <v>2.5</v>
      </c>
      <c r="BX2345">
        <v>1.55</v>
      </c>
      <c r="BY2345">
        <v>1.07</v>
      </c>
      <c r="BZ2345">
        <v>3.63</v>
      </c>
      <c r="CA2345" t="s">
        <v>120</v>
      </c>
      <c r="CB2345">
        <v>3.53</v>
      </c>
      <c r="CC2345">
        <v>2.34</v>
      </c>
      <c r="CD2345">
        <v>1.79</v>
      </c>
      <c r="CE2345">
        <v>0.3</v>
      </c>
      <c r="CF2345">
        <v>0</v>
      </c>
      <c r="CG2345">
        <v>0.3</v>
      </c>
      <c r="CH2345">
        <v>0.26</v>
      </c>
      <c r="CI2345">
        <v>0.26</v>
      </c>
      <c r="CJ2345">
        <v>3.51</v>
      </c>
      <c r="CK2345">
        <v>0.27</v>
      </c>
      <c r="CL2345">
        <v>0.94</v>
      </c>
      <c r="CM2345">
        <v>-0.42</v>
      </c>
      <c r="CN2345">
        <v>1.07</v>
      </c>
      <c r="CO2345">
        <v>20645</v>
      </c>
      <c r="CP2345">
        <v>965</v>
      </c>
      <c r="CQ2345" t="s">
        <v>2782</v>
      </c>
      <c r="CR2345">
        <v>0</v>
      </c>
      <c r="CS2345">
        <v>0</v>
      </c>
      <c r="CT2345">
        <v>6.48</v>
      </c>
      <c r="CU2345">
        <v>-83.62</v>
      </c>
      <c r="CV2345">
        <v>14.91</v>
      </c>
      <c r="CW2345">
        <v>0</v>
      </c>
      <c r="CX2345" t="s">
        <v>1327</v>
      </c>
      <c r="CY2345">
        <v>6.42</v>
      </c>
      <c r="CZ2345">
        <v>0</v>
      </c>
      <c r="DA2345">
        <v>4.2</v>
      </c>
      <c r="DB2345">
        <v>1.1200000000000001</v>
      </c>
      <c r="DC2345">
        <v>-0.5</v>
      </c>
      <c r="DD2345">
        <v>68.290000000000006</v>
      </c>
      <c r="DE2345" t="s">
        <v>619</v>
      </c>
      <c r="DF2345">
        <v>23.57</v>
      </c>
      <c r="DG2345">
        <v>12.97</v>
      </c>
      <c r="DH2345">
        <v>11.29</v>
      </c>
      <c r="DI2345">
        <v>7.0000000000000007E-2</v>
      </c>
      <c r="DJ2345">
        <v>239</v>
      </c>
      <c r="DK2345">
        <v>301012</v>
      </c>
      <c r="DL2345" t="s">
        <v>120</v>
      </c>
      <c r="DM2345" t="s">
        <v>120</v>
      </c>
      <c r="DN2345" t="s">
        <v>120</v>
      </c>
    </row>
    <row r="2346" spans="1:118">
      <c r="A2346" t="str">
        <f>"301013"</f>
        <v>301013</v>
      </c>
      <c r="B2346" t="s">
        <v>11006</v>
      </c>
      <c r="C2346">
        <v>-1.38</v>
      </c>
      <c r="D2346">
        <v>-0.03</v>
      </c>
      <c r="E2346">
        <v>0.45</v>
      </c>
      <c r="F2346">
        <v>642</v>
      </c>
      <c r="G2346" t="s">
        <v>11007</v>
      </c>
      <c r="H2346">
        <v>4935.6099999999997</v>
      </c>
      <c r="I2346">
        <v>5.45</v>
      </c>
      <c r="J2346" t="s">
        <v>120</v>
      </c>
      <c r="K2346" t="s">
        <v>11007</v>
      </c>
      <c r="L2346">
        <v>6.03</v>
      </c>
      <c r="M2346">
        <v>24.3</v>
      </c>
      <c r="N2346">
        <v>0.82</v>
      </c>
      <c r="O2346">
        <v>1.34</v>
      </c>
      <c r="P2346">
        <v>24.97</v>
      </c>
      <c r="Q2346">
        <v>-1.38</v>
      </c>
      <c r="R2346">
        <v>24.3</v>
      </c>
      <c r="S2346">
        <v>24.75</v>
      </c>
      <c r="T2346">
        <v>20063</v>
      </c>
      <c r="U2346">
        <v>24.3</v>
      </c>
      <c r="V2346">
        <v>24.64</v>
      </c>
      <c r="W2346">
        <v>75.94</v>
      </c>
      <c r="X2346" t="s">
        <v>675</v>
      </c>
      <c r="Y2346" t="s">
        <v>123</v>
      </c>
      <c r="Z2346">
        <v>2.72</v>
      </c>
      <c r="AA2346">
        <v>24.6</v>
      </c>
      <c r="AB2346">
        <v>11497</v>
      </c>
      <c r="AC2346">
        <v>8566</v>
      </c>
      <c r="AD2346">
        <v>1.34</v>
      </c>
      <c r="AE2346">
        <v>3</v>
      </c>
      <c r="AF2346">
        <v>239</v>
      </c>
      <c r="AG2346" t="s">
        <v>120</v>
      </c>
      <c r="AH2346">
        <v>0.01</v>
      </c>
      <c r="AI2346" t="s">
        <v>120</v>
      </c>
      <c r="AJ2346">
        <v>0.33</v>
      </c>
      <c r="AK2346" t="s">
        <v>11008</v>
      </c>
      <c r="AL2346">
        <v>0.53</v>
      </c>
      <c r="AM2346">
        <v>1302</v>
      </c>
      <c r="AN2346">
        <v>15</v>
      </c>
      <c r="AO2346">
        <v>4.5999999999999999E-3</v>
      </c>
      <c r="AP2346">
        <v>-2</v>
      </c>
      <c r="AQ2346">
        <v>-1.91</v>
      </c>
      <c r="AR2346">
        <v>-2.0499999999999998</v>
      </c>
      <c r="AS2346">
        <v>-4.78</v>
      </c>
      <c r="AT2346">
        <v>178.67</v>
      </c>
      <c r="AU2346">
        <v>178.67</v>
      </c>
      <c r="AV2346">
        <v>1</v>
      </c>
      <c r="AW2346">
        <v>6.03</v>
      </c>
      <c r="AX2346">
        <v>21.34</v>
      </c>
      <c r="AY2346">
        <v>60.19</v>
      </c>
      <c r="AZ2346">
        <v>45.26</v>
      </c>
      <c r="BA2346">
        <v>0</v>
      </c>
      <c r="BB2346" t="s">
        <v>143</v>
      </c>
      <c r="BF2346">
        <v>-0.16</v>
      </c>
      <c r="BG2346">
        <v>-1.82</v>
      </c>
      <c r="BH2346">
        <v>-2.68</v>
      </c>
      <c r="BI2346">
        <v>0</v>
      </c>
      <c r="BJ2346">
        <v>20210912</v>
      </c>
      <c r="BK2346">
        <v>20210629</v>
      </c>
      <c r="BL2346">
        <v>1.56</v>
      </c>
      <c r="BM2346" t="s">
        <v>120</v>
      </c>
      <c r="BN2346" t="s">
        <v>120</v>
      </c>
      <c r="BO2346">
        <v>12.16</v>
      </c>
      <c r="BP2346">
        <v>24.29</v>
      </c>
      <c r="BQ2346">
        <v>9.09</v>
      </c>
      <c r="BR2346">
        <v>0.02</v>
      </c>
      <c r="BS2346">
        <v>25.08</v>
      </c>
      <c r="BT2346">
        <v>8.58</v>
      </c>
      <c r="BU2346">
        <v>0.74</v>
      </c>
      <c r="BV2346">
        <v>0.19</v>
      </c>
      <c r="BW2346">
        <v>1.93</v>
      </c>
      <c r="BX2346">
        <v>4.4800000000000004</v>
      </c>
      <c r="BY2346">
        <v>1.2</v>
      </c>
      <c r="BZ2346">
        <v>2.2999999999999998</v>
      </c>
      <c r="CA2346" t="s">
        <v>120</v>
      </c>
      <c r="CB2346">
        <v>4.3499999999999996</v>
      </c>
      <c r="CC2346">
        <v>1.84</v>
      </c>
      <c r="CD2346">
        <v>1.2</v>
      </c>
      <c r="CE2346">
        <v>0.26</v>
      </c>
      <c r="CF2346">
        <v>0</v>
      </c>
      <c r="CG2346">
        <v>0.26</v>
      </c>
      <c r="CH2346">
        <v>0.24</v>
      </c>
      <c r="CI2346">
        <v>0.25</v>
      </c>
      <c r="CJ2346">
        <v>-0.34</v>
      </c>
      <c r="CK2346">
        <v>0.2</v>
      </c>
      <c r="CL2346">
        <v>2.89</v>
      </c>
      <c r="CM2346">
        <v>-0.54</v>
      </c>
      <c r="CN2346">
        <v>1.66</v>
      </c>
      <c r="CO2346">
        <v>20360</v>
      </c>
      <c r="CP2346">
        <v>1633</v>
      </c>
      <c r="CQ2346" t="s">
        <v>1185</v>
      </c>
      <c r="CR2346">
        <v>0</v>
      </c>
      <c r="CS2346">
        <v>0</v>
      </c>
      <c r="CT2346">
        <v>4.16</v>
      </c>
      <c r="CU2346">
        <v>-69.61</v>
      </c>
      <c r="CV2346">
        <v>20.63</v>
      </c>
      <c r="CW2346">
        <v>0</v>
      </c>
      <c r="CX2346" t="s">
        <v>2097</v>
      </c>
      <c r="CY2346">
        <v>5.84</v>
      </c>
      <c r="CZ2346">
        <v>0</v>
      </c>
      <c r="DA2346">
        <v>2.79</v>
      </c>
      <c r="DB2346">
        <v>1.86</v>
      </c>
      <c r="DC2346">
        <v>-0.35</v>
      </c>
      <c r="DD2346">
        <v>74.760000000000005</v>
      </c>
      <c r="DE2346" t="s">
        <v>746</v>
      </c>
      <c r="DF2346">
        <v>34.79</v>
      </c>
      <c r="DG2346">
        <v>13.99</v>
      </c>
      <c r="DH2346">
        <v>13.58</v>
      </c>
      <c r="DI2346">
        <v>0.2</v>
      </c>
      <c r="DJ2346">
        <v>682</v>
      </c>
      <c r="DK2346">
        <v>301013</v>
      </c>
      <c r="DL2346">
        <v>20210706</v>
      </c>
      <c r="DM2346">
        <v>29.5</v>
      </c>
      <c r="DN2346">
        <v>-17.63</v>
      </c>
    </row>
    <row r="2347" spans="1:118">
      <c r="A2347" t="str">
        <f>"301015"</f>
        <v>301015</v>
      </c>
      <c r="B2347" t="s">
        <v>11009</v>
      </c>
      <c r="C2347">
        <v>8.51</v>
      </c>
      <c r="D2347">
        <v>-7.0000000000000007E-2</v>
      </c>
      <c r="E2347">
        <v>0.49</v>
      </c>
      <c r="F2347">
        <v>1557</v>
      </c>
      <c r="G2347" t="s">
        <v>11010</v>
      </c>
      <c r="H2347">
        <v>29334.93</v>
      </c>
      <c r="I2347">
        <v>16.940000000000001</v>
      </c>
      <c r="J2347" t="s">
        <v>120</v>
      </c>
      <c r="K2347" t="s">
        <v>11010</v>
      </c>
      <c r="L2347">
        <v>24.49</v>
      </c>
      <c r="M2347">
        <v>26.51</v>
      </c>
      <c r="N2347">
        <v>5.97</v>
      </c>
      <c r="O2347">
        <v>14.04</v>
      </c>
      <c r="P2347">
        <v>27.86</v>
      </c>
      <c r="Q2347">
        <v>-0.61</v>
      </c>
      <c r="R2347">
        <v>24.28</v>
      </c>
      <c r="S2347">
        <v>24.55</v>
      </c>
      <c r="T2347">
        <v>108824</v>
      </c>
      <c r="U2347">
        <v>26.52</v>
      </c>
      <c r="V2347">
        <v>24.43</v>
      </c>
      <c r="W2347">
        <v>37.119999999999997</v>
      </c>
      <c r="X2347" t="s">
        <v>274</v>
      </c>
      <c r="Y2347" t="s">
        <v>638</v>
      </c>
      <c r="Z2347">
        <v>14.65</v>
      </c>
      <c r="AA2347">
        <v>26.96</v>
      </c>
      <c r="AB2347">
        <v>50429</v>
      </c>
      <c r="AC2347">
        <v>58395</v>
      </c>
      <c r="AD2347">
        <v>0.86</v>
      </c>
      <c r="AE2347">
        <v>170</v>
      </c>
      <c r="AF2347">
        <v>101</v>
      </c>
      <c r="AG2347" t="s">
        <v>120</v>
      </c>
      <c r="AH2347">
        <v>0.02</v>
      </c>
      <c r="AI2347" t="s">
        <v>120</v>
      </c>
      <c r="AJ2347">
        <v>0.44</v>
      </c>
      <c r="AK2347" t="s">
        <v>11011</v>
      </c>
      <c r="AL2347">
        <v>10.43</v>
      </c>
      <c r="AM2347">
        <v>3013</v>
      </c>
      <c r="AN2347">
        <v>36</v>
      </c>
      <c r="AO2347">
        <v>8.0999999999999996E-3</v>
      </c>
      <c r="AP2347">
        <v>1</v>
      </c>
      <c r="AQ2347">
        <v>-1.01</v>
      </c>
      <c r="AR2347">
        <v>8.07</v>
      </c>
      <c r="AS2347">
        <v>-3.45</v>
      </c>
      <c r="AT2347">
        <v>246.98</v>
      </c>
      <c r="AU2347">
        <v>246.98</v>
      </c>
      <c r="AV2347">
        <v>0</v>
      </c>
      <c r="AW2347">
        <v>24.49</v>
      </c>
      <c r="AX2347">
        <v>8.4600000000000009</v>
      </c>
      <c r="AY2347">
        <v>36.79</v>
      </c>
      <c r="AZ2347">
        <v>47.04</v>
      </c>
      <c r="BA2347">
        <v>0</v>
      </c>
      <c r="BB2347" t="s">
        <v>134</v>
      </c>
      <c r="BF2347">
        <v>10.34</v>
      </c>
      <c r="BG2347">
        <v>7.98</v>
      </c>
      <c r="BH2347">
        <v>-4.8499999999999996</v>
      </c>
      <c r="BI2347">
        <v>9.18</v>
      </c>
      <c r="BJ2347">
        <v>20210828</v>
      </c>
      <c r="BK2347">
        <v>20210630</v>
      </c>
      <c r="BL2347">
        <v>5.25</v>
      </c>
      <c r="BM2347" t="s">
        <v>120</v>
      </c>
      <c r="BN2347" t="s">
        <v>120</v>
      </c>
      <c r="BO2347">
        <v>44.24</v>
      </c>
      <c r="BP2347">
        <v>26.51</v>
      </c>
      <c r="BQ2347">
        <v>20.02</v>
      </c>
      <c r="BR2347">
        <v>0.25</v>
      </c>
      <c r="BS2347">
        <v>54.17</v>
      </c>
      <c r="BT2347">
        <v>39.18</v>
      </c>
      <c r="BU2347">
        <v>1.73</v>
      </c>
      <c r="BV2347">
        <v>0.28999999999999998</v>
      </c>
      <c r="BW2347">
        <v>23.58</v>
      </c>
      <c r="BX2347">
        <v>12.37</v>
      </c>
      <c r="BY2347">
        <v>6.04</v>
      </c>
      <c r="BZ2347">
        <v>17.440000000000001</v>
      </c>
      <c r="CA2347" t="s">
        <v>120</v>
      </c>
      <c r="CB2347">
        <v>4.9800000000000004</v>
      </c>
      <c r="CC2347">
        <v>33.46</v>
      </c>
      <c r="CD2347">
        <v>25.36</v>
      </c>
      <c r="CE2347">
        <v>2.54</v>
      </c>
      <c r="CF2347">
        <v>-0.01</v>
      </c>
      <c r="CG2347">
        <v>2.5</v>
      </c>
      <c r="CH2347">
        <v>1.86</v>
      </c>
      <c r="CI2347">
        <v>1.88</v>
      </c>
      <c r="CJ2347">
        <v>2.08</v>
      </c>
      <c r="CK2347">
        <v>1.83</v>
      </c>
      <c r="CL2347">
        <v>8.85</v>
      </c>
      <c r="CM2347">
        <v>-0.21</v>
      </c>
      <c r="CN2347">
        <v>2.0099999999999998</v>
      </c>
      <c r="CO2347">
        <v>39945</v>
      </c>
      <c r="CP2347">
        <v>1113</v>
      </c>
      <c r="CQ2347" t="s">
        <v>2641</v>
      </c>
      <c r="CR2347">
        <v>0</v>
      </c>
      <c r="CS2347">
        <v>0</v>
      </c>
      <c r="CT2347">
        <v>6.95</v>
      </c>
      <c r="CU2347">
        <v>-672.05</v>
      </c>
      <c r="CV2347">
        <v>4.16</v>
      </c>
      <c r="CW2347">
        <v>0</v>
      </c>
      <c r="CX2347" t="s">
        <v>3527</v>
      </c>
      <c r="CY2347">
        <v>3.81</v>
      </c>
      <c r="CZ2347">
        <v>0</v>
      </c>
      <c r="DA2347">
        <v>0.95</v>
      </c>
      <c r="DB2347">
        <v>1.68</v>
      </c>
      <c r="DC2347">
        <v>-0.04</v>
      </c>
      <c r="DD2347">
        <v>45.26</v>
      </c>
      <c r="DE2347" t="s">
        <v>11012</v>
      </c>
      <c r="DF2347">
        <v>24.21</v>
      </c>
      <c r="DG2347">
        <v>7.58</v>
      </c>
      <c r="DH2347">
        <v>5.6</v>
      </c>
      <c r="DI2347" t="s">
        <v>120</v>
      </c>
      <c r="DJ2347">
        <v>2300</v>
      </c>
      <c r="DK2347">
        <v>301015</v>
      </c>
      <c r="DL2347" t="s">
        <v>120</v>
      </c>
      <c r="DM2347" t="s">
        <v>120</v>
      </c>
      <c r="DN2347" t="s">
        <v>120</v>
      </c>
    </row>
    <row r="2348" spans="1:118">
      <c r="A2348" t="str">
        <f>"301016"</f>
        <v>301016</v>
      </c>
      <c r="B2348" t="s">
        <v>11013</v>
      </c>
      <c r="C2348">
        <v>0.1</v>
      </c>
      <c r="D2348">
        <v>0.03</v>
      </c>
      <c r="E2348">
        <v>-0.1</v>
      </c>
      <c r="F2348">
        <v>198</v>
      </c>
      <c r="G2348" t="s">
        <v>10851</v>
      </c>
      <c r="H2348">
        <v>5335.63</v>
      </c>
      <c r="I2348">
        <v>23.8</v>
      </c>
      <c r="J2348" t="s">
        <v>120</v>
      </c>
      <c r="K2348" t="s">
        <v>10851</v>
      </c>
      <c r="L2348">
        <v>6.48</v>
      </c>
      <c r="M2348">
        <v>28.73</v>
      </c>
      <c r="N2348">
        <v>0.62</v>
      </c>
      <c r="O2348">
        <v>2.54</v>
      </c>
      <c r="P2348">
        <v>29.43</v>
      </c>
      <c r="Q2348">
        <v>-0.7</v>
      </c>
      <c r="R2348">
        <v>28.5</v>
      </c>
      <c r="S2348">
        <v>28.67</v>
      </c>
      <c r="T2348">
        <v>18432</v>
      </c>
      <c r="U2348">
        <v>28.73</v>
      </c>
      <c r="V2348">
        <v>28.7</v>
      </c>
      <c r="W2348">
        <v>21.51</v>
      </c>
      <c r="X2348" t="s">
        <v>157</v>
      </c>
      <c r="Y2348" t="s">
        <v>319</v>
      </c>
      <c r="Z2348">
        <v>3.24</v>
      </c>
      <c r="AA2348">
        <v>28.95</v>
      </c>
      <c r="AB2348">
        <v>10126</v>
      </c>
      <c r="AC2348">
        <v>8306</v>
      </c>
      <c r="AD2348">
        <v>1.22</v>
      </c>
      <c r="AE2348">
        <v>117</v>
      </c>
      <c r="AF2348">
        <v>1</v>
      </c>
      <c r="AG2348" t="s">
        <v>120</v>
      </c>
      <c r="AH2348">
        <v>0.03</v>
      </c>
      <c r="AI2348" t="s">
        <v>120</v>
      </c>
      <c r="AJ2348">
        <v>0.28000000000000003</v>
      </c>
      <c r="AK2348" t="s">
        <v>3531</v>
      </c>
      <c r="AL2348">
        <v>2.02</v>
      </c>
      <c r="AM2348">
        <v>1587</v>
      </c>
      <c r="AN2348">
        <v>12</v>
      </c>
      <c r="AO2348">
        <v>4.1000000000000003E-3</v>
      </c>
      <c r="AP2348">
        <v>1</v>
      </c>
      <c r="AQ2348">
        <v>-2.0499999999999998</v>
      </c>
      <c r="AR2348">
        <v>-3.56</v>
      </c>
      <c r="AS2348">
        <v>-1.51</v>
      </c>
      <c r="AT2348">
        <v>108.95</v>
      </c>
      <c r="AU2348">
        <v>108.95</v>
      </c>
      <c r="AV2348">
        <v>0</v>
      </c>
      <c r="AW2348">
        <v>6.48</v>
      </c>
      <c r="AX2348">
        <v>23.71</v>
      </c>
      <c r="AY2348">
        <v>24</v>
      </c>
      <c r="AZ2348">
        <v>30.1</v>
      </c>
      <c r="BA2348">
        <v>0</v>
      </c>
      <c r="BB2348" t="s">
        <v>143</v>
      </c>
      <c r="BF2348">
        <v>0.86</v>
      </c>
      <c r="BG2348">
        <v>0.21</v>
      </c>
      <c r="BH2348">
        <v>-2.38</v>
      </c>
      <c r="BI2348">
        <v>0.81</v>
      </c>
      <c r="BJ2348">
        <v>20210823</v>
      </c>
      <c r="BK2348">
        <v>20210630</v>
      </c>
      <c r="BL2348">
        <v>1.2</v>
      </c>
      <c r="BM2348" t="s">
        <v>120</v>
      </c>
      <c r="BN2348" t="s">
        <v>120</v>
      </c>
      <c r="BO2348">
        <v>11.12</v>
      </c>
      <c r="BP2348">
        <v>28.72</v>
      </c>
      <c r="BQ2348">
        <v>8.52</v>
      </c>
      <c r="BR2348" t="s">
        <v>120</v>
      </c>
      <c r="BS2348">
        <v>23.39</v>
      </c>
      <c r="BT2348">
        <v>8.89</v>
      </c>
      <c r="BU2348">
        <v>1.04</v>
      </c>
      <c r="BV2348">
        <v>0.33</v>
      </c>
      <c r="BW2348">
        <v>2.54</v>
      </c>
      <c r="BX2348">
        <v>4.42</v>
      </c>
      <c r="BY2348">
        <v>1.19</v>
      </c>
      <c r="BZ2348">
        <v>1.39</v>
      </c>
      <c r="CA2348" t="s">
        <v>120</v>
      </c>
      <c r="CB2348">
        <v>4.09</v>
      </c>
      <c r="CC2348">
        <v>3.02</v>
      </c>
      <c r="CD2348">
        <v>1.6</v>
      </c>
      <c r="CE2348">
        <v>0.95</v>
      </c>
      <c r="CF2348">
        <v>0.01</v>
      </c>
      <c r="CG2348">
        <v>0.95</v>
      </c>
      <c r="CH2348">
        <v>0.8</v>
      </c>
      <c r="CI2348">
        <v>0.8</v>
      </c>
      <c r="CJ2348">
        <v>0.03</v>
      </c>
      <c r="CK2348">
        <v>0.8</v>
      </c>
      <c r="CL2348">
        <v>2.94</v>
      </c>
      <c r="CM2348">
        <v>-0.62</v>
      </c>
      <c r="CN2348">
        <v>2.97</v>
      </c>
      <c r="CO2348">
        <v>24960</v>
      </c>
      <c r="CP2348">
        <v>1140</v>
      </c>
      <c r="CQ2348" t="s">
        <v>6393</v>
      </c>
      <c r="CR2348">
        <v>0</v>
      </c>
      <c r="CS2348">
        <v>0</v>
      </c>
      <c r="CT2348">
        <v>4.05</v>
      </c>
      <c r="CU2348">
        <v>-55.82</v>
      </c>
      <c r="CV2348">
        <v>11.43</v>
      </c>
      <c r="CW2348">
        <v>0</v>
      </c>
      <c r="CX2348" t="s">
        <v>1469</v>
      </c>
      <c r="CY2348">
        <v>7.1</v>
      </c>
      <c r="CZ2348">
        <v>0</v>
      </c>
      <c r="DA2348">
        <v>3.41</v>
      </c>
      <c r="DB2348">
        <v>2.4500000000000002</v>
      </c>
      <c r="DC2348">
        <v>-0.51</v>
      </c>
      <c r="DD2348">
        <v>76.61</v>
      </c>
      <c r="DE2348" t="s">
        <v>11014</v>
      </c>
      <c r="DF2348">
        <v>46.9</v>
      </c>
      <c r="DG2348">
        <v>31.42</v>
      </c>
      <c r="DH2348">
        <v>26.58</v>
      </c>
      <c r="DI2348">
        <v>0.09</v>
      </c>
      <c r="DJ2348">
        <v>424</v>
      </c>
      <c r="DK2348">
        <v>301016</v>
      </c>
      <c r="DL2348">
        <v>20210816</v>
      </c>
      <c r="DM2348">
        <v>29.51</v>
      </c>
      <c r="DN2348">
        <v>-2.64</v>
      </c>
    </row>
    <row r="2349" spans="1:118">
      <c r="A2349" t="str">
        <f>"301017"</f>
        <v>301017</v>
      </c>
      <c r="B2349" t="s">
        <v>11015</v>
      </c>
      <c r="C2349">
        <v>4.4000000000000004</v>
      </c>
      <c r="D2349">
        <v>0.05</v>
      </c>
      <c r="E2349">
        <v>-0.28000000000000003</v>
      </c>
      <c r="F2349">
        <v>1282</v>
      </c>
      <c r="G2349" t="s">
        <v>11016</v>
      </c>
      <c r="H2349">
        <v>11983.93</v>
      </c>
      <c r="I2349">
        <v>4.1100000000000003</v>
      </c>
      <c r="J2349" t="s">
        <v>120</v>
      </c>
      <c r="K2349" t="s">
        <v>11016</v>
      </c>
      <c r="L2349">
        <v>18.43</v>
      </c>
      <c r="M2349">
        <v>18.73</v>
      </c>
      <c r="N2349">
        <v>4.54</v>
      </c>
      <c r="O2349">
        <v>10.14</v>
      </c>
      <c r="P2349">
        <v>19.760000000000002</v>
      </c>
      <c r="Q2349">
        <v>-1</v>
      </c>
      <c r="R2349">
        <v>17.760000000000002</v>
      </c>
      <c r="S2349">
        <v>17.89</v>
      </c>
      <c r="T2349">
        <v>63143</v>
      </c>
      <c r="U2349">
        <v>18.73</v>
      </c>
      <c r="V2349">
        <v>17.940000000000001</v>
      </c>
      <c r="W2349">
        <v>43.66</v>
      </c>
      <c r="X2349" t="s">
        <v>274</v>
      </c>
      <c r="Y2349" t="s">
        <v>638</v>
      </c>
      <c r="Z2349">
        <v>11.15</v>
      </c>
      <c r="AA2349">
        <v>18.98</v>
      </c>
      <c r="AB2349">
        <v>26969</v>
      </c>
      <c r="AC2349">
        <v>36174</v>
      </c>
      <c r="AD2349">
        <v>0.75</v>
      </c>
      <c r="AE2349">
        <v>224</v>
      </c>
      <c r="AF2349">
        <v>23</v>
      </c>
      <c r="AG2349" t="s">
        <v>120</v>
      </c>
      <c r="AH2349">
        <v>0.01</v>
      </c>
      <c r="AI2349" t="s">
        <v>120</v>
      </c>
      <c r="AJ2349">
        <v>0.34</v>
      </c>
      <c r="AK2349" t="s">
        <v>11017</v>
      </c>
      <c r="AL2349">
        <v>6.32</v>
      </c>
      <c r="AM2349">
        <v>1947</v>
      </c>
      <c r="AN2349">
        <v>32</v>
      </c>
      <c r="AO2349">
        <v>9.4999999999999998E-3</v>
      </c>
      <c r="AP2349">
        <v>2</v>
      </c>
      <c r="AQ2349">
        <v>0.34</v>
      </c>
      <c r="AR2349">
        <v>3.71</v>
      </c>
      <c r="AS2349">
        <v>-6.26</v>
      </c>
      <c r="AT2349">
        <v>114.06</v>
      </c>
      <c r="AU2349">
        <v>114.06</v>
      </c>
      <c r="AV2349">
        <v>0</v>
      </c>
      <c r="AW2349">
        <v>18.43</v>
      </c>
      <c r="AX2349">
        <v>8.4499999999999993</v>
      </c>
      <c r="AY2349">
        <v>31.28</v>
      </c>
      <c r="AZ2349">
        <v>33.61</v>
      </c>
      <c r="BA2349">
        <v>0</v>
      </c>
      <c r="BB2349" t="s">
        <v>143</v>
      </c>
      <c r="BF2349">
        <v>5.79</v>
      </c>
      <c r="BG2349">
        <v>4.7</v>
      </c>
      <c r="BH2349">
        <v>-5.21</v>
      </c>
      <c r="BI2349">
        <v>5.46</v>
      </c>
      <c r="BJ2349">
        <v>20210826</v>
      </c>
      <c r="BK2349">
        <v>20210705</v>
      </c>
      <c r="BL2349">
        <v>4.05</v>
      </c>
      <c r="BM2349" t="s">
        <v>120</v>
      </c>
      <c r="BN2349" t="s">
        <v>120</v>
      </c>
      <c r="BO2349">
        <v>41.93</v>
      </c>
      <c r="BP2349">
        <v>18.72</v>
      </c>
      <c r="BQ2349">
        <v>19.059999999999999</v>
      </c>
      <c r="BR2349">
        <v>0.09</v>
      </c>
      <c r="BS2349">
        <v>54.31</v>
      </c>
      <c r="BT2349">
        <v>25.62</v>
      </c>
      <c r="BU2349">
        <v>3.68</v>
      </c>
      <c r="BV2349">
        <v>0.7</v>
      </c>
      <c r="BW2349">
        <v>20.12</v>
      </c>
      <c r="BX2349">
        <v>9.33</v>
      </c>
      <c r="BY2349">
        <v>10.41</v>
      </c>
      <c r="BZ2349">
        <v>3.28</v>
      </c>
      <c r="CA2349">
        <v>0.06</v>
      </c>
      <c r="CB2349">
        <v>8.57</v>
      </c>
      <c r="CC2349">
        <v>24.79</v>
      </c>
      <c r="CD2349">
        <v>17.440000000000001</v>
      </c>
      <c r="CE2349">
        <v>1.21</v>
      </c>
      <c r="CF2349">
        <v>0</v>
      </c>
      <c r="CG2349">
        <v>1.2</v>
      </c>
      <c r="CH2349">
        <v>0.86</v>
      </c>
      <c r="CI2349">
        <v>0.87</v>
      </c>
      <c r="CJ2349">
        <v>0.79</v>
      </c>
      <c r="CK2349">
        <v>0.8</v>
      </c>
      <c r="CL2349">
        <v>6.04</v>
      </c>
      <c r="CM2349">
        <v>1.1000000000000001</v>
      </c>
      <c r="CN2349">
        <v>3.95</v>
      </c>
      <c r="CO2349">
        <v>32648</v>
      </c>
      <c r="CP2349">
        <v>1049</v>
      </c>
      <c r="CQ2349" t="s">
        <v>11018</v>
      </c>
      <c r="CR2349">
        <v>0</v>
      </c>
      <c r="CS2349">
        <v>0</v>
      </c>
      <c r="CT2349">
        <v>3.98</v>
      </c>
      <c r="CU2349">
        <v>68.819999999999993</v>
      </c>
      <c r="CV2349">
        <v>3.06</v>
      </c>
      <c r="CW2349">
        <v>0.61</v>
      </c>
      <c r="CX2349" t="s">
        <v>626</v>
      </c>
      <c r="CY2349">
        <v>4.7</v>
      </c>
      <c r="CZ2349">
        <v>0</v>
      </c>
      <c r="DA2349">
        <v>2.11</v>
      </c>
      <c r="DB2349">
        <v>1.49</v>
      </c>
      <c r="DC2349">
        <v>0.27</v>
      </c>
      <c r="DD2349">
        <v>45.47</v>
      </c>
      <c r="DE2349" t="s">
        <v>5919</v>
      </c>
      <c r="DF2349">
        <v>29.63</v>
      </c>
      <c r="DG2349">
        <v>4.8600000000000003</v>
      </c>
      <c r="DH2349">
        <v>3.51</v>
      </c>
      <c r="DI2349" t="s">
        <v>120</v>
      </c>
      <c r="DJ2349">
        <v>8071</v>
      </c>
      <c r="DK2349">
        <v>301017</v>
      </c>
      <c r="DL2349" t="s">
        <v>120</v>
      </c>
      <c r="DM2349" t="s">
        <v>120</v>
      </c>
      <c r="DN2349" t="s">
        <v>120</v>
      </c>
    </row>
    <row r="2350" spans="1:118">
      <c r="A2350" t="str">
        <f>"301018"</f>
        <v>301018</v>
      </c>
      <c r="B2350" t="s">
        <v>11019</v>
      </c>
      <c r="C2350">
        <v>-5.77</v>
      </c>
      <c r="D2350">
        <v>0.05</v>
      </c>
      <c r="E2350">
        <v>0.53</v>
      </c>
      <c r="F2350">
        <v>457</v>
      </c>
      <c r="G2350" t="s">
        <v>10528</v>
      </c>
      <c r="H2350">
        <v>7469.68</v>
      </c>
      <c r="I2350">
        <v>26.47</v>
      </c>
      <c r="J2350" t="s">
        <v>120</v>
      </c>
      <c r="K2350" t="s">
        <v>10528</v>
      </c>
      <c r="L2350">
        <v>6.6</v>
      </c>
      <c r="M2350">
        <v>21.39</v>
      </c>
      <c r="N2350">
        <v>1.05</v>
      </c>
      <c r="O2350">
        <v>0.79</v>
      </c>
      <c r="P2350">
        <v>22.88</v>
      </c>
      <c r="Q2350">
        <v>-6.43</v>
      </c>
      <c r="R2350">
        <v>21.24</v>
      </c>
      <c r="S2350">
        <v>22.82</v>
      </c>
      <c r="T2350">
        <v>33816</v>
      </c>
      <c r="U2350">
        <v>21.39</v>
      </c>
      <c r="V2350">
        <v>22.7</v>
      </c>
      <c r="W2350">
        <v>40</v>
      </c>
      <c r="X2350" t="s">
        <v>675</v>
      </c>
      <c r="Y2350" t="s">
        <v>547</v>
      </c>
      <c r="Z2350">
        <v>7.22</v>
      </c>
      <c r="AA2350">
        <v>22.09</v>
      </c>
      <c r="AB2350">
        <v>21082</v>
      </c>
      <c r="AC2350">
        <v>12734</v>
      </c>
      <c r="AD2350">
        <v>1.66</v>
      </c>
      <c r="AE2350">
        <v>379</v>
      </c>
      <c r="AF2350">
        <v>84</v>
      </c>
      <c r="AG2350" t="s">
        <v>120</v>
      </c>
      <c r="AH2350">
        <v>0.02</v>
      </c>
      <c r="AI2350" t="s">
        <v>120</v>
      </c>
      <c r="AJ2350">
        <v>0.51</v>
      </c>
      <c r="AK2350" t="s">
        <v>5265</v>
      </c>
      <c r="AL2350">
        <v>-3.86</v>
      </c>
      <c r="AM2350">
        <v>1858</v>
      </c>
      <c r="AN2350">
        <v>18</v>
      </c>
      <c r="AO2350">
        <v>3.5999999999999999E-3</v>
      </c>
      <c r="AP2350">
        <v>-2</v>
      </c>
      <c r="AQ2350">
        <v>-1.3</v>
      </c>
      <c r="AR2350">
        <v>-6.47</v>
      </c>
      <c r="AS2350">
        <v>-17.100000000000001</v>
      </c>
      <c r="AT2350">
        <v>158.02000000000001</v>
      </c>
      <c r="AU2350">
        <v>158.02000000000001</v>
      </c>
      <c r="AV2350">
        <v>2</v>
      </c>
      <c r="AW2350">
        <v>6.6</v>
      </c>
      <c r="AX2350">
        <v>21.34</v>
      </c>
      <c r="AY2350">
        <v>36.56</v>
      </c>
      <c r="AZ2350">
        <v>43.72</v>
      </c>
      <c r="BA2350">
        <v>0</v>
      </c>
      <c r="BB2350" t="s">
        <v>125</v>
      </c>
      <c r="BF2350">
        <v>-2.69</v>
      </c>
      <c r="BG2350">
        <v>-6.27</v>
      </c>
      <c r="BH2350">
        <v>-6.51</v>
      </c>
      <c r="BI2350">
        <v>0.71</v>
      </c>
      <c r="BJ2350">
        <v>20210830</v>
      </c>
      <c r="BK2350">
        <v>20210707</v>
      </c>
      <c r="BL2350">
        <v>2.4</v>
      </c>
      <c r="BM2350" t="s">
        <v>120</v>
      </c>
      <c r="BN2350" t="s">
        <v>120</v>
      </c>
      <c r="BO2350">
        <v>31.13</v>
      </c>
      <c r="BP2350">
        <v>21.38</v>
      </c>
      <c r="BQ2350">
        <v>14.13</v>
      </c>
      <c r="BR2350">
        <v>0.02</v>
      </c>
      <c r="BS2350">
        <v>54.53</v>
      </c>
      <c r="BT2350">
        <v>21.06</v>
      </c>
      <c r="BU2350">
        <v>2.6</v>
      </c>
      <c r="BV2350">
        <v>1.51</v>
      </c>
      <c r="BW2350">
        <v>11.66</v>
      </c>
      <c r="BX2350">
        <v>6.95</v>
      </c>
      <c r="BY2350">
        <v>5.45</v>
      </c>
      <c r="BZ2350">
        <v>6.09</v>
      </c>
      <c r="CA2350" t="s">
        <v>120</v>
      </c>
      <c r="CB2350">
        <v>7.19</v>
      </c>
      <c r="CC2350">
        <v>6.77</v>
      </c>
      <c r="CD2350">
        <v>4.62</v>
      </c>
      <c r="CE2350">
        <v>0.75</v>
      </c>
      <c r="CF2350">
        <v>0</v>
      </c>
      <c r="CG2350">
        <v>0.75</v>
      </c>
      <c r="CH2350">
        <v>0.65</v>
      </c>
      <c r="CI2350">
        <v>0.64</v>
      </c>
      <c r="CJ2350">
        <v>-1.31</v>
      </c>
      <c r="CK2350">
        <v>0.56000000000000005</v>
      </c>
      <c r="CL2350">
        <v>3.93</v>
      </c>
      <c r="CM2350">
        <v>0.25</v>
      </c>
      <c r="CN2350">
        <v>3.3</v>
      </c>
      <c r="CO2350">
        <v>57291</v>
      </c>
      <c r="CP2350">
        <v>894</v>
      </c>
      <c r="CQ2350" t="s">
        <v>11020</v>
      </c>
      <c r="CR2350">
        <v>0</v>
      </c>
      <c r="CS2350">
        <v>0</v>
      </c>
      <c r="CT2350">
        <v>3.63</v>
      </c>
      <c r="CU2350">
        <v>208.76</v>
      </c>
      <c r="CV2350">
        <v>7.58</v>
      </c>
      <c r="CW2350">
        <v>0.66</v>
      </c>
      <c r="CX2350" t="s">
        <v>2051</v>
      </c>
      <c r="CY2350">
        <v>5.89</v>
      </c>
      <c r="CZ2350">
        <v>0</v>
      </c>
      <c r="DA2350">
        <v>3</v>
      </c>
      <c r="DB2350">
        <v>1.64</v>
      </c>
      <c r="DC2350">
        <v>0.1</v>
      </c>
      <c r="DD2350">
        <v>45.4</v>
      </c>
      <c r="DE2350" t="s">
        <v>10084</v>
      </c>
      <c r="DF2350">
        <v>31.86</v>
      </c>
      <c r="DG2350">
        <v>11.02</v>
      </c>
      <c r="DH2350">
        <v>9.4700000000000006</v>
      </c>
      <c r="DI2350">
        <v>0.3</v>
      </c>
      <c r="DJ2350">
        <v>2180</v>
      </c>
      <c r="DK2350">
        <v>301018</v>
      </c>
      <c r="DL2350" t="s">
        <v>120</v>
      </c>
      <c r="DM2350" t="s">
        <v>120</v>
      </c>
      <c r="DN2350" t="s">
        <v>120</v>
      </c>
    </row>
    <row r="2351" spans="1:118">
      <c r="A2351" t="str">
        <f>"301019"</f>
        <v>301019</v>
      </c>
      <c r="B2351" t="s">
        <v>11021</v>
      </c>
      <c r="C2351">
        <v>-3.16</v>
      </c>
      <c r="D2351">
        <v>-0.03</v>
      </c>
      <c r="E2351">
        <v>-2.4300000000000002</v>
      </c>
      <c r="F2351">
        <v>226</v>
      </c>
      <c r="G2351" t="s">
        <v>11022</v>
      </c>
      <c r="H2351">
        <v>15637.73</v>
      </c>
      <c r="I2351">
        <v>670.43</v>
      </c>
      <c r="J2351" t="s">
        <v>120</v>
      </c>
      <c r="K2351" t="s">
        <v>11022</v>
      </c>
      <c r="L2351">
        <v>15.73</v>
      </c>
      <c r="M2351">
        <v>48.71</v>
      </c>
      <c r="N2351">
        <v>1.68</v>
      </c>
      <c r="O2351">
        <v>1.59</v>
      </c>
      <c r="P2351">
        <v>51.1</v>
      </c>
      <c r="Q2351">
        <v>-3.5</v>
      </c>
      <c r="R2351">
        <v>48.54</v>
      </c>
      <c r="S2351">
        <v>49.08</v>
      </c>
      <c r="T2351">
        <v>31457</v>
      </c>
      <c r="U2351">
        <v>48.73</v>
      </c>
      <c r="V2351">
        <v>50.3</v>
      </c>
      <c r="W2351">
        <v>38.81</v>
      </c>
      <c r="X2351" t="s">
        <v>2211</v>
      </c>
      <c r="Y2351" t="s">
        <v>585</v>
      </c>
      <c r="Z2351">
        <v>5.09</v>
      </c>
      <c r="AA2351">
        <v>49.71</v>
      </c>
      <c r="AB2351">
        <v>18090</v>
      </c>
      <c r="AC2351">
        <v>13367</v>
      </c>
      <c r="AD2351">
        <v>1.35</v>
      </c>
      <c r="AE2351">
        <v>7</v>
      </c>
      <c r="AF2351">
        <v>27</v>
      </c>
      <c r="AG2351" t="s">
        <v>120</v>
      </c>
      <c r="AH2351">
        <v>0.68</v>
      </c>
      <c r="AI2351" t="s">
        <v>120</v>
      </c>
      <c r="AJ2351">
        <v>0.2</v>
      </c>
      <c r="AK2351" t="s">
        <v>11023</v>
      </c>
      <c r="AL2351">
        <v>-1.25</v>
      </c>
      <c r="AM2351">
        <v>2176</v>
      </c>
      <c r="AN2351">
        <v>14</v>
      </c>
      <c r="AO2351">
        <v>7.1999999999999998E-3</v>
      </c>
      <c r="AP2351">
        <v>-1</v>
      </c>
      <c r="AQ2351">
        <v>9.61</v>
      </c>
      <c r="AR2351">
        <v>4.8899999999999997</v>
      </c>
      <c r="AS2351">
        <v>2.94</v>
      </c>
      <c r="AT2351">
        <v>68.319999999999993</v>
      </c>
      <c r="AU2351">
        <v>68.319999999999993</v>
      </c>
      <c r="AV2351">
        <v>0</v>
      </c>
      <c r="AW2351">
        <v>15.73</v>
      </c>
      <c r="AX2351">
        <v>25</v>
      </c>
      <c r="AY2351">
        <v>34.01</v>
      </c>
      <c r="AZ2351">
        <v>38.54</v>
      </c>
      <c r="BA2351">
        <v>0</v>
      </c>
      <c r="BB2351" t="s">
        <v>751</v>
      </c>
      <c r="BF2351">
        <v>-1.17</v>
      </c>
      <c r="BG2351">
        <v>-0.75</v>
      </c>
      <c r="BH2351">
        <v>-4.68</v>
      </c>
      <c r="BI2351">
        <v>0.35</v>
      </c>
      <c r="BJ2351">
        <v>20210913</v>
      </c>
      <c r="BK2351">
        <v>20210628</v>
      </c>
      <c r="BL2351">
        <v>0.8</v>
      </c>
      <c r="BM2351" t="s">
        <v>120</v>
      </c>
      <c r="BN2351" t="s">
        <v>120</v>
      </c>
      <c r="BO2351">
        <v>10.199999999999999</v>
      </c>
      <c r="BP2351">
        <v>48.71</v>
      </c>
      <c r="BQ2351">
        <v>9.25</v>
      </c>
      <c r="BR2351" t="s">
        <v>120</v>
      </c>
      <c r="BS2351">
        <v>9.31</v>
      </c>
      <c r="BT2351">
        <v>9.34</v>
      </c>
      <c r="BU2351">
        <v>0.68</v>
      </c>
      <c r="BV2351">
        <v>7.0000000000000007E-2</v>
      </c>
      <c r="BW2351">
        <v>0.83</v>
      </c>
      <c r="BX2351">
        <v>6.58</v>
      </c>
      <c r="BY2351">
        <v>0.89</v>
      </c>
      <c r="BZ2351">
        <v>1.1100000000000001</v>
      </c>
      <c r="CA2351" t="s">
        <v>120</v>
      </c>
      <c r="CB2351">
        <v>6.66</v>
      </c>
      <c r="CC2351">
        <v>2.4700000000000002</v>
      </c>
      <c r="CD2351">
        <v>1.63</v>
      </c>
      <c r="CE2351">
        <v>0.55000000000000004</v>
      </c>
      <c r="CF2351">
        <v>0</v>
      </c>
      <c r="CG2351">
        <v>0.59</v>
      </c>
      <c r="CH2351">
        <v>0.5</v>
      </c>
      <c r="CI2351">
        <v>0.5</v>
      </c>
      <c r="CJ2351">
        <v>-1.59</v>
      </c>
      <c r="CK2351">
        <v>0.46</v>
      </c>
      <c r="CL2351">
        <v>1.61</v>
      </c>
      <c r="CM2351">
        <v>0.38</v>
      </c>
      <c r="CN2351">
        <v>5.67</v>
      </c>
      <c r="CO2351">
        <v>14878</v>
      </c>
      <c r="CP2351">
        <v>1344</v>
      </c>
      <c r="CQ2351" t="s">
        <v>2543</v>
      </c>
      <c r="CR2351">
        <v>0</v>
      </c>
      <c r="CS2351">
        <v>0</v>
      </c>
      <c r="CT2351">
        <v>4.21</v>
      </c>
      <c r="CU2351">
        <v>101.62</v>
      </c>
      <c r="CV2351">
        <v>15.78</v>
      </c>
      <c r="CW2351">
        <v>0</v>
      </c>
      <c r="CX2351" t="s">
        <v>1362</v>
      </c>
      <c r="CY2351">
        <v>11.56</v>
      </c>
      <c r="CZ2351">
        <v>0</v>
      </c>
      <c r="DA2351">
        <v>8.32</v>
      </c>
      <c r="DB2351">
        <v>2.0099999999999998</v>
      </c>
      <c r="DC2351">
        <v>0.48</v>
      </c>
      <c r="DD2351">
        <v>90.69</v>
      </c>
      <c r="DE2351" t="s">
        <v>11024</v>
      </c>
      <c r="DF2351">
        <v>33.840000000000003</v>
      </c>
      <c r="DG2351">
        <v>22.46</v>
      </c>
      <c r="DH2351">
        <v>20.329999999999998</v>
      </c>
      <c r="DI2351">
        <v>0.08</v>
      </c>
      <c r="DJ2351">
        <v>315</v>
      </c>
      <c r="DK2351">
        <v>301019</v>
      </c>
      <c r="DL2351" t="s">
        <v>120</v>
      </c>
      <c r="DM2351" t="s">
        <v>120</v>
      </c>
      <c r="DN2351" t="s">
        <v>120</v>
      </c>
    </row>
    <row r="2352" spans="1:118">
      <c r="A2352" t="str">
        <f>"301020"</f>
        <v>301020</v>
      </c>
      <c r="B2352" t="s">
        <v>11025</v>
      </c>
      <c r="C2352">
        <v>-5.19</v>
      </c>
      <c r="D2352">
        <v>-0.06</v>
      </c>
      <c r="E2352">
        <v>0.4</v>
      </c>
      <c r="F2352">
        <v>243</v>
      </c>
      <c r="G2352" t="s">
        <v>6004</v>
      </c>
      <c r="H2352">
        <v>9856.5499999999993</v>
      </c>
      <c r="I2352">
        <v>37.08</v>
      </c>
      <c r="J2352" t="s">
        <v>120</v>
      </c>
      <c r="K2352" t="s">
        <v>6004</v>
      </c>
      <c r="L2352">
        <v>9.65</v>
      </c>
      <c r="M2352">
        <v>28.7</v>
      </c>
      <c r="N2352">
        <v>0.96</v>
      </c>
      <c r="O2352">
        <v>0.4</v>
      </c>
      <c r="P2352">
        <v>30.39</v>
      </c>
      <c r="Q2352">
        <v>-5.25</v>
      </c>
      <c r="R2352">
        <v>28.68</v>
      </c>
      <c r="S2352">
        <v>30.39</v>
      </c>
      <c r="T2352">
        <v>33512</v>
      </c>
      <c r="U2352">
        <v>28.71</v>
      </c>
      <c r="V2352">
        <v>30.27</v>
      </c>
      <c r="W2352">
        <v>32.43</v>
      </c>
      <c r="X2352" t="s">
        <v>959</v>
      </c>
      <c r="Y2352" t="s">
        <v>638</v>
      </c>
      <c r="Z2352">
        <v>5.65</v>
      </c>
      <c r="AA2352">
        <v>29.41</v>
      </c>
      <c r="AB2352">
        <v>21539</v>
      </c>
      <c r="AC2352">
        <v>11973</v>
      </c>
      <c r="AD2352">
        <v>1.8</v>
      </c>
      <c r="AE2352">
        <v>169</v>
      </c>
      <c r="AF2352">
        <v>20</v>
      </c>
      <c r="AG2352" t="s">
        <v>120</v>
      </c>
      <c r="AH2352">
        <v>0.04</v>
      </c>
      <c r="AI2352" t="s">
        <v>120</v>
      </c>
      <c r="AJ2352">
        <v>0.35</v>
      </c>
      <c r="AK2352" t="s">
        <v>4713</v>
      </c>
      <c r="AL2352">
        <v>-3.27</v>
      </c>
      <c r="AM2352">
        <v>2618</v>
      </c>
      <c r="AN2352">
        <v>13</v>
      </c>
      <c r="AO2352">
        <v>3.7000000000000002E-3</v>
      </c>
      <c r="AP2352">
        <v>-1</v>
      </c>
      <c r="AQ2352">
        <v>2.61</v>
      </c>
      <c r="AR2352">
        <v>-4.37</v>
      </c>
      <c r="AS2352">
        <v>-18.350000000000001</v>
      </c>
      <c r="AT2352">
        <v>169.73</v>
      </c>
      <c r="AU2352">
        <v>169.73</v>
      </c>
      <c r="AV2352">
        <v>1</v>
      </c>
      <c r="AW2352">
        <v>9.65</v>
      </c>
      <c r="AX2352">
        <v>23.71</v>
      </c>
      <c r="AY2352">
        <v>37.479999999999997</v>
      </c>
      <c r="AZ2352">
        <v>43.89</v>
      </c>
      <c r="BA2352">
        <v>0</v>
      </c>
      <c r="BB2352" t="s">
        <v>168</v>
      </c>
      <c r="BF2352">
        <v>-2.84</v>
      </c>
      <c r="BG2352">
        <v>-5.56</v>
      </c>
      <c r="BH2352">
        <v>-5.56</v>
      </c>
      <c r="BI2352">
        <v>7.0000000000000007E-2</v>
      </c>
      <c r="BJ2352">
        <v>20210827</v>
      </c>
      <c r="BK2352">
        <v>20210706</v>
      </c>
      <c r="BL2352">
        <v>1.46</v>
      </c>
      <c r="BM2352" t="s">
        <v>120</v>
      </c>
      <c r="BN2352" t="s">
        <v>120</v>
      </c>
      <c r="BO2352">
        <v>10.79</v>
      </c>
      <c r="BP2352">
        <v>28.7</v>
      </c>
      <c r="BQ2352">
        <v>8.19</v>
      </c>
      <c r="BR2352" t="s">
        <v>120</v>
      </c>
      <c r="BS2352">
        <v>24.08</v>
      </c>
      <c r="BT2352">
        <v>10.029999999999999</v>
      </c>
      <c r="BU2352">
        <v>0.57999999999999996</v>
      </c>
      <c r="BV2352">
        <v>7.0000000000000007E-2</v>
      </c>
      <c r="BW2352">
        <v>2.19</v>
      </c>
      <c r="BX2352">
        <v>5.12</v>
      </c>
      <c r="BY2352">
        <v>0.92</v>
      </c>
      <c r="BZ2352">
        <v>1.71</v>
      </c>
      <c r="CA2352">
        <v>0</v>
      </c>
      <c r="CB2352">
        <v>3.33</v>
      </c>
      <c r="CC2352">
        <v>2.95</v>
      </c>
      <c r="CD2352">
        <v>1.69</v>
      </c>
      <c r="CE2352">
        <v>0.76</v>
      </c>
      <c r="CF2352">
        <v>0.01</v>
      </c>
      <c r="CG2352">
        <v>0.77</v>
      </c>
      <c r="CH2352">
        <v>0.65</v>
      </c>
      <c r="CI2352">
        <v>0.65</v>
      </c>
      <c r="CJ2352">
        <v>-1.57</v>
      </c>
      <c r="CK2352">
        <v>0.63</v>
      </c>
      <c r="CL2352">
        <v>2.99</v>
      </c>
      <c r="CM2352">
        <v>0.67</v>
      </c>
      <c r="CN2352">
        <v>3.83</v>
      </c>
      <c r="CO2352">
        <v>41920</v>
      </c>
      <c r="CP2352">
        <v>828</v>
      </c>
      <c r="CQ2352" t="s">
        <v>4162</v>
      </c>
      <c r="CR2352">
        <v>0</v>
      </c>
      <c r="CS2352">
        <v>0</v>
      </c>
      <c r="CT2352">
        <v>5.13</v>
      </c>
      <c r="CU2352">
        <v>63.01</v>
      </c>
      <c r="CV2352">
        <v>14.24</v>
      </c>
      <c r="CW2352">
        <v>0</v>
      </c>
      <c r="CX2352" t="s">
        <v>597</v>
      </c>
      <c r="CY2352">
        <v>5.6</v>
      </c>
      <c r="CZ2352">
        <v>0</v>
      </c>
      <c r="DA2352">
        <v>2.2799999999999998</v>
      </c>
      <c r="DB2352">
        <v>2.0499999999999998</v>
      </c>
      <c r="DC2352">
        <v>0.46</v>
      </c>
      <c r="DD2352">
        <v>75.92</v>
      </c>
      <c r="DE2352" t="s">
        <v>11026</v>
      </c>
      <c r="DF2352">
        <v>42.65</v>
      </c>
      <c r="DG2352">
        <v>25.92</v>
      </c>
      <c r="DH2352">
        <v>21.96</v>
      </c>
      <c r="DI2352">
        <v>0.11</v>
      </c>
      <c r="DJ2352">
        <v>475</v>
      </c>
      <c r="DK2352">
        <v>301020</v>
      </c>
      <c r="DL2352" t="s">
        <v>120</v>
      </c>
      <c r="DM2352" t="s">
        <v>120</v>
      </c>
      <c r="DN2352" t="s">
        <v>120</v>
      </c>
    </row>
    <row r="2353" spans="1:118">
      <c r="A2353" t="str">
        <f>"301021"</f>
        <v>301021</v>
      </c>
      <c r="B2353" t="s">
        <v>11027</v>
      </c>
      <c r="C2353">
        <v>-4.28</v>
      </c>
      <c r="D2353">
        <v>-0.01</v>
      </c>
      <c r="E2353">
        <v>-1.39</v>
      </c>
      <c r="F2353">
        <v>276</v>
      </c>
      <c r="G2353" t="s">
        <v>11028</v>
      </c>
      <c r="H2353">
        <v>10500.52</v>
      </c>
      <c r="I2353">
        <v>135.1</v>
      </c>
      <c r="J2353" t="s">
        <v>120</v>
      </c>
      <c r="K2353" t="s">
        <v>11028</v>
      </c>
      <c r="L2353">
        <v>7.6</v>
      </c>
      <c r="M2353">
        <v>42.03</v>
      </c>
      <c r="N2353">
        <v>1.35</v>
      </c>
      <c r="O2353">
        <v>-0.05</v>
      </c>
      <c r="P2353">
        <v>43.89</v>
      </c>
      <c r="Q2353">
        <v>-4.51</v>
      </c>
      <c r="R2353">
        <v>41.93</v>
      </c>
      <c r="S2353">
        <v>43.3</v>
      </c>
      <c r="T2353">
        <v>24653</v>
      </c>
      <c r="U2353">
        <v>42.04</v>
      </c>
      <c r="V2353">
        <v>43.91</v>
      </c>
      <c r="W2353">
        <v>78.77</v>
      </c>
      <c r="X2353" t="s">
        <v>229</v>
      </c>
      <c r="Y2353" t="s">
        <v>123</v>
      </c>
      <c r="Z2353">
        <v>4.46</v>
      </c>
      <c r="AA2353">
        <v>42.59</v>
      </c>
      <c r="AB2353">
        <v>15350</v>
      </c>
      <c r="AC2353">
        <v>9303</v>
      </c>
      <c r="AD2353">
        <v>1.65</v>
      </c>
      <c r="AE2353">
        <v>166</v>
      </c>
      <c r="AF2353">
        <v>53</v>
      </c>
      <c r="AG2353" t="s">
        <v>120</v>
      </c>
      <c r="AH2353">
        <v>0.1</v>
      </c>
      <c r="AI2353" t="s">
        <v>120</v>
      </c>
      <c r="AJ2353">
        <v>0.32</v>
      </c>
      <c r="AK2353" t="s">
        <v>2476</v>
      </c>
      <c r="AL2353">
        <v>-2.37</v>
      </c>
      <c r="AM2353">
        <v>2031</v>
      </c>
      <c r="AN2353">
        <v>12</v>
      </c>
      <c r="AO2353">
        <v>3.7000000000000002E-3</v>
      </c>
      <c r="AP2353">
        <v>-1</v>
      </c>
      <c r="AQ2353">
        <v>1.9</v>
      </c>
      <c r="AR2353">
        <v>-2.38</v>
      </c>
      <c r="AS2353">
        <v>-10.88</v>
      </c>
      <c r="AT2353">
        <v>344.29</v>
      </c>
      <c r="AU2353">
        <v>344.29</v>
      </c>
      <c r="AV2353">
        <v>1</v>
      </c>
      <c r="AW2353">
        <v>7.6</v>
      </c>
      <c r="AX2353">
        <v>21.38</v>
      </c>
      <c r="AY2353">
        <v>73.739999999999995</v>
      </c>
      <c r="AZ2353">
        <v>101.55</v>
      </c>
      <c r="BA2353">
        <v>0</v>
      </c>
      <c r="BB2353" t="s">
        <v>143</v>
      </c>
      <c r="BF2353">
        <v>-3</v>
      </c>
      <c r="BG2353">
        <v>-2.93</v>
      </c>
      <c r="BH2353">
        <v>-4.24</v>
      </c>
      <c r="BI2353">
        <v>0.24</v>
      </c>
      <c r="BJ2353">
        <v>20210828</v>
      </c>
      <c r="BK2353">
        <v>20210706</v>
      </c>
      <c r="BL2353">
        <v>1.52</v>
      </c>
      <c r="BM2353" t="s">
        <v>120</v>
      </c>
      <c r="BN2353" t="s">
        <v>120</v>
      </c>
      <c r="BO2353">
        <v>11.33</v>
      </c>
      <c r="BP2353">
        <v>42.03</v>
      </c>
      <c r="BQ2353">
        <v>9.41</v>
      </c>
      <c r="BR2353">
        <v>0.02</v>
      </c>
      <c r="BS2353">
        <v>16.760000000000002</v>
      </c>
      <c r="BT2353">
        <v>8.74</v>
      </c>
      <c r="BU2353">
        <v>1.49</v>
      </c>
      <c r="BV2353">
        <v>0.11</v>
      </c>
      <c r="BW2353">
        <v>1.69</v>
      </c>
      <c r="BX2353">
        <v>4.59</v>
      </c>
      <c r="BY2353">
        <v>1.86</v>
      </c>
      <c r="BZ2353">
        <v>1.76</v>
      </c>
      <c r="CA2353">
        <v>0.01</v>
      </c>
      <c r="CB2353">
        <v>5.04</v>
      </c>
      <c r="CC2353">
        <v>2.0299999999999998</v>
      </c>
      <c r="CD2353">
        <v>0.94</v>
      </c>
      <c r="CE2353">
        <v>0.47</v>
      </c>
      <c r="CF2353">
        <v>0</v>
      </c>
      <c r="CG2353">
        <v>0.48</v>
      </c>
      <c r="CH2353">
        <v>0.42</v>
      </c>
      <c r="CI2353">
        <v>0.4</v>
      </c>
      <c r="CJ2353">
        <v>-1.88</v>
      </c>
      <c r="CK2353">
        <v>0.26</v>
      </c>
      <c r="CL2353">
        <v>2.65</v>
      </c>
      <c r="CM2353">
        <v>-0.01</v>
      </c>
      <c r="CN2353">
        <v>2.68</v>
      </c>
      <c r="CO2353">
        <v>40675</v>
      </c>
      <c r="CP2353">
        <v>797</v>
      </c>
      <c r="CQ2353" t="s">
        <v>2591</v>
      </c>
      <c r="CR2353">
        <v>0</v>
      </c>
      <c r="CS2353">
        <v>0</v>
      </c>
      <c r="CT2353">
        <v>6.77</v>
      </c>
      <c r="CU2353">
        <v>-6979.46</v>
      </c>
      <c r="CV2353">
        <v>31.44</v>
      </c>
      <c r="CW2353">
        <v>0</v>
      </c>
      <c r="CX2353" t="s">
        <v>472</v>
      </c>
      <c r="CY2353">
        <v>6.2</v>
      </c>
      <c r="CZ2353">
        <v>0</v>
      </c>
      <c r="DA2353">
        <v>3.33</v>
      </c>
      <c r="DB2353">
        <v>1.75</v>
      </c>
      <c r="DC2353">
        <v>-0.01</v>
      </c>
      <c r="DD2353">
        <v>83.03</v>
      </c>
      <c r="DE2353" t="s">
        <v>574</v>
      </c>
      <c r="DF2353">
        <v>53.63</v>
      </c>
      <c r="DG2353">
        <v>23.29</v>
      </c>
      <c r="DH2353">
        <v>19.96</v>
      </c>
      <c r="DI2353">
        <v>0.26</v>
      </c>
      <c r="DJ2353">
        <v>330</v>
      </c>
      <c r="DK2353">
        <v>301021</v>
      </c>
      <c r="DL2353" t="s">
        <v>120</v>
      </c>
      <c r="DM2353" t="s">
        <v>120</v>
      </c>
      <c r="DN2353" t="s">
        <v>120</v>
      </c>
    </row>
    <row r="2354" spans="1:118">
      <c r="A2354" t="str">
        <f>"301022"</f>
        <v>301022</v>
      </c>
      <c r="B2354" t="s">
        <v>11029</v>
      </c>
      <c r="C2354">
        <v>-2.3199999999999998</v>
      </c>
      <c r="D2354">
        <v>-0.02</v>
      </c>
      <c r="E2354">
        <v>0</v>
      </c>
      <c r="F2354">
        <v>157</v>
      </c>
      <c r="G2354" t="s">
        <v>11030</v>
      </c>
      <c r="H2354">
        <v>2691.18</v>
      </c>
      <c r="I2354">
        <v>0</v>
      </c>
      <c r="J2354" t="s">
        <v>120</v>
      </c>
      <c r="K2354" t="s">
        <v>11030</v>
      </c>
      <c r="L2354">
        <v>4.34</v>
      </c>
      <c r="M2354">
        <v>38.39</v>
      </c>
      <c r="N2354">
        <v>0.56000000000000005</v>
      </c>
      <c r="O2354">
        <v>0.71</v>
      </c>
      <c r="P2354">
        <v>39.58</v>
      </c>
      <c r="Q2354">
        <v>-2.3199999999999998</v>
      </c>
      <c r="R2354">
        <v>38.39</v>
      </c>
      <c r="S2354">
        <v>39.299999999999997</v>
      </c>
      <c r="T2354">
        <v>6938</v>
      </c>
      <c r="U2354">
        <v>38.39</v>
      </c>
      <c r="V2354">
        <v>39.299999999999997</v>
      </c>
      <c r="W2354">
        <v>38.869999999999997</v>
      </c>
      <c r="X2354" t="s">
        <v>675</v>
      </c>
      <c r="Y2354" t="s">
        <v>638</v>
      </c>
      <c r="Z2354">
        <v>3.03</v>
      </c>
      <c r="AA2354">
        <v>38.79</v>
      </c>
      <c r="AB2354">
        <v>4861</v>
      </c>
      <c r="AC2354">
        <v>2077</v>
      </c>
      <c r="AD2354">
        <v>2.34</v>
      </c>
      <c r="AE2354">
        <v>9</v>
      </c>
      <c r="AF2354">
        <v>92</v>
      </c>
      <c r="AG2354" t="s">
        <v>120</v>
      </c>
      <c r="AH2354">
        <v>0</v>
      </c>
      <c r="AI2354" t="s">
        <v>120</v>
      </c>
      <c r="AJ2354">
        <v>0.16</v>
      </c>
      <c r="AK2354" t="s">
        <v>10955</v>
      </c>
      <c r="AL2354">
        <v>-0.4</v>
      </c>
      <c r="AM2354">
        <v>840</v>
      </c>
      <c r="AN2354">
        <v>8</v>
      </c>
      <c r="AO2354">
        <v>5.1999999999999998E-3</v>
      </c>
      <c r="AP2354">
        <v>-1</v>
      </c>
      <c r="AQ2354">
        <v>0.13</v>
      </c>
      <c r="AR2354">
        <v>-5.04</v>
      </c>
      <c r="AS2354">
        <v>-8.33</v>
      </c>
      <c r="AT2354">
        <v>18.89</v>
      </c>
      <c r="AU2354">
        <v>18.89</v>
      </c>
      <c r="AV2354">
        <v>0</v>
      </c>
      <c r="AW2354">
        <v>4.34</v>
      </c>
      <c r="AX2354">
        <v>25</v>
      </c>
      <c r="AY2354">
        <v>35.94</v>
      </c>
      <c r="AZ2354">
        <v>36.79</v>
      </c>
      <c r="BA2354">
        <v>0</v>
      </c>
      <c r="BB2354" t="s">
        <v>143</v>
      </c>
      <c r="BF2354">
        <v>-1.3</v>
      </c>
      <c r="BG2354">
        <v>-2.3199999999999998</v>
      </c>
      <c r="BH2354">
        <v>-3.01</v>
      </c>
      <c r="BI2354">
        <v>0</v>
      </c>
      <c r="BJ2354">
        <v>20210914</v>
      </c>
      <c r="BK2354">
        <v>20210702</v>
      </c>
      <c r="BL2354">
        <v>0.64</v>
      </c>
      <c r="BM2354" t="s">
        <v>120</v>
      </c>
      <c r="BN2354" t="s">
        <v>120</v>
      </c>
      <c r="BO2354">
        <v>12.69</v>
      </c>
      <c r="BP2354">
        <v>38.380000000000003</v>
      </c>
      <c r="BQ2354">
        <v>8.32</v>
      </c>
      <c r="BR2354" t="s">
        <v>120</v>
      </c>
      <c r="BS2354">
        <v>34.47</v>
      </c>
      <c r="BT2354">
        <v>10.68</v>
      </c>
      <c r="BU2354">
        <v>1.58</v>
      </c>
      <c r="BV2354">
        <v>0.23</v>
      </c>
      <c r="BW2354">
        <v>4.17</v>
      </c>
      <c r="BX2354">
        <v>5.58</v>
      </c>
      <c r="BY2354">
        <v>2.94</v>
      </c>
      <c r="BZ2354">
        <v>1.94</v>
      </c>
      <c r="CA2354" t="s">
        <v>120</v>
      </c>
      <c r="CB2354">
        <v>5.56</v>
      </c>
      <c r="CC2354">
        <v>2.93</v>
      </c>
      <c r="CD2354">
        <v>2.23</v>
      </c>
      <c r="CE2354">
        <v>0.37</v>
      </c>
      <c r="CF2354">
        <v>0</v>
      </c>
      <c r="CG2354">
        <v>0.37</v>
      </c>
      <c r="CH2354">
        <v>0.32</v>
      </c>
      <c r="CI2354">
        <v>0.32</v>
      </c>
      <c r="CJ2354">
        <v>-0.91</v>
      </c>
      <c r="CK2354">
        <v>0.27</v>
      </c>
      <c r="CL2354">
        <v>2.08</v>
      </c>
      <c r="CM2354">
        <v>0.46</v>
      </c>
      <c r="CN2354">
        <v>4.84</v>
      </c>
      <c r="CO2354">
        <v>13550</v>
      </c>
      <c r="CP2354">
        <v>1181</v>
      </c>
      <c r="CQ2354" t="s">
        <v>11031</v>
      </c>
      <c r="CR2354">
        <v>0</v>
      </c>
      <c r="CS2354">
        <v>0</v>
      </c>
      <c r="CT2354">
        <v>2.95</v>
      </c>
      <c r="CU2354">
        <v>53.21</v>
      </c>
      <c r="CV2354">
        <v>8.3800000000000008</v>
      </c>
      <c r="CW2354">
        <v>0</v>
      </c>
      <c r="CX2354" t="s">
        <v>2533</v>
      </c>
      <c r="CY2354">
        <v>13</v>
      </c>
      <c r="CZ2354">
        <v>0</v>
      </c>
      <c r="DA2354">
        <v>8.69</v>
      </c>
      <c r="DB2354">
        <v>3.25</v>
      </c>
      <c r="DC2354">
        <v>0.72</v>
      </c>
      <c r="DD2354">
        <v>65.53</v>
      </c>
      <c r="DE2354" t="s">
        <v>8945</v>
      </c>
      <c r="DF2354">
        <v>24.07</v>
      </c>
      <c r="DG2354">
        <v>12.79</v>
      </c>
      <c r="DH2354">
        <v>10.78</v>
      </c>
      <c r="DI2354">
        <v>0.09</v>
      </c>
      <c r="DJ2354">
        <v>526</v>
      </c>
      <c r="DK2354">
        <v>301022</v>
      </c>
      <c r="DL2354" t="s">
        <v>120</v>
      </c>
      <c r="DM2354" t="s">
        <v>120</v>
      </c>
      <c r="DN2354" t="s">
        <v>120</v>
      </c>
    </row>
    <row r="2355" spans="1:118">
      <c r="A2355" t="str">
        <f>"301023"</f>
        <v>301023</v>
      </c>
      <c r="B2355" t="s">
        <v>11032</v>
      </c>
      <c r="C2355">
        <v>-2.46</v>
      </c>
      <c r="D2355">
        <v>-0.03</v>
      </c>
      <c r="E2355">
        <v>-0.31</v>
      </c>
      <c r="F2355">
        <v>64</v>
      </c>
      <c r="G2355" t="s">
        <v>10735</v>
      </c>
      <c r="H2355">
        <v>3240.94</v>
      </c>
      <c r="I2355">
        <v>0</v>
      </c>
      <c r="J2355" t="s">
        <v>120</v>
      </c>
      <c r="K2355" t="s">
        <v>10735</v>
      </c>
      <c r="L2355">
        <v>4.82</v>
      </c>
      <c r="M2355">
        <v>71.33</v>
      </c>
      <c r="N2355">
        <v>0.59</v>
      </c>
      <c r="O2355">
        <v>-0.3</v>
      </c>
      <c r="P2355">
        <v>72.91</v>
      </c>
      <c r="Q2355">
        <v>-2.4900000000000002</v>
      </c>
      <c r="R2355">
        <v>71.31</v>
      </c>
      <c r="S2355">
        <v>72.900000000000006</v>
      </c>
      <c r="T2355">
        <v>4499</v>
      </c>
      <c r="U2355">
        <v>71.33</v>
      </c>
      <c r="V2355">
        <v>73.13</v>
      </c>
      <c r="W2355">
        <v>43.84</v>
      </c>
      <c r="X2355" t="s">
        <v>394</v>
      </c>
      <c r="Y2355" t="s">
        <v>319</v>
      </c>
      <c r="Z2355">
        <v>2.19</v>
      </c>
      <c r="AA2355">
        <v>72.040000000000006</v>
      </c>
      <c r="AB2355">
        <v>3117</v>
      </c>
      <c r="AC2355">
        <v>1382</v>
      </c>
      <c r="AD2355">
        <v>2.2599999999999998</v>
      </c>
      <c r="AE2355">
        <v>4</v>
      </c>
      <c r="AF2355">
        <v>33</v>
      </c>
      <c r="AG2355" t="s">
        <v>120</v>
      </c>
      <c r="AH2355">
        <v>0</v>
      </c>
      <c r="AI2355" t="s">
        <v>120</v>
      </c>
      <c r="AJ2355">
        <v>0.09</v>
      </c>
      <c r="AK2355" t="s">
        <v>3421</v>
      </c>
      <c r="AL2355">
        <v>-0.55000000000000004</v>
      </c>
      <c r="AM2355">
        <v>857</v>
      </c>
      <c r="AN2355">
        <v>5</v>
      </c>
      <c r="AO2355">
        <v>5.5999999999999999E-3</v>
      </c>
      <c r="AP2355">
        <v>-1</v>
      </c>
      <c r="AQ2355">
        <v>0.1</v>
      </c>
      <c r="AR2355">
        <v>-3.14</v>
      </c>
      <c r="AS2355">
        <v>-14.76</v>
      </c>
      <c r="AT2355">
        <v>22.33</v>
      </c>
      <c r="AU2355">
        <v>22.33</v>
      </c>
      <c r="AV2355">
        <v>0</v>
      </c>
      <c r="AW2355">
        <v>4.82</v>
      </c>
      <c r="AX2355">
        <v>25</v>
      </c>
      <c r="AY2355">
        <v>39.97</v>
      </c>
      <c r="AZ2355">
        <v>40.21</v>
      </c>
      <c r="BA2355">
        <v>0</v>
      </c>
      <c r="BB2355" t="s">
        <v>143</v>
      </c>
      <c r="BF2355">
        <v>-1.49</v>
      </c>
      <c r="BG2355">
        <v>-2.15</v>
      </c>
      <c r="BH2355">
        <v>-2.17</v>
      </c>
      <c r="BI2355">
        <v>0.03</v>
      </c>
      <c r="BJ2355">
        <v>20210830</v>
      </c>
      <c r="BK2355">
        <v>20210707</v>
      </c>
      <c r="BL2355">
        <v>0.37</v>
      </c>
      <c r="BM2355" t="s">
        <v>120</v>
      </c>
      <c r="BN2355" t="s">
        <v>120</v>
      </c>
      <c r="BO2355">
        <v>3.65</v>
      </c>
      <c r="BP2355">
        <v>71.319999999999993</v>
      </c>
      <c r="BQ2355">
        <v>2.93</v>
      </c>
      <c r="BR2355" t="s">
        <v>120</v>
      </c>
      <c r="BS2355">
        <v>19.670000000000002</v>
      </c>
      <c r="BT2355">
        <v>3.02</v>
      </c>
      <c r="BU2355">
        <v>0.25</v>
      </c>
      <c r="BV2355">
        <v>0.21</v>
      </c>
      <c r="BW2355">
        <v>0.71</v>
      </c>
      <c r="BX2355">
        <v>1.35</v>
      </c>
      <c r="BY2355">
        <v>0.21</v>
      </c>
      <c r="BZ2355">
        <v>0.75</v>
      </c>
      <c r="CA2355" t="s">
        <v>120</v>
      </c>
      <c r="CB2355">
        <v>0.04</v>
      </c>
      <c r="CC2355">
        <v>0.95</v>
      </c>
      <c r="CD2355">
        <v>0.5</v>
      </c>
      <c r="CE2355">
        <v>0.35</v>
      </c>
      <c r="CF2355">
        <v>0.01</v>
      </c>
      <c r="CG2355">
        <v>0.35</v>
      </c>
      <c r="CH2355">
        <v>0.3</v>
      </c>
      <c r="CI2355">
        <v>0.3</v>
      </c>
      <c r="CJ2355">
        <v>-1.8</v>
      </c>
      <c r="CK2355">
        <v>0.28999999999999998</v>
      </c>
      <c r="CL2355">
        <v>2.4500000000000002</v>
      </c>
      <c r="CM2355">
        <v>0.21</v>
      </c>
      <c r="CN2355">
        <v>0.97</v>
      </c>
      <c r="CO2355">
        <v>18672</v>
      </c>
      <c r="CP2355">
        <v>500</v>
      </c>
      <c r="CQ2355" t="s">
        <v>2224</v>
      </c>
      <c r="CR2355">
        <v>0</v>
      </c>
      <c r="CS2355">
        <v>0</v>
      </c>
      <c r="CT2355">
        <v>3.41</v>
      </c>
      <c r="CU2355">
        <v>124.9</v>
      </c>
      <c r="CV2355">
        <v>28</v>
      </c>
      <c r="CW2355">
        <v>0.27</v>
      </c>
      <c r="CX2355" t="s">
        <v>11033</v>
      </c>
      <c r="CY2355">
        <v>20.89</v>
      </c>
      <c r="CZ2355">
        <v>20.89</v>
      </c>
      <c r="DA2355">
        <v>0.11</v>
      </c>
      <c r="DB2355">
        <v>6.56</v>
      </c>
      <c r="DC2355">
        <v>0.56999999999999995</v>
      </c>
      <c r="DD2355">
        <v>80.33</v>
      </c>
      <c r="DE2355" t="s">
        <v>3722</v>
      </c>
      <c r="DF2355">
        <v>47.29</v>
      </c>
      <c r="DG2355">
        <v>36.74</v>
      </c>
      <c r="DH2355">
        <v>31.93</v>
      </c>
      <c r="DI2355">
        <v>0.05</v>
      </c>
      <c r="DJ2355">
        <v>260</v>
      </c>
      <c r="DK2355">
        <v>301023</v>
      </c>
      <c r="DL2355" t="s">
        <v>120</v>
      </c>
      <c r="DM2355" t="s">
        <v>120</v>
      </c>
      <c r="DN2355" t="s">
        <v>120</v>
      </c>
    </row>
    <row r="2356" spans="1:118">
      <c r="A2356" t="str">
        <f>"301024"</f>
        <v>301024</v>
      </c>
      <c r="B2356" t="s">
        <v>11034</v>
      </c>
      <c r="C2356">
        <v>-0.94</v>
      </c>
      <c r="D2356">
        <v>-0.05</v>
      </c>
      <c r="E2356">
        <v>-0.08</v>
      </c>
      <c r="F2356">
        <v>54</v>
      </c>
      <c r="G2356" t="s">
        <v>11035</v>
      </c>
      <c r="H2356">
        <v>2178.54</v>
      </c>
      <c r="I2356">
        <v>4</v>
      </c>
      <c r="J2356" t="s">
        <v>120</v>
      </c>
      <c r="K2356" t="s">
        <v>11035</v>
      </c>
      <c r="L2356">
        <v>4.13</v>
      </c>
      <c r="M2356">
        <v>49.56</v>
      </c>
      <c r="N2356">
        <v>1.1399999999999999</v>
      </c>
      <c r="O2356">
        <v>0.26</v>
      </c>
      <c r="P2356">
        <v>50.16</v>
      </c>
      <c r="Q2356">
        <v>-1.1599999999999999</v>
      </c>
      <c r="R2356">
        <v>49.45</v>
      </c>
      <c r="S2356">
        <v>49.99</v>
      </c>
      <c r="T2356">
        <v>4376</v>
      </c>
      <c r="U2356">
        <v>49.58</v>
      </c>
      <c r="V2356">
        <v>50.03</v>
      </c>
      <c r="W2356">
        <v>30.18</v>
      </c>
      <c r="X2356" t="s">
        <v>175</v>
      </c>
      <c r="Y2356" t="s">
        <v>1510</v>
      </c>
      <c r="Z2356">
        <v>1.42</v>
      </c>
      <c r="AA2356">
        <v>49.78</v>
      </c>
      <c r="AB2356">
        <v>2874</v>
      </c>
      <c r="AC2356">
        <v>1502</v>
      </c>
      <c r="AD2356">
        <v>1.91</v>
      </c>
      <c r="AE2356">
        <v>6</v>
      </c>
      <c r="AF2356">
        <v>7</v>
      </c>
      <c r="AG2356" t="s">
        <v>120</v>
      </c>
      <c r="AH2356">
        <v>0.01</v>
      </c>
      <c r="AI2356" t="s">
        <v>120</v>
      </c>
      <c r="AJ2356">
        <v>0.11</v>
      </c>
      <c r="AK2356" t="s">
        <v>214</v>
      </c>
      <c r="AL2356">
        <v>0.97</v>
      </c>
      <c r="AM2356">
        <v>761</v>
      </c>
      <c r="AN2356">
        <v>6</v>
      </c>
      <c r="AO2356">
        <v>5.4000000000000003E-3</v>
      </c>
      <c r="AP2356">
        <v>-1</v>
      </c>
      <c r="AQ2356">
        <v>0.87</v>
      </c>
      <c r="AR2356">
        <v>-0.34</v>
      </c>
      <c r="AS2356">
        <v>-8.91</v>
      </c>
      <c r="AT2356">
        <v>2.14</v>
      </c>
      <c r="AU2356">
        <v>2.14</v>
      </c>
      <c r="AV2356">
        <v>0</v>
      </c>
      <c r="AW2356">
        <v>4.13</v>
      </c>
      <c r="AX2356">
        <v>25.01</v>
      </c>
      <c r="AY2356">
        <v>28.54</v>
      </c>
      <c r="AZ2356">
        <v>29.08</v>
      </c>
      <c r="BA2356">
        <v>0</v>
      </c>
      <c r="BB2356" t="s">
        <v>143</v>
      </c>
      <c r="BF2356">
        <v>-0.5</v>
      </c>
      <c r="BG2356">
        <v>-0.86</v>
      </c>
      <c r="BH2356">
        <v>-1.2</v>
      </c>
      <c r="BI2356">
        <v>0.22</v>
      </c>
      <c r="BJ2356">
        <v>20210830</v>
      </c>
      <c r="BK2356">
        <v>20210728</v>
      </c>
      <c r="BL2356">
        <v>0.42</v>
      </c>
      <c r="BM2356" t="s">
        <v>120</v>
      </c>
      <c r="BN2356" t="s">
        <v>120</v>
      </c>
      <c r="BO2356">
        <v>4.62</v>
      </c>
      <c r="BP2356">
        <v>49.56</v>
      </c>
      <c r="BQ2356">
        <v>3.56</v>
      </c>
      <c r="BR2356" t="s">
        <v>120</v>
      </c>
      <c r="BS2356">
        <v>22.82</v>
      </c>
      <c r="BT2356">
        <v>4.01</v>
      </c>
      <c r="BU2356">
        <v>0.08</v>
      </c>
      <c r="BV2356">
        <v>0.01</v>
      </c>
      <c r="BW2356">
        <v>0.85</v>
      </c>
      <c r="BX2356">
        <v>0.19</v>
      </c>
      <c r="BY2356">
        <v>0</v>
      </c>
      <c r="BZ2356">
        <v>3.62</v>
      </c>
      <c r="CA2356" t="s">
        <v>120</v>
      </c>
      <c r="CB2356">
        <v>0.96</v>
      </c>
      <c r="CC2356">
        <v>1.59</v>
      </c>
      <c r="CD2356">
        <v>0.82</v>
      </c>
      <c r="CE2356">
        <v>0.4</v>
      </c>
      <c r="CF2356">
        <v>0</v>
      </c>
      <c r="CG2356">
        <v>0.4</v>
      </c>
      <c r="CH2356">
        <v>0.35</v>
      </c>
      <c r="CI2356">
        <v>0.35</v>
      </c>
      <c r="CJ2356">
        <v>-0.47</v>
      </c>
      <c r="CK2356">
        <v>0.33</v>
      </c>
      <c r="CL2356">
        <v>2.1</v>
      </c>
      <c r="CM2356">
        <v>-0.45</v>
      </c>
      <c r="CN2356">
        <v>-0.22</v>
      </c>
      <c r="CO2356">
        <v>21204</v>
      </c>
      <c r="CP2356">
        <v>500</v>
      </c>
      <c r="CQ2356" t="s">
        <v>2346</v>
      </c>
      <c r="CR2356">
        <v>0</v>
      </c>
      <c r="CS2356">
        <v>0</v>
      </c>
      <c r="CT2356">
        <v>2.57</v>
      </c>
      <c r="CU2356">
        <v>-46.64</v>
      </c>
      <c r="CV2356">
        <v>13.24</v>
      </c>
      <c r="CW2356">
        <v>0</v>
      </c>
      <c r="CX2356" t="s">
        <v>1953</v>
      </c>
      <c r="CY2356">
        <v>19.309999999999999</v>
      </c>
      <c r="CZ2356">
        <v>19.309999999999999</v>
      </c>
      <c r="DA2356">
        <v>2.2599999999999998</v>
      </c>
      <c r="DB2356">
        <v>4.96</v>
      </c>
      <c r="DC2356">
        <v>-1.06</v>
      </c>
      <c r="DD2356">
        <v>77.180000000000007</v>
      </c>
      <c r="DE2356" t="s">
        <v>4867</v>
      </c>
      <c r="DF2356">
        <v>48.48</v>
      </c>
      <c r="DG2356">
        <v>25.28</v>
      </c>
      <c r="DH2356">
        <v>21.94</v>
      </c>
      <c r="DI2356">
        <v>0.09</v>
      </c>
      <c r="DJ2356">
        <v>475</v>
      </c>
      <c r="DK2356">
        <v>301024</v>
      </c>
      <c r="DL2356" t="s">
        <v>120</v>
      </c>
      <c r="DM2356" t="s">
        <v>120</v>
      </c>
      <c r="DN2356" t="s">
        <v>120</v>
      </c>
    </row>
    <row r="2357" spans="1:118">
      <c r="A2357" t="str">
        <f>"301025"</f>
        <v>301025</v>
      </c>
      <c r="B2357" t="s">
        <v>11036</v>
      </c>
      <c r="C2357">
        <v>-2.96</v>
      </c>
      <c r="D2357">
        <v>0</v>
      </c>
      <c r="E2357">
        <v>-1.73</v>
      </c>
      <c r="F2357">
        <v>1144</v>
      </c>
      <c r="G2357" t="s">
        <v>11037</v>
      </c>
      <c r="H2357">
        <v>7931.71</v>
      </c>
      <c r="I2357">
        <v>110.33</v>
      </c>
      <c r="J2357" t="s">
        <v>120</v>
      </c>
      <c r="K2357" t="s">
        <v>11037</v>
      </c>
      <c r="L2357">
        <v>13.14</v>
      </c>
      <c r="M2357">
        <v>15.72</v>
      </c>
      <c r="N2357">
        <v>1.08</v>
      </c>
      <c r="O2357">
        <v>1.85</v>
      </c>
      <c r="P2357">
        <v>16.5</v>
      </c>
      <c r="Q2357">
        <v>-3.02</v>
      </c>
      <c r="R2357">
        <v>15.71</v>
      </c>
      <c r="S2357">
        <v>15.92</v>
      </c>
      <c r="T2357">
        <v>49359</v>
      </c>
      <c r="U2357">
        <v>15.75</v>
      </c>
      <c r="V2357">
        <v>16.2</v>
      </c>
      <c r="W2357">
        <v>114.7</v>
      </c>
      <c r="X2357" t="s">
        <v>1730</v>
      </c>
      <c r="Y2357" t="s">
        <v>1510</v>
      </c>
      <c r="Z2357">
        <v>4.88</v>
      </c>
      <c r="AA2357">
        <v>16.07</v>
      </c>
      <c r="AB2357">
        <v>27376</v>
      </c>
      <c r="AC2357">
        <v>21983</v>
      </c>
      <c r="AD2357">
        <v>1.25</v>
      </c>
      <c r="AE2357">
        <v>1052</v>
      </c>
      <c r="AF2357">
        <v>154</v>
      </c>
      <c r="AG2357" t="s">
        <v>120</v>
      </c>
      <c r="AH2357">
        <v>0.18</v>
      </c>
      <c r="AI2357" t="s">
        <v>120</v>
      </c>
      <c r="AJ2357">
        <v>0.38</v>
      </c>
      <c r="AK2357" t="s">
        <v>11038</v>
      </c>
      <c r="AL2357">
        <v>-1.05</v>
      </c>
      <c r="AM2357">
        <v>2021</v>
      </c>
      <c r="AN2357">
        <v>24</v>
      </c>
      <c r="AO2357">
        <v>6.4999999999999997E-3</v>
      </c>
      <c r="AP2357">
        <v>-1</v>
      </c>
      <c r="AQ2357">
        <v>0.68</v>
      </c>
      <c r="AR2357">
        <v>-2.72</v>
      </c>
      <c r="AS2357">
        <v>-29.35</v>
      </c>
      <c r="AT2357">
        <v>914.19</v>
      </c>
      <c r="AU2357">
        <v>914.19</v>
      </c>
      <c r="AV2357">
        <v>2</v>
      </c>
      <c r="AW2357">
        <v>13.14</v>
      </c>
      <c r="AX2357">
        <v>9.39</v>
      </c>
      <c r="AY2357">
        <v>103.26</v>
      </c>
      <c r="AZ2357">
        <v>125.7</v>
      </c>
      <c r="BA2357">
        <v>0</v>
      </c>
      <c r="BB2357" t="s">
        <v>143</v>
      </c>
      <c r="BF2357">
        <v>-0.81</v>
      </c>
      <c r="BG2357">
        <v>-1.26</v>
      </c>
      <c r="BH2357">
        <v>-4.7300000000000004</v>
      </c>
      <c r="BI2357">
        <v>0.06</v>
      </c>
      <c r="BJ2357">
        <v>20210825</v>
      </c>
      <c r="BK2357">
        <v>20210719</v>
      </c>
      <c r="BL2357">
        <v>4</v>
      </c>
      <c r="BM2357" t="s">
        <v>120</v>
      </c>
      <c r="BN2357" t="s">
        <v>120</v>
      </c>
      <c r="BO2357">
        <v>6.8</v>
      </c>
      <c r="BP2357">
        <v>15.72</v>
      </c>
      <c r="BQ2357">
        <v>5.39</v>
      </c>
      <c r="BR2357" t="s">
        <v>120</v>
      </c>
      <c r="BS2357">
        <v>20.65</v>
      </c>
      <c r="BT2357">
        <v>6.21</v>
      </c>
      <c r="BU2357">
        <v>0.05</v>
      </c>
      <c r="BV2357">
        <v>0.01</v>
      </c>
      <c r="BW2357">
        <v>1.22</v>
      </c>
      <c r="BX2357">
        <v>2.2999999999999998</v>
      </c>
      <c r="BY2357">
        <v>1.32</v>
      </c>
      <c r="BZ2357">
        <v>0.97</v>
      </c>
      <c r="CA2357" t="s">
        <v>120</v>
      </c>
      <c r="CB2357">
        <v>0.12</v>
      </c>
      <c r="CC2357">
        <v>2.4</v>
      </c>
      <c r="CD2357">
        <v>1.56</v>
      </c>
      <c r="CE2357">
        <v>0.32</v>
      </c>
      <c r="CF2357">
        <v>0.01</v>
      </c>
      <c r="CG2357">
        <v>0.37</v>
      </c>
      <c r="CH2357">
        <v>0.27</v>
      </c>
      <c r="CI2357">
        <v>0.27</v>
      </c>
      <c r="CJ2357">
        <v>-0.48</v>
      </c>
      <c r="CK2357">
        <v>0.23</v>
      </c>
      <c r="CL2357">
        <v>1.54</v>
      </c>
      <c r="CM2357">
        <v>-0.06</v>
      </c>
      <c r="CN2357">
        <v>-0.64</v>
      </c>
      <c r="CO2357">
        <v>37402</v>
      </c>
      <c r="CP2357">
        <v>1004</v>
      </c>
      <c r="CQ2357" t="s">
        <v>11039</v>
      </c>
      <c r="CR2357">
        <v>0</v>
      </c>
      <c r="CS2357">
        <v>0</v>
      </c>
      <c r="CT2357">
        <v>10.78</v>
      </c>
      <c r="CU2357">
        <v>-1020.95</v>
      </c>
      <c r="CV2357">
        <v>26.24</v>
      </c>
      <c r="CW2357">
        <v>0</v>
      </c>
      <c r="CX2357" t="s">
        <v>535</v>
      </c>
      <c r="CY2357">
        <v>1.46</v>
      </c>
      <c r="CZ2357">
        <v>1.46</v>
      </c>
      <c r="DA2357">
        <v>0.03</v>
      </c>
      <c r="DB2357">
        <v>0.39</v>
      </c>
      <c r="DC2357">
        <v>-0.02</v>
      </c>
      <c r="DD2357">
        <v>79.349999999999994</v>
      </c>
      <c r="DE2357" t="s">
        <v>3677</v>
      </c>
      <c r="DF2357">
        <v>34.86</v>
      </c>
      <c r="DG2357">
        <v>13.2</v>
      </c>
      <c r="DH2357">
        <v>11.44</v>
      </c>
      <c r="DI2357" t="s">
        <v>120</v>
      </c>
      <c r="DJ2357">
        <v>228</v>
      </c>
      <c r="DK2357">
        <v>301025</v>
      </c>
      <c r="DL2357" t="s">
        <v>120</v>
      </c>
      <c r="DM2357" t="s">
        <v>120</v>
      </c>
      <c r="DN2357" t="s">
        <v>120</v>
      </c>
    </row>
    <row r="2358" spans="1:118">
      <c r="A2358" t="str">
        <f>"301026"</f>
        <v>301026</v>
      </c>
      <c r="B2358" t="s">
        <v>11040</v>
      </c>
      <c r="C2358">
        <v>-4.83</v>
      </c>
      <c r="D2358">
        <v>-0.18</v>
      </c>
      <c r="E2358">
        <v>-0.18</v>
      </c>
      <c r="F2358">
        <v>227</v>
      </c>
      <c r="G2358" t="s">
        <v>3285</v>
      </c>
      <c r="H2358">
        <v>40791.14</v>
      </c>
      <c r="I2358">
        <v>1516.2</v>
      </c>
      <c r="J2358" t="s">
        <v>120</v>
      </c>
      <c r="K2358" t="s">
        <v>3285</v>
      </c>
      <c r="L2358">
        <v>19.29</v>
      </c>
      <c r="M2358">
        <v>84</v>
      </c>
      <c r="N2358">
        <v>1.53</v>
      </c>
      <c r="O2358">
        <v>3.78</v>
      </c>
      <c r="P2358">
        <v>91.6</v>
      </c>
      <c r="Q2358">
        <v>-6.74</v>
      </c>
      <c r="R2358">
        <v>82.31</v>
      </c>
      <c r="S2358">
        <v>88.1</v>
      </c>
      <c r="T2358">
        <v>46651</v>
      </c>
      <c r="U2358">
        <v>84.02</v>
      </c>
      <c r="V2358">
        <v>88.26</v>
      </c>
      <c r="W2358">
        <v>27.73</v>
      </c>
      <c r="X2358" t="s">
        <v>1390</v>
      </c>
      <c r="Y2358" t="s">
        <v>319</v>
      </c>
      <c r="Z2358">
        <v>10.53</v>
      </c>
      <c r="AA2358">
        <v>87.44</v>
      </c>
      <c r="AB2358">
        <v>25998</v>
      </c>
      <c r="AC2358">
        <v>20653</v>
      </c>
      <c r="AD2358">
        <v>1.26</v>
      </c>
      <c r="AE2358">
        <v>60</v>
      </c>
      <c r="AF2358">
        <v>2</v>
      </c>
      <c r="AG2358" t="s">
        <v>120</v>
      </c>
      <c r="AH2358">
        <v>0.71</v>
      </c>
      <c r="AI2358" t="s">
        <v>120</v>
      </c>
      <c r="AJ2358">
        <v>0.24</v>
      </c>
      <c r="AK2358" t="s">
        <v>11041</v>
      </c>
      <c r="AL2358">
        <v>-2.91</v>
      </c>
      <c r="AM2358">
        <v>2665</v>
      </c>
      <c r="AN2358">
        <v>18</v>
      </c>
      <c r="AO2358">
        <v>7.1999999999999998E-3</v>
      </c>
      <c r="AP2358">
        <v>-1</v>
      </c>
      <c r="AQ2358">
        <v>6.34</v>
      </c>
      <c r="AR2358">
        <v>6.92</v>
      </c>
      <c r="AS2358">
        <v>3.2</v>
      </c>
      <c r="AT2358">
        <v>365.89</v>
      </c>
      <c r="AU2358">
        <v>365.89</v>
      </c>
      <c r="AV2358">
        <v>0</v>
      </c>
      <c r="AW2358">
        <v>19.29</v>
      </c>
      <c r="AX2358">
        <v>21.33</v>
      </c>
      <c r="AY2358">
        <v>40.68</v>
      </c>
      <c r="AZ2358">
        <v>82.5</v>
      </c>
      <c r="BA2358">
        <v>0</v>
      </c>
      <c r="BB2358" t="s">
        <v>143</v>
      </c>
      <c r="BF2358">
        <v>-0.93</v>
      </c>
      <c r="BG2358">
        <v>-4.6500000000000004</v>
      </c>
      <c r="BH2358">
        <v>-8.3000000000000007</v>
      </c>
      <c r="BI2358">
        <v>2.0499999999999998</v>
      </c>
      <c r="BJ2358">
        <v>20210826</v>
      </c>
      <c r="BK2358">
        <v>20210716</v>
      </c>
      <c r="BL2358">
        <v>1.1299999999999999</v>
      </c>
      <c r="BM2358" t="s">
        <v>120</v>
      </c>
      <c r="BN2358" t="s">
        <v>120</v>
      </c>
      <c r="BO2358">
        <v>8.57</v>
      </c>
      <c r="BP2358">
        <v>84</v>
      </c>
      <c r="BQ2358">
        <v>7.34</v>
      </c>
      <c r="BR2358" t="s">
        <v>120</v>
      </c>
      <c r="BS2358">
        <v>14.34</v>
      </c>
      <c r="BT2358">
        <v>6.49</v>
      </c>
      <c r="BU2358">
        <v>1.18</v>
      </c>
      <c r="BV2358">
        <v>0.11</v>
      </c>
      <c r="BW2358">
        <v>1.1399999999999999</v>
      </c>
      <c r="BX2358">
        <v>0.76</v>
      </c>
      <c r="BY2358">
        <v>3.29</v>
      </c>
      <c r="BZ2358">
        <v>0.3</v>
      </c>
      <c r="CA2358" t="s">
        <v>120</v>
      </c>
      <c r="CB2358">
        <v>1.25</v>
      </c>
      <c r="CC2358">
        <v>11.32</v>
      </c>
      <c r="CD2358">
        <v>9.1</v>
      </c>
      <c r="CE2358">
        <v>1.94</v>
      </c>
      <c r="CF2358">
        <v>0.09</v>
      </c>
      <c r="CG2358">
        <v>1.94</v>
      </c>
      <c r="CH2358">
        <v>1.72</v>
      </c>
      <c r="CI2358">
        <v>1.72</v>
      </c>
      <c r="CJ2358">
        <v>-4.26</v>
      </c>
      <c r="CK2358">
        <v>1.69</v>
      </c>
      <c r="CL2358">
        <v>4.87</v>
      </c>
      <c r="CM2358">
        <v>2.83</v>
      </c>
      <c r="CN2358">
        <v>0.46</v>
      </c>
      <c r="CO2358">
        <v>32488</v>
      </c>
      <c r="CP2358">
        <v>744</v>
      </c>
      <c r="CQ2358" t="s">
        <v>1112</v>
      </c>
      <c r="CR2358">
        <v>0</v>
      </c>
      <c r="CS2358">
        <v>0</v>
      </c>
      <c r="CT2358">
        <v>7.9</v>
      </c>
      <c r="CU2358">
        <v>33.61</v>
      </c>
      <c r="CV2358">
        <v>8.41</v>
      </c>
      <c r="CW2358">
        <v>0</v>
      </c>
      <c r="CX2358" t="s">
        <v>11042</v>
      </c>
      <c r="CY2358">
        <v>10.63</v>
      </c>
      <c r="CZ2358">
        <v>10.63</v>
      </c>
      <c r="DA2358">
        <v>1.1000000000000001</v>
      </c>
      <c r="DB2358">
        <v>4.3</v>
      </c>
      <c r="DC2358">
        <v>2.5</v>
      </c>
      <c r="DD2358">
        <v>85.66</v>
      </c>
      <c r="DE2358" t="s">
        <v>11043</v>
      </c>
      <c r="DF2358">
        <v>19.61</v>
      </c>
      <c r="DG2358">
        <v>17.170000000000002</v>
      </c>
      <c r="DH2358">
        <v>15.16</v>
      </c>
      <c r="DI2358">
        <v>0.09</v>
      </c>
      <c r="DJ2358">
        <v>107</v>
      </c>
      <c r="DK2358">
        <v>301026</v>
      </c>
      <c r="DL2358" t="s">
        <v>120</v>
      </c>
      <c r="DM2358" t="s">
        <v>120</v>
      </c>
      <c r="DN2358" t="s">
        <v>120</v>
      </c>
    </row>
    <row r="2359" spans="1:118">
      <c r="A2359" t="str">
        <f>"301027"</f>
        <v>301027</v>
      </c>
      <c r="B2359" t="s">
        <v>11044</v>
      </c>
      <c r="C2359">
        <v>-1.26</v>
      </c>
      <c r="D2359">
        <v>0.05</v>
      </c>
      <c r="E2359">
        <v>-0.73</v>
      </c>
      <c r="F2359">
        <v>553</v>
      </c>
      <c r="G2359" t="s">
        <v>9234</v>
      </c>
      <c r="H2359">
        <v>7107.36</v>
      </c>
      <c r="I2359">
        <v>14.78</v>
      </c>
      <c r="J2359" t="s">
        <v>120</v>
      </c>
      <c r="K2359" t="s">
        <v>9234</v>
      </c>
      <c r="L2359">
        <v>10.62</v>
      </c>
      <c r="M2359">
        <v>18.850000000000001</v>
      </c>
      <c r="N2359">
        <v>1.17</v>
      </c>
      <c r="O2359">
        <v>2.2999999999999998</v>
      </c>
      <c r="P2359">
        <v>19.53</v>
      </c>
      <c r="Q2359">
        <v>-1.83</v>
      </c>
      <c r="R2359">
        <v>18.739999999999998</v>
      </c>
      <c r="S2359">
        <v>18.95</v>
      </c>
      <c r="T2359">
        <v>37072</v>
      </c>
      <c r="U2359">
        <v>18.850000000000001</v>
      </c>
      <c r="V2359">
        <v>19.09</v>
      </c>
      <c r="W2359">
        <v>26.16</v>
      </c>
      <c r="X2359" t="s">
        <v>175</v>
      </c>
      <c r="Y2359" t="s">
        <v>945</v>
      </c>
      <c r="Z2359">
        <v>4.1399999999999997</v>
      </c>
      <c r="AA2359">
        <v>19.170000000000002</v>
      </c>
      <c r="AB2359">
        <v>18637</v>
      </c>
      <c r="AC2359">
        <v>18435</v>
      </c>
      <c r="AD2359">
        <v>1.01</v>
      </c>
      <c r="AE2359">
        <v>210</v>
      </c>
      <c r="AF2359">
        <v>140</v>
      </c>
      <c r="AG2359" t="s">
        <v>120</v>
      </c>
      <c r="AH2359">
        <v>0.02</v>
      </c>
      <c r="AI2359" t="s">
        <v>120</v>
      </c>
      <c r="AJ2359">
        <v>0.35</v>
      </c>
      <c r="AK2359" t="s">
        <v>9392</v>
      </c>
      <c r="AL2359">
        <v>0.66</v>
      </c>
      <c r="AM2359">
        <v>2054</v>
      </c>
      <c r="AN2359">
        <v>18</v>
      </c>
      <c r="AO2359">
        <v>5.1999999999999998E-3</v>
      </c>
      <c r="AP2359">
        <v>-1</v>
      </c>
      <c r="AQ2359">
        <v>2.97</v>
      </c>
      <c r="AR2359">
        <v>-1.82</v>
      </c>
      <c r="AS2359">
        <v>-5.61</v>
      </c>
      <c r="AT2359">
        <v>64.62</v>
      </c>
      <c r="AU2359">
        <v>64.62</v>
      </c>
      <c r="AV2359">
        <v>0</v>
      </c>
      <c r="AW2359">
        <v>10.62</v>
      </c>
      <c r="AX2359">
        <v>23.74</v>
      </c>
      <c r="AY2359">
        <v>21.18</v>
      </c>
      <c r="AZ2359">
        <v>23.11</v>
      </c>
      <c r="BA2359">
        <v>0</v>
      </c>
      <c r="BB2359" t="s">
        <v>143</v>
      </c>
      <c r="BF2359">
        <v>0.43</v>
      </c>
      <c r="BG2359">
        <v>-0.53</v>
      </c>
      <c r="BH2359">
        <v>-3.48</v>
      </c>
      <c r="BI2359">
        <v>0.59</v>
      </c>
      <c r="BJ2359">
        <v>20210913</v>
      </c>
      <c r="BK2359">
        <v>20210715</v>
      </c>
      <c r="BL2359">
        <v>1.47</v>
      </c>
      <c r="BM2359" t="s">
        <v>120</v>
      </c>
      <c r="BN2359" t="s">
        <v>120</v>
      </c>
      <c r="BO2359">
        <v>10.84</v>
      </c>
      <c r="BP2359">
        <v>18.84</v>
      </c>
      <c r="BQ2359">
        <v>4.7699999999999996</v>
      </c>
      <c r="BR2359">
        <v>0.08</v>
      </c>
      <c r="BS2359">
        <v>55.23</v>
      </c>
      <c r="BT2359">
        <v>8.99</v>
      </c>
      <c r="BU2359">
        <v>0.76</v>
      </c>
      <c r="BV2359">
        <v>0.36</v>
      </c>
      <c r="BW2359">
        <v>5.81</v>
      </c>
      <c r="BX2359">
        <v>3.5</v>
      </c>
      <c r="BY2359">
        <v>0</v>
      </c>
      <c r="BZ2359">
        <v>3.64</v>
      </c>
      <c r="CA2359" t="s">
        <v>120</v>
      </c>
      <c r="CB2359">
        <v>0.59</v>
      </c>
      <c r="CC2359">
        <v>4.91</v>
      </c>
      <c r="CD2359">
        <v>3.12</v>
      </c>
      <c r="CE2359">
        <v>0.64</v>
      </c>
      <c r="CF2359">
        <v>-0.01</v>
      </c>
      <c r="CG2359">
        <v>0.64</v>
      </c>
      <c r="CH2359">
        <v>0.54</v>
      </c>
      <c r="CI2359">
        <v>0.53</v>
      </c>
      <c r="CJ2359">
        <v>-0.24</v>
      </c>
      <c r="CK2359">
        <v>0.5</v>
      </c>
      <c r="CL2359">
        <v>2.61</v>
      </c>
      <c r="CM2359">
        <v>-2.0099999999999998</v>
      </c>
      <c r="CN2359">
        <v>-2.54</v>
      </c>
      <c r="CO2359">
        <v>23792</v>
      </c>
      <c r="CP2359">
        <v>1467</v>
      </c>
      <c r="CQ2359" t="s">
        <v>6088</v>
      </c>
      <c r="CR2359">
        <v>0</v>
      </c>
      <c r="CS2359">
        <v>0</v>
      </c>
      <c r="CT2359">
        <v>3.28</v>
      </c>
      <c r="CU2359">
        <v>-13.77</v>
      </c>
      <c r="CV2359">
        <v>5.64</v>
      </c>
      <c r="CW2359">
        <v>0</v>
      </c>
      <c r="CX2359" t="s">
        <v>780</v>
      </c>
      <c r="CY2359">
        <v>5.75</v>
      </c>
      <c r="CZ2359">
        <v>5.75</v>
      </c>
      <c r="DA2359">
        <v>0.4</v>
      </c>
      <c r="DB2359">
        <v>1.78</v>
      </c>
      <c r="DC2359">
        <v>-1.37</v>
      </c>
      <c r="DD2359">
        <v>44</v>
      </c>
      <c r="DE2359" t="s">
        <v>11045</v>
      </c>
      <c r="DF2359">
        <v>36.56</v>
      </c>
      <c r="DG2359">
        <v>13.12</v>
      </c>
      <c r="DH2359">
        <v>10.79</v>
      </c>
      <c r="DI2359">
        <v>0.2</v>
      </c>
      <c r="DJ2359">
        <v>3029</v>
      </c>
      <c r="DK2359">
        <v>301027</v>
      </c>
      <c r="DL2359" t="s">
        <v>120</v>
      </c>
      <c r="DM2359" t="s">
        <v>120</v>
      </c>
      <c r="DN2359" t="s">
        <v>120</v>
      </c>
    </row>
    <row r="2360" spans="1:118">
      <c r="A2360" t="str">
        <f>"301028"</f>
        <v>301028</v>
      </c>
      <c r="B2360" t="s">
        <v>11046</v>
      </c>
      <c r="C2360">
        <v>1.45</v>
      </c>
      <c r="D2360">
        <v>0</v>
      </c>
      <c r="E2360">
        <v>-1.2</v>
      </c>
      <c r="F2360">
        <v>5093</v>
      </c>
      <c r="G2360" t="s">
        <v>2937</v>
      </c>
      <c r="H2360">
        <v>27026.81</v>
      </c>
      <c r="I2360">
        <v>68.55</v>
      </c>
      <c r="J2360" t="s">
        <v>120</v>
      </c>
      <c r="K2360" t="s">
        <v>2937</v>
      </c>
      <c r="L2360">
        <v>17.98</v>
      </c>
      <c r="M2360">
        <v>16.84</v>
      </c>
      <c r="N2360">
        <v>0.93</v>
      </c>
      <c r="O2360">
        <v>2.29</v>
      </c>
      <c r="P2360">
        <v>16.98</v>
      </c>
      <c r="Q2360">
        <v>-2.41</v>
      </c>
      <c r="R2360">
        <v>16.2</v>
      </c>
      <c r="S2360">
        <v>16.399999999999999</v>
      </c>
      <c r="T2360">
        <v>161984</v>
      </c>
      <c r="U2360">
        <v>16.850000000000001</v>
      </c>
      <c r="V2360">
        <v>16.600000000000001</v>
      </c>
      <c r="W2360">
        <v>31.05</v>
      </c>
      <c r="X2360" t="s">
        <v>675</v>
      </c>
      <c r="Y2360" t="s">
        <v>937</v>
      </c>
      <c r="Z2360">
        <v>4.7</v>
      </c>
      <c r="AA2360">
        <v>16.68</v>
      </c>
      <c r="AB2360">
        <v>84577</v>
      </c>
      <c r="AC2360">
        <v>77407</v>
      </c>
      <c r="AD2360">
        <v>1.0900000000000001</v>
      </c>
      <c r="AE2360">
        <v>1383</v>
      </c>
      <c r="AF2360">
        <v>404</v>
      </c>
      <c r="AG2360" t="s">
        <v>120</v>
      </c>
      <c r="AH2360">
        <v>0.05</v>
      </c>
      <c r="AI2360" t="s">
        <v>120</v>
      </c>
      <c r="AJ2360">
        <v>0.9</v>
      </c>
      <c r="AK2360" t="s">
        <v>11047</v>
      </c>
      <c r="AL2360">
        <v>3.36</v>
      </c>
      <c r="AM2360">
        <v>3645</v>
      </c>
      <c r="AN2360">
        <v>44</v>
      </c>
      <c r="AO2360">
        <v>4.8999999999999998E-3</v>
      </c>
      <c r="AP2360">
        <v>1</v>
      </c>
      <c r="AQ2360">
        <v>-0.06</v>
      </c>
      <c r="AR2360">
        <v>4.34</v>
      </c>
      <c r="AS2360">
        <v>26.14</v>
      </c>
      <c r="AT2360">
        <v>217.14</v>
      </c>
      <c r="AU2360">
        <v>217.14</v>
      </c>
      <c r="AV2360">
        <v>1</v>
      </c>
      <c r="AW2360">
        <v>17.98</v>
      </c>
      <c r="AX2360">
        <v>23.78</v>
      </c>
      <c r="AY2360">
        <v>33.659999999999997</v>
      </c>
      <c r="AZ2360">
        <v>43.41</v>
      </c>
      <c r="BA2360">
        <v>0</v>
      </c>
      <c r="BB2360" t="s">
        <v>143</v>
      </c>
      <c r="BF2360">
        <v>0.51</v>
      </c>
      <c r="BG2360">
        <v>2.68</v>
      </c>
      <c r="BH2360">
        <v>-0.82</v>
      </c>
      <c r="BI2360">
        <v>3.95</v>
      </c>
      <c r="BJ2360">
        <v>20210827</v>
      </c>
      <c r="BK2360">
        <v>20210720</v>
      </c>
      <c r="BL2360">
        <v>3.79</v>
      </c>
      <c r="BM2360" t="s">
        <v>120</v>
      </c>
      <c r="BN2360" t="s">
        <v>120</v>
      </c>
      <c r="BO2360">
        <v>10.44</v>
      </c>
      <c r="BP2360">
        <v>16.84</v>
      </c>
      <c r="BQ2360">
        <v>6.39</v>
      </c>
      <c r="BR2360" t="s">
        <v>120</v>
      </c>
      <c r="BS2360">
        <v>38.799999999999997</v>
      </c>
      <c r="BT2360">
        <v>6.38</v>
      </c>
      <c r="BU2360">
        <v>2.2400000000000002</v>
      </c>
      <c r="BV2360">
        <v>0.17</v>
      </c>
      <c r="BW2360">
        <v>3.95</v>
      </c>
      <c r="BX2360">
        <v>2.6</v>
      </c>
      <c r="BY2360">
        <v>1.43</v>
      </c>
      <c r="BZ2360">
        <v>1.65</v>
      </c>
      <c r="CA2360" t="s">
        <v>120</v>
      </c>
      <c r="CB2360">
        <v>7.0000000000000007E-2</v>
      </c>
      <c r="CC2360">
        <v>5.23</v>
      </c>
      <c r="CD2360">
        <v>3.46</v>
      </c>
      <c r="CE2360">
        <v>1.17</v>
      </c>
      <c r="CF2360">
        <v>0.03</v>
      </c>
      <c r="CG2360">
        <v>1.17</v>
      </c>
      <c r="CH2360">
        <v>1.03</v>
      </c>
      <c r="CI2360">
        <v>1.03</v>
      </c>
      <c r="CJ2360">
        <v>0.24</v>
      </c>
      <c r="CK2360">
        <v>0.98</v>
      </c>
      <c r="CL2360">
        <v>2.85</v>
      </c>
      <c r="CM2360">
        <v>0.62</v>
      </c>
      <c r="CN2360">
        <v>0</v>
      </c>
      <c r="CO2360">
        <v>99839</v>
      </c>
      <c r="CP2360">
        <v>903</v>
      </c>
      <c r="CQ2360" t="s">
        <v>11048</v>
      </c>
      <c r="CR2360">
        <v>0</v>
      </c>
      <c r="CS2360">
        <v>0</v>
      </c>
      <c r="CT2360">
        <v>5.9</v>
      </c>
      <c r="CU2360">
        <v>103.55</v>
      </c>
      <c r="CV2360">
        <v>12.19</v>
      </c>
      <c r="CW2360">
        <v>0.96</v>
      </c>
      <c r="CX2360" t="s">
        <v>472</v>
      </c>
      <c r="CY2360">
        <v>2.85</v>
      </c>
      <c r="CZ2360">
        <v>2.85</v>
      </c>
      <c r="DA2360">
        <v>0.02</v>
      </c>
      <c r="DB2360">
        <v>0.75</v>
      </c>
      <c r="DC2360">
        <v>0.16</v>
      </c>
      <c r="DD2360">
        <v>61.2</v>
      </c>
      <c r="DE2360" t="s">
        <v>11049</v>
      </c>
      <c r="DF2360">
        <v>33.86</v>
      </c>
      <c r="DG2360">
        <v>22.31</v>
      </c>
      <c r="DH2360">
        <v>19.63</v>
      </c>
      <c r="DI2360">
        <v>0.22</v>
      </c>
      <c r="DJ2360">
        <v>728</v>
      </c>
      <c r="DK2360">
        <v>301028</v>
      </c>
      <c r="DL2360">
        <v>20210728</v>
      </c>
      <c r="DM2360">
        <v>12.02</v>
      </c>
      <c r="DN2360">
        <v>40.1</v>
      </c>
    </row>
    <row r="2361" spans="1:118">
      <c r="A2361" t="str">
        <f>"301029"</f>
        <v>301029</v>
      </c>
      <c r="B2361" t="s">
        <v>11050</v>
      </c>
      <c r="C2361">
        <v>-0.21</v>
      </c>
      <c r="D2361">
        <v>0.04</v>
      </c>
      <c r="E2361">
        <v>-1.02</v>
      </c>
      <c r="F2361">
        <v>78</v>
      </c>
      <c r="G2361" t="s">
        <v>682</v>
      </c>
      <c r="H2361">
        <v>8612.07</v>
      </c>
      <c r="I2361">
        <v>42.3</v>
      </c>
      <c r="J2361" t="s">
        <v>120</v>
      </c>
      <c r="K2361" t="s">
        <v>682</v>
      </c>
      <c r="L2361">
        <v>2.82</v>
      </c>
      <c r="M2361">
        <v>90.74</v>
      </c>
      <c r="N2361">
        <v>0.54</v>
      </c>
      <c r="O2361">
        <v>1.68</v>
      </c>
      <c r="P2361">
        <v>92.46</v>
      </c>
      <c r="Q2361">
        <v>-3.29</v>
      </c>
      <c r="R2361">
        <v>87.94</v>
      </c>
      <c r="S2361">
        <v>90</v>
      </c>
      <c r="T2361">
        <v>9538</v>
      </c>
      <c r="U2361">
        <v>90.76</v>
      </c>
      <c r="V2361">
        <v>90.93</v>
      </c>
      <c r="W2361">
        <v>92.29</v>
      </c>
      <c r="X2361" t="s">
        <v>959</v>
      </c>
      <c r="Y2361" t="s">
        <v>547</v>
      </c>
      <c r="Z2361">
        <v>4.97</v>
      </c>
      <c r="AA2361">
        <v>90.29</v>
      </c>
      <c r="AB2361">
        <v>5118</v>
      </c>
      <c r="AC2361">
        <v>4420</v>
      </c>
      <c r="AD2361">
        <v>1.1599999999999999</v>
      </c>
      <c r="AE2361">
        <v>2</v>
      </c>
      <c r="AF2361">
        <v>1</v>
      </c>
      <c r="AG2361" t="s">
        <v>120</v>
      </c>
      <c r="AH2361">
        <v>0.01</v>
      </c>
      <c r="AI2361" t="s">
        <v>120</v>
      </c>
      <c r="AJ2361">
        <v>0.34</v>
      </c>
      <c r="AK2361" t="s">
        <v>11051</v>
      </c>
      <c r="AL2361">
        <v>1.7</v>
      </c>
      <c r="AM2361">
        <v>1542</v>
      </c>
      <c r="AN2361">
        <v>6</v>
      </c>
      <c r="AO2361">
        <v>1.8E-3</v>
      </c>
      <c r="AP2361">
        <v>-2</v>
      </c>
      <c r="AQ2361">
        <v>-0.84</v>
      </c>
      <c r="AR2361">
        <v>3.96</v>
      </c>
      <c r="AS2361">
        <v>-11.92</v>
      </c>
      <c r="AT2361">
        <v>541.73</v>
      </c>
      <c r="AU2361">
        <v>541.73</v>
      </c>
      <c r="AV2361">
        <v>0</v>
      </c>
      <c r="AW2361">
        <v>2.82</v>
      </c>
      <c r="AX2361">
        <v>8.4499999999999993</v>
      </c>
      <c r="AY2361">
        <v>104.83</v>
      </c>
      <c r="AZ2361">
        <v>134.04</v>
      </c>
      <c r="BA2361">
        <v>0</v>
      </c>
      <c r="BB2361" t="s">
        <v>143</v>
      </c>
      <c r="BF2361">
        <v>-0.7</v>
      </c>
      <c r="BG2361">
        <v>0.82</v>
      </c>
      <c r="BH2361">
        <v>-1.86</v>
      </c>
      <c r="BI2361">
        <v>3.18</v>
      </c>
      <c r="BJ2361">
        <v>20210913</v>
      </c>
      <c r="BK2361">
        <v>20210723</v>
      </c>
      <c r="BL2361">
        <v>4</v>
      </c>
      <c r="BM2361" t="s">
        <v>120</v>
      </c>
      <c r="BN2361" t="s">
        <v>120</v>
      </c>
      <c r="BO2361">
        <v>19.47</v>
      </c>
      <c r="BP2361">
        <v>90.74</v>
      </c>
      <c r="BQ2361">
        <v>15.54</v>
      </c>
      <c r="BR2361" t="s">
        <v>120</v>
      </c>
      <c r="BS2361">
        <v>20.149999999999999</v>
      </c>
      <c r="BT2361">
        <v>13.55</v>
      </c>
      <c r="BU2361">
        <v>0.76</v>
      </c>
      <c r="BV2361">
        <v>0.34</v>
      </c>
      <c r="BW2361">
        <v>3.87</v>
      </c>
      <c r="BX2361">
        <v>4.83</v>
      </c>
      <c r="BY2361">
        <v>3.23</v>
      </c>
      <c r="BZ2361">
        <v>3.79</v>
      </c>
      <c r="CA2361" t="s">
        <v>120</v>
      </c>
      <c r="CB2361">
        <v>4.54</v>
      </c>
      <c r="CC2361">
        <v>8.52</v>
      </c>
      <c r="CD2361">
        <v>4.78</v>
      </c>
      <c r="CE2361">
        <v>2.2599999999999998</v>
      </c>
      <c r="CF2361">
        <v>0</v>
      </c>
      <c r="CG2361">
        <v>2.2599999999999998</v>
      </c>
      <c r="CH2361">
        <v>1.97</v>
      </c>
      <c r="CI2361">
        <v>1.97</v>
      </c>
      <c r="CJ2361">
        <v>-0.19</v>
      </c>
      <c r="CK2361">
        <v>1.93</v>
      </c>
      <c r="CL2361">
        <v>6.82</v>
      </c>
      <c r="CM2361">
        <v>0.42</v>
      </c>
      <c r="CN2361">
        <v>-0.98</v>
      </c>
      <c r="CO2361">
        <v>12597</v>
      </c>
      <c r="CP2361">
        <v>2684</v>
      </c>
      <c r="CQ2361" t="s">
        <v>11052</v>
      </c>
      <c r="CR2361">
        <v>62.5</v>
      </c>
      <c r="CS2361">
        <v>59.09</v>
      </c>
      <c r="CT2361">
        <v>17.63</v>
      </c>
      <c r="CU2361">
        <v>863.09</v>
      </c>
      <c r="CV2361">
        <v>42.61</v>
      </c>
      <c r="CW2361">
        <v>0</v>
      </c>
      <c r="CX2361" t="s">
        <v>1581</v>
      </c>
      <c r="CY2361">
        <v>5.15</v>
      </c>
      <c r="CZ2361">
        <v>5.15</v>
      </c>
      <c r="DA2361">
        <v>1.1399999999999999</v>
      </c>
      <c r="DB2361">
        <v>1.71</v>
      </c>
      <c r="DC2361">
        <v>0.11</v>
      </c>
      <c r="DD2361">
        <v>79.849999999999994</v>
      </c>
      <c r="DE2361" t="s">
        <v>11053</v>
      </c>
      <c r="DF2361">
        <v>43.85</v>
      </c>
      <c r="DG2361">
        <v>26.58</v>
      </c>
      <c r="DH2361">
        <v>23.09</v>
      </c>
      <c r="DI2361">
        <v>0.3</v>
      </c>
      <c r="DJ2361">
        <v>1759</v>
      </c>
      <c r="DK2361">
        <v>301029</v>
      </c>
      <c r="DL2361" t="s">
        <v>120</v>
      </c>
      <c r="DM2361" t="s">
        <v>120</v>
      </c>
      <c r="DN2361" t="s">
        <v>120</v>
      </c>
    </row>
    <row r="2362" spans="1:118">
      <c r="A2362" t="str">
        <f>"301030"</f>
        <v>301030</v>
      </c>
      <c r="B2362" t="s">
        <v>11054</v>
      </c>
      <c r="C2362">
        <v>-4.29</v>
      </c>
      <c r="D2362">
        <v>-0.13</v>
      </c>
      <c r="E2362">
        <v>0</v>
      </c>
      <c r="F2362">
        <v>324</v>
      </c>
      <c r="G2362" t="s">
        <v>11055</v>
      </c>
      <c r="H2362">
        <v>7674.07</v>
      </c>
      <c r="I2362">
        <v>24.07</v>
      </c>
      <c r="J2362" t="s">
        <v>120</v>
      </c>
      <c r="K2362" t="s">
        <v>11055</v>
      </c>
      <c r="L2362">
        <v>9.35</v>
      </c>
      <c r="M2362">
        <v>28.09</v>
      </c>
      <c r="N2362">
        <v>0.93</v>
      </c>
      <c r="O2362">
        <v>2.0099999999999998</v>
      </c>
      <c r="P2362">
        <v>29.94</v>
      </c>
      <c r="Q2362">
        <v>-4.33</v>
      </c>
      <c r="R2362">
        <v>28.08</v>
      </c>
      <c r="S2362">
        <v>29.35</v>
      </c>
      <c r="T2362">
        <v>26589</v>
      </c>
      <c r="U2362">
        <v>28.09</v>
      </c>
      <c r="V2362">
        <v>29.35</v>
      </c>
      <c r="W2362">
        <v>71.94</v>
      </c>
      <c r="X2362" t="s">
        <v>318</v>
      </c>
      <c r="Y2362" t="s">
        <v>319</v>
      </c>
      <c r="Z2362">
        <v>6.34</v>
      </c>
      <c r="AA2362">
        <v>28.86</v>
      </c>
      <c r="AB2362">
        <v>15368</v>
      </c>
      <c r="AC2362">
        <v>11221</v>
      </c>
      <c r="AD2362">
        <v>1.37</v>
      </c>
      <c r="AE2362">
        <v>16</v>
      </c>
      <c r="AF2362">
        <v>150</v>
      </c>
      <c r="AG2362" t="s">
        <v>120</v>
      </c>
      <c r="AH2362">
        <v>0.03</v>
      </c>
      <c r="AI2362" t="s">
        <v>120</v>
      </c>
      <c r="AJ2362">
        <v>0.28000000000000003</v>
      </c>
      <c r="AK2362" t="s">
        <v>4464</v>
      </c>
      <c r="AL2362">
        <v>-2.38</v>
      </c>
      <c r="AM2362">
        <v>1943</v>
      </c>
      <c r="AN2362">
        <v>14</v>
      </c>
      <c r="AO2362">
        <v>4.7999999999999996E-3</v>
      </c>
      <c r="AP2362">
        <v>-3</v>
      </c>
      <c r="AQ2362">
        <v>-1.54</v>
      </c>
      <c r="AR2362">
        <v>-9.65</v>
      </c>
      <c r="AS2362">
        <v>-18.55</v>
      </c>
      <c r="AT2362">
        <v>360.49</v>
      </c>
      <c r="AU2362">
        <v>360.49</v>
      </c>
      <c r="AV2362">
        <v>2</v>
      </c>
      <c r="AW2362">
        <v>9.35</v>
      </c>
      <c r="AX2362">
        <v>21.34</v>
      </c>
      <c r="AY2362">
        <v>44.17</v>
      </c>
      <c r="AZ2362">
        <v>63.73</v>
      </c>
      <c r="BA2362">
        <v>0</v>
      </c>
      <c r="BB2362" t="s">
        <v>134</v>
      </c>
      <c r="BF2362">
        <v>-1.66</v>
      </c>
      <c r="BG2362">
        <v>-4.29</v>
      </c>
      <c r="BH2362">
        <v>-6.18</v>
      </c>
      <c r="BI2362">
        <v>0.04</v>
      </c>
      <c r="BJ2362">
        <v>20210826</v>
      </c>
      <c r="BK2362">
        <v>20210722</v>
      </c>
      <c r="BL2362">
        <v>1.33</v>
      </c>
      <c r="BM2362" t="s">
        <v>120</v>
      </c>
      <c r="BN2362" t="s">
        <v>120</v>
      </c>
      <c r="BO2362">
        <v>22.05</v>
      </c>
      <c r="BP2362">
        <v>28.08</v>
      </c>
      <c r="BQ2362">
        <v>8.52</v>
      </c>
      <c r="BR2362">
        <v>0.33</v>
      </c>
      <c r="BS2362">
        <v>59.86</v>
      </c>
      <c r="BT2362">
        <v>20.399999999999999</v>
      </c>
      <c r="BU2362">
        <v>1.02</v>
      </c>
      <c r="BV2362">
        <v>0.1</v>
      </c>
      <c r="BW2362">
        <v>11.99</v>
      </c>
      <c r="BX2362">
        <v>5.59</v>
      </c>
      <c r="BY2362">
        <v>3.9</v>
      </c>
      <c r="BZ2362">
        <v>6.26</v>
      </c>
      <c r="CA2362" t="s">
        <v>120</v>
      </c>
      <c r="CB2362">
        <v>4.68</v>
      </c>
      <c r="CC2362">
        <v>3.21</v>
      </c>
      <c r="CD2362">
        <v>2.34</v>
      </c>
      <c r="CE2362">
        <v>0.31</v>
      </c>
      <c r="CF2362">
        <v>0</v>
      </c>
      <c r="CG2362">
        <v>0.31</v>
      </c>
      <c r="CH2362">
        <v>0.25</v>
      </c>
      <c r="CI2362">
        <v>0.26</v>
      </c>
      <c r="CJ2362">
        <v>-1.26</v>
      </c>
      <c r="CK2362">
        <v>0.25</v>
      </c>
      <c r="CL2362">
        <v>2.6</v>
      </c>
      <c r="CM2362">
        <v>-0.96</v>
      </c>
      <c r="CN2362">
        <v>0.23</v>
      </c>
      <c r="CO2362">
        <v>36637</v>
      </c>
      <c r="CP2362">
        <v>776</v>
      </c>
      <c r="CQ2362" t="s">
        <v>1505</v>
      </c>
      <c r="CR2362">
        <v>0</v>
      </c>
      <c r="CS2362">
        <v>0</v>
      </c>
      <c r="CT2362">
        <v>3.77</v>
      </c>
      <c r="CU2362">
        <v>-39.14</v>
      </c>
      <c r="CV2362">
        <v>11.65</v>
      </c>
      <c r="CW2362">
        <v>0</v>
      </c>
      <c r="CX2362" t="s">
        <v>670</v>
      </c>
      <c r="CY2362">
        <v>7.46</v>
      </c>
      <c r="CZ2362">
        <v>7.46</v>
      </c>
      <c r="DA2362">
        <v>3.51</v>
      </c>
      <c r="DB2362">
        <v>1.95</v>
      </c>
      <c r="DC2362">
        <v>-0.72</v>
      </c>
      <c r="DD2362">
        <v>38.64</v>
      </c>
      <c r="DE2362" t="s">
        <v>4017</v>
      </c>
      <c r="DF2362">
        <v>27.29</v>
      </c>
      <c r="DG2362">
        <v>9.68</v>
      </c>
      <c r="DH2362">
        <v>8.1</v>
      </c>
      <c r="DI2362">
        <v>0.16</v>
      </c>
      <c r="DJ2362">
        <v>505</v>
      </c>
      <c r="DK2362">
        <v>301030</v>
      </c>
      <c r="DL2362" t="s">
        <v>120</v>
      </c>
      <c r="DM2362" t="s">
        <v>120</v>
      </c>
      <c r="DN2362" t="s">
        <v>120</v>
      </c>
    </row>
    <row r="2363" spans="1:118">
      <c r="A2363" t="str">
        <f>"301031"</f>
        <v>301031</v>
      </c>
      <c r="B2363" t="s">
        <v>11056</v>
      </c>
      <c r="C2363">
        <v>-5.91</v>
      </c>
      <c r="D2363">
        <v>0</v>
      </c>
      <c r="E2363">
        <v>0.05</v>
      </c>
      <c r="F2363">
        <v>49</v>
      </c>
      <c r="G2363" t="s">
        <v>6370</v>
      </c>
      <c r="H2363">
        <v>12513.19</v>
      </c>
      <c r="I2363">
        <v>4.13</v>
      </c>
      <c r="J2363" t="s">
        <v>120</v>
      </c>
      <c r="K2363" t="s">
        <v>6370</v>
      </c>
      <c r="L2363">
        <v>5.8</v>
      </c>
      <c r="M2363">
        <v>129.31</v>
      </c>
      <c r="N2363">
        <v>1.67</v>
      </c>
      <c r="O2363">
        <v>0.32</v>
      </c>
      <c r="P2363">
        <v>137.87</v>
      </c>
      <c r="Q2363">
        <v>-8.06</v>
      </c>
      <c r="R2363">
        <v>126.36</v>
      </c>
      <c r="S2363">
        <v>137.5</v>
      </c>
      <c r="T2363">
        <v>9607</v>
      </c>
      <c r="U2363">
        <v>129.33000000000001</v>
      </c>
      <c r="V2363">
        <v>137.43</v>
      </c>
      <c r="W2363">
        <v>118.93</v>
      </c>
      <c r="X2363" t="s">
        <v>394</v>
      </c>
      <c r="Y2363" t="s">
        <v>890</v>
      </c>
      <c r="Z2363">
        <v>8.3800000000000008</v>
      </c>
      <c r="AA2363">
        <v>130.26</v>
      </c>
      <c r="AB2363">
        <v>6061</v>
      </c>
      <c r="AC2363">
        <v>3546</v>
      </c>
      <c r="AD2363">
        <v>1.71</v>
      </c>
      <c r="AE2363">
        <v>1</v>
      </c>
      <c r="AF2363">
        <v>2</v>
      </c>
      <c r="AG2363" t="s">
        <v>120</v>
      </c>
      <c r="AH2363">
        <v>0</v>
      </c>
      <c r="AI2363" t="s">
        <v>120</v>
      </c>
      <c r="AJ2363">
        <v>0.17</v>
      </c>
      <c r="AK2363" t="s">
        <v>11057</v>
      </c>
      <c r="AL2363">
        <v>-3.99</v>
      </c>
      <c r="AM2363">
        <v>1871</v>
      </c>
      <c r="AN2363">
        <v>5</v>
      </c>
      <c r="AO2363">
        <v>3.0999999999999999E-3</v>
      </c>
      <c r="AP2363">
        <v>-2</v>
      </c>
      <c r="AQ2363">
        <v>-1.84</v>
      </c>
      <c r="AR2363">
        <v>-5.62</v>
      </c>
      <c r="AS2363">
        <v>-26.07</v>
      </c>
      <c r="AT2363">
        <v>382.86</v>
      </c>
      <c r="AU2363">
        <v>382.86</v>
      </c>
      <c r="AV2363">
        <v>1</v>
      </c>
      <c r="AW2363">
        <v>5.8</v>
      </c>
      <c r="AX2363">
        <v>25</v>
      </c>
      <c r="AY2363">
        <v>121.89</v>
      </c>
      <c r="AZ2363">
        <v>164.46</v>
      </c>
      <c r="BA2363">
        <v>0</v>
      </c>
      <c r="BB2363" t="s">
        <v>134</v>
      </c>
      <c r="BF2363">
        <v>-5.22</v>
      </c>
      <c r="BG2363">
        <v>-5.96</v>
      </c>
      <c r="BH2363">
        <v>-6.21</v>
      </c>
      <c r="BI2363">
        <v>2.33</v>
      </c>
      <c r="BJ2363">
        <v>20210903</v>
      </c>
      <c r="BK2363">
        <v>20210715</v>
      </c>
      <c r="BL2363">
        <v>0.66</v>
      </c>
      <c r="BM2363" t="s">
        <v>120</v>
      </c>
      <c r="BN2363" t="s">
        <v>120</v>
      </c>
      <c r="BO2363">
        <v>4.59</v>
      </c>
      <c r="BP2363">
        <v>129.31</v>
      </c>
      <c r="BQ2363">
        <v>2.83</v>
      </c>
      <c r="BR2363" t="s">
        <v>120</v>
      </c>
      <c r="BS2363">
        <v>38.36</v>
      </c>
      <c r="BT2363">
        <v>3.46</v>
      </c>
      <c r="BU2363">
        <v>0.28000000000000003</v>
      </c>
      <c r="BV2363">
        <v>0.12</v>
      </c>
      <c r="BW2363">
        <v>1.61</v>
      </c>
      <c r="BX2363">
        <v>0.23</v>
      </c>
      <c r="BY2363">
        <v>0.62</v>
      </c>
      <c r="BZ2363">
        <v>1.35</v>
      </c>
      <c r="CA2363" t="s">
        <v>120</v>
      </c>
      <c r="CB2363">
        <v>0.86</v>
      </c>
      <c r="CC2363">
        <v>1.65</v>
      </c>
      <c r="CD2363">
        <v>0.94</v>
      </c>
      <c r="CE2363">
        <v>0.39</v>
      </c>
      <c r="CF2363">
        <v>0</v>
      </c>
      <c r="CG2363">
        <v>0.4</v>
      </c>
      <c r="CH2363">
        <v>0.36</v>
      </c>
      <c r="CI2363">
        <v>0.36</v>
      </c>
      <c r="CJ2363">
        <v>-8.1199999999999992</v>
      </c>
      <c r="CK2363">
        <v>0.34</v>
      </c>
      <c r="CL2363">
        <v>1.32</v>
      </c>
      <c r="CM2363">
        <v>0</v>
      </c>
      <c r="CN2363">
        <v>-0.09</v>
      </c>
      <c r="CO2363">
        <v>9787</v>
      </c>
      <c r="CP2363">
        <v>1693</v>
      </c>
      <c r="CQ2363" t="s">
        <v>11058</v>
      </c>
      <c r="CR2363">
        <v>0</v>
      </c>
      <c r="CS2363">
        <v>0</v>
      </c>
      <c r="CT2363">
        <v>12.62</v>
      </c>
      <c r="CU2363">
        <v>-27916.39</v>
      </c>
      <c r="CV2363">
        <v>52.08</v>
      </c>
      <c r="CW2363">
        <v>0</v>
      </c>
      <c r="CX2363" t="s">
        <v>3301</v>
      </c>
      <c r="CY2363">
        <v>10.24</v>
      </c>
      <c r="CZ2363">
        <v>10.24</v>
      </c>
      <c r="DA2363">
        <v>1.3</v>
      </c>
      <c r="DB2363">
        <v>1.98</v>
      </c>
      <c r="DC2363">
        <v>0</v>
      </c>
      <c r="DD2363">
        <v>61.64</v>
      </c>
      <c r="DE2363" t="s">
        <v>11059</v>
      </c>
      <c r="DF2363">
        <v>42.98</v>
      </c>
      <c r="DG2363">
        <v>23.93</v>
      </c>
      <c r="DH2363">
        <v>21.89</v>
      </c>
      <c r="DI2363">
        <v>0.11</v>
      </c>
      <c r="DJ2363">
        <v>586</v>
      </c>
      <c r="DK2363">
        <v>301031</v>
      </c>
      <c r="DL2363" t="s">
        <v>120</v>
      </c>
      <c r="DM2363" t="s">
        <v>120</v>
      </c>
      <c r="DN2363" t="s">
        <v>120</v>
      </c>
    </row>
    <row r="2364" spans="1:118">
      <c r="A2364" t="str">
        <f>"301032"</f>
        <v>301032</v>
      </c>
      <c r="B2364" t="s">
        <v>11060</v>
      </c>
      <c r="C2364">
        <v>-2.4300000000000002</v>
      </c>
      <c r="D2364">
        <v>0</v>
      </c>
      <c r="E2364">
        <v>0.16</v>
      </c>
      <c r="F2364">
        <v>626</v>
      </c>
      <c r="G2364" t="s">
        <v>11061</v>
      </c>
      <c r="H2364">
        <v>6446.09</v>
      </c>
      <c r="I2364">
        <v>25.11</v>
      </c>
      <c r="J2364" t="s">
        <v>120</v>
      </c>
      <c r="K2364" t="s">
        <v>11061</v>
      </c>
      <c r="L2364">
        <v>9.2200000000000006</v>
      </c>
      <c r="M2364">
        <v>12.05</v>
      </c>
      <c r="N2364">
        <v>1</v>
      </c>
      <c r="O2364">
        <v>0.81</v>
      </c>
      <c r="P2364">
        <v>12.45</v>
      </c>
      <c r="Q2364">
        <v>-2.83</v>
      </c>
      <c r="R2364">
        <v>12</v>
      </c>
      <c r="S2364">
        <v>12.37</v>
      </c>
      <c r="T2364">
        <v>52728</v>
      </c>
      <c r="U2364">
        <v>12.06</v>
      </c>
      <c r="V2364">
        <v>12.35</v>
      </c>
      <c r="W2364">
        <v>34.96</v>
      </c>
      <c r="X2364" t="s">
        <v>959</v>
      </c>
      <c r="Y2364" t="s">
        <v>585</v>
      </c>
      <c r="Z2364">
        <v>3.64</v>
      </c>
      <c r="AA2364">
        <v>12.23</v>
      </c>
      <c r="AB2364">
        <v>30917</v>
      </c>
      <c r="AC2364">
        <v>21811</v>
      </c>
      <c r="AD2364">
        <v>1.42</v>
      </c>
      <c r="AE2364">
        <v>89</v>
      </c>
      <c r="AF2364">
        <v>174</v>
      </c>
      <c r="AG2364" t="s">
        <v>120</v>
      </c>
      <c r="AH2364">
        <v>0.04</v>
      </c>
      <c r="AI2364" t="s">
        <v>120</v>
      </c>
      <c r="AJ2364">
        <v>0.56999999999999995</v>
      </c>
      <c r="AK2364" t="s">
        <v>11062</v>
      </c>
      <c r="AL2364">
        <v>-0.52</v>
      </c>
      <c r="AM2364">
        <v>1923</v>
      </c>
      <c r="AN2364">
        <v>27</v>
      </c>
      <c r="AO2364">
        <v>4.7999999999999996E-3</v>
      </c>
      <c r="AP2364">
        <v>-1</v>
      </c>
      <c r="AQ2364">
        <v>1.65</v>
      </c>
      <c r="AR2364">
        <v>-1.87</v>
      </c>
      <c r="AS2364">
        <v>-3.13</v>
      </c>
      <c r="AT2364">
        <v>142.44999999999999</v>
      </c>
      <c r="AU2364">
        <v>142.44999999999999</v>
      </c>
      <c r="AV2364">
        <v>1</v>
      </c>
      <c r="AW2364">
        <v>9.2200000000000006</v>
      </c>
      <c r="AX2364">
        <v>23.71</v>
      </c>
      <c r="AY2364">
        <v>31.08</v>
      </c>
      <c r="AZ2364">
        <v>31.79</v>
      </c>
      <c r="BA2364">
        <v>0</v>
      </c>
      <c r="BB2364" t="s">
        <v>143</v>
      </c>
      <c r="BF2364">
        <v>-1.01</v>
      </c>
      <c r="BG2364">
        <v>-2.59</v>
      </c>
      <c r="BH2364">
        <v>-3.21</v>
      </c>
      <c r="BI2364">
        <v>0.42</v>
      </c>
      <c r="BJ2364">
        <v>20210828</v>
      </c>
      <c r="BK2364">
        <v>20210722</v>
      </c>
      <c r="BL2364">
        <v>2.41</v>
      </c>
      <c r="BM2364" t="s">
        <v>120</v>
      </c>
      <c r="BN2364" t="s">
        <v>120</v>
      </c>
      <c r="BO2364">
        <v>26.35</v>
      </c>
      <c r="BP2364">
        <v>12.05</v>
      </c>
      <c r="BQ2364">
        <v>7.95</v>
      </c>
      <c r="BR2364" t="s">
        <v>120</v>
      </c>
      <c r="BS2364">
        <v>69.81</v>
      </c>
      <c r="BT2364">
        <v>19.61</v>
      </c>
      <c r="BU2364">
        <v>4.28</v>
      </c>
      <c r="BV2364">
        <v>0.92</v>
      </c>
      <c r="BW2364">
        <v>17.78</v>
      </c>
      <c r="BX2364">
        <v>4.7699999999999996</v>
      </c>
      <c r="BY2364">
        <v>3.05</v>
      </c>
      <c r="BZ2364">
        <v>3.46</v>
      </c>
      <c r="CA2364" t="s">
        <v>120</v>
      </c>
      <c r="CB2364">
        <v>3.08</v>
      </c>
      <c r="CC2364">
        <v>14.78</v>
      </c>
      <c r="CD2364">
        <v>13.11</v>
      </c>
      <c r="CE2364">
        <v>0.43</v>
      </c>
      <c r="CF2364">
        <v>0.01</v>
      </c>
      <c r="CG2364">
        <v>0.42</v>
      </c>
      <c r="CH2364">
        <v>0.42</v>
      </c>
      <c r="CI2364">
        <v>0.42</v>
      </c>
      <c r="CJ2364">
        <v>-0.3</v>
      </c>
      <c r="CK2364">
        <v>0.38</v>
      </c>
      <c r="CL2364">
        <v>2.2599999999999998</v>
      </c>
      <c r="CM2364">
        <v>-1.51</v>
      </c>
      <c r="CN2364">
        <v>-2.31</v>
      </c>
      <c r="CO2364">
        <v>66408</v>
      </c>
      <c r="CP2364">
        <v>861</v>
      </c>
      <c r="CQ2364" t="s">
        <v>11063</v>
      </c>
      <c r="CR2364">
        <v>0</v>
      </c>
      <c r="CS2364">
        <v>0</v>
      </c>
      <c r="CT2364">
        <v>2.81</v>
      </c>
      <c r="CU2364">
        <v>-19.29</v>
      </c>
      <c r="CV2364">
        <v>1.97</v>
      </c>
      <c r="CW2364">
        <v>0</v>
      </c>
      <c r="CX2364" t="s">
        <v>694</v>
      </c>
      <c r="CY2364">
        <v>4.29</v>
      </c>
      <c r="CZ2364">
        <v>4.29</v>
      </c>
      <c r="DA2364">
        <v>1.28</v>
      </c>
      <c r="DB2364">
        <v>0.94</v>
      </c>
      <c r="DC2364">
        <v>-0.62</v>
      </c>
      <c r="DD2364">
        <v>30.19</v>
      </c>
      <c r="DE2364" t="s">
        <v>2713</v>
      </c>
      <c r="DF2364">
        <v>11.32</v>
      </c>
      <c r="DG2364">
        <v>2.88</v>
      </c>
      <c r="DH2364">
        <v>2.81</v>
      </c>
      <c r="DI2364">
        <v>0.41</v>
      </c>
      <c r="DJ2364">
        <v>1600</v>
      </c>
      <c r="DK2364">
        <v>301032</v>
      </c>
      <c r="DL2364" t="s">
        <v>120</v>
      </c>
      <c r="DM2364" t="s">
        <v>120</v>
      </c>
      <c r="DN2364" t="s">
        <v>120</v>
      </c>
    </row>
    <row r="2365" spans="1:118">
      <c r="A2365" t="str">
        <f>"301033"</f>
        <v>301033</v>
      </c>
      <c r="B2365" t="s">
        <v>11064</v>
      </c>
      <c r="C2365">
        <v>-5.74</v>
      </c>
      <c r="D2365">
        <v>-0.04</v>
      </c>
      <c r="E2365">
        <v>-0.9</v>
      </c>
      <c r="F2365">
        <v>301</v>
      </c>
      <c r="G2365" t="s">
        <v>11065</v>
      </c>
      <c r="H2365">
        <v>4286.16</v>
      </c>
      <c r="I2365">
        <v>11.22</v>
      </c>
      <c r="J2365" t="s">
        <v>120</v>
      </c>
      <c r="K2365" t="s">
        <v>11065</v>
      </c>
      <c r="L2365">
        <v>4.7</v>
      </c>
      <c r="M2365">
        <v>62.78</v>
      </c>
      <c r="N2365">
        <v>1.2</v>
      </c>
      <c r="O2365">
        <v>0.9</v>
      </c>
      <c r="P2365">
        <v>67.2</v>
      </c>
      <c r="Q2365">
        <v>-5.84</v>
      </c>
      <c r="R2365">
        <v>62.71</v>
      </c>
      <c r="S2365">
        <v>66</v>
      </c>
      <c r="T2365">
        <v>6617</v>
      </c>
      <c r="U2365">
        <v>62.78</v>
      </c>
      <c r="V2365">
        <v>66.599999999999994</v>
      </c>
      <c r="W2365">
        <v>99.11</v>
      </c>
      <c r="X2365" t="s">
        <v>555</v>
      </c>
      <c r="Y2365" t="s">
        <v>547</v>
      </c>
      <c r="Z2365">
        <v>6.74</v>
      </c>
      <c r="AA2365">
        <v>64.77</v>
      </c>
      <c r="AB2365">
        <v>4397</v>
      </c>
      <c r="AC2365">
        <v>2220</v>
      </c>
      <c r="AD2365">
        <v>1.98</v>
      </c>
      <c r="AE2365">
        <v>9</v>
      </c>
      <c r="AF2365">
        <v>3</v>
      </c>
      <c r="AG2365" t="s">
        <v>120</v>
      </c>
      <c r="AH2365">
        <v>0.01</v>
      </c>
      <c r="AI2365" t="s">
        <v>120</v>
      </c>
      <c r="AJ2365">
        <v>0.14000000000000001</v>
      </c>
      <c r="AK2365" t="s">
        <v>6954</v>
      </c>
      <c r="AL2365">
        <v>-3.82</v>
      </c>
      <c r="AM2365">
        <v>1206</v>
      </c>
      <c r="AN2365">
        <v>5</v>
      </c>
      <c r="AO2365">
        <v>3.8999999999999998E-3</v>
      </c>
      <c r="AP2365">
        <v>-2</v>
      </c>
      <c r="AQ2365">
        <v>-4.03</v>
      </c>
      <c r="AR2365">
        <v>-7.51</v>
      </c>
      <c r="AS2365">
        <v>-18.47</v>
      </c>
      <c r="AT2365">
        <v>314.66000000000003</v>
      </c>
      <c r="AU2365">
        <v>314.66000000000003</v>
      </c>
      <c r="AV2365">
        <v>0</v>
      </c>
      <c r="AW2365">
        <v>4.7</v>
      </c>
      <c r="AX2365">
        <v>21.33</v>
      </c>
      <c r="AY2365">
        <v>104</v>
      </c>
      <c r="AZ2365">
        <v>119.02</v>
      </c>
      <c r="BA2365">
        <v>0</v>
      </c>
      <c r="BB2365" t="s">
        <v>143</v>
      </c>
      <c r="BF2365">
        <v>-2.74</v>
      </c>
      <c r="BG2365">
        <v>-4.88</v>
      </c>
      <c r="BH2365">
        <v>-6.58</v>
      </c>
      <c r="BI2365">
        <v>0.11</v>
      </c>
      <c r="BJ2365">
        <v>20210828</v>
      </c>
      <c r="BK2365">
        <v>20210726</v>
      </c>
      <c r="BL2365">
        <v>0.66</v>
      </c>
      <c r="BM2365" t="s">
        <v>120</v>
      </c>
      <c r="BN2365" t="s">
        <v>120</v>
      </c>
      <c r="BO2365">
        <v>5.09</v>
      </c>
      <c r="BP2365">
        <v>62.77</v>
      </c>
      <c r="BQ2365">
        <v>3.55</v>
      </c>
      <c r="BR2365">
        <v>0.04</v>
      </c>
      <c r="BS2365">
        <v>29.45</v>
      </c>
      <c r="BT2365">
        <v>2.5499999999999998</v>
      </c>
      <c r="BU2365">
        <v>0.2</v>
      </c>
      <c r="BV2365">
        <v>0.31</v>
      </c>
      <c r="BW2365">
        <v>0.4</v>
      </c>
      <c r="BX2365">
        <v>0.25</v>
      </c>
      <c r="BY2365">
        <v>0.17</v>
      </c>
      <c r="BZ2365">
        <v>0.04</v>
      </c>
      <c r="CA2365">
        <v>0.01</v>
      </c>
      <c r="CB2365">
        <v>2.6</v>
      </c>
      <c r="CC2365">
        <v>0.69</v>
      </c>
      <c r="CD2365">
        <v>0.13</v>
      </c>
      <c r="CE2365">
        <v>0.25</v>
      </c>
      <c r="CF2365">
        <v>0.02</v>
      </c>
      <c r="CG2365">
        <v>0.24</v>
      </c>
      <c r="CH2365">
        <v>0.21</v>
      </c>
      <c r="CI2365">
        <v>0.21</v>
      </c>
      <c r="CJ2365">
        <v>-3.82</v>
      </c>
      <c r="CK2365">
        <v>0.16</v>
      </c>
      <c r="CL2365">
        <v>0.43</v>
      </c>
      <c r="CM2365">
        <v>0.21</v>
      </c>
      <c r="CN2365">
        <v>0.14000000000000001</v>
      </c>
      <c r="CO2365">
        <v>22492</v>
      </c>
      <c r="CP2365">
        <v>627</v>
      </c>
      <c r="CQ2365" t="s">
        <v>4971</v>
      </c>
      <c r="CR2365">
        <v>0</v>
      </c>
      <c r="CS2365">
        <v>0</v>
      </c>
      <c r="CT2365">
        <v>7.56</v>
      </c>
      <c r="CU2365">
        <v>200.23</v>
      </c>
      <c r="CV2365">
        <v>60.34</v>
      </c>
      <c r="CW2365">
        <v>0</v>
      </c>
      <c r="CX2365" t="s">
        <v>1327</v>
      </c>
      <c r="CY2365">
        <v>8.3000000000000007</v>
      </c>
      <c r="CZ2365">
        <v>8.3000000000000007</v>
      </c>
      <c r="DA2365">
        <v>3.93</v>
      </c>
      <c r="DB2365">
        <v>0.64</v>
      </c>
      <c r="DC2365">
        <v>0.31</v>
      </c>
      <c r="DD2365">
        <v>69.84</v>
      </c>
      <c r="DE2365" t="s">
        <v>11066</v>
      </c>
      <c r="DF2365">
        <v>81.36</v>
      </c>
      <c r="DG2365">
        <v>35.69</v>
      </c>
      <c r="DH2365">
        <v>30.44</v>
      </c>
      <c r="DI2365">
        <v>0.08</v>
      </c>
      <c r="DJ2365">
        <v>236</v>
      </c>
      <c r="DK2365">
        <v>301033</v>
      </c>
      <c r="DL2365" t="s">
        <v>120</v>
      </c>
      <c r="DM2365" t="s">
        <v>120</v>
      </c>
      <c r="DN2365" t="s">
        <v>120</v>
      </c>
    </row>
    <row r="2366" spans="1:118">
      <c r="A2366" t="str">
        <f>"301035"</f>
        <v>301035</v>
      </c>
      <c r="B2366" t="s">
        <v>11067</v>
      </c>
      <c r="C2366">
        <v>2.36</v>
      </c>
      <c r="D2366">
        <v>-0.08</v>
      </c>
      <c r="E2366">
        <v>0.9</v>
      </c>
      <c r="F2366">
        <v>253</v>
      </c>
      <c r="G2366" t="s">
        <v>11068</v>
      </c>
      <c r="H2366">
        <v>12200.93</v>
      </c>
      <c r="I2366">
        <v>39.74</v>
      </c>
      <c r="J2366" t="s">
        <v>120</v>
      </c>
      <c r="K2366" t="s">
        <v>11068</v>
      </c>
      <c r="L2366">
        <v>3.52</v>
      </c>
      <c r="M2366">
        <v>53.75</v>
      </c>
      <c r="N2366">
        <v>0.81</v>
      </c>
      <c r="O2366">
        <v>2.65</v>
      </c>
      <c r="P2366">
        <v>53.9</v>
      </c>
      <c r="Q2366">
        <v>-1.58</v>
      </c>
      <c r="R2366">
        <v>51.68</v>
      </c>
      <c r="S2366">
        <v>52.98</v>
      </c>
      <c r="T2366">
        <v>23031</v>
      </c>
      <c r="U2366">
        <v>53.76</v>
      </c>
      <c r="V2366">
        <v>52.51</v>
      </c>
      <c r="W2366">
        <v>27.01</v>
      </c>
      <c r="X2366" t="s">
        <v>690</v>
      </c>
      <c r="Y2366" t="s">
        <v>638</v>
      </c>
      <c r="Z2366">
        <v>4.2300000000000004</v>
      </c>
      <c r="AA2366">
        <v>52.98</v>
      </c>
      <c r="AB2366">
        <v>9951</v>
      </c>
      <c r="AC2366">
        <v>13080</v>
      </c>
      <c r="AD2366">
        <v>0.76</v>
      </c>
      <c r="AE2366">
        <v>52</v>
      </c>
      <c r="AF2366">
        <v>1</v>
      </c>
      <c r="AG2366" t="s">
        <v>120</v>
      </c>
      <c r="AH2366">
        <v>0.01</v>
      </c>
      <c r="AI2366" t="s">
        <v>120</v>
      </c>
      <c r="AJ2366">
        <v>0.65</v>
      </c>
      <c r="AK2366" t="s">
        <v>11069</v>
      </c>
      <c r="AL2366">
        <v>4.28</v>
      </c>
      <c r="AM2366">
        <v>1906</v>
      </c>
      <c r="AN2366">
        <v>12</v>
      </c>
      <c r="AO2366">
        <v>1.8E-3</v>
      </c>
      <c r="AP2366">
        <v>2</v>
      </c>
      <c r="AQ2366">
        <v>0.98</v>
      </c>
      <c r="AR2366">
        <v>1.39</v>
      </c>
      <c r="AS2366">
        <v>5.79</v>
      </c>
      <c r="AT2366">
        <v>143.88</v>
      </c>
      <c r="AU2366">
        <v>143.88</v>
      </c>
      <c r="AV2366">
        <v>0</v>
      </c>
      <c r="AW2366">
        <v>3.52</v>
      </c>
      <c r="AX2366">
        <v>23.71</v>
      </c>
      <c r="AY2366">
        <v>32.76</v>
      </c>
      <c r="AZ2366">
        <v>33.14</v>
      </c>
      <c r="BA2366">
        <v>0</v>
      </c>
      <c r="BB2366" t="s">
        <v>143</v>
      </c>
      <c r="BF2366">
        <v>0.89</v>
      </c>
      <c r="BG2366">
        <v>1.45</v>
      </c>
      <c r="BH2366">
        <v>-0.28000000000000003</v>
      </c>
      <c r="BI2366">
        <v>4.01</v>
      </c>
      <c r="BJ2366">
        <v>20210825</v>
      </c>
      <c r="BK2366">
        <v>20210728</v>
      </c>
      <c r="BL2366">
        <v>2.76</v>
      </c>
      <c r="BM2366" t="s">
        <v>120</v>
      </c>
      <c r="BN2366" t="s">
        <v>120</v>
      </c>
      <c r="BO2366">
        <v>72.95</v>
      </c>
      <c r="BP2366">
        <v>53.75</v>
      </c>
      <c r="BQ2366">
        <v>30.83</v>
      </c>
      <c r="BR2366">
        <v>1.43</v>
      </c>
      <c r="BS2366">
        <v>55.77</v>
      </c>
      <c r="BT2366">
        <v>57.95</v>
      </c>
      <c r="BU2366">
        <v>9.6999999999999993</v>
      </c>
      <c r="BV2366">
        <v>1.18</v>
      </c>
      <c r="BW2366">
        <v>39.71</v>
      </c>
      <c r="BX2366">
        <v>18.559999999999999</v>
      </c>
      <c r="BY2366">
        <v>13.32</v>
      </c>
      <c r="BZ2366">
        <v>22.36</v>
      </c>
      <c r="CA2366" t="s">
        <v>120</v>
      </c>
      <c r="CB2366">
        <v>8.58</v>
      </c>
      <c r="CC2366">
        <v>40.14</v>
      </c>
      <c r="CD2366">
        <v>33.78</v>
      </c>
      <c r="CE2366">
        <v>3.54</v>
      </c>
      <c r="CF2366">
        <v>1.43</v>
      </c>
      <c r="CG2366">
        <v>3.52</v>
      </c>
      <c r="CH2366">
        <v>2.97</v>
      </c>
      <c r="CI2366">
        <v>2.75</v>
      </c>
      <c r="CJ2366">
        <v>1.24</v>
      </c>
      <c r="CK2366">
        <v>2.66</v>
      </c>
      <c r="CL2366">
        <v>19.07</v>
      </c>
      <c r="CM2366">
        <v>-4.68</v>
      </c>
      <c r="CN2366">
        <v>-0.38</v>
      </c>
      <c r="CO2366">
        <v>73793</v>
      </c>
      <c r="CP2366">
        <v>887</v>
      </c>
      <c r="CQ2366" t="s">
        <v>4952</v>
      </c>
      <c r="CR2366">
        <v>1.87</v>
      </c>
      <c r="CS2366">
        <v>12.03</v>
      </c>
      <c r="CT2366">
        <v>3.29</v>
      </c>
      <c r="CU2366">
        <v>-31.69</v>
      </c>
      <c r="CV2366">
        <v>3.7</v>
      </c>
      <c r="CW2366">
        <v>1.03</v>
      </c>
      <c r="CX2366" t="s">
        <v>9820</v>
      </c>
      <c r="CY2366">
        <v>16.34</v>
      </c>
      <c r="CZ2366">
        <v>16.34</v>
      </c>
      <c r="DA2366">
        <v>3.11</v>
      </c>
      <c r="DB2366">
        <v>6.91</v>
      </c>
      <c r="DC2366">
        <v>-1.7</v>
      </c>
      <c r="DD2366">
        <v>42.27</v>
      </c>
      <c r="DE2366" t="s">
        <v>11070</v>
      </c>
      <c r="DF2366">
        <v>15.84</v>
      </c>
      <c r="DG2366">
        <v>8.81</v>
      </c>
      <c r="DH2366">
        <v>6.85</v>
      </c>
      <c r="DI2366">
        <v>1.0900000000000001</v>
      </c>
      <c r="DJ2366">
        <v>2713</v>
      </c>
      <c r="DK2366">
        <v>301035</v>
      </c>
      <c r="DL2366" t="s">
        <v>120</v>
      </c>
      <c r="DM2366" t="s">
        <v>120</v>
      </c>
      <c r="DN2366" t="s">
        <v>120</v>
      </c>
    </row>
    <row r="2367" spans="1:118">
      <c r="A2367" t="str">
        <f>"301036"</f>
        <v>301036</v>
      </c>
      <c r="B2367" t="s">
        <v>11071</v>
      </c>
      <c r="C2367">
        <v>-2.2200000000000002</v>
      </c>
      <c r="D2367">
        <v>-0.03</v>
      </c>
      <c r="E2367">
        <v>-1.1000000000000001</v>
      </c>
      <c r="F2367">
        <v>219</v>
      </c>
      <c r="G2367" t="s">
        <v>9602</v>
      </c>
      <c r="H2367">
        <v>8677.43</v>
      </c>
      <c r="I2367">
        <v>22.44</v>
      </c>
      <c r="J2367" t="s">
        <v>120</v>
      </c>
      <c r="K2367" t="s">
        <v>9602</v>
      </c>
      <c r="L2367">
        <v>7.96</v>
      </c>
      <c r="M2367">
        <v>45.28</v>
      </c>
      <c r="N2367">
        <v>0.95</v>
      </c>
      <c r="O2367">
        <v>2.2000000000000002</v>
      </c>
      <c r="P2367">
        <v>47.33</v>
      </c>
      <c r="Q2367">
        <v>-3.02</v>
      </c>
      <c r="R2367">
        <v>44.91</v>
      </c>
      <c r="S2367">
        <v>45.8</v>
      </c>
      <c r="T2367">
        <v>18877</v>
      </c>
      <c r="U2367">
        <v>45.28</v>
      </c>
      <c r="V2367">
        <v>46.31</v>
      </c>
      <c r="W2367">
        <v>26.57</v>
      </c>
      <c r="X2367" t="s">
        <v>1145</v>
      </c>
      <c r="Y2367" t="s">
        <v>319</v>
      </c>
      <c r="Z2367">
        <v>5.23</v>
      </c>
      <c r="AA2367">
        <v>45.97</v>
      </c>
      <c r="AB2367">
        <v>10198</v>
      </c>
      <c r="AC2367">
        <v>8679</v>
      </c>
      <c r="AD2367">
        <v>1.18</v>
      </c>
      <c r="AE2367">
        <v>5</v>
      </c>
      <c r="AF2367">
        <v>2</v>
      </c>
      <c r="AG2367" t="s">
        <v>120</v>
      </c>
      <c r="AH2367">
        <v>0.02</v>
      </c>
      <c r="AI2367" t="s">
        <v>120</v>
      </c>
      <c r="AJ2367">
        <v>0.24</v>
      </c>
      <c r="AK2367" t="s">
        <v>11072</v>
      </c>
      <c r="AL2367">
        <v>-0.31</v>
      </c>
      <c r="AM2367">
        <v>1771</v>
      </c>
      <c r="AN2367">
        <v>11</v>
      </c>
      <c r="AO2367">
        <v>4.4999999999999997E-3</v>
      </c>
      <c r="AP2367">
        <v>-1</v>
      </c>
      <c r="AQ2367">
        <v>2.68</v>
      </c>
      <c r="AR2367">
        <v>2.44</v>
      </c>
      <c r="AS2367">
        <v>-3.37</v>
      </c>
      <c r="AT2367">
        <v>93.67</v>
      </c>
      <c r="AU2367">
        <v>93.67</v>
      </c>
      <c r="AV2367">
        <v>0</v>
      </c>
      <c r="AW2367">
        <v>7.96</v>
      </c>
      <c r="AX2367">
        <v>23.71</v>
      </c>
      <c r="AY2367">
        <v>25.21</v>
      </c>
      <c r="AZ2367">
        <v>29.29</v>
      </c>
      <c r="BA2367">
        <v>0</v>
      </c>
      <c r="BB2367" t="s">
        <v>751</v>
      </c>
      <c r="BF2367">
        <v>-0.74</v>
      </c>
      <c r="BG2367">
        <v>-1.1399999999999999</v>
      </c>
      <c r="BH2367">
        <v>-4.33</v>
      </c>
      <c r="BI2367">
        <v>0.82</v>
      </c>
      <c r="BJ2367">
        <v>20210830</v>
      </c>
      <c r="BK2367">
        <v>20210729</v>
      </c>
      <c r="BL2367">
        <v>1</v>
      </c>
      <c r="BM2367" t="s">
        <v>120</v>
      </c>
      <c r="BN2367" t="s">
        <v>120</v>
      </c>
      <c r="BO2367">
        <v>18.29</v>
      </c>
      <c r="BP2367">
        <v>45.27</v>
      </c>
      <c r="BQ2367">
        <v>10.59</v>
      </c>
      <c r="BR2367" t="s">
        <v>120</v>
      </c>
      <c r="BS2367">
        <v>42.09</v>
      </c>
      <c r="BT2367">
        <v>4.46</v>
      </c>
      <c r="BU2367">
        <v>11.01</v>
      </c>
      <c r="BV2367">
        <v>0.94</v>
      </c>
      <c r="BW2367">
        <v>5.93</v>
      </c>
      <c r="BX2367">
        <v>0.24</v>
      </c>
      <c r="BY2367">
        <v>1.91</v>
      </c>
      <c r="BZ2367">
        <v>1.78</v>
      </c>
      <c r="CA2367" t="s">
        <v>120</v>
      </c>
      <c r="CB2367">
        <v>5.23</v>
      </c>
      <c r="CC2367">
        <v>7.4</v>
      </c>
      <c r="CD2367">
        <v>5.66</v>
      </c>
      <c r="CE2367">
        <v>1.05</v>
      </c>
      <c r="CF2367">
        <v>0.01</v>
      </c>
      <c r="CG2367">
        <v>1.03</v>
      </c>
      <c r="CH2367">
        <v>0.85</v>
      </c>
      <c r="CI2367">
        <v>0.85</v>
      </c>
      <c r="CJ2367">
        <v>-1.03</v>
      </c>
      <c r="CK2367">
        <v>0.83</v>
      </c>
      <c r="CL2367">
        <v>4.2300000000000004</v>
      </c>
      <c r="CM2367">
        <v>-0.05</v>
      </c>
      <c r="CN2367">
        <v>-0.04</v>
      </c>
      <c r="CO2367">
        <v>32352</v>
      </c>
      <c r="CP2367">
        <v>733</v>
      </c>
      <c r="CQ2367" t="s">
        <v>11073</v>
      </c>
      <c r="CR2367">
        <v>0</v>
      </c>
      <c r="CS2367">
        <v>0</v>
      </c>
      <c r="CT2367">
        <v>2.87</v>
      </c>
      <c r="CU2367">
        <v>-1000.11</v>
      </c>
      <c r="CV2367">
        <v>6.12</v>
      </c>
      <c r="CW2367">
        <v>0</v>
      </c>
      <c r="CX2367" t="s">
        <v>878</v>
      </c>
      <c r="CY2367">
        <v>15.77</v>
      </c>
      <c r="CZ2367">
        <v>15.77</v>
      </c>
      <c r="DA2367">
        <v>5.23</v>
      </c>
      <c r="DB2367">
        <v>4.2300000000000004</v>
      </c>
      <c r="DC2367">
        <v>-0.05</v>
      </c>
      <c r="DD2367">
        <v>57.91</v>
      </c>
      <c r="DE2367" t="s">
        <v>5253</v>
      </c>
      <c r="DF2367">
        <v>23.49</v>
      </c>
      <c r="DG2367">
        <v>14.19</v>
      </c>
      <c r="DH2367">
        <v>11.52</v>
      </c>
      <c r="DI2367">
        <v>0.3</v>
      </c>
      <c r="DJ2367">
        <v>1003</v>
      </c>
      <c r="DK2367">
        <v>301036</v>
      </c>
      <c r="DL2367" t="s">
        <v>120</v>
      </c>
      <c r="DM2367" t="s">
        <v>120</v>
      </c>
      <c r="DN2367" t="s">
        <v>120</v>
      </c>
    </row>
    <row r="2368" spans="1:118">
      <c r="A2368" t="str">
        <f>"301037"</f>
        <v>301037</v>
      </c>
      <c r="B2368" t="s">
        <v>11074</v>
      </c>
      <c r="C2368">
        <v>2.61</v>
      </c>
      <c r="D2368">
        <v>0.03</v>
      </c>
      <c r="E2368">
        <v>-0.93</v>
      </c>
      <c r="F2368">
        <v>817</v>
      </c>
      <c r="G2368" t="s">
        <v>11075</v>
      </c>
      <c r="H2368">
        <v>18139.490000000002</v>
      </c>
      <c r="I2368">
        <v>41.27</v>
      </c>
      <c r="J2368" t="s">
        <v>120</v>
      </c>
      <c r="K2368" t="s">
        <v>11075</v>
      </c>
      <c r="L2368">
        <v>29.6</v>
      </c>
      <c r="M2368">
        <v>28.69</v>
      </c>
      <c r="N2368">
        <v>2.86</v>
      </c>
      <c r="O2368">
        <v>9.01</v>
      </c>
      <c r="P2368">
        <v>30.48</v>
      </c>
      <c r="Q2368">
        <v>-1.79</v>
      </c>
      <c r="R2368">
        <v>27.46</v>
      </c>
      <c r="S2368">
        <v>27.7</v>
      </c>
      <c r="T2368">
        <v>63216</v>
      </c>
      <c r="U2368">
        <v>28.7</v>
      </c>
      <c r="V2368">
        <v>27.96</v>
      </c>
      <c r="W2368">
        <v>28.66</v>
      </c>
      <c r="X2368" t="s">
        <v>868</v>
      </c>
      <c r="Y2368" t="s">
        <v>1510</v>
      </c>
      <c r="Z2368">
        <v>10.8</v>
      </c>
      <c r="AA2368">
        <v>28.69</v>
      </c>
      <c r="AB2368">
        <v>31047</v>
      </c>
      <c r="AC2368">
        <v>32169</v>
      </c>
      <c r="AD2368">
        <v>0.97</v>
      </c>
      <c r="AE2368">
        <v>561</v>
      </c>
      <c r="AF2368">
        <v>113</v>
      </c>
      <c r="AG2368" t="s">
        <v>120</v>
      </c>
      <c r="AH2368">
        <v>7.0000000000000007E-2</v>
      </c>
      <c r="AI2368" t="s">
        <v>120</v>
      </c>
      <c r="AJ2368">
        <v>0.21</v>
      </c>
      <c r="AK2368" t="s">
        <v>6063</v>
      </c>
      <c r="AL2368">
        <v>4.5199999999999996</v>
      </c>
      <c r="AM2368">
        <v>2578</v>
      </c>
      <c r="AN2368">
        <v>25</v>
      </c>
      <c r="AO2368">
        <v>1.15E-2</v>
      </c>
      <c r="AP2368">
        <v>2</v>
      </c>
      <c r="AQ2368">
        <v>4.6399999999999997</v>
      </c>
      <c r="AR2368">
        <v>4.74</v>
      </c>
      <c r="AS2368">
        <v>2.57</v>
      </c>
      <c r="AT2368">
        <v>93.59</v>
      </c>
      <c r="AU2368">
        <v>93.59</v>
      </c>
      <c r="AV2368">
        <v>0</v>
      </c>
      <c r="AW2368">
        <v>29.6</v>
      </c>
      <c r="AX2368">
        <v>23.71</v>
      </c>
      <c r="AY2368">
        <v>28.75</v>
      </c>
      <c r="AZ2368">
        <v>28.05</v>
      </c>
      <c r="BA2368">
        <v>0</v>
      </c>
      <c r="BB2368" t="s">
        <v>143</v>
      </c>
      <c r="BF2368">
        <v>2.63</v>
      </c>
      <c r="BG2368">
        <v>3.57</v>
      </c>
      <c r="BH2368">
        <v>-5.87</v>
      </c>
      <c r="BI2368">
        <v>4.4800000000000004</v>
      </c>
      <c r="BJ2368">
        <v>20210914</v>
      </c>
      <c r="BK2368">
        <v>20210730</v>
      </c>
      <c r="BL2368">
        <v>0.9</v>
      </c>
      <c r="BM2368" t="s">
        <v>120</v>
      </c>
      <c r="BN2368" t="s">
        <v>120</v>
      </c>
      <c r="BO2368">
        <v>23.42</v>
      </c>
      <c r="BP2368">
        <v>28.68</v>
      </c>
      <c r="BQ2368">
        <v>5.36</v>
      </c>
      <c r="BR2368" t="s">
        <v>120</v>
      </c>
      <c r="BS2368">
        <v>77.09</v>
      </c>
      <c r="BT2368">
        <v>18.940000000000001</v>
      </c>
      <c r="BU2368">
        <v>2.8</v>
      </c>
      <c r="BV2368">
        <v>0.67</v>
      </c>
      <c r="BW2368">
        <v>17.47</v>
      </c>
      <c r="BX2368">
        <v>3.38</v>
      </c>
      <c r="BY2368">
        <v>2.04</v>
      </c>
      <c r="BZ2368">
        <v>8.59</v>
      </c>
      <c r="CA2368" t="s">
        <v>120</v>
      </c>
      <c r="CB2368">
        <v>0.98</v>
      </c>
      <c r="CC2368">
        <v>14.75</v>
      </c>
      <c r="CD2368">
        <v>12.89</v>
      </c>
      <c r="CE2368">
        <v>0.53</v>
      </c>
      <c r="CF2368">
        <v>0</v>
      </c>
      <c r="CG2368">
        <v>0.52</v>
      </c>
      <c r="CH2368">
        <v>0.45</v>
      </c>
      <c r="CI2368">
        <v>0.45</v>
      </c>
      <c r="CJ2368">
        <v>0.73</v>
      </c>
      <c r="CK2368">
        <v>0.42</v>
      </c>
      <c r="CL2368">
        <v>3.66</v>
      </c>
      <c r="CM2368">
        <v>-1.75</v>
      </c>
      <c r="CN2368">
        <v>0.08</v>
      </c>
      <c r="CO2368">
        <v>18879</v>
      </c>
      <c r="CP2368">
        <v>1131</v>
      </c>
      <c r="CQ2368" t="s">
        <v>1254</v>
      </c>
      <c r="CR2368">
        <v>0</v>
      </c>
      <c r="CS2368">
        <v>0</v>
      </c>
      <c r="CT2368">
        <v>3.15</v>
      </c>
      <c r="CU2368">
        <v>-14.76</v>
      </c>
      <c r="CV2368">
        <v>1.75</v>
      </c>
      <c r="CW2368">
        <v>0</v>
      </c>
      <c r="CX2368" t="s">
        <v>1469</v>
      </c>
      <c r="CY2368">
        <v>9.11</v>
      </c>
      <c r="CZ2368">
        <v>9.11</v>
      </c>
      <c r="DA2368">
        <v>1.0900000000000001</v>
      </c>
      <c r="DB2368">
        <v>4.0599999999999996</v>
      </c>
      <c r="DC2368">
        <v>-1.94</v>
      </c>
      <c r="DD2368">
        <v>22.91</v>
      </c>
      <c r="DE2368" t="s">
        <v>11076</v>
      </c>
      <c r="DF2368">
        <v>12.64</v>
      </c>
      <c r="DG2368">
        <v>3.56</v>
      </c>
      <c r="DH2368">
        <v>3.06</v>
      </c>
      <c r="DI2368">
        <v>0.22</v>
      </c>
      <c r="DJ2368">
        <v>616</v>
      </c>
      <c r="DK2368">
        <v>301037</v>
      </c>
      <c r="DL2368" t="s">
        <v>120</v>
      </c>
      <c r="DM2368" t="s">
        <v>120</v>
      </c>
      <c r="DN2368" t="s">
        <v>120</v>
      </c>
    </row>
    <row r="2369" spans="1:118">
      <c r="A2369" t="str">
        <f>"301038"</f>
        <v>301038</v>
      </c>
      <c r="B2369" t="s">
        <v>11077</v>
      </c>
      <c r="C2369">
        <v>-3.65</v>
      </c>
      <c r="D2369">
        <v>0</v>
      </c>
      <c r="E2369">
        <v>-0.35</v>
      </c>
      <c r="F2369">
        <v>683</v>
      </c>
      <c r="G2369" t="s">
        <v>11078</v>
      </c>
      <c r="H2369">
        <v>8573.9</v>
      </c>
      <c r="I2369">
        <v>18.559999999999999</v>
      </c>
      <c r="J2369" t="s">
        <v>120</v>
      </c>
      <c r="K2369" t="s">
        <v>11078</v>
      </c>
      <c r="L2369">
        <v>13.65</v>
      </c>
      <c r="M2369">
        <v>21.88</v>
      </c>
      <c r="N2369">
        <v>0.64</v>
      </c>
      <c r="O2369">
        <v>1.06</v>
      </c>
      <c r="P2369">
        <v>22.95</v>
      </c>
      <c r="Q2369">
        <v>-3.74</v>
      </c>
      <c r="R2369">
        <v>21.86</v>
      </c>
      <c r="S2369">
        <v>22.63</v>
      </c>
      <c r="T2369">
        <v>38444</v>
      </c>
      <c r="U2369">
        <v>21.89</v>
      </c>
      <c r="V2369">
        <v>22.71</v>
      </c>
      <c r="W2369">
        <v>31.81</v>
      </c>
      <c r="X2369" t="s">
        <v>175</v>
      </c>
      <c r="Y2369" t="s">
        <v>123</v>
      </c>
      <c r="Z2369">
        <v>4.8</v>
      </c>
      <c r="AA2369">
        <v>22.3</v>
      </c>
      <c r="AB2369">
        <v>23371</v>
      </c>
      <c r="AC2369">
        <v>15073</v>
      </c>
      <c r="AD2369">
        <v>1.55</v>
      </c>
      <c r="AE2369">
        <v>67</v>
      </c>
      <c r="AF2369">
        <v>2</v>
      </c>
      <c r="AG2369" t="s">
        <v>120</v>
      </c>
      <c r="AH2369">
        <v>0.03</v>
      </c>
      <c r="AI2369" t="s">
        <v>120</v>
      </c>
      <c r="AJ2369">
        <v>0.28000000000000003</v>
      </c>
      <c r="AK2369" t="s">
        <v>11079</v>
      </c>
      <c r="AL2369">
        <v>-1.74</v>
      </c>
      <c r="AM2369">
        <v>2154</v>
      </c>
      <c r="AN2369">
        <v>18</v>
      </c>
      <c r="AO2369">
        <v>6.3E-3</v>
      </c>
      <c r="AP2369">
        <v>-1</v>
      </c>
      <c r="AQ2369">
        <v>1.25</v>
      </c>
      <c r="AR2369">
        <v>-6.93</v>
      </c>
      <c r="AS2369">
        <v>0.46</v>
      </c>
      <c r="AT2369">
        <v>227.54</v>
      </c>
      <c r="AU2369">
        <v>227.54</v>
      </c>
      <c r="AV2369">
        <v>1</v>
      </c>
      <c r="AW2369">
        <v>13.65</v>
      </c>
      <c r="AX2369">
        <v>21.34</v>
      </c>
      <c r="AY2369">
        <v>29.37</v>
      </c>
      <c r="AZ2369">
        <v>32.07</v>
      </c>
      <c r="BA2369">
        <v>0</v>
      </c>
      <c r="BB2369" t="s">
        <v>2725</v>
      </c>
      <c r="BF2369">
        <v>-1.8</v>
      </c>
      <c r="BG2369">
        <v>-3.31</v>
      </c>
      <c r="BH2369">
        <v>-4.66</v>
      </c>
      <c r="BI2369">
        <v>0.09</v>
      </c>
      <c r="BJ2369">
        <v>20210902</v>
      </c>
      <c r="BK2369">
        <v>20210804</v>
      </c>
      <c r="BL2369">
        <v>1.32</v>
      </c>
      <c r="BM2369" t="s">
        <v>120</v>
      </c>
      <c r="BN2369" t="s">
        <v>120</v>
      </c>
      <c r="BO2369">
        <v>14.18</v>
      </c>
      <c r="BP2369">
        <v>21.88</v>
      </c>
      <c r="BQ2369">
        <v>7.07</v>
      </c>
      <c r="BR2369" t="s">
        <v>120</v>
      </c>
      <c r="BS2369">
        <v>50.17</v>
      </c>
      <c r="BT2369">
        <v>11.19</v>
      </c>
      <c r="BU2369">
        <v>1.04</v>
      </c>
      <c r="BV2369">
        <v>0.73</v>
      </c>
      <c r="BW2369">
        <v>7.01</v>
      </c>
      <c r="BX2369">
        <v>1.77</v>
      </c>
      <c r="BY2369">
        <v>7.0000000000000007E-2</v>
      </c>
      <c r="BZ2369">
        <v>0.26</v>
      </c>
      <c r="CA2369" t="s">
        <v>120</v>
      </c>
      <c r="CB2369">
        <v>3.35</v>
      </c>
      <c r="CC2369">
        <v>5.0199999999999996</v>
      </c>
      <c r="CD2369">
        <v>3.48</v>
      </c>
      <c r="CE2369">
        <v>0.51</v>
      </c>
      <c r="CF2369">
        <v>0.02</v>
      </c>
      <c r="CG2369">
        <v>0.51</v>
      </c>
      <c r="CH2369">
        <v>0.45</v>
      </c>
      <c r="CI2369">
        <v>0.45</v>
      </c>
      <c r="CJ2369">
        <v>-0.83</v>
      </c>
      <c r="CK2369">
        <v>0.42</v>
      </c>
      <c r="CL2369">
        <v>2.4500000000000002</v>
      </c>
      <c r="CM2369">
        <v>-1.89</v>
      </c>
      <c r="CN2369">
        <v>-2.2599999999999998</v>
      </c>
      <c r="CO2369">
        <v>20721</v>
      </c>
      <c r="CP2369">
        <v>1359</v>
      </c>
      <c r="CQ2369" t="s">
        <v>3663</v>
      </c>
      <c r="CR2369">
        <v>0</v>
      </c>
      <c r="CS2369">
        <v>0</v>
      </c>
      <c r="CT2369">
        <v>3.28</v>
      </c>
      <c r="CU2369">
        <v>-15.3</v>
      </c>
      <c r="CV2369">
        <v>5.75</v>
      </c>
      <c r="CW2369">
        <v>0</v>
      </c>
      <c r="CX2369" t="s">
        <v>1631</v>
      </c>
      <c r="CY2369">
        <v>6.68</v>
      </c>
      <c r="CZ2369">
        <v>6.68</v>
      </c>
      <c r="DA2369">
        <v>2.54</v>
      </c>
      <c r="DB2369">
        <v>1.86</v>
      </c>
      <c r="DC2369">
        <v>-1.43</v>
      </c>
      <c r="DD2369">
        <v>49.83</v>
      </c>
      <c r="DE2369" t="s">
        <v>1443</v>
      </c>
      <c r="DF2369">
        <v>30.82</v>
      </c>
      <c r="DG2369">
        <v>10.119999999999999</v>
      </c>
      <c r="DH2369">
        <v>9.0399999999999991</v>
      </c>
      <c r="DI2369">
        <v>0.21</v>
      </c>
      <c r="DJ2369">
        <v>1263</v>
      </c>
      <c r="DK2369">
        <v>301038</v>
      </c>
      <c r="DL2369">
        <v>20210907</v>
      </c>
      <c r="DM2369">
        <v>27.4</v>
      </c>
      <c r="DN2369">
        <v>-20.149999999999999</v>
      </c>
    </row>
    <row r="2370" spans="1:118">
      <c r="A2370" t="str">
        <f>"301039"</f>
        <v>301039</v>
      </c>
      <c r="B2370" t="s">
        <v>11080</v>
      </c>
      <c r="C2370">
        <v>-3.23</v>
      </c>
      <c r="D2370">
        <v>-7.0000000000000007E-2</v>
      </c>
      <c r="E2370">
        <v>-0.48</v>
      </c>
      <c r="F2370">
        <v>1855</v>
      </c>
      <c r="G2370" t="s">
        <v>8427</v>
      </c>
      <c r="H2370">
        <v>13586.83</v>
      </c>
      <c r="I2370">
        <v>61.35</v>
      </c>
      <c r="J2370" t="s">
        <v>120</v>
      </c>
      <c r="K2370" t="s">
        <v>8427</v>
      </c>
      <c r="L2370">
        <v>6.47</v>
      </c>
      <c r="M2370">
        <v>11.98</v>
      </c>
      <c r="N2370">
        <v>0.69</v>
      </c>
      <c r="O2370">
        <v>0.32</v>
      </c>
      <c r="P2370">
        <v>12.42</v>
      </c>
      <c r="Q2370">
        <v>-3.23</v>
      </c>
      <c r="R2370">
        <v>11.98</v>
      </c>
      <c r="S2370">
        <v>12.32</v>
      </c>
      <c r="T2370">
        <v>111549</v>
      </c>
      <c r="U2370">
        <v>11.99</v>
      </c>
      <c r="V2370">
        <v>12.38</v>
      </c>
      <c r="W2370">
        <v>17.55</v>
      </c>
      <c r="X2370" t="s">
        <v>1068</v>
      </c>
      <c r="Y2370" t="s">
        <v>123</v>
      </c>
      <c r="Z2370">
        <v>3.55</v>
      </c>
      <c r="AA2370">
        <v>12.18</v>
      </c>
      <c r="AB2370">
        <v>72648</v>
      </c>
      <c r="AC2370">
        <v>38901</v>
      </c>
      <c r="AD2370">
        <v>1.87</v>
      </c>
      <c r="AE2370">
        <v>669</v>
      </c>
      <c r="AF2370">
        <v>534</v>
      </c>
      <c r="AG2370" t="s">
        <v>120</v>
      </c>
      <c r="AH2370">
        <v>0.03</v>
      </c>
      <c r="AI2370" t="s">
        <v>120</v>
      </c>
      <c r="AJ2370">
        <v>1.72</v>
      </c>
      <c r="AK2370" t="s">
        <v>11081</v>
      </c>
      <c r="AL2370">
        <v>-1.32</v>
      </c>
      <c r="AM2370">
        <v>2817</v>
      </c>
      <c r="AN2370">
        <v>40</v>
      </c>
      <c r="AO2370">
        <v>2.3E-3</v>
      </c>
      <c r="AP2370">
        <v>-1</v>
      </c>
      <c r="AQ2370">
        <v>2.4</v>
      </c>
      <c r="AR2370">
        <v>-3.62</v>
      </c>
      <c r="AS2370">
        <v>-4.01</v>
      </c>
      <c r="AT2370">
        <v>72.12</v>
      </c>
      <c r="AU2370">
        <v>72.12</v>
      </c>
      <c r="AV2370">
        <v>0</v>
      </c>
      <c r="AW2370">
        <v>6.47</v>
      </c>
      <c r="AX2370">
        <v>9.92</v>
      </c>
      <c r="AY2370">
        <v>21.09</v>
      </c>
      <c r="AZ2370">
        <v>22.07</v>
      </c>
      <c r="BA2370">
        <v>0</v>
      </c>
      <c r="BB2370" t="s">
        <v>143</v>
      </c>
      <c r="BF2370">
        <v>-1.61</v>
      </c>
      <c r="BG2370">
        <v>-2.76</v>
      </c>
      <c r="BH2370">
        <v>-3.54</v>
      </c>
      <c r="BI2370">
        <v>0</v>
      </c>
      <c r="BJ2370">
        <v>20210913</v>
      </c>
      <c r="BK2370">
        <v>20210708</v>
      </c>
      <c r="BL2370">
        <v>20.18</v>
      </c>
      <c r="BM2370" t="s">
        <v>120</v>
      </c>
      <c r="BN2370">
        <v>2.79</v>
      </c>
      <c r="BO2370">
        <v>224.63</v>
      </c>
      <c r="BP2370">
        <v>11.98</v>
      </c>
      <c r="BQ2370">
        <v>106.08</v>
      </c>
      <c r="BR2370">
        <v>5.2</v>
      </c>
      <c r="BS2370">
        <v>50.46</v>
      </c>
      <c r="BT2370">
        <v>151.68</v>
      </c>
      <c r="BU2370">
        <v>43.97</v>
      </c>
      <c r="BV2370">
        <v>9.11</v>
      </c>
      <c r="BW2370">
        <v>105.83</v>
      </c>
      <c r="BX2370">
        <v>43.61</v>
      </c>
      <c r="BY2370">
        <v>42.86</v>
      </c>
      <c r="BZ2370">
        <v>46.7</v>
      </c>
      <c r="CA2370" t="s">
        <v>120</v>
      </c>
      <c r="CB2370">
        <v>34.03</v>
      </c>
      <c r="CC2370">
        <v>177.12</v>
      </c>
      <c r="CD2370">
        <v>159.28</v>
      </c>
      <c r="CE2370">
        <v>8.7799999999999994</v>
      </c>
      <c r="CF2370">
        <v>0.04</v>
      </c>
      <c r="CG2370">
        <v>8.82</v>
      </c>
      <c r="CH2370">
        <v>7.61</v>
      </c>
      <c r="CI2370">
        <v>6.88</v>
      </c>
      <c r="CJ2370">
        <v>-0.4</v>
      </c>
      <c r="CK2370">
        <v>4.5599999999999996</v>
      </c>
      <c r="CL2370">
        <v>52.77</v>
      </c>
      <c r="CM2370">
        <v>2.82</v>
      </c>
      <c r="CN2370">
        <v>-2.75</v>
      </c>
      <c r="CO2370">
        <v>150760</v>
      </c>
      <c r="CP2370">
        <v>1144</v>
      </c>
      <c r="CQ2370" t="s">
        <v>11082</v>
      </c>
      <c r="CR2370">
        <v>0</v>
      </c>
      <c r="CS2370">
        <v>0</v>
      </c>
      <c r="CT2370">
        <v>1.98</v>
      </c>
      <c r="CU2370">
        <v>85.62</v>
      </c>
      <c r="CV2370">
        <v>1.36</v>
      </c>
      <c r="CW2370">
        <v>2.42</v>
      </c>
      <c r="CX2370" t="s">
        <v>1980</v>
      </c>
      <c r="CY2370">
        <v>6.04</v>
      </c>
      <c r="CZ2370">
        <v>6.04</v>
      </c>
      <c r="DA2370">
        <v>1.69</v>
      </c>
      <c r="DB2370">
        <v>2.62</v>
      </c>
      <c r="DC2370">
        <v>0.14000000000000001</v>
      </c>
      <c r="DD2370">
        <v>47.22</v>
      </c>
      <c r="DE2370" t="s">
        <v>6672</v>
      </c>
      <c r="DF2370">
        <v>10.07</v>
      </c>
      <c r="DG2370">
        <v>4.96</v>
      </c>
      <c r="DH2370">
        <v>3.89</v>
      </c>
      <c r="DI2370">
        <v>1.9</v>
      </c>
      <c r="DJ2370">
        <v>13211</v>
      </c>
      <c r="DK2370">
        <v>301039</v>
      </c>
      <c r="DL2370" t="s">
        <v>120</v>
      </c>
      <c r="DM2370" t="s">
        <v>120</v>
      </c>
      <c r="DN2370" t="s">
        <v>120</v>
      </c>
    </row>
    <row r="2371" spans="1:118">
      <c r="A2371" t="str">
        <f>"301040"</f>
        <v>301040</v>
      </c>
      <c r="B2371" t="s">
        <v>11083</v>
      </c>
      <c r="C2371">
        <v>-7.76</v>
      </c>
      <c r="D2371">
        <v>0.05</v>
      </c>
      <c r="E2371">
        <v>-3.49</v>
      </c>
      <c r="F2371">
        <v>503</v>
      </c>
      <c r="G2371" t="s">
        <v>7349</v>
      </c>
      <c r="H2371">
        <v>24826.99</v>
      </c>
      <c r="I2371">
        <v>376.25</v>
      </c>
      <c r="J2371" t="s">
        <v>120</v>
      </c>
      <c r="K2371" t="s">
        <v>7349</v>
      </c>
      <c r="L2371">
        <v>27.04</v>
      </c>
      <c r="M2371">
        <v>37.299999999999997</v>
      </c>
      <c r="N2371">
        <v>1.02</v>
      </c>
      <c r="O2371">
        <v>-0.4</v>
      </c>
      <c r="P2371">
        <v>40.28</v>
      </c>
      <c r="Q2371">
        <v>-8.51</v>
      </c>
      <c r="R2371">
        <v>37</v>
      </c>
      <c r="S2371">
        <v>39.03</v>
      </c>
      <c r="T2371">
        <v>64102</v>
      </c>
      <c r="U2371">
        <v>37.32</v>
      </c>
      <c r="V2371">
        <v>40.44</v>
      </c>
      <c r="W2371">
        <v>32.380000000000003</v>
      </c>
      <c r="X2371" t="s">
        <v>959</v>
      </c>
      <c r="Y2371" t="s">
        <v>319</v>
      </c>
      <c r="Z2371">
        <v>8.11</v>
      </c>
      <c r="AA2371">
        <v>38.729999999999997</v>
      </c>
      <c r="AB2371">
        <v>36088</v>
      </c>
      <c r="AC2371">
        <v>28014</v>
      </c>
      <c r="AD2371">
        <v>1.29</v>
      </c>
      <c r="AE2371">
        <v>75</v>
      </c>
      <c r="AF2371">
        <v>7</v>
      </c>
      <c r="AG2371" t="s">
        <v>120</v>
      </c>
      <c r="AH2371">
        <v>0.41</v>
      </c>
      <c r="AI2371" t="s">
        <v>120</v>
      </c>
      <c r="AJ2371">
        <v>0.24</v>
      </c>
      <c r="AK2371" t="s">
        <v>1087</v>
      </c>
      <c r="AL2371">
        <v>-5.85</v>
      </c>
      <c r="AM2371">
        <v>3232</v>
      </c>
      <c r="AN2371">
        <v>20</v>
      </c>
      <c r="AO2371">
        <v>8.3999999999999995E-3</v>
      </c>
      <c r="AP2371">
        <v>-1</v>
      </c>
      <c r="AQ2371">
        <v>7.52</v>
      </c>
      <c r="AR2371">
        <v>-2.77</v>
      </c>
      <c r="AS2371">
        <v>3.99</v>
      </c>
      <c r="AT2371">
        <v>174.87</v>
      </c>
      <c r="AU2371">
        <v>174.87</v>
      </c>
      <c r="AV2371">
        <v>2</v>
      </c>
      <c r="AW2371">
        <v>27.04</v>
      </c>
      <c r="AX2371">
        <v>23.71</v>
      </c>
      <c r="AY2371">
        <v>30.4</v>
      </c>
      <c r="AZ2371">
        <v>30.2</v>
      </c>
      <c r="BA2371">
        <v>0</v>
      </c>
      <c r="BB2371" t="s">
        <v>143</v>
      </c>
      <c r="BF2371">
        <v>-4.2300000000000004</v>
      </c>
      <c r="BG2371">
        <v>-4.43</v>
      </c>
      <c r="BH2371">
        <v>-7.4</v>
      </c>
      <c r="BI2371">
        <v>0.81</v>
      </c>
      <c r="BJ2371">
        <v>20210826</v>
      </c>
      <c r="BK2371">
        <v>20210803</v>
      </c>
      <c r="BL2371">
        <v>1</v>
      </c>
      <c r="BM2371" t="s">
        <v>120</v>
      </c>
      <c r="BN2371" t="s">
        <v>120</v>
      </c>
      <c r="BO2371">
        <v>10.01</v>
      </c>
      <c r="BP2371">
        <v>37.299999999999997</v>
      </c>
      <c r="BQ2371">
        <v>6.72</v>
      </c>
      <c r="BR2371" t="s">
        <v>120</v>
      </c>
      <c r="BS2371">
        <v>32.869999999999997</v>
      </c>
      <c r="BT2371">
        <v>6.95</v>
      </c>
      <c r="BU2371">
        <v>1.06</v>
      </c>
      <c r="BV2371">
        <v>0.56000000000000005</v>
      </c>
      <c r="BW2371">
        <v>3.29</v>
      </c>
      <c r="BX2371">
        <v>0.81</v>
      </c>
      <c r="BY2371">
        <v>1.54</v>
      </c>
      <c r="BZ2371">
        <v>3.03</v>
      </c>
      <c r="CA2371" t="s">
        <v>120</v>
      </c>
      <c r="CB2371">
        <v>2.62</v>
      </c>
      <c r="CC2371">
        <v>5.56</v>
      </c>
      <c r="CD2371">
        <v>4.57</v>
      </c>
      <c r="CE2371">
        <v>0.68</v>
      </c>
      <c r="CF2371">
        <v>0</v>
      </c>
      <c r="CG2371">
        <v>0.68</v>
      </c>
      <c r="CH2371">
        <v>0.57999999999999996</v>
      </c>
      <c r="CI2371">
        <v>0.57999999999999996</v>
      </c>
      <c r="CJ2371">
        <v>-3.14</v>
      </c>
      <c r="CK2371">
        <v>0.55000000000000004</v>
      </c>
      <c r="CL2371">
        <v>3.03</v>
      </c>
      <c r="CM2371">
        <v>-0.2</v>
      </c>
      <c r="CN2371">
        <v>-0.34</v>
      </c>
      <c r="CO2371">
        <v>31840</v>
      </c>
      <c r="CP2371">
        <v>745</v>
      </c>
      <c r="CQ2371" t="s">
        <v>2777</v>
      </c>
      <c r="CR2371">
        <v>0</v>
      </c>
      <c r="CS2371">
        <v>0</v>
      </c>
      <c r="CT2371">
        <v>3.92</v>
      </c>
      <c r="CU2371">
        <v>-190.89</v>
      </c>
      <c r="CV2371">
        <v>6.71</v>
      </c>
      <c r="CW2371">
        <v>0</v>
      </c>
      <c r="CX2371" t="s">
        <v>1914</v>
      </c>
      <c r="CY2371">
        <v>9.52</v>
      </c>
      <c r="CZ2371">
        <v>9.52</v>
      </c>
      <c r="DA2371">
        <v>2.62</v>
      </c>
      <c r="DB2371">
        <v>3.03</v>
      </c>
      <c r="DC2371">
        <v>-0.2</v>
      </c>
      <c r="DD2371">
        <v>67.13</v>
      </c>
      <c r="DE2371" t="s">
        <v>11084</v>
      </c>
      <c r="DF2371">
        <v>17.850000000000001</v>
      </c>
      <c r="DG2371">
        <v>12.21</v>
      </c>
      <c r="DH2371">
        <v>10.36</v>
      </c>
      <c r="DI2371">
        <v>0.18</v>
      </c>
      <c r="DJ2371">
        <v>320</v>
      </c>
      <c r="DK2371">
        <v>301040</v>
      </c>
      <c r="DL2371">
        <v>20210902</v>
      </c>
      <c r="DM2371">
        <v>39.28</v>
      </c>
      <c r="DN2371">
        <v>-5.04</v>
      </c>
    </row>
    <row r="2372" spans="1:118">
      <c r="A2372" t="str">
        <f>"301041"</f>
        <v>301041</v>
      </c>
      <c r="B2372" t="s">
        <v>11085</v>
      </c>
      <c r="C2372">
        <v>-3.33</v>
      </c>
      <c r="D2372">
        <v>0.16</v>
      </c>
      <c r="E2372">
        <v>-1.43</v>
      </c>
      <c r="F2372">
        <v>742</v>
      </c>
      <c r="G2372" t="s">
        <v>10208</v>
      </c>
      <c r="H2372">
        <v>10732.28</v>
      </c>
      <c r="I2372">
        <v>90.19</v>
      </c>
      <c r="J2372" t="s">
        <v>120</v>
      </c>
      <c r="K2372" t="s">
        <v>10208</v>
      </c>
      <c r="L2372">
        <v>13.81</v>
      </c>
      <c r="M2372">
        <v>30.5</v>
      </c>
      <c r="N2372">
        <v>0.71</v>
      </c>
      <c r="O2372">
        <v>-0.92</v>
      </c>
      <c r="P2372">
        <v>31.26</v>
      </c>
      <c r="Q2372">
        <v>-3.87</v>
      </c>
      <c r="R2372">
        <v>30.33</v>
      </c>
      <c r="S2372">
        <v>31.1</v>
      </c>
      <c r="T2372">
        <v>34944</v>
      </c>
      <c r="U2372">
        <v>30.51</v>
      </c>
      <c r="V2372">
        <v>31.55</v>
      </c>
      <c r="W2372">
        <v>52.7</v>
      </c>
      <c r="X2372" t="s">
        <v>229</v>
      </c>
      <c r="Y2372" t="s">
        <v>123</v>
      </c>
      <c r="Z2372">
        <v>2.95</v>
      </c>
      <c r="AA2372">
        <v>30.71</v>
      </c>
      <c r="AB2372">
        <v>21321</v>
      </c>
      <c r="AC2372">
        <v>13623</v>
      </c>
      <c r="AD2372">
        <v>1.57</v>
      </c>
      <c r="AE2372">
        <v>228</v>
      </c>
      <c r="AF2372">
        <v>7</v>
      </c>
      <c r="AG2372" t="s">
        <v>120</v>
      </c>
      <c r="AH2372">
        <v>0.11</v>
      </c>
      <c r="AI2372" t="s">
        <v>120</v>
      </c>
      <c r="AJ2372">
        <v>0.25</v>
      </c>
      <c r="AK2372" t="s">
        <v>4635</v>
      </c>
      <c r="AL2372">
        <v>-1.41</v>
      </c>
      <c r="AM2372">
        <v>2307</v>
      </c>
      <c r="AN2372">
        <v>15</v>
      </c>
      <c r="AO2372">
        <v>6.0000000000000001E-3</v>
      </c>
      <c r="AP2372">
        <v>-1</v>
      </c>
      <c r="AQ2372">
        <v>0.51</v>
      </c>
      <c r="AR2372">
        <v>-2.2400000000000002</v>
      </c>
      <c r="AS2372">
        <v>-3.3</v>
      </c>
      <c r="AT2372">
        <v>317.24</v>
      </c>
      <c r="AU2372">
        <v>317.24</v>
      </c>
      <c r="AV2372">
        <v>1</v>
      </c>
      <c r="AW2372">
        <v>13.81</v>
      </c>
      <c r="AX2372">
        <v>23.72</v>
      </c>
      <c r="AY2372">
        <v>51.47</v>
      </c>
      <c r="AZ2372">
        <v>59.68</v>
      </c>
      <c r="BA2372">
        <v>0</v>
      </c>
      <c r="BB2372" t="s">
        <v>143</v>
      </c>
      <c r="BF2372">
        <v>-2.65</v>
      </c>
      <c r="BG2372">
        <v>-1.93</v>
      </c>
      <c r="BH2372">
        <v>-2.4300000000000002</v>
      </c>
      <c r="BI2372">
        <v>0.56000000000000005</v>
      </c>
      <c r="BJ2372">
        <v>20210913</v>
      </c>
      <c r="BK2372">
        <v>20210811</v>
      </c>
      <c r="BL2372">
        <v>1.07</v>
      </c>
      <c r="BM2372" t="s">
        <v>120</v>
      </c>
      <c r="BN2372" t="s">
        <v>120</v>
      </c>
      <c r="BO2372">
        <v>6.77</v>
      </c>
      <c r="BP2372">
        <v>30.5</v>
      </c>
      <c r="BQ2372">
        <v>4.3499999999999996</v>
      </c>
      <c r="BR2372">
        <v>0.02</v>
      </c>
      <c r="BS2372">
        <v>35.35</v>
      </c>
      <c r="BT2372">
        <v>4.66</v>
      </c>
      <c r="BU2372">
        <v>1.54</v>
      </c>
      <c r="BV2372">
        <v>0.11</v>
      </c>
      <c r="BW2372">
        <v>2.2400000000000002</v>
      </c>
      <c r="BX2372">
        <v>1.33</v>
      </c>
      <c r="BY2372">
        <v>0.57999999999999996</v>
      </c>
      <c r="BZ2372">
        <v>2.21</v>
      </c>
      <c r="CA2372" t="s">
        <v>120</v>
      </c>
      <c r="CB2372">
        <v>1.45</v>
      </c>
      <c r="CC2372">
        <v>3.35</v>
      </c>
      <c r="CD2372">
        <v>2.4300000000000002</v>
      </c>
      <c r="CE2372">
        <v>0.35</v>
      </c>
      <c r="CF2372">
        <v>0</v>
      </c>
      <c r="CG2372">
        <v>0.35</v>
      </c>
      <c r="CH2372">
        <v>0.31</v>
      </c>
      <c r="CI2372">
        <v>0.31</v>
      </c>
      <c r="CJ2372">
        <v>-1.05</v>
      </c>
      <c r="CK2372">
        <v>0.2</v>
      </c>
      <c r="CL2372">
        <v>2.0099999999999998</v>
      </c>
      <c r="CM2372">
        <v>0.08</v>
      </c>
      <c r="CN2372">
        <v>-0.2</v>
      </c>
      <c r="CO2372">
        <v>23839</v>
      </c>
      <c r="CP2372">
        <v>1062</v>
      </c>
      <c r="CQ2372" t="s">
        <v>1117</v>
      </c>
      <c r="CR2372">
        <v>0</v>
      </c>
      <c r="CS2372">
        <v>0</v>
      </c>
      <c r="CT2372">
        <v>5.54</v>
      </c>
      <c r="CU2372">
        <v>421.76</v>
      </c>
      <c r="CV2372">
        <v>9.6999999999999993</v>
      </c>
      <c r="CW2372">
        <v>0</v>
      </c>
      <c r="CX2372" t="s">
        <v>1980</v>
      </c>
      <c r="CY2372">
        <v>5.5</v>
      </c>
      <c r="CZ2372">
        <v>5.5</v>
      </c>
      <c r="DA2372">
        <v>1.36</v>
      </c>
      <c r="DB2372">
        <v>1.88</v>
      </c>
      <c r="DC2372">
        <v>7.0000000000000007E-2</v>
      </c>
      <c r="DD2372">
        <v>64.28</v>
      </c>
      <c r="DE2372" t="s">
        <v>11086</v>
      </c>
      <c r="DF2372">
        <v>27.52</v>
      </c>
      <c r="DG2372">
        <v>10.56</v>
      </c>
      <c r="DH2372">
        <v>9.2100000000000009</v>
      </c>
      <c r="DI2372">
        <v>0.22</v>
      </c>
      <c r="DJ2372">
        <v>1478</v>
      </c>
      <c r="DK2372">
        <v>301041</v>
      </c>
      <c r="DL2372" t="s">
        <v>120</v>
      </c>
      <c r="DM2372" t="s">
        <v>120</v>
      </c>
      <c r="DN2372" t="s">
        <v>120</v>
      </c>
    </row>
    <row r="2373" spans="1:118">
      <c r="A2373" t="str">
        <f>"301042"</f>
        <v>301042</v>
      </c>
      <c r="B2373" t="s">
        <v>11087</v>
      </c>
      <c r="C2373">
        <v>-2.37</v>
      </c>
      <c r="D2373">
        <v>-0.01</v>
      </c>
      <c r="E2373">
        <v>0.25</v>
      </c>
      <c r="F2373">
        <v>171</v>
      </c>
      <c r="G2373" t="s">
        <v>11088</v>
      </c>
      <c r="H2373">
        <v>3631.26</v>
      </c>
      <c r="I2373">
        <v>17.190000000000001</v>
      </c>
      <c r="J2373" t="s">
        <v>120</v>
      </c>
      <c r="K2373" t="s">
        <v>11088</v>
      </c>
      <c r="L2373">
        <v>4.4800000000000004</v>
      </c>
      <c r="M2373">
        <v>46.5</v>
      </c>
      <c r="N2373">
        <v>0.97</v>
      </c>
      <c r="O2373">
        <v>0.69</v>
      </c>
      <c r="P2373">
        <v>47.96</v>
      </c>
      <c r="Q2373">
        <v>-2.37</v>
      </c>
      <c r="R2373">
        <v>46.5</v>
      </c>
      <c r="S2373">
        <v>47.75</v>
      </c>
      <c r="T2373">
        <v>7712</v>
      </c>
      <c r="U2373">
        <v>46.53</v>
      </c>
      <c r="V2373">
        <v>47.63</v>
      </c>
      <c r="W2373">
        <v>53.1</v>
      </c>
      <c r="X2373" t="s">
        <v>2717</v>
      </c>
      <c r="Y2373" t="s">
        <v>547</v>
      </c>
      <c r="Z2373">
        <v>3.07</v>
      </c>
      <c r="AA2373">
        <v>47.09</v>
      </c>
      <c r="AB2373">
        <v>4764</v>
      </c>
      <c r="AC2373">
        <v>2948</v>
      </c>
      <c r="AD2373">
        <v>1.62</v>
      </c>
      <c r="AE2373">
        <v>28</v>
      </c>
      <c r="AF2373">
        <v>2</v>
      </c>
      <c r="AG2373" t="s">
        <v>120</v>
      </c>
      <c r="AH2373">
        <v>0.02</v>
      </c>
      <c r="AI2373" t="s">
        <v>120</v>
      </c>
      <c r="AJ2373">
        <v>0.17</v>
      </c>
      <c r="AK2373" t="s">
        <v>7449</v>
      </c>
      <c r="AL2373">
        <v>-0.46</v>
      </c>
      <c r="AM2373">
        <v>1172</v>
      </c>
      <c r="AN2373">
        <v>7</v>
      </c>
      <c r="AO2373">
        <v>3.8E-3</v>
      </c>
      <c r="AP2373">
        <v>-2</v>
      </c>
      <c r="AQ2373">
        <v>-2.08</v>
      </c>
      <c r="AR2373">
        <v>-3.29</v>
      </c>
      <c r="AS2373">
        <v>-10.09</v>
      </c>
      <c r="AT2373">
        <v>10.95</v>
      </c>
      <c r="AU2373">
        <v>10.95</v>
      </c>
      <c r="AV2373">
        <v>0</v>
      </c>
      <c r="AW2373">
        <v>4.4800000000000004</v>
      </c>
      <c r="AX2373">
        <v>25</v>
      </c>
      <c r="AY2373">
        <v>43.12</v>
      </c>
      <c r="AZ2373">
        <v>40.869999999999997</v>
      </c>
      <c r="BA2373">
        <v>0</v>
      </c>
      <c r="BB2373" t="s">
        <v>125</v>
      </c>
      <c r="BF2373">
        <v>-1.1399999999999999</v>
      </c>
      <c r="BG2373">
        <v>-2.62</v>
      </c>
      <c r="BH2373">
        <v>-3.04</v>
      </c>
      <c r="BI2373">
        <v>0</v>
      </c>
      <c r="BJ2373">
        <v>20210824</v>
      </c>
      <c r="BK2373">
        <v>20210805</v>
      </c>
      <c r="BL2373">
        <v>0.69</v>
      </c>
      <c r="BM2373" t="s">
        <v>120</v>
      </c>
      <c r="BN2373" t="s">
        <v>120</v>
      </c>
      <c r="BO2373">
        <v>7.45</v>
      </c>
      <c r="BP2373">
        <v>46.5</v>
      </c>
      <c r="BQ2373">
        <v>4.72</v>
      </c>
      <c r="BR2373" t="s">
        <v>120</v>
      </c>
      <c r="BS2373">
        <v>36.57</v>
      </c>
      <c r="BT2373">
        <v>5.37</v>
      </c>
      <c r="BU2373">
        <v>1.82</v>
      </c>
      <c r="BV2373">
        <v>0.16</v>
      </c>
      <c r="BW2373">
        <v>2.67</v>
      </c>
      <c r="BX2373">
        <v>0.71</v>
      </c>
      <c r="BY2373">
        <v>2.78</v>
      </c>
      <c r="BZ2373">
        <v>1.69</v>
      </c>
      <c r="CA2373" t="s">
        <v>120</v>
      </c>
      <c r="CB2373">
        <v>0.57999999999999996</v>
      </c>
      <c r="CC2373">
        <v>3.83</v>
      </c>
      <c r="CD2373">
        <v>2.95</v>
      </c>
      <c r="CE2373">
        <v>0.32</v>
      </c>
      <c r="CF2373">
        <v>0</v>
      </c>
      <c r="CG2373">
        <v>0.32</v>
      </c>
      <c r="CH2373">
        <v>0.3</v>
      </c>
      <c r="CI2373">
        <v>0.3</v>
      </c>
      <c r="CJ2373">
        <v>-1.1299999999999999</v>
      </c>
      <c r="CK2373">
        <v>0.28000000000000003</v>
      </c>
      <c r="CL2373">
        <v>3.16</v>
      </c>
      <c r="CM2373">
        <v>-0.56000000000000005</v>
      </c>
      <c r="CN2373">
        <v>-0.63</v>
      </c>
      <c r="CO2373">
        <v>34407</v>
      </c>
      <c r="CP2373">
        <v>500</v>
      </c>
      <c r="CQ2373" t="s">
        <v>11089</v>
      </c>
      <c r="CR2373">
        <v>0</v>
      </c>
      <c r="CS2373">
        <v>0</v>
      </c>
      <c r="CT2373">
        <v>2.85</v>
      </c>
      <c r="CU2373">
        <v>-57.16</v>
      </c>
      <c r="CV2373">
        <v>8.34</v>
      </c>
      <c r="CW2373">
        <v>1.68</v>
      </c>
      <c r="CX2373" t="s">
        <v>2614</v>
      </c>
      <c r="CY2373">
        <v>16.309999999999999</v>
      </c>
      <c r="CZ2373">
        <v>16.309999999999999</v>
      </c>
      <c r="DA2373">
        <v>0.84</v>
      </c>
      <c r="DB2373">
        <v>4.59</v>
      </c>
      <c r="DC2373">
        <v>-0.81</v>
      </c>
      <c r="DD2373">
        <v>63.43</v>
      </c>
      <c r="DE2373" t="s">
        <v>3384</v>
      </c>
      <c r="DF2373">
        <v>22.97</v>
      </c>
      <c r="DG2373">
        <v>8.27</v>
      </c>
      <c r="DH2373">
        <v>7.86</v>
      </c>
      <c r="DI2373">
        <v>0.21</v>
      </c>
      <c r="DJ2373">
        <v>1596</v>
      </c>
      <c r="DK2373">
        <v>301042</v>
      </c>
      <c r="DL2373">
        <v>20210903</v>
      </c>
      <c r="DM2373">
        <v>48.33</v>
      </c>
      <c r="DN2373">
        <v>-3.79</v>
      </c>
    </row>
    <row r="2374" spans="1:118">
      <c r="A2374" t="str">
        <f>"301043"</f>
        <v>301043</v>
      </c>
      <c r="B2374" t="s">
        <v>11090</v>
      </c>
      <c r="C2374">
        <v>-1.5</v>
      </c>
      <c r="D2374">
        <v>0</v>
      </c>
      <c r="E2374">
        <v>1.01</v>
      </c>
      <c r="F2374">
        <v>310</v>
      </c>
      <c r="G2374" t="s">
        <v>10793</v>
      </c>
      <c r="H2374">
        <v>2692.98</v>
      </c>
      <c r="I2374">
        <v>31.55</v>
      </c>
      <c r="J2374" t="s">
        <v>120</v>
      </c>
      <c r="K2374" t="s">
        <v>10793</v>
      </c>
      <c r="L2374">
        <v>4.84</v>
      </c>
      <c r="M2374">
        <v>32.26</v>
      </c>
      <c r="N2374">
        <v>1.01</v>
      </c>
      <c r="O2374">
        <v>1.07</v>
      </c>
      <c r="P2374">
        <v>33.1</v>
      </c>
      <c r="Q2374">
        <v>-1.65</v>
      </c>
      <c r="R2374">
        <v>32.21</v>
      </c>
      <c r="S2374">
        <v>33.08</v>
      </c>
      <c r="T2374">
        <v>8229</v>
      </c>
      <c r="U2374">
        <v>32.299999999999997</v>
      </c>
      <c r="V2374">
        <v>32.75</v>
      </c>
      <c r="W2374">
        <v>39.76</v>
      </c>
      <c r="X2374" t="s">
        <v>959</v>
      </c>
      <c r="Y2374" t="s">
        <v>547</v>
      </c>
      <c r="Z2374">
        <v>2.72</v>
      </c>
      <c r="AA2374">
        <v>32.72</v>
      </c>
      <c r="AB2374">
        <v>4829</v>
      </c>
      <c r="AC2374">
        <v>3400</v>
      </c>
      <c r="AD2374">
        <v>1.42</v>
      </c>
      <c r="AE2374">
        <v>65</v>
      </c>
      <c r="AF2374">
        <v>16</v>
      </c>
      <c r="AG2374" t="s">
        <v>120</v>
      </c>
      <c r="AH2374">
        <v>0.06</v>
      </c>
      <c r="AI2374" t="s">
        <v>120</v>
      </c>
      <c r="AJ2374">
        <v>0.17</v>
      </c>
      <c r="AK2374" t="s">
        <v>6027</v>
      </c>
      <c r="AL2374">
        <v>0.42</v>
      </c>
      <c r="AM2374">
        <v>804</v>
      </c>
      <c r="AN2374">
        <v>10</v>
      </c>
      <c r="AO2374">
        <v>6.0000000000000001E-3</v>
      </c>
      <c r="AP2374">
        <v>-3</v>
      </c>
      <c r="AQ2374">
        <v>-0.33</v>
      </c>
      <c r="AR2374">
        <v>-3.52</v>
      </c>
      <c r="AS2374">
        <v>-9.94</v>
      </c>
      <c r="AT2374">
        <v>20.6</v>
      </c>
      <c r="AU2374">
        <v>20.6</v>
      </c>
      <c r="AV2374">
        <v>0</v>
      </c>
      <c r="AW2374">
        <v>4.84</v>
      </c>
      <c r="AX2374">
        <v>25</v>
      </c>
      <c r="AY2374">
        <v>29.62</v>
      </c>
      <c r="AZ2374">
        <v>31.6</v>
      </c>
      <c r="BA2374">
        <v>0</v>
      </c>
      <c r="BB2374" t="s">
        <v>143</v>
      </c>
      <c r="BF2374">
        <v>-0.08</v>
      </c>
      <c r="BG2374">
        <v>-2.48</v>
      </c>
      <c r="BH2374">
        <v>-2.54</v>
      </c>
      <c r="BI2374">
        <v>0.16</v>
      </c>
      <c r="BJ2374">
        <v>20210910</v>
      </c>
      <c r="BK2374">
        <v>20210811</v>
      </c>
      <c r="BL2374">
        <v>0.68</v>
      </c>
      <c r="BM2374" t="s">
        <v>120</v>
      </c>
      <c r="BN2374" t="s">
        <v>120</v>
      </c>
      <c r="BO2374">
        <v>4.78</v>
      </c>
      <c r="BP2374">
        <v>32.26</v>
      </c>
      <c r="BQ2374">
        <v>3.03</v>
      </c>
      <c r="BR2374" t="s">
        <v>120</v>
      </c>
      <c r="BS2374">
        <v>36.549999999999997</v>
      </c>
      <c r="BT2374">
        <v>2.89</v>
      </c>
      <c r="BU2374">
        <v>1.31</v>
      </c>
      <c r="BV2374">
        <v>0.18</v>
      </c>
      <c r="BW2374">
        <v>1.5</v>
      </c>
      <c r="BX2374">
        <v>1.21</v>
      </c>
      <c r="BY2374">
        <v>1.0900000000000001</v>
      </c>
      <c r="BZ2374">
        <v>0.15</v>
      </c>
      <c r="CA2374" t="s">
        <v>120</v>
      </c>
      <c r="CB2374">
        <v>0.6</v>
      </c>
      <c r="CC2374">
        <v>2.36</v>
      </c>
      <c r="CD2374">
        <v>1.61</v>
      </c>
      <c r="CE2374">
        <v>0.31</v>
      </c>
      <c r="CF2374">
        <v>0</v>
      </c>
      <c r="CG2374">
        <v>0.32</v>
      </c>
      <c r="CH2374">
        <v>0.28000000000000003</v>
      </c>
      <c r="CI2374">
        <v>0.28000000000000003</v>
      </c>
      <c r="CJ2374">
        <v>-0.49</v>
      </c>
      <c r="CK2374">
        <v>0.26</v>
      </c>
      <c r="CL2374">
        <v>1.73</v>
      </c>
      <c r="CM2374">
        <v>0.23</v>
      </c>
      <c r="CN2374">
        <v>-0.46</v>
      </c>
      <c r="CO2374">
        <v>16795</v>
      </c>
      <c r="CP2374">
        <v>1012</v>
      </c>
      <c r="CQ2374" t="s">
        <v>6393</v>
      </c>
      <c r="CR2374">
        <v>0</v>
      </c>
      <c r="CS2374">
        <v>0</v>
      </c>
      <c r="CT2374">
        <v>3.07</v>
      </c>
      <c r="CU2374">
        <v>93.66</v>
      </c>
      <c r="CV2374">
        <v>9.2899999999999991</v>
      </c>
      <c r="CW2374">
        <v>0</v>
      </c>
      <c r="CX2374" t="s">
        <v>263</v>
      </c>
      <c r="CY2374">
        <v>10.51</v>
      </c>
      <c r="CZ2374">
        <v>10.51</v>
      </c>
      <c r="DA2374">
        <v>0.88</v>
      </c>
      <c r="DB2374">
        <v>2.54</v>
      </c>
      <c r="DC2374">
        <v>0.34</v>
      </c>
      <c r="DD2374">
        <v>63.45</v>
      </c>
      <c r="DE2374" t="s">
        <v>5497</v>
      </c>
      <c r="DF2374">
        <v>31.95</v>
      </c>
      <c r="DG2374">
        <v>13.34</v>
      </c>
      <c r="DH2374">
        <v>11.68</v>
      </c>
      <c r="DI2374">
        <v>7.0000000000000007E-2</v>
      </c>
      <c r="DJ2374">
        <v>986</v>
      </c>
      <c r="DK2374">
        <v>301043</v>
      </c>
      <c r="DL2374" t="s">
        <v>120</v>
      </c>
      <c r="DM2374" t="s">
        <v>120</v>
      </c>
      <c r="DN2374" t="s">
        <v>120</v>
      </c>
    </row>
    <row r="2375" spans="1:118">
      <c r="A2375" t="str">
        <f>"301045"</f>
        <v>301045</v>
      </c>
      <c r="B2375" t="s">
        <v>11091</v>
      </c>
      <c r="C2375">
        <v>-2.04</v>
      </c>
      <c r="D2375">
        <v>-0.02</v>
      </c>
      <c r="E2375">
        <v>0.03</v>
      </c>
      <c r="F2375">
        <v>128</v>
      </c>
      <c r="G2375" t="s">
        <v>10806</v>
      </c>
      <c r="H2375">
        <v>4725.95</v>
      </c>
      <c r="I2375">
        <v>4.1500000000000004</v>
      </c>
      <c r="J2375" t="s">
        <v>120</v>
      </c>
      <c r="K2375" t="s">
        <v>10806</v>
      </c>
      <c r="L2375">
        <v>6.16</v>
      </c>
      <c r="M2375">
        <v>31.25</v>
      </c>
      <c r="N2375">
        <v>1.1399999999999999</v>
      </c>
      <c r="O2375">
        <v>0.19</v>
      </c>
      <c r="P2375">
        <v>31.96</v>
      </c>
      <c r="Q2375">
        <v>-2.88</v>
      </c>
      <c r="R2375">
        <v>30.98</v>
      </c>
      <c r="S2375">
        <v>31.91</v>
      </c>
      <c r="T2375">
        <v>15059</v>
      </c>
      <c r="U2375">
        <v>31.26</v>
      </c>
      <c r="V2375">
        <v>31.9</v>
      </c>
      <c r="W2375">
        <v>32.020000000000003</v>
      </c>
      <c r="X2375" t="s">
        <v>229</v>
      </c>
      <c r="Y2375" t="s">
        <v>319</v>
      </c>
      <c r="Z2375">
        <v>3.07</v>
      </c>
      <c r="AA2375">
        <v>31.38</v>
      </c>
      <c r="AB2375">
        <v>9238</v>
      </c>
      <c r="AC2375">
        <v>5821</v>
      </c>
      <c r="AD2375">
        <v>1.59</v>
      </c>
      <c r="AE2375">
        <v>86</v>
      </c>
      <c r="AF2375">
        <v>18</v>
      </c>
      <c r="AG2375" t="s">
        <v>120</v>
      </c>
      <c r="AH2375">
        <v>0.01</v>
      </c>
      <c r="AI2375" t="s">
        <v>120</v>
      </c>
      <c r="AJ2375">
        <v>0.24</v>
      </c>
      <c r="AK2375" t="s">
        <v>10702</v>
      </c>
      <c r="AL2375">
        <v>-0.12</v>
      </c>
      <c r="AM2375">
        <v>1332</v>
      </c>
      <c r="AN2375">
        <v>11</v>
      </c>
      <c r="AO2375">
        <v>4.5999999999999999E-3</v>
      </c>
      <c r="AP2375">
        <v>-4</v>
      </c>
      <c r="AQ2375">
        <v>-0.06</v>
      </c>
      <c r="AR2375">
        <v>-2.86</v>
      </c>
      <c r="AS2375">
        <v>-7.68</v>
      </c>
      <c r="AT2375">
        <v>97.66</v>
      </c>
      <c r="AU2375">
        <v>97.66</v>
      </c>
      <c r="AV2375">
        <v>0</v>
      </c>
      <c r="AW2375">
        <v>6.16</v>
      </c>
      <c r="AX2375">
        <v>23.71</v>
      </c>
      <c r="AY2375">
        <v>28.38</v>
      </c>
      <c r="AZ2375">
        <v>29.73</v>
      </c>
      <c r="BA2375">
        <v>0</v>
      </c>
      <c r="BB2375" t="s">
        <v>143</v>
      </c>
      <c r="BF2375">
        <v>-1.62</v>
      </c>
      <c r="BG2375">
        <v>-2.0699999999999998</v>
      </c>
      <c r="BH2375">
        <v>-2.2200000000000002</v>
      </c>
      <c r="BI2375">
        <v>0.87</v>
      </c>
      <c r="BJ2375">
        <v>20210827</v>
      </c>
      <c r="BK2375">
        <v>20210813</v>
      </c>
      <c r="BL2375">
        <v>1.03</v>
      </c>
      <c r="BM2375" t="s">
        <v>120</v>
      </c>
      <c r="BN2375" t="s">
        <v>120</v>
      </c>
      <c r="BO2375">
        <v>6.12</v>
      </c>
      <c r="BP2375">
        <v>31.25</v>
      </c>
      <c r="BQ2375">
        <v>4.24</v>
      </c>
      <c r="BR2375" t="s">
        <v>120</v>
      </c>
      <c r="BS2375">
        <v>30.72</v>
      </c>
      <c r="BT2375">
        <v>3.7</v>
      </c>
      <c r="BU2375">
        <v>2.13</v>
      </c>
      <c r="BV2375">
        <v>0.09</v>
      </c>
      <c r="BW2375">
        <v>1.86</v>
      </c>
      <c r="BX2375">
        <v>0.2</v>
      </c>
      <c r="BY2375">
        <v>1.1200000000000001</v>
      </c>
      <c r="BZ2375">
        <v>2.0099999999999998</v>
      </c>
      <c r="CA2375" t="s">
        <v>120</v>
      </c>
      <c r="CB2375">
        <v>0.38</v>
      </c>
      <c r="CC2375">
        <v>4.1900000000000004</v>
      </c>
      <c r="CD2375">
        <v>3.05</v>
      </c>
      <c r="CE2375">
        <v>0.6</v>
      </c>
      <c r="CF2375">
        <v>0</v>
      </c>
      <c r="CG2375">
        <v>0.6</v>
      </c>
      <c r="CH2375">
        <v>0.5</v>
      </c>
      <c r="CI2375">
        <v>0.5</v>
      </c>
      <c r="CJ2375">
        <v>-0.65</v>
      </c>
      <c r="CK2375">
        <v>0.5</v>
      </c>
      <c r="CL2375">
        <v>2.83</v>
      </c>
      <c r="CM2375">
        <v>-0.21</v>
      </c>
      <c r="CN2375">
        <v>-0.33</v>
      </c>
      <c r="CO2375">
        <v>29172</v>
      </c>
      <c r="CP2375">
        <v>838</v>
      </c>
      <c r="CQ2375" t="s">
        <v>505</v>
      </c>
      <c r="CR2375">
        <v>0</v>
      </c>
      <c r="CS2375">
        <v>0</v>
      </c>
      <c r="CT2375">
        <v>4.0999999999999996</v>
      </c>
      <c r="CU2375">
        <v>-154.21</v>
      </c>
      <c r="CV2375">
        <v>7.7</v>
      </c>
      <c r="CW2375">
        <v>0</v>
      </c>
      <c r="CX2375" t="s">
        <v>2783</v>
      </c>
      <c r="CY2375">
        <v>7.62</v>
      </c>
      <c r="CZ2375">
        <v>7.62</v>
      </c>
      <c r="DA2375">
        <v>0.37</v>
      </c>
      <c r="DB2375">
        <v>2.75</v>
      </c>
      <c r="DC2375">
        <v>-0.2</v>
      </c>
      <c r="DD2375">
        <v>69.28</v>
      </c>
      <c r="DE2375" t="s">
        <v>11092</v>
      </c>
      <c r="DF2375">
        <v>27.22</v>
      </c>
      <c r="DG2375">
        <v>14.24</v>
      </c>
      <c r="DH2375">
        <v>12.02</v>
      </c>
      <c r="DI2375">
        <v>0.13</v>
      </c>
      <c r="DJ2375">
        <v>644</v>
      </c>
      <c r="DK2375">
        <v>301045</v>
      </c>
      <c r="DL2375" t="s">
        <v>120</v>
      </c>
      <c r="DM2375" t="s">
        <v>120</v>
      </c>
      <c r="DN2375" t="s">
        <v>120</v>
      </c>
    </row>
    <row r="2376" spans="1:118">
      <c r="A2376" t="str">
        <f>"301046"</f>
        <v>301046</v>
      </c>
      <c r="B2376" t="s">
        <v>11093</v>
      </c>
      <c r="C2376">
        <v>-10.68</v>
      </c>
      <c r="D2376">
        <v>-0.05</v>
      </c>
      <c r="E2376">
        <v>-3.62</v>
      </c>
      <c r="F2376">
        <v>885</v>
      </c>
      <c r="G2376" t="s">
        <v>11094</v>
      </c>
      <c r="H2376">
        <v>33488.400000000001</v>
      </c>
      <c r="I2376">
        <v>790.99</v>
      </c>
      <c r="J2376" t="s">
        <v>120</v>
      </c>
      <c r="K2376" t="s">
        <v>11094</v>
      </c>
      <c r="L2376">
        <v>18.48</v>
      </c>
      <c r="M2376">
        <v>49.1</v>
      </c>
      <c r="N2376">
        <v>1.17</v>
      </c>
      <c r="O2376">
        <v>-2.67</v>
      </c>
      <c r="P2376">
        <v>53.5</v>
      </c>
      <c r="Q2376">
        <v>-11.08</v>
      </c>
      <c r="R2376">
        <v>48.88</v>
      </c>
      <c r="S2376">
        <v>52.98</v>
      </c>
      <c r="T2376">
        <v>65472</v>
      </c>
      <c r="U2376">
        <v>49.11</v>
      </c>
      <c r="V2376">
        <v>54.97</v>
      </c>
      <c r="W2376">
        <v>55.22</v>
      </c>
      <c r="X2376" t="s">
        <v>356</v>
      </c>
      <c r="Y2376" t="s">
        <v>1510</v>
      </c>
      <c r="Z2376">
        <v>8.4</v>
      </c>
      <c r="AA2376">
        <v>51.15</v>
      </c>
      <c r="AB2376">
        <v>37334</v>
      </c>
      <c r="AC2376">
        <v>28138</v>
      </c>
      <c r="AD2376">
        <v>1.33</v>
      </c>
      <c r="AE2376">
        <v>160</v>
      </c>
      <c r="AF2376">
        <v>10</v>
      </c>
      <c r="AG2376" t="s">
        <v>120</v>
      </c>
      <c r="AH2376">
        <v>0.42</v>
      </c>
      <c r="AI2376" t="s">
        <v>120</v>
      </c>
      <c r="AJ2376">
        <v>0.35</v>
      </c>
      <c r="AK2376" t="s">
        <v>7093</v>
      </c>
      <c r="AL2376">
        <v>-8.76</v>
      </c>
      <c r="AM2376">
        <v>3136</v>
      </c>
      <c r="AN2376">
        <v>21</v>
      </c>
      <c r="AO2376">
        <v>5.8999999999999999E-3</v>
      </c>
      <c r="AP2376">
        <v>-1</v>
      </c>
      <c r="AQ2376">
        <v>3.19</v>
      </c>
      <c r="AR2376">
        <v>-5.9</v>
      </c>
      <c r="AS2376">
        <v>-11.77</v>
      </c>
      <c r="AT2376">
        <v>488.73</v>
      </c>
      <c r="AU2376">
        <v>488.73</v>
      </c>
      <c r="AV2376">
        <v>1</v>
      </c>
      <c r="AW2376">
        <v>18.48</v>
      </c>
      <c r="AX2376">
        <v>23.71</v>
      </c>
      <c r="AY2376">
        <v>72.72</v>
      </c>
      <c r="AZ2376">
        <v>91.1</v>
      </c>
      <c r="BA2376">
        <v>0</v>
      </c>
      <c r="BB2376" t="s">
        <v>143</v>
      </c>
      <c r="BF2376">
        <v>-6.95</v>
      </c>
      <c r="BG2376">
        <v>-7.32</v>
      </c>
      <c r="BH2376">
        <v>-8.2200000000000006</v>
      </c>
      <c r="BI2376">
        <v>0.45</v>
      </c>
      <c r="BJ2376">
        <v>20210830</v>
      </c>
      <c r="BK2376">
        <v>20210817</v>
      </c>
      <c r="BL2376">
        <v>1.49</v>
      </c>
      <c r="BM2376" t="s">
        <v>120</v>
      </c>
      <c r="BN2376" t="s">
        <v>120</v>
      </c>
      <c r="BO2376">
        <v>8.61</v>
      </c>
      <c r="BP2376">
        <v>49.1</v>
      </c>
      <c r="BQ2376">
        <v>5.08</v>
      </c>
      <c r="BR2376" t="s">
        <v>120</v>
      </c>
      <c r="BS2376">
        <v>40.97</v>
      </c>
      <c r="BT2376">
        <v>6.74</v>
      </c>
      <c r="BU2376">
        <v>1.71</v>
      </c>
      <c r="BV2376">
        <v>0</v>
      </c>
      <c r="BW2376">
        <v>2.73</v>
      </c>
      <c r="BX2376">
        <v>1.38</v>
      </c>
      <c r="BY2376">
        <v>0.11</v>
      </c>
      <c r="BZ2376">
        <v>2.4</v>
      </c>
      <c r="CA2376" t="s">
        <v>120</v>
      </c>
      <c r="CB2376">
        <v>0.96</v>
      </c>
      <c r="CC2376">
        <v>3.34</v>
      </c>
      <c r="CD2376">
        <v>2.2999999999999998</v>
      </c>
      <c r="CE2376">
        <v>0.77</v>
      </c>
      <c r="CF2376">
        <v>0.01</v>
      </c>
      <c r="CG2376">
        <v>0.77</v>
      </c>
      <c r="CH2376">
        <v>0.66</v>
      </c>
      <c r="CI2376">
        <v>0.66</v>
      </c>
      <c r="CJ2376">
        <v>-5.87</v>
      </c>
      <c r="CK2376">
        <v>0.64</v>
      </c>
      <c r="CL2376">
        <v>2.77</v>
      </c>
      <c r="CM2376">
        <v>-1.05</v>
      </c>
      <c r="CN2376">
        <v>-0.12</v>
      </c>
      <c r="CO2376">
        <v>44268</v>
      </c>
      <c r="CP2376">
        <v>801</v>
      </c>
      <c r="CQ2376" t="s">
        <v>4971</v>
      </c>
      <c r="CR2376">
        <v>0</v>
      </c>
      <c r="CS2376">
        <v>0</v>
      </c>
      <c r="CT2376">
        <v>9.7899999999999991</v>
      </c>
      <c r="CU2376">
        <v>-69.739999999999995</v>
      </c>
      <c r="CV2376">
        <v>21.96</v>
      </c>
      <c r="CW2376">
        <v>0</v>
      </c>
      <c r="CX2376" t="s">
        <v>597</v>
      </c>
      <c r="CY2376">
        <v>5.0199999999999996</v>
      </c>
      <c r="CZ2376">
        <v>5.0199999999999996</v>
      </c>
      <c r="DA2376">
        <v>0.64</v>
      </c>
      <c r="DB2376">
        <v>1.85</v>
      </c>
      <c r="DC2376">
        <v>-0.7</v>
      </c>
      <c r="DD2376">
        <v>59.03</v>
      </c>
      <c r="DE2376" t="s">
        <v>11095</v>
      </c>
      <c r="DF2376">
        <v>31.08</v>
      </c>
      <c r="DG2376">
        <v>23.05</v>
      </c>
      <c r="DH2376">
        <v>19.89</v>
      </c>
      <c r="DI2376">
        <v>7.0000000000000007E-2</v>
      </c>
      <c r="DJ2376">
        <v>148</v>
      </c>
      <c r="DK2376">
        <v>301046</v>
      </c>
      <c r="DL2376" t="s">
        <v>120</v>
      </c>
      <c r="DM2376" t="s">
        <v>120</v>
      </c>
      <c r="DN2376" t="s">
        <v>120</v>
      </c>
    </row>
    <row r="2377" spans="1:118">
      <c r="A2377" t="str">
        <f>"301047"</f>
        <v>301047</v>
      </c>
      <c r="B2377" t="s">
        <v>11096</v>
      </c>
      <c r="C2377">
        <v>-7.79</v>
      </c>
      <c r="D2377">
        <v>0</v>
      </c>
      <c r="E2377">
        <v>-0.1</v>
      </c>
      <c r="F2377">
        <v>154</v>
      </c>
      <c r="G2377" t="s">
        <v>2119</v>
      </c>
      <c r="H2377">
        <v>78731.67</v>
      </c>
      <c r="I2377">
        <v>156.74</v>
      </c>
      <c r="J2377" t="s">
        <v>120</v>
      </c>
      <c r="K2377" t="s">
        <v>2119</v>
      </c>
      <c r="L2377">
        <v>10.49</v>
      </c>
      <c r="M2377">
        <v>425.52</v>
      </c>
      <c r="N2377">
        <v>2.12</v>
      </c>
      <c r="O2377">
        <v>0.52</v>
      </c>
      <c r="P2377">
        <v>463.86</v>
      </c>
      <c r="Q2377">
        <v>-8.77</v>
      </c>
      <c r="R2377">
        <v>421</v>
      </c>
      <c r="S2377">
        <v>460.99</v>
      </c>
      <c r="T2377">
        <v>17828</v>
      </c>
      <c r="U2377">
        <v>425.53</v>
      </c>
      <c r="V2377">
        <v>461.46</v>
      </c>
      <c r="W2377">
        <v>32.68</v>
      </c>
      <c r="X2377" t="s">
        <v>555</v>
      </c>
      <c r="Y2377" t="s">
        <v>158</v>
      </c>
      <c r="Z2377">
        <v>9.2899999999999991</v>
      </c>
      <c r="AA2377">
        <v>441.61</v>
      </c>
      <c r="AB2377">
        <v>10339</v>
      </c>
      <c r="AC2377">
        <v>7489</v>
      </c>
      <c r="AD2377">
        <v>1.38</v>
      </c>
      <c r="AE2377">
        <v>5</v>
      </c>
      <c r="AF2377">
        <v>73</v>
      </c>
      <c r="AG2377" t="s">
        <v>120</v>
      </c>
      <c r="AH2377">
        <v>0.02</v>
      </c>
      <c r="AI2377" t="s">
        <v>120</v>
      </c>
      <c r="AJ2377">
        <v>0.17</v>
      </c>
      <c r="AK2377" t="s">
        <v>11097</v>
      </c>
      <c r="AL2377">
        <v>-5.87</v>
      </c>
      <c r="AM2377">
        <v>3445</v>
      </c>
      <c r="AN2377">
        <v>5</v>
      </c>
      <c r="AO2377">
        <v>3.0000000000000001E-3</v>
      </c>
      <c r="AP2377">
        <v>-2</v>
      </c>
      <c r="AQ2377">
        <v>-2.44</v>
      </c>
      <c r="AR2377">
        <v>-7.78</v>
      </c>
      <c r="AS2377">
        <v>-31.2</v>
      </c>
      <c r="AT2377">
        <v>45.27</v>
      </c>
      <c r="AU2377">
        <v>45.27</v>
      </c>
      <c r="AV2377">
        <v>0</v>
      </c>
      <c r="AW2377">
        <v>10.49</v>
      </c>
      <c r="AX2377">
        <v>25</v>
      </c>
      <c r="AY2377">
        <v>25.4</v>
      </c>
      <c r="AZ2377">
        <v>27.83</v>
      </c>
      <c r="BA2377">
        <v>0</v>
      </c>
      <c r="BB2377" t="s">
        <v>125</v>
      </c>
      <c r="BF2377">
        <v>-4.3</v>
      </c>
      <c r="BG2377">
        <v>-7.69</v>
      </c>
      <c r="BH2377">
        <v>-8.27</v>
      </c>
      <c r="BI2377">
        <v>1.07</v>
      </c>
      <c r="BJ2377">
        <v>20210902</v>
      </c>
      <c r="BK2377">
        <v>20210816</v>
      </c>
      <c r="BL2377">
        <v>0.68</v>
      </c>
      <c r="BM2377" t="s">
        <v>120</v>
      </c>
      <c r="BN2377" t="s">
        <v>120</v>
      </c>
      <c r="BO2377">
        <v>18.55</v>
      </c>
      <c r="BP2377">
        <v>425.51</v>
      </c>
      <c r="BQ2377">
        <v>17.45</v>
      </c>
      <c r="BR2377" t="s">
        <v>120</v>
      </c>
      <c r="BS2377">
        <v>5.94</v>
      </c>
      <c r="BT2377">
        <v>17.16</v>
      </c>
      <c r="BU2377">
        <v>0.57999999999999996</v>
      </c>
      <c r="BV2377">
        <v>0.01</v>
      </c>
      <c r="BW2377">
        <v>0.75</v>
      </c>
      <c r="BX2377">
        <v>1.45</v>
      </c>
      <c r="BY2377">
        <v>0.2</v>
      </c>
      <c r="BZ2377">
        <v>1.42</v>
      </c>
      <c r="CA2377" t="s">
        <v>120</v>
      </c>
      <c r="CB2377">
        <v>1.44</v>
      </c>
      <c r="CC2377">
        <v>6.35</v>
      </c>
      <c r="CD2377">
        <v>0.28000000000000003</v>
      </c>
      <c r="CE2377">
        <v>5.29</v>
      </c>
      <c r="CF2377">
        <v>0.14000000000000001</v>
      </c>
      <c r="CG2377">
        <v>5.28</v>
      </c>
      <c r="CH2377">
        <v>4.43</v>
      </c>
      <c r="CI2377">
        <v>4.43</v>
      </c>
      <c r="CJ2377">
        <v>-35.94</v>
      </c>
      <c r="CK2377">
        <v>4.21</v>
      </c>
      <c r="CL2377">
        <v>15.06</v>
      </c>
      <c r="CM2377">
        <v>3.9</v>
      </c>
      <c r="CN2377">
        <v>0.89</v>
      </c>
      <c r="CO2377">
        <v>41223</v>
      </c>
      <c r="CP2377">
        <v>412</v>
      </c>
      <c r="CQ2377" t="s">
        <v>6778</v>
      </c>
      <c r="CR2377">
        <v>0</v>
      </c>
      <c r="CS2377">
        <v>0</v>
      </c>
      <c r="CT2377">
        <v>4.47</v>
      </c>
      <c r="CU2377">
        <v>74.16</v>
      </c>
      <c r="CV2377">
        <v>45.59</v>
      </c>
      <c r="CW2377">
        <v>0</v>
      </c>
      <c r="CX2377" t="s">
        <v>11098</v>
      </c>
      <c r="CY2377">
        <v>95.12</v>
      </c>
      <c r="CZ2377">
        <v>95.12</v>
      </c>
      <c r="DA2377">
        <v>2.12</v>
      </c>
      <c r="DB2377">
        <v>22.15</v>
      </c>
      <c r="DC2377">
        <v>5.74</v>
      </c>
      <c r="DD2377">
        <v>94.06</v>
      </c>
      <c r="DE2377" t="s">
        <v>11099</v>
      </c>
      <c r="DF2377">
        <v>95.63</v>
      </c>
      <c r="DG2377">
        <v>83.31</v>
      </c>
      <c r="DH2377">
        <v>69.739999999999995</v>
      </c>
      <c r="DI2377">
        <v>0.18</v>
      </c>
      <c r="DJ2377">
        <v>372</v>
      </c>
      <c r="DK2377">
        <v>301047</v>
      </c>
      <c r="DL2377" t="s">
        <v>120</v>
      </c>
      <c r="DM2377" t="s">
        <v>120</v>
      </c>
      <c r="DN2377" t="s">
        <v>120</v>
      </c>
    </row>
    <row r="2378" spans="1:118">
      <c r="A2378" t="str">
        <f>"301048"</f>
        <v>301048</v>
      </c>
      <c r="B2378" t="s">
        <v>11100</v>
      </c>
      <c r="C2378">
        <v>-1.1000000000000001</v>
      </c>
      <c r="D2378">
        <v>-0.18</v>
      </c>
      <c r="E2378">
        <v>-2.2000000000000002</v>
      </c>
      <c r="F2378">
        <v>2485</v>
      </c>
      <c r="G2378" t="s">
        <v>11101</v>
      </c>
      <c r="H2378">
        <v>27480.35</v>
      </c>
      <c r="I2378">
        <v>513.28</v>
      </c>
      <c r="J2378" t="s">
        <v>120</v>
      </c>
      <c r="K2378" t="s">
        <v>11101</v>
      </c>
      <c r="L2378">
        <v>19.399999999999999</v>
      </c>
      <c r="M2378">
        <v>16.18</v>
      </c>
      <c r="N2378">
        <v>0.7</v>
      </c>
      <c r="O2378">
        <v>1.34</v>
      </c>
      <c r="P2378">
        <v>16.579999999999998</v>
      </c>
      <c r="Q2378">
        <v>-3.42</v>
      </c>
      <c r="R2378">
        <v>15.8</v>
      </c>
      <c r="S2378">
        <v>16</v>
      </c>
      <c r="T2378">
        <v>170158</v>
      </c>
      <c r="U2378">
        <v>16.18</v>
      </c>
      <c r="V2378">
        <v>16.36</v>
      </c>
      <c r="W2378">
        <v>34.590000000000003</v>
      </c>
      <c r="X2378" t="s">
        <v>157</v>
      </c>
      <c r="Y2378" t="s">
        <v>763</v>
      </c>
      <c r="Z2378">
        <v>4.7699999999999996</v>
      </c>
      <c r="AA2378">
        <v>16.149999999999999</v>
      </c>
      <c r="AB2378">
        <v>86913</v>
      </c>
      <c r="AC2378">
        <v>83245</v>
      </c>
      <c r="AD2378">
        <v>1.04</v>
      </c>
      <c r="AE2378">
        <v>18</v>
      </c>
      <c r="AF2378">
        <v>1414</v>
      </c>
      <c r="AG2378" t="s">
        <v>120</v>
      </c>
      <c r="AH2378">
        <v>0.37</v>
      </c>
      <c r="AI2378" t="s">
        <v>120</v>
      </c>
      <c r="AJ2378">
        <v>0.88</v>
      </c>
      <c r="AK2378" t="s">
        <v>11102</v>
      </c>
      <c r="AL2378">
        <v>0.81</v>
      </c>
      <c r="AM2378">
        <v>3515</v>
      </c>
      <c r="AN2378">
        <v>48</v>
      </c>
      <c r="AO2378">
        <v>5.4999999999999997E-3</v>
      </c>
      <c r="AP2378">
        <v>-2</v>
      </c>
      <c r="AQ2378">
        <v>-1.45</v>
      </c>
      <c r="AR2378">
        <v>-1.23</v>
      </c>
      <c r="AS2378">
        <v>4.93</v>
      </c>
      <c r="AT2378">
        <v>291.77</v>
      </c>
      <c r="AU2378">
        <v>291.77</v>
      </c>
      <c r="AV2378">
        <v>2</v>
      </c>
      <c r="AW2378">
        <v>19.399999999999999</v>
      </c>
      <c r="AX2378">
        <v>16.45</v>
      </c>
      <c r="AY2378">
        <v>40.96</v>
      </c>
      <c r="AZ2378">
        <v>46.48</v>
      </c>
      <c r="BA2378">
        <v>0</v>
      </c>
      <c r="BB2378" t="s">
        <v>240</v>
      </c>
      <c r="BF2378">
        <v>-1.28</v>
      </c>
      <c r="BG2378">
        <v>1.1299999999999999</v>
      </c>
      <c r="BH2378">
        <v>-2.41</v>
      </c>
      <c r="BI2378">
        <v>2.41</v>
      </c>
      <c r="BJ2378">
        <v>20210830</v>
      </c>
      <c r="BK2378">
        <v>20210818</v>
      </c>
      <c r="BL2378">
        <v>5.33</v>
      </c>
      <c r="BM2378" t="s">
        <v>120</v>
      </c>
      <c r="BN2378" t="s">
        <v>120</v>
      </c>
      <c r="BO2378">
        <v>34.75</v>
      </c>
      <c r="BP2378">
        <v>16.170000000000002</v>
      </c>
      <c r="BQ2378">
        <v>14.69</v>
      </c>
      <c r="BR2378" t="s">
        <v>120</v>
      </c>
      <c r="BS2378">
        <v>57.72</v>
      </c>
      <c r="BT2378">
        <v>25.59</v>
      </c>
      <c r="BU2378">
        <v>4.51</v>
      </c>
      <c r="BV2378">
        <v>2.39</v>
      </c>
      <c r="BW2378">
        <v>18.059999999999999</v>
      </c>
      <c r="BX2378">
        <v>4.13</v>
      </c>
      <c r="BY2378">
        <v>12.09</v>
      </c>
      <c r="BZ2378">
        <v>7.8</v>
      </c>
      <c r="CA2378" t="s">
        <v>120</v>
      </c>
      <c r="CB2378">
        <v>7.4</v>
      </c>
      <c r="CC2378">
        <v>12.8</v>
      </c>
      <c r="CD2378">
        <v>10.54</v>
      </c>
      <c r="CE2378">
        <v>1.47</v>
      </c>
      <c r="CF2378">
        <v>0</v>
      </c>
      <c r="CG2378">
        <v>1.47</v>
      </c>
      <c r="CH2378">
        <v>1.25</v>
      </c>
      <c r="CI2378">
        <v>1.25</v>
      </c>
      <c r="CJ2378">
        <v>-0.18</v>
      </c>
      <c r="CK2378">
        <v>1.1100000000000001</v>
      </c>
      <c r="CL2378">
        <v>3.1</v>
      </c>
      <c r="CM2378">
        <v>-0.9</v>
      </c>
      <c r="CN2378">
        <v>-1.52</v>
      </c>
      <c r="CO2378">
        <v>80000</v>
      </c>
      <c r="CP2378">
        <v>1097</v>
      </c>
      <c r="CQ2378" t="s">
        <v>11103</v>
      </c>
      <c r="CR2378">
        <v>0</v>
      </c>
      <c r="CS2378">
        <v>0</v>
      </c>
      <c r="CT2378">
        <v>4.38</v>
      </c>
      <c r="CU2378">
        <v>-96.32</v>
      </c>
      <c r="CV2378">
        <v>6.74</v>
      </c>
      <c r="CW2378">
        <v>0</v>
      </c>
      <c r="CX2378" t="s">
        <v>2752</v>
      </c>
      <c r="CY2378">
        <v>3.69</v>
      </c>
      <c r="CZ2378">
        <v>3.69</v>
      </c>
      <c r="DA2378">
        <v>1.39</v>
      </c>
      <c r="DB2378">
        <v>0.57999999999999996</v>
      </c>
      <c r="DC2378">
        <v>-0.17</v>
      </c>
      <c r="DD2378">
        <v>42.28</v>
      </c>
      <c r="DE2378" t="s">
        <v>11104</v>
      </c>
      <c r="DF2378">
        <v>17.68</v>
      </c>
      <c r="DG2378">
        <v>11.49</v>
      </c>
      <c r="DH2378">
        <v>9.74</v>
      </c>
      <c r="DI2378">
        <v>0.42</v>
      </c>
      <c r="DJ2378">
        <v>557</v>
      </c>
      <c r="DK2378">
        <v>301048</v>
      </c>
      <c r="DL2378">
        <v>20210902</v>
      </c>
      <c r="DM2378">
        <v>20.82</v>
      </c>
      <c r="DN2378">
        <v>-22.29</v>
      </c>
    </row>
    <row r="2379" spans="1:118">
      <c r="A2379" t="str">
        <f>"301049"</f>
        <v>301049</v>
      </c>
      <c r="B2379" t="s">
        <v>11105</v>
      </c>
      <c r="C2379">
        <v>-2.36</v>
      </c>
      <c r="D2379">
        <v>0</v>
      </c>
      <c r="E2379">
        <v>0.14000000000000001</v>
      </c>
      <c r="F2379">
        <v>699</v>
      </c>
      <c r="G2379" t="s">
        <v>11106</v>
      </c>
      <c r="H2379">
        <v>11597.59</v>
      </c>
      <c r="I2379">
        <v>46.01</v>
      </c>
      <c r="J2379" t="s">
        <v>120</v>
      </c>
      <c r="K2379" t="s">
        <v>11106</v>
      </c>
      <c r="L2379">
        <v>14.59</v>
      </c>
      <c r="M2379">
        <v>34.78</v>
      </c>
      <c r="N2379">
        <v>0.75</v>
      </c>
      <c r="O2379">
        <v>1.91</v>
      </c>
      <c r="P2379">
        <v>36.299999999999997</v>
      </c>
      <c r="Q2379">
        <v>-2.64</v>
      </c>
      <c r="R2379">
        <v>34.68</v>
      </c>
      <c r="S2379">
        <v>35.67</v>
      </c>
      <c r="T2379">
        <v>32589</v>
      </c>
      <c r="U2379">
        <v>34.79</v>
      </c>
      <c r="V2379">
        <v>35.619999999999997</v>
      </c>
      <c r="W2379">
        <v>40.799999999999997</v>
      </c>
      <c r="X2379" t="s">
        <v>318</v>
      </c>
      <c r="Y2379" t="s">
        <v>570</v>
      </c>
      <c r="Z2379">
        <v>4.55</v>
      </c>
      <c r="AA2379">
        <v>35.590000000000003</v>
      </c>
      <c r="AB2379">
        <v>17104</v>
      </c>
      <c r="AC2379">
        <v>15485</v>
      </c>
      <c r="AD2379">
        <v>1.1000000000000001</v>
      </c>
      <c r="AE2379">
        <v>217</v>
      </c>
      <c r="AF2379">
        <v>12</v>
      </c>
      <c r="AG2379" t="s">
        <v>120</v>
      </c>
      <c r="AH2379">
        <v>0.06</v>
      </c>
      <c r="AI2379" t="s">
        <v>120</v>
      </c>
      <c r="AJ2379">
        <v>0.22</v>
      </c>
      <c r="AK2379" t="s">
        <v>9103</v>
      </c>
      <c r="AL2379">
        <v>-0.44</v>
      </c>
      <c r="AM2379">
        <v>2224</v>
      </c>
      <c r="AN2379">
        <v>15</v>
      </c>
      <c r="AO2379">
        <v>6.6E-3</v>
      </c>
      <c r="AP2379">
        <v>-1</v>
      </c>
      <c r="AQ2379">
        <v>0</v>
      </c>
      <c r="AR2379">
        <v>-5.87</v>
      </c>
      <c r="AS2379">
        <v>79.84</v>
      </c>
      <c r="AT2379">
        <v>79.84</v>
      </c>
      <c r="AU2379">
        <v>79.84</v>
      </c>
      <c r="AV2379">
        <v>0</v>
      </c>
      <c r="AW2379">
        <v>14.58</v>
      </c>
      <c r="AX2379">
        <v>23.71</v>
      </c>
      <c r="AY2379">
        <v>24.22</v>
      </c>
      <c r="AZ2379">
        <v>23.71</v>
      </c>
      <c r="BA2379">
        <v>0</v>
      </c>
      <c r="BB2379" t="s">
        <v>143</v>
      </c>
      <c r="BF2379">
        <v>-0.09</v>
      </c>
      <c r="BG2379">
        <v>-2.5</v>
      </c>
      <c r="BH2379">
        <v>-4.1900000000000004</v>
      </c>
      <c r="BI2379">
        <v>0.28999999999999998</v>
      </c>
      <c r="BJ2379">
        <v>20210823</v>
      </c>
      <c r="BK2379">
        <v>20210824</v>
      </c>
      <c r="BL2379">
        <v>0.94</v>
      </c>
      <c r="BM2379" t="s">
        <v>120</v>
      </c>
      <c r="BN2379" t="s">
        <v>120</v>
      </c>
      <c r="BO2379">
        <v>6.89</v>
      </c>
      <c r="BP2379">
        <v>34.78</v>
      </c>
      <c r="BQ2379">
        <v>4.82</v>
      </c>
      <c r="BR2379" t="s">
        <v>120</v>
      </c>
      <c r="BS2379">
        <v>29.99</v>
      </c>
      <c r="BT2379">
        <v>3.01</v>
      </c>
      <c r="BU2379">
        <v>1.62</v>
      </c>
      <c r="BV2379">
        <v>0.32</v>
      </c>
      <c r="BW2379">
        <v>1.58</v>
      </c>
      <c r="BX2379">
        <v>0.75</v>
      </c>
      <c r="BY2379">
        <v>0.08</v>
      </c>
      <c r="BZ2379">
        <v>2</v>
      </c>
      <c r="CA2379" t="s">
        <v>120</v>
      </c>
      <c r="CB2379">
        <v>1.8</v>
      </c>
      <c r="CC2379">
        <v>1.1399999999999999</v>
      </c>
      <c r="CD2379">
        <v>0.56999999999999995</v>
      </c>
      <c r="CE2379">
        <v>0.43</v>
      </c>
      <c r="CF2379">
        <v>0</v>
      </c>
      <c r="CG2379">
        <v>0.43</v>
      </c>
      <c r="CH2379">
        <v>0.4</v>
      </c>
      <c r="CI2379">
        <v>0.4</v>
      </c>
      <c r="CJ2379">
        <v>-0.84</v>
      </c>
      <c r="CK2379">
        <v>0.39</v>
      </c>
      <c r="CL2379">
        <v>2.04</v>
      </c>
      <c r="CM2379">
        <v>0.8</v>
      </c>
      <c r="CN2379">
        <v>0.03</v>
      </c>
      <c r="CO2379">
        <v>30558</v>
      </c>
      <c r="CP2379">
        <v>731</v>
      </c>
      <c r="CQ2379" t="s">
        <v>11107</v>
      </c>
      <c r="CR2379">
        <v>0</v>
      </c>
      <c r="CS2379">
        <v>0</v>
      </c>
      <c r="CT2379">
        <v>3.77</v>
      </c>
      <c r="CU2379">
        <v>41.17</v>
      </c>
      <c r="CV2379">
        <v>28.75</v>
      </c>
      <c r="CW2379">
        <v>0</v>
      </c>
      <c r="CX2379" t="s">
        <v>648</v>
      </c>
      <c r="CY2379">
        <v>9.2100000000000009</v>
      </c>
      <c r="CZ2379">
        <v>9.2100000000000009</v>
      </c>
      <c r="DA2379">
        <v>1.91</v>
      </c>
      <c r="DB2379">
        <v>2.16</v>
      </c>
      <c r="DC2379">
        <v>0.84</v>
      </c>
      <c r="DD2379">
        <v>70.010000000000005</v>
      </c>
      <c r="DE2379" t="s">
        <v>2948</v>
      </c>
      <c r="DF2379">
        <v>49.83</v>
      </c>
      <c r="DG2379">
        <v>37.5</v>
      </c>
      <c r="DH2379">
        <v>35.229999999999997</v>
      </c>
      <c r="DI2379">
        <v>0.05</v>
      </c>
      <c r="DJ2379">
        <v>404</v>
      </c>
      <c r="DK2379">
        <v>301049</v>
      </c>
      <c r="DL2379" t="s">
        <v>120</v>
      </c>
      <c r="DM2379" t="s">
        <v>120</v>
      </c>
      <c r="DN2379" t="s">
        <v>120</v>
      </c>
    </row>
    <row r="2380" spans="1:118">
      <c r="A2380" t="str">
        <f>"301050"</f>
        <v>301050</v>
      </c>
      <c r="B2380" t="s">
        <v>11108</v>
      </c>
      <c r="C2380">
        <v>-4.74</v>
      </c>
      <c r="D2380">
        <v>0.02</v>
      </c>
      <c r="E2380">
        <v>-0.3</v>
      </c>
      <c r="F2380">
        <v>145</v>
      </c>
      <c r="G2380" t="s">
        <v>5597</v>
      </c>
      <c r="H2380">
        <v>19416.97</v>
      </c>
      <c r="I2380">
        <v>189.39</v>
      </c>
      <c r="J2380" t="s">
        <v>120</v>
      </c>
      <c r="K2380" t="s">
        <v>5597</v>
      </c>
      <c r="L2380">
        <v>4.28</v>
      </c>
      <c r="M2380">
        <v>241.27</v>
      </c>
      <c r="N2380">
        <v>0.57999999999999996</v>
      </c>
      <c r="O2380">
        <v>-0.11</v>
      </c>
      <c r="P2380">
        <v>253</v>
      </c>
      <c r="Q2380">
        <v>-4.8499999999999996</v>
      </c>
      <c r="R2380">
        <v>241</v>
      </c>
      <c r="S2380">
        <v>252.52</v>
      </c>
      <c r="T2380">
        <v>7873</v>
      </c>
      <c r="U2380">
        <v>241.3</v>
      </c>
      <c r="V2380">
        <v>253.28</v>
      </c>
      <c r="W2380">
        <v>101.55</v>
      </c>
      <c r="X2380" t="s">
        <v>1621</v>
      </c>
      <c r="Y2380" t="s">
        <v>578</v>
      </c>
      <c r="Z2380">
        <v>4.74</v>
      </c>
      <c r="AA2380">
        <v>246.64</v>
      </c>
      <c r="AB2380">
        <v>5291</v>
      </c>
      <c r="AC2380">
        <v>2582</v>
      </c>
      <c r="AD2380">
        <v>2.0499999999999998</v>
      </c>
      <c r="AE2380">
        <v>1</v>
      </c>
      <c r="AF2380">
        <v>7</v>
      </c>
      <c r="AG2380" t="s">
        <v>120</v>
      </c>
      <c r="AH2380">
        <v>0.04</v>
      </c>
      <c r="AI2380" t="s">
        <v>120</v>
      </c>
      <c r="AJ2380">
        <v>0.18</v>
      </c>
      <c r="AK2380" t="s">
        <v>11109</v>
      </c>
      <c r="AL2380">
        <v>-2.83</v>
      </c>
      <c r="AM2380">
        <v>1679</v>
      </c>
      <c r="AN2380">
        <v>5</v>
      </c>
      <c r="AO2380">
        <v>2.5000000000000001E-3</v>
      </c>
      <c r="AP2380">
        <v>-1</v>
      </c>
      <c r="AQ2380">
        <v>2.59</v>
      </c>
      <c r="AR2380">
        <v>-1.1299999999999999</v>
      </c>
      <c r="AS2380">
        <v>297.87</v>
      </c>
      <c r="AT2380">
        <v>297.87</v>
      </c>
      <c r="AU2380">
        <v>297.87</v>
      </c>
      <c r="AV2380">
        <v>0</v>
      </c>
      <c r="AW2380">
        <v>4.28</v>
      </c>
      <c r="AX2380">
        <v>19.02</v>
      </c>
      <c r="AY2380">
        <v>155.71</v>
      </c>
      <c r="AZ2380">
        <v>202.37</v>
      </c>
      <c r="BA2380">
        <v>0</v>
      </c>
      <c r="BB2380" t="s">
        <v>143</v>
      </c>
      <c r="BF2380">
        <v>-2.62</v>
      </c>
      <c r="BG2380">
        <v>-4.46</v>
      </c>
      <c r="BH2380">
        <v>-4.6399999999999997</v>
      </c>
      <c r="BI2380">
        <v>0.11</v>
      </c>
      <c r="BJ2380">
        <v>20210823</v>
      </c>
      <c r="BK2380">
        <v>20210824</v>
      </c>
      <c r="BL2380">
        <v>0.97</v>
      </c>
      <c r="BM2380" t="s">
        <v>120</v>
      </c>
      <c r="BN2380" t="s">
        <v>120</v>
      </c>
      <c r="BO2380">
        <v>12.16</v>
      </c>
      <c r="BP2380">
        <v>241.26</v>
      </c>
      <c r="BQ2380">
        <v>6.22</v>
      </c>
      <c r="BR2380" t="s">
        <v>120</v>
      </c>
      <c r="BS2380">
        <v>48.84</v>
      </c>
      <c r="BT2380">
        <v>10.54</v>
      </c>
      <c r="BU2380">
        <v>1.17</v>
      </c>
      <c r="BV2380">
        <v>0.11</v>
      </c>
      <c r="BW2380">
        <v>5.83</v>
      </c>
      <c r="BX2380">
        <v>0.18</v>
      </c>
      <c r="BY2380">
        <v>3.73</v>
      </c>
      <c r="BZ2380">
        <v>5.35</v>
      </c>
      <c r="CA2380" t="s">
        <v>120</v>
      </c>
      <c r="CB2380">
        <v>2.4500000000000002</v>
      </c>
      <c r="CC2380">
        <v>3.89</v>
      </c>
      <c r="CD2380">
        <v>2.1</v>
      </c>
      <c r="CE2380">
        <v>1.36</v>
      </c>
      <c r="CF2380">
        <v>0</v>
      </c>
      <c r="CG2380">
        <v>1.36</v>
      </c>
      <c r="CH2380">
        <v>1.1499999999999999</v>
      </c>
      <c r="CI2380">
        <v>1.1499999999999999</v>
      </c>
      <c r="CJ2380">
        <v>-12.01</v>
      </c>
      <c r="CK2380">
        <v>1.0900000000000001</v>
      </c>
      <c r="CL2380">
        <v>2.92</v>
      </c>
      <c r="CM2380">
        <v>-0.95</v>
      </c>
      <c r="CN2380">
        <v>-0.38</v>
      </c>
      <c r="CO2380">
        <v>25165</v>
      </c>
      <c r="CP2380">
        <v>732</v>
      </c>
      <c r="CQ2380" t="s">
        <v>11110</v>
      </c>
      <c r="CR2380">
        <v>0</v>
      </c>
      <c r="CS2380">
        <v>0</v>
      </c>
      <c r="CT2380">
        <v>11.79</v>
      </c>
      <c r="CU2380">
        <v>-246.5</v>
      </c>
      <c r="CV2380">
        <v>60.1</v>
      </c>
      <c r="CW2380">
        <v>0</v>
      </c>
      <c r="CX2380" t="s">
        <v>11111</v>
      </c>
      <c r="CY2380">
        <v>20.46</v>
      </c>
      <c r="CZ2380">
        <v>20.46</v>
      </c>
      <c r="DA2380">
        <v>2.5299999999999998</v>
      </c>
      <c r="DB2380">
        <v>3.02</v>
      </c>
      <c r="DC2380">
        <v>-0.98</v>
      </c>
      <c r="DD2380">
        <v>51.16</v>
      </c>
      <c r="DE2380" t="s">
        <v>11112</v>
      </c>
      <c r="DF2380">
        <v>46.07</v>
      </c>
      <c r="DG2380">
        <v>34.89</v>
      </c>
      <c r="DH2380">
        <v>29.59</v>
      </c>
      <c r="DI2380">
        <v>0.11</v>
      </c>
      <c r="DJ2380">
        <v>427</v>
      </c>
      <c r="DK2380">
        <v>301050</v>
      </c>
      <c r="DL2380" t="s">
        <v>120</v>
      </c>
      <c r="DM2380" t="s">
        <v>120</v>
      </c>
      <c r="DN2380" t="s">
        <v>120</v>
      </c>
    </row>
    <row r="2381" spans="1:118">
      <c r="A2381" t="str">
        <f>"301051"</f>
        <v>301051</v>
      </c>
      <c r="B2381" t="s">
        <v>11113</v>
      </c>
      <c r="C2381">
        <v>-4.9800000000000004</v>
      </c>
      <c r="D2381">
        <v>-0.14000000000000001</v>
      </c>
      <c r="E2381">
        <v>-1.75</v>
      </c>
      <c r="F2381">
        <v>113</v>
      </c>
      <c r="G2381" t="s">
        <v>6678</v>
      </c>
      <c r="H2381">
        <v>24127.599999999999</v>
      </c>
      <c r="I2381">
        <v>174.42</v>
      </c>
      <c r="J2381" t="s">
        <v>120</v>
      </c>
      <c r="K2381" t="s">
        <v>6678</v>
      </c>
      <c r="L2381">
        <v>10.72</v>
      </c>
      <c r="M2381">
        <v>111.71</v>
      </c>
      <c r="N2381">
        <v>0.93</v>
      </c>
      <c r="O2381">
        <v>1.2</v>
      </c>
      <c r="P2381">
        <v>118.98</v>
      </c>
      <c r="Q2381">
        <v>-6.44</v>
      </c>
      <c r="R2381">
        <v>110</v>
      </c>
      <c r="S2381">
        <v>115.51</v>
      </c>
      <c r="T2381">
        <v>21442</v>
      </c>
      <c r="U2381">
        <v>111.72</v>
      </c>
      <c r="V2381">
        <v>117.57</v>
      </c>
      <c r="W2381">
        <v>38.75</v>
      </c>
      <c r="X2381" t="s">
        <v>229</v>
      </c>
      <c r="Y2381" t="s">
        <v>123</v>
      </c>
      <c r="Z2381">
        <v>7.64</v>
      </c>
      <c r="AA2381">
        <v>112.52</v>
      </c>
      <c r="AB2381">
        <v>12646</v>
      </c>
      <c r="AC2381">
        <v>8796</v>
      </c>
      <c r="AD2381">
        <v>1.44</v>
      </c>
      <c r="AE2381">
        <v>119</v>
      </c>
      <c r="AF2381">
        <v>20</v>
      </c>
      <c r="AG2381" t="s">
        <v>120</v>
      </c>
      <c r="AH2381">
        <v>0.08</v>
      </c>
      <c r="AI2381" t="s">
        <v>120</v>
      </c>
      <c r="AJ2381">
        <v>0.2</v>
      </c>
      <c r="AK2381" t="s">
        <v>11114</v>
      </c>
      <c r="AL2381">
        <v>-3.07</v>
      </c>
      <c r="AM2381">
        <v>2379</v>
      </c>
      <c r="AN2381">
        <v>9</v>
      </c>
      <c r="AO2381">
        <v>4.4999999999999997E-3</v>
      </c>
      <c r="AP2381">
        <v>-1</v>
      </c>
      <c r="AQ2381">
        <v>1.97</v>
      </c>
      <c r="AR2381">
        <v>-6.7</v>
      </c>
      <c r="AS2381">
        <v>13.07</v>
      </c>
      <c r="AT2381">
        <v>13.07</v>
      </c>
      <c r="AU2381">
        <v>13.07</v>
      </c>
      <c r="AV2381">
        <v>0</v>
      </c>
      <c r="AW2381">
        <v>10.72</v>
      </c>
      <c r="AX2381">
        <v>25</v>
      </c>
      <c r="AY2381">
        <v>40.9</v>
      </c>
      <c r="AZ2381">
        <v>42.97</v>
      </c>
      <c r="BA2381">
        <v>0</v>
      </c>
      <c r="BB2381" t="s">
        <v>143</v>
      </c>
      <c r="BF2381">
        <v>-4.29</v>
      </c>
      <c r="BG2381">
        <v>-3.29</v>
      </c>
      <c r="BH2381">
        <v>-6.11</v>
      </c>
      <c r="BI2381">
        <v>1.55</v>
      </c>
      <c r="BJ2381">
        <v>20210826</v>
      </c>
      <c r="BK2381">
        <v>20210827</v>
      </c>
      <c r="BL2381">
        <v>0.8</v>
      </c>
      <c r="BM2381" t="s">
        <v>120</v>
      </c>
      <c r="BN2381" t="s">
        <v>120</v>
      </c>
      <c r="BO2381">
        <v>19.95</v>
      </c>
      <c r="BP2381">
        <v>111.71</v>
      </c>
      <c r="BQ2381">
        <v>8.9</v>
      </c>
      <c r="BR2381" t="s">
        <v>120</v>
      </c>
      <c r="BS2381">
        <v>55.39</v>
      </c>
      <c r="BT2381">
        <v>11.67</v>
      </c>
      <c r="BU2381">
        <v>4.4400000000000004</v>
      </c>
      <c r="BV2381">
        <v>0.12</v>
      </c>
      <c r="BW2381">
        <v>9.31</v>
      </c>
      <c r="BX2381">
        <v>1.89</v>
      </c>
      <c r="BY2381">
        <v>2.16</v>
      </c>
      <c r="BZ2381">
        <v>4.76</v>
      </c>
      <c r="CA2381" t="s">
        <v>120</v>
      </c>
      <c r="CB2381">
        <v>0.7</v>
      </c>
      <c r="CC2381">
        <v>9.5399999999999991</v>
      </c>
      <c r="CD2381">
        <v>6.66</v>
      </c>
      <c r="CE2381">
        <v>1.29</v>
      </c>
      <c r="CF2381">
        <v>0</v>
      </c>
      <c r="CG2381">
        <v>1.28</v>
      </c>
      <c r="CH2381">
        <v>1.1499999999999999</v>
      </c>
      <c r="CI2381">
        <v>1.1499999999999999</v>
      </c>
      <c r="CJ2381">
        <v>-5.86</v>
      </c>
      <c r="CK2381">
        <v>1.04</v>
      </c>
      <c r="CL2381">
        <v>7</v>
      </c>
      <c r="CM2381">
        <v>2.13</v>
      </c>
      <c r="CN2381">
        <v>0.38</v>
      </c>
      <c r="CO2381">
        <v>40027</v>
      </c>
      <c r="CP2381">
        <v>500</v>
      </c>
      <c r="CQ2381" t="s">
        <v>11115</v>
      </c>
      <c r="CR2381">
        <v>0</v>
      </c>
      <c r="CS2381">
        <v>0</v>
      </c>
      <c r="CT2381">
        <v>3.21</v>
      </c>
      <c r="CU2381">
        <v>41.94</v>
      </c>
      <c r="CV2381">
        <v>9.3699999999999992</v>
      </c>
      <c r="CW2381">
        <v>0</v>
      </c>
      <c r="CX2381" t="s">
        <v>11116</v>
      </c>
      <c r="CY2381">
        <v>34.81</v>
      </c>
      <c r="CZ2381">
        <v>34.81</v>
      </c>
      <c r="DA2381">
        <v>0.87</v>
      </c>
      <c r="DB2381">
        <v>8.75</v>
      </c>
      <c r="DC2381">
        <v>2.66</v>
      </c>
      <c r="DD2381">
        <v>44.61</v>
      </c>
      <c r="DE2381" t="s">
        <v>11117</v>
      </c>
      <c r="DF2381">
        <v>30.2</v>
      </c>
      <c r="DG2381">
        <v>13.47</v>
      </c>
      <c r="DH2381">
        <v>12.09</v>
      </c>
      <c r="DI2381">
        <v>0.47</v>
      </c>
      <c r="DJ2381">
        <v>3160</v>
      </c>
      <c r="DK2381">
        <v>301051</v>
      </c>
      <c r="DL2381" t="s">
        <v>120</v>
      </c>
      <c r="DM2381" t="s">
        <v>120</v>
      </c>
      <c r="DN2381" t="s">
        <v>120</v>
      </c>
    </row>
    <row r="2382" spans="1:118">
      <c r="A2382" t="str">
        <f>"301052"</f>
        <v>301052</v>
      </c>
      <c r="B2382" t="s">
        <v>11118</v>
      </c>
      <c r="C2382">
        <v>-4.2699999999999996</v>
      </c>
      <c r="D2382">
        <v>-0.22</v>
      </c>
      <c r="E2382">
        <v>-0.88</v>
      </c>
      <c r="F2382">
        <v>1056</v>
      </c>
      <c r="G2382" t="s">
        <v>11119</v>
      </c>
      <c r="H2382">
        <v>10572.76</v>
      </c>
      <c r="I2382">
        <v>136.02000000000001</v>
      </c>
      <c r="J2382" t="s">
        <v>120</v>
      </c>
      <c r="K2382" t="s">
        <v>11119</v>
      </c>
      <c r="L2382">
        <v>19.84</v>
      </c>
      <c r="M2382">
        <v>30.48</v>
      </c>
      <c r="N2382">
        <v>0.92</v>
      </c>
      <c r="O2382">
        <v>0.44</v>
      </c>
      <c r="P2382">
        <v>31.98</v>
      </c>
      <c r="Q2382">
        <v>-4.2699999999999996</v>
      </c>
      <c r="R2382">
        <v>30.48</v>
      </c>
      <c r="S2382">
        <v>31.56</v>
      </c>
      <c r="T2382">
        <v>33895</v>
      </c>
      <c r="U2382">
        <v>30.48</v>
      </c>
      <c r="V2382">
        <v>31.84</v>
      </c>
      <c r="W2382">
        <v>47.96</v>
      </c>
      <c r="X2382" t="s">
        <v>1730</v>
      </c>
      <c r="Y2382" t="s">
        <v>585</v>
      </c>
      <c r="Z2382">
        <v>4.71</v>
      </c>
      <c r="AA2382">
        <v>31.19</v>
      </c>
      <c r="AB2382">
        <v>20621</v>
      </c>
      <c r="AC2382">
        <v>13274</v>
      </c>
      <c r="AD2382">
        <v>1.55</v>
      </c>
      <c r="AE2382">
        <v>18</v>
      </c>
      <c r="AF2382">
        <v>262</v>
      </c>
      <c r="AG2382" t="s">
        <v>120</v>
      </c>
      <c r="AH2382">
        <v>0.25</v>
      </c>
      <c r="AI2382" t="s">
        <v>120</v>
      </c>
      <c r="AJ2382">
        <v>0.17</v>
      </c>
      <c r="AK2382" t="s">
        <v>11120</v>
      </c>
      <c r="AL2382">
        <v>-2.36</v>
      </c>
      <c r="AM2382">
        <v>2016</v>
      </c>
      <c r="AN2382">
        <v>17</v>
      </c>
      <c r="AO2382">
        <v>9.7999999999999997E-3</v>
      </c>
      <c r="AP2382">
        <v>-2</v>
      </c>
      <c r="AQ2382">
        <v>-1.52</v>
      </c>
      <c r="AR2382">
        <v>-4.2699999999999996</v>
      </c>
      <c r="AS2382">
        <v>275.83</v>
      </c>
      <c r="AT2382">
        <v>275.83</v>
      </c>
      <c r="AU2382">
        <v>275.83</v>
      </c>
      <c r="AV2382">
        <v>0</v>
      </c>
      <c r="AW2382">
        <v>19.84</v>
      </c>
      <c r="AX2382">
        <v>23.71</v>
      </c>
      <c r="AY2382">
        <v>45.63</v>
      </c>
      <c r="AZ2382">
        <v>56.09</v>
      </c>
      <c r="BA2382">
        <v>0</v>
      </c>
      <c r="BB2382" t="s">
        <v>143</v>
      </c>
      <c r="BF2382">
        <v>-2.0299999999999998</v>
      </c>
      <c r="BG2382">
        <v>-3.42</v>
      </c>
      <c r="BH2382">
        <v>-4.6900000000000004</v>
      </c>
      <c r="BI2382">
        <v>0</v>
      </c>
      <c r="BJ2382">
        <v>20210827</v>
      </c>
      <c r="BK2382">
        <v>20210830</v>
      </c>
      <c r="BL2382">
        <v>0.72</v>
      </c>
      <c r="BM2382" t="s">
        <v>120</v>
      </c>
      <c r="BN2382" t="s">
        <v>120</v>
      </c>
      <c r="BO2382">
        <v>5.05</v>
      </c>
      <c r="BP2382">
        <v>30.47</v>
      </c>
      <c r="BQ2382">
        <v>4.1399999999999997</v>
      </c>
      <c r="BR2382">
        <v>7.0000000000000007E-2</v>
      </c>
      <c r="BS2382">
        <v>16.600000000000001</v>
      </c>
      <c r="BT2382">
        <v>4.29</v>
      </c>
      <c r="BU2382">
        <v>0.06</v>
      </c>
      <c r="BV2382">
        <v>0.03</v>
      </c>
      <c r="BW2382">
        <v>0.89</v>
      </c>
      <c r="BX2382">
        <v>1.38</v>
      </c>
      <c r="BY2382">
        <v>1.05</v>
      </c>
      <c r="BZ2382">
        <v>0.75</v>
      </c>
      <c r="CA2382" t="s">
        <v>120</v>
      </c>
      <c r="CB2382">
        <v>1.94</v>
      </c>
      <c r="CC2382">
        <v>2.04</v>
      </c>
      <c r="CD2382">
        <v>1.04</v>
      </c>
      <c r="CE2382">
        <v>0.26</v>
      </c>
      <c r="CF2382">
        <v>0</v>
      </c>
      <c r="CG2382">
        <v>0.26</v>
      </c>
      <c r="CH2382">
        <v>0.23</v>
      </c>
      <c r="CI2382">
        <v>0.23</v>
      </c>
      <c r="CJ2382">
        <v>-1.36</v>
      </c>
      <c r="CK2382">
        <v>0.21</v>
      </c>
      <c r="CL2382">
        <v>1.53</v>
      </c>
      <c r="CM2382">
        <v>-0.01</v>
      </c>
      <c r="CN2382">
        <v>-0.51</v>
      </c>
      <c r="CO2382">
        <v>46467</v>
      </c>
      <c r="CP2382">
        <v>368</v>
      </c>
      <c r="CQ2382" t="s">
        <v>11121</v>
      </c>
      <c r="CR2382">
        <v>0</v>
      </c>
      <c r="CS2382">
        <v>0</v>
      </c>
      <c r="CT2382">
        <v>4.2300000000000004</v>
      </c>
      <c r="CU2382">
        <v>-1532.08</v>
      </c>
      <c r="CV2382">
        <v>10.78</v>
      </c>
      <c r="CW2382">
        <v>0</v>
      </c>
      <c r="CX2382" t="s">
        <v>11122</v>
      </c>
      <c r="CY2382">
        <v>7.21</v>
      </c>
      <c r="CZ2382">
        <v>7.21</v>
      </c>
      <c r="DA2382">
        <v>2.69</v>
      </c>
      <c r="DB2382">
        <v>2.12</v>
      </c>
      <c r="DC2382">
        <v>-0.02</v>
      </c>
      <c r="DD2382">
        <v>81.96</v>
      </c>
      <c r="DE2382" t="s">
        <v>6753</v>
      </c>
      <c r="DF2382">
        <v>48.78</v>
      </c>
      <c r="DG2382">
        <v>12.65</v>
      </c>
      <c r="DH2382">
        <v>11.24</v>
      </c>
      <c r="DI2382">
        <v>0.06</v>
      </c>
      <c r="DJ2382">
        <v>273</v>
      </c>
      <c r="DK2382">
        <v>301052</v>
      </c>
      <c r="DL2382" t="s">
        <v>120</v>
      </c>
      <c r="DM2382" t="s">
        <v>120</v>
      </c>
      <c r="DN2382" t="s">
        <v>120</v>
      </c>
    </row>
    <row r="2383" spans="1:118">
      <c r="A2383" t="str">
        <f>"301053"</f>
        <v>301053</v>
      </c>
      <c r="B2383" t="s">
        <v>11123</v>
      </c>
      <c r="C2383">
        <v>0.49</v>
      </c>
      <c r="D2383">
        <v>0.05</v>
      </c>
      <c r="E2383">
        <v>-2.7</v>
      </c>
      <c r="F2383">
        <v>1468</v>
      </c>
      <c r="G2383" t="s">
        <v>11124</v>
      </c>
      <c r="H2383">
        <v>15904.35</v>
      </c>
      <c r="I2383">
        <v>242.93</v>
      </c>
      <c r="J2383" t="s">
        <v>120</v>
      </c>
      <c r="K2383" t="s">
        <v>11124</v>
      </c>
      <c r="L2383">
        <v>25.14</v>
      </c>
      <c r="M2383">
        <v>37.17</v>
      </c>
      <c r="N2383">
        <v>0.91</v>
      </c>
      <c r="O2383">
        <v>2.3199999999999998</v>
      </c>
      <c r="P2383">
        <v>37.85</v>
      </c>
      <c r="Q2383">
        <v>-5.7</v>
      </c>
      <c r="R2383">
        <v>34.880000000000003</v>
      </c>
      <c r="S2383">
        <v>35.99</v>
      </c>
      <c r="T2383">
        <v>43854</v>
      </c>
      <c r="U2383">
        <v>37.17</v>
      </c>
      <c r="V2383">
        <v>36.99</v>
      </c>
      <c r="W2383">
        <v>34.06</v>
      </c>
      <c r="X2383" t="s">
        <v>675</v>
      </c>
      <c r="Y2383" t="s">
        <v>585</v>
      </c>
      <c r="Z2383">
        <v>8.0299999999999994</v>
      </c>
      <c r="AA2383">
        <v>36.270000000000003</v>
      </c>
      <c r="AB2383">
        <v>22377</v>
      </c>
      <c r="AC2383">
        <v>21477</v>
      </c>
      <c r="AD2383">
        <v>1.04</v>
      </c>
      <c r="AE2383">
        <v>217</v>
      </c>
      <c r="AF2383">
        <v>564</v>
      </c>
      <c r="AG2383" t="s">
        <v>120</v>
      </c>
      <c r="AH2383">
        <v>0.39</v>
      </c>
      <c r="AI2383" t="s">
        <v>120</v>
      </c>
      <c r="AJ2383">
        <v>0.17</v>
      </c>
      <c r="AK2383" t="s">
        <v>5217</v>
      </c>
      <c r="AL2383">
        <v>2.4</v>
      </c>
      <c r="AM2383">
        <v>2209</v>
      </c>
      <c r="AN2383">
        <v>20</v>
      </c>
      <c r="AO2383">
        <v>1.14E-2</v>
      </c>
      <c r="AP2383">
        <v>4</v>
      </c>
      <c r="AQ2383">
        <v>0.9</v>
      </c>
      <c r="AR2383">
        <v>4.12</v>
      </c>
      <c r="AS2383">
        <v>213.15</v>
      </c>
      <c r="AT2383">
        <v>213.15</v>
      </c>
      <c r="AU2383">
        <v>213.15</v>
      </c>
      <c r="AV2383">
        <v>0</v>
      </c>
      <c r="AW2383">
        <v>25.14</v>
      </c>
      <c r="AX2383">
        <v>21.34</v>
      </c>
      <c r="AY2383">
        <v>37.46</v>
      </c>
      <c r="AZ2383">
        <v>46.73</v>
      </c>
      <c r="BA2383">
        <v>0</v>
      </c>
      <c r="BB2383" t="s">
        <v>143</v>
      </c>
      <c r="BF2383">
        <v>-1.96</v>
      </c>
      <c r="BG2383">
        <v>3.28</v>
      </c>
      <c r="BH2383">
        <v>-1.8</v>
      </c>
      <c r="BI2383">
        <v>6.57</v>
      </c>
      <c r="BJ2383">
        <v>20210831</v>
      </c>
      <c r="BK2383">
        <v>20210901</v>
      </c>
      <c r="BL2383">
        <v>0.82</v>
      </c>
      <c r="BM2383" t="s">
        <v>120</v>
      </c>
      <c r="BN2383" t="s">
        <v>120</v>
      </c>
      <c r="BO2383">
        <v>7.14</v>
      </c>
      <c r="BP2383">
        <v>37.159999999999997</v>
      </c>
      <c r="BQ2383">
        <v>3.04</v>
      </c>
      <c r="BR2383">
        <v>0.01</v>
      </c>
      <c r="BS2383">
        <v>57.35</v>
      </c>
      <c r="BT2383">
        <v>4.29</v>
      </c>
      <c r="BU2383">
        <v>1.94</v>
      </c>
      <c r="BV2383">
        <v>0.35</v>
      </c>
      <c r="BW2383">
        <v>3.96</v>
      </c>
      <c r="BX2383">
        <v>1.1200000000000001</v>
      </c>
      <c r="BY2383">
        <v>1.94</v>
      </c>
      <c r="BZ2383">
        <v>0.86</v>
      </c>
      <c r="CA2383" t="s">
        <v>120</v>
      </c>
      <c r="CB2383">
        <v>0.13</v>
      </c>
      <c r="CC2383">
        <v>2.98</v>
      </c>
      <c r="CD2383">
        <v>2.13</v>
      </c>
      <c r="CE2383">
        <v>0.51</v>
      </c>
      <c r="CF2383">
        <v>0</v>
      </c>
      <c r="CG2383">
        <v>0.51</v>
      </c>
      <c r="CH2383">
        <v>0.44</v>
      </c>
      <c r="CI2383">
        <v>0.45</v>
      </c>
      <c r="CJ2383">
        <v>0.18</v>
      </c>
      <c r="CK2383">
        <v>0.43</v>
      </c>
      <c r="CL2383">
        <v>2.0299999999999998</v>
      </c>
      <c r="CM2383">
        <v>0.03</v>
      </c>
      <c r="CN2383">
        <v>-0.3</v>
      </c>
      <c r="CO2383">
        <v>24365</v>
      </c>
      <c r="CP2383">
        <v>716</v>
      </c>
      <c r="CQ2383" t="s">
        <v>4518</v>
      </c>
      <c r="CR2383">
        <v>0</v>
      </c>
      <c r="CS2383">
        <v>0</v>
      </c>
      <c r="CT2383">
        <v>6.24</v>
      </c>
      <c r="CU2383">
        <v>1049.29</v>
      </c>
      <c r="CV2383">
        <v>10.19</v>
      </c>
      <c r="CW2383">
        <v>0</v>
      </c>
      <c r="CX2383" t="s">
        <v>11125</v>
      </c>
      <c r="CY2383">
        <v>5.96</v>
      </c>
      <c r="CZ2383">
        <v>5.96</v>
      </c>
      <c r="DA2383">
        <v>0.16</v>
      </c>
      <c r="DB2383">
        <v>2.48</v>
      </c>
      <c r="DC2383">
        <v>0.04</v>
      </c>
      <c r="DD2383">
        <v>42.53</v>
      </c>
      <c r="DE2383" t="s">
        <v>11126</v>
      </c>
      <c r="DF2383">
        <v>28.44</v>
      </c>
      <c r="DG2383">
        <v>16.97</v>
      </c>
      <c r="DH2383">
        <v>14.96</v>
      </c>
      <c r="DI2383">
        <v>0.13</v>
      </c>
      <c r="DJ2383">
        <v>374</v>
      </c>
      <c r="DK2383">
        <v>301053</v>
      </c>
      <c r="DL2383" t="s">
        <v>120</v>
      </c>
      <c r="DM2383" t="s">
        <v>120</v>
      </c>
      <c r="DN2383" t="s">
        <v>120</v>
      </c>
    </row>
    <row r="2384" spans="1:118">
      <c r="A2384" t="str">
        <f>"301055"</f>
        <v>301055</v>
      </c>
      <c r="B2384" t="s">
        <v>11127</v>
      </c>
      <c r="C2384">
        <v>-7.23</v>
      </c>
      <c r="D2384">
        <v>-0.36</v>
      </c>
      <c r="E2384">
        <v>-2.39</v>
      </c>
      <c r="F2384">
        <v>1559</v>
      </c>
      <c r="G2384" t="s">
        <v>11128</v>
      </c>
      <c r="H2384">
        <v>24141.79</v>
      </c>
      <c r="I2384">
        <v>340.09</v>
      </c>
      <c r="J2384" t="s">
        <v>120</v>
      </c>
      <c r="K2384" t="s">
        <v>11128</v>
      </c>
      <c r="L2384">
        <v>26.31</v>
      </c>
      <c r="M2384">
        <v>26.8</v>
      </c>
      <c r="N2384">
        <v>0.72</v>
      </c>
      <c r="O2384">
        <v>-1.63</v>
      </c>
      <c r="P2384">
        <v>28.42</v>
      </c>
      <c r="Q2384">
        <v>-7.23</v>
      </c>
      <c r="R2384">
        <v>26.8</v>
      </c>
      <c r="S2384">
        <v>28.2</v>
      </c>
      <c r="T2384">
        <v>87571</v>
      </c>
      <c r="U2384">
        <v>26.81</v>
      </c>
      <c r="V2384">
        <v>28.89</v>
      </c>
      <c r="W2384">
        <v>47.24</v>
      </c>
      <c r="X2384" t="s">
        <v>2409</v>
      </c>
      <c r="Y2384" t="s">
        <v>585</v>
      </c>
      <c r="Z2384">
        <v>5.61</v>
      </c>
      <c r="AA2384">
        <v>27.57</v>
      </c>
      <c r="AB2384">
        <v>52349</v>
      </c>
      <c r="AC2384">
        <v>35222</v>
      </c>
      <c r="AD2384">
        <v>1.49</v>
      </c>
      <c r="AE2384">
        <v>51</v>
      </c>
      <c r="AF2384">
        <v>13</v>
      </c>
      <c r="AG2384" t="s">
        <v>120</v>
      </c>
      <c r="AH2384">
        <v>0.36</v>
      </c>
      <c r="AI2384" t="s">
        <v>120</v>
      </c>
      <c r="AJ2384">
        <v>0.33</v>
      </c>
      <c r="AK2384" t="s">
        <v>11129</v>
      </c>
      <c r="AL2384">
        <v>-5.32</v>
      </c>
      <c r="AM2384">
        <v>3178</v>
      </c>
      <c r="AN2384">
        <v>28</v>
      </c>
      <c r="AO2384">
        <v>8.3000000000000001E-3</v>
      </c>
      <c r="AP2384">
        <v>-1</v>
      </c>
      <c r="AQ2384">
        <v>3.44</v>
      </c>
      <c r="AR2384">
        <v>-1.47</v>
      </c>
      <c r="AS2384">
        <v>288.41000000000003</v>
      </c>
      <c r="AT2384">
        <v>288.41000000000003</v>
      </c>
      <c r="AU2384">
        <v>288.41000000000003</v>
      </c>
      <c r="AV2384">
        <v>0</v>
      </c>
      <c r="AW2384">
        <v>26.31</v>
      </c>
      <c r="AX2384">
        <v>21.33</v>
      </c>
      <c r="AY2384">
        <v>50.84</v>
      </c>
      <c r="AZ2384">
        <v>58.37</v>
      </c>
      <c r="BA2384">
        <v>0</v>
      </c>
      <c r="BB2384" t="s">
        <v>143</v>
      </c>
      <c r="BF2384">
        <v>-4.57</v>
      </c>
      <c r="BG2384">
        <v>-4.96</v>
      </c>
      <c r="BH2384">
        <v>-5.7</v>
      </c>
      <c r="BI2384">
        <v>0</v>
      </c>
      <c r="BJ2384">
        <v>20210903</v>
      </c>
      <c r="BK2384">
        <v>20210906</v>
      </c>
      <c r="BL2384">
        <v>1.56</v>
      </c>
      <c r="BM2384" t="s">
        <v>120</v>
      </c>
      <c r="BN2384" t="s">
        <v>120</v>
      </c>
      <c r="BO2384">
        <v>7.8</v>
      </c>
      <c r="BP2384">
        <v>26.8</v>
      </c>
      <c r="BQ2384">
        <v>4.83</v>
      </c>
      <c r="BR2384" t="s">
        <v>120</v>
      </c>
      <c r="BS2384">
        <v>38.07</v>
      </c>
      <c r="BT2384">
        <v>3.46</v>
      </c>
      <c r="BU2384">
        <v>0.97</v>
      </c>
      <c r="BV2384">
        <v>0.73</v>
      </c>
      <c r="BW2384">
        <v>1.76</v>
      </c>
      <c r="BX2384">
        <v>1.46</v>
      </c>
      <c r="BY2384">
        <v>1.28</v>
      </c>
      <c r="BZ2384">
        <v>0.18</v>
      </c>
      <c r="CA2384" t="s">
        <v>120</v>
      </c>
      <c r="CB2384">
        <v>1.49</v>
      </c>
      <c r="CC2384">
        <v>3.3</v>
      </c>
      <c r="CD2384">
        <v>1.93</v>
      </c>
      <c r="CE2384">
        <v>0.55000000000000004</v>
      </c>
      <c r="CF2384">
        <v>0</v>
      </c>
      <c r="CG2384">
        <v>0.55000000000000004</v>
      </c>
      <c r="CH2384">
        <v>0.44</v>
      </c>
      <c r="CI2384">
        <v>0.44</v>
      </c>
      <c r="CJ2384">
        <v>-2.09</v>
      </c>
      <c r="CK2384">
        <v>0.43</v>
      </c>
      <c r="CL2384">
        <v>2.0699999999999998</v>
      </c>
      <c r="CM2384">
        <v>0.31</v>
      </c>
      <c r="CN2384">
        <v>-0.41</v>
      </c>
      <c r="CO2384">
        <v>40427</v>
      </c>
      <c r="CP2384">
        <v>823</v>
      </c>
      <c r="CQ2384" t="s">
        <v>11130</v>
      </c>
      <c r="CR2384">
        <v>0</v>
      </c>
      <c r="CS2384">
        <v>0</v>
      </c>
      <c r="CT2384">
        <v>6.08</v>
      </c>
      <c r="CU2384">
        <v>134.30000000000001</v>
      </c>
      <c r="CV2384">
        <v>12.66</v>
      </c>
      <c r="CW2384">
        <v>0</v>
      </c>
      <c r="CX2384" t="s">
        <v>10728</v>
      </c>
      <c r="CY2384">
        <v>4.41</v>
      </c>
      <c r="CZ2384">
        <v>4.41</v>
      </c>
      <c r="DA2384">
        <v>0.95</v>
      </c>
      <c r="DB2384">
        <v>1.33</v>
      </c>
      <c r="DC2384">
        <v>0.2</v>
      </c>
      <c r="DD2384">
        <v>61.93</v>
      </c>
      <c r="DE2384" t="s">
        <v>352</v>
      </c>
      <c r="DF2384">
        <v>41.59</v>
      </c>
      <c r="DG2384">
        <v>16.54</v>
      </c>
      <c r="DH2384">
        <v>13.4</v>
      </c>
      <c r="DI2384">
        <v>0.1</v>
      </c>
      <c r="DJ2384">
        <v>659</v>
      </c>
      <c r="DK2384">
        <v>301055</v>
      </c>
      <c r="DL2384">
        <v>20210915</v>
      </c>
      <c r="DM2384">
        <v>28.96</v>
      </c>
      <c r="DN2384">
        <v>-7.46</v>
      </c>
    </row>
    <row r="2385" spans="1:118">
      <c r="A2385" t="str">
        <f>"301056"</f>
        <v>301056</v>
      </c>
      <c r="B2385" t="s">
        <v>11131</v>
      </c>
      <c r="C2385">
        <v>-0.16</v>
      </c>
      <c r="D2385">
        <v>0</v>
      </c>
      <c r="E2385">
        <v>-0.7</v>
      </c>
      <c r="F2385">
        <v>1635</v>
      </c>
      <c r="G2385" t="s">
        <v>11007</v>
      </c>
      <c r="H2385">
        <v>14575.49</v>
      </c>
      <c r="I2385">
        <v>79.819999999999993</v>
      </c>
      <c r="J2385" t="s">
        <v>120</v>
      </c>
      <c r="K2385" t="s">
        <v>11007</v>
      </c>
      <c r="L2385">
        <v>17.850000000000001</v>
      </c>
      <c r="M2385">
        <v>12.78</v>
      </c>
      <c r="N2385">
        <v>0.73</v>
      </c>
      <c r="O2385">
        <v>2.89</v>
      </c>
      <c r="P2385">
        <v>13.17</v>
      </c>
      <c r="Q2385">
        <v>-1.33</v>
      </c>
      <c r="R2385">
        <v>12.63</v>
      </c>
      <c r="S2385">
        <v>12.71</v>
      </c>
      <c r="T2385">
        <v>112931</v>
      </c>
      <c r="U2385">
        <v>12.78</v>
      </c>
      <c r="V2385">
        <v>12.8</v>
      </c>
      <c r="W2385">
        <v>60.64</v>
      </c>
      <c r="X2385" t="s">
        <v>157</v>
      </c>
      <c r="Y2385" t="s">
        <v>585</v>
      </c>
      <c r="Z2385">
        <v>4.22</v>
      </c>
      <c r="AA2385">
        <v>12.91</v>
      </c>
      <c r="AB2385">
        <v>58026</v>
      </c>
      <c r="AC2385">
        <v>54905</v>
      </c>
      <c r="AD2385">
        <v>1.06</v>
      </c>
      <c r="AE2385">
        <v>292</v>
      </c>
      <c r="AF2385">
        <v>263</v>
      </c>
      <c r="AG2385" t="s">
        <v>120</v>
      </c>
      <c r="AH2385">
        <v>0.1</v>
      </c>
      <c r="AI2385" t="s">
        <v>120</v>
      </c>
      <c r="AJ2385">
        <v>0.63</v>
      </c>
      <c r="AK2385" t="s">
        <v>5204</v>
      </c>
      <c r="AL2385">
        <v>1.76</v>
      </c>
      <c r="AM2385">
        <v>2949</v>
      </c>
      <c r="AN2385">
        <v>38</v>
      </c>
      <c r="AO2385">
        <v>6.1000000000000004E-3</v>
      </c>
      <c r="AP2385">
        <v>-2</v>
      </c>
      <c r="AQ2385">
        <v>-2.59</v>
      </c>
      <c r="AR2385">
        <v>0.31</v>
      </c>
      <c r="AS2385">
        <v>225.19</v>
      </c>
      <c r="AT2385">
        <v>225.19</v>
      </c>
      <c r="AU2385">
        <v>225.19</v>
      </c>
      <c r="AV2385">
        <v>0</v>
      </c>
      <c r="AW2385">
        <v>17.850000000000001</v>
      </c>
      <c r="AX2385">
        <v>23.71</v>
      </c>
      <c r="AY2385">
        <v>44.73</v>
      </c>
      <c r="AZ2385">
        <v>48.38</v>
      </c>
      <c r="BA2385">
        <v>0</v>
      </c>
      <c r="BB2385" t="s">
        <v>125</v>
      </c>
      <c r="BF2385">
        <v>0.83</v>
      </c>
      <c r="BG2385">
        <v>0.55000000000000004</v>
      </c>
      <c r="BH2385">
        <v>-2.96</v>
      </c>
      <c r="BI2385">
        <v>1.19</v>
      </c>
      <c r="BJ2385">
        <v>20210906</v>
      </c>
      <c r="BK2385">
        <v>20210907</v>
      </c>
      <c r="BL2385">
        <v>2.67</v>
      </c>
      <c r="BM2385" t="s">
        <v>120</v>
      </c>
      <c r="BN2385" t="s">
        <v>120</v>
      </c>
      <c r="BO2385">
        <v>9.01</v>
      </c>
      <c r="BP2385">
        <v>12.77</v>
      </c>
      <c r="BQ2385">
        <v>4.8600000000000003</v>
      </c>
      <c r="BR2385" t="s">
        <v>120</v>
      </c>
      <c r="BS2385">
        <v>46.09</v>
      </c>
      <c r="BT2385">
        <v>6.15</v>
      </c>
      <c r="BU2385">
        <v>1.61</v>
      </c>
      <c r="BV2385">
        <v>0.39</v>
      </c>
      <c r="BW2385">
        <v>4</v>
      </c>
      <c r="BX2385">
        <v>3.25</v>
      </c>
      <c r="BY2385">
        <v>1.07</v>
      </c>
      <c r="BZ2385">
        <v>1.07</v>
      </c>
      <c r="CA2385" t="s">
        <v>120</v>
      </c>
      <c r="CB2385">
        <v>0.08</v>
      </c>
      <c r="CC2385">
        <v>2.2400000000000002</v>
      </c>
      <c r="CD2385">
        <v>1.55</v>
      </c>
      <c r="CE2385">
        <v>0.32</v>
      </c>
      <c r="CF2385">
        <v>0</v>
      </c>
      <c r="CG2385">
        <v>0.32</v>
      </c>
      <c r="CH2385">
        <v>0.28000000000000003</v>
      </c>
      <c r="CI2385">
        <v>0.28000000000000003</v>
      </c>
      <c r="CJ2385">
        <v>-0.02</v>
      </c>
      <c r="CK2385">
        <v>0.23</v>
      </c>
      <c r="CL2385">
        <v>2.2999999999999998</v>
      </c>
      <c r="CM2385">
        <v>0</v>
      </c>
      <c r="CN2385">
        <v>-0.01</v>
      </c>
      <c r="CO2385">
        <v>72168</v>
      </c>
      <c r="CP2385">
        <v>877</v>
      </c>
      <c r="CQ2385" t="s">
        <v>11121</v>
      </c>
      <c r="CR2385">
        <v>0</v>
      </c>
      <c r="CS2385">
        <v>0</v>
      </c>
      <c r="CT2385">
        <v>4.8499999999999996</v>
      </c>
      <c r="CU2385">
        <v>-138037.76999999999</v>
      </c>
      <c r="CV2385">
        <v>15.19</v>
      </c>
      <c r="CW2385">
        <v>0</v>
      </c>
      <c r="CX2385" t="s">
        <v>11132</v>
      </c>
      <c r="CY2385">
        <v>2.63</v>
      </c>
      <c r="CZ2385">
        <v>2.63</v>
      </c>
      <c r="DA2385">
        <v>0.03</v>
      </c>
      <c r="DB2385">
        <v>0.86</v>
      </c>
      <c r="DC2385">
        <v>0</v>
      </c>
      <c r="DD2385">
        <v>53.91</v>
      </c>
      <c r="DE2385" t="s">
        <v>4589</v>
      </c>
      <c r="DF2385">
        <v>30.89</v>
      </c>
      <c r="DG2385">
        <v>14.16</v>
      </c>
      <c r="DH2385">
        <v>12.52</v>
      </c>
      <c r="DI2385">
        <v>0.08</v>
      </c>
      <c r="DJ2385">
        <v>448</v>
      </c>
      <c r="DK2385">
        <v>301056</v>
      </c>
      <c r="DL2385" t="s">
        <v>120</v>
      </c>
      <c r="DM2385" t="s">
        <v>120</v>
      </c>
      <c r="DN2385" t="s">
        <v>120</v>
      </c>
    </row>
    <row r="2386" spans="1:118">
      <c r="A2386" t="str">
        <f>"301057"</f>
        <v>301057</v>
      </c>
      <c r="B2386" t="s">
        <v>11133</v>
      </c>
      <c r="C2386">
        <v>-1.31</v>
      </c>
      <c r="D2386">
        <v>-0.17</v>
      </c>
      <c r="E2386">
        <v>-1.31</v>
      </c>
      <c r="F2386">
        <v>1449</v>
      </c>
      <c r="G2386" t="s">
        <v>6681</v>
      </c>
      <c r="H2386">
        <v>15651.45</v>
      </c>
      <c r="I2386">
        <v>138.83000000000001</v>
      </c>
      <c r="J2386" t="s">
        <v>120</v>
      </c>
      <c r="K2386" t="s">
        <v>6681</v>
      </c>
      <c r="L2386">
        <v>26.24</v>
      </c>
      <c r="M2386">
        <v>22.61</v>
      </c>
      <c r="N2386">
        <v>0.54</v>
      </c>
      <c r="O2386">
        <v>2.5299999999999998</v>
      </c>
      <c r="P2386">
        <v>23.49</v>
      </c>
      <c r="Q2386">
        <v>-1.4</v>
      </c>
      <c r="R2386">
        <v>22.59</v>
      </c>
      <c r="S2386">
        <v>22.61</v>
      </c>
      <c r="T2386">
        <v>67944</v>
      </c>
      <c r="U2386">
        <v>22.63</v>
      </c>
      <c r="V2386">
        <v>22.91</v>
      </c>
      <c r="W2386">
        <v>32.81</v>
      </c>
      <c r="X2386" t="s">
        <v>868</v>
      </c>
      <c r="Y2386" t="s">
        <v>585</v>
      </c>
      <c r="Z2386">
        <v>3.93</v>
      </c>
      <c r="AA2386">
        <v>23.04</v>
      </c>
      <c r="AB2386">
        <v>34916</v>
      </c>
      <c r="AC2386">
        <v>33028</v>
      </c>
      <c r="AD2386">
        <v>1.06</v>
      </c>
      <c r="AE2386">
        <v>82</v>
      </c>
      <c r="AF2386">
        <v>27</v>
      </c>
      <c r="AG2386" t="s">
        <v>120</v>
      </c>
      <c r="AH2386">
        <v>0.24</v>
      </c>
      <c r="AI2386" t="s">
        <v>120</v>
      </c>
      <c r="AJ2386">
        <v>0.26</v>
      </c>
      <c r="AK2386" t="s">
        <v>6552</v>
      </c>
      <c r="AL2386">
        <v>0.6</v>
      </c>
      <c r="AM2386">
        <v>2965</v>
      </c>
      <c r="AN2386">
        <v>23</v>
      </c>
      <c r="AO2386">
        <v>8.8999999999999999E-3</v>
      </c>
      <c r="AP2386">
        <v>-2</v>
      </c>
      <c r="AQ2386">
        <v>-4.1399999999999997</v>
      </c>
      <c r="AR2386">
        <v>-5.23</v>
      </c>
      <c r="AS2386">
        <v>181.57</v>
      </c>
      <c r="AT2386">
        <v>181.57</v>
      </c>
      <c r="AU2386">
        <v>181.57</v>
      </c>
      <c r="AV2386">
        <v>0</v>
      </c>
      <c r="AW2386">
        <v>26.24</v>
      </c>
      <c r="AX2386">
        <v>23.71</v>
      </c>
      <c r="AY2386">
        <v>28.86</v>
      </c>
      <c r="AZ2386">
        <v>37.42</v>
      </c>
      <c r="BA2386">
        <v>0</v>
      </c>
      <c r="BB2386" t="s">
        <v>125</v>
      </c>
      <c r="BF2386">
        <v>0.55000000000000004</v>
      </c>
      <c r="BG2386">
        <v>0</v>
      </c>
      <c r="BH2386">
        <v>-3.75</v>
      </c>
      <c r="BI2386">
        <v>0.09</v>
      </c>
      <c r="BJ2386">
        <v>20210908</v>
      </c>
      <c r="BK2386">
        <v>20210909</v>
      </c>
      <c r="BL2386">
        <v>1.0900000000000001</v>
      </c>
      <c r="BM2386" t="s">
        <v>120</v>
      </c>
      <c r="BN2386" t="s">
        <v>120</v>
      </c>
      <c r="BO2386">
        <v>4.8099999999999996</v>
      </c>
      <c r="BP2386">
        <v>22.61</v>
      </c>
      <c r="BQ2386">
        <v>3.98</v>
      </c>
      <c r="BR2386" t="s">
        <v>120</v>
      </c>
      <c r="BS2386">
        <v>17.350000000000001</v>
      </c>
      <c r="BT2386">
        <v>2.1</v>
      </c>
      <c r="BU2386">
        <v>1.86</v>
      </c>
      <c r="BV2386">
        <v>0.35</v>
      </c>
      <c r="BW2386">
        <v>0.8</v>
      </c>
      <c r="BX2386">
        <v>0.7</v>
      </c>
      <c r="BY2386">
        <v>0.7</v>
      </c>
      <c r="BZ2386">
        <v>0.27</v>
      </c>
      <c r="CA2386" t="s">
        <v>120</v>
      </c>
      <c r="CB2386">
        <v>0.86</v>
      </c>
      <c r="CC2386">
        <v>2.88</v>
      </c>
      <c r="CD2386">
        <v>2.17</v>
      </c>
      <c r="CE2386">
        <v>0.42</v>
      </c>
      <c r="CF2386">
        <v>0</v>
      </c>
      <c r="CG2386">
        <v>0.42</v>
      </c>
      <c r="CH2386">
        <v>0.38</v>
      </c>
      <c r="CI2386">
        <v>0.38</v>
      </c>
      <c r="CJ2386">
        <v>-0.3</v>
      </c>
      <c r="CK2386">
        <v>0.36</v>
      </c>
      <c r="CL2386">
        <v>2.08</v>
      </c>
      <c r="CM2386">
        <v>0.43</v>
      </c>
      <c r="CN2386">
        <v>0.09</v>
      </c>
      <c r="CO2386">
        <v>34022</v>
      </c>
      <c r="CP2386">
        <v>761</v>
      </c>
      <c r="CQ2386" t="s">
        <v>905</v>
      </c>
      <c r="CR2386">
        <v>0</v>
      </c>
      <c r="CS2386">
        <v>0</v>
      </c>
      <c r="CT2386">
        <v>4.3600000000000003</v>
      </c>
      <c r="CU2386">
        <v>57.98</v>
      </c>
      <c r="CV2386">
        <v>8.57</v>
      </c>
      <c r="CW2386">
        <v>0</v>
      </c>
      <c r="CX2386" t="s">
        <v>11134</v>
      </c>
      <c r="CY2386">
        <v>5.18</v>
      </c>
      <c r="CZ2386">
        <v>5.18</v>
      </c>
      <c r="DA2386">
        <v>0.79</v>
      </c>
      <c r="DB2386">
        <v>1.91</v>
      </c>
      <c r="DC2386">
        <v>0.39</v>
      </c>
      <c r="DD2386">
        <v>82.65</v>
      </c>
      <c r="DE2386" t="s">
        <v>6482</v>
      </c>
      <c r="DF2386">
        <v>24.73</v>
      </c>
      <c r="DG2386">
        <v>14.55</v>
      </c>
      <c r="DH2386">
        <v>13.06</v>
      </c>
      <c r="DI2386">
        <v>0.15</v>
      </c>
      <c r="DJ2386">
        <v>343</v>
      </c>
      <c r="DK2386">
        <v>301057</v>
      </c>
      <c r="DL2386" t="s">
        <v>120</v>
      </c>
      <c r="DM2386" t="s">
        <v>120</v>
      </c>
      <c r="DN2386" t="s">
        <v>120</v>
      </c>
    </row>
    <row r="2387" spans="1:118">
      <c r="A2387" t="str">
        <f>"301058"</f>
        <v>301058</v>
      </c>
      <c r="B2387" t="s">
        <v>11135</v>
      </c>
      <c r="C2387">
        <v>1.1100000000000001</v>
      </c>
      <c r="D2387">
        <v>-0.15</v>
      </c>
      <c r="E2387">
        <v>-3.16</v>
      </c>
      <c r="F2387">
        <v>5759</v>
      </c>
      <c r="G2387" t="s">
        <v>5235</v>
      </c>
      <c r="H2387">
        <v>49230.05</v>
      </c>
      <c r="I2387">
        <v>501.39</v>
      </c>
      <c r="J2387" t="s">
        <v>120</v>
      </c>
      <c r="K2387" t="s">
        <v>5235</v>
      </c>
      <c r="L2387">
        <v>39.840000000000003</v>
      </c>
      <c r="M2387">
        <v>12.79</v>
      </c>
      <c r="N2387">
        <v>0.83</v>
      </c>
      <c r="O2387">
        <v>10.199999999999999</v>
      </c>
      <c r="P2387">
        <v>13.94</v>
      </c>
      <c r="Q2387">
        <v>-4.9800000000000004</v>
      </c>
      <c r="R2387">
        <v>12.02</v>
      </c>
      <c r="S2387">
        <v>12.25</v>
      </c>
      <c r="T2387">
        <v>381440</v>
      </c>
      <c r="U2387">
        <v>12.8</v>
      </c>
      <c r="V2387">
        <v>12.65</v>
      </c>
      <c r="W2387">
        <v>63.21</v>
      </c>
      <c r="X2387" t="s">
        <v>175</v>
      </c>
      <c r="Y2387" t="s">
        <v>319</v>
      </c>
      <c r="Z2387">
        <v>15.18</v>
      </c>
      <c r="AA2387">
        <v>12.91</v>
      </c>
      <c r="AB2387">
        <v>195859</v>
      </c>
      <c r="AC2387">
        <v>185581</v>
      </c>
      <c r="AD2387">
        <v>1.06</v>
      </c>
      <c r="AE2387">
        <v>329</v>
      </c>
      <c r="AF2387">
        <v>426</v>
      </c>
      <c r="AG2387" t="s">
        <v>120</v>
      </c>
      <c r="AH2387">
        <v>0.43</v>
      </c>
      <c r="AI2387" t="s">
        <v>120</v>
      </c>
      <c r="AJ2387">
        <v>0.96</v>
      </c>
      <c r="AK2387" t="s">
        <v>9276</v>
      </c>
      <c r="AL2387">
        <v>3.02</v>
      </c>
      <c r="AM2387">
        <v>4088</v>
      </c>
      <c r="AN2387">
        <v>93</v>
      </c>
      <c r="AO2387">
        <v>9.7000000000000003E-3</v>
      </c>
      <c r="AP2387">
        <v>1</v>
      </c>
      <c r="AQ2387">
        <v>-1.0900000000000001</v>
      </c>
      <c r="AR2387">
        <v>9.51</v>
      </c>
      <c r="AS2387">
        <v>260.27999999999997</v>
      </c>
      <c r="AT2387">
        <v>260.27999999999997</v>
      </c>
      <c r="AU2387">
        <v>260.27999999999997</v>
      </c>
      <c r="AV2387">
        <v>0</v>
      </c>
      <c r="AW2387">
        <v>39.840000000000003</v>
      </c>
      <c r="AX2387">
        <v>18.690000000000001</v>
      </c>
      <c r="AY2387">
        <v>46.4</v>
      </c>
      <c r="AZ2387">
        <v>50.21</v>
      </c>
      <c r="BA2387">
        <v>0</v>
      </c>
      <c r="BB2387" t="s">
        <v>143</v>
      </c>
      <c r="BF2387">
        <v>2.0299999999999998</v>
      </c>
      <c r="BG2387">
        <v>4.41</v>
      </c>
      <c r="BH2387">
        <v>-8.25</v>
      </c>
      <c r="BI2387">
        <v>6.41</v>
      </c>
      <c r="BJ2387">
        <v>20210908</v>
      </c>
      <c r="BK2387">
        <v>20210909</v>
      </c>
      <c r="BL2387">
        <v>5.12</v>
      </c>
      <c r="BM2387" t="s">
        <v>120</v>
      </c>
      <c r="BN2387" t="s">
        <v>120</v>
      </c>
      <c r="BO2387">
        <v>27.28</v>
      </c>
      <c r="BP2387">
        <v>12.79</v>
      </c>
      <c r="BQ2387">
        <v>13.51</v>
      </c>
      <c r="BR2387">
        <v>0.89</v>
      </c>
      <c r="BS2387">
        <v>47.21</v>
      </c>
      <c r="BT2387">
        <v>21.91</v>
      </c>
      <c r="BU2387">
        <v>2.04</v>
      </c>
      <c r="BV2387">
        <v>1.53</v>
      </c>
      <c r="BW2387">
        <v>12.34</v>
      </c>
      <c r="BX2387">
        <v>9.15</v>
      </c>
      <c r="BY2387">
        <v>4.04</v>
      </c>
      <c r="BZ2387">
        <v>4.71</v>
      </c>
      <c r="CA2387" t="s">
        <v>120</v>
      </c>
      <c r="CB2387">
        <v>7.31</v>
      </c>
      <c r="CC2387">
        <v>7.1</v>
      </c>
      <c r="CD2387">
        <v>5.39</v>
      </c>
      <c r="CE2387">
        <v>0.56999999999999995</v>
      </c>
      <c r="CF2387">
        <v>0</v>
      </c>
      <c r="CG2387">
        <v>0.62</v>
      </c>
      <c r="CH2387">
        <v>0.53</v>
      </c>
      <c r="CI2387">
        <v>0.52</v>
      </c>
      <c r="CJ2387">
        <v>0.14000000000000001</v>
      </c>
      <c r="CK2387">
        <v>0.46</v>
      </c>
      <c r="CL2387">
        <v>1.95</v>
      </c>
      <c r="CM2387">
        <v>-1.3</v>
      </c>
      <c r="CN2387">
        <v>-1.44</v>
      </c>
      <c r="CO2387">
        <v>85752</v>
      </c>
      <c r="CP2387">
        <v>1116</v>
      </c>
      <c r="CQ2387" t="s">
        <v>11136</v>
      </c>
      <c r="CR2387">
        <v>0</v>
      </c>
      <c r="CS2387">
        <v>0</v>
      </c>
      <c r="CT2387">
        <v>3.95</v>
      </c>
      <c r="CU2387">
        <v>-50.35</v>
      </c>
      <c r="CV2387">
        <v>9.23</v>
      </c>
      <c r="CW2387">
        <v>0</v>
      </c>
      <c r="CX2387" t="s">
        <v>2642</v>
      </c>
      <c r="CY2387">
        <v>3.24</v>
      </c>
      <c r="CZ2387">
        <v>3.24</v>
      </c>
      <c r="DA2387">
        <v>1.43</v>
      </c>
      <c r="DB2387">
        <v>0.38</v>
      </c>
      <c r="DC2387">
        <v>-0.25</v>
      </c>
      <c r="DD2387">
        <v>49.52</v>
      </c>
      <c r="DE2387" t="s">
        <v>11137</v>
      </c>
      <c r="DF2387">
        <v>24.02</v>
      </c>
      <c r="DG2387">
        <v>7.96</v>
      </c>
      <c r="DH2387">
        <v>7.3</v>
      </c>
      <c r="DI2387">
        <v>0.4</v>
      </c>
      <c r="DJ2387">
        <v>1917</v>
      </c>
      <c r="DK2387">
        <v>301058</v>
      </c>
      <c r="DL2387">
        <v>20210915</v>
      </c>
      <c r="DM2387">
        <v>12.72</v>
      </c>
      <c r="DN2387">
        <v>0.55000000000000004</v>
      </c>
    </row>
    <row r="2388" spans="1:118">
      <c r="A2388" t="str">
        <f>"301059"</f>
        <v>301059</v>
      </c>
      <c r="B2388" t="s">
        <v>11138</v>
      </c>
      <c r="C2388">
        <v>10.34</v>
      </c>
      <c r="D2388">
        <v>-0.09</v>
      </c>
      <c r="E2388">
        <v>-3.57</v>
      </c>
      <c r="F2388">
        <v>1761</v>
      </c>
      <c r="G2388" t="s">
        <v>6973</v>
      </c>
      <c r="H2388">
        <v>55272.17</v>
      </c>
      <c r="I2388">
        <v>469.16</v>
      </c>
      <c r="J2388" t="s">
        <v>120</v>
      </c>
      <c r="K2388" t="s">
        <v>6973</v>
      </c>
      <c r="L2388">
        <v>65.95</v>
      </c>
      <c r="M2388">
        <v>29.02</v>
      </c>
      <c r="N2388">
        <v>1.08</v>
      </c>
      <c r="O2388">
        <v>20.72</v>
      </c>
      <c r="P2388">
        <v>31.75</v>
      </c>
      <c r="Q2388">
        <v>-4.49</v>
      </c>
      <c r="R2388">
        <v>25.12</v>
      </c>
      <c r="S2388">
        <v>25.36</v>
      </c>
      <c r="T2388">
        <v>190332</v>
      </c>
      <c r="U2388">
        <v>29.02</v>
      </c>
      <c r="V2388">
        <v>26.3</v>
      </c>
      <c r="W2388">
        <v>69.709999999999994</v>
      </c>
      <c r="X2388" t="s">
        <v>868</v>
      </c>
      <c r="Y2388" t="s">
        <v>547</v>
      </c>
      <c r="Z2388">
        <v>25.21</v>
      </c>
      <c r="AA2388">
        <v>29.04</v>
      </c>
      <c r="AB2388">
        <v>85538</v>
      </c>
      <c r="AC2388">
        <v>104794</v>
      </c>
      <c r="AD2388">
        <v>0.82</v>
      </c>
      <c r="AE2388">
        <v>371</v>
      </c>
      <c r="AF2388">
        <v>1</v>
      </c>
      <c r="AG2388" t="s">
        <v>120</v>
      </c>
      <c r="AH2388">
        <v>0.64</v>
      </c>
      <c r="AI2388" t="s">
        <v>120</v>
      </c>
      <c r="AJ2388">
        <v>0.28999999999999998</v>
      </c>
      <c r="AK2388" t="s">
        <v>1989</v>
      </c>
      <c r="AL2388">
        <v>12.26</v>
      </c>
      <c r="AM2388">
        <v>3787</v>
      </c>
      <c r="AN2388">
        <v>50</v>
      </c>
      <c r="AO2388">
        <v>1.7399999999999999E-2</v>
      </c>
      <c r="AP2388">
        <v>1</v>
      </c>
      <c r="AQ2388">
        <v>-16.350000000000001</v>
      </c>
      <c r="AR2388">
        <v>-2.29</v>
      </c>
      <c r="AS2388">
        <v>258.70999999999998</v>
      </c>
      <c r="AT2388">
        <v>258.70999999999998</v>
      </c>
      <c r="AU2388">
        <v>258.70999999999998</v>
      </c>
      <c r="AV2388">
        <v>0</v>
      </c>
      <c r="AW2388">
        <v>65.95</v>
      </c>
      <c r="AX2388">
        <v>23.72</v>
      </c>
      <c r="AY2388">
        <v>50.25</v>
      </c>
      <c r="AZ2388">
        <v>51.52</v>
      </c>
      <c r="BA2388">
        <v>0</v>
      </c>
      <c r="BB2388" t="s">
        <v>240</v>
      </c>
      <c r="BF2388">
        <v>10.42</v>
      </c>
      <c r="BG2388">
        <v>14.43</v>
      </c>
      <c r="BH2388">
        <v>-8.6</v>
      </c>
      <c r="BI2388">
        <v>15.53</v>
      </c>
      <c r="BJ2388">
        <v>20210910</v>
      </c>
      <c r="BK2388">
        <v>20210913</v>
      </c>
      <c r="BL2388">
        <v>1.22</v>
      </c>
      <c r="BM2388" t="s">
        <v>120</v>
      </c>
      <c r="BN2388" t="s">
        <v>120</v>
      </c>
      <c r="BO2388">
        <v>3.89</v>
      </c>
      <c r="BP2388">
        <v>29.01</v>
      </c>
      <c r="BQ2388">
        <v>3.05</v>
      </c>
      <c r="BR2388" t="s">
        <v>120</v>
      </c>
      <c r="BS2388">
        <v>21.47</v>
      </c>
      <c r="BT2388">
        <v>1.56</v>
      </c>
      <c r="BU2388">
        <v>0.41</v>
      </c>
      <c r="BV2388">
        <v>0.33</v>
      </c>
      <c r="BW2388">
        <v>0.79</v>
      </c>
      <c r="BX2388">
        <v>0.78</v>
      </c>
      <c r="BY2388">
        <v>0.26</v>
      </c>
      <c r="BZ2388">
        <v>0.44</v>
      </c>
      <c r="CA2388">
        <v>0.53</v>
      </c>
      <c r="CB2388">
        <v>1.08</v>
      </c>
      <c r="CC2388">
        <v>0.9</v>
      </c>
      <c r="CD2388">
        <v>0.45</v>
      </c>
      <c r="CE2388">
        <v>0.28000000000000003</v>
      </c>
      <c r="CF2388">
        <v>0</v>
      </c>
      <c r="CG2388">
        <v>0.28999999999999998</v>
      </c>
      <c r="CH2388">
        <v>0.25</v>
      </c>
      <c r="CI2388">
        <v>0.25</v>
      </c>
      <c r="CJ2388">
        <v>2.72</v>
      </c>
      <c r="CK2388">
        <v>0.24</v>
      </c>
      <c r="CL2388">
        <v>0.97</v>
      </c>
      <c r="CM2388">
        <v>0.38</v>
      </c>
      <c r="CN2388">
        <v>-0.46</v>
      </c>
      <c r="CO2388">
        <v>36817</v>
      </c>
      <c r="CP2388">
        <v>784</v>
      </c>
      <c r="CQ2388" t="s">
        <v>11139</v>
      </c>
      <c r="CR2388">
        <v>0</v>
      </c>
      <c r="CS2388">
        <v>0</v>
      </c>
      <c r="CT2388">
        <v>6.93</v>
      </c>
      <c r="CU2388">
        <v>92.98</v>
      </c>
      <c r="CV2388">
        <v>39.28</v>
      </c>
      <c r="CW2388">
        <v>0</v>
      </c>
      <c r="CX2388" t="s">
        <v>11140</v>
      </c>
      <c r="CY2388">
        <v>4.1900000000000004</v>
      </c>
      <c r="CZ2388">
        <v>4.1900000000000004</v>
      </c>
      <c r="DA2388">
        <v>0.89</v>
      </c>
      <c r="DB2388">
        <v>0.8</v>
      </c>
      <c r="DC2388">
        <v>0.31</v>
      </c>
      <c r="DD2388">
        <v>78.53</v>
      </c>
      <c r="DE2388" t="s">
        <v>7126</v>
      </c>
      <c r="DF2388">
        <v>50.11</v>
      </c>
      <c r="DG2388">
        <v>31.52</v>
      </c>
      <c r="DH2388">
        <v>28.17</v>
      </c>
      <c r="DI2388">
        <v>0.05</v>
      </c>
      <c r="DJ2388">
        <v>199</v>
      </c>
      <c r="DK2388">
        <v>301059</v>
      </c>
      <c r="DL2388">
        <v>20210913</v>
      </c>
      <c r="DM2388">
        <v>27.32</v>
      </c>
      <c r="DN2388">
        <v>6.22</v>
      </c>
    </row>
    <row r="2389" spans="1:118">
      <c r="A2389" t="str">
        <f>"301060"</f>
        <v>301060</v>
      </c>
      <c r="B2389" t="s">
        <v>11141</v>
      </c>
      <c r="C2389">
        <v>-4.47</v>
      </c>
      <c r="D2389">
        <v>0.04</v>
      </c>
      <c r="E2389">
        <v>-5.15</v>
      </c>
      <c r="F2389">
        <v>2188</v>
      </c>
      <c r="G2389" t="s">
        <v>211</v>
      </c>
      <c r="H2389">
        <v>45075.46</v>
      </c>
      <c r="I2389">
        <v>528.04999999999995</v>
      </c>
      <c r="J2389" t="s">
        <v>120</v>
      </c>
      <c r="K2389" t="s">
        <v>211</v>
      </c>
      <c r="L2389">
        <v>47.3</v>
      </c>
      <c r="M2389">
        <v>22.45</v>
      </c>
      <c r="N2389">
        <v>0.71</v>
      </c>
      <c r="O2389">
        <v>8.3000000000000007</v>
      </c>
      <c r="P2389">
        <v>25.45</v>
      </c>
      <c r="Q2389">
        <v>-7.23</v>
      </c>
      <c r="R2389">
        <v>21.8</v>
      </c>
      <c r="S2389">
        <v>22.29</v>
      </c>
      <c r="T2389">
        <v>192087</v>
      </c>
      <c r="U2389">
        <v>22.46</v>
      </c>
      <c r="V2389">
        <v>23.5</v>
      </c>
      <c r="W2389">
        <v>45.79</v>
      </c>
      <c r="X2389" t="s">
        <v>555</v>
      </c>
      <c r="Y2389" t="s">
        <v>1510</v>
      </c>
      <c r="Z2389">
        <v>15.53</v>
      </c>
      <c r="AA2389">
        <v>23.47</v>
      </c>
      <c r="AB2389">
        <v>96457</v>
      </c>
      <c r="AC2389">
        <v>95630</v>
      </c>
      <c r="AD2389">
        <v>1.01</v>
      </c>
      <c r="AE2389">
        <v>598</v>
      </c>
      <c r="AF2389">
        <v>16</v>
      </c>
      <c r="AG2389" t="s">
        <v>120</v>
      </c>
      <c r="AH2389">
        <v>0.57999999999999996</v>
      </c>
      <c r="AI2389" t="s">
        <v>120</v>
      </c>
      <c r="AJ2389">
        <v>0.41</v>
      </c>
      <c r="AK2389" t="s">
        <v>11142</v>
      </c>
      <c r="AL2389">
        <v>-2.5499999999999998</v>
      </c>
      <c r="AM2389">
        <v>4126</v>
      </c>
      <c r="AN2389">
        <v>47</v>
      </c>
      <c r="AO2389">
        <v>1.15E-2</v>
      </c>
      <c r="AP2389">
        <v>-2</v>
      </c>
      <c r="AQ2389">
        <v>-17.54</v>
      </c>
      <c r="AR2389">
        <v>22.88</v>
      </c>
      <c r="AS2389">
        <v>438.37</v>
      </c>
      <c r="AT2389">
        <v>438.37</v>
      </c>
      <c r="AU2389">
        <v>438.37</v>
      </c>
      <c r="AV2389">
        <v>0</v>
      </c>
      <c r="AW2389">
        <v>47.3</v>
      </c>
      <c r="AX2389">
        <v>10.14</v>
      </c>
      <c r="AY2389">
        <v>58.21</v>
      </c>
      <c r="AZ2389">
        <v>85.27</v>
      </c>
      <c r="BA2389">
        <v>0</v>
      </c>
      <c r="BB2389" t="s">
        <v>143</v>
      </c>
      <c r="BF2389">
        <v>-0.14000000000000001</v>
      </c>
      <c r="BG2389">
        <v>0.72</v>
      </c>
      <c r="BH2389">
        <v>-11.79</v>
      </c>
      <c r="BI2389">
        <v>2.98</v>
      </c>
      <c r="BJ2389">
        <v>20210910</v>
      </c>
      <c r="BK2389">
        <v>20210913</v>
      </c>
      <c r="BL2389">
        <v>4.01</v>
      </c>
      <c r="BM2389" t="s">
        <v>120</v>
      </c>
      <c r="BN2389" t="s">
        <v>120</v>
      </c>
      <c r="BO2389">
        <v>16.96</v>
      </c>
      <c r="BP2389">
        <v>22.45</v>
      </c>
      <c r="BQ2389">
        <v>13.2</v>
      </c>
      <c r="BR2389">
        <v>0.54</v>
      </c>
      <c r="BS2389">
        <v>18.97</v>
      </c>
      <c r="BT2389">
        <v>14.06</v>
      </c>
      <c r="BU2389">
        <v>1.2</v>
      </c>
      <c r="BV2389">
        <v>0.14000000000000001</v>
      </c>
      <c r="BW2389">
        <v>2.69</v>
      </c>
      <c r="BX2389">
        <v>1.89</v>
      </c>
      <c r="BY2389">
        <v>1.29</v>
      </c>
      <c r="BZ2389">
        <v>7.04</v>
      </c>
      <c r="CA2389" t="s">
        <v>120</v>
      </c>
      <c r="CB2389">
        <v>4.62</v>
      </c>
      <c r="CC2389">
        <v>7.71</v>
      </c>
      <c r="CD2389">
        <v>4.7699999999999996</v>
      </c>
      <c r="CE2389">
        <v>1.49</v>
      </c>
      <c r="CF2389">
        <v>0.03</v>
      </c>
      <c r="CG2389">
        <v>1.48</v>
      </c>
      <c r="CH2389">
        <v>1.22</v>
      </c>
      <c r="CI2389">
        <v>0.98</v>
      </c>
      <c r="CJ2389">
        <v>-1.05</v>
      </c>
      <c r="CK2389">
        <v>0.85</v>
      </c>
      <c r="CL2389">
        <v>4.84</v>
      </c>
      <c r="CM2389">
        <v>-0.11</v>
      </c>
      <c r="CN2389">
        <v>-2.23</v>
      </c>
      <c r="CO2389">
        <v>40958</v>
      </c>
      <c r="CP2389">
        <v>992</v>
      </c>
      <c r="CQ2389" t="s">
        <v>11143</v>
      </c>
      <c r="CR2389">
        <v>0</v>
      </c>
      <c r="CS2389">
        <v>0</v>
      </c>
      <c r="CT2389">
        <v>6.16</v>
      </c>
      <c r="CU2389">
        <v>-830.38</v>
      </c>
      <c r="CV2389">
        <v>11.66</v>
      </c>
      <c r="CW2389">
        <v>0</v>
      </c>
      <c r="CX2389" t="s">
        <v>11144</v>
      </c>
      <c r="CY2389">
        <v>3.64</v>
      </c>
      <c r="CZ2389">
        <v>3.64</v>
      </c>
      <c r="DA2389">
        <v>1.1499999999999999</v>
      </c>
      <c r="DB2389">
        <v>1.21</v>
      </c>
      <c r="DC2389">
        <v>-0.03</v>
      </c>
      <c r="DD2389">
        <v>77.86</v>
      </c>
      <c r="DE2389" t="s">
        <v>4803</v>
      </c>
      <c r="DF2389">
        <v>38.11</v>
      </c>
      <c r="DG2389">
        <v>19.27</v>
      </c>
      <c r="DH2389">
        <v>12.73</v>
      </c>
      <c r="DI2389">
        <v>0.15</v>
      </c>
      <c r="DJ2389">
        <v>1220</v>
      </c>
      <c r="DK2389">
        <v>301060</v>
      </c>
      <c r="DL2389">
        <v>20210914</v>
      </c>
      <c r="DM2389">
        <v>24.18</v>
      </c>
      <c r="DN2389">
        <v>-7.15</v>
      </c>
    </row>
    <row r="2390" spans="1:118">
      <c r="A2390" t="str">
        <f>"301061"</f>
        <v>301061</v>
      </c>
      <c r="B2390" t="s">
        <v>11145</v>
      </c>
      <c r="C2390">
        <v>1</v>
      </c>
      <c r="D2390">
        <v>0</v>
      </c>
      <c r="E2390">
        <v>-0.99</v>
      </c>
      <c r="F2390">
        <v>324</v>
      </c>
      <c r="G2390" t="s">
        <v>11146</v>
      </c>
      <c r="H2390">
        <v>22561.439999999999</v>
      </c>
      <c r="I2390">
        <v>211.67</v>
      </c>
      <c r="J2390" t="s">
        <v>120</v>
      </c>
      <c r="K2390" t="s">
        <v>11146</v>
      </c>
      <c r="L2390">
        <v>14.96</v>
      </c>
      <c r="M2390">
        <v>75.5</v>
      </c>
      <c r="N2390">
        <v>0.49</v>
      </c>
      <c r="O2390">
        <v>2.34</v>
      </c>
      <c r="P2390">
        <v>76.5</v>
      </c>
      <c r="Q2390">
        <v>-1</v>
      </c>
      <c r="R2390">
        <v>74</v>
      </c>
      <c r="S2390">
        <v>74.010000000000005</v>
      </c>
      <c r="T2390">
        <v>29919</v>
      </c>
      <c r="U2390">
        <v>75.5</v>
      </c>
      <c r="V2390">
        <v>74.75</v>
      </c>
      <c r="W2390">
        <v>20.07</v>
      </c>
      <c r="X2390" t="s">
        <v>2409</v>
      </c>
      <c r="Y2390" t="s">
        <v>319</v>
      </c>
      <c r="Z2390">
        <v>3.34</v>
      </c>
      <c r="AA2390">
        <v>75.41</v>
      </c>
      <c r="AB2390">
        <v>15932</v>
      </c>
      <c r="AC2390">
        <v>13987</v>
      </c>
      <c r="AD2390">
        <v>1.1399999999999999</v>
      </c>
      <c r="AE2390">
        <v>35</v>
      </c>
      <c r="AF2390">
        <v>122</v>
      </c>
      <c r="AG2390" t="s">
        <v>120</v>
      </c>
      <c r="AH2390">
        <v>0.14000000000000001</v>
      </c>
      <c r="AI2390" t="s">
        <v>120</v>
      </c>
      <c r="AJ2390">
        <v>0.2</v>
      </c>
      <c r="AK2390" t="s">
        <v>11147</v>
      </c>
      <c r="AL2390">
        <v>2.92</v>
      </c>
      <c r="AM2390">
        <v>3024</v>
      </c>
      <c r="AN2390">
        <v>10</v>
      </c>
      <c r="AO2390">
        <v>4.8999999999999998E-3</v>
      </c>
      <c r="AP2390">
        <v>1</v>
      </c>
      <c r="AQ2390">
        <v>-6.18</v>
      </c>
      <c r="AR2390">
        <v>-12.36</v>
      </c>
      <c r="AS2390">
        <v>3.86</v>
      </c>
      <c r="AT2390">
        <v>3.86</v>
      </c>
      <c r="AU2390">
        <v>3.86</v>
      </c>
      <c r="AV2390">
        <v>0</v>
      </c>
      <c r="AW2390">
        <v>14.96</v>
      </c>
      <c r="AX2390">
        <v>25</v>
      </c>
      <c r="AY2390">
        <v>22.29</v>
      </c>
      <c r="AZ2390">
        <v>29.08</v>
      </c>
      <c r="BA2390">
        <v>0</v>
      </c>
      <c r="BB2390" t="s">
        <v>125</v>
      </c>
      <c r="BF2390">
        <v>0.88</v>
      </c>
      <c r="BG2390">
        <v>2.0099999999999998</v>
      </c>
      <c r="BH2390">
        <v>-1.31</v>
      </c>
      <c r="BI2390">
        <v>2.0299999999999998</v>
      </c>
      <c r="BJ2390">
        <v>20210910</v>
      </c>
      <c r="BK2390">
        <v>20210913</v>
      </c>
      <c r="BL2390">
        <v>0.8</v>
      </c>
      <c r="BM2390" t="s">
        <v>120</v>
      </c>
      <c r="BN2390" t="s">
        <v>120</v>
      </c>
      <c r="BO2390">
        <v>16.920000000000002</v>
      </c>
      <c r="BP2390">
        <v>75.489999999999995</v>
      </c>
      <c r="BQ2390">
        <v>9.9600000000000009</v>
      </c>
      <c r="BR2390" t="s">
        <v>120</v>
      </c>
      <c r="BS2390">
        <v>41.13</v>
      </c>
      <c r="BT2390">
        <v>14.09</v>
      </c>
      <c r="BU2390">
        <v>1.37</v>
      </c>
      <c r="BV2390">
        <v>0.2</v>
      </c>
      <c r="BW2390">
        <v>5.92</v>
      </c>
      <c r="BX2390">
        <v>7.63</v>
      </c>
      <c r="BY2390">
        <v>3.59</v>
      </c>
      <c r="BZ2390">
        <v>2.15</v>
      </c>
      <c r="CA2390">
        <v>0.01</v>
      </c>
      <c r="CB2390">
        <v>3.85</v>
      </c>
      <c r="CC2390">
        <v>9.82</v>
      </c>
      <c r="CD2390">
        <v>6.53</v>
      </c>
      <c r="CE2390">
        <v>1.7</v>
      </c>
      <c r="CF2390">
        <v>0.01</v>
      </c>
      <c r="CG2390">
        <v>1.69</v>
      </c>
      <c r="CH2390">
        <v>1.5</v>
      </c>
      <c r="CI2390">
        <v>1.5</v>
      </c>
      <c r="CJ2390">
        <v>0.75</v>
      </c>
      <c r="CK2390">
        <v>1.5</v>
      </c>
      <c r="CL2390">
        <v>5.52</v>
      </c>
      <c r="CM2390">
        <v>1.1000000000000001</v>
      </c>
      <c r="CN2390">
        <v>1.31</v>
      </c>
      <c r="CO2390">
        <v>39992</v>
      </c>
      <c r="CP2390">
        <v>500</v>
      </c>
      <c r="CQ2390" t="s">
        <v>11148</v>
      </c>
      <c r="CR2390">
        <v>0</v>
      </c>
      <c r="CS2390">
        <v>0</v>
      </c>
      <c r="CT2390">
        <v>2.57</v>
      </c>
      <c r="CU2390">
        <v>54.92</v>
      </c>
      <c r="CV2390">
        <v>6.15</v>
      </c>
      <c r="CW2390">
        <v>0</v>
      </c>
      <c r="CX2390" t="s">
        <v>11149</v>
      </c>
      <c r="CY2390">
        <v>29.36</v>
      </c>
      <c r="CZ2390">
        <v>29.36</v>
      </c>
      <c r="DA2390">
        <v>4.82</v>
      </c>
      <c r="DB2390">
        <v>6.9</v>
      </c>
      <c r="DC2390">
        <v>1.37</v>
      </c>
      <c r="DD2390">
        <v>58.87</v>
      </c>
      <c r="DE2390" t="s">
        <v>11150</v>
      </c>
      <c r="DF2390">
        <v>33.46</v>
      </c>
      <c r="DG2390">
        <v>17.329999999999998</v>
      </c>
      <c r="DH2390">
        <v>15.32</v>
      </c>
      <c r="DI2390">
        <v>0.44</v>
      </c>
      <c r="DJ2390">
        <v>3348</v>
      </c>
      <c r="DK2390">
        <v>301061</v>
      </c>
      <c r="DL2390" t="s">
        <v>120</v>
      </c>
      <c r="DM2390" t="s">
        <v>120</v>
      </c>
      <c r="DN2390" t="s">
        <v>120</v>
      </c>
    </row>
    <row r="2391" spans="1:118">
      <c r="A2391" t="str">
        <f>"301062"</f>
        <v>301062</v>
      </c>
      <c r="B2391" t="s">
        <v>11151</v>
      </c>
      <c r="C2391">
        <v>-8.0299999999999994</v>
      </c>
      <c r="D2391">
        <v>0.06</v>
      </c>
      <c r="E2391">
        <v>-5.77</v>
      </c>
      <c r="F2391">
        <v>2469</v>
      </c>
      <c r="G2391" t="s">
        <v>10823</v>
      </c>
      <c r="H2391">
        <v>34675.769999999997</v>
      </c>
      <c r="I2391">
        <v>819.99</v>
      </c>
      <c r="J2391" t="s">
        <v>120</v>
      </c>
      <c r="K2391" t="s">
        <v>10823</v>
      </c>
      <c r="L2391">
        <v>47.08</v>
      </c>
      <c r="M2391">
        <v>17.059999999999999</v>
      </c>
      <c r="N2391">
        <v>0.74</v>
      </c>
      <c r="O2391">
        <v>3.4</v>
      </c>
      <c r="P2391">
        <v>19.18</v>
      </c>
      <c r="Q2391">
        <v>-9.3800000000000008</v>
      </c>
      <c r="R2391">
        <v>16.809999999999999</v>
      </c>
      <c r="S2391">
        <v>17.48</v>
      </c>
      <c r="T2391">
        <v>193164</v>
      </c>
      <c r="U2391">
        <v>17.07</v>
      </c>
      <c r="V2391">
        <v>18.55</v>
      </c>
      <c r="W2391">
        <v>43.45</v>
      </c>
      <c r="X2391" t="s">
        <v>339</v>
      </c>
      <c r="Y2391" t="s">
        <v>1510</v>
      </c>
      <c r="Z2391">
        <v>12.78</v>
      </c>
      <c r="AA2391">
        <v>17.95</v>
      </c>
      <c r="AB2391">
        <v>98499</v>
      </c>
      <c r="AC2391">
        <v>94665</v>
      </c>
      <c r="AD2391">
        <v>1.04</v>
      </c>
      <c r="AE2391">
        <v>108</v>
      </c>
      <c r="AF2391">
        <v>109</v>
      </c>
      <c r="AG2391" t="s">
        <v>120</v>
      </c>
      <c r="AH2391">
        <v>1.1399999999999999</v>
      </c>
      <c r="AI2391" t="s">
        <v>120</v>
      </c>
      <c r="AJ2391">
        <v>0.41</v>
      </c>
      <c r="AK2391" t="s">
        <v>3612</v>
      </c>
      <c r="AL2391">
        <v>-6.12</v>
      </c>
      <c r="AM2391">
        <v>3809</v>
      </c>
      <c r="AN2391">
        <v>51</v>
      </c>
      <c r="AO2391">
        <v>1.24E-2</v>
      </c>
      <c r="AP2391">
        <v>-2</v>
      </c>
      <c r="AQ2391">
        <v>-18.64</v>
      </c>
      <c r="AR2391">
        <v>415.41</v>
      </c>
      <c r="AS2391">
        <v>415.41</v>
      </c>
      <c r="AT2391">
        <v>415.41</v>
      </c>
      <c r="AU2391">
        <v>415.41</v>
      </c>
      <c r="AV2391">
        <v>0</v>
      </c>
      <c r="AW2391">
        <v>47.08</v>
      </c>
      <c r="AX2391">
        <v>10.25</v>
      </c>
      <c r="AY2391">
        <v>51.23</v>
      </c>
      <c r="AZ2391">
        <v>66.819999999999993</v>
      </c>
      <c r="BA2391">
        <v>0</v>
      </c>
      <c r="BB2391" t="s">
        <v>143</v>
      </c>
      <c r="BF2391">
        <v>-3.23</v>
      </c>
      <c r="BG2391">
        <v>-2.4</v>
      </c>
      <c r="BH2391">
        <v>-11.05</v>
      </c>
      <c r="BI2391">
        <v>1.49</v>
      </c>
      <c r="BJ2391">
        <v>20210913</v>
      </c>
      <c r="BK2391">
        <v>20210914</v>
      </c>
      <c r="BL2391">
        <v>4</v>
      </c>
      <c r="BM2391" t="s">
        <v>120</v>
      </c>
      <c r="BN2391" t="s">
        <v>120</v>
      </c>
      <c r="BO2391">
        <v>14.47</v>
      </c>
      <c r="BP2391">
        <v>17.059999999999999</v>
      </c>
      <c r="BQ2391">
        <v>8.44</v>
      </c>
      <c r="BR2391">
        <v>0.06</v>
      </c>
      <c r="BS2391">
        <v>41.25</v>
      </c>
      <c r="BT2391">
        <v>7.19</v>
      </c>
      <c r="BU2391">
        <v>5.46</v>
      </c>
      <c r="BV2391">
        <v>0.33</v>
      </c>
      <c r="BW2391">
        <v>4.4000000000000004</v>
      </c>
      <c r="BX2391">
        <v>0.85</v>
      </c>
      <c r="BY2391">
        <v>2.81</v>
      </c>
      <c r="BZ2391">
        <v>1.94</v>
      </c>
      <c r="CA2391" t="s">
        <v>120</v>
      </c>
      <c r="CB2391">
        <v>0.32</v>
      </c>
      <c r="CC2391">
        <v>5.16</v>
      </c>
      <c r="CD2391">
        <v>3.42</v>
      </c>
      <c r="CE2391">
        <v>0.9</v>
      </c>
      <c r="CF2391">
        <v>0</v>
      </c>
      <c r="CG2391">
        <v>0.9</v>
      </c>
      <c r="CH2391">
        <v>0.78</v>
      </c>
      <c r="CI2391">
        <v>0.79</v>
      </c>
      <c r="CJ2391">
        <v>-1.49</v>
      </c>
      <c r="CK2391">
        <v>0.76</v>
      </c>
      <c r="CL2391">
        <v>4.13</v>
      </c>
      <c r="CM2391">
        <v>0.22</v>
      </c>
      <c r="CN2391">
        <v>-0.33</v>
      </c>
      <c r="CO2391">
        <v>40983</v>
      </c>
      <c r="CP2391">
        <v>1001</v>
      </c>
      <c r="CQ2391" t="s">
        <v>11152</v>
      </c>
      <c r="CR2391">
        <v>0</v>
      </c>
      <c r="CS2391">
        <v>0</v>
      </c>
      <c r="CT2391">
        <v>7.18</v>
      </c>
      <c r="CU2391">
        <v>314.35000000000002</v>
      </c>
      <c r="CV2391">
        <v>13.24</v>
      </c>
      <c r="CW2391">
        <v>0</v>
      </c>
      <c r="CX2391" t="s">
        <v>6282</v>
      </c>
      <c r="CY2391">
        <v>2.38</v>
      </c>
      <c r="CZ2391">
        <v>2.38</v>
      </c>
      <c r="DA2391">
        <v>0.08</v>
      </c>
      <c r="DB2391">
        <v>1.03</v>
      </c>
      <c r="DC2391">
        <v>0.05</v>
      </c>
      <c r="DD2391">
        <v>58.32</v>
      </c>
      <c r="DE2391" t="s">
        <v>10222</v>
      </c>
      <c r="DF2391">
        <v>33.74</v>
      </c>
      <c r="DG2391">
        <v>17.46</v>
      </c>
      <c r="DH2391">
        <v>15.24</v>
      </c>
      <c r="DI2391">
        <v>0.17</v>
      </c>
      <c r="DJ2391">
        <v>728</v>
      </c>
      <c r="DK2391">
        <v>301062</v>
      </c>
      <c r="DL2391">
        <v>20210914</v>
      </c>
      <c r="DM2391">
        <v>3.31</v>
      </c>
      <c r="DN2391">
        <v>415.41</v>
      </c>
    </row>
    <row r="2392" spans="1:118">
      <c r="A2392" t="str">
        <f>"301065"</f>
        <v>301065</v>
      </c>
      <c r="B2392" t="s">
        <v>11153</v>
      </c>
      <c r="C2392">
        <v>-10.73</v>
      </c>
      <c r="D2392">
        <v>0.22</v>
      </c>
      <c r="E2392">
        <v>-5.83</v>
      </c>
      <c r="F2392">
        <v>833</v>
      </c>
      <c r="G2392" t="s">
        <v>11154</v>
      </c>
      <c r="H2392">
        <v>37733.9</v>
      </c>
      <c r="I2392">
        <v>491.43</v>
      </c>
      <c r="J2392" t="s">
        <v>120</v>
      </c>
      <c r="K2392" t="s">
        <v>11154</v>
      </c>
      <c r="L2392">
        <v>31.86</v>
      </c>
      <c r="M2392">
        <v>63.99</v>
      </c>
      <c r="N2392">
        <v>0.75</v>
      </c>
      <c r="O2392">
        <v>-0.25</v>
      </c>
      <c r="P2392">
        <v>71.5</v>
      </c>
      <c r="Q2392">
        <v>-11.16</v>
      </c>
      <c r="R2392">
        <v>63.68</v>
      </c>
      <c r="S2392">
        <v>67.5</v>
      </c>
      <c r="T2392">
        <v>56330</v>
      </c>
      <c r="U2392">
        <v>63.99</v>
      </c>
      <c r="V2392">
        <v>71.680000000000007</v>
      </c>
      <c r="W2392">
        <v>63.93</v>
      </c>
      <c r="X2392" t="s">
        <v>868</v>
      </c>
      <c r="Y2392" t="s">
        <v>585</v>
      </c>
      <c r="Z2392">
        <v>10.91</v>
      </c>
      <c r="AA2392">
        <v>66.989999999999995</v>
      </c>
      <c r="AB2392">
        <v>30534</v>
      </c>
      <c r="AC2392">
        <v>25796</v>
      </c>
      <c r="AD2392">
        <v>1.18</v>
      </c>
      <c r="AE2392">
        <v>3</v>
      </c>
      <c r="AF2392">
        <v>15</v>
      </c>
      <c r="AG2392" t="s">
        <v>120</v>
      </c>
      <c r="AH2392">
        <v>0.41</v>
      </c>
      <c r="AI2392" t="s">
        <v>120</v>
      </c>
      <c r="AJ2392">
        <v>0.18</v>
      </c>
      <c r="AK2392" t="s">
        <v>10404</v>
      </c>
      <c r="AL2392">
        <v>-8.81</v>
      </c>
      <c r="AM2392">
        <v>3748</v>
      </c>
      <c r="AN2392">
        <v>15</v>
      </c>
      <c r="AO2392">
        <v>8.5000000000000006E-3</v>
      </c>
      <c r="AP2392">
        <v>-2</v>
      </c>
      <c r="AQ2392">
        <v>-8.5399999999999991</v>
      </c>
      <c r="AR2392">
        <v>50.56</v>
      </c>
      <c r="AS2392">
        <v>50.57</v>
      </c>
      <c r="AT2392">
        <v>50.57</v>
      </c>
      <c r="AU2392">
        <v>50.57</v>
      </c>
      <c r="AV2392">
        <v>0</v>
      </c>
      <c r="AW2392">
        <v>31.86</v>
      </c>
      <c r="AX2392">
        <v>25.01</v>
      </c>
      <c r="AY2392">
        <v>58.05</v>
      </c>
      <c r="AZ2392">
        <v>55.24</v>
      </c>
      <c r="BA2392">
        <v>0</v>
      </c>
      <c r="BB2392" t="s">
        <v>143</v>
      </c>
      <c r="BF2392">
        <v>-6.55</v>
      </c>
      <c r="BG2392">
        <v>-5.2</v>
      </c>
      <c r="BH2392">
        <v>-10.5</v>
      </c>
      <c r="BI2392">
        <v>0.49</v>
      </c>
      <c r="BJ2392">
        <v>20210913</v>
      </c>
      <c r="BK2392">
        <v>20210914</v>
      </c>
      <c r="BL2392">
        <v>0.71</v>
      </c>
      <c r="BM2392" t="s">
        <v>120</v>
      </c>
      <c r="BN2392" t="s">
        <v>120</v>
      </c>
      <c r="BO2392">
        <v>6.9</v>
      </c>
      <c r="BP2392">
        <v>63.98</v>
      </c>
      <c r="BQ2392">
        <v>5.09</v>
      </c>
      <c r="BR2392" t="s">
        <v>120</v>
      </c>
      <c r="BS2392">
        <v>26.21</v>
      </c>
      <c r="BT2392">
        <v>2.2400000000000002</v>
      </c>
      <c r="BU2392">
        <v>3.52</v>
      </c>
      <c r="BV2392">
        <v>0.28000000000000003</v>
      </c>
      <c r="BW2392">
        <v>1.39</v>
      </c>
      <c r="BX2392">
        <v>0.27</v>
      </c>
      <c r="BY2392">
        <v>0.56000000000000005</v>
      </c>
      <c r="BZ2392">
        <v>0.41</v>
      </c>
      <c r="CA2392" t="s">
        <v>120</v>
      </c>
      <c r="CB2392">
        <v>1.01</v>
      </c>
      <c r="CC2392">
        <v>3.29</v>
      </c>
      <c r="CD2392">
        <v>2.67</v>
      </c>
      <c r="CE2392">
        <v>0.39</v>
      </c>
      <c r="CF2392">
        <v>0</v>
      </c>
      <c r="CG2392">
        <v>0.41</v>
      </c>
      <c r="CH2392">
        <v>0.35</v>
      </c>
      <c r="CI2392">
        <v>0.35</v>
      </c>
      <c r="CJ2392">
        <v>-7.69</v>
      </c>
      <c r="CK2392">
        <v>0.32</v>
      </c>
      <c r="CL2392">
        <v>3.28</v>
      </c>
      <c r="CM2392">
        <v>0.27</v>
      </c>
      <c r="CN2392">
        <v>-0.16</v>
      </c>
      <c r="CO2392">
        <v>35376</v>
      </c>
      <c r="CP2392">
        <v>500</v>
      </c>
      <c r="CQ2392" t="s">
        <v>10970</v>
      </c>
      <c r="CR2392">
        <v>0</v>
      </c>
      <c r="CS2392">
        <v>0</v>
      </c>
      <c r="CT2392">
        <v>3.79</v>
      </c>
      <c r="CU2392">
        <v>168.61</v>
      </c>
      <c r="CV2392">
        <v>13.74</v>
      </c>
      <c r="CW2392">
        <v>0</v>
      </c>
      <c r="CX2392" t="s">
        <v>824</v>
      </c>
      <c r="CY2392">
        <v>16.86</v>
      </c>
      <c r="CZ2392">
        <v>16.86</v>
      </c>
      <c r="DA2392">
        <v>1.44</v>
      </c>
      <c r="DB2392">
        <v>4.6399999999999997</v>
      </c>
      <c r="DC2392">
        <v>0.38</v>
      </c>
      <c r="DD2392">
        <v>73.790000000000006</v>
      </c>
      <c r="DE2392" t="s">
        <v>11155</v>
      </c>
      <c r="DF2392">
        <v>18.82</v>
      </c>
      <c r="DG2392">
        <v>11.75</v>
      </c>
      <c r="DH2392">
        <v>10.75</v>
      </c>
      <c r="DI2392">
        <v>0.08</v>
      </c>
      <c r="DJ2392">
        <v>384</v>
      </c>
      <c r="DK2392">
        <v>301065</v>
      </c>
      <c r="DL2392">
        <v>20210914</v>
      </c>
      <c r="DM2392">
        <v>78.37</v>
      </c>
      <c r="DN2392">
        <v>-18.350000000000001</v>
      </c>
    </row>
    <row r="2393" spans="1:118">
      <c r="A2393" t="str">
        <f>"301072"</f>
        <v>301072</v>
      </c>
      <c r="B2393" t="s">
        <v>11156</v>
      </c>
      <c r="C2393" t="s">
        <v>120</v>
      </c>
      <c r="D2393" t="s">
        <v>120</v>
      </c>
      <c r="E2393" t="s">
        <v>120</v>
      </c>
      <c r="F2393">
        <v>0</v>
      </c>
      <c r="G2393" t="s">
        <v>120</v>
      </c>
      <c r="H2393">
        <v>0</v>
      </c>
      <c r="I2393">
        <v>0</v>
      </c>
      <c r="J2393" t="s">
        <v>120</v>
      </c>
      <c r="K2393" t="s">
        <v>120</v>
      </c>
      <c r="L2393" t="s">
        <v>120</v>
      </c>
      <c r="M2393">
        <v>7.46</v>
      </c>
      <c r="N2393" t="s">
        <v>120</v>
      </c>
      <c r="O2393" t="s">
        <v>120</v>
      </c>
      <c r="P2393" t="s">
        <v>120</v>
      </c>
      <c r="Q2393" t="s">
        <v>120</v>
      </c>
      <c r="R2393" t="s">
        <v>120</v>
      </c>
      <c r="S2393" t="s">
        <v>120</v>
      </c>
      <c r="T2393">
        <v>0</v>
      </c>
      <c r="U2393" t="s">
        <v>120</v>
      </c>
      <c r="V2393">
        <v>7.46</v>
      </c>
      <c r="W2393" t="s">
        <v>120</v>
      </c>
      <c r="X2393" t="s">
        <v>289</v>
      </c>
      <c r="Y2393" t="s">
        <v>319</v>
      </c>
      <c r="Z2393">
        <v>0</v>
      </c>
      <c r="AA2393">
        <v>7.46</v>
      </c>
      <c r="AB2393">
        <v>0</v>
      </c>
      <c r="AC2393">
        <v>0</v>
      </c>
      <c r="AD2393" t="s">
        <v>120</v>
      </c>
      <c r="AE2393">
        <v>0</v>
      </c>
      <c r="AF2393">
        <v>0</v>
      </c>
      <c r="AG2393" t="s">
        <v>120</v>
      </c>
      <c r="AH2393" t="s">
        <v>120</v>
      </c>
      <c r="AI2393" t="s">
        <v>120</v>
      </c>
      <c r="AJ2393" t="s">
        <v>120</v>
      </c>
      <c r="AK2393" t="s">
        <v>120</v>
      </c>
      <c r="AL2393">
        <v>1.91</v>
      </c>
      <c r="AM2393">
        <v>0</v>
      </c>
      <c r="AN2393" t="s">
        <v>120</v>
      </c>
      <c r="AO2393" t="s">
        <v>120</v>
      </c>
      <c r="AP2393" t="s">
        <v>120</v>
      </c>
      <c r="AQ2393" t="s">
        <v>120</v>
      </c>
      <c r="AR2393" t="s">
        <v>120</v>
      </c>
      <c r="AS2393" t="s">
        <v>120</v>
      </c>
      <c r="AT2393" t="s">
        <v>120</v>
      </c>
      <c r="AU2393" t="s">
        <v>120</v>
      </c>
      <c r="AV2393">
        <v>0</v>
      </c>
      <c r="AW2393" t="s">
        <v>120</v>
      </c>
      <c r="AX2393" t="s">
        <v>120</v>
      </c>
      <c r="AY2393" t="s">
        <v>120</v>
      </c>
      <c r="AZ2393" t="s">
        <v>120</v>
      </c>
      <c r="BA2393" t="s">
        <v>120</v>
      </c>
      <c r="BB2393" t="s">
        <v>143</v>
      </c>
      <c r="BF2393">
        <v>0</v>
      </c>
      <c r="BG2393" t="s">
        <v>120</v>
      </c>
      <c r="BH2393" t="s">
        <v>120</v>
      </c>
      <c r="BI2393" t="s">
        <v>120</v>
      </c>
      <c r="BJ2393">
        <v>20210908</v>
      </c>
      <c r="BK2393" t="s">
        <v>120</v>
      </c>
      <c r="BL2393" t="s">
        <v>120</v>
      </c>
      <c r="BM2393" t="s">
        <v>120</v>
      </c>
      <c r="BN2393" t="s">
        <v>120</v>
      </c>
      <c r="BO2393">
        <v>8.06</v>
      </c>
      <c r="BP2393" t="s">
        <v>120</v>
      </c>
      <c r="BQ2393">
        <v>6</v>
      </c>
      <c r="BR2393">
        <v>7.0000000000000007E-2</v>
      </c>
      <c r="BS2393">
        <v>24.68</v>
      </c>
      <c r="BT2393">
        <v>5.0999999999999996</v>
      </c>
      <c r="BU2393">
        <v>1.65</v>
      </c>
      <c r="BV2393">
        <v>0.52</v>
      </c>
      <c r="BW2393">
        <v>1.92</v>
      </c>
      <c r="BX2393">
        <v>1.76</v>
      </c>
      <c r="BY2393">
        <v>1.38</v>
      </c>
      <c r="BZ2393">
        <v>1.54</v>
      </c>
      <c r="CA2393" t="s">
        <v>120</v>
      </c>
      <c r="CB2393">
        <v>3.14</v>
      </c>
      <c r="CC2393">
        <v>3.12</v>
      </c>
      <c r="CD2393">
        <v>2.48</v>
      </c>
      <c r="CE2393">
        <v>0.27</v>
      </c>
      <c r="CF2393">
        <v>0</v>
      </c>
      <c r="CG2393">
        <v>0.28000000000000003</v>
      </c>
      <c r="CH2393">
        <v>0.25</v>
      </c>
      <c r="CI2393">
        <v>0.24</v>
      </c>
      <c r="CJ2393" t="s">
        <v>120</v>
      </c>
      <c r="CK2393">
        <v>0.23</v>
      </c>
      <c r="CL2393">
        <v>1.89</v>
      </c>
      <c r="CM2393">
        <v>0.55000000000000004</v>
      </c>
      <c r="CN2393">
        <v>-0.17</v>
      </c>
      <c r="CO2393">
        <v>0</v>
      </c>
      <c r="CP2393" t="s">
        <v>120</v>
      </c>
      <c r="CQ2393" t="s">
        <v>120</v>
      </c>
      <c r="CR2393">
        <v>0</v>
      </c>
      <c r="CS2393">
        <v>0</v>
      </c>
      <c r="CT2393" t="s">
        <v>120</v>
      </c>
      <c r="CU2393">
        <v>0</v>
      </c>
      <c r="CV2393">
        <v>0</v>
      </c>
      <c r="CW2393">
        <v>0</v>
      </c>
      <c r="CX2393" t="s">
        <v>2834</v>
      </c>
      <c r="CY2393" t="s">
        <v>120</v>
      </c>
      <c r="CZ2393">
        <v>0</v>
      </c>
      <c r="DA2393" t="s">
        <v>120</v>
      </c>
      <c r="DB2393" t="s">
        <v>120</v>
      </c>
      <c r="DC2393" t="s">
        <v>120</v>
      </c>
      <c r="DD2393">
        <v>74.430000000000007</v>
      </c>
      <c r="DE2393" t="s">
        <v>5424</v>
      </c>
      <c r="DF2393">
        <v>20.57</v>
      </c>
      <c r="DG2393">
        <v>8.74</v>
      </c>
      <c r="DH2393">
        <v>7.81</v>
      </c>
      <c r="DI2393">
        <v>0.14000000000000001</v>
      </c>
      <c r="DJ2393">
        <v>866</v>
      </c>
      <c r="DK2393">
        <v>301072</v>
      </c>
      <c r="DL2393" t="s">
        <v>120</v>
      </c>
      <c r="DM2393" t="s">
        <v>120</v>
      </c>
      <c r="DN2393" t="s">
        <v>120</v>
      </c>
    </row>
    <row r="2394" spans="1:118">
      <c r="A2394" t="str">
        <f>"301073"</f>
        <v>301073</v>
      </c>
      <c r="B2394" t="s">
        <v>11157</v>
      </c>
      <c r="C2394" t="s">
        <v>120</v>
      </c>
      <c r="D2394" t="s">
        <v>120</v>
      </c>
      <c r="E2394" t="s">
        <v>120</v>
      </c>
      <c r="F2394">
        <v>0</v>
      </c>
      <c r="G2394" t="s">
        <v>120</v>
      </c>
      <c r="H2394">
        <v>0</v>
      </c>
      <c r="I2394">
        <v>0</v>
      </c>
      <c r="J2394" t="s">
        <v>120</v>
      </c>
      <c r="K2394" t="s">
        <v>120</v>
      </c>
      <c r="L2394" t="s">
        <v>120</v>
      </c>
      <c r="M2394">
        <v>12.24</v>
      </c>
      <c r="N2394" t="s">
        <v>120</v>
      </c>
      <c r="O2394" t="s">
        <v>120</v>
      </c>
      <c r="P2394" t="s">
        <v>120</v>
      </c>
      <c r="Q2394" t="s">
        <v>120</v>
      </c>
      <c r="R2394" t="s">
        <v>120</v>
      </c>
      <c r="S2394" t="s">
        <v>120</v>
      </c>
      <c r="T2394">
        <v>0</v>
      </c>
      <c r="U2394" t="s">
        <v>120</v>
      </c>
      <c r="V2394">
        <v>12.24</v>
      </c>
      <c r="W2394" t="s">
        <v>120</v>
      </c>
      <c r="X2394" t="s">
        <v>793</v>
      </c>
      <c r="Y2394" t="s">
        <v>585</v>
      </c>
      <c r="Z2394">
        <v>0</v>
      </c>
      <c r="AA2394">
        <v>12.24</v>
      </c>
      <c r="AB2394">
        <v>0</v>
      </c>
      <c r="AC2394">
        <v>0</v>
      </c>
      <c r="AD2394" t="s">
        <v>120</v>
      </c>
      <c r="AE2394">
        <v>0</v>
      </c>
      <c r="AF2394">
        <v>0</v>
      </c>
      <c r="AG2394" t="s">
        <v>120</v>
      </c>
      <c r="AH2394" t="s">
        <v>120</v>
      </c>
      <c r="AI2394" t="s">
        <v>120</v>
      </c>
      <c r="AJ2394" t="s">
        <v>120</v>
      </c>
      <c r="AK2394" t="s">
        <v>120</v>
      </c>
      <c r="AL2394">
        <v>1.91</v>
      </c>
      <c r="AM2394">
        <v>0</v>
      </c>
      <c r="AN2394" t="s">
        <v>120</v>
      </c>
      <c r="AO2394" t="s">
        <v>120</v>
      </c>
      <c r="AP2394" t="s">
        <v>120</v>
      </c>
      <c r="AQ2394" t="s">
        <v>120</v>
      </c>
      <c r="AR2394" t="s">
        <v>120</v>
      </c>
      <c r="AS2394" t="s">
        <v>120</v>
      </c>
      <c r="AT2394" t="s">
        <v>120</v>
      </c>
      <c r="AU2394" t="s">
        <v>120</v>
      </c>
      <c r="AV2394">
        <v>0</v>
      </c>
      <c r="AW2394" t="s">
        <v>120</v>
      </c>
      <c r="AX2394" t="s">
        <v>120</v>
      </c>
      <c r="AY2394" t="s">
        <v>120</v>
      </c>
      <c r="AZ2394" t="s">
        <v>120</v>
      </c>
      <c r="BA2394" t="s">
        <v>120</v>
      </c>
      <c r="BB2394" t="s">
        <v>143</v>
      </c>
      <c r="BF2394">
        <v>0</v>
      </c>
      <c r="BG2394" t="s">
        <v>120</v>
      </c>
      <c r="BH2394" t="s">
        <v>120</v>
      </c>
      <c r="BI2394" t="s">
        <v>120</v>
      </c>
      <c r="BJ2394">
        <v>20210908</v>
      </c>
      <c r="BK2394" t="s">
        <v>120</v>
      </c>
      <c r="BL2394" t="s">
        <v>120</v>
      </c>
      <c r="BM2394" t="s">
        <v>120</v>
      </c>
      <c r="BN2394" t="s">
        <v>120</v>
      </c>
      <c r="BO2394">
        <v>10.7</v>
      </c>
      <c r="BP2394" t="s">
        <v>120</v>
      </c>
      <c r="BQ2394">
        <v>2.95</v>
      </c>
      <c r="BR2394">
        <v>-0.12</v>
      </c>
      <c r="BS2394">
        <v>73.599999999999994</v>
      </c>
      <c r="BT2394">
        <v>2.09</v>
      </c>
      <c r="BU2394">
        <v>7.0000000000000007E-2</v>
      </c>
      <c r="BV2394">
        <v>0.02</v>
      </c>
      <c r="BW2394">
        <v>1.38</v>
      </c>
      <c r="BX2394">
        <v>0.39</v>
      </c>
      <c r="BY2394">
        <v>0.01</v>
      </c>
      <c r="BZ2394">
        <v>0.33</v>
      </c>
      <c r="CA2394">
        <v>0.05</v>
      </c>
      <c r="CB2394">
        <v>0.19</v>
      </c>
      <c r="CC2394">
        <v>1.46</v>
      </c>
      <c r="CD2394">
        <v>0.92</v>
      </c>
      <c r="CE2394">
        <v>0.31</v>
      </c>
      <c r="CF2394">
        <v>0.01</v>
      </c>
      <c r="CG2394">
        <v>0.33</v>
      </c>
      <c r="CH2394">
        <v>0.25</v>
      </c>
      <c r="CI2394">
        <v>0.26</v>
      </c>
      <c r="CJ2394" t="s">
        <v>120</v>
      </c>
      <c r="CK2394">
        <v>0.23</v>
      </c>
      <c r="CL2394">
        <v>1.91</v>
      </c>
      <c r="CM2394">
        <v>0.75</v>
      </c>
      <c r="CN2394">
        <v>-0.66</v>
      </c>
      <c r="CO2394">
        <v>0</v>
      </c>
      <c r="CP2394" t="s">
        <v>120</v>
      </c>
      <c r="CQ2394" t="s">
        <v>120</v>
      </c>
      <c r="CR2394">
        <v>0</v>
      </c>
      <c r="CS2394">
        <v>0</v>
      </c>
      <c r="CT2394" t="s">
        <v>120</v>
      </c>
      <c r="CU2394">
        <v>0</v>
      </c>
      <c r="CV2394">
        <v>0</v>
      </c>
      <c r="CW2394">
        <v>0</v>
      </c>
      <c r="CX2394" t="s">
        <v>2834</v>
      </c>
      <c r="CY2394" t="s">
        <v>120</v>
      </c>
      <c r="CZ2394">
        <v>0</v>
      </c>
      <c r="DA2394" t="s">
        <v>120</v>
      </c>
      <c r="DB2394" t="s">
        <v>120</v>
      </c>
      <c r="DC2394" t="s">
        <v>120</v>
      </c>
      <c r="DD2394">
        <v>27.54</v>
      </c>
      <c r="DE2394" t="s">
        <v>10577</v>
      </c>
      <c r="DF2394">
        <v>37.409999999999997</v>
      </c>
      <c r="DG2394">
        <v>21.45</v>
      </c>
      <c r="DH2394">
        <v>17.89</v>
      </c>
      <c r="DI2394" t="s">
        <v>120</v>
      </c>
      <c r="DJ2394">
        <v>629</v>
      </c>
      <c r="DK2394">
        <v>301073</v>
      </c>
      <c r="DL2394" t="s">
        <v>120</v>
      </c>
      <c r="DM2394" t="s">
        <v>120</v>
      </c>
      <c r="DN2394" t="s">
        <v>120</v>
      </c>
    </row>
    <row r="2395" spans="1:118">
      <c r="A2395" t="str">
        <f>"001216"</f>
        <v>001216</v>
      </c>
      <c r="B2395" t="s">
        <v>11158</v>
      </c>
      <c r="C2395" t="s">
        <v>120</v>
      </c>
      <c r="D2395" t="s">
        <v>120</v>
      </c>
      <c r="E2395" t="s">
        <v>120</v>
      </c>
      <c r="F2395">
        <v>0</v>
      </c>
      <c r="G2395" t="s">
        <v>120</v>
      </c>
      <c r="H2395">
        <v>0</v>
      </c>
      <c r="I2395">
        <v>0</v>
      </c>
      <c r="J2395" t="s">
        <v>120</v>
      </c>
      <c r="K2395" t="s">
        <v>120</v>
      </c>
      <c r="L2395" t="s">
        <v>120</v>
      </c>
      <c r="M2395">
        <v>0</v>
      </c>
      <c r="N2395" t="s">
        <v>120</v>
      </c>
      <c r="O2395" t="s">
        <v>120</v>
      </c>
      <c r="P2395" t="s">
        <v>120</v>
      </c>
      <c r="Q2395" t="s">
        <v>120</v>
      </c>
      <c r="R2395" t="s">
        <v>120</v>
      </c>
      <c r="S2395" t="s">
        <v>120</v>
      </c>
      <c r="T2395">
        <v>0</v>
      </c>
      <c r="U2395" t="s">
        <v>120</v>
      </c>
      <c r="V2395" t="s">
        <v>120</v>
      </c>
      <c r="W2395" t="s">
        <v>120</v>
      </c>
      <c r="X2395" t="s">
        <v>2409</v>
      </c>
      <c r="Y2395" t="s">
        <v>594</v>
      </c>
      <c r="Z2395" t="s">
        <v>120</v>
      </c>
      <c r="AA2395">
        <v>0</v>
      </c>
      <c r="AB2395">
        <v>0</v>
      </c>
      <c r="AC2395">
        <v>0</v>
      </c>
      <c r="AD2395" t="s">
        <v>120</v>
      </c>
      <c r="AE2395">
        <v>0</v>
      </c>
      <c r="AF2395">
        <v>0</v>
      </c>
      <c r="AG2395" t="s">
        <v>120</v>
      </c>
      <c r="AH2395" t="s">
        <v>120</v>
      </c>
      <c r="AI2395" t="s">
        <v>120</v>
      </c>
      <c r="AJ2395" t="s">
        <v>120</v>
      </c>
      <c r="AK2395" t="s">
        <v>120</v>
      </c>
      <c r="AL2395" t="s">
        <v>120</v>
      </c>
      <c r="AM2395">
        <v>0</v>
      </c>
      <c r="AN2395" t="s">
        <v>120</v>
      </c>
      <c r="AO2395" t="s">
        <v>120</v>
      </c>
      <c r="AP2395" t="s">
        <v>120</v>
      </c>
      <c r="AQ2395" t="s">
        <v>120</v>
      </c>
      <c r="AR2395" t="s">
        <v>120</v>
      </c>
      <c r="AS2395" t="s">
        <v>120</v>
      </c>
      <c r="AT2395" t="s">
        <v>120</v>
      </c>
      <c r="AU2395" t="s">
        <v>120</v>
      </c>
      <c r="AV2395">
        <v>0</v>
      </c>
      <c r="AW2395" t="s">
        <v>120</v>
      </c>
      <c r="AX2395" t="s">
        <v>120</v>
      </c>
      <c r="AY2395" t="s">
        <v>120</v>
      </c>
      <c r="AZ2395" t="s">
        <v>120</v>
      </c>
      <c r="BA2395" t="s">
        <v>120</v>
      </c>
      <c r="BB2395" t="s">
        <v>143</v>
      </c>
      <c r="BF2395">
        <v>0</v>
      </c>
      <c r="BG2395" t="s">
        <v>120</v>
      </c>
      <c r="BH2395" t="s">
        <v>120</v>
      </c>
      <c r="BI2395" t="s">
        <v>120</v>
      </c>
      <c r="BJ2395">
        <v>20210831</v>
      </c>
      <c r="BK2395" t="s">
        <v>120</v>
      </c>
      <c r="BL2395" t="s">
        <v>120</v>
      </c>
      <c r="BM2395" t="s">
        <v>120</v>
      </c>
      <c r="BN2395" t="s">
        <v>120</v>
      </c>
      <c r="BO2395">
        <v>9.73</v>
      </c>
      <c r="BP2395" t="s">
        <v>120</v>
      </c>
      <c r="BQ2395">
        <v>7.25</v>
      </c>
      <c r="BR2395">
        <v>0.08</v>
      </c>
      <c r="BS2395">
        <v>24.68</v>
      </c>
      <c r="BT2395">
        <v>3.5</v>
      </c>
      <c r="BU2395">
        <v>2.69</v>
      </c>
      <c r="BV2395">
        <v>1.1599999999999999</v>
      </c>
      <c r="BW2395">
        <v>1.68</v>
      </c>
      <c r="BX2395">
        <v>0.54</v>
      </c>
      <c r="BY2395">
        <v>1.72</v>
      </c>
      <c r="BZ2395">
        <v>0.77</v>
      </c>
      <c r="CA2395" t="s">
        <v>120</v>
      </c>
      <c r="CB2395">
        <v>0.87</v>
      </c>
      <c r="CC2395">
        <v>4.8</v>
      </c>
      <c r="CD2395">
        <v>3.43</v>
      </c>
      <c r="CE2395">
        <v>0.59</v>
      </c>
      <c r="CF2395">
        <v>0.02</v>
      </c>
      <c r="CG2395">
        <v>0.59</v>
      </c>
      <c r="CH2395">
        <v>0.54</v>
      </c>
      <c r="CI2395">
        <v>0.53</v>
      </c>
      <c r="CJ2395" t="s">
        <v>120</v>
      </c>
      <c r="CK2395">
        <v>0.48</v>
      </c>
      <c r="CL2395">
        <v>3.9</v>
      </c>
      <c r="CM2395">
        <v>0.34</v>
      </c>
      <c r="CN2395">
        <v>-1.08</v>
      </c>
      <c r="CO2395">
        <v>0</v>
      </c>
      <c r="CP2395" t="s">
        <v>120</v>
      </c>
      <c r="CQ2395" t="s">
        <v>120</v>
      </c>
      <c r="CR2395">
        <v>0</v>
      </c>
      <c r="CS2395">
        <v>0</v>
      </c>
      <c r="CT2395" t="s">
        <v>120</v>
      </c>
      <c r="CU2395">
        <v>0</v>
      </c>
      <c r="CV2395">
        <v>0</v>
      </c>
      <c r="CW2395">
        <v>0</v>
      </c>
      <c r="CX2395" t="s">
        <v>2834</v>
      </c>
      <c r="CY2395" t="s">
        <v>120</v>
      </c>
      <c r="CZ2395">
        <v>0</v>
      </c>
      <c r="DA2395" t="s">
        <v>120</v>
      </c>
      <c r="DB2395" t="s">
        <v>120</v>
      </c>
      <c r="DC2395" t="s">
        <v>120</v>
      </c>
      <c r="DD2395">
        <v>74.5</v>
      </c>
      <c r="DE2395" t="s">
        <v>11159</v>
      </c>
      <c r="DF2395">
        <v>28.66</v>
      </c>
      <c r="DG2395">
        <v>12.39</v>
      </c>
      <c r="DH2395">
        <v>10.99</v>
      </c>
      <c r="DI2395">
        <v>0.23</v>
      </c>
      <c r="DJ2395">
        <v>4591</v>
      </c>
      <c r="DK2395">
        <v>1216</v>
      </c>
      <c r="DL2395" t="s">
        <v>120</v>
      </c>
      <c r="DM2395" t="s">
        <v>120</v>
      </c>
      <c r="DN2395" t="s">
        <v>120</v>
      </c>
    </row>
    <row r="2396" spans="1:118">
      <c r="A2396" t="str">
        <f>"001218"</f>
        <v>001218</v>
      </c>
      <c r="B2396" t="s">
        <v>11160</v>
      </c>
      <c r="C2396" t="s">
        <v>120</v>
      </c>
      <c r="D2396" t="s">
        <v>120</v>
      </c>
      <c r="E2396" t="s">
        <v>120</v>
      </c>
      <c r="F2396">
        <v>0</v>
      </c>
      <c r="G2396" t="s">
        <v>120</v>
      </c>
      <c r="H2396">
        <v>0</v>
      </c>
      <c r="I2396">
        <v>0</v>
      </c>
      <c r="J2396" t="s">
        <v>120</v>
      </c>
      <c r="K2396" t="s">
        <v>120</v>
      </c>
      <c r="L2396" t="s">
        <v>120</v>
      </c>
      <c r="M2396">
        <v>0</v>
      </c>
      <c r="N2396" t="s">
        <v>120</v>
      </c>
      <c r="O2396" t="s">
        <v>120</v>
      </c>
      <c r="P2396" t="s">
        <v>120</v>
      </c>
      <c r="Q2396" t="s">
        <v>120</v>
      </c>
      <c r="R2396" t="s">
        <v>120</v>
      </c>
      <c r="S2396" t="s">
        <v>120</v>
      </c>
      <c r="T2396">
        <v>0</v>
      </c>
      <c r="U2396" t="s">
        <v>120</v>
      </c>
      <c r="V2396" t="s">
        <v>120</v>
      </c>
      <c r="W2396" t="s">
        <v>120</v>
      </c>
      <c r="X2396" t="s">
        <v>868</v>
      </c>
      <c r="Y2396" t="s">
        <v>594</v>
      </c>
      <c r="Z2396" t="s">
        <v>120</v>
      </c>
      <c r="AA2396">
        <v>0</v>
      </c>
      <c r="AB2396">
        <v>0</v>
      </c>
      <c r="AC2396">
        <v>0</v>
      </c>
      <c r="AD2396" t="s">
        <v>120</v>
      </c>
      <c r="AE2396">
        <v>0</v>
      </c>
      <c r="AF2396">
        <v>0</v>
      </c>
      <c r="AG2396" t="s">
        <v>120</v>
      </c>
      <c r="AH2396" t="s">
        <v>120</v>
      </c>
      <c r="AI2396" t="s">
        <v>120</v>
      </c>
      <c r="AJ2396" t="s">
        <v>120</v>
      </c>
      <c r="AK2396" t="s">
        <v>120</v>
      </c>
      <c r="AL2396" t="s">
        <v>120</v>
      </c>
      <c r="AM2396">
        <v>0</v>
      </c>
      <c r="AN2396" t="s">
        <v>120</v>
      </c>
      <c r="AO2396" t="s">
        <v>120</v>
      </c>
      <c r="AP2396" t="s">
        <v>120</v>
      </c>
      <c r="AQ2396" t="s">
        <v>120</v>
      </c>
      <c r="AR2396" t="s">
        <v>120</v>
      </c>
      <c r="AS2396" t="s">
        <v>120</v>
      </c>
      <c r="AT2396" t="s">
        <v>120</v>
      </c>
      <c r="AU2396" t="s">
        <v>120</v>
      </c>
      <c r="AV2396">
        <v>0</v>
      </c>
      <c r="AW2396" t="s">
        <v>120</v>
      </c>
      <c r="AX2396" t="s">
        <v>120</v>
      </c>
      <c r="AY2396" t="s">
        <v>120</v>
      </c>
      <c r="AZ2396" t="s">
        <v>120</v>
      </c>
      <c r="BA2396" t="s">
        <v>120</v>
      </c>
      <c r="BB2396" t="s">
        <v>143</v>
      </c>
      <c r="BF2396">
        <v>0</v>
      </c>
      <c r="BG2396" t="s">
        <v>120</v>
      </c>
      <c r="BH2396" t="s">
        <v>120</v>
      </c>
      <c r="BI2396" t="s">
        <v>120</v>
      </c>
      <c r="BJ2396">
        <v>20210914</v>
      </c>
      <c r="BK2396" t="s">
        <v>120</v>
      </c>
      <c r="BL2396" t="s">
        <v>120</v>
      </c>
      <c r="BM2396" t="s">
        <v>120</v>
      </c>
      <c r="BN2396" t="s">
        <v>120</v>
      </c>
      <c r="BO2396">
        <v>16.04</v>
      </c>
      <c r="BP2396" t="s">
        <v>120</v>
      </c>
      <c r="BQ2396">
        <v>10</v>
      </c>
      <c r="BR2396" t="s">
        <v>120</v>
      </c>
      <c r="BS2396">
        <v>37.619999999999997</v>
      </c>
      <c r="BT2396">
        <v>7.99</v>
      </c>
      <c r="BU2396">
        <v>5.41</v>
      </c>
      <c r="BV2396">
        <v>0.76</v>
      </c>
      <c r="BW2396">
        <v>5.28</v>
      </c>
      <c r="BX2396">
        <v>1.64</v>
      </c>
      <c r="BY2396">
        <v>3.23</v>
      </c>
      <c r="BZ2396">
        <v>2.69</v>
      </c>
      <c r="CA2396" t="s">
        <v>120</v>
      </c>
      <c r="CB2396">
        <v>3.4</v>
      </c>
      <c r="CC2396">
        <v>12.07</v>
      </c>
      <c r="CD2396">
        <v>9.81</v>
      </c>
      <c r="CE2396">
        <v>1.04</v>
      </c>
      <c r="CF2396">
        <v>0</v>
      </c>
      <c r="CG2396">
        <v>1.04</v>
      </c>
      <c r="CH2396">
        <v>0.95</v>
      </c>
      <c r="CI2396">
        <v>0.95</v>
      </c>
      <c r="CJ2396" t="s">
        <v>120</v>
      </c>
      <c r="CK2396">
        <v>0.92</v>
      </c>
      <c r="CL2396">
        <v>5.59</v>
      </c>
      <c r="CM2396">
        <v>0.54</v>
      </c>
      <c r="CN2396">
        <v>-0.21</v>
      </c>
      <c r="CO2396">
        <v>0</v>
      </c>
      <c r="CP2396" t="s">
        <v>120</v>
      </c>
      <c r="CQ2396" t="s">
        <v>120</v>
      </c>
      <c r="CR2396">
        <v>0</v>
      </c>
      <c r="CS2396">
        <v>0</v>
      </c>
      <c r="CT2396" t="s">
        <v>120</v>
      </c>
      <c r="CU2396">
        <v>0</v>
      </c>
      <c r="CV2396">
        <v>0</v>
      </c>
      <c r="CW2396">
        <v>0</v>
      </c>
      <c r="CX2396" t="s">
        <v>2834</v>
      </c>
      <c r="CY2396" t="s">
        <v>120</v>
      </c>
      <c r="CZ2396">
        <v>0</v>
      </c>
      <c r="DA2396" t="s">
        <v>120</v>
      </c>
      <c r="DB2396" t="s">
        <v>120</v>
      </c>
      <c r="DC2396" t="s">
        <v>120</v>
      </c>
      <c r="DD2396">
        <v>62.38</v>
      </c>
      <c r="DE2396" t="s">
        <v>1882</v>
      </c>
      <c r="DF2396">
        <v>18.7</v>
      </c>
      <c r="DG2396">
        <v>8.6</v>
      </c>
      <c r="DH2396">
        <v>7.87</v>
      </c>
      <c r="DI2396">
        <v>0.43</v>
      </c>
      <c r="DJ2396" t="s">
        <v>120</v>
      </c>
      <c r="DK2396">
        <v>1218</v>
      </c>
      <c r="DL2396" t="s">
        <v>120</v>
      </c>
      <c r="DM2396" t="s">
        <v>120</v>
      </c>
      <c r="DN2396" t="s">
        <v>120</v>
      </c>
    </row>
    <row r="2397" spans="1:118">
      <c r="A2397" t="str">
        <f>"002710"</f>
        <v>002710</v>
      </c>
      <c r="B2397" t="s">
        <v>11161</v>
      </c>
      <c r="C2397" t="s">
        <v>120</v>
      </c>
      <c r="D2397" t="s">
        <v>120</v>
      </c>
      <c r="E2397" t="s">
        <v>120</v>
      </c>
      <c r="F2397">
        <v>0</v>
      </c>
      <c r="G2397" t="s">
        <v>120</v>
      </c>
      <c r="H2397">
        <v>0</v>
      </c>
      <c r="I2397">
        <v>0</v>
      </c>
      <c r="J2397" t="s">
        <v>120</v>
      </c>
      <c r="K2397" t="s">
        <v>120</v>
      </c>
      <c r="L2397" t="s">
        <v>120</v>
      </c>
      <c r="M2397">
        <v>0</v>
      </c>
      <c r="N2397" t="s">
        <v>120</v>
      </c>
      <c r="O2397" t="s">
        <v>120</v>
      </c>
      <c r="P2397" t="s">
        <v>120</v>
      </c>
      <c r="Q2397" t="s">
        <v>120</v>
      </c>
      <c r="R2397" t="s">
        <v>120</v>
      </c>
      <c r="S2397" t="s">
        <v>120</v>
      </c>
      <c r="T2397">
        <v>0</v>
      </c>
      <c r="U2397" t="s">
        <v>120</v>
      </c>
      <c r="V2397" t="s">
        <v>120</v>
      </c>
      <c r="W2397" t="s">
        <v>120</v>
      </c>
      <c r="Z2397" t="s">
        <v>120</v>
      </c>
      <c r="AA2397">
        <v>0</v>
      </c>
      <c r="AB2397">
        <v>0</v>
      </c>
      <c r="AC2397">
        <v>0</v>
      </c>
      <c r="AD2397" t="s">
        <v>120</v>
      </c>
      <c r="AE2397">
        <v>0</v>
      </c>
      <c r="AF2397">
        <v>0</v>
      </c>
      <c r="AG2397" t="s">
        <v>120</v>
      </c>
      <c r="AH2397" t="s">
        <v>120</v>
      </c>
      <c r="AI2397" t="s">
        <v>120</v>
      </c>
      <c r="AJ2397" t="s">
        <v>120</v>
      </c>
      <c r="AK2397" t="s">
        <v>120</v>
      </c>
      <c r="AL2397" t="s">
        <v>120</v>
      </c>
      <c r="AM2397">
        <v>0</v>
      </c>
      <c r="AN2397" t="s">
        <v>120</v>
      </c>
      <c r="AO2397" t="s">
        <v>120</v>
      </c>
      <c r="AP2397" t="s">
        <v>120</v>
      </c>
      <c r="AQ2397" t="s">
        <v>120</v>
      </c>
      <c r="AR2397" t="s">
        <v>120</v>
      </c>
      <c r="AS2397" t="s">
        <v>120</v>
      </c>
      <c r="AT2397" t="s">
        <v>120</v>
      </c>
      <c r="AU2397" t="s">
        <v>120</v>
      </c>
      <c r="AV2397">
        <v>0</v>
      </c>
      <c r="AW2397" t="s">
        <v>120</v>
      </c>
      <c r="AX2397" t="s">
        <v>120</v>
      </c>
      <c r="AY2397" t="s">
        <v>120</v>
      </c>
      <c r="AZ2397" t="s">
        <v>120</v>
      </c>
      <c r="BA2397" t="s">
        <v>120</v>
      </c>
      <c r="BB2397" t="s">
        <v>143</v>
      </c>
      <c r="BF2397">
        <v>0</v>
      </c>
      <c r="BG2397" t="s">
        <v>120</v>
      </c>
      <c r="BH2397" t="s">
        <v>120</v>
      </c>
      <c r="BI2397" t="s">
        <v>120</v>
      </c>
      <c r="BJ2397">
        <v>20190214</v>
      </c>
      <c r="BK2397" t="s">
        <v>120</v>
      </c>
      <c r="BL2397" t="s">
        <v>120</v>
      </c>
      <c r="BM2397" t="s">
        <v>120</v>
      </c>
      <c r="BN2397" t="s">
        <v>120</v>
      </c>
      <c r="BO2397">
        <v>7.63</v>
      </c>
      <c r="BP2397" t="s">
        <v>120</v>
      </c>
      <c r="BQ2397">
        <v>5.21</v>
      </c>
      <c r="BR2397">
        <v>0.21</v>
      </c>
      <c r="BS2397">
        <v>28.93</v>
      </c>
      <c r="BT2397">
        <v>2.81</v>
      </c>
      <c r="BU2397">
        <v>1.77</v>
      </c>
      <c r="BV2397">
        <v>0.03</v>
      </c>
      <c r="BW2397">
        <v>2.2000000000000002</v>
      </c>
      <c r="BX2397" t="s">
        <v>120</v>
      </c>
      <c r="BY2397">
        <v>0.1</v>
      </c>
      <c r="BZ2397">
        <v>1.5</v>
      </c>
      <c r="CA2397" t="s">
        <v>120</v>
      </c>
      <c r="CB2397">
        <v>2.42</v>
      </c>
      <c r="CC2397">
        <v>5.0999999999999996</v>
      </c>
      <c r="CD2397">
        <v>3.13</v>
      </c>
      <c r="CE2397">
        <v>0.48</v>
      </c>
      <c r="CF2397">
        <v>0</v>
      </c>
      <c r="CG2397">
        <v>0.48</v>
      </c>
      <c r="CH2397">
        <v>0.33</v>
      </c>
      <c r="CI2397">
        <v>0.34</v>
      </c>
      <c r="CJ2397" t="s">
        <v>120</v>
      </c>
      <c r="CK2397" t="s">
        <v>120</v>
      </c>
      <c r="CL2397">
        <v>1.47</v>
      </c>
      <c r="CM2397">
        <v>0.33</v>
      </c>
      <c r="CN2397">
        <v>-1.03</v>
      </c>
      <c r="CO2397">
        <v>0</v>
      </c>
      <c r="CP2397" t="s">
        <v>120</v>
      </c>
      <c r="CQ2397" t="s">
        <v>120</v>
      </c>
      <c r="CR2397">
        <v>0</v>
      </c>
      <c r="CS2397">
        <v>0</v>
      </c>
      <c r="CT2397" t="s">
        <v>120</v>
      </c>
      <c r="CU2397">
        <v>0</v>
      </c>
      <c r="CV2397">
        <v>0</v>
      </c>
      <c r="CW2397">
        <v>0</v>
      </c>
      <c r="CX2397" t="s">
        <v>11162</v>
      </c>
      <c r="CY2397" t="s">
        <v>120</v>
      </c>
      <c r="CZ2397">
        <v>0</v>
      </c>
      <c r="DA2397" t="s">
        <v>120</v>
      </c>
      <c r="DB2397" t="s">
        <v>120</v>
      </c>
      <c r="DC2397" t="s">
        <v>120</v>
      </c>
      <c r="DD2397">
        <v>68.37</v>
      </c>
      <c r="DE2397" t="s">
        <v>11163</v>
      </c>
      <c r="DF2397">
        <v>38.67</v>
      </c>
      <c r="DG2397">
        <v>9.33</v>
      </c>
      <c r="DH2397">
        <v>6.72</v>
      </c>
      <c r="DI2397" t="s">
        <v>120</v>
      </c>
      <c r="DJ2397" t="s">
        <v>120</v>
      </c>
      <c r="DK2397">
        <v>2710</v>
      </c>
      <c r="DL2397" t="s">
        <v>120</v>
      </c>
      <c r="DM2397" t="s">
        <v>120</v>
      </c>
      <c r="DN2397" t="s">
        <v>120</v>
      </c>
    </row>
    <row r="2398" spans="1:118">
      <c r="A2398" t="str">
        <f>"002720"</f>
        <v>002720</v>
      </c>
      <c r="B2398" t="s">
        <v>11164</v>
      </c>
      <c r="C2398" t="s">
        <v>120</v>
      </c>
      <c r="D2398" t="s">
        <v>120</v>
      </c>
      <c r="E2398" t="s">
        <v>120</v>
      </c>
      <c r="F2398">
        <v>0</v>
      </c>
      <c r="G2398" t="s">
        <v>120</v>
      </c>
      <c r="H2398">
        <v>0</v>
      </c>
      <c r="I2398">
        <v>0</v>
      </c>
      <c r="J2398" t="s">
        <v>120</v>
      </c>
      <c r="K2398" t="s">
        <v>11165</v>
      </c>
      <c r="L2398" t="s">
        <v>120</v>
      </c>
      <c r="M2398">
        <v>0</v>
      </c>
      <c r="N2398" t="s">
        <v>120</v>
      </c>
      <c r="O2398" t="s">
        <v>120</v>
      </c>
      <c r="P2398" t="s">
        <v>120</v>
      </c>
      <c r="Q2398" t="s">
        <v>120</v>
      </c>
      <c r="R2398" t="s">
        <v>120</v>
      </c>
      <c r="S2398" t="s">
        <v>120</v>
      </c>
      <c r="T2398">
        <v>0</v>
      </c>
      <c r="U2398" t="s">
        <v>120</v>
      </c>
      <c r="V2398" t="s">
        <v>120</v>
      </c>
      <c r="W2398" t="s">
        <v>120</v>
      </c>
      <c r="Z2398" t="s">
        <v>120</v>
      </c>
      <c r="AA2398">
        <v>0</v>
      </c>
      <c r="AB2398">
        <v>0</v>
      </c>
      <c r="AC2398">
        <v>0</v>
      </c>
      <c r="AD2398" t="s">
        <v>120</v>
      </c>
      <c r="AE2398">
        <v>0</v>
      </c>
      <c r="AF2398">
        <v>0</v>
      </c>
      <c r="AG2398" t="s">
        <v>120</v>
      </c>
      <c r="AH2398" t="s">
        <v>120</v>
      </c>
      <c r="AI2398" t="s">
        <v>120</v>
      </c>
      <c r="AJ2398">
        <v>1.88</v>
      </c>
      <c r="AK2398" t="s">
        <v>11165</v>
      </c>
      <c r="AL2398" t="s">
        <v>120</v>
      </c>
      <c r="AM2398">
        <v>0</v>
      </c>
      <c r="AN2398" t="s">
        <v>120</v>
      </c>
      <c r="AO2398" t="s">
        <v>120</v>
      </c>
      <c r="AP2398" t="s">
        <v>120</v>
      </c>
      <c r="AQ2398" t="s">
        <v>120</v>
      </c>
      <c r="AR2398" t="s">
        <v>120</v>
      </c>
      <c r="AS2398" t="s">
        <v>120</v>
      </c>
      <c r="AT2398" t="s">
        <v>120</v>
      </c>
      <c r="AU2398" t="s">
        <v>120</v>
      </c>
      <c r="AV2398">
        <v>0</v>
      </c>
      <c r="AW2398" t="s">
        <v>120</v>
      </c>
      <c r="AX2398" t="s">
        <v>120</v>
      </c>
      <c r="AY2398" t="s">
        <v>120</v>
      </c>
      <c r="AZ2398" t="s">
        <v>120</v>
      </c>
      <c r="BA2398" t="s">
        <v>120</v>
      </c>
      <c r="BB2398" t="s">
        <v>143</v>
      </c>
      <c r="BF2398">
        <v>0</v>
      </c>
      <c r="BG2398" t="s">
        <v>120</v>
      </c>
      <c r="BH2398" t="s">
        <v>120</v>
      </c>
      <c r="BI2398" t="s">
        <v>120</v>
      </c>
      <c r="BJ2398">
        <v>20170116</v>
      </c>
      <c r="BK2398" t="s">
        <v>120</v>
      </c>
      <c r="BL2398">
        <v>2.36</v>
      </c>
      <c r="BM2398" t="s">
        <v>120</v>
      </c>
      <c r="BN2398" t="s">
        <v>120</v>
      </c>
      <c r="BO2398">
        <v>21.48</v>
      </c>
      <c r="BP2398" t="s">
        <v>120</v>
      </c>
      <c r="BQ2398">
        <v>5.62</v>
      </c>
      <c r="BR2398" t="s">
        <v>120</v>
      </c>
      <c r="BS2398">
        <v>73.849999999999994</v>
      </c>
      <c r="BT2398">
        <v>19.920000000000002</v>
      </c>
      <c r="BU2398">
        <v>1.1499999999999999</v>
      </c>
      <c r="BV2398">
        <v>0.22</v>
      </c>
      <c r="BW2398">
        <v>15.63</v>
      </c>
      <c r="BX2398" t="s">
        <v>120</v>
      </c>
      <c r="BY2398">
        <v>12.81</v>
      </c>
      <c r="BZ2398">
        <v>3.4</v>
      </c>
      <c r="CA2398" t="s">
        <v>120</v>
      </c>
      <c r="CB2398">
        <v>0.64</v>
      </c>
      <c r="CC2398">
        <v>10.18</v>
      </c>
      <c r="CD2398">
        <v>7.67</v>
      </c>
      <c r="CE2398">
        <v>1.65</v>
      </c>
      <c r="CF2398">
        <v>0</v>
      </c>
      <c r="CG2398">
        <v>1.66</v>
      </c>
      <c r="CH2398">
        <v>1.66</v>
      </c>
      <c r="CI2398">
        <v>1.41</v>
      </c>
      <c r="CJ2398" t="s">
        <v>120</v>
      </c>
      <c r="CK2398" t="s">
        <v>120</v>
      </c>
      <c r="CL2398">
        <v>3.38</v>
      </c>
      <c r="CM2398">
        <v>0</v>
      </c>
      <c r="CN2398">
        <v>0</v>
      </c>
      <c r="CO2398">
        <v>0</v>
      </c>
      <c r="CP2398" t="s">
        <v>120</v>
      </c>
      <c r="CQ2398" t="s">
        <v>120</v>
      </c>
      <c r="CR2398">
        <v>62.65</v>
      </c>
      <c r="CS2398">
        <v>29.51</v>
      </c>
      <c r="CT2398">
        <v>0</v>
      </c>
      <c r="CU2398">
        <v>0</v>
      </c>
      <c r="CV2398">
        <v>0</v>
      </c>
      <c r="CW2398">
        <v>0</v>
      </c>
      <c r="CX2398" t="s">
        <v>11166</v>
      </c>
      <c r="CY2398">
        <v>2.38</v>
      </c>
      <c r="CZ2398">
        <v>0</v>
      </c>
      <c r="DA2398">
        <v>0.27</v>
      </c>
      <c r="DB2398">
        <v>1.43</v>
      </c>
      <c r="DC2398">
        <v>0</v>
      </c>
      <c r="DD2398">
        <v>26.15</v>
      </c>
      <c r="DE2398" t="s">
        <v>11167</v>
      </c>
      <c r="DF2398">
        <v>24.67</v>
      </c>
      <c r="DG2398">
        <v>16.21</v>
      </c>
      <c r="DH2398">
        <v>13.86</v>
      </c>
      <c r="DI2398" t="s">
        <v>120</v>
      </c>
      <c r="DJ2398" t="s">
        <v>120</v>
      </c>
      <c r="DK2398">
        <v>2720</v>
      </c>
      <c r="DL2398" t="s">
        <v>120</v>
      </c>
      <c r="DM2398" t="s">
        <v>120</v>
      </c>
      <c r="DN2398" t="s">
        <v>120</v>
      </c>
    </row>
    <row r="2399" spans="1:118">
      <c r="A2399" t="str">
        <f>"300728"</f>
        <v>300728</v>
      </c>
      <c r="B2399" t="s">
        <v>11168</v>
      </c>
      <c r="C2399" t="s">
        <v>120</v>
      </c>
      <c r="D2399" t="s">
        <v>120</v>
      </c>
      <c r="E2399" t="s">
        <v>120</v>
      </c>
      <c r="F2399">
        <v>0</v>
      </c>
      <c r="G2399" t="s">
        <v>120</v>
      </c>
      <c r="H2399">
        <v>0</v>
      </c>
      <c r="I2399">
        <v>0</v>
      </c>
      <c r="J2399" t="s">
        <v>120</v>
      </c>
      <c r="K2399" t="s">
        <v>120</v>
      </c>
      <c r="L2399" t="s">
        <v>120</v>
      </c>
      <c r="M2399">
        <v>0</v>
      </c>
      <c r="N2399" t="s">
        <v>120</v>
      </c>
      <c r="O2399" t="s">
        <v>120</v>
      </c>
      <c r="P2399" t="s">
        <v>120</v>
      </c>
      <c r="Q2399" t="s">
        <v>120</v>
      </c>
      <c r="R2399" t="s">
        <v>120</v>
      </c>
      <c r="S2399" t="s">
        <v>120</v>
      </c>
      <c r="T2399">
        <v>0</v>
      </c>
      <c r="U2399" t="s">
        <v>120</v>
      </c>
      <c r="V2399" t="s">
        <v>120</v>
      </c>
      <c r="W2399" t="s">
        <v>120</v>
      </c>
      <c r="X2399" t="s">
        <v>1991</v>
      </c>
      <c r="Y2399" t="s">
        <v>319</v>
      </c>
      <c r="Z2399" t="s">
        <v>120</v>
      </c>
      <c r="AA2399">
        <v>0</v>
      </c>
      <c r="AB2399">
        <v>0</v>
      </c>
      <c r="AC2399">
        <v>0</v>
      </c>
      <c r="AD2399" t="s">
        <v>120</v>
      </c>
      <c r="AE2399">
        <v>0</v>
      </c>
      <c r="AF2399">
        <v>0</v>
      </c>
      <c r="AG2399" t="s">
        <v>120</v>
      </c>
      <c r="AH2399" t="s">
        <v>120</v>
      </c>
      <c r="AI2399" t="s">
        <v>120</v>
      </c>
      <c r="AJ2399" t="s">
        <v>120</v>
      </c>
      <c r="AK2399" t="s">
        <v>120</v>
      </c>
      <c r="AL2399" t="s">
        <v>120</v>
      </c>
      <c r="AM2399">
        <v>0</v>
      </c>
      <c r="AN2399" t="s">
        <v>120</v>
      </c>
      <c r="AO2399" t="s">
        <v>120</v>
      </c>
      <c r="AP2399" t="s">
        <v>120</v>
      </c>
      <c r="AQ2399" t="s">
        <v>120</v>
      </c>
      <c r="AR2399" t="s">
        <v>120</v>
      </c>
      <c r="AS2399" t="s">
        <v>120</v>
      </c>
      <c r="AT2399" t="s">
        <v>120</v>
      </c>
      <c r="AU2399" t="s">
        <v>120</v>
      </c>
      <c r="AV2399">
        <v>0</v>
      </c>
      <c r="AW2399" t="s">
        <v>120</v>
      </c>
      <c r="AX2399" t="s">
        <v>120</v>
      </c>
      <c r="AY2399" t="s">
        <v>120</v>
      </c>
      <c r="AZ2399" t="s">
        <v>120</v>
      </c>
      <c r="BA2399" t="s">
        <v>120</v>
      </c>
      <c r="BB2399" t="s">
        <v>143</v>
      </c>
      <c r="BF2399">
        <v>0</v>
      </c>
      <c r="BG2399" t="s">
        <v>120</v>
      </c>
      <c r="BH2399" t="s">
        <v>120</v>
      </c>
      <c r="BI2399" t="s">
        <v>120</v>
      </c>
      <c r="BJ2399">
        <v>20210719</v>
      </c>
      <c r="BK2399" t="s">
        <v>120</v>
      </c>
      <c r="BL2399" t="s">
        <v>120</v>
      </c>
      <c r="BM2399" t="s">
        <v>120</v>
      </c>
      <c r="BN2399" t="s">
        <v>120</v>
      </c>
      <c r="BO2399">
        <v>8.66</v>
      </c>
      <c r="BP2399" t="s">
        <v>120</v>
      </c>
      <c r="BQ2399">
        <v>4.63</v>
      </c>
      <c r="BR2399" t="s">
        <v>120</v>
      </c>
      <c r="BS2399">
        <v>46.56</v>
      </c>
      <c r="BT2399">
        <v>0</v>
      </c>
      <c r="BU2399">
        <v>0</v>
      </c>
      <c r="BV2399">
        <v>0</v>
      </c>
      <c r="BW2399">
        <v>0</v>
      </c>
      <c r="BX2399" t="s">
        <v>120</v>
      </c>
      <c r="BY2399">
        <v>0</v>
      </c>
      <c r="BZ2399">
        <v>0</v>
      </c>
      <c r="CA2399" t="s">
        <v>120</v>
      </c>
      <c r="CB2399">
        <v>0</v>
      </c>
      <c r="CC2399">
        <v>3.25</v>
      </c>
      <c r="CD2399">
        <v>0</v>
      </c>
      <c r="CE2399">
        <v>0.35</v>
      </c>
      <c r="CF2399">
        <v>0</v>
      </c>
      <c r="CG2399">
        <v>0.35</v>
      </c>
      <c r="CH2399">
        <v>0.35</v>
      </c>
      <c r="CI2399">
        <v>0.32</v>
      </c>
      <c r="CJ2399" t="s">
        <v>120</v>
      </c>
      <c r="CK2399" t="s">
        <v>120</v>
      </c>
      <c r="CL2399">
        <v>0</v>
      </c>
      <c r="CM2399">
        <v>-0.47</v>
      </c>
      <c r="CN2399">
        <v>-0.16</v>
      </c>
      <c r="CO2399">
        <v>0</v>
      </c>
      <c r="CP2399" t="s">
        <v>120</v>
      </c>
      <c r="CQ2399" t="s">
        <v>120</v>
      </c>
      <c r="CR2399">
        <v>0</v>
      </c>
      <c r="CS2399">
        <v>0</v>
      </c>
      <c r="CT2399" t="s">
        <v>120</v>
      </c>
      <c r="CU2399">
        <v>0</v>
      </c>
      <c r="CV2399">
        <v>0</v>
      </c>
      <c r="CW2399">
        <v>0</v>
      </c>
      <c r="CX2399" t="s">
        <v>11162</v>
      </c>
      <c r="CY2399" t="s">
        <v>120</v>
      </c>
      <c r="CZ2399">
        <v>0</v>
      </c>
      <c r="DA2399" t="s">
        <v>120</v>
      </c>
      <c r="DB2399" t="s">
        <v>120</v>
      </c>
      <c r="DC2399" t="s">
        <v>120</v>
      </c>
      <c r="DD2399">
        <v>53.44</v>
      </c>
      <c r="DE2399" t="s">
        <v>11169</v>
      </c>
      <c r="DF2399" t="s">
        <v>120</v>
      </c>
      <c r="DG2399">
        <v>10.91</v>
      </c>
      <c r="DH2399">
        <v>9.7799999999999994</v>
      </c>
      <c r="DI2399" t="s">
        <v>120</v>
      </c>
      <c r="DJ2399" t="s">
        <v>120</v>
      </c>
      <c r="DK2399">
        <v>300728</v>
      </c>
      <c r="DL2399" t="s">
        <v>120</v>
      </c>
      <c r="DM2399" t="s">
        <v>120</v>
      </c>
      <c r="DN2399" t="s">
        <v>120</v>
      </c>
    </row>
    <row r="2400" spans="1:118">
      <c r="A2400" t="str">
        <f>"301063"</f>
        <v>301063</v>
      </c>
      <c r="B2400" t="s">
        <v>11170</v>
      </c>
      <c r="C2400" t="s">
        <v>120</v>
      </c>
      <c r="D2400" t="s">
        <v>120</v>
      </c>
      <c r="E2400" t="s">
        <v>120</v>
      </c>
      <c r="F2400">
        <v>0</v>
      </c>
      <c r="G2400" t="s">
        <v>120</v>
      </c>
      <c r="H2400">
        <v>0</v>
      </c>
      <c r="I2400">
        <v>0</v>
      </c>
      <c r="J2400" t="s">
        <v>120</v>
      </c>
      <c r="K2400" t="s">
        <v>120</v>
      </c>
      <c r="L2400" t="s">
        <v>120</v>
      </c>
      <c r="M2400">
        <v>0</v>
      </c>
      <c r="N2400" t="s">
        <v>120</v>
      </c>
      <c r="O2400" t="s">
        <v>120</v>
      </c>
      <c r="P2400" t="s">
        <v>120</v>
      </c>
      <c r="Q2400" t="s">
        <v>120</v>
      </c>
      <c r="R2400" t="s">
        <v>120</v>
      </c>
      <c r="S2400" t="s">
        <v>120</v>
      </c>
      <c r="T2400">
        <v>0</v>
      </c>
      <c r="U2400" t="s">
        <v>120</v>
      </c>
      <c r="V2400" t="s">
        <v>120</v>
      </c>
      <c r="W2400" t="s">
        <v>120</v>
      </c>
      <c r="X2400" t="s">
        <v>394</v>
      </c>
      <c r="Y2400" t="s">
        <v>319</v>
      </c>
      <c r="Z2400" t="s">
        <v>120</v>
      </c>
      <c r="AA2400">
        <v>0</v>
      </c>
      <c r="AB2400">
        <v>0</v>
      </c>
      <c r="AC2400">
        <v>0</v>
      </c>
      <c r="AD2400" t="s">
        <v>120</v>
      </c>
      <c r="AE2400">
        <v>0</v>
      </c>
      <c r="AF2400">
        <v>0</v>
      </c>
      <c r="AG2400" t="s">
        <v>120</v>
      </c>
      <c r="AH2400" t="s">
        <v>120</v>
      </c>
      <c r="AI2400" t="s">
        <v>120</v>
      </c>
      <c r="AJ2400" t="s">
        <v>120</v>
      </c>
      <c r="AK2400" t="s">
        <v>120</v>
      </c>
      <c r="AL2400" t="s">
        <v>120</v>
      </c>
      <c r="AM2400">
        <v>0</v>
      </c>
      <c r="AN2400" t="s">
        <v>120</v>
      </c>
      <c r="AO2400" t="s">
        <v>120</v>
      </c>
      <c r="AP2400" t="s">
        <v>120</v>
      </c>
      <c r="AQ2400" t="s">
        <v>120</v>
      </c>
      <c r="AR2400" t="s">
        <v>120</v>
      </c>
      <c r="AS2400" t="s">
        <v>120</v>
      </c>
      <c r="AT2400" t="s">
        <v>120</v>
      </c>
      <c r="AU2400" t="s">
        <v>120</v>
      </c>
      <c r="AV2400">
        <v>0</v>
      </c>
      <c r="AW2400" t="s">
        <v>120</v>
      </c>
      <c r="AX2400" t="s">
        <v>120</v>
      </c>
      <c r="AY2400" t="s">
        <v>120</v>
      </c>
      <c r="AZ2400" t="s">
        <v>120</v>
      </c>
      <c r="BA2400" t="s">
        <v>120</v>
      </c>
      <c r="BB2400" t="s">
        <v>143</v>
      </c>
      <c r="BF2400">
        <v>0</v>
      </c>
      <c r="BG2400" t="s">
        <v>120</v>
      </c>
      <c r="BH2400" t="s">
        <v>120</v>
      </c>
      <c r="BI2400" t="s">
        <v>120</v>
      </c>
      <c r="BJ2400">
        <v>20210830</v>
      </c>
      <c r="BK2400" t="s">
        <v>120</v>
      </c>
      <c r="BL2400" t="s">
        <v>120</v>
      </c>
      <c r="BM2400" t="s">
        <v>120</v>
      </c>
      <c r="BN2400" t="s">
        <v>120</v>
      </c>
      <c r="BO2400">
        <v>11.19</v>
      </c>
      <c r="BP2400" t="s">
        <v>120</v>
      </c>
      <c r="BQ2400">
        <v>5.72</v>
      </c>
      <c r="BR2400" t="s">
        <v>120</v>
      </c>
      <c r="BS2400">
        <v>48.88</v>
      </c>
      <c r="BT2400">
        <v>8.93</v>
      </c>
      <c r="BU2400">
        <v>1.83</v>
      </c>
      <c r="BV2400">
        <v>0.25</v>
      </c>
      <c r="BW2400">
        <v>5.16</v>
      </c>
      <c r="BX2400">
        <v>1.1399999999999999</v>
      </c>
      <c r="BY2400">
        <v>2.82</v>
      </c>
      <c r="BZ2400">
        <v>2.91</v>
      </c>
      <c r="CA2400" t="s">
        <v>120</v>
      </c>
      <c r="CB2400">
        <v>2.1800000000000002</v>
      </c>
      <c r="CC2400">
        <v>5.21</v>
      </c>
      <c r="CD2400">
        <v>4.32</v>
      </c>
      <c r="CE2400">
        <v>0.51</v>
      </c>
      <c r="CF2400">
        <v>0</v>
      </c>
      <c r="CG2400">
        <v>0.59</v>
      </c>
      <c r="CH2400">
        <v>0.53</v>
      </c>
      <c r="CI2400">
        <v>0.53</v>
      </c>
      <c r="CJ2400" t="s">
        <v>120</v>
      </c>
      <c r="CK2400">
        <v>0.44</v>
      </c>
      <c r="CL2400">
        <v>2.67</v>
      </c>
      <c r="CM2400">
        <v>-0.35</v>
      </c>
      <c r="CN2400">
        <v>-0.1</v>
      </c>
      <c r="CO2400">
        <v>0</v>
      </c>
      <c r="CP2400" t="s">
        <v>120</v>
      </c>
      <c r="CQ2400" t="s">
        <v>120</v>
      </c>
      <c r="CR2400">
        <v>0</v>
      </c>
      <c r="CS2400">
        <v>0</v>
      </c>
      <c r="CT2400" t="s">
        <v>120</v>
      </c>
      <c r="CU2400">
        <v>0</v>
      </c>
      <c r="CV2400">
        <v>0</v>
      </c>
      <c r="CW2400">
        <v>0</v>
      </c>
      <c r="CX2400" t="s">
        <v>2834</v>
      </c>
      <c r="CY2400" t="s">
        <v>120</v>
      </c>
      <c r="CZ2400">
        <v>0</v>
      </c>
      <c r="DA2400" t="s">
        <v>120</v>
      </c>
      <c r="DB2400" t="s">
        <v>120</v>
      </c>
      <c r="DC2400" t="s">
        <v>120</v>
      </c>
      <c r="DD2400">
        <v>51.12</v>
      </c>
      <c r="DE2400" t="s">
        <v>7062</v>
      </c>
      <c r="DF2400">
        <v>17.02</v>
      </c>
      <c r="DG2400">
        <v>9.7200000000000006</v>
      </c>
      <c r="DH2400">
        <v>10.119999999999999</v>
      </c>
      <c r="DI2400">
        <v>0.16</v>
      </c>
      <c r="DJ2400">
        <v>502</v>
      </c>
      <c r="DK2400">
        <v>301063</v>
      </c>
      <c r="DL2400" t="s">
        <v>120</v>
      </c>
      <c r="DM2400" t="s">
        <v>120</v>
      </c>
      <c r="DN2400" t="s">
        <v>120</v>
      </c>
    </row>
    <row r="2401" spans="1:118">
      <c r="A2401" t="str">
        <f>"301066"</f>
        <v>301066</v>
      </c>
      <c r="B2401" t="s">
        <v>11171</v>
      </c>
      <c r="C2401" t="s">
        <v>120</v>
      </c>
      <c r="D2401" t="s">
        <v>120</v>
      </c>
      <c r="E2401" t="s">
        <v>120</v>
      </c>
      <c r="F2401">
        <v>0</v>
      </c>
      <c r="G2401" t="s">
        <v>120</v>
      </c>
      <c r="H2401">
        <v>0</v>
      </c>
      <c r="I2401">
        <v>0</v>
      </c>
      <c r="J2401" t="s">
        <v>120</v>
      </c>
      <c r="K2401" t="s">
        <v>120</v>
      </c>
      <c r="L2401" t="s">
        <v>120</v>
      </c>
      <c r="M2401">
        <v>0</v>
      </c>
      <c r="N2401" t="s">
        <v>120</v>
      </c>
      <c r="O2401" t="s">
        <v>120</v>
      </c>
      <c r="P2401" t="s">
        <v>120</v>
      </c>
      <c r="Q2401" t="s">
        <v>120</v>
      </c>
      <c r="R2401" t="s">
        <v>120</v>
      </c>
      <c r="S2401" t="s">
        <v>120</v>
      </c>
      <c r="T2401">
        <v>0</v>
      </c>
      <c r="U2401" t="s">
        <v>120</v>
      </c>
      <c r="V2401" t="s">
        <v>120</v>
      </c>
      <c r="W2401" t="s">
        <v>120</v>
      </c>
      <c r="X2401" t="s">
        <v>1766</v>
      </c>
      <c r="Y2401" t="s">
        <v>585</v>
      </c>
      <c r="Z2401" t="s">
        <v>120</v>
      </c>
      <c r="AA2401">
        <v>0</v>
      </c>
      <c r="AB2401">
        <v>0</v>
      </c>
      <c r="AC2401">
        <v>0</v>
      </c>
      <c r="AD2401" t="s">
        <v>120</v>
      </c>
      <c r="AE2401">
        <v>0</v>
      </c>
      <c r="AF2401">
        <v>0</v>
      </c>
      <c r="AG2401" t="s">
        <v>120</v>
      </c>
      <c r="AH2401" t="s">
        <v>120</v>
      </c>
      <c r="AI2401" t="s">
        <v>120</v>
      </c>
      <c r="AJ2401" t="s">
        <v>120</v>
      </c>
      <c r="AK2401" t="s">
        <v>120</v>
      </c>
      <c r="AL2401" t="s">
        <v>120</v>
      </c>
      <c r="AM2401">
        <v>0</v>
      </c>
      <c r="AN2401" t="s">
        <v>120</v>
      </c>
      <c r="AO2401" t="s">
        <v>120</v>
      </c>
      <c r="AP2401" t="s">
        <v>120</v>
      </c>
      <c r="AQ2401" t="s">
        <v>120</v>
      </c>
      <c r="AR2401" t="s">
        <v>120</v>
      </c>
      <c r="AS2401" t="s">
        <v>120</v>
      </c>
      <c r="AT2401" t="s">
        <v>120</v>
      </c>
      <c r="AU2401" t="s">
        <v>120</v>
      </c>
      <c r="AV2401">
        <v>0</v>
      </c>
      <c r="AW2401" t="s">
        <v>120</v>
      </c>
      <c r="AX2401" t="s">
        <v>120</v>
      </c>
      <c r="AY2401" t="s">
        <v>120</v>
      </c>
      <c r="AZ2401" t="s">
        <v>120</v>
      </c>
      <c r="BA2401" t="s">
        <v>120</v>
      </c>
      <c r="BB2401" t="s">
        <v>143</v>
      </c>
      <c r="BF2401">
        <v>0</v>
      </c>
      <c r="BG2401" t="s">
        <v>120</v>
      </c>
      <c r="BH2401" t="s">
        <v>120</v>
      </c>
      <c r="BI2401" t="s">
        <v>120</v>
      </c>
      <c r="BJ2401">
        <v>20210901</v>
      </c>
      <c r="BK2401" t="s">
        <v>120</v>
      </c>
      <c r="BL2401" t="s">
        <v>120</v>
      </c>
      <c r="BM2401" t="s">
        <v>120</v>
      </c>
      <c r="BN2401" t="s">
        <v>120</v>
      </c>
      <c r="BO2401">
        <v>7.08</v>
      </c>
      <c r="BP2401" t="s">
        <v>120</v>
      </c>
      <c r="BQ2401">
        <v>5.23</v>
      </c>
      <c r="BR2401">
        <v>0.01</v>
      </c>
      <c r="BS2401">
        <v>26.04</v>
      </c>
      <c r="BT2401">
        <v>5.4</v>
      </c>
      <c r="BU2401">
        <v>1.01</v>
      </c>
      <c r="BV2401">
        <v>0.12</v>
      </c>
      <c r="BW2401">
        <v>1.69</v>
      </c>
      <c r="BX2401">
        <v>2.74</v>
      </c>
      <c r="BY2401">
        <v>1.43</v>
      </c>
      <c r="BZ2401">
        <v>0.95</v>
      </c>
      <c r="CA2401" t="s">
        <v>120</v>
      </c>
      <c r="CB2401">
        <v>1.72</v>
      </c>
      <c r="CC2401">
        <v>3.23</v>
      </c>
      <c r="CD2401">
        <v>1.81</v>
      </c>
      <c r="CE2401">
        <v>0.41</v>
      </c>
      <c r="CF2401">
        <v>0</v>
      </c>
      <c r="CG2401">
        <v>0.41</v>
      </c>
      <c r="CH2401">
        <v>0.36</v>
      </c>
      <c r="CI2401">
        <v>0.36</v>
      </c>
      <c r="CJ2401" t="s">
        <v>120</v>
      </c>
      <c r="CK2401">
        <v>0.33</v>
      </c>
      <c r="CL2401">
        <v>2.2799999999999998</v>
      </c>
      <c r="CM2401">
        <v>-0.21</v>
      </c>
      <c r="CN2401">
        <v>-0.47</v>
      </c>
      <c r="CO2401">
        <v>0</v>
      </c>
      <c r="CP2401" t="s">
        <v>120</v>
      </c>
      <c r="CQ2401" t="s">
        <v>120</v>
      </c>
      <c r="CR2401">
        <v>0</v>
      </c>
      <c r="CS2401">
        <v>0</v>
      </c>
      <c r="CT2401" t="s">
        <v>120</v>
      </c>
      <c r="CU2401">
        <v>0</v>
      </c>
      <c r="CV2401">
        <v>0</v>
      </c>
      <c r="CW2401">
        <v>0</v>
      </c>
      <c r="CX2401" t="s">
        <v>2834</v>
      </c>
      <c r="CY2401" t="s">
        <v>120</v>
      </c>
      <c r="CZ2401">
        <v>0</v>
      </c>
      <c r="DA2401" t="s">
        <v>120</v>
      </c>
      <c r="DB2401" t="s">
        <v>120</v>
      </c>
      <c r="DC2401" t="s">
        <v>120</v>
      </c>
      <c r="DD2401">
        <v>73.849999999999994</v>
      </c>
      <c r="DE2401" t="s">
        <v>1726</v>
      </c>
      <c r="DF2401">
        <v>44.05</v>
      </c>
      <c r="DG2401">
        <v>12.59</v>
      </c>
      <c r="DH2401">
        <v>11.16</v>
      </c>
      <c r="DI2401">
        <v>0.18</v>
      </c>
      <c r="DJ2401">
        <v>676</v>
      </c>
      <c r="DK2401">
        <v>301066</v>
      </c>
      <c r="DL2401" t="s">
        <v>120</v>
      </c>
      <c r="DM2401" t="s">
        <v>120</v>
      </c>
      <c r="DN2401" t="s">
        <v>120</v>
      </c>
    </row>
    <row r="2402" spans="1:118">
      <c r="A2402" t="str">
        <f>"301067"</f>
        <v>301067</v>
      </c>
      <c r="B2402" t="s">
        <v>11172</v>
      </c>
      <c r="C2402" t="s">
        <v>120</v>
      </c>
      <c r="D2402" t="s">
        <v>120</v>
      </c>
      <c r="E2402" t="s">
        <v>120</v>
      </c>
      <c r="F2402">
        <v>0</v>
      </c>
      <c r="G2402" t="s">
        <v>120</v>
      </c>
      <c r="H2402">
        <v>0</v>
      </c>
      <c r="I2402">
        <v>0</v>
      </c>
      <c r="J2402" t="s">
        <v>120</v>
      </c>
      <c r="K2402" t="s">
        <v>120</v>
      </c>
      <c r="L2402" t="s">
        <v>120</v>
      </c>
      <c r="M2402">
        <v>0</v>
      </c>
      <c r="N2402" t="s">
        <v>120</v>
      </c>
      <c r="O2402" t="s">
        <v>120</v>
      </c>
      <c r="P2402" t="s">
        <v>120</v>
      </c>
      <c r="Q2402" t="s">
        <v>120</v>
      </c>
      <c r="R2402" t="s">
        <v>120</v>
      </c>
      <c r="S2402" t="s">
        <v>120</v>
      </c>
      <c r="T2402">
        <v>0</v>
      </c>
      <c r="U2402" t="s">
        <v>120</v>
      </c>
      <c r="V2402" t="s">
        <v>120</v>
      </c>
      <c r="W2402" t="s">
        <v>120</v>
      </c>
      <c r="X2402" t="s">
        <v>229</v>
      </c>
      <c r="Y2402" t="s">
        <v>123</v>
      </c>
      <c r="Z2402" t="s">
        <v>120</v>
      </c>
      <c r="AA2402">
        <v>0</v>
      </c>
      <c r="AB2402">
        <v>0</v>
      </c>
      <c r="AC2402">
        <v>0</v>
      </c>
      <c r="AD2402" t="s">
        <v>120</v>
      </c>
      <c r="AE2402">
        <v>0</v>
      </c>
      <c r="AF2402">
        <v>0</v>
      </c>
      <c r="AG2402" t="s">
        <v>120</v>
      </c>
      <c r="AH2402" t="s">
        <v>120</v>
      </c>
      <c r="AI2402" t="s">
        <v>120</v>
      </c>
      <c r="AJ2402" t="s">
        <v>120</v>
      </c>
      <c r="AK2402" t="s">
        <v>120</v>
      </c>
      <c r="AL2402" t="s">
        <v>120</v>
      </c>
      <c r="AM2402">
        <v>0</v>
      </c>
      <c r="AN2402" t="s">
        <v>120</v>
      </c>
      <c r="AO2402" t="s">
        <v>120</v>
      </c>
      <c r="AP2402" t="s">
        <v>120</v>
      </c>
      <c r="AQ2402" t="s">
        <v>120</v>
      </c>
      <c r="AR2402" t="s">
        <v>120</v>
      </c>
      <c r="AS2402" t="s">
        <v>120</v>
      </c>
      <c r="AT2402" t="s">
        <v>120</v>
      </c>
      <c r="AU2402" t="s">
        <v>120</v>
      </c>
      <c r="AV2402">
        <v>0</v>
      </c>
      <c r="AW2402" t="s">
        <v>120</v>
      </c>
      <c r="AX2402" t="s">
        <v>120</v>
      </c>
      <c r="AY2402" t="s">
        <v>120</v>
      </c>
      <c r="AZ2402" t="s">
        <v>120</v>
      </c>
      <c r="BA2402" t="s">
        <v>120</v>
      </c>
      <c r="BB2402" t="s">
        <v>143</v>
      </c>
      <c r="BF2402">
        <v>0</v>
      </c>
      <c r="BG2402" t="s">
        <v>120</v>
      </c>
      <c r="BH2402" t="s">
        <v>120</v>
      </c>
      <c r="BI2402" t="s">
        <v>120</v>
      </c>
      <c r="BJ2402">
        <v>20210902</v>
      </c>
      <c r="BK2402" t="s">
        <v>120</v>
      </c>
      <c r="BL2402" t="s">
        <v>120</v>
      </c>
      <c r="BM2402" t="s">
        <v>120</v>
      </c>
      <c r="BN2402" t="s">
        <v>120</v>
      </c>
      <c r="BO2402">
        <v>4.22</v>
      </c>
      <c r="BP2402" t="s">
        <v>120</v>
      </c>
      <c r="BQ2402">
        <v>2.13</v>
      </c>
      <c r="BR2402" t="s">
        <v>120</v>
      </c>
      <c r="BS2402">
        <v>49.44</v>
      </c>
      <c r="BT2402">
        <v>2.64</v>
      </c>
      <c r="BU2402">
        <v>0.33</v>
      </c>
      <c r="BV2402">
        <v>0.79</v>
      </c>
      <c r="BW2402">
        <v>1.82</v>
      </c>
      <c r="BX2402">
        <v>0.51</v>
      </c>
      <c r="BY2402">
        <v>0.95</v>
      </c>
      <c r="BZ2402">
        <v>1.03</v>
      </c>
      <c r="CA2402" t="s">
        <v>120</v>
      </c>
      <c r="CB2402">
        <v>0.31</v>
      </c>
      <c r="CC2402">
        <v>2.3199999999999998</v>
      </c>
      <c r="CD2402">
        <v>1.72</v>
      </c>
      <c r="CE2402">
        <v>0.3</v>
      </c>
      <c r="CF2402">
        <v>0</v>
      </c>
      <c r="CG2402">
        <v>0.3</v>
      </c>
      <c r="CH2402">
        <v>0.27</v>
      </c>
      <c r="CI2402">
        <v>0.27</v>
      </c>
      <c r="CJ2402" t="s">
        <v>120</v>
      </c>
      <c r="CK2402">
        <v>0.24</v>
      </c>
      <c r="CL2402">
        <v>1.24</v>
      </c>
      <c r="CM2402">
        <v>0.3</v>
      </c>
      <c r="CN2402">
        <v>-0.28000000000000003</v>
      </c>
      <c r="CO2402">
        <v>0</v>
      </c>
      <c r="CP2402" t="s">
        <v>120</v>
      </c>
      <c r="CQ2402" t="s">
        <v>120</v>
      </c>
      <c r="CR2402">
        <v>0</v>
      </c>
      <c r="CS2402">
        <v>0</v>
      </c>
      <c r="CT2402" t="s">
        <v>120</v>
      </c>
      <c r="CU2402">
        <v>0</v>
      </c>
      <c r="CV2402">
        <v>0</v>
      </c>
      <c r="CW2402">
        <v>0</v>
      </c>
      <c r="CX2402" t="s">
        <v>2834</v>
      </c>
      <c r="CY2402" t="s">
        <v>120</v>
      </c>
      <c r="CZ2402">
        <v>0</v>
      </c>
      <c r="DA2402" t="s">
        <v>120</v>
      </c>
      <c r="DB2402" t="s">
        <v>120</v>
      </c>
      <c r="DC2402" t="s">
        <v>120</v>
      </c>
      <c r="DD2402">
        <v>50.56</v>
      </c>
      <c r="DE2402" t="s">
        <v>11173</v>
      </c>
      <c r="DF2402">
        <v>25.95</v>
      </c>
      <c r="DG2402">
        <v>12.79</v>
      </c>
      <c r="DH2402">
        <v>11.51</v>
      </c>
      <c r="DI2402">
        <v>0.12</v>
      </c>
      <c r="DJ2402">
        <v>969</v>
      </c>
      <c r="DK2402">
        <v>301067</v>
      </c>
      <c r="DL2402" t="s">
        <v>120</v>
      </c>
      <c r="DM2402" t="s">
        <v>120</v>
      </c>
      <c r="DN2402" t="s">
        <v>120</v>
      </c>
    </row>
    <row r="2403" spans="1:118">
      <c r="A2403" t="str">
        <f>"301068"</f>
        <v>301068</v>
      </c>
      <c r="B2403" t="s">
        <v>11174</v>
      </c>
      <c r="C2403" t="s">
        <v>120</v>
      </c>
      <c r="D2403" t="s">
        <v>120</v>
      </c>
      <c r="E2403" t="s">
        <v>120</v>
      </c>
      <c r="F2403">
        <v>0</v>
      </c>
      <c r="G2403" t="s">
        <v>120</v>
      </c>
      <c r="H2403">
        <v>0</v>
      </c>
      <c r="I2403">
        <v>0</v>
      </c>
      <c r="J2403" t="s">
        <v>120</v>
      </c>
      <c r="K2403" t="s">
        <v>120</v>
      </c>
      <c r="L2403" t="s">
        <v>120</v>
      </c>
      <c r="M2403">
        <v>0</v>
      </c>
      <c r="N2403" t="s">
        <v>120</v>
      </c>
      <c r="O2403" t="s">
        <v>120</v>
      </c>
      <c r="P2403" t="s">
        <v>120</v>
      </c>
      <c r="Q2403" t="s">
        <v>120</v>
      </c>
      <c r="R2403" t="s">
        <v>120</v>
      </c>
      <c r="S2403" t="s">
        <v>120</v>
      </c>
      <c r="T2403">
        <v>0</v>
      </c>
      <c r="U2403" t="s">
        <v>120</v>
      </c>
      <c r="V2403" t="s">
        <v>120</v>
      </c>
      <c r="W2403" t="s">
        <v>120</v>
      </c>
      <c r="X2403" t="s">
        <v>318</v>
      </c>
      <c r="Y2403" t="s">
        <v>585</v>
      </c>
      <c r="Z2403" t="s">
        <v>120</v>
      </c>
      <c r="AA2403">
        <v>0</v>
      </c>
      <c r="AB2403">
        <v>0</v>
      </c>
      <c r="AC2403">
        <v>0</v>
      </c>
      <c r="AD2403" t="s">
        <v>120</v>
      </c>
      <c r="AE2403">
        <v>0</v>
      </c>
      <c r="AF2403">
        <v>0</v>
      </c>
      <c r="AG2403" t="s">
        <v>120</v>
      </c>
      <c r="AH2403" t="s">
        <v>120</v>
      </c>
      <c r="AI2403" t="s">
        <v>120</v>
      </c>
      <c r="AJ2403" t="s">
        <v>120</v>
      </c>
      <c r="AK2403" t="s">
        <v>120</v>
      </c>
      <c r="AL2403" t="s">
        <v>120</v>
      </c>
      <c r="AM2403">
        <v>0</v>
      </c>
      <c r="AN2403" t="s">
        <v>120</v>
      </c>
      <c r="AO2403" t="s">
        <v>120</v>
      </c>
      <c r="AP2403" t="s">
        <v>120</v>
      </c>
      <c r="AQ2403" t="s">
        <v>120</v>
      </c>
      <c r="AR2403" t="s">
        <v>120</v>
      </c>
      <c r="AS2403" t="s">
        <v>120</v>
      </c>
      <c r="AT2403" t="s">
        <v>120</v>
      </c>
      <c r="AU2403" t="s">
        <v>120</v>
      </c>
      <c r="AV2403">
        <v>0</v>
      </c>
      <c r="AW2403" t="s">
        <v>120</v>
      </c>
      <c r="AX2403" t="s">
        <v>120</v>
      </c>
      <c r="AY2403" t="s">
        <v>120</v>
      </c>
      <c r="AZ2403" t="s">
        <v>120</v>
      </c>
      <c r="BA2403" t="s">
        <v>120</v>
      </c>
      <c r="BB2403" t="s">
        <v>143</v>
      </c>
      <c r="BF2403">
        <v>0</v>
      </c>
      <c r="BG2403" t="s">
        <v>120</v>
      </c>
      <c r="BH2403" t="s">
        <v>120</v>
      </c>
      <c r="BI2403" t="s">
        <v>120</v>
      </c>
      <c r="BJ2403">
        <v>20210903</v>
      </c>
      <c r="BK2403" t="s">
        <v>120</v>
      </c>
      <c r="BL2403" t="s">
        <v>120</v>
      </c>
      <c r="BM2403" t="s">
        <v>120</v>
      </c>
      <c r="BN2403" t="s">
        <v>120</v>
      </c>
      <c r="BO2403">
        <v>10.62</v>
      </c>
      <c r="BP2403" t="s">
        <v>120</v>
      </c>
      <c r="BQ2403">
        <v>4.8</v>
      </c>
      <c r="BR2403" t="s">
        <v>120</v>
      </c>
      <c r="BS2403">
        <v>54.79</v>
      </c>
      <c r="BT2403">
        <v>5.28</v>
      </c>
      <c r="BU2403">
        <v>4.5199999999999996</v>
      </c>
      <c r="BV2403">
        <v>0.46</v>
      </c>
      <c r="BW2403">
        <v>2.68</v>
      </c>
      <c r="BX2403">
        <v>0.41</v>
      </c>
      <c r="BY2403">
        <v>0.09</v>
      </c>
      <c r="BZ2403">
        <v>4.3600000000000003</v>
      </c>
      <c r="CA2403" t="s">
        <v>120</v>
      </c>
      <c r="CB2403">
        <v>1.68</v>
      </c>
      <c r="CC2403">
        <v>2.0499999999999998</v>
      </c>
      <c r="CD2403">
        <v>1.41</v>
      </c>
      <c r="CE2403">
        <v>0.28000000000000003</v>
      </c>
      <c r="CF2403">
        <v>0</v>
      </c>
      <c r="CG2403">
        <v>0.28000000000000003</v>
      </c>
      <c r="CH2403">
        <v>0.3</v>
      </c>
      <c r="CI2403">
        <v>0.3</v>
      </c>
      <c r="CJ2403" t="s">
        <v>120</v>
      </c>
      <c r="CK2403">
        <v>0.28999999999999998</v>
      </c>
      <c r="CL2403">
        <v>2.35</v>
      </c>
      <c r="CM2403">
        <v>0.08</v>
      </c>
      <c r="CN2403">
        <v>0</v>
      </c>
      <c r="CO2403">
        <v>0</v>
      </c>
      <c r="CP2403" t="s">
        <v>120</v>
      </c>
      <c r="CQ2403" t="s">
        <v>120</v>
      </c>
      <c r="CR2403">
        <v>0</v>
      </c>
      <c r="CS2403">
        <v>0</v>
      </c>
      <c r="CT2403" t="s">
        <v>120</v>
      </c>
      <c r="CU2403">
        <v>0</v>
      </c>
      <c r="CV2403">
        <v>0</v>
      </c>
      <c r="CW2403">
        <v>0</v>
      </c>
      <c r="CX2403" t="s">
        <v>2834</v>
      </c>
      <c r="CY2403" t="s">
        <v>120</v>
      </c>
      <c r="CZ2403">
        <v>0</v>
      </c>
      <c r="DA2403" t="s">
        <v>120</v>
      </c>
      <c r="DB2403" t="s">
        <v>120</v>
      </c>
      <c r="DC2403" t="s">
        <v>120</v>
      </c>
      <c r="DD2403">
        <v>45.21</v>
      </c>
      <c r="DE2403" t="s">
        <v>8718</v>
      </c>
      <c r="DF2403">
        <v>31.26</v>
      </c>
      <c r="DG2403">
        <v>13.82</v>
      </c>
      <c r="DH2403">
        <v>14.48</v>
      </c>
      <c r="DI2403">
        <v>0.05</v>
      </c>
      <c r="DJ2403">
        <v>439</v>
      </c>
      <c r="DK2403">
        <v>301068</v>
      </c>
      <c r="DL2403" t="s">
        <v>120</v>
      </c>
      <c r="DM2403" t="s">
        <v>120</v>
      </c>
      <c r="DN2403" t="s">
        <v>120</v>
      </c>
    </row>
    <row r="2404" spans="1:118">
      <c r="A2404" t="str">
        <f>"301069"</f>
        <v>301069</v>
      </c>
      <c r="B2404" t="s">
        <v>11175</v>
      </c>
      <c r="C2404" t="s">
        <v>120</v>
      </c>
      <c r="D2404" t="s">
        <v>120</v>
      </c>
      <c r="E2404" t="s">
        <v>120</v>
      </c>
      <c r="F2404">
        <v>0</v>
      </c>
      <c r="G2404" t="s">
        <v>120</v>
      </c>
      <c r="H2404">
        <v>0</v>
      </c>
      <c r="I2404">
        <v>0</v>
      </c>
      <c r="J2404" t="s">
        <v>120</v>
      </c>
      <c r="K2404" t="s">
        <v>120</v>
      </c>
      <c r="L2404" t="s">
        <v>120</v>
      </c>
      <c r="M2404">
        <v>0</v>
      </c>
      <c r="N2404" t="s">
        <v>120</v>
      </c>
      <c r="O2404" t="s">
        <v>120</v>
      </c>
      <c r="P2404" t="s">
        <v>120</v>
      </c>
      <c r="Q2404" t="s">
        <v>120</v>
      </c>
      <c r="R2404" t="s">
        <v>120</v>
      </c>
      <c r="S2404" t="s">
        <v>120</v>
      </c>
      <c r="T2404">
        <v>0</v>
      </c>
      <c r="U2404" t="s">
        <v>120</v>
      </c>
      <c r="V2404" t="s">
        <v>120</v>
      </c>
      <c r="W2404" t="s">
        <v>120</v>
      </c>
      <c r="X2404" t="s">
        <v>868</v>
      </c>
      <c r="Y2404" t="s">
        <v>638</v>
      </c>
      <c r="Z2404" t="s">
        <v>120</v>
      </c>
      <c r="AA2404">
        <v>0</v>
      </c>
      <c r="AB2404">
        <v>0</v>
      </c>
      <c r="AC2404">
        <v>0</v>
      </c>
      <c r="AD2404" t="s">
        <v>120</v>
      </c>
      <c r="AE2404">
        <v>0</v>
      </c>
      <c r="AF2404">
        <v>0</v>
      </c>
      <c r="AG2404" t="s">
        <v>120</v>
      </c>
      <c r="AH2404" t="s">
        <v>120</v>
      </c>
      <c r="AI2404" t="s">
        <v>120</v>
      </c>
      <c r="AJ2404" t="s">
        <v>120</v>
      </c>
      <c r="AK2404" t="s">
        <v>120</v>
      </c>
      <c r="AL2404" t="s">
        <v>120</v>
      </c>
      <c r="AM2404">
        <v>0</v>
      </c>
      <c r="AN2404" t="s">
        <v>120</v>
      </c>
      <c r="AO2404" t="s">
        <v>120</v>
      </c>
      <c r="AP2404" t="s">
        <v>120</v>
      </c>
      <c r="AQ2404" t="s">
        <v>120</v>
      </c>
      <c r="AR2404" t="s">
        <v>120</v>
      </c>
      <c r="AS2404" t="s">
        <v>120</v>
      </c>
      <c r="AT2404" t="s">
        <v>120</v>
      </c>
      <c r="AU2404" t="s">
        <v>120</v>
      </c>
      <c r="AV2404">
        <v>0</v>
      </c>
      <c r="AW2404" t="s">
        <v>120</v>
      </c>
      <c r="AX2404" t="s">
        <v>120</v>
      </c>
      <c r="AY2404" t="s">
        <v>120</v>
      </c>
      <c r="AZ2404" t="s">
        <v>120</v>
      </c>
      <c r="BA2404" t="s">
        <v>120</v>
      </c>
      <c r="BB2404" t="s">
        <v>143</v>
      </c>
      <c r="BF2404">
        <v>0</v>
      </c>
      <c r="BG2404" t="s">
        <v>120</v>
      </c>
      <c r="BH2404" t="s">
        <v>120</v>
      </c>
      <c r="BI2404" t="s">
        <v>120</v>
      </c>
      <c r="BJ2404">
        <v>20210913</v>
      </c>
      <c r="BK2404" t="s">
        <v>120</v>
      </c>
      <c r="BL2404" t="s">
        <v>120</v>
      </c>
      <c r="BM2404" t="s">
        <v>120</v>
      </c>
      <c r="BN2404" t="s">
        <v>120</v>
      </c>
      <c r="BO2404">
        <v>9.92</v>
      </c>
      <c r="BP2404" t="s">
        <v>120</v>
      </c>
      <c r="BQ2404">
        <v>8.94</v>
      </c>
      <c r="BR2404" t="s">
        <v>120</v>
      </c>
      <c r="BS2404">
        <v>9.82</v>
      </c>
      <c r="BT2404">
        <v>5.62</v>
      </c>
      <c r="BU2404">
        <v>2.46</v>
      </c>
      <c r="BV2404">
        <v>0.94</v>
      </c>
      <c r="BW2404">
        <v>0.87</v>
      </c>
      <c r="BX2404">
        <v>1.49</v>
      </c>
      <c r="BY2404">
        <v>0.32</v>
      </c>
      <c r="BZ2404">
        <v>0.67</v>
      </c>
      <c r="CA2404">
        <v>0.01</v>
      </c>
      <c r="CB2404">
        <v>1.68</v>
      </c>
      <c r="CC2404">
        <v>3.99</v>
      </c>
      <c r="CD2404">
        <v>2.34</v>
      </c>
      <c r="CE2404">
        <v>1.1299999999999999</v>
      </c>
      <c r="CF2404">
        <v>0.01</v>
      </c>
      <c r="CG2404">
        <v>1.1200000000000001</v>
      </c>
      <c r="CH2404">
        <v>0.95</v>
      </c>
      <c r="CI2404">
        <v>0.95</v>
      </c>
      <c r="CJ2404" t="s">
        <v>120</v>
      </c>
      <c r="CK2404">
        <v>0.95</v>
      </c>
      <c r="CL2404">
        <v>2.93</v>
      </c>
      <c r="CM2404">
        <v>0.34</v>
      </c>
      <c r="CN2404">
        <v>-0.33</v>
      </c>
      <c r="CO2404">
        <v>0</v>
      </c>
      <c r="CP2404" t="s">
        <v>120</v>
      </c>
      <c r="CQ2404" t="s">
        <v>120</v>
      </c>
      <c r="CR2404">
        <v>0</v>
      </c>
      <c r="CS2404">
        <v>0</v>
      </c>
      <c r="CT2404" t="s">
        <v>120</v>
      </c>
      <c r="CU2404">
        <v>0</v>
      </c>
      <c r="CV2404">
        <v>0</v>
      </c>
      <c r="CW2404">
        <v>0</v>
      </c>
      <c r="CX2404" t="s">
        <v>2834</v>
      </c>
      <c r="CY2404" t="s">
        <v>120</v>
      </c>
      <c r="CZ2404">
        <v>0</v>
      </c>
      <c r="DA2404" t="s">
        <v>120</v>
      </c>
      <c r="DB2404" t="s">
        <v>120</v>
      </c>
      <c r="DC2404" t="s">
        <v>120</v>
      </c>
      <c r="DD2404">
        <v>90.18</v>
      </c>
      <c r="DE2404" t="s">
        <v>11176</v>
      </c>
      <c r="DF2404">
        <v>41.41</v>
      </c>
      <c r="DG2404">
        <v>28.22</v>
      </c>
      <c r="DH2404">
        <v>23.77</v>
      </c>
      <c r="DI2404">
        <v>0.16</v>
      </c>
      <c r="DJ2404">
        <v>549</v>
      </c>
      <c r="DK2404">
        <v>301069</v>
      </c>
      <c r="DL2404" t="s">
        <v>120</v>
      </c>
      <c r="DM2404" t="s">
        <v>120</v>
      </c>
      <c r="DN2404" t="s">
        <v>120</v>
      </c>
    </row>
    <row r="2405" spans="1:118">
      <c r="A2405" t="str">
        <f>"301070"</f>
        <v>301070</v>
      </c>
      <c r="B2405" t="s">
        <v>11177</v>
      </c>
      <c r="C2405" t="s">
        <v>120</v>
      </c>
      <c r="D2405" t="s">
        <v>120</v>
      </c>
      <c r="E2405" t="s">
        <v>120</v>
      </c>
      <c r="F2405">
        <v>0</v>
      </c>
      <c r="G2405" t="s">
        <v>120</v>
      </c>
      <c r="H2405">
        <v>0</v>
      </c>
      <c r="I2405">
        <v>0</v>
      </c>
      <c r="J2405" t="s">
        <v>120</v>
      </c>
      <c r="K2405" t="s">
        <v>120</v>
      </c>
      <c r="L2405" t="s">
        <v>120</v>
      </c>
      <c r="M2405">
        <v>0</v>
      </c>
      <c r="N2405" t="s">
        <v>120</v>
      </c>
      <c r="O2405" t="s">
        <v>120</v>
      </c>
      <c r="P2405" t="s">
        <v>120</v>
      </c>
      <c r="Q2405" t="s">
        <v>120</v>
      </c>
      <c r="R2405" t="s">
        <v>120</v>
      </c>
      <c r="S2405" t="s">
        <v>120</v>
      </c>
      <c r="T2405">
        <v>0</v>
      </c>
      <c r="U2405" t="s">
        <v>120</v>
      </c>
      <c r="V2405" t="s">
        <v>120</v>
      </c>
      <c r="W2405" t="s">
        <v>120</v>
      </c>
      <c r="X2405" t="s">
        <v>675</v>
      </c>
      <c r="Y2405" t="s">
        <v>1510</v>
      </c>
      <c r="Z2405" t="s">
        <v>120</v>
      </c>
      <c r="AA2405">
        <v>0</v>
      </c>
      <c r="AB2405">
        <v>0</v>
      </c>
      <c r="AC2405">
        <v>0</v>
      </c>
      <c r="AD2405" t="s">
        <v>120</v>
      </c>
      <c r="AE2405">
        <v>0</v>
      </c>
      <c r="AF2405">
        <v>0</v>
      </c>
      <c r="AG2405" t="s">
        <v>120</v>
      </c>
      <c r="AH2405" t="s">
        <v>120</v>
      </c>
      <c r="AI2405" t="s">
        <v>120</v>
      </c>
      <c r="AJ2405" t="s">
        <v>120</v>
      </c>
      <c r="AK2405" t="s">
        <v>120</v>
      </c>
      <c r="AL2405" t="s">
        <v>120</v>
      </c>
      <c r="AM2405">
        <v>0</v>
      </c>
      <c r="AN2405" t="s">
        <v>120</v>
      </c>
      <c r="AO2405" t="s">
        <v>120</v>
      </c>
      <c r="AP2405" t="s">
        <v>120</v>
      </c>
      <c r="AQ2405" t="s">
        <v>120</v>
      </c>
      <c r="AR2405" t="s">
        <v>120</v>
      </c>
      <c r="AS2405" t="s">
        <v>120</v>
      </c>
      <c r="AT2405" t="s">
        <v>120</v>
      </c>
      <c r="AU2405" t="s">
        <v>120</v>
      </c>
      <c r="AV2405">
        <v>0</v>
      </c>
      <c r="AW2405" t="s">
        <v>120</v>
      </c>
      <c r="AX2405" t="s">
        <v>120</v>
      </c>
      <c r="AY2405" t="s">
        <v>120</v>
      </c>
      <c r="AZ2405" t="s">
        <v>120</v>
      </c>
      <c r="BA2405" t="s">
        <v>120</v>
      </c>
      <c r="BB2405" t="s">
        <v>143</v>
      </c>
      <c r="BF2405">
        <v>0</v>
      </c>
      <c r="BG2405" t="s">
        <v>120</v>
      </c>
      <c r="BH2405" t="s">
        <v>120</v>
      </c>
      <c r="BI2405" t="s">
        <v>120</v>
      </c>
      <c r="BJ2405">
        <v>20210907</v>
      </c>
      <c r="BK2405" t="s">
        <v>120</v>
      </c>
      <c r="BL2405" t="s">
        <v>120</v>
      </c>
      <c r="BM2405" t="s">
        <v>120</v>
      </c>
      <c r="BN2405" t="s">
        <v>120</v>
      </c>
      <c r="BO2405">
        <v>5.17</v>
      </c>
      <c r="BP2405" t="s">
        <v>120</v>
      </c>
      <c r="BQ2405">
        <v>3.76</v>
      </c>
      <c r="BR2405">
        <v>0.03</v>
      </c>
      <c r="BS2405">
        <v>26.6</v>
      </c>
      <c r="BT2405">
        <v>3.53</v>
      </c>
      <c r="BU2405">
        <v>0.3</v>
      </c>
      <c r="BV2405">
        <v>0.27</v>
      </c>
      <c r="BW2405">
        <v>1.0900000000000001</v>
      </c>
      <c r="BX2405">
        <v>0.92</v>
      </c>
      <c r="BY2405">
        <v>0.62</v>
      </c>
      <c r="BZ2405">
        <v>0.79</v>
      </c>
      <c r="CA2405" t="s">
        <v>120</v>
      </c>
      <c r="CB2405">
        <v>0.46</v>
      </c>
      <c r="CC2405">
        <v>1.47</v>
      </c>
      <c r="CD2405">
        <v>0.82</v>
      </c>
      <c r="CE2405">
        <v>0.33</v>
      </c>
      <c r="CF2405">
        <v>0.01</v>
      </c>
      <c r="CG2405">
        <v>0.33</v>
      </c>
      <c r="CH2405">
        <v>0.3</v>
      </c>
      <c r="CI2405">
        <v>0.28999999999999998</v>
      </c>
      <c r="CJ2405" t="s">
        <v>120</v>
      </c>
      <c r="CK2405">
        <v>0.23</v>
      </c>
      <c r="CL2405">
        <v>2.58</v>
      </c>
      <c r="CM2405">
        <v>0.27</v>
      </c>
      <c r="CN2405">
        <v>-0.32</v>
      </c>
      <c r="CO2405">
        <v>0</v>
      </c>
      <c r="CP2405" t="s">
        <v>120</v>
      </c>
      <c r="CQ2405" t="s">
        <v>120</v>
      </c>
      <c r="CR2405">
        <v>0</v>
      </c>
      <c r="CS2405">
        <v>0</v>
      </c>
      <c r="CT2405" t="s">
        <v>120</v>
      </c>
      <c r="CU2405">
        <v>0</v>
      </c>
      <c r="CV2405">
        <v>0</v>
      </c>
      <c r="CW2405">
        <v>0</v>
      </c>
      <c r="CX2405" t="s">
        <v>2834</v>
      </c>
      <c r="CY2405" t="s">
        <v>120</v>
      </c>
      <c r="CZ2405">
        <v>0</v>
      </c>
      <c r="DA2405" t="s">
        <v>120</v>
      </c>
      <c r="DB2405" t="s">
        <v>120</v>
      </c>
      <c r="DC2405" t="s">
        <v>120</v>
      </c>
      <c r="DD2405">
        <v>72.75</v>
      </c>
      <c r="DE2405" t="s">
        <v>10135</v>
      </c>
      <c r="DF2405">
        <v>43.99</v>
      </c>
      <c r="DG2405">
        <v>22.68</v>
      </c>
      <c r="DH2405">
        <v>19.829999999999998</v>
      </c>
      <c r="DI2405">
        <v>0.05</v>
      </c>
      <c r="DJ2405">
        <v>453</v>
      </c>
      <c r="DK2405">
        <v>301070</v>
      </c>
      <c r="DL2405" t="s">
        <v>120</v>
      </c>
      <c r="DM2405" t="s">
        <v>120</v>
      </c>
      <c r="DN2405" t="s">
        <v>120</v>
      </c>
    </row>
    <row r="2406" spans="1:118">
      <c r="A2406" t="str">
        <f>"301071"</f>
        <v>301071</v>
      </c>
      <c r="B2406" t="s">
        <v>11178</v>
      </c>
      <c r="C2406" t="s">
        <v>120</v>
      </c>
      <c r="D2406" t="s">
        <v>120</v>
      </c>
      <c r="E2406" t="s">
        <v>120</v>
      </c>
      <c r="F2406">
        <v>0</v>
      </c>
      <c r="G2406" t="s">
        <v>120</v>
      </c>
      <c r="H2406">
        <v>0</v>
      </c>
      <c r="I2406">
        <v>0</v>
      </c>
      <c r="J2406" t="s">
        <v>120</v>
      </c>
      <c r="K2406" t="s">
        <v>120</v>
      </c>
      <c r="L2406" t="s">
        <v>120</v>
      </c>
      <c r="M2406">
        <v>0</v>
      </c>
      <c r="N2406" t="s">
        <v>120</v>
      </c>
      <c r="O2406" t="s">
        <v>120</v>
      </c>
      <c r="P2406" t="s">
        <v>120</v>
      </c>
      <c r="Q2406" t="s">
        <v>120</v>
      </c>
      <c r="R2406" t="s">
        <v>120</v>
      </c>
      <c r="S2406" t="s">
        <v>120</v>
      </c>
      <c r="T2406">
        <v>0</v>
      </c>
      <c r="U2406" t="s">
        <v>120</v>
      </c>
      <c r="V2406" t="s">
        <v>120</v>
      </c>
      <c r="W2406" t="s">
        <v>120</v>
      </c>
      <c r="X2406" t="s">
        <v>2806</v>
      </c>
      <c r="Y2406" t="s">
        <v>645</v>
      </c>
      <c r="Z2406" t="s">
        <v>120</v>
      </c>
      <c r="AA2406">
        <v>0</v>
      </c>
      <c r="AB2406">
        <v>0</v>
      </c>
      <c r="AC2406">
        <v>0</v>
      </c>
      <c r="AD2406" t="s">
        <v>120</v>
      </c>
      <c r="AE2406">
        <v>0</v>
      </c>
      <c r="AF2406">
        <v>0</v>
      </c>
      <c r="AG2406" t="s">
        <v>120</v>
      </c>
      <c r="AH2406" t="s">
        <v>120</v>
      </c>
      <c r="AI2406" t="s">
        <v>120</v>
      </c>
      <c r="AJ2406" t="s">
        <v>120</v>
      </c>
      <c r="AK2406" t="s">
        <v>120</v>
      </c>
      <c r="AL2406" t="s">
        <v>120</v>
      </c>
      <c r="AM2406">
        <v>0</v>
      </c>
      <c r="AN2406" t="s">
        <v>120</v>
      </c>
      <c r="AO2406" t="s">
        <v>120</v>
      </c>
      <c r="AP2406" t="s">
        <v>120</v>
      </c>
      <c r="AQ2406" t="s">
        <v>120</v>
      </c>
      <c r="AR2406" t="s">
        <v>120</v>
      </c>
      <c r="AS2406" t="s">
        <v>120</v>
      </c>
      <c r="AT2406" t="s">
        <v>120</v>
      </c>
      <c r="AU2406" t="s">
        <v>120</v>
      </c>
      <c r="AV2406">
        <v>0</v>
      </c>
      <c r="AW2406" t="s">
        <v>120</v>
      </c>
      <c r="AX2406" t="s">
        <v>120</v>
      </c>
      <c r="AY2406" t="s">
        <v>120</v>
      </c>
      <c r="AZ2406" t="s">
        <v>120</v>
      </c>
      <c r="BA2406" t="s">
        <v>120</v>
      </c>
      <c r="BB2406" t="s">
        <v>143</v>
      </c>
      <c r="BF2406">
        <v>0</v>
      </c>
      <c r="BG2406" t="s">
        <v>120</v>
      </c>
      <c r="BH2406" t="s">
        <v>120</v>
      </c>
      <c r="BI2406" t="s">
        <v>120</v>
      </c>
      <c r="BJ2406">
        <v>20210908</v>
      </c>
      <c r="BK2406" t="s">
        <v>120</v>
      </c>
      <c r="BL2406" t="s">
        <v>120</v>
      </c>
      <c r="BM2406" t="s">
        <v>120</v>
      </c>
      <c r="BN2406" t="s">
        <v>120</v>
      </c>
      <c r="BO2406">
        <v>10.39</v>
      </c>
      <c r="BP2406" t="s">
        <v>120</v>
      </c>
      <c r="BQ2406">
        <v>5.53</v>
      </c>
      <c r="BR2406" t="s">
        <v>120</v>
      </c>
      <c r="BS2406">
        <v>46.81</v>
      </c>
      <c r="BT2406">
        <v>4.8</v>
      </c>
      <c r="BU2406">
        <v>4.63</v>
      </c>
      <c r="BV2406">
        <v>0.28999999999999998</v>
      </c>
      <c r="BW2406">
        <v>3.92</v>
      </c>
      <c r="BX2406">
        <v>1.88</v>
      </c>
      <c r="BY2406">
        <v>1.27</v>
      </c>
      <c r="BZ2406">
        <v>0.48</v>
      </c>
      <c r="CA2406" t="s">
        <v>120</v>
      </c>
      <c r="CB2406">
        <v>1.23</v>
      </c>
      <c r="CC2406">
        <v>2.1800000000000002</v>
      </c>
      <c r="CD2406">
        <v>0.76</v>
      </c>
      <c r="CE2406">
        <v>1.26</v>
      </c>
      <c r="CF2406">
        <v>0</v>
      </c>
      <c r="CG2406">
        <v>1.26</v>
      </c>
      <c r="CH2406">
        <v>1.08</v>
      </c>
      <c r="CI2406">
        <v>1.08</v>
      </c>
      <c r="CJ2406" t="s">
        <v>120</v>
      </c>
      <c r="CK2406">
        <v>1.05</v>
      </c>
      <c r="CL2406">
        <v>3.63</v>
      </c>
      <c r="CM2406">
        <v>0.86</v>
      </c>
      <c r="CN2406">
        <v>-0.05</v>
      </c>
      <c r="CO2406">
        <v>0</v>
      </c>
      <c r="CP2406" t="s">
        <v>120</v>
      </c>
      <c r="CQ2406" t="s">
        <v>120</v>
      </c>
      <c r="CR2406">
        <v>0</v>
      </c>
      <c r="CS2406">
        <v>0</v>
      </c>
      <c r="CT2406" t="s">
        <v>120</v>
      </c>
      <c r="CU2406">
        <v>0</v>
      </c>
      <c r="CV2406">
        <v>0</v>
      </c>
      <c r="CW2406">
        <v>0</v>
      </c>
      <c r="CX2406" t="s">
        <v>2834</v>
      </c>
      <c r="CY2406" t="s">
        <v>120</v>
      </c>
      <c r="CZ2406">
        <v>0</v>
      </c>
      <c r="DA2406" t="s">
        <v>120</v>
      </c>
      <c r="DB2406" t="s">
        <v>120</v>
      </c>
      <c r="DC2406" t="s">
        <v>120</v>
      </c>
      <c r="DD2406">
        <v>53.19</v>
      </c>
      <c r="DE2406" t="s">
        <v>11179</v>
      </c>
      <c r="DF2406">
        <v>65.209999999999994</v>
      </c>
      <c r="DG2406">
        <v>57.94</v>
      </c>
      <c r="DH2406">
        <v>49.49</v>
      </c>
      <c r="DI2406">
        <v>7.0000000000000007E-2</v>
      </c>
      <c r="DJ2406">
        <v>335</v>
      </c>
      <c r="DK2406">
        <v>301071</v>
      </c>
      <c r="DL2406" t="s">
        <v>120</v>
      </c>
      <c r="DM2406" t="s">
        <v>120</v>
      </c>
      <c r="DN2406" t="s">
        <v>120</v>
      </c>
    </row>
    <row r="2407" spans="1:118">
      <c r="A2407" t="str">
        <f>"301075"</f>
        <v>301075</v>
      </c>
      <c r="B2407" t="s">
        <v>11180</v>
      </c>
      <c r="C2407" t="s">
        <v>120</v>
      </c>
      <c r="D2407" t="s">
        <v>120</v>
      </c>
      <c r="E2407" t="s">
        <v>120</v>
      </c>
      <c r="F2407">
        <v>0</v>
      </c>
      <c r="G2407" t="s">
        <v>120</v>
      </c>
      <c r="H2407">
        <v>0</v>
      </c>
      <c r="I2407">
        <v>0</v>
      </c>
      <c r="J2407" t="s">
        <v>120</v>
      </c>
      <c r="K2407" t="s">
        <v>120</v>
      </c>
      <c r="L2407" t="s">
        <v>120</v>
      </c>
      <c r="M2407">
        <v>0</v>
      </c>
      <c r="N2407" t="s">
        <v>120</v>
      </c>
      <c r="O2407" t="s">
        <v>120</v>
      </c>
      <c r="P2407" t="s">
        <v>120</v>
      </c>
      <c r="Q2407" t="s">
        <v>120</v>
      </c>
      <c r="R2407" t="s">
        <v>120</v>
      </c>
      <c r="S2407" t="s">
        <v>120</v>
      </c>
      <c r="T2407">
        <v>0</v>
      </c>
      <c r="U2407" t="s">
        <v>120</v>
      </c>
      <c r="V2407" t="s">
        <v>120</v>
      </c>
      <c r="W2407" t="s">
        <v>120</v>
      </c>
      <c r="X2407" t="s">
        <v>569</v>
      </c>
      <c r="Y2407" t="s">
        <v>1886</v>
      </c>
      <c r="Z2407" t="s">
        <v>120</v>
      </c>
      <c r="AA2407">
        <v>0</v>
      </c>
      <c r="AB2407">
        <v>0</v>
      </c>
      <c r="AC2407">
        <v>0</v>
      </c>
      <c r="AD2407" t="s">
        <v>120</v>
      </c>
      <c r="AE2407">
        <v>0</v>
      </c>
      <c r="AF2407">
        <v>0</v>
      </c>
      <c r="AG2407" t="s">
        <v>120</v>
      </c>
      <c r="AH2407" t="s">
        <v>120</v>
      </c>
      <c r="AI2407" t="s">
        <v>120</v>
      </c>
      <c r="AJ2407" t="s">
        <v>120</v>
      </c>
      <c r="AK2407" t="s">
        <v>120</v>
      </c>
      <c r="AL2407" t="s">
        <v>120</v>
      </c>
      <c r="AM2407">
        <v>0</v>
      </c>
      <c r="AN2407" t="s">
        <v>120</v>
      </c>
      <c r="AO2407" t="s">
        <v>120</v>
      </c>
      <c r="AP2407" t="s">
        <v>120</v>
      </c>
      <c r="AQ2407" t="s">
        <v>120</v>
      </c>
      <c r="AR2407" t="s">
        <v>120</v>
      </c>
      <c r="AS2407" t="s">
        <v>120</v>
      </c>
      <c r="AT2407" t="s">
        <v>120</v>
      </c>
      <c r="AU2407" t="s">
        <v>120</v>
      </c>
      <c r="AV2407">
        <v>0</v>
      </c>
      <c r="AW2407" t="s">
        <v>120</v>
      </c>
      <c r="AX2407" t="s">
        <v>120</v>
      </c>
      <c r="AY2407" t="s">
        <v>120</v>
      </c>
      <c r="AZ2407" t="s">
        <v>120</v>
      </c>
      <c r="BA2407" t="s">
        <v>120</v>
      </c>
      <c r="BB2407" t="s">
        <v>143</v>
      </c>
      <c r="BF2407">
        <v>0</v>
      </c>
      <c r="BG2407" t="s">
        <v>120</v>
      </c>
      <c r="BH2407" t="s">
        <v>120</v>
      </c>
      <c r="BI2407" t="s">
        <v>120</v>
      </c>
      <c r="BJ2407">
        <v>20210913</v>
      </c>
      <c r="BK2407" t="s">
        <v>120</v>
      </c>
      <c r="BL2407" t="s">
        <v>120</v>
      </c>
      <c r="BM2407" t="s">
        <v>120</v>
      </c>
      <c r="BN2407" t="s">
        <v>120</v>
      </c>
      <c r="BO2407">
        <v>3.83</v>
      </c>
      <c r="BP2407" t="s">
        <v>120</v>
      </c>
      <c r="BQ2407">
        <v>2.79</v>
      </c>
      <c r="BR2407">
        <v>-0.03</v>
      </c>
      <c r="BS2407">
        <v>27.88</v>
      </c>
      <c r="BT2407">
        <v>2.57</v>
      </c>
      <c r="BU2407">
        <v>1.06</v>
      </c>
      <c r="BV2407">
        <v>0.17</v>
      </c>
      <c r="BW2407">
        <v>1.07</v>
      </c>
      <c r="BX2407">
        <v>1.42</v>
      </c>
      <c r="BY2407">
        <v>0.13</v>
      </c>
      <c r="BZ2407">
        <v>0.84</v>
      </c>
      <c r="CA2407" t="s">
        <v>120</v>
      </c>
      <c r="CB2407">
        <v>0.57999999999999996</v>
      </c>
      <c r="CC2407">
        <v>2.44</v>
      </c>
      <c r="CD2407">
        <v>0.24</v>
      </c>
      <c r="CE2407">
        <v>0.41</v>
      </c>
      <c r="CF2407">
        <v>0</v>
      </c>
      <c r="CG2407">
        <v>0.4</v>
      </c>
      <c r="CH2407">
        <v>0.36</v>
      </c>
      <c r="CI2407">
        <v>0.37</v>
      </c>
      <c r="CJ2407" t="s">
        <v>120</v>
      </c>
      <c r="CK2407">
        <v>0.33</v>
      </c>
      <c r="CL2407">
        <v>1.53</v>
      </c>
      <c r="CM2407">
        <v>0.48</v>
      </c>
      <c r="CN2407">
        <v>0.38</v>
      </c>
      <c r="CO2407">
        <v>0</v>
      </c>
      <c r="CP2407" t="s">
        <v>120</v>
      </c>
      <c r="CQ2407" t="s">
        <v>120</v>
      </c>
      <c r="CR2407">
        <v>0</v>
      </c>
      <c r="CS2407">
        <v>0</v>
      </c>
      <c r="CT2407" t="s">
        <v>120</v>
      </c>
      <c r="CU2407">
        <v>0</v>
      </c>
      <c r="CV2407">
        <v>0</v>
      </c>
      <c r="CW2407">
        <v>0</v>
      </c>
      <c r="CX2407" t="s">
        <v>2834</v>
      </c>
      <c r="CY2407" t="s">
        <v>120</v>
      </c>
      <c r="CZ2407">
        <v>0</v>
      </c>
      <c r="DA2407" t="s">
        <v>120</v>
      </c>
      <c r="DB2407" t="s">
        <v>120</v>
      </c>
      <c r="DC2407" t="s">
        <v>120</v>
      </c>
      <c r="DD2407">
        <v>72.88</v>
      </c>
      <c r="DE2407" t="s">
        <v>7283</v>
      </c>
      <c r="DF2407">
        <v>90.02</v>
      </c>
      <c r="DG2407">
        <v>16.62</v>
      </c>
      <c r="DH2407">
        <v>15.2</v>
      </c>
      <c r="DI2407">
        <v>0.09</v>
      </c>
      <c r="DJ2407">
        <v>298</v>
      </c>
      <c r="DK2407">
        <v>301075</v>
      </c>
      <c r="DL2407" t="s">
        <v>120</v>
      </c>
      <c r="DM2407" t="s">
        <v>120</v>
      </c>
      <c r="DN2407" t="s">
        <v>120</v>
      </c>
    </row>
    <row r="2408" spans="1:118">
      <c r="A2408" t="str">
        <f>"301076"</f>
        <v>301076</v>
      </c>
      <c r="B2408" t="s">
        <v>11181</v>
      </c>
      <c r="C2408" t="s">
        <v>120</v>
      </c>
      <c r="D2408" t="s">
        <v>120</v>
      </c>
      <c r="E2408" t="s">
        <v>120</v>
      </c>
      <c r="F2408">
        <v>0</v>
      </c>
      <c r="G2408" t="s">
        <v>120</v>
      </c>
      <c r="H2408">
        <v>0</v>
      </c>
      <c r="I2408">
        <v>0</v>
      </c>
      <c r="J2408" t="s">
        <v>120</v>
      </c>
      <c r="K2408" t="s">
        <v>120</v>
      </c>
      <c r="L2408" t="s">
        <v>120</v>
      </c>
      <c r="M2408">
        <v>0</v>
      </c>
      <c r="N2408" t="s">
        <v>120</v>
      </c>
      <c r="O2408" t="s">
        <v>120</v>
      </c>
      <c r="P2408" t="s">
        <v>120</v>
      </c>
      <c r="Q2408" t="s">
        <v>120</v>
      </c>
      <c r="R2408" t="s">
        <v>120</v>
      </c>
      <c r="S2408" t="s">
        <v>120</v>
      </c>
      <c r="T2408">
        <v>0</v>
      </c>
      <c r="U2408" t="s">
        <v>120</v>
      </c>
      <c r="V2408" t="s">
        <v>120</v>
      </c>
      <c r="W2408" t="s">
        <v>120</v>
      </c>
      <c r="X2408" t="s">
        <v>868</v>
      </c>
      <c r="Y2408" t="s">
        <v>319</v>
      </c>
      <c r="Z2408" t="s">
        <v>120</v>
      </c>
      <c r="AA2408">
        <v>0</v>
      </c>
      <c r="AB2408">
        <v>0</v>
      </c>
      <c r="AC2408">
        <v>0</v>
      </c>
      <c r="AD2408" t="s">
        <v>120</v>
      </c>
      <c r="AE2408">
        <v>0</v>
      </c>
      <c r="AF2408">
        <v>0</v>
      </c>
      <c r="AG2408" t="s">
        <v>120</v>
      </c>
      <c r="AH2408" t="s">
        <v>120</v>
      </c>
      <c r="AI2408" t="s">
        <v>120</v>
      </c>
      <c r="AJ2408" t="s">
        <v>120</v>
      </c>
      <c r="AK2408" t="s">
        <v>120</v>
      </c>
      <c r="AL2408" t="s">
        <v>120</v>
      </c>
      <c r="AM2408">
        <v>0</v>
      </c>
      <c r="AN2408" t="s">
        <v>120</v>
      </c>
      <c r="AO2408" t="s">
        <v>120</v>
      </c>
      <c r="AP2408" t="s">
        <v>120</v>
      </c>
      <c r="AQ2408" t="s">
        <v>120</v>
      </c>
      <c r="AR2408" t="s">
        <v>120</v>
      </c>
      <c r="AS2408" t="s">
        <v>120</v>
      </c>
      <c r="AT2408" t="s">
        <v>120</v>
      </c>
      <c r="AU2408" t="s">
        <v>120</v>
      </c>
      <c r="AV2408">
        <v>0</v>
      </c>
      <c r="AW2408" t="s">
        <v>120</v>
      </c>
      <c r="AX2408" t="s">
        <v>120</v>
      </c>
      <c r="AY2408" t="s">
        <v>120</v>
      </c>
      <c r="AZ2408" t="s">
        <v>120</v>
      </c>
      <c r="BA2408" t="s">
        <v>120</v>
      </c>
      <c r="BB2408" t="s">
        <v>143</v>
      </c>
      <c r="BF2408">
        <v>0</v>
      </c>
      <c r="BG2408" t="s">
        <v>120</v>
      </c>
      <c r="BH2408" t="s">
        <v>120</v>
      </c>
      <c r="BI2408" t="s">
        <v>120</v>
      </c>
      <c r="BJ2408">
        <v>20210915</v>
      </c>
      <c r="BK2408" t="s">
        <v>120</v>
      </c>
      <c r="BL2408" t="s">
        <v>120</v>
      </c>
      <c r="BM2408" t="s">
        <v>120</v>
      </c>
      <c r="BN2408" t="s">
        <v>120</v>
      </c>
      <c r="BO2408">
        <v>5.26</v>
      </c>
      <c r="BP2408" t="s">
        <v>120</v>
      </c>
      <c r="BQ2408">
        <v>4.26</v>
      </c>
      <c r="BR2408" t="s">
        <v>120</v>
      </c>
      <c r="BS2408">
        <v>19.010000000000002</v>
      </c>
      <c r="BT2408">
        <v>3.37</v>
      </c>
      <c r="BU2408">
        <v>0.39</v>
      </c>
      <c r="BV2408">
        <v>0.59</v>
      </c>
      <c r="BW2408">
        <v>0.54</v>
      </c>
      <c r="BX2408">
        <v>0.45</v>
      </c>
      <c r="BY2408">
        <v>0.35</v>
      </c>
      <c r="BZ2408">
        <v>0.66</v>
      </c>
      <c r="CA2408" t="s">
        <v>120</v>
      </c>
      <c r="CB2408">
        <v>0.74</v>
      </c>
      <c r="CC2408">
        <v>1.61</v>
      </c>
      <c r="CD2408">
        <v>1.05</v>
      </c>
      <c r="CE2408">
        <v>0.4</v>
      </c>
      <c r="CF2408">
        <v>0.03</v>
      </c>
      <c r="CG2408">
        <v>0.4</v>
      </c>
      <c r="CH2408">
        <v>0.34</v>
      </c>
      <c r="CI2408">
        <v>0.34</v>
      </c>
      <c r="CJ2408" t="s">
        <v>120</v>
      </c>
      <c r="CK2408">
        <v>0.32</v>
      </c>
      <c r="CL2408">
        <v>2.48</v>
      </c>
      <c r="CM2408">
        <v>0.21</v>
      </c>
      <c r="CN2408">
        <v>0.26</v>
      </c>
      <c r="CO2408">
        <v>0</v>
      </c>
      <c r="CP2408" t="s">
        <v>120</v>
      </c>
      <c r="CQ2408" t="s">
        <v>120</v>
      </c>
      <c r="CR2408">
        <v>0</v>
      </c>
      <c r="CS2408">
        <v>0</v>
      </c>
      <c r="CT2408" t="s">
        <v>120</v>
      </c>
      <c r="CU2408">
        <v>0</v>
      </c>
      <c r="CV2408">
        <v>0</v>
      </c>
      <c r="CW2408">
        <v>0</v>
      </c>
      <c r="CX2408" t="s">
        <v>2834</v>
      </c>
      <c r="CY2408" t="s">
        <v>120</v>
      </c>
      <c r="CZ2408">
        <v>0</v>
      </c>
      <c r="DA2408" t="s">
        <v>120</v>
      </c>
      <c r="DB2408" t="s">
        <v>120</v>
      </c>
      <c r="DC2408" t="s">
        <v>120</v>
      </c>
      <c r="DD2408">
        <v>80.989999999999995</v>
      </c>
      <c r="DE2408" t="s">
        <v>5253</v>
      </c>
      <c r="DF2408">
        <v>34.86</v>
      </c>
      <c r="DG2408">
        <v>24.89</v>
      </c>
      <c r="DH2408">
        <v>21.34</v>
      </c>
      <c r="DI2408">
        <v>0.05</v>
      </c>
      <c r="DJ2408" t="s">
        <v>120</v>
      </c>
      <c r="DK2408">
        <v>301076</v>
      </c>
      <c r="DL2408" t="s">
        <v>120</v>
      </c>
      <c r="DM2408" t="s">
        <v>120</v>
      </c>
      <c r="DN2408" t="s">
        <v>120</v>
      </c>
    </row>
    <row r="2409" spans="1:118">
      <c r="A2409" t="str">
        <f>"301077"</f>
        <v>301077</v>
      </c>
      <c r="B2409" t="s">
        <v>11182</v>
      </c>
      <c r="C2409" t="s">
        <v>120</v>
      </c>
      <c r="D2409" t="s">
        <v>120</v>
      </c>
      <c r="E2409" t="s">
        <v>120</v>
      </c>
      <c r="F2409">
        <v>0</v>
      </c>
      <c r="G2409" t="s">
        <v>120</v>
      </c>
      <c r="H2409">
        <v>0</v>
      </c>
      <c r="I2409">
        <v>0</v>
      </c>
      <c r="J2409" t="s">
        <v>120</v>
      </c>
      <c r="K2409" t="s">
        <v>120</v>
      </c>
      <c r="L2409" t="s">
        <v>120</v>
      </c>
      <c r="M2409">
        <v>0</v>
      </c>
      <c r="N2409" t="s">
        <v>120</v>
      </c>
      <c r="O2409" t="s">
        <v>120</v>
      </c>
      <c r="P2409" t="s">
        <v>120</v>
      </c>
      <c r="Q2409" t="s">
        <v>120</v>
      </c>
      <c r="R2409" t="s">
        <v>120</v>
      </c>
      <c r="S2409" t="s">
        <v>120</v>
      </c>
      <c r="T2409">
        <v>0</v>
      </c>
      <c r="U2409" t="s">
        <v>120</v>
      </c>
      <c r="V2409" t="s">
        <v>120</v>
      </c>
      <c r="W2409" t="s">
        <v>120</v>
      </c>
      <c r="X2409" t="s">
        <v>868</v>
      </c>
      <c r="Y2409" t="s">
        <v>585</v>
      </c>
      <c r="Z2409" t="s">
        <v>120</v>
      </c>
      <c r="AA2409">
        <v>0</v>
      </c>
      <c r="AB2409">
        <v>0</v>
      </c>
      <c r="AC2409">
        <v>0</v>
      </c>
      <c r="AD2409" t="s">
        <v>120</v>
      </c>
      <c r="AE2409">
        <v>0</v>
      </c>
      <c r="AF2409">
        <v>0</v>
      </c>
      <c r="AG2409" t="s">
        <v>120</v>
      </c>
      <c r="AH2409" t="s">
        <v>120</v>
      </c>
      <c r="AI2409" t="s">
        <v>120</v>
      </c>
      <c r="AJ2409" t="s">
        <v>120</v>
      </c>
      <c r="AK2409" t="s">
        <v>120</v>
      </c>
      <c r="AL2409" t="s">
        <v>120</v>
      </c>
      <c r="AM2409">
        <v>0</v>
      </c>
      <c r="AN2409" t="s">
        <v>120</v>
      </c>
      <c r="AO2409" t="s">
        <v>120</v>
      </c>
      <c r="AP2409" t="s">
        <v>120</v>
      </c>
      <c r="AQ2409" t="s">
        <v>120</v>
      </c>
      <c r="AR2409" t="s">
        <v>120</v>
      </c>
      <c r="AS2409" t="s">
        <v>120</v>
      </c>
      <c r="AT2409" t="s">
        <v>120</v>
      </c>
      <c r="AU2409" t="s">
        <v>120</v>
      </c>
      <c r="AV2409">
        <v>0</v>
      </c>
      <c r="AW2409" t="s">
        <v>120</v>
      </c>
      <c r="AX2409" t="s">
        <v>120</v>
      </c>
      <c r="AY2409" t="s">
        <v>120</v>
      </c>
      <c r="AZ2409" t="s">
        <v>120</v>
      </c>
      <c r="BA2409" t="s">
        <v>120</v>
      </c>
      <c r="BB2409" t="s">
        <v>143</v>
      </c>
      <c r="BF2409">
        <v>0</v>
      </c>
      <c r="BG2409" t="s">
        <v>120</v>
      </c>
      <c r="BH2409" t="s">
        <v>120</v>
      </c>
      <c r="BI2409" t="s">
        <v>120</v>
      </c>
      <c r="BJ2409">
        <v>20210915</v>
      </c>
      <c r="BK2409" t="s">
        <v>120</v>
      </c>
      <c r="BL2409" t="s">
        <v>120</v>
      </c>
      <c r="BM2409" t="s">
        <v>120</v>
      </c>
      <c r="BN2409" t="s">
        <v>120</v>
      </c>
      <c r="BO2409">
        <v>5.64</v>
      </c>
      <c r="BP2409" t="s">
        <v>120</v>
      </c>
      <c r="BQ2409">
        <v>3.14</v>
      </c>
      <c r="BR2409" t="s">
        <v>120</v>
      </c>
      <c r="BS2409">
        <v>44.3</v>
      </c>
      <c r="BT2409">
        <v>3.12</v>
      </c>
      <c r="BU2409">
        <v>1.3</v>
      </c>
      <c r="BV2409">
        <v>0.43</v>
      </c>
      <c r="BW2409">
        <v>1.87</v>
      </c>
      <c r="BX2409">
        <v>0.83</v>
      </c>
      <c r="BY2409">
        <v>1.07</v>
      </c>
      <c r="BZ2409">
        <v>0.86</v>
      </c>
      <c r="CA2409" t="s">
        <v>120</v>
      </c>
      <c r="CB2409">
        <v>0</v>
      </c>
      <c r="CC2409">
        <v>3.8</v>
      </c>
      <c r="CD2409">
        <v>2.78</v>
      </c>
      <c r="CE2409">
        <v>0.51</v>
      </c>
      <c r="CF2409">
        <v>0.01</v>
      </c>
      <c r="CG2409">
        <v>0.52</v>
      </c>
      <c r="CH2409">
        <v>0.45</v>
      </c>
      <c r="CI2409">
        <v>0.45</v>
      </c>
      <c r="CJ2409" t="s">
        <v>120</v>
      </c>
      <c r="CK2409">
        <v>0.44</v>
      </c>
      <c r="CL2409">
        <v>2.46</v>
      </c>
      <c r="CM2409">
        <v>0.08</v>
      </c>
      <c r="CN2409">
        <v>0.35</v>
      </c>
      <c r="CO2409">
        <v>0</v>
      </c>
      <c r="CP2409" t="s">
        <v>120</v>
      </c>
      <c r="CQ2409" t="s">
        <v>120</v>
      </c>
      <c r="CR2409">
        <v>0</v>
      </c>
      <c r="CS2409">
        <v>0</v>
      </c>
      <c r="CT2409" t="s">
        <v>120</v>
      </c>
      <c r="CU2409">
        <v>0</v>
      </c>
      <c r="CV2409">
        <v>0</v>
      </c>
      <c r="CW2409">
        <v>0</v>
      </c>
      <c r="CX2409" t="s">
        <v>2834</v>
      </c>
      <c r="CY2409" t="s">
        <v>120</v>
      </c>
      <c r="CZ2409">
        <v>0</v>
      </c>
      <c r="DA2409" t="s">
        <v>120</v>
      </c>
      <c r="DB2409" t="s">
        <v>120</v>
      </c>
      <c r="DC2409" t="s">
        <v>120</v>
      </c>
      <c r="DD2409">
        <v>55.7</v>
      </c>
      <c r="DE2409" t="s">
        <v>11183</v>
      </c>
      <c r="DF2409">
        <v>26.96</v>
      </c>
      <c r="DG2409">
        <v>13.53</v>
      </c>
      <c r="DH2409">
        <v>11.87</v>
      </c>
      <c r="DI2409">
        <v>0.23</v>
      </c>
      <c r="DJ2409" t="s">
        <v>120</v>
      </c>
      <c r="DK2409">
        <v>301077</v>
      </c>
      <c r="DL2409" t="s">
        <v>120</v>
      </c>
      <c r="DM2409" t="s">
        <v>120</v>
      </c>
      <c r="DN2409" t="s">
        <v>120</v>
      </c>
    </row>
    <row r="2410" spans="1:118">
      <c r="A2410" t="str">
        <f>"600000"</f>
        <v>600000</v>
      </c>
      <c r="B2410" t="s">
        <v>11184</v>
      </c>
      <c r="C2410">
        <v>-0.76</v>
      </c>
      <c r="D2410">
        <v>-0.21</v>
      </c>
      <c r="E2410">
        <v>0.11</v>
      </c>
      <c r="F2410">
        <v>18488</v>
      </c>
      <c r="G2410" t="s">
        <v>11185</v>
      </c>
      <c r="H2410">
        <v>45045.32</v>
      </c>
      <c r="I2410">
        <v>64.400000000000006</v>
      </c>
      <c r="J2410" t="s">
        <v>120</v>
      </c>
      <c r="K2410" t="s">
        <v>11186</v>
      </c>
      <c r="L2410">
        <v>0.17</v>
      </c>
      <c r="M2410">
        <v>9.1199999999999992</v>
      </c>
      <c r="N2410">
        <v>1.17</v>
      </c>
      <c r="O2410">
        <v>0.44</v>
      </c>
      <c r="P2410">
        <v>9.23</v>
      </c>
      <c r="Q2410">
        <v>-0.87</v>
      </c>
      <c r="R2410">
        <v>9.11</v>
      </c>
      <c r="S2410">
        <v>9.1999999999999993</v>
      </c>
      <c r="T2410">
        <v>491999</v>
      </c>
      <c r="U2410">
        <v>9.1300000000000008</v>
      </c>
      <c r="V2410">
        <v>9.19</v>
      </c>
      <c r="W2410">
        <v>4.49</v>
      </c>
      <c r="X2410" t="s">
        <v>122</v>
      </c>
      <c r="Y2410" t="s">
        <v>1510</v>
      </c>
      <c r="Z2410">
        <v>1.31</v>
      </c>
      <c r="AA2410">
        <v>9.16</v>
      </c>
      <c r="AB2410">
        <v>240963</v>
      </c>
      <c r="AC2410">
        <v>251036</v>
      </c>
      <c r="AD2410">
        <v>0.96</v>
      </c>
      <c r="AE2410">
        <v>5564</v>
      </c>
      <c r="AF2410">
        <v>20</v>
      </c>
      <c r="AG2410" t="s">
        <v>120</v>
      </c>
      <c r="AH2410">
        <v>0</v>
      </c>
      <c r="AI2410" t="s">
        <v>120</v>
      </c>
      <c r="AJ2410">
        <v>293.52</v>
      </c>
      <c r="AK2410" t="s">
        <v>11186</v>
      </c>
      <c r="AL2410">
        <v>0.57999999999999996</v>
      </c>
      <c r="AM2410">
        <v>4085</v>
      </c>
      <c r="AN2410">
        <v>120</v>
      </c>
      <c r="AO2410">
        <v>0</v>
      </c>
      <c r="AP2410">
        <v>-4</v>
      </c>
      <c r="AQ2410">
        <v>-0.22</v>
      </c>
      <c r="AR2410">
        <v>-2.88</v>
      </c>
      <c r="AS2410">
        <v>-1.19</v>
      </c>
      <c r="AT2410">
        <v>-4.4000000000000004</v>
      </c>
      <c r="AU2410">
        <v>-0.87</v>
      </c>
      <c r="AV2410">
        <v>0</v>
      </c>
      <c r="AW2410">
        <v>0.52</v>
      </c>
      <c r="AX2410">
        <v>32.47</v>
      </c>
      <c r="AY2410">
        <v>4.5599999999999996</v>
      </c>
      <c r="AZ2410">
        <v>4.62</v>
      </c>
      <c r="BA2410">
        <v>0.54</v>
      </c>
      <c r="BB2410" t="s">
        <v>143</v>
      </c>
      <c r="BF2410">
        <v>-0.37</v>
      </c>
      <c r="BG2410">
        <v>-0.87</v>
      </c>
      <c r="BH2410">
        <v>-1.19</v>
      </c>
      <c r="BI2410">
        <v>0.11</v>
      </c>
      <c r="BJ2410">
        <v>20210901</v>
      </c>
      <c r="BK2410">
        <v>19991110</v>
      </c>
      <c r="BL2410">
        <v>293.52</v>
      </c>
      <c r="BM2410" t="s">
        <v>120</v>
      </c>
      <c r="BN2410" t="s">
        <v>120</v>
      </c>
      <c r="BO2410">
        <v>81231.199999999997</v>
      </c>
      <c r="BP2410">
        <v>9.1199999999999992</v>
      </c>
      <c r="BQ2410">
        <v>6525.83</v>
      </c>
      <c r="BR2410">
        <v>78.78</v>
      </c>
      <c r="BS2410">
        <v>91.87</v>
      </c>
      <c r="BT2410">
        <v>0</v>
      </c>
      <c r="BU2410">
        <v>359.33</v>
      </c>
      <c r="BV2410">
        <v>105</v>
      </c>
      <c r="BW2410">
        <v>0</v>
      </c>
      <c r="BX2410">
        <v>5851.52</v>
      </c>
      <c r="BY2410">
        <v>0</v>
      </c>
      <c r="BZ2410">
        <v>0</v>
      </c>
      <c r="CA2410" t="s">
        <v>120</v>
      </c>
      <c r="CB2410">
        <v>817.61</v>
      </c>
      <c r="CC2410">
        <v>973.65</v>
      </c>
      <c r="CD2410">
        <v>0</v>
      </c>
      <c r="CE2410">
        <v>347.58</v>
      </c>
      <c r="CF2410">
        <v>67.45</v>
      </c>
      <c r="CG2410">
        <v>347.22</v>
      </c>
      <c r="CH2410">
        <v>302.04000000000002</v>
      </c>
      <c r="CI2410">
        <v>298.38</v>
      </c>
      <c r="CJ2410">
        <v>-7.0000000000000007E-2</v>
      </c>
      <c r="CK2410">
        <v>297.29000000000002</v>
      </c>
      <c r="CL2410">
        <v>1746.9</v>
      </c>
      <c r="CM2410">
        <v>-2128.62</v>
      </c>
      <c r="CN2410">
        <v>-159.99</v>
      </c>
      <c r="CO2410">
        <v>203700</v>
      </c>
      <c r="CP2410">
        <v>46793</v>
      </c>
      <c r="CQ2410" t="s">
        <v>11187</v>
      </c>
      <c r="CR2410">
        <v>3.05</v>
      </c>
      <c r="CS2410">
        <v>-3.99</v>
      </c>
      <c r="CT2410">
        <v>0.49</v>
      </c>
      <c r="CU2410">
        <v>-1.26</v>
      </c>
      <c r="CV2410">
        <v>2.75</v>
      </c>
      <c r="CW2410">
        <v>5.22</v>
      </c>
      <c r="CX2410" t="s">
        <v>9562</v>
      </c>
      <c r="CY2410">
        <v>18.489999999999998</v>
      </c>
      <c r="CZ2410">
        <v>18.489999999999998</v>
      </c>
      <c r="DA2410">
        <v>2.79</v>
      </c>
      <c r="DB2410">
        <v>5.95</v>
      </c>
      <c r="DC2410">
        <v>-7.25</v>
      </c>
      <c r="DD2410">
        <v>8.0299999999999994</v>
      </c>
      <c r="DE2410" t="s">
        <v>4848</v>
      </c>
      <c r="DF2410" t="s">
        <v>120</v>
      </c>
      <c r="DG2410">
        <v>35.700000000000003</v>
      </c>
      <c r="DH2410">
        <v>30.65</v>
      </c>
      <c r="DI2410" t="s">
        <v>120</v>
      </c>
      <c r="DJ2410">
        <v>61683</v>
      </c>
      <c r="DK2410">
        <v>600000</v>
      </c>
      <c r="DL2410" t="s">
        <v>120</v>
      </c>
      <c r="DM2410" t="s">
        <v>120</v>
      </c>
      <c r="DN2410" t="s">
        <v>120</v>
      </c>
    </row>
    <row r="2411" spans="1:118">
      <c r="A2411" t="str">
        <f>"600004"</f>
        <v>600004</v>
      </c>
      <c r="B2411" t="s">
        <v>11188</v>
      </c>
      <c r="C2411">
        <v>-2.88</v>
      </c>
      <c r="D2411">
        <v>-0.09</v>
      </c>
      <c r="E2411">
        <v>-0.67</v>
      </c>
      <c r="F2411">
        <v>1515</v>
      </c>
      <c r="G2411" t="s">
        <v>11189</v>
      </c>
      <c r="H2411">
        <v>15622.39</v>
      </c>
      <c r="I2411">
        <v>23.86</v>
      </c>
      <c r="J2411" t="s">
        <v>120</v>
      </c>
      <c r="K2411" t="s">
        <v>11190</v>
      </c>
      <c r="L2411">
        <v>0.74</v>
      </c>
      <c r="M2411">
        <v>10.1</v>
      </c>
      <c r="N2411">
        <v>0.62</v>
      </c>
      <c r="O2411">
        <v>0.67</v>
      </c>
      <c r="P2411">
        <v>10.47</v>
      </c>
      <c r="Q2411">
        <v>-3.08</v>
      </c>
      <c r="R2411">
        <v>10.08</v>
      </c>
      <c r="S2411">
        <v>10.33</v>
      </c>
      <c r="T2411">
        <v>152963</v>
      </c>
      <c r="U2411">
        <v>10.11</v>
      </c>
      <c r="V2411">
        <v>10.4</v>
      </c>
      <c r="W2411" t="s">
        <v>120</v>
      </c>
      <c r="X2411" t="s">
        <v>518</v>
      </c>
      <c r="Y2411" t="s">
        <v>547</v>
      </c>
      <c r="Z2411">
        <v>3.75</v>
      </c>
      <c r="AA2411">
        <v>10.210000000000001</v>
      </c>
      <c r="AB2411">
        <v>89974</v>
      </c>
      <c r="AC2411">
        <v>62989</v>
      </c>
      <c r="AD2411">
        <v>1.43</v>
      </c>
      <c r="AE2411">
        <v>1414</v>
      </c>
      <c r="AF2411">
        <v>341</v>
      </c>
      <c r="AG2411" t="s">
        <v>120</v>
      </c>
      <c r="AH2411">
        <v>0</v>
      </c>
      <c r="AI2411" t="s">
        <v>120</v>
      </c>
      <c r="AJ2411">
        <v>20.69</v>
      </c>
      <c r="AK2411" t="s">
        <v>11191</v>
      </c>
      <c r="AL2411">
        <v>-1.54</v>
      </c>
      <c r="AM2411">
        <v>3274</v>
      </c>
      <c r="AN2411">
        <v>47</v>
      </c>
      <c r="AO2411">
        <v>2.0000000000000001E-4</v>
      </c>
      <c r="AP2411">
        <v>-1</v>
      </c>
      <c r="AQ2411">
        <v>0.39</v>
      </c>
      <c r="AR2411">
        <v>-6.31</v>
      </c>
      <c r="AS2411">
        <v>12.23</v>
      </c>
      <c r="AT2411">
        <v>-10.28</v>
      </c>
      <c r="AU2411">
        <v>-28.31</v>
      </c>
      <c r="AV2411">
        <v>0</v>
      </c>
      <c r="AW2411">
        <v>1.51</v>
      </c>
      <c r="AX2411">
        <v>42.8</v>
      </c>
      <c r="AY2411" t="s">
        <v>120</v>
      </c>
      <c r="AZ2411" t="s">
        <v>120</v>
      </c>
      <c r="BA2411">
        <v>0.94</v>
      </c>
      <c r="BB2411" t="s">
        <v>143</v>
      </c>
      <c r="BF2411">
        <v>-1.8</v>
      </c>
      <c r="BG2411">
        <v>-2.23</v>
      </c>
      <c r="BH2411">
        <v>-3.53</v>
      </c>
      <c r="BI2411">
        <v>0.2</v>
      </c>
      <c r="BJ2411">
        <v>20210831</v>
      </c>
      <c r="BK2411">
        <v>20030428</v>
      </c>
      <c r="BL2411">
        <v>23.67</v>
      </c>
      <c r="BM2411" t="s">
        <v>120</v>
      </c>
      <c r="BN2411" t="s">
        <v>120</v>
      </c>
      <c r="BO2411">
        <v>282.10000000000002</v>
      </c>
      <c r="BP2411">
        <v>10.1</v>
      </c>
      <c r="BQ2411">
        <v>183.33</v>
      </c>
      <c r="BR2411">
        <v>2.13</v>
      </c>
      <c r="BS2411">
        <v>34.26</v>
      </c>
      <c r="BT2411">
        <v>37.89</v>
      </c>
      <c r="BU2411">
        <v>198.39</v>
      </c>
      <c r="BV2411">
        <v>4.12</v>
      </c>
      <c r="BW2411">
        <v>64.2</v>
      </c>
      <c r="BX2411">
        <v>20.86</v>
      </c>
      <c r="BY2411">
        <v>0.55000000000000004</v>
      </c>
      <c r="BZ2411">
        <v>11.61</v>
      </c>
      <c r="CA2411">
        <v>0.61</v>
      </c>
      <c r="CB2411">
        <v>99.33</v>
      </c>
      <c r="CC2411">
        <v>23.96</v>
      </c>
      <c r="CD2411">
        <v>26.17</v>
      </c>
      <c r="CE2411">
        <v>-4.76</v>
      </c>
      <c r="CF2411">
        <v>0.59</v>
      </c>
      <c r="CG2411">
        <v>-4.72</v>
      </c>
      <c r="CH2411">
        <v>-3.99</v>
      </c>
      <c r="CI2411">
        <v>-4.0999999999999996</v>
      </c>
      <c r="CJ2411">
        <v>-0.3</v>
      </c>
      <c r="CK2411">
        <v>-4.3099999999999996</v>
      </c>
      <c r="CL2411">
        <v>51</v>
      </c>
      <c r="CM2411">
        <v>3.48</v>
      </c>
      <c r="CN2411">
        <v>-2.5299999999999998</v>
      </c>
      <c r="CO2411">
        <v>109276</v>
      </c>
      <c r="CP2411">
        <v>9270</v>
      </c>
      <c r="CQ2411" t="s">
        <v>11192</v>
      </c>
      <c r="CR2411">
        <v>-143.53</v>
      </c>
      <c r="CS2411">
        <v>1.79</v>
      </c>
      <c r="CT2411">
        <v>1.3</v>
      </c>
      <c r="CU2411">
        <v>68.62</v>
      </c>
      <c r="CV2411">
        <v>9.98</v>
      </c>
      <c r="CW2411">
        <v>0.41</v>
      </c>
      <c r="CX2411" t="s">
        <v>1513</v>
      </c>
      <c r="CY2411">
        <v>7.75</v>
      </c>
      <c r="CZ2411">
        <v>0</v>
      </c>
      <c r="DA2411">
        <v>4.2</v>
      </c>
      <c r="DB2411">
        <v>2.15</v>
      </c>
      <c r="DC2411">
        <v>0.15</v>
      </c>
      <c r="DD2411">
        <v>64.989999999999995</v>
      </c>
      <c r="DE2411" t="s">
        <v>11193</v>
      </c>
      <c r="DF2411">
        <v>-9.26</v>
      </c>
      <c r="DG2411">
        <v>-19.88</v>
      </c>
      <c r="DH2411">
        <v>-17.12</v>
      </c>
      <c r="DI2411">
        <v>0.14000000000000001</v>
      </c>
      <c r="DJ2411">
        <v>11360</v>
      </c>
      <c r="DK2411">
        <v>600004</v>
      </c>
      <c r="DL2411" t="s">
        <v>120</v>
      </c>
      <c r="DM2411" t="s">
        <v>120</v>
      </c>
      <c r="DN2411" t="s">
        <v>120</v>
      </c>
    </row>
    <row r="2412" spans="1:118">
      <c r="A2412" t="str">
        <f>"600006"</f>
        <v>600006</v>
      </c>
      <c r="B2412" t="s">
        <v>11194</v>
      </c>
      <c r="C2412">
        <v>-3.78</v>
      </c>
      <c r="D2412">
        <v>0</v>
      </c>
      <c r="E2412">
        <v>-0.46</v>
      </c>
      <c r="F2412">
        <v>7634</v>
      </c>
      <c r="G2412" t="s">
        <v>11195</v>
      </c>
      <c r="H2412">
        <v>42082.55</v>
      </c>
      <c r="I2412">
        <v>105.01</v>
      </c>
      <c r="J2412" t="s">
        <v>120</v>
      </c>
      <c r="K2412" t="s">
        <v>11196</v>
      </c>
      <c r="L2412">
        <v>2.46</v>
      </c>
      <c r="M2412">
        <v>8.41</v>
      </c>
      <c r="N2412">
        <v>0.66</v>
      </c>
      <c r="O2412">
        <v>0.11</v>
      </c>
      <c r="P2412">
        <v>8.75</v>
      </c>
      <c r="Q2412">
        <v>-3.89</v>
      </c>
      <c r="R2412">
        <v>8.4</v>
      </c>
      <c r="S2412">
        <v>8.6999999999999993</v>
      </c>
      <c r="T2412">
        <v>492958</v>
      </c>
      <c r="U2412">
        <v>8.41</v>
      </c>
      <c r="V2412">
        <v>8.74</v>
      </c>
      <c r="W2412">
        <v>16.670000000000002</v>
      </c>
      <c r="X2412" t="s">
        <v>1068</v>
      </c>
      <c r="Y2412" t="s">
        <v>763</v>
      </c>
      <c r="Z2412">
        <v>4</v>
      </c>
      <c r="AA2412">
        <v>8.5399999999999991</v>
      </c>
      <c r="AB2412">
        <v>287908</v>
      </c>
      <c r="AC2412">
        <v>205050</v>
      </c>
      <c r="AD2412">
        <v>1.4</v>
      </c>
      <c r="AE2412">
        <v>8597</v>
      </c>
      <c r="AF2412">
        <v>1978</v>
      </c>
      <c r="AG2412" t="s">
        <v>120</v>
      </c>
      <c r="AH2412">
        <v>0.02</v>
      </c>
      <c r="AI2412" t="s">
        <v>120</v>
      </c>
      <c r="AJ2412">
        <v>20</v>
      </c>
      <c r="AK2412" t="s">
        <v>11196</v>
      </c>
      <c r="AL2412">
        <v>-2.4300000000000002</v>
      </c>
      <c r="AM2412">
        <v>4298</v>
      </c>
      <c r="AN2412">
        <v>115</v>
      </c>
      <c r="AO2412">
        <v>5.9999999999999995E-4</v>
      </c>
      <c r="AP2412">
        <v>-1</v>
      </c>
      <c r="AQ2412">
        <v>1.1599999999999999</v>
      </c>
      <c r="AR2412">
        <v>-4.6500000000000004</v>
      </c>
      <c r="AS2412">
        <v>-3.55</v>
      </c>
      <c r="AT2412">
        <v>10.41</v>
      </c>
      <c r="AU2412">
        <v>-10.119999999999999</v>
      </c>
      <c r="AV2412">
        <v>11</v>
      </c>
      <c r="AW2412">
        <v>6.18</v>
      </c>
      <c r="AX2412">
        <v>39.9</v>
      </c>
      <c r="AY2412">
        <v>22.88</v>
      </c>
      <c r="AZ2412">
        <v>31.58</v>
      </c>
      <c r="BA2412">
        <v>0.69</v>
      </c>
      <c r="BB2412" t="s">
        <v>143</v>
      </c>
      <c r="BF2412">
        <v>-2.33</v>
      </c>
      <c r="BG2412">
        <v>-3.33</v>
      </c>
      <c r="BH2412">
        <v>-3.89</v>
      </c>
      <c r="BI2412">
        <v>0.12</v>
      </c>
      <c r="BJ2412">
        <v>20210830</v>
      </c>
      <c r="BK2412">
        <v>19990727</v>
      </c>
      <c r="BL2412">
        <v>20</v>
      </c>
      <c r="BM2412" t="s">
        <v>120</v>
      </c>
      <c r="BN2412" t="s">
        <v>120</v>
      </c>
      <c r="BO2412">
        <v>205.53</v>
      </c>
      <c r="BP2412">
        <v>8.4</v>
      </c>
      <c r="BQ2412">
        <v>81.540000000000006</v>
      </c>
      <c r="BR2412">
        <v>2.73</v>
      </c>
      <c r="BS2412">
        <v>59</v>
      </c>
      <c r="BT2412">
        <v>159.13999999999999</v>
      </c>
      <c r="BU2412">
        <v>15.08</v>
      </c>
      <c r="BV2412">
        <v>3.8</v>
      </c>
      <c r="BW2412">
        <v>113.26</v>
      </c>
      <c r="BX2412">
        <v>28</v>
      </c>
      <c r="BY2412">
        <v>21.48</v>
      </c>
      <c r="BZ2412">
        <v>42.17</v>
      </c>
      <c r="CA2412" t="s">
        <v>120</v>
      </c>
      <c r="CB2412">
        <v>6.15</v>
      </c>
      <c r="CC2412">
        <v>88.43</v>
      </c>
      <c r="CD2412">
        <v>78.180000000000007</v>
      </c>
      <c r="CE2412">
        <v>4.8600000000000003</v>
      </c>
      <c r="CF2412">
        <v>3.3</v>
      </c>
      <c r="CG2412">
        <v>4.7300000000000004</v>
      </c>
      <c r="CH2412">
        <v>5.0999999999999996</v>
      </c>
      <c r="CI2412">
        <v>5.04</v>
      </c>
      <c r="CJ2412">
        <v>-0.33</v>
      </c>
      <c r="CK2412">
        <v>4.8899999999999997</v>
      </c>
      <c r="CL2412">
        <v>46.23</v>
      </c>
      <c r="CM2412">
        <v>-21.77</v>
      </c>
      <c r="CN2412">
        <v>-27.26</v>
      </c>
      <c r="CO2412">
        <v>161627</v>
      </c>
      <c r="CP2412">
        <v>4937</v>
      </c>
      <c r="CQ2412" t="s">
        <v>11197</v>
      </c>
      <c r="CR2412">
        <v>71.680000000000007</v>
      </c>
      <c r="CS2412">
        <v>36.880000000000003</v>
      </c>
      <c r="CT2412">
        <v>2.06</v>
      </c>
      <c r="CU2412">
        <v>-7.73</v>
      </c>
      <c r="CV2412">
        <v>1.9</v>
      </c>
      <c r="CW2412">
        <v>0.95</v>
      </c>
      <c r="CX2412" t="s">
        <v>11198</v>
      </c>
      <c r="CY2412">
        <v>4.08</v>
      </c>
      <c r="CZ2412">
        <v>0</v>
      </c>
      <c r="DA2412">
        <v>0.31</v>
      </c>
      <c r="DB2412">
        <v>2.31</v>
      </c>
      <c r="DC2412">
        <v>-1.0900000000000001</v>
      </c>
      <c r="DD2412">
        <v>39.68</v>
      </c>
      <c r="DE2412" t="s">
        <v>11199</v>
      </c>
      <c r="DF2412">
        <v>11.6</v>
      </c>
      <c r="DG2412">
        <v>5.49</v>
      </c>
      <c r="DH2412">
        <v>5.7</v>
      </c>
      <c r="DI2412">
        <v>2.09</v>
      </c>
      <c r="DJ2412">
        <v>4957</v>
      </c>
      <c r="DK2412">
        <v>600006</v>
      </c>
      <c r="DL2412" t="s">
        <v>120</v>
      </c>
      <c r="DM2412" t="s">
        <v>120</v>
      </c>
      <c r="DN2412" t="s">
        <v>120</v>
      </c>
    </row>
    <row r="2413" spans="1:118">
      <c r="A2413" t="str">
        <f>"600007"</f>
        <v>600007</v>
      </c>
      <c r="B2413" t="s">
        <v>11200</v>
      </c>
      <c r="C2413">
        <v>-4.38</v>
      </c>
      <c r="D2413">
        <v>-0.31</v>
      </c>
      <c r="E2413">
        <v>0.49</v>
      </c>
      <c r="F2413">
        <v>2441</v>
      </c>
      <c r="G2413" t="s">
        <v>5212</v>
      </c>
      <c r="H2413">
        <v>14022.56</v>
      </c>
      <c r="I2413">
        <v>16.3</v>
      </c>
      <c r="J2413" t="s">
        <v>120</v>
      </c>
      <c r="K2413" t="s">
        <v>11201</v>
      </c>
      <c r="L2413">
        <v>0.88</v>
      </c>
      <c r="M2413">
        <v>15.51</v>
      </c>
      <c r="N2413">
        <v>1.34</v>
      </c>
      <c r="O2413">
        <v>1.29</v>
      </c>
      <c r="P2413">
        <v>16.43</v>
      </c>
      <c r="Q2413">
        <v>-4.38</v>
      </c>
      <c r="R2413">
        <v>15.51</v>
      </c>
      <c r="S2413">
        <v>16.3</v>
      </c>
      <c r="T2413">
        <v>88182</v>
      </c>
      <c r="U2413">
        <v>15.56</v>
      </c>
      <c r="V2413">
        <v>16.22</v>
      </c>
      <c r="W2413">
        <v>15.29</v>
      </c>
      <c r="X2413" t="s">
        <v>1384</v>
      </c>
      <c r="Y2413" t="s">
        <v>158</v>
      </c>
      <c r="Z2413">
        <v>5.67</v>
      </c>
      <c r="AA2413">
        <v>15.9</v>
      </c>
      <c r="AB2413">
        <v>46350</v>
      </c>
      <c r="AC2413">
        <v>41832</v>
      </c>
      <c r="AD2413">
        <v>1.1100000000000001</v>
      </c>
      <c r="AE2413">
        <v>187</v>
      </c>
      <c r="AF2413">
        <v>54</v>
      </c>
      <c r="AG2413" t="s">
        <v>120</v>
      </c>
      <c r="AH2413">
        <v>0.01</v>
      </c>
      <c r="AI2413" t="s">
        <v>120</v>
      </c>
      <c r="AJ2413">
        <v>10.07</v>
      </c>
      <c r="AK2413" t="s">
        <v>11201</v>
      </c>
      <c r="AL2413">
        <v>-3.03</v>
      </c>
      <c r="AM2413">
        <v>3361</v>
      </c>
      <c r="AN2413">
        <v>26</v>
      </c>
      <c r="AO2413">
        <v>2.9999999999999997E-4</v>
      </c>
      <c r="AP2413">
        <v>-3</v>
      </c>
      <c r="AQ2413">
        <v>-2.7</v>
      </c>
      <c r="AR2413">
        <v>-10.35</v>
      </c>
      <c r="AS2413">
        <v>2.17</v>
      </c>
      <c r="AT2413">
        <v>-11.12</v>
      </c>
      <c r="AU2413">
        <v>28.72</v>
      </c>
      <c r="AV2413">
        <v>9</v>
      </c>
      <c r="AW2413">
        <v>4.5199999999999996</v>
      </c>
      <c r="AX2413">
        <v>19.350000000000001</v>
      </c>
      <c r="AY2413">
        <v>17.579999999999998</v>
      </c>
      <c r="AZ2413">
        <v>19.79</v>
      </c>
      <c r="BA2413">
        <v>1.41</v>
      </c>
      <c r="BB2413" t="s">
        <v>143</v>
      </c>
      <c r="BF2413">
        <v>-1.96</v>
      </c>
      <c r="BG2413">
        <v>-4.8499999999999996</v>
      </c>
      <c r="BH2413">
        <v>-5.6</v>
      </c>
      <c r="BI2413">
        <v>0</v>
      </c>
      <c r="BJ2413">
        <v>20210910</v>
      </c>
      <c r="BK2413">
        <v>19990312</v>
      </c>
      <c r="BL2413">
        <v>10.07</v>
      </c>
      <c r="BM2413" t="s">
        <v>120</v>
      </c>
      <c r="BN2413" t="s">
        <v>120</v>
      </c>
      <c r="BO2413">
        <v>121.99</v>
      </c>
      <c r="BP2413">
        <v>15.51</v>
      </c>
      <c r="BQ2413">
        <v>81.209999999999994</v>
      </c>
      <c r="BR2413" t="s">
        <v>120</v>
      </c>
      <c r="BS2413">
        <v>33.43</v>
      </c>
      <c r="BT2413">
        <v>26.7</v>
      </c>
      <c r="BU2413">
        <v>17.16</v>
      </c>
      <c r="BV2413">
        <v>4.87</v>
      </c>
      <c r="BW2413">
        <v>13.84</v>
      </c>
      <c r="BX2413">
        <v>22.01</v>
      </c>
      <c r="BY2413">
        <v>0.33</v>
      </c>
      <c r="BZ2413">
        <v>4.09</v>
      </c>
      <c r="CA2413">
        <v>0.28000000000000003</v>
      </c>
      <c r="CB2413">
        <v>18.73</v>
      </c>
      <c r="CC2413">
        <v>17.5</v>
      </c>
      <c r="CD2413">
        <v>7.5</v>
      </c>
      <c r="CE2413">
        <v>6.81</v>
      </c>
      <c r="CF2413">
        <v>0.05</v>
      </c>
      <c r="CG2413">
        <v>6.82</v>
      </c>
      <c r="CH2413">
        <v>5.1100000000000003</v>
      </c>
      <c r="CI2413">
        <v>5.1100000000000003</v>
      </c>
      <c r="CJ2413">
        <v>-0.71</v>
      </c>
      <c r="CK2413">
        <v>5.09</v>
      </c>
      <c r="CL2413">
        <v>47.37</v>
      </c>
      <c r="CM2413">
        <v>8.81</v>
      </c>
      <c r="CN2413">
        <v>3.57</v>
      </c>
      <c r="CO2413">
        <v>20020</v>
      </c>
      <c r="CP2413">
        <v>9736</v>
      </c>
      <c r="CQ2413" t="s">
        <v>11202</v>
      </c>
      <c r="CR2413">
        <v>25.59</v>
      </c>
      <c r="CS2413">
        <v>22.05</v>
      </c>
      <c r="CT2413">
        <v>1.92</v>
      </c>
      <c r="CU2413">
        <v>17.739999999999998</v>
      </c>
      <c r="CV2413">
        <v>8.93</v>
      </c>
      <c r="CW2413">
        <v>2.4700000000000002</v>
      </c>
      <c r="CX2413" t="s">
        <v>1001</v>
      </c>
      <c r="CY2413">
        <v>8.06</v>
      </c>
      <c r="CZ2413">
        <v>0</v>
      </c>
      <c r="DA2413">
        <v>1.86</v>
      </c>
      <c r="DB2413">
        <v>4.7</v>
      </c>
      <c r="DC2413">
        <v>0.87</v>
      </c>
      <c r="DD2413">
        <v>66.569999999999993</v>
      </c>
      <c r="DE2413" t="s">
        <v>7237</v>
      </c>
      <c r="DF2413">
        <v>57.14</v>
      </c>
      <c r="DG2413">
        <v>38.93</v>
      </c>
      <c r="DH2413">
        <v>29.2</v>
      </c>
      <c r="DI2413" t="s">
        <v>120</v>
      </c>
      <c r="DJ2413">
        <v>2078</v>
      </c>
      <c r="DK2413">
        <v>600007</v>
      </c>
      <c r="DL2413" t="s">
        <v>120</v>
      </c>
      <c r="DM2413" t="s">
        <v>120</v>
      </c>
      <c r="DN2413" t="s">
        <v>120</v>
      </c>
    </row>
    <row r="2414" spans="1:118">
      <c r="A2414" t="str">
        <f>"600008"</f>
        <v>600008</v>
      </c>
      <c r="B2414" t="s">
        <v>11203</v>
      </c>
      <c r="C2414">
        <v>-3.65</v>
      </c>
      <c r="D2414">
        <v>0</v>
      </c>
      <c r="E2414">
        <v>0</v>
      </c>
      <c r="F2414">
        <v>43794</v>
      </c>
      <c r="G2414" t="s">
        <v>11204</v>
      </c>
      <c r="H2414">
        <v>61687.51</v>
      </c>
      <c r="I2414">
        <v>156.13999999999999</v>
      </c>
      <c r="J2414" t="s">
        <v>120</v>
      </c>
      <c r="K2414" t="s">
        <v>11205</v>
      </c>
      <c r="L2414">
        <v>2.08</v>
      </c>
      <c r="M2414">
        <v>3.96</v>
      </c>
      <c r="N2414">
        <v>0.92</v>
      </c>
      <c r="O2414">
        <v>0.97</v>
      </c>
      <c r="P2414">
        <v>4.1500000000000004</v>
      </c>
      <c r="Q2414">
        <v>-3.89</v>
      </c>
      <c r="R2414">
        <v>3.95</v>
      </c>
      <c r="S2414">
        <v>4.1100000000000003</v>
      </c>
      <c r="T2414">
        <v>1529354</v>
      </c>
      <c r="U2414">
        <v>3.96</v>
      </c>
      <c r="V2414">
        <v>4.1100000000000003</v>
      </c>
      <c r="W2414">
        <v>10.17</v>
      </c>
      <c r="X2414" t="s">
        <v>318</v>
      </c>
      <c r="Y2414" t="s">
        <v>158</v>
      </c>
      <c r="Z2414">
        <v>4.87</v>
      </c>
      <c r="AA2414">
        <v>4.03</v>
      </c>
      <c r="AB2414">
        <v>901344</v>
      </c>
      <c r="AC2414">
        <v>628009</v>
      </c>
      <c r="AD2414">
        <v>1.44</v>
      </c>
      <c r="AE2414">
        <v>24219</v>
      </c>
      <c r="AF2414">
        <v>2008</v>
      </c>
      <c r="AG2414" t="s">
        <v>120</v>
      </c>
      <c r="AH2414">
        <v>0.01</v>
      </c>
      <c r="AI2414" t="s">
        <v>120</v>
      </c>
      <c r="AJ2414">
        <v>73.41</v>
      </c>
      <c r="AK2414" t="s">
        <v>11205</v>
      </c>
      <c r="AL2414">
        <v>-2.31</v>
      </c>
      <c r="AM2414">
        <v>4596</v>
      </c>
      <c r="AN2414">
        <v>333</v>
      </c>
      <c r="AO2414">
        <v>5.0000000000000001E-4</v>
      </c>
      <c r="AP2414">
        <v>-1</v>
      </c>
      <c r="AQ2414">
        <v>3.27</v>
      </c>
      <c r="AR2414">
        <v>-2.7</v>
      </c>
      <c r="AS2414">
        <v>20.36</v>
      </c>
      <c r="AT2414">
        <v>27.74</v>
      </c>
      <c r="AU2414">
        <v>43.48</v>
      </c>
      <c r="AV2414">
        <v>0</v>
      </c>
      <c r="AW2414">
        <v>3.89</v>
      </c>
      <c r="AX2414">
        <v>53.63</v>
      </c>
      <c r="AY2414">
        <v>12.2</v>
      </c>
      <c r="AZ2414">
        <v>20.52</v>
      </c>
      <c r="BA2414">
        <v>0.66</v>
      </c>
      <c r="BB2414" t="s">
        <v>168</v>
      </c>
      <c r="BF2414">
        <v>-1.86</v>
      </c>
      <c r="BG2414">
        <v>-3.65</v>
      </c>
      <c r="BH2414">
        <v>-4.58</v>
      </c>
      <c r="BI2414">
        <v>0.25</v>
      </c>
      <c r="BJ2414">
        <v>20210830</v>
      </c>
      <c r="BK2414">
        <v>20000427</v>
      </c>
      <c r="BL2414">
        <v>73.41</v>
      </c>
      <c r="BM2414" t="s">
        <v>120</v>
      </c>
      <c r="BN2414" t="s">
        <v>120</v>
      </c>
      <c r="BO2414">
        <v>1035.93</v>
      </c>
      <c r="BP2414">
        <v>3.95</v>
      </c>
      <c r="BQ2414">
        <v>268.31</v>
      </c>
      <c r="BR2414">
        <v>104.77</v>
      </c>
      <c r="BS2414">
        <v>63.99</v>
      </c>
      <c r="BT2414">
        <v>187.7</v>
      </c>
      <c r="BU2414">
        <v>64.16</v>
      </c>
      <c r="BV2414">
        <v>330.17</v>
      </c>
      <c r="BW2414">
        <v>268.01</v>
      </c>
      <c r="BX2414">
        <v>66.11</v>
      </c>
      <c r="BY2414">
        <v>11.9</v>
      </c>
      <c r="BZ2414">
        <v>58.51</v>
      </c>
      <c r="CA2414" t="s">
        <v>120</v>
      </c>
      <c r="CB2414">
        <v>44.91</v>
      </c>
      <c r="CC2414">
        <v>86.26</v>
      </c>
      <c r="CD2414">
        <v>57.16</v>
      </c>
      <c r="CE2414">
        <v>18.39</v>
      </c>
      <c r="CF2414">
        <v>7.6</v>
      </c>
      <c r="CG2414">
        <v>18.440000000000001</v>
      </c>
      <c r="CH2414">
        <v>15.81</v>
      </c>
      <c r="CI2414">
        <v>14.29</v>
      </c>
      <c r="CJ2414">
        <v>-0.15</v>
      </c>
      <c r="CK2414">
        <v>7.62</v>
      </c>
      <c r="CL2414">
        <v>36.1</v>
      </c>
      <c r="CM2414">
        <v>17.04</v>
      </c>
      <c r="CN2414">
        <v>-23.08</v>
      </c>
      <c r="CO2414">
        <v>189219</v>
      </c>
      <c r="CP2414">
        <v>20804</v>
      </c>
      <c r="CQ2414" t="s">
        <v>8037</v>
      </c>
      <c r="CR2414">
        <v>235.33</v>
      </c>
      <c r="CS2414">
        <v>24</v>
      </c>
      <c r="CT2414">
        <v>1.73</v>
      </c>
      <c r="CU2414">
        <v>17.05</v>
      </c>
      <c r="CV2414">
        <v>3.37</v>
      </c>
      <c r="CW2414">
        <v>1.7</v>
      </c>
      <c r="CX2414" t="s">
        <v>6828</v>
      </c>
      <c r="CY2414">
        <v>2.29</v>
      </c>
      <c r="CZ2414">
        <v>2.29</v>
      </c>
      <c r="DA2414">
        <v>0.61</v>
      </c>
      <c r="DB2414">
        <v>0.49</v>
      </c>
      <c r="DC2414">
        <v>0.23</v>
      </c>
      <c r="DD2414">
        <v>25.9</v>
      </c>
      <c r="DE2414" t="s">
        <v>5283</v>
      </c>
      <c r="DF2414">
        <v>33.74</v>
      </c>
      <c r="DG2414">
        <v>21.32</v>
      </c>
      <c r="DH2414">
        <v>16.559999999999999</v>
      </c>
      <c r="DI2414">
        <v>0.46</v>
      </c>
      <c r="DJ2414">
        <v>17261</v>
      </c>
      <c r="DK2414">
        <v>600008</v>
      </c>
      <c r="DL2414" t="s">
        <v>120</v>
      </c>
      <c r="DM2414" t="s">
        <v>120</v>
      </c>
      <c r="DN2414" t="s">
        <v>120</v>
      </c>
    </row>
    <row r="2415" spans="1:118">
      <c r="A2415" t="str">
        <f>"600009"</f>
        <v>600009</v>
      </c>
      <c r="B2415" t="s">
        <v>11206</v>
      </c>
      <c r="C2415">
        <v>-1.35</v>
      </c>
      <c r="D2415">
        <v>0.02</v>
      </c>
      <c r="E2415">
        <v>-0.26</v>
      </c>
      <c r="F2415">
        <v>1970</v>
      </c>
      <c r="G2415" t="s">
        <v>11207</v>
      </c>
      <c r="H2415">
        <v>52125.120000000003</v>
      </c>
      <c r="I2415">
        <v>330.81</v>
      </c>
      <c r="J2415" t="s">
        <v>120</v>
      </c>
      <c r="K2415" t="s">
        <v>11208</v>
      </c>
      <c r="L2415">
        <v>1.1299999999999999</v>
      </c>
      <c r="M2415">
        <v>42.27</v>
      </c>
      <c r="N2415">
        <v>0.83</v>
      </c>
      <c r="O2415">
        <v>0.57999999999999996</v>
      </c>
      <c r="P2415">
        <v>43.1</v>
      </c>
      <c r="Q2415">
        <v>-1.96</v>
      </c>
      <c r="R2415">
        <v>42.01</v>
      </c>
      <c r="S2415">
        <v>42.74</v>
      </c>
      <c r="T2415">
        <v>123271</v>
      </c>
      <c r="U2415">
        <v>42.28</v>
      </c>
      <c r="V2415">
        <v>42.85</v>
      </c>
      <c r="W2415" t="s">
        <v>120</v>
      </c>
      <c r="X2415" t="s">
        <v>518</v>
      </c>
      <c r="Y2415" t="s">
        <v>1510</v>
      </c>
      <c r="Z2415">
        <v>2.54</v>
      </c>
      <c r="AA2415">
        <v>42.28</v>
      </c>
      <c r="AB2415">
        <v>55637</v>
      </c>
      <c r="AC2415">
        <v>67634</v>
      </c>
      <c r="AD2415">
        <v>0.82</v>
      </c>
      <c r="AE2415">
        <v>7444</v>
      </c>
      <c r="AF2415">
        <v>112</v>
      </c>
      <c r="AG2415" t="s">
        <v>120</v>
      </c>
      <c r="AH2415">
        <v>0.01</v>
      </c>
      <c r="AI2415" t="s">
        <v>120</v>
      </c>
      <c r="AJ2415">
        <v>10.93</v>
      </c>
      <c r="AK2415" t="s">
        <v>11209</v>
      </c>
      <c r="AL2415">
        <v>-0.01</v>
      </c>
      <c r="AM2415">
        <v>4367</v>
      </c>
      <c r="AN2415">
        <v>28</v>
      </c>
      <c r="AO2415">
        <v>2.9999999999999997E-4</v>
      </c>
      <c r="AP2415">
        <v>-4</v>
      </c>
      <c r="AQ2415">
        <v>-1.08</v>
      </c>
      <c r="AR2415">
        <v>-4.9000000000000004</v>
      </c>
      <c r="AS2415">
        <v>6.04</v>
      </c>
      <c r="AT2415">
        <v>-13.47</v>
      </c>
      <c r="AU2415">
        <v>-44.14</v>
      </c>
      <c r="AV2415">
        <v>0</v>
      </c>
      <c r="AW2415">
        <v>1.37</v>
      </c>
      <c r="AX2415">
        <v>46.75</v>
      </c>
      <c r="AY2415" t="s">
        <v>120</v>
      </c>
      <c r="AZ2415" t="s">
        <v>120</v>
      </c>
      <c r="BA2415">
        <v>0.9</v>
      </c>
      <c r="BB2415" t="s">
        <v>143</v>
      </c>
      <c r="BF2415">
        <v>-1.32</v>
      </c>
      <c r="BG2415">
        <v>-1.1000000000000001</v>
      </c>
      <c r="BH2415">
        <v>-1.93</v>
      </c>
      <c r="BI2415">
        <v>0.62</v>
      </c>
      <c r="BJ2415">
        <v>20210830</v>
      </c>
      <c r="BK2415">
        <v>19980218</v>
      </c>
      <c r="BL2415">
        <v>19.27</v>
      </c>
      <c r="BM2415" t="s">
        <v>120</v>
      </c>
      <c r="BN2415" t="s">
        <v>120</v>
      </c>
      <c r="BO2415">
        <v>522.71</v>
      </c>
      <c r="BP2415">
        <v>42.27</v>
      </c>
      <c r="BQ2415">
        <v>284.75</v>
      </c>
      <c r="BR2415">
        <v>1.6</v>
      </c>
      <c r="BS2415">
        <v>45.22</v>
      </c>
      <c r="BT2415">
        <v>124.37</v>
      </c>
      <c r="BU2415">
        <v>184.31</v>
      </c>
      <c r="BV2415">
        <v>4.72</v>
      </c>
      <c r="BW2415">
        <v>69.81</v>
      </c>
      <c r="BX2415">
        <v>107.72</v>
      </c>
      <c r="BY2415">
        <v>0.19</v>
      </c>
      <c r="BZ2415">
        <v>12.32</v>
      </c>
      <c r="CA2415">
        <v>1.32</v>
      </c>
      <c r="CB2415">
        <v>25.75</v>
      </c>
      <c r="CC2415">
        <v>18.04</v>
      </c>
      <c r="CD2415">
        <v>29.69</v>
      </c>
      <c r="CE2415">
        <v>-10.63</v>
      </c>
      <c r="CF2415">
        <v>4.2699999999999996</v>
      </c>
      <c r="CG2415">
        <v>-10.63</v>
      </c>
      <c r="CH2415">
        <v>-6.93</v>
      </c>
      <c r="CI2415">
        <v>-7.41</v>
      </c>
      <c r="CJ2415">
        <v>-0.57999999999999996</v>
      </c>
      <c r="CK2415">
        <v>-7.4</v>
      </c>
      <c r="CL2415">
        <v>226.63</v>
      </c>
      <c r="CM2415">
        <v>1.9</v>
      </c>
      <c r="CN2415">
        <v>31.16</v>
      </c>
      <c r="CO2415">
        <v>342373</v>
      </c>
      <c r="CP2415">
        <v>2631</v>
      </c>
      <c r="CQ2415" t="s">
        <v>11210</v>
      </c>
      <c r="CR2415">
        <v>-92</v>
      </c>
      <c r="CS2415">
        <v>-26.97</v>
      </c>
      <c r="CT2415">
        <v>2.86</v>
      </c>
      <c r="CU2415">
        <v>428.41</v>
      </c>
      <c r="CV2415">
        <v>45.15</v>
      </c>
      <c r="CW2415">
        <v>0</v>
      </c>
      <c r="CX2415" t="s">
        <v>1350</v>
      </c>
      <c r="CY2415">
        <v>14.78</v>
      </c>
      <c r="CZ2415">
        <v>0</v>
      </c>
      <c r="DA2415">
        <v>1.34</v>
      </c>
      <c r="DB2415">
        <v>11.76</v>
      </c>
      <c r="DC2415">
        <v>0.1</v>
      </c>
      <c r="DD2415">
        <v>54.48</v>
      </c>
      <c r="DE2415" t="s">
        <v>11211</v>
      </c>
      <c r="DF2415">
        <v>-64.58</v>
      </c>
      <c r="DG2415">
        <v>-58.92</v>
      </c>
      <c r="DH2415">
        <v>-41.06</v>
      </c>
      <c r="DI2415" t="s">
        <v>120</v>
      </c>
      <c r="DJ2415">
        <v>8218</v>
      </c>
      <c r="DK2415">
        <v>600009</v>
      </c>
      <c r="DL2415" t="s">
        <v>120</v>
      </c>
      <c r="DM2415" t="s">
        <v>120</v>
      </c>
      <c r="DN2415" t="s">
        <v>120</v>
      </c>
    </row>
    <row r="2416" spans="1:118">
      <c r="A2416" t="str">
        <f>"600010"</f>
        <v>600010</v>
      </c>
      <c r="B2416" t="s">
        <v>11212</v>
      </c>
      <c r="C2416">
        <v>-1.36</v>
      </c>
      <c r="D2416">
        <v>0</v>
      </c>
      <c r="E2416">
        <v>1.36</v>
      </c>
      <c r="F2416">
        <v>117027</v>
      </c>
      <c r="G2416" t="s">
        <v>11213</v>
      </c>
      <c r="H2416">
        <v>649009.55000000005</v>
      </c>
      <c r="I2416">
        <v>2856.29</v>
      </c>
      <c r="J2416" t="s">
        <v>120</v>
      </c>
      <c r="K2416" t="s">
        <v>11214</v>
      </c>
      <c r="L2416">
        <v>5.49</v>
      </c>
      <c r="M2416">
        <v>3.62</v>
      </c>
      <c r="N2416">
        <v>1.06</v>
      </c>
      <c r="O2416">
        <v>4.9000000000000004</v>
      </c>
      <c r="P2416">
        <v>3.85</v>
      </c>
      <c r="Q2416">
        <v>-1.63</v>
      </c>
      <c r="R2416">
        <v>3.61</v>
      </c>
      <c r="S2416">
        <v>3.72</v>
      </c>
      <c r="T2416">
        <v>17390212</v>
      </c>
      <c r="U2416">
        <v>3.63</v>
      </c>
      <c r="V2416">
        <v>3.67</v>
      </c>
      <c r="W2416">
        <v>29.85</v>
      </c>
      <c r="X2416" t="s">
        <v>1460</v>
      </c>
      <c r="Y2416" t="s">
        <v>785</v>
      </c>
      <c r="Z2416">
        <v>6.54</v>
      </c>
      <c r="AA2416">
        <v>3.73</v>
      </c>
      <c r="AB2416">
        <v>7417902</v>
      </c>
      <c r="AC2416">
        <v>9972311</v>
      </c>
      <c r="AD2416">
        <v>0.74</v>
      </c>
      <c r="AE2416">
        <v>35763</v>
      </c>
      <c r="AF2416">
        <v>32090</v>
      </c>
      <c r="AG2416" t="s">
        <v>120</v>
      </c>
      <c r="AH2416">
        <v>0.04</v>
      </c>
      <c r="AI2416" t="s">
        <v>120</v>
      </c>
      <c r="AJ2416">
        <v>316.77</v>
      </c>
      <c r="AK2416" t="s">
        <v>11215</v>
      </c>
      <c r="AL2416">
        <v>-0.02</v>
      </c>
      <c r="AM2416">
        <v>4745</v>
      </c>
      <c r="AN2416">
        <v>3665</v>
      </c>
      <c r="AO2416">
        <v>1.1999999999999999E-3</v>
      </c>
      <c r="AP2416">
        <v>-1</v>
      </c>
      <c r="AQ2416">
        <v>0.27</v>
      </c>
      <c r="AR2416">
        <v>-4.99</v>
      </c>
      <c r="AS2416">
        <v>41.41</v>
      </c>
      <c r="AT2416">
        <v>133.54</v>
      </c>
      <c r="AU2416">
        <v>209.41</v>
      </c>
      <c r="AV2416">
        <v>15</v>
      </c>
      <c r="AW2416">
        <v>8.48</v>
      </c>
      <c r="AX2416">
        <v>44.98</v>
      </c>
      <c r="AY2416">
        <v>54.21</v>
      </c>
      <c r="AZ2416">
        <v>412.1</v>
      </c>
      <c r="BA2416">
        <v>1.89</v>
      </c>
      <c r="BB2416" t="s">
        <v>143</v>
      </c>
      <c r="BF2416">
        <v>1.69</v>
      </c>
      <c r="BG2416">
        <v>-2.69</v>
      </c>
      <c r="BH2416">
        <v>-5.97</v>
      </c>
      <c r="BI2416">
        <v>0.28000000000000003</v>
      </c>
      <c r="BJ2416">
        <v>20210827</v>
      </c>
      <c r="BK2416">
        <v>20010309</v>
      </c>
      <c r="BL2416">
        <v>455.85</v>
      </c>
      <c r="BM2416" t="s">
        <v>120</v>
      </c>
      <c r="BN2416" t="s">
        <v>120</v>
      </c>
      <c r="BO2416">
        <v>1532.73</v>
      </c>
      <c r="BP2416">
        <v>3.62</v>
      </c>
      <c r="BQ2416">
        <v>557.12</v>
      </c>
      <c r="BR2416">
        <v>87.54</v>
      </c>
      <c r="BS2416">
        <v>57.94</v>
      </c>
      <c r="BT2416">
        <v>478.02</v>
      </c>
      <c r="BU2416">
        <v>645.94000000000005</v>
      </c>
      <c r="BV2416">
        <v>27.43</v>
      </c>
      <c r="BW2416">
        <v>645.19000000000005</v>
      </c>
      <c r="BX2416">
        <v>134.77000000000001</v>
      </c>
      <c r="BY2416">
        <v>205.96</v>
      </c>
      <c r="BZ2416">
        <v>45.67</v>
      </c>
      <c r="CA2416" t="s">
        <v>120</v>
      </c>
      <c r="CB2416">
        <v>10.52</v>
      </c>
      <c r="CC2416">
        <v>394.37</v>
      </c>
      <c r="CD2416">
        <v>328.4</v>
      </c>
      <c r="CE2416">
        <v>37.31</v>
      </c>
      <c r="CF2416">
        <v>0.99</v>
      </c>
      <c r="CG2416">
        <v>37.08</v>
      </c>
      <c r="CH2416">
        <v>31.34</v>
      </c>
      <c r="CI2416">
        <v>27.64</v>
      </c>
      <c r="CJ2416">
        <v>-0.05</v>
      </c>
      <c r="CK2416">
        <v>27.68</v>
      </c>
      <c r="CL2416">
        <v>74.540000000000006</v>
      </c>
      <c r="CM2416">
        <v>44.84</v>
      </c>
      <c r="CN2416">
        <v>16.95</v>
      </c>
      <c r="CO2416">
        <v>717554</v>
      </c>
      <c r="CP2416">
        <v>28572</v>
      </c>
      <c r="CQ2416" t="s">
        <v>11216</v>
      </c>
      <c r="CR2416">
        <v>3188.14</v>
      </c>
      <c r="CS2416">
        <v>41.09</v>
      </c>
      <c r="CT2416">
        <v>2.96</v>
      </c>
      <c r="CU2416">
        <v>36.799999999999997</v>
      </c>
      <c r="CV2416">
        <v>4.18</v>
      </c>
      <c r="CW2416">
        <v>0</v>
      </c>
      <c r="CX2416" t="s">
        <v>7800</v>
      </c>
      <c r="CY2416">
        <v>1.22</v>
      </c>
      <c r="CZ2416">
        <v>0</v>
      </c>
      <c r="DA2416">
        <v>0.02</v>
      </c>
      <c r="DB2416">
        <v>0.16</v>
      </c>
      <c r="DC2416">
        <v>0.1</v>
      </c>
      <c r="DD2416">
        <v>36.35</v>
      </c>
      <c r="DE2416" t="s">
        <v>9491</v>
      </c>
      <c r="DF2416">
        <v>16.73</v>
      </c>
      <c r="DG2416">
        <v>9.4600000000000009</v>
      </c>
      <c r="DH2416">
        <v>7.01</v>
      </c>
      <c r="DI2416">
        <v>1.6</v>
      </c>
      <c r="DJ2416">
        <v>27800</v>
      </c>
      <c r="DK2416">
        <v>600010</v>
      </c>
      <c r="DL2416">
        <v>20210712</v>
      </c>
      <c r="DM2416">
        <v>2.0099999999999998</v>
      </c>
      <c r="DN2416">
        <v>80.099999999999994</v>
      </c>
    </row>
    <row r="2417" spans="1:118">
      <c r="A2417" t="str">
        <f>"600011"</f>
        <v>600011</v>
      </c>
      <c r="B2417" t="s">
        <v>11217</v>
      </c>
      <c r="C2417">
        <v>-6.41</v>
      </c>
      <c r="D2417">
        <v>-0.78</v>
      </c>
      <c r="E2417">
        <v>-1.19</v>
      </c>
      <c r="F2417">
        <v>58603</v>
      </c>
      <c r="G2417" t="s">
        <v>11218</v>
      </c>
      <c r="H2417">
        <v>88640.91</v>
      </c>
      <c r="I2417">
        <v>224.09</v>
      </c>
      <c r="J2417" t="s">
        <v>120</v>
      </c>
      <c r="K2417" t="s">
        <v>11219</v>
      </c>
      <c r="L2417">
        <v>1.25</v>
      </c>
      <c r="M2417">
        <v>6.28</v>
      </c>
      <c r="N2417">
        <v>0.86</v>
      </c>
      <c r="O2417">
        <v>-0.89</v>
      </c>
      <c r="P2417">
        <v>6.65</v>
      </c>
      <c r="Q2417">
        <v>-6.41</v>
      </c>
      <c r="R2417">
        <v>6.28</v>
      </c>
      <c r="S2417">
        <v>6.63</v>
      </c>
      <c r="T2417">
        <v>1371021</v>
      </c>
      <c r="U2417">
        <v>6.28</v>
      </c>
      <c r="V2417">
        <v>6.71</v>
      </c>
      <c r="W2417">
        <v>11.51</v>
      </c>
      <c r="X2417" t="s">
        <v>268</v>
      </c>
      <c r="Y2417" t="s">
        <v>158</v>
      </c>
      <c r="Z2417">
        <v>5.51</v>
      </c>
      <c r="AA2417">
        <v>6.47</v>
      </c>
      <c r="AB2417">
        <v>721146</v>
      </c>
      <c r="AC2417">
        <v>649875</v>
      </c>
      <c r="AD2417">
        <v>1.1100000000000001</v>
      </c>
      <c r="AE2417">
        <v>2800</v>
      </c>
      <c r="AF2417">
        <v>16891</v>
      </c>
      <c r="AG2417" t="s">
        <v>120</v>
      </c>
      <c r="AH2417">
        <v>0.01</v>
      </c>
      <c r="AI2417" t="s">
        <v>120</v>
      </c>
      <c r="AJ2417">
        <v>109.98</v>
      </c>
      <c r="AK2417" t="s">
        <v>11219</v>
      </c>
      <c r="AL2417">
        <v>-5.0599999999999996</v>
      </c>
      <c r="AM2417">
        <v>4590</v>
      </c>
      <c r="AN2417">
        <v>299</v>
      </c>
      <c r="AO2417">
        <v>2.9999999999999997E-4</v>
      </c>
      <c r="AP2417">
        <v>-1</v>
      </c>
      <c r="AQ2417">
        <v>0.6</v>
      </c>
      <c r="AR2417">
        <v>-9.51</v>
      </c>
      <c r="AS2417">
        <v>35.049999999999997</v>
      </c>
      <c r="AT2417">
        <v>58.98</v>
      </c>
      <c r="AU2417">
        <v>46.05</v>
      </c>
      <c r="AV2417">
        <v>4</v>
      </c>
      <c r="AW2417">
        <v>3.13</v>
      </c>
      <c r="AX2417">
        <v>39.79</v>
      </c>
      <c r="AY2417">
        <v>33.82</v>
      </c>
      <c r="AZ2417">
        <v>23.07</v>
      </c>
      <c r="BA2417">
        <v>0.62</v>
      </c>
      <c r="BB2417" t="s">
        <v>143</v>
      </c>
      <c r="BF2417">
        <v>-3.65</v>
      </c>
      <c r="BG2417">
        <v>-5.28</v>
      </c>
      <c r="BH2417">
        <v>-5.56</v>
      </c>
      <c r="BI2417">
        <v>0</v>
      </c>
      <c r="BJ2417">
        <v>20210803</v>
      </c>
      <c r="BK2417">
        <v>20011206</v>
      </c>
      <c r="BL2417">
        <v>156.97999999999999</v>
      </c>
      <c r="BM2417" t="s">
        <v>120</v>
      </c>
      <c r="BN2417">
        <v>47</v>
      </c>
      <c r="BO2417">
        <v>4481.97</v>
      </c>
      <c r="BP2417">
        <v>6.27</v>
      </c>
      <c r="BQ2417">
        <v>1209.69</v>
      </c>
      <c r="BR2417">
        <v>222.26</v>
      </c>
      <c r="BS2417">
        <v>68.05</v>
      </c>
      <c r="BT2417">
        <v>718.16</v>
      </c>
      <c r="BU2417">
        <v>2452.62</v>
      </c>
      <c r="BV2417">
        <v>138.61000000000001</v>
      </c>
      <c r="BW2417">
        <v>1439.8</v>
      </c>
      <c r="BX2417">
        <v>141.36000000000001</v>
      </c>
      <c r="BY2417">
        <v>86.82</v>
      </c>
      <c r="BZ2417">
        <v>330.25</v>
      </c>
      <c r="CA2417" t="s">
        <v>120</v>
      </c>
      <c r="CB2417">
        <v>176.5</v>
      </c>
      <c r="CC2417">
        <v>951.16</v>
      </c>
      <c r="CD2417">
        <v>824.88</v>
      </c>
      <c r="CE2417">
        <v>63.45</v>
      </c>
      <c r="CF2417">
        <v>8.94</v>
      </c>
      <c r="CG2417">
        <v>63.26</v>
      </c>
      <c r="CH2417">
        <v>51.71</v>
      </c>
      <c r="CI2417">
        <v>42.82</v>
      </c>
      <c r="CJ2417">
        <v>-0.43</v>
      </c>
      <c r="CK2417">
        <v>38.68</v>
      </c>
      <c r="CL2417">
        <v>316.3</v>
      </c>
      <c r="CM2417">
        <v>191.34</v>
      </c>
      <c r="CN2417">
        <v>2.94</v>
      </c>
      <c r="CO2417">
        <v>106024</v>
      </c>
      <c r="CP2417">
        <v>41273</v>
      </c>
      <c r="CQ2417" t="s">
        <v>3905</v>
      </c>
      <c r="CR2417">
        <v>-25.3</v>
      </c>
      <c r="CS2417">
        <v>20.170000000000002</v>
      </c>
      <c r="CT2417">
        <v>1.35</v>
      </c>
      <c r="CU2417">
        <v>5.15</v>
      </c>
      <c r="CV2417">
        <v>1.04</v>
      </c>
      <c r="CW2417">
        <v>2.68</v>
      </c>
      <c r="CX2417" t="s">
        <v>2097</v>
      </c>
      <c r="CY2417">
        <v>4.6500000000000004</v>
      </c>
      <c r="CZ2417">
        <v>4.6500000000000004</v>
      </c>
      <c r="DA2417">
        <v>1.1200000000000001</v>
      </c>
      <c r="DB2417">
        <v>2.0099999999999998</v>
      </c>
      <c r="DC2417">
        <v>1.22</v>
      </c>
      <c r="DD2417">
        <v>26.99</v>
      </c>
      <c r="DE2417" t="s">
        <v>1130</v>
      </c>
      <c r="DF2417">
        <v>13.28</v>
      </c>
      <c r="DG2417">
        <v>6.67</v>
      </c>
      <c r="DH2417">
        <v>4.5</v>
      </c>
      <c r="DI2417">
        <v>1.22</v>
      </c>
      <c r="DJ2417">
        <v>57874</v>
      </c>
      <c r="DK2417">
        <v>600011</v>
      </c>
      <c r="DL2417" t="s">
        <v>120</v>
      </c>
      <c r="DM2417" t="s">
        <v>120</v>
      </c>
      <c r="DN2417" t="s">
        <v>120</v>
      </c>
    </row>
    <row r="2418" spans="1:118">
      <c r="A2418" t="str">
        <f>"600012"</f>
        <v>600012</v>
      </c>
      <c r="B2418" t="s">
        <v>11220</v>
      </c>
      <c r="C2418">
        <v>-2.9</v>
      </c>
      <c r="D2418">
        <v>0</v>
      </c>
      <c r="E2418">
        <v>0</v>
      </c>
      <c r="F2418">
        <v>4448</v>
      </c>
      <c r="G2418" t="s">
        <v>5921</v>
      </c>
      <c r="H2418">
        <v>5771.34</v>
      </c>
      <c r="I2418">
        <v>18.260000000000002</v>
      </c>
      <c r="J2418" t="s">
        <v>120</v>
      </c>
      <c r="K2418" t="s">
        <v>11221</v>
      </c>
      <c r="L2418">
        <v>0.73</v>
      </c>
      <c r="M2418">
        <v>6.69</v>
      </c>
      <c r="N2418">
        <v>0.99</v>
      </c>
      <c r="O2418">
        <v>0.44</v>
      </c>
      <c r="P2418">
        <v>6.92</v>
      </c>
      <c r="Q2418">
        <v>-3.05</v>
      </c>
      <c r="R2418">
        <v>6.68</v>
      </c>
      <c r="S2418">
        <v>6.89</v>
      </c>
      <c r="T2418">
        <v>85230</v>
      </c>
      <c r="U2418">
        <v>6.7</v>
      </c>
      <c r="V2418">
        <v>6.89</v>
      </c>
      <c r="W2418">
        <v>7.81</v>
      </c>
      <c r="X2418" t="s">
        <v>800</v>
      </c>
      <c r="Y2418" t="s">
        <v>570</v>
      </c>
      <c r="Z2418">
        <v>3.48</v>
      </c>
      <c r="AA2418">
        <v>6.77</v>
      </c>
      <c r="AB2418">
        <v>41368</v>
      </c>
      <c r="AC2418">
        <v>43862</v>
      </c>
      <c r="AD2418">
        <v>0.94</v>
      </c>
      <c r="AE2418">
        <v>59</v>
      </c>
      <c r="AF2418">
        <v>87</v>
      </c>
      <c r="AG2418" t="s">
        <v>120</v>
      </c>
      <c r="AH2418">
        <v>0.01</v>
      </c>
      <c r="AI2418" t="s">
        <v>120</v>
      </c>
      <c r="AJ2418">
        <v>11.66</v>
      </c>
      <c r="AK2418" t="s">
        <v>11221</v>
      </c>
      <c r="AL2418">
        <v>-1.56</v>
      </c>
      <c r="AM2418">
        <v>2453</v>
      </c>
      <c r="AN2418">
        <v>35</v>
      </c>
      <c r="AO2418">
        <v>2.9999999999999997E-4</v>
      </c>
      <c r="AP2418">
        <v>-1</v>
      </c>
      <c r="AQ2418">
        <v>0.28999999999999998</v>
      </c>
      <c r="AR2418">
        <v>-4.97</v>
      </c>
      <c r="AS2418">
        <v>14.36</v>
      </c>
      <c r="AT2418">
        <v>3.56</v>
      </c>
      <c r="AU2418">
        <v>12.44</v>
      </c>
      <c r="AV2418">
        <v>1</v>
      </c>
      <c r="AW2418">
        <v>3.6</v>
      </c>
      <c r="AX2418">
        <v>20.309999999999999</v>
      </c>
      <c r="AY2418">
        <v>7.52</v>
      </c>
      <c r="AZ2418">
        <v>12.44</v>
      </c>
      <c r="BA2418">
        <v>0.74</v>
      </c>
      <c r="BB2418" t="s">
        <v>143</v>
      </c>
      <c r="BF2418">
        <v>-1.72</v>
      </c>
      <c r="BG2418">
        <v>-2.9</v>
      </c>
      <c r="BH2418">
        <v>-3.32</v>
      </c>
      <c r="BI2418">
        <v>0.15</v>
      </c>
      <c r="BJ2418">
        <v>20210830</v>
      </c>
      <c r="BK2418">
        <v>20030107</v>
      </c>
      <c r="BL2418">
        <v>16.59</v>
      </c>
      <c r="BM2418" t="s">
        <v>120</v>
      </c>
      <c r="BN2418">
        <v>4.93</v>
      </c>
      <c r="BO2418">
        <v>174.79</v>
      </c>
      <c r="BP2418">
        <v>6.69</v>
      </c>
      <c r="BQ2418">
        <v>116.06</v>
      </c>
      <c r="BR2418">
        <v>5.4</v>
      </c>
      <c r="BS2418">
        <v>30.51</v>
      </c>
      <c r="BT2418">
        <v>51.41</v>
      </c>
      <c r="BU2418">
        <v>8.43</v>
      </c>
      <c r="BV2418">
        <v>103</v>
      </c>
      <c r="BW2418">
        <v>18.73</v>
      </c>
      <c r="BX2418">
        <v>44.1</v>
      </c>
      <c r="BY2418">
        <v>0.06</v>
      </c>
      <c r="BZ2418">
        <v>0</v>
      </c>
      <c r="CA2418">
        <v>0.22</v>
      </c>
      <c r="CB2418">
        <v>2.81</v>
      </c>
      <c r="CC2418">
        <v>16.88</v>
      </c>
      <c r="CD2418">
        <v>6.27</v>
      </c>
      <c r="CE2418">
        <v>10.09</v>
      </c>
      <c r="CF2418">
        <v>0.31</v>
      </c>
      <c r="CG2418">
        <v>10.09</v>
      </c>
      <c r="CH2418">
        <v>7.25</v>
      </c>
      <c r="CI2418">
        <v>7.1</v>
      </c>
      <c r="CJ2418">
        <v>-0.2</v>
      </c>
      <c r="CK2418">
        <v>6.92</v>
      </c>
      <c r="CL2418">
        <v>88</v>
      </c>
      <c r="CM2418">
        <v>9.65</v>
      </c>
      <c r="CN2418">
        <v>20.21</v>
      </c>
      <c r="CO2418">
        <v>24121</v>
      </c>
      <c r="CP2418">
        <v>9816</v>
      </c>
      <c r="CQ2418" t="s">
        <v>4202</v>
      </c>
      <c r="CR2418">
        <v>547.64</v>
      </c>
      <c r="CS2418">
        <v>106.1</v>
      </c>
      <c r="CT2418">
        <v>0.96</v>
      </c>
      <c r="CU2418">
        <v>11.5</v>
      </c>
      <c r="CV2418">
        <v>6.57</v>
      </c>
      <c r="CW2418">
        <v>3.34</v>
      </c>
      <c r="CX2418" t="s">
        <v>11222</v>
      </c>
      <c r="CY2418">
        <v>7</v>
      </c>
      <c r="CZ2418">
        <v>0</v>
      </c>
      <c r="DA2418">
        <v>0.17</v>
      </c>
      <c r="DB2418">
        <v>5.31</v>
      </c>
      <c r="DC2418">
        <v>0.57999999999999996</v>
      </c>
      <c r="DD2418">
        <v>66.400000000000006</v>
      </c>
      <c r="DE2418" t="s">
        <v>1386</v>
      </c>
      <c r="DF2418">
        <v>62.84</v>
      </c>
      <c r="DG2418">
        <v>59.76</v>
      </c>
      <c r="DH2418">
        <v>42.09</v>
      </c>
      <c r="DI2418" t="s">
        <v>120</v>
      </c>
      <c r="DJ2418">
        <v>2030</v>
      </c>
      <c r="DK2418">
        <v>600012</v>
      </c>
      <c r="DL2418" t="s">
        <v>120</v>
      </c>
      <c r="DM2418" t="s">
        <v>120</v>
      </c>
      <c r="DN2418" t="s">
        <v>120</v>
      </c>
    </row>
    <row r="2419" spans="1:118">
      <c r="A2419" t="str">
        <f>"600015"</f>
        <v>600015</v>
      </c>
      <c r="B2419" t="s">
        <v>11223</v>
      </c>
      <c r="C2419">
        <v>-0.7</v>
      </c>
      <c r="D2419">
        <v>-0.34</v>
      </c>
      <c r="E2419">
        <v>-0.18</v>
      </c>
      <c r="F2419">
        <v>11943</v>
      </c>
      <c r="G2419" t="s">
        <v>11224</v>
      </c>
      <c r="H2419">
        <v>14454.75</v>
      </c>
      <c r="I2419">
        <v>73.97</v>
      </c>
      <c r="J2419" t="s">
        <v>120</v>
      </c>
      <c r="K2419" t="s">
        <v>11225</v>
      </c>
      <c r="L2419">
        <v>0.2</v>
      </c>
      <c r="M2419">
        <v>5.64</v>
      </c>
      <c r="N2419">
        <v>0.85</v>
      </c>
      <c r="O2419">
        <v>0.7</v>
      </c>
      <c r="P2419">
        <v>5.72</v>
      </c>
      <c r="Q2419">
        <v>-0.7</v>
      </c>
      <c r="R2419">
        <v>5.64</v>
      </c>
      <c r="S2419">
        <v>5.67</v>
      </c>
      <c r="T2419">
        <v>254733</v>
      </c>
      <c r="U2419">
        <v>5.65</v>
      </c>
      <c r="V2419">
        <v>5.68</v>
      </c>
      <c r="W2419">
        <v>3.95</v>
      </c>
      <c r="X2419" t="s">
        <v>122</v>
      </c>
      <c r="Y2419" t="s">
        <v>158</v>
      </c>
      <c r="Z2419">
        <v>1.41</v>
      </c>
      <c r="AA2419">
        <v>5.67</v>
      </c>
      <c r="AB2419">
        <v>110510</v>
      </c>
      <c r="AC2419">
        <v>144223</v>
      </c>
      <c r="AD2419">
        <v>0.77</v>
      </c>
      <c r="AE2419">
        <v>3420</v>
      </c>
      <c r="AF2419">
        <v>204</v>
      </c>
      <c r="AG2419" t="s">
        <v>120</v>
      </c>
      <c r="AH2419">
        <v>0</v>
      </c>
      <c r="AI2419" t="s">
        <v>120</v>
      </c>
      <c r="AJ2419">
        <v>128.22999999999999</v>
      </c>
      <c r="AK2419" t="s">
        <v>11226</v>
      </c>
      <c r="AL2419">
        <v>0.64</v>
      </c>
      <c r="AM2419">
        <v>3396</v>
      </c>
      <c r="AN2419">
        <v>75</v>
      </c>
      <c r="AO2419">
        <v>1E-4</v>
      </c>
      <c r="AP2419">
        <v>-4</v>
      </c>
      <c r="AQ2419">
        <v>-0.18</v>
      </c>
      <c r="AR2419">
        <v>-2.6</v>
      </c>
      <c r="AS2419">
        <v>1.25</v>
      </c>
      <c r="AT2419">
        <v>-5.03</v>
      </c>
      <c r="AU2419">
        <v>-5.19</v>
      </c>
      <c r="AV2419">
        <v>0</v>
      </c>
      <c r="AW2419">
        <v>0.5</v>
      </c>
      <c r="AX2419">
        <v>33.130000000000003</v>
      </c>
      <c r="AY2419">
        <v>3.81</v>
      </c>
      <c r="AZ2419">
        <v>4.1100000000000003</v>
      </c>
      <c r="BA2419">
        <v>0.44</v>
      </c>
      <c r="BB2419" t="s">
        <v>143</v>
      </c>
      <c r="BF2419">
        <v>-0.1</v>
      </c>
      <c r="BG2419">
        <v>-0.53</v>
      </c>
      <c r="BH2419">
        <v>-1.4</v>
      </c>
      <c r="BI2419">
        <v>0</v>
      </c>
      <c r="BJ2419">
        <v>20210910</v>
      </c>
      <c r="BK2419">
        <v>20030912</v>
      </c>
      <c r="BL2419">
        <v>153.87</v>
      </c>
      <c r="BM2419" t="s">
        <v>120</v>
      </c>
      <c r="BN2419" t="s">
        <v>120</v>
      </c>
      <c r="BO2419">
        <v>35176.36</v>
      </c>
      <c r="BP2419">
        <v>5.64</v>
      </c>
      <c r="BQ2419">
        <v>2848.03</v>
      </c>
      <c r="BR2419">
        <v>22.58</v>
      </c>
      <c r="BS2419">
        <v>91.84</v>
      </c>
      <c r="BT2419">
        <v>0</v>
      </c>
      <c r="BU2419">
        <v>132.28</v>
      </c>
      <c r="BV2419">
        <v>0.84</v>
      </c>
      <c r="BW2419">
        <v>0</v>
      </c>
      <c r="BX2419">
        <v>2130.5700000000002</v>
      </c>
      <c r="BY2419">
        <v>0</v>
      </c>
      <c r="BZ2419">
        <v>0</v>
      </c>
      <c r="CA2419" t="s">
        <v>120</v>
      </c>
      <c r="CB2419">
        <v>532.91999999999996</v>
      </c>
      <c r="CC2419">
        <v>481.13</v>
      </c>
      <c r="CD2419">
        <v>0</v>
      </c>
      <c r="CE2419">
        <v>148.19</v>
      </c>
      <c r="CF2419">
        <v>16.760000000000002</v>
      </c>
      <c r="CG2419">
        <v>147.51</v>
      </c>
      <c r="CH2419">
        <v>111.96</v>
      </c>
      <c r="CI2419">
        <v>109.8</v>
      </c>
      <c r="CJ2419">
        <v>-0.04</v>
      </c>
      <c r="CK2419">
        <v>110.66</v>
      </c>
      <c r="CL2419">
        <v>928.69</v>
      </c>
      <c r="CM2419">
        <v>-27.55</v>
      </c>
      <c r="CN2419">
        <v>-260.05</v>
      </c>
      <c r="CO2419">
        <v>116363</v>
      </c>
      <c r="CP2419">
        <v>43810</v>
      </c>
      <c r="CQ2419" t="s">
        <v>5832</v>
      </c>
      <c r="CR2419">
        <v>17.600000000000001</v>
      </c>
      <c r="CS2419">
        <v>1.1200000000000001</v>
      </c>
      <c r="CT2419">
        <v>0.39</v>
      </c>
      <c r="CU2419">
        <v>-31.5</v>
      </c>
      <c r="CV2419">
        <v>1.8</v>
      </c>
      <c r="CW2419">
        <v>5.3</v>
      </c>
      <c r="CX2419" t="s">
        <v>2391</v>
      </c>
      <c r="CY2419">
        <v>14.61</v>
      </c>
      <c r="CZ2419">
        <v>14.61</v>
      </c>
      <c r="DA2419">
        <v>3.46</v>
      </c>
      <c r="DB2419">
        <v>6.04</v>
      </c>
      <c r="DC2419">
        <v>-0.18</v>
      </c>
      <c r="DD2419">
        <v>8.1</v>
      </c>
      <c r="DE2419" t="s">
        <v>5809</v>
      </c>
      <c r="DF2419" t="s">
        <v>120</v>
      </c>
      <c r="DG2419">
        <v>30.8</v>
      </c>
      <c r="DH2419">
        <v>22.82</v>
      </c>
      <c r="DI2419" t="s">
        <v>120</v>
      </c>
      <c r="DJ2419">
        <v>39748</v>
      </c>
      <c r="DK2419">
        <v>600015</v>
      </c>
      <c r="DL2419" t="s">
        <v>120</v>
      </c>
      <c r="DM2419" t="s">
        <v>120</v>
      </c>
      <c r="DN2419" t="s">
        <v>120</v>
      </c>
    </row>
    <row r="2420" spans="1:118">
      <c r="A2420" t="str">
        <f>"600016"</f>
        <v>600016</v>
      </c>
      <c r="B2420" t="s">
        <v>11227</v>
      </c>
      <c r="C2420">
        <v>-1</v>
      </c>
      <c r="D2420">
        <v>-0.24</v>
      </c>
      <c r="E2420">
        <v>0</v>
      </c>
      <c r="F2420">
        <v>53814</v>
      </c>
      <c r="G2420" t="s">
        <v>11228</v>
      </c>
      <c r="H2420">
        <v>57387.89</v>
      </c>
      <c r="I2420">
        <v>590.78</v>
      </c>
      <c r="J2420" t="s">
        <v>120</v>
      </c>
      <c r="K2420" t="s">
        <v>11229</v>
      </c>
      <c r="L2420">
        <v>0.4</v>
      </c>
      <c r="M2420">
        <v>3.98</v>
      </c>
      <c r="N2420">
        <v>0.96</v>
      </c>
      <c r="O2420">
        <v>0.25</v>
      </c>
      <c r="P2420">
        <v>4.03</v>
      </c>
      <c r="Q2420">
        <v>-1.24</v>
      </c>
      <c r="R2420">
        <v>3.97</v>
      </c>
      <c r="S2420">
        <v>4.0199999999999996</v>
      </c>
      <c r="T2420">
        <v>1433734</v>
      </c>
      <c r="U2420">
        <v>3.99</v>
      </c>
      <c r="V2420">
        <v>4.0199999999999996</v>
      </c>
      <c r="W2420">
        <v>3.28</v>
      </c>
      <c r="X2420" t="s">
        <v>122</v>
      </c>
      <c r="Y2420" t="s">
        <v>158</v>
      </c>
      <c r="Z2420">
        <v>1.49</v>
      </c>
      <c r="AA2420">
        <v>4</v>
      </c>
      <c r="AB2420">
        <v>739820</v>
      </c>
      <c r="AC2420">
        <v>693914</v>
      </c>
      <c r="AD2420">
        <v>1.07</v>
      </c>
      <c r="AE2420">
        <v>40529</v>
      </c>
      <c r="AF2420">
        <v>3186</v>
      </c>
      <c r="AG2420" t="s">
        <v>120</v>
      </c>
      <c r="AH2420">
        <v>0.01</v>
      </c>
      <c r="AI2420" t="s">
        <v>120</v>
      </c>
      <c r="AJ2420">
        <v>354.62</v>
      </c>
      <c r="AK2420" t="s">
        <v>11229</v>
      </c>
      <c r="AL2420">
        <v>0.35</v>
      </c>
      <c r="AM2420">
        <v>4069</v>
      </c>
      <c r="AN2420">
        <v>352</v>
      </c>
      <c r="AO2420">
        <v>1E-4</v>
      </c>
      <c r="AP2420">
        <v>-4</v>
      </c>
      <c r="AQ2420">
        <v>-0.25</v>
      </c>
      <c r="AR2420">
        <v>-3.4</v>
      </c>
      <c r="AS2420">
        <v>-0.75</v>
      </c>
      <c r="AT2420">
        <v>-10.36</v>
      </c>
      <c r="AU2420">
        <v>-20.190000000000001</v>
      </c>
      <c r="AV2420">
        <v>0</v>
      </c>
      <c r="AW2420">
        <v>0.51</v>
      </c>
      <c r="AX2420">
        <v>79.27</v>
      </c>
      <c r="AY2420">
        <v>5.43</v>
      </c>
      <c r="AZ2420">
        <v>5.13</v>
      </c>
      <c r="BA2420">
        <v>0.46</v>
      </c>
      <c r="BB2420" t="s">
        <v>143</v>
      </c>
      <c r="BF2420">
        <v>-0.43</v>
      </c>
      <c r="BG2420">
        <v>-1</v>
      </c>
      <c r="BH2420">
        <v>-1.24</v>
      </c>
      <c r="BI2420">
        <v>0.25</v>
      </c>
      <c r="BJ2420">
        <v>20210910</v>
      </c>
      <c r="BK2420">
        <v>20001219</v>
      </c>
      <c r="BL2420">
        <v>437.82</v>
      </c>
      <c r="BM2420" t="s">
        <v>120</v>
      </c>
      <c r="BN2420">
        <v>83.2</v>
      </c>
      <c r="BO2420">
        <v>70697.08</v>
      </c>
      <c r="BP2420">
        <v>3.98</v>
      </c>
      <c r="BQ2420">
        <v>5754.36</v>
      </c>
      <c r="BR2420">
        <v>118.59</v>
      </c>
      <c r="BS2420">
        <v>91.69</v>
      </c>
      <c r="BT2420">
        <v>0</v>
      </c>
      <c r="BU2420">
        <v>517.26</v>
      </c>
      <c r="BV2420">
        <v>49.43</v>
      </c>
      <c r="BW2420">
        <v>0</v>
      </c>
      <c r="BX2420">
        <v>5010.42</v>
      </c>
      <c r="BY2420">
        <v>0</v>
      </c>
      <c r="BZ2420">
        <v>0</v>
      </c>
      <c r="CA2420" t="s">
        <v>120</v>
      </c>
      <c r="CB2420">
        <v>574.19000000000005</v>
      </c>
      <c r="CC2420">
        <v>877.75</v>
      </c>
      <c r="CD2420">
        <v>0</v>
      </c>
      <c r="CE2420">
        <v>291.45</v>
      </c>
      <c r="CF2420">
        <v>47.82</v>
      </c>
      <c r="CG2420">
        <v>289.39999999999998</v>
      </c>
      <c r="CH2420">
        <v>267.37</v>
      </c>
      <c r="CI2420">
        <v>265.56</v>
      </c>
      <c r="CJ2420">
        <v>-0.04</v>
      </c>
      <c r="CK2420">
        <v>265.60000000000002</v>
      </c>
      <c r="CL2420">
        <v>2404.02</v>
      </c>
      <c r="CM2420">
        <v>2879.9</v>
      </c>
      <c r="CN2420">
        <v>1359.17</v>
      </c>
      <c r="CO2420">
        <v>431313</v>
      </c>
      <c r="CP2420">
        <v>65173</v>
      </c>
      <c r="CQ2420" t="s">
        <v>11230</v>
      </c>
      <c r="CR2420">
        <v>-6.67</v>
      </c>
      <c r="CS2420">
        <v>-10.53</v>
      </c>
      <c r="CT2420">
        <v>0.37</v>
      </c>
      <c r="CU2420">
        <v>0.61</v>
      </c>
      <c r="CV2420">
        <v>1.99</v>
      </c>
      <c r="CW2420">
        <v>5.3</v>
      </c>
      <c r="CX2420" t="s">
        <v>1426</v>
      </c>
      <c r="CY2420">
        <v>10.86</v>
      </c>
      <c r="CZ2420">
        <v>10.86</v>
      </c>
      <c r="DA2420">
        <v>1.31</v>
      </c>
      <c r="DB2420">
        <v>5.49</v>
      </c>
      <c r="DC2420">
        <v>6.58</v>
      </c>
      <c r="DD2420">
        <v>8.14</v>
      </c>
      <c r="DE2420" t="s">
        <v>5715</v>
      </c>
      <c r="DF2420" t="s">
        <v>120</v>
      </c>
      <c r="DG2420">
        <v>33.200000000000003</v>
      </c>
      <c r="DH2420">
        <v>30.25</v>
      </c>
      <c r="DI2420" t="s">
        <v>120</v>
      </c>
      <c r="DJ2420">
        <v>59262</v>
      </c>
      <c r="DK2420">
        <v>600016</v>
      </c>
      <c r="DL2420" t="s">
        <v>120</v>
      </c>
      <c r="DM2420" t="s">
        <v>120</v>
      </c>
      <c r="DN2420" t="s">
        <v>120</v>
      </c>
    </row>
    <row r="2421" spans="1:118">
      <c r="A2421" t="str">
        <f>"600017"</f>
        <v>600017</v>
      </c>
      <c r="B2421" t="s">
        <v>11231</v>
      </c>
      <c r="C2421">
        <v>-1.06</v>
      </c>
      <c r="D2421">
        <v>0</v>
      </c>
      <c r="E2421">
        <v>0</v>
      </c>
      <c r="F2421">
        <v>612</v>
      </c>
      <c r="G2421" t="s">
        <v>5471</v>
      </c>
      <c r="H2421">
        <v>7604.75</v>
      </c>
      <c r="I2421">
        <v>42.7</v>
      </c>
      <c r="J2421" t="s">
        <v>120</v>
      </c>
      <c r="K2421" t="s">
        <v>11232</v>
      </c>
      <c r="L2421">
        <v>0.87</v>
      </c>
      <c r="M2421">
        <v>2.8</v>
      </c>
      <c r="N2421">
        <v>0.72</v>
      </c>
      <c r="O2421">
        <v>1.77</v>
      </c>
      <c r="P2421">
        <v>2.88</v>
      </c>
      <c r="Q2421">
        <v>-1.06</v>
      </c>
      <c r="R2421">
        <v>2.8</v>
      </c>
      <c r="S2421">
        <v>2.83</v>
      </c>
      <c r="T2421">
        <v>267457</v>
      </c>
      <c r="U2421">
        <v>2.81</v>
      </c>
      <c r="V2421">
        <v>2.83</v>
      </c>
      <c r="W2421">
        <v>12.28</v>
      </c>
      <c r="X2421" t="s">
        <v>511</v>
      </c>
      <c r="Y2421" t="s">
        <v>638</v>
      </c>
      <c r="Z2421">
        <v>2.83</v>
      </c>
      <c r="AA2421">
        <v>2.84</v>
      </c>
      <c r="AB2421">
        <v>150136</v>
      </c>
      <c r="AC2421">
        <v>117321</v>
      </c>
      <c r="AD2421">
        <v>1.28</v>
      </c>
      <c r="AE2421">
        <v>2004</v>
      </c>
      <c r="AF2421">
        <v>1700</v>
      </c>
      <c r="AG2421" t="s">
        <v>120</v>
      </c>
      <c r="AH2421">
        <v>0.01</v>
      </c>
      <c r="AI2421" t="s">
        <v>120</v>
      </c>
      <c r="AJ2421">
        <v>30.76</v>
      </c>
      <c r="AK2421" t="s">
        <v>11232</v>
      </c>
      <c r="AL2421">
        <v>0.28000000000000003</v>
      </c>
      <c r="AM2421">
        <v>2102</v>
      </c>
      <c r="AN2421">
        <v>127</v>
      </c>
      <c r="AO2421">
        <v>4.0000000000000002E-4</v>
      </c>
      <c r="AP2421">
        <v>-1</v>
      </c>
      <c r="AQ2421">
        <v>1.43</v>
      </c>
      <c r="AR2421">
        <v>-2.4500000000000002</v>
      </c>
      <c r="AS2421">
        <v>8.5299999999999994</v>
      </c>
      <c r="AT2421">
        <v>3.7</v>
      </c>
      <c r="AU2421">
        <v>-1.58</v>
      </c>
      <c r="AV2421">
        <v>0</v>
      </c>
      <c r="AW2421">
        <v>1.82</v>
      </c>
      <c r="AX2421">
        <v>47.75</v>
      </c>
      <c r="AY2421">
        <v>14.63</v>
      </c>
      <c r="AZ2421">
        <v>13.61</v>
      </c>
      <c r="BA2421">
        <v>0.49</v>
      </c>
      <c r="BB2421" t="s">
        <v>143</v>
      </c>
      <c r="BF2421">
        <v>0.47</v>
      </c>
      <c r="BG2421">
        <v>-1.06</v>
      </c>
      <c r="BH2421">
        <v>-2.78</v>
      </c>
      <c r="BI2421">
        <v>0</v>
      </c>
      <c r="BJ2421">
        <v>20210827</v>
      </c>
      <c r="BK2421">
        <v>20061017</v>
      </c>
      <c r="BL2421">
        <v>30.76</v>
      </c>
      <c r="BM2421" t="s">
        <v>120</v>
      </c>
      <c r="BN2421" t="s">
        <v>120</v>
      </c>
      <c r="BO2421">
        <v>278.27</v>
      </c>
      <c r="BP2421">
        <v>2.8</v>
      </c>
      <c r="BQ2421">
        <v>127.15</v>
      </c>
      <c r="BR2421">
        <v>16.489999999999998</v>
      </c>
      <c r="BS2421">
        <v>48.38</v>
      </c>
      <c r="BT2421">
        <v>26.59</v>
      </c>
      <c r="BU2421">
        <v>118.38</v>
      </c>
      <c r="BV2421">
        <v>48.65</v>
      </c>
      <c r="BW2421">
        <v>57.6</v>
      </c>
      <c r="BX2421">
        <v>11.2</v>
      </c>
      <c r="BY2421">
        <v>1.87</v>
      </c>
      <c r="BZ2421">
        <v>5.52</v>
      </c>
      <c r="CA2421">
        <v>0.21</v>
      </c>
      <c r="CB2421">
        <v>30.57</v>
      </c>
      <c r="CC2421">
        <v>30.62</v>
      </c>
      <c r="CD2421">
        <v>22.2</v>
      </c>
      <c r="CE2421">
        <v>5.12</v>
      </c>
      <c r="CF2421">
        <v>0.23</v>
      </c>
      <c r="CG2421">
        <v>5.1100000000000003</v>
      </c>
      <c r="CH2421">
        <v>3.97</v>
      </c>
      <c r="CI2421">
        <v>3.51</v>
      </c>
      <c r="CJ2421">
        <v>-0.03</v>
      </c>
      <c r="CK2421">
        <v>3.47</v>
      </c>
      <c r="CL2421">
        <v>58.03</v>
      </c>
      <c r="CM2421">
        <v>11.82</v>
      </c>
      <c r="CN2421">
        <v>2.52</v>
      </c>
      <c r="CO2421">
        <v>120034</v>
      </c>
      <c r="CP2421">
        <v>12234</v>
      </c>
      <c r="CQ2421" t="s">
        <v>7066</v>
      </c>
      <c r="CR2421">
        <v>-11.32</v>
      </c>
      <c r="CS2421">
        <v>7.86</v>
      </c>
      <c r="CT2421">
        <v>0.68</v>
      </c>
      <c r="CU2421">
        <v>7.29</v>
      </c>
      <c r="CV2421">
        <v>2.81</v>
      </c>
      <c r="CW2421">
        <v>1.24</v>
      </c>
      <c r="CX2421" t="s">
        <v>1147</v>
      </c>
      <c r="CY2421">
        <v>4.13</v>
      </c>
      <c r="CZ2421">
        <v>0</v>
      </c>
      <c r="DA2421">
        <v>0.99</v>
      </c>
      <c r="DB2421">
        <v>1.89</v>
      </c>
      <c r="DC2421">
        <v>0.38</v>
      </c>
      <c r="DD2421">
        <v>45.69</v>
      </c>
      <c r="DE2421" t="s">
        <v>1290</v>
      </c>
      <c r="DF2421">
        <v>27.49</v>
      </c>
      <c r="DG2421">
        <v>16.73</v>
      </c>
      <c r="DH2421">
        <v>11.45</v>
      </c>
      <c r="DI2421" t="s">
        <v>120</v>
      </c>
      <c r="DJ2421">
        <v>5581</v>
      </c>
      <c r="DK2421">
        <v>600017</v>
      </c>
      <c r="DL2421" t="s">
        <v>120</v>
      </c>
      <c r="DM2421" t="s">
        <v>120</v>
      </c>
      <c r="DN2421" t="s">
        <v>120</v>
      </c>
    </row>
    <row r="2422" spans="1:118">
      <c r="A2422" t="str">
        <f>"600018"</f>
        <v>600018</v>
      </c>
      <c r="B2422" t="s">
        <v>11233</v>
      </c>
      <c r="C2422">
        <v>-2.08</v>
      </c>
      <c r="D2422">
        <v>-0.15</v>
      </c>
      <c r="E2422">
        <v>-0.16</v>
      </c>
      <c r="F2422">
        <v>8760</v>
      </c>
      <c r="G2422" t="s">
        <v>11234</v>
      </c>
      <c r="H2422">
        <v>30369.49</v>
      </c>
      <c r="I2422">
        <v>161.25</v>
      </c>
      <c r="J2422" t="s">
        <v>120</v>
      </c>
      <c r="K2422" t="s">
        <v>11235</v>
      </c>
      <c r="L2422">
        <v>0.21</v>
      </c>
      <c r="M2422">
        <v>6.13</v>
      </c>
      <c r="N2422">
        <v>0.63</v>
      </c>
      <c r="O2422">
        <v>1.28</v>
      </c>
      <c r="P2422">
        <v>6.34</v>
      </c>
      <c r="Q2422">
        <v>-2.4</v>
      </c>
      <c r="R2422">
        <v>6.11</v>
      </c>
      <c r="S2422">
        <v>6.25</v>
      </c>
      <c r="T2422">
        <v>489879</v>
      </c>
      <c r="U2422">
        <v>6.14</v>
      </c>
      <c r="V2422">
        <v>6.26</v>
      </c>
      <c r="W2422">
        <v>8.18</v>
      </c>
      <c r="X2422" t="s">
        <v>511</v>
      </c>
      <c r="Y2422" t="s">
        <v>1510</v>
      </c>
      <c r="Z2422">
        <v>3.67</v>
      </c>
      <c r="AA2422">
        <v>6.2</v>
      </c>
      <c r="AB2422">
        <v>294775</v>
      </c>
      <c r="AC2422">
        <v>195104</v>
      </c>
      <c r="AD2422">
        <v>1.51</v>
      </c>
      <c r="AE2422">
        <v>1896</v>
      </c>
      <c r="AF2422">
        <v>206</v>
      </c>
      <c r="AG2422" t="s">
        <v>120</v>
      </c>
      <c r="AH2422">
        <v>0</v>
      </c>
      <c r="AI2422" t="s">
        <v>120</v>
      </c>
      <c r="AJ2422">
        <v>231.74</v>
      </c>
      <c r="AK2422" t="s">
        <v>11236</v>
      </c>
      <c r="AL2422">
        <v>-0.73</v>
      </c>
      <c r="AM2422">
        <v>4401</v>
      </c>
      <c r="AN2422">
        <v>111</v>
      </c>
      <c r="AO2422">
        <v>0</v>
      </c>
      <c r="AP2422">
        <v>-1</v>
      </c>
      <c r="AQ2422">
        <v>1.46</v>
      </c>
      <c r="AR2422">
        <v>-0.65</v>
      </c>
      <c r="AS2422">
        <v>19.96</v>
      </c>
      <c r="AT2422">
        <v>32.909999999999997</v>
      </c>
      <c r="AU2422">
        <v>38</v>
      </c>
      <c r="AV2422">
        <v>0</v>
      </c>
      <c r="AW2422">
        <v>0.9</v>
      </c>
      <c r="AX2422">
        <v>23.47</v>
      </c>
      <c r="AY2422">
        <v>11.05</v>
      </c>
      <c r="AZ2422">
        <v>17.54</v>
      </c>
      <c r="BA2422">
        <v>0.83</v>
      </c>
      <c r="BB2422" t="s">
        <v>184</v>
      </c>
      <c r="BF2422">
        <v>-0.97</v>
      </c>
      <c r="BG2422">
        <v>-1.92</v>
      </c>
      <c r="BH2422">
        <v>-3.31</v>
      </c>
      <c r="BI2422">
        <v>0.33</v>
      </c>
      <c r="BJ2422">
        <v>20210910</v>
      </c>
      <c r="BK2422">
        <v>20061026</v>
      </c>
      <c r="BL2422">
        <v>232.79</v>
      </c>
      <c r="BM2422" t="s">
        <v>120</v>
      </c>
      <c r="BN2422" t="s">
        <v>120</v>
      </c>
      <c r="BO2422">
        <v>1659.28</v>
      </c>
      <c r="BP2422">
        <v>6.13</v>
      </c>
      <c r="BQ2422">
        <v>930.56</v>
      </c>
      <c r="BR2422">
        <v>86.17</v>
      </c>
      <c r="BS2422">
        <v>38.72</v>
      </c>
      <c r="BT2422">
        <v>503.83</v>
      </c>
      <c r="BU2422">
        <v>305.73</v>
      </c>
      <c r="BV2422">
        <v>142.88</v>
      </c>
      <c r="BW2422">
        <v>288.33</v>
      </c>
      <c r="BX2422">
        <v>270.7</v>
      </c>
      <c r="BY2422">
        <v>140.6</v>
      </c>
      <c r="BZ2422">
        <v>33.119999999999997</v>
      </c>
      <c r="CA2422">
        <v>2.14</v>
      </c>
      <c r="CB2422">
        <v>94.35</v>
      </c>
      <c r="CC2422">
        <v>173.63</v>
      </c>
      <c r="CD2422">
        <v>96.04</v>
      </c>
      <c r="CE2422">
        <v>105.68</v>
      </c>
      <c r="CF2422">
        <v>49.02</v>
      </c>
      <c r="CG2422">
        <v>106.37</v>
      </c>
      <c r="CH2422">
        <v>91.68</v>
      </c>
      <c r="CI2422">
        <v>87.18</v>
      </c>
      <c r="CJ2422">
        <v>-0.13</v>
      </c>
      <c r="CK2422">
        <v>80.91</v>
      </c>
      <c r="CL2422">
        <v>516.94000000000005</v>
      </c>
      <c r="CM2422">
        <v>65.91</v>
      </c>
      <c r="CN2422">
        <v>63.3</v>
      </c>
      <c r="CO2422">
        <v>214502</v>
      </c>
      <c r="CP2422">
        <v>25476</v>
      </c>
      <c r="CQ2422" t="s">
        <v>11237</v>
      </c>
      <c r="CR2422">
        <v>127.1</v>
      </c>
      <c r="CS2422">
        <v>44.22</v>
      </c>
      <c r="CT2422">
        <v>1.53</v>
      </c>
      <c r="CU2422">
        <v>21.65</v>
      </c>
      <c r="CV2422">
        <v>8.2200000000000006</v>
      </c>
      <c r="CW2422">
        <v>2.04</v>
      </c>
      <c r="CX2422" t="s">
        <v>2429</v>
      </c>
      <c r="CY2422">
        <v>4.0199999999999996</v>
      </c>
      <c r="CZ2422">
        <v>4.0199999999999996</v>
      </c>
      <c r="DA2422">
        <v>0.41</v>
      </c>
      <c r="DB2422">
        <v>2.2200000000000002</v>
      </c>
      <c r="DC2422">
        <v>0.28000000000000003</v>
      </c>
      <c r="DD2422">
        <v>56.08</v>
      </c>
      <c r="DE2422" t="s">
        <v>2375</v>
      </c>
      <c r="DF2422">
        <v>44.68</v>
      </c>
      <c r="DG2422">
        <v>60.87</v>
      </c>
      <c r="DH2422">
        <v>50.21</v>
      </c>
      <c r="DI2422">
        <v>0.08</v>
      </c>
      <c r="DJ2422">
        <v>14068</v>
      </c>
      <c r="DK2422">
        <v>600018</v>
      </c>
      <c r="DL2422" t="s">
        <v>120</v>
      </c>
      <c r="DM2422" t="s">
        <v>120</v>
      </c>
      <c r="DN2422" t="s">
        <v>120</v>
      </c>
    </row>
    <row r="2423" spans="1:118">
      <c r="A2423" t="str">
        <f>"600019"</f>
        <v>600019</v>
      </c>
      <c r="B2423" t="s">
        <v>11238</v>
      </c>
      <c r="C2423">
        <v>-0.18</v>
      </c>
      <c r="D2423">
        <v>0</v>
      </c>
      <c r="E2423">
        <v>1.72</v>
      </c>
      <c r="F2423">
        <v>25108</v>
      </c>
      <c r="G2423" t="s">
        <v>11239</v>
      </c>
      <c r="H2423">
        <v>209779.9</v>
      </c>
      <c r="I2423">
        <v>2502.17</v>
      </c>
      <c r="J2423" t="s">
        <v>120</v>
      </c>
      <c r="K2423" t="s">
        <v>11240</v>
      </c>
      <c r="L2423">
        <v>0.84</v>
      </c>
      <c r="M2423">
        <v>11.01</v>
      </c>
      <c r="N2423">
        <v>0.75</v>
      </c>
      <c r="O2423">
        <v>4.4400000000000004</v>
      </c>
      <c r="P2423">
        <v>11.52</v>
      </c>
      <c r="Q2423">
        <v>-0.82</v>
      </c>
      <c r="R2423">
        <v>10.94</v>
      </c>
      <c r="S2423">
        <v>11.22</v>
      </c>
      <c r="T2423">
        <v>1875971</v>
      </c>
      <c r="U2423">
        <v>11.02</v>
      </c>
      <c r="V2423">
        <v>11.03</v>
      </c>
      <c r="W2423">
        <v>8.1300000000000008</v>
      </c>
      <c r="X2423" t="s">
        <v>1460</v>
      </c>
      <c r="Y2423" t="s">
        <v>1510</v>
      </c>
      <c r="Z2423">
        <v>5.26</v>
      </c>
      <c r="AA2423">
        <v>11.18</v>
      </c>
      <c r="AB2423">
        <v>938945</v>
      </c>
      <c r="AC2423">
        <v>937025</v>
      </c>
      <c r="AD2423">
        <v>1</v>
      </c>
      <c r="AE2423">
        <v>125</v>
      </c>
      <c r="AF2423">
        <v>100</v>
      </c>
      <c r="AG2423" t="s">
        <v>120</v>
      </c>
      <c r="AH2423">
        <v>0.03</v>
      </c>
      <c r="AI2423" t="s">
        <v>120</v>
      </c>
      <c r="AJ2423">
        <v>222.12</v>
      </c>
      <c r="AK2423" t="s">
        <v>11241</v>
      </c>
      <c r="AL2423">
        <v>1.1599999999999999</v>
      </c>
      <c r="AM2423">
        <v>4737</v>
      </c>
      <c r="AN2423">
        <v>396</v>
      </c>
      <c r="AO2423">
        <v>2.0000000000000001E-4</v>
      </c>
      <c r="AP2423">
        <v>-3</v>
      </c>
      <c r="AQ2423">
        <v>-0.09</v>
      </c>
      <c r="AR2423">
        <v>-7.01</v>
      </c>
      <c r="AS2423">
        <v>30.91</v>
      </c>
      <c r="AT2423">
        <v>44.11</v>
      </c>
      <c r="AU2423">
        <v>94.87</v>
      </c>
      <c r="AV2423">
        <v>0</v>
      </c>
      <c r="AW2423">
        <v>2.23</v>
      </c>
      <c r="AX2423">
        <v>37.799999999999997</v>
      </c>
      <c r="AY2423">
        <v>10.34</v>
      </c>
      <c r="AZ2423">
        <v>19.38</v>
      </c>
      <c r="BA2423">
        <v>1.2</v>
      </c>
      <c r="BB2423" t="s">
        <v>143</v>
      </c>
      <c r="BF2423">
        <v>1.38</v>
      </c>
      <c r="BG2423">
        <v>-1.87</v>
      </c>
      <c r="BH2423">
        <v>-4.43</v>
      </c>
      <c r="BI2423">
        <v>0.64</v>
      </c>
      <c r="BJ2423">
        <v>20210830</v>
      </c>
      <c r="BK2423">
        <v>20001212</v>
      </c>
      <c r="BL2423">
        <v>222.69</v>
      </c>
      <c r="BM2423" t="s">
        <v>120</v>
      </c>
      <c r="BN2423" t="s">
        <v>120</v>
      </c>
      <c r="BO2423">
        <v>3800.95</v>
      </c>
      <c r="BP2423">
        <v>11.01</v>
      </c>
      <c r="BQ2423">
        <v>1909</v>
      </c>
      <c r="BR2423">
        <v>168.11</v>
      </c>
      <c r="BS2423">
        <v>45.35</v>
      </c>
      <c r="BT2423">
        <v>1633.7</v>
      </c>
      <c r="BU2423">
        <v>1436.43</v>
      </c>
      <c r="BV2423">
        <v>119.19</v>
      </c>
      <c r="BW2423">
        <v>1498.45</v>
      </c>
      <c r="BX2423">
        <v>232.72</v>
      </c>
      <c r="BY2423">
        <v>478.79</v>
      </c>
      <c r="BZ2423">
        <v>135.9</v>
      </c>
      <c r="CA2423" t="s">
        <v>120</v>
      </c>
      <c r="CB2423">
        <v>505.98</v>
      </c>
      <c r="CC2423">
        <v>1852.52</v>
      </c>
      <c r="CD2423">
        <v>1557.19</v>
      </c>
      <c r="CE2423">
        <v>215.43</v>
      </c>
      <c r="CF2423">
        <v>19.09</v>
      </c>
      <c r="CG2423">
        <v>205.03</v>
      </c>
      <c r="CH2423">
        <v>167.65</v>
      </c>
      <c r="CI2423">
        <v>150.79</v>
      </c>
      <c r="CJ2423">
        <v>-0.02</v>
      </c>
      <c r="CK2423">
        <v>145.71</v>
      </c>
      <c r="CL2423">
        <v>851.53</v>
      </c>
      <c r="CM2423">
        <v>281.70999999999998</v>
      </c>
      <c r="CN2423">
        <v>61.77</v>
      </c>
      <c r="CO2423">
        <v>311680</v>
      </c>
      <c r="CP2423">
        <v>27005</v>
      </c>
      <c r="CQ2423" t="s">
        <v>11242</v>
      </c>
      <c r="CR2423">
        <v>276.74</v>
      </c>
      <c r="CS2423">
        <v>42.75</v>
      </c>
      <c r="CT2423">
        <v>1.28</v>
      </c>
      <c r="CU2423">
        <v>8.6999999999999993</v>
      </c>
      <c r="CV2423">
        <v>1.32</v>
      </c>
      <c r="CW2423">
        <v>5.87</v>
      </c>
      <c r="CX2423" t="s">
        <v>527</v>
      </c>
      <c r="CY2423">
        <v>8.57</v>
      </c>
      <c r="CZ2423">
        <v>0</v>
      </c>
      <c r="DA2423">
        <v>2.27</v>
      </c>
      <c r="DB2423">
        <v>3.82</v>
      </c>
      <c r="DC2423">
        <v>1.27</v>
      </c>
      <c r="DD2423">
        <v>50.22</v>
      </c>
      <c r="DE2423" t="s">
        <v>10971</v>
      </c>
      <c r="DF2423">
        <v>15.94</v>
      </c>
      <c r="DG2423">
        <v>11.63</v>
      </c>
      <c r="DH2423">
        <v>8.14</v>
      </c>
      <c r="DI2423">
        <v>56.29</v>
      </c>
      <c r="DJ2423">
        <v>47710</v>
      </c>
      <c r="DK2423">
        <v>600019</v>
      </c>
      <c r="DL2423" t="s">
        <v>120</v>
      </c>
      <c r="DM2423" t="s">
        <v>120</v>
      </c>
      <c r="DN2423" t="s">
        <v>120</v>
      </c>
    </row>
    <row r="2424" spans="1:118">
      <c r="A2424" t="str">
        <f>"600020"</f>
        <v>600020</v>
      </c>
      <c r="B2424" t="s">
        <v>11243</v>
      </c>
      <c r="C2424">
        <v>-1.74</v>
      </c>
      <c r="D2424">
        <v>-0.28000000000000003</v>
      </c>
      <c r="E2424">
        <v>0.28999999999999998</v>
      </c>
      <c r="F2424">
        <v>4413</v>
      </c>
      <c r="G2424" t="s">
        <v>8476</v>
      </c>
      <c r="H2424">
        <v>4790.67</v>
      </c>
      <c r="I2424">
        <v>12.29</v>
      </c>
      <c r="J2424" t="s">
        <v>120</v>
      </c>
      <c r="K2424" t="s">
        <v>8139</v>
      </c>
      <c r="L2424">
        <v>0.62</v>
      </c>
      <c r="M2424">
        <v>3.39</v>
      </c>
      <c r="N2424">
        <v>0.69</v>
      </c>
      <c r="O2424">
        <v>1.74</v>
      </c>
      <c r="P2424">
        <v>3.51</v>
      </c>
      <c r="Q2424">
        <v>-1.74</v>
      </c>
      <c r="R2424">
        <v>3.39</v>
      </c>
      <c r="S2424">
        <v>3.46</v>
      </c>
      <c r="T2424">
        <v>138885</v>
      </c>
      <c r="U2424">
        <v>3.4</v>
      </c>
      <c r="V2424">
        <v>3.45</v>
      </c>
      <c r="W2424">
        <v>5.93</v>
      </c>
      <c r="X2424" t="s">
        <v>800</v>
      </c>
      <c r="Y2424" t="s">
        <v>645</v>
      </c>
      <c r="Z2424">
        <v>3.48</v>
      </c>
      <c r="AA2424">
        <v>3.45</v>
      </c>
      <c r="AB2424">
        <v>83549</v>
      </c>
      <c r="AC2424">
        <v>55336</v>
      </c>
      <c r="AD2424">
        <v>1.51</v>
      </c>
      <c r="AE2424">
        <v>2019</v>
      </c>
      <c r="AF2424">
        <v>3216</v>
      </c>
      <c r="AG2424" t="s">
        <v>120</v>
      </c>
      <c r="AH2424">
        <v>0</v>
      </c>
      <c r="AI2424" t="s">
        <v>120</v>
      </c>
      <c r="AJ2424">
        <v>22.47</v>
      </c>
      <c r="AK2424" t="s">
        <v>8139</v>
      </c>
      <c r="AL2424">
        <v>-0.4</v>
      </c>
      <c r="AM2424">
        <v>1801</v>
      </c>
      <c r="AN2424">
        <v>77</v>
      </c>
      <c r="AO2424">
        <v>2.9999999999999997E-4</v>
      </c>
      <c r="AP2424">
        <v>-1</v>
      </c>
      <c r="AQ2424">
        <v>0.28999999999999998</v>
      </c>
      <c r="AR2424">
        <v>-4.78</v>
      </c>
      <c r="AS2424">
        <v>6.94</v>
      </c>
      <c r="AT2424">
        <v>3.51</v>
      </c>
      <c r="AU2424">
        <v>1.04</v>
      </c>
      <c r="AV2424">
        <v>0</v>
      </c>
      <c r="AW2424">
        <v>1.57</v>
      </c>
      <c r="AX2424">
        <v>39.479999999999997</v>
      </c>
      <c r="AY2424">
        <v>6.67</v>
      </c>
      <c r="AZ2424">
        <v>31.99</v>
      </c>
      <c r="BA2424">
        <v>0.45</v>
      </c>
      <c r="BB2424" t="s">
        <v>143</v>
      </c>
      <c r="BF2424">
        <v>-0.02</v>
      </c>
      <c r="BG2424">
        <v>-2.02</v>
      </c>
      <c r="BH2424">
        <v>-3.42</v>
      </c>
      <c r="BI2424">
        <v>0</v>
      </c>
      <c r="BJ2424">
        <v>20210821</v>
      </c>
      <c r="BK2424">
        <v>20030808</v>
      </c>
      <c r="BL2424">
        <v>22.47</v>
      </c>
      <c r="BM2424" t="s">
        <v>120</v>
      </c>
      <c r="BN2424" t="s">
        <v>120</v>
      </c>
      <c r="BO2424">
        <v>469.68</v>
      </c>
      <c r="BP2424">
        <v>3.39</v>
      </c>
      <c r="BQ2424">
        <v>123.57</v>
      </c>
      <c r="BR2424">
        <v>0.64</v>
      </c>
      <c r="BS2424">
        <v>73.55</v>
      </c>
      <c r="BT2424">
        <v>56.06</v>
      </c>
      <c r="BU2424">
        <v>126.91</v>
      </c>
      <c r="BV2424">
        <v>221.33</v>
      </c>
      <c r="BW2424">
        <v>52.65</v>
      </c>
      <c r="BX2424">
        <v>10.62</v>
      </c>
      <c r="BY2424">
        <v>37.39</v>
      </c>
      <c r="BZ2424">
        <v>4.12</v>
      </c>
      <c r="CA2424">
        <v>0.41</v>
      </c>
      <c r="CB2424">
        <v>13.49</v>
      </c>
      <c r="CC2424">
        <v>30.23</v>
      </c>
      <c r="CD2424">
        <v>15.21</v>
      </c>
      <c r="CE2424">
        <v>8.25</v>
      </c>
      <c r="CF2424">
        <v>1.29</v>
      </c>
      <c r="CG2424">
        <v>8.27</v>
      </c>
      <c r="CH2424">
        <v>6.42</v>
      </c>
      <c r="CI2424">
        <v>6.42</v>
      </c>
      <c r="CJ2424">
        <v>-0.06</v>
      </c>
      <c r="CK2424">
        <v>6.11</v>
      </c>
      <c r="CL2424">
        <v>54.96</v>
      </c>
      <c r="CM2424">
        <v>17.2</v>
      </c>
      <c r="CN2424">
        <v>1.03</v>
      </c>
      <c r="CO2424">
        <v>72903</v>
      </c>
      <c r="CP2424">
        <v>12172</v>
      </c>
      <c r="CQ2424" t="s">
        <v>931</v>
      </c>
      <c r="CR2424">
        <v>330.99</v>
      </c>
      <c r="CS2424">
        <v>51.04</v>
      </c>
      <c r="CT2424">
        <v>0.72</v>
      </c>
      <c r="CU2424">
        <v>4.43</v>
      </c>
      <c r="CV2424">
        <v>2.52</v>
      </c>
      <c r="CW2424">
        <v>1.01</v>
      </c>
      <c r="CX2424" t="s">
        <v>670</v>
      </c>
      <c r="CY2424">
        <v>4.72</v>
      </c>
      <c r="CZ2424">
        <v>4.72</v>
      </c>
      <c r="DA2424">
        <v>0.6</v>
      </c>
      <c r="DB2424">
        <v>2.4500000000000002</v>
      </c>
      <c r="DC2424">
        <v>0.77</v>
      </c>
      <c r="DD2424">
        <v>26.31</v>
      </c>
      <c r="DE2424" t="s">
        <v>5226</v>
      </c>
      <c r="DF2424">
        <v>49.7</v>
      </c>
      <c r="DG2424">
        <v>27.28</v>
      </c>
      <c r="DH2424">
        <v>21.25</v>
      </c>
      <c r="DI2424">
        <v>0</v>
      </c>
      <c r="DJ2424">
        <v>3275</v>
      </c>
      <c r="DK2424">
        <v>600020</v>
      </c>
      <c r="DL2424" t="s">
        <v>120</v>
      </c>
      <c r="DM2424" t="s">
        <v>120</v>
      </c>
      <c r="DN2424" t="s">
        <v>120</v>
      </c>
    </row>
    <row r="2425" spans="1:118">
      <c r="A2425" t="str">
        <f>"600021"</f>
        <v>600021</v>
      </c>
      <c r="B2425" t="s">
        <v>11244</v>
      </c>
      <c r="C2425">
        <v>-5.84</v>
      </c>
      <c r="D2425">
        <v>0</v>
      </c>
      <c r="E2425">
        <v>0.65</v>
      </c>
      <c r="F2425">
        <v>3458</v>
      </c>
      <c r="G2425" t="s">
        <v>9228</v>
      </c>
      <c r="H2425">
        <v>54799.24</v>
      </c>
      <c r="I2425">
        <v>423.34</v>
      </c>
      <c r="J2425" t="s">
        <v>120</v>
      </c>
      <c r="K2425" t="s">
        <v>11245</v>
      </c>
      <c r="L2425">
        <v>2.34</v>
      </c>
      <c r="M2425">
        <v>8.6999999999999993</v>
      </c>
      <c r="N2425">
        <v>0.76</v>
      </c>
      <c r="O2425">
        <v>2.27</v>
      </c>
      <c r="P2425">
        <v>9.4499999999999993</v>
      </c>
      <c r="Q2425">
        <v>-6.28</v>
      </c>
      <c r="R2425">
        <v>8.66</v>
      </c>
      <c r="S2425">
        <v>9.3000000000000007</v>
      </c>
      <c r="T2425">
        <v>611413</v>
      </c>
      <c r="U2425">
        <v>8.7100000000000009</v>
      </c>
      <c r="V2425">
        <v>9.24</v>
      </c>
      <c r="W2425">
        <v>16.13</v>
      </c>
      <c r="X2425" t="s">
        <v>268</v>
      </c>
      <c r="Y2425" t="s">
        <v>1510</v>
      </c>
      <c r="Z2425">
        <v>8.5500000000000007</v>
      </c>
      <c r="AA2425">
        <v>8.9600000000000009</v>
      </c>
      <c r="AB2425">
        <v>351637</v>
      </c>
      <c r="AC2425">
        <v>259776</v>
      </c>
      <c r="AD2425">
        <v>1.35</v>
      </c>
      <c r="AE2425">
        <v>1621</v>
      </c>
      <c r="AF2425">
        <v>599</v>
      </c>
      <c r="AG2425" t="s">
        <v>120</v>
      </c>
      <c r="AH2425">
        <v>0.06</v>
      </c>
      <c r="AI2425" t="s">
        <v>120</v>
      </c>
      <c r="AJ2425">
        <v>26.17</v>
      </c>
      <c r="AK2425" t="s">
        <v>11245</v>
      </c>
      <c r="AL2425">
        <v>-4.5</v>
      </c>
      <c r="AM2425">
        <v>4398</v>
      </c>
      <c r="AN2425">
        <v>139</v>
      </c>
      <c r="AO2425">
        <v>5.0000000000000001E-4</v>
      </c>
      <c r="AP2425">
        <v>-1</v>
      </c>
      <c r="AQ2425">
        <v>3.13</v>
      </c>
      <c r="AR2425">
        <v>-6.55</v>
      </c>
      <c r="AS2425">
        <v>24.11</v>
      </c>
      <c r="AT2425">
        <v>26.64</v>
      </c>
      <c r="AU2425">
        <v>24.11</v>
      </c>
      <c r="AV2425">
        <v>2</v>
      </c>
      <c r="AW2425">
        <v>7.84</v>
      </c>
      <c r="AX2425">
        <v>29.8</v>
      </c>
      <c r="AY2425">
        <v>28.88</v>
      </c>
      <c r="AZ2425">
        <v>27.2</v>
      </c>
      <c r="BA2425">
        <v>0.82</v>
      </c>
      <c r="BB2425" t="s">
        <v>341</v>
      </c>
      <c r="BF2425">
        <v>-3</v>
      </c>
      <c r="BG2425">
        <v>-6.45</v>
      </c>
      <c r="BH2425">
        <v>-7.94</v>
      </c>
      <c r="BI2425">
        <v>0.46</v>
      </c>
      <c r="BJ2425">
        <v>20210826</v>
      </c>
      <c r="BK2425">
        <v>20031029</v>
      </c>
      <c r="BL2425">
        <v>26.17</v>
      </c>
      <c r="BM2425" t="s">
        <v>120</v>
      </c>
      <c r="BN2425" t="s">
        <v>120</v>
      </c>
      <c r="BO2425">
        <v>1364.13</v>
      </c>
      <c r="BP2425">
        <v>8.6999999999999993</v>
      </c>
      <c r="BQ2425">
        <v>200.36</v>
      </c>
      <c r="BR2425">
        <v>156.34</v>
      </c>
      <c r="BS2425">
        <v>73.849999999999994</v>
      </c>
      <c r="BT2425">
        <v>209.4</v>
      </c>
      <c r="BU2425">
        <v>705.98</v>
      </c>
      <c r="BV2425">
        <v>30.52</v>
      </c>
      <c r="BW2425">
        <v>429.35</v>
      </c>
      <c r="BX2425">
        <v>45.63</v>
      </c>
      <c r="BY2425">
        <v>6.98</v>
      </c>
      <c r="BZ2425">
        <v>131.37</v>
      </c>
      <c r="CA2425">
        <v>0.01</v>
      </c>
      <c r="CB2425">
        <v>62.8</v>
      </c>
      <c r="CC2425">
        <v>142.69999999999999</v>
      </c>
      <c r="CD2425">
        <v>105.07</v>
      </c>
      <c r="CE2425">
        <v>19.04</v>
      </c>
      <c r="CF2425">
        <v>3.98</v>
      </c>
      <c r="CG2425">
        <v>19.22</v>
      </c>
      <c r="CH2425">
        <v>15.07</v>
      </c>
      <c r="CI2425">
        <v>7.06</v>
      </c>
      <c r="CJ2425">
        <v>-0.54</v>
      </c>
      <c r="CK2425">
        <v>6.7</v>
      </c>
      <c r="CL2425">
        <v>71.58</v>
      </c>
      <c r="CM2425">
        <v>26.64</v>
      </c>
      <c r="CN2425">
        <v>-11.92</v>
      </c>
      <c r="CO2425">
        <v>109780</v>
      </c>
      <c r="CP2425">
        <v>7105</v>
      </c>
      <c r="CQ2425" t="s">
        <v>6469</v>
      </c>
      <c r="CR2425">
        <v>-6.83</v>
      </c>
      <c r="CS2425">
        <v>20.93</v>
      </c>
      <c r="CT2425">
        <v>1.35</v>
      </c>
      <c r="CU2425">
        <v>8.5500000000000007</v>
      </c>
      <c r="CV2425">
        <v>1.6</v>
      </c>
      <c r="CW2425">
        <v>1.19</v>
      </c>
      <c r="CX2425" t="s">
        <v>626</v>
      </c>
      <c r="CY2425">
        <v>6.43</v>
      </c>
      <c r="CZ2425">
        <v>6.43</v>
      </c>
      <c r="DA2425">
        <v>2.4</v>
      </c>
      <c r="DB2425">
        <v>2.74</v>
      </c>
      <c r="DC2425">
        <v>1.02</v>
      </c>
      <c r="DD2425">
        <v>14.69</v>
      </c>
      <c r="DE2425" t="s">
        <v>4021</v>
      </c>
      <c r="DF2425">
        <v>26.37</v>
      </c>
      <c r="DG2425">
        <v>13.34</v>
      </c>
      <c r="DH2425">
        <v>4.9400000000000004</v>
      </c>
      <c r="DI2425">
        <v>0.53</v>
      </c>
      <c r="DJ2425">
        <v>6306</v>
      </c>
      <c r="DK2425">
        <v>600021</v>
      </c>
      <c r="DL2425" t="s">
        <v>120</v>
      </c>
      <c r="DM2425" t="s">
        <v>120</v>
      </c>
      <c r="DN2425" t="s">
        <v>120</v>
      </c>
    </row>
    <row r="2426" spans="1:118">
      <c r="A2426" t="str">
        <f>"600022"</f>
        <v>600022</v>
      </c>
      <c r="B2426" t="s">
        <v>11246</v>
      </c>
      <c r="C2426">
        <v>0.41</v>
      </c>
      <c r="D2426">
        <v>-0.39</v>
      </c>
      <c r="E2426">
        <v>1.22</v>
      </c>
      <c r="F2426">
        <v>17369</v>
      </c>
      <c r="G2426" t="s">
        <v>11247</v>
      </c>
      <c r="H2426">
        <v>81723.539999999994</v>
      </c>
      <c r="I2426">
        <v>504.7</v>
      </c>
      <c r="J2426" t="s">
        <v>120</v>
      </c>
      <c r="K2426" t="s">
        <v>11248</v>
      </c>
      <c r="L2426">
        <v>2.94</v>
      </c>
      <c r="M2426">
        <v>2.4700000000000002</v>
      </c>
      <c r="N2426">
        <v>1.22</v>
      </c>
      <c r="O2426">
        <v>5.69</v>
      </c>
      <c r="P2426">
        <v>2.6</v>
      </c>
      <c r="Q2426">
        <v>0</v>
      </c>
      <c r="R2426">
        <v>2.46</v>
      </c>
      <c r="S2426">
        <v>2.4900000000000002</v>
      </c>
      <c r="T2426">
        <v>3219384</v>
      </c>
      <c r="U2426">
        <v>2.4700000000000002</v>
      </c>
      <c r="V2426">
        <v>2.46</v>
      </c>
      <c r="W2426">
        <v>6.43</v>
      </c>
      <c r="X2426" t="s">
        <v>1460</v>
      </c>
      <c r="Y2426" t="s">
        <v>638</v>
      </c>
      <c r="Z2426">
        <v>5.69</v>
      </c>
      <c r="AA2426">
        <v>2.54</v>
      </c>
      <c r="AB2426">
        <v>1404634</v>
      </c>
      <c r="AC2426">
        <v>1814750</v>
      </c>
      <c r="AD2426">
        <v>0.77</v>
      </c>
      <c r="AE2426">
        <v>29644</v>
      </c>
      <c r="AF2426">
        <v>17050</v>
      </c>
      <c r="AG2426" t="s">
        <v>120</v>
      </c>
      <c r="AH2426">
        <v>0.04</v>
      </c>
      <c r="AI2426" t="s">
        <v>120</v>
      </c>
      <c r="AJ2426">
        <v>109.47</v>
      </c>
      <c r="AK2426" t="s">
        <v>11248</v>
      </c>
      <c r="AL2426">
        <v>1.75</v>
      </c>
      <c r="AM2426">
        <v>4436</v>
      </c>
      <c r="AN2426">
        <v>726</v>
      </c>
      <c r="AO2426">
        <v>6.9999999999999999E-4</v>
      </c>
      <c r="AP2426">
        <v>2</v>
      </c>
      <c r="AQ2426">
        <v>1.23</v>
      </c>
      <c r="AR2426">
        <v>-2.37</v>
      </c>
      <c r="AS2426">
        <v>13.82</v>
      </c>
      <c r="AT2426">
        <v>47.03</v>
      </c>
      <c r="AU2426">
        <v>77.7</v>
      </c>
      <c r="AV2426">
        <v>1</v>
      </c>
      <c r="AW2426">
        <v>5.99</v>
      </c>
      <c r="AX2426">
        <v>49.12</v>
      </c>
      <c r="AY2426">
        <v>10.86</v>
      </c>
      <c r="AZ2426">
        <v>37.26</v>
      </c>
      <c r="BA2426">
        <v>0.56000000000000005</v>
      </c>
      <c r="BB2426" t="s">
        <v>240</v>
      </c>
      <c r="BF2426">
        <v>3.19</v>
      </c>
      <c r="BG2426">
        <v>-0.8</v>
      </c>
      <c r="BH2426">
        <v>-5</v>
      </c>
      <c r="BI2426">
        <v>0.41</v>
      </c>
      <c r="BJ2426">
        <v>20210827</v>
      </c>
      <c r="BK2426">
        <v>20040629</v>
      </c>
      <c r="BL2426">
        <v>109.47</v>
      </c>
      <c r="BM2426" t="s">
        <v>120</v>
      </c>
      <c r="BN2426" t="s">
        <v>120</v>
      </c>
      <c r="BO2426">
        <v>754.69</v>
      </c>
      <c r="BP2426">
        <v>2.46</v>
      </c>
      <c r="BQ2426">
        <v>228.2</v>
      </c>
      <c r="BR2426">
        <v>108.26</v>
      </c>
      <c r="BS2426">
        <v>55.42</v>
      </c>
      <c r="BT2426">
        <v>241.99</v>
      </c>
      <c r="BU2426">
        <v>382.61</v>
      </c>
      <c r="BV2426">
        <v>44.71</v>
      </c>
      <c r="BW2426">
        <v>337.95</v>
      </c>
      <c r="BX2426">
        <v>122.91</v>
      </c>
      <c r="BY2426">
        <v>56.91</v>
      </c>
      <c r="BZ2426">
        <v>2.0099999999999998</v>
      </c>
      <c r="CA2426">
        <v>0</v>
      </c>
      <c r="CB2426">
        <v>82.02</v>
      </c>
      <c r="CC2426">
        <v>588.34</v>
      </c>
      <c r="CD2426">
        <v>524.98</v>
      </c>
      <c r="CE2426">
        <v>40.28</v>
      </c>
      <c r="CF2426">
        <v>0.52</v>
      </c>
      <c r="CG2426">
        <v>40.049999999999997</v>
      </c>
      <c r="CH2426">
        <v>32.06</v>
      </c>
      <c r="CI2426">
        <v>21.03</v>
      </c>
      <c r="CJ2426">
        <v>0.01</v>
      </c>
      <c r="CK2426">
        <v>20.99</v>
      </c>
      <c r="CL2426">
        <v>31.91</v>
      </c>
      <c r="CM2426">
        <v>68.47</v>
      </c>
      <c r="CN2426">
        <v>48.12</v>
      </c>
      <c r="CO2426">
        <v>260621</v>
      </c>
      <c r="CP2426">
        <v>20632</v>
      </c>
      <c r="CQ2426" t="s">
        <v>1895</v>
      </c>
      <c r="CR2426">
        <v>508.69</v>
      </c>
      <c r="CS2426">
        <v>46.54</v>
      </c>
      <c r="CT2426">
        <v>1.18</v>
      </c>
      <c r="CU2426">
        <v>3.95</v>
      </c>
      <c r="CV2426">
        <v>0.46</v>
      </c>
      <c r="CW2426">
        <v>1.59</v>
      </c>
      <c r="CX2426" t="s">
        <v>492</v>
      </c>
      <c r="CY2426">
        <v>2.08</v>
      </c>
      <c r="CZ2426">
        <v>0</v>
      </c>
      <c r="DA2426">
        <v>0.75</v>
      </c>
      <c r="DB2426">
        <v>0.28999999999999998</v>
      </c>
      <c r="DC2426">
        <v>0.63</v>
      </c>
      <c r="DD2426">
        <v>30.24</v>
      </c>
      <c r="DE2426" t="s">
        <v>7062</v>
      </c>
      <c r="DF2426">
        <v>10.77</v>
      </c>
      <c r="DG2426">
        <v>6.85</v>
      </c>
      <c r="DH2426">
        <v>3.57</v>
      </c>
      <c r="DI2426">
        <v>10.63</v>
      </c>
      <c r="DJ2426">
        <v>21398</v>
      </c>
      <c r="DK2426">
        <v>600022</v>
      </c>
      <c r="DL2426" t="s">
        <v>120</v>
      </c>
      <c r="DM2426" t="s">
        <v>120</v>
      </c>
      <c r="DN2426" t="s">
        <v>120</v>
      </c>
    </row>
    <row r="2427" spans="1:118">
      <c r="A2427" t="str">
        <f>"600023"</f>
        <v>600023</v>
      </c>
      <c r="B2427" t="s">
        <v>11249</v>
      </c>
      <c r="C2427">
        <v>-3.05</v>
      </c>
      <c r="D2427">
        <v>-0.25</v>
      </c>
      <c r="E2427">
        <v>0</v>
      </c>
      <c r="F2427">
        <v>3577</v>
      </c>
      <c r="G2427" t="s">
        <v>11250</v>
      </c>
      <c r="H2427">
        <v>31169.93</v>
      </c>
      <c r="I2427">
        <v>106.14</v>
      </c>
      <c r="J2427" t="s">
        <v>120</v>
      </c>
      <c r="K2427" t="s">
        <v>11251</v>
      </c>
      <c r="L2427">
        <v>0.59</v>
      </c>
      <c r="M2427">
        <v>3.82</v>
      </c>
      <c r="N2427">
        <v>0.54</v>
      </c>
      <c r="O2427">
        <v>0.76</v>
      </c>
      <c r="P2427">
        <v>3.97</v>
      </c>
      <c r="Q2427">
        <v>-3.05</v>
      </c>
      <c r="R2427">
        <v>3.82</v>
      </c>
      <c r="S2427">
        <v>3.94</v>
      </c>
      <c r="T2427">
        <v>801373</v>
      </c>
      <c r="U2427">
        <v>3.83</v>
      </c>
      <c r="V2427">
        <v>3.94</v>
      </c>
      <c r="W2427">
        <v>10.49</v>
      </c>
      <c r="X2427" t="s">
        <v>268</v>
      </c>
      <c r="Y2427" t="s">
        <v>585</v>
      </c>
      <c r="Z2427">
        <v>3.81</v>
      </c>
      <c r="AA2427">
        <v>3.89</v>
      </c>
      <c r="AB2427">
        <v>499530</v>
      </c>
      <c r="AC2427">
        <v>301843</v>
      </c>
      <c r="AD2427">
        <v>1.65</v>
      </c>
      <c r="AE2427">
        <v>8971</v>
      </c>
      <c r="AF2427">
        <v>1263</v>
      </c>
      <c r="AG2427" t="s">
        <v>120</v>
      </c>
      <c r="AH2427">
        <v>0.01</v>
      </c>
      <c r="AI2427" t="s">
        <v>120</v>
      </c>
      <c r="AJ2427">
        <v>136.01</v>
      </c>
      <c r="AK2427" t="s">
        <v>11251</v>
      </c>
      <c r="AL2427">
        <v>-1.7</v>
      </c>
      <c r="AM2427">
        <v>3681</v>
      </c>
      <c r="AN2427">
        <v>218</v>
      </c>
      <c r="AO2427">
        <v>2.0000000000000001E-4</v>
      </c>
      <c r="AP2427">
        <v>-1</v>
      </c>
      <c r="AQ2427">
        <v>0.77</v>
      </c>
      <c r="AR2427">
        <v>-6.82</v>
      </c>
      <c r="AS2427">
        <v>13.69</v>
      </c>
      <c r="AT2427">
        <v>12.52</v>
      </c>
      <c r="AU2427">
        <v>12.19</v>
      </c>
      <c r="AV2427">
        <v>1</v>
      </c>
      <c r="AW2427">
        <v>2.12</v>
      </c>
      <c r="AX2427">
        <v>27.85</v>
      </c>
      <c r="AY2427">
        <v>9.67</v>
      </c>
      <c r="AZ2427">
        <v>8.8000000000000007</v>
      </c>
      <c r="BA2427">
        <v>0.27</v>
      </c>
      <c r="BB2427" t="s">
        <v>143</v>
      </c>
      <c r="BF2427">
        <v>-1.28</v>
      </c>
      <c r="BG2427">
        <v>-3.05</v>
      </c>
      <c r="BH2427">
        <v>-3.78</v>
      </c>
      <c r="BI2427">
        <v>0</v>
      </c>
      <c r="BJ2427">
        <v>20210830</v>
      </c>
      <c r="BK2427">
        <v>20131219</v>
      </c>
      <c r="BL2427">
        <v>136.01</v>
      </c>
      <c r="BM2427" t="s">
        <v>120</v>
      </c>
      <c r="BN2427" t="s">
        <v>120</v>
      </c>
      <c r="BO2427">
        <v>1158.75</v>
      </c>
      <c r="BP2427">
        <v>3.82</v>
      </c>
      <c r="BQ2427">
        <v>676.32</v>
      </c>
      <c r="BR2427">
        <v>86.58</v>
      </c>
      <c r="BS2427">
        <v>34.159999999999997</v>
      </c>
      <c r="BT2427">
        <v>306.20999999999998</v>
      </c>
      <c r="BU2427">
        <v>467.08</v>
      </c>
      <c r="BV2427">
        <v>23.94</v>
      </c>
      <c r="BW2427">
        <v>188.89</v>
      </c>
      <c r="BX2427">
        <v>160.41</v>
      </c>
      <c r="BY2427">
        <v>43.15</v>
      </c>
      <c r="BZ2427">
        <v>61.14</v>
      </c>
      <c r="CA2427">
        <v>0.01</v>
      </c>
      <c r="CB2427">
        <v>243.32</v>
      </c>
      <c r="CC2427">
        <v>297.89999999999998</v>
      </c>
      <c r="CD2427">
        <v>274.08</v>
      </c>
      <c r="CE2427">
        <v>27.12</v>
      </c>
      <c r="CF2427">
        <v>15.41</v>
      </c>
      <c r="CG2427">
        <v>27.14</v>
      </c>
      <c r="CH2427">
        <v>24.42</v>
      </c>
      <c r="CI2427">
        <v>24.76</v>
      </c>
      <c r="CJ2427">
        <v>-0.12</v>
      </c>
      <c r="CK2427">
        <v>22.83</v>
      </c>
      <c r="CL2427">
        <v>215.66</v>
      </c>
      <c r="CM2427">
        <v>27.57</v>
      </c>
      <c r="CN2427">
        <v>-25.52</v>
      </c>
      <c r="CO2427">
        <v>171231</v>
      </c>
      <c r="CP2427">
        <v>22119</v>
      </c>
      <c r="CQ2427" t="s">
        <v>5042</v>
      </c>
      <c r="CR2427">
        <v>-18.11</v>
      </c>
      <c r="CS2427">
        <v>33.479999999999997</v>
      </c>
      <c r="CT2427">
        <v>0.77</v>
      </c>
      <c r="CU2427">
        <v>18.84</v>
      </c>
      <c r="CV2427">
        <v>1.74</v>
      </c>
      <c r="CW2427">
        <v>5.71</v>
      </c>
      <c r="CX2427" t="s">
        <v>242</v>
      </c>
      <c r="CY2427">
        <v>4.97</v>
      </c>
      <c r="CZ2427">
        <v>0</v>
      </c>
      <c r="DA2427">
        <v>1.79</v>
      </c>
      <c r="DB2427">
        <v>1.59</v>
      </c>
      <c r="DC2427">
        <v>0.2</v>
      </c>
      <c r="DD2427">
        <v>58.37</v>
      </c>
      <c r="DE2427" t="s">
        <v>1077</v>
      </c>
      <c r="DF2427">
        <v>8</v>
      </c>
      <c r="DG2427">
        <v>9.1</v>
      </c>
      <c r="DH2427">
        <v>8.31</v>
      </c>
      <c r="DI2427">
        <v>0.79</v>
      </c>
      <c r="DJ2427">
        <v>9322</v>
      </c>
      <c r="DK2427">
        <v>600023</v>
      </c>
      <c r="DL2427" t="s">
        <v>120</v>
      </c>
      <c r="DM2427" t="s">
        <v>120</v>
      </c>
      <c r="DN2427" t="s">
        <v>120</v>
      </c>
    </row>
    <row r="2428" spans="1:118">
      <c r="A2428" t="str">
        <f>"600025"</f>
        <v>600025</v>
      </c>
      <c r="B2428" t="s">
        <v>11252</v>
      </c>
      <c r="C2428">
        <v>0.3</v>
      </c>
      <c r="D2428">
        <v>-0.44</v>
      </c>
      <c r="E2428">
        <v>0</v>
      </c>
      <c r="F2428">
        <v>5150</v>
      </c>
      <c r="G2428" t="s">
        <v>11253</v>
      </c>
      <c r="H2428">
        <v>47405.65</v>
      </c>
      <c r="I2428">
        <v>107.7</v>
      </c>
      <c r="J2428" t="s">
        <v>120</v>
      </c>
      <c r="K2428" t="s">
        <v>11254</v>
      </c>
      <c r="L2428">
        <v>0.39</v>
      </c>
      <c r="M2428">
        <v>6.66</v>
      </c>
      <c r="N2428">
        <v>0.76</v>
      </c>
      <c r="O2428">
        <v>3.61</v>
      </c>
      <c r="P2428">
        <v>6.88</v>
      </c>
      <c r="Q2428">
        <v>-0.6</v>
      </c>
      <c r="R2428">
        <v>6.6</v>
      </c>
      <c r="S2428">
        <v>6.64</v>
      </c>
      <c r="T2428">
        <v>701755</v>
      </c>
      <c r="U2428">
        <v>6.68</v>
      </c>
      <c r="V2428">
        <v>6.64</v>
      </c>
      <c r="W2428">
        <v>22.25</v>
      </c>
      <c r="X2428" t="s">
        <v>1287</v>
      </c>
      <c r="Y2428" t="s">
        <v>1006</v>
      </c>
      <c r="Z2428">
        <v>4.22</v>
      </c>
      <c r="AA2428">
        <v>6.76</v>
      </c>
      <c r="AB2428">
        <v>344824</v>
      </c>
      <c r="AC2428">
        <v>356931</v>
      </c>
      <c r="AD2428">
        <v>0.97</v>
      </c>
      <c r="AE2428">
        <v>969</v>
      </c>
      <c r="AF2428">
        <v>80</v>
      </c>
      <c r="AG2428" t="s">
        <v>120</v>
      </c>
      <c r="AH2428">
        <v>0.01</v>
      </c>
      <c r="AI2428" t="s">
        <v>120</v>
      </c>
      <c r="AJ2428">
        <v>180</v>
      </c>
      <c r="AK2428" t="s">
        <v>11254</v>
      </c>
      <c r="AL2428">
        <v>1.64</v>
      </c>
      <c r="AM2428">
        <v>4248</v>
      </c>
      <c r="AN2428">
        <v>165</v>
      </c>
      <c r="AO2428">
        <v>1E-4</v>
      </c>
      <c r="AP2428">
        <v>1</v>
      </c>
      <c r="AQ2428">
        <v>-1.63</v>
      </c>
      <c r="AR2428">
        <v>-0.74</v>
      </c>
      <c r="AS2428">
        <v>21.98</v>
      </c>
      <c r="AT2428">
        <v>15.03</v>
      </c>
      <c r="AU2428">
        <v>54.89</v>
      </c>
      <c r="AV2428">
        <v>4</v>
      </c>
      <c r="AW2428">
        <v>3.9</v>
      </c>
      <c r="AX2428">
        <v>10</v>
      </c>
      <c r="AY2428">
        <v>19.46</v>
      </c>
      <c r="AZ2428">
        <v>24.72</v>
      </c>
      <c r="BA2428">
        <v>0.55000000000000004</v>
      </c>
      <c r="BB2428" t="s">
        <v>143</v>
      </c>
      <c r="BF2428">
        <v>1.74</v>
      </c>
      <c r="BG2428">
        <v>0.3</v>
      </c>
      <c r="BH2428">
        <v>-3.2</v>
      </c>
      <c r="BI2428">
        <v>0.91</v>
      </c>
      <c r="BJ2428">
        <v>20210830</v>
      </c>
      <c r="BK2428">
        <v>20171215</v>
      </c>
      <c r="BL2428">
        <v>180</v>
      </c>
      <c r="BM2428" t="s">
        <v>120</v>
      </c>
      <c r="BN2428" t="s">
        <v>120</v>
      </c>
      <c r="BO2428">
        <v>1606.48</v>
      </c>
      <c r="BP2428">
        <v>6.66</v>
      </c>
      <c r="BQ2428">
        <v>611.36</v>
      </c>
      <c r="BR2428">
        <v>18.239999999999998</v>
      </c>
      <c r="BS2428">
        <v>60.81</v>
      </c>
      <c r="BT2428">
        <v>64.069999999999993</v>
      </c>
      <c r="BU2428">
        <v>1311.02</v>
      </c>
      <c r="BV2428">
        <v>61.77</v>
      </c>
      <c r="BW2428">
        <v>221.64</v>
      </c>
      <c r="BX2428">
        <v>18.04</v>
      </c>
      <c r="BY2428">
        <v>0.42</v>
      </c>
      <c r="BZ2428">
        <v>31.95</v>
      </c>
      <c r="CA2428">
        <v>0.01</v>
      </c>
      <c r="CB2428">
        <v>188.92</v>
      </c>
      <c r="CC2428">
        <v>98.58</v>
      </c>
      <c r="CD2428">
        <v>44.42</v>
      </c>
      <c r="CE2428">
        <v>33.28</v>
      </c>
      <c r="CF2428">
        <v>0.8</v>
      </c>
      <c r="CG2428">
        <v>33.299999999999997</v>
      </c>
      <c r="CH2428">
        <v>27.98</v>
      </c>
      <c r="CI2428">
        <v>26.94</v>
      </c>
      <c r="CJ2428">
        <v>0.02</v>
      </c>
      <c r="CK2428">
        <v>27.52</v>
      </c>
      <c r="CL2428">
        <v>92.47</v>
      </c>
      <c r="CM2428">
        <v>82.8</v>
      </c>
      <c r="CN2428">
        <v>2.13</v>
      </c>
      <c r="CO2428">
        <v>91045</v>
      </c>
      <c r="CP2428">
        <v>19770</v>
      </c>
      <c r="CQ2428" t="s">
        <v>11255</v>
      </c>
      <c r="CR2428">
        <v>94.11</v>
      </c>
      <c r="CS2428">
        <v>22.14</v>
      </c>
      <c r="CT2428">
        <v>2.4900000000000002</v>
      </c>
      <c r="CU2428">
        <v>14.48</v>
      </c>
      <c r="CV2428">
        <v>12.16</v>
      </c>
      <c r="CW2428">
        <v>2.41</v>
      </c>
      <c r="CX2428" t="s">
        <v>373</v>
      </c>
      <c r="CY2428">
        <v>2.68</v>
      </c>
      <c r="CZ2428">
        <v>2.68</v>
      </c>
      <c r="DA2428">
        <v>1.05</v>
      </c>
      <c r="DB2428">
        <v>0.51</v>
      </c>
      <c r="DC2428">
        <v>0.46</v>
      </c>
      <c r="DD2428">
        <v>38.06</v>
      </c>
      <c r="DE2428" t="s">
        <v>831</v>
      </c>
      <c r="DF2428">
        <v>54.93</v>
      </c>
      <c r="DG2428">
        <v>33.76</v>
      </c>
      <c r="DH2428">
        <v>27.33</v>
      </c>
      <c r="DI2428">
        <v>0.1</v>
      </c>
      <c r="DJ2428">
        <v>3403</v>
      </c>
      <c r="DK2428">
        <v>600025</v>
      </c>
      <c r="DL2428" t="s">
        <v>120</v>
      </c>
      <c r="DM2428" t="s">
        <v>120</v>
      </c>
      <c r="DN2428" t="s">
        <v>120</v>
      </c>
    </row>
    <row r="2429" spans="1:118">
      <c r="A2429" t="str">
        <f>"600026"</f>
        <v>600026</v>
      </c>
      <c r="B2429" t="s">
        <v>11256</v>
      </c>
      <c r="C2429">
        <v>1.1599999999999999</v>
      </c>
      <c r="D2429">
        <v>-0.15</v>
      </c>
      <c r="E2429">
        <v>0.83</v>
      </c>
      <c r="F2429">
        <v>2852</v>
      </c>
      <c r="G2429" t="s">
        <v>11257</v>
      </c>
      <c r="H2429">
        <v>22717.07</v>
      </c>
      <c r="I2429">
        <v>95.61</v>
      </c>
      <c r="J2429" t="s">
        <v>120</v>
      </c>
      <c r="K2429" t="s">
        <v>11258</v>
      </c>
      <c r="L2429">
        <v>1.28</v>
      </c>
      <c r="M2429">
        <v>6.11</v>
      </c>
      <c r="N2429">
        <v>0.95</v>
      </c>
      <c r="O2429">
        <v>3.97</v>
      </c>
      <c r="P2429">
        <v>6.28</v>
      </c>
      <c r="Q2429">
        <v>0</v>
      </c>
      <c r="R2429">
        <v>6.04</v>
      </c>
      <c r="S2429">
        <v>6.09</v>
      </c>
      <c r="T2429">
        <v>367782</v>
      </c>
      <c r="U2429">
        <v>6.12</v>
      </c>
      <c r="V2429">
        <v>6.04</v>
      </c>
      <c r="W2429">
        <v>26.76</v>
      </c>
      <c r="X2429" t="s">
        <v>917</v>
      </c>
      <c r="Y2429" t="s">
        <v>1510</v>
      </c>
      <c r="Z2429">
        <v>3.97</v>
      </c>
      <c r="AA2429">
        <v>6.18</v>
      </c>
      <c r="AB2429">
        <v>156116</v>
      </c>
      <c r="AC2429">
        <v>211666</v>
      </c>
      <c r="AD2429">
        <v>0.74</v>
      </c>
      <c r="AE2429">
        <v>695</v>
      </c>
      <c r="AF2429">
        <v>478</v>
      </c>
      <c r="AG2429" t="s">
        <v>120</v>
      </c>
      <c r="AH2429">
        <v>0.01</v>
      </c>
      <c r="AI2429" t="s">
        <v>120</v>
      </c>
      <c r="AJ2429">
        <v>28.65</v>
      </c>
      <c r="AK2429" t="s">
        <v>11259</v>
      </c>
      <c r="AL2429">
        <v>2.5</v>
      </c>
      <c r="AM2429">
        <v>3543</v>
      </c>
      <c r="AN2429">
        <v>104</v>
      </c>
      <c r="AO2429">
        <v>4.0000000000000002E-4</v>
      </c>
      <c r="AP2429">
        <v>1</v>
      </c>
      <c r="AQ2429">
        <v>0</v>
      </c>
      <c r="AR2429">
        <v>-1.93</v>
      </c>
      <c r="AS2429">
        <v>19.57</v>
      </c>
      <c r="AT2429">
        <v>0.49</v>
      </c>
      <c r="AU2429">
        <v>-5.71</v>
      </c>
      <c r="AV2429">
        <v>0</v>
      </c>
      <c r="AW2429">
        <v>2.77</v>
      </c>
      <c r="AX2429">
        <v>38.31</v>
      </c>
      <c r="AY2429">
        <v>3293.43</v>
      </c>
      <c r="AZ2429">
        <v>12.12</v>
      </c>
      <c r="BA2429">
        <v>0.27</v>
      </c>
      <c r="BB2429" t="s">
        <v>143</v>
      </c>
      <c r="BF2429">
        <v>2.2599999999999998</v>
      </c>
      <c r="BG2429">
        <v>0.33</v>
      </c>
      <c r="BH2429">
        <v>-2.71</v>
      </c>
      <c r="BI2429">
        <v>1.1599999999999999</v>
      </c>
      <c r="BJ2429">
        <v>20210910</v>
      </c>
      <c r="BK2429">
        <v>20020523</v>
      </c>
      <c r="BL2429">
        <v>47.63</v>
      </c>
      <c r="BM2429" t="s">
        <v>120</v>
      </c>
      <c r="BN2429">
        <v>12.96</v>
      </c>
      <c r="BO2429">
        <v>655.01</v>
      </c>
      <c r="BP2429">
        <v>6.11</v>
      </c>
      <c r="BQ2429">
        <v>343.33</v>
      </c>
      <c r="BR2429" t="s">
        <v>120</v>
      </c>
      <c r="BS2429">
        <v>47.58</v>
      </c>
      <c r="BT2429">
        <v>72.81</v>
      </c>
      <c r="BU2429">
        <v>475.96</v>
      </c>
      <c r="BV2429">
        <v>0.46</v>
      </c>
      <c r="BW2429">
        <v>102.33</v>
      </c>
      <c r="BX2429">
        <v>37.590000000000003</v>
      </c>
      <c r="BY2429">
        <v>9.2200000000000006</v>
      </c>
      <c r="BZ2429">
        <v>11.4</v>
      </c>
      <c r="CA2429" t="s">
        <v>120</v>
      </c>
      <c r="CB2429">
        <v>119.28</v>
      </c>
      <c r="CC2429">
        <v>61.15</v>
      </c>
      <c r="CD2429">
        <v>51.98</v>
      </c>
      <c r="CE2429">
        <v>8.56</v>
      </c>
      <c r="CF2429">
        <v>4.8</v>
      </c>
      <c r="CG2429">
        <v>8.3699999999999992</v>
      </c>
      <c r="CH2429">
        <v>7.06</v>
      </c>
      <c r="CI2429">
        <v>5.44</v>
      </c>
      <c r="CJ2429">
        <v>7.0000000000000007E-2</v>
      </c>
      <c r="CK2429">
        <v>5.57</v>
      </c>
      <c r="CL2429">
        <v>151.38999999999999</v>
      </c>
      <c r="CM2429">
        <v>16.41</v>
      </c>
      <c r="CN2429">
        <v>-10.92</v>
      </c>
      <c r="CO2429">
        <v>98656</v>
      </c>
      <c r="CP2429">
        <v>13461</v>
      </c>
      <c r="CQ2429" t="s">
        <v>6999</v>
      </c>
      <c r="CR2429">
        <v>-81.3</v>
      </c>
      <c r="CS2429">
        <v>-37.35</v>
      </c>
      <c r="CT2429">
        <v>0.85</v>
      </c>
      <c r="CU2429">
        <v>17.73</v>
      </c>
      <c r="CV2429">
        <v>4.76</v>
      </c>
      <c r="CW2429">
        <v>3.31</v>
      </c>
      <c r="CX2429" t="s">
        <v>1047</v>
      </c>
      <c r="CY2429">
        <v>7.21</v>
      </c>
      <c r="CZ2429">
        <v>0</v>
      </c>
      <c r="DA2429">
        <v>2.5</v>
      </c>
      <c r="DB2429">
        <v>3.18</v>
      </c>
      <c r="DC2429">
        <v>0.34</v>
      </c>
      <c r="DD2429">
        <v>52.42</v>
      </c>
      <c r="DE2429" t="s">
        <v>6850</v>
      </c>
      <c r="DF2429">
        <v>15</v>
      </c>
      <c r="DG2429">
        <v>13.99</v>
      </c>
      <c r="DH2429">
        <v>8.89</v>
      </c>
      <c r="DI2429">
        <v>7.0000000000000007E-2</v>
      </c>
      <c r="DJ2429">
        <v>7398</v>
      </c>
      <c r="DK2429">
        <v>600026</v>
      </c>
      <c r="DL2429" t="s">
        <v>120</v>
      </c>
      <c r="DM2429" t="s">
        <v>120</v>
      </c>
      <c r="DN2429" t="s">
        <v>120</v>
      </c>
    </row>
    <row r="2430" spans="1:118">
      <c r="A2430" t="str">
        <f>"600027"</f>
        <v>600027</v>
      </c>
      <c r="B2430" t="s">
        <v>11260</v>
      </c>
      <c r="C2430">
        <v>-4.87</v>
      </c>
      <c r="D2430">
        <v>-0.45</v>
      </c>
      <c r="E2430">
        <v>-0.22</v>
      </c>
      <c r="F2430">
        <v>55410</v>
      </c>
      <c r="G2430" t="s">
        <v>8354</v>
      </c>
      <c r="H2430">
        <v>55339.26</v>
      </c>
      <c r="I2430">
        <v>97.19</v>
      </c>
      <c r="J2430" t="s">
        <v>120</v>
      </c>
      <c r="K2430" t="s">
        <v>11261</v>
      </c>
      <c r="L2430">
        <v>1.54</v>
      </c>
      <c r="M2430">
        <v>4.3</v>
      </c>
      <c r="N2430">
        <v>0.89</v>
      </c>
      <c r="O2430">
        <v>0.88</v>
      </c>
      <c r="P2430">
        <v>4.5599999999999996</v>
      </c>
      <c r="Q2430">
        <v>-4.87</v>
      </c>
      <c r="R2430">
        <v>4.3</v>
      </c>
      <c r="S2430">
        <v>4.51</v>
      </c>
      <c r="T2430">
        <v>1251946</v>
      </c>
      <c r="U2430">
        <v>4.3099999999999996</v>
      </c>
      <c r="V2430">
        <v>4.5199999999999996</v>
      </c>
      <c r="W2430">
        <v>6.39</v>
      </c>
      <c r="X2430" t="s">
        <v>268</v>
      </c>
      <c r="Y2430" t="s">
        <v>638</v>
      </c>
      <c r="Z2430">
        <v>5.75</v>
      </c>
      <c r="AA2430">
        <v>4.42</v>
      </c>
      <c r="AB2430">
        <v>628231</v>
      </c>
      <c r="AC2430">
        <v>623715</v>
      </c>
      <c r="AD2430">
        <v>1.01</v>
      </c>
      <c r="AE2430">
        <v>4584</v>
      </c>
      <c r="AF2430">
        <v>977</v>
      </c>
      <c r="AG2430" t="s">
        <v>120</v>
      </c>
      <c r="AH2430">
        <v>0.01</v>
      </c>
      <c r="AI2430" t="s">
        <v>120</v>
      </c>
      <c r="AJ2430">
        <v>81.459999999999994</v>
      </c>
      <c r="AK2430" t="s">
        <v>11261</v>
      </c>
      <c r="AL2430">
        <v>-3.52</v>
      </c>
      <c r="AM2430">
        <v>4388</v>
      </c>
      <c r="AN2430">
        <v>285</v>
      </c>
      <c r="AO2430">
        <v>4.0000000000000002E-4</v>
      </c>
      <c r="AP2430">
        <v>-3</v>
      </c>
      <c r="AQ2430">
        <v>-0.44</v>
      </c>
      <c r="AR2430">
        <v>-9.2799999999999994</v>
      </c>
      <c r="AS2430">
        <v>24.63</v>
      </c>
      <c r="AT2430">
        <v>34.79</v>
      </c>
      <c r="AU2430">
        <v>36.51</v>
      </c>
      <c r="AV2430">
        <v>1</v>
      </c>
      <c r="AW2430">
        <v>4.3899999999999997</v>
      </c>
      <c r="AX2430">
        <v>35.04</v>
      </c>
      <c r="AY2430">
        <v>8.7200000000000006</v>
      </c>
      <c r="AZ2430">
        <v>10.67</v>
      </c>
      <c r="BA2430">
        <v>0.46</v>
      </c>
      <c r="BB2430" t="s">
        <v>143</v>
      </c>
      <c r="BF2430">
        <v>-2.21</v>
      </c>
      <c r="BG2430">
        <v>-4.66</v>
      </c>
      <c r="BH2430">
        <v>-5.7</v>
      </c>
      <c r="BI2430">
        <v>0</v>
      </c>
      <c r="BJ2430">
        <v>20210910</v>
      </c>
      <c r="BK2430">
        <v>20050203</v>
      </c>
      <c r="BL2430">
        <v>98.63</v>
      </c>
      <c r="BM2430" t="s">
        <v>120</v>
      </c>
      <c r="BN2430">
        <v>17.170000000000002</v>
      </c>
      <c r="BO2430">
        <v>2109.3000000000002</v>
      </c>
      <c r="BP2430">
        <v>4.3</v>
      </c>
      <c r="BQ2430">
        <v>720.87</v>
      </c>
      <c r="BR2430">
        <v>166.13</v>
      </c>
      <c r="BS2430">
        <v>57.95</v>
      </c>
      <c r="BT2430">
        <v>284.44</v>
      </c>
      <c r="BU2430">
        <v>1196.24</v>
      </c>
      <c r="BV2430">
        <v>82.47</v>
      </c>
      <c r="BW2430">
        <v>594.6</v>
      </c>
      <c r="BX2430">
        <v>83.94</v>
      </c>
      <c r="BY2430">
        <v>30.44</v>
      </c>
      <c r="BZ2430">
        <v>72.84</v>
      </c>
      <c r="CA2430" t="s">
        <v>120</v>
      </c>
      <c r="CB2430">
        <v>134.09</v>
      </c>
      <c r="CC2430">
        <v>534.78</v>
      </c>
      <c r="CD2430">
        <v>484.72</v>
      </c>
      <c r="CE2430">
        <v>46</v>
      </c>
      <c r="CF2430">
        <v>42.64</v>
      </c>
      <c r="CG2430">
        <v>46.65</v>
      </c>
      <c r="CH2430">
        <v>39.6</v>
      </c>
      <c r="CI2430">
        <v>33.17</v>
      </c>
      <c r="CJ2430">
        <v>-0.22</v>
      </c>
      <c r="CK2430">
        <v>10.93</v>
      </c>
      <c r="CL2430">
        <v>202.67</v>
      </c>
      <c r="CM2430">
        <v>65.81</v>
      </c>
      <c r="CN2430">
        <v>18.55</v>
      </c>
      <c r="CO2430">
        <v>122210</v>
      </c>
      <c r="CP2430">
        <v>23356</v>
      </c>
      <c r="CQ2430" t="s">
        <v>11262</v>
      </c>
      <c r="CR2430">
        <v>39.01</v>
      </c>
      <c r="CS2430">
        <v>28.77</v>
      </c>
      <c r="CT2430">
        <v>0.89</v>
      </c>
      <c r="CU2430">
        <v>6.44</v>
      </c>
      <c r="CV2430">
        <v>0.79</v>
      </c>
      <c r="CW2430">
        <v>5.53</v>
      </c>
      <c r="CX2430" t="s">
        <v>1054</v>
      </c>
      <c r="CY2430">
        <v>4.83</v>
      </c>
      <c r="CZ2430">
        <v>4.83</v>
      </c>
      <c r="DA2430">
        <v>1.36</v>
      </c>
      <c r="DB2430">
        <v>2.0499999999999998</v>
      </c>
      <c r="DC2430">
        <v>0.67</v>
      </c>
      <c r="DD2430">
        <v>34.18</v>
      </c>
      <c r="DE2430" t="s">
        <v>2680</v>
      </c>
      <c r="DF2430">
        <v>9.36</v>
      </c>
      <c r="DG2430">
        <v>8.6</v>
      </c>
      <c r="DH2430">
        <v>6.2</v>
      </c>
      <c r="DI2430">
        <v>0.03</v>
      </c>
      <c r="DJ2430">
        <v>27116</v>
      </c>
      <c r="DK2430">
        <v>600027</v>
      </c>
      <c r="DL2430">
        <v>20210908</v>
      </c>
      <c r="DM2430">
        <v>4.7699999999999996</v>
      </c>
      <c r="DN2430">
        <v>-9.85</v>
      </c>
    </row>
    <row r="2431" spans="1:118">
      <c r="A2431" t="str">
        <f>"600028"</f>
        <v>600028</v>
      </c>
      <c r="B2431" t="s">
        <v>11263</v>
      </c>
      <c r="C2431">
        <v>-1.69</v>
      </c>
      <c r="D2431">
        <v>0</v>
      </c>
      <c r="E2431">
        <v>2.11</v>
      </c>
      <c r="F2431">
        <v>78711</v>
      </c>
      <c r="G2431" t="s">
        <v>11264</v>
      </c>
      <c r="H2431">
        <v>216010.13</v>
      </c>
      <c r="I2431">
        <v>4416.59</v>
      </c>
      <c r="J2431" t="s">
        <v>120</v>
      </c>
      <c r="K2431" t="s">
        <v>11265</v>
      </c>
      <c r="L2431">
        <v>0.48</v>
      </c>
      <c r="M2431">
        <v>4.6500000000000004</v>
      </c>
      <c r="N2431">
        <v>1.05</v>
      </c>
      <c r="O2431">
        <v>2.75</v>
      </c>
      <c r="P2431">
        <v>4.8600000000000003</v>
      </c>
      <c r="Q2431">
        <v>-2.11</v>
      </c>
      <c r="R2431">
        <v>4.63</v>
      </c>
      <c r="S2431">
        <v>4.83</v>
      </c>
      <c r="T2431">
        <v>4577147</v>
      </c>
      <c r="U2431">
        <v>4.66</v>
      </c>
      <c r="V2431">
        <v>4.7300000000000004</v>
      </c>
      <c r="W2431">
        <v>7.19</v>
      </c>
      <c r="X2431" t="s">
        <v>431</v>
      </c>
      <c r="Y2431" t="s">
        <v>158</v>
      </c>
      <c r="Z2431">
        <v>4.8600000000000003</v>
      </c>
      <c r="AA2431">
        <v>4.72</v>
      </c>
      <c r="AB2431">
        <v>2496161</v>
      </c>
      <c r="AC2431">
        <v>2080986</v>
      </c>
      <c r="AD2431">
        <v>1.2</v>
      </c>
      <c r="AE2431">
        <v>22611</v>
      </c>
      <c r="AF2431">
        <v>29354</v>
      </c>
      <c r="AG2431" t="s">
        <v>120</v>
      </c>
      <c r="AH2431">
        <v>7.0000000000000007E-2</v>
      </c>
      <c r="AI2431" t="s">
        <v>120</v>
      </c>
      <c r="AJ2431">
        <v>955.58</v>
      </c>
      <c r="AK2431" t="s">
        <v>11265</v>
      </c>
      <c r="AL2431">
        <v>-0.35</v>
      </c>
      <c r="AM2431">
        <v>4732</v>
      </c>
      <c r="AN2431">
        <v>967</v>
      </c>
      <c r="AO2431">
        <v>1E-4</v>
      </c>
      <c r="AP2431">
        <v>-1</v>
      </c>
      <c r="AQ2431">
        <v>1.72</v>
      </c>
      <c r="AR2431">
        <v>-1.06</v>
      </c>
      <c r="AS2431">
        <v>17.72</v>
      </c>
      <c r="AT2431">
        <v>5.2</v>
      </c>
      <c r="AU2431">
        <v>19.23</v>
      </c>
      <c r="AV2431">
        <v>0</v>
      </c>
      <c r="AW2431">
        <v>3.56</v>
      </c>
      <c r="AX2431">
        <v>13.45</v>
      </c>
      <c r="AY2431">
        <v>6.02</v>
      </c>
      <c r="AZ2431">
        <v>17.39</v>
      </c>
      <c r="BA2431">
        <v>0.43</v>
      </c>
      <c r="BB2431" t="s">
        <v>184</v>
      </c>
      <c r="BF2431">
        <v>-0.23</v>
      </c>
      <c r="BG2431">
        <v>-3.73</v>
      </c>
      <c r="BH2431">
        <v>-4.32</v>
      </c>
      <c r="BI2431">
        <v>0.43</v>
      </c>
      <c r="BJ2431">
        <v>20210830</v>
      </c>
      <c r="BK2431">
        <v>20010808</v>
      </c>
      <c r="BL2431">
        <v>1210.71</v>
      </c>
      <c r="BM2431" t="s">
        <v>120</v>
      </c>
      <c r="BN2431">
        <v>255.13</v>
      </c>
      <c r="BO2431">
        <v>18529.64</v>
      </c>
      <c r="BP2431">
        <v>4.6500000000000004</v>
      </c>
      <c r="BQ2431">
        <v>7651.54</v>
      </c>
      <c r="BR2431">
        <v>1421.47</v>
      </c>
      <c r="BS2431">
        <v>51.04</v>
      </c>
      <c r="BT2431">
        <v>5534.36</v>
      </c>
      <c r="BU2431">
        <v>5808.46</v>
      </c>
      <c r="BV2431">
        <v>1154.25</v>
      </c>
      <c r="BW2431">
        <v>6239.95</v>
      </c>
      <c r="BX2431">
        <v>1904.82</v>
      </c>
      <c r="BY2431">
        <v>1992.34</v>
      </c>
      <c r="BZ2431">
        <v>718.43</v>
      </c>
      <c r="CA2431" t="s">
        <v>120</v>
      </c>
      <c r="CB2431">
        <v>1211.94</v>
      </c>
      <c r="CC2431">
        <v>12616.03</v>
      </c>
      <c r="CD2431">
        <v>9999.83</v>
      </c>
      <c r="CE2431">
        <v>638.62</v>
      </c>
      <c r="CF2431">
        <v>48.9</v>
      </c>
      <c r="CG2431">
        <v>634.77</v>
      </c>
      <c r="CH2431">
        <v>485.28</v>
      </c>
      <c r="CI2431">
        <v>391.53</v>
      </c>
      <c r="CJ2431">
        <v>-0.08</v>
      </c>
      <c r="CK2431">
        <v>384.2</v>
      </c>
      <c r="CL2431">
        <v>3099.89</v>
      </c>
      <c r="CM2431">
        <v>477.36</v>
      </c>
      <c r="CN2431">
        <v>-89.93</v>
      </c>
      <c r="CO2431">
        <v>507150</v>
      </c>
      <c r="CP2431">
        <v>25335</v>
      </c>
      <c r="CQ2431" t="s">
        <v>11266</v>
      </c>
      <c r="CR2431">
        <v>270.22000000000003</v>
      </c>
      <c r="CS2431">
        <v>22.12</v>
      </c>
      <c r="CT2431">
        <v>0.74</v>
      </c>
      <c r="CU2431">
        <v>11.79</v>
      </c>
      <c r="CV2431">
        <v>0.45</v>
      </c>
      <c r="CW2431">
        <v>6.13</v>
      </c>
      <c r="CX2431" t="s">
        <v>966</v>
      </c>
      <c r="CY2431">
        <v>6.32</v>
      </c>
      <c r="CZ2431">
        <v>0</v>
      </c>
      <c r="DA2431">
        <v>1</v>
      </c>
      <c r="DB2431">
        <v>2.56</v>
      </c>
      <c r="DC2431">
        <v>0.39</v>
      </c>
      <c r="DD2431">
        <v>41.29</v>
      </c>
      <c r="DE2431" t="s">
        <v>3575</v>
      </c>
      <c r="DF2431">
        <v>20.74</v>
      </c>
      <c r="DG2431">
        <v>5.0599999999999996</v>
      </c>
      <c r="DH2431">
        <v>3.1</v>
      </c>
      <c r="DI2431">
        <v>53.59</v>
      </c>
      <c r="DJ2431">
        <v>384065</v>
      </c>
      <c r="DK2431">
        <v>600028</v>
      </c>
      <c r="DL2431" t="s">
        <v>120</v>
      </c>
      <c r="DM2431" t="s">
        <v>120</v>
      </c>
      <c r="DN2431" t="s">
        <v>120</v>
      </c>
    </row>
    <row r="2432" spans="1:118">
      <c r="A2432" t="str">
        <f>"600029"</f>
        <v>600029</v>
      </c>
      <c r="B2432" t="s">
        <v>11267</v>
      </c>
      <c r="C2432">
        <v>-1.72</v>
      </c>
      <c r="D2432">
        <v>-0.51</v>
      </c>
      <c r="E2432">
        <v>0.17</v>
      </c>
      <c r="F2432">
        <v>11106</v>
      </c>
      <c r="G2432" t="s">
        <v>11268</v>
      </c>
      <c r="H2432">
        <v>20700.93</v>
      </c>
      <c r="I2432">
        <v>103.72</v>
      </c>
      <c r="J2432" t="s">
        <v>120</v>
      </c>
      <c r="K2432" t="s">
        <v>11269</v>
      </c>
      <c r="L2432">
        <v>0.37</v>
      </c>
      <c r="M2432">
        <v>5.72</v>
      </c>
      <c r="N2432">
        <v>0.76</v>
      </c>
      <c r="O2432">
        <v>1.89</v>
      </c>
      <c r="P2432">
        <v>5.93</v>
      </c>
      <c r="Q2432">
        <v>-1.72</v>
      </c>
      <c r="R2432">
        <v>5.72</v>
      </c>
      <c r="S2432">
        <v>5.83</v>
      </c>
      <c r="T2432">
        <v>357595</v>
      </c>
      <c r="U2432">
        <v>5.73</v>
      </c>
      <c r="V2432">
        <v>5.82</v>
      </c>
      <c r="W2432" t="s">
        <v>120</v>
      </c>
      <c r="X2432" t="s">
        <v>540</v>
      </c>
      <c r="Y2432" t="s">
        <v>547</v>
      </c>
      <c r="Z2432">
        <v>3.61</v>
      </c>
      <c r="AA2432">
        <v>5.79</v>
      </c>
      <c r="AB2432">
        <v>202396</v>
      </c>
      <c r="AC2432">
        <v>155199</v>
      </c>
      <c r="AD2432">
        <v>1.3</v>
      </c>
      <c r="AE2432">
        <v>5084</v>
      </c>
      <c r="AF2432">
        <v>436</v>
      </c>
      <c r="AG2432" t="s">
        <v>120</v>
      </c>
      <c r="AH2432">
        <v>0</v>
      </c>
      <c r="AI2432" t="s">
        <v>120</v>
      </c>
      <c r="AJ2432">
        <v>97.31</v>
      </c>
      <c r="AK2432" t="s">
        <v>11270</v>
      </c>
      <c r="AL2432">
        <v>-0.37</v>
      </c>
      <c r="AM2432">
        <v>3794</v>
      </c>
      <c r="AN2432">
        <v>94</v>
      </c>
      <c r="AO2432">
        <v>1E-4</v>
      </c>
      <c r="AP2432">
        <v>-5</v>
      </c>
      <c r="AQ2432">
        <v>-1.52</v>
      </c>
      <c r="AR2432">
        <v>-6.08</v>
      </c>
      <c r="AS2432">
        <v>1.24</v>
      </c>
      <c r="AT2432">
        <v>-7.74</v>
      </c>
      <c r="AU2432">
        <v>-4.03</v>
      </c>
      <c r="AV2432">
        <v>0</v>
      </c>
      <c r="AW2432">
        <v>0.88</v>
      </c>
      <c r="AX2432">
        <v>32.130000000000003</v>
      </c>
      <c r="AY2432" t="s">
        <v>120</v>
      </c>
      <c r="AZ2432" t="s">
        <v>120</v>
      </c>
      <c r="BA2432">
        <v>0.31</v>
      </c>
      <c r="BB2432" t="s">
        <v>143</v>
      </c>
      <c r="BF2432">
        <v>-0.53</v>
      </c>
      <c r="BG2432">
        <v>-1.89</v>
      </c>
      <c r="BH2432">
        <v>-3.54</v>
      </c>
      <c r="BI2432">
        <v>0</v>
      </c>
      <c r="BJ2432">
        <v>20210913</v>
      </c>
      <c r="BK2432">
        <v>20030725</v>
      </c>
      <c r="BL2432">
        <v>169.48</v>
      </c>
      <c r="BM2432" t="s">
        <v>120</v>
      </c>
      <c r="BN2432">
        <v>42.75</v>
      </c>
      <c r="BO2432">
        <v>3268.19</v>
      </c>
      <c r="BP2432">
        <v>5.72</v>
      </c>
      <c r="BQ2432">
        <v>750.51</v>
      </c>
      <c r="BR2432">
        <v>169.71</v>
      </c>
      <c r="BS2432">
        <v>71.84</v>
      </c>
      <c r="BT2432">
        <v>400.29</v>
      </c>
      <c r="BU2432">
        <v>891.78</v>
      </c>
      <c r="BV2432">
        <v>63.61</v>
      </c>
      <c r="BW2432">
        <v>1031.55</v>
      </c>
      <c r="BX2432">
        <v>252.35</v>
      </c>
      <c r="BY2432">
        <v>18.010000000000002</v>
      </c>
      <c r="BZ2432">
        <v>39.36</v>
      </c>
      <c r="CA2432">
        <v>39.51</v>
      </c>
      <c r="CB2432">
        <v>478.87</v>
      </c>
      <c r="CC2432">
        <v>515.76</v>
      </c>
      <c r="CD2432">
        <v>518.66</v>
      </c>
      <c r="CE2432">
        <v>-52.84</v>
      </c>
      <c r="CF2432">
        <v>1.82</v>
      </c>
      <c r="CG2432">
        <v>-50.97</v>
      </c>
      <c r="CH2432">
        <v>-39.64</v>
      </c>
      <c r="CI2432">
        <v>-46.88</v>
      </c>
      <c r="CJ2432">
        <v>-0.1</v>
      </c>
      <c r="CK2432">
        <v>-48</v>
      </c>
      <c r="CL2432">
        <v>74.58</v>
      </c>
      <c r="CM2432">
        <v>79.19</v>
      </c>
      <c r="CN2432">
        <v>-4.47</v>
      </c>
      <c r="CO2432">
        <v>200309</v>
      </c>
      <c r="CP2432">
        <v>20330</v>
      </c>
      <c r="CQ2432" t="s">
        <v>596</v>
      </c>
      <c r="CR2432">
        <v>42.65</v>
      </c>
      <c r="CS2432">
        <v>32.369999999999997</v>
      </c>
      <c r="CT2432">
        <v>1.29</v>
      </c>
      <c r="CU2432">
        <v>12.24</v>
      </c>
      <c r="CV2432">
        <v>1.88</v>
      </c>
      <c r="CW2432">
        <v>0</v>
      </c>
      <c r="CX2432" t="s">
        <v>7768</v>
      </c>
      <c r="CY2432">
        <v>4.43</v>
      </c>
      <c r="CZ2432">
        <v>4.43</v>
      </c>
      <c r="DA2432">
        <v>2.83</v>
      </c>
      <c r="DB2432">
        <v>0.44</v>
      </c>
      <c r="DC2432">
        <v>0.47</v>
      </c>
      <c r="DD2432">
        <v>22.96</v>
      </c>
      <c r="DE2432" t="s">
        <v>11271</v>
      </c>
      <c r="DF2432">
        <v>-0.56000000000000005</v>
      </c>
      <c r="DG2432">
        <v>-10.25</v>
      </c>
      <c r="DH2432">
        <v>-9.09</v>
      </c>
      <c r="DI2432">
        <v>1.91</v>
      </c>
      <c r="DJ2432">
        <v>98347</v>
      </c>
      <c r="DK2432">
        <v>600029</v>
      </c>
      <c r="DL2432" t="s">
        <v>120</v>
      </c>
      <c r="DM2432" t="s">
        <v>120</v>
      </c>
      <c r="DN2432" t="s">
        <v>120</v>
      </c>
    </row>
    <row r="2433" spans="1:118">
      <c r="A2433" t="str">
        <f>"600030"</f>
        <v>600030</v>
      </c>
      <c r="B2433" t="s">
        <v>11272</v>
      </c>
      <c r="C2433">
        <v>-2.9</v>
      </c>
      <c r="D2433">
        <v>-0.11</v>
      </c>
      <c r="E2433">
        <v>0.15</v>
      </c>
      <c r="F2433">
        <v>24192</v>
      </c>
      <c r="G2433" t="s">
        <v>11273</v>
      </c>
      <c r="H2433">
        <v>348736.94</v>
      </c>
      <c r="I2433">
        <v>854.36</v>
      </c>
      <c r="J2433" t="s">
        <v>120</v>
      </c>
      <c r="K2433" t="s">
        <v>11274</v>
      </c>
      <c r="L2433">
        <v>1.37</v>
      </c>
      <c r="M2433">
        <v>25.48</v>
      </c>
      <c r="N2433">
        <v>0.93</v>
      </c>
      <c r="O2433">
        <v>0.34</v>
      </c>
      <c r="P2433">
        <v>26.33</v>
      </c>
      <c r="Q2433">
        <v>-3.54</v>
      </c>
      <c r="R2433">
        <v>25.31</v>
      </c>
      <c r="S2433">
        <v>26.28</v>
      </c>
      <c r="T2433">
        <v>1347735</v>
      </c>
      <c r="U2433">
        <v>25.49</v>
      </c>
      <c r="V2433">
        <v>26.24</v>
      </c>
      <c r="W2433">
        <v>13.5</v>
      </c>
      <c r="X2433" t="s">
        <v>616</v>
      </c>
      <c r="Y2433" t="s">
        <v>123</v>
      </c>
      <c r="Z2433">
        <v>3.89</v>
      </c>
      <c r="AA2433">
        <v>25.88</v>
      </c>
      <c r="AB2433">
        <v>665698</v>
      </c>
      <c r="AC2433">
        <v>682037</v>
      </c>
      <c r="AD2433">
        <v>0.98</v>
      </c>
      <c r="AE2433">
        <v>4113</v>
      </c>
      <c r="AF2433">
        <v>547</v>
      </c>
      <c r="AG2433" t="s">
        <v>120</v>
      </c>
      <c r="AH2433">
        <v>0</v>
      </c>
      <c r="AI2433" t="s">
        <v>120</v>
      </c>
      <c r="AJ2433">
        <v>98.15</v>
      </c>
      <c r="AK2433" t="s">
        <v>11275</v>
      </c>
      <c r="AL2433">
        <v>-1.55</v>
      </c>
      <c r="AM2433">
        <v>4740</v>
      </c>
      <c r="AN2433">
        <v>284</v>
      </c>
      <c r="AO2433">
        <v>2.9999999999999997E-4</v>
      </c>
      <c r="AP2433">
        <v>-4</v>
      </c>
      <c r="AQ2433">
        <v>-0.91</v>
      </c>
      <c r="AR2433">
        <v>-6.29</v>
      </c>
      <c r="AS2433">
        <v>5.1100000000000003</v>
      </c>
      <c r="AT2433">
        <v>3.58</v>
      </c>
      <c r="AU2433">
        <v>-12.14</v>
      </c>
      <c r="AV2433">
        <v>0</v>
      </c>
      <c r="AW2433">
        <v>1.72</v>
      </c>
      <c r="AX2433">
        <v>73.39</v>
      </c>
      <c r="AY2433">
        <v>18.66</v>
      </c>
      <c r="AZ2433">
        <v>22.76</v>
      </c>
      <c r="BA2433">
        <v>1.27</v>
      </c>
      <c r="BB2433" t="s">
        <v>240</v>
      </c>
      <c r="BF2433">
        <v>-1.39</v>
      </c>
      <c r="BG2433">
        <v>-3.04</v>
      </c>
      <c r="BH2433">
        <v>-3.23</v>
      </c>
      <c r="BI2433">
        <v>0.67</v>
      </c>
      <c r="BJ2433">
        <v>20210831</v>
      </c>
      <c r="BK2433">
        <v>20030106</v>
      </c>
      <c r="BL2433">
        <v>129.27000000000001</v>
      </c>
      <c r="BM2433" t="s">
        <v>120</v>
      </c>
      <c r="BN2433">
        <v>22.78</v>
      </c>
      <c r="BO2433">
        <v>11691.39</v>
      </c>
      <c r="BP2433">
        <v>25.48</v>
      </c>
      <c r="BQ2433">
        <v>1874.06</v>
      </c>
      <c r="BR2433">
        <v>41.73</v>
      </c>
      <c r="BS2433">
        <v>83.61</v>
      </c>
      <c r="BT2433">
        <v>0</v>
      </c>
      <c r="BU2433">
        <v>68.72</v>
      </c>
      <c r="BV2433">
        <v>27.41</v>
      </c>
      <c r="BW2433">
        <v>0</v>
      </c>
      <c r="BX2433">
        <v>2662.85</v>
      </c>
      <c r="BY2433">
        <v>0</v>
      </c>
      <c r="BZ2433">
        <v>0</v>
      </c>
      <c r="CA2433" t="s">
        <v>120</v>
      </c>
      <c r="CB2433">
        <v>656.27</v>
      </c>
      <c r="CC2433">
        <v>377.21</v>
      </c>
      <c r="CD2433">
        <v>0</v>
      </c>
      <c r="CE2433">
        <v>163.43</v>
      </c>
      <c r="CF2433">
        <v>100.2</v>
      </c>
      <c r="CG2433">
        <v>162.91</v>
      </c>
      <c r="CH2433">
        <v>125.94</v>
      </c>
      <c r="CI2433">
        <v>121.98</v>
      </c>
      <c r="CJ2433">
        <v>-0.76</v>
      </c>
      <c r="CK2433">
        <v>121.4</v>
      </c>
      <c r="CL2433">
        <v>715.61</v>
      </c>
      <c r="CM2433">
        <v>22.3</v>
      </c>
      <c r="CN2433">
        <v>151.65</v>
      </c>
      <c r="CO2433">
        <v>742647</v>
      </c>
      <c r="CP2433">
        <v>10523</v>
      </c>
      <c r="CQ2433" t="s">
        <v>11276</v>
      </c>
      <c r="CR2433">
        <v>36.659999999999997</v>
      </c>
      <c r="CS2433">
        <v>41.05</v>
      </c>
      <c r="CT2433">
        <v>1.76</v>
      </c>
      <c r="CU2433">
        <v>147.69999999999999</v>
      </c>
      <c r="CV2433">
        <v>8.73</v>
      </c>
      <c r="CW2433">
        <v>1.52</v>
      </c>
      <c r="CX2433" t="s">
        <v>3686</v>
      </c>
      <c r="CY2433">
        <v>14.5</v>
      </c>
      <c r="CZ2433">
        <v>14.5</v>
      </c>
      <c r="DA2433">
        <v>5.08</v>
      </c>
      <c r="DB2433">
        <v>5.54</v>
      </c>
      <c r="DC2433">
        <v>0.17</v>
      </c>
      <c r="DD2433">
        <v>16.03</v>
      </c>
      <c r="DE2433" t="s">
        <v>10870</v>
      </c>
      <c r="DF2433" t="s">
        <v>120</v>
      </c>
      <c r="DG2433">
        <v>43.33</v>
      </c>
      <c r="DH2433">
        <v>32.340000000000003</v>
      </c>
      <c r="DI2433" t="s">
        <v>120</v>
      </c>
      <c r="DJ2433">
        <v>19012</v>
      </c>
      <c r="DK2433">
        <v>600030</v>
      </c>
      <c r="DL2433">
        <v>20210831</v>
      </c>
      <c r="DM2433">
        <v>25.68</v>
      </c>
      <c r="DN2433">
        <v>-0.78</v>
      </c>
    </row>
    <row r="2434" spans="1:118">
      <c r="A2434" t="str">
        <f>"600031"</f>
        <v>600031</v>
      </c>
      <c r="B2434" t="s">
        <v>11277</v>
      </c>
      <c r="C2434">
        <v>0.75</v>
      </c>
      <c r="D2434">
        <v>-0.06</v>
      </c>
      <c r="E2434">
        <v>-1.02</v>
      </c>
      <c r="F2434">
        <v>22560</v>
      </c>
      <c r="G2434" t="s">
        <v>11278</v>
      </c>
      <c r="H2434">
        <v>367440.91</v>
      </c>
      <c r="I2434">
        <v>2053.7800000000002</v>
      </c>
      <c r="J2434" t="s">
        <v>120</v>
      </c>
      <c r="K2434" t="s">
        <v>11279</v>
      </c>
      <c r="L2434">
        <v>1.63</v>
      </c>
      <c r="M2434">
        <v>26.78</v>
      </c>
      <c r="N2434">
        <v>0.94</v>
      </c>
      <c r="O2434">
        <v>1.05</v>
      </c>
      <c r="P2434">
        <v>26.86</v>
      </c>
      <c r="Q2434">
        <v>-1.05</v>
      </c>
      <c r="R2434">
        <v>26.3</v>
      </c>
      <c r="S2434">
        <v>26.31</v>
      </c>
      <c r="T2434">
        <v>1381320</v>
      </c>
      <c r="U2434">
        <v>26.79</v>
      </c>
      <c r="V2434">
        <v>26.58</v>
      </c>
      <c r="W2434">
        <v>11.29</v>
      </c>
      <c r="X2434" t="s">
        <v>593</v>
      </c>
      <c r="Y2434" t="s">
        <v>158</v>
      </c>
      <c r="Z2434">
        <v>2.11</v>
      </c>
      <c r="AA2434">
        <v>26.6</v>
      </c>
      <c r="AB2434">
        <v>683323</v>
      </c>
      <c r="AC2434">
        <v>697997</v>
      </c>
      <c r="AD2434">
        <v>0.98</v>
      </c>
      <c r="AE2434">
        <v>2195</v>
      </c>
      <c r="AF2434">
        <v>8390</v>
      </c>
      <c r="AG2434" t="s">
        <v>120</v>
      </c>
      <c r="AH2434">
        <v>0.01</v>
      </c>
      <c r="AI2434" t="s">
        <v>120</v>
      </c>
      <c r="AJ2434">
        <v>84.91</v>
      </c>
      <c r="AK2434" t="s">
        <v>11279</v>
      </c>
      <c r="AL2434">
        <v>2.1</v>
      </c>
      <c r="AM2434">
        <v>4744</v>
      </c>
      <c r="AN2434">
        <v>291</v>
      </c>
      <c r="AO2434">
        <v>2.9999999999999997E-4</v>
      </c>
      <c r="AP2434">
        <v>1</v>
      </c>
      <c r="AQ2434">
        <v>-1.59</v>
      </c>
      <c r="AR2434">
        <v>-2.68</v>
      </c>
      <c r="AS2434">
        <v>-5.23</v>
      </c>
      <c r="AT2434">
        <v>-5.07</v>
      </c>
      <c r="AU2434">
        <v>-22.11</v>
      </c>
      <c r="AV2434">
        <v>2</v>
      </c>
      <c r="AW2434">
        <v>2.39</v>
      </c>
      <c r="AX2434">
        <v>68.010000000000005</v>
      </c>
      <c r="AY2434">
        <v>13.35</v>
      </c>
      <c r="AZ2434">
        <v>14.63</v>
      </c>
      <c r="BA2434">
        <v>1.85</v>
      </c>
      <c r="BB2434" t="s">
        <v>143</v>
      </c>
      <c r="BF2434">
        <v>0.08</v>
      </c>
      <c r="BG2434">
        <v>1.79</v>
      </c>
      <c r="BH2434">
        <v>-0.3</v>
      </c>
      <c r="BI2434">
        <v>1.83</v>
      </c>
      <c r="BJ2434">
        <v>20210830</v>
      </c>
      <c r="BK2434">
        <v>20030703</v>
      </c>
      <c r="BL2434">
        <v>84.91</v>
      </c>
      <c r="BM2434" t="s">
        <v>120</v>
      </c>
      <c r="BN2434" t="s">
        <v>120</v>
      </c>
      <c r="BO2434">
        <v>1446.37</v>
      </c>
      <c r="BP2434">
        <v>26.78</v>
      </c>
      <c r="BQ2434">
        <v>618.33000000000004</v>
      </c>
      <c r="BR2434">
        <v>18.899999999999999</v>
      </c>
      <c r="BS2434">
        <v>55.94</v>
      </c>
      <c r="BT2434">
        <v>1033.72</v>
      </c>
      <c r="BU2434">
        <v>117.35</v>
      </c>
      <c r="BV2434">
        <v>32.79</v>
      </c>
      <c r="BW2434">
        <v>691.25</v>
      </c>
      <c r="BX2434">
        <v>217.34</v>
      </c>
      <c r="BY2434">
        <v>193.84</v>
      </c>
      <c r="BZ2434">
        <v>259.86</v>
      </c>
      <c r="CA2434" t="s">
        <v>120</v>
      </c>
      <c r="CB2434">
        <v>53.56</v>
      </c>
      <c r="CC2434">
        <v>671.28</v>
      </c>
      <c r="CD2434">
        <v>482.38</v>
      </c>
      <c r="CE2434">
        <v>118.58</v>
      </c>
      <c r="CF2434">
        <v>7.25</v>
      </c>
      <c r="CG2434">
        <v>118.81</v>
      </c>
      <c r="CH2434">
        <v>102.96</v>
      </c>
      <c r="CI2434">
        <v>100.74</v>
      </c>
      <c r="CJ2434">
        <v>0.2</v>
      </c>
      <c r="CK2434">
        <v>93.77</v>
      </c>
      <c r="CL2434">
        <v>470.04</v>
      </c>
      <c r="CM2434">
        <v>97.88</v>
      </c>
      <c r="CN2434">
        <v>74.63</v>
      </c>
      <c r="CO2434">
        <v>981435</v>
      </c>
      <c r="CP2434">
        <v>5884</v>
      </c>
      <c r="CQ2434" t="s">
        <v>7135</v>
      </c>
      <c r="CR2434">
        <v>17.16</v>
      </c>
      <c r="CS2434">
        <v>36.47</v>
      </c>
      <c r="CT2434">
        <v>3.68</v>
      </c>
      <c r="CU2434">
        <v>23.23</v>
      </c>
      <c r="CV2434">
        <v>3.39</v>
      </c>
      <c r="CW2434">
        <v>2.2400000000000002</v>
      </c>
      <c r="CX2434" t="s">
        <v>11280</v>
      </c>
      <c r="CY2434">
        <v>7.29</v>
      </c>
      <c r="CZ2434">
        <v>7.29</v>
      </c>
      <c r="DA2434">
        <v>0.63</v>
      </c>
      <c r="DB2434">
        <v>5.54</v>
      </c>
      <c r="DC2434">
        <v>1.1499999999999999</v>
      </c>
      <c r="DD2434">
        <v>42.75</v>
      </c>
      <c r="DE2434" t="s">
        <v>11281</v>
      </c>
      <c r="DF2434">
        <v>28.14</v>
      </c>
      <c r="DG2434">
        <v>17.66</v>
      </c>
      <c r="DH2434">
        <v>15.01</v>
      </c>
      <c r="DI2434">
        <v>30.58</v>
      </c>
      <c r="DJ2434">
        <v>24586</v>
      </c>
      <c r="DK2434">
        <v>600031</v>
      </c>
      <c r="DL2434" t="s">
        <v>120</v>
      </c>
      <c r="DM2434" t="s">
        <v>120</v>
      </c>
      <c r="DN2434" t="s">
        <v>120</v>
      </c>
    </row>
    <row r="2435" spans="1:118">
      <c r="A2435" t="str">
        <f>"600032"</f>
        <v>600032</v>
      </c>
      <c r="B2435" t="s">
        <v>11282</v>
      </c>
      <c r="C2435">
        <v>-4.75</v>
      </c>
      <c r="D2435">
        <v>0.08</v>
      </c>
      <c r="E2435">
        <v>-0.62</v>
      </c>
      <c r="F2435">
        <v>1974</v>
      </c>
      <c r="G2435" t="s">
        <v>11283</v>
      </c>
      <c r="H2435">
        <v>31586.94</v>
      </c>
      <c r="I2435">
        <v>104.12</v>
      </c>
      <c r="J2435" t="s">
        <v>120</v>
      </c>
      <c r="K2435" t="s">
        <v>11283</v>
      </c>
      <c r="L2435">
        <v>12.1</v>
      </c>
      <c r="M2435">
        <v>12.23</v>
      </c>
      <c r="N2435">
        <v>0.77</v>
      </c>
      <c r="O2435">
        <v>0.62</v>
      </c>
      <c r="P2435">
        <v>12.92</v>
      </c>
      <c r="Q2435">
        <v>-4.83</v>
      </c>
      <c r="R2435">
        <v>12.22</v>
      </c>
      <c r="S2435">
        <v>12.76</v>
      </c>
      <c r="T2435">
        <v>251718</v>
      </c>
      <c r="U2435">
        <v>12.23</v>
      </c>
      <c r="V2435">
        <v>12.84</v>
      </c>
      <c r="W2435">
        <v>56.94</v>
      </c>
      <c r="X2435" t="s">
        <v>356</v>
      </c>
      <c r="Y2435" t="s">
        <v>585</v>
      </c>
      <c r="Z2435">
        <v>5.45</v>
      </c>
      <c r="AA2435">
        <v>12.55</v>
      </c>
      <c r="AB2435">
        <v>146974</v>
      </c>
      <c r="AC2435">
        <v>104744</v>
      </c>
      <c r="AD2435">
        <v>1.4</v>
      </c>
      <c r="AE2435">
        <v>1545</v>
      </c>
      <c r="AF2435">
        <v>666</v>
      </c>
      <c r="AG2435" t="s">
        <v>120</v>
      </c>
      <c r="AH2435">
        <v>0.04</v>
      </c>
      <c r="AI2435" t="s">
        <v>120</v>
      </c>
      <c r="AJ2435">
        <v>2.08</v>
      </c>
      <c r="AK2435" t="s">
        <v>11284</v>
      </c>
      <c r="AL2435">
        <v>-3.41</v>
      </c>
      <c r="AM2435">
        <v>4201</v>
      </c>
      <c r="AN2435">
        <v>60</v>
      </c>
      <c r="AO2435">
        <v>2.8999999999999998E-3</v>
      </c>
      <c r="AP2435">
        <v>-1</v>
      </c>
      <c r="AQ2435">
        <v>4.99</v>
      </c>
      <c r="AR2435">
        <v>-3.09</v>
      </c>
      <c r="AS2435">
        <v>7.56</v>
      </c>
      <c r="AT2435">
        <v>-12.89</v>
      </c>
      <c r="AU2435">
        <v>248.43</v>
      </c>
      <c r="AV2435">
        <v>10</v>
      </c>
      <c r="AW2435">
        <v>12.1</v>
      </c>
      <c r="AX2435">
        <v>10</v>
      </c>
      <c r="AY2435">
        <v>79.819999999999993</v>
      </c>
      <c r="AZ2435">
        <v>94.13</v>
      </c>
      <c r="BA2435">
        <v>0.27</v>
      </c>
      <c r="BB2435" t="s">
        <v>143</v>
      </c>
      <c r="BF2435">
        <v>-2.27</v>
      </c>
      <c r="BG2435">
        <v>-4.1500000000000004</v>
      </c>
      <c r="BH2435">
        <v>-5.34</v>
      </c>
      <c r="BI2435">
        <v>0.08</v>
      </c>
      <c r="BJ2435">
        <v>20210913</v>
      </c>
      <c r="BK2435">
        <v>20210525</v>
      </c>
      <c r="BL2435">
        <v>20.8</v>
      </c>
      <c r="BM2435" t="s">
        <v>120</v>
      </c>
      <c r="BN2435" t="s">
        <v>120</v>
      </c>
      <c r="BO2435">
        <v>317.23</v>
      </c>
      <c r="BP2435">
        <v>12.22</v>
      </c>
      <c r="BQ2435">
        <v>74.78</v>
      </c>
      <c r="BR2435">
        <v>36.49</v>
      </c>
      <c r="BS2435">
        <v>64.930000000000007</v>
      </c>
      <c r="BT2435">
        <v>56.73</v>
      </c>
      <c r="BU2435">
        <v>149.08000000000001</v>
      </c>
      <c r="BV2435">
        <v>2.5099999999999998</v>
      </c>
      <c r="BW2435">
        <v>64.569999999999993</v>
      </c>
      <c r="BX2435">
        <v>10.93</v>
      </c>
      <c r="BY2435">
        <v>0.04</v>
      </c>
      <c r="BZ2435">
        <v>41.44</v>
      </c>
      <c r="CA2435">
        <v>0.03</v>
      </c>
      <c r="CB2435">
        <v>41.99</v>
      </c>
      <c r="CC2435">
        <v>13.19</v>
      </c>
      <c r="CD2435">
        <v>5.69</v>
      </c>
      <c r="CE2435">
        <v>3.7</v>
      </c>
      <c r="CF2435">
        <v>1.02</v>
      </c>
      <c r="CG2435">
        <v>3.72</v>
      </c>
      <c r="CH2435">
        <v>3.23</v>
      </c>
      <c r="CI2435">
        <v>2.23</v>
      </c>
      <c r="CJ2435">
        <v>-0.61</v>
      </c>
      <c r="CK2435">
        <v>2.14</v>
      </c>
      <c r="CL2435">
        <v>11.17</v>
      </c>
      <c r="CM2435">
        <v>2.73</v>
      </c>
      <c r="CN2435">
        <v>0.6</v>
      </c>
      <c r="CO2435">
        <v>84783</v>
      </c>
      <c r="CP2435">
        <v>2453</v>
      </c>
      <c r="CQ2435" t="s">
        <v>11285</v>
      </c>
      <c r="CR2435">
        <v>0</v>
      </c>
      <c r="CS2435">
        <v>0</v>
      </c>
      <c r="CT2435">
        <v>3.4</v>
      </c>
      <c r="CU2435">
        <v>93.17</v>
      </c>
      <c r="CV2435">
        <v>19.28</v>
      </c>
      <c r="CW2435">
        <v>0</v>
      </c>
      <c r="CX2435" t="s">
        <v>850</v>
      </c>
      <c r="CY2435">
        <v>3.6</v>
      </c>
      <c r="CZ2435">
        <v>0</v>
      </c>
      <c r="DA2435">
        <v>2.02</v>
      </c>
      <c r="DB2435">
        <v>0.54</v>
      </c>
      <c r="DC2435">
        <v>0.13</v>
      </c>
      <c r="DD2435">
        <v>23.57</v>
      </c>
      <c r="DE2435" t="s">
        <v>243</v>
      </c>
      <c r="DF2435">
        <v>56.88</v>
      </c>
      <c r="DG2435">
        <v>28.09</v>
      </c>
      <c r="DH2435">
        <v>16.93</v>
      </c>
      <c r="DI2435">
        <v>0.01</v>
      </c>
      <c r="DJ2435">
        <v>641</v>
      </c>
      <c r="DK2435">
        <v>600032</v>
      </c>
      <c r="DL2435" t="s">
        <v>120</v>
      </c>
      <c r="DM2435" t="s">
        <v>120</v>
      </c>
      <c r="DN2435" t="s">
        <v>120</v>
      </c>
    </row>
    <row r="2436" spans="1:118">
      <c r="A2436" t="str">
        <f>"600033"</f>
        <v>600033</v>
      </c>
      <c r="B2436" t="s">
        <v>11286</v>
      </c>
      <c r="C2436">
        <v>-0.71</v>
      </c>
      <c r="D2436">
        <v>-0.35</v>
      </c>
      <c r="E2436">
        <v>0.36</v>
      </c>
      <c r="F2436">
        <v>4493</v>
      </c>
      <c r="G2436" t="s">
        <v>4149</v>
      </c>
      <c r="H2436">
        <v>5639.91</v>
      </c>
      <c r="I2436">
        <v>42.94</v>
      </c>
      <c r="J2436" t="s">
        <v>120</v>
      </c>
      <c r="K2436" t="s">
        <v>11287</v>
      </c>
      <c r="L2436">
        <v>0.73</v>
      </c>
      <c r="M2436">
        <v>2.78</v>
      </c>
      <c r="N2436">
        <v>0.93</v>
      </c>
      <c r="O2436">
        <v>2.86</v>
      </c>
      <c r="P2436">
        <v>2.88</v>
      </c>
      <c r="Q2436">
        <v>-1.07</v>
      </c>
      <c r="R2436">
        <v>2.77</v>
      </c>
      <c r="S2436">
        <v>2.81</v>
      </c>
      <c r="T2436">
        <v>199455</v>
      </c>
      <c r="U2436">
        <v>2.79</v>
      </c>
      <c r="V2436">
        <v>2.8</v>
      </c>
      <c r="W2436">
        <v>7.86</v>
      </c>
      <c r="X2436" t="s">
        <v>800</v>
      </c>
      <c r="Y2436" t="s">
        <v>937</v>
      </c>
      <c r="Z2436">
        <v>3.93</v>
      </c>
      <c r="AA2436">
        <v>2.83</v>
      </c>
      <c r="AB2436">
        <v>98353</v>
      </c>
      <c r="AC2436">
        <v>101102</v>
      </c>
      <c r="AD2436">
        <v>0.97</v>
      </c>
      <c r="AE2436">
        <v>757</v>
      </c>
      <c r="AF2436">
        <v>97</v>
      </c>
      <c r="AG2436" t="s">
        <v>120</v>
      </c>
      <c r="AH2436">
        <v>0.01</v>
      </c>
      <c r="AI2436" t="s">
        <v>120</v>
      </c>
      <c r="AJ2436">
        <v>27.44</v>
      </c>
      <c r="AK2436" t="s">
        <v>11287</v>
      </c>
      <c r="AL2436">
        <v>0.63</v>
      </c>
      <c r="AM2436">
        <v>2120</v>
      </c>
      <c r="AN2436">
        <v>94</v>
      </c>
      <c r="AO2436">
        <v>2.9999999999999997E-4</v>
      </c>
      <c r="AP2436">
        <v>-3</v>
      </c>
      <c r="AQ2436">
        <v>-0.36</v>
      </c>
      <c r="AR2436">
        <v>-2.8</v>
      </c>
      <c r="AS2436">
        <v>9.8800000000000008</v>
      </c>
      <c r="AT2436">
        <v>6.51</v>
      </c>
      <c r="AU2436">
        <v>9.8800000000000008</v>
      </c>
      <c r="AV2436">
        <v>0</v>
      </c>
      <c r="AW2436">
        <v>1.58</v>
      </c>
      <c r="AX2436">
        <v>46.09</v>
      </c>
      <c r="AY2436">
        <v>8.2899999999999991</v>
      </c>
      <c r="AZ2436">
        <v>16.989999999999998</v>
      </c>
      <c r="BA2436">
        <v>0.32</v>
      </c>
      <c r="BB2436" t="s">
        <v>143</v>
      </c>
      <c r="BF2436">
        <v>0.99</v>
      </c>
      <c r="BG2436">
        <v>-1.07</v>
      </c>
      <c r="BH2436">
        <v>-3.47</v>
      </c>
      <c r="BI2436">
        <v>0.36</v>
      </c>
      <c r="BJ2436">
        <v>20210831</v>
      </c>
      <c r="BK2436">
        <v>20010209</v>
      </c>
      <c r="BL2436">
        <v>27.44</v>
      </c>
      <c r="BM2436" t="s">
        <v>120</v>
      </c>
      <c r="BN2436" t="s">
        <v>120</v>
      </c>
      <c r="BO2436">
        <v>167.03</v>
      </c>
      <c r="BP2436">
        <v>2.78</v>
      </c>
      <c r="BQ2436">
        <v>100.49</v>
      </c>
      <c r="BR2436">
        <v>22.94</v>
      </c>
      <c r="BS2436">
        <v>26.1</v>
      </c>
      <c r="BT2436">
        <v>15.75</v>
      </c>
      <c r="BU2436">
        <v>132.81</v>
      </c>
      <c r="BV2436">
        <v>0</v>
      </c>
      <c r="BW2436">
        <v>16.28</v>
      </c>
      <c r="BX2436">
        <v>6.58</v>
      </c>
      <c r="BY2436">
        <v>0.13</v>
      </c>
      <c r="BZ2436">
        <v>7.57</v>
      </c>
      <c r="CA2436">
        <v>0.03</v>
      </c>
      <c r="CB2436">
        <v>16.600000000000001</v>
      </c>
      <c r="CC2436">
        <v>14.92</v>
      </c>
      <c r="CD2436">
        <v>5.44</v>
      </c>
      <c r="CE2436">
        <v>8.48</v>
      </c>
      <c r="CF2436">
        <v>-0.09</v>
      </c>
      <c r="CG2436">
        <v>8.08</v>
      </c>
      <c r="CH2436">
        <v>6.14</v>
      </c>
      <c r="CI2436">
        <v>4.8499999999999996</v>
      </c>
      <c r="CJ2436">
        <v>-0.02</v>
      </c>
      <c r="CK2436">
        <v>5.0199999999999996</v>
      </c>
      <c r="CL2436">
        <v>45.75</v>
      </c>
      <c r="CM2436">
        <v>10.42</v>
      </c>
      <c r="CN2436">
        <v>3.11</v>
      </c>
      <c r="CO2436">
        <v>94344</v>
      </c>
      <c r="CP2436">
        <v>13408</v>
      </c>
      <c r="CQ2436" t="s">
        <v>1608</v>
      </c>
      <c r="CR2436">
        <v>4564.32</v>
      </c>
      <c r="CS2436">
        <v>116.18</v>
      </c>
      <c r="CT2436">
        <v>0.76</v>
      </c>
      <c r="CU2436">
        <v>7.32</v>
      </c>
      <c r="CV2436">
        <v>5.1100000000000003</v>
      </c>
      <c r="CW2436">
        <v>3.57</v>
      </c>
      <c r="CX2436" t="s">
        <v>738</v>
      </c>
      <c r="CY2436">
        <v>3.66</v>
      </c>
      <c r="CZ2436">
        <v>0</v>
      </c>
      <c r="DA2436">
        <v>0.6</v>
      </c>
      <c r="DB2436">
        <v>1.67</v>
      </c>
      <c r="DC2436">
        <v>0.38</v>
      </c>
      <c r="DD2436">
        <v>60.16</v>
      </c>
      <c r="DE2436" t="s">
        <v>1072</v>
      </c>
      <c r="DF2436">
        <v>63.55</v>
      </c>
      <c r="DG2436">
        <v>56.82</v>
      </c>
      <c r="DH2436">
        <v>32.53</v>
      </c>
      <c r="DI2436" t="s">
        <v>120</v>
      </c>
      <c r="DJ2436">
        <v>1393</v>
      </c>
      <c r="DK2436">
        <v>600033</v>
      </c>
      <c r="DL2436" t="s">
        <v>120</v>
      </c>
      <c r="DM2436" t="s">
        <v>120</v>
      </c>
      <c r="DN2436" t="s">
        <v>120</v>
      </c>
    </row>
    <row r="2437" spans="1:118">
      <c r="A2437" t="str">
        <f>"600035"</f>
        <v>600035</v>
      </c>
      <c r="B2437" t="s">
        <v>11288</v>
      </c>
      <c r="C2437">
        <v>-2.13</v>
      </c>
      <c r="D2437">
        <v>0</v>
      </c>
      <c r="E2437">
        <v>-0.3</v>
      </c>
      <c r="F2437">
        <v>2184</v>
      </c>
      <c r="G2437" t="s">
        <v>4350</v>
      </c>
      <c r="H2437">
        <v>6017.12</v>
      </c>
      <c r="I2437">
        <v>34.24</v>
      </c>
      <c r="J2437" t="s">
        <v>120</v>
      </c>
      <c r="K2437" t="s">
        <v>11289</v>
      </c>
      <c r="L2437">
        <v>1.1399999999999999</v>
      </c>
      <c r="M2437">
        <v>3.21</v>
      </c>
      <c r="N2437">
        <v>0.63</v>
      </c>
      <c r="O2437">
        <v>2.13</v>
      </c>
      <c r="P2437">
        <v>3.35</v>
      </c>
      <c r="Q2437">
        <v>-2.13</v>
      </c>
      <c r="R2437">
        <v>3.21</v>
      </c>
      <c r="S2437">
        <v>3.27</v>
      </c>
      <c r="T2437">
        <v>183925</v>
      </c>
      <c r="U2437">
        <v>3.22</v>
      </c>
      <c r="V2437">
        <v>3.28</v>
      </c>
      <c r="W2437">
        <v>5.79</v>
      </c>
      <c r="X2437" t="s">
        <v>800</v>
      </c>
      <c r="Y2437" t="s">
        <v>763</v>
      </c>
      <c r="Z2437">
        <v>4.2699999999999996</v>
      </c>
      <c r="AA2437">
        <v>3.27</v>
      </c>
      <c r="AB2437">
        <v>97166</v>
      </c>
      <c r="AC2437">
        <v>86759</v>
      </c>
      <c r="AD2437">
        <v>1.1200000000000001</v>
      </c>
      <c r="AE2437">
        <v>3336</v>
      </c>
      <c r="AF2437">
        <v>4012</v>
      </c>
      <c r="AG2437" t="s">
        <v>120</v>
      </c>
      <c r="AH2437">
        <v>0.01</v>
      </c>
      <c r="AI2437" t="s">
        <v>120</v>
      </c>
      <c r="AJ2437">
        <v>16.100000000000001</v>
      </c>
      <c r="AK2437" t="s">
        <v>11289</v>
      </c>
      <c r="AL2437">
        <v>-0.79</v>
      </c>
      <c r="AM2437">
        <v>2429</v>
      </c>
      <c r="AN2437">
        <v>76</v>
      </c>
      <c r="AO2437">
        <v>5.0000000000000001E-4</v>
      </c>
      <c r="AP2437">
        <v>-3</v>
      </c>
      <c r="AQ2437">
        <v>-0.3</v>
      </c>
      <c r="AR2437">
        <v>-4.74</v>
      </c>
      <c r="AS2437">
        <v>14.24</v>
      </c>
      <c r="AT2437">
        <v>7</v>
      </c>
      <c r="AU2437">
        <v>13.03</v>
      </c>
      <c r="AV2437">
        <v>0</v>
      </c>
      <c r="AW2437">
        <v>2.48</v>
      </c>
      <c r="AX2437">
        <v>46.04</v>
      </c>
      <c r="AY2437">
        <v>7.25</v>
      </c>
      <c r="AZ2437">
        <v>16.28</v>
      </c>
      <c r="BA2437">
        <v>0.44</v>
      </c>
      <c r="BB2437" t="s">
        <v>143</v>
      </c>
      <c r="BF2437">
        <v>-0.26</v>
      </c>
      <c r="BG2437">
        <v>-1.83</v>
      </c>
      <c r="BH2437">
        <v>-4.18</v>
      </c>
      <c r="BI2437">
        <v>0</v>
      </c>
      <c r="BJ2437">
        <v>20210831</v>
      </c>
      <c r="BK2437">
        <v>20040310</v>
      </c>
      <c r="BL2437">
        <v>16.100000000000001</v>
      </c>
      <c r="BM2437" t="s">
        <v>120</v>
      </c>
      <c r="BN2437" t="s">
        <v>120</v>
      </c>
      <c r="BO2437">
        <v>157.55000000000001</v>
      </c>
      <c r="BP2437">
        <v>3.21</v>
      </c>
      <c r="BQ2437">
        <v>66.97</v>
      </c>
      <c r="BR2437">
        <v>9.16</v>
      </c>
      <c r="BS2437">
        <v>51.68</v>
      </c>
      <c r="BT2437">
        <v>17.12</v>
      </c>
      <c r="BU2437">
        <v>6.94</v>
      </c>
      <c r="BV2437">
        <v>127.58</v>
      </c>
      <c r="BW2437">
        <v>26.19</v>
      </c>
      <c r="BX2437">
        <v>8.51</v>
      </c>
      <c r="BY2437">
        <v>2.04</v>
      </c>
      <c r="BZ2437">
        <v>5.33</v>
      </c>
      <c r="CA2437">
        <v>0.05</v>
      </c>
      <c r="CB2437">
        <v>11.06</v>
      </c>
      <c r="CC2437">
        <v>15.67</v>
      </c>
      <c r="CD2437">
        <v>7.26</v>
      </c>
      <c r="CE2437">
        <v>6.45</v>
      </c>
      <c r="CF2437">
        <v>-0.01</v>
      </c>
      <c r="CG2437">
        <v>6.44</v>
      </c>
      <c r="CH2437">
        <v>4.6900000000000004</v>
      </c>
      <c r="CI2437">
        <v>4.46</v>
      </c>
      <c r="CJ2437">
        <v>-7.0000000000000007E-2</v>
      </c>
      <c r="CK2437">
        <v>4.3499999999999996</v>
      </c>
      <c r="CL2437">
        <v>27.47</v>
      </c>
      <c r="CM2437">
        <v>6.08</v>
      </c>
      <c r="CN2437">
        <v>1.3</v>
      </c>
      <c r="CO2437">
        <v>58368</v>
      </c>
      <c r="CP2437">
        <v>12699</v>
      </c>
      <c r="CQ2437" t="s">
        <v>7341</v>
      </c>
      <c r="CR2437">
        <v>963.14</v>
      </c>
      <c r="CS2437">
        <v>100.34</v>
      </c>
      <c r="CT2437">
        <v>0.77</v>
      </c>
      <c r="CU2437">
        <v>8.5</v>
      </c>
      <c r="CV2437">
        <v>3.3</v>
      </c>
      <c r="CW2437">
        <v>2.13</v>
      </c>
      <c r="CX2437" t="s">
        <v>1054</v>
      </c>
      <c r="CY2437">
        <v>4.16</v>
      </c>
      <c r="CZ2437">
        <v>0</v>
      </c>
      <c r="DA2437">
        <v>0.69</v>
      </c>
      <c r="DB2437">
        <v>1.71</v>
      </c>
      <c r="DC2437">
        <v>0.38</v>
      </c>
      <c r="DD2437">
        <v>42.51</v>
      </c>
      <c r="DE2437" t="s">
        <v>3774</v>
      </c>
      <c r="DF2437">
        <v>53.7</v>
      </c>
      <c r="DG2437">
        <v>41.16</v>
      </c>
      <c r="DH2437">
        <v>28.48</v>
      </c>
      <c r="DI2437">
        <v>0.16</v>
      </c>
      <c r="DJ2437">
        <v>1744</v>
      </c>
      <c r="DK2437">
        <v>600035</v>
      </c>
      <c r="DL2437" t="s">
        <v>120</v>
      </c>
      <c r="DM2437" t="s">
        <v>120</v>
      </c>
      <c r="DN2437" t="s">
        <v>120</v>
      </c>
    </row>
    <row r="2438" spans="1:118">
      <c r="A2438" t="str">
        <f>"600036"</f>
        <v>600036</v>
      </c>
      <c r="B2438" t="s">
        <v>11290</v>
      </c>
      <c r="C2438">
        <v>-1.36</v>
      </c>
      <c r="D2438">
        <v>0.1</v>
      </c>
      <c r="E2438">
        <v>-0.33</v>
      </c>
      <c r="F2438">
        <v>32970</v>
      </c>
      <c r="G2438" t="s">
        <v>11291</v>
      </c>
      <c r="H2438">
        <v>319386.51</v>
      </c>
      <c r="I2438">
        <v>1058.46</v>
      </c>
      <c r="J2438" t="s">
        <v>120</v>
      </c>
      <c r="K2438" t="s">
        <v>11292</v>
      </c>
      <c r="L2438">
        <v>0.31</v>
      </c>
      <c r="M2438">
        <v>50.7</v>
      </c>
      <c r="N2438">
        <v>0.99</v>
      </c>
      <c r="O2438">
        <v>0.84</v>
      </c>
      <c r="P2438">
        <v>51.83</v>
      </c>
      <c r="Q2438">
        <v>-2.3199999999999998</v>
      </c>
      <c r="R2438">
        <v>50.21</v>
      </c>
      <c r="S2438">
        <v>51.23</v>
      </c>
      <c r="T2438">
        <v>629896</v>
      </c>
      <c r="U2438">
        <v>50.7</v>
      </c>
      <c r="V2438">
        <v>51.4</v>
      </c>
      <c r="W2438">
        <v>10.45</v>
      </c>
      <c r="X2438" t="s">
        <v>122</v>
      </c>
      <c r="Y2438" t="s">
        <v>123</v>
      </c>
      <c r="Z2438">
        <v>3.15</v>
      </c>
      <c r="AA2438">
        <v>50.7</v>
      </c>
      <c r="AB2438">
        <v>327666</v>
      </c>
      <c r="AC2438">
        <v>302230</v>
      </c>
      <c r="AD2438">
        <v>1.08</v>
      </c>
      <c r="AE2438">
        <v>66</v>
      </c>
      <c r="AF2438">
        <v>1536</v>
      </c>
      <c r="AG2438" t="s">
        <v>120</v>
      </c>
      <c r="AH2438">
        <v>0</v>
      </c>
      <c r="AI2438" t="s">
        <v>120</v>
      </c>
      <c r="AJ2438">
        <v>206.29</v>
      </c>
      <c r="AK2438" t="s">
        <v>11292</v>
      </c>
      <c r="AL2438">
        <v>-0.02</v>
      </c>
      <c r="AM2438">
        <v>4736</v>
      </c>
      <c r="AN2438">
        <v>133</v>
      </c>
      <c r="AO2438">
        <v>1E-4</v>
      </c>
      <c r="AP2438">
        <v>-4</v>
      </c>
      <c r="AQ2438">
        <v>-1.34</v>
      </c>
      <c r="AR2438">
        <v>-5.97</v>
      </c>
      <c r="AS2438">
        <v>-1.71</v>
      </c>
      <c r="AT2438">
        <v>-5.67</v>
      </c>
      <c r="AU2438">
        <v>18.739999999999998</v>
      </c>
      <c r="AV2438">
        <v>0</v>
      </c>
      <c r="AW2438">
        <v>0.54</v>
      </c>
      <c r="AX2438">
        <v>56.81</v>
      </c>
      <c r="AY2438">
        <v>11.93</v>
      </c>
      <c r="AZ2438">
        <v>13.32</v>
      </c>
      <c r="BA2438">
        <v>1.74</v>
      </c>
      <c r="BB2438" t="s">
        <v>143</v>
      </c>
      <c r="BF2438">
        <v>-1.35</v>
      </c>
      <c r="BG2438">
        <v>-1.03</v>
      </c>
      <c r="BH2438">
        <v>-2.1800000000000002</v>
      </c>
      <c r="BI2438">
        <v>0.98</v>
      </c>
      <c r="BJ2438">
        <v>20210816</v>
      </c>
      <c r="BK2438">
        <v>20020409</v>
      </c>
      <c r="BL2438">
        <v>252.2</v>
      </c>
      <c r="BM2438" t="s">
        <v>120</v>
      </c>
      <c r="BN2438">
        <v>45.91</v>
      </c>
      <c r="BO2438">
        <v>88858.86</v>
      </c>
      <c r="BP2438">
        <v>50.66</v>
      </c>
      <c r="BQ2438">
        <v>7548.75</v>
      </c>
      <c r="BR2438">
        <v>66.930000000000007</v>
      </c>
      <c r="BS2438">
        <v>91.43</v>
      </c>
      <c r="BT2438">
        <v>0</v>
      </c>
      <c r="BU2438">
        <v>750.16</v>
      </c>
      <c r="BV2438">
        <v>91.43</v>
      </c>
      <c r="BW2438">
        <v>0</v>
      </c>
      <c r="BX2438">
        <v>6937.36</v>
      </c>
      <c r="BY2438">
        <v>0</v>
      </c>
      <c r="BZ2438">
        <v>0</v>
      </c>
      <c r="CA2438" t="s">
        <v>120</v>
      </c>
      <c r="CB2438">
        <v>675.23</v>
      </c>
      <c r="CC2438">
        <v>1687.49</v>
      </c>
      <c r="CD2438">
        <v>0</v>
      </c>
      <c r="CE2438">
        <v>762.42</v>
      </c>
      <c r="CF2438">
        <v>111.07</v>
      </c>
      <c r="CG2438">
        <v>763.23</v>
      </c>
      <c r="CH2438">
        <v>616.48</v>
      </c>
      <c r="CI2438">
        <v>611.5</v>
      </c>
      <c r="CJ2438">
        <v>-0.7</v>
      </c>
      <c r="CK2438">
        <v>609.41</v>
      </c>
      <c r="CL2438">
        <v>3988.25</v>
      </c>
      <c r="CM2438">
        <v>63.22</v>
      </c>
      <c r="CN2438">
        <v>426.02</v>
      </c>
      <c r="CO2438">
        <v>452272</v>
      </c>
      <c r="CP2438">
        <v>25910</v>
      </c>
      <c r="CQ2438" t="s">
        <v>11293</v>
      </c>
      <c r="CR2438">
        <v>22.82</v>
      </c>
      <c r="CS2438">
        <v>13.75</v>
      </c>
      <c r="CT2438">
        <v>1.91</v>
      </c>
      <c r="CU2438">
        <v>202.25</v>
      </c>
      <c r="CV2438">
        <v>7.58</v>
      </c>
      <c r="CW2438">
        <v>2.44</v>
      </c>
      <c r="CX2438" t="s">
        <v>11294</v>
      </c>
      <c r="CY2438">
        <v>26.6</v>
      </c>
      <c r="CZ2438">
        <v>26.6</v>
      </c>
      <c r="DA2438">
        <v>2.68</v>
      </c>
      <c r="DB2438">
        <v>15.81</v>
      </c>
      <c r="DC2438">
        <v>0.25</v>
      </c>
      <c r="DD2438">
        <v>8.5</v>
      </c>
      <c r="DE2438" t="s">
        <v>11295</v>
      </c>
      <c r="DF2438" t="s">
        <v>120</v>
      </c>
      <c r="DG2438">
        <v>45.18</v>
      </c>
      <c r="DH2438">
        <v>36.24</v>
      </c>
      <c r="DI2438" t="s">
        <v>120</v>
      </c>
      <c r="DJ2438">
        <v>90078</v>
      </c>
      <c r="DK2438">
        <v>600036</v>
      </c>
      <c r="DL2438" t="s">
        <v>120</v>
      </c>
      <c r="DM2438" t="s">
        <v>120</v>
      </c>
      <c r="DN2438" t="s">
        <v>120</v>
      </c>
    </row>
    <row r="2439" spans="1:118">
      <c r="A2439" t="str">
        <f>"600037"</f>
        <v>600037</v>
      </c>
      <c r="B2439" t="s">
        <v>11296</v>
      </c>
      <c r="C2439">
        <v>-0.24</v>
      </c>
      <c r="D2439">
        <v>-0.23</v>
      </c>
      <c r="E2439">
        <v>0.24</v>
      </c>
      <c r="F2439">
        <v>884</v>
      </c>
      <c r="G2439" t="s">
        <v>11297</v>
      </c>
      <c r="H2439">
        <v>10904.7</v>
      </c>
      <c r="I2439">
        <v>19.53</v>
      </c>
      <c r="J2439" t="s">
        <v>120</v>
      </c>
      <c r="K2439" t="s">
        <v>11298</v>
      </c>
      <c r="L2439">
        <v>0.92</v>
      </c>
      <c r="M2439">
        <v>8.4499999999999993</v>
      </c>
      <c r="N2439">
        <v>1.24</v>
      </c>
      <c r="O2439">
        <v>2.13</v>
      </c>
      <c r="P2439">
        <v>8.65</v>
      </c>
      <c r="Q2439">
        <v>-0.47</v>
      </c>
      <c r="R2439">
        <v>8.43</v>
      </c>
      <c r="S2439">
        <v>8.49</v>
      </c>
      <c r="T2439">
        <v>127786</v>
      </c>
      <c r="U2439">
        <v>8.4600000000000009</v>
      </c>
      <c r="V2439">
        <v>8.4700000000000006</v>
      </c>
      <c r="W2439">
        <v>117.05</v>
      </c>
      <c r="X2439" t="s">
        <v>584</v>
      </c>
      <c r="Y2439" t="s">
        <v>158</v>
      </c>
      <c r="Z2439">
        <v>2.6</v>
      </c>
      <c r="AA2439">
        <v>8.5299999999999994</v>
      </c>
      <c r="AB2439">
        <v>68137</v>
      </c>
      <c r="AC2439">
        <v>59649</v>
      </c>
      <c r="AD2439">
        <v>1.1399999999999999</v>
      </c>
      <c r="AE2439">
        <v>295</v>
      </c>
      <c r="AF2439">
        <v>47</v>
      </c>
      <c r="AG2439" t="s">
        <v>120</v>
      </c>
      <c r="AH2439">
        <v>0</v>
      </c>
      <c r="AI2439" t="s">
        <v>120</v>
      </c>
      <c r="AJ2439">
        <v>13.92</v>
      </c>
      <c r="AK2439" t="s">
        <v>11298</v>
      </c>
      <c r="AL2439">
        <v>1.1100000000000001</v>
      </c>
      <c r="AM2439">
        <v>2641</v>
      </c>
      <c r="AN2439">
        <v>48</v>
      </c>
      <c r="AO2439">
        <v>2.9999999999999997E-4</v>
      </c>
      <c r="AP2439">
        <v>-1</v>
      </c>
      <c r="AQ2439">
        <v>0.71</v>
      </c>
      <c r="AR2439">
        <v>-2.09</v>
      </c>
      <c r="AS2439">
        <v>4.0599999999999996</v>
      </c>
      <c r="AT2439">
        <v>-9.52</v>
      </c>
      <c r="AU2439">
        <v>-7.75</v>
      </c>
      <c r="AV2439">
        <v>1</v>
      </c>
      <c r="AW2439">
        <v>1.48</v>
      </c>
      <c r="AX2439">
        <v>62.01</v>
      </c>
      <c r="AY2439">
        <v>84.64</v>
      </c>
      <c r="AZ2439">
        <v>71.92</v>
      </c>
      <c r="BA2439">
        <v>0.36</v>
      </c>
      <c r="BB2439" t="s">
        <v>143</v>
      </c>
      <c r="BF2439">
        <v>0.75</v>
      </c>
      <c r="BG2439">
        <v>-0.47</v>
      </c>
      <c r="BH2439">
        <v>-2.31</v>
      </c>
      <c r="BI2439">
        <v>0.24</v>
      </c>
      <c r="BJ2439">
        <v>20210902</v>
      </c>
      <c r="BK2439">
        <v>20010208</v>
      </c>
      <c r="BL2439">
        <v>13.92</v>
      </c>
      <c r="BM2439" t="s">
        <v>120</v>
      </c>
      <c r="BN2439" t="s">
        <v>120</v>
      </c>
      <c r="BO2439">
        <v>156.83000000000001</v>
      </c>
      <c r="BP2439">
        <v>8.4499999999999993</v>
      </c>
      <c r="BQ2439">
        <v>126.71</v>
      </c>
      <c r="BR2439" t="s">
        <v>120</v>
      </c>
      <c r="BS2439">
        <v>19.21</v>
      </c>
      <c r="BT2439">
        <v>86.04</v>
      </c>
      <c r="BU2439">
        <v>39.93</v>
      </c>
      <c r="BV2439">
        <v>3</v>
      </c>
      <c r="BW2439">
        <v>16.489999999999998</v>
      </c>
      <c r="BX2439">
        <v>63.02</v>
      </c>
      <c r="BY2439">
        <v>3.06</v>
      </c>
      <c r="BZ2439">
        <v>4.33</v>
      </c>
      <c r="CA2439">
        <v>0.59</v>
      </c>
      <c r="CB2439">
        <v>65.55</v>
      </c>
      <c r="CC2439">
        <v>11.66</v>
      </c>
      <c r="CD2439">
        <v>10.18</v>
      </c>
      <c r="CE2439">
        <v>0.55000000000000004</v>
      </c>
      <c r="CF2439">
        <v>0</v>
      </c>
      <c r="CG2439">
        <v>0.54</v>
      </c>
      <c r="CH2439">
        <v>0.5</v>
      </c>
      <c r="CI2439">
        <v>0.5</v>
      </c>
      <c r="CJ2439">
        <v>-0.02</v>
      </c>
      <c r="CK2439">
        <v>0.56000000000000005</v>
      </c>
      <c r="CL2439">
        <v>37.83</v>
      </c>
      <c r="CM2439">
        <v>2.88</v>
      </c>
      <c r="CN2439">
        <v>-12.19</v>
      </c>
      <c r="CO2439">
        <v>67122</v>
      </c>
      <c r="CP2439">
        <v>12857</v>
      </c>
      <c r="CQ2439" t="s">
        <v>5704</v>
      </c>
      <c r="CR2439">
        <v>-32.9</v>
      </c>
      <c r="CS2439">
        <v>-1.24</v>
      </c>
      <c r="CT2439">
        <v>0.93</v>
      </c>
      <c r="CU2439">
        <v>40.770000000000003</v>
      </c>
      <c r="CV2439">
        <v>10.09</v>
      </c>
      <c r="CW2439">
        <v>0.47</v>
      </c>
      <c r="CX2439" t="s">
        <v>926</v>
      </c>
      <c r="CY2439">
        <v>9.1</v>
      </c>
      <c r="CZ2439">
        <v>0</v>
      </c>
      <c r="DA2439">
        <v>4.71</v>
      </c>
      <c r="DB2439">
        <v>2.72</v>
      </c>
      <c r="DC2439">
        <v>0.21</v>
      </c>
      <c r="DD2439">
        <v>80.790000000000006</v>
      </c>
      <c r="DE2439" t="s">
        <v>1017</v>
      </c>
      <c r="DF2439">
        <v>12.63</v>
      </c>
      <c r="DG2439">
        <v>4.71</v>
      </c>
      <c r="DH2439">
        <v>4.3099999999999996</v>
      </c>
      <c r="DI2439">
        <v>0.27</v>
      </c>
      <c r="DJ2439">
        <v>3640</v>
      </c>
      <c r="DK2439">
        <v>600037</v>
      </c>
      <c r="DL2439" t="s">
        <v>120</v>
      </c>
      <c r="DM2439" t="s">
        <v>120</v>
      </c>
      <c r="DN2439" t="s">
        <v>120</v>
      </c>
    </row>
    <row r="2440" spans="1:118">
      <c r="A2440" t="str">
        <f>"600038"</f>
        <v>600038</v>
      </c>
      <c r="B2440" t="s">
        <v>11299</v>
      </c>
      <c r="C2440">
        <v>-3.38</v>
      </c>
      <c r="D2440">
        <v>-0.01</v>
      </c>
      <c r="E2440">
        <v>-0.77</v>
      </c>
      <c r="F2440">
        <v>1438</v>
      </c>
      <c r="G2440" t="s">
        <v>11300</v>
      </c>
      <c r="H2440">
        <v>39583.550000000003</v>
      </c>
      <c r="I2440">
        <v>57.54</v>
      </c>
      <c r="J2440" t="s">
        <v>120</v>
      </c>
      <c r="K2440" t="s">
        <v>11301</v>
      </c>
      <c r="L2440">
        <v>1.1599999999999999</v>
      </c>
      <c r="M2440">
        <v>56.8</v>
      </c>
      <c r="N2440">
        <v>0.68</v>
      </c>
      <c r="O2440">
        <v>0.39</v>
      </c>
      <c r="P2440">
        <v>59.02</v>
      </c>
      <c r="Q2440">
        <v>-3.38</v>
      </c>
      <c r="R2440">
        <v>56.8</v>
      </c>
      <c r="S2440">
        <v>58.34</v>
      </c>
      <c r="T2440">
        <v>68327</v>
      </c>
      <c r="U2440">
        <v>56.81</v>
      </c>
      <c r="V2440">
        <v>58.79</v>
      </c>
      <c r="W2440">
        <v>43.76</v>
      </c>
      <c r="X2440" t="s">
        <v>1621</v>
      </c>
      <c r="Y2440" t="s">
        <v>1686</v>
      </c>
      <c r="Z2440">
        <v>3.78</v>
      </c>
      <c r="AA2440">
        <v>57.93</v>
      </c>
      <c r="AB2440">
        <v>37238</v>
      </c>
      <c r="AC2440">
        <v>31089</v>
      </c>
      <c r="AD2440">
        <v>1.2</v>
      </c>
      <c r="AE2440">
        <v>694</v>
      </c>
      <c r="AF2440">
        <v>72</v>
      </c>
      <c r="AG2440" t="s">
        <v>120</v>
      </c>
      <c r="AH2440">
        <v>0</v>
      </c>
      <c r="AI2440" t="s">
        <v>120</v>
      </c>
      <c r="AJ2440">
        <v>5.89</v>
      </c>
      <c r="AK2440" t="s">
        <v>11301</v>
      </c>
      <c r="AL2440">
        <v>-2.04</v>
      </c>
      <c r="AM2440">
        <v>3759</v>
      </c>
      <c r="AN2440">
        <v>18</v>
      </c>
      <c r="AO2440">
        <v>2.9999999999999997E-4</v>
      </c>
      <c r="AP2440">
        <v>-1</v>
      </c>
      <c r="AQ2440">
        <v>2.78</v>
      </c>
      <c r="AR2440">
        <v>-2.2200000000000002</v>
      </c>
      <c r="AS2440">
        <v>-15.45</v>
      </c>
      <c r="AT2440">
        <v>4.3499999999999996</v>
      </c>
      <c r="AU2440">
        <v>-8.86</v>
      </c>
      <c r="AV2440">
        <v>1</v>
      </c>
      <c r="AW2440">
        <v>2.63</v>
      </c>
      <c r="AX2440">
        <v>44.03</v>
      </c>
      <c r="AY2440">
        <v>41.18</v>
      </c>
      <c r="AZ2440">
        <v>45.74</v>
      </c>
      <c r="BA2440">
        <v>0.73</v>
      </c>
      <c r="BB2440" t="s">
        <v>168</v>
      </c>
      <c r="BF2440">
        <v>-1.46</v>
      </c>
      <c r="BG2440">
        <v>-2.64</v>
      </c>
      <c r="BH2440">
        <v>-3.76</v>
      </c>
      <c r="BI2440">
        <v>0</v>
      </c>
      <c r="BJ2440">
        <v>20210828</v>
      </c>
      <c r="BK2440">
        <v>20001218</v>
      </c>
      <c r="BL2440">
        <v>5.89</v>
      </c>
      <c r="BM2440" t="s">
        <v>120</v>
      </c>
      <c r="BN2440" t="s">
        <v>120</v>
      </c>
      <c r="BO2440">
        <v>256.32</v>
      </c>
      <c r="BP2440">
        <v>56.8</v>
      </c>
      <c r="BQ2440">
        <v>90.43</v>
      </c>
      <c r="BR2440">
        <v>2.94</v>
      </c>
      <c r="BS2440">
        <v>63.57</v>
      </c>
      <c r="BT2440">
        <v>224.22</v>
      </c>
      <c r="BU2440">
        <v>18.12</v>
      </c>
      <c r="BV2440">
        <v>5.3</v>
      </c>
      <c r="BW2440">
        <v>151.76</v>
      </c>
      <c r="BX2440">
        <v>25.3</v>
      </c>
      <c r="BY2440">
        <v>152.94</v>
      </c>
      <c r="BZ2440">
        <v>27.99</v>
      </c>
      <c r="CA2440">
        <v>0.09</v>
      </c>
      <c r="CB2440">
        <v>43.63</v>
      </c>
      <c r="CC2440">
        <v>93.92</v>
      </c>
      <c r="CD2440">
        <v>82.61</v>
      </c>
      <c r="CE2440">
        <v>4.47</v>
      </c>
      <c r="CF2440">
        <v>0.01</v>
      </c>
      <c r="CG2440">
        <v>4.47</v>
      </c>
      <c r="CH2440">
        <v>3.75</v>
      </c>
      <c r="CI2440">
        <v>3.83</v>
      </c>
      <c r="CJ2440">
        <v>-1.99</v>
      </c>
      <c r="CK2440">
        <v>3.77</v>
      </c>
      <c r="CL2440">
        <v>34.11</v>
      </c>
      <c r="CM2440">
        <v>-2.14</v>
      </c>
      <c r="CN2440">
        <v>-3.18</v>
      </c>
      <c r="CO2440">
        <v>35604</v>
      </c>
      <c r="CP2440">
        <v>7290</v>
      </c>
      <c r="CQ2440" t="s">
        <v>11302</v>
      </c>
      <c r="CR2440">
        <v>28.09</v>
      </c>
      <c r="CS2440">
        <v>22.34</v>
      </c>
      <c r="CT2440">
        <v>3.7</v>
      </c>
      <c r="CU2440">
        <v>-156.66</v>
      </c>
      <c r="CV2440">
        <v>3.56</v>
      </c>
      <c r="CW2440">
        <v>0.66</v>
      </c>
      <c r="CX2440" t="s">
        <v>11303</v>
      </c>
      <c r="CY2440">
        <v>15.34</v>
      </c>
      <c r="CZ2440">
        <v>0</v>
      </c>
      <c r="DA2440">
        <v>7.4</v>
      </c>
      <c r="DB2440">
        <v>5.79</v>
      </c>
      <c r="DC2440">
        <v>-0.36</v>
      </c>
      <c r="DD2440">
        <v>35.28</v>
      </c>
      <c r="DE2440" t="s">
        <v>2582</v>
      </c>
      <c r="DF2440">
        <v>12.04</v>
      </c>
      <c r="DG2440">
        <v>4.75</v>
      </c>
      <c r="DH2440">
        <v>4.07</v>
      </c>
      <c r="DI2440">
        <v>2.25</v>
      </c>
      <c r="DJ2440">
        <v>11235</v>
      </c>
      <c r="DK2440">
        <v>600038</v>
      </c>
      <c r="DL2440" t="s">
        <v>120</v>
      </c>
      <c r="DM2440" t="s">
        <v>120</v>
      </c>
      <c r="DN2440" t="s">
        <v>120</v>
      </c>
    </row>
    <row r="2441" spans="1:118">
      <c r="A2441" t="str">
        <f>"600039"</f>
        <v>600039</v>
      </c>
      <c r="B2441" t="s">
        <v>11304</v>
      </c>
      <c r="C2441">
        <v>0</v>
      </c>
      <c r="D2441">
        <v>0.11</v>
      </c>
      <c r="E2441">
        <v>1.1100000000000001</v>
      </c>
      <c r="F2441">
        <v>12283</v>
      </c>
      <c r="G2441" t="s">
        <v>11305</v>
      </c>
      <c r="H2441">
        <v>77457.13</v>
      </c>
      <c r="I2441">
        <v>765.05</v>
      </c>
      <c r="J2441" t="s">
        <v>120</v>
      </c>
      <c r="K2441" t="s">
        <v>11306</v>
      </c>
      <c r="L2441">
        <v>2.35</v>
      </c>
      <c r="M2441">
        <v>8.9700000000000006</v>
      </c>
      <c r="N2441">
        <v>1.1299999999999999</v>
      </c>
      <c r="O2441">
        <v>4.3499999999999996</v>
      </c>
      <c r="P2441">
        <v>9.36</v>
      </c>
      <c r="Q2441">
        <v>-0.78</v>
      </c>
      <c r="R2441">
        <v>8.9</v>
      </c>
      <c r="S2441">
        <v>9.07</v>
      </c>
      <c r="T2441">
        <v>847260</v>
      </c>
      <c r="U2441">
        <v>8.9700000000000006</v>
      </c>
      <c r="V2441">
        <v>8.9700000000000006</v>
      </c>
      <c r="W2441">
        <v>8.51</v>
      </c>
      <c r="X2441" t="s">
        <v>175</v>
      </c>
      <c r="Y2441" t="s">
        <v>578</v>
      </c>
      <c r="Z2441">
        <v>5.13</v>
      </c>
      <c r="AA2441">
        <v>9.14</v>
      </c>
      <c r="AB2441">
        <v>437683</v>
      </c>
      <c r="AC2441">
        <v>409577</v>
      </c>
      <c r="AD2441">
        <v>1.07</v>
      </c>
      <c r="AE2441">
        <v>2508</v>
      </c>
      <c r="AF2441">
        <v>2010</v>
      </c>
      <c r="AG2441" t="s">
        <v>120</v>
      </c>
      <c r="AH2441">
        <v>0.06</v>
      </c>
      <c r="AI2441" t="s">
        <v>120</v>
      </c>
      <c r="AJ2441">
        <v>36.11</v>
      </c>
      <c r="AK2441" t="s">
        <v>11307</v>
      </c>
      <c r="AL2441">
        <v>1.34</v>
      </c>
      <c r="AM2441">
        <v>4399</v>
      </c>
      <c r="AN2441">
        <v>193</v>
      </c>
      <c r="AO2441">
        <v>5.0000000000000001E-4</v>
      </c>
      <c r="AP2441">
        <v>0</v>
      </c>
      <c r="AQ2441">
        <v>1.82</v>
      </c>
      <c r="AR2441">
        <v>3.1</v>
      </c>
      <c r="AS2441">
        <v>35.5</v>
      </c>
      <c r="AT2441">
        <v>46.09</v>
      </c>
      <c r="AU2441">
        <v>110.56</v>
      </c>
      <c r="AV2441">
        <v>2</v>
      </c>
      <c r="AW2441">
        <v>5.94</v>
      </c>
      <c r="AX2441">
        <v>29.86</v>
      </c>
      <c r="AY2441">
        <v>9.41</v>
      </c>
      <c r="AZ2441">
        <v>14.16</v>
      </c>
      <c r="BA2441">
        <v>0.91</v>
      </c>
      <c r="BB2441" t="s">
        <v>184</v>
      </c>
      <c r="BF2441">
        <v>1.92</v>
      </c>
      <c r="BG2441">
        <v>-1.1000000000000001</v>
      </c>
      <c r="BH2441">
        <v>-4.17</v>
      </c>
      <c r="BI2441">
        <v>0.79</v>
      </c>
      <c r="BJ2441">
        <v>20210826</v>
      </c>
      <c r="BK2441">
        <v>20030325</v>
      </c>
      <c r="BL2441">
        <v>47.75</v>
      </c>
      <c r="BM2441" t="s">
        <v>120</v>
      </c>
      <c r="BN2441" t="s">
        <v>120</v>
      </c>
      <c r="BO2441">
        <v>1229.5899999999999</v>
      </c>
      <c r="BP2441">
        <v>8.9600000000000009</v>
      </c>
      <c r="BQ2441">
        <v>241.32</v>
      </c>
      <c r="BR2441">
        <v>27.01</v>
      </c>
      <c r="BS2441">
        <v>78.180000000000007</v>
      </c>
      <c r="BT2441">
        <v>623.67999999999995</v>
      </c>
      <c r="BU2441">
        <v>23</v>
      </c>
      <c r="BV2441">
        <v>292.98</v>
      </c>
      <c r="BW2441">
        <v>554.04999999999995</v>
      </c>
      <c r="BX2441">
        <v>118.19</v>
      </c>
      <c r="BY2441">
        <v>35.97</v>
      </c>
      <c r="BZ2441">
        <v>120.29</v>
      </c>
      <c r="CA2441" t="s">
        <v>120</v>
      </c>
      <c r="CB2441">
        <v>64.67</v>
      </c>
      <c r="CC2441">
        <v>325.17</v>
      </c>
      <c r="CD2441">
        <v>275.29000000000002</v>
      </c>
      <c r="CE2441">
        <v>30.42</v>
      </c>
      <c r="CF2441">
        <v>0.15</v>
      </c>
      <c r="CG2441">
        <v>30.59</v>
      </c>
      <c r="CH2441">
        <v>25.55</v>
      </c>
      <c r="CI2441">
        <v>25.16</v>
      </c>
      <c r="CJ2441">
        <v>0</v>
      </c>
      <c r="CK2441">
        <v>24.61</v>
      </c>
      <c r="CL2441">
        <v>117.52</v>
      </c>
      <c r="CM2441">
        <v>-29.13</v>
      </c>
      <c r="CN2441">
        <v>-23.38</v>
      </c>
      <c r="CO2441">
        <v>81402</v>
      </c>
      <c r="CP2441">
        <v>17515</v>
      </c>
      <c r="CQ2441" t="s">
        <v>2163</v>
      </c>
      <c r="CR2441">
        <v>154.69</v>
      </c>
      <c r="CS2441">
        <v>63.93</v>
      </c>
      <c r="CT2441">
        <v>1.78</v>
      </c>
      <c r="CU2441">
        <v>-14.71</v>
      </c>
      <c r="CV2441">
        <v>1.32</v>
      </c>
      <c r="CW2441">
        <v>2.79</v>
      </c>
      <c r="CX2441" t="s">
        <v>2391</v>
      </c>
      <c r="CY2441">
        <v>5.05</v>
      </c>
      <c r="CZ2441">
        <v>0</v>
      </c>
      <c r="DA2441">
        <v>1.35</v>
      </c>
      <c r="DB2441">
        <v>2.46</v>
      </c>
      <c r="DC2441">
        <v>-0.61</v>
      </c>
      <c r="DD2441">
        <v>19.63</v>
      </c>
      <c r="DE2441" t="s">
        <v>11308</v>
      </c>
      <c r="DF2441">
        <v>15.34</v>
      </c>
      <c r="DG2441">
        <v>9.35</v>
      </c>
      <c r="DH2441">
        <v>7.74</v>
      </c>
      <c r="DI2441">
        <v>3.24</v>
      </c>
      <c r="DJ2441">
        <v>12642</v>
      </c>
      <c r="DK2441">
        <v>600039</v>
      </c>
      <c r="DL2441" t="s">
        <v>120</v>
      </c>
      <c r="DM2441" t="s">
        <v>120</v>
      </c>
      <c r="DN2441" t="s">
        <v>120</v>
      </c>
    </row>
    <row r="2442" spans="1:118">
      <c r="A2442" t="str">
        <f>"600048"</f>
        <v>600048</v>
      </c>
      <c r="B2442" t="s">
        <v>11309</v>
      </c>
      <c r="C2442">
        <v>-2.69</v>
      </c>
      <c r="D2442">
        <v>0.41</v>
      </c>
      <c r="E2442">
        <v>1.35</v>
      </c>
      <c r="F2442">
        <v>7951</v>
      </c>
      <c r="G2442" t="s">
        <v>11310</v>
      </c>
      <c r="H2442">
        <v>123503.14</v>
      </c>
      <c r="I2442">
        <v>404.8</v>
      </c>
      <c r="J2442" t="s">
        <v>120</v>
      </c>
      <c r="K2442" t="s">
        <v>11311</v>
      </c>
      <c r="L2442">
        <v>0.84</v>
      </c>
      <c r="M2442">
        <v>12.28</v>
      </c>
      <c r="N2442">
        <v>0.89</v>
      </c>
      <c r="O2442">
        <v>1.58</v>
      </c>
      <c r="P2442">
        <v>12.82</v>
      </c>
      <c r="Q2442">
        <v>-3.72</v>
      </c>
      <c r="R2442">
        <v>12.15</v>
      </c>
      <c r="S2442">
        <v>12.79</v>
      </c>
      <c r="T2442">
        <v>1002264</v>
      </c>
      <c r="U2442">
        <v>12.29</v>
      </c>
      <c r="V2442">
        <v>12.62</v>
      </c>
      <c r="W2442">
        <v>7.14</v>
      </c>
      <c r="X2442" t="s">
        <v>132</v>
      </c>
      <c r="Y2442" t="s">
        <v>547</v>
      </c>
      <c r="Z2442">
        <v>5.31</v>
      </c>
      <c r="AA2442">
        <v>12.32</v>
      </c>
      <c r="AB2442">
        <v>576665</v>
      </c>
      <c r="AC2442">
        <v>425599</v>
      </c>
      <c r="AD2442">
        <v>1.35</v>
      </c>
      <c r="AE2442">
        <v>143</v>
      </c>
      <c r="AF2442">
        <v>1341</v>
      </c>
      <c r="AG2442" t="s">
        <v>120</v>
      </c>
      <c r="AH2442">
        <v>0</v>
      </c>
      <c r="AI2442" t="s">
        <v>120</v>
      </c>
      <c r="AJ2442">
        <v>119.7</v>
      </c>
      <c r="AK2442" t="s">
        <v>11311</v>
      </c>
      <c r="AL2442">
        <v>-1.35</v>
      </c>
      <c r="AM2442">
        <v>4688</v>
      </c>
      <c r="AN2442">
        <v>214</v>
      </c>
      <c r="AO2442">
        <v>2.0000000000000001E-4</v>
      </c>
      <c r="AP2442">
        <v>-3</v>
      </c>
      <c r="AQ2442">
        <v>-2.85</v>
      </c>
      <c r="AR2442">
        <v>-6.62</v>
      </c>
      <c r="AS2442">
        <v>4.07</v>
      </c>
      <c r="AT2442">
        <v>5.23</v>
      </c>
      <c r="AU2442">
        <v>-18.62</v>
      </c>
      <c r="AV2442">
        <v>0</v>
      </c>
      <c r="AW2442">
        <v>1.57</v>
      </c>
      <c r="AX2442">
        <v>53.29</v>
      </c>
      <c r="AY2442">
        <v>5.19</v>
      </c>
      <c r="AZ2442">
        <v>5.22</v>
      </c>
      <c r="BA2442">
        <v>0.87</v>
      </c>
      <c r="BB2442" t="s">
        <v>125</v>
      </c>
      <c r="BF2442">
        <v>-2.36</v>
      </c>
      <c r="BG2442">
        <v>-3.99</v>
      </c>
      <c r="BH2442">
        <v>-4.21</v>
      </c>
      <c r="BI2442">
        <v>1.07</v>
      </c>
      <c r="BJ2442">
        <v>20210824</v>
      </c>
      <c r="BK2442">
        <v>20060731</v>
      </c>
      <c r="BL2442">
        <v>119.7</v>
      </c>
      <c r="BM2442" t="s">
        <v>120</v>
      </c>
      <c r="BN2442" t="s">
        <v>120</v>
      </c>
      <c r="BO2442">
        <v>13826.22</v>
      </c>
      <c r="BP2442">
        <v>12.28</v>
      </c>
      <c r="BQ2442">
        <v>1904.22</v>
      </c>
      <c r="BR2442">
        <v>1138.54</v>
      </c>
      <c r="BS2442">
        <v>77.989999999999995</v>
      </c>
      <c r="BT2442">
        <v>12507.42</v>
      </c>
      <c r="BU2442">
        <v>83.3</v>
      </c>
      <c r="BV2442">
        <v>4.29</v>
      </c>
      <c r="BW2442">
        <v>7981.18</v>
      </c>
      <c r="BX2442">
        <v>1554.22</v>
      </c>
      <c r="BY2442">
        <v>8017.52</v>
      </c>
      <c r="BZ2442">
        <v>29.02</v>
      </c>
      <c r="CA2442">
        <v>6.27</v>
      </c>
      <c r="CB2442">
        <v>183.51</v>
      </c>
      <c r="CC2442">
        <v>899.14</v>
      </c>
      <c r="CD2442">
        <v>607.33000000000004</v>
      </c>
      <c r="CE2442">
        <v>189.59</v>
      </c>
      <c r="CF2442">
        <v>18.5</v>
      </c>
      <c r="CG2442">
        <v>190.75</v>
      </c>
      <c r="CH2442">
        <v>146.88</v>
      </c>
      <c r="CI2442">
        <v>102.98</v>
      </c>
      <c r="CJ2442">
        <v>-0.34</v>
      </c>
      <c r="CK2442">
        <v>100.48</v>
      </c>
      <c r="CL2442">
        <v>1344.76</v>
      </c>
      <c r="CM2442">
        <v>-248.12</v>
      </c>
      <c r="CN2442">
        <v>98.05</v>
      </c>
      <c r="CO2442">
        <v>264212</v>
      </c>
      <c r="CP2442">
        <v>24144</v>
      </c>
      <c r="CQ2442" t="s">
        <v>7701</v>
      </c>
      <c r="CR2442">
        <v>1.72</v>
      </c>
      <c r="CS2442">
        <v>22.04</v>
      </c>
      <c r="CT2442">
        <v>0.86</v>
      </c>
      <c r="CU2442">
        <v>-5.92</v>
      </c>
      <c r="CV2442">
        <v>1.63</v>
      </c>
      <c r="CW2442">
        <v>5.78</v>
      </c>
      <c r="CX2442" t="s">
        <v>10202</v>
      </c>
      <c r="CY2442">
        <v>14.22</v>
      </c>
      <c r="CZ2442">
        <v>14.22</v>
      </c>
      <c r="DA2442">
        <v>1.53</v>
      </c>
      <c r="DB2442">
        <v>11.23</v>
      </c>
      <c r="DC2442">
        <v>-2.0699999999999998</v>
      </c>
      <c r="DD2442">
        <v>13.77</v>
      </c>
      <c r="DE2442" t="s">
        <v>11312</v>
      </c>
      <c r="DF2442">
        <v>32.450000000000003</v>
      </c>
      <c r="DG2442">
        <v>21.09</v>
      </c>
      <c r="DH2442">
        <v>11.45</v>
      </c>
      <c r="DI2442">
        <v>4.26</v>
      </c>
      <c r="DJ2442">
        <v>61201</v>
      </c>
      <c r="DK2442">
        <v>600048</v>
      </c>
      <c r="DL2442" t="s">
        <v>120</v>
      </c>
      <c r="DM2442" t="s">
        <v>120</v>
      </c>
      <c r="DN2442" t="s">
        <v>120</v>
      </c>
    </row>
    <row r="2443" spans="1:118">
      <c r="A2443" t="str">
        <f>"600050"</f>
        <v>600050</v>
      </c>
      <c r="B2443" t="s">
        <v>11313</v>
      </c>
      <c r="C2443">
        <v>-1.18</v>
      </c>
      <c r="D2443">
        <v>-0.23</v>
      </c>
      <c r="E2443">
        <v>0</v>
      </c>
      <c r="F2443">
        <v>69168</v>
      </c>
      <c r="G2443" t="s">
        <v>11314</v>
      </c>
      <c r="H2443">
        <v>58401.55</v>
      </c>
      <c r="I2443">
        <v>471.12</v>
      </c>
      <c r="J2443" t="s">
        <v>120</v>
      </c>
      <c r="K2443" t="s">
        <v>11315</v>
      </c>
      <c r="L2443">
        <v>0.45</v>
      </c>
      <c r="M2443">
        <v>4.17</v>
      </c>
      <c r="N2443">
        <v>0.71</v>
      </c>
      <c r="O2443">
        <v>0.95</v>
      </c>
      <c r="P2443">
        <v>4.26</v>
      </c>
      <c r="Q2443">
        <v>-1.18</v>
      </c>
      <c r="R2443">
        <v>4.17</v>
      </c>
      <c r="S2443">
        <v>4.22</v>
      </c>
      <c r="T2443">
        <v>1386098</v>
      </c>
      <c r="U2443">
        <v>4.18</v>
      </c>
      <c r="V2443">
        <v>4.22</v>
      </c>
      <c r="W2443">
        <v>16.02</v>
      </c>
      <c r="X2443" t="s">
        <v>3322</v>
      </c>
      <c r="Y2443" t="s">
        <v>158</v>
      </c>
      <c r="Z2443">
        <v>2.13</v>
      </c>
      <c r="AA2443">
        <v>4.21</v>
      </c>
      <c r="AB2443">
        <v>732790</v>
      </c>
      <c r="AC2443">
        <v>653308</v>
      </c>
      <c r="AD2443">
        <v>1.1200000000000001</v>
      </c>
      <c r="AE2443">
        <v>16114</v>
      </c>
      <c r="AF2443">
        <v>13683</v>
      </c>
      <c r="AG2443" t="s">
        <v>120</v>
      </c>
      <c r="AH2443">
        <v>0.01</v>
      </c>
      <c r="AI2443" t="s">
        <v>120</v>
      </c>
      <c r="AJ2443">
        <v>307.56</v>
      </c>
      <c r="AK2443" t="s">
        <v>11316</v>
      </c>
      <c r="AL2443">
        <v>0.16</v>
      </c>
      <c r="AM2443">
        <v>4489</v>
      </c>
      <c r="AN2443">
        <v>309</v>
      </c>
      <c r="AO2443">
        <v>1E-4</v>
      </c>
      <c r="AP2443">
        <v>-5</v>
      </c>
      <c r="AQ2443">
        <v>-0.24</v>
      </c>
      <c r="AR2443">
        <v>-3.26</v>
      </c>
      <c r="AS2443">
        <v>-3.69</v>
      </c>
      <c r="AT2443">
        <v>-4.21</v>
      </c>
      <c r="AU2443">
        <v>-5.08</v>
      </c>
      <c r="AV2443">
        <v>0</v>
      </c>
      <c r="AW2443">
        <v>1.1000000000000001</v>
      </c>
      <c r="AX2443">
        <v>40.83</v>
      </c>
      <c r="AY2443">
        <v>21.07</v>
      </c>
      <c r="AZ2443">
        <v>23.7</v>
      </c>
      <c r="BA2443">
        <v>0.46</v>
      </c>
      <c r="BB2443" t="s">
        <v>143</v>
      </c>
      <c r="BF2443">
        <v>-0.16</v>
      </c>
      <c r="BG2443">
        <v>-1.18</v>
      </c>
      <c r="BH2443">
        <v>-2.11</v>
      </c>
      <c r="BI2443">
        <v>0</v>
      </c>
      <c r="BJ2443">
        <v>20210915</v>
      </c>
      <c r="BK2443">
        <v>20021009</v>
      </c>
      <c r="BL2443">
        <v>309.91000000000003</v>
      </c>
      <c r="BM2443" t="s">
        <v>120</v>
      </c>
      <c r="BN2443" t="s">
        <v>120</v>
      </c>
      <c r="BO2443">
        <v>5724.31</v>
      </c>
      <c r="BP2443">
        <v>4.17</v>
      </c>
      <c r="BQ2443">
        <v>1485.13</v>
      </c>
      <c r="BR2443">
        <v>1862.32</v>
      </c>
      <c r="BS2443">
        <v>41.52</v>
      </c>
      <c r="BT2443">
        <v>1209.08</v>
      </c>
      <c r="BU2443">
        <v>3029.3</v>
      </c>
      <c r="BV2443">
        <v>247.03</v>
      </c>
      <c r="BW2443">
        <v>2140.33</v>
      </c>
      <c r="BX2443">
        <v>283.56</v>
      </c>
      <c r="BY2443">
        <v>27.48</v>
      </c>
      <c r="BZ2443">
        <v>280.74</v>
      </c>
      <c r="CA2443">
        <v>3.45</v>
      </c>
      <c r="CB2443">
        <v>804.67</v>
      </c>
      <c r="CC2443">
        <v>1641.74</v>
      </c>
      <c r="CD2443">
        <v>1203.4100000000001</v>
      </c>
      <c r="CE2443">
        <v>112.06</v>
      </c>
      <c r="CF2443">
        <v>23.25</v>
      </c>
      <c r="CG2443">
        <v>112.41</v>
      </c>
      <c r="CH2443">
        <v>91.72</v>
      </c>
      <c r="CI2443">
        <v>40.33</v>
      </c>
      <c r="CJ2443">
        <v>-0.05</v>
      </c>
      <c r="CK2443">
        <v>41.74</v>
      </c>
      <c r="CL2443">
        <v>413.85</v>
      </c>
      <c r="CM2443">
        <v>514.15</v>
      </c>
      <c r="CN2443">
        <v>-5.26</v>
      </c>
      <c r="CO2443">
        <v>593121</v>
      </c>
      <c r="CP2443">
        <v>21337</v>
      </c>
      <c r="CQ2443" t="s">
        <v>4626</v>
      </c>
      <c r="CR2443">
        <v>20.61</v>
      </c>
      <c r="CS2443">
        <v>9.16</v>
      </c>
      <c r="CT2443">
        <v>0.87</v>
      </c>
      <c r="CU2443">
        <v>2.5099999999999998</v>
      </c>
      <c r="CV2443">
        <v>0.79</v>
      </c>
      <c r="CW2443">
        <v>2.72</v>
      </c>
      <c r="CX2443" t="s">
        <v>986</v>
      </c>
      <c r="CY2443">
        <v>4.79</v>
      </c>
      <c r="CZ2443">
        <v>0</v>
      </c>
      <c r="DA2443">
        <v>2.6</v>
      </c>
      <c r="DB2443">
        <v>1.34</v>
      </c>
      <c r="DC2443">
        <v>1.66</v>
      </c>
      <c r="DD2443">
        <v>25.94</v>
      </c>
      <c r="DE2443" t="s">
        <v>6285</v>
      </c>
      <c r="DF2443">
        <v>26.7</v>
      </c>
      <c r="DG2443">
        <v>6.83</v>
      </c>
      <c r="DH2443">
        <v>2.46</v>
      </c>
      <c r="DI2443">
        <v>10.24</v>
      </c>
      <c r="DJ2443">
        <v>242121</v>
      </c>
      <c r="DK2443">
        <v>600050</v>
      </c>
      <c r="DL2443" t="s">
        <v>120</v>
      </c>
      <c r="DM2443" t="s">
        <v>120</v>
      </c>
      <c r="DN2443" t="s">
        <v>120</v>
      </c>
    </row>
    <row r="2444" spans="1:118">
      <c r="A2444" t="str">
        <f>"600051"</f>
        <v>600051</v>
      </c>
      <c r="B2444" t="s">
        <v>11317</v>
      </c>
      <c r="C2444">
        <v>-0.88</v>
      </c>
      <c r="D2444">
        <v>0.15</v>
      </c>
      <c r="E2444">
        <v>0.88</v>
      </c>
      <c r="F2444">
        <v>113</v>
      </c>
      <c r="G2444" t="s">
        <v>5239</v>
      </c>
      <c r="H2444">
        <v>1435.43</v>
      </c>
      <c r="I2444">
        <v>9.56</v>
      </c>
      <c r="J2444" t="s">
        <v>120</v>
      </c>
      <c r="K2444" t="s">
        <v>1892</v>
      </c>
      <c r="L2444">
        <v>0.68</v>
      </c>
      <c r="M2444">
        <v>6.76</v>
      </c>
      <c r="N2444">
        <v>0.56999999999999995</v>
      </c>
      <c r="O2444">
        <v>0.88</v>
      </c>
      <c r="P2444">
        <v>6.88</v>
      </c>
      <c r="Q2444">
        <v>-1.47</v>
      </c>
      <c r="R2444">
        <v>6.72</v>
      </c>
      <c r="S2444">
        <v>6.88</v>
      </c>
      <c r="T2444">
        <v>21123</v>
      </c>
      <c r="U2444">
        <v>6.76</v>
      </c>
      <c r="V2444">
        <v>6.82</v>
      </c>
      <c r="W2444">
        <v>17.72</v>
      </c>
      <c r="X2444" t="s">
        <v>166</v>
      </c>
      <c r="Y2444" t="s">
        <v>585</v>
      </c>
      <c r="Z2444">
        <v>2.35</v>
      </c>
      <c r="AA2444">
        <v>6.8</v>
      </c>
      <c r="AB2444">
        <v>13300</v>
      </c>
      <c r="AC2444">
        <v>7823</v>
      </c>
      <c r="AD2444">
        <v>1.7</v>
      </c>
      <c r="AE2444">
        <v>13</v>
      </c>
      <c r="AF2444">
        <v>266</v>
      </c>
      <c r="AG2444" t="s">
        <v>120</v>
      </c>
      <c r="AH2444">
        <v>0.01</v>
      </c>
      <c r="AI2444" t="s">
        <v>120</v>
      </c>
      <c r="AJ2444">
        <v>3.11</v>
      </c>
      <c r="AK2444" t="s">
        <v>1892</v>
      </c>
      <c r="AL2444">
        <v>0.46</v>
      </c>
      <c r="AM2444">
        <v>998</v>
      </c>
      <c r="AN2444">
        <v>21</v>
      </c>
      <c r="AO2444">
        <v>6.9999999999999999E-4</v>
      </c>
      <c r="AP2444">
        <v>-1</v>
      </c>
      <c r="AQ2444">
        <v>1.19</v>
      </c>
      <c r="AR2444">
        <v>-1.74</v>
      </c>
      <c r="AS2444">
        <v>7.13</v>
      </c>
      <c r="AT2444">
        <v>0</v>
      </c>
      <c r="AU2444">
        <v>-22.39</v>
      </c>
      <c r="AV2444">
        <v>0</v>
      </c>
      <c r="AW2444">
        <v>0.96</v>
      </c>
      <c r="AX2444">
        <v>70.92</v>
      </c>
      <c r="AY2444">
        <v>23.18</v>
      </c>
      <c r="AZ2444">
        <v>6.17</v>
      </c>
      <c r="BA2444">
        <v>0.97</v>
      </c>
      <c r="BB2444" t="s">
        <v>143</v>
      </c>
      <c r="BF2444">
        <v>-0.36</v>
      </c>
      <c r="BG2444">
        <v>-1.74</v>
      </c>
      <c r="BH2444">
        <v>-1.74</v>
      </c>
      <c r="BI2444">
        <v>0.6</v>
      </c>
      <c r="BJ2444">
        <v>20210819</v>
      </c>
      <c r="BK2444">
        <v>19970410</v>
      </c>
      <c r="BL2444">
        <v>3.11</v>
      </c>
      <c r="BM2444" t="s">
        <v>120</v>
      </c>
      <c r="BN2444" t="s">
        <v>120</v>
      </c>
      <c r="BO2444">
        <v>69.73</v>
      </c>
      <c r="BP2444">
        <v>6.75</v>
      </c>
      <c r="BQ2444">
        <v>29.45</v>
      </c>
      <c r="BR2444">
        <v>1.78</v>
      </c>
      <c r="BS2444">
        <v>55.21</v>
      </c>
      <c r="BT2444">
        <v>50.58</v>
      </c>
      <c r="BU2444">
        <v>5.15</v>
      </c>
      <c r="BV2444">
        <v>0.79</v>
      </c>
      <c r="BW2444">
        <v>35.4</v>
      </c>
      <c r="BX2444">
        <v>14.92</v>
      </c>
      <c r="BY2444">
        <v>26.65</v>
      </c>
      <c r="BZ2444">
        <v>1.91</v>
      </c>
      <c r="CA2444">
        <v>0.04</v>
      </c>
      <c r="CB2444">
        <v>1.44</v>
      </c>
      <c r="CC2444">
        <v>10.38</v>
      </c>
      <c r="CD2444">
        <v>8.9700000000000006</v>
      </c>
      <c r="CE2444">
        <v>0.57999999999999996</v>
      </c>
      <c r="CF2444">
        <v>0.14000000000000001</v>
      </c>
      <c r="CG2444">
        <v>0.57999999999999996</v>
      </c>
      <c r="CH2444">
        <v>0.36</v>
      </c>
      <c r="CI2444">
        <v>0.59</v>
      </c>
      <c r="CJ2444">
        <v>-0.06</v>
      </c>
      <c r="CK2444">
        <v>0.56000000000000005</v>
      </c>
      <c r="CL2444">
        <v>21.49</v>
      </c>
      <c r="CM2444">
        <v>-2.76</v>
      </c>
      <c r="CN2444">
        <v>-3.58</v>
      </c>
      <c r="CO2444">
        <v>33234</v>
      </c>
      <c r="CP2444">
        <v>6634</v>
      </c>
      <c r="CQ2444" t="s">
        <v>11318</v>
      </c>
      <c r="CR2444">
        <v>-80.97</v>
      </c>
      <c r="CS2444">
        <v>-49.37</v>
      </c>
      <c r="CT2444">
        <v>0.71</v>
      </c>
      <c r="CU2444">
        <v>-7.62</v>
      </c>
      <c r="CV2444">
        <v>2.0299999999999998</v>
      </c>
      <c r="CW2444">
        <v>2.93</v>
      </c>
      <c r="CX2444" t="s">
        <v>442</v>
      </c>
      <c r="CY2444">
        <v>9.4700000000000006</v>
      </c>
      <c r="CZ2444">
        <v>0</v>
      </c>
      <c r="DA2444">
        <v>0.46</v>
      </c>
      <c r="DB2444">
        <v>6.91</v>
      </c>
      <c r="DC2444">
        <v>-0.89</v>
      </c>
      <c r="DD2444">
        <v>42.23</v>
      </c>
      <c r="DE2444" t="s">
        <v>493</v>
      </c>
      <c r="DF2444">
        <v>13.59</v>
      </c>
      <c r="DG2444">
        <v>5.58</v>
      </c>
      <c r="DH2444">
        <v>5.72</v>
      </c>
      <c r="DI2444" t="s">
        <v>120</v>
      </c>
      <c r="DJ2444">
        <v>704</v>
      </c>
      <c r="DK2444">
        <v>600051</v>
      </c>
      <c r="DL2444" t="s">
        <v>120</v>
      </c>
      <c r="DM2444" t="s">
        <v>120</v>
      </c>
      <c r="DN2444" t="s">
        <v>120</v>
      </c>
    </row>
    <row r="2445" spans="1:118">
      <c r="A2445" t="str">
        <f>"600052"</f>
        <v>600052</v>
      </c>
      <c r="B2445" t="s">
        <v>11319</v>
      </c>
      <c r="C2445">
        <v>-3.67</v>
      </c>
      <c r="D2445">
        <v>0</v>
      </c>
      <c r="E2445">
        <v>0.22</v>
      </c>
      <c r="F2445">
        <v>1183</v>
      </c>
      <c r="G2445" t="s">
        <v>246</v>
      </c>
      <c r="H2445">
        <v>6376.16</v>
      </c>
      <c r="I2445">
        <v>24.78</v>
      </c>
      <c r="J2445" t="s">
        <v>120</v>
      </c>
      <c r="K2445" t="s">
        <v>11320</v>
      </c>
      <c r="L2445">
        <v>1.67</v>
      </c>
      <c r="M2445">
        <v>4.46</v>
      </c>
      <c r="N2445">
        <v>0.69</v>
      </c>
      <c r="O2445">
        <v>1.08</v>
      </c>
      <c r="P2445">
        <v>4.68</v>
      </c>
      <c r="Q2445">
        <v>-4.54</v>
      </c>
      <c r="R2445">
        <v>4.42</v>
      </c>
      <c r="S2445">
        <v>4.6399999999999997</v>
      </c>
      <c r="T2445">
        <v>141079</v>
      </c>
      <c r="U2445">
        <v>4.46</v>
      </c>
      <c r="V2445">
        <v>4.63</v>
      </c>
      <c r="W2445" t="s">
        <v>120</v>
      </c>
      <c r="X2445" t="s">
        <v>584</v>
      </c>
      <c r="Y2445" t="s">
        <v>585</v>
      </c>
      <c r="Z2445">
        <v>5.62</v>
      </c>
      <c r="AA2445">
        <v>4.5199999999999996</v>
      </c>
      <c r="AB2445">
        <v>78163</v>
      </c>
      <c r="AC2445">
        <v>62916</v>
      </c>
      <c r="AD2445">
        <v>1.24</v>
      </c>
      <c r="AE2445">
        <v>241</v>
      </c>
      <c r="AF2445">
        <v>104</v>
      </c>
      <c r="AG2445" t="s">
        <v>120</v>
      </c>
      <c r="AH2445">
        <v>0.01</v>
      </c>
      <c r="AI2445" t="s">
        <v>120</v>
      </c>
      <c r="AJ2445">
        <v>8.44</v>
      </c>
      <c r="AK2445" t="s">
        <v>11320</v>
      </c>
      <c r="AL2445">
        <v>-2.33</v>
      </c>
      <c r="AM2445">
        <v>1884</v>
      </c>
      <c r="AN2445">
        <v>75</v>
      </c>
      <c r="AO2445">
        <v>8.9999999999999998E-4</v>
      </c>
      <c r="AP2445">
        <v>-1</v>
      </c>
      <c r="AQ2445">
        <v>3.81</v>
      </c>
      <c r="AR2445">
        <v>-1.55</v>
      </c>
      <c r="AS2445">
        <v>30.41</v>
      </c>
      <c r="AT2445">
        <v>17.37</v>
      </c>
      <c r="AU2445">
        <v>50.68</v>
      </c>
      <c r="AV2445">
        <v>5</v>
      </c>
      <c r="AW2445">
        <v>3.2</v>
      </c>
      <c r="AX2445">
        <v>52.28</v>
      </c>
      <c r="AY2445">
        <v>200.51</v>
      </c>
      <c r="AZ2445" t="s">
        <v>120</v>
      </c>
      <c r="BA2445">
        <v>0</v>
      </c>
      <c r="BB2445" t="s">
        <v>168</v>
      </c>
      <c r="BF2445">
        <v>-2.39</v>
      </c>
      <c r="BG2445">
        <v>-3.88</v>
      </c>
      <c r="BH2445">
        <v>-4.7</v>
      </c>
      <c r="BI2445">
        <v>0.9</v>
      </c>
      <c r="BJ2445">
        <v>20210831</v>
      </c>
      <c r="BK2445">
        <v>19970415</v>
      </c>
      <c r="BL2445">
        <v>8.44</v>
      </c>
      <c r="BM2445" t="s">
        <v>120</v>
      </c>
      <c r="BN2445" t="s">
        <v>120</v>
      </c>
      <c r="BO2445">
        <v>35.53</v>
      </c>
      <c r="BP2445">
        <v>4.45</v>
      </c>
      <c r="BQ2445">
        <v>33.61</v>
      </c>
      <c r="BR2445" t="s">
        <v>120</v>
      </c>
      <c r="BS2445">
        <v>5.39</v>
      </c>
      <c r="BT2445">
        <v>22.2</v>
      </c>
      <c r="BU2445">
        <v>0.03</v>
      </c>
      <c r="BV2445">
        <v>0</v>
      </c>
      <c r="BW2445">
        <v>0.81</v>
      </c>
      <c r="BX2445">
        <v>20</v>
      </c>
      <c r="BY2445">
        <v>1.2</v>
      </c>
      <c r="BZ2445">
        <v>0.1</v>
      </c>
      <c r="CA2445" t="s">
        <v>120</v>
      </c>
      <c r="CB2445">
        <v>0.85</v>
      </c>
      <c r="CC2445">
        <v>0.26</v>
      </c>
      <c r="CD2445">
        <v>0.15</v>
      </c>
      <c r="CE2445">
        <v>-0.19</v>
      </c>
      <c r="CF2445">
        <v>-0.03</v>
      </c>
      <c r="CG2445">
        <v>-0.23</v>
      </c>
      <c r="CH2445">
        <v>-0.19</v>
      </c>
      <c r="CI2445">
        <v>-0.19</v>
      </c>
      <c r="CJ2445">
        <v>-0.17</v>
      </c>
      <c r="CK2445">
        <v>-0.04</v>
      </c>
      <c r="CL2445">
        <v>20.49</v>
      </c>
      <c r="CM2445">
        <v>-2.52</v>
      </c>
      <c r="CN2445">
        <v>4.3</v>
      </c>
      <c r="CO2445">
        <v>48114</v>
      </c>
      <c r="CP2445">
        <v>9172</v>
      </c>
      <c r="CQ2445" t="s">
        <v>2770</v>
      </c>
      <c r="CR2445">
        <v>78.11</v>
      </c>
      <c r="CS2445">
        <v>32.07</v>
      </c>
      <c r="CT2445">
        <v>1.1200000000000001</v>
      </c>
      <c r="CU2445">
        <v>-14.96</v>
      </c>
      <c r="CV2445">
        <v>145.24</v>
      </c>
      <c r="CW2445">
        <v>0</v>
      </c>
      <c r="CX2445" t="s">
        <v>419</v>
      </c>
      <c r="CY2445">
        <v>3.98</v>
      </c>
      <c r="CZ2445">
        <v>0</v>
      </c>
      <c r="DA2445">
        <v>0.1</v>
      </c>
      <c r="DB2445">
        <v>2.4300000000000002</v>
      </c>
      <c r="DC2445">
        <v>-0.3</v>
      </c>
      <c r="DD2445">
        <v>94.61</v>
      </c>
      <c r="DE2445" t="s">
        <v>11321</v>
      </c>
      <c r="DF2445">
        <v>40.36</v>
      </c>
      <c r="DG2445">
        <v>-73.38</v>
      </c>
      <c r="DH2445">
        <v>-71.72</v>
      </c>
      <c r="DI2445">
        <v>0.01</v>
      </c>
      <c r="DJ2445">
        <v>87</v>
      </c>
      <c r="DK2445">
        <v>600052</v>
      </c>
      <c r="DL2445" t="s">
        <v>120</v>
      </c>
      <c r="DM2445" t="s">
        <v>120</v>
      </c>
      <c r="DN2445" t="s">
        <v>120</v>
      </c>
    </row>
    <row r="2446" spans="1:118">
      <c r="A2446" t="str">
        <f>"600053"</f>
        <v>600053</v>
      </c>
      <c r="B2446" t="s">
        <v>11322</v>
      </c>
      <c r="C2446">
        <v>-1.18</v>
      </c>
      <c r="D2446">
        <v>0.06</v>
      </c>
      <c r="E2446">
        <v>0.11</v>
      </c>
      <c r="F2446">
        <v>689</v>
      </c>
      <c r="G2446" t="s">
        <v>11323</v>
      </c>
      <c r="H2446">
        <v>7286.28</v>
      </c>
      <c r="I2446">
        <v>46.48</v>
      </c>
      <c r="J2446" t="s">
        <v>120</v>
      </c>
      <c r="K2446" t="s">
        <v>984</v>
      </c>
      <c r="L2446">
        <v>0.94</v>
      </c>
      <c r="M2446">
        <v>17.579999999999998</v>
      </c>
      <c r="N2446">
        <v>0.78</v>
      </c>
      <c r="O2446">
        <v>1.35</v>
      </c>
      <c r="P2446">
        <v>18.03</v>
      </c>
      <c r="Q2446">
        <v>-1.35</v>
      </c>
      <c r="R2446">
        <v>17.55</v>
      </c>
      <c r="S2446">
        <v>17.809999999999999</v>
      </c>
      <c r="T2446">
        <v>40956</v>
      </c>
      <c r="U2446">
        <v>17.600000000000001</v>
      </c>
      <c r="V2446">
        <v>17.79</v>
      </c>
      <c r="W2446">
        <v>88.07</v>
      </c>
      <c r="X2446" t="s">
        <v>721</v>
      </c>
      <c r="Y2446" t="s">
        <v>676</v>
      </c>
      <c r="Z2446">
        <v>2.7</v>
      </c>
      <c r="AA2446">
        <v>17.79</v>
      </c>
      <c r="AB2446">
        <v>23051</v>
      </c>
      <c r="AC2446">
        <v>17905</v>
      </c>
      <c r="AD2446">
        <v>1.29</v>
      </c>
      <c r="AE2446">
        <v>27</v>
      </c>
      <c r="AF2446">
        <v>7</v>
      </c>
      <c r="AG2446" t="s">
        <v>120</v>
      </c>
      <c r="AH2446">
        <v>0.02</v>
      </c>
      <c r="AI2446" t="s">
        <v>120</v>
      </c>
      <c r="AJ2446">
        <v>4.34</v>
      </c>
      <c r="AK2446" t="s">
        <v>984</v>
      </c>
      <c r="AL2446">
        <v>0.16</v>
      </c>
      <c r="AM2446">
        <v>2100</v>
      </c>
      <c r="AN2446">
        <v>20</v>
      </c>
      <c r="AO2446">
        <v>4.0000000000000002E-4</v>
      </c>
      <c r="AP2446">
        <v>-1</v>
      </c>
      <c r="AQ2446">
        <v>0.28000000000000003</v>
      </c>
      <c r="AR2446">
        <v>-5.84</v>
      </c>
      <c r="AS2446">
        <v>8.19</v>
      </c>
      <c r="AT2446">
        <v>-1.4</v>
      </c>
      <c r="AU2446">
        <v>-10.07</v>
      </c>
      <c r="AV2446">
        <v>5</v>
      </c>
      <c r="AW2446">
        <v>3.57</v>
      </c>
      <c r="AX2446">
        <v>26.47</v>
      </c>
      <c r="AY2446">
        <v>92.97</v>
      </c>
      <c r="AZ2446">
        <v>88.9</v>
      </c>
      <c r="BA2446">
        <v>1.1499999999999999</v>
      </c>
      <c r="BB2446" t="s">
        <v>143</v>
      </c>
      <c r="BF2446">
        <v>0</v>
      </c>
      <c r="BG2446">
        <v>-1.29</v>
      </c>
      <c r="BH2446">
        <v>-2.5</v>
      </c>
      <c r="BI2446">
        <v>0.17</v>
      </c>
      <c r="BJ2446">
        <v>20210830</v>
      </c>
      <c r="BK2446">
        <v>19970418</v>
      </c>
      <c r="BL2446">
        <v>4.34</v>
      </c>
      <c r="BM2446" t="s">
        <v>120</v>
      </c>
      <c r="BN2446" t="s">
        <v>120</v>
      </c>
      <c r="BO2446">
        <v>33.44</v>
      </c>
      <c r="BP2446">
        <v>17.579999999999998</v>
      </c>
      <c r="BQ2446">
        <v>27.26</v>
      </c>
      <c r="BR2446">
        <v>0.45</v>
      </c>
      <c r="BS2446">
        <v>17.14</v>
      </c>
      <c r="BT2446">
        <v>19.3</v>
      </c>
      <c r="BU2446">
        <v>0.28999999999999998</v>
      </c>
      <c r="BV2446">
        <v>0</v>
      </c>
      <c r="BW2446">
        <v>4.9400000000000004</v>
      </c>
      <c r="BX2446">
        <v>1.38</v>
      </c>
      <c r="BY2446">
        <v>16.13</v>
      </c>
      <c r="BZ2446">
        <v>1</v>
      </c>
      <c r="CA2446">
        <v>0.03</v>
      </c>
      <c r="CB2446">
        <v>1.86</v>
      </c>
      <c r="CC2446">
        <v>0.77</v>
      </c>
      <c r="CD2446">
        <v>0.05</v>
      </c>
      <c r="CE2446">
        <v>0.5</v>
      </c>
      <c r="CF2446">
        <v>0.13</v>
      </c>
      <c r="CG2446">
        <v>0.5</v>
      </c>
      <c r="CH2446">
        <v>0.42</v>
      </c>
      <c r="CI2446">
        <v>0.43</v>
      </c>
      <c r="CJ2446">
        <v>-0.21</v>
      </c>
      <c r="CK2446">
        <v>0.41</v>
      </c>
      <c r="CL2446">
        <v>18.73</v>
      </c>
      <c r="CM2446">
        <v>0.49</v>
      </c>
      <c r="CN2446">
        <v>-0.32</v>
      </c>
      <c r="CO2446">
        <v>18870</v>
      </c>
      <c r="CP2446">
        <v>6082</v>
      </c>
      <c r="CQ2446" t="s">
        <v>11324</v>
      </c>
      <c r="CR2446">
        <v>-8.07</v>
      </c>
      <c r="CS2446">
        <v>-45.03</v>
      </c>
      <c r="CT2446">
        <v>2.8</v>
      </c>
      <c r="CU2446">
        <v>156.77000000000001</v>
      </c>
      <c r="CV2446">
        <v>98.7</v>
      </c>
      <c r="CW2446">
        <v>0</v>
      </c>
      <c r="CX2446" t="s">
        <v>411</v>
      </c>
      <c r="CY2446">
        <v>6.29</v>
      </c>
      <c r="CZ2446">
        <v>0</v>
      </c>
      <c r="DA2446">
        <v>0.43</v>
      </c>
      <c r="DB2446">
        <v>4.32</v>
      </c>
      <c r="DC2446">
        <v>0.11</v>
      </c>
      <c r="DD2446">
        <v>81.53</v>
      </c>
      <c r="DE2446" t="s">
        <v>179</v>
      </c>
      <c r="DF2446">
        <v>93.45</v>
      </c>
      <c r="DG2446">
        <v>64.819999999999993</v>
      </c>
      <c r="DH2446">
        <v>56.03</v>
      </c>
      <c r="DI2446" t="s">
        <v>120</v>
      </c>
      <c r="DJ2446">
        <v>260</v>
      </c>
      <c r="DK2446">
        <v>600053</v>
      </c>
      <c r="DL2446" t="s">
        <v>120</v>
      </c>
      <c r="DM2446" t="s">
        <v>120</v>
      </c>
      <c r="DN2446" t="s">
        <v>120</v>
      </c>
    </row>
    <row r="2447" spans="1:118">
      <c r="A2447" t="str">
        <f>"600054"</f>
        <v>600054</v>
      </c>
      <c r="B2447" t="s">
        <v>11325</v>
      </c>
      <c r="C2447">
        <v>-0.86</v>
      </c>
      <c r="D2447">
        <v>-0.53</v>
      </c>
      <c r="E2447">
        <v>-0.21</v>
      </c>
      <c r="F2447">
        <v>1044</v>
      </c>
      <c r="G2447" t="s">
        <v>11326</v>
      </c>
      <c r="H2447">
        <v>5375.22</v>
      </c>
      <c r="I2447">
        <v>2.14</v>
      </c>
      <c r="J2447" t="s">
        <v>120</v>
      </c>
      <c r="K2447" t="s">
        <v>4129</v>
      </c>
      <c r="L2447">
        <v>1.1200000000000001</v>
      </c>
      <c r="M2447">
        <v>9.26</v>
      </c>
      <c r="N2447">
        <v>0.74</v>
      </c>
      <c r="O2447">
        <v>1.93</v>
      </c>
      <c r="P2447">
        <v>9.52</v>
      </c>
      <c r="Q2447">
        <v>-1.93</v>
      </c>
      <c r="R2447">
        <v>9.16</v>
      </c>
      <c r="S2447">
        <v>9.32</v>
      </c>
      <c r="T2447">
        <v>57470</v>
      </c>
      <c r="U2447">
        <v>9.31</v>
      </c>
      <c r="V2447">
        <v>9.34</v>
      </c>
      <c r="W2447">
        <v>97.88</v>
      </c>
      <c r="X2447" t="s">
        <v>489</v>
      </c>
      <c r="Y2447" t="s">
        <v>570</v>
      </c>
      <c r="Z2447">
        <v>3.85</v>
      </c>
      <c r="AA2447">
        <v>9.35</v>
      </c>
      <c r="AB2447">
        <v>29230</v>
      </c>
      <c r="AC2447">
        <v>28240</v>
      </c>
      <c r="AD2447">
        <v>1.04</v>
      </c>
      <c r="AE2447">
        <v>177</v>
      </c>
      <c r="AF2447">
        <v>61</v>
      </c>
      <c r="AG2447" t="s">
        <v>120</v>
      </c>
      <c r="AH2447">
        <v>0</v>
      </c>
      <c r="AI2447" t="s">
        <v>120</v>
      </c>
      <c r="AJ2447">
        <v>5.13</v>
      </c>
      <c r="AK2447" t="s">
        <v>11327</v>
      </c>
      <c r="AL2447">
        <v>0.49</v>
      </c>
      <c r="AM2447">
        <v>1980</v>
      </c>
      <c r="AN2447">
        <v>29</v>
      </c>
      <c r="AO2447">
        <v>5.9999999999999995E-4</v>
      </c>
      <c r="AP2447">
        <v>-4</v>
      </c>
      <c r="AQ2447">
        <v>-0.85</v>
      </c>
      <c r="AR2447">
        <v>-2.3199999999999998</v>
      </c>
      <c r="AS2447">
        <v>3.81</v>
      </c>
      <c r="AT2447">
        <v>-5.51</v>
      </c>
      <c r="AU2447">
        <v>3.12</v>
      </c>
      <c r="AV2447">
        <v>0</v>
      </c>
      <c r="AW2447">
        <v>2.65</v>
      </c>
      <c r="AX2447">
        <v>29.71</v>
      </c>
      <c r="AY2447">
        <v>88.99</v>
      </c>
      <c r="AZ2447" t="s">
        <v>120</v>
      </c>
      <c r="BA2447">
        <v>0.54</v>
      </c>
      <c r="BB2447" t="s">
        <v>143</v>
      </c>
      <c r="BF2447">
        <v>0.14000000000000001</v>
      </c>
      <c r="BG2447">
        <v>-0.64</v>
      </c>
      <c r="BH2447">
        <v>-2.73</v>
      </c>
      <c r="BI2447">
        <v>1.0900000000000001</v>
      </c>
      <c r="BJ2447">
        <v>20210830</v>
      </c>
      <c r="BK2447">
        <v>19970506</v>
      </c>
      <c r="BL2447">
        <v>7.29</v>
      </c>
      <c r="BM2447">
        <v>2.16</v>
      </c>
      <c r="BN2447" t="s">
        <v>120</v>
      </c>
      <c r="BO2447">
        <v>50.54</v>
      </c>
      <c r="BP2447">
        <v>9.26</v>
      </c>
      <c r="BQ2447">
        <v>42.87</v>
      </c>
      <c r="BR2447">
        <v>2.0099999999999998</v>
      </c>
      <c r="BS2447">
        <v>11.2</v>
      </c>
      <c r="BT2447">
        <v>20.58</v>
      </c>
      <c r="BU2447">
        <v>14.97</v>
      </c>
      <c r="BV2447">
        <v>1.71</v>
      </c>
      <c r="BW2447">
        <v>3.11</v>
      </c>
      <c r="BX2447">
        <v>7.33</v>
      </c>
      <c r="BY2447">
        <v>0.3</v>
      </c>
      <c r="BZ2447">
        <v>0.22</v>
      </c>
      <c r="CA2447">
        <v>0.01</v>
      </c>
      <c r="CB2447">
        <v>3.67</v>
      </c>
      <c r="CC2447">
        <v>4.6100000000000003</v>
      </c>
      <c r="CD2447">
        <v>2.67</v>
      </c>
      <c r="CE2447">
        <v>0.43</v>
      </c>
      <c r="CF2447">
        <v>0.02</v>
      </c>
      <c r="CG2447">
        <v>0.48</v>
      </c>
      <c r="CH2447">
        <v>0.38</v>
      </c>
      <c r="CI2447">
        <v>0.35</v>
      </c>
      <c r="CJ2447">
        <v>-0.08</v>
      </c>
      <c r="CK2447">
        <v>0.16</v>
      </c>
      <c r="CL2447">
        <v>28</v>
      </c>
      <c r="CM2447">
        <v>0.5</v>
      </c>
      <c r="CN2447">
        <v>-12.4</v>
      </c>
      <c r="CO2447">
        <v>54137</v>
      </c>
      <c r="CP2447">
        <v>7994</v>
      </c>
      <c r="CQ2447" t="s">
        <v>7984</v>
      </c>
      <c r="CR2447">
        <v>139.02000000000001</v>
      </c>
      <c r="CS2447">
        <v>130.27000000000001</v>
      </c>
      <c r="CT2447">
        <v>1.58</v>
      </c>
      <c r="CU2447">
        <v>133.94999999999999</v>
      </c>
      <c r="CV2447">
        <v>14.66</v>
      </c>
      <c r="CW2447">
        <v>0</v>
      </c>
      <c r="CX2447" t="s">
        <v>8141</v>
      </c>
      <c r="CY2447">
        <v>5.88</v>
      </c>
      <c r="CZ2447">
        <v>0</v>
      </c>
      <c r="DA2447">
        <v>0.5</v>
      </c>
      <c r="DB2447">
        <v>3.84</v>
      </c>
      <c r="DC2447">
        <v>7.0000000000000007E-2</v>
      </c>
      <c r="DD2447">
        <v>84.82</v>
      </c>
      <c r="DE2447" t="s">
        <v>4633</v>
      </c>
      <c r="DF2447">
        <v>42.11</v>
      </c>
      <c r="DG2447">
        <v>9.26</v>
      </c>
      <c r="DH2447">
        <v>7.49</v>
      </c>
      <c r="DI2447" t="s">
        <v>120</v>
      </c>
      <c r="DJ2447">
        <v>3546</v>
      </c>
      <c r="DK2447">
        <v>600054</v>
      </c>
      <c r="DL2447" t="s">
        <v>120</v>
      </c>
      <c r="DM2447" t="s">
        <v>120</v>
      </c>
      <c r="DN2447" t="s">
        <v>120</v>
      </c>
    </row>
    <row r="2448" spans="1:118">
      <c r="A2448" t="str">
        <f>"600055"</f>
        <v>600055</v>
      </c>
      <c r="B2448" t="s">
        <v>11328</v>
      </c>
      <c r="C2448">
        <v>-2.4300000000000002</v>
      </c>
      <c r="D2448">
        <v>0</v>
      </c>
      <c r="E2448">
        <v>-0.05</v>
      </c>
      <c r="F2448">
        <v>1177</v>
      </c>
      <c r="G2448" t="s">
        <v>8314</v>
      </c>
      <c r="H2448">
        <v>14385.75</v>
      </c>
      <c r="I2448">
        <v>20.079999999999998</v>
      </c>
      <c r="J2448" t="s">
        <v>120</v>
      </c>
      <c r="K2448" t="s">
        <v>11329</v>
      </c>
      <c r="L2448">
        <v>1.4</v>
      </c>
      <c r="M2448">
        <v>18.850000000000001</v>
      </c>
      <c r="N2448">
        <v>0.69</v>
      </c>
      <c r="O2448">
        <v>0.56999999999999995</v>
      </c>
      <c r="P2448">
        <v>19.43</v>
      </c>
      <c r="Q2448">
        <v>-2.95</v>
      </c>
      <c r="R2448">
        <v>18.75</v>
      </c>
      <c r="S2448">
        <v>19.309999999999999</v>
      </c>
      <c r="T2448">
        <v>75539</v>
      </c>
      <c r="U2448">
        <v>18.850000000000001</v>
      </c>
      <c r="V2448">
        <v>19.32</v>
      </c>
      <c r="W2448">
        <v>61.26</v>
      </c>
      <c r="X2448" t="s">
        <v>555</v>
      </c>
      <c r="Y2448" t="s">
        <v>158</v>
      </c>
      <c r="Z2448">
        <v>3.52</v>
      </c>
      <c r="AA2448">
        <v>19.04</v>
      </c>
      <c r="AB2448">
        <v>49665</v>
      </c>
      <c r="AC2448">
        <v>25874</v>
      </c>
      <c r="AD2448">
        <v>1.92</v>
      </c>
      <c r="AE2448">
        <v>151</v>
      </c>
      <c r="AF2448">
        <v>1</v>
      </c>
      <c r="AG2448" t="s">
        <v>120</v>
      </c>
      <c r="AH2448">
        <v>0</v>
      </c>
      <c r="AI2448" t="s">
        <v>120</v>
      </c>
      <c r="AJ2448">
        <v>5.41</v>
      </c>
      <c r="AK2448" t="s">
        <v>11329</v>
      </c>
      <c r="AL2448">
        <v>-1.0900000000000001</v>
      </c>
      <c r="AM2448">
        <v>2531</v>
      </c>
      <c r="AN2448">
        <v>30</v>
      </c>
      <c r="AO2448">
        <v>5.9999999999999995E-4</v>
      </c>
      <c r="AP2448">
        <v>-3</v>
      </c>
      <c r="AQ2448">
        <v>-2.13</v>
      </c>
      <c r="AR2448">
        <v>-6.96</v>
      </c>
      <c r="AS2448">
        <v>-24.48</v>
      </c>
      <c r="AT2448">
        <v>23.69</v>
      </c>
      <c r="AU2448">
        <v>88.69</v>
      </c>
      <c r="AV2448">
        <v>9</v>
      </c>
      <c r="AW2448">
        <v>2.31</v>
      </c>
      <c r="AX2448">
        <v>60.49</v>
      </c>
      <c r="AY2448">
        <v>52.59</v>
      </c>
      <c r="AZ2448">
        <v>47.35</v>
      </c>
      <c r="BA2448">
        <v>0.57999999999999996</v>
      </c>
      <c r="BB2448" t="s">
        <v>143</v>
      </c>
      <c r="BF2448">
        <v>-1.43</v>
      </c>
      <c r="BG2448">
        <v>-2.38</v>
      </c>
      <c r="BH2448">
        <v>-2.99</v>
      </c>
      <c r="BI2448">
        <v>0.53</v>
      </c>
      <c r="BJ2448">
        <v>20210830</v>
      </c>
      <c r="BK2448">
        <v>19970519</v>
      </c>
      <c r="BL2448">
        <v>5.41</v>
      </c>
      <c r="BM2448" t="s">
        <v>120</v>
      </c>
      <c r="BN2448" t="s">
        <v>120</v>
      </c>
      <c r="BO2448">
        <v>28.45</v>
      </c>
      <c r="BP2448">
        <v>18.84</v>
      </c>
      <c r="BQ2448">
        <v>23.66</v>
      </c>
      <c r="BR2448">
        <v>0.97</v>
      </c>
      <c r="BS2448">
        <v>13.45</v>
      </c>
      <c r="BT2448">
        <v>17.71</v>
      </c>
      <c r="BU2448">
        <v>1.71</v>
      </c>
      <c r="BV2448">
        <v>0.24</v>
      </c>
      <c r="BW2448">
        <v>3.47</v>
      </c>
      <c r="BX2448">
        <v>7.06</v>
      </c>
      <c r="BY2448">
        <v>2.5299999999999998</v>
      </c>
      <c r="BZ2448">
        <v>1.23</v>
      </c>
      <c r="CA2448" t="s">
        <v>120</v>
      </c>
      <c r="CB2448">
        <v>8.83</v>
      </c>
      <c r="CC2448">
        <v>4.95</v>
      </c>
      <c r="CD2448">
        <v>2.56</v>
      </c>
      <c r="CE2448">
        <v>1.01</v>
      </c>
      <c r="CF2448">
        <v>0.12</v>
      </c>
      <c r="CG2448">
        <v>1.01</v>
      </c>
      <c r="CH2448">
        <v>0.83</v>
      </c>
      <c r="CI2448">
        <v>0.83</v>
      </c>
      <c r="CJ2448">
        <v>-0.47</v>
      </c>
      <c r="CK2448">
        <v>0.73</v>
      </c>
      <c r="CL2448">
        <v>8.23</v>
      </c>
      <c r="CM2448">
        <v>-0.16</v>
      </c>
      <c r="CN2448">
        <v>0.03</v>
      </c>
      <c r="CO2448">
        <v>34945</v>
      </c>
      <c r="CP2448">
        <v>9362</v>
      </c>
      <c r="CQ2448" t="s">
        <v>11110</v>
      </c>
      <c r="CR2448">
        <v>-20.9</v>
      </c>
      <c r="CS2448">
        <v>-1.63</v>
      </c>
      <c r="CT2448">
        <v>4.3099999999999996</v>
      </c>
      <c r="CU2448">
        <v>-648.22</v>
      </c>
      <c r="CV2448">
        <v>20.6</v>
      </c>
      <c r="CW2448">
        <v>0.67</v>
      </c>
      <c r="CX2448" t="s">
        <v>373</v>
      </c>
      <c r="CY2448">
        <v>4.37</v>
      </c>
      <c r="CZ2448">
        <v>0</v>
      </c>
      <c r="DA2448">
        <v>1.63</v>
      </c>
      <c r="DB2448">
        <v>1.52</v>
      </c>
      <c r="DC2448">
        <v>-0.03</v>
      </c>
      <c r="DD2448">
        <v>83.15</v>
      </c>
      <c r="DE2448" t="s">
        <v>4021</v>
      </c>
      <c r="DF2448">
        <v>48.34</v>
      </c>
      <c r="DG2448">
        <v>20.38</v>
      </c>
      <c r="DH2448">
        <v>16.82</v>
      </c>
      <c r="DI2448">
        <v>0.38</v>
      </c>
      <c r="DJ2448">
        <v>814</v>
      </c>
      <c r="DK2448">
        <v>600055</v>
      </c>
      <c r="DL2448" t="s">
        <v>120</v>
      </c>
      <c r="DM2448" t="s">
        <v>120</v>
      </c>
      <c r="DN2448" t="s">
        <v>120</v>
      </c>
    </row>
    <row r="2449" spans="1:118">
      <c r="A2449" t="str">
        <f>"600056"</f>
        <v>600056</v>
      </c>
      <c r="B2449" t="s">
        <v>11330</v>
      </c>
      <c r="C2449">
        <v>1.72</v>
      </c>
      <c r="D2449">
        <v>1.46</v>
      </c>
      <c r="E2449">
        <v>1.2</v>
      </c>
      <c r="F2449">
        <v>4261</v>
      </c>
      <c r="G2449" t="s">
        <v>11331</v>
      </c>
      <c r="H2449">
        <v>12654.69</v>
      </c>
      <c r="I2449">
        <v>92.63</v>
      </c>
      <c r="J2449" t="s">
        <v>120</v>
      </c>
      <c r="K2449" t="s">
        <v>11332</v>
      </c>
      <c r="L2449">
        <v>1.01</v>
      </c>
      <c r="M2449">
        <v>11.83</v>
      </c>
      <c r="N2449">
        <v>1.08</v>
      </c>
      <c r="O2449">
        <v>2.58</v>
      </c>
      <c r="P2449">
        <v>11.93</v>
      </c>
      <c r="Q2449">
        <v>0.09</v>
      </c>
      <c r="R2449">
        <v>11.64</v>
      </c>
      <c r="S2449">
        <v>11.77</v>
      </c>
      <c r="T2449">
        <v>107366</v>
      </c>
      <c r="U2449">
        <v>11.83</v>
      </c>
      <c r="V2449">
        <v>11.63</v>
      </c>
      <c r="W2449">
        <v>9.56</v>
      </c>
      <c r="X2449" t="s">
        <v>274</v>
      </c>
      <c r="Y2449" t="s">
        <v>158</v>
      </c>
      <c r="Z2449">
        <v>2.4900000000000002</v>
      </c>
      <c r="AA2449">
        <v>11.79</v>
      </c>
      <c r="AB2449">
        <v>56136</v>
      </c>
      <c r="AC2449">
        <v>51230</v>
      </c>
      <c r="AD2449">
        <v>1.1000000000000001</v>
      </c>
      <c r="AE2449">
        <v>180</v>
      </c>
      <c r="AF2449">
        <v>447</v>
      </c>
      <c r="AG2449" t="s">
        <v>120</v>
      </c>
      <c r="AH2449">
        <v>0.02</v>
      </c>
      <c r="AI2449" t="s">
        <v>120</v>
      </c>
      <c r="AJ2449">
        <v>10.68</v>
      </c>
      <c r="AK2449" t="s">
        <v>11333</v>
      </c>
      <c r="AL2449">
        <v>3.06</v>
      </c>
      <c r="AM2449">
        <v>2691</v>
      </c>
      <c r="AN2449">
        <v>40</v>
      </c>
      <c r="AO2449">
        <v>4.0000000000000002E-4</v>
      </c>
      <c r="AP2449">
        <v>1</v>
      </c>
      <c r="AQ2449">
        <v>-0.34</v>
      </c>
      <c r="AR2449">
        <v>-0.57999999999999996</v>
      </c>
      <c r="AS2449">
        <v>5.53</v>
      </c>
      <c r="AT2449">
        <v>-4.45</v>
      </c>
      <c r="AU2449">
        <v>-15.27</v>
      </c>
      <c r="AV2449">
        <v>0</v>
      </c>
      <c r="AW2449">
        <v>2.13</v>
      </c>
      <c r="AX2449">
        <v>47.22</v>
      </c>
      <c r="AY2449">
        <v>10.41</v>
      </c>
      <c r="AZ2449">
        <v>9.48</v>
      </c>
      <c r="BA2449">
        <v>0.49</v>
      </c>
      <c r="BB2449" t="s">
        <v>143</v>
      </c>
      <c r="BF2449">
        <v>1.35</v>
      </c>
      <c r="BG2449">
        <v>0.51</v>
      </c>
      <c r="BH2449">
        <v>-0.84</v>
      </c>
      <c r="BI2449">
        <v>1.63</v>
      </c>
      <c r="BJ2449">
        <v>20210825</v>
      </c>
      <c r="BK2449">
        <v>19970515</v>
      </c>
      <c r="BL2449">
        <v>10.68</v>
      </c>
      <c r="BM2449" t="s">
        <v>120</v>
      </c>
      <c r="BN2449" t="s">
        <v>120</v>
      </c>
      <c r="BO2449">
        <v>325.83999999999997</v>
      </c>
      <c r="BP2449">
        <v>11.72</v>
      </c>
      <c r="BQ2449">
        <v>102.73</v>
      </c>
      <c r="BR2449">
        <v>23.24</v>
      </c>
      <c r="BS2449">
        <v>61.34</v>
      </c>
      <c r="BT2449">
        <v>240.65</v>
      </c>
      <c r="BU2449">
        <v>16.13</v>
      </c>
      <c r="BV2449">
        <v>3.9</v>
      </c>
      <c r="BW2449">
        <v>153.52000000000001</v>
      </c>
      <c r="BX2449">
        <v>22.16</v>
      </c>
      <c r="BY2449">
        <v>59.44</v>
      </c>
      <c r="BZ2449">
        <v>125.96</v>
      </c>
      <c r="CA2449">
        <v>0.06</v>
      </c>
      <c r="CB2449">
        <v>20.45</v>
      </c>
      <c r="CC2449">
        <v>182.65</v>
      </c>
      <c r="CD2449">
        <v>155.72</v>
      </c>
      <c r="CE2449">
        <v>9.66</v>
      </c>
      <c r="CF2449">
        <v>0.12</v>
      </c>
      <c r="CG2449">
        <v>9.64</v>
      </c>
      <c r="CH2449">
        <v>7.76</v>
      </c>
      <c r="CI2449">
        <v>6.61</v>
      </c>
      <c r="CJ2449">
        <v>0.2</v>
      </c>
      <c r="CK2449">
        <v>6.06</v>
      </c>
      <c r="CL2449">
        <v>65.91</v>
      </c>
      <c r="CM2449">
        <v>-8.91</v>
      </c>
      <c r="CN2449">
        <v>-14.85</v>
      </c>
      <c r="CO2449">
        <v>88221</v>
      </c>
      <c r="CP2449">
        <v>5719</v>
      </c>
      <c r="CQ2449" t="s">
        <v>11334</v>
      </c>
      <c r="CR2449">
        <v>-14.98</v>
      </c>
      <c r="CS2449">
        <v>-2.89</v>
      </c>
      <c r="CT2449">
        <v>1.23</v>
      </c>
      <c r="CU2449">
        <v>-14.19</v>
      </c>
      <c r="CV2449">
        <v>0.69</v>
      </c>
      <c r="CW2449">
        <v>3.16</v>
      </c>
      <c r="CX2449" t="s">
        <v>11335</v>
      </c>
      <c r="CY2449">
        <v>9.61</v>
      </c>
      <c r="CZ2449">
        <v>0</v>
      </c>
      <c r="DA2449">
        <v>1.91</v>
      </c>
      <c r="DB2449">
        <v>6.17</v>
      </c>
      <c r="DC2449">
        <v>-0.83</v>
      </c>
      <c r="DD2449">
        <v>31.53</v>
      </c>
      <c r="DE2449" t="s">
        <v>949</v>
      </c>
      <c r="DF2449">
        <v>14.75</v>
      </c>
      <c r="DG2449">
        <v>5.29</v>
      </c>
      <c r="DH2449">
        <v>3.62</v>
      </c>
      <c r="DI2449">
        <v>0.24</v>
      </c>
      <c r="DJ2449">
        <v>9209</v>
      </c>
      <c r="DK2449">
        <v>600056</v>
      </c>
      <c r="DL2449" t="s">
        <v>120</v>
      </c>
      <c r="DM2449" t="s">
        <v>120</v>
      </c>
      <c r="DN2449" t="s">
        <v>120</v>
      </c>
    </row>
    <row r="2450" spans="1:118">
      <c r="A2450" t="str">
        <f>"600057"</f>
        <v>600057</v>
      </c>
      <c r="B2450" t="s">
        <v>11336</v>
      </c>
      <c r="C2450">
        <v>-2.11</v>
      </c>
      <c r="D2450">
        <v>0.12</v>
      </c>
      <c r="E2450">
        <v>-0.82</v>
      </c>
      <c r="F2450">
        <v>2865</v>
      </c>
      <c r="G2450" t="s">
        <v>11337</v>
      </c>
      <c r="H2450">
        <v>23620.42</v>
      </c>
      <c r="I2450">
        <v>53.13</v>
      </c>
      <c r="J2450" t="s">
        <v>120</v>
      </c>
      <c r="K2450" t="s">
        <v>11338</v>
      </c>
      <c r="L2450">
        <v>1.3</v>
      </c>
      <c r="M2450">
        <v>8.35</v>
      </c>
      <c r="N2450">
        <v>0.54</v>
      </c>
      <c r="O2450">
        <v>1.99</v>
      </c>
      <c r="P2450">
        <v>8.6999999999999993</v>
      </c>
      <c r="Q2450">
        <v>-2.34</v>
      </c>
      <c r="R2450">
        <v>8.33</v>
      </c>
      <c r="S2450">
        <v>8.4600000000000009</v>
      </c>
      <c r="T2450">
        <v>278086</v>
      </c>
      <c r="U2450">
        <v>8.3699999999999992</v>
      </c>
      <c r="V2450">
        <v>8.5299999999999994</v>
      </c>
      <c r="W2450">
        <v>7.92</v>
      </c>
      <c r="X2450" t="s">
        <v>2775</v>
      </c>
      <c r="Y2450" t="s">
        <v>937</v>
      </c>
      <c r="Z2450">
        <v>4.34</v>
      </c>
      <c r="AA2450">
        <v>8.49</v>
      </c>
      <c r="AB2450">
        <v>147999</v>
      </c>
      <c r="AC2450">
        <v>130086</v>
      </c>
      <c r="AD2450">
        <v>1.1399999999999999</v>
      </c>
      <c r="AE2450">
        <v>243</v>
      </c>
      <c r="AF2450">
        <v>307</v>
      </c>
      <c r="AG2450" t="s">
        <v>120</v>
      </c>
      <c r="AH2450">
        <v>0.01</v>
      </c>
      <c r="AI2450" t="s">
        <v>120</v>
      </c>
      <c r="AJ2450">
        <v>21.37</v>
      </c>
      <c r="AK2450" t="s">
        <v>11339</v>
      </c>
      <c r="AL2450">
        <v>-0.77</v>
      </c>
      <c r="AM2450">
        <v>4163</v>
      </c>
      <c r="AN2450">
        <v>67</v>
      </c>
      <c r="AO2450">
        <v>2.9999999999999997E-4</v>
      </c>
      <c r="AP2450">
        <v>-1</v>
      </c>
      <c r="AQ2450">
        <v>0.12</v>
      </c>
      <c r="AR2450">
        <v>-6.07</v>
      </c>
      <c r="AS2450">
        <v>7.05</v>
      </c>
      <c r="AT2450">
        <v>31.92</v>
      </c>
      <c r="AU2450">
        <v>45.98</v>
      </c>
      <c r="AV2450">
        <v>1</v>
      </c>
      <c r="AW2450">
        <v>2.82</v>
      </c>
      <c r="AX2450">
        <v>45.63</v>
      </c>
      <c r="AY2450">
        <v>10.4</v>
      </c>
      <c r="AZ2450">
        <v>14.16</v>
      </c>
      <c r="BA2450">
        <v>0.82</v>
      </c>
      <c r="BB2450" t="s">
        <v>240</v>
      </c>
      <c r="BF2450">
        <v>-0.42</v>
      </c>
      <c r="BG2450">
        <v>-1.3</v>
      </c>
      <c r="BH2450">
        <v>-4.0199999999999996</v>
      </c>
      <c r="BI2450">
        <v>0.24</v>
      </c>
      <c r="BJ2450">
        <v>20210812</v>
      </c>
      <c r="BK2450">
        <v>19970604</v>
      </c>
      <c r="BL2450">
        <v>21.57</v>
      </c>
      <c r="BM2450" t="s">
        <v>120</v>
      </c>
      <c r="BN2450" t="s">
        <v>120</v>
      </c>
      <c r="BO2450">
        <v>999.98</v>
      </c>
      <c r="BP2450">
        <v>8.35</v>
      </c>
      <c r="BQ2450">
        <v>154.01</v>
      </c>
      <c r="BR2450">
        <v>116.82</v>
      </c>
      <c r="BS2450">
        <v>72.92</v>
      </c>
      <c r="BT2450">
        <v>819.79</v>
      </c>
      <c r="BU2450">
        <v>96.58</v>
      </c>
      <c r="BV2450">
        <v>19.600000000000001</v>
      </c>
      <c r="BW2450">
        <v>622.5</v>
      </c>
      <c r="BX2450">
        <v>86.07</v>
      </c>
      <c r="BY2450">
        <v>274.64</v>
      </c>
      <c r="BZ2450">
        <v>183.59</v>
      </c>
      <c r="CA2450">
        <v>0.19</v>
      </c>
      <c r="CB2450">
        <v>49.18</v>
      </c>
      <c r="CC2450">
        <v>2175.75</v>
      </c>
      <c r="CD2450">
        <v>2124.52</v>
      </c>
      <c r="CE2450">
        <v>19.41</v>
      </c>
      <c r="CF2450">
        <v>-1.88</v>
      </c>
      <c r="CG2450">
        <v>19.489999999999998</v>
      </c>
      <c r="CH2450">
        <v>14.31</v>
      </c>
      <c r="CI2450">
        <v>11.37</v>
      </c>
      <c r="CJ2450">
        <v>-0.18</v>
      </c>
      <c r="CK2450">
        <v>11.71</v>
      </c>
      <c r="CL2450">
        <v>41.78</v>
      </c>
      <c r="CM2450">
        <v>-128.76</v>
      </c>
      <c r="CN2450">
        <v>-47.71</v>
      </c>
      <c r="CO2450">
        <v>44108</v>
      </c>
      <c r="CP2450">
        <v>22320</v>
      </c>
      <c r="CQ2450" t="s">
        <v>11340</v>
      </c>
      <c r="CR2450">
        <v>70.58</v>
      </c>
      <c r="CS2450">
        <v>33.33</v>
      </c>
      <c r="CT2450">
        <v>1.58</v>
      </c>
      <c r="CU2450">
        <v>-1.4</v>
      </c>
      <c r="CV2450">
        <v>0.08</v>
      </c>
      <c r="CW2450">
        <v>3.51</v>
      </c>
      <c r="CX2450" t="s">
        <v>3347</v>
      </c>
      <c r="CY2450">
        <v>5.28</v>
      </c>
      <c r="CZ2450">
        <v>5.28</v>
      </c>
      <c r="DA2450">
        <v>2.2799999999999998</v>
      </c>
      <c r="DB2450">
        <v>1.94</v>
      </c>
      <c r="DC2450">
        <v>-5.97</v>
      </c>
      <c r="DD2450">
        <v>15.4</v>
      </c>
      <c r="DE2450" t="s">
        <v>8734</v>
      </c>
      <c r="DF2450">
        <v>2.35</v>
      </c>
      <c r="DG2450">
        <v>0.89</v>
      </c>
      <c r="DH2450">
        <v>0.52</v>
      </c>
      <c r="DI2450">
        <v>0.27</v>
      </c>
      <c r="DJ2450">
        <v>5799</v>
      </c>
      <c r="DK2450">
        <v>600057</v>
      </c>
      <c r="DL2450" t="s">
        <v>120</v>
      </c>
      <c r="DM2450" t="s">
        <v>120</v>
      </c>
      <c r="DN2450" t="s">
        <v>120</v>
      </c>
    </row>
    <row r="2451" spans="1:118">
      <c r="A2451" t="str">
        <f>"600058"</f>
        <v>600058</v>
      </c>
      <c r="B2451" t="s">
        <v>11341</v>
      </c>
      <c r="C2451">
        <v>10</v>
      </c>
      <c r="D2451">
        <v>0</v>
      </c>
      <c r="E2451">
        <v>2.31</v>
      </c>
      <c r="F2451">
        <v>873</v>
      </c>
      <c r="G2451" t="s">
        <v>11342</v>
      </c>
      <c r="H2451">
        <v>45693.83</v>
      </c>
      <c r="I2451">
        <v>428.74</v>
      </c>
      <c r="J2451">
        <v>5542.85</v>
      </c>
      <c r="K2451" t="s">
        <v>11343</v>
      </c>
      <c r="L2451">
        <v>3.65</v>
      </c>
      <c r="M2451">
        <v>11.88</v>
      </c>
      <c r="N2451">
        <v>1.42</v>
      </c>
      <c r="O2451">
        <v>10</v>
      </c>
      <c r="P2451">
        <v>11.88</v>
      </c>
      <c r="Q2451">
        <v>1.2</v>
      </c>
      <c r="R2451">
        <v>10.93</v>
      </c>
      <c r="S2451">
        <v>11.05</v>
      </c>
      <c r="T2451">
        <v>390785</v>
      </c>
      <c r="U2451" t="s">
        <v>120</v>
      </c>
      <c r="V2451">
        <v>10.8</v>
      </c>
      <c r="W2451">
        <v>21.62</v>
      </c>
      <c r="X2451" t="s">
        <v>562</v>
      </c>
      <c r="Y2451" t="s">
        <v>158</v>
      </c>
      <c r="Z2451">
        <v>8.8000000000000007</v>
      </c>
      <c r="AA2451">
        <v>11.69</v>
      </c>
      <c r="AB2451">
        <v>248136</v>
      </c>
      <c r="AC2451">
        <v>142649</v>
      </c>
      <c r="AD2451">
        <v>1.74</v>
      </c>
      <c r="AE2451">
        <v>46657</v>
      </c>
      <c r="AF2451">
        <v>0</v>
      </c>
      <c r="AG2451" t="s">
        <v>120</v>
      </c>
      <c r="AH2451">
        <v>0.1</v>
      </c>
      <c r="AI2451">
        <v>0.12</v>
      </c>
      <c r="AJ2451">
        <v>10.72</v>
      </c>
      <c r="AK2451" t="s">
        <v>11343</v>
      </c>
      <c r="AL2451">
        <v>11.34</v>
      </c>
      <c r="AM2451">
        <v>2775</v>
      </c>
      <c r="AN2451">
        <v>141</v>
      </c>
      <c r="AO2451">
        <v>1.2999999999999999E-3</v>
      </c>
      <c r="AP2451">
        <v>1</v>
      </c>
      <c r="AQ2451">
        <v>-0.09</v>
      </c>
      <c r="AR2451">
        <v>3.94</v>
      </c>
      <c r="AS2451">
        <v>29.98</v>
      </c>
      <c r="AT2451">
        <v>47.4</v>
      </c>
      <c r="AU2451">
        <v>62.07</v>
      </c>
      <c r="AV2451">
        <v>4</v>
      </c>
      <c r="AW2451">
        <v>9.74</v>
      </c>
      <c r="AX2451">
        <v>37.44</v>
      </c>
      <c r="AY2451">
        <v>27.98</v>
      </c>
      <c r="AZ2451">
        <v>43.09</v>
      </c>
      <c r="BA2451">
        <v>0.83</v>
      </c>
      <c r="BB2451" t="s">
        <v>240</v>
      </c>
      <c r="BF2451">
        <v>8.27</v>
      </c>
      <c r="BG2451">
        <v>7.51</v>
      </c>
      <c r="BH2451">
        <v>0</v>
      </c>
      <c r="BI2451">
        <v>8.69</v>
      </c>
      <c r="BJ2451">
        <v>20210831</v>
      </c>
      <c r="BK2451">
        <v>19970528</v>
      </c>
      <c r="BL2451">
        <v>10.72</v>
      </c>
      <c r="BM2451" t="s">
        <v>120</v>
      </c>
      <c r="BN2451" t="s">
        <v>120</v>
      </c>
      <c r="BO2451">
        <v>319.79000000000002</v>
      </c>
      <c r="BP2451">
        <v>11.88</v>
      </c>
      <c r="BQ2451">
        <v>69.84</v>
      </c>
      <c r="BR2451">
        <v>1.32</v>
      </c>
      <c r="BS2451">
        <v>77.75</v>
      </c>
      <c r="BT2451">
        <v>285.20999999999998</v>
      </c>
      <c r="BU2451">
        <v>10.07</v>
      </c>
      <c r="BV2451">
        <v>6.04</v>
      </c>
      <c r="BW2451">
        <v>238.57</v>
      </c>
      <c r="BX2451">
        <v>26.63</v>
      </c>
      <c r="BY2451">
        <v>67.14</v>
      </c>
      <c r="BZ2451">
        <v>104.06</v>
      </c>
      <c r="CA2451" t="s">
        <v>120</v>
      </c>
      <c r="CB2451">
        <v>41.95</v>
      </c>
      <c r="CC2451">
        <v>441.81</v>
      </c>
      <c r="CD2451">
        <v>427.05</v>
      </c>
      <c r="CE2451">
        <v>4.95</v>
      </c>
      <c r="CF2451">
        <v>-1.22</v>
      </c>
      <c r="CG2451">
        <v>4.8499999999999996</v>
      </c>
      <c r="CH2451">
        <v>2.99</v>
      </c>
      <c r="CI2451">
        <v>2.95</v>
      </c>
      <c r="CJ2451">
        <v>1.08</v>
      </c>
      <c r="CK2451">
        <v>2.94</v>
      </c>
      <c r="CL2451">
        <v>-17.5</v>
      </c>
      <c r="CM2451">
        <v>-1.62</v>
      </c>
      <c r="CN2451">
        <v>8.39</v>
      </c>
      <c r="CO2451">
        <v>58194</v>
      </c>
      <c r="CP2451">
        <v>6896</v>
      </c>
      <c r="CQ2451" t="s">
        <v>2267</v>
      </c>
      <c r="CR2451">
        <v>97.01</v>
      </c>
      <c r="CS2451">
        <v>58.25</v>
      </c>
      <c r="CT2451">
        <v>2.84</v>
      </c>
      <c r="CU2451">
        <v>-78.709999999999994</v>
      </c>
      <c r="CV2451">
        <v>0.28999999999999998</v>
      </c>
      <c r="CW2451">
        <v>0</v>
      </c>
      <c r="CX2451" t="s">
        <v>2097</v>
      </c>
      <c r="CY2451">
        <v>4.18</v>
      </c>
      <c r="CZ2451">
        <v>4.18</v>
      </c>
      <c r="DA2451">
        <v>3.91</v>
      </c>
      <c r="DB2451">
        <v>-1.63</v>
      </c>
      <c r="DC2451">
        <v>-0.15</v>
      </c>
      <c r="DD2451">
        <v>21.84</v>
      </c>
      <c r="DE2451" t="s">
        <v>8552</v>
      </c>
      <c r="DF2451">
        <v>3.34</v>
      </c>
      <c r="DG2451">
        <v>1.1200000000000001</v>
      </c>
      <c r="DH2451">
        <v>0.67</v>
      </c>
      <c r="DI2451" t="s">
        <v>120</v>
      </c>
      <c r="DJ2451">
        <v>3346</v>
      </c>
      <c r="DK2451">
        <v>600058</v>
      </c>
      <c r="DL2451" t="s">
        <v>120</v>
      </c>
      <c r="DM2451" t="s">
        <v>120</v>
      </c>
      <c r="DN2451" t="s">
        <v>120</v>
      </c>
    </row>
    <row r="2452" spans="1:118">
      <c r="A2452" t="str">
        <f>"600059"</f>
        <v>600059</v>
      </c>
      <c r="B2452" t="s">
        <v>11344</v>
      </c>
      <c r="C2452">
        <v>3.26</v>
      </c>
      <c r="D2452">
        <v>-0.08</v>
      </c>
      <c r="E2452">
        <v>0</v>
      </c>
      <c r="F2452">
        <v>1551</v>
      </c>
      <c r="G2452" t="s">
        <v>2094</v>
      </c>
      <c r="H2452">
        <v>27563.93</v>
      </c>
      <c r="I2452">
        <v>25.64</v>
      </c>
      <c r="J2452" t="s">
        <v>120</v>
      </c>
      <c r="K2452" t="s">
        <v>11345</v>
      </c>
      <c r="L2452">
        <v>3.07</v>
      </c>
      <c r="M2452">
        <v>11.08</v>
      </c>
      <c r="N2452">
        <v>1.66</v>
      </c>
      <c r="O2452">
        <v>5.78</v>
      </c>
      <c r="P2452">
        <v>11.35</v>
      </c>
      <c r="Q2452">
        <v>0</v>
      </c>
      <c r="R2452">
        <v>10.73</v>
      </c>
      <c r="S2452">
        <v>10.73</v>
      </c>
      <c r="T2452">
        <v>248204</v>
      </c>
      <c r="U2452">
        <v>11.09</v>
      </c>
      <c r="V2452">
        <v>10.73</v>
      </c>
      <c r="W2452">
        <v>57.32</v>
      </c>
      <c r="X2452" t="s">
        <v>2247</v>
      </c>
      <c r="Y2452" t="s">
        <v>585</v>
      </c>
      <c r="Z2452">
        <v>5.78</v>
      </c>
      <c r="AA2452">
        <v>11.11</v>
      </c>
      <c r="AB2452">
        <v>107429</v>
      </c>
      <c r="AC2452">
        <v>140775</v>
      </c>
      <c r="AD2452">
        <v>0.76</v>
      </c>
      <c r="AE2452">
        <v>1075</v>
      </c>
      <c r="AF2452">
        <v>1935</v>
      </c>
      <c r="AG2452" t="s">
        <v>120</v>
      </c>
      <c r="AH2452">
        <v>0</v>
      </c>
      <c r="AI2452" t="s">
        <v>120</v>
      </c>
      <c r="AJ2452">
        <v>8.09</v>
      </c>
      <c r="AK2452" t="s">
        <v>11346</v>
      </c>
      <c r="AL2452">
        <v>4.6100000000000003</v>
      </c>
      <c r="AM2452">
        <v>3517</v>
      </c>
      <c r="AN2452">
        <v>71</v>
      </c>
      <c r="AO2452">
        <v>8.9999999999999998E-4</v>
      </c>
      <c r="AP2452">
        <v>1</v>
      </c>
      <c r="AQ2452">
        <v>-0.74</v>
      </c>
      <c r="AR2452">
        <v>1.37</v>
      </c>
      <c r="AS2452">
        <v>1.84</v>
      </c>
      <c r="AT2452">
        <v>-15.22</v>
      </c>
      <c r="AU2452">
        <v>-34.67</v>
      </c>
      <c r="AV2452">
        <v>12</v>
      </c>
      <c r="AW2452">
        <v>5.14</v>
      </c>
      <c r="AX2452">
        <v>52.97</v>
      </c>
      <c r="AY2452">
        <v>57.04</v>
      </c>
      <c r="AZ2452">
        <v>64.989999999999995</v>
      </c>
      <c r="BA2452">
        <v>1.34</v>
      </c>
      <c r="BB2452" t="s">
        <v>143</v>
      </c>
      <c r="BF2452">
        <v>3.5</v>
      </c>
      <c r="BG2452">
        <v>3.26</v>
      </c>
      <c r="BH2452">
        <v>-2.38</v>
      </c>
      <c r="BI2452">
        <v>3.26</v>
      </c>
      <c r="BJ2452">
        <v>20210818</v>
      </c>
      <c r="BK2452">
        <v>19970516</v>
      </c>
      <c r="BL2452">
        <v>9.1199999999999992</v>
      </c>
      <c r="BM2452" t="s">
        <v>120</v>
      </c>
      <c r="BN2452" t="s">
        <v>120</v>
      </c>
      <c r="BO2452">
        <v>57.55</v>
      </c>
      <c r="BP2452">
        <v>11.08</v>
      </c>
      <c r="BQ2452">
        <v>52.49</v>
      </c>
      <c r="BR2452">
        <v>0.41</v>
      </c>
      <c r="BS2452">
        <v>8.07</v>
      </c>
      <c r="BT2452">
        <v>40.17</v>
      </c>
      <c r="BU2452">
        <v>11.19</v>
      </c>
      <c r="BV2452">
        <v>2.0099999999999998</v>
      </c>
      <c r="BW2452">
        <v>4.5999999999999996</v>
      </c>
      <c r="BX2452">
        <v>14.02</v>
      </c>
      <c r="BY2452">
        <v>20.190000000000001</v>
      </c>
      <c r="BZ2452">
        <v>1.46</v>
      </c>
      <c r="CA2452" t="s">
        <v>120</v>
      </c>
      <c r="CB2452">
        <v>27.28</v>
      </c>
      <c r="CC2452">
        <v>7.64</v>
      </c>
      <c r="CD2452">
        <v>4.8499999999999996</v>
      </c>
      <c r="CE2452">
        <v>1.1599999999999999</v>
      </c>
      <c r="CF2452">
        <v>0.01</v>
      </c>
      <c r="CG2452">
        <v>1.1499999999999999</v>
      </c>
      <c r="CH2452">
        <v>0.87</v>
      </c>
      <c r="CI2452">
        <v>0.88</v>
      </c>
      <c r="CJ2452">
        <v>0.35</v>
      </c>
      <c r="CK2452">
        <v>0.83</v>
      </c>
      <c r="CL2452">
        <v>13.37</v>
      </c>
      <c r="CM2452">
        <v>-2.2200000000000002</v>
      </c>
      <c r="CN2452">
        <v>5.92</v>
      </c>
      <c r="CO2452">
        <v>93372</v>
      </c>
      <c r="CP2452">
        <v>5171</v>
      </c>
      <c r="CQ2452" t="s">
        <v>1461</v>
      </c>
      <c r="CR2452">
        <v>31.27</v>
      </c>
      <c r="CS2452">
        <v>31.91</v>
      </c>
      <c r="CT2452">
        <v>1.92</v>
      </c>
      <c r="CU2452">
        <v>-45.41</v>
      </c>
      <c r="CV2452">
        <v>13.22</v>
      </c>
      <c r="CW2452">
        <v>0.47</v>
      </c>
      <c r="CX2452" t="s">
        <v>411</v>
      </c>
      <c r="CY2452">
        <v>5.76</v>
      </c>
      <c r="CZ2452">
        <v>0</v>
      </c>
      <c r="DA2452">
        <v>2.99</v>
      </c>
      <c r="DB2452">
        <v>1.47</v>
      </c>
      <c r="DC2452">
        <v>-0.24</v>
      </c>
      <c r="DD2452">
        <v>91.22</v>
      </c>
      <c r="DE2452" t="s">
        <v>1249</v>
      </c>
      <c r="DF2452">
        <v>36.520000000000003</v>
      </c>
      <c r="DG2452">
        <v>15.2</v>
      </c>
      <c r="DH2452">
        <v>11.53</v>
      </c>
      <c r="DI2452">
        <v>7.0000000000000007E-2</v>
      </c>
      <c r="DJ2452">
        <v>2523</v>
      </c>
      <c r="DK2452">
        <v>600059</v>
      </c>
      <c r="DL2452" t="s">
        <v>120</v>
      </c>
      <c r="DM2452" t="s">
        <v>120</v>
      </c>
      <c r="DN2452" t="s">
        <v>120</v>
      </c>
    </row>
    <row r="2453" spans="1:118">
      <c r="A2453" t="str">
        <f>"600060"</f>
        <v>600060</v>
      </c>
      <c r="B2453" t="s">
        <v>11347</v>
      </c>
      <c r="C2453">
        <v>-1.82</v>
      </c>
      <c r="D2453">
        <v>0</v>
      </c>
      <c r="E2453">
        <v>0</v>
      </c>
      <c r="F2453">
        <v>1095</v>
      </c>
      <c r="G2453" t="s">
        <v>11348</v>
      </c>
      <c r="H2453">
        <v>20180.72</v>
      </c>
      <c r="I2453">
        <v>34.07</v>
      </c>
      <c r="J2453" t="s">
        <v>120</v>
      </c>
      <c r="K2453" t="s">
        <v>11349</v>
      </c>
      <c r="L2453">
        <v>1.31</v>
      </c>
      <c r="M2453">
        <v>11.86</v>
      </c>
      <c r="N2453">
        <v>0.96</v>
      </c>
      <c r="O2453">
        <v>0.99</v>
      </c>
      <c r="P2453">
        <v>12.2</v>
      </c>
      <c r="Q2453">
        <v>-2.57</v>
      </c>
      <c r="R2453">
        <v>11.77</v>
      </c>
      <c r="S2453">
        <v>12.08</v>
      </c>
      <c r="T2453">
        <v>168314</v>
      </c>
      <c r="U2453">
        <v>11.87</v>
      </c>
      <c r="V2453">
        <v>12.08</v>
      </c>
      <c r="W2453">
        <v>19.97</v>
      </c>
      <c r="X2453" t="s">
        <v>205</v>
      </c>
      <c r="Y2453" t="s">
        <v>638</v>
      </c>
      <c r="Z2453">
        <v>3.56</v>
      </c>
      <c r="AA2453">
        <v>11.99</v>
      </c>
      <c r="AB2453">
        <v>83380</v>
      </c>
      <c r="AC2453">
        <v>84934</v>
      </c>
      <c r="AD2453">
        <v>0.98</v>
      </c>
      <c r="AE2453">
        <v>703</v>
      </c>
      <c r="AF2453">
        <v>72</v>
      </c>
      <c r="AG2453" t="s">
        <v>120</v>
      </c>
      <c r="AH2453">
        <v>0</v>
      </c>
      <c r="AI2453" t="s">
        <v>120</v>
      </c>
      <c r="AJ2453">
        <v>12.89</v>
      </c>
      <c r="AK2453" t="s">
        <v>11350</v>
      </c>
      <c r="AL2453">
        <v>-0.48</v>
      </c>
      <c r="AM2453">
        <v>3633</v>
      </c>
      <c r="AN2453">
        <v>46</v>
      </c>
      <c r="AO2453">
        <v>4.0000000000000002E-4</v>
      </c>
      <c r="AP2453">
        <v>-2</v>
      </c>
      <c r="AQ2453">
        <v>-0.74</v>
      </c>
      <c r="AR2453">
        <v>-1.57</v>
      </c>
      <c r="AS2453">
        <v>-4.97</v>
      </c>
      <c r="AT2453">
        <v>-28.57</v>
      </c>
      <c r="AU2453">
        <v>5.85</v>
      </c>
      <c r="AV2453">
        <v>2</v>
      </c>
      <c r="AW2453">
        <v>2.4700000000000002</v>
      </c>
      <c r="AX2453">
        <v>51.99</v>
      </c>
      <c r="AY2453">
        <v>12.98</v>
      </c>
      <c r="AZ2453">
        <v>13.22</v>
      </c>
      <c r="BA2453">
        <v>0.44</v>
      </c>
      <c r="BB2453" t="s">
        <v>143</v>
      </c>
      <c r="BF2453">
        <v>-0.75</v>
      </c>
      <c r="BG2453">
        <v>-1.82</v>
      </c>
      <c r="BH2453">
        <v>-2.79</v>
      </c>
      <c r="BI2453">
        <v>0.76</v>
      </c>
      <c r="BJ2453">
        <v>20210902</v>
      </c>
      <c r="BK2453">
        <v>19970422</v>
      </c>
      <c r="BL2453">
        <v>13.08</v>
      </c>
      <c r="BM2453" t="s">
        <v>120</v>
      </c>
      <c r="BN2453" t="s">
        <v>120</v>
      </c>
      <c r="BO2453">
        <v>315.74</v>
      </c>
      <c r="BP2453">
        <v>11.86</v>
      </c>
      <c r="BQ2453">
        <v>156.94999999999999</v>
      </c>
      <c r="BR2453">
        <v>18.11</v>
      </c>
      <c r="BS2453">
        <v>44.55</v>
      </c>
      <c r="BT2453">
        <v>263.5</v>
      </c>
      <c r="BU2453">
        <v>15.01</v>
      </c>
      <c r="BV2453">
        <v>9.6300000000000008</v>
      </c>
      <c r="BW2453">
        <v>127.69</v>
      </c>
      <c r="BX2453">
        <v>27.28</v>
      </c>
      <c r="BY2453">
        <v>65.84</v>
      </c>
      <c r="BZ2453">
        <v>33.03</v>
      </c>
      <c r="CA2453">
        <v>0.02</v>
      </c>
      <c r="CB2453">
        <v>24.69</v>
      </c>
      <c r="CC2453">
        <v>209.58</v>
      </c>
      <c r="CD2453">
        <v>175.95</v>
      </c>
      <c r="CE2453">
        <v>6.77</v>
      </c>
      <c r="CF2453">
        <v>1.82</v>
      </c>
      <c r="CG2453">
        <v>6.81</v>
      </c>
      <c r="CH2453">
        <v>5.93</v>
      </c>
      <c r="CI2453">
        <v>3.88</v>
      </c>
      <c r="CJ2453">
        <v>-0.22</v>
      </c>
      <c r="CK2453">
        <v>2.08</v>
      </c>
      <c r="CL2453">
        <v>107.19</v>
      </c>
      <c r="CM2453">
        <v>-15.77</v>
      </c>
      <c r="CN2453">
        <v>-1.62</v>
      </c>
      <c r="CO2453">
        <v>46360</v>
      </c>
      <c r="CP2453">
        <v>14674</v>
      </c>
      <c r="CQ2453" t="s">
        <v>11351</v>
      </c>
      <c r="CR2453">
        <v>6.19</v>
      </c>
      <c r="CS2453">
        <v>31.8</v>
      </c>
      <c r="CT2453">
        <v>0.99</v>
      </c>
      <c r="CU2453">
        <v>-9.84</v>
      </c>
      <c r="CV2453">
        <v>0.74</v>
      </c>
      <c r="CW2453">
        <v>2.2400000000000002</v>
      </c>
      <c r="CX2453" t="s">
        <v>1340</v>
      </c>
      <c r="CY2453">
        <v>12</v>
      </c>
      <c r="CZ2453">
        <v>0</v>
      </c>
      <c r="DA2453">
        <v>1.89</v>
      </c>
      <c r="DB2453">
        <v>8.19</v>
      </c>
      <c r="DC2453">
        <v>-1.21</v>
      </c>
      <c r="DD2453">
        <v>49.71</v>
      </c>
      <c r="DE2453" t="s">
        <v>1959</v>
      </c>
      <c r="DF2453">
        <v>16.05</v>
      </c>
      <c r="DG2453">
        <v>3.23</v>
      </c>
      <c r="DH2453">
        <v>1.85</v>
      </c>
      <c r="DI2453">
        <v>8.85</v>
      </c>
      <c r="DJ2453">
        <v>19709</v>
      </c>
      <c r="DK2453">
        <v>600060</v>
      </c>
      <c r="DL2453" t="s">
        <v>120</v>
      </c>
      <c r="DM2453" t="s">
        <v>120</v>
      </c>
      <c r="DN2453" t="s">
        <v>120</v>
      </c>
    </row>
    <row r="2454" spans="1:118">
      <c r="A2454" t="str">
        <f>"600061"</f>
        <v>600061</v>
      </c>
      <c r="B2454" t="s">
        <v>11352</v>
      </c>
      <c r="C2454">
        <v>-1.08</v>
      </c>
      <c r="D2454">
        <v>-0.21</v>
      </c>
      <c r="E2454">
        <v>0</v>
      </c>
      <c r="F2454">
        <v>23537</v>
      </c>
      <c r="G2454" t="s">
        <v>11353</v>
      </c>
      <c r="H2454">
        <v>84715.54</v>
      </c>
      <c r="I2454">
        <v>168.8</v>
      </c>
      <c r="J2454" t="s">
        <v>120</v>
      </c>
      <c r="K2454" t="s">
        <v>11354</v>
      </c>
      <c r="L2454">
        <v>1.4</v>
      </c>
      <c r="M2454">
        <v>9.1999999999999993</v>
      </c>
      <c r="N2454">
        <v>1.22</v>
      </c>
      <c r="O2454">
        <v>4.62</v>
      </c>
      <c r="P2454">
        <v>9.73</v>
      </c>
      <c r="Q2454">
        <v>-1.08</v>
      </c>
      <c r="R2454">
        <v>9.1999999999999993</v>
      </c>
      <c r="S2454">
        <v>9.3000000000000007</v>
      </c>
      <c r="T2454">
        <v>898495</v>
      </c>
      <c r="U2454">
        <v>9.2100000000000009</v>
      </c>
      <c r="V2454">
        <v>9.3000000000000007</v>
      </c>
      <c r="W2454">
        <v>10.98</v>
      </c>
      <c r="X2454" t="s">
        <v>616</v>
      </c>
      <c r="Y2454" t="s">
        <v>1510</v>
      </c>
      <c r="Z2454">
        <v>5.7</v>
      </c>
      <c r="AA2454">
        <v>9.43</v>
      </c>
      <c r="AB2454">
        <v>418763</v>
      </c>
      <c r="AC2454">
        <v>479732</v>
      </c>
      <c r="AD2454">
        <v>0.87</v>
      </c>
      <c r="AE2454">
        <v>5060</v>
      </c>
      <c r="AF2454">
        <v>88</v>
      </c>
      <c r="AG2454" t="s">
        <v>120</v>
      </c>
      <c r="AH2454">
        <v>0.01</v>
      </c>
      <c r="AI2454" t="s">
        <v>120</v>
      </c>
      <c r="AJ2454">
        <v>64.25</v>
      </c>
      <c r="AK2454" t="s">
        <v>11354</v>
      </c>
      <c r="AL2454">
        <v>0.27</v>
      </c>
      <c r="AM2454">
        <v>4328</v>
      </c>
      <c r="AN2454">
        <v>208</v>
      </c>
      <c r="AO2454">
        <v>2.9999999999999997E-4</v>
      </c>
      <c r="AP2454">
        <v>-1</v>
      </c>
      <c r="AQ2454">
        <v>0.98</v>
      </c>
      <c r="AR2454">
        <v>-3.86</v>
      </c>
      <c r="AS2454">
        <v>4.3099999999999996</v>
      </c>
      <c r="AT2454">
        <v>8.75</v>
      </c>
      <c r="AU2454">
        <v>2.57</v>
      </c>
      <c r="AV2454">
        <v>0</v>
      </c>
      <c r="AW2454">
        <v>3.84</v>
      </c>
      <c r="AX2454">
        <v>36.39</v>
      </c>
      <c r="AY2454">
        <v>13.15</v>
      </c>
      <c r="AZ2454">
        <v>14.4</v>
      </c>
      <c r="BA2454">
        <v>1.1100000000000001</v>
      </c>
      <c r="BB2454" t="s">
        <v>143</v>
      </c>
      <c r="BF2454">
        <v>1.38</v>
      </c>
      <c r="BG2454">
        <v>-1.08</v>
      </c>
      <c r="BH2454">
        <v>-5.45</v>
      </c>
      <c r="BI2454">
        <v>0</v>
      </c>
      <c r="BJ2454">
        <v>20210827</v>
      </c>
      <c r="BK2454">
        <v>19970519</v>
      </c>
      <c r="BL2454">
        <v>64.25</v>
      </c>
      <c r="BM2454" t="s">
        <v>120</v>
      </c>
      <c r="BN2454" t="s">
        <v>120</v>
      </c>
      <c r="BO2454">
        <v>2492.56</v>
      </c>
      <c r="BP2454">
        <v>9.1999999999999993</v>
      </c>
      <c r="BQ2454">
        <v>471.93</v>
      </c>
      <c r="BR2454">
        <v>50.38</v>
      </c>
      <c r="BS2454">
        <v>79.05</v>
      </c>
      <c r="BT2454">
        <v>1954.48</v>
      </c>
      <c r="BU2454">
        <v>3.2</v>
      </c>
      <c r="BV2454">
        <v>8</v>
      </c>
      <c r="BW2454">
        <v>1524.76</v>
      </c>
      <c r="BX2454">
        <v>597.21</v>
      </c>
      <c r="BY2454">
        <v>0.62</v>
      </c>
      <c r="BZ2454">
        <v>4.1399999999999997</v>
      </c>
      <c r="CA2454" t="s">
        <v>120</v>
      </c>
      <c r="CB2454">
        <v>183.31</v>
      </c>
      <c r="CC2454">
        <v>6.04</v>
      </c>
      <c r="CD2454">
        <v>5.94</v>
      </c>
      <c r="CE2454">
        <v>39.270000000000003</v>
      </c>
      <c r="CF2454">
        <v>15.17</v>
      </c>
      <c r="CG2454">
        <v>39.04</v>
      </c>
      <c r="CH2454">
        <v>30.14</v>
      </c>
      <c r="CI2454">
        <v>26.91</v>
      </c>
      <c r="CJ2454">
        <v>-0.1</v>
      </c>
      <c r="CK2454">
        <v>26.31</v>
      </c>
      <c r="CL2454">
        <v>149.81</v>
      </c>
      <c r="CM2454">
        <v>108.46</v>
      </c>
      <c r="CN2454">
        <v>116.91</v>
      </c>
      <c r="CO2454">
        <v>72828</v>
      </c>
      <c r="CP2454">
        <v>32108</v>
      </c>
      <c r="CQ2454" t="s">
        <v>11355</v>
      </c>
      <c r="CR2454">
        <v>17.3</v>
      </c>
      <c r="CS2454">
        <v>162.19</v>
      </c>
      <c r="CT2454">
        <v>1.34</v>
      </c>
      <c r="CU2454">
        <v>5.45</v>
      </c>
      <c r="CV2454">
        <v>97.83</v>
      </c>
      <c r="CW2454">
        <v>1.39</v>
      </c>
      <c r="CX2454" t="s">
        <v>803</v>
      </c>
      <c r="CY2454">
        <v>6.85</v>
      </c>
      <c r="CZ2454">
        <v>6.85</v>
      </c>
      <c r="DA2454">
        <v>2.85</v>
      </c>
      <c r="DB2454">
        <v>2.33</v>
      </c>
      <c r="DC2454">
        <v>1.69</v>
      </c>
      <c r="DD2454">
        <v>18.93</v>
      </c>
      <c r="DE2454" t="s">
        <v>9833</v>
      </c>
      <c r="DF2454">
        <v>1.69</v>
      </c>
      <c r="DG2454">
        <v>649.91</v>
      </c>
      <c r="DH2454">
        <v>445.28</v>
      </c>
      <c r="DI2454" t="s">
        <v>120</v>
      </c>
      <c r="DJ2454">
        <v>6447</v>
      </c>
      <c r="DK2454">
        <v>600061</v>
      </c>
      <c r="DL2454" t="s">
        <v>120</v>
      </c>
      <c r="DM2454" t="s">
        <v>120</v>
      </c>
      <c r="DN2454" t="s">
        <v>120</v>
      </c>
    </row>
    <row r="2455" spans="1:118">
      <c r="A2455" t="str">
        <f>"600062"</f>
        <v>600062</v>
      </c>
      <c r="B2455" t="s">
        <v>11356</v>
      </c>
      <c r="C2455">
        <v>0.08</v>
      </c>
      <c r="D2455">
        <v>0.59</v>
      </c>
      <c r="E2455">
        <v>0.08</v>
      </c>
      <c r="F2455">
        <v>2711</v>
      </c>
      <c r="G2455" t="s">
        <v>11357</v>
      </c>
      <c r="H2455">
        <v>6279.51</v>
      </c>
      <c r="I2455">
        <v>9.14</v>
      </c>
      <c r="J2455" t="s">
        <v>120</v>
      </c>
      <c r="K2455" t="s">
        <v>9780</v>
      </c>
      <c r="L2455">
        <v>0.51</v>
      </c>
      <c r="M2455">
        <v>11.87</v>
      </c>
      <c r="N2455">
        <v>0.76</v>
      </c>
      <c r="O2455">
        <v>1.43</v>
      </c>
      <c r="P2455">
        <v>12.03</v>
      </c>
      <c r="Q2455">
        <v>-0.67</v>
      </c>
      <c r="R2455">
        <v>11.78</v>
      </c>
      <c r="S2455">
        <v>11.87</v>
      </c>
      <c r="T2455">
        <v>52755</v>
      </c>
      <c r="U2455">
        <v>11.87</v>
      </c>
      <c r="V2455">
        <v>11.86</v>
      </c>
      <c r="W2455">
        <v>10.41</v>
      </c>
      <c r="X2455" t="s">
        <v>569</v>
      </c>
      <c r="Y2455" t="s">
        <v>158</v>
      </c>
      <c r="Z2455">
        <v>2.11</v>
      </c>
      <c r="AA2455">
        <v>11.9</v>
      </c>
      <c r="AB2455">
        <v>27978</v>
      </c>
      <c r="AC2455">
        <v>24777</v>
      </c>
      <c r="AD2455">
        <v>1.1299999999999999</v>
      </c>
      <c r="AE2455">
        <v>257</v>
      </c>
      <c r="AF2455">
        <v>112</v>
      </c>
      <c r="AG2455" t="s">
        <v>120</v>
      </c>
      <c r="AH2455">
        <v>0</v>
      </c>
      <c r="AI2455" t="s">
        <v>120</v>
      </c>
      <c r="AJ2455">
        <v>10.43</v>
      </c>
      <c r="AK2455" t="s">
        <v>9780</v>
      </c>
      <c r="AL2455">
        <v>1.43</v>
      </c>
      <c r="AM2455">
        <v>2476</v>
      </c>
      <c r="AN2455">
        <v>21</v>
      </c>
      <c r="AO2455">
        <v>2.0000000000000001E-4</v>
      </c>
      <c r="AP2455">
        <v>2</v>
      </c>
      <c r="AQ2455">
        <v>1.28</v>
      </c>
      <c r="AR2455">
        <v>-0.5</v>
      </c>
      <c r="AS2455">
        <v>5.61</v>
      </c>
      <c r="AT2455">
        <v>4.13</v>
      </c>
      <c r="AU2455">
        <v>1.46</v>
      </c>
      <c r="AV2455">
        <v>0</v>
      </c>
      <c r="AW2455">
        <v>1.26</v>
      </c>
      <c r="AX2455">
        <v>40.01</v>
      </c>
      <c r="AY2455">
        <v>11.83</v>
      </c>
      <c r="AZ2455">
        <v>12.31</v>
      </c>
      <c r="BA2455">
        <v>0.45</v>
      </c>
      <c r="BB2455" t="s">
        <v>143</v>
      </c>
      <c r="BF2455">
        <v>0.36</v>
      </c>
      <c r="BG2455">
        <v>0</v>
      </c>
      <c r="BH2455">
        <v>-1.33</v>
      </c>
      <c r="BI2455">
        <v>0.76</v>
      </c>
      <c r="BJ2455">
        <v>20210824</v>
      </c>
      <c r="BK2455">
        <v>19970522</v>
      </c>
      <c r="BL2455">
        <v>10.43</v>
      </c>
      <c r="BM2455" t="s">
        <v>120</v>
      </c>
      <c r="BN2455" t="s">
        <v>120</v>
      </c>
      <c r="BO2455">
        <v>134.38999999999999</v>
      </c>
      <c r="BP2455">
        <v>11.85</v>
      </c>
      <c r="BQ2455">
        <v>95.71</v>
      </c>
      <c r="BR2455">
        <v>5.66</v>
      </c>
      <c r="BS2455">
        <v>24.57</v>
      </c>
      <c r="BT2455">
        <v>74.55</v>
      </c>
      <c r="BU2455">
        <v>25.41</v>
      </c>
      <c r="BV2455">
        <v>11.92</v>
      </c>
      <c r="BW2455">
        <v>28.28</v>
      </c>
      <c r="BX2455">
        <v>27.53</v>
      </c>
      <c r="BY2455">
        <v>15.67</v>
      </c>
      <c r="BZ2455">
        <v>14.72</v>
      </c>
      <c r="CA2455" t="s">
        <v>120</v>
      </c>
      <c r="CB2455">
        <v>1.49</v>
      </c>
      <c r="CC2455">
        <v>46.3</v>
      </c>
      <c r="CD2455">
        <v>19.38</v>
      </c>
      <c r="CE2455">
        <v>7.3</v>
      </c>
      <c r="CF2455">
        <v>0.03</v>
      </c>
      <c r="CG2455">
        <v>7.3</v>
      </c>
      <c r="CH2455">
        <v>6.23</v>
      </c>
      <c r="CI2455">
        <v>5.95</v>
      </c>
      <c r="CJ2455">
        <v>0.01</v>
      </c>
      <c r="CK2455">
        <v>5.58</v>
      </c>
      <c r="CL2455">
        <v>78.55</v>
      </c>
      <c r="CM2455">
        <v>6.72</v>
      </c>
      <c r="CN2455">
        <v>3.22</v>
      </c>
      <c r="CO2455">
        <v>41817</v>
      </c>
      <c r="CP2455">
        <v>9983</v>
      </c>
      <c r="CQ2455" t="s">
        <v>1090</v>
      </c>
      <c r="CR2455">
        <v>7.28</v>
      </c>
      <c r="CS2455">
        <v>11.64</v>
      </c>
      <c r="CT2455">
        <v>1.29</v>
      </c>
      <c r="CU2455">
        <v>18.420000000000002</v>
      </c>
      <c r="CV2455">
        <v>2.67</v>
      </c>
      <c r="CW2455">
        <v>2.4500000000000002</v>
      </c>
      <c r="CX2455" t="s">
        <v>1881</v>
      </c>
      <c r="CY2455">
        <v>9.17</v>
      </c>
      <c r="CZ2455">
        <v>0</v>
      </c>
      <c r="DA2455">
        <v>0.14000000000000001</v>
      </c>
      <c r="DB2455">
        <v>7.53</v>
      </c>
      <c r="DC2455">
        <v>0.64</v>
      </c>
      <c r="DD2455">
        <v>71.22</v>
      </c>
      <c r="DE2455" t="s">
        <v>2505</v>
      </c>
      <c r="DF2455">
        <v>58.14</v>
      </c>
      <c r="DG2455">
        <v>15.76</v>
      </c>
      <c r="DH2455">
        <v>12.84</v>
      </c>
      <c r="DI2455">
        <v>1.8</v>
      </c>
      <c r="DJ2455">
        <v>11351</v>
      </c>
      <c r="DK2455">
        <v>600062</v>
      </c>
      <c r="DL2455" t="s">
        <v>120</v>
      </c>
      <c r="DM2455" t="s">
        <v>120</v>
      </c>
      <c r="DN2455" t="s">
        <v>120</v>
      </c>
    </row>
    <row r="2456" spans="1:118">
      <c r="A2456" t="str">
        <f>"600063"</f>
        <v>600063</v>
      </c>
      <c r="B2456" t="s">
        <v>11358</v>
      </c>
      <c r="C2456">
        <v>-1.24</v>
      </c>
      <c r="D2456">
        <v>-0.1</v>
      </c>
      <c r="E2456">
        <v>1.24</v>
      </c>
      <c r="F2456">
        <v>3746</v>
      </c>
      <c r="G2456" t="s">
        <v>11359</v>
      </c>
      <c r="H2456">
        <v>71422.39</v>
      </c>
      <c r="I2456">
        <v>483.66</v>
      </c>
      <c r="J2456" t="s">
        <v>120</v>
      </c>
      <c r="K2456" t="s">
        <v>11360</v>
      </c>
      <c r="L2456">
        <v>4.13</v>
      </c>
      <c r="M2456">
        <v>8.76</v>
      </c>
      <c r="N2456">
        <v>0.65</v>
      </c>
      <c r="O2456">
        <v>3.72</v>
      </c>
      <c r="P2456">
        <v>9.1999999999999993</v>
      </c>
      <c r="Q2456">
        <v>-1.58</v>
      </c>
      <c r="R2456">
        <v>8.73</v>
      </c>
      <c r="S2456">
        <v>8.98</v>
      </c>
      <c r="T2456">
        <v>796191</v>
      </c>
      <c r="U2456">
        <v>8.76</v>
      </c>
      <c r="V2456">
        <v>8.8699999999999992</v>
      </c>
      <c r="W2456">
        <v>17.59</v>
      </c>
      <c r="X2456" t="s">
        <v>623</v>
      </c>
      <c r="Y2456" t="s">
        <v>570</v>
      </c>
      <c r="Z2456">
        <v>5.3</v>
      </c>
      <c r="AA2456">
        <v>8.9700000000000006</v>
      </c>
      <c r="AB2456">
        <v>441608</v>
      </c>
      <c r="AC2456">
        <v>354583</v>
      </c>
      <c r="AD2456">
        <v>1.25</v>
      </c>
      <c r="AE2456">
        <v>309</v>
      </c>
      <c r="AF2456">
        <v>37</v>
      </c>
      <c r="AG2456" t="s">
        <v>120</v>
      </c>
      <c r="AH2456">
        <v>0.04</v>
      </c>
      <c r="AI2456" t="s">
        <v>120</v>
      </c>
      <c r="AJ2456">
        <v>19.260000000000002</v>
      </c>
      <c r="AK2456" t="s">
        <v>11360</v>
      </c>
      <c r="AL2456">
        <v>0.1</v>
      </c>
      <c r="AM2456">
        <v>4554</v>
      </c>
      <c r="AN2456">
        <v>175</v>
      </c>
      <c r="AO2456">
        <v>8.9999999999999998E-4</v>
      </c>
      <c r="AP2456">
        <v>-1</v>
      </c>
      <c r="AQ2456">
        <v>0</v>
      </c>
      <c r="AR2456">
        <v>-4.58</v>
      </c>
      <c r="AS2456">
        <v>55.32</v>
      </c>
      <c r="AT2456">
        <v>73.13</v>
      </c>
      <c r="AU2456">
        <v>146.07</v>
      </c>
      <c r="AV2456">
        <v>7</v>
      </c>
      <c r="AW2456">
        <v>5.97</v>
      </c>
      <c r="AX2456">
        <v>69.260000000000005</v>
      </c>
      <c r="AY2456">
        <v>19.43</v>
      </c>
      <c r="AZ2456">
        <v>27.95</v>
      </c>
      <c r="BA2456">
        <v>1.77</v>
      </c>
      <c r="BB2456" t="s">
        <v>143</v>
      </c>
      <c r="BF2456">
        <v>1.1299999999999999</v>
      </c>
      <c r="BG2456">
        <v>-2.4500000000000002</v>
      </c>
      <c r="BH2456">
        <v>-4.78</v>
      </c>
      <c r="BI2456">
        <v>0.34</v>
      </c>
      <c r="BJ2456">
        <v>20210812</v>
      </c>
      <c r="BK2456">
        <v>19970528</v>
      </c>
      <c r="BL2456">
        <v>19.260000000000002</v>
      </c>
      <c r="BM2456" t="s">
        <v>120</v>
      </c>
      <c r="BN2456" t="s">
        <v>120</v>
      </c>
      <c r="BO2456">
        <v>117.19</v>
      </c>
      <c r="BP2456">
        <v>8.75</v>
      </c>
      <c r="BQ2456">
        <v>58.56</v>
      </c>
      <c r="BR2456">
        <v>0.36</v>
      </c>
      <c r="BS2456">
        <v>49.72</v>
      </c>
      <c r="BT2456">
        <v>49.35</v>
      </c>
      <c r="BU2456">
        <v>39.409999999999997</v>
      </c>
      <c r="BV2456">
        <v>4.38</v>
      </c>
      <c r="BW2456">
        <v>49.2</v>
      </c>
      <c r="BX2456">
        <v>23.36</v>
      </c>
      <c r="BY2456">
        <v>7.47</v>
      </c>
      <c r="BZ2456">
        <v>3.48</v>
      </c>
      <c r="CA2456" t="s">
        <v>120</v>
      </c>
      <c r="CB2456">
        <v>15.99</v>
      </c>
      <c r="CC2456">
        <v>37.53</v>
      </c>
      <c r="CD2456">
        <v>28.46</v>
      </c>
      <c r="CE2456">
        <v>5.6</v>
      </c>
      <c r="CF2456">
        <v>0.2</v>
      </c>
      <c r="CG2456">
        <v>5.55</v>
      </c>
      <c r="CH2456">
        <v>4.8</v>
      </c>
      <c r="CI2456">
        <v>4.8</v>
      </c>
      <c r="CJ2456">
        <v>-0.11</v>
      </c>
      <c r="CK2456">
        <v>4.59</v>
      </c>
      <c r="CL2456">
        <v>14.64</v>
      </c>
      <c r="CM2456">
        <v>7.79</v>
      </c>
      <c r="CN2456">
        <v>3.72</v>
      </c>
      <c r="CO2456">
        <v>81784</v>
      </c>
      <c r="CP2456">
        <v>16310</v>
      </c>
      <c r="CQ2456" t="s">
        <v>11361</v>
      </c>
      <c r="CR2456">
        <v>126.69</v>
      </c>
      <c r="CS2456">
        <v>39.380000000000003</v>
      </c>
      <c r="CT2456">
        <v>2.88</v>
      </c>
      <c r="CU2456">
        <v>21.66</v>
      </c>
      <c r="CV2456">
        <v>4.49</v>
      </c>
      <c r="CW2456">
        <v>1.1299999999999999</v>
      </c>
      <c r="CX2456" t="s">
        <v>863</v>
      </c>
      <c r="CY2456">
        <v>3.04</v>
      </c>
      <c r="CZ2456">
        <v>0</v>
      </c>
      <c r="DA2456">
        <v>0.83</v>
      </c>
      <c r="DB2456">
        <v>0.76</v>
      </c>
      <c r="DC2456">
        <v>0.4</v>
      </c>
      <c r="DD2456">
        <v>49.97</v>
      </c>
      <c r="DE2456" t="s">
        <v>3352</v>
      </c>
      <c r="DF2456">
        <v>24.18</v>
      </c>
      <c r="DG2456">
        <v>14.92</v>
      </c>
      <c r="DH2456">
        <v>12.78</v>
      </c>
      <c r="DI2456">
        <v>1.54</v>
      </c>
      <c r="DJ2456">
        <v>4710</v>
      </c>
      <c r="DK2456">
        <v>600063</v>
      </c>
      <c r="DL2456">
        <v>20210907</v>
      </c>
      <c r="DM2456">
        <v>9.15</v>
      </c>
      <c r="DN2456">
        <v>-4.26</v>
      </c>
    </row>
    <row r="2457" spans="1:118">
      <c r="A2457" t="str">
        <f>"600064"</f>
        <v>600064</v>
      </c>
      <c r="B2457" t="s">
        <v>11362</v>
      </c>
      <c r="C2457">
        <v>-1.96</v>
      </c>
      <c r="D2457">
        <v>0.11</v>
      </c>
      <c r="E2457">
        <v>0.43</v>
      </c>
      <c r="F2457">
        <v>761</v>
      </c>
      <c r="G2457" t="s">
        <v>11363</v>
      </c>
      <c r="H2457">
        <v>5870.24</v>
      </c>
      <c r="I2457">
        <v>4.25</v>
      </c>
      <c r="J2457" t="s">
        <v>120</v>
      </c>
      <c r="K2457" t="s">
        <v>11364</v>
      </c>
      <c r="L2457">
        <v>0.52</v>
      </c>
      <c r="M2457">
        <v>9.02</v>
      </c>
      <c r="N2457">
        <v>0.75</v>
      </c>
      <c r="O2457">
        <v>0.87</v>
      </c>
      <c r="P2457">
        <v>9.2799999999999994</v>
      </c>
      <c r="Q2457">
        <v>-2.17</v>
      </c>
      <c r="R2457">
        <v>9</v>
      </c>
      <c r="S2457">
        <v>9.24</v>
      </c>
      <c r="T2457">
        <v>64262</v>
      </c>
      <c r="U2457">
        <v>9.02</v>
      </c>
      <c r="V2457">
        <v>9.1999999999999993</v>
      </c>
      <c r="W2457">
        <v>3.89</v>
      </c>
      <c r="X2457" t="s">
        <v>1384</v>
      </c>
      <c r="Y2457" t="s">
        <v>319</v>
      </c>
      <c r="Z2457">
        <v>3.04</v>
      </c>
      <c r="AA2457">
        <v>9.1300000000000008</v>
      </c>
      <c r="AB2457">
        <v>38617</v>
      </c>
      <c r="AC2457">
        <v>25645</v>
      </c>
      <c r="AD2457">
        <v>1.51</v>
      </c>
      <c r="AE2457">
        <v>185</v>
      </c>
      <c r="AF2457">
        <v>134</v>
      </c>
      <c r="AG2457" t="s">
        <v>120</v>
      </c>
      <c r="AH2457">
        <v>0</v>
      </c>
      <c r="AI2457" t="s">
        <v>120</v>
      </c>
      <c r="AJ2457">
        <v>12.36</v>
      </c>
      <c r="AK2457" t="s">
        <v>11364</v>
      </c>
      <c r="AL2457">
        <v>-0.61</v>
      </c>
      <c r="AM2457">
        <v>2367</v>
      </c>
      <c r="AN2457">
        <v>27</v>
      </c>
      <c r="AO2457">
        <v>2.0000000000000001E-4</v>
      </c>
      <c r="AP2457">
        <v>-1</v>
      </c>
      <c r="AQ2457">
        <v>0.44</v>
      </c>
      <c r="AR2457">
        <v>-4.04</v>
      </c>
      <c r="AS2457">
        <v>5.49</v>
      </c>
      <c r="AT2457">
        <v>-5.54</v>
      </c>
      <c r="AU2457">
        <v>-7.67</v>
      </c>
      <c r="AV2457">
        <v>0</v>
      </c>
      <c r="AW2457">
        <v>0.8</v>
      </c>
      <c r="AX2457">
        <v>65.260000000000005</v>
      </c>
      <c r="AY2457">
        <v>5.61</v>
      </c>
      <c r="AZ2457">
        <v>5.64</v>
      </c>
      <c r="BA2457">
        <v>0.45</v>
      </c>
      <c r="BB2457" t="s">
        <v>143</v>
      </c>
      <c r="BF2457">
        <v>-0.71</v>
      </c>
      <c r="BG2457">
        <v>-2.38</v>
      </c>
      <c r="BH2457">
        <v>-2.8</v>
      </c>
      <c r="BI2457">
        <v>0.22</v>
      </c>
      <c r="BJ2457">
        <v>20210821</v>
      </c>
      <c r="BK2457">
        <v>19970506</v>
      </c>
      <c r="BL2457">
        <v>12.36</v>
      </c>
      <c r="BM2457" t="s">
        <v>120</v>
      </c>
      <c r="BN2457" t="s">
        <v>120</v>
      </c>
      <c r="BO2457">
        <v>323.42</v>
      </c>
      <c r="BP2457">
        <v>9.01</v>
      </c>
      <c r="BQ2457">
        <v>140.82</v>
      </c>
      <c r="BR2457">
        <v>9.06</v>
      </c>
      <c r="BS2457">
        <v>53.66</v>
      </c>
      <c r="BT2457">
        <v>174.37</v>
      </c>
      <c r="BU2457">
        <v>3.05</v>
      </c>
      <c r="BV2457">
        <v>0.55000000000000004</v>
      </c>
      <c r="BW2457">
        <v>155.26</v>
      </c>
      <c r="BX2457">
        <v>10.62</v>
      </c>
      <c r="BY2457">
        <v>107.35</v>
      </c>
      <c r="BZ2457">
        <v>4.4800000000000004</v>
      </c>
      <c r="CA2457" t="s">
        <v>120</v>
      </c>
      <c r="CB2457">
        <v>1.23</v>
      </c>
      <c r="CC2457">
        <v>36.18</v>
      </c>
      <c r="CD2457">
        <v>28.69</v>
      </c>
      <c r="CE2457">
        <v>16.73</v>
      </c>
      <c r="CF2457">
        <v>11.23</v>
      </c>
      <c r="CG2457">
        <v>16.73</v>
      </c>
      <c r="CH2457">
        <v>14.83</v>
      </c>
      <c r="CI2457">
        <v>14.33</v>
      </c>
      <c r="CJ2457">
        <v>-0.18</v>
      </c>
      <c r="CK2457">
        <v>12.58</v>
      </c>
      <c r="CL2457">
        <v>113.44</v>
      </c>
      <c r="CM2457">
        <v>-4.96</v>
      </c>
      <c r="CN2457">
        <v>-3.37</v>
      </c>
      <c r="CO2457">
        <v>48427</v>
      </c>
      <c r="CP2457">
        <v>16656</v>
      </c>
      <c r="CQ2457" t="s">
        <v>2102</v>
      </c>
      <c r="CR2457">
        <v>0.68</v>
      </c>
      <c r="CS2457">
        <v>70.14</v>
      </c>
      <c r="CT2457">
        <v>0.79</v>
      </c>
      <c r="CU2457">
        <v>-22.46</v>
      </c>
      <c r="CV2457">
        <v>3.08</v>
      </c>
      <c r="CW2457">
        <v>5.43</v>
      </c>
      <c r="CX2457" t="s">
        <v>9730</v>
      </c>
      <c r="CY2457">
        <v>11.39</v>
      </c>
      <c r="CZ2457">
        <v>0</v>
      </c>
      <c r="DA2457">
        <v>0.1</v>
      </c>
      <c r="DB2457">
        <v>9.18</v>
      </c>
      <c r="DC2457">
        <v>-0.4</v>
      </c>
      <c r="DD2457">
        <v>43.54</v>
      </c>
      <c r="DE2457" t="s">
        <v>11365</v>
      </c>
      <c r="DF2457">
        <v>20.71</v>
      </c>
      <c r="DG2457">
        <v>46.24</v>
      </c>
      <c r="DH2457">
        <v>39.61</v>
      </c>
      <c r="DI2457">
        <v>0.1</v>
      </c>
      <c r="DJ2457">
        <v>826</v>
      </c>
      <c r="DK2457">
        <v>600064</v>
      </c>
      <c r="DL2457" t="s">
        <v>120</v>
      </c>
      <c r="DM2457" t="s">
        <v>120</v>
      </c>
      <c r="DN2457" t="s">
        <v>120</v>
      </c>
    </row>
    <row r="2458" spans="1:118">
      <c r="A2458" t="str">
        <f>"600066"</f>
        <v>600066</v>
      </c>
      <c r="B2458" t="s">
        <v>11366</v>
      </c>
      <c r="C2458">
        <v>-0.7</v>
      </c>
      <c r="D2458">
        <v>0</v>
      </c>
      <c r="E2458">
        <v>-0.09</v>
      </c>
      <c r="F2458">
        <v>3195</v>
      </c>
      <c r="G2458" t="s">
        <v>11367</v>
      </c>
      <c r="H2458">
        <v>21668.57</v>
      </c>
      <c r="I2458">
        <v>92.97</v>
      </c>
      <c r="J2458" t="s">
        <v>120</v>
      </c>
      <c r="K2458" t="s">
        <v>11368</v>
      </c>
      <c r="L2458">
        <v>0.86</v>
      </c>
      <c r="M2458">
        <v>11.31</v>
      </c>
      <c r="N2458">
        <v>0.74</v>
      </c>
      <c r="O2458">
        <v>0.79</v>
      </c>
      <c r="P2458">
        <v>11.48</v>
      </c>
      <c r="Q2458">
        <v>-1.1399999999999999</v>
      </c>
      <c r="R2458">
        <v>11.26</v>
      </c>
      <c r="S2458">
        <v>11.38</v>
      </c>
      <c r="T2458">
        <v>191120</v>
      </c>
      <c r="U2458">
        <v>11.32</v>
      </c>
      <c r="V2458">
        <v>11.39</v>
      </c>
      <c r="W2458">
        <v>88.29</v>
      </c>
      <c r="X2458" t="s">
        <v>1068</v>
      </c>
      <c r="Y2458" t="s">
        <v>645</v>
      </c>
      <c r="Z2458">
        <v>1.93</v>
      </c>
      <c r="AA2458">
        <v>11.34</v>
      </c>
      <c r="AB2458">
        <v>128844</v>
      </c>
      <c r="AC2458">
        <v>62276</v>
      </c>
      <c r="AD2458">
        <v>2.0699999999999998</v>
      </c>
      <c r="AE2458">
        <v>1768</v>
      </c>
      <c r="AF2458">
        <v>387</v>
      </c>
      <c r="AG2458" t="s">
        <v>120</v>
      </c>
      <c r="AH2458">
        <v>0.01</v>
      </c>
      <c r="AI2458" t="s">
        <v>120</v>
      </c>
      <c r="AJ2458">
        <v>22.14</v>
      </c>
      <c r="AK2458" t="s">
        <v>11369</v>
      </c>
      <c r="AL2458">
        <v>0.64</v>
      </c>
      <c r="AM2458">
        <v>4442</v>
      </c>
      <c r="AN2458">
        <v>43</v>
      </c>
      <c r="AO2458">
        <v>2.0000000000000001E-4</v>
      </c>
      <c r="AP2458">
        <v>-5</v>
      </c>
      <c r="AQ2458">
        <v>-0.7</v>
      </c>
      <c r="AR2458">
        <v>-3.59</v>
      </c>
      <c r="AS2458">
        <v>-4.07</v>
      </c>
      <c r="AT2458">
        <v>-10.8</v>
      </c>
      <c r="AU2458">
        <v>-31.12</v>
      </c>
      <c r="AV2458">
        <v>5</v>
      </c>
      <c r="AW2458">
        <v>1.47</v>
      </c>
      <c r="AX2458">
        <v>57.59</v>
      </c>
      <c r="AY2458">
        <v>43.11</v>
      </c>
      <c r="AZ2458">
        <v>49.95</v>
      </c>
      <c r="BA2458">
        <v>0.86</v>
      </c>
      <c r="BB2458" t="s">
        <v>143</v>
      </c>
      <c r="BF2458">
        <v>-0.46</v>
      </c>
      <c r="BG2458">
        <v>-0.62</v>
      </c>
      <c r="BH2458">
        <v>-1.48</v>
      </c>
      <c r="BI2458">
        <v>0.44</v>
      </c>
      <c r="BJ2458">
        <v>20210824</v>
      </c>
      <c r="BK2458">
        <v>19970508</v>
      </c>
      <c r="BL2458">
        <v>22.63</v>
      </c>
      <c r="BM2458" t="s">
        <v>120</v>
      </c>
      <c r="BN2458" t="s">
        <v>120</v>
      </c>
      <c r="BO2458">
        <v>334.71</v>
      </c>
      <c r="BP2458">
        <v>11.31</v>
      </c>
      <c r="BQ2458">
        <v>144.88</v>
      </c>
      <c r="BR2458">
        <v>1.1000000000000001</v>
      </c>
      <c r="BS2458">
        <v>56.39</v>
      </c>
      <c r="BT2458">
        <v>228.85</v>
      </c>
      <c r="BU2458">
        <v>41.39</v>
      </c>
      <c r="BV2458">
        <v>12.25</v>
      </c>
      <c r="BW2458">
        <v>160.69</v>
      </c>
      <c r="BX2458">
        <v>48.64</v>
      </c>
      <c r="BY2458">
        <v>53.34</v>
      </c>
      <c r="BZ2458">
        <v>72.62</v>
      </c>
      <c r="CA2458">
        <v>0.02</v>
      </c>
      <c r="CB2458">
        <v>16.47</v>
      </c>
      <c r="CC2458">
        <v>98.06</v>
      </c>
      <c r="CD2458">
        <v>82.97</v>
      </c>
      <c r="CE2458">
        <v>0.66</v>
      </c>
      <c r="CF2458">
        <v>0.99</v>
      </c>
      <c r="CG2458">
        <v>0.85</v>
      </c>
      <c r="CH2458">
        <v>1.45</v>
      </c>
      <c r="CI2458">
        <v>1.45</v>
      </c>
      <c r="CJ2458">
        <v>-0.08</v>
      </c>
      <c r="CK2458">
        <v>-0.99</v>
      </c>
      <c r="CL2458">
        <v>74.37</v>
      </c>
      <c r="CM2458">
        <v>21.75</v>
      </c>
      <c r="CN2458">
        <v>-12.08</v>
      </c>
      <c r="CO2458">
        <v>83439</v>
      </c>
      <c r="CP2458">
        <v>15619</v>
      </c>
      <c r="CQ2458" t="s">
        <v>3473</v>
      </c>
      <c r="CR2458">
        <v>130.01</v>
      </c>
      <c r="CS2458">
        <v>28.83</v>
      </c>
      <c r="CT2458">
        <v>1.77</v>
      </c>
      <c r="CU2458">
        <v>11.77</v>
      </c>
      <c r="CV2458">
        <v>2.61</v>
      </c>
      <c r="CW2458">
        <v>4.3899999999999997</v>
      </c>
      <c r="CX2458" t="s">
        <v>1248</v>
      </c>
      <c r="CY2458">
        <v>6.4</v>
      </c>
      <c r="CZ2458">
        <v>0</v>
      </c>
      <c r="DA2458">
        <v>0.73</v>
      </c>
      <c r="DB2458">
        <v>3.29</v>
      </c>
      <c r="DC2458">
        <v>0.96</v>
      </c>
      <c r="DD2458">
        <v>43.28</v>
      </c>
      <c r="DE2458" t="s">
        <v>1302</v>
      </c>
      <c r="DF2458">
        <v>15.39</v>
      </c>
      <c r="DG2458">
        <v>0.67</v>
      </c>
      <c r="DH2458">
        <v>1.48</v>
      </c>
      <c r="DI2458">
        <v>6.3</v>
      </c>
      <c r="DJ2458">
        <v>15448</v>
      </c>
      <c r="DK2458">
        <v>600066</v>
      </c>
      <c r="DL2458" t="s">
        <v>120</v>
      </c>
      <c r="DM2458" t="s">
        <v>120</v>
      </c>
      <c r="DN2458" t="s">
        <v>120</v>
      </c>
    </row>
    <row r="2459" spans="1:118">
      <c r="A2459" t="str">
        <f>"600067"</f>
        <v>600067</v>
      </c>
      <c r="B2459" t="s">
        <v>11370</v>
      </c>
      <c r="C2459">
        <v>-3.33</v>
      </c>
      <c r="D2459">
        <v>-0.39</v>
      </c>
      <c r="E2459">
        <v>0</v>
      </c>
      <c r="F2459">
        <v>6676</v>
      </c>
      <c r="G2459" t="s">
        <v>11371</v>
      </c>
      <c r="H2459">
        <v>32324.67</v>
      </c>
      <c r="I2459">
        <v>450.84</v>
      </c>
      <c r="J2459" t="s">
        <v>120</v>
      </c>
      <c r="K2459" t="s">
        <v>8548</v>
      </c>
      <c r="L2459">
        <v>4.2699999999999996</v>
      </c>
      <c r="M2459">
        <v>4.93</v>
      </c>
      <c r="N2459">
        <v>0.81</v>
      </c>
      <c r="O2459">
        <v>2.94</v>
      </c>
      <c r="P2459">
        <v>5.25</v>
      </c>
      <c r="Q2459">
        <v>-3.92</v>
      </c>
      <c r="R2459">
        <v>4.9000000000000004</v>
      </c>
      <c r="S2459">
        <v>5.0999999999999996</v>
      </c>
      <c r="T2459">
        <v>637177</v>
      </c>
      <c r="U2459">
        <v>4.9400000000000004</v>
      </c>
      <c r="V2459">
        <v>5.0999999999999996</v>
      </c>
      <c r="W2459">
        <v>50.75</v>
      </c>
      <c r="X2459" t="s">
        <v>132</v>
      </c>
      <c r="Y2459" t="s">
        <v>937</v>
      </c>
      <c r="Z2459">
        <v>6.86</v>
      </c>
      <c r="AA2459">
        <v>5.07</v>
      </c>
      <c r="AB2459">
        <v>378875</v>
      </c>
      <c r="AC2459">
        <v>258302</v>
      </c>
      <c r="AD2459">
        <v>1.47</v>
      </c>
      <c r="AE2459">
        <v>105</v>
      </c>
      <c r="AF2459">
        <v>308</v>
      </c>
      <c r="AG2459" t="s">
        <v>120</v>
      </c>
      <c r="AH2459">
        <v>0.1</v>
      </c>
      <c r="AI2459" t="s">
        <v>120</v>
      </c>
      <c r="AJ2459">
        <v>14.92</v>
      </c>
      <c r="AK2459" t="s">
        <v>8548</v>
      </c>
      <c r="AL2459">
        <v>-1.99</v>
      </c>
      <c r="AM2459">
        <v>3799</v>
      </c>
      <c r="AN2459">
        <v>168</v>
      </c>
      <c r="AO2459">
        <v>1.1000000000000001E-3</v>
      </c>
      <c r="AP2459">
        <v>-1</v>
      </c>
      <c r="AQ2459">
        <v>6.25</v>
      </c>
      <c r="AR2459">
        <v>-0.4</v>
      </c>
      <c r="AS2459">
        <v>26.08</v>
      </c>
      <c r="AT2459">
        <v>48.04</v>
      </c>
      <c r="AU2459">
        <v>37.71</v>
      </c>
      <c r="AV2459">
        <v>4</v>
      </c>
      <c r="AW2459">
        <v>7.45</v>
      </c>
      <c r="AX2459">
        <v>57.28</v>
      </c>
      <c r="AY2459">
        <v>15.13</v>
      </c>
      <c r="AZ2459">
        <v>24.36</v>
      </c>
      <c r="BA2459">
        <v>1.1100000000000001</v>
      </c>
      <c r="BB2459" t="s">
        <v>184</v>
      </c>
      <c r="BF2459">
        <v>-0.53</v>
      </c>
      <c r="BG2459">
        <v>-3.33</v>
      </c>
      <c r="BH2459">
        <v>-6.1</v>
      </c>
      <c r="BI2459">
        <v>0.61</v>
      </c>
      <c r="BJ2459">
        <v>20210830</v>
      </c>
      <c r="BK2459">
        <v>19970508</v>
      </c>
      <c r="BL2459">
        <v>14.92</v>
      </c>
      <c r="BM2459" t="s">
        <v>120</v>
      </c>
      <c r="BN2459" t="s">
        <v>120</v>
      </c>
      <c r="BO2459">
        <v>251.24</v>
      </c>
      <c r="BP2459">
        <v>4.93</v>
      </c>
      <c r="BQ2459">
        <v>80.12</v>
      </c>
      <c r="BR2459">
        <v>12.71</v>
      </c>
      <c r="BS2459">
        <v>63.05</v>
      </c>
      <c r="BT2459">
        <v>197.06</v>
      </c>
      <c r="BU2459">
        <v>12.7</v>
      </c>
      <c r="BV2459">
        <v>4.3499999999999996</v>
      </c>
      <c r="BW2459">
        <v>106.05</v>
      </c>
      <c r="BX2459">
        <v>11.03</v>
      </c>
      <c r="BY2459">
        <v>155.61000000000001</v>
      </c>
      <c r="BZ2459">
        <v>11.45</v>
      </c>
      <c r="CA2459">
        <v>0.79</v>
      </c>
      <c r="CB2459">
        <v>13.61</v>
      </c>
      <c r="CC2459">
        <v>44.28</v>
      </c>
      <c r="CD2459">
        <v>37.229999999999997</v>
      </c>
      <c r="CE2459">
        <v>1.88</v>
      </c>
      <c r="CF2459">
        <v>1.08</v>
      </c>
      <c r="CG2459">
        <v>1.88</v>
      </c>
      <c r="CH2459">
        <v>1.04</v>
      </c>
      <c r="CI2459">
        <v>0.72</v>
      </c>
      <c r="CJ2459">
        <v>-0.17</v>
      </c>
      <c r="CK2459">
        <v>-0.21</v>
      </c>
      <c r="CL2459">
        <v>51.2</v>
      </c>
      <c r="CM2459">
        <v>0.04</v>
      </c>
      <c r="CN2459">
        <v>1.91</v>
      </c>
      <c r="CO2459">
        <v>48318</v>
      </c>
      <c r="CP2459">
        <v>17689</v>
      </c>
      <c r="CQ2459" t="s">
        <v>3150</v>
      </c>
      <c r="CR2459">
        <v>161.41999999999999</v>
      </c>
      <c r="CS2459">
        <v>88.99</v>
      </c>
      <c r="CT2459">
        <v>0.92</v>
      </c>
      <c r="CU2459">
        <v>1789.37</v>
      </c>
      <c r="CV2459">
        <v>1.66</v>
      </c>
      <c r="CW2459">
        <v>1.28</v>
      </c>
      <c r="CX2459" t="s">
        <v>1248</v>
      </c>
      <c r="CY2459">
        <v>5.37</v>
      </c>
      <c r="CZ2459">
        <v>0</v>
      </c>
      <c r="DA2459">
        <v>0.91</v>
      </c>
      <c r="DB2459">
        <v>3.43</v>
      </c>
      <c r="DC2459">
        <v>0</v>
      </c>
      <c r="DD2459">
        <v>31.89</v>
      </c>
      <c r="DE2459" t="s">
        <v>3883</v>
      </c>
      <c r="DF2459">
        <v>15.91</v>
      </c>
      <c r="DG2459">
        <v>4.24</v>
      </c>
      <c r="DH2459">
        <v>1.64</v>
      </c>
      <c r="DI2459">
        <v>0.76</v>
      </c>
      <c r="DJ2459">
        <v>1186</v>
      </c>
      <c r="DK2459">
        <v>600067</v>
      </c>
      <c r="DL2459" t="s">
        <v>120</v>
      </c>
      <c r="DM2459" t="s">
        <v>120</v>
      </c>
      <c r="DN2459" t="s">
        <v>120</v>
      </c>
    </row>
    <row r="2460" spans="1:118">
      <c r="A2460" t="str">
        <f>"600068"</f>
        <v>600068</v>
      </c>
      <c r="B2460" t="s">
        <v>11372</v>
      </c>
      <c r="C2460">
        <v>0</v>
      </c>
      <c r="D2460">
        <v>0</v>
      </c>
      <c r="E2460" t="s">
        <v>120</v>
      </c>
      <c r="F2460">
        <v>0</v>
      </c>
      <c r="G2460" t="s">
        <v>120</v>
      </c>
      <c r="H2460">
        <v>0</v>
      </c>
      <c r="I2460">
        <v>0</v>
      </c>
      <c r="J2460" t="s">
        <v>120</v>
      </c>
      <c r="K2460" t="s">
        <v>11373</v>
      </c>
      <c r="L2460" t="s">
        <v>120</v>
      </c>
      <c r="M2460">
        <v>9.93</v>
      </c>
      <c r="N2460">
        <v>0</v>
      </c>
      <c r="O2460" t="s">
        <v>120</v>
      </c>
      <c r="P2460" t="s">
        <v>120</v>
      </c>
      <c r="Q2460" t="s">
        <v>120</v>
      </c>
      <c r="R2460" t="s">
        <v>120</v>
      </c>
      <c r="S2460" t="s">
        <v>120</v>
      </c>
      <c r="T2460">
        <v>0</v>
      </c>
      <c r="U2460" t="s">
        <v>120</v>
      </c>
      <c r="V2460">
        <v>9.93</v>
      </c>
      <c r="W2460">
        <v>14.48</v>
      </c>
      <c r="Y2460" t="s">
        <v>763</v>
      </c>
      <c r="Z2460">
        <v>0</v>
      </c>
      <c r="AA2460">
        <v>9.93</v>
      </c>
      <c r="AB2460">
        <v>0</v>
      </c>
      <c r="AC2460">
        <v>0</v>
      </c>
      <c r="AD2460" t="s">
        <v>120</v>
      </c>
      <c r="AE2460">
        <v>0</v>
      </c>
      <c r="AF2460">
        <v>0</v>
      </c>
      <c r="AG2460" t="s">
        <v>120</v>
      </c>
      <c r="AH2460" t="s">
        <v>120</v>
      </c>
      <c r="AI2460" t="s">
        <v>120</v>
      </c>
      <c r="AJ2460">
        <v>46.05</v>
      </c>
      <c r="AK2460" t="s">
        <v>11373</v>
      </c>
      <c r="AL2460">
        <v>1.34</v>
      </c>
      <c r="AM2460">
        <v>1</v>
      </c>
      <c r="AN2460">
        <v>0</v>
      </c>
      <c r="AO2460">
        <v>0</v>
      </c>
      <c r="AP2460" t="s">
        <v>120</v>
      </c>
      <c r="AQ2460" t="s">
        <v>120</v>
      </c>
      <c r="AR2460" t="s">
        <v>120</v>
      </c>
      <c r="AS2460" t="s">
        <v>120</v>
      </c>
      <c r="AT2460" t="s">
        <v>120</v>
      </c>
      <c r="AU2460" t="s">
        <v>120</v>
      </c>
      <c r="AV2460">
        <v>0</v>
      </c>
      <c r="AW2460" t="s">
        <v>120</v>
      </c>
      <c r="AX2460" t="s">
        <v>120</v>
      </c>
      <c r="AY2460" t="s">
        <v>120</v>
      </c>
      <c r="AZ2460" t="s">
        <v>120</v>
      </c>
      <c r="BA2460" t="s">
        <v>120</v>
      </c>
      <c r="BB2460" t="s">
        <v>143</v>
      </c>
      <c r="BF2460">
        <v>0</v>
      </c>
      <c r="BG2460" t="s">
        <v>120</v>
      </c>
      <c r="BH2460" t="s">
        <v>120</v>
      </c>
      <c r="BI2460" t="s">
        <v>120</v>
      </c>
      <c r="BJ2460">
        <v>20210830</v>
      </c>
      <c r="BK2460">
        <v>19970526</v>
      </c>
      <c r="BL2460">
        <v>46.05</v>
      </c>
      <c r="BM2460" t="s">
        <v>120</v>
      </c>
      <c r="BN2460" t="s">
        <v>120</v>
      </c>
      <c r="BO2460">
        <v>2697.99</v>
      </c>
      <c r="BQ2460">
        <v>708.5</v>
      </c>
      <c r="BR2460">
        <v>163.78</v>
      </c>
      <c r="BS2460">
        <v>67.67</v>
      </c>
      <c r="BT2460">
        <v>1447.78</v>
      </c>
      <c r="BU2460">
        <v>178.75</v>
      </c>
      <c r="BV2460">
        <v>425.24</v>
      </c>
      <c r="BW2460">
        <v>1204.43</v>
      </c>
      <c r="BX2460" t="s">
        <v>120</v>
      </c>
      <c r="BY2460">
        <v>525.54999999999995</v>
      </c>
      <c r="BZ2460">
        <v>134.58000000000001</v>
      </c>
      <c r="CA2460" t="s">
        <v>120</v>
      </c>
      <c r="CB2460">
        <v>77.3</v>
      </c>
      <c r="CC2460">
        <v>543.79</v>
      </c>
      <c r="CD2460">
        <v>452.51</v>
      </c>
      <c r="CE2460">
        <v>32.07</v>
      </c>
      <c r="CF2460">
        <v>-0.96</v>
      </c>
      <c r="CG2460">
        <v>31.72</v>
      </c>
      <c r="CH2460">
        <v>21.98</v>
      </c>
      <c r="CI2460">
        <v>15.79</v>
      </c>
      <c r="CJ2460">
        <v>0</v>
      </c>
      <c r="CK2460" t="s">
        <v>120</v>
      </c>
      <c r="CL2460">
        <v>197.18</v>
      </c>
      <c r="CM2460">
        <v>-28.22</v>
      </c>
      <c r="CN2460">
        <v>-64.150000000000006</v>
      </c>
      <c r="CO2460">
        <v>208051</v>
      </c>
      <c r="CP2460" t="s">
        <v>120</v>
      </c>
      <c r="CQ2460" t="s">
        <v>120</v>
      </c>
      <c r="CR2460">
        <v>36.18</v>
      </c>
      <c r="CS2460">
        <v>25.07</v>
      </c>
      <c r="CT2460">
        <v>1.33</v>
      </c>
      <c r="CU2460">
        <v>-16.21</v>
      </c>
      <c r="CV2460">
        <v>0.84</v>
      </c>
      <c r="CW2460">
        <v>0</v>
      </c>
      <c r="CX2460" t="s">
        <v>492</v>
      </c>
      <c r="CY2460">
        <v>7.46</v>
      </c>
      <c r="CZ2460">
        <v>7.46</v>
      </c>
      <c r="DA2460">
        <v>1.68</v>
      </c>
      <c r="DB2460">
        <v>4.28</v>
      </c>
      <c r="DC2460">
        <v>-0.61</v>
      </c>
      <c r="DD2460">
        <v>26.26</v>
      </c>
      <c r="DE2460" t="s">
        <v>11374</v>
      </c>
      <c r="DF2460">
        <v>16.79</v>
      </c>
      <c r="DG2460">
        <v>5.9</v>
      </c>
      <c r="DH2460">
        <v>2.9</v>
      </c>
      <c r="DI2460" t="s">
        <v>120</v>
      </c>
      <c r="DJ2460" t="s">
        <v>120</v>
      </c>
      <c r="DK2460">
        <v>600068</v>
      </c>
      <c r="DL2460" t="s">
        <v>120</v>
      </c>
      <c r="DM2460" t="s">
        <v>120</v>
      </c>
      <c r="DN2460" t="s">
        <v>120</v>
      </c>
    </row>
    <row r="2461" spans="1:118">
      <c r="A2461" t="str">
        <f>"600070"</f>
        <v>600070</v>
      </c>
      <c r="B2461" t="s">
        <v>11375</v>
      </c>
      <c r="C2461">
        <v>-0.65</v>
      </c>
      <c r="D2461">
        <v>0</v>
      </c>
      <c r="E2461">
        <v>0</v>
      </c>
      <c r="F2461">
        <v>1906</v>
      </c>
      <c r="G2461" t="s">
        <v>6110</v>
      </c>
      <c r="H2461">
        <v>5971.96</v>
      </c>
      <c r="I2461">
        <v>20.59</v>
      </c>
      <c r="J2461" t="s">
        <v>120</v>
      </c>
      <c r="K2461" t="s">
        <v>11023</v>
      </c>
      <c r="L2461">
        <v>1.52</v>
      </c>
      <c r="M2461">
        <v>7.69</v>
      </c>
      <c r="N2461">
        <v>1.1599999999999999</v>
      </c>
      <c r="O2461">
        <v>1.55</v>
      </c>
      <c r="P2461">
        <v>7.86</v>
      </c>
      <c r="Q2461">
        <v>-1.55</v>
      </c>
      <c r="R2461">
        <v>7.62</v>
      </c>
      <c r="S2461">
        <v>7.74</v>
      </c>
      <c r="T2461">
        <v>77122</v>
      </c>
      <c r="U2461">
        <v>7.69</v>
      </c>
      <c r="V2461">
        <v>7.74</v>
      </c>
      <c r="W2461" t="s">
        <v>120</v>
      </c>
      <c r="X2461" t="s">
        <v>1531</v>
      </c>
      <c r="Y2461" t="s">
        <v>585</v>
      </c>
      <c r="Z2461">
        <v>3.1</v>
      </c>
      <c r="AA2461">
        <v>7.74</v>
      </c>
      <c r="AB2461">
        <v>42898</v>
      </c>
      <c r="AC2461">
        <v>34224</v>
      </c>
      <c r="AD2461">
        <v>1.25</v>
      </c>
      <c r="AE2461">
        <v>3031</v>
      </c>
      <c r="AF2461">
        <v>73</v>
      </c>
      <c r="AG2461" t="s">
        <v>120</v>
      </c>
      <c r="AH2461">
        <v>0.01</v>
      </c>
      <c r="AI2461" t="s">
        <v>120</v>
      </c>
      <c r="AJ2461">
        <v>5.07</v>
      </c>
      <c r="AK2461" t="s">
        <v>8158</v>
      </c>
      <c r="AL2461">
        <v>0.7</v>
      </c>
      <c r="AM2461">
        <v>1724</v>
      </c>
      <c r="AN2461">
        <v>45</v>
      </c>
      <c r="AO2461">
        <v>8.9999999999999998E-4</v>
      </c>
      <c r="AP2461">
        <v>-1</v>
      </c>
      <c r="AQ2461">
        <v>3.48</v>
      </c>
      <c r="AR2461">
        <v>4.63</v>
      </c>
      <c r="AS2461">
        <v>-4.59</v>
      </c>
      <c r="AT2461">
        <v>-9.65</v>
      </c>
      <c r="AU2461">
        <v>-9</v>
      </c>
      <c r="AV2461">
        <v>5</v>
      </c>
      <c r="AW2461">
        <v>2.0299999999999998</v>
      </c>
      <c r="AX2461">
        <v>72.84</v>
      </c>
      <c r="AY2461" t="s">
        <v>120</v>
      </c>
      <c r="AZ2461" t="s">
        <v>120</v>
      </c>
      <c r="BA2461">
        <v>0.78</v>
      </c>
      <c r="BB2461" t="s">
        <v>143</v>
      </c>
      <c r="BF2461">
        <v>0.05</v>
      </c>
      <c r="BG2461">
        <v>-0.65</v>
      </c>
      <c r="BH2461">
        <v>-2.16</v>
      </c>
      <c r="BI2461">
        <v>0.92</v>
      </c>
      <c r="BJ2461">
        <v>20210821</v>
      </c>
      <c r="BK2461">
        <v>19970604</v>
      </c>
      <c r="BL2461">
        <v>5.22</v>
      </c>
      <c r="BM2461" t="s">
        <v>120</v>
      </c>
      <c r="BN2461" t="s">
        <v>120</v>
      </c>
      <c r="BO2461">
        <v>35.97</v>
      </c>
      <c r="BP2461">
        <v>7.68</v>
      </c>
      <c r="BQ2461">
        <v>23.64</v>
      </c>
      <c r="BR2461">
        <v>-0.03</v>
      </c>
      <c r="BS2461">
        <v>34.369999999999997</v>
      </c>
      <c r="BT2461">
        <v>25.08</v>
      </c>
      <c r="BU2461">
        <v>1.26</v>
      </c>
      <c r="BV2461">
        <v>0.98</v>
      </c>
      <c r="BW2461">
        <v>10.41</v>
      </c>
      <c r="BX2461">
        <v>3.33</v>
      </c>
      <c r="BY2461">
        <v>0.13</v>
      </c>
      <c r="BZ2461">
        <v>11.67</v>
      </c>
      <c r="CA2461">
        <v>0.08</v>
      </c>
      <c r="CB2461">
        <v>11.16</v>
      </c>
      <c r="CC2461">
        <v>8.69</v>
      </c>
      <c r="CD2461">
        <v>7.73</v>
      </c>
      <c r="CE2461">
        <v>-0.27</v>
      </c>
      <c r="CF2461">
        <v>0.2</v>
      </c>
      <c r="CG2461">
        <v>-0.27</v>
      </c>
      <c r="CH2461">
        <v>-0.12</v>
      </c>
      <c r="CI2461">
        <v>-0.1</v>
      </c>
      <c r="CJ2461">
        <v>-0.05</v>
      </c>
      <c r="CK2461">
        <v>0.2</v>
      </c>
      <c r="CL2461">
        <v>6.64</v>
      </c>
      <c r="CM2461">
        <v>-1.38</v>
      </c>
      <c r="CN2461">
        <v>-0.28000000000000003</v>
      </c>
      <c r="CO2461">
        <v>42876</v>
      </c>
      <c r="CP2461">
        <v>8867</v>
      </c>
      <c r="CQ2461" t="s">
        <v>8454</v>
      </c>
      <c r="CR2461">
        <v>-103.57</v>
      </c>
      <c r="CS2461">
        <v>-33.03</v>
      </c>
      <c r="CT2461">
        <v>1.7</v>
      </c>
      <c r="CU2461">
        <v>-29.12</v>
      </c>
      <c r="CV2461">
        <v>4.62</v>
      </c>
      <c r="CW2461">
        <v>0.63</v>
      </c>
      <c r="CX2461" t="s">
        <v>419</v>
      </c>
      <c r="CY2461">
        <v>4.53</v>
      </c>
      <c r="CZ2461">
        <v>0</v>
      </c>
      <c r="DA2461">
        <v>2.14</v>
      </c>
      <c r="DB2461">
        <v>1.27</v>
      </c>
      <c r="DC2461">
        <v>-0.26</v>
      </c>
      <c r="DD2461">
        <v>65.72</v>
      </c>
      <c r="DE2461" t="s">
        <v>11376</v>
      </c>
      <c r="DF2461">
        <v>11.13</v>
      </c>
      <c r="DG2461">
        <v>-3.13</v>
      </c>
      <c r="DH2461">
        <v>-1.1100000000000001</v>
      </c>
      <c r="DI2461">
        <v>0.25</v>
      </c>
      <c r="DJ2461">
        <v>254</v>
      </c>
      <c r="DK2461">
        <v>600070</v>
      </c>
      <c r="DL2461" t="s">
        <v>120</v>
      </c>
      <c r="DM2461" t="s">
        <v>120</v>
      </c>
      <c r="DN2461" t="s">
        <v>120</v>
      </c>
    </row>
    <row r="2462" spans="1:118">
      <c r="A2462" t="str">
        <f>"600071"</f>
        <v>600071</v>
      </c>
      <c r="B2462" t="s">
        <v>11377</v>
      </c>
      <c r="C2462">
        <v>0.84</v>
      </c>
      <c r="D2462">
        <v>0.13</v>
      </c>
      <c r="E2462">
        <v>-0.13</v>
      </c>
      <c r="F2462">
        <v>983</v>
      </c>
      <c r="G2462" t="s">
        <v>11378</v>
      </c>
      <c r="H2462">
        <v>8628.09</v>
      </c>
      <c r="I2462">
        <v>50.28</v>
      </c>
      <c r="J2462" t="s">
        <v>120</v>
      </c>
      <c r="K2462" t="s">
        <v>11379</v>
      </c>
      <c r="L2462">
        <v>2.34</v>
      </c>
      <c r="M2462">
        <v>15.62</v>
      </c>
      <c r="N2462">
        <v>1.24</v>
      </c>
      <c r="O2462">
        <v>1.29</v>
      </c>
      <c r="P2462">
        <v>15.69</v>
      </c>
      <c r="Q2462">
        <v>-0.84</v>
      </c>
      <c r="R2462">
        <v>15.36</v>
      </c>
      <c r="S2462">
        <v>15.47</v>
      </c>
      <c r="T2462">
        <v>55507</v>
      </c>
      <c r="U2462">
        <v>15.63</v>
      </c>
      <c r="V2462">
        <v>15.49</v>
      </c>
      <c r="W2462">
        <v>221.27</v>
      </c>
      <c r="X2462" t="s">
        <v>229</v>
      </c>
      <c r="Y2462" t="s">
        <v>676</v>
      </c>
      <c r="Z2462">
        <v>2.13</v>
      </c>
      <c r="AA2462">
        <v>15.54</v>
      </c>
      <c r="AB2462">
        <v>28045</v>
      </c>
      <c r="AC2462">
        <v>27462</v>
      </c>
      <c r="AD2462">
        <v>1.02</v>
      </c>
      <c r="AE2462">
        <v>490</v>
      </c>
      <c r="AF2462">
        <v>69</v>
      </c>
      <c r="AG2462" t="s">
        <v>120</v>
      </c>
      <c r="AH2462">
        <v>0.02</v>
      </c>
      <c r="AI2462" t="s">
        <v>120</v>
      </c>
      <c r="AJ2462">
        <v>2.37</v>
      </c>
      <c r="AK2462" t="s">
        <v>5954</v>
      </c>
      <c r="AL2462">
        <v>2.1800000000000002</v>
      </c>
      <c r="AM2462">
        <v>2143</v>
      </c>
      <c r="AN2462">
        <v>26</v>
      </c>
      <c r="AO2462">
        <v>1.1000000000000001E-3</v>
      </c>
      <c r="AP2462">
        <v>2</v>
      </c>
      <c r="AQ2462">
        <v>2.11</v>
      </c>
      <c r="AR2462">
        <v>1.36</v>
      </c>
      <c r="AS2462">
        <v>20.059999999999999</v>
      </c>
      <c r="AT2462">
        <v>4.07</v>
      </c>
      <c r="AU2462">
        <v>36.9</v>
      </c>
      <c r="AV2462">
        <v>5</v>
      </c>
      <c r="AW2462">
        <v>3.86</v>
      </c>
      <c r="AX2462">
        <v>51.06</v>
      </c>
      <c r="AY2462">
        <v>155.32</v>
      </c>
      <c r="AZ2462">
        <v>304.60000000000002</v>
      </c>
      <c r="BA2462">
        <v>0.78</v>
      </c>
      <c r="BB2462" t="s">
        <v>184</v>
      </c>
      <c r="BF2462">
        <v>0.35</v>
      </c>
      <c r="BG2462">
        <v>0.97</v>
      </c>
      <c r="BH2462">
        <v>-0.45</v>
      </c>
      <c r="BI2462">
        <v>1.69</v>
      </c>
      <c r="BJ2462">
        <v>20210810</v>
      </c>
      <c r="BK2462">
        <v>19970528</v>
      </c>
      <c r="BL2462">
        <v>2.82</v>
      </c>
      <c r="BM2462" t="s">
        <v>120</v>
      </c>
      <c r="BN2462" t="s">
        <v>120</v>
      </c>
      <c r="BO2462">
        <v>17.68</v>
      </c>
      <c r="BP2462">
        <v>15.62</v>
      </c>
      <c r="BQ2462">
        <v>5.2</v>
      </c>
      <c r="BR2462">
        <v>0.85</v>
      </c>
      <c r="BS2462">
        <v>65.81</v>
      </c>
      <c r="BT2462">
        <v>11.04</v>
      </c>
      <c r="BU2462">
        <v>4.6500000000000004</v>
      </c>
      <c r="BV2462">
        <v>0.16</v>
      </c>
      <c r="BW2462">
        <v>11.22</v>
      </c>
      <c r="BX2462">
        <v>3.74</v>
      </c>
      <c r="BY2462">
        <v>2.71</v>
      </c>
      <c r="BZ2462">
        <v>3.94</v>
      </c>
      <c r="CA2462">
        <v>0</v>
      </c>
      <c r="CB2462">
        <v>0.67</v>
      </c>
      <c r="CC2462">
        <v>7.31</v>
      </c>
      <c r="CD2462">
        <v>6.23</v>
      </c>
      <c r="CE2462">
        <v>0.09</v>
      </c>
      <c r="CF2462">
        <v>0</v>
      </c>
      <c r="CG2462">
        <v>0.1</v>
      </c>
      <c r="CH2462">
        <v>0.1</v>
      </c>
      <c r="CI2462">
        <v>0.1</v>
      </c>
      <c r="CJ2462">
        <v>0.13</v>
      </c>
      <c r="CK2462">
        <v>7.0000000000000007E-2</v>
      </c>
      <c r="CL2462">
        <v>1.01</v>
      </c>
      <c r="CM2462">
        <v>0.38</v>
      </c>
      <c r="CN2462">
        <v>-0.05</v>
      </c>
      <c r="CO2462">
        <v>13779</v>
      </c>
      <c r="CP2462">
        <v>10433</v>
      </c>
      <c r="CQ2462" t="s">
        <v>11380</v>
      </c>
      <c r="CR2462">
        <v>359.88</v>
      </c>
      <c r="CS2462">
        <v>50.92</v>
      </c>
      <c r="CT2462">
        <v>8.4600000000000009</v>
      </c>
      <c r="CU2462">
        <v>115.36</v>
      </c>
      <c r="CV2462">
        <v>6.02</v>
      </c>
      <c r="CW2462">
        <v>0</v>
      </c>
      <c r="CX2462" t="s">
        <v>145</v>
      </c>
      <c r="CY2462">
        <v>1.85</v>
      </c>
      <c r="CZ2462">
        <v>0</v>
      </c>
      <c r="DA2462">
        <v>0.24</v>
      </c>
      <c r="DB2462">
        <v>0.36</v>
      </c>
      <c r="DC2462">
        <v>0.14000000000000001</v>
      </c>
      <c r="DD2462">
        <v>29.4</v>
      </c>
      <c r="DE2462" t="s">
        <v>8477</v>
      </c>
      <c r="DF2462">
        <v>14.74</v>
      </c>
      <c r="DG2462">
        <v>1.26</v>
      </c>
      <c r="DH2462">
        <v>1.36</v>
      </c>
      <c r="DI2462">
        <v>0.28999999999999998</v>
      </c>
      <c r="DJ2462">
        <v>3083</v>
      </c>
      <c r="DK2462">
        <v>600071</v>
      </c>
      <c r="DL2462" t="s">
        <v>120</v>
      </c>
      <c r="DM2462" t="s">
        <v>120</v>
      </c>
      <c r="DN2462" t="s">
        <v>120</v>
      </c>
    </row>
    <row r="2463" spans="1:118">
      <c r="A2463" t="str">
        <f>"600072"</f>
        <v>600072</v>
      </c>
      <c r="B2463" t="s">
        <v>11381</v>
      </c>
      <c r="C2463">
        <v>0.44</v>
      </c>
      <c r="D2463">
        <v>0.28999999999999998</v>
      </c>
      <c r="E2463">
        <v>0</v>
      </c>
      <c r="F2463">
        <v>2454</v>
      </c>
      <c r="G2463" t="s">
        <v>4981</v>
      </c>
      <c r="H2463">
        <v>29859.69</v>
      </c>
      <c r="I2463">
        <v>70.36</v>
      </c>
      <c r="J2463" t="s">
        <v>120</v>
      </c>
      <c r="K2463" t="s">
        <v>393</v>
      </c>
      <c r="L2463">
        <v>2.91</v>
      </c>
      <c r="M2463">
        <v>13.83</v>
      </c>
      <c r="N2463">
        <v>0.59</v>
      </c>
      <c r="O2463">
        <v>2.98</v>
      </c>
      <c r="P2463">
        <v>14.18</v>
      </c>
      <c r="Q2463">
        <v>-0.8</v>
      </c>
      <c r="R2463">
        <v>13.66</v>
      </c>
      <c r="S2463">
        <v>13.77</v>
      </c>
      <c r="T2463">
        <v>214348</v>
      </c>
      <c r="U2463">
        <v>13.83</v>
      </c>
      <c r="V2463">
        <v>13.77</v>
      </c>
      <c r="W2463">
        <v>67.22</v>
      </c>
      <c r="X2463" t="s">
        <v>7408</v>
      </c>
      <c r="Y2463" t="s">
        <v>1510</v>
      </c>
      <c r="Z2463">
        <v>3.78</v>
      </c>
      <c r="AA2463">
        <v>13.93</v>
      </c>
      <c r="AB2463">
        <v>105431</v>
      </c>
      <c r="AC2463">
        <v>108917</v>
      </c>
      <c r="AD2463">
        <v>0.97</v>
      </c>
      <c r="AE2463">
        <v>15</v>
      </c>
      <c r="AF2463">
        <v>583</v>
      </c>
      <c r="AG2463" t="s">
        <v>120</v>
      </c>
      <c r="AH2463">
        <v>0.01</v>
      </c>
      <c r="AI2463" t="s">
        <v>120</v>
      </c>
      <c r="AJ2463">
        <v>7.36</v>
      </c>
      <c r="AK2463" t="s">
        <v>393</v>
      </c>
      <c r="AL2463">
        <v>1.78</v>
      </c>
      <c r="AM2463">
        <v>3957</v>
      </c>
      <c r="AN2463">
        <v>54</v>
      </c>
      <c r="AO2463">
        <v>6.9999999999999999E-4</v>
      </c>
      <c r="AP2463">
        <v>2</v>
      </c>
      <c r="AQ2463">
        <v>1.1000000000000001</v>
      </c>
      <c r="AR2463">
        <v>-2.27</v>
      </c>
      <c r="AS2463">
        <v>17.11</v>
      </c>
      <c r="AT2463">
        <v>17.3</v>
      </c>
      <c r="AU2463">
        <v>1.76</v>
      </c>
      <c r="AV2463">
        <v>3</v>
      </c>
      <c r="AW2463">
        <v>4.96</v>
      </c>
      <c r="AX2463">
        <v>58.72</v>
      </c>
      <c r="AY2463">
        <v>47.1</v>
      </c>
      <c r="AZ2463">
        <v>70.67</v>
      </c>
      <c r="BA2463">
        <v>0.73</v>
      </c>
      <c r="BB2463" t="s">
        <v>143</v>
      </c>
      <c r="BF2463">
        <v>1.17</v>
      </c>
      <c r="BG2463">
        <v>0.44</v>
      </c>
      <c r="BH2463">
        <v>-2.4700000000000002</v>
      </c>
      <c r="BI2463">
        <v>1.24</v>
      </c>
      <c r="BJ2463">
        <v>20210830</v>
      </c>
      <c r="BK2463">
        <v>19970603</v>
      </c>
      <c r="BL2463">
        <v>7.36</v>
      </c>
      <c r="BM2463" t="s">
        <v>120</v>
      </c>
      <c r="BN2463" t="s">
        <v>120</v>
      </c>
      <c r="BO2463">
        <v>85.42</v>
      </c>
      <c r="BP2463">
        <v>13.82</v>
      </c>
      <c r="BQ2463">
        <v>39.520000000000003</v>
      </c>
      <c r="BR2463">
        <v>3.27</v>
      </c>
      <c r="BS2463">
        <v>49.92</v>
      </c>
      <c r="BT2463">
        <v>62.99</v>
      </c>
      <c r="BU2463">
        <v>10.92</v>
      </c>
      <c r="BV2463">
        <v>0.81</v>
      </c>
      <c r="BW2463">
        <v>36.56</v>
      </c>
      <c r="BX2463">
        <v>18.68</v>
      </c>
      <c r="BY2463">
        <v>11.9</v>
      </c>
      <c r="BZ2463">
        <v>5.95</v>
      </c>
      <c r="CA2463">
        <v>0</v>
      </c>
      <c r="CB2463">
        <v>24.44</v>
      </c>
      <c r="CC2463">
        <v>11.07</v>
      </c>
      <c r="CD2463">
        <v>9.16</v>
      </c>
      <c r="CE2463">
        <v>0.86</v>
      </c>
      <c r="CF2463">
        <v>7.0000000000000007E-2</v>
      </c>
      <c r="CG2463">
        <v>0.86</v>
      </c>
      <c r="CH2463">
        <v>0.74</v>
      </c>
      <c r="CI2463">
        <v>0.76</v>
      </c>
      <c r="CJ2463">
        <v>0.06</v>
      </c>
      <c r="CK2463">
        <v>0.69</v>
      </c>
      <c r="CL2463">
        <v>5.0199999999999996</v>
      </c>
      <c r="CM2463">
        <v>1.94</v>
      </c>
      <c r="CN2463">
        <v>-9.36</v>
      </c>
      <c r="CO2463">
        <v>98792</v>
      </c>
      <c r="CP2463">
        <v>4376</v>
      </c>
      <c r="CQ2463" t="s">
        <v>5482</v>
      </c>
      <c r="CR2463">
        <v>1811.58</v>
      </c>
      <c r="CS2463">
        <v>77.17</v>
      </c>
      <c r="CT2463">
        <v>2.58</v>
      </c>
      <c r="CU2463">
        <v>52.42</v>
      </c>
      <c r="CV2463">
        <v>9.1999999999999993</v>
      </c>
      <c r="CW2463">
        <v>0.44</v>
      </c>
      <c r="CX2463" t="s">
        <v>411</v>
      </c>
      <c r="CY2463">
        <v>5.37</v>
      </c>
      <c r="CZ2463">
        <v>0</v>
      </c>
      <c r="DA2463">
        <v>3.32</v>
      </c>
      <c r="DB2463">
        <v>0.68</v>
      </c>
      <c r="DC2463">
        <v>0.26</v>
      </c>
      <c r="DD2463">
        <v>46.26</v>
      </c>
      <c r="DE2463" t="s">
        <v>1820</v>
      </c>
      <c r="DF2463">
        <v>17.239999999999998</v>
      </c>
      <c r="DG2463">
        <v>7.73</v>
      </c>
      <c r="DH2463">
        <v>6.84</v>
      </c>
      <c r="DI2463">
        <v>0.3</v>
      </c>
      <c r="DJ2463">
        <v>1609</v>
      </c>
      <c r="DK2463">
        <v>600072</v>
      </c>
      <c r="DL2463" t="s">
        <v>120</v>
      </c>
      <c r="DM2463" t="s">
        <v>120</v>
      </c>
      <c r="DN2463" t="s">
        <v>120</v>
      </c>
    </row>
    <row r="2464" spans="1:118">
      <c r="A2464" t="str">
        <f>"600073"</f>
        <v>600073</v>
      </c>
      <c r="B2464" t="s">
        <v>11382</v>
      </c>
      <c r="C2464">
        <v>1.27</v>
      </c>
      <c r="D2464">
        <v>-0.12</v>
      </c>
      <c r="E2464">
        <v>-0.25</v>
      </c>
      <c r="F2464">
        <v>1689</v>
      </c>
      <c r="G2464" t="s">
        <v>11383</v>
      </c>
      <c r="H2464">
        <v>11614.67</v>
      </c>
      <c r="I2464">
        <v>22.64</v>
      </c>
      <c r="J2464" t="s">
        <v>120</v>
      </c>
      <c r="K2464" t="s">
        <v>11384</v>
      </c>
      <c r="L2464">
        <v>1.55</v>
      </c>
      <c r="M2464">
        <v>7.98</v>
      </c>
      <c r="N2464">
        <v>1.71</v>
      </c>
      <c r="O2464">
        <v>2.54</v>
      </c>
      <c r="P2464">
        <v>8.08</v>
      </c>
      <c r="Q2464">
        <v>-0.25</v>
      </c>
      <c r="R2464">
        <v>7.86</v>
      </c>
      <c r="S2464">
        <v>7.86</v>
      </c>
      <c r="T2464">
        <v>144962</v>
      </c>
      <c r="U2464">
        <v>7.98</v>
      </c>
      <c r="V2464">
        <v>7.88</v>
      </c>
      <c r="W2464">
        <v>12.13</v>
      </c>
      <c r="X2464" t="s">
        <v>847</v>
      </c>
      <c r="Y2464" t="s">
        <v>1510</v>
      </c>
      <c r="Z2464">
        <v>2.79</v>
      </c>
      <c r="AA2464">
        <v>8.01</v>
      </c>
      <c r="AB2464">
        <v>56179</v>
      </c>
      <c r="AC2464">
        <v>88783</v>
      </c>
      <c r="AD2464">
        <v>0.63</v>
      </c>
      <c r="AE2464">
        <v>731</v>
      </c>
      <c r="AF2464">
        <v>899</v>
      </c>
      <c r="AG2464" t="s">
        <v>120</v>
      </c>
      <c r="AH2464">
        <v>0</v>
      </c>
      <c r="AI2464" t="s">
        <v>120</v>
      </c>
      <c r="AJ2464">
        <v>9.3800000000000008</v>
      </c>
      <c r="AK2464" t="s">
        <v>11384</v>
      </c>
      <c r="AL2464">
        <v>2.61</v>
      </c>
      <c r="AM2464">
        <v>2669</v>
      </c>
      <c r="AN2464">
        <v>54</v>
      </c>
      <c r="AO2464">
        <v>5.9999999999999995E-4</v>
      </c>
      <c r="AP2464">
        <v>1</v>
      </c>
      <c r="AQ2464">
        <v>-0.38</v>
      </c>
      <c r="AR2464">
        <v>0.25</v>
      </c>
      <c r="AS2464">
        <v>5.84</v>
      </c>
      <c r="AT2464">
        <v>-1.73</v>
      </c>
      <c r="AU2464">
        <v>-21.46</v>
      </c>
      <c r="AV2464">
        <v>0</v>
      </c>
      <c r="AW2464">
        <v>2.48</v>
      </c>
      <c r="AX2464">
        <v>62.21</v>
      </c>
      <c r="AY2464">
        <v>20.22</v>
      </c>
      <c r="AZ2464">
        <v>18.260000000000002</v>
      </c>
      <c r="BA2464">
        <v>0.57999999999999996</v>
      </c>
      <c r="BB2464" t="s">
        <v>143</v>
      </c>
      <c r="BF2464">
        <v>1.68</v>
      </c>
      <c r="BG2464">
        <v>1.53</v>
      </c>
      <c r="BH2464">
        <v>-1.24</v>
      </c>
      <c r="BI2464">
        <v>1.53</v>
      </c>
      <c r="BJ2464">
        <v>20210830</v>
      </c>
      <c r="BK2464">
        <v>19970704</v>
      </c>
      <c r="BL2464">
        <v>9.3800000000000008</v>
      </c>
      <c r="BM2464" t="s">
        <v>120</v>
      </c>
      <c r="BN2464" t="s">
        <v>120</v>
      </c>
      <c r="BO2464">
        <v>146.94999999999999</v>
      </c>
      <c r="BP2464">
        <v>7.97</v>
      </c>
      <c r="BQ2464">
        <v>44.52</v>
      </c>
      <c r="BR2464">
        <v>28.05</v>
      </c>
      <c r="BS2464">
        <v>50.62</v>
      </c>
      <c r="BT2464">
        <v>88.26</v>
      </c>
      <c r="BU2464">
        <v>38.03</v>
      </c>
      <c r="BV2464">
        <v>1.65</v>
      </c>
      <c r="BW2464">
        <v>59.33</v>
      </c>
      <c r="BX2464">
        <v>31.36</v>
      </c>
      <c r="BY2464">
        <v>30</v>
      </c>
      <c r="BZ2464">
        <v>19.54</v>
      </c>
      <c r="CA2464" t="s">
        <v>120</v>
      </c>
      <c r="CB2464">
        <v>18.16</v>
      </c>
      <c r="CC2464">
        <v>128.32</v>
      </c>
      <c r="CD2464">
        <v>113.39</v>
      </c>
      <c r="CE2464">
        <v>6.37</v>
      </c>
      <c r="CF2464">
        <v>0.71</v>
      </c>
      <c r="CG2464">
        <v>6.25</v>
      </c>
      <c r="CH2464">
        <v>3.73</v>
      </c>
      <c r="CI2464">
        <v>3.09</v>
      </c>
      <c r="CJ2464">
        <v>0.1</v>
      </c>
      <c r="CK2464">
        <v>2.73</v>
      </c>
      <c r="CL2464">
        <v>16.39</v>
      </c>
      <c r="CM2464">
        <v>-1.08</v>
      </c>
      <c r="CN2464">
        <v>-5.61</v>
      </c>
      <c r="CO2464">
        <v>63646</v>
      </c>
      <c r="CP2464">
        <v>9166</v>
      </c>
      <c r="CQ2464" t="s">
        <v>1630</v>
      </c>
      <c r="CR2464">
        <v>-11.27</v>
      </c>
      <c r="CS2464">
        <v>-1.04</v>
      </c>
      <c r="CT2464">
        <v>1.68</v>
      </c>
      <c r="CU2464">
        <v>-69.42</v>
      </c>
      <c r="CV2464">
        <v>0.57999999999999996</v>
      </c>
      <c r="CW2464">
        <v>1.65</v>
      </c>
      <c r="CX2464" t="s">
        <v>10423</v>
      </c>
      <c r="CY2464">
        <v>4.75</v>
      </c>
      <c r="CZ2464">
        <v>0</v>
      </c>
      <c r="DA2464">
        <v>1.94</v>
      </c>
      <c r="DB2464">
        <v>1.75</v>
      </c>
      <c r="DC2464">
        <v>-0.11</v>
      </c>
      <c r="DD2464">
        <v>30.3</v>
      </c>
      <c r="DE2464" t="s">
        <v>11385</v>
      </c>
      <c r="DF2464">
        <v>11.64</v>
      </c>
      <c r="DG2464">
        <v>4.97</v>
      </c>
      <c r="DH2464">
        <v>2.4</v>
      </c>
      <c r="DI2464">
        <v>0.18</v>
      </c>
      <c r="DJ2464">
        <v>13484</v>
      </c>
      <c r="DK2464">
        <v>600073</v>
      </c>
      <c r="DL2464" t="s">
        <v>120</v>
      </c>
      <c r="DM2464" t="s">
        <v>120</v>
      </c>
      <c r="DN2464" t="s">
        <v>120</v>
      </c>
    </row>
    <row r="2465" spans="1:118">
      <c r="A2465" t="str">
        <f>"600075"</f>
        <v>600075</v>
      </c>
      <c r="B2465" t="s">
        <v>11386</v>
      </c>
      <c r="C2465">
        <v>3.32</v>
      </c>
      <c r="D2465">
        <v>0.24</v>
      </c>
      <c r="E2465">
        <v>5.39</v>
      </c>
      <c r="F2465">
        <v>17164</v>
      </c>
      <c r="G2465" t="s">
        <v>11387</v>
      </c>
      <c r="H2465">
        <v>244264.49</v>
      </c>
      <c r="I2465">
        <v>2865.85</v>
      </c>
      <c r="J2465" t="s">
        <v>120</v>
      </c>
      <c r="K2465" t="s">
        <v>11388</v>
      </c>
      <c r="L2465">
        <v>15.24</v>
      </c>
      <c r="M2465">
        <v>12.46</v>
      </c>
      <c r="N2465">
        <v>1.55</v>
      </c>
      <c r="O2465">
        <v>10.029999999999999</v>
      </c>
      <c r="P2465">
        <v>13.27</v>
      </c>
      <c r="Q2465">
        <v>2.4900000000000002</v>
      </c>
      <c r="R2465">
        <v>12.36</v>
      </c>
      <c r="S2465">
        <v>12.71</v>
      </c>
      <c r="T2465">
        <v>1887060</v>
      </c>
      <c r="U2465">
        <v>12.47</v>
      </c>
      <c r="V2465">
        <v>12.06</v>
      </c>
      <c r="W2465">
        <v>10.81</v>
      </c>
      <c r="X2465" t="s">
        <v>868</v>
      </c>
      <c r="Y2465" t="s">
        <v>609</v>
      </c>
      <c r="Z2465">
        <v>7.55</v>
      </c>
      <c r="AA2465">
        <v>12.94</v>
      </c>
      <c r="AB2465">
        <v>1113974</v>
      </c>
      <c r="AC2465">
        <v>773086</v>
      </c>
      <c r="AD2465">
        <v>1.44</v>
      </c>
      <c r="AE2465">
        <v>2865</v>
      </c>
      <c r="AF2465">
        <v>30</v>
      </c>
      <c r="AG2465" t="s">
        <v>120</v>
      </c>
      <c r="AH2465">
        <v>0.27</v>
      </c>
      <c r="AI2465" t="s">
        <v>120</v>
      </c>
      <c r="AJ2465">
        <v>12.38</v>
      </c>
      <c r="AK2465" t="s">
        <v>11389</v>
      </c>
      <c r="AL2465">
        <v>4.66</v>
      </c>
      <c r="AM2465">
        <v>4597</v>
      </c>
      <c r="AN2465">
        <v>410</v>
      </c>
      <c r="AO2465">
        <v>3.3E-3</v>
      </c>
      <c r="AP2465">
        <v>2</v>
      </c>
      <c r="AQ2465">
        <v>4.33</v>
      </c>
      <c r="AR2465">
        <v>1.3</v>
      </c>
      <c r="AS2465">
        <v>60.15</v>
      </c>
      <c r="AT2465">
        <v>75.739999999999995</v>
      </c>
      <c r="AU2465">
        <v>124.51</v>
      </c>
      <c r="AV2465">
        <v>5</v>
      </c>
      <c r="AW2465">
        <v>22.76</v>
      </c>
      <c r="AX2465">
        <v>49.45</v>
      </c>
      <c r="AY2465">
        <v>11.87</v>
      </c>
      <c r="AZ2465">
        <v>22.81</v>
      </c>
      <c r="BA2465">
        <v>1.3</v>
      </c>
      <c r="BB2465" t="s">
        <v>184</v>
      </c>
      <c r="BF2465">
        <v>7.33</v>
      </c>
      <c r="BG2465">
        <v>-1.97</v>
      </c>
      <c r="BH2465">
        <v>-6.1</v>
      </c>
      <c r="BI2465">
        <v>0.81</v>
      </c>
      <c r="BJ2465">
        <v>20210824</v>
      </c>
      <c r="BK2465">
        <v>19970617</v>
      </c>
      <c r="BL2465">
        <v>16.760000000000002</v>
      </c>
      <c r="BM2465" t="s">
        <v>120</v>
      </c>
      <c r="BN2465" t="s">
        <v>120</v>
      </c>
      <c r="BO2465">
        <v>155.44999999999999</v>
      </c>
      <c r="BP2465">
        <v>12.46</v>
      </c>
      <c r="BQ2465">
        <v>83.79</v>
      </c>
      <c r="BR2465">
        <v>3.85</v>
      </c>
      <c r="BS2465">
        <v>43.62</v>
      </c>
      <c r="BT2465">
        <v>45.86</v>
      </c>
      <c r="BU2465">
        <v>90.03</v>
      </c>
      <c r="BV2465">
        <v>7.97</v>
      </c>
      <c r="BW2465">
        <v>41.63</v>
      </c>
      <c r="BX2465">
        <v>15.59</v>
      </c>
      <c r="BY2465">
        <v>8.57</v>
      </c>
      <c r="BZ2465">
        <v>2.61</v>
      </c>
      <c r="CA2465" t="s">
        <v>120</v>
      </c>
      <c r="CB2465">
        <v>12.45</v>
      </c>
      <c r="CC2465">
        <v>52.11</v>
      </c>
      <c r="CD2465">
        <v>32.119999999999997</v>
      </c>
      <c r="CE2465">
        <v>11.43</v>
      </c>
      <c r="CF2465">
        <v>0.33</v>
      </c>
      <c r="CG2465">
        <v>11.46</v>
      </c>
      <c r="CH2465">
        <v>9.67</v>
      </c>
      <c r="CI2465">
        <v>9.67</v>
      </c>
      <c r="CJ2465">
        <v>0.4</v>
      </c>
      <c r="CK2465">
        <v>9.41</v>
      </c>
      <c r="CL2465">
        <v>46.29</v>
      </c>
      <c r="CM2465">
        <v>10.9</v>
      </c>
      <c r="CN2465">
        <v>3.99</v>
      </c>
      <c r="CO2465">
        <v>49904</v>
      </c>
      <c r="CP2465">
        <v>16612</v>
      </c>
      <c r="CQ2465" t="s">
        <v>11390</v>
      </c>
      <c r="CR2465">
        <v>544</v>
      </c>
      <c r="CS2465">
        <v>35.35</v>
      </c>
      <c r="CT2465">
        <v>2.31</v>
      </c>
      <c r="CU2465">
        <v>19.170000000000002</v>
      </c>
      <c r="CV2465">
        <v>4.01</v>
      </c>
      <c r="CW2465">
        <v>0.7</v>
      </c>
      <c r="CX2465" t="s">
        <v>2797</v>
      </c>
      <c r="CY2465">
        <v>5.39</v>
      </c>
      <c r="CZ2465">
        <v>5.39</v>
      </c>
      <c r="DA2465">
        <v>0.74</v>
      </c>
      <c r="DB2465">
        <v>2.76</v>
      </c>
      <c r="DC2465">
        <v>0.65</v>
      </c>
      <c r="DD2465">
        <v>53.9</v>
      </c>
      <c r="DE2465" t="s">
        <v>11391</v>
      </c>
      <c r="DF2465">
        <v>38.35</v>
      </c>
      <c r="DG2465">
        <v>21.94</v>
      </c>
      <c r="DH2465">
        <v>18.55</v>
      </c>
      <c r="DI2465">
        <v>1.29</v>
      </c>
      <c r="DJ2465">
        <v>6223</v>
      </c>
      <c r="DK2465">
        <v>600075</v>
      </c>
      <c r="DL2465">
        <v>20210818</v>
      </c>
      <c r="DM2465">
        <v>8.6</v>
      </c>
      <c r="DN2465">
        <v>44.88</v>
      </c>
    </row>
    <row r="2466" spans="1:118">
      <c r="A2466" t="str">
        <f>"600076"</f>
        <v>600076</v>
      </c>
      <c r="B2466" t="s">
        <v>11392</v>
      </c>
      <c r="C2466">
        <v>-2.29</v>
      </c>
      <c r="D2466">
        <v>0</v>
      </c>
      <c r="E2466">
        <v>0.46</v>
      </c>
      <c r="F2466">
        <v>1440</v>
      </c>
      <c r="G2466" t="s">
        <v>11393</v>
      </c>
      <c r="H2466">
        <v>8273.4500000000007</v>
      </c>
      <c r="I2466">
        <v>33.42</v>
      </c>
      <c r="J2466" t="s">
        <v>120</v>
      </c>
      <c r="K2466" t="s">
        <v>11394</v>
      </c>
      <c r="L2466">
        <v>1.86</v>
      </c>
      <c r="M2466">
        <v>4.26</v>
      </c>
      <c r="N2466">
        <v>0.69</v>
      </c>
      <c r="O2466">
        <v>0.92</v>
      </c>
      <c r="P2466">
        <v>4.4000000000000004</v>
      </c>
      <c r="Q2466">
        <v>-2.75</v>
      </c>
      <c r="R2466">
        <v>4.24</v>
      </c>
      <c r="S2466">
        <v>4.38</v>
      </c>
      <c r="T2466">
        <v>191912</v>
      </c>
      <c r="U2466">
        <v>4.2699999999999996</v>
      </c>
      <c r="V2466">
        <v>4.3600000000000003</v>
      </c>
      <c r="W2466">
        <v>43.31</v>
      </c>
      <c r="X2466" t="s">
        <v>247</v>
      </c>
      <c r="Y2466" t="s">
        <v>638</v>
      </c>
      <c r="Z2466">
        <v>3.67</v>
      </c>
      <c r="AA2466">
        <v>4.3099999999999996</v>
      </c>
      <c r="AB2466">
        <v>113713</v>
      </c>
      <c r="AC2466">
        <v>78199</v>
      </c>
      <c r="AD2466">
        <v>1.45</v>
      </c>
      <c r="AE2466">
        <v>262</v>
      </c>
      <c r="AF2466">
        <v>401</v>
      </c>
      <c r="AG2466" t="s">
        <v>120</v>
      </c>
      <c r="AH2466">
        <v>0.01</v>
      </c>
      <c r="AI2466" t="s">
        <v>120</v>
      </c>
      <c r="AJ2466">
        <v>10.34</v>
      </c>
      <c r="AK2466" t="s">
        <v>11395</v>
      </c>
      <c r="AL2466">
        <v>-0.95</v>
      </c>
      <c r="AM2466">
        <v>2266</v>
      </c>
      <c r="AN2466">
        <v>85</v>
      </c>
      <c r="AO2466">
        <v>8.0000000000000004E-4</v>
      </c>
      <c r="AP2466">
        <v>-1</v>
      </c>
      <c r="AQ2466">
        <v>2.83</v>
      </c>
      <c r="AR2466">
        <v>-3.84</v>
      </c>
      <c r="AS2466">
        <v>9.7899999999999991</v>
      </c>
      <c r="AT2466">
        <v>-4.2699999999999996</v>
      </c>
      <c r="AU2466">
        <v>17.36</v>
      </c>
      <c r="AV2466">
        <v>5</v>
      </c>
      <c r="AW2466">
        <v>2.83</v>
      </c>
      <c r="AX2466">
        <v>50.37</v>
      </c>
      <c r="AY2466" t="s">
        <v>120</v>
      </c>
      <c r="AZ2466" t="s">
        <v>120</v>
      </c>
      <c r="BA2466">
        <v>0.57999999999999996</v>
      </c>
      <c r="BB2466" t="s">
        <v>184</v>
      </c>
      <c r="BF2466">
        <v>-1.1200000000000001</v>
      </c>
      <c r="BG2466">
        <v>-2.74</v>
      </c>
      <c r="BH2466">
        <v>-3.18</v>
      </c>
      <c r="BI2466">
        <v>0.47</v>
      </c>
      <c r="BJ2466">
        <v>20210827</v>
      </c>
      <c r="BK2466">
        <v>19970526</v>
      </c>
      <c r="BL2466">
        <v>13.45</v>
      </c>
      <c r="BM2466" t="s">
        <v>120</v>
      </c>
      <c r="BN2466" t="s">
        <v>120</v>
      </c>
      <c r="BO2466">
        <v>75.400000000000006</v>
      </c>
      <c r="BP2466">
        <v>4.26</v>
      </c>
      <c r="BQ2466">
        <v>48.72</v>
      </c>
      <c r="BR2466">
        <v>0.5</v>
      </c>
      <c r="BS2466">
        <v>34.729999999999997</v>
      </c>
      <c r="BT2466">
        <v>44.45</v>
      </c>
      <c r="BU2466">
        <v>10.23</v>
      </c>
      <c r="BV2466">
        <v>16.79</v>
      </c>
      <c r="BW2466">
        <v>19.73</v>
      </c>
      <c r="BX2466">
        <v>4.95</v>
      </c>
      <c r="BY2466">
        <v>36.14</v>
      </c>
      <c r="BZ2466">
        <v>2.09</v>
      </c>
      <c r="CA2466" t="s">
        <v>120</v>
      </c>
      <c r="CB2466">
        <v>10.58</v>
      </c>
      <c r="CC2466">
        <v>7.59</v>
      </c>
      <c r="CD2466">
        <v>5.76</v>
      </c>
      <c r="CE2466">
        <v>0.81</v>
      </c>
      <c r="CF2466">
        <v>0</v>
      </c>
      <c r="CG2466">
        <v>0.8</v>
      </c>
      <c r="CH2466">
        <v>0.68</v>
      </c>
      <c r="CI2466">
        <v>0.66</v>
      </c>
      <c r="CJ2466">
        <v>-0.1</v>
      </c>
      <c r="CK2466">
        <v>0.67</v>
      </c>
      <c r="CL2466">
        <v>23.67</v>
      </c>
      <c r="CM2466">
        <v>-0.34</v>
      </c>
      <c r="CN2466">
        <v>0.95</v>
      </c>
      <c r="CO2466">
        <v>48218</v>
      </c>
      <c r="CP2466">
        <v>14045</v>
      </c>
      <c r="CQ2466" t="s">
        <v>5406</v>
      </c>
      <c r="CR2466">
        <v>224.41</v>
      </c>
      <c r="CS2466">
        <v>68.94</v>
      </c>
      <c r="CT2466">
        <v>1.18</v>
      </c>
      <c r="CU2466">
        <v>-166.98</v>
      </c>
      <c r="CV2466">
        <v>7.54</v>
      </c>
      <c r="CW2466">
        <v>0</v>
      </c>
      <c r="CX2466" t="s">
        <v>1248</v>
      </c>
      <c r="CY2466">
        <v>3.62</v>
      </c>
      <c r="CZ2466">
        <v>0</v>
      </c>
      <c r="DA2466">
        <v>0.79</v>
      </c>
      <c r="DB2466">
        <v>1.76</v>
      </c>
      <c r="DC2466">
        <v>-0.03</v>
      </c>
      <c r="DD2466">
        <v>64.61</v>
      </c>
      <c r="DE2466" t="s">
        <v>980</v>
      </c>
      <c r="DF2466">
        <v>24.11</v>
      </c>
      <c r="DG2466">
        <v>10.68</v>
      </c>
      <c r="DH2466">
        <v>8.7100000000000009</v>
      </c>
      <c r="DI2466">
        <v>0.21</v>
      </c>
      <c r="DJ2466">
        <v>839</v>
      </c>
      <c r="DK2466">
        <v>600076</v>
      </c>
      <c r="DL2466" t="s">
        <v>120</v>
      </c>
      <c r="DM2466" t="s">
        <v>120</v>
      </c>
      <c r="DN2466" t="s">
        <v>120</v>
      </c>
    </row>
    <row r="2467" spans="1:118">
      <c r="A2467" t="str">
        <f>"600077"</f>
        <v>600077</v>
      </c>
      <c r="B2467" t="s">
        <v>11396</v>
      </c>
      <c r="C2467">
        <v>-0.8</v>
      </c>
      <c r="D2467">
        <v>0.4</v>
      </c>
      <c r="E2467">
        <v>0</v>
      </c>
      <c r="F2467">
        <v>400</v>
      </c>
      <c r="G2467" t="s">
        <v>6086</v>
      </c>
      <c r="H2467">
        <v>2373.39</v>
      </c>
      <c r="I2467">
        <v>2.81</v>
      </c>
      <c r="J2467" t="s">
        <v>120</v>
      </c>
      <c r="K2467" t="s">
        <v>11397</v>
      </c>
      <c r="L2467">
        <v>0.7</v>
      </c>
      <c r="M2467">
        <v>2.4900000000000002</v>
      </c>
      <c r="N2467">
        <v>1.01</v>
      </c>
      <c r="O2467">
        <v>1.59</v>
      </c>
      <c r="P2467">
        <v>2.5499999999999998</v>
      </c>
      <c r="Q2467">
        <v>-2.39</v>
      </c>
      <c r="R2467">
        <v>2.4500000000000002</v>
      </c>
      <c r="S2467">
        <v>2.5099999999999998</v>
      </c>
      <c r="T2467">
        <v>94461</v>
      </c>
      <c r="U2467">
        <v>2.4900000000000002</v>
      </c>
      <c r="V2467">
        <v>2.5099999999999998</v>
      </c>
      <c r="W2467">
        <v>15.06</v>
      </c>
      <c r="X2467" t="s">
        <v>132</v>
      </c>
      <c r="Y2467" t="s">
        <v>585</v>
      </c>
      <c r="Z2467">
        <v>3.98</v>
      </c>
      <c r="AA2467">
        <v>2.5099999999999998</v>
      </c>
      <c r="AB2467">
        <v>43726</v>
      </c>
      <c r="AC2467">
        <v>50735</v>
      </c>
      <c r="AD2467">
        <v>0.86</v>
      </c>
      <c r="AE2467">
        <v>498</v>
      </c>
      <c r="AF2467">
        <v>2643</v>
      </c>
      <c r="AG2467" t="s">
        <v>120</v>
      </c>
      <c r="AH2467">
        <v>0</v>
      </c>
      <c r="AI2467" t="s">
        <v>120</v>
      </c>
      <c r="AJ2467">
        <v>13.4</v>
      </c>
      <c r="AK2467" t="s">
        <v>11397</v>
      </c>
      <c r="AL2467">
        <v>0.55000000000000004</v>
      </c>
      <c r="AM2467">
        <v>1462</v>
      </c>
      <c r="AN2467">
        <v>65</v>
      </c>
      <c r="AO2467">
        <v>5.0000000000000001E-4</v>
      </c>
      <c r="AP2467">
        <v>-1</v>
      </c>
      <c r="AQ2467">
        <v>1.21</v>
      </c>
      <c r="AR2467">
        <v>-3.11</v>
      </c>
      <c r="AS2467">
        <v>6.41</v>
      </c>
      <c r="AT2467">
        <v>-1.97</v>
      </c>
      <c r="AU2467">
        <v>-18.89</v>
      </c>
      <c r="AV2467">
        <v>1</v>
      </c>
      <c r="AW2467">
        <v>1.6</v>
      </c>
      <c r="AX2467">
        <v>44.13</v>
      </c>
      <c r="AY2467">
        <v>10.23</v>
      </c>
      <c r="AZ2467">
        <v>9.5500000000000007</v>
      </c>
      <c r="BA2467">
        <v>0.68</v>
      </c>
      <c r="BB2467" t="s">
        <v>143</v>
      </c>
      <c r="BF2467">
        <v>0.1</v>
      </c>
      <c r="BG2467">
        <v>-0.8</v>
      </c>
      <c r="BH2467">
        <v>-2.35</v>
      </c>
      <c r="BI2467">
        <v>1.63</v>
      </c>
      <c r="BJ2467">
        <v>20210831</v>
      </c>
      <c r="BK2467">
        <v>19970520</v>
      </c>
      <c r="BL2467">
        <v>13.4</v>
      </c>
      <c r="BM2467" t="s">
        <v>120</v>
      </c>
      <c r="BN2467" t="s">
        <v>120</v>
      </c>
      <c r="BO2467">
        <v>481.92</v>
      </c>
      <c r="BP2467">
        <v>2.48</v>
      </c>
      <c r="BQ2467">
        <v>48.25</v>
      </c>
      <c r="BR2467">
        <v>10.39</v>
      </c>
      <c r="BS2467">
        <v>87.83</v>
      </c>
      <c r="BT2467">
        <v>436.5</v>
      </c>
      <c r="BU2467">
        <v>0.44</v>
      </c>
      <c r="BV2467">
        <v>0.01</v>
      </c>
      <c r="BW2467">
        <v>357.41</v>
      </c>
      <c r="BX2467">
        <v>85.14</v>
      </c>
      <c r="BY2467">
        <v>314.20999999999998</v>
      </c>
      <c r="BZ2467">
        <v>0.79</v>
      </c>
      <c r="CA2467">
        <v>0.1</v>
      </c>
      <c r="CB2467">
        <v>4.17</v>
      </c>
      <c r="CC2467">
        <v>29.88</v>
      </c>
      <c r="CD2467">
        <v>23.82</v>
      </c>
      <c r="CE2467">
        <v>1.87</v>
      </c>
      <c r="CF2467">
        <v>1.52</v>
      </c>
      <c r="CG2467">
        <v>1.74</v>
      </c>
      <c r="CH2467">
        <v>0.88</v>
      </c>
      <c r="CI2467">
        <v>1.1100000000000001</v>
      </c>
      <c r="CJ2467">
        <v>-0.02</v>
      </c>
      <c r="CK2467">
        <v>1.08</v>
      </c>
      <c r="CL2467">
        <v>30.3</v>
      </c>
      <c r="CM2467">
        <v>-0.8</v>
      </c>
      <c r="CN2467">
        <v>8.92</v>
      </c>
      <c r="CO2467">
        <v>28332</v>
      </c>
      <c r="CP2467">
        <v>20875</v>
      </c>
      <c r="CQ2467" t="s">
        <v>2321</v>
      </c>
      <c r="CR2467">
        <v>-17.559999999999999</v>
      </c>
      <c r="CS2467">
        <v>22.92</v>
      </c>
      <c r="CT2467">
        <v>0.69</v>
      </c>
      <c r="CU2467">
        <v>-41.56</v>
      </c>
      <c r="CV2467">
        <v>1.1200000000000001</v>
      </c>
      <c r="CW2467">
        <v>0.38</v>
      </c>
      <c r="CX2467" t="s">
        <v>329</v>
      </c>
      <c r="CY2467">
        <v>3.6</v>
      </c>
      <c r="CZ2467">
        <v>0</v>
      </c>
      <c r="DA2467">
        <v>0.31</v>
      </c>
      <c r="DB2467">
        <v>2.2599999999999998</v>
      </c>
      <c r="DC2467">
        <v>-0.06</v>
      </c>
      <c r="DD2467">
        <v>10.01</v>
      </c>
      <c r="DE2467" t="s">
        <v>11398</v>
      </c>
      <c r="DF2467">
        <v>20.27</v>
      </c>
      <c r="DG2467">
        <v>6.27</v>
      </c>
      <c r="DH2467">
        <v>3.71</v>
      </c>
      <c r="DI2467" t="s">
        <v>120</v>
      </c>
      <c r="DJ2467">
        <v>1036</v>
      </c>
      <c r="DK2467">
        <v>600077</v>
      </c>
      <c r="DL2467" t="s">
        <v>120</v>
      </c>
      <c r="DM2467" t="s">
        <v>120</v>
      </c>
      <c r="DN2467" t="s">
        <v>120</v>
      </c>
    </row>
    <row r="2468" spans="1:118">
      <c r="A2468" t="str">
        <f>"600079"</f>
        <v>600079</v>
      </c>
      <c r="B2468" t="s">
        <v>11399</v>
      </c>
      <c r="C2468">
        <v>-2.71</v>
      </c>
      <c r="D2468">
        <v>0</v>
      </c>
      <c r="E2468">
        <v>-0.64</v>
      </c>
      <c r="F2468">
        <v>3603</v>
      </c>
      <c r="G2468" t="s">
        <v>9008</v>
      </c>
      <c r="H2468">
        <v>38482.53</v>
      </c>
      <c r="I2468">
        <v>121.22</v>
      </c>
      <c r="J2468" t="s">
        <v>120</v>
      </c>
      <c r="K2468" t="s">
        <v>11400</v>
      </c>
      <c r="L2468">
        <v>1.42</v>
      </c>
      <c r="M2468">
        <v>19.75</v>
      </c>
      <c r="N2468">
        <v>1.17</v>
      </c>
      <c r="O2468">
        <v>0.74</v>
      </c>
      <c r="P2468">
        <v>20.45</v>
      </c>
      <c r="Q2468">
        <v>-2.71</v>
      </c>
      <c r="R2468">
        <v>19.75</v>
      </c>
      <c r="S2468">
        <v>20.170000000000002</v>
      </c>
      <c r="T2468">
        <v>191922</v>
      </c>
      <c r="U2468">
        <v>19.760000000000002</v>
      </c>
      <c r="V2468">
        <v>20.3</v>
      </c>
      <c r="W2468">
        <v>24.35</v>
      </c>
      <c r="X2468" t="s">
        <v>569</v>
      </c>
      <c r="Y2468" t="s">
        <v>763</v>
      </c>
      <c r="Z2468">
        <v>3.45</v>
      </c>
      <c r="AA2468">
        <v>20.05</v>
      </c>
      <c r="AB2468">
        <v>123590</v>
      </c>
      <c r="AC2468">
        <v>68332</v>
      </c>
      <c r="AD2468">
        <v>1.81</v>
      </c>
      <c r="AE2468">
        <v>134</v>
      </c>
      <c r="AF2468">
        <v>122</v>
      </c>
      <c r="AG2468" t="s">
        <v>120</v>
      </c>
      <c r="AH2468">
        <v>0.01</v>
      </c>
      <c r="AI2468" t="s">
        <v>120</v>
      </c>
      <c r="AJ2468">
        <v>13.54</v>
      </c>
      <c r="AK2468" t="s">
        <v>11401</v>
      </c>
      <c r="AL2468">
        <v>-1.37</v>
      </c>
      <c r="AM2468">
        <v>4270</v>
      </c>
      <c r="AN2468">
        <v>45</v>
      </c>
      <c r="AO2468">
        <v>2.9999999999999997E-4</v>
      </c>
      <c r="AP2468">
        <v>-6</v>
      </c>
      <c r="AQ2468">
        <v>-2.59</v>
      </c>
      <c r="AR2468">
        <v>-7.28</v>
      </c>
      <c r="AS2468">
        <v>-19.649999999999999</v>
      </c>
      <c r="AT2468">
        <v>-28.21</v>
      </c>
      <c r="AU2468">
        <v>-41.54</v>
      </c>
      <c r="AV2468">
        <v>2</v>
      </c>
      <c r="AW2468">
        <v>2</v>
      </c>
      <c r="AX2468">
        <v>58.64</v>
      </c>
      <c r="AY2468">
        <v>23.37</v>
      </c>
      <c r="AZ2468">
        <v>28.86</v>
      </c>
      <c r="BA2468">
        <v>0.94</v>
      </c>
      <c r="BB2468" t="s">
        <v>1723</v>
      </c>
      <c r="BF2468">
        <v>-1.23</v>
      </c>
      <c r="BG2468">
        <v>-2.08</v>
      </c>
      <c r="BH2468">
        <v>-3.42</v>
      </c>
      <c r="BI2468">
        <v>0</v>
      </c>
      <c r="BJ2468">
        <v>20210827</v>
      </c>
      <c r="BK2468">
        <v>19970606</v>
      </c>
      <c r="BL2468">
        <v>16.329999999999998</v>
      </c>
      <c r="BM2468" t="s">
        <v>120</v>
      </c>
      <c r="BN2468" t="s">
        <v>120</v>
      </c>
      <c r="BO2468">
        <v>326.73</v>
      </c>
      <c r="BP2468">
        <v>19.75</v>
      </c>
      <c r="BQ2468">
        <v>124.73</v>
      </c>
      <c r="BR2468">
        <v>21.79</v>
      </c>
      <c r="BS2468">
        <v>55.15</v>
      </c>
      <c r="BT2468">
        <v>170.89</v>
      </c>
      <c r="BU2468">
        <v>52.66</v>
      </c>
      <c r="BV2468">
        <v>15.31</v>
      </c>
      <c r="BW2468">
        <v>130.68</v>
      </c>
      <c r="BX2468">
        <v>41.33</v>
      </c>
      <c r="BY2468">
        <v>27.12</v>
      </c>
      <c r="BZ2468">
        <v>69.72</v>
      </c>
      <c r="CA2468">
        <v>0.23</v>
      </c>
      <c r="CB2468">
        <v>64.08</v>
      </c>
      <c r="CC2468">
        <v>96.69</v>
      </c>
      <c r="CD2468">
        <v>53.45</v>
      </c>
      <c r="CE2468">
        <v>11</v>
      </c>
      <c r="CF2468">
        <v>0.6</v>
      </c>
      <c r="CG2468">
        <v>10.78</v>
      </c>
      <c r="CH2468">
        <v>8.74</v>
      </c>
      <c r="CI2468">
        <v>6.62</v>
      </c>
      <c r="CJ2468">
        <v>-0.55000000000000004</v>
      </c>
      <c r="CK2468">
        <v>6.19</v>
      </c>
      <c r="CL2468">
        <v>46.16</v>
      </c>
      <c r="CM2468">
        <v>3.7</v>
      </c>
      <c r="CN2468">
        <v>-11.37</v>
      </c>
      <c r="CO2468">
        <v>46948</v>
      </c>
      <c r="CP2468">
        <v>20398</v>
      </c>
      <c r="CQ2468" t="s">
        <v>11402</v>
      </c>
      <c r="CR2468">
        <v>68.88</v>
      </c>
      <c r="CS2468">
        <v>0.14000000000000001</v>
      </c>
      <c r="CT2468">
        <v>2.59</v>
      </c>
      <c r="CU2468">
        <v>87.27</v>
      </c>
      <c r="CV2468">
        <v>3.34</v>
      </c>
      <c r="CW2468">
        <v>0.49</v>
      </c>
      <c r="CX2468" t="s">
        <v>1327</v>
      </c>
      <c r="CY2468">
        <v>7.64</v>
      </c>
      <c r="CZ2468">
        <v>0</v>
      </c>
      <c r="DA2468">
        <v>3.92</v>
      </c>
      <c r="DB2468">
        <v>2.83</v>
      </c>
      <c r="DC2468">
        <v>0.23</v>
      </c>
      <c r="DD2468">
        <v>38.18</v>
      </c>
      <c r="DE2468" t="s">
        <v>2687</v>
      </c>
      <c r="DF2468">
        <v>44.72</v>
      </c>
      <c r="DG2468">
        <v>11.38</v>
      </c>
      <c r="DH2468">
        <v>6.85</v>
      </c>
      <c r="DI2468">
        <v>3.74</v>
      </c>
      <c r="DJ2468">
        <v>15042</v>
      </c>
      <c r="DK2468">
        <v>600079</v>
      </c>
      <c r="DL2468" t="s">
        <v>120</v>
      </c>
      <c r="DM2468" t="s">
        <v>120</v>
      </c>
      <c r="DN2468" t="s">
        <v>120</v>
      </c>
    </row>
    <row r="2469" spans="1:118">
      <c r="A2469" t="str">
        <f>"600080"</f>
        <v>600080</v>
      </c>
      <c r="B2469" t="s">
        <v>11403</v>
      </c>
      <c r="C2469">
        <v>4.62</v>
      </c>
      <c r="D2469">
        <v>0.23</v>
      </c>
      <c r="E2469">
        <v>-0.36</v>
      </c>
      <c r="F2469">
        <v>1874</v>
      </c>
      <c r="G2469" t="s">
        <v>11404</v>
      </c>
      <c r="H2469">
        <v>9556.6299999999992</v>
      </c>
      <c r="I2469">
        <v>5.89</v>
      </c>
      <c r="J2469" t="s">
        <v>120</v>
      </c>
      <c r="K2469" t="s">
        <v>11405</v>
      </c>
      <c r="L2469">
        <v>2.95</v>
      </c>
      <c r="M2469">
        <v>8.83</v>
      </c>
      <c r="N2469">
        <v>1.3</v>
      </c>
      <c r="O2469">
        <v>6.04</v>
      </c>
      <c r="P2469">
        <v>8.9499999999999993</v>
      </c>
      <c r="Q2469">
        <v>-1.18</v>
      </c>
      <c r="R2469">
        <v>8.34</v>
      </c>
      <c r="S2469">
        <v>8.41</v>
      </c>
      <c r="T2469">
        <v>110007</v>
      </c>
      <c r="U2469">
        <v>8.83</v>
      </c>
      <c r="V2469">
        <v>8.44</v>
      </c>
      <c r="W2469">
        <v>97.71</v>
      </c>
      <c r="X2469" t="s">
        <v>771</v>
      </c>
      <c r="Y2469" t="s">
        <v>890</v>
      </c>
      <c r="Z2469">
        <v>7.23</v>
      </c>
      <c r="AA2469">
        <v>8.69</v>
      </c>
      <c r="AB2469">
        <v>47351</v>
      </c>
      <c r="AC2469">
        <v>62656</v>
      </c>
      <c r="AD2469">
        <v>0.76</v>
      </c>
      <c r="AE2469">
        <v>148</v>
      </c>
      <c r="AF2469">
        <v>799</v>
      </c>
      <c r="AG2469" t="s">
        <v>120</v>
      </c>
      <c r="AH2469">
        <v>0</v>
      </c>
      <c r="AI2469" t="s">
        <v>120</v>
      </c>
      <c r="AJ2469">
        <v>3.73</v>
      </c>
      <c r="AK2469" t="s">
        <v>11405</v>
      </c>
      <c r="AL2469">
        <v>5.96</v>
      </c>
      <c r="AM2469">
        <v>2482</v>
      </c>
      <c r="AN2469">
        <v>44</v>
      </c>
      <c r="AO2469">
        <v>1.1999999999999999E-3</v>
      </c>
      <c r="AP2469">
        <v>2</v>
      </c>
      <c r="AQ2469">
        <v>1.44</v>
      </c>
      <c r="AR2469">
        <v>5.49</v>
      </c>
      <c r="AS2469">
        <v>29.47</v>
      </c>
      <c r="AT2469">
        <v>30.04</v>
      </c>
      <c r="AU2469">
        <v>60.54</v>
      </c>
      <c r="AV2469">
        <v>5</v>
      </c>
      <c r="AW2469">
        <v>5.84</v>
      </c>
      <c r="AX2469">
        <v>50.48</v>
      </c>
      <c r="AY2469">
        <v>78.400000000000006</v>
      </c>
      <c r="AZ2469">
        <v>83.48</v>
      </c>
      <c r="BA2469">
        <v>0.54</v>
      </c>
      <c r="BB2469" t="s">
        <v>184</v>
      </c>
      <c r="BF2469">
        <v>2.93</v>
      </c>
      <c r="BG2469">
        <v>4.99</v>
      </c>
      <c r="BH2469">
        <v>-1.34</v>
      </c>
      <c r="BI2469">
        <v>5.88</v>
      </c>
      <c r="BJ2469">
        <v>20210813</v>
      </c>
      <c r="BK2469">
        <v>19970612</v>
      </c>
      <c r="BL2469">
        <v>3.73</v>
      </c>
      <c r="BM2469" t="s">
        <v>120</v>
      </c>
      <c r="BN2469" t="s">
        <v>120</v>
      </c>
      <c r="BO2469">
        <v>18.79</v>
      </c>
      <c r="BP2469">
        <v>8.82</v>
      </c>
      <c r="BQ2469">
        <v>17.05</v>
      </c>
      <c r="BR2469" t="s">
        <v>120</v>
      </c>
      <c r="BS2469">
        <v>9.25</v>
      </c>
      <c r="BT2469">
        <v>8.51</v>
      </c>
      <c r="BU2469">
        <v>3.16</v>
      </c>
      <c r="BV2469">
        <v>0.8</v>
      </c>
      <c r="BW2469">
        <v>1.69</v>
      </c>
      <c r="BX2469">
        <v>2.17</v>
      </c>
      <c r="BY2469">
        <v>0.35</v>
      </c>
      <c r="BZ2469">
        <v>1.22</v>
      </c>
      <c r="CA2469" t="s">
        <v>120</v>
      </c>
      <c r="CB2469">
        <v>8.2100000000000009</v>
      </c>
      <c r="CC2469">
        <v>2.42</v>
      </c>
      <c r="CD2469">
        <v>0.63</v>
      </c>
      <c r="CE2469">
        <v>0.22</v>
      </c>
      <c r="CF2469">
        <v>0.16</v>
      </c>
      <c r="CG2469">
        <v>0.22</v>
      </c>
      <c r="CH2469">
        <v>0.17</v>
      </c>
      <c r="CI2469">
        <v>0.17</v>
      </c>
      <c r="CJ2469">
        <v>0.39</v>
      </c>
      <c r="CK2469">
        <v>0.14000000000000001</v>
      </c>
      <c r="CL2469">
        <v>4.8600000000000003</v>
      </c>
      <c r="CM2469">
        <v>-0.28000000000000003</v>
      </c>
      <c r="CN2469">
        <v>-1.53</v>
      </c>
      <c r="CO2469">
        <v>23341</v>
      </c>
      <c r="CP2469">
        <v>8073</v>
      </c>
      <c r="CQ2469" t="s">
        <v>9936</v>
      </c>
      <c r="CR2469">
        <v>16.98</v>
      </c>
      <c r="CS2469">
        <v>-6.87</v>
      </c>
      <c r="CT2469">
        <v>1.93</v>
      </c>
      <c r="CU2469">
        <v>-118.88</v>
      </c>
      <c r="CV2469">
        <v>13.6</v>
      </c>
      <c r="CW2469">
        <v>1.07</v>
      </c>
      <c r="CX2469" t="s">
        <v>1036</v>
      </c>
      <c r="CY2469">
        <v>4.57</v>
      </c>
      <c r="CZ2469">
        <v>0</v>
      </c>
      <c r="DA2469">
        <v>2.2000000000000002</v>
      </c>
      <c r="DB2469">
        <v>1.3</v>
      </c>
      <c r="DC2469">
        <v>-7.0000000000000007E-2</v>
      </c>
      <c r="DD2469">
        <v>90.75</v>
      </c>
      <c r="DE2469" t="s">
        <v>1546</v>
      </c>
      <c r="DF2469">
        <v>73.84</v>
      </c>
      <c r="DG2469">
        <v>9.1199999999999992</v>
      </c>
      <c r="DH2469">
        <v>6.96</v>
      </c>
      <c r="DI2469">
        <v>0.09</v>
      </c>
      <c r="DJ2469">
        <v>676</v>
      </c>
      <c r="DK2469">
        <v>600080</v>
      </c>
      <c r="DL2469" t="s">
        <v>120</v>
      </c>
      <c r="DM2469" t="s">
        <v>120</v>
      </c>
      <c r="DN2469" t="s">
        <v>120</v>
      </c>
    </row>
    <row r="2470" spans="1:118">
      <c r="A2470" t="str">
        <f>"600081"</f>
        <v>600081</v>
      </c>
      <c r="B2470" t="s">
        <v>11406</v>
      </c>
      <c r="C2470">
        <v>-2.42</v>
      </c>
      <c r="D2470">
        <v>-0.06</v>
      </c>
      <c r="E2470">
        <v>0.22</v>
      </c>
      <c r="F2470">
        <v>1073</v>
      </c>
      <c r="G2470" t="s">
        <v>9522</v>
      </c>
      <c r="H2470">
        <v>5006.97</v>
      </c>
      <c r="I2470">
        <v>7.66</v>
      </c>
      <c r="J2470" t="s">
        <v>120</v>
      </c>
      <c r="K2470" t="s">
        <v>11407</v>
      </c>
      <c r="L2470">
        <v>1.18</v>
      </c>
      <c r="M2470">
        <v>13.32</v>
      </c>
      <c r="N2470">
        <v>0.8</v>
      </c>
      <c r="O2470">
        <v>0.44</v>
      </c>
      <c r="P2470">
        <v>13.71</v>
      </c>
      <c r="Q2470">
        <v>-2.56</v>
      </c>
      <c r="R2470">
        <v>13.3</v>
      </c>
      <c r="S2470">
        <v>13.68</v>
      </c>
      <c r="T2470">
        <v>37121</v>
      </c>
      <c r="U2470">
        <v>13.32</v>
      </c>
      <c r="V2470">
        <v>13.65</v>
      </c>
      <c r="W2470">
        <v>24.87</v>
      </c>
      <c r="X2470" t="s">
        <v>289</v>
      </c>
      <c r="Y2470" t="s">
        <v>1510</v>
      </c>
      <c r="Z2470">
        <v>3</v>
      </c>
      <c r="AA2470">
        <v>13.49</v>
      </c>
      <c r="AB2470">
        <v>24031</v>
      </c>
      <c r="AC2470">
        <v>13090</v>
      </c>
      <c r="AD2470">
        <v>1.84</v>
      </c>
      <c r="AE2470">
        <v>181</v>
      </c>
      <c r="AF2470">
        <v>156</v>
      </c>
      <c r="AG2470" t="s">
        <v>120</v>
      </c>
      <c r="AH2470">
        <v>0.01</v>
      </c>
      <c r="AI2470" t="s">
        <v>120</v>
      </c>
      <c r="AJ2470">
        <v>3.14</v>
      </c>
      <c r="AK2470" t="s">
        <v>11407</v>
      </c>
      <c r="AL2470">
        <v>-1.07</v>
      </c>
      <c r="AM2470">
        <v>1430</v>
      </c>
      <c r="AN2470">
        <v>26</v>
      </c>
      <c r="AO2470">
        <v>8.0000000000000004E-4</v>
      </c>
      <c r="AP2470">
        <v>-1</v>
      </c>
      <c r="AQ2470">
        <v>0</v>
      </c>
      <c r="AR2470">
        <v>-3.41</v>
      </c>
      <c r="AS2470">
        <v>-9.33</v>
      </c>
      <c r="AT2470">
        <v>-10.58</v>
      </c>
      <c r="AU2470">
        <v>-24.42</v>
      </c>
      <c r="AV2470">
        <v>10</v>
      </c>
      <c r="AW2470">
        <v>3.38</v>
      </c>
      <c r="AX2470">
        <v>35</v>
      </c>
      <c r="AY2470">
        <v>29.37</v>
      </c>
      <c r="AZ2470">
        <v>43.43</v>
      </c>
      <c r="BA2470">
        <v>0.91</v>
      </c>
      <c r="BB2470" t="s">
        <v>143</v>
      </c>
      <c r="BF2470">
        <v>-1.18</v>
      </c>
      <c r="BG2470">
        <v>-2.63</v>
      </c>
      <c r="BH2470">
        <v>-2.84</v>
      </c>
      <c r="BI2470">
        <v>0.15</v>
      </c>
      <c r="BJ2470">
        <v>20210831</v>
      </c>
      <c r="BK2470">
        <v>19970703</v>
      </c>
      <c r="BL2470">
        <v>3.14</v>
      </c>
      <c r="BM2470" t="s">
        <v>120</v>
      </c>
      <c r="BN2470" t="s">
        <v>120</v>
      </c>
      <c r="BO2470">
        <v>76.89</v>
      </c>
      <c r="BP2470">
        <v>13.31</v>
      </c>
      <c r="BQ2470">
        <v>14.81</v>
      </c>
      <c r="BR2470">
        <v>7.27</v>
      </c>
      <c r="BS2470">
        <v>71.290000000000006</v>
      </c>
      <c r="BT2470">
        <v>54.56</v>
      </c>
      <c r="BU2470">
        <v>11.54</v>
      </c>
      <c r="BV2470">
        <v>1.43</v>
      </c>
      <c r="BW2470">
        <v>50.23</v>
      </c>
      <c r="BX2470">
        <v>15.02</v>
      </c>
      <c r="BY2470">
        <v>3.74</v>
      </c>
      <c r="BZ2470">
        <v>15.73</v>
      </c>
      <c r="CA2470">
        <v>0.01</v>
      </c>
      <c r="CB2470">
        <v>0</v>
      </c>
      <c r="CC2470">
        <v>36.11</v>
      </c>
      <c r="CD2470">
        <v>30.95</v>
      </c>
      <c r="CE2470">
        <v>1.79</v>
      </c>
      <c r="CF2470">
        <v>0.6</v>
      </c>
      <c r="CG2470">
        <v>1.8</v>
      </c>
      <c r="CH2470">
        <v>1.56</v>
      </c>
      <c r="CI2470">
        <v>0.84</v>
      </c>
      <c r="CJ2470">
        <v>-0.33</v>
      </c>
      <c r="CK2470">
        <v>0.81</v>
      </c>
      <c r="CL2470">
        <v>10.61</v>
      </c>
      <c r="CM2470">
        <v>0.5</v>
      </c>
      <c r="CN2470">
        <v>0.52</v>
      </c>
      <c r="CO2470">
        <v>28328</v>
      </c>
      <c r="CP2470">
        <v>3874</v>
      </c>
      <c r="CQ2470" t="s">
        <v>1724</v>
      </c>
      <c r="CR2470">
        <v>128.22</v>
      </c>
      <c r="CS2470">
        <v>23.94</v>
      </c>
      <c r="CT2470">
        <v>2.82</v>
      </c>
      <c r="CU2470">
        <v>84.28</v>
      </c>
      <c r="CV2470">
        <v>1.1599999999999999</v>
      </c>
      <c r="CW2470">
        <v>0.7</v>
      </c>
      <c r="CX2470" t="s">
        <v>11408</v>
      </c>
      <c r="CY2470">
        <v>4.72</v>
      </c>
      <c r="CZ2470">
        <v>0</v>
      </c>
      <c r="DA2470">
        <v>0</v>
      </c>
      <c r="DB2470">
        <v>3.38</v>
      </c>
      <c r="DC2470">
        <v>0.16</v>
      </c>
      <c r="DD2470">
        <v>19.260000000000002</v>
      </c>
      <c r="DE2470" t="s">
        <v>9589</v>
      </c>
      <c r="DF2470">
        <v>14.29</v>
      </c>
      <c r="DG2470">
        <v>4.96</v>
      </c>
      <c r="DH2470">
        <v>2.33</v>
      </c>
      <c r="DI2470">
        <v>1.19</v>
      </c>
      <c r="DJ2470">
        <v>4550</v>
      </c>
      <c r="DK2470">
        <v>600081</v>
      </c>
      <c r="DL2470" t="s">
        <v>120</v>
      </c>
      <c r="DM2470" t="s">
        <v>120</v>
      </c>
      <c r="DN2470" t="s">
        <v>120</v>
      </c>
    </row>
    <row r="2471" spans="1:118">
      <c r="A2471" t="str">
        <f>"600082"</f>
        <v>600082</v>
      </c>
      <c r="B2471" t="s">
        <v>11409</v>
      </c>
      <c r="C2471">
        <v>-2.36</v>
      </c>
      <c r="D2471">
        <v>0</v>
      </c>
      <c r="E2471">
        <v>-0.34</v>
      </c>
      <c r="F2471">
        <v>86</v>
      </c>
      <c r="G2471" t="s">
        <v>11410</v>
      </c>
      <c r="H2471">
        <v>2298.2600000000002</v>
      </c>
      <c r="I2471">
        <v>1.92</v>
      </c>
      <c r="J2471" t="s">
        <v>120</v>
      </c>
      <c r="K2471" t="s">
        <v>11411</v>
      </c>
      <c r="L2471">
        <v>1.24</v>
      </c>
      <c r="M2471">
        <v>2.89</v>
      </c>
      <c r="N2471">
        <v>0.88</v>
      </c>
      <c r="O2471">
        <v>1.01</v>
      </c>
      <c r="P2471">
        <v>2.99</v>
      </c>
      <c r="Q2471">
        <v>-3.04</v>
      </c>
      <c r="R2471">
        <v>2.87</v>
      </c>
      <c r="S2471">
        <v>2.95</v>
      </c>
      <c r="T2471">
        <v>78477</v>
      </c>
      <c r="U2471">
        <v>2.9</v>
      </c>
      <c r="V2471">
        <v>2.96</v>
      </c>
      <c r="W2471" t="s">
        <v>120</v>
      </c>
      <c r="X2471" t="s">
        <v>1384</v>
      </c>
      <c r="Y2471" t="s">
        <v>997</v>
      </c>
      <c r="Z2471">
        <v>4.05</v>
      </c>
      <c r="AA2471">
        <v>2.93</v>
      </c>
      <c r="AB2471">
        <v>48664</v>
      </c>
      <c r="AC2471">
        <v>29813</v>
      </c>
      <c r="AD2471">
        <v>1.63</v>
      </c>
      <c r="AE2471">
        <v>858</v>
      </c>
      <c r="AF2471">
        <v>1737</v>
      </c>
      <c r="AG2471" t="s">
        <v>120</v>
      </c>
      <c r="AH2471">
        <v>0</v>
      </c>
      <c r="AI2471" t="s">
        <v>120</v>
      </c>
      <c r="AJ2471">
        <v>6.34</v>
      </c>
      <c r="AK2471" t="s">
        <v>5453</v>
      </c>
      <c r="AL2471">
        <v>-1.02</v>
      </c>
      <c r="AM2471">
        <v>1438</v>
      </c>
      <c r="AN2471">
        <v>55</v>
      </c>
      <c r="AO2471">
        <v>8.9999999999999998E-4</v>
      </c>
      <c r="AP2471">
        <v>-3</v>
      </c>
      <c r="AQ2471">
        <v>-0.34</v>
      </c>
      <c r="AR2471">
        <v>-3.67</v>
      </c>
      <c r="AS2471">
        <v>9.06</v>
      </c>
      <c r="AT2471">
        <v>-2.0299999999999998</v>
      </c>
      <c r="AU2471">
        <v>-4.3099999999999996</v>
      </c>
      <c r="AV2471">
        <v>1</v>
      </c>
      <c r="AW2471">
        <v>1.76</v>
      </c>
      <c r="AX2471">
        <v>68.97</v>
      </c>
      <c r="AY2471">
        <v>117.97</v>
      </c>
      <c r="AZ2471">
        <v>57.92</v>
      </c>
      <c r="BA2471">
        <v>0.61</v>
      </c>
      <c r="BB2471" t="s">
        <v>341</v>
      </c>
      <c r="BF2471">
        <v>-1.06</v>
      </c>
      <c r="BG2471">
        <v>-2.0299999999999998</v>
      </c>
      <c r="BH2471">
        <v>-3.34</v>
      </c>
      <c r="BI2471">
        <v>0.7</v>
      </c>
      <c r="BJ2471">
        <v>20210831</v>
      </c>
      <c r="BK2471">
        <v>19970620</v>
      </c>
      <c r="BL2471">
        <v>6.46</v>
      </c>
      <c r="BM2471" t="s">
        <v>120</v>
      </c>
      <c r="BN2471" t="s">
        <v>120</v>
      </c>
      <c r="BO2471">
        <v>29.33</v>
      </c>
      <c r="BP2471">
        <v>2.89</v>
      </c>
      <c r="BQ2471">
        <v>17.05</v>
      </c>
      <c r="BR2471" t="s">
        <v>120</v>
      </c>
      <c r="BS2471">
        <v>41.87</v>
      </c>
      <c r="BT2471">
        <v>27.34</v>
      </c>
      <c r="BU2471">
        <v>0.03</v>
      </c>
      <c r="BV2471">
        <v>0</v>
      </c>
      <c r="BW2471">
        <v>9.76</v>
      </c>
      <c r="BX2471">
        <v>1.1200000000000001</v>
      </c>
      <c r="BY2471">
        <v>22.36</v>
      </c>
      <c r="BZ2471">
        <v>0.43</v>
      </c>
      <c r="CA2471">
        <v>0.02</v>
      </c>
      <c r="CB2471">
        <v>4.13</v>
      </c>
      <c r="CC2471">
        <v>5.2</v>
      </c>
      <c r="CD2471">
        <v>5.09</v>
      </c>
      <c r="CE2471">
        <v>-0.32</v>
      </c>
      <c r="CF2471">
        <v>0</v>
      </c>
      <c r="CG2471">
        <v>-0.32</v>
      </c>
      <c r="CH2471">
        <v>-0.32</v>
      </c>
      <c r="CI2471">
        <v>-0.32</v>
      </c>
      <c r="CJ2471">
        <v>-7.0000000000000007E-2</v>
      </c>
      <c r="CK2471">
        <v>-0.33</v>
      </c>
      <c r="CL2471">
        <v>5.38</v>
      </c>
      <c r="CM2471">
        <v>-0.46</v>
      </c>
      <c r="CN2471">
        <v>-0.98</v>
      </c>
      <c r="CO2471">
        <v>33088</v>
      </c>
      <c r="CP2471">
        <v>13468</v>
      </c>
      <c r="CQ2471" t="s">
        <v>11412</v>
      </c>
      <c r="CR2471">
        <v>-107.7</v>
      </c>
      <c r="CS2471">
        <v>199.03</v>
      </c>
      <c r="CT2471">
        <v>1.1000000000000001</v>
      </c>
      <c r="CU2471">
        <v>-40.54</v>
      </c>
      <c r="CV2471">
        <v>3.59</v>
      </c>
      <c r="CW2471">
        <v>0.34</v>
      </c>
      <c r="CX2471" t="s">
        <v>161</v>
      </c>
      <c r="CY2471">
        <v>2.64</v>
      </c>
      <c r="CZ2471">
        <v>0</v>
      </c>
      <c r="DA2471">
        <v>0.64</v>
      </c>
      <c r="DB2471">
        <v>0.83</v>
      </c>
      <c r="DC2471">
        <v>-7.0000000000000007E-2</v>
      </c>
      <c r="DD2471">
        <v>58.13</v>
      </c>
      <c r="DE2471" t="s">
        <v>2636</v>
      </c>
      <c r="DF2471">
        <v>2.1</v>
      </c>
      <c r="DG2471">
        <v>-6.19</v>
      </c>
      <c r="DH2471">
        <v>-6.23</v>
      </c>
      <c r="DI2471" t="s">
        <v>120</v>
      </c>
      <c r="DJ2471">
        <v>77</v>
      </c>
      <c r="DK2471">
        <v>600082</v>
      </c>
      <c r="DL2471" t="s">
        <v>120</v>
      </c>
      <c r="DM2471" t="s">
        <v>120</v>
      </c>
      <c r="DN2471" t="s">
        <v>120</v>
      </c>
    </row>
    <row r="2472" spans="1:118">
      <c r="A2472" t="str">
        <f>"600085"</f>
        <v>600085</v>
      </c>
      <c r="B2472" t="s">
        <v>11413</v>
      </c>
      <c r="C2472">
        <v>-3.32</v>
      </c>
      <c r="D2472">
        <v>-0.05</v>
      </c>
      <c r="E2472">
        <v>-0.3</v>
      </c>
      <c r="F2472">
        <v>1506</v>
      </c>
      <c r="G2472" t="s">
        <v>11414</v>
      </c>
      <c r="H2472">
        <v>53939.26</v>
      </c>
      <c r="I2472">
        <v>54.76</v>
      </c>
      <c r="J2472" t="s">
        <v>120</v>
      </c>
      <c r="K2472" t="s">
        <v>11415</v>
      </c>
      <c r="L2472">
        <v>1.22</v>
      </c>
      <c r="M2472">
        <v>31.99</v>
      </c>
      <c r="N2472">
        <v>1.1299999999999999</v>
      </c>
      <c r="O2472">
        <v>-0.06</v>
      </c>
      <c r="P2472">
        <v>33.07</v>
      </c>
      <c r="Q2472">
        <v>-3.72</v>
      </c>
      <c r="R2472">
        <v>31.86</v>
      </c>
      <c r="S2472">
        <v>32.99</v>
      </c>
      <c r="T2472">
        <v>166824</v>
      </c>
      <c r="U2472">
        <v>31.99</v>
      </c>
      <c r="V2472">
        <v>33.090000000000003</v>
      </c>
      <c r="W2472">
        <v>35.15</v>
      </c>
      <c r="X2472" t="s">
        <v>771</v>
      </c>
      <c r="Y2472" t="s">
        <v>158</v>
      </c>
      <c r="Z2472">
        <v>3.66</v>
      </c>
      <c r="AA2472">
        <v>32.33</v>
      </c>
      <c r="AB2472">
        <v>98598</v>
      </c>
      <c r="AC2472">
        <v>68226</v>
      </c>
      <c r="AD2472">
        <v>1.45</v>
      </c>
      <c r="AE2472">
        <v>362</v>
      </c>
      <c r="AF2472">
        <v>693</v>
      </c>
      <c r="AG2472" t="s">
        <v>120</v>
      </c>
      <c r="AH2472">
        <v>0</v>
      </c>
      <c r="AI2472" t="s">
        <v>120</v>
      </c>
      <c r="AJ2472">
        <v>13.71</v>
      </c>
      <c r="AK2472" t="s">
        <v>11415</v>
      </c>
      <c r="AL2472">
        <v>-1.98</v>
      </c>
      <c r="AM2472">
        <v>4193</v>
      </c>
      <c r="AN2472">
        <v>40</v>
      </c>
      <c r="AO2472">
        <v>2.9999999999999997E-4</v>
      </c>
      <c r="AP2472">
        <v>-1</v>
      </c>
      <c r="AQ2472">
        <v>0.36</v>
      </c>
      <c r="AR2472">
        <v>-4.54</v>
      </c>
      <c r="AS2472">
        <v>-3.56</v>
      </c>
      <c r="AT2472">
        <v>-8.5299999999999994</v>
      </c>
      <c r="AU2472">
        <v>35.380000000000003</v>
      </c>
      <c r="AV2472">
        <v>1</v>
      </c>
      <c r="AW2472">
        <v>2.56</v>
      </c>
      <c r="AX2472">
        <v>47.55</v>
      </c>
      <c r="AY2472">
        <v>38.619999999999997</v>
      </c>
      <c r="AZ2472">
        <v>44</v>
      </c>
      <c r="BA2472">
        <v>1.1000000000000001</v>
      </c>
      <c r="BB2472" t="s">
        <v>143</v>
      </c>
      <c r="BF2472">
        <v>-2.29</v>
      </c>
      <c r="BG2472">
        <v>-3.03</v>
      </c>
      <c r="BH2472">
        <v>-3.27</v>
      </c>
      <c r="BI2472">
        <v>0.41</v>
      </c>
      <c r="BJ2472">
        <v>20210826</v>
      </c>
      <c r="BK2472">
        <v>19970625</v>
      </c>
      <c r="BL2472">
        <v>13.71</v>
      </c>
      <c r="BM2472" t="s">
        <v>120</v>
      </c>
      <c r="BN2472" t="s">
        <v>120</v>
      </c>
      <c r="BO2472">
        <v>250.88</v>
      </c>
      <c r="BP2472">
        <v>31.98</v>
      </c>
      <c r="BQ2472">
        <v>100.71</v>
      </c>
      <c r="BR2472">
        <v>57.93</v>
      </c>
      <c r="BS2472">
        <v>36.770000000000003</v>
      </c>
      <c r="BT2472">
        <v>183.82</v>
      </c>
      <c r="BU2472">
        <v>39.61</v>
      </c>
      <c r="BV2472">
        <v>6.32</v>
      </c>
      <c r="BW2472">
        <v>72.14</v>
      </c>
      <c r="BX2472">
        <v>102.84</v>
      </c>
      <c r="BY2472">
        <v>58.26</v>
      </c>
      <c r="BZ2472">
        <v>13.01</v>
      </c>
      <c r="CA2472" t="s">
        <v>120</v>
      </c>
      <c r="CB2472">
        <v>20.07</v>
      </c>
      <c r="CC2472">
        <v>73.59</v>
      </c>
      <c r="CD2472">
        <v>38.29</v>
      </c>
      <c r="CE2472">
        <v>12.36</v>
      </c>
      <c r="CF2472">
        <v>-0.01</v>
      </c>
      <c r="CG2472">
        <v>12.41</v>
      </c>
      <c r="CH2472">
        <v>9.9</v>
      </c>
      <c r="CI2472">
        <v>6.24</v>
      </c>
      <c r="CJ2472">
        <v>-1.1000000000000001</v>
      </c>
      <c r="CK2472">
        <v>6.17</v>
      </c>
      <c r="CL2472">
        <v>58.26</v>
      </c>
      <c r="CM2472">
        <v>18.829999999999998</v>
      </c>
      <c r="CN2472">
        <v>20.74</v>
      </c>
      <c r="CO2472">
        <v>107086</v>
      </c>
      <c r="CP2472">
        <v>6090</v>
      </c>
      <c r="CQ2472" t="s">
        <v>6885</v>
      </c>
      <c r="CR2472">
        <v>29.91</v>
      </c>
      <c r="CS2472">
        <v>22.58</v>
      </c>
      <c r="CT2472">
        <v>4.3600000000000003</v>
      </c>
      <c r="CU2472">
        <v>23.29</v>
      </c>
      <c r="CV2472">
        <v>5.96</v>
      </c>
      <c r="CW2472">
        <v>0.82</v>
      </c>
      <c r="CX2472" t="s">
        <v>1631</v>
      </c>
      <c r="CY2472">
        <v>7.34</v>
      </c>
      <c r="CZ2472">
        <v>0</v>
      </c>
      <c r="DA2472">
        <v>1.46</v>
      </c>
      <c r="DB2472">
        <v>4.25</v>
      </c>
      <c r="DC2472">
        <v>1.37</v>
      </c>
      <c r="DD2472">
        <v>40.14</v>
      </c>
      <c r="DE2472" t="s">
        <v>2467</v>
      </c>
      <c r="DF2472">
        <v>47.97</v>
      </c>
      <c r="DG2472">
        <v>16.79</v>
      </c>
      <c r="DH2472">
        <v>8.48</v>
      </c>
      <c r="DI2472">
        <v>0.51</v>
      </c>
      <c r="DJ2472">
        <v>18764</v>
      </c>
      <c r="DK2472">
        <v>600085</v>
      </c>
      <c r="DL2472" t="s">
        <v>120</v>
      </c>
      <c r="DM2472" t="s">
        <v>120</v>
      </c>
      <c r="DN2472" t="s">
        <v>120</v>
      </c>
    </row>
    <row r="2473" spans="1:118">
      <c r="A2473" t="str">
        <f>"600088"</f>
        <v>600088</v>
      </c>
      <c r="B2473" t="s">
        <v>11416</v>
      </c>
      <c r="C2473">
        <v>0.97</v>
      </c>
      <c r="D2473">
        <v>-0.37</v>
      </c>
      <c r="E2473">
        <v>0.19</v>
      </c>
      <c r="F2473">
        <v>1099</v>
      </c>
      <c r="G2473" t="s">
        <v>11417</v>
      </c>
      <c r="H2473">
        <v>10759.37</v>
      </c>
      <c r="I2473">
        <v>23.32</v>
      </c>
      <c r="J2473" t="s">
        <v>120</v>
      </c>
      <c r="K2473" t="s">
        <v>11418</v>
      </c>
      <c r="L2473">
        <v>2.54</v>
      </c>
      <c r="M2473">
        <v>10.4</v>
      </c>
      <c r="N2473">
        <v>2.06</v>
      </c>
      <c r="O2473">
        <v>6.21</v>
      </c>
      <c r="P2473">
        <v>10.94</v>
      </c>
      <c r="Q2473">
        <v>-0.19</v>
      </c>
      <c r="R2473">
        <v>10.28</v>
      </c>
      <c r="S2473">
        <v>10.32</v>
      </c>
      <c r="T2473">
        <v>101189</v>
      </c>
      <c r="U2473">
        <v>10.41</v>
      </c>
      <c r="V2473">
        <v>10.3</v>
      </c>
      <c r="W2473" t="s">
        <v>120</v>
      </c>
      <c r="X2473" t="s">
        <v>584</v>
      </c>
      <c r="Y2473" t="s">
        <v>1510</v>
      </c>
      <c r="Z2473">
        <v>6.41</v>
      </c>
      <c r="AA2473">
        <v>10.63</v>
      </c>
      <c r="AB2473">
        <v>48268</v>
      </c>
      <c r="AC2473">
        <v>52921</v>
      </c>
      <c r="AD2473">
        <v>0.91</v>
      </c>
      <c r="AE2473">
        <v>575</v>
      </c>
      <c r="AF2473">
        <v>233</v>
      </c>
      <c r="AG2473" t="s">
        <v>120</v>
      </c>
      <c r="AH2473">
        <v>0.01</v>
      </c>
      <c r="AI2473" t="s">
        <v>120</v>
      </c>
      <c r="AJ2473">
        <v>3.98</v>
      </c>
      <c r="AK2473" t="s">
        <v>11418</v>
      </c>
      <c r="AL2473">
        <v>2.31</v>
      </c>
      <c r="AM2473">
        <v>2675</v>
      </c>
      <c r="AN2473">
        <v>38</v>
      </c>
      <c r="AO2473">
        <v>1E-3</v>
      </c>
      <c r="AP2473">
        <v>2</v>
      </c>
      <c r="AQ2473">
        <v>0.49</v>
      </c>
      <c r="AR2473">
        <v>-1.1399999999999999</v>
      </c>
      <c r="AS2473">
        <v>8.11</v>
      </c>
      <c r="AT2473">
        <v>-5.03</v>
      </c>
      <c r="AU2473">
        <v>-12.61</v>
      </c>
      <c r="AV2473">
        <v>4</v>
      </c>
      <c r="AW2473">
        <v>5.94</v>
      </c>
      <c r="AX2473">
        <v>42.83</v>
      </c>
      <c r="AY2473" t="s">
        <v>120</v>
      </c>
      <c r="AZ2473" t="s">
        <v>120</v>
      </c>
      <c r="BA2473">
        <v>1.02</v>
      </c>
      <c r="BB2473" t="s">
        <v>143</v>
      </c>
      <c r="BF2473">
        <v>3.23</v>
      </c>
      <c r="BG2473">
        <v>0.78</v>
      </c>
      <c r="BH2473">
        <v>-4.9400000000000004</v>
      </c>
      <c r="BI2473">
        <v>1.17</v>
      </c>
      <c r="BJ2473">
        <v>20210830</v>
      </c>
      <c r="BK2473">
        <v>19970616</v>
      </c>
      <c r="BL2473">
        <v>3.98</v>
      </c>
      <c r="BM2473" t="s">
        <v>120</v>
      </c>
      <c r="BN2473" t="s">
        <v>120</v>
      </c>
      <c r="BO2473">
        <v>13.67</v>
      </c>
      <c r="BP2473">
        <v>10.4</v>
      </c>
      <c r="BQ2473">
        <v>10.95</v>
      </c>
      <c r="BR2473">
        <v>0.36</v>
      </c>
      <c r="BS2473">
        <v>17.32</v>
      </c>
      <c r="BT2473">
        <v>7.24</v>
      </c>
      <c r="BU2473">
        <v>3.63</v>
      </c>
      <c r="BV2473">
        <v>0</v>
      </c>
      <c r="BW2473">
        <v>2.33</v>
      </c>
      <c r="BX2473">
        <v>4.7</v>
      </c>
      <c r="BY2473">
        <v>0.56999999999999995</v>
      </c>
      <c r="BZ2473">
        <v>0.24</v>
      </c>
      <c r="CA2473" t="s">
        <v>120</v>
      </c>
      <c r="CB2473">
        <v>2.54</v>
      </c>
      <c r="CC2473">
        <v>4.28</v>
      </c>
      <c r="CD2473">
        <v>4.0599999999999996</v>
      </c>
      <c r="CE2473">
        <v>-0.1</v>
      </c>
      <c r="CF2473">
        <v>0.09</v>
      </c>
      <c r="CG2473">
        <v>-0.1</v>
      </c>
      <c r="CH2473">
        <v>-0.06</v>
      </c>
      <c r="CI2473">
        <v>-0.04</v>
      </c>
      <c r="CJ2473">
        <v>0.1</v>
      </c>
      <c r="CK2473">
        <v>-0.08</v>
      </c>
      <c r="CL2473">
        <v>2.82</v>
      </c>
      <c r="CM2473">
        <v>-2.71</v>
      </c>
      <c r="CN2473">
        <v>-3.76</v>
      </c>
      <c r="CO2473">
        <v>35394</v>
      </c>
      <c r="CP2473">
        <v>4813</v>
      </c>
      <c r="CQ2473" t="s">
        <v>11419</v>
      </c>
      <c r="CR2473">
        <v>92.89</v>
      </c>
      <c r="CS2473">
        <v>51.62</v>
      </c>
      <c r="CT2473">
        <v>3.78</v>
      </c>
      <c r="CU2473">
        <v>-15.28</v>
      </c>
      <c r="CV2473">
        <v>9.65</v>
      </c>
      <c r="CW2473">
        <v>0</v>
      </c>
      <c r="CX2473" t="s">
        <v>1312</v>
      </c>
      <c r="CY2473">
        <v>2.75</v>
      </c>
      <c r="CZ2473">
        <v>0</v>
      </c>
      <c r="DA2473">
        <v>0.64</v>
      </c>
      <c r="DB2473">
        <v>0.71</v>
      </c>
      <c r="DC2473">
        <v>-0.68</v>
      </c>
      <c r="DD2473">
        <v>80.069999999999993</v>
      </c>
      <c r="DE2473" t="s">
        <v>11420</v>
      </c>
      <c r="DF2473">
        <v>5.3</v>
      </c>
      <c r="DG2473">
        <v>-2.39</v>
      </c>
      <c r="DH2473">
        <v>-0.93</v>
      </c>
      <c r="DI2473" t="s">
        <v>120</v>
      </c>
      <c r="DJ2473">
        <v>1336</v>
      </c>
      <c r="DK2473">
        <v>600088</v>
      </c>
      <c r="DL2473" t="s">
        <v>120</v>
      </c>
      <c r="DM2473" t="s">
        <v>120</v>
      </c>
      <c r="DN2473" t="s">
        <v>120</v>
      </c>
    </row>
    <row r="2474" spans="1:118">
      <c r="A2474" t="str">
        <f>"600089"</f>
        <v>600089</v>
      </c>
      <c r="B2474" t="s">
        <v>11421</v>
      </c>
      <c r="C2474">
        <v>-5.61</v>
      </c>
      <c r="D2474">
        <v>0.04</v>
      </c>
      <c r="E2474">
        <v>0.04</v>
      </c>
      <c r="F2474">
        <v>31915</v>
      </c>
      <c r="G2474" t="s">
        <v>11422</v>
      </c>
      <c r="H2474">
        <v>676541.99</v>
      </c>
      <c r="I2474">
        <v>4777.83</v>
      </c>
      <c r="J2474" t="s">
        <v>120</v>
      </c>
      <c r="K2474" t="s">
        <v>11423</v>
      </c>
      <c r="L2474">
        <v>7.29</v>
      </c>
      <c r="M2474">
        <v>24.4</v>
      </c>
      <c r="N2474">
        <v>0.86</v>
      </c>
      <c r="O2474">
        <v>0.19</v>
      </c>
      <c r="P2474">
        <v>25.9</v>
      </c>
      <c r="Q2474">
        <v>-6.07</v>
      </c>
      <c r="R2474">
        <v>24.28</v>
      </c>
      <c r="S2474">
        <v>25.86</v>
      </c>
      <c r="T2474">
        <v>2708752</v>
      </c>
      <c r="U2474">
        <v>24.4</v>
      </c>
      <c r="V2474">
        <v>25.85</v>
      </c>
      <c r="W2474">
        <v>14.59</v>
      </c>
      <c r="X2474" t="s">
        <v>394</v>
      </c>
      <c r="Y2474" t="s">
        <v>609</v>
      </c>
      <c r="Z2474">
        <v>6.27</v>
      </c>
      <c r="AA2474">
        <v>24.98</v>
      </c>
      <c r="AB2474">
        <v>1422823</v>
      </c>
      <c r="AC2474">
        <v>1285928</v>
      </c>
      <c r="AD2474">
        <v>1.1100000000000001</v>
      </c>
      <c r="AE2474">
        <v>2249</v>
      </c>
      <c r="AF2474">
        <v>693</v>
      </c>
      <c r="AG2474" t="s">
        <v>120</v>
      </c>
      <c r="AH2474">
        <v>0.06</v>
      </c>
      <c r="AI2474" t="s">
        <v>120</v>
      </c>
      <c r="AJ2474">
        <v>37.14</v>
      </c>
      <c r="AK2474" t="s">
        <v>11423</v>
      </c>
      <c r="AL2474">
        <v>-4.2699999999999996</v>
      </c>
      <c r="AM2474">
        <v>4745</v>
      </c>
      <c r="AN2474">
        <v>571</v>
      </c>
      <c r="AO2474">
        <v>1.5E-3</v>
      </c>
      <c r="AP2474">
        <v>-1</v>
      </c>
      <c r="AQ2474">
        <v>0</v>
      </c>
      <c r="AR2474">
        <v>-7.22</v>
      </c>
      <c r="AS2474">
        <v>48.33</v>
      </c>
      <c r="AT2474">
        <v>100.5</v>
      </c>
      <c r="AU2474">
        <v>145.47</v>
      </c>
      <c r="AV2474">
        <v>7</v>
      </c>
      <c r="AW2474">
        <v>8.99</v>
      </c>
      <c r="AX2474">
        <v>81.12</v>
      </c>
      <c r="AY2474">
        <v>20.55</v>
      </c>
      <c r="AZ2474">
        <v>38.61</v>
      </c>
      <c r="BA2474">
        <v>1.26</v>
      </c>
      <c r="BB2474" t="s">
        <v>240</v>
      </c>
      <c r="BF2474">
        <v>-3.38</v>
      </c>
      <c r="BG2474">
        <v>-5.65</v>
      </c>
      <c r="BH2474">
        <v>-5.79</v>
      </c>
      <c r="BI2474">
        <v>0.49</v>
      </c>
      <c r="BJ2474">
        <v>20210828</v>
      </c>
      <c r="BK2474">
        <v>19970618</v>
      </c>
      <c r="BL2474">
        <v>37.14</v>
      </c>
      <c r="BM2474" t="s">
        <v>120</v>
      </c>
      <c r="BN2474" t="s">
        <v>120</v>
      </c>
      <c r="BO2474">
        <v>1102.9000000000001</v>
      </c>
      <c r="BP2474">
        <v>24.39</v>
      </c>
      <c r="BQ2474">
        <v>385.67</v>
      </c>
      <c r="BR2474">
        <v>94.48</v>
      </c>
      <c r="BS2474">
        <v>56.46</v>
      </c>
      <c r="BT2474">
        <v>502.99</v>
      </c>
      <c r="BU2474">
        <v>384.67</v>
      </c>
      <c r="BV2474">
        <v>49.85</v>
      </c>
      <c r="BW2474">
        <v>357.34</v>
      </c>
      <c r="BX2474">
        <v>182.99</v>
      </c>
      <c r="BY2474">
        <v>61.4</v>
      </c>
      <c r="BZ2474">
        <v>126.83</v>
      </c>
      <c r="CA2474" t="s">
        <v>120</v>
      </c>
      <c r="CB2474">
        <v>111.37</v>
      </c>
      <c r="CC2474">
        <v>224.92</v>
      </c>
      <c r="CD2474">
        <v>168.99</v>
      </c>
      <c r="CE2474">
        <v>44.73</v>
      </c>
      <c r="CF2474">
        <v>1.54</v>
      </c>
      <c r="CG2474">
        <v>45.13</v>
      </c>
      <c r="CH2474">
        <v>38.19</v>
      </c>
      <c r="CI2474">
        <v>31.06</v>
      </c>
      <c r="CJ2474">
        <v>-1.45</v>
      </c>
      <c r="CK2474">
        <v>19.5</v>
      </c>
      <c r="CL2474">
        <v>174.29</v>
      </c>
      <c r="CM2474">
        <v>47.45</v>
      </c>
      <c r="CN2474">
        <v>-19.239999999999998</v>
      </c>
      <c r="CO2474">
        <v>256612</v>
      </c>
      <c r="CP2474">
        <v>11742</v>
      </c>
      <c r="CQ2474" t="s">
        <v>11424</v>
      </c>
      <c r="CR2474">
        <v>237.64</v>
      </c>
      <c r="CS2474">
        <v>25.19</v>
      </c>
      <c r="CT2474">
        <v>2.56</v>
      </c>
      <c r="CU2474">
        <v>19.100000000000001</v>
      </c>
      <c r="CV2474">
        <v>4.03</v>
      </c>
      <c r="CW2474">
        <v>0.81</v>
      </c>
      <c r="CX2474" t="s">
        <v>11425</v>
      </c>
      <c r="CY2474">
        <v>9.52</v>
      </c>
      <c r="CZ2474">
        <v>9.52</v>
      </c>
      <c r="DA2474">
        <v>3</v>
      </c>
      <c r="DB2474">
        <v>4.6900000000000004</v>
      </c>
      <c r="DC2474">
        <v>1.28</v>
      </c>
      <c r="DD2474">
        <v>34.97</v>
      </c>
      <c r="DE2474" t="s">
        <v>5253</v>
      </c>
      <c r="DF2474">
        <v>24.87</v>
      </c>
      <c r="DG2474">
        <v>19.89</v>
      </c>
      <c r="DH2474">
        <v>13.81</v>
      </c>
      <c r="DI2474">
        <v>2.82</v>
      </c>
      <c r="DJ2474">
        <v>16845</v>
      </c>
      <c r="DK2474">
        <v>600089</v>
      </c>
      <c r="DL2474">
        <v>20210804</v>
      </c>
      <c r="DM2474">
        <v>16.239999999999998</v>
      </c>
      <c r="DN2474">
        <v>50.25</v>
      </c>
    </row>
    <row r="2475" spans="1:118">
      <c r="A2475" t="str">
        <f>"600094"</f>
        <v>600094</v>
      </c>
      <c r="B2475" t="s">
        <v>11426</v>
      </c>
      <c r="C2475">
        <v>-0.82</v>
      </c>
      <c r="D2475">
        <v>0.27</v>
      </c>
      <c r="E2475">
        <v>-0.27</v>
      </c>
      <c r="F2475">
        <v>7045</v>
      </c>
      <c r="G2475" t="s">
        <v>8808</v>
      </c>
      <c r="H2475">
        <v>4230.78</v>
      </c>
      <c r="I2475">
        <v>6.79</v>
      </c>
      <c r="J2475" t="s">
        <v>120</v>
      </c>
      <c r="K2475" t="s">
        <v>11427</v>
      </c>
      <c r="L2475">
        <v>0.51</v>
      </c>
      <c r="M2475">
        <v>3.65</v>
      </c>
      <c r="N2475">
        <v>0.82</v>
      </c>
      <c r="O2475">
        <v>0.27</v>
      </c>
      <c r="P2475">
        <v>3.69</v>
      </c>
      <c r="Q2475">
        <v>-1.9</v>
      </c>
      <c r="R2475">
        <v>3.61</v>
      </c>
      <c r="S2475">
        <v>3.67</v>
      </c>
      <c r="T2475">
        <v>115947</v>
      </c>
      <c r="U2475">
        <v>3.65</v>
      </c>
      <c r="V2475">
        <v>3.68</v>
      </c>
      <c r="W2475">
        <v>18.93</v>
      </c>
      <c r="X2475" t="s">
        <v>150</v>
      </c>
      <c r="Y2475" t="s">
        <v>1510</v>
      </c>
      <c r="Z2475">
        <v>2.17</v>
      </c>
      <c r="AA2475">
        <v>3.65</v>
      </c>
      <c r="AB2475">
        <v>60727</v>
      </c>
      <c r="AC2475">
        <v>55220</v>
      </c>
      <c r="AD2475">
        <v>1.1000000000000001</v>
      </c>
      <c r="AE2475">
        <v>4241</v>
      </c>
      <c r="AF2475">
        <v>2215</v>
      </c>
      <c r="AG2475" t="s">
        <v>120</v>
      </c>
      <c r="AH2475">
        <v>0</v>
      </c>
      <c r="AI2475" t="s">
        <v>120</v>
      </c>
      <c r="AJ2475">
        <v>22.77</v>
      </c>
      <c r="AK2475" t="s">
        <v>11428</v>
      </c>
      <c r="AL2475">
        <v>0.53</v>
      </c>
      <c r="AM2475">
        <v>1515</v>
      </c>
      <c r="AN2475">
        <v>77</v>
      </c>
      <c r="AO2475">
        <v>2.9999999999999997E-4</v>
      </c>
      <c r="AP2475">
        <v>-3</v>
      </c>
      <c r="AQ2475">
        <v>-0.81</v>
      </c>
      <c r="AR2475">
        <v>-3.18</v>
      </c>
      <c r="AS2475">
        <v>2.81</v>
      </c>
      <c r="AT2475">
        <v>-1.22</v>
      </c>
      <c r="AU2475">
        <v>-8.6300000000000008</v>
      </c>
      <c r="AV2475">
        <v>0</v>
      </c>
      <c r="AW2475">
        <v>0.76</v>
      </c>
      <c r="AX2475">
        <v>61.31</v>
      </c>
      <c r="AY2475">
        <v>23.69</v>
      </c>
      <c r="AZ2475">
        <v>20.329999999999998</v>
      </c>
      <c r="BA2475">
        <v>0.36</v>
      </c>
      <c r="BB2475" t="s">
        <v>143</v>
      </c>
      <c r="BF2475">
        <v>-0.84</v>
      </c>
      <c r="BG2475">
        <v>-0.54</v>
      </c>
      <c r="BH2475">
        <v>-1.08</v>
      </c>
      <c r="BI2475">
        <v>1.1100000000000001</v>
      </c>
      <c r="BJ2475">
        <v>20210810</v>
      </c>
      <c r="BK2475">
        <v>19970703</v>
      </c>
      <c r="BL2475">
        <v>24.75</v>
      </c>
      <c r="BM2475">
        <v>1.99</v>
      </c>
      <c r="BN2475" t="s">
        <v>120</v>
      </c>
      <c r="BO2475">
        <v>369.15</v>
      </c>
      <c r="BP2475">
        <v>3.63</v>
      </c>
      <c r="BQ2475">
        <v>133.15</v>
      </c>
      <c r="BR2475">
        <v>5.28</v>
      </c>
      <c r="BS2475">
        <v>62.5</v>
      </c>
      <c r="BT2475">
        <v>311.20999999999998</v>
      </c>
      <c r="BU2475">
        <v>6.8</v>
      </c>
      <c r="BV2475">
        <v>0.02</v>
      </c>
      <c r="BW2475">
        <v>150.32</v>
      </c>
      <c r="BX2475">
        <v>38.31</v>
      </c>
      <c r="BY2475">
        <v>262.73</v>
      </c>
      <c r="BZ2475">
        <v>2.4700000000000002</v>
      </c>
      <c r="CA2475">
        <v>0.19</v>
      </c>
      <c r="CB2475">
        <v>58.36</v>
      </c>
      <c r="CC2475">
        <v>42.03</v>
      </c>
      <c r="CD2475">
        <v>35.020000000000003</v>
      </c>
      <c r="CE2475">
        <v>3.3</v>
      </c>
      <c r="CF2475">
        <v>2.54</v>
      </c>
      <c r="CG2475">
        <v>3.27</v>
      </c>
      <c r="CH2475">
        <v>2.44</v>
      </c>
      <c r="CI2475">
        <v>2.39</v>
      </c>
      <c r="CJ2475">
        <v>-0.03</v>
      </c>
      <c r="CK2475">
        <v>0.47</v>
      </c>
      <c r="CL2475">
        <v>47.1</v>
      </c>
      <c r="CM2475">
        <v>9.4499999999999993</v>
      </c>
      <c r="CN2475">
        <v>10</v>
      </c>
      <c r="CO2475">
        <v>68546</v>
      </c>
      <c r="CP2475">
        <v>25040</v>
      </c>
      <c r="CQ2475" t="s">
        <v>1963</v>
      </c>
      <c r="CR2475">
        <v>-21.06</v>
      </c>
      <c r="CS2475">
        <v>-45.2</v>
      </c>
      <c r="CT2475">
        <v>0.68</v>
      </c>
      <c r="CU2475">
        <v>9.56</v>
      </c>
      <c r="CV2475">
        <v>2.15</v>
      </c>
      <c r="CW2475">
        <v>0.68</v>
      </c>
      <c r="CX2475" t="s">
        <v>7777</v>
      </c>
      <c r="CY2475">
        <v>5.38</v>
      </c>
      <c r="CZ2475">
        <v>0</v>
      </c>
      <c r="DA2475">
        <v>2.36</v>
      </c>
      <c r="DB2475">
        <v>1.9</v>
      </c>
      <c r="DC2475">
        <v>0.38</v>
      </c>
      <c r="DD2475">
        <v>36.07</v>
      </c>
      <c r="DE2475" t="s">
        <v>6854</v>
      </c>
      <c r="DF2475">
        <v>16.690000000000001</v>
      </c>
      <c r="DG2475">
        <v>7.85</v>
      </c>
      <c r="DH2475">
        <v>5.68</v>
      </c>
      <c r="DI2475" t="s">
        <v>120</v>
      </c>
      <c r="DJ2475">
        <v>1205</v>
      </c>
      <c r="DK2475">
        <v>600094</v>
      </c>
      <c r="DL2475" t="s">
        <v>120</v>
      </c>
      <c r="DM2475" t="s">
        <v>120</v>
      </c>
      <c r="DN2475" t="s">
        <v>120</v>
      </c>
    </row>
    <row r="2476" spans="1:118">
      <c r="A2476" t="str">
        <f>"600095"</f>
        <v>600095</v>
      </c>
      <c r="B2476" t="s">
        <v>11429</v>
      </c>
      <c r="C2476">
        <v>-2.2000000000000002</v>
      </c>
      <c r="D2476">
        <v>-0.5</v>
      </c>
      <c r="E2476">
        <v>0.5</v>
      </c>
      <c r="F2476">
        <v>18192</v>
      </c>
      <c r="G2476" t="s">
        <v>11430</v>
      </c>
      <c r="H2476">
        <v>19815.68</v>
      </c>
      <c r="I2476">
        <v>52.16</v>
      </c>
      <c r="J2476" t="s">
        <v>120</v>
      </c>
      <c r="K2476" t="s">
        <v>11431</v>
      </c>
      <c r="L2476">
        <v>2.09</v>
      </c>
      <c r="M2476">
        <v>9.8000000000000007</v>
      </c>
      <c r="N2476">
        <v>0.71</v>
      </c>
      <c r="O2476">
        <v>0.9</v>
      </c>
      <c r="P2476">
        <v>10.11</v>
      </c>
      <c r="Q2476">
        <v>-2.2000000000000002</v>
      </c>
      <c r="R2476">
        <v>9.8000000000000007</v>
      </c>
      <c r="S2476">
        <v>10.07</v>
      </c>
      <c r="T2476">
        <v>199551</v>
      </c>
      <c r="U2476">
        <v>9.81</v>
      </c>
      <c r="V2476">
        <v>10.02</v>
      </c>
      <c r="W2476">
        <v>67.58</v>
      </c>
      <c r="X2476" t="s">
        <v>616</v>
      </c>
      <c r="Y2476" t="s">
        <v>1686</v>
      </c>
      <c r="Z2476">
        <v>3.09</v>
      </c>
      <c r="AA2476">
        <v>9.93</v>
      </c>
      <c r="AB2476">
        <v>116412</v>
      </c>
      <c r="AC2476">
        <v>83139</v>
      </c>
      <c r="AD2476">
        <v>1.4</v>
      </c>
      <c r="AE2476">
        <v>1200</v>
      </c>
      <c r="AF2476">
        <v>20</v>
      </c>
      <c r="AG2476" t="s">
        <v>120</v>
      </c>
      <c r="AH2476">
        <v>0.01</v>
      </c>
      <c r="AI2476" t="s">
        <v>120</v>
      </c>
      <c r="AJ2476">
        <v>9.57</v>
      </c>
      <c r="AK2476" t="s">
        <v>11432</v>
      </c>
      <c r="AL2476">
        <v>-0.85</v>
      </c>
      <c r="AM2476">
        <v>3599</v>
      </c>
      <c r="AN2476">
        <v>55</v>
      </c>
      <c r="AO2476">
        <v>5.9999999999999995E-4</v>
      </c>
      <c r="AP2476">
        <v>-1</v>
      </c>
      <c r="AQ2476">
        <v>0.1</v>
      </c>
      <c r="AR2476">
        <v>-5.22</v>
      </c>
      <c r="AS2476">
        <v>-3.07</v>
      </c>
      <c r="AT2476">
        <v>-19.8</v>
      </c>
      <c r="AU2476">
        <v>-32.53</v>
      </c>
      <c r="AV2476">
        <v>12</v>
      </c>
      <c r="AW2476">
        <v>3.61</v>
      </c>
      <c r="AX2476">
        <v>19.34</v>
      </c>
      <c r="AY2476">
        <v>81.3</v>
      </c>
      <c r="AZ2476">
        <v>80.28</v>
      </c>
      <c r="BA2476">
        <v>1.43</v>
      </c>
      <c r="BB2476" t="s">
        <v>143</v>
      </c>
      <c r="BF2476">
        <v>-0.9</v>
      </c>
      <c r="BG2476">
        <v>-2.68</v>
      </c>
      <c r="BH2476">
        <v>-3.07</v>
      </c>
      <c r="BI2476">
        <v>0</v>
      </c>
      <c r="BJ2476">
        <v>20210828</v>
      </c>
      <c r="BK2476">
        <v>19970708</v>
      </c>
      <c r="BL2476">
        <v>28.55</v>
      </c>
      <c r="BM2476" t="s">
        <v>120</v>
      </c>
      <c r="BN2476" t="s">
        <v>120</v>
      </c>
      <c r="BO2476">
        <v>356.98</v>
      </c>
      <c r="BP2476">
        <v>9.8000000000000007</v>
      </c>
      <c r="BQ2476">
        <v>105.96</v>
      </c>
      <c r="BR2476">
        <v>0.17</v>
      </c>
      <c r="BS2476">
        <v>70.27</v>
      </c>
      <c r="BT2476">
        <v>307.06</v>
      </c>
      <c r="BU2476">
        <v>4.09</v>
      </c>
      <c r="BV2476">
        <v>0.64</v>
      </c>
      <c r="BW2476">
        <v>244.08</v>
      </c>
      <c r="BX2476">
        <v>114.47</v>
      </c>
      <c r="BY2476">
        <v>0.25</v>
      </c>
      <c r="BZ2476">
        <v>0.6</v>
      </c>
      <c r="CA2476">
        <v>0.03</v>
      </c>
      <c r="CB2476">
        <v>53.74</v>
      </c>
      <c r="CC2476">
        <v>14.79</v>
      </c>
      <c r="CD2476">
        <v>14.65</v>
      </c>
      <c r="CE2476">
        <v>2.96</v>
      </c>
      <c r="CF2476">
        <v>2.57</v>
      </c>
      <c r="CG2476">
        <v>3.04</v>
      </c>
      <c r="CH2476">
        <v>2.08</v>
      </c>
      <c r="CI2476">
        <v>2.0699999999999998</v>
      </c>
      <c r="CJ2476">
        <v>-0.22</v>
      </c>
      <c r="CK2476">
        <v>1.94</v>
      </c>
      <c r="CL2476">
        <v>15.89</v>
      </c>
      <c r="CM2476">
        <v>16.21</v>
      </c>
      <c r="CN2476">
        <v>15.31</v>
      </c>
      <c r="CO2476">
        <v>123251</v>
      </c>
      <c r="CP2476">
        <v>4480</v>
      </c>
      <c r="CQ2476" t="s">
        <v>283</v>
      </c>
      <c r="CR2476">
        <v>-2.11</v>
      </c>
      <c r="CS2476">
        <v>403.43</v>
      </c>
      <c r="CT2476">
        <v>2.48</v>
      </c>
      <c r="CU2476">
        <v>17.260000000000002</v>
      </c>
      <c r="CV2476">
        <v>18.91</v>
      </c>
      <c r="CW2476">
        <v>0.7</v>
      </c>
      <c r="CX2476" t="s">
        <v>535</v>
      </c>
      <c r="CY2476">
        <v>3.95</v>
      </c>
      <c r="CZ2476">
        <v>3.95</v>
      </c>
      <c r="DA2476">
        <v>1.88</v>
      </c>
      <c r="DB2476">
        <v>0.56000000000000005</v>
      </c>
      <c r="DC2476">
        <v>0.56999999999999995</v>
      </c>
      <c r="DD2476">
        <v>29.68</v>
      </c>
      <c r="DE2476" t="s">
        <v>1768</v>
      </c>
      <c r="DF2476">
        <v>0.97</v>
      </c>
      <c r="DG2476">
        <v>20.03</v>
      </c>
      <c r="DH2476">
        <v>13.99</v>
      </c>
      <c r="DI2476">
        <v>0</v>
      </c>
      <c r="DJ2476">
        <v>2379</v>
      </c>
      <c r="DK2476">
        <v>600095</v>
      </c>
      <c r="DL2476" t="s">
        <v>120</v>
      </c>
      <c r="DM2476" t="s">
        <v>120</v>
      </c>
      <c r="DN2476" t="s">
        <v>120</v>
      </c>
    </row>
    <row r="2477" spans="1:118">
      <c r="A2477" t="str">
        <f>"600096"</f>
        <v>600096</v>
      </c>
      <c r="B2477" t="s">
        <v>11433</v>
      </c>
      <c r="C2477">
        <v>0.32</v>
      </c>
      <c r="D2477">
        <v>0.12</v>
      </c>
      <c r="E2477">
        <v>0.15</v>
      </c>
      <c r="F2477">
        <v>9196</v>
      </c>
      <c r="G2477" t="s">
        <v>11434</v>
      </c>
      <c r="H2477">
        <v>573262.82999999996</v>
      </c>
      <c r="I2477">
        <v>5962</v>
      </c>
      <c r="J2477" t="s">
        <v>120</v>
      </c>
      <c r="K2477" t="s">
        <v>11435</v>
      </c>
      <c r="L2477">
        <v>9.92</v>
      </c>
      <c r="M2477">
        <v>34.35</v>
      </c>
      <c r="N2477">
        <v>1</v>
      </c>
      <c r="O2477">
        <v>4.67</v>
      </c>
      <c r="P2477">
        <v>35.840000000000003</v>
      </c>
      <c r="Q2477">
        <v>-5.2</v>
      </c>
      <c r="R2477">
        <v>32.46</v>
      </c>
      <c r="S2477">
        <v>34.29</v>
      </c>
      <c r="T2477">
        <v>1669934</v>
      </c>
      <c r="U2477">
        <v>34.36</v>
      </c>
      <c r="V2477">
        <v>34.24</v>
      </c>
      <c r="W2477">
        <v>20.07</v>
      </c>
      <c r="X2477" t="s">
        <v>690</v>
      </c>
      <c r="Y2477" t="s">
        <v>1006</v>
      </c>
      <c r="Z2477">
        <v>9.8699999999999992</v>
      </c>
      <c r="AA2477">
        <v>34.33</v>
      </c>
      <c r="AB2477">
        <v>814108</v>
      </c>
      <c r="AC2477">
        <v>855826</v>
      </c>
      <c r="AD2477">
        <v>0.95</v>
      </c>
      <c r="AE2477">
        <v>75</v>
      </c>
      <c r="AF2477">
        <v>36</v>
      </c>
      <c r="AG2477" t="s">
        <v>120</v>
      </c>
      <c r="AH2477">
        <v>0.18</v>
      </c>
      <c r="AI2477" t="s">
        <v>120</v>
      </c>
      <c r="AJ2477">
        <v>16.829999999999998</v>
      </c>
      <c r="AK2477" t="s">
        <v>11436</v>
      </c>
      <c r="AL2477">
        <v>1.66</v>
      </c>
      <c r="AM2477">
        <v>4743</v>
      </c>
      <c r="AN2477">
        <v>352</v>
      </c>
      <c r="AO2477">
        <v>2.0999999999999999E-3</v>
      </c>
      <c r="AP2477">
        <v>1</v>
      </c>
      <c r="AQ2477">
        <v>-3.22</v>
      </c>
      <c r="AR2477">
        <v>0.12</v>
      </c>
      <c r="AS2477">
        <v>99.48</v>
      </c>
      <c r="AT2477">
        <v>145.36000000000001</v>
      </c>
      <c r="AU2477">
        <v>465.9</v>
      </c>
      <c r="AV2477">
        <v>16</v>
      </c>
      <c r="AW2477">
        <v>17.43</v>
      </c>
      <c r="AX2477">
        <v>52.13</v>
      </c>
      <c r="AY2477">
        <v>33.72</v>
      </c>
      <c r="AZ2477">
        <v>231.27</v>
      </c>
      <c r="BA2477">
        <v>2.75</v>
      </c>
      <c r="BB2477" t="s">
        <v>125</v>
      </c>
      <c r="BF2477">
        <v>0.26</v>
      </c>
      <c r="BG2477">
        <v>0.17</v>
      </c>
      <c r="BH2477">
        <v>-4.16</v>
      </c>
      <c r="BI2477">
        <v>5.82</v>
      </c>
      <c r="BJ2477">
        <v>20210817</v>
      </c>
      <c r="BK2477">
        <v>19970709</v>
      </c>
      <c r="BL2477">
        <v>18.37</v>
      </c>
      <c r="BM2477" t="s">
        <v>120</v>
      </c>
      <c r="BN2477" t="s">
        <v>120</v>
      </c>
      <c r="BO2477">
        <v>534.29</v>
      </c>
      <c r="BP2477">
        <v>34.35</v>
      </c>
      <c r="BQ2477">
        <v>79.650000000000006</v>
      </c>
      <c r="BR2477">
        <v>21.63</v>
      </c>
      <c r="BS2477">
        <v>81.040000000000006</v>
      </c>
      <c r="BT2477">
        <v>240.04</v>
      </c>
      <c r="BU2477">
        <v>187.64</v>
      </c>
      <c r="BV2477">
        <v>39.18</v>
      </c>
      <c r="BW2477">
        <v>370.02</v>
      </c>
      <c r="BX2477">
        <v>100.89</v>
      </c>
      <c r="BY2477">
        <v>68.8</v>
      </c>
      <c r="BZ2477">
        <v>19.86</v>
      </c>
      <c r="CA2477" t="s">
        <v>120</v>
      </c>
      <c r="CB2477">
        <v>71.92</v>
      </c>
      <c r="CC2477">
        <v>309.3</v>
      </c>
      <c r="CD2477">
        <v>262.58999999999997</v>
      </c>
      <c r="CE2477">
        <v>21.08</v>
      </c>
      <c r="CF2477">
        <v>1.96</v>
      </c>
      <c r="CG2477">
        <v>20.8</v>
      </c>
      <c r="CH2477">
        <v>18.57</v>
      </c>
      <c r="CI2477">
        <v>15.72</v>
      </c>
      <c r="CJ2477">
        <v>0.11</v>
      </c>
      <c r="CK2477">
        <v>15.11</v>
      </c>
      <c r="CL2477">
        <v>-12.86</v>
      </c>
      <c r="CM2477">
        <v>25.03</v>
      </c>
      <c r="CN2477">
        <v>-2.35</v>
      </c>
      <c r="CO2477">
        <v>70329</v>
      </c>
      <c r="CP2477">
        <v>13620</v>
      </c>
      <c r="CQ2477" t="s">
        <v>11437</v>
      </c>
      <c r="CR2477">
        <v>7408.3</v>
      </c>
      <c r="CS2477">
        <v>20.56</v>
      </c>
      <c r="CT2477">
        <v>7.92</v>
      </c>
      <c r="CU2477">
        <v>25.21</v>
      </c>
      <c r="CV2477">
        <v>2.04</v>
      </c>
      <c r="CW2477">
        <v>0</v>
      </c>
      <c r="CX2477" t="s">
        <v>10202</v>
      </c>
      <c r="CY2477">
        <v>4.33</v>
      </c>
      <c r="CZ2477">
        <v>0</v>
      </c>
      <c r="DA2477">
        <v>3.91</v>
      </c>
      <c r="DB2477">
        <v>-0.7</v>
      </c>
      <c r="DC2477">
        <v>1.36</v>
      </c>
      <c r="DD2477">
        <v>14.91</v>
      </c>
      <c r="DE2477" t="s">
        <v>11438</v>
      </c>
      <c r="DF2477">
        <v>15.1</v>
      </c>
      <c r="DG2477">
        <v>6.82</v>
      </c>
      <c r="DH2477">
        <v>5.08</v>
      </c>
      <c r="DI2477">
        <v>0.4</v>
      </c>
      <c r="DJ2477">
        <v>11845</v>
      </c>
      <c r="DK2477">
        <v>600096</v>
      </c>
      <c r="DL2477">
        <v>20210609</v>
      </c>
      <c r="DM2477">
        <v>12.92</v>
      </c>
      <c r="DN2477">
        <v>165.87</v>
      </c>
    </row>
    <row r="2478" spans="1:118">
      <c r="A2478" t="str">
        <f>"600097"</f>
        <v>600097</v>
      </c>
      <c r="B2478" t="s">
        <v>11439</v>
      </c>
      <c r="C2478">
        <v>-1.39</v>
      </c>
      <c r="D2478">
        <v>-0.17</v>
      </c>
      <c r="E2478">
        <v>0.61</v>
      </c>
      <c r="F2478">
        <v>378</v>
      </c>
      <c r="G2478" t="s">
        <v>10205</v>
      </c>
      <c r="H2478">
        <v>3915.92</v>
      </c>
      <c r="I2478">
        <v>3.58</v>
      </c>
      <c r="J2478" t="s">
        <v>120</v>
      </c>
      <c r="K2478" t="s">
        <v>7624</v>
      </c>
      <c r="L2478">
        <v>1.41</v>
      </c>
      <c r="M2478">
        <v>11.32</v>
      </c>
      <c r="N2478">
        <v>0.88</v>
      </c>
      <c r="O2478">
        <v>1.92</v>
      </c>
      <c r="P2478">
        <v>11.7</v>
      </c>
      <c r="Q2478">
        <v>-1.48</v>
      </c>
      <c r="R2478">
        <v>11.31</v>
      </c>
      <c r="S2478">
        <v>11.55</v>
      </c>
      <c r="T2478">
        <v>34058</v>
      </c>
      <c r="U2478">
        <v>11.33</v>
      </c>
      <c r="V2478">
        <v>11.48</v>
      </c>
      <c r="W2478">
        <v>9.1</v>
      </c>
      <c r="X2478" t="s">
        <v>2008</v>
      </c>
      <c r="Y2478" t="s">
        <v>1510</v>
      </c>
      <c r="Z2478">
        <v>3.4</v>
      </c>
      <c r="AA2478">
        <v>11.5</v>
      </c>
      <c r="AB2478">
        <v>17309</v>
      </c>
      <c r="AC2478">
        <v>16749</v>
      </c>
      <c r="AD2478">
        <v>1.03</v>
      </c>
      <c r="AE2478">
        <v>123</v>
      </c>
      <c r="AF2478">
        <v>213</v>
      </c>
      <c r="AG2478" t="s">
        <v>120</v>
      </c>
      <c r="AH2478">
        <v>0</v>
      </c>
      <c r="AI2478" t="s">
        <v>120</v>
      </c>
      <c r="AJ2478">
        <v>2.41</v>
      </c>
      <c r="AK2478" t="s">
        <v>7624</v>
      </c>
      <c r="AL2478">
        <v>-0.05</v>
      </c>
      <c r="AM2478">
        <v>1890</v>
      </c>
      <c r="AN2478">
        <v>18</v>
      </c>
      <c r="AO2478">
        <v>6.9999999999999999E-4</v>
      </c>
      <c r="AP2478">
        <v>-1</v>
      </c>
      <c r="AQ2478">
        <v>2.41</v>
      </c>
      <c r="AR2478">
        <v>-0.44</v>
      </c>
      <c r="AS2478">
        <v>28.63</v>
      </c>
      <c r="AT2478">
        <v>21.99</v>
      </c>
      <c r="AU2478">
        <v>12.75</v>
      </c>
      <c r="AV2478">
        <v>5</v>
      </c>
      <c r="AW2478">
        <v>3.25</v>
      </c>
      <c r="AX2478">
        <v>43.53</v>
      </c>
      <c r="AY2478">
        <v>9.8699999999999992</v>
      </c>
      <c r="AZ2478">
        <v>19.59</v>
      </c>
      <c r="BA2478">
        <v>0.71</v>
      </c>
      <c r="BB2478" t="s">
        <v>184</v>
      </c>
      <c r="BF2478">
        <v>0.15</v>
      </c>
      <c r="BG2478">
        <v>-1.99</v>
      </c>
      <c r="BH2478">
        <v>-3.25</v>
      </c>
      <c r="BI2478">
        <v>0.09</v>
      </c>
      <c r="BJ2478">
        <v>20210830</v>
      </c>
      <c r="BK2478">
        <v>19970619</v>
      </c>
      <c r="BL2478">
        <v>2.41</v>
      </c>
      <c r="BM2478" t="s">
        <v>120</v>
      </c>
      <c r="BN2478" t="s">
        <v>120</v>
      </c>
      <c r="BO2478">
        <v>30.58</v>
      </c>
      <c r="BP2478">
        <v>11.32</v>
      </c>
      <c r="BQ2478">
        <v>19.649999999999999</v>
      </c>
      <c r="BR2478">
        <v>0.39</v>
      </c>
      <c r="BS2478">
        <v>34.46</v>
      </c>
      <c r="BT2478">
        <v>14.32</v>
      </c>
      <c r="BU2478">
        <v>11.12</v>
      </c>
      <c r="BV2478">
        <v>1.08</v>
      </c>
      <c r="BW2478">
        <v>5.59</v>
      </c>
      <c r="BX2478">
        <v>7.57</v>
      </c>
      <c r="BY2478">
        <v>4.66</v>
      </c>
      <c r="BZ2478">
        <v>1.45</v>
      </c>
      <c r="CA2478" t="s">
        <v>120</v>
      </c>
      <c r="CB2478">
        <v>6.12</v>
      </c>
      <c r="CC2478">
        <v>9.7799999999999994</v>
      </c>
      <c r="CD2478">
        <v>6.18</v>
      </c>
      <c r="CE2478">
        <v>1.96</v>
      </c>
      <c r="CF2478">
        <v>0</v>
      </c>
      <c r="CG2478">
        <v>1.96</v>
      </c>
      <c r="CH2478">
        <v>1.54</v>
      </c>
      <c r="CI2478">
        <v>1.5</v>
      </c>
      <c r="CJ2478">
        <v>-0.16</v>
      </c>
      <c r="CK2478">
        <v>0.43</v>
      </c>
      <c r="CL2478">
        <v>8.5299999999999994</v>
      </c>
      <c r="CM2478">
        <v>1.76</v>
      </c>
      <c r="CN2478">
        <v>0.04</v>
      </c>
      <c r="CO2478">
        <v>15442</v>
      </c>
      <c r="CP2478">
        <v>6793</v>
      </c>
      <c r="CQ2478" t="s">
        <v>11440</v>
      </c>
      <c r="CR2478">
        <v>1275.68</v>
      </c>
      <c r="CS2478">
        <v>-3.03</v>
      </c>
      <c r="CT2478">
        <v>1.39</v>
      </c>
      <c r="CU2478">
        <v>15.52</v>
      </c>
      <c r="CV2478">
        <v>2.79</v>
      </c>
      <c r="CW2478">
        <v>1.57</v>
      </c>
      <c r="CX2478" t="s">
        <v>8995</v>
      </c>
      <c r="CY2478">
        <v>8.16</v>
      </c>
      <c r="CZ2478">
        <v>0</v>
      </c>
      <c r="DA2478">
        <v>2.54</v>
      </c>
      <c r="DB2478">
        <v>3.54</v>
      </c>
      <c r="DC2478">
        <v>0.73</v>
      </c>
      <c r="DD2478">
        <v>64.27</v>
      </c>
      <c r="DE2478" t="s">
        <v>4898</v>
      </c>
      <c r="DF2478">
        <v>36.74</v>
      </c>
      <c r="DG2478">
        <v>20.02</v>
      </c>
      <c r="DH2478">
        <v>15.33</v>
      </c>
      <c r="DI2478" t="s">
        <v>120</v>
      </c>
      <c r="DJ2478">
        <v>1161</v>
      </c>
      <c r="DK2478">
        <v>600097</v>
      </c>
      <c r="DL2478" t="s">
        <v>120</v>
      </c>
      <c r="DM2478" t="s">
        <v>120</v>
      </c>
      <c r="DN2478" t="s">
        <v>120</v>
      </c>
    </row>
    <row r="2479" spans="1:118">
      <c r="A2479" t="str">
        <f>"600098"</f>
        <v>600098</v>
      </c>
      <c r="B2479" t="s">
        <v>11441</v>
      </c>
      <c r="C2479">
        <v>-2.74</v>
      </c>
      <c r="D2479">
        <v>0.13</v>
      </c>
      <c r="E2479">
        <v>-0.13</v>
      </c>
      <c r="F2479">
        <v>658</v>
      </c>
      <c r="G2479" t="s">
        <v>10835</v>
      </c>
      <c r="H2479">
        <v>11893.53</v>
      </c>
      <c r="I2479">
        <v>47.26</v>
      </c>
      <c r="J2479" t="s">
        <v>120</v>
      </c>
      <c r="K2479" t="s">
        <v>11442</v>
      </c>
      <c r="L2479">
        <v>0.56999999999999995</v>
      </c>
      <c r="M2479">
        <v>7.46</v>
      </c>
      <c r="N2479">
        <v>0.67</v>
      </c>
      <c r="O2479">
        <v>1.56</v>
      </c>
      <c r="P2479">
        <v>7.79</v>
      </c>
      <c r="Q2479">
        <v>-3.13</v>
      </c>
      <c r="R2479">
        <v>7.43</v>
      </c>
      <c r="S2479">
        <v>7.66</v>
      </c>
      <c r="T2479">
        <v>156641</v>
      </c>
      <c r="U2479">
        <v>7.47</v>
      </c>
      <c r="V2479">
        <v>7.67</v>
      </c>
      <c r="W2479">
        <v>15.32</v>
      </c>
      <c r="X2479" t="s">
        <v>268</v>
      </c>
      <c r="Y2479" t="s">
        <v>547</v>
      </c>
      <c r="Z2479">
        <v>4.6900000000000004</v>
      </c>
      <c r="AA2479">
        <v>7.59</v>
      </c>
      <c r="AB2479">
        <v>88745</v>
      </c>
      <c r="AC2479">
        <v>67896</v>
      </c>
      <c r="AD2479">
        <v>1.31</v>
      </c>
      <c r="AE2479">
        <v>353</v>
      </c>
      <c r="AF2479">
        <v>1018</v>
      </c>
      <c r="AG2479" t="s">
        <v>120</v>
      </c>
      <c r="AH2479">
        <v>0.01</v>
      </c>
      <c r="AI2479" t="s">
        <v>120</v>
      </c>
      <c r="AJ2479">
        <v>27.26</v>
      </c>
      <c r="AK2479" t="s">
        <v>11442</v>
      </c>
      <c r="AL2479">
        <v>-1.39</v>
      </c>
      <c r="AM2479">
        <v>3065</v>
      </c>
      <c r="AN2479">
        <v>51</v>
      </c>
      <c r="AO2479">
        <v>2.0000000000000001E-4</v>
      </c>
      <c r="AP2479">
        <v>-1</v>
      </c>
      <c r="AQ2479">
        <v>1.32</v>
      </c>
      <c r="AR2479">
        <v>-6.05</v>
      </c>
      <c r="AS2479">
        <v>12.02</v>
      </c>
      <c r="AT2479">
        <v>22.7</v>
      </c>
      <c r="AU2479">
        <v>17.48</v>
      </c>
      <c r="AV2479">
        <v>2</v>
      </c>
      <c r="AW2479">
        <v>3.37</v>
      </c>
      <c r="AX2479">
        <v>17.07</v>
      </c>
      <c r="AY2479">
        <v>20.29</v>
      </c>
      <c r="AZ2479">
        <v>23.14</v>
      </c>
      <c r="BA2479">
        <v>0.63</v>
      </c>
      <c r="BB2479" t="s">
        <v>143</v>
      </c>
      <c r="BF2479">
        <v>-1.01</v>
      </c>
      <c r="BG2479">
        <v>-2.61</v>
      </c>
      <c r="BH2479">
        <v>-4.24</v>
      </c>
      <c r="BI2479">
        <v>0.4</v>
      </c>
      <c r="BJ2479">
        <v>20210828</v>
      </c>
      <c r="BK2479">
        <v>19970718</v>
      </c>
      <c r="BL2479">
        <v>27.26</v>
      </c>
      <c r="BM2479" t="s">
        <v>120</v>
      </c>
      <c r="BN2479" t="s">
        <v>120</v>
      </c>
      <c r="BO2479">
        <v>517.29999999999995</v>
      </c>
      <c r="BP2479">
        <v>7.46</v>
      </c>
      <c r="BQ2479">
        <v>182.28</v>
      </c>
      <c r="BR2479">
        <v>31.86</v>
      </c>
      <c r="BS2479">
        <v>58.61</v>
      </c>
      <c r="BT2479">
        <v>131.12</v>
      </c>
      <c r="BU2479">
        <v>198.05</v>
      </c>
      <c r="BV2479">
        <v>21.66</v>
      </c>
      <c r="BW2479">
        <v>120.33</v>
      </c>
      <c r="BX2479">
        <v>33.119999999999997</v>
      </c>
      <c r="BY2479">
        <v>27.12</v>
      </c>
      <c r="BZ2479">
        <v>23.06</v>
      </c>
      <c r="CA2479" t="s">
        <v>120</v>
      </c>
      <c r="CB2479">
        <v>41.65</v>
      </c>
      <c r="CC2479">
        <v>178.5</v>
      </c>
      <c r="CD2479">
        <v>165.28</v>
      </c>
      <c r="CE2479">
        <v>6.62</v>
      </c>
      <c r="CF2479">
        <v>3.9</v>
      </c>
      <c r="CG2479">
        <v>7.41</v>
      </c>
      <c r="CH2479">
        <v>6.72</v>
      </c>
      <c r="CI2479">
        <v>6.64</v>
      </c>
      <c r="CJ2479">
        <v>-0.21</v>
      </c>
      <c r="CK2479">
        <v>5.47</v>
      </c>
      <c r="CL2479">
        <v>79.349999999999994</v>
      </c>
      <c r="CM2479">
        <v>7.31</v>
      </c>
      <c r="CN2479">
        <v>22.66</v>
      </c>
      <c r="CO2479">
        <v>56172</v>
      </c>
      <c r="CP2479">
        <v>8285</v>
      </c>
      <c r="CQ2479" t="s">
        <v>6469</v>
      </c>
      <c r="CR2479">
        <v>23.66</v>
      </c>
      <c r="CS2479">
        <v>27.34</v>
      </c>
      <c r="CT2479">
        <v>1.1200000000000001</v>
      </c>
      <c r="CU2479">
        <v>27.84</v>
      </c>
      <c r="CV2479">
        <v>1.1399999999999999</v>
      </c>
      <c r="CW2479">
        <v>2.16</v>
      </c>
      <c r="CX2479" t="s">
        <v>863</v>
      </c>
      <c r="CY2479">
        <v>6.69</v>
      </c>
      <c r="CZ2479">
        <v>0</v>
      </c>
      <c r="DA2479">
        <v>1.53</v>
      </c>
      <c r="DB2479">
        <v>2.91</v>
      </c>
      <c r="DC2479">
        <v>0.27</v>
      </c>
      <c r="DD2479">
        <v>35.24</v>
      </c>
      <c r="DE2479" t="s">
        <v>1141</v>
      </c>
      <c r="DF2479">
        <v>7.41</v>
      </c>
      <c r="DG2479">
        <v>3.71</v>
      </c>
      <c r="DH2479">
        <v>3.72</v>
      </c>
      <c r="DI2479">
        <v>2.0699999999999998</v>
      </c>
      <c r="DJ2479">
        <v>5543</v>
      </c>
      <c r="DK2479">
        <v>600098</v>
      </c>
      <c r="DL2479" t="s">
        <v>120</v>
      </c>
      <c r="DM2479" t="s">
        <v>120</v>
      </c>
      <c r="DN2479" t="s">
        <v>120</v>
      </c>
    </row>
    <row r="2480" spans="1:118">
      <c r="A2480" t="str">
        <f>"600099"</f>
        <v>600099</v>
      </c>
      <c r="B2480" t="s">
        <v>11443</v>
      </c>
      <c r="C2480">
        <v>0.41</v>
      </c>
      <c r="D2480">
        <v>0.14000000000000001</v>
      </c>
      <c r="E2480">
        <v>0.14000000000000001</v>
      </c>
      <c r="F2480">
        <v>103</v>
      </c>
      <c r="G2480" t="s">
        <v>6194</v>
      </c>
      <c r="H2480">
        <v>2572.27</v>
      </c>
      <c r="I2480">
        <v>2.04</v>
      </c>
      <c r="J2480" t="s">
        <v>120</v>
      </c>
      <c r="K2480" t="s">
        <v>5236</v>
      </c>
      <c r="L2480">
        <v>1.59</v>
      </c>
      <c r="M2480">
        <v>7.3</v>
      </c>
      <c r="N2480">
        <v>1.45</v>
      </c>
      <c r="O2480">
        <v>3.44</v>
      </c>
      <c r="P2480">
        <v>7.52</v>
      </c>
      <c r="Q2480">
        <v>-0.69</v>
      </c>
      <c r="R2480">
        <v>7.22</v>
      </c>
      <c r="S2480">
        <v>7.28</v>
      </c>
      <c r="T2480">
        <v>34774</v>
      </c>
      <c r="U2480">
        <v>7.3</v>
      </c>
      <c r="V2480">
        <v>7.27</v>
      </c>
      <c r="W2480">
        <v>106.91</v>
      </c>
      <c r="X2480" t="s">
        <v>2427</v>
      </c>
      <c r="Y2480" t="s">
        <v>319</v>
      </c>
      <c r="Z2480">
        <v>4.13</v>
      </c>
      <c r="AA2480">
        <v>7.4</v>
      </c>
      <c r="AB2480">
        <v>17311</v>
      </c>
      <c r="AC2480">
        <v>17463</v>
      </c>
      <c r="AD2480">
        <v>0.99</v>
      </c>
      <c r="AE2480">
        <v>37</v>
      </c>
      <c r="AF2480">
        <v>1</v>
      </c>
      <c r="AG2480" t="s">
        <v>120</v>
      </c>
      <c r="AH2480">
        <v>0</v>
      </c>
      <c r="AI2480" t="s">
        <v>120</v>
      </c>
      <c r="AJ2480">
        <v>2.19</v>
      </c>
      <c r="AK2480" t="s">
        <v>5236</v>
      </c>
      <c r="AL2480">
        <v>1.76</v>
      </c>
      <c r="AM2480">
        <v>1238</v>
      </c>
      <c r="AN2480">
        <v>28</v>
      </c>
      <c r="AO2480">
        <v>1.2999999999999999E-3</v>
      </c>
      <c r="AP2480">
        <v>1</v>
      </c>
      <c r="AQ2480">
        <v>-0.55000000000000004</v>
      </c>
      <c r="AR2480">
        <v>-1.22</v>
      </c>
      <c r="AS2480">
        <v>3.84</v>
      </c>
      <c r="AT2480">
        <v>9.61</v>
      </c>
      <c r="AU2480">
        <v>18.7</v>
      </c>
      <c r="AV2480">
        <v>0</v>
      </c>
      <c r="AW2480">
        <v>2.74</v>
      </c>
      <c r="AX2480">
        <v>57.9</v>
      </c>
      <c r="AY2480">
        <v>99.32</v>
      </c>
      <c r="AZ2480">
        <v>206.27</v>
      </c>
      <c r="BA2480">
        <v>0.66</v>
      </c>
      <c r="BB2480" t="s">
        <v>143</v>
      </c>
      <c r="BF2480">
        <v>1.75</v>
      </c>
      <c r="BG2480">
        <v>0.27</v>
      </c>
      <c r="BH2480">
        <v>-2.93</v>
      </c>
      <c r="BI2480">
        <v>1.1100000000000001</v>
      </c>
      <c r="BJ2480">
        <v>20210831</v>
      </c>
      <c r="BK2480">
        <v>19970704</v>
      </c>
      <c r="BL2480">
        <v>2.19</v>
      </c>
      <c r="BM2480" t="s">
        <v>120</v>
      </c>
      <c r="BN2480" t="s">
        <v>120</v>
      </c>
      <c r="BO2480">
        <v>6.93</v>
      </c>
      <c r="BP2480">
        <v>7.29</v>
      </c>
      <c r="BQ2480">
        <v>4.91</v>
      </c>
      <c r="BR2480" t="s">
        <v>120</v>
      </c>
      <c r="BS2480">
        <v>29.13</v>
      </c>
      <c r="BT2480">
        <v>5.23</v>
      </c>
      <c r="BU2480">
        <v>1.21</v>
      </c>
      <c r="BV2480">
        <v>0.22</v>
      </c>
      <c r="BW2480">
        <v>2.0099999999999998</v>
      </c>
      <c r="BX2480">
        <v>1.7</v>
      </c>
      <c r="BY2480">
        <v>2.12</v>
      </c>
      <c r="BZ2480">
        <v>1</v>
      </c>
      <c r="CA2480" t="s">
        <v>120</v>
      </c>
      <c r="CB2480">
        <v>2.0299999999999998</v>
      </c>
      <c r="CC2480">
        <v>4.16</v>
      </c>
      <c r="CD2480">
        <v>3.77</v>
      </c>
      <c r="CE2480">
        <v>0.08</v>
      </c>
      <c r="CF2480">
        <v>0</v>
      </c>
      <c r="CG2480">
        <v>0.08</v>
      </c>
      <c r="CH2480">
        <v>7.0000000000000007E-2</v>
      </c>
      <c r="CI2480">
        <v>7.0000000000000007E-2</v>
      </c>
      <c r="CJ2480">
        <v>0.03</v>
      </c>
      <c r="CK2480">
        <v>7.0000000000000007E-2</v>
      </c>
      <c r="CL2480">
        <v>0.38</v>
      </c>
      <c r="CM2480">
        <v>-0.16</v>
      </c>
      <c r="CN2480">
        <v>-0.18</v>
      </c>
      <c r="CO2480">
        <v>12805</v>
      </c>
      <c r="CP2480">
        <v>9907</v>
      </c>
      <c r="CQ2480" t="s">
        <v>7204</v>
      </c>
      <c r="CR2480">
        <v>995.88</v>
      </c>
      <c r="CS2480">
        <v>48.58</v>
      </c>
      <c r="CT2480">
        <v>3.26</v>
      </c>
      <c r="CU2480">
        <v>-100.05</v>
      </c>
      <c r="CV2480">
        <v>3.85</v>
      </c>
      <c r="CW2480">
        <v>0</v>
      </c>
      <c r="CX2480" t="s">
        <v>919</v>
      </c>
      <c r="CY2480">
        <v>2.2400000000000002</v>
      </c>
      <c r="CZ2480">
        <v>0</v>
      </c>
      <c r="DA2480">
        <v>0.93</v>
      </c>
      <c r="DB2480">
        <v>0.17</v>
      </c>
      <c r="DC2480">
        <v>-7.0000000000000007E-2</v>
      </c>
      <c r="DD2480">
        <v>70.87</v>
      </c>
      <c r="DE2480" t="s">
        <v>4579</v>
      </c>
      <c r="DF2480">
        <v>9.36</v>
      </c>
      <c r="DG2480">
        <v>1.96</v>
      </c>
      <c r="DH2480">
        <v>1.8</v>
      </c>
      <c r="DI2480">
        <v>0.05</v>
      </c>
      <c r="DJ2480">
        <v>533</v>
      </c>
      <c r="DK2480">
        <v>600099</v>
      </c>
      <c r="DL2480" t="s">
        <v>120</v>
      </c>
      <c r="DM2480" t="s">
        <v>120</v>
      </c>
      <c r="DN2480" t="s">
        <v>120</v>
      </c>
    </row>
    <row r="2481" spans="1:118">
      <c r="A2481" t="str">
        <f>"600100"</f>
        <v>600100</v>
      </c>
      <c r="B2481" t="s">
        <v>11444</v>
      </c>
      <c r="C2481">
        <v>-1.95</v>
      </c>
      <c r="D2481">
        <v>0.17</v>
      </c>
      <c r="E2481">
        <v>0.16</v>
      </c>
      <c r="F2481">
        <v>2041</v>
      </c>
      <c r="G2481" t="s">
        <v>11445</v>
      </c>
      <c r="H2481">
        <v>19916.87</v>
      </c>
      <c r="I2481">
        <v>44.53</v>
      </c>
      <c r="J2481" t="s">
        <v>120</v>
      </c>
      <c r="K2481" t="s">
        <v>11446</v>
      </c>
      <c r="L2481">
        <v>1.1000000000000001</v>
      </c>
      <c r="M2481">
        <v>6.02</v>
      </c>
      <c r="N2481">
        <v>0.94</v>
      </c>
      <c r="O2481">
        <v>0.98</v>
      </c>
      <c r="P2481">
        <v>6.2</v>
      </c>
      <c r="Q2481">
        <v>-2.2799999999999998</v>
      </c>
      <c r="R2481">
        <v>6</v>
      </c>
      <c r="S2481">
        <v>6.15</v>
      </c>
      <c r="T2481">
        <v>326480</v>
      </c>
      <c r="U2481">
        <v>6.02</v>
      </c>
      <c r="V2481">
        <v>6.14</v>
      </c>
      <c r="W2481" t="s">
        <v>120</v>
      </c>
      <c r="X2481" t="s">
        <v>238</v>
      </c>
      <c r="Y2481" t="s">
        <v>158</v>
      </c>
      <c r="Z2481">
        <v>3.26</v>
      </c>
      <c r="AA2481">
        <v>6.1</v>
      </c>
      <c r="AB2481">
        <v>183056</v>
      </c>
      <c r="AC2481">
        <v>143424</v>
      </c>
      <c r="AD2481">
        <v>1.28</v>
      </c>
      <c r="AE2481">
        <v>1339</v>
      </c>
      <c r="AF2481">
        <v>1698</v>
      </c>
      <c r="AG2481" t="s">
        <v>120</v>
      </c>
      <c r="AH2481">
        <v>0</v>
      </c>
      <c r="AI2481" t="s">
        <v>120</v>
      </c>
      <c r="AJ2481">
        <v>29.64</v>
      </c>
      <c r="AK2481" t="s">
        <v>11447</v>
      </c>
      <c r="AL2481">
        <v>-0.61</v>
      </c>
      <c r="AM2481">
        <v>3241</v>
      </c>
      <c r="AN2481">
        <v>101</v>
      </c>
      <c r="AO2481">
        <v>2.9999999999999997E-4</v>
      </c>
      <c r="AP2481">
        <v>-7</v>
      </c>
      <c r="AQ2481">
        <v>-0.49</v>
      </c>
      <c r="AR2481">
        <v>-4.3</v>
      </c>
      <c r="AS2481">
        <v>1.52</v>
      </c>
      <c r="AT2481">
        <v>-2.75</v>
      </c>
      <c r="AU2481">
        <v>-2.73</v>
      </c>
      <c r="AV2481">
        <v>1</v>
      </c>
      <c r="AW2481">
        <v>1.53</v>
      </c>
      <c r="AX2481">
        <v>63.6</v>
      </c>
      <c r="AY2481" t="s">
        <v>120</v>
      </c>
      <c r="AZ2481">
        <v>200.68</v>
      </c>
      <c r="BA2481">
        <v>0.6</v>
      </c>
      <c r="BB2481" t="s">
        <v>143</v>
      </c>
      <c r="BF2481">
        <v>-0.64</v>
      </c>
      <c r="BG2481">
        <v>-2.11</v>
      </c>
      <c r="BH2481">
        <v>-2.9</v>
      </c>
      <c r="BI2481">
        <v>0.33</v>
      </c>
      <c r="BJ2481">
        <v>20210901</v>
      </c>
      <c r="BK2481">
        <v>19970627</v>
      </c>
      <c r="BL2481">
        <v>33.5</v>
      </c>
      <c r="BM2481" t="s">
        <v>120</v>
      </c>
      <c r="BN2481" t="s">
        <v>120</v>
      </c>
      <c r="BO2481">
        <v>609.49</v>
      </c>
      <c r="BP2481">
        <v>6.01</v>
      </c>
      <c r="BQ2481">
        <v>154.30000000000001</v>
      </c>
      <c r="BR2481">
        <v>44.14</v>
      </c>
      <c r="BS2481">
        <v>67.44</v>
      </c>
      <c r="BT2481">
        <v>289.54000000000002</v>
      </c>
      <c r="BU2481">
        <v>39.380000000000003</v>
      </c>
      <c r="BV2481">
        <v>15.59</v>
      </c>
      <c r="BW2481">
        <v>267.95</v>
      </c>
      <c r="BX2481">
        <v>67.849999999999994</v>
      </c>
      <c r="BY2481">
        <v>107.48</v>
      </c>
      <c r="BZ2481">
        <v>57.42</v>
      </c>
      <c r="CA2481">
        <v>1.3</v>
      </c>
      <c r="CB2481">
        <v>92.14</v>
      </c>
      <c r="CC2481">
        <v>112.62</v>
      </c>
      <c r="CD2481">
        <v>92.13</v>
      </c>
      <c r="CE2481">
        <v>-5.99</v>
      </c>
      <c r="CF2481">
        <v>4.32</v>
      </c>
      <c r="CG2481">
        <v>-5.88</v>
      </c>
      <c r="CH2481">
        <v>-5.77</v>
      </c>
      <c r="CI2481">
        <v>-5.27</v>
      </c>
      <c r="CJ2481">
        <v>-0.12</v>
      </c>
      <c r="CK2481">
        <v>-6.73</v>
      </c>
      <c r="CL2481">
        <v>30.45</v>
      </c>
      <c r="CM2481">
        <v>-24.84</v>
      </c>
      <c r="CN2481">
        <v>-29.17</v>
      </c>
      <c r="CO2481">
        <v>145474</v>
      </c>
      <c r="CP2481">
        <v>14648</v>
      </c>
      <c r="CQ2481" t="s">
        <v>11448</v>
      </c>
      <c r="CR2481">
        <v>-404.12</v>
      </c>
      <c r="CS2481">
        <v>41.52</v>
      </c>
      <c r="CT2481">
        <v>1.1599999999999999</v>
      </c>
      <c r="CU2481">
        <v>-8.1199999999999992</v>
      </c>
      <c r="CV2481">
        <v>1.79</v>
      </c>
      <c r="CW2481">
        <v>0.16</v>
      </c>
      <c r="CX2481" t="s">
        <v>2691</v>
      </c>
      <c r="CY2481">
        <v>5.21</v>
      </c>
      <c r="CZ2481">
        <v>5.21</v>
      </c>
      <c r="DA2481">
        <v>2.75</v>
      </c>
      <c r="DB2481">
        <v>0.91</v>
      </c>
      <c r="DC2481">
        <v>-0.74</v>
      </c>
      <c r="DD2481">
        <v>25.32</v>
      </c>
      <c r="DE2481" t="s">
        <v>11449</v>
      </c>
      <c r="DF2481">
        <v>18.190000000000001</v>
      </c>
      <c r="DG2481">
        <v>-5.32</v>
      </c>
      <c r="DH2481">
        <v>-4.68</v>
      </c>
      <c r="DI2481">
        <v>5.52</v>
      </c>
      <c r="DJ2481">
        <v>12556</v>
      </c>
      <c r="DK2481">
        <v>600100</v>
      </c>
      <c r="DL2481" t="s">
        <v>120</v>
      </c>
      <c r="DM2481" t="s">
        <v>120</v>
      </c>
      <c r="DN2481" t="s">
        <v>120</v>
      </c>
    </row>
    <row r="2482" spans="1:118">
      <c r="A2482" t="str">
        <f>"600101"</f>
        <v>600101</v>
      </c>
      <c r="B2482" t="s">
        <v>11450</v>
      </c>
      <c r="C2482">
        <v>1.47</v>
      </c>
      <c r="D2482">
        <v>-0.14000000000000001</v>
      </c>
      <c r="E2482">
        <v>1.18</v>
      </c>
      <c r="F2482">
        <v>1169</v>
      </c>
      <c r="G2482" t="s">
        <v>10524</v>
      </c>
      <c r="H2482">
        <v>18918.490000000002</v>
      </c>
      <c r="I2482">
        <v>59.48</v>
      </c>
      <c r="J2482" t="s">
        <v>120</v>
      </c>
      <c r="K2482" t="s">
        <v>6158</v>
      </c>
      <c r="L2482">
        <v>6.41</v>
      </c>
      <c r="M2482">
        <v>6.88</v>
      </c>
      <c r="N2482">
        <v>1.54</v>
      </c>
      <c r="O2482">
        <v>6.93</v>
      </c>
      <c r="P2482">
        <v>7.25</v>
      </c>
      <c r="Q2482">
        <v>-0.44</v>
      </c>
      <c r="R2482">
        <v>6.75</v>
      </c>
      <c r="S2482">
        <v>6.86</v>
      </c>
      <c r="T2482">
        <v>270248</v>
      </c>
      <c r="U2482">
        <v>6.88</v>
      </c>
      <c r="V2482">
        <v>6.78</v>
      </c>
      <c r="W2482">
        <v>23.48</v>
      </c>
      <c r="X2482" t="s">
        <v>1287</v>
      </c>
      <c r="Y2482" t="s">
        <v>578</v>
      </c>
      <c r="Z2482">
        <v>7.37</v>
      </c>
      <c r="AA2482">
        <v>7</v>
      </c>
      <c r="AB2482">
        <v>123587</v>
      </c>
      <c r="AC2482">
        <v>146661</v>
      </c>
      <c r="AD2482">
        <v>0.84</v>
      </c>
      <c r="AE2482">
        <v>841</v>
      </c>
      <c r="AF2482">
        <v>163</v>
      </c>
      <c r="AG2482" t="s">
        <v>120</v>
      </c>
      <c r="AH2482">
        <v>0.03</v>
      </c>
      <c r="AI2482" t="s">
        <v>120</v>
      </c>
      <c r="AJ2482">
        <v>4.21</v>
      </c>
      <c r="AK2482" t="s">
        <v>6158</v>
      </c>
      <c r="AL2482">
        <v>2.82</v>
      </c>
      <c r="AM2482">
        <v>3440</v>
      </c>
      <c r="AN2482">
        <v>79</v>
      </c>
      <c r="AO2482">
        <v>1.9E-3</v>
      </c>
      <c r="AP2482">
        <v>2</v>
      </c>
      <c r="AQ2482">
        <v>3.83</v>
      </c>
      <c r="AR2482">
        <v>2.38</v>
      </c>
      <c r="AS2482">
        <v>22.21</v>
      </c>
      <c r="AT2482">
        <v>29.08</v>
      </c>
      <c r="AU2482">
        <v>17.010000000000002</v>
      </c>
      <c r="AV2482">
        <v>0</v>
      </c>
      <c r="AW2482">
        <v>9.35</v>
      </c>
      <c r="AX2482">
        <v>68.58</v>
      </c>
      <c r="AY2482">
        <v>32.479999999999997</v>
      </c>
      <c r="AZ2482">
        <v>40.81</v>
      </c>
      <c r="BA2482">
        <v>0.65</v>
      </c>
      <c r="BB2482" t="s">
        <v>184</v>
      </c>
      <c r="BF2482">
        <v>3.25</v>
      </c>
      <c r="BG2482">
        <v>0.28999999999999998</v>
      </c>
      <c r="BH2482">
        <v>-5.0999999999999996</v>
      </c>
      <c r="BI2482">
        <v>1.93</v>
      </c>
      <c r="BJ2482">
        <v>20210827</v>
      </c>
      <c r="BK2482">
        <v>19970627</v>
      </c>
      <c r="BL2482">
        <v>4.21</v>
      </c>
      <c r="BM2482" t="s">
        <v>120</v>
      </c>
      <c r="BN2482" t="s">
        <v>120</v>
      </c>
      <c r="BO2482">
        <v>35.5</v>
      </c>
      <c r="BP2482">
        <v>6.87</v>
      </c>
      <c r="BQ2482">
        <v>24.65</v>
      </c>
      <c r="BR2482">
        <v>0.08</v>
      </c>
      <c r="BS2482">
        <v>30.33</v>
      </c>
      <c r="BT2482">
        <v>10.06</v>
      </c>
      <c r="BU2482">
        <v>19.510000000000002</v>
      </c>
      <c r="BV2482">
        <v>1.72</v>
      </c>
      <c r="BW2482">
        <v>8.01</v>
      </c>
      <c r="BX2482">
        <v>8.19</v>
      </c>
      <c r="BY2482">
        <v>0.54</v>
      </c>
      <c r="BZ2482">
        <v>0.42</v>
      </c>
      <c r="CA2482">
        <v>0.01</v>
      </c>
      <c r="CB2482">
        <v>5.09</v>
      </c>
      <c r="CC2482">
        <v>8.24</v>
      </c>
      <c r="CD2482">
        <v>7.25</v>
      </c>
      <c r="CE2482">
        <v>0.75</v>
      </c>
      <c r="CF2482">
        <v>0.14000000000000001</v>
      </c>
      <c r="CG2482">
        <v>0.73</v>
      </c>
      <c r="CH2482">
        <v>0.61</v>
      </c>
      <c r="CI2482">
        <v>0.62</v>
      </c>
      <c r="CJ2482">
        <v>0.1</v>
      </c>
      <c r="CK2482">
        <v>0.59</v>
      </c>
      <c r="CL2482">
        <v>13.69</v>
      </c>
      <c r="CM2482">
        <v>1.08</v>
      </c>
      <c r="CN2482">
        <v>0.04</v>
      </c>
      <c r="CO2482">
        <v>30875</v>
      </c>
      <c r="CP2482">
        <v>9360</v>
      </c>
      <c r="CQ2482" t="s">
        <v>3967</v>
      </c>
      <c r="CR2482">
        <v>40.96</v>
      </c>
      <c r="CS2482">
        <v>7.5</v>
      </c>
      <c r="CT2482">
        <v>1.18</v>
      </c>
      <c r="CU2482">
        <v>26.89</v>
      </c>
      <c r="CV2482">
        <v>3.52</v>
      </c>
      <c r="CW2482">
        <v>0.74</v>
      </c>
      <c r="CX2482" t="s">
        <v>3585</v>
      </c>
      <c r="CY2482">
        <v>5.85</v>
      </c>
      <c r="CZ2482">
        <v>0</v>
      </c>
      <c r="DA2482">
        <v>1.21</v>
      </c>
      <c r="DB2482">
        <v>3.25</v>
      </c>
      <c r="DC2482">
        <v>0.26</v>
      </c>
      <c r="DD2482">
        <v>69.44</v>
      </c>
      <c r="DE2482" t="s">
        <v>5258</v>
      </c>
      <c r="DF2482">
        <v>11.99</v>
      </c>
      <c r="DG2482">
        <v>9.11</v>
      </c>
      <c r="DH2482">
        <v>7.49</v>
      </c>
      <c r="DI2482">
        <v>0</v>
      </c>
      <c r="DJ2482">
        <v>1699</v>
      </c>
      <c r="DK2482">
        <v>600101</v>
      </c>
      <c r="DL2482" t="s">
        <v>120</v>
      </c>
      <c r="DM2482" t="s">
        <v>120</v>
      </c>
      <c r="DN2482" t="s">
        <v>120</v>
      </c>
    </row>
    <row r="2483" spans="1:118">
      <c r="A2483" t="str">
        <f>"600103"</f>
        <v>600103</v>
      </c>
      <c r="B2483" t="s">
        <v>11451</v>
      </c>
      <c r="C2483">
        <v>2.75</v>
      </c>
      <c r="D2483">
        <v>-0.32</v>
      </c>
      <c r="E2483">
        <v>0</v>
      </c>
      <c r="F2483">
        <v>7071</v>
      </c>
      <c r="G2483" t="s">
        <v>9345</v>
      </c>
      <c r="H2483">
        <v>34888.15</v>
      </c>
      <c r="I2483">
        <v>42.86</v>
      </c>
      <c r="J2483" t="s">
        <v>120</v>
      </c>
      <c r="K2483" t="s">
        <v>11452</v>
      </c>
      <c r="L2483">
        <v>4.9800000000000004</v>
      </c>
      <c r="M2483">
        <v>2.99</v>
      </c>
      <c r="N2483">
        <v>1.5</v>
      </c>
      <c r="O2483">
        <v>8.93</v>
      </c>
      <c r="P2483">
        <v>3.17</v>
      </c>
      <c r="Q2483">
        <v>-1.03</v>
      </c>
      <c r="R2483">
        <v>2.88</v>
      </c>
      <c r="S2483">
        <v>2.91</v>
      </c>
      <c r="T2483">
        <v>1149449</v>
      </c>
      <c r="U2483">
        <v>3</v>
      </c>
      <c r="V2483">
        <v>2.91</v>
      </c>
      <c r="W2483">
        <v>30.79</v>
      </c>
      <c r="X2483" t="s">
        <v>814</v>
      </c>
      <c r="Y2483" t="s">
        <v>937</v>
      </c>
      <c r="Z2483">
        <v>9.9700000000000006</v>
      </c>
      <c r="AA2483">
        <v>3.04</v>
      </c>
      <c r="AB2483">
        <v>533308</v>
      </c>
      <c r="AC2483">
        <v>616141</v>
      </c>
      <c r="AD2483">
        <v>0.87</v>
      </c>
      <c r="AE2483">
        <v>10798</v>
      </c>
      <c r="AF2483">
        <v>8410</v>
      </c>
      <c r="AG2483" t="s">
        <v>120</v>
      </c>
      <c r="AH2483">
        <v>0.01</v>
      </c>
      <c r="AI2483" t="s">
        <v>120</v>
      </c>
      <c r="AJ2483">
        <v>23.06</v>
      </c>
      <c r="AK2483" t="s">
        <v>11452</v>
      </c>
      <c r="AL2483">
        <v>4.09</v>
      </c>
      <c r="AM2483">
        <v>3901</v>
      </c>
      <c r="AN2483">
        <v>295</v>
      </c>
      <c r="AO2483">
        <v>1.2999999999999999E-3</v>
      </c>
      <c r="AP2483">
        <v>2</v>
      </c>
      <c r="AQ2483">
        <v>2.83</v>
      </c>
      <c r="AR2483">
        <v>1.36</v>
      </c>
      <c r="AS2483">
        <v>16.34</v>
      </c>
      <c r="AT2483">
        <v>21.54</v>
      </c>
      <c r="AU2483">
        <v>58.2</v>
      </c>
      <c r="AV2483">
        <v>5</v>
      </c>
      <c r="AW2483">
        <v>7.47</v>
      </c>
      <c r="AX2483">
        <v>66.709999999999994</v>
      </c>
      <c r="AY2483">
        <v>33.1</v>
      </c>
      <c r="AZ2483">
        <v>87.67</v>
      </c>
      <c r="BA2483">
        <v>1.17</v>
      </c>
      <c r="BB2483" t="s">
        <v>184</v>
      </c>
      <c r="BF2483">
        <v>4.3</v>
      </c>
      <c r="BG2483">
        <v>2.75</v>
      </c>
      <c r="BH2483">
        <v>-5.68</v>
      </c>
      <c r="BI2483">
        <v>3.82</v>
      </c>
      <c r="BJ2483">
        <v>20210824</v>
      </c>
      <c r="BK2483">
        <v>19970703</v>
      </c>
      <c r="BL2483">
        <v>23.06</v>
      </c>
      <c r="BM2483" t="s">
        <v>120</v>
      </c>
      <c r="BN2483" t="s">
        <v>120</v>
      </c>
      <c r="BO2483">
        <v>54.28</v>
      </c>
      <c r="BP2483">
        <v>2.99</v>
      </c>
      <c r="BQ2483">
        <v>35.78</v>
      </c>
      <c r="BR2483">
        <v>2.86</v>
      </c>
      <c r="BS2483">
        <v>28.81</v>
      </c>
      <c r="BT2483">
        <v>32.51</v>
      </c>
      <c r="BU2483">
        <v>14.11</v>
      </c>
      <c r="BV2483">
        <v>2.13</v>
      </c>
      <c r="BW2483">
        <v>12.46</v>
      </c>
      <c r="BX2483">
        <v>3.74</v>
      </c>
      <c r="BY2483">
        <v>5.54</v>
      </c>
      <c r="BZ2483">
        <v>3.09</v>
      </c>
      <c r="CA2483">
        <v>0.06</v>
      </c>
      <c r="CB2483">
        <v>8.26</v>
      </c>
      <c r="CC2483">
        <v>14.23</v>
      </c>
      <c r="CD2483">
        <v>11.12</v>
      </c>
      <c r="CE2483">
        <v>1.39</v>
      </c>
      <c r="CF2483">
        <v>0.26</v>
      </c>
      <c r="CG2483">
        <v>1.39</v>
      </c>
      <c r="CH2483">
        <v>1.22</v>
      </c>
      <c r="CI2483">
        <v>1.1200000000000001</v>
      </c>
      <c r="CJ2483">
        <v>0.08</v>
      </c>
      <c r="CK2483">
        <v>0.89</v>
      </c>
      <c r="CL2483">
        <v>4.4400000000000004</v>
      </c>
      <c r="CM2483">
        <v>2.35</v>
      </c>
      <c r="CN2483">
        <v>-1.03</v>
      </c>
      <c r="CO2483">
        <v>130094</v>
      </c>
      <c r="CP2483">
        <v>11825</v>
      </c>
      <c r="CQ2483" t="s">
        <v>11453</v>
      </c>
      <c r="CR2483">
        <v>887.31</v>
      </c>
      <c r="CS2483">
        <v>32.58</v>
      </c>
      <c r="CT2483">
        <v>1.93</v>
      </c>
      <c r="CU2483">
        <v>29.32</v>
      </c>
      <c r="CV2483">
        <v>4.8499999999999996</v>
      </c>
      <c r="CW2483">
        <v>0</v>
      </c>
      <c r="CX2483" t="s">
        <v>1248</v>
      </c>
      <c r="CY2483">
        <v>1.55</v>
      </c>
      <c r="CZ2483">
        <v>0</v>
      </c>
      <c r="DA2483">
        <v>0.36</v>
      </c>
      <c r="DB2483">
        <v>0.19</v>
      </c>
      <c r="DC2483">
        <v>0.1</v>
      </c>
      <c r="DD2483">
        <v>65.92</v>
      </c>
      <c r="DE2483" t="s">
        <v>3247</v>
      </c>
      <c r="DF2483">
        <v>21.84</v>
      </c>
      <c r="DG2483">
        <v>9.76</v>
      </c>
      <c r="DH2483">
        <v>7.87</v>
      </c>
      <c r="DI2483">
        <v>0.2</v>
      </c>
      <c r="DJ2483">
        <v>3593</v>
      </c>
      <c r="DK2483">
        <v>600103</v>
      </c>
      <c r="DL2483" t="s">
        <v>120</v>
      </c>
      <c r="DM2483" t="s">
        <v>120</v>
      </c>
      <c r="DN2483" t="s">
        <v>120</v>
      </c>
    </row>
    <row r="2484" spans="1:118">
      <c r="A2484" t="str">
        <f>"600104"</f>
        <v>600104</v>
      </c>
      <c r="B2484" t="s">
        <v>11454</v>
      </c>
      <c r="C2484">
        <v>-0.99</v>
      </c>
      <c r="D2484">
        <v>-0.14000000000000001</v>
      </c>
      <c r="E2484">
        <v>0.15</v>
      </c>
      <c r="F2484">
        <v>15232</v>
      </c>
      <c r="G2484" t="s">
        <v>11455</v>
      </c>
      <c r="H2484">
        <v>78505.87</v>
      </c>
      <c r="I2484">
        <v>436.58</v>
      </c>
      <c r="J2484" t="s">
        <v>120</v>
      </c>
      <c r="K2484" t="s">
        <v>11456</v>
      </c>
      <c r="L2484">
        <v>0.33</v>
      </c>
      <c r="M2484">
        <v>20.010000000000002</v>
      </c>
      <c r="N2484">
        <v>0.7</v>
      </c>
      <c r="O2484">
        <v>0.79</v>
      </c>
      <c r="P2484">
        <v>20.37</v>
      </c>
      <c r="Q2484">
        <v>-0.99</v>
      </c>
      <c r="R2484">
        <v>20.010000000000002</v>
      </c>
      <c r="S2484">
        <v>20.239999999999998</v>
      </c>
      <c r="T2484">
        <v>389574</v>
      </c>
      <c r="U2484">
        <v>20.02</v>
      </c>
      <c r="V2484">
        <v>20.21</v>
      </c>
      <c r="W2484">
        <v>8.7799999999999994</v>
      </c>
      <c r="X2484" t="s">
        <v>1068</v>
      </c>
      <c r="Y2484" t="s">
        <v>1510</v>
      </c>
      <c r="Z2484">
        <v>1.78</v>
      </c>
      <c r="AA2484">
        <v>20.149999999999999</v>
      </c>
      <c r="AB2484">
        <v>205182</v>
      </c>
      <c r="AC2484">
        <v>184392</v>
      </c>
      <c r="AD2484">
        <v>1.1100000000000001</v>
      </c>
      <c r="AE2484">
        <v>2085</v>
      </c>
      <c r="AF2484">
        <v>19</v>
      </c>
      <c r="AG2484" t="s">
        <v>120</v>
      </c>
      <c r="AH2484">
        <v>0.01</v>
      </c>
      <c r="AI2484" t="s">
        <v>120</v>
      </c>
      <c r="AJ2484">
        <v>116.83</v>
      </c>
      <c r="AK2484" t="s">
        <v>11456</v>
      </c>
      <c r="AL2484">
        <v>0.35</v>
      </c>
      <c r="AM2484">
        <v>4531</v>
      </c>
      <c r="AN2484">
        <v>86</v>
      </c>
      <c r="AO2484">
        <v>1E-4</v>
      </c>
      <c r="AP2484">
        <v>-4</v>
      </c>
      <c r="AQ2484">
        <v>-1.08</v>
      </c>
      <c r="AR2484">
        <v>-3.2</v>
      </c>
      <c r="AS2484">
        <v>6.72</v>
      </c>
      <c r="AT2484">
        <v>-6.37</v>
      </c>
      <c r="AU2484">
        <v>-16</v>
      </c>
      <c r="AV2484">
        <v>2</v>
      </c>
      <c r="AW2484">
        <v>1.1599999999999999</v>
      </c>
      <c r="AX2484">
        <v>28.76</v>
      </c>
      <c r="AY2484">
        <v>9.31</v>
      </c>
      <c r="AZ2484">
        <v>11.56</v>
      </c>
      <c r="BA2484">
        <v>1.1499999999999999</v>
      </c>
      <c r="BB2484" t="s">
        <v>143</v>
      </c>
      <c r="BF2484">
        <v>-0.28999999999999998</v>
      </c>
      <c r="BG2484">
        <v>-1.1399999999999999</v>
      </c>
      <c r="BH2484">
        <v>-1.77</v>
      </c>
      <c r="BI2484">
        <v>0</v>
      </c>
      <c r="BJ2484">
        <v>20210827</v>
      </c>
      <c r="BK2484">
        <v>19971125</v>
      </c>
      <c r="BL2484">
        <v>116.83</v>
      </c>
      <c r="BM2484" t="s">
        <v>120</v>
      </c>
      <c r="BN2484" t="s">
        <v>120</v>
      </c>
      <c r="BO2484">
        <v>8834.77</v>
      </c>
      <c r="BP2484">
        <v>20.010000000000002</v>
      </c>
      <c r="BQ2484">
        <v>2759.75</v>
      </c>
      <c r="BR2484">
        <v>532.71</v>
      </c>
      <c r="BS2484">
        <v>62.73</v>
      </c>
      <c r="BT2484">
        <v>5339.03</v>
      </c>
      <c r="BU2484">
        <v>806.36</v>
      </c>
      <c r="BV2484">
        <v>158.03</v>
      </c>
      <c r="BW2484">
        <v>4420</v>
      </c>
      <c r="BX2484">
        <v>1672.79</v>
      </c>
      <c r="BY2484">
        <v>475.51</v>
      </c>
      <c r="BZ2484">
        <v>421.3</v>
      </c>
      <c r="CA2484" t="s">
        <v>120</v>
      </c>
      <c r="CB2484">
        <v>570.24</v>
      </c>
      <c r="CC2484">
        <v>3566.14</v>
      </c>
      <c r="CD2484">
        <v>3158.2</v>
      </c>
      <c r="CE2484">
        <v>237.73</v>
      </c>
      <c r="CF2484">
        <v>104.18</v>
      </c>
      <c r="CG2484">
        <v>239.51</v>
      </c>
      <c r="CH2484">
        <v>190.43</v>
      </c>
      <c r="CI2484">
        <v>133.13999999999999</v>
      </c>
      <c r="CJ2484">
        <v>-0.2</v>
      </c>
      <c r="CK2484">
        <v>118.54</v>
      </c>
      <c r="CL2484">
        <v>1480.85</v>
      </c>
      <c r="CM2484">
        <v>15.85</v>
      </c>
      <c r="CN2484">
        <v>278.67</v>
      </c>
      <c r="CO2484">
        <v>245303</v>
      </c>
      <c r="CP2484">
        <v>13699</v>
      </c>
      <c r="CQ2484" t="s">
        <v>11457</v>
      </c>
      <c r="CR2484">
        <v>58.61</v>
      </c>
      <c r="CS2484">
        <v>29.9</v>
      </c>
      <c r="CT2484">
        <v>0.85</v>
      </c>
      <c r="CU2484">
        <v>147.52000000000001</v>
      </c>
      <c r="CV2484">
        <v>0.66</v>
      </c>
      <c r="CW2484">
        <v>3.04</v>
      </c>
      <c r="CX2484" t="s">
        <v>11458</v>
      </c>
      <c r="CY2484">
        <v>23.62</v>
      </c>
      <c r="CZ2484">
        <v>0</v>
      </c>
      <c r="DA2484">
        <v>4.88</v>
      </c>
      <c r="DB2484">
        <v>12.67</v>
      </c>
      <c r="DC2484">
        <v>0.14000000000000001</v>
      </c>
      <c r="DD2484">
        <v>31.24</v>
      </c>
      <c r="DE2484" t="s">
        <v>11459</v>
      </c>
      <c r="DF2484">
        <v>11.44</v>
      </c>
      <c r="DG2484">
        <v>6.67</v>
      </c>
      <c r="DH2484">
        <v>3.73</v>
      </c>
      <c r="DI2484">
        <v>77.64</v>
      </c>
      <c r="DJ2484">
        <v>204815</v>
      </c>
      <c r="DK2484">
        <v>600104</v>
      </c>
      <c r="DL2484" t="s">
        <v>120</v>
      </c>
      <c r="DM2484" t="s">
        <v>120</v>
      </c>
      <c r="DN2484" t="s">
        <v>120</v>
      </c>
    </row>
    <row r="2485" spans="1:118">
      <c r="A2485" t="str">
        <f>"600105"</f>
        <v>600105</v>
      </c>
      <c r="B2485" t="s">
        <v>11460</v>
      </c>
      <c r="C2485">
        <v>-3.93</v>
      </c>
      <c r="D2485">
        <v>-0.25</v>
      </c>
      <c r="E2485">
        <v>0.25</v>
      </c>
      <c r="F2485">
        <v>1776</v>
      </c>
      <c r="G2485" t="s">
        <v>1765</v>
      </c>
      <c r="H2485">
        <v>22409.68</v>
      </c>
      <c r="I2485">
        <v>37.17</v>
      </c>
      <c r="J2485" t="s">
        <v>120</v>
      </c>
      <c r="K2485" t="s">
        <v>11461</v>
      </c>
      <c r="L2485">
        <v>4.08</v>
      </c>
      <c r="M2485">
        <v>3.91</v>
      </c>
      <c r="N2485">
        <v>1.02</v>
      </c>
      <c r="O2485">
        <v>0.49</v>
      </c>
      <c r="P2485">
        <v>4.09</v>
      </c>
      <c r="Q2485">
        <v>-4.42</v>
      </c>
      <c r="R2485">
        <v>3.89</v>
      </c>
      <c r="S2485">
        <v>4.08</v>
      </c>
      <c r="T2485">
        <v>563079</v>
      </c>
      <c r="U2485">
        <v>3.92</v>
      </c>
      <c r="V2485">
        <v>4.07</v>
      </c>
      <c r="W2485">
        <v>21.21</v>
      </c>
      <c r="X2485" t="s">
        <v>462</v>
      </c>
      <c r="Y2485" t="s">
        <v>319</v>
      </c>
      <c r="Z2485">
        <v>4.91</v>
      </c>
      <c r="AA2485">
        <v>3.98</v>
      </c>
      <c r="AB2485">
        <v>341881</v>
      </c>
      <c r="AC2485">
        <v>221198</v>
      </c>
      <c r="AD2485">
        <v>1.55</v>
      </c>
      <c r="AE2485">
        <v>4992</v>
      </c>
      <c r="AF2485">
        <v>3957</v>
      </c>
      <c r="AG2485" t="s">
        <v>120</v>
      </c>
      <c r="AH2485">
        <v>0.01</v>
      </c>
      <c r="AI2485" t="s">
        <v>120</v>
      </c>
      <c r="AJ2485">
        <v>13.81</v>
      </c>
      <c r="AK2485" t="s">
        <v>11461</v>
      </c>
      <c r="AL2485">
        <v>-2.59</v>
      </c>
      <c r="AM2485">
        <v>3442</v>
      </c>
      <c r="AN2485">
        <v>164</v>
      </c>
      <c r="AO2485">
        <v>1.1999999999999999E-3</v>
      </c>
      <c r="AP2485">
        <v>-1</v>
      </c>
      <c r="AQ2485">
        <v>2.78</v>
      </c>
      <c r="AR2485">
        <v>-2.25</v>
      </c>
      <c r="AS2485">
        <v>11.39</v>
      </c>
      <c r="AT2485">
        <v>1.04</v>
      </c>
      <c r="AU2485">
        <v>4.54</v>
      </c>
      <c r="AV2485">
        <v>5</v>
      </c>
      <c r="AW2485">
        <v>6.45</v>
      </c>
      <c r="AX2485">
        <v>63.18</v>
      </c>
      <c r="AY2485" t="s">
        <v>120</v>
      </c>
      <c r="AZ2485" t="s">
        <v>120</v>
      </c>
      <c r="BA2485">
        <v>0.91</v>
      </c>
      <c r="BB2485" t="s">
        <v>184</v>
      </c>
      <c r="BF2485">
        <v>-2.21</v>
      </c>
      <c r="BG2485">
        <v>-4.17</v>
      </c>
      <c r="BH2485">
        <v>-4.4000000000000004</v>
      </c>
      <c r="BI2485">
        <v>0.51</v>
      </c>
      <c r="BJ2485">
        <v>20210825</v>
      </c>
      <c r="BK2485">
        <v>19970929</v>
      </c>
      <c r="BL2485">
        <v>13.81</v>
      </c>
      <c r="BM2485" t="s">
        <v>120</v>
      </c>
      <c r="BN2485" t="s">
        <v>120</v>
      </c>
      <c r="BO2485">
        <v>76.86</v>
      </c>
      <c r="BP2485">
        <v>3.91</v>
      </c>
      <c r="BQ2485">
        <v>28.41</v>
      </c>
      <c r="BR2485">
        <v>3.24</v>
      </c>
      <c r="BS2485">
        <v>58.83</v>
      </c>
      <c r="BT2485">
        <v>40.159999999999997</v>
      </c>
      <c r="BU2485">
        <v>6.88</v>
      </c>
      <c r="BV2485">
        <v>1.67</v>
      </c>
      <c r="BW2485">
        <v>40.64</v>
      </c>
      <c r="BX2485">
        <v>13.81</v>
      </c>
      <c r="BY2485">
        <v>4.79</v>
      </c>
      <c r="BZ2485">
        <v>9.35</v>
      </c>
      <c r="CA2485" t="s">
        <v>120</v>
      </c>
      <c r="CB2485">
        <v>11.08</v>
      </c>
      <c r="CC2485">
        <v>19.59</v>
      </c>
      <c r="CD2485">
        <v>17.45</v>
      </c>
      <c r="CE2485">
        <v>1.77</v>
      </c>
      <c r="CF2485">
        <v>2.14</v>
      </c>
      <c r="CG2485">
        <v>1.76</v>
      </c>
      <c r="CH2485">
        <v>1.53</v>
      </c>
      <c r="CI2485">
        <v>1.27</v>
      </c>
      <c r="CJ2485">
        <v>-0.16</v>
      </c>
      <c r="CK2485">
        <v>0.11</v>
      </c>
      <c r="CL2485">
        <v>0.15</v>
      </c>
      <c r="CM2485">
        <v>-5.13</v>
      </c>
      <c r="CN2485">
        <v>-6.27</v>
      </c>
      <c r="CO2485">
        <v>80478</v>
      </c>
      <c r="CP2485">
        <v>10842</v>
      </c>
      <c r="CQ2485" t="s">
        <v>11462</v>
      </c>
      <c r="CR2485">
        <v>179.35</v>
      </c>
      <c r="CS2485">
        <v>58.15</v>
      </c>
      <c r="CT2485">
        <v>1.93</v>
      </c>
      <c r="CU2485">
        <v>-10.53</v>
      </c>
      <c r="CV2485">
        <v>2.76</v>
      </c>
      <c r="CW2485">
        <v>0</v>
      </c>
      <c r="CX2485" t="s">
        <v>329</v>
      </c>
      <c r="CY2485">
        <v>2.02</v>
      </c>
      <c r="CZ2485">
        <v>2.02</v>
      </c>
      <c r="DA2485">
        <v>0.8</v>
      </c>
      <c r="DB2485">
        <v>0.01</v>
      </c>
      <c r="DC2485">
        <v>-0.37</v>
      </c>
      <c r="DD2485">
        <v>36.96</v>
      </c>
      <c r="DE2485" t="s">
        <v>7019</v>
      </c>
      <c r="DF2485">
        <v>10.95</v>
      </c>
      <c r="DG2485">
        <v>9.0399999999999991</v>
      </c>
      <c r="DH2485">
        <v>6.5</v>
      </c>
      <c r="DI2485">
        <v>0.8</v>
      </c>
      <c r="DJ2485">
        <v>4148</v>
      </c>
      <c r="DK2485">
        <v>600105</v>
      </c>
      <c r="DL2485" t="s">
        <v>120</v>
      </c>
      <c r="DM2485" t="s">
        <v>120</v>
      </c>
      <c r="DN2485" t="s">
        <v>120</v>
      </c>
    </row>
    <row r="2486" spans="1:118">
      <c r="A2486" t="str">
        <f>"600106"</f>
        <v>600106</v>
      </c>
      <c r="B2486" t="s">
        <v>11463</v>
      </c>
      <c r="C2486">
        <v>-1.41</v>
      </c>
      <c r="D2486">
        <v>0</v>
      </c>
      <c r="E2486">
        <v>0</v>
      </c>
      <c r="F2486">
        <v>414</v>
      </c>
      <c r="G2486" t="s">
        <v>11464</v>
      </c>
      <c r="H2486">
        <v>4471.75</v>
      </c>
      <c r="I2486">
        <v>40.19</v>
      </c>
      <c r="J2486" t="s">
        <v>120</v>
      </c>
      <c r="K2486" t="s">
        <v>11465</v>
      </c>
      <c r="L2486">
        <v>1.18</v>
      </c>
      <c r="M2486">
        <v>2.8</v>
      </c>
      <c r="N2486">
        <v>0.55000000000000004</v>
      </c>
      <c r="O2486">
        <v>2.46</v>
      </c>
      <c r="P2486">
        <v>2.91</v>
      </c>
      <c r="Q2486">
        <v>-1.41</v>
      </c>
      <c r="R2486">
        <v>2.8</v>
      </c>
      <c r="S2486">
        <v>2.84</v>
      </c>
      <c r="T2486">
        <v>156876</v>
      </c>
      <c r="U2486">
        <v>2.81</v>
      </c>
      <c r="V2486">
        <v>2.84</v>
      </c>
      <c r="W2486">
        <v>13</v>
      </c>
      <c r="X2486" t="s">
        <v>800</v>
      </c>
      <c r="Y2486" t="s">
        <v>883</v>
      </c>
      <c r="Z2486">
        <v>3.87</v>
      </c>
      <c r="AA2486">
        <v>2.85</v>
      </c>
      <c r="AB2486">
        <v>87613</v>
      </c>
      <c r="AC2486">
        <v>69263</v>
      </c>
      <c r="AD2486">
        <v>1.26</v>
      </c>
      <c r="AE2486">
        <v>5766</v>
      </c>
      <c r="AF2486">
        <v>35</v>
      </c>
      <c r="AG2486" t="s">
        <v>120</v>
      </c>
      <c r="AH2486">
        <v>0.02</v>
      </c>
      <c r="AI2486" t="s">
        <v>120</v>
      </c>
      <c r="AJ2486">
        <v>13.29</v>
      </c>
      <c r="AK2486" t="s">
        <v>11465</v>
      </c>
      <c r="AL2486">
        <v>-0.06</v>
      </c>
      <c r="AM2486">
        <v>1712</v>
      </c>
      <c r="AN2486">
        <v>92</v>
      </c>
      <c r="AO2486">
        <v>6.9999999999999999E-4</v>
      </c>
      <c r="AP2486">
        <v>-1</v>
      </c>
      <c r="AQ2486">
        <v>1.43</v>
      </c>
      <c r="AR2486">
        <v>-2.44</v>
      </c>
      <c r="AS2486">
        <v>15.22</v>
      </c>
      <c r="AT2486">
        <v>11.2</v>
      </c>
      <c r="AU2486">
        <v>6.55</v>
      </c>
      <c r="AV2486">
        <v>0</v>
      </c>
      <c r="AW2486">
        <v>1.69</v>
      </c>
      <c r="AX2486">
        <v>70.05</v>
      </c>
      <c r="AY2486">
        <v>15.3</v>
      </c>
      <c r="AZ2486">
        <v>16.61</v>
      </c>
      <c r="BA2486">
        <v>0.55000000000000004</v>
      </c>
      <c r="BB2486" t="s">
        <v>184</v>
      </c>
      <c r="BF2486">
        <v>0.37</v>
      </c>
      <c r="BG2486">
        <v>-1.41</v>
      </c>
      <c r="BH2486">
        <v>-3.78</v>
      </c>
      <c r="BI2486">
        <v>0</v>
      </c>
      <c r="BJ2486">
        <v>20210827</v>
      </c>
      <c r="BK2486">
        <v>19970618</v>
      </c>
      <c r="BL2486">
        <v>13.29</v>
      </c>
      <c r="BM2486" t="s">
        <v>120</v>
      </c>
      <c r="BN2486" t="s">
        <v>120</v>
      </c>
      <c r="BO2486">
        <v>75.05</v>
      </c>
      <c r="BP2486">
        <v>2.8</v>
      </c>
      <c r="BQ2486">
        <v>47.72</v>
      </c>
      <c r="BR2486" t="s">
        <v>120</v>
      </c>
      <c r="BS2486">
        <v>36.409999999999997</v>
      </c>
      <c r="BT2486">
        <v>22.34</v>
      </c>
      <c r="BU2486">
        <v>2.59</v>
      </c>
      <c r="BV2486">
        <v>0</v>
      </c>
      <c r="BW2486">
        <v>9.32</v>
      </c>
      <c r="BX2486">
        <v>16.600000000000001</v>
      </c>
      <c r="BY2486">
        <v>3.54</v>
      </c>
      <c r="BZ2486">
        <v>0</v>
      </c>
      <c r="CA2486">
        <v>0.02</v>
      </c>
      <c r="CB2486">
        <v>0.54</v>
      </c>
      <c r="CC2486">
        <v>0.82</v>
      </c>
      <c r="CD2486">
        <v>0.12</v>
      </c>
      <c r="CE2486">
        <v>1.55</v>
      </c>
      <c r="CF2486">
        <v>0.98</v>
      </c>
      <c r="CG2486">
        <v>1.55</v>
      </c>
      <c r="CH2486">
        <v>1.43</v>
      </c>
      <c r="CI2486">
        <v>1.43</v>
      </c>
      <c r="CJ2486">
        <v>-0.04</v>
      </c>
      <c r="CK2486">
        <v>1.21</v>
      </c>
      <c r="CL2486">
        <v>17.059999999999999</v>
      </c>
      <c r="CM2486">
        <v>0.96</v>
      </c>
      <c r="CN2486">
        <v>-2.5099999999999998</v>
      </c>
      <c r="CO2486">
        <v>53516</v>
      </c>
      <c r="CP2486">
        <v>17395</v>
      </c>
      <c r="CQ2486" t="s">
        <v>10820</v>
      </c>
      <c r="CR2486">
        <v>15.68</v>
      </c>
      <c r="CS2486">
        <v>-29.23</v>
      </c>
      <c r="CT2486">
        <v>0.78</v>
      </c>
      <c r="CU2486">
        <v>38.700000000000003</v>
      </c>
      <c r="CV2486">
        <v>45.16</v>
      </c>
      <c r="CW2486">
        <v>1.83</v>
      </c>
      <c r="CX2486" t="s">
        <v>1147</v>
      </c>
      <c r="CY2486">
        <v>3.59</v>
      </c>
      <c r="CZ2486">
        <v>0</v>
      </c>
      <c r="DA2486">
        <v>0.04</v>
      </c>
      <c r="DB2486">
        <v>1.28</v>
      </c>
      <c r="DC2486">
        <v>7.0000000000000007E-2</v>
      </c>
      <c r="DD2486">
        <v>63.59</v>
      </c>
      <c r="DE2486" t="s">
        <v>2643</v>
      </c>
      <c r="DF2486">
        <v>85.4</v>
      </c>
      <c r="DG2486">
        <v>188.5</v>
      </c>
      <c r="DH2486">
        <v>173.69</v>
      </c>
      <c r="DI2486" t="s">
        <v>120</v>
      </c>
      <c r="DJ2486">
        <v>140</v>
      </c>
      <c r="DK2486">
        <v>600106</v>
      </c>
      <c r="DL2486" t="s">
        <v>120</v>
      </c>
      <c r="DM2486" t="s">
        <v>120</v>
      </c>
      <c r="DN2486" t="s">
        <v>120</v>
      </c>
    </row>
    <row r="2487" spans="1:118">
      <c r="A2487" t="str">
        <f>"600107"</f>
        <v>600107</v>
      </c>
      <c r="B2487" t="s">
        <v>11466</v>
      </c>
      <c r="C2487">
        <v>-1.98</v>
      </c>
      <c r="D2487">
        <v>-0.32</v>
      </c>
      <c r="E2487">
        <v>0.33</v>
      </c>
      <c r="F2487">
        <v>2198</v>
      </c>
      <c r="G2487" t="s">
        <v>10592</v>
      </c>
      <c r="H2487">
        <v>3146.8</v>
      </c>
      <c r="I2487">
        <v>0.12</v>
      </c>
      <c r="J2487" t="s">
        <v>120</v>
      </c>
      <c r="K2487" t="s">
        <v>4190</v>
      </c>
      <c r="L2487">
        <v>1.45</v>
      </c>
      <c r="M2487">
        <v>5.95</v>
      </c>
      <c r="N2487">
        <v>0.74</v>
      </c>
      <c r="O2487">
        <v>1.1499999999999999</v>
      </c>
      <c r="P2487">
        <v>6.14</v>
      </c>
      <c r="Q2487">
        <v>-2.14</v>
      </c>
      <c r="R2487">
        <v>5.94</v>
      </c>
      <c r="S2487">
        <v>6.09</v>
      </c>
      <c r="T2487">
        <v>52200</v>
      </c>
      <c r="U2487">
        <v>5.96</v>
      </c>
      <c r="V2487">
        <v>6.07</v>
      </c>
      <c r="W2487">
        <v>576.61</v>
      </c>
      <c r="X2487" t="s">
        <v>2806</v>
      </c>
      <c r="Y2487" t="s">
        <v>763</v>
      </c>
      <c r="Z2487">
        <v>3.29</v>
      </c>
      <c r="AA2487">
        <v>6.03</v>
      </c>
      <c r="AB2487">
        <v>32117</v>
      </c>
      <c r="AC2487">
        <v>20083</v>
      </c>
      <c r="AD2487">
        <v>1.6</v>
      </c>
      <c r="AE2487">
        <v>712</v>
      </c>
      <c r="AF2487">
        <v>51</v>
      </c>
      <c r="AG2487" t="s">
        <v>120</v>
      </c>
      <c r="AH2487">
        <v>0</v>
      </c>
      <c r="AI2487" t="s">
        <v>120</v>
      </c>
      <c r="AJ2487">
        <v>3.6</v>
      </c>
      <c r="AK2487" t="s">
        <v>4190</v>
      </c>
      <c r="AL2487">
        <v>-0.63</v>
      </c>
      <c r="AM2487">
        <v>1563</v>
      </c>
      <c r="AN2487">
        <v>33</v>
      </c>
      <c r="AO2487">
        <v>8.9999999999999998E-4</v>
      </c>
      <c r="AP2487">
        <v>-3</v>
      </c>
      <c r="AQ2487">
        <v>-0.33</v>
      </c>
      <c r="AR2487">
        <v>-4.8</v>
      </c>
      <c r="AS2487">
        <v>3.12</v>
      </c>
      <c r="AT2487">
        <v>-11.99</v>
      </c>
      <c r="AU2487">
        <v>-34.97</v>
      </c>
      <c r="AV2487">
        <v>0</v>
      </c>
      <c r="AW2487">
        <v>1.82</v>
      </c>
      <c r="AX2487">
        <v>79.61</v>
      </c>
      <c r="AY2487">
        <v>12.28</v>
      </c>
      <c r="AZ2487">
        <v>16.68</v>
      </c>
      <c r="BA2487">
        <v>0.27</v>
      </c>
      <c r="BB2487" t="s">
        <v>143</v>
      </c>
      <c r="BF2487">
        <v>-0.69</v>
      </c>
      <c r="BG2487">
        <v>-2.2999999999999998</v>
      </c>
      <c r="BH2487">
        <v>-3.09</v>
      </c>
      <c r="BI2487">
        <v>0.17</v>
      </c>
      <c r="BJ2487">
        <v>20210830</v>
      </c>
      <c r="BK2487">
        <v>19971106</v>
      </c>
      <c r="BL2487">
        <v>3.6</v>
      </c>
      <c r="BM2487" t="s">
        <v>120</v>
      </c>
      <c r="BN2487" t="s">
        <v>120</v>
      </c>
      <c r="BO2487">
        <v>12.32</v>
      </c>
      <c r="BP2487">
        <v>5.95</v>
      </c>
      <c r="BQ2487">
        <v>7.37</v>
      </c>
      <c r="BR2487">
        <v>0.35</v>
      </c>
      <c r="BS2487">
        <v>37.36</v>
      </c>
      <c r="BT2487">
        <v>5.52</v>
      </c>
      <c r="BU2487">
        <v>0.85</v>
      </c>
      <c r="BV2487">
        <v>0.02</v>
      </c>
      <c r="BW2487">
        <v>4.1399999999999997</v>
      </c>
      <c r="BX2487">
        <v>1.1100000000000001</v>
      </c>
      <c r="BY2487">
        <v>2.3199999999999998</v>
      </c>
      <c r="BZ2487">
        <v>0.6</v>
      </c>
      <c r="CA2487">
        <v>0.02</v>
      </c>
      <c r="CB2487">
        <v>1.79</v>
      </c>
      <c r="CC2487">
        <v>2.37</v>
      </c>
      <c r="CD2487">
        <v>1.55</v>
      </c>
      <c r="CE2487">
        <v>0.03</v>
      </c>
      <c r="CF2487">
        <v>0.28000000000000003</v>
      </c>
      <c r="CG2487">
        <v>0.03</v>
      </c>
      <c r="CH2487">
        <v>0</v>
      </c>
      <c r="CI2487">
        <v>0.02</v>
      </c>
      <c r="CJ2487">
        <v>-0.12</v>
      </c>
      <c r="CK2487">
        <v>0</v>
      </c>
      <c r="CL2487">
        <v>1.62</v>
      </c>
      <c r="CM2487">
        <v>-1.1100000000000001</v>
      </c>
      <c r="CN2487">
        <v>-0.56000000000000005</v>
      </c>
      <c r="CO2487">
        <v>29673</v>
      </c>
      <c r="CP2487">
        <v>9659</v>
      </c>
      <c r="CQ2487" t="s">
        <v>498</v>
      </c>
      <c r="CR2487">
        <v>104.12</v>
      </c>
      <c r="CS2487">
        <v>54.06</v>
      </c>
      <c r="CT2487">
        <v>2.91</v>
      </c>
      <c r="CU2487">
        <v>-19.36</v>
      </c>
      <c r="CV2487">
        <v>9.0500000000000007</v>
      </c>
      <c r="CW2487">
        <v>0</v>
      </c>
      <c r="CX2487" t="s">
        <v>4638</v>
      </c>
      <c r="CY2487">
        <v>2.0499999999999998</v>
      </c>
      <c r="CZ2487">
        <v>0</v>
      </c>
      <c r="DA2487">
        <v>0.5</v>
      </c>
      <c r="DB2487">
        <v>0.45</v>
      </c>
      <c r="DC2487">
        <v>-0.31</v>
      </c>
      <c r="DD2487">
        <v>59.8</v>
      </c>
      <c r="DE2487" t="s">
        <v>1875</v>
      </c>
      <c r="DF2487">
        <v>34.479999999999997</v>
      </c>
      <c r="DG2487">
        <v>1.19</v>
      </c>
      <c r="DH2487">
        <v>0.78</v>
      </c>
      <c r="DI2487" t="s">
        <v>120</v>
      </c>
      <c r="DJ2487">
        <v>3081</v>
      </c>
      <c r="DK2487">
        <v>600107</v>
      </c>
      <c r="DL2487" t="s">
        <v>120</v>
      </c>
      <c r="DM2487" t="s">
        <v>120</v>
      </c>
      <c r="DN2487" t="s">
        <v>120</v>
      </c>
    </row>
    <row r="2488" spans="1:118">
      <c r="A2488" t="str">
        <f>"600108"</f>
        <v>600108</v>
      </c>
      <c r="B2488" t="s">
        <v>11467</v>
      </c>
      <c r="C2488">
        <v>-1.66</v>
      </c>
      <c r="D2488">
        <v>0</v>
      </c>
      <c r="E2488">
        <v>0</v>
      </c>
      <c r="F2488">
        <v>3155</v>
      </c>
      <c r="G2488" t="s">
        <v>11468</v>
      </c>
      <c r="H2488">
        <v>20660.990000000002</v>
      </c>
      <c r="I2488">
        <v>358.11</v>
      </c>
      <c r="J2488" t="s">
        <v>120</v>
      </c>
      <c r="K2488" t="s">
        <v>11469</v>
      </c>
      <c r="L2488">
        <v>2.94</v>
      </c>
      <c r="M2488">
        <v>3.55</v>
      </c>
      <c r="N2488">
        <v>0.95</v>
      </c>
      <c r="O2488">
        <v>2.4900000000000002</v>
      </c>
      <c r="P2488">
        <v>3.7</v>
      </c>
      <c r="Q2488">
        <v>-2.2200000000000002</v>
      </c>
      <c r="R2488">
        <v>3.53</v>
      </c>
      <c r="S2488">
        <v>3.61</v>
      </c>
      <c r="T2488">
        <v>571708</v>
      </c>
      <c r="U2488">
        <v>3.55</v>
      </c>
      <c r="V2488">
        <v>3.61</v>
      </c>
      <c r="W2488">
        <v>85.6</v>
      </c>
      <c r="X2488" t="s">
        <v>447</v>
      </c>
      <c r="Y2488" t="s">
        <v>1082</v>
      </c>
      <c r="Z2488">
        <v>4.71</v>
      </c>
      <c r="AA2488">
        <v>3.61</v>
      </c>
      <c r="AB2488">
        <v>309965</v>
      </c>
      <c r="AC2488">
        <v>261743</v>
      </c>
      <c r="AD2488">
        <v>1.18</v>
      </c>
      <c r="AE2488">
        <v>157</v>
      </c>
      <c r="AF2488">
        <v>3492</v>
      </c>
      <c r="AG2488" t="s">
        <v>120</v>
      </c>
      <c r="AH2488">
        <v>7.0000000000000007E-2</v>
      </c>
      <c r="AI2488" t="s">
        <v>120</v>
      </c>
      <c r="AJ2488">
        <v>19.47</v>
      </c>
      <c r="AK2488" t="s">
        <v>11469</v>
      </c>
      <c r="AL2488">
        <v>-0.32</v>
      </c>
      <c r="AM2488">
        <v>3396</v>
      </c>
      <c r="AN2488">
        <v>168</v>
      </c>
      <c r="AO2488">
        <v>8.9999999999999998E-4</v>
      </c>
      <c r="AP2488">
        <v>-1</v>
      </c>
      <c r="AQ2488">
        <v>6.18</v>
      </c>
      <c r="AR2488">
        <v>1.72</v>
      </c>
      <c r="AS2488">
        <v>17.55</v>
      </c>
      <c r="AT2488">
        <v>28.15</v>
      </c>
      <c r="AU2488">
        <v>-4.05</v>
      </c>
      <c r="AV2488">
        <v>2</v>
      </c>
      <c r="AW2488">
        <v>3.89</v>
      </c>
      <c r="AX2488">
        <v>75.42</v>
      </c>
      <c r="AY2488" t="s">
        <v>120</v>
      </c>
      <c r="AZ2488" t="s">
        <v>120</v>
      </c>
      <c r="BA2488">
        <v>0.5</v>
      </c>
      <c r="BB2488" t="s">
        <v>184</v>
      </c>
      <c r="BF2488">
        <v>0.11</v>
      </c>
      <c r="BG2488">
        <v>-1.66</v>
      </c>
      <c r="BH2488">
        <v>-4.05</v>
      </c>
      <c r="BI2488">
        <v>0.56999999999999995</v>
      </c>
      <c r="BJ2488">
        <v>20210828</v>
      </c>
      <c r="BK2488">
        <v>19970818</v>
      </c>
      <c r="BL2488">
        <v>19.47</v>
      </c>
      <c r="BM2488" t="s">
        <v>120</v>
      </c>
      <c r="BN2488" t="s">
        <v>120</v>
      </c>
      <c r="BO2488">
        <v>81.83</v>
      </c>
      <c r="BP2488">
        <v>3.54</v>
      </c>
      <c r="BQ2488">
        <v>40.299999999999997</v>
      </c>
      <c r="BR2488">
        <v>0.08</v>
      </c>
      <c r="BS2488">
        <v>50.66</v>
      </c>
      <c r="BT2488">
        <v>38.15</v>
      </c>
      <c r="BU2488">
        <v>9.02</v>
      </c>
      <c r="BV2488">
        <v>25.91</v>
      </c>
      <c r="BW2488">
        <v>20.11</v>
      </c>
      <c r="BX2488">
        <v>7.55</v>
      </c>
      <c r="BY2488">
        <v>9.2799999999999994</v>
      </c>
      <c r="BZ2488">
        <v>14.51</v>
      </c>
      <c r="CA2488" t="s">
        <v>120</v>
      </c>
      <c r="CB2488">
        <v>4.7</v>
      </c>
      <c r="CC2488">
        <v>11.91</v>
      </c>
      <c r="CD2488">
        <v>9.51</v>
      </c>
      <c r="CE2488">
        <v>0.26</v>
      </c>
      <c r="CF2488">
        <v>0</v>
      </c>
      <c r="CG2488">
        <v>0.41</v>
      </c>
      <c r="CH2488">
        <v>0.4</v>
      </c>
      <c r="CI2488">
        <v>0.4</v>
      </c>
      <c r="CJ2488">
        <v>-0.06</v>
      </c>
      <c r="CK2488">
        <v>0.17</v>
      </c>
      <c r="CL2488">
        <v>12.01</v>
      </c>
      <c r="CM2488">
        <v>0.02</v>
      </c>
      <c r="CN2488">
        <v>-3.4</v>
      </c>
      <c r="CO2488">
        <v>145526</v>
      </c>
      <c r="CP2488">
        <v>10090</v>
      </c>
      <c r="CQ2488" t="s">
        <v>5490</v>
      </c>
      <c r="CR2488">
        <v>208.75</v>
      </c>
      <c r="CS2488">
        <v>4</v>
      </c>
      <c r="CT2488">
        <v>1.71</v>
      </c>
      <c r="CU2488">
        <v>3007.24</v>
      </c>
      <c r="CV2488">
        <v>5.8</v>
      </c>
      <c r="CW2488">
        <v>0</v>
      </c>
      <c r="CX2488" t="s">
        <v>1016</v>
      </c>
      <c r="CY2488">
        <v>2.0699999999999998</v>
      </c>
      <c r="CZ2488">
        <v>0</v>
      </c>
      <c r="DA2488">
        <v>0.24</v>
      </c>
      <c r="DB2488">
        <v>0.62</v>
      </c>
      <c r="DC2488">
        <v>0</v>
      </c>
      <c r="DD2488">
        <v>49.25</v>
      </c>
      <c r="DE2488" t="s">
        <v>1302</v>
      </c>
      <c r="DF2488">
        <v>20.170000000000002</v>
      </c>
      <c r="DG2488">
        <v>2.2200000000000002</v>
      </c>
      <c r="DH2488">
        <v>3.39</v>
      </c>
      <c r="DI2488">
        <v>0.1</v>
      </c>
      <c r="DJ2488">
        <v>5344</v>
      </c>
      <c r="DK2488">
        <v>600108</v>
      </c>
      <c r="DL2488" t="s">
        <v>120</v>
      </c>
      <c r="DM2488" t="s">
        <v>120</v>
      </c>
      <c r="DN2488" t="s">
        <v>120</v>
      </c>
    </row>
    <row r="2489" spans="1:118">
      <c r="A2489" t="str">
        <f>"600109"</f>
        <v>600109</v>
      </c>
      <c r="B2489" t="s">
        <v>11470</v>
      </c>
      <c r="C2489">
        <v>-3.34</v>
      </c>
      <c r="D2489">
        <v>-0.17</v>
      </c>
      <c r="E2489">
        <v>0</v>
      </c>
      <c r="F2489">
        <v>8185</v>
      </c>
      <c r="G2489" t="s">
        <v>11471</v>
      </c>
      <c r="H2489">
        <v>59708.89</v>
      </c>
      <c r="I2489">
        <v>121.73</v>
      </c>
      <c r="J2489" t="s">
        <v>120</v>
      </c>
      <c r="K2489" t="s">
        <v>11472</v>
      </c>
      <c r="L2489">
        <v>1.72</v>
      </c>
      <c r="M2489">
        <v>11.27</v>
      </c>
      <c r="N2489">
        <v>0.9</v>
      </c>
      <c r="O2489">
        <v>0.6</v>
      </c>
      <c r="P2489">
        <v>11.73</v>
      </c>
      <c r="Q2489">
        <v>-3.43</v>
      </c>
      <c r="R2489">
        <v>11.26</v>
      </c>
      <c r="S2489">
        <v>11.66</v>
      </c>
      <c r="T2489">
        <v>520409</v>
      </c>
      <c r="U2489">
        <v>11.28</v>
      </c>
      <c r="V2489">
        <v>11.66</v>
      </c>
      <c r="W2489">
        <v>16.79</v>
      </c>
      <c r="X2489" t="s">
        <v>616</v>
      </c>
      <c r="Y2489" t="s">
        <v>578</v>
      </c>
      <c r="Z2489">
        <v>4.03</v>
      </c>
      <c r="AA2489">
        <v>11.47</v>
      </c>
      <c r="AB2489">
        <v>307365</v>
      </c>
      <c r="AC2489">
        <v>213044</v>
      </c>
      <c r="AD2489">
        <v>1.44</v>
      </c>
      <c r="AE2489">
        <v>4996</v>
      </c>
      <c r="AF2489">
        <v>413</v>
      </c>
      <c r="AG2489" t="s">
        <v>120</v>
      </c>
      <c r="AH2489">
        <v>0</v>
      </c>
      <c r="AI2489" t="s">
        <v>120</v>
      </c>
      <c r="AJ2489">
        <v>30.24</v>
      </c>
      <c r="AK2489" t="s">
        <v>11472</v>
      </c>
      <c r="AL2489">
        <v>-2</v>
      </c>
      <c r="AM2489">
        <v>4422</v>
      </c>
      <c r="AN2489">
        <v>118</v>
      </c>
      <c r="AO2489">
        <v>4.0000000000000002E-4</v>
      </c>
      <c r="AP2489">
        <v>-1</v>
      </c>
      <c r="AQ2489">
        <v>0.26</v>
      </c>
      <c r="AR2489">
        <v>-6</v>
      </c>
      <c r="AS2489">
        <v>-0.71</v>
      </c>
      <c r="AT2489">
        <v>-8.67</v>
      </c>
      <c r="AU2489">
        <v>-30.43</v>
      </c>
      <c r="AV2489">
        <v>2</v>
      </c>
      <c r="AW2489">
        <v>2.34</v>
      </c>
      <c r="AX2489">
        <v>73.67</v>
      </c>
      <c r="AY2489">
        <v>18.79</v>
      </c>
      <c r="AZ2489">
        <v>18.93</v>
      </c>
      <c r="BA2489">
        <v>1.27</v>
      </c>
      <c r="BB2489" t="s">
        <v>143</v>
      </c>
      <c r="BF2489">
        <v>-1.6</v>
      </c>
      <c r="BG2489">
        <v>-3.34</v>
      </c>
      <c r="BH2489">
        <v>-3.92</v>
      </c>
      <c r="BI2489">
        <v>0.09</v>
      </c>
      <c r="BJ2489">
        <v>20210831</v>
      </c>
      <c r="BK2489">
        <v>19970807</v>
      </c>
      <c r="BL2489">
        <v>30.24</v>
      </c>
      <c r="BM2489" t="s">
        <v>120</v>
      </c>
      <c r="BN2489" t="s">
        <v>120</v>
      </c>
      <c r="BO2489">
        <v>788.25</v>
      </c>
      <c r="BP2489">
        <v>11.27</v>
      </c>
      <c r="BQ2489">
        <v>231.25</v>
      </c>
      <c r="BR2489">
        <v>0.78</v>
      </c>
      <c r="BS2489">
        <v>70.56</v>
      </c>
      <c r="BT2489">
        <v>0</v>
      </c>
      <c r="BU2489">
        <v>0.98</v>
      </c>
      <c r="BV2489">
        <v>0.69</v>
      </c>
      <c r="BW2489">
        <v>0</v>
      </c>
      <c r="BX2489">
        <v>186.13</v>
      </c>
      <c r="BY2489">
        <v>0</v>
      </c>
      <c r="BZ2489">
        <v>0</v>
      </c>
      <c r="CA2489" t="s">
        <v>120</v>
      </c>
      <c r="CB2489">
        <v>78.52</v>
      </c>
      <c r="CC2489">
        <v>30.81</v>
      </c>
      <c r="CD2489">
        <v>0</v>
      </c>
      <c r="CE2489">
        <v>13.19</v>
      </c>
      <c r="CF2489">
        <v>7.38</v>
      </c>
      <c r="CG2489">
        <v>13.39</v>
      </c>
      <c r="CH2489">
        <v>10.199999999999999</v>
      </c>
      <c r="CI2489">
        <v>10.15</v>
      </c>
      <c r="CJ2489">
        <v>-0.39</v>
      </c>
      <c r="CK2489">
        <v>10.01</v>
      </c>
      <c r="CL2489">
        <v>84.37</v>
      </c>
      <c r="CM2489">
        <v>-9.9499999999999993</v>
      </c>
      <c r="CN2489">
        <v>30.3</v>
      </c>
      <c r="CO2489">
        <v>174235</v>
      </c>
      <c r="CP2489">
        <v>12787</v>
      </c>
      <c r="CQ2489" t="s">
        <v>6174</v>
      </c>
      <c r="CR2489">
        <v>1.38</v>
      </c>
      <c r="CS2489">
        <v>6.39</v>
      </c>
      <c r="CT2489">
        <v>1.47</v>
      </c>
      <c r="CU2489">
        <v>-34.25</v>
      </c>
      <c r="CV2489">
        <v>11.06</v>
      </c>
      <c r="CW2489">
        <v>0.6</v>
      </c>
      <c r="CX2489" t="s">
        <v>1574</v>
      </c>
      <c r="CY2489">
        <v>7.65</v>
      </c>
      <c r="CZ2489">
        <v>0</v>
      </c>
      <c r="DA2489">
        <v>2.6</v>
      </c>
      <c r="DB2489">
        <v>2.79</v>
      </c>
      <c r="DC2489">
        <v>-0.33</v>
      </c>
      <c r="DD2489">
        <v>29.34</v>
      </c>
      <c r="DE2489" t="s">
        <v>2820</v>
      </c>
      <c r="DF2489" t="s">
        <v>120</v>
      </c>
      <c r="DG2489">
        <v>42.8</v>
      </c>
      <c r="DH2489">
        <v>32.950000000000003</v>
      </c>
      <c r="DI2489" t="s">
        <v>120</v>
      </c>
      <c r="DJ2489">
        <v>3545</v>
      </c>
      <c r="DK2489">
        <v>600109</v>
      </c>
      <c r="DL2489" t="s">
        <v>120</v>
      </c>
      <c r="DM2489" t="s">
        <v>120</v>
      </c>
      <c r="DN2489" t="s">
        <v>120</v>
      </c>
    </row>
    <row r="2490" spans="1:118">
      <c r="A2490" t="str">
        <f>"600110"</f>
        <v>600110</v>
      </c>
      <c r="B2490" t="s">
        <v>11473</v>
      </c>
      <c r="C2490">
        <v>-5.24</v>
      </c>
      <c r="D2490">
        <v>0.13</v>
      </c>
      <c r="E2490">
        <v>-3.02</v>
      </c>
      <c r="F2490">
        <v>5471</v>
      </c>
      <c r="G2490" t="s">
        <v>11474</v>
      </c>
      <c r="H2490">
        <v>139978.88</v>
      </c>
      <c r="I2490">
        <v>1348.24</v>
      </c>
      <c r="J2490" t="s">
        <v>120</v>
      </c>
      <c r="K2490" t="s">
        <v>11475</v>
      </c>
      <c r="L2490">
        <v>4.6100000000000003</v>
      </c>
      <c r="M2490">
        <v>22.59</v>
      </c>
      <c r="N2490">
        <v>0.78</v>
      </c>
      <c r="O2490">
        <v>-0.67</v>
      </c>
      <c r="P2490">
        <v>23.68</v>
      </c>
      <c r="Q2490">
        <v>-6.29</v>
      </c>
      <c r="R2490">
        <v>22.34</v>
      </c>
      <c r="S2490">
        <v>23.12</v>
      </c>
      <c r="T2490">
        <v>610440</v>
      </c>
      <c r="U2490">
        <v>22.6</v>
      </c>
      <c r="V2490">
        <v>23.84</v>
      </c>
      <c r="W2490">
        <v>78.33</v>
      </c>
      <c r="X2490" t="s">
        <v>394</v>
      </c>
      <c r="Y2490" t="s">
        <v>290</v>
      </c>
      <c r="Z2490">
        <v>5.62</v>
      </c>
      <c r="AA2490">
        <v>22.93</v>
      </c>
      <c r="AB2490">
        <v>307693</v>
      </c>
      <c r="AC2490">
        <v>302747</v>
      </c>
      <c r="AD2490">
        <v>1.02</v>
      </c>
      <c r="AE2490">
        <v>710</v>
      </c>
      <c r="AF2490">
        <v>688</v>
      </c>
      <c r="AG2490" t="s">
        <v>120</v>
      </c>
      <c r="AH2490">
        <v>0.05</v>
      </c>
      <c r="AI2490" t="s">
        <v>120</v>
      </c>
      <c r="AJ2490">
        <v>13.23</v>
      </c>
      <c r="AK2490" t="s">
        <v>11476</v>
      </c>
      <c r="AL2490">
        <v>-3.9</v>
      </c>
      <c r="AM2490">
        <v>4696</v>
      </c>
      <c r="AN2490">
        <v>130</v>
      </c>
      <c r="AO2490">
        <v>1E-3</v>
      </c>
      <c r="AP2490">
        <v>-1</v>
      </c>
      <c r="AQ2490">
        <v>1.32</v>
      </c>
      <c r="AR2490">
        <v>2.4</v>
      </c>
      <c r="AS2490">
        <v>22.98</v>
      </c>
      <c r="AT2490">
        <v>96.26</v>
      </c>
      <c r="AU2490">
        <v>144.22</v>
      </c>
      <c r="AV2490">
        <v>12</v>
      </c>
      <c r="AW2490">
        <v>5.01</v>
      </c>
      <c r="AX2490">
        <v>87.25</v>
      </c>
      <c r="AY2490">
        <v>148.34</v>
      </c>
      <c r="AZ2490">
        <v>6185.42</v>
      </c>
      <c r="BA2490">
        <v>1.54</v>
      </c>
      <c r="BB2490" t="s">
        <v>184</v>
      </c>
      <c r="BF2490">
        <v>-3.81</v>
      </c>
      <c r="BG2490">
        <v>-2.29</v>
      </c>
      <c r="BH2490">
        <v>-4.5999999999999996</v>
      </c>
      <c r="BI2490">
        <v>1.1200000000000001</v>
      </c>
      <c r="BJ2490">
        <v>20210908</v>
      </c>
      <c r="BK2490">
        <v>19971007</v>
      </c>
      <c r="BL2490">
        <v>13.97</v>
      </c>
      <c r="BM2490" t="s">
        <v>120</v>
      </c>
      <c r="BN2490" t="s">
        <v>120</v>
      </c>
      <c r="BO2490">
        <v>81.97</v>
      </c>
      <c r="BP2490">
        <v>22.59</v>
      </c>
      <c r="BQ2490">
        <v>36.14</v>
      </c>
      <c r="BR2490" t="s">
        <v>120</v>
      </c>
      <c r="BS2490">
        <v>55.91</v>
      </c>
      <c r="BT2490">
        <v>42.22</v>
      </c>
      <c r="BU2490">
        <v>24.07</v>
      </c>
      <c r="BV2490">
        <v>2.5099999999999998</v>
      </c>
      <c r="BW2490">
        <v>28.51</v>
      </c>
      <c r="BX2490">
        <v>14.8</v>
      </c>
      <c r="BY2490">
        <v>4.75</v>
      </c>
      <c r="BZ2490">
        <v>15.99</v>
      </c>
      <c r="CA2490" t="s">
        <v>120</v>
      </c>
      <c r="CB2490">
        <v>18.61</v>
      </c>
      <c r="CC2490">
        <v>20.079999999999998</v>
      </c>
      <c r="CD2490">
        <v>15.2</v>
      </c>
      <c r="CE2490">
        <v>2.23</v>
      </c>
      <c r="CF2490">
        <v>0.08</v>
      </c>
      <c r="CG2490">
        <v>2.2599999999999998</v>
      </c>
      <c r="CH2490">
        <v>2.0099999999999998</v>
      </c>
      <c r="CI2490">
        <v>2.0099999999999998</v>
      </c>
      <c r="CJ2490">
        <v>-1.25</v>
      </c>
      <c r="CK2490">
        <v>1.9</v>
      </c>
      <c r="CL2490">
        <v>2.98</v>
      </c>
      <c r="CM2490">
        <v>0.17</v>
      </c>
      <c r="CN2490">
        <v>-6.48</v>
      </c>
      <c r="CO2490">
        <v>95455</v>
      </c>
      <c r="CP2490">
        <v>12771</v>
      </c>
      <c r="CQ2490" t="s">
        <v>11477</v>
      </c>
      <c r="CR2490">
        <v>1238.75</v>
      </c>
      <c r="CS2490">
        <v>153.41999999999999</v>
      </c>
      <c r="CT2490">
        <v>8.73</v>
      </c>
      <c r="CU2490">
        <v>1845.52</v>
      </c>
      <c r="CV2490">
        <v>15.72</v>
      </c>
      <c r="CW2490">
        <v>0</v>
      </c>
      <c r="CX2490" t="s">
        <v>11478</v>
      </c>
      <c r="CY2490">
        <v>2.59</v>
      </c>
      <c r="CZ2490">
        <v>0</v>
      </c>
      <c r="DA2490">
        <v>1.33</v>
      </c>
      <c r="DB2490">
        <v>0.21</v>
      </c>
      <c r="DC2490">
        <v>0.01</v>
      </c>
      <c r="DD2490">
        <v>44.09</v>
      </c>
      <c r="DE2490" t="s">
        <v>1273</v>
      </c>
      <c r="DF2490">
        <v>24.29</v>
      </c>
      <c r="DG2490">
        <v>11.11</v>
      </c>
      <c r="DH2490">
        <v>10.039999999999999</v>
      </c>
      <c r="DI2490">
        <v>0.54</v>
      </c>
      <c r="DJ2490">
        <v>1650</v>
      </c>
      <c r="DK2490">
        <v>600110</v>
      </c>
      <c r="DL2490">
        <v>20210701</v>
      </c>
      <c r="DM2490">
        <v>12.29</v>
      </c>
      <c r="DN2490">
        <v>83.81</v>
      </c>
    </row>
    <row r="2491" spans="1:118">
      <c r="A2491" t="str">
        <f>"600111"</f>
        <v>600111</v>
      </c>
      <c r="B2491" t="s">
        <v>11479</v>
      </c>
      <c r="C2491">
        <v>-4.2300000000000004</v>
      </c>
      <c r="D2491">
        <v>-0.05</v>
      </c>
      <c r="E2491">
        <v>0.9</v>
      </c>
      <c r="F2491">
        <v>33323</v>
      </c>
      <c r="G2491" t="s">
        <v>11480</v>
      </c>
      <c r="H2491">
        <v>804172.47</v>
      </c>
      <c r="I2491">
        <v>1937.74</v>
      </c>
      <c r="J2491" t="s">
        <v>120</v>
      </c>
      <c r="K2491" t="s">
        <v>11481</v>
      </c>
      <c r="L2491">
        <v>4.0599999999999996</v>
      </c>
      <c r="M2491">
        <v>53.15</v>
      </c>
      <c r="N2491">
        <v>0.99</v>
      </c>
      <c r="O2491">
        <v>1.95</v>
      </c>
      <c r="P2491">
        <v>56.58</v>
      </c>
      <c r="Q2491">
        <v>-4.2300000000000004</v>
      </c>
      <c r="R2491">
        <v>53.15</v>
      </c>
      <c r="S2491">
        <v>56</v>
      </c>
      <c r="T2491">
        <v>1473767</v>
      </c>
      <c r="U2491">
        <v>53.15</v>
      </c>
      <c r="V2491">
        <v>55.5</v>
      </c>
      <c r="W2491">
        <v>47.43</v>
      </c>
      <c r="X2491" t="s">
        <v>1390</v>
      </c>
      <c r="Y2491" t="s">
        <v>785</v>
      </c>
      <c r="Z2491">
        <v>6.18</v>
      </c>
      <c r="AA2491">
        <v>54.57</v>
      </c>
      <c r="AB2491">
        <v>693367</v>
      </c>
      <c r="AC2491">
        <v>780400</v>
      </c>
      <c r="AD2491">
        <v>0.89</v>
      </c>
      <c r="AE2491">
        <v>28</v>
      </c>
      <c r="AF2491">
        <v>10869</v>
      </c>
      <c r="AG2491" t="s">
        <v>120</v>
      </c>
      <c r="AH2491">
        <v>0.02</v>
      </c>
      <c r="AI2491" t="s">
        <v>120</v>
      </c>
      <c r="AJ2491">
        <v>36.33</v>
      </c>
      <c r="AK2491" t="s">
        <v>11481</v>
      </c>
      <c r="AL2491">
        <v>-2.89</v>
      </c>
      <c r="AM2491">
        <v>4745</v>
      </c>
      <c r="AN2491">
        <v>311</v>
      </c>
      <c r="AO2491">
        <v>8.9999999999999998E-4</v>
      </c>
      <c r="AP2491">
        <v>-4</v>
      </c>
      <c r="AQ2491">
        <v>-3.43</v>
      </c>
      <c r="AR2491">
        <v>-9.33</v>
      </c>
      <c r="AS2491">
        <v>28.76</v>
      </c>
      <c r="AT2491">
        <v>161.05000000000001</v>
      </c>
      <c r="AU2491">
        <v>308.22000000000003</v>
      </c>
      <c r="AV2491">
        <v>13</v>
      </c>
      <c r="AW2491">
        <v>7.36</v>
      </c>
      <c r="AX2491">
        <v>55.15</v>
      </c>
      <c r="AY2491">
        <v>79.72</v>
      </c>
      <c r="AZ2491">
        <v>242.17</v>
      </c>
      <c r="BA2491">
        <v>1.64</v>
      </c>
      <c r="BB2491" t="s">
        <v>240</v>
      </c>
      <c r="BF2491">
        <v>-1.68</v>
      </c>
      <c r="BG2491">
        <v>-5.09</v>
      </c>
      <c r="BH2491">
        <v>-6.06</v>
      </c>
      <c r="BI2491">
        <v>0</v>
      </c>
      <c r="BJ2491">
        <v>20210827</v>
      </c>
      <c r="BK2491">
        <v>19970924</v>
      </c>
      <c r="BL2491">
        <v>36.33</v>
      </c>
      <c r="BM2491" t="s">
        <v>120</v>
      </c>
      <c r="BN2491" t="s">
        <v>120</v>
      </c>
      <c r="BO2491">
        <v>297.91000000000003</v>
      </c>
      <c r="BP2491">
        <v>53.14</v>
      </c>
      <c r="BQ2491">
        <v>121.8</v>
      </c>
      <c r="BR2491">
        <v>36.590000000000003</v>
      </c>
      <c r="BS2491">
        <v>46.83</v>
      </c>
      <c r="BT2491">
        <v>219.25</v>
      </c>
      <c r="BU2491">
        <v>40.049999999999997</v>
      </c>
      <c r="BV2491">
        <v>8.14</v>
      </c>
      <c r="BW2491">
        <v>82.02</v>
      </c>
      <c r="BX2491">
        <v>36.19</v>
      </c>
      <c r="BY2491">
        <v>107.42</v>
      </c>
      <c r="BZ2491">
        <v>44.91</v>
      </c>
      <c r="CA2491" t="s">
        <v>120</v>
      </c>
      <c r="CB2491">
        <v>0.97</v>
      </c>
      <c r="CC2491">
        <v>147.19999999999999</v>
      </c>
      <c r="CD2491">
        <v>111.39</v>
      </c>
      <c r="CE2491">
        <v>26.41</v>
      </c>
      <c r="CF2491">
        <v>0.02</v>
      </c>
      <c r="CG2491">
        <v>26.39</v>
      </c>
      <c r="CH2491">
        <v>22.31</v>
      </c>
      <c r="CI2491">
        <v>20.36</v>
      </c>
      <c r="CJ2491">
        <v>-2.35</v>
      </c>
      <c r="CK2491">
        <v>19.27</v>
      </c>
      <c r="CL2491">
        <v>67.739999999999995</v>
      </c>
      <c r="CM2491">
        <v>9.02</v>
      </c>
      <c r="CN2491">
        <v>-5.05</v>
      </c>
      <c r="CO2491">
        <v>344468</v>
      </c>
      <c r="CP2491">
        <v>5817</v>
      </c>
      <c r="CQ2491" t="s">
        <v>11482</v>
      </c>
      <c r="CR2491">
        <v>500.52</v>
      </c>
      <c r="CS2491">
        <v>49.47</v>
      </c>
      <c r="CT2491">
        <v>15.85</v>
      </c>
      <c r="CU2491">
        <v>214.13</v>
      </c>
      <c r="CV2491">
        <v>13.12</v>
      </c>
      <c r="CW2491">
        <v>0.13</v>
      </c>
      <c r="CX2491" t="s">
        <v>1426</v>
      </c>
      <c r="CY2491">
        <v>3.35</v>
      </c>
      <c r="CZ2491">
        <v>0</v>
      </c>
      <c r="DA2491">
        <v>0.03</v>
      </c>
      <c r="DB2491">
        <v>1.86</v>
      </c>
      <c r="DC2491">
        <v>0.25</v>
      </c>
      <c r="DD2491">
        <v>40.880000000000003</v>
      </c>
      <c r="DE2491" t="s">
        <v>10142</v>
      </c>
      <c r="DF2491">
        <v>24.33</v>
      </c>
      <c r="DG2491">
        <v>17.940000000000001</v>
      </c>
      <c r="DH2491">
        <v>13.83</v>
      </c>
      <c r="DI2491">
        <v>0.79</v>
      </c>
      <c r="DJ2491">
        <v>9111</v>
      </c>
      <c r="DK2491">
        <v>600111</v>
      </c>
      <c r="DL2491">
        <v>20210531</v>
      </c>
      <c r="DM2491">
        <v>22.13</v>
      </c>
      <c r="DN2491">
        <v>140.49</v>
      </c>
    </row>
    <row r="2492" spans="1:118">
      <c r="A2492" t="str">
        <f>"600113"</f>
        <v>600113</v>
      </c>
      <c r="B2492" t="s">
        <v>11483</v>
      </c>
      <c r="C2492">
        <v>-1</v>
      </c>
      <c r="D2492">
        <v>-0.16</v>
      </c>
      <c r="E2492">
        <v>0</v>
      </c>
      <c r="F2492">
        <v>205</v>
      </c>
      <c r="G2492" t="s">
        <v>1848</v>
      </c>
      <c r="H2492">
        <v>2503.7800000000002</v>
      </c>
      <c r="I2492">
        <v>0.06</v>
      </c>
      <c r="J2492" t="s">
        <v>120</v>
      </c>
      <c r="K2492" t="s">
        <v>11484</v>
      </c>
      <c r="L2492">
        <v>1.01</v>
      </c>
      <c r="M2492">
        <v>5.97</v>
      </c>
      <c r="N2492">
        <v>1.06</v>
      </c>
      <c r="O2492">
        <v>1.1599999999999999</v>
      </c>
      <c r="P2492">
        <v>6.1</v>
      </c>
      <c r="Q2492">
        <v>-1.1599999999999999</v>
      </c>
      <c r="R2492">
        <v>5.96</v>
      </c>
      <c r="S2492">
        <v>6.03</v>
      </c>
      <c r="T2492">
        <v>41406</v>
      </c>
      <c r="U2492">
        <v>5.98</v>
      </c>
      <c r="V2492">
        <v>6.03</v>
      </c>
      <c r="W2492">
        <v>19.18</v>
      </c>
      <c r="X2492" t="s">
        <v>150</v>
      </c>
      <c r="Y2492" t="s">
        <v>585</v>
      </c>
      <c r="Z2492">
        <v>2.3199999999999998</v>
      </c>
      <c r="AA2492">
        <v>6.05</v>
      </c>
      <c r="AB2492">
        <v>21759</v>
      </c>
      <c r="AC2492">
        <v>19647</v>
      </c>
      <c r="AD2492">
        <v>1.1100000000000001</v>
      </c>
      <c r="AE2492">
        <v>425</v>
      </c>
      <c r="AF2492">
        <v>136</v>
      </c>
      <c r="AG2492" t="s">
        <v>120</v>
      </c>
      <c r="AH2492">
        <v>0</v>
      </c>
      <c r="AI2492" t="s">
        <v>120</v>
      </c>
      <c r="AJ2492">
        <v>4.1100000000000003</v>
      </c>
      <c r="AK2492" t="s">
        <v>11484</v>
      </c>
      <c r="AL2492">
        <v>0.35</v>
      </c>
      <c r="AM2492">
        <v>1002</v>
      </c>
      <c r="AN2492">
        <v>41</v>
      </c>
      <c r="AO2492">
        <v>1E-3</v>
      </c>
      <c r="AP2492">
        <v>-1</v>
      </c>
      <c r="AQ2492">
        <v>0.17</v>
      </c>
      <c r="AR2492">
        <v>-1.97</v>
      </c>
      <c r="AS2492">
        <v>5.0999999999999996</v>
      </c>
      <c r="AT2492">
        <v>-4.71</v>
      </c>
      <c r="AU2492">
        <v>-8.65</v>
      </c>
      <c r="AV2492">
        <v>0</v>
      </c>
      <c r="AW2492">
        <v>1.98</v>
      </c>
      <c r="AX2492">
        <v>50.71</v>
      </c>
      <c r="AY2492">
        <v>86.37</v>
      </c>
      <c r="AZ2492">
        <v>83.69</v>
      </c>
      <c r="BA2492">
        <v>0.6</v>
      </c>
      <c r="BB2492" t="s">
        <v>143</v>
      </c>
      <c r="BF2492">
        <v>0.28000000000000003</v>
      </c>
      <c r="BG2492">
        <v>-1</v>
      </c>
      <c r="BH2492">
        <v>-2.13</v>
      </c>
      <c r="BI2492">
        <v>0.17</v>
      </c>
      <c r="BJ2492">
        <v>20210814</v>
      </c>
      <c r="BK2492">
        <v>19971021</v>
      </c>
      <c r="BL2492">
        <v>4.1100000000000003</v>
      </c>
      <c r="BM2492" t="s">
        <v>120</v>
      </c>
      <c r="BN2492" t="s">
        <v>120</v>
      </c>
      <c r="BO2492">
        <v>22.34</v>
      </c>
      <c r="BP2492">
        <v>5.97</v>
      </c>
      <c r="BQ2492">
        <v>15.21</v>
      </c>
      <c r="BR2492">
        <v>0.56999999999999995</v>
      </c>
      <c r="BS2492">
        <v>29.37</v>
      </c>
      <c r="BT2492">
        <v>7.59</v>
      </c>
      <c r="BU2492">
        <v>1.38</v>
      </c>
      <c r="BV2492">
        <v>3.48</v>
      </c>
      <c r="BW2492">
        <v>4.84</v>
      </c>
      <c r="BX2492">
        <v>3.84</v>
      </c>
      <c r="BY2492">
        <v>2.72</v>
      </c>
      <c r="BZ2492">
        <v>0.36</v>
      </c>
      <c r="CA2492">
        <v>7.0000000000000007E-2</v>
      </c>
      <c r="CB2492">
        <v>3.42</v>
      </c>
      <c r="CC2492">
        <v>2.95</v>
      </c>
      <c r="CD2492">
        <v>1.75</v>
      </c>
      <c r="CE2492">
        <v>0.87</v>
      </c>
      <c r="CF2492">
        <v>-0.06</v>
      </c>
      <c r="CG2492">
        <v>0.87</v>
      </c>
      <c r="CH2492">
        <v>0.64</v>
      </c>
      <c r="CI2492">
        <v>0.64</v>
      </c>
      <c r="CJ2492">
        <v>-0.06</v>
      </c>
      <c r="CK2492">
        <v>0.57999999999999996</v>
      </c>
      <c r="CL2492">
        <v>7.27</v>
      </c>
      <c r="CM2492">
        <v>1.76</v>
      </c>
      <c r="CN2492">
        <v>1.34</v>
      </c>
      <c r="CO2492">
        <v>26052</v>
      </c>
      <c r="CP2492">
        <v>8008</v>
      </c>
      <c r="CQ2492" t="s">
        <v>3807</v>
      </c>
      <c r="CR2492">
        <v>-1.42</v>
      </c>
      <c r="CS2492">
        <v>42.1</v>
      </c>
      <c r="CT2492">
        <v>1.61</v>
      </c>
      <c r="CU2492">
        <v>13.97</v>
      </c>
      <c r="CV2492">
        <v>8.32</v>
      </c>
      <c r="CW2492">
        <v>0.41</v>
      </c>
      <c r="CX2492" t="s">
        <v>1091</v>
      </c>
      <c r="CY2492">
        <v>3.7</v>
      </c>
      <c r="CZ2492">
        <v>0</v>
      </c>
      <c r="DA2492">
        <v>0.83</v>
      </c>
      <c r="DB2492">
        <v>1.77</v>
      </c>
      <c r="DC2492">
        <v>0.43</v>
      </c>
      <c r="DD2492">
        <v>68.099999999999994</v>
      </c>
      <c r="DE2492" t="s">
        <v>2365</v>
      </c>
      <c r="DF2492">
        <v>40.799999999999997</v>
      </c>
      <c r="DG2492">
        <v>29.41</v>
      </c>
      <c r="DH2492">
        <v>21.7</v>
      </c>
      <c r="DI2492">
        <v>0.01</v>
      </c>
      <c r="DJ2492">
        <v>805</v>
      </c>
      <c r="DK2492">
        <v>600113</v>
      </c>
      <c r="DL2492" t="s">
        <v>120</v>
      </c>
      <c r="DM2492" t="s">
        <v>120</v>
      </c>
      <c r="DN2492" t="s">
        <v>120</v>
      </c>
    </row>
    <row r="2493" spans="1:118">
      <c r="A2493" t="str">
        <f>"600114"</f>
        <v>600114</v>
      </c>
      <c r="B2493" t="s">
        <v>11485</v>
      </c>
      <c r="C2493">
        <v>-1.35</v>
      </c>
      <c r="D2493">
        <v>0.21</v>
      </c>
      <c r="E2493">
        <v>1.24</v>
      </c>
      <c r="F2493">
        <v>1102</v>
      </c>
      <c r="G2493" t="s">
        <v>9044</v>
      </c>
      <c r="H2493">
        <v>15750.32</v>
      </c>
      <c r="I2493">
        <v>86.94</v>
      </c>
      <c r="J2493" t="s">
        <v>120</v>
      </c>
      <c r="K2493" t="s">
        <v>8878</v>
      </c>
      <c r="L2493">
        <v>2.63</v>
      </c>
      <c r="M2493">
        <v>9.5299999999999994</v>
      </c>
      <c r="N2493">
        <v>1.1299999999999999</v>
      </c>
      <c r="O2493">
        <v>3.11</v>
      </c>
      <c r="P2493">
        <v>9.9600000000000009</v>
      </c>
      <c r="Q2493">
        <v>-1.55</v>
      </c>
      <c r="R2493">
        <v>9.51</v>
      </c>
      <c r="S2493">
        <v>9.7799999999999994</v>
      </c>
      <c r="T2493">
        <v>162127</v>
      </c>
      <c r="U2493">
        <v>9.5299999999999994</v>
      </c>
      <c r="V2493">
        <v>9.66</v>
      </c>
      <c r="W2493">
        <v>48.42</v>
      </c>
      <c r="X2493" t="s">
        <v>959</v>
      </c>
      <c r="Y2493" t="s">
        <v>585</v>
      </c>
      <c r="Z2493">
        <v>4.66</v>
      </c>
      <c r="AA2493">
        <v>9.7100000000000009</v>
      </c>
      <c r="AB2493">
        <v>78089</v>
      </c>
      <c r="AC2493">
        <v>84038</v>
      </c>
      <c r="AD2493">
        <v>0.93</v>
      </c>
      <c r="AE2493">
        <v>690</v>
      </c>
      <c r="AF2493">
        <v>76</v>
      </c>
      <c r="AG2493" t="s">
        <v>120</v>
      </c>
      <c r="AH2493">
        <v>0.02</v>
      </c>
      <c r="AI2493" t="s">
        <v>120</v>
      </c>
      <c r="AJ2493">
        <v>6.16</v>
      </c>
      <c r="AK2493" t="s">
        <v>8878</v>
      </c>
      <c r="AL2493">
        <v>0</v>
      </c>
      <c r="AM2493">
        <v>2716</v>
      </c>
      <c r="AN2493">
        <v>60</v>
      </c>
      <c r="AO2493">
        <v>1E-3</v>
      </c>
      <c r="AP2493">
        <v>-1</v>
      </c>
      <c r="AQ2493">
        <v>2.33</v>
      </c>
      <c r="AR2493">
        <v>-1.1399999999999999</v>
      </c>
      <c r="AS2493">
        <v>8.42</v>
      </c>
      <c r="AT2493">
        <v>16.5</v>
      </c>
      <c r="AU2493">
        <v>24.57</v>
      </c>
      <c r="AV2493">
        <v>3</v>
      </c>
      <c r="AW2493">
        <v>3.75</v>
      </c>
      <c r="AX2493">
        <v>70.09</v>
      </c>
      <c r="AY2493">
        <v>63.46</v>
      </c>
      <c r="AZ2493">
        <v>68.05</v>
      </c>
      <c r="BA2493">
        <v>1.31</v>
      </c>
      <c r="BB2493" t="s">
        <v>143</v>
      </c>
      <c r="BF2493">
        <v>0.56999999999999995</v>
      </c>
      <c r="BG2493">
        <v>-2.56</v>
      </c>
      <c r="BH2493">
        <v>-4.32</v>
      </c>
      <c r="BI2493">
        <v>0.21</v>
      </c>
      <c r="BJ2493">
        <v>20210831</v>
      </c>
      <c r="BK2493">
        <v>20040511</v>
      </c>
      <c r="BL2493">
        <v>6.16</v>
      </c>
      <c r="BM2493" t="s">
        <v>120</v>
      </c>
      <c r="BN2493" t="s">
        <v>120</v>
      </c>
      <c r="BO2493">
        <v>58.29</v>
      </c>
      <c r="BP2493">
        <v>9.52</v>
      </c>
      <c r="BQ2493">
        <v>26.17</v>
      </c>
      <c r="BR2493">
        <v>3.76</v>
      </c>
      <c r="BS2493">
        <v>48.65</v>
      </c>
      <c r="BT2493">
        <v>20.63</v>
      </c>
      <c r="BU2493">
        <v>21.05</v>
      </c>
      <c r="BV2493">
        <v>4.04</v>
      </c>
      <c r="BW2493">
        <v>19.03</v>
      </c>
      <c r="BX2493">
        <v>2.88</v>
      </c>
      <c r="BY2493">
        <v>7.22</v>
      </c>
      <c r="BZ2493">
        <v>8.8000000000000007</v>
      </c>
      <c r="CA2493">
        <v>0.01</v>
      </c>
      <c r="CB2493">
        <v>12.23</v>
      </c>
      <c r="CC2493">
        <v>17.34</v>
      </c>
      <c r="CD2493">
        <v>13.16</v>
      </c>
      <c r="CE2493">
        <v>0.7</v>
      </c>
      <c r="CF2493">
        <v>-0.02</v>
      </c>
      <c r="CG2493">
        <v>0.64</v>
      </c>
      <c r="CH2493">
        <v>0.65</v>
      </c>
      <c r="CI2493">
        <v>0.61</v>
      </c>
      <c r="CJ2493">
        <v>-0.13</v>
      </c>
      <c r="CK2493">
        <v>0.56000000000000005</v>
      </c>
      <c r="CL2493">
        <v>5.87</v>
      </c>
      <c r="CM2493">
        <v>1.36</v>
      </c>
      <c r="CN2493">
        <v>-1.41</v>
      </c>
      <c r="CO2493">
        <v>40159</v>
      </c>
      <c r="CP2493">
        <v>10758</v>
      </c>
      <c r="CQ2493" t="s">
        <v>2026</v>
      </c>
      <c r="CR2493">
        <v>11.65</v>
      </c>
      <c r="CS2493">
        <v>27.29</v>
      </c>
      <c r="CT2493">
        <v>2.2400000000000002</v>
      </c>
      <c r="CU2493">
        <v>43.04</v>
      </c>
      <c r="CV2493">
        <v>3.39</v>
      </c>
      <c r="CW2493">
        <v>1.55</v>
      </c>
      <c r="CX2493" t="s">
        <v>411</v>
      </c>
      <c r="CY2493">
        <v>4.25</v>
      </c>
      <c r="CZ2493">
        <v>0</v>
      </c>
      <c r="DA2493">
        <v>1.98</v>
      </c>
      <c r="DB2493">
        <v>0.95</v>
      </c>
      <c r="DC2493">
        <v>0.22</v>
      </c>
      <c r="DD2493">
        <v>44.9</v>
      </c>
      <c r="DE2493" t="s">
        <v>612</v>
      </c>
      <c r="DF2493">
        <v>24.1</v>
      </c>
      <c r="DG2493">
        <v>4.04</v>
      </c>
      <c r="DH2493">
        <v>3.5</v>
      </c>
      <c r="DI2493">
        <v>1.49</v>
      </c>
      <c r="DJ2493">
        <v>4992</v>
      </c>
      <c r="DK2493">
        <v>600114</v>
      </c>
      <c r="DL2493" t="s">
        <v>120</v>
      </c>
      <c r="DM2493" t="s">
        <v>120</v>
      </c>
      <c r="DN2493" t="s">
        <v>120</v>
      </c>
    </row>
    <row r="2494" spans="1:118">
      <c r="A2494" t="str">
        <f>"600115"</f>
        <v>600115</v>
      </c>
      <c r="B2494" t="s">
        <v>11486</v>
      </c>
      <c r="C2494">
        <v>-3.16</v>
      </c>
      <c r="D2494">
        <v>-0.64</v>
      </c>
      <c r="E2494">
        <v>-0.21</v>
      </c>
      <c r="F2494">
        <v>20402</v>
      </c>
      <c r="G2494" t="s">
        <v>11487</v>
      </c>
      <c r="H2494">
        <v>23112.92</v>
      </c>
      <c r="I2494">
        <v>89.44</v>
      </c>
      <c r="J2494" t="s">
        <v>120</v>
      </c>
      <c r="K2494" t="s">
        <v>11488</v>
      </c>
      <c r="L2494">
        <v>0.51</v>
      </c>
      <c r="M2494">
        <v>4.59</v>
      </c>
      <c r="N2494">
        <v>1.0900000000000001</v>
      </c>
      <c r="O2494">
        <v>0.84</v>
      </c>
      <c r="P2494">
        <v>4.78</v>
      </c>
      <c r="Q2494">
        <v>-3.59</v>
      </c>
      <c r="R2494">
        <v>4.57</v>
      </c>
      <c r="S2494">
        <v>4.7300000000000004</v>
      </c>
      <c r="T2494">
        <v>496602</v>
      </c>
      <c r="U2494">
        <v>4.5999999999999996</v>
      </c>
      <c r="V2494">
        <v>4.74</v>
      </c>
      <c r="W2494" t="s">
        <v>120</v>
      </c>
      <c r="X2494" t="s">
        <v>540</v>
      </c>
      <c r="Y2494" t="s">
        <v>1510</v>
      </c>
      <c r="Z2494">
        <v>4.43</v>
      </c>
      <c r="AA2494">
        <v>4.6500000000000004</v>
      </c>
      <c r="AB2494">
        <v>325533</v>
      </c>
      <c r="AC2494">
        <v>171069</v>
      </c>
      <c r="AD2494">
        <v>1.9</v>
      </c>
      <c r="AE2494">
        <v>1583</v>
      </c>
      <c r="AF2494">
        <v>451</v>
      </c>
      <c r="AG2494" t="s">
        <v>120</v>
      </c>
      <c r="AH2494">
        <v>0</v>
      </c>
      <c r="AI2494" t="s">
        <v>120</v>
      </c>
      <c r="AJ2494">
        <v>98.08</v>
      </c>
      <c r="AK2494" t="s">
        <v>11489</v>
      </c>
      <c r="AL2494">
        <v>-1.82</v>
      </c>
      <c r="AM2494">
        <v>3851</v>
      </c>
      <c r="AN2494">
        <v>129</v>
      </c>
      <c r="AO2494">
        <v>1E-4</v>
      </c>
      <c r="AP2494">
        <v>-4</v>
      </c>
      <c r="AQ2494">
        <v>-1.25</v>
      </c>
      <c r="AR2494">
        <v>-8.1999999999999993</v>
      </c>
      <c r="AS2494">
        <v>-3.16</v>
      </c>
      <c r="AT2494">
        <v>-11.73</v>
      </c>
      <c r="AU2494">
        <v>-1.93</v>
      </c>
      <c r="AV2494">
        <v>0</v>
      </c>
      <c r="AW2494">
        <v>1.1599999999999999</v>
      </c>
      <c r="AX2494">
        <v>38.19</v>
      </c>
      <c r="AY2494" t="s">
        <v>120</v>
      </c>
      <c r="AZ2494" t="s">
        <v>120</v>
      </c>
      <c r="BA2494">
        <v>0.28000000000000003</v>
      </c>
      <c r="BB2494" t="s">
        <v>143</v>
      </c>
      <c r="BF2494">
        <v>-1.81</v>
      </c>
      <c r="BG2494">
        <v>-2.96</v>
      </c>
      <c r="BH2494">
        <v>-3.97</v>
      </c>
      <c r="BI2494">
        <v>0.44</v>
      </c>
      <c r="BJ2494">
        <v>20210831</v>
      </c>
      <c r="BK2494">
        <v>19971105</v>
      </c>
      <c r="BL2494">
        <v>163.80000000000001</v>
      </c>
      <c r="BM2494" t="s">
        <v>120</v>
      </c>
      <c r="BN2494">
        <v>51.77</v>
      </c>
      <c r="BO2494">
        <v>2909.24</v>
      </c>
      <c r="BP2494">
        <v>4.59</v>
      </c>
      <c r="BQ2494">
        <v>478.61</v>
      </c>
      <c r="BR2494">
        <v>44.29</v>
      </c>
      <c r="BS2494">
        <v>82.03</v>
      </c>
      <c r="BT2494">
        <v>314.22000000000003</v>
      </c>
      <c r="BU2494">
        <v>947.26</v>
      </c>
      <c r="BV2494">
        <v>25.46</v>
      </c>
      <c r="BW2494">
        <v>931.07</v>
      </c>
      <c r="BX2494">
        <v>155.6</v>
      </c>
      <c r="BY2494">
        <v>20.61</v>
      </c>
      <c r="BZ2494">
        <v>19.37</v>
      </c>
      <c r="CA2494">
        <v>0.12</v>
      </c>
      <c r="CB2494">
        <v>336.09</v>
      </c>
      <c r="CC2494">
        <v>347.1</v>
      </c>
      <c r="CD2494">
        <v>396.52</v>
      </c>
      <c r="CE2494">
        <v>-73.8</v>
      </c>
      <c r="CF2494">
        <v>1.27</v>
      </c>
      <c r="CG2494">
        <v>-72.8</v>
      </c>
      <c r="CH2494">
        <v>-53.98</v>
      </c>
      <c r="CI2494">
        <v>-52.08</v>
      </c>
      <c r="CJ2494">
        <v>-0.15</v>
      </c>
      <c r="CK2494">
        <v>-56.19</v>
      </c>
      <c r="CL2494">
        <v>-1.86</v>
      </c>
      <c r="CM2494">
        <v>82.69</v>
      </c>
      <c r="CN2494">
        <v>79.069999999999993</v>
      </c>
      <c r="CO2494">
        <v>184557</v>
      </c>
      <c r="CP2494">
        <v>23181</v>
      </c>
      <c r="CQ2494" t="s">
        <v>11490</v>
      </c>
      <c r="CR2494">
        <v>39.03</v>
      </c>
      <c r="CS2494">
        <v>38.130000000000003</v>
      </c>
      <c r="CT2494">
        <v>1.57</v>
      </c>
      <c r="CU2494">
        <v>9.09</v>
      </c>
      <c r="CV2494">
        <v>2.17</v>
      </c>
      <c r="CW2494">
        <v>0</v>
      </c>
      <c r="CX2494" t="s">
        <v>11491</v>
      </c>
      <c r="CY2494">
        <v>2.92</v>
      </c>
      <c r="CZ2494">
        <v>0</v>
      </c>
      <c r="DA2494">
        <v>2.0499999999999998</v>
      </c>
      <c r="DB2494">
        <v>-0.01</v>
      </c>
      <c r="DC2494">
        <v>0.5</v>
      </c>
      <c r="DD2494">
        <v>16.45</v>
      </c>
      <c r="DE2494" t="s">
        <v>11492</v>
      </c>
      <c r="DF2494">
        <v>-14.24</v>
      </c>
      <c r="DG2494">
        <v>-21.26</v>
      </c>
      <c r="DH2494">
        <v>-15</v>
      </c>
      <c r="DI2494">
        <v>0.97</v>
      </c>
      <c r="DJ2494">
        <v>81157</v>
      </c>
      <c r="DK2494">
        <v>600115</v>
      </c>
      <c r="DL2494" t="s">
        <v>120</v>
      </c>
      <c r="DM2494" t="s">
        <v>120</v>
      </c>
      <c r="DN2494" t="s">
        <v>120</v>
      </c>
    </row>
    <row r="2495" spans="1:118">
      <c r="A2495" t="str">
        <f>"600116"</f>
        <v>600116</v>
      </c>
      <c r="B2495" t="s">
        <v>11493</v>
      </c>
      <c r="C2495">
        <v>-4.26</v>
      </c>
      <c r="D2495">
        <v>0</v>
      </c>
      <c r="E2495">
        <v>1.18</v>
      </c>
      <c r="F2495">
        <v>4755</v>
      </c>
      <c r="G2495" t="s">
        <v>11494</v>
      </c>
      <c r="H2495">
        <v>45273.84</v>
      </c>
      <c r="I2495">
        <v>350.31</v>
      </c>
      <c r="J2495" t="s">
        <v>120</v>
      </c>
      <c r="K2495" t="s">
        <v>11495</v>
      </c>
      <c r="L2495">
        <v>3.07</v>
      </c>
      <c r="M2495">
        <v>10.56</v>
      </c>
      <c r="N2495">
        <v>0.63</v>
      </c>
      <c r="O2495">
        <v>2.81</v>
      </c>
      <c r="P2495">
        <v>11.34</v>
      </c>
      <c r="Q2495">
        <v>-4.3499999999999996</v>
      </c>
      <c r="R2495">
        <v>10.55</v>
      </c>
      <c r="S2495">
        <v>11.16</v>
      </c>
      <c r="T2495">
        <v>415351</v>
      </c>
      <c r="U2495">
        <v>10.57</v>
      </c>
      <c r="V2495">
        <v>11.03</v>
      </c>
      <c r="W2495">
        <v>23.38</v>
      </c>
      <c r="X2495" t="s">
        <v>1287</v>
      </c>
      <c r="Y2495" t="s">
        <v>883</v>
      </c>
      <c r="Z2495">
        <v>7.16</v>
      </c>
      <c r="AA2495">
        <v>10.9</v>
      </c>
      <c r="AB2495">
        <v>240937</v>
      </c>
      <c r="AC2495">
        <v>174414</v>
      </c>
      <c r="AD2495">
        <v>1.38</v>
      </c>
      <c r="AE2495">
        <v>1395</v>
      </c>
      <c r="AF2495">
        <v>149</v>
      </c>
      <c r="AG2495" t="s">
        <v>120</v>
      </c>
      <c r="AH2495">
        <v>0.04</v>
      </c>
      <c r="AI2495" t="s">
        <v>120</v>
      </c>
      <c r="AJ2495">
        <v>13.54</v>
      </c>
      <c r="AK2495" t="s">
        <v>11496</v>
      </c>
      <c r="AL2495">
        <v>-2.92</v>
      </c>
      <c r="AM2495">
        <v>4138</v>
      </c>
      <c r="AN2495">
        <v>100</v>
      </c>
      <c r="AO2495">
        <v>6.9999999999999999E-4</v>
      </c>
      <c r="AP2495">
        <v>-2</v>
      </c>
      <c r="AQ2495">
        <v>-0.18</v>
      </c>
      <c r="AR2495">
        <v>-0.84</v>
      </c>
      <c r="AS2495">
        <v>10.23</v>
      </c>
      <c r="AT2495">
        <v>29.41</v>
      </c>
      <c r="AU2495">
        <v>26.92</v>
      </c>
      <c r="AV2495">
        <v>1</v>
      </c>
      <c r="AW2495">
        <v>5.19</v>
      </c>
      <c r="AX2495">
        <v>41.84</v>
      </c>
      <c r="AY2495">
        <v>24.88</v>
      </c>
      <c r="AZ2495">
        <v>34.020000000000003</v>
      </c>
      <c r="BA2495">
        <v>0.87</v>
      </c>
      <c r="BB2495" t="s">
        <v>143</v>
      </c>
      <c r="BF2495">
        <v>-1.18</v>
      </c>
      <c r="BG2495">
        <v>-5.38</v>
      </c>
      <c r="BH2495">
        <v>-6.88</v>
      </c>
      <c r="BI2495">
        <v>0.09</v>
      </c>
      <c r="BJ2495">
        <v>20210806</v>
      </c>
      <c r="BK2495">
        <v>19970804</v>
      </c>
      <c r="BL2495">
        <v>19.12</v>
      </c>
      <c r="BM2495" t="s">
        <v>120</v>
      </c>
      <c r="BN2495" t="s">
        <v>120</v>
      </c>
      <c r="BO2495">
        <v>204.82</v>
      </c>
      <c r="BP2495">
        <v>10.56</v>
      </c>
      <c r="BQ2495">
        <v>104.67</v>
      </c>
      <c r="BR2495">
        <v>2.57</v>
      </c>
      <c r="BS2495">
        <v>47.64</v>
      </c>
      <c r="BT2495">
        <v>42.54</v>
      </c>
      <c r="BU2495">
        <v>85.95</v>
      </c>
      <c r="BV2495">
        <v>12.4</v>
      </c>
      <c r="BW2495">
        <v>65.709999999999994</v>
      </c>
      <c r="BX2495">
        <v>16.71</v>
      </c>
      <c r="BY2495">
        <v>2.77</v>
      </c>
      <c r="BZ2495">
        <v>10.11</v>
      </c>
      <c r="CA2495">
        <v>7.0000000000000007E-2</v>
      </c>
      <c r="CB2495">
        <v>65.37</v>
      </c>
      <c r="CC2495">
        <v>45.67</v>
      </c>
      <c r="CD2495">
        <v>38.07</v>
      </c>
      <c r="CE2495">
        <v>5.01</v>
      </c>
      <c r="CF2495">
        <v>0.71</v>
      </c>
      <c r="CG2495">
        <v>4.97</v>
      </c>
      <c r="CH2495">
        <v>4.41</v>
      </c>
      <c r="CI2495">
        <v>4.32</v>
      </c>
      <c r="CJ2495">
        <v>-0.47</v>
      </c>
      <c r="CK2495">
        <v>4.07</v>
      </c>
      <c r="CL2495">
        <v>18.43</v>
      </c>
      <c r="CM2495">
        <v>1.44</v>
      </c>
      <c r="CN2495">
        <v>1.1599999999999999</v>
      </c>
      <c r="CO2495">
        <v>55903</v>
      </c>
      <c r="CP2495">
        <v>14310</v>
      </c>
      <c r="CQ2495" t="s">
        <v>6693</v>
      </c>
      <c r="CR2495">
        <v>111.51</v>
      </c>
      <c r="CS2495">
        <v>330.73</v>
      </c>
      <c r="CT2495">
        <v>1.93</v>
      </c>
      <c r="CU2495">
        <v>139.79</v>
      </c>
      <c r="CV2495">
        <v>4.42</v>
      </c>
      <c r="CW2495">
        <v>0.91</v>
      </c>
      <c r="CX2495" t="s">
        <v>694</v>
      </c>
      <c r="CY2495">
        <v>5.47</v>
      </c>
      <c r="CZ2495">
        <v>0</v>
      </c>
      <c r="DA2495">
        <v>3.42</v>
      </c>
      <c r="DB2495">
        <v>0.96</v>
      </c>
      <c r="DC2495">
        <v>0.08</v>
      </c>
      <c r="DD2495">
        <v>51.1</v>
      </c>
      <c r="DE2495" t="s">
        <v>1175</v>
      </c>
      <c r="DF2495">
        <v>16.649999999999999</v>
      </c>
      <c r="DG2495">
        <v>10.98</v>
      </c>
      <c r="DH2495">
        <v>9.4600000000000009</v>
      </c>
      <c r="DI2495" t="s">
        <v>120</v>
      </c>
      <c r="DJ2495">
        <v>3930</v>
      </c>
      <c r="DK2495">
        <v>600116</v>
      </c>
      <c r="DL2495" t="s">
        <v>120</v>
      </c>
      <c r="DM2495" t="s">
        <v>120</v>
      </c>
      <c r="DN2495" t="s">
        <v>120</v>
      </c>
    </row>
    <row r="2496" spans="1:118">
      <c r="A2496" t="str">
        <f>"600117"</f>
        <v>600117</v>
      </c>
      <c r="B2496" t="s">
        <v>11497</v>
      </c>
      <c r="C2496">
        <v>-2.14</v>
      </c>
      <c r="D2496">
        <v>0.2</v>
      </c>
      <c r="E2496">
        <v>3.11</v>
      </c>
      <c r="F2496">
        <v>1504</v>
      </c>
      <c r="G2496" t="s">
        <v>3651</v>
      </c>
      <c r="H2496">
        <v>15443.69</v>
      </c>
      <c r="I2496">
        <v>328.18</v>
      </c>
      <c r="J2496" t="s">
        <v>120</v>
      </c>
      <c r="K2496" t="s">
        <v>11498</v>
      </c>
      <c r="L2496">
        <v>2.85</v>
      </c>
      <c r="M2496">
        <v>5.03</v>
      </c>
      <c r="N2496">
        <v>1.03</v>
      </c>
      <c r="O2496">
        <v>3.31</v>
      </c>
      <c r="P2496">
        <v>5.31</v>
      </c>
      <c r="Q2496">
        <v>-2.5299999999999998</v>
      </c>
      <c r="R2496">
        <v>5.01</v>
      </c>
      <c r="S2496">
        <v>5.3</v>
      </c>
      <c r="T2496">
        <v>298350</v>
      </c>
      <c r="U2496">
        <v>5.03</v>
      </c>
      <c r="V2496">
        <v>5.14</v>
      </c>
      <c r="W2496" t="s">
        <v>120</v>
      </c>
      <c r="X2496" t="s">
        <v>1667</v>
      </c>
      <c r="Y2496" t="s">
        <v>691</v>
      </c>
      <c r="Z2496">
        <v>5.84</v>
      </c>
      <c r="AA2496">
        <v>5.18</v>
      </c>
      <c r="AB2496">
        <v>155821</v>
      </c>
      <c r="AC2496">
        <v>142529</v>
      </c>
      <c r="AD2496">
        <v>1.0900000000000001</v>
      </c>
      <c r="AE2496">
        <v>1132</v>
      </c>
      <c r="AF2496">
        <v>772</v>
      </c>
      <c r="AG2496" t="s">
        <v>120</v>
      </c>
      <c r="AH2496">
        <v>0.16</v>
      </c>
      <c r="AI2496" t="s">
        <v>120</v>
      </c>
      <c r="AJ2496">
        <v>10.45</v>
      </c>
      <c r="AK2496" t="s">
        <v>11498</v>
      </c>
      <c r="AL2496">
        <v>-0.8</v>
      </c>
      <c r="AM2496">
        <v>3099</v>
      </c>
      <c r="AN2496">
        <v>96</v>
      </c>
      <c r="AO2496">
        <v>8.9999999999999998E-4</v>
      </c>
      <c r="AP2496">
        <v>-1</v>
      </c>
      <c r="AQ2496">
        <v>4.05</v>
      </c>
      <c r="AR2496">
        <v>-1.94</v>
      </c>
      <c r="AS2496">
        <v>10.8</v>
      </c>
      <c r="AT2496">
        <v>32.369999999999997</v>
      </c>
      <c r="AU2496">
        <v>32.72</v>
      </c>
      <c r="AV2496">
        <v>9</v>
      </c>
      <c r="AW2496">
        <v>7.93</v>
      </c>
      <c r="AX2496">
        <v>36.020000000000003</v>
      </c>
      <c r="AY2496" t="s">
        <v>120</v>
      </c>
      <c r="AZ2496">
        <v>90.84</v>
      </c>
      <c r="BA2496">
        <v>0.65</v>
      </c>
      <c r="BB2496" t="s">
        <v>184</v>
      </c>
      <c r="BF2496">
        <v>0.71</v>
      </c>
      <c r="BG2496">
        <v>-5.09</v>
      </c>
      <c r="BH2496">
        <v>-5.27</v>
      </c>
      <c r="BI2496">
        <v>0.4</v>
      </c>
      <c r="BJ2496">
        <v>20210821</v>
      </c>
      <c r="BK2496">
        <v>19971015</v>
      </c>
      <c r="BL2496">
        <v>10.45</v>
      </c>
      <c r="BM2496" t="s">
        <v>120</v>
      </c>
      <c r="BN2496" t="s">
        <v>120</v>
      </c>
      <c r="BO2496">
        <v>198.63</v>
      </c>
      <c r="BP2496">
        <v>5.0199999999999996</v>
      </c>
      <c r="BQ2496">
        <v>13.59</v>
      </c>
      <c r="BR2496">
        <v>35.22</v>
      </c>
      <c r="BS2496">
        <v>75.430000000000007</v>
      </c>
      <c r="BT2496">
        <v>64.150000000000006</v>
      </c>
      <c r="BU2496">
        <v>99.04</v>
      </c>
      <c r="BV2496">
        <v>7.34</v>
      </c>
      <c r="BW2496">
        <v>128.87</v>
      </c>
      <c r="BX2496">
        <v>14.58</v>
      </c>
      <c r="BY2496">
        <v>27.82</v>
      </c>
      <c r="BZ2496">
        <v>7.29</v>
      </c>
      <c r="CA2496" t="s">
        <v>120</v>
      </c>
      <c r="CB2496">
        <v>22.21</v>
      </c>
      <c r="CC2496">
        <v>58.52</v>
      </c>
      <c r="CD2496">
        <v>51.92</v>
      </c>
      <c r="CE2496">
        <v>0.83</v>
      </c>
      <c r="CF2496">
        <v>0.4</v>
      </c>
      <c r="CG2496">
        <v>0.67</v>
      </c>
      <c r="CH2496">
        <v>0.21</v>
      </c>
      <c r="CI2496">
        <v>-0.97</v>
      </c>
      <c r="CJ2496">
        <v>-0.11</v>
      </c>
      <c r="CK2496">
        <v>-0.97</v>
      </c>
      <c r="CL2496">
        <v>-21.15</v>
      </c>
      <c r="CM2496">
        <v>5.36</v>
      </c>
      <c r="CN2496">
        <v>-0.8</v>
      </c>
      <c r="CO2496">
        <v>56777</v>
      </c>
      <c r="CP2496">
        <v>6630</v>
      </c>
      <c r="CQ2496" t="s">
        <v>6890</v>
      </c>
      <c r="CR2496">
        <v>-509.04</v>
      </c>
      <c r="CS2496">
        <v>38.44</v>
      </c>
      <c r="CT2496">
        <v>3.87</v>
      </c>
      <c r="CU2496">
        <v>9.81</v>
      </c>
      <c r="CV2496">
        <v>0.9</v>
      </c>
      <c r="CW2496">
        <v>0</v>
      </c>
      <c r="CX2496" t="s">
        <v>2242</v>
      </c>
      <c r="CY2496">
        <v>1.3</v>
      </c>
      <c r="CZ2496">
        <v>0</v>
      </c>
      <c r="DA2496">
        <v>2.13</v>
      </c>
      <c r="DB2496">
        <v>-2.02</v>
      </c>
      <c r="DC2496">
        <v>0.51</v>
      </c>
      <c r="DD2496">
        <v>6.84</v>
      </c>
      <c r="DE2496" t="s">
        <v>4644</v>
      </c>
      <c r="DF2496">
        <v>11.27</v>
      </c>
      <c r="DG2496">
        <v>1.43</v>
      </c>
      <c r="DH2496">
        <v>-1.65</v>
      </c>
      <c r="DI2496">
        <v>1.42</v>
      </c>
      <c r="DJ2496">
        <v>3838</v>
      </c>
      <c r="DK2496">
        <v>600117</v>
      </c>
      <c r="DL2496" t="s">
        <v>120</v>
      </c>
      <c r="DM2496" t="s">
        <v>120</v>
      </c>
      <c r="DN2496" t="s">
        <v>120</v>
      </c>
    </row>
    <row r="2497" spans="1:118">
      <c r="A2497" t="str">
        <f>"600118"</f>
        <v>600118</v>
      </c>
      <c r="B2497" t="s">
        <v>11499</v>
      </c>
      <c r="C2497">
        <v>-1.47</v>
      </c>
      <c r="D2497">
        <v>-0.03</v>
      </c>
      <c r="E2497">
        <v>0.18</v>
      </c>
      <c r="F2497">
        <v>1220</v>
      </c>
      <c r="G2497" t="s">
        <v>11500</v>
      </c>
      <c r="H2497">
        <v>34896.080000000002</v>
      </c>
      <c r="I2497">
        <v>63.63</v>
      </c>
      <c r="J2497" t="s">
        <v>120</v>
      </c>
      <c r="K2497" t="s">
        <v>11501</v>
      </c>
      <c r="L2497">
        <v>1.06</v>
      </c>
      <c r="M2497">
        <v>27.45</v>
      </c>
      <c r="N2497">
        <v>0.72</v>
      </c>
      <c r="O2497">
        <v>2.19</v>
      </c>
      <c r="P2497">
        <v>28.47</v>
      </c>
      <c r="Q2497">
        <v>-1.76</v>
      </c>
      <c r="R2497">
        <v>27.37</v>
      </c>
      <c r="S2497">
        <v>27.91</v>
      </c>
      <c r="T2497">
        <v>124850</v>
      </c>
      <c r="U2497">
        <v>27.46</v>
      </c>
      <c r="V2497">
        <v>27.86</v>
      </c>
      <c r="W2497">
        <v>105.52</v>
      </c>
      <c r="X2497" t="s">
        <v>1621</v>
      </c>
      <c r="Y2497" t="s">
        <v>158</v>
      </c>
      <c r="Z2497">
        <v>3.95</v>
      </c>
      <c r="AA2497">
        <v>27.95</v>
      </c>
      <c r="AB2497">
        <v>69183</v>
      </c>
      <c r="AC2497">
        <v>55667</v>
      </c>
      <c r="AD2497">
        <v>1.24</v>
      </c>
      <c r="AE2497">
        <v>466</v>
      </c>
      <c r="AF2497">
        <v>42</v>
      </c>
      <c r="AG2497" t="s">
        <v>120</v>
      </c>
      <c r="AH2497">
        <v>0</v>
      </c>
      <c r="AI2497" t="s">
        <v>120</v>
      </c>
      <c r="AJ2497">
        <v>11.82</v>
      </c>
      <c r="AK2497" t="s">
        <v>11501</v>
      </c>
      <c r="AL2497">
        <v>-0.13</v>
      </c>
      <c r="AM2497">
        <v>3697</v>
      </c>
      <c r="AN2497">
        <v>34</v>
      </c>
      <c r="AO2497">
        <v>2.9999999999999997E-4</v>
      </c>
      <c r="AP2497">
        <v>-4</v>
      </c>
      <c r="AQ2497">
        <v>-0.85</v>
      </c>
      <c r="AR2497">
        <v>-5.95</v>
      </c>
      <c r="AS2497">
        <v>3.28</v>
      </c>
      <c r="AT2497">
        <v>-5.84</v>
      </c>
      <c r="AU2497">
        <v>-14.43</v>
      </c>
      <c r="AV2497">
        <v>2</v>
      </c>
      <c r="AW2497">
        <v>2.1800000000000002</v>
      </c>
      <c r="AX2497">
        <v>48.54</v>
      </c>
      <c r="AY2497">
        <v>92</v>
      </c>
      <c r="AZ2497">
        <v>93.18</v>
      </c>
      <c r="BA2497">
        <v>0.98</v>
      </c>
      <c r="BB2497" t="s">
        <v>240</v>
      </c>
      <c r="BF2497">
        <v>0.32</v>
      </c>
      <c r="BG2497">
        <v>-1.65</v>
      </c>
      <c r="BH2497">
        <v>-3.58</v>
      </c>
      <c r="BI2497">
        <v>0.28999999999999998</v>
      </c>
      <c r="BJ2497">
        <v>20210825</v>
      </c>
      <c r="BK2497">
        <v>19970908</v>
      </c>
      <c r="BL2497">
        <v>11.82</v>
      </c>
      <c r="BM2497" t="s">
        <v>120</v>
      </c>
      <c r="BN2497" t="s">
        <v>120</v>
      </c>
      <c r="BO2497">
        <v>140.96</v>
      </c>
      <c r="BP2497">
        <v>27.45</v>
      </c>
      <c r="BQ2497">
        <v>60.65</v>
      </c>
      <c r="BR2497">
        <v>18.52</v>
      </c>
      <c r="BS2497">
        <v>43.84</v>
      </c>
      <c r="BT2497">
        <v>108.67</v>
      </c>
      <c r="BU2497">
        <v>10.36</v>
      </c>
      <c r="BV2497">
        <v>5.87</v>
      </c>
      <c r="BW2497">
        <v>55.71</v>
      </c>
      <c r="BX2497">
        <v>24.66</v>
      </c>
      <c r="BY2497">
        <v>26.3</v>
      </c>
      <c r="BZ2497">
        <v>29.09</v>
      </c>
      <c r="CA2497">
        <v>0.03</v>
      </c>
      <c r="CB2497">
        <v>17.329999999999998</v>
      </c>
      <c r="CC2497">
        <v>30.59</v>
      </c>
      <c r="CD2497">
        <v>26.64</v>
      </c>
      <c r="CE2497">
        <v>1.84</v>
      </c>
      <c r="CF2497">
        <v>0.01</v>
      </c>
      <c r="CG2497">
        <v>1.83</v>
      </c>
      <c r="CH2497">
        <v>1.84</v>
      </c>
      <c r="CI2497">
        <v>1.54</v>
      </c>
      <c r="CJ2497">
        <v>-0.41</v>
      </c>
      <c r="CK2497">
        <v>1.48</v>
      </c>
      <c r="CL2497">
        <v>29.62</v>
      </c>
      <c r="CM2497">
        <v>4.05</v>
      </c>
      <c r="CN2497">
        <v>3.43</v>
      </c>
      <c r="CO2497">
        <v>151037</v>
      </c>
      <c r="CP2497">
        <v>3800</v>
      </c>
      <c r="CQ2497" t="s">
        <v>11502</v>
      </c>
      <c r="CR2497">
        <v>3.05</v>
      </c>
      <c r="CS2497">
        <v>11.94</v>
      </c>
      <c r="CT2497">
        <v>5.35</v>
      </c>
      <c r="CU2497">
        <v>80.2</v>
      </c>
      <c r="CV2497">
        <v>10.61</v>
      </c>
      <c r="CW2497">
        <v>0.36</v>
      </c>
      <c r="CX2497" t="s">
        <v>986</v>
      </c>
      <c r="CY2497">
        <v>5.13</v>
      </c>
      <c r="CZ2497">
        <v>0</v>
      </c>
      <c r="DA2497">
        <v>1.47</v>
      </c>
      <c r="DB2497">
        <v>2.5099999999999998</v>
      </c>
      <c r="DC2497">
        <v>0.34</v>
      </c>
      <c r="DD2497">
        <v>43.03</v>
      </c>
      <c r="DE2497" t="s">
        <v>3064</v>
      </c>
      <c r="DF2497">
        <v>12.92</v>
      </c>
      <c r="DG2497">
        <v>6</v>
      </c>
      <c r="DH2497">
        <v>5.03</v>
      </c>
      <c r="DI2497">
        <v>0.73</v>
      </c>
      <c r="DJ2497">
        <v>4077</v>
      </c>
      <c r="DK2497">
        <v>600118</v>
      </c>
      <c r="DL2497" t="s">
        <v>120</v>
      </c>
      <c r="DM2497" t="s">
        <v>120</v>
      </c>
      <c r="DN2497" t="s">
        <v>120</v>
      </c>
    </row>
    <row r="2498" spans="1:118">
      <c r="A2498" t="str">
        <f>"600119"</f>
        <v>600119</v>
      </c>
      <c r="B2498" t="s">
        <v>11503</v>
      </c>
      <c r="C2498">
        <v>-1.57</v>
      </c>
      <c r="D2498">
        <v>0.25</v>
      </c>
      <c r="E2498">
        <v>-1.45</v>
      </c>
      <c r="F2498">
        <v>141</v>
      </c>
      <c r="G2498" t="s">
        <v>10746</v>
      </c>
      <c r="H2498">
        <v>1106.1400000000001</v>
      </c>
      <c r="I2498">
        <v>16.440000000000001</v>
      </c>
      <c r="J2498" t="s">
        <v>120</v>
      </c>
      <c r="K2498" t="s">
        <v>1496</v>
      </c>
      <c r="L2498">
        <v>0.44</v>
      </c>
      <c r="M2498">
        <v>8.1300000000000008</v>
      </c>
      <c r="N2498">
        <v>0.65</v>
      </c>
      <c r="O2498">
        <v>0.73</v>
      </c>
      <c r="P2498">
        <v>8.32</v>
      </c>
      <c r="Q2498">
        <v>-1.94</v>
      </c>
      <c r="R2498">
        <v>8.1</v>
      </c>
      <c r="S2498">
        <v>8.14</v>
      </c>
      <c r="T2498">
        <v>13499</v>
      </c>
      <c r="U2498">
        <v>8.1300000000000008</v>
      </c>
      <c r="V2498">
        <v>8.26</v>
      </c>
      <c r="W2498">
        <v>145.63999999999999</v>
      </c>
      <c r="X2498" t="s">
        <v>2775</v>
      </c>
      <c r="Y2498" t="s">
        <v>1510</v>
      </c>
      <c r="Z2498">
        <v>2.66</v>
      </c>
      <c r="AA2498">
        <v>8.19</v>
      </c>
      <c r="AB2498">
        <v>8677</v>
      </c>
      <c r="AC2498">
        <v>4822</v>
      </c>
      <c r="AD2498">
        <v>1.8</v>
      </c>
      <c r="AE2498">
        <v>10</v>
      </c>
      <c r="AF2498">
        <v>343</v>
      </c>
      <c r="AG2498" t="s">
        <v>120</v>
      </c>
      <c r="AH2498">
        <v>0.01</v>
      </c>
      <c r="AI2498" t="s">
        <v>120</v>
      </c>
      <c r="AJ2498">
        <v>3.07</v>
      </c>
      <c r="AK2498" t="s">
        <v>1385</v>
      </c>
      <c r="AL2498">
        <v>-0.23</v>
      </c>
      <c r="AM2498">
        <v>1039</v>
      </c>
      <c r="AN2498">
        <v>13</v>
      </c>
      <c r="AO2498">
        <v>4.0000000000000002E-4</v>
      </c>
      <c r="AP2498">
        <v>-1</v>
      </c>
      <c r="AQ2498">
        <v>2.1</v>
      </c>
      <c r="AR2498">
        <v>-2.63</v>
      </c>
      <c r="AS2498">
        <v>14.34</v>
      </c>
      <c r="AT2498">
        <v>-3.22</v>
      </c>
      <c r="AU2498">
        <v>6.42</v>
      </c>
      <c r="AV2498">
        <v>7</v>
      </c>
      <c r="AW2498">
        <v>0.68</v>
      </c>
      <c r="AX2498">
        <v>54.17</v>
      </c>
      <c r="AY2498" t="s">
        <v>120</v>
      </c>
      <c r="AZ2498" t="s">
        <v>120</v>
      </c>
      <c r="BA2498">
        <v>0.84</v>
      </c>
      <c r="BB2498" t="s">
        <v>143</v>
      </c>
      <c r="BF2498">
        <v>-0.8</v>
      </c>
      <c r="BG2498">
        <v>-0.12</v>
      </c>
      <c r="BH2498">
        <v>-2.2799999999999998</v>
      </c>
      <c r="BI2498">
        <v>0.37</v>
      </c>
      <c r="BJ2498">
        <v>20210827</v>
      </c>
      <c r="BK2498">
        <v>19980115</v>
      </c>
      <c r="BL2498">
        <v>3.65</v>
      </c>
      <c r="BM2498" t="s">
        <v>120</v>
      </c>
      <c r="BN2498" t="s">
        <v>120</v>
      </c>
      <c r="BO2498">
        <v>10.6</v>
      </c>
      <c r="BP2498">
        <v>8.1199999999999992</v>
      </c>
      <c r="BQ2498">
        <v>3.56</v>
      </c>
      <c r="BR2498">
        <v>1.71</v>
      </c>
      <c r="BS2498">
        <v>50.24</v>
      </c>
      <c r="BT2498">
        <v>5.85</v>
      </c>
      <c r="BU2498">
        <v>1.27</v>
      </c>
      <c r="BV2498">
        <v>1.1000000000000001</v>
      </c>
      <c r="BW2498">
        <v>4.6100000000000003</v>
      </c>
      <c r="BX2498">
        <v>1.1499999999999999</v>
      </c>
      <c r="BY2498">
        <v>0.39</v>
      </c>
      <c r="BZ2498">
        <v>2.59</v>
      </c>
      <c r="CA2498">
        <v>0.01</v>
      </c>
      <c r="CB2498">
        <v>5.17</v>
      </c>
      <c r="CC2498">
        <v>4.54</v>
      </c>
      <c r="CD2498">
        <v>4.1100000000000003</v>
      </c>
      <c r="CE2498">
        <v>0.13</v>
      </c>
      <c r="CF2498">
        <v>0.14000000000000001</v>
      </c>
      <c r="CG2498">
        <v>0.14000000000000001</v>
      </c>
      <c r="CH2498">
        <v>0.11</v>
      </c>
      <c r="CI2498">
        <v>0.1</v>
      </c>
      <c r="CJ2498">
        <v>-0.13</v>
      </c>
      <c r="CK2498">
        <v>-0.1</v>
      </c>
      <c r="CL2498">
        <v>-5.9</v>
      </c>
      <c r="CM2498">
        <v>0.56000000000000005</v>
      </c>
      <c r="CN2498">
        <v>-0.36</v>
      </c>
      <c r="CO2498">
        <v>20430</v>
      </c>
      <c r="CP2498">
        <v>9684</v>
      </c>
      <c r="CQ2498" t="s">
        <v>10359</v>
      </c>
      <c r="CR2498">
        <v>141.97999999999999</v>
      </c>
      <c r="CS2498">
        <v>124.3</v>
      </c>
      <c r="CT2498">
        <v>8.33</v>
      </c>
      <c r="CU2498">
        <v>52.66</v>
      </c>
      <c r="CV2498">
        <v>6.54</v>
      </c>
      <c r="CW2498">
        <v>0</v>
      </c>
      <c r="CX2498" t="s">
        <v>2074</v>
      </c>
      <c r="CY2498">
        <v>0.98</v>
      </c>
      <c r="CZ2498">
        <v>0</v>
      </c>
      <c r="DA2498">
        <v>1.42</v>
      </c>
      <c r="DB2498">
        <v>-1.62</v>
      </c>
      <c r="DC2498">
        <v>0.15</v>
      </c>
      <c r="DD2498">
        <v>33.619999999999997</v>
      </c>
      <c r="DE2498" t="s">
        <v>3366</v>
      </c>
      <c r="DF2498">
        <v>9.42</v>
      </c>
      <c r="DG2498">
        <v>2.79</v>
      </c>
      <c r="DH2498">
        <v>2.25</v>
      </c>
      <c r="DI2498">
        <v>0.03</v>
      </c>
      <c r="DJ2498">
        <v>425</v>
      </c>
      <c r="DK2498">
        <v>600119</v>
      </c>
      <c r="DL2498" t="s">
        <v>120</v>
      </c>
      <c r="DM2498" t="s">
        <v>120</v>
      </c>
      <c r="DN2498" t="s">
        <v>120</v>
      </c>
    </row>
    <row r="2499" spans="1:118">
      <c r="A2499" t="str">
        <f>"600120"</f>
        <v>600120</v>
      </c>
      <c r="B2499" t="s">
        <v>11504</v>
      </c>
      <c r="C2499">
        <v>-0.89</v>
      </c>
      <c r="D2499">
        <v>0</v>
      </c>
      <c r="E2499">
        <v>0</v>
      </c>
      <c r="F2499">
        <v>1737</v>
      </c>
      <c r="G2499" t="s">
        <v>470</v>
      </c>
      <c r="H2499">
        <v>10298.209999999999</v>
      </c>
      <c r="I2499">
        <v>29.57</v>
      </c>
      <c r="J2499" t="s">
        <v>120</v>
      </c>
      <c r="K2499" t="s">
        <v>11505</v>
      </c>
      <c r="L2499">
        <v>0.79</v>
      </c>
      <c r="M2499">
        <v>4.46</v>
      </c>
      <c r="N2499">
        <v>0.63</v>
      </c>
      <c r="O2499">
        <v>2</v>
      </c>
      <c r="P2499">
        <v>4.59</v>
      </c>
      <c r="Q2499">
        <v>-1.1100000000000001</v>
      </c>
      <c r="R2499">
        <v>4.45</v>
      </c>
      <c r="S2499">
        <v>4.5</v>
      </c>
      <c r="T2499">
        <v>228497</v>
      </c>
      <c r="U2499">
        <v>4.47</v>
      </c>
      <c r="V2499">
        <v>4.5</v>
      </c>
      <c r="W2499">
        <v>19.510000000000002</v>
      </c>
      <c r="X2499" t="s">
        <v>721</v>
      </c>
      <c r="Y2499" t="s">
        <v>585</v>
      </c>
      <c r="Z2499">
        <v>3.11</v>
      </c>
      <c r="AA2499">
        <v>4.51</v>
      </c>
      <c r="AB2499">
        <v>115521</v>
      </c>
      <c r="AC2499">
        <v>112976</v>
      </c>
      <c r="AD2499">
        <v>1.02</v>
      </c>
      <c r="AE2499">
        <v>515</v>
      </c>
      <c r="AF2499">
        <v>1273</v>
      </c>
      <c r="AG2499" t="s">
        <v>120</v>
      </c>
      <c r="AH2499">
        <v>0</v>
      </c>
      <c r="AI2499" t="s">
        <v>120</v>
      </c>
      <c r="AJ2499">
        <v>28.96</v>
      </c>
      <c r="AK2499" t="s">
        <v>11505</v>
      </c>
      <c r="AL2499">
        <v>0.45</v>
      </c>
      <c r="AM2499">
        <v>2708</v>
      </c>
      <c r="AN2499">
        <v>84</v>
      </c>
      <c r="AO2499">
        <v>2.9999999999999997E-4</v>
      </c>
      <c r="AP2499">
        <v>-1</v>
      </c>
      <c r="AQ2499">
        <v>0.9</v>
      </c>
      <c r="AR2499">
        <v>-2.62</v>
      </c>
      <c r="AS2499">
        <v>11.22</v>
      </c>
      <c r="AT2499">
        <v>3.97</v>
      </c>
      <c r="AU2499">
        <v>-2.23</v>
      </c>
      <c r="AV2499">
        <v>0</v>
      </c>
      <c r="AW2499">
        <v>1.53</v>
      </c>
      <c r="AX2499">
        <v>51.62</v>
      </c>
      <c r="AY2499">
        <v>14.56</v>
      </c>
      <c r="AZ2499">
        <v>14.43</v>
      </c>
      <c r="BA2499">
        <v>0.52</v>
      </c>
      <c r="BB2499" t="s">
        <v>143</v>
      </c>
      <c r="BF2499">
        <v>0.15</v>
      </c>
      <c r="BG2499">
        <v>-0.89</v>
      </c>
      <c r="BH2499">
        <v>-2.83</v>
      </c>
      <c r="BI2499">
        <v>0.22</v>
      </c>
      <c r="BJ2499">
        <v>20210830</v>
      </c>
      <c r="BK2499">
        <v>19971201</v>
      </c>
      <c r="BL2499">
        <v>28.96</v>
      </c>
      <c r="BM2499" t="s">
        <v>120</v>
      </c>
      <c r="BN2499" t="s">
        <v>120</v>
      </c>
      <c r="BO2499">
        <v>283.52</v>
      </c>
      <c r="BP2499">
        <v>4.46</v>
      </c>
      <c r="BQ2499">
        <v>138.59</v>
      </c>
      <c r="BR2499">
        <v>7.15</v>
      </c>
      <c r="BS2499">
        <v>48.59</v>
      </c>
      <c r="BT2499">
        <v>130.30000000000001</v>
      </c>
      <c r="BU2499">
        <v>5.8</v>
      </c>
      <c r="BV2499">
        <v>4.49</v>
      </c>
      <c r="BW2499">
        <v>92.25</v>
      </c>
      <c r="BX2499">
        <v>42.39</v>
      </c>
      <c r="BY2499">
        <v>9.2899999999999991</v>
      </c>
      <c r="BZ2499">
        <v>3.07</v>
      </c>
      <c r="CA2499" t="s">
        <v>120</v>
      </c>
      <c r="CB2499">
        <v>2.25</v>
      </c>
      <c r="CC2499">
        <v>90.6</v>
      </c>
      <c r="CD2499">
        <v>86.72</v>
      </c>
      <c r="CE2499">
        <v>4.54</v>
      </c>
      <c r="CF2499">
        <v>2.0499999999999998</v>
      </c>
      <c r="CG2499">
        <v>4.5599999999999996</v>
      </c>
      <c r="CH2499">
        <v>3.62</v>
      </c>
      <c r="CI2499">
        <v>3.31</v>
      </c>
      <c r="CJ2499">
        <v>-0.04</v>
      </c>
      <c r="CK2499">
        <v>2.64</v>
      </c>
      <c r="CL2499">
        <v>66.22</v>
      </c>
      <c r="CM2499">
        <v>-1.41</v>
      </c>
      <c r="CN2499">
        <v>1.59</v>
      </c>
      <c r="CO2499">
        <v>56539</v>
      </c>
      <c r="CP2499">
        <v>26445</v>
      </c>
      <c r="CQ2499" t="s">
        <v>802</v>
      </c>
      <c r="CR2499">
        <v>-2.2799999999999998</v>
      </c>
      <c r="CS2499">
        <v>48.34</v>
      </c>
      <c r="CT2499">
        <v>0.93</v>
      </c>
      <c r="CU2499">
        <v>-91.87</v>
      </c>
      <c r="CV2499">
        <v>1.43</v>
      </c>
      <c r="CW2499">
        <v>0.68</v>
      </c>
      <c r="CX2499" t="s">
        <v>1147</v>
      </c>
      <c r="CY2499">
        <v>4.79</v>
      </c>
      <c r="CZ2499">
        <v>0</v>
      </c>
      <c r="DA2499">
        <v>0.08</v>
      </c>
      <c r="DB2499">
        <v>2.29</v>
      </c>
      <c r="DC2499">
        <v>-0.05</v>
      </c>
      <c r="DD2499">
        <v>48.88</v>
      </c>
      <c r="DE2499" t="s">
        <v>11506</v>
      </c>
      <c r="DF2499">
        <v>4.28</v>
      </c>
      <c r="DG2499">
        <v>5.01</v>
      </c>
      <c r="DH2499">
        <v>3.65</v>
      </c>
      <c r="DI2499" t="s">
        <v>120</v>
      </c>
      <c r="DJ2499">
        <v>1387</v>
      </c>
      <c r="DK2499">
        <v>600120</v>
      </c>
      <c r="DL2499" t="s">
        <v>120</v>
      </c>
      <c r="DM2499" t="s">
        <v>120</v>
      </c>
      <c r="DN2499" t="s">
        <v>120</v>
      </c>
    </row>
    <row r="2500" spans="1:118">
      <c r="A2500" t="str">
        <f>"600121"</f>
        <v>600121</v>
      </c>
      <c r="B2500" t="s">
        <v>11507</v>
      </c>
      <c r="C2500">
        <v>-1.17</v>
      </c>
      <c r="D2500">
        <v>0.17</v>
      </c>
      <c r="E2500">
        <v>2.5099999999999998</v>
      </c>
      <c r="F2500">
        <v>5175</v>
      </c>
      <c r="G2500" t="s">
        <v>11508</v>
      </c>
      <c r="H2500">
        <v>48118.77</v>
      </c>
      <c r="I2500">
        <v>359.77</v>
      </c>
      <c r="J2500" t="s">
        <v>120</v>
      </c>
      <c r="K2500" t="s">
        <v>8283</v>
      </c>
      <c r="L2500">
        <v>6.5</v>
      </c>
      <c r="M2500">
        <v>5.91</v>
      </c>
      <c r="N2500">
        <v>0.81</v>
      </c>
      <c r="O2500">
        <v>3.68</v>
      </c>
      <c r="P2500">
        <v>6.2</v>
      </c>
      <c r="Q2500">
        <v>-1.34</v>
      </c>
      <c r="R2500">
        <v>5.9</v>
      </c>
      <c r="S2500">
        <v>6.13</v>
      </c>
      <c r="T2500">
        <v>792233</v>
      </c>
      <c r="U2500">
        <v>5.91</v>
      </c>
      <c r="V2500">
        <v>5.98</v>
      </c>
      <c r="W2500">
        <v>32.24</v>
      </c>
      <c r="X2500" t="s">
        <v>1081</v>
      </c>
      <c r="Y2500" t="s">
        <v>645</v>
      </c>
      <c r="Z2500">
        <v>5.0199999999999996</v>
      </c>
      <c r="AA2500">
        <v>6.07</v>
      </c>
      <c r="AB2500">
        <v>377085</v>
      </c>
      <c r="AC2500">
        <v>415148</v>
      </c>
      <c r="AD2500">
        <v>0.91</v>
      </c>
      <c r="AE2500">
        <v>2481</v>
      </c>
      <c r="AF2500">
        <v>166</v>
      </c>
      <c r="AG2500" t="s">
        <v>120</v>
      </c>
      <c r="AH2500">
        <v>0.13</v>
      </c>
      <c r="AI2500" t="s">
        <v>120</v>
      </c>
      <c r="AJ2500">
        <v>12.18</v>
      </c>
      <c r="AK2500" t="s">
        <v>8283</v>
      </c>
      <c r="AL2500">
        <v>0.17</v>
      </c>
      <c r="AM2500">
        <v>4440</v>
      </c>
      <c r="AN2500">
        <v>178</v>
      </c>
      <c r="AO2500">
        <v>1.5E-3</v>
      </c>
      <c r="AP2500">
        <v>-1</v>
      </c>
      <c r="AQ2500">
        <v>2.75</v>
      </c>
      <c r="AR2500">
        <v>-1.99</v>
      </c>
      <c r="AS2500">
        <v>22.62</v>
      </c>
      <c r="AT2500">
        <v>6.87</v>
      </c>
      <c r="AU2500">
        <v>-36.590000000000003</v>
      </c>
      <c r="AV2500">
        <v>29</v>
      </c>
      <c r="AW2500">
        <v>17.5</v>
      </c>
      <c r="AX2500">
        <v>37.159999999999997</v>
      </c>
      <c r="AY2500" t="s">
        <v>120</v>
      </c>
      <c r="AZ2500" t="s">
        <v>120</v>
      </c>
      <c r="BA2500">
        <v>1.02</v>
      </c>
      <c r="BB2500" t="s">
        <v>143</v>
      </c>
      <c r="BF2500">
        <v>1.57</v>
      </c>
      <c r="BG2500">
        <v>-3.59</v>
      </c>
      <c r="BH2500">
        <v>-4.68</v>
      </c>
      <c r="BI2500">
        <v>0.17</v>
      </c>
      <c r="BJ2500">
        <v>20210830</v>
      </c>
      <c r="BK2500">
        <v>19980107</v>
      </c>
      <c r="BL2500">
        <v>12.18</v>
      </c>
      <c r="BM2500" t="s">
        <v>120</v>
      </c>
      <c r="BN2500" t="s">
        <v>120</v>
      </c>
      <c r="BO2500">
        <v>128.30000000000001</v>
      </c>
      <c r="BP2500">
        <v>5.9</v>
      </c>
      <c r="BQ2500">
        <v>19.899999999999999</v>
      </c>
      <c r="BR2500">
        <v>8.0299999999999994</v>
      </c>
      <c r="BS2500">
        <v>78.23</v>
      </c>
      <c r="BT2500">
        <v>45.63</v>
      </c>
      <c r="BU2500">
        <v>42.59</v>
      </c>
      <c r="BV2500">
        <v>3.91</v>
      </c>
      <c r="BW2500">
        <v>96.46</v>
      </c>
      <c r="BX2500">
        <v>25.18</v>
      </c>
      <c r="BY2500">
        <v>2.89</v>
      </c>
      <c r="BZ2500">
        <v>14.82</v>
      </c>
      <c r="CA2500" t="s">
        <v>120</v>
      </c>
      <c r="CB2500">
        <v>2.25</v>
      </c>
      <c r="CC2500">
        <v>15.17</v>
      </c>
      <c r="CD2500">
        <v>10.91</v>
      </c>
      <c r="CE2500">
        <v>1.79</v>
      </c>
      <c r="CF2500">
        <v>0.23</v>
      </c>
      <c r="CG2500">
        <v>1.76</v>
      </c>
      <c r="CH2500">
        <v>1.54</v>
      </c>
      <c r="CI2500">
        <v>1.1200000000000001</v>
      </c>
      <c r="CJ2500">
        <v>-7.0000000000000007E-2</v>
      </c>
      <c r="CK2500">
        <v>1.04</v>
      </c>
      <c r="CL2500">
        <v>-3.97</v>
      </c>
      <c r="CM2500">
        <v>-3.05</v>
      </c>
      <c r="CN2500">
        <v>0.63</v>
      </c>
      <c r="CO2500">
        <v>121269</v>
      </c>
      <c r="CP2500">
        <v>3733</v>
      </c>
      <c r="CQ2500" t="s">
        <v>11130</v>
      </c>
      <c r="CR2500">
        <v>135.96</v>
      </c>
      <c r="CS2500">
        <v>23.21</v>
      </c>
      <c r="CT2500">
        <v>3.62</v>
      </c>
      <c r="CU2500">
        <v>-23.63</v>
      </c>
      <c r="CV2500">
        <v>4.75</v>
      </c>
      <c r="CW2500">
        <v>0</v>
      </c>
      <c r="CX2500" t="s">
        <v>11509</v>
      </c>
      <c r="CY2500">
        <v>1.63</v>
      </c>
      <c r="CZ2500">
        <v>0</v>
      </c>
      <c r="DA2500">
        <v>0.18</v>
      </c>
      <c r="DB2500">
        <v>-0.33</v>
      </c>
      <c r="DC2500">
        <v>-0.25</v>
      </c>
      <c r="DD2500">
        <v>15.51</v>
      </c>
      <c r="DE2500" t="s">
        <v>1234</v>
      </c>
      <c r="DF2500">
        <v>28.07</v>
      </c>
      <c r="DG2500">
        <v>11.83</v>
      </c>
      <c r="DH2500">
        <v>7.36</v>
      </c>
      <c r="DI2500">
        <v>0.04</v>
      </c>
      <c r="DJ2500">
        <v>13954</v>
      </c>
      <c r="DK2500">
        <v>600121</v>
      </c>
      <c r="DL2500" t="s">
        <v>120</v>
      </c>
      <c r="DM2500" t="s">
        <v>120</v>
      </c>
      <c r="DN2500" t="s">
        <v>120</v>
      </c>
    </row>
    <row r="2501" spans="1:118">
      <c r="A2501" t="str">
        <f>"600123"</f>
        <v>600123</v>
      </c>
      <c r="B2501" t="s">
        <v>11510</v>
      </c>
      <c r="C2501">
        <v>3.74</v>
      </c>
      <c r="D2501">
        <v>-0.22</v>
      </c>
      <c r="E2501">
        <v>5.77</v>
      </c>
      <c r="F2501">
        <v>3027</v>
      </c>
      <c r="G2501" t="s">
        <v>11511</v>
      </c>
      <c r="H2501">
        <v>101742.12</v>
      </c>
      <c r="I2501">
        <v>1497.69</v>
      </c>
      <c r="J2501" t="s">
        <v>120</v>
      </c>
      <c r="K2501" t="s">
        <v>11512</v>
      </c>
      <c r="L2501">
        <v>6.86</v>
      </c>
      <c r="M2501">
        <v>12.77</v>
      </c>
      <c r="N2501">
        <v>1.32</v>
      </c>
      <c r="O2501">
        <v>8.69</v>
      </c>
      <c r="P2501">
        <v>13.38</v>
      </c>
      <c r="Q2501">
        <v>1.54</v>
      </c>
      <c r="R2501">
        <v>12.5</v>
      </c>
      <c r="S2501">
        <v>13.02</v>
      </c>
      <c r="T2501">
        <v>783190</v>
      </c>
      <c r="U2501">
        <v>12.77</v>
      </c>
      <c r="V2501">
        <v>12.31</v>
      </c>
      <c r="W2501">
        <v>10.5</v>
      </c>
      <c r="X2501" t="s">
        <v>1081</v>
      </c>
      <c r="Y2501" t="s">
        <v>667</v>
      </c>
      <c r="Z2501">
        <v>7.15</v>
      </c>
      <c r="AA2501">
        <v>12.99</v>
      </c>
      <c r="AB2501">
        <v>352632</v>
      </c>
      <c r="AC2501">
        <v>430558</v>
      </c>
      <c r="AD2501">
        <v>0.82</v>
      </c>
      <c r="AE2501">
        <v>177</v>
      </c>
      <c r="AF2501">
        <v>100</v>
      </c>
      <c r="AG2501" t="s">
        <v>120</v>
      </c>
      <c r="AH2501">
        <v>0.18</v>
      </c>
      <c r="AI2501" t="s">
        <v>120</v>
      </c>
      <c r="AJ2501">
        <v>11.42</v>
      </c>
      <c r="AK2501" t="s">
        <v>11512</v>
      </c>
      <c r="AL2501">
        <v>5.08</v>
      </c>
      <c r="AM2501">
        <v>4626</v>
      </c>
      <c r="AN2501">
        <v>169</v>
      </c>
      <c r="AO2501">
        <v>1.5E-3</v>
      </c>
      <c r="AP2501">
        <v>1</v>
      </c>
      <c r="AQ2501">
        <v>-1.83</v>
      </c>
      <c r="AR2501">
        <v>1.68</v>
      </c>
      <c r="AS2501">
        <v>43.81</v>
      </c>
      <c r="AT2501">
        <v>51.84</v>
      </c>
      <c r="AU2501">
        <v>126.82</v>
      </c>
      <c r="AV2501">
        <v>4</v>
      </c>
      <c r="AW2501">
        <v>12.49</v>
      </c>
      <c r="AX2501">
        <v>54.89</v>
      </c>
      <c r="AY2501">
        <v>15.23</v>
      </c>
      <c r="AZ2501">
        <v>37.53</v>
      </c>
      <c r="BA2501">
        <v>1.27</v>
      </c>
      <c r="BB2501" t="s">
        <v>143</v>
      </c>
      <c r="BF2501">
        <v>5.53</v>
      </c>
      <c r="BG2501">
        <v>-1.92</v>
      </c>
      <c r="BH2501">
        <v>-4.5599999999999996</v>
      </c>
      <c r="BI2501">
        <v>2.16</v>
      </c>
      <c r="BJ2501">
        <v>20210824</v>
      </c>
      <c r="BK2501">
        <v>19981217</v>
      </c>
      <c r="BL2501">
        <v>11.42</v>
      </c>
      <c r="BM2501" t="s">
        <v>120</v>
      </c>
      <c r="BN2501" t="s">
        <v>120</v>
      </c>
      <c r="BO2501">
        <v>287.08</v>
      </c>
      <c r="BP2501">
        <v>12.76</v>
      </c>
      <c r="BQ2501">
        <v>114.41</v>
      </c>
      <c r="BR2501">
        <v>2.16</v>
      </c>
      <c r="BS2501">
        <v>59.4</v>
      </c>
      <c r="BT2501">
        <v>68.52</v>
      </c>
      <c r="BU2501">
        <v>113.32</v>
      </c>
      <c r="BV2501">
        <v>58.22</v>
      </c>
      <c r="BW2501">
        <v>120.44</v>
      </c>
      <c r="BX2501">
        <v>25.85</v>
      </c>
      <c r="BY2501">
        <v>7.34</v>
      </c>
      <c r="BZ2501">
        <v>1.22</v>
      </c>
      <c r="CA2501" t="s">
        <v>120</v>
      </c>
      <c r="CB2501">
        <v>2.5499999999999998</v>
      </c>
      <c r="CC2501">
        <v>52.63</v>
      </c>
      <c r="CD2501">
        <v>30.96</v>
      </c>
      <c r="CE2501">
        <v>9.7899999999999991</v>
      </c>
      <c r="CF2501">
        <v>1.1299999999999999</v>
      </c>
      <c r="CG2501">
        <v>9.14</v>
      </c>
      <c r="CH2501">
        <v>6.57</v>
      </c>
      <c r="CI2501">
        <v>6.95</v>
      </c>
      <c r="CJ2501">
        <v>0.46</v>
      </c>
      <c r="CK2501">
        <v>7.38</v>
      </c>
      <c r="CL2501">
        <v>74.75</v>
      </c>
      <c r="CM2501">
        <v>6.43</v>
      </c>
      <c r="CN2501">
        <v>4.97</v>
      </c>
      <c r="CO2501">
        <v>59226</v>
      </c>
      <c r="CP2501">
        <v>10588</v>
      </c>
      <c r="CQ2501" t="s">
        <v>11513</v>
      </c>
      <c r="CR2501">
        <v>374.43</v>
      </c>
      <c r="CS2501">
        <v>79.150000000000006</v>
      </c>
      <c r="CT2501">
        <v>1.28</v>
      </c>
      <c r="CU2501">
        <v>22.68</v>
      </c>
      <c r="CV2501">
        <v>2.77</v>
      </c>
      <c r="CW2501">
        <v>0.81</v>
      </c>
      <c r="CX2501" t="s">
        <v>11514</v>
      </c>
      <c r="CY2501">
        <v>10.01</v>
      </c>
      <c r="CZ2501">
        <v>0</v>
      </c>
      <c r="DA2501">
        <v>0.22</v>
      </c>
      <c r="DB2501">
        <v>6.54</v>
      </c>
      <c r="DC2501">
        <v>0.56000000000000005</v>
      </c>
      <c r="DD2501">
        <v>39.85</v>
      </c>
      <c r="DE2501" t="s">
        <v>10197</v>
      </c>
      <c r="DF2501">
        <v>41.17</v>
      </c>
      <c r="DG2501">
        <v>18.600000000000001</v>
      </c>
      <c r="DH2501">
        <v>13.2</v>
      </c>
      <c r="DI2501">
        <v>7.0000000000000007E-2</v>
      </c>
      <c r="DJ2501">
        <v>18328</v>
      </c>
      <c r="DK2501">
        <v>600123</v>
      </c>
      <c r="DL2501">
        <v>20210903</v>
      </c>
      <c r="DM2501">
        <v>11.82</v>
      </c>
      <c r="DN2501">
        <v>8.0399999999999991</v>
      </c>
    </row>
    <row r="2502" spans="1:118">
      <c r="A2502" t="str">
        <f>"600125"</f>
        <v>600125</v>
      </c>
      <c r="B2502" t="s">
        <v>11515</v>
      </c>
      <c r="C2502">
        <v>-1.69</v>
      </c>
      <c r="D2502">
        <v>-0.18</v>
      </c>
      <c r="E2502">
        <v>-0.38</v>
      </c>
      <c r="F2502">
        <v>4876</v>
      </c>
      <c r="G2502" t="s">
        <v>3246</v>
      </c>
      <c r="H2502">
        <v>11478.42</v>
      </c>
      <c r="I2502">
        <v>41.53</v>
      </c>
      <c r="J2502" t="s">
        <v>120</v>
      </c>
      <c r="K2502" t="s">
        <v>11516</v>
      </c>
      <c r="L2502">
        <v>1.65</v>
      </c>
      <c r="M2502">
        <v>5.22</v>
      </c>
      <c r="N2502">
        <v>0.79</v>
      </c>
      <c r="O2502">
        <v>2.0699999999999998</v>
      </c>
      <c r="P2502">
        <v>5.42</v>
      </c>
      <c r="Q2502">
        <v>-1.88</v>
      </c>
      <c r="R2502">
        <v>5.21</v>
      </c>
      <c r="S2502">
        <v>5.29</v>
      </c>
      <c r="T2502">
        <v>215635</v>
      </c>
      <c r="U2502">
        <v>5.23</v>
      </c>
      <c r="V2502">
        <v>5.31</v>
      </c>
      <c r="W2502">
        <v>16.39</v>
      </c>
      <c r="X2502" t="s">
        <v>1109</v>
      </c>
      <c r="Y2502" t="s">
        <v>432</v>
      </c>
      <c r="Z2502">
        <v>3.95</v>
      </c>
      <c r="AA2502">
        <v>5.32</v>
      </c>
      <c r="AB2502">
        <v>114779</v>
      </c>
      <c r="AC2502">
        <v>100856</v>
      </c>
      <c r="AD2502">
        <v>1.1399999999999999</v>
      </c>
      <c r="AE2502">
        <v>2896</v>
      </c>
      <c r="AF2502">
        <v>87</v>
      </c>
      <c r="AG2502" t="s">
        <v>120</v>
      </c>
      <c r="AH2502">
        <v>0.01</v>
      </c>
      <c r="AI2502" t="s">
        <v>120</v>
      </c>
      <c r="AJ2502">
        <v>13.06</v>
      </c>
      <c r="AK2502" t="s">
        <v>11516</v>
      </c>
      <c r="AL2502">
        <v>-0.35</v>
      </c>
      <c r="AM2502">
        <v>2300</v>
      </c>
      <c r="AN2502">
        <v>94</v>
      </c>
      <c r="AO2502">
        <v>6.9999999999999999E-4</v>
      </c>
      <c r="AP2502">
        <v>-1</v>
      </c>
      <c r="AQ2502">
        <v>0.95</v>
      </c>
      <c r="AR2502">
        <v>-3.69</v>
      </c>
      <c r="AS2502">
        <v>6.53</v>
      </c>
      <c r="AT2502">
        <v>5.45</v>
      </c>
      <c r="AU2502">
        <v>-11.82</v>
      </c>
      <c r="AV2502">
        <v>2</v>
      </c>
      <c r="AW2502">
        <v>2.36</v>
      </c>
      <c r="AX2502">
        <v>69.989999999999995</v>
      </c>
      <c r="AY2502">
        <v>19.84</v>
      </c>
      <c r="AZ2502">
        <v>17.3</v>
      </c>
      <c r="BA2502">
        <v>0.48</v>
      </c>
      <c r="BB2502" t="s">
        <v>143</v>
      </c>
      <c r="BF2502">
        <v>0.25</v>
      </c>
      <c r="BG2502">
        <v>-1.32</v>
      </c>
      <c r="BH2502">
        <v>-3.69</v>
      </c>
      <c r="BI2502">
        <v>0.19</v>
      </c>
      <c r="BJ2502">
        <v>20210830</v>
      </c>
      <c r="BK2502">
        <v>19980511</v>
      </c>
      <c r="BL2502">
        <v>13.06</v>
      </c>
      <c r="BM2502" t="s">
        <v>120</v>
      </c>
      <c r="BN2502" t="s">
        <v>120</v>
      </c>
      <c r="BO2502">
        <v>97.81</v>
      </c>
      <c r="BP2502">
        <v>5.22</v>
      </c>
      <c r="BQ2502">
        <v>63.06</v>
      </c>
      <c r="BR2502">
        <v>0.22</v>
      </c>
      <c r="BS2502">
        <v>35.31</v>
      </c>
      <c r="BT2502">
        <v>48.01</v>
      </c>
      <c r="BU2502">
        <v>42.89</v>
      </c>
      <c r="BV2502">
        <v>3.65</v>
      </c>
      <c r="BW2502">
        <v>18.13</v>
      </c>
      <c r="BX2502">
        <v>12.65</v>
      </c>
      <c r="BY2502">
        <v>21.39</v>
      </c>
      <c r="BZ2502">
        <v>6.72</v>
      </c>
      <c r="CA2502">
        <v>0.01</v>
      </c>
      <c r="CB2502">
        <v>1.58</v>
      </c>
      <c r="CC2502">
        <v>90.73</v>
      </c>
      <c r="CD2502">
        <v>86.5</v>
      </c>
      <c r="CE2502">
        <v>2.94</v>
      </c>
      <c r="CF2502">
        <v>0.01</v>
      </c>
      <c r="CG2502">
        <v>2.94</v>
      </c>
      <c r="CH2502">
        <v>2.1</v>
      </c>
      <c r="CI2502">
        <v>2.08</v>
      </c>
      <c r="CJ2502">
        <v>-0.09</v>
      </c>
      <c r="CK2502">
        <v>1.96</v>
      </c>
      <c r="CL2502">
        <v>41.41</v>
      </c>
      <c r="CM2502">
        <v>1.34</v>
      </c>
      <c r="CN2502">
        <v>-0.4</v>
      </c>
      <c r="CO2502">
        <v>88669</v>
      </c>
      <c r="CP2502">
        <v>10305</v>
      </c>
      <c r="CQ2502" t="s">
        <v>11517</v>
      </c>
      <c r="CR2502">
        <v>-19.760000000000002</v>
      </c>
      <c r="CS2502">
        <v>3.24</v>
      </c>
      <c r="CT2502">
        <v>1.08</v>
      </c>
      <c r="CU2502">
        <v>50.95</v>
      </c>
      <c r="CV2502">
        <v>0.75</v>
      </c>
      <c r="CW2502">
        <v>1.88</v>
      </c>
      <c r="CX2502" t="s">
        <v>1091</v>
      </c>
      <c r="CY2502">
        <v>4.83</v>
      </c>
      <c r="CZ2502">
        <v>0</v>
      </c>
      <c r="DA2502">
        <v>0.12</v>
      </c>
      <c r="DB2502">
        <v>3.17</v>
      </c>
      <c r="DC2502">
        <v>0.1</v>
      </c>
      <c r="DD2502">
        <v>64.47</v>
      </c>
      <c r="DE2502" t="s">
        <v>6470</v>
      </c>
      <c r="DF2502">
        <v>4.6500000000000004</v>
      </c>
      <c r="DG2502">
        <v>3.24</v>
      </c>
      <c r="DH2502">
        <v>2.29</v>
      </c>
      <c r="DI2502">
        <v>0</v>
      </c>
      <c r="DJ2502">
        <v>2226</v>
      </c>
      <c r="DK2502">
        <v>600125</v>
      </c>
      <c r="DL2502" t="s">
        <v>120</v>
      </c>
      <c r="DM2502" t="s">
        <v>120</v>
      </c>
      <c r="DN2502" t="s">
        <v>120</v>
      </c>
    </row>
    <row r="2503" spans="1:118">
      <c r="A2503" t="str">
        <f>"600126"</f>
        <v>600126</v>
      </c>
      <c r="B2503" t="s">
        <v>11518</v>
      </c>
      <c r="C2503">
        <v>-3.21</v>
      </c>
      <c r="D2503">
        <v>0</v>
      </c>
      <c r="E2503">
        <v>1.53</v>
      </c>
      <c r="F2503">
        <v>2450</v>
      </c>
      <c r="G2503" t="s">
        <v>1877</v>
      </c>
      <c r="H2503">
        <v>29396.27</v>
      </c>
      <c r="I2503">
        <v>317.47000000000003</v>
      </c>
      <c r="J2503" t="s">
        <v>120</v>
      </c>
      <c r="K2503" t="s">
        <v>11519</v>
      </c>
      <c r="L2503">
        <v>1.34</v>
      </c>
      <c r="M2503">
        <v>6.34</v>
      </c>
      <c r="N2503">
        <v>0.71</v>
      </c>
      <c r="O2503">
        <v>2.14</v>
      </c>
      <c r="P2503">
        <v>6.69</v>
      </c>
      <c r="Q2503">
        <v>-3.82</v>
      </c>
      <c r="R2503">
        <v>6.3</v>
      </c>
      <c r="S2503">
        <v>6.65</v>
      </c>
      <c r="T2503">
        <v>452378</v>
      </c>
      <c r="U2503">
        <v>6.34</v>
      </c>
      <c r="V2503">
        <v>6.55</v>
      </c>
      <c r="W2503">
        <v>10.86</v>
      </c>
      <c r="X2503" t="s">
        <v>1460</v>
      </c>
      <c r="Y2503" t="s">
        <v>585</v>
      </c>
      <c r="Z2503">
        <v>5.95</v>
      </c>
      <c r="AA2503">
        <v>6.5</v>
      </c>
      <c r="AB2503">
        <v>302568</v>
      </c>
      <c r="AC2503">
        <v>149810</v>
      </c>
      <c r="AD2503">
        <v>2.02</v>
      </c>
      <c r="AE2503">
        <v>780</v>
      </c>
      <c r="AF2503">
        <v>261</v>
      </c>
      <c r="AG2503" t="s">
        <v>120</v>
      </c>
      <c r="AH2503">
        <v>0.04</v>
      </c>
      <c r="AI2503" t="s">
        <v>120</v>
      </c>
      <c r="AJ2503">
        <v>33.770000000000003</v>
      </c>
      <c r="AK2503" t="s">
        <v>11519</v>
      </c>
      <c r="AL2503">
        <v>-1.86</v>
      </c>
      <c r="AM2503">
        <v>3919</v>
      </c>
      <c r="AN2503">
        <v>115</v>
      </c>
      <c r="AO2503">
        <v>2.9999999999999997E-4</v>
      </c>
      <c r="AP2503">
        <v>-1</v>
      </c>
      <c r="AQ2503">
        <v>4.97</v>
      </c>
      <c r="AR2503">
        <v>-1.24</v>
      </c>
      <c r="AS2503">
        <v>19.62</v>
      </c>
      <c r="AT2503">
        <v>17.62</v>
      </c>
      <c r="AU2503">
        <v>24.55</v>
      </c>
      <c r="AV2503">
        <v>2</v>
      </c>
      <c r="AW2503">
        <v>4.08</v>
      </c>
      <c r="AX2503">
        <v>32.799999999999997</v>
      </c>
      <c r="AY2503">
        <v>12.72</v>
      </c>
      <c r="AZ2503">
        <v>19.52</v>
      </c>
      <c r="BA2503">
        <v>0.7</v>
      </c>
      <c r="BB2503" t="s">
        <v>168</v>
      </c>
      <c r="BF2503">
        <v>-0.79</v>
      </c>
      <c r="BG2503">
        <v>-4.66</v>
      </c>
      <c r="BH2503">
        <v>-5.23</v>
      </c>
      <c r="BI2503">
        <v>0.63</v>
      </c>
      <c r="BJ2503">
        <v>20210821</v>
      </c>
      <c r="BK2503">
        <v>19980311</v>
      </c>
      <c r="BL2503">
        <v>33.770000000000003</v>
      </c>
      <c r="BM2503" t="s">
        <v>120</v>
      </c>
      <c r="BN2503" t="s">
        <v>120</v>
      </c>
      <c r="BO2503">
        <v>299.81</v>
      </c>
      <c r="BP2503">
        <v>6.33</v>
      </c>
      <c r="BQ2503">
        <v>198.93</v>
      </c>
      <c r="BR2503">
        <v>7.0000000000000007E-2</v>
      </c>
      <c r="BS2503">
        <v>33.619999999999997</v>
      </c>
      <c r="BT2503">
        <v>175.21</v>
      </c>
      <c r="BU2503">
        <v>83.51</v>
      </c>
      <c r="BV2503">
        <v>22.43</v>
      </c>
      <c r="BW2503">
        <v>99.33</v>
      </c>
      <c r="BX2503">
        <v>97.99</v>
      </c>
      <c r="BY2503">
        <v>39.25</v>
      </c>
      <c r="BZ2503">
        <v>5.08</v>
      </c>
      <c r="CA2503">
        <v>0.02</v>
      </c>
      <c r="CB2503">
        <v>101.85</v>
      </c>
      <c r="CC2503">
        <v>254.6</v>
      </c>
      <c r="CD2503">
        <v>237.81</v>
      </c>
      <c r="CE2503">
        <v>13.45</v>
      </c>
      <c r="CF2503">
        <v>1.62</v>
      </c>
      <c r="CG2503">
        <v>13.5</v>
      </c>
      <c r="CH2503">
        <v>9.8699999999999992</v>
      </c>
      <c r="CI2503">
        <v>9.86</v>
      </c>
      <c r="CJ2503">
        <v>-0.21</v>
      </c>
      <c r="CK2503">
        <v>9.61</v>
      </c>
      <c r="CL2503">
        <v>55.78</v>
      </c>
      <c r="CM2503">
        <v>13.46</v>
      </c>
      <c r="CN2503">
        <v>22.72</v>
      </c>
      <c r="CO2503">
        <v>54299</v>
      </c>
      <c r="CP2503">
        <v>20400</v>
      </c>
      <c r="CQ2503" t="s">
        <v>2472</v>
      </c>
      <c r="CR2503">
        <v>159.24</v>
      </c>
      <c r="CS2503">
        <v>89.79</v>
      </c>
      <c r="CT2503">
        <v>1.08</v>
      </c>
      <c r="CU2503">
        <v>15.9</v>
      </c>
      <c r="CV2503">
        <v>0.84</v>
      </c>
      <c r="CW2503">
        <v>3.05</v>
      </c>
      <c r="CX2503" t="s">
        <v>293</v>
      </c>
      <c r="CY2503">
        <v>5.89</v>
      </c>
      <c r="CZ2503">
        <v>0</v>
      </c>
      <c r="DA2503">
        <v>3.02</v>
      </c>
      <c r="DB2503">
        <v>1.65</v>
      </c>
      <c r="DC2503">
        <v>0.4</v>
      </c>
      <c r="DD2503">
        <v>66.349999999999994</v>
      </c>
      <c r="DE2503" t="s">
        <v>435</v>
      </c>
      <c r="DF2503">
        <v>6.6</v>
      </c>
      <c r="DG2503">
        <v>5.28</v>
      </c>
      <c r="DH2503">
        <v>3.87</v>
      </c>
      <c r="DI2503">
        <v>3.54</v>
      </c>
      <c r="DJ2503">
        <v>3691</v>
      </c>
      <c r="DK2503">
        <v>600126</v>
      </c>
      <c r="DL2503" t="s">
        <v>120</v>
      </c>
      <c r="DM2503" t="s">
        <v>120</v>
      </c>
      <c r="DN2503" t="s">
        <v>120</v>
      </c>
    </row>
    <row r="2504" spans="1:118">
      <c r="A2504" t="str">
        <f>"600127"</f>
        <v>600127</v>
      </c>
      <c r="B2504" t="s">
        <v>11520</v>
      </c>
      <c r="C2504">
        <v>0.84</v>
      </c>
      <c r="D2504">
        <v>0</v>
      </c>
      <c r="E2504">
        <v>0.48</v>
      </c>
      <c r="F2504">
        <v>768</v>
      </c>
      <c r="G2504" t="s">
        <v>11521</v>
      </c>
      <c r="H2504">
        <v>10580.74</v>
      </c>
      <c r="I2504">
        <v>24.47</v>
      </c>
      <c r="J2504" t="s">
        <v>120</v>
      </c>
      <c r="K2504" t="s">
        <v>9071</v>
      </c>
      <c r="L2504">
        <v>1.95</v>
      </c>
      <c r="M2504">
        <v>8.44</v>
      </c>
      <c r="N2504">
        <v>1.26</v>
      </c>
      <c r="O2504">
        <v>2.0299999999999998</v>
      </c>
      <c r="P2504">
        <v>8.5399999999999991</v>
      </c>
      <c r="Q2504">
        <v>0</v>
      </c>
      <c r="R2504">
        <v>8.3699999999999992</v>
      </c>
      <c r="S2504">
        <v>8.41</v>
      </c>
      <c r="T2504">
        <v>124836</v>
      </c>
      <c r="U2504">
        <v>8.4499999999999993</v>
      </c>
      <c r="V2504">
        <v>8.3699999999999992</v>
      </c>
      <c r="W2504">
        <v>222.4</v>
      </c>
      <c r="X2504" t="s">
        <v>447</v>
      </c>
      <c r="Y2504" t="s">
        <v>594</v>
      </c>
      <c r="Z2504">
        <v>2.0299999999999998</v>
      </c>
      <c r="AA2504">
        <v>8.48</v>
      </c>
      <c r="AB2504">
        <v>55149</v>
      </c>
      <c r="AC2504">
        <v>69687</v>
      </c>
      <c r="AD2504">
        <v>0.79</v>
      </c>
      <c r="AE2504">
        <v>2141</v>
      </c>
      <c r="AF2504">
        <v>775</v>
      </c>
      <c r="AG2504" t="s">
        <v>120</v>
      </c>
      <c r="AH2504">
        <v>0.01</v>
      </c>
      <c r="AI2504" t="s">
        <v>120</v>
      </c>
      <c r="AJ2504">
        <v>6.42</v>
      </c>
      <c r="AK2504" t="s">
        <v>9071</v>
      </c>
      <c r="AL2504">
        <v>2.1800000000000002</v>
      </c>
      <c r="AM2504">
        <v>2656</v>
      </c>
      <c r="AN2504">
        <v>47</v>
      </c>
      <c r="AO2504">
        <v>6.9999999999999999E-4</v>
      </c>
      <c r="AP2504">
        <v>2</v>
      </c>
      <c r="AQ2504">
        <v>0.48</v>
      </c>
      <c r="AR2504">
        <v>-0.94</v>
      </c>
      <c r="AS2504">
        <v>-2.87</v>
      </c>
      <c r="AT2504">
        <v>-5.27</v>
      </c>
      <c r="AU2504">
        <v>-24.98</v>
      </c>
      <c r="AV2504">
        <v>1</v>
      </c>
      <c r="AW2504">
        <v>2.4700000000000002</v>
      </c>
      <c r="AX2504">
        <v>78.66</v>
      </c>
      <c r="AY2504">
        <v>298.55</v>
      </c>
      <c r="AZ2504">
        <v>255.05</v>
      </c>
      <c r="BA2504">
        <v>0.31</v>
      </c>
      <c r="BB2504" t="s">
        <v>240</v>
      </c>
      <c r="BF2504">
        <v>1.26</v>
      </c>
      <c r="BG2504">
        <v>0.36</v>
      </c>
      <c r="BH2504">
        <v>-1.17</v>
      </c>
      <c r="BI2504">
        <v>0.84</v>
      </c>
      <c r="BJ2504">
        <v>20210821</v>
      </c>
      <c r="BK2504">
        <v>19980506</v>
      </c>
      <c r="BL2504">
        <v>6.42</v>
      </c>
      <c r="BM2504" t="s">
        <v>120</v>
      </c>
      <c r="BN2504" t="s">
        <v>120</v>
      </c>
      <c r="BO2504">
        <v>23.26</v>
      </c>
      <c r="BP2504">
        <v>8.44</v>
      </c>
      <c r="BQ2504">
        <v>7.51</v>
      </c>
      <c r="BR2504">
        <v>0.74</v>
      </c>
      <c r="BS2504">
        <v>64.540000000000006</v>
      </c>
      <c r="BT2504">
        <v>15.71</v>
      </c>
      <c r="BU2504">
        <v>5.54</v>
      </c>
      <c r="BV2504">
        <v>1.59</v>
      </c>
      <c r="BW2504">
        <v>14.29</v>
      </c>
      <c r="BX2504">
        <v>2.15</v>
      </c>
      <c r="BY2504">
        <v>9.1999999999999993</v>
      </c>
      <c r="BZ2504">
        <v>1.32</v>
      </c>
      <c r="CA2504" t="s">
        <v>120</v>
      </c>
      <c r="CB2504">
        <v>4.6900000000000004</v>
      </c>
      <c r="CC2504">
        <v>32.86</v>
      </c>
      <c r="CD2504">
        <v>31.45</v>
      </c>
      <c r="CE2504">
        <v>0.16</v>
      </c>
      <c r="CF2504">
        <v>0</v>
      </c>
      <c r="CG2504">
        <v>0.16</v>
      </c>
      <c r="CH2504">
        <v>0.12</v>
      </c>
      <c r="CI2504">
        <v>0.12</v>
      </c>
      <c r="CJ2504">
        <v>7.0000000000000007E-2</v>
      </c>
      <c r="CK2504">
        <v>0.08</v>
      </c>
      <c r="CL2504">
        <v>-3.77</v>
      </c>
      <c r="CM2504">
        <v>0.38</v>
      </c>
      <c r="CN2504">
        <v>-1.72</v>
      </c>
      <c r="CO2504">
        <v>153130</v>
      </c>
      <c r="CP2504">
        <v>3297</v>
      </c>
      <c r="CQ2504" t="s">
        <v>2777</v>
      </c>
      <c r="CR2504">
        <v>-20.13</v>
      </c>
      <c r="CS2504">
        <v>26.76</v>
      </c>
      <c r="CT2504">
        <v>7.21</v>
      </c>
      <c r="CU2504">
        <v>143.07</v>
      </c>
      <c r="CV2504">
        <v>1.65</v>
      </c>
      <c r="CW2504">
        <v>0</v>
      </c>
      <c r="CX2504" t="s">
        <v>753</v>
      </c>
      <c r="CY2504">
        <v>1.17</v>
      </c>
      <c r="CZ2504">
        <v>0</v>
      </c>
      <c r="DA2504">
        <v>0.73</v>
      </c>
      <c r="DB2504">
        <v>-0.59</v>
      </c>
      <c r="DC2504">
        <v>0.06</v>
      </c>
      <c r="DD2504">
        <v>32.29</v>
      </c>
      <c r="DE2504" t="s">
        <v>4348</v>
      </c>
      <c r="DF2504">
        <v>4.29</v>
      </c>
      <c r="DG2504">
        <v>0.48</v>
      </c>
      <c r="DH2504">
        <v>0.37</v>
      </c>
      <c r="DI2504">
        <v>0.06</v>
      </c>
      <c r="DJ2504">
        <v>1350</v>
      </c>
      <c r="DK2504">
        <v>600127</v>
      </c>
      <c r="DL2504" t="s">
        <v>120</v>
      </c>
      <c r="DM2504" t="s">
        <v>120</v>
      </c>
      <c r="DN2504" t="s">
        <v>120</v>
      </c>
    </row>
    <row r="2505" spans="1:118">
      <c r="A2505" t="str">
        <f>"600128"</f>
        <v>600128</v>
      </c>
      <c r="B2505" t="s">
        <v>11522</v>
      </c>
      <c r="C2505">
        <v>-0.96</v>
      </c>
      <c r="D2505">
        <v>0</v>
      </c>
      <c r="E2505">
        <v>0.14000000000000001</v>
      </c>
      <c r="F2505">
        <v>989</v>
      </c>
      <c r="G2505" t="s">
        <v>11523</v>
      </c>
      <c r="H2505">
        <v>3331.01</v>
      </c>
      <c r="I2505">
        <v>14.58</v>
      </c>
      <c r="J2505" t="s">
        <v>120</v>
      </c>
      <c r="K2505" t="s">
        <v>2239</v>
      </c>
      <c r="L2505">
        <v>1.85</v>
      </c>
      <c r="M2505">
        <v>7.21</v>
      </c>
      <c r="N2505">
        <v>0.63</v>
      </c>
      <c r="O2505">
        <v>1.79</v>
      </c>
      <c r="P2505">
        <v>7.41</v>
      </c>
      <c r="Q2505">
        <v>-1.1000000000000001</v>
      </c>
      <c r="R2505">
        <v>7.2</v>
      </c>
      <c r="S2505">
        <v>7.29</v>
      </c>
      <c r="T2505">
        <v>45668</v>
      </c>
      <c r="U2505">
        <v>7.22</v>
      </c>
      <c r="V2505">
        <v>7.28</v>
      </c>
      <c r="W2505">
        <v>69.2</v>
      </c>
      <c r="X2505" t="s">
        <v>562</v>
      </c>
      <c r="Y2505" t="s">
        <v>319</v>
      </c>
      <c r="Z2505">
        <v>2.88</v>
      </c>
      <c r="AA2505">
        <v>7.29</v>
      </c>
      <c r="AB2505">
        <v>25357</v>
      </c>
      <c r="AC2505">
        <v>20311</v>
      </c>
      <c r="AD2505">
        <v>1.25</v>
      </c>
      <c r="AE2505">
        <v>753</v>
      </c>
      <c r="AF2505">
        <v>71</v>
      </c>
      <c r="AG2505" t="s">
        <v>120</v>
      </c>
      <c r="AH2505">
        <v>0.01</v>
      </c>
      <c r="AI2505" t="s">
        <v>120</v>
      </c>
      <c r="AJ2505">
        <v>2.4700000000000002</v>
      </c>
      <c r="AK2505" t="s">
        <v>2239</v>
      </c>
      <c r="AL2505">
        <v>0.38</v>
      </c>
      <c r="AM2505">
        <v>1273</v>
      </c>
      <c r="AN2505">
        <v>36</v>
      </c>
      <c r="AO2505">
        <v>1.5E-3</v>
      </c>
      <c r="AP2505">
        <v>-1</v>
      </c>
      <c r="AQ2505">
        <v>0.83</v>
      </c>
      <c r="AR2505">
        <v>-2.44</v>
      </c>
      <c r="AS2505">
        <v>2.27</v>
      </c>
      <c r="AT2505">
        <v>9.91</v>
      </c>
      <c r="AU2505">
        <v>13.19</v>
      </c>
      <c r="AV2505">
        <v>2</v>
      </c>
      <c r="AW2505">
        <v>2.5</v>
      </c>
      <c r="AX2505">
        <v>74.17</v>
      </c>
      <c r="AY2505">
        <v>81.430000000000007</v>
      </c>
      <c r="AZ2505">
        <v>55.99</v>
      </c>
      <c r="BA2505">
        <v>0.69</v>
      </c>
      <c r="BB2505" t="s">
        <v>240</v>
      </c>
      <c r="BF2505">
        <v>0.19</v>
      </c>
      <c r="BG2505">
        <v>-1.1000000000000001</v>
      </c>
      <c r="BH2505">
        <v>-2.7</v>
      </c>
      <c r="BI2505">
        <v>0.14000000000000001</v>
      </c>
      <c r="BJ2505">
        <v>20210831</v>
      </c>
      <c r="BK2505">
        <v>19970901</v>
      </c>
      <c r="BL2505">
        <v>2.4700000000000002</v>
      </c>
      <c r="BM2505" t="s">
        <v>120</v>
      </c>
      <c r="BN2505" t="s">
        <v>120</v>
      </c>
      <c r="BO2505">
        <v>44.45</v>
      </c>
      <c r="BP2505">
        <v>7.21</v>
      </c>
      <c r="BQ2505">
        <v>19.02</v>
      </c>
      <c r="BR2505">
        <v>5.0199999999999996</v>
      </c>
      <c r="BS2505">
        <v>45.92</v>
      </c>
      <c r="BT2505">
        <v>21.49</v>
      </c>
      <c r="BU2505">
        <v>3.97</v>
      </c>
      <c r="BV2505">
        <v>0.63</v>
      </c>
      <c r="BW2505">
        <v>16.78</v>
      </c>
      <c r="BX2505">
        <v>4.62</v>
      </c>
      <c r="BY2505">
        <v>1.94</v>
      </c>
      <c r="BZ2505">
        <v>5.28</v>
      </c>
      <c r="CA2505">
        <v>0.04</v>
      </c>
      <c r="CB2505">
        <v>5.27</v>
      </c>
      <c r="CC2505">
        <v>21.78</v>
      </c>
      <c r="CD2505">
        <v>20.51</v>
      </c>
      <c r="CE2505">
        <v>0.12</v>
      </c>
      <c r="CF2505">
        <v>0.3</v>
      </c>
      <c r="CG2505">
        <v>0.13</v>
      </c>
      <c r="CH2505">
        <v>0.1</v>
      </c>
      <c r="CI2505">
        <v>0.13</v>
      </c>
      <c r="CJ2505">
        <v>-7.0000000000000007E-2</v>
      </c>
      <c r="CK2505">
        <v>0.08</v>
      </c>
      <c r="CL2505">
        <v>4.57</v>
      </c>
      <c r="CM2505">
        <v>-2.21</v>
      </c>
      <c r="CN2505">
        <v>-3.53</v>
      </c>
      <c r="CO2505">
        <v>26172</v>
      </c>
      <c r="CP2505">
        <v>6993</v>
      </c>
      <c r="CQ2505" t="s">
        <v>5308</v>
      </c>
      <c r="CR2505">
        <v>-43.82</v>
      </c>
      <c r="CS2505">
        <v>42.91</v>
      </c>
      <c r="CT2505">
        <v>0.94</v>
      </c>
      <c r="CU2505">
        <v>-8.06</v>
      </c>
      <c r="CV2505">
        <v>0.82</v>
      </c>
      <c r="CW2505">
        <v>1.1000000000000001</v>
      </c>
      <c r="CX2505" t="s">
        <v>2960</v>
      </c>
      <c r="CY2505">
        <v>7.71</v>
      </c>
      <c r="CZ2505">
        <v>0</v>
      </c>
      <c r="DA2505">
        <v>2.13</v>
      </c>
      <c r="DB2505">
        <v>1.85</v>
      </c>
      <c r="DC2505">
        <v>-0.89</v>
      </c>
      <c r="DD2505">
        <v>42.8</v>
      </c>
      <c r="DE2505" t="s">
        <v>1405</v>
      </c>
      <c r="DF2505">
        <v>5.86</v>
      </c>
      <c r="DG2505">
        <v>0.56999999999999995</v>
      </c>
      <c r="DH2505">
        <v>0.59</v>
      </c>
      <c r="DI2505" t="s">
        <v>120</v>
      </c>
      <c r="DJ2505">
        <v>875</v>
      </c>
      <c r="DK2505">
        <v>600128</v>
      </c>
      <c r="DL2505" t="s">
        <v>120</v>
      </c>
      <c r="DM2505" t="s">
        <v>120</v>
      </c>
      <c r="DN2505" t="s">
        <v>120</v>
      </c>
    </row>
    <row r="2506" spans="1:118">
      <c r="A2506" t="str">
        <f>"600129"</f>
        <v>600129</v>
      </c>
      <c r="B2506" t="s">
        <v>11524</v>
      </c>
      <c r="C2506">
        <v>-0.34</v>
      </c>
      <c r="D2506">
        <v>-0.06</v>
      </c>
      <c r="E2506">
        <v>0</v>
      </c>
      <c r="F2506">
        <v>332</v>
      </c>
      <c r="G2506" t="s">
        <v>3212</v>
      </c>
      <c r="H2506">
        <v>7183.27</v>
      </c>
      <c r="I2506">
        <v>12.05</v>
      </c>
      <c r="J2506" t="s">
        <v>120</v>
      </c>
      <c r="K2506" t="s">
        <v>11525</v>
      </c>
      <c r="L2506">
        <v>0.87</v>
      </c>
      <c r="M2506">
        <v>14.65</v>
      </c>
      <c r="N2506">
        <v>0.95</v>
      </c>
      <c r="O2506">
        <v>1.36</v>
      </c>
      <c r="P2506">
        <v>14.9</v>
      </c>
      <c r="Q2506">
        <v>-0.41</v>
      </c>
      <c r="R2506">
        <v>14.64</v>
      </c>
      <c r="S2506">
        <v>14.7</v>
      </c>
      <c r="T2506">
        <v>48720</v>
      </c>
      <c r="U2506">
        <v>14.65</v>
      </c>
      <c r="V2506">
        <v>14.7</v>
      </c>
      <c r="W2506">
        <v>53.06</v>
      </c>
      <c r="X2506" t="s">
        <v>771</v>
      </c>
      <c r="Y2506" t="s">
        <v>883</v>
      </c>
      <c r="Z2506">
        <v>1.77</v>
      </c>
      <c r="AA2506">
        <v>14.74</v>
      </c>
      <c r="AB2506">
        <v>22218</v>
      </c>
      <c r="AC2506">
        <v>26502</v>
      </c>
      <c r="AD2506">
        <v>0.84</v>
      </c>
      <c r="AE2506">
        <v>1063</v>
      </c>
      <c r="AF2506">
        <v>66</v>
      </c>
      <c r="AG2506" t="s">
        <v>120</v>
      </c>
      <c r="AH2506">
        <v>0</v>
      </c>
      <c r="AI2506" t="s">
        <v>120</v>
      </c>
      <c r="AJ2506">
        <v>5.57</v>
      </c>
      <c r="AK2506" t="s">
        <v>11525</v>
      </c>
      <c r="AL2506">
        <v>1</v>
      </c>
      <c r="AM2506">
        <v>2055</v>
      </c>
      <c r="AN2506">
        <v>24</v>
      </c>
      <c r="AO2506">
        <v>4.0000000000000002E-4</v>
      </c>
      <c r="AP2506">
        <v>-3</v>
      </c>
      <c r="AQ2506">
        <v>-1.34</v>
      </c>
      <c r="AR2506">
        <v>-2.59</v>
      </c>
      <c r="AS2506">
        <v>-8.9499999999999993</v>
      </c>
      <c r="AT2506">
        <v>-23.94</v>
      </c>
      <c r="AU2506">
        <v>9.9</v>
      </c>
      <c r="AV2506">
        <v>4</v>
      </c>
      <c r="AW2506">
        <v>1.4</v>
      </c>
      <c r="AX2506">
        <v>62.33</v>
      </c>
      <c r="AY2506">
        <v>61.68</v>
      </c>
      <c r="AZ2506">
        <v>123.91</v>
      </c>
      <c r="BA2506">
        <v>1.04</v>
      </c>
      <c r="BB2506" t="s">
        <v>125</v>
      </c>
      <c r="BF2506">
        <v>0.3</v>
      </c>
      <c r="BG2506">
        <v>-0.34</v>
      </c>
      <c r="BH2506">
        <v>-1.68</v>
      </c>
      <c r="BI2506">
        <v>7.0000000000000007E-2</v>
      </c>
      <c r="BJ2506">
        <v>20210821</v>
      </c>
      <c r="BK2506">
        <v>19971118</v>
      </c>
      <c r="BL2506">
        <v>5.57</v>
      </c>
      <c r="BM2506" t="s">
        <v>120</v>
      </c>
      <c r="BN2506" t="s">
        <v>120</v>
      </c>
      <c r="BO2506">
        <v>135.6</v>
      </c>
      <c r="BP2506">
        <v>14.64</v>
      </c>
      <c r="BQ2506">
        <v>33.14</v>
      </c>
      <c r="BR2506">
        <v>-0.77</v>
      </c>
      <c r="BS2506">
        <v>76.12</v>
      </c>
      <c r="BT2506">
        <v>70.319999999999993</v>
      </c>
      <c r="BU2506">
        <v>29.72</v>
      </c>
      <c r="BV2506">
        <v>11.47</v>
      </c>
      <c r="BW2506">
        <v>81.91</v>
      </c>
      <c r="BX2506">
        <v>11.55</v>
      </c>
      <c r="BY2506">
        <v>24.68</v>
      </c>
      <c r="BZ2506">
        <v>22.94</v>
      </c>
      <c r="CA2506">
        <v>0.26</v>
      </c>
      <c r="CB2506">
        <v>20.65</v>
      </c>
      <c r="CC2506">
        <v>64.430000000000007</v>
      </c>
      <c r="CD2506">
        <v>37.56</v>
      </c>
      <c r="CE2506">
        <v>1</v>
      </c>
      <c r="CF2506">
        <v>-0.1</v>
      </c>
      <c r="CG2506">
        <v>1.01</v>
      </c>
      <c r="CH2506">
        <v>0.72</v>
      </c>
      <c r="CI2506">
        <v>0.77</v>
      </c>
      <c r="CJ2506">
        <v>-0.05</v>
      </c>
      <c r="CK2506">
        <v>0.84</v>
      </c>
      <c r="CL2506">
        <v>5.68</v>
      </c>
      <c r="CM2506">
        <v>0.23</v>
      </c>
      <c r="CN2506">
        <v>-7.36</v>
      </c>
      <c r="CO2506">
        <v>28464</v>
      </c>
      <c r="CP2506">
        <v>12194</v>
      </c>
      <c r="CQ2506" t="s">
        <v>11526</v>
      </c>
      <c r="CR2506">
        <v>652.41</v>
      </c>
      <c r="CS2506">
        <v>11.97</v>
      </c>
      <c r="CT2506">
        <v>2.46</v>
      </c>
      <c r="CU2506">
        <v>357.89</v>
      </c>
      <c r="CV2506">
        <v>1.27</v>
      </c>
      <c r="CW2506">
        <v>0</v>
      </c>
      <c r="CX2506" t="s">
        <v>300</v>
      </c>
      <c r="CY2506">
        <v>5.95</v>
      </c>
      <c r="CZ2506">
        <v>0</v>
      </c>
      <c r="DA2506">
        <v>3.71</v>
      </c>
      <c r="DB2506">
        <v>1.02</v>
      </c>
      <c r="DC2506">
        <v>0.04</v>
      </c>
      <c r="DD2506">
        <v>24.44</v>
      </c>
      <c r="DE2506" t="s">
        <v>612</v>
      </c>
      <c r="DF2506">
        <v>41.71</v>
      </c>
      <c r="DG2506">
        <v>1.55</v>
      </c>
      <c r="DH2506">
        <v>1.19</v>
      </c>
      <c r="DI2506">
        <v>0.42</v>
      </c>
      <c r="DJ2506">
        <v>12782</v>
      </c>
      <c r="DK2506">
        <v>600129</v>
      </c>
      <c r="DL2506" t="s">
        <v>120</v>
      </c>
      <c r="DM2506" t="s">
        <v>120</v>
      </c>
      <c r="DN2506" t="s">
        <v>120</v>
      </c>
    </row>
    <row r="2507" spans="1:118">
      <c r="A2507" t="str">
        <f>"600130"</f>
        <v>600130</v>
      </c>
      <c r="B2507" t="s">
        <v>11527</v>
      </c>
      <c r="C2507">
        <v>-3.16</v>
      </c>
      <c r="D2507">
        <v>-0.74</v>
      </c>
      <c r="E2507">
        <v>0.49</v>
      </c>
      <c r="F2507">
        <v>8574</v>
      </c>
      <c r="G2507" t="s">
        <v>6459</v>
      </c>
      <c r="H2507">
        <v>6424.23</v>
      </c>
      <c r="I2507">
        <v>17.600000000000001</v>
      </c>
      <c r="J2507" t="s">
        <v>120</v>
      </c>
      <c r="K2507" t="s">
        <v>6277</v>
      </c>
      <c r="L2507">
        <v>2.0499999999999998</v>
      </c>
      <c r="M2507">
        <v>3.99</v>
      </c>
      <c r="N2507">
        <v>0.64</v>
      </c>
      <c r="O2507">
        <v>1.21</v>
      </c>
      <c r="P2507">
        <v>4.17</v>
      </c>
      <c r="Q2507">
        <v>-3.16</v>
      </c>
      <c r="R2507">
        <v>3.99</v>
      </c>
      <c r="S2507">
        <v>4.1399999999999997</v>
      </c>
      <c r="T2507">
        <v>157403</v>
      </c>
      <c r="U2507">
        <v>4</v>
      </c>
      <c r="V2507">
        <v>4.12</v>
      </c>
      <c r="W2507">
        <v>51.27</v>
      </c>
      <c r="X2507" t="s">
        <v>462</v>
      </c>
      <c r="Y2507" t="s">
        <v>585</v>
      </c>
      <c r="Z2507">
        <v>4.37</v>
      </c>
      <c r="AA2507">
        <v>4.08</v>
      </c>
      <c r="AB2507">
        <v>99412</v>
      </c>
      <c r="AC2507">
        <v>57991</v>
      </c>
      <c r="AD2507">
        <v>1.71</v>
      </c>
      <c r="AE2507">
        <v>531</v>
      </c>
      <c r="AF2507">
        <v>950</v>
      </c>
      <c r="AG2507" t="s">
        <v>120</v>
      </c>
      <c r="AH2507">
        <v>0.01</v>
      </c>
      <c r="AI2507" t="s">
        <v>120</v>
      </c>
      <c r="AJ2507">
        <v>7.68</v>
      </c>
      <c r="AK2507" t="s">
        <v>6277</v>
      </c>
      <c r="AL2507">
        <v>-1.81</v>
      </c>
      <c r="AM2507">
        <v>1936</v>
      </c>
      <c r="AN2507">
        <v>81</v>
      </c>
      <c r="AO2507">
        <v>1.1000000000000001E-3</v>
      </c>
      <c r="AP2507">
        <v>-1</v>
      </c>
      <c r="AQ2507">
        <v>1.48</v>
      </c>
      <c r="AR2507">
        <v>-5.67</v>
      </c>
      <c r="AS2507">
        <v>-7.85</v>
      </c>
      <c r="AT2507">
        <v>10.83</v>
      </c>
      <c r="AU2507">
        <v>6.4</v>
      </c>
      <c r="AV2507">
        <v>1</v>
      </c>
      <c r="AW2507">
        <v>2.4500000000000002</v>
      </c>
      <c r="AX2507">
        <v>83.6</v>
      </c>
      <c r="AY2507">
        <v>85.37</v>
      </c>
      <c r="AZ2507">
        <v>92.23</v>
      </c>
      <c r="BA2507">
        <v>0.47</v>
      </c>
      <c r="BB2507" t="s">
        <v>143</v>
      </c>
      <c r="BF2507">
        <v>-0.94</v>
      </c>
      <c r="BG2507">
        <v>-3.62</v>
      </c>
      <c r="BH2507">
        <v>-4.32</v>
      </c>
      <c r="BI2507">
        <v>0</v>
      </c>
      <c r="BJ2507">
        <v>20210824</v>
      </c>
      <c r="BK2507">
        <v>20000706</v>
      </c>
      <c r="BL2507">
        <v>7.68</v>
      </c>
      <c r="BM2507" t="s">
        <v>120</v>
      </c>
      <c r="BN2507" t="s">
        <v>120</v>
      </c>
      <c r="BO2507">
        <v>12.45</v>
      </c>
      <c r="BP2507">
        <v>3.99</v>
      </c>
      <c r="BQ2507">
        <v>9.68</v>
      </c>
      <c r="BR2507">
        <v>0.3</v>
      </c>
      <c r="BS2507">
        <v>19.82</v>
      </c>
      <c r="BT2507">
        <v>9.68</v>
      </c>
      <c r="BU2507">
        <v>0.59</v>
      </c>
      <c r="BV2507">
        <v>0.11</v>
      </c>
      <c r="BW2507">
        <v>2.4</v>
      </c>
      <c r="BX2507">
        <v>2.48</v>
      </c>
      <c r="BY2507">
        <v>0.87</v>
      </c>
      <c r="BZ2507">
        <v>1.7</v>
      </c>
      <c r="CA2507">
        <v>0.04</v>
      </c>
      <c r="CB2507">
        <v>4.5599999999999996</v>
      </c>
      <c r="CC2507">
        <v>4.17</v>
      </c>
      <c r="CD2507">
        <v>3.65</v>
      </c>
      <c r="CE2507">
        <v>0.37</v>
      </c>
      <c r="CF2507">
        <v>0.01</v>
      </c>
      <c r="CG2507">
        <v>0.37</v>
      </c>
      <c r="CH2507">
        <v>0.36</v>
      </c>
      <c r="CI2507">
        <v>0.3</v>
      </c>
      <c r="CJ2507">
        <v>-0.13</v>
      </c>
      <c r="CK2507">
        <v>-0.05</v>
      </c>
      <c r="CL2507">
        <v>-3.27</v>
      </c>
      <c r="CM2507">
        <v>0.28999999999999998</v>
      </c>
      <c r="CN2507">
        <v>-0.46</v>
      </c>
      <c r="CO2507">
        <v>68605</v>
      </c>
      <c r="CP2507">
        <v>9359</v>
      </c>
      <c r="CQ2507" t="s">
        <v>1608</v>
      </c>
      <c r="CR2507">
        <v>10.17</v>
      </c>
      <c r="CS2507">
        <v>227.54</v>
      </c>
      <c r="CT2507">
        <v>3.17</v>
      </c>
      <c r="CU2507">
        <v>104.13</v>
      </c>
      <c r="CV2507">
        <v>7.35</v>
      </c>
      <c r="CW2507">
        <v>0</v>
      </c>
      <c r="CX2507" t="s">
        <v>145</v>
      </c>
      <c r="CY2507">
        <v>1.26</v>
      </c>
      <c r="CZ2507">
        <v>0</v>
      </c>
      <c r="DA2507">
        <v>0.59</v>
      </c>
      <c r="DB2507">
        <v>-0.43</v>
      </c>
      <c r="DC2507">
        <v>0.04</v>
      </c>
      <c r="DD2507">
        <v>77.739999999999995</v>
      </c>
      <c r="DE2507" t="s">
        <v>1938</v>
      </c>
      <c r="DF2507">
        <v>12.39</v>
      </c>
      <c r="DG2507">
        <v>8.8699999999999992</v>
      </c>
      <c r="DH2507">
        <v>7.17</v>
      </c>
      <c r="DI2507">
        <v>0.08</v>
      </c>
      <c r="DJ2507">
        <v>409</v>
      </c>
      <c r="DK2507">
        <v>600130</v>
      </c>
      <c r="DL2507" t="s">
        <v>120</v>
      </c>
      <c r="DM2507" t="s">
        <v>120</v>
      </c>
      <c r="DN2507" t="s">
        <v>120</v>
      </c>
    </row>
    <row r="2508" spans="1:118">
      <c r="A2508" t="str">
        <f>"600131"</f>
        <v>600131</v>
      </c>
      <c r="B2508" t="s">
        <v>11528</v>
      </c>
      <c r="C2508">
        <v>-2.29</v>
      </c>
      <c r="D2508">
        <v>0.28000000000000003</v>
      </c>
      <c r="E2508">
        <v>0.87</v>
      </c>
      <c r="F2508">
        <v>1485</v>
      </c>
      <c r="G2508" t="s">
        <v>11529</v>
      </c>
      <c r="H2508">
        <v>15301.18</v>
      </c>
      <c r="I2508">
        <v>81.55</v>
      </c>
      <c r="J2508" t="s">
        <v>120</v>
      </c>
      <c r="K2508" t="s">
        <v>11530</v>
      </c>
      <c r="L2508">
        <v>1.92</v>
      </c>
      <c r="M2508">
        <v>14.52</v>
      </c>
      <c r="N2508">
        <v>0.79</v>
      </c>
      <c r="O2508">
        <v>2.29</v>
      </c>
      <c r="P2508">
        <v>15.2</v>
      </c>
      <c r="Q2508">
        <v>-2.76</v>
      </c>
      <c r="R2508">
        <v>14.45</v>
      </c>
      <c r="S2508">
        <v>14.99</v>
      </c>
      <c r="T2508">
        <v>103522</v>
      </c>
      <c r="U2508">
        <v>14.52</v>
      </c>
      <c r="V2508">
        <v>14.86</v>
      </c>
      <c r="W2508">
        <v>39.97</v>
      </c>
      <c r="X2508" t="s">
        <v>462</v>
      </c>
      <c r="Y2508" t="s">
        <v>578</v>
      </c>
      <c r="Z2508">
        <v>5.05</v>
      </c>
      <c r="AA2508">
        <v>14.78</v>
      </c>
      <c r="AB2508">
        <v>60686</v>
      </c>
      <c r="AC2508">
        <v>42836</v>
      </c>
      <c r="AD2508">
        <v>1.42</v>
      </c>
      <c r="AE2508">
        <v>1156</v>
      </c>
      <c r="AF2508">
        <v>20</v>
      </c>
      <c r="AG2508" t="s">
        <v>120</v>
      </c>
      <c r="AH2508">
        <v>0.01</v>
      </c>
      <c r="AI2508" t="s">
        <v>120</v>
      </c>
      <c r="AJ2508">
        <v>5.4</v>
      </c>
      <c r="AK2508" t="s">
        <v>11531</v>
      </c>
      <c r="AL2508">
        <v>-0.94</v>
      </c>
      <c r="AM2508">
        <v>2983</v>
      </c>
      <c r="AN2508">
        <v>35</v>
      </c>
      <c r="AO2508">
        <v>5.9999999999999995E-4</v>
      </c>
      <c r="AP2508">
        <v>-7</v>
      </c>
      <c r="AQ2508">
        <v>-0.47</v>
      </c>
      <c r="AR2508">
        <v>-5.03</v>
      </c>
      <c r="AS2508">
        <v>4.84</v>
      </c>
      <c r="AT2508">
        <v>9.5399999999999991</v>
      </c>
      <c r="AU2508">
        <v>3.16</v>
      </c>
      <c r="AV2508">
        <v>3</v>
      </c>
      <c r="AW2508">
        <v>2.41</v>
      </c>
      <c r="AX2508">
        <v>35.9</v>
      </c>
      <c r="AY2508">
        <v>27.06</v>
      </c>
      <c r="AZ2508">
        <v>29.27</v>
      </c>
      <c r="BA2508">
        <v>0.56999999999999995</v>
      </c>
      <c r="BB2508" t="s">
        <v>143</v>
      </c>
      <c r="BF2508">
        <v>-0.53</v>
      </c>
      <c r="BG2508">
        <v>-3.14</v>
      </c>
      <c r="BH2508">
        <v>-4.47</v>
      </c>
      <c r="BI2508">
        <v>0.48</v>
      </c>
      <c r="BJ2508">
        <v>20210907</v>
      </c>
      <c r="BK2508">
        <v>19980402</v>
      </c>
      <c r="BL2508">
        <v>11.95</v>
      </c>
      <c r="BM2508" t="s">
        <v>120</v>
      </c>
      <c r="BN2508" t="s">
        <v>120</v>
      </c>
      <c r="BO2508">
        <v>109.06</v>
      </c>
      <c r="BP2508">
        <v>14.5</v>
      </c>
      <c r="BQ2508">
        <v>48.57</v>
      </c>
      <c r="BR2508">
        <v>0.01</v>
      </c>
      <c r="BS2508">
        <v>55.46</v>
      </c>
      <c r="BT2508">
        <v>89.64</v>
      </c>
      <c r="BU2508">
        <v>2.72</v>
      </c>
      <c r="BV2508">
        <v>2.31</v>
      </c>
      <c r="BW2508">
        <v>58.78</v>
      </c>
      <c r="BX2508">
        <v>13.41</v>
      </c>
      <c r="BY2508">
        <v>4.6100000000000003</v>
      </c>
      <c r="BZ2508">
        <v>61.48</v>
      </c>
      <c r="CA2508" t="s">
        <v>120</v>
      </c>
      <c r="CB2508">
        <v>14.35</v>
      </c>
      <c r="CC2508">
        <v>28.8</v>
      </c>
      <c r="CD2508">
        <v>23.29</v>
      </c>
      <c r="CE2508">
        <v>2.36</v>
      </c>
      <c r="CF2508">
        <v>0.41</v>
      </c>
      <c r="CG2508">
        <v>2.37</v>
      </c>
      <c r="CH2508">
        <v>2.17</v>
      </c>
      <c r="CI2508">
        <v>2.17</v>
      </c>
      <c r="CJ2508">
        <v>-0.34</v>
      </c>
      <c r="CK2508">
        <v>2.06</v>
      </c>
      <c r="CL2508">
        <v>20.22</v>
      </c>
      <c r="CM2508">
        <v>-9.5500000000000007</v>
      </c>
      <c r="CN2508">
        <v>-10.23</v>
      </c>
      <c r="CO2508">
        <v>39099</v>
      </c>
      <c r="CP2508">
        <v>10976</v>
      </c>
      <c r="CQ2508" t="s">
        <v>11532</v>
      </c>
      <c r="CR2508">
        <v>29.57</v>
      </c>
      <c r="CS2508">
        <v>6.79</v>
      </c>
      <c r="CT2508">
        <v>3.57</v>
      </c>
      <c r="CU2508">
        <v>-18.18</v>
      </c>
      <c r="CV2508">
        <v>6.03</v>
      </c>
      <c r="CW2508">
        <v>1.04</v>
      </c>
      <c r="CX2508" t="s">
        <v>242</v>
      </c>
      <c r="CY2508">
        <v>4.0599999999999996</v>
      </c>
      <c r="CZ2508">
        <v>0</v>
      </c>
      <c r="DA2508">
        <v>1.2</v>
      </c>
      <c r="DB2508">
        <v>1.69</v>
      </c>
      <c r="DC2508">
        <v>-0.8</v>
      </c>
      <c r="DD2508">
        <v>44.54</v>
      </c>
      <c r="DE2508" t="s">
        <v>2444</v>
      </c>
      <c r="DF2508">
        <v>19.14</v>
      </c>
      <c r="DG2508">
        <v>8.2100000000000009</v>
      </c>
      <c r="DH2508">
        <v>7.54</v>
      </c>
      <c r="DI2508">
        <v>0.81</v>
      </c>
      <c r="DJ2508">
        <v>1123</v>
      </c>
      <c r="DK2508">
        <v>600131</v>
      </c>
      <c r="DL2508" t="s">
        <v>120</v>
      </c>
      <c r="DM2508" t="s">
        <v>120</v>
      </c>
      <c r="DN2508" t="s">
        <v>120</v>
      </c>
    </row>
    <row r="2509" spans="1:118">
      <c r="A2509" t="str">
        <f>"600132"</f>
        <v>600132</v>
      </c>
      <c r="B2509" t="s">
        <v>11533</v>
      </c>
      <c r="C2509">
        <v>-2.95</v>
      </c>
      <c r="D2509">
        <v>-0.05</v>
      </c>
      <c r="E2509">
        <v>-0.62</v>
      </c>
      <c r="F2509">
        <v>730</v>
      </c>
      <c r="G2509" t="s">
        <v>11534</v>
      </c>
      <c r="H2509">
        <v>68789.460000000006</v>
      </c>
      <c r="I2509">
        <v>159.38</v>
      </c>
      <c r="J2509" t="s">
        <v>120</v>
      </c>
      <c r="K2509" t="s">
        <v>11535</v>
      </c>
      <c r="L2509">
        <v>1.1299999999999999</v>
      </c>
      <c r="M2509">
        <v>124.52</v>
      </c>
      <c r="N2509">
        <v>1.63</v>
      </c>
      <c r="O2509">
        <v>0</v>
      </c>
      <c r="P2509">
        <v>128.30000000000001</v>
      </c>
      <c r="Q2509">
        <v>-3.82</v>
      </c>
      <c r="R2509">
        <v>123.4</v>
      </c>
      <c r="S2509">
        <v>127.5</v>
      </c>
      <c r="T2509">
        <v>54827</v>
      </c>
      <c r="U2509">
        <v>124.52</v>
      </c>
      <c r="V2509">
        <v>128.30000000000001</v>
      </c>
      <c r="W2509">
        <v>48.43</v>
      </c>
      <c r="X2509" t="s">
        <v>1783</v>
      </c>
      <c r="Y2509" t="s">
        <v>883</v>
      </c>
      <c r="Z2509">
        <v>3.82</v>
      </c>
      <c r="AA2509">
        <v>125.47</v>
      </c>
      <c r="AB2509">
        <v>23881</v>
      </c>
      <c r="AC2509">
        <v>30946</v>
      </c>
      <c r="AD2509">
        <v>0.77</v>
      </c>
      <c r="AE2509">
        <v>24</v>
      </c>
      <c r="AF2509">
        <v>13</v>
      </c>
      <c r="AG2509" t="s">
        <v>120</v>
      </c>
      <c r="AH2509">
        <v>0.01</v>
      </c>
      <c r="AI2509" t="s">
        <v>120</v>
      </c>
      <c r="AJ2509">
        <v>4.84</v>
      </c>
      <c r="AK2509" t="s">
        <v>11535</v>
      </c>
      <c r="AL2509">
        <v>-1.6</v>
      </c>
      <c r="AM2509">
        <v>4343</v>
      </c>
      <c r="AN2509">
        <v>13</v>
      </c>
      <c r="AO2509">
        <v>2.9999999999999997E-4</v>
      </c>
      <c r="AP2509">
        <v>-4</v>
      </c>
      <c r="AQ2509">
        <v>-4.38</v>
      </c>
      <c r="AR2509">
        <v>-7.53</v>
      </c>
      <c r="AS2509">
        <v>-20.12</v>
      </c>
      <c r="AT2509">
        <v>-31.01</v>
      </c>
      <c r="AU2509">
        <v>4.6399999999999997</v>
      </c>
      <c r="AV2509">
        <v>1</v>
      </c>
      <c r="AW2509">
        <v>2.83</v>
      </c>
      <c r="AX2509">
        <v>40</v>
      </c>
      <c r="AY2509">
        <v>58.84</v>
      </c>
      <c r="AZ2509">
        <v>57.66</v>
      </c>
      <c r="BA2509">
        <v>2.69</v>
      </c>
      <c r="BB2509" t="s">
        <v>134</v>
      </c>
      <c r="BF2509">
        <v>-2.21</v>
      </c>
      <c r="BG2509">
        <v>-2.34</v>
      </c>
      <c r="BH2509">
        <v>-2.95</v>
      </c>
      <c r="BI2509">
        <v>0.91</v>
      </c>
      <c r="BJ2509">
        <v>20210819</v>
      </c>
      <c r="BK2509">
        <v>19971030</v>
      </c>
      <c r="BL2509">
        <v>4.84</v>
      </c>
      <c r="BM2509" t="s">
        <v>120</v>
      </c>
      <c r="BN2509" t="s">
        <v>120</v>
      </c>
      <c r="BO2509">
        <v>109.86</v>
      </c>
      <c r="BP2509">
        <v>124.5</v>
      </c>
      <c r="BQ2509">
        <v>12.08</v>
      </c>
      <c r="BR2509">
        <v>16.25</v>
      </c>
      <c r="BS2509">
        <v>74.22</v>
      </c>
      <c r="BT2509">
        <v>47.92</v>
      </c>
      <c r="BU2509">
        <v>34.19</v>
      </c>
      <c r="BV2509">
        <v>5.71</v>
      </c>
      <c r="BW2509">
        <v>76.44</v>
      </c>
      <c r="BX2509">
        <v>21.08</v>
      </c>
      <c r="BY2509">
        <v>14.02</v>
      </c>
      <c r="BZ2509">
        <v>1.55</v>
      </c>
      <c r="CA2509" t="s">
        <v>120</v>
      </c>
      <c r="CB2509">
        <v>0</v>
      </c>
      <c r="CC2509">
        <v>71.39</v>
      </c>
      <c r="CD2509">
        <v>34.17</v>
      </c>
      <c r="CE2509">
        <v>16.649999999999999</v>
      </c>
      <c r="CF2509">
        <v>0.2</v>
      </c>
      <c r="CG2509">
        <v>16.7</v>
      </c>
      <c r="CH2509">
        <v>12.97</v>
      </c>
      <c r="CI2509">
        <v>6.22</v>
      </c>
      <c r="CJ2509">
        <v>-3.78</v>
      </c>
      <c r="CK2509">
        <v>6.11</v>
      </c>
      <c r="CL2509">
        <v>4.96</v>
      </c>
      <c r="CM2509">
        <v>26.32</v>
      </c>
      <c r="CN2509">
        <v>1.44</v>
      </c>
      <c r="CO2509">
        <v>20361</v>
      </c>
      <c r="CP2509">
        <v>9508</v>
      </c>
      <c r="CQ2509" t="s">
        <v>11536</v>
      </c>
      <c r="CR2509">
        <v>-3.34</v>
      </c>
      <c r="CS2509">
        <v>27.51</v>
      </c>
      <c r="CT2509">
        <v>49.9</v>
      </c>
      <c r="CU2509">
        <v>22.89</v>
      </c>
      <c r="CV2509">
        <v>8.44</v>
      </c>
      <c r="CW2509">
        <v>0</v>
      </c>
      <c r="CX2509" t="s">
        <v>11537</v>
      </c>
      <c r="CY2509">
        <v>2.5</v>
      </c>
      <c r="CZ2509">
        <v>0</v>
      </c>
      <c r="DA2509">
        <v>0</v>
      </c>
      <c r="DB2509">
        <v>1.03</v>
      </c>
      <c r="DC2509">
        <v>5.44</v>
      </c>
      <c r="DD2509">
        <v>10.99</v>
      </c>
      <c r="DE2509" t="s">
        <v>11538</v>
      </c>
      <c r="DF2509">
        <v>52.13</v>
      </c>
      <c r="DG2509">
        <v>23.33</v>
      </c>
      <c r="DH2509">
        <v>8.7200000000000006</v>
      </c>
      <c r="DI2509">
        <v>0.66</v>
      </c>
      <c r="DJ2509">
        <v>2310</v>
      </c>
      <c r="DK2509">
        <v>600132</v>
      </c>
      <c r="DL2509" t="s">
        <v>120</v>
      </c>
      <c r="DM2509" t="s">
        <v>120</v>
      </c>
      <c r="DN2509" t="s">
        <v>120</v>
      </c>
    </row>
    <row r="2510" spans="1:118">
      <c r="A2510" t="str">
        <f>"600133"</f>
        <v>600133</v>
      </c>
      <c r="B2510" t="s">
        <v>11539</v>
      </c>
      <c r="C2510">
        <v>-1.52</v>
      </c>
      <c r="D2510">
        <v>0</v>
      </c>
      <c r="E2510">
        <v>0</v>
      </c>
      <c r="F2510">
        <v>1162</v>
      </c>
      <c r="G2510" t="s">
        <v>11540</v>
      </c>
      <c r="H2510">
        <v>6803.4</v>
      </c>
      <c r="I2510">
        <v>27.71</v>
      </c>
      <c r="J2510" t="s">
        <v>120</v>
      </c>
      <c r="K2510" t="s">
        <v>10404</v>
      </c>
      <c r="L2510">
        <v>1.49</v>
      </c>
      <c r="M2510">
        <v>5.83</v>
      </c>
      <c r="N2510">
        <v>0.83</v>
      </c>
      <c r="O2510">
        <v>0.68</v>
      </c>
      <c r="P2510">
        <v>5.96</v>
      </c>
      <c r="Q2510">
        <v>-1.86</v>
      </c>
      <c r="R2510">
        <v>5.81</v>
      </c>
      <c r="S2510">
        <v>5.92</v>
      </c>
      <c r="T2510">
        <v>115560</v>
      </c>
      <c r="U2510">
        <v>5.84</v>
      </c>
      <c r="V2510">
        <v>5.92</v>
      </c>
      <c r="W2510">
        <v>10.94</v>
      </c>
      <c r="X2510" t="s">
        <v>1384</v>
      </c>
      <c r="Y2510" t="s">
        <v>763</v>
      </c>
      <c r="Z2510">
        <v>2.5299999999999998</v>
      </c>
      <c r="AA2510">
        <v>5.89</v>
      </c>
      <c r="AB2510">
        <v>66246</v>
      </c>
      <c r="AC2510">
        <v>49314</v>
      </c>
      <c r="AD2510">
        <v>1.34</v>
      </c>
      <c r="AE2510">
        <v>25</v>
      </c>
      <c r="AF2510">
        <v>1005</v>
      </c>
      <c r="AG2510" t="s">
        <v>120</v>
      </c>
      <c r="AH2510">
        <v>0.01</v>
      </c>
      <c r="AI2510" t="s">
        <v>120</v>
      </c>
      <c r="AJ2510">
        <v>7.76</v>
      </c>
      <c r="AK2510" t="s">
        <v>6241</v>
      </c>
      <c r="AL2510">
        <v>-0.18</v>
      </c>
      <c r="AM2510">
        <v>1588</v>
      </c>
      <c r="AN2510">
        <v>73</v>
      </c>
      <c r="AO2510">
        <v>8.9999999999999998E-4</v>
      </c>
      <c r="AP2510">
        <v>-1</v>
      </c>
      <c r="AQ2510">
        <v>0.68</v>
      </c>
      <c r="AR2510">
        <v>-2.83</v>
      </c>
      <c r="AS2510">
        <v>4.8499999999999996</v>
      </c>
      <c r="AT2510">
        <v>-3.31</v>
      </c>
      <c r="AU2510">
        <v>6.97</v>
      </c>
      <c r="AV2510">
        <v>1</v>
      </c>
      <c r="AW2510">
        <v>1.95</v>
      </c>
      <c r="AX2510">
        <v>74.64</v>
      </c>
      <c r="AY2510">
        <v>6.7</v>
      </c>
      <c r="AZ2510">
        <v>6.88</v>
      </c>
      <c r="BA2510">
        <v>0.45</v>
      </c>
      <c r="BB2510" t="s">
        <v>143</v>
      </c>
      <c r="BF2510">
        <v>-0.55000000000000004</v>
      </c>
      <c r="BG2510">
        <v>-1.52</v>
      </c>
      <c r="BH2510">
        <v>-2.1800000000000002</v>
      </c>
      <c r="BI2510">
        <v>0.34</v>
      </c>
      <c r="BJ2510">
        <v>20210831</v>
      </c>
      <c r="BK2510">
        <v>19980212</v>
      </c>
      <c r="BL2510">
        <v>7.95</v>
      </c>
      <c r="BM2510" t="s">
        <v>120</v>
      </c>
      <c r="BN2510" t="s">
        <v>120</v>
      </c>
      <c r="BO2510">
        <v>274.48</v>
      </c>
      <c r="BP2510">
        <v>5.83</v>
      </c>
      <c r="BQ2510">
        <v>58.18</v>
      </c>
      <c r="BR2510">
        <v>17.18</v>
      </c>
      <c r="BS2510">
        <v>72.540000000000006</v>
      </c>
      <c r="BT2510">
        <v>183.8</v>
      </c>
      <c r="BU2510">
        <v>6.99</v>
      </c>
      <c r="BV2510">
        <v>17.760000000000002</v>
      </c>
      <c r="BW2510">
        <v>118.99</v>
      </c>
      <c r="BX2510">
        <v>38.22</v>
      </c>
      <c r="BY2510">
        <v>31.45</v>
      </c>
      <c r="BZ2510">
        <v>46.3</v>
      </c>
      <c r="CA2510">
        <v>0.14000000000000001</v>
      </c>
      <c r="CB2510">
        <v>19.32</v>
      </c>
      <c r="CC2510">
        <v>57.61</v>
      </c>
      <c r="CD2510">
        <v>49.94</v>
      </c>
      <c r="CE2510">
        <v>3.32</v>
      </c>
      <c r="CF2510">
        <v>0.12</v>
      </c>
      <c r="CG2510">
        <v>3.32</v>
      </c>
      <c r="CH2510">
        <v>2.73</v>
      </c>
      <c r="CI2510">
        <v>2.12</v>
      </c>
      <c r="CJ2510">
        <v>-0.09</v>
      </c>
      <c r="CK2510">
        <v>1.81</v>
      </c>
      <c r="CL2510">
        <v>23.68</v>
      </c>
      <c r="CM2510">
        <v>-5.43</v>
      </c>
      <c r="CN2510">
        <v>-5.8</v>
      </c>
      <c r="CO2510">
        <v>60211</v>
      </c>
      <c r="CP2510">
        <v>9861</v>
      </c>
      <c r="CQ2510" t="s">
        <v>498</v>
      </c>
      <c r="CR2510">
        <v>9.1</v>
      </c>
      <c r="CS2510">
        <v>18.579999999999998</v>
      </c>
      <c r="CT2510">
        <v>0.84</v>
      </c>
      <c r="CU2510">
        <v>-8.5299999999999994</v>
      </c>
      <c r="CV2510">
        <v>0.81</v>
      </c>
      <c r="CW2510">
        <v>1.86</v>
      </c>
      <c r="CX2510" t="s">
        <v>871</v>
      </c>
      <c r="CY2510">
        <v>6.92</v>
      </c>
      <c r="CZ2510">
        <v>6.92</v>
      </c>
      <c r="DA2510">
        <v>2.4300000000000002</v>
      </c>
      <c r="DB2510">
        <v>2.98</v>
      </c>
      <c r="DC2510">
        <v>-0.68</v>
      </c>
      <c r="DD2510">
        <v>21.2</v>
      </c>
      <c r="DE2510" t="s">
        <v>1141</v>
      </c>
      <c r="DF2510">
        <v>13.32</v>
      </c>
      <c r="DG2510">
        <v>5.76</v>
      </c>
      <c r="DH2510">
        <v>3.68</v>
      </c>
      <c r="DI2510">
        <v>0.42</v>
      </c>
      <c r="DJ2510">
        <v>2594</v>
      </c>
      <c r="DK2510">
        <v>600133</v>
      </c>
      <c r="DL2510" t="s">
        <v>120</v>
      </c>
      <c r="DM2510" t="s">
        <v>120</v>
      </c>
      <c r="DN2510" t="s">
        <v>120</v>
      </c>
    </row>
    <row r="2511" spans="1:118">
      <c r="A2511" t="str">
        <f>"600135"</f>
        <v>600135</v>
      </c>
      <c r="B2511" t="s">
        <v>11541</v>
      </c>
      <c r="C2511">
        <v>-4.49</v>
      </c>
      <c r="D2511">
        <v>-0.11</v>
      </c>
      <c r="E2511">
        <v>0.12</v>
      </c>
      <c r="F2511">
        <v>1076</v>
      </c>
      <c r="G2511" t="s">
        <v>10524</v>
      </c>
      <c r="H2511">
        <v>12115.26</v>
      </c>
      <c r="I2511">
        <v>117.79</v>
      </c>
      <c r="J2511" t="s">
        <v>120</v>
      </c>
      <c r="K2511" t="s">
        <v>11540</v>
      </c>
      <c r="L2511">
        <v>3.44</v>
      </c>
      <c r="M2511">
        <v>8.09</v>
      </c>
      <c r="N2511">
        <v>0.89</v>
      </c>
      <c r="O2511">
        <v>0.71</v>
      </c>
      <c r="P2511">
        <v>8.5299999999999994</v>
      </c>
      <c r="Q2511">
        <v>-5.55</v>
      </c>
      <c r="R2511">
        <v>8</v>
      </c>
      <c r="S2511">
        <v>8.48</v>
      </c>
      <c r="T2511">
        <v>147048</v>
      </c>
      <c r="U2511">
        <v>8.1</v>
      </c>
      <c r="V2511">
        <v>8.4700000000000006</v>
      </c>
      <c r="W2511">
        <v>52.65</v>
      </c>
      <c r="X2511" t="s">
        <v>868</v>
      </c>
      <c r="Y2511" t="s">
        <v>602</v>
      </c>
      <c r="Z2511">
        <v>6.26</v>
      </c>
      <c r="AA2511">
        <v>8.24</v>
      </c>
      <c r="AB2511">
        <v>87273</v>
      </c>
      <c r="AC2511">
        <v>59775</v>
      </c>
      <c r="AD2511">
        <v>1.46</v>
      </c>
      <c r="AE2511">
        <v>64</v>
      </c>
      <c r="AF2511">
        <v>141</v>
      </c>
      <c r="AG2511" t="s">
        <v>120</v>
      </c>
      <c r="AH2511">
        <v>0.06</v>
      </c>
      <c r="AI2511" t="s">
        <v>120</v>
      </c>
      <c r="AJ2511">
        <v>4.28</v>
      </c>
      <c r="AK2511" t="s">
        <v>11542</v>
      </c>
      <c r="AL2511">
        <v>-3.14</v>
      </c>
      <c r="AM2511">
        <v>2909</v>
      </c>
      <c r="AN2511">
        <v>51</v>
      </c>
      <c r="AO2511">
        <v>1.1999999999999999E-3</v>
      </c>
      <c r="AP2511">
        <v>-1</v>
      </c>
      <c r="AQ2511">
        <v>4.83</v>
      </c>
      <c r="AR2511">
        <v>-0.12</v>
      </c>
      <c r="AS2511">
        <v>12.36</v>
      </c>
      <c r="AT2511">
        <v>23.91</v>
      </c>
      <c r="AU2511">
        <v>12.22</v>
      </c>
      <c r="AV2511">
        <v>3</v>
      </c>
      <c r="AW2511">
        <v>5.98</v>
      </c>
      <c r="AX2511">
        <v>44.42</v>
      </c>
      <c r="AY2511">
        <v>90.36</v>
      </c>
      <c r="AZ2511">
        <v>125.8</v>
      </c>
      <c r="BA2511">
        <v>0.85</v>
      </c>
      <c r="BB2511" t="s">
        <v>700</v>
      </c>
      <c r="BF2511">
        <v>-2.73</v>
      </c>
      <c r="BG2511">
        <v>-4.5999999999999996</v>
      </c>
      <c r="BH2511">
        <v>-5.16</v>
      </c>
      <c r="BI2511">
        <v>1.1299999999999999</v>
      </c>
      <c r="BJ2511">
        <v>20210827</v>
      </c>
      <c r="BK2511">
        <v>19980122</v>
      </c>
      <c r="BL2511">
        <v>5.53</v>
      </c>
      <c r="BM2511" t="s">
        <v>120</v>
      </c>
      <c r="BN2511" t="s">
        <v>120</v>
      </c>
      <c r="BO2511">
        <v>32.72</v>
      </c>
      <c r="BP2511">
        <v>8.09</v>
      </c>
      <c r="BQ2511">
        <v>25.98</v>
      </c>
      <c r="BR2511">
        <v>0.26</v>
      </c>
      <c r="BS2511">
        <v>19.809999999999999</v>
      </c>
      <c r="BT2511">
        <v>23.8</v>
      </c>
      <c r="BU2511">
        <v>3.9</v>
      </c>
      <c r="BV2511">
        <v>1.21</v>
      </c>
      <c r="BW2511">
        <v>5.72</v>
      </c>
      <c r="BX2511">
        <v>4.43</v>
      </c>
      <c r="BY2511">
        <v>4.1100000000000003</v>
      </c>
      <c r="BZ2511">
        <v>4.63</v>
      </c>
      <c r="CA2511" t="s">
        <v>120</v>
      </c>
      <c r="CB2511">
        <v>12.63</v>
      </c>
      <c r="CC2511">
        <v>11.58</v>
      </c>
      <c r="CD2511">
        <v>9.7799999999999994</v>
      </c>
      <c r="CE2511">
        <v>0.52</v>
      </c>
      <c r="CF2511">
        <v>0.09</v>
      </c>
      <c r="CG2511">
        <v>0.53</v>
      </c>
      <c r="CH2511">
        <v>0.44</v>
      </c>
      <c r="CI2511">
        <v>0.43</v>
      </c>
      <c r="CJ2511">
        <v>-0.38</v>
      </c>
      <c r="CK2511">
        <v>0.38</v>
      </c>
      <c r="CL2511">
        <v>4.4800000000000004</v>
      </c>
      <c r="CM2511">
        <v>-1.89</v>
      </c>
      <c r="CN2511">
        <v>-1.8</v>
      </c>
      <c r="CO2511">
        <v>30764</v>
      </c>
      <c r="CP2511">
        <v>7988</v>
      </c>
      <c r="CQ2511" t="s">
        <v>4451</v>
      </c>
      <c r="CR2511">
        <v>52.36</v>
      </c>
      <c r="CS2511">
        <v>33.33</v>
      </c>
      <c r="CT2511">
        <v>1.72</v>
      </c>
      <c r="CU2511">
        <v>-23.72</v>
      </c>
      <c r="CV2511">
        <v>3.86</v>
      </c>
      <c r="CW2511">
        <v>0.25</v>
      </c>
      <c r="CX2511" t="s">
        <v>535</v>
      </c>
      <c r="CY2511">
        <v>4.7</v>
      </c>
      <c r="CZ2511">
        <v>0</v>
      </c>
      <c r="DA2511">
        <v>2.2799999999999998</v>
      </c>
      <c r="DB2511">
        <v>0.81</v>
      </c>
      <c r="DC2511">
        <v>-0.34</v>
      </c>
      <c r="DD2511">
        <v>79.400000000000006</v>
      </c>
      <c r="DE2511" t="s">
        <v>2961</v>
      </c>
      <c r="DF2511">
        <v>15.55</v>
      </c>
      <c r="DG2511">
        <v>4.53</v>
      </c>
      <c r="DH2511">
        <v>3.67</v>
      </c>
      <c r="DI2511">
        <v>0.48</v>
      </c>
      <c r="DJ2511">
        <v>2539</v>
      </c>
      <c r="DK2511">
        <v>600135</v>
      </c>
      <c r="DL2511" t="s">
        <v>120</v>
      </c>
      <c r="DM2511" t="s">
        <v>120</v>
      </c>
      <c r="DN2511" t="s">
        <v>120</v>
      </c>
    </row>
    <row r="2512" spans="1:118">
      <c r="A2512" t="str">
        <f>"600136"</f>
        <v>600136</v>
      </c>
      <c r="B2512" t="s">
        <v>11543</v>
      </c>
      <c r="C2512">
        <v>-1.82</v>
      </c>
      <c r="D2512">
        <v>-0.16</v>
      </c>
      <c r="E2512">
        <v>0.5</v>
      </c>
      <c r="F2512">
        <v>260</v>
      </c>
      <c r="G2512" t="s">
        <v>9409</v>
      </c>
      <c r="H2512">
        <v>3599.79</v>
      </c>
      <c r="I2512">
        <v>8.1</v>
      </c>
      <c r="J2512" t="s">
        <v>120</v>
      </c>
      <c r="K2512" t="s">
        <v>5559</v>
      </c>
      <c r="L2512">
        <v>1.22</v>
      </c>
      <c r="M2512">
        <v>5.95</v>
      </c>
      <c r="N2512">
        <v>0.81</v>
      </c>
      <c r="O2512">
        <v>1.49</v>
      </c>
      <c r="P2512">
        <v>6.15</v>
      </c>
      <c r="Q2512">
        <v>-1.98</v>
      </c>
      <c r="R2512">
        <v>5.94</v>
      </c>
      <c r="S2512">
        <v>6.09</v>
      </c>
      <c r="T2512">
        <v>59524</v>
      </c>
      <c r="U2512">
        <v>5.96</v>
      </c>
      <c r="V2512">
        <v>6.06</v>
      </c>
      <c r="W2512" t="s">
        <v>120</v>
      </c>
      <c r="X2512" t="s">
        <v>584</v>
      </c>
      <c r="Y2512" t="s">
        <v>763</v>
      </c>
      <c r="Z2512">
        <v>3.47</v>
      </c>
      <c r="AA2512">
        <v>6.05</v>
      </c>
      <c r="AB2512">
        <v>30868</v>
      </c>
      <c r="AC2512">
        <v>28656</v>
      </c>
      <c r="AD2512">
        <v>1.08</v>
      </c>
      <c r="AE2512">
        <v>553</v>
      </c>
      <c r="AF2512">
        <v>608</v>
      </c>
      <c r="AG2512" t="s">
        <v>120</v>
      </c>
      <c r="AH2512">
        <v>0</v>
      </c>
      <c r="AI2512" t="s">
        <v>120</v>
      </c>
      <c r="AJ2512">
        <v>4.87</v>
      </c>
      <c r="AK2512" t="s">
        <v>6007</v>
      </c>
      <c r="AL2512">
        <v>-0.47</v>
      </c>
      <c r="AM2512">
        <v>1624</v>
      </c>
      <c r="AN2512">
        <v>37</v>
      </c>
      <c r="AO2512">
        <v>8.0000000000000004E-4</v>
      </c>
      <c r="AP2512">
        <v>-1</v>
      </c>
      <c r="AQ2512">
        <v>1.17</v>
      </c>
      <c r="AR2512">
        <v>-3.41</v>
      </c>
      <c r="AS2512">
        <v>3.12</v>
      </c>
      <c r="AT2512">
        <v>-1.82</v>
      </c>
      <c r="AU2512">
        <v>-13.01</v>
      </c>
      <c r="AV2512">
        <v>4</v>
      </c>
      <c r="AW2512">
        <v>1.96</v>
      </c>
      <c r="AX2512">
        <v>51.96</v>
      </c>
      <c r="AY2512" t="s">
        <v>120</v>
      </c>
      <c r="AZ2512" t="s">
        <v>120</v>
      </c>
      <c r="BA2512">
        <v>1.2</v>
      </c>
      <c r="BB2512" t="s">
        <v>143</v>
      </c>
      <c r="BF2512">
        <v>-0.2</v>
      </c>
      <c r="BG2512">
        <v>-2.2999999999999998</v>
      </c>
      <c r="BH2512">
        <v>-3.25</v>
      </c>
      <c r="BI2512">
        <v>0.17</v>
      </c>
      <c r="BJ2512">
        <v>20210901</v>
      </c>
      <c r="BK2512">
        <v>19980303</v>
      </c>
      <c r="BL2512">
        <v>5.85</v>
      </c>
      <c r="BM2512" t="s">
        <v>120</v>
      </c>
      <c r="BN2512" t="s">
        <v>120</v>
      </c>
      <c r="BO2512">
        <v>85.5</v>
      </c>
      <c r="BP2512">
        <v>5.95</v>
      </c>
      <c r="BQ2512">
        <v>18.989999999999998</v>
      </c>
      <c r="BR2512">
        <v>1.69</v>
      </c>
      <c r="BS2512">
        <v>75.819999999999993</v>
      </c>
      <c r="BT2512">
        <v>27.9</v>
      </c>
      <c r="BU2512">
        <v>0.18</v>
      </c>
      <c r="BV2512">
        <v>2.8</v>
      </c>
      <c r="BW2512">
        <v>51.9</v>
      </c>
      <c r="BX2512">
        <v>1.52</v>
      </c>
      <c r="BY2512">
        <v>18.02</v>
      </c>
      <c r="BZ2512">
        <v>5.69</v>
      </c>
      <c r="CA2512" t="s">
        <v>120</v>
      </c>
      <c r="CB2512">
        <v>26.47</v>
      </c>
      <c r="CC2512">
        <v>7.85</v>
      </c>
      <c r="CD2512">
        <v>5.38</v>
      </c>
      <c r="CE2512">
        <v>-1.7</v>
      </c>
      <c r="CF2512">
        <v>-0.53</v>
      </c>
      <c r="CG2512">
        <v>-1.71</v>
      </c>
      <c r="CH2512">
        <v>-1.84</v>
      </c>
      <c r="CI2512">
        <v>-1.58</v>
      </c>
      <c r="CJ2512">
        <v>-0.11</v>
      </c>
      <c r="CK2512">
        <v>-1.61</v>
      </c>
      <c r="CL2512">
        <v>-15.02</v>
      </c>
      <c r="CM2512">
        <v>3.07</v>
      </c>
      <c r="CN2512">
        <v>-2.4</v>
      </c>
      <c r="CO2512">
        <v>24696</v>
      </c>
      <c r="CP2512">
        <v>12299</v>
      </c>
      <c r="CQ2512" t="s">
        <v>11544</v>
      </c>
      <c r="CR2512">
        <v>70.7</v>
      </c>
      <c r="CS2512">
        <v>136.19</v>
      </c>
      <c r="CT2512">
        <v>1.83</v>
      </c>
      <c r="CU2512">
        <v>11.33</v>
      </c>
      <c r="CV2512">
        <v>4.43</v>
      </c>
      <c r="CW2512">
        <v>0</v>
      </c>
      <c r="CX2512" t="s">
        <v>6723</v>
      </c>
      <c r="CY2512">
        <v>3.25</v>
      </c>
      <c r="CZ2512">
        <v>0</v>
      </c>
      <c r="DA2512">
        <v>4.53</v>
      </c>
      <c r="DB2512">
        <v>-2.57</v>
      </c>
      <c r="DC2512">
        <v>0.53</v>
      </c>
      <c r="DD2512">
        <v>22.2</v>
      </c>
      <c r="DE2512" t="s">
        <v>11545</v>
      </c>
      <c r="DF2512">
        <v>31.48</v>
      </c>
      <c r="DG2512">
        <v>-21.71</v>
      </c>
      <c r="DH2512">
        <v>-20.12</v>
      </c>
      <c r="DI2512" t="s">
        <v>120</v>
      </c>
      <c r="DJ2512">
        <v>318</v>
      </c>
      <c r="DK2512">
        <v>600136</v>
      </c>
      <c r="DL2512" t="s">
        <v>120</v>
      </c>
      <c r="DM2512" t="s">
        <v>120</v>
      </c>
      <c r="DN2512" t="s">
        <v>120</v>
      </c>
    </row>
    <row r="2513" spans="1:118">
      <c r="A2513" t="str">
        <f>"600137"</f>
        <v>600137</v>
      </c>
      <c r="B2513" t="s">
        <v>11546</v>
      </c>
      <c r="C2513">
        <v>0.2</v>
      </c>
      <c r="D2513">
        <v>-0.39</v>
      </c>
      <c r="E2513">
        <v>-7.0000000000000007E-2</v>
      </c>
      <c r="F2513">
        <v>72</v>
      </c>
      <c r="G2513" t="s">
        <v>11547</v>
      </c>
      <c r="H2513">
        <v>1619.97</v>
      </c>
      <c r="I2513">
        <v>0</v>
      </c>
      <c r="J2513" t="s">
        <v>120</v>
      </c>
      <c r="K2513" t="s">
        <v>11548</v>
      </c>
      <c r="L2513">
        <v>1.1200000000000001</v>
      </c>
      <c r="M2513">
        <v>14.91</v>
      </c>
      <c r="N2513">
        <v>0.96</v>
      </c>
      <c r="O2513">
        <v>1.28</v>
      </c>
      <c r="P2513">
        <v>15.07</v>
      </c>
      <c r="Q2513">
        <v>-0.81</v>
      </c>
      <c r="R2513">
        <v>14.76</v>
      </c>
      <c r="S2513">
        <v>14.87</v>
      </c>
      <c r="T2513">
        <v>10864</v>
      </c>
      <c r="U2513">
        <v>14.93</v>
      </c>
      <c r="V2513">
        <v>14.88</v>
      </c>
      <c r="W2513">
        <v>83.41</v>
      </c>
      <c r="X2513" t="s">
        <v>2806</v>
      </c>
      <c r="Y2513" t="s">
        <v>578</v>
      </c>
      <c r="Z2513">
        <v>2.08</v>
      </c>
      <c r="AA2513">
        <v>14.91</v>
      </c>
      <c r="AB2513">
        <v>5096</v>
      </c>
      <c r="AC2513">
        <v>5768</v>
      </c>
      <c r="AD2513">
        <v>0.88</v>
      </c>
      <c r="AE2513">
        <v>3</v>
      </c>
      <c r="AF2513">
        <v>30</v>
      </c>
      <c r="AG2513" t="s">
        <v>120</v>
      </c>
      <c r="AH2513">
        <v>0</v>
      </c>
      <c r="AI2513" t="s">
        <v>120</v>
      </c>
      <c r="AJ2513">
        <v>0.97</v>
      </c>
      <c r="AK2513" t="s">
        <v>11548</v>
      </c>
      <c r="AL2513">
        <v>1.55</v>
      </c>
      <c r="AM2513">
        <v>1003</v>
      </c>
      <c r="AN2513">
        <v>11</v>
      </c>
      <c r="AO2513">
        <v>1.1000000000000001E-3</v>
      </c>
      <c r="AP2513">
        <v>2</v>
      </c>
      <c r="AQ2513">
        <v>0.61</v>
      </c>
      <c r="AR2513">
        <v>-1.19</v>
      </c>
      <c r="AS2513">
        <v>-5.03</v>
      </c>
      <c r="AT2513">
        <v>2.69</v>
      </c>
      <c r="AU2513">
        <v>9.4700000000000006</v>
      </c>
      <c r="AV2513">
        <v>7</v>
      </c>
      <c r="AW2513">
        <v>2.98</v>
      </c>
      <c r="AX2513">
        <v>37.479999999999997</v>
      </c>
      <c r="AY2513">
        <v>83.19</v>
      </c>
      <c r="AZ2513">
        <v>81.47</v>
      </c>
      <c r="BA2513">
        <v>0.2</v>
      </c>
      <c r="BB2513" t="s">
        <v>143</v>
      </c>
      <c r="BF2513">
        <v>0.21</v>
      </c>
      <c r="BG2513">
        <v>0.27</v>
      </c>
      <c r="BH2513">
        <v>-1.06</v>
      </c>
      <c r="BI2513">
        <v>1.02</v>
      </c>
      <c r="BJ2513">
        <v>20210824</v>
      </c>
      <c r="BK2513">
        <v>19980416</v>
      </c>
      <c r="BL2513">
        <v>0.97</v>
      </c>
      <c r="BM2513" t="s">
        <v>120</v>
      </c>
      <c r="BN2513" t="s">
        <v>120</v>
      </c>
      <c r="BO2513">
        <v>6.34</v>
      </c>
      <c r="BP2513">
        <v>14.91</v>
      </c>
      <c r="BQ2513">
        <v>5.13</v>
      </c>
      <c r="BR2513" t="s">
        <v>120</v>
      </c>
      <c r="BS2513">
        <v>19.059999999999999</v>
      </c>
      <c r="BT2513">
        <v>4.92</v>
      </c>
      <c r="BU2513">
        <v>0.68</v>
      </c>
      <c r="BV2513">
        <v>0.37</v>
      </c>
      <c r="BW2513">
        <v>1.2</v>
      </c>
      <c r="BX2513">
        <v>1.29</v>
      </c>
      <c r="BY2513">
        <v>0.92</v>
      </c>
      <c r="BZ2513">
        <v>0.45</v>
      </c>
      <c r="CA2513" t="s">
        <v>120</v>
      </c>
      <c r="CB2513">
        <v>3.42</v>
      </c>
      <c r="CC2513">
        <v>1.42</v>
      </c>
      <c r="CD2513">
        <v>1.19</v>
      </c>
      <c r="CE2513">
        <v>0.09</v>
      </c>
      <c r="CF2513">
        <v>0</v>
      </c>
      <c r="CG2513">
        <v>0.1</v>
      </c>
      <c r="CH2513">
        <v>0.09</v>
      </c>
      <c r="CI2513">
        <v>0.09</v>
      </c>
      <c r="CJ2513">
        <v>0.03</v>
      </c>
      <c r="CK2513">
        <v>0.08</v>
      </c>
      <c r="CL2513">
        <v>0.59</v>
      </c>
      <c r="CM2513">
        <v>-0.4</v>
      </c>
      <c r="CN2513">
        <v>-2.16</v>
      </c>
      <c r="CO2513">
        <v>13755</v>
      </c>
      <c r="CP2513">
        <v>2649</v>
      </c>
      <c r="CQ2513" t="s">
        <v>5252</v>
      </c>
      <c r="CR2513">
        <v>-4.0599999999999996</v>
      </c>
      <c r="CS2513">
        <v>29.39</v>
      </c>
      <c r="CT2513">
        <v>2.83</v>
      </c>
      <c r="CU2513">
        <v>-35.799999999999997</v>
      </c>
      <c r="CV2513">
        <v>10.210000000000001</v>
      </c>
      <c r="CW2513">
        <v>0.54</v>
      </c>
      <c r="CX2513" t="s">
        <v>329</v>
      </c>
      <c r="CY2513">
        <v>5.28</v>
      </c>
      <c r="CZ2513">
        <v>0</v>
      </c>
      <c r="DA2513">
        <v>3.52</v>
      </c>
      <c r="DB2513">
        <v>0.61</v>
      </c>
      <c r="DC2513">
        <v>-0.42</v>
      </c>
      <c r="DD2513">
        <v>80.94</v>
      </c>
      <c r="DE2513" t="s">
        <v>6122</v>
      </c>
      <c r="DF2513">
        <v>16.07</v>
      </c>
      <c r="DG2513">
        <v>6.69</v>
      </c>
      <c r="DH2513">
        <v>6.12</v>
      </c>
      <c r="DI2513">
        <v>0.05</v>
      </c>
      <c r="DJ2513">
        <v>324</v>
      </c>
      <c r="DK2513">
        <v>600137</v>
      </c>
      <c r="DL2513" t="s">
        <v>120</v>
      </c>
      <c r="DM2513" t="s">
        <v>120</v>
      </c>
      <c r="DN2513" t="s">
        <v>120</v>
      </c>
    </row>
    <row r="2514" spans="1:118">
      <c r="A2514" t="str">
        <f>"600138"</f>
        <v>600138</v>
      </c>
      <c r="B2514" t="s">
        <v>11549</v>
      </c>
      <c r="C2514">
        <v>-0.97</v>
      </c>
      <c r="D2514">
        <v>0</v>
      </c>
      <c r="E2514">
        <v>-0.57999999999999996</v>
      </c>
      <c r="F2514">
        <v>1126</v>
      </c>
      <c r="G2514" t="s">
        <v>11550</v>
      </c>
      <c r="H2514">
        <v>13751.87</v>
      </c>
      <c r="I2514">
        <v>22.95</v>
      </c>
      <c r="J2514" t="s">
        <v>120</v>
      </c>
      <c r="K2514" t="s">
        <v>11551</v>
      </c>
      <c r="L2514">
        <v>1.85</v>
      </c>
      <c r="M2514">
        <v>10.25</v>
      </c>
      <c r="N2514">
        <v>0.56000000000000005</v>
      </c>
      <c r="O2514">
        <v>0.77</v>
      </c>
      <c r="P2514">
        <v>10.43</v>
      </c>
      <c r="Q2514">
        <v>-1.74</v>
      </c>
      <c r="R2514">
        <v>10.17</v>
      </c>
      <c r="S2514">
        <v>10.29</v>
      </c>
      <c r="T2514">
        <v>133702</v>
      </c>
      <c r="U2514">
        <v>10.25</v>
      </c>
      <c r="V2514">
        <v>10.35</v>
      </c>
      <c r="W2514">
        <v>110.33</v>
      </c>
      <c r="X2514" t="s">
        <v>1317</v>
      </c>
      <c r="Y2514" t="s">
        <v>158</v>
      </c>
      <c r="Z2514">
        <v>2.5099999999999998</v>
      </c>
      <c r="AA2514">
        <v>10.29</v>
      </c>
      <c r="AB2514">
        <v>71002</v>
      </c>
      <c r="AC2514">
        <v>62700</v>
      </c>
      <c r="AD2514">
        <v>1.1299999999999999</v>
      </c>
      <c r="AE2514">
        <v>255</v>
      </c>
      <c r="AF2514">
        <v>760</v>
      </c>
      <c r="AG2514" t="s">
        <v>120</v>
      </c>
      <c r="AH2514">
        <v>0</v>
      </c>
      <c r="AI2514" t="s">
        <v>120</v>
      </c>
      <c r="AJ2514">
        <v>7.24</v>
      </c>
      <c r="AK2514" t="s">
        <v>11551</v>
      </c>
      <c r="AL2514">
        <v>0.38</v>
      </c>
      <c r="AM2514">
        <v>2825</v>
      </c>
      <c r="AN2514">
        <v>47</v>
      </c>
      <c r="AO2514">
        <v>6.9999999999999999E-4</v>
      </c>
      <c r="AP2514">
        <v>-1</v>
      </c>
      <c r="AQ2514">
        <v>1.07</v>
      </c>
      <c r="AR2514">
        <v>0.09</v>
      </c>
      <c r="AS2514">
        <v>3.75</v>
      </c>
      <c r="AT2514">
        <v>-1.63</v>
      </c>
      <c r="AU2514">
        <v>-0.09</v>
      </c>
      <c r="AV2514">
        <v>0</v>
      </c>
      <c r="AW2514">
        <v>2.37</v>
      </c>
      <c r="AX2514">
        <v>78.03</v>
      </c>
      <c r="AY2514" t="s">
        <v>120</v>
      </c>
      <c r="AZ2514" t="s">
        <v>120</v>
      </c>
      <c r="BA2514">
        <v>0.3</v>
      </c>
      <c r="BB2514" t="s">
        <v>143</v>
      </c>
      <c r="BF2514">
        <v>-0.62</v>
      </c>
      <c r="BG2514">
        <v>-0.39</v>
      </c>
      <c r="BH2514">
        <v>-1.73</v>
      </c>
      <c r="BI2514">
        <v>0.79</v>
      </c>
      <c r="BJ2514">
        <v>20210830</v>
      </c>
      <c r="BK2514">
        <v>19971203</v>
      </c>
      <c r="BL2514">
        <v>7.24</v>
      </c>
      <c r="BM2514" t="s">
        <v>120</v>
      </c>
      <c r="BN2514" t="s">
        <v>120</v>
      </c>
      <c r="BO2514">
        <v>176.16</v>
      </c>
      <c r="BP2514">
        <v>10.24</v>
      </c>
      <c r="BQ2514">
        <v>63.61</v>
      </c>
      <c r="BR2514">
        <v>23.02</v>
      </c>
      <c r="BS2514">
        <v>50.82</v>
      </c>
      <c r="BT2514">
        <v>68.36</v>
      </c>
      <c r="BU2514">
        <v>43.08</v>
      </c>
      <c r="BV2514">
        <v>11.16</v>
      </c>
      <c r="BW2514">
        <v>70.650000000000006</v>
      </c>
      <c r="BX2514">
        <v>11.67</v>
      </c>
      <c r="BY2514">
        <v>28.83</v>
      </c>
      <c r="BZ2514">
        <v>16.89</v>
      </c>
      <c r="CA2514">
        <v>0.15</v>
      </c>
      <c r="CB2514">
        <v>17.55</v>
      </c>
      <c r="CC2514">
        <v>35.200000000000003</v>
      </c>
      <c r="CD2514">
        <v>27.41</v>
      </c>
      <c r="CE2514">
        <v>1.23</v>
      </c>
      <c r="CF2514">
        <v>0</v>
      </c>
      <c r="CG2514">
        <v>1.29</v>
      </c>
      <c r="CH2514">
        <v>0.67</v>
      </c>
      <c r="CI2514">
        <v>0.34</v>
      </c>
      <c r="CJ2514">
        <v>-0.1</v>
      </c>
      <c r="CK2514">
        <v>0.01</v>
      </c>
      <c r="CL2514">
        <v>37.049999999999997</v>
      </c>
      <c r="CM2514">
        <v>1.74</v>
      </c>
      <c r="CN2514">
        <v>-3.92</v>
      </c>
      <c r="CO2514">
        <v>69694</v>
      </c>
      <c r="CP2514">
        <v>8104</v>
      </c>
      <c r="CQ2514" t="s">
        <v>3146</v>
      </c>
      <c r="CR2514">
        <v>121.43</v>
      </c>
      <c r="CS2514">
        <v>37.770000000000003</v>
      </c>
      <c r="CT2514">
        <v>1.17</v>
      </c>
      <c r="CU2514">
        <v>42.71</v>
      </c>
      <c r="CV2514">
        <v>2.11</v>
      </c>
      <c r="CW2514">
        <v>0</v>
      </c>
      <c r="CX2514" t="s">
        <v>2068</v>
      </c>
      <c r="CY2514">
        <v>8.7899999999999991</v>
      </c>
      <c r="CZ2514">
        <v>0</v>
      </c>
      <c r="DA2514">
        <v>2.4300000000000002</v>
      </c>
      <c r="DB2514">
        <v>5.12</v>
      </c>
      <c r="DC2514">
        <v>0.24</v>
      </c>
      <c r="DD2514">
        <v>36.11</v>
      </c>
      <c r="DE2514" t="s">
        <v>4457</v>
      </c>
      <c r="DF2514">
        <v>22.13</v>
      </c>
      <c r="DG2514">
        <v>3.48</v>
      </c>
      <c r="DH2514">
        <v>0.96</v>
      </c>
      <c r="DI2514">
        <v>7.0000000000000007E-2</v>
      </c>
      <c r="DJ2514">
        <v>8016</v>
      </c>
      <c r="DK2514">
        <v>600138</v>
      </c>
      <c r="DL2514" t="s">
        <v>120</v>
      </c>
      <c r="DM2514" t="s">
        <v>120</v>
      </c>
      <c r="DN2514" t="s">
        <v>120</v>
      </c>
    </row>
    <row r="2515" spans="1:118">
      <c r="A2515" t="str">
        <f>"600141"</f>
        <v>600141</v>
      </c>
      <c r="B2515" t="s">
        <v>11552</v>
      </c>
      <c r="C2515">
        <v>-0.94</v>
      </c>
      <c r="D2515">
        <v>0.12</v>
      </c>
      <c r="E2515">
        <v>-0.73</v>
      </c>
      <c r="F2515">
        <v>7641</v>
      </c>
      <c r="G2515" t="s">
        <v>11553</v>
      </c>
      <c r="H2515">
        <v>461569.68</v>
      </c>
      <c r="I2515">
        <v>7685.29</v>
      </c>
      <c r="J2515" t="s">
        <v>120</v>
      </c>
      <c r="K2515" t="s">
        <v>11554</v>
      </c>
      <c r="L2515">
        <v>9.16</v>
      </c>
      <c r="M2515">
        <v>51.4</v>
      </c>
      <c r="N2515">
        <v>1.1200000000000001</v>
      </c>
      <c r="O2515">
        <v>3.95</v>
      </c>
      <c r="P2515">
        <v>53.94</v>
      </c>
      <c r="Q2515">
        <v>-4.97</v>
      </c>
      <c r="R2515">
        <v>49.31</v>
      </c>
      <c r="S2515">
        <v>51.51</v>
      </c>
      <c r="T2515">
        <v>893922</v>
      </c>
      <c r="U2515">
        <v>51.41</v>
      </c>
      <c r="V2515">
        <v>51.89</v>
      </c>
      <c r="W2515">
        <v>25.21</v>
      </c>
      <c r="X2515" t="s">
        <v>868</v>
      </c>
      <c r="Y2515" t="s">
        <v>763</v>
      </c>
      <c r="Z2515">
        <v>8.92</v>
      </c>
      <c r="AA2515">
        <v>51.63</v>
      </c>
      <c r="AB2515">
        <v>446793</v>
      </c>
      <c r="AC2515">
        <v>447129</v>
      </c>
      <c r="AD2515">
        <v>1</v>
      </c>
      <c r="AE2515">
        <v>328</v>
      </c>
      <c r="AF2515">
        <v>4</v>
      </c>
      <c r="AG2515" t="s">
        <v>120</v>
      </c>
      <c r="AH2515">
        <v>0.22</v>
      </c>
      <c r="AI2515" t="s">
        <v>120</v>
      </c>
      <c r="AJ2515">
        <v>9.76</v>
      </c>
      <c r="AK2515" t="s">
        <v>11555</v>
      </c>
      <c r="AL2515">
        <v>0.4</v>
      </c>
      <c r="AM2515">
        <v>4735</v>
      </c>
      <c r="AN2515">
        <v>189</v>
      </c>
      <c r="AO2515">
        <v>1.9E-3</v>
      </c>
      <c r="AP2515">
        <v>-1</v>
      </c>
      <c r="AQ2515">
        <v>5.9</v>
      </c>
      <c r="AR2515">
        <v>15.38</v>
      </c>
      <c r="AS2515">
        <v>71.39</v>
      </c>
      <c r="AT2515">
        <v>188.77</v>
      </c>
      <c r="AU2515">
        <v>376.8</v>
      </c>
      <c r="AV2515">
        <v>7</v>
      </c>
      <c r="AW2515">
        <v>13.23</v>
      </c>
      <c r="AX2515">
        <v>60.38</v>
      </c>
      <c r="AY2515">
        <v>35.68</v>
      </c>
      <c r="AZ2515">
        <v>93.05</v>
      </c>
      <c r="BA2515">
        <v>1.95</v>
      </c>
      <c r="BB2515" t="s">
        <v>184</v>
      </c>
      <c r="BF2515">
        <v>-0.49</v>
      </c>
      <c r="BG2515">
        <v>-0.21</v>
      </c>
      <c r="BH2515">
        <v>-4.71</v>
      </c>
      <c r="BI2515">
        <v>4.24</v>
      </c>
      <c r="BJ2515">
        <v>20210820</v>
      </c>
      <c r="BK2515">
        <v>19990616</v>
      </c>
      <c r="BL2515">
        <v>11.19</v>
      </c>
      <c r="BM2515" t="s">
        <v>120</v>
      </c>
      <c r="BN2515" t="s">
        <v>120</v>
      </c>
      <c r="BO2515">
        <v>298.64999999999998</v>
      </c>
      <c r="BP2515">
        <v>51.4</v>
      </c>
      <c r="BQ2515">
        <v>104.84</v>
      </c>
      <c r="BR2515">
        <v>14.99</v>
      </c>
      <c r="BS2515">
        <v>59.88</v>
      </c>
      <c r="BT2515">
        <v>63.43</v>
      </c>
      <c r="BU2515">
        <v>148.91</v>
      </c>
      <c r="BV2515">
        <v>19.600000000000001</v>
      </c>
      <c r="BW2515">
        <v>111.65</v>
      </c>
      <c r="BX2515">
        <v>19.37</v>
      </c>
      <c r="BY2515">
        <v>14.04</v>
      </c>
      <c r="BZ2515">
        <v>14.19</v>
      </c>
      <c r="CA2515">
        <v>0.56000000000000005</v>
      </c>
      <c r="CB2515">
        <v>57.52</v>
      </c>
      <c r="CC2515">
        <v>98.53</v>
      </c>
      <c r="CD2515">
        <v>74.14</v>
      </c>
      <c r="CE2515">
        <v>15.14</v>
      </c>
      <c r="CF2515">
        <v>1.29</v>
      </c>
      <c r="CG2515">
        <v>14.3</v>
      </c>
      <c r="CH2515">
        <v>12.24</v>
      </c>
      <c r="CI2515">
        <v>11.41</v>
      </c>
      <c r="CJ2515">
        <v>-0.49</v>
      </c>
      <c r="CK2515">
        <v>11.17</v>
      </c>
      <c r="CL2515">
        <v>33.71</v>
      </c>
      <c r="CM2515">
        <v>15.57</v>
      </c>
      <c r="CN2515">
        <v>-4.0999999999999996</v>
      </c>
      <c r="CO2515">
        <v>34328</v>
      </c>
      <c r="CP2515">
        <v>19680</v>
      </c>
      <c r="CQ2515" t="s">
        <v>11556</v>
      </c>
      <c r="CR2515">
        <v>730.05</v>
      </c>
      <c r="CS2515">
        <v>5.48</v>
      </c>
      <c r="CT2515">
        <v>5.49</v>
      </c>
      <c r="CU2515">
        <v>36.94</v>
      </c>
      <c r="CV2515">
        <v>5.84</v>
      </c>
      <c r="CW2515">
        <v>0.48</v>
      </c>
      <c r="CX2515" t="s">
        <v>9100</v>
      </c>
      <c r="CY2515">
        <v>9.3699999999999992</v>
      </c>
      <c r="CZ2515">
        <v>0</v>
      </c>
      <c r="DA2515">
        <v>5.14</v>
      </c>
      <c r="DB2515">
        <v>3.01</v>
      </c>
      <c r="DC2515">
        <v>1.39</v>
      </c>
      <c r="DD2515">
        <v>35.1</v>
      </c>
      <c r="DE2515" t="s">
        <v>11557</v>
      </c>
      <c r="DF2515">
        <v>24.75</v>
      </c>
      <c r="DG2515">
        <v>15.37</v>
      </c>
      <c r="DH2515">
        <v>11.58</v>
      </c>
      <c r="DI2515">
        <v>2.68</v>
      </c>
      <c r="DJ2515">
        <v>11539</v>
      </c>
      <c r="DK2515">
        <v>600141</v>
      </c>
      <c r="DL2515">
        <v>20210712</v>
      </c>
      <c r="DM2515">
        <v>23.72</v>
      </c>
      <c r="DN2515">
        <v>117.75</v>
      </c>
    </row>
    <row r="2516" spans="1:118">
      <c r="A2516" t="str">
        <f>"600143"</f>
        <v>600143</v>
      </c>
      <c r="B2516" t="s">
        <v>11558</v>
      </c>
      <c r="C2516">
        <v>2.52</v>
      </c>
      <c r="D2516">
        <v>0</v>
      </c>
      <c r="E2516">
        <v>1.68</v>
      </c>
      <c r="F2516">
        <v>10367</v>
      </c>
      <c r="G2516" t="s">
        <v>11559</v>
      </c>
      <c r="H2516">
        <v>158192.69</v>
      </c>
      <c r="I2516">
        <v>1697.73</v>
      </c>
      <c r="J2516" t="s">
        <v>120</v>
      </c>
      <c r="K2516" t="s">
        <v>11560</v>
      </c>
      <c r="L2516">
        <v>3.57</v>
      </c>
      <c r="M2516">
        <v>17.079999999999998</v>
      </c>
      <c r="N2516">
        <v>2.31</v>
      </c>
      <c r="O2516">
        <v>4.9800000000000004</v>
      </c>
      <c r="P2516">
        <v>17.489999999999998</v>
      </c>
      <c r="Q2516">
        <v>1.62</v>
      </c>
      <c r="R2516">
        <v>16.93</v>
      </c>
      <c r="S2516">
        <v>16.940000000000001</v>
      </c>
      <c r="T2516">
        <v>919355</v>
      </c>
      <c r="U2516">
        <v>17.09</v>
      </c>
      <c r="V2516">
        <v>16.66</v>
      </c>
      <c r="W2516">
        <v>13.9</v>
      </c>
      <c r="X2516" t="s">
        <v>2211</v>
      </c>
      <c r="Y2516" t="s">
        <v>547</v>
      </c>
      <c r="Z2516">
        <v>3.36</v>
      </c>
      <c r="AA2516">
        <v>17.21</v>
      </c>
      <c r="AB2516">
        <v>428496</v>
      </c>
      <c r="AC2516">
        <v>490859</v>
      </c>
      <c r="AD2516">
        <v>0.87</v>
      </c>
      <c r="AE2516">
        <v>357</v>
      </c>
      <c r="AF2516">
        <v>530</v>
      </c>
      <c r="AG2516" t="s">
        <v>120</v>
      </c>
      <c r="AH2516">
        <v>0.06</v>
      </c>
      <c r="AI2516" t="s">
        <v>120</v>
      </c>
      <c r="AJ2516">
        <v>25.74</v>
      </c>
      <c r="AK2516" t="s">
        <v>11560</v>
      </c>
      <c r="AL2516">
        <v>3.86</v>
      </c>
      <c r="AM2516">
        <v>4679</v>
      </c>
      <c r="AN2516">
        <v>196</v>
      </c>
      <c r="AO2516">
        <v>8.0000000000000004E-4</v>
      </c>
      <c r="AP2516">
        <v>2</v>
      </c>
      <c r="AQ2516">
        <v>2.59</v>
      </c>
      <c r="AR2516">
        <v>3.45</v>
      </c>
      <c r="AS2516">
        <v>-15.57</v>
      </c>
      <c r="AT2516">
        <v>-19.239999999999998</v>
      </c>
      <c r="AU2516">
        <v>3.27</v>
      </c>
      <c r="AV2516">
        <v>4</v>
      </c>
      <c r="AW2516">
        <v>5.0999999999999996</v>
      </c>
      <c r="AX2516">
        <v>70.02</v>
      </c>
      <c r="AY2516">
        <v>11.41</v>
      </c>
      <c r="AZ2516">
        <v>9.35</v>
      </c>
      <c r="BA2516">
        <v>0.48</v>
      </c>
      <c r="BB2516" t="s">
        <v>751</v>
      </c>
      <c r="BF2516">
        <v>3.28</v>
      </c>
      <c r="BG2516">
        <v>0.83</v>
      </c>
      <c r="BH2516">
        <v>-2.34</v>
      </c>
      <c r="BI2516">
        <v>0.89</v>
      </c>
      <c r="BJ2516">
        <v>20210826</v>
      </c>
      <c r="BK2516">
        <v>20040623</v>
      </c>
      <c r="BL2516">
        <v>25.74</v>
      </c>
      <c r="BM2516" t="s">
        <v>120</v>
      </c>
      <c r="BN2516" t="s">
        <v>120</v>
      </c>
      <c r="BO2516">
        <v>363.53</v>
      </c>
      <c r="BP2516">
        <v>17.079999999999998</v>
      </c>
      <c r="BQ2516">
        <v>148.56</v>
      </c>
      <c r="BR2516">
        <v>1.91</v>
      </c>
      <c r="BS2516">
        <v>58.61</v>
      </c>
      <c r="BT2516">
        <v>166.91</v>
      </c>
      <c r="BU2516">
        <v>113.52</v>
      </c>
      <c r="BV2516">
        <v>25.73</v>
      </c>
      <c r="BW2516">
        <v>105.36</v>
      </c>
      <c r="BX2516">
        <v>45.4</v>
      </c>
      <c r="BY2516">
        <v>45.8</v>
      </c>
      <c r="BZ2516">
        <v>47.44</v>
      </c>
      <c r="CA2516" t="s">
        <v>120</v>
      </c>
      <c r="CB2516">
        <v>29.03</v>
      </c>
      <c r="CC2516">
        <v>192.88</v>
      </c>
      <c r="CD2516">
        <v>154.56</v>
      </c>
      <c r="CE2516">
        <v>19</v>
      </c>
      <c r="CF2516">
        <v>0.2</v>
      </c>
      <c r="CG2516">
        <v>18.86</v>
      </c>
      <c r="CH2516">
        <v>15.88</v>
      </c>
      <c r="CI2516">
        <v>15.81</v>
      </c>
      <c r="CJ2516">
        <v>0.42</v>
      </c>
      <c r="CK2516">
        <v>14.62</v>
      </c>
      <c r="CL2516">
        <v>86.59</v>
      </c>
      <c r="CM2516">
        <v>2.93</v>
      </c>
      <c r="CN2516">
        <v>2.93</v>
      </c>
      <c r="CO2516">
        <v>255039</v>
      </c>
      <c r="CP2516">
        <v>7066</v>
      </c>
      <c r="CQ2516" t="s">
        <v>6305</v>
      </c>
      <c r="CR2516">
        <v>-34.44</v>
      </c>
      <c r="CS2516">
        <v>13.92</v>
      </c>
      <c r="CT2516">
        <v>2.96</v>
      </c>
      <c r="CU2516">
        <v>150.28</v>
      </c>
      <c r="CV2516">
        <v>2.2799999999999998</v>
      </c>
      <c r="CW2516">
        <v>3.6</v>
      </c>
      <c r="CX2516" t="s">
        <v>11561</v>
      </c>
      <c r="CY2516">
        <v>5.77</v>
      </c>
      <c r="CZ2516">
        <v>0</v>
      </c>
      <c r="DA2516">
        <v>1.1299999999999999</v>
      </c>
      <c r="DB2516">
        <v>3.36</v>
      </c>
      <c r="DC2516">
        <v>0.11</v>
      </c>
      <c r="DD2516">
        <v>40.869999999999997</v>
      </c>
      <c r="DE2516" t="s">
        <v>11562</v>
      </c>
      <c r="DF2516">
        <v>19.86</v>
      </c>
      <c r="DG2516">
        <v>9.85</v>
      </c>
      <c r="DH2516">
        <v>8.1999999999999993</v>
      </c>
      <c r="DI2516">
        <v>7.32</v>
      </c>
      <c r="DJ2516">
        <v>10258</v>
      </c>
      <c r="DK2516">
        <v>600143</v>
      </c>
      <c r="DL2516" t="s">
        <v>120</v>
      </c>
      <c r="DM2516" t="s">
        <v>120</v>
      </c>
      <c r="DN2516" t="s">
        <v>120</v>
      </c>
    </row>
    <row r="2517" spans="1:118">
      <c r="A2517" t="str">
        <f>"600148"</f>
        <v>600148</v>
      </c>
      <c r="B2517" t="s">
        <v>11563</v>
      </c>
      <c r="C2517">
        <v>-0.54</v>
      </c>
      <c r="D2517">
        <v>0.31</v>
      </c>
      <c r="E2517">
        <v>0</v>
      </c>
      <c r="F2517">
        <v>245</v>
      </c>
      <c r="G2517" t="s">
        <v>11564</v>
      </c>
      <c r="H2517">
        <v>1286.0999999999999</v>
      </c>
      <c r="I2517">
        <v>3.5</v>
      </c>
      <c r="J2517" t="s">
        <v>120</v>
      </c>
      <c r="K2517" t="s">
        <v>9656</v>
      </c>
      <c r="L2517">
        <v>0.7</v>
      </c>
      <c r="M2517">
        <v>12.9</v>
      </c>
      <c r="N2517">
        <v>0.62</v>
      </c>
      <c r="O2517">
        <v>1.08</v>
      </c>
      <c r="P2517">
        <v>13.11</v>
      </c>
      <c r="Q2517">
        <v>-0.85</v>
      </c>
      <c r="R2517">
        <v>12.86</v>
      </c>
      <c r="S2517">
        <v>12.97</v>
      </c>
      <c r="T2517">
        <v>9901</v>
      </c>
      <c r="U2517">
        <v>12.9</v>
      </c>
      <c r="V2517">
        <v>12.97</v>
      </c>
      <c r="W2517">
        <v>33.15</v>
      </c>
      <c r="X2517" t="s">
        <v>289</v>
      </c>
      <c r="Y2517" t="s">
        <v>290</v>
      </c>
      <c r="Z2517">
        <v>1.93</v>
      </c>
      <c r="AA2517">
        <v>12.99</v>
      </c>
      <c r="AB2517">
        <v>4956</v>
      </c>
      <c r="AC2517">
        <v>4945</v>
      </c>
      <c r="AD2517">
        <v>1</v>
      </c>
      <c r="AE2517">
        <v>3</v>
      </c>
      <c r="AF2517">
        <v>18</v>
      </c>
      <c r="AG2517" t="s">
        <v>120</v>
      </c>
      <c r="AH2517">
        <v>0</v>
      </c>
      <c r="AI2517" t="s">
        <v>120</v>
      </c>
      <c r="AJ2517">
        <v>1.42</v>
      </c>
      <c r="AK2517" t="s">
        <v>9656</v>
      </c>
      <c r="AL2517">
        <v>0.8</v>
      </c>
      <c r="AM2517">
        <v>675</v>
      </c>
      <c r="AN2517">
        <v>15</v>
      </c>
      <c r="AO2517">
        <v>1E-3</v>
      </c>
      <c r="AP2517">
        <v>-3</v>
      </c>
      <c r="AQ2517">
        <v>-0.46</v>
      </c>
      <c r="AR2517">
        <v>-1.98</v>
      </c>
      <c r="AS2517">
        <v>0.08</v>
      </c>
      <c r="AT2517">
        <v>-1.9</v>
      </c>
      <c r="AU2517">
        <v>-10.1</v>
      </c>
      <c r="AV2517">
        <v>0</v>
      </c>
      <c r="AW2517">
        <v>1.54</v>
      </c>
      <c r="AX2517">
        <v>45.42</v>
      </c>
      <c r="AY2517">
        <v>33.770000000000003</v>
      </c>
      <c r="AZ2517">
        <v>32.08</v>
      </c>
      <c r="BA2517">
        <v>0.45</v>
      </c>
      <c r="BB2517" t="s">
        <v>125</v>
      </c>
      <c r="BF2517">
        <v>0.15</v>
      </c>
      <c r="BG2517">
        <v>-0.54</v>
      </c>
      <c r="BH2517">
        <v>-1.6</v>
      </c>
      <c r="BI2517">
        <v>0.31</v>
      </c>
      <c r="BJ2517">
        <v>20210819</v>
      </c>
      <c r="BK2517">
        <v>19980520</v>
      </c>
      <c r="BL2517">
        <v>1.42</v>
      </c>
      <c r="BM2517" t="s">
        <v>120</v>
      </c>
      <c r="BN2517" t="s">
        <v>120</v>
      </c>
      <c r="BO2517">
        <v>15.54</v>
      </c>
      <c r="BP2517">
        <v>12.87</v>
      </c>
      <c r="BQ2517">
        <v>5.0999999999999996</v>
      </c>
      <c r="BR2517">
        <v>1.47</v>
      </c>
      <c r="BS2517">
        <v>57.77</v>
      </c>
      <c r="BT2517">
        <v>13.22</v>
      </c>
      <c r="BU2517">
        <v>1.81</v>
      </c>
      <c r="BV2517">
        <v>0.28000000000000003</v>
      </c>
      <c r="BW2517">
        <v>7.91</v>
      </c>
      <c r="BX2517">
        <v>1.82</v>
      </c>
      <c r="BY2517">
        <v>2.76</v>
      </c>
      <c r="BZ2517">
        <v>4.47</v>
      </c>
      <c r="CA2517" t="s">
        <v>120</v>
      </c>
      <c r="CB2517">
        <v>0.89</v>
      </c>
      <c r="CC2517">
        <v>7.27</v>
      </c>
      <c r="CD2517">
        <v>5.35</v>
      </c>
      <c r="CE2517">
        <v>0.46</v>
      </c>
      <c r="CF2517">
        <v>0</v>
      </c>
      <c r="CG2517">
        <v>0.46</v>
      </c>
      <c r="CH2517">
        <v>0.41</v>
      </c>
      <c r="CI2517">
        <v>0.28000000000000003</v>
      </c>
      <c r="CJ2517">
        <v>-7.0000000000000007E-2</v>
      </c>
      <c r="CK2517">
        <v>0.25</v>
      </c>
      <c r="CL2517">
        <v>2.33</v>
      </c>
      <c r="CM2517">
        <v>-0.52</v>
      </c>
      <c r="CN2517">
        <v>-0.52</v>
      </c>
      <c r="CO2517">
        <v>19217</v>
      </c>
      <c r="CP2517">
        <v>3345</v>
      </c>
      <c r="CQ2517" t="s">
        <v>223</v>
      </c>
      <c r="CR2517">
        <v>-9.41</v>
      </c>
      <c r="CS2517">
        <v>28.43</v>
      </c>
      <c r="CT2517">
        <v>3.58</v>
      </c>
      <c r="CU2517">
        <v>-35.28</v>
      </c>
      <c r="CV2517">
        <v>2.5099999999999998</v>
      </c>
      <c r="CW2517">
        <v>1.39</v>
      </c>
      <c r="CX2517" t="s">
        <v>6828</v>
      </c>
      <c r="CY2517">
        <v>3.6</v>
      </c>
      <c r="CZ2517">
        <v>0</v>
      </c>
      <c r="DA2517">
        <v>0.63</v>
      </c>
      <c r="DB2517">
        <v>1.65</v>
      </c>
      <c r="DC2517">
        <v>-0.37</v>
      </c>
      <c r="DD2517">
        <v>32.799999999999997</v>
      </c>
      <c r="DE2517" t="s">
        <v>4153</v>
      </c>
      <c r="DF2517">
        <v>26.42</v>
      </c>
      <c r="DG2517">
        <v>6.35</v>
      </c>
      <c r="DH2517">
        <v>3.79</v>
      </c>
      <c r="DI2517">
        <v>0.28000000000000003</v>
      </c>
      <c r="DJ2517">
        <v>779</v>
      </c>
      <c r="DK2517">
        <v>600148</v>
      </c>
      <c r="DL2517" t="s">
        <v>120</v>
      </c>
      <c r="DM2517" t="s">
        <v>120</v>
      </c>
      <c r="DN2517" t="s">
        <v>120</v>
      </c>
    </row>
    <row r="2518" spans="1:118">
      <c r="A2518" t="str">
        <f>"600149"</f>
        <v>600149</v>
      </c>
      <c r="B2518" t="s">
        <v>11565</v>
      </c>
      <c r="C2518">
        <v>-0.2</v>
      </c>
      <c r="D2518">
        <v>-0.19</v>
      </c>
      <c r="E2518">
        <v>0</v>
      </c>
      <c r="F2518">
        <v>142</v>
      </c>
      <c r="G2518" t="s">
        <v>5746</v>
      </c>
      <c r="H2518">
        <v>2094.75</v>
      </c>
      <c r="I2518">
        <v>4.09</v>
      </c>
      <c r="J2518" t="s">
        <v>120</v>
      </c>
      <c r="K2518" t="s">
        <v>5306</v>
      </c>
      <c r="L2518">
        <v>1.07</v>
      </c>
      <c r="M2518">
        <v>5.0999999999999996</v>
      </c>
      <c r="N2518">
        <v>0.98</v>
      </c>
      <c r="O2518">
        <v>1.76</v>
      </c>
      <c r="P2518">
        <v>5.2</v>
      </c>
      <c r="Q2518">
        <v>-0.59</v>
      </c>
      <c r="R2518">
        <v>5.08</v>
      </c>
      <c r="S2518">
        <v>5.1100000000000003</v>
      </c>
      <c r="T2518">
        <v>40730</v>
      </c>
      <c r="U2518">
        <v>5.1100000000000003</v>
      </c>
      <c r="V2518">
        <v>5.1100000000000003</v>
      </c>
      <c r="W2518" t="s">
        <v>120</v>
      </c>
      <c r="X2518" t="s">
        <v>166</v>
      </c>
      <c r="Y2518" t="s">
        <v>602</v>
      </c>
      <c r="Z2518">
        <v>2.35</v>
      </c>
      <c r="AA2518">
        <v>5.14</v>
      </c>
      <c r="AB2518">
        <v>22631</v>
      </c>
      <c r="AC2518">
        <v>18099</v>
      </c>
      <c r="AD2518">
        <v>1.25</v>
      </c>
      <c r="AE2518">
        <v>125</v>
      </c>
      <c r="AF2518">
        <v>325</v>
      </c>
      <c r="AG2518" t="s">
        <v>120</v>
      </c>
      <c r="AH2518">
        <v>0</v>
      </c>
      <c r="AI2518" t="s">
        <v>120</v>
      </c>
      <c r="AJ2518">
        <v>3.8</v>
      </c>
      <c r="AK2518" t="s">
        <v>5306</v>
      </c>
      <c r="AL2518">
        <v>1.1499999999999999</v>
      </c>
      <c r="AM2518">
        <v>960</v>
      </c>
      <c r="AN2518">
        <v>42</v>
      </c>
      <c r="AO2518">
        <v>1.1000000000000001E-3</v>
      </c>
      <c r="AP2518">
        <v>-1</v>
      </c>
      <c r="AQ2518">
        <v>0.59</v>
      </c>
      <c r="AR2518">
        <v>1.6</v>
      </c>
      <c r="AS2518">
        <v>8.98</v>
      </c>
      <c r="AT2518">
        <v>-2.48</v>
      </c>
      <c r="AU2518">
        <v>7.37</v>
      </c>
      <c r="AV2518">
        <v>6</v>
      </c>
      <c r="AW2518">
        <v>1.66</v>
      </c>
      <c r="AX2518">
        <v>64.7</v>
      </c>
      <c r="AY2518">
        <v>260.36</v>
      </c>
      <c r="AZ2518">
        <v>179.71</v>
      </c>
      <c r="BA2518">
        <v>0.43</v>
      </c>
      <c r="BB2518" t="s">
        <v>143</v>
      </c>
      <c r="BF2518">
        <v>0.65</v>
      </c>
      <c r="BG2518">
        <v>-0.2</v>
      </c>
      <c r="BH2518">
        <v>-1.92</v>
      </c>
      <c r="BI2518">
        <v>0.39</v>
      </c>
      <c r="BJ2518">
        <v>20210830</v>
      </c>
      <c r="BK2518">
        <v>19991014</v>
      </c>
      <c r="BL2518">
        <v>3.8</v>
      </c>
      <c r="BM2518" t="s">
        <v>120</v>
      </c>
      <c r="BN2518" t="s">
        <v>120</v>
      </c>
      <c r="BO2518">
        <v>5.84</v>
      </c>
      <c r="BP2518">
        <v>5.0999999999999996</v>
      </c>
      <c r="BQ2518">
        <v>1.63</v>
      </c>
      <c r="BR2518">
        <v>0.92</v>
      </c>
      <c r="BS2518">
        <v>56.38</v>
      </c>
      <c r="BT2518">
        <v>1.07</v>
      </c>
      <c r="BU2518">
        <v>2.56</v>
      </c>
      <c r="BV2518">
        <v>0.15</v>
      </c>
      <c r="BW2518">
        <v>1.23</v>
      </c>
      <c r="BX2518">
        <v>0.56000000000000005</v>
      </c>
      <c r="BY2518">
        <v>0.04</v>
      </c>
      <c r="BZ2518">
        <v>0.12</v>
      </c>
      <c r="CA2518" t="s">
        <v>120</v>
      </c>
      <c r="CB2518">
        <v>0.6</v>
      </c>
      <c r="CC2518">
        <v>0.85</v>
      </c>
      <c r="CD2518">
        <v>0.7</v>
      </c>
      <c r="CE2518">
        <v>0.01</v>
      </c>
      <c r="CF2518">
        <v>0</v>
      </c>
      <c r="CG2518">
        <v>0.01</v>
      </c>
      <c r="CH2518">
        <v>-0.01</v>
      </c>
      <c r="CI2518">
        <v>-0.06</v>
      </c>
      <c r="CJ2518">
        <v>-0.01</v>
      </c>
      <c r="CK2518">
        <v>-0.06</v>
      </c>
      <c r="CL2518">
        <v>-3.19</v>
      </c>
      <c r="CM2518">
        <v>-0.48</v>
      </c>
      <c r="CN2518">
        <v>-0.52</v>
      </c>
      <c r="CO2518">
        <v>31002</v>
      </c>
      <c r="CP2518">
        <v>7933</v>
      </c>
      <c r="CQ2518" t="s">
        <v>1306</v>
      </c>
      <c r="CR2518">
        <v>-140.03</v>
      </c>
      <c r="CS2518">
        <v>-6.01</v>
      </c>
      <c r="CT2518">
        <v>11.91</v>
      </c>
      <c r="CU2518">
        <v>-40.14</v>
      </c>
      <c r="CV2518">
        <v>22.84</v>
      </c>
      <c r="CW2518">
        <v>0</v>
      </c>
      <c r="CX2518" t="s">
        <v>1312</v>
      </c>
      <c r="CY2518">
        <v>0.43</v>
      </c>
      <c r="CZ2518">
        <v>0</v>
      </c>
      <c r="DA2518">
        <v>0.16</v>
      </c>
      <c r="DB2518">
        <v>-0.84</v>
      </c>
      <c r="DC2518">
        <v>-0.13</v>
      </c>
      <c r="DD2518">
        <v>27.85</v>
      </c>
      <c r="DE2518" t="s">
        <v>11566</v>
      </c>
      <c r="DF2518">
        <v>17.309999999999999</v>
      </c>
      <c r="DG2518">
        <v>1.66</v>
      </c>
      <c r="DH2518">
        <v>-6.76</v>
      </c>
      <c r="DI2518" t="s">
        <v>120</v>
      </c>
      <c r="DJ2518">
        <v>130</v>
      </c>
      <c r="DK2518">
        <v>600149</v>
      </c>
      <c r="DL2518" t="s">
        <v>120</v>
      </c>
      <c r="DM2518" t="s">
        <v>120</v>
      </c>
      <c r="DN2518" t="s">
        <v>120</v>
      </c>
    </row>
    <row r="2519" spans="1:118">
      <c r="A2519" t="str">
        <f>"600150"</f>
        <v>600150</v>
      </c>
      <c r="B2519" t="s">
        <v>11567</v>
      </c>
      <c r="C2519">
        <v>0.28000000000000003</v>
      </c>
      <c r="D2519">
        <v>0.04</v>
      </c>
      <c r="E2519">
        <v>0.45</v>
      </c>
      <c r="F2519">
        <v>13287</v>
      </c>
      <c r="G2519" t="s">
        <v>11568</v>
      </c>
      <c r="H2519">
        <v>299011.81</v>
      </c>
      <c r="I2519">
        <v>1729.04</v>
      </c>
      <c r="J2519" t="s">
        <v>120</v>
      </c>
      <c r="K2519" t="s">
        <v>11569</v>
      </c>
      <c r="L2519">
        <v>4.88</v>
      </c>
      <c r="M2519">
        <v>24.71</v>
      </c>
      <c r="N2519">
        <v>0.77</v>
      </c>
      <c r="O2519">
        <v>4.22</v>
      </c>
      <c r="P2519">
        <v>25.68</v>
      </c>
      <c r="Q2519">
        <v>-0.53</v>
      </c>
      <c r="R2519">
        <v>24.51</v>
      </c>
      <c r="S2519">
        <v>24.75</v>
      </c>
      <c r="T2519">
        <v>1193129</v>
      </c>
      <c r="U2519">
        <v>24.72</v>
      </c>
      <c r="V2519">
        <v>24.64</v>
      </c>
      <c r="W2519">
        <v>212.68</v>
      </c>
      <c r="X2519" t="s">
        <v>7408</v>
      </c>
      <c r="Y2519" t="s">
        <v>1510</v>
      </c>
      <c r="Z2519">
        <v>4.75</v>
      </c>
      <c r="AA2519">
        <v>25.06</v>
      </c>
      <c r="AB2519">
        <v>602313</v>
      </c>
      <c r="AC2519">
        <v>590816</v>
      </c>
      <c r="AD2519">
        <v>1.02</v>
      </c>
      <c r="AE2519">
        <v>1699</v>
      </c>
      <c r="AF2519">
        <v>97</v>
      </c>
      <c r="AG2519" t="s">
        <v>120</v>
      </c>
      <c r="AH2519">
        <v>0.04</v>
      </c>
      <c r="AI2519" t="s">
        <v>120</v>
      </c>
      <c r="AJ2519">
        <v>24.43</v>
      </c>
      <c r="AK2519" t="s">
        <v>11570</v>
      </c>
      <c r="AL2519">
        <v>1.63</v>
      </c>
      <c r="AM2519">
        <v>4738</v>
      </c>
      <c r="AN2519">
        <v>252</v>
      </c>
      <c r="AO2519">
        <v>1E-3</v>
      </c>
      <c r="AP2519">
        <v>1</v>
      </c>
      <c r="AQ2519">
        <v>-1.87</v>
      </c>
      <c r="AR2519">
        <v>-6.99</v>
      </c>
      <c r="AS2519">
        <v>38.35</v>
      </c>
      <c r="AT2519">
        <v>44.71</v>
      </c>
      <c r="AU2519">
        <v>39.96</v>
      </c>
      <c r="AV2519">
        <v>6</v>
      </c>
      <c r="AW2519">
        <v>6.87</v>
      </c>
      <c r="AX2519">
        <v>38.86</v>
      </c>
      <c r="AY2519">
        <v>260.95</v>
      </c>
      <c r="AZ2519">
        <v>360.37</v>
      </c>
      <c r="BA2519">
        <v>0.67</v>
      </c>
      <c r="BB2519" t="s">
        <v>240</v>
      </c>
      <c r="BF2519">
        <v>1.71</v>
      </c>
      <c r="BG2519">
        <v>-0.16</v>
      </c>
      <c r="BH2519">
        <v>-3.78</v>
      </c>
      <c r="BI2519">
        <v>0.82</v>
      </c>
      <c r="BJ2519">
        <v>20210828</v>
      </c>
      <c r="BK2519">
        <v>19980520</v>
      </c>
      <c r="BL2519">
        <v>44.72</v>
      </c>
      <c r="BM2519" t="s">
        <v>120</v>
      </c>
      <c r="BN2519" t="s">
        <v>120</v>
      </c>
      <c r="BO2519">
        <v>1599.29</v>
      </c>
      <c r="BP2519">
        <v>24.71</v>
      </c>
      <c r="BQ2519">
        <v>460.22</v>
      </c>
      <c r="BR2519">
        <v>69.69</v>
      </c>
      <c r="BS2519">
        <v>66.87</v>
      </c>
      <c r="BT2519">
        <v>1181</v>
      </c>
      <c r="BU2519">
        <v>224.75</v>
      </c>
      <c r="BV2519">
        <v>42.54</v>
      </c>
      <c r="BW2519">
        <v>936.5</v>
      </c>
      <c r="BX2519">
        <v>538.94000000000005</v>
      </c>
      <c r="BY2519">
        <v>331.06</v>
      </c>
      <c r="BZ2519">
        <v>53.75</v>
      </c>
      <c r="CA2519">
        <v>15.65</v>
      </c>
      <c r="CB2519">
        <v>337.6</v>
      </c>
      <c r="CC2519">
        <v>271.02</v>
      </c>
      <c r="CD2519">
        <v>243.22</v>
      </c>
      <c r="CE2519">
        <v>1.8</v>
      </c>
      <c r="CF2519">
        <v>0.42</v>
      </c>
      <c r="CG2519">
        <v>2.2599999999999998</v>
      </c>
      <c r="CH2519">
        <v>1.83</v>
      </c>
      <c r="CI2519">
        <v>2.6</v>
      </c>
      <c r="CJ2519">
        <v>7.0000000000000007E-2</v>
      </c>
      <c r="CK2519">
        <v>-1.78</v>
      </c>
      <c r="CL2519">
        <v>65.38</v>
      </c>
      <c r="CM2519">
        <v>-10.02</v>
      </c>
      <c r="CN2519">
        <v>-61.34</v>
      </c>
      <c r="CO2519">
        <v>155638</v>
      </c>
      <c r="CP2519">
        <v>11167</v>
      </c>
      <c r="CQ2519" t="s">
        <v>8284</v>
      </c>
      <c r="CR2519">
        <v>81.3</v>
      </c>
      <c r="CS2519">
        <v>14.18</v>
      </c>
      <c r="CT2519">
        <v>2.4</v>
      </c>
      <c r="CU2519">
        <v>-110.24</v>
      </c>
      <c r="CV2519">
        <v>4.08</v>
      </c>
      <c r="CW2519">
        <v>0.14000000000000001</v>
      </c>
      <c r="CX2519" t="s">
        <v>1064</v>
      </c>
      <c r="CY2519">
        <v>10.29</v>
      </c>
      <c r="CZ2519">
        <v>0</v>
      </c>
      <c r="DA2519">
        <v>7.55</v>
      </c>
      <c r="DB2519">
        <v>1.46</v>
      </c>
      <c r="DC2519">
        <v>-0.22</v>
      </c>
      <c r="DD2519">
        <v>28.78</v>
      </c>
      <c r="DE2519" t="s">
        <v>9583</v>
      </c>
      <c r="DF2519">
        <v>10.26</v>
      </c>
      <c r="DG2519">
        <v>0.67</v>
      </c>
      <c r="DH2519">
        <v>0.96</v>
      </c>
      <c r="DI2519">
        <v>14.78</v>
      </c>
      <c r="DJ2519">
        <v>20284</v>
      </c>
      <c r="DK2519">
        <v>600150</v>
      </c>
      <c r="DL2519">
        <v>20210830</v>
      </c>
      <c r="DM2519">
        <v>22.25</v>
      </c>
      <c r="DN2519">
        <v>11.06</v>
      </c>
    </row>
    <row r="2520" spans="1:118">
      <c r="A2520" t="str">
        <f>"600151"</f>
        <v>600151</v>
      </c>
      <c r="B2520" t="s">
        <v>11571</v>
      </c>
      <c r="C2520">
        <v>-1.1499999999999999</v>
      </c>
      <c r="D2520">
        <v>0</v>
      </c>
      <c r="E2520">
        <v>0.38</v>
      </c>
      <c r="F2520">
        <v>1151</v>
      </c>
      <c r="G2520" t="s">
        <v>11572</v>
      </c>
      <c r="H2520">
        <v>37468.300000000003</v>
      </c>
      <c r="I2520">
        <v>43.07</v>
      </c>
      <c r="J2520" t="s">
        <v>120</v>
      </c>
      <c r="K2520" t="s">
        <v>11573</v>
      </c>
      <c r="L2520">
        <v>2.46</v>
      </c>
      <c r="M2520">
        <v>10.32</v>
      </c>
      <c r="N2520">
        <v>1.53</v>
      </c>
      <c r="O2520">
        <v>5.27</v>
      </c>
      <c r="P2520">
        <v>10.99</v>
      </c>
      <c r="Q2520">
        <v>-1.63</v>
      </c>
      <c r="R2520">
        <v>10.27</v>
      </c>
      <c r="S2520">
        <v>10.48</v>
      </c>
      <c r="T2520">
        <v>352374</v>
      </c>
      <c r="U2520">
        <v>10.34</v>
      </c>
      <c r="V2520">
        <v>10.44</v>
      </c>
      <c r="W2520" t="s">
        <v>120</v>
      </c>
      <c r="X2520" t="s">
        <v>289</v>
      </c>
      <c r="Y2520" t="s">
        <v>1510</v>
      </c>
      <c r="Z2520">
        <v>6.9</v>
      </c>
      <c r="AA2520">
        <v>10.63</v>
      </c>
      <c r="AB2520">
        <v>186412</v>
      </c>
      <c r="AC2520">
        <v>165962</v>
      </c>
      <c r="AD2520">
        <v>1.1200000000000001</v>
      </c>
      <c r="AE2520">
        <v>248</v>
      </c>
      <c r="AF2520">
        <v>36</v>
      </c>
      <c r="AG2520" t="s">
        <v>120</v>
      </c>
      <c r="AH2520">
        <v>0</v>
      </c>
      <c r="AI2520" t="s">
        <v>120</v>
      </c>
      <c r="AJ2520">
        <v>14.34</v>
      </c>
      <c r="AK2520" t="s">
        <v>11573</v>
      </c>
      <c r="AL2520">
        <v>0.19</v>
      </c>
      <c r="AM2520">
        <v>3895</v>
      </c>
      <c r="AN2520">
        <v>90</v>
      </c>
      <c r="AO2520">
        <v>5.9999999999999995E-4</v>
      </c>
      <c r="AP2520">
        <v>-1</v>
      </c>
      <c r="AQ2520">
        <v>3.47</v>
      </c>
      <c r="AR2520">
        <v>1.28</v>
      </c>
      <c r="AS2520">
        <v>-3.73</v>
      </c>
      <c r="AT2520">
        <v>6.39</v>
      </c>
      <c r="AU2520">
        <v>19.3</v>
      </c>
      <c r="AV2520">
        <v>4</v>
      </c>
      <c r="AW2520">
        <v>3.95</v>
      </c>
      <c r="AX2520">
        <v>62.28</v>
      </c>
      <c r="AY2520">
        <v>56.95</v>
      </c>
      <c r="AZ2520">
        <v>87.31</v>
      </c>
      <c r="BA2520">
        <v>1.03</v>
      </c>
      <c r="BB2520" t="s">
        <v>143</v>
      </c>
      <c r="BF2520">
        <v>1.85</v>
      </c>
      <c r="BG2520">
        <v>-1.53</v>
      </c>
      <c r="BH2520">
        <v>-6.1</v>
      </c>
      <c r="BI2520">
        <v>0.49</v>
      </c>
      <c r="BJ2520">
        <v>20210902</v>
      </c>
      <c r="BK2520">
        <v>19980605</v>
      </c>
      <c r="BL2520">
        <v>14.34</v>
      </c>
      <c r="BM2520" t="s">
        <v>120</v>
      </c>
      <c r="BN2520" t="s">
        <v>120</v>
      </c>
      <c r="BO2520">
        <v>105.3</v>
      </c>
      <c r="BP2520">
        <v>10.32</v>
      </c>
      <c r="BQ2520">
        <v>53.99</v>
      </c>
      <c r="BR2520">
        <v>4.54</v>
      </c>
      <c r="BS2520">
        <v>44.41</v>
      </c>
      <c r="BT2520">
        <v>38.43</v>
      </c>
      <c r="BU2520">
        <v>37.590000000000003</v>
      </c>
      <c r="BV2520">
        <v>2.9</v>
      </c>
      <c r="BW2520">
        <v>35.119999999999997</v>
      </c>
      <c r="BX2520">
        <v>8.08</v>
      </c>
      <c r="BY2520">
        <v>8.75</v>
      </c>
      <c r="BZ2520">
        <v>15.38</v>
      </c>
      <c r="CA2520" t="s">
        <v>120</v>
      </c>
      <c r="CB2520">
        <v>48.68</v>
      </c>
      <c r="CC2520">
        <v>27.75</v>
      </c>
      <c r="CD2520">
        <v>25.09</v>
      </c>
      <c r="CE2520">
        <v>-0.17</v>
      </c>
      <c r="CF2520">
        <v>0.15</v>
      </c>
      <c r="CG2520">
        <v>-0.28999999999999998</v>
      </c>
      <c r="CH2520">
        <v>-0.21</v>
      </c>
      <c r="CI2520">
        <v>-0.11</v>
      </c>
      <c r="CJ2520">
        <v>-0.12</v>
      </c>
      <c r="CK2520">
        <v>-0.13</v>
      </c>
      <c r="CL2520">
        <v>-11.21</v>
      </c>
      <c r="CM2520">
        <v>-0.2</v>
      </c>
      <c r="CN2520">
        <v>-1.73</v>
      </c>
      <c r="CO2520">
        <v>81852</v>
      </c>
      <c r="CP2520">
        <v>10912</v>
      </c>
      <c r="CQ2520" t="s">
        <v>11574</v>
      </c>
      <c r="CR2520">
        <v>89.17</v>
      </c>
      <c r="CS2520">
        <v>-1.77</v>
      </c>
      <c r="CT2520">
        <v>2.74</v>
      </c>
      <c r="CU2520">
        <v>-728.44</v>
      </c>
      <c r="CV2520">
        <v>5.33</v>
      </c>
      <c r="CW2520">
        <v>0</v>
      </c>
      <c r="CX2520" t="s">
        <v>11575</v>
      </c>
      <c r="CY2520">
        <v>3.76</v>
      </c>
      <c r="CZ2520">
        <v>0</v>
      </c>
      <c r="DA2520">
        <v>3.39</v>
      </c>
      <c r="DB2520">
        <v>-0.78</v>
      </c>
      <c r="DC2520">
        <v>-0.01</v>
      </c>
      <c r="DD2520">
        <v>51.28</v>
      </c>
      <c r="DE2520" t="s">
        <v>11576</v>
      </c>
      <c r="DF2520">
        <v>9.57</v>
      </c>
      <c r="DG2520">
        <v>-0.6</v>
      </c>
      <c r="DH2520">
        <v>-0.4</v>
      </c>
      <c r="DI2520">
        <v>0.91</v>
      </c>
      <c r="DJ2520">
        <v>2490</v>
      </c>
      <c r="DK2520">
        <v>600151</v>
      </c>
      <c r="DL2520" t="s">
        <v>120</v>
      </c>
      <c r="DM2520" t="s">
        <v>120</v>
      </c>
      <c r="DN2520" t="s">
        <v>120</v>
      </c>
    </row>
    <row r="2521" spans="1:118">
      <c r="A2521" t="str">
        <f>"600152"</f>
        <v>600152</v>
      </c>
      <c r="B2521" t="s">
        <v>11577</v>
      </c>
      <c r="C2521">
        <v>-3.77</v>
      </c>
      <c r="D2521">
        <v>0</v>
      </c>
      <c r="E2521">
        <v>-0.13</v>
      </c>
      <c r="F2521">
        <v>1332</v>
      </c>
      <c r="G2521" t="s">
        <v>7079</v>
      </c>
      <c r="H2521">
        <v>7901.92</v>
      </c>
      <c r="I2521">
        <v>19.93</v>
      </c>
      <c r="J2521" t="s">
        <v>120</v>
      </c>
      <c r="K2521" t="s">
        <v>11578</v>
      </c>
      <c r="L2521">
        <v>2.4500000000000002</v>
      </c>
      <c r="M2521">
        <v>7.65</v>
      </c>
      <c r="N2521">
        <v>1.5</v>
      </c>
      <c r="O2521">
        <v>1.51</v>
      </c>
      <c r="P2521">
        <v>8.07</v>
      </c>
      <c r="Q2521">
        <v>-4.03</v>
      </c>
      <c r="R2521">
        <v>7.63</v>
      </c>
      <c r="S2521">
        <v>7.94</v>
      </c>
      <c r="T2521">
        <v>100944</v>
      </c>
      <c r="U2521">
        <v>7.65</v>
      </c>
      <c r="V2521">
        <v>7.95</v>
      </c>
      <c r="W2521">
        <v>304.8</v>
      </c>
      <c r="X2521" t="s">
        <v>394</v>
      </c>
      <c r="Y2521" t="s">
        <v>585</v>
      </c>
      <c r="Z2521">
        <v>5.53</v>
      </c>
      <c r="AA2521">
        <v>7.83</v>
      </c>
      <c r="AB2521">
        <v>61379</v>
      </c>
      <c r="AC2521">
        <v>39565</v>
      </c>
      <c r="AD2521">
        <v>1.55</v>
      </c>
      <c r="AE2521">
        <v>330</v>
      </c>
      <c r="AF2521">
        <v>456</v>
      </c>
      <c r="AG2521" t="s">
        <v>120</v>
      </c>
      <c r="AH2521">
        <v>0.01</v>
      </c>
      <c r="AI2521" t="s">
        <v>120</v>
      </c>
      <c r="AJ2521">
        <v>4.1100000000000003</v>
      </c>
      <c r="AK2521" t="s">
        <v>2843</v>
      </c>
      <c r="AL2521">
        <v>-2.4300000000000002</v>
      </c>
      <c r="AM2521">
        <v>2142</v>
      </c>
      <c r="AN2521">
        <v>47</v>
      </c>
      <c r="AO2521">
        <v>1.1000000000000001E-3</v>
      </c>
      <c r="AP2521">
        <v>-1</v>
      </c>
      <c r="AQ2521">
        <v>2.19</v>
      </c>
      <c r="AR2521">
        <v>-1.92</v>
      </c>
      <c r="AS2521">
        <v>-14.33</v>
      </c>
      <c r="AT2521">
        <v>1.6</v>
      </c>
      <c r="AU2521">
        <v>4.51</v>
      </c>
      <c r="AV2521">
        <v>5</v>
      </c>
      <c r="AW2521">
        <v>4.7300000000000004</v>
      </c>
      <c r="AX2521">
        <v>40.619999999999997</v>
      </c>
      <c r="AY2521">
        <v>193.73</v>
      </c>
      <c r="AZ2521">
        <v>85.06</v>
      </c>
      <c r="BA2521">
        <v>0.56999999999999995</v>
      </c>
      <c r="BB2521" t="s">
        <v>168</v>
      </c>
      <c r="BF2521">
        <v>-1.53</v>
      </c>
      <c r="BG2521">
        <v>-3.65</v>
      </c>
      <c r="BH2521">
        <v>-5.2</v>
      </c>
      <c r="BI2521">
        <v>0.26</v>
      </c>
      <c r="BJ2521">
        <v>20210828</v>
      </c>
      <c r="BK2521">
        <v>19980609</v>
      </c>
      <c r="BL2521">
        <v>5.26</v>
      </c>
      <c r="BM2521" t="s">
        <v>120</v>
      </c>
      <c r="BN2521" t="s">
        <v>120</v>
      </c>
      <c r="BO2521">
        <v>36.22</v>
      </c>
      <c r="BP2521">
        <v>7.64</v>
      </c>
      <c r="BQ2521">
        <v>14.32</v>
      </c>
      <c r="BR2521">
        <v>0.02</v>
      </c>
      <c r="BS2521">
        <v>60.39</v>
      </c>
      <c r="BT2521">
        <v>21.4</v>
      </c>
      <c r="BU2521">
        <v>5.65</v>
      </c>
      <c r="BV2521">
        <v>0.83</v>
      </c>
      <c r="BW2521">
        <v>19.78</v>
      </c>
      <c r="BX2521">
        <v>5.21</v>
      </c>
      <c r="BY2521">
        <v>6.38</v>
      </c>
      <c r="BZ2521">
        <v>5.5</v>
      </c>
      <c r="CA2521">
        <v>0.02</v>
      </c>
      <c r="CB2521">
        <v>9.0399999999999991</v>
      </c>
      <c r="CC2521">
        <v>9.26</v>
      </c>
      <c r="CD2521">
        <v>7.96</v>
      </c>
      <c r="CE2521">
        <v>0.04</v>
      </c>
      <c r="CF2521">
        <v>-0.02</v>
      </c>
      <c r="CG2521">
        <v>0.02</v>
      </c>
      <c r="CH2521">
        <v>0.05</v>
      </c>
      <c r="CI2521">
        <v>7.0000000000000007E-2</v>
      </c>
      <c r="CJ2521">
        <v>-0.3</v>
      </c>
      <c r="CK2521">
        <v>-0.11</v>
      </c>
      <c r="CL2521">
        <v>-0.18</v>
      </c>
      <c r="CM2521">
        <v>0.1</v>
      </c>
      <c r="CN2521">
        <v>-1.3</v>
      </c>
      <c r="CO2521">
        <v>30011</v>
      </c>
      <c r="CP2521">
        <v>7116</v>
      </c>
      <c r="CQ2521" t="s">
        <v>11579</v>
      </c>
      <c r="CR2521">
        <v>-80.69</v>
      </c>
      <c r="CS2521">
        <v>47.49</v>
      </c>
      <c r="CT2521">
        <v>2.2000000000000002</v>
      </c>
      <c r="CU2521">
        <v>417.96</v>
      </c>
      <c r="CV2521">
        <v>4.3499999999999996</v>
      </c>
      <c r="CW2521">
        <v>0</v>
      </c>
      <c r="CX2521" t="s">
        <v>499</v>
      </c>
      <c r="CY2521">
        <v>3.48</v>
      </c>
      <c r="CZ2521">
        <v>3.48</v>
      </c>
      <c r="DA2521">
        <v>1.72</v>
      </c>
      <c r="DB2521">
        <v>-0.03</v>
      </c>
      <c r="DC2521">
        <v>0.02</v>
      </c>
      <c r="DD2521">
        <v>39.54</v>
      </c>
      <c r="DE2521" t="s">
        <v>2560</v>
      </c>
      <c r="DF2521">
        <v>14.01</v>
      </c>
      <c r="DG2521">
        <v>0.41</v>
      </c>
      <c r="DH2521">
        <v>0.71</v>
      </c>
      <c r="DI2521">
        <v>0.53</v>
      </c>
      <c r="DJ2521">
        <v>2513</v>
      </c>
      <c r="DK2521">
        <v>600152</v>
      </c>
      <c r="DL2521" t="s">
        <v>120</v>
      </c>
      <c r="DM2521" t="s">
        <v>120</v>
      </c>
      <c r="DN2521" t="s">
        <v>120</v>
      </c>
    </row>
    <row r="2522" spans="1:118">
      <c r="A2522" t="str">
        <f>"600153"</f>
        <v>600153</v>
      </c>
      <c r="B2522" t="s">
        <v>11580</v>
      </c>
      <c r="C2522">
        <v>-1.78</v>
      </c>
      <c r="D2522">
        <v>-0.1</v>
      </c>
      <c r="E2522">
        <v>0.11</v>
      </c>
      <c r="F2522">
        <v>3871</v>
      </c>
      <c r="G2522" t="s">
        <v>11581</v>
      </c>
      <c r="H2522">
        <v>29069.279999999999</v>
      </c>
      <c r="I2522">
        <v>75.16</v>
      </c>
      <c r="J2522" t="s">
        <v>120</v>
      </c>
      <c r="K2522" t="s">
        <v>11582</v>
      </c>
      <c r="L2522">
        <v>1.1499999999999999</v>
      </c>
      <c r="M2522">
        <v>8.82</v>
      </c>
      <c r="N2522">
        <v>0.69</v>
      </c>
      <c r="O2522">
        <v>1</v>
      </c>
      <c r="P2522">
        <v>9.07</v>
      </c>
      <c r="Q2522">
        <v>-2.56</v>
      </c>
      <c r="R2522">
        <v>8.75</v>
      </c>
      <c r="S2522">
        <v>8.99</v>
      </c>
      <c r="T2522">
        <v>327119</v>
      </c>
      <c r="U2522">
        <v>8.83</v>
      </c>
      <c r="V2522">
        <v>8.98</v>
      </c>
      <c r="W2522">
        <v>4.9400000000000004</v>
      </c>
      <c r="X2522" t="s">
        <v>562</v>
      </c>
      <c r="Y2522" t="s">
        <v>937</v>
      </c>
      <c r="Z2522">
        <v>3.56</v>
      </c>
      <c r="AA2522">
        <v>8.89</v>
      </c>
      <c r="AB2522">
        <v>177942</v>
      </c>
      <c r="AC2522">
        <v>149177</v>
      </c>
      <c r="AD2522">
        <v>1.19</v>
      </c>
      <c r="AE2522">
        <v>607</v>
      </c>
      <c r="AF2522">
        <v>682</v>
      </c>
      <c r="AG2522" t="s">
        <v>120</v>
      </c>
      <c r="AH2522">
        <v>0.01</v>
      </c>
      <c r="AI2522" t="s">
        <v>120</v>
      </c>
      <c r="AJ2522">
        <v>28.35</v>
      </c>
      <c r="AK2522" t="s">
        <v>11583</v>
      </c>
      <c r="AL2522">
        <v>-0.44</v>
      </c>
      <c r="AM2522">
        <v>3796</v>
      </c>
      <c r="AN2522">
        <v>86</v>
      </c>
      <c r="AO2522">
        <v>2.9999999999999997E-4</v>
      </c>
      <c r="AP2522">
        <v>-3</v>
      </c>
      <c r="AQ2522">
        <v>-0.33</v>
      </c>
      <c r="AR2522">
        <v>-4.54</v>
      </c>
      <c r="AS2522">
        <v>20.82</v>
      </c>
      <c r="AT2522">
        <v>14.54</v>
      </c>
      <c r="AU2522">
        <v>14.39</v>
      </c>
      <c r="AV2522">
        <v>0</v>
      </c>
      <c r="AW2522">
        <v>2.4900000000000002</v>
      </c>
      <c r="AX2522">
        <v>45.93</v>
      </c>
      <c r="AY2522">
        <v>5.37</v>
      </c>
      <c r="AZ2522">
        <v>5.71</v>
      </c>
      <c r="BA2522">
        <v>0.54</v>
      </c>
      <c r="BB2522" t="s">
        <v>143</v>
      </c>
      <c r="BF2522">
        <v>-1.04</v>
      </c>
      <c r="BG2522">
        <v>-1.89</v>
      </c>
      <c r="BH2522">
        <v>-2.76</v>
      </c>
      <c r="BI2522">
        <v>0.8</v>
      </c>
      <c r="BJ2522">
        <v>20210828</v>
      </c>
      <c r="BK2522">
        <v>19980616</v>
      </c>
      <c r="BL2522">
        <v>28.63</v>
      </c>
      <c r="BM2522" t="s">
        <v>120</v>
      </c>
      <c r="BN2522" t="s">
        <v>120</v>
      </c>
      <c r="BO2522">
        <v>5810.22</v>
      </c>
      <c r="BP2522">
        <v>8.82</v>
      </c>
      <c r="BQ2522">
        <v>422.28</v>
      </c>
      <c r="BR2522">
        <v>643.72</v>
      </c>
      <c r="BS2522">
        <v>81.650000000000006</v>
      </c>
      <c r="BT2522">
        <v>5392.42</v>
      </c>
      <c r="BU2522">
        <v>24.83</v>
      </c>
      <c r="BV2522">
        <v>8.1300000000000008</v>
      </c>
      <c r="BW2522">
        <v>3742.9</v>
      </c>
      <c r="BX2522">
        <v>695.76</v>
      </c>
      <c r="BY2522">
        <v>3389.57</v>
      </c>
      <c r="BZ2522">
        <v>104.9</v>
      </c>
      <c r="CA2522">
        <v>0.79</v>
      </c>
      <c r="CB2522">
        <v>31.26</v>
      </c>
      <c r="CC2522">
        <v>2908.12</v>
      </c>
      <c r="CD2522">
        <v>2812.23</v>
      </c>
      <c r="CE2522">
        <v>43.74</v>
      </c>
      <c r="CF2522">
        <v>2.83</v>
      </c>
      <c r="CG2522">
        <v>44.46</v>
      </c>
      <c r="CH2522">
        <v>33.56</v>
      </c>
      <c r="CI2522">
        <v>25.58</v>
      </c>
      <c r="CJ2522">
        <v>-0.16</v>
      </c>
      <c r="CK2522">
        <v>24.96</v>
      </c>
      <c r="CL2522">
        <v>298.02</v>
      </c>
      <c r="CM2522">
        <v>-516.98</v>
      </c>
      <c r="CN2522">
        <v>66.650000000000006</v>
      </c>
      <c r="CO2522">
        <v>91975</v>
      </c>
      <c r="CP2522">
        <v>14301</v>
      </c>
      <c r="CQ2522" t="s">
        <v>2146</v>
      </c>
      <c r="CR2522">
        <v>12.47</v>
      </c>
      <c r="CS2522">
        <v>84.59</v>
      </c>
      <c r="CT2522">
        <v>0.67</v>
      </c>
      <c r="CU2522">
        <v>-0.49</v>
      </c>
      <c r="CV2522">
        <v>0.09</v>
      </c>
      <c r="CW2522">
        <v>5.57</v>
      </c>
      <c r="CX2522" t="s">
        <v>465</v>
      </c>
      <c r="CY2522">
        <v>13.15</v>
      </c>
      <c r="CZ2522">
        <v>13.15</v>
      </c>
      <c r="DA2522">
        <v>1.0900000000000001</v>
      </c>
      <c r="DB2522">
        <v>10.41</v>
      </c>
      <c r="DC2522">
        <v>-18.05</v>
      </c>
      <c r="DD2522">
        <v>7.27</v>
      </c>
      <c r="DE2522" t="s">
        <v>1598</v>
      </c>
      <c r="DF2522">
        <v>3.3</v>
      </c>
      <c r="DG2522">
        <v>1.5</v>
      </c>
      <c r="DH2522">
        <v>0.88</v>
      </c>
      <c r="DI2522">
        <v>0.11</v>
      </c>
      <c r="DJ2522">
        <v>20895</v>
      </c>
      <c r="DK2522">
        <v>600153</v>
      </c>
      <c r="DL2522" t="s">
        <v>120</v>
      </c>
      <c r="DM2522" t="s">
        <v>120</v>
      </c>
      <c r="DN2522" t="s">
        <v>120</v>
      </c>
    </row>
    <row r="2523" spans="1:118">
      <c r="A2523" t="str">
        <f>"600155"</f>
        <v>600155</v>
      </c>
      <c r="B2523" t="s">
        <v>11584</v>
      </c>
      <c r="C2523">
        <v>-2.2400000000000002</v>
      </c>
      <c r="D2523">
        <v>0</v>
      </c>
      <c r="E2523">
        <v>-0.39</v>
      </c>
      <c r="F2523">
        <v>1028</v>
      </c>
      <c r="G2523" t="s">
        <v>3344</v>
      </c>
      <c r="H2523">
        <v>15375.63</v>
      </c>
      <c r="I2523">
        <v>17.63</v>
      </c>
      <c r="J2523" t="s">
        <v>120</v>
      </c>
      <c r="K2523" t="s">
        <v>11585</v>
      </c>
      <c r="L2523">
        <v>0.87</v>
      </c>
      <c r="M2523">
        <v>10.06</v>
      </c>
      <c r="N2523">
        <v>0.74</v>
      </c>
      <c r="O2523">
        <v>0.78</v>
      </c>
      <c r="P2523">
        <v>10.37</v>
      </c>
      <c r="Q2523">
        <v>-2.62</v>
      </c>
      <c r="R2523">
        <v>10.02</v>
      </c>
      <c r="S2523">
        <v>10.25</v>
      </c>
      <c r="T2523">
        <v>150796</v>
      </c>
      <c r="U2523">
        <v>10.07</v>
      </c>
      <c r="V2523">
        <v>10.29</v>
      </c>
      <c r="W2523">
        <v>21.49</v>
      </c>
      <c r="X2523" t="s">
        <v>616</v>
      </c>
      <c r="Y2523" t="s">
        <v>158</v>
      </c>
      <c r="Z2523">
        <v>3.4</v>
      </c>
      <c r="AA2523">
        <v>10.199999999999999</v>
      </c>
      <c r="AB2523">
        <v>83424</v>
      </c>
      <c r="AC2523">
        <v>67372</v>
      </c>
      <c r="AD2523">
        <v>1.24</v>
      </c>
      <c r="AE2523">
        <v>1975</v>
      </c>
      <c r="AF2523">
        <v>245</v>
      </c>
      <c r="AG2523" t="s">
        <v>120</v>
      </c>
      <c r="AH2523">
        <v>0</v>
      </c>
      <c r="AI2523" t="s">
        <v>120</v>
      </c>
      <c r="AJ2523">
        <v>17.399999999999999</v>
      </c>
      <c r="AK2523" t="s">
        <v>11585</v>
      </c>
      <c r="AL2523">
        <v>-0.89</v>
      </c>
      <c r="AM2523">
        <v>3233</v>
      </c>
      <c r="AN2523">
        <v>47</v>
      </c>
      <c r="AO2523">
        <v>2.9999999999999997E-4</v>
      </c>
      <c r="AP2523">
        <v>-1</v>
      </c>
      <c r="AQ2523">
        <v>0.88</v>
      </c>
      <c r="AR2523">
        <v>-4.46</v>
      </c>
      <c r="AS2523">
        <v>-0.98</v>
      </c>
      <c r="AT2523">
        <v>-1.37</v>
      </c>
      <c r="AU2523">
        <v>-23.73</v>
      </c>
      <c r="AV2523">
        <v>5</v>
      </c>
      <c r="AW2523">
        <v>1.42</v>
      </c>
      <c r="AX2523">
        <v>60.97</v>
      </c>
      <c r="AY2523">
        <v>22.52</v>
      </c>
      <c r="AZ2523">
        <v>27.19</v>
      </c>
      <c r="BA2523">
        <v>0.78</v>
      </c>
      <c r="BB2523" t="s">
        <v>143</v>
      </c>
      <c r="BF2523">
        <v>-0.91</v>
      </c>
      <c r="BG2523">
        <v>-1.85</v>
      </c>
      <c r="BH2523">
        <v>-2.99</v>
      </c>
      <c r="BI2523">
        <v>0.4</v>
      </c>
      <c r="BJ2523">
        <v>20210901</v>
      </c>
      <c r="BK2523">
        <v>19980918</v>
      </c>
      <c r="BL2523">
        <v>17.399999999999999</v>
      </c>
      <c r="BM2523" t="s">
        <v>120</v>
      </c>
      <c r="BN2523" t="s">
        <v>120</v>
      </c>
      <c r="BO2523">
        <v>532.5</v>
      </c>
      <c r="BP2523">
        <v>10.06</v>
      </c>
      <c r="BQ2523">
        <v>151.65</v>
      </c>
      <c r="BR2523">
        <v>0.71</v>
      </c>
      <c r="BS2523">
        <v>71.39</v>
      </c>
      <c r="BT2523">
        <v>444.63</v>
      </c>
      <c r="BU2523">
        <v>3.21</v>
      </c>
      <c r="BV2523">
        <v>1.07</v>
      </c>
      <c r="BW2523">
        <v>242.5</v>
      </c>
      <c r="BX2523">
        <v>91.49</v>
      </c>
      <c r="BY2523">
        <v>0.04</v>
      </c>
      <c r="BZ2523">
        <v>1.73</v>
      </c>
      <c r="CA2523" t="s">
        <v>120</v>
      </c>
      <c r="CB2523">
        <v>134.32</v>
      </c>
      <c r="CC2523">
        <v>1.1499999999999999</v>
      </c>
      <c r="CD2523">
        <v>0.1</v>
      </c>
      <c r="CE2523">
        <v>5.4</v>
      </c>
      <c r="CF2523">
        <v>7.45</v>
      </c>
      <c r="CG2523">
        <v>5.56</v>
      </c>
      <c r="CH2523">
        <v>4.09</v>
      </c>
      <c r="CI2523">
        <v>4.07</v>
      </c>
      <c r="CJ2523">
        <v>-0.23</v>
      </c>
      <c r="CK2523">
        <v>3.82</v>
      </c>
      <c r="CL2523">
        <v>1.38</v>
      </c>
      <c r="CM2523">
        <v>2.35</v>
      </c>
      <c r="CN2523">
        <v>22.9</v>
      </c>
      <c r="CO2523">
        <v>61432</v>
      </c>
      <c r="CP2523">
        <v>17264</v>
      </c>
      <c r="CQ2523" t="s">
        <v>11586</v>
      </c>
      <c r="CR2523">
        <v>50.4</v>
      </c>
      <c r="CS2523">
        <v>-39.72</v>
      </c>
      <c r="CT2523">
        <v>1.1499999999999999</v>
      </c>
      <c r="CU2523">
        <v>74.59</v>
      </c>
      <c r="CV2523">
        <v>151.97</v>
      </c>
      <c r="CW2523">
        <v>0</v>
      </c>
      <c r="CX2523" t="s">
        <v>626</v>
      </c>
      <c r="CY2523">
        <v>8.7200000000000006</v>
      </c>
      <c r="CZ2523">
        <v>0</v>
      </c>
      <c r="DA2523">
        <v>7.72</v>
      </c>
      <c r="DB2523">
        <v>0.08</v>
      </c>
      <c r="DC2523">
        <v>0.13</v>
      </c>
      <c r="DD2523">
        <v>28.48</v>
      </c>
      <c r="DE2523" t="s">
        <v>1161</v>
      </c>
      <c r="DF2523">
        <v>91.11</v>
      </c>
      <c r="DG2523">
        <v>468.56</v>
      </c>
      <c r="DH2523">
        <v>353.55</v>
      </c>
      <c r="DI2523" t="s">
        <v>120</v>
      </c>
      <c r="DJ2523">
        <v>2806</v>
      </c>
      <c r="DK2523">
        <v>600155</v>
      </c>
      <c r="DL2523" t="s">
        <v>120</v>
      </c>
      <c r="DM2523" t="s">
        <v>120</v>
      </c>
      <c r="DN2523" t="s">
        <v>120</v>
      </c>
    </row>
    <row r="2524" spans="1:118">
      <c r="A2524" t="str">
        <f>"600156"</f>
        <v>600156</v>
      </c>
      <c r="B2524" t="s">
        <v>11587</v>
      </c>
      <c r="C2524">
        <v>0</v>
      </c>
      <c r="D2524">
        <v>0</v>
      </c>
      <c r="E2524">
        <v>-0.24</v>
      </c>
      <c r="F2524">
        <v>218</v>
      </c>
      <c r="G2524" t="s">
        <v>8002</v>
      </c>
      <c r="H2524">
        <v>2499.65</v>
      </c>
      <c r="I2524">
        <v>5</v>
      </c>
      <c r="J2524" t="s">
        <v>120</v>
      </c>
      <c r="K2524" t="s">
        <v>7197</v>
      </c>
      <c r="L2524">
        <v>1.46</v>
      </c>
      <c r="M2524">
        <v>4.21</v>
      </c>
      <c r="N2524">
        <v>0.61</v>
      </c>
      <c r="O2524">
        <v>3.33</v>
      </c>
      <c r="P2524">
        <v>4.3499999999999996</v>
      </c>
      <c r="Q2524">
        <v>-1.66</v>
      </c>
      <c r="R2524">
        <v>4.1399999999999997</v>
      </c>
      <c r="S2524">
        <v>4.2</v>
      </c>
      <c r="T2524">
        <v>58513</v>
      </c>
      <c r="U2524">
        <v>4.22</v>
      </c>
      <c r="V2524">
        <v>4.21</v>
      </c>
      <c r="W2524">
        <v>108.34</v>
      </c>
      <c r="X2524" t="s">
        <v>1766</v>
      </c>
      <c r="Y2524" t="s">
        <v>594</v>
      </c>
      <c r="Z2524">
        <v>4.99</v>
      </c>
      <c r="AA2524">
        <v>4.2699999999999996</v>
      </c>
      <c r="AB2524">
        <v>29247</v>
      </c>
      <c r="AC2524">
        <v>29266</v>
      </c>
      <c r="AD2524">
        <v>1</v>
      </c>
      <c r="AE2524">
        <v>271</v>
      </c>
      <c r="AF2524">
        <v>196</v>
      </c>
      <c r="AG2524" t="s">
        <v>120</v>
      </c>
      <c r="AH2524">
        <v>0</v>
      </c>
      <c r="AI2524" t="s">
        <v>120</v>
      </c>
      <c r="AJ2524">
        <v>4.0199999999999996</v>
      </c>
      <c r="AK2524" t="s">
        <v>7197</v>
      </c>
      <c r="AL2524">
        <v>1.34</v>
      </c>
      <c r="AM2524">
        <v>1977</v>
      </c>
      <c r="AN2524">
        <v>30</v>
      </c>
      <c r="AO2524">
        <v>6.9999999999999999E-4</v>
      </c>
      <c r="AP2524">
        <v>0</v>
      </c>
      <c r="AQ2524">
        <v>-1.17</v>
      </c>
      <c r="AR2524">
        <v>-5.17</v>
      </c>
      <c r="AS2524">
        <v>14.4</v>
      </c>
      <c r="AT2524">
        <v>8.23</v>
      </c>
      <c r="AU2524">
        <v>1.94</v>
      </c>
      <c r="AV2524">
        <v>2</v>
      </c>
      <c r="AW2524">
        <v>2.44</v>
      </c>
      <c r="AX2524">
        <v>59.69</v>
      </c>
      <c r="AY2524">
        <v>88.56</v>
      </c>
      <c r="AZ2524">
        <v>50.94</v>
      </c>
      <c r="BA2524">
        <v>0.89</v>
      </c>
      <c r="BB2524" t="s">
        <v>143</v>
      </c>
      <c r="BF2524">
        <v>1.47</v>
      </c>
      <c r="BG2524">
        <v>0.24</v>
      </c>
      <c r="BH2524">
        <v>-3.22</v>
      </c>
      <c r="BI2524">
        <v>1.69</v>
      </c>
      <c r="BJ2524">
        <v>20210824</v>
      </c>
      <c r="BK2524">
        <v>19980527</v>
      </c>
      <c r="BL2524">
        <v>4.0199999999999996</v>
      </c>
      <c r="BM2524" t="s">
        <v>120</v>
      </c>
      <c r="BN2524" t="s">
        <v>120</v>
      </c>
      <c r="BO2524">
        <v>12.96</v>
      </c>
      <c r="BP2524">
        <v>4.21</v>
      </c>
      <c r="BQ2524">
        <v>7.29</v>
      </c>
      <c r="BR2524">
        <v>-0.11</v>
      </c>
      <c r="BS2524">
        <v>44.59</v>
      </c>
      <c r="BT2524">
        <v>8.27</v>
      </c>
      <c r="BU2524">
        <v>1.04</v>
      </c>
      <c r="BV2524">
        <v>1.49</v>
      </c>
      <c r="BW2524">
        <v>3.76</v>
      </c>
      <c r="BX2524">
        <v>1.41</v>
      </c>
      <c r="BY2524">
        <v>1.22</v>
      </c>
      <c r="BZ2524">
        <v>1.1000000000000001</v>
      </c>
      <c r="CA2524" t="s">
        <v>120</v>
      </c>
      <c r="CB2524">
        <v>1.48</v>
      </c>
      <c r="CC2524">
        <v>4.93</v>
      </c>
      <c r="CD2524">
        <v>4.79</v>
      </c>
      <c r="CE2524">
        <v>0.1</v>
      </c>
      <c r="CF2524">
        <v>0.41</v>
      </c>
      <c r="CG2524">
        <v>0.11</v>
      </c>
      <c r="CH2524">
        <v>0.05</v>
      </c>
      <c r="CI2524">
        <v>0.08</v>
      </c>
      <c r="CJ2524">
        <v>0</v>
      </c>
      <c r="CK2524">
        <v>-0.33</v>
      </c>
      <c r="CL2524">
        <v>1.43</v>
      </c>
      <c r="CM2524">
        <v>-0.23</v>
      </c>
      <c r="CN2524">
        <v>-0.68</v>
      </c>
      <c r="CO2524">
        <v>26229</v>
      </c>
      <c r="CP2524">
        <v>9150</v>
      </c>
      <c r="CQ2524" t="s">
        <v>6833</v>
      </c>
      <c r="CR2524">
        <v>-64.38</v>
      </c>
      <c r="CS2524">
        <v>6.42</v>
      </c>
      <c r="CT2524">
        <v>2.3199999999999998</v>
      </c>
      <c r="CU2524">
        <v>-75.23</v>
      </c>
      <c r="CV2524">
        <v>3.43</v>
      </c>
      <c r="CW2524">
        <v>0</v>
      </c>
      <c r="CX2524" t="s">
        <v>753</v>
      </c>
      <c r="CY2524">
        <v>1.81</v>
      </c>
      <c r="CZ2524">
        <v>0</v>
      </c>
      <c r="DA2524">
        <v>0.37</v>
      </c>
      <c r="DB2524">
        <v>0.36</v>
      </c>
      <c r="DC2524">
        <v>-0.06</v>
      </c>
      <c r="DD2524">
        <v>56.29</v>
      </c>
      <c r="DE2524" t="s">
        <v>9094</v>
      </c>
      <c r="DF2524">
        <v>2.74</v>
      </c>
      <c r="DG2524">
        <v>1.98</v>
      </c>
      <c r="DH2524">
        <v>1.58</v>
      </c>
      <c r="DI2524">
        <v>0.03</v>
      </c>
      <c r="DJ2524">
        <v>1667</v>
      </c>
      <c r="DK2524">
        <v>600156</v>
      </c>
      <c r="DL2524" t="s">
        <v>120</v>
      </c>
      <c r="DM2524" t="s">
        <v>120</v>
      </c>
      <c r="DN2524" t="s">
        <v>120</v>
      </c>
    </row>
    <row r="2525" spans="1:118">
      <c r="A2525" t="str">
        <f>"600157"</f>
        <v>600157</v>
      </c>
      <c r="B2525" t="s">
        <v>11588</v>
      </c>
      <c r="C2525">
        <v>-2.27</v>
      </c>
      <c r="D2525">
        <v>0</v>
      </c>
      <c r="E2525">
        <v>1.36</v>
      </c>
      <c r="F2525">
        <v>30389</v>
      </c>
      <c r="G2525" t="s">
        <v>11589</v>
      </c>
      <c r="H2525">
        <v>136041.89000000001</v>
      </c>
      <c r="I2525">
        <v>654.28</v>
      </c>
      <c r="J2525" t="s">
        <v>120</v>
      </c>
      <c r="K2525" t="s">
        <v>11590</v>
      </c>
      <c r="L2525">
        <v>2.78</v>
      </c>
      <c r="M2525">
        <v>2.15</v>
      </c>
      <c r="N2525">
        <v>0.75</v>
      </c>
      <c r="O2525">
        <v>3.18</v>
      </c>
      <c r="P2525">
        <v>2.27</v>
      </c>
      <c r="Q2525">
        <v>-2.73</v>
      </c>
      <c r="R2525">
        <v>2.14</v>
      </c>
      <c r="S2525">
        <v>2.23</v>
      </c>
      <c r="T2525">
        <v>6183541</v>
      </c>
      <c r="U2525">
        <v>2.16</v>
      </c>
      <c r="V2525">
        <v>2.2000000000000002</v>
      </c>
      <c r="W2525">
        <v>52.57</v>
      </c>
      <c r="X2525" t="s">
        <v>268</v>
      </c>
      <c r="Y2525" t="s">
        <v>667</v>
      </c>
      <c r="Z2525">
        <v>5.91</v>
      </c>
      <c r="AA2525">
        <v>2.2000000000000002</v>
      </c>
      <c r="AB2525">
        <v>3157717</v>
      </c>
      <c r="AC2525">
        <v>3025824</v>
      </c>
      <c r="AD2525">
        <v>1.04</v>
      </c>
      <c r="AE2525">
        <v>22107</v>
      </c>
      <c r="AF2525">
        <v>44965</v>
      </c>
      <c r="AG2525" t="s">
        <v>120</v>
      </c>
      <c r="AH2525">
        <v>0.02</v>
      </c>
      <c r="AI2525" t="s">
        <v>120</v>
      </c>
      <c r="AJ2525">
        <v>222.18</v>
      </c>
      <c r="AK2525" t="s">
        <v>11590</v>
      </c>
      <c r="AL2525">
        <v>-0.93</v>
      </c>
      <c r="AM2525">
        <v>4730</v>
      </c>
      <c r="AN2525">
        <v>1307</v>
      </c>
      <c r="AO2525">
        <v>5.9999999999999995E-4</v>
      </c>
      <c r="AP2525">
        <v>-1</v>
      </c>
      <c r="AQ2525">
        <v>2.8</v>
      </c>
      <c r="AR2525">
        <v>-6.12</v>
      </c>
      <c r="AS2525">
        <v>31.9</v>
      </c>
      <c r="AT2525">
        <v>32.71</v>
      </c>
      <c r="AU2525">
        <v>60.45</v>
      </c>
      <c r="AV2525">
        <v>8</v>
      </c>
      <c r="AW2525">
        <v>3.81</v>
      </c>
      <c r="AX2525">
        <v>73.040000000000006</v>
      </c>
      <c r="AY2525">
        <v>10.11</v>
      </c>
      <c r="AZ2525">
        <v>10.9</v>
      </c>
      <c r="BA2525">
        <v>0.75</v>
      </c>
      <c r="BB2525" t="s">
        <v>143</v>
      </c>
      <c r="BF2525">
        <v>0</v>
      </c>
      <c r="BG2525">
        <v>-3.59</v>
      </c>
      <c r="BH2525">
        <v>-5.29</v>
      </c>
      <c r="BI2525">
        <v>0.47</v>
      </c>
      <c r="BJ2525">
        <v>20210827</v>
      </c>
      <c r="BK2525">
        <v>19980513</v>
      </c>
      <c r="BL2525">
        <v>222.18</v>
      </c>
      <c r="BM2525" t="s">
        <v>120</v>
      </c>
      <c r="BN2525" t="s">
        <v>120</v>
      </c>
      <c r="BO2525">
        <v>1038.6600000000001</v>
      </c>
      <c r="BP2525">
        <v>2.15</v>
      </c>
      <c r="BQ2525">
        <v>420.76</v>
      </c>
      <c r="BR2525">
        <v>38.979999999999997</v>
      </c>
      <c r="BS2525">
        <v>55.74</v>
      </c>
      <c r="BT2525">
        <v>90.95</v>
      </c>
      <c r="BU2525">
        <v>172.65</v>
      </c>
      <c r="BV2525">
        <v>498.95</v>
      </c>
      <c r="BW2525">
        <v>227.49</v>
      </c>
      <c r="BX2525">
        <v>11.93</v>
      </c>
      <c r="BY2525">
        <v>5.44</v>
      </c>
      <c r="BZ2525">
        <v>28.55</v>
      </c>
      <c r="CA2525">
        <v>0.05</v>
      </c>
      <c r="CB2525">
        <v>132.62</v>
      </c>
      <c r="CC2525">
        <v>114.71</v>
      </c>
      <c r="CD2525">
        <v>88.49</v>
      </c>
      <c r="CE2525">
        <v>7.9</v>
      </c>
      <c r="CF2525">
        <v>0.5</v>
      </c>
      <c r="CG2525">
        <v>7.05</v>
      </c>
      <c r="CH2525">
        <v>4.55</v>
      </c>
      <c r="CI2525">
        <v>4.54</v>
      </c>
      <c r="CJ2525">
        <v>-0.05</v>
      </c>
      <c r="CK2525">
        <v>2.85</v>
      </c>
      <c r="CL2525">
        <v>69.94</v>
      </c>
      <c r="CM2525">
        <v>22.03</v>
      </c>
      <c r="CN2525">
        <v>-1.78</v>
      </c>
      <c r="CO2525">
        <v>302984</v>
      </c>
      <c r="CP2525">
        <v>53559</v>
      </c>
      <c r="CQ2525" t="s">
        <v>11591</v>
      </c>
      <c r="CR2525">
        <v>344.2</v>
      </c>
      <c r="CS2525">
        <v>13.73</v>
      </c>
      <c r="CT2525">
        <v>1.1399999999999999</v>
      </c>
      <c r="CU2525">
        <v>21.68</v>
      </c>
      <c r="CV2525">
        <v>4.16</v>
      </c>
      <c r="CW2525">
        <v>0</v>
      </c>
      <c r="CX2525" t="s">
        <v>499</v>
      </c>
      <c r="CY2525">
        <v>1.89</v>
      </c>
      <c r="CZ2525">
        <v>0</v>
      </c>
      <c r="DA2525">
        <v>0.6</v>
      </c>
      <c r="DB2525">
        <v>0.31</v>
      </c>
      <c r="DC2525">
        <v>0.1</v>
      </c>
      <c r="DD2525">
        <v>40.51</v>
      </c>
      <c r="DE2525" t="s">
        <v>3972</v>
      </c>
      <c r="DF2525">
        <v>22.86</v>
      </c>
      <c r="DG2525">
        <v>6.89</v>
      </c>
      <c r="DH2525">
        <v>3.96</v>
      </c>
      <c r="DI2525">
        <v>0.46</v>
      </c>
      <c r="DJ2525">
        <v>8745</v>
      </c>
      <c r="DK2525">
        <v>600157</v>
      </c>
      <c r="DL2525">
        <v>20210908</v>
      </c>
      <c r="DM2525">
        <v>2.13</v>
      </c>
      <c r="DN2525">
        <v>0.94</v>
      </c>
    </row>
    <row r="2526" spans="1:118">
      <c r="A2526" t="str">
        <f>"600158"</f>
        <v>600158</v>
      </c>
      <c r="B2526" t="s">
        <v>11592</v>
      </c>
      <c r="C2526">
        <v>-2.13</v>
      </c>
      <c r="D2526">
        <v>-7.0000000000000007E-2</v>
      </c>
      <c r="E2526">
        <v>-0.55000000000000004</v>
      </c>
      <c r="F2526">
        <v>1886</v>
      </c>
      <c r="G2526" t="s">
        <v>5898</v>
      </c>
      <c r="H2526">
        <v>30605.14</v>
      </c>
      <c r="I2526">
        <v>148.55000000000001</v>
      </c>
      <c r="J2526" t="s">
        <v>120</v>
      </c>
      <c r="K2526" t="s">
        <v>5898</v>
      </c>
      <c r="L2526">
        <v>3.61</v>
      </c>
      <c r="M2526">
        <v>12.4</v>
      </c>
      <c r="N2526">
        <v>1.1599999999999999</v>
      </c>
      <c r="O2526">
        <v>1.42</v>
      </c>
      <c r="P2526">
        <v>12.85</v>
      </c>
      <c r="Q2526">
        <v>-2.6</v>
      </c>
      <c r="R2526">
        <v>12.34</v>
      </c>
      <c r="S2526">
        <v>12.6</v>
      </c>
      <c r="T2526">
        <v>244394</v>
      </c>
      <c r="U2526">
        <v>12.41</v>
      </c>
      <c r="V2526">
        <v>12.67</v>
      </c>
      <c r="W2526" t="s">
        <v>120</v>
      </c>
      <c r="X2526" t="s">
        <v>213</v>
      </c>
      <c r="Y2526" t="s">
        <v>997</v>
      </c>
      <c r="Z2526">
        <v>4.03</v>
      </c>
      <c r="AA2526">
        <v>12.52</v>
      </c>
      <c r="AB2526">
        <v>111040</v>
      </c>
      <c r="AC2526">
        <v>133354</v>
      </c>
      <c r="AD2526">
        <v>0.83</v>
      </c>
      <c r="AE2526">
        <v>102</v>
      </c>
      <c r="AF2526">
        <v>783</v>
      </c>
      <c r="AG2526" t="s">
        <v>120</v>
      </c>
      <c r="AH2526">
        <v>0.02</v>
      </c>
      <c r="AI2526" t="s">
        <v>120</v>
      </c>
      <c r="AJ2526">
        <v>6.77</v>
      </c>
      <c r="AK2526" t="s">
        <v>11593</v>
      </c>
      <c r="AL2526">
        <v>-0.79</v>
      </c>
      <c r="AM2526">
        <v>3631</v>
      </c>
      <c r="AN2526">
        <v>67</v>
      </c>
      <c r="AO2526">
        <v>1E-3</v>
      </c>
      <c r="AP2526">
        <v>-2</v>
      </c>
      <c r="AQ2526">
        <v>-0.08</v>
      </c>
      <c r="AR2526">
        <v>-1.04</v>
      </c>
      <c r="AS2526">
        <v>8.1999999999999993</v>
      </c>
      <c r="AT2526">
        <v>3.65</v>
      </c>
      <c r="AU2526">
        <v>1.28</v>
      </c>
      <c r="AV2526">
        <v>3</v>
      </c>
      <c r="AW2526">
        <v>3.61</v>
      </c>
      <c r="AX2526">
        <v>70.53</v>
      </c>
      <c r="AY2526">
        <v>819.66</v>
      </c>
      <c r="AZ2526">
        <v>225.31</v>
      </c>
      <c r="BA2526">
        <v>0.75</v>
      </c>
      <c r="BB2526" t="s">
        <v>125</v>
      </c>
      <c r="BF2526">
        <v>-1.1599999999999999</v>
      </c>
      <c r="BG2526">
        <v>-1.59</v>
      </c>
      <c r="BH2526">
        <v>-3.5</v>
      </c>
      <c r="BI2526">
        <v>0.49</v>
      </c>
      <c r="BJ2526">
        <v>20210831</v>
      </c>
      <c r="BK2526">
        <v>19980327</v>
      </c>
      <c r="BL2526">
        <v>9.6</v>
      </c>
      <c r="BM2526" t="s">
        <v>120</v>
      </c>
      <c r="BN2526" t="s">
        <v>120</v>
      </c>
      <c r="BO2526">
        <v>53.12</v>
      </c>
      <c r="BP2526">
        <v>12.4</v>
      </c>
      <c r="BQ2526">
        <v>24.46</v>
      </c>
      <c r="BR2526">
        <v>9.7799999999999994</v>
      </c>
      <c r="BS2526">
        <v>35.549999999999997</v>
      </c>
      <c r="BT2526">
        <v>41.09</v>
      </c>
      <c r="BU2526">
        <v>2.2400000000000002</v>
      </c>
      <c r="BV2526">
        <v>0.18</v>
      </c>
      <c r="BW2526">
        <v>13.7</v>
      </c>
      <c r="BX2526">
        <v>17.41</v>
      </c>
      <c r="BY2526">
        <v>16.8</v>
      </c>
      <c r="BZ2526">
        <v>1.05</v>
      </c>
      <c r="CA2526">
        <v>7.0000000000000007E-2</v>
      </c>
      <c r="CB2526">
        <v>0.92</v>
      </c>
      <c r="CC2526">
        <v>4.34</v>
      </c>
      <c r="CD2526">
        <v>2.98</v>
      </c>
      <c r="CE2526">
        <v>-0.32</v>
      </c>
      <c r="CF2526">
        <v>-0.11</v>
      </c>
      <c r="CG2526">
        <v>-0.32</v>
      </c>
      <c r="CH2526">
        <v>-0.38</v>
      </c>
      <c r="CI2526">
        <v>-0.33</v>
      </c>
      <c r="CJ2526">
        <v>-0.27</v>
      </c>
      <c r="CK2526">
        <v>-0.35</v>
      </c>
      <c r="CL2526">
        <v>12.57</v>
      </c>
      <c r="CM2526">
        <v>-3.91</v>
      </c>
      <c r="CN2526">
        <v>-2.88</v>
      </c>
      <c r="CO2526">
        <v>75866</v>
      </c>
      <c r="CP2526">
        <v>8921</v>
      </c>
      <c r="CQ2526" t="s">
        <v>11594</v>
      </c>
      <c r="CR2526">
        <v>-641.92999999999995</v>
      </c>
      <c r="CS2526">
        <v>-45.35</v>
      </c>
      <c r="CT2526">
        <v>4.8600000000000003</v>
      </c>
      <c r="CU2526">
        <v>-30.44</v>
      </c>
      <c r="CV2526">
        <v>27.38</v>
      </c>
      <c r="CW2526">
        <v>0.13</v>
      </c>
      <c r="CX2526" t="s">
        <v>11595</v>
      </c>
      <c r="CY2526">
        <v>2.5499999999999998</v>
      </c>
      <c r="CZ2526">
        <v>0</v>
      </c>
      <c r="DA2526">
        <v>0.1</v>
      </c>
      <c r="DB2526">
        <v>1.31</v>
      </c>
      <c r="DC2526">
        <v>-0.41</v>
      </c>
      <c r="DD2526">
        <v>46.04</v>
      </c>
      <c r="DE2526" t="s">
        <v>1494</v>
      </c>
      <c r="DF2526">
        <v>31.52</v>
      </c>
      <c r="DG2526">
        <v>-7.28</v>
      </c>
      <c r="DH2526">
        <v>-7.6</v>
      </c>
      <c r="DI2526">
        <v>0.06</v>
      </c>
      <c r="DJ2526">
        <v>1790</v>
      </c>
      <c r="DK2526">
        <v>600158</v>
      </c>
      <c r="DL2526">
        <v>20200831</v>
      </c>
      <c r="DM2526">
        <v>14.32</v>
      </c>
      <c r="DN2526">
        <v>-13.29</v>
      </c>
    </row>
    <row r="2527" spans="1:118">
      <c r="A2527" t="str">
        <f>"600159"</f>
        <v>600159</v>
      </c>
      <c r="B2527" t="s">
        <v>11596</v>
      </c>
      <c r="C2527">
        <v>-1.17</v>
      </c>
      <c r="D2527">
        <v>0</v>
      </c>
      <c r="E2527">
        <v>0.39</v>
      </c>
      <c r="F2527">
        <v>904</v>
      </c>
      <c r="G2527" t="s">
        <v>7128</v>
      </c>
      <c r="H2527">
        <v>1518.12</v>
      </c>
      <c r="I2527">
        <v>17.5</v>
      </c>
      <c r="J2527" t="s">
        <v>120</v>
      </c>
      <c r="K2527" t="s">
        <v>11597</v>
      </c>
      <c r="L2527">
        <v>0.71</v>
      </c>
      <c r="M2527">
        <v>2.54</v>
      </c>
      <c r="N2527">
        <v>0.62</v>
      </c>
      <c r="O2527">
        <v>1.17</v>
      </c>
      <c r="P2527">
        <v>2.6</v>
      </c>
      <c r="Q2527">
        <v>-1.17</v>
      </c>
      <c r="R2527">
        <v>2.54</v>
      </c>
      <c r="S2527">
        <v>2.58</v>
      </c>
      <c r="T2527">
        <v>59020</v>
      </c>
      <c r="U2527">
        <v>2.5499999999999998</v>
      </c>
      <c r="V2527">
        <v>2.57</v>
      </c>
      <c r="W2527">
        <v>13.29</v>
      </c>
      <c r="X2527" t="s">
        <v>150</v>
      </c>
      <c r="Y2527" t="s">
        <v>158</v>
      </c>
      <c r="Z2527">
        <v>2.33</v>
      </c>
      <c r="AA2527">
        <v>2.57</v>
      </c>
      <c r="AB2527">
        <v>30447</v>
      </c>
      <c r="AC2527">
        <v>28573</v>
      </c>
      <c r="AD2527">
        <v>1.07</v>
      </c>
      <c r="AE2527">
        <v>1814</v>
      </c>
      <c r="AF2527">
        <v>521</v>
      </c>
      <c r="AG2527" t="s">
        <v>120</v>
      </c>
      <c r="AH2527">
        <v>0.02</v>
      </c>
      <c r="AI2527" t="s">
        <v>120</v>
      </c>
      <c r="AJ2527">
        <v>8.3000000000000007</v>
      </c>
      <c r="AK2527" t="s">
        <v>11597</v>
      </c>
      <c r="AL2527">
        <v>0.18</v>
      </c>
      <c r="AM2527">
        <v>1356</v>
      </c>
      <c r="AN2527">
        <v>44</v>
      </c>
      <c r="AO2527">
        <v>5.0000000000000001E-4</v>
      </c>
      <c r="AP2527">
        <v>-1</v>
      </c>
      <c r="AQ2527">
        <v>0.78</v>
      </c>
      <c r="AR2527">
        <v>-3.06</v>
      </c>
      <c r="AS2527">
        <v>8.5500000000000007</v>
      </c>
      <c r="AT2527">
        <v>2.0099999999999998</v>
      </c>
      <c r="AU2527">
        <v>2.0099999999999998</v>
      </c>
      <c r="AV2527">
        <v>0</v>
      </c>
      <c r="AW2527">
        <v>1.36</v>
      </c>
      <c r="AX2527">
        <v>52.3</v>
      </c>
      <c r="AY2527">
        <v>12.41</v>
      </c>
      <c r="AZ2527">
        <v>20.309999999999999</v>
      </c>
      <c r="BA2527">
        <v>0.52</v>
      </c>
      <c r="BB2527" t="s">
        <v>143</v>
      </c>
      <c r="BF2527">
        <v>0.09</v>
      </c>
      <c r="BG2527">
        <v>-1.55</v>
      </c>
      <c r="BH2527">
        <v>-2.31</v>
      </c>
      <c r="BI2527">
        <v>0</v>
      </c>
      <c r="BJ2527">
        <v>20210830</v>
      </c>
      <c r="BK2527">
        <v>19980526</v>
      </c>
      <c r="BL2527">
        <v>8.3000000000000007</v>
      </c>
      <c r="BM2527" t="s">
        <v>120</v>
      </c>
      <c r="BN2527" t="s">
        <v>120</v>
      </c>
      <c r="BO2527">
        <v>43.62</v>
      </c>
      <c r="BP2527">
        <v>2.54</v>
      </c>
      <c r="BQ2527">
        <v>24.49</v>
      </c>
      <c r="BR2527">
        <v>0.48</v>
      </c>
      <c r="BS2527">
        <v>42.74</v>
      </c>
      <c r="BT2527">
        <v>40</v>
      </c>
      <c r="BU2527">
        <v>0.62</v>
      </c>
      <c r="BV2527">
        <v>0</v>
      </c>
      <c r="BW2527">
        <v>18.64</v>
      </c>
      <c r="BX2527">
        <v>9.02</v>
      </c>
      <c r="BY2527">
        <v>26.59</v>
      </c>
      <c r="BZ2527">
        <v>2.46</v>
      </c>
      <c r="CA2527">
        <v>0.05</v>
      </c>
      <c r="CB2527">
        <v>3.43</v>
      </c>
      <c r="CC2527">
        <v>4.7300000000000004</v>
      </c>
      <c r="CD2527">
        <v>2.74</v>
      </c>
      <c r="CE2527">
        <v>1.06</v>
      </c>
      <c r="CF2527">
        <v>0</v>
      </c>
      <c r="CG2527">
        <v>1.06</v>
      </c>
      <c r="CH2527">
        <v>0.79</v>
      </c>
      <c r="CI2527">
        <v>0.79</v>
      </c>
      <c r="CJ2527">
        <v>-0.03</v>
      </c>
      <c r="CK2527">
        <v>0.79</v>
      </c>
      <c r="CL2527">
        <v>12.44</v>
      </c>
      <c r="CM2527">
        <v>1.73</v>
      </c>
      <c r="CN2527">
        <v>1</v>
      </c>
      <c r="CO2527">
        <v>37210</v>
      </c>
      <c r="CP2527">
        <v>11666</v>
      </c>
      <c r="CQ2527" t="s">
        <v>4110</v>
      </c>
      <c r="CR2527">
        <v>533.83000000000004</v>
      </c>
      <c r="CS2527">
        <v>110.88</v>
      </c>
      <c r="CT2527">
        <v>0.86</v>
      </c>
      <c r="CU2527">
        <v>12.22</v>
      </c>
      <c r="CV2527">
        <v>4.46</v>
      </c>
      <c r="CW2527">
        <v>1.95</v>
      </c>
      <c r="CX2527" t="s">
        <v>7777</v>
      </c>
      <c r="CY2527">
        <v>2.95</v>
      </c>
      <c r="CZ2527">
        <v>0</v>
      </c>
      <c r="DA2527">
        <v>0.41</v>
      </c>
      <c r="DB2527">
        <v>1.5</v>
      </c>
      <c r="DC2527">
        <v>0.21</v>
      </c>
      <c r="DD2527">
        <v>56.16</v>
      </c>
      <c r="DE2527" t="s">
        <v>5870</v>
      </c>
      <c r="DF2527">
        <v>42.02</v>
      </c>
      <c r="DG2527">
        <v>22.43</v>
      </c>
      <c r="DH2527">
        <v>16.760000000000002</v>
      </c>
      <c r="DI2527" t="s">
        <v>120</v>
      </c>
      <c r="DJ2527">
        <v>329</v>
      </c>
      <c r="DK2527">
        <v>600159</v>
      </c>
      <c r="DL2527" t="s">
        <v>120</v>
      </c>
      <c r="DM2527" t="s">
        <v>120</v>
      </c>
      <c r="DN2527" t="s">
        <v>120</v>
      </c>
    </row>
    <row r="2528" spans="1:118">
      <c r="A2528" t="str">
        <f>"600160"</f>
        <v>600160</v>
      </c>
      <c r="B2528" t="s">
        <v>11598</v>
      </c>
      <c r="C2528">
        <v>-0.57999999999999996</v>
      </c>
      <c r="D2528">
        <v>-0.62</v>
      </c>
      <c r="E2528">
        <v>5.89</v>
      </c>
      <c r="F2528">
        <v>14922</v>
      </c>
      <c r="G2528" t="s">
        <v>11599</v>
      </c>
      <c r="H2528">
        <v>320728.31</v>
      </c>
      <c r="I2528">
        <v>7533.94</v>
      </c>
      <c r="J2528" t="s">
        <v>120</v>
      </c>
      <c r="K2528" t="s">
        <v>11600</v>
      </c>
      <c r="L2528">
        <v>6.7</v>
      </c>
      <c r="M2528">
        <v>17.23</v>
      </c>
      <c r="N2528">
        <v>1.82</v>
      </c>
      <c r="O2528">
        <v>7.62</v>
      </c>
      <c r="P2528">
        <v>18.649999999999999</v>
      </c>
      <c r="Q2528">
        <v>-3.17</v>
      </c>
      <c r="R2528">
        <v>16.78</v>
      </c>
      <c r="S2528">
        <v>18.350000000000001</v>
      </c>
      <c r="T2528">
        <v>1808115</v>
      </c>
      <c r="U2528">
        <v>17.23</v>
      </c>
      <c r="V2528">
        <v>17.329999999999998</v>
      </c>
      <c r="W2528">
        <v>223.51</v>
      </c>
      <c r="X2528" t="s">
        <v>868</v>
      </c>
      <c r="Y2528" t="s">
        <v>585</v>
      </c>
      <c r="Z2528">
        <v>10.79</v>
      </c>
      <c r="AA2528">
        <v>17.739999999999998</v>
      </c>
      <c r="AB2528">
        <v>976755</v>
      </c>
      <c r="AC2528">
        <v>831360</v>
      </c>
      <c r="AD2528">
        <v>1.17</v>
      </c>
      <c r="AE2528">
        <v>94</v>
      </c>
      <c r="AF2528">
        <v>1265</v>
      </c>
      <c r="AG2528" t="s">
        <v>120</v>
      </c>
      <c r="AH2528">
        <v>0.38</v>
      </c>
      <c r="AI2528" t="s">
        <v>120</v>
      </c>
      <c r="AJ2528">
        <v>27</v>
      </c>
      <c r="AK2528" t="s">
        <v>11600</v>
      </c>
      <c r="AL2528">
        <v>0.77</v>
      </c>
      <c r="AM2528">
        <v>4729</v>
      </c>
      <c r="AN2528">
        <v>382</v>
      </c>
      <c r="AO2528">
        <v>1.4E-3</v>
      </c>
      <c r="AP2528">
        <v>-1</v>
      </c>
      <c r="AQ2528">
        <v>10.029999999999999</v>
      </c>
      <c r="AR2528">
        <v>2.8</v>
      </c>
      <c r="AS2528">
        <v>47.77</v>
      </c>
      <c r="AT2528">
        <v>95.36</v>
      </c>
      <c r="AU2528">
        <v>115.1</v>
      </c>
      <c r="AV2528">
        <v>4</v>
      </c>
      <c r="AW2528">
        <v>16.95</v>
      </c>
      <c r="AX2528">
        <v>39.520000000000003</v>
      </c>
      <c r="AY2528">
        <v>252.29</v>
      </c>
      <c r="AZ2528">
        <v>490.55</v>
      </c>
      <c r="BA2528">
        <v>1.34</v>
      </c>
      <c r="BB2528" t="s">
        <v>751</v>
      </c>
      <c r="BF2528">
        <v>2.36</v>
      </c>
      <c r="BG2528">
        <v>-6.1</v>
      </c>
      <c r="BH2528">
        <v>-7.61</v>
      </c>
      <c r="BI2528">
        <v>2.68</v>
      </c>
      <c r="BJ2528">
        <v>20210826</v>
      </c>
      <c r="BK2528">
        <v>19980626</v>
      </c>
      <c r="BL2528">
        <v>27</v>
      </c>
      <c r="BM2528" t="s">
        <v>120</v>
      </c>
      <c r="BN2528" t="s">
        <v>120</v>
      </c>
      <c r="BO2528">
        <v>160.97</v>
      </c>
      <c r="BP2528">
        <v>17.22</v>
      </c>
      <c r="BQ2528">
        <v>123.41</v>
      </c>
      <c r="BR2528">
        <v>3.4</v>
      </c>
      <c r="BS2528">
        <v>21.22</v>
      </c>
      <c r="BT2528">
        <v>57.76</v>
      </c>
      <c r="BU2528">
        <v>65.209999999999994</v>
      </c>
      <c r="BV2528">
        <v>7.31</v>
      </c>
      <c r="BW2528">
        <v>28.62</v>
      </c>
      <c r="BX2528">
        <v>13.47</v>
      </c>
      <c r="BY2528">
        <v>16.920000000000002</v>
      </c>
      <c r="BZ2528">
        <v>7.57</v>
      </c>
      <c r="CA2528" t="s">
        <v>120</v>
      </c>
      <c r="CB2528">
        <v>42.82</v>
      </c>
      <c r="CC2528">
        <v>81.84</v>
      </c>
      <c r="CD2528">
        <v>72.25</v>
      </c>
      <c r="CE2528">
        <v>1.32</v>
      </c>
      <c r="CF2528">
        <v>0.7</v>
      </c>
      <c r="CG2528">
        <v>1.37</v>
      </c>
      <c r="CH2528">
        <v>1.1599999999999999</v>
      </c>
      <c r="CI2528">
        <v>1.04</v>
      </c>
      <c r="CJ2528">
        <v>-0.1</v>
      </c>
      <c r="CK2528">
        <v>0.57999999999999996</v>
      </c>
      <c r="CL2528">
        <v>46.42</v>
      </c>
      <c r="CM2528">
        <v>4.8499999999999996</v>
      </c>
      <c r="CN2528">
        <v>-3.4</v>
      </c>
      <c r="CO2528">
        <v>54070</v>
      </c>
      <c r="CP2528">
        <v>19734</v>
      </c>
      <c r="CQ2528" t="s">
        <v>11601</v>
      </c>
      <c r="CR2528">
        <v>644.15</v>
      </c>
      <c r="CS2528">
        <v>14.22</v>
      </c>
      <c r="CT2528">
        <v>3.77</v>
      </c>
      <c r="CU2528">
        <v>95.83</v>
      </c>
      <c r="CV2528">
        <v>5.68</v>
      </c>
      <c r="CW2528">
        <v>0.57999999999999996</v>
      </c>
      <c r="CX2528" t="s">
        <v>145</v>
      </c>
      <c r="CY2528">
        <v>4.57</v>
      </c>
      <c r="CZ2528">
        <v>0</v>
      </c>
      <c r="DA2528">
        <v>1.59</v>
      </c>
      <c r="DB2528">
        <v>1.72</v>
      </c>
      <c r="DC2528">
        <v>0.18</v>
      </c>
      <c r="DD2528">
        <v>76.67</v>
      </c>
      <c r="DE2528" t="s">
        <v>4026</v>
      </c>
      <c r="DF2528">
        <v>11.72</v>
      </c>
      <c r="DG2528">
        <v>1.62</v>
      </c>
      <c r="DH2528">
        <v>1.27</v>
      </c>
      <c r="DI2528">
        <v>2.59</v>
      </c>
      <c r="DJ2528">
        <v>6778</v>
      </c>
      <c r="DK2528">
        <v>600160</v>
      </c>
      <c r="DL2528">
        <v>20210826</v>
      </c>
      <c r="DM2528">
        <v>15.15</v>
      </c>
      <c r="DN2528">
        <v>13.73</v>
      </c>
    </row>
    <row r="2529" spans="1:118">
      <c r="A2529" t="str">
        <f>"600161"</f>
        <v>600161</v>
      </c>
      <c r="B2529" t="s">
        <v>11602</v>
      </c>
      <c r="C2529">
        <v>-3.41</v>
      </c>
      <c r="D2529">
        <v>-0.08</v>
      </c>
      <c r="E2529">
        <v>-0.53</v>
      </c>
      <c r="F2529">
        <v>1820</v>
      </c>
      <c r="G2529" t="s">
        <v>11603</v>
      </c>
      <c r="H2529">
        <v>35041.599999999999</v>
      </c>
      <c r="I2529">
        <v>51.16</v>
      </c>
      <c r="J2529" t="s">
        <v>120</v>
      </c>
      <c r="K2529" t="s">
        <v>11604</v>
      </c>
      <c r="L2529">
        <v>0.84</v>
      </c>
      <c r="M2529">
        <v>32.9</v>
      </c>
      <c r="N2529">
        <v>0.53</v>
      </c>
      <c r="O2529">
        <v>-0.26</v>
      </c>
      <c r="P2529">
        <v>33.97</v>
      </c>
      <c r="Q2529">
        <v>-3.55</v>
      </c>
      <c r="R2529">
        <v>32.85</v>
      </c>
      <c r="S2529">
        <v>33.880000000000003</v>
      </c>
      <c r="T2529">
        <v>105111</v>
      </c>
      <c r="U2529">
        <v>32.9</v>
      </c>
      <c r="V2529">
        <v>34.06</v>
      </c>
      <c r="W2529">
        <v>67.05</v>
      </c>
      <c r="X2529" t="s">
        <v>666</v>
      </c>
      <c r="Y2529" t="s">
        <v>158</v>
      </c>
      <c r="Z2529">
        <v>3.29</v>
      </c>
      <c r="AA2529">
        <v>33.340000000000003</v>
      </c>
      <c r="AB2529">
        <v>59701</v>
      </c>
      <c r="AC2529">
        <v>45410</v>
      </c>
      <c r="AD2529">
        <v>1.31</v>
      </c>
      <c r="AE2529">
        <v>123</v>
      </c>
      <c r="AF2529">
        <v>612</v>
      </c>
      <c r="AG2529" t="s">
        <v>120</v>
      </c>
      <c r="AH2529">
        <v>0</v>
      </c>
      <c r="AI2529" t="s">
        <v>120</v>
      </c>
      <c r="AJ2529">
        <v>12.54</v>
      </c>
      <c r="AK2529" t="s">
        <v>11605</v>
      </c>
      <c r="AL2529">
        <v>-2.06</v>
      </c>
      <c r="AM2529">
        <v>3810</v>
      </c>
      <c r="AN2529">
        <v>28</v>
      </c>
      <c r="AO2529">
        <v>2.0000000000000001E-4</v>
      </c>
      <c r="AP2529">
        <v>-3</v>
      </c>
      <c r="AQ2529">
        <v>-0.09</v>
      </c>
      <c r="AR2529">
        <v>-6.77</v>
      </c>
      <c r="AS2529">
        <v>-6.19</v>
      </c>
      <c r="AT2529">
        <v>-0.06</v>
      </c>
      <c r="AU2529">
        <v>-20.91</v>
      </c>
      <c r="AV2529">
        <v>3</v>
      </c>
      <c r="AW2529">
        <v>1.86</v>
      </c>
      <c r="AX2529">
        <v>41.23</v>
      </c>
      <c r="AY2529">
        <v>67.569999999999993</v>
      </c>
      <c r="AZ2529">
        <v>73.19</v>
      </c>
      <c r="BA2529">
        <v>1.41</v>
      </c>
      <c r="BB2529" t="s">
        <v>143</v>
      </c>
      <c r="BF2529">
        <v>-2.12</v>
      </c>
      <c r="BG2529">
        <v>-2.89</v>
      </c>
      <c r="BH2529">
        <v>-3.15</v>
      </c>
      <c r="BI2529">
        <v>0.15</v>
      </c>
      <c r="BJ2529">
        <v>20210827</v>
      </c>
      <c r="BK2529">
        <v>19980616</v>
      </c>
      <c r="BL2529">
        <v>13.73</v>
      </c>
      <c r="BM2529" t="s">
        <v>120</v>
      </c>
      <c r="BN2529" t="s">
        <v>120</v>
      </c>
      <c r="BO2529">
        <v>112.88</v>
      </c>
      <c r="BP2529">
        <v>32.89</v>
      </c>
      <c r="BQ2529">
        <v>76.290000000000006</v>
      </c>
      <c r="BR2529">
        <v>20.86</v>
      </c>
      <c r="BS2529">
        <v>13.94</v>
      </c>
      <c r="BT2529">
        <v>79.64</v>
      </c>
      <c r="BU2529">
        <v>9.5299999999999994</v>
      </c>
      <c r="BV2529">
        <v>3.03</v>
      </c>
      <c r="BW2529">
        <v>10.210000000000001</v>
      </c>
      <c r="BX2529">
        <v>48.6</v>
      </c>
      <c r="BY2529">
        <v>22.31</v>
      </c>
      <c r="BZ2529">
        <v>0.22</v>
      </c>
      <c r="CA2529" t="s">
        <v>120</v>
      </c>
      <c r="CB2529">
        <v>30.67</v>
      </c>
      <c r="CC2529">
        <v>18.11</v>
      </c>
      <c r="CD2529">
        <v>9.43</v>
      </c>
      <c r="CE2529">
        <v>5.78</v>
      </c>
      <c r="CF2529">
        <v>0</v>
      </c>
      <c r="CG2529">
        <v>5.77</v>
      </c>
      <c r="CH2529">
        <v>4.8899999999999997</v>
      </c>
      <c r="CI2529">
        <v>3.37</v>
      </c>
      <c r="CJ2529">
        <v>-1.1599999999999999</v>
      </c>
      <c r="CK2529">
        <v>3.32</v>
      </c>
      <c r="CL2529">
        <v>29.38</v>
      </c>
      <c r="CM2529">
        <v>6.29</v>
      </c>
      <c r="CN2529">
        <v>21.1</v>
      </c>
      <c r="CO2529">
        <v>67264</v>
      </c>
      <c r="CP2529">
        <v>8417</v>
      </c>
      <c r="CQ2529" t="s">
        <v>11606</v>
      </c>
      <c r="CR2529">
        <v>18.75</v>
      </c>
      <c r="CS2529">
        <v>16.5</v>
      </c>
      <c r="CT2529">
        <v>5.92</v>
      </c>
      <c r="CU2529">
        <v>71.83</v>
      </c>
      <c r="CV2529">
        <v>24.94</v>
      </c>
      <c r="CW2529">
        <v>0.28999999999999998</v>
      </c>
      <c r="CX2529" t="s">
        <v>670</v>
      </c>
      <c r="CY2529">
        <v>5.56</v>
      </c>
      <c r="CZ2529">
        <v>0</v>
      </c>
      <c r="DA2529">
        <v>2.23</v>
      </c>
      <c r="DB2529">
        <v>2.14</v>
      </c>
      <c r="DC2529">
        <v>0.46</v>
      </c>
      <c r="DD2529">
        <v>67.59</v>
      </c>
      <c r="DE2529" t="s">
        <v>3697</v>
      </c>
      <c r="DF2529">
        <v>47.95</v>
      </c>
      <c r="DG2529">
        <v>31.89</v>
      </c>
      <c r="DH2529">
        <v>18.600000000000001</v>
      </c>
      <c r="DI2529">
        <v>0.45</v>
      </c>
      <c r="DJ2529">
        <v>3592</v>
      </c>
      <c r="DK2529">
        <v>600161</v>
      </c>
      <c r="DL2529" t="s">
        <v>120</v>
      </c>
      <c r="DM2529" t="s">
        <v>120</v>
      </c>
      <c r="DN2529" t="s">
        <v>120</v>
      </c>
    </row>
    <row r="2530" spans="1:118">
      <c r="A2530" t="str">
        <f>"600162"</f>
        <v>600162</v>
      </c>
      <c r="B2530" t="s">
        <v>11607</v>
      </c>
      <c r="C2530">
        <v>-3</v>
      </c>
      <c r="D2530">
        <v>-0.5</v>
      </c>
      <c r="E2530">
        <v>0.5</v>
      </c>
      <c r="F2530">
        <v>8185</v>
      </c>
      <c r="G2530" t="s">
        <v>5298</v>
      </c>
      <c r="H2530">
        <v>2729.84</v>
      </c>
      <c r="I2530">
        <v>21.35</v>
      </c>
      <c r="J2530" t="s">
        <v>120</v>
      </c>
      <c r="K2530" t="s">
        <v>11608</v>
      </c>
      <c r="L2530">
        <v>0.4</v>
      </c>
      <c r="M2530">
        <v>1.94</v>
      </c>
      <c r="N2530">
        <v>0.7</v>
      </c>
      <c r="O2530">
        <v>1.5</v>
      </c>
      <c r="P2530">
        <v>2.0299999999999998</v>
      </c>
      <c r="Q2530">
        <v>-3</v>
      </c>
      <c r="R2530">
        <v>1.94</v>
      </c>
      <c r="S2530">
        <v>2.0099999999999998</v>
      </c>
      <c r="T2530">
        <v>137369</v>
      </c>
      <c r="U2530">
        <v>1.95</v>
      </c>
      <c r="V2530">
        <v>2</v>
      </c>
      <c r="W2530">
        <v>79.72</v>
      </c>
      <c r="X2530" t="s">
        <v>132</v>
      </c>
      <c r="Y2530" t="s">
        <v>123</v>
      </c>
      <c r="Z2530">
        <v>4.5</v>
      </c>
      <c r="AA2530">
        <v>1.99</v>
      </c>
      <c r="AB2530">
        <v>86164</v>
      </c>
      <c r="AC2530">
        <v>51205</v>
      </c>
      <c r="AD2530">
        <v>1.68</v>
      </c>
      <c r="AE2530">
        <v>235</v>
      </c>
      <c r="AF2530">
        <v>560</v>
      </c>
      <c r="AG2530" t="s">
        <v>120</v>
      </c>
      <c r="AH2530">
        <v>0.01</v>
      </c>
      <c r="AI2530" t="s">
        <v>120</v>
      </c>
      <c r="AJ2530">
        <v>33.96</v>
      </c>
      <c r="AK2530" t="s">
        <v>11608</v>
      </c>
      <c r="AL2530">
        <v>-1.66</v>
      </c>
      <c r="AM2530">
        <v>1389</v>
      </c>
      <c r="AN2530">
        <v>99</v>
      </c>
      <c r="AO2530">
        <v>2.9999999999999997E-4</v>
      </c>
      <c r="AP2530">
        <v>-1</v>
      </c>
      <c r="AQ2530">
        <v>0.5</v>
      </c>
      <c r="AR2530">
        <v>-5.37</v>
      </c>
      <c r="AS2530">
        <v>8.99</v>
      </c>
      <c r="AT2530">
        <v>7.19</v>
      </c>
      <c r="AU2530">
        <v>2.1</v>
      </c>
      <c r="AV2530">
        <v>0</v>
      </c>
      <c r="AW2530">
        <v>1.17</v>
      </c>
      <c r="AX2530">
        <v>34.67</v>
      </c>
      <c r="AY2530">
        <v>19.27</v>
      </c>
      <c r="AZ2530">
        <v>24.11</v>
      </c>
      <c r="BA2530">
        <v>0.68</v>
      </c>
      <c r="BB2530" t="s">
        <v>143</v>
      </c>
      <c r="BF2530">
        <v>-0.64</v>
      </c>
      <c r="BG2530">
        <v>-3.48</v>
      </c>
      <c r="BH2530">
        <v>-4.43</v>
      </c>
      <c r="BI2530">
        <v>0</v>
      </c>
      <c r="BJ2530">
        <v>20210826</v>
      </c>
      <c r="BK2530">
        <v>19980609</v>
      </c>
      <c r="BL2530">
        <v>33.96</v>
      </c>
      <c r="BM2530" t="s">
        <v>120</v>
      </c>
      <c r="BN2530" t="s">
        <v>120</v>
      </c>
      <c r="BO2530">
        <v>287.85000000000002</v>
      </c>
      <c r="BP2530">
        <v>1.94</v>
      </c>
      <c r="BQ2530">
        <v>53.21</v>
      </c>
      <c r="BR2530">
        <v>4.1900000000000004</v>
      </c>
      <c r="BS2530">
        <v>80.06</v>
      </c>
      <c r="BT2530">
        <v>218.31</v>
      </c>
      <c r="BU2530">
        <v>7.62</v>
      </c>
      <c r="BV2530">
        <v>0.98</v>
      </c>
      <c r="BW2530">
        <v>176.21</v>
      </c>
      <c r="BX2530">
        <v>34.69</v>
      </c>
      <c r="BY2530">
        <v>165.1</v>
      </c>
      <c r="BZ2530">
        <v>0.5</v>
      </c>
      <c r="CA2530">
        <v>0.41</v>
      </c>
      <c r="CB2530">
        <v>0.57999999999999996</v>
      </c>
      <c r="CC2530">
        <v>18.32</v>
      </c>
      <c r="CD2530">
        <v>11.16</v>
      </c>
      <c r="CE2530">
        <v>1.17</v>
      </c>
      <c r="CF2530">
        <v>0.52</v>
      </c>
      <c r="CG2530">
        <v>1.21</v>
      </c>
      <c r="CH2530">
        <v>0.4</v>
      </c>
      <c r="CI2530">
        <v>0.41</v>
      </c>
      <c r="CJ2530">
        <v>-0.06</v>
      </c>
      <c r="CK2530">
        <v>0.18</v>
      </c>
      <c r="CL2530">
        <v>18.399999999999999</v>
      </c>
      <c r="CM2530">
        <v>-8.0299999999999994</v>
      </c>
      <c r="CN2530">
        <v>-3.64</v>
      </c>
      <c r="CO2530">
        <v>61546</v>
      </c>
      <c r="CP2530">
        <v>19131</v>
      </c>
      <c r="CQ2530" t="s">
        <v>11609</v>
      </c>
      <c r="CR2530">
        <v>240.1</v>
      </c>
      <c r="CS2530">
        <v>72.78</v>
      </c>
      <c r="CT2530">
        <v>1.24</v>
      </c>
      <c r="CU2530">
        <v>-8.2100000000000009</v>
      </c>
      <c r="CV2530">
        <v>3.6</v>
      </c>
      <c r="CW2530">
        <v>1.48</v>
      </c>
      <c r="CX2530" t="s">
        <v>178</v>
      </c>
      <c r="CY2530">
        <v>1.57</v>
      </c>
      <c r="CZ2530">
        <v>0</v>
      </c>
      <c r="DA2530">
        <v>0.02</v>
      </c>
      <c r="DB2530">
        <v>0.54</v>
      </c>
      <c r="DC2530">
        <v>-0.24</v>
      </c>
      <c r="DD2530">
        <v>18.48</v>
      </c>
      <c r="DE2530" t="s">
        <v>307</v>
      </c>
      <c r="DF2530">
        <v>39.090000000000003</v>
      </c>
      <c r="DG2530">
        <v>6.39</v>
      </c>
      <c r="DH2530">
        <v>2.2599999999999998</v>
      </c>
      <c r="DI2530" t="s">
        <v>120</v>
      </c>
      <c r="DJ2530">
        <v>3829</v>
      </c>
      <c r="DK2530">
        <v>600162</v>
      </c>
      <c r="DL2530" t="s">
        <v>120</v>
      </c>
      <c r="DM2530" t="s">
        <v>120</v>
      </c>
      <c r="DN2530" t="s">
        <v>120</v>
      </c>
    </row>
    <row r="2531" spans="1:118">
      <c r="A2531" t="str">
        <f>"600163"</f>
        <v>600163</v>
      </c>
      <c r="B2531" t="s">
        <v>11610</v>
      </c>
      <c r="C2531">
        <v>-8.5399999999999991</v>
      </c>
      <c r="D2531">
        <v>-0.65</v>
      </c>
      <c r="E2531">
        <v>-0.85</v>
      </c>
      <c r="F2531">
        <v>18339</v>
      </c>
      <c r="G2531" t="s">
        <v>11611</v>
      </c>
      <c r="H2531">
        <v>103900.64</v>
      </c>
      <c r="I2531">
        <v>1890.31</v>
      </c>
      <c r="J2531" t="s">
        <v>120</v>
      </c>
      <c r="K2531" t="s">
        <v>10016</v>
      </c>
      <c r="L2531">
        <v>11.83</v>
      </c>
      <c r="M2531">
        <v>7.5</v>
      </c>
      <c r="N2531">
        <v>0.77</v>
      </c>
      <c r="O2531">
        <v>0.12</v>
      </c>
      <c r="P2531">
        <v>8.2100000000000009</v>
      </c>
      <c r="Q2531">
        <v>-9.39</v>
      </c>
      <c r="R2531">
        <v>7.43</v>
      </c>
      <c r="S2531">
        <v>8.1300000000000008</v>
      </c>
      <c r="T2531">
        <v>1336741</v>
      </c>
      <c r="U2531">
        <v>7.5</v>
      </c>
      <c r="V2531">
        <v>8.1999999999999993</v>
      </c>
      <c r="W2531">
        <v>21.64</v>
      </c>
      <c r="X2531" t="s">
        <v>356</v>
      </c>
      <c r="Y2531" t="s">
        <v>937</v>
      </c>
      <c r="Z2531">
        <v>9.51</v>
      </c>
      <c r="AA2531">
        <v>7.77</v>
      </c>
      <c r="AB2531">
        <v>702418</v>
      </c>
      <c r="AC2531">
        <v>634323</v>
      </c>
      <c r="AD2531">
        <v>1.1100000000000001</v>
      </c>
      <c r="AE2531">
        <v>856</v>
      </c>
      <c r="AF2531">
        <v>7880</v>
      </c>
      <c r="AG2531" t="s">
        <v>120</v>
      </c>
      <c r="AH2531">
        <v>0.39</v>
      </c>
      <c r="AI2531" t="s">
        <v>120</v>
      </c>
      <c r="AJ2531">
        <v>11.3</v>
      </c>
      <c r="AK2531" t="s">
        <v>11612</v>
      </c>
      <c r="AL2531">
        <v>-7.19</v>
      </c>
      <c r="AM2531">
        <v>4675</v>
      </c>
      <c r="AN2531">
        <v>286</v>
      </c>
      <c r="AO2531">
        <v>2.5000000000000001E-3</v>
      </c>
      <c r="AP2531">
        <v>-1</v>
      </c>
      <c r="AQ2531">
        <v>1.1100000000000001</v>
      </c>
      <c r="AR2531">
        <v>-7.97</v>
      </c>
      <c r="AS2531">
        <v>45.91</v>
      </c>
      <c r="AT2531">
        <v>45.34</v>
      </c>
      <c r="AU2531">
        <v>81.16</v>
      </c>
      <c r="AV2531">
        <v>10</v>
      </c>
      <c r="AW2531">
        <v>22.15</v>
      </c>
      <c r="AX2531">
        <v>33.159999999999997</v>
      </c>
      <c r="AY2531">
        <v>22.59</v>
      </c>
      <c r="AZ2531">
        <v>30.71</v>
      </c>
      <c r="BA2531">
        <v>1.2</v>
      </c>
      <c r="BB2531" t="s">
        <v>341</v>
      </c>
      <c r="BF2531">
        <v>-5.21</v>
      </c>
      <c r="BG2531">
        <v>-7.75</v>
      </c>
      <c r="BH2531">
        <v>-8.65</v>
      </c>
      <c r="BI2531">
        <v>0.94</v>
      </c>
      <c r="BJ2531">
        <v>20210909</v>
      </c>
      <c r="BK2531">
        <v>19980602</v>
      </c>
      <c r="BL2531">
        <v>18.2</v>
      </c>
      <c r="BM2531" t="s">
        <v>120</v>
      </c>
      <c r="BN2531" t="s">
        <v>120</v>
      </c>
      <c r="BO2531">
        <v>107.35</v>
      </c>
      <c r="BP2531">
        <v>7.49</v>
      </c>
      <c r="BQ2531">
        <v>39.33</v>
      </c>
      <c r="BR2531">
        <v>1.59</v>
      </c>
      <c r="BS2531">
        <v>61.88</v>
      </c>
      <c r="BT2531">
        <v>27.29</v>
      </c>
      <c r="BU2531">
        <v>66.25</v>
      </c>
      <c r="BV2531">
        <v>1.38</v>
      </c>
      <c r="BW2531">
        <v>18.78</v>
      </c>
      <c r="BX2531">
        <v>7.76</v>
      </c>
      <c r="BY2531">
        <v>0.28999999999999998</v>
      </c>
      <c r="BZ2531">
        <v>13.92</v>
      </c>
      <c r="CA2531" t="s">
        <v>120</v>
      </c>
      <c r="CB2531">
        <v>23.58</v>
      </c>
      <c r="CC2531">
        <v>7.31</v>
      </c>
      <c r="CD2531">
        <v>2.37</v>
      </c>
      <c r="CE2531">
        <v>3.74</v>
      </c>
      <c r="CF2531">
        <v>0</v>
      </c>
      <c r="CG2531">
        <v>3.73</v>
      </c>
      <c r="CH2531">
        <v>3.45</v>
      </c>
      <c r="CI2531">
        <v>3.15</v>
      </c>
      <c r="CJ2531">
        <v>-0.7</v>
      </c>
      <c r="CK2531">
        <v>3.15</v>
      </c>
      <c r="CL2531">
        <v>-2.6</v>
      </c>
      <c r="CM2531">
        <v>3.59</v>
      </c>
      <c r="CN2531">
        <v>-1.21</v>
      </c>
      <c r="CO2531">
        <v>28391</v>
      </c>
      <c r="CP2531">
        <v>21254</v>
      </c>
      <c r="CQ2531" t="s">
        <v>11532</v>
      </c>
      <c r="CR2531">
        <v>124.15</v>
      </c>
      <c r="CS2531">
        <v>64.03</v>
      </c>
      <c r="CT2531">
        <v>3.28</v>
      </c>
      <c r="CU2531">
        <v>38.04</v>
      </c>
      <c r="CV2531">
        <v>18.66</v>
      </c>
      <c r="CW2531">
        <v>0</v>
      </c>
      <c r="CX2531" t="s">
        <v>442</v>
      </c>
      <c r="CY2531">
        <v>2.2799999999999998</v>
      </c>
      <c r="CZ2531">
        <v>2.2799999999999998</v>
      </c>
      <c r="DA2531">
        <v>1.3</v>
      </c>
      <c r="DB2531">
        <v>-0.14000000000000001</v>
      </c>
      <c r="DC2531">
        <v>0.2</v>
      </c>
      <c r="DD2531">
        <v>36.64</v>
      </c>
      <c r="DE2531" t="s">
        <v>9001</v>
      </c>
      <c r="DF2531">
        <v>67.58</v>
      </c>
      <c r="DG2531">
        <v>51.09</v>
      </c>
      <c r="DH2531">
        <v>43.13</v>
      </c>
      <c r="DI2531" t="s">
        <v>120</v>
      </c>
      <c r="DJ2531">
        <v>437</v>
      </c>
      <c r="DK2531">
        <v>600163</v>
      </c>
      <c r="DL2531">
        <v>20210906</v>
      </c>
      <c r="DM2531">
        <v>6.97</v>
      </c>
      <c r="DN2531">
        <v>7.6</v>
      </c>
    </row>
    <row r="2532" spans="1:118">
      <c r="A2532" t="str">
        <f>"600165"</f>
        <v>600165</v>
      </c>
      <c r="B2532" t="s">
        <v>11613</v>
      </c>
      <c r="C2532">
        <v>0.6</v>
      </c>
      <c r="D2532">
        <v>0</v>
      </c>
      <c r="E2532">
        <v>1.47</v>
      </c>
      <c r="F2532">
        <v>3805</v>
      </c>
      <c r="G2532" t="s">
        <v>11614</v>
      </c>
      <c r="H2532">
        <v>47910.97</v>
      </c>
      <c r="I2532">
        <v>854.81</v>
      </c>
      <c r="J2532" t="s">
        <v>120</v>
      </c>
      <c r="K2532" t="s">
        <v>8940</v>
      </c>
      <c r="L2532">
        <v>5.91</v>
      </c>
      <c r="M2532">
        <v>11.65</v>
      </c>
      <c r="N2532">
        <v>1.71</v>
      </c>
      <c r="O2532">
        <v>4.49</v>
      </c>
      <c r="P2532">
        <v>12.1</v>
      </c>
      <c r="Q2532">
        <v>0</v>
      </c>
      <c r="R2532">
        <v>11.58</v>
      </c>
      <c r="S2532">
        <v>11.75</v>
      </c>
      <c r="T2532">
        <v>404946</v>
      </c>
      <c r="U2532">
        <v>11.65</v>
      </c>
      <c r="V2532">
        <v>11.58</v>
      </c>
      <c r="W2532" t="s">
        <v>120</v>
      </c>
      <c r="X2532" t="s">
        <v>868</v>
      </c>
      <c r="Y2532" t="s">
        <v>1110</v>
      </c>
      <c r="Z2532">
        <v>4.49</v>
      </c>
      <c r="AA2532">
        <v>11.83</v>
      </c>
      <c r="AB2532">
        <v>211240</v>
      </c>
      <c r="AC2532">
        <v>193706</v>
      </c>
      <c r="AD2532">
        <v>1.0900000000000001</v>
      </c>
      <c r="AE2532">
        <v>13</v>
      </c>
      <c r="AF2532">
        <v>513</v>
      </c>
      <c r="AG2532" t="s">
        <v>120</v>
      </c>
      <c r="AH2532">
        <v>0.15</v>
      </c>
      <c r="AI2532" t="s">
        <v>120</v>
      </c>
      <c r="AJ2532">
        <v>6.85</v>
      </c>
      <c r="AK2532" t="s">
        <v>8940</v>
      </c>
      <c r="AL2532">
        <v>1.95</v>
      </c>
      <c r="AM2532">
        <v>3895</v>
      </c>
      <c r="AN2532">
        <v>104</v>
      </c>
      <c r="AO2532">
        <v>1.5E-3</v>
      </c>
      <c r="AP2532">
        <v>6</v>
      </c>
      <c r="AQ2532">
        <v>9.9700000000000006</v>
      </c>
      <c r="AR2532">
        <v>12.56</v>
      </c>
      <c r="AS2532">
        <v>54.92</v>
      </c>
      <c r="AT2532">
        <v>50.32</v>
      </c>
      <c r="AU2532">
        <v>58.93</v>
      </c>
      <c r="AV2532">
        <v>3</v>
      </c>
      <c r="AW2532">
        <v>8.35</v>
      </c>
      <c r="AX2532">
        <v>70.8</v>
      </c>
      <c r="AY2532">
        <v>508.47</v>
      </c>
      <c r="AZ2532">
        <v>379.36</v>
      </c>
      <c r="BA2532">
        <v>0.46</v>
      </c>
      <c r="BB2532" t="s">
        <v>700</v>
      </c>
      <c r="BF2532">
        <v>2.17</v>
      </c>
      <c r="BG2532">
        <v>-0.85</v>
      </c>
      <c r="BH2532">
        <v>-3.72</v>
      </c>
      <c r="BI2532">
        <v>0.6</v>
      </c>
      <c r="BJ2532">
        <v>20210825</v>
      </c>
      <c r="BK2532">
        <v>19980529</v>
      </c>
      <c r="BL2532">
        <v>6.85</v>
      </c>
      <c r="BM2532" t="s">
        <v>120</v>
      </c>
      <c r="BN2532" t="s">
        <v>120</v>
      </c>
      <c r="BO2532">
        <v>31.9</v>
      </c>
      <c r="BP2532">
        <v>11.64</v>
      </c>
      <c r="BQ2532">
        <v>9.4499999999999993</v>
      </c>
      <c r="BR2532">
        <v>3.14</v>
      </c>
      <c r="BS2532">
        <v>60.52</v>
      </c>
      <c r="BT2532">
        <v>3.59</v>
      </c>
      <c r="BU2532">
        <v>4.1900000000000004</v>
      </c>
      <c r="BV2532">
        <v>0.53</v>
      </c>
      <c r="BW2532">
        <v>8.61</v>
      </c>
      <c r="BX2532">
        <v>1.83</v>
      </c>
      <c r="BY2532">
        <v>0.75</v>
      </c>
      <c r="BZ2532">
        <v>0.15</v>
      </c>
      <c r="CA2532">
        <v>0</v>
      </c>
      <c r="CB2532">
        <v>4.6399999999999997</v>
      </c>
      <c r="CC2532">
        <v>0.82</v>
      </c>
      <c r="CD2532">
        <v>0.68</v>
      </c>
      <c r="CE2532">
        <v>-0.12</v>
      </c>
      <c r="CF2532">
        <v>0.1</v>
      </c>
      <c r="CG2532">
        <v>-0.12</v>
      </c>
      <c r="CH2532">
        <v>-0.14000000000000001</v>
      </c>
      <c r="CI2532">
        <v>-0.11</v>
      </c>
      <c r="CJ2532">
        <v>7.0000000000000007E-2</v>
      </c>
      <c r="CK2532">
        <v>-0.12</v>
      </c>
      <c r="CL2532">
        <v>-2.33</v>
      </c>
      <c r="CM2532">
        <v>7.0000000000000007E-2</v>
      </c>
      <c r="CN2532">
        <v>-0.06</v>
      </c>
      <c r="CO2532">
        <v>27319</v>
      </c>
      <c r="CP2532">
        <v>17749</v>
      </c>
      <c r="CQ2532" t="s">
        <v>11615</v>
      </c>
      <c r="CR2532">
        <v>-89.81</v>
      </c>
      <c r="CS2532">
        <v>105.28</v>
      </c>
      <c r="CT2532">
        <v>8.44</v>
      </c>
      <c r="CU2532">
        <v>1101.1500000000001</v>
      </c>
      <c r="CV2532">
        <v>97.65</v>
      </c>
      <c r="CW2532">
        <v>0</v>
      </c>
      <c r="CX2532" t="s">
        <v>419</v>
      </c>
      <c r="CY2532">
        <v>1.38</v>
      </c>
      <c r="CZ2532">
        <v>0</v>
      </c>
      <c r="DA2532">
        <v>0.68</v>
      </c>
      <c r="DB2532">
        <v>-0.34</v>
      </c>
      <c r="DC2532">
        <v>0.01</v>
      </c>
      <c r="DD2532">
        <v>29.64</v>
      </c>
      <c r="DE2532" t="s">
        <v>2853</v>
      </c>
      <c r="DF2532">
        <v>16.41</v>
      </c>
      <c r="DG2532">
        <v>-15.24</v>
      </c>
      <c r="DH2532">
        <v>-13.73</v>
      </c>
      <c r="DI2532">
        <v>0.02</v>
      </c>
      <c r="DJ2532">
        <v>971</v>
      </c>
      <c r="DK2532">
        <v>600165</v>
      </c>
      <c r="DL2532" t="s">
        <v>120</v>
      </c>
      <c r="DM2532" t="s">
        <v>120</v>
      </c>
      <c r="DN2532" t="s">
        <v>120</v>
      </c>
    </row>
    <row r="2533" spans="1:118">
      <c r="A2533" t="str">
        <f>"600166"</f>
        <v>600166</v>
      </c>
      <c r="B2533" t="s">
        <v>11616</v>
      </c>
      <c r="C2533">
        <v>-6.76</v>
      </c>
      <c r="D2533">
        <v>0</v>
      </c>
      <c r="E2533">
        <v>-0.45</v>
      </c>
      <c r="F2533">
        <v>23673</v>
      </c>
      <c r="G2533" t="s">
        <v>9265</v>
      </c>
      <c r="H2533">
        <v>115095.34</v>
      </c>
      <c r="I2533">
        <v>151.74</v>
      </c>
      <c r="J2533" t="s">
        <v>120</v>
      </c>
      <c r="K2533" t="s">
        <v>11617</v>
      </c>
      <c r="L2533">
        <v>4.12</v>
      </c>
      <c r="M2533">
        <v>4.1399999999999997</v>
      </c>
      <c r="N2533">
        <v>1.01</v>
      </c>
      <c r="O2533">
        <v>0.23</v>
      </c>
      <c r="P2533">
        <v>4.45</v>
      </c>
      <c r="Q2533">
        <v>-7.21</v>
      </c>
      <c r="R2533">
        <v>4.12</v>
      </c>
      <c r="S2533">
        <v>4.42</v>
      </c>
      <c r="T2533">
        <v>2707001</v>
      </c>
      <c r="U2533">
        <v>4.1500000000000004</v>
      </c>
      <c r="V2533">
        <v>4.4400000000000004</v>
      </c>
      <c r="W2533">
        <v>22.4</v>
      </c>
      <c r="X2533" t="s">
        <v>1068</v>
      </c>
      <c r="Y2533" t="s">
        <v>158</v>
      </c>
      <c r="Z2533">
        <v>7.43</v>
      </c>
      <c r="AA2533">
        <v>4.25</v>
      </c>
      <c r="AB2533">
        <v>1458534</v>
      </c>
      <c r="AC2533">
        <v>1248467</v>
      </c>
      <c r="AD2533">
        <v>1.17</v>
      </c>
      <c r="AE2533">
        <v>4428</v>
      </c>
      <c r="AF2533">
        <v>6436</v>
      </c>
      <c r="AG2533" t="s">
        <v>120</v>
      </c>
      <c r="AH2533">
        <v>0.01</v>
      </c>
      <c r="AI2533" t="s">
        <v>120</v>
      </c>
      <c r="AJ2533">
        <v>65.75</v>
      </c>
      <c r="AK2533" t="s">
        <v>11617</v>
      </c>
      <c r="AL2533">
        <v>-5.41</v>
      </c>
      <c r="AM2533">
        <v>4701</v>
      </c>
      <c r="AN2533">
        <v>576</v>
      </c>
      <c r="AO2533">
        <v>8.9999999999999998E-4</v>
      </c>
      <c r="AP2533">
        <v>-1</v>
      </c>
      <c r="AQ2533">
        <v>1.1399999999999999</v>
      </c>
      <c r="AR2533">
        <v>-11.15</v>
      </c>
      <c r="AS2533">
        <v>1.97</v>
      </c>
      <c r="AT2533">
        <v>16.29</v>
      </c>
      <c r="AU2533">
        <v>31.43</v>
      </c>
      <c r="AV2533">
        <v>11</v>
      </c>
      <c r="AW2533">
        <v>6.05</v>
      </c>
      <c r="AX2533">
        <v>68.03</v>
      </c>
      <c r="AY2533">
        <v>50.08</v>
      </c>
      <c r="AZ2533">
        <v>188.79</v>
      </c>
      <c r="BA2533">
        <v>1.45</v>
      </c>
      <c r="BB2533" t="s">
        <v>143</v>
      </c>
      <c r="BF2533">
        <v>-4.24</v>
      </c>
      <c r="BG2533">
        <v>-6.33</v>
      </c>
      <c r="BH2533">
        <v>-6.97</v>
      </c>
      <c r="BI2533">
        <v>0.49</v>
      </c>
      <c r="BJ2533">
        <v>20210724</v>
      </c>
      <c r="BK2533">
        <v>19980602</v>
      </c>
      <c r="BL2533">
        <v>65.75</v>
      </c>
      <c r="BM2533" t="s">
        <v>120</v>
      </c>
      <c r="BN2533" t="s">
        <v>120</v>
      </c>
      <c r="BO2533">
        <v>544.08000000000004</v>
      </c>
      <c r="BP2533">
        <v>4.1399999999999997</v>
      </c>
      <c r="BQ2533">
        <v>160.69999999999999</v>
      </c>
      <c r="BR2533">
        <v>-0.28999999999999998</v>
      </c>
      <c r="BS2533">
        <v>70.52</v>
      </c>
      <c r="BT2533">
        <v>222.81</v>
      </c>
      <c r="BU2533">
        <v>115.88</v>
      </c>
      <c r="BV2533">
        <v>45.13</v>
      </c>
      <c r="BW2533">
        <v>311.58</v>
      </c>
      <c r="BX2533">
        <v>54.13</v>
      </c>
      <c r="BY2533">
        <v>60.04</v>
      </c>
      <c r="BZ2533">
        <v>46.07</v>
      </c>
      <c r="CA2533" t="s">
        <v>120</v>
      </c>
      <c r="CB2533">
        <v>79.739999999999995</v>
      </c>
      <c r="CC2533">
        <v>319.31</v>
      </c>
      <c r="CD2533">
        <v>285.75</v>
      </c>
      <c r="CE2533">
        <v>5.29</v>
      </c>
      <c r="CF2533">
        <v>6.99</v>
      </c>
      <c r="CG2533">
        <v>5.54</v>
      </c>
      <c r="CH2533">
        <v>6.02</v>
      </c>
      <c r="CI2533">
        <v>6.08</v>
      </c>
      <c r="CJ2533">
        <v>-0.3</v>
      </c>
      <c r="CK2533">
        <v>3.24</v>
      </c>
      <c r="CL2533">
        <v>-3.52</v>
      </c>
      <c r="CM2533">
        <v>13.41</v>
      </c>
      <c r="CN2533">
        <v>0.88</v>
      </c>
      <c r="CO2533">
        <v>189533</v>
      </c>
      <c r="CP2533">
        <v>23602</v>
      </c>
      <c r="CQ2533" t="s">
        <v>3277</v>
      </c>
      <c r="CR2533">
        <v>238.77</v>
      </c>
      <c r="CS2533">
        <v>17.329999999999998</v>
      </c>
      <c r="CT2533">
        <v>1.69</v>
      </c>
      <c r="CU2533">
        <v>20.3</v>
      </c>
      <c r="CV2533">
        <v>0.85</v>
      </c>
      <c r="CW2533">
        <v>0</v>
      </c>
      <c r="CX2533" t="s">
        <v>329</v>
      </c>
      <c r="CY2533">
        <v>2.44</v>
      </c>
      <c r="CZ2533">
        <v>0</v>
      </c>
      <c r="DA2533">
        <v>1.21</v>
      </c>
      <c r="DB2533">
        <v>-0.05</v>
      </c>
      <c r="DC2533">
        <v>0.2</v>
      </c>
      <c r="DD2533">
        <v>29.54</v>
      </c>
      <c r="DE2533" t="s">
        <v>11618</v>
      </c>
      <c r="DF2533">
        <v>10.51</v>
      </c>
      <c r="DG2533">
        <v>1.66</v>
      </c>
      <c r="DH2533">
        <v>1.9</v>
      </c>
      <c r="DI2533">
        <v>8.7100000000000009</v>
      </c>
      <c r="DJ2533">
        <v>21750</v>
      </c>
      <c r="DK2533">
        <v>600166</v>
      </c>
      <c r="DL2533">
        <v>20210902</v>
      </c>
      <c r="DM2533">
        <v>4.5199999999999996</v>
      </c>
      <c r="DN2533">
        <v>-8.41</v>
      </c>
    </row>
    <row r="2534" spans="1:118">
      <c r="A2534" t="str">
        <f>"600167"</f>
        <v>600167</v>
      </c>
      <c r="B2534" t="s">
        <v>11619</v>
      </c>
      <c r="C2534">
        <v>4.05</v>
      </c>
      <c r="D2534">
        <v>0.11</v>
      </c>
      <c r="E2534">
        <v>0.81</v>
      </c>
      <c r="F2534">
        <v>4155</v>
      </c>
      <c r="G2534" t="s">
        <v>11620</v>
      </c>
      <c r="H2534">
        <v>26204.77</v>
      </c>
      <c r="I2534">
        <v>42.16</v>
      </c>
      <c r="J2534" t="s">
        <v>120</v>
      </c>
      <c r="K2534" t="s">
        <v>11621</v>
      </c>
      <c r="L2534">
        <v>1.27</v>
      </c>
      <c r="M2534">
        <v>8.99</v>
      </c>
      <c r="N2534">
        <v>2.5</v>
      </c>
      <c r="O2534">
        <v>8.1</v>
      </c>
      <c r="P2534">
        <v>9.34</v>
      </c>
      <c r="Q2534">
        <v>0.57999999999999996</v>
      </c>
      <c r="R2534">
        <v>8.69</v>
      </c>
      <c r="S2534">
        <v>8.7100000000000009</v>
      </c>
      <c r="T2534">
        <v>290328</v>
      </c>
      <c r="U2534">
        <v>9</v>
      </c>
      <c r="V2534">
        <v>8.64</v>
      </c>
      <c r="W2534">
        <v>15.33</v>
      </c>
      <c r="X2534" t="s">
        <v>684</v>
      </c>
      <c r="Y2534" t="s">
        <v>432</v>
      </c>
      <c r="Z2534">
        <v>7.52</v>
      </c>
      <c r="AA2534">
        <v>9.0299999999999994</v>
      </c>
      <c r="AB2534">
        <v>129528</v>
      </c>
      <c r="AC2534">
        <v>160800</v>
      </c>
      <c r="AD2534">
        <v>0.81</v>
      </c>
      <c r="AE2534">
        <v>158</v>
      </c>
      <c r="AF2534">
        <v>3465</v>
      </c>
      <c r="AG2534" t="s">
        <v>120</v>
      </c>
      <c r="AH2534">
        <v>0.01</v>
      </c>
      <c r="AI2534" t="s">
        <v>120</v>
      </c>
      <c r="AJ2534">
        <v>22.88</v>
      </c>
      <c r="AK2534" t="s">
        <v>11621</v>
      </c>
      <c r="AL2534">
        <v>5.39</v>
      </c>
      <c r="AM2534">
        <v>3371</v>
      </c>
      <c r="AN2534">
        <v>86</v>
      </c>
      <c r="AO2534">
        <v>4.0000000000000002E-4</v>
      </c>
      <c r="AP2534">
        <v>1</v>
      </c>
      <c r="AQ2534">
        <v>-0.23</v>
      </c>
      <c r="AR2534">
        <v>1.69</v>
      </c>
      <c r="AS2534">
        <v>3.45</v>
      </c>
      <c r="AT2534">
        <v>2.74</v>
      </c>
      <c r="AU2534">
        <v>-17.899999999999999</v>
      </c>
      <c r="AV2534">
        <v>0</v>
      </c>
      <c r="AW2534">
        <v>3.94</v>
      </c>
      <c r="AX2534">
        <v>32.19</v>
      </c>
      <c r="AY2534">
        <v>13.94</v>
      </c>
      <c r="AZ2534">
        <v>11.73</v>
      </c>
      <c r="BA2534">
        <v>0.25</v>
      </c>
      <c r="BB2534" t="s">
        <v>125</v>
      </c>
      <c r="BF2534">
        <v>4.47</v>
      </c>
      <c r="BG2534">
        <v>3.21</v>
      </c>
      <c r="BH2534">
        <v>-3.75</v>
      </c>
      <c r="BI2534">
        <v>3.45</v>
      </c>
      <c r="BJ2534">
        <v>20210830</v>
      </c>
      <c r="BK2534">
        <v>19990128</v>
      </c>
      <c r="BL2534">
        <v>22.88</v>
      </c>
      <c r="BM2534" t="s">
        <v>120</v>
      </c>
      <c r="BN2534" t="s">
        <v>120</v>
      </c>
      <c r="BO2534">
        <v>131.13999999999999</v>
      </c>
      <c r="BP2534">
        <v>8.99</v>
      </c>
      <c r="BQ2534">
        <v>83.82</v>
      </c>
      <c r="BR2534">
        <v>3.1</v>
      </c>
      <c r="BS2534">
        <v>33.72</v>
      </c>
      <c r="BT2534">
        <v>71.03</v>
      </c>
      <c r="BU2534">
        <v>31.05</v>
      </c>
      <c r="BV2534">
        <v>2.99</v>
      </c>
      <c r="BW2534">
        <v>30.01</v>
      </c>
      <c r="BX2534">
        <v>46.39</v>
      </c>
      <c r="BY2534">
        <v>3.59</v>
      </c>
      <c r="BZ2534">
        <v>10.77</v>
      </c>
      <c r="CA2534" t="s">
        <v>120</v>
      </c>
      <c r="CB2534">
        <v>7.47</v>
      </c>
      <c r="CC2534">
        <v>18.899999999999999</v>
      </c>
      <c r="CD2534">
        <v>8.98</v>
      </c>
      <c r="CE2534">
        <v>8.6999999999999993</v>
      </c>
      <c r="CF2534">
        <v>0.05</v>
      </c>
      <c r="CG2534">
        <v>8.75</v>
      </c>
      <c r="CH2534">
        <v>6.88</v>
      </c>
      <c r="CI2534">
        <v>6.71</v>
      </c>
      <c r="CJ2534">
        <v>0.35</v>
      </c>
      <c r="CK2534">
        <v>7.42</v>
      </c>
      <c r="CL2534">
        <v>50.36</v>
      </c>
      <c r="CM2534">
        <v>-6.28</v>
      </c>
      <c r="CN2534">
        <v>-14.06</v>
      </c>
      <c r="CO2534">
        <v>40666</v>
      </c>
      <c r="CP2534">
        <v>18109</v>
      </c>
      <c r="CQ2534" t="s">
        <v>11622</v>
      </c>
      <c r="CR2534">
        <v>-28.52</v>
      </c>
      <c r="CS2534">
        <v>-7.16</v>
      </c>
      <c r="CT2534">
        <v>2.4500000000000002</v>
      </c>
      <c r="CU2534">
        <v>-32.75</v>
      </c>
      <c r="CV2534">
        <v>10.88</v>
      </c>
      <c r="CW2534">
        <v>4.59</v>
      </c>
      <c r="CX2534" t="s">
        <v>1340</v>
      </c>
      <c r="CY2534">
        <v>3.66</v>
      </c>
      <c r="CZ2534">
        <v>0</v>
      </c>
      <c r="DA2534">
        <v>0.33</v>
      </c>
      <c r="DB2534">
        <v>2.2000000000000002</v>
      </c>
      <c r="DC2534">
        <v>-0.27</v>
      </c>
      <c r="DD2534">
        <v>63.92</v>
      </c>
      <c r="DE2534" t="s">
        <v>9752</v>
      </c>
      <c r="DF2534">
        <v>52.51</v>
      </c>
      <c r="DG2534">
        <v>46.03</v>
      </c>
      <c r="DH2534">
        <v>35.5</v>
      </c>
      <c r="DI2534">
        <v>0.06</v>
      </c>
      <c r="DJ2534">
        <v>3146</v>
      </c>
      <c r="DK2534">
        <v>600167</v>
      </c>
      <c r="DL2534" t="s">
        <v>120</v>
      </c>
      <c r="DM2534" t="s">
        <v>120</v>
      </c>
      <c r="DN2534" t="s">
        <v>120</v>
      </c>
    </row>
    <row r="2535" spans="1:118">
      <c r="A2535" t="str">
        <f>"600168"</f>
        <v>600168</v>
      </c>
      <c r="B2535" t="s">
        <v>11623</v>
      </c>
      <c r="C2535">
        <v>-1.88</v>
      </c>
      <c r="D2535">
        <v>0</v>
      </c>
      <c r="E2535">
        <v>0.28999999999999998</v>
      </c>
      <c r="F2535">
        <v>268</v>
      </c>
      <c r="G2535" t="s">
        <v>10377</v>
      </c>
      <c r="H2535">
        <v>3009.58</v>
      </c>
      <c r="I2535">
        <v>10.62</v>
      </c>
      <c r="J2535" t="s">
        <v>120</v>
      </c>
      <c r="K2535" t="s">
        <v>10638</v>
      </c>
      <c r="L2535">
        <v>0.62</v>
      </c>
      <c r="M2535">
        <v>6.79</v>
      </c>
      <c r="N2535">
        <v>0.85</v>
      </c>
      <c r="O2535">
        <v>1.1599999999999999</v>
      </c>
      <c r="P2535">
        <v>7</v>
      </c>
      <c r="Q2535">
        <v>-2.02</v>
      </c>
      <c r="R2535">
        <v>6.78</v>
      </c>
      <c r="S2535">
        <v>6.94</v>
      </c>
      <c r="T2535">
        <v>43759</v>
      </c>
      <c r="U2535">
        <v>6.79</v>
      </c>
      <c r="V2535">
        <v>6.92</v>
      </c>
      <c r="W2535">
        <v>16.61</v>
      </c>
      <c r="X2535" t="s">
        <v>1271</v>
      </c>
      <c r="Y2535" t="s">
        <v>763</v>
      </c>
      <c r="Z2535">
        <v>3.18</v>
      </c>
      <c r="AA2535">
        <v>6.88</v>
      </c>
      <c r="AB2535">
        <v>25541</v>
      </c>
      <c r="AC2535">
        <v>18218</v>
      </c>
      <c r="AD2535">
        <v>1.4</v>
      </c>
      <c r="AE2535">
        <v>519</v>
      </c>
      <c r="AF2535">
        <v>57</v>
      </c>
      <c r="AG2535" t="s">
        <v>120</v>
      </c>
      <c r="AH2535">
        <v>0.01</v>
      </c>
      <c r="AI2535" t="s">
        <v>120</v>
      </c>
      <c r="AJ2535">
        <v>7.1</v>
      </c>
      <c r="AK2535" t="s">
        <v>10638</v>
      </c>
      <c r="AL2535">
        <v>-0.53</v>
      </c>
      <c r="AM2535">
        <v>1331</v>
      </c>
      <c r="AN2535">
        <v>33</v>
      </c>
      <c r="AO2535">
        <v>5.0000000000000001E-4</v>
      </c>
      <c r="AP2535">
        <v>-1</v>
      </c>
      <c r="AQ2535">
        <v>1.62</v>
      </c>
      <c r="AR2535">
        <v>-3.13</v>
      </c>
      <c r="AS2535">
        <v>2.88</v>
      </c>
      <c r="AT2535">
        <v>0.71</v>
      </c>
      <c r="AU2535">
        <v>0.27</v>
      </c>
      <c r="AV2535">
        <v>1</v>
      </c>
      <c r="AW2535">
        <v>1.77</v>
      </c>
      <c r="AX2535">
        <v>34.89</v>
      </c>
      <c r="AY2535">
        <v>20.82</v>
      </c>
      <c r="AZ2535">
        <v>19.22</v>
      </c>
      <c r="BA2535">
        <v>0.4</v>
      </c>
      <c r="BB2535" t="s">
        <v>143</v>
      </c>
      <c r="BF2535">
        <v>-0.61</v>
      </c>
      <c r="BG2535">
        <v>-2.16</v>
      </c>
      <c r="BH2535">
        <v>-3</v>
      </c>
      <c r="BI2535">
        <v>0.15</v>
      </c>
      <c r="BJ2535">
        <v>20210830</v>
      </c>
      <c r="BK2535">
        <v>19980427</v>
      </c>
      <c r="BL2535">
        <v>7.1</v>
      </c>
      <c r="BM2535" t="s">
        <v>120</v>
      </c>
      <c r="BN2535" t="s">
        <v>120</v>
      </c>
      <c r="BO2535">
        <v>171.51</v>
      </c>
      <c r="BP2535">
        <v>6.78</v>
      </c>
      <c r="BQ2535">
        <v>54.43</v>
      </c>
      <c r="BR2535">
        <v>2.4</v>
      </c>
      <c r="BS2535">
        <v>66.87</v>
      </c>
      <c r="BT2535">
        <v>41.34</v>
      </c>
      <c r="BU2535">
        <v>88.81</v>
      </c>
      <c r="BV2535">
        <v>18.329999999999998</v>
      </c>
      <c r="BW2535">
        <v>42.89</v>
      </c>
      <c r="BX2535">
        <v>11.92</v>
      </c>
      <c r="BY2535">
        <v>0.13</v>
      </c>
      <c r="BZ2535">
        <v>26.08</v>
      </c>
      <c r="CA2535">
        <v>0.01</v>
      </c>
      <c r="CB2535">
        <v>15.13</v>
      </c>
      <c r="CC2535">
        <v>9.6300000000000008</v>
      </c>
      <c r="CD2535">
        <v>6.54</v>
      </c>
      <c r="CE2535">
        <v>1.41</v>
      </c>
      <c r="CF2535">
        <v>0.06</v>
      </c>
      <c r="CG2535">
        <v>1.56</v>
      </c>
      <c r="CH2535">
        <v>1.41</v>
      </c>
      <c r="CI2535">
        <v>1.45</v>
      </c>
      <c r="CJ2535">
        <v>-0.13</v>
      </c>
      <c r="CK2535">
        <v>1.26</v>
      </c>
      <c r="CL2535">
        <v>29.35</v>
      </c>
      <c r="CM2535">
        <v>-0.16</v>
      </c>
      <c r="CN2535">
        <v>-3.11</v>
      </c>
      <c r="CO2535">
        <v>34318</v>
      </c>
      <c r="CP2535">
        <v>7213</v>
      </c>
      <c r="CQ2535" t="s">
        <v>6079</v>
      </c>
      <c r="CR2535">
        <v>-11.91</v>
      </c>
      <c r="CS2535">
        <v>33.15</v>
      </c>
      <c r="CT2535">
        <v>0.89</v>
      </c>
      <c r="CU2535">
        <v>-294.61</v>
      </c>
      <c r="CV2535">
        <v>5</v>
      </c>
      <c r="CW2535">
        <v>1.56</v>
      </c>
      <c r="CX2535" t="s">
        <v>492</v>
      </c>
      <c r="CY2535">
        <v>7.67</v>
      </c>
      <c r="CZ2535">
        <v>0</v>
      </c>
      <c r="DA2535">
        <v>2.13</v>
      </c>
      <c r="DB2535">
        <v>4.1399999999999997</v>
      </c>
      <c r="DC2535">
        <v>-0.02</v>
      </c>
      <c r="DD2535">
        <v>31.74</v>
      </c>
      <c r="DE2535" t="s">
        <v>2487</v>
      </c>
      <c r="DF2535">
        <v>32.03</v>
      </c>
      <c r="DG2535">
        <v>14.68</v>
      </c>
      <c r="DH2535">
        <v>15.06</v>
      </c>
      <c r="DI2535">
        <v>0.02</v>
      </c>
      <c r="DJ2535">
        <v>1027</v>
      </c>
      <c r="DK2535">
        <v>600168</v>
      </c>
      <c r="DL2535" t="s">
        <v>120</v>
      </c>
      <c r="DM2535" t="s">
        <v>120</v>
      </c>
      <c r="DN2535" t="s">
        <v>120</v>
      </c>
    </row>
    <row r="2536" spans="1:118">
      <c r="A2536" t="str">
        <f>"600169"</f>
        <v>600169</v>
      </c>
      <c r="B2536" t="s">
        <v>11624</v>
      </c>
      <c r="C2536">
        <v>-1.47</v>
      </c>
      <c r="D2536">
        <v>-0.28999999999999998</v>
      </c>
      <c r="E2536">
        <v>-0.88</v>
      </c>
      <c r="F2536">
        <v>8421</v>
      </c>
      <c r="G2536" t="s">
        <v>11625</v>
      </c>
      <c r="H2536">
        <v>20721.689999999999</v>
      </c>
      <c r="I2536">
        <v>40.53</v>
      </c>
      <c r="J2536" t="s">
        <v>120</v>
      </c>
      <c r="K2536" t="s">
        <v>11626</v>
      </c>
      <c r="L2536">
        <v>2.34</v>
      </c>
      <c r="M2536">
        <v>3.36</v>
      </c>
      <c r="N2536">
        <v>1.02</v>
      </c>
      <c r="O2536">
        <v>3.81</v>
      </c>
      <c r="P2536">
        <v>3.54</v>
      </c>
      <c r="Q2536">
        <v>-1.47</v>
      </c>
      <c r="R2536">
        <v>3.36</v>
      </c>
      <c r="S2536">
        <v>3.38</v>
      </c>
      <c r="T2536">
        <v>601103</v>
      </c>
      <c r="U2536">
        <v>3.37</v>
      </c>
      <c r="V2536">
        <v>3.41</v>
      </c>
      <c r="W2536">
        <v>46.26</v>
      </c>
      <c r="X2536" t="s">
        <v>593</v>
      </c>
      <c r="Y2536" t="s">
        <v>667</v>
      </c>
      <c r="Z2536">
        <v>5.28</v>
      </c>
      <c r="AA2536">
        <v>3.45</v>
      </c>
      <c r="AB2536">
        <v>324453</v>
      </c>
      <c r="AC2536">
        <v>276650</v>
      </c>
      <c r="AD2536">
        <v>1.17</v>
      </c>
      <c r="AE2536">
        <v>2232</v>
      </c>
      <c r="AF2536">
        <v>1144</v>
      </c>
      <c r="AG2536" t="s">
        <v>120</v>
      </c>
      <c r="AH2536">
        <v>0.01</v>
      </c>
      <c r="AI2536" t="s">
        <v>120</v>
      </c>
      <c r="AJ2536">
        <v>25.64</v>
      </c>
      <c r="AK2536" t="s">
        <v>11627</v>
      </c>
      <c r="AL2536">
        <v>-0.12</v>
      </c>
      <c r="AM2536">
        <v>3247</v>
      </c>
      <c r="AN2536">
        <v>185</v>
      </c>
      <c r="AO2536">
        <v>6.9999999999999999E-4</v>
      </c>
      <c r="AP2536">
        <v>-1</v>
      </c>
      <c r="AQ2536">
        <v>1.49</v>
      </c>
      <c r="AR2536">
        <v>-3.45</v>
      </c>
      <c r="AS2536">
        <v>25.37</v>
      </c>
      <c r="AT2536">
        <v>38.840000000000003</v>
      </c>
      <c r="AU2536">
        <v>55.56</v>
      </c>
      <c r="AV2536">
        <v>4</v>
      </c>
      <c r="AW2536">
        <v>3.53</v>
      </c>
      <c r="AX2536">
        <v>51.09</v>
      </c>
      <c r="AY2536">
        <v>24.65</v>
      </c>
      <c r="AZ2536">
        <v>337.04</v>
      </c>
      <c r="BA2536">
        <v>1.25</v>
      </c>
      <c r="BB2536" t="s">
        <v>184</v>
      </c>
      <c r="BF2536">
        <v>1.0900000000000001</v>
      </c>
      <c r="BG2536">
        <v>-0.59</v>
      </c>
      <c r="BH2536">
        <v>-5.08</v>
      </c>
      <c r="BI2536">
        <v>0</v>
      </c>
      <c r="BJ2536">
        <v>20210826</v>
      </c>
      <c r="BK2536">
        <v>19980904</v>
      </c>
      <c r="BL2536">
        <v>33.33</v>
      </c>
      <c r="BM2536" t="s">
        <v>120</v>
      </c>
      <c r="BN2536" t="s">
        <v>120</v>
      </c>
      <c r="BO2536">
        <v>351.14</v>
      </c>
      <c r="BP2536">
        <v>3.36</v>
      </c>
      <c r="BQ2536">
        <v>47.62</v>
      </c>
      <c r="BR2536">
        <v>10.11</v>
      </c>
      <c r="BS2536">
        <v>83.56</v>
      </c>
      <c r="BT2536">
        <v>243.57</v>
      </c>
      <c r="BU2536">
        <v>50.83</v>
      </c>
      <c r="BV2536">
        <v>16.059999999999999</v>
      </c>
      <c r="BW2536">
        <v>237.65</v>
      </c>
      <c r="BX2536">
        <v>34.6</v>
      </c>
      <c r="BY2536">
        <v>112.81</v>
      </c>
      <c r="BZ2536">
        <v>41.02</v>
      </c>
      <c r="CA2536" t="s">
        <v>120</v>
      </c>
      <c r="CB2536">
        <v>21.81</v>
      </c>
      <c r="CC2536">
        <v>40.299999999999997</v>
      </c>
      <c r="CD2536">
        <v>31.65</v>
      </c>
      <c r="CE2536">
        <v>0.51</v>
      </c>
      <c r="CF2536">
        <v>0.08</v>
      </c>
      <c r="CG2536">
        <v>0.5</v>
      </c>
      <c r="CH2536">
        <v>1.36</v>
      </c>
      <c r="CI2536">
        <v>1.21</v>
      </c>
      <c r="CJ2536">
        <v>-0.05</v>
      </c>
      <c r="CK2536">
        <v>0.5</v>
      </c>
      <c r="CL2536">
        <v>-10.199999999999999</v>
      </c>
      <c r="CM2536">
        <v>1.28</v>
      </c>
      <c r="CN2536">
        <v>3</v>
      </c>
      <c r="CO2536">
        <v>127351</v>
      </c>
      <c r="CP2536">
        <v>13372</v>
      </c>
      <c r="CQ2536" t="s">
        <v>1636</v>
      </c>
      <c r="CR2536">
        <v>139.52000000000001</v>
      </c>
      <c r="CS2536">
        <v>3.13</v>
      </c>
      <c r="CT2536">
        <v>2.35</v>
      </c>
      <c r="CU2536">
        <v>87.56</v>
      </c>
      <c r="CV2536">
        <v>2.78</v>
      </c>
      <c r="CW2536">
        <v>0</v>
      </c>
      <c r="CX2536" t="s">
        <v>926</v>
      </c>
      <c r="CY2536">
        <v>1.43</v>
      </c>
      <c r="CZ2536">
        <v>0</v>
      </c>
      <c r="DA2536">
        <v>0.65</v>
      </c>
      <c r="DB2536">
        <v>-0.31</v>
      </c>
      <c r="DC2536">
        <v>0.04</v>
      </c>
      <c r="DD2536">
        <v>13.56</v>
      </c>
      <c r="DE2536" t="s">
        <v>3064</v>
      </c>
      <c r="DF2536">
        <v>21.46</v>
      </c>
      <c r="DG2536">
        <v>1.26</v>
      </c>
      <c r="DH2536">
        <v>3</v>
      </c>
      <c r="DI2536">
        <v>1.82</v>
      </c>
      <c r="DJ2536">
        <v>6321</v>
      </c>
      <c r="DK2536">
        <v>600169</v>
      </c>
      <c r="DL2536">
        <v>20210913</v>
      </c>
      <c r="DM2536">
        <v>3.48</v>
      </c>
      <c r="DN2536">
        <v>-3.45</v>
      </c>
    </row>
    <row r="2537" spans="1:118">
      <c r="A2537" t="str">
        <f>"600170"</f>
        <v>600170</v>
      </c>
      <c r="B2537" t="s">
        <v>11628</v>
      </c>
      <c r="C2537">
        <v>0.66</v>
      </c>
      <c r="D2537">
        <v>0</v>
      </c>
      <c r="E2537">
        <v>0.66</v>
      </c>
      <c r="F2537">
        <v>11187</v>
      </c>
      <c r="G2537" t="s">
        <v>11629</v>
      </c>
      <c r="H2537">
        <v>15558.81</v>
      </c>
      <c r="I2537">
        <v>153.55000000000001</v>
      </c>
      <c r="J2537" t="s">
        <v>120</v>
      </c>
      <c r="K2537" t="s">
        <v>11630</v>
      </c>
      <c r="L2537">
        <v>0.56999999999999995</v>
      </c>
      <c r="M2537">
        <v>3.04</v>
      </c>
      <c r="N2537">
        <v>0.65</v>
      </c>
      <c r="O2537">
        <v>2.65</v>
      </c>
      <c r="P2537">
        <v>3.1</v>
      </c>
      <c r="Q2537">
        <v>0</v>
      </c>
      <c r="R2537">
        <v>3.02</v>
      </c>
      <c r="S2537">
        <v>3.04</v>
      </c>
      <c r="T2537">
        <v>509127</v>
      </c>
      <c r="U2537">
        <v>3.04</v>
      </c>
      <c r="V2537">
        <v>3.02</v>
      </c>
      <c r="W2537">
        <v>9.85</v>
      </c>
      <c r="X2537" t="s">
        <v>175</v>
      </c>
      <c r="Y2537" t="s">
        <v>1510</v>
      </c>
      <c r="Z2537">
        <v>2.65</v>
      </c>
      <c r="AA2537">
        <v>3.06</v>
      </c>
      <c r="AB2537">
        <v>248483</v>
      </c>
      <c r="AC2537">
        <v>260644</v>
      </c>
      <c r="AD2537">
        <v>0.95</v>
      </c>
      <c r="AE2537">
        <v>11195</v>
      </c>
      <c r="AF2537">
        <v>1634</v>
      </c>
      <c r="AG2537" t="s">
        <v>120</v>
      </c>
      <c r="AH2537">
        <v>0.01</v>
      </c>
      <c r="AI2537" t="s">
        <v>120</v>
      </c>
      <c r="AJ2537">
        <v>89.04</v>
      </c>
      <c r="AK2537" t="s">
        <v>11630</v>
      </c>
      <c r="AL2537">
        <v>2.0099999999999998</v>
      </c>
      <c r="AM2537">
        <v>3317</v>
      </c>
      <c r="AN2537">
        <v>153</v>
      </c>
      <c r="AO2537">
        <v>2.0000000000000001E-4</v>
      </c>
      <c r="AP2537">
        <v>1</v>
      </c>
      <c r="AQ2537">
        <v>-0.33</v>
      </c>
      <c r="AR2537">
        <v>-2.56</v>
      </c>
      <c r="AS2537">
        <v>13.44</v>
      </c>
      <c r="AT2537">
        <v>9.16</v>
      </c>
      <c r="AU2537">
        <v>6.11</v>
      </c>
      <c r="AV2537">
        <v>0</v>
      </c>
      <c r="AW2537">
        <v>1.17</v>
      </c>
      <c r="AX2537">
        <v>48.92</v>
      </c>
      <c r="AY2537">
        <v>7.72</v>
      </c>
      <c r="AZ2537">
        <v>8.0299999999999994</v>
      </c>
      <c r="BA2537">
        <v>0.24</v>
      </c>
      <c r="BB2537" t="s">
        <v>143</v>
      </c>
      <c r="BF2537">
        <v>1.19</v>
      </c>
      <c r="BG2537">
        <v>0</v>
      </c>
      <c r="BH2537">
        <v>-1.94</v>
      </c>
      <c r="BI2537">
        <v>0.66</v>
      </c>
      <c r="BJ2537">
        <v>20210831</v>
      </c>
      <c r="BK2537">
        <v>19980623</v>
      </c>
      <c r="BL2537">
        <v>89.04</v>
      </c>
      <c r="BM2537" t="s">
        <v>120</v>
      </c>
      <c r="BN2537" t="s">
        <v>120</v>
      </c>
      <c r="BO2537">
        <v>3300.63</v>
      </c>
      <c r="BP2537">
        <v>3.03</v>
      </c>
      <c r="BQ2537">
        <v>384.11</v>
      </c>
      <c r="BR2537">
        <v>109.67</v>
      </c>
      <c r="BS2537">
        <v>85.04</v>
      </c>
      <c r="BT2537">
        <v>2574.48</v>
      </c>
      <c r="BU2537">
        <v>83.24</v>
      </c>
      <c r="BV2537">
        <v>28.13</v>
      </c>
      <c r="BW2537">
        <v>2130.46</v>
      </c>
      <c r="BX2537">
        <v>632.77</v>
      </c>
      <c r="BY2537">
        <v>749.31</v>
      </c>
      <c r="BZ2537">
        <v>459.73</v>
      </c>
      <c r="CA2537">
        <v>0.73</v>
      </c>
      <c r="CB2537">
        <v>22.4</v>
      </c>
      <c r="CC2537">
        <v>1352.14</v>
      </c>
      <c r="CD2537">
        <v>1238.76</v>
      </c>
      <c r="CE2537">
        <v>20.07</v>
      </c>
      <c r="CF2537">
        <v>2.13</v>
      </c>
      <c r="CG2537">
        <v>21.04</v>
      </c>
      <c r="CH2537">
        <v>14.33</v>
      </c>
      <c r="CI2537">
        <v>13.74</v>
      </c>
      <c r="CJ2537">
        <v>0.02</v>
      </c>
      <c r="CK2537">
        <v>13.69</v>
      </c>
      <c r="CL2537">
        <v>151</v>
      </c>
      <c r="CM2537">
        <v>-200.49</v>
      </c>
      <c r="CN2537">
        <v>-156.24</v>
      </c>
      <c r="CO2537">
        <v>161535</v>
      </c>
      <c r="CP2537">
        <v>26967</v>
      </c>
      <c r="CQ2537" t="s">
        <v>8944</v>
      </c>
      <c r="CR2537">
        <v>10.52</v>
      </c>
      <c r="CS2537">
        <v>29.83</v>
      </c>
      <c r="CT2537">
        <v>0.97</v>
      </c>
      <c r="CU2537">
        <v>-1.35</v>
      </c>
      <c r="CV2537">
        <v>0.2</v>
      </c>
      <c r="CW2537">
        <v>4.79</v>
      </c>
      <c r="CX2537" t="s">
        <v>850</v>
      </c>
      <c r="CY2537">
        <v>3.13</v>
      </c>
      <c r="CZ2537">
        <v>3.13</v>
      </c>
      <c r="DA2537">
        <v>0.25</v>
      </c>
      <c r="DB2537">
        <v>1.7</v>
      </c>
      <c r="DC2537">
        <v>-2.25</v>
      </c>
      <c r="DD2537">
        <v>11.64</v>
      </c>
      <c r="DE2537" t="s">
        <v>10782</v>
      </c>
      <c r="DF2537">
        <v>8.39</v>
      </c>
      <c r="DG2537">
        <v>1.48</v>
      </c>
      <c r="DH2537">
        <v>1.02</v>
      </c>
      <c r="DI2537">
        <v>40.44</v>
      </c>
      <c r="DJ2537">
        <v>48609</v>
      </c>
      <c r="DK2537">
        <v>600170</v>
      </c>
      <c r="DL2537" t="s">
        <v>120</v>
      </c>
      <c r="DM2537" t="s">
        <v>120</v>
      </c>
      <c r="DN2537" t="s">
        <v>120</v>
      </c>
    </row>
    <row r="2538" spans="1:118">
      <c r="A2538" t="str">
        <f>"600171"</f>
        <v>600171</v>
      </c>
      <c r="B2538" t="s">
        <v>11631</v>
      </c>
      <c r="C2538">
        <v>-4.09</v>
      </c>
      <c r="D2538">
        <v>0.03</v>
      </c>
      <c r="E2538">
        <v>-1.24</v>
      </c>
      <c r="F2538">
        <v>2183</v>
      </c>
      <c r="G2538" t="s">
        <v>11632</v>
      </c>
      <c r="H2538">
        <v>87662.88</v>
      </c>
      <c r="I2538">
        <v>706.72</v>
      </c>
      <c r="J2538" t="s">
        <v>120</v>
      </c>
      <c r="K2538" t="s">
        <v>11633</v>
      </c>
      <c r="L2538">
        <v>4.2</v>
      </c>
      <c r="M2538">
        <v>29.28</v>
      </c>
      <c r="N2538">
        <v>0.74</v>
      </c>
      <c r="O2538">
        <v>0.72</v>
      </c>
      <c r="P2538">
        <v>30.75</v>
      </c>
      <c r="Q2538">
        <v>-4.3899999999999997</v>
      </c>
      <c r="R2538">
        <v>29.19</v>
      </c>
      <c r="S2538">
        <v>30.15</v>
      </c>
      <c r="T2538">
        <v>294129</v>
      </c>
      <c r="U2538">
        <v>29.29</v>
      </c>
      <c r="V2538">
        <v>30.53</v>
      </c>
      <c r="W2538">
        <v>26.6</v>
      </c>
      <c r="X2538" t="s">
        <v>3245</v>
      </c>
      <c r="Y2538" t="s">
        <v>1510</v>
      </c>
      <c r="Z2538">
        <v>5.1100000000000003</v>
      </c>
      <c r="AA2538">
        <v>29.8</v>
      </c>
      <c r="AB2538">
        <v>164539</v>
      </c>
      <c r="AC2538">
        <v>129590</v>
      </c>
      <c r="AD2538">
        <v>1.27</v>
      </c>
      <c r="AE2538">
        <v>304</v>
      </c>
      <c r="AF2538">
        <v>84</v>
      </c>
      <c r="AG2538" t="s">
        <v>120</v>
      </c>
      <c r="AH2538">
        <v>0.04</v>
      </c>
      <c r="AI2538" t="s">
        <v>120</v>
      </c>
      <c r="AJ2538">
        <v>7.01</v>
      </c>
      <c r="AK2538" t="s">
        <v>11634</v>
      </c>
      <c r="AL2538">
        <v>-2.75</v>
      </c>
      <c r="AM2538">
        <v>4549</v>
      </c>
      <c r="AN2538">
        <v>65</v>
      </c>
      <c r="AO2538">
        <v>8.9999999999999998E-4</v>
      </c>
      <c r="AP2538">
        <v>-4</v>
      </c>
      <c r="AQ2538">
        <v>-1.29</v>
      </c>
      <c r="AR2538">
        <v>-5.45</v>
      </c>
      <c r="AS2538">
        <v>-5.18</v>
      </c>
      <c r="AT2538">
        <v>-3.37</v>
      </c>
      <c r="AU2538">
        <v>110.8</v>
      </c>
      <c r="AV2538">
        <v>7</v>
      </c>
      <c r="AW2538">
        <v>5.63</v>
      </c>
      <c r="AX2538">
        <v>73.319999999999993</v>
      </c>
      <c r="AY2538">
        <v>26.2</v>
      </c>
      <c r="AZ2538">
        <v>41.22</v>
      </c>
      <c r="BA2538">
        <v>0.46</v>
      </c>
      <c r="BB2538" t="s">
        <v>143</v>
      </c>
      <c r="BF2538">
        <v>-2.38</v>
      </c>
      <c r="BG2538">
        <v>-2.89</v>
      </c>
      <c r="BH2538">
        <v>-4.78</v>
      </c>
      <c r="BI2538">
        <v>0.31</v>
      </c>
      <c r="BJ2538">
        <v>20210830</v>
      </c>
      <c r="BK2538">
        <v>19980924</v>
      </c>
      <c r="BL2538">
        <v>7.13</v>
      </c>
      <c r="BM2538" t="s">
        <v>120</v>
      </c>
      <c r="BN2538" t="s">
        <v>120</v>
      </c>
      <c r="BO2538">
        <v>43.28</v>
      </c>
      <c r="BP2538">
        <v>29.28</v>
      </c>
      <c r="BQ2538">
        <v>36.130000000000003</v>
      </c>
      <c r="BR2538">
        <v>0.4</v>
      </c>
      <c r="BS2538">
        <v>15.59</v>
      </c>
      <c r="BT2538">
        <v>27.97</v>
      </c>
      <c r="BU2538">
        <v>0.78</v>
      </c>
      <c r="BV2538">
        <v>0.56999999999999995</v>
      </c>
      <c r="BW2538">
        <v>4.1399999999999997</v>
      </c>
      <c r="BX2538">
        <v>11.57</v>
      </c>
      <c r="BY2538">
        <v>2.82</v>
      </c>
      <c r="BZ2538">
        <v>3.63</v>
      </c>
      <c r="CA2538">
        <v>0</v>
      </c>
      <c r="CB2538">
        <v>9.9499999999999993</v>
      </c>
      <c r="CC2538">
        <v>10.19</v>
      </c>
      <c r="CD2538">
        <v>6.87</v>
      </c>
      <c r="CE2538">
        <v>4.51</v>
      </c>
      <c r="CF2538">
        <v>0.03</v>
      </c>
      <c r="CG2538">
        <v>4.51</v>
      </c>
      <c r="CH2538">
        <v>3.96</v>
      </c>
      <c r="CI2538">
        <v>3.92</v>
      </c>
      <c r="CJ2538">
        <v>-1.25</v>
      </c>
      <c r="CK2538">
        <v>1.99</v>
      </c>
      <c r="CL2538">
        <v>17.16</v>
      </c>
      <c r="CM2538">
        <v>2</v>
      </c>
      <c r="CN2538">
        <v>1.53</v>
      </c>
      <c r="CO2538">
        <v>121810</v>
      </c>
      <c r="CP2538">
        <v>4291</v>
      </c>
      <c r="CQ2538" t="s">
        <v>5693</v>
      </c>
      <c r="CR2538">
        <v>337.22</v>
      </c>
      <c r="CS2538">
        <v>87.19</v>
      </c>
      <c r="CT2538">
        <v>5.78</v>
      </c>
      <c r="CU2538">
        <v>104.1</v>
      </c>
      <c r="CV2538">
        <v>20.47</v>
      </c>
      <c r="CW2538">
        <v>0.43</v>
      </c>
      <c r="CX2538" t="s">
        <v>1426</v>
      </c>
      <c r="CY2538">
        <v>5.07</v>
      </c>
      <c r="CZ2538">
        <v>0</v>
      </c>
      <c r="DA2538">
        <v>1.4</v>
      </c>
      <c r="DB2538">
        <v>2.41</v>
      </c>
      <c r="DC2538">
        <v>0.28000000000000003</v>
      </c>
      <c r="DD2538">
        <v>83.48</v>
      </c>
      <c r="DE2538" t="s">
        <v>8203</v>
      </c>
      <c r="DF2538">
        <v>32.659999999999997</v>
      </c>
      <c r="DG2538">
        <v>44.28</v>
      </c>
      <c r="DH2538">
        <v>38.49</v>
      </c>
      <c r="DI2538">
        <v>0.65</v>
      </c>
      <c r="DJ2538">
        <v>454</v>
      </c>
      <c r="DK2538">
        <v>600171</v>
      </c>
      <c r="DL2538">
        <v>20210816</v>
      </c>
      <c r="DM2538">
        <v>31.83</v>
      </c>
      <c r="DN2538">
        <v>-8.01</v>
      </c>
    </row>
    <row r="2539" spans="1:118">
      <c r="A2539" t="str">
        <f>"600172"</f>
        <v>600172</v>
      </c>
      <c r="B2539" t="s">
        <v>11635</v>
      </c>
      <c r="C2539">
        <v>6.88</v>
      </c>
      <c r="D2539">
        <v>0</v>
      </c>
      <c r="E2539">
        <v>-3.54</v>
      </c>
      <c r="F2539">
        <v>10087</v>
      </c>
      <c r="G2539" t="s">
        <v>11636</v>
      </c>
      <c r="H2539">
        <v>120956.64</v>
      </c>
      <c r="I2539">
        <v>1265.49</v>
      </c>
      <c r="J2539" t="s">
        <v>120</v>
      </c>
      <c r="K2539" t="s">
        <v>11637</v>
      </c>
      <c r="L2539">
        <v>9.2799999999999994</v>
      </c>
      <c r="M2539">
        <v>10.87</v>
      </c>
      <c r="N2539">
        <v>1.68</v>
      </c>
      <c r="O2539">
        <v>9.34</v>
      </c>
      <c r="P2539">
        <v>11.12</v>
      </c>
      <c r="Q2539">
        <v>-3.54</v>
      </c>
      <c r="R2539">
        <v>9.81</v>
      </c>
      <c r="S2539">
        <v>9.81</v>
      </c>
      <c r="T2539">
        <v>1136656</v>
      </c>
      <c r="U2539">
        <v>10.88</v>
      </c>
      <c r="V2539">
        <v>10.17</v>
      </c>
      <c r="W2539">
        <v>327.10000000000002</v>
      </c>
      <c r="X2539" t="s">
        <v>1991</v>
      </c>
      <c r="Y2539" t="s">
        <v>645</v>
      </c>
      <c r="Z2539">
        <v>12.88</v>
      </c>
      <c r="AA2539">
        <v>10.64</v>
      </c>
      <c r="AB2539">
        <v>498357</v>
      </c>
      <c r="AC2539">
        <v>638299</v>
      </c>
      <c r="AD2539">
        <v>0.78</v>
      </c>
      <c r="AE2539">
        <v>3699</v>
      </c>
      <c r="AF2539">
        <v>1025</v>
      </c>
      <c r="AG2539" t="s">
        <v>120</v>
      </c>
      <c r="AH2539">
        <v>0.13</v>
      </c>
      <c r="AI2539" t="s">
        <v>120</v>
      </c>
      <c r="AJ2539">
        <v>12.24</v>
      </c>
      <c r="AK2539" t="s">
        <v>11638</v>
      </c>
      <c r="AL2539">
        <v>8.23</v>
      </c>
      <c r="AM2539">
        <v>4659</v>
      </c>
      <c r="AN2539">
        <v>244</v>
      </c>
      <c r="AO2539">
        <v>2E-3</v>
      </c>
      <c r="AP2539">
        <v>4</v>
      </c>
      <c r="AQ2539">
        <v>5.94</v>
      </c>
      <c r="AR2539">
        <v>24.52</v>
      </c>
      <c r="AS2539">
        <v>65.44</v>
      </c>
      <c r="AT2539">
        <v>84.55</v>
      </c>
      <c r="AU2539">
        <v>231.4</v>
      </c>
      <c r="AV2539">
        <v>18</v>
      </c>
      <c r="AW2539">
        <v>11.74</v>
      </c>
      <c r="AX2539">
        <v>67.14</v>
      </c>
      <c r="AY2539" t="s">
        <v>120</v>
      </c>
      <c r="AZ2539" t="s">
        <v>120</v>
      </c>
      <c r="BA2539">
        <v>1.05</v>
      </c>
      <c r="BB2539" t="s">
        <v>184</v>
      </c>
      <c r="BF2539">
        <v>4.6399999999999997</v>
      </c>
      <c r="BG2539">
        <v>10.81</v>
      </c>
      <c r="BH2539">
        <v>-2.25</v>
      </c>
      <c r="BI2539">
        <v>10.81</v>
      </c>
      <c r="BJ2539">
        <v>20210828</v>
      </c>
      <c r="BK2539">
        <v>19981126</v>
      </c>
      <c r="BL2539">
        <v>14.42</v>
      </c>
      <c r="BM2539" t="s">
        <v>120</v>
      </c>
      <c r="BN2539" t="s">
        <v>120</v>
      </c>
      <c r="BO2539">
        <v>108.9</v>
      </c>
      <c r="BP2539">
        <v>10.87</v>
      </c>
      <c r="BQ2539">
        <v>32.42</v>
      </c>
      <c r="BR2539" t="s">
        <v>120</v>
      </c>
      <c r="BS2539">
        <v>70.23</v>
      </c>
      <c r="BT2539">
        <v>43.99</v>
      </c>
      <c r="BU2539">
        <v>42.89</v>
      </c>
      <c r="BV2539">
        <v>2.75</v>
      </c>
      <c r="BW2539">
        <v>70.33</v>
      </c>
      <c r="BX2539">
        <v>22.32</v>
      </c>
      <c r="BY2539">
        <v>8.48</v>
      </c>
      <c r="BZ2539">
        <v>7.51</v>
      </c>
      <c r="CA2539">
        <v>0.88</v>
      </c>
      <c r="CB2539">
        <v>18</v>
      </c>
      <c r="CC2539">
        <v>13.22</v>
      </c>
      <c r="CD2539">
        <v>9.02</v>
      </c>
      <c r="CE2539">
        <v>0.24</v>
      </c>
      <c r="CF2539">
        <v>0</v>
      </c>
      <c r="CG2539">
        <v>0.24</v>
      </c>
      <c r="CH2539">
        <v>0.24</v>
      </c>
      <c r="CI2539">
        <v>0.24</v>
      </c>
      <c r="CJ2539">
        <v>0.7</v>
      </c>
      <c r="CK2539">
        <v>0.23</v>
      </c>
      <c r="CL2539">
        <v>-0.27</v>
      </c>
      <c r="CM2539">
        <v>4.84</v>
      </c>
      <c r="CN2539">
        <v>0.14000000000000001</v>
      </c>
      <c r="CO2539">
        <v>60315</v>
      </c>
      <c r="CP2539">
        <v>16054</v>
      </c>
      <c r="CQ2539" t="s">
        <v>11639</v>
      </c>
      <c r="CR2539">
        <v>131.74</v>
      </c>
      <c r="CS2539">
        <v>9.76</v>
      </c>
      <c r="CT2539">
        <v>4.84</v>
      </c>
      <c r="CU2539">
        <v>32.39</v>
      </c>
      <c r="CV2539">
        <v>11.86</v>
      </c>
      <c r="CW2539">
        <v>0</v>
      </c>
      <c r="CX2539" t="s">
        <v>499</v>
      </c>
      <c r="CY2539">
        <v>2.25</v>
      </c>
      <c r="CZ2539">
        <v>0</v>
      </c>
      <c r="DA2539">
        <v>1.25</v>
      </c>
      <c r="DB2539">
        <v>-0.02</v>
      </c>
      <c r="DC2539">
        <v>0.34</v>
      </c>
      <c r="DD2539">
        <v>29.77</v>
      </c>
      <c r="DE2539" t="s">
        <v>1037</v>
      </c>
      <c r="DF2539">
        <v>31.73</v>
      </c>
      <c r="DG2539">
        <v>1.83</v>
      </c>
      <c r="DH2539">
        <v>1.81</v>
      </c>
      <c r="DI2539">
        <v>0.37</v>
      </c>
      <c r="DJ2539">
        <v>2523</v>
      </c>
      <c r="DK2539">
        <v>600172</v>
      </c>
      <c r="DL2539">
        <v>20210826</v>
      </c>
      <c r="DM2539">
        <v>8.73</v>
      </c>
      <c r="DN2539">
        <v>24.51</v>
      </c>
    </row>
    <row r="2540" spans="1:118">
      <c r="A2540" t="str">
        <f>"600173"</f>
        <v>600173</v>
      </c>
      <c r="B2540" t="s">
        <v>11640</v>
      </c>
      <c r="C2540">
        <v>-2.81</v>
      </c>
      <c r="D2540">
        <v>0</v>
      </c>
      <c r="E2540">
        <v>0</v>
      </c>
      <c r="F2540">
        <v>302</v>
      </c>
      <c r="G2540" t="s">
        <v>11641</v>
      </c>
      <c r="H2540">
        <v>2109.0100000000002</v>
      </c>
      <c r="I2540">
        <v>2.17</v>
      </c>
      <c r="J2540" t="s">
        <v>120</v>
      </c>
      <c r="K2540" t="s">
        <v>11642</v>
      </c>
      <c r="L2540">
        <v>0.54</v>
      </c>
      <c r="M2540">
        <v>5.54</v>
      </c>
      <c r="N2540">
        <v>1.08</v>
      </c>
      <c r="O2540">
        <v>0.88</v>
      </c>
      <c r="P2540">
        <v>5.75</v>
      </c>
      <c r="Q2540">
        <v>-3.51</v>
      </c>
      <c r="R2540">
        <v>5.5</v>
      </c>
      <c r="S2540">
        <v>5.7</v>
      </c>
      <c r="T2540">
        <v>37560</v>
      </c>
      <c r="U2540">
        <v>5.54</v>
      </c>
      <c r="V2540">
        <v>5.7</v>
      </c>
      <c r="W2540">
        <v>5.58</v>
      </c>
      <c r="X2540" t="s">
        <v>132</v>
      </c>
      <c r="Y2540" t="s">
        <v>585</v>
      </c>
      <c r="Z2540">
        <v>4.3899999999999997</v>
      </c>
      <c r="AA2540">
        <v>5.62</v>
      </c>
      <c r="AB2540">
        <v>20189</v>
      </c>
      <c r="AC2540">
        <v>17371</v>
      </c>
      <c r="AD2540">
        <v>1.1599999999999999</v>
      </c>
      <c r="AE2540">
        <v>10</v>
      </c>
      <c r="AF2540">
        <v>64</v>
      </c>
      <c r="AG2540" t="s">
        <v>120</v>
      </c>
      <c r="AH2540">
        <v>0</v>
      </c>
      <c r="AI2540" t="s">
        <v>120</v>
      </c>
      <c r="AJ2540">
        <v>7</v>
      </c>
      <c r="AK2540" t="s">
        <v>2951</v>
      </c>
      <c r="AL2540">
        <v>-1.46</v>
      </c>
      <c r="AM2540">
        <v>1330</v>
      </c>
      <c r="AN2540">
        <v>28</v>
      </c>
      <c r="AO2540">
        <v>4.0000000000000002E-4</v>
      </c>
      <c r="AP2540">
        <v>-3</v>
      </c>
      <c r="AQ2540">
        <v>-1.72</v>
      </c>
      <c r="AR2540">
        <v>-5.94</v>
      </c>
      <c r="AS2540">
        <v>-4.4800000000000004</v>
      </c>
      <c r="AT2540">
        <v>-16.7</v>
      </c>
      <c r="AU2540">
        <v>14.46</v>
      </c>
      <c r="AV2540">
        <v>5</v>
      </c>
      <c r="AW2540">
        <v>1.34</v>
      </c>
      <c r="AX2540">
        <v>40.049999999999997</v>
      </c>
      <c r="AY2540">
        <v>5.7</v>
      </c>
      <c r="AZ2540">
        <v>8.24</v>
      </c>
      <c r="BA2540">
        <v>0.56000000000000005</v>
      </c>
      <c r="BB2540" t="s">
        <v>1103</v>
      </c>
      <c r="BF2540">
        <v>-1.49</v>
      </c>
      <c r="BG2540">
        <v>-2.81</v>
      </c>
      <c r="BH2540">
        <v>-3.65</v>
      </c>
      <c r="BI2540">
        <v>0.73</v>
      </c>
      <c r="BJ2540">
        <v>20210819</v>
      </c>
      <c r="BK2540">
        <v>19990415</v>
      </c>
      <c r="BL2540">
        <v>7.01</v>
      </c>
      <c r="BM2540" t="s">
        <v>120</v>
      </c>
      <c r="BN2540" t="s">
        <v>120</v>
      </c>
      <c r="BO2540">
        <v>71.88</v>
      </c>
      <c r="BP2540">
        <v>5.52</v>
      </c>
      <c r="BQ2540">
        <v>34</v>
      </c>
      <c r="BR2540">
        <v>0.01</v>
      </c>
      <c r="BS2540">
        <v>52.69</v>
      </c>
      <c r="BT2540">
        <v>62.48</v>
      </c>
      <c r="BU2540">
        <v>0.03</v>
      </c>
      <c r="BV2540">
        <v>0.03</v>
      </c>
      <c r="BW2540">
        <v>37.700000000000003</v>
      </c>
      <c r="BX2540">
        <v>25.7</v>
      </c>
      <c r="BY2540">
        <v>34.24</v>
      </c>
      <c r="BZ2540">
        <v>0.02</v>
      </c>
      <c r="CA2540">
        <v>0.01</v>
      </c>
      <c r="CB2540">
        <v>0.11</v>
      </c>
      <c r="CC2540">
        <v>19.75</v>
      </c>
      <c r="CD2540">
        <v>13.97</v>
      </c>
      <c r="CE2540">
        <v>4.5599999999999996</v>
      </c>
      <c r="CF2540">
        <v>0.22</v>
      </c>
      <c r="CG2540">
        <v>4.5599999999999996</v>
      </c>
      <c r="CH2540">
        <v>3.48</v>
      </c>
      <c r="CI2540">
        <v>3.48</v>
      </c>
      <c r="CJ2540">
        <v>-0.16</v>
      </c>
      <c r="CK2540">
        <v>3.38</v>
      </c>
      <c r="CL2540">
        <v>24.69</v>
      </c>
      <c r="CM2540">
        <v>1.04</v>
      </c>
      <c r="CN2540">
        <v>5.35</v>
      </c>
      <c r="CO2540">
        <v>18411</v>
      </c>
      <c r="CP2540">
        <v>15237</v>
      </c>
      <c r="CQ2540" t="s">
        <v>947</v>
      </c>
      <c r="CR2540">
        <v>165.12</v>
      </c>
      <c r="CS2540">
        <v>306.47000000000003</v>
      </c>
      <c r="CT2540">
        <v>1.1399999999999999</v>
      </c>
      <c r="CU2540">
        <v>37.19</v>
      </c>
      <c r="CV2540">
        <v>1.97</v>
      </c>
      <c r="CW2540">
        <v>2.63</v>
      </c>
      <c r="CX2540" t="s">
        <v>550</v>
      </c>
      <c r="CY2540">
        <v>4.8499999999999996</v>
      </c>
      <c r="CZ2540">
        <v>4.8499999999999996</v>
      </c>
      <c r="DA2540">
        <v>0.02</v>
      </c>
      <c r="DB2540">
        <v>3.53</v>
      </c>
      <c r="DC2540">
        <v>0.15</v>
      </c>
      <c r="DD2540">
        <v>47.29</v>
      </c>
      <c r="DE2540" t="s">
        <v>11643</v>
      </c>
      <c r="DF2540">
        <v>29.25</v>
      </c>
      <c r="DG2540">
        <v>23.1</v>
      </c>
      <c r="DH2540">
        <v>17.61</v>
      </c>
      <c r="DI2540" t="s">
        <v>120</v>
      </c>
      <c r="DJ2540">
        <v>228</v>
      </c>
      <c r="DK2540">
        <v>600173</v>
      </c>
      <c r="DL2540" t="s">
        <v>120</v>
      </c>
      <c r="DM2540" t="s">
        <v>120</v>
      </c>
      <c r="DN2540" t="s">
        <v>120</v>
      </c>
    </row>
    <row r="2541" spans="1:118">
      <c r="A2541" t="str">
        <f>"600176"</f>
        <v>600176</v>
      </c>
      <c r="B2541" t="s">
        <v>11644</v>
      </c>
      <c r="C2541">
        <v>-2.4500000000000002</v>
      </c>
      <c r="D2541">
        <v>-0.04</v>
      </c>
      <c r="E2541">
        <v>0.78</v>
      </c>
      <c r="F2541">
        <v>7789</v>
      </c>
      <c r="G2541" t="s">
        <v>11645</v>
      </c>
      <c r="H2541">
        <v>172474.75</v>
      </c>
      <c r="I2541">
        <v>856.34</v>
      </c>
      <c r="J2541" t="s">
        <v>120</v>
      </c>
      <c r="K2541" t="s">
        <v>11646</v>
      </c>
      <c r="L2541">
        <v>2.12</v>
      </c>
      <c r="M2541">
        <v>19.940000000000001</v>
      </c>
      <c r="N2541">
        <v>1</v>
      </c>
      <c r="O2541">
        <v>3.96</v>
      </c>
      <c r="P2541">
        <v>21.25</v>
      </c>
      <c r="Q2541">
        <v>-2.89</v>
      </c>
      <c r="R2541">
        <v>19.850000000000001</v>
      </c>
      <c r="S2541">
        <v>20.6</v>
      </c>
      <c r="T2541">
        <v>846850</v>
      </c>
      <c r="U2541">
        <v>19.940000000000001</v>
      </c>
      <c r="V2541">
        <v>20.440000000000001</v>
      </c>
      <c r="W2541">
        <v>15.37</v>
      </c>
      <c r="X2541" t="s">
        <v>191</v>
      </c>
      <c r="Y2541" t="s">
        <v>585</v>
      </c>
      <c r="Z2541">
        <v>6.85</v>
      </c>
      <c r="AA2541">
        <v>20.37</v>
      </c>
      <c r="AB2541">
        <v>468326</v>
      </c>
      <c r="AC2541">
        <v>378524</v>
      </c>
      <c r="AD2541">
        <v>1.24</v>
      </c>
      <c r="AE2541">
        <v>281</v>
      </c>
      <c r="AF2541">
        <v>1111</v>
      </c>
      <c r="AG2541" t="s">
        <v>120</v>
      </c>
      <c r="AH2541">
        <v>0.02</v>
      </c>
      <c r="AI2541" t="s">
        <v>120</v>
      </c>
      <c r="AJ2541">
        <v>40.03</v>
      </c>
      <c r="AK2541" t="s">
        <v>11646</v>
      </c>
      <c r="AL2541">
        <v>-1.1000000000000001</v>
      </c>
      <c r="AM2541">
        <v>4726</v>
      </c>
      <c r="AN2541">
        <v>179</v>
      </c>
      <c r="AO2541">
        <v>4.0000000000000002E-4</v>
      </c>
      <c r="AP2541">
        <v>-3</v>
      </c>
      <c r="AQ2541">
        <v>-1.45</v>
      </c>
      <c r="AR2541">
        <v>-5.46</v>
      </c>
      <c r="AS2541">
        <v>12.72</v>
      </c>
      <c r="AT2541">
        <v>30.93</v>
      </c>
      <c r="AU2541">
        <v>15.48</v>
      </c>
      <c r="AV2541">
        <v>4</v>
      </c>
      <c r="AW2541">
        <v>3.68</v>
      </c>
      <c r="AX2541">
        <v>57.43</v>
      </c>
      <c r="AY2541">
        <v>19.25</v>
      </c>
      <c r="AZ2541">
        <v>33.869999999999997</v>
      </c>
      <c r="BA2541">
        <v>1.76</v>
      </c>
      <c r="BB2541" t="s">
        <v>143</v>
      </c>
      <c r="BF2541">
        <v>-0.36</v>
      </c>
      <c r="BG2541">
        <v>-3.2</v>
      </c>
      <c r="BH2541">
        <v>-6.16</v>
      </c>
      <c r="BI2541">
        <v>0.45</v>
      </c>
      <c r="BJ2541">
        <v>20210818</v>
      </c>
      <c r="BK2541">
        <v>19990422</v>
      </c>
      <c r="BL2541">
        <v>40.03</v>
      </c>
      <c r="BM2541" t="s">
        <v>120</v>
      </c>
      <c r="BN2541" t="s">
        <v>120</v>
      </c>
      <c r="BO2541">
        <v>401.77</v>
      </c>
      <c r="BP2541">
        <v>19.93</v>
      </c>
      <c r="BQ2541">
        <v>192.1</v>
      </c>
      <c r="BR2541">
        <v>8.7899999999999991</v>
      </c>
      <c r="BS2541">
        <v>50</v>
      </c>
      <c r="BT2541">
        <v>121.32</v>
      </c>
      <c r="BU2541">
        <v>236.18</v>
      </c>
      <c r="BV2541">
        <v>8.0299999999999994</v>
      </c>
      <c r="BW2541">
        <v>129.18</v>
      </c>
      <c r="BX2541">
        <v>24.36</v>
      </c>
      <c r="BY2541">
        <v>15.55</v>
      </c>
      <c r="BZ2541">
        <v>26.48</v>
      </c>
      <c r="CA2541" t="s">
        <v>120</v>
      </c>
      <c r="CB2541">
        <v>32.25</v>
      </c>
      <c r="CC2541">
        <v>85.6</v>
      </c>
      <c r="CD2541">
        <v>45.64</v>
      </c>
      <c r="CE2541">
        <v>31.38</v>
      </c>
      <c r="CF2541">
        <v>0.35</v>
      </c>
      <c r="CG2541">
        <v>31.13</v>
      </c>
      <c r="CH2541">
        <v>26.17</v>
      </c>
      <c r="CI2541">
        <v>25.97</v>
      </c>
      <c r="CJ2541">
        <v>-0.5</v>
      </c>
      <c r="CK2541">
        <v>25.12</v>
      </c>
      <c r="CL2541">
        <v>115.21</v>
      </c>
      <c r="CM2541">
        <v>28.44</v>
      </c>
      <c r="CN2541">
        <v>6.1</v>
      </c>
      <c r="CO2541">
        <v>147266</v>
      </c>
      <c r="CP2541">
        <v>15612</v>
      </c>
      <c r="CQ2541" t="s">
        <v>11647</v>
      </c>
      <c r="CR2541">
        <v>240.68</v>
      </c>
      <c r="CS2541">
        <v>75</v>
      </c>
      <c r="CT2541">
        <v>4.16</v>
      </c>
      <c r="CU2541">
        <v>28.07</v>
      </c>
      <c r="CV2541">
        <v>9.32</v>
      </c>
      <c r="CW2541">
        <v>0.96</v>
      </c>
      <c r="CX2541" t="s">
        <v>11303</v>
      </c>
      <c r="CY2541">
        <v>4.8</v>
      </c>
      <c r="CZ2541">
        <v>0</v>
      </c>
      <c r="DA2541">
        <v>0.81</v>
      </c>
      <c r="DB2541">
        <v>2.88</v>
      </c>
      <c r="DC2541">
        <v>0.71</v>
      </c>
      <c r="DD2541">
        <v>47.81</v>
      </c>
      <c r="DE2541" t="s">
        <v>11648</v>
      </c>
      <c r="DF2541">
        <v>46.68</v>
      </c>
      <c r="DG2541">
        <v>36.65</v>
      </c>
      <c r="DH2541">
        <v>30.34</v>
      </c>
      <c r="DI2541">
        <v>2.41</v>
      </c>
      <c r="DJ2541">
        <v>11720</v>
      </c>
      <c r="DK2541">
        <v>600176</v>
      </c>
      <c r="DL2541" t="s">
        <v>120</v>
      </c>
      <c r="DM2541" t="s">
        <v>120</v>
      </c>
      <c r="DN2541" t="s">
        <v>120</v>
      </c>
    </row>
    <row r="2542" spans="1:118">
      <c r="A2542" t="str">
        <f>"600177"</f>
        <v>600177</v>
      </c>
      <c r="B2542" t="s">
        <v>11649</v>
      </c>
      <c r="C2542">
        <v>-0.45</v>
      </c>
      <c r="D2542">
        <v>-0.28999999999999998</v>
      </c>
      <c r="E2542">
        <v>0</v>
      </c>
      <c r="F2542">
        <v>6697</v>
      </c>
      <c r="G2542" t="s">
        <v>11650</v>
      </c>
      <c r="H2542">
        <v>5295.18</v>
      </c>
      <c r="I2542">
        <v>19.03</v>
      </c>
      <c r="J2542" t="s">
        <v>120</v>
      </c>
      <c r="K2542" t="s">
        <v>11651</v>
      </c>
      <c r="L2542">
        <v>0.18</v>
      </c>
      <c r="M2542">
        <v>6.6</v>
      </c>
      <c r="N2542">
        <v>0.67</v>
      </c>
      <c r="O2542">
        <v>1.06</v>
      </c>
      <c r="P2542">
        <v>6.7</v>
      </c>
      <c r="Q2542">
        <v>-0.45</v>
      </c>
      <c r="R2542">
        <v>6.6</v>
      </c>
      <c r="S2542">
        <v>6.63</v>
      </c>
      <c r="T2542">
        <v>79643</v>
      </c>
      <c r="U2542">
        <v>6.62</v>
      </c>
      <c r="V2542">
        <v>6.63</v>
      </c>
      <c r="W2542">
        <v>9.31</v>
      </c>
      <c r="X2542" t="s">
        <v>2806</v>
      </c>
      <c r="Y2542" t="s">
        <v>585</v>
      </c>
      <c r="Z2542">
        <v>1.51</v>
      </c>
      <c r="AA2542">
        <v>6.65</v>
      </c>
      <c r="AB2542">
        <v>40217</v>
      </c>
      <c r="AC2542">
        <v>39426</v>
      </c>
      <c r="AD2542">
        <v>1.02</v>
      </c>
      <c r="AE2542">
        <v>320</v>
      </c>
      <c r="AF2542">
        <v>184</v>
      </c>
      <c r="AG2542" t="s">
        <v>120</v>
      </c>
      <c r="AH2542">
        <v>0</v>
      </c>
      <c r="AI2542" t="s">
        <v>120</v>
      </c>
      <c r="AJ2542">
        <v>45.03</v>
      </c>
      <c r="AK2542" t="s">
        <v>11652</v>
      </c>
      <c r="AL2542">
        <v>0.89</v>
      </c>
      <c r="AM2542">
        <v>1921</v>
      </c>
      <c r="AN2542">
        <v>41</v>
      </c>
      <c r="AO2542">
        <v>1E-4</v>
      </c>
      <c r="AP2542">
        <v>-3</v>
      </c>
      <c r="AQ2542">
        <v>-1.04</v>
      </c>
      <c r="AR2542">
        <v>-3.78</v>
      </c>
      <c r="AS2542">
        <v>2.48</v>
      </c>
      <c r="AT2542">
        <v>-2.2200000000000002</v>
      </c>
      <c r="AU2542">
        <v>-1.35</v>
      </c>
      <c r="AV2542">
        <v>0</v>
      </c>
      <c r="AW2542">
        <v>0.39</v>
      </c>
      <c r="AX2542">
        <v>44.19</v>
      </c>
      <c r="AY2542">
        <v>5.1100000000000003</v>
      </c>
      <c r="AZ2542">
        <v>4.24</v>
      </c>
      <c r="BA2542">
        <v>0.2</v>
      </c>
      <c r="BB2542" t="s">
        <v>143</v>
      </c>
      <c r="BF2542">
        <v>0.28000000000000003</v>
      </c>
      <c r="BG2542">
        <v>-0.45</v>
      </c>
      <c r="BH2542">
        <v>-1.49</v>
      </c>
      <c r="BI2542">
        <v>0</v>
      </c>
      <c r="BJ2542">
        <v>20210831</v>
      </c>
      <c r="BK2542">
        <v>19981119</v>
      </c>
      <c r="BL2542">
        <v>46.29</v>
      </c>
      <c r="BM2542" t="s">
        <v>120</v>
      </c>
      <c r="BN2542" t="s">
        <v>120</v>
      </c>
      <c r="BO2542">
        <v>842.46</v>
      </c>
      <c r="BP2542">
        <v>6.6</v>
      </c>
      <c r="BQ2542">
        <v>297.10000000000002</v>
      </c>
      <c r="BR2542">
        <v>1.99</v>
      </c>
      <c r="BS2542">
        <v>64.5</v>
      </c>
      <c r="BT2542">
        <v>436.35</v>
      </c>
      <c r="BU2542">
        <v>61.14</v>
      </c>
      <c r="BV2542">
        <v>3.71</v>
      </c>
      <c r="BW2542">
        <v>477.68</v>
      </c>
      <c r="BX2542">
        <v>127.13</v>
      </c>
      <c r="BY2542">
        <v>165.75</v>
      </c>
      <c r="BZ2542">
        <v>2.52</v>
      </c>
      <c r="CA2542">
        <v>0.19</v>
      </c>
      <c r="CB2542">
        <v>9.5399999999999991</v>
      </c>
      <c r="CC2542">
        <v>38.51</v>
      </c>
      <c r="CD2542">
        <v>13.27</v>
      </c>
      <c r="CE2542">
        <v>19.489999999999998</v>
      </c>
      <c r="CF2542">
        <v>16.61</v>
      </c>
      <c r="CG2542">
        <v>19.760000000000002</v>
      </c>
      <c r="CH2542">
        <v>16.45</v>
      </c>
      <c r="CI2542">
        <v>16.41</v>
      </c>
      <c r="CJ2542">
        <v>-0.03</v>
      </c>
      <c r="CK2542">
        <v>12.72</v>
      </c>
      <c r="CL2542">
        <v>263.37</v>
      </c>
      <c r="CM2542">
        <v>13.39</v>
      </c>
      <c r="CN2542">
        <v>13.46</v>
      </c>
      <c r="CO2542">
        <v>100389</v>
      </c>
      <c r="CP2542">
        <v>20377</v>
      </c>
      <c r="CQ2542" t="s">
        <v>2412</v>
      </c>
      <c r="CR2542">
        <v>-42.94</v>
      </c>
      <c r="CS2542">
        <v>-44.65</v>
      </c>
      <c r="CT2542">
        <v>1.03</v>
      </c>
      <c r="CU2542">
        <v>22.82</v>
      </c>
      <c r="CV2542">
        <v>7.93</v>
      </c>
      <c r="CW2542">
        <v>7.54</v>
      </c>
      <c r="CX2542" t="s">
        <v>472</v>
      </c>
      <c r="CY2542">
        <v>6.42</v>
      </c>
      <c r="CZ2542">
        <v>0</v>
      </c>
      <c r="DA2542">
        <v>0.21</v>
      </c>
      <c r="DB2542">
        <v>5.69</v>
      </c>
      <c r="DC2542">
        <v>0.28999999999999998</v>
      </c>
      <c r="DD2542">
        <v>35.270000000000003</v>
      </c>
      <c r="DE2542" t="s">
        <v>2293</v>
      </c>
      <c r="DF2542">
        <v>65.540000000000006</v>
      </c>
      <c r="DG2542">
        <v>50.61</v>
      </c>
      <c r="DH2542">
        <v>42.62</v>
      </c>
      <c r="DI2542">
        <v>0.6</v>
      </c>
      <c r="DJ2542">
        <v>20222</v>
      </c>
      <c r="DK2542">
        <v>600177</v>
      </c>
      <c r="DL2542" t="s">
        <v>120</v>
      </c>
      <c r="DM2542" t="s">
        <v>120</v>
      </c>
      <c r="DN2542" t="s">
        <v>120</v>
      </c>
    </row>
    <row r="2543" spans="1:118">
      <c r="A2543" t="str">
        <f>"600178"</f>
        <v>600178</v>
      </c>
      <c r="B2543" t="s">
        <v>11653</v>
      </c>
      <c r="C2543">
        <v>-4.0199999999999996</v>
      </c>
      <c r="D2543">
        <v>0</v>
      </c>
      <c r="E2543">
        <v>0.71</v>
      </c>
      <c r="F2543">
        <v>1288</v>
      </c>
      <c r="G2543" t="s">
        <v>8247</v>
      </c>
      <c r="H2543">
        <v>11950</v>
      </c>
      <c r="I2543">
        <v>161.03</v>
      </c>
      <c r="J2543" t="s">
        <v>120</v>
      </c>
      <c r="K2543" t="s">
        <v>11654</v>
      </c>
      <c r="L2543">
        <v>3.13</v>
      </c>
      <c r="M2543">
        <v>8.1199999999999992</v>
      </c>
      <c r="N2543">
        <v>1.01</v>
      </c>
      <c r="O2543">
        <v>0.83</v>
      </c>
      <c r="P2543">
        <v>8.5299999999999994</v>
      </c>
      <c r="Q2543">
        <v>-4.37</v>
      </c>
      <c r="R2543">
        <v>8.09</v>
      </c>
      <c r="S2543">
        <v>8.52</v>
      </c>
      <c r="T2543">
        <v>144593</v>
      </c>
      <c r="U2543">
        <v>8.1300000000000008</v>
      </c>
      <c r="V2543">
        <v>8.4600000000000009</v>
      </c>
      <c r="W2543">
        <v>14.31</v>
      </c>
      <c r="X2543" t="s">
        <v>289</v>
      </c>
      <c r="Y2543" t="s">
        <v>1686</v>
      </c>
      <c r="Z2543">
        <v>5.2</v>
      </c>
      <c r="AA2543">
        <v>8.26</v>
      </c>
      <c r="AB2543">
        <v>88570</v>
      </c>
      <c r="AC2543">
        <v>56023</v>
      </c>
      <c r="AD2543">
        <v>1.58</v>
      </c>
      <c r="AE2543">
        <v>561</v>
      </c>
      <c r="AF2543">
        <v>180</v>
      </c>
      <c r="AG2543" t="s">
        <v>120</v>
      </c>
      <c r="AH2543">
        <v>0.08</v>
      </c>
      <c r="AI2543" t="s">
        <v>120</v>
      </c>
      <c r="AJ2543">
        <v>4.62</v>
      </c>
      <c r="AK2543" t="s">
        <v>11654</v>
      </c>
      <c r="AL2543">
        <v>-2.68</v>
      </c>
      <c r="AM2543">
        <v>2864</v>
      </c>
      <c r="AN2543">
        <v>50</v>
      </c>
      <c r="AO2543">
        <v>1.1000000000000001E-3</v>
      </c>
      <c r="AP2543">
        <v>-1</v>
      </c>
      <c r="AQ2543">
        <v>6.42</v>
      </c>
      <c r="AR2543">
        <v>-1.57</v>
      </c>
      <c r="AS2543">
        <v>0.87</v>
      </c>
      <c r="AT2543">
        <v>6.15</v>
      </c>
      <c r="AU2543">
        <v>7.27</v>
      </c>
      <c r="AV2543">
        <v>9</v>
      </c>
      <c r="AW2543">
        <v>6.44</v>
      </c>
      <c r="AX2543">
        <v>48.58</v>
      </c>
      <c r="AY2543">
        <v>28.19</v>
      </c>
      <c r="AZ2543">
        <v>99.55</v>
      </c>
      <c r="BA2543">
        <v>1.28</v>
      </c>
      <c r="BB2543" t="s">
        <v>143</v>
      </c>
      <c r="BF2543">
        <v>-2.31</v>
      </c>
      <c r="BG2543">
        <v>-4.6900000000000004</v>
      </c>
      <c r="BH2543">
        <v>-4.8099999999999996</v>
      </c>
      <c r="BI2543">
        <v>0.37</v>
      </c>
      <c r="BJ2543">
        <v>20210830</v>
      </c>
      <c r="BK2543">
        <v>19981014</v>
      </c>
      <c r="BL2543">
        <v>4.62</v>
      </c>
      <c r="BM2543" t="s">
        <v>120</v>
      </c>
      <c r="BN2543" t="s">
        <v>120</v>
      </c>
      <c r="BO2543">
        <v>85.65</v>
      </c>
      <c r="BP2543">
        <v>8.1199999999999992</v>
      </c>
      <c r="BQ2543">
        <v>24.87</v>
      </c>
      <c r="BR2543">
        <v>13.6</v>
      </c>
      <c r="BS2543">
        <v>55.09</v>
      </c>
      <c r="BT2543">
        <v>62.66</v>
      </c>
      <c r="BU2543">
        <v>13.52</v>
      </c>
      <c r="BV2543">
        <v>3.7</v>
      </c>
      <c r="BW2543">
        <v>45.82</v>
      </c>
      <c r="BX2543">
        <v>20</v>
      </c>
      <c r="BY2543">
        <v>6.62</v>
      </c>
      <c r="BZ2543">
        <v>11.28</v>
      </c>
      <c r="CA2543">
        <v>0.31</v>
      </c>
      <c r="CB2543">
        <v>13.06</v>
      </c>
      <c r="CC2543">
        <v>34.200000000000003</v>
      </c>
      <c r="CD2543">
        <v>30.03</v>
      </c>
      <c r="CE2543">
        <v>1.4</v>
      </c>
      <c r="CF2543">
        <v>0</v>
      </c>
      <c r="CG2543">
        <v>1.42</v>
      </c>
      <c r="CH2543">
        <v>1.39</v>
      </c>
      <c r="CI2543">
        <v>1.31</v>
      </c>
      <c r="CJ2543">
        <v>-0.34</v>
      </c>
      <c r="CK2543">
        <v>1.1200000000000001</v>
      </c>
      <c r="CL2543">
        <v>4.66</v>
      </c>
      <c r="CM2543">
        <v>-1.96</v>
      </c>
      <c r="CN2543">
        <v>-4</v>
      </c>
      <c r="CO2543">
        <v>47126</v>
      </c>
      <c r="CP2543">
        <v>4764</v>
      </c>
      <c r="CQ2543" t="s">
        <v>954</v>
      </c>
      <c r="CR2543">
        <v>313.16000000000003</v>
      </c>
      <c r="CS2543">
        <v>56.25</v>
      </c>
      <c r="CT2543">
        <v>1.51</v>
      </c>
      <c r="CU2543">
        <v>-19.170000000000002</v>
      </c>
      <c r="CV2543">
        <v>1.1000000000000001</v>
      </c>
      <c r="CW2543">
        <v>0.35</v>
      </c>
      <c r="CX2543" t="s">
        <v>10728</v>
      </c>
      <c r="CY2543">
        <v>5.38</v>
      </c>
      <c r="CZ2543">
        <v>0</v>
      </c>
      <c r="DA2543">
        <v>2.83</v>
      </c>
      <c r="DB2543">
        <v>1.01</v>
      </c>
      <c r="DC2543">
        <v>-0.42</v>
      </c>
      <c r="DD2543">
        <v>29.03</v>
      </c>
      <c r="DE2543" t="s">
        <v>10302</v>
      </c>
      <c r="DF2543">
        <v>12.19</v>
      </c>
      <c r="DG2543">
        <v>4.0999999999999996</v>
      </c>
      <c r="DH2543">
        <v>3.83</v>
      </c>
      <c r="DI2543">
        <v>0.67</v>
      </c>
      <c r="DJ2543">
        <v>2249</v>
      </c>
      <c r="DK2543">
        <v>600178</v>
      </c>
      <c r="DL2543" t="s">
        <v>120</v>
      </c>
      <c r="DM2543" t="s">
        <v>120</v>
      </c>
      <c r="DN2543" t="s">
        <v>120</v>
      </c>
    </row>
    <row r="2544" spans="1:118">
      <c r="A2544" t="str">
        <f>"600179"</f>
        <v>600179</v>
      </c>
      <c r="B2544" t="s">
        <v>11655</v>
      </c>
      <c r="C2544">
        <v>0</v>
      </c>
      <c r="D2544">
        <v>0.46</v>
      </c>
      <c r="E2544">
        <v>-0.23</v>
      </c>
      <c r="F2544">
        <v>3608</v>
      </c>
      <c r="G2544" t="s">
        <v>11656</v>
      </c>
      <c r="H2544">
        <v>10424.969999999999</v>
      </c>
      <c r="I2544">
        <v>24.95</v>
      </c>
      <c r="J2544" t="s">
        <v>120</v>
      </c>
      <c r="K2544" t="s">
        <v>11657</v>
      </c>
      <c r="L2544">
        <v>0.66</v>
      </c>
      <c r="M2544">
        <v>4.41</v>
      </c>
      <c r="N2544">
        <v>0.91</v>
      </c>
      <c r="O2544">
        <v>3.85</v>
      </c>
      <c r="P2544">
        <v>4.58</v>
      </c>
      <c r="Q2544">
        <v>-1.81</v>
      </c>
      <c r="R2544">
        <v>4.33</v>
      </c>
      <c r="S2544">
        <v>4.4000000000000004</v>
      </c>
      <c r="T2544">
        <v>235893</v>
      </c>
      <c r="U2544">
        <v>4.42</v>
      </c>
      <c r="V2544">
        <v>4.41</v>
      </c>
      <c r="W2544">
        <v>30.67</v>
      </c>
      <c r="X2544" t="s">
        <v>2775</v>
      </c>
      <c r="Y2544" t="s">
        <v>1686</v>
      </c>
      <c r="Z2544">
        <v>5.67</v>
      </c>
      <c r="AA2544">
        <v>4.42</v>
      </c>
      <c r="AB2544">
        <v>133113</v>
      </c>
      <c r="AC2544">
        <v>102780</v>
      </c>
      <c r="AD2544">
        <v>1.3</v>
      </c>
      <c r="AE2544">
        <v>73</v>
      </c>
      <c r="AF2544">
        <v>1467</v>
      </c>
      <c r="AG2544" t="s">
        <v>120</v>
      </c>
      <c r="AH2544">
        <v>0</v>
      </c>
      <c r="AI2544" t="s">
        <v>120</v>
      </c>
      <c r="AJ2544">
        <v>35.65</v>
      </c>
      <c r="AK2544" t="s">
        <v>11658</v>
      </c>
      <c r="AL2544">
        <v>1.34</v>
      </c>
      <c r="AM2544">
        <v>2205</v>
      </c>
      <c r="AN2544">
        <v>107</v>
      </c>
      <c r="AO2544">
        <v>2.9999999999999997E-4</v>
      </c>
      <c r="AP2544">
        <v>0</v>
      </c>
      <c r="AQ2544">
        <v>0.23</v>
      </c>
      <c r="AR2544">
        <v>3.53</v>
      </c>
      <c r="AS2544">
        <v>8.89</v>
      </c>
      <c r="AT2544">
        <v>6.52</v>
      </c>
      <c r="AU2544">
        <v>9.98</v>
      </c>
      <c r="AV2544">
        <v>6</v>
      </c>
      <c r="AW2544">
        <v>0.89</v>
      </c>
      <c r="AX2544">
        <v>60.86</v>
      </c>
      <c r="AY2544">
        <v>9.2200000000000006</v>
      </c>
      <c r="AZ2544">
        <v>14.88</v>
      </c>
      <c r="BA2544">
        <v>0.45</v>
      </c>
      <c r="BB2544" t="s">
        <v>143</v>
      </c>
      <c r="BF2544">
        <v>0.21</v>
      </c>
      <c r="BG2544">
        <v>0.23</v>
      </c>
      <c r="BH2544">
        <v>-3.71</v>
      </c>
      <c r="BI2544">
        <v>1.85</v>
      </c>
      <c r="BJ2544">
        <v>20210824</v>
      </c>
      <c r="BK2544">
        <v>19981104</v>
      </c>
      <c r="BL2544">
        <v>43.64</v>
      </c>
      <c r="BM2544" t="s">
        <v>120</v>
      </c>
      <c r="BN2544" t="s">
        <v>120</v>
      </c>
      <c r="BO2544">
        <v>97.39</v>
      </c>
      <c r="BP2544">
        <v>4.41</v>
      </c>
      <c r="BQ2544">
        <v>63.37</v>
      </c>
      <c r="BR2544">
        <v>0.15</v>
      </c>
      <c r="BS2544">
        <v>34.79</v>
      </c>
      <c r="BT2544">
        <v>36.71</v>
      </c>
      <c r="BU2544">
        <v>20.54</v>
      </c>
      <c r="BV2544">
        <v>1.1000000000000001</v>
      </c>
      <c r="BW2544">
        <v>22.93</v>
      </c>
      <c r="BX2544">
        <v>10.53</v>
      </c>
      <c r="BY2544">
        <v>0.71</v>
      </c>
      <c r="BZ2544">
        <v>3.5</v>
      </c>
      <c r="CA2544" t="s">
        <v>120</v>
      </c>
      <c r="CB2544">
        <v>31.09</v>
      </c>
      <c r="CC2544">
        <v>31.19</v>
      </c>
      <c r="CD2544">
        <v>27.26</v>
      </c>
      <c r="CE2544">
        <v>3.21</v>
      </c>
      <c r="CF2544">
        <v>0.02</v>
      </c>
      <c r="CG2544">
        <v>3.25</v>
      </c>
      <c r="CH2544">
        <v>3.15</v>
      </c>
      <c r="CI2544">
        <v>3.14</v>
      </c>
      <c r="CJ2544">
        <v>0</v>
      </c>
      <c r="CK2544">
        <v>2.38</v>
      </c>
      <c r="CL2544">
        <v>-9.94</v>
      </c>
      <c r="CM2544">
        <v>8.89</v>
      </c>
      <c r="CN2544">
        <v>-19.059999999999999</v>
      </c>
      <c r="CO2544">
        <v>20481</v>
      </c>
      <c r="CP2544">
        <v>129686</v>
      </c>
      <c r="CQ2544" t="s">
        <v>11659</v>
      </c>
      <c r="CR2544">
        <v>165.38</v>
      </c>
      <c r="CS2544">
        <v>65.849999999999994</v>
      </c>
      <c r="CT2544">
        <v>3.04</v>
      </c>
      <c r="CU2544">
        <v>21.64</v>
      </c>
      <c r="CV2544">
        <v>6.17</v>
      </c>
      <c r="CW2544">
        <v>0</v>
      </c>
      <c r="CX2544" t="s">
        <v>679</v>
      </c>
      <c r="CY2544">
        <v>1.45</v>
      </c>
      <c r="CZ2544">
        <v>0</v>
      </c>
      <c r="DA2544">
        <v>0.71</v>
      </c>
      <c r="DB2544">
        <v>-0.23</v>
      </c>
      <c r="DC2544">
        <v>0.2</v>
      </c>
      <c r="DD2544">
        <v>65.06</v>
      </c>
      <c r="DE2544" t="s">
        <v>435</v>
      </c>
      <c r="DF2544">
        <v>12.59</v>
      </c>
      <c r="DG2544">
        <v>10.28</v>
      </c>
      <c r="DH2544">
        <v>10.06</v>
      </c>
      <c r="DI2544">
        <v>0.01</v>
      </c>
      <c r="DJ2544">
        <v>1077</v>
      </c>
      <c r="DK2544">
        <v>600179</v>
      </c>
      <c r="DL2544" t="s">
        <v>120</v>
      </c>
      <c r="DM2544" t="s">
        <v>120</v>
      </c>
      <c r="DN2544" t="s">
        <v>120</v>
      </c>
    </row>
    <row r="2545" spans="1:118">
      <c r="A2545" t="str">
        <f>"600180"</f>
        <v>600180</v>
      </c>
      <c r="B2545" t="s">
        <v>11660</v>
      </c>
      <c r="C2545">
        <v>2.0699999999999998</v>
      </c>
      <c r="D2545">
        <v>-0.15</v>
      </c>
      <c r="E2545">
        <v>0.16</v>
      </c>
      <c r="F2545">
        <v>1646</v>
      </c>
      <c r="G2545" t="s">
        <v>10933</v>
      </c>
      <c r="H2545">
        <v>8222.69</v>
      </c>
      <c r="I2545">
        <v>7.31</v>
      </c>
      <c r="J2545" t="s">
        <v>120</v>
      </c>
      <c r="K2545" t="s">
        <v>11661</v>
      </c>
      <c r="L2545">
        <v>1.23</v>
      </c>
      <c r="M2545">
        <v>6.42</v>
      </c>
      <c r="N2545">
        <v>1.62</v>
      </c>
      <c r="O2545">
        <v>8.9</v>
      </c>
      <c r="P2545">
        <v>6.85</v>
      </c>
      <c r="Q2545">
        <v>0.16</v>
      </c>
      <c r="R2545">
        <v>6.3</v>
      </c>
      <c r="S2545">
        <v>6.3</v>
      </c>
      <c r="T2545">
        <v>124921</v>
      </c>
      <c r="U2545">
        <v>6.43</v>
      </c>
      <c r="V2545">
        <v>6.29</v>
      </c>
      <c r="W2545">
        <v>10.94</v>
      </c>
      <c r="X2545" t="s">
        <v>2775</v>
      </c>
      <c r="Y2545" t="s">
        <v>638</v>
      </c>
      <c r="Z2545">
        <v>8.74</v>
      </c>
      <c r="AA2545">
        <v>6.58</v>
      </c>
      <c r="AB2545">
        <v>57912</v>
      </c>
      <c r="AC2545">
        <v>67009</v>
      </c>
      <c r="AD2545">
        <v>0.86</v>
      </c>
      <c r="AE2545">
        <v>285</v>
      </c>
      <c r="AF2545">
        <v>621</v>
      </c>
      <c r="AG2545" t="s">
        <v>120</v>
      </c>
      <c r="AH2545">
        <v>0</v>
      </c>
      <c r="AI2545" t="s">
        <v>120</v>
      </c>
      <c r="AJ2545">
        <v>10.16</v>
      </c>
      <c r="AK2545" t="s">
        <v>11661</v>
      </c>
      <c r="AL2545">
        <v>3.41</v>
      </c>
      <c r="AM2545">
        <v>2672</v>
      </c>
      <c r="AN2545">
        <v>47</v>
      </c>
      <c r="AO2545">
        <v>5.0000000000000001E-4</v>
      </c>
      <c r="AP2545">
        <v>2</v>
      </c>
      <c r="AQ2545">
        <v>1.29</v>
      </c>
      <c r="AR2545">
        <v>-0.31</v>
      </c>
      <c r="AS2545">
        <v>13.82</v>
      </c>
      <c r="AT2545">
        <v>5.71</v>
      </c>
      <c r="AU2545">
        <v>24.34</v>
      </c>
      <c r="AV2545">
        <v>1</v>
      </c>
      <c r="AW2545">
        <v>4.0199999999999996</v>
      </c>
      <c r="AX2545">
        <v>30.57</v>
      </c>
      <c r="AY2545">
        <v>20.76</v>
      </c>
      <c r="AZ2545">
        <v>40.770000000000003</v>
      </c>
      <c r="BA2545">
        <v>0.92</v>
      </c>
      <c r="BB2545" t="s">
        <v>143</v>
      </c>
      <c r="BF2545">
        <v>4.6500000000000004</v>
      </c>
      <c r="BG2545">
        <v>1.9</v>
      </c>
      <c r="BH2545">
        <v>-6.28</v>
      </c>
      <c r="BI2545">
        <v>1.9</v>
      </c>
      <c r="BJ2545">
        <v>20210901</v>
      </c>
      <c r="BK2545">
        <v>19980703</v>
      </c>
      <c r="BL2545">
        <v>10.16</v>
      </c>
      <c r="BM2545" t="s">
        <v>120</v>
      </c>
      <c r="BN2545" t="s">
        <v>120</v>
      </c>
      <c r="BO2545">
        <v>318.19</v>
      </c>
      <c r="BP2545">
        <v>6.42</v>
      </c>
      <c r="BQ2545">
        <v>63.15</v>
      </c>
      <c r="BR2545">
        <v>0.11</v>
      </c>
      <c r="BS2545">
        <v>80.12</v>
      </c>
      <c r="BT2545">
        <v>222.93</v>
      </c>
      <c r="BU2545">
        <v>0.22</v>
      </c>
      <c r="BV2545">
        <v>0.34</v>
      </c>
      <c r="BW2545">
        <v>252.61</v>
      </c>
      <c r="BX2545">
        <v>46.98</v>
      </c>
      <c r="BY2545">
        <v>13.54</v>
      </c>
      <c r="BZ2545">
        <v>97.39</v>
      </c>
      <c r="CA2545" t="s">
        <v>120</v>
      </c>
      <c r="CB2545">
        <v>14.65</v>
      </c>
      <c r="CC2545">
        <v>228.6</v>
      </c>
      <c r="CD2545">
        <v>220.12</v>
      </c>
      <c r="CE2545">
        <v>3.56</v>
      </c>
      <c r="CF2545">
        <v>0.99</v>
      </c>
      <c r="CG2545">
        <v>3.42</v>
      </c>
      <c r="CH2545">
        <v>2.99</v>
      </c>
      <c r="CI2545">
        <v>2.98</v>
      </c>
      <c r="CJ2545">
        <v>0.13</v>
      </c>
      <c r="CK2545">
        <v>3.21</v>
      </c>
      <c r="CL2545">
        <v>35.340000000000003</v>
      </c>
      <c r="CM2545">
        <v>4.04</v>
      </c>
      <c r="CN2545">
        <v>1.29</v>
      </c>
      <c r="CO2545">
        <v>19127</v>
      </c>
      <c r="CP2545">
        <v>16246</v>
      </c>
      <c r="CQ2545" t="s">
        <v>11502</v>
      </c>
      <c r="CR2545">
        <v>102.72</v>
      </c>
      <c r="CS2545">
        <v>33.26</v>
      </c>
      <c r="CT2545">
        <v>1.03</v>
      </c>
      <c r="CU2545">
        <v>16.16</v>
      </c>
      <c r="CV2545">
        <v>0.28999999999999998</v>
      </c>
      <c r="CW2545">
        <v>0.74</v>
      </c>
      <c r="CX2545" t="s">
        <v>293</v>
      </c>
      <c r="CY2545">
        <v>6.21</v>
      </c>
      <c r="CZ2545">
        <v>0</v>
      </c>
      <c r="DA2545">
        <v>1.44</v>
      </c>
      <c r="DB2545">
        <v>3.48</v>
      </c>
      <c r="DC2545">
        <v>0.4</v>
      </c>
      <c r="DD2545">
        <v>19.850000000000001</v>
      </c>
      <c r="DE2545" t="s">
        <v>2571</v>
      </c>
      <c r="DF2545">
        <v>3.71</v>
      </c>
      <c r="DG2545">
        <v>1.56</v>
      </c>
      <c r="DH2545">
        <v>1.31</v>
      </c>
      <c r="DI2545">
        <v>0.01</v>
      </c>
      <c r="DJ2545">
        <v>481</v>
      </c>
      <c r="DK2545">
        <v>600180</v>
      </c>
      <c r="DL2545" t="s">
        <v>120</v>
      </c>
      <c r="DM2545" t="s">
        <v>120</v>
      </c>
      <c r="DN2545" t="s">
        <v>120</v>
      </c>
    </row>
    <row r="2546" spans="1:118">
      <c r="A2546" t="str">
        <f>"600183"</f>
        <v>600183</v>
      </c>
      <c r="B2546" t="s">
        <v>11662</v>
      </c>
      <c r="C2546">
        <v>-0.79</v>
      </c>
      <c r="D2546">
        <v>-0.12</v>
      </c>
      <c r="E2546">
        <v>1.59</v>
      </c>
      <c r="F2546">
        <v>3956</v>
      </c>
      <c r="G2546" t="s">
        <v>11663</v>
      </c>
      <c r="H2546">
        <v>68967.88</v>
      </c>
      <c r="I2546">
        <v>714.31</v>
      </c>
      <c r="J2546" t="s">
        <v>120</v>
      </c>
      <c r="K2546" t="s">
        <v>11664</v>
      </c>
      <c r="L2546">
        <v>1.31</v>
      </c>
      <c r="M2546">
        <v>22.48</v>
      </c>
      <c r="N2546">
        <v>0.99</v>
      </c>
      <c r="O2546">
        <v>3.05</v>
      </c>
      <c r="P2546">
        <v>23.35</v>
      </c>
      <c r="Q2546">
        <v>-0.79</v>
      </c>
      <c r="R2546">
        <v>22.48</v>
      </c>
      <c r="S2546">
        <v>23.02</v>
      </c>
      <c r="T2546">
        <v>301855</v>
      </c>
      <c r="U2546">
        <v>22.49</v>
      </c>
      <c r="V2546">
        <v>22.66</v>
      </c>
      <c r="W2546">
        <v>18.29</v>
      </c>
      <c r="X2546" t="s">
        <v>229</v>
      </c>
      <c r="Y2546" t="s">
        <v>547</v>
      </c>
      <c r="Z2546">
        <v>3.84</v>
      </c>
      <c r="AA2546">
        <v>22.85</v>
      </c>
      <c r="AB2546">
        <v>165216</v>
      </c>
      <c r="AC2546">
        <v>136639</v>
      </c>
      <c r="AD2546">
        <v>1.21</v>
      </c>
      <c r="AE2546">
        <v>798</v>
      </c>
      <c r="AF2546">
        <v>154</v>
      </c>
      <c r="AG2546" t="s">
        <v>120</v>
      </c>
      <c r="AH2546">
        <v>0.03</v>
      </c>
      <c r="AI2546" t="s">
        <v>120</v>
      </c>
      <c r="AJ2546">
        <v>23.02</v>
      </c>
      <c r="AK2546" t="s">
        <v>11664</v>
      </c>
      <c r="AL2546">
        <v>0.55000000000000004</v>
      </c>
      <c r="AM2546">
        <v>4685</v>
      </c>
      <c r="AN2546">
        <v>64</v>
      </c>
      <c r="AO2546">
        <v>2.9999999999999997E-4</v>
      </c>
      <c r="AP2546">
        <v>-4</v>
      </c>
      <c r="AQ2546">
        <v>-1.48</v>
      </c>
      <c r="AR2546">
        <v>-2.81</v>
      </c>
      <c r="AS2546">
        <v>-11.36</v>
      </c>
      <c r="AT2546">
        <v>-3.15</v>
      </c>
      <c r="AU2546">
        <v>-19.02</v>
      </c>
      <c r="AV2546">
        <v>1</v>
      </c>
      <c r="AW2546">
        <v>2.73</v>
      </c>
      <c r="AX2546">
        <v>48.1</v>
      </c>
      <c r="AY2546">
        <v>22.99</v>
      </c>
      <c r="AZ2546">
        <v>31.05</v>
      </c>
      <c r="BA2546">
        <v>0</v>
      </c>
      <c r="BB2546" t="s">
        <v>134</v>
      </c>
      <c r="BF2546">
        <v>0.83</v>
      </c>
      <c r="BG2546">
        <v>-2.35</v>
      </c>
      <c r="BH2546">
        <v>-3.73</v>
      </c>
      <c r="BI2546">
        <v>0</v>
      </c>
      <c r="BJ2546">
        <v>20210814</v>
      </c>
      <c r="BK2546">
        <v>19981028</v>
      </c>
      <c r="BL2546">
        <v>23.02</v>
      </c>
      <c r="BM2546" t="s">
        <v>120</v>
      </c>
      <c r="BN2546" t="s">
        <v>120</v>
      </c>
      <c r="BO2546">
        <v>225.65</v>
      </c>
      <c r="BP2546">
        <v>22.48</v>
      </c>
      <c r="BQ2546">
        <v>115.37</v>
      </c>
      <c r="BR2546">
        <v>17.22</v>
      </c>
      <c r="BS2546">
        <v>41.24</v>
      </c>
      <c r="BT2546">
        <v>136.1</v>
      </c>
      <c r="BU2546">
        <v>70.319999999999993</v>
      </c>
      <c r="BV2546">
        <v>4.0599999999999996</v>
      </c>
      <c r="BW2546">
        <v>73.34</v>
      </c>
      <c r="BX2546">
        <v>26.23</v>
      </c>
      <c r="BY2546">
        <v>30.07</v>
      </c>
      <c r="BZ2546">
        <v>64.66</v>
      </c>
      <c r="CA2546" t="s">
        <v>120</v>
      </c>
      <c r="CB2546">
        <v>39.380000000000003</v>
      </c>
      <c r="CC2546">
        <v>98.32</v>
      </c>
      <c r="CD2546">
        <v>70.06</v>
      </c>
      <c r="CE2546">
        <v>16.84</v>
      </c>
      <c r="CF2546">
        <v>0.19</v>
      </c>
      <c r="CG2546">
        <v>16.75</v>
      </c>
      <c r="CH2546">
        <v>14.63</v>
      </c>
      <c r="CI2546">
        <v>14.15</v>
      </c>
      <c r="CJ2546">
        <v>-0.18</v>
      </c>
      <c r="CK2546">
        <v>14.03</v>
      </c>
      <c r="CL2546">
        <v>41.86</v>
      </c>
      <c r="CM2546">
        <v>13.65</v>
      </c>
      <c r="CN2546">
        <v>17.86</v>
      </c>
      <c r="CO2546">
        <v>146552</v>
      </c>
      <c r="CP2546">
        <v>7557</v>
      </c>
      <c r="CQ2546" t="s">
        <v>6139</v>
      </c>
      <c r="CR2546">
        <v>71.3</v>
      </c>
      <c r="CS2546">
        <v>42.93</v>
      </c>
      <c r="CT2546">
        <v>4.49</v>
      </c>
      <c r="CU2546">
        <v>37.92</v>
      </c>
      <c r="CV2546">
        <v>5.26</v>
      </c>
      <c r="CW2546">
        <v>1.76</v>
      </c>
      <c r="CX2546" t="s">
        <v>8995</v>
      </c>
      <c r="CY2546">
        <v>5.01</v>
      </c>
      <c r="CZ2546">
        <v>0</v>
      </c>
      <c r="DA2546">
        <v>1.71</v>
      </c>
      <c r="DB2546">
        <v>1.82</v>
      </c>
      <c r="DC2546">
        <v>0.59</v>
      </c>
      <c r="DD2546">
        <v>51.13</v>
      </c>
      <c r="DE2546" t="s">
        <v>11665</v>
      </c>
      <c r="DF2546">
        <v>28.74</v>
      </c>
      <c r="DG2546">
        <v>17.13</v>
      </c>
      <c r="DH2546">
        <v>14.39</v>
      </c>
      <c r="DI2546">
        <v>4.33</v>
      </c>
      <c r="DJ2546">
        <v>10818</v>
      </c>
      <c r="DK2546">
        <v>600183</v>
      </c>
      <c r="DL2546" t="s">
        <v>120</v>
      </c>
      <c r="DM2546" t="s">
        <v>120</v>
      </c>
      <c r="DN2546" t="s">
        <v>120</v>
      </c>
    </row>
    <row r="2547" spans="1:118">
      <c r="A2547" t="str">
        <f>"600184"</f>
        <v>600184</v>
      </c>
      <c r="B2547" t="s">
        <v>11666</v>
      </c>
      <c r="C2547">
        <v>-1.81</v>
      </c>
      <c r="D2547">
        <v>-0.08</v>
      </c>
      <c r="E2547">
        <v>0.52</v>
      </c>
      <c r="F2547">
        <v>581</v>
      </c>
      <c r="G2547" t="s">
        <v>7948</v>
      </c>
      <c r="H2547">
        <v>6111.56</v>
      </c>
      <c r="I2547">
        <v>22.19</v>
      </c>
      <c r="J2547" t="s">
        <v>120</v>
      </c>
      <c r="K2547" t="s">
        <v>11667</v>
      </c>
      <c r="L2547">
        <v>1.04</v>
      </c>
      <c r="M2547">
        <v>11.41</v>
      </c>
      <c r="N2547">
        <v>0.84</v>
      </c>
      <c r="O2547">
        <v>1.03</v>
      </c>
      <c r="P2547">
        <v>11.74</v>
      </c>
      <c r="Q2547">
        <v>-2.0699999999999998</v>
      </c>
      <c r="R2547">
        <v>11.38</v>
      </c>
      <c r="S2547">
        <v>11.68</v>
      </c>
      <c r="T2547">
        <v>52851</v>
      </c>
      <c r="U2547">
        <v>11.42</v>
      </c>
      <c r="V2547">
        <v>11.62</v>
      </c>
      <c r="W2547">
        <v>105.36</v>
      </c>
      <c r="X2547" t="s">
        <v>675</v>
      </c>
      <c r="Y2547" t="s">
        <v>763</v>
      </c>
      <c r="Z2547">
        <v>3.1</v>
      </c>
      <c r="AA2547">
        <v>11.56</v>
      </c>
      <c r="AB2547">
        <v>32452</v>
      </c>
      <c r="AC2547">
        <v>20399</v>
      </c>
      <c r="AD2547">
        <v>1.59</v>
      </c>
      <c r="AE2547">
        <v>147</v>
      </c>
      <c r="AF2547">
        <v>291</v>
      </c>
      <c r="AG2547" t="s">
        <v>120</v>
      </c>
      <c r="AH2547">
        <v>0.01</v>
      </c>
      <c r="AI2547" t="s">
        <v>120</v>
      </c>
      <c r="AJ2547">
        <v>5.09</v>
      </c>
      <c r="AK2547" t="s">
        <v>11667</v>
      </c>
      <c r="AL2547">
        <v>-0.46</v>
      </c>
      <c r="AM2547">
        <v>1953</v>
      </c>
      <c r="AN2547">
        <v>27</v>
      </c>
      <c r="AO2547">
        <v>5.0000000000000001E-4</v>
      </c>
      <c r="AP2547">
        <v>-1</v>
      </c>
      <c r="AQ2547">
        <v>0.96</v>
      </c>
      <c r="AR2547">
        <v>-1.64</v>
      </c>
      <c r="AS2547">
        <v>-5.55</v>
      </c>
      <c r="AT2547">
        <v>2.15</v>
      </c>
      <c r="AU2547">
        <v>1.35</v>
      </c>
      <c r="AV2547">
        <v>2</v>
      </c>
      <c r="AW2547">
        <v>2.5499999999999998</v>
      </c>
      <c r="AX2547">
        <v>40.729999999999997</v>
      </c>
      <c r="AY2547">
        <v>81.91</v>
      </c>
      <c r="AZ2547">
        <v>113.91</v>
      </c>
      <c r="BA2547">
        <v>0.7</v>
      </c>
      <c r="BB2547" t="s">
        <v>143</v>
      </c>
      <c r="BF2547">
        <v>-0.48</v>
      </c>
      <c r="BG2547">
        <v>-2.31</v>
      </c>
      <c r="BH2547">
        <v>-2.81</v>
      </c>
      <c r="BI2547">
        <v>0.26</v>
      </c>
      <c r="BJ2547">
        <v>20210827</v>
      </c>
      <c r="BK2547">
        <v>20031106</v>
      </c>
      <c r="BL2547">
        <v>5.09</v>
      </c>
      <c r="BM2547" t="s">
        <v>120</v>
      </c>
      <c r="BN2547" t="s">
        <v>120</v>
      </c>
      <c r="BO2547">
        <v>47.25</v>
      </c>
      <c r="BP2547">
        <v>11.41</v>
      </c>
      <c r="BQ2547">
        <v>24.13</v>
      </c>
      <c r="BR2547" t="s">
        <v>120</v>
      </c>
      <c r="BS2547">
        <v>48.94</v>
      </c>
      <c r="BT2547">
        <v>33.22</v>
      </c>
      <c r="BU2547">
        <v>8.61</v>
      </c>
      <c r="BV2547">
        <v>0.84</v>
      </c>
      <c r="BW2547">
        <v>22.37</v>
      </c>
      <c r="BX2547">
        <v>10.9</v>
      </c>
      <c r="BY2547">
        <v>5</v>
      </c>
      <c r="BZ2547">
        <v>5.63</v>
      </c>
      <c r="CA2547" t="s">
        <v>120</v>
      </c>
      <c r="CB2547">
        <v>13.55</v>
      </c>
      <c r="CC2547">
        <v>11.57</v>
      </c>
      <c r="CD2547">
        <v>9.81</v>
      </c>
      <c r="CE2547">
        <v>0.28999999999999998</v>
      </c>
      <c r="CF2547">
        <v>0.08</v>
      </c>
      <c r="CG2547">
        <v>0.3</v>
      </c>
      <c r="CH2547">
        <v>0.28000000000000003</v>
      </c>
      <c r="CI2547">
        <v>0.28000000000000003</v>
      </c>
      <c r="CJ2547">
        <v>-0.21</v>
      </c>
      <c r="CK2547">
        <v>0.2</v>
      </c>
      <c r="CL2547">
        <v>4.88</v>
      </c>
      <c r="CM2547">
        <v>-9.09</v>
      </c>
      <c r="CN2547">
        <v>-10.26</v>
      </c>
      <c r="CO2547">
        <v>28554</v>
      </c>
      <c r="CP2547">
        <v>7258</v>
      </c>
      <c r="CQ2547" t="s">
        <v>6853</v>
      </c>
      <c r="CR2547">
        <v>278.91000000000003</v>
      </c>
      <c r="CS2547">
        <v>108.88</v>
      </c>
      <c r="CT2547">
        <v>2.41</v>
      </c>
      <c r="CU2547">
        <v>-6.38</v>
      </c>
      <c r="CV2547">
        <v>5.0199999999999996</v>
      </c>
      <c r="CW2547">
        <v>0.28000000000000003</v>
      </c>
      <c r="CX2547" t="s">
        <v>1248</v>
      </c>
      <c r="CY2547">
        <v>4.74</v>
      </c>
      <c r="CZ2547">
        <v>0</v>
      </c>
      <c r="DA2547">
        <v>2.66</v>
      </c>
      <c r="DB2547">
        <v>0.96</v>
      </c>
      <c r="DC2547">
        <v>-1.79</v>
      </c>
      <c r="DD2547">
        <v>51.06</v>
      </c>
      <c r="DE2547" t="s">
        <v>4237</v>
      </c>
      <c r="DF2547">
        <v>15.2</v>
      </c>
      <c r="DG2547">
        <v>2.5299999999999998</v>
      </c>
      <c r="DH2547">
        <v>2.38</v>
      </c>
      <c r="DI2547">
        <v>0.84</v>
      </c>
      <c r="DJ2547">
        <v>2392</v>
      </c>
      <c r="DK2547">
        <v>600184</v>
      </c>
      <c r="DL2547" t="s">
        <v>120</v>
      </c>
      <c r="DM2547" t="s">
        <v>120</v>
      </c>
      <c r="DN2547" t="s">
        <v>120</v>
      </c>
    </row>
    <row r="2548" spans="1:118">
      <c r="A2548" t="str">
        <f>"600185"</f>
        <v>600185</v>
      </c>
      <c r="B2548" t="s">
        <v>11668</v>
      </c>
      <c r="C2548">
        <v>-6.53</v>
      </c>
      <c r="D2548">
        <v>0</v>
      </c>
      <c r="E2548">
        <v>-0.71</v>
      </c>
      <c r="F2548">
        <v>4209</v>
      </c>
      <c r="G2548" t="s">
        <v>2801</v>
      </c>
      <c r="H2548">
        <v>47037.02</v>
      </c>
      <c r="I2548">
        <v>62.78</v>
      </c>
      <c r="J2548" t="s">
        <v>120</v>
      </c>
      <c r="K2548" t="s">
        <v>11669</v>
      </c>
      <c r="L2548">
        <v>3</v>
      </c>
      <c r="M2548">
        <v>7.87</v>
      </c>
      <c r="N2548">
        <v>0.94</v>
      </c>
      <c r="O2548">
        <v>0.95</v>
      </c>
      <c r="P2548">
        <v>8.5</v>
      </c>
      <c r="Q2548">
        <v>-6.65</v>
      </c>
      <c r="R2548">
        <v>7.86</v>
      </c>
      <c r="S2548">
        <v>8.36</v>
      </c>
      <c r="T2548">
        <v>582617</v>
      </c>
      <c r="U2548">
        <v>7.88</v>
      </c>
      <c r="V2548">
        <v>8.42</v>
      </c>
      <c r="W2548">
        <v>16.309999999999999</v>
      </c>
      <c r="X2548" t="s">
        <v>150</v>
      </c>
      <c r="Y2548" t="s">
        <v>547</v>
      </c>
      <c r="Z2548">
        <v>7.6</v>
      </c>
      <c r="AA2548">
        <v>8.07</v>
      </c>
      <c r="AB2548">
        <v>361161</v>
      </c>
      <c r="AC2548">
        <v>221456</v>
      </c>
      <c r="AD2548">
        <v>1.63</v>
      </c>
      <c r="AE2548">
        <v>2206</v>
      </c>
      <c r="AF2548">
        <v>2681</v>
      </c>
      <c r="AG2548" t="s">
        <v>120</v>
      </c>
      <c r="AH2548">
        <v>0.01</v>
      </c>
      <c r="AI2548" t="s">
        <v>120</v>
      </c>
      <c r="AJ2548">
        <v>19.45</v>
      </c>
      <c r="AK2548" t="s">
        <v>11669</v>
      </c>
      <c r="AL2548">
        <v>-5.19</v>
      </c>
      <c r="AM2548">
        <v>4060</v>
      </c>
      <c r="AN2548">
        <v>144</v>
      </c>
      <c r="AO2548">
        <v>6.9999999999999999E-4</v>
      </c>
      <c r="AP2548">
        <v>-1</v>
      </c>
      <c r="AQ2548">
        <v>0.24</v>
      </c>
      <c r="AR2548">
        <v>-7.95</v>
      </c>
      <c r="AS2548">
        <v>-16.09</v>
      </c>
      <c r="AT2548">
        <v>-2.84</v>
      </c>
      <c r="AU2548">
        <v>21.83</v>
      </c>
      <c r="AV2548">
        <v>11</v>
      </c>
      <c r="AW2548">
        <v>5.31</v>
      </c>
      <c r="AX2548">
        <v>56.43</v>
      </c>
      <c r="AY2548">
        <v>27.03</v>
      </c>
      <c r="AZ2548">
        <v>29.31</v>
      </c>
      <c r="BA2548">
        <v>0.78</v>
      </c>
      <c r="BB2548" t="s">
        <v>143</v>
      </c>
      <c r="BF2548">
        <v>-4.12</v>
      </c>
      <c r="BG2548">
        <v>-5.86</v>
      </c>
      <c r="BH2548">
        <v>-7.41</v>
      </c>
      <c r="BI2548">
        <v>0.13</v>
      </c>
      <c r="BJ2548">
        <v>20210831</v>
      </c>
      <c r="BK2548">
        <v>19990611</v>
      </c>
      <c r="BL2548">
        <v>19.45</v>
      </c>
      <c r="BM2548" t="s">
        <v>120</v>
      </c>
      <c r="BN2548" t="s">
        <v>120</v>
      </c>
      <c r="BO2548">
        <v>346.63</v>
      </c>
      <c r="BP2548">
        <v>7.87</v>
      </c>
      <c r="BQ2548">
        <v>88.91</v>
      </c>
      <c r="BR2548">
        <v>7.0000000000000007E-2</v>
      </c>
      <c r="BS2548">
        <v>74.33</v>
      </c>
      <c r="BT2548">
        <v>276.73</v>
      </c>
      <c r="BU2548">
        <v>6.17</v>
      </c>
      <c r="BV2548">
        <v>0.48</v>
      </c>
      <c r="BW2548">
        <v>134.16999999999999</v>
      </c>
      <c r="BX2548">
        <v>14.37</v>
      </c>
      <c r="BY2548">
        <v>246.88</v>
      </c>
      <c r="BZ2548">
        <v>2.0099999999999998</v>
      </c>
      <c r="CA2548">
        <v>0.01</v>
      </c>
      <c r="CB2548">
        <v>12.14</v>
      </c>
      <c r="CC2548">
        <v>33.909999999999997</v>
      </c>
      <c r="CD2548">
        <v>21.23</v>
      </c>
      <c r="CE2548">
        <v>6.05</v>
      </c>
      <c r="CF2548">
        <v>0.84</v>
      </c>
      <c r="CG2548">
        <v>6.04</v>
      </c>
      <c r="CH2548">
        <v>4.68</v>
      </c>
      <c r="CI2548">
        <v>4.6900000000000004</v>
      </c>
      <c r="CJ2548">
        <v>-0.55000000000000004</v>
      </c>
      <c r="CK2548">
        <v>4.88</v>
      </c>
      <c r="CL2548">
        <v>56.8</v>
      </c>
      <c r="CM2548">
        <v>26.2</v>
      </c>
      <c r="CN2548">
        <v>-16.04</v>
      </c>
      <c r="CO2548">
        <v>73124</v>
      </c>
      <c r="CP2548">
        <v>15007</v>
      </c>
      <c r="CQ2548" t="s">
        <v>3231</v>
      </c>
      <c r="CR2548">
        <v>11.15</v>
      </c>
      <c r="CS2548">
        <v>13.86</v>
      </c>
      <c r="CT2548">
        <v>1.82</v>
      </c>
      <c r="CU2548">
        <v>5.84</v>
      </c>
      <c r="CV2548">
        <v>4.51</v>
      </c>
      <c r="CW2548">
        <v>0</v>
      </c>
      <c r="CX2548" t="s">
        <v>863</v>
      </c>
      <c r="CY2548">
        <v>4.3099999999999996</v>
      </c>
      <c r="CZ2548">
        <v>4.3099999999999996</v>
      </c>
      <c r="DA2548">
        <v>0.62</v>
      </c>
      <c r="DB2548">
        <v>2.92</v>
      </c>
      <c r="DC2548">
        <v>1.35</v>
      </c>
      <c r="DD2548">
        <v>25.65</v>
      </c>
      <c r="DE2548" t="s">
        <v>443</v>
      </c>
      <c r="DF2548">
        <v>37.409999999999997</v>
      </c>
      <c r="DG2548">
        <v>17.829999999999998</v>
      </c>
      <c r="DH2548">
        <v>13.84</v>
      </c>
      <c r="DI2548" t="s">
        <v>120</v>
      </c>
      <c r="DJ2548">
        <v>1686</v>
      </c>
      <c r="DK2548">
        <v>600185</v>
      </c>
      <c r="DL2548" t="s">
        <v>120</v>
      </c>
      <c r="DM2548" t="s">
        <v>120</v>
      </c>
      <c r="DN2548" t="s">
        <v>120</v>
      </c>
    </row>
    <row r="2549" spans="1:118">
      <c r="A2549" t="str">
        <f>"600186"</f>
        <v>600186</v>
      </c>
      <c r="B2549" t="s">
        <v>11670</v>
      </c>
      <c r="C2549">
        <v>-3.69</v>
      </c>
      <c r="D2549">
        <v>-0.53</v>
      </c>
      <c r="E2549">
        <v>0</v>
      </c>
      <c r="F2549">
        <v>5864</v>
      </c>
      <c r="G2549" t="s">
        <v>8746</v>
      </c>
      <c r="H2549">
        <v>11263.9</v>
      </c>
      <c r="I2549">
        <v>15.92</v>
      </c>
      <c r="J2549" t="s">
        <v>120</v>
      </c>
      <c r="K2549" t="s">
        <v>11671</v>
      </c>
      <c r="L2549">
        <v>2.21</v>
      </c>
      <c r="M2549">
        <v>3.65</v>
      </c>
      <c r="N2549">
        <v>0.63</v>
      </c>
      <c r="O2549">
        <v>0.79</v>
      </c>
      <c r="P2549">
        <v>3.82</v>
      </c>
      <c r="Q2549">
        <v>-4.75</v>
      </c>
      <c r="R2549">
        <v>3.61</v>
      </c>
      <c r="S2549">
        <v>3.79</v>
      </c>
      <c r="T2549">
        <v>304828</v>
      </c>
      <c r="U2549">
        <v>3.66</v>
      </c>
      <c r="V2549">
        <v>3.79</v>
      </c>
      <c r="W2549">
        <v>114.6</v>
      </c>
      <c r="X2549" t="s">
        <v>847</v>
      </c>
      <c r="Y2549" t="s">
        <v>645</v>
      </c>
      <c r="Z2549">
        <v>5.54</v>
      </c>
      <c r="AA2549">
        <v>3.7</v>
      </c>
      <c r="AB2549">
        <v>166690</v>
      </c>
      <c r="AC2549">
        <v>138138</v>
      </c>
      <c r="AD2549">
        <v>1.21</v>
      </c>
      <c r="AE2549">
        <v>383</v>
      </c>
      <c r="AF2549">
        <v>551</v>
      </c>
      <c r="AG2549" t="s">
        <v>120</v>
      </c>
      <c r="AH2549">
        <v>0</v>
      </c>
      <c r="AI2549" t="s">
        <v>120</v>
      </c>
      <c r="AJ2549">
        <v>13.8</v>
      </c>
      <c r="AK2549" t="s">
        <v>11672</v>
      </c>
      <c r="AL2549">
        <v>-2.35</v>
      </c>
      <c r="AM2549">
        <v>2696</v>
      </c>
      <c r="AN2549">
        <v>113</v>
      </c>
      <c r="AO2549">
        <v>8.0000000000000004E-4</v>
      </c>
      <c r="AP2549">
        <v>-5</v>
      </c>
      <c r="AQ2549">
        <v>-0.79</v>
      </c>
      <c r="AR2549">
        <v>-6.41</v>
      </c>
      <c r="AS2549">
        <v>14.78</v>
      </c>
      <c r="AT2549">
        <v>24.15</v>
      </c>
      <c r="AU2549">
        <v>29.44</v>
      </c>
      <c r="AV2549">
        <v>1</v>
      </c>
      <c r="AW2549">
        <v>3.25</v>
      </c>
      <c r="AX2549">
        <v>52.23</v>
      </c>
      <c r="AY2549">
        <v>94.79</v>
      </c>
      <c r="AZ2549">
        <v>91.52</v>
      </c>
      <c r="BA2549">
        <v>0.8</v>
      </c>
      <c r="BB2549" t="s">
        <v>125</v>
      </c>
      <c r="BF2549">
        <v>-2.5</v>
      </c>
      <c r="BG2549">
        <v>-3.69</v>
      </c>
      <c r="BH2549">
        <v>-4.45</v>
      </c>
      <c r="BI2549">
        <v>1.1100000000000001</v>
      </c>
      <c r="BJ2549">
        <v>20210831</v>
      </c>
      <c r="BK2549">
        <v>19980825</v>
      </c>
      <c r="BL2549">
        <v>17.940000000000001</v>
      </c>
      <c r="BM2549" t="s">
        <v>120</v>
      </c>
      <c r="BN2549" t="s">
        <v>120</v>
      </c>
      <c r="BO2549">
        <v>15.21</v>
      </c>
      <c r="BP2549">
        <v>3.65</v>
      </c>
      <c r="BQ2549">
        <v>4.1399999999999997</v>
      </c>
      <c r="BR2549">
        <v>-2.33</v>
      </c>
      <c r="BS2549">
        <v>88.14</v>
      </c>
      <c r="BT2549">
        <v>8.7100000000000009</v>
      </c>
      <c r="BU2549">
        <v>0.99</v>
      </c>
      <c r="BV2549">
        <v>1.4</v>
      </c>
      <c r="BW2549">
        <v>12.51</v>
      </c>
      <c r="BX2549">
        <v>5.17</v>
      </c>
      <c r="BY2549">
        <v>0.7</v>
      </c>
      <c r="BZ2549">
        <v>1.1100000000000001</v>
      </c>
      <c r="CA2549" t="s">
        <v>120</v>
      </c>
      <c r="CB2549">
        <v>5.22</v>
      </c>
      <c r="CC2549">
        <v>8.51</v>
      </c>
      <c r="CD2549">
        <v>7.26</v>
      </c>
      <c r="CE2549">
        <v>0.4</v>
      </c>
      <c r="CF2549">
        <v>0</v>
      </c>
      <c r="CG2549">
        <v>0.41</v>
      </c>
      <c r="CH2549">
        <v>0.28999999999999998</v>
      </c>
      <c r="CI2549">
        <v>0.28999999999999998</v>
      </c>
      <c r="CJ2549">
        <v>-0.14000000000000001</v>
      </c>
      <c r="CK2549">
        <v>0.28000000000000003</v>
      </c>
      <c r="CL2549">
        <v>-15.71</v>
      </c>
      <c r="CM2549">
        <v>0.62</v>
      </c>
      <c r="CN2549">
        <v>0.24</v>
      </c>
      <c r="CO2549">
        <v>58272</v>
      </c>
      <c r="CP2549">
        <v>16078</v>
      </c>
      <c r="CQ2549" t="s">
        <v>6036</v>
      </c>
      <c r="CR2549">
        <v>-8.23</v>
      </c>
      <c r="CS2549">
        <v>8.6999999999999993</v>
      </c>
      <c r="CT2549">
        <v>12.17</v>
      </c>
      <c r="CU2549">
        <v>105.64</v>
      </c>
      <c r="CV2549">
        <v>7.7</v>
      </c>
      <c r="CW2549">
        <v>0</v>
      </c>
      <c r="CX2549" t="s">
        <v>499</v>
      </c>
      <c r="CY2549">
        <v>0.3</v>
      </c>
      <c r="CZ2549">
        <v>0.3</v>
      </c>
      <c r="DA2549">
        <v>0.28999999999999998</v>
      </c>
      <c r="DB2549">
        <v>-0.88</v>
      </c>
      <c r="DC2549">
        <v>0.03</v>
      </c>
      <c r="DD2549">
        <v>27.22</v>
      </c>
      <c r="DE2549" t="s">
        <v>2269</v>
      </c>
      <c r="DF2549">
        <v>14.66</v>
      </c>
      <c r="DG2549">
        <v>4.71</v>
      </c>
      <c r="DH2549">
        <v>3.36</v>
      </c>
      <c r="DI2549">
        <v>0.06</v>
      </c>
      <c r="DJ2549">
        <v>1606</v>
      </c>
      <c r="DK2549">
        <v>600186</v>
      </c>
      <c r="DL2549" t="s">
        <v>120</v>
      </c>
      <c r="DM2549" t="s">
        <v>120</v>
      </c>
      <c r="DN2549" t="s">
        <v>120</v>
      </c>
    </row>
    <row r="2550" spans="1:118">
      <c r="A2550" t="str">
        <f>"600187"</f>
        <v>600187</v>
      </c>
      <c r="B2550" t="s">
        <v>11673</v>
      </c>
      <c r="C2550">
        <v>-1.92</v>
      </c>
      <c r="D2550">
        <v>0</v>
      </c>
      <c r="E2550">
        <v>0</v>
      </c>
      <c r="F2550">
        <v>1748</v>
      </c>
      <c r="G2550" t="s">
        <v>9189</v>
      </c>
      <c r="H2550">
        <v>7012.15</v>
      </c>
      <c r="I2550">
        <v>16.97</v>
      </c>
      <c r="J2550" t="s">
        <v>120</v>
      </c>
      <c r="K2550" t="s">
        <v>9722</v>
      </c>
      <c r="L2550">
        <v>1.63</v>
      </c>
      <c r="M2550">
        <v>2.56</v>
      </c>
      <c r="N2550">
        <v>1.01</v>
      </c>
      <c r="O2550">
        <v>2.2999999999999998</v>
      </c>
      <c r="P2550">
        <v>2.67</v>
      </c>
      <c r="Q2550">
        <v>-1.92</v>
      </c>
      <c r="R2550">
        <v>2.56</v>
      </c>
      <c r="S2550">
        <v>2.61</v>
      </c>
      <c r="T2550">
        <v>268961</v>
      </c>
      <c r="U2550">
        <v>2.57</v>
      </c>
      <c r="V2550">
        <v>2.61</v>
      </c>
      <c r="W2550">
        <v>468.51</v>
      </c>
      <c r="X2550" t="s">
        <v>1271</v>
      </c>
      <c r="Y2550" t="s">
        <v>1686</v>
      </c>
      <c r="Z2550">
        <v>4.21</v>
      </c>
      <c r="AA2550">
        <v>2.61</v>
      </c>
      <c r="AB2550">
        <v>156945</v>
      </c>
      <c r="AC2550">
        <v>112016</v>
      </c>
      <c r="AD2550">
        <v>1.4</v>
      </c>
      <c r="AE2550">
        <v>5851</v>
      </c>
      <c r="AF2550">
        <v>400</v>
      </c>
      <c r="AG2550" t="s">
        <v>120</v>
      </c>
      <c r="AH2550">
        <v>0.01</v>
      </c>
      <c r="AI2550" t="s">
        <v>120</v>
      </c>
      <c r="AJ2550">
        <v>16.54</v>
      </c>
      <c r="AK2550" t="s">
        <v>9722</v>
      </c>
      <c r="AL2550">
        <v>-0.56999999999999995</v>
      </c>
      <c r="AM2550">
        <v>1991</v>
      </c>
      <c r="AN2550">
        <v>135</v>
      </c>
      <c r="AO2550">
        <v>8.0000000000000004E-4</v>
      </c>
      <c r="AP2550">
        <v>-1</v>
      </c>
      <c r="AQ2550">
        <v>3.16</v>
      </c>
      <c r="AR2550">
        <v>-1.92</v>
      </c>
      <c r="AS2550">
        <v>8.93</v>
      </c>
      <c r="AT2550">
        <v>10.34</v>
      </c>
      <c r="AU2550">
        <v>2.4</v>
      </c>
      <c r="AV2550">
        <v>2</v>
      </c>
      <c r="AW2550">
        <v>2.19</v>
      </c>
      <c r="AX2550">
        <v>74.27</v>
      </c>
      <c r="AY2550">
        <v>627.76</v>
      </c>
      <c r="AZ2550">
        <v>141.33000000000001</v>
      </c>
      <c r="BA2550">
        <v>0.59</v>
      </c>
      <c r="BB2550" t="s">
        <v>184</v>
      </c>
      <c r="BF2550">
        <v>-0.11</v>
      </c>
      <c r="BG2550">
        <v>-1.92</v>
      </c>
      <c r="BH2550">
        <v>-4.12</v>
      </c>
      <c r="BI2550">
        <v>0</v>
      </c>
      <c r="BJ2550">
        <v>20210821</v>
      </c>
      <c r="BK2550">
        <v>19981111</v>
      </c>
      <c r="BL2550">
        <v>16.54</v>
      </c>
      <c r="BM2550" t="s">
        <v>120</v>
      </c>
      <c r="BN2550" t="s">
        <v>120</v>
      </c>
      <c r="BO2550">
        <v>47.2</v>
      </c>
      <c r="BP2550">
        <v>2.56</v>
      </c>
      <c r="BQ2550">
        <v>34.75</v>
      </c>
      <c r="BR2550">
        <v>0.18</v>
      </c>
      <c r="BS2550">
        <v>26</v>
      </c>
      <c r="BT2550">
        <v>23.64</v>
      </c>
      <c r="BU2550">
        <v>2</v>
      </c>
      <c r="BV2550">
        <v>9.67</v>
      </c>
      <c r="BW2550">
        <v>8.98</v>
      </c>
      <c r="BX2550">
        <v>4.7</v>
      </c>
      <c r="BY2550">
        <v>1.81</v>
      </c>
      <c r="BZ2550">
        <v>2.5099999999999998</v>
      </c>
      <c r="CA2550">
        <v>6.72</v>
      </c>
      <c r="CB2550">
        <v>20.63</v>
      </c>
      <c r="CC2550">
        <v>1.65</v>
      </c>
      <c r="CD2550">
        <v>1.1399999999999999</v>
      </c>
      <c r="CE2550">
        <v>0.06</v>
      </c>
      <c r="CF2550">
        <v>0.12</v>
      </c>
      <c r="CG2550">
        <v>0.02</v>
      </c>
      <c r="CH2550">
        <v>0.02</v>
      </c>
      <c r="CI2550">
        <v>0.05</v>
      </c>
      <c r="CJ2550">
        <v>-0.05</v>
      </c>
      <c r="CK2550">
        <v>-0.03</v>
      </c>
      <c r="CL2550">
        <v>-1.8</v>
      </c>
      <c r="CM2550">
        <v>1.03</v>
      </c>
      <c r="CN2550">
        <v>-1.1499999999999999</v>
      </c>
      <c r="CO2550">
        <v>109880</v>
      </c>
      <c r="CP2550">
        <v>11179</v>
      </c>
      <c r="CQ2550" t="s">
        <v>6412</v>
      </c>
      <c r="CR2550">
        <v>-83.97</v>
      </c>
      <c r="CS2550">
        <v>20.38</v>
      </c>
      <c r="CT2550">
        <v>1.22</v>
      </c>
      <c r="CU2550">
        <v>41.2</v>
      </c>
      <c r="CV2550">
        <v>25.61</v>
      </c>
      <c r="CW2550">
        <v>0</v>
      </c>
      <c r="CX2550" t="s">
        <v>1097</v>
      </c>
      <c r="CY2550">
        <v>2.1</v>
      </c>
      <c r="CZ2550">
        <v>0</v>
      </c>
      <c r="DA2550">
        <v>1.25</v>
      </c>
      <c r="DB2550">
        <v>-0.11</v>
      </c>
      <c r="DC2550">
        <v>0.06</v>
      </c>
      <c r="DD2550">
        <v>73.61</v>
      </c>
      <c r="DE2550" t="s">
        <v>5960</v>
      </c>
      <c r="DF2550">
        <v>31.08</v>
      </c>
      <c r="DG2550">
        <v>3.84</v>
      </c>
      <c r="DH2550">
        <v>2.73</v>
      </c>
      <c r="DI2550">
        <v>0.02</v>
      </c>
      <c r="DJ2550">
        <v>716</v>
      </c>
      <c r="DK2550">
        <v>600187</v>
      </c>
      <c r="DL2550" t="s">
        <v>120</v>
      </c>
      <c r="DM2550" t="s">
        <v>120</v>
      </c>
      <c r="DN2550" t="s">
        <v>120</v>
      </c>
    </row>
    <row r="2551" spans="1:118">
      <c r="A2551" t="str">
        <f>"600188"</f>
        <v>600188</v>
      </c>
      <c r="B2551" t="s">
        <v>11674</v>
      </c>
      <c r="C2551">
        <v>6.91</v>
      </c>
      <c r="D2551">
        <v>-0.33</v>
      </c>
      <c r="E2551">
        <v>3.27</v>
      </c>
      <c r="F2551">
        <v>6112</v>
      </c>
      <c r="G2551" t="s">
        <v>11675</v>
      </c>
      <c r="H2551">
        <v>168935.48</v>
      </c>
      <c r="I2551">
        <v>894.79</v>
      </c>
      <c r="J2551" t="s">
        <v>120</v>
      </c>
      <c r="K2551" t="s">
        <v>11676</v>
      </c>
      <c r="L2551">
        <v>1.62</v>
      </c>
      <c r="M2551">
        <v>34.68</v>
      </c>
      <c r="N2551">
        <v>1.1000000000000001</v>
      </c>
      <c r="O2551">
        <v>9.99</v>
      </c>
      <c r="P2551">
        <v>35.68</v>
      </c>
      <c r="Q2551">
        <v>3.27</v>
      </c>
      <c r="R2551">
        <v>33.5</v>
      </c>
      <c r="S2551">
        <v>33.5</v>
      </c>
      <c r="T2551">
        <v>480543</v>
      </c>
      <c r="U2551">
        <v>34.68</v>
      </c>
      <c r="V2551">
        <v>32.44</v>
      </c>
      <c r="W2551">
        <v>13.99</v>
      </c>
      <c r="X2551" t="s">
        <v>1081</v>
      </c>
      <c r="Y2551" t="s">
        <v>638</v>
      </c>
      <c r="Z2551">
        <v>6.72</v>
      </c>
      <c r="AA2551">
        <v>35.159999999999997</v>
      </c>
      <c r="AB2551">
        <v>240470</v>
      </c>
      <c r="AC2551">
        <v>240073</v>
      </c>
      <c r="AD2551">
        <v>1</v>
      </c>
      <c r="AE2551">
        <v>9</v>
      </c>
      <c r="AF2551">
        <v>706</v>
      </c>
      <c r="AG2551" t="s">
        <v>120</v>
      </c>
      <c r="AH2551">
        <v>0.04</v>
      </c>
      <c r="AI2551" t="s">
        <v>120</v>
      </c>
      <c r="AJ2551">
        <v>29.74</v>
      </c>
      <c r="AK2551" t="s">
        <v>11676</v>
      </c>
      <c r="AL2551">
        <v>8.25</v>
      </c>
      <c r="AM2551">
        <v>4514</v>
      </c>
      <c r="AN2551">
        <v>106</v>
      </c>
      <c r="AO2551">
        <v>4.0000000000000002E-4</v>
      </c>
      <c r="AP2551">
        <v>1</v>
      </c>
      <c r="AQ2551">
        <v>-2.58</v>
      </c>
      <c r="AR2551">
        <v>7.54</v>
      </c>
      <c r="AS2551">
        <v>108.17</v>
      </c>
      <c r="AT2551">
        <v>136.88</v>
      </c>
      <c r="AU2551">
        <v>282.36</v>
      </c>
      <c r="AV2551">
        <v>7</v>
      </c>
      <c r="AW2551">
        <v>6.76</v>
      </c>
      <c r="AX2551">
        <v>23.91</v>
      </c>
      <c r="AY2551">
        <v>20.14</v>
      </c>
      <c r="AZ2551">
        <v>22.2</v>
      </c>
      <c r="BA2551">
        <v>0</v>
      </c>
      <c r="BB2551" t="s">
        <v>125</v>
      </c>
      <c r="BF2551">
        <v>8.3699999999999992</v>
      </c>
      <c r="BG2551">
        <v>3.52</v>
      </c>
      <c r="BH2551">
        <v>-2.8</v>
      </c>
      <c r="BI2551">
        <v>3.52</v>
      </c>
      <c r="BJ2551">
        <v>20210830</v>
      </c>
      <c r="BK2551">
        <v>19980701</v>
      </c>
      <c r="BL2551">
        <v>48.74</v>
      </c>
      <c r="BM2551" t="s">
        <v>120</v>
      </c>
      <c r="BN2551">
        <v>19</v>
      </c>
      <c r="BO2551">
        <v>2692.62</v>
      </c>
      <c r="BP2551">
        <v>34.67</v>
      </c>
      <c r="BQ2551">
        <v>555.21</v>
      </c>
      <c r="BR2551">
        <v>259.11</v>
      </c>
      <c r="BS2551">
        <v>69.760000000000005</v>
      </c>
      <c r="BT2551">
        <v>677.32</v>
      </c>
      <c r="BU2551">
        <v>686.25</v>
      </c>
      <c r="BV2551">
        <v>568.58000000000004</v>
      </c>
      <c r="BW2551">
        <v>1033.17</v>
      </c>
      <c r="BX2551">
        <v>269.77</v>
      </c>
      <c r="BY2551">
        <v>91.85</v>
      </c>
      <c r="BZ2551">
        <v>52.69</v>
      </c>
      <c r="CA2551" t="s">
        <v>120</v>
      </c>
      <c r="CB2551">
        <v>10.53</v>
      </c>
      <c r="CC2551">
        <v>653.79999999999995</v>
      </c>
      <c r="CD2551">
        <v>504.52</v>
      </c>
      <c r="CE2551">
        <v>78.25</v>
      </c>
      <c r="CF2551">
        <v>9.9499999999999993</v>
      </c>
      <c r="CG2551">
        <v>76.959999999999994</v>
      </c>
      <c r="CH2551">
        <v>63.82</v>
      </c>
      <c r="CI2551">
        <v>60.42</v>
      </c>
      <c r="CJ2551">
        <v>2.2400000000000002</v>
      </c>
      <c r="CK2551">
        <v>60.71</v>
      </c>
      <c r="CL2551">
        <v>465.09</v>
      </c>
      <c r="CM2551">
        <v>25.85</v>
      </c>
      <c r="CN2551">
        <v>51.73</v>
      </c>
      <c r="CO2551">
        <v>49335</v>
      </c>
      <c r="CP2551">
        <v>14414</v>
      </c>
      <c r="CQ2551" t="s">
        <v>11677</v>
      </c>
      <c r="CR2551">
        <v>13.75</v>
      </c>
      <c r="CS2551">
        <v>-43.41</v>
      </c>
      <c r="CT2551">
        <v>3.35</v>
      </c>
      <c r="CU2551">
        <v>65.39</v>
      </c>
      <c r="CV2551">
        <v>2.59</v>
      </c>
      <c r="CW2551">
        <v>3.08</v>
      </c>
      <c r="CX2551" t="s">
        <v>5880</v>
      </c>
      <c r="CY2551">
        <v>10.37</v>
      </c>
      <c r="CZ2551">
        <v>10.37</v>
      </c>
      <c r="DA2551">
        <v>0.22</v>
      </c>
      <c r="DB2551">
        <v>9.5399999999999991</v>
      </c>
      <c r="DC2551">
        <v>0.53</v>
      </c>
      <c r="DD2551">
        <v>20.62</v>
      </c>
      <c r="DE2551" t="s">
        <v>11557</v>
      </c>
      <c r="DF2551">
        <v>22.83</v>
      </c>
      <c r="DG2551">
        <v>11.97</v>
      </c>
      <c r="DH2551">
        <v>9.24</v>
      </c>
      <c r="DI2551">
        <v>2.27</v>
      </c>
      <c r="DJ2551">
        <v>63869</v>
      </c>
      <c r="DK2551">
        <v>600188</v>
      </c>
      <c r="DL2551">
        <v>20210826</v>
      </c>
      <c r="DM2551">
        <v>19.489999999999998</v>
      </c>
      <c r="DN2551">
        <v>77.94</v>
      </c>
    </row>
    <row r="2552" spans="1:118">
      <c r="A2552" t="str">
        <f>"600189"</f>
        <v>600189</v>
      </c>
      <c r="B2552" t="s">
        <v>11678</v>
      </c>
      <c r="C2552">
        <v>-1.78</v>
      </c>
      <c r="D2552">
        <v>0</v>
      </c>
      <c r="E2552">
        <v>-1</v>
      </c>
      <c r="F2552">
        <v>448</v>
      </c>
      <c r="G2552" t="s">
        <v>8094</v>
      </c>
      <c r="H2552">
        <v>6461.32</v>
      </c>
      <c r="I2552">
        <v>19.22</v>
      </c>
      <c r="J2552" t="s">
        <v>120</v>
      </c>
      <c r="K2552" t="s">
        <v>11679</v>
      </c>
      <c r="L2552">
        <v>1.05</v>
      </c>
      <c r="M2552">
        <v>8.83</v>
      </c>
      <c r="N2552">
        <v>0.85</v>
      </c>
      <c r="O2552">
        <v>0.78</v>
      </c>
      <c r="P2552">
        <v>9.06</v>
      </c>
      <c r="Q2552">
        <v>-1.89</v>
      </c>
      <c r="R2552">
        <v>8.82</v>
      </c>
      <c r="S2552">
        <v>8.9</v>
      </c>
      <c r="T2552">
        <v>72464</v>
      </c>
      <c r="U2552">
        <v>8.84</v>
      </c>
      <c r="V2552">
        <v>8.99</v>
      </c>
      <c r="W2552">
        <v>50.26</v>
      </c>
      <c r="X2552" t="s">
        <v>2180</v>
      </c>
      <c r="Y2552" t="s">
        <v>290</v>
      </c>
      <c r="Z2552">
        <v>2.67</v>
      </c>
      <c r="AA2552">
        <v>8.92</v>
      </c>
      <c r="AB2552">
        <v>45564</v>
      </c>
      <c r="AC2552">
        <v>26900</v>
      </c>
      <c r="AD2552">
        <v>1.69</v>
      </c>
      <c r="AE2552">
        <v>1513</v>
      </c>
      <c r="AF2552">
        <v>382</v>
      </c>
      <c r="AG2552" t="s">
        <v>120</v>
      </c>
      <c r="AH2552">
        <v>0.01</v>
      </c>
      <c r="AI2552" t="s">
        <v>120</v>
      </c>
      <c r="AJ2552">
        <v>6.88</v>
      </c>
      <c r="AK2552" t="s">
        <v>1191</v>
      </c>
      <c r="AL2552">
        <v>-0.44</v>
      </c>
      <c r="AM2552">
        <v>2663</v>
      </c>
      <c r="AN2552">
        <v>27</v>
      </c>
      <c r="AO2552">
        <v>4.0000000000000002E-4</v>
      </c>
      <c r="AP2552">
        <v>-6</v>
      </c>
      <c r="AQ2552">
        <v>-0.55000000000000004</v>
      </c>
      <c r="AR2552">
        <v>-4.43</v>
      </c>
      <c r="AS2552">
        <v>-9.99</v>
      </c>
      <c r="AT2552">
        <v>-23.42</v>
      </c>
      <c r="AU2552">
        <v>-39.89</v>
      </c>
      <c r="AV2552">
        <v>20</v>
      </c>
      <c r="AW2552">
        <v>1.89</v>
      </c>
      <c r="AX2552">
        <v>53.66</v>
      </c>
      <c r="AY2552">
        <v>70.680000000000007</v>
      </c>
      <c r="AZ2552">
        <v>77.52</v>
      </c>
      <c r="BA2552">
        <v>1.37</v>
      </c>
      <c r="BB2552" t="s">
        <v>134</v>
      </c>
      <c r="BF2552">
        <v>-0.82</v>
      </c>
      <c r="BG2552">
        <v>-0.79</v>
      </c>
      <c r="BH2552">
        <v>-2.54</v>
      </c>
      <c r="BI2552">
        <v>0.11</v>
      </c>
      <c r="BJ2552">
        <v>20210819</v>
      </c>
      <c r="BK2552">
        <v>19981007</v>
      </c>
      <c r="BL2552">
        <v>7.15</v>
      </c>
      <c r="BM2552" t="s">
        <v>120</v>
      </c>
      <c r="BN2552" t="s">
        <v>120</v>
      </c>
      <c r="BO2552">
        <v>50.82</v>
      </c>
      <c r="BP2552">
        <v>8.83</v>
      </c>
      <c r="BQ2552">
        <v>15.5</v>
      </c>
      <c r="BR2552">
        <v>1.47</v>
      </c>
      <c r="BS2552">
        <v>66.61</v>
      </c>
      <c r="BT2552">
        <v>29.72</v>
      </c>
      <c r="BU2552">
        <v>8.83</v>
      </c>
      <c r="BV2552">
        <v>0.95</v>
      </c>
      <c r="BW2552">
        <v>27.62</v>
      </c>
      <c r="BX2552">
        <v>3.36</v>
      </c>
      <c r="BY2552">
        <v>2.0099999999999998</v>
      </c>
      <c r="BZ2552">
        <v>3.55</v>
      </c>
      <c r="CA2552">
        <v>0.09</v>
      </c>
      <c r="CB2552">
        <v>17.739999999999998</v>
      </c>
      <c r="CC2552">
        <v>7.47</v>
      </c>
      <c r="CD2552">
        <v>4.0999999999999996</v>
      </c>
      <c r="CE2552">
        <v>0.99</v>
      </c>
      <c r="CF2552">
        <v>0.03</v>
      </c>
      <c r="CG2552">
        <v>0.99</v>
      </c>
      <c r="CH2552">
        <v>0.74</v>
      </c>
      <c r="CI2552">
        <v>0.63</v>
      </c>
      <c r="CJ2552">
        <v>-0.16</v>
      </c>
      <c r="CK2552">
        <v>0.61</v>
      </c>
      <c r="CL2552">
        <v>-11.27</v>
      </c>
      <c r="CM2552">
        <v>1.25</v>
      </c>
      <c r="CN2552">
        <v>-1.1200000000000001</v>
      </c>
      <c r="CO2552">
        <v>61952</v>
      </c>
      <c r="CP2552">
        <v>6195</v>
      </c>
      <c r="CQ2552" t="s">
        <v>6385</v>
      </c>
      <c r="CR2552">
        <v>14.65</v>
      </c>
      <c r="CS2552">
        <v>68.989999999999995</v>
      </c>
      <c r="CT2552">
        <v>4.07</v>
      </c>
      <c r="CU2552">
        <v>50.37</v>
      </c>
      <c r="CV2552">
        <v>8.4600000000000009</v>
      </c>
      <c r="CW2552">
        <v>0</v>
      </c>
      <c r="CX2552" t="s">
        <v>329</v>
      </c>
      <c r="CY2552">
        <v>2.17</v>
      </c>
      <c r="CZ2552">
        <v>0</v>
      </c>
      <c r="DA2552">
        <v>2.48</v>
      </c>
      <c r="DB2552">
        <v>-1.58</v>
      </c>
      <c r="DC2552">
        <v>0.18</v>
      </c>
      <c r="DD2552">
        <v>30.5</v>
      </c>
      <c r="DE2552" t="s">
        <v>3624</v>
      </c>
      <c r="DF2552">
        <v>45.08</v>
      </c>
      <c r="DG2552">
        <v>13.29</v>
      </c>
      <c r="DH2552">
        <v>8.41</v>
      </c>
      <c r="DI2552">
        <v>0.06</v>
      </c>
      <c r="DJ2552">
        <v>2028</v>
      </c>
      <c r="DK2552">
        <v>600189</v>
      </c>
      <c r="DL2552" t="s">
        <v>120</v>
      </c>
      <c r="DM2552" t="s">
        <v>120</v>
      </c>
      <c r="DN2552" t="s">
        <v>120</v>
      </c>
    </row>
    <row r="2553" spans="1:118">
      <c r="A2553" t="str">
        <f>"600190"</f>
        <v>600190</v>
      </c>
      <c r="B2553" t="s">
        <v>11680</v>
      </c>
      <c r="C2553">
        <v>-1.38</v>
      </c>
      <c r="D2553">
        <v>0</v>
      </c>
      <c r="E2553">
        <v>0</v>
      </c>
      <c r="F2553">
        <v>2148</v>
      </c>
      <c r="G2553" t="s">
        <v>11681</v>
      </c>
      <c r="H2553">
        <v>1615.31</v>
      </c>
      <c r="I2553">
        <v>3.48</v>
      </c>
      <c r="J2553" t="s">
        <v>120</v>
      </c>
      <c r="K2553" t="s">
        <v>11682</v>
      </c>
      <c r="L2553">
        <v>0.31</v>
      </c>
      <c r="M2553">
        <v>2.86</v>
      </c>
      <c r="N2553">
        <v>0.69</v>
      </c>
      <c r="O2553">
        <v>1.03</v>
      </c>
      <c r="P2553">
        <v>2.93</v>
      </c>
      <c r="Q2553">
        <v>-1.72</v>
      </c>
      <c r="R2553">
        <v>2.85</v>
      </c>
      <c r="S2553">
        <v>2.9</v>
      </c>
      <c r="T2553">
        <v>55849</v>
      </c>
      <c r="U2553">
        <v>2.86</v>
      </c>
      <c r="V2553">
        <v>2.9</v>
      </c>
      <c r="W2553">
        <v>28.79</v>
      </c>
      <c r="X2553" t="s">
        <v>511</v>
      </c>
      <c r="Y2553" t="s">
        <v>432</v>
      </c>
      <c r="Z2553">
        <v>2.76</v>
      </c>
      <c r="AA2553">
        <v>2.89</v>
      </c>
      <c r="AB2553">
        <v>30898</v>
      </c>
      <c r="AC2553">
        <v>24951</v>
      </c>
      <c r="AD2553">
        <v>1.24</v>
      </c>
      <c r="AE2553">
        <v>2090</v>
      </c>
      <c r="AF2553">
        <v>1734</v>
      </c>
      <c r="AG2553" t="s">
        <v>120</v>
      </c>
      <c r="AH2553">
        <v>0</v>
      </c>
      <c r="AI2553" t="s">
        <v>120</v>
      </c>
      <c r="AJ2553">
        <v>17.79</v>
      </c>
      <c r="AK2553" t="s">
        <v>11683</v>
      </c>
      <c r="AL2553">
        <v>-0.04</v>
      </c>
      <c r="AM2553">
        <v>1347</v>
      </c>
      <c r="AN2553">
        <v>41</v>
      </c>
      <c r="AO2553">
        <v>2.0000000000000001E-4</v>
      </c>
      <c r="AP2553">
        <v>-1</v>
      </c>
      <c r="AQ2553">
        <v>0.35</v>
      </c>
      <c r="AR2553">
        <v>-2.39</v>
      </c>
      <c r="AS2553">
        <v>7.11</v>
      </c>
      <c r="AT2553">
        <v>1.42</v>
      </c>
      <c r="AU2553">
        <v>-4.9800000000000004</v>
      </c>
      <c r="AV2553">
        <v>1</v>
      </c>
      <c r="AW2553">
        <v>1.3</v>
      </c>
      <c r="AX2553">
        <v>21.43</v>
      </c>
      <c r="AY2553">
        <v>32.090000000000003</v>
      </c>
      <c r="AZ2553">
        <v>31.05</v>
      </c>
      <c r="BA2553">
        <v>0.41</v>
      </c>
      <c r="BB2553" t="s">
        <v>143</v>
      </c>
      <c r="BF2553">
        <v>-0.27</v>
      </c>
      <c r="BG2553">
        <v>-1.38</v>
      </c>
      <c r="BH2553">
        <v>-2.39</v>
      </c>
      <c r="BI2553">
        <v>0.35</v>
      </c>
      <c r="BJ2553">
        <v>20210830</v>
      </c>
      <c r="BK2553">
        <v>19990609</v>
      </c>
      <c r="BL2553">
        <v>20.02</v>
      </c>
      <c r="BM2553">
        <v>2.23</v>
      </c>
      <c r="BN2553" t="s">
        <v>120</v>
      </c>
      <c r="BO2553">
        <v>178.67</v>
      </c>
      <c r="BP2553">
        <v>2.85</v>
      </c>
      <c r="BQ2553">
        <v>65.41</v>
      </c>
      <c r="BR2553">
        <v>1.05</v>
      </c>
      <c r="BS2553">
        <v>62.81</v>
      </c>
      <c r="BT2553">
        <v>43.15</v>
      </c>
      <c r="BU2553">
        <v>83.48</v>
      </c>
      <c r="BV2553">
        <v>3.47</v>
      </c>
      <c r="BW2553">
        <v>51.81</v>
      </c>
      <c r="BX2553">
        <v>14.72</v>
      </c>
      <c r="BY2553">
        <v>4.7</v>
      </c>
      <c r="BZ2553">
        <v>5.19</v>
      </c>
      <c r="CA2553">
        <v>0.32</v>
      </c>
      <c r="CB2553">
        <v>26.59</v>
      </c>
      <c r="CC2553">
        <v>37.200000000000003</v>
      </c>
      <c r="CD2553">
        <v>32.94</v>
      </c>
      <c r="CE2553">
        <v>1.19</v>
      </c>
      <c r="CF2553">
        <v>0.35</v>
      </c>
      <c r="CG2553">
        <v>1.21</v>
      </c>
      <c r="CH2553">
        <v>0.96</v>
      </c>
      <c r="CI2553">
        <v>0.99</v>
      </c>
      <c r="CJ2553">
        <v>-0.04</v>
      </c>
      <c r="CK2553">
        <v>0.3</v>
      </c>
      <c r="CL2553">
        <v>13.58</v>
      </c>
      <c r="CM2553">
        <v>1.1599999999999999</v>
      </c>
      <c r="CN2553">
        <v>0.67</v>
      </c>
      <c r="CO2553">
        <v>91296</v>
      </c>
      <c r="CP2553">
        <v>7140</v>
      </c>
      <c r="CQ2553" t="s">
        <v>11684</v>
      </c>
      <c r="CR2553">
        <v>-5.74</v>
      </c>
      <c r="CS2553">
        <v>17.21</v>
      </c>
      <c r="CT2553">
        <v>0.88</v>
      </c>
      <c r="CU2553">
        <v>49.23</v>
      </c>
      <c r="CV2553">
        <v>1.54</v>
      </c>
      <c r="CW2553">
        <v>0.69</v>
      </c>
      <c r="CX2553" t="s">
        <v>1248</v>
      </c>
      <c r="CY2553">
        <v>3.27</v>
      </c>
      <c r="CZ2553">
        <v>0</v>
      </c>
      <c r="DA2553">
        <v>1.33</v>
      </c>
      <c r="DB2553">
        <v>0.68</v>
      </c>
      <c r="DC2553">
        <v>0.06</v>
      </c>
      <c r="DD2553">
        <v>36.61</v>
      </c>
      <c r="DE2553" t="s">
        <v>4579</v>
      </c>
      <c r="DF2553">
        <v>11.45</v>
      </c>
      <c r="DG2553">
        <v>3.2</v>
      </c>
      <c r="DH2553">
        <v>2.67</v>
      </c>
      <c r="DI2553" t="s">
        <v>120</v>
      </c>
      <c r="DJ2553">
        <v>1578</v>
      </c>
      <c r="DK2553">
        <v>600190</v>
      </c>
      <c r="DL2553" t="s">
        <v>120</v>
      </c>
      <c r="DM2553" t="s">
        <v>120</v>
      </c>
      <c r="DN2553" t="s">
        <v>120</v>
      </c>
    </row>
    <row r="2554" spans="1:118">
      <c r="A2554" t="str">
        <f>"600192"</f>
        <v>600192</v>
      </c>
      <c r="B2554" t="s">
        <v>11685</v>
      </c>
      <c r="C2554">
        <v>-2.2000000000000002</v>
      </c>
      <c r="D2554">
        <v>-0.19</v>
      </c>
      <c r="E2554">
        <v>0.2</v>
      </c>
      <c r="F2554">
        <v>617</v>
      </c>
      <c r="G2554" t="s">
        <v>11523</v>
      </c>
      <c r="H2554">
        <v>2619.1999999999998</v>
      </c>
      <c r="I2554">
        <v>13.15</v>
      </c>
      <c r="J2554" t="s">
        <v>120</v>
      </c>
      <c r="K2554" t="s">
        <v>11686</v>
      </c>
      <c r="L2554">
        <v>1.2</v>
      </c>
      <c r="M2554">
        <v>4.88</v>
      </c>
      <c r="N2554">
        <v>0.8</v>
      </c>
      <c r="O2554">
        <v>1</v>
      </c>
      <c r="P2554">
        <v>5.04</v>
      </c>
      <c r="Q2554">
        <v>-2.4</v>
      </c>
      <c r="R2554">
        <v>4.87</v>
      </c>
      <c r="S2554">
        <v>5</v>
      </c>
      <c r="T2554">
        <v>52914</v>
      </c>
      <c r="U2554">
        <v>4.8899999999999997</v>
      </c>
      <c r="V2554">
        <v>4.99</v>
      </c>
      <c r="W2554" t="s">
        <v>120</v>
      </c>
      <c r="X2554" t="s">
        <v>394</v>
      </c>
      <c r="Y2554" t="s">
        <v>1082</v>
      </c>
      <c r="Z2554">
        <v>3.41</v>
      </c>
      <c r="AA2554">
        <v>4.95</v>
      </c>
      <c r="AB2554">
        <v>28642</v>
      </c>
      <c r="AC2554">
        <v>24272</v>
      </c>
      <c r="AD2554">
        <v>1.18</v>
      </c>
      <c r="AE2554">
        <v>1129</v>
      </c>
      <c r="AF2554">
        <v>513</v>
      </c>
      <c r="AG2554" t="s">
        <v>120</v>
      </c>
      <c r="AH2554">
        <v>0.01</v>
      </c>
      <c r="AI2554" t="s">
        <v>120</v>
      </c>
      <c r="AJ2554">
        <v>4.42</v>
      </c>
      <c r="AK2554" t="s">
        <v>11686</v>
      </c>
      <c r="AL2554">
        <v>-0.86</v>
      </c>
      <c r="AM2554">
        <v>1527</v>
      </c>
      <c r="AN2554">
        <v>35</v>
      </c>
      <c r="AO2554">
        <v>8.0000000000000004E-4</v>
      </c>
      <c r="AP2554">
        <v>-1</v>
      </c>
      <c r="AQ2554">
        <v>2.67</v>
      </c>
      <c r="AR2554">
        <v>-2.6</v>
      </c>
      <c r="AS2554">
        <v>2.09</v>
      </c>
      <c r="AT2554">
        <v>-2.99</v>
      </c>
      <c r="AU2554">
        <v>-6.33</v>
      </c>
      <c r="AV2554">
        <v>2</v>
      </c>
      <c r="AW2554">
        <v>1.96</v>
      </c>
      <c r="AX2554">
        <v>61.23</v>
      </c>
      <c r="AY2554" t="s">
        <v>120</v>
      </c>
      <c r="AZ2554" t="s">
        <v>120</v>
      </c>
      <c r="BA2554">
        <v>0.44</v>
      </c>
      <c r="BB2554" t="s">
        <v>143</v>
      </c>
      <c r="BF2554">
        <v>-0.8</v>
      </c>
      <c r="BG2554">
        <v>-2.4</v>
      </c>
      <c r="BH2554">
        <v>-3.17</v>
      </c>
      <c r="BI2554">
        <v>0.21</v>
      </c>
      <c r="BJ2554">
        <v>20210812</v>
      </c>
      <c r="BK2554">
        <v>19981224</v>
      </c>
      <c r="BL2554">
        <v>4.42</v>
      </c>
      <c r="BM2554" t="s">
        <v>120</v>
      </c>
      <c r="BN2554" t="s">
        <v>120</v>
      </c>
      <c r="BO2554">
        <v>46.11</v>
      </c>
      <c r="BP2554">
        <v>4.88</v>
      </c>
      <c r="BQ2554">
        <v>17.7</v>
      </c>
      <c r="BR2554">
        <v>0.45</v>
      </c>
      <c r="BS2554">
        <v>60.62</v>
      </c>
      <c r="BT2554">
        <v>31.77</v>
      </c>
      <c r="BU2554">
        <v>7.44</v>
      </c>
      <c r="BV2554">
        <v>1.51</v>
      </c>
      <c r="BW2554">
        <v>25.32</v>
      </c>
      <c r="BX2554">
        <v>3.06</v>
      </c>
      <c r="BY2554">
        <v>11.82</v>
      </c>
      <c r="BZ2554">
        <v>12.15</v>
      </c>
      <c r="CA2554" t="s">
        <v>120</v>
      </c>
      <c r="CB2554">
        <v>9.08</v>
      </c>
      <c r="CC2554">
        <v>9.74</v>
      </c>
      <c r="CD2554">
        <v>8.35</v>
      </c>
      <c r="CE2554">
        <v>-0.43</v>
      </c>
      <c r="CF2554">
        <v>0</v>
      </c>
      <c r="CG2554">
        <v>-0.43</v>
      </c>
      <c r="CH2554">
        <v>-0.44</v>
      </c>
      <c r="CI2554">
        <v>-0.42</v>
      </c>
      <c r="CJ2554">
        <v>-0.11</v>
      </c>
      <c r="CK2554">
        <v>-0.52</v>
      </c>
      <c r="CL2554">
        <v>3.01</v>
      </c>
      <c r="CM2554">
        <v>-0.54</v>
      </c>
      <c r="CN2554">
        <v>0.38</v>
      </c>
      <c r="CO2554">
        <v>34467</v>
      </c>
      <c r="CP2554">
        <v>7847</v>
      </c>
      <c r="CQ2554" t="s">
        <v>3176</v>
      </c>
      <c r="CR2554">
        <v>-523.65</v>
      </c>
      <c r="CS2554">
        <v>2.9</v>
      </c>
      <c r="CT2554">
        <v>1.22</v>
      </c>
      <c r="CU2554">
        <v>-39.57</v>
      </c>
      <c r="CV2554">
        <v>2.21</v>
      </c>
      <c r="CW2554">
        <v>0</v>
      </c>
      <c r="CX2554" t="s">
        <v>11687</v>
      </c>
      <c r="CY2554">
        <v>4.01</v>
      </c>
      <c r="CZ2554">
        <v>0</v>
      </c>
      <c r="DA2554">
        <v>2.0499999999999998</v>
      </c>
      <c r="DB2554">
        <v>0.68</v>
      </c>
      <c r="DC2554">
        <v>-0.12</v>
      </c>
      <c r="DD2554">
        <v>38.4</v>
      </c>
      <c r="DE2554" t="s">
        <v>11688</v>
      </c>
      <c r="DF2554">
        <v>14.26</v>
      </c>
      <c r="DG2554">
        <v>-4.4000000000000004</v>
      </c>
      <c r="DH2554">
        <v>-4.28</v>
      </c>
      <c r="DI2554">
        <v>0.32</v>
      </c>
      <c r="DJ2554">
        <v>3643</v>
      </c>
      <c r="DK2554">
        <v>600192</v>
      </c>
      <c r="DL2554" t="s">
        <v>120</v>
      </c>
      <c r="DM2554" t="s">
        <v>120</v>
      </c>
      <c r="DN2554" t="s">
        <v>120</v>
      </c>
    </row>
    <row r="2555" spans="1:118">
      <c r="A2555" t="str">
        <f>"600193"</f>
        <v>600193</v>
      </c>
      <c r="B2555" t="s">
        <v>11689</v>
      </c>
      <c r="C2555">
        <v>1.18</v>
      </c>
      <c r="D2555">
        <v>0</v>
      </c>
      <c r="E2555">
        <v>0.13</v>
      </c>
      <c r="F2555">
        <v>282</v>
      </c>
      <c r="G2555" t="s">
        <v>2295</v>
      </c>
      <c r="H2555">
        <v>4902.68</v>
      </c>
      <c r="I2555">
        <v>0</v>
      </c>
      <c r="J2555" t="s">
        <v>120</v>
      </c>
      <c r="K2555" t="s">
        <v>9255</v>
      </c>
      <c r="L2555">
        <v>1.45</v>
      </c>
      <c r="M2555">
        <v>7.73</v>
      </c>
      <c r="N2555">
        <v>1.42</v>
      </c>
      <c r="O2555">
        <v>6.81</v>
      </c>
      <c r="P2555">
        <v>8.16</v>
      </c>
      <c r="Q2555">
        <v>-0.39</v>
      </c>
      <c r="R2555">
        <v>7.61</v>
      </c>
      <c r="S2555">
        <v>7.65</v>
      </c>
      <c r="T2555">
        <v>61858</v>
      </c>
      <c r="U2555">
        <v>7.73</v>
      </c>
      <c r="V2555">
        <v>7.64</v>
      </c>
      <c r="W2555">
        <v>107.28</v>
      </c>
      <c r="X2555" t="s">
        <v>3122</v>
      </c>
      <c r="Y2555" t="s">
        <v>1510</v>
      </c>
      <c r="Z2555">
        <v>7.2</v>
      </c>
      <c r="AA2555">
        <v>7.93</v>
      </c>
      <c r="AB2555">
        <v>32392</v>
      </c>
      <c r="AC2555">
        <v>29466</v>
      </c>
      <c r="AD2555">
        <v>1.1000000000000001</v>
      </c>
      <c r="AE2555">
        <v>100</v>
      </c>
      <c r="AF2555">
        <v>60</v>
      </c>
      <c r="AG2555" t="s">
        <v>120</v>
      </c>
      <c r="AH2555">
        <v>0</v>
      </c>
      <c r="AI2555" t="s">
        <v>120</v>
      </c>
      <c r="AJ2555">
        <v>4.25</v>
      </c>
      <c r="AK2555" t="s">
        <v>9255</v>
      </c>
      <c r="AL2555">
        <v>2.52</v>
      </c>
      <c r="AM2555">
        <v>1691</v>
      </c>
      <c r="AN2555">
        <v>37</v>
      </c>
      <c r="AO2555">
        <v>8.9999999999999998E-4</v>
      </c>
      <c r="AP2555">
        <v>1</v>
      </c>
      <c r="AQ2555">
        <v>-0.39</v>
      </c>
      <c r="AR2555">
        <v>-2.27</v>
      </c>
      <c r="AS2555">
        <v>-3.01</v>
      </c>
      <c r="AT2555">
        <v>-5.16</v>
      </c>
      <c r="AU2555">
        <v>63.77</v>
      </c>
      <c r="AV2555">
        <v>15</v>
      </c>
      <c r="AW2555">
        <v>2.25</v>
      </c>
      <c r="AX2555">
        <v>64.61</v>
      </c>
      <c r="AY2555">
        <v>49.25</v>
      </c>
      <c r="AZ2555">
        <v>56.09</v>
      </c>
      <c r="BA2555">
        <v>0</v>
      </c>
      <c r="BB2555" t="s">
        <v>143</v>
      </c>
      <c r="BF2555">
        <v>3.74</v>
      </c>
      <c r="BG2555">
        <v>1.05</v>
      </c>
      <c r="BH2555">
        <v>-5.27</v>
      </c>
      <c r="BI2555">
        <v>1.58</v>
      </c>
      <c r="BJ2555">
        <v>20210821</v>
      </c>
      <c r="BK2555">
        <v>19990527</v>
      </c>
      <c r="BL2555">
        <v>4.25</v>
      </c>
      <c r="BM2555" t="s">
        <v>120</v>
      </c>
      <c r="BN2555" t="s">
        <v>120</v>
      </c>
      <c r="BO2555">
        <v>12.74</v>
      </c>
      <c r="BP2555">
        <v>7.72</v>
      </c>
      <c r="BQ2555">
        <v>3.07</v>
      </c>
      <c r="BR2555">
        <v>0.37</v>
      </c>
      <c r="BS2555">
        <v>72.930000000000007</v>
      </c>
      <c r="BT2555">
        <v>10.45</v>
      </c>
      <c r="BU2555">
        <v>0</v>
      </c>
      <c r="BV2555">
        <v>0.03</v>
      </c>
      <c r="BW2555">
        <v>9.2799999999999994</v>
      </c>
      <c r="BX2555">
        <v>0.26</v>
      </c>
      <c r="BY2555">
        <v>0</v>
      </c>
      <c r="BZ2555">
        <v>2.56</v>
      </c>
      <c r="CA2555" t="s">
        <v>120</v>
      </c>
      <c r="CB2555">
        <v>1.45</v>
      </c>
      <c r="CC2555">
        <v>3.23</v>
      </c>
      <c r="CD2555">
        <v>2.84</v>
      </c>
      <c r="CE2555">
        <v>0.26</v>
      </c>
      <c r="CF2555">
        <v>0</v>
      </c>
      <c r="CG2555">
        <v>0.27</v>
      </c>
      <c r="CH2555">
        <v>0.18</v>
      </c>
      <c r="CI2555">
        <v>0.15</v>
      </c>
      <c r="CJ2555">
        <v>0.09</v>
      </c>
      <c r="CK2555">
        <v>0.15</v>
      </c>
      <c r="CL2555">
        <v>-3.08</v>
      </c>
      <c r="CM2555">
        <v>-0.24</v>
      </c>
      <c r="CN2555">
        <v>-0.09</v>
      </c>
      <c r="CO2555">
        <v>25775</v>
      </c>
      <c r="CP2555">
        <v>10664</v>
      </c>
      <c r="CQ2555" t="s">
        <v>8037</v>
      </c>
      <c r="CR2555">
        <v>110.45</v>
      </c>
      <c r="CS2555">
        <v>41.53</v>
      </c>
      <c r="CT2555">
        <v>10.7</v>
      </c>
      <c r="CU2555">
        <v>-134.72</v>
      </c>
      <c r="CV2555">
        <v>10.19</v>
      </c>
      <c r="CW2555">
        <v>0</v>
      </c>
      <c r="CX2555" t="s">
        <v>926</v>
      </c>
      <c r="CY2555">
        <v>0.72</v>
      </c>
      <c r="CZ2555">
        <v>0</v>
      </c>
      <c r="DA2555">
        <v>0.34</v>
      </c>
      <c r="DB2555">
        <v>-0.72</v>
      </c>
      <c r="DC2555">
        <v>-0.06</v>
      </c>
      <c r="DD2555">
        <v>24.14</v>
      </c>
      <c r="DE2555" t="s">
        <v>137</v>
      </c>
      <c r="DF2555">
        <v>11.89</v>
      </c>
      <c r="DG2555">
        <v>8.11</v>
      </c>
      <c r="DH2555">
        <v>4.75</v>
      </c>
      <c r="DI2555" t="s">
        <v>120</v>
      </c>
      <c r="DJ2555">
        <v>172</v>
      </c>
      <c r="DK2555">
        <v>600193</v>
      </c>
      <c r="DL2555" t="s">
        <v>120</v>
      </c>
      <c r="DM2555" t="s">
        <v>120</v>
      </c>
      <c r="DN2555" t="s">
        <v>120</v>
      </c>
    </row>
    <row r="2556" spans="1:118">
      <c r="A2556" t="str">
        <f>"600195"</f>
        <v>600195</v>
      </c>
      <c r="B2556" t="s">
        <v>11690</v>
      </c>
      <c r="C2556">
        <v>-1.19</v>
      </c>
      <c r="D2556">
        <v>0</v>
      </c>
      <c r="E2556">
        <v>0</v>
      </c>
      <c r="F2556">
        <v>1473</v>
      </c>
      <c r="G2556" t="s">
        <v>11691</v>
      </c>
      <c r="H2556">
        <v>13160.29</v>
      </c>
      <c r="I2556">
        <v>40.33</v>
      </c>
      <c r="J2556" t="s">
        <v>120</v>
      </c>
      <c r="K2556" t="s">
        <v>11692</v>
      </c>
      <c r="L2556">
        <v>1.19</v>
      </c>
      <c r="M2556">
        <v>10.8</v>
      </c>
      <c r="N2556">
        <v>0.76</v>
      </c>
      <c r="O2556">
        <v>0.91</v>
      </c>
      <c r="P2556">
        <v>11.03</v>
      </c>
      <c r="Q2556">
        <v>-1.37</v>
      </c>
      <c r="R2556">
        <v>10.78</v>
      </c>
      <c r="S2556">
        <v>10.93</v>
      </c>
      <c r="T2556">
        <v>120814</v>
      </c>
      <c r="U2556">
        <v>10.81</v>
      </c>
      <c r="V2556">
        <v>10.93</v>
      </c>
      <c r="W2556">
        <v>17.309999999999999</v>
      </c>
      <c r="X2556" t="s">
        <v>386</v>
      </c>
      <c r="Y2556" t="s">
        <v>158</v>
      </c>
      <c r="Z2556">
        <v>2.29</v>
      </c>
      <c r="AA2556">
        <v>10.89</v>
      </c>
      <c r="AB2556">
        <v>68461</v>
      </c>
      <c r="AC2556">
        <v>52353</v>
      </c>
      <c r="AD2556">
        <v>1.31</v>
      </c>
      <c r="AE2556">
        <v>48</v>
      </c>
      <c r="AF2556">
        <v>135</v>
      </c>
      <c r="AG2556" t="s">
        <v>120</v>
      </c>
      <c r="AH2556">
        <v>0.01</v>
      </c>
      <c r="AI2556" t="s">
        <v>120</v>
      </c>
      <c r="AJ2556">
        <v>10.16</v>
      </c>
      <c r="AK2556" t="s">
        <v>11692</v>
      </c>
      <c r="AL2556">
        <v>0.15</v>
      </c>
      <c r="AM2556">
        <v>3210</v>
      </c>
      <c r="AN2556">
        <v>38</v>
      </c>
      <c r="AO2556">
        <v>4.0000000000000002E-4</v>
      </c>
      <c r="AP2556">
        <v>-1</v>
      </c>
      <c r="AQ2556">
        <v>0.46</v>
      </c>
      <c r="AR2556">
        <v>0</v>
      </c>
      <c r="AS2556">
        <v>8.5399999999999991</v>
      </c>
      <c r="AT2556">
        <v>-8.35</v>
      </c>
      <c r="AU2556">
        <v>-14.86</v>
      </c>
      <c r="AV2556">
        <v>0</v>
      </c>
      <c r="AW2556">
        <v>2.36</v>
      </c>
      <c r="AX2556">
        <v>50.37</v>
      </c>
      <c r="AY2556">
        <v>28.82</v>
      </c>
      <c r="AZ2556">
        <v>26.4</v>
      </c>
      <c r="BA2556">
        <v>0.93</v>
      </c>
      <c r="BB2556" t="s">
        <v>184</v>
      </c>
      <c r="BF2556">
        <v>-0.34</v>
      </c>
      <c r="BG2556">
        <v>-1.19</v>
      </c>
      <c r="BH2556">
        <v>-2.09</v>
      </c>
      <c r="BI2556">
        <v>0.19</v>
      </c>
      <c r="BJ2556">
        <v>20210831</v>
      </c>
      <c r="BK2556">
        <v>19990107</v>
      </c>
      <c r="BL2556">
        <v>10.16</v>
      </c>
      <c r="BM2556" t="s">
        <v>120</v>
      </c>
      <c r="BN2556" t="s">
        <v>120</v>
      </c>
      <c r="BO2556">
        <v>72.319999999999993</v>
      </c>
      <c r="BP2556">
        <v>10.8</v>
      </c>
      <c r="BQ2556">
        <v>48.05</v>
      </c>
      <c r="BR2556">
        <v>9.2899999999999991</v>
      </c>
      <c r="BS2556">
        <v>20.72</v>
      </c>
      <c r="BT2556">
        <v>30.74</v>
      </c>
      <c r="BU2556">
        <v>21.66</v>
      </c>
      <c r="BV2556">
        <v>6.8</v>
      </c>
      <c r="BW2556">
        <v>12.99</v>
      </c>
      <c r="BX2556">
        <v>9.25</v>
      </c>
      <c r="BY2556">
        <v>8.61</v>
      </c>
      <c r="BZ2556">
        <v>9.1199999999999992</v>
      </c>
      <c r="CA2556" t="s">
        <v>120</v>
      </c>
      <c r="CB2556">
        <v>5.39</v>
      </c>
      <c r="CC2556">
        <v>25.84</v>
      </c>
      <c r="CD2556">
        <v>18.87</v>
      </c>
      <c r="CE2556">
        <v>4.0599999999999996</v>
      </c>
      <c r="CF2556">
        <v>1.1100000000000001</v>
      </c>
      <c r="CG2556">
        <v>4.1100000000000003</v>
      </c>
      <c r="CH2556">
        <v>3.59</v>
      </c>
      <c r="CI2556">
        <v>3.17</v>
      </c>
      <c r="CJ2556">
        <v>-0.13</v>
      </c>
      <c r="CK2556">
        <v>3.14</v>
      </c>
      <c r="CL2556">
        <v>29.08</v>
      </c>
      <c r="CM2556">
        <v>-2.5</v>
      </c>
      <c r="CN2556">
        <v>-1.1599999999999999</v>
      </c>
      <c r="CO2556">
        <v>52128</v>
      </c>
      <c r="CP2556">
        <v>9813</v>
      </c>
      <c r="CQ2556" t="s">
        <v>5514</v>
      </c>
      <c r="CR2556">
        <v>-10.02</v>
      </c>
      <c r="CS2556">
        <v>13.21</v>
      </c>
      <c r="CT2556">
        <v>2.2799999999999998</v>
      </c>
      <c r="CU2556">
        <v>-43.89</v>
      </c>
      <c r="CV2556">
        <v>4.24</v>
      </c>
      <c r="CW2556">
        <v>1.1399999999999999</v>
      </c>
      <c r="CX2556" t="s">
        <v>11693</v>
      </c>
      <c r="CY2556">
        <v>4.7300000000000004</v>
      </c>
      <c r="CZ2556">
        <v>0</v>
      </c>
      <c r="DA2556">
        <v>0.53</v>
      </c>
      <c r="DB2556">
        <v>2.86</v>
      </c>
      <c r="DC2556">
        <v>-0.25</v>
      </c>
      <c r="DD2556">
        <v>66.44</v>
      </c>
      <c r="DE2556" t="s">
        <v>11694</v>
      </c>
      <c r="DF2556">
        <v>26.99</v>
      </c>
      <c r="DG2556">
        <v>15.71</v>
      </c>
      <c r="DH2556">
        <v>12.26</v>
      </c>
      <c r="DI2556">
        <v>0.59</v>
      </c>
      <c r="DJ2556">
        <v>4248</v>
      </c>
      <c r="DK2556">
        <v>600195</v>
      </c>
      <c r="DL2556" t="s">
        <v>120</v>
      </c>
      <c r="DM2556" t="s">
        <v>120</v>
      </c>
      <c r="DN2556" t="s">
        <v>120</v>
      </c>
    </row>
    <row r="2557" spans="1:118">
      <c r="A2557" t="str">
        <f>"600196"</f>
        <v>600196</v>
      </c>
      <c r="B2557" t="s">
        <v>11695</v>
      </c>
      <c r="C2557">
        <v>-3.12</v>
      </c>
      <c r="D2557">
        <v>-0.2</v>
      </c>
      <c r="E2557">
        <v>-0.13</v>
      </c>
      <c r="F2557">
        <v>5755</v>
      </c>
      <c r="G2557" t="s">
        <v>11696</v>
      </c>
      <c r="H2557">
        <v>205136.17</v>
      </c>
      <c r="I2557">
        <v>828.73</v>
      </c>
      <c r="J2557" t="s">
        <v>120</v>
      </c>
      <c r="K2557" t="s">
        <v>11697</v>
      </c>
      <c r="L2557">
        <v>1.75</v>
      </c>
      <c r="M2557">
        <v>57.51</v>
      </c>
      <c r="N2557">
        <v>1.1200000000000001</v>
      </c>
      <c r="O2557">
        <v>-0.13</v>
      </c>
      <c r="P2557">
        <v>59.28</v>
      </c>
      <c r="Q2557">
        <v>-3.25</v>
      </c>
      <c r="R2557">
        <v>57.43</v>
      </c>
      <c r="S2557">
        <v>59.28</v>
      </c>
      <c r="T2557">
        <v>352649</v>
      </c>
      <c r="U2557">
        <v>57.52</v>
      </c>
      <c r="V2557">
        <v>59.36</v>
      </c>
      <c r="W2557">
        <v>29.69</v>
      </c>
      <c r="X2557" t="s">
        <v>569</v>
      </c>
      <c r="Y2557" t="s">
        <v>1510</v>
      </c>
      <c r="Z2557">
        <v>3.12</v>
      </c>
      <c r="AA2557">
        <v>58.17</v>
      </c>
      <c r="AB2557">
        <v>172660</v>
      </c>
      <c r="AC2557">
        <v>179989</v>
      </c>
      <c r="AD2557">
        <v>0.96</v>
      </c>
      <c r="AE2557">
        <v>629</v>
      </c>
      <c r="AF2557">
        <v>7</v>
      </c>
      <c r="AG2557" t="s">
        <v>120</v>
      </c>
      <c r="AH2557">
        <v>0.01</v>
      </c>
      <c r="AI2557" t="s">
        <v>120</v>
      </c>
      <c r="AJ2557">
        <v>20.11</v>
      </c>
      <c r="AK2557" t="s">
        <v>11697</v>
      </c>
      <c r="AL2557">
        <v>-1.77</v>
      </c>
      <c r="AM2557">
        <v>4704</v>
      </c>
      <c r="AN2557">
        <v>75</v>
      </c>
      <c r="AO2557">
        <v>4.0000000000000002E-4</v>
      </c>
      <c r="AP2557">
        <v>-3</v>
      </c>
      <c r="AQ2557">
        <v>-5.79</v>
      </c>
      <c r="AR2557">
        <v>-9.7799999999999994</v>
      </c>
      <c r="AS2557">
        <v>-14.8</v>
      </c>
      <c r="AT2557">
        <v>-15.15</v>
      </c>
      <c r="AU2557">
        <v>7.38</v>
      </c>
      <c r="AV2557">
        <v>6</v>
      </c>
      <c r="AW2557">
        <v>3.29</v>
      </c>
      <c r="AX2557">
        <v>53.35</v>
      </c>
      <c r="AY2557">
        <v>34.340000000000003</v>
      </c>
      <c r="AZ2557">
        <v>41.53</v>
      </c>
      <c r="BA2557">
        <v>1.6</v>
      </c>
      <c r="BB2557" t="s">
        <v>240</v>
      </c>
      <c r="BF2557">
        <v>-2</v>
      </c>
      <c r="BG2557">
        <v>-2.99</v>
      </c>
      <c r="BH2557">
        <v>-2.99</v>
      </c>
      <c r="BI2557">
        <v>0.14000000000000001</v>
      </c>
      <c r="BJ2557">
        <v>20210824</v>
      </c>
      <c r="BK2557">
        <v>19980807</v>
      </c>
      <c r="BL2557">
        <v>25.63</v>
      </c>
      <c r="BM2557" t="s">
        <v>120</v>
      </c>
      <c r="BN2557">
        <v>5.52</v>
      </c>
      <c r="BO2557">
        <v>884.79</v>
      </c>
      <c r="BP2557">
        <v>57.51</v>
      </c>
      <c r="BQ2557">
        <v>378.61</v>
      </c>
      <c r="BR2557">
        <v>92.36</v>
      </c>
      <c r="BS2557">
        <v>46.77</v>
      </c>
      <c r="BT2557">
        <v>292.06</v>
      </c>
      <c r="BU2557">
        <v>85.12</v>
      </c>
      <c r="BV2557">
        <v>84.2</v>
      </c>
      <c r="BW2557">
        <v>281.57</v>
      </c>
      <c r="BX2557">
        <v>104.89</v>
      </c>
      <c r="BY2557">
        <v>54.86</v>
      </c>
      <c r="BZ2557">
        <v>59.89</v>
      </c>
      <c r="CA2557" t="s">
        <v>120</v>
      </c>
      <c r="CB2557">
        <v>147.16</v>
      </c>
      <c r="CC2557">
        <v>169.52</v>
      </c>
      <c r="CD2557">
        <v>81.11</v>
      </c>
      <c r="CE2557">
        <v>33.28</v>
      </c>
      <c r="CF2557">
        <v>11.71</v>
      </c>
      <c r="CG2557">
        <v>33.04</v>
      </c>
      <c r="CH2557">
        <v>27.54</v>
      </c>
      <c r="CI2557">
        <v>24.82</v>
      </c>
      <c r="CJ2557">
        <v>-1.85</v>
      </c>
      <c r="CK2557">
        <v>15.7</v>
      </c>
      <c r="CL2557">
        <v>188.87</v>
      </c>
      <c r="CM2557">
        <v>17.07</v>
      </c>
      <c r="CN2557">
        <v>0.27</v>
      </c>
      <c r="CO2557">
        <v>203015</v>
      </c>
      <c r="CP2557">
        <v>5285</v>
      </c>
      <c r="CQ2557" t="s">
        <v>11698</v>
      </c>
      <c r="CR2557">
        <v>44.77</v>
      </c>
      <c r="CS2557">
        <v>20.85</v>
      </c>
      <c r="CT2557">
        <v>3.89</v>
      </c>
      <c r="CU2557">
        <v>86.36</v>
      </c>
      <c r="CV2557">
        <v>8.69</v>
      </c>
      <c r="CW2557">
        <v>0.72</v>
      </c>
      <c r="CX2557" t="s">
        <v>3944</v>
      </c>
      <c r="CY2557">
        <v>14.77</v>
      </c>
      <c r="CZ2557">
        <v>0</v>
      </c>
      <c r="DA2557">
        <v>5.74</v>
      </c>
      <c r="DB2557">
        <v>7.37</v>
      </c>
      <c r="DC2557">
        <v>0.67</v>
      </c>
      <c r="DD2557">
        <v>42.79</v>
      </c>
      <c r="DE2557" t="s">
        <v>3004</v>
      </c>
      <c r="DF2557">
        <v>52.15</v>
      </c>
      <c r="DG2557">
        <v>19.63</v>
      </c>
      <c r="DH2557">
        <v>14.64</v>
      </c>
      <c r="DI2557">
        <v>15.62</v>
      </c>
      <c r="DJ2557">
        <v>32258</v>
      </c>
      <c r="DK2557">
        <v>600196</v>
      </c>
      <c r="DL2557">
        <v>20210718</v>
      </c>
      <c r="DM2557">
        <v>73.739999999999995</v>
      </c>
      <c r="DN2557">
        <v>-21.43</v>
      </c>
    </row>
    <row r="2558" spans="1:118">
      <c r="A2558" t="str">
        <f>"600197"</f>
        <v>600197</v>
      </c>
      <c r="B2558" t="s">
        <v>11699</v>
      </c>
      <c r="C2558">
        <v>4.5599999999999996</v>
      </c>
      <c r="D2558">
        <v>0</v>
      </c>
      <c r="E2558">
        <v>-0.96</v>
      </c>
      <c r="F2558">
        <v>5083</v>
      </c>
      <c r="G2558" t="s">
        <v>4511</v>
      </c>
      <c r="H2558">
        <v>77741.759999999995</v>
      </c>
      <c r="I2558">
        <v>295.14999999999998</v>
      </c>
      <c r="J2558" t="s">
        <v>120</v>
      </c>
      <c r="K2558" t="s">
        <v>10609</v>
      </c>
      <c r="L2558">
        <v>5.97</v>
      </c>
      <c r="M2558">
        <v>28.2</v>
      </c>
      <c r="N2558">
        <v>1.43</v>
      </c>
      <c r="O2558">
        <v>4.93</v>
      </c>
      <c r="P2558">
        <v>28.3</v>
      </c>
      <c r="Q2558">
        <v>-1.89</v>
      </c>
      <c r="R2558">
        <v>26.46</v>
      </c>
      <c r="S2558">
        <v>26.71</v>
      </c>
      <c r="T2558">
        <v>281673</v>
      </c>
      <c r="U2558">
        <v>28.21</v>
      </c>
      <c r="V2558">
        <v>26.97</v>
      </c>
      <c r="W2558">
        <v>31.38</v>
      </c>
      <c r="X2558" t="s">
        <v>1165</v>
      </c>
      <c r="Y2558" t="s">
        <v>609</v>
      </c>
      <c r="Z2558">
        <v>6.82</v>
      </c>
      <c r="AA2558">
        <v>27.6</v>
      </c>
      <c r="AB2558">
        <v>138836</v>
      </c>
      <c r="AC2558">
        <v>142837</v>
      </c>
      <c r="AD2558">
        <v>0.97</v>
      </c>
      <c r="AE2558">
        <v>2475</v>
      </c>
      <c r="AF2558">
        <v>179</v>
      </c>
      <c r="AG2558" t="s">
        <v>120</v>
      </c>
      <c r="AH2558">
        <v>0.04</v>
      </c>
      <c r="AI2558" t="s">
        <v>120</v>
      </c>
      <c r="AJ2558">
        <v>4.72</v>
      </c>
      <c r="AK2558" t="s">
        <v>10609</v>
      </c>
      <c r="AL2558">
        <v>5.9</v>
      </c>
      <c r="AM2558">
        <v>4529</v>
      </c>
      <c r="AN2558">
        <v>62</v>
      </c>
      <c r="AO2558">
        <v>1.2999999999999999E-3</v>
      </c>
      <c r="AP2558">
        <v>2</v>
      </c>
      <c r="AQ2558">
        <v>0.63</v>
      </c>
      <c r="AR2558">
        <v>2.2400000000000002</v>
      </c>
      <c r="AS2558">
        <v>19.54</v>
      </c>
      <c r="AT2558">
        <v>-9.34</v>
      </c>
      <c r="AU2558">
        <v>1.24</v>
      </c>
      <c r="AV2558">
        <v>8</v>
      </c>
      <c r="AW2558">
        <v>10.26</v>
      </c>
      <c r="AX2558">
        <v>58.18</v>
      </c>
      <c r="AY2558">
        <v>31.21</v>
      </c>
      <c r="AZ2558">
        <v>37.229999999999997</v>
      </c>
      <c r="BA2558">
        <v>2.15</v>
      </c>
      <c r="BB2558" t="s">
        <v>143</v>
      </c>
      <c r="BF2558">
        <v>2.34</v>
      </c>
      <c r="BG2558">
        <v>5.58</v>
      </c>
      <c r="BH2558">
        <v>-0.35</v>
      </c>
      <c r="BI2558">
        <v>6.58</v>
      </c>
      <c r="BJ2558">
        <v>20210828</v>
      </c>
      <c r="BK2558">
        <v>19990916</v>
      </c>
      <c r="BL2558">
        <v>4.72</v>
      </c>
      <c r="BM2558" t="s">
        <v>120</v>
      </c>
      <c r="BN2558" t="s">
        <v>120</v>
      </c>
      <c r="BO2558">
        <v>46.74</v>
      </c>
      <c r="BP2558">
        <v>28.2</v>
      </c>
      <c r="BQ2558">
        <v>37.75</v>
      </c>
      <c r="BR2558">
        <v>1.1499999999999999</v>
      </c>
      <c r="BS2558">
        <v>16.78</v>
      </c>
      <c r="BT2558">
        <v>24.66</v>
      </c>
      <c r="BU2558">
        <v>9.23</v>
      </c>
      <c r="BV2558">
        <v>0.93</v>
      </c>
      <c r="BW2558">
        <v>5.82</v>
      </c>
      <c r="BX2558">
        <v>11.36</v>
      </c>
      <c r="BY2558">
        <v>9.16</v>
      </c>
      <c r="BZ2558">
        <v>2.14</v>
      </c>
      <c r="CA2558" t="s">
        <v>120</v>
      </c>
      <c r="CB2558">
        <v>7.65</v>
      </c>
      <c r="CC2558">
        <v>10.31</v>
      </c>
      <c r="CD2558">
        <v>4.4400000000000004</v>
      </c>
      <c r="CE2558">
        <v>3.02</v>
      </c>
      <c r="CF2558">
        <v>0.04</v>
      </c>
      <c r="CG2558">
        <v>3</v>
      </c>
      <c r="CH2558">
        <v>2.17</v>
      </c>
      <c r="CI2558">
        <v>2.12</v>
      </c>
      <c r="CJ2558">
        <v>1.23</v>
      </c>
      <c r="CK2558">
        <v>2.09</v>
      </c>
      <c r="CL2558">
        <v>20.059999999999999</v>
      </c>
      <c r="CM2558">
        <v>-0.06</v>
      </c>
      <c r="CN2558">
        <v>-1.1100000000000001</v>
      </c>
      <c r="CO2558">
        <v>70197</v>
      </c>
      <c r="CP2558">
        <v>3911</v>
      </c>
      <c r="CQ2558" t="s">
        <v>2421</v>
      </c>
      <c r="CR2558">
        <v>45.04</v>
      </c>
      <c r="CS2558">
        <v>29.85</v>
      </c>
      <c r="CT2558">
        <v>3.57</v>
      </c>
      <c r="CU2558">
        <v>-2355.2199999999998</v>
      </c>
      <c r="CV2558">
        <v>12.91</v>
      </c>
      <c r="CW2558">
        <v>1.5</v>
      </c>
      <c r="CX2558" t="s">
        <v>11700</v>
      </c>
      <c r="CY2558">
        <v>7.89</v>
      </c>
      <c r="CZ2558">
        <v>7.89</v>
      </c>
      <c r="DA2558">
        <v>1.62</v>
      </c>
      <c r="DB2558">
        <v>4.25</v>
      </c>
      <c r="DC2558">
        <v>-0.01</v>
      </c>
      <c r="DD2558">
        <v>80.760000000000005</v>
      </c>
      <c r="DE2558" t="s">
        <v>11701</v>
      </c>
      <c r="DF2558">
        <v>56.91</v>
      </c>
      <c r="DG2558">
        <v>29.32</v>
      </c>
      <c r="DH2558">
        <v>20.58</v>
      </c>
      <c r="DI2558">
        <v>0.09</v>
      </c>
      <c r="DJ2558">
        <v>1939</v>
      </c>
      <c r="DK2558">
        <v>600197</v>
      </c>
      <c r="DL2558" t="s">
        <v>120</v>
      </c>
      <c r="DM2558" t="s">
        <v>120</v>
      </c>
      <c r="DN2558" t="s">
        <v>120</v>
      </c>
    </row>
    <row r="2559" spans="1:118">
      <c r="A2559" t="str">
        <f>"600199"</f>
        <v>600199</v>
      </c>
      <c r="B2559" t="s">
        <v>11702</v>
      </c>
      <c r="C2559">
        <v>4.9800000000000004</v>
      </c>
      <c r="D2559">
        <v>7.0000000000000007E-2</v>
      </c>
      <c r="E2559">
        <v>-1.87</v>
      </c>
      <c r="F2559">
        <v>5686</v>
      </c>
      <c r="G2559" t="s">
        <v>11703</v>
      </c>
      <c r="H2559">
        <v>77417.98</v>
      </c>
      <c r="I2559">
        <v>463.12</v>
      </c>
      <c r="J2559" t="s">
        <v>120</v>
      </c>
      <c r="K2559" t="s">
        <v>11704</v>
      </c>
      <c r="L2559">
        <v>8.48</v>
      </c>
      <c r="M2559">
        <v>15.17</v>
      </c>
      <c r="N2559">
        <v>1.8</v>
      </c>
      <c r="O2559">
        <v>8.44</v>
      </c>
      <c r="P2559">
        <v>15.67</v>
      </c>
      <c r="Q2559">
        <v>-2.0099999999999998</v>
      </c>
      <c r="R2559">
        <v>14.16</v>
      </c>
      <c r="S2559">
        <v>14.18</v>
      </c>
      <c r="T2559">
        <v>514445</v>
      </c>
      <c r="U2559">
        <v>15.18</v>
      </c>
      <c r="V2559">
        <v>14.45</v>
      </c>
      <c r="W2559" t="s">
        <v>120</v>
      </c>
      <c r="X2559" t="s">
        <v>1165</v>
      </c>
      <c r="Y2559" t="s">
        <v>570</v>
      </c>
      <c r="Z2559">
        <v>10.45</v>
      </c>
      <c r="AA2559">
        <v>15.05</v>
      </c>
      <c r="AB2559">
        <v>204205</v>
      </c>
      <c r="AC2559">
        <v>310240</v>
      </c>
      <c r="AD2559">
        <v>0.66</v>
      </c>
      <c r="AE2559">
        <v>1235</v>
      </c>
      <c r="AF2559">
        <v>2509</v>
      </c>
      <c r="AG2559" t="s">
        <v>120</v>
      </c>
      <c r="AH2559">
        <v>0.08</v>
      </c>
      <c r="AI2559" t="s">
        <v>120</v>
      </c>
      <c r="AJ2559">
        <v>6.06</v>
      </c>
      <c r="AK2559" t="s">
        <v>11705</v>
      </c>
      <c r="AL2559">
        <v>6.33</v>
      </c>
      <c r="AM2559">
        <v>4668</v>
      </c>
      <c r="AN2559">
        <v>110</v>
      </c>
      <c r="AO2559">
        <v>1.8E-3</v>
      </c>
      <c r="AP2559">
        <v>1</v>
      </c>
      <c r="AQ2559">
        <v>-2.36</v>
      </c>
      <c r="AR2559">
        <v>4.84</v>
      </c>
      <c r="AS2559">
        <v>8.44</v>
      </c>
      <c r="AT2559">
        <v>-2.25</v>
      </c>
      <c r="AU2559">
        <v>-21.84</v>
      </c>
      <c r="AV2559">
        <v>13</v>
      </c>
      <c r="AW2559">
        <v>12.01</v>
      </c>
      <c r="AX2559">
        <v>65.099999999999994</v>
      </c>
      <c r="AY2559">
        <v>364.87</v>
      </c>
      <c r="AZ2559">
        <v>136.94999999999999</v>
      </c>
      <c r="BA2559">
        <v>1.41</v>
      </c>
      <c r="BB2559" t="s">
        <v>143</v>
      </c>
      <c r="BF2559">
        <v>4.1399999999999997</v>
      </c>
      <c r="BG2559">
        <v>6.98</v>
      </c>
      <c r="BH2559">
        <v>-3.19</v>
      </c>
      <c r="BI2559">
        <v>7.13</v>
      </c>
      <c r="BJ2559">
        <v>20210901</v>
      </c>
      <c r="BK2559">
        <v>19980812</v>
      </c>
      <c r="BL2559">
        <v>6.58</v>
      </c>
      <c r="BM2559" t="s">
        <v>120</v>
      </c>
      <c r="BN2559" t="s">
        <v>120</v>
      </c>
      <c r="BO2559">
        <v>38.6</v>
      </c>
      <c r="BP2559">
        <v>15.17</v>
      </c>
      <c r="BQ2559">
        <v>27.98</v>
      </c>
      <c r="BR2559">
        <v>0.08</v>
      </c>
      <c r="BS2559">
        <v>27.31</v>
      </c>
      <c r="BT2559">
        <v>25.06</v>
      </c>
      <c r="BU2559">
        <v>5.94</v>
      </c>
      <c r="BV2559">
        <v>2.67</v>
      </c>
      <c r="BW2559">
        <v>8.76</v>
      </c>
      <c r="BX2559">
        <v>8.3000000000000007</v>
      </c>
      <c r="BY2559">
        <v>11.01</v>
      </c>
      <c r="BZ2559">
        <v>1.64</v>
      </c>
      <c r="CA2559">
        <v>0.02</v>
      </c>
      <c r="CB2559">
        <v>11.75</v>
      </c>
      <c r="CC2559">
        <v>5.45</v>
      </c>
      <c r="CD2559">
        <v>4.05</v>
      </c>
      <c r="CE2559">
        <v>-0.96</v>
      </c>
      <c r="CF2559">
        <v>0.03</v>
      </c>
      <c r="CG2559">
        <v>-0.95</v>
      </c>
      <c r="CH2559">
        <v>-0.97</v>
      </c>
      <c r="CI2559">
        <v>-0.98</v>
      </c>
      <c r="CJ2559">
        <v>0.72</v>
      </c>
      <c r="CK2559">
        <v>-1.1100000000000001</v>
      </c>
      <c r="CL2559">
        <v>7.21</v>
      </c>
      <c r="CM2559">
        <v>-1.97</v>
      </c>
      <c r="CN2559">
        <v>-1.99</v>
      </c>
      <c r="CO2559">
        <v>168597</v>
      </c>
      <c r="CP2559">
        <v>2540</v>
      </c>
      <c r="CQ2559" t="s">
        <v>6833</v>
      </c>
      <c r="CR2559">
        <v>-79.75</v>
      </c>
      <c r="CS2559">
        <v>32.979999999999997</v>
      </c>
      <c r="CT2559">
        <v>3.57</v>
      </c>
      <c r="CU2559">
        <v>-50.62</v>
      </c>
      <c r="CV2559">
        <v>18.309999999999999</v>
      </c>
      <c r="CW2559">
        <v>0</v>
      </c>
      <c r="CX2559" t="s">
        <v>11706</v>
      </c>
      <c r="CY2559">
        <v>4.25</v>
      </c>
      <c r="CZ2559">
        <v>0</v>
      </c>
      <c r="DA2559">
        <v>1.79</v>
      </c>
      <c r="DB2559">
        <v>1.1000000000000001</v>
      </c>
      <c r="DC2559">
        <v>-0.3</v>
      </c>
      <c r="DD2559">
        <v>72.48</v>
      </c>
      <c r="DE2559" t="s">
        <v>11707</v>
      </c>
      <c r="DF2559">
        <v>25.62</v>
      </c>
      <c r="DG2559">
        <v>-17.64</v>
      </c>
      <c r="DH2559">
        <v>-17.93</v>
      </c>
      <c r="DI2559">
        <v>0.14000000000000001</v>
      </c>
      <c r="DJ2559">
        <v>2902</v>
      </c>
      <c r="DK2559">
        <v>600199</v>
      </c>
      <c r="DL2559" t="s">
        <v>120</v>
      </c>
      <c r="DM2559" t="s">
        <v>120</v>
      </c>
      <c r="DN2559" t="s">
        <v>120</v>
      </c>
    </row>
    <row r="2560" spans="1:118">
      <c r="A2560" t="str">
        <f>"600200"</f>
        <v>600200</v>
      </c>
      <c r="B2560" t="s">
        <v>11708</v>
      </c>
      <c r="C2560">
        <v>-2.97</v>
      </c>
      <c r="D2560">
        <v>0.44</v>
      </c>
      <c r="E2560">
        <v>-0.28000000000000003</v>
      </c>
      <c r="F2560">
        <v>1464</v>
      </c>
      <c r="G2560" t="s">
        <v>6303</v>
      </c>
      <c r="H2560">
        <v>13636.18</v>
      </c>
      <c r="I2560">
        <v>15.67</v>
      </c>
      <c r="J2560" t="s">
        <v>120</v>
      </c>
      <c r="K2560" t="s">
        <v>11709</v>
      </c>
      <c r="L2560">
        <v>2.75</v>
      </c>
      <c r="M2560">
        <v>6.87</v>
      </c>
      <c r="N2560">
        <v>1.74</v>
      </c>
      <c r="O2560">
        <v>0.42</v>
      </c>
      <c r="P2560">
        <v>7.11</v>
      </c>
      <c r="Q2560">
        <v>-3.95</v>
      </c>
      <c r="R2560">
        <v>6.8</v>
      </c>
      <c r="S2560">
        <v>7.06</v>
      </c>
      <c r="T2560">
        <v>195812</v>
      </c>
      <c r="U2560">
        <v>6.87</v>
      </c>
      <c r="V2560">
        <v>7.08</v>
      </c>
      <c r="W2560">
        <v>35.159999999999997</v>
      </c>
      <c r="X2560" t="s">
        <v>569</v>
      </c>
      <c r="Y2560" t="s">
        <v>319</v>
      </c>
      <c r="Z2560">
        <v>4.38</v>
      </c>
      <c r="AA2560">
        <v>6.96</v>
      </c>
      <c r="AB2560">
        <v>109955</v>
      </c>
      <c r="AC2560">
        <v>85857</v>
      </c>
      <c r="AD2560">
        <v>1.28</v>
      </c>
      <c r="AE2560">
        <v>4</v>
      </c>
      <c r="AF2560">
        <v>1020</v>
      </c>
      <c r="AG2560" t="s">
        <v>120</v>
      </c>
      <c r="AH2560">
        <v>0</v>
      </c>
      <c r="AI2560" t="s">
        <v>120</v>
      </c>
      <c r="AJ2560">
        <v>7.12</v>
      </c>
      <c r="AK2560" t="s">
        <v>11709</v>
      </c>
      <c r="AL2560">
        <v>-1.62</v>
      </c>
      <c r="AM2560">
        <v>2745</v>
      </c>
      <c r="AN2560">
        <v>71</v>
      </c>
      <c r="AO2560">
        <v>1E-3</v>
      </c>
      <c r="AP2560">
        <v>-1</v>
      </c>
      <c r="AQ2560">
        <v>2.16</v>
      </c>
      <c r="AR2560">
        <v>-2.42</v>
      </c>
      <c r="AS2560">
        <v>-5.1100000000000003</v>
      </c>
      <c r="AT2560">
        <v>-11.58</v>
      </c>
      <c r="AU2560">
        <v>27.7</v>
      </c>
      <c r="AV2560">
        <v>7</v>
      </c>
      <c r="AW2560">
        <v>3.32</v>
      </c>
      <c r="AX2560">
        <v>82.76</v>
      </c>
      <c r="AY2560" t="s">
        <v>120</v>
      </c>
      <c r="AZ2560" t="s">
        <v>120</v>
      </c>
      <c r="BA2560">
        <v>1.01</v>
      </c>
      <c r="BB2560" t="s">
        <v>168</v>
      </c>
      <c r="BF2560">
        <v>-1.64</v>
      </c>
      <c r="BG2560">
        <v>-2.69</v>
      </c>
      <c r="BH2560">
        <v>-3.38</v>
      </c>
      <c r="BI2560">
        <v>1.03</v>
      </c>
      <c r="BJ2560">
        <v>20210830</v>
      </c>
      <c r="BK2560">
        <v>19990401</v>
      </c>
      <c r="BL2560">
        <v>7.12</v>
      </c>
      <c r="BM2560" t="s">
        <v>120</v>
      </c>
      <c r="BN2560" t="s">
        <v>120</v>
      </c>
      <c r="BO2560">
        <v>37.99</v>
      </c>
      <c r="BP2560">
        <v>6.85</v>
      </c>
      <c r="BQ2560">
        <v>19.18</v>
      </c>
      <c r="BR2560">
        <v>7.0000000000000007E-2</v>
      </c>
      <c r="BS2560">
        <v>49.33</v>
      </c>
      <c r="BT2560">
        <v>27.14</v>
      </c>
      <c r="BU2560">
        <v>2.54</v>
      </c>
      <c r="BV2560">
        <v>0.59</v>
      </c>
      <c r="BW2560">
        <v>16.32</v>
      </c>
      <c r="BX2560">
        <v>12.3</v>
      </c>
      <c r="BY2560">
        <v>1.31</v>
      </c>
      <c r="BZ2560">
        <v>6.18</v>
      </c>
      <c r="CA2560">
        <v>0.02</v>
      </c>
      <c r="CB2560">
        <v>14.03</v>
      </c>
      <c r="CC2560">
        <v>10.35</v>
      </c>
      <c r="CD2560">
        <v>7.74</v>
      </c>
      <c r="CE2560">
        <v>0.82</v>
      </c>
      <c r="CF2560">
        <v>0.09</v>
      </c>
      <c r="CG2560">
        <v>0.86</v>
      </c>
      <c r="CH2560">
        <v>0.69</v>
      </c>
      <c r="CI2560">
        <v>0.7</v>
      </c>
      <c r="CJ2560">
        <v>-0.21</v>
      </c>
      <c r="CK2560">
        <v>-0.28000000000000003</v>
      </c>
      <c r="CL2560">
        <v>-2.66</v>
      </c>
      <c r="CM2560">
        <v>4.95</v>
      </c>
      <c r="CN2560">
        <v>5.51</v>
      </c>
      <c r="CO2560">
        <v>85002</v>
      </c>
      <c r="CP2560">
        <v>6936</v>
      </c>
      <c r="CQ2560" t="s">
        <v>4952</v>
      </c>
      <c r="CR2560">
        <v>474.02</v>
      </c>
      <c r="CS2560">
        <v>-7.57</v>
      </c>
      <c r="CT2560">
        <v>2.5499999999999998</v>
      </c>
      <c r="CU2560">
        <v>9.9</v>
      </c>
      <c r="CV2560">
        <v>4.7300000000000004</v>
      </c>
      <c r="CW2560">
        <v>0</v>
      </c>
      <c r="CX2560" t="s">
        <v>411</v>
      </c>
      <c r="CY2560">
        <v>2.69</v>
      </c>
      <c r="CZ2560">
        <v>0</v>
      </c>
      <c r="DA2560">
        <v>1.97</v>
      </c>
      <c r="DB2560">
        <v>-0.37</v>
      </c>
      <c r="DC2560">
        <v>0.69</v>
      </c>
      <c r="DD2560">
        <v>50.48</v>
      </c>
      <c r="DE2560" t="s">
        <v>8072</v>
      </c>
      <c r="DF2560">
        <v>25.21</v>
      </c>
      <c r="DG2560">
        <v>7.95</v>
      </c>
      <c r="DH2560">
        <v>6.73</v>
      </c>
      <c r="DI2560">
        <v>0.12</v>
      </c>
      <c r="DJ2560">
        <v>1322</v>
      </c>
      <c r="DK2560">
        <v>600200</v>
      </c>
      <c r="DL2560" t="s">
        <v>120</v>
      </c>
      <c r="DM2560" t="s">
        <v>120</v>
      </c>
      <c r="DN2560" t="s">
        <v>120</v>
      </c>
    </row>
    <row r="2561" spans="1:118">
      <c r="A2561" t="str">
        <f>"600201"</f>
        <v>600201</v>
      </c>
      <c r="B2561" t="s">
        <v>11710</v>
      </c>
      <c r="C2561">
        <v>1.64</v>
      </c>
      <c r="D2561">
        <v>0</v>
      </c>
      <c r="E2561">
        <v>-0.26</v>
      </c>
      <c r="F2561">
        <v>1087</v>
      </c>
      <c r="G2561" t="s">
        <v>11711</v>
      </c>
      <c r="H2561">
        <v>16542.3</v>
      </c>
      <c r="I2561">
        <v>26.83</v>
      </c>
      <c r="J2561" t="s">
        <v>120</v>
      </c>
      <c r="K2561" t="s">
        <v>11712</v>
      </c>
      <c r="L2561">
        <v>0.96</v>
      </c>
      <c r="M2561">
        <v>15.45</v>
      </c>
      <c r="N2561">
        <v>1.1000000000000001</v>
      </c>
      <c r="O2561">
        <v>2.7</v>
      </c>
      <c r="P2561">
        <v>15.61</v>
      </c>
      <c r="Q2561">
        <v>-0.79</v>
      </c>
      <c r="R2561">
        <v>15.08</v>
      </c>
      <c r="S2561">
        <v>15.16</v>
      </c>
      <c r="T2561">
        <v>107255</v>
      </c>
      <c r="U2561">
        <v>15.46</v>
      </c>
      <c r="V2561">
        <v>15.2</v>
      </c>
      <c r="W2561">
        <v>33.729999999999997</v>
      </c>
      <c r="X2561" t="s">
        <v>447</v>
      </c>
      <c r="Y2561" t="s">
        <v>785</v>
      </c>
      <c r="Z2561">
        <v>3.49</v>
      </c>
      <c r="AA2561">
        <v>15.42</v>
      </c>
      <c r="AB2561">
        <v>48772</v>
      </c>
      <c r="AC2561">
        <v>58483</v>
      </c>
      <c r="AD2561">
        <v>0.83</v>
      </c>
      <c r="AE2561">
        <v>26</v>
      </c>
      <c r="AF2561">
        <v>72</v>
      </c>
      <c r="AG2561" t="s">
        <v>120</v>
      </c>
      <c r="AH2561">
        <v>0</v>
      </c>
      <c r="AI2561" t="s">
        <v>120</v>
      </c>
      <c r="AJ2561">
        <v>11.2</v>
      </c>
      <c r="AK2561" t="s">
        <v>11713</v>
      </c>
      <c r="AL2561">
        <v>2.99</v>
      </c>
      <c r="AM2561">
        <v>3371</v>
      </c>
      <c r="AN2561">
        <v>32</v>
      </c>
      <c r="AO2561">
        <v>2.9999999999999997E-4</v>
      </c>
      <c r="AP2561">
        <v>2</v>
      </c>
      <c r="AQ2561">
        <v>0.2</v>
      </c>
      <c r="AR2561">
        <v>-1.34</v>
      </c>
      <c r="AS2561">
        <v>-13.49</v>
      </c>
      <c r="AT2561">
        <v>-12.76</v>
      </c>
      <c r="AU2561">
        <v>-25.62</v>
      </c>
      <c r="AV2561">
        <v>0</v>
      </c>
      <c r="AW2561">
        <v>1.1000000000000001</v>
      </c>
      <c r="AX2561">
        <v>86.94</v>
      </c>
      <c r="AY2561">
        <v>35.54</v>
      </c>
      <c r="AZ2561">
        <v>42.14</v>
      </c>
      <c r="BA2561">
        <v>0.02</v>
      </c>
      <c r="BB2561" t="s">
        <v>143</v>
      </c>
      <c r="BF2561">
        <v>1.47</v>
      </c>
      <c r="BG2561">
        <v>1.91</v>
      </c>
      <c r="BH2561">
        <v>-1.02</v>
      </c>
      <c r="BI2561">
        <v>2.4500000000000002</v>
      </c>
      <c r="BJ2561">
        <v>20210827</v>
      </c>
      <c r="BK2561">
        <v>19990115</v>
      </c>
      <c r="BL2561">
        <v>11.26</v>
      </c>
      <c r="BM2561" t="s">
        <v>120</v>
      </c>
      <c r="BN2561" t="s">
        <v>120</v>
      </c>
      <c r="BO2561">
        <v>63.48</v>
      </c>
      <c r="BP2561">
        <v>15.45</v>
      </c>
      <c r="BQ2561">
        <v>51.2</v>
      </c>
      <c r="BR2561">
        <v>2.88</v>
      </c>
      <c r="BS2561">
        <v>14.79</v>
      </c>
      <c r="BT2561">
        <v>29.86</v>
      </c>
      <c r="BU2561">
        <v>16.46</v>
      </c>
      <c r="BV2561">
        <v>3.56</v>
      </c>
      <c r="BW2561">
        <v>5.84</v>
      </c>
      <c r="BX2561">
        <v>14.38</v>
      </c>
      <c r="BY2561">
        <v>3.79</v>
      </c>
      <c r="BZ2561">
        <v>7.54</v>
      </c>
      <c r="CA2561" t="s">
        <v>120</v>
      </c>
      <c r="CB2561">
        <v>9.02</v>
      </c>
      <c r="CC2561">
        <v>8.4</v>
      </c>
      <c r="CD2561">
        <v>3.16</v>
      </c>
      <c r="CE2561">
        <v>2.76</v>
      </c>
      <c r="CF2561">
        <v>0.02</v>
      </c>
      <c r="CG2561">
        <v>2.76</v>
      </c>
      <c r="CH2561">
        <v>2.65</v>
      </c>
      <c r="CI2561">
        <v>2.58</v>
      </c>
      <c r="CJ2561">
        <v>0.25</v>
      </c>
      <c r="CK2561">
        <v>2.52</v>
      </c>
      <c r="CL2561">
        <v>28.09</v>
      </c>
      <c r="CM2561">
        <v>0.8</v>
      </c>
      <c r="CN2561">
        <v>-0.56000000000000005</v>
      </c>
      <c r="CO2561">
        <v>59570</v>
      </c>
      <c r="CP2561">
        <v>16436</v>
      </c>
      <c r="CQ2561" t="s">
        <v>11714</v>
      </c>
      <c r="CR2561">
        <v>41.38</v>
      </c>
      <c r="CS2561">
        <v>34.61</v>
      </c>
      <c r="CT2561">
        <v>3.4</v>
      </c>
      <c r="CU2561">
        <v>217.4</v>
      </c>
      <c r="CV2561">
        <v>20.7</v>
      </c>
      <c r="CW2561">
        <v>0.79</v>
      </c>
      <c r="CX2561" t="s">
        <v>694</v>
      </c>
      <c r="CY2561">
        <v>4.55</v>
      </c>
      <c r="CZ2561">
        <v>4.55</v>
      </c>
      <c r="DA2561">
        <v>0.8</v>
      </c>
      <c r="DB2561">
        <v>2.4900000000000002</v>
      </c>
      <c r="DC2561">
        <v>7.0000000000000007E-2</v>
      </c>
      <c r="DD2561">
        <v>80.67</v>
      </c>
      <c r="DE2561" t="s">
        <v>2720</v>
      </c>
      <c r="DF2561">
        <v>62.4</v>
      </c>
      <c r="DG2561">
        <v>32.89</v>
      </c>
      <c r="DH2561">
        <v>30.69</v>
      </c>
      <c r="DI2561">
        <v>0.57999999999999996</v>
      </c>
      <c r="DJ2561">
        <v>1444</v>
      </c>
      <c r="DK2561">
        <v>600201</v>
      </c>
      <c r="DL2561" t="s">
        <v>120</v>
      </c>
      <c r="DM2561" t="s">
        <v>120</v>
      </c>
      <c r="DN2561" t="s">
        <v>120</v>
      </c>
    </row>
    <row r="2562" spans="1:118">
      <c r="A2562" t="str">
        <f>"600202"</f>
        <v>600202</v>
      </c>
      <c r="B2562" t="s">
        <v>11715</v>
      </c>
      <c r="C2562">
        <v>-1.57</v>
      </c>
      <c r="D2562">
        <v>-0.19</v>
      </c>
      <c r="E2562">
        <v>-0.39</v>
      </c>
      <c r="F2562">
        <v>1049</v>
      </c>
      <c r="G2562" t="s">
        <v>11716</v>
      </c>
      <c r="H2562">
        <v>4973.3900000000003</v>
      </c>
      <c r="I2562">
        <v>7.66</v>
      </c>
      <c r="J2562" t="s">
        <v>120</v>
      </c>
      <c r="K2562" t="s">
        <v>7435</v>
      </c>
      <c r="L2562">
        <v>2.58</v>
      </c>
      <c r="M2562">
        <v>5.01</v>
      </c>
      <c r="N2562">
        <v>0.64</v>
      </c>
      <c r="O2562">
        <v>0.59</v>
      </c>
      <c r="P2562">
        <v>5.12</v>
      </c>
      <c r="Q2562">
        <v>-2.36</v>
      </c>
      <c r="R2562">
        <v>4.97</v>
      </c>
      <c r="S2562">
        <v>5.07</v>
      </c>
      <c r="T2562">
        <v>98823</v>
      </c>
      <c r="U2562">
        <v>5.0199999999999996</v>
      </c>
      <c r="V2562">
        <v>5.09</v>
      </c>
      <c r="W2562">
        <v>14.9</v>
      </c>
      <c r="X2562" t="s">
        <v>394</v>
      </c>
      <c r="Y2562" t="s">
        <v>1686</v>
      </c>
      <c r="Z2562">
        <v>2.95</v>
      </c>
      <c r="AA2562">
        <v>5.03</v>
      </c>
      <c r="AB2562">
        <v>49783</v>
      </c>
      <c r="AC2562">
        <v>49040</v>
      </c>
      <c r="AD2562">
        <v>1.02</v>
      </c>
      <c r="AE2562">
        <v>805</v>
      </c>
      <c r="AF2562">
        <v>375</v>
      </c>
      <c r="AG2562" t="s">
        <v>120</v>
      </c>
      <c r="AH2562">
        <v>0.01</v>
      </c>
      <c r="AI2562" t="s">
        <v>120</v>
      </c>
      <c r="AJ2562">
        <v>3.83</v>
      </c>
      <c r="AK2562" t="s">
        <v>7435</v>
      </c>
      <c r="AL2562">
        <v>-0.23</v>
      </c>
      <c r="AM2562">
        <v>2169</v>
      </c>
      <c r="AN2562">
        <v>46</v>
      </c>
      <c r="AO2562">
        <v>1.1999999999999999E-3</v>
      </c>
      <c r="AP2562">
        <v>-2</v>
      </c>
      <c r="AQ2562">
        <v>-0.2</v>
      </c>
      <c r="AR2562">
        <v>1.62</v>
      </c>
      <c r="AS2562">
        <v>23.7</v>
      </c>
      <c r="AT2562">
        <v>27.16</v>
      </c>
      <c r="AU2562">
        <v>19</v>
      </c>
      <c r="AV2562">
        <v>4</v>
      </c>
      <c r="AW2562">
        <v>3.91</v>
      </c>
      <c r="AX2562">
        <v>65.97</v>
      </c>
      <c r="AY2562">
        <v>21.64</v>
      </c>
      <c r="AZ2562">
        <v>38.700000000000003</v>
      </c>
      <c r="BA2562">
        <v>0.15</v>
      </c>
      <c r="BB2562" t="s">
        <v>184</v>
      </c>
      <c r="BF2562">
        <v>-1.1299999999999999</v>
      </c>
      <c r="BG2562">
        <v>-1.18</v>
      </c>
      <c r="BH2562">
        <v>-2.15</v>
      </c>
      <c r="BI2562">
        <v>0.8</v>
      </c>
      <c r="BJ2562">
        <v>20210817</v>
      </c>
      <c r="BK2562">
        <v>19990603</v>
      </c>
      <c r="BL2562">
        <v>3.83</v>
      </c>
      <c r="BM2562" t="s">
        <v>120</v>
      </c>
      <c r="BN2562" t="s">
        <v>120</v>
      </c>
      <c r="BO2562">
        <v>21.81</v>
      </c>
      <c r="BP2562">
        <v>5.01</v>
      </c>
      <c r="BQ2562">
        <v>7.72</v>
      </c>
      <c r="BR2562">
        <v>0.01</v>
      </c>
      <c r="BS2562">
        <v>64.56</v>
      </c>
      <c r="BT2562">
        <v>16.41</v>
      </c>
      <c r="BU2562">
        <v>3.68</v>
      </c>
      <c r="BV2562">
        <v>0.34</v>
      </c>
      <c r="BW2562">
        <v>12.37</v>
      </c>
      <c r="BX2562">
        <v>2.09</v>
      </c>
      <c r="BY2562">
        <v>3.18</v>
      </c>
      <c r="BZ2562">
        <v>7.67</v>
      </c>
      <c r="CA2562">
        <v>0</v>
      </c>
      <c r="CB2562">
        <v>0.82</v>
      </c>
      <c r="CC2562">
        <v>4.51</v>
      </c>
      <c r="CD2562">
        <v>4.33</v>
      </c>
      <c r="CE2562">
        <v>0.86</v>
      </c>
      <c r="CF2562">
        <v>-0.02</v>
      </c>
      <c r="CG2562">
        <v>0.74</v>
      </c>
      <c r="CH2562">
        <v>0.64</v>
      </c>
      <c r="CI2562">
        <v>0.64</v>
      </c>
      <c r="CJ2562">
        <v>-0.08</v>
      </c>
      <c r="CK2562">
        <v>-0.49</v>
      </c>
      <c r="CL2562">
        <v>1.62</v>
      </c>
      <c r="CM2562">
        <v>-1.27</v>
      </c>
      <c r="CN2562">
        <v>-0.93</v>
      </c>
      <c r="CO2562">
        <v>30348</v>
      </c>
      <c r="CP2562">
        <v>8333</v>
      </c>
      <c r="CQ2562" t="s">
        <v>2959</v>
      </c>
      <c r="CR2562">
        <v>160.97</v>
      </c>
      <c r="CS2562">
        <v>-1</v>
      </c>
      <c r="CT2562">
        <v>2.4900000000000002</v>
      </c>
      <c r="CU2562">
        <v>-15.12</v>
      </c>
      <c r="CV2562">
        <v>4.26</v>
      </c>
      <c r="CW2562">
        <v>0</v>
      </c>
      <c r="CX2562" t="s">
        <v>3151</v>
      </c>
      <c r="CY2562">
        <v>2.0099999999999998</v>
      </c>
      <c r="CZ2562">
        <v>0</v>
      </c>
      <c r="DA2562">
        <v>0.21</v>
      </c>
      <c r="DB2562">
        <v>0.42</v>
      </c>
      <c r="DC2562">
        <v>-0.33</v>
      </c>
      <c r="DD2562">
        <v>35.380000000000003</v>
      </c>
      <c r="DE2562" t="s">
        <v>2631</v>
      </c>
      <c r="DF2562">
        <v>3.94</v>
      </c>
      <c r="DG2562">
        <v>19.05</v>
      </c>
      <c r="DH2562">
        <v>14.3</v>
      </c>
      <c r="DI2562">
        <v>0.18</v>
      </c>
      <c r="DJ2562">
        <v>501</v>
      </c>
      <c r="DK2562">
        <v>600202</v>
      </c>
      <c r="DL2562" t="s">
        <v>120</v>
      </c>
      <c r="DM2562" t="s">
        <v>120</v>
      </c>
      <c r="DN2562" t="s">
        <v>120</v>
      </c>
    </row>
    <row r="2563" spans="1:118">
      <c r="A2563" t="str">
        <f>"600203"</f>
        <v>600203</v>
      </c>
      <c r="B2563" t="s">
        <v>11717</v>
      </c>
      <c r="C2563">
        <v>-2.72</v>
      </c>
      <c r="D2563">
        <v>-0.11</v>
      </c>
      <c r="E2563">
        <v>-0.11</v>
      </c>
      <c r="F2563">
        <v>410</v>
      </c>
      <c r="G2563" t="s">
        <v>3872</v>
      </c>
      <c r="H2563">
        <v>3883.04</v>
      </c>
      <c r="I2563">
        <v>1.1499999999999999</v>
      </c>
      <c r="J2563" t="s">
        <v>120</v>
      </c>
      <c r="K2563" t="s">
        <v>4636</v>
      </c>
      <c r="L2563">
        <v>0.98</v>
      </c>
      <c r="M2563">
        <v>8.58</v>
      </c>
      <c r="N2563">
        <v>0.72</v>
      </c>
      <c r="O2563">
        <v>0.45</v>
      </c>
      <c r="P2563">
        <v>8.86</v>
      </c>
      <c r="Q2563">
        <v>-3.29</v>
      </c>
      <c r="R2563">
        <v>8.5299999999999994</v>
      </c>
      <c r="S2563">
        <v>8.81</v>
      </c>
      <c r="T2563">
        <v>44756</v>
      </c>
      <c r="U2563">
        <v>8.59</v>
      </c>
      <c r="V2563">
        <v>8.82</v>
      </c>
      <c r="W2563" t="s">
        <v>120</v>
      </c>
      <c r="X2563" t="s">
        <v>229</v>
      </c>
      <c r="Y2563" t="s">
        <v>937</v>
      </c>
      <c r="Z2563">
        <v>3.74</v>
      </c>
      <c r="AA2563">
        <v>8.68</v>
      </c>
      <c r="AB2563">
        <v>28562</v>
      </c>
      <c r="AC2563">
        <v>16194</v>
      </c>
      <c r="AD2563">
        <v>1.76</v>
      </c>
      <c r="AE2563">
        <v>90</v>
      </c>
      <c r="AF2563">
        <v>73</v>
      </c>
      <c r="AG2563" t="s">
        <v>120</v>
      </c>
      <c r="AH2563">
        <v>0</v>
      </c>
      <c r="AI2563" t="s">
        <v>120</v>
      </c>
      <c r="AJ2563">
        <v>4.5599999999999996</v>
      </c>
      <c r="AK2563" t="s">
        <v>4636</v>
      </c>
      <c r="AL2563">
        <v>-1.38</v>
      </c>
      <c r="AM2563">
        <v>1586</v>
      </c>
      <c r="AN2563">
        <v>28</v>
      </c>
      <c r="AO2563">
        <v>5.9999999999999995E-4</v>
      </c>
      <c r="AP2563">
        <v>-1</v>
      </c>
      <c r="AQ2563">
        <v>2.92</v>
      </c>
      <c r="AR2563">
        <v>-2.4900000000000002</v>
      </c>
      <c r="AS2563">
        <v>-4.67</v>
      </c>
      <c r="AT2563">
        <v>-16.86</v>
      </c>
      <c r="AU2563">
        <v>-13.68</v>
      </c>
      <c r="AV2563">
        <v>7</v>
      </c>
      <c r="AW2563">
        <v>1.41</v>
      </c>
      <c r="AX2563">
        <v>69.790000000000006</v>
      </c>
      <c r="AY2563" t="s">
        <v>120</v>
      </c>
      <c r="AZ2563">
        <v>404.74</v>
      </c>
      <c r="BA2563">
        <v>0.97</v>
      </c>
      <c r="BB2563" t="s">
        <v>143</v>
      </c>
      <c r="BF2563">
        <v>-1.63</v>
      </c>
      <c r="BG2563">
        <v>-2.61</v>
      </c>
      <c r="BH2563">
        <v>-3.16</v>
      </c>
      <c r="BI2563">
        <v>0.59</v>
      </c>
      <c r="BJ2563">
        <v>20210830</v>
      </c>
      <c r="BK2563">
        <v>19990514</v>
      </c>
      <c r="BL2563">
        <v>4.5599999999999996</v>
      </c>
      <c r="BM2563" t="s">
        <v>120</v>
      </c>
      <c r="BN2563" t="s">
        <v>120</v>
      </c>
      <c r="BO2563">
        <v>95.38</v>
      </c>
      <c r="BP2563">
        <v>8.58</v>
      </c>
      <c r="BQ2563">
        <v>20.18</v>
      </c>
      <c r="BR2563">
        <v>6.73</v>
      </c>
      <c r="BS2563">
        <v>71.790000000000006</v>
      </c>
      <c r="BT2563">
        <v>67.95</v>
      </c>
      <c r="BU2563">
        <v>5.46</v>
      </c>
      <c r="BV2563">
        <v>2.23</v>
      </c>
      <c r="BW2563">
        <v>63.94</v>
      </c>
      <c r="BX2563">
        <v>14.8</v>
      </c>
      <c r="BY2563">
        <v>17.87</v>
      </c>
      <c r="BZ2563">
        <v>25.46</v>
      </c>
      <c r="CA2563" t="s">
        <v>120</v>
      </c>
      <c r="CB2563">
        <v>16.190000000000001</v>
      </c>
      <c r="CC2563">
        <v>75.06</v>
      </c>
      <c r="CD2563">
        <v>73.17</v>
      </c>
      <c r="CE2563">
        <v>-1.27</v>
      </c>
      <c r="CF2563">
        <v>0.16</v>
      </c>
      <c r="CG2563">
        <v>-1.28</v>
      </c>
      <c r="CH2563">
        <v>-1.28</v>
      </c>
      <c r="CI2563">
        <v>-0.91</v>
      </c>
      <c r="CJ2563">
        <v>-0.24</v>
      </c>
      <c r="CK2563">
        <v>-1.2</v>
      </c>
      <c r="CL2563">
        <v>-0.97</v>
      </c>
      <c r="CM2563">
        <v>-2.27</v>
      </c>
      <c r="CN2563">
        <v>-1.1499999999999999</v>
      </c>
      <c r="CO2563">
        <v>27552</v>
      </c>
      <c r="CP2563">
        <v>11561</v>
      </c>
      <c r="CQ2563" t="s">
        <v>7739</v>
      </c>
      <c r="CR2563">
        <v>-39.03</v>
      </c>
      <c r="CS2563">
        <v>49.03</v>
      </c>
      <c r="CT2563">
        <v>1.94</v>
      </c>
      <c r="CU2563">
        <v>-17.22</v>
      </c>
      <c r="CV2563">
        <v>0.52</v>
      </c>
      <c r="CW2563">
        <v>0</v>
      </c>
      <c r="CX2563" t="s">
        <v>4368</v>
      </c>
      <c r="CY2563">
        <v>4.42</v>
      </c>
      <c r="CZ2563">
        <v>0</v>
      </c>
      <c r="DA2563">
        <v>3.55</v>
      </c>
      <c r="DB2563">
        <v>-0.21</v>
      </c>
      <c r="DC2563">
        <v>-0.5</v>
      </c>
      <c r="DD2563">
        <v>21.15</v>
      </c>
      <c r="DE2563" t="s">
        <v>1507</v>
      </c>
      <c r="DF2563">
        <v>2.5099999999999998</v>
      </c>
      <c r="DG2563">
        <v>-1.69</v>
      </c>
      <c r="DH2563">
        <v>-1.22</v>
      </c>
      <c r="DI2563">
        <v>1.1100000000000001</v>
      </c>
      <c r="DJ2563">
        <v>5343</v>
      </c>
      <c r="DK2563">
        <v>600203</v>
      </c>
      <c r="DL2563" t="s">
        <v>120</v>
      </c>
      <c r="DM2563" t="s">
        <v>120</v>
      </c>
      <c r="DN2563" t="s">
        <v>120</v>
      </c>
    </row>
    <row r="2564" spans="1:118">
      <c r="A2564" t="str">
        <f>"600206"</f>
        <v>600206</v>
      </c>
      <c r="B2564" t="s">
        <v>11718</v>
      </c>
      <c r="C2564">
        <v>-5.62</v>
      </c>
      <c r="D2564">
        <v>-0.13</v>
      </c>
      <c r="E2564">
        <v>-0.78</v>
      </c>
      <c r="F2564">
        <v>4429</v>
      </c>
      <c r="G2564" t="s">
        <v>11719</v>
      </c>
      <c r="H2564">
        <v>49494.21</v>
      </c>
      <c r="I2564">
        <v>410.05</v>
      </c>
      <c r="J2564" t="s">
        <v>120</v>
      </c>
      <c r="K2564" t="s">
        <v>11720</v>
      </c>
      <c r="L2564">
        <v>3.96</v>
      </c>
      <c r="M2564">
        <v>14.43</v>
      </c>
      <c r="N2564">
        <v>1.1399999999999999</v>
      </c>
      <c r="O2564">
        <v>0.46</v>
      </c>
      <c r="P2564">
        <v>15.36</v>
      </c>
      <c r="Q2564">
        <v>-5.62</v>
      </c>
      <c r="R2564">
        <v>14.43</v>
      </c>
      <c r="S2564">
        <v>15.17</v>
      </c>
      <c r="T2564">
        <v>333933</v>
      </c>
      <c r="U2564">
        <v>14.44</v>
      </c>
      <c r="V2564">
        <v>15.29</v>
      </c>
      <c r="W2564">
        <v>43.02</v>
      </c>
      <c r="X2564" t="s">
        <v>3245</v>
      </c>
      <c r="Y2564" t="s">
        <v>158</v>
      </c>
      <c r="Z2564">
        <v>6.08</v>
      </c>
      <c r="AA2564">
        <v>14.82</v>
      </c>
      <c r="AB2564">
        <v>185215</v>
      </c>
      <c r="AC2564">
        <v>148718</v>
      </c>
      <c r="AD2564">
        <v>1.25</v>
      </c>
      <c r="AE2564">
        <v>423</v>
      </c>
      <c r="AF2564">
        <v>48</v>
      </c>
      <c r="AG2564" t="s">
        <v>120</v>
      </c>
      <c r="AH2564">
        <v>0.05</v>
      </c>
      <c r="AI2564" t="s">
        <v>120</v>
      </c>
      <c r="AJ2564">
        <v>8.44</v>
      </c>
      <c r="AK2564" t="s">
        <v>11721</v>
      </c>
      <c r="AL2564">
        <v>-4.28</v>
      </c>
      <c r="AM2564">
        <v>4299</v>
      </c>
      <c r="AN2564">
        <v>78</v>
      </c>
      <c r="AO2564">
        <v>8.9999999999999998E-4</v>
      </c>
      <c r="AP2564">
        <v>-2</v>
      </c>
      <c r="AQ2564">
        <v>-0.2</v>
      </c>
      <c r="AR2564">
        <v>-3.49</v>
      </c>
      <c r="AS2564">
        <v>-3.93</v>
      </c>
      <c r="AT2564">
        <v>2.63</v>
      </c>
      <c r="AU2564">
        <v>8.98</v>
      </c>
      <c r="AV2564">
        <v>2</v>
      </c>
      <c r="AW2564">
        <v>5.92</v>
      </c>
      <c r="AX2564">
        <v>66.62</v>
      </c>
      <c r="AY2564">
        <v>52.67</v>
      </c>
      <c r="AZ2564">
        <v>76.010000000000005</v>
      </c>
      <c r="BA2564">
        <v>0.53</v>
      </c>
      <c r="BB2564" t="s">
        <v>143</v>
      </c>
      <c r="BF2564">
        <v>-3.06</v>
      </c>
      <c r="BG2564">
        <v>-4.88</v>
      </c>
      <c r="BH2564">
        <v>-6.05</v>
      </c>
      <c r="BI2564">
        <v>0</v>
      </c>
      <c r="BJ2564">
        <v>20210824</v>
      </c>
      <c r="BK2564">
        <v>19990319</v>
      </c>
      <c r="BL2564">
        <v>8.4700000000000006</v>
      </c>
      <c r="BM2564" t="s">
        <v>120</v>
      </c>
      <c r="BN2564" t="s">
        <v>120</v>
      </c>
      <c r="BO2564">
        <v>46.52</v>
      </c>
      <c r="BP2564">
        <v>14.43</v>
      </c>
      <c r="BQ2564">
        <v>33.08</v>
      </c>
      <c r="BR2564">
        <v>2.64</v>
      </c>
      <c r="BS2564">
        <v>23.22</v>
      </c>
      <c r="BT2564">
        <v>31.53</v>
      </c>
      <c r="BU2564">
        <v>8.49</v>
      </c>
      <c r="BV2564">
        <v>0.8</v>
      </c>
      <c r="BW2564">
        <v>8.6</v>
      </c>
      <c r="BX2564">
        <v>3.32</v>
      </c>
      <c r="BY2564">
        <v>12.31</v>
      </c>
      <c r="BZ2564">
        <v>5.98</v>
      </c>
      <c r="CA2564" t="s">
        <v>120</v>
      </c>
      <c r="CB2564">
        <v>14.81</v>
      </c>
      <c r="CC2564">
        <v>76.28</v>
      </c>
      <c r="CD2564">
        <v>72.89</v>
      </c>
      <c r="CE2564">
        <v>1.77</v>
      </c>
      <c r="CF2564">
        <v>0.32</v>
      </c>
      <c r="CG2564">
        <v>1.76</v>
      </c>
      <c r="CH2564">
        <v>1.46</v>
      </c>
      <c r="CI2564">
        <v>1.42</v>
      </c>
      <c r="CJ2564">
        <v>-0.86</v>
      </c>
      <c r="CK2564">
        <v>1.07</v>
      </c>
      <c r="CL2564">
        <v>9.02</v>
      </c>
      <c r="CM2564">
        <v>-3.46</v>
      </c>
      <c r="CN2564">
        <v>-4.03</v>
      </c>
      <c r="CO2564">
        <v>95634</v>
      </c>
      <c r="CP2564">
        <v>5897</v>
      </c>
      <c r="CQ2564" t="s">
        <v>1267</v>
      </c>
      <c r="CR2564">
        <v>113.57</v>
      </c>
      <c r="CS2564">
        <v>49.88</v>
      </c>
      <c r="CT2564">
        <v>3.69</v>
      </c>
      <c r="CU2564">
        <v>-35.28</v>
      </c>
      <c r="CV2564">
        <v>1.6</v>
      </c>
      <c r="CW2564">
        <v>0.78</v>
      </c>
      <c r="CX2564" t="s">
        <v>1193</v>
      </c>
      <c r="CY2564">
        <v>3.91</v>
      </c>
      <c r="CZ2564">
        <v>0</v>
      </c>
      <c r="DA2564">
        <v>1.75</v>
      </c>
      <c r="DB2564">
        <v>1.07</v>
      </c>
      <c r="DC2564">
        <v>-0.41</v>
      </c>
      <c r="DD2564">
        <v>71.099999999999994</v>
      </c>
      <c r="DE2564" t="s">
        <v>967</v>
      </c>
      <c r="DF2564">
        <v>4.45</v>
      </c>
      <c r="DG2564">
        <v>2.3199999999999998</v>
      </c>
      <c r="DH2564">
        <v>1.86</v>
      </c>
      <c r="DI2564">
        <v>0.7</v>
      </c>
      <c r="DJ2564">
        <v>2138</v>
      </c>
      <c r="DK2564">
        <v>600206</v>
      </c>
      <c r="DL2564" t="s">
        <v>120</v>
      </c>
      <c r="DM2564" t="s">
        <v>120</v>
      </c>
      <c r="DN2564" t="s">
        <v>120</v>
      </c>
    </row>
    <row r="2565" spans="1:118">
      <c r="A2565" t="str">
        <f>"600207"</f>
        <v>600207</v>
      </c>
      <c r="B2565" t="s">
        <v>11722</v>
      </c>
      <c r="C2565">
        <v>-2.19</v>
      </c>
      <c r="D2565">
        <v>0</v>
      </c>
      <c r="E2565">
        <v>0.26</v>
      </c>
      <c r="F2565">
        <v>986</v>
      </c>
      <c r="G2565" t="s">
        <v>11723</v>
      </c>
      <c r="H2565">
        <v>8011.13</v>
      </c>
      <c r="I2565">
        <v>23.56</v>
      </c>
      <c r="J2565" t="s">
        <v>120</v>
      </c>
      <c r="K2565" t="s">
        <v>11724</v>
      </c>
      <c r="L2565">
        <v>1.2</v>
      </c>
      <c r="M2565">
        <v>7.61</v>
      </c>
      <c r="N2565">
        <v>0.66</v>
      </c>
      <c r="O2565">
        <v>0.9</v>
      </c>
      <c r="P2565">
        <v>7.85</v>
      </c>
      <c r="Q2565">
        <v>-2.31</v>
      </c>
      <c r="R2565">
        <v>7.6</v>
      </c>
      <c r="S2565">
        <v>7.8</v>
      </c>
      <c r="T2565">
        <v>103635</v>
      </c>
      <c r="U2565">
        <v>7.62</v>
      </c>
      <c r="V2565">
        <v>7.78</v>
      </c>
      <c r="W2565">
        <v>18.329999999999998</v>
      </c>
      <c r="X2565" t="s">
        <v>684</v>
      </c>
      <c r="Y2565" t="s">
        <v>645</v>
      </c>
      <c r="Z2565">
        <v>3.21</v>
      </c>
      <c r="AA2565">
        <v>7.73</v>
      </c>
      <c r="AB2565">
        <v>61232</v>
      </c>
      <c r="AC2565">
        <v>42403</v>
      </c>
      <c r="AD2565">
        <v>1.44</v>
      </c>
      <c r="AE2565">
        <v>1129</v>
      </c>
      <c r="AF2565">
        <v>289</v>
      </c>
      <c r="AG2565" t="s">
        <v>120</v>
      </c>
      <c r="AH2565">
        <v>0.01</v>
      </c>
      <c r="AI2565" t="s">
        <v>120</v>
      </c>
      <c r="AJ2565">
        <v>8.6300000000000008</v>
      </c>
      <c r="AK2565" t="s">
        <v>11724</v>
      </c>
      <c r="AL2565">
        <v>-0.84</v>
      </c>
      <c r="AM2565">
        <v>2638</v>
      </c>
      <c r="AN2565">
        <v>39</v>
      </c>
      <c r="AO2565">
        <v>5.0000000000000001E-4</v>
      </c>
      <c r="AP2565">
        <v>-1</v>
      </c>
      <c r="AQ2565">
        <v>3.05</v>
      </c>
      <c r="AR2565">
        <v>-2.31</v>
      </c>
      <c r="AS2565">
        <v>8.8699999999999992</v>
      </c>
      <c r="AT2565">
        <v>-0.52</v>
      </c>
      <c r="AU2565">
        <v>13.75</v>
      </c>
      <c r="AV2565">
        <v>7</v>
      </c>
      <c r="AW2565">
        <v>3.36</v>
      </c>
      <c r="AX2565">
        <v>35.700000000000003</v>
      </c>
      <c r="AY2565">
        <v>26.17</v>
      </c>
      <c r="AZ2565">
        <v>60.43</v>
      </c>
      <c r="BA2565">
        <v>1.87</v>
      </c>
      <c r="BB2565" t="s">
        <v>1103</v>
      </c>
      <c r="BF2565">
        <v>-0.64</v>
      </c>
      <c r="BG2565">
        <v>-2.44</v>
      </c>
      <c r="BH2565">
        <v>-3.06</v>
      </c>
      <c r="BI2565">
        <v>0.13</v>
      </c>
      <c r="BJ2565">
        <v>20210814</v>
      </c>
      <c r="BK2565">
        <v>19990714</v>
      </c>
      <c r="BL2565">
        <v>8.6300000000000008</v>
      </c>
      <c r="BM2565" t="s">
        <v>120</v>
      </c>
      <c r="BN2565" t="s">
        <v>120</v>
      </c>
      <c r="BO2565">
        <v>27.31</v>
      </c>
      <c r="BP2565">
        <v>7.61</v>
      </c>
      <c r="BQ2565">
        <v>18.850000000000001</v>
      </c>
      <c r="BR2565">
        <v>0.3</v>
      </c>
      <c r="BS2565">
        <v>29.86</v>
      </c>
      <c r="BT2565">
        <v>9.5500000000000007</v>
      </c>
      <c r="BU2565">
        <v>9.8000000000000007</v>
      </c>
      <c r="BV2565">
        <v>2.21</v>
      </c>
      <c r="BW2565">
        <v>6.43</v>
      </c>
      <c r="BX2565">
        <v>0.95</v>
      </c>
      <c r="BY2565">
        <v>1.49</v>
      </c>
      <c r="BZ2565">
        <v>2.57</v>
      </c>
      <c r="CA2565" t="s">
        <v>120</v>
      </c>
      <c r="CB2565">
        <v>28.81</v>
      </c>
      <c r="CC2565">
        <v>16.3</v>
      </c>
      <c r="CD2565">
        <v>13.35</v>
      </c>
      <c r="CE2565">
        <v>2.0099999999999998</v>
      </c>
      <c r="CF2565">
        <v>0.01</v>
      </c>
      <c r="CG2565">
        <v>2.0099999999999998</v>
      </c>
      <c r="CH2565">
        <v>1.82</v>
      </c>
      <c r="CI2565">
        <v>1.79</v>
      </c>
      <c r="CJ2565">
        <v>-0.17</v>
      </c>
      <c r="CK2565">
        <v>1.79</v>
      </c>
      <c r="CL2565">
        <v>-22.53</v>
      </c>
      <c r="CM2565">
        <v>-0.53</v>
      </c>
      <c r="CN2565">
        <v>-0.59</v>
      </c>
      <c r="CO2565">
        <v>41449</v>
      </c>
      <c r="CP2565">
        <v>7433</v>
      </c>
      <c r="CQ2565" t="s">
        <v>6750</v>
      </c>
      <c r="CR2565">
        <v>432.16</v>
      </c>
      <c r="CS2565">
        <v>55.89</v>
      </c>
      <c r="CT2565">
        <v>3.48</v>
      </c>
      <c r="CU2565">
        <v>-124.08</v>
      </c>
      <c r="CV2565">
        <v>4.03</v>
      </c>
      <c r="CW2565">
        <v>0</v>
      </c>
      <c r="CX2565" t="s">
        <v>11140</v>
      </c>
      <c r="CY2565">
        <v>2.1800000000000002</v>
      </c>
      <c r="CZ2565">
        <v>0</v>
      </c>
      <c r="DA2565">
        <v>3.34</v>
      </c>
      <c r="DB2565">
        <v>-2.61</v>
      </c>
      <c r="DC2565">
        <v>-0.06</v>
      </c>
      <c r="DD2565">
        <v>69.03</v>
      </c>
      <c r="DE2565" t="s">
        <v>1882</v>
      </c>
      <c r="DF2565">
        <v>18.07</v>
      </c>
      <c r="DG2565">
        <v>12.35</v>
      </c>
      <c r="DH2565">
        <v>10.99</v>
      </c>
      <c r="DI2565">
        <v>0.21</v>
      </c>
      <c r="DJ2565">
        <v>2158</v>
      </c>
      <c r="DK2565">
        <v>600207</v>
      </c>
      <c r="DL2565" t="s">
        <v>120</v>
      </c>
      <c r="DM2565" t="s">
        <v>120</v>
      </c>
      <c r="DN2565" t="s">
        <v>120</v>
      </c>
    </row>
    <row r="2566" spans="1:118">
      <c r="A2566" t="str">
        <f>"600208"</f>
        <v>600208</v>
      </c>
      <c r="B2566" t="s">
        <v>11725</v>
      </c>
      <c r="C2566">
        <v>6.49</v>
      </c>
      <c r="D2566">
        <v>-0.28999999999999998</v>
      </c>
      <c r="E2566">
        <v>0.65</v>
      </c>
      <c r="F2566">
        <v>23959</v>
      </c>
      <c r="G2566" t="s">
        <v>11726</v>
      </c>
      <c r="H2566">
        <v>111908.27</v>
      </c>
      <c r="I2566">
        <v>161.51</v>
      </c>
      <c r="J2566" t="s">
        <v>120</v>
      </c>
      <c r="K2566" t="s">
        <v>11727</v>
      </c>
      <c r="L2566">
        <v>3.94</v>
      </c>
      <c r="M2566">
        <v>3.28</v>
      </c>
      <c r="N2566">
        <v>4.41</v>
      </c>
      <c r="O2566">
        <v>10.06</v>
      </c>
      <c r="P2566">
        <v>3.39</v>
      </c>
      <c r="Q2566">
        <v>0.32</v>
      </c>
      <c r="R2566">
        <v>3.09</v>
      </c>
      <c r="S2566">
        <v>3.1</v>
      </c>
      <c r="T2566">
        <v>3384388</v>
      </c>
      <c r="U2566">
        <v>3.29</v>
      </c>
      <c r="V2566">
        <v>3.08</v>
      </c>
      <c r="W2566">
        <v>6.96</v>
      </c>
      <c r="X2566" t="s">
        <v>132</v>
      </c>
      <c r="Y2566" t="s">
        <v>585</v>
      </c>
      <c r="Z2566">
        <v>9.74</v>
      </c>
      <c r="AA2566">
        <v>3.31</v>
      </c>
      <c r="AB2566">
        <v>1764078</v>
      </c>
      <c r="AC2566">
        <v>1620310</v>
      </c>
      <c r="AD2566">
        <v>1.0900000000000001</v>
      </c>
      <c r="AE2566">
        <v>9012</v>
      </c>
      <c r="AF2566">
        <v>16985</v>
      </c>
      <c r="AG2566" t="s">
        <v>120</v>
      </c>
      <c r="AH2566">
        <v>0.01</v>
      </c>
      <c r="AI2566" t="s">
        <v>120</v>
      </c>
      <c r="AJ2566">
        <v>85.98</v>
      </c>
      <c r="AK2566" t="s">
        <v>11728</v>
      </c>
      <c r="AL2566">
        <v>7.84</v>
      </c>
      <c r="AM2566">
        <v>4387</v>
      </c>
      <c r="AN2566">
        <v>771</v>
      </c>
      <c r="AO2566">
        <v>8.9999999999999998E-4</v>
      </c>
      <c r="AP2566">
        <v>1</v>
      </c>
      <c r="AQ2566">
        <v>-0.32</v>
      </c>
      <c r="AR2566">
        <v>1.86</v>
      </c>
      <c r="AS2566">
        <v>15.09</v>
      </c>
      <c r="AT2566">
        <v>10.28</v>
      </c>
      <c r="AU2566">
        <v>7.75</v>
      </c>
      <c r="AV2566">
        <v>0</v>
      </c>
      <c r="AW2566">
        <v>9.17</v>
      </c>
      <c r="AX2566">
        <v>42.9</v>
      </c>
      <c r="AY2566">
        <v>9.25</v>
      </c>
      <c r="AZ2566">
        <v>8.3699999999999992</v>
      </c>
      <c r="BA2566">
        <v>0.28999999999999998</v>
      </c>
      <c r="BB2566" t="s">
        <v>143</v>
      </c>
      <c r="BF2566">
        <v>7.36</v>
      </c>
      <c r="BG2566">
        <v>5.81</v>
      </c>
      <c r="BH2566">
        <v>-3.24</v>
      </c>
      <c r="BI2566">
        <v>6.15</v>
      </c>
      <c r="BJ2566">
        <v>20210831</v>
      </c>
      <c r="BK2566">
        <v>19990623</v>
      </c>
      <c r="BL2566">
        <v>85.99</v>
      </c>
      <c r="BM2566" t="s">
        <v>120</v>
      </c>
      <c r="BN2566" t="s">
        <v>120</v>
      </c>
      <c r="BO2566">
        <v>1306.49</v>
      </c>
      <c r="BP2566">
        <v>3.28</v>
      </c>
      <c r="BQ2566">
        <v>395.22</v>
      </c>
      <c r="BR2566">
        <v>6.36</v>
      </c>
      <c r="BS2566">
        <v>69.260000000000005</v>
      </c>
      <c r="BT2566">
        <v>745.66</v>
      </c>
      <c r="BU2566">
        <v>4.9800000000000004</v>
      </c>
      <c r="BV2566">
        <v>12.55</v>
      </c>
      <c r="BW2566">
        <v>595.29</v>
      </c>
      <c r="BX2566">
        <v>125.8</v>
      </c>
      <c r="BY2566">
        <v>511.61</v>
      </c>
      <c r="BZ2566">
        <v>1.0900000000000001</v>
      </c>
      <c r="CA2566">
        <v>0.21</v>
      </c>
      <c r="CB2566">
        <v>90.62</v>
      </c>
      <c r="CC2566">
        <v>74.42</v>
      </c>
      <c r="CD2566">
        <v>58.5</v>
      </c>
      <c r="CE2566">
        <v>22.65</v>
      </c>
      <c r="CF2566">
        <v>24.26</v>
      </c>
      <c r="CG2566">
        <v>22.63</v>
      </c>
      <c r="CH2566">
        <v>19.89</v>
      </c>
      <c r="CI2566">
        <v>20.260000000000002</v>
      </c>
      <c r="CJ2566">
        <v>0.2</v>
      </c>
      <c r="CK2566">
        <v>14.23</v>
      </c>
      <c r="CL2566">
        <v>211.57</v>
      </c>
      <c r="CM2566">
        <v>51.51</v>
      </c>
      <c r="CN2566">
        <v>2.04</v>
      </c>
      <c r="CO2566">
        <v>107130</v>
      </c>
      <c r="CP2566">
        <v>34435</v>
      </c>
      <c r="CQ2566" t="s">
        <v>4749</v>
      </c>
      <c r="CR2566">
        <v>-12.91</v>
      </c>
      <c r="CS2566">
        <v>57.19</v>
      </c>
      <c r="CT2566">
        <v>0.71</v>
      </c>
      <c r="CU2566">
        <v>5.48</v>
      </c>
      <c r="CV2566">
        <v>3.79</v>
      </c>
      <c r="CW2566">
        <v>1.78</v>
      </c>
      <c r="CX2566" t="s">
        <v>626</v>
      </c>
      <c r="CY2566">
        <v>4.5999999999999996</v>
      </c>
      <c r="CZ2566">
        <v>0</v>
      </c>
      <c r="DA2566">
        <v>1.05</v>
      </c>
      <c r="DB2566">
        <v>2.46</v>
      </c>
      <c r="DC2566">
        <v>0.6</v>
      </c>
      <c r="DD2566">
        <v>30.25</v>
      </c>
      <c r="DE2566" t="s">
        <v>2624</v>
      </c>
      <c r="DF2566">
        <v>21.38</v>
      </c>
      <c r="DG2566">
        <v>30.44</v>
      </c>
      <c r="DH2566">
        <v>27.22</v>
      </c>
      <c r="DI2566" t="s">
        <v>120</v>
      </c>
      <c r="DJ2566">
        <v>1554</v>
      </c>
      <c r="DK2566">
        <v>600208</v>
      </c>
      <c r="DL2566" t="s">
        <v>120</v>
      </c>
      <c r="DM2566" t="s">
        <v>120</v>
      </c>
      <c r="DN2566" t="s">
        <v>120</v>
      </c>
    </row>
    <row r="2567" spans="1:118">
      <c r="A2567" t="str">
        <f>"600210"</f>
        <v>600210</v>
      </c>
      <c r="B2567" t="s">
        <v>11729</v>
      </c>
      <c r="C2567">
        <v>-1.25</v>
      </c>
      <c r="D2567">
        <v>0</v>
      </c>
      <c r="E2567">
        <v>0.81</v>
      </c>
      <c r="F2567">
        <v>11261</v>
      </c>
      <c r="G2567" t="s">
        <v>11730</v>
      </c>
      <c r="H2567">
        <v>117828.58</v>
      </c>
      <c r="I2567">
        <v>800.92</v>
      </c>
      <c r="J2567" t="s">
        <v>120</v>
      </c>
      <c r="K2567" t="s">
        <v>11731</v>
      </c>
      <c r="L2567">
        <v>6.97</v>
      </c>
      <c r="M2567">
        <v>11.03</v>
      </c>
      <c r="N2567">
        <v>1.1200000000000001</v>
      </c>
      <c r="O2567">
        <v>4.21</v>
      </c>
      <c r="P2567">
        <v>11.64</v>
      </c>
      <c r="Q2567">
        <v>-2.5099999999999998</v>
      </c>
      <c r="R2567">
        <v>10.89</v>
      </c>
      <c r="S2567">
        <v>11.26</v>
      </c>
      <c r="T2567">
        <v>1056811</v>
      </c>
      <c r="U2567">
        <v>11.03</v>
      </c>
      <c r="V2567">
        <v>11.17</v>
      </c>
      <c r="W2567">
        <v>25.34</v>
      </c>
      <c r="X2567" t="s">
        <v>339</v>
      </c>
      <c r="Y2567" t="s">
        <v>1510</v>
      </c>
      <c r="Z2567">
        <v>6.71</v>
      </c>
      <c r="AA2567">
        <v>11.15</v>
      </c>
      <c r="AB2567">
        <v>484248</v>
      </c>
      <c r="AC2567">
        <v>572563</v>
      </c>
      <c r="AD2567">
        <v>0.85</v>
      </c>
      <c r="AE2567">
        <v>621</v>
      </c>
      <c r="AF2567">
        <v>769</v>
      </c>
      <c r="AG2567" t="s">
        <v>120</v>
      </c>
      <c r="AH2567">
        <v>0.06</v>
      </c>
      <c r="AI2567" t="s">
        <v>120</v>
      </c>
      <c r="AJ2567">
        <v>15.17</v>
      </c>
      <c r="AK2567" t="s">
        <v>11731</v>
      </c>
      <c r="AL2567">
        <v>0.09</v>
      </c>
      <c r="AM2567">
        <v>4606</v>
      </c>
      <c r="AN2567">
        <v>229</v>
      </c>
      <c r="AO2567">
        <v>1.5E-3</v>
      </c>
      <c r="AP2567">
        <v>-1</v>
      </c>
      <c r="AQ2567">
        <v>10.050000000000001</v>
      </c>
      <c r="AR2567">
        <v>14.42</v>
      </c>
      <c r="AS2567">
        <v>20.149999999999999</v>
      </c>
      <c r="AT2567">
        <v>135.18</v>
      </c>
      <c r="AU2567">
        <v>169.03</v>
      </c>
      <c r="AV2567">
        <v>6</v>
      </c>
      <c r="AW2567">
        <v>9.4700000000000006</v>
      </c>
      <c r="AX2567">
        <v>73.55</v>
      </c>
      <c r="AY2567">
        <v>26.21</v>
      </c>
      <c r="AZ2567">
        <v>29.97</v>
      </c>
      <c r="BA2567">
        <v>0.55000000000000004</v>
      </c>
      <c r="BB2567" t="s">
        <v>184</v>
      </c>
      <c r="BF2567">
        <v>-0.18</v>
      </c>
      <c r="BG2567">
        <v>-2.04</v>
      </c>
      <c r="BH2567">
        <v>-5.24</v>
      </c>
      <c r="BI2567">
        <v>1.29</v>
      </c>
      <c r="BJ2567">
        <v>20210830</v>
      </c>
      <c r="BK2567">
        <v>19990824</v>
      </c>
      <c r="BL2567">
        <v>15.17</v>
      </c>
      <c r="BM2567" t="s">
        <v>120</v>
      </c>
      <c r="BN2567" t="s">
        <v>120</v>
      </c>
      <c r="BO2567">
        <v>121.49</v>
      </c>
      <c r="BP2567">
        <v>11.02</v>
      </c>
      <c r="BQ2567">
        <v>52.64</v>
      </c>
      <c r="BR2567">
        <v>3.3</v>
      </c>
      <c r="BS2567">
        <v>53.96</v>
      </c>
      <c r="BT2567">
        <v>66.55</v>
      </c>
      <c r="BU2567">
        <v>25.51</v>
      </c>
      <c r="BV2567">
        <v>2.39</v>
      </c>
      <c r="BW2567">
        <v>48.26</v>
      </c>
      <c r="BX2567">
        <v>18.54</v>
      </c>
      <c r="BY2567">
        <v>20.52</v>
      </c>
      <c r="BZ2567">
        <v>19.12</v>
      </c>
      <c r="CA2567">
        <v>0.03</v>
      </c>
      <c r="CB2567">
        <v>3.18</v>
      </c>
      <c r="CC2567">
        <v>48.71</v>
      </c>
      <c r="CD2567">
        <v>38.1</v>
      </c>
      <c r="CE2567">
        <v>4.53</v>
      </c>
      <c r="CF2567">
        <v>0.16</v>
      </c>
      <c r="CG2567">
        <v>4.54</v>
      </c>
      <c r="CH2567">
        <v>3.53</v>
      </c>
      <c r="CI2567">
        <v>3.3</v>
      </c>
      <c r="CJ2567">
        <v>-0.14000000000000001</v>
      </c>
      <c r="CK2567">
        <v>3.27</v>
      </c>
      <c r="CL2567">
        <v>24.58</v>
      </c>
      <c r="CM2567">
        <v>2.46</v>
      </c>
      <c r="CN2567">
        <v>1.81</v>
      </c>
      <c r="CO2567">
        <v>86238</v>
      </c>
      <c r="CP2567">
        <v>12935</v>
      </c>
      <c r="CQ2567" t="s">
        <v>3291</v>
      </c>
      <c r="CR2567">
        <v>32.68</v>
      </c>
      <c r="CS2567">
        <v>10.29</v>
      </c>
      <c r="CT2567">
        <v>3.18</v>
      </c>
      <c r="CU2567">
        <v>67.92</v>
      </c>
      <c r="CV2567">
        <v>3.43</v>
      </c>
      <c r="CW2567">
        <v>2.2400000000000002</v>
      </c>
      <c r="CX2567" t="s">
        <v>3361</v>
      </c>
      <c r="CY2567">
        <v>3.47</v>
      </c>
      <c r="CZ2567">
        <v>0</v>
      </c>
      <c r="DA2567">
        <v>0.21</v>
      </c>
      <c r="DB2567">
        <v>1.62</v>
      </c>
      <c r="DC2567">
        <v>0.16</v>
      </c>
      <c r="DD2567">
        <v>43.33</v>
      </c>
      <c r="DE2567" t="s">
        <v>4446</v>
      </c>
      <c r="DF2567">
        <v>21.77</v>
      </c>
      <c r="DG2567">
        <v>9.3000000000000007</v>
      </c>
      <c r="DH2567">
        <v>6.78</v>
      </c>
      <c r="DI2567">
        <v>1.39</v>
      </c>
      <c r="DJ2567">
        <v>7069</v>
      </c>
      <c r="DK2567">
        <v>600210</v>
      </c>
      <c r="DL2567" t="s">
        <v>120</v>
      </c>
      <c r="DM2567" t="s">
        <v>120</v>
      </c>
      <c r="DN2567" t="s">
        <v>120</v>
      </c>
    </row>
    <row r="2568" spans="1:118">
      <c r="A2568" t="str">
        <f>"600211"</f>
        <v>600211</v>
      </c>
      <c r="B2568" t="s">
        <v>11732</v>
      </c>
      <c r="C2568">
        <v>-1.28</v>
      </c>
      <c r="D2568">
        <v>0</v>
      </c>
      <c r="E2568">
        <v>-0.27</v>
      </c>
      <c r="F2568">
        <v>191</v>
      </c>
      <c r="G2568" t="s">
        <v>11733</v>
      </c>
      <c r="H2568">
        <v>11212.97</v>
      </c>
      <c r="I2568">
        <v>16.41</v>
      </c>
      <c r="J2568" t="s">
        <v>120</v>
      </c>
      <c r="K2568" t="s">
        <v>11734</v>
      </c>
      <c r="L2568">
        <v>0.94</v>
      </c>
      <c r="M2568">
        <v>47.77</v>
      </c>
      <c r="N2568">
        <v>1.02</v>
      </c>
      <c r="O2568">
        <v>0.79</v>
      </c>
      <c r="P2568">
        <v>48.77</v>
      </c>
      <c r="Q2568">
        <v>-1.3</v>
      </c>
      <c r="R2568">
        <v>47.76</v>
      </c>
      <c r="S2568">
        <v>48.26</v>
      </c>
      <c r="T2568">
        <v>23280</v>
      </c>
      <c r="U2568">
        <v>47.77</v>
      </c>
      <c r="V2568">
        <v>48.39</v>
      </c>
      <c r="W2568">
        <v>19.86</v>
      </c>
      <c r="X2568" t="s">
        <v>771</v>
      </c>
      <c r="Y2568" t="s">
        <v>1886</v>
      </c>
      <c r="Z2568">
        <v>2.09</v>
      </c>
      <c r="AA2568">
        <v>48.17</v>
      </c>
      <c r="AB2568">
        <v>12869</v>
      </c>
      <c r="AC2568">
        <v>10411</v>
      </c>
      <c r="AD2568">
        <v>1.24</v>
      </c>
      <c r="AE2568">
        <v>18</v>
      </c>
      <c r="AF2568">
        <v>6</v>
      </c>
      <c r="AG2568" t="s">
        <v>120</v>
      </c>
      <c r="AH2568">
        <v>0</v>
      </c>
      <c r="AI2568" t="s">
        <v>120</v>
      </c>
      <c r="AJ2568">
        <v>2.48</v>
      </c>
      <c r="AK2568" t="s">
        <v>11734</v>
      </c>
      <c r="AL2568">
        <v>0.06</v>
      </c>
      <c r="AM2568">
        <v>2369</v>
      </c>
      <c r="AN2568">
        <v>10</v>
      </c>
      <c r="AO2568">
        <v>4.0000000000000002E-4</v>
      </c>
      <c r="AP2568">
        <v>-3</v>
      </c>
      <c r="AQ2568">
        <v>-1.91</v>
      </c>
      <c r="AR2568">
        <v>-5.1100000000000003</v>
      </c>
      <c r="AS2568">
        <v>-15.21</v>
      </c>
      <c r="AT2568">
        <v>-19.21</v>
      </c>
      <c r="AU2568">
        <v>-28.46</v>
      </c>
      <c r="AV2568">
        <v>8</v>
      </c>
      <c r="AW2568">
        <v>2.13</v>
      </c>
      <c r="AX2568">
        <v>44.12</v>
      </c>
      <c r="AY2568">
        <v>24.17</v>
      </c>
      <c r="AZ2568">
        <v>28.7</v>
      </c>
      <c r="BA2568">
        <v>0.55000000000000004</v>
      </c>
      <c r="BB2568" t="s">
        <v>125</v>
      </c>
      <c r="BF2568">
        <v>-0.46</v>
      </c>
      <c r="BG2568">
        <v>-1.02</v>
      </c>
      <c r="BH2568">
        <v>-2.0499999999999998</v>
      </c>
      <c r="BI2568">
        <v>0.02</v>
      </c>
      <c r="BJ2568">
        <v>20210818</v>
      </c>
      <c r="BK2568">
        <v>19990721</v>
      </c>
      <c r="BL2568">
        <v>2.48</v>
      </c>
      <c r="BM2568" t="s">
        <v>120</v>
      </c>
      <c r="BN2568" t="s">
        <v>120</v>
      </c>
      <c r="BO2568">
        <v>34.56</v>
      </c>
      <c r="BP2568">
        <v>47.76</v>
      </c>
      <c r="BQ2568">
        <v>27.36</v>
      </c>
      <c r="BR2568">
        <v>0.14000000000000001</v>
      </c>
      <c r="BS2568">
        <v>20.43</v>
      </c>
      <c r="BT2568">
        <v>14.78</v>
      </c>
      <c r="BU2568">
        <v>1.68</v>
      </c>
      <c r="BV2568">
        <v>9.0500000000000007</v>
      </c>
      <c r="BW2568">
        <v>6.88</v>
      </c>
      <c r="BX2568">
        <v>7.67</v>
      </c>
      <c r="BY2568">
        <v>0.81</v>
      </c>
      <c r="BZ2568">
        <v>4.49</v>
      </c>
      <c r="CA2568" t="s">
        <v>120</v>
      </c>
      <c r="CB2568">
        <v>12.64</v>
      </c>
      <c r="CC2568">
        <v>10.38</v>
      </c>
      <c r="CD2568">
        <v>1.03</v>
      </c>
      <c r="CE2568">
        <v>3.34</v>
      </c>
      <c r="CF2568">
        <v>-0.02</v>
      </c>
      <c r="CG2568">
        <v>3.34</v>
      </c>
      <c r="CH2568">
        <v>3</v>
      </c>
      <c r="CI2568">
        <v>2.98</v>
      </c>
      <c r="CJ2568">
        <v>-0.62</v>
      </c>
      <c r="CK2568">
        <v>2.93</v>
      </c>
      <c r="CL2568">
        <v>11.37</v>
      </c>
      <c r="CM2568">
        <v>3.66</v>
      </c>
      <c r="CN2568">
        <v>0.05</v>
      </c>
      <c r="CO2568">
        <v>68215</v>
      </c>
      <c r="CP2568">
        <v>1604</v>
      </c>
      <c r="CQ2568" t="s">
        <v>11735</v>
      </c>
      <c r="CR2568">
        <v>35.619999999999997</v>
      </c>
      <c r="CS2568">
        <v>65.13</v>
      </c>
      <c r="CT2568">
        <v>4.33</v>
      </c>
      <c r="CU2568">
        <v>32.35</v>
      </c>
      <c r="CV2568">
        <v>11.41</v>
      </c>
      <c r="CW2568">
        <v>1.05</v>
      </c>
      <c r="CX2568" t="s">
        <v>11280</v>
      </c>
      <c r="CY2568">
        <v>11.03</v>
      </c>
      <c r="CZ2568">
        <v>0</v>
      </c>
      <c r="DA2568">
        <v>5.0999999999999996</v>
      </c>
      <c r="DB2568">
        <v>4.59</v>
      </c>
      <c r="DC2568">
        <v>1.48</v>
      </c>
      <c r="DD2568">
        <v>79.16</v>
      </c>
      <c r="DE2568" t="s">
        <v>11736</v>
      </c>
      <c r="DF2568">
        <v>90.08</v>
      </c>
      <c r="DG2568">
        <v>32.15</v>
      </c>
      <c r="DH2568">
        <v>28.73</v>
      </c>
      <c r="DI2568">
        <v>0.05</v>
      </c>
      <c r="DJ2568">
        <v>476</v>
      </c>
      <c r="DK2568">
        <v>600211</v>
      </c>
      <c r="DL2568" t="s">
        <v>120</v>
      </c>
      <c r="DM2568" t="s">
        <v>120</v>
      </c>
      <c r="DN2568" t="s">
        <v>120</v>
      </c>
    </row>
    <row r="2569" spans="1:118">
      <c r="A2569" t="str">
        <f>"600212"</f>
        <v>600212</v>
      </c>
      <c r="B2569" t="s">
        <v>11737</v>
      </c>
      <c r="C2569">
        <v>-2.61</v>
      </c>
      <c r="D2569">
        <v>0</v>
      </c>
      <c r="E2569">
        <v>0.71</v>
      </c>
      <c r="F2569">
        <v>413</v>
      </c>
      <c r="G2569" t="s">
        <v>1429</v>
      </c>
      <c r="H2569">
        <v>2522.5100000000002</v>
      </c>
      <c r="I2569">
        <v>8.44</v>
      </c>
      <c r="J2569" t="s">
        <v>120</v>
      </c>
      <c r="K2569" t="s">
        <v>9953</v>
      </c>
      <c r="L2569">
        <v>1.18</v>
      </c>
      <c r="M2569">
        <v>4.0999999999999996</v>
      </c>
      <c r="N2569">
        <v>0.82</v>
      </c>
      <c r="O2569">
        <v>1.66</v>
      </c>
      <c r="P2569">
        <v>4.28</v>
      </c>
      <c r="Q2569">
        <v>-2.61</v>
      </c>
      <c r="R2569">
        <v>4.0999999999999996</v>
      </c>
      <c r="S2569">
        <v>4.24</v>
      </c>
      <c r="T2569">
        <v>60536</v>
      </c>
      <c r="U2569">
        <v>4.1100000000000003</v>
      </c>
      <c r="V2569">
        <v>4.21</v>
      </c>
      <c r="W2569">
        <v>304.13</v>
      </c>
      <c r="X2569" t="s">
        <v>166</v>
      </c>
      <c r="Y2569" t="s">
        <v>638</v>
      </c>
      <c r="Z2569">
        <v>4.28</v>
      </c>
      <c r="AA2569">
        <v>4.17</v>
      </c>
      <c r="AB2569">
        <v>38409</v>
      </c>
      <c r="AC2569">
        <v>22127</v>
      </c>
      <c r="AD2569">
        <v>1.74</v>
      </c>
      <c r="AE2569">
        <v>2890</v>
      </c>
      <c r="AF2569">
        <v>2098</v>
      </c>
      <c r="AG2569" t="s">
        <v>120</v>
      </c>
      <c r="AH2569">
        <v>0</v>
      </c>
      <c r="AI2569" t="s">
        <v>120</v>
      </c>
      <c r="AJ2569">
        <v>5.12</v>
      </c>
      <c r="AK2569" t="s">
        <v>9953</v>
      </c>
      <c r="AL2569">
        <v>-1.27</v>
      </c>
      <c r="AM2569">
        <v>1293</v>
      </c>
      <c r="AN2569">
        <v>47</v>
      </c>
      <c r="AO2569">
        <v>8.9999999999999998E-4</v>
      </c>
      <c r="AP2569">
        <v>-1</v>
      </c>
      <c r="AQ2569">
        <v>1.94</v>
      </c>
      <c r="AR2569">
        <v>-3.52</v>
      </c>
      <c r="AS2569">
        <v>7.9</v>
      </c>
      <c r="AT2569">
        <v>-3.99</v>
      </c>
      <c r="AU2569">
        <v>28.52</v>
      </c>
      <c r="AV2569">
        <v>8</v>
      </c>
      <c r="AW2569">
        <v>1.38</v>
      </c>
      <c r="AX2569">
        <v>85.43</v>
      </c>
      <c r="AY2569">
        <v>131.80000000000001</v>
      </c>
      <c r="AZ2569">
        <v>110.24</v>
      </c>
      <c r="BA2569">
        <v>0.67</v>
      </c>
      <c r="BB2569" t="s">
        <v>143</v>
      </c>
      <c r="BF2569">
        <v>-1.02</v>
      </c>
      <c r="BG2569">
        <v>-3.3</v>
      </c>
      <c r="BH2569">
        <v>-4.21</v>
      </c>
      <c r="BI2569">
        <v>0</v>
      </c>
      <c r="BJ2569">
        <v>20210803</v>
      </c>
      <c r="BK2569">
        <v>19990817</v>
      </c>
      <c r="BL2569">
        <v>5.12</v>
      </c>
      <c r="BM2569" t="s">
        <v>120</v>
      </c>
      <c r="BN2569" t="s">
        <v>120</v>
      </c>
      <c r="BO2569">
        <v>3.04</v>
      </c>
      <c r="BP2569">
        <v>4.0999999999999996</v>
      </c>
      <c r="BQ2569">
        <v>2.56</v>
      </c>
      <c r="BR2569" t="s">
        <v>120</v>
      </c>
      <c r="BS2569">
        <v>15.76</v>
      </c>
      <c r="BT2569">
        <v>1.4</v>
      </c>
      <c r="BU2569">
        <v>1.1599999999999999</v>
      </c>
      <c r="BV2569">
        <v>0.24</v>
      </c>
      <c r="BW2569">
        <v>0.3</v>
      </c>
      <c r="BX2569">
        <v>0.72</v>
      </c>
      <c r="BY2569">
        <v>0.04</v>
      </c>
      <c r="BZ2569">
        <v>0.44</v>
      </c>
      <c r="CA2569" t="s">
        <v>120</v>
      </c>
      <c r="CB2569">
        <v>4.68</v>
      </c>
      <c r="CC2569">
        <v>1.2</v>
      </c>
      <c r="CD2569">
        <v>0.99</v>
      </c>
      <c r="CE2569">
        <v>0.04</v>
      </c>
      <c r="CF2569">
        <v>0</v>
      </c>
      <c r="CG2569">
        <v>0.03</v>
      </c>
      <c r="CH2569">
        <v>0.03</v>
      </c>
      <c r="CI2569">
        <v>0.03</v>
      </c>
      <c r="CJ2569">
        <v>-0.11</v>
      </c>
      <c r="CK2569">
        <v>0.03</v>
      </c>
      <c r="CL2569">
        <v>-8.26</v>
      </c>
      <c r="CM2569">
        <v>-0.05</v>
      </c>
      <c r="CN2569">
        <v>0.2</v>
      </c>
      <c r="CO2569">
        <v>31132</v>
      </c>
      <c r="CP2569">
        <v>14042</v>
      </c>
      <c r="CQ2569" t="s">
        <v>5032</v>
      </c>
      <c r="CR2569">
        <v>-48.09</v>
      </c>
      <c r="CS2569">
        <v>-20.81</v>
      </c>
      <c r="CT2569">
        <v>8.19</v>
      </c>
      <c r="CU2569">
        <v>-389.3</v>
      </c>
      <c r="CV2569">
        <v>17.47</v>
      </c>
      <c r="CW2569">
        <v>0</v>
      </c>
      <c r="CX2569" t="s">
        <v>2745</v>
      </c>
      <c r="CY2569">
        <v>0.5</v>
      </c>
      <c r="CZ2569">
        <v>0</v>
      </c>
      <c r="DA2569">
        <v>0.91</v>
      </c>
      <c r="DB2569">
        <v>-1.61</v>
      </c>
      <c r="DC2569">
        <v>-0.01</v>
      </c>
      <c r="DD2569">
        <v>84.24</v>
      </c>
      <c r="DE2569" t="s">
        <v>11738</v>
      </c>
      <c r="DF2569">
        <v>17.16</v>
      </c>
      <c r="DG2569">
        <v>3.05</v>
      </c>
      <c r="DH2569">
        <v>2.87</v>
      </c>
      <c r="DI2569" t="s">
        <v>120</v>
      </c>
      <c r="DJ2569">
        <v>489</v>
      </c>
      <c r="DK2569">
        <v>600212</v>
      </c>
      <c r="DL2569" t="s">
        <v>120</v>
      </c>
      <c r="DM2569" t="s">
        <v>120</v>
      </c>
      <c r="DN2569" t="s">
        <v>120</v>
      </c>
    </row>
    <row r="2570" spans="1:118">
      <c r="A2570" t="str">
        <f>"600213"</f>
        <v>600213</v>
      </c>
      <c r="B2570" t="s">
        <v>11739</v>
      </c>
      <c r="C2570">
        <v>-5.08</v>
      </c>
      <c r="D2570">
        <v>0</v>
      </c>
      <c r="E2570">
        <v>-0.25</v>
      </c>
      <c r="F2570">
        <v>369</v>
      </c>
      <c r="G2570" t="s">
        <v>11740</v>
      </c>
      <c r="H2570">
        <v>5012.91</v>
      </c>
      <c r="I2570">
        <v>26.16</v>
      </c>
      <c r="J2570" t="s">
        <v>120</v>
      </c>
      <c r="K2570" t="s">
        <v>11741</v>
      </c>
      <c r="L2570">
        <v>2.9</v>
      </c>
      <c r="M2570">
        <v>7.66</v>
      </c>
      <c r="N2570">
        <v>1.27</v>
      </c>
      <c r="O2570">
        <v>-0.12</v>
      </c>
      <c r="P2570">
        <v>8.06</v>
      </c>
      <c r="Q2570">
        <v>-5.58</v>
      </c>
      <c r="R2570">
        <v>7.62</v>
      </c>
      <c r="S2570">
        <v>8.0500000000000007</v>
      </c>
      <c r="T2570">
        <v>63871</v>
      </c>
      <c r="U2570">
        <v>7.67</v>
      </c>
      <c r="V2570">
        <v>8.07</v>
      </c>
      <c r="W2570" t="s">
        <v>120</v>
      </c>
      <c r="X2570" t="s">
        <v>1068</v>
      </c>
      <c r="Y2570" t="s">
        <v>319</v>
      </c>
      <c r="Z2570">
        <v>5.45</v>
      </c>
      <c r="AA2570">
        <v>7.85</v>
      </c>
      <c r="AB2570">
        <v>41512</v>
      </c>
      <c r="AC2570">
        <v>22359</v>
      </c>
      <c r="AD2570">
        <v>1.86</v>
      </c>
      <c r="AE2570">
        <v>144</v>
      </c>
      <c r="AF2570">
        <v>12</v>
      </c>
      <c r="AG2570" t="s">
        <v>120</v>
      </c>
      <c r="AH2570">
        <v>0.03</v>
      </c>
      <c r="AI2570" t="s">
        <v>120</v>
      </c>
      <c r="AJ2570">
        <v>2.2000000000000002</v>
      </c>
      <c r="AK2570" t="s">
        <v>11741</v>
      </c>
      <c r="AL2570">
        <v>-3.74</v>
      </c>
      <c r="AM2570">
        <v>2112</v>
      </c>
      <c r="AN2570">
        <v>30</v>
      </c>
      <c r="AO2570">
        <v>1.4E-3</v>
      </c>
      <c r="AP2570">
        <v>-1</v>
      </c>
      <c r="AQ2570">
        <v>2.41</v>
      </c>
      <c r="AR2570">
        <v>-5.67</v>
      </c>
      <c r="AS2570">
        <v>-3.04</v>
      </c>
      <c r="AT2570">
        <v>1.59</v>
      </c>
      <c r="AU2570">
        <v>-15.36</v>
      </c>
      <c r="AV2570">
        <v>9</v>
      </c>
      <c r="AW2570">
        <v>5.92</v>
      </c>
      <c r="AX2570">
        <v>49</v>
      </c>
      <c r="AY2570" t="s">
        <v>120</v>
      </c>
      <c r="AZ2570" t="s">
        <v>120</v>
      </c>
      <c r="BA2570">
        <v>0.98</v>
      </c>
      <c r="BB2570" t="s">
        <v>143</v>
      </c>
      <c r="BF2570">
        <v>-2.75</v>
      </c>
      <c r="BG2570">
        <v>-4.84</v>
      </c>
      <c r="BH2570">
        <v>-4.96</v>
      </c>
      <c r="BI2570">
        <v>0.52</v>
      </c>
      <c r="BJ2570">
        <v>20210727</v>
      </c>
      <c r="BK2570">
        <v>19990831</v>
      </c>
      <c r="BL2570">
        <v>2.2000000000000002</v>
      </c>
      <c r="BM2570" t="s">
        <v>120</v>
      </c>
      <c r="BN2570" t="s">
        <v>120</v>
      </c>
      <c r="BO2570">
        <v>34.200000000000003</v>
      </c>
      <c r="BP2570">
        <v>7.66</v>
      </c>
      <c r="BQ2570">
        <v>-0.2</v>
      </c>
      <c r="BR2570">
        <v>0.87</v>
      </c>
      <c r="BS2570">
        <v>98.05</v>
      </c>
      <c r="BT2570">
        <v>31.7</v>
      </c>
      <c r="BU2570">
        <v>1.97</v>
      </c>
      <c r="BV2570">
        <v>0.46</v>
      </c>
      <c r="BW2570">
        <v>26.02</v>
      </c>
      <c r="BX2570">
        <v>2.96</v>
      </c>
      <c r="BY2570">
        <v>1.67</v>
      </c>
      <c r="BZ2570">
        <v>25.79</v>
      </c>
      <c r="CA2570" t="s">
        <v>120</v>
      </c>
      <c r="CB2570">
        <v>3.42</v>
      </c>
      <c r="CC2570">
        <v>4.9400000000000004</v>
      </c>
      <c r="CD2570">
        <v>4.43</v>
      </c>
      <c r="CE2570">
        <v>-0.52</v>
      </c>
      <c r="CF2570">
        <v>0</v>
      </c>
      <c r="CG2570">
        <v>-0.4</v>
      </c>
      <c r="CH2570">
        <v>-0.4</v>
      </c>
      <c r="CI2570">
        <v>-0.39</v>
      </c>
      <c r="CJ2570">
        <v>-0.41</v>
      </c>
      <c r="CK2570">
        <v>-0.55000000000000004</v>
      </c>
      <c r="CL2570">
        <v>-6.34</v>
      </c>
      <c r="CM2570">
        <v>2.54</v>
      </c>
      <c r="CN2570">
        <v>-2.09</v>
      </c>
      <c r="CO2570">
        <v>19610</v>
      </c>
      <c r="CP2570">
        <v>5497</v>
      </c>
      <c r="CQ2570" t="s">
        <v>7060</v>
      </c>
      <c r="CR2570">
        <v>1.83</v>
      </c>
      <c r="CS2570">
        <v>-47.39</v>
      </c>
      <c r="CT2570">
        <v>-82.79</v>
      </c>
      <c r="CU2570">
        <v>6.64</v>
      </c>
      <c r="CV2570">
        <v>3.41</v>
      </c>
      <c r="CW2570">
        <v>0</v>
      </c>
      <c r="CX2570" t="s">
        <v>2691</v>
      </c>
      <c r="CY2570">
        <v>-0.09</v>
      </c>
      <c r="CZ2570">
        <v>0</v>
      </c>
      <c r="DA2570">
        <v>1.55</v>
      </c>
      <c r="DB2570">
        <v>-2.88</v>
      </c>
      <c r="DC2570">
        <v>1.1499999999999999</v>
      </c>
      <c r="DD2570">
        <v>-0.6</v>
      </c>
      <c r="DE2570" t="s">
        <v>120</v>
      </c>
      <c r="DF2570">
        <v>10.3</v>
      </c>
      <c r="DG2570">
        <v>-10.43</v>
      </c>
      <c r="DH2570">
        <v>-7.82</v>
      </c>
      <c r="DI2570">
        <v>0.28000000000000003</v>
      </c>
      <c r="DJ2570">
        <v>1755</v>
      </c>
      <c r="DK2570">
        <v>600213</v>
      </c>
      <c r="DL2570" t="s">
        <v>120</v>
      </c>
      <c r="DM2570" t="s">
        <v>120</v>
      </c>
      <c r="DN2570" t="s">
        <v>120</v>
      </c>
    </row>
    <row r="2571" spans="1:118">
      <c r="A2571" t="str">
        <f>"600215"</f>
        <v>600215</v>
      </c>
      <c r="B2571" t="s">
        <v>11742</v>
      </c>
      <c r="C2571">
        <v>2.52</v>
      </c>
      <c r="D2571">
        <v>0.12</v>
      </c>
      <c r="E2571">
        <v>0.63</v>
      </c>
      <c r="F2571">
        <v>340</v>
      </c>
      <c r="G2571" t="s">
        <v>384</v>
      </c>
      <c r="H2571">
        <v>8600.76</v>
      </c>
      <c r="I2571">
        <v>20.45</v>
      </c>
      <c r="J2571" t="s">
        <v>120</v>
      </c>
      <c r="K2571" t="s">
        <v>11743</v>
      </c>
      <c r="L2571">
        <v>2.27</v>
      </c>
      <c r="M2571">
        <v>8.14</v>
      </c>
      <c r="N2571">
        <v>1.1399999999999999</v>
      </c>
      <c r="O2571">
        <v>6.8</v>
      </c>
      <c r="P2571">
        <v>8.48</v>
      </c>
      <c r="Q2571">
        <v>-3.27</v>
      </c>
      <c r="R2571">
        <v>7.68</v>
      </c>
      <c r="S2571">
        <v>7.99</v>
      </c>
      <c r="T2571">
        <v>105563</v>
      </c>
      <c r="U2571">
        <v>8.14</v>
      </c>
      <c r="V2571">
        <v>7.94</v>
      </c>
      <c r="W2571">
        <v>32.03</v>
      </c>
      <c r="X2571" t="s">
        <v>1384</v>
      </c>
      <c r="Y2571" t="s">
        <v>290</v>
      </c>
      <c r="Z2571">
        <v>10.08</v>
      </c>
      <c r="AA2571">
        <v>8.15</v>
      </c>
      <c r="AB2571">
        <v>44348</v>
      </c>
      <c r="AC2571">
        <v>61215</v>
      </c>
      <c r="AD2571">
        <v>0.72</v>
      </c>
      <c r="AE2571">
        <v>274</v>
      </c>
      <c r="AF2571">
        <v>448</v>
      </c>
      <c r="AG2571" t="s">
        <v>120</v>
      </c>
      <c r="AH2571">
        <v>0.01</v>
      </c>
      <c r="AI2571" t="s">
        <v>120</v>
      </c>
      <c r="AJ2571">
        <v>4.6500000000000004</v>
      </c>
      <c r="AK2571" t="s">
        <v>11743</v>
      </c>
      <c r="AL2571">
        <v>3.86</v>
      </c>
      <c r="AM2571">
        <v>1978</v>
      </c>
      <c r="AN2571">
        <v>53</v>
      </c>
      <c r="AO2571">
        <v>1.1000000000000001E-3</v>
      </c>
      <c r="AP2571">
        <v>1</v>
      </c>
      <c r="AQ2571">
        <v>-3.99</v>
      </c>
      <c r="AR2571">
        <v>-0.37</v>
      </c>
      <c r="AS2571">
        <v>27.18</v>
      </c>
      <c r="AT2571">
        <v>-1.81</v>
      </c>
      <c r="AU2571">
        <v>53.44</v>
      </c>
      <c r="AV2571">
        <v>6</v>
      </c>
      <c r="AW2571">
        <v>3.39</v>
      </c>
      <c r="AX2571">
        <v>66.89</v>
      </c>
      <c r="AY2571">
        <v>29.74</v>
      </c>
      <c r="AZ2571">
        <v>44.33</v>
      </c>
      <c r="BA2571">
        <v>0.55000000000000004</v>
      </c>
      <c r="BB2571" t="s">
        <v>125</v>
      </c>
      <c r="BF2571">
        <v>2.61</v>
      </c>
      <c r="BG2571">
        <v>1.88</v>
      </c>
      <c r="BH2571">
        <v>-4.01</v>
      </c>
      <c r="BI2571">
        <v>5.99</v>
      </c>
      <c r="BJ2571">
        <v>20210901</v>
      </c>
      <c r="BK2571">
        <v>19990909</v>
      </c>
      <c r="BL2571">
        <v>4.6500000000000004</v>
      </c>
      <c r="BM2571" t="s">
        <v>120</v>
      </c>
      <c r="BN2571" t="s">
        <v>120</v>
      </c>
      <c r="BO2571">
        <v>27.74</v>
      </c>
      <c r="BP2571">
        <v>8.1300000000000008</v>
      </c>
      <c r="BQ2571">
        <v>24.99</v>
      </c>
      <c r="BR2571" t="s">
        <v>120</v>
      </c>
      <c r="BS2571">
        <v>9.92</v>
      </c>
      <c r="BT2571">
        <v>25.89</v>
      </c>
      <c r="BU2571">
        <v>1.47</v>
      </c>
      <c r="BV2571">
        <v>0.39</v>
      </c>
      <c r="BW2571">
        <v>2.71</v>
      </c>
      <c r="BX2571">
        <v>8.11</v>
      </c>
      <c r="BY2571">
        <v>10.63</v>
      </c>
      <c r="BZ2571">
        <v>0</v>
      </c>
      <c r="CA2571" t="s">
        <v>120</v>
      </c>
      <c r="CB2571">
        <v>9.7899999999999991</v>
      </c>
      <c r="CC2571">
        <v>1.37</v>
      </c>
      <c r="CD2571">
        <v>0.85</v>
      </c>
      <c r="CE2571">
        <v>0.76</v>
      </c>
      <c r="CF2571">
        <v>0.37</v>
      </c>
      <c r="CG2571">
        <v>0.76</v>
      </c>
      <c r="CH2571">
        <v>0.59</v>
      </c>
      <c r="CI2571">
        <v>0.59</v>
      </c>
      <c r="CJ2571">
        <v>0.2</v>
      </c>
      <c r="CK2571">
        <v>0.28000000000000003</v>
      </c>
      <c r="CL2571">
        <v>9.8800000000000008</v>
      </c>
      <c r="CM2571">
        <v>0.38</v>
      </c>
      <c r="CN2571">
        <v>1.93</v>
      </c>
      <c r="CO2571">
        <v>21801</v>
      </c>
      <c r="CP2571">
        <v>14268</v>
      </c>
      <c r="CQ2571" t="s">
        <v>11744</v>
      </c>
      <c r="CR2571">
        <v>224.4</v>
      </c>
      <c r="CS2571">
        <v>223.24</v>
      </c>
      <c r="CT2571">
        <v>1.51</v>
      </c>
      <c r="CU2571">
        <v>98.99</v>
      </c>
      <c r="CV2571">
        <v>27.59</v>
      </c>
      <c r="CW2571">
        <v>1.1299999999999999</v>
      </c>
      <c r="CX2571" t="s">
        <v>11745</v>
      </c>
      <c r="CY2571">
        <v>5.37</v>
      </c>
      <c r="CZ2571">
        <v>0</v>
      </c>
      <c r="DA2571">
        <v>2.1</v>
      </c>
      <c r="DB2571">
        <v>2.12</v>
      </c>
      <c r="DC2571">
        <v>0.08</v>
      </c>
      <c r="DD2571">
        <v>90.08</v>
      </c>
      <c r="DE2571" t="s">
        <v>8303</v>
      </c>
      <c r="DF2571">
        <v>37.909999999999997</v>
      </c>
      <c r="DG2571">
        <v>55.42</v>
      </c>
      <c r="DH2571">
        <v>43.07</v>
      </c>
      <c r="DI2571" t="s">
        <v>120</v>
      </c>
      <c r="DJ2571">
        <v>79</v>
      </c>
      <c r="DK2571">
        <v>600215</v>
      </c>
      <c r="DL2571" t="s">
        <v>120</v>
      </c>
      <c r="DM2571" t="s">
        <v>120</v>
      </c>
      <c r="DN2571" t="s">
        <v>120</v>
      </c>
    </row>
    <row r="2572" spans="1:118">
      <c r="A2572" t="str">
        <f>"600216"</f>
        <v>600216</v>
      </c>
      <c r="B2572" t="s">
        <v>11746</v>
      </c>
      <c r="C2572">
        <v>-2.61</v>
      </c>
      <c r="D2572">
        <v>0</v>
      </c>
      <c r="E2572">
        <v>-0.22</v>
      </c>
      <c r="F2572">
        <v>5512</v>
      </c>
      <c r="G2572" t="s">
        <v>11747</v>
      </c>
      <c r="H2572">
        <v>104912.46</v>
      </c>
      <c r="I2572">
        <v>716.34</v>
      </c>
      <c r="J2572" t="s">
        <v>120</v>
      </c>
      <c r="K2572" t="s">
        <v>3062</v>
      </c>
      <c r="L2572">
        <v>6.05</v>
      </c>
      <c r="M2572">
        <v>17.510000000000002</v>
      </c>
      <c r="N2572">
        <v>1.25</v>
      </c>
      <c r="O2572">
        <v>2.17</v>
      </c>
      <c r="P2572">
        <v>18.37</v>
      </c>
      <c r="Q2572">
        <v>-2.73</v>
      </c>
      <c r="R2572">
        <v>17.489999999999998</v>
      </c>
      <c r="S2572">
        <v>17.940000000000001</v>
      </c>
      <c r="T2572">
        <v>583700</v>
      </c>
      <c r="U2572">
        <v>17.54</v>
      </c>
      <c r="V2572">
        <v>17.98</v>
      </c>
      <c r="W2572">
        <v>16.649999999999999</v>
      </c>
      <c r="X2572" t="s">
        <v>569</v>
      </c>
      <c r="Y2572" t="s">
        <v>585</v>
      </c>
      <c r="Z2572">
        <v>4.8899999999999997</v>
      </c>
      <c r="AA2572">
        <v>17.97</v>
      </c>
      <c r="AB2572">
        <v>316049</v>
      </c>
      <c r="AC2572">
        <v>267651</v>
      </c>
      <c r="AD2572">
        <v>1.18</v>
      </c>
      <c r="AE2572">
        <v>428</v>
      </c>
      <c r="AF2572">
        <v>42</v>
      </c>
      <c r="AG2572" t="s">
        <v>120</v>
      </c>
      <c r="AH2572">
        <v>7.0000000000000007E-2</v>
      </c>
      <c r="AI2572" t="s">
        <v>120</v>
      </c>
      <c r="AJ2572">
        <v>9.65</v>
      </c>
      <c r="AK2572" t="s">
        <v>3062</v>
      </c>
      <c r="AL2572">
        <v>-1.27</v>
      </c>
      <c r="AM2572">
        <v>4509</v>
      </c>
      <c r="AN2572">
        <v>129</v>
      </c>
      <c r="AO2572">
        <v>1.2999999999999999E-3</v>
      </c>
      <c r="AP2572">
        <v>-1</v>
      </c>
      <c r="AQ2572">
        <v>2.74</v>
      </c>
      <c r="AR2572">
        <v>5.61</v>
      </c>
      <c r="AS2572">
        <v>-1.35</v>
      </c>
      <c r="AT2572">
        <v>18.64</v>
      </c>
      <c r="AU2572">
        <v>30.96</v>
      </c>
      <c r="AV2572">
        <v>2</v>
      </c>
      <c r="AW2572">
        <v>9.64</v>
      </c>
      <c r="AX2572">
        <v>62.77</v>
      </c>
      <c r="AY2572">
        <v>21.75</v>
      </c>
      <c r="AZ2572">
        <v>24.19</v>
      </c>
      <c r="BA2572">
        <v>0.61</v>
      </c>
      <c r="BB2572" t="s">
        <v>700</v>
      </c>
      <c r="BF2572">
        <v>-0.04</v>
      </c>
      <c r="BG2572">
        <v>-2.4</v>
      </c>
      <c r="BH2572">
        <v>-4.68</v>
      </c>
      <c r="BI2572">
        <v>0.11</v>
      </c>
      <c r="BJ2572">
        <v>20210826</v>
      </c>
      <c r="BK2572">
        <v>19991021</v>
      </c>
      <c r="BL2572">
        <v>9.65</v>
      </c>
      <c r="BM2572" t="s">
        <v>120</v>
      </c>
      <c r="BN2572" t="s">
        <v>120</v>
      </c>
      <c r="BO2572">
        <v>120.39</v>
      </c>
      <c r="BP2572">
        <v>17.510000000000002</v>
      </c>
      <c r="BQ2572">
        <v>82.16</v>
      </c>
      <c r="BR2572">
        <v>4.91</v>
      </c>
      <c r="BS2572">
        <v>27.68</v>
      </c>
      <c r="BT2572">
        <v>64.22</v>
      </c>
      <c r="BU2572">
        <v>36.94</v>
      </c>
      <c r="BV2572">
        <v>5.1100000000000003</v>
      </c>
      <c r="BW2572">
        <v>29.68</v>
      </c>
      <c r="BX2572">
        <v>20.04</v>
      </c>
      <c r="BY2572">
        <v>16.579999999999998</v>
      </c>
      <c r="BZ2572">
        <v>16.14</v>
      </c>
      <c r="CA2572" t="s">
        <v>120</v>
      </c>
      <c r="CB2572">
        <v>16.579999999999998</v>
      </c>
      <c r="CC2572">
        <v>46.18</v>
      </c>
      <c r="CD2572">
        <v>26.24</v>
      </c>
      <c r="CE2572">
        <v>5.86</v>
      </c>
      <c r="CF2572">
        <v>0.18</v>
      </c>
      <c r="CG2572">
        <v>5.76</v>
      </c>
      <c r="CH2572">
        <v>4.6900000000000004</v>
      </c>
      <c r="CI2572">
        <v>5.08</v>
      </c>
      <c r="CJ2572">
        <v>-0.47</v>
      </c>
      <c r="CK2572">
        <v>4.66</v>
      </c>
      <c r="CL2572">
        <v>42.97</v>
      </c>
      <c r="CM2572">
        <v>4.58</v>
      </c>
      <c r="CN2572">
        <v>3.88</v>
      </c>
      <c r="CO2572">
        <v>78000</v>
      </c>
      <c r="CP2572">
        <v>7767</v>
      </c>
      <c r="CQ2572" t="s">
        <v>7004</v>
      </c>
      <c r="CR2572">
        <v>18.87</v>
      </c>
      <c r="CS2572">
        <v>30.86</v>
      </c>
      <c r="CT2572">
        <v>2.06</v>
      </c>
      <c r="CU2572">
        <v>36.86</v>
      </c>
      <c r="CV2572">
        <v>3.66</v>
      </c>
      <c r="CW2572">
        <v>1.27</v>
      </c>
      <c r="CX2572" t="s">
        <v>2391</v>
      </c>
      <c r="CY2572">
        <v>8.51</v>
      </c>
      <c r="CZ2572">
        <v>0</v>
      </c>
      <c r="DA2572">
        <v>1.72</v>
      </c>
      <c r="DB2572">
        <v>4.45</v>
      </c>
      <c r="DC2572">
        <v>0.48</v>
      </c>
      <c r="DD2572">
        <v>68.25</v>
      </c>
      <c r="DE2572" t="s">
        <v>9543</v>
      </c>
      <c r="DF2572">
        <v>43.18</v>
      </c>
      <c r="DG2572">
        <v>12.69</v>
      </c>
      <c r="DH2572">
        <v>10.99</v>
      </c>
      <c r="DI2572">
        <v>5.45</v>
      </c>
      <c r="DJ2572">
        <v>5835</v>
      </c>
      <c r="DK2572">
        <v>600216</v>
      </c>
      <c r="DL2572" t="s">
        <v>120</v>
      </c>
      <c r="DM2572" t="s">
        <v>120</v>
      </c>
      <c r="DN2572" t="s">
        <v>120</v>
      </c>
    </row>
    <row r="2573" spans="1:118">
      <c r="A2573" t="str">
        <f>"600217"</f>
        <v>600217</v>
      </c>
      <c r="B2573" t="s">
        <v>11748</v>
      </c>
      <c r="C2573">
        <v>-3.16</v>
      </c>
      <c r="D2573">
        <v>0</v>
      </c>
      <c r="E2573">
        <v>0.67</v>
      </c>
      <c r="F2573">
        <v>3721</v>
      </c>
      <c r="G2573" t="s">
        <v>11749</v>
      </c>
      <c r="H2573">
        <v>18982.79</v>
      </c>
      <c r="I2573">
        <v>64.8</v>
      </c>
      <c r="J2573" t="s">
        <v>120</v>
      </c>
      <c r="K2573" t="s">
        <v>11750</v>
      </c>
      <c r="L2573">
        <v>2.31</v>
      </c>
      <c r="M2573">
        <v>5.82</v>
      </c>
      <c r="N2573">
        <v>0.78</v>
      </c>
      <c r="O2573">
        <v>0.83</v>
      </c>
      <c r="P2573">
        <v>6.06</v>
      </c>
      <c r="Q2573">
        <v>-3.33</v>
      </c>
      <c r="R2573">
        <v>5.81</v>
      </c>
      <c r="S2573">
        <v>6.05</v>
      </c>
      <c r="T2573">
        <v>320362</v>
      </c>
      <c r="U2573">
        <v>5.83</v>
      </c>
      <c r="V2573">
        <v>6.01</v>
      </c>
      <c r="W2573">
        <v>23.03</v>
      </c>
      <c r="X2573" t="s">
        <v>318</v>
      </c>
      <c r="Y2573" t="s">
        <v>890</v>
      </c>
      <c r="Z2573">
        <v>4.16</v>
      </c>
      <c r="AA2573">
        <v>5.93</v>
      </c>
      <c r="AB2573">
        <v>191404</v>
      </c>
      <c r="AC2573">
        <v>128958</v>
      </c>
      <c r="AD2573">
        <v>1.48</v>
      </c>
      <c r="AE2573">
        <v>585</v>
      </c>
      <c r="AF2573">
        <v>450</v>
      </c>
      <c r="AG2573" t="s">
        <v>120</v>
      </c>
      <c r="AH2573">
        <v>0.02</v>
      </c>
      <c r="AI2573" t="s">
        <v>120</v>
      </c>
      <c r="AJ2573">
        <v>13.89</v>
      </c>
      <c r="AK2573" t="s">
        <v>11750</v>
      </c>
      <c r="AL2573">
        <v>-1.82</v>
      </c>
      <c r="AM2573">
        <v>2781</v>
      </c>
      <c r="AN2573">
        <v>115</v>
      </c>
      <c r="AO2573">
        <v>8.0000000000000004E-4</v>
      </c>
      <c r="AP2573">
        <v>-3</v>
      </c>
      <c r="AQ2573">
        <v>-0.5</v>
      </c>
      <c r="AR2573">
        <v>-6.29</v>
      </c>
      <c r="AS2573">
        <v>6.4</v>
      </c>
      <c r="AT2573">
        <v>15.7</v>
      </c>
      <c r="AU2573">
        <v>1.39</v>
      </c>
      <c r="AV2573">
        <v>0</v>
      </c>
      <c r="AW2573">
        <v>4.62</v>
      </c>
      <c r="AX2573">
        <v>49.96</v>
      </c>
      <c r="AY2573">
        <v>20.18</v>
      </c>
      <c r="AZ2573">
        <v>20.329999999999998</v>
      </c>
      <c r="BA2573">
        <v>0.96</v>
      </c>
      <c r="BB2573" t="s">
        <v>240</v>
      </c>
      <c r="BF2573">
        <v>-1.41</v>
      </c>
      <c r="BG2573">
        <v>-3.8</v>
      </c>
      <c r="BH2573">
        <v>-3.96</v>
      </c>
      <c r="BI2573">
        <v>0.17</v>
      </c>
      <c r="BJ2573">
        <v>20210824</v>
      </c>
      <c r="BK2573">
        <v>19991216</v>
      </c>
      <c r="BL2573">
        <v>13.89</v>
      </c>
      <c r="BM2573" t="s">
        <v>120</v>
      </c>
      <c r="BN2573" t="s">
        <v>120</v>
      </c>
      <c r="BO2573">
        <v>65.64</v>
      </c>
      <c r="BP2573">
        <v>5.82</v>
      </c>
      <c r="BQ2573">
        <v>22.81</v>
      </c>
      <c r="BR2573">
        <v>0.14000000000000001</v>
      </c>
      <c r="BS2573">
        <v>65.03</v>
      </c>
      <c r="BT2573">
        <v>55.98</v>
      </c>
      <c r="BU2573">
        <v>5.91</v>
      </c>
      <c r="BV2573">
        <v>1.44</v>
      </c>
      <c r="BW2573">
        <v>36.03</v>
      </c>
      <c r="BX2573">
        <v>5.85</v>
      </c>
      <c r="BY2573">
        <v>1.77</v>
      </c>
      <c r="BZ2573">
        <v>47.45</v>
      </c>
      <c r="CA2573">
        <v>0.26</v>
      </c>
      <c r="CB2573">
        <v>0</v>
      </c>
      <c r="CC2573">
        <v>16.399999999999999</v>
      </c>
      <c r="CD2573">
        <v>11.74</v>
      </c>
      <c r="CE2573">
        <v>1.91</v>
      </c>
      <c r="CF2573">
        <v>0</v>
      </c>
      <c r="CG2573">
        <v>1.95</v>
      </c>
      <c r="CH2573">
        <v>1.73</v>
      </c>
      <c r="CI2573">
        <v>1.75</v>
      </c>
      <c r="CJ2573">
        <v>-0.19</v>
      </c>
      <c r="CK2573">
        <v>1.59</v>
      </c>
      <c r="CL2573">
        <v>14.42</v>
      </c>
      <c r="CM2573">
        <v>0</v>
      </c>
      <c r="CN2573">
        <v>-1.57</v>
      </c>
      <c r="CO2573">
        <v>38538</v>
      </c>
      <c r="CP2573">
        <v>18001</v>
      </c>
      <c r="CQ2573" t="s">
        <v>7582</v>
      </c>
      <c r="CR2573">
        <v>1.8</v>
      </c>
      <c r="CS2573">
        <v>18.14</v>
      </c>
      <c r="CT2573">
        <v>3.54</v>
      </c>
      <c r="CU2573">
        <v>-356035.28</v>
      </c>
      <c r="CV2573">
        <v>4.93</v>
      </c>
      <c r="CW2573">
        <v>0</v>
      </c>
      <c r="CX2573" t="s">
        <v>3926</v>
      </c>
      <c r="CY2573">
        <v>1.64</v>
      </c>
      <c r="CZ2573">
        <v>0</v>
      </c>
      <c r="DA2573">
        <v>0</v>
      </c>
      <c r="DB2573">
        <v>1.04</v>
      </c>
      <c r="DC2573">
        <v>0</v>
      </c>
      <c r="DD2573">
        <v>34.75</v>
      </c>
      <c r="DE2573" t="s">
        <v>6920</v>
      </c>
      <c r="DF2573">
        <v>28.43</v>
      </c>
      <c r="DG2573">
        <v>11.67</v>
      </c>
      <c r="DH2573">
        <v>10.7</v>
      </c>
      <c r="DI2573">
        <v>0</v>
      </c>
      <c r="DJ2573">
        <v>2916</v>
      </c>
      <c r="DK2573">
        <v>600217</v>
      </c>
      <c r="DL2573" t="s">
        <v>120</v>
      </c>
      <c r="DM2573" t="s">
        <v>120</v>
      </c>
      <c r="DN2573" t="s">
        <v>120</v>
      </c>
    </row>
    <row r="2574" spans="1:118">
      <c r="A2574" t="str">
        <f>"600218"</f>
        <v>600218</v>
      </c>
      <c r="B2574" t="s">
        <v>11751</v>
      </c>
      <c r="C2574">
        <v>-5.92</v>
      </c>
      <c r="D2574">
        <v>-0.22</v>
      </c>
      <c r="E2574">
        <v>0.43</v>
      </c>
      <c r="F2574">
        <v>6122</v>
      </c>
      <c r="G2574" t="s">
        <v>9732</v>
      </c>
      <c r="H2574">
        <v>45243.360000000001</v>
      </c>
      <c r="I2574">
        <v>349.71</v>
      </c>
      <c r="J2574" t="s">
        <v>120</v>
      </c>
      <c r="K2574" t="s">
        <v>11752</v>
      </c>
      <c r="L2574">
        <v>8.89</v>
      </c>
      <c r="M2574">
        <v>13.2</v>
      </c>
      <c r="N2574">
        <v>0.83</v>
      </c>
      <c r="O2574">
        <v>2.2799999999999998</v>
      </c>
      <c r="P2574">
        <v>14.35</v>
      </c>
      <c r="Q2574">
        <v>-5.92</v>
      </c>
      <c r="R2574">
        <v>13.2</v>
      </c>
      <c r="S2574">
        <v>14.09</v>
      </c>
      <c r="T2574">
        <v>327660</v>
      </c>
      <c r="U2574">
        <v>13.21</v>
      </c>
      <c r="V2574">
        <v>14.03</v>
      </c>
      <c r="W2574">
        <v>25.36</v>
      </c>
      <c r="X2574" t="s">
        <v>2079</v>
      </c>
      <c r="Y2574" t="s">
        <v>570</v>
      </c>
      <c r="Z2574">
        <v>8.1999999999999993</v>
      </c>
      <c r="AA2574">
        <v>13.81</v>
      </c>
      <c r="AB2574">
        <v>179485</v>
      </c>
      <c r="AC2574">
        <v>148175</v>
      </c>
      <c r="AD2574">
        <v>1.21</v>
      </c>
      <c r="AE2574">
        <v>142</v>
      </c>
      <c r="AF2574">
        <v>317</v>
      </c>
      <c r="AG2574" t="s">
        <v>120</v>
      </c>
      <c r="AH2574">
        <v>0.1</v>
      </c>
      <c r="AI2574" t="s">
        <v>120</v>
      </c>
      <c r="AJ2574">
        <v>3.69</v>
      </c>
      <c r="AK2574" t="s">
        <v>11753</v>
      </c>
      <c r="AL2574">
        <v>-4.57</v>
      </c>
      <c r="AM2574">
        <v>4168</v>
      </c>
      <c r="AN2574">
        <v>79</v>
      </c>
      <c r="AO2574">
        <v>2.0999999999999999E-3</v>
      </c>
      <c r="AP2574">
        <v>-1</v>
      </c>
      <c r="AQ2574">
        <v>2.41</v>
      </c>
      <c r="AR2574">
        <v>-1.93</v>
      </c>
      <c r="AS2574">
        <v>-20.68</v>
      </c>
      <c r="AT2574">
        <v>51.2</v>
      </c>
      <c r="AU2574">
        <v>46.18</v>
      </c>
      <c r="AV2574">
        <v>6</v>
      </c>
      <c r="AW2574">
        <v>13.53</v>
      </c>
      <c r="AX2574">
        <v>55.6</v>
      </c>
      <c r="AY2574">
        <v>32.65</v>
      </c>
      <c r="AZ2574">
        <v>35.44</v>
      </c>
      <c r="BA2574">
        <v>0.88</v>
      </c>
      <c r="BB2574" t="s">
        <v>143</v>
      </c>
      <c r="BF2574">
        <v>-1.58</v>
      </c>
      <c r="BG2574">
        <v>-6.32</v>
      </c>
      <c r="BH2574">
        <v>-8.01</v>
      </c>
      <c r="BI2574">
        <v>0</v>
      </c>
      <c r="BJ2574">
        <v>20210910</v>
      </c>
      <c r="BK2574">
        <v>19981203</v>
      </c>
      <c r="BL2574">
        <v>4.3600000000000003</v>
      </c>
      <c r="BM2574" t="s">
        <v>120</v>
      </c>
      <c r="BN2574" t="s">
        <v>120</v>
      </c>
      <c r="BO2574">
        <v>48.81</v>
      </c>
      <c r="BP2574">
        <v>13.2</v>
      </c>
      <c r="BQ2574">
        <v>22.61</v>
      </c>
      <c r="BR2574">
        <v>0.68</v>
      </c>
      <c r="BS2574">
        <v>52.29</v>
      </c>
      <c r="BT2574">
        <v>37.22</v>
      </c>
      <c r="BU2574">
        <v>8.98</v>
      </c>
      <c r="BV2574">
        <v>0.54</v>
      </c>
      <c r="BW2574">
        <v>23.95</v>
      </c>
      <c r="BX2574">
        <v>3.61</v>
      </c>
      <c r="BY2574">
        <v>6.22</v>
      </c>
      <c r="BZ2574">
        <v>13.19</v>
      </c>
      <c r="CA2574" t="s">
        <v>120</v>
      </c>
      <c r="CB2574">
        <v>10.43</v>
      </c>
      <c r="CC2574">
        <v>26.98</v>
      </c>
      <c r="CD2574">
        <v>23.67</v>
      </c>
      <c r="CE2574">
        <v>1.29</v>
      </c>
      <c r="CF2574">
        <v>0.05</v>
      </c>
      <c r="CG2574">
        <v>1.29</v>
      </c>
      <c r="CH2574">
        <v>1.1100000000000001</v>
      </c>
      <c r="CI2574">
        <v>1.1299999999999999</v>
      </c>
      <c r="CJ2574">
        <v>-0.83</v>
      </c>
      <c r="CK2574">
        <v>0.97</v>
      </c>
      <c r="CL2574">
        <v>6.8</v>
      </c>
      <c r="CM2574">
        <v>-0.45</v>
      </c>
      <c r="CN2574">
        <v>-1.07</v>
      </c>
      <c r="CO2574">
        <v>41460</v>
      </c>
      <c r="CP2574">
        <v>5842</v>
      </c>
      <c r="CQ2574" t="s">
        <v>3428</v>
      </c>
      <c r="CR2574">
        <v>14.94</v>
      </c>
      <c r="CS2574">
        <v>24.39</v>
      </c>
      <c r="CT2574">
        <v>2.15</v>
      </c>
      <c r="CU2574">
        <v>-127.04</v>
      </c>
      <c r="CV2574">
        <v>2.13</v>
      </c>
      <c r="CW2574">
        <v>0.6</v>
      </c>
      <c r="CX2574" t="s">
        <v>2752</v>
      </c>
      <c r="CY2574">
        <v>6.13</v>
      </c>
      <c r="CZ2574">
        <v>6.13</v>
      </c>
      <c r="DA2574">
        <v>2.4</v>
      </c>
      <c r="DB2574">
        <v>1.56</v>
      </c>
      <c r="DC2574">
        <v>-0.1</v>
      </c>
      <c r="DD2574">
        <v>46.32</v>
      </c>
      <c r="DE2574" t="s">
        <v>3715</v>
      </c>
      <c r="DF2574">
        <v>12.28</v>
      </c>
      <c r="DG2574">
        <v>4.7699999999999996</v>
      </c>
      <c r="DH2574">
        <v>4.2</v>
      </c>
      <c r="DI2574">
        <v>0.86</v>
      </c>
      <c r="DJ2574">
        <v>2922</v>
      </c>
      <c r="DK2574">
        <v>600218</v>
      </c>
      <c r="DL2574">
        <v>20210812</v>
      </c>
      <c r="DM2574">
        <v>12.96</v>
      </c>
      <c r="DN2574">
        <v>1.85</v>
      </c>
    </row>
    <row r="2575" spans="1:118">
      <c r="A2575" t="str">
        <f>"600219"</f>
        <v>600219</v>
      </c>
      <c r="B2575" t="s">
        <v>11754</v>
      </c>
      <c r="C2575">
        <v>-1.69</v>
      </c>
      <c r="D2575">
        <v>0</v>
      </c>
      <c r="E2575">
        <v>1.88</v>
      </c>
      <c r="F2575">
        <v>25986</v>
      </c>
      <c r="G2575" t="s">
        <v>11755</v>
      </c>
      <c r="H2575">
        <v>142430.81</v>
      </c>
      <c r="I2575">
        <v>878.76</v>
      </c>
      <c r="J2575" t="s">
        <v>120</v>
      </c>
      <c r="K2575" t="s">
        <v>11756</v>
      </c>
      <c r="L2575">
        <v>2.23</v>
      </c>
      <c r="M2575">
        <v>5.22</v>
      </c>
      <c r="N2575">
        <v>0.78</v>
      </c>
      <c r="O2575">
        <v>4.33</v>
      </c>
      <c r="P2575">
        <v>5.54</v>
      </c>
      <c r="Q2575">
        <v>-2.82</v>
      </c>
      <c r="R2575">
        <v>5.16</v>
      </c>
      <c r="S2575">
        <v>5.41</v>
      </c>
      <c r="T2575">
        <v>2664005</v>
      </c>
      <c r="U2575">
        <v>5.22</v>
      </c>
      <c r="V2575">
        <v>5.31</v>
      </c>
      <c r="W2575">
        <v>20.7</v>
      </c>
      <c r="X2575" t="s">
        <v>1325</v>
      </c>
      <c r="Y2575" t="s">
        <v>638</v>
      </c>
      <c r="Z2575">
        <v>7.16</v>
      </c>
      <c r="AA2575">
        <v>5.35</v>
      </c>
      <c r="AB2575">
        <v>1397309</v>
      </c>
      <c r="AC2575">
        <v>1266695</v>
      </c>
      <c r="AD2575">
        <v>1.1000000000000001</v>
      </c>
      <c r="AE2575">
        <v>3077</v>
      </c>
      <c r="AF2575">
        <v>1850</v>
      </c>
      <c r="AG2575" t="s">
        <v>120</v>
      </c>
      <c r="AH2575">
        <v>0.02</v>
      </c>
      <c r="AI2575" t="s">
        <v>120</v>
      </c>
      <c r="AJ2575">
        <v>119.5</v>
      </c>
      <c r="AK2575" t="s">
        <v>11756</v>
      </c>
      <c r="AL2575">
        <v>-0.35</v>
      </c>
      <c r="AM2575">
        <v>4720</v>
      </c>
      <c r="AN2575">
        <v>564</v>
      </c>
      <c r="AO2575">
        <v>5.0000000000000001E-4</v>
      </c>
      <c r="AP2575">
        <v>-3</v>
      </c>
      <c r="AQ2575">
        <v>-1.85</v>
      </c>
      <c r="AR2575">
        <v>-13</v>
      </c>
      <c r="AS2575">
        <v>-5.61</v>
      </c>
      <c r="AT2575">
        <v>47.66</v>
      </c>
      <c r="AU2575">
        <v>68.11</v>
      </c>
      <c r="AV2575">
        <v>8</v>
      </c>
      <c r="AW2575">
        <v>4.08</v>
      </c>
      <c r="AX2575">
        <v>54.68</v>
      </c>
      <c r="AY2575">
        <v>23.44</v>
      </c>
      <c r="AZ2575">
        <v>30.96</v>
      </c>
      <c r="BA2575">
        <v>1.27</v>
      </c>
      <c r="BB2575" t="s">
        <v>125</v>
      </c>
      <c r="BF2575">
        <v>0.69</v>
      </c>
      <c r="BG2575">
        <v>-3.51</v>
      </c>
      <c r="BH2575">
        <v>-5.78</v>
      </c>
      <c r="BI2575">
        <v>1.1599999999999999</v>
      </c>
      <c r="BJ2575">
        <v>20210827</v>
      </c>
      <c r="BK2575">
        <v>19991223</v>
      </c>
      <c r="BL2575">
        <v>119.5</v>
      </c>
      <c r="BM2575" t="s">
        <v>120</v>
      </c>
      <c r="BN2575" t="s">
        <v>120</v>
      </c>
      <c r="BO2575">
        <v>601</v>
      </c>
      <c r="BP2575">
        <v>5.21</v>
      </c>
      <c r="BQ2575">
        <v>412.31</v>
      </c>
      <c r="BR2575">
        <v>42.82</v>
      </c>
      <c r="BS2575">
        <v>24.27</v>
      </c>
      <c r="BT2575">
        <v>273.61</v>
      </c>
      <c r="BU2575">
        <v>250.64</v>
      </c>
      <c r="BV2575">
        <v>23.46</v>
      </c>
      <c r="BW2575">
        <v>137.53</v>
      </c>
      <c r="BX2575">
        <v>159.94</v>
      </c>
      <c r="BY2575">
        <v>53.04</v>
      </c>
      <c r="BZ2575">
        <v>27.66</v>
      </c>
      <c r="CA2575" t="s">
        <v>120</v>
      </c>
      <c r="CB2575">
        <v>165.25</v>
      </c>
      <c r="CC2575">
        <v>125.4</v>
      </c>
      <c r="CD2575">
        <v>92.98</v>
      </c>
      <c r="CE2575">
        <v>17.47</v>
      </c>
      <c r="CF2575">
        <v>0.27</v>
      </c>
      <c r="CG2575">
        <v>17.47</v>
      </c>
      <c r="CH2575">
        <v>15.64</v>
      </c>
      <c r="CI2575">
        <v>15.07</v>
      </c>
      <c r="CJ2575">
        <v>-0.09</v>
      </c>
      <c r="CK2575">
        <v>14.62</v>
      </c>
      <c r="CL2575">
        <v>116.73</v>
      </c>
      <c r="CM2575">
        <v>22.01</v>
      </c>
      <c r="CN2575">
        <v>13.55</v>
      </c>
      <c r="CO2575">
        <v>206249</v>
      </c>
      <c r="CP2575">
        <v>31683</v>
      </c>
      <c r="CQ2575" t="s">
        <v>11757</v>
      </c>
      <c r="CR2575">
        <v>77.56</v>
      </c>
      <c r="CS2575">
        <v>22.98</v>
      </c>
      <c r="CT2575">
        <v>1.51</v>
      </c>
      <c r="CU2575">
        <v>28.34</v>
      </c>
      <c r="CV2575">
        <v>4.97</v>
      </c>
      <c r="CW2575">
        <v>1.04</v>
      </c>
      <c r="CX2575" t="s">
        <v>986</v>
      </c>
      <c r="CY2575">
        <v>3.45</v>
      </c>
      <c r="CZ2575">
        <v>0</v>
      </c>
      <c r="DA2575">
        <v>1.38</v>
      </c>
      <c r="DB2575">
        <v>0.98</v>
      </c>
      <c r="DC2575">
        <v>0.18</v>
      </c>
      <c r="DD2575">
        <v>68.599999999999994</v>
      </c>
      <c r="DE2575" t="s">
        <v>11758</v>
      </c>
      <c r="DF2575">
        <v>25.86</v>
      </c>
      <c r="DG2575">
        <v>13.93</v>
      </c>
      <c r="DH2575">
        <v>12.02</v>
      </c>
      <c r="DI2575">
        <v>8.89</v>
      </c>
      <c r="DJ2575">
        <v>18584</v>
      </c>
      <c r="DK2575">
        <v>600219</v>
      </c>
      <c r="DL2575" t="s">
        <v>120</v>
      </c>
      <c r="DM2575" t="s">
        <v>120</v>
      </c>
      <c r="DN2575" t="s">
        <v>120</v>
      </c>
    </row>
    <row r="2576" spans="1:118">
      <c r="A2576" t="str">
        <f>"600220"</f>
        <v>600220</v>
      </c>
      <c r="B2576" t="s">
        <v>11759</v>
      </c>
      <c r="C2576">
        <v>-1.1499999999999999</v>
      </c>
      <c r="D2576">
        <v>0</v>
      </c>
      <c r="E2576">
        <v>0.77</v>
      </c>
      <c r="F2576">
        <v>1738</v>
      </c>
      <c r="G2576" t="s">
        <v>11760</v>
      </c>
      <c r="H2576">
        <v>3945.26</v>
      </c>
      <c r="I2576">
        <v>1.68</v>
      </c>
      <c r="J2576" t="s">
        <v>120</v>
      </c>
      <c r="K2576" t="s">
        <v>11761</v>
      </c>
      <c r="L2576">
        <v>0.85</v>
      </c>
      <c r="M2576">
        <v>2.57</v>
      </c>
      <c r="N2576">
        <v>0.7</v>
      </c>
      <c r="O2576">
        <v>1.92</v>
      </c>
      <c r="P2576">
        <v>2.65</v>
      </c>
      <c r="Q2576">
        <v>-1.92</v>
      </c>
      <c r="R2576">
        <v>2.5499999999999998</v>
      </c>
      <c r="S2576">
        <v>2.62</v>
      </c>
      <c r="T2576">
        <v>151081</v>
      </c>
      <c r="U2576">
        <v>2.58</v>
      </c>
      <c r="V2576">
        <v>2.6</v>
      </c>
      <c r="W2576">
        <v>374.18</v>
      </c>
      <c r="X2576" t="s">
        <v>1766</v>
      </c>
      <c r="Y2576" t="s">
        <v>319</v>
      </c>
      <c r="Z2576">
        <v>3.85</v>
      </c>
      <c r="AA2576">
        <v>2.61</v>
      </c>
      <c r="AB2576">
        <v>92293</v>
      </c>
      <c r="AC2576">
        <v>58788</v>
      </c>
      <c r="AD2576">
        <v>1.57</v>
      </c>
      <c r="AE2576">
        <v>1241</v>
      </c>
      <c r="AF2576">
        <v>2801</v>
      </c>
      <c r="AG2576" t="s">
        <v>120</v>
      </c>
      <c r="AH2576">
        <v>0</v>
      </c>
      <c r="AI2576" t="s">
        <v>120</v>
      </c>
      <c r="AJ2576">
        <v>17.829999999999998</v>
      </c>
      <c r="AK2576" t="s">
        <v>11761</v>
      </c>
      <c r="AL2576">
        <v>0.19</v>
      </c>
      <c r="AM2576">
        <v>2119</v>
      </c>
      <c r="AN2576">
        <v>71</v>
      </c>
      <c r="AO2576">
        <v>4.0000000000000002E-4</v>
      </c>
      <c r="AP2576">
        <v>-1</v>
      </c>
      <c r="AQ2576">
        <v>1.17</v>
      </c>
      <c r="AR2576">
        <v>-0.39</v>
      </c>
      <c r="AS2576">
        <v>25.37</v>
      </c>
      <c r="AT2576">
        <v>16.82</v>
      </c>
      <c r="AU2576">
        <v>-9.51</v>
      </c>
      <c r="AV2576">
        <v>2</v>
      </c>
      <c r="AW2576">
        <v>1.29</v>
      </c>
      <c r="AX2576">
        <v>65.77</v>
      </c>
      <c r="AY2576">
        <v>85.46</v>
      </c>
      <c r="AZ2576">
        <v>291.33999999999997</v>
      </c>
      <c r="BA2576">
        <v>0.69</v>
      </c>
      <c r="BB2576" t="s">
        <v>184</v>
      </c>
      <c r="BF2576">
        <v>0.44</v>
      </c>
      <c r="BG2576">
        <v>-1.91</v>
      </c>
      <c r="BH2576">
        <v>-3.02</v>
      </c>
      <c r="BI2576">
        <v>0.78</v>
      </c>
      <c r="BJ2576">
        <v>20210827</v>
      </c>
      <c r="BK2576">
        <v>19990927</v>
      </c>
      <c r="BL2576">
        <v>17.829999999999998</v>
      </c>
      <c r="BM2576" t="s">
        <v>120</v>
      </c>
      <c r="BN2576" t="s">
        <v>120</v>
      </c>
      <c r="BO2576">
        <v>45.99</v>
      </c>
      <c r="BP2576">
        <v>2.57</v>
      </c>
      <c r="BQ2576">
        <v>19.940000000000001</v>
      </c>
      <c r="BR2576">
        <v>2.52</v>
      </c>
      <c r="BS2576">
        <v>51.15</v>
      </c>
      <c r="BT2576">
        <v>21.9</v>
      </c>
      <c r="BU2576">
        <v>14.02</v>
      </c>
      <c r="BV2576">
        <v>2.67</v>
      </c>
      <c r="BW2576">
        <v>23.43</v>
      </c>
      <c r="BX2576">
        <v>3.39</v>
      </c>
      <c r="BY2576">
        <v>11.26</v>
      </c>
      <c r="BZ2576">
        <v>5.9</v>
      </c>
      <c r="CA2576" t="s">
        <v>120</v>
      </c>
      <c r="CB2576">
        <v>0</v>
      </c>
      <c r="CC2576">
        <v>8.16</v>
      </c>
      <c r="CD2576">
        <v>6.52</v>
      </c>
      <c r="CE2576">
        <v>0.01</v>
      </c>
      <c r="CF2576">
        <v>7.0000000000000007E-2</v>
      </c>
      <c r="CG2576">
        <v>0.02</v>
      </c>
      <c r="CH2576">
        <v>0.02</v>
      </c>
      <c r="CI2576">
        <v>0.06</v>
      </c>
      <c r="CJ2576">
        <v>-0.03</v>
      </c>
      <c r="CK2576">
        <v>0.03</v>
      </c>
      <c r="CL2576">
        <v>2.5099999999999998</v>
      </c>
      <c r="CM2576">
        <v>1.62</v>
      </c>
      <c r="CN2576">
        <v>-1.2</v>
      </c>
      <c r="CO2576">
        <v>99451</v>
      </c>
      <c r="CP2576">
        <v>11794</v>
      </c>
      <c r="CQ2576" t="s">
        <v>5738</v>
      </c>
      <c r="CR2576">
        <v>119.01</v>
      </c>
      <c r="CS2576">
        <v>3.09</v>
      </c>
      <c r="CT2576">
        <v>2.2999999999999998</v>
      </c>
      <c r="CU2576">
        <v>28.27</v>
      </c>
      <c r="CV2576">
        <v>5.62</v>
      </c>
      <c r="CW2576">
        <v>0.38</v>
      </c>
      <c r="CX2576" t="s">
        <v>1097</v>
      </c>
      <c r="CY2576">
        <v>1.1200000000000001</v>
      </c>
      <c r="CZ2576">
        <v>0</v>
      </c>
      <c r="DA2576">
        <v>0</v>
      </c>
      <c r="DB2576">
        <v>0.14000000000000001</v>
      </c>
      <c r="DC2576">
        <v>0.09</v>
      </c>
      <c r="DD2576">
        <v>43.37</v>
      </c>
      <c r="DE2576" t="s">
        <v>6978</v>
      </c>
      <c r="DF2576">
        <v>20.11</v>
      </c>
      <c r="DG2576">
        <v>0.12</v>
      </c>
      <c r="DH2576">
        <v>0.75</v>
      </c>
      <c r="DI2576">
        <v>7.0000000000000007E-2</v>
      </c>
      <c r="DJ2576">
        <v>4792</v>
      </c>
      <c r="DK2576">
        <v>600220</v>
      </c>
      <c r="DL2576" t="s">
        <v>120</v>
      </c>
      <c r="DM2576" t="s">
        <v>120</v>
      </c>
      <c r="DN2576" t="s">
        <v>120</v>
      </c>
    </row>
    <row r="2577" spans="1:118">
      <c r="A2577" t="str">
        <f>"600222"</f>
        <v>600222</v>
      </c>
      <c r="B2577" t="s">
        <v>11762</v>
      </c>
      <c r="C2577">
        <v>6.28</v>
      </c>
      <c r="D2577">
        <v>0.1</v>
      </c>
      <c r="E2577">
        <v>0</v>
      </c>
      <c r="F2577">
        <v>3958</v>
      </c>
      <c r="G2577" t="s">
        <v>11763</v>
      </c>
      <c r="H2577">
        <v>42233.79</v>
      </c>
      <c r="I2577">
        <v>36.67</v>
      </c>
      <c r="J2577" t="s">
        <v>120</v>
      </c>
      <c r="K2577" t="s">
        <v>11764</v>
      </c>
      <c r="L2577">
        <v>7.38</v>
      </c>
      <c r="M2577">
        <v>10.15</v>
      </c>
      <c r="N2577">
        <v>1.44</v>
      </c>
      <c r="O2577">
        <v>8.69</v>
      </c>
      <c r="P2577">
        <v>10.38</v>
      </c>
      <c r="Q2577">
        <v>-1.1499999999999999</v>
      </c>
      <c r="R2577">
        <v>9.44</v>
      </c>
      <c r="S2577">
        <v>9.5500000000000007</v>
      </c>
      <c r="T2577">
        <v>423704</v>
      </c>
      <c r="U2577">
        <v>10.15</v>
      </c>
      <c r="V2577">
        <v>9.5500000000000007</v>
      </c>
      <c r="W2577">
        <v>107.15</v>
      </c>
      <c r="X2577" t="s">
        <v>771</v>
      </c>
      <c r="Y2577" t="s">
        <v>645</v>
      </c>
      <c r="Z2577">
        <v>9.84</v>
      </c>
      <c r="AA2577">
        <v>9.9700000000000006</v>
      </c>
      <c r="AB2577">
        <v>197141</v>
      </c>
      <c r="AC2577">
        <v>226563</v>
      </c>
      <c r="AD2577">
        <v>0.87</v>
      </c>
      <c r="AE2577">
        <v>324</v>
      </c>
      <c r="AF2577">
        <v>1426</v>
      </c>
      <c r="AG2577" t="s">
        <v>120</v>
      </c>
      <c r="AH2577">
        <v>0.01</v>
      </c>
      <c r="AI2577" t="s">
        <v>120</v>
      </c>
      <c r="AJ2577">
        <v>5.74</v>
      </c>
      <c r="AK2577" t="s">
        <v>11764</v>
      </c>
      <c r="AL2577">
        <v>7.63</v>
      </c>
      <c r="AM2577">
        <v>3842</v>
      </c>
      <c r="AN2577">
        <v>110</v>
      </c>
      <c r="AO2577">
        <v>1.9E-3</v>
      </c>
      <c r="AP2577">
        <v>2</v>
      </c>
      <c r="AQ2577">
        <v>4.37</v>
      </c>
      <c r="AR2577">
        <v>10.33</v>
      </c>
      <c r="AS2577">
        <v>27.19</v>
      </c>
      <c r="AT2577">
        <v>53.93</v>
      </c>
      <c r="AU2577">
        <v>103.24</v>
      </c>
      <c r="AV2577">
        <v>0</v>
      </c>
      <c r="AW2577">
        <v>10.41</v>
      </c>
      <c r="AX2577">
        <v>70.900000000000006</v>
      </c>
      <c r="AY2577">
        <v>184.7</v>
      </c>
      <c r="AZ2577">
        <v>187.43</v>
      </c>
      <c r="BA2577">
        <v>0.06</v>
      </c>
      <c r="BB2577" t="s">
        <v>184</v>
      </c>
      <c r="BF2577">
        <v>4.37</v>
      </c>
      <c r="BG2577">
        <v>6.28</v>
      </c>
      <c r="BH2577">
        <v>-2.2200000000000002</v>
      </c>
      <c r="BI2577">
        <v>7.52</v>
      </c>
      <c r="BJ2577">
        <v>20210830</v>
      </c>
      <c r="BK2577">
        <v>19991105</v>
      </c>
      <c r="BL2577">
        <v>5.74</v>
      </c>
      <c r="BM2577" t="s">
        <v>120</v>
      </c>
      <c r="BN2577" t="s">
        <v>120</v>
      </c>
      <c r="BO2577">
        <v>36.56</v>
      </c>
      <c r="BP2577">
        <v>10.14</v>
      </c>
      <c r="BQ2577">
        <v>16.899999999999999</v>
      </c>
      <c r="BR2577">
        <v>1.19</v>
      </c>
      <c r="BS2577">
        <v>50.53</v>
      </c>
      <c r="BT2577">
        <v>18.3</v>
      </c>
      <c r="BU2577">
        <v>4.5999999999999996</v>
      </c>
      <c r="BV2577">
        <v>0.55000000000000004</v>
      </c>
      <c r="BW2577">
        <v>14.84</v>
      </c>
      <c r="BX2577">
        <v>3.8</v>
      </c>
      <c r="BY2577">
        <v>3.45</v>
      </c>
      <c r="BZ2577">
        <v>5.86</v>
      </c>
      <c r="CA2577" t="s">
        <v>120</v>
      </c>
      <c r="CB2577">
        <v>5.88</v>
      </c>
      <c r="CC2577">
        <v>7.52</v>
      </c>
      <c r="CD2577">
        <v>5.4</v>
      </c>
      <c r="CE2577">
        <v>0.24</v>
      </c>
      <c r="CF2577">
        <v>0.01</v>
      </c>
      <c r="CG2577">
        <v>0.31</v>
      </c>
      <c r="CH2577">
        <v>0.28000000000000003</v>
      </c>
      <c r="CI2577">
        <v>0.27</v>
      </c>
      <c r="CJ2577">
        <v>0.6</v>
      </c>
      <c r="CK2577">
        <v>0.27</v>
      </c>
      <c r="CL2577">
        <v>2.02</v>
      </c>
      <c r="CM2577">
        <v>7.0000000000000007E-2</v>
      </c>
      <c r="CN2577">
        <v>-1.32</v>
      </c>
      <c r="CO2577">
        <v>36216</v>
      </c>
      <c r="CP2577">
        <v>11236</v>
      </c>
      <c r="CQ2577" t="s">
        <v>8817</v>
      </c>
      <c r="CR2577">
        <v>1.62</v>
      </c>
      <c r="CS2577">
        <v>16.07</v>
      </c>
      <c r="CT2577">
        <v>3.45</v>
      </c>
      <c r="CU2577">
        <v>789.93</v>
      </c>
      <c r="CV2577">
        <v>7.75</v>
      </c>
      <c r="CW2577">
        <v>0.16</v>
      </c>
      <c r="CX2577" t="s">
        <v>1248</v>
      </c>
      <c r="CY2577">
        <v>2.94</v>
      </c>
      <c r="CZ2577">
        <v>0</v>
      </c>
      <c r="DA2577">
        <v>1.02</v>
      </c>
      <c r="DB2577">
        <v>0.35</v>
      </c>
      <c r="DC2577">
        <v>0.01</v>
      </c>
      <c r="DD2577">
        <v>46.22</v>
      </c>
      <c r="DE2577" t="s">
        <v>8669</v>
      </c>
      <c r="DF2577">
        <v>28.22</v>
      </c>
      <c r="DG2577">
        <v>3.17</v>
      </c>
      <c r="DH2577">
        <v>3.62</v>
      </c>
      <c r="DI2577">
        <v>0.28999999999999998</v>
      </c>
      <c r="DJ2577">
        <v>1958</v>
      </c>
      <c r="DK2577">
        <v>600222</v>
      </c>
      <c r="DL2577" t="s">
        <v>120</v>
      </c>
      <c r="DM2577" t="s">
        <v>120</v>
      </c>
      <c r="DN2577" t="s">
        <v>120</v>
      </c>
    </row>
    <row r="2578" spans="1:118">
      <c r="A2578" t="str">
        <f>"600223"</f>
        <v>600223</v>
      </c>
      <c r="B2578" t="s">
        <v>11765</v>
      </c>
      <c r="C2578">
        <v>-6.93</v>
      </c>
      <c r="D2578">
        <v>0</v>
      </c>
      <c r="E2578">
        <v>0</v>
      </c>
      <c r="F2578">
        <v>5516</v>
      </c>
      <c r="G2578" t="s">
        <v>11766</v>
      </c>
      <c r="H2578">
        <v>27770.92</v>
      </c>
      <c r="I2578">
        <v>50.19</v>
      </c>
      <c r="J2578" t="s">
        <v>120</v>
      </c>
      <c r="K2578" t="s">
        <v>11767</v>
      </c>
      <c r="L2578">
        <v>2.12</v>
      </c>
      <c r="M2578">
        <v>12.49</v>
      </c>
      <c r="N2578">
        <v>0.91</v>
      </c>
      <c r="O2578">
        <v>0.52</v>
      </c>
      <c r="P2578">
        <v>13.49</v>
      </c>
      <c r="Q2578">
        <v>-7.08</v>
      </c>
      <c r="R2578">
        <v>12.47</v>
      </c>
      <c r="S2578">
        <v>13.42</v>
      </c>
      <c r="T2578">
        <v>213846</v>
      </c>
      <c r="U2578">
        <v>12.49</v>
      </c>
      <c r="V2578">
        <v>13.42</v>
      </c>
      <c r="W2578">
        <v>20.260000000000002</v>
      </c>
      <c r="X2578" t="s">
        <v>150</v>
      </c>
      <c r="Y2578" t="s">
        <v>638</v>
      </c>
      <c r="Z2578">
        <v>7.6</v>
      </c>
      <c r="AA2578">
        <v>12.99</v>
      </c>
      <c r="AB2578">
        <v>124104</v>
      </c>
      <c r="AC2578">
        <v>89742</v>
      </c>
      <c r="AD2578">
        <v>1.38</v>
      </c>
      <c r="AE2578">
        <v>360</v>
      </c>
      <c r="AF2578">
        <v>1527</v>
      </c>
      <c r="AG2578" t="s">
        <v>120</v>
      </c>
      <c r="AH2578">
        <v>0.01</v>
      </c>
      <c r="AI2578" t="s">
        <v>120</v>
      </c>
      <c r="AJ2578">
        <v>10.09</v>
      </c>
      <c r="AK2578" t="s">
        <v>11767</v>
      </c>
      <c r="AL2578">
        <v>-5.59</v>
      </c>
      <c r="AM2578">
        <v>3747</v>
      </c>
      <c r="AN2578">
        <v>57</v>
      </c>
      <c r="AO2578">
        <v>5.9999999999999995E-4</v>
      </c>
      <c r="AP2578">
        <v>-1</v>
      </c>
      <c r="AQ2578">
        <v>0.15</v>
      </c>
      <c r="AR2578">
        <v>-8.9600000000000009</v>
      </c>
      <c r="AS2578">
        <v>-1.19</v>
      </c>
      <c r="AT2578">
        <v>-15.89</v>
      </c>
      <c r="AU2578">
        <v>50.12</v>
      </c>
      <c r="AV2578">
        <v>7</v>
      </c>
      <c r="AW2578">
        <v>4.68</v>
      </c>
      <c r="AX2578">
        <v>45.32</v>
      </c>
      <c r="AY2578">
        <v>19.07</v>
      </c>
      <c r="AZ2578">
        <v>21.2</v>
      </c>
      <c r="BA2578">
        <v>0.79</v>
      </c>
      <c r="BB2578" t="s">
        <v>143</v>
      </c>
      <c r="BF2578">
        <v>-3.23</v>
      </c>
      <c r="BG2578">
        <v>-6.93</v>
      </c>
      <c r="BH2578">
        <v>-7.41</v>
      </c>
      <c r="BI2578">
        <v>0.16</v>
      </c>
      <c r="BJ2578">
        <v>20210826</v>
      </c>
      <c r="BK2578">
        <v>20000113</v>
      </c>
      <c r="BL2578">
        <v>10.09</v>
      </c>
      <c r="BM2578" t="s">
        <v>120</v>
      </c>
      <c r="BN2578" t="s">
        <v>120</v>
      </c>
      <c r="BO2578">
        <v>627.76</v>
      </c>
      <c r="BP2578">
        <v>12.48</v>
      </c>
      <c r="BQ2578">
        <v>41.52</v>
      </c>
      <c r="BR2578">
        <v>23.76</v>
      </c>
      <c r="BS2578">
        <v>89.6</v>
      </c>
      <c r="BT2578">
        <v>600.92999999999995</v>
      </c>
      <c r="BU2578">
        <v>9.6300000000000008</v>
      </c>
      <c r="BV2578">
        <v>2.13</v>
      </c>
      <c r="BW2578">
        <v>515.08000000000004</v>
      </c>
      <c r="BX2578">
        <v>47.85</v>
      </c>
      <c r="BY2578">
        <v>486.49</v>
      </c>
      <c r="BZ2578">
        <v>2.5</v>
      </c>
      <c r="CA2578" t="s">
        <v>120</v>
      </c>
      <c r="CB2578">
        <v>0.43</v>
      </c>
      <c r="CC2578">
        <v>40.67</v>
      </c>
      <c r="CD2578">
        <v>28.01</v>
      </c>
      <c r="CE2578">
        <v>4</v>
      </c>
      <c r="CF2578">
        <v>0.83</v>
      </c>
      <c r="CG2578">
        <v>3.94</v>
      </c>
      <c r="CH2578">
        <v>3.16</v>
      </c>
      <c r="CI2578">
        <v>3.11</v>
      </c>
      <c r="CJ2578">
        <v>-0.93</v>
      </c>
      <c r="CK2578">
        <v>3.1</v>
      </c>
      <c r="CL2578">
        <v>20.48</v>
      </c>
      <c r="CM2578">
        <v>34.44</v>
      </c>
      <c r="CN2578">
        <v>-3.32</v>
      </c>
      <c r="CO2578">
        <v>69674</v>
      </c>
      <c r="CP2578">
        <v>6564</v>
      </c>
      <c r="CQ2578" t="s">
        <v>8944</v>
      </c>
      <c r="CR2578">
        <v>29.76</v>
      </c>
      <c r="CS2578">
        <v>14.69</v>
      </c>
      <c r="CT2578">
        <v>3.88</v>
      </c>
      <c r="CU2578">
        <v>3.66</v>
      </c>
      <c r="CV2578">
        <v>3.1</v>
      </c>
      <c r="CW2578">
        <v>1.49</v>
      </c>
      <c r="CX2578" t="s">
        <v>2752</v>
      </c>
      <c r="CY2578">
        <v>3.22</v>
      </c>
      <c r="CZ2578">
        <v>3.22</v>
      </c>
      <c r="DA2578">
        <v>0.04</v>
      </c>
      <c r="DB2578">
        <v>2.0299999999999998</v>
      </c>
      <c r="DC2578">
        <v>3.41</v>
      </c>
      <c r="DD2578">
        <v>6.61</v>
      </c>
      <c r="DE2578" t="s">
        <v>11768</v>
      </c>
      <c r="DF2578">
        <v>31.14</v>
      </c>
      <c r="DG2578">
        <v>9.83</v>
      </c>
      <c r="DH2578">
        <v>7.65</v>
      </c>
      <c r="DI2578">
        <v>0.51</v>
      </c>
      <c r="DJ2578">
        <v>4288</v>
      </c>
      <c r="DK2578">
        <v>600223</v>
      </c>
      <c r="DL2578" t="s">
        <v>120</v>
      </c>
      <c r="DM2578" t="s">
        <v>120</v>
      </c>
      <c r="DN2578" t="s">
        <v>120</v>
      </c>
    </row>
    <row r="2579" spans="1:118">
      <c r="A2579" t="str">
        <f>"600227"</f>
        <v>600227</v>
      </c>
      <c r="B2579" t="s">
        <v>11769</v>
      </c>
      <c r="C2579">
        <v>3.32</v>
      </c>
      <c r="D2579">
        <v>-0.48</v>
      </c>
      <c r="E2579">
        <v>5.87</v>
      </c>
      <c r="F2579">
        <v>10008</v>
      </c>
      <c r="G2579" t="s">
        <v>10941</v>
      </c>
      <c r="H2579">
        <v>37291.019999999997</v>
      </c>
      <c r="I2579">
        <v>738.24</v>
      </c>
      <c r="J2579" t="s">
        <v>120</v>
      </c>
      <c r="K2579" t="s">
        <v>11770</v>
      </c>
      <c r="L2579">
        <v>7</v>
      </c>
      <c r="M2579">
        <v>4.05</v>
      </c>
      <c r="N2579">
        <v>2.35</v>
      </c>
      <c r="O2579">
        <v>9.9499999999999993</v>
      </c>
      <c r="P2579">
        <v>4.3099999999999996</v>
      </c>
      <c r="Q2579">
        <v>1.79</v>
      </c>
      <c r="R2579">
        <v>3.99</v>
      </c>
      <c r="S2579">
        <v>4.1500000000000004</v>
      </c>
      <c r="T2579">
        <v>894304</v>
      </c>
      <c r="U2579">
        <v>4.05</v>
      </c>
      <c r="V2579">
        <v>3.92</v>
      </c>
      <c r="W2579">
        <v>41.72</v>
      </c>
      <c r="X2579" t="s">
        <v>569</v>
      </c>
      <c r="Y2579" t="s">
        <v>1021</v>
      </c>
      <c r="Z2579">
        <v>8.16</v>
      </c>
      <c r="AA2579">
        <v>4.17</v>
      </c>
      <c r="AB2579">
        <v>519641</v>
      </c>
      <c r="AC2579">
        <v>374663</v>
      </c>
      <c r="AD2579">
        <v>1.39</v>
      </c>
      <c r="AE2579">
        <v>2135</v>
      </c>
      <c r="AF2579">
        <v>2514</v>
      </c>
      <c r="AG2579" t="s">
        <v>120</v>
      </c>
      <c r="AH2579">
        <v>0.17</v>
      </c>
      <c r="AI2579" t="s">
        <v>120</v>
      </c>
      <c r="AJ2579">
        <v>12.78</v>
      </c>
      <c r="AK2579" t="s">
        <v>7992</v>
      </c>
      <c r="AL2579">
        <v>4.66</v>
      </c>
      <c r="AM2579">
        <v>3641</v>
      </c>
      <c r="AN2579">
        <v>246</v>
      </c>
      <c r="AO2579">
        <v>1.9E-3</v>
      </c>
      <c r="AP2579">
        <v>2</v>
      </c>
      <c r="AQ2579">
        <v>3.7</v>
      </c>
      <c r="AR2579">
        <v>2.79</v>
      </c>
      <c r="AS2579">
        <v>19.11</v>
      </c>
      <c r="AT2579">
        <v>28.16</v>
      </c>
      <c r="AU2579">
        <v>44.64</v>
      </c>
      <c r="AV2579">
        <v>4</v>
      </c>
      <c r="AW2579">
        <v>8.7100000000000009</v>
      </c>
      <c r="AX2579">
        <v>60.68</v>
      </c>
      <c r="AY2579">
        <v>53.97</v>
      </c>
      <c r="AZ2579">
        <v>119.36</v>
      </c>
      <c r="BA2579">
        <v>0.76</v>
      </c>
      <c r="BB2579" t="s">
        <v>184</v>
      </c>
      <c r="BF2579">
        <v>6.37</v>
      </c>
      <c r="BG2579">
        <v>-2.41</v>
      </c>
      <c r="BH2579">
        <v>-6.03</v>
      </c>
      <c r="BI2579">
        <v>1.5</v>
      </c>
      <c r="BJ2579">
        <v>20210830</v>
      </c>
      <c r="BK2579">
        <v>20000221</v>
      </c>
      <c r="BL2579">
        <v>16.93</v>
      </c>
      <c r="BM2579" t="s">
        <v>120</v>
      </c>
      <c r="BN2579" t="s">
        <v>120</v>
      </c>
      <c r="BO2579">
        <v>47.77</v>
      </c>
      <c r="BP2579">
        <v>4.04</v>
      </c>
      <c r="BQ2579">
        <v>33.04</v>
      </c>
      <c r="BR2579">
        <v>7.0000000000000007E-2</v>
      </c>
      <c r="BS2579">
        <v>30.69</v>
      </c>
      <c r="BT2579">
        <v>17.170000000000002</v>
      </c>
      <c r="BU2579">
        <v>20.239999999999998</v>
      </c>
      <c r="BV2579">
        <v>3.59</v>
      </c>
      <c r="BW2579">
        <v>13.29</v>
      </c>
      <c r="BX2579">
        <v>2.38</v>
      </c>
      <c r="BY2579">
        <v>2.56</v>
      </c>
      <c r="BZ2579">
        <v>8.6</v>
      </c>
      <c r="CA2579">
        <v>0</v>
      </c>
      <c r="CB2579">
        <v>25.84</v>
      </c>
      <c r="CC2579">
        <v>10.32</v>
      </c>
      <c r="CD2579">
        <v>8.06</v>
      </c>
      <c r="CE2579">
        <v>0.81</v>
      </c>
      <c r="CF2579">
        <v>0</v>
      </c>
      <c r="CG2579">
        <v>0.8</v>
      </c>
      <c r="CH2579">
        <v>0.8</v>
      </c>
      <c r="CI2579">
        <v>0.82</v>
      </c>
      <c r="CJ2579">
        <v>0.13</v>
      </c>
      <c r="CK2579">
        <v>0.8</v>
      </c>
      <c r="CL2579">
        <v>-12.88</v>
      </c>
      <c r="CM2579">
        <v>2.2200000000000002</v>
      </c>
      <c r="CN2579">
        <v>1.74</v>
      </c>
      <c r="CO2579">
        <v>70934</v>
      </c>
      <c r="CP2579">
        <v>14483</v>
      </c>
      <c r="CQ2579" t="s">
        <v>6036</v>
      </c>
      <c r="CR2579">
        <v>455.01</v>
      </c>
      <c r="CS2579">
        <v>35.840000000000003</v>
      </c>
      <c r="CT2579">
        <v>2.08</v>
      </c>
      <c r="CU2579">
        <v>30.92</v>
      </c>
      <c r="CV2579">
        <v>6.65</v>
      </c>
      <c r="CW2579">
        <v>0</v>
      </c>
      <c r="CX2579" t="s">
        <v>1603</v>
      </c>
      <c r="CY2579">
        <v>1.95</v>
      </c>
      <c r="CZ2579">
        <v>0</v>
      </c>
      <c r="DA2579">
        <v>1.53</v>
      </c>
      <c r="DB2579">
        <v>-0.76</v>
      </c>
      <c r="DC2579">
        <v>0.13</v>
      </c>
      <c r="DD2579">
        <v>69.16</v>
      </c>
      <c r="DE2579" t="s">
        <v>7107</v>
      </c>
      <c r="DF2579">
        <v>21.89</v>
      </c>
      <c r="DG2579">
        <v>7.84</v>
      </c>
      <c r="DH2579">
        <v>7.96</v>
      </c>
      <c r="DI2579">
        <v>0.37</v>
      </c>
      <c r="DJ2579">
        <v>1213</v>
      </c>
      <c r="DK2579">
        <v>600227</v>
      </c>
      <c r="DL2579" t="s">
        <v>120</v>
      </c>
      <c r="DM2579" t="s">
        <v>120</v>
      </c>
      <c r="DN2579" t="s">
        <v>120</v>
      </c>
    </row>
    <row r="2580" spans="1:118">
      <c r="A2580" t="str">
        <f>"600228"</f>
        <v>600228</v>
      </c>
      <c r="B2580" t="s">
        <v>11771</v>
      </c>
      <c r="C2580">
        <v>-0.55000000000000004</v>
      </c>
      <c r="D2580">
        <v>0</v>
      </c>
      <c r="E2580">
        <v>0</v>
      </c>
      <c r="F2580">
        <v>80</v>
      </c>
      <c r="G2580" t="s">
        <v>11772</v>
      </c>
      <c r="H2580">
        <v>1199.3</v>
      </c>
      <c r="I2580">
        <v>0</v>
      </c>
      <c r="J2580" t="s">
        <v>120</v>
      </c>
      <c r="K2580" t="s">
        <v>8636</v>
      </c>
      <c r="L2580">
        <v>0.69</v>
      </c>
      <c r="M2580">
        <v>7.18</v>
      </c>
      <c r="N2580">
        <v>0.74</v>
      </c>
      <c r="O2580">
        <v>2.2200000000000002</v>
      </c>
      <c r="P2580">
        <v>7.38</v>
      </c>
      <c r="Q2580">
        <v>-0.97</v>
      </c>
      <c r="R2580">
        <v>7.15</v>
      </c>
      <c r="S2580">
        <v>7.22</v>
      </c>
      <c r="T2580">
        <v>16603</v>
      </c>
      <c r="U2580">
        <v>7.19</v>
      </c>
      <c r="V2580">
        <v>7.22</v>
      </c>
      <c r="W2580">
        <v>73.42</v>
      </c>
      <c r="X2580" t="s">
        <v>1531</v>
      </c>
      <c r="Y2580" t="s">
        <v>676</v>
      </c>
      <c r="Z2580">
        <v>3.19</v>
      </c>
      <c r="AA2580">
        <v>7.22</v>
      </c>
      <c r="AB2580">
        <v>9092</v>
      </c>
      <c r="AC2580">
        <v>7511</v>
      </c>
      <c r="AD2580">
        <v>1.21</v>
      </c>
      <c r="AE2580">
        <v>103</v>
      </c>
      <c r="AF2580">
        <v>1</v>
      </c>
      <c r="AG2580" t="s">
        <v>120</v>
      </c>
      <c r="AH2580">
        <v>0</v>
      </c>
      <c r="AI2580" t="s">
        <v>120</v>
      </c>
      <c r="AJ2580">
        <v>2.41</v>
      </c>
      <c r="AK2580" t="s">
        <v>11773</v>
      </c>
      <c r="AL2580">
        <v>0.79</v>
      </c>
      <c r="AM2580">
        <v>984</v>
      </c>
      <c r="AN2580">
        <v>17</v>
      </c>
      <c r="AO2580">
        <v>6.9999999999999999E-4</v>
      </c>
      <c r="AP2580">
        <v>-3</v>
      </c>
      <c r="AQ2580">
        <v>-0.69</v>
      </c>
      <c r="AR2580">
        <v>-3.89</v>
      </c>
      <c r="AS2580">
        <v>-7.24</v>
      </c>
      <c r="AT2580">
        <v>-18.96</v>
      </c>
      <c r="AU2580">
        <v>-34.9</v>
      </c>
      <c r="AV2580">
        <v>13</v>
      </c>
      <c r="AW2580">
        <v>0.92</v>
      </c>
      <c r="AX2580">
        <v>21.81</v>
      </c>
      <c r="AY2580" t="s">
        <v>120</v>
      </c>
      <c r="AZ2580" t="s">
        <v>120</v>
      </c>
      <c r="BA2580">
        <v>1.0900000000000001</v>
      </c>
      <c r="BB2580" t="s">
        <v>240</v>
      </c>
      <c r="BF2580">
        <v>0.05</v>
      </c>
      <c r="BG2580">
        <v>-0.55000000000000004</v>
      </c>
      <c r="BH2580">
        <v>-2.71</v>
      </c>
      <c r="BI2580">
        <v>0.42</v>
      </c>
      <c r="BJ2580">
        <v>20210830</v>
      </c>
      <c r="BK2580">
        <v>19990119</v>
      </c>
      <c r="BL2580">
        <v>8.23</v>
      </c>
      <c r="BM2580" t="s">
        <v>120</v>
      </c>
      <c r="BN2580" t="s">
        <v>120</v>
      </c>
      <c r="BO2580">
        <v>11.15</v>
      </c>
      <c r="BP2580">
        <v>7.18</v>
      </c>
      <c r="BQ2580">
        <v>3.39</v>
      </c>
      <c r="BR2580" t="s">
        <v>120</v>
      </c>
      <c r="BS2580">
        <v>69.599999999999994</v>
      </c>
      <c r="BT2580">
        <v>11.01</v>
      </c>
      <c r="BU2580">
        <v>0.01</v>
      </c>
      <c r="BV2580">
        <v>0.01</v>
      </c>
      <c r="BW2580">
        <v>7.62</v>
      </c>
      <c r="BX2580">
        <v>8.6300000000000008</v>
      </c>
      <c r="BY2580">
        <v>0</v>
      </c>
      <c r="BZ2580">
        <v>1.1299999999999999</v>
      </c>
      <c r="CA2580" t="s">
        <v>120</v>
      </c>
      <c r="CB2580">
        <v>-6.74</v>
      </c>
      <c r="CC2580">
        <v>2.16</v>
      </c>
      <c r="CD2580">
        <v>0.67</v>
      </c>
      <c r="CE2580">
        <v>0.45</v>
      </c>
      <c r="CF2580">
        <v>0</v>
      </c>
      <c r="CG2580">
        <v>0.45</v>
      </c>
      <c r="CH2580">
        <v>0.4</v>
      </c>
      <c r="CI2580">
        <v>0.4</v>
      </c>
      <c r="CJ2580">
        <v>-0.04</v>
      </c>
      <c r="CK2580">
        <v>0.4</v>
      </c>
      <c r="CL2580">
        <v>1.4</v>
      </c>
      <c r="CM2580">
        <v>-0.25</v>
      </c>
      <c r="CN2580">
        <v>-0.25</v>
      </c>
      <c r="CO2580">
        <v>15437</v>
      </c>
      <c r="CP2580">
        <v>11634</v>
      </c>
      <c r="CQ2580" t="s">
        <v>6203</v>
      </c>
      <c r="CR2580">
        <v>-39.08</v>
      </c>
      <c r="CS2580">
        <v>2.02</v>
      </c>
      <c r="CT2580">
        <v>17.440000000000001</v>
      </c>
      <c r="CU2580">
        <v>-235.83</v>
      </c>
      <c r="CV2580">
        <v>27.33</v>
      </c>
      <c r="CW2580">
        <v>0</v>
      </c>
      <c r="CX2580" t="s">
        <v>1248</v>
      </c>
      <c r="CY2580">
        <v>0.41</v>
      </c>
      <c r="CZ2580">
        <v>0</v>
      </c>
      <c r="DA2580">
        <v>-0.82</v>
      </c>
      <c r="DB2580">
        <v>0.17</v>
      </c>
      <c r="DC2580">
        <v>-0.03</v>
      </c>
      <c r="DD2580">
        <v>30.4</v>
      </c>
      <c r="DE2580" t="s">
        <v>1833</v>
      </c>
      <c r="DF2580">
        <v>68.95</v>
      </c>
      <c r="DG2580">
        <v>20.65</v>
      </c>
      <c r="DH2580">
        <v>18.61</v>
      </c>
      <c r="DI2580">
        <v>0.26</v>
      </c>
      <c r="DJ2580">
        <v>177</v>
      </c>
      <c r="DK2580">
        <v>600228</v>
      </c>
      <c r="DL2580" t="s">
        <v>120</v>
      </c>
      <c r="DM2580" t="s">
        <v>120</v>
      </c>
      <c r="DN2580" t="s">
        <v>120</v>
      </c>
    </row>
    <row r="2581" spans="1:118">
      <c r="A2581" t="str">
        <f>"600229"</f>
        <v>600229</v>
      </c>
      <c r="B2581" t="s">
        <v>11774</v>
      </c>
      <c r="C2581">
        <v>-2.44</v>
      </c>
      <c r="D2581">
        <v>-0.65</v>
      </c>
      <c r="E2581">
        <v>0.32</v>
      </c>
      <c r="F2581">
        <v>4431</v>
      </c>
      <c r="G2581" t="s">
        <v>11775</v>
      </c>
      <c r="H2581">
        <v>3143.94</v>
      </c>
      <c r="I2581">
        <v>13.16</v>
      </c>
      <c r="J2581" t="s">
        <v>120</v>
      </c>
      <c r="K2581" t="s">
        <v>11776</v>
      </c>
      <c r="L2581">
        <v>0.73</v>
      </c>
      <c r="M2581">
        <v>6.01</v>
      </c>
      <c r="N2581">
        <v>0.7</v>
      </c>
      <c r="O2581">
        <v>0.65</v>
      </c>
      <c r="P2581">
        <v>6.2</v>
      </c>
      <c r="Q2581">
        <v>-2.44</v>
      </c>
      <c r="R2581">
        <v>6.01</v>
      </c>
      <c r="S2581">
        <v>6.18</v>
      </c>
      <c r="T2581">
        <v>51316</v>
      </c>
      <c r="U2581">
        <v>6.03</v>
      </c>
      <c r="V2581">
        <v>6.16</v>
      </c>
      <c r="W2581">
        <v>11.9</v>
      </c>
      <c r="X2581" t="s">
        <v>1730</v>
      </c>
      <c r="Y2581" t="s">
        <v>638</v>
      </c>
      <c r="Z2581">
        <v>3.08</v>
      </c>
      <c r="AA2581">
        <v>6.13</v>
      </c>
      <c r="AB2581">
        <v>32787</v>
      </c>
      <c r="AC2581">
        <v>18529</v>
      </c>
      <c r="AD2581">
        <v>1.77</v>
      </c>
      <c r="AE2581">
        <v>1455</v>
      </c>
      <c r="AF2581">
        <v>192</v>
      </c>
      <c r="AG2581" t="s">
        <v>120</v>
      </c>
      <c r="AH2581">
        <v>0.01</v>
      </c>
      <c r="AI2581" t="s">
        <v>120</v>
      </c>
      <c r="AJ2581">
        <v>7.02</v>
      </c>
      <c r="AK2581" t="s">
        <v>11776</v>
      </c>
      <c r="AL2581">
        <v>-1.0900000000000001</v>
      </c>
      <c r="AM2581">
        <v>1377</v>
      </c>
      <c r="AN2581">
        <v>37</v>
      </c>
      <c r="AO2581">
        <v>5.0000000000000001E-4</v>
      </c>
      <c r="AP2581">
        <v>-2</v>
      </c>
      <c r="AQ2581">
        <v>-1.44</v>
      </c>
      <c r="AR2581">
        <v>-0.33</v>
      </c>
      <c r="AS2581">
        <v>5.99</v>
      </c>
      <c r="AT2581">
        <v>1.01</v>
      </c>
      <c r="AU2581">
        <v>-8.81</v>
      </c>
      <c r="AV2581">
        <v>0</v>
      </c>
      <c r="AW2581">
        <v>1.75</v>
      </c>
      <c r="AX2581">
        <v>41.71</v>
      </c>
      <c r="AY2581">
        <v>19.61</v>
      </c>
      <c r="AZ2581">
        <v>17.690000000000001</v>
      </c>
      <c r="BA2581">
        <v>0.48</v>
      </c>
      <c r="BB2581" t="s">
        <v>143</v>
      </c>
      <c r="BF2581">
        <v>-0.54</v>
      </c>
      <c r="BG2581">
        <v>-2.75</v>
      </c>
      <c r="BH2581">
        <v>-3.06</v>
      </c>
      <c r="BI2581">
        <v>0</v>
      </c>
      <c r="BJ2581">
        <v>20210915</v>
      </c>
      <c r="BK2581">
        <v>20000309</v>
      </c>
      <c r="BL2581">
        <v>7.02</v>
      </c>
      <c r="BM2581" t="s">
        <v>120</v>
      </c>
      <c r="BN2581" t="s">
        <v>120</v>
      </c>
      <c r="BO2581">
        <v>42.73</v>
      </c>
      <c r="BP2581">
        <v>6.01</v>
      </c>
      <c r="BQ2581">
        <v>29.57</v>
      </c>
      <c r="BR2581">
        <v>7.0000000000000007E-2</v>
      </c>
      <c r="BS2581">
        <v>30.62</v>
      </c>
      <c r="BT2581">
        <v>24.09</v>
      </c>
      <c r="BU2581">
        <v>4.08</v>
      </c>
      <c r="BV2581">
        <v>2.84</v>
      </c>
      <c r="BW2581">
        <v>12.76</v>
      </c>
      <c r="BX2581">
        <v>12.74</v>
      </c>
      <c r="BY2581">
        <v>4.87</v>
      </c>
      <c r="BZ2581">
        <v>4.49</v>
      </c>
      <c r="CA2581">
        <v>0.06</v>
      </c>
      <c r="CB2581">
        <v>4.42</v>
      </c>
      <c r="CC2581">
        <v>11.9</v>
      </c>
      <c r="CD2581">
        <v>7.51</v>
      </c>
      <c r="CE2581">
        <v>1.78</v>
      </c>
      <c r="CF2581">
        <v>-0.01</v>
      </c>
      <c r="CG2581">
        <v>1.78</v>
      </c>
      <c r="CH2581">
        <v>1.77</v>
      </c>
      <c r="CI2581">
        <v>1.77</v>
      </c>
      <c r="CJ2581">
        <v>-0.15</v>
      </c>
      <c r="CK2581">
        <v>1.76</v>
      </c>
      <c r="CL2581">
        <v>17.18</v>
      </c>
      <c r="CM2581">
        <v>0.94</v>
      </c>
      <c r="CN2581">
        <v>0.33</v>
      </c>
      <c r="CO2581">
        <v>33000</v>
      </c>
      <c r="CP2581">
        <v>8875</v>
      </c>
      <c r="CQ2581" t="s">
        <v>5037</v>
      </c>
      <c r="CR2581">
        <v>-11.88</v>
      </c>
      <c r="CS2581">
        <v>15.47</v>
      </c>
      <c r="CT2581">
        <v>1.43</v>
      </c>
      <c r="CU2581">
        <v>44.79</v>
      </c>
      <c r="CV2581">
        <v>3.55</v>
      </c>
      <c r="CW2581">
        <v>2.44</v>
      </c>
      <c r="CX2581" t="s">
        <v>11198</v>
      </c>
      <c r="CY2581">
        <v>4.21</v>
      </c>
      <c r="CZ2581">
        <v>0</v>
      </c>
      <c r="DA2581">
        <v>0.63</v>
      </c>
      <c r="DB2581">
        <v>2.4500000000000002</v>
      </c>
      <c r="DC2581">
        <v>0.13</v>
      </c>
      <c r="DD2581">
        <v>69.209999999999994</v>
      </c>
      <c r="DE2581" t="s">
        <v>9575</v>
      </c>
      <c r="DF2581">
        <v>36.86</v>
      </c>
      <c r="DG2581">
        <v>14.95</v>
      </c>
      <c r="DH2581">
        <v>14.9</v>
      </c>
      <c r="DI2581">
        <v>0.01</v>
      </c>
      <c r="DJ2581">
        <v>1764</v>
      </c>
      <c r="DK2581">
        <v>600229</v>
      </c>
      <c r="DL2581" t="s">
        <v>120</v>
      </c>
      <c r="DM2581" t="s">
        <v>120</v>
      </c>
      <c r="DN2581" t="s">
        <v>120</v>
      </c>
    </row>
    <row r="2582" spans="1:118">
      <c r="A2582" t="str">
        <f>"600230"</f>
        <v>600230</v>
      </c>
      <c r="B2582" t="s">
        <v>11777</v>
      </c>
      <c r="C2582">
        <v>-5.75</v>
      </c>
      <c r="D2582">
        <v>0.1</v>
      </c>
      <c r="E2582">
        <v>1.04</v>
      </c>
      <c r="F2582">
        <v>4234</v>
      </c>
      <c r="G2582" t="s">
        <v>11778</v>
      </c>
      <c r="H2582">
        <v>61230.14</v>
      </c>
      <c r="I2582">
        <v>373.34</v>
      </c>
      <c r="J2582" t="s">
        <v>120</v>
      </c>
      <c r="K2582" t="s">
        <v>11779</v>
      </c>
      <c r="L2582">
        <v>6.86</v>
      </c>
      <c r="M2582">
        <v>20.81</v>
      </c>
      <c r="N2582">
        <v>0.89</v>
      </c>
      <c r="O2582">
        <v>2.63</v>
      </c>
      <c r="P2582">
        <v>22.66</v>
      </c>
      <c r="Q2582">
        <v>-5.89</v>
      </c>
      <c r="R2582">
        <v>20.78</v>
      </c>
      <c r="S2582">
        <v>22.31</v>
      </c>
      <c r="T2582">
        <v>282434</v>
      </c>
      <c r="U2582">
        <v>20.81</v>
      </c>
      <c r="V2582">
        <v>22.08</v>
      </c>
      <c r="W2582">
        <v>24.9</v>
      </c>
      <c r="X2582" t="s">
        <v>690</v>
      </c>
      <c r="Y2582" t="s">
        <v>602</v>
      </c>
      <c r="Z2582">
        <v>8.51</v>
      </c>
      <c r="AA2582">
        <v>21.68</v>
      </c>
      <c r="AB2582">
        <v>161466</v>
      </c>
      <c r="AC2582">
        <v>120968</v>
      </c>
      <c r="AD2582">
        <v>1.33</v>
      </c>
      <c r="AE2582">
        <v>311</v>
      </c>
      <c r="AF2582">
        <v>165</v>
      </c>
      <c r="AG2582" t="s">
        <v>120</v>
      </c>
      <c r="AH2582">
        <v>0.08</v>
      </c>
      <c r="AI2582" t="s">
        <v>120</v>
      </c>
      <c r="AJ2582">
        <v>4.12</v>
      </c>
      <c r="AK2582" t="s">
        <v>11780</v>
      </c>
      <c r="AL2582">
        <v>-4.41</v>
      </c>
      <c r="AM2582">
        <v>4218</v>
      </c>
      <c r="AN2582">
        <v>67</v>
      </c>
      <c r="AO2582">
        <v>1.6000000000000001E-3</v>
      </c>
      <c r="AP2582">
        <v>-1</v>
      </c>
      <c r="AQ2582">
        <v>6.67</v>
      </c>
      <c r="AR2582">
        <v>-4.45</v>
      </c>
      <c r="AS2582">
        <v>24.61</v>
      </c>
      <c r="AT2582">
        <v>79.17</v>
      </c>
      <c r="AU2582">
        <v>129.32</v>
      </c>
      <c r="AV2582">
        <v>9</v>
      </c>
      <c r="AW2582">
        <v>12.76</v>
      </c>
      <c r="AX2582">
        <v>52.89</v>
      </c>
      <c r="AY2582">
        <v>24.55</v>
      </c>
      <c r="AZ2582">
        <v>250.23</v>
      </c>
      <c r="BA2582">
        <v>1.1100000000000001</v>
      </c>
      <c r="BB2582" t="s">
        <v>184</v>
      </c>
      <c r="BF2582">
        <v>-1.81</v>
      </c>
      <c r="BG2582">
        <v>-6.72</v>
      </c>
      <c r="BH2582">
        <v>-8.16</v>
      </c>
      <c r="BI2582">
        <v>0.14000000000000001</v>
      </c>
      <c r="BJ2582">
        <v>20210805</v>
      </c>
      <c r="BK2582">
        <v>20000406</v>
      </c>
      <c r="BL2582">
        <v>4.1900000000000004</v>
      </c>
      <c r="BM2582" t="s">
        <v>120</v>
      </c>
      <c r="BN2582" t="s">
        <v>120</v>
      </c>
      <c r="BO2582">
        <v>68.88</v>
      </c>
      <c r="BP2582">
        <v>20.8</v>
      </c>
      <c r="BQ2582">
        <v>37.409999999999997</v>
      </c>
      <c r="BR2582">
        <v>3.24</v>
      </c>
      <c r="BS2582">
        <v>40.99</v>
      </c>
      <c r="BT2582">
        <v>17.53</v>
      </c>
      <c r="BU2582">
        <v>16.53</v>
      </c>
      <c r="BV2582">
        <v>1.68</v>
      </c>
      <c r="BW2582">
        <v>15.74</v>
      </c>
      <c r="BX2582">
        <v>8.82</v>
      </c>
      <c r="BY2582">
        <v>1.83</v>
      </c>
      <c r="BZ2582">
        <v>0</v>
      </c>
      <c r="CA2582" t="s">
        <v>120</v>
      </c>
      <c r="CB2582">
        <v>5.58</v>
      </c>
      <c r="CC2582">
        <v>12.04</v>
      </c>
      <c r="CD2582">
        <v>9.3000000000000007</v>
      </c>
      <c r="CE2582">
        <v>1.85</v>
      </c>
      <c r="CF2582">
        <v>0</v>
      </c>
      <c r="CG2582">
        <v>1.96</v>
      </c>
      <c r="CH2582">
        <v>1.63</v>
      </c>
      <c r="CI2582">
        <v>1.75</v>
      </c>
      <c r="CJ2582">
        <v>-1.27</v>
      </c>
      <c r="CK2582">
        <v>1.65</v>
      </c>
      <c r="CL2582">
        <v>25.32</v>
      </c>
      <c r="CM2582">
        <v>2.25</v>
      </c>
      <c r="CN2582">
        <v>-5.43</v>
      </c>
      <c r="CO2582">
        <v>36104</v>
      </c>
      <c r="CP2582">
        <v>6132</v>
      </c>
      <c r="CQ2582" t="s">
        <v>9654</v>
      </c>
      <c r="CR2582">
        <v>206.22</v>
      </c>
      <c r="CS2582">
        <v>106.37</v>
      </c>
      <c r="CT2582">
        <v>2.33</v>
      </c>
      <c r="CU2582">
        <v>38.65</v>
      </c>
      <c r="CV2582">
        <v>7.24</v>
      </c>
      <c r="CW2582">
        <v>7.0000000000000007E-2</v>
      </c>
      <c r="CX2582" t="s">
        <v>11781</v>
      </c>
      <c r="CY2582">
        <v>8.94</v>
      </c>
      <c r="CZ2582">
        <v>0</v>
      </c>
      <c r="DA2582">
        <v>1.33</v>
      </c>
      <c r="DB2582">
        <v>6.05</v>
      </c>
      <c r="DC2582">
        <v>0.54</v>
      </c>
      <c r="DD2582">
        <v>54.31</v>
      </c>
      <c r="DE2582" t="s">
        <v>7055</v>
      </c>
      <c r="DF2582">
        <v>22.75</v>
      </c>
      <c r="DG2582">
        <v>15.38</v>
      </c>
      <c r="DH2582">
        <v>14.53</v>
      </c>
      <c r="DI2582">
        <v>0.11</v>
      </c>
      <c r="DJ2582">
        <v>1383</v>
      </c>
      <c r="DK2582">
        <v>600230</v>
      </c>
      <c r="DL2582" t="s">
        <v>120</v>
      </c>
      <c r="DM2582" t="s">
        <v>120</v>
      </c>
      <c r="DN2582" t="s">
        <v>120</v>
      </c>
    </row>
    <row r="2583" spans="1:118">
      <c r="A2583" t="str">
        <f>"600231"</f>
        <v>600231</v>
      </c>
      <c r="B2583" t="s">
        <v>11782</v>
      </c>
      <c r="C2583">
        <v>-2.38</v>
      </c>
      <c r="D2583">
        <v>0.27</v>
      </c>
      <c r="E2583">
        <v>1.32</v>
      </c>
      <c r="F2583">
        <v>3162</v>
      </c>
      <c r="G2583" t="s">
        <v>11783</v>
      </c>
      <c r="H2583">
        <v>22650.66</v>
      </c>
      <c r="I2583">
        <v>91.27</v>
      </c>
      <c r="J2583" t="s">
        <v>120</v>
      </c>
      <c r="K2583" t="s">
        <v>11784</v>
      </c>
      <c r="L2583">
        <v>2.08</v>
      </c>
      <c r="M2583">
        <v>3.69</v>
      </c>
      <c r="N2583">
        <v>0.79</v>
      </c>
      <c r="O2583">
        <v>4.2300000000000004</v>
      </c>
      <c r="P2583">
        <v>3.94</v>
      </c>
      <c r="Q2583">
        <v>-2.65</v>
      </c>
      <c r="R2583">
        <v>3.68</v>
      </c>
      <c r="S2583">
        <v>3.83</v>
      </c>
      <c r="T2583">
        <v>592365</v>
      </c>
      <c r="U2583">
        <v>3.69</v>
      </c>
      <c r="V2583">
        <v>3.78</v>
      </c>
      <c r="W2583">
        <v>6.87</v>
      </c>
      <c r="X2583" t="s">
        <v>1460</v>
      </c>
      <c r="Y2583" t="s">
        <v>432</v>
      </c>
      <c r="Z2583">
        <v>6.88</v>
      </c>
      <c r="AA2583">
        <v>3.82</v>
      </c>
      <c r="AB2583">
        <v>297072</v>
      </c>
      <c r="AC2583">
        <v>295293</v>
      </c>
      <c r="AD2583">
        <v>1.01</v>
      </c>
      <c r="AE2583">
        <v>4286</v>
      </c>
      <c r="AF2583">
        <v>250</v>
      </c>
      <c r="AG2583" t="s">
        <v>120</v>
      </c>
      <c r="AH2583">
        <v>0.03</v>
      </c>
      <c r="AI2583" t="s">
        <v>120</v>
      </c>
      <c r="AJ2583">
        <v>28.52</v>
      </c>
      <c r="AK2583" t="s">
        <v>11784</v>
      </c>
      <c r="AL2583">
        <v>-1.04</v>
      </c>
      <c r="AM2583">
        <v>3400</v>
      </c>
      <c r="AN2583">
        <v>174</v>
      </c>
      <c r="AO2583">
        <v>5.9999999999999995E-4</v>
      </c>
      <c r="AP2583">
        <v>-3</v>
      </c>
      <c r="AQ2583">
        <v>-1.05</v>
      </c>
      <c r="AR2583">
        <v>-8.67</v>
      </c>
      <c r="AS2583">
        <v>14.24</v>
      </c>
      <c r="AT2583">
        <v>32.25</v>
      </c>
      <c r="AU2583">
        <v>50.62</v>
      </c>
      <c r="AV2583">
        <v>4</v>
      </c>
      <c r="AW2583">
        <v>7.77</v>
      </c>
      <c r="AX2583">
        <v>26.74</v>
      </c>
      <c r="AY2583">
        <v>9.1999999999999993</v>
      </c>
      <c r="AZ2583">
        <v>19.32</v>
      </c>
      <c r="BA2583">
        <v>0.83</v>
      </c>
      <c r="BB2583" t="s">
        <v>125</v>
      </c>
      <c r="BF2583">
        <v>1.1599999999999999</v>
      </c>
      <c r="BG2583">
        <v>-3.66</v>
      </c>
      <c r="BH2583">
        <v>-6.35</v>
      </c>
      <c r="BI2583">
        <v>0.27</v>
      </c>
      <c r="BJ2583">
        <v>20210831</v>
      </c>
      <c r="BK2583">
        <v>20000511</v>
      </c>
      <c r="BL2583">
        <v>28.52</v>
      </c>
      <c r="BM2583" t="s">
        <v>120</v>
      </c>
      <c r="BN2583" t="s">
        <v>120</v>
      </c>
      <c r="BO2583">
        <v>180.44</v>
      </c>
      <c r="BP2583">
        <v>3.68</v>
      </c>
      <c r="BQ2583">
        <v>92.49</v>
      </c>
      <c r="BR2583" t="s">
        <v>120</v>
      </c>
      <c r="BS2583">
        <v>48.74</v>
      </c>
      <c r="BT2583">
        <v>87.17</v>
      </c>
      <c r="BU2583">
        <v>71.98</v>
      </c>
      <c r="BV2583">
        <v>5.22</v>
      </c>
      <c r="BW2583">
        <v>81.09</v>
      </c>
      <c r="BX2583">
        <v>40.770000000000003</v>
      </c>
      <c r="BY2583">
        <v>21.26</v>
      </c>
      <c r="BZ2583">
        <v>0.5</v>
      </c>
      <c r="CA2583" t="s">
        <v>120</v>
      </c>
      <c r="CB2583">
        <v>5.98</v>
      </c>
      <c r="CC2583">
        <v>126.06</v>
      </c>
      <c r="CD2583">
        <v>112.68</v>
      </c>
      <c r="CE2583">
        <v>10.33</v>
      </c>
      <c r="CF2583">
        <v>-0.35</v>
      </c>
      <c r="CG2583">
        <v>10.11</v>
      </c>
      <c r="CH2583">
        <v>7.66</v>
      </c>
      <c r="CI2583">
        <v>7.66</v>
      </c>
      <c r="CJ2583">
        <v>-0.09</v>
      </c>
      <c r="CK2583">
        <v>7.82</v>
      </c>
      <c r="CL2583">
        <v>47.72</v>
      </c>
      <c r="CM2583">
        <v>-1.81</v>
      </c>
      <c r="CN2583">
        <v>-0.2</v>
      </c>
      <c r="CO2583">
        <v>56802</v>
      </c>
      <c r="CP2583">
        <v>13429</v>
      </c>
      <c r="CQ2583" t="s">
        <v>6053</v>
      </c>
      <c r="CR2583">
        <v>404.02</v>
      </c>
      <c r="CS2583">
        <v>36.31</v>
      </c>
      <c r="CT2583">
        <v>1.1399999999999999</v>
      </c>
      <c r="CU2583">
        <v>-58.18</v>
      </c>
      <c r="CV2583">
        <v>0.83</v>
      </c>
      <c r="CW2583">
        <v>1.59</v>
      </c>
      <c r="CX2583" t="s">
        <v>1233</v>
      </c>
      <c r="CY2583">
        <v>3.23</v>
      </c>
      <c r="CZ2583">
        <v>3.23</v>
      </c>
      <c r="DA2583">
        <v>0.21</v>
      </c>
      <c r="DB2583">
        <v>1.67</v>
      </c>
      <c r="DC2583">
        <v>-0.06</v>
      </c>
      <c r="DD2583">
        <v>51.26</v>
      </c>
      <c r="DE2583" t="s">
        <v>11785</v>
      </c>
      <c r="DF2583">
        <v>10.61</v>
      </c>
      <c r="DG2583">
        <v>8.1999999999999993</v>
      </c>
      <c r="DH2583">
        <v>6.08</v>
      </c>
      <c r="DI2583">
        <v>0.04</v>
      </c>
      <c r="DJ2583">
        <v>7718</v>
      </c>
      <c r="DK2583">
        <v>600231</v>
      </c>
      <c r="DL2583" t="s">
        <v>120</v>
      </c>
      <c r="DM2583" t="s">
        <v>120</v>
      </c>
      <c r="DN2583" t="s">
        <v>120</v>
      </c>
    </row>
    <row r="2584" spans="1:118">
      <c r="A2584" t="str">
        <f>"600232"</f>
        <v>600232</v>
      </c>
      <c r="B2584" t="s">
        <v>11786</v>
      </c>
      <c r="C2584">
        <v>-0.75</v>
      </c>
      <c r="D2584">
        <v>0</v>
      </c>
      <c r="E2584">
        <v>0.37</v>
      </c>
      <c r="F2584">
        <v>35</v>
      </c>
      <c r="G2584" t="s">
        <v>245</v>
      </c>
      <c r="H2584">
        <v>1142.1600000000001</v>
      </c>
      <c r="I2584">
        <v>0</v>
      </c>
      <c r="J2584" t="s">
        <v>120</v>
      </c>
      <c r="K2584" t="s">
        <v>7152</v>
      </c>
      <c r="L2584">
        <v>0.57999999999999996</v>
      </c>
      <c r="M2584">
        <v>5.32</v>
      </c>
      <c r="N2584">
        <v>0.83</v>
      </c>
      <c r="O2584">
        <v>1.49</v>
      </c>
      <c r="P2584">
        <v>5.44</v>
      </c>
      <c r="Q2584">
        <v>-0.93</v>
      </c>
      <c r="R2584">
        <v>5.31</v>
      </c>
      <c r="S2584">
        <v>5.38</v>
      </c>
      <c r="T2584">
        <v>21283</v>
      </c>
      <c r="U2584">
        <v>5.32</v>
      </c>
      <c r="V2584">
        <v>5.36</v>
      </c>
      <c r="W2584">
        <v>73.28</v>
      </c>
      <c r="X2584" t="s">
        <v>1766</v>
      </c>
      <c r="Y2584" t="s">
        <v>585</v>
      </c>
      <c r="Z2584">
        <v>2.4300000000000002</v>
      </c>
      <c r="AA2584">
        <v>5.37</v>
      </c>
      <c r="AB2584">
        <v>10309</v>
      </c>
      <c r="AC2584">
        <v>10974</v>
      </c>
      <c r="AD2584">
        <v>0.94</v>
      </c>
      <c r="AE2584">
        <v>36</v>
      </c>
      <c r="AF2584">
        <v>49</v>
      </c>
      <c r="AG2584" t="s">
        <v>120</v>
      </c>
      <c r="AH2584">
        <v>0</v>
      </c>
      <c r="AI2584" t="s">
        <v>120</v>
      </c>
      <c r="AJ2584">
        <v>3.65</v>
      </c>
      <c r="AK2584" t="s">
        <v>7152</v>
      </c>
      <c r="AL2584">
        <v>0.6</v>
      </c>
      <c r="AM2584">
        <v>804</v>
      </c>
      <c r="AN2584">
        <v>26</v>
      </c>
      <c r="AO2584">
        <v>6.9999999999999999E-4</v>
      </c>
      <c r="AP2584">
        <v>-3</v>
      </c>
      <c r="AQ2584">
        <v>-0.19</v>
      </c>
      <c r="AR2584">
        <v>-2.39</v>
      </c>
      <c r="AS2584">
        <v>-1.3</v>
      </c>
      <c r="AT2584">
        <v>6.61</v>
      </c>
      <c r="AU2584">
        <v>-0.75</v>
      </c>
      <c r="AV2584">
        <v>0</v>
      </c>
      <c r="AW2584">
        <v>1.1299999999999999</v>
      </c>
      <c r="AX2584">
        <v>51.42</v>
      </c>
      <c r="AY2584">
        <v>83.33</v>
      </c>
      <c r="AZ2584">
        <v>61.45</v>
      </c>
      <c r="BA2584">
        <v>0.59</v>
      </c>
      <c r="BB2584" t="s">
        <v>143</v>
      </c>
      <c r="BF2584">
        <v>0.12</v>
      </c>
      <c r="BG2584">
        <v>-1.1200000000000001</v>
      </c>
      <c r="BH2584">
        <v>-2.21</v>
      </c>
      <c r="BI2584">
        <v>0.19</v>
      </c>
      <c r="BJ2584">
        <v>20210830</v>
      </c>
      <c r="BK2584">
        <v>20000602</v>
      </c>
      <c r="BL2584">
        <v>3.65</v>
      </c>
      <c r="BM2584" t="s">
        <v>120</v>
      </c>
      <c r="BN2584" t="s">
        <v>120</v>
      </c>
      <c r="BO2584">
        <v>17.71</v>
      </c>
      <c r="BP2584">
        <v>5.31</v>
      </c>
      <c r="BQ2584">
        <v>10.09</v>
      </c>
      <c r="BR2584">
        <v>0.47</v>
      </c>
      <c r="BS2584">
        <v>40.380000000000003</v>
      </c>
      <c r="BT2584">
        <v>13.42</v>
      </c>
      <c r="BU2584">
        <v>3.46</v>
      </c>
      <c r="BV2584">
        <v>0.54</v>
      </c>
      <c r="BW2584">
        <v>7.08</v>
      </c>
      <c r="BX2584">
        <v>2.89</v>
      </c>
      <c r="BY2584">
        <v>6.24</v>
      </c>
      <c r="BZ2584">
        <v>2.95</v>
      </c>
      <c r="CA2584" t="s">
        <v>120</v>
      </c>
      <c r="CB2584">
        <v>4</v>
      </c>
      <c r="CC2584">
        <v>5.18</v>
      </c>
      <c r="CD2584">
        <v>4.37</v>
      </c>
      <c r="CE2584">
        <v>0.15</v>
      </c>
      <c r="CF2584">
        <v>0</v>
      </c>
      <c r="CG2584">
        <v>0.14000000000000001</v>
      </c>
      <c r="CH2584">
        <v>0.11</v>
      </c>
      <c r="CI2584">
        <v>0.13</v>
      </c>
      <c r="CJ2584">
        <v>-0.04</v>
      </c>
      <c r="CK2584">
        <v>0.1</v>
      </c>
      <c r="CL2584">
        <v>1.61</v>
      </c>
      <c r="CM2584">
        <v>0</v>
      </c>
      <c r="CN2584">
        <v>-0.48</v>
      </c>
      <c r="CO2584">
        <v>22707</v>
      </c>
      <c r="CP2584">
        <v>8259</v>
      </c>
      <c r="CQ2584" t="s">
        <v>283</v>
      </c>
      <c r="CR2584">
        <v>-38.69</v>
      </c>
      <c r="CS2584">
        <v>24.79</v>
      </c>
      <c r="CT2584">
        <v>1.92</v>
      </c>
      <c r="CU2584">
        <v>10968.36</v>
      </c>
      <c r="CV2584">
        <v>3.75</v>
      </c>
      <c r="CW2584">
        <v>3.65</v>
      </c>
      <c r="CX2584" t="s">
        <v>145</v>
      </c>
      <c r="CY2584">
        <v>2.77</v>
      </c>
      <c r="CZ2584">
        <v>0</v>
      </c>
      <c r="DA2584">
        <v>1.1000000000000001</v>
      </c>
      <c r="DB2584">
        <v>0.44</v>
      </c>
      <c r="DC2584">
        <v>0</v>
      </c>
      <c r="DD2584">
        <v>56.96</v>
      </c>
      <c r="DE2584" t="s">
        <v>5272</v>
      </c>
      <c r="DF2584">
        <v>15.57</v>
      </c>
      <c r="DG2584">
        <v>2.81</v>
      </c>
      <c r="DH2584">
        <v>2.56</v>
      </c>
      <c r="DI2584">
        <v>0.13</v>
      </c>
      <c r="DJ2584">
        <v>2322</v>
      </c>
      <c r="DK2584">
        <v>600232</v>
      </c>
      <c r="DL2584" t="s">
        <v>120</v>
      </c>
      <c r="DM2584" t="s">
        <v>120</v>
      </c>
      <c r="DN2584" t="s">
        <v>120</v>
      </c>
    </row>
    <row r="2585" spans="1:118">
      <c r="A2585" t="str">
        <f>"600233"</f>
        <v>600233</v>
      </c>
      <c r="B2585" t="s">
        <v>11787</v>
      </c>
      <c r="C2585">
        <v>-1.32</v>
      </c>
      <c r="D2585">
        <v>-0.4</v>
      </c>
      <c r="E2585">
        <v>0.74</v>
      </c>
      <c r="F2585">
        <v>4956</v>
      </c>
      <c r="G2585" t="s">
        <v>11788</v>
      </c>
      <c r="H2585">
        <v>18607.830000000002</v>
      </c>
      <c r="I2585">
        <v>53.41</v>
      </c>
      <c r="J2585" t="s">
        <v>120</v>
      </c>
      <c r="K2585" t="s">
        <v>11789</v>
      </c>
      <c r="L2585">
        <v>0.49</v>
      </c>
      <c r="M2585">
        <v>12</v>
      </c>
      <c r="N2585">
        <v>0.47</v>
      </c>
      <c r="O2585">
        <v>1.1499999999999999</v>
      </c>
      <c r="P2585">
        <v>12.3</v>
      </c>
      <c r="Q2585">
        <v>-2.06</v>
      </c>
      <c r="R2585">
        <v>11.91</v>
      </c>
      <c r="S2585">
        <v>12.25</v>
      </c>
      <c r="T2585">
        <v>154110</v>
      </c>
      <c r="U2585">
        <v>12.01</v>
      </c>
      <c r="V2585">
        <v>12.16</v>
      </c>
      <c r="W2585">
        <v>29.37</v>
      </c>
      <c r="X2585" t="s">
        <v>2775</v>
      </c>
      <c r="Y2585" t="s">
        <v>432</v>
      </c>
      <c r="Z2585">
        <v>3.21</v>
      </c>
      <c r="AA2585">
        <v>12.07</v>
      </c>
      <c r="AB2585">
        <v>81389</v>
      </c>
      <c r="AC2585">
        <v>72721</v>
      </c>
      <c r="AD2585">
        <v>1.1200000000000001</v>
      </c>
      <c r="AE2585">
        <v>9153</v>
      </c>
      <c r="AF2585">
        <v>90</v>
      </c>
      <c r="AG2585" t="s">
        <v>120</v>
      </c>
      <c r="AH2585">
        <v>0</v>
      </c>
      <c r="AI2585" t="s">
        <v>120</v>
      </c>
      <c r="AJ2585">
        <v>31.6</v>
      </c>
      <c r="AK2585" t="s">
        <v>11790</v>
      </c>
      <c r="AL2585">
        <v>0.03</v>
      </c>
      <c r="AM2585">
        <v>3564</v>
      </c>
      <c r="AN2585">
        <v>43</v>
      </c>
      <c r="AO2585">
        <v>1E-4</v>
      </c>
      <c r="AP2585">
        <v>-2</v>
      </c>
      <c r="AQ2585">
        <v>-2.33</v>
      </c>
      <c r="AR2585">
        <v>-2.59</v>
      </c>
      <c r="AS2585">
        <v>30.15</v>
      </c>
      <c r="AT2585">
        <v>21.21</v>
      </c>
      <c r="AU2585">
        <v>5.73</v>
      </c>
      <c r="AV2585">
        <v>1</v>
      </c>
      <c r="AW2585">
        <v>1.23</v>
      </c>
      <c r="AX2585">
        <v>39.549999999999997</v>
      </c>
      <c r="AY2585">
        <v>26.66</v>
      </c>
      <c r="AZ2585">
        <v>21.75</v>
      </c>
      <c r="BA2585">
        <v>0.93</v>
      </c>
      <c r="BB2585" t="s">
        <v>125</v>
      </c>
      <c r="BF2585">
        <v>-0.7</v>
      </c>
      <c r="BG2585">
        <v>-2.04</v>
      </c>
      <c r="BH2585">
        <v>-2.44</v>
      </c>
      <c r="BI2585">
        <v>0.76</v>
      </c>
      <c r="BJ2585">
        <v>20210827</v>
      </c>
      <c r="BK2585">
        <v>20000608</v>
      </c>
      <c r="BL2585">
        <v>31.6</v>
      </c>
      <c r="BM2585" t="s">
        <v>120</v>
      </c>
      <c r="BN2585" t="s">
        <v>120</v>
      </c>
      <c r="BO2585">
        <v>277.70999999999998</v>
      </c>
      <c r="BP2585">
        <v>12</v>
      </c>
      <c r="BQ2585">
        <v>173.06</v>
      </c>
      <c r="BR2585">
        <v>4.04</v>
      </c>
      <c r="BS2585">
        <v>36.229999999999997</v>
      </c>
      <c r="BT2585">
        <v>79.930000000000007</v>
      </c>
      <c r="BU2585">
        <v>108.03</v>
      </c>
      <c r="BV2585">
        <v>41.18</v>
      </c>
      <c r="BW2585">
        <v>92.74</v>
      </c>
      <c r="BX2585">
        <v>40.159999999999997</v>
      </c>
      <c r="BY2585">
        <v>0.59</v>
      </c>
      <c r="BZ2585">
        <v>15.96</v>
      </c>
      <c r="CA2585">
        <v>5.1100000000000003</v>
      </c>
      <c r="CB2585">
        <v>93.95</v>
      </c>
      <c r="CC2585">
        <v>194.95</v>
      </c>
      <c r="CD2585">
        <v>181.22</v>
      </c>
      <c r="CE2585">
        <v>8.3699999999999992</v>
      </c>
      <c r="CF2585">
        <v>-0.11</v>
      </c>
      <c r="CG2585">
        <v>8.27</v>
      </c>
      <c r="CH2585">
        <v>6.75</v>
      </c>
      <c r="CI2585">
        <v>6.46</v>
      </c>
      <c r="CJ2585">
        <v>-0.16</v>
      </c>
      <c r="CK2585">
        <v>5.94</v>
      </c>
      <c r="CL2585">
        <v>70.22</v>
      </c>
      <c r="CM2585">
        <v>8.57</v>
      </c>
      <c r="CN2585">
        <v>-6.62</v>
      </c>
      <c r="CO2585">
        <v>82738</v>
      </c>
      <c r="CP2585">
        <v>15103</v>
      </c>
      <c r="CQ2585" t="s">
        <v>11791</v>
      </c>
      <c r="CR2585">
        <v>-33.5</v>
      </c>
      <c r="CS2585">
        <v>33.700000000000003</v>
      </c>
      <c r="CT2585">
        <v>2.19</v>
      </c>
      <c r="CU2585">
        <v>44.23</v>
      </c>
      <c r="CV2585">
        <v>1.95</v>
      </c>
      <c r="CW2585">
        <v>1.23</v>
      </c>
      <c r="CX2585" t="s">
        <v>492</v>
      </c>
      <c r="CY2585">
        <v>5.48</v>
      </c>
      <c r="CZ2585">
        <v>0</v>
      </c>
      <c r="DA2585">
        <v>2.97</v>
      </c>
      <c r="DB2585">
        <v>2.2200000000000002</v>
      </c>
      <c r="DC2585">
        <v>0.27</v>
      </c>
      <c r="DD2585">
        <v>62.32</v>
      </c>
      <c r="DE2585" t="s">
        <v>4130</v>
      </c>
      <c r="DF2585">
        <v>7.04</v>
      </c>
      <c r="DG2585">
        <v>4.29</v>
      </c>
      <c r="DH2585">
        <v>3.31</v>
      </c>
      <c r="DI2585">
        <v>0.25</v>
      </c>
      <c r="DJ2585">
        <v>13490</v>
      </c>
      <c r="DK2585">
        <v>600233</v>
      </c>
      <c r="DL2585" t="s">
        <v>120</v>
      </c>
      <c r="DM2585" t="s">
        <v>120</v>
      </c>
      <c r="DN2585" t="s">
        <v>120</v>
      </c>
    </row>
    <row r="2586" spans="1:118">
      <c r="A2586" t="str">
        <f>"600234"</f>
        <v>600234</v>
      </c>
      <c r="B2586" t="s">
        <v>11792</v>
      </c>
      <c r="C2586">
        <v>0.35</v>
      </c>
      <c r="D2586">
        <v>-0.08</v>
      </c>
      <c r="E2586">
        <v>-1.04</v>
      </c>
      <c r="F2586">
        <v>175</v>
      </c>
      <c r="G2586" t="s">
        <v>11793</v>
      </c>
      <c r="H2586">
        <v>1258.3800000000001</v>
      </c>
      <c r="I2586">
        <v>3.32</v>
      </c>
      <c r="J2586" t="s">
        <v>120</v>
      </c>
      <c r="K2586" t="s">
        <v>5160</v>
      </c>
      <c r="L2586">
        <v>0.53</v>
      </c>
      <c r="M2586">
        <v>11.6</v>
      </c>
      <c r="N2586">
        <v>1.44</v>
      </c>
      <c r="O2586">
        <v>3.29</v>
      </c>
      <c r="P2586">
        <v>11.94</v>
      </c>
      <c r="Q2586">
        <v>-1.04</v>
      </c>
      <c r="R2586">
        <v>11.44</v>
      </c>
      <c r="S2586">
        <v>11.44</v>
      </c>
      <c r="T2586">
        <v>10739</v>
      </c>
      <c r="U2586">
        <v>11.61</v>
      </c>
      <c r="V2586">
        <v>11.56</v>
      </c>
      <c r="W2586">
        <v>289.27999999999997</v>
      </c>
      <c r="X2586" t="s">
        <v>166</v>
      </c>
      <c r="Y2586" t="s">
        <v>667</v>
      </c>
      <c r="Z2586">
        <v>4.33</v>
      </c>
      <c r="AA2586">
        <v>11.72</v>
      </c>
      <c r="AB2586">
        <v>6057</v>
      </c>
      <c r="AC2586">
        <v>4682</v>
      </c>
      <c r="AD2586">
        <v>1.29</v>
      </c>
      <c r="AE2586">
        <v>63</v>
      </c>
      <c r="AF2586">
        <v>15</v>
      </c>
      <c r="AG2586" t="s">
        <v>120</v>
      </c>
      <c r="AH2586">
        <v>0</v>
      </c>
      <c r="AI2586" t="s">
        <v>120</v>
      </c>
      <c r="AJ2586">
        <v>2.02</v>
      </c>
      <c r="AK2586" t="s">
        <v>9212</v>
      </c>
      <c r="AL2586">
        <v>1.69</v>
      </c>
      <c r="AM2586">
        <v>628</v>
      </c>
      <c r="AN2586">
        <v>17</v>
      </c>
      <c r="AO2586">
        <v>8.0000000000000004E-4</v>
      </c>
      <c r="AP2586">
        <v>1</v>
      </c>
      <c r="AQ2586">
        <v>-0.94</v>
      </c>
      <c r="AR2586">
        <v>0.09</v>
      </c>
      <c r="AS2586">
        <v>-8.44</v>
      </c>
      <c r="AT2586">
        <v>-14.39</v>
      </c>
      <c r="AU2586">
        <v>23.67</v>
      </c>
      <c r="AV2586">
        <v>3</v>
      </c>
      <c r="AW2586">
        <v>0.85</v>
      </c>
      <c r="AX2586">
        <v>47.9</v>
      </c>
      <c r="AY2586">
        <v>52.67</v>
      </c>
      <c r="AZ2586">
        <v>53.9</v>
      </c>
      <c r="BA2586">
        <v>0.96</v>
      </c>
      <c r="BB2586" t="s">
        <v>143</v>
      </c>
      <c r="BF2586">
        <v>1.37</v>
      </c>
      <c r="BG2586">
        <v>1.4</v>
      </c>
      <c r="BH2586">
        <v>-2.85</v>
      </c>
      <c r="BI2586">
        <v>1.4</v>
      </c>
      <c r="BJ2586">
        <v>20210909</v>
      </c>
      <c r="BK2586">
        <v>20000615</v>
      </c>
      <c r="BL2586">
        <v>2.63</v>
      </c>
      <c r="BM2586" t="s">
        <v>120</v>
      </c>
      <c r="BN2586" t="s">
        <v>120</v>
      </c>
      <c r="BO2586">
        <v>10.18</v>
      </c>
      <c r="BP2586">
        <v>11.6</v>
      </c>
      <c r="BQ2586">
        <v>1.35</v>
      </c>
      <c r="BR2586">
        <v>0.2</v>
      </c>
      <c r="BS2586">
        <v>84.73</v>
      </c>
      <c r="BT2586">
        <v>5.43</v>
      </c>
      <c r="BU2586">
        <v>0.03</v>
      </c>
      <c r="BV2586">
        <v>0</v>
      </c>
      <c r="BW2586">
        <v>7.6</v>
      </c>
      <c r="BX2586">
        <v>0.38</v>
      </c>
      <c r="BY2586">
        <v>0</v>
      </c>
      <c r="BZ2586">
        <v>2.76</v>
      </c>
      <c r="CA2586" t="s">
        <v>120</v>
      </c>
      <c r="CB2586">
        <v>3.3</v>
      </c>
      <c r="CC2586">
        <v>3.18</v>
      </c>
      <c r="CD2586">
        <v>2.75</v>
      </c>
      <c r="CE2586">
        <v>0.09</v>
      </c>
      <c r="CF2586">
        <v>0</v>
      </c>
      <c r="CG2586">
        <v>0.08</v>
      </c>
      <c r="CH2586">
        <v>0.05</v>
      </c>
      <c r="CI2586">
        <v>0.05</v>
      </c>
      <c r="CJ2586">
        <v>0.04</v>
      </c>
      <c r="CK2586">
        <v>0.04</v>
      </c>
      <c r="CL2586">
        <v>-4.0999999999999996</v>
      </c>
      <c r="CM2586">
        <v>-0.48</v>
      </c>
      <c r="CN2586">
        <v>-0.81</v>
      </c>
      <c r="CO2586">
        <v>9112</v>
      </c>
      <c r="CP2586">
        <v>13802</v>
      </c>
      <c r="CQ2586" t="s">
        <v>1361</v>
      </c>
      <c r="CR2586">
        <v>33.32</v>
      </c>
      <c r="CS2586">
        <v>81.22</v>
      </c>
      <c r="CT2586">
        <v>17.39</v>
      </c>
      <c r="CU2586">
        <v>-63.04</v>
      </c>
      <c r="CV2586">
        <v>9.57</v>
      </c>
      <c r="CW2586">
        <v>0</v>
      </c>
      <c r="CX2586" t="s">
        <v>2074</v>
      </c>
      <c r="CY2586">
        <v>0.67</v>
      </c>
      <c r="CZ2586">
        <v>0.67</v>
      </c>
      <c r="DA2586">
        <v>1.26</v>
      </c>
      <c r="DB2586">
        <v>-1.56</v>
      </c>
      <c r="DC2586">
        <v>-0.18</v>
      </c>
      <c r="DD2586">
        <v>13.27</v>
      </c>
      <c r="DE2586" t="s">
        <v>2231</v>
      </c>
      <c r="DF2586">
        <v>13.65</v>
      </c>
      <c r="DG2586">
        <v>2.83</v>
      </c>
      <c r="DH2586">
        <v>1.65</v>
      </c>
      <c r="DI2586" t="s">
        <v>120</v>
      </c>
      <c r="DJ2586">
        <v>206</v>
      </c>
      <c r="DK2586">
        <v>600234</v>
      </c>
      <c r="DL2586" t="s">
        <v>120</v>
      </c>
      <c r="DM2586" t="s">
        <v>120</v>
      </c>
      <c r="DN2586" t="s">
        <v>120</v>
      </c>
    </row>
    <row r="2587" spans="1:118">
      <c r="A2587" t="str">
        <f>"600235"</f>
        <v>600235</v>
      </c>
      <c r="B2587" t="s">
        <v>11794</v>
      </c>
      <c r="C2587">
        <v>-0.93</v>
      </c>
      <c r="D2587">
        <v>-0.18</v>
      </c>
      <c r="E2587">
        <v>0.19</v>
      </c>
      <c r="F2587">
        <v>437</v>
      </c>
      <c r="G2587" t="s">
        <v>10601</v>
      </c>
      <c r="H2587">
        <v>4887.42</v>
      </c>
      <c r="I2587">
        <v>24.32</v>
      </c>
      <c r="J2587" t="s">
        <v>120</v>
      </c>
      <c r="K2587" t="s">
        <v>11795</v>
      </c>
      <c r="L2587">
        <v>2.58</v>
      </c>
      <c r="M2587">
        <v>5.32</v>
      </c>
      <c r="N2587">
        <v>1.22</v>
      </c>
      <c r="O2587">
        <v>1.68</v>
      </c>
      <c r="P2587">
        <v>5.46</v>
      </c>
      <c r="Q2587">
        <v>-1.1200000000000001</v>
      </c>
      <c r="R2587">
        <v>5.31</v>
      </c>
      <c r="S2587">
        <v>5.38</v>
      </c>
      <c r="T2587">
        <v>90765</v>
      </c>
      <c r="U2587">
        <v>5.33</v>
      </c>
      <c r="V2587">
        <v>5.37</v>
      </c>
      <c r="W2587">
        <v>29.54</v>
      </c>
      <c r="X2587" t="s">
        <v>814</v>
      </c>
      <c r="Y2587" t="s">
        <v>585</v>
      </c>
      <c r="Z2587">
        <v>2.79</v>
      </c>
      <c r="AA2587">
        <v>5.38</v>
      </c>
      <c r="AB2587">
        <v>47585</v>
      </c>
      <c r="AC2587">
        <v>43180</v>
      </c>
      <c r="AD2587">
        <v>1.1000000000000001</v>
      </c>
      <c r="AE2587">
        <v>543</v>
      </c>
      <c r="AF2587">
        <v>1409</v>
      </c>
      <c r="AG2587" t="s">
        <v>120</v>
      </c>
      <c r="AH2587">
        <v>0.02</v>
      </c>
      <c r="AI2587" t="s">
        <v>120</v>
      </c>
      <c r="AJ2587">
        <v>3.51</v>
      </c>
      <c r="AK2587" t="s">
        <v>11795</v>
      </c>
      <c r="AL2587">
        <v>0.41</v>
      </c>
      <c r="AM2587">
        <v>1622</v>
      </c>
      <c r="AN2587">
        <v>56</v>
      </c>
      <c r="AO2587">
        <v>1.6000000000000001E-3</v>
      </c>
      <c r="AP2587">
        <v>-1</v>
      </c>
      <c r="AQ2587">
        <v>3.27</v>
      </c>
      <c r="AR2587">
        <v>-0.19</v>
      </c>
      <c r="AS2587">
        <v>7.47</v>
      </c>
      <c r="AT2587">
        <v>0.75</v>
      </c>
      <c r="AU2587">
        <v>6.93</v>
      </c>
      <c r="AV2587">
        <v>2</v>
      </c>
      <c r="AW2587">
        <v>3.97</v>
      </c>
      <c r="AX2587">
        <v>65.13</v>
      </c>
      <c r="AY2587">
        <v>34.44</v>
      </c>
      <c r="AZ2587">
        <v>38.86</v>
      </c>
      <c r="BA2587">
        <v>0.74</v>
      </c>
      <c r="BB2587" t="s">
        <v>168</v>
      </c>
      <c r="BF2587">
        <v>0.27</v>
      </c>
      <c r="BG2587">
        <v>-1.1200000000000001</v>
      </c>
      <c r="BH2587">
        <v>-2.56</v>
      </c>
      <c r="BI2587">
        <v>0.19</v>
      </c>
      <c r="BJ2587">
        <v>20210825</v>
      </c>
      <c r="BK2587">
        <v>20000615</v>
      </c>
      <c r="BL2587">
        <v>3.51</v>
      </c>
      <c r="BM2587" t="s">
        <v>120</v>
      </c>
      <c r="BN2587" t="s">
        <v>120</v>
      </c>
      <c r="BO2587">
        <v>22.41</v>
      </c>
      <c r="BP2587">
        <v>5.32</v>
      </c>
      <c r="BQ2587">
        <v>13.71</v>
      </c>
      <c r="BR2587" t="s">
        <v>120</v>
      </c>
      <c r="BS2587">
        <v>38.83</v>
      </c>
      <c r="BT2587">
        <v>10.85</v>
      </c>
      <c r="BU2587">
        <v>9.2799999999999994</v>
      </c>
      <c r="BV2587">
        <v>0.55000000000000004</v>
      </c>
      <c r="BW2587">
        <v>8.66</v>
      </c>
      <c r="BX2587">
        <v>1.91</v>
      </c>
      <c r="BY2587">
        <v>4.3600000000000003</v>
      </c>
      <c r="BZ2587">
        <v>2.34</v>
      </c>
      <c r="CA2587" t="s">
        <v>120</v>
      </c>
      <c r="CB2587">
        <v>8.3000000000000007</v>
      </c>
      <c r="CC2587">
        <v>7.32</v>
      </c>
      <c r="CD2587">
        <v>5.96</v>
      </c>
      <c r="CE2587">
        <v>0.32</v>
      </c>
      <c r="CF2587">
        <v>0</v>
      </c>
      <c r="CG2587">
        <v>0.32</v>
      </c>
      <c r="CH2587">
        <v>0.32</v>
      </c>
      <c r="CI2587">
        <v>0.32</v>
      </c>
      <c r="CJ2587">
        <v>-0.05</v>
      </c>
      <c r="CK2587">
        <v>0.31</v>
      </c>
      <c r="CL2587">
        <v>1.1499999999999999</v>
      </c>
      <c r="CM2587">
        <v>-0.12</v>
      </c>
      <c r="CN2587">
        <v>-0.09</v>
      </c>
      <c r="CO2587">
        <v>28376</v>
      </c>
      <c r="CP2587">
        <v>8063</v>
      </c>
      <c r="CQ2587" t="s">
        <v>4140</v>
      </c>
      <c r="CR2587">
        <v>24.54</v>
      </c>
      <c r="CS2587">
        <v>14.59</v>
      </c>
      <c r="CT2587">
        <v>1.36</v>
      </c>
      <c r="CU2587">
        <v>-156.13</v>
      </c>
      <c r="CV2587">
        <v>2.5499999999999998</v>
      </c>
      <c r="CW2587">
        <v>0.28000000000000003</v>
      </c>
      <c r="CX2587" t="s">
        <v>329</v>
      </c>
      <c r="CY2587">
        <v>3.9</v>
      </c>
      <c r="CZ2587">
        <v>0</v>
      </c>
      <c r="DA2587">
        <v>2.36</v>
      </c>
      <c r="DB2587">
        <v>0.33</v>
      </c>
      <c r="DC2587">
        <v>-0.03</v>
      </c>
      <c r="DD2587">
        <v>61.17</v>
      </c>
      <c r="DE2587" t="s">
        <v>11796</v>
      </c>
      <c r="DF2587">
        <v>18.559999999999999</v>
      </c>
      <c r="DG2587">
        <v>4.32</v>
      </c>
      <c r="DH2587">
        <v>4.32</v>
      </c>
      <c r="DI2587">
        <v>0.21</v>
      </c>
      <c r="DJ2587">
        <v>1305</v>
      </c>
      <c r="DK2587">
        <v>600235</v>
      </c>
      <c r="DL2587" t="s">
        <v>120</v>
      </c>
      <c r="DM2587" t="s">
        <v>120</v>
      </c>
      <c r="DN2587" t="s">
        <v>120</v>
      </c>
    </row>
    <row r="2588" spans="1:118">
      <c r="A2588" t="str">
        <f>"600236"</f>
        <v>600236</v>
      </c>
      <c r="B2588" t="s">
        <v>11797</v>
      </c>
      <c r="C2588">
        <v>-1.66</v>
      </c>
      <c r="D2588">
        <v>-0.16</v>
      </c>
      <c r="E2588">
        <v>0</v>
      </c>
      <c r="F2588">
        <v>2683</v>
      </c>
      <c r="G2588" t="s">
        <v>11798</v>
      </c>
      <c r="H2588">
        <v>5868.9</v>
      </c>
      <c r="I2588">
        <v>25.46</v>
      </c>
      <c r="J2588" t="s">
        <v>120</v>
      </c>
      <c r="K2588" t="s">
        <v>11799</v>
      </c>
      <c r="L2588">
        <v>0.12</v>
      </c>
      <c r="M2588">
        <v>5.92</v>
      </c>
      <c r="N2588">
        <v>0.62</v>
      </c>
      <c r="O2588">
        <v>1.33</v>
      </c>
      <c r="P2588">
        <v>6.1</v>
      </c>
      <c r="Q2588">
        <v>-1.83</v>
      </c>
      <c r="R2588">
        <v>5.91</v>
      </c>
      <c r="S2588">
        <v>6.02</v>
      </c>
      <c r="T2588">
        <v>97842</v>
      </c>
      <c r="U2588">
        <v>5.92</v>
      </c>
      <c r="V2588">
        <v>6.02</v>
      </c>
      <c r="W2588">
        <v>18.87</v>
      </c>
      <c r="X2588" t="s">
        <v>1287</v>
      </c>
      <c r="Y2588" t="s">
        <v>945</v>
      </c>
      <c r="Z2588">
        <v>3.16</v>
      </c>
      <c r="AA2588">
        <v>6</v>
      </c>
      <c r="AB2588">
        <v>50716</v>
      </c>
      <c r="AC2588">
        <v>47126</v>
      </c>
      <c r="AD2588">
        <v>1.08</v>
      </c>
      <c r="AE2588">
        <v>1553</v>
      </c>
      <c r="AF2588">
        <v>26</v>
      </c>
      <c r="AG2588" t="s">
        <v>120</v>
      </c>
      <c r="AH2588">
        <v>0</v>
      </c>
      <c r="AI2588" t="s">
        <v>120</v>
      </c>
      <c r="AJ2588">
        <v>78.819999999999993</v>
      </c>
      <c r="AK2588" t="s">
        <v>11799</v>
      </c>
      <c r="AL2588">
        <v>-0.32</v>
      </c>
      <c r="AM2588">
        <v>2319</v>
      </c>
      <c r="AN2588">
        <v>42</v>
      </c>
      <c r="AO2588">
        <v>1E-4</v>
      </c>
      <c r="AP2588">
        <v>-1</v>
      </c>
      <c r="AQ2588">
        <v>0.17</v>
      </c>
      <c r="AR2588">
        <v>-2.63</v>
      </c>
      <c r="AS2588">
        <v>15.63</v>
      </c>
      <c r="AT2588">
        <v>7.63</v>
      </c>
      <c r="AU2588">
        <v>38.64</v>
      </c>
      <c r="AV2588">
        <v>2</v>
      </c>
      <c r="AW2588">
        <v>0.77</v>
      </c>
      <c r="AX2588">
        <v>16.14</v>
      </c>
      <c r="AY2588">
        <v>19.46</v>
      </c>
      <c r="AZ2588">
        <v>21.6</v>
      </c>
      <c r="BA2588">
        <v>0.63</v>
      </c>
      <c r="BB2588" t="s">
        <v>341</v>
      </c>
      <c r="BF2588">
        <v>-0.36</v>
      </c>
      <c r="BG2588">
        <v>-1.66</v>
      </c>
      <c r="BH2588">
        <v>-2.95</v>
      </c>
      <c r="BI2588">
        <v>0.17</v>
      </c>
      <c r="BJ2588">
        <v>20210831</v>
      </c>
      <c r="BK2588">
        <v>20000323</v>
      </c>
      <c r="BL2588">
        <v>78.819999999999993</v>
      </c>
      <c r="BM2588" t="s">
        <v>120</v>
      </c>
      <c r="BN2588" t="s">
        <v>120</v>
      </c>
      <c r="BO2588">
        <v>446.42</v>
      </c>
      <c r="BP2588">
        <v>5.91</v>
      </c>
      <c r="BQ2588">
        <v>164.43</v>
      </c>
      <c r="BR2588">
        <v>25.83</v>
      </c>
      <c r="BS2588">
        <v>57.38</v>
      </c>
      <c r="BT2588">
        <v>41.68</v>
      </c>
      <c r="BU2588">
        <v>341.44</v>
      </c>
      <c r="BV2588">
        <v>6.9</v>
      </c>
      <c r="BW2588">
        <v>77.819999999999993</v>
      </c>
      <c r="BX2588">
        <v>22.54</v>
      </c>
      <c r="BY2588">
        <v>1.23</v>
      </c>
      <c r="BZ2588">
        <v>13.56</v>
      </c>
      <c r="CA2588" t="s">
        <v>120</v>
      </c>
      <c r="CB2588">
        <v>13.01</v>
      </c>
      <c r="CC2588">
        <v>43.3</v>
      </c>
      <c r="CD2588">
        <v>21.24</v>
      </c>
      <c r="CE2588">
        <v>16.149999999999999</v>
      </c>
      <c r="CF2588">
        <v>0.44</v>
      </c>
      <c r="CG2588">
        <v>16.22</v>
      </c>
      <c r="CH2588">
        <v>13.95</v>
      </c>
      <c r="CI2588">
        <v>12.36</v>
      </c>
      <c r="CJ2588">
        <v>-0.1</v>
      </c>
      <c r="CK2588">
        <v>12.29</v>
      </c>
      <c r="CL2588">
        <v>37.39</v>
      </c>
      <c r="CM2588">
        <v>28.35</v>
      </c>
      <c r="CN2588">
        <v>3.71</v>
      </c>
      <c r="CO2588">
        <v>51525</v>
      </c>
      <c r="CP2588">
        <v>24692</v>
      </c>
      <c r="CQ2588" t="s">
        <v>11800</v>
      </c>
      <c r="CR2588">
        <v>24.34</v>
      </c>
      <c r="CS2588">
        <v>3.49</v>
      </c>
      <c r="CT2588">
        <v>3.11</v>
      </c>
      <c r="CU2588">
        <v>16.46</v>
      </c>
      <c r="CV2588">
        <v>10.78</v>
      </c>
      <c r="CW2588">
        <v>3.16</v>
      </c>
      <c r="CX2588" t="s">
        <v>373</v>
      </c>
      <c r="CY2588">
        <v>1.9</v>
      </c>
      <c r="CZ2588">
        <v>1.9</v>
      </c>
      <c r="DA2588">
        <v>0.17</v>
      </c>
      <c r="DB2588">
        <v>0.47</v>
      </c>
      <c r="DC2588">
        <v>0.36</v>
      </c>
      <c r="DD2588">
        <v>36.83</v>
      </c>
      <c r="DE2588" t="s">
        <v>7320</v>
      </c>
      <c r="DF2588">
        <v>50.95</v>
      </c>
      <c r="DG2588">
        <v>37.29</v>
      </c>
      <c r="DH2588">
        <v>28.55</v>
      </c>
      <c r="DI2588" t="s">
        <v>120</v>
      </c>
      <c r="DJ2588">
        <v>3673</v>
      </c>
      <c r="DK2588">
        <v>600236</v>
      </c>
      <c r="DL2588">
        <v>20210906</v>
      </c>
      <c r="DM2588">
        <v>6.17</v>
      </c>
      <c r="DN2588">
        <v>-4.05</v>
      </c>
    </row>
    <row r="2589" spans="1:118">
      <c r="A2589" t="str">
        <f>"600237"</f>
        <v>600237</v>
      </c>
      <c r="B2589" t="s">
        <v>11801</v>
      </c>
      <c r="C2589">
        <v>-4.26</v>
      </c>
      <c r="D2589">
        <v>-0.16</v>
      </c>
      <c r="E2589">
        <v>0</v>
      </c>
      <c r="F2589">
        <v>3838</v>
      </c>
      <c r="G2589" t="s">
        <v>9332</v>
      </c>
      <c r="H2589">
        <v>11411.49</v>
      </c>
      <c r="I2589">
        <v>7.87</v>
      </c>
      <c r="J2589" t="s">
        <v>120</v>
      </c>
      <c r="K2589" t="s">
        <v>11405</v>
      </c>
      <c r="L2589">
        <v>3.39</v>
      </c>
      <c r="M2589">
        <v>5.84</v>
      </c>
      <c r="N2589">
        <v>1.19</v>
      </c>
      <c r="O2589">
        <v>0.49</v>
      </c>
      <c r="P2589">
        <v>6.13</v>
      </c>
      <c r="Q2589">
        <v>-4.43</v>
      </c>
      <c r="R2589">
        <v>5.83</v>
      </c>
      <c r="S2589">
        <v>6.1</v>
      </c>
      <c r="T2589">
        <v>191219</v>
      </c>
      <c r="U2589">
        <v>5.85</v>
      </c>
      <c r="V2589">
        <v>6.1</v>
      </c>
      <c r="W2589">
        <v>59.76</v>
      </c>
      <c r="X2589" t="s">
        <v>229</v>
      </c>
      <c r="Y2589" t="s">
        <v>570</v>
      </c>
      <c r="Z2589">
        <v>4.92</v>
      </c>
      <c r="AA2589">
        <v>5.97</v>
      </c>
      <c r="AB2589">
        <v>115205</v>
      </c>
      <c r="AC2589">
        <v>76014</v>
      </c>
      <c r="AD2589">
        <v>1.52</v>
      </c>
      <c r="AE2589">
        <v>1058</v>
      </c>
      <c r="AF2589">
        <v>3664</v>
      </c>
      <c r="AG2589" t="s">
        <v>120</v>
      </c>
      <c r="AH2589">
        <v>0</v>
      </c>
      <c r="AI2589" t="s">
        <v>120</v>
      </c>
      <c r="AJ2589">
        <v>5.64</v>
      </c>
      <c r="AK2589" t="s">
        <v>11405</v>
      </c>
      <c r="AL2589">
        <v>-2.92</v>
      </c>
      <c r="AM2589">
        <v>2652</v>
      </c>
      <c r="AN2589">
        <v>72</v>
      </c>
      <c r="AO2589">
        <v>1.2999999999999999E-3</v>
      </c>
      <c r="AP2589">
        <v>-1</v>
      </c>
      <c r="AQ2589">
        <v>0.49</v>
      </c>
      <c r="AR2589">
        <v>-5.81</v>
      </c>
      <c r="AS2589">
        <v>-9.4600000000000009</v>
      </c>
      <c r="AT2589">
        <v>-3.15</v>
      </c>
      <c r="AU2589">
        <v>29.21</v>
      </c>
      <c r="AV2589">
        <v>11</v>
      </c>
      <c r="AW2589">
        <v>4.22</v>
      </c>
      <c r="AX2589">
        <v>80.209999999999994</v>
      </c>
      <c r="AY2589">
        <v>86.07</v>
      </c>
      <c r="AZ2589">
        <v>435.27</v>
      </c>
      <c r="BA2589">
        <v>0.5</v>
      </c>
      <c r="BB2589" t="s">
        <v>168</v>
      </c>
      <c r="BF2589">
        <v>-2.17</v>
      </c>
      <c r="BG2589">
        <v>-4.26</v>
      </c>
      <c r="BH2589">
        <v>-4.7300000000000004</v>
      </c>
      <c r="BI2589">
        <v>0.17</v>
      </c>
      <c r="BJ2589">
        <v>20210830</v>
      </c>
      <c r="BK2589">
        <v>20000609</v>
      </c>
      <c r="BL2589">
        <v>5.64</v>
      </c>
      <c r="BM2589" t="s">
        <v>120</v>
      </c>
      <c r="BN2589" t="s">
        <v>120</v>
      </c>
      <c r="BO2589">
        <v>15.88</v>
      </c>
      <c r="BP2589">
        <v>5.84</v>
      </c>
      <c r="BQ2589">
        <v>11.32</v>
      </c>
      <c r="BR2589">
        <v>0.42</v>
      </c>
      <c r="BS2589">
        <v>26.08</v>
      </c>
      <c r="BT2589">
        <v>9</v>
      </c>
      <c r="BU2589">
        <v>6.29</v>
      </c>
      <c r="BV2589">
        <v>0.12</v>
      </c>
      <c r="BW2589">
        <v>3.88</v>
      </c>
      <c r="BX2589">
        <v>2.36</v>
      </c>
      <c r="BY2589">
        <v>1.69</v>
      </c>
      <c r="BZ2589">
        <v>2.2200000000000002</v>
      </c>
      <c r="CA2589" t="s">
        <v>120</v>
      </c>
      <c r="CB2589">
        <v>8.42</v>
      </c>
      <c r="CC2589">
        <v>5.0199999999999996</v>
      </c>
      <c r="CD2589">
        <v>3.99</v>
      </c>
      <c r="CE2589">
        <v>0.3</v>
      </c>
      <c r="CF2589">
        <v>0</v>
      </c>
      <c r="CG2589">
        <v>0.31</v>
      </c>
      <c r="CH2589">
        <v>0.3</v>
      </c>
      <c r="CI2589">
        <v>0.28000000000000003</v>
      </c>
      <c r="CJ2589">
        <v>-0.26</v>
      </c>
      <c r="CK2589">
        <v>0.26</v>
      </c>
      <c r="CL2589">
        <v>-3.44</v>
      </c>
      <c r="CM2589">
        <v>0.6</v>
      </c>
      <c r="CN2589">
        <v>-0.32</v>
      </c>
      <c r="CO2589">
        <v>56189</v>
      </c>
      <c r="CP2589">
        <v>8056</v>
      </c>
      <c r="CQ2589" t="s">
        <v>5667</v>
      </c>
      <c r="CR2589">
        <v>711.34</v>
      </c>
      <c r="CS2589">
        <v>31.17</v>
      </c>
      <c r="CT2589">
        <v>2.91</v>
      </c>
      <c r="CU2589">
        <v>54.55</v>
      </c>
      <c r="CV2589">
        <v>6.56</v>
      </c>
      <c r="CW2589">
        <v>0</v>
      </c>
      <c r="CX2589" t="s">
        <v>1603</v>
      </c>
      <c r="CY2589">
        <v>2.0099999999999998</v>
      </c>
      <c r="CZ2589">
        <v>0</v>
      </c>
      <c r="DA2589">
        <v>1.49</v>
      </c>
      <c r="DB2589">
        <v>-0.61</v>
      </c>
      <c r="DC2589">
        <v>0.11</v>
      </c>
      <c r="DD2589">
        <v>71.290000000000006</v>
      </c>
      <c r="DE2589" t="s">
        <v>10170</v>
      </c>
      <c r="DF2589">
        <v>20.51</v>
      </c>
      <c r="DG2589">
        <v>6.02</v>
      </c>
      <c r="DH2589">
        <v>5.49</v>
      </c>
      <c r="DI2589">
        <v>0.16</v>
      </c>
      <c r="DJ2589">
        <v>1875</v>
      </c>
      <c r="DK2589">
        <v>600237</v>
      </c>
      <c r="DL2589" t="s">
        <v>120</v>
      </c>
      <c r="DM2589" t="s">
        <v>120</v>
      </c>
      <c r="DN2589" t="s">
        <v>120</v>
      </c>
    </row>
    <row r="2590" spans="1:118">
      <c r="A2590" t="str">
        <f>"600238"</f>
        <v>600238</v>
      </c>
      <c r="B2590" t="s">
        <v>11802</v>
      </c>
      <c r="C2590">
        <v>-0.37</v>
      </c>
      <c r="D2590">
        <v>-0.05</v>
      </c>
      <c r="E2590">
        <v>-0.3</v>
      </c>
      <c r="F2590">
        <v>1532</v>
      </c>
      <c r="G2590" t="s">
        <v>11803</v>
      </c>
      <c r="H2590">
        <v>33884.699999999997</v>
      </c>
      <c r="I2590">
        <v>124.91</v>
      </c>
      <c r="J2590" t="s">
        <v>120</v>
      </c>
      <c r="K2590" t="s">
        <v>11804</v>
      </c>
      <c r="L2590">
        <v>4.62</v>
      </c>
      <c r="M2590">
        <v>16.34</v>
      </c>
      <c r="N2590">
        <v>0.97</v>
      </c>
      <c r="O2590">
        <v>2.44</v>
      </c>
      <c r="P2590">
        <v>16.8</v>
      </c>
      <c r="Q2590">
        <v>-1.77</v>
      </c>
      <c r="R2590">
        <v>16.11</v>
      </c>
      <c r="S2590">
        <v>16.350000000000001</v>
      </c>
      <c r="T2590">
        <v>205542</v>
      </c>
      <c r="U2590">
        <v>16.34</v>
      </c>
      <c r="V2590">
        <v>16.399999999999999</v>
      </c>
      <c r="W2590">
        <v>230.95</v>
      </c>
      <c r="X2590" t="s">
        <v>2247</v>
      </c>
      <c r="Y2590" t="s">
        <v>835</v>
      </c>
      <c r="Z2590">
        <v>4.21</v>
      </c>
      <c r="AA2590">
        <v>16.489999999999998</v>
      </c>
      <c r="AB2590">
        <v>98495</v>
      </c>
      <c r="AC2590">
        <v>107047</v>
      </c>
      <c r="AD2590">
        <v>0.92</v>
      </c>
      <c r="AE2590">
        <v>152</v>
      </c>
      <c r="AF2590">
        <v>94</v>
      </c>
      <c r="AG2590" t="s">
        <v>120</v>
      </c>
      <c r="AH2590">
        <v>0.03</v>
      </c>
      <c r="AI2590" t="s">
        <v>120</v>
      </c>
      <c r="AJ2590">
        <v>4.45</v>
      </c>
      <c r="AK2590" t="s">
        <v>11805</v>
      </c>
      <c r="AL2590">
        <v>0.98</v>
      </c>
      <c r="AM2590">
        <v>4155</v>
      </c>
      <c r="AN2590">
        <v>49</v>
      </c>
      <c r="AO2590">
        <v>1.1000000000000001E-3</v>
      </c>
      <c r="AP2590">
        <v>-2</v>
      </c>
      <c r="AQ2590">
        <v>-3.36</v>
      </c>
      <c r="AR2590">
        <v>-3.32</v>
      </c>
      <c r="AS2590">
        <v>-13.36</v>
      </c>
      <c r="AT2590">
        <v>-36.270000000000003</v>
      </c>
      <c r="AU2590">
        <v>87.38</v>
      </c>
      <c r="AV2590">
        <v>33</v>
      </c>
      <c r="AW2590">
        <v>7.47</v>
      </c>
      <c r="AX2590">
        <v>61.42</v>
      </c>
      <c r="AY2590">
        <v>91.61</v>
      </c>
      <c r="AZ2590">
        <v>302.38</v>
      </c>
      <c r="BA2590">
        <v>2.36</v>
      </c>
      <c r="BB2590" t="s">
        <v>134</v>
      </c>
      <c r="BF2590">
        <v>0.52</v>
      </c>
      <c r="BG2590">
        <v>-0.06</v>
      </c>
      <c r="BH2590">
        <v>-2.74</v>
      </c>
      <c r="BI2590">
        <v>1.43</v>
      </c>
      <c r="BJ2590">
        <v>20210729</v>
      </c>
      <c r="BK2590">
        <v>20000120</v>
      </c>
      <c r="BL2590">
        <v>4.4800000000000004</v>
      </c>
      <c r="BM2590" t="s">
        <v>120</v>
      </c>
      <c r="BN2590" t="s">
        <v>120</v>
      </c>
      <c r="BO2590">
        <v>12.06</v>
      </c>
      <c r="BP2590">
        <v>16.329999999999998</v>
      </c>
      <c r="BQ2590">
        <v>5.71</v>
      </c>
      <c r="BR2590">
        <v>0.35</v>
      </c>
      <c r="BS2590">
        <v>49.76</v>
      </c>
      <c r="BT2590">
        <v>6.66</v>
      </c>
      <c r="BU2590">
        <v>1.87</v>
      </c>
      <c r="BV2590">
        <v>0.28000000000000003</v>
      </c>
      <c r="BW2590">
        <v>4.2</v>
      </c>
      <c r="BX2590">
        <v>0.71</v>
      </c>
      <c r="BY2590">
        <v>2.75</v>
      </c>
      <c r="BZ2590">
        <v>1.1399999999999999</v>
      </c>
      <c r="CA2590" t="s">
        <v>120</v>
      </c>
      <c r="CB2590">
        <v>1.27</v>
      </c>
      <c r="CC2590">
        <v>4.26</v>
      </c>
      <c r="CD2590">
        <v>3.17</v>
      </c>
      <c r="CE2590">
        <v>0.19</v>
      </c>
      <c r="CF2590">
        <v>0.04</v>
      </c>
      <c r="CG2590">
        <v>0.17</v>
      </c>
      <c r="CH2590">
        <v>0.15</v>
      </c>
      <c r="CI2590">
        <v>0.16</v>
      </c>
      <c r="CJ2590">
        <v>-0.06</v>
      </c>
      <c r="CK2590">
        <v>0.1</v>
      </c>
      <c r="CL2590">
        <v>-1.34</v>
      </c>
      <c r="CM2590">
        <v>-1</v>
      </c>
      <c r="CN2590">
        <v>-1.34</v>
      </c>
      <c r="CO2590">
        <v>101142</v>
      </c>
      <c r="CP2590">
        <v>2722</v>
      </c>
      <c r="CQ2590" t="s">
        <v>3827</v>
      </c>
      <c r="CR2590">
        <v>139.57</v>
      </c>
      <c r="CS2590">
        <v>58.02</v>
      </c>
      <c r="CT2590">
        <v>12.82</v>
      </c>
      <c r="CU2590">
        <v>-73.06</v>
      </c>
      <c r="CV2590">
        <v>17.190000000000001</v>
      </c>
      <c r="CW2590">
        <v>0</v>
      </c>
      <c r="CX2590" t="s">
        <v>145</v>
      </c>
      <c r="CY2590">
        <v>1.27</v>
      </c>
      <c r="CZ2590">
        <v>0</v>
      </c>
      <c r="DA2590">
        <v>0.28000000000000003</v>
      </c>
      <c r="DB2590">
        <v>-0.3</v>
      </c>
      <c r="DC2590">
        <v>-0.22</v>
      </c>
      <c r="DD2590">
        <v>47.34</v>
      </c>
      <c r="DE2590" t="s">
        <v>3468</v>
      </c>
      <c r="DF2590">
        <v>25.54</v>
      </c>
      <c r="DG2590">
        <v>4.4800000000000004</v>
      </c>
      <c r="DH2590">
        <v>3.72</v>
      </c>
      <c r="DI2590">
        <v>0.03</v>
      </c>
      <c r="DJ2590">
        <v>539</v>
      </c>
      <c r="DK2590">
        <v>600238</v>
      </c>
      <c r="DL2590">
        <v>20210909</v>
      </c>
      <c r="DM2590">
        <v>17.3</v>
      </c>
      <c r="DN2590">
        <v>-5.55</v>
      </c>
    </row>
    <row r="2591" spans="1:118">
      <c r="A2591" t="str">
        <f>"600243"</f>
        <v>600243</v>
      </c>
      <c r="B2591" t="s">
        <v>11806</v>
      </c>
      <c r="C2591">
        <v>0.48</v>
      </c>
      <c r="D2591">
        <v>0.16</v>
      </c>
      <c r="E2591">
        <v>-0.48</v>
      </c>
      <c r="F2591">
        <v>4597</v>
      </c>
      <c r="G2591" t="s">
        <v>10493</v>
      </c>
      <c r="H2591">
        <v>26847.7</v>
      </c>
      <c r="I2591">
        <v>602.69000000000005</v>
      </c>
      <c r="J2591" t="s">
        <v>120</v>
      </c>
      <c r="K2591" t="s">
        <v>11807</v>
      </c>
      <c r="L2591">
        <v>9.89</v>
      </c>
      <c r="M2591">
        <v>6.23</v>
      </c>
      <c r="N2591">
        <v>1.05</v>
      </c>
      <c r="O2591">
        <v>4.5199999999999996</v>
      </c>
      <c r="P2591">
        <v>6.48</v>
      </c>
      <c r="Q2591">
        <v>-8.06</v>
      </c>
      <c r="R2591">
        <v>5.7</v>
      </c>
      <c r="S2591">
        <v>6.17</v>
      </c>
      <c r="T2591">
        <v>434104</v>
      </c>
      <c r="U2591">
        <v>6.24</v>
      </c>
      <c r="V2591">
        <v>6.2</v>
      </c>
      <c r="W2591" t="s">
        <v>120</v>
      </c>
      <c r="X2591" t="s">
        <v>2161</v>
      </c>
      <c r="Y2591" t="s">
        <v>691</v>
      </c>
      <c r="Z2591">
        <v>12.58</v>
      </c>
      <c r="AA2591">
        <v>6.18</v>
      </c>
      <c r="AB2591">
        <v>221928</v>
      </c>
      <c r="AC2591">
        <v>212176</v>
      </c>
      <c r="AD2591">
        <v>1.05</v>
      </c>
      <c r="AE2591">
        <v>1480</v>
      </c>
      <c r="AF2591">
        <v>156</v>
      </c>
      <c r="AG2591" t="s">
        <v>120</v>
      </c>
      <c r="AH2591">
        <v>0.42</v>
      </c>
      <c r="AI2591" t="s">
        <v>120</v>
      </c>
      <c r="AJ2591">
        <v>4.3899999999999997</v>
      </c>
      <c r="AK2591" t="s">
        <v>11807</v>
      </c>
      <c r="AL2591">
        <v>1.83</v>
      </c>
      <c r="AM2591">
        <v>4269</v>
      </c>
      <c r="AN2591">
        <v>102</v>
      </c>
      <c r="AO2591">
        <v>2.3E-3</v>
      </c>
      <c r="AP2591">
        <v>1</v>
      </c>
      <c r="AQ2591">
        <v>-3.88</v>
      </c>
      <c r="AR2591">
        <v>6.31</v>
      </c>
      <c r="AS2591">
        <v>68.38</v>
      </c>
      <c r="AT2591">
        <v>44.55</v>
      </c>
      <c r="AU2591">
        <v>124.1</v>
      </c>
      <c r="AV2591">
        <v>15</v>
      </c>
      <c r="AW2591">
        <v>18.45</v>
      </c>
      <c r="AX2591">
        <v>53.6</v>
      </c>
      <c r="AY2591">
        <v>84.76</v>
      </c>
      <c r="AZ2591">
        <v>93.97</v>
      </c>
      <c r="BA2591">
        <v>1.1299999999999999</v>
      </c>
      <c r="BB2591" t="s">
        <v>143</v>
      </c>
      <c r="BF2591">
        <v>-0.25</v>
      </c>
      <c r="BG2591">
        <v>0.97</v>
      </c>
      <c r="BH2591">
        <v>-3.86</v>
      </c>
      <c r="BI2591">
        <v>9.3000000000000007</v>
      </c>
      <c r="BJ2591">
        <v>20210824</v>
      </c>
      <c r="BK2591">
        <v>20001120</v>
      </c>
      <c r="BL2591">
        <v>4.3899999999999997</v>
      </c>
      <c r="BM2591" t="s">
        <v>120</v>
      </c>
      <c r="BN2591" t="s">
        <v>120</v>
      </c>
      <c r="BO2591">
        <v>15.94</v>
      </c>
      <c r="BP2591">
        <v>6.23</v>
      </c>
      <c r="BQ2591">
        <v>11.33</v>
      </c>
      <c r="BR2591">
        <v>-0.02</v>
      </c>
      <c r="BS2591">
        <v>29.06</v>
      </c>
      <c r="BT2591">
        <v>8.4600000000000009</v>
      </c>
      <c r="BU2591">
        <v>3.79</v>
      </c>
      <c r="BV2591">
        <v>0.77</v>
      </c>
      <c r="BW2591">
        <v>3.91</v>
      </c>
      <c r="BX2591">
        <v>0.36</v>
      </c>
      <c r="BY2591">
        <v>4.5199999999999996</v>
      </c>
      <c r="BZ2591">
        <v>1.31</v>
      </c>
      <c r="CA2591" t="s">
        <v>120</v>
      </c>
      <c r="CB2591">
        <v>12.44</v>
      </c>
      <c r="CC2591">
        <v>2.7</v>
      </c>
      <c r="CD2591">
        <v>2.4</v>
      </c>
      <c r="CE2591">
        <v>-0.23</v>
      </c>
      <c r="CF2591">
        <v>0</v>
      </c>
      <c r="CG2591">
        <v>-0.2</v>
      </c>
      <c r="CH2591">
        <v>-0.24</v>
      </c>
      <c r="CI2591">
        <v>-0.17</v>
      </c>
      <c r="CJ2591">
        <v>0.03</v>
      </c>
      <c r="CK2591">
        <v>-0.23</v>
      </c>
      <c r="CL2591">
        <v>-5.91</v>
      </c>
      <c r="CM2591">
        <v>-0.67</v>
      </c>
      <c r="CN2591">
        <v>-0.94</v>
      </c>
      <c r="CO2591">
        <v>15964</v>
      </c>
      <c r="CP2591">
        <v>14736</v>
      </c>
      <c r="CQ2591" t="s">
        <v>7228</v>
      </c>
      <c r="CR2591">
        <v>15.26</v>
      </c>
      <c r="CS2591">
        <v>-2.0299999999999998</v>
      </c>
      <c r="CT2591">
        <v>2.41</v>
      </c>
      <c r="CU2591">
        <v>-40.69</v>
      </c>
      <c r="CV2591">
        <v>10.130000000000001</v>
      </c>
      <c r="CW2591">
        <v>0</v>
      </c>
      <c r="CX2591" t="s">
        <v>1255</v>
      </c>
      <c r="CY2591">
        <v>2.58</v>
      </c>
      <c r="CZ2591">
        <v>0</v>
      </c>
      <c r="DA2591">
        <v>2.84</v>
      </c>
      <c r="DB2591">
        <v>-1.35</v>
      </c>
      <c r="DC2591">
        <v>-0.15</v>
      </c>
      <c r="DD2591">
        <v>71.09</v>
      </c>
      <c r="DE2591" t="s">
        <v>11808</v>
      </c>
      <c r="DF2591">
        <v>10.93</v>
      </c>
      <c r="DG2591">
        <v>-8.64</v>
      </c>
      <c r="DH2591">
        <v>-6.48</v>
      </c>
      <c r="DI2591">
        <v>0.09</v>
      </c>
      <c r="DJ2591">
        <v>1362</v>
      </c>
      <c r="DK2591">
        <v>600243</v>
      </c>
      <c r="DL2591">
        <v>20210824</v>
      </c>
      <c r="DM2591">
        <v>4.51</v>
      </c>
      <c r="DN2591">
        <v>38.14</v>
      </c>
    </row>
    <row r="2592" spans="1:118">
      <c r="A2592" t="str">
        <f>"600246"</f>
        <v>600246</v>
      </c>
      <c r="B2592" t="s">
        <v>11809</v>
      </c>
      <c r="C2592">
        <v>-0.17</v>
      </c>
      <c r="D2592">
        <v>-0.08</v>
      </c>
      <c r="E2592">
        <v>0.09</v>
      </c>
      <c r="F2592">
        <v>2243</v>
      </c>
      <c r="G2592" t="s">
        <v>11810</v>
      </c>
      <c r="H2592">
        <v>38109.46</v>
      </c>
      <c r="I2592">
        <v>166.94</v>
      </c>
      <c r="J2592" t="s">
        <v>120</v>
      </c>
      <c r="K2592" t="s">
        <v>11811</v>
      </c>
      <c r="L2592">
        <v>1.59</v>
      </c>
      <c r="M2592">
        <v>11.42</v>
      </c>
      <c r="N2592">
        <v>0.97</v>
      </c>
      <c r="O2592">
        <v>5.24</v>
      </c>
      <c r="P2592">
        <v>12.04</v>
      </c>
      <c r="Q2592">
        <v>-0.87</v>
      </c>
      <c r="R2592">
        <v>11.34</v>
      </c>
      <c r="S2592">
        <v>11.45</v>
      </c>
      <c r="T2592">
        <v>326942</v>
      </c>
      <c r="U2592">
        <v>11.43</v>
      </c>
      <c r="V2592">
        <v>11.44</v>
      </c>
      <c r="W2592">
        <v>26.94</v>
      </c>
      <c r="X2592" t="s">
        <v>150</v>
      </c>
      <c r="Y2592" t="s">
        <v>158</v>
      </c>
      <c r="Z2592">
        <v>6.12</v>
      </c>
      <c r="AA2592">
        <v>11.66</v>
      </c>
      <c r="AB2592">
        <v>173947</v>
      </c>
      <c r="AC2592">
        <v>152995</v>
      </c>
      <c r="AD2592">
        <v>1.1399999999999999</v>
      </c>
      <c r="AE2592">
        <v>126</v>
      </c>
      <c r="AF2592">
        <v>489</v>
      </c>
      <c r="AG2592" t="s">
        <v>120</v>
      </c>
      <c r="AH2592">
        <v>0.02</v>
      </c>
      <c r="AI2592" t="s">
        <v>120</v>
      </c>
      <c r="AJ2592">
        <v>20.54</v>
      </c>
      <c r="AK2592" t="s">
        <v>11811</v>
      </c>
      <c r="AL2592">
        <v>1.17</v>
      </c>
      <c r="AM2592">
        <v>3384</v>
      </c>
      <c r="AN2592">
        <v>97</v>
      </c>
      <c r="AO2592">
        <v>5.0000000000000001E-4</v>
      </c>
      <c r="AP2592">
        <v>-1</v>
      </c>
      <c r="AQ2592">
        <v>2.6</v>
      </c>
      <c r="AR2592">
        <v>2.6</v>
      </c>
      <c r="AS2592">
        <v>33.57</v>
      </c>
      <c r="AT2592">
        <v>25.77</v>
      </c>
      <c r="AU2592">
        <v>63.84</v>
      </c>
      <c r="AV2592">
        <v>0</v>
      </c>
      <c r="AW2592">
        <v>4.68</v>
      </c>
      <c r="AX2592">
        <v>34.03</v>
      </c>
      <c r="AY2592">
        <v>49.23</v>
      </c>
      <c r="AZ2592">
        <v>461.94</v>
      </c>
      <c r="BA2592">
        <v>0.61</v>
      </c>
      <c r="BB2592" t="s">
        <v>184</v>
      </c>
      <c r="BF2592">
        <v>1.89</v>
      </c>
      <c r="BG2592">
        <v>-0.26</v>
      </c>
      <c r="BH2592">
        <v>-5.15</v>
      </c>
      <c r="BI2592">
        <v>0.71</v>
      </c>
      <c r="BJ2592">
        <v>20210728</v>
      </c>
      <c r="BK2592">
        <v>20000922</v>
      </c>
      <c r="BL2592">
        <v>20.54</v>
      </c>
      <c r="BM2592" t="s">
        <v>120</v>
      </c>
      <c r="BN2592" t="s">
        <v>120</v>
      </c>
      <c r="BO2592">
        <v>113.27</v>
      </c>
      <c r="BP2592">
        <v>11.42</v>
      </c>
      <c r="BQ2592">
        <v>72.92</v>
      </c>
      <c r="BR2592">
        <v>3.9</v>
      </c>
      <c r="BS2592">
        <v>32.18</v>
      </c>
      <c r="BT2592">
        <v>54.85</v>
      </c>
      <c r="BU2592">
        <v>1.02</v>
      </c>
      <c r="BV2592">
        <v>0.01</v>
      </c>
      <c r="BW2592">
        <v>14.13</v>
      </c>
      <c r="BX2592">
        <v>23.83</v>
      </c>
      <c r="BY2592">
        <v>14.16</v>
      </c>
      <c r="BZ2592">
        <v>0.44</v>
      </c>
      <c r="CA2592">
        <v>0.18</v>
      </c>
      <c r="CB2592">
        <v>35.25</v>
      </c>
      <c r="CC2592">
        <v>4.59</v>
      </c>
      <c r="CD2592">
        <v>3.06</v>
      </c>
      <c r="CE2592">
        <v>4.6900000000000004</v>
      </c>
      <c r="CF2592">
        <v>5.3</v>
      </c>
      <c r="CG2592">
        <v>4.71</v>
      </c>
      <c r="CH2592">
        <v>4.3600000000000003</v>
      </c>
      <c r="CI2592">
        <v>4.3499999999999996</v>
      </c>
      <c r="CJ2592">
        <v>-0.02</v>
      </c>
      <c r="CK2592">
        <v>3.82</v>
      </c>
      <c r="CL2592">
        <v>21.77</v>
      </c>
      <c r="CM2592">
        <v>-1.1200000000000001</v>
      </c>
      <c r="CN2592">
        <v>-1.53</v>
      </c>
      <c r="CO2592">
        <v>25402</v>
      </c>
      <c r="CP2592">
        <v>27517</v>
      </c>
      <c r="CQ2592" t="s">
        <v>11812</v>
      </c>
      <c r="CR2592">
        <v>4822.6400000000003</v>
      </c>
      <c r="CS2592">
        <v>-18.27</v>
      </c>
      <c r="CT2592">
        <v>3.22</v>
      </c>
      <c r="CU2592">
        <v>-208.65</v>
      </c>
      <c r="CV2592">
        <v>51.11</v>
      </c>
      <c r="CW2592">
        <v>0</v>
      </c>
      <c r="CX2592" t="s">
        <v>3361</v>
      </c>
      <c r="CY2592">
        <v>3.55</v>
      </c>
      <c r="CZ2592">
        <v>0</v>
      </c>
      <c r="DA2592">
        <v>1.72</v>
      </c>
      <c r="DB2592">
        <v>1.06</v>
      </c>
      <c r="DC2592">
        <v>-0.05</v>
      </c>
      <c r="DD2592">
        <v>64.38</v>
      </c>
      <c r="DE2592" t="s">
        <v>580</v>
      </c>
      <c r="DF2592">
        <v>33.31</v>
      </c>
      <c r="DG2592">
        <v>102.29</v>
      </c>
      <c r="DH2592">
        <v>94.86</v>
      </c>
      <c r="DI2592" t="s">
        <v>120</v>
      </c>
      <c r="DJ2592">
        <v>278</v>
      </c>
      <c r="DK2592">
        <v>600246</v>
      </c>
      <c r="DL2592" t="s">
        <v>120</v>
      </c>
      <c r="DM2592" t="s">
        <v>120</v>
      </c>
      <c r="DN2592" t="s">
        <v>120</v>
      </c>
    </row>
    <row r="2593" spans="1:118">
      <c r="A2593" t="str">
        <f>"600248"</f>
        <v>600248</v>
      </c>
      <c r="B2593" t="s">
        <v>11813</v>
      </c>
      <c r="C2593">
        <v>2.56</v>
      </c>
      <c r="D2593">
        <v>-0.16</v>
      </c>
      <c r="E2593">
        <v>1.36</v>
      </c>
      <c r="F2593">
        <v>4357</v>
      </c>
      <c r="G2593" t="s">
        <v>6510</v>
      </c>
      <c r="H2593">
        <v>22548.31</v>
      </c>
      <c r="I2593">
        <v>130.72</v>
      </c>
      <c r="J2593" t="s">
        <v>120</v>
      </c>
      <c r="K2593" t="s">
        <v>11814</v>
      </c>
      <c r="L2593">
        <v>5.7</v>
      </c>
      <c r="M2593">
        <v>6.02</v>
      </c>
      <c r="N2593">
        <v>1.1499999999999999</v>
      </c>
      <c r="O2593">
        <v>5.62</v>
      </c>
      <c r="P2593">
        <v>6.2</v>
      </c>
      <c r="Q2593">
        <v>-0.85</v>
      </c>
      <c r="R2593">
        <v>5.82</v>
      </c>
      <c r="S2593">
        <v>5.95</v>
      </c>
      <c r="T2593">
        <v>374163</v>
      </c>
      <c r="U2593">
        <v>6.03</v>
      </c>
      <c r="V2593">
        <v>5.87</v>
      </c>
      <c r="W2593">
        <v>5.66</v>
      </c>
      <c r="X2593" t="s">
        <v>175</v>
      </c>
      <c r="Y2593" t="s">
        <v>890</v>
      </c>
      <c r="Z2593">
        <v>6.47</v>
      </c>
      <c r="AA2593">
        <v>6.03</v>
      </c>
      <c r="AB2593">
        <v>187982</v>
      </c>
      <c r="AC2593">
        <v>186181</v>
      </c>
      <c r="AD2593">
        <v>1.01</v>
      </c>
      <c r="AE2593">
        <v>683</v>
      </c>
      <c r="AF2593">
        <v>719</v>
      </c>
      <c r="AG2593" t="s">
        <v>120</v>
      </c>
      <c r="AH2593">
        <v>7.0000000000000007E-2</v>
      </c>
      <c r="AI2593" t="s">
        <v>120</v>
      </c>
      <c r="AJ2593">
        <v>6.57</v>
      </c>
      <c r="AK2593" t="s">
        <v>11815</v>
      </c>
      <c r="AL2593">
        <v>3.9</v>
      </c>
      <c r="AM2593">
        <v>3463</v>
      </c>
      <c r="AN2593">
        <v>108</v>
      </c>
      <c r="AO2593">
        <v>1.6000000000000001E-3</v>
      </c>
      <c r="AP2593">
        <v>2</v>
      </c>
      <c r="AQ2593">
        <v>1.73</v>
      </c>
      <c r="AR2593">
        <v>0.17</v>
      </c>
      <c r="AS2593">
        <v>22.6</v>
      </c>
      <c r="AT2593">
        <v>36.270000000000003</v>
      </c>
      <c r="AU2593">
        <v>32.950000000000003</v>
      </c>
      <c r="AV2593">
        <v>2</v>
      </c>
      <c r="AW2593">
        <v>11.33</v>
      </c>
      <c r="AX2593">
        <v>8.8000000000000007</v>
      </c>
      <c r="AY2593">
        <v>5.26</v>
      </c>
      <c r="AZ2593">
        <v>7.78</v>
      </c>
      <c r="BA2593">
        <v>0.88</v>
      </c>
      <c r="BB2593" t="s">
        <v>143</v>
      </c>
      <c r="BF2593">
        <v>2.66</v>
      </c>
      <c r="BG2593">
        <v>1.18</v>
      </c>
      <c r="BH2593">
        <v>-2.9</v>
      </c>
      <c r="BI2593">
        <v>3.44</v>
      </c>
      <c r="BJ2593">
        <v>20210830</v>
      </c>
      <c r="BK2593">
        <v>20000622</v>
      </c>
      <c r="BL2593">
        <v>37.51</v>
      </c>
      <c r="BM2593" t="s">
        <v>120</v>
      </c>
      <c r="BN2593" t="s">
        <v>120</v>
      </c>
      <c r="BO2593">
        <v>2036.93</v>
      </c>
      <c r="BP2593">
        <v>6.02</v>
      </c>
      <c r="BQ2593">
        <v>203.73</v>
      </c>
      <c r="BR2593">
        <v>16.47</v>
      </c>
      <c r="BS2593">
        <v>89.19</v>
      </c>
      <c r="BT2593">
        <v>1806.5</v>
      </c>
      <c r="BU2593">
        <v>28.85</v>
      </c>
      <c r="BV2593">
        <v>13.39</v>
      </c>
      <c r="BW2593">
        <v>1651.31</v>
      </c>
      <c r="BX2593">
        <v>189.4</v>
      </c>
      <c r="BY2593">
        <v>25.26</v>
      </c>
      <c r="BZ2593">
        <v>909.93</v>
      </c>
      <c r="CA2593" t="s">
        <v>120</v>
      </c>
      <c r="CB2593">
        <v>29.49</v>
      </c>
      <c r="CC2593">
        <v>771.92</v>
      </c>
      <c r="CD2593">
        <v>713.15</v>
      </c>
      <c r="CE2593">
        <v>23.75</v>
      </c>
      <c r="CF2593">
        <v>-0.02</v>
      </c>
      <c r="CG2593">
        <v>23.82</v>
      </c>
      <c r="CH2593">
        <v>20.62</v>
      </c>
      <c r="CI2593">
        <v>19.940000000000001</v>
      </c>
      <c r="CJ2593">
        <v>0.15</v>
      </c>
      <c r="CK2593">
        <v>19.77</v>
      </c>
      <c r="CL2593">
        <v>76.680000000000007</v>
      </c>
      <c r="CM2593">
        <v>-23.16</v>
      </c>
      <c r="CN2593">
        <v>-10.64</v>
      </c>
      <c r="CO2593">
        <v>28300</v>
      </c>
      <c r="CP2593">
        <v>11665</v>
      </c>
      <c r="CQ2593" t="s">
        <v>3365</v>
      </c>
      <c r="CR2593">
        <v>212.92</v>
      </c>
      <c r="CS2593">
        <v>57.35</v>
      </c>
      <c r="CT2593">
        <v>1.42</v>
      </c>
      <c r="CU2593">
        <v>-9.75</v>
      </c>
      <c r="CV2593">
        <v>0.28999999999999998</v>
      </c>
      <c r="CW2593">
        <v>1.06</v>
      </c>
      <c r="CX2593" t="s">
        <v>817</v>
      </c>
      <c r="CY2593">
        <v>4.22</v>
      </c>
      <c r="CZ2593">
        <v>4.22</v>
      </c>
      <c r="DA2593">
        <v>0.79</v>
      </c>
      <c r="DB2593">
        <v>2.04</v>
      </c>
      <c r="DC2593">
        <v>-0.62</v>
      </c>
      <c r="DD2593">
        <v>10</v>
      </c>
      <c r="DE2593" t="s">
        <v>10183</v>
      </c>
      <c r="DF2593">
        <v>7.61</v>
      </c>
      <c r="DG2593">
        <v>3.08</v>
      </c>
      <c r="DH2593">
        <v>2.58</v>
      </c>
      <c r="DI2593">
        <v>3.27</v>
      </c>
      <c r="DJ2593">
        <v>31708</v>
      </c>
      <c r="DK2593">
        <v>600248</v>
      </c>
      <c r="DL2593" t="s">
        <v>120</v>
      </c>
      <c r="DM2593" t="s">
        <v>120</v>
      </c>
      <c r="DN2593" t="s">
        <v>120</v>
      </c>
    </row>
    <row r="2594" spans="1:118">
      <c r="A2594" t="str">
        <f>"600249"</f>
        <v>600249</v>
      </c>
      <c r="B2594" t="s">
        <v>11816</v>
      </c>
      <c r="C2594">
        <v>0.4</v>
      </c>
      <c r="D2594">
        <v>-0.39</v>
      </c>
      <c r="E2594">
        <v>0</v>
      </c>
      <c r="F2594">
        <v>1344</v>
      </c>
      <c r="G2594" t="s">
        <v>3885</v>
      </c>
      <c r="H2594">
        <v>6876.16</v>
      </c>
      <c r="I2594">
        <v>1.68</v>
      </c>
      <c r="J2594" t="s">
        <v>120</v>
      </c>
      <c r="K2594" t="s">
        <v>3872</v>
      </c>
      <c r="L2594">
        <v>2.4700000000000002</v>
      </c>
      <c r="M2594">
        <v>4.97</v>
      </c>
      <c r="N2594">
        <v>2.37</v>
      </c>
      <c r="O2594">
        <v>4.8499999999999996</v>
      </c>
      <c r="P2594">
        <v>5.19</v>
      </c>
      <c r="Q2594">
        <v>-0.61</v>
      </c>
      <c r="R2594">
        <v>4.92</v>
      </c>
      <c r="S2594">
        <v>4.95</v>
      </c>
      <c r="T2594">
        <v>135755</v>
      </c>
      <c r="U2594">
        <v>4.97</v>
      </c>
      <c r="V2594">
        <v>4.95</v>
      </c>
      <c r="W2594" t="s">
        <v>120</v>
      </c>
      <c r="X2594" t="s">
        <v>1817</v>
      </c>
      <c r="Y2594" t="s">
        <v>945</v>
      </c>
      <c r="Z2594">
        <v>5.45</v>
      </c>
      <c r="AA2594">
        <v>5.07</v>
      </c>
      <c r="AB2594">
        <v>59910</v>
      </c>
      <c r="AC2594">
        <v>75845</v>
      </c>
      <c r="AD2594">
        <v>0.79</v>
      </c>
      <c r="AE2594">
        <v>786</v>
      </c>
      <c r="AF2594">
        <v>387</v>
      </c>
      <c r="AG2594" t="s">
        <v>120</v>
      </c>
      <c r="AH2594">
        <v>0</v>
      </c>
      <c r="AI2594" t="s">
        <v>120</v>
      </c>
      <c r="AJ2594">
        <v>5.5</v>
      </c>
      <c r="AK2594" t="s">
        <v>3872</v>
      </c>
      <c r="AL2594">
        <v>1.75</v>
      </c>
      <c r="AM2594">
        <v>2047</v>
      </c>
      <c r="AN2594">
        <v>66</v>
      </c>
      <c r="AO2594">
        <v>1.1999999999999999E-3</v>
      </c>
      <c r="AP2594">
        <v>2</v>
      </c>
      <c r="AQ2594">
        <v>0.81</v>
      </c>
      <c r="AR2594">
        <v>-0.4</v>
      </c>
      <c r="AS2594">
        <v>5.75</v>
      </c>
      <c r="AT2594">
        <v>2.68</v>
      </c>
      <c r="AU2594">
        <v>4.8499999999999996</v>
      </c>
      <c r="AV2594">
        <v>1</v>
      </c>
      <c r="AW2594">
        <v>5.81</v>
      </c>
      <c r="AX2594">
        <v>42.49</v>
      </c>
      <c r="AY2594">
        <v>60.4</v>
      </c>
      <c r="AZ2594">
        <v>46.93</v>
      </c>
      <c r="BA2594">
        <v>0.32</v>
      </c>
      <c r="BB2594" t="s">
        <v>125</v>
      </c>
      <c r="BF2594">
        <v>2.33</v>
      </c>
      <c r="BG2594">
        <v>0.4</v>
      </c>
      <c r="BH2594">
        <v>-4.24</v>
      </c>
      <c r="BI2594">
        <v>1.02</v>
      </c>
      <c r="BJ2594">
        <v>20210826</v>
      </c>
      <c r="BK2594">
        <v>20040130</v>
      </c>
      <c r="BL2594">
        <v>5.5</v>
      </c>
      <c r="BM2594" t="s">
        <v>120</v>
      </c>
      <c r="BN2594" t="s">
        <v>120</v>
      </c>
      <c r="BO2594">
        <v>25.16</v>
      </c>
      <c r="BP2594">
        <v>4.96</v>
      </c>
      <c r="BQ2594">
        <v>21.17</v>
      </c>
      <c r="BR2594">
        <v>-0.06</v>
      </c>
      <c r="BS2594">
        <v>16.100000000000001</v>
      </c>
      <c r="BT2594">
        <v>17.73</v>
      </c>
      <c r="BU2594">
        <v>3.25</v>
      </c>
      <c r="BV2594">
        <v>0.8</v>
      </c>
      <c r="BW2594">
        <v>3.46</v>
      </c>
      <c r="BX2594">
        <v>5.81</v>
      </c>
      <c r="BY2594">
        <v>1.6</v>
      </c>
      <c r="BZ2594">
        <v>0.97</v>
      </c>
      <c r="CA2594" t="s">
        <v>120</v>
      </c>
      <c r="CB2594">
        <v>11.85</v>
      </c>
      <c r="CC2594">
        <v>3.68</v>
      </c>
      <c r="CD2594">
        <v>2.83</v>
      </c>
      <c r="CE2594">
        <v>-0.2</v>
      </c>
      <c r="CF2594">
        <v>0.01</v>
      </c>
      <c r="CG2594">
        <v>-0.18</v>
      </c>
      <c r="CH2594">
        <v>-0.1</v>
      </c>
      <c r="CI2594">
        <v>-0.11</v>
      </c>
      <c r="CJ2594">
        <v>0.02</v>
      </c>
      <c r="CK2594">
        <v>0</v>
      </c>
      <c r="CL2594">
        <v>1.45</v>
      </c>
      <c r="CM2594">
        <v>-0.39</v>
      </c>
      <c r="CN2594">
        <v>-0.33</v>
      </c>
      <c r="CO2594">
        <v>43903</v>
      </c>
      <c r="CP2594">
        <v>5323</v>
      </c>
      <c r="CQ2594" t="s">
        <v>11817</v>
      </c>
      <c r="CR2594">
        <v>-557.17999999999995</v>
      </c>
      <c r="CS2594">
        <v>25.86</v>
      </c>
      <c r="CT2594">
        <v>1.29</v>
      </c>
      <c r="CU2594">
        <v>-70.03</v>
      </c>
      <c r="CV2594">
        <v>7.43</v>
      </c>
      <c r="CW2594">
        <v>0</v>
      </c>
      <c r="CX2594" t="s">
        <v>11818</v>
      </c>
      <c r="CY2594">
        <v>3.85</v>
      </c>
      <c r="CZ2594">
        <v>0</v>
      </c>
      <c r="DA2594">
        <v>2.15</v>
      </c>
      <c r="DB2594">
        <v>0.26</v>
      </c>
      <c r="DC2594">
        <v>-7.0000000000000007E-2</v>
      </c>
      <c r="DD2594">
        <v>84.12</v>
      </c>
      <c r="DE2594" t="s">
        <v>11819</v>
      </c>
      <c r="DF2594">
        <v>22.98</v>
      </c>
      <c r="DG2594">
        <v>-5.33</v>
      </c>
      <c r="DH2594">
        <v>-2.88</v>
      </c>
      <c r="DI2594">
        <v>0.05</v>
      </c>
      <c r="DJ2594">
        <v>1506</v>
      </c>
      <c r="DK2594">
        <v>600249</v>
      </c>
      <c r="DL2594" t="s">
        <v>120</v>
      </c>
      <c r="DM2594" t="s">
        <v>120</v>
      </c>
      <c r="DN2594" t="s">
        <v>120</v>
      </c>
    </row>
    <row r="2595" spans="1:118">
      <c r="A2595" t="str">
        <f>"600250"</f>
        <v>600250</v>
      </c>
      <c r="B2595" t="s">
        <v>11820</v>
      </c>
      <c r="C2595">
        <v>-1.02</v>
      </c>
      <c r="D2595">
        <v>0</v>
      </c>
      <c r="E2595">
        <v>0</v>
      </c>
      <c r="F2595">
        <v>132</v>
      </c>
      <c r="G2595" t="s">
        <v>11821</v>
      </c>
      <c r="H2595">
        <v>1307.01</v>
      </c>
      <c r="I2595">
        <v>3.72</v>
      </c>
      <c r="J2595" t="s">
        <v>120</v>
      </c>
      <c r="K2595" t="s">
        <v>6654</v>
      </c>
      <c r="L2595">
        <v>0.99</v>
      </c>
      <c r="M2595">
        <v>4.8499999999999996</v>
      </c>
      <c r="N2595">
        <v>1.1100000000000001</v>
      </c>
      <c r="O2595">
        <v>1.02</v>
      </c>
      <c r="P2595">
        <v>4.95</v>
      </c>
      <c r="Q2595">
        <v>-1.43</v>
      </c>
      <c r="R2595">
        <v>4.83</v>
      </c>
      <c r="S2595">
        <v>4.9000000000000004</v>
      </c>
      <c r="T2595">
        <v>26687</v>
      </c>
      <c r="U2595">
        <v>4.8600000000000003</v>
      </c>
      <c r="V2595">
        <v>4.9000000000000004</v>
      </c>
      <c r="W2595">
        <v>69.72</v>
      </c>
      <c r="X2595" t="s">
        <v>562</v>
      </c>
      <c r="Y2595" t="s">
        <v>319</v>
      </c>
      <c r="Z2595">
        <v>2.4500000000000002</v>
      </c>
      <c r="AA2595">
        <v>4.9000000000000004</v>
      </c>
      <c r="AB2595">
        <v>14883</v>
      </c>
      <c r="AC2595">
        <v>11804</v>
      </c>
      <c r="AD2595">
        <v>1.26</v>
      </c>
      <c r="AE2595">
        <v>415</v>
      </c>
      <c r="AF2595">
        <v>89</v>
      </c>
      <c r="AG2595" t="s">
        <v>120</v>
      </c>
      <c r="AH2595">
        <v>0.01</v>
      </c>
      <c r="AI2595" t="s">
        <v>120</v>
      </c>
      <c r="AJ2595">
        <v>2.7</v>
      </c>
      <c r="AK2595" t="s">
        <v>10602</v>
      </c>
      <c r="AL2595">
        <v>0.32</v>
      </c>
      <c r="AM2595">
        <v>984</v>
      </c>
      <c r="AN2595">
        <v>27</v>
      </c>
      <c r="AO2595">
        <v>1E-3</v>
      </c>
      <c r="AP2595">
        <v>-1</v>
      </c>
      <c r="AQ2595">
        <v>1.03</v>
      </c>
      <c r="AR2595">
        <v>-1.62</v>
      </c>
      <c r="AS2595">
        <v>6.83</v>
      </c>
      <c r="AT2595">
        <v>-0.21</v>
      </c>
      <c r="AU2595">
        <v>-9.68</v>
      </c>
      <c r="AV2595">
        <v>3</v>
      </c>
      <c r="AW2595">
        <v>1.86</v>
      </c>
      <c r="AX2595">
        <v>46.21</v>
      </c>
      <c r="AY2595" t="s">
        <v>120</v>
      </c>
      <c r="AZ2595">
        <v>69.72</v>
      </c>
      <c r="BA2595">
        <v>0.7</v>
      </c>
      <c r="BB2595" t="s">
        <v>184</v>
      </c>
      <c r="BF2595">
        <v>-0.05</v>
      </c>
      <c r="BG2595">
        <v>-1.02</v>
      </c>
      <c r="BH2595">
        <v>-2.02</v>
      </c>
      <c r="BI2595">
        <v>0.41</v>
      </c>
      <c r="BJ2595">
        <v>20210901</v>
      </c>
      <c r="BK2595">
        <v>20010306</v>
      </c>
      <c r="BL2595">
        <v>3.11</v>
      </c>
      <c r="BM2595" t="s">
        <v>120</v>
      </c>
      <c r="BN2595" t="s">
        <v>120</v>
      </c>
      <c r="BO2595">
        <v>23.66</v>
      </c>
      <c r="BP2595">
        <v>4.8499999999999996</v>
      </c>
      <c r="BQ2595">
        <v>8.7799999999999994</v>
      </c>
      <c r="BR2595">
        <v>1.71</v>
      </c>
      <c r="BS2595">
        <v>55.68</v>
      </c>
      <c r="BT2595">
        <v>7.97</v>
      </c>
      <c r="BU2595">
        <v>0.78</v>
      </c>
      <c r="BV2595">
        <v>2.84</v>
      </c>
      <c r="BW2595">
        <v>10.24</v>
      </c>
      <c r="BX2595">
        <v>4.96</v>
      </c>
      <c r="BY2595">
        <v>0.46</v>
      </c>
      <c r="BZ2595">
        <v>0.8</v>
      </c>
      <c r="CA2595" t="s">
        <v>120</v>
      </c>
      <c r="CB2595">
        <v>3.22</v>
      </c>
      <c r="CC2595">
        <v>4.3</v>
      </c>
      <c r="CD2595">
        <v>3.37</v>
      </c>
      <c r="CE2595">
        <v>0.36</v>
      </c>
      <c r="CF2595">
        <v>0.16</v>
      </c>
      <c r="CG2595">
        <v>0.36</v>
      </c>
      <c r="CH2595">
        <v>0.25</v>
      </c>
      <c r="CI2595">
        <v>0.11</v>
      </c>
      <c r="CJ2595">
        <v>-0.05</v>
      </c>
      <c r="CK2595">
        <v>0</v>
      </c>
      <c r="CL2595">
        <v>2.33</v>
      </c>
      <c r="CM2595">
        <v>0.13</v>
      </c>
      <c r="CN2595">
        <v>-1.41</v>
      </c>
      <c r="CO2595">
        <v>13788</v>
      </c>
      <c r="CP2595">
        <v>10409</v>
      </c>
      <c r="CQ2595" t="s">
        <v>358</v>
      </c>
      <c r="CR2595">
        <v>-82.44</v>
      </c>
      <c r="CS2595">
        <v>15.06</v>
      </c>
      <c r="CT2595">
        <v>1.72</v>
      </c>
      <c r="CU2595">
        <v>118.26</v>
      </c>
      <c r="CV2595">
        <v>3.5</v>
      </c>
      <c r="CW2595">
        <v>0</v>
      </c>
      <c r="CX2595" t="s">
        <v>208</v>
      </c>
      <c r="CY2595">
        <v>2.83</v>
      </c>
      <c r="CZ2595">
        <v>0</v>
      </c>
      <c r="DA2595">
        <v>1.04</v>
      </c>
      <c r="DB2595">
        <v>0.75</v>
      </c>
      <c r="DC2595">
        <v>0.04</v>
      </c>
      <c r="DD2595">
        <v>37.1</v>
      </c>
      <c r="DE2595" t="s">
        <v>6498</v>
      </c>
      <c r="DF2595">
        <v>21.77</v>
      </c>
      <c r="DG2595">
        <v>8.39</v>
      </c>
      <c r="DH2595">
        <v>2.5099999999999998</v>
      </c>
      <c r="DI2595">
        <v>0.03</v>
      </c>
      <c r="DJ2595">
        <v>559</v>
      </c>
      <c r="DK2595">
        <v>600250</v>
      </c>
      <c r="DL2595" t="s">
        <v>120</v>
      </c>
      <c r="DM2595" t="s">
        <v>120</v>
      </c>
      <c r="DN2595" t="s">
        <v>120</v>
      </c>
    </row>
    <row r="2596" spans="1:118">
      <c r="A2596" t="str">
        <f>"600251"</f>
        <v>600251</v>
      </c>
      <c r="B2596" t="s">
        <v>11822</v>
      </c>
      <c r="C2596">
        <v>-2.2000000000000002</v>
      </c>
      <c r="D2596">
        <v>-0.08</v>
      </c>
      <c r="E2596">
        <v>0.82</v>
      </c>
      <c r="F2596">
        <v>5114</v>
      </c>
      <c r="G2596" t="s">
        <v>1729</v>
      </c>
      <c r="H2596">
        <v>38322.22</v>
      </c>
      <c r="I2596">
        <v>116.27</v>
      </c>
      <c r="J2596" t="s">
        <v>120</v>
      </c>
      <c r="K2596" t="s">
        <v>11823</v>
      </c>
      <c r="L2596">
        <v>4.46</v>
      </c>
      <c r="M2596">
        <v>10.67</v>
      </c>
      <c r="N2596">
        <v>1.02</v>
      </c>
      <c r="O2596">
        <v>4.95</v>
      </c>
      <c r="P2596">
        <v>11.45</v>
      </c>
      <c r="Q2596">
        <v>-2.29</v>
      </c>
      <c r="R2596">
        <v>10.66</v>
      </c>
      <c r="S2596">
        <v>11</v>
      </c>
      <c r="T2596">
        <v>346296</v>
      </c>
      <c r="U2596">
        <v>10.67</v>
      </c>
      <c r="V2596">
        <v>10.91</v>
      </c>
      <c r="W2596">
        <v>21.96</v>
      </c>
      <c r="X2596" t="s">
        <v>447</v>
      </c>
      <c r="Y2596" t="s">
        <v>609</v>
      </c>
      <c r="Z2596">
        <v>7.24</v>
      </c>
      <c r="AA2596">
        <v>11.07</v>
      </c>
      <c r="AB2596">
        <v>183416</v>
      </c>
      <c r="AC2596">
        <v>162880</v>
      </c>
      <c r="AD2596">
        <v>1.1299999999999999</v>
      </c>
      <c r="AE2596">
        <v>337</v>
      </c>
      <c r="AF2596">
        <v>1584</v>
      </c>
      <c r="AG2596" t="s">
        <v>120</v>
      </c>
      <c r="AH2596">
        <v>0.02</v>
      </c>
      <c r="AI2596" t="s">
        <v>120</v>
      </c>
      <c r="AJ2596">
        <v>7.77</v>
      </c>
      <c r="AK2596" t="s">
        <v>11824</v>
      </c>
      <c r="AL2596">
        <v>-0.86</v>
      </c>
      <c r="AM2596">
        <v>3726</v>
      </c>
      <c r="AN2596">
        <v>93</v>
      </c>
      <c r="AO2596">
        <v>1.1999999999999999E-3</v>
      </c>
      <c r="AP2596">
        <v>-2</v>
      </c>
      <c r="AQ2596">
        <v>-1.18</v>
      </c>
      <c r="AR2596">
        <v>-0.28000000000000003</v>
      </c>
      <c r="AS2596">
        <v>10</v>
      </c>
      <c r="AT2596">
        <v>42.46</v>
      </c>
      <c r="AU2596">
        <v>45.87</v>
      </c>
      <c r="AV2596">
        <v>3</v>
      </c>
      <c r="AW2596">
        <v>8.0399999999999991</v>
      </c>
      <c r="AX2596">
        <v>55.13</v>
      </c>
      <c r="AY2596">
        <v>32.82</v>
      </c>
      <c r="AZ2596">
        <v>34.520000000000003</v>
      </c>
      <c r="BA2596">
        <v>1.52</v>
      </c>
      <c r="BB2596" t="s">
        <v>143</v>
      </c>
      <c r="BF2596">
        <v>1.43</v>
      </c>
      <c r="BG2596">
        <v>-3</v>
      </c>
      <c r="BH2596">
        <v>-6.81</v>
      </c>
      <c r="BI2596">
        <v>0.09</v>
      </c>
      <c r="BJ2596">
        <v>20210908</v>
      </c>
      <c r="BK2596">
        <v>20030609</v>
      </c>
      <c r="BL2596">
        <v>7.82</v>
      </c>
      <c r="BM2596" t="s">
        <v>120</v>
      </c>
      <c r="BN2596" t="s">
        <v>120</v>
      </c>
      <c r="BO2596">
        <v>40.200000000000003</v>
      </c>
      <c r="BP2596">
        <v>10.66</v>
      </c>
      <c r="BQ2596">
        <v>26.14</v>
      </c>
      <c r="BR2596">
        <v>4.4800000000000004</v>
      </c>
      <c r="BS2596">
        <v>23.82</v>
      </c>
      <c r="BT2596">
        <v>19.2</v>
      </c>
      <c r="BU2596">
        <v>8.48</v>
      </c>
      <c r="BV2596">
        <v>2.27</v>
      </c>
      <c r="BW2596">
        <v>8.94</v>
      </c>
      <c r="BX2596">
        <v>5.36</v>
      </c>
      <c r="BY2596">
        <v>2.96</v>
      </c>
      <c r="BZ2596">
        <v>2.37</v>
      </c>
      <c r="CA2596" t="s">
        <v>120</v>
      </c>
      <c r="CB2596">
        <v>3.87</v>
      </c>
      <c r="CC2596">
        <v>34.26</v>
      </c>
      <c r="CD2596">
        <v>32.11</v>
      </c>
      <c r="CE2596">
        <v>2.2799999999999998</v>
      </c>
      <c r="CF2596">
        <v>1.35</v>
      </c>
      <c r="CG2596">
        <v>2.33</v>
      </c>
      <c r="CH2596">
        <v>2.31</v>
      </c>
      <c r="CI2596">
        <v>1.9</v>
      </c>
      <c r="CJ2596">
        <v>-0.24</v>
      </c>
      <c r="CK2596">
        <v>1.63</v>
      </c>
      <c r="CL2596">
        <v>12.81</v>
      </c>
      <c r="CM2596">
        <v>23.42</v>
      </c>
      <c r="CN2596">
        <v>-1.98</v>
      </c>
      <c r="CO2596">
        <v>42777</v>
      </c>
      <c r="CP2596">
        <v>10072</v>
      </c>
      <c r="CQ2596" t="s">
        <v>11825</v>
      </c>
      <c r="CR2596">
        <v>7.25</v>
      </c>
      <c r="CS2596">
        <v>115.85</v>
      </c>
      <c r="CT2596">
        <v>3.2</v>
      </c>
      <c r="CU2596">
        <v>3.56</v>
      </c>
      <c r="CV2596">
        <v>2.4300000000000002</v>
      </c>
      <c r="CW2596">
        <v>0.32</v>
      </c>
      <c r="CX2596" t="s">
        <v>626</v>
      </c>
      <c r="CY2596">
        <v>3.33</v>
      </c>
      <c r="CZ2596">
        <v>3.33</v>
      </c>
      <c r="DA2596">
        <v>0.5</v>
      </c>
      <c r="DB2596">
        <v>1.64</v>
      </c>
      <c r="DC2596">
        <v>3</v>
      </c>
      <c r="DD2596">
        <v>65.03</v>
      </c>
      <c r="DE2596" t="s">
        <v>4627</v>
      </c>
      <c r="DF2596">
        <v>6.29</v>
      </c>
      <c r="DG2596">
        <v>6.66</v>
      </c>
      <c r="DH2596">
        <v>5.54</v>
      </c>
      <c r="DI2596">
        <v>0.03</v>
      </c>
      <c r="DJ2596">
        <v>690</v>
      </c>
      <c r="DK2596">
        <v>600251</v>
      </c>
      <c r="DL2596" t="s">
        <v>120</v>
      </c>
      <c r="DM2596" t="s">
        <v>120</v>
      </c>
      <c r="DN2596" t="s">
        <v>120</v>
      </c>
    </row>
    <row r="2597" spans="1:118">
      <c r="A2597" t="str">
        <f>"600252"</f>
        <v>600252</v>
      </c>
      <c r="B2597" t="s">
        <v>11826</v>
      </c>
      <c r="C2597">
        <v>-0.28999999999999998</v>
      </c>
      <c r="D2597">
        <v>0.59</v>
      </c>
      <c r="E2597">
        <v>-0.28999999999999998</v>
      </c>
      <c r="F2597">
        <v>10345</v>
      </c>
      <c r="G2597" t="s">
        <v>11827</v>
      </c>
      <c r="H2597">
        <v>19660.099999999999</v>
      </c>
      <c r="I2597">
        <v>56.41</v>
      </c>
      <c r="J2597" t="s">
        <v>120</v>
      </c>
      <c r="K2597" t="s">
        <v>11828</v>
      </c>
      <c r="L2597">
        <v>1.64</v>
      </c>
      <c r="M2597">
        <v>3.4</v>
      </c>
      <c r="N2597">
        <v>1.0900000000000001</v>
      </c>
      <c r="O2597">
        <v>2.35</v>
      </c>
      <c r="P2597">
        <v>3.49</v>
      </c>
      <c r="Q2597">
        <v>-0.88</v>
      </c>
      <c r="R2597">
        <v>3.38</v>
      </c>
      <c r="S2597">
        <v>3.4</v>
      </c>
      <c r="T2597">
        <v>570841</v>
      </c>
      <c r="U2597">
        <v>3.4</v>
      </c>
      <c r="V2597">
        <v>3.41</v>
      </c>
      <c r="W2597">
        <v>17.100000000000001</v>
      </c>
      <c r="X2597" t="s">
        <v>771</v>
      </c>
      <c r="Y2597" t="s">
        <v>945</v>
      </c>
      <c r="Z2597">
        <v>3.23</v>
      </c>
      <c r="AA2597">
        <v>3.44</v>
      </c>
      <c r="AB2597">
        <v>268595</v>
      </c>
      <c r="AC2597">
        <v>302246</v>
      </c>
      <c r="AD2597">
        <v>0.89</v>
      </c>
      <c r="AE2597">
        <v>81</v>
      </c>
      <c r="AF2597">
        <v>5799</v>
      </c>
      <c r="AG2597" t="s">
        <v>120</v>
      </c>
      <c r="AH2597">
        <v>0.01</v>
      </c>
      <c r="AI2597" t="s">
        <v>120</v>
      </c>
      <c r="AJ2597">
        <v>34.75</v>
      </c>
      <c r="AK2597" t="s">
        <v>11828</v>
      </c>
      <c r="AL2597">
        <v>1.05</v>
      </c>
      <c r="AM2597">
        <v>3341</v>
      </c>
      <c r="AN2597">
        <v>171</v>
      </c>
      <c r="AO2597">
        <v>5.0000000000000001E-4</v>
      </c>
      <c r="AP2597">
        <v>-1</v>
      </c>
      <c r="AQ2597">
        <v>0.28999999999999998</v>
      </c>
      <c r="AR2597">
        <v>-1.1599999999999999</v>
      </c>
      <c r="AS2597">
        <v>8.9700000000000006</v>
      </c>
      <c r="AT2597">
        <v>18.88</v>
      </c>
      <c r="AU2597">
        <v>13.94</v>
      </c>
      <c r="AV2597">
        <v>4</v>
      </c>
      <c r="AW2597">
        <v>2.27</v>
      </c>
      <c r="AX2597">
        <v>72.27</v>
      </c>
      <c r="AY2597">
        <v>20.09</v>
      </c>
      <c r="AZ2597">
        <v>21.05</v>
      </c>
      <c r="BA2597">
        <v>0</v>
      </c>
      <c r="BB2597" t="s">
        <v>125</v>
      </c>
      <c r="BF2597">
        <v>1</v>
      </c>
      <c r="BG2597">
        <v>0</v>
      </c>
      <c r="BH2597">
        <v>-2.58</v>
      </c>
      <c r="BI2597">
        <v>0.59</v>
      </c>
      <c r="BJ2597">
        <v>20210831</v>
      </c>
      <c r="BK2597">
        <v>20001130</v>
      </c>
      <c r="BL2597">
        <v>34.75</v>
      </c>
      <c r="BM2597" t="s">
        <v>120</v>
      </c>
      <c r="BN2597" t="s">
        <v>120</v>
      </c>
      <c r="BO2597">
        <v>115.79</v>
      </c>
      <c r="BP2597">
        <v>3.39</v>
      </c>
      <c r="BQ2597">
        <v>66.739999999999995</v>
      </c>
      <c r="BR2597">
        <v>19.579999999999998</v>
      </c>
      <c r="BS2597">
        <v>25.45</v>
      </c>
      <c r="BT2597">
        <v>49.81</v>
      </c>
      <c r="BU2597">
        <v>17.39</v>
      </c>
      <c r="BV2597">
        <v>6.56</v>
      </c>
      <c r="BW2597">
        <v>24.98</v>
      </c>
      <c r="BX2597">
        <v>29.51</v>
      </c>
      <c r="BY2597">
        <v>6.13</v>
      </c>
      <c r="BZ2597">
        <v>7.68</v>
      </c>
      <c r="CA2597">
        <v>7.0000000000000007E-2</v>
      </c>
      <c r="CB2597">
        <v>0.74</v>
      </c>
      <c r="CC2597">
        <v>18.82</v>
      </c>
      <c r="CD2597">
        <v>4.8600000000000003</v>
      </c>
      <c r="CE2597">
        <v>3.35</v>
      </c>
      <c r="CF2597">
        <v>1</v>
      </c>
      <c r="CG2597">
        <v>4.3</v>
      </c>
      <c r="CH2597">
        <v>3.63</v>
      </c>
      <c r="CI2597">
        <v>3.45</v>
      </c>
      <c r="CJ2597">
        <v>-0.01</v>
      </c>
      <c r="CK2597">
        <v>2.25</v>
      </c>
      <c r="CL2597">
        <v>25.33</v>
      </c>
      <c r="CM2597">
        <v>2.08</v>
      </c>
      <c r="CN2597">
        <v>-3.86</v>
      </c>
      <c r="CO2597">
        <v>140331</v>
      </c>
      <c r="CP2597">
        <v>17897</v>
      </c>
      <c r="CQ2597" t="s">
        <v>1972</v>
      </c>
      <c r="CR2597">
        <v>8.49</v>
      </c>
      <c r="CS2597">
        <v>7.75</v>
      </c>
      <c r="CT2597">
        <v>1.77</v>
      </c>
      <c r="CU2597">
        <v>56.82</v>
      </c>
      <c r="CV2597">
        <v>6.28</v>
      </c>
      <c r="CW2597">
        <v>2.4900000000000002</v>
      </c>
      <c r="CX2597" t="s">
        <v>411</v>
      </c>
      <c r="CY2597">
        <v>1.92</v>
      </c>
      <c r="CZ2597">
        <v>0</v>
      </c>
      <c r="DA2597">
        <v>0.02</v>
      </c>
      <c r="DB2597">
        <v>0.73</v>
      </c>
      <c r="DC2597">
        <v>0.06</v>
      </c>
      <c r="DD2597">
        <v>57.64</v>
      </c>
      <c r="DE2597" t="s">
        <v>153</v>
      </c>
      <c r="DF2597">
        <v>74.16</v>
      </c>
      <c r="DG2597">
        <v>17.82</v>
      </c>
      <c r="DH2597">
        <v>18.350000000000001</v>
      </c>
      <c r="DI2597">
        <v>0.64</v>
      </c>
      <c r="DJ2597">
        <v>3993</v>
      </c>
      <c r="DK2597">
        <v>600252</v>
      </c>
      <c r="DL2597" t="s">
        <v>120</v>
      </c>
      <c r="DM2597" t="s">
        <v>120</v>
      </c>
      <c r="DN2597" t="s">
        <v>120</v>
      </c>
    </row>
    <row r="2598" spans="1:118">
      <c r="A2598" t="str">
        <f>"600255"</f>
        <v>600255</v>
      </c>
      <c r="B2598" t="s">
        <v>11829</v>
      </c>
      <c r="C2598">
        <v>-3.5</v>
      </c>
      <c r="D2598">
        <v>-0.39</v>
      </c>
      <c r="E2598">
        <v>0</v>
      </c>
      <c r="F2598">
        <v>6221</v>
      </c>
      <c r="G2598" t="s">
        <v>5095</v>
      </c>
      <c r="H2598">
        <v>19321.599999999999</v>
      </c>
      <c r="I2598">
        <v>95.45</v>
      </c>
      <c r="J2598" t="s">
        <v>120</v>
      </c>
      <c r="K2598" t="s">
        <v>11830</v>
      </c>
      <c r="L2598">
        <v>4.28</v>
      </c>
      <c r="M2598">
        <v>2.48</v>
      </c>
      <c r="N2598">
        <v>0.73</v>
      </c>
      <c r="O2598">
        <v>2.33</v>
      </c>
      <c r="P2598">
        <v>2.63</v>
      </c>
      <c r="Q2598">
        <v>-3.5</v>
      </c>
      <c r="R2598">
        <v>2.48</v>
      </c>
      <c r="S2598">
        <v>2.57</v>
      </c>
      <c r="T2598">
        <v>757337</v>
      </c>
      <c r="U2598">
        <v>2.4900000000000002</v>
      </c>
      <c r="V2598">
        <v>2.57</v>
      </c>
      <c r="W2598">
        <v>50.29</v>
      </c>
      <c r="X2598" t="s">
        <v>1398</v>
      </c>
      <c r="Y2598" t="s">
        <v>570</v>
      </c>
      <c r="Z2598">
        <v>5.84</v>
      </c>
      <c r="AA2598">
        <v>2.5499999999999998</v>
      </c>
      <c r="AB2598">
        <v>429699</v>
      </c>
      <c r="AC2598">
        <v>327638</v>
      </c>
      <c r="AD2598">
        <v>1.31</v>
      </c>
      <c r="AE2598">
        <v>15898</v>
      </c>
      <c r="AF2598">
        <v>11104</v>
      </c>
      <c r="AG2598" t="s">
        <v>120</v>
      </c>
      <c r="AH2598">
        <v>0.02</v>
      </c>
      <c r="AI2598" t="s">
        <v>120</v>
      </c>
      <c r="AJ2598">
        <v>17.7</v>
      </c>
      <c r="AK2598" t="s">
        <v>10649</v>
      </c>
      <c r="AL2598">
        <v>-2.16</v>
      </c>
      <c r="AM2598">
        <v>3395</v>
      </c>
      <c r="AN2598">
        <v>223</v>
      </c>
      <c r="AO2598">
        <v>1.2999999999999999E-3</v>
      </c>
      <c r="AP2598">
        <v>-1</v>
      </c>
      <c r="AQ2598">
        <v>0</v>
      </c>
      <c r="AR2598">
        <v>-7.12</v>
      </c>
      <c r="AS2598">
        <v>9.26</v>
      </c>
      <c r="AT2598">
        <v>18.66</v>
      </c>
      <c r="AU2598">
        <v>34.78</v>
      </c>
      <c r="AV2598">
        <v>15</v>
      </c>
      <c r="AW2598">
        <v>4.9400000000000004</v>
      </c>
      <c r="AX2598">
        <v>85.16</v>
      </c>
      <c r="AY2598">
        <v>104.04</v>
      </c>
      <c r="AZ2598">
        <v>75.59</v>
      </c>
      <c r="BA2598">
        <v>0.82</v>
      </c>
      <c r="BB2598" t="s">
        <v>143</v>
      </c>
      <c r="BF2598">
        <v>-0.73</v>
      </c>
      <c r="BG2598">
        <v>-3.5</v>
      </c>
      <c r="BH2598">
        <v>-5.7</v>
      </c>
      <c r="BI2598">
        <v>0</v>
      </c>
      <c r="BJ2598">
        <v>20210814</v>
      </c>
      <c r="BK2598">
        <v>20001122</v>
      </c>
      <c r="BL2598">
        <v>18</v>
      </c>
      <c r="BM2598" t="s">
        <v>120</v>
      </c>
      <c r="BN2598" t="s">
        <v>120</v>
      </c>
      <c r="BO2598">
        <v>30.63</v>
      </c>
      <c r="BP2598">
        <v>2.48</v>
      </c>
      <c r="BQ2598">
        <v>12.31</v>
      </c>
      <c r="BR2598">
        <v>2.57</v>
      </c>
      <c r="BS2598">
        <v>51.43</v>
      </c>
      <c r="BT2598">
        <v>17.64</v>
      </c>
      <c r="BU2598">
        <v>8.44</v>
      </c>
      <c r="BV2598">
        <v>0.68</v>
      </c>
      <c r="BW2598">
        <v>14.98</v>
      </c>
      <c r="BX2598">
        <v>7.63</v>
      </c>
      <c r="BY2598">
        <v>4.58</v>
      </c>
      <c r="BZ2598">
        <v>4.79</v>
      </c>
      <c r="CA2598" t="s">
        <v>120</v>
      </c>
      <c r="CB2598">
        <v>12.62</v>
      </c>
      <c r="CC2598">
        <v>15.59</v>
      </c>
      <c r="CD2598">
        <v>13.48</v>
      </c>
      <c r="CE2598">
        <v>0.63</v>
      </c>
      <c r="CF2598">
        <v>0.01</v>
      </c>
      <c r="CG2598">
        <v>0.65</v>
      </c>
      <c r="CH2598">
        <v>0.56999999999999995</v>
      </c>
      <c r="CI2598">
        <v>0.44</v>
      </c>
      <c r="CJ2598">
        <v>-0.09</v>
      </c>
      <c r="CK2598">
        <v>0.42</v>
      </c>
      <c r="CL2598">
        <v>-18.440000000000001</v>
      </c>
      <c r="CM2598">
        <v>-0.33</v>
      </c>
      <c r="CN2598">
        <v>0.52</v>
      </c>
      <c r="CO2598">
        <v>115877</v>
      </c>
      <c r="CP2598">
        <v>13225</v>
      </c>
      <c r="CQ2598" t="s">
        <v>11831</v>
      </c>
      <c r="CR2598">
        <v>-27.38</v>
      </c>
      <c r="CS2598">
        <v>-4.78</v>
      </c>
      <c r="CT2598">
        <v>3.63</v>
      </c>
      <c r="CU2598">
        <v>-136.69</v>
      </c>
      <c r="CV2598">
        <v>2.86</v>
      </c>
      <c r="CW2598">
        <v>0</v>
      </c>
      <c r="CX2598" t="s">
        <v>499</v>
      </c>
      <c r="CY2598">
        <v>0.68</v>
      </c>
      <c r="CZ2598">
        <v>0</v>
      </c>
      <c r="DA2598">
        <v>0.7</v>
      </c>
      <c r="DB2598">
        <v>-1.02</v>
      </c>
      <c r="DC2598">
        <v>-0.02</v>
      </c>
      <c r="DD2598">
        <v>40.19</v>
      </c>
      <c r="DE2598" t="s">
        <v>1060</v>
      </c>
      <c r="DF2598">
        <v>13.51</v>
      </c>
      <c r="DG2598">
        <v>4.0599999999999996</v>
      </c>
      <c r="DH2598">
        <v>2.85</v>
      </c>
      <c r="DI2598">
        <v>0.64</v>
      </c>
      <c r="DJ2598">
        <v>1041</v>
      </c>
      <c r="DK2598">
        <v>600255</v>
      </c>
      <c r="DL2598" t="s">
        <v>120</v>
      </c>
      <c r="DM2598" t="s">
        <v>120</v>
      </c>
      <c r="DN2598" t="s">
        <v>120</v>
      </c>
    </row>
    <row r="2599" spans="1:118">
      <c r="A2599" t="str">
        <f>"600256"</f>
        <v>600256</v>
      </c>
      <c r="B2599" t="s">
        <v>11832</v>
      </c>
      <c r="C2599">
        <v>1.65</v>
      </c>
      <c r="D2599">
        <v>-0.45</v>
      </c>
      <c r="E2599">
        <v>3.18</v>
      </c>
      <c r="F2599">
        <v>37570</v>
      </c>
      <c r="G2599" t="s">
        <v>11833</v>
      </c>
      <c r="H2599">
        <v>324557.46000000002</v>
      </c>
      <c r="I2599">
        <v>5862.11</v>
      </c>
      <c r="J2599" t="s">
        <v>120</v>
      </c>
      <c r="K2599" t="s">
        <v>11834</v>
      </c>
      <c r="L2599">
        <v>5.43</v>
      </c>
      <c r="M2599">
        <v>8.6199999999999992</v>
      </c>
      <c r="N2599">
        <v>1.1100000000000001</v>
      </c>
      <c r="O2599">
        <v>9.08</v>
      </c>
      <c r="P2599">
        <v>9.25</v>
      </c>
      <c r="Q2599">
        <v>0.83</v>
      </c>
      <c r="R2599">
        <v>8.5500000000000007</v>
      </c>
      <c r="S2599">
        <v>8.75</v>
      </c>
      <c r="T2599">
        <v>3667617</v>
      </c>
      <c r="U2599">
        <v>8.6199999999999992</v>
      </c>
      <c r="V2599">
        <v>8.48</v>
      </c>
      <c r="W2599">
        <v>20.69</v>
      </c>
      <c r="X2599" t="s">
        <v>3867</v>
      </c>
      <c r="Y2599" t="s">
        <v>609</v>
      </c>
      <c r="Z2599">
        <v>8.25</v>
      </c>
      <c r="AA2599">
        <v>8.85</v>
      </c>
      <c r="AB2599">
        <v>1794768</v>
      </c>
      <c r="AC2599">
        <v>1872849</v>
      </c>
      <c r="AD2599">
        <v>0.96</v>
      </c>
      <c r="AE2599">
        <v>2234</v>
      </c>
      <c r="AF2599">
        <v>10838</v>
      </c>
      <c r="AG2599" t="s">
        <v>120</v>
      </c>
      <c r="AH2599">
        <v>0.16</v>
      </c>
      <c r="AI2599" t="s">
        <v>120</v>
      </c>
      <c r="AJ2599">
        <v>67.540000000000006</v>
      </c>
      <c r="AK2599" t="s">
        <v>11834</v>
      </c>
      <c r="AL2599">
        <v>2.99</v>
      </c>
      <c r="AM2599">
        <v>4743</v>
      </c>
      <c r="AN2599">
        <v>773</v>
      </c>
      <c r="AO2599">
        <v>1.1000000000000001E-3</v>
      </c>
      <c r="AP2599">
        <v>2</v>
      </c>
      <c r="AQ2599">
        <v>0.36</v>
      </c>
      <c r="AR2599">
        <v>-4.43</v>
      </c>
      <c r="AS2599">
        <v>81.849999999999994</v>
      </c>
      <c r="AT2599">
        <v>154.28</v>
      </c>
      <c r="AU2599">
        <v>204.6</v>
      </c>
      <c r="AV2599">
        <v>7</v>
      </c>
      <c r="AW2599">
        <v>8.92</v>
      </c>
      <c r="AX2599">
        <v>60.91</v>
      </c>
      <c r="AY2599">
        <v>27.3</v>
      </c>
      <c r="AZ2599">
        <v>42.86</v>
      </c>
      <c r="BA2599">
        <v>1.44</v>
      </c>
      <c r="BB2599" t="s">
        <v>184</v>
      </c>
      <c r="BF2599">
        <v>4.3499999999999996</v>
      </c>
      <c r="BG2599">
        <v>-1.49</v>
      </c>
      <c r="BH2599">
        <v>-6.81</v>
      </c>
      <c r="BI2599">
        <v>0.82</v>
      </c>
      <c r="BJ2599">
        <v>20210901</v>
      </c>
      <c r="BK2599">
        <v>20000526</v>
      </c>
      <c r="BL2599">
        <v>67.540000000000006</v>
      </c>
      <c r="BM2599" t="s">
        <v>120</v>
      </c>
      <c r="BN2599" t="s">
        <v>120</v>
      </c>
      <c r="BO2599">
        <v>551.69000000000005</v>
      </c>
      <c r="BP2599">
        <v>8.61</v>
      </c>
      <c r="BQ2599">
        <v>182.89</v>
      </c>
      <c r="BR2599">
        <v>3.9</v>
      </c>
      <c r="BS2599">
        <v>66.14</v>
      </c>
      <c r="BT2599">
        <v>77.69</v>
      </c>
      <c r="BU2599">
        <v>281.58</v>
      </c>
      <c r="BV2599">
        <v>18.510000000000002</v>
      </c>
      <c r="BW2599">
        <v>233.5</v>
      </c>
      <c r="BX2599">
        <v>38.130000000000003</v>
      </c>
      <c r="BY2599">
        <v>10.119999999999999</v>
      </c>
      <c r="BZ2599">
        <v>8.4499999999999993</v>
      </c>
      <c r="CA2599" t="s">
        <v>120</v>
      </c>
      <c r="CB2599">
        <v>12.84</v>
      </c>
      <c r="CC2599">
        <v>100.83</v>
      </c>
      <c r="CD2599">
        <v>68.81</v>
      </c>
      <c r="CE2599">
        <v>18.55</v>
      </c>
      <c r="CF2599">
        <v>-0.34</v>
      </c>
      <c r="CG2599">
        <v>18.329999999999998</v>
      </c>
      <c r="CH2599">
        <v>13.79</v>
      </c>
      <c r="CI2599">
        <v>14.07</v>
      </c>
      <c r="CJ2599">
        <v>0.14000000000000001</v>
      </c>
      <c r="CK2599">
        <v>14.12</v>
      </c>
      <c r="CL2599">
        <v>93.01</v>
      </c>
      <c r="CM2599">
        <v>22.94</v>
      </c>
      <c r="CN2599">
        <v>-3.89</v>
      </c>
      <c r="CO2599">
        <v>160419</v>
      </c>
      <c r="CP2599">
        <v>25644</v>
      </c>
      <c r="CQ2599" t="s">
        <v>321</v>
      </c>
      <c r="CR2599">
        <v>118.07</v>
      </c>
      <c r="CS2599">
        <v>49.7</v>
      </c>
      <c r="CT2599">
        <v>3.18</v>
      </c>
      <c r="CU2599">
        <v>25.38</v>
      </c>
      <c r="CV2599">
        <v>5.77</v>
      </c>
      <c r="CW2599">
        <v>0</v>
      </c>
      <c r="CX2599" t="s">
        <v>11140</v>
      </c>
      <c r="CY2599">
        <v>2.71</v>
      </c>
      <c r="CZ2599">
        <v>0</v>
      </c>
      <c r="DA2599">
        <v>0.19</v>
      </c>
      <c r="DB2599">
        <v>1.38</v>
      </c>
      <c r="DC2599">
        <v>0.34</v>
      </c>
      <c r="DD2599">
        <v>33.15</v>
      </c>
      <c r="DE2599" t="s">
        <v>6920</v>
      </c>
      <c r="DF2599">
        <v>31.76</v>
      </c>
      <c r="DG2599">
        <v>18.399999999999999</v>
      </c>
      <c r="DH2599">
        <v>13.95</v>
      </c>
      <c r="DI2599">
        <v>0.75</v>
      </c>
      <c r="DJ2599">
        <v>5454</v>
      </c>
      <c r="DK2599">
        <v>600256</v>
      </c>
      <c r="DL2599">
        <v>20210805</v>
      </c>
      <c r="DM2599">
        <v>4.82</v>
      </c>
      <c r="DN2599">
        <v>78.84</v>
      </c>
    </row>
    <row r="2600" spans="1:118">
      <c r="A2600" t="str">
        <f>"600257"</f>
        <v>600257</v>
      </c>
      <c r="B2600" t="s">
        <v>11835</v>
      </c>
      <c r="C2600">
        <v>6.52</v>
      </c>
      <c r="D2600">
        <v>0.14000000000000001</v>
      </c>
      <c r="E2600">
        <v>-0.3</v>
      </c>
      <c r="F2600">
        <v>12317</v>
      </c>
      <c r="G2600" t="s">
        <v>11836</v>
      </c>
      <c r="H2600">
        <v>41648.94</v>
      </c>
      <c r="I2600">
        <v>15.66</v>
      </c>
      <c r="J2600" t="s">
        <v>120</v>
      </c>
      <c r="K2600" t="s">
        <v>4786</v>
      </c>
      <c r="L2600">
        <v>12.54</v>
      </c>
      <c r="M2600">
        <v>7.03</v>
      </c>
      <c r="N2600">
        <v>2.92</v>
      </c>
      <c r="O2600">
        <v>6.82</v>
      </c>
      <c r="P2600">
        <v>7.05</v>
      </c>
      <c r="Q2600">
        <v>-0.45</v>
      </c>
      <c r="R2600">
        <v>6.57</v>
      </c>
      <c r="S2600">
        <v>6.58</v>
      </c>
      <c r="T2600">
        <v>603439</v>
      </c>
      <c r="U2600">
        <v>7.04</v>
      </c>
      <c r="V2600">
        <v>6.6</v>
      </c>
      <c r="W2600">
        <v>217.15</v>
      </c>
      <c r="X2600" t="s">
        <v>2008</v>
      </c>
      <c r="Y2600" t="s">
        <v>594</v>
      </c>
      <c r="Z2600">
        <v>7.27</v>
      </c>
      <c r="AA2600">
        <v>6.9</v>
      </c>
      <c r="AB2600">
        <v>240958</v>
      </c>
      <c r="AC2600">
        <v>362481</v>
      </c>
      <c r="AD2600">
        <v>0.66</v>
      </c>
      <c r="AE2600">
        <v>6270</v>
      </c>
      <c r="AF2600">
        <v>2117</v>
      </c>
      <c r="AG2600" t="s">
        <v>120</v>
      </c>
      <c r="AH2600">
        <v>0.01</v>
      </c>
      <c r="AI2600" t="s">
        <v>120</v>
      </c>
      <c r="AJ2600">
        <v>4.8099999999999996</v>
      </c>
      <c r="AK2600" t="s">
        <v>4786</v>
      </c>
      <c r="AL2600">
        <v>7.86</v>
      </c>
      <c r="AM2600">
        <v>4307</v>
      </c>
      <c r="AN2600">
        <v>140</v>
      </c>
      <c r="AO2600">
        <v>2.8999999999999998E-3</v>
      </c>
      <c r="AP2600">
        <v>2</v>
      </c>
      <c r="AQ2600">
        <v>1.07</v>
      </c>
      <c r="AR2600">
        <v>5.39</v>
      </c>
      <c r="AS2600">
        <v>19.97</v>
      </c>
      <c r="AT2600">
        <v>-5.13</v>
      </c>
      <c r="AU2600">
        <v>22.26</v>
      </c>
      <c r="AV2600">
        <v>22</v>
      </c>
      <c r="AW2600">
        <v>16.02</v>
      </c>
      <c r="AX2600">
        <v>78.260000000000005</v>
      </c>
      <c r="AY2600">
        <v>408.08</v>
      </c>
      <c r="AZ2600">
        <v>761.39</v>
      </c>
      <c r="BA2600">
        <v>1.55</v>
      </c>
      <c r="BB2600" t="s">
        <v>143</v>
      </c>
      <c r="BF2600">
        <v>4.57</v>
      </c>
      <c r="BG2600">
        <v>6.84</v>
      </c>
      <c r="BH2600">
        <v>-0.28000000000000003</v>
      </c>
      <c r="BI2600">
        <v>7</v>
      </c>
      <c r="BJ2600">
        <v>20210830</v>
      </c>
      <c r="BK2600">
        <v>20000612</v>
      </c>
      <c r="BL2600">
        <v>4.8099999999999996</v>
      </c>
      <c r="BM2600" t="s">
        <v>120</v>
      </c>
      <c r="BN2600" t="s">
        <v>120</v>
      </c>
      <c r="BO2600">
        <v>22.9</v>
      </c>
      <c r="BP2600">
        <v>7.03</v>
      </c>
      <c r="BQ2600">
        <v>11.61</v>
      </c>
      <c r="BR2600">
        <v>1.3</v>
      </c>
      <c r="BS2600">
        <v>43.61</v>
      </c>
      <c r="BT2600">
        <v>11.86</v>
      </c>
      <c r="BU2600">
        <v>2.56</v>
      </c>
      <c r="BV2600">
        <v>2.21</v>
      </c>
      <c r="BW2600">
        <v>5.91</v>
      </c>
      <c r="BX2600">
        <v>2.41</v>
      </c>
      <c r="BY2600">
        <v>5.24</v>
      </c>
      <c r="BZ2600">
        <v>2.11</v>
      </c>
      <c r="CA2600" t="s">
        <v>120</v>
      </c>
      <c r="CB2600">
        <v>6</v>
      </c>
      <c r="CC2600">
        <v>5.87</v>
      </c>
      <c r="CD2600">
        <v>4.24</v>
      </c>
      <c r="CE2600">
        <v>0.3</v>
      </c>
      <c r="CF2600">
        <v>0.01</v>
      </c>
      <c r="CG2600">
        <v>0.3</v>
      </c>
      <c r="CH2600">
        <v>0.17</v>
      </c>
      <c r="CI2600">
        <v>0.08</v>
      </c>
      <c r="CJ2600">
        <v>0.43</v>
      </c>
      <c r="CK2600">
        <v>0.03</v>
      </c>
      <c r="CL2600">
        <v>0.41</v>
      </c>
      <c r="CM2600">
        <v>-0.28000000000000003</v>
      </c>
      <c r="CN2600">
        <v>0.21</v>
      </c>
      <c r="CO2600">
        <v>71730</v>
      </c>
      <c r="CP2600">
        <v>5250</v>
      </c>
      <c r="CQ2600" t="s">
        <v>11837</v>
      </c>
      <c r="CR2600">
        <v>86.43</v>
      </c>
      <c r="CS2600">
        <v>49.44</v>
      </c>
      <c r="CT2600">
        <v>2.91</v>
      </c>
      <c r="CU2600">
        <v>-121.13</v>
      </c>
      <c r="CV2600">
        <v>5.77</v>
      </c>
      <c r="CW2600">
        <v>0</v>
      </c>
      <c r="CX2600" t="s">
        <v>3900</v>
      </c>
      <c r="CY2600">
        <v>2.41</v>
      </c>
      <c r="CZ2600">
        <v>0</v>
      </c>
      <c r="DA2600">
        <v>1.25</v>
      </c>
      <c r="DB2600">
        <v>0.08</v>
      </c>
      <c r="DC2600">
        <v>-0.06</v>
      </c>
      <c r="DD2600">
        <v>50.7</v>
      </c>
      <c r="DE2600" t="s">
        <v>2592</v>
      </c>
      <c r="DF2600">
        <v>27.75</v>
      </c>
      <c r="DG2600">
        <v>5.12</v>
      </c>
      <c r="DH2600">
        <v>1.33</v>
      </c>
      <c r="DI2600">
        <v>0.03</v>
      </c>
      <c r="DJ2600">
        <v>1777</v>
      </c>
      <c r="DK2600">
        <v>600257</v>
      </c>
      <c r="DL2600" t="s">
        <v>120</v>
      </c>
      <c r="DM2600" t="s">
        <v>120</v>
      </c>
      <c r="DN2600" t="s">
        <v>120</v>
      </c>
    </row>
    <row r="2601" spans="1:118">
      <c r="A2601" t="str">
        <f>"600258"</f>
        <v>600258</v>
      </c>
      <c r="B2601" t="s">
        <v>11838</v>
      </c>
      <c r="C2601">
        <v>0.61</v>
      </c>
      <c r="D2601">
        <v>-0.08</v>
      </c>
      <c r="E2601">
        <v>-0.35</v>
      </c>
      <c r="F2601">
        <v>1097</v>
      </c>
      <c r="G2601" t="s">
        <v>11839</v>
      </c>
      <c r="H2601">
        <v>25149.84</v>
      </c>
      <c r="I2601">
        <v>127.31</v>
      </c>
      <c r="J2601" t="s">
        <v>120</v>
      </c>
      <c r="K2601" t="s">
        <v>11840</v>
      </c>
      <c r="L2601">
        <v>1.0900000000000001</v>
      </c>
      <c r="M2601">
        <v>23.2</v>
      </c>
      <c r="N2601">
        <v>0.72</v>
      </c>
      <c r="O2601">
        <v>4.38</v>
      </c>
      <c r="P2601">
        <v>24.07</v>
      </c>
      <c r="Q2601">
        <v>-0.35</v>
      </c>
      <c r="R2601">
        <v>22.98</v>
      </c>
      <c r="S2601">
        <v>22.98</v>
      </c>
      <c r="T2601">
        <v>106728</v>
      </c>
      <c r="U2601">
        <v>23.21</v>
      </c>
      <c r="V2601">
        <v>23.06</v>
      </c>
      <c r="W2601">
        <v>175.57</v>
      </c>
      <c r="X2601" t="s">
        <v>793</v>
      </c>
      <c r="Y2601" t="s">
        <v>158</v>
      </c>
      <c r="Z2601">
        <v>4.7300000000000004</v>
      </c>
      <c r="AA2601">
        <v>23.56</v>
      </c>
      <c r="AB2601">
        <v>50674</v>
      </c>
      <c r="AC2601">
        <v>56054</v>
      </c>
      <c r="AD2601">
        <v>0.9</v>
      </c>
      <c r="AE2601">
        <v>24</v>
      </c>
      <c r="AF2601">
        <v>196</v>
      </c>
      <c r="AG2601" t="s">
        <v>120</v>
      </c>
      <c r="AH2601">
        <v>0.01</v>
      </c>
      <c r="AI2601" t="s">
        <v>120</v>
      </c>
      <c r="AJ2601">
        <v>9.82</v>
      </c>
      <c r="AK2601" t="s">
        <v>11841</v>
      </c>
      <c r="AL2601">
        <v>1.95</v>
      </c>
      <c r="AM2601">
        <v>3499</v>
      </c>
      <c r="AN2601">
        <v>31</v>
      </c>
      <c r="AO2601">
        <v>2.9999999999999997E-4</v>
      </c>
      <c r="AP2601">
        <v>1</v>
      </c>
      <c r="AQ2601">
        <v>-4.71</v>
      </c>
      <c r="AR2601">
        <v>-4.21</v>
      </c>
      <c r="AS2601">
        <v>5.98</v>
      </c>
      <c r="AT2601">
        <v>-2.84</v>
      </c>
      <c r="AU2601">
        <v>9.33</v>
      </c>
      <c r="AV2601">
        <v>0</v>
      </c>
      <c r="AW2601">
        <v>2.17</v>
      </c>
      <c r="AX2601">
        <v>49.8</v>
      </c>
      <c r="AY2601">
        <v>86.13</v>
      </c>
      <c r="AZ2601" t="s">
        <v>120</v>
      </c>
      <c r="BA2601">
        <v>0.22</v>
      </c>
      <c r="BB2601" t="s">
        <v>240</v>
      </c>
      <c r="BF2601">
        <v>2.19</v>
      </c>
      <c r="BG2601">
        <v>0.96</v>
      </c>
      <c r="BH2601">
        <v>-3.61</v>
      </c>
      <c r="BI2601">
        <v>0.96</v>
      </c>
      <c r="BJ2601">
        <v>20210827</v>
      </c>
      <c r="BK2601">
        <v>20000601</v>
      </c>
      <c r="BL2601">
        <v>9.8699999999999992</v>
      </c>
      <c r="BM2601" t="s">
        <v>120</v>
      </c>
      <c r="BN2601" t="s">
        <v>120</v>
      </c>
      <c r="BO2601">
        <v>250.17</v>
      </c>
      <c r="BP2601">
        <v>23.2</v>
      </c>
      <c r="BQ2601">
        <v>81.17</v>
      </c>
      <c r="BR2601">
        <v>2.6</v>
      </c>
      <c r="BS2601">
        <v>66.52</v>
      </c>
      <c r="BT2601">
        <v>19.28</v>
      </c>
      <c r="BU2601">
        <v>21.86</v>
      </c>
      <c r="BV2601">
        <v>35.520000000000003</v>
      </c>
      <c r="BW2601">
        <v>61.2</v>
      </c>
      <c r="BX2601">
        <v>12.87</v>
      </c>
      <c r="BY2601">
        <v>0.4</v>
      </c>
      <c r="BZ2601">
        <v>2.5</v>
      </c>
      <c r="CA2601">
        <v>0.09</v>
      </c>
      <c r="CB2601">
        <v>48.39</v>
      </c>
      <c r="CC2601">
        <v>31.44</v>
      </c>
      <c r="CD2601">
        <v>22.63</v>
      </c>
      <c r="CE2601">
        <v>0.96</v>
      </c>
      <c r="CF2601">
        <v>-0.01</v>
      </c>
      <c r="CG2601">
        <v>0.98</v>
      </c>
      <c r="CH2601">
        <v>0.62</v>
      </c>
      <c r="CI2601">
        <v>0.65</v>
      </c>
      <c r="CJ2601">
        <v>0.14000000000000001</v>
      </c>
      <c r="CK2601">
        <v>0.49</v>
      </c>
      <c r="CL2601">
        <v>21.49</v>
      </c>
      <c r="CM2601">
        <v>11.02</v>
      </c>
      <c r="CN2601">
        <v>-0.81</v>
      </c>
      <c r="CO2601">
        <v>35227</v>
      </c>
      <c r="CP2601">
        <v>13953</v>
      </c>
      <c r="CQ2601" t="s">
        <v>11842</v>
      </c>
      <c r="CR2601">
        <v>109.38</v>
      </c>
      <c r="CS2601">
        <v>65.09</v>
      </c>
      <c r="CT2601">
        <v>2.82</v>
      </c>
      <c r="CU2601">
        <v>20.78</v>
      </c>
      <c r="CV2601">
        <v>7.28</v>
      </c>
      <c r="CW2601">
        <v>0</v>
      </c>
      <c r="CX2601" t="s">
        <v>679</v>
      </c>
      <c r="CY2601">
        <v>8.2200000000000006</v>
      </c>
      <c r="CZ2601">
        <v>8.2200000000000006</v>
      </c>
      <c r="DA2601">
        <v>4.9000000000000004</v>
      </c>
      <c r="DB2601">
        <v>2.1800000000000002</v>
      </c>
      <c r="DC2601">
        <v>1.1200000000000001</v>
      </c>
      <c r="DD2601">
        <v>32.450000000000003</v>
      </c>
      <c r="DE2601" t="s">
        <v>4633</v>
      </c>
      <c r="DF2601">
        <v>28.03</v>
      </c>
      <c r="DG2601">
        <v>3.05</v>
      </c>
      <c r="DH2601">
        <v>2.0699999999999998</v>
      </c>
      <c r="DI2601">
        <v>0.22</v>
      </c>
      <c r="DJ2601">
        <v>14594</v>
      </c>
      <c r="DK2601">
        <v>600258</v>
      </c>
      <c r="DL2601" t="s">
        <v>120</v>
      </c>
      <c r="DM2601" t="s">
        <v>120</v>
      </c>
      <c r="DN2601" t="s">
        <v>120</v>
      </c>
    </row>
    <row r="2602" spans="1:118">
      <c r="A2602" t="str">
        <f>"600259"</f>
        <v>600259</v>
      </c>
      <c r="B2602" t="s">
        <v>11843</v>
      </c>
      <c r="C2602">
        <v>-3.79</v>
      </c>
      <c r="D2602">
        <v>0.2</v>
      </c>
      <c r="E2602">
        <v>4.2300000000000004</v>
      </c>
      <c r="F2602">
        <v>3595</v>
      </c>
      <c r="G2602" t="s">
        <v>11844</v>
      </c>
      <c r="H2602">
        <v>232804.37</v>
      </c>
      <c r="I2602">
        <v>3757.7</v>
      </c>
      <c r="J2602" t="s">
        <v>120</v>
      </c>
      <c r="K2602" t="s">
        <v>11845</v>
      </c>
      <c r="L2602">
        <v>11.59</v>
      </c>
      <c r="M2602">
        <v>64.44</v>
      </c>
      <c r="N2602">
        <v>1.08</v>
      </c>
      <c r="O2602">
        <v>4.6399999999999997</v>
      </c>
      <c r="P2602">
        <v>70.09</v>
      </c>
      <c r="Q2602">
        <v>-4.75</v>
      </c>
      <c r="R2602">
        <v>63.8</v>
      </c>
      <c r="S2602">
        <v>69.81</v>
      </c>
      <c r="T2602">
        <v>349738</v>
      </c>
      <c r="U2602">
        <v>64.44</v>
      </c>
      <c r="V2602">
        <v>66.98</v>
      </c>
      <c r="W2602">
        <v>118.71</v>
      </c>
      <c r="X2602" t="s">
        <v>1390</v>
      </c>
      <c r="Y2602" t="s">
        <v>835</v>
      </c>
      <c r="Z2602">
        <v>9.39</v>
      </c>
      <c r="AA2602">
        <v>66.569999999999993</v>
      </c>
      <c r="AB2602">
        <v>183357</v>
      </c>
      <c r="AC2602">
        <v>166381</v>
      </c>
      <c r="AD2602">
        <v>1.1000000000000001</v>
      </c>
      <c r="AE2602">
        <v>8</v>
      </c>
      <c r="AF2602">
        <v>59</v>
      </c>
      <c r="AG2602" t="s">
        <v>120</v>
      </c>
      <c r="AH2602">
        <v>0.35</v>
      </c>
      <c r="AI2602" t="s">
        <v>120</v>
      </c>
      <c r="AJ2602">
        <v>3.02</v>
      </c>
      <c r="AK2602" t="s">
        <v>11845</v>
      </c>
      <c r="AL2602">
        <v>-2.4500000000000002</v>
      </c>
      <c r="AM2602">
        <v>4663</v>
      </c>
      <c r="AN2602">
        <v>75</v>
      </c>
      <c r="AO2602">
        <v>2.5000000000000001E-3</v>
      </c>
      <c r="AP2602">
        <v>-2</v>
      </c>
      <c r="AQ2602">
        <v>-7.86</v>
      </c>
      <c r="AR2602">
        <v>-2.4900000000000002</v>
      </c>
      <c r="AS2602">
        <v>43.11</v>
      </c>
      <c r="AT2602">
        <v>86.84</v>
      </c>
      <c r="AU2602">
        <v>113.59</v>
      </c>
      <c r="AV2602">
        <v>12</v>
      </c>
      <c r="AW2602">
        <v>22.75</v>
      </c>
      <c r="AX2602">
        <v>50.95</v>
      </c>
      <c r="AY2602">
        <v>183.75</v>
      </c>
      <c r="AZ2602">
        <v>398</v>
      </c>
      <c r="BA2602">
        <v>0.85</v>
      </c>
      <c r="BB2602" t="s">
        <v>143</v>
      </c>
      <c r="BF2602">
        <v>-0.62</v>
      </c>
      <c r="BG2602">
        <v>-7.69</v>
      </c>
      <c r="BH2602">
        <v>-8.06</v>
      </c>
      <c r="BI2602">
        <v>1</v>
      </c>
      <c r="BJ2602">
        <v>20210831</v>
      </c>
      <c r="BK2602">
        <v>20000525</v>
      </c>
      <c r="BL2602">
        <v>3.02</v>
      </c>
      <c r="BM2602" t="s">
        <v>120</v>
      </c>
      <c r="BN2602" t="s">
        <v>120</v>
      </c>
      <c r="BO2602">
        <v>59.27</v>
      </c>
      <c r="BP2602">
        <v>64.430000000000007</v>
      </c>
      <c r="BQ2602">
        <v>17.7</v>
      </c>
      <c r="BR2602">
        <v>1.45</v>
      </c>
      <c r="BS2602">
        <v>67.680000000000007</v>
      </c>
      <c r="BT2602">
        <v>43.4</v>
      </c>
      <c r="BU2602">
        <v>2.86</v>
      </c>
      <c r="BV2602">
        <v>2.31</v>
      </c>
      <c r="BW2602">
        <v>27.89</v>
      </c>
      <c r="BX2602">
        <v>8.25</v>
      </c>
      <c r="BY2602">
        <v>23.45</v>
      </c>
      <c r="BZ2602">
        <v>4.93</v>
      </c>
      <c r="CA2602" t="s">
        <v>120</v>
      </c>
      <c r="CB2602">
        <v>20.51</v>
      </c>
      <c r="CC2602">
        <v>67.739999999999995</v>
      </c>
      <c r="CD2602">
        <v>64.83</v>
      </c>
      <c r="CE2602">
        <v>1.32</v>
      </c>
      <c r="CF2602">
        <v>0.33</v>
      </c>
      <c r="CG2602">
        <v>1.1100000000000001</v>
      </c>
      <c r="CH2602">
        <v>0.94</v>
      </c>
      <c r="CI2602">
        <v>0.82</v>
      </c>
      <c r="CJ2602">
        <v>-2.54</v>
      </c>
      <c r="CK2602">
        <v>1.01</v>
      </c>
      <c r="CL2602">
        <v>-6.04</v>
      </c>
      <c r="CM2602">
        <v>-7.39</v>
      </c>
      <c r="CN2602">
        <v>-3.65</v>
      </c>
      <c r="CO2602">
        <v>50052</v>
      </c>
      <c r="CP2602">
        <v>3072</v>
      </c>
      <c r="CQ2602" t="s">
        <v>11846</v>
      </c>
      <c r="CR2602">
        <v>260.98</v>
      </c>
      <c r="CS2602">
        <v>80.010000000000005</v>
      </c>
      <c r="CT2602">
        <v>10.98</v>
      </c>
      <c r="CU2602">
        <v>-26.33</v>
      </c>
      <c r="CV2602">
        <v>2.87</v>
      </c>
      <c r="CW2602">
        <v>0</v>
      </c>
      <c r="CX2602" t="s">
        <v>1233</v>
      </c>
      <c r="CY2602">
        <v>5.87</v>
      </c>
      <c r="CZ2602">
        <v>0</v>
      </c>
      <c r="DA2602">
        <v>6.79</v>
      </c>
      <c r="DB2602">
        <v>-2</v>
      </c>
      <c r="DC2602">
        <v>-2.4500000000000002</v>
      </c>
      <c r="DD2602">
        <v>29.87</v>
      </c>
      <c r="DE2602" t="s">
        <v>6657</v>
      </c>
      <c r="DF2602">
        <v>4.29</v>
      </c>
      <c r="DG2602">
        <v>1.95</v>
      </c>
      <c r="DH2602">
        <v>1.21</v>
      </c>
      <c r="DI2602">
        <v>0.15</v>
      </c>
      <c r="DJ2602">
        <v>1207</v>
      </c>
      <c r="DK2602">
        <v>600259</v>
      </c>
      <c r="DL2602">
        <v>20210830</v>
      </c>
      <c r="DM2602">
        <v>54.35</v>
      </c>
      <c r="DN2602">
        <v>18.559999999999999</v>
      </c>
    </row>
    <row r="2603" spans="1:118">
      <c r="A2603" t="str">
        <f>"600261"</f>
        <v>600261</v>
      </c>
      <c r="B2603" t="s">
        <v>11847</v>
      </c>
      <c r="C2603">
        <v>0.26</v>
      </c>
      <c r="D2603">
        <v>-0.25</v>
      </c>
      <c r="E2603">
        <v>0</v>
      </c>
      <c r="F2603">
        <v>652</v>
      </c>
      <c r="G2603" t="s">
        <v>5013</v>
      </c>
      <c r="H2603">
        <v>4300.29</v>
      </c>
      <c r="I2603">
        <v>15.99</v>
      </c>
      <c r="J2603" t="s">
        <v>120</v>
      </c>
      <c r="K2603" t="s">
        <v>11614</v>
      </c>
      <c r="L2603">
        <v>0.76</v>
      </c>
      <c r="M2603">
        <v>3.89</v>
      </c>
      <c r="N2603">
        <v>0.74</v>
      </c>
      <c r="O2603">
        <v>1.55</v>
      </c>
      <c r="P2603">
        <v>3.94</v>
      </c>
      <c r="Q2603">
        <v>-0.26</v>
      </c>
      <c r="R2603">
        <v>3.87</v>
      </c>
      <c r="S2603">
        <v>3.88</v>
      </c>
      <c r="T2603">
        <v>110044</v>
      </c>
      <c r="U2603">
        <v>3.89</v>
      </c>
      <c r="V2603">
        <v>3.88</v>
      </c>
      <c r="W2603">
        <v>10.130000000000001</v>
      </c>
      <c r="X2603" t="s">
        <v>205</v>
      </c>
      <c r="Y2603" t="s">
        <v>585</v>
      </c>
      <c r="Z2603">
        <v>1.8</v>
      </c>
      <c r="AA2603">
        <v>3.91</v>
      </c>
      <c r="AB2603">
        <v>56686</v>
      </c>
      <c r="AC2603">
        <v>53358</v>
      </c>
      <c r="AD2603">
        <v>1.06</v>
      </c>
      <c r="AE2603">
        <v>705</v>
      </c>
      <c r="AF2603">
        <v>935</v>
      </c>
      <c r="AG2603" t="s">
        <v>120</v>
      </c>
      <c r="AH2603">
        <v>0</v>
      </c>
      <c r="AI2603" t="s">
        <v>120</v>
      </c>
      <c r="AJ2603">
        <v>14.52</v>
      </c>
      <c r="AK2603" t="s">
        <v>11614</v>
      </c>
      <c r="AL2603">
        <v>1.6</v>
      </c>
      <c r="AM2603">
        <v>1286</v>
      </c>
      <c r="AN2603">
        <v>86</v>
      </c>
      <c r="AO2603">
        <v>5.9999999999999995E-4</v>
      </c>
      <c r="AP2603">
        <v>2</v>
      </c>
      <c r="AQ2603">
        <v>0.26</v>
      </c>
      <c r="AR2603">
        <v>-1.76</v>
      </c>
      <c r="AS2603">
        <v>7.17</v>
      </c>
      <c r="AT2603">
        <v>-3.71</v>
      </c>
      <c r="AU2603">
        <v>15.09</v>
      </c>
      <c r="AV2603">
        <v>1</v>
      </c>
      <c r="AW2603">
        <v>1.31</v>
      </c>
      <c r="AX2603">
        <v>57.79</v>
      </c>
      <c r="AY2603">
        <v>11.61</v>
      </c>
      <c r="AZ2603">
        <v>11.63</v>
      </c>
      <c r="BA2603">
        <v>0.65</v>
      </c>
      <c r="BB2603" t="s">
        <v>143</v>
      </c>
      <c r="BF2603">
        <v>0.72</v>
      </c>
      <c r="BG2603">
        <v>0.26</v>
      </c>
      <c r="BH2603">
        <v>-1.27</v>
      </c>
      <c r="BI2603">
        <v>0.52</v>
      </c>
      <c r="BJ2603">
        <v>20210830</v>
      </c>
      <c r="BK2603">
        <v>20000720</v>
      </c>
      <c r="BL2603">
        <v>14.52</v>
      </c>
      <c r="BM2603" t="s">
        <v>120</v>
      </c>
      <c r="BN2603" t="s">
        <v>120</v>
      </c>
      <c r="BO2603">
        <v>62.16</v>
      </c>
      <c r="BP2603">
        <v>3.88</v>
      </c>
      <c r="BQ2603">
        <v>37.42</v>
      </c>
      <c r="BR2603">
        <v>0.24</v>
      </c>
      <c r="BS2603">
        <v>39.409999999999997</v>
      </c>
      <c r="BT2603">
        <v>44.56</v>
      </c>
      <c r="BU2603">
        <v>11.87</v>
      </c>
      <c r="BV2603">
        <v>2.19</v>
      </c>
      <c r="BW2603">
        <v>20.09</v>
      </c>
      <c r="BX2603">
        <v>20.9</v>
      </c>
      <c r="BY2603">
        <v>9.4499999999999993</v>
      </c>
      <c r="BZ2603">
        <v>9.2200000000000006</v>
      </c>
      <c r="CA2603" t="s">
        <v>120</v>
      </c>
      <c r="CB2603">
        <v>2.84</v>
      </c>
      <c r="CC2603">
        <v>21.64</v>
      </c>
      <c r="CD2603">
        <v>15.31</v>
      </c>
      <c r="CE2603">
        <v>3.16</v>
      </c>
      <c r="CF2603">
        <v>7.0000000000000007E-2</v>
      </c>
      <c r="CG2603">
        <v>3.15</v>
      </c>
      <c r="CH2603">
        <v>2.79</v>
      </c>
      <c r="CI2603">
        <v>2.79</v>
      </c>
      <c r="CJ2603">
        <v>0.01</v>
      </c>
      <c r="CK2603">
        <v>1.42</v>
      </c>
      <c r="CL2603">
        <v>17.829999999999998</v>
      </c>
      <c r="CM2603">
        <v>0.47</v>
      </c>
      <c r="CN2603">
        <v>-5.0199999999999996</v>
      </c>
      <c r="CO2603">
        <v>47779</v>
      </c>
      <c r="CP2603">
        <v>17565</v>
      </c>
      <c r="CQ2603" t="s">
        <v>6332</v>
      </c>
      <c r="CR2603">
        <v>0.28999999999999998</v>
      </c>
      <c r="CS2603">
        <v>-8.5299999999999994</v>
      </c>
      <c r="CT2603">
        <v>1.51</v>
      </c>
      <c r="CU2603">
        <v>120.67</v>
      </c>
      <c r="CV2603">
        <v>2.61</v>
      </c>
      <c r="CW2603">
        <v>7.52</v>
      </c>
      <c r="CX2603" t="s">
        <v>492</v>
      </c>
      <c r="CY2603">
        <v>2.58</v>
      </c>
      <c r="CZ2603">
        <v>0</v>
      </c>
      <c r="DA2603">
        <v>0.2</v>
      </c>
      <c r="DB2603">
        <v>1.23</v>
      </c>
      <c r="DC2603">
        <v>0.03</v>
      </c>
      <c r="DD2603">
        <v>60.2</v>
      </c>
      <c r="DE2603" t="s">
        <v>9797</v>
      </c>
      <c r="DF2603">
        <v>29.27</v>
      </c>
      <c r="DG2603">
        <v>14.61</v>
      </c>
      <c r="DH2603">
        <v>12.88</v>
      </c>
      <c r="DI2603">
        <v>0.72</v>
      </c>
      <c r="DJ2603">
        <v>7125</v>
      </c>
      <c r="DK2603">
        <v>600261</v>
      </c>
      <c r="DL2603" t="s">
        <v>120</v>
      </c>
      <c r="DM2603" t="s">
        <v>120</v>
      </c>
      <c r="DN2603" t="s">
        <v>120</v>
      </c>
    </row>
    <row r="2604" spans="1:118">
      <c r="A2604" t="str">
        <f>"600262"</f>
        <v>600262</v>
      </c>
      <c r="B2604" t="s">
        <v>11848</v>
      </c>
      <c r="C2604">
        <v>-0.76</v>
      </c>
      <c r="D2604">
        <v>-0.13</v>
      </c>
      <c r="E2604">
        <v>-0.49</v>
      </c>
      <c r="F2604">
        <v>83</v>
      </c>
      <c r="G2604" t="s">
        <v>10935</v>
      </c>
      <c r="H2604">
        <v>1871.65</v>
      </c>
      <c r="I2604">
        <v>14.49</v>
      </c>
      <c r="J2604" t="s">
        <v>120</v>
      </c>
      <c r="K2604" t="s">
        <v>4259</v>
      </c>
      <c r="L2604">
        <v>0.77</v>
      </c>
      <c r="M2604">
        <v>14.31</v>
      </c>
      <c r="N2604">
        <v>0.97</v>
      </c>
      <c r="O2604">
        <v>0.83</v>
      </c>
      <c r="P2604">
        <v>14.54</v>
      </c>
      <c r="Q2604">
        <v>-1.04</v>
      </c>
      <c r="R2604">
        <v>14.27</v>
      </c>
      <c r="S2604">
        <v>14.35</v>
      </c>
      <c r="T2604">
        <v>13019</v>
      </c>
      <c r="U2604">
        <v>14.33</v>
      </c>
      <c r="V2604">
        <v>14.42</v>
      </c>
      <c r="W2604">
        <v>27.52</v>
      </c>
      <c r="X2604" t="s">
        <v>1068</v>
      </c>
      <c r="Y2604" t="s">
        <v>785</v>
      </c>
      <c r="Z2604">
        <v>1.87</v>
      </c>
      <c r="AA2604">
        <v>14.38</v>
      </c>
      <c r="AB2604">
        <v>6827</v>
      </c>
      <c r="AC2604">
        <v>6192</v>
      </c>
      <c r="AD2604">
        <v>1.1000000000000001</v>
      </c>
      <c r="AE2604">
        <v>80</v>
      </c>
      <c r="AF2604">
        <v>235</v>
      </c>
      <c r="AG2604" t="s">
        <v>120</v>
      </c>
      <c r="AH2604">
        <v>0.01</v>
      </c>
      <c r="AI2604" t="s">
        <v>120</v>
      </c>
      <c r="AJ2604">
        <v>1.7</v>
      </c>
      <c r="AK2604" t="s">
        <v>4259</v>
      </c>
      <c r="AL2604">
        <v>0.57999999999999996</v>
      </c>
      <c r="AM2604">
        <v>1005</v>
      </c>
      <c r="AN2604">
        <v>13</v>
      </c>
      <c r="AO2604">
        <v>8.0000000000000004E-4</v>
      </c>
      <c r="AP2604">
        <v>-1</v>
      </c>
      <c r="AQ2604">
        <v>0.63</v>
      </c>
      <c r="AR2604">
        <v>-0.49</v>
      </c>
      <c r="AS2604">
        <v>-0.76</v>
      </c>
      <c r="AT2604">
        <v>0.14000000000000001</v>
      </c>
      <c r="AU2604">
        <v>-9.8800000000000008</v>
      </c>
      <c r="AV2604">
        <v>1</v>
      </c>
      <c r="AW2604">
        <v>1.72</v>
      </c>
      <c r="AX2604">
        <v>44.58</v>
      </c>
      <c r="AY2604">
        <v>34.56</v>
      </c>
      <c r="AZ2604">
        <v>37.51</v>
      </c>
      <c r="BA2604">
        <v>0.69</v>
      </c>
      <c r="BB2604" t="s">
        <v>143</v>
      </c>
      <c r="BF2604">
        <v>-0.3</v>
      </c>
      <c r="BG2604">
        <v>-0.28000000000000003</v>
      </c>
      <c r="BH2604">
        <v>-1.58</v>
      </c>
      <c r="BI2604">
        <v>0.28000000000000003</v>
      </c>
      <c r="BJ2604">
        <v>20210824</v>
      </c>
      <c r="BK2604">
        <v>20000630</v>
      </c>
      <c r="BL2604">
        <v>1.7</v>
      </c>
      <c r="BM2604" t="s">
        <v>120</v>
      </c>
      <c r="BN2604" t="s">
        <v>120</v>
      </c>
      <c r="BO2604">
        <v>26.63</v>
      </c>
      <c r="BP2604">
        <v>14.31</v>
      </c>
      <c r="BQ2604">
        <v>12.48</v>
      </c>
      <c r="BR2604" t="s">
        <v>120</v>
      </c>
      <c r="BS2604">
        <v>53.13</v>
      </c>
      <c r="BT2604">
        <v>21.18</v>
      </c>
      <c r="BU2604">
        <v>2.42</v>
      </c>
      <c r="BV2604">
        <v>0.84</v>
      </c>
      <c r="BW2604">
        <v>12.49</v>
      </c>
      <c r="BX2604">
        <v>4.2699999999999996</v>
      </c>
      <c r="BY2604">
        <v>6.41</v>
      </c>
      <c r="BZ2604">
        <v>6.61</v>
      </c>
      <c r="CA2604" t="s">
        <v>120</v>
      </c>
      <c r="CB2604">
        <v>4.04</v>
      </c>
      <c r="CC2604">
        <v>7.52</v>
      </c>
      <c r="CD2604">
        <v>6.27</v>
      </c>
      <c r="CE2604">
        <v>0.52</v>
      </c>
      <c r="CF2604">
        <v>0.12</v>
      </c>
      <c r="CG2604">
        <v>0.52</v>
      </c>
      <c r="CH2604">
        <v>0.44</v>
      </c>
      <c r="CI2604">
        <v>0.44</v>
      </c>
      <c r="CJ2604">
        <v>-0.11</v>
      </c>
      <c r="CK2604">
        <v>0.42</v>
      </c>
      <c r="CL2604">
        <v>2.2000000000000002</v>
      </c>
      <c r="CM2604">
        <v>0.22</v>
      </c>
      <c r="CN2604">
        <v>-0.08</v>
      </c>
      <c r="CO2604">
        <v>9805</v>
      </c>
      <c r="CP2604">
        <v>7729</v>
      </c>
      <c r="CQ2604" t="s">
        <v>11594</v>
      </c>
      <c r="CR2604">
        <v>14.47</v>
      </c>
      <c r="CS2604">
        <v>39.18</v>
      </c>
      <c r="CT2604">
        <v>1.95</v>
      </c>
      <c r="CU2604">
        <v>108.9</v>
      </c>
      <c r="CV2604">
        <v>3.23</v>
      </c>
      <c r="CW2604">
        <v>0.83</v>
      </c>
      <c r="CX2604" t="s">
        <v>670</v>
      </c>
      <c r="CY2604">
        <v>7.34</v>
      </c>
      <c r="CZ2604">
        <v>0</v>
      </c>
      <c r="DA2604">
        <v>2.38</v>
      </c>
      <c r="DB2604">
        <v>1.29</v>
      </c>
      <c r="DC2604">
        <v>0.13</v>
      </c>
      <c r="DD2604">
        <v>46.87</v>
      </c>
      <c r="DE2604" t="s">
        <v>1130</v>
      </c>
      <c r="DF2604">
        <v>16.64</v>
      </c>
      <c r="DG2604">
        <v>6.89</v>
      </c>
      <c r="DH2604">
        <v>5.88</v>
      </c>
      <c r="DI2604">
        <v>0.09</v>
      </c>
      <c r="DJ2604">
        <v>803</v>
      </c>
      <c r="DK2604">
        <v>600262</v>
      </c>
      <c r="DL2604" t="s">
        <v>120</v>
      </c>
      <c r="DM2604" t="s">
        <v>120</v>
      </c>
      <c r="DN2604" t="s">
        <v>120</v>
      </c>
    </row>
    <row r="2605" spans="1:118">
      <c r="A2605" t="str">
        <f>"600266"</f>
        <v>600266</v>
      </c>
      <c r="B2605" t="s">
        <v>11849</v>
      </c>
      <c r="C2605">
        <v>-0.21</v>
      </c>
      <c r="D2605">
        <v>-0.2</v>
      </c>
      <c r="E2605">
        <v>0.21</v>
      </c>
      <c r="F2605">
        <v>967</v>
      </c>
      <c r="G2605" t="s">
        <v>2094</v>
      </c>
      <c r="H2605">
        <v>7432.21</v>
      </c>
      <c r="I2605">
        <v>13.92</v>
      </c>
      <c r="J2605" t="s">
        <v>120</v>
      </c>
      <c r="K2605" t="s">
        <v>11850</v>
      </c>
      <c r="L2605">
        <v>0.69</v>
      </c>
      <c r="M2605">
        <v>4.7300000000000004</v>
      </c>
      <c r="N2605">
        <v>0.72</v>
      </c>
      <c r="O2605">
        <v>1.69</v>
      </c>
      <c r="P2605">
        <v>4.82</v>
      </c>
      <c r="Q2605">
        <v>-0.42</v>
      </c>
      <c r="R2605">
        <v>4.72</v>
      </c>
      <c r="S2605">
        <v>4.75</v>
      </c>
      <c r="T2605">
        <v>155761</v>
      </c>
      <c r="U2605">
        <v>4.74</v>
      </c>
      <c r="V2605">
        <v>4.74</v>
      </c>
      <c r="W2605">
        <v>8.6199999999999992</v>
      </c>
      <c r="X2605" t="s">
        <v>150</v>
      </c>
      <c r="Y2605" t="s">
        <v>158</v>
      </c>
      <c r="Z2605">
        <v>2.11</v>
      </c>
      <c r="AA2605">
        <v>4.7699999999999996</v>
      </c>
      <c r="AB2605">
        <v>79355</v>
      </c>
      <c r="AC2605">
        <v>76406</v>
      </c>
      <c r="AD2605">
        <v>1.04</v>
      </c>
      <c r="AE2605">
        <v>51</v>
      </c>
      <c r="AF2605">
        <v>71</v>
      </c>
      <c r="AG2605" t="s">
        <v>120</v>
      </c>
      <c r="AH2605">
        <v>0</v>
      </c>
      <c r="AI2605" t="s">
        <v>120</v>
      </c>
      <c r="AJ2605">
        <v>22.57</v>
      </c>
      <c r="AK2605" t="s">
        <v>11850</v>
      </c>
      <c r="AL2605">
        <v>1.1299999999999999</v>
      </c>
      <c r="AM2605">
        <v>2240</v>
      </c>
      <c r="AN2605">
        <v>70</v>
      </c>
      <c r="AO2605">
        <v>2.9999999999999997E-4</v>
      </c>
      <c r="AP2605">
        <v>-1</v>
      </c>
      <c r="AQ2605">
        <v>0.64</v>
      </c>
      <c r="AR2605">
        <v>-3.07</v>
      </c>
      <c r="AS2605">
        <v>6.3</v>
      </c>
      <c r="AT2605">
        <v>-1.05</v>
      </c>
      <c r="AU2605">
        <v>-5.0199999999999996</v>
      </c>
      <c r="AV2605">
        <v>1</v>
      </c>
      <c r="AW2605">
        <v>1.38</v>
      </c>
      <c r="AX2605">
        <v>50.12</v>
      </c>
      <c r="AY2605">
        <v>6.68</v>
      </c>
      <c r="AZ2605">
        <v>8.67</v>
      </c>
      <c r="BA2605">
        <v>0.37</v>
      </c>
      <c r="BB2605" t="s">
        <v>341</v>
      </c>
      <c r="BF2605">
        <v>0.67</v>
      </c>
      <c r="BG2605">
        <v>-0.42</v>
      </c>
      <c r="BH2605">
        <v>-1.87</v>
      </c>
      <c r="BI2605">
        <v>0.21</v>
      </c>
      <c r="BJ2605">
        <v>20210807</v>
      </c>
      <c r="BK2605">
        <v>19990203</v>
      </c>
      <c r="BL2605">
        <v>22.57</v>
      </c>
      <c r="BM2605" t="s">
        <v>120</v>
      </c>
      <c r="BN2605" t="s">
        <v>120</v>
      </c>
      <c r="BO2605">
        <v>1342.35</v>
      </c>
      <c r="BP2605">
        <v>4.7300000000000004</v>
      </c>
      <c r="BQ2605">
        <v>256.37</v>
      </c>
      <c r="BR2605">
        <v>21.57</v>
      </c>
      <c r="BS2605">
        <v>79.290000000000006</v>
      </c>
      <c r="BT2605">
        <v>1160.8699999999999</v>
      </c>
      <c r="BU2605">
        <v>6.48</v>
      </c>
      <c r="BV2605">
        <v>0</v>
      </c>
      <c r="BW2605">
        <v>507.95</v>
      </c>
      <c r="BX2605">
        <v>83.7</v>
      </c>
      <c r="BY2605">
        <v>879.84</v>
      </c>
      <c r="BZ2605">
        <v>1.38</v>
      </c>
      <c r="CA2605">
        <v>0.6</v>
      </c>
      <c r="CB2605">
        <v>32.61</v>
      </c>
      <c r="CC2605">
        <v>107.63</v>
      </c>
      <c r="CD2605">
        <v>88.72</v>
      </c>
      <c r="CE2605">
        <v>4.55</v>
      </c>
      <c r="CF2605">
        <v>9.15</v>
      </c>
      <c r="CG2605">
        <v>4.5199999999999996</v>
      </c>
      <c r="CH2605">
        <v>5.63</v>
      </c>
      <c r="CI2605">
        <v>6.19</v>
      </c>
      <c r="CJ2605">
        <v>-0.01</v>
      </c>
      <c r="CK2605">
        <v>13.3</v>
      </c>
      <c r="CL2605">
        <v>143.41</v>
      </c>
      <c r="CM2605">
        <v>-12.11</v>
      </c>
      <c r="CN2605">
        <v>-21.54</v>
      </c>
      <c r="CO2605">
        <v>56288</v>
      </c>
      <c r="CP2605">
        <v>20095</v>
      </c>
      <c r="CQ2605" t="s">
        <v>11851</v>
      </c>
      <c r="CR2605">
        <v>145.65</v>
      </c>
      <c r="CS2605">
        <v>213.05</v>
      </c>
      <c r="CT2605">
        <v>0.49</v>
      </c>
      <c r="CU2605">
        <v>-8.81</v>
      </c>
      <c r="CV2605">
        <v>0.99</v>
      </c>
      <c r="CW2605">
        <v>1.94</v>
      </c>
      <c r="CX2605" t="s">
        <v>626</v>
      </c>
      <c r="CY2605">
        <v>9.6</v>
      </c>
      <c r="CZ2605">
        <v>9.6</v>
      </c>
      <c r="DA2605">
        <v>1.45</v>
      </c>
      <c r="DB2605">
        <v>6.36</v>
      </c>
      <c r="DC2605">
        <v>-0.54</v>
      </c>
      <c r="DD2605">
        <v>19.100000000000001</v>
      </c>
      <c r="DE2605" t="s">
        <v>3085</v>
      </c>
      <c r="DF2605">
        <v>17.57</v>
      </c>
      <c r="DG2605">
        <v>4.2300000000000004</v>
      </c>
      <c r="DH2605">
        <v>5.75</v>
      </c>
      <c r="DI2605" t="s">
        <v>120</v>
      </c>
      <c r="DJ2605">
        <v>1112</v>
      </c>
      <c r="DK2605">
        <v>600266</v>
      </c>
      <c r="DL2605" t="s">
        <v>120</v>
      </c>
      <c r="DM2605" t="s">
        <v>120</v>
      </c>
      <c r="DN2605" t="s">
        <v>120</v>
      </c>
    </row>
    <row r="2606" spans="1:118">
      <c r="A2606" t="str">
        <f>"600267"</f>
        <v>600267</v>
      </c>
      <c r="B2606" t="s">
        <v>11852</v>
      </c>
      <c r="C2606">
        <v>-2.31</v>
      </c>
      <c r="D2606">
        <v>0</v>
      </c>
      <c r="E2606">
        <v>0</v>
      </c>
      <c r="F2606">
        <v>1397</v>
      </c>
      <c r="G2606" t="s">
        <v>11853</v>
      </c>
      <c r="H2606">
        <v>9046.77</v>
      </c>
      <c r="I2606">
        <v>36.79</v>
      </c>
      <c r="J2606" t="s">
        <v>120</v>
      </c>
      <c r="K2606" t="s">
        <v>11854</v>
      </c>
      <c r="L2606">
        <v>0.73</v>
      </c>
      <c r="M2606">
        <v>12.7</v>
      </c>
      <c r="N2606">
        <v>0.97</v>
      </c>
      <c r="O2606">
        <v>0.46</v>
      </c>
      <c r="P2606">
        <v>13.06</v>
      </c>
      <c r="Q2606">
        <v>-2.31</v>
      </c>
      <c r="R2606">
        <v>12.7</v>
      </c>
      <c r="S2606">
        <v>13</v>
      </c>
      <c r="T2606">
        <v>70188</v>
      </c>
      <c r="U2606">
        <v>12.71</v>
      </c>
      <c r="V2606">
        <v>13</v>
      </c>
      <c r="W2606">
        <v>27.12</v>
      </c>
      <c r="X2606" t="s">
        <v>569</v>
      </c>
      <c r="Y2606" t="s">
        <v>585</v>
      </c>
      <c r="Z2606">
        <v>2.77</v>
      </c>
      <c r="AA2606">
        <v>12.89</v>
      </c>
      <c r="AB2606">
        <v>43416</v>
      </c>
      <c r="AC2606">
        <v>26772</v>
      </c>
      <c r="AD2606">
        <v>1.62</v>
      </c>
      <c r="AE2606">
        <v>160</v>
      </c>
      <c r="AF2606">
        <v>379</v>
      </c>
      <c r="AG2606" t="s">
        <v>120</v>
      </c>
      <c r="AH2606">
        <v>0.01</v>
      </c>
      <c r="AI2606" t="s">
        <v>120</v>
      </c>
      <c r="AJ2606">
        <v>9.66</v>
      </c>
      <c r="AK2606" t="s">
        <v>11855</v>
      </c>
      <c r="AL2606">
        <v>-0.96</v>
      </c>
      <c r="AM2606">
        <v>1889</v>
      </c>
      <c r="AN2606">
        <v>37</v>
      </c>
      <c r="AO2606">
        <v>4.0000000000000002E-4</v>
      </c>
      <c r="AP2606">
        <v>-1</v>
      </c>
      <c r="AQ2606">
        <v>1.4</v>
      </c>
      <c r="AR2606">
        <v>-0.4</v>
      </c>
      <c r="AS2606">
        <v>-0.55000000000000004</v>
      </c>
      <c r="AT2606">
        <v>-8.57</v>
      </c>
      <c r="AU2606">
        <v>-22.94</v>
      </c>
      <c r="AV2606">
        <v>1</v>
      </c>
      <c r="AW2606">
        <v>1.26</v>
      </c>
      <c r="AX2606">
        <v>46.73</v>
      </c>
      <c r="AY2606">
        <v>34.049999999999997</v>
      </c>
      <c r="AZ2606">
        <v>37.270000000000003</v>
      </c>
      <c r="BA2606">
        <v>0.44</v>
      </c>
      <c r="BB2606" t="s">
        <v>143</v>
      </c>
      <c r="BF2606">
        <v>-0.85</v>
      </c>
      <c r="BG2606">
        <v>-2.31</v>
      </c>
      <c r="BH2606">
        <v>-2.76</v>
      </c>
      <c r="BI2606">
        <v>0</v>
      </c>
      <c r="BJ2606">
        <v>20210910</v>
      </c>
      <c r="BK2606">
        <v>20000725</v>
      </c>
      <c r="BL2606">
        <v>11.96</v>
      </c>
      <c r="BM2606" t="s">
        <v>120</v>
      </c>
      <c r="BN2606" t="s">
        <v>120</v>
      </c>
      <c r="BO2606">
        <v>198.87</v>
      </c>
      <c r="BP2606">
        <v>12.7</v>
      </c>
      <c r="BQ2606">
        <v>71.34</v>
      </c>
      <c r="BR2606">
        <v>0.25</v>
      </c>
      <c r="BS2606">
        <v>64</v>
      </c>
      <c r="BT2606">
        <v>64.709999999999994</v>
      </c>
      <c r="BU2606">
        <v>77.61</v>
      </c>
      <c r="BV2606">
        <v>10.52</v>
      </c>
      <c r="BW2606">
        <v>86.88</v>
      </c>
      <c r="BX2606">
        <v>11.1</v>
      </c>
      <c r="BY2606">
        <v>23.53</v>
      </c>
      <c r="BZ2606">
        <v>20.85</v>
      </c>
      <c r="CA2606" t="s">
        <v>120</v>
      </c>
      <c r="CB2606">
        <v>32.29</v>
      </c>
      <c r="CC2606">
        <v>60.04</v>
      </c>
      <c r="CD2606">
        <v>35.479999999999997</v>
      </c>
      <c r="CE2606">
        <v>3.87</v>
      </c>
      <c r="CF2606">
        <v>0.06</v>
      </c>
      <c r="CG2606">
        <v>3.88</v>
      </c>
      <c r="CH2606">
        <v>3.4</v>
      </c>
      <c r="CI2606">
        <v>2.8</v>
      </c>
      <c r="CJ2606">
        <v>-0.3</v>
      </c>
      <c r="CK2606">
        <v>1.58</v>
      </c>
      <c r="CL2606">
        <v>18.64</v>
      </c>
      <c r="CM2606">
        <v>3.28</v>
      </c>
      <c r="CN2606">
        <v>-10.199999999999999</v>
      </c>
      <c r="CO2606">
        <v>58504</v>
      </c>
      <c r="CP2606">
        <v>9554</v>
      </c>
      <c r="CQ2606" t="s">
        <v>2685</v>
      </c>
      <c r="CR2606">
        <v>16.399999999999999</v>
      </c>
      <c r="CS2606">
        <v>12.9</v>
      </c>
      <c r="CT2606">
        <v>2.21</v>
      </c>
      <c r="CU2606">
        <v>46.3</v>
      </c>
      <c r="CV2606">
        <v>2.5299999999999998</v>
      </c>
      <c r="CW2606">
        <v>0.37</v>
      </c>
      <c r="CX2606" t="s">
        <v>863</v>
      </c>
      <c r="CY2606">
        <v>5.74</v>
      </c>
      <c r="CZ2606">
        <v>5.74</v>
      </c>
      <c r="DA2606">
        <v>2.7</v>
      </c>
      <c r="DB2606">
        <v>1.56</v>
      </c>
      <c r="DC2606">
        <v>0.27</v>
      </c>
      <c r="DD2606">
        <v>35.869999999999997</v>
      </c>
      <c r="DE2606" t="s">
        <v>4245</v>
      </c>
      <c r="DF2606">
        <v>40.9</v>
      </c>
      <c r="DG2606">
        <v>6.44</v>
      </c>
      <c r="DH2606">
        <v>4.67</v>
      </c>
      <c r="DI2606">
        <v>1.61</v>
      </c>
      <c r="DJ2606">
        <v>8446</v>
      </c>
      <c r="DK2606">
        <v>600267</v>
      </c>
      <c r="DL2606" t="s">
        <v>120</v>
      </c>
      <c r="DM2606" t="s">
        <v>120</v>
      </c>
      <c r="DN2606" t="s">
        <v>120</v>
      </c>
    </row>
    <row r="2607" spans="1:118">
      <c r="A2607" t="str">
        <f>"600268"</f>
        <v>600268</v>
      </c>
      <c r="B2607" t="s">
        <v>11856</v>
      </c>
      <c r="C2607">
        <v>-5.67</v>
      </c>
      <c r="D2607">
        <v>0</v>
      </c>
      <c r="E2607">
        <v>0</v>
      </c>
      <c r="F2607">
        <v>3035</v>
      </c>
      <c r="G2607" t="s">
        <v>9026</v>
      </c>
      <c r="H2607">
        <v>24462.85</v>
      </c>
      <c r="I2607">
        <v>66.86</v>
      </c>
      <c r="J2607" t="s">
        <v>120</v>
      </c>
      <c r="K2607" t="s">
        <v>11857</v>
      </c>
      <c r="L2607">
        <v>4.13</v>
      </c>
      <c r="M2607">
        <v>8.32</v>
      </c>
      <c r="N2607">
        <v>0.63</v>
      </c>
      <c r="O2607">
        <v>0</v>
      </c>
      <c r="P2607">
        <v>8.82</v>
      </c>
      <c r="Q2607">
        <v>-6.46</v>
      </c>
      <c r="R2607">
        <v>8.25</v>
      </c>
      <c r="S2607">
        <v>8.82</v>
      </c>
      <c r="T2607">
        <v>287010</v>
      </c>
      <c r="U2607">
        <v>8.33</v>
      </c>
      <c r="V2607">
        <v>8.82</v>
      </c>
      <c r="W2607" t="s">
        <v>120</v>
      </c>
      <c r="X2607" t="s">
        <v>394</v>
      </c>
      <c r="Y2607" t="s">
        <v>319</v>
      </c>
      <c r="Z2607">
        <v>6.46</v>
      </c>
      <c r="AA2607">
        <v>8.52</v>
      </c>
      <c r="AB2607">
        <v>164094</v>
      </c>
      <c r="AC2607">
        <v>122916</v>
      </c>
      <c r="AD2607">
        <v>1.34</v>
      </c>
      <c r="AE2607">
        <v>468</v>
      </c>
      <c r="AF2607">
        <v>399</v>
      </c>
      <c r="AG2607" t="s">
        <v>120</v>
      </c>
      <c r="AH2607">
        <v>0.02</v>
      </c>
      <c r="AI2607" t="s">
        <v>120</v>
      </c>
      <c r="AJ2607">
        <v>6.95</v>
      </c>
      <c r="AK2607" t="s">
        <v>11857</v>
      </c>
      <c r="AL2607">
        <v>-4.33</v>
      </c>
      <c r="AM2607">
        <v>3829</v>
      </c>
      <c r="AN2607">
        <v>75</v>
      </c>
      <c r="AO2607">
        <v>1.1000000000000001E-3</v>
      </c>
      <c r="AP2607">
        <v>-1</v>
      </c>
      <c r="AQ2607">
        <v>1.5</v>
      </c>
      <c r="AR2607">
        <v>-9.17</v>
      </c>
      <c r="AS2607">
        <v>-5.03</v>
      </c>
      <c r="AT2607">
        <v>21.64</v>
      </c>
      <c r="AU2607">
        <v>12.13</v>
      </c>
      <c r="AV2607">
        <v>6</v>
      </c>
      <c r="AW2607">
        <v>9.08</v>
      </c>
      <c r="AX2607">
        <v>45.45</v>
      </c>
      <c r="AY2607">
        <v>52.27</v>
      </c>
      <c r="AZ2607">
        <v>90.88</v>
      </c>
      <c r="BA2607">
        <v>0.43</v>
      </c>
      <c r="BB2607" t="s">
        <v>240</v>
      </c>
      <c r="BF2607">
        <v>-3.36</v>
      </c>
      <c r="BG2607">
        <v>-5.67</v>
      </c>
      <c r="BH2607">
        <v>-5.67</v>
      </c>
      <c r="BI2607">
        <v>0.85</v>
      </c>
      <c r="BJ2607">
        <v>20210821</v>
      </c>
      <c r="BK2607">
        <v>19991118</v>
      </c>
      <c r="BL2607">
        <v>6.95</v>
      </c>
      <c r="BM2607" t="s">
        <v>120</v>
      </c>
      <c r="BN2607" t="s">
        <v>120</v>
      </c>
      <c r="BO2607">
        <v>83</v>
      </c>
      <c r="BP2607">
        <v>8.32</v>
      </c>
      <c r="BQ2607">
        <v>23.41</v>
      </c>
      <c r="BR2607">
        <v>8.1300000000000008</v>
      </c>
      <c r="BS2607">
        <v>62</v>
      </c>
      <c r="BT2607">
        <v>59.98</v>
      </c>
      <c r="BU2607">
        <v>8.89</v>
      </c>
      <c r="BV2607">
        <v>3.1</v>
      </c>
      <c r="BW2607">
        <v>49.28</v>
      </c>
      <c r="BX2607">
        <v>8.06</v>
      </c>
      <c r="BY2607">
        <v>10.96</v>
      </c>
      <c r="BZ2607">
        <v>33.119999999999997</v>
      </c>
      <c r="CA2607" t="s">
        <v>120</v>
      </c>
      <c r="CB2607">
        <v>13.17</v>
      </c>
      <c r="CC2607">
        <v>21.38</v>
      </c>
      <c r="CD2607">
        <v>16.39</v>
      </c>
      <c r="CE2607">
        <v>0.14000000000000001</v>
      </c>
      <c r="CF2607">
        <v>0.03</v>
      </c>
      <c r="CG2607">
        <v>0.16</v>
      </c>
      <c r="CH2607">
        <v>-0.05</v>
      </c>
      <c r="CI2607">
        <v>-0.79</v>
      </c>
      <c r="CJ2607">
        <v>-0.5</v>
      </c>
      <c r="CK2607">
        <v>-0.83</v>
      </c>
      <c r="CL2607">
        <v>0.86</v>
      </c>
      <c r="CM2607">
        <v>-3.61</v>
      </c>
      <c r="CN2607">
        <v>-4.99</v>
      </c>
      <c r="CO2607">
        <v>57928</v>
      </c>
      <c r="CP2607">
        <v>5455</v>
      </c>
      <c r="CQ2607" t="s">
        <v>10443</v>
      </c>
      <c r="CR2607">
        <v>38.57</v>
      </c>
      <c r="CS2607">
        <v>44.57</v>
      </c>
      <c r="CT2607">
        <v>2.4700000000000002</v>
      </c>
      <c r="CU2607">
        <v>-16.02</v>
      </c>
      <c r="CV2607">
        <v>2.71</v>
      </c>
      <c r="CW2607">
        <v>0.56999999999999995</v>
      </c>
      <c r="CX2607" t="s">
        <v>3106</v>
      </c>
      <c r="CY2607">
        <v>3.37</v>
      </c>
      <c r="CZ2607">
        <v>0</v>
      </c>
      <c r="DA2607">
        <v>1.89</v>
      </c>
      <c r="DB2607">
        <v>0.12</v>
      </c>
      <c r="DC2607">
        <v>-0.52</v>
      </c>
      <c r="DD2607">
        <v>28.2</v>
      </c>
      <c r="DE2607" t="s">
        <v>4163</v>
      </c>
      <c r="DF2607">
        <v>23.35</v>
      </c>
      <c r="DG2607">
        <v>0.66</v>
      </c>
      <c r="DH2607">
        <v>-3.71</v>
      </c>
      <c r="DI2607">
        <v>1.72</v>
      </c>
      <c r="DJ2607">
        <v>3759</v>
      </c>
      <c r="DK2607">
        <v>600268</v>
      </c>
      <c r="DL2607" t="s">
        <v>120</v>
      </c>
      <c r="DM2607" t="s">
        <v>120</v>
      </c>
      <c r="DN2607" t="s">
        <v>120</v>
      </c>
    </row>
    <row r="2608" spans="1:118">
      <c r="A2608" t="str">
        <f>"600269"</f>
        <v>600269</v>
      </c>
      <c r="B2608" t="s">
        <v>11858</v>
      </c>
      <c r="C2608">
        <v>-1.68</v>
      </c>
      <c r="D2608">
        <v>-0.27</v>
      </c>
      <c r="E2608">
        <v>-0.28000000000000003</v>
      </c>
      <c r="F2608">
        <v>2397</v>
      </c>
      <c r="G2608" t="s">
        <v>11859</v>
      </c>
      <c r="H2608">
        <v>6166.06</v>
      </c>
      <c r="I2608">
        <v>39.270000000000003</v>
      </c>
      <c r="J2608" t="s">
        <v>120</v>
      </c>
      <c r="K2608" t="s">
        <v>8254</v>
      </c>
      <c r="L2608">
        <v>0.73</v>
      </c>
      <c r="M2608">
        <v>3.52</v>
      </c>
      <c r="N2608">
        <v>0.74</v>
      </c>
      <c r="O2608">
        <v>2.23</v>
      </c>
      <c r="P2608">
        <v>3.66</v>
      </c>
      <c r="Q2608">
        <v>-1.68</v>
      </c>
      <c r="R2608">
        <v>3.52</v>
      </c>
      <c r="S2608">
        <v>3.57</v>
      </c>
      <c r="T2608">
        <v>171470</v>
      </c>
      <c r="U2608">
        <v>3.53</v>
      </c>
      <c r="V2608">
        <v>3.58</v>
      </c>
      <c r="W2608">
        <v>8.09</v>
      </c>
      <c r="X2608" t="s">
        <v>800</v>
      </c>
      <c r="Y2608" t="s">
        <v>676</v>
      </c>
      <c r="Z2608">
        <v>3.91</v>
      </c>
      <c r="AA2608">
        <v>3.6</v>
      </c>
      <c r="AB2608">
        <v>87720</v>
      </c>
      <c r="AC2608">
        <v>83750</v>
      </c>
      <c r="AD2608">
        <v>1.05</v>
      </c>
      <c r="AE2608">
        <v>2384</v>
      </c>
      <c r="AF2608">
        <v>77</v>
      </c>
      <c r="AG2608" t="s">
        <v>120</v>
      </c>
      <c r="AH2608">
        <v>0.01</v>
      </c>
      <c r="AI2608" t="s">
        <v>120</v>
      </c>
      <c r="AJ2608">
        <v>23.35</v>
      </c>
      <c r="AK2608" t="s">
        <v>8254</v>
      </c>
      <c r="AL2608">
        <v>-0.33</v>
      </c>
      <c r="AM2608">
        <v>2037</v>
      </c>
      <c r="AN2608">
        <v>84</v>
      </c>
      <c r="AO2608">
        <v>4.0000000000000002E-4</v>
      </c>
      <c r="AP2608">
        <v>-1</v>
      </c>
      <c r="AQ2608">
        <v>0.28000000000000003</v>
      </c>
      <c r="AR2608">
        <v>-4.08</v>
      </c>
      <c r="AS2608">
        <v>6.66</v>
      </c>
      <c r="AT2608">
        <v>3.53</v>
      </c>
      <c r="AU2608">
        <v>9.32</v>
      </c>
      <c r="AV2608">
        <v>0</v>
      </c>
      <c r="AW2608">
        <v>1.56</v>
      </c>
      <c r="AX2608">
        <v>47.17</v>
      </c>
      <c r="AY2608">
        <v>6.72</v>
      </c>
      <c r="AZ2608">
        <v>15.87</v>
      </c>
      <c r="BA2608">
        <v>0.35</v>
      </c>
      <c r="BB2608" t="s">
        <v>143</v>
      </c>
      <c r="BF2608">
        <v>0.45</v>
      </c>
      <c r="BG2608">
        <v>-1.4</v>
      </c>
      <c r="BH2608">
        <v>-3.83</v>
      </c>
      <c r="BI2608">
        <v>0</v>
      </c>
      <c r="BJ2608">
        <v>20210810</v>
      </c>
      <c r="BK2608">
        <v>20000518</v>
      </c>
      <c r="BL2608">
        <v>23.35</v>
      </c>
      <c r="BM2608" t="s">
        <v>120</v>
      </c>
      <c r="BN2608" t="s">
        <v>120</v>
      </c>
      <c r="BO2608">
        <v>356.52</v>
      </c>
      <c r="BP2608">
        <v>3.52</v>
      </c>
      <c r="BQ2608">
        <v>158.88999999999999</v>
      </c>
      <c r="BR2608">
        <v>18.5</v>
      </c>
      <c r="BS2608">
        <v>50.24</v>
      </c>
      <c r="BT2608">
        <v>94.3</v>
      </c>
      <c r="BU2608">
        <v>239.69</v>
      </c>
      <c r="BV2608">
        <v>0.84</v>
      </c>
      <c r="BW2608">
        <v>71.42</v>
      </c>
      <c r="BX2608">
        <v>37.89</v>
      </c>
      <c r="BY2608">
        <v>28.09</v>
      </c>
      <c r="BZ2608">
        <v>5.43</v>
      </c>
      <c r="CA2608">
        <v>1.41</v>
      </c>
      <c r="CB2608">
        <v>18.12</v>
      </c>
      <c r="CC2608">
        <v>26.99</v>
      </c>
      <c r="CD2608">
        <v>14.44</v>
      </c>
      <c r="CE2608">
        <v>6.55</v>
      </c>
      <c r="CF2608">
        <v>0.04</v>
      </c>
      <c r="CG2608">
        <v>7.79</v>
      </c>
      <c r="CH2608">
        <v>5.63</v>
      </c>
      <c r="CI2608">
        <v>5.08</v>
      </c>
      <c r="CJ2608">
        <v>-0.06</v>
      </c>
      <c r="CK2608">
        <v>5.68</v>
      </c>
      <c r="CL2608">
        <v>101.06</v>
      </c>
      <c r="CM2608">
        <v>16.850000000000001</v>
      </c>
      <c r="CN2608">
        <v>13.02</v>
      </c>
      <c r="CO2608">
        <v>72282</v>
      </c>
      <c r="CP2608">
        <v>15242</v>
      </c>
      <c r="CQ2608" t="s">
        <v>1920</v>
      </c>
      <c r="CR2608">
        <v>342.25</v>
      </c>
      <c r="CS2608">
        <v>50.63</v>
      </c>
      <c r="CT2608">
        <v>0.52</v>
      </c>
      <c r="CU2608">
        <v>4.88</v>
      </c>
      <c r="CV2608">
        <v>3.05</v>
      </c>
      <c r="CW2608">
        <v>5.59</v>
      </c>
      <c r="CX2608" t="s">
        <v>3361</v>
      </c>
      <c r="CY2608">
        <v>6.8</v>
      </c>
      <c r="CZ2608">
        <v>0</v>
      </c>
      <c r="DA2608">
        <v>0.78</v>
      </c>
      <c r="DB2608">
        <v>4.33</v>
      </c>
      <c r="DC2608">
        <v>0.72</v>
      </c>
      <c r="DD2608">
        <v>44.57</v>
      </c>
      <c r="DE2608" t="s">
        <v>301</v>
      </c>
      <c r="DF2608">
        <v>46.51</v>
      </c>
      <c r="DG2608">
        <v>24.27</v>
      </c>
      <c r="DH2608">
        <v>18.829999999999998</v>
      </c>
      <c r="DI2608">
        <v>0.15</v>
      </c>
      <c r="DJ2608">
        <v>3496</v>
      </c>
      <c r="DK2608">
        <v>600269</v>
      </c>
      <c r="DL2608" t="s">
        <v>120</v>
      </c>
      <c r="DM2608" t="s">
        <v>120</v>
      </c>
      <c r="DN2608" t="s">
        <v>120</v>
      </c>
    </row>
    <row r="2609" spans="1:118">
      <c r="A2609" t="str">
        <f>"600271"</f>
        <v>600271</v>
      </c>
      <c r="B2609" t="s">
        <v>11860</v>
      </c>
      <c r="C2609">
        <v>-0.24</v>
      </c>
      <c r="D2609">
        <v>0</v>
      </c>
      <c r="E2609">
        <v>-0.08</v>
      </c>
      <c r="F2609">
        <v>1323</v>
      </c>
      <c r="G2609" t="s">
        <v>11861</v>
      </c>
      <c r="H2609">
        <v>20240.5</v>
      </c>
      <c r="I2609">
        <v>38.840000000000003</v>
      </c>
      <c r="J2609" t="s">
        <v>120</v>
      </c>
      <c r="K2609" t="s">
        <v>11862</v>
      </c>
      <c r="L2609">
        <v>0.86</v>
      </c>
      <c r="M2609">
        <v>12.51</v>
      </c>
      <c r="N2609">
        <v>1.1299999999999999</v>
      </c>
      <c r="O2609">
        <v>2.63</v>
      </c>
      <c r="P2609">
        <v>12.87</v>
      </c>
      <c r="Q2609">
        <v>-0.4</v>
      </c>
      <c r="R2609">
        <v>12.49</v>
      </c>
      <c r="S2609">
        <v>12.53</v>
      </c>
      <c r="T2609">
        <v>159438</v>
      </c>
      <c r="U2609">
        <v>12.51</v>
      </c>
      <c r="V2609">
        <v>12.54</v>
      </c>
      <c r="W2609">
        <v>32.07</v>
      </c>
      <c r="X2609" t="s">
        <v>238</v>
      </c>
      <c r="Y2609" t="s">
        <v>158</v>
      </c>
      <c r="Z2609">
        <v>3.03</v>
      </c>
      <c r="AA2609">
        <v>12.69</v>
      </c>
      <c r="AB2609">
        <v>81055</v>
      </c>
      <c r="AC2609">
        <v>78383</v>
      </c>
      <c r="AD2609">
        <v>1.03</v>
      </c>
      <c r="AE2609">
        <v>119</v>
      </c>
      <c r="AF2609">
        <v>292</v>
      </c>
      <c r="AG2609" t="s">
        <v>120</v>
      </c>
      <c r="AH2609">
        <v>0</v>
      </c>
      <c r="AI2609" t="s">
        <v>120</v>
      </c>
      <c r="AJ2609">
        <v>18.53</v>
      </c>
      <c r="AK2609" t="s">
        <v>11862</v>
      </c>
      <c r="AL2609">
        <v>1.1000000000000001</v>
      </c>
      <c r="AM2609">
        <v>3143</v>
      </c>
      <c r="AN2609">
        <v>51</v>
      </c>
      <c r="AO2609">
        <v>2.9999999999999997E-4</v>
      </c>
      <c r="AP2609">
        <v>-3</v>
      </c>
      <c r="AQ2609">
        <v>-0.4</v>
      </c>
      <c r="AR2609">
        <v>-2.5</v>
      </c>
      <c r="AS2609">
        <v>4.16</v>
      </c>
      <c r="AT2609">
        <v>-4.5199999999999996</v>
      </c>
      <c r="AU2609">
        <v>0.63</v>
      </c>
      <c r="AV2609">
        <v>1</v>
      </c>
      <c r="AW2609">
        <v>1.62</v>
      </c>
      <c r="AX2609">
        <v>52.98</v>
      </c>
      <c r="AY2609">
        <v>17.690000000000001</v>
      </c>
      <c r="AZ2609">
        <v>22.48</v>
      </c>
      <c r="BA2609">
        <v>0.82</v>
      </c>
      <c r="BB2609" t="s">
        <v>143</v>
      </c>
      <c r="BF2609">
        <v>1.24</v>
      </c>
      <c r="BG2609">
        <v>-0.16</v>
      </c>
      <c r="BH2609">
        <v>-2.8</v>
      </c>
      <c r="BI2609">
        <v>0.16</v>
      </c>
      <c r="BJ2609">
        <v>20210828</v>
      </c>
      <c r="BK2609">
        <v>20030711</v>
      </c>
      <c r="BL2609">
        <v>18.53</v>
      </c>
      <c r="BM2609" t="s">
        <v>120</v>
      </c>
      <c r="BN2609" t="s">
        <v>120</v>
      </c>
      <c r="BO2609">
        <v>216.81</v>
      </c>
      <c r="BP2609">
        <v>12.5</v>
      </c>
      <c r="BQ2609">
        <v>126.61</v>
      </c>
      <c r="BR2609">
        <v>27.47</v>
      </c>
      <c r="BS2609">
        <v>28.93</v>
      </c>
      <c r="BT2609">
        <v>148.94999999999999</v>
      </c>
      <c r="BU2609">
        <v>13.52</v>
      </c>
      <c r="BV2609">
        <v>17.48</v>
      </c>
      <c r="BW2609">
        <v>60.38</v>
      </c>
      <c r="BX2609">
        <v>61.99</v>
      </c>
      <c r="BY2609">
        <v>15.63</v>
      </c>
      <c r="BZ2609">
        <v>36.549999999999997</v>
      </c>
      <c r="CA2609">
        <v>7.0000000000000007E-2</v>
      </c>
      <c r="CB2609">
        <v>7.84</v>
      </c>
      <c r="CC2609">
        <v>91.88</v>
      </c>
      <c r="CD2609">
        <v>66.349999999999994</v>
      </c>
      <c r="CE2609">
        <v>9.86</v>
      </c>
      <c r="CF2609">
        <v>0.53</v>
      </c>
      <c r="CG2609">
        <v>10.11</v>
      </c>
      <c r="CH2609">
        <v>8.5</v>
      </c>
      <c r="CI2609">
        <v>3.61</v>
      </c>
      <c r="CJ2609">
        <v>-0.03</v>
      </c>
      <c r="CK2609">
        <v>4.78</v>
      </c>
      <c r="CL2609">
        <v>89.04</v>
      </c>
      <c r="CM2609">
        <v>-6.19</v>
      </c>
      <c r="CN2609">
        <v>-40.450000000000003</v>
      </c>
      <c r="CO2609">
        <v>103891</v>
      </c>
      <c r="CP2609">
        <v>9448</v>
      </c>
      <c r="CQ2609" t="s">
        <v>8091</v>
      </c>
      <c r="CR2609">
        <v>345.06</v>
      </c>
      <c r="CS2609">
        <v>4.17</v>
      </c>
      <c r="CT2609">
        <v>1.83</v>
      </c>
      <c r="CU2609">
        <v>-37.47</v>
      </c>
      <c r="CV2609">
        <v>2.52</v>
      </c>
      <c r="CW2609">
        <v>1.34</v>
      </c>
      <c r="CX2609" t="s">
        <v>6828</v>
      </c>
      <c r="CY2609">
        <v>6.83</v>
      </c>
      <c r="CZ2609">
        <v>0</v>
      </c>
      <c r="DA2609">
        <v>0.42</v>
      </c>
      <c r="DB2609">
        <v>4.8099999999999996</v>
      </c>
      <c r="DC2609">
        <v>-0.33</v>
      </c>
      <c r="DD2609">
        <v>58.4</v>
      </c>
      <c r="DE2609" t="s">
        <v>1113</v>
      </c>
      <c r="DF2609">
        <v>27.78</v>
      </c>
      <c r="DG2609">
        <v>10.73</v>
      </c>
      <c r="DH2609">
        <v>3.93</v>
      </c>
      <c r="DI2609">
        <v>3.88</v>
      </c>
      <c r="DJ2609">
        <v>20200</v>
      </c>
      <c r="DK2609">
        <v>600271</v>
      </c>
      <c r="DL2609" t="s">
        <v>120</v>
      </c>
      <c r="DM2609" t="s">
        <v>120</v>
      </c>
      <c r="DN2609" t="s">
        <v>120</v>
      </c>
    </row>
    <row r="2610" spans="1:118">
      <c r="A2610" t="str">
        <f>"600272"</f>
        <v>600272</v>
      </c>
      <c r="B2610" t="s">
        <v>11863</v>
      </c>
      <c r="C2610">
        <v>0</v>
      </c>
      <c r="D2610">
        <v>-0.13</v>
      </c>
      <c r="E2610">
        <v>0</v>
      </c>
      <c r="F2610">
        <v>209</v>
      </c>
      <c r="G2610" t="s">
        <v>11864</v>
      </c>
      <c r="H2610">
        <v>1218.55</v>
      </c>
      <c r="I2610">
        <v>0</v>
      </c>
      <c r="J2610" t="s">
        <v>120</v>
      </c>
      <c r="K2610" t="s">
        <v>11154</v>
      </c>
      <c r="L2610">
        <v>1.07</v>
      </c>
      <c r="M2610">
        <v>7.07</v>
      </c>
      <c r="N2610">
        <v>1.1299999999999999</v>
      </c>
      <c r="O2610">
        <v>1.84</v>
      </c>
      <c r="P2610">
        <v>7.2</v>
      </c>
      <c r="Q2610">
        <v>-0.71</v>
      </c>
      <c r="R2610">
        <v>7.02</v>
      </c>
      <c r="S2610">
        <v>7.07</v>
      </c>
      <c r="T2610">
        <v>17109</v>
      </c>
      <c r="U2610">
        <v>7.08</v>
      </c>
      <c r="V2610">
        <v>7.07</v>
      </c>
      <c r="W2610">
        <v>144.5</v>
      </c>
      <c r="X2610" t="s">
        <v>274</v>
      </c>
      <c r="Y2610" t="s">
        <v>1510</v>
      </c>
      <c r="Z2610">
        <v>2.5499999999999998</v>
      </c>
      <c r="AA2610">
        <v>7.12</v>
      </c>
      <c r="AB2610">
        <v>8502</v>
      </c>
      <c r="AC2610">
        <v>8607</v>
      </c>
      <c r="AD2610">
        <v>0.99</v>
      </c>
      <c r="AE2610">
        <v>436</v>
      </c>
      <c r="AF2610">
        <v>35</v>
      </c>
      <c r="AG2610" t="s">
        <v>120</v>
      </c>
      <c r="AH2610">
        <v>0</v>
      </c>
      <c r="AI2610" t="s">
        <v>120</v>
      </c>
      <c r="AJ2610">
        <v>1.6</v>
      </c>
      <c r="AK2610" t="s">
        <v>8750</v>
      </c>
      <c r="AL2610">
        <v>1.34</v>
      </c>
      <c r="AM2610">
        <v>888</v>
      </c>
      <c r="AN2610">
        <v>19</v>
      </c>
      <c r="AO2610">
        <v>1.1999999999999999E-3</v>
      </c>
      <c r="AP2610">
        <v>0</v>
      </c>
      <c r="AQ2610">
        <v>0</v>
      </c>
      <c r="AR2610">
        <v>-1.94</v>
      </c>
      <c r="AS2610">
        <v>0.28000000000000003</v>
      </c>
      <c r="AT2610">
        <v>-1.3</v>
      </c>
      <c r="AU2610">
        <v>-0.18</v>
      </c>
      <c r="AV2610">
        <v>1</v>
      </c>
      <c r="AW2610">
        <v>1.93</v>
      </c>
      <c r="AX2610">
        <v>36.51</v>
      </c>
      <c r="AY2610">
        <v>109.45</v>
      </c>
      <c r="AZ2610">
        <v>125.63</v>
      </c>
      <c r="BA2610">
        <v>1.06</v>
      </c>
      <c r="BB2610" t="s">
        <v>143</v>
      </c>
      <c r="BF2610">
        <v>0.74</v>
      </c>
      <c r="BG2610">
        <v>0</v>
      </c>
      <c r="BH2610">
        <v>-1.81</v>
      </c>
      <c r="BI2610">
        <v>0.71</v>
      </c>
      <c r="BJ2610">
        <v>20210830</v>
      </c>
      <c r="BK2610">
        <v>20010228</v>
      </c>
      <c r="BL2610">
        <v>2.4300000000000002</v>
      </c>
      <c r="BM2610">
        <v>0.8</v>
      </c>
      <c r="BN2610" t="s">
        <v>120</v>
      </c>
      <c r="BO2610">
        <v>10.57</v>
      </c>
      <c r="BP2610">
        <v>7.07</v>
      </c>
      <c r="BQ2610">
        <v>5.16</v>
      </c>
      <c r="BR2610">
        <v>0.14000000000000001</v>
      </c>
      <c r="BS2610">
        <v>49.84</v>
      </c>
      <c r="BT2610">
        <v>5.54</v>
      </c>
      <c r="BU2610">
        <v>1.28</v>
      </c>
      <c r="BV2610">
        <v>0.01</v>
      </c>
      <c r="BW2610">
        <v>2.86</v>
      </c>
      <c r="BX2610">
        <v>2.34</v>
      </c>
      <c r="BY2610">
        <v>0.63</v>
      </c>
      <c r="BZ2610">
        <v>0.96</v>
      </c>
      <c r="CA2610">
        <v>0.02</v>
      </c>
      <c r="CB2610">
        <v>0.15</v>
      </c>
      <c r="CC2610">
        <v>3.36</v>
      </c>
      <c r="CD2610">
        <v>2.4300000000000002</v>
      </c>
      <c r="CE2610">
        <v>0.11</v>
      </c>
      <c r="CF2610">
        <v>0</v>
      </c>
      <c r="CG2610">
        <v>0.11</v>
      </c>
      <c r="CH2610">
        <v>0.04</v>
      </c>
      <c r="CI2610">
        <v>0.06</v>
      </c>
      <c r="CJ2610">
        <v>0</v>
      </c>
      <c r="CK2610">
        <v>0.04</v>
      </c>
      <c r="CL2610">
        <v>1.68</v>
      </c>
      <c r="CM2610">
        <v>0.26</v>
      </c>
      <c r="CN2610">
        <v>-0.33</v>
      </c>
      <c r="CO2610">
        <v>26620</v>
      </c>
      <c r="CP2610">
        <v>6338</v>
      </c>
      <c r="CQ2610" t="s">
        <v>11318</v>
      </c>
      <c r="CR2610">
        <v>51.57</v>
      </c>
      <c r="CS2610">
        <v>-14.75</v>
      </c>
      <c r="CT2610">
        <v>3.33</v>
      </c>
      <c r="CU2610">
        <v>67.05</v>
      </c>
      <c r="CV2610">
        <v>5.1100000000000003</v>
      </c>
      <c r="CW2610">
        <v>0.24</v>
      </c>
      <c r="CX2610" t="s">
        <v>499</v>
      </c>
      <c r="CY2610">
        <v>2.12</v>
      </c>
      <c r="CZ2610">
        <v>0</v>
      </c>
      <c r="DA2610">
        <v>0.06</v>
      </c>
      <c r="DB2610">
        <v>0.69</v>
      </c>
      <c r="DC2610">
        <v>0.11</v>
      </c>
      <c r="DD2610">
        <v>48.83</v>
      </c>
      <c r="DE2610" t="s">
        <v>7885</v>
      </c>
      <c r="DF2610">
        <v>27.81</v>
      </c>
      <c r="DG2610">
        <v>3.37</v>
      </c>
      <c r="DH2610">
        <v>1.77</v>
      </c>
      <c r="DI2610" t="s">
        <v>120</v>
      </c>
      <c r="DJ2610">
        <v>592</v>
      </c>
      <c r="DK2610">
        <v>600272</v>
      </c>
      <c r="DL2610" t="s">
        <v>120</v>
      </c>
      <c r="DM2610" t="s">
        <v>120</v>
      </c>
      <c r="DN2610" t="s">
        <v>120</v>
      </c>
    </row>
    <row r="2611" spans="1:118">
      <c r="A2611" t="str">
        <f>"600273"</f>
        <v>600273</v>
      </c>
      <c r="B2611" t="s">
        <v>11865</v>
      </c>
      <c r="C2611">
        <v>-2.21</v>
      </c>
      <c r="D2611">
        <v>0</v>
      </c>
      <c r="E2611">
        <v>1.91</v>
      </c>
      <c r="F2611">
        <v>8482</v>
      </c>
      <c r="G2611" t="s">
        <v>2564</v>
      </c>
      <c r="H2611">
        <v>143492.01999999999</v>
      </c>
      <c r="I2611">
        <v>1044.78</v>
      </c>
      <c r="J2611" t="s">
        <v>120</v>
      </c>
      <c r="K2611" t="s">
        <v>11866</v>
      </c>
      <c r="L2611">
        <v>7.19</v>
      </c>
      <c r="M2611">
        <v>13.28</v>
      </c>
      <c r="N2611">
        <v>1.1000000000000001</v>
      </c>
      <c r="O2611">
        <v>8.91</v>
      </c>
      <c r="P2611">
        <v>14.79</v>
      </c>
      <c r="Q2611">
        <v>-3.53</v>
      </c>
      <c r="R2611">
        <v>13.1</v>
      </c>
      <c r="S2611">
        <v>13.84</v>
      </c>
      <c r="T2611">
        <v>1029519</v>
      </c>
      <c r="U2611">
        <v>13.28</v>
      </c>
      <c r="V2611">
        <v>13.58</v>
      </c>
      <c r="W2611">
        <v>13.35</v>
      </c>
      <c r="X2611" t="s">
        <v>868</v>
      </c>
      <c r="Y2611" t="s">
        <v>585</v>
      </c>
      <c r="Z2611">
        <v>12.44</v>
      </c>
      <c r="AA2611">
        <v>13.94</v>
      </c>
      <c r="AB2611">
        <v>525235</v>
      </c>
      <c r="AC2611">
        <v>504284</v>
      </c>
      <c r="AD2611">
        <v>1.04</v>
      </c>
      <c r="AE2611">
        <v>46</v>
      </c>
      <c r="AF2611">
        <v>664</v>
      </c>
      <c r="AG2611" t="s">
        <v>120</v>
      </c>
      <c r="AH2611">
        <v>0.09</v>
      </c>
      <c r="AI2611" t="s">
        <v>120</v>
      </c>
      <c r="AJ2611">
        <v>14.33</v>
      </c>
      <c r="AK2611" t="s">
        <v>11866</v>
      </c>
      <c r="AL2611">
        <v>-0.87</v>
      </c>
      <c r="AM2611">
        <v>4426</v>
      </c>
      <c r="AN2611">
        <v>233</v>
      </c>
      <c r="AO2611">
        <v>1.6000000000000001E-3</v>
      </c>
      <c r="AP2611">
        <v>-2</v>
      </c>
      <c r="AQ2611">
        <v>-2.16</v>
      </c>
      <c r="AR2611">
        <v>-3.98</v>
      </c>
      <c r="AS2611">
        <v>30.07</v>
      </c>
      <c r="AT2611">
        <v>54.78</v>
      </c>
      <c r="AU2611">
        <v>46.9</v>
      </c>
      <c r="AV2611">
        <v>3</v>
      </c>
      <c r="AW2611">
        <v>12.44</v>
      </c>
      <c r="AX2611">
        <v>57.74</v>
      </c>
      <c r="AY2611">
        <v>13.31</v>
      </c>
      <c r="AZ2611">
        <v>14.92</v>
      </c>
      <c r="BA2611">
        <v>1.03</v>
      </c>
      <c r="BB2611" t="s">
        <v>143</v>
      </c>
      <c r="BF2611">
        <v>2.63</v>
      </c>
      <c r="BG2611">
        <v>-4.05</v>
      </c>
      <c r="BH2611">
        <v>-10.210000000000001</v>
      </c>
      <c r="BI2611">
        <v>1.37</v>
      </c>
      <c r="BJ2611">
        <v>20210806</v>
      </c>
      <c r="BK2611">
        <v>20030627</v>
      </c>
      <c r="BL2611">
        <v>14.33</v>
      </c>
      <c r="BM2611" t="s">
        <v>120</v>
      </c>
      <c r="BN2611" t="s">
        <v>120</v>
      </c>
      <c r="BO2611">
        <v>107.68</v>
      </c>
      <c r="BP2611">
        <v>13.27</v>
      </c>
      <c r="BQ2611">
        <v>82.55</v>
      </c>
      <c r="BR2611">
        <v>0.18</v>
      </c>
      <c r="BS2611">
        <v>23.16</v>
      </c>
      <c r="BT2611">
        <v>30.98</v>
      </c>
      <c r="BU2611">
        <v>56.61</v>
      </c>
      <c r="BV2611">
        <v>3.79</v>
      </c>
      <c r="BW2611">
        <v>23.94</v>
      </c>
      <c r="BX2611">
        <v>9.99</v>
      </c>
      <c r="BY2611">
        <v>8.15</v>
      </c>
      <c r="BZ2611">
        <v>6.18</v>
      </c>
      <c r="CA2611" t="s">
        <v>120</v>
      </c>
      <c r="CB2611">
        <v>24.48</v>
      </c>
      <c r="CC2611">
        <v>33.68</v>
      </c>
      <c r="CD2611">
        <v>23.39</v>
      </c>
      <c r="CE2611">
        <v>8.44</v>
      </c>
      <c r="CF2611">
        <v>0.06</v>
      </c>
      <c r="CG2611">
        <v>8.41</v>
      </c>
      <c r="CH2611">
        <v>7.13</v>
      </c>
      <c r="CI2611">
        <v>7.13</v>
      </c>
      <c r="CJ2611">
        <v>-0.3</v>
      </c>
      <c r="CK2611">
        <v>7.1</v>
      </c>
      <c r="CL2611">
        <v>40.75</v>
      </c>
      <c r="CM2611">
        <v>2</v>
      </c>
      <c r="CN2611">
        <v>0.51</v>
      </c>
      <c r="CO2611">
        <v>45366</v>
      </c>
      <c r="CP2611">
        <v>18236</v>
      </c>
      <c r="CQ2611" t="s">
        <v>11867</v>
      </c>
      <c r="CR2611">
        <v>28.47</v>
      </c>
      <c r="CS2611">
        <v>34.04</v>
      </c>
      <c r="CT2611">
        <v>2.2999999999999998</v>
      </c>
      <c r="CU2611">
        <v>94.91</v>
      </c>
      <c r="CV2611">
        <v>5.65</v>
      </c>
      <c r="CW2611">
        <v>3.24</v>
      </c>
      <c r="CX2611" t="s">
        <v>1001</v>
      </c>
      <c r="CY2611">
        <v>5.76</v>
      </c>
      <c r="CZ2611">
        <v>0</v>
      </c>
      <c r="DA2611">
        <v>1.71</v>
      </c>
      <c r="DB2611">
        <v>2.84</v>
      </c>
      <c r="DC2611">
        <v>0.14000000000000001</v>
      </c>
      <c r="DD2611">
        <v>76.67</v>
      </c>
      <c r="DE2611" t="s">
        <v>11868</v>
      </c>
      <c r="DF2611">
        <v>30.56</v>
      </c>
      <c r="DG2611">
        <v>25.07</v>
      </c>
      <c r="DH2611">
        <v>21.16</v>
      </c>
      <c r="DI2611">
        <v>1.23</v>
      </c>
      <c r="DJ2611">
        <v>1346</v>
      </c>
      <c r="DK2611">
        <v>600273</v>
      </c>
      <c r="DL2611" t="s">
        <v>120</v>
      </c>
      <c r="DM2611" t="s">
        <v>120</v>
      </c>
      <c r="DN2611" t="s">
        <v>120</v>
      </c>
    </row>
    <row r="2612" spans="1:118">
      <c r="A2612" t="str">
        <f>"600276"</f>
        <v>600276</v>
      </c>
      <c r="B2612" t="s">
        <v>11869</v>
      </c>
      <c r="C2612">
        <v>0.94</v>
      </c>
      <c r="D2612">
        <v>0</v>
      </c>
      <c r="E2612">
        <v>0.39</v>
      </c>
      <c r="F2612">
        <v>12050</v>
      </c>
      <c r="G2612" t="s">
        <v>11870</v>
      </c>
      <c r="H2612">
        <v>256336.2</v>
      </c>
      <c r="I2612">
        <v>3031.7</v>
      </c>
      <c r="J2612" t="s">
        <v>120</v>
      </c>
      <c r="K2612" t="s">
        <v>11871</v>
      </c>
      <c r="L2612">
        <v>0.88</v>
      </c>
      <c r="M2612">
        <v>46.15</v>
      </c>
      <c r="N2612">
        <v>1.41</v>
      </c>
      <c r="O2612">
        <v>1.6</v>
      </c>
      <c r="P2612">
        <v>46.45</v>
      </c>
      <c r="Q2612">
        <v>-0.74</v>
      </c>
      <c r="R2612">
        <v>45.38</v>
      </c>
      <c r="S2612">
        <v>45.9</v>
      </c>
      <c r="T2612">
        <v>558906</v>
      </c>
      <c r="U2612">
        <v>46.16</v>
      </c>
      <c r="V2612">
        <v>45.72</v>
      </c>
      <c r="W2612">
        <v>55.34</v>
      </c>
      <c r="X2612" t="s">
        <v>569</v>
      </c>
      <c r="Y2612" t="s">
        <v>319</v>
      </c>
      <c r="Z2612">
        <v>2.34</v>
      </c>
      <c r="AA2612">
        <v>45.86</v>
      </c>
      <c r="AB2612">
        <v>257126</v>
      </c>
      <c r="AC2612">
        <v>301780</v>
      </c>
      <c r="AD2612">
        <v>0.85</v>
      </c>
      <c r="AE2612">
        <v>229</v>
      </c>
      <c r="AF2612">
        <v>654</v>
      </c>
      <c r="AG2612" t="s">
        <v>120</v>
      </c>
      <c r="AH2612">
        <v>0.02</v>
      </c>
      <c r="AI2612" t="s">
        <v>120</v>
      </c>
      <c r="AJ2612">
        <v>63.68</v>
      </c>
      <c r="AK2612" t="s">
        <v>11872</v>
      </c>
      <c r="AL2612">
        <v>2.2799999999999998</v>
      </c>
      <c r="AM2612">
        <v>4738</v>
      </c>
      <c r="AN2612">
        <v>118</v>
      </c>
      <c r="AO2612">
        <v>2.0000000000000001E-4</v>
      </c>
      <c r="AP2612">
        <v>1</v>
      </c>
      <c r="AQ2612">
        <v>-2.31</v>
      </c>
      <c r="AR2612">
        <v>-1.28</v>
      </c>
      <c r="AS2612">
        <v>-14.28</v>
      </c>
      <c r="AT2612">
        <v>-32.130000000000003</v>
      </c>
      <c r="AU2612">
        <v>-50.23</v>
      </c>
      <c r="AV2612">
        <v>0</v>
      </c>
      <c r="AW2612">
        <v>1.44</v>
      </c>
      <c r="AX2612">
        <v>60.6</v>
      </c>
      <c r="AY2612">
        <v>46.18</v>
      </c>
      <c r="AZ2612">
        <v>46.22</v>
      </c>
      <c r="BA2612">
        <v>1.28</v>
      </c>
      <c r="BB2612" t="s">
        <v>134</v>
      </c>
      <c r="BF2612">
        <v>0.31</v>
      </c>
      <c r="BG2612">
        <v>0.54</v>
      </c>
      <c r="BH2612">
        <v>-0.65</v>
      </c>
      <c r="BI2612">
        <v>1.7</v>
      </c>
      <c r="BJ2612">
        <v>20210821</v>
      </c>
      <c r="BK2612">
        <v>20001018</v>
      </c>
      <c r="BL2612">
        <v>63.97</v>
      </c>
      <c r="BM2612" t="s">
        <v>120</v>
      </c>
      <c r="BN2612" t="s">
        <v>120</v>
      </c>
      <c r="BO2612">
        <v>370.01</v>
      </c>
      <c r="BP2612">
        <v>46.15</v>
      </c>
      <c r="BQ2612">
        <v>327.86</v>
      </c>
      <c r="BR2612">
        <v>5.92</v>
      </c>
      <c r="BS2612">
        <v>9.7899999999999991</v>
      </c>
      <c r="BT2612">
        <v>295.83999999999997</v>
      </c>
      <c r="BU2612">
        <v>37.65</v>
      </c>
      <c r="BV2612">
        <v>3.28</v>
      </c>
      <c r="BW2612">
        <v>33.880000000000003</v>
      </c>
      <c r="BX2612">
        <v>125.09</v>
      </c>
      <c r="BY2612">
        <v>23.48</v>
      </c>
      <c r="BZ2612">
        <v>60.77</v>
      </c>
      <c r="CA2612" t="s">
        <v>120</v>
      </c>
      <c r="CB2612">
        <v>34.99</v>
      </c>
      <c r="CC2612">
        <v>132.97999999999999</v>
      </c>
      <c r="CD2612">
        <v>17.54</v>
      </c>
      <c r="CE2612">
        <v>32.270000000000003</v>
      </c>
      <c r="CF2612">
        <v>1.02</v>
      </c>
      <c r="CG2612">
        <v>31.28</v>
      </c>
      <c r="CH2612">
        <v>26.62</v>
      </c>
      <c r="CI2612">
        <v>26.68</v>
      </c>
      <c r="CJ2612">
        <v>0.43</v>
      </c>
      <c r="CK2612">
        <v>26.47</v>
      </c>
      <c r="CL2612">
        <v>213.79</v>
      </c>
      <c r="CM2612">
        <v>14.98</v>
      </c>
      <c r="CN2612">
        <v>15.79</v>
      </c>
      <c r="CO2612">
        <v>610142</v>
      </c>
      <c r="CP2612">
        <v>6354</v>
      </c>
      <c r="CQ2612" t="s">
        <v>11873</v>
      </c>
      <c r="CR2612">
        <v>0.21</v>
      </c>
      <c r="CS2612">
        <v>17.579999999999998</v>
      </c>
      <c r="CT2612">
        <v>9.01</v>
      </c>
      <c r="CU2612">
        <v>197.05</v>
      </c>
      <c r="CV2612">
        <v>22.2</v>
      </c>
      <c r="CW2612">
        <v>0.36</v>
      </c>
      <c r="CX2612" t="s">
        <v>1327</v>
      </c>
      <c r="CY2612">
        <v>5.12</v>
      </c>
      <c r="CZ2612">
        <v>0</v>
      </c>
      <c r="DA2612">
        <v>0.55000000000000004</v>
      </c>
      <c r="DB2612">
        <v>3.34</v>
      </c>
      <c r="DC2612">
        <v>0.23</v>
      </c>
      <c r="DD2612">
        <v>88.61</v>
      </c>
      <c r="DE2612" t="s">
        <v>6621</v>
      </c>
      <c r="DF2612">
        <v>86.81</v>
      </c>
      <c r="DG2612">
        <v>24.27</v>
      </c>
      <c r="DH2612">
        <v>20.059999999999999</v>
      </c>
      <c r="DI2612">
        <v>25.81</v>
      </c>
      <c r="DJ2612">
        <v>28903</v>
      </c>
      <c r="DK2612">
        <v>600276</v>
      </c>
      <c r="DL2612" t="s">
        <v>120</v>
      </c>
      <c r="DM2612" t="s">
        <v>120</v>
      </c>
      <c r="DN2612" t="s">
        <v>120</v>
      </c>
    </row>
    <row r="2613" spans="1:118">
      <c r="A2613" t="str">
        <f>"600277"</f>
        <v>600277</v>
      </c>
      <c r="B2613" t="s">
        <v>11874</v>
      </c>
      <c r="C2613">
        <v>-4.34</v>
      </c>
      <c r="D2613">
        <v>-0.23</v>
      </c>
      <c r="E2613">
        <v>0.68</v>
      </c>
      <c r="F2613">
        <v>7482</v>
      </c>
      <c r="G2613" t="s">
        <v>11875</v>
      </c>
      <c r="H2613">
        <v>65014.559999999998</v>
      </c>
      <c r="I2613">
        <v>532.46</v>
      </c>
      <c r="J2613" t="s">
        <v>120</v>
      </c>
      <c r="K2613" t="s">
        <v>11876</v>
      </c>
      <c r="L2613">
        <v>4.24</v>
      </c>
      <c r="M2613">
        <v>4.1900000000000004</v>
      </c>
      <c r="N2613">
        <v>1.04</v>
      </c>
      <c r="O2613">
        <v>1.83</v>
      </c>
      <c r="P2613">
        <v>4.46</v>
      </c>
      <c r="Q2613">
        <v>-5.25</v>
      </c>
      <c r="R2613">
        <v>4.1500000000000004</v>
      </c>
      <c r="S2613">
        <v>4.41</v>
      </c>
      <c r="T2613">
        <v>1511144</v>
      </c>
      <c r="U2613">
        <v>4.2</v>
      </c>
      <c r="V2613">
        <v>4.38</v>
      </c>
      <c r="W2613">
        <v>15.98</v>
      </c>
      <c r="X2613" t="s">
        <v>868</v>
      </c>
      <c r="Y2613" t="s">
        <v>785</v>
      </c>
      <c r="Z2613">
        <v>7.08</v>
      </c>
      <c r="AA2613">
        <v>4.3</v>
      </c>
      <c r="AB2613">
        <v>825299</v>
      </c>
      <c r="AC2613">
        <v>685845</v>
      </c>
      <c r="AD2613">
        <v>1.2</v>
      </c>
      <c r="AE2613">
        <v>3195</v>
      </c>
      <c r="AF2613">
        <v>1431</v>
      </c>
      <c r="AG2613" t="s">
        <v>120</v>
      </c>
      <c r="AH2613">
        <v>7.0000000000000007E-2</v>
      </c>
      <c r="AI2613" t="s">
        <v>120</v>
      </c>
      <c r="AJ2613">
        <v>35.61</v>
      </c>
      <c r="AK2613" t="s">
        <v>11876</v>
      </c>
      <c r="AL2613">
        <v>-2.99</v>
      </c>
      <c r="AM2613">
        <v>4369</v>
      </c>
      <c r="AN2613">
        <v>346</v>
      </c>
      <c r="AO2613">
        <v>1E-3</v>
      </c>
      <c r="AP2613">
        <v>-1</v>
      </c>
      <c r="AQ2613">
        <v>6.31</v>
      </c>
      <c r="AR2613">
        <v>1.7</v>
      </c>
      <c r="AS2613">
        <v>26.59</v>
      </c>
      <c r="AT2613">
        <v>59.13</v>
      </c>
      <c r="AU2613">
        <v>85.72</v>
      </c>
      <c r="AV2613">
        <v>4</v>
      </c>
      <c r="AW2613">
        <v>8.5399999999999991</v>
      </c>
      <c r="AX2613">
        <v>49.72</v>
      </c>
      <c r="AY2613">
        <v>21.23</v>
      </c>
      <c r="AZ2613">
        <v>30.09</v>
      </c>
      <c r="BA2613">
        <v>1.23</v>
      </c>
      <c r="BB2613" t="s">
        <v>168</v>
      </c>
      <c r="BF2613">
        <v>-1.77</v>
      </c>
      <c r="BG2613">
        <v>-4.99</v>
      </c>
      <c r="BH2613">
        <v>-6.05</v>
      </c>
      <c r="BI2613">
        <v>0.96</v>
      </c>
      <c r="BJ2613">
        <v>20210828</v>
      </c>
      <c r="BK2613">
        <v>20000725</v>
      </c>
      <c r="BL2613">
        <v>35.61</v>
      </c>
      <c r="BM2613" t="s">
        <v>120</v>
      </c>
      <c r="BN2613" t="s">
        <v>120</v>
      </c>
      <c r="BO2613">
        <v>360.37</v>
      </c>
      <c r="BP2613">
        <v>4.1900000000000004</v>
      </c>
      <c r="BQ2613">
        <v>160.32</v>
      </c>
      <c r="BR2613">
        <v>34.64</v>
      </c>
      <c r="BS2613">
        <v>45.9</v>
      </c>
      <c r="BT2613">
        <v>112.39</v>
      </c>
      <c r="BU2613">
        <v>148.35</v>
      </c>
      <c r="BV2613">
        <v>10.62</v>
      </c>
      <c r="BW2613">
        <v>119.74</v>
      </c>
      <c r="BX2613">
        <v>79.75</v>
      </c>
      <c r="BY2613">
        <v>4.07</v>
      </c>
      <c r="BZ2613">
        <v>13.47</v>
      </c>
      <c r="CA2613" t="s">
        <v>120</v>
      </c>
      <c r="CB2613">
        <v>94.82</v>
      </c>
      <c r="CC2613">
        <v>68.89</v>
      </c>
      <c r="CD2613">
        <v>58.09</v>
      </c>
      <c r="CE2613">
        <v>6.63</v>
      </c>
      <c r="CF2613">
        <v>2.85</v>
      </c>
      <c r="CG2613">
        <v>6.63</v>
      </c>
      <c r="CH2613">
        <v>5.39</v>
      </c>
      <c r="CI2613">
        <v>4.67</v>
      </c>
      <c r="CJ2613">
        <v>-0.19</v>
      </c>
      <c r="CK2613">
        <v>3.96</v>
      </c>
      <c r="CL2613">
        <v>33.94</v>
      </c>
      <c r="CM2613">
        <v>16.329999999999998</v>
      </c>
      <c r="CN2613">
        <v>-1.61</v>
      </c>
      <c r="CO2613">
        <v>65212</v>
      </c>
      <c r="CP2613">
        <v>27150</v>
      </c>
      <c r="CQ2613" t="s">
        <v>11877</v>
      </c>
      <c r="CR2613">
        <v>86.21</v>
      </c>
      <c r="CS2613">
        <v>9.89</v>
      </c>
      <c r="CT2613">
        <v>0.93</v>
      </c>
      <c r="CU2613">
        <v>9.1300000000000008</v>
      </c>
      <c r="CV2613">
        <v>2.17</v>
      </c>
      <c r="CW2613">
        <v>1</v>
      </c>
      <c r="CX2613" t="s">
        <v>284</v>
      </c>
      <c r="CY2613">
        <v>4.5</v>
      </c>
      <c r="CZ2613">
        <v>0</v>
      </c>
      <c r="DA2613">
        <v>2.66</v>
      </c>
      <c r="DB2613">
        <v>0.95</v>
      </c>
      <c r="DC2613">
        <v>0.46</v>
      </c>
      <c r="DD2613">
        <v>44.49</v>
      </c>
      <c r="DE2613" t="s">
        <v>323</v>
      </c>
      <c r="DF2613">
        <v>15.68</v>
      </c>
      <c r="DG2613">
        <v>9.6199999999999992</v>
      </c>
      <c r="DH2613">
        <v>6.78</v>
      </c>
      <c r="DI2613">
        <v>0.76</v>
      </c>
      <c r="DJ2613">
        <v>3963</v>
      </c>
      <c r="DK2613">
        <v>600277</v>
      </c>
      <c r="DL2613" t="s">
        <v>120</v>
      </c>
      <c r="DM2613" t="s">
        <v>120</v>
      </c>
      <c r="DN2613" t="s">
        <v>120</v>
      </c>
    </row>
    <row r="2614" spans="1:118">
      <c r="A2614" t="str">
        <f>"600278"</f>
        <v>600278</v>
      </c>
      <c r="B2614" t="s">
        <v>11878</v>
      </c>
      <c r="C2614">
        <v>-0.25</v>
      </c>
      <c r="D2614">
        <v>-0.11</v>
      </c>
      <c r="E2614">
        <v>0</v>
      </c>
      <c r="F2614">
        <v>95</v>
      </c>
      <c r="G2614" t="s">
        <v>2279</v>
      </c>
      <c r="H2614">
        <v>4106.32</v>
      </c>
      <c r="I2614">
        <v>5.29</v>
      </c>
      <c r="J2614" t="s">
        <v>120</v>
      </c>
      <c r="K2614" t="s">
        <v>10003</v>
      </c>
      <c r="L2614">
        <v>0.75</v>
      </c>
      <c r="M2614">
        <v>7.99</v>
      </c>
      <c r="N2614">
        <v>1.0900000000000001</v>
      </c>
      <c r="O2614">
        <v>0.87</v>
      </c>
      <c r="P2614">
        <v>8.08</v>
      </c>
      <c r="Q2614">
        <v>-0.5</v>
      </c>
      <c r="R2614">
        <v>7.97</v>
      </c>
      <c r="S2614">
        <v>8.01</v>
      </c>
      <c r="T2614">
        <v>51169</v>
      </c>
      <c r="U2614">
        <v>8</v>
      </c>
      <c r="V2614">
        <v>8.01</v>
      </c>
      <c r="W2614">
        <v>20.100000000000001</v>
      </c>
      <c r="X2614" t="s">
        <v>562</v>
      </c>
      <c r="Y2614" t="s">
        <v>1510</v>
      </c>
      <c r="Z2614">
        <v>1.37</v>
      </c>
      <c r="AA2614">
        <v>8.0299999999999994</v>
      </c>
      <c r="AB2614">
        <v>27723</v>
      </c>
      <c r="AC2614">
        <v>23446</v>
      </c>
      <c r="AD2614">
        <v>1.18</v>
      </c>
      <c r="AE2614">
        <v>467</v>
      </c>
      <c r="AF2614">
        <v>87</v>
      </c>
      <c r="AG2614" t="s">
        <v>120</v>
      </c>
      <c r="AH2614">
        <v>0</v>
      </c>
      <c r="AI2614" t="s">
        <v>120</v>
      </c>
      <c r="AJ2614">
        <v>6.79</v>
      </c>
      <c r="AK2614" t="s">
        <v>11879</v>
      </c>
      <c r="AL2614">
        <v>1.0900000000000001</v>
      </c>
      <c r="AM2614">
        <v>1273</v>
      </c>
      <c r="AN2614">
        <v>40</v>
      </c>
      <c r="AO2614">
        <v>5.9999999999999995E-4</v>
      </c>
      <c r="AP2614">
        <v>-1</v>
      </c>
      <c r="AQ2614">
        <v>1.01</v>
      </c>
      <c r="AR2614">
        <v>0.25</v>
      </c>
      <c r="AS2614">
        <v>6.25</v>
      </c>
      <c r="AT2614">
        <v>2.87</v>
      </c>
      <c r="AU2614">
        <v>-6.62</v>
      </c>
      <c r="AV2614">
        <v>0</v>
      </c>
      <c r="AW2614">
        <v>1.46</v>
      </c>
      <c r="AX2614">
        <v>40.26</v>
      </c>
      <c r="AY2614">
        <v>19.489999999999998</v>
      </c>
      <c r="AZ2614">
        <v>25.96</v>
      </c>
      <c r="BA2614">
        <v>0.3</v>
      </c>
      <c r="BB2614" t="s">
        <v>184</v>
      </c>
      <c r="BF2614">
        <v>0.19</v>
      </c>
      <c r="BG2614">
        <v>-0.25</v>
      </c>
      <c r="BH2614">
        <v>-1.1100000000000001</v>
      </c>
      <c r="BI2614">
        <v>0.25</v>
      </c>
      <c r="BJ2614">
        <v>20210831</v>
      </c>
      <c r="BK2614">
        <v>20000712</v>
      </c>
      <c r="BL2614">
        <v>8.68</v>
      </c>
      <c r="BM2614" t="s">
        <v>120</v>
      </c>
      <c r="BN2614" t="s">
        <v>120</v>
      </c>
      <c r="BO2614">
        <v>190.83</v>
      </c>
      <c r="BP2614">
        <v>7.99</v>
      </c>
      <c r="BQ2614">
        <v>67.23</v>
      </c>
      <c r="BR2614">
        <v>2.85</v>
      </c>
      <c r="BS2614">
        <v>63.27</v>
      </c>
      <c r="BT2614">
        <v>147.97</v>
      </c>
      <c r="BU2614">
        <v>11.03</v>
      </c>
      <c r="BV2614">
        <v>3.06</v>
      </c>
      <c r="BW2614">
        <v>112.88</v>
      </c>
      <c r="BX2614">
        <v>39.25</v>
      </c>
      <c r="BY2614">
        <v>32.57</v>
      </c>
      <c r="BZ2614">
        <v>19.37</v>
      </c>
      <c r="CA2614">
        <v>0.04</v>
      </c>
      <c r="CB2614">
        <v>27.09</v>
      </c>
      <c r="CC2614">
        <v>228.42</v>
      </c>
      <c r="CD2614">
        <v>221.65</v>
      </c>
      <c r="CE2614">
        <v>2.64</v>
      </c>
      <c r="CF2614">
        <v>0.52</v>
      </c>
      <c r="CG2614">
        <v>2.65</v>
      </c>
      <c r="CH2614">
        <v>2.11</v>
      </c>
      <c r="CI2614">
        <v>1.73</v>
      </c>
      <c r="CJ2614">
        <v>-0.02</v>
      </c>
      <c r="CK2614">
        <v>1.46</v>
      </c>
      <c r="CL2614">
        <v>21.44</v>
      </c>
      <c r="CM2614">
        <v>-7.74</v>
      </c>
      <c r="CN2614">
        <v>-18.63</v>
      </c>
      <c r="CO2614">
        <v>23747</v>
      </c>
      <c r="CP2614">
        <v>14722</v>
      </c>
      <c r="CQ2614" t="s">
        <v>3618</v>
      </c>
      <c r="CR2614">
        <v>106.37</v>
      </c>
      <c r="CS2614">
        <v>24.57</v>
      </c>
      <c r="CT2614">
        <v>1.03</v>
      </c>
      <c r="CU2614">
        <v>-8.9700000000000006</v>
      </c>
      <c r="CV2614">
        <v>0.3</v>
      </c>
      <c r="CW2614">
        <v>1.1599999999999999</v>
      </c>
      <c r="CX2614" t="s">
        <v>492</v>
      </c>
      <c r="CY2614">
        <v>7.74</v>
      </c>
      <c r="CZ2614">
        <v>0</v>
      </c>
      <c r="DA2614">
        <v>3.12</v>
      </c>
      <c r="DB2614">
        <v>2.4700000000000002</v>
      </c>
      <c r="DC2614">
        <v>-0.89</v>
      </c>
      <c r="DD2614">
        <v>35.229999999999997</v>
      </c>
      <c r="DE2614" t="s">
        <v>703</v>
      </c>
      <c r="DF2614">
        <v>2.97</v>
      </c>
      <c r="DG2614">
        <v>1.1499999999999999</v>
      </c>
      <c r="DH2614">
        <v>0.76</v>
      </c>
      <c r="DI2614">
        <v>0.02</v>
      </c>
      <c r="DJ2614">
        <v>5105</v>
      </c>
      <c r="DK2614">
        <v>600278</v>
      </c>
      <c r="DL2614" t="s">
        <v>120</v>
      </c>
      <c r="DM2614" t="s">
        <v>120</v>
      </c>
      <c r="DN2614" t="s">
        <v>120</v>
      </c>
    </row>
    <row r="2615" spans="1:118">
      <c r="A2615" t="str">
        <f>"600279"</f>
        <v>600279</v>
      </c>
      <c r="B2615" t="s">
        <v>11880</v>
      </c>
      <c r="C2615">
        <v>-1.56</v>
      </c>
      <c r="D2615">
        <v>0</v>
      </c>
      <c r="E2615">
        <v>0</v>
      </c>
      <c r="F2615">
        <v>418</v>
      </c>
      <c r="G2615" t="s">
        <v>11641</v>
      </c>
      <c r="H2615">
        <v>1390.93</v>
      </c>
      <c r="I2615">
        <v>1.66</v>
      </c>
      <c r="J2615" t="s">
        <v>120</v>
      </c>
      <c r="K2615" t="s">
        <v>1026</v>
      </c>
      <c r="L2615">
        <v>0.42</v>
      </c>
      <c r="M2615">
        <v>3.79</v>
      </c>
      <c r="N2615">
        <v>0.52</v>
      </c>
      <c r="O2615">
        <v>1.56</v>
      </c>
      <c r="P2615">
        <v>3.91</v>
      </c>
      <c r="Q2615">
        <v>-1.82</v>
      </c>
      <c r="R2615">
        <v>3.78</v>
      </c>
      <c r="S2615">
        <v>3.85</v>
      </c>
      <c r="T2615">
        <v>36329</v>
      </c>
      <c r="U2615">
        <v>3.8</v>
      </c>
      <c r="V2615">
        <v>3.85</v>
      </c>
      <c r="W2615">
        <v>352.33</v>
      </c>
      <c r="X2615" t="s">
        <v>511</v>
      </c>
      <c r="Y2615" t="s">
        <v>883</v>
      </c>
      <c r="Z2615">
        <v>3.38</v>
      </c>
      <c r="AA2615">
        <v>3.83</v>
      </c>
      <c r="AB2615">
        <v>22787</v>
      </c>
      <c r="AC2615">
        <v>13542</v>
      </c>
      <c r="AD2615">
        <v>1.68</v>
      </c>
      <c r="AE2615">
        <v>812</v>
      </c>
      <c r="AF2615">
        <v>1154</v>
      </c>
      <c r="AG2615" t="s">
        <v>120</v>
      </c>
      <c r="AH2615">
        <v>0</v>
      </c>
      <c r="AI2615" t="s">
        <v>120</v>
      </c>
      <c r="AJ2615">
        <v>8.6999999999999993</v>
      </c>
      <c r="AK2615" t="s">
        <v>11803</v>
      </c>
      <c r="AL2615">
        <v>-0.21</v>
      </c>
      <c r="AM2615">
        <v>1057</v>
      </c>
      <c r="AN2615">
        <v>34</v>
      </c>
      <c r="AO2615">
        <v>4.0000000000000002E-4</v>
      </c>
      <c r="AP2615">
        <v>-1</v>
      </c>
      <c r="AQ2615">
        <v>0.26</v>
      </c>
      <c r="AR2615">
        <v>-3.32</v>
      </c>
      <c r="AS2615">
        <v>7.37</v>
      </c>
      <c r="AT2615">
        <v>3.41</v>
      </c>
      <c r="AU2615">
        <v>-0.4</v>
      </c>
      <c r="AV2615">
        <v>0</v>
      </c>
      <c r="AW2615">
        <v>0.89</v>
      </c>
      <c r="AX2615">
        <v>34.56</v>
      </c>
      <c r="AY2615">
        <v>74.180000000000007</v>
      </c>
      <c r="AZ2615">
        <v>51.59</v>
      </c>
      <c r="BA2615">
        <v>0.43</v>
      </c>
      <c r="BB2615" t="s">
        <v>143</v>
      </c>
      <c r="BF2615">
        <v>-0.55000000000000004</v>
      </c>
      <c r="BG2615">
        <v>-1.56</v>
      </c>
      <c r="BH2615">
        <v>-3.07</v>
      </c>
      <c r="BI2615">
        <v>0.26</v>
      </c>
      <c r="BJ2615">
        <v>20210825</v>
      </c>
      <c r="BK2615">
        <v>20000731</v>
      </c>
      <c r="BL2615">
        <v>11.87</v>
      </c>
      <c r="BM2615" t="s">
        <v>120</v>
      </c>
      <c r="BN2615" t="s">
        <v>120</v>
      </c>
      <c r="BO2615">
        <v>128.04</v>
      </c>
      <c r="BP2615">
        <v>3.79</v>
      </c>
      <c r="BQ2615">
        <v>55.33</v>
      </c>
      <c r="BR2615">
        <v>12.35</v>
      </c>
      <c r="BS2615">
        <v>47.14</v>
      </c>
      <c r="BT2615">
        <v>30.12</v>
      </c>
      <c r="BU2615">
        <v>66.81</v>
      </c>
      <c r="BV2615">
        <v>11.19</v>
      </c>
      <c r="BW2615">
        <v>25.23</v>
      </c>
      <c r="BX2615">
        <v>9.9700000000000006</v>
      </c>
      <c r="BY2615">
        <v>8.83</v>
      </c>
      <c r="BZ2615">
        <v>3.14</v>
      </c>
      <c r="CA2615">
        <v>7.0000000000000007E-2</v>
      </c>
      <c r="CB2615">
        <v>32.950000000000003</v>
      </c>
      <c r="CC2615">
        <v>29.73</v>
      </c>
      <c r="CD2615">
        <v>27.71</v>
      </c>
      <c r="CE2615">
        <v>0.26</v>
      </c>
      <c r="CF2615">
        <v>0.05</v>
      </c>
      <c r="CG2615">
        <v>0.32</v>
      </c>
      <c r="CH2615">
        <v>0.19</v>
      </c>
      <c r="CI2615">
        <v>0.06</v>
      </c>
      <c r="CJ2615">
        <v>-0.06</v>
      </c>
      <c r="CK2615">
        <v>-0.16</v>
      </c>
      <c r="CL2615">
        <v>8.4700000000000006</v>
      </c>
      <c r="CM2615">
        <v>1.21</v>
      </c>
      <c r="CN2615">
        <v>-3.2</v>
      </c>
      <c r="CO2615">
        <v>34818</v>
      </c>
      <c r="CP2615">
        <v>11780</v>
      </c>
      <c r="CQ2615" t="s">
        <v>1046</v>
      </c>
      <c r="CR2615">
        <v>-80.86</v>
      </c>
      <c r="CS2615">
        <v>31.08</v>
      </c>
      <c r="CT2615">
        <v>0.81</v>
      </c>
      <c r="CU2615">
        <v>37.17</v>
      </c>
      <c r="CV2615">
        <v>1.51</v>
      </c>
      <c r="CW2615">
        <v>0.65</v>
      </c>
      <c r="CX2615" t="s">
        <v>4638</v>
      </c>
      <c r="CY2615">
        <v>4.66</v>
      </c>
      <c r="CZ2615">
        <v>0</v>
      </c>
      <c r="DA2615">
        <v>2.78</v>
      </c>
      <c r="DB2615">
        <v>0.71</v>
      </c>
      <c r="DC2615">
        <v>0.1</v>
      </c>
      <c r="DD2615">
        <v>43.21</v>
      </c>
      <c r="DE2615" t="s">
        <v>2288</v>
      </c>
      <c r="DF2615">
        <v>6.77</v>
      </c>
      <c r="DG2615">
        <v>0.87</v>
      </c>
      <c r="DH2615">
        <v>0.21</v>
      </c>
      <c r="DI2615" t="s">
        <v>120</v>
      </c>
      <c r="DJ2615">
        <v>2553</v>
      </c>
      <c r="DK2615">
        <v>600279</v>
      </c>
      <c r="DL2615" t="s">
        <v>120</v>
      </c>
      <c r="DM2615" t="s">
        <v>120</v>
      </c>
      <c r="DN2615" t="s">
        <v>120</v>
      </c>
    </row>
    <row r="2616" spans="1:118">
      <c r="A2616" t="str">
        <f>"600280"</f>
        <v>600280</v>
      </c>
      <c r="B2616" t="s">
        <v>11881</v>
      </c>
      <c r="C2616">
        <v>-1.9</v>
      </c>
      <c r="D2616">
        <v>-0.31</v>
      </c>
      <c r="E2616">
        <v>0</v>
      </c>
      <c r="F2616">
        <v>566</v>
      </c>
      <c r="G2616" t="s">
        <v>8816</v>
      </c>
      <c r="H2616">
        <v>1400.26</v>
      </c>
      <c r="I2616">
        <v>2.09</v>
      </c>
      <c r="J2616" t="s">
        <v>120</v>
      </c>
      <c r="K2616" t="s">
        <v>11882</v>
      </c>
      <c r="L2616">
        <v>0.39</v>
      </c>
      <c r="M2616">
        <v>3.1</v>
      </c>
      <c r="N2616">
        <v>0.56999999999999995</v>
      </c>
      <c r="O2616">
        <v>1.27</v>
      </c>
      <c r="P2616">
        <v>3.2</v>
      </c>
      <c r="Q2616">
        <v>-1.9</v>
      </c>
      <c r="R2616">
        <v>3.1</v>
      </c>
      <c r="S2616">
        <v>3.16</v>
      </c>
      <c r="T2616">
        <v>44462</v>
      </c>
      <c r="U2616">
        <v>3.11</v>
      </c>
      <c r="V2616">
        <v>3.16</v>
      </c>
      <c r="W2616">
        <v>186.26</v>
      </c>
      <c r="X2616" t="s">
        <v>735</v>
      </c>
      <c r="Y2616" t="s">
        <v>319</v>
      </c>
      <c r="Z2616">
        <v>3.16</v>
      </c>
      <c r="AA2616">
        <v>3.15</v>
      </c>
      <c r="AB2616">
        <v>27323</v>
      </c>
      <c r="AC2616">
        <v>17139</v>
      </c>
      <c r="AD2616">
        <v>1.59</v>
      </c>
      <c r="AE2616">
        <v>3367</v>
      </c>
      <c r="AF2616">
        <v>316</v>
      </c>
      <c r="AG2616" t="s">
        <v>120</v>
      </c>
      <c r="AH2616">
        <v>0</v>
      </c>
      <c r="AI2616" t="s">
        <v>120</v>
      </c>
      <c r="AJ2616">
        <v>11.38</v>
      </c>
      <c r="AK2616" t="s">
        <v>11882</v>
      </c>
      <c r="AL2616">
        <v>-0.55000000000000004</v>
      </c>
      <c r="AM2616">
        <v>908</v>
      </c>
      <c r="AN2616">
        <v>49</v>
      </c>
      <c r="AO2616">
        <v>4.0000000000000002E-4</v>
      </c>
      <c r="AP2616">
        <v>-1</v>
      </c>
      <c r="AQ2616">
        <v>0.64</v>
      </c>
      <c r="AR2616">
        <v>-2.82</v>
      </c>
      <c r="AS2616">
        <v>6.17</v>
      </c>
      <c r="AT2616">
        <v>-11.93</v>
      </c>
      <c r="AU2616">
        <v>30.25</v>
      </c>
      <c r="AV2616">
        <v>26</v>
      </c>
      <c r="AW2616">
        <v>0.9</v>
      </c>
      <c r="AX2616">
        <v>43.5</v>
      </c>
      <c r="AY2616">
        <v>27.05</v>
      </c>
      <c r="AZ2616">
        <v>44.2</v>
      </c>
      <c r="BA2616">
        <v>0.48</v>
      </c>
      <c r="BB2616" t="s">
        <v>143</v>
      </c>
      <c r="BF2616">
        <v>-0.34</v>
      </c>
      <c r="BG2616">
        <v>-1.9</v>
      </c>
      <c r="BH2616">
        <v>-3.12</v>
      </c>
      <c r="BI2616">
        <v>0</v>
      </c>
      <c r="BJ2616">
        <v>20210827</v>
      </c>
      <c r="BK2616">
        <v>20000926</v>
      </c>
      <c r="BL2616">
        <v>11.38</v>
      </c>
      <c r="BM2616" t="s">
        <v>120</v>
      </c>
      <c r="BN2616" t="s">
        <v>120</v>
      </c>
      <c r="BO2616">
        <v>131.97</v>
      </c>
      <c r="BP2616">
        <v>3.1</v>
      </c>
      <c r="BQ2616">
        <v>9.39</v>
      </c>
      <c r="BR2616">
        <v>0.36</v>
      </c>
      <c r="BS2616">
        <v>92.61</v>
      </c>
      <c r="BT2616">
        <v>71.069999999999993</v>
      </c>
      <c r="BU2616">
        <v>39.43</v>
      </c>
      <c r="BV2616">
        <v>3.39</v>
      </c>
      <c r="BW2616">
        <v>103.53</v>
      </c>
      <c r="BX2616">
        <v>5.56</v>
      </c>
      <c r="BY2616">
        <v>60.73</v>
      </c>
      <c r="BZ2616">
        <v>0.45</v>
      </c>
      <c r="CA2616">
        <v>0.55000000000000004</v>
      </c>
      <c r="CB2616">
        <v>0.03</v>
      </c>
      <c r="CC2616">
        <v>17.54</v>
      </c>
      <c r="CD2616">
        <v>9.66</v>
      </c>
      <c r="CE2616">
        <v>0.55000000000000004</v>
      </c>
      <c r="CF2616">
        <v>-0.02</v>
      </c>
      <c r="CG2616">
        <v>0.56999999999999995</v>
      </c>
      <c r="CH2616">
        <v>0.08</v>
      </c>
      <c r="CI2616">
        <v>0.09</v>
      </c>
      <c r="CJ2616">
        <v>-0.06</v>
      </c>
      <c r="CK2616">
        <v>-0.3</v>
      </c>
      <c r="CL2616">
        <v>-6.32</v>
      </c>
      <c r="CM2616">
        <v>2.04</v>
      </c>
      <c r="CN2616">
        <v>-0.76</v>
      </c>
      <c r="CO2616">
        <v>32966</v>
      </c>
      <c r="CP2616">
        <v>15020</v>
      </c>
      <c r="CQ2616" t="s">
        <v>3644</v>
      </c>
      <c r="CR2616">
        <v>122.5</v>
      </c>
      <c r="CS2616">
        <v>57.93</v>
      </c>
      <c r="CT2616">
        <v>3.76</v>
      </c>
      <c r="CU2616">
        <v>17.3</v>
      </c>
      <c r="CV2616">
        <v>2.0099999999999998</v>
      </c>
      <c r="CW2616">
        <v>0</v>
      </c>
      <c r="CX2616" t="s">
        <v>178</v>
      </c>
      <c r="CY2616">
        <v>0.83</v>
      </c>
      <c r="CZ2616">
        <v>0</v>
      </c>
      <c r="DA2616">
        <v>0</v>
      </c>
      <c r="DB2616">
        <v>-0.56000000000000005</v>
      </c>
      <c r="DC2616">
        <v>0.18</v>
      </c>
      <c r="DD2616">
        <v>7.12</v>
      </c>
      <c r="DE2616" t="s">
        <v>3341</v>
      </c>
      <c r="DF2616">
        <v>44.88</v>
      </c>
      <c r="DG2616">
        <v>3.12</v>
      </c>
      <c r="DH2616">
        <v>0.54</v>
      </c>
      <c r="DI2616" t="s">
        <v>120</v>
      </c>
      <c r="DJ2616">
        <v>2990</v>
      </c>
      <c r="DK2616">
        <v>600280</v>
      </c>
      <c r="DL2616" t="s">
        <v>120</v>
      </c>
      <c r="DM2616" t="s">
        <v>120</v>
      </c>
      <c r="DN2616" t="s">
        <v>120</v>
      </c>
    </row>
    <row r="2617" spans="1:118">
      <c r="A2617" t="str">
        <f>"600281"</f>
        <v>600281</v>
      </c>
      <c r="B2617" t="s">
        <v>11883</v>
      </c>
      <c r="C2617">
        <v>-10</v>
      </c>
      <c r="D2617">
        <v>0</v>
      </c>
      <c r="E2617">
        <v>-1.88</v>
      </c>
      <c r="F2617">
        <v>302</v>
      </c>
      <c r="G2617" t="s">
        <v>11884</v>
      </c>
      <c r="H2617">
        <v>26750.63</v>
      </c>
      <c r="I2617">
        <v>266.8</v>
      </c>
      <c r="J2617">
        <v>2443.7199999999998</v>
      </c>
      <c r="K2617" t="s">
        <v>11885</v>
      </c>
      <c r="L2617">
        <v>6.6</v>
      </c>
      <c r="M2617">
        <v>7.65</v>
      </c>
      <c r="N2617">
        <v>1.1599999999999999</v>
      </c>
      <c r="O2617">
        <v>-1.88</v>
      </c>
      <c r="P2617">
        <v>8.34</v>
      </c>
      <c r="Q2617">
        <v>-10</v>
      </c>
      <c r="R2617">
        <v>7.65</v>
      </c>
      <c r="S2617">
        <v>8.34</v>
      </c>
      <c r="T2617">
        <v>339660</v>
      </c>
      <c r="U2617">
        <v>7.65</v>
      </c>
      <c r="V2617">
        <v>8.5</v>
      </c>
      <c r="W2617" t="s">
        <v>120</v>
      </c>
      <c r="X2617" t="s">
        <v>166</v>
      </c>
      <c r="Y2617" t="s">
        <v>667</v>
      </c>
      <c r="Z2617">
        <v>8.1199999999999992</v>
      </c>
      <c r="AA2617">
        <v>7.88</v>
      </c>
      <c r="AB2617">
        <v>191923</v>
      </c>
      <c r="AC2617">
        <v>147737</v>
      </c>
      <c r="AD2617">
        <v>1.3</v>
      </c>
      <c r="AE2617">
        <v>0</v>
      </c>
      <c r="AF2617">
        <v>31944</v>
      </c>
      <c r="AG2617" t="s">
        <v>120</v>
      </c>
      <c r="AH2617">
        <v>0.11</v>
      </c>
      <c r="AI2617">
        <v>0.09</v>
      </c>
      <c r="AJ2617">
        <v>5.14</v>
      </c>
      <c r="AK2617" t="s">
        <v>11885</v>
      </c>
      <c r="AL2617">
        <v>-8.66</v>
      </c>
      <c r="AM2617">
        <v>2304</v>
      </c>
      <c r="AN2617">
        <v>147</v>
      </c>
      <c r="AO2617">
        <v>2.8999999999999998E-3</v>
      </c>
      <c r="AP2617">
        <v>-1</v>
      </c>
      <c r="AQ2617">
        <v>3.16</v>
      </c>
      <c r="AR2617">
        <v>-11.15</v>
      </c>
      <c r="AS2617">
        <v>45.44</v>
      </c>
      <c r="AT2617">
        <v>67.03</v>
      </c>
      <c r="AU2617">
        <v>95.65</v>
      </c>
      <c r="AV2617">
        <v>10</v>
      </c>
      <c r="AW2617">
        <v>11.68</v>
      </c>
      <c r="AX2617">
        <v>56.52</v>
      </c>
      <c r="AY2617">
        <v>174.21</v>
      </c>
      <c r="AZ2617">
        <v>105.11</v>
      </c>
      <c r="BA2617">
        <v>1.1599999999999999</v>
      </c>
      <c r="BB2617" t="s">
        <v>184</v>
      </c>
      <c r="BF2617">
        <v>-7.34</v>
      </c>
      <c r="BG2617">
        <v>-8.27</v>
      </c>
      <c r="BH2617">
        <v>-8.27</v>
      </c>
      <c r="BI2617">
        <v>0</v>
      </c>
      <c r="BJ2617">
        <v>20210828</v>
      </c>
      <c r="BK2617">
        <v>20001109</v>
      </c>
      <c r="BL2617">
        <v>5.14</v>
      </c>
      <c r="BM2617" t="s">
        <v>120</v>
      </c>
      <c r="BN2617" t="s">
        <v>120</v>
      </c>
      <c r="BO2617">
        <v>7.65</v>
      </c>
      <c r="BP2617" t="s">
        <v>120</v>
      </c>
      <c r="BQ2617">
        <v>5.13</v>
      </c>
      <c r="BR2617" t="s">
        <v>120</v>
      </c>
      <c r="BS2617">
        <v>32.979999999999997</v>
      </c>
      <c r="BT2617">
        <v>3.22</v>
      </c>
      <c r="BU2617">
        <v>0.89</v>
      </c>
      <c r="BV2617">
        <v>0.01</v>
      </c>
      <c r="BW2617">
        <v>2.4700000000000002</v>
      </c>
      <c r="BX2617">
        <v>0.45</v>
      </c>
      <c r="BY2617">
        <v>0.92</v>
      </c>
      <c r="BZ2617">
        <v>1.21</v>
      </c>
      <c r="CA2617">
        <v>7.0000000000000007E-2</v>
      </c>
      <c r="CB2617">
        <v>5.78</v>
      </c>
      <c r="CC2617">
        <v>1.67</v>
      </c>
      <c r="CD2617">
        <v>1.33</v>
      </c>
      <c r="CE2617">
        <v>-0.15</v>
      </c>
      <c r="CF2617">
        <v>0</v>
      </c>
      <c r="CG2617">
        <v>-0.11</v>
      </c>
      <c r="CH2617">
        <v>-0.14000000000000001</v>
      </c>
      <c r="CI2617">
        <v>-0.14000000000000001</v>
      </c>
      <c r="CJ2617">
        <v>-0.85</v>
      </c>
      <c r="CK2617">
        <v>-0.03</v>
      </c>
      <c r="CL2617">
        <v>-6.34</v>
      </c>
      <c r="CM2617">
        <v>-0.31</v>
      </c>
      <c r="CN2617">
        <v>-1.5</v>
      </c>
      <c r="CO2617">
        <v>24124</v>
      </c>
      <c r="CP2617">
        <v>12052</v>
      </c>
      <c r="CQ2617" t="s">
        <v>10246</v>
      </c>
      <c r="CR2617">
        <v>-685.39</v>
      </c>
      <c r="CS2617">
        <v>-38.94</v>
      </c>
      <c r="CT2617">
        <v>7.68</v>
      </c>
      <c r="CU2617">
        <v>-127.44</v>
      </c>
      <c r="CV2617">
        <v>23.61</v>
      </c>
      <c r="CW2617">
        <v>0</v>
      </c>
      <c r="CX2617" t="s">
        <v>906</v>
      </c>
      <c r="CY2617">
        <v>1</v>
      </c>
      <c r="CZ2617">
        <v>0</v>
      </c>
      <c r="DA2617">
        <v>1.1200000000000001</v>
      </c>
      <c r="DB2617">
        <v>-1.23</v>
      </c>
      <c r="DC2617">
        <v>-0.06</v>
      </c>
      <c r="DD2617">
        <v>67.02</v>
      </c>
      <c r="DE2617" t="s">
        <v>11886</v>
      </c>
      <c r="DF2617">
        <v>20.440000000000001</v>
      </c>
      <c r="DG2617">
        <v>-9.01</v>
      </c>
      <c r="DH2617">
        <v>-8.4499999999999993</v>
      </c>
      <c r="DI2617" t="s">
        <v>120</v>
      </c>
      <c r="DJ2617">
        <v>221</v>
      </c>
      <c r="DK2617">
        <v>600281</v>
      </c>
      <c r="DL2617">
        <v>20210826</v>
      </c>
      <c r="DM2617">
        <v>6.55</v>
      </c>
      <c r="DN2617">
        <v>16.79</v>
      </c>
    </row>
    <row r="2618" spans="1:118">
      <c r="A2618" t="str">
        <f>"600282"</f>
        <v>600282</v>
      </c>
      <c r="B2618" t="s">
        <v>11887</v>
      </c>
      <c r="C2618">
        <v>-1.04</v>
      </c>
      <c r="D2618">
        <v>-0.2</v>
      </c>
      <c r="E2618">
        <v>1.87</v>
      </c>
      <c r="F2618">
        <v>10238</v>
      </c>
      <c r="G2618" t="s">
        <v>11888</v>
      </c>
      <c r="H2618">
        <v>29106.58</v>
      </c>
      <c r="I2618">
        <v>292.52999999999997</v>
      </c>
      <c r="J2618" t="s">
        <v>120</v>
      </c>
      <c r="K2618" t="s">
        <v>11889</v>
      </c>
      <c r="L2618">
        <v>1.34</v>
      </c>
      <c r="M2618">
        <v>4.76</v>
      </c>
      <c r="N2618">
        <v>0.49</v>
      </c>
      <c r="O2618">
        <v>3.33</v>
      </c>
      <c r="P2618">
        <v>4.97</v>
      </c>
      <c r="Q2618">
        <v>-1.04</v>
      </c>
      <c r="R2618">
        <v>4.76</v>
      </c>
      <c r="S2618">
        <v>4.9000000000000004</v>
      </c>
      <c r="T2618">
        <v>596986</v>
      </c>
      <c r="U2618">
        <v>4.7699999999999996</v>
      </c>
      <c r="V2618">
        <v>4.8099999999999996</v>
      </c>
      <c r="W2618">
        <v>6.48</v>
      </c>
      <c r="X2618" t="s">
        <v>1460</v>
      </c>
      <c r="Y2618" t="s">
        <v>319</v>
      </c>
      <c r="Z2618">
        <v>4.37</v>
      </c>
      <c r="AA2618">
        <v>4.88</v>
      </c>
      <c r="AB2618">
        <v>299947</v>
      </c>
      <c r="AC2618">
        <v>297039</v>
      </c>
      <c r="AD2618">
        <v>1.01</v>
      </c>
      <c r="AE2618">
        <v>6170</v>
      </c>
      <c r="AF2618">
        <v>91</v>
      </c>
      <c r="AG2618" t="s">
        <v>120</v>
      </c>
      <c r="AH2618">
        <v>0.02</v>
      </c>
      <c r="AI2618" t="s">
        <v>120</v>
      </c>
      <c r="AJ2618">
        <v>44.59</v>
      </c>
      <c r="AK2618" t="s">
        <v>11890</v>
      </c>
      <c r="AL2618">
        <v>0.3</v>
      </c>
      <c r="AM2618">
        <v>4032</v>
      </c>
      <c r="AN2618">
        <v>148</v>
      </c>
      <c r="AO2618">
        <v>2.9999999999999997E-4</v>
      </c>
      <c r="AP2618">
        <v>-1</v>
      </c>
      <c r="AQ2618">
        <v>0.21</v>
      </c>
      <c r="AR2618">
        <v>-5.93</v>
      </c>
      <c r="AS2618">
        <v>16.38</v>
      </c>
      <c r="AT2618">
        <v>37.18</v>
      </c>
      <c r="AU2618">
        <v>65.86</v>
      </c>
      <c r="AV2618">
        <v>0</v>
      </c>
      <c r="AW2618">
        <v>2.35</v>
      </c>
      <c r="AX2618">
        <v>41.3</v>
      </c>
      <c r="AY2618">
        <v>7.42</v>
      </c>
      <c r="AZ2618">
        <v>10.41</v>
      </c>
      <c r="BA2618">
        <v>0.92</v>
      </c>
      <c r="BB2618" t="s">
        <v>143</v>
      </c>
      <c r="BF2618">
        <v>1.36</v>
      </c>
      <c r="BG2618">
        <v>-2.86</v>
      </c>
      <c r="BH2618">
        <v>-4.2300000000000004</v>
      </c>
      <c r="BI2618">
        <v>0</v>
      </c>
      <c r="BJ2618">
        <v>20210818</v>
      </c>
      <c r="BK2618">
        <v>20000919</v>
      </c>
      <c r="BL2618">
        <v>61.58</v>
      </c>
      <c r="BM2618" t="s">
        <v>120</v>
      </c>
      <c r="BN2618" t="s">
        <v>120</v>
      </c>
      <c r="BO2618">
        <v>514.70000000000005</v>
      </c>
      <c r="BP2618">
        <v>4.76</v>
      </c>
      <c r="BQ2618">
        <v>244.51</v>
      </c>
      <c r="BR2618">
        <v>5.44</v>
      </c>
      <c r="BS2618">
        <v>51.44</v>
      </c>
      <c r="BT2618">
        <v>229.39</v>
      </c>
      <c r="BU2618">
        <v>187.01</v>
      </c>
      <c r="BV2618">
        <v>10.71</v>
      </c>
      <c r="BW2618">
        <v>242.7</v>
      </c>
      <c r="BX2618">
        <v>47.8</v>
      </c>
      <c r="BY2618">
        <v>81.36</v>
      </c>
      <c r="BZ2618">
        <v>12.43</v>
      </c>
      <c r="CA2618" t="s">
        <v>120</v>
      </c>
      <c r="CB2618">
        <v>55.41</v>
      </c>
      <c r="CC2618">
        <v>385.88</v>
      </c>
      <c r="CD2618">
        <v>339.23</v>
      </c>
      <c r="CE2618">
        <v>28.07</v>
      </c>
      <c r="CF2618">
        <v>2.08</v>
      </c>
      <c r="CG2618">
        <v>28.1</v>
      </c>
      <c r="CH2618">
        <v>22.64</v>
      </c>
      <c r="CI2618">
        <v>22.61</v>
      </c>
      <c r="CJ2618">
        <v>-0.05</v>
      </c>
      <c r="CK2618">
        <v>21.02</v>
      </c>
      <c r="CL2618">
        <v>114.52</v>
      </c>
      <c r="CM2618">
        <v>25.12</v>
      </c>
      <c r="CN2618">
        <v>-1.7</v>
      </c>
      <c r="CO2618">
        <v>101911</v>
      </c>
      <c r="CP2618">
        <v>24952</v>
      </c>
      <c r="CQ2618" t="s">
        <v>11891</v>
      </c>
      <c r="CR2618">
        <v>102.65</v>
      </c>
      <c r="CS2618">
        <v>58.42</v>
      </c>
      <c r="CT2618">
        <v>1.2</v>
      </c>
      <c r="CU2618">
        <v>11.67</v>
      </c>
      <c r="CV2618">
        <v>0.76</v>
      </c>
      <c r="CW2618">
        <v>5.18</v>
      </c>
      <c r="CX2618" t="s">
        <v>709</v>
      </c>
      <c r="CY2618">
        <v>3.97</v>
      </c>
      <c r="CZ2618">
        <v>0</v>
      </c>
      <c r="DA2618">
        <v>0.9</v>
      </c>
      <c r="DB2618">
        <v>1.86</v>
      </c>
      <c r="DC2618">
        <v>0.41</v>
      </c>
      <c r="DD2618">
        <v>47.51</v>
      </c>
      <c r="DE2618" t="s">
        <v>11892</v>
      </c>
      <c r="DF2618">
        <v>12.09</v>
      </c>
      <c r="DG2618">
        <v>7.28</v>
      </c>
      <c r="DH2618">
        <v>5.86</v>
      </c>
      <c r="DI2618">
        <v>9.56</v>
      </c>
      <c r="DJ2618">
        <v>11431</v>
      </c>
      <c r="DK2618">
        <v>600282</v>
      </c>
      <c r="DL2618" t="s">
        <v>120</v>
      </c>
      <c r="DM2618" t="s">
        <v>120</v>
      </c>
      <c r="DN2618" t="s">
        <v>120</v>
      </c>
    </row>
    <row r="2619" spans="1:118">
      <c r="A2619" t="str">
        <f>"600283"</f>
        <v>600283</v>
      </c>
      <c r="B2619" t="s">
        <v>11893</v>
      </c>
      <c r="C2619">
        <v>-1.07</v>
      </c>
      <c r="D2619">
        <v>-0.17</v>
      </c>
      <c r="E2619">
        <v>0</v>
      </c>
      <c r="F2619">
        <v>429</v>
      </c>
      <c r="G2619" t="s">
        <v>7789</v>
      </c>
      <c r="H2619">
        <v>4159.59</v>
      </c>
      <c r="I2619">
        <v>11.77</v>
      </c>
      <c r="J2619" t="s">
        <v>120</v>
      </c>
      <c r="K2619" t="s">
        <v>155</v>
      </c>
      <c r="L2619">
        <v>1.04</v>
      </c>
      <c r="M2619">
        <v>11.09</v>
      </c>
      <c r="N2619">
        <v>0.83</v>
      </c>
      <c r="O2619">
        <v>2.85</v>
      </c>
      <c r="P2619">
        <v>11.53</v>
      </c>
      <c r="Q2619">
        <v>-1.25</v>
      </c>
      <c r="R2619">
        <v>11.07</v>
      </c>
      <c r="S2619">
        <v>11.21</v>
      </c>
      <c r="T2619">
        <v>36746</v>
      </c>
      <c r="U2619">
        <v>11.1</v>
      </c>
      <c r="V2619">
        <v>11.21</v>
      </c>
      <c r="W2619">
        <v>20.97</v>
      </c>
      <c r="X2619" t="s">
        <v>1271</v>
      </c>
      <c r="Y2619" t="s">
        <v>585</v>
      </c>
      <c r="Z2619">
        <v>4.0999999999999996</v>
      </c>
      <c r="AA2619">
        <v>11.32</v>
      </c>
      <c r="AB2619">
        <v>18175</v>
      </c>
      <c r="AC2619">
        <v>18571</v>
      </c>
      <c r="AD2619">
        <v>0.98</v>
      </c>
      <c r="AE2619">
        <v>202</v>
      </c>
      <c r="AF2619">
        <v>154</v>
      </c>
      <c r="AG2619" t="s">
        <v>120</v>
      </c>
      <c r="AH2619">
        <v>0.01</v>
      </c>
      <c r="AI2619" t="s">
        <v>120</v>
      </c>
      <c r="AJ2619">
        <v>3.53</v>
      </c>
      <c r="AK2619" t="s">
        <v>155</v>
      </c>
      <c r="AL2619">
        <v>0.27</v>
      </c>
      <c r="AM2619">
        <v>1880</v>
      </c>
      <c r="AN2619">
        <v>20</v>
      </c>
      <c r="AO2619">
        <v>5.9999999999999995E-4</v>
      </c>
      <c r="AP2619">
        <v>-1</v>
      </c>
      <c r="AQ2619">
        <v>0.18</v>
      </c>
      <c r="AR2619">
        <v>-3.65</v>
      </c>
      <c r="AS2619">
        <v>8.41</v>
      </c>
      <c r="AT2619">
        <v>-2.29</v>
      </c>
      <c r="AU2619">
        <v>10.79</v>
      </c>
      <c r="AV2619">
        <v>1</v>
      </c>
      <c r="AW2619">
        <v>3.01</v>
      </c>
      <c r="AX2619">
        <v>34.57</v>
      </c>
      <c r="AY2619">
        <v>21.15</v>
      </c>
      <c r="AZ2619">
        <v>28.55</v>
      </c>
      <c r="BA2619">
        <v>0.94</v>
      </c>
      <c r="BB2619" t="s">
        <v>143</v>
      </c>
      <c r="BF2619">
        <v>0.98</v>
      </c>
      <c r="BG2619">
        <v>-1.07</v>
      </c>
      <c r="BH2619">
        <v>-3.82</v>
      </c>
      <c r="BI2619">
        <v>0.18</v>
      </c>
      <c r="BJ2619">
        <v>20210826</v>
      </c>
      <c r="BK2619">
        <v>20001018</v>
      </c>
      <c r="BL2619">
        <v>3.53</v>
      </c>
      <c r="BM2619" t="s">
        <v>120</v>
      </c>
      <c r="BN2619" t="s">
        <v>120</v>
      </c>
      <c r="BO2619">
        <v>60.34</v>
      </c>
      <c r="BP2619">
        <v>11.09</v>
      </c>
      <c r="BQ2619">
        <v>20.239999999999998</v>
      </c>
      <c r="BR2619">
        <v>5.55</v>
      </c>
      <c r="BS2619">
        <v>57.27</v>
      </c>
      <c r="BT2619">
        <v>14.73</v>
      </c>
      <c r="BU2619">
        <v>26.36</v>
      </c>
      <c r="BV2619">
        <v>5.01</v>
      </c>
      <c r="BW2619">
        <v>20.52</v>
      </c>
      <c r="BX2619">
        <v>5.38</v>
      </c>
      <c r="BY2619">
        <v>6.42</v>
      </c>
      <c r="BZ2619">
        <v>1.66</v>
      </c>
      <c r="CA2619">
        <v>0.01</v>
      </c>
      <c r="CB2619">
        <v>11.52</v>
      </c>
      <c r="CC2619">
        <v>6.99</v>
      </c>
      <c r="CD2619">
        <v>3.97</v>
      </c>
      <c r="CE2619">
        <v>1.66</v>
      </c>
      <c r="CF2619">
        <v>0.19</v>
      </c>
      <c r="CG2619">
        <v>1.68</v>
      </c>
      <c r="CH2619">
        <v>1.26</v>
      </c>
      <c r="CI2619">
        <v>0.93</v>
      </c>
      <c r="CJ2619">
        <v>-0.12</v>
      </c>
      <c r="CK2619">
        <v>0.8</v>
      </c>
      <c r="CL2619">
        <v>4.3899999999999997</v>
      </c>
      <c r="CM2619">
        <v>1.7</v>
      </c>
      <c r="CN2619">
        <v>-0.13</v>
      </c>
      <c r="CO2619">
        <v>26635</v>
      </c>
      <c r="CP2619">
        <v>4581</v>
      </c>
      <c r="CQ2619" t="s">
        <v>729</v>
      </c>
      <c r="CR2619">
        <v>108.27</v>
      </c>
      <c r="CS2619">
        <v>20.059999999999999</v>
      </c>
      <c r="CT2619">
        <v>1.93</v>
      </c>
      <c r="CU2619">
        <v>23.06</v>
      </c>
      <c r="CV2619">
        <v>5.6</v>
      </c>
      <c r="CW2619">
        <v>1.34</v>
      </c>
      <c r="CX2619" t="s">
        <v>670</v>
      </c>
      <c r="CY2619">
        <v>5.73</v>
      </c>
      <c r="CZ2619">
        <v>0</v>
      </c>
      <c r="DA2619">
        <v>3.26</v>
      </c>
      <c r="DB2619">
        <v>1.24</v>
      </c>
      <c r="DC2619">
        <v>0.48</v>
      </c>
      <c r="DD2619">
        <v>33.54</v>
      </c>
      <c r="DE2619" t="s">
        <v>5715</v>
      </c>
      <c r="DF2619">
        <v>43.13</v>
      </c>
      <c r="DG2619">
        <v>23.69</v>
      </c>
      <c r="DH2619">
        <v>13.36</v>
      </c>
      <c r="DI2619">
        <v>0.04</v>
      </c>
      <c r="DJ2619">
        <v>1560</v>
      </c>
      <c r="DK2619">
        <v>600283</v>
      </c>
      <c r="DL2619" t="s">
        <v>120</v>
      </c>
      <c r="DM2619" t="s">
        <v>120</v>
      </c>
      <c r="DN2619" t="s">
        <v>120</v>
      </c>
    </row>
    <row r="2620" spans="1:118">
      <c r="A2620" t="str">
        <f>"600284"</f>
        <v>600284</v>
      </c>
      <c r="B2620" t="s">
        <v>11894</v>
      </c>
      <c r="C2620">
        <v>-1.27</v>
      </c>
      <c r="D2620">
        <v>0</v>
      </c>
      <c r="E2620">
        <v>0.95</v>
      </c>
      <c r="F2620">
        <v>2186</v>
      </c>
      <c r="G2620" t="s">
        <v>2416</v>
      </c>
      <c r="H2620">
        <v>5377.37</v>
      </c>
      <c r="I2620">
        <v>121.48</v>
      </c>
      <c r="J2620" t="s">
        <v>120</v>
      </c>
      <c r="K2620" t="s">
        <v>7672</v>
      </c>
      <c r="L2620">
        <v>0.87</v>
      </c>
      <c r="M2620">
        <v>6.24</v>
      </c>
      <c r="N2620">
        <v>0.71</v>
      </c>
      <c r="O2620">
        <v>1.74</v>
      </c>
      <c r="P2620">
        <v>6.43</v>
      </c>
      <c r="Q2620">
        <v>-1.27</v>
      </c>
      <c r="R2620">
        <v>6.24</v>
      </c>
      <c r="S2620">
        <v>6.38</v>
      </c>
      <c r="T2620">
        <v>84856</v>
      </c>
      <c r="U2620">
        <v>6.24</v>
      </c>
      <c r="V2620">
        <v>6.32</v>
      </c>
      <c r="W2620">
        <v>14.11</v>
      </c>
      <c r="X2620" t="s">
        <v>175</v>
      </c>
      <c r="Y2620" t="s">
        <v>1510</v>
      </c>
      <c r="Z2620">
        <v>3.01</v>
      </c>
      <c r="AA2620">
        <v>6.34</v>
      </c>
      <c r="AB2620">
        <v>52977</v>
      </c>
      <c r="AC2620">
        <v>31879</v>
      </c>
      <c r="AD2620">
        <v>1.66</v>
      </c>
      <c r="AE2620">
        <v>1076</v>
      </c>
      <c r="AF2620">
        <v>114</v>
      </c>
      <c r="AG2620" t="s">
        <v>120</v>
      </c>
      <c r="AH2620">
        <v>0.03</v>
      </c>
      <c r="AI2620" t="s">
        <v>120</v>
      </c>
      <c r="AJ2620">
        <v>9.6999999999999993</v>
      </c>
      <c r="AK2620" t="s">
        <v>7672</v>
      </c>
      <c r="AL2620">
        <v>0.08</v>
      </c>
      <c r="AM2620">
        <v>1659</v>
      </c>
      <c r="AN2620">
        <v>51</v>
      </c>
      <c r="AO2620">
        <v>5.0000000000000001E-4</v>
      </c>
      <c r="AP2620">
        <v>-1</v>
      </c>
      <c r="AQ2620">
        <v>0.96</v>
      </c>
      <c r="AR2620">
        <v>-2.8</v>
      </c>
      <c r="AS2620">
        <v>3.48</v>
      </c>
      <c r="AT2620">
        <v>-5.17</v>
      </c>
      <c r="AU2620">
        <v>5.41</v>
      </c>
      <c r="AV2620">
        <v>2</v>
      </c>
      <c r="AW2620">
        <v>1.39</v>
      </c>
      <c r="AX2620">
        <v>63</v>
      </c>
      <c r="AY2620">
        <v>12.8</v>
      </c>
      <c r="AZ2620">
        <v>13.79</v>
      </c>
      <c r="BA2620">
        <v>0.81</v>
      </c>
      <c r="BB2620" t="s">
        <v>143</v>
      </c>
      <c r="BF2620">
        <v>0.27</v>
      </c>
      <c r="BG2620">
        <v>-2.19</v>
      </c>
      <c r="BH2620">
        <v>-2.95</v>
      </c>
      <c r="BI2620">
        <v>0</v>
      </c>
      <c r="BJ2620">
        <v>20210831</v>
      </c>
      <c r="BK2620">
        <v>20040316</v>
      </c>
      <c r="BL2620">
        <v>9.6999999999999993</v>
      </c>
      <c r="BM2620" t="s">
        <v>120</v>
      </c>
      <c r="BN2620" t="s">
        <v>120</v>
      </c>
      <c r="BO2620">
        <v>169.57</v>
      </c>
      <c r="BP2620">
        <v>6.23</v>
      </c>
      <c r="BQ2620">
        <v>64.900000000000006</v>
      </c>
      <c r="BR2620">
        <v>0.89</v>
      </c>
      <c r="BS2620">
        <v>61.21</v>
      </c>
      <c r="BT2620">
        <v>116.22</v>
      </c>
      <c r="BU2620">
        <v>1.96</v>
      </c>
      <c r="BV2620">
        <v>3.33</v>
      </c>
      <c r="BW2620">
        <v>87.28</v>
      </c>
      <c r="BX2620">
        <v>11.9</v>
      </c>
      <c r="BY2620">
        <v>20.47</v>
      </c>
      <c r="BZ2620">
        <v>15.08</v>
      </c>
      <c r="CA2620">
        <v>0</v>
      </c>
      <c r="CB2620">
        <v>19.91</v>
      </c>
      <c r="CC2620">
        <v>44.92</v>
      </c>
      <c r="CD2620">
        <v>41.73</v>
      </c>
      <c r="CE2620">
        <v>2.33</v>
      </c>
      <c r="CF2620">
        <v>1.25</v>
      </c>
      <c r="CG2620">
        <v>2.42</v>
      </c>
      <c r="CH2620">
        <v>2.17</v>
      </c>
      <c r="CI2620">
        <v>2.15</v>
      </c>
      <c r="CJ2620">
        <v>-0.08</v>
      </c>
      <c r="CK2620">
        <v>1.77</v>
      </c>
      <c r="CL2620">
        <v>31.21</v>
      </c>
      <c r="CM2620">
        <v>-11.52</v>
      </c>
      <c r="CN2620">
        <v>-22</v>
      </c>
      <c r="CO2620">
        <v>73079</v>
      </c>
      <c r="CP2620">
        <v>8364</v>
      </c>
      <c r="CQ2620" t="s">
        <v>701</v>
      </c>
      <c r="CR2620">
        <v>19.149999999999999</v>
      </c>
      <c r="CS2620">
        <v>19.190000000000001</v>
      </c>
      <c r="CT2620">
        <v>0.93</v>
      </c>
      <c r="CU2620">
        <v>-5.26</v>
      </c>
      <c r="CV2620">
        <v>1.35</v>
      </c>
      <c r="CW2620">
        <v>2.5299999999999998</v>
      </c>
      <c r="CX2620" t="s">
        <v>9991</v>
      </c>
      <c r="CY2620">
        <v>6.69</v>
      </c>
      <c r="CZ2620">
        <v>0</v>
      </c>
      <c r="DA2620">
        <v>2.0499999999999998</v>
      </c>
      <c r="DB2620">
        <v>3.22</v>
      </c>
      <c r="DC2620">
        <v>-1.19</v>
      </c>
      <c r="DD2620">
        <v>38.270000000000003</v>
      </c>
      <c r="DE2620" t="s">
        <v>257</v>
      </c>
      <c r="DF2620">
        <v>7.1</v>
      </c>
      <c r="DG2620">
        <v>5.18</v>
      </c>
      <c r="DH2620">
        <v>4.78</v>
      </c>
      <c r="DI2620">
        <v>1.51</v>
      </c>
      <c r="DJ2620">
        <v>699</v>
      </c>
      <c r="DK2620">
        <v>600284</v>
      </c>
      <c r="DL2620" t="s">
        <v>120</v>
      </c>
      <c r="DM2620" t="s">
        <v>120</v>
      </c>
      <c r="DN2620" t="s">
        <v>120</v>
      </c>
    </row>
    <row r="2621" spans="1:118">
      <c r="A2621" t="str">
        <f>"600285"</f>
        <v>600285</v>
      </c>
      <c r="B2621" t="s">
        <v>11895</v>
      </c>
      <c r="C2621">
        <v>-1.65</v>
      </c>
      <c r="D2621">
        <v>0</v>
      </c>
      <c r="E2621">
        <v>-1.28</v>
      </c>
      <c r="F2621">
        <v>883</v>
      </c>
      <c r="G2621" t="s">
        <v>7671</v>
      </c>
      <c r="H2621">
        <v>10860.06</v>
      </c>
      <c r="I2621">
        <v>57.89</v>
      </c>
      <c r="J2621" t="s">
        <v>120</v>
      </c>
      <c r="K2621" t="s">
        <v>11896</v>
      </c>
      <c r="L2621">
        <v>1.79</v>
      </c>
      <c r="M2621">
        <v>10.74</v>
      </c>
      <c r="N2621">
        <v>0.95</v>
      </c>
      <c r="O2621">
        <v>1.56</v>
      </c>
      <c r="P2621">
        <v>11.09</v>
      </c>
      <c r="Q2621">
        <v>-1.65</v>
      </c>
      <c r="R2621">
        <v>10.74</v>
      </c>
      <c r="S2621">
        <v>10.78</v>
      </c>
      <c r="T2621">
        <v>99424</v>
      </c>
      <c r="U2621">
        <v>10.75</v>
      </c>
      <c r="V2621">
        <v>10.92</v>
      </c>
      <c r="W2621">
        <v>13.88</v>
      </c>
      <c r="X2621" t="s">
        <v>771</v>
      </c>
      <c r="Y2621" t="s">
        <v>645</v>
      </c>
      <c r="Z2621">
        <v>3.21</v>
      </c>
      <c r="AA2621">
        <v>10.92</v>
      </c>
      <c r="AB2621">
        <v>49430</v>
      </c>
      <c r="AC2621">
        <v>49994</v>
      </c>
      <c r="AD2621">
        <v>0.99</v>
      </c>
      <c r="AE2621">
        <v>125</v>
      </c>
      <c r="AF2621">
        <v>15</v>
      </c>
      <c r="AG2621" t="s">
        <v>120</v>
      </c>
      <c r="AH2621">
        <v>0.01</v>
      </c>
      <c r="AI2621" t="s">
        <v>120</v>
      </c>
      <c r="AJ2621">
        <v>5.54</v>
      </c>
      <c r="AK2621" t="s">
        <v>11897</v>
      </c>
      <c r="AL2621">
        <v>-0.3</v>
      </c>
      <c r="AM2621">
        <v>2987</v>
      </c>
      <c r="AN2621">
        <v>33</v>
      </c>
      <c r="AO2621">
        <v>5.9999999999999995E-4</v>
      </c>
      <c r="AP2621">
        <v>-1</v>
      </c>
      <c r="AQ2621">
        <v>0.92</v>
      </c>
      <c r="AR2621">
        <v>-1.92</v>
      </c>
      <c r="AS2621">
        <v>9.15</v>
      </c>
      <c r="AT2621">
        <v>4.2699999999999996</v>
      </c>
      <c r="AU2621">
        <v>33.090000000000003</v>
      </c>
      <c r="AV2621">
        <v>1</v>
      </c>
      <c r="AW2621">
        <v>2.4</v>
      </c>
      <c r="AX2621">
        <v>72.89</v>
      </c>
      <c r="AY2621">
        <v>16.86</v>
      </c>
      <c r="AZ2621">
        <v>19.05</v>
      </c>
      <c r="BA2621">
        <v>1.1200000000000001</v>
      </c>
      <c r="BB2621" t="s">
        <v>143</v>
      </c>
      <c r="BF2621">
        <v>0.03</v>
      </c>
      <c r="BG2621">
        <v>-0.37</v>
      </c>
      <c r="BH2621">
        <v>-3.16</v>
      </c>
      <c r="BI2621">
        <v>0</v>
      </c>
      <c r="BJ2621">
        <v>20210831</v>
      </c>
      <c r="BK2621">
        <v>20001018</v>
      </c>
      <c r="BL2621">
        <v>5.68</v>
      </c>
      <c r="BM2621" t="s">
        <v>120</v>
      </c>
      <c r="BN2621" t="s">
        <v>120</v>
      </c>
      <c r="BO2621">
        <v>36.08</v>
      </c>
      <c r="BP2621">
        <v>10.74</v>
      </c>
      <c r="BQ2621">
        <v>21.46</v>
      </c>
      <c r="BR2621">
        <v>0.1</v>
      </c>
      <c r="BS2621">
        <v>40.229999999999997</v>
      </c>
      <c r="BT2621">
        <v>20.11</v>
      </c>
      <c r="BU2621">
        <v>7.02</v>
      </c>
      <c r="BV2621">
        <v>2.31</v>
      </c>
      <c r="BW2621">
        <v>13.76</v>
      </c>
      <c r="BX2621">
        <v>8.44</v>
      </c>
      <c r="BY2621">
        <v>3.36</v>
      </c>
      <c r="BZ2621">
        <v>2.2999999999999998</v>
      </c>
      <c r="CA2621">
        <v>0</v>
      </c>
      <c r="CB2621">
        <v>3.2</v>
      </c>
      <c r="CC2621">
        <v>13.55</v>
      </c>
      <c r="CD2621">
        <v>3.37</v>
      </c>
      <c r="CE2621">
        <v>2.62</v>
      </c>
      <c r="CF2621">
        <v>0.21</v>
      </c>
      <c r="CG2621">
        <v>2.62</v>
      </c>
      <c r="CH2621">
        <v>2.2000000000000002</v>
      </c>
      <c r="CI2621">
        <v>2.2000000000000002</v>
      </c>
      <c r="CJ2621">
        <v>-0.18</v>
      </c>
      <c r="CK2621">
        <v>2.0699999999999998</v>
      </c>
      <c r="CL2621">
        <v>11.24</v>
      </c>
      <c r="CM2621">
        <v>5.27</v>
      </c>
      <c r="CN2621">
        <v>1.1200000000000001</v>
      </c>
      <c r="CO2621">
        <v>35307</v>
      </c>
      <c r="CP2621">
        <v>11722</v>
      </c>
      <c r="CQ2621" t="s">
        <v>11898</v>
      </c>
      <c r="CR2621">
        <v>23.84</v>
      </c>
      <c r="CS2621">
        <v>15.4</v>
      </c>
      <c r="CT2621">
        <v>2.84</v>
      </c>
      <c r="CU2621">
        <v>11.57</v>
      </c>
      <c r="CV2621">
        <v>4.5</v>
      </c>
      <c r="CW2621">
        <v>3.56</v>
      </c>
      <c r="CX2621" t="s">
        <v>1980</v>
      </c>
      <c r="CY2621">
        <v>3.78</v>
      </c>
      <c r="CZ2621">
        <v>0</v>
      </c>
      <c r="DA2621">
        <v>0.56000000000000005</v>
      </c>
      <c r="DB2621">
        <v>1.98</v>
      </c>
      <c r="DC2621">
        <v>0.93</v>
      </c>
      <c r="DD2621">
        <v>59.49</v>
      </c>
      <c r="DE2621" t="s">
        <v>11643</v>
      </c>
      <c r="DF2621">
        <v>75.150000000000006</v>
      </c>
      <c r="DG2621">
        <v>19.329999999999998</v>
      </c>
      <c r="DH2621">
        <v>16.21</v>
      </c>
      <c r="DI2621">
        <v>0.39</v>
      </c>
      <c r="DJ2621">
        <v>2604</v>
      </c>
      <c r="DK2621">
        <v>600285</v>
      </c>
      <c r="DL2621" t="s">
        <v>120</v>
      </c>
      <c r="DM2621" t="s">
        <v>120</v>
      </c>
      <c r="DN2621" t="s">
        <v>120</v>
      </c>
    </row>
    <row r="2622" spans="1:118">
      <c r="A2622" t="str">
        <f>"600287"</f>
        <v>600287</v>
      </c>
      <c r="B2622" t="s">
        <v>11899</v>
      </c>
      <c r="C2622">
        <v>-1.74</v>
      </c>
      <c r="D2622">
        <v>-1.08</v>
      </c>
      <c r="E2622">
        <v>0.22</v>
      </c>
      <c r="F2622">
        <v>3814</v>
      </c>
      <c r="G2622" t="s">
        <v>11900</v>
      </c>
      <c r="H2622">
        <v>2162.85</v>
      </c>
      <c r="I2622">
        <v>5.13</v>
      </c>
      <c r="J2622" t="s">
        <v>120</v>
      </c>
      <c r="K2622" t="s">
        <v>8465</v>
      </c>
      <c r="L2622">
        <v>1.07</v>
      </c>
      <c r="M2622">
        <v>4.53</v>
      </c>
      <c r="N2622">
        <v>0.92</v>
      </c>
      <c r="O2622">
        <v>2.6</v>
      </c>
      <c r="P2622">
        <v>4.7300000000000004</v>
      </c>
      <c r="Q2622">
        <v>-1.74</v>
      </c>
      <c r="R2622">
        <v>4.53</v>
      </c>
      <c r="S2622">
        <v>4.62</v>
      </c>
      <c r="T2622">
        <v>46763</v>
      </c>
      <c r="U2622">
        <v>4.5599999999999996</v>
      </c>
      <c r="V2622">
        <v>4.6100000000000003</v>
      </c>
      <c r="W2622" t="s">
        <v>120</v>
      </c>
      <c r="X2622" t="s">
        <v>562</v>
      </c>
      <c r="Y2622" t="s">
        <v>319</v>
      </c>
      <c r="Z2622">
        <v>4.34</v>
      </c>
      <c r="AA2622">
        <v>4.63</v>
      </c>
      <c r="AB2622">
        <v>27469</v>
      </c>
      <c r="AC2622">
        <v>19294</v>
      </c>
      <c r="AD2622">
        <v>1.42</v>
      </c>
      <c r="AE2622">
        <v>607</v>
      </c>
      <c r="AF2622">
        <v>5</v>
      </c>
      <c r="AG2622" t="s">
        <v>120</v>
      </c>
      <c r="AH2622">
        <v>0.01</v>
      </c>
      <c r="AI2622" t="s">
        <v>120</v>
      </c>
      <c r="AJ2622">
        <v>4.37</v>
      </c>
      <c r="AK2622" t="s">
        <v>6534</v>
      </c>
      <c r="AL2622">
        <v>-0.39</v>
      </c>
      <c r="AM2622">
        <v>1332</v>
      </c>
      <c r="AN2622">
        <v>35</v>
      </c>
      <c r="AO2622">
        <v>8.0000000000000004E-4</v>
      </c>
      <c r="AP2622">
        <v>-1</v>
      </c>
      <c r="AQ2622">
        <v>3.83</v>
      </c>
      <c r="AR2622">
        <v>-2.79</v>
      </c>
      <c r="AS2622">
        <v>6.34</v>
      </c>
      <c r="AT2622">
        <v>-12.89</v>
      </c>
      <c r="AU2622">
        <v>-25.61</v>
      </c>
      <c r="AV2622">
        <v>0</v>
      </c>
      <c r="AW2622">
        <v>2.14</v>
      </c>
      <c r="AX2622">
        <v>49.3</v>
      </c>
      <c r="AY2622">
        <v>32.5</v>
      </c>
      <c r="AZ2622">
        <v>12.54</v>
      </c>
      <c r="BA2622">
        <v>0.57999999999999996</v>
      </c>
      <c r="BB2622" t="s">
        <v>143</v>
      </c>
      <c r="BF2622">
        <v>0.33</v>
      </c>
      <c r="BG2622">
        <v>-1.95</v>
      </c>
      <c r="BH2622">
        <v>-4.2300000000000004</v>
      </c>
      <c r="BI2622">
        <v>0</v>
      </c>
      <c r="BJ2622">
        <v>20210831</v>
      </c>
      <c r="BK2622">
        <v>20000901</v>
      </c>
      <c r="BL2622">
        <v>4.43</v>
      </c>
      <c r="BM2622" t="s">
        <v>120</v>
      </c>
      <c r="BN2622" t="s">
        <v>120</v>
      </c>
      <c r="BO2622">
        <v>51.45</v>
      </c>
      <c r="BP2622">
        <v>4.53</v>
      </c>
      <c r="BQ2622">
        <v>24.37</v>
      </c>
      <c r="BR2622">
        <v>1.92</v>
      </c>
      <c r="BS2622">
        <v>48.9</v>
      </c>
      <c r="BT2622">
        <v>36.57</v>
      </c>
      <c r="BU2622">
        <v>2.81</v>
      </c>
      <c r="BV2622">
        <v>0.4</v>
      </c>
      <c r="BW2622">
        <v>23.46</v>
      </c>
      <c r="BX2622">
        <v>10.39</v>
      </c>
      <c r="BY2622">
        <v>3.75</v>
      </c>
      <c r="BZ2622">
        <v>9.6199999999999992</v>
      </c>
      <c r="CA2622" t="s">
        <v>120</v>
      </c>
      <c r="CB2622">
        <v>2.41</v>
      </c>
      <c r="CC2622">
        <v>30.58</v>
      </c>
      <c r="CD2622">
        <v>28.07</v>
      </c>
      <c r="CE2622">
        <v>-0.48</v>
      </c>
      <c r="CF2622">
        <v>0.02</v>
      </c>
      <c r="CG2622">
        <v>-0.45</v>
      </c>
      <c r="CH2622">
        <v>-0.34</v>
      </c>
      <c r="CI2622">
        <v>-0.54</v>
      </c>
      <c r="CJ2622">
        <v>-0.08</v>
      </c>
      <c r="CK2622">
        <v>-0.28000000000000003</v>
      </c>
      <c r="CL2622">
        <v>10.02</v>
      </c>
      <c r="CM2622">
        <v>-3.37</v>
      </c>
      <c r="CN2622">
        <v>-2.4900000000000002</v>
      </c>
      <c r="CO2622">
        <v>25472</v>
      </c>
      <c r="CP2622">
        <v>8579</v>
      </c>
      <c r="CQ2622" t="s">
        <v>11412</v>
      </c>
      <c r="CR2622">
        <v>-217.19</v>
      </c>
      <c r="CS2622">
        <v>57.9</v>
      </c>
      <c r="CT2622">
        <v>0.82</v>
      </c>
      <c r="CU2622">
        <v>-5.95</v>
      </c>
      <c r="CV2622">
        <v>0.66</v>
      </c>
      <c r="CW2622">
        <v>2.6</v>
      </c>
      <c r="CX2622" t="s">
        <v>359</v>
      </c>
      <c r="CY2622">
        <v>5.5</v>
      </c>
      <c r="CZ2622">
        <v>0</v>
      </c>
      <c r="DA2622">
        <v>0.54</v>
      </c>
      <c r="DB2622">
        <v>2.2599999999999998</v>
      </c>
      <c r="DC2622">
        <v>-0.76</v>
      </c>
      <c r="DD2622">
        <v>47.37</v>
      </c>
      <c r="DE2622" t="s">
        <v>11901</v>
      </c>
      <c r="DF2622">
        <v>8.2200000000000006</v>
      </c>
      <c r="DG2622">
        <v>-1.56</v>
      </c>
      <c r="DH2622">
        <v>-1.77</v>
      </c>
      <c r="DI2622" t="s">
        <v>120</v>
      </c>
      <c r="DJ2622">
        <v>1954</v>
      </c>
      <c r="DK2622">
        <v>600287</v>
      </c>
      <c r="DL2622" t="s">
        <v>120</v>
      </c>
      <c r="DM2622" t="s">
        <v>120</v>
      </c>
      <c r="DN2622" t="s">
        <v>120</v>
      </c>
    </row>
    <row r="2623" spans="1:118">
      <c r="A2623" t="str">
        <f>"600288"</f>
        <v>600288</v>
      </c>
      <c r="B2623" t="s">
        <v>11902</v>
      </c>
      <c r="C2623">
        <v>-1.79</v>
      </c>
      <c r="D2623">
        <v>0</v>
      </c>
      <c r="E2623">
        <v>-0.23</v>
      </c>
      <c r="F2623">
        <v>544</v>
      </c>
      <c r="G2623" t="s">
        <v>4582</v>
      </c>
      <c r="H2623">
        <v>6727.8</v>
      </c>
      <c r="I2623">
        <v>1.79</v>
      </c>
      <c r="J2623" t="s">
        <v>120</v>
      </c>
      <c r="K2623" t="s">
        <v>11903</v>
      </c>
      <c r="L2623">
        <v>1.2</v>
      </c>
      <c r="M2623">
        <v>12.6</v>
      </c>
      <c r="N2623">
        <v>1.1299999999999999</v>
      </c>
      <c r="O2623">
        <v>2.2599999999999998</v>
      </c>
      <c r="P2623">
        <v>13.12</v>
      </c>
      <c r="Q2623">
        <v>-1.87</v>
      </c>
      <c r="R2623">
        <v>12.59</v>
      </c>
      <c r="S2623">
        <v>12.8</v>
      </c>
      <c r="T2623">
        <v>52217</v>
      </c>
      <c r="U2623">
        <v>12.61</v>
      </c>
      <c r="V2623">
        <v>12.83</v>
      </c>
      <c r="W2623">
        <v>68.73</v>
      </c>
      <c r="X2623" t="s">
        <v>141</v>
      </c>
      <c r="Y2623" t="s">
        <v>158</v>
      </c>
      <c r="Z2623">
        <v>4.13</v>
      </c>
      <c r="AA2623">
        <v>12.88</v>
      </c>
      <c r="AB2623">
        <v>27896</v>
      </c>
      <c r="AC2623">
        <v>24321</v>
      </c>
      <c r="AD2623">
        <v>1.1499999999999999</v>
      </c>
      <c r="AE2623">
        <v>216</v>
      </c>
      <c r="AF2623">
        <v>13</v>
      </c>
      <c r="AG2623" t="s">
        <v>120</v>
      </c>
      <c r="AH2623">
        <v>0</v>
      </c>
      <c r="AI2623" t="s">
        <v>120</v>
      </c>
      <c r="AJ2623">
        <v>4.37</v>
      </c>
      <c r="AK2623" t="s">
        <v>11903</v>
      </c>
      <c r="AL2623">
        <v>-0.45</v>
      </c>
      <c r="AM2623">
        <v>1985</v>
      </c>
      <c r="AN2623">
        <v>26</v>
      </c>
      <c r="AO2623">
        <v>5.9999999999999995E-4</v>
      </c>
      <c r="AP2623">
        <v>-1</v>
      </c>
      <c r="AQ2623">
        <v>0.23</v>
      </c>
      <c r="AR2623">
        <v>-1.57</v>
      </c>
      <c r="AS2623">
        <v>5.44</v>
      </c>
      <c r="AT2623">
        <v>0.16</v>
      </c>
      <c r="AU2623">
        <v>23.65</v>
      </c>
      <c r="AV2623">
        <v>1</v>
      </c>
      <c r="AW2623">
        <v>1.7</v>
      </c>
      <c r="AX2623">
        <v>70.25</v>
      </c>
      <c r="AY2623">
        <v>46.98</v>
      </c>
      <c r="AZ2623">
        <v>97.93</v>
      </c>
      <c r="BA2623">
        <v>1.19</v>
      </c>
      <c r="BB2623" t="s">
        <v>143</v>
      </c>
      <c r="BF2623">
        <v>0.42</v>
      </c>
      <c r="BG2623">
        <v>-1.56</v>
      </c>
      <c r="BH2623">
        <v>-3.96</v>
      </c>
      <c r="BI2623">
        <v>0.08</v>
      </c>
      <c r="BJ2623">
        <v>20210731</v>
      </c>
      <c r="BK2623">
        <v>20001129</v>
      </c>
      <c r="BL2623">
        <v>4.37</v>
      </c>
      <c r="BM2623" t="s">
        <v>120</v>
      </c>
      <c r="BN2623" t="s">
        <v>120</v>
      </c>
      <c r="BO2623">
        <v>36.42</v>
      </c>
      <c r="BP2623">
        <v>12.6</v>
      </c>
      <c r="BQ2623">
        <v>17.34</v>
      </c>
      <c r="BR2623">
        <v>4.0199999999999996</v>
      </c>
      <c r="BS2623">
        <v>41.36</v>
      </c>
      <c r="BT2623">
        <v>26.64</v>
      </c>
      <c r="BU2623">
        <v>2.61</v>
      </c>
      <c r="BV2623">
        <v>0.65</v>
      </c>
      <c r="BW2623">
        <v>14.87</v>
      </c>
      <c r="BX2623">
        <v>3.54</v>
      </c>
      <c r="BY2623">
        <v>9.42</v>
      </c>
      <c r="BZ2623">
        <v>7.59</v>
      </c>
      <c r="CA2623" t="s">
        <v>120</v>
      </c>
      <c r="CB2623">
        <v>1.99</v>
      </c>
      <c r="CC2623">
        <v>11.32</v>
      </c>
      <c r="CD2623">
        <v>7.56</v>
      </c>
      <c r="CE2623">
        <v>0.31</v>
      </c>
      <c r="CF2623">
        <v>0.49</v>
      </c>
      <c r="CG2623">
        <v>0.36</v>
      </c>
      <c r="CH2623">
        <v>0.25</v>
      </c>
      <c r="CI2623">
        <v>0.4</v>
      </c>
      <c r="CJ2623">
        <v>-0.23</v>
      </c>
      <c r="CK2623">
        <v>0.25</v>
      </c>
      <c r="CL2623">
        <v>9.76</v>
      </c>
      <c r="CM2623">
        <v>-1.72</v>
      </c>
      <c r="CN2623">
        <v>-2.63</v>
      </c>
      <c r="CO2623">
        <v>25623</v>
      </c>
      <c r="CP2623">
        <v>11975</v>
      </c>
      <c r="CQ2623" t="s">
        <v>11904</v>
      </c>
      <c r="CR2623">
        <v>281.85000000000002</v>
      </c>
      <c r="CS2623">
        <v>29.56</v>
      </c>
      <c r="CT2623">
        <v>3.17</v>
      </c>
      <c r="CU2623">
        <v>-31.91</v>
      </c>
      <c r="CV2623">
        <v>4.8600000000000003</v>
      </c>
      <c r="CW2623">
        <v>0.08</v>
      </c>
      <c r="CX2623" t="s">
        <v>11509</v>
      </c>
      <c r="CY2623">
        <v>3.97</v>
      </c>
      <c r="CZ2623">
        <v>0</v>
      </c>
      <c r="DA2623">
        <v>0.46</v>
      </c>
      <c r="DB2623">
        <v>2.23</v>
      </c>
      <c r="DC2623">
        <v>-0.39</v>
      </c>
      <c r="DD2623">
        <v>47.61</v>
      </c>
      <c r="DE2623" t="s">
        <v>11796</v>
      </c>
      <c r="DF2623">
        <v>33.19</v>
      </c>
      <c r="DG2623">
        <v>2.77</v>
      </c>
      <c r="DH2623">
        <v>3.54</v>
      </c>
      <c r="DI2623">
        <v>1.1499999999999999</v>
      </c>
      <c r="DJ2623">
        <v>2430</v>
      </c>
      <c r="DK2623">
        <v>600288</v>
      </c>
      <c r="DL2623" t="s">
        <v>120</v>
      </c>
      <c r="DM2623" t="s">
        <v>120</v>
      </c>
      <c r="DN2623" t="s">
        <v>120</v>
      </c>
    </row>
    <row r="2624" spans="1:118">
      <c r="A2624" t="str">
        <f>"600292"</f>
        <v>600292</v>
      </c>
      <c r="B2624" t="s">
        <v>11905</v>
      </c>
      <c r="C2624">
        <v>-2.2999999999999998</v>
      </c>
      <c r="D2624">
        <v>0</v>
      </c>
      <c r="E2624">
        <v>0.24</v>
      </c>
      <c r="F2624">
        <v>1723</v>
      </c>
      <c r="G2624" t="s">
        <v>8476</v>
      </c>
      <c r="H2624">
        <v>12064.23</v>
      </c>
      <c r="I2624">
        <v>30.34</v>
      </c>
      <c r="J2624" t="s">
        <v>120</v>
      </c>
      <c r="K2624" t="s">
        <v>10385</v>
      </c>
      <c r="L2624">
        <v>1.88</v>
      </c>
      <c r="M2624">
        <v>8.08</v>
      </c>
      <c r="N2624">
        <v>0.93</v>
      </c>
      <c r="O2624">
        <v>1.45</v>
      </c>
      <c r="P2624">
        <v>8.39</v>
      </c>
      <c r="Q2624">
        <v>-2.42</v>
      </c>
      <c r="R2624">
        <v>8.07</v>
      </c>
      <c r="S2624">
        <v>8.2899999999999991</v>
      </c>
      <c r="T2624">
        <v>146640</v>
      </c>
      <c r="U2624">
        <v>8.09</v>
      </c>
      <c r="V2624">
        <v>8.27</v>
      </c>
      <c r="W2624">
        <v>78.430000000000007</v>
      </c>
      <c r="X2624" t="s">
        <v>318</v>
      </c>
      <c r="Y2624" t="s">
        <v>883</v>
      </c>
      <c r="Z2624">
        <v>3.87</v>
      </c>
      <c r="AA2624">
        <v>8.23</v>
      </c>
      <c r="AB2624">
        <v>88669</v>
      </c>
      <c r="AC2624">
        <v>57971</v>
      </c>
      <c r="AD2624">
        <v>1.53</v>
      </c>
      <c r="AE2624">
        <v>632</v>
      </c>
      <c r="AF2624">
        <v>111</v>
      </c>
      <c r="AG2624" t="s">
        <v>120</v>
      </c>
      <c r="AH2624">
        <v>0.01</v>
      </c>
      <c r="AI2624" t="s">
        <v>120</v>
      </c>
      <c r="AJ2624">
        <v>7.81</v>
      </c>
      <c r="AK2624" t="s">
        <v>10385</v>
      </c>
      <c r="AL2624">
        <v>-0.95</v>
      </c>
      <c r="AM2624">
        <v>2743</v>
      </c>
      <c r="AN2624">
        <v>53</v>
      </c>
      <c r="AO2624">
        <v>6.9999999999999999E-4</v>
      </c>
      <c r="AP2624">
        <v>-1</v>
      </c>
      <c r="AQ2624">
        <v>2.35</v>
      </c>
      <c r="AR2624">
        <v>-3.46</v>
      </c>
      <c r="AS2624">
        <v>8.9</v>
      </c>
      <c r="AT2624">
        <v>-8.3800000000000008</v>
      </c>
      <c r="AU2624">
        <v>13.5</v>
      </c>
      <c r="AV2624">
        <v>15</v>
      </c>
      <c r="AW2624">
        <v>3.94</v>
      </c>
      <c r="AX2624">
        <v>47.68</v>
      </c>
      <c r="AY2624">
        <v>169.03</v>
      </c>
      <c r="AZ2624">
        <v>245.22</v>
      </c>
      <c r="BA2624">
        <v>1.42</v>
      </c>
      <c r="BB2624" t="s">
        <v>184</v>
      </c>
      <c r="BF2624">
        <v>-0.52</v>
      </c>
      <c r="BG2624">
        <v>-2.5299999999999998</v>
      </c>
      <c r="BH2624">
        <v>-3.69</v>
      </c>
      <c r="BI2624">
        <v>0.12</v>
      </c>
      <c r="BJ2624">
        <v>20210828</v>
      </c>
      <c r="BK2624">
        <v>20001101</v>
      </c>
      <c r="BL2624">
        <v>7.81</v>
      </c>
      <c r="BM2624" t="s">
        <v>120</v>
      </c>
      <c r="BN2624" t="s">
        <v>120</v>
      </c>
      <c r="BO2624">
        <v>107.78</v>
      </c>
      <c r="BP2624">
        <v>8.08</v>
      </c>
      <c r="BQ2624">
        <v>51.03</v>
      </c>
      <c r="BR2624">
        <v>4.3899999999999997</v>
      </c>
      <c r="BS2624">
        <v>48.58</v>
      </c>
      <c r="BT2624">
        <v>44.35</v>
      </c>
      <c r="BU2624">
        <v>37.65</v>
      </c>
      <c r="BV2624">
        <v>13.78</v>
      </c>
      <c r="BW2624">
        <v>36.270000000000003</v>
      </c>
      <c r="BX2624">
        <v>5.52</v>
      </c>
      <c r="BY2624">
        <v>4.3</v>
      </c>
      <c r="BZ2624">
        <v>18.41</v>
      </c>
      <c r="CA2624">
        <v>0</v>
      </c>
      <c r="CB2624">
        <v>29.89</v>
      </c>
      <c r="CC2624">
        <v>19.760000000000002</v>
      </c>
      <c r="CD2624">
        <v>16.809999999999999</v>
      </c>
      <c r="CE2624">
        <v>0.76</v>
      </c>
      <c r="CF2624">
        <v>0.25</v>
      </c>
      <c r="CG2624">
        <v>0.77</v>
      </c>
      <c r="CH2624">
        <v>0.51</v>
      </c>
      <c r="CI2624">
        <v>0.4</v>
      </c>
      <c r="CJ2624">
        <v>-0.19</v>
      </c>
      <c r="CK2624">
        <v>0.28999999999999998</v>
      </c>
      <c r="CL2624">
        <v>10</v>
      </c>
      <c r="CM2624">
        <v>1.04</v>
      </c>
      <c r="CN2624">
        <v>0.91</v>
      </c>
      <c r="CO2624">
        <v>62658</v>
      </c>
      <c r="CP2624">
        <v>5942</v>
      </c>
      <c r="CQ2624" t="s">
        <v>11906</v>
      </c>
      <c r="CR2624">
        <v>41.86</v>
      </c>
      <c r="CS2624">
        <v>23.15</v>
      </c>
      <c r="CT2624">
        <v>1.24</v>
      </c>
      <c r="CU2624">
        <v>60.47</v>
      </c>
      <c r="CV2624">
        <v>3.19</v>
      </c>
      <c r="CW2624">
        <v>0.13</v>
      </c>
      <c r="CX2624" t="s">
        <v>1248</v>
      </c>
      <c r="CY2624">
        <v>6.54</v>
      </c>
      <c r="CZ2624">
        <v>0</v>
      </c>
      <c r="DA2624">
        <v>3.83</v>
      </c>
      <c r="DB2624">
        <v>1.28</v>
      </c>
      <c r="DC2624">
        <v>0.13</v>
      </c>
      <c r="DD2624">
        <v>47.35</v>
      </c>
      <c r="DE2624" t="s">
        <v>6140</v>
      </c>
      <c r="DF2624">
        <v>14.92</v>
      </c>
      <c r="DG2624">
        <v>3.83</v>
      </c>
      <c r="DH2624">
        <v>2.04</v>
      </c>
      <c r="DI2624">
        <v>0.24</v>
      </c>
      <c r="DJ2624">
        <v>2233</v>
      </c>
      <c r="DK2624">
        <v>600292</v>
      </c>
      <c r="DL2624" t="s">
        <v>120</v>
      </c>
      <c r="DM2624" t="s">
        <v>120</v>
      </c>
      <c r="DN2624" t="s">
        <v>120</v>
      </c>
    </row>
    <row r="2625" spans="1:118">
      <c r="A2625" t="str">
        <f>"600293"</f>
        <v>600293</v>
      </c>
      <c r="B2625" t="s">
        <v>11907</v>
      </c>
      <c r="C2625">
        <v>-2.1</v>
      </c>
      <c r="D2625">
        <v>-0.47</v>
      </c>
      <c r="E2625">
        <v>-0.23</v>
      </c>
      <c r="F2625">
        <v>5915</v>
      </c>
      <c r="G2625" t="s">
        <v>10026</v>
      </c>
      <c r="H2625">
        <v>25096.98</v>
      </c>
      <c r="I2625">
        <v>34.93</v>
      </c>
      <c r="J2625" t="s">
        <v>120</v>
      </c>
      <c r="K2625" t="s">
        <v>11908</v>
      </c>
      <c r="L2625">
        <v>5.04</v>
      </c>
      <c r="M2625">
        <v>4.1900000000000004</v>
      </c>
      <c r="N2625">
        <v>1.28</v>
      </c>
      <c r="O2625">
        <v>5.14</v>
      </c>
      <c r="P2625">
        <v>4.5</v>
      </c>
      <c r="Q2625">
        <v>-2.34</v>
      </c>
      <c r="R2625">
        <v>4.18</v>
      </c>
      <c r="S2625">
        <v>4.2699999999999996</v>
      </c>
      <c r="T2625">
        <v>584666</v>
      </c>
      <c r="U2625">
        <v>4.2</v>
      </c>
      <c r="V2625">
        <v>4.28</v>
      </c>
      <c r="W2625" t="s">
        <v>120</v>
      </c>
      <c r="X2625" t="s">
        <v>191</v>
      </c>
      <c r="Y2625" t="s">
        <v>763</v>
      </c>
      <c r="Z2625">
        <v>7.48</v>
      </c>
      <c r="AA2625">
        <v>4.29</v>
      </c>
      <c r="AB2625">
        <v>335947</v>
      </c>
      <c r="AC2625">
        <v>248719</v>
      </c>
      <c r="AD2625">
        <v>1.35</v>
      </c>
      <c r="AE2625">
        <v>727</v>
      </c>
      <c r="AF2625">
        <v>7</v>
      </c>
      <c r="AG2625" t="s">
        <v>120</v>
      </c>
      <c r="AH2625">
        <v>0.01</v>
      </c>
      <c r="AI2625" t="s">
        <v>120</v>
      </c>
      <c r="AJ2625">
        <v>11.6</v>
      </c>
      <c r="AK2625" t="s">
        <v>11908</v>
      </c>
      <c r="AL2625">
        <v>-0.76</v>
      </c>
      <c r="AM2625">
        <v>3594</v>
      </c>
      <c r="AN2625">
        <v>163</v>
      </c>
      <c r="AO2625">
        <v>1.4E-3</v>
      </c>
      <c r="AP2625">
        <v>-2</v>
      </c>
      <c r="AQ2625">
        <v>-0.93</v>
      </c>
      <c r="AR2625">
        <v>-3.01</v>
      </c>
      <c r="AS2625">
        <v>-5.42</v>
      </c>
      <c r="AT2625">
        <v>32.18</v>
      </c>
      <c r="AU2625">
        <v>49.11</v>
      </c>
      <c r="AV2625">
        <v>11</v>
      </c>
      <c r="AW2625">
        <v>8.9</v>
      </c>
      <c r="AX2625">
        <v>56.63</v>
      </c>
      <c r="AY2625" t="s">
        <v>120</v>
      </c>
      <c r="AZ2625" t="s">
        <v>120</v>
      </c>
      <c r="BA2625">
        <v>1.03</v>
      </c>
      <c r="BB2625" t="s">
        <v>143</v>
      </c>
      <c r="BF2625">
        <v>0.28999999999999998</v>
      </c>
      <c r="BG2625">
        <v>-1.87</v>
      </c>
      <c r="BH2625">
        <v>-6.89</v>
      </c>
      <c r="BI2625">
        <v>0.24</v>
      </c>
      <c r="BJ2625">
        <v>20210828</v>
      </c>
      <c r="BK2625">
        <v>20000919</v>
      </c>
      <c r="BL2625">
        <v>11.6</v>
      </c>
      <c r="BM2625" t="s">
        <v>120</v>
      </c>
      <c r="BN2625" t="s">
        <v>120</v>
      </c>
      <c r="BO2625">
        <v>45.33</v>
      </c>
      <c r="BP2625">
        <v>4.1900000000000004</v>
      </c>
      <c r="BQ2625">
        <v>17.48</v>
      </c>
      <c r="BR2625">
        <v>1.63</v>
      </c>
      <c r="BS2625">
        <v>57.83</v>
      </c>
      <c r="BT2625">
        <v>21.11</v>
      </c>
      <c r="BU2625">
        <v>18.91</v>
      </c>
      <c r="BV2625">
        <v>1.1299999999999999</v>
      </c>
      <c r="BW2625">
        <v>24.35</v>
      </c>
      <c r="BX2625">
        <v>2.37</v>
      </c>
      <c r="BY2625">
        <v>2.44</v>
      </c>
      <c r="BZ2625">
        <v>6.39</v>
      </c>
      <c r="CA2625" t="s">
        <v>120</v>
      </c>
      <c r="CB2625">
        <v>20.420000000000002</v>
      </c>
      <c r="CC2625">
        <v>14.17</v>
      </c>
      <c r="CD2625">
        <v>8.93</v>
      </c>
      <c r="CE2625">
        <v>-0.41</v>
      </c>
      <c r="CF2625">
        <v>0</v>
      </c>
      <c r="CG2625">
        <v>-0.48</v>
      </c>
      <c r="CH2625">
        <v>-0.98</v>
      </c>
      <c r="CI2625">
        <v>-1.06</v>
      </c>
      <c r="CJ2625">
        <v>-0.09</v>
      </c>
      <c r="CK2625">
        <v>-1.06</v>
      </c>
      <c r="CL2625">
        <v>-15.63</v>
      </c>
      <c r="CM2625">
        <v>0.87</v>
      </c>
      <c r="CN2625">
        <v>0.28000000000000003</v>
      </c>
      <c r="CO2625">
        <v>37473</v>
      </c>
      <c r="CP2625">
        <v>17533</v>
      </c>
      <c r="CQ2625" t="s">
        <v>1927</v>
      </c>
      <c r="CR2625">
        <v>83.45</v>
      </c>
      <c r="CS2625">
        <v>3.08</v>
      </c>
      <c r="CT2625">
        <v>2.78</v>
      </c>
      <c r="CU2625">
        <v>55.78</v>
      </c>
      <c r="CV2625">
        <v>3.43</v>
      </c>
      <c r="CW2625">
        <v>0</v>
      </c>
      <c r="CX2625" t="s">
        <v>2242</v>
      </c>
      <c r="CY2625">
        <v>1.51</v>
      </c>
      <c r="CZ2625">
        <v>0</v>
      </c>
      <c r="DA2625">
        <v>1.76</v>
      </c>
      <c r="DB2625">
        <v>-1.35</v>
      </c>
      <c r="DC2625">
        <v>0.08</v>
      </c>
      <c r="DD2625">
        <v>38.57</v>
      </c>
      <c r="DE2625" t="s">
        <v>11909</v>
      </c>
      <c r="DF2625">
        <v>36.94</v>
      </c>
      <c r="DG2625">
        <v>-2.93</v>
      </c>
      <c r="DH2625">
        <v>-7.52</v>
      </c>
      <c r="DI2625">
        <v>0.49</v>
      </c>
      <c r="DJ2625">
        <v>2360</v>
      </c>
      <c r="DK2625">
        <v>600293</v>
      </c>
      <c r="DL2625" t="s">
        <v>120</v>
      </c>
      <c r="DM2625" t="s">
        <v>120</v>
      </c>
      <c r="DN2625" t="s">
        <v>120</v>
      </c>
    </row>
    <row r="2626" spans="1:118">
      <c r="A2626" t="str">
        <f>"600295"</f>
        <v>600295</v>
      </c>
      <c r="B2626" t="s">
        <v>11910</v>
      </c>
      <c r="C2626">
        <v>-5.24</v>
      </c>
      <c r="D2626">
        <v>1</v>
      </c>
      <c r="E2626">
        <v>5.22</v>
      </c>
      <c r="F2626">
        <v>14488</v>
      </c>
      <c r="G2626" t="s">
        <v>4109</v>
      </c>
      <c r="H2626">
        <v>173046.32</v>
      </c>
      <c r="I2626">
        <v>2799.09</v>
      </c>
      <c r="J2626" t="s">
        <v>120</v>
      </c>
      <c r="K2626" t="s">
        <v>11911</v>
      </c>
      <c r="L2626">
        <v>6.26</v>
      </c>
      <c r="M2626">
        <v>39.42</v>
      </c>
      <c r="N2626">
        <v>1.21</v>
      </c>
      <c r="O2626">
        <v>9.5399999999999991</v>
      </c>
      <c r="P2626">
        <v>45.57</v>
      </c>
      <c r="Q2626">
        <v>-7.07</v>
      </c>
      <c r="R2626">
        <v>38.659999999999997</v>
      </c>
      <c r="S2626">
        <v>43.77</v>
      </c>
      <c r="T2626">
        <v>408794</v>
      </c>
      <c r="U2626">
        <v>39.42</v>
      </c>
      <c r="V2626">
        <v>41.6</v>
      </c>
      <c r="W2626">
        <v>17.93</v>
      </c>
      <c r="X2626" t="s">
        <v>1390</v>
      </c>
      <c r="Y2626" t="s">
        <v>785</v>
      </c>
      <c r="Z2626">
        <v>16.61</v>
      </c>
      <c r="AA2626">
        <v>42.33</v>
      </c>
      <c r="AB2626">
        <v>210064</v>
      </c>
      <c r="AC2626">
        <v>198730</v>
      </c>
      <c r="AD2626">
        <v>1.06</v>
      </c>
      <c r="AE2626">
        <v>23</v>
      </c>
      <c r="AF2626">
        <v>67</v>
      </c>
      <c r="AG2626" t="s">
        <v>120</v>
      </c>
      <c r="AH2626">
        <v>0.28000000000000003</v>
      </c>
      <c r="AI2626" t="s">
        <v>120</v>
      </c>
      <c r="AJ2626">
        <v>6.53</v>
      </c>
      <c r="AK2626" t="s">
        <v>11912</v>
      </c>
      <c r="AL2626">
        <v>-3.9</v>
      </c>
      <c r="AM2626">
        <v>4683</v>
      </c>
      <c r="AN2626">
        <v>87</v>
      </c>
      <c r="AO2626">
        <v>1.2999999999999999E-3</v>
      </c>
      <c r="AP2626">
        <v>-1</v>
      </c>
      <c r="AQ2626">
        <v>4.92</v>
      </c>
      <c r="AR2626">
        <v>1.68</v>
      </c>
      <c r="AS2626">
        <v>79.75</v>
      </c>
      <c r="AT2626">
        <v>109.68</v>
      </c>
      <c r="AU2626">
        <v>309.77</v>
      </c>
      <c r="AV2626">
        <v>16</v>
      </c>
      <c r="AW2626">
        <v>17.579999999999998</v>
      </c>
      <c r="AX2626">
        <v>16.28</v>
      </c>
      <c r="AY2626">
        <v>22.22</v>
      </c>
      <c r="AZ2626">
        <v>38.869999999999997</v>
      </c>
      <c r="BA2626">
        <v>2.0099999999999998</v>
      </c>
      <c r="BB2626" t="s">
        <v>184</v>
      </c>
      <c r="BF2626">
        <v>1.76</v>
      </c>
      <c r="BG2626">
        <v>-9.94</v>
      </c>
      <c r="BH2626">
        <v>-13.5</v>
      </c>
      <c r="BI2626">
        <v>1.97</v>
      </c>
      <c r="BJ2626">
        <v>20210831</v>
      </c>
      <c r="BK2626">
        <v>20010426</v>
      </c>
      <c r="BL2626">
        <v>14.28</v>
      </c>
      <c r="BM2626">
        <v>4.2</v>
      </c>
      <c r="BN2626" t="s">
        <v>120</v>
      </c>
      <c r="BO2626">
        <v>455.14</v>
      </c>
      <c r="BP2626">
        <v>39.409999999999997</v>
      </c>
      <c r="BQ2626">
        <v>140.94</v>
      </c>
      <c r="BR2626">
        <v>49.57</v>
      </c>
      <c r="BS2626">
        <v>58.14</v>
      </c>
      <c r="BT2626">
        <v>165.45</v>
      </c>
      <c r="BU2626">
        <v>195.51</v>
      </c>
      <c r="BV2626">
        <v>11.21</v>
      </c>
      <c r="BW2626">
        <v>208.97</v>
      </c>
      <c r="BX2626">
        <v>74.69</v>
      </c>
      <c r="BY2626">
        <v>33.92</v>
      </c>
      <c r="BZ2626">
        <v>8.86</v>
      </c>
      <c r="CA2626">
        <v>0.12</v>
      </c>
      <c r="CB2626">
        <v>37.93</v>
      </c>
      <c r="CC2626">
        <v>145.53</v>
      </c>
      <c r="CD2626">
        <v>97.25</v>
      </c>
      <c r="CE2626">
        <v>27.08</v>
      </c>
      <c r="CF2626">
        <v>4.0199999999999996</v>
      </c>
      <c r="CG2626">
        <v>27.04</v>
      </c>
      <c r="CH2626">
        <v>21.24</v>
      </c>
      <c r="CI2626">
        <v>15.7</v>
      </c>
      <c r="CJ2626">
        <v>-2.1800000000000002</v>
      </c>
      <c r="CK2626">
        <v>15.54</v>
      </c>
      <c r="CL2626">
        <v>77.02</v>
      </c>
      <c r="CM2626">
        <v>43.52</v>
      </c>
      <c r="CN2626">
        <v>-0.72</v>
      </c>
      <c r="CO2626">
        <v>58905</v>
      </c>
      <c r="CP2626">
        <v>11078</v>
      </c>
      <c r="CQ2626" t="s">
        <v>11913</v>
      </c>
      <c r="CR2626">
        <v>269.33</v>
      </c>
      <c r="CS2626">
        <v>45.24</v>
      </c>
      <c r="CT2626">
        <v>3.99</v>
      </c>
      <c r="CU2626">
        <v>12.93</v>
      </c>
      <c r="CV2626">
        <v>3.87</v>
      </c>
      <c r="CW2626">
        <v>1.92</v>
      </c>
      <c r="CX2626" t="s">
        <v>11914</v>
      </c>
      <c r="CY2626">
        <v>9.8699999999999992</v>
      </c>
      <c r="CZ2626">
        <v>0</v>
      </c>
      <c r="DA2626">
        <v>2.66</v>
      </c>
      <c r="DB2626">
        <v>5.39</v>
      </c>
      <c r="DC2626">
        <v>3.05</v>
      </c>
      <c r="DD2626">
        <v>30.97</v>
      </c>
      <c r="DE2626" t="s">
        <v>3876</v>
      </c>
      <c r="DF2626">
        <v>33.18</v>
      </c>
      <c r="DG2626">
        <v>18.61</v>
      </c>
      <c r="DH2626">
        <v>10.79</v>
      </c>
      <c r="DI2626">
        <v>2.39</v>
      </c>
      <c r="DJ2626">
        <v>21222</v>
      </c>
      <c r="DK2626">
        <v>600295</v>
      </c>
      <c r="DL2626">
        <v>20210825</v>
      </c>
      <c r="DM2626">
        <v>28.6</v>
      </c>
      <c r="DN2626">
        <v>37.83</v>
      </c>
    </row>
    <row r="2627" spans="1:118">
      <c r="A2627" t="str">
        <f>"600297"</f>
        <v>600297</v>
      </c>
      <c r="B2627" t="s">
        <v>11915</v>
      </c>
      <c r="C2627">
        <v>-3.35</v>
      </c>
      <c r="D2627">
        <v>-0.3</v>
      </c>
      <c r="E2627">
        <v>0</v>
      </c>
      <c r="F2627">
        <v>4062</v>
      </c>
      <c r="G2627" t="s">
        <v>11916</v>
      </c>
      <c r="H2627">
        <v>33358.65</v>
      </c>
      <c r="I2627">
        <v>111.49</v>
      </c>
      <c r="J2627" t="s">
        <v>120</v>
      </c>
      <c r="K2627" t="s">
        <v>11917</v>
      </c>
      <c r="L2627">
        <v>1.28</v>
      </c>
      <c r="M2627">
        <v>3.17</v>
      </c>
      <c r="N2627">
        <v>0.82</v>
      </c>
      <c r="O2627">
        <v>0.91</v>
      </c>
      <c r="P2627">
        <v>3.31</v>
      </c>
      <c r="Q2627">
        <v>-3.96</v>
      </c>
      <c r="R2627">
        <v>3.15</v>
      </c>
      <c r="S2627">
        <v>3.28</v>
      </c>
      <c r="T2627">
        <v>1035385</v>
      </c>
      <c r="U2627">
        <v>3.18</v>
      </c>
      <c r="V2627">
        <v>3.28</v>
      </c>
      <c r="W2627">
        <v>8.5299999999999994</v>
      </c>
      <c r="X2627" t="s">
        <v>253</v>
      </c>
      <c r="Y2627" t="s">
        <v>432</v>
      </c>
      <c r="Z2627">
        <v>4.88</v>
      </c>
      <c r="AA2627">
        <v>3.22</v>
      </c>
      <c r="AB2627">
        <v>588665</v>
      </c>
      <c r="AC2627">
        <v>446720</v>
      </c>
      <c r="AD2627">
        <v>1.32</v>
      </c>
      <c r="AE2627">
        <v>481</v>
      </c>
      <c r="AF2627">
        <v>14894</v>
      </c>
      <c r="AG2627" t="s">
        <v>120</v>
      </c>
      <c r="AH2627">
        <v>0.01</v>
      </c>
      <c r="AI2627" t="s">
        <v>120</v>
      </c>
      <c r="AJ2627">
        <v>81.11</v>
      </c>
      <c r="AK2627" t="s">
        <v>11917</v>
      </c>
      <c r="AL2627">
        <v>-2.0099999999999998</v>
      </c>
      <c r="AM2627">
        <v>4240</v>
      </c>
      <c r="AN2627">
        <v>244</v>
      </c>
      <c r="AO2627">
        <v>2.9999999999999997E-4</v>
      </c>
      <c r="AP2627">
        <v>-1</v>
      </c>
      <c r="AQ2627">
        <v>0.31</v>
      </c>
      <c r="AR2627">
        <v>-8.11</v>
      </c>
      <c r="AS2627">
        <v>17.84</v>
      </c>
      <c r="AT2627">
        <v>7.82</v>
      </c>
      <c r="AU2627">
        <v>10.84</v>
      </c>
      <c r="AV2627">
        <v>4</v>
      </c>
      <c r="AW2627">
        <v>2.71</v>
      </c>
      <c r="AX2627">
        <v>47.07</v>
      </c>
      <c r="AY2627">
        <v>10.55</v>
      </c>
      <c r="AZ2627">
        <v>17.55</v>
      </c>
      <c r="BA2627">
        <v>1.1000000000000001</v>
      </c>
      <c r="BB2627" t="s">
        <v>143</v>
      </c>
      <c r="BF2627">
        <v>-1.77</v>
      </c>
      <c r="BG2627">
        <v>-3.35</v>
      </c>
      <c r="BH2627">
        <v>-4.2300000000000004</v>
      </c>
      <c r="BI2627">
        <v>0.63</v>
      </c>
      <c r="BJ2627">
        <v>20210824</v>
      </c>
      <c r="BK2627">
        <v>20001116</v>
      </c>
      <c r="BL2627">
        <v>81.11</v>
      </c>
      <c r="BM2627" t="s">
        <v>120</v>
      </c>
      <c r="BN2627" t="s">
        <v>120</v>
      </c>
      <c r="BO2627">
        <v>1352.21</v>
      </c>
      <c r="BP2627">
        <v>3.17</v>
      </c>
      <c r="BQ2627">
        <v>416.13</v>
      </c>
      <c r="BR2627">
        <v>63.74</v>
      </c>
      <c r="BS2627">
        <v>64.510000000000005</v>
      </c>
      <c r="BT2627">
        <v>776.56</v>
      </c>
      <c r="BU2627">
        <v>123.38</v>
      </c>
      <c r="BV2627">
        <v>91.4</v>
      </c>
      <c r="BW2627">
        <v>715.49</v>
      </c>
      <c r="BX2627">
        <v>208.44</v>
      </c>
      <c r="BY2627">
        <v>161.69</v>
      </c>
      <c r="BZ2627">
        <v>21.41</v>
      </c>
      <c r="CA2627" t="s">
        <v>120</v>
      </c>
      <c r="CB2627">
        <v>129.37</v>
      </c>
      <c r="CC2627">
        <v>840.4</v>
      </c>
      <c r="CD2627">
        <v>760.92</v>
      </c>
      <c r="CE2627">
        <v>23.38</v>
      </c>
      <c r="CF2627">
        <v>0.67</v>
      </c>
      <c r="CG2627">
        <v>23.68</v>
      </c>
      <c r="CH2627">
        <v>17.739999999999998</v>
      </c>
      <c r="CI2627">
        <v>15.07</v>
      </c>
      <c r="CJ2627">
        <v>-0.11</v>
      </c>
      <c r="CK2627">
        <v>13.63</v>
      </c>
      <c r="CL2627">
        <v>195.45</v>
      </c>
      <c r="CM2627">
        <v>-79.3</v>
      </c>
      <c r="CN2627">
        <v>-32.08</v>
      </c>
      <c r="CO2627">
        <v>89747</v>
      </c>
      <c r="CP2627">
        <v>42536</v>
      </c>
      <c r="CQ2627" t="s">
        <v>7827</v>
      </c>
      <c r="CR2627">
        <v>200.81</v>
      </c>
      <c r="CS2627">
        <v>27.19</v>
      </c>
      <c r="CT2627">
        <v>0.63</v>
      </c>
      <c r="CU2627">
        <v>-3.24</v>
      </c>
      <c r="CV2627">
        <v>0.31</v>
      </c>
      <c r="CW2627">
        <v>0</v>
      </c>
      <c r="CX2627" t="s">
        <v>442</v>
      </c>
      <c r="CY2627">
        <v>5.03</v>
      </c>
      <c r="CZ2627">
        <v>5.03</v>
      </c>
      <c r="DA2627">
        <v>1.6</v>
      </c>
      <c r="DB2627">
        <v>2.41</v>
      </c>
      <c r="DC2627">
        <v>-0.98</v>
      </c>
      <c r="DD2627">
        <v>30.77</v>
      </c>
      <c r="DE2627" t="s">
        <v>7177</v>
      </c>
      <c r="DF2627">
        <v>9.4600000000000009</v>
      </c>
      <c r="DG2627">
        <v>2.78</v>
      </c>
      <c r="DH2627">
        <v>1.79</v>
      </c>
      <c r="DI2627" t="s">
        <v>120</v>
      </c>
      <c r="DJ2627">
        <v>43902</v>
      </c>
      <c r="DK2627">
        <v>600297</v>
      </c>
      <c r="DL2627" t="s">
        <v>120</v>
      </c>
      <c r="DM2627" t="s">
        <v>120</v>
      </c>
      <c r="DN2627" t="s">
        <v>120</v>
      </c>
    </row>
    <row r="2628" spans="1:118">
      <c r="A2628" t="str">
        <f>"600298"</f>
        <v>600298</v>
      </c>
      <c r="B2628" t="s">
        <v>11918</v>
      </c>
      <c r="C2628">
        <v>0.85</v>
      </c>
      <c r="D2628">
        <v>0.68</v>
      </c>
      <c r="E2628">
        <v>0.85</v>
      </c>
      <c r="F2628">
        <v>1249</v>
      </c>
      <c r="G2628" t="s">
        <v>11919</v>
      </c>
      <c r="H2628">
        <v>21340.35</v>
      </c>
      <c r="I2628">
        <v>39.69</v>
      </c>
      <c r="J2628" t="s">
        <v>120</v>
      </c>
      <c r="K2628" t="s">
        <v>11920</v>
      </c>
      <c r="L2628">
        <v>0.6</v>
      </c>
      <c r="M2628">
        <v>42.68</v>
      </c>
      <c r="N2628">
        <v>1.1000000000000001</v>
      </c>
      <c r="O2628">
        <v>2.84</v>
      </c>
      <c r="P2628">
        <v>43.52</v>
      </c>
      <c r="Q2628">
        <v>0.02</v>
      </c>
      <c r="R2628">
        <v>42.33</v>
      </c>
      <c r="S2628">
        <v>42.68</v>
      </c>
      <c r="T2628">
        <v>49823</v>
      </c>
      <c r="U2628">
        <v>42.68</v>
      </c>
      <c r="V2628">
        <v>42.32</v>
      </c>
      <c r="W2628">
        <v>21.47</v>
      </c>
      <c r="X2628" t="s">
        <v>847</v>
      </c>
      <c r="Y2628" t="s">
        <v>763</v>
      </c>
      <c r="Z2628">
        <v>2.81</v>
      </c>
      <c r="AA2628">
        <v>42.83</v>
      </c>
      <c r="AB2628">
        <v>25538</v>
      </c>
      <c r="AC2628">
        <v>24285</v>
      </c>
      <c r="AD2628">
        <v>1.05</v>
      </c>
      <c r="AE2628">
        <v>19</v>
      </c>
      <c r="AF2628">
        <v>54</v>
      </c>
      <c r="AG2628" t="s">
        <v>120</v>
      </c>
      <c r="AH2628">
        <v>0</v>
      </c>
      <c r="AI2628" t="s">
        <v>120</v>
      </c>
      <c r="AJ2628">
        <v>8.24</v>
      </c>
      <c r="AK2628" t="s">
        <v>11921</v>
      </c>
      <c r="AL2628">
        <v>2.19</v>
      </c>
      <c r="AM2628">
        <v>3416</v>
      </c>
      <c r="AN2628">
        <v>15</v>
      </c>
      <c r="AO2628">
        <v>2.0000000000000001E-4</v>
      </c>
      <c r="AP2628">
        <v>1</v>
      </c>
      <c r="AQ2628">
        <v>-2.13</v>
      </c>
      <c r="AR2628">
        <v>-4.03</v>
      </c>
      <c r="AS2628">
        <v>-8.76</v>
      </c>
      <c r="AT2628">
        <v>-19.7</v>
      </c>
      <c r="AU2628">
        <v>-15.61</v>
      </c>
      <c r="AV2628">
        <v>1</v>
      </c>
      <c r="AW2628">
        <v>1.01</v>
      </c>
      <c r="AX2628">
        <v>59.39</v>
      </c>
      <c r="AY2628">
        <v>23.81</v>
      </c>
      <c r="AZ2628">
        <v>25.7</v>
      </c>
      <c r="BA2628">
        <v>1.18</v>
      </c>
      <c r="BB2628" t="s">
        <v>134</v>
      </c>
      <c r="BF2628">
        <v>1.21</v>
      </c>
      <c r="BG2628">
        <v>0</v>
      </c>
      <c r="BH2628">
        <v>-1.93</v>
      </c>
      <c r="BI2628">
        <v>0.83</v>
      </c>
      <c r="BJ2628">
        <v>20210723</v>
      </c>
      <c r="BK2628">
        <v>20000818</v>
      </c>
      <c r="BL2628">
        <v>8.33</v>
      </c>
      <c r="BM2628" t="s">
        <v>120</v>
      </c>
      <c r="BN2628" t="s">
        <v>120</v>
      </c>
      <c r="BO2628">
        <v>120.09</v>
      </c>
      <c r="BP2628">
        <v>42.67</v>
      </c>
      <c r="BQ2628">
        <v>65.3</v>
      </c>
      <c r="BR2628">
        <v>3.11</v>
      </c>
      <c r="BS2628">
        <v>43.04</v>
      </c>
      <c r="BT2628">
        <v>50.79</v>
      </c>
      <c r="BU2628">
        <v>52.64</v>
      </c>
      <c r="BV2628">
        <v>4.5</v>
      </c>
      <c r="BW2628">
        <v>37.39</v>
      </c>
      <c r="BX2628">
        <v>7.42</v>
      </c>
      <c r="BY2628">
        <v>22.34</v>
      </c>
      <c r="BZ2628">
        <v>12.64</v>
      </c>
      <c r="CA2628" t="s">
        <v>120</v>
      </c>
      <c r="CB2628">
        <v>8.76</v>
      </c>
      <c r="CC2628">
        <v>52.34</v>
      </c>
      <c r="CD2628">
        <v>35.67</v>
      </c>
      <c r="CE2628">
        <v>9.7100000000000009</v>
      </c>
      <c r="CF2628">
        <v>-0.01</v>
      </c>
      <c r="CG2628">
        <v>9.7799999999999994</v>
      </c>
      <c r="CH2628">
        <v>8.41</v>
      </c>
      <c r="CI2628">
        <v>8.2799999999999994</v>
      </c>
      <c r="CJ2628">
        <v>0.36</v>
      </c>
      <c r="CK2628">
        <v>7.26</v>
      </c>
      <c r="CL2628">
        <v>47.89</v>
      </c>
      <c r="CM2628">
        <v>-2</v>
      </c>
      <c r="CN2628">
        <v>-3.63</v>
      </c>
      <c r="CO2628">
        <v>88516</v>
      </c>
      <c r="CP2628">
        <v>5588</v>
      </c>
      <c r="CQ2628" t="s">
        <v>11922</v>
      </c>
      <c r="CR2628">
        <v>15.14</v>
      </c>
      <c r="CS2628">
        <v>20.55</v>
      </c>
      <c r="CT2628">
        <v>5.44</v>
      </c>
      <c r="CU2628">
        <v>-178</v>
      </c>
      <c r="CV2628">
        <v>6.79</v>
      </c>
      <c r="CW2628">
        <v>1.17</v>
      </c>
      <c r="CX2628" t="s">
        <v>11923</v>
      </c>
      <c r="CY2628">
        <v>7.84</v>
      </c>
      <c r="CZ2628">
        <v>0</v>
      </c>
      <c r="DA2628">
        <v>1.05</v>
      </c>
      <c r="DB2628">
        <v>5.75</v>
      </c>
      <c r="DC2628">
        <v>-0.24</v>
      </c>
      <c r="DD2628">
        <v>54.37</v>
      </c>
      <c r="DE2628" t="s">
        <v>11924</v>
      </c>
      <c r="DF2628">
        <v>31.84</v>
      </c>
      <c r="DG2628">
        <v>18.55</v>
      </c>
      <c r="DH2628">
        <v>15.82</v>
      </c>
      <c r="DI2628">
        <v>2.16</v>
      </c>
      <c r="DJ2628">
        <v>9179</v>
      </c>
      <c r="DK2628">
        <v>600298</v>
      </c>
      <c r="DL2628" t="s">
        <v>120</v>
      </c>
      <c r="DM2628" t="s">
        <v>120</v>
      </c>
      <c r="DN2628" t="s">
        <v>120</v>
      </c>
    </row>
    <row r="2629" spans="1:118">
      <c r="A2629" t="str">
        <f>"600299"</f>
        <v>600299</v>
      </c>
      <c r="B2629" t="s">
        <v>11925</v>
      </c>
      <c r="C2629">
        <v>9.98</v>
      </c>
      <c r="D2629">
        <v>0</v>
      </c>
      <c r="E2629">
        <v>1.91</v>
      </c>
      <c r="F2629">
        <v>1866</v>
      </c>
      <c r="G2629" t="s">
        <v>4788</v>
      </c>
      <c r="H2629">
        <v>54686.37</v>
      </c>
      <c r="I2629">
        <v>267.2</v>
      </c>
      <c r="J2629">
        <v>467.65</v>
      </c>
      <c r="K2629" t="s">
        <v>11926</v>
      </c>
      <c r="L2629">
        <v>1.63</v>
      </c>
      <c r="M2629">
        <v>12.67</v>
      </c>
      <c r="N2629">
        <v>5.24</v>
      </c>
      <c r="O2629">
        <v>9.98</v>
      </c>
      <c r="P2629">
        <v>12.67</v>
      </c>
      <c r="Q2629">
        <v>1.91</v>
      </c>
      <c r="R2629">
        <v>11.74</v>
      </c>
      <c r="S2629">
        <v>11.74</v>
      </c>
      <c r="T2629">
        <v>437770</v>
      </c>
      <c r="U2629" t="s">
        <v>120</v>
      </c>
      <c r="V2629">
        <v>11.52</v>
      </c>
      <c r="W2629">
        <v>20.81</v>
      </c>
      <c r="X2629" t="s">
        <v>569</v>
      </c>
      <c r="Y2629" t="s">
        <v>158</v>
      </c>
      <c r="Z2629">
        <v>8.07</v>
      </c>
      <c r="AA2629">
        <v>12.49</v>
      </c>
      <c r="AB2629">
        <v>245935</v>
      </c>
      <c r="AC2629">
        <v>191835</v>
      </c>
      <c r="AD2629">
        <v>1.28</v>
      </c>
      <c r="AE2629">
        <v>3691</v>
      </c>
      <c r="AF2629">
        <v>0</v>
      </c>
      <c r="AG2629" t="s">
        <v>120</v>
      </c>
      <c r="AH2629">
        <v>0.06</v>
      </c>
      <c r="AI2629">
        <v>0.01</v>
      </c>
      <c r="AJ2629">
        <v>26.82</v>
      </c>
      <c r="AK2629" t="s">
        <v>11926</v>
      </c>
      <c r="AL2629">
        <v>11.33</v>
      </c>
      <c r="AM2629">
        <v>3666</v>
      </c>
      <c r="AN2629">
        <v>119</v>
      </c>
      <c r="AO2629">
        <v>4.0000000000000002E-4</v>
      </c>
      <c r="AP2629">
        <v>2</v>
      </c>
      <c r="AQ2629">
        <v>1.32</v>
      </c>
      <c r="AR2629">
        <v>9.0399999999999991</v>
      </c>
      <c r="AS2629">
        <v>16.45</v>
      </c>
      <c r="AT2629">
        <v>1.04</v>
      </c>
      <c r="AU2629">
        <v>11.79</v>
      </c>
      <c r="AV2629">
        <v>1</v>
      </c>
      <c r="AW2629">
        <v>11.51</v>
      </c>
      <c r="AX2629">
        <v>14.19</v>
      </c>
      <c r="AY2629">
        <v>21.33</v>
      </c>
      <c r="AZ2629">
        <v>22.86</v>
      </c>
      <c r="BA2629">
        <v>0.84</v>
      </c>
      <c r="BB2629" t="s">
        <v>240</v>
      </c>
      <c r="BF2629">
        <v>8.44</v>
      </c>
      <c r="BG2629">
        <v>7.92</v>
      </c>
      <c r="BH2629">
        <v>0</v>
      </c>
      <c r="BI2629">
        <v>7.92</v>
      </c>
      <c r="BJ2629">
        <v>20210913</v>
      </c>
      <c r="BK2629">
        <v>20000420</v>
      </c>
      <c r="BL2629">
        <v>26.82</v>
      </c>
      <c r="BM2629" t="s">
        <v>120</v>
      </c>
      <c r="BN2629" t="s">
        <v>120</v>
      </c>
      <c r="BO2629">
        <v>204.92</v>
      </c>
      <c r="BP2629">
        <v>12.67</v>
      </c>
      <c r="BQ2629">
        <v>138.4</v>
      </c>
      <c r="BR2629">
        <v>14.78</v>
      </c>
      <c r="BS2629">
        <v>25.25</v>
      </c>
      <c r="BT2629">
        <v>60.02</v>
      </c>
      <c r="BU2629">
        <v>66.569999999999993</v>
      </c>
      <c r="BV2629">
        <v>22.61</v>
      </c>
      <c r="BW2629">
        <v>36.31</v>
      </c>
      <c r="BX2629">
        <v>20.45</v>
      </c>
      <c r="BY2629">
        <v>17.760000000000002</v>
      </c>
      <c r="BZ2629">
        <v>16.920000000000002</v>
      </c>
      <c r="CA2629" t="s">
        <v>120</v>
      </c>
      <c r="CB2629">
        <v>12.61</v>
      </c>
      <c r="CC2629">
        <v>59.79</v>
      </c>
      <c r="CD2629">
        <v>36.21</v>
      </c>
      <c r="CE2629">
        <v>10.83</v>
      </c>
      <c r="CF2629">
        <v>0.01</v>
      </c>
      <c r="CG2629">
        <v>10.72</v>
      </c>
      <c r="CH2629">
        <v>8.16</v>
      </c>
      <c r="CI2629">
        <v>8.16</v>
      </c>
      <c r="CJ2629">
        <v>1.1499999999999999</v>
      </c>
      <c r="CK2629">
        <v>8.2899999999999991</v>
      </c>
      <c r="CL2629">
        <v>101.36</v>
      </c>
      <c r="CM2629">
        <v>11.49</v>
      </c>
      <c r="CN2629">
        <v>-6.71</v>
      </c>
      <c r="CO2629">
        <v>33000</v>
      </c>
      <c r="CP2629">
        <v>11528</v>
      </c>
      <c r="CQ2629" t="s">
        <v>11927</v>
      </c>
      <c r="CR2629">
        <v>13.5</v>
      </c>
      <c r="CS2629">
        <v>1.58</v>
      </c>
      <c r="CT2629">
        <v>2.46</v>
      </c>
      <c r="CU2629">
        <v>29.56</v>
      </c>
      <c r="CV2629">
        <v>5.68</v>
      </c>
      <c r="CW2629">
        <v>1.53</v>
      </c>
      <c r="CX2629" t="s">
        <v>1340</v>
      </c>
      <c r="CY2629">
        <v>5.16</v>
      </c>
      <c r="CZ2629">
        <v>0</v>
      </c>
      <c r="DA2629">
        <v>0.47</v>
      </c>
      <c r="DB2629">
        <v>3.78</v>
      </c>
      <c r="DC2629">
        <v>0.43</v>
      </c>
      <c r="DD2629">
        <v>67.540000000000006</v>
      </c>
      <c r="DE2629" t="s">
        <v>11928</v>
      </c>
      <c r="DF2629">
        <v>39.44</v>
      </c>
      <c r="DG2629">
        <v>18.12</v>
      </c>
      <c r="DH2629">
        <v>13.66</v>
      </c>
      <c r="DI2629">
        <v>1.54</v>
      </c>
      <c r="DJ2629">
        <v>2345</v>
      </c>
      <c r="DK2629">
        <v>600299</v>
      </c>
      <c r="DL2629" t="s">
        <v>120</v>
      </c>
      <c r="DM2629" t="s">
        <v>120</v>
      </c>
      <c r="DN2629" t="s">
        <v>120</v>
      </c>
    </row>
    <row r="2630" spans="1:118">
      <c r="A2630" t="str">
        <f>"600302"</f>
        <v>600302</v>
      </c>
      <c r="B2630" t="s">
        <v>11929</v>
      </c>
      <c r="C2630">
        <v>-0.44</v>
      </c>
      <c r="D2630">
        <v>-0.43</v>
      </c>
      <c r="E2630">
        <v>-0.44</v>
      </c>
      <c r="F2630">
        <v>352</v>
      </c>
      <c r="G2630" t="s">
        <v>11930</v>
      </c>
      <c r="H2630">
        <v>1181.77</v>
      </c>
      <c r="I2630">
        <v>9.35</v>
      </c>
      <c r="J2630" t="s">
        <v>120</v>
      </c>
      <c r="K2630" t="s">
        <v>5749</v>
      </c>
      <c r="L2630">
        <v>0.74</v>
      </c>
      <c r="M2630">
        <v>4.54</v>
      </c>
      <c r="N2630">
        <v>0.73</v>
      </c>
      <c r="O2630">
        <v>2.41</v>
      </c>
      <c r="P2630">
        <v>4.67</v>
      </c>
      <c r="Q2630">
        <v>-0.66</v>
      </c>
      <c r="R2630">
        <v>4.53</v>
      </c>
      <c r="S2630">
        <v>4.54</v>
      </c>
      <c r="T2630">
        <v>25690</v>
      </c>
      <c r="U2630">
        <v>4.55</v>
      </c>
      <c r="V2630">
        <v>4.5599999999999996</v>
      </c>
      <c r="W2630" t="s">
        <v>120</v>
      </c>
      <c r="X2630" t="s">
        <v>3820</v>
      </c>
      <c r="Y2630" t="s">
        <v>890</v>
      </c>
      <c r="Z2630">
        <v>3.07</v>
      </c>
      <c r="AA2630">
        <v>4.5999999999999996</v>
      </c>
      <c r="AB2630">
        <v>12108</v>
      </c>
      <c r="AC2630">
        <v>13582</v>
      </c>
      <c r="AD2630">
        <v>0.89</v>
      </c>
      <c r="AE2630">
        <v>34</v>
      </c>
      <c r="AF2630">
        <v>2</v>
      </c>
      <c r="AG2630" t="s">
        <v>120</v>
      </c>
      <c r="AH2630">
        <v>0.01</v>
      </c>
      <c r="AI2630" t="s">
        <v>120</v>
      </c>
      <c r="AJ2630">
        <v>3.46</v>
      </c>
      <c r="AK2630" t="s">
        <v>5749</v>
      </c>
      <c r="AL2630">
        <v>0.91</v>
      </c>
      <c r="AM2630">
        <v>1358</v>
      </c>
      <c r="AN2630">
        <v>19</v>
      </c>
      <c r="AO2630">
        <v>5.0000000000000001E-4</v>
      </c>
      <c r="AP2630">
        <v>-1</v>
      </c>
      <c r="AQ2630">
        <v>0.22</v>
      </c>
      <c r="AR2630">
        <v>-2.16</v>
      </c>
      <c r="AS2630">
        <v>9.14</v>
      </c>
      <c r="AT2630">
        <v>4.8499999999999996</v>
      </c>
      <c r="AU2630">
        <v>0.44</v>
      </c>
      <c r="AV2630">
        <v>0</v>
      </c>
      <c r="AW2630">
        <v>1.3</v>
      </c>
      <c r="AX2630">
        <v>57.23</v>
      </c>
      <c r="AY2630">
        <v>12.99</v>
      </c>
      <c r="AZ2630">
        <v>11.16</v>
      </c>
      <c r="BA2630">
        <v>0.74</v>
      </c>
      <c r="BB2630" t="s">
        <v>143</v>
      </c>
      <c r="BF2630">
        <v>0.88</v>
      </c>
      <c r="BG2630">
        <v>0</v>
      </c>
      <c r="BH2630">
        <v>-2.78</v>
      </c>
      <c r="BI2630">
        <v>0.22</v>
      </c>
      <c r="BJ2630">
        <v>20210913</v>
      </c>
      <c r="BK2630">
        <v>20001213</v>
      </c>
      <c r="BL2630">
        <v>3.46</v>
      </c>
      <c r="BM2630" t="s">
        <v>120</v>
      </c>
      <c r="BN2630" t="s">
        <v>120</v>
      </c>
      <c r="BO2630">
        <v>21.74</v>
      </c>
      <c r="BP2630">
        <v>4.54</v>
      </c>
      <c r="BQ2630">
        <v>11.75</v>
      </c>
      <c r="BR2630">
        <v>0.88</v>
      </c>
      <c r="BS2630">
        <v>41.92</v>
      </c>
      <c r="BT2630">
        <v>18.79</v>
      </c>
      <c r="BU2630">
        <v>1.46</v>
      </c>
      <c r="BV2630">
        <v>0.4</v>
      </c>
      <c r="BW2630">
        <v>8.91</v>
      </c>
      <c r="BX2630">
        <v>4.37</v>
      </c>
      <c r="BY2630">
        <v>4.95</v>
      </c>
      <c r="BZ2630">
        <v>6.24</v>
      </c>
      <c r="CA2630">
        <v>0.02</v>
      </c>
      <c r="CB2630">
        <v>3.47</v>
      </c>
      <c r="CC2630">
        <v>8.25</v>
      </c>
      <c r="CD2630">
        <v>7.33</v>
      </c>
      <c r="CE2630">
        <v>-0.22</v>
      </c>
      <c r="CF2630">
        <v>0.05</v>
      </c>
      <c r="CG2630">
        <v>-0.19</v>
      </c>
      <c r="CH2630">
        <v>-0.2</v>
      </c>
      <c r="CI2630">
        <v>-0.22</v>
      </c>
      <c r="CJ2630">
        <v>-0.02</v>
      </c>
      <c r="CK2630">
        <v>-0.33</v>
      </c>
      <c r="CL2630">
        <v>2.5</v>
      </c>
      <c r="CM2630">
        <v>0.53</v>
      </c>
      <c r="CN2630">
        <v>0.99</v>
      </c>
      <c r="CO2630">
        <v>15700</v>
      </c>
      <c r="CP2630">
        <v>12613</v>
      </c>
      <c r="CQ2630" t="s">
        <v>1461</v>
      </c>
      <c r="CR2630">
        <v>-1139.48</v>
      </c>
      <c r="CS2630">
        <v>185.51</v>
      </c>
      <c r="CT2630">
        <v>1.34</v>
      </c>
      <c r="CU2630">
        <v>29.76</v>
      </c>
      <c r="CV2630">
        <v>1.9</v>
      </c>
      <c r="CW2630">
        <v>1.1000000000000001</v>
      </c>
      <c r="CX2630" t="s">
        <v>11931</v>
      </c>
      <c r="CY2630">
        <v>3.4</v>
      </c>
      <c r="CZ2630">
        <v>0</v>
      </c>
      <c r="DA2630">
        <v>1</v>
      </c>
      <c r="DB2630">
        <v>0.72</v>
      </c>
      <c r="DC2630">
        <v>0.15</v>
      </c>
      <c r="DD2630">
        <v>54.03</v>
      </c>
      <c r="DE2630" t="s">
        <v>7578</v>
      </c>
      <c r="DF2630">
        <v>11.19</v>
      </c>
      <c r="DG2630">
        <v>-2.67</v>
      </c>
      <c r="DH2630">
        <v>-2.63</v>
      </c>
      <c r="DI2630">
        <v>0.1</v>
      </c>
      <c r="DJ2630">
        <v>1545</v>
      </c>
      <c r="DK2630">
        <v>600302</v>
      </c>
      <c r="DL2630" t="s">
        <v>120</v>
      </c>
      <c r="DM2630" t="s">
        <v>120</v>
      </c>
      <c r="DN2630" t="s">
        <v>120</v>
      </c>
    </row>
    <row r="2631" spans="1:118">
      <c r="A2631" t="str">
        <f>"600303"</f>
        <v>600303</v>
      </c>
      <c r="B2631" t="s">
        <v>11932</v>
      </c>
      <c r="C2631">
        <v>-0.25</v>
      </c>
      <c r="D2631">
        <v>0</v>
      </c>
      <c r="E2631">
        <v>-0.25</v>
      </c>
      <c r="F2631">
        <v>3064</v>
      </c>
      <c r="G2631" t="s">
        <v>8465</v>
      </c>
      <c r="H2631">
        <v>5800.29</v>
      </c>
      <c r="I2631">
        <v>7.54</v>
      </c>
      <c r="J2631" t="s">
        <v>120</v>
      </c>
      <c r="K2631" t="s">
        <v>11933</v>
      </c>
      <c r="L2631">
        <v>2.11</v>
      </c>
      <c r="M2631">
        <v>4.01</v>
      </c>
      <c r="N2631">
        <v>1.26</v>
      </c>
      <c r="O2631">
        <v>3.98</v>
      </c>
      <c r="P2631">
        <v>4.18</v>
      </c>
      <c r="Q2631">
        <v>-0.5</v>
      </c>
      <c r="R2631">
        <v>4</v>
      </c>
      <c r="S2631">
        <v>4.01</v>
      </c>
      <c r="T2631">
        <v>142223</v>
      </c>
      <c r="U2631">
        <v>4.0199999999999996</v>
      </c>
      <c r="V2631">
        <v>4.0199999999999996</v>
      </c>
      <c r="W2631" t="s">
        <v>120</v>
      </c>
      <c r="X2631" t="s">
        <v>1068</v>
      </c>
      <c r="Y2631" t="s">
        <v>432</v>
      </c>
      <c r="Z2631">
        <v>4.4800000000000004</v>
      </c>
      <c r="AA2631">
        <v>4.08</v>
      </c>
      <c r="AB2631">
        <v>77765</v>
      </c>
      <c r="AC2631">
        <v>64458</v>
      </c>
      <c r="AD2631">
        <v>1.21</v>
      </c>
      <c r="AE2631">
        <v>1309</v>
      </c>
      <c r="AF2631">
        <v>792</v>
      </c>
      <c r="AG2631" t="s">
        <v>120</v>
      </c>
      <c r="AH2631">
        <v>0</v>
      </c>
      <c r="AI2631" t="s">
        <v>120</v>
      </c>
      <c r="AJ2631">
        <v>6.76</v>
      </c>
      <c r="AK2631" t="s">
        <v>11933</v>
      </c>
      <c r="AL2631">
        <v>1.0900000000000001</v>
      </c>
      <c r="AM2631">
        <v>1655</v>
      </c>
      <c r="AN2631">
        <v>86</v>
      </c>
      <c r="AO2631">
        <v>1.2999999999999999E-3</v>
      </c>
      <c r="AP2631">
        <v>-2</v>
      </c>
      <c r="AQ2631">
        <v>-0.74</v>
      </c>
      <c r="AR2631">
        <v>0.5</v>
      </c>
      <c r="AS2631">
        <v>-4.75</v>
      </c>
      <c r="AT2631">
        <v>-8.5500000000000007</v>
      </c>
      <c r="AU2631">
        <v>-9.3800000000000008</v>
      </c>
      <c r="AV2631">
        <v>6</v>
      </c>
      <c r="AW2631">
        <v>2.88</v>
      </c>
      <c r="AX2631">
        <v>73.03</v>
      </c>
      <c r="AY2631" t="s">
        <v>120</v>
      </c>
      <c r="AZ2631">
        <v>49.49</v>
      </c>
      <c r="BA2631">
        <v>0.57999999999999996</v>
      </c>
      <c r="BB2631" t="s">
        <v>125</v>
      </c>
      <c r="BF2631">
        <v>1.45</v>
      </c>
      <c r="BG2631">
        <v>0</v>
      </c>
      <c r="BH2631">
        <v>-4.07</v>
      </c>
      <c r="BI2631">
        <v>0.25</v>
      </c>
      <c r="BJ2631">
        <v>20210821</v>
      </c>
      <c r="BK2631">
        <v>20001226</v>
      </c>
      <c r="BL2631">
        <v>6.76</v>
      </c>
      <c r="BM2631" t="s">
        <v>120</v>
      </c>
      <c r="BN2631" t="s">
        <v>120</v>
      </c>
      <c r="BO2631">
        <v>50.48</v>
      </c>
      <c r="BP2631">
        <v>4.01</v>
      </c>
      <c r="BQ2631">
        <v>28.61</v>
      </c>
      <c r="BR2631">
        <v>1.62</v>
      </c>
      <c r="BS2631">
        <v>40.119999999999997</v>
      </c>
      <c r="BT2631">
        <v>22.3</v>
      </c>
      <c r="BU2631">
        <v>18.13</v>
      </c>
      <c r="BV2631">
        <v>4.46</v>
      </c>
      <c r="BW2631">
        <v>16.87</v>
      </c>
      <c r="BX2631">
        <v>7.1</v>
      </c>
      <c r="BY2631">
        <v>4.1500000000000004</v>
      </c>
      <c r="BZ2631">
        <v>6.08</v>
      </c>
      <c r="CA2631" t="s">
        <v>120</v>
      </c>
      <c r="CB2631">
        <v>11.1</v>
      </c>
      <c r="CC2631">
        <v>14.08</v>
      </c>
      <c r="CD2631">
        <v>13.55</v>
      </c>
      <c r="CE2631">
        <v>-1.28</v>
      </c>
      <c r="CF2631">
        <v>0</v>
      </c>
      <c r="CG2631">
        <v>-0.95</v>
      </c>
      <c r="CH2631">
        <v>-1.02</v>
      </c>
      <c r="CI2631">
        <v>-1.01</v>
      </c>
      <c r="CJ2631">
        <v>-0.01</v>
      </c>
      <c r="CK2631">
        <v>-1.24</v>
      </c>
      <c r="CL2631">
        <v>7.84</v>
      </c>
      <c r="CM2631">
        <v>-3.92</v>
      </c>
      <c r="CN2631">
        <v>-2.02</v>
      </c>
      <c r="CO2631">
        <v>57792</v>
      </c>
      <c r="CP2631">
        <v>8537</v>
      </c>
      <c r="CQ2631" t="s">
        <v>11934</v>
      </c>
      <c r="CR2631">
        <v>-715.82</v>
      </c>
      <c r="CS2631">
        <v>69.08</v>
      </c>
      <c r="CT2631">
        <v>0.95</v>
      </c>
      <c r="CU2631">
        <v>-6.91</v>
      </c>
      <c r="CV2631">
        <v>1.92</v>
      </c>
      <c r="CW2631">
        <v>0.62</v>
      </c>
      <c r="CX2631" t="s">
        <v>795</v>
      </c>
      <c r="CY2631">
        <v>4.2300000000000004</v>
      </c>
      <c r="CZ2631">
        <v>0</v>
      </c>
      <c r="DA2631">
        <v>1.64</v>
      </c>
      <c r="DB2631">
        <v>1.1599999999999999</v>
      </c>
      <c r="DC2631">
        <v>-0.57999999999999996</v>
      </c>
      <c r="DD2631">
        <v>56.67</v>
      </c>
      <c r="DE2631" t="s">
        <v>9407</v>
      </c>
      <c r="DF2631">
        <v>3.81</v>
      </c>
      <c r="DG2631">
        <v>-9.07</v>
      </c>
      <c r="DH2631">
        <v>-7.15</v>
      </c>
      <c r="DI2631">
        <v>0.27</v>
      </c>
      <c r="DJ2631">
        <v>4405</v>
      </c>
      <c r="DK2631">
        <v>600303</v>
      </c>
      <c r="DL2631" t="s">
        <v>120</v>
      </c>
      <c r="DM2631" t="s">
        <v>120</v>
      </c>
      <c r="DN2631" t="s">
        <v>120</v>
      </c>
    </row>
    <row r="2632" spans="1:118">
      <c r="A2632" t="str">
        <f>"600305"</f>
        <v>600305</v>
      </c>
      <c r="B2632" t="s">
        <v>11935</v>
      </c>
      <c r="C2632">
        <v>-0.71</v>
      </c>
      <c r="D2632">
        <v>0</v>
      </c>
      <c r="E2632">
        <v>-0.14000000000000001</v>
      </c>
      <c r="F2632">
        <v>733</v>
      </c>
      <c r="G2632" t="s">
        <v>11936</v>
      </c>
      <c r="H2632">
        <v>16579.060000000001</v>
      </c>
      <c r="I2632">
        <v>51.66</v>
      </c>
      <c r="J2632" t="s">
        <v>120</v>
      </c>
      <c r="K2632" t="s">
        <v>11937</v>
      </c>
      <c r="L2632">
        <v>1.18</v>
      </c>
      <c r="M2632">
        <v>13.92</v>
      </c>
      <c r="N2632">
        <v>1.51</v>
      </c>
      <c r="O2632">
        <v>1.21</v>
      </c>
      <c r="P2632">
        <v>14.19</v>
      </c>
      <c r="Q2632">
        <v>-0.86</v>
      </c>
      <c r="R2632">
        <v>13.9</v>
      </c>
      <c r="S2632">
        <v>14</v>
      </c>
      <c r="T2632">
        <v>118239</v>
      </c>
      <c r="U2632">
        <v>13.92</v>
      </c>
      <c r="V2632">
        <v>14.02</v>
      </c>
      <c r="W2632">
        <v>54.77</v>
      </c>
      <c r="X2632" t="s">
        <v>847</v>
      </c>
      <c r="Y2632" t="s">
        <v>319</v>
      </c>
      <c r="Z2632">
        <v>2.0699999999999998</v>
      </c>
      <c r="AA2632">
        <v>14.02</v>
      </c>
      <c r="AB2632">
        <v>51409</v>
      </c>
      <c r="AC2632">
        <v>66830</v>
      </c>
      <c r="AD2632">
        <v>0.77</v>
      </c>
      <c r="AE2632">
        <v>209</v>
      </c>
      <c r="AF2632">
        <v>409</v>
      </c>
      <c r="AG2632" t="s">
        <v>120</v>
      </c>
      <c r="AH2632">
        <v>0.01</v>
      </c>
      <c r="AI2632" t="s">
        <v>120</v>
      </c>
      <c r="AJ2632">
        <v>10.029999999999999</v>
      </c>
      <c r="AK2632" t="s">
        <v>11937</v>
      </c>
      <c r="AL2632">
        <v>0.63</v>
      </c>
      <c r="AM2632">
        <v>3287</v>
      </c>
      <c r="AN2632">
        <v>36</v>
      </c>
      <c r="AO2632">
        <v>4.0000000000000002E-4</v>
      </c>
      <c r="AP2632">
        <v>-2</v>
      </c>
      <c r="AQ2632">
        <v>-2.16</v>
      </c>
      <c r="AR2632">
        <v>-2.65</v>
      </c>
      <c r="AS2632">
        <v>-13.49</v>
      </c>
      <c r="AT2632">
        <v>-28.59</v>
      </c>
      <c r="AU2632">
        <v>-36.67</v>
      </c>
      <c r="AV2632">
        <v>1</v>
      </c>
      <c r="AW2632">
        <v>2.13</v>
      </c>
      <c r="AX2632">
        <v>55.37</v>
      </c>
      <c r="AY2632">
        <v>48</v>
      </c>
      <c r="AZ2632">
        <v>44.67</v>
      </c>
      <c r="BA2632">
        <v>0.98</v>
      </c>
      <c r="BB2632" t="s">
        <v>125</v>
      </c>
      <c r="BF2632">
        <v>0.01</v>
      </c>
      <c r="BG2632">
        <v>-0.56999999999999995</v>
      </c>
      <c r="BH2632">
        <v>-1.9</v>
      </c>
      <c r="BI2632">
        <v>0.14000000000000001</v>
      </c>
      <c r="BJ2632">
        <v>20210823</v>
      </c>
      <c r="BK2632">
        <v>20010206</v>
      </c>
      <c r="BL2632">
        <v>10.029999999999999</v>
      </c>
      <c r="BM2632" t="s">
        <v>120</v>
      </c>
      <c r="BN2632" t="s">
        <v>120</v>
      </c>
      <c r="BO2632">
        <v>33.22</v>
      </c>
      <c r="BP2632">
        <v>13.91</v>
      </c>
      <c r="BQ2632">
        <v>24.73</v>
      </c>
      <c r="BR2632">
        <v>0.97</v>
      </c>
      <c r="BS2632">
        <v>22.64</v>
      </c>
      <c r="BT2632">
        <v>14.31</v>
      </c>
      <c r="BU2632">
        <v>9.24</v>
      </c>
      <c r="BV2632">
        <v>1.0900000000000001</v>
      </c>
      <c r="BW2632">
        <v>5.53</v>
      </c>
      <c r="BX2632">
        <v>4.4800000000000004</v>
      </c>
      <c r="BY2632">
        <v>2.66</v>
      </c>
      <c r="BZ2632">
        <v>0.88</v>
      </c>
      <c r="CA2632">
        <v>0</v>
      </c>
      <c r="CB2632">
        <v>0.51</v>
      </c>
      <c r="CC2632">
        <v>10.35</v>
      </c>
      <c r="CD2632">
        <v>6.4</v>
      </c>
      <c r="CE2632">
        <v>1.52</v>
      </c>
      <c r="CF2632">
        <v>0.03</v>
      </c>
      <c r="CG2632">
        <v>1.52</v>
      </c>
      <c r="CH2632">
        <v>1.28</v>
      </c>
      <c r="CI2632">
        <v>1.27</v>
      </c>
      <c r="CJ2632">
        <v>-0.1</v>
      </c>
      <c r="CK2632">
        <v>1.1499999999999999</v>
      </c>
      <c r="CL2632">
        <v>12.77</v>
      </c>
      <c r="CM2632">
        <v>1.68</v>
      </c>
      <c r="CN2632">
        <v>2.5099999999999998</v>
      </c>
      <c r="CO2632">
        <v>89799</v>
      </c>
      <c r="CP2632">
        <v>6184</v>
      </c>
      <c r="CQ2632" t="s">
        <v>10035</v>
      </c>
      <c r="CR2632">
        <v>-14.62</v>
      </c>
      <c r="CS2632">
        <v>8.59</v>
      </c>
      <c r="CT2632">
        <v>5.65</v>
      </c>
      <c r="CU2632">
        <v>83.06</v>
      </c>
      <c r="CV2632">
        <v>13.49</v>
      </c>
      <c r="CW2632">
        <v>1.1200000000000001</v>
      </c>
      <c r="CX2632" t="s">
        <v>11745</v>
      </c>
      <c r="CY2632">
        <v>2.4700000000000002</v>
      </c>
      <c r="CZ2632">
        <v>0</v>
      </c>
      <c r="DA2632">
        <v>0.05</v>
      </c>
      <c r="DB2632">
        <v>1.27</v>
      </c>
      <c r="DC2632">
        <v>0.17</v>
      </c>
      <c r="DD2632">
        <v>74.430000000000007</v>
      </c>
      <c r="DE2632" t="s">
        <v>9427</v>
      </c>
      <c r="DF2632">
        <v>38.17</v>
      </c>
      <c r="DG2632">
        <v>14.71</v>
      </c>
      <c r="DH2632">
        <v>12.31</v>
      </c>
      <c r="DI2632">
        <v>0.38</v>
      </c>
      <c r="DJ2632">
        <v>2651</v>
      </c>
      <c r="DK2632">
        <v>600305</v>
      </c>
      <c r="DL2632" t="s">
        <v>120</v>
      </c>
      <c r="DM2632" t="s">
        <v>120</v>
      </c>
      <c r="DN2632" t="s">
        <v>120</v>
      </c>
    </row>
    <row r="2633" spans="1:118">
      <c r="A2633" t="str">
        <f>"600307"</f>
        <v>600307</v>
      </c>
      <c r="B2633" t="s">
        <v>11938</v>
      </c>
      <c r="C2633">
        <v>3.09</v>
      </c>
      <c r="D2633">
        <v>0</v>
      </c>
      <c r="E2633">
        <v>3.7</v>
      </c>
      <c r="F2633">
        <v>17937</v>
      </c>
      <c r="G2633" t="s">
        <v>11939</v>
      </c>
      <c r="H2633">
        <v>142281.47</v>
      </c>
      <c r="I2633">
        <v>1209.3</v>
      </c>
      <c r="J2633" t="s">
        <v>120</v>
      </c>
      <c r="K2633" t="s">
        <v>11940</v>
      </c>
      <c r="L2633">
        <v>6.57</v>
      </c>
      <c r="M2633">
        <v>3.34</v>
      </c>
      <c r="N2633">
        <v>1.92</v>
      </c>
      <c r="O2633">
        <v>9.8800000000000008</v>
      </c>
      <c r="P2633">
        <v>3.56</v>
      </c>
      <c r="Q2633">
        <v>2.4700000000000002</v>
      </c>
      <c r="R2633">
        <v>3.32</v>
      </c>
      <c r="S2633">
        <v>3.36</v>
      </c>
      <c r="T2633">
        <v>4113376</v>
      </c>
      <c r="U2633">
        <v>3.34</v>
      </c>
      <c r="V2633">
        <v>3.24</v>
      </c>
      <c r="W2633">
        <v>5.38</v>
      </c>
      <c r="X2633" t="s">
        <v>1460</v>
      </c>
      <c r="Y2633" t="s">
        <v>1082</v>
      </c>
      <c r="Z2633">
        <v>7.41</v>
      </c>
      <c r="AA2633">
        <v>3.46</v>
      </c>
      <c r="AB2633">
        <v>2001797</v>
      </c>
      <c r="AC2633">
        <v>2111578</v>
      </c>
      <c r="AD2633">
        <v>0.95</v>
      </c>
      <c r="AE2633">
        <v>10382</v>
      </c>
      <c r="AF2633">
        <v>50062</v>
      </c>
      <c r="AG2633" t="s">
        <v>120</v>
      </c>
      <c r="AH2633">
        <v>0.13</v>
      </c>
      <c r="AI2633" t="s">
        <v>120</v>
      </c>
      <c r="AJ2633">
        <v>62.63</v>
      </c>
      <c r="AK2633" t="s">
        <v>11940</v>
      </c>
      <c r="AL2633">
        <v>4.43</v>
      </c>
      <c r="AM2633">
        <v>4616</v>
      </c>
      <c r="AN2633">
        <v>891</v>
      </c>
      <c r="AO2633">
        <v>1.4E-3</v>
      </c>
      <c r="AP2633">
        <v>2</v>
      </c>
      <c r="AQ2633">
        <v>1.89</v>
      </c>
      <c r="AR2633">
        <v>-0.28999999999999998</v>
      </c>
      <c r="AS2633">
        <v>14.38</v>
      </c>
      <c r="AT2633">
        <v>44.59</v>
      </c>
      <c r="AU2633">
        <v>102.42</v>
      </c>
      <c r="AV2633">
        <v>6</v>
      </c>
      <c r="AW2633">
        <v>14.53</v>
      </c>
      <c r="AX2633">
        <v>45.21</v>
      </c>
      <c r="AY2633">
        <v>7.97</v>
      </c>
      <c r="AZ2633">
        <v>39.19</v>
      </c>
      <c r="BA2633">
        <v>1.02</v>
      </c>
      <c r="BB2633" t="s">
        <v>240</v>
      </c>
      <c r="BF2633">
        <v>6.76</v>
      </c>
      <c r="BG2633">
        <v>-0.6</v>
      </c>
      <c r="BH2633">
        <v>-6.18</v>
      </c>
      <c r="BI2633">
        <v>0.6</v>
      </c>
      <c r="BJ2633">
        <v>20210908</v>
      </c>
      <c r="BK2633">
        <v>20001220</v>
      </c>
      <c r="BL2633">
        <v>62.63</v>
      </c>
      <c r="BM2633" t="s">
        <v>120</v>
      </c>
      <c r="BN2633" t="s">
        <v>120</v>
      </c>
      <c r="BO2633">
        <v>404.2</v>
      </c>
      <c r="BP2633">
        <v>3.33</v>
      </c>
      <c r="BQ2633">
        <v>142.97</v>
      </c>
      <c r="BR2633" t="s">
        <v>120</v>
      </c>
      <c r="BS2633">
        <v>64.63</v>
      </c>
      <c r="BT2633">
        <v>131.88</v>
      </c>
      <c r="BU2633">
        <v>227.4</v>
      </c>
      <c r="BV2633">
        <v>26.61</v>
      </c>
      <c r="BW2633">
        <v>214.04</v>
      </c>
      <c r="BX2633">
        <v>41.85</v>
      </c>
      <c r="BY2633">
        <v>65.19</v>
      </c>
      <c r="BZ2633">
        <v>2.73</v>
      </c>
      <c r="CA2633">
        <v>0.43</v>
      </c>
      <c r="CB2633">
        <v>67.099999999999994</v>
      </c>
      <c r="CC2633">
        <v>262.88</v>
      </c>
      <c r="CD2633">
        <v>220.28</v>
      </c>
      <c r="CE2633">
        <v>23.51</v>
      </c>
      <c r="CF2633">
        <v>0.03</v>
      </c>
      <c r="CG2633">
        <v>22.71</v>
      </c>
      <c r="CH2633">
        <v>19.46</v>
      </c>
      <c r="CI2633">
        <v>19.46</v>
      </c>
      <c r="CJ2633">
        <v>0.1</v>
      </c>
      <c r="CK2633">
        <v>19.54</v>
      </c>
      <c r="CL2633">
        <v>-1.87</v>
      </c>
      <c r="CM2633">
        <v>33.409999999999997</v>
      </c>
      <c r="CN2633">
        <v>0.43</v>
      </c>
      <c r="CO2633">
        <v>229000</v>
      </c>
      <c r="CP2633">
        <v>12366</v>
      </c>
      <c r="CQ2633" t="s">
        <v>931</v>
      </c>
      <c r="CR2633">
        <v>2447.8200000000002</v>
      </c>
      <c r="CS2633">
        <v>66.099999999999994</v>
      </c>
      <c r="CT2633">
        <v>1.46</v>
      </c>
      <c r="CU2633">
        <v>6.26</v>
      </c>
      <c r="CV2633">
        <v>0.8</v>
      </c>
      <c r="CW2633">
        <v>0</v>
      </c>
      <c r="CX2633" t="s">
        <v>11941</v>
      </c>
      <c r="CY2633">
        <v>2.2799999999999998</v>
      </c>
      <c r="CZ2633">
        <v>0</v>
      </c>
      <c r="DA2633">
        <v>1.07</v>
      </c>
      <c r="DB2633">
        <v>-0.03</v>
      </c>
      <c r="DC2633">
        <v>0.53</v>
      </c>
      <c r="DD2633">
        <v>35.369999999999997</v>
      </c>
      <c r="DE2633" t="s">
        <v>11942</v>
      </c>
      <c r="DF2633">
        <v>16.21</v>
      </c>
      <c r="DG2633">
        <v>8.94</v>
      </c>
      <c r="DH2633">
        <v>7.4</v>
      </c>
      <c r="DI2633">
        <v>2.06</v>
      </c>
      <c r="DJ2633">
        <v>18784</v>
      </c>
      <c r="DK2633">
        <v>600307</v>
      </c>
      <c r="DL2633" t="s">
        <v>120</v>
      </c>
      <c r="DM2633" t="s">
        <v>120</v>
      </c>
      <c r="DN2633" t="s">
        <v>120</v>
      </c>
    </row>
    <row r="2634" spans="1:118">
      <c r="A2634" t="str">
        <f>"600308"</f>
        <v>600308</v>
      </c>
      <c r="B2634" t="s">
        <v>11943</v>
      </c>
      <c r="C2634">
        <v>9.98</v>
      </c>
      <c r="D2634">
        <v>0</v>
      </c>
      <c r="E2634">
        <v>3.49</v>
      </c>
      <c r="F2634">
        <v>2388</v>
      </c>
      <c r="G2634" t="s">
        <v>11944</v>
      </c>
      <c r="H2634">
        <v>81461.09</v>
      </c>
      <c r="I2634">
        <v>783.09</v>
      </c>
      <c r="J2634">
        <v>4296.93</v>
      </c>
      <c r="K2634" t="s">
        <v>11945</v>
      </c>
      <c r="L2634">
        <v>8.01</v>
      </c>
      <c r="M2634">
        <v>8.82</v>
      </c>
      <c r="N2634">
        <v>0.93</v>
      </c>
      <c r="O2634">
        <v>9.98</v>
      </c>
      <c r="P2634">
        <v>8.82</v>
      </c>
      <c r="Q2634">
        <v>3.37</v>
      </c>
      <c r="R2634">
        <v>8.2899999999999991</v>
      </c>
      <c r="S2634">
        <v>8.3000000000000007</v>
      </c>
      <c r="T2634">
        <v>935160</v>
      </c>
      <c r="U2634" t="s">
        <v>120</v>
      </c>
      <c r="V2634">
        <v>8.02</v>
      </c>
      <c r="W2634">
        <v>8.7899999999999991</v>
      </c>
      <c r="X2634" t="s">
        <v>814</v>
      </c>
      <c r="Y2634" t="s">
        <v>638</v>
      </c>
      <c r="Z2634">
        <v>6.61</v>
      </c>
      <c r="AA2634">
        <v>8.7100000000000009</v>
      </c>
      <c r="AB2634">
        <v>552627</v>
      </c>
      <c r="AC2634">
        <v>382533</v>
      </c>
      <c r="AD2634">
        <v>1.44</v>
      </c>
      <c r="AE2634">
        <v>48718</v>
      </c>
      <c r="AF2634">
        <v>0</v>
      </c>
      <c r="AG2634" t="s">
        <v>120</v>
      </c>
      <c r="AH2634">
        <v>0.13</v>
      </c>
      <c r="AI2634">
        <v>0.05</v>
      </c>
      <c r="AJ2634">
        <v>11.68</v>
      </c>
      <c r="AK2634" t="s">
        <v>11945</v>
      </c>
      <c r="AL2634">
        <v>11.32</v>
      </c>
      <c r="AM2634">
        <v>3099</v>
      </c>
      <c r="AN2634">
        <v>302</v>
      </c>
      <c r="AO2634">
        <v>2.5999999999999999E-3</v>
      </c>
      <c r="AP2634">
        <v>2</v>
      </c>
      <c r="AQ2634">
        <v>0.25</v>
      </c>
      <c r="AR2634">
        <v>6.78</v>
      </c>
      <c r="AS2634">
        <v>52.85</v>
      </c>
      <c r="AT2634">
        <v>59.18</v>
      </c>
      <c r="AU2634">
        <v>76.37</v>
      </c>
      <c r="AV2634">
        <v>1</v>
      </c>
      <c r="AW2634">
        <v>12.45</v>
      </c>
      <c r="AX2634">
        <v>64.36</v>
      </c>
      <c r="AY2634">
        <v>9.34</v>
      </c>
      <c r="AZ2634">
        <v>13.45</v>
      </c>
      <c r="BA2634">
        <v>0.83</v>
      </c>
      <c r="BB2634" t="s">
        <v>125</v>
      </c>
      <c r="BF2634">
        <v>8.6199999999999992</v>
      </c>
      <c r="BG2634">
        <v>6.27</v>
      </c>
      <c r="BH2634">
        <v>0</v>
      </c>
      <c r="BI2634">
        <v>6.39</v>
      </c>
      <c r="BJ2634">
        <v>20210821</v>
      </c>
      <c r="BK2634">
        <v>20000928</v>
      </c>
      <c r="BL2634">
        <v>11.68</v>
      </c>
      <c r="BM2634" t="s">
        <v>120</v>
      </c>
      <c r="BN2634" t="s">
        <v>120</v>
      </c>
      <c r="BO2634">
        <v>162.82</v>
      </c>
      <c r="BP2634">
        <v>8.82</v>
      </c>
      <c r="BQ2634">
        <v>91.04</v>
      </c>
      <c r="BR2634">
        <v>1.21</v>
      </c>
      <c r="BS2634">
        <v>43.34</v>
      </c>
      <c r="BT2634">
        <v>76.3</v>
      </c>
      <c r="BU2634">
        <v>70.209999999999994</v>
      </c>
      <c r="BV2634">
        <v>5.93</v>
      </c>
      <c r="BW2634">
        <v>67.55</v>
      </c>
      <c r="BX2634">
        <v>22.14</v>
      </c>
      <c r="BY2634">
        <v>17.55</v>
      </c>
      <c r="BZ2634">
        <v>9</v>
      </c>
      <c r="CA2634" t="s">
        <v>120</v>
      </c>
      <c r="CB2634">
        <v>22.97</v>
      </c>
      <c r="CC2634">
        <v>74.56</v>
      </c>
      <c r="CD2634">
        <v>63.82</v>
      </c>
      <c r="CE2634">
        <v>6.7</v>
      </c>
      <c r="CF2634">
        <v>0.15</v>
      </c>
      <c r="CG2634">
        <v>6.84</v>
      </c>
      <c r="CH2634">
        <v>5.74</v>
      </c>
      <c r="CI2634">
        <v>5.86</v>
      </c>
      <c r="CJ2634">
        <v>0.8</v>
      </c>
      <c r="CK2634">
        <v>5.4</v>
      </c>
      <c r="CL2634">
        <v>46.91</v>
      </c>
      <c r="CM2634">
        <v>3.62</v>
      </c>
      <c r="CN2634">
        <v>-2.84</v>
      </c>
      <c r="CO2634">
        <v>63808</v>
      </c>
      <c r="CP2634">
        <v>11776</v>
      </c>
      <c r="CQ2634" t="s">
        <v>8696</v>
      </c>
      <c r="CR2634">
        <v>109.16</v>
      </c>
      <c r="CS2634">
        <v>38.450000000000003</v>
      </c>
      <c r="CT2634">
        <v>1.1299999999999999</v>
      </c>
      <c r="CU2634">
        <v>28.48</v>
      </c>
      <c r="CV2634">
        <v>1.38</v>
      </c>
      <c r="CW2634">
        <v>2.23</v>
      </c>
      <c r="CX2634" t="s">
        <v>11946</v>
      </c>
      <c r="CY2634">
        <v>7.8</v>
      </c>
      <c r="CZ2634">
        <v>0</v>
      </c>
      <c r="DA2634">
        <v>1.97</v>
      </c>
      <c r="DB2634">
        <v>4.0199999999999996</v>
      </c>
      <c r="DC2634">
        <v>0.31</v>
      </c>
      <c r="DD2634">
        <v>55.92</v>
      </c>
      <c r="DE2634" t="s">
        <v>7732</v>
      </c>
      <c r="DF2634">
        <v>14.41</v>
      </c>
      <c r="DG2634">
        <v>8.99</v>
      </c>
      <c r="DH2634">
        <v>7.86</v>
      </c>
      <c r="DI2634">
        <v>1.31</v>
      </c>
      <c r="DJ2634">
        <v>6840</v>
      </c>
      <c r="DK2634">
        <v>600308</v>
      </c>
      <c r="DL2634">
        <v>20210914</v>
      </c>
      <c r="DM2634">
        <v>8.26</v>
      </c>
      <c r="DN2634">
        <v>6.78</v>
      </c>
    </row>
    <row r="2635" spans="1:118">
      <c r="A2635" t="str">
        <f>"600309"</f>
        <v>600309</v>
      </c>
      <c r="B2635" t="s">
        <v>11947</v>
      </c>
      <c r="C2635">
        <v>0.76</v>
      </c>
      <c r="D2635">
        <v>-0.47</v>
      </c>
      <c r="E2635">
        <v>0.35</v>
      </c>
      <c r="F2635">
        <v>4897</v>
      </c>
      <c r="G2635" t="s">
        <v>11948</v>
      </c>
      <c r="H2635">
        <v>347543.8</v>
      </c>
      <c r="I2635">
        <v>1906.34</v>
      </c>
      <c r="J2635" t="s">
        <v>120</v>
      </c>
      <c r="K2635" t="s">
        <v>11948</v>
      </c>
      <c r="L2635">
        <v>2.16</v>
      </c>
      <c r="M2635">
        <v>111.45</v>
      </c>
      <c r="N2635">
        <v>0.91</v>
      </c>
      <c r="O2635">
        <v>4.32</v>
      </c>
      <c r="P2635">
        <v>115.39</v>
      </c>
      <c r="Q2635">
        <v>0.06</v>
      </c>
      <c r="R2635">
        <v>110.68</v>
      </c>
      <c r="S2635">
        <v>111</v>
      </c>
      <c r="T2635">
        <v>306900</v>
      </c>
      <c r="U2635">
        <v>111.5</v>
      </c>
      <c r="V2635">
        <v>110.61</v>
      </c>
      <c r="W2635">
        <v>12.93</v>
      </c>
      <c r="X2635" t="s">
        <v>868</v>
      </c>
      <c r="Y2635" t="s">
        <v>638</v>
      </c>
      <c r="Z2635">
        <v>4.26</v>
      </c>
      <c r="AA2635">
        <v>113.24</v>
      </c>
      <c r="AB2635">
        <v>143823</v>
      </c>
      <c r="AC2635">
        <v>163077</v>
      </c>
      <c r="AD2635">
        <v>0.88</v>
      </c>
      <c r="AE2635">
        <v>32</v>
      </c>
      <c r="AF2635">
        <v>6</v>
      </c>
      <c r="AG2635" t="s">
        <v>120</v>
      </c>
      <c r="AH2635">
        <v>0.01</v>
      </c>
      <c r="AI2635" t="s">
        <v>120</v>
      </c>
      <c r="AJ2635">
        <v>14.24</v>
      </c>
      <c r="AK2635" t="s">
        <v>11949</v>
      </c>
      <c r="AL2635">
        <v>2.1</v>
      </c>
      <c r="AM2635">
        <v>4734</v>
      </c>
      <c r="AN2635">
        <v>65</v>
      </c>
      <c r="AO2635">
        <v>5.0000000000000001E-4</v>
      </c>
      <c r="AP2635">
        <v>1</v>
      </c>
      <c r="AQ2635">
        <v>-1.43</v>
      </c>
      <c r="AR2635">
        <v>-3.64</v>
      </c>
      <c r="AS2635">
        <v>4.18</v>
      </c>
      <c r="AT2635">
        <v>6.15</v>
      </c>
      <c r="AU2635">
        <v>24.2</v>
      </c>
      <c r="AV2635">
        <v>0</v>
      </c>
      <c r="AW2635">
        <v>2.16</v>
      </c>
      <c r="AX2635">
        <v>45.35</v>
      </c>
      <c r="AY2635">
        <v>16.75</v>
      </c>
      <c r="AZ2635">
        <v>34.590000000000003</v>
      </c>
      <c r="BA2635">
        <v>1.53</v>
      </c>
      <c r="BB2635" t="s">
        <v>143</v>
      </c>
      <c r="BF2635">
        <v>2.38</v>
      </c>
      <c r="BG2635">
        <v>0.41</v>
      </c>
      <c r="BH2635">
        <v>-3.41</v>
      </c>
      <c r="BI2635">
        <v>0.7</v>
      </c>
      <c r="BJ2635">
        <v>20210810</v>
      </c>
      <c r="BK2635">
        <v>20010105</v>
      </c>
      <c r="BL2635">
        <v>31.4</v>
      </c>
      <c r="BM2635" t="s">
        <v>120</v>
      </c>
      <c r="BN2635" t="s">
        <v>120</v>
      </c>
      <c r="BO2635">
        <v>1673.03</v>
      </c>
      <c r="BP2635">
        <v>111.45</v>
      </c>
      <c r="BQ2635">
        <v>578.12</v>
      </c>
      <c r="BR2635">
        <v>28.55</v>
      </c>
      <c r="BS2635">
        <v>63.74</v>
      </c>
      <c r="BT2635">
        <v>637.44000000000005</v>
      </c>
      <c r="BU2635">
        <v>599.41</v>
      </c>
      <c r="BV2635">
        <v>71.3</v>
      </c>
      <c r="BW2635">
        <v>882.49</v>
      </c>
      <c r="BX2635">
        <v>284.11</v>
      </c>
      <c r="BY2635">
        <v>157.26</v>
      </c>
      <c r="BZ2635">
        <v>98.88</v>
      </c>
      <c r="CA2635" t="s">
        <v>120</v>
      </c>
      <c r="CB2635">
        <v>21.62</v>
      </c>
      <c r="CC2635">
        <v>676.57</v>
      </c>
      <c r="CD2635">
        <v>466.33</v>
      </c>
      <c r="CE2635">
        <v>161.41</v>
      </c>
      <c r="CF2635">
        <v>3.55</v>
      </c>
      <c r="CG2635">
        <v>161.5</v>
      </c>
      <c r="CH2635">
        <v>137.80000000000001</v>
      </c>
      <c r="CI2635">
        <v>135.30000000000001</v>
      </c>
      <c r="CJ2635">
        <v>0.84</v>
      </c>
      <c r="CK2635">
        <v>131.94999999999999</v>
      </c>
      <c r="CL2635">
        <v>497.29</v>
      </c>
      <c r="CM2635">
        <v>110.85</v>
      </c>
      <c r="CN2635">
        <v>109.78</v>
      </c>
      <c r="CO2635">
        <v>169004</v>
      </c>
      <c r="CP2635">
        <v>8424</v>
      </c>
      <c r="CQ2635" t="s">
        <v>11950</v>
      </c>
      <c r="CR2635">
        <v>377.21</v>
      </c>
      <c r="CS2635">
        <v>118.91</v>
      </c>
      <c r="CT2635">
        <v>6.05</v>
      </c>
      <c r="CU2635">
        <v>31.57</v>
      </c>
      <c r="CV2635">
        <v>5.17</v>
      </c>
      <c r="CW2635">
        <v>1.18</v>
      </c>
      <c r="CX2635" t="s">
        <v>11951</v>
      </c>
      <c r="CY2635">
        <v>18.41</v>
      </c>
      <c r="CZ2635">
        <v>0</v>
      </c>
      <c r="DA2635">
        <v>0.69</v>
      </c>
      <c r="DB2635">
        <v>15.84</v>
      </c>
      <c r="DC2635">
        <v>3.53</v>
      </c>
      <c r="DD2635">
        <v>34.56</v>
      </c>
      <c r="DE2635" t="s">
        <v>11952</v>
      </c>
      <c r="DF2635">
        <v>31.07</v>
      </c>
      <c r="DG2635">
        <v>23.86</v>
      </c>
      <c r="DH2635">
        <v>20</v>
      </c>
      <c r="DI2635">
        <v>12.22</v>
      </c>
      <c r="DJ2635">
        <v>17581</v>
      </c>
      <c r="DK2635">
        <v>600309</v>
      </c>
      <c r="DL2635" t="s">
        <v>120</v>
      </c>
      <c r="DM2635" t="s">
        <v>120</v>
      </c>
      <c r="DN2635" t="s">
        <v>120</v>
      </c>
    </row>
    <row r="2636" spans="1:118">
      <c r="A2636" t="str">
        <f>"600310"</f>
        <v>600310</v>
      </c>
      <c r="B2636" t="s">
        <v>11953</v>
      </c>
      <c r="C2636">
        <v>-0.76</v>
      </c>
      <c r="D2636">
        <v>0</v>
      </c>
      <c r="E2636">
        <v>-1.52</v>
      </c>
      <c r="F2636">
        <v>7922</v>
      </c>
      <c r="G2636" t="s">
        <v>9286</v>
      </c>
      <c r="H2636">
        <v>29462.37</v>
      </c>
      <c r="I2636">
        <v>697.85</v>
      </c>
      <c r="J2636" t="s">
        <v>120</v>
      </c>
      <c r="K2636" t="s">
        <v>7399</v>
      </c>
      <c r="L2636">
        <v>6.68</v>
      </c>
      <c r="M2636">
        <v>5.21</v>
      </c>
      <c r="N2636">
        <v>1.05</v>
      </c>
      <c r="O2636">
        <v>8</v>
      </c>
      <c r="P2636">
        <v>5.67</v>
      </c>
      <c r="Q2636">
        <v>-1.52</v>
      </c>
      <c r="R2636">
        <v>5.17</v>
      </c>
      <c r="S2636">
        <v>5.17</v>
      </c>
      <c r="T2636">
        <v>552763</v>
      </c>
      <c r="U2636">
        <v>5.21</v>
      </c>
      <c r="V2636">
        <v>5.25</v>
      </c>
      <c r="W2636" t="s">
        <v>120</v>
      </c>
      <c r="X2636" t="s">
        <v>1287</v>
      </c>
      <c r="Y2636" t="s">
        <v>945</v>
      </c>
      <c r="Z2636">
        <v>9.52</v>
      </c>
      <c r="AA2636">
        <v>5.33</v>
      </c>
      <c r="AB2636">
        <v>301810</v>
      </c>
      <c r="AC2636">
        <v>250953</v>
      </c>
      <c r="AD2636">
        <v>1.2</v>
      </c>
      <c r="AE2636">
        <v>832</v>
      </c>
      <c r="AF2636">
        <v>1663</v>
      </c>
      <c r="AG2636" t="s">
        <v>120</v>
      </c>
      <c r="AH2636">
        <v>0.33</v>
      </c>
      <c r="AI2636" t="s">
        <v>120</v>
      </c>
      <c r="AJ2636">
        <v>8.2799999999999994</v>
      </c>
      <c r="AK2636" t="s">
        <v>11954</v>
      </c>
      <c r="AL2636">
        <v>0.57999999999999996</v>
      </c>
      <c r="AM2636">
        <v>3773</v>
      </c>
      <c r="AN2636">
        <v>147</v>
      </c>
      <c r="AO2636">
        <v>1.8E-3</v>
      </c>
      <c r="AP2636">
        <v>-1</v>
      </c>
      <c r="AQ2636">
        <v>1.74</v>
      </c>
      <c r="AR2636">
        <v>11.08</v>
      </c>
      <c r="AS2636">
        <v>25.84</v>
      </c>
      <c r="AT2636">
        <v>16.559999999999999</v>
      </c>
      <c r="AU2636">
        <v>15.91</v>
      </c>
      <c r="AV2636">
        <v>5</v>
      </c>
      <c r="AW2636">
        <v>13.36</v>
      </c>
      <c r="AX2636">
        <v>39.909999999999997</v>
      </c>
      <c r="AY2636">
        <v>39.24</v>
      </c>
      <c r="AZ2636">
        <v>21.23</v>
      </c>
      <c r="BA2636">
        <v>0.3</v>
      </c>
      <c r="BB2636" t="s">
        <v>184</v>
      </c>
      <c r="BF2636">
        <v>1.52</v>
      </c>
      <c r="BG2636">
        <v>0.77</v>
      </c>
      <c r="BH2636">
        <v>-8.11</v>
      </c>
      <c r="BI2636">
        <v>0.77</v>
      </c>
      <c r="BJ2636">
        <v>20210821</v>
      </c>
      <c r="BK2636">
        <v>20010228</v>
      </c>
      <c r="BL2636">
        <v>10.36</v>
      </c>
      <c r="BM2636" t="s">
        <v>120</v>
      </c>
      <c r="BN2636" t="s">
        <v>120</v>
      </c>
      <c r="BO2636">
        <v>230.04</v>
      </c>
      <c r="BP2636">
        <v>5.2</v>
      </c>
      <c r="BQ2636">
        <v>20.68</v>
      </c>
      <c r="BR2636">
        <v>5.3</v>
      </c>
      <c r="BS2636">
        <v>88.7</v>
      </c>
      <c r="BT2636">
        <v>87.17</v>
      </c>
      <c r="BU2636">
        <v>73.930000000000007</v>
      </c>
      <c r="BV2636">
        <v>4.74</v>
      </c>
      <c r="BW2636">
        <v>116.15</v>
      </c>
      <c r="BX2636">
        <v>26.36</v>
      </c>
      <c r="BY2636">
        <v>28.39</v>
      </c>
      <c r="BZ2636">
        <v>10.119999999999999</v>
      </c>
      <c r="CA2636">
        <v>0.06</v>
      </c>
      <c r="CB2636">
        <v>1.1499999999999999</v>
      </c>
      <c r="CC2636">
        <v>120.3</v>
      </c>
      <c r="CD2636">
        <v>114.17</v>
      </c>
      <c r="CE2636">
        <v>-1.61</v>
      </c>
      <c r="CF2636">
        <v>0.16</v>
      </c>
      <c r="CG2636">
        <v>-1.32</v>
      </c>
      <c r="CH2636">
        <v>-0.96</v>
      </c>
      <c r="CI2636">
        <v>-1.25</v>
      </c>
      <c r="CJ2636">
        <v>-0.04</v>
      </c>
      <c r="CK2636">
        <v>1.3</v>
      </c>
      <c r="CL2636">
        <v>6.67</v>
      </c>
      <c r="CM2636">
        <v>-2.4300000000000002</v>
      </c>
      <c r="CN2636">
        <v>4.8499999999999996</v>
      </c>
      <c r="CO2636">
        <v>33186</v>
      </c>
      <c r="CP2636">
        <v>12464</v>
      </c>
      <c r="CQ2636" t="s">
        <v>11955</v>
      </c>
      <c r="CR2636">
        <v>-1548.15</v>
      </c>
      <c r="CS2636">
        <v>4.63</v>
      </c>
      <c r="CT2636">
        <v>2.61</v>
      </c>
      <c r="CU2636">
        <v>-22.2</v>
      </c>
      <c r="CV2636">
        <v>0.45</v>
      </c>
      <c r="CW2636">
        <v>1.43</v>
      </c>
      <c r="CX2636" t="s">
        <v>11956</v>
      </c>
      <c r="CY2636">
        <v>2</v>
      </c>
      <c r="CZ2636">
        <v>0</v>
      </c>
      <c r="DA2636">
        <v>0.11</v>
      </c>
      <c r="DB2636">
        <v>0.64</v>
      </c>
      <c r="DC2636">
        <v>-0.23</v>
      </c>
      <c r="DD2636">
        <v>8.99</v>
      </c>
      <c r="DE2636" t="s">
        <v>11957</v>
      </c>
      <c r="DF2636">
        <v>5.0999999999999996</v>
      </c>
      <c r="DG2636">
        <v>-1.34</v>
      </c>
      <c r="DH2636">
        <v>-1.04</v>
      </c>
      <c r="DI2636">
        <v>0</v>
      </c>
      <c r="DJ2636">
        <v>2626</v>
      </c>
      <c r="DK2636">
        <v>600310</v>
      </c>
      <c r="DL2636">
        <v>20210914</v>
      </c>
      <c r="DM2636">
        <v>4.6900000000000004</v>
      </c>
      <c r="DN2636">
        <v>11.09</v>
      </c>
    </row>
    <row r="2637" spans="1:118">
      <c r="A2637" t="str">
        <f>"600312"</f>
        <v>600312</v>
      </c>
      <c r="B2637" t="s">
        <v>11958</v>
      </c>
      <c r="C2637">
        <v>-2.6</v>
      </c>
      <c r="D2637">
        <v>-0.11</v>
      </c>
      <c r="E2637">
        <v>-0.83</v>
      </c>
      <c r="F2637">
        <v>3303</v>
      </c>
      <c r="G2637" t="s">
        <v>11959</v>
      </c>
      <c r="H2637">
        <v>51658.52</v>
      </c>
      <c r="I2637">
        <v>737.69</v>
      </c>
      <c r="J2637" t="s">
        <v>120</v>
      </c>
      <c r="K2637" t="s">
        <v>11960</v>
      </c>
      <c r="L2637">
        <v>4.53</v>
      </c>
      <c r="M2637">
        <v>8.25</v>
      </c>
      <c r="N2637">
        <v>0.94</v>
      </c>
      <c r="O2637">
        <v>4.49</v>
      </c>
      <c r="P2637">
        <v>8.85</v>
      </c>
      <c r="Q2637">
        <v>-3.19</v>
      </c>
      <c r="R2637">
        <v>8.1999999999999993</v>
      </c>
      <c r="S2637">
        <v>8.4</v>
      </c>
      <c r="T2637">
        <v>614187</v>
      </c>
      <c r="U2637">
        <v>8.26</v>
      </c>
      <c r="V2637">
        <v>8.4700000000000006</v>
      </c>
      <c r="W2637">
        <v>99.64</v>
      </c>
      <c r="X2637" t="s">
        <v>394</v>
      </c>
      <c r="Y2637" t="s">
        <v>645</v>
      </c>
      <c r="Z2637">
        <v>7.67</v>
      </c>
      <c r="AA2637">
        <v>8.41</v>
      </c>
      <c r="AB2637">
        <v>299129</v>
      </c>
      <c r="AC2637">
        <v>315058</v>
      </c>
      <c r="AD2637">
        <v>0.95</v>
      </c>
      <c r="AE2637">
        <v>1481</v>
      </c>
      <c r="AF2637">
        <v>1320</v>
      </c>
      <c r="AG2637" t="s">
        <v>120</v>
      </c>
      <c r="AH2637">
        <v>0.11</v>
      </c>
      <c r="AI2637" t="s">
        <v>120</v>
      </c>
      <c r="AJ2637">
        <v>13.57</v>
      </c>
      <c r="AK2637" t="s">
        <v>11960</v>
      </c>
      <c r="AL2637">
        <v>-1.25</v>
      </c>
      <c r="AM2637">
        <v>4371</v>
      </c>
      <c r="AN2637">
        <v>141</v>
      </c>
      <c r="AO2637">
        <v>1E-3</v>
      </c>
      <c r="AP2637">
        <v>-1</v>
      </c>
      <c r="AQ2637">
        <v>10</v>
      </c>
      <c r="AR2637">
        <v>1.85</v>
      </c>
      <c r="AS2637">
        <v>21.32</v>
      </c>
      <c r="AT2637">
        <v>38.61</v>
      </c>
      <c r="AU2637">
        <v>16</v>
      </c>
      <c r="AV2637">
        <v>3</v>
      </c>
      <c r="AW2637">
        <v>7.61</v>
      </c>
      <c r="AX2637">
        <v>59.5</v>
      </c>
      <c r="AY2637">
        <v>90.12</v>
      </c>
      <c r="AZ2637">
        <v>91.14</v>
      </c>
      <c r="BA2637">
        <v>0</v>
      </c>
      <c r="BB2637" t="s">
        <v>751</v>
      </c>
      <c r="BF2637">
        <v>-0.7</v>
      </c>
      <c r="BG2637">
        <v>-1.79</v>
      </c>
      <c r="BH2637">
        <v>-6.78</v>
      </c>
      <c r="BI2637">
        <v>0.61</v>
      </c>
      <c r="BJ2637">
        <v>20210908</v>
      </c>
      <c r="BK2637">
        <v>20010221</v>
      </c>
      <c r="BL2637">
        <v>13.57</v>
      </c>
      <c r="BM2637" t="s">
        <v>120</v>
      </c>
      <c r="BN2637" t="s">
        <v>120</v>
      </c>
      <c r="BO2637">
        <v>204.54</v>
      </c>
      <c r="BP2637">
        <v>8.25</v>
      </c>
      <c r="BQ2637">
        <v>91.42</v>
      </c>
      <c r="BR2637">
        <v>3.22</v>
      </c>
      <c r="BS2637">
        <v>53.73</v>
      </c>
      <c r="BT2637">
        <v>141.22</v>
      </c>
      <c r="BU2637">
        <v>25.33</v>
      </c>
      <c r="BV2637">
        <v>13</v>
      </c>
      <c r="BW2637">
        <v>109.13</v>
      </c>
      <c r="BX2637">
        <v>20.239999999999998</v>
      </c>
      <c r="BY2637">
        <v>24.06</v>
      </c>
      <c r="BZ2637">
        <v>79.75</v>
      </c>
      <c r="CA2637">
        <v>0</v>
      </c>
      <c r="CB2637">
        <v>48.87</v>
      </c>
      <c r="CC2637">
        <v>35.229999999999997</v>
      </c>
      <c r="CD2637">
        <v>30.71</v>
      </c>
      <c r="CE2637">
        <v>0.81</v>
      </c>
      <c r="CF2637">
        <v>0.13</v>
      </c>
      <c r="CG2637">
        <v>0.96</v>
      </c>
      <c r="CH2637">
        <v>0.69</v>
      </c>
      <c r="CI2637">
        <v>0.56000000000000005</v>
      </c>
      <c r="CJ2637">
        <v>-0.22</v>
      </c>
      <c r="CK2637">
        <v>0.4</v>
      </c>
      <c r="CL2637">
        <v>23.64</v>
      </c>
      <c r="CM2637">
        <v>-4.4400000000000004</v>
      </c>
      <c r="CN2637">
        <v>-2.48</v>
      </c>
      <c r="CO2637">
        <v>64800</v>
      </c>
      <c r="CP2637">
        <v>12460</v>
      </c>
      <c r="CQ2637" t="s">
        <v>1192</v>
      </c>
      <c r="CR2637">
        <v>2.62</v>
      </c>
      <c r="CS2637">
        <v>9.33</v>
      </c>
      <c r="CT2637">
        <v>1.22</v>
      </c>
      <c r="CU2637">
        <v>-25.21</v>
      </c>
      <c r="CV2637">
        <v>3.18</v>
      </c>
      <c r="CW2637">
        <v>0.33</v>
      </c>
      <c r="CX2637" t="s">
        <v>145</v>
      </c>
      <c r="CY2637">
        <v>6.74</v>
      </c>
      <c r="CZ2637">
        <v>0</v>
      </c>
      <c r="DA2637">
        <v>3.6</v>
      </c>
      <c r="DB2637">
        <v>1.74</v>
      </c>
      <c r="DC2637">
        <v>-0.33</v>
      </c>
      <c r="DD2637">
        <v>44.7</v>
      </c>
      <c r="DE2637" t="s">
        <v>2004</v>
      </c>
      <c r="DF2637">
        <v>12.86</v>
      </c>
      <c r="DG2637">
        <v>2.2999999999999998</v>
      </c>
      <c r="DH2637">
        <v>1.59</v>
      </c>
      <c r="DI2637">
        <v>0.95</v>
      </c>
      <c r="DJ2637">
        <v>4766</v>
      </c>
      <c r="DK2637">
        <v>600312</v>
      </c>
      <c r="DL2637" t="s">
        <v>120</v>
      </c>
      <c r="DM2637" t="s">
        <v>120</v>
      </c>
      <c r="DN2637" t="s">
        <v>120</v>
      </c>
    </row>
    <row r="2638" spans="1:118">
      <c r="A2638" t="str">
        <f>"600313"</f>
        <v>600313</v>
      </c>
      <c r="B2638" t="s">
        <v>11961</v>
      </c>
      <c r="C2638">
        <v>0.39</v>
      </c>
      <c r="D2638">
        <v>0.19</v>
      </c>
      <c r="E2638">
        <v>0</v>
      </c>
      <c r="F2638">
        <v>3272</v>
      </c>
      <c r="G2638" t="s">
        <v>1687</v>
      </c>
      <c r="H2638">
        <v>28980.89</v>
      </c>
      <c r="I2638">
        <v>58.42</v>
      </c>
      <c r="J2638" t="s">
        <v>120</v>
      </c>
      <c r="K2638" t="s">
        <v>8805</v>
      </c>
      <c r="L2638">
        <v>5.49</v>
      </c>
      <c r="M2638">
        <v>5.14</v>
      </c>
      <c r="N2638">
        <v>1.37</v>
      </c>
      <c r="O2638">
        <v>2.54</v>
      </c>
      <c r="P2638">
        <v>5.25</v>
      </c>
      <c r="Q2638">
        <v>-0.78</v>
      </c>
      <c r="R2638">
        <v>5.08</v>
      </c>
      <c r="S2638">
        <v>5.12</v>
      </c>
      <c r="T2638">
        <v>560158</v>
      </c>
      <c r="U2638">
        <v>5.14</v>
      </c>
      <c r="V2638">
        <v>5.12</v>
      </c>
      <c r="W2638" t="s">
        <v>120</v>
      </c>
      <c r="X2638" t="s">
        <v>1700</v>
      </c>
      <c r="Y2638" t="s">
        <v>158</v>
      </c>
      <c r="Z2638">
        <v>3.32</v>
      </c>
      <c r="AA2638">
        <v>5.17</v>
      </c>
      <c r="AB2638">
        <v>250834</v>
      </c>
      <c r="AC2638">
        <v>309324</v>
      </c>
      <c r="AD2638">
        <v>0.81</v>
      </c>
      <c r="AE2638">
        <v>2539</v>
      </c>
      <c r="AF2638">
        <v>1675</v>
      </c>
      <c r="AG2638" t="s">
        <v>120</v>
      </c>
      <c r="AH2638">
        <v>0.02</v>
      </c>
      <c r="AI2638" t="s">
        <v>120</v>
      </c>
      <c r="AJ2638">
        <v>10.19</v>
      </c>
      <c r="AK2638" t="s">
        <v>11962</v>
      </c>
      <c r="AL2638">
        <v>1.73</v>
      </c>
      <c r="AM2638">
        <v>3961</v>
      </c>
      <c r="AN2638">
        <v>141</v>
      </c>
      <c r="AO2638">
        <v>1.4E-3</v>
      </c>
      <c r="AP2638">
        <v>2</v>
      </c>
      <c r="AQ2638">
        <v>3.43</v>
      </c>
      <c r="AR2638">
        <v>0.98</v>
      </c>
      <c r="AS2638">
        <v>5.98</v>
      </c>
      <c r="AT2638">
        <v>15.51</v>
      </c>
      <c r="AU2638">
        <v>-12.88</v>
      </c>
      <c r="AV2638">
        <v>4</v>
      </c>
      <c r="AW2638">
        <v>9.16</v>
      </c>
      <c r="AX2638">
        <v>56.5</v>
      </c>
      <c r="AY2638">
        <v>169.65</v>
      </c>
      <c r="AZ2638">
        <v>204.5</v>
      </c>
      <c r="BA2638">
        <v>0.04</v>
      </c>
      <c r="BB2638" t="s">
        <v>168</v>
      </c>
      <c r="BF2638">
        <v>1.05</v>
      </c>
      <c r="BG2638">
        <v>0.39</v>
      </c>
      <c r="BH2638">
        <v>-2.1</v>
      </c>
      <c r="BI2638">
        <v>1.18</v>
      </c>
      <c r="BJ2638">
        <v>20210830</v>
      </c>
      <c r="BK2638">
        <v>20010119</v>
      </c>
      <c r="BL2638">
        <v>10.82</v>
      </c>
      <c r="BM2638" t="s">
        <v>120</v>
      </c>
      <c r="BN2638" t="s">
        <v>120</v>
      </c>
      <c r="BO2638">
        <v>30.82</v>
      </c>
      <c r="BP2638">
        <v>5.13</v>
      </c>
      <c r="BQ2638">
        <v>14.64</v>
      </c>
      <c r="BR2638">
        <v>6.85</v>
      </c>
      <c r="BS2638">
        <v>30.26</v>
      </c>
      <c r="BT2638">
        <v>18.98</v>
      </c>
      <c r="BU2638">
        <v>5.87</v>
      </c>
      <c r="BV2638">
        <v>3.01</v>
      </c>
      <c r="BW2638">
        <v>8.08</v>
      </c>
      <c r="BX2638">
        <v>4.47</v>
      </c>
      <c r="BY2638">
        <v>3.56</v>
      </c>
      <c r="BZ2638">
        <v>2.35</v>
      </c>
      <c r="CA2638">
        <v>0.01</v>
      </c>
      <c r="CB2638">
        <v>4.2</v>
      </c>
      <c r="CC2638">
        <v>20.54</v>
      </c>
      <c r="CD2638">
        <v>19.72</v>
      </c>
      <c r="CE2638">
        <v>-0.08</v>
      </c>
      <c r="CF2638">
        <v>0.02</v>
      </c>
      <c r="CG2638">
        <v>-7.0000000000000007E-2</v>
      </c>
      <c r="CH2638">
        <v>-0.12</v>
      </c>
      <c r="CI2638">
        <v>-0.04</v>
      </c>
      <c r="CJ2638">
        <v>0.02</v>
      </c>
      <c r="CK2638">
        <v>-0.11</v>
      </c>
      <c r="CL2638">
        <v>-0.53</v>
      </c>
      <c r="CM2638">
        <v>-1.68</v>
      </c>
      <c r="CN2638">
        <v>-3.37</v>
      </c>
      <c r="CO2638">
        <v>102241</v>
      </c>
      <c r="CP2638">
        <v>5980</v>
      </c>
      <c r="CQ2638" t="s">
        <v>10911</v>
      </c>
      <c r="CR2638">
        <v>61.32</v>
      </c>
      <c r="CS2638">
        <v>63.64</v>
      </c>
      <c r="CT2638">
        <v>3.8</v>
      </c>
      <c r="CU2638">
        <v>-33.03</v>
      </c>
      <c r="CV2638">
        <v>2.71</v>
      </c>
      <c r="CW2638">
        <v>0</v>
      </c>
      <c r="CX2638" t="s">
        <v>9499</v>
      </c>
      <c r="CY2638">
        <v>1.35</v>
      </c>
      <c r="CZ2638">
        <v>0</v>
      </c>
      <c r="DA2638">
        <v>0.39</v>
      </c>
      <c r="DB2638">
        <v>-0.05</v>
      </c>
      <c r="DC2638">
        <v>-0.16</v>
      </c>
      <c r="DD2638">
        <v>47.51</v>
      </c>
      <c r="DE2638" t="s">
        <v>7669</v>
      </c>
      <c r="DF2638">
        <v>3.99</v>
      </c>
      <c r="DG2638">
        <v>-0.38</v>
      </c>
      <c r="DH2638">
        <v>-0.17</v>
      </c>
      <c r="DI2638">
        <v>0.16</v>
      </c>
      <c r="DJ2638">
        <v>1070</v>
      </c>
      <c r="DK2638">
        <v>600313</v>
      </c>
      <c r="DL2638" t="s">
        <v>120</v>
      </c>
      <c r="DM2638" t="s">
        <v>120</v>
      </c>
      <c r="DN2638" t="s">
        <v>120</v>
      </c>
    </row>
    <row r="2639" spans="1:118">
      <c r="A2639" t="str">
        <f>"600315"</f>
        <v>600315</v>
      </c>
      <c r="B2639" t="s">
        <v>11963</v>
      </c>
      <c r="C2639">
        <v>-0.43</v>
      </c>
      <c r="D2639">
        <v>-0.15</v>
      </c>
      <c r="E2639">
        <v>-7.0000000000000007E-2</v>
      </c>
      <c r="F2639">
        <v>543</v>
      </c>
      <c r="G2639" t="s">
        <v>11964</v>
      </c>
      <c r="H2639">
        <v>13318.1</v>
      </c>
      <c r="I2639">
        <v>20.96</v>
      </c>
      <c r="J2639" t="s">
        <v>120</v>
      </c>
      <c r="K2639" t="s">
        <v>11965</v>
      </c>
      <c r="L2639">
        <v>0.45</v>
      </c>
      <c r="M2639">
        <v>43.51</v>
      </c>
      <c r="N2639">
        <v>0.67</v>
      </c>
      <c r="O2639">
        <v>1.08</v>
      </c>
      <c r="P2639">
        <v>44.17</v>
      </c>
      <c r="Q2639">
        <v>-0.69</v>
      </c>
      <c r="R2639">
        <v>43.4</v>
      </c>
      <c r="S2639">
        <v>43.67</v>
      </c>
      <c r="T2639">
        <v>30411</v>
      </c>
      <c r="U2639">
        <v>43.54</v>
      </c>
      <c r="V2639">
        <v>43.7</v>
      </c>
      <c r="W2639">
        <v>51.72</v>
      </c>
      <c r="X2639" t="s">
        <v>1817</v>
      </c>
      <c r="Y2639" t="s">
        <v>1510</v>
      </c>
      <c r="Z2639">
        <v>1.76</v>
      </c>
      <c r="AA2639">
        <v>43.79</v>
      </c>
      <c r="AB2639">
        <v>15880</v>
      </c>
      <c r="AC2639">
        <v>14531</v>
      </c>
      <c r="AD2639">
        <v>1.0900000000000001</v>
      </c>
      <c r="AE2639">
        <v>54</v>
      </c>
      <c r="AF2639">
        <v>10</v>
      </c>
      <c r="AG2639" t="s">
        <v>120</v>
      </c>
      <c r="AH2639">
        <v>0</v>
      </c>
      <c r="AI2639" t="s">
        <v>120</v>
      </c>
      <c r="AJ2639">
        <v>6.71</v>
      </c>
      <c r="AK2639" t="s">
        <v>11966</v>
      </c>
      <c r="AL2639">
        <v>0.91</v>
      </c>
      <c r="AM2639">
        <v>2865</v>
      </c>
      <c r="AN2639">
        <v>11</v>
      </c>
      <c r="AO2639">
        <v>2.0000000000000001E-4</v>
      </c>
      <c r="AP2639">
        <v>-1</v>
      </c>
      <c r="AQ2639">
        <v>0.6</v>
      </c>
      <c r="AR2639">
        <v>-2.27</v>
      </c>
      <c r="AS2639">
        <v>-14.82</v>
      </c>
      <c r="AT2639">
        <v>-18.53</v>
      </c>
      <c r="AU2639">
        <v>26</v>
      </c>
      <c r="AV2639">
        <v>5</v>
      </c>
      <c r="AW2639">
        <v>0.93</v>
      </c>
      <c r="AX2639">
        <v>48.01</v>
      </c>
      <c r="AY2639">
        <v>55.76</v>
      </c>
      <c r="AZ2639">
        <v>69.040000000000006</v>
      </c>
      <c r="BA2639">
        <v>1.25</v>
      </c>
      <c r="BB2639" t="s">
        <v>143</v>
      </c>
      <c r="BF2639">
        <v>0.21</v>
      </c>
      <c r="BG2639">
        <v>-0.37</v>
      </c>
      <c r="BH2639">
        <v>-1.49</v>
      </c>
      <c r="BI2639">
        <v>0.25</v>
      </c>
      <c r="BJ2639">
        <v>20210825</v>
      </c>
      <c r="BK2639">
        <v>20010315</v>
      </c>
      <c r="BL2639">
        <v>6.8</v>
      </c>
      <c r="BM2639" t="s">
        <v>120</v>
      </c>
      <c r="BN2639" t="s">
        <v>120</v>
      </c>
      <c r="BO2639">
        <v>122.13</v>
      </c>
      <c r="BP2639">
        <v>43.51</v>
      </c>
      <c r="BQ2639">
        <v>66.75</v>
      </c>
      <c r="BR2639" t="s">
        <v>120</v>
      </c>
      <c r="BS2639">
        <v>45.34</v>
      </c>
      <c r="BT2639">
        <v>69.33</v>
      </c>
      <c r="BU2639">
        <v>9.7200000000000006</v>
      </c>
      <c r="BV2639">
        <v>8</v>
      </c>
      <c r="BW2639">
        <v>35.869999999999997</v>
      </c>
      <c r="BX2639">
        <v>20.22</v>
      </c>
      <c r="BY2639">
        <v>8.75</v>
      </c>
      <c r="BZ2639">
        <v>12.85</v>
      </c>
      <c r="CA2639" t="s">
        <v>120</v>
      </c>
      <c r="CB2639">
        <v>10.08</v>
      </c>
      <c r="CC2639">
        <v>42.1</v>
      </c>
      <c r="CD2639">
        <v>15.05</v>
      </c>
      <c r="CE2639">
        <v>3.43</v>
      </c>
      <c r="CF2639">
        <v>1.06</v>
      </c>
      <c r="CG2639">
        <v>3.46</v>
      </c>
      <c r="CH2639">
        <v>2.86</v>
      </c>
      <c r="CI2639">
        <v>2.86</v>
      </c>
      <c r="CJ2639">
        <v>-0.19</v>
      </c>
      <c r="CK2639">
        <v>3.32</v>
      </c>
      <c r="CL2639">
        <v>47.29</v>
      </c>
      <c r="CM2639">
        <v>6.64</v>
      </c>
      <c r="CN2639">
        <v>7.9</v>
      </c>
      <c r="CO2639">
        <v>21930</v>
      </c>
      <c r="CP2639">
        <v>14880</v>
      </c>
      <c r="CQ2639" t="s">
        <v>11967</v>
      </c>
      <c r="CR2639">
        <v>55.84</v>
      </c>
      <c r="CS2639">
        <v>14.26</v>
      </c>
      <c r="CT2639">
        <v>4.42</v>
      </c>
      <c r="CU2639">
        <v>44.55</v>
      </c>
      <c r="CV2639">
        <v>7.02</v>
      </c>
      <c r="CW2639">
        <v>0.46</v>
      </c>
      <c r="CX2639" t="s">
        <v>1327</v>
      </c>
      <c r="CY2639">
        <v>9.85</v>
      </c>
      <c r="CZ2639">
        <v>9.85</v>
      </c>
      <c r="DA2639">
        <v>1.48</v>
      </c>
      <c r="DB2639">
        <v>6.96</v>
      </c>
      <c r="DC2639">
        <v>0.98</v>
      </c>
      <c r="DD2639">
        <v>54.66</v>
      </c>
      <c r="DE2639" t="s">
        <v>5343</v>
      </c>
      <c r="DF2639">
        <v>64.260000000000005</v>
      </c>
      <c r="DG2639">
        <v>8.16</v>
      </c>
      <c r="DH2639">
        <v>6.79</v>
      </c>
      <c r="DI2639">
        <v>0.79</v>
      </c>
      <c r="DJ2639">
        <v>5501</v>
      </c>
      <c r="DK2639">
        <v>600315</v>
      </c>
      <c r="DL2639" t="s">
        <v>120</v>
      </c>
      <c r="DM2639" t="s">
        <v>120</v>
      </c>
      <c r="DN2639" t="s">
        <v>120</v>
      </c>
    </row>
    <row r="2640" spans="1:118">
      <c r="A2640" t="str">
        <f>"600316"</f>
        <v>600316</v>
      </c>
      <c r="B2640" t="s">
        <v>11968</v>
      </c>
      <c r="C2640">
        <v>-5.89</v>
      </c>
      <c r="D2640">
        <v>0</v>
      </c>
      <c r="E2640">
        <v>-0.23</v>
      </c>
      <c r="F2640">
        <v>3362</v>
      </c>
      <c r="G2640" t="s">
        <v>11969</v>
      </c>
      <c r="H2640">
        <v>93649.84</v>
      </c>
      <c r="I2640">
        <v>119</v>
      </c>
      <c r="J2640" t="s">
        <v>120</v>
      </c>
      <c r="K2640" t="s">
        <v>3200</v>
      </c>
      <c r="L2640">
        <v>3.16</v>
      </c>
      <c r="M2640">
        <v>40.090000000000003</v>
      </c>
      <c r="N2640">
        <v>1.1100000000000001</v>
      </c>
      <c r="O2640">
        <v>0.82</v>
      </c>
      <c r="P2640">
        <v>42.95</v>
      </c>
      <c r="Q2640">
        <v>-5.92</v>
      </c>
      <c r="R2640">
        <v>40.08</v>
      </c>
      <c r="S2640">
        <v>42.5</v>
      </c>
      <c r="T2640">
        <v>226306</v>
      </c>
      <c r="U2640">
        <v>40.1</v>
      </c>
      <c r="V2640">
        <v>42.6</v>
      </c>
      <c r="W2640">
        <v>248.76</v>
      </c>
      <c r="X2640" t="s">
        <v>1621</v>
      </c>
      <c r="Y2640" t="s">
        <v>676</v>
      </c>
      <c r="Z2640">
        <v>6.74</v>
      </c>
      <c r="AA2640">
        <v>41.38</v>
      </c>
      <c r="AB2640">
        <v>118875</v>
      </c>
      <c r="AC2640">
        <v>107431</v>
      </c>
      <c r="AD2640">
        <v>1.1100000000000001</v>
      </c>
      <c r="AE2640">
        <v>237</v>
      </c>
      <c r="AF2640">
        <v>169</v>
      </c>
      <c r="AG2640" t="s">
        <v>120</v>
      </c>
      <c r="AH2640">
        <v>0.01</v>
      </c>
      <c r="AI2640" t="s">
        <v>120</v>
      </c>
      <c r="AJ2640">
        <v>7.17</v>
      </c>
      <c r="AK2640" t="s">
        <v>3200</v>
      </c>
      <c r="AL2640">
        <v>-4.55</v>
      </c>
      <c r="AM2640">
        <v>4522</v>
      </c>
      <c r="AN2640">
        <v>50</v>
      </c>
      <c r="AO2640">
        <v>6.9999999999999999E-4</v>
      </c>
      <c r="AP2640">
        <v>-2</v>
      </c>
      <c r="AQ2640">
        <v>-1.02</v>
      </c>
      <c r="AR2640">
        <v>-6.77</v>
      </c>
      <c r="AS2640">
        <v>-16.27</v>
      </c>
      <c r="AT2640">
        <v>2.68</v>
      </c>
      <c r="AU2640">
        <v>-29.44</v>
      </c>
      <c r="AV2640">
        <v>13</v>
      </c>
      <c r="AW2640">
        <v>6.05</v>
      </c>
      <c r="AX2640">
        <v>52.15</v>
      </c>
      <c r="AY2640">
        <v>169.1</v>
      </c>
      <c r="AZ2640">
        <v>230.37</v>
      </c>
      <c r="BA2640">
        <v>0.79</v>
      </c>
      <c r="BB2640" t="s">
        <v>134</v>
      </c>
      <c r="BF2640">
        <v>-2.86</v>
      </c>
      <c r="BG2640">
        <v>-5.67</v>
      </c>
      <c r="BH2640">
        <v>-6.66</v>
      </c>
      <c r="BI2640">
        <v>0.02</v>
      </c>
      <c r="BJ2640">
        <v>20210828</v>
      </c>
      <c r="BK2640">
        <v>20001215</v>
      </c>
      <c r="BL2640">
        <v>7.17</v>
      </c>
      <c r="BM2640" t="s">
        <v>120</v>
      </c>
      <c r="BN2640" t="s">
        <v>120</v>
      </c>
      <c r="BO2640">
        <v>148.31</v>
      </c>
      <c r="BP2640">
        <v>40.090000000000003</v>
      </c>
      <c r="BQ2640">
        <v>51.35</v>
      </c>
      <c r="BR2640">
        <v>0.01</v>
      </c>
      <c r="BS2640">
        <v>65.37</v>
      </c>
      <c r="BT2640">
        <v>128.63</v>
      </c>
      <c r="BU2640">
        <v>10.73</v>
      </c>
      <c r="BV2640">
        <v>1.05</v>
      </c>
      <c r="BW2640">
        <v>96.45</v>
      </c>
      <c r="BX2640">
        <v>6.62</v>
      </c>
      <c r="BY2640">
        <v>35.799999999999997</v>
      </c>
      <c r="BZ2640">
        <v>24.1</v>
      </c>
      <c r="CA2640" t="s">
        <v>120</v>
      </c>
      <c r="CB2640">
        <v>31.47</v>
      </c>
      <c r="CC2640">
        <v>26.91</v>
      </c>
      <c r="CD2640">
        <v>26.28</v>
      </c>
      <c r="CE2640">
        <v>0.76</v>
      </c>
      <c r="CF2640">
        <v>0.14000000000000001</v>
      </c>
      <c r="CG2640">
        <v>0.73</v>
      </c>
      <c r="CH2640">
        <v>0.57999999999999996</v>
      </c>
      <c r="CI2640">
        <v>0.57999999999999996</v>
      </c>
      <c r="CJ2640">
        <v>-2.5099999999999998</v>
      </c>
      <c r="CK2640">
        <v>0.11</v>
      </c>
      <c r="CL2640">
        <v>10.7</v>
      </c>
      <c r="CM2640">
        <v>-0.1</v>
      </c>
      <c r="CN2640">
        <v>-5.23</v>
      </c>
      <c r="CO2640">
        <v>109661</v>
      </c>
      <c r="CP2640">
        <v>3410</v>
      </c>
      <c r="CQ2640" t="s">
        <v>7603</v>
      </c>
      <c r="CR2640">
        <v>493.24</v>
      </c>
      <c r="CS2640">
        <v>21.35</v>
      </c>
      <c r="CT2640">
        <v>5.6</v>
      </c>
      <c r="CU2640">
        <v>-2951.78</v>
      </c>
      <c r="CV2640">
        <v>10.68</v>
      </c>
      <c r="CW2640">
        <v>0.13</v>
      </c>
      <c r="CX2640" t="s">
        <v>11970</v>
      </c>
      <c r="CY2640">
        <v>7.16</v>
      </c>
      <c r="CZ2640">
        <v>0</v>
      </c>
      <c r="DA2640">
        <v>4.3899999999999997</v>
      </c>
      <c r="DB2640">
        <v>1.49</v>
      </c>
      <c r="DC2640">
        <v>-0.01</v>
      </c>
      <c r="DD2640">
        <v>34.630000000000003</v>
      </c>
      <c r="DE2640" t="s">
        <v>11971</v>
      </c>
      <c r="DF2640">
        <v>2.34</v>
      </c>
      <c r="DG2640">
        <v>2.81</v>
      </c>
      <c r="DH2640">
        <v>2.15</v>
      </c>
      <c r="DI2640">
        <v>0.24</v>
      </c>
      <c r="DJ2640">
        <v>2301</v>
      </c>
      <c r="DK2640">
        <v>600316</v>
      </c>
      <c r="DL2640">
        <v>20210901</v>
      </c>
      <c r="DM2640">
        <v>48.48</v>
      </c>
      <c r="DN2640">
        <v>-17.309999999999999</v>
      </c>
    </row>
    <row r="2641" spans="1:118">
      <c r="A2641" t="str">
        <f>"600318"</f>
        <v>600318</v>
      </c>
      <c r="B2641" t="s">
        <v>11972</v>
      </c>
      <c r="C2641">
        <v>-2.2799999999999998</v>
      </c>
      <c r="D2641">
        <v>-0.14000000000000001</v>
      </c>
      <c r="E2641">
        <v>0</v>
      </c>
      <c r="F2641">
        <v>1423</v>
      </c>
      <c r="G2641" t="s">
        <v>3209</v>
      </c>
      <c r="H2641">
        <v>6610.05</v>
      </c>
      <c r="I2641">
        <v>7.36</v>
      </c>
      <c r="J2641" t="s">
        <v>120</v>
      </c>
      <c r="K2641" t="s">
        <v>5764</v>
      </c>
      <c r="L2641">
        <v>1.86</v>
      </c>
      <c r="M2641">
        <v>6.85</v>
      </c>
      <c r="N2641">
        <v>0.85</v>
      </c>
      <c r="O2641">
        <v>0.56999999999999995</v>
      </c>
      <c r="P2641">
        <v>7.05</v>
      </c>
      <c r="Q2641">
        <v>-2.71</v>
      </c>
      <c r="R2641">
        <v>6.82</v>
      </c>
      <c r="S2641">
        <v>7.01</v>
      </c>
      <c r="T2641">
        <v>95336</v>
      </c>
      <c r="U2641">
        <v>6.86</v>
      </c>
      <c r="V2641">
        <v>7.01</v>
      </c>
      <c r="W2641">
        <v>1712.43</v>
      </c>
      <c r="X2641" t="s">
        <v>721</v>
      </c>
      <c r="Y2641" t="s">
        <v>570</v>
      </c>
      <c r="Z2641">
        <v>3.28</v>
      </c>
      <c r="AA2641">
        <v>6.93</v>
      </c>
      <c r="AB2641">
        <v>54103</v>
      </c>
      <c r="AC2641">
        <v>41233</v>
      </c>
      <c r="AD2641">
        <v>1.31</v>
      </c>
      <c r="AE2641">
        <v>198</v>
      </c>
      <c r="AF2641">
        <v>350</v>
      </c>
      <c r="AG2641" t="s">
        <v>120</v>
      </c>
      <c r="AH2641">
        <v>0</v>
      </c>
      <c r="AI2641" t="s">
        <v>120</v>
      </c>
      <c r="AJ2641">
        <v>5.12</v>
      </c>
      <c r="AK2641" t="s">
        <v>6521</v>
      </c>
      <c r="AL2641">
        <v>-0.94</v>
      </c>
      <c r="AM2641">
        <v>2181</v>
      </c>
      <c r="AN2641">
        <v>44</v>
      </c>
      <c r="AO2641">
        <v>8.9999999999999998E-4</v>
      </c>
      <c r="AP2641">
        <v>-1</v>
      </c>
      <c r="AQ2641">
        <v>0.28999999999999998</v>
      </c>
      <c r="AR2641">
        <v>-5.13</v>
      </c>
      <c r="AS2641">
        <v>-3.11</v>
      </c>
      <c r="AT2641">
        <v>-11.72</v>
      </c>
      <c r="AU2641">
        <v>-33.1</v>
      </c>
      <c r="AV2641">
        <v>4</v>
      </c>
      <c r="AW2641">
        <v>2.65</v>
      </c>
      <c r="AX2641">
        <v>70.11</v>
      </c>
      <c r="AY2641" t="s">
        <v>120</v>
      </c>
      <c r="AZ2641" t="s">
        <v>120</v>
      </c>
      <c r="BA2641">
        <v>1.45</v>
      </c>
      <c r="BB2641" t="s">
        <v>143</v>
      </c>
      <c r="BF2641">
        <v>-1.0900000000000001</v>
      </c>
      <c r="BG2641">
        <v>-2.2799999999999998</v>
      </c>
      <c r="BH2641">
        <v>-2.84</v>
      </c>
      <c r="BI2641">
        <v>0.44</v>
      </c>
      <c r="BJ2641">
        <v>20210830</v>
      </c>
      <c r="BK2641">
        <v>20001208</v>
      </c>
      <c r="BL2641">
        <v>5.13</v>
      </c>
      <c r="BM2641" t="s">
        <v>120</v>
      </c>
      <c r="BN2641" t="s">
        <v>120</v>
      </c>
      <c r="BO2641">
        <v>52.41</v>
      </c>
      <c r="BP2641">
        <v>6.85</v>
      </c>
      <c r="BQ2641">
        <v>14.2</v>
      </c>
      <c r="BR2641">
        <v>11.96</v>
      </c>
      <c r="BS2641">
        <v>50.08</v>
      </c>
      <c r="BT2641">
        <v>18.850000000000001</v>
      </c>
      <c r="BU2641">
        <v>0.26</v>
      </c>
      <c r="BV2641">
        <v>0.08</v>
      </c>
      <c r="BW2641">
        <v>16.489999999999998</v>
      </c>
      <c r="BX2641">
        <v>2.98</v>
      </c>
      <c r="BY2641">
        <v>0</v>
      </c>
      <c r="BZ2641">
        <v>0.2</v>
      </c>
      <c r="CA2641" t="s">
        <v>120</v>
      </c>
      <c r="CB2641">
        <v>4.95</v>
      </c>
      <c r="CC2641">
        <v>2.12</v>
      </c>
      <c r="CD2641">
        <v>0.43</v>
      </c>
      <c r="CE2641">
        <v>0.72</v>
      </c>
      <c r="CF2641">
        <v>0.08</v>
      </c>
      <c r="CG2641">
        <v>0.72</v>
      </c>
      <c r="CH2641">
        <v>0.38</v>
      </c>
      <c r="CI2641">
        <v>0.01</v>
      </c>
      <c r="CJ2641">
        <v>-0.16</v>
      </c>
      <c r="CK2641">
        <v>0.02</v>
      </c>
      <c r="CL2641">
        <v>3.03</v>
      </c>
      <c r="CM2641">
        <v>0.11</v>
      </c>
      <c r="CN2641">
        <v>-1.1000000000000001</v>
      </c>
      <c r="CO2641">
        <v>50325</v>
      </c>
      <c r="CP2641">
        <v>7143</v>
      </c>
      <c r="CQ2641" t="s">
        <v>5518</v>
      </c>
      <c r="CR2641">
        <v>-86.22</v>
      </c>
      <c r="CS2641">
        <v>-8.9700000000000006</v>
      </c>
      <c r="CT2641">
        <v>2.4700000000000002</v>
      </c>
      <c r="CU2641">
        <v>332.67</v>
      </c>
      <c r="CV2641">
        <v>16.55</v>
      </c>
      <c r="CW2641">
        <v>0</v>
      </c>
      <c r="CX2641" t="s">
        <v>216</v>
      </c>
      <c r="CY2641">
        <v>2.77</v>
      </c>
      <c r="CZ2641">
        <v>0</v>
      </c>
      <c r="DA2641">
        <v>0.97</v>
      </c>
      <c r="DB2641">
        <v>0.59</v>
      </c>
      <c r="DC2641">
        <v>0.02</v>
      </c>
      <c r="DD2641">
        <v>27.09</v>
      </c>
      <c r="DE2641" t="s">
        <v>335</v>
      </c>
      <c r="DF2641">
        <v>79.53</v>
      </c>
      <c r="DG2641">
        <v>33.99</v>
      </c>
      <c r="DH2641">
        <v>0.48</v>
      </c>
      <c r="DI2641">
        <v>0.03</v>
      </c>
      <c r="DJ2641">
        <v>246</v>
      </c>
      <c r="DK2641">
        <v>600318</v>
      </c>
      <c r="DL2641" t="s">
        <v>120</v>
      </c>
      <c r="DM2641" t="s">
        <v>120</v>
      </c>
      <c r="DN2641" t="s">
        <v>120</v>
      </c>
    </row>
    <row r="2642" spans="1:118">
      <c r="A2642" t="str">
        <f>"600320"</f>
        <v>600320</v>
      </c>
      <c r="B2642" t="s">
        <v>11973</v>
      </c>
      <c r="C2642">
        <v>0.23</v>
      </c>
      <c r="D2642">
        <v>0</v>
      </c>
      <c r="E2642">
        <v>0.45</v>
      </c>
      <c r="F2642">
        <v>8762</v>
      </c>
      <c r="G2642" t="s">
        <v>11974</v>
      </c>
      <c r="H2642">
        <v>41657.160000000003</v>
      </c>
      <c r="I2642">
        <v>307.07</v>
      </c>
      <c r="J2642" t="s">
        <v>120</v>
      </c>
      <c r="K2642" t="s">
        <v>11975</v>
      </c>
      <c r="L2642">
        <v>2.75</v>
      </c>
      <c r="M2642">
        <v>4.45</v>
      </c>
      <c r="N2642">
        <v>1.31</v>
      </c>
      <c r="O2642">
        <v>6.53</v>
      </c>
      <c r="P2642">
        <v>4.7300000000000004</v>
      </c>
      <c r="Q2642">
        <v>-0.68</v>
      </c>
      <c r="R2642">
        <v>4.41</v>
      </c>
      <c r="S2642">
        <v>4.46</v>
      </c>
      <c r="T2642">
        <v>912307</v>
      </c>
      <c r="U2642">
        <v>4.46</v>
      </c>
      <c r="V2642">
        <v>4.4400000000000004</v>
      </c>
      <c r="W2642">
        <v>136.65</v>
      </c>
      <c r="X2642" t="s">
        <v>593</v>
      </c>
      <c r="Y2642" t="s">
        <v>1510</v>
      </c>
      <c r="Z2642">
        <v>7.21</v>
      </c>
      <c r="AA2642">
        <v>4.57</v>
      </c>
      <c r="AB2642">
        <v>441488</v>
      </c>
      <c r="AC2642">
        <v>470819</v>
      </c>
      <c r="AD2642">
        <v>0.94</v>
      </c>
      <c r="AE2642">
        <v>3804</v>
      </c>
      <c r="AF2642">
        <v>5205</v>
      </c>
      <c r="AG2642" t="s">
        <v>120</v>
      </c>
      <c r="AH2642">
        <v>0.04</v>
      </c>
      <c r="AI2642" t="s">
        <v>120</v>
      </c>
      <c r="AJ2642">
        <v>33.22</v>
      </c>
      <c r="AK2642" t="s">
        <v>11976</v>
      </c>
      <c r="AL2642">
        <v>1.57</v>
      </c>
      <c r="AM2642">
        <v>4253</v>
      </c>
      <c r="AN2642">
        <v>215</v>
      </c>
      <c r="AO2642">
        <v>5.9999999999999995E-4</v>
      </c>
      <c r="AP2642">
        <v>2</v>
      </c>
      <c r="AQ2642">
        <v>2.0699999999999998</v>
      </c>
      <c r="AR2642">
        <v>-0.89</v>
      </c>
      <c r="AS2642">
        <v>28.99</v>
      </c>
      <c r="AT2642">
        <v>36.93</v>
      </c>
      <c r="AU2642">
        <v>25</v>
      </c>
      <c r="AV2642">
        <v>5</v>
      </c>
      <c r="AW2642">
        <v>5.0599999999999996</v>
      </c>
      <c r="AX2642">
        <v>34.229999999999997</v>
      </c>
      <c r="AY2642">
        <v>47.6</v>
      </c>
      <c r="AZ2642">
        <v>55.4</v>
      </c>
      <c r="BA2642">
        <v>0.25</v>
      </c>
      <c r="BB2642" t="s">
        <v>168</v>
      </c>
      <c r="BF2642">
        <v>2.84</v>
      </c>
      <c r="BG2642">
        <v>-0.22</v>
      </c>
      <c r="BH2642">
        <v>-5.92</v>
      </c>
      <c r="BI2642">
        <v>0.91</v>
      </c>
      <c r="BJ2642">
        <v>20210831</v>
      </c>
      <c r="BK2642">
        <v>20001221</v>
      </c>
      <c r="BL2642">
        <v>52.68</v>
      </c>
      <c r="BM2642">
        <v>19.46</v>
      </c>
      <c r="BN2642" t="s">
        <v>120</v>
      </c>
      <c r="BO2642">
        <v>806.34</v>
      </c>
      <c r="BP2642">
        <v>4.45</v>
      </c>
      <c r="BQ2642">
        <v>146.72999999999999</v>
      </c>
      <c r="BR2642" t="s">
        <v>120</v>
      </c>
      <c r="BS2642">
        <v>81.8</v>
      </c>
      <c r="BT2642">
        <v>416.61</v>
      </c>
      <c r="BU2642">
        <v>194.91</v>
      </c>
      <c r="BV2642">
        <v>35.46</v>
      </c>
      <c r="BW2642">
        <v>361.19</v>
      </c>
      <c r="BX2642">
        <v>19.329999999999998</v>
      </c>
      <c r="BY2642">
        <v>243.44</v>
      </c>
      <c r="BZ2642">
        <v>75.37</v>
      </c>
      <c r="CA2642" t="s">
        <v>120</v>
      </c>
      <c r="CB2642">
        <v>48.43</v>
      </c>
      <c r="CC2642">
        <v>102.29</v>
      </c>
      <c r="CD2642">
        <v>93.62</v>
      </c>
      <c r="CE2642">
        <v>1.02</v>
      </c>
      <c r="CF2642">
        <v>9.86</v>
      </c>
      <c r="CG2642">
        <v>1.1000000000000001</v>
      </c>
      <c r="CH2642">
        <v>0.87</v>
      </c>
      <c r="CI2642">
        <v>0.86</v>
      </c>
      <c r="CJ2642">
        <v>0.01</v>
      </c>
      <c r="CK2642">
        <v>-3.87</v>
      </c>
      <c r="CL2642">
        <v>24.63</v>
      </c>
      <c r="CM2642">
        <v>-4.96</v>
      </c>
      <c r="CN2642">
        <v>-9.91</v>
      </c>
      <c r="CO2642">
        <v>228274</v>
      </c>
      <c r="CP2642">
        <v>16426</v>
      </c>
      <c r="CQ2642" t="s">
        <v>1630</v>
      </c>
      <c r="CR2642">
        <v>415.53</v>
      </c>
      <c r="CS2642">
        <v>12.02</v>
      </c>
      <c r="CT2642">
        <v>1.65</v>
      </c>
      <c r="CU2642">
        <v>-47.23</v>
      </c>
      <c r="CV2642">
        <v>2.29</v>
      </c>
      <c r="CW2642">
        <v>0</v>
      </c>
      <c r="CX2642" t="s">
        <v>178</v>
      </c>
      <c r="CY2642">
        <v>2.69</v>
      </c>
      <c r="CZ2642">
        <v>2.69</v>
      </c>
      <c r="DA2642">
        <v>0.92</v>
      </c>
      <c r="DB2642">
        <v>0.47</v>
      </c>
      <c r="DC2642">
        <v>-0.09</v>
      </c>
      <c r="DD2642">
        <v>18.2</v>
      </c>
      <c r="DE2642" t="s">
        <v>5046</v>
      </c>
      <c r="DF2642">
        <v>8.48</v>
      </c>
      <c r="DG2642">
        <v>1</v>
      </c>
      <c r="DH2642">
        <v>0.84</v>
      </c>
      <c r="DI2642">
        <v>3.08</v>
      </c>
      <c r="DJ2642">
        <v>8702</v>
      </c>
      <c r="DK2642">
        <v>600320</v>
      </c>
      <c r="DL2642">
        <v>20210901</v>
      </c>
      <c r="DM2642">
        <v>4.16</v>
      </c>
      <c r="DN2642">
        <v>6.97</v>
      </c>
    </row>
    <row r="2643" spans="1:118">
      <c r="A2643" t="str">
        <f>"600321"</f>
        <v>600321</v>
      </c>
      <c r="B2643" t="s">
        <v>11977</v>
      </c>
      <c r="C2643">
        <v>-1.83</v>
      </c>
      <c r="D2643">
        <v>0</v>
      </c>
      <c r="E2643">
        <v>0</v>
      </c>
      <c r="F2643">
        <v>1471</v>
      </c>
      <c r="G2643" t="s">
        <v>6387</v>
      </c>
      <c r="H2643">
        <v>3982.8</v>
      </c>
      <c r="I2643">
        <v>24.18</v>
      </c>
      <c r="J2643" t="s">
        <v>120</v>
      </c>
      <c r="K2643" t="s">
        <v>4681</v>
      </c>
      <c r="L2643">
        <v>1.22</v>
      </c>
      <c r="M2643">
        <v>2.14</v>
      </c>
      <c r="N2643">
        <v>0.8</v>
      </c>
      <c r="O2643">
        <v>1.38</v>
      </c>
      <c r="P2643">
        <v>2.21</v>
      </c>
      <c r="Q2643">
        <v>-2.29</v>
      </c>
      <c r="R2643">
        <v>2.13</v>
      </c>
      <c r="S2643">
        <v>2.1800000000000002</v>
      </c>
      <c r="T2643">
        <v>183665</v>
      </c>
      <c r="U2643">
        <v>2.14</v>
      </c>
      <c r="V2643">
        <v>2.1800000000000002</v>
      </c>
      <c r="W2643" t="s">
        <v>120</v>
      </c>
      <c r="X2643" t="s">
        <v>247</v>
      </c>
      <c r="Y2643" t="s">
        <v>578</v>
      </c>
      <c r="Z2643">
        <v>3.67</v>
      </c>
      <c r="AA2643">
        <v>2.17</v>
      </c>
      <c r="AB2643">
        <v>94321</v>
      </c>
      <c r="AC2643">
        <v>89344</v>
      </c>
      <c r="AD2643">
        <v>1.06</v>
      </c>
      <c r="AE2643">
        <v>2948</v>
      </c>
      <c r="AF2643">
        <v>2049</v>
      </c>
      <c r="AG2643" t="s">
        <v>120</v>
      </c>
      <c r="AH2643">
        <v>0.01</v>
      </c>
      <c r="AI2643" t="s">
        <v>120</v>
      </c>
      <c r="AJ2643">
        <v>15.11</v>
      </c>
      <c r="AK2643" t="s">
        <v>4681</v>
      </c>
      <c r="AL2643">
        <v>-0.49</v>
      </c>
      <c r="AM2643">
        <v>1718</v>
      </c>
      <c r="AN2643">
        <v>107</v>
      </c>
      <c r="AO2643">
        <v>6.9999999999999999E-4</v>
      </c>
      <c r="AP2643">
        <v>-1</v>
      </c>
      <c r="AQ2643">
        <v>1.4</v>
      </c>
      <c r="AR2643">
        <v>-3.6</v>
      </c>
      <c r="AS2643">
        <v>8.6300000000000008</v>
      </c>
      <c r="AT2643">
        <v>1.91</v>
      </c>
      <c r="AU2643">
        <v>0.94</v>
      </c>
      <c r="AV2643">
        <v>8</v>
      </c>
      <c r="AW2643">
        <v>2.34</v>
      </c>
      <c r="AX2643">
        <v>51.98</v>
      </c>
      <c r="AY2643" t="s">
        <v>120</v>
      </c>
      <c r="AZ2643" t="s">
        <v>120</v>
      </c>
      <c r="BA2643">
        <v>0.79</v>
      </c>
      <c r="BB2643" t="s">
        <v>143</v>
      </c>
      <c r="BF2643">
        <v>-0.53</v>
      </c>
      <c r="BG2643">
        <v>-1.83</v>
      </c>
      <c r="BH2643">
        <v>-3.17</v>
      </c>
      <c r="BI2643">
        <v>0.47</v>
      </c>
      <c r="BJ2643">
        <v>20210914</v>
      </c>
      <c r="BK2643">
        <v>20010524</v>
      </c>
      <c r="BL2643">
        <v>15.11</v>
      </c>
      <c r="BM2643" t="s">
        <v>120</v>
      </c>
      <c r="BN2643" t="s">
        <v>120</v>
      </c>
      <c r="BO2643">
        <v>49.35</v>
      </c>
      <c r="BP2643">
        <v>2.13</v>
      </c>
      <c r="BQ2643">
        <v>19.11</v>
      </c>
      <c r="BR2643">
        <v>0.12</v>
      </c>
      <c r="BS2643">
        <v>61.02</v>
      </c>
      <c r="BT2643">
        <v>32.299999999999997</v>
      </c>
      <c r="BU2643">
        <v>12.09</v>
      </c>
      <c r="BV2643">
        <v>1.98</v>
      </c>
      <c r="BW2643">
        <v>14.78</v>
      </c>
      <c r="BX2643">
        <v>1.07</v>
      </c>
      <c r="BY2643">
        <v>26.5</v>
      </c>
      <c r="BZ2643">
        <v>3.73</v>
      </c>
      <c r="CA2643">
        <v>0.01</v>
      </c>
      <c r="CB2643">
        <v>10.199999999999999</v>
      </c>
      <c r="CC2643">
        <v>4.91</v>
      </c>
      <c r="CD2643">
        <v>4.4400000000000004</v>
      </c>
      <c r="CE2643">
        <v>-0.12</v>
      </c>
      <c r="CF2643">
        <v>0</v>
      </c>
      <c r="CG2643">
        <v>-0.11</v>
      </c>
      <c r="CH2643">
        <v>-0.14000000000000001</v>
      </c>
      <c r="CI2643">
        <v>-0.14000000000000001</v>
      </c>
      <c r="CJ2643">
        <v>-0.04</v>
      </c>
      <c r="CK2643">
        <v>-0.17</v>
      </c>
      <c r="CL2643">
        <v>-7.16</v>
      </c>
      <c r="CM2643">
        <v>0.92</v>
      </c>
      <c r="CN2643">
        <v>0.44</v>
      </c>
      <c r="CO2643">
        <v>66019</v>
      </c>
      <c r="CP2643">
        <v>11894</v>
      </c>
      <c r="CQ2643" t="s">
        <v>2081</v>
      </c>
      <c r="CR2643">
        <v>87.92</v>
      </c>
      <c r="CS2643">
        <v>62.89</v>
      </c>
      <c r="CT2643">
        <v>1.69</v>
      </c>
      <c r="CU2643">
        <v>34.99</v>
      </c>
      <c r="CV2643">
        <v>6.59</v>
      </c>
      <c r="CW2643">
        <v>0</v>
      </c>
      <c r="CX2643" t="s">
        <v>11978</v>
      </c>
      <c r="CY2643">
        <v>1.27</v>
      </c>
      <c r="CZ2643">
        <v>0</v>
      </c>
      <c r="DA2643">
        <v>0.68</v>
      </c>
      <c r="DB2643">
        <v>-0.47</v>
      </c>
      <c r="DC2643">
        <v>0.06</v>
      </c>
      <c r="DD2643">
        <v>38.729999999999997</v>
      </c>
      <c r="DE2643" t="s">
        <v>11979</v>
      </c>
      <c r="DF2643">
        <v>9.59</v>
      </c>
      <c r="DG2643">
        <v>-2.42</v>
      </c>
      <c r="DH2643">
        <v>-2.81</v>
      </c>
      <c r="DI2643" t="s">
        <v>120</v>
      </c>
      <c r="DJ2643">
        <v>554</v>
      </c>
      <c r="DK2643">
        <v>600321</v>
      </c>
      <c r="DL2643" t="s">
        <v>120</v>
      </c>
      <c r="DM2643" t="s">
        <v>120</v>
      </c>
      <c r="DN2643" t="s">
        <v>120</v>
      </c>
    </row>
    <row r="2644" spans="1:118">
      <c r="A2644" t="str">
        <f>"600322"</f>
        <v>600322</v>
      </c>
      <c r="B2644" t="s">
        <v>11980</v>
      </c>
      <c r="C2644">
        <v>0</v>
      </c>
      <c r="D2644">
        <v>0.52</v>
      </c>
      <c r="E2644">
        <v>0</v>
      </c>
      <c r="F2644">
        <v>1319</v>
      </c>
      <c r="G2644" t="s">
        <v>8953</v>
      </c>
      <c r="H2644">
        <v>3444.7</v>
      </c>
      <c r="I2644">
        <v>24.72</v>
      </c>
      <c r="J2644" t="s">
        <v>120</v>
      </c>
      <c r="K2644" t="s">
        <v>10123</v>
      </c>
      <c r="L2644">
        <v>1.6</v>
      </c>
      <c r="M2644">
        <v>1.93</v>
      </c>
      <c r="N2644">
        <v>1.19</v>
      </c>
      <c r="O2644">
        <v>2.59</v>
      </c>
      <c r="P2644">
        <v>1.98</v>
      </c>
      <c r="Q2644">
        <v>-0.52</v>
      </c>
      <c r="R2644">
        <v>1.92</v>
      </c>
      <c r="S2644">
        <v>1.93</v>
      </c>
      <c r="T2644">
        <v>176408</v>
      </c>
      <c r="U2644">
        <v>1.93</v>
      </c>
      <c r="V2644">
        <v>1.93</v>
      </c>
      <c r="W2644" t="s">
        <v>120</v>
      </c>
      <c r="X2644" t="s">
        <v>150</v>
      </c>
      <c r="Y2644" t="s">
        <v>997</v>
      </c>
      <c r="Z2644">
        <v>3.11</v>
      </c>
      <c r="AA2644">
        <v>1.95</v>
      </c>
      <c r="AB2644">
        <v>89656</v>
      </c>
      <c r="AC2644">
        <v>86752</v>
      </c>
      <c r="AD2644">
        <v>1.03</v>
      </c>
      <c r="AE2644">
        <v>6125</v>
      </c>
      <c r="AF2644">
        <v>844</v>
      </c>
      <c r="AG2644" t="s">
        <v>120</v>
      </c>
      <c r="AH2644">
        <v>0.02</v>
      </c>
      <c r="AI2644" t="s">
        <v>120</v>
      </c>
      <c r="AJ2644">
        <v>11.06</v>
      </c>
      <c r="AK2644" t="s">
        <v>10123</v>
      </c>
      <c r="AL2644">
        <v>1.34</v>
      </c>
      <c r="AM2644">
        <v>1685</v>
      </c>
      <c r="AN2644">
        <v>105</v>
      </c>
      <c r="AO2644">
        <v>8.9999999999999998E-4</v>
      </c>
      <c r="AP2644">
        <v>0</v>
      </c>
      <c r="AQ2644">
        <v>0.52</v>
      </c>
      <c r="AR2644">
        <v>-2.0299999999999998</v>
      </c>
      <c r="AS2644">
        <v>6.63</v>
      </c>
      <c r="AT2644">
        <v>-1.03</v>
      </c>
      <c r="AU2644">
        <v>-17.52</v>
      </c>
      <c r="AV2644">
        <v>0</v>
      </c>
      <c r="AW2644">
        <v>2.2799999999999998</v>
      </c>
      <c r="AX2644">
        <v>70.05</v>
      </c>
      <c r="AY2644" t="s">
        <v>120</v>
      </c>
      <c r="AZ2644" t="s">
        <v>120</v>
      </c>
      <c r="BA2644">
        <v>0.59</v>
      </c>
      <c r="BB2644" t="s">
        <v>143</v>
      </c>
      <c r="BF2644">
        <v>1.18</v>
      </c>
      <c r="BG2644">
        <v>0</v>
      </c>
      <c r="BH2644">
        <v>-2.5299999999999998</v>
      </c>
      <c r="BI2644">
        <v>0.52</v>
      </c>
      <c r="BJ2644">
        <v>20210831</v>
      </c>
      <c r="BK2644">
        <v>20010910</v>
      </c>
      <c r="BL2644">
        <v>11.06</v>
      </c>
      <c r="BM2644" t="s">
        <v>120</v>
      </c>
      <c r="BN2644" t="s">
        <v>120</v>
      </c>
      <c r="BO2644">
        <v>231.86</v>
      </c>
      <c r="BP2644">
        <v>1.92</v>
      </c>
      <c r="BQ2644">
        <v>20.399999999999999</v>
      </c>
      <c r="BR2644">
        <v>4.5</v>
      </c>
      <c r="BS2644">
        <v>89.26</v>
      </c>
      <c r="BT2644">
        <v>208.05</v>
      </c>
      <c r="BU2644">
        <v>0.73</v>
      </c>
      <c r="BV2644">
        <v>0.05</v>
      </c>
      <c r="BW2644">
        <v>144.13</v>
      </c>
      <c r="BX2644">
        <v>5</v>
      </c>
      <c r="BY2644">
        <v>191.39</v>
      </c>
      <c r="BZ2644">
        <v>0</v>
      </c>
      <c r="CA2644">
        <v>0.22</v>
      </c>
      <c r="CB2644">
        <v>22.05</v>
      </c>
      <c r="CC2644">
        <v>4.8600000000000003</v>
      </c>
      <c r="CD2644">
        <v>4.4400000000000004</v>
      </c>
      <c r="CE2644">
        <v>-0.98</v>
      </c>
      <c r="CF2644">
        <v>-0.02</v>
      </c>
      <c r="CG2644">
        <v>-0.98</v>
      </c>
      <c r="CH2644">
        <v>-1.06</v>
      </c>
      <c r="CI2644">
        <v>-0.98</v>
      </c>
      <c r="CJ2644">
        <v>0</v>
      </c>
      <c r="CK2644">
        <v>-0.98</v>
      </c>
      <c r="CL2644">
        <v>-15.74</v>
      </c>
      <c r="CM2644">
        <v>11.62</v>
      </c>
      <c r="CN2644">
        <v>-3.36</v>
      </c>
      <c r="CO2644">
        <v>62283</v>
      </c>
      <c r="CP2644">
        <v>12436</v>
      </c>
      <c r="CQ2644" t="s">
        <v>11981</v>
      </c>
      <c r="CR2644">
        <v>-2387.6</v>
      </c>
      <c r="CS2644">
        <v>-59.73</v>
      </c>
      <c r="CT2644">
        <v>1.05</v>
      </c>
      <c r="CU2644">
        <v>1.84</v>
      </c>
      <c r="CV2644">
        <v>4.3899999999999997</v>
      </c>
      <c r="CW2644">
        <v>0</v>
      </c>
      <c r="CX2644" t="s">
        <v>11982</v>
      </c>
      <c r="CY2644">
        <v>1.85</v>
      </c>
      <c r="CZ2644">
        <v>0</v>
      </c>
      <c r="DA2644">
        <v>1.99</v>
      </c>
      <c r="DB2644">
        <v>-1.42</v>
      </c>
      <c r="DC2644">
        <v>1.05</v>
      </c>
      <c r="DD2644">
        <v>8.8000000000000007</v>
      </c>
      <c r="DE2644" t="s">
        <v>11983</v>
      </c>
      <c r="DF2644">
        <v>8.64</v>
      </c>
      <c r="DG2644">
        <v>-20.25</v>
      </c>
      <c r="DH2644">
        <v>-20.239999999999998</v>
      </c>
      <c r="DI2644" t="s">
        <v>120</v>
      </c>
      <c r="DJ2644">
        <v>562</v>
      </c>
      <c r="DK2644">
        <v>600322</v>
      </c>
      <c r="DL2644" t="s">
        <v>120</v>
      </c>
      <c r="DM2644" t="s">
        <v>120</v>
      </c>
      <c r="DN2644" t="s">
        <v>120</v>
      </c>
    </row>
    <row r="2645" spans="1:118">
      <c r="A2645" t="str">
        <f>"600323"</f>
        <v>600323</v>
      </c>
      <c r="B2645" t="s">
        <v>11984</v>
      </c>
      <c r="C2645">
        <v>-3.64</v>
      </c>
      <c r="D2645">
        <v>0</v>
      </c>
      <c r="E2645">
        <v>0.08</v>
      </c>
      <c r="F2645">
        <v>1527</v>
      </c>
      <c r="G2645" t="s">
        <v>11985</v>
      </c>
      <c r="H2645">
        <v>18741.740000000002</v>
      </c>
      <c r="I2645">
        <v>52.8</v>
      </c>
      <c r="J2645" t="s">
        <v>120</v>
      </c>
      <c r="K2645" t="s">
        <v>11986</v>
      </c>
      <c r="L2645">
        <v>0.98</v>
      </c>
      <c r="M2645">
        <v>23</v>
      </c>
      <c r="N2645">
        <v>0.95</v>
      </c>
      <c r="O2645">
        <v>0.5</v>
      </c>
      <c r="P2645">
        <v>23.99</v>
      </c>
      <c r="Q2645">
        <v>-4.1900000000000004</v>
      </c>
      <c r="R2645">
        <v>22.87</v>
      </c>
      <c r="S2645">
        <v>23.89</v>
      </c>
      <c r="T2645">
        <v>80187</v>
      </c>
      <c r="U2645">
        <v>23</v>
      </c>
      <c r="V2645">
        <v>23.87</v>
      </c>
      <c r="W2645">
        <v>14.95</v>
      </c>
      <c r="X2645" t="s">
        <v>1271</v>
      </c>
      <c r="Y2645" t="s">
        <v>547</v>
      </c>
      <c r="Z2645">
        <v>4.6900000000000004</v>
      </c>
      <c r="AA2645">
        <v>23.37</v>
      </c>
      <c r="AB2645">
        <v>46308</v>
      </c>
      <c r="AC2645">
        <v>33879</v>
      </c>
      <c r="AD2645">
        <v>1.37</v>
      </c>
      <c r="AE2645">
        <v>5</v>
      </c>
      <c r="AF2645">
        <v>150</v>
      </c>
      <c r="AG2645" t="s">
        <v>120</v>
      </c>
      <c r="AH2645">
        <v>0</v>
      </c>
      <c r="AI2645" t="s">
        <v>120</v>
      </c>
      <c r="AJ2645">
        <v>8.15</v>
      </c>
      <c r="AK2645" t="s">
        <v>11986</v>
      </c>
      <c r="AL2645">
        <v>-2.2999999999999998</v>
      </c>
      <c r="AM2645">
        <v>3530</v>
      </c>
      <c r="AN2645">
        <v>23</v>
      </c>
      <c r="AO2645">
        <v>2.9999999999999997E-4</v>
      </c>
      <c r="AP2645">
        <v>-3</v>
      </c>
      <c r="AQ2645">
        <v>-1.4</v>
      </c>
      <c r="AR2645">
        <v>-6.8</v>
      </c>
      <c r="AS2645">
        <v>0.26</v>
      </c>
      <c r="AT2645">
        <v>0.08</v>
      </c>
      <c r="AU2645">
        <v>-6.47</v>
      </c>
      <c r="AV2645">
        <v>0</v>
      </c>
      <c r="AW2645">
        <v>1.79</v>
      </c>
      <c r="AX2645">
        <v>55.08</v>
      </c>
      <c r="AY2645">
        <v>15.91</v>
      </c>
      <c r="AZ2645">
        <v>18.399999999999999</v>
      </c>
      <c r="BA2645">
        <v>0.7</v>
      </c>
      <c r="BB2645" t="s">
        <v>143</v>
      </c>
      <c r="BF2645">
        <v>-2.08</v>
      </c>
      <c r="BG2645">
        <v>-3.73</v>
      </c>
      <c r="BH2645">
        <v>-4.13</v>
      </c>
      <c r="BI2645">
        <v>0.56999999999999995</v>
      </c>
      <c r="BJ2645">
        <v>20210813</v>
      </c>
      <c r="BK2645">
        <v>20001225</v>
      </c>
      <c r="BL2645">
        <v>8.15</v>
      </c>
      <c r="BM2645" t="s">
        <v>120</v>
      </c>
      <c r="BN2645" t="s">
        <v>120</v>
      </c>
      <c r="BO2645">
        <v>274.79000000000002</v>
      </c>
      <c r="BP2645">
        <v>22.99</v>
      </c>
      <c r="BQ2645">
        <v>89.32</v>
      </c>
      <c r="BR2645">
        <v>6.08</v>
      </c>
      <c r="BS2645">
        <v>65.28</v>
      </c>
      <c r="BT2645">
        <v>49.92</v>
      </c>
      <c r="BU2645">
        <v>62.88</v>
      </c>
      <c r="BV2645">
        <v>125.65</v>
      </c>
      <c r="BW2645">
        <v>79.47</v>
      </c>
      <c r="BX2645">
        <v>18.34</v>
      </c>
      <c r="BY2645">
        <v>4.8099999999999996</v>
      </c>
      <c r="BZ2645">
        <v>15.78</v>
      </c>
      <c r="CA2645" t="s">
        <v>120</v>
      </c>
      <c r="CB2645">
        <v>24.47</v>
      </c>
      <c r="CC2645">
        <v>45.51</v>
      </c>
      <c r="CD2645">
        <v>32.39</v>
      </c>
      <c r="CE2645">
        <v>7.58</v>
      </c>
      <c r="CF2645">
        <v>0.32</v>
      </c>
      <c r="CG2645">
        <v>7.62</v>
      </c>
      <c r="CH2645">
        <v>6.28</v>
      </c>
      <c r="CI2645">
        <v>6.27</v>
      </c>
      <c r="CJ2645">
        <v>-0.87</v>
      </c>
      <c r="CK2645">
        <v>6.09</v>
      </c>
      <c r="CL2645">
        <v>51.89</v>
      </c>
      <c r="CM2645">
        <v>10.74</v>
      </c>
      <c r="CN2645">
        <v>8.1</v>
      </c>
      <c r="CO2645">
        <v>35133</v>
      </c>
      <c r="CP2645">
        <v>12783</v>
      </c>
      <c r="CQ2645" t="s">
        <v>3445</v>
      </c>
      <c r="CR2645">
        <v>36.020000000000003</v>
      </c>
      <c r="CS2645">
        <v>45.11</v>
      </c>
      <c r="CT2645">
        <v>2.1</v>
      </c>
      <c r="CU2645">
        <v>17.45</v>
      </c>
      <c r="CV2645">
        <v>4.12</v>
      </c>
      <c r="CW2645">
        <v>0.92</v>
      </c>
      <c r="CX2645" t="s">
        <v>127</v>
      </c>
      <c r="CY2645">
        <v>10.95</v>
      </c>
      <c r="CZ2645">
        <v>0</v>
      </c>
      <c r="DA2645">
        <v>3</v>
      </c>
      <c r="DB2645">
        <v>6.36</v>
      </c>
      <c r="DC2645">
        <v>1.32</v>
      </c>
      <c r="DD2645">
        <v>32.5</v>
      </c>
      <c r="DE2645" t="s">
        <v>4831</v>
      </c>
      <c r="DF2645">
        <v>28.84</v>
      </c>
      <c r="DG2645">
        <v>16.649999999999999</v>
      </c>
      <c r="DH2645">
        <v>13.78</v>
      </c>
      <c r="DI2645">
        <v>0.56000000000000005</v>
      </c>
      <c r="DJ2645">
        <v>7507</v>
      </c>
      <c r="DK2645">
        <v>600323</v>
      </c>
      <c r="DL2645" t="s">
        <v>120</v>
      </c>
      <c r="DM2645" t="s">
        <v>120</v>
      </c>
      <c r="DN2645" t="s">
        <v>120</v>
      </c>
    </row>
    <row r="2646" spans="1:118">
      <c r="A2646" t="str">
        <f>"600325"</f>
        <v>600325</v>
      </c>
      <c r="B2646" t="s">
        <v>11987</v>
      </c>
      <c r="C2646">
        <v>-2.6</v>
      </c>
      <c r="D2646">
        <v>0.84</v>
      </c>
      <c r="E2646">
        <v>0</v>
      </c>
      <c r="F2646">
        <v>9999</v>
      </c>
      <c r="G2646" t="s">
        <v>11988</v>
      </c>
      <c r="H2646">
        <v>23553.17</v>
      </c>
      <c r="I2646">
        <v>32.35</v>
      </c>
      <c r="J2646" t="s">
        <v>120</v>
      </c>
      <c r="K2646" t="s">
        <v>11989</v>
      </c>
      <c r="L2646">
        <v>1.85</v>
      </c>
      <c r="M2646">
        <v>5.99</v>
      </c>
      <c r="N2646">
        <v>1.1599999999999999</v>
      </c>
      <c r="O2646">
        <v>0.16</v>
      </c>
      <c r="P2646">
        <v>6.16</v>
      </c>
      <c r="Q2646">
        <v>-3.58</v>
      </c>
      <c r="R2646">
        <v>5.93</v>
      </c>
      <c r="S2646">
        <v>6.15</v>
      </c>
      <c r="T2646">
        <v>390199</v>
      </c>
      <c r="U2646">
        <v>6</v>
      </c>
      <c r="V2646">
        <v>6.15</v>
      </c>
      <c r="W2646">
        <v>3.76</v>
      </c>
      <c r="X2646" t="s">
        <v>150</v>
      </c>
      <c r="Y2646" t="s">
        <v>547</v>
      </c>
      <c r="Z2646">
        <v>3.74</v>
      </c>
      <c r="AA2646">
        <v>6.04</v>
      </c>
      <c r="AB2646">
        <v>208301</v>
      </c>
      <c r="AC2646">
        <v>181898</v>
      </c>
      <c r="AD2646">
        <v>1.1499999999999999</v>
      </c>
      <c r="AE2646">
        <v>233</v>
      </c>
      <c r="AF2646">
        <v>4471</v>
      </c>
      <c r="AG2646" t="s">
        <v>120</v>
      </c>
      <c r="AH2646">
        <v>0</v>
      </c>
      <c r="AI2646" t="s">
        <v>120</v>
      </c>
      <c r="AJ2646">
        <v>21.14</v>
      </c>
      <c r="AK2646" t="s">
        <v>11990</v>
      </c>
      <c r="AL2646">
        <v>-1.26</v>
      </c>
      <c r="AM2646">
        <v>3835</v>
      </c>
      <c r="AN2646">
        <v>102</v>
      </c>
      <c r="AO2646">
        <v>5.0000000000000001E-4</v>
      </c>
      <c r="AP2646">
        <v>-3</v>
      </c>
      <c r="AQ2646">
        <v>-0.65</v>
      </c>
      <c r="AR2646">
        <v>-6.41</v>
      </c>
      <c r="AS2646">
        <v>2.2200000000000002</v>
      </c>
      <c r="AT2646">
        <v>-0.99</v>
      </c>
      <c r="AU2646">
        <v>3.99</v>
      </c>
      <c r="AV2646">
        <v>0</v>
      </c>
      <c r="AW2646">
        <v>2.58</v>
      </c>
      <c r="AX2646">
        <v>71.36</v>
      </c>
      <c r="AY2646">
        <v>4.17</v>
      </c>
      <c r="AZ2646">
        <v>4.49</v>
      </c>
      <c r="BA2646">
        <v>0.84</v>
      </c>
      <c r="BB2646" t="s">
        <v>143</v>
      </c>
      <c r="BF2646">
        <v>-1.85</v>
      </c>
      <c r="BG2646">
        <v>-2.6</v>
      </c>
      <c r="BH2646">
        <v>-2.76</v>
      </c>
      <c r="BI2646">
        <v>1.01</v>
      </c>
      <c r="BJ2646">
        <v>20210821</v>
      </c>
      <c r="BK2646">
        <v>20040225</v>
      </c>
      <c r="BL2646">
        <v>21.17</v>
      </c>
      <c r="BM2646" t="s">
        <v>120</v>
      </c>
      <c r="BN2646" t="s">
        <v>120</v>
      </c>
      <c r="BO2646">
        <v>3473.53</v>
      </c>
      <c r="BP2646">
        <v>5.99</v>
      </c>
      <c r="BQ2646">
        <v>225.45</v>
      </c>
      <c r="BR2646">
        <v>473.5</v>
      </c>
      <c r="BS2646">
        <v>79.88</v>
      </c>
      <c r="BT2646">
        <v>3144.92</v>
      </c>
      <c r="BU2646">
        <v>9.56</v>
      </c>
      <c r="BV2646">
        <v>2.09</v>
      </c>
      <c r="BW2646">
        <v>1615.91</v>
      </c>
      <c r="BX2646">
        <v>591.5</v>
      </c>
      <c r="BY2646">
        <v>2191.1</v>
      </c>
      <c r="BZ2646">
        <v>1.55</v>
      </c>
      <c r="CA2646">
        <v>4.16</v>
      </c>
      <c r="CB2646">
        <v>7.05</v>
      </c>
      <c r="CC2646">
        <v>207.73</v>
      </c>
      <c r="CD2646">
        <v>146.29</v>
      </c>
      <c r="CE2646">
        <v>31.79</v>
      </c>
      <c r="CF2646">
        <v>6.15</v>
      </c>
      <c r="CG2646">
        <v>31.75</v>
      </c>
      <c r="CH2646">
        <v>23.66</v>
      </c>
      <c r="CI2646">
        <v>16.87</v>
      </c>
      <c r="CJ2646">
        <v>-0.16</v>
      </c>
      <c r="CK2646">
        <v>14.09</v>
      </c>
      <c r="CL2646">
        <v>123.07</v>
      </c>
      <c r="CM2646">
        <v>201.5</v>
      </c>
      <c r="CN2646">
        <v>158.80000000000001</v>
      </c>
      <c r="CO2646">
        <v>50879</v>
      </c>
      <c r="CP2646">
        <v>29693</v>
      </c>
      <c r="CQ2646" t="s">
        <v>11991</v>
      </c>
      <c r="CR2646">
        <v>15.03</v>
      </c>
      <c r="CS2646">
        <v>-9.15</v>
      </c>
      <c r="CT2646">
        <v>0.77</v>
      </c>
      <c r="CU2646">
        <v>0.63</v>
      </c>
      <c r="CV2646">
        <v>0.61</v>
      </c>
      <c r="CW2646">
        <v>7.32</v>
      </c>
      <c r="CX2646" t="s">
        <v>6967</v>
      </c>
      <c r="CY2646">
        <v>7.73</v>
      </c>
      <c r="CZ2646">
        <v>7.73</v>
      </c>
      <c r="DA2646">
        <v>0.33</v>
      </c>
      <c r="DB2646">
        <v>5.81</v>
      </c>
      <c r="DC2646">
        <v>9.52</v>
      </c>
      <c r="DD2646">
        <v>6.49</v>
      </c>
      <c r="DE2646" t="s">
        <v>920</v>
      </c>
      <c r="DF2646">
        <v>29.58</v>
      </c>
      <c r="DG2646">
        <v>15.3</v>
      </c>
      <c r="DH2646">
        <v>8.1199999999999992</v>
      </c>
      <c r="DI2646">
        <v>0.25</v>
      </c>
      <c r="DJ2646">
        <v>8694</v>
      </c>
      <c r="DK2646">
        <v>600325</v>
      </c>
      <c r="DL2646" t="s">
        <v>120</v>
      </c>
      <c r="DM2646" t="s">
        <v>120</v>
      </c>
      <c r="DN2646" t="s">
        <v>120</v>
      </c>
    </row>
    <row r="2647" spans="1:118">
      <c r="A2647" t="str">
        <f>"600326"</f>
        <v>600326</v>
      </c>
      <c r="B2647" t="s">
        <v>11992</v>
      </c>
      <c r="C2647">
        <v>-1.25</v>
      </c>
      <c r="D2647">
        <v>0</v>
      </c>
      <c r="E2647">
        <v>0.42</v>
      </c>
      <c r="F2647">
        <v>2901</v>
      </c>
      <c r="G2647" t="s">
        <v>11993</v>
      </c>
      <c r="H2647">
        <v>23312.46</v>
      </c>
      <c r="I2647">
        <v>72.040000000000006</v>
      </c>
      <c r="J2647" t="s">
        <v>120</v>
      </c>
      <c r="K2647" t="s">
        <v>2447</v>
      </c>
      <c r="L2647">
        <v>3.48</v>
      </c>
      <c r="M2647">
        <v>7.13</v>
      </c>
      <c r="N2647">
        <v>0.49</v>
      </c>
      <c r="O2647">
        <v>2.91</v>
      </c>
      <c r="P2647">
        <v>7.43</v>
      </c>
      <c r="Q2647">
        <v>-1.52</v>
      </c>
      <c r="R2647">
        <v>7.11</v>
      </c>
      <c r="S2647">
        <v>7.25</v>
      </c>
      <c r="T2647">
        <v>320097</v>
      </c>
      <c r="U2647">
        <v>7.14</v>
      </c>
      <c r="V2647">
        <v>7.22</v>
      </c>
      <c r="W2647">
        <v>47.42</v>
      </c>
      <c r="X2647" t="s">
        <v>653</v>
      </c>
      <c r="Y2647" t="s">
        <v>1886</v>
      </c>
      <c r="Z2647">
        <v>4.43</v>
      </c>
      <c r="AA2647">
        <v>7.28</v>
      </c>
      <c r="AB2647">
        <v>171918</v>
      </c>
      <c r="AC2647">
        <v>148179</v>
      </c>
      <c r="AD2647">
        <v>1.1599999999999999</v>
      </c>
      <c r="AE2647">
        <v>732</v>
      </c>
      <c r="AF2647">
        <v>277</v>
      </c>
      <c r="AG2647" t="s">
        <v>120</v>
      </c>
      <c r="AH2647">
        <v>0.01</v>
      </c>
      <c r="AI2647" t="s">
        <v>120</v>
      </c>
      <c r="AJ2647">
        <v>9.19</v>
      </c>
      <c r="AK2647" t="s">
        <v>2447</v>
      </c>
      <c r="AL2647">
        <v>0.1</v>
      </c>
      <c r="AM2647">
        <v>3374</v>
      </c>
      <c r="AN2647">
        <v>95</v>
      </c>
      <c r="AO2647">
        <v>1E-3</v>
      </c>
      <c r="AP2647">
        <v>-1</v>
      </c>
      <c r="AQ2647">
        <v>2.12</v>
      </c>
      <c r="AR2647">
        <v>-2.86</v>
      </c>
      <c r="AS2647">
        <v>8.0299999999999994</v>
      </c>
      <c r="AT2647">
        <v>5.32</v>
      </c>
      <c r="AU2647">
        <v>2.73</v>
      </c>
      <c r="AV2647">
        <v>2</v>
      </c>
      <c r="AW2647">
        <v>4.43</v>
      </c>
      <c r="AX2647">
        <v>78.64</v>
      </c>
      <c r="AY2647">
        <v>17.98</v>
      </c>
      <c r="AZ2647">
        <v>15.18</v>
      </c>
      <c r="BA2647">
        <v>1.1100000000000001</v>
      </c>
      <c r="BB2647" t="s">
        <v>143</v>
      </c>
      <c r="BF2647">
        <v>0.87</v>
      </c>
      <c r="BG2647">
        <v>-1.66</v>
      </c>
      <c r="BH2647">
        <v>-4.04</v>
      </c>
      <c r="BI2647">
        <v>0.28000000000000003</v>
      </c>
      <c r="BJ2647">
        <v>20210819</v>
      </c>
      <c r="BK2647">
        <v>20010116</v>
      </c>
      <c r="BL2647">
        <v>9.19</v>
      </c>
      <c r="BM2647" t="s">
        <v>120</v>
      </c>
      <c r="BN2647" t="s">
        <v>120</v>
      </c>
      <c r="BO2647">
        <v>131.65</v>
      </c>
      <c r="BP2647">
        <v>7.13</v>
      </c>
      <c r="BQ2647">
        <v>44.93</v>
      </c>
      <c r="BR2647">
        <v>21.18</v>
      </c>
      <c r="BS2647">
        <v>49.79</v>
      </c>
      <c r="BT2647">
        <v>75.89</v>
      </c>
      <c r="BU2647">
        <v>29.33</v>
      </c>
      <c r="BV2647">
        <v>4.47</v>
      </c>
      <c r="BW2647">
        <v>37.07</v>
      </c>
      <c r="BX2647">
        <v>23.16</v>
      </c>
      <c r="BY2647">
        <v>6.87</v>
      </c>
      <c r="BZ2647">
        <v>15.28</v>
      </c>
      <c r="CA2647" t="s">
        <v>120</v>
      </c>
      <c r="CB2647">
        <v>11.68</v>
      </c>
      <c r="CC2647">
        <v>24.37</v>
      </c>
      <c r="CD2647">
        <v>17.45</v>
      </c>
      <c r="CE2647">
        <v>1.47</v>
      </c>
      <c r="CF2647">
        <v>0.47</v>
      </c>
      <c r="CG2647">
        <v>1.53</v>
      </c>
      <c r="CH2647">
        <v>1.35</v>
      </c>
      <c r="CI2647">
        <v>0.69</v>
      </c>
      <c r="CJ2647">
        <v>-0.09</v>
      </c>
      <c r="CK2647">
        <v>0.64</v>
      </c>
      <c r="CL2647">
        <v>20.239999999999998</v>
      </c>
      <c r="CM2647">
        <v>-2.82</v>
      </c>
      <c r="CN2647">
        <v>-1.62</v>
      </c>
      <c r="CO2647">
        <v>84128</v>
      </c>
      <c r="CP2647">
        <v>8586</v>
      </c>
      <c r="CQ2647" t="s">
        <v>2953</v>
      </c>
      <c r="CR2647">
        <v>-49.56</v>
      </c>
      <c r="CS2647">
        <v>9.23</v>
      </c>
      <c r="CT2647">
        <v>1.5</v>
      </c>
      <c r="CU2647">
        <v>-23.25</v>
      </c>
      <c r="CV2647">
        <v>2.69</v>
      </c>
      <c r="CW2647">
        <v>1.1100000000000001</v>
      </c>
      <c r="CX2647" t="s">
        <v>11994</v>
      </c>
      <c r="CY2647">
        <v>4.74</v>
      </c>
      <c r="CZ2647">
        <v>4.74</v>
      </c>
      <c r="DA2647">
        <v>1.27</v>
      </c>
      <c r="DB2647">
        <v>2.2000000000000002</v>
      </c>
      <c r="DC2647">
        <v>-0.31</v>
      </c>
      <c r="DD2647">
        <v>34.130000000000003</v>
      </c>
      <c r="DE2647" t="s">
        <v>6427</v>
      </c>
      <c r="DF2647">
        <v>28.41</v>
      </c>
      <c r="DG2647">
        <v>6.01</v>
      </c>
      <c r="DH2647">
        <v>2.83</v>
      </c>
      <c r="DI2647">
        <v>0.51</v>
      </c>
      <c r="DJ2647">
        <v>2279</v>
      </c>
      <c r="DK2647">
        <v>600326</v>
      </c>
      <c r="DL2647">
        <v>20210914</v>
      </c>
      <c r="DM2647">
        <v>7.34</v>
      </c>
      <c r="DN2647">
        <v>-2.86</v>
      </c>
    </row>
    <row r="2648" spans="1:118">
      <c r="A2648" t="str">
        <f>"600327"</f>
        <v>600327</v>
      </c>
      <c r="B2648" t="s">
        <v>11995</v>
      </c>
      <c r="C2648">
        <v>2.78</v>
      </c>
      <c r="D2648">
        <v>-0.15</v>
      </c>
      <c r="E2648">
        <v>0.65</v>
      </c>
      <c r="F2648">
        <v>2157</v>
      </c>
      <c r="G2648" t="s">
        <v>10034</v>
      </c>
      <c r="H2648">
        <v>17914.669999999998</v>
      </c>
      <c r="I2648">
        <v>45.7</v>
      </c>
      <c r="J2648" t="s">
        <v>120</v>
      </c>
      <c r="K2648" t="s">
        <v>11996</v>
      </c>
      <c r="L2648">
        <v>3.17</v>
      </c>
      <c r="M2648">
        <v>6.28</v>
      </c>
      <c r="N2648">
        <v>1.1599999999999999</v>
      </c>
      <c r="O2648">
        <v>9.98</v>
      </c>
      <c r="P2648">
        <v>6.72</v>
      </c>
      <c r="Q2648">
        <v>0.65</v>
      </c>
      <c r="R2648">
        <v>6.15</v>
      </c>
      <c r="S2648">
        <v>6.15</v>
      </c>
      <c r="T2648">
        <v>280493</v>
      </c>
      <c r="U2648">
        <v>6.28</v>
      </c>
      <c r="V2648">
        <v>6.11</v>
      </c>
      <c r="W2648">
        <v>18.329999999999998</v>
      </c>
      <c r="X2648" t="s">
        <v>253</v>
      </c>
      <c r="Y2648" t="s">
        <v>319</v>
      </c>
      <c r="Z2648">
        <v>9.33</v>
      </c>
      <c r="AA2648">
        <v>6.39</v>
      </c>
      <c r="AB2648">
        <v>140902</v>
      </c>
      <c r="AC2648">
        <v>139591</v>
      </c>
      <c r="AD2648">
        <v>1.01</v>
      </c>
      <c r="AE2648">
        <v>280</v>
      </c>
      <c r="AF2648">
        <v>131</v>
      </c>
      <c r="AG2648" t="s">
        <v>120</v>
      </c>
      <c r="AH2648">
        <v>0.02</v>
      </c>
      <c r="AI2648" t="s">
        <v>120</v>
      </c>
      <c r="AJ2648">
        <v>8.85</v>
      </c>
      <c r="AK2648" t="s">
        <v>11996</v>
      </c>
      <c r="AL2648">
        <v>4.13</v>
      </c>
      <c r="AM2648">
        <v>3210</v>
      </c>
      <c r="AN2648">
        <v>87</v>
      </c>
      <c r="AO2648">
        <v>1E-3</v>
      </c>
      <c r="AP2648">
        <v>2</v>
      </c>
      <c r="AQ2648">
        <v>0.49</v>
      </c>
      <c r="AR2648">
        <v>0.96</v>
      </c>
      <c r="AS2648">
        <v>8.65</v>
      </c>
      <c r="AT2648">
        <v>-30.77</v>
      </c>
      <c r="AU2648">
        <v>61.03</v>
      </c>
      <c r="AV2648">
        <v>14</v>
      </c>
      <c r="AW2648">
        <v>5.73</v>
      </c>
      <c r="AX2648">
        <v>55.29</v>
      </c>
      <c r="AY2648">
        <v>15.54</v>
      </c>
      <c r="AZ2648">
        <v>17.16</v>
      </c>
      <c r="BA2648">
        <v>1.47</v>
      </c>
      <c r="BB2648" t="s">
        <v>125</v>
      </c>
      <c r="BF2648">
        <v>4.53</v>
      </c>
      <c r="BG2648">
        <v>2.11</v>
      </c>
      <c r="BH2648">
        <v>-6.55</v>
      </c>
      <c r="BI2648">
        <v>2.11</v>
      </c>
      <c r="BJ2648">
        <v>20210827</v>
      </c>
      <c r="BK2648">
        <v>20020625</v>
      </c>
      <c r="BL2648">
        <v>8.85</v>
      </c>
      <c r="BM2648" t="s">
        <v>120</v>
      </c>
      <c r="BN2648" t="s">
        <v>120</v>
      </c>
      <c r="BO2648">
        <v>80.94</v>
      </c>
      <c r="BP2648">
        <v>6.27</v>
      </c>
      <c r="BQ2648">
        <v>33.67</v>
      </c>
      <c r="BR2648">
        <v>1.93</v>
      </c>
      <c r="BS2648">
        <v>56.02</v>
      </c>
      <c r="BT2648">
        <v>46.82</v>
      </c>
      <c r="BU2648">
        <v>7.67</v>
      </c>
      <c r="BV2648">
        <v>4.54</v>
      </c>
      <c r="BW2648">
        <v>37.71</v>
      </c>
      <c r="BX2648">
        <v>18.5</v>
      </c>
      <c r="BY2648">
        <v>22.65</v>
      </c>
      <c r="BZ2648">
        <v>1.67</v>
      </c>
      <c r="CA2648">
        <v>0.15</v>
      </c>
      <c r="CB2648">
        <v>1.37</v>
      </c>
      <c r="CC2648">
        <v>42.49</v>
      </c>
      <c r="CD2648">
        <v>36.270000000000003</v>
      </c>
      <c r="CE2648">
        <v>2.11</v>
      </c>
      <c r="CF2648">
        <v>0.14000000000000001</v>
      </c>
      <c r="CG2648">
        <v>2.09</v>
      </c>
      <c r="CH2648">
        <v>1.53</v>
      </c>
      <c r="CI2648">
        <v>1.52</v>
      </c>
      <c r="CJ2648">
        <v>0.17</v>
      </c>
      <c r="CK2648">
        <v>1.19</v>
      </c>
      <c r="CL2648">
        <v>13.62</v>
      </c>
      <c r="CM2648">
        <v>3.61</v>
      </c>
      <c r="CN2648">
        <v>6.57</v>
      </c>
      <c r="CO2648">
        <v>34333</v>
      </c>
      <c r="CP2648">
        <v>14249</v>
      </c>
      <c r="CQ2648" t="s">
        <v>1084</v>
      </c>
      <c r="CR2648">
        <v>27.56</v>
      </c>
      <c r="CS2648">
        <v>27.83</v>
      </c>
      <c r="CT2648">
        <v>1.65</v>
      </c>
      <c r="CU2648">
        <v>15.41</v>
      </c>
      <c r="CV2648">
        <v>1.31</v>
      </c>
      <c r="CW2648">
        <v>8.18</v>
      </c>
      <c r="CX2648" t="s">
        <v>1193</v>
      </c>
      <c r="CY2648">
        <v>3.81</v>
      </c>
      <c r="CZ2648">
        <v>0</v>
      </c>
      <c r="DA2648">
        <v>0.15</v>
      </c>
      <c r="DB2648">
        <v>1.54</v>
      </c>
      <c r="DC2648">
        <v>0.41</v>
      </c>
      <c r="DD2648">
        <v>41.6</v>
      </c>
      <c r="DE2648" t="s">
        <v>3283</v>
      </c>
      <c r="DF2648">
        <v>14.64</v>
      </c>
      <c r="DG2648">
        <v>4.97</v>
      </c>
      <c r="DH2648">
        <v>3.57</v>
      </c>
      <c r="DI2648" t="s">
        <v>120</v>
      </c>
      <c r="DJ2648">
        <v>4275</v>
      </c>
      <c r="DK2648">
        <v>600327</v>
      </c>
      <c r="DL2648" t="s">
        <v>120</v>
      </c>
      <c r="DM2648" t="s">
        <v>120</v>
      </c>
      <c r="DN2648" t="s">
        <v>120</v>
      </c>
    </row>
    <row r="2649" spans="1:118">
      <c r="A2649" t="str">
        <f>"600328"</f>
        <v>600328</v>
      </c>
      <c r="B2649" t="s">
        <v>11997</v>
      </c>
      <c r="C2649">
        <v>1.41</v>
      </c>
      <c r="D2649">
        <v>0</v>
      </c>
      <c r="E2649">
        <v>7.0000000000000007E-2</v>
      </c>
      <c r="F2649">
        <v>2169</v>
      </c>
      <c r="G2649" t="s">
        <v>11998</v>
      </c>
      <c r="H2649">
        <v>202574.25</v>
      </c>
      <c r="I2649">
        <v>812.06</v>
      </c>
      <c r="J2649" t="s">
        <v>120</v>
      </c>
      <c r="K2649" t="s">
        <v>11999</v>
      </c>
      <c r="L2649">
        <v>12.35</v>
      </c>
      <c r="M2649">
        <v>28.8</v>
      </c>
      <c r="N2649">
        <v>0.97</v>
      </c>
      <c r="O2649">
        <v>7.39</v>
      </c>
      <c r="P2649">
        <v>30.5</v>
      </c>
      <c r="Q2649">
        <v>0</v>
      </c>
      <c r="R2649">
        <v>28.4</v>
      </c>
      <c r="S2649">
        <v>28.42</v>
      </c>
      <c r="T2649">
        <v>690954</v>
      </c>
      <c r="U2649">
        <v>28.8</v>
      </c>
      <c r="V2649">
        <v>28.4</v>
      </c>
      <c r="W2649">
        <v>17.93</v>
      </c>
      <c r="X2649" t="s">
        <v>868</v>
      </c>
      <c r="Y2649" t="s">
        <v>785</v>
      </c>
      <c r="Z2649">
        <v>7.39</v>
      </c>
      <c r="AA2649">
        <v>29.32</v>
      </c>
      <c r="AB2649">
        <v>333140</v>
      </c>
      <c r="AC2649">
        <v>357814</v>
      </c>
      <c r="AD2649">
        <v>0.93</v>
      </c>
      <c r="AE2649">
        <v>163</v>
      </c>
      <c r="AF2649">
        <v>1242</v>
      </c>
      <c r="AG2649" t="s">
        <v>120</v>
      </c>
      <c r="AH2649">
        <v>7.0000000000000007E-2</v>
      </c>
      <c r="AI2649" t="s">
        <v>120</v>
      </c>
      <c r="AJ2649">
        <v>5.6</v>
      </c>
      <c r="AK2649" t="s">
        <v>12000</v>
      </c>
      <c r="AL2649">
        <v>2.75</v>
      </c>
      <c r="AM2649">
        <v>4720</v>
      </c>
      <c r="AN2649">
        <v>146</v>
      </c>
      <c r="AO2649">
        <v>2.5999999999999999E-3</v>
      </c>
      <c r="AP2649">
        <v>2</v>
      </c>
      <c r="AQ2649">
        <v>2.12</v>
      </c>
      <c r="AR2649">
        <v>-2.0099999999999998</v>
      </c>
      <c r="AS2649">
        <v>78</v>
      </c>
      <c r="AT2649">
        <v>134.33000000000001</v>
      </c>
      <c r="AU2649">
        <v>347.2</v>
      </c>
      <c r="AV2649">
        <v>12</v>
      </c>
      <c r="AW2649">
        <v>16.43</v>
      </c>
      <c r="AX2649">
        <v>43.91</v>
      </c>
      <c r="AY2649">
        <v>22.32</v>
      </c>
      <c r="AZ2649">
        <v>49.1</v>
      </c>
      <c r="BA2649">
        <v>1.73</v>
      </c>
      <c r="BB2649" t="s">
        <v>184</v>
      </c>
      <c r="BF2649">
        <v>3.23</v>
      </c>
      <c r="BG2649">
        <v>1.34</v>
      </c>
      <c r="BH2649">
        <v>-5.57</v>
      </c>
      <c r="BI2649">
        <v>1.41</v>
      </c>
      <c r="BJ2649">
        <v>20210825</v>
      </c>
      <c r="BK2649">
        <v>20001222</v>
      </c>
      <c r="BL2649">
        <v>9.58</v>
      </c>
      <c r="BM2649" t="s">
        <v>120</v>
      </c>
      <c r="BN2649" t="s">
        <v>120</v>
      </c>
      <c r="BO2649">
        <v>143.22999999999999</v>
      </c>
      <c r="BP2649">
        <v>28.79</v>
      </c>
      <c r="BQ2649">
        <v>70.569999999999993</v>
      </c>
      <c r="BR2649">
        <v>5.48</v>
      </c>
      <c r="BS2649">
        <v>46.9</v>
      </c>
      <c r="BT2649">
        <v>38.92</v>
      </c>
      <c r="BU2649">
        <v>84.43</v>
      </c>
      <c r="BV2649">
        <v>4.82</v>
      </c>
      <c r="BW2649">
        <v>58.61</v>
      </c>
      <c r="BX2649">
        <v>6.54</v>
      </c>
      <c r="BY2649">
        <v>7.98</v>
      </c>
      <c r="BZ2649">
        <v>2.46</v>
      </c>
      <c r="CA2649" t="s">
        <v>120</v>
      </c>
      <c r="CB2649">
        <v>40.07</v>
      </c>
      <c r="CC2649">
        <v>57.22</v>
      </c>
      <c r="CD2649">
        <v>42.03</v>
      </c>
      <c r="CE2649">
        <v>10.29</v>
      </c>
      <c r="CF2649">
        <v>0.38</v>
      </c>
      <c r="CG2649">
        <v>10.29</v>
      </c>
      <c r="CH2649">
        <v>8.56</v>
      </c>
      <c r="CI2649">
        <v>7.69</v>
      </c>
      <c r="CJ2649">
        <v>0.4</v>
      </c>
      <c r="CK2649">
        <v>7.46</v>
      </c>
      <c r="CL2649">
        <v>19.28</v>
      </c>
      <c r="CM2649">
        <v>10.15</v>
      </c>
      <c r="CN2649">
        <v>1.01</v>
      </c>
      <c r="CO2649">
        <v>46932</v>
      </c>
      <c r="CP2649">
        <v>8959</v>
      </c>
      <c r="CQ2649" t="s">
        <v>12001</v>
      </c>
      <c r="CR2649">
        <v>634.76</v>
      </c>
      <c r="CS2649">
        <v>47.36</v>
      </c>
      <c r="CT2649">
        <v>3.91</v>
      </c>
      <c r="CU2649">
        <v>27.18</v>
      </c>
      <c r="CV2649">
        <v>4.82</v>
      </c>
      <c r="CW2649">
        <v>0.81</v>
      </c>
      <c r="CX2649" t="s">
        <v>12002</v>
      </c>
      <c r="CY2649">
        <v>7.37</v>
      </c>
      <c r="CZ2649">
        <v>0</v>
      </c>
      <c r="DA2649">
        <v>4.18</v>
      </c>
      <c r="DB2649">
        <v>2.0099999999999998</v>
      </c>
      <c r="DC2649">
        <v>1.06</v>
      </c>
      <c r="DD2649">
        <v>49.27</v>
      </c>
      <c r="DE2649" t="s">
        <v>11736</v>
      </c>
      <c r="DF2649">
        <v>26.54</v>
      </c>
      <c r="DG2649">
        <v>17.989999999999998</v>
      </c>
      <c r="DH2649">
        <v>13.44</v>
      </c>
      <c r="DI2649">
        <v>1.1299999999999999</v>
      </c>
      <c r="DJ2649">
        <v>8206</v>
      </c>
      <c r="DK2649">
        <v>600328</v>
      </c>
      <c r="DL2649">
        <v>20210701</v>
      </c>
      <c r="DM2649">
        <v>13.32</v>
      </c>
      <c r="DN2649">
        <v>116.22</v>
      </c>
    </row>
    <row r="2650" spans="1:118">
      <c r="A2650" t="str">
        <f>"600329"</f>
        <v>600329</v>
      </c>
      <c r="B2650" t="s">
        <v>12003</v>
      </c>
      <c r="C2650">
        <v>-2.5099999999999998</v>
      </c>
      <c r="D2650">
        <v>-0.52</v>
      </c>
      <c r="E2650">
        <v>0.04</v>
      </c>
      <c r="F2650">
        <v>2984</v>
      </c>
      <c r="G2650" t="s">
        <v>12004</v>
      </c>
      <c r="H2650">
        <v>22253.07</v>
      </c>
      <c r="I2650">
        <v>46.81</v>
      </c>
      <c r="J2650" t="s">
        <v>120</v>
      </c>
      <c r="K2650" t="s">
        <v>12005</v>
      </c>
      <c r="L2650">
        <v>1.46</v>
      </c>
      <c r="M2650">
        <v>26.37</v>
      </c>
      <c r="N2650">
        <v>0.78</v>
      </c>
      <c r="O2650">
        <v>1.37</v>
      </c>
      <c r="P2650">
        <v>27.42</v>
      </c>
      <c r="Q2650">
        <v>-3.4</v>
      </c>
      <c r="R2650">
        <v>26.13</v>
      </c>
      <c r="S2650">
        <v>27.06</v>
      </c>
      <c r="T2650">
        <v>82849</v>
      </c>
      <c r="U2650">
        <v>26.37</v>
      </c>
      <c r="V2650">
        <v>27.05</v>
      </c>
      <c r="W2650">
        <v>22.05</v>
      </c>
      <c r="X2650" t="s">
        <v>771</v>
      </c>
      <c r="Y2650" t="s">
        <v>997</v>
      </c>
      <c r="Z2650">
        <v>4.7699999999999996</v>
      </c>
      <c r="AA2650">
        <v>26.86</v>
      </c>
      <c r="AB2650">
        <v>42806</v>
      </c>
      <c r="AC2650">
        <v>40043</v>
      </c>
      <c r="AD2650">
        <v>1.07</v>
      </c>
      <c r="AE2650">
        <v>5</v>
      </c>
      <c r="AF2650">
        <v>394</v>
      </c>
      <c r="AG2650" t="s">
        <v>120</v>
      </c>
      <c r="AH2650">
        <v>0.01</v>
      </c>
      <c r="AI2650" t="s">
        <v>120</v>
      </c>
      <c r="AJ2650">
        <v>5.66</v>
      </c>
      <c r="AK2650" t="s">
        <v>12006</v>
      </c>
      <c r="AL2650">
        <v>-1.17</v>
      </c>
      <c r="AM2650">
        <v>3736</v>
      </c>
      <c r="AN2650">
        <v>22</v>
      </c>
      <c r="AO2650">
        <v>4.0000000000000002E-4</v>
      </c>
      <c r="AP2650">
        <v>-2</v>
      </c>
      <c r="AQ2650">
        <v>-4.38</v>
      </c>
      <c r="AR2650">
        <v>-6.46</v>
      </c>
      <c r="AS2650">
        <v>-11.54</v>
      </c>
      <c r="AT2650">
        <v>16.27</v>
      </c>
      <c r="AU2650">
        <v>53.13</v>
      </c>
      <c r="AV2650">
        <v>2</v>
      </c>
      <c r="AW2650">
        <v>3.45</v>
      </c>
      <c r="AX2650">
        <v>31.02</v>
      </c>
      <c r="AY2650">
        <v>26.13</v>
      </c>
      <c r="AZ2650">
        <v>31.63</v>
      </c>
      <c r="BA2650">
        <v>1.46</v>
      </c>
      <c r="BB2650" t="s">
        <v>143</v>
      </c>
      <c r="BF2650">
        <v>-0.7</v>
      </c>
      <c r="BG2650">
        <v>-2.5499999999999998</v>
      </c>
      <c r="BH2650">
        <v>-3.83</v>
      </c>
      <c r="BI2650">
        <v>0.92</v>
      </c>
      <c r="BJ2650">
        <v>20210814</v>
      </c>
      <c r="BK2650">
        <v>20010606</v>
      </c>
      <c r="BL2650">
        <v>7.74</v>
      </c>
      <c r="BM2650" t="s">
        <v>120</v>
      </c>
      <c r="BN2650" t="s">
        <v>120</v>
      </c>
      <c r="BO2650">
        <v>89.99</v>
      </c>
      <c r="BP2650">
        <v>26.36</v>
      </c>
      <c r="BQ2650">
        <v>60.44</v>
      </c>
      <c r="BR2650">
        <v>1.42</v>
      </c>
      <c r="BS2650">
        <v>31.26</v>
      </c>
      <c r="BT2650">
        <v>63.11</v>
      </c>
      <c r="BU2650">
        <v>11.43</v>
      </c>
      <c r="BV2650">
        <v>1.99</v>
      </c>
      <c r="BW2650">
        <v>26.47</v>
      </c>
      <c r="BX2650">
        <v>21.04</v>
      </c>
      <c r="BY2650">
        <v>14.13</v>
      </c>
      <c r="BZ2650">
        <v>18.34</v>
      </c>
      <c r="CA2650" t="s">
        <v>120</v>
      </c>
      <c r="CB2650">
        <v>13.7</v>
      </c>
      <c r="CC2650">
        <v>36.4</v>
      </c>
      <c r="CD2650">
        <v>21</v>
      </c>
      <c r="CE2650">
        <v>5.35</v>
      </c>
      <c r="CF2650">
        <v>1.1200000000000001</v>
      </c>
      <c r="CG2650">
        <v>5.4</v>
      </c>
      <c r="CH2650">
        <v>4.7300000000000004</v>
      </c>
      <c r="CI2650">
        <v>4.63</v>
      </c>
      <c r="CJ2650">
        <v>-0.68</v>
      </c>
      <c r="CK2650">
        <v>4.45</v>
      </c>
      <c r="CL2650">
        <v>34.75</v>
      </c>
      <c r="CM2650">
        <v>3.7</v>
      </c>
      <c r="CN2650">
        <v>1.1599999999999999</v>
      </c>
      <c r="CO2650">
        <v>29045</v>
      </c>
      <c r="CP2650">
        <v>8263</v>
      </c>
      <c r="CQ2650" t="s">
        <v>2966</v>
      </c>
      <c r="CR2650">
        <v>43</v>
      </c>
      <c r="CS2650">
        <v>10.64</v>
      </c>
      <c r="CT2650">
        <v>3.38</v>
      </c>
      <c r="CU2650">
        <v>55.16</v>
      </c>
      <c r="CV2650">
        <v>5.6</v>
      </c>
      <c r="CW2650">
        <v>1.1100000000000001</v>
      </c>
      <c r="CX2650" t="s">
        <v>817</v>
      </c>
      <c r="CY2650">
        <v>7.81</v>
      </c>
      <c r="CZ2650">
        <v>0</v>
      </c>
      <c r="DA2650">
        <v>1.77</v>
      </c>
      <c r="DB2650">
        <v>4.49</v>
      </c>
      <c r="DC2650">
        <v>0.48</v>
      </c>
      <c r="DD2650">
        <v>67.16</v>
      </c>
      <c r="DE2650" t="s">
        <v>2103</v>
      </c>
      <c r="DF2650">
        <v>42.32</v>
      </c>
      <c r="DG2650">
        <v>14.7</v>
      </c>
      <c r="DH2650">
        <v>12.71</v>
      </c>
      <c r="DI2650">
        <v>0.66</v>
      </c>
      <c r="DJ2650">
        <v>4840</v>
      </c>
      <c r="DK2650">
        <v>600329</v>
      </c>
      <c r="DL2650" t="s">
        <v>120</v>
      </c>
      <c r="DM2650" t="s">
        <v>120</v>
      </c>
      <c r="DN2650" t="s">
        <v>120</v>
      </c>
    </row>
    <row r="2651" spans="1:118">
      <c r="A2651" t="str">
        <f>"600330"</f>
        <v>600330</v>
      </c>
      <c r="B2651" t="s">
        <v>12007</v>
      </c>
      <c r="C2651">
        <v>-4.6900000000000004</v>
      </c>
      <c r="D2651">
        <v>-0.15</v>
      </c>
      <c r="E2651">
        <v>-0.63</v>
      </c>
      <c r="F2651">
        <v>1342</v>
      </c>
      <c r="G2651" t="s">
        <v>12008</v>
      </c>
      <c r="H2651">
        <v>58939.12</v>
      </c>
      <c r="I2651">
        <v>204.6</v>
      </c>
      <c r="J2651" t="s">
        <v>120</v>
      </c>
      <c r="K2651" t="s">
        <v>12009</v>
      </c>
      <c r="L2651">
        <v>4.82</v>
      </c>
      <c r="M2651">
        <v>12.18</v>
      </c>
      <c r="N2651">
        <v>1.1100000000000001</v>
      </c>
      <c r="O2651">
        <v>-0.63</v>
      </c>
      <c r="P2651">
        <v>12.7</v>
      </c>
      <c r="Q2651">
        <v>-7.28</v>
      </c>
      <c r="R2651">
        <v>11.85</v>
      </c>
      <c r="S2651">
        <v>12.7</v>
      </c>
      <c r="T2651">
        <v>480391</v>
      </c>
      <c r="U2651">
        <v>12.18</v>
      </c>
      <c r="V2651">
        <v>12.78</v>
      </c>
      <c r="W2651">
        <v>27.13</v>
      </c>
      <c r="X2651" t="s">
        <v>229</v>
      </c>
      <c r="Y2651" t="s">
        <v>585</v>
      </c>
      <c r="Z2651">
        <v>6.65</v>
      </c>
      <c r="AA2651">
        <v>12.27</v>
      </c>
      <c r="AB2651">
        <v>276634</v>
      </c>
      <c r="AC2651">
        <v>203757</v>
      </c>
      <c r="AD2651">
        <v>1.36</v>
      </c>
      <c r="AE2651">
        <v>46</v>
      </c>
      <c r="AF2651">
        <v>110</v>
      </c>
      <c r="AG2651" t="s">
        <v>120</v>
      </c>
      <c r="AH2651">
        <v>0.02</v>
      </c>
      <c r="AI2651" t="s">
        <v>120</v>
      </c>
      <c r="AJ2651">
        <v>9.9700000000000006</v>
      </c>
      <c r="AK2651" t="s">
        <v>12009</v>
      </c>
      <c r="AL2651">
        <v>-3.35</v>
      </c>
      <c r="AM2651">
        <v>4434</v>
      </c>
      <c r="AN2651">
        <v>108</v>
      </c>
      <c r="AO2651">
        <v>1.1000000000000001E-3</v>
      </c>
      <c r="AP2651">
        <v>-1</v>
      </c>
      <c r="AQ2651">
        <v>2.4</v>
      </c>
      <c r="AR2651">
        <v>-0.82</v>
      </c>
      <c r="AS2651">
        <v>2.87</v>
      </c>
      <c r="AT2651">
        <v>29.99</v>
      </c>
      <c r="AU2651">
        <v>20.95</v>
      </c>
      <c r="AV2651">
        <v>1</v>
      </c>
      <c r="AW2651">
        <v>6.52</v>
      </c>
      <c r="AX2651">
        <v>73.94</v>
      </c>
      <c r="AY2651">
        <v>32.39</v>
      </c>
      <c r="AZ2651">
        <v>33.409999999999997</v>
      </c>
      <c r="BA2651">
        <v>0.81</v>
      </c>
      <c r="BB2651" t="s">
        <v>184</v>
      </c>
      <c r="BF2651">
        <v>-4</v>
      </c>
      <c r="BG2651">
        <v>-4.09</v>
      </c>
      <c r="BH2651">
        <v>-4.09</v>
      </c>
      <c r="BI2651">
        <v>2.78</v>
      </c>
      <c r="BJ2651">
        <v>20210818</v>
      </c>
      <c r="BK2651">
        <v>20010118</v>
      </c>
      <c r="BL2651">
        <v>9.9700000000000006</v>
      </c>
      <c r="BM2651" t="s">
        <v>120</v>
      </c>
      <c r="BN2651" t="s">
        <v>120</v>
      </c>
      <c r="BO2651">
        <v>78.599999999999994</v>
      </c>
      <c r="BP2651">
        <v>12.17</v>
      </c>
      <c r="BQ2651">
        <v>48.33</v>
      </c>
      <c r="BR2651">
        <v>0.79</v>
      </c>
      <c r="BS2651">
        <v>37.51</v>
      </c>
      <c r="BT2651">
        <v>39.67</v>
      </c>
      <c r="BU2651">
        <v>21.23</v>
      </c>
      <c r="BV2651">
        <v>2.17</v>
      </c>
      <c r="BW2651">
        <v>27.4</v>
      </c>
      <c r="BX2651">
        <v>5.45</v>
      </c>
      <c r="BY2651">
        <v>11.84</v>
      </c>
      <c r="BZ2651">
        <v>13.57</v>
      </c>
      <c r="CA2651" t="s">
        <v>120</v>
      </c>
      <c r="CB2651">
        <v>24.83</v>
      </c>
      <c r="CC2651">
        <v>18.37</v>
      </c>
      <c r="CD2651">
        <v>13.62</v>
      </c>
      <c r="CE2651">
        <v>2.54</v>
      </c>
      <c r="CF2651">
        <v>0.73</v>
      </c>
      <c r="CG2651">
        <v>2.5299999999999998</v>
      </c>
      <c r="CH2651">
        <v>2.2599999999999998</v>
      </c>
      <c r="CI2651">
        <v>2.2400000000000002</v>
      </c>
      <c r="CJ2651">
        <v>-0.6</v>
      </c>
      <c r="CK2651">
        <v>1.4</v>
      </c>
      <c r="CL2651">
        <v>11.05</v>
      </c>
      <c r="CM2651">
        <v>1.08</v>
      </c>
      <c r="CN2651">
        <v>0.86</v>
      </c>
      <c r="CO2651">
        <v>82904</v>
      </c>
      <c r="CP2651">
        <v>8888</v>
      </c>
      <c r="CQ2651" t="s">
        <v>12010</v>
      </c>
      <c r="CR2651">
        <v>5.66</v>
      </c>
      <c r="CS2651">
        <v>30.39</v>
      </c>
      <c r="CT2651">
        <v>2.5099999999999998</v>
      </c>
      <c r="CU2651">
        <v>112.05</v>
      </c>
      <c r="CV2651">
        <v>6.61</v>
      </c>
      <c r="CW2651">
        <v>0.39</v>
      </c>
      <c r="CX2651" t="s">
        <v>694</v>
      </c>
      <c r="CY2651">
        <v>4.8499999999999996</v>
      </c>
      <c r="CZ2651">
        <v>0</v>
      </c>
      <c r="DA2651">
        <v>2.4900000000000002</v>
      </c>
      <c r="DB2651">
        <v>1.1100000000000001</v>
      </c>
      <c r="DC2651">
        <v>0.11</v>
      </c>
      <c r="DD2651">
        <v>61.49</v>
      </c>
      <c r="DE2651" t="s">
        <v>6657</v>
      </c>
      <c r="DF2651">
        <v>25.87</v>
      </c>
      <c r="DG2651">
        <v>13.84</v>
      </c>
      <c r="DH2651">
        <v>12.18</v>
      </c>
      <c r="DI2651">
        <v>1.06</v>
      </c>
      <c r="DJ2651">
        <v>5039</v>
      </c>
      <c r="DK2651">
        <v>600330</v>
      </c>
      <c r="DL2651" t="s">
        <v>120</v>
      </c>
      <c r="DM2651" t="s">
        <v>120</v>
      </c>
      <c r="DN2651" t="s">
        <v>120</v>
      </c>
    </row>
    <row r="2652" spans="1:118">
      <c r="A2652" t="str">
        <f>"600331"</f>
        <v>600331</v>
      </c>
      <c r="B2652" t="s">
        <v>12011</v>
      </c>
      <c r="C2652">
        <v>-4.59</v>
      </c>
      <c r="D2652">
        <v>-0.17</v>
      </c>
      <c r="E2652">
        <v>4.0599999999999996</v>
      </c>
      <c r="F2652">
        <v>21836</v>
      </c>
      <c r="G2652" t="s">
        <v>12012</v>
      </c>
      <c r="H2652">
        <v>150973.37</v>
      </c>
      <c r="I2652">
        <v>1950.95</v>
      </c>
      <c r="J2652" t="s">
        <v>120</v>
      </c>
      <c r="K2652" t="s">
        <v>12013</v>
      </c>
      <c r="L2652">
        <v>13.12</v>
      </c>
      <c r="M2652">
        <v>5.41</v>
      </c>
      <c r="N2652">
        <v>1.28</v>
      </c>
      <c r="O2652">
        <v>6.7</v>
      </c>
      <c r="P2652">
        <v>6.05</v>
      </c>
      <c r="Q2652">
        <v>-4.76</v>
      </c>
      <c r="R2652">
        <v>5.4</v>
      </c>
      <c r="S2652">
        <v>5.9</v>
      </c>
      <c r="T2652">
        <v>2666805</v>
      </c>
      <c r="U2652">
        <v>5.42</v>
      </c>
      <c r="V2652">
        <v>5.67</v>
      </c>
      <c r="W2652">
        <v>24.66</v>
      </c>
      <c r="X2652" t="s">
        <v>439</v>
      </c>
      <c r="Y2652" t="s">
        <v>578</v>
      </c>
      <c r="Z2652">
        <v>11.46</v>
      </c>
      <c r="AA2652">
        <v>5.66</v>
      </c>
      <c r="AB2652">
        <v>1387987</v>
      </c>
      <c r="AC2652">
        <v>1278818</v>
      </c>
      <c r="AD2652">
        <v>1.0900000000000001</v>
      </c>
      <c r="AE2652">
        <v>3502</v>
      </c>
      <c r="AF2652">
        <v>8445</v>
      </c>
      <c r="AG2652" t="s">
        <v>120</v>
      </c>
      <c r="AH2652">
        <v>0.25</v>
      </c>
      <c r="AI2652" t="s">
        <v>120</v>
      </c>
      <c r="AJ2652">
        <v>20.32</v>
      </c>
      <c r="AK2652" t="s">
        <v>12013</v>
      </c>
      <c r="AL2652">
        <v>-3.24</v>
      </c>
      <c r="AM2652">
        <v>4712</v>
      </c>
      <c r="AN2652">
        <v>566</v>
      </c>
      <c r="AO2652">
        <v>2.8E-3</v>
      </c>
      <c r="AP2652">
        <v>-1</v>
      </c>
      <c r="AQ2652">
        <v>10.1</v>
      </c>
      <c r="AR2652">
        <v>13.18</v>
      </c>
      <c r="AS2652">
        <v>62.46</v>
      </c>
      <c r="AT2652">
        <v>162.62</v>
      </c>
      <c r="AU2652">
        <v>144.80000000000001</v>
      </c>
      <c r="AV2652">
        <v>19</v>
      </c>
      <c r="AW2652">
        <v>20.350000000000001</v>
      </c>
      <c r="AX2652">
        <v>64.48</v>
      </c>
      <c r="AY2652" t="s">
        <v>120</v>
      </c>
      <c r="AZ2652" t="s">
        <v>120</v>
      </c>
      <c r="BA2652">
        <v>0</v>
      </c>
      <c r="BB2652" t="s">
        <v>700</v>
      </c>
      <c r="BF2652">
        <v>-0.16</v>
      </c>
      <c r="BG2652">
        <v>-8.31</v>
      </c>
      <c r="BH2652">
        <v>-10.58</v>
      </c>
      <c r="BI2652">
        <v>0.19</v>
      </c>
      <c r="BJ2652">
        <v>20210831</v>
      </c>
      <c r="BK2652">
        <v>20011220</v>
      </c>
      <c r="BL2652">
        <v>20.32</v>
      </c>
      <c r="BM2652" t="s">
        <v>120</v>
      </c>
      <c r="BN2652" t="s">
        <v>120</v>
      </c>
      <c r="BO2652">
        <v>21.47</v>
      </c>
      <c r="BP2652">
        <v>5.41</v>
      </c>
      <c r="BQ2652">
        <v>2.73</v>
      </c>
      <c r="BR2652">
        <v>0</v>
      </c>
      <c r="BS2652">
        <v>87.26</v>
      </c>
      <c r="BT2652">
        <v>7.87</v>
      </c>
      <c r="BU2652">
        <v>10.83</v>
      </c>
      <c r="BV2652">
        <v>1.17</v>
      </c>
      <c r="BW2652">
        <v>18.61</v>
      </c>
      <c r="BX2652">
        <v>1.46</v>
      </c>
      <c r="BY2652">
        <v>3.31</v>
      </c>
      <c r="BZ2652">
        <v>0.43</v>
      </c>
      <c r="CA2652" t="s">
        <v>120</v>
      </c>
      <c r="CB2652">
        <v>30.74</v>
      </c>
      <c r="CC2652">
        <v>13.76</v>
      </c>
      <c r="CD2652">
        <v>12.14</v>
      </c>
      <c r="CE2652">
        <v>2.23</v>
      </c>
      <c r="CF2652">
        <v>0</v>
      </c>
      <c r="CG2652">
        <v>2.23</v>
      </c>
      <c r="CH2652">
        <v>2.23</v>
      </c>
      <c r="CI2652">
        <v>2.23</v>
      </c>
      <c r="CJ2652">
        <v>-0.26</v>
      </c>
      <c r="CK2652">
        <v>0.47</v>
      </c>
      <c r="CL2652">
        <v>-49.71</v>
      </c>
      <c r="CM2652">
        <v>0.33</v>
      </c>
      <c r="CN2652">
        <v>-0.5</v>
      </c>
      <c r="CO2652">
        <v>95608</v>
      </c>
      <c r="CP2652">
        <v>13705</v>
      </c>
      <c r="CQ2652" t="s">
        <v>965</v>
      </c>
      <c r="CR2652">
        <v>401.63</v>
      </c>
      <c r="CS2652">
        <v>35.14</v>
      </c>
      <c r="CT2652">
        <v>40.22</v>
      </c>
      <c r="CU2652">
        <v>333.21</v>
      </c>
      <c r="CV2652">
        <v>7.99</v>
      </c>
      <c r="CW2652">
        <v>0</v>
      </c>
      <c r="CX2652" t="s">
        <v>1147</v>
      </c>
      <c r="CY2652">
        <v>0.13</v>
      </c>
      <c r="CZ2652">
        <v>0</v>
      </c>
      <c r="DA2652">
        <v>1.51</v>
      </c>
      <c r="DB2652">
        <v>-2.4500000000000002</v>
      </c>
      <c r="DC2652">
        <v>0.02</v>
      </c>
      <c r="DD2652">
        <v>12.73</v>
      </c>
      <c r="DE2652" t="s">
        <v>12014</v>
      </c>
      <c r="DF2652">
        <v>11.76</v>
      </c>
      <c r="DG2652">
        <v>16.190000000000001</v>
      </c>
      <c r="DH2652">
        <v>16.2</v>
      </c>
      <c r="DI2652">
        <v>0</v>
      </c>
      <c r="DJ2652">
        <v>3005</v>
      </c>
      <c r="DK2652">
        <v>600331</v>
      </c>
      <c r="DL2652">
        <v>20210826</v>
      </c>
      <c r="DM2652">
        <v>3.72</v>
      </c>
      <c r="DN2652">
        <v>45.43</v>
      </c>
    </row>
    <row r="2653" spans="1:118">
      <c r="A2653" t="str">
        <f>"600332"</f>
        <v>600332</v>
      </c>
      <c r="B2653" t="s">
        <v>12015</v>
      </c>
      <c r="C2653">
        <v>-2.06</v>
      </c>
      <c r="D2653">
        <v>-0.06</v>
      </c>
      <c r="E2653">
        <v>-0.42</v>
      </c>
      <c r="F2653">
        <v>1360</v>
      </c>
      <c r="G2653" t="s">
        <v>12016</v>
      </c>
      <c r="H2653">
        <v>32896.07</v>
      </c>
      <c r="I2653">
        <v>222.42</v>
      </c>
      <c r="J2653" t="s">
        <v>120</v>
      </c>
      <c r="K2653" t="s">
        <v>12017</v>
      </c>
      <c r="L2653">
        <v>0.77</v>
      </c>
      <c r="M2653">
        <v>30.01</v>
      </c>
      <c r="N2653">
        <v>0.94</v>
      </c>
      <c r="O2653">
        <v>0.59</v>
      </c>
      <c r="P2653">
        <v>30.82</v>
      </c>
      <c r="Q2653">
        <v>-2.09</v>
      </c>
      <c r="R2653">
        <v>30</v>
      </c>
      <c r="S2653">
        <v>30.51</v>
      </c>
      <c r="T2653">
        <v>108447</v>
      </c>
      <c r="U2653">
        <v>30.02</v>
      </c>
      <c r="V2653">
        <v>30.64</v>
      </c>
      <c r="W2653">
        <v>9.75</v>
      </c>
      <c r="X2653" t="s">
        <v>771</v>
      </c>
      <c r="Y2653" t="s">
        <v>547</v>
      </c>
      <c r="Z2653">
        <v>2.68</v>
      </c>
      <c r="AA2653">
        <v>30.33</v>
      </c>
      <c r="AB2653">
        <v>60782</v>
      </c>
      <c r="AC2653">
        <v>47665</v>
      </c>
      <c r="AD2653">
        <v>1.28</v>
      </c>
      <c r="AE2653">
        <v>448</v>
      </c>
      <c r="AF2653">
        <v>17</v>
      </c>
      <c r="AG2653" t="s">
        <v>120</v>
      </c>
      <c r="AH2653">
        <v>0.01</v>
      </c>
      <c r="AI2653" t="s">
        <v>120</v>
      </c>
      <c r="AJ2653">
        <v>14.06</v>
      </c>
      <c r="AK2653" t="s">
        <v>12017</v>
      </c>
      <c r="AL2653">
        <v>-0.71</v>
      </c>
      <c r="AM2653">
        <v>3806</v>
      </c>
      <c r="AN2653">
        <v>28</v>
      </c>
      <c r="AO2653">
        <v>2.0000000000000001E-4</v>
      </c>
      <c r="AP2653">
        <v>-5</v>
      </c>
      <c r="AQ2653">
        <v>-1.32</v>
      </c>
      <c r="AR2653">
        <v>-4.55</v>
      </c>
      <c r="AS2653">
        <v>-2.54</v>
      </c>
      <c r="AT2653">
        <v>0.17</v>
      </c>
      <c r="AU2653">
        <v>4.5199999999999996</v>
      </c>
      <c r="AV2653">
        <v>1</v>
      </c>
      <c r="AW2653">
        <v>1.61</v>
      </c>
      <c r="AX2653">
        <v>47.91</v>
      </c>
      <c r="AY2653">
        <v>13.64</v>
      </c>
      <c r="AZ2653">
        <v>17.09</v>
      </c>
      <c r="BA2653">
        <v>0.7</v>
      </c>
      <c r="BB2653" t="s">
        <v>143</v>
      </c>
      <c r="BF2653">
        <v>-1</v>
      </c>
      <c r="BG2653">
        <v>-1.64</v>
      </c>
      <c r="BH2653">
        <v>-2.63</v>
      </c>
      <c r="BI2653">
        <v>0.03</v>
      </c>
      <c r="BJ2653">
        <v>20210819</v>
      </c>
      <c r="BK2653">
        <v>20010206</v>
      </c>
      <c r="BL2653">
        <v>16.260000000000002</v>
      </c>
      <c r="BM2653" t="s">
        <v>120</v>
      </c>
      <c r="BN2653">
        <v>2.2000000000000002</v>
      </c>
      <c r="BO2653">
        <v>625.99</v>
      </c>
      <c r="BP2653">
        <v>30.01</v>
      </c>
      <c r="BQ2653">
        <v>277.69</v>
      </c>
      <c r="BR2653">
        <v>21.9</v>
      </c>
      <c r="BS2653">
        <v>52.14</v>
      </c>
      <c r="BT2653">
        <v>499.3</v>
      </c>
      <c r="BU2653">
        <v>29.2</v>
      </c>
      <c r="BV2653">
        <v>24.26</v>
      </c>
      <c r="BW2653">
        <v>300.60000000000002</v>
      </c>
      <c r="BX2653">
        <v>220.92</v>
      </c>
      <c r="BY2653">
        <v>81.61</v>
      </c>
      <c r="BZ2653">
        <v>134.13999999999999</v>
      </c>
      <c r="CA2653" t="s">
        <v>120</v>
      </c>
      <c r="CB2653">
        <v>98.85</v>
      </c>
      <c r="CC2653">
        <v>361.29</v>
      </c>
      <c r="CD2653">
        <v>285.98</v>
      </c>
      <c r="CE2653">
        <v>32.450000000000003</v>
      </c>
      <c r="CF2653">
        <v>1.38</v>
      </c>
      <c r="CG2653">
        <v>31.89</v>
      </c>
      <c r="CH2653">
        <v>26.5</v>
      </c>
      <c r="CI2653">
        <v>25.02</v>
      </c>
      <c r="CJ2653">
        <v>-0.63</v>
      </c>
      <c r="CK2653">
        <v>24.96</v>
      </c>
      <c r="CL2653">
        <v>145.59</v>
      </c>
      <c r="CM2653">
        <v>21.84</v>
      </c>
      <c r="CN2653">
        <v>32.04</v>
      </c>
      <c r="CO2653">
        <v>97075</v>
      </c>
      <c r="CP2653">
        <v>6939</v>
      </c>
      <c r="CQ2653" t="s">
        <v>8025</v>
      </c>
      <c r="CR2653">
        <v>41.84</v>
      </c>
      <c r="CS2653">
        <v>18.57</v>
      </c>
      <c r="CT2653">
        <v>1.76</v>
      </c>
      <c r="CU2653">
        <v>22.34</v>
      </c>
      <c r="CV2653">
        <v>1.35</v>
      </c>
      <c r="CW2653">
        <v>1.76</v>
      </c>
      <c r="CX2653" t="s">
        <v>9943</v>
      </c>
      <c r="CY2653">
        <v>17.079999999999998</v>
      </c>
      <c r="CZ2653">
        <v>0</v>
      </c>
      <c r="DA2653">
        <v>6.08</v>
      </c>
      <c r="DB2653">
        <v>8.9600000000000009</v>
      </c>
      <c r="DC2653">
        <v>1.34</v>
      </c>
      <c r="DD2653">
        <v>44.36</v>
      </c>
      <c r="DE2653" t="s">
        <v>12018</v>
      </c>
      <c r="DF2653">
        <v>20.84</v>
      </c>
      <c r="DG2653">
        <v>8.98</v>
      </c>
      <c r="DH2653">
        <v>6.93</v>
      </c>
      <c r="DI2653">
        <v>3.86</v>
      </c>
      <c r="DJ2653">
        <v>25168</v>
      </c>
      <c r="DK2653">
        <v>600332</v>
      </c>
      <c r="DL2653" t="s">
        <v>120</v>
      </c>
      <c r="DM2653" t="s">
        <v>120</v>
      </c>
      <c r="DN2653" t="s">
        <v>120</v>
      </c>
    </row>
    <row r="2654" spans="1:118">
      <c r="A2654" t="str">
        <f>"600333"</f>
        <v>600333</v>
      </c>
      <c r="B2654" t="s">
        <v>12019</v>
      </c>
      <c r="C2654">
        <v>1.31</v>
      </c>
      <c r="D2654">
        <v>0.16</v>
      </c>
      <c r="E2654">
        <v>0.16</v>
      </c>
      <c r="F2654">
        <v>2049</v>
      </c>
      <c r="G2654" t="s">
        <v>5437</v>
      </c>
      <c r="H2654">
        <v>27202.3</v>
      </c>
      <c r="I2654">
        <v>39.47</v>
      </c>
      <c r="J2654" t="s">
        <v>120</v>
      </c>
      <c r="K2654" t="s">
        <v>12020</v>
      </c>
      <c r="L2654">
        <v>7.05</v>
      </c>
      <c r="M2654">
        <v>6.19</v>
      </c>
      <c r="N2654">
        <v>1.38</v>
      </c>
      <c r="O2654">
        <v>6.38</v>
      </c>
      <c r="P2654">
        <v>6.5</v>
      </c>
      <c r="Q2654">
        <v>0</v>
      </c>
      <c r="R2654">
        <v>6.11</v>
      </c>
      <c r="S2654">
        <v>6.12</v>
      </c>
      <c r="T2654">
        <v>429127</v>
      </c>
      <c r="U2654">
        <v>6.2</v>
      </c>
      <c r="V2654">
        <v>6.11</v>
      </c>
      <c r="W2654" t="s">
        <v>120</v>
      </c>
      <c r="X2654" t="s">
        <v>684</v>
      </c>
      <c r="Y2654" t="s">
        <v>290</v>
      </c>
      <c r="Z2654">
        <v>6.38</v>
      </c>
      <c r="AA2654">
        <v>6.34</v>
      </c>
      <c r="AB2654">
        <v>194477</v>
      </c>
      <c r="AC2654">
        <v>234650</v>
      </c>
      <c r="AD2654">
        <v>0.83</v>
      </c>
      <c r="AE2654">
        <v>643</v>
      </c>
      <c r="AF2654">
        <v>1362</v>
      </c>
      <c r="AG2654" t="s">
        <v>120</v>
      </c>
      <c r="AH2654">
        <v>0.03</v>
      </c>
      <c r="AI2654" t="s">
        <v>120</v>
      </c>
      <c r="AJ2654">
        <v>6.09</v>
      </c>
      <c r="AK2654" t="s">
        <v>12020</v>
      </c>
      <c r="AL2654">
        <v>2.65</v>
      </c>
      <c r="AM2654">
        <v>3777</v>
      </c>
      <c r="AN2654">
        <v>114</v>
      </c>
      <c r="AO2654">
        <v>1.9E-3</v>
      </c>
      <c r="AP2654">
        <v>2</v>
      </c>
      <c r="AQ2654">
        <v>0.33</v>
      </c>
      <c r="AR2654">
        <v>-0.96</v>
      </c>
      <c r="AS2654">
        <v>22.09</v>
      </c>
      <c r="AT2654">
        <v>30.87</v>
      </c>
      <c r="AU2654">
        <v>-28.27</v>
      </c>
      <c r="AV2654">
        <v>13</v>
      </c>
      <c r="AW2654">
        <v>17.079999999999998</v>
      </c>
      <c r="AX2654">
        <v>41.25</v>
      </c>
      <c r="AY2654">
        <v>67.540000000000006</v>
      </c>
      <c r="AZ2654">
        <v>226.5</v>
      </c>
      <c r="BA2654">
        <v>0.96</v>
      </c>
      <c r="BB2654" t="s">
        <v>143</v>
      </c>
      <c r="BF2654">
        <v>3.75</v>
      </c>
      <c r="BG2654">
        <v>1.1399999999999999</v>
      </c>
      <c r="BH2654">
        <v>-4.7699999999999996</v>
      </c>
      <c r="BI2654">
        <v>1.31</v>
      </c>
      <c r="BJ2654">
        <v>20210821</v>
      </c>
      <c r="BK2654">
        <v>20001211</v>
      </c>
      <c r="BL2654">
        <v>6.09</v>
      </c>
      <c r="BM2654" t="s">
        <v>120</v>
      </c>
      <c r="BN2654" t="s">
        <v>120</v>
      </c>
      <c r="BO2654">
        <v>56.94</v>
      </c>
      <c r="BP2654">
        <v>6.19</v>
      </c>
      <c r="BQ2654">
        <v>20.350000000000001</v>
      </c>
      <c r="BR2654">
        <v>0.38</v>
      </c>
      <c r="BS2654">
        <v>63.61</v>
      </c>
      <c r="BT2654">
        <v>9.06</v>
      </c>
      <c r="BU2654">
        <v>36.67</v>
      </c>
      <c r="BV2654">
        <v>2.67</v>
      </c>
      <c r="BW2654">
        <v>26.68</v>
      </c>
      <c r="BX2654">
        <v>1.73</v>
      </c>
      <c r="BY2654">
        <v>4.59</v>
      </c>
      <c r="BZ2654">
        <v>1.08</v>
      </c>
      <c r="CA2654" t="s">
        <v>120</v>
      </c>
      <c r="CB2654">
        <v>9.91</v>
      </c>
      <c r="CC2654">
        <v>8.51</v>
      </c>
      <c r="CD2654">
        <v>6.74</v>
      </c>
      <c r="CE2654">
        <v>-0.52</v>
      </c>
      <c r="CF2654">
        <v>0.04</v>
      </c>
      <c r="CG2654">
        <v>-0.52</v>
      </c>
      <c r="CH2654">
        <v>-0.63</v>
      </c>
      <c r="CI2654">
        <v>-0.63</v>
      </c>
      <c r="CJ2654">
        <v>0.08</v>
      </c>
      <c r="CK2654">
        <v>-0.68</v>
      </c>
      <c r="CL2654">
        <v>2.52</v>
      </c>
      <c r="CM2654">
        <v>0.23</v>
      </c>
      <c r="CN2654">
        <v>-0.05</v>
      </c>
      <c r="CO2654">
        <v>80676</v>
      </c>
      <c r="CP2654">
        <v>3114</v>
      </c>
      <c r="CQ2654" t="s">
        <v>12021</v>
      </c>
      <c r="CR2654">
        <v>38.22</v>
      </c>
      <c r="CS2654">
        <v>29.41</v>
      </c>
      <c r="CT2654">
        <v>1.85</v>
      </c>
      <c r="CU2654">
        <v>161.94</v>
      </c>
      <c r="CV2654">
        <v>4.43</v>
      </c>
      <c r="CW2654">
        <v>0.82</v>
      </c>
      <c r="CX2654" t="s">
        <v>4684</v>
      </c>
      <c r="CY2654">
        <v>3.34</v>
      </c>
      <c r="CZ2654">
        <v>0</v>
      </c>
      <c r="DA2654">
        <v>1.63</v>
      </c>
      <c r="DB2654">
        <v>0.41</v>
      </c>
      <c r="DC2654">
        <v>0.04</v>
      </c>
      <c r="DD2654">
        <v>35.729999999999997</v>
      </c>
      <c r="DE2654" t="s">
        <v>12022</v>
      </c>
      <c r="DF2654">
        <v>20.85</v>
      </c>
      <c r="DG2654">
        <v>-6.11</v>
      </c>
      <c r="DH2654">
        <v>-7.35</v>
      </c>
      <c r="DI2654">
        <v>0.02</v>
      </c>
      <c r="DJ2654">
        <v>2532</v>
      </c>
      <c r="DK2654">
        <v>600333</v>
      </c>
      <c r="DL2654">
        <v>20210830</v>
      </c>
      <c r="DM2654">
        <v>6.05</v>
      </c>
      <c r="DN2654">
        <v>2.31</v>
      </c>
    </row>
    <row r="2655" spans="1:118">
      <c r="A2655" t="str">
        <f>"600335"</f>
        <v>600335</v>
      </c>
      <c r="B2655" t="s">
        <v>12023</v>
      </c>
      <c r="C2655">
        <v>5.64</v>
      </c>
      <c r="D2655">
        <v>0.35</v>
      </c>
      <c r="E2655">
        <v>0</v>
      </c>
      <c r="F2655">
        <v>5280</v>
      </c>
      <c r="G2655" t="s">
        <v>9572</v>
      </c>
      <c r="H2655">
        <v>18295.830000000002</v>
      </c>
      <c r="I2655">
        <v>9.41</v>
      </c>
      <c r="J2655" t="s">
        <v>120</v>
      </c>
      <c r="K2655" t="s">
        <v>12024</v>
      </c>
      <c r="L2655">
        <v>3.07</v>
      </c>
      <c r="M2655">
        <v>5.81</v>
      </c>
      <c r="N2655">
        <v>2.54</v>
      </c>
      <c r="O2655">
        <v>8.36</v>
      </c>
      <c r="P2655">
        <v>5.96</v>
      </c>
      <c r="Q2655">
        <v>-0.73</v>
      </c>
      <c r="R2655">
        <v>5.46</v>
      </c>
      <c r="S2655">
        <v>5.5</v>
      </c>
      <c r="T2655">
        <v>316193</v>
      </c>
      <c r="U2655">
        <v>5.82</v>
      </c>
      <c r="V2655">
        <v>5.5</v>
      </c>
      <c r="W2655">
        <v>37.799999999999997</v>
      </c>
      <c r="X2655" t="s">
        <v>289</v>
      </c>
      <c r="Y2655" t="s">
        <v>997</v>
      </c>
      <c r="Z2655">
        <v>9.09</v>
      </c>
      <c r="AA2655">
        <v>5.79</v>
      </c>
      <c r="AB2655">
        <v>130687</v>
      </c>
      <c r="AC2655">
        <v>185506</v>
      </c>
      <c r="AD2655">
        <v>0.7</v>
      </c>
      <c r="AE2655">
        <v>441</v>
      </c>
      <c r="AF2655">
        <v>692</v>
      </c>
      <c r="AG2655" t="s">
        <v>120</v>
      </c>
      <c r="AH2655">
        <v>0</v>
      </c>
      <c r="AI2655" t="s">
        <v>120</v>
      </c>
      <c r="AJ2655">
        <v>10.3</v>
      </c>
      <c r="AK2655" t="s">
        <v>12025</v>
      </c>
      <c r="AL2655">
        <v>6.98</v>
      </c>
      <c r="AM2655">
        <v>3236</v>
      </c>
      <c r="AN2655">
        <v>98</v>
      </c>
      <c r="AO2655">
        <v>8.9999999999999998E-4</v>
      </c>
      <c r="AP2655">
        <v>1</v>
      </c>
      <c r="AQ2655">
        <v>-0.36</v>
      </c>
      <c r="AR2655">
        <v>4.12</v>
      </c>
      <c r="AS2655">
        <v>13.25</v>
      </c>
      <c r="AT2655">
        <v>2.11</v>
      </c>
      <c r="AU2655">
        <v>19.79</v>
      </c>
      <c r="AV2655">
        <v>5</v>
      </c>
      <c r="AW2655">
        <v>7.37</v>
      </c>
      <c r="AX2655">
        <v>29.46</v>
      </c>
      <c r="AY2655">
        <v>25.45</v>
      </c>
      <c r="AZ2655">
        <v>18.75</v>
      </c>
      <c r="BA2655">
        <v>0.86</v>
      </c>
      <c r="BB2655" t="s">
        <v>143</v>
      </c>
      <c r="BF2655">
        <v>5.21</v>
      </c>
      <c r="BG2655">
        <v>5.64</v>
      </c>
      <c r="BH2655">
        <v>-2.52</v>
      </c>
      <c r="BI2655">
        <v>6.41</v>
      </c>
      <c r="BJ2655">
        <v>20210826</v>
      </c>
      <c r="BK2655">
        <v>20010305</v>
      </c>
      <c r="BL2655">
        <v>14.57</v>
      </c>
      <c r="BM2655" t="s">
        <v>120</v>
      </c>
      <c r="BN2655" t="s">
        <v>120</v>
      </c>
      <c r="BO2655">
        <v>278.38</v>
      </c>
      <c r="BP2655">
        <v>5.81</v>
      </c>
      <c r="BQ2655">
        <v>104.42</v>
      </c>
      <c r="BR2655">
        <v>-0.87</v>
      </c>
      <c r="BS2655">
        <v>62.8</v>
      </c>
      <c r="BT2655">
        <v>213.4</v>
      </c>
      <c r="BU2655">
        <v>24.14</v>
      </c>
      <c r="BV2655">
        <v>7.49</v>
      </c>
      <c r="BW2655">
        <v>157.59</v>
      </c>
      <c r="BX2655">
        <v>33.85</v>
      </c>
      <c r="BY2655">
        <v>41.81</v>
      </c>
      <c r="BZ2655">
        <v>38.020000000000003</v>
      </c>
      <c r="CA2655">
        <v>0.49</v>
      </c>
      <c r="CB2655">
        <v>30.77</v>
      </c>
      <c r="CC2655">
        <v>231.3</v>
      </c>
      <c r="CD2655">
        <v>217.37</v>
      </c>
      <c r="CE2655">
        <v>1.84</v>
      </c>
      <c r="CF2655">
        <v>-0.3</v>
      </c>
      <c r="CG2655">
        <v>1.94</v>
      </c>
      <c r="CH2655">
        <v>1.18</v>
      </c>
      <c r="CI2655">
        <v>1.1200000000000001</v>
      </c>
      <c r="CJ2655">
        <v>0.31</v>
      </c>
      <c r="CK2655">
        <v>0.81</v>
      </c>
      <c r="CL2655">
        <v>56.18</v>
      </c>
      <c r="CM2655">
        <v>11.08</v>
      </c>
      <c r="CN2655">
        <v>-10.47</v>
      </c>
      <c r="CO2655">
        <v>29653</v>
      </c>
      <c r="CP2655">
        <v>14476</v>
      </c>
      <c r="CQ2655" t="s">
        <v>10502</v>
      </c>
      <c r="CR2655">
        <v>-50.14</v>
      </c>
      <c r="CS2655">
        <v>26.45</v>
      </c>
      <c r="CT2655">
        <v>0.81</v>
      </c>
      <c r="CU2655">
        <v>7.64</v>
      </c>
      <c r="CV2655">
        <v>0.37</v>
      </c>
      <c r="CW2655">
        <v>2.1800000000000002</v>
      </c>
      <c r="CX2655" t="s">
        <v>8991</v>
      </c>
      <c r="CY2655">
        <v>7.17</v>
      </c>
      <c r="CZ2655">
        <v>0</v>
      </c>
      <c r="DA2655">
        <v>2.11</v>
      </c>
      <c r="DB2655">
        <v>3.86</v>
      </c>
      <c r="DC2655">
        <v>0.76</v>
      </c>
      <c r="DD2655">
        <v>37.51</v>
      </c>
      <c r="DE2655" t="s">
        <v>9094</v>
      </c>
      <c r="DF2655">
        <v>6.02</v>
      </c>
      <c r="DG2655">
        <v>0.8</v>
      </c>
      <c r="DH2655">
        <v>0.48</v>
      </c>
      <c r="DI2655">
        <v>2.2599999999999998</v>
      </c>
      <c r="DJ2655">
        <v>7815</v>
      </c>
      <c r="DK2655">
        <v>600335</v>
      </c>
      <c r="DL2655" t="s">
        <v>120</v>
      </c>
      <c r="DM2655" t="s">
        <v>120</v>
      </c>
      <c r="DN2655" t="s">
        <v>120</v>
      </c>
    </row>
    <row r="2656" spans="1:118">
      <c r="A2656" t="str">
        <f>"600336"</f>
        <v>600336</v>
      </c>
      <c r="B2656" t="s">
        <v>12026</v>
      </c>
      <c r="C2656">
        <v>1.66</v>
      </c>
      <c r="D2656">
        <v>-0.15</v>
      </c>
      <c r="E2656">
        <v>-0.5</v>
      </c>
      <c r="F2656">
        <v>1917</v>
      </c>
      <c r="G2656" t="s">
        <v>2458</v>
      </c>
      <c r="H2656">
        <v>16743.47</v>
      </c>
      <c r="I2656">
        <v>13.34</v>
      </c>
      <c r="J2656" t="s">
        <v>120</v>
      </c>
      <c r="K2656" t="s">
        <v>8778</v>
      </c>
      <c r="L2656">
        <v>3.47</v>
      </c>
      <c r="M2656">
        <v>6.11</v>
      </c>
      <c r="N2656">
        <v>2.04</v>
      </c>
      <c r="O2656">
        <v>3.66</v>
      </c>
      <c r="P2656">
        <v>6.23</v>
      </c>
      <c r="Q2656">
        <v>-0.67</v>
      </c>
      <c r="R2656">
        <v>5.97</v>
      </c>
      <c r="S2656">
        <v>5.98</v>
      </c>
      <c r="T2656">
        <v>272027</v>
      </c>
      <c r="U2656">
        <v>6.12</v>
      </c>
      <c r="V2656">
        <v>6.01</v>
      </c>
      <c r="W2656">
        <v>22.4</v>
      </c>
      <c r="X2656" t="s">
        <v>205</v>
      </c>
      <c r="Y2656" t="s">
        <v>638</v>
      </c>
      <c r="Z2656">
        <v>4.33</v>
      </c>
      <c r="AA2656">
        <v>6.16</v>
      </c>
      <c r="AB2656">
        <v>113848</v>
      </c>
      <c r="AC2656">
        <v>158179</v>
      </c>
      <c r="AD2656">
        <v>0.72</v>
      </c>
      <c r="AE2656">
        <v>833</v>
      </c>
      <c r="AF2656">
        <v>1263</v>
      </c>
      <c r="AG2656" t="s">
        <v>120</v>
      </c>
      <c r="AH2656">
        <v>0.01</v>
      </c>
      <c r="AI2656" t="s">
        <v>120</v>
      </c>
      <c r="AJ2656">
        <v>7.84</v>
      </c>
      <c r="AK2656" t="s">
        <v>12027</v>
      </c>
      <c r="AL2656">
        <v>3.01</v>
      </c>
      <c r="AM2656">
        <v>2786</v>
      </c>
      <c r="AN2656">
        <v>98</v>
      </c>
      <c r="AO2656">
        <v>1.1999999999999999E-3</v>
      </c>
      <c r="AP2656">
        <v>2</v>
      </c>
      <c r="AQ2656">
        <v>1.35</v>
      </c>
      <c r="AR2656">
        <v>1.1599999999999999</v>
      </c>
      <c r="AS2656">
        <v>3.91</v>
      </c>
      <c r="AT2656">
        <v>6.26</v>
      </c>
      <c r="AU2656">
        <v>-37.840000000000003</v>
      </c>
      <c r="AV2656">
        <v>5</v>
      </c>
      <c r="AW2656">
        <v>6.45</v>
      </c>
      <c r="AX2656">
        <v>52.83</v>
      </c>
      <c r="AY2656">
        <v>14.86</v>
      </c>
      <c r="AZ2656">
        <v>15.46</v>
      </c>
      <c r="BA2656">
        <v>0.63</v>
      </c>
      <c r="BB2656" t="s">
        <v>143</v>
      </c>
      <c r="BF2656">
        <v>2.41</v>
      </c>
      <c r="BG2656">
        <v>2.17</v>
      </c>
      <c r="BH2656">
        <v>-1.93</v>
      </c>
      <c r="BI2656">
        <v>2.35</v>
      </c>
      <c r="BJ2656">
        <v>20210831</v>
      </c>
      <c r="BK2656">
        <v>20001229</v>
      </c>
      <c r="BL2656">
        <v>7.98</v>
      </c>
      <c r="BM2656" t="s">
        <v>120</v>
      </c>
      <c r="BN2656" t="s">
        <v>120</v>
      </c>
      <c r="BO2656">
        <v>83.44</v>
      </c>
      <c r="BP2656">
        <v>6.11</v>
      </c>
      <c r="BQ2656">
        <v>23.98</v>
      </c>
      <c r="BR2656">
        <v>3.05</v>
      </c>
      <c r="BS2656">
        <v>67.599999999999994</v>
      </c>
      <c r="BT2656">
        <v>62.21</v>
      </c>
      <c r="BU2656">
        <v>9.2100000000000009</v>
      </c>
      <c r="BV2656">
        <v>4.8</v>
      </c>
      <c r="BW2656">
        <v>51.27</v>
      </c>
      <c r="BX2656">
        <v>14.39</v>
      </c>
      <c r="BY2656">
        <v>17.62</v>
      </c>
      <c r="BZ2656">
        <v>13.55</v>
      </c>
      <c r="CA2656" t="s">
        <v>120</v>
      </c>
      <c r="CB2656">
        <v>11.78</v>
      </c>
      <c r="CC2656">
        <v>43.9</v>
      </c>
      <c r="CD2656">
        <v>35.47</v>
      </c>
      <c r="CE2656">
        <v>1.46</v>
      </c>
      <c r="CF2656">
        <v>0.05</v>
      </c>
      <c r="CG2656">
        <v>1.49</v>
      </c>
      <c r="CH2656">
        <v>1.34</v>
      </c>
      <c r="CI2656">
        <v>1.0900000000000001</v>
      </c>
      <c r="CJ2656">
        <v>0.1</v>
      </c>
      <c r="CK2656">
        <v>1</v>
      </c>
      <c r="CL2656">
        <v>3.66</v>
      </c>
      <c r="CM2656">
        <v>3.24</v>
      </c>
      <c r="CN2656">
        <v>1.85</v>
      </c>
      <c r="CO2656">
        <v>61562</v>
      </c>
      <c r="CP2656">
        <v>6851</v>
      </c>
      <c r="CQ2656" t="s">
        <v>1993</v>
      </c>
      <c r="CR2656">
        <v>13.11</v>
      </c>
      <c r="CS2656">
        <v>29.21</v>
      </c>
      <c r="CT2656">
        <v>2.0299999999999998</v>
      </c>
      <c r="CU2656">
        <v>15.07</v>
      </c>
      <c r="CV2656">
        <v>1.1100000000000001</v>
      </c>
      <c r="CW2656">
        <v>2</v>
      </c>
      <c r="CX2656" t="s">
        <v>10091</v>
      </c>
      <c r="CY2656">
        <v>3</v>
      </c>
      <c r="CZ2656">
        <v>0</v>
      </c>
      <c r="DA2656">
        <v>1.48</v>
      </c>
      <c r="DB2656">
        <v>0.46</v>
      </c>
      <c r="DC2656">
        <v>0.41</v>
      </c>
      <c r="DD2656">
        <v>28.74</v>
      </c>
      <c r="DE2656" t="s">
        <v>10084</v>
      </c>
      <c r="DF2656">
        <v>19.190000000000001</v>
      </c>
      <c r="DG2656">
        <v>3.32</v>
      </c>
      <c r="DH2656">
        <v>2.48</v>
      </c>
      <c r="DI2656">
        <v>1</v>
      </c>
      <c r="DJ2656">
        <v>7099</v>
      </c>
      <c r="DK2656">
        <v>600336</v>
      </c>
      <c r="DL2656" t="s">
        <v>120</v>
      </c>
      <c r="DM2656" t="s">
        <v>120</v>
      </c>
      <c r="DN2656" t="s">
        <v>120</v>
      </c>
    </row>
    <row r="2657" spans="1:118">
      <c r="A2657" t="str">
        <f>"600337"</f>
        <v>600337</v>
      </c>
      <c r="B2657" t="s">
        <v>12028</v>
      </c>
      <c r="C2657">
        <v>0.59</v>
      </c>
      <c r="D2657">
        <v>0</v>
      </c>
      <c r="E2657">
        <v>0</v>
      </c>
      <c r="F2657">
        <v>1291</v>
      </c>
      <c r="G2657" t="s">
        <v>4341</v>
      </c>
      <c r="H2657">
        <v>6988.03</v>
      </c>
      <c r="I2657">
        <v>63.16</v>
      </c>
      <c r="J2657" t="s">
        <v>120</v>
      </c>
      <c r="K2657" t="s">
        <v>4959</v>
      </c>
      <c r="L2657">
        <v>1.26</v>
      </c>
      <c r="M2657">
        <v>3.41</v>
      </c>
      <c r="N2657">
        <v>0.72</v>
      </c>
      <c r="O2657">
        <v>1.18</v>
      </c>
      <c r="P2657">
        <v>3.43</v>
      </c>
      <c r="Q2657">
        <v>-0.88</v>
      </c>
      <c r="R2657">
        <v>3.36</v>
      </c>
      <c r="S2657">
        <v>3.39</v>
      </c>
      <c r="T2657">
        <v>205835</v>
      </c>
      <c r="U2657">
        <v>3.41</v>
      </c>
      <c r="V2657">
        <v>3.39</v>
      </c>
      <c r="W2657">
        <v>77.05</v>
      </c>
      <c r="X2657" t="s">
        <v>2409</v>
      </c>
      <c r="Y2657" t="s">
        <v>609</v>
      </c>
      <c r="Z2657">
        <v>2.06</v>
      </c>
      <c r="AA2657">
        <v>3.39</v>
      </c>
      <c r="AB2657">
        <v>87973</v>
      </c>
      <c r="AC2657">
        <v>117862</v>
      </c>
      <c r="AD2657">
        <v>0.75</v>
      </c>
      <c r="AE2657">
        <v>2808</v>
      </c>
      <c r="AF2657">
        <v>1174</v>
      </c>
      <c r="AG2657" t="s">
        <v>120</v>
      </c>
      <c r="AH2657">
        <v>0.02</v>
      </c>
      <c r="AI2657" t="s">
        <v>120</v>
      </c>
      <c r="AJ2657">
        <v>16.28</v>
      </c>
      <c r="AK2657" t="s">
        <v>4959</v>
      </c>
      <c r="AL2657">
        <v>1.93</v>
      </c>
      <c r="AM2657">
        <v>1759</v>
      </c>
      <c r="AN2657">
        <v>117</v>
      </c>
      <c r="AO2657">
        <v>6.9999999999999999E-4</v>
      </c>
      <c r="AP2657">
        <v>1</v>
      </c>
      <c r="AQ2657">
        <v>-1.45</v>
      </c>
      <c r="AR2657">
        <v>-3.12</v>
      </c>
      <c r="AS2657">
        <v>-5.01</v>
      </c>
      <c r="AT2657">
        <v>-20.51</v>
      </c>
      <c r="AU2657">
        <v>-25.38</v>
      </c>
      <c r="AV2657">
        <v>0</v>
      </c>
      <c r="AW2657">
        <v>2.0699999999999998</v>
      </c>
      <c r="AX2657">
        <v>61.17</v>
      </c>
      <c r="AY2657">
        <v>12.06</v>
      </c>
      <c r="AZ2657">
        <v>18.02</v>
      </c>
      <c r="BA2657">
        <v>0.94</v>
      </c>
      <c r="BB2657" t="s">
        <v>125</v>
      </c>
      <c r="BF2657">
        <v>0.15</v>
      </c>
      <c r="BG2657">
        <v>0.59</v>
      </c>
      <c r="BH2657">
        <v>-0.57999999999999996</v>
      </c>
      <c r="BI2657">
        <v>1.49</v>
      </c>
      <c r="BJ2657">
        <v>20210910</v>
      </c>
      <c r="BK2657">
        <v>20001127</v>
      </c>
      <c r="BL2657">
        <v>16.28</v>
      </c>
      <c r="BM2657" t="s">
        <v>120</v>
      </c>
      <c r="BN2657" t="s">
        <v>120</v>
      </c>
      <c r="BO2657">
        <v>98.03</v>
      </c>
      <c r="BP2657">
        <v>3.4</v>
      </c>
      <c r="BQ2657">
        <v>42.11</v>
      </c>
      <c r="BR2657">
        <v>0.12</v>
      </c>
      <c r="BS2657">
        <v>56.91</v>
      </c>
      <c r="BT2657">
        <v>40.83</v>
      </c>
      <c r="BU2657">
        <v>17.53</v>
      </c>
      <c r="BV2657">
        <v>6.4</v>
      </c>
      <c r="BW2657">
        <v>28.09</v>
      </c>
      <c r="BX2657">
        <v>11.11</v>
      </c>
      <c r="BY2657">
        <v>21.78</v>
      </c>
      <c r="BZ2657">
        <v>3.41</v>
      </c>
      <c r="CA2657" t="s">
        <v>120</v>
      </c>
      <c r="CB2657">
        <v>6.95</v>
      </c>
      <c r="CC2657">
        <v>23.81</v>
      </c>
      <c r="CD2657">
        <v>12.13</v>
      </c>
      <c r="CE2657">
        <v>0.36</v>
      </c>
      <c r="CF2657">
        <v>0.01</v>
      </c>
      <c r="CG2657">
        <v>0.4</v>
      </c>
      <c r="CH2657">
        <v>0.34</v>
      </c>
      <c r="CI2657">
        <v>0.36</v>
      </c>
      <c r="CJ2657">
        <v>0.02</v>
      </c>
      <c r="CK2657">
        <v>0.31</v>
      </c>
      <c r="CL2657">
        <v>21.5</v>
      </c>
      <c r="CM2657">
        <v>2.0499999999999998</v>
      </c>
      <c r="CN2657">
        <v>1.55</v>
      </c>
      <c r="CO2657">
        <v>27653</v>
      </c>
      <c r="CP2657">
        <v>36020</v>
      </c>
      <c r="CQ2657" t="s">
        <v>12029</v>
      </c>
      <c r="CR2657">
        <v>131.22999999999999</v>
      </c>
      <c r="CS2657">
        <v>41.32</v>
      </c>
      <c r="CT2657">
        <v>1.32</v>
      </c>
      <c r="CU2657">
        <v>27.11</v>
      </c>
      <c r="CV2657">
        <v>2.33</v>
      </c>
      <c r="CW2657">
        <v>0</v>
      </c>
      <c r="CX2657" t="s">
        <v>499</v>
      </c>
      <c r="CY2657">
        <v>2.59</v>
      </c>
      <c r="CZ2657">
        <v>0</v>
      </c>
      <c r="DA2657">
        <v>0.43</v>
      </c>
      <c r="DB2657">
        <v>1.32</v>
      </c>
      <c r="DC2657">
        <v>0.13</v>
      </c>
      <c r="DD2657">
        <v>42.96</v>
      </c>
      <c r="DE2657" t="s">
        <v>3901</v>
      </c>
      <c r="DF2657">
        <v>49.03</v>
      </c>
      <c r="DG2657">
        <v>1.5</v>
      </c>
      <c r="DH2657">
        <v>1.51</v>
      </c>
      <c r="DI2657">
        <v>0.4</v>
      </c>
      <c r="DJ2657">
        <v>10144</v>
      </c>
      <c r="DK2657">
        <v>600337</v>
      </c>
      <c r="DL2657" t="s">
        <v>120</v>
      </c>
      <c r="DM2657" t="s">
        <v>120</v>
      </c>
      <c r="DN2657" t="s">
        <v>120</v>
      </c>
    </row>
    <row r="2658" spans="1:118">
      <c r="A2658" t="str">
        <f>"600338"</f>
        <v>600338</v>
      </c>
      <c r="B2658" t="s">
        <v>12030</v>
      </c>
      <c r="C2658">
        <v>-10.01</v>
      </c>
      <c r="D2658">
        <v>0</v>
      </c>
      <c r="E2658">
        <v>-3.11</v>
      </c>
      <c r="F2658">
        <v>1110</v>
      </c>
      <c r="G2658" t="s">
        <v>12031</v>
      </c>
      <c r="H2658">
        <v>267984.53000000003</v>
      </c>
      <c r="I2658">
        <v>1734.98</v>
      </c>
      <c r="J2658">
        <v>13367.95</v>
      </c>
      <c r="K2658" t="s">
        <v>12032</v>
      </c>
      <c r="L2658">
        <v>6.61</v>
      </c>
      <c r="M2658">
        <v>42.89</v>
      </c>
      <c r="N2658">
        <v>0.83</v>
      </c>
      <c r="O2658">
        <v>-1.87</v>
      </c>
      <c r="P2658">
        <v>46.77</v>
      </c>
      <c r="Q2658">
        <v>-10.01</v>
      </c>
      <c r="R2658">
        <v>42.89</v>
      </c>
      <c r="S2658">
        <v>46.18</v>
      </c>
      <c r="T2658">
        <v>604619</v>
      </c>
      <c r="U2658">
        <v>42.89</v>
      </c>
      <c r="V2658">
        <v>47.66</v>
      </c>
      <c r="W2658">
        <v>46.95</v>
      </c>
      <c r="X2658" t="s">
        <v>439</v>
      </c>
      <c r="Y2658" t="s">
        <v>1886</v>
      </c>
      <c r="Z2658">
        <v>8.14</v>
      </c>
      <c r="AA2658">
        <v>44.32</v>
      </c>
      <c r="AB2658">
        <v>302893</v>
      </c>
      <c r="AC2658">
        <v>301726</v>
      </c>
      <c r="AD2658">
        <v>1</v>
      </c>
      <c r="AE2658">
        <v>0</v>
      </c>
      <c r="AF2658">
        <v>31168</v>
      </c>
      <c r="AG2658" t="s">
        <v>120</v>
      </c>
      <c r="AH2658">
        <v>0.08</v>
      </c>
      <c r="AI2658">
        <v>0.05</v>
      </c>
      <c r="AJ2658">
        <v>9.14</v>
      </c>
      <c r="AK2658" t="s">
        <v>12032</v>
      </c>
      <c r="AL2658">
        <v>-8.66</v>
      </c>
      <c r="AM2658">
        <v>4687</v>
      </c>
      <c r="AN2658">
        <v>129</v>
      </c>
      <c r="AO2658">
        <v>1.4E-3</v>
      </c>
      <c r="AP2658">
        <v>-2</v>
      </c>
      <c r="AQ2658">
        <v>-4.47</v>
      </c>
      <c r="AR2658">
        <v>-6.56</v>
      </c>
      <c r="AS2658">
        <v>11.37</v>
      </c>
      <c r="AT2658">
        <v>212.15</v>
      </c>
      <c r="AU2658">
        <v>321.31</v>
      </c>
      <c r="AV2658">
        <v>16</v>
      </c>
      <c r="AW2658">
        <v>13.14</v>
      </c>
      <c r="AX2658">
        <v>50.32</v>
      </c>
      <c r="AY2658">
        <v>132.78</v>
      </c>
      <c r="AZ2658">
        <v>1424.63</v>
      </c>
      <c r="BA2658">
        <v>1.34</v>
      </c>
      <c r="BB2658" t="s">
        <v>143</v>
      </c>
      <c r="BF2658">
        <v>-7</v>
      </c>
      <c r="BG2658">
        <v>-7.12</v>
      </c>
      <c r="BH2658">
        <v>-8.3000000000000007</v>
      </c>
      <c r="BI2658">
        <v>0</v>
      </c>
      <c r="BJ2658">
        <v>20210816</v>
      </c>
      <c r="BK2658">
        <v>20001227</v>
      </c>
      <c r="BL2658">
        <v>9.14</v>
      </c>
      <c r="BM2658" t="s">
        <v>120</v>
      </c>
      <c r="BN2658" t="s">
        <v>120</v>
      </c>
      <c r="BO2658">
        <v>37.9</v>
      </c>
      <c r="BP2658" t="s">
        <v>120</v>
      </c>
      <c r="BQ2658">
        <v>25.06</v>
      </c>
      <c r="BR2658">
        <v>-0.4</v>
      </c>
      <c r="BS2658">
        <v>34.93</v>
      </c>
      <c r="BT2658">
        <v>4.9400000000000004</v>
      </c>
      <c r="BU2658">
        <v>14.6</v>
      </c>
      <c r="BV2658">
        <v>0.01</v>
      </c>
      <c r="BW2658">
        <v>13.24</v>
      </c>
      <c r="BX2658">
        <v>1.36</v>
      </c>
      <c r="BY2658">
        <v>0.89</v>
      </c>
      <c r="BZ2658">
        <v>0.62</v>
      </c>
      <c r="CA2658">
        <v>0</v>
      </c>
      <c r="CB2658">
        <v>0.22</v>
      </c>
      <c r="CC2658">
        <v>9.94</v>
      </c>
      <c r="CD2658">
        <v>2.76</v>
      </c>
      <c r="CE2658">
        <v>4.91</v>
      </c>
      <c r="CF2658">
        <v>-0.05</v>
      </c>
      <c r="CG2658">
        <v>4.9000000000000004</v>
      </c>
      <c r="CH2658">
        <v>4.21</v>
      </c>
      <c r="CI2658">
        <v>4.18</v>
      </c>
      <c r="CJ2658">
        <v>-4.7699999999999996</v>
      </c>
      <c r="CK2658">
        <v>4.2300000000000004</v>
      </c>
      <c r="CL2658">
        <v>24.48</v>
      </c>
      <c r="CM2658">
        <v>4.22</v>
      </c>
      <c r="CN2658">
        <v>-1.1299999999999999</v>
      </c>
      <c r="CO2658">
        <v>68597</v>
      </c>
      <c r="CP2658">
        <v>6706</v>
      </c>
      <c r="CQ2658" t="s">
        <v>12033</v>
      </c>
      <c r="CR2658">
        <v>248</v>
      </c>
      <c r="CS2658">
        <v>40.28</v>
      </c>
      <c r="CT2658">
        <v>15.65</v>
      </c>
      <c r="CU2658">
        <v>92.96</v>
      </c>
      <c r="CV2658">
        <v>39.46</v>
      </c>
      <c r="CW2658">
        <v>0</v>
      </c>
      <c r="CX2658" t="s">
        <v>12034</v>
      </c>
      <c r="CY2658">
        <v>2.74</v>
      </c>
      <c r="CZ2658">
        <v>0</v>
      </c>
      <c r="DA2658">
        <v>0.02</v>
      </c>
      <c r="DB2658">
        <v>2.68</v>
      </c>
      <c r="DC2658">
        <v>0.46</v>
      </c>
      <c r="DD2658">
        <v>66.12</v>
      </c>
      <c r="DE2658" t="s">
        <v>12035</v>
      </c>
      <c r="DF2658">
        <v>72.2</v>
      </c>
      <c r="DG2658">
        <v>49.41</v>
      </c>
      <c r="DH2658">
        <v>42.02</v>
      </c>
      <c r="DI2658" t="s">
        <v>120</v>
      </c>
      <c r="DJ2658">
        <v>2007</v>
      </c>
      <c r="DK2658">
        <v>600338</v>
      </c>
      <c r="DL2658">
        <v>20210714</v>
      </c>
      <c r="DM2658">
        <v>20.95</v>
      </c>
      <c r="DN2658">
        <v>104.73</v>
      </c>
    </row>
    <row r="2659" spans="1:118">
      <c r="A2659" t="str">
        <f>"600339"</f>
        <v>600339</v>
      </c>
      <c r="B2659" t="s">
        <v>12036</v>
      </c>
      <c r="C2659">
        <v>-2.0099999999999998</v>
      </c>
      <c r="D2659">
        <v>0</v>
      </c>
      <c r="E2659">
        <v>2.2999999999999998</v>
      </c>
      <c r="F2659">
        <v>3762</v>
      </c>
      <c r="G2659" t="s">
        <v>12037</v>
      </c>
      <c r="H2659">
        <v>44822.33</v>
      </c>
      <c r="I2659">
        <v>329.26</v>
      </c>
      <c r="J2659" t="s">
        <v>120</v>
      </c>
      <c r="K2659" t="s">
        <v>12038</v>
      </c>
      <c r="L2659">
        <v>2.2999999999999998</v>
      </c>
      <c r="M2659">
        <v>3.41</v>
      </c>
      <c r="N2659">
        <v>0.85</v>
      </c>
      <c r="O2659">
        <v>3.16</v>
      </c>
      <c r="P2659">
        <v>3.59</v>
      </c>
      <c r="Q2659">
        <v>-2.59</v>
      </c>
      <c r="R2659">
        <v>3.39</v>
      </c>
      <c r="S2659">
        <v>3.56</v>
      </c>
      <c r="T2659">
        <v>1283852</v>
      </c>
      <c r="U2659">
        <v>3.42</v>
      </c>
      <c r="V2659">
        <v>3.48</v>
      </c>
      <c r="W2659">
        <v>19.809999999999999</v>
      </c>
      <c r="X2659" t="s">
        <v>431</v>
      </c>
      <c r="Y2659" t="s">
        <v>609</v>
      </c>
      <c r="Z2659">
        <v>5.75</v>
      </c>
      <c r="AA2659">
        <v>3.49</v>
      </c>
      <c r="AB2659">
        <v>712663</v>
      </c>
      <c r="AC2659">
        <v>571189</v>
      </c>
      <c r="AD2659">
        <v>1.25</v>
      </c>
      <c r="AE2659">
        <v>2556</v>
      </c>
      <c r="AF2659">
        <v>5027</v>
      </c>
      <c r="AG2659" t="s">
        <v>120</v>
      </c>
      <c r="AH2659">
        <v>0.06</v>
      </c>
      <c r="AI2659" t="s">
        <v>120</v>
      </c>
      <c r="AJ2659">
        <v>55.83</v>
      </c>
      <c r="AK2659" t="s">
        <v>12038</v>
      </c>
      <c r="AL2659">
        <v>-0.67</v>
      </c>
      <c r="AM2659">
        <v>4046</v>
      </c>
      <c r="AN2659">
        <v>317</v>
      </c>
      <c r="AO2659">
        <v>5.9999999999999995E-4</v>
      </c>
      <c r="AP2659">
        <v>-1</v>
      </c>
      <c r="AQ2659">
        <v>2.96</v>
      </c>
      <c r="AR2659">
        <v>-0.57999999999999996</v>
      </c>
      <c r="AS2659">
        <v>25.83</v>
      </c>
      <c r="AT2659">
        <v>17.02</v>
      </c>
      <c r="AU2659">
        <v>12.39</v>
      </c>
      <c r="AV2659">
        <v>3</v>
      </c>
      <c r="AW2659">
        <v>8.27</v>
      </c>
      <c r="AX2659">
        <v>27.8</v>
      </c>
      <c r="AY2659">
        <v>18.329999999999998</v>
      </c>
      <c r="AZ2659">
        <v>22.72</v>
      </c>
      <c r="BA2659">
        <v>0.6</v>
      </c>
      <c r="BB2659" t="s">
        <v>184</v>
      </c>
      <c r="BF2659">
        <v>0.32</v>
      </c>
      <c r="BG2659">
        <v>-4.21</v>
      </c>
      <c r="BH2659">
        <v>-5.01</v>
      </c>
      <c r="BI2659">
        <v>0.59</v>
      </c>
      <c r="BJ2659">
        <v>20210831</v>
      </c>
      <c r="BK2659">
        <v>20001225</v>
      </c>
      <c r="BL2659">
        <v>55.83</v>
      </c>
      <c r="BM2659" t="s">
        <v>120</v>
      </c>
      <c r="BN2659" t="s">
        <v>120</v>
      </c>
      <c r="BO2659">
        <v>1055.6500000000001</v>
      </c>
      <c r="BP2659">
        <v>3.41</v>
      </c>
      <c r="BQ2659">
        <v>248.36</v>
      </c>
      <c r="BR2659">
        <v>0.65</v>
      </c>
      <c r="BS2659">
        <v>76.41</v>
      </c>
      <c r="BT2659">
        <v>965.72</v>
      </c>
      <c r="BU2659">
        <v>50.25</v>
      </c>
      <c r="BV2659">
        <v>17.78</v>
      </c>
      <c r="BW2659">
        <v>780.89</v>
      </c>
      <c r="BX2659">
        <v>229.82</v>
      </c>
      <c r="BY2659">
        <v>103.72</v>
      </c>
      <c r="BZ2659">
        <v>106.69</v>
      </c>
      <c r="CA2659" t="s">
        <v>120</v>
      </c>
      <c r="CB2659">
        <v>145.76</v>
      </c>
      <c r="CC2659">
        <v>327.04000000000002</v>
      </c>
      <c r="CD2659">
        <v>303.75</v>
      </c>
      <c r="CE2659">
        <v>6.57</v>
      </c>
      <c r="CF2659">
        <v>0.04</v>
      </c>
      <c r="CG2659">
        <v>6.78</v>
      </c>
      <c r="CH2659">
        <v>4.8499999999999996</v>
      </c>
      <c r="CI2659">
        <v>4.8099999999999996</v>
      </c>
      <c r="CJ2659">
        <v>-7.0000000000000007E-2</v>
      </c>
      <c r="CK2659">
        <v>4.53</v>
      </c>
      <c r="CL2659">
        <v>39.19</v>
      </c>
      <c r="CM2659">
        <v>-64.78</v>
      </c>
      <c r="CN2659">
        <v>-67.39</v>
      </c>
      <c r="CO2659">
        <v>71224</v>
      </c>
      <c r="CP2659">
        <v>21793</v>
      </c>
      <c r="CQ2659" t="s">
        <v>6497</v>
      </c>
      <c r="CR2659">
        <v>74.209999999999994</v>
      </c>
      <c r="CS2659">
        <v>15.37</v>
      </c>
      <c r="CT2659">
        <v>0.77</v>
      </c>
      <c r="CU2659">
        <v>-2.94</v>
      </c>
      <c r="CV2659">
        <v>0.57999999999999996</v>
      </c>
      <c r="CW2659">
        <v>1.32</v>
      </c>
      <c r="CX2659" t="s">
        <v>9032</v>
      </c>
      <c r="CY2659">
        <v>4.45</v>
      </c>
      <c r="CZ2659">
        <v>0</v>
      </c>
      <c r="DA2659">
        <v>2.61</v>
      </c>
      <c r="DB2659">
        <v>0.7</v>
      </c>
      <c r="DC2659">
        <v>-1.1599999999999999</v>
      </c>
      <c r="DD2659">
        <v>23.53</v>
      </c>
      <c r="DE2659" t="s">
        <v>5805</v>
      </c>
      <c r="DF2659">
        <v>7.12</v>
      </c>
      <c r="DG2659">
        <v>2.0099999999999998</v>
      </c>
      <c r="DH2659">
        <v>1.47</v>
      </c>
      <c r="DI2659">
        <v>2.4700000000000002</v>
      </c>
      <c r="DJ2659">
        <v>44291</v>
      </c>
      <c r="DK2659">
        <v>600339</v>
      </c>
      <c r="DL2659" t="s">
        <v>120</v>
      </c>
      <c r="DM2659" t="s">
        <v>120</v>
      </c>
      <c r="DN2659" t="s">
        <v>120</v>
      </c>
    </row>
    <row r="2660" spans="1:118">
      <c r="A2660" t="str">
        <f>"600340"</f>
        <v>600340</v>
      </c>
      <c r="B2660" t="s">
        <v>12039</v>
      </c>
      <c r="C2660">
        <v>-2.54</v>
      </c>
      <c r="D2660">
        <v>-0.25</v>
      </c>
      <c r="E2660">
        <v>0</v>
      </c>
      <c r="F2660">
        <v>9844</v>
      </c>
      <c r="G2660" t="s">
        <v>12040</v>
      </c>
      <c r="H2660">
        <v>19367.57</v>
      </c>
      <c r="I2660">
        <v>50.85</v>
      </c>
      <c r="J2660" t="s">
        <v>120</v>
      </c>
      <c r="K2660" t="s">
        <v>12041</v>
      </c>
      <c r="L2660">
        <v>1.28</v>
      </c>
      <c r="M2660">
        <v>3.83</v>
      </c>
      <c r="N2660">
        <v>0.76</v>
      </c>
      <c r="O2660">
        <v>1.02</v>
      </c>
      <c r="P2660">
        <v>3.97</v>
      </c>
      <c r="Q2660">
        <v>-2.8</v>
      </c>
      <c r="R2660">
        <v>3.82</v>
      </c>
      <c r="S2660">
        <v>3.93</v>
      </c>
      <c r="T2660">
        <v>497649</v>
      </c>
      <c r="U2660">
        <v>3.84</v>
      </c>
      <c r="V2660">
        <v>3.93</v>
      </c>
      <c r="W2660" t="s">
        <v>120</v>
      </c>
      <c r="X2660" t="s">
        <v>150</v>
      </c>
      <c r="Y2660" t="s">
        <v>602</v>
      </c>
      <c r="Z2660">
        <v>3.82</v>
      </c>
      <c r="AA2660">
        <v>3.89</v>
      </c>
      <c r="AB2660">
        <v>270157</v>
      </c>
      <c r="AC2660">
        <v>227492</v>
      </c>
      <c r="AD2660">
        <v>1.19</v>
      </c>
      <c r="AE2660">
        <v>114</v>
      </c>
      <c r="AF2660">
        <v>3960</v>
      </c>
      <c r="AG2660" t="s">
        <v>120</v>
      </c>
      <c r="AH2660">
        <v>0.01</v>
      </c>
      <c r="AI2660" t="s">
        <v>120</v>
      </c>
      <c r="AJ2660">
        <v>38.93</v>
      </c>
      <c r="AK2660" t="s">
        <v>4631</v>
      </c>
      <c r="AL2660">
        <v>-1.2</v>
      </c>
      <c r="AM2660">
        <v>3652</v>
      </c>
      <c r="AN2660">
        <v>136</v>
      </c>
      <c r="AO2660">
        <v>4.0000000000000002E-4</v>
      </c>
      <c r="AP2660">
        <v>-3</v>
      </c>
      <c r="AQ2660">
        <v>-1.5</v>
      </c>
      <c r="AR2660">
        <v>-8.3699999999999992</v>
      </c>
      <c r="AS2660">
        <v>-7.93</v>
      </c>
      <c r="AT2660">
        <v>-26.06</v>
      </c>
      <c r="AU2660">
        <v>-70.38</v>
      </c>
      <c r="AV2660">
        <v>3</v>
      </c>
      <c r="AW2660">
        <v>2.4700000000000002</v>
      </c>
      <c r="AX2660">
        <v>51.58</v>
      </c>
      <c r="AY2660" t="s">
        <v>120</v>
      </c>
      <c r="AZ2660">
        <v>4.2</v>
      </c>
      <c r="BA2660">
        <v>0.86</v>
      </c>
      <c r="BB2660" t="s">
        <v>143</v>
      </c>
      <c r="BF2660">
        <v>-0.97</v>
      </c>
      <c r="BG2660">
        <v>-2.54</v>
      </c>
      <c r="BH2660">
        <v>-3.53</v>
      </c>
      <c r="BI2660">
        <v>0.26</v>
      </c>
      <c r="BJ2660">
        <v>20210827</v>
      </c>
      <c r="BK2660">
        <v>20031230</v>
      </c>
      <c r="BL2660">
        <v>39.14</v>
      </c>
      <c r="BM2660" t="s">
        <v>120</v>
      </c>
      <c r="BN2660" t="s">
        <v>120</v>
      </c>
      <c r="BO2660">
        <v>4745.84</v>
      </c>
      <c r="BP2660">
        <v>3.83</v>
      </c>
      <c r="BQ2660">
        <v>526.39</v>
      </c>
      <c r="BR2660">
        <v>296.04000000000002</v>
      </c>
      <c r="BS2660">
        <v>82.67</v>
      </c>
      <c r="BT2660">
        <v>4244.3</v>
      </c>
      <c r="BU2660">
        <v>80.17</v>
      </c>
      <c r="BV2660">
        <v>65.27</v>
      </c>
      <c r="BW2660">
        <v>3116.4</v>
      </c>
      <c r="BX2660">
        <v>139.80000000000001</v>
      </c>
      <c r="BY2660">
        <v>1715.56</v>
      </c>
      <c r="BZ2660">
        <v>572.79</v>
      </c>
      <c r="CA2660">
        <v>1.87</v>
      </c>
      <c r="CB2660">
        <v>0</v>
      </c>
      <c r="CC2660">
        <v>210.68</v>
      </c>
      <c r="CD2660">
        <v>199.53</v>
      </c>
      <c r="CE2660">
        <v>-104.6</v>
      </c>
      <c r="CF2660">
        <v>1.39</v>
      </c>
      <c r="CG2660">
        <v>-106.48</v>
      </c>
      <c r="CH2660">
        <v>-92.2</v>
      </c>
      <c r="CI2660">
        <v>-94.8</v>
      </c>
      <c r="CJ2660">
        <v>-0.1</v>
      </c>
      <c r="CK2660">
        <v>-95.2</v>
      </c>
      <c r="CL2660">
        <v>282.23</v>
      </c>
      <c r="CM2660">
        <v>-47.67</v>
      </c>
      <c r="CN2660">
        <v>-133.49</v>
      </c>
      <c r="CO2660">
        <v>175126</v>
      </c>
      <c r="CP2660">
        <v>11527</v>
      </c>
      <c r="CQ2660" t="s">
        <v>12042</v>
      </c>
      <c r="CR2660">
        <v>-256.37</v>
      </c>
      <c r="CS2660">
        <v>-43.63</v>
      </c>
      <c r="CT2660">
        <v>0.42</v>
      </c>
      <c r="CU2660">
        <v>-3.14</v>
      </c>
      <c r="CV2660">
        <v>0.71</v>
      </c>
      <c r="CW2660">
        <v>0</v>
      </c>
      <c r="CX2660" t="s">
        <v>12043</v>
      </c>
      <c r="CY2660">
        <v>9.1199999999999992</v>
      </c>
      <c r="CZ2660">
        <v>9.1199999999999992</v>
      </c>
      <c r="DA2660">
        <v>0</v>
      </c>
      <c r="DB2660">
        <v>7.21</v>
      </c>
      <c r="DC2660">
        <v>-1.22</v>
      </c>
      <c r="DD2660">
        <v>11.09</v>
      </c>
      <c r="DE2660" t="s">
        <v>12044</v>
      </c>
      <c r="DF2660">
        <v>5.29</v>
      </c>
      <c r="DG2660">
        <v>-49.65</v>
      </c>
      <c r="DH2660">
        <v>-45</v>
      </c>
      <c r="DI2660">
        <v>0.01</v>
      </c>
      <c r="DJ2660">
        <v>21450</v>
      </c>
      <c r="DK2660">
        <v>600340</v>
      </c>
      <c r="DL2660" t="s">
        <v>120</v>
      </c>
      <c r="DM2660" t="s">
        <v>120</v>
      </c>
      <c r="DN2660" t="s">
        <v>120</v>
      </c>
    </row>
    <row r="2661" spans="1:118">
      <c r="A2661" t="str">
        <f>"600343"</f>
        <v>600343</v>
      </c>
      <c r="B2661" t="s">
        <v>12045</v>
      </c>
      <c r="C2661">
        <v>-2.2400000000000002</v>
      </c>
      <c r="D2661">
        <v>0</v>
      </c>
      <c r="E2661">
        <v>0</v>
      </c>
      <c r="F2661">
        <v>1130</v>
      </c>
      <c r="G2661" t="s">
        <v>12046</v>
      </c>
      <c r="H2661">
        <v>16503</v>
      </c>
      <c r="I2661">
        <v>67.28</v>
      </c>
      <c r="J2661" t="s">
        <v>120</v>
      </c>
      <c r="K2661" t="s">
        <v>12047</v>
      </c>
      <c r="L2661">
        <v>2.42</v>
      </c>
      <c r="M2661">
        <v>10.49</v>
      </c>
      <c r="N2661">
        <v>0.78</v>
      </c>
      <c r="O2661">
        <v>1.58</v>
      </c>
      <c r="P2661">
        <v>10.9</v>
      </c>
      <c r="Q2661">
        <v>-2.89</v>
      </c>
      <c r="R2661">
        <v>10.42</v>
      </c>
      <c r="S2661">
        <v>10.73</v>
      </c>
      <c r="T2661">
        <v>154532</v>
      </c>
      <c r="U2661">
        <v>10.5</v>
      </c>
      <c r="V2661">
        <v>10.73</v>
      </c>
      <c r="W2661">
        <v>799.53</v>
      </c>
      <c r="X2661" t="s">
        <v>1621</v>
      </c>
      <c r="Y2661" t="s">
        <v>890</v>
      </c>
      <c r="Z2661">
        <v>4.47</v>
      </c>
      <c r="AA2661">
        <v>10.68</v>
      </c>
      <c r="AB2661">
        <v>84119</v>
      </c>
      <c r="AC2661">
        <v>70413</v>
      </c>
      <c r="AD2661">
        <v>1.19</v>
      </c>
      <c r="AE2661">
        <v>287</v>
      </c>
      <c r="AF2661">
        <v>617</v>
      </c>
      <c r="AG2661" t="s">
        <v>120</v>
      </c>
      <c r="AH2661">
        <v>0.02</v>
      </c>
      <c r="AI2661" t="s">
        <v>120</v>
      </c>
      <c r="AJ2661">
        <v>6.38</v>
      </c>
      <c r="AK2661" t="s">
        <v>12047</v>
      </c>
      <c r="AL2661">
        <v>-0.89</v>
      </c>
      <c r="AM2661">
        <v>3098</v>
      </c>
      <c r="AN2661">
        <v>50</v>
      </c>
      <c r="AO2661">
        <v>8.0000000000000004E-4</v>
      </c>
      <c r="AP2661">
        <v>-5</v>
      </c>
      <c r="AQ2661">
        <v>-2.9</v>
      </c>
      <c r="AR2661">
        <v>-6.17</v>
      </c>
      <c r="AS2661">
        <v>1.55</v>
      </c>
      <c r="AT2661">
        <v>4.4800000000000004</v>
      </c>
      <c r="AU2661">
        <v>7.48</v>
      </c>
      <c r="AV2661">
        <v>5</v>
      </c>
      <c r="AW2661">
        <v>4.3099999999999996</v>
      </c>
      <c r="AX2661">
        <v>56.21</v>
      </c>
      <c r="AY2661">
        <v>182.2</v>
      </c>
      <c r="AZ2661">
        <v>248</v>
      </c>
      <c r="BA2661">
        <v>0.68</v>
      </c>
      <c r="BB2661" t="s">
        <v>143</v>
      </c>
      <c r="BF2661">
        <v>-0.47</v>
      </c>
      <c r="BG2661">
        <v>-2.2400000000000002</v>
      </c>
      <c r="BH2661">
        <v>-3.76</v>
      </c>
      <c r="BI2661">
        <v>0.67</v>
      </c>
      <c r="BJ2661">
        <v>20210821</v>
      </c>
      <c r="BK2661">
        <v>20030408</v>
      </c>
      <c r="BL2661">
        <v>6.38</v>
      </c>
      <c r="BM2661" t="s">
        <v>120</v>
      </c>
      <c r="BN2661" t="s">
        <v>120</v>
      </c>
      <c r="BO2661">
        <v>37.94</v>
      </c>
      <c r="BP2661">
        <v>10.49</v>
      </c>
      <c r="BQ2661">
        <v>21.56</v>
      </c>
      <c r="BR2661">
        <v>2.98</v>
      </c>
      <c r="BS2661">
        <v>35.33</v>
      </c>
      <c r="BT2661">
        <v>26.05</v>
      </c>
      <c r="BU2661">
        <v>7.19</v>
      </c>
      <c r="BV2661">
        <v>1.56</v>
      </c>
      <c r="BW2661">
        <v>12.55</v>
      </c>
      <c r="BX2661">
        <v>2.48</v>
      </c>
      <c r="BY2661">
        <v>9.8699999999999992</v>
      </c>
      <c r="BZ2661">
        <v>9.36</v>
      </c>
      <c r="CA2661" t="s">
        <v>120</v>
      </c>
      <c r="CB2661">
        <v>11.92</v>
      </c>
      <c r="CC2661">
        <v>5.14</v>
      </c>
      <c r="CD2661">
        <v>4.22</v>
      </c>
      <c r="CE2661">
        <v>0.06</v>
      </c>
      <c r="CF2661">
        <v>0</v>
      </c>
      <c r="CG2661">
        <v>0.06</v>
      </c>
      <c r="CH2661">
        <v>0.06</v>
      </c>
      <c r="CI2661">
        <v>0.04</v>
      </c>
      <c r="CJ2661">
        <v>-0.24</v>
      </c>
      <c r="CK2661">
        <v>-0.03</v>
      </c>
      <c r="CL2661">
        <v>2.71</v>
      </c>
      <c r="CM2661">
        <v>-1.32</v>
      </c>
      <c r="CN2661">
        <v>-3.69</v>
      </c>
      <c r="CO2661">
        <v>83262</v>
      </c>
      <c r="CP2661">
        <v>4309</v>
      </c>
      <c r="CQ2661" t="s">
        <v>5804</v>
      </c>
      <c r="CR2661">
        <v>172.37</v>
      </c>
      <c r="CS2661">
        <v>4.29</v>
      </c>
      <c r="CT2661">
        <v>3.11</v>
      </c>
      <c r="CU2661">
        <v>-50.57</v>
      </c>
      <c r="CV2661">
        <v>13.02</v>
      </c>
      <c r="CW2661">
        <v>0</v>
      </c>
      <c r="CX2661" t="s">
        <v>2745</v>
      </c>
      <c r="CY2661">
        <v>3.38</v>
      </c>
      <c r="CZ2661">
        <v>0</v>
      </c>
      <c r="DA2661">
        <v>1.87</v>
      </c>
      <c r="DB2661">
        <v>0.42</v>
      </c>
      <c r="DC2661">
        <v>-0.21</v>
      </c>
      <c r="DD2661">
        <v>56.81</v>
      </c>
      <c r="DE2661" t="s">
        <v>4500</v>
      </c>
      <c r="DF2661">
        <v>17.940000000000001</v>
      </c>
      <c r="DG2661">
        <v>1.1499999999999999</v>
      </c>
      <c r="DH2661">
        <v>0.81</v>
      </c>
      <c r="DI2661">
        <v>0.16</v>
      </c>
      <c r="DJ2661">
        <v>2134</v>
      </c>
      <c r="DK2661">
        <v>600343</v>
      </c>
      <c r="DL2661" t="s">
        <v>120</v>
      </c>
      <c r="DM2661" t="s">
        <v>120</v>
      </c>
      <c r="DN2661" t="s">
        <v>120</v>
      </c>
    </row>
    <row r="2662" spans="1:118">
      <c r="A2662" t="str">
        <f>"600345"</f>
        <v>600345</v>
      </c>
      <c r="B2662" t="s">
        <v>12048</v>
      </c>
      <c r="C2662">
        <v>-2.6</v>
      </c>
      <c r="D2662">
        <v>0.24</v>
      </c>
      <c r="E2662">
        <v>0.35</v>
      </c>
      <c r="F2662">
        <v>536</v>
      </c>
      <c r="G2662" t="s">
        <v>11775</v>
      </c>
      <c r="H2662">
        <v>5397.76</v>
      </c>
      <c r="I2662">
        <v>26.09</v>
      </c>
      <c r="J2662" t="s">
        <v>120</v>
      </c>
      <c r="K2662" t="s">
        <v>12049</v>
      </c>
      <c r="L2662">
        <v>1.6</v>
      </c>
      <c r="M2662">
        <v>16.88</v>
      </c>
      <c r="N2662">
        <v>0.91</v>
      </c>
      <c r="O2662">
        <v>0.35</v>
      </c>
      <c r="P2662">
        <v>17.39</v>
      </c>
      <c r="Q2662">
        <v>-2.83</v>
      </c>
      <c r="R2662">
        <v>16.84</v>
      </c>
      <c r="S2662">
        <v>17.39</v>
      </c>
      <c r="T2662">
        <v>31666</v>
      </c>
      <c r="U2662">
        <v>16.88</v>
      </c>
      <c r="V2662">
        <v>17.329999999999998</v>
      </c>
      <c r="W2662">
        <v>22.61</v>
      </c>
      <c r="X2662" t="s">
        <v>462</v>
      </c>
      <c r="Y2662" t="s">
        <v>763</v>
      </c>
      <c r="Z2662">
        <v>3.17</v>
      </c>
      <c r="AA2662">
        <v>17.05</v>
      </c>
      <c r="AB2662">
        <v>17687</v>
      </c>
      <c r="AC2662">
        <v>13979</v>
      </c>
      <c r="AD2662">
        <v>1.27</v>
      </c>
      <c r="AE2662">
        <v>3</v>
      </c>
      <c r="AF2662">
        <v>99</v>
      </c>
      <c r="AG2662" t="s">
        <v>120</v>
      </c>
      <c r="AH2662">
        <v>0.01</v>
      </c>
      <c r="AI2662" t="s">
        <v>120</v>
      </c>
      <c r="AJ2662">
        <v>1.98</v>
      </c>
      <c r="AK2662" t="s">
        <v>12049</v>
      </c>
      <c r="AL2662">
        <v>-1.25</v>
      </c>
      <c r="AM2662">
        <v>2151</v>
      </c>
      <c r="AN2662">
        <v>15</v>
      </c>
      <c r="AO2662">
        <v>6.9999999999999999E-4</v>
      </c>
      <c r="AP2662">
        <v>-1</v>
      </c>
      <c r="AQ2662">
        <v>0.87</v>
      </c>
      <c r="AR2662">
        <v>-3.44</v>
      </c>
      <c r="AS2662">
        <v>9.9700000000000006</v>
      </c>
      <c r="AT2662">
        <v>3.88</v>
      </c>
      <c r="AU2662">
        <v>-4.1500000000000004</v>
      </c>
      <c r="AV2662">
        <v>0</v>
      </c>
      <c r="AW2662">
        <v>3.04</v>
      </c>
      <c r="AX2662">
        <v>52.67</v>
      </c>
      <c r="AY2662">
        <v>29.56</v>
      </c>
      <c r="AZ2662">
        <v>41.13</v>
      </c>
      <c r="BA2662">
        <v>0.78</v>
      </c>
      <c r="BB2662" t="s">
        <v>184</v>
      </c>
      <c r="BF2662">
        <v>-1.64</v>
      </c>
      <c r="BG2662">
        <v>-2.93</v>
      </c>
      <c r="BH2662">
        <v>-2.93</v>
      </c>
      <c r="BI2662">
        <v>0.24</v>
      </c>
      <c r="BJ2662">
        <v>20210831</v>
      </c>
      <c r="BK2662">
        <v>20001222</v>
      </c>
      <c r="BL2662">
        <v>1.98</v>
      </c>
      <c r="BM2662" t="s">
        <v>120</v>
      </c>
      <c r="BN2662" t="s">
        <v>120</v>
      </c>
      <c r="BO2662">
        <v>22.69</v>
      </c>
      <c r="BP2662">
        <v>16.86</v>
      </c>
      <c r="BQ2662">
        <v>20.84</v>
      </c>
      <c r="BR2662" t="s">
        <v>120</v>
      </c>
      <c r="BS2662">
        <v>8.17</v>
      </c>
      <c r="BT2662">
        <v>4.1100000000000003</v>
      </c>
      <c r="BU2662">
        <v>0.34</v>
      </c>
      <c r="BV2662">
        <v>0.3</v>
      </c>
      <c r="BW2662">
        <v>1.79</v>
      </c>
      <c r="BX2662">
        <v>1.92</v>
      </c>
      <c r="BY2662">
        <v>0.19</v>
      </c>
      <c r="BZ2662">
        <v>1.86</v>
      </c>
      <c r="CA2662">
        <v>0</v>
      </c>
      <c r="CB2662">
        <v>6.32</v>
      </c>
      <c r="CC2662">
        <v>0.9</v>
      </c>
      <c r="CD2662">
        <v>0.74</v>
      </c>
      <c r="CE2662">
        <v>0.74</v>
      </c>
      <c r="CF2662">
        <v>0.85</v>
      </c>
      <c r="CG2662">
        <v>0.74</v>
      </c>
      <c r="CH2662">
        <v>0.74</v>
      </c>
      <c r="CI2662">
        <v>0.74</v>
      </c>
      <c r="CJ2662">
        <v>-0.45</v>
      </c>
      <c r="CK2662">
        <v>0.73</v>
      </c>
      <c r="CL2662">
        <v>8.17</v>
      </c>
      <c r="CM2662">
        <v>-0.47</v>
      </c>
      <c r="CN2662">
        <v>-0.5</v>
      </c>
      <c r="CO2662">
        <v>23197</v>
      </c>
      <c r="CP2662">
        <v>4495</v>
      </c>
      <c r="CQ2662" t="s">
        <v>5188</v>
      </c>
      <c r="CR2662">
        <v>79.19</v>
      </c>
      <c r="CS2662">
        <v>35.57</v>
      </c>
      <c r="CT2662">
        <v>1.6</v>
      </c>
      <c r="CU2662">
        <v>-70.510000000000005</v>
      </c>
      <c r="CV2662">
        <v>37.25</v>
      </c>
      <c r="CW2662">
        <v>0.28999999999999998</v>
      </c>
      <c r="CX2662" t="s">
        <v>709</v>
      </c>
      <c r="CY2662">
        <v>10.53</v>
      </c>
      <c r="CZ2662">
        <v>0</v>
      </c>
      <c r="DA2662">
        <v>3.19</v>
      </c>
      <c r="DB2662">
        <v>4.13</v>
      </c>
      <c r="DC2662">
        <v>-0.24</v>
      </c>
      <c r="DD2662">
        <v>91.83</v>
      </c>
      <c r="DE2662" t="s">
        <v>3080</v>
      </c>
      <c r="DF2662">
        <v>17.23</v>
      </c>
      <c r="DG2662">
        <v>82.36</v>
      </c>
      <c r="DH2662">
        <v>82.36</v>
      </c>
      <c r="DI2662">
        <v>0.09</v>
      </c>
      <c r="DJ2662">
        <v>169</v>
      </c>
      <c r="DK2662">
        <v>600345</v>
      </c>
      <c r="DL2662" t="s">
        <v>120</v>
      </c>
      <c r="DM2662" t="s">
        <v>120</v>
      </c>
      <c r="DN2662" t="s">
        <v>120</v>
      </c>
    </row>
    <row r="2663" spans="1:118">
      <c r="A2663" t="str">
        <f>"600346"</f>
        <v>600346</v>
      </c>
      <c r="B2663" t="s">
        <v>12050</v>
      </c>
      <c r="C2663">
        <v>-0.16</v>
      </c>
      <c r="D2663">
        <v>-0.15</v>
      </c>
      <c r="E2663">
        <v>0.98</v>
      </c>
      <c r="F2663">
        <v>7135</v>
      </c>
      <c r="G2663" t="s">
        <v>12051</v>
      </c>
      <c r="H2663">
        <v>190189.95</v>
      </c>
      <c r="I2663">
        <v>701.32</v>
      </c>
      <c r="J2663" t="s">
        <v>120</v>
      </c>
      <c r="K2663" t="s">
        <v>12052</v>
      </c>
      <c r="L2663">
        <v>0.87</v>
      </c>
      <c r="M2663">
        <v>30.45</v>
      </c>
      <c r="N2663">
        <v>0.96</v>
      </c>
      <c r="O2663">
        <v>4.2</v>
      </c>
      <c r="P2663">
        <v>31.78</v>
      </c>
      <c r="Q2663">
        <v>-0.2</v>
      </c>
      <c r="R2663">
        <v>30.44</v>
      </c>
      <c r="S2663">
        <v>30.8</v>
      </c>
      <c r="T2663">
        <v>611550</v>
      </c>
      <c r="U2663">
        <v>30.46</v>
      </c>
      <c r="V2663">
        <v>30.5</v>
      </c>
      <c r="W2663">
        <v>12.4</v>
      </c>
      <c r="X2663" t="s">
        <v>623</v>
      </c>
      <c r="Y2663" t="s">
        <v>432</v>
      </c>
      <c r="Z2663">
        <v>4.3899999999999997</v>
      </c>
      <c r="AA2663">
        <v>31.1</v>
      </c>
      <c r="AB2663">
        <v>288388</v>
      </c>
      <c r="AC2663">
        <v>323162</v>
      </c>
      <c r="AD2663">
        <v>0.89</v>
      </c>
      <c r="AE2663">
        <v>544</v>
      </c>
      <c r="AF2663">
        <v>1416</v>
      </c>
      <c r="AG2663" t="s">
        <v>120</v>
      </c>
      <c r="AH2663">
        <v>0.01</v>
      </c>
      <c r="AI2663" t="s">
        <v>120</v>
      </c>
      <c r="AJ2663">
        <v>70.39</v>
      </c>
      <c r="AK2663" t="s">
        <v>12052</v>
      </c>
      <c r="AL2663">
        <v>1.18</v>
      </c>
      <c r="AM2663">
        <v>4582</v>
      </c>
      <c r="AN2663">
        <v>133</v>
      </c>
      <c r="AO2663">
        <v>2.0000000000000001E-4</v>
      </c>
      <c r="AP2663">
        <v>-1</v>
      </c>
      <c r="AQ2663">
        <v>1.36</v>
      </c>
      <c r="AR2663">
        <v>0.96</v>
      </c>
      <c r="AS2663">
        <v>6.14</v>
      </c>
      <c r="AT2663">
        <v>29.41</v>
      </c>
      <c r="AU2663">
        <v>11.95</v>
      </c>
      <c r="AV2663">
        <v>4</v>
      </c>
      <c r="AW2663">
        <v>3.58</v>
      </c>
      <c r="AX2663">
        <v>24.25</v>
      </c>
      <c r="AY2663">
        <v>12.94</v>
      </c>
      <c r="AZ2663">
        <v>15.95</v>
      </c>
      <c r="BA2663">
        <v>1.64</v>
      </c>
      <c r="BB2663" t="s">
        <v>700</v>
      </c>
      <c r="BF2663">
        <v>1.97</v>
      </c>
      <c r="BG2663">
        <v>-1.1399999999999999</v>
      </c>
      <c r="BH2663">
        <v>-4.1900000000000004</v>
      </c>
      <c r="BI2663">
        <v>0.03</v>
      </c>
      <c r="BJ2663">
        <v>20210817</v>
      </c>
      <c r="BK2663">
        <v>20010820</v>
      </c>
      <c r="BL2663">
        <v>70.39</v>
      </c>
      <c r="BM2663" t="s">
        <v>120</v>
      </c>
      <c r="BN2663" t="s">
        <v>120</v>
      </c>
      <c r="BO2663">
        <v>2009.46</v>
      </c>
      <c r="BP2663">
        <v>30.45</v>
      </c>
      <c r="BQ2663">
        <v>501.38</v>
      </c>
      <c r="BR2663">
        <v>1.1599999999999999</v>
      </c>
      <c r="BS2663">
        <v>74.989999999999995</v>
      </c>
      <c r="BT2663">
        <v>601.4</v>
      </c>
      <c r="BU2663">
        <v>1205.0899999999999</v>
      </c>
      <c r="BV2663">
        <v>73.95</v>
      </c>
      <c r="BW2663">
        <v>921.52</v>
      </c>
      <c r="BX2663">
        <v>190.49</v>
      </c>
      <c r="BY2663">
        <v>265.47000000000003</v>
      </c>
      <c r="BZ2663">
        <v>4.17</v>
      </c>
      <c r="CA2663" t="s">
        <v>120</v>
      </c>
      <c r="CB2663">
        <v>183.65</v>
      </c>
      <c r="CC2663">
        <v>1045.74</v>
      </c>
      <c r="CD2663">
        <v>886.06</v>
      </c>
      <c r="CE2663">
        <v>110.24</v>
      </c>
      <c r="CF2663">
        <v>-2.14</v>
      </c>
      <c r="CG2663">
        <v>110.25</v>
      </c>
      <c r="CH2663">
        <v>86.4</v>
      </c>
      <c r="CI2663">
        <v>86.42</v>
      </c>
      <c r="CJ2663">
        <v>-0.05</v>
      </c>
      <c r="CK2663">
        <v>82.66</v>
      </c>
      <c r="CL2663">
        <v>243.44</v>
      </c>
      <c r="CM2663">
        <v>161.80000000000001</v>
      </c>
      <c r="CN2663">
        <v>17.420000000000002</v>
      </c>
      <c r="CO2663">
        <v>128295</v>
      </c>
      <c r="CP2663">
        <v>13305</v>
      </c>
      <c r="CQ2663" t="s">
        <v>12053</v>
      </c>
      <c r="CR2663">
        <v>56.65</v>
      </c>
      <c r="CS2663">
        <v>55.25</v>
      </c>
      <c r="CT2663">
        <v>4.28</v>
      </c>
      <c r="CU2663">
        <v>13.25</v>
      </c>
      <c r="CV2663">
        <v>2.0499999999999998</v>
      </c>
      <c r="CW2663">
        <v>2.52</v>
      </c>
      <c r="CX2663" t="s">
        <v>12054</v>
      </c>
      <c r="CY2663">
        <v>7.12</v>
      </c>
      <c r="CZ2663">
        <v>0</v>
      </c>
      <c r="DA2663">
        <v>2.61</v>
      </c>
      <c r="DB2663">
        <v>3.46</v>
      </c>
      <c r="DC2663">
        <v>2.2999999999999998</v>
      </c>
      <c r="DD2663">
        <v>24.95</v>
      </c>
      <c r="DE2663" t="s">
        <v>12055</v>
      </c>
      <c r="DF2663">
        <v>15.27</v>
      </c>
      <c r="DG2663">
        <v>10.54</v>
      </c>
      <c r="DH2663">
        <v>8.26</v>
      </c>
      <c r="DI2663">
        <v>4.2300000000000004</v>
      </c>
      <c r="DJ2663">
        <v>29522</v>
      </c>
      <c r="DK2663">
        <v>600346</v>
      </c>
      <c r="DL2663" t="s">
        <v>120</v>
      </c>
      <c r="DM2663" t="s">
        <v>120</v>
      </c>
      <c r="DN2663" t="s">
        <v>120</v>
      </c>
    </row>
    <row r="2664" spans="1:118">
      <c r="A2664" t="str">
        <f>"600348"</f>
        <v>600348</v>
      </c>
      <c r="B2664" t="s">
        <v>12056</v>
      </c>
      <c r="C2664">
        <v>-9.92</v>
      </c>
      <c r="D2664">
        <v>0</v>
      </c>
      <c r="E2664">
        <v>4.3099999999999996</v>
      </c>
      <c r="F2664">
        <v>11146</v>
      </c>
      <c r="G2664" t="s">
        <v>12057</v>
      </c>
      <c r="H2664">
        <v>279014.24</v>
      </c>
      <c r="I2664">
        <v>3333.64</v>
      </c>
      <c r="J2664" t="s">
        <v>120</v>
      </c>
      <c r="K2664" t="s">
        <v>12058</v>
      </c>
      <c r="L2664">
        <v>7.9</v>
      </c>
      <c r="M2664">
        <v>13.99</v>
      </c>
      <c r="N2664">
        <v>1.68</v>
      </c>
      <c r="O2664">
        <v>4.96</v>
      </c>
      <c r="P2664">
        <v>16.3</v>
      </c>
      <c r="Q2664">
        <v>-9.98</v>
      </c>
      <c r="R2664">
        <v>13.98</v>
      </c>
      <c r="S2664">
        <v>16.2</v>
      </c>
      <c r="T2664">
        <v>1899157</v>
      </c>
      <c r="U2664">
        <v>13.99</v>
      </c>
      <c r="V2664">
        <v>15.53</v>
      </c>
      <c r="W2664">
        <v>14.6</v>
      </c>
      <c r="X2664" t="s">
        <v>1081</v>
      </c>
      <c r="Y2664" t="s">
        <v>667</v>
      </c>
      <c r="Z2664">
        <v>14.94</v>
      </c>
      <c r="AA2664">
        <v>14.69</v>
      </c>
      <c r="AB2664">
        <v>1006993</v>
      </c>
      <c r="AC2664">
        <v>892164</v>
      </c>
      <c r="AD2664">
        <v>1.1299999999999999</v>
      </c>
      <c r="AE2664">
        <v>3393</v>
      </c>
      <c r="AF2664">
        <v>8038</v>
      </c>
      <c r="AG2664" t="s">
        <v>120</v>
      </c>
      <c r="AH2664">
        <v>0.21</v>
      </c>
      <c r="AI2664" t="s">
        <v>120</v>
      </c>
      <c r="AJ2664">
        <v>24.05</v>
      </c>
      <c r="AK2664" t="s">
        <v>12058</v>
      </c>
      <c r="AL2664">
        <v>-8.57</v>
      </c>
      <c r="AM2664">
        <v>4732</v>
      </c>
      <c r="AN2664">
        <v>401</v>
      </c>
      <c r="AO2664">
        <v>1.6999999999999999E-3</v>
      </c>
      <c r="AP2664">
        <v>-1</v>
      </c>
      <c r="AQ2664">
        <v>9.99</v>
      </c>
      <c r="AR2664">
        <v>2.57</v>
      </c>
      <c r="AS2664">
        <v>23.92</v>
      </c>
      <c r="AT2664">
        <v>111.33</v>
      </c>
      <c r="AU2664">
        <v>161.01</v>
      </c>
      <c r="AV2664">
        <v>8</v>
      </c>
      <c r="AW2664">
        <v>18.95</v>
      </c>
      <c r="AX2664">
        <v>41.66</v>
      </c>
      <c r="AY2664">
        <v>19.29</v>
      </c>
      <c r="AZ2664">
        <v>24.82</v>
      </c>
      <c r="BA2664">
        <v>0.63</v>
      </c>
      <c r="BB2664" t="s">
        <v>184</v>
      </c>
      <c r="BF2664">
        <v>-5.4</v>
      </c>
      <c r="BG2664">
        <v>-13.64</v>
      </c>
      <c r="BH2664">
        <v>-14.17</v>
      </c>
      <c r="BI2664">
        <v>7.0000000000000007E-2</v>
      </c>
      <c r="BJ2664">
        <v>20210829</v>
      </c>
      <c r="BK2664">
        <v>20030821</v>
      </c>
      <c r="BL2664">
        <v>24.05</v>
      </c>
      <c r="BM2664" t="s">
        <v>120</v>
      </c>
      <c r="BN2664" t="s">
        <v>120</v>
      </c>
      <c r="BO2664">
        <v>624.12</v>
      </c>
      <c r="BP2664">
        <v>13.98</v>
      </c>
      <c r="BQ2664">
        <v>229.68</v>
      </c>
      <c r="BR2664">
        <v>26.13</v>
      </c>
      <c r="BS2664">
        <v>59.01</v>
      </c>
      <c r="BT2664">
        <v>195.18</v>
      </c>
      <c r="BU2664">
        <v>245.19</v>
      </c>
      <c r="BV2664">
        <v>52.3</v>
      </c>
      <c r="BW2664">
        <v>298.66000000000003</v>
      </c>
      <c r="BX2664">
        <v>120.89</v>
      </c>
      <c r="BY2664">
        <v>5.51</v>
      </c>
      <c r="BZ2664">
        <v>30.34</v>
      </c>
      <c r="CA2664" t="s">
        <v>120</v>
      </c>
      <c r="CB2664">
        <v>1.08</v>
      </c>
      <c r="CC2664">
        <v>188.87</v>
      </c>
      <c r="CD2664">
        <v>150.44999999999999</v>
      </c>
      <c r="CE2664">
        <v>18.899999999999999</v>
      </c>
      <c r="CF2664">
        <v>0.43</v>
      </c>
      <c r="CG2664">
        <v>18.77</v>
      </c>
      <c r="CH2664">
        <v>14.36</v>
      </c>
      <c r="CI2664">
        <v>11.52</v>
      </c>
      <c r="CJ2664">
        <v>-1.54</v>
      </c>
      <c r="CK2664">
        <v>11.07</v>
      </c>
      <c r="CL2664">
        <v>118.17</v>
      </c>
      <c r="CM2664">
        <v>18.3</v>
      </c>
      <c r="CN2664">
        <v>32.94</v>
      </c>
      <c r="CO2664">
        <v>78866</v>
      </c>
      <c r="CP2664">
        <v>12705</v>
      </c>
      <c r="CQ2664" t="s">
        <v>12059</v>
      </c>
      <c r="CR2664">
        <v>59.79</v>
      </c>
      <c r="CS2664">
        <v>23.36</v>
      </c>
      <c r="CT2664">
        <v>1.91</v>
      </c>
      <c r="CU2664">
        <v>18.39</v>
      </c>
      <c r="CV2664">
        <v>1.78</v>
      </c>
      <c r="CW2664">
        <v>1.61</v>
      </c>
      <c r="CX2664" t="s">
        <v>780</v>
      </c>
      <c r="CY2664">
        <v>7.34</v>
      </c>
      <c r="CZ2664">
        <v>7.34</v>
      </c>
      <c r="DA2664">
        <v>0.05</v>
      </c>
      <c r="DB2664">
        <v>4.91</v>
      </c>
      <c r="DC2664">
        <v>0.76</v>
      </c>
      <c r="DD2664">
        <v>36.799999999999997</v>
      </c>
      <c r="DE2664" t="s">
        <v>4704</v>
      </c>
      <c r="DF2664">
        <v>20.34</v>
      </c>
      <c r="DG2664">
        <v>10.01</v>
      </c>
      <c r="DH2664">
        <v>6.1</v>
      </c>
      <c r="DI2664">
        <v>1.21</v>
      </c>
      <c r="DJ2664">
        <v>33030</v>
      </c>
      <c r="DK2664">
        <v>600348</v>
      </c>
      <c r="DL2664">
        <v>20210712</v>
      </c>
      <c r="DM2664">
        <v>7.59</v>
      </c>
      <c r="DN2664">
        <v>84.32</v>
      </c>
    </row>
    <row r="2665" spans="1:118">
      <c r="A2665" t="str">
        <f>"600350"</f>
        <v>600350</v>
      </c>
      <c r="B2665" t="s">
        <v>12060</v>
      </c>
      <c r="C2665">
        <v>-1.71</v>
      </c>
      <c r="D2665">
        <v>-0.34</v>
      </c>
      <c r="E2665">
        <v>0.34</v>
      </c>
      <c r="F2665">
        <v>5210</v>
      </c>
      <c r="G2665" t="s">
        <v>5055</v>
      </c>
      <c r="H2665">
        <v>3817.37</v>
      </c>
      <c r="I2665">
        <v>10.84</v>
      </c>
      <c r="J2665" t="s">
        <v>120</v>
      </c>
      <c r="K2665" t="s">
        <v>12061</v>
      </c>
      <c r="L2665">
        <v>0.14000000000000001</v>
      </c>
      <c r="M2665">
        <v>5.74</v>
      </c>
      <c r="N2665">
        <v>0.65</v>
      </c>
      <c r="O2665">
        <v>1.03</v>
      </c>
      <c r="P2665">
        <v>5.9</v>
      </c>
      <c r="Q2665">
        <v>-1.71</v>
      </c>
      <c r="R2665">
        <v>5.74</v>
      </c>
      <c r="S2665">
        <v>5.86</v>
      </c>
      <c r="T2665">
        <v>65608</v>
      </c>
      <c r="U2665">
        <v>5.77</v>
      </c>
      <c r="V2665">
        <v>5.84</v>
      </c>
      <c r="W2665">
        <v>10.35</v>
      </c>
      <c r="X2665" t="s">
        <v>800</v>
      </c>
      <c r="Y2665" t="s">
        <v>638</v>
      </c>
      <c r="Z2665">
        <v>2.74</v>
      </c>
      <c r="AA2665">
        <v>5.82</v>
      </c>
      <c r="AB2665">
        <v>41323</v>
      </c>
      <c r="AC2665">
        <v>24285</v>
      </c>
      <c r="AD2665">
        <v>1.7</v>
      </c>
      <c r="AE2665">
        <v>955</v>
      </c>
      <c r="AF2665">
        <v>219</v>
      </c>
      <c r="AG2665" t="s">
        <v>120</v>
      </c>
      <c r="AH2665">
        <v>0</v>
      </c>
      <c r="AI2665" t="s">
        <v>120</v>
      </c>
      <c r="AJ2665">
        <v>48.11</v>
      </c>
      <c r="AK2665" t="s">
        <v>12061</v>
      </c>
      <c r="AL2665">
        <v>-0.37</v>
      </c>
      <c r="AM2665">
        <v>2008</v>
      </c>
      <c r="AN2665">
        <v>33</v>
      </c>
      <c r="AO2665">
        <v>1E-4</v>
      </c>
      <c r="AP2665">
        <v>-3</v>
      </c>
      <c r="AQ2665">
        <v>-1.18</v>
      </c>
      <c r="AR2665">
        <v>-5.44</v>
      </c>
      <c r="AS2665">
        <v>0.88</v>
      </c>
      <c r="AT2665">
        <v>-1.38</v>
      </c>
      <c r="AU2665">
        <v>-1.03</v>
      </c>
      <c r="AV2665">
        <v>0</v>
      </c>
      <c r="AW2665">
        <v>1.07</v>
      </c>
      <c r="AX2665">
        <v>12.8</v>
      </c>
      <c r="AY2665">
        <v>9.02</v>
      </c>
      <c r="AZ2665">
        <v>13.78</v>
      </c>
      <c r="BA2665">
        <v>0.5</v>
      </c>
      <c r="BB2665" t="s">
        <v>125</v>
      </c>
      <c r="BF2665">
        <v>-0.37</v>
      </c>
      <c r="BG2665">
        <v>-2.0499999999999998</v>
      </c>
      <c r="BH2665">
        <v>-2.71</v>
      </c>
      <c r="BI2665">
        <v>0</v>
      </c>
      <c r="BJ2665">
        <v>20210825</v>
      </c>
      <c r="BK2665">
        <v>20020318</v>
      </c>
      <c r="BL2665">
        <v>48.11</v>
      </c>
      <c r="BM2665" t="s">
        <v>120</v>
      </c>
      <c r="BN2665" t="s">
        <v>120</v>
      </c>
      <c r="BO2665">
        <v>1002.95</v>
      </c>
      <c r="BP2665">
        <v>5.74</v>
      </c>
      <c r="BQ2665">
        <v>314.77999999999997</v>
      </c>
      <c r="BR2665">
        <v>54.03</v>
      </c>
      <c r="BS2665">
        <v>63.23</v>
      </c>
      <c r="BT2665">
        <v>142.52000000000001</v>
      </c>
      <c r="BU2665">
        <v>89.22</v>
      </c>
      <c r="BV2665">
        <v>476.17</v>
      </c>
      <c r="BW2665">
        <v>173.93</v>
      </c>
      <c r="BX2665">
        <v>44.85</v>
      </c>
      <c r="BY2665">
        <v>13.31</v>
      </c>
      <c r="BZ2665">
        <v>7.88</v>
      </c>
      <c r="CA2665">
        <v>1.1299999999999999</v>
      </c>
      <c r="CB2665">
        <v>17.48</v>
      </c>
      <c r="CC2665">
        <v>65.739999999999995</v>
      </c>
      <c r="CD2665">
        <v>39.43</v>
      </c>
      <c r="CE2665">
        <v>19.98</v>
      </c>
      <c r="CF2665">
        <v>4.99</v>
      </c>
      <c r="CG2665">
        <v>20.25</v>
      </c>
      <c r="CH2665">
        <v>15.36</v>
      </c>
      <c r="CI2665">
        <v>13.34</v>
      </c>
      <c r="CJ2665">
        <v>-0.1</v>
      </c>
      <c r="CK2665">
        <v>13.02</v>
      </c>
      <c r="CL2665">
        <v>176.83</v>
      </c>
      <c r="CM2665">
        <v>30.64</v>
      </c>
      <c r="CN2665">
        <v>22.07</v>
      </c>
      <c r="CO2665">
        <v>40816</v>
      </c>
      <c r="CP2665">
        <v>15090</v>
      </c>
      <c r="CQ2665" t="s">
        <v>5924</v>
      </c>
      <c r="CR2665">
        <v>419.08</v>
      </c>
      <c r="CS2665">
        <v>62.32</v>
      </c>
      <c r="CT2665">
        <v>1</v>
      </c>
      <c r="CU2665">
        <v>9.01</v>
      </c>
      <c r="CV2665">
        <v>4.2</v>
      </c>
      <c r="CW2665">
        <v>6.51</v>
      </c>
      <c r="CX2665" t="s">
        <v>670</v>
      </c>
      <c r="CY2665">
        <v>5.75</v>
      </c>
      <c r="CZ2665">
        <v>5.75</v>
      </c>
      <c r="DA2665">
        <v>0.36</v>
      </c>
      <c r="DB2665">
        <v>3.68</v>
      </c>
      <c r="DC2665">
        <v>0.64</v>
      </c>
      <c r="DD2665">
        <v>31.39</v>
      </c>
      <c r="DE2665" t="s">
        <v>3564</v>
      </c>
      <c r="DF2665">
        <v>40.01</v>
      </c>
      <c r="DG2665">
        <v>30.4</v>
      </c>
      <c r="DH2665">
        <v>20.29</v>
      </c>
      <c r="DI2665">
        <v>0.26</v>
      </c>
      <c r="DJ2665">
        <v>6064</v>
      </c>
      <c r="DK2665">
        <v>600350</v>
      </c>
      <c r="DL2665" t="s">
        <v>120</v>
      </c>
      <c r="DM2665" t="s">
        <v>120</v>
      </c>
      <c r="DN2665" t="s">
        <v>120</v>
      </c>
    </row>
    <row r="2666" spans="1:118">
      <c r="A2666" t="str">
        <f>"600351"</f>
        <v>600351</v>
      </c>
      <c r="B2666" t="s">
        <v>12062</v>
      </c>
      <c r="C2666">
        <v>1.66</v>
      </c>
      <c r="D2666">
        <v>0</v>
      </c>
      <c r="E2666">
        <v>-0.13</v>
      </c>
      <c r="F2666">
        <v>2041</v>
      </c>
      <c r="G2666" t="s">
        <v>5009</v>
      </c>
      <c r="H2666">
        <v>24278.17</v>
      </c>
      <c r="I2666">
        <v>125.28</v>
      </c>
      <c r="J2666" t="s">
        <v>120</v>
      </c>
      <c r="K2666" t="s">
        <v>12063</v>
      </c>
      <c r="L2666">
        <v>3.92</v>
      </c>
      <c r="M2666">
        <v>7.96</v>
      </c>
      <c r="N2666">
        <v>0.76</v>
      </c>
      <c r="O2666">
        <v>6.77</v>
      </c>
      <c r="P2666">
        <v>8.36</v>
      </c>
      <c r="Q2666">
        <v>-0.38</v>
      </c>
      <c r="R2666">
        <v>7.8</v>
      </c>
      <c r="S2666">
        <v>7.82</v>
      </c>
      <c r="T2666">
        <v>301962</v>
      </c>
      <c r="U2666">
        <v>7.96</v>
      </c>
      <c r="V2666">
        <v>7.83</v>
      </c>
      <c r="W2666">
        <v>30.85</v>
      </c>
      <c r="X2666" t="s">
        <v>771</v>
      </c>
      <c r="Y2666" t="s">
        <v>667</v>
      </c>
      <c r="Z2666">
        <v>7.15</v>
      </c>
      <c r="AA2666">
        <v>8.0399999999999991</v>
      </c>
      <c r="AB2666">
        <v>153813</v>
      </c>
      <c r="AC2666">
        <v>148149</v>
      </c>
      <c r="AD2666">
        <v>1.04</v>
      </c>
      <c r="AE2666">
        <v>784</v>
      </c>
      <c r="AF2666">
        <v>980</v>
      </c>
      <c r="AG2666" t="s">
        <v>120</v>
      </c>
      <c r="AH2666">
        <v>0.03</v>
      </c>
      <c r="AI2666" t="s">
        <v>120</v>
      </c>
      <c r="AJ2666">
        <v>7.7</v>
      </c>
      <c r="AK2666" t="s">
        <v>12063</v>
      </c>
      <c r="AL2666">
        <v>3</v>
      </c>
      <c r="AM2666">
        <v>3656</v>
      </c>
      <c r="AN2666">
        <v>83</v>
      </c>
      <c r="AO2666">
        <v>1.1000000000000001E-3</v>
      </c>
      <c r="AP2666">
        <v>1</v>
      </c>
      <c r="AQ2666">
        <v>-0.76</v>
      </c>
      <c r="AR2666">
        <v>0.64</v>
      </c>
      <c r="AS2666">
        <v>27.36</v>
      </c>
      <c r="AT2666">
        <v>43.42</v>
      </c>
      <c r="AU2666">
        <v>61.46</v>
      </c>
      <c r="AV2666">
        <v>2</v>
      </c>
      <c r="AW2666">
        <v>5.05</v>
      </c>
      <c r="AX2666">
        <v>77.66</v>
      </c>
      <c r="AY2666">
        <v>41.39</v>
      </c>
      <c r="AZ2666">
        <v>56.15</v>
      </c>
      <c r="BA2666">
        <v>1</v>
      </c>
      <c r="BB2666" t="s">
        <v>143</v>
      </c>
      <c r="BF2666">
        <v>2.68</v>
      </c>
      <c r="BG2666">
        <v>1.79</v>
      </c>
      <c r="BH2666">
        <v>-4.78</v>
      </c>
      <c r="BI2666">
        <v>2.0499999999999998</v>
      </c>
      <c r="BJ2666">
        <v>20210821</v>
      </c>
      <c r="BK2666">
        <v>20020926</v>
      </c>
      <c r="BL2666">
        <v>7.7</v>
      </c>
      <c r="BM2666" t="s">
        <v>120</v>
      </c>
      <c r="BN2666" t="s">
        <v>120</v>
      </c>
      <c r="BO2666">
        <v>40.92</v>
      </c>
      <c r="BP2666">
        <v>7.95</v>
      </c>
      <c r="BQ2666">
        <v>28.39</v>
      </c>
      <c r="BR2666">
        <v>0.38</v>
      </c>
      <c r="BS2666">
        <v>29.69</v>
      </c>
      <c r="BT2666">
        <v>17.920000000000002</v>
      </c>
      <c r="BU2666">
        <v>14.68</v>
      </c>
      <c r="BV2666">
        <v>1.65</v>
      </c>
      <c r="BW2666">
        <v>11.14</v>
      </c>
      <c r="BX2666">
        <v>4.8099999999999996</v>
      </c>
      <c r="BY2666">
        <v>4.6900000000000004</v>
      </c>
      <c r="BZ2666">
        <v>5.19</v>
      </c>
      <c r="CA2666">
        <v>0.01</v>
      </c>
      <c r="CB2666">
        <v>9.5500000000000007</v>
      </c>
      <c r="CC2666">
        <v>14.65</v>
      </c>
      <c r="CD2666">
        <v>5.66</v>
      </c>
      <c r="CE2666">
        <v>1.1200000000000001</v>
      </c>
      <c r="CF2666">
        <v>0.03</v>
      </c>
      <c r="CG2666">
        <v>1.1200000000000001</v>
      </c>
      <c r="CH2666">
        <v>0.98</v>
      </c>
      <c r="CI2666">
        <v>0.99</v>
      </c>
      <c r="CJ2666">
        <v>0.13</v>
      </c>
      <c r="CK2666">
        <v>0.88</v>
      </c>
      <c r="CL2666">
        <v>9.1999999999999993</v>
      </c>
      <c r="CM2666">
        <v>3.23</v>
      </c>
      <c r="CN2666">
        <v>1.1100000000000001</v>
      </c>
      <c r="CO2666">
        <v>57990</v>
      </c>
      <c r="CP2666">
        <v>10312</v>
      </c>
      <c r="CQ2666" t="s">
        <v>5765</v>
      </c>
      <c r="CR2666">
        <v>62.72</v>
      </c>
      <c r="CS2666">
        <v>27.18</v>
      </c>
      <c r="CT2666">
        <v>2.16</v>
      </c>
      <c r="CU2666">
        <v>18.95</v>
      </c>
      <c r="CV2666">
        <v>4.18</v>
      </c>
      <c r="CW2666">
        <v>0.64</v>
      </c>
      <c r="CX2666" t="s">
        <v>449</v>
      </c>
      <c r="CY2666">
        <v>3.69</v>
      </c>
      <c r="CZ2666">
        <v>0</v>
      </c>
      <c r="DA2666">
        <v>1.24</v>
      </c>
      <c r="DB2666">
        <v>1.19</v>
      </c>
      <c r="DC2666">
        <v>0.42</v>
      </c>
      <c r="DD2666">
        <v>69.38</v>
      </c>
      <c r="DE2666" t="s">
        <v>12064</v>
      </c>
      <c r="DF2666">
        <v>61.39</v>
      </c>
      <c r="DG2666">
        <v>7.67</v>
      </c>
      <c r="DH2666">
        <v>6.78</v>
      </c>
      <c r="DI2666">
        <v>0.73</v>
      </c>
      <c r="DJ2666">
        <v>5270</v>
      </c>
      <c r="DK2666">
        <v>600351</v>
      </c>
      <c r="DL2666">
        <v>20210906</v>
      </c>
      <c r="DM2666">
        <v>8.0500000000000007</v>
      </c>
      <c r="DN2666">
        <v>-1.1200000000000001</v>
      </c>
    </row>
    <row r="2667" spans="1:118">
      <c r="A2667" t="str">
        <f>"600352"</f>
        <v>600352</v>
      </c>
      <c r="B2667" t="s">
        <v>12065</v>
      </c>
      <c r="C2667">
        <v>-1.94</v>
      </c>
      <c r="D2667">
        <v>0</v>
      </c>
      <c r="E2667">
        <v>0.45</v>
      </c>
      <c r="F2667">
        <v>18960</v>
      </c>
      <c r="G2667" t="s">
        <v>12066</v>
      </c>
      <c r="H2667">
        <v>338683.28</v>
      </c>
      <c r="I2667">
        <v>2433.09</v>
      </c>
      <c r="J2667" t="s">
        <v>120</v>
      </c>
      <c r="K2667" t="s">
        <v>12067</v>
      </c>
      <c r="L2667">
        <v>6.62</v>
      </c>
      <c r="M2667">
        <v>15.16</v>
      </c>
      <c r="N2667">
        <v>1.66</v>
      </c>
      <c r="O2667">
        <v>5.05</v>
      </c>
      <c r="P2667">
        <v>16.239999999999998</v>
      </c>
      <c r="Q2667">
        <v>-2.2599999999999998</v>
      </c>
      <c r="R2667">
        <v>15.11</v>
      </c>
      <c r="S2667">
        <v>15.53</v>
      </c>
      <c r="T2667">
        <v>2153316</v>
      </c>
      <c r="U2667">
        <v>15.17</v>
      </c>
      <c r="V2667">
        <v>15.46</v>
      </c>
      <c r="W2667">
        <v>9.77</v>
      </c>
      <c r="X2667" t="s">
        <v>1145</v>
      </c>
      <c r="Y2667" t="s">
        <v>585</v>
      </c>
      <c r="Z2667">
        <v>7.31</v>
      </c>
      <c r="AA2667">
        <v>15.73</v>
      </c>
      <c r="AB2667">
        <v>1084258</v>
      </c>
      <c r="AC2667">
        <v>1069058</v>
      </c>
      <c r="AD2667">
        <v>1.01</v>
      </c>
      <c r="AE2667">
        <v>4211</v>
      </c>
      <c r="AF2667">
        <v>3855</v>
      </c>
      <c r="AG2667" t="s">
        <v>120</v>
      </c>
      <c r="AH2667">
        <v>0.06</v>
      </c>
      <c r="AI2667" t="s">
        <v>120</v>
      </c>
      <c r="AJ2667">
        <v>32.53</v>
      </c>
      <c r="AK2667" t="s">
        <v>12067</v>
      </c>
      <c r="AL2667">
        <v>-0.6</v>
      </c>
      <c r="AM2667">
        <v>4726</v>
      </c>
      <c r="AN2667">
        <v>456</v>
      </c>
      <c r="AO2667">
        <v>1.4E-3</v>
      </c>
      <c r="AP2667">
        <v>-1</v>
      </c>
      <c r="AQ2667">
        <v>5.39</v>
      </c>
      <c r="AR2667">
        <v>-7.0000000000000007E-2</v>
      </c>
      <c r="AS2667">
        <v>17.89</v>
      </c>
      <c r="AT2667">
        <v>14.67</v>
      </c>
      <c r="AU2667">
        <v>13.39</v>
      </c>
      <c r="AV2667">
        <v>1</v>
      </c>
      <c r="AW2667">
        <v>8.5500000000000007</v>
      </c>
      <c r="AX2667">
        <v>77.38</v>
      </c>
      <c r="AY2667">
        <v>11.35</v>
      </c>
      <c r="AZ2667">
        <v>12.04</v>
      </c>
      <c r="BA2667">
        <v>0.8</v>
      </c>
      <c r="BB2667" t="s">
        <v>168</v>
      </c>
      <c r="BF2667">
        <v>1.74</v>
      </c>
      <c r="BG2667">
        <v>-2.38</v>
      </c>
      <c r="BH2667">
        <v>-6.65</v>
      </c>
      <c r="BI2667">
        <v>0.33</v>
      </c>
      <c r="BJ2667">
        <v>20210816</v>
      </c>
      <c r="BK2667">
        <v>20030801</v>
      </c>
      <c r="BL2667">
        <v>32.53</v>
      </c>
      <c r="BM2667" t="s">
        <v>120</v>
      </c>
      <c r="BN2667" t="s">
        <v>120</v>
      </c>
      <c r="BO2667">
        <v>685.03</v>
      </c>
      <c r="BP2667">
        <v>15.16</v>
      </c>
      <c r="BQ2667">
        <v>296.94</v>
      </c>
      <c r="BR2667">
        <v>24.65</v>
      </c>
      <c r="BS2667">
        <v>53.05</v>
      </c>
      <c r="BT2667">
        <v>473.41</v>
      </c>
      <c r="BU2667">
        <v>58.5</v>
      </c>
      <c r="BV2667">
        <v>7.15</v>
      </c>
      <c r="BW2667">
        <v>242.98</v>
      </c>
      <c r="BX2667">
        <v>145.22</v>
      </c>
      <c r="BY2667">
        <v>254.68</v>
      </c>
      <c r="BZ2667">
        <v>29.98</v>
      </c>
      <c r="CA2667" t="s">
        <v>120</v>
      </c>
      <c r="CB2667">
        <v>14.63</v>
      </c>
      <c r="CC2667">
        <v>84.13</v>
      </c>
      <c r="CD2667">
        <v>51.67</v>
      </c>
      <c r="CE2667">
        <v>31.32</v>
      </c>
      <c r="CF2667">
        <v>6.12</v>
      </c>
      <c r="CG2667">
        <v>31.46</v>
      </c>
      <c r="CH2667">
        <v>26.69</v>
      </c>
      <c r="CI2667">
        <v>25.24</v>
      </c>
      <c r="CJ2667">
        <v>-0.3</v>
      </c>
      <c r="CK2667">
        <v>13.84</v>
      </c>
      <c r="CL2667">
        <v>244.58</v>
      </c>
      <c r="CM2667">
        <v>34.71</v>
      </c>
      <c r="CN2667">
        <v>78.819999999999993</v>
      </c>
      <c r="CO2667">
        <v>200772</v>
      </c>
      <c r="CP2667">
        <v>12538</v>
      </c>
      <c r="CQ2667" t="s">
        <v>12068</v>
      </c>
      <c r="CR2667">
        <v>11.24</v>
      </c>
      <c r="CS2667">
        <v>10.77</v>
      </c>
      <c r="CT2667">
        <v>1.66</v>
      </c>
      <c r="CU2667">
        <v>14.21</v>
      </c>
      <c r="CV2667">
        <v>5.86</v>
      </c>
      <c r="CW2667">
        <v>1.62</v>
      </c>
      <c r="CX2667" t="s">
        <v>3993</v>
      </c>
      <c r="CY2667">
        <v>9.1300000000000008</v>
      </c>
      <c r="CZ2667">
        <v>0</v>
      </c>
      <c r="DA2667">
        <v>0.45</v>
      </c>
      <c r="DB2667">
        <v>7.52</v>
      </c>
      <c r="DC2667">
        <v>1.07</v>
      </c>
      <c r="DD2667">
        <v>43.35</v>
      </c>
      <c r="DE2667" t="s">
        <v>6181</v>
      </c>
      <c r="DF2667">
        <v>38.58</v>
      </c>
      <c r="DG2667">
        <v>37.22</v>
      </c>
      <c r="DH2667">
        <v>30</v>
      </c>
      <c r="DI2667">
        <v>3.68</v>
      </c>
      <c r="DJ2667">
        <v>8284</v>
      </c>
      <c r="DK2667">
        <v>600352</v>
      </c>
      <c r="DL2667" t="s">
        <v>120</v>
      </c>
      <c r="DM2667" t="s">
        <v>120</v>
      </c>
      <c r="DN2667" t="s">
        <v>120</v>
      </c>
    </row>
    <row r="2668" spans="1:118">
      <c r="A2668" t="str">
        <f>"600353"</f>
        <v>600353</v>
      </c>
      <c r="B2668" t="s">
        <v>12069</v>
      </c>
      <c r="C2668">
        <v>-2.58</v>
      </c>
      <c r="D2668">
        <v>0</v>
      </c>
      <c r="E2668">
        <v>-0.17</v>
      </c>
      <c r="F2668">
        <v>780</v>
      </c>
      <c r="G2668" t="s">
        <v>8947</v>
      </c>
      <c r="H2668">
        <v>4906.0200000000004</v>
      </c>
      <c r="I2668">
        <v>14.99</v>
      </c>
      <c r="J2668" t="s">
        <v>120</v>
      </c>
      <c r="K2668" t="s">
        <v>176</v>
      </c>
      <c r="L2668">
        <v>1.57</v>
      </c>
      <c r="M2668">
        <v>5.67</v>
      </c>
      <c r="N2668">
        <v>0.7</v>
      </c>
      <c r="O2668">
        <v>0.69</v>
      </c>
      <c r="P2668">
        <v>5.86</v>
      </c>
      <c r="Q2668">
        <v>-2.75</v>
      </c>
      <c r="R2668">
        <v>5.66</v>
      </c>
      <c r="S2668">
        <v>5.81</v>
      </c>
      <c r="T2668">
        <v>85280</v>
      </c>
      <c r="U2668">
        <v>5.68</v>
      </c>
      <c r="V2668">
        <v>5.82</v>
      </c>
      <c r="W2668">
        <v>62.87</v>
      </c>
      <c r="X2668" t="s">
        <v>229</v>
      </c>
      <c r="Y2668" t="s">
        <v>578</v>
      </c>
      <c r="Z2668">
        <v>3.44</v>
      </c>
      <c r="AA2668">
        <v>5.75</v>
      </c>
      <c r="AB2668">
        <v>57134</v>
      </c>
      <c r="AC2668">
        <v>28146</v>
      </c>
      <c r="AD2668">
        <v>2.0299999999999998</v>
      </c>
      <c r="AE2668">
        <v>293</v>
      </c>
      <c r="AF2668">
        <v>263</v>
      </c>
      <c r="AG2668" t="s">
        <v>120</v>
      </c>
      <c r="AH2668">
        <v>0.01</v>
      </c>
      <c r="AI2668" t="s">
        <v>120</v>
      </c>
      <c r="AJ2668">
        <v>5.44</v>
      </c>
      <c r="AK2668" t="s">
        <v>176</v>
      </c>
      <c r="AL2668">
        <v>-1.23</v>
      </c>
      <c r="AM2668">
        <v>1638</v>
      </c>
      <c r="AN2668">
        <v>52</v>
      </c>
      <c r="AO2668">
        <v>1E-3</v>
      </c>
      <c r="AP2668">
        <v>-1</v>
      </c>
      <c r="AQ2668">
        <v>0.87</v>
      </c>
      <c r="AR2668">
        <v>-4.8600000000000003</v>
      </c>
      <c r="AS2668">
        <v>-1.22</v>
      </c>
      <c r="AT2668">
        <v>-5.0199999999999996</v>
      </c>
      <c r="AU2668">
        <v>5.39</v>
      </c>
      <c r="AV2668">
        <v>3</v>
      </c>
      <c r="AW2668">
        <v>2.75</v>
      </c>
      <c r="AX2668">
        <v>56.99</v>
      </c>
      <c r="AY2668">
        <v>76.69</v>
      </c>
      <c r="AZ2668">
        <v>59.1</v>
      </c>
      <c r="BA2668">
        <v>0.28999999999999998</v>
      </c>
      <c r="BB2668" t="s">
        <v>143</v>
      </c>
      <c r="BF2668">
        <v>-1.1499999999999999</v>
      </c>
      <c r="BG2668">
        <v>-2.41</v>
      </c>
      <c r="BH2668">
        <v>-3.24</v>
      </c>
      <c r="BI2668">
        <v>0.18</v>
      </c>
      <c r="BJ2668">
        <v>20210830</v>
      </c>
      <c r="BK2668">
        <v>20021120</v>
      </c>
      <c r="BL2668">
        <v>5.44</v>
      </c>
      <c r="BM2668" t="s">
        <v>120</v>
      </c>
      <c r="BN2668" t="s">
        <v>120</v>
      </c>
      <c r="BO2668">
        <v>16.61</v>
      </c>
      <c r="BP2668">
        <v>5.67</v>
      </c>
      <c r="BQ2668">
        <v>11.61</v>
      </c>
      <c r="BR2668">
        <v>1</v>
      </c>
      <c r="BS2668">
        <v>24.1</v>
      </c>
      <c r="BT2668">
        <v>10.91</v>
      </c>
      <c r="BU2668">
        <v>2.57</v>
      </c>
      <c r="BV2668">
        <v>0.32</v>
      </c>
      <c r="BW2668">
        <v>3.79</v>
      </c>
      <c r="BX2668">
        <v>1.98</v>
      </c>
      <c r="BY2668">
        <v>1.99</v>
      </c>
      <c r="BZ2668">
        <v>5.16</v>
      </c>
      <c r="CA2668">
        <v>0.04</v>
      </c>
      <c r="CB2668">
        <v>0.95</v>
      </c>
      <c r="CC2668">
        <v>4.05</v>
      </c>
      <c r="CD2668">
        <v>3.17</v>
      </c>
      <c r="CE2668">
        <v>0.37</v>
      </c>
      <c r="CF2668">
        <v>0.06</v>
      </c>
      <c r="CG2668">
        <v>0.37</v>
      </c>
      <c r="CH2668">
        <v>0.33</v>
      </c>
      <c r="CI2668">
        <v>0.25</v>
      </c>
      <c r="CJ2668">
        <v>-0.15</v>
      </c>
      <c r="CK2668">
        <v>0.22</v>
      </c>
      <c r="CL2668">
        <v>4.03</v>
      </c>
      <c r="CM2668">
        <v>0.13</v>
      </c>
      <c r="CN2668">
        <v>-0.33</v>
      </c>
      <c r="CO2668">
        <v>45929</v>
      </c>
      <c r="CP2668">
        <v>6747</v>
      </c>
      <c r="CQ2668" t="s">
        <v>3176</v>
      </c>
      <c r="CR2668">
        <v>-33.369999999999997</v>
      </c>
      <c r="CS2668">
        <v>-8.2799999999999994</v>
      </c>
      <c r="CT2668">
        <v>2.66</v>
      </c>
      <c r="CU2668">
        <v>233.39</v>
      </c>
      <c r="CV2668">
        <v>7.61</v>
      </c>
      <c r="CW2668">
        <v>0.52</v>
      </c>
      <c r="CX2668" t="s">
        <v>1064</v>
      </c>
      <c r="CY2668">
        <v>2.13</v>
      </c>
      <c r="CZ2668">
        <v>0</v>
      </c>
      <c r="DA2668">
        <v>0.17</v>
      </c>
      <c r="DB2668">
        <v>0.74</v>
      </c>
      <c r="DC2668">
        <v>0.02</v>
      </c>
      <c r="DD2668">
        <v>69.87</v>
      </c>
      <c r="DE2668" t="s">
        <v>5589</v>
      </c>
      <c r="DF2668">
        <v>21.7</v>
      </c>
      <c r="DG2668">
        <v>9.1300000000000008</v>
      </c>
      <c r="DH2668">
        <v>6.05</v>
      </c>
      <c r="DI2668">
        <v>0.13</v>
      </c>
      <c r="DJ2668">
        <v>1311</v>
      </c>
      <c r="DK2668">
        <v>600353</v>
      </c>
      <c r="DL2668" t="s">
        <v>120</v>
      </c>
      <c r="DM2668" t="s">
        <v>120</v>
      </c>
      <c r="DN2668" t="s">
        <v>120</v>
      </c>
    </row>
    <row r="2669" spans="1:118">
      <c r="A2669" t="str">
        <f>"600354"</f>
        <v>600354</v>
      </c>
      <c r="B2669" t="s">
        <v>12070</v>
      </c>
      <c r="C2669">
        <v>2.0099999999999998</v>
      </c>
      <c r="D2669">
        <v>-0.14000000000000001</v>
      </c>
      <c r="E2669">
        <v>-0.93</v>
      </c>
      <c r="F2669">
        <v>4886</v>
      </c>
      <c r="G2669" t="s">
        <v>2153</v>
      </c>
      <c r="H2669">
        <v>34333.11</v>
      </c>
      <c r="I2669">
        <v>72.900000000000006</v>
      </c>
      <c r="J2669" t="s">
        <v>120</v>
      </c>
      <c r="K2669" t="s">
        <v>6007</v>
      </c>
      <c r="L2669">
        <v>9.8699999999999992</v>
      </c>
      <c r="M2669">
        <v>6.59</v>
      </c>
      <c r="N2669">
        <v>1.01</v>
      </c>
      <c r="O2669">
        <v>4.49</v>
      </c>
      <c r="P2669">
        <v>6.75</v>
      </c>
      <c r="Q2669">
        <v>-1.55</v>
      </c>
      <c r="R2669">
        <v>6.36</v>
      </c>
      <c r="S2669">
        <v>6.4</v>
      </c>
      <c r="T2669">
        <v>521174</v>
      </c>
      <c r="U2669">
        <v>6.6</v>
      </c>
      <c r="V2669">
        <v>6.46</v>
      </c>
      <c r="W2669" t="s">
        <v>120</v>
      </c>
      <c r="X2669" t="s">
        <v>1700</v>
      </c>
      <c r="Y2669" t="s">
        <v>1082</v>
      </c>
      <c r="Z2669">
        <v>6.04</v>
      </c>
      <c r="AA2669">
        <v>6.59</v>
      </c>
      <c r="AB2669">
        <v>246431</v>
      </c>
      <c r="AC2669">
        <v>274743</v>
      </c>
      <c r="AD2669">
        <v>0.9</v>
      </c>
      <c r="AE2669">
        <v>4121</v>
      </c>
      <c r="AF2669">
        <v>2740</v>
      </c>
      <c r="AG2669" t="s">
        <v>120</v>
      </c>
      <c r="AH2669">
        <v>0.03</v>
      </c>
      <c r="AI2669" t="s">
        <v>120</v>
      </c>
      <c r="AJ2669">
        <v>5.28</v>
      </c>
      <c r="AK2669" t="s">
        <v>6007</v>
      </c>
      <c r="AL2669">
        <v>3.36</v>
      </c>
      <c r="AM2669">
        <v>4207</v>
      </c>
      <c r="AN2669">
        <v>124</v>
      </c>
      <c r="AO2669">
        <v>2.3E-3</v>
      </c>
      <c r="AP2669">
        <v>2</v>
      </c>
      <c r="AQ2669">
        <v>3.19</v>
      </c>
      <c r="AR2669">
        <v>1.07</v>
      </c>
      <c r="AS2669">
        <v>12.65</v>
      </c>
      <c r="AT2669">
        <v>5.78</v>
      </c>
      <c r="AU2669">
        <v>51.15</v>
      </c>
      <c r="AV2669">
        <v>14</v>
      </c>
      <c r="AW2669">
        <v>13.9</v>
      </c>
      <c r="AX2669">
        <v>71.06</v>
      </c>
      <c r="AY2669">
        <v>57.18</v>
      </c>
      <c r="AZ2669">
        <v>115.41</v>
      </c>
      <c r="BA2669">
        <v>1.22</v>
      </c>
      <c r="BB2669" t="s">
        <v>143</v>
      </c>
      <c r="BF2669">
        <v>1.98</v>
      </c>
      <c r="BG2669">
        <v>2.97</v>
      </c>
      <c r="BH2669">
        <v>-2.37</v>
      </c>
      <c r="BI2669">
        <v>3.62</v>
      </c>
      <c r="BJ2669">
        <v>20210812</v>
      </c>
      <c r="BK2669">
        <v>20040115</v>
      </c>
      <c r="BL2669">
        <v>5.28</v>
      </c>
      <c r="BM2669" t="s">
        <v>120</v>
      </c>
      <c r="BN2669" t="s">
        <v>120</v>
      </c>
      <c r="BO2669">
        <v>14.26</v>
      </c>
      <c r="BP2669">
        <v>6.59</v>
      </c>
      <c r="BQ2669">
        <v>6.07</v>
      </c>
      <c r="BR2669">
        <v>0.28999999999999998</v>
      </c>
      <c r="BS2669">
        <v>55.46</v>
      </c>
      <c r="BT2669">
        <v>8.4600000000000009</v>
      </c>
      <c r="BU2669">
        <v>3.92</v>
      </c>
      <c r="BV2669">
        <v>1.36</v>
      </c>
      <c r="BW2669">
        <v>7.47</v>
      </c>
      <c r="BX2669">
        <v>4.66</v>
      </c>
      <c r="BY2669">
        <v>2.15</v>
      </c>
      <c r="BZ2669">
        <v>0.78</v>
      </c>
      <c r="CA2669">
        <v>0.2</v>
      </c>
      <c r="CB2669">
        <v>9.51</v>
      </c>
      <c r="CC2669">
        <v>3.57</v>
      </c>
      <c r="CD2669">
        <v>2.68</v>
      </c>
      <c r="CE2669">
        <v>0.06</v>
      </c>
      <c r="CF2669">
        <v>0</v>
      </c>
      <c r="CG2669">
        <v>0.11</v>
      </c>
      <c r="CH2669">
        <v>0.1</v>
      </c>
      <c r="CI2669">
        <v>-0.04</v>
      </c>
      <c r="CJ2669">
        <v>0.13</v>
      </c>
      <c r="CK2669">
        <v>-0.23</v>
      </c>
      <c r="CL2669">
        <v>-9.0299999999999994</v>
      </c>
      <c r="CM2669">
        <v>-0.43</v>
      </c>
      <c r="CN2669">
        <v>-0.64</v>
      </c>
      <c r="CO2669">
        <v>55028</v>
      </c>
      <c r="CP2669">
        <v>6816</v>
      </c>
      <c r="CQ2669" t="s">
        <v>1636</v>
      </c>
      <c r="CR2669">
        <v>87.99</v>
      </c>
      <c r="CS2669">
        <v>-13.31</v>
      </c>
      <c r="CT2669">
        <v>5.73</v>
      </c>
      <c r="CU2669">
        <v>-80.900000000000006</v>
      </c>
      <c r="CV2669">
        <v>9.75</v>
      </c>
      <c r="CW2669">
        <v>0</v>
      </c>
      <c r="CX2669" t="s">
        <v>11575</v>
      </c>
      <c r="CY2669">
        <v>1.1499999999999999</v>
      </c>
      <c r="CZ2669">
        <v>0</v>
      </c>
      <c r="DA2669">
        <v>1.8</v>
      </c>
      <c r="DB2669">
        <v>-1.71</v>
      </c>
      <c r="DC2669">
        <v>-0.08</v>
      </c>
      <c r="DD2669">
        <v>42.54</v>
      </c>
      <c r="DE2669" t="s">
        <v>12071</v>
      </c>
      <c r="DF2669">
        <v>24.84</v>
      </c>
      <c r="DG2669">
        <v>1.66</v>
      </c>
      <c r="DH2669">
        <v>-1.1499999999999999</v>
      </c>
      <c r="DI2669">
        <v>0.06</v>
      </c>
      <c r="DJ2669">
        <v>722</v>
      </c>
      <c r="DK2669">
        <v>600354</v>
      </c>
      <c r="DL2669" t="s">
        <v>120</v>
      </c>
      <c r="DM2669" t="s">
        <v>120</v>
      </c>
      <c r="DN2669" t="s">
        <v>120</v>
      </c>
    </row>
    <row r="2670" spans="1:118">
      <c r="A2670" t="str">
        <f>"600355"</f>
        <v>600355</v>
      </c>
      <c r="B2670" t="s">
        <v>12072</v>
      </c>
      <c r="C2670">
        <v>0.64</v>
      </c>
      <c r="D2670">
        <v>-0.31</v>
      </c>
      <c r="E2670">
        <v>-0.32</v>
      </c>
      <c r="F2670">
        <v>3213</v>
      </c>
      <c r="G2670" t="s">
        <v>12073</v>
      </c>
      <c r="H2670">
        <v>6552.2</v>
      </c>
      <c r="I2670">
        <v>4.0199999999999996</v>
      </c>
      <c r="J2670" t="s">
        <v>120</v>
      </c>
      <c r="K2670" t="s">
        <v>12074</v>
      </c>
      <c r="L2670">
        <v>4.21</v>
      </c>
      <c r="M2670">
        <v>3.15</v>
      </c>
      <c r="N2670">
        <v>0.74</v>
      </c>
      <c r="O2670">
        <v>2.56</v>
      </c>
      <c r="P2670">
        <v>3.21</v>
      </c>
      <c r="Q2670">
        <v>-0.32</v>
      </c>
      <c r="R2670">
        <v>3.12</v>
      </c>
      <c r="S2670">
        <v>3.12</v>
      </c>
      <c r="T2670">
        <v>207308</v>
      </c>
      <c r="U2670">
        <v>3.16</v>
      </c>
      <c r="V2670">
        <v>3.13</v>
      </c>
      <c r="W2670">
        <v>414.15</v>
      </c>
      <c r="X2670" t="s">
        <v>229</v>
      </c>
      <c r="Y2670" t="s">
        <v>763</v>
      </c>
      <c r="Z2670">
        <v>2.88</v>
      </c>
      <c r="AA2670">
        <v>3.16</v>
      </c>
      <c r="AB2670">
        <v>95514</v>
      </c>
      <c r="AC2670">
        <v>111794</v>
      </c>
      <c r="AD2670">
        <v>0.85</v>
      </c>
      <c r="AE2670">
        <v>113</v>
      </c>
      <c r="AF2670">
        <v>4279</v>
      </c>
      <c r="AG2670" t="s">
        <v>120</v>
      </c>
      <c r="AH2670">
        <v>0</v>
      </c>
      <c r="AI2670" t="s">
        <v>120</v>
      </c>
      <c r="AJ2670">
        <v>4.92</v>
      </c>
      <c r="AK2670" t="s">
        <v>12074</v>
      </c>
      <c r="AL2670">
        <v>1.98</v>
      </c>
      <c r="AM2670">
        <v>2370</v>
      </c>
      <c r="AN2670">
        <v>87</v>
      </c>
      <c r="AO2670">
        <v>1.8E-3</v>
      </c>
      <c r="AP2670">
        <v>2</v>
      </c>
      <c r="AQ2670">
        <v>0.97</v>
      </c>
      <c r="AR2670">
        <v>-0.95</v>
      </c>
      <c r="AS2670">
        <v>8.6199999999999992</v>
      </c>
      <c r="AT2670">
        <v>12.91</v>
      </c>
      <c r="AU2670">
        <v>22.1</v>
      </c>
      <c r="AV2670">
        <v>4</v>
      </c>
      <c r="AW2670">
        <v>5.0199999999999996</v>
      </c>
      <c r="AX2670">
        <v>83.97</v>
      </c>
      <c r="AY2670" t="s">
        <v>120</v>
      </c>
      <c r="AZ2670" t="s">
        <v>120</v>
      </c>
      <c r="BA2670">
        <v>0.47</v>
      </c>
      <c r="BB2670" t="s">
        <v>240</v>
      </c>
      <c r="BF2670">
        <v>0.98</v>
      </c>
      <c r="BG2670">
        <v>0.96</v>
      </c>
      <c r="BH2670">
        <v>-1.87</v>
      </c>
      <c r="BI2670">
        <v>0.96</v>
      </c>
      <c r="BJ2670">
        <v>20210913</v>
      </c>
      <c r="BK2670">
        <v>20020613</v>
      </c>
      <c r="BL2670">
        <v>4.92</v>
      </c>
      <c r="BM2670" t="s">
        <v>120</v>
      </c>
      <c r="BN2670" t="s">
        <v>120</v>
      </c>
      <c r="BO2670">
        <v>4.53</v>
      </c>
      <c r="BP2670">
        <v>3.15</v>
      </c>
      <c r="BQ2670">
        <v>2.61</v>
      </c>
      <c r="BR2670">
        <v>-0.01</v>
      </c>
      <c r="BS2670">
        <v>42.57</v>
      </c>
      <c r="BT2670">
        <v>2.83</v>
      </c>
      <c r="BU2670">
        <v>1.1000000000000001</v>
      </c>
      <c r="BV2670">
        <v>0.23</v>
      </c>
      <c r="BW2670">
        <v>1.9</v>
      </c>
      <c r="BX2670">
        <v>0.73</v>
      </c>
      <c r="BY2670">
        <v>1.1200000000000001</v>
      </c>
      <c r="BZ2670">
        <v>0.42</v>
      </c>
      <c r="CA2670" t="s">
        <v>120</v>
      </c>
      <c r="CB2670">
        <v>1.51</v>
      </c>
      <c r="CC2670">
        <v>1.43</v>
      </c>
      <c r="CD2670">
        <v>1.06</v>
      </c>
      <c r="CE2670">
        <v>0.03</v>
      </c>
      <c r="CF2670">
        <v>-0.01</v>
      </c>
      <c r="CG2670">
        <v>0.03</v>
      </c>
      <c r="CH2670">
        <v>0.02</v>
      </c>
      <c r="CI2670">
        <v>0.02</v>
      </c>
      <c r="CJ2670">
        <v>0.02</v>
      </c>
      <c r="CK2670">
        <v>0.01</v>
      </c>
      <c r="CL2670">
        <v>-4.2300000000000004</v>
      </c>
      <c r="CM2670">
        <v>0.13</v>
      </c>
      <c r="CN2670">
        <v>0</v>
      </c>
      <c r="CO2670">
        <v>39351</v>
      </c>
      <c r="CP2670">
        <v>10500</v>
      </c>
      <c r="CQ2670" t="s">
        <v>10551</v>
      </c>
      <c r="CR2670">
        <v>110.39</v>
      </c>
      <c r="CS2670">
        <v>81.319999999999993</v>
      </c>
      <c r="CT2670">
        <v>5.93</v>
      </c>
      <c r="CU2670">
        <v>115.55</v>
      </c>
      <c r="CV2670">
        <v>10.88</v>
      </c>
      <c r="CW2670">
        <v>0</v>
      </c>
      <c r="CX2670" t="s">
        <v>1902</v>
      </c>
      <c r="CY2670">
        <v>0.53</v>
      </c>
      <c r="CZ2670">
        <v>0</v>
      </c>
      <c r="DA2670">
        <v>0.31</v>
      </c>
      <c r="DB2670">
        <v>-0.86</v>
      </c>
      <c r="DC2670">
        <v>0.03</v>
      </c>
      <c r="DD2670">
        <v>57.7</v>
      </c>
      <c r="DE2670" t="s">
        <v>2010</v>
      </c>
      <c r="DF2670">
        <v>25.9</v>
      </c>
      <c r="DG2670">
        <v>2.0299999999999998</v>
      </c>
      <c r="DH2670">
        <v>1.31</v>
      </c>
      <c r="DI2670">
        <v>0.16</v>
      </c>
      <c r="DJ2670">
        <v>394</v>
      </c>
      <c r="DK2670">
        <v>600355</v>
      </c>
      <c r="DL2670" t="s">
        <v>120</v>
      </c>
      <c r="DM2670" t="s">
        <v>120</v>
      </c>
      <c r="DN2670" t="s">
        <v>120</v>
      </c>
    </row>
    <row r="2671" spans="1:118">
      <c r="A2671" t="str">
        <f>"600356"</f>
        <v>600356</v>
      </c>
      <c r="B2671" t="s">
        <v>12075</v>
      </c>
      <c r="C2671">
        <v>-0.4</v>
      </c>
      <c r="D2671">
        <v>0</v>
      </c>
      <c r="E2671">
        <v>-0.13</v>
      </c>
      <c r="F2671">
        <v>262</v>
      </c>
      <c r="G2671" t="s">
        <v>1171</v>
      </c>
      <c r="H2671">
        <v>2446.77</v>
      </c>
      <c r="I2671">
        <v>2.84</v>
      </c>
      <c r="J2671" t="s">
        <v>120</v>
      </c>
      <c r="K2671" t="s">
        <v>5923</v>
      </c>
      <c r="L2671">
        <v>1.08</v>
      </c>
      <c r="M2671">
        <v>7.45</v>
      </c>
      <c r="N2671">
        <v>1.52</v>
      </c>
      <c r="O2671">
        <v>2.41</v>
      </c>
      <c r="P2671">
        <v>7.66</v>
      </c>
      <c r="Q2671">
        <v>-0.4</v>
      </c>
      <c r="R2671">
        <v>7.45</v>
      </c>
      <c r="S2671">
        <v>7.47</v>
      </c>
      <c r="T2671">
        <v>32365</v>
      </c>
      <c r="U2671">
        <v>7.46</v>
      </c>
      <c r="V2671">
        <v>7.48</v>
      </c>
      <c r="W2671">
        <v>13.42</v>
      </c>
      <c r="X2671" t="s">
        <v>814</v>
      </c>
      <c r="Y2671" t="s">
        <v>1686</v>
      </c>
      <c r="Z2671">
        <v>2.81</v>
      </c>
      <c r="AA2671">
        <v>7.56</v>
      </c>
      <c r="AB2671">
        <v>15446</v>
      </c>
      <c r="AC2671">
        <v>16919</v>
      </c>
      <c r="AD2671">
        <v>0.91</v>
      </c>
      <c r="AE2671">
        <v>142</v>
      </c>
      <c r="AF2671">
        <v>8</v>
      </c>
      <c r="AG2671" t="s">
        <v>120</v>
      </c>
      <c r="AH2671">
        <v>0</v>
      </c>
      <c r="AI2671" t="s">
        <v>120</v>
      </c>
      <c r="AJ2671">
        <v>2.99</v>
      </c>
      <c r="AK2671" t="s">
        <v>5923</v>
      </c>
      <c r="AL2671">
        <v>0.94</v>
      </c>
      <c r="AM2671">
        <v>1183</v>
      </c>
      <c r="AN2671">
        <v>27</v>
      </c>
      <c r="AO2671">
        <v>8.9999999999999998E-4</v>
      </c>
      <c r="AP2671">
        <v>-1</v>
      </c>
      <c r="AQ2671">
        <v>1.49</v>
      </c>
      <c r="AR2671">
        <v>-0.93</v>
      </c>
      <c r="AS2671">
        <v>7.82</v>
      </c>
      <c r="AT2671">
        <v>-1.81</v>
      </c>
      <c r="AU2671">
        <v>-9.44</v>
      </c>
      <c r="AV2671">
        <v>0</v>
      </c>
      <c r="AW2671">
        <v>1.55</v>
      </c>
      <c r="AX2671">
        <v>70.069999999999993</v>
      </c>
      <c r="AY2671">
        <v>14.5</v>
      </c>
      <c r="AZ2671">
        <v>16.96</v>
      </c>
      <c r="BA2671">
        <v>0.63</v>
      </c>
      <c r="BB2671" t="s">
        <v>184</v>
      </c>
      <c r="BF2671">
        <v>1.07</v>
      </c>
      <c r="BG2671">
        <v>-0.27</v>
      </c>
      <c r="BH2671">
        <v>-2.74</v>
      </c>
      <c r="BI2671">
        <v>0</v>
      </c>
      <c r="BJ2671">
        <v>20210821</v>
      </c>
      <c r="BK2671">
        <v>20010419</v>
      </c>
      <c r="BL2671">
        <v>2.99</v>
      </c>
      <c r="BM2671" t="s">
        <v>120</v>
      </c>
      <c r="BN2671" t="s">
        <v>120</v>
      </c>
      <c r="BO2671">
        <v>31.45</v>
      </c>
      <c r="BP2671">
        <v>7.45</v>
      </c>
      <c r="BQ2671">
        <v>22.84</v>
      </c>
      <c r="BR2671">
        <v>0.82</v>
      </c>
      <c r="BS2671">
        <v>24.77</v>
      </c>
      <c r="BT2671">
        <v>16.12</v>
      </c>
      <c r="BU2671">
        <v>11.36</v>
      </c>
      <c r="BV2671">
        <v>2.94</v>
      </c>
      <c r="BW2671">
        <v>6.29</v>
      </c>
      <c r="BX2671">
        <v>3.18</v>
      </c>
      <c r="BY2671">
        <v>4.49</v>
      </c>
      <c r="BZ2671">
        <v>4.28</v>
      </c>
      <c r="CA2671" t="s">
        <v>120</v>
      </c>
      <c r="CB2671">
        <v>8.66</v>
      </c>
      <c r="CC2671">
        <v>10.07</v>
      </c>
      <c r="CD2671">
        <v>7.26</v>
      </c>
      <c r="CE2671">
        <v>1.08</v>
      </c>
      <c r="CF2671">
        <v>0</v>
      </c>
      <c r="CG2671">
        <v>1.08</v>
      </c>
      <c r="CH2671">
        <v>0.89</v>
      </c>
      <c r="CI2671">
        <v>0.83</v>
      </c>
      <c r="CJ2671">
        <v>-0.03</v>
      </c>
      <c r="CK2671">
        <v>0.76</v>
      </c>
      <c r="CL2671">
        <v>9.33</v>
      </c>
      <c r="CM2671">
        <v>1.29</v>
      </c>
      <c r="CN2671">
        <v>0.84</v>
      </c>
      <c r="CO2671">
        <v>16540</v>
      </c>
      <c r="CP2671">
        <v>12655</v>
      </c>
      <c r="CQ2671" t="s">
        <v>6261</v>
      </c>
      <c r="CR2671">
        <v>36.909999999999997</v>
      </c>
      <c r="CS2671">
        <v>9.02</v>
      </c>
      <c r="CT2671">
        <v>0.97</v>
      </c>
      <c r="CU2671">
        <v>17.28</v>
      </c>
      <c r="CV2671">
        <v>2.21</v>
      </c>
      <c r="CW2671">
        <v>1.78</v>
      </c>
      <c r="CX2671" t="s">
        <v>1054</v>
      </c>
      <c r="CY2671">
        <v>7.65</v>
      </c>
      <c r="CZ2671">
        <v>0</v>
      </c>
      <c r="DA2671">
        <v>2.9</v>
      </c>
      <c r="DB2671">
        <v>3.12</v>
      </c>
      <c r="DC2671">
        <v>0.43</v>
      </c>
      <c r="DD2671">
        <v>72.62</v>
      </c>
      <c r="DE2671" t="s">
        <v>8072</v>
      </c>
      <c r="DF2671">
        <v>27.88</v>
      </c>
      <c r="DG2671">
        <v>10.76</v>
      </c>
      <c r="DH2671">
        <v>8.24</v>
      </c>
      <c r="DI2671">
        <v>0.34</v>
      </c>
      <c r="DJ2671">
        <v>2089</v>
      </c>
      <c r="DK2671">
        <v>600356</v>
      </c>
      <c r="DL2671" t="s">
        <v>120</v>
      </c>
      <c r="DM2671" t="s">
        <v>120</v>
      </c>
      <c r="DN2671" t="s">
        <v>120</v>
      </c>
    </row>
    <row r="2672" spans="1:118">
      <c r="A2672" t="str">
        <f>"600358"</f>
        <v>600358</v>
      </c>
      <c r="B2672" t="s">
        <v>12076</v>
      </c>
      <c r="C2672">
        <v>10.02</v>
      </c>
      <c r="D2672">
        <v>0</v>
      </c>
      <c r="E2672">
        <v>2.5099999999999998</v>
      </c>
      <c r="F2672">
        <v>1893</v>
      </c>
      <c r="G2672" t="s">
        <v>10746</v>
      </c>
      <c r="H2672">
        <v>19873.66</v>
      </c>
      <c r="I2672">
        <v>69.08</v>
      </c>
      <c r="J2672">
        <v>84.38</v>
      </c>
      <c r="K2672" t="s">
        <v>7123</v>
      </c>
      <c r="L2672">
        <v>8.27</v>
      </c>
      <c r="M2672">
        <v>4.83</v>
      </c>
      <c r="N2672">
        <v>3.65</v>
      </c>
      <c r="O2672">
        <v>10.02</v>
      </c>
      <c r="P2672">
        <v>4.83</v>
      </c>
      <c r="Q2672">
        <v>2.5099999999999998</v>
      </c>
      <c r="R2672">
        <v>4.5</v>
      </c>
      <c r="S2672">
        <v>4.5</v>
      </c>
      <c r="T2672">
        <v>417338</v>
      </c>
      <c r="U2672" t="s">
        <v>120</v>
      </c>
      <c r="V2672">
        <v>4.3899999999999997</v>
      </c>
      <c r="W2672">
        <v>104.21</v>
      </c>
      <c r="X2672" t="s">
        <v>1317</v>
      </c>
      <c r="Y2672" t="s">
        <v>319</v>
      </c>
      <c r="Z2672">
        <v>7.52</v>
      </c>
      <c r="AA2672">
        <v>4.76</v>
      </c>
      <c r="AB2672">
        <v>235768</v>
      </c>
      <c r="AC2672">
        <v>181570</v>
      </c>
      <c r="AD2672">
        <v>1.3</v>
      </c>
      <c r="AE2672">
        <v>1747</v>
      </c>
      <c r="AF2672">
        <v>0</v>
      </c>
      <c r="AG2672" t="s">
        <v>120</v>
      </c>
      <c r="AH2672">
        <v>0.05</v>
      </c>
      <c r="AI2672">
        <v>0</v>
      </c>
      <c r="AJ2672">
        <v>5.05</v>
      </c>
      <c r="AK2672" t="s">
        <v>7123</v>
      </c>
      <c r="AL2672">
        <v>11.37</v>
      </c>
      <c r="AM2672">
        <v>3227</v>
      </c>
      <c r="AN2672">
        <v>129</v>
      </c>
      <c r="AO2672">
        <v>2.5999999999999999E-3</v>
      </c>
      <c r="AP2672">
        <v>2</v>
      </c>
      <c r="AQ2672">
        <v>0.92</v>
      </c>
      <c r="AR2672">
        <v>6.15</v>
      </c>
      <c r="AS2672">
        <v>40.82</v>
      </c>
      <c r="AT2672">
        <v>39.19</v>
      </c>
      <c r="AU2672">
        <v>63.17</v>
      </c>
      <c r="AV2672">
        <v>2</v>
      </c>
      <c r="AW2672">
        <v>12.53</v>
      </c>
      <c r="AX2672">
        <v>65.989999999999995</v>
      </c>
      <c r="AY2672">
        <v>102.88</v>
      </c>
      <c r="AZ2672">
        <v>152.93</v>
      </c>
      <c r="BA2672">
        <v>0.75</v>
      </c>
      <c r="BB2672" t="s">
        <v>143</v>
      </c>
      <c r="BF2672">
        <v>8.4700000000000006</v>
      </c>
      <c r="BG2672">
        <v>7.33</v>
      </c>
      <c r="BH2672">
        <v>0</v>
      </c>
      <c r="BI2672">
        <v>7.33</v>
      </c>
      <c r="BJ2672">
        <v>20210823</v>
      </c>
      <c r="BK2672">
        <v>20000922</v>
      </c>
      <c r="BL2672">
        <v>5.05</v>
      </c>
      <c r="BM2672" t="s">
        <v>120</v>
      </c>
      <c r="BN2672" t="s">
        <v>120</v>
      </c>
      <c r="BO2672">
        <v>5.55</v>
      </c>
      <c r="BP2672">
        <v>4.83</v>
      </c>
      <c r="BQ2672">
        <v>1.77</v>
      </c>
      <c r="BR2672">
        <v>0.13</v>
      </c>
      <c r="BS2672">
        <v>65.91</v>
      </c>
      <c r="BT2672">
        <v>3.94</v>
      </c>
      <c r="BU2672">
        <v>0.12</v>
      </c>
      <c r="BV2672">
        <v>0</v>
      </c>
      <c r="BW2672">
        <v>3.63</v>
      </c>
      <c r="BX2672">
        <v>0.82</v>
      </c>
      <c r="BY2672">
        <v>0.01</v>
      </c>
      <c r="BZ2672">
        <v>1.56</v>
      </c>
      <c r="CA2672" t="s">
        <v>120</v>
      </c>
      <c r="CB2672">
        <v>2.77</v>
      </c>
      <c r="CC2672">
        <v>3.49</v>
      </c>
      <c r="CD2672">
        <v>3.36</v>
      </c>
      <c r="CE2672">
        <v>0.09</v>
      </c>
      <c r="CF2672">
        <v>0.03</v>
      </c>
      <c r="CG2672">
        <v>0.09</v>
      </c>
      <c r="CH2672">
        <v>0.09</v>
      </c>
      <c r="CI2672">
        <v>0.12</v>
      </c>
      <c r="CJ2672">
        <v>0.44</v>
      </c>
      <c r="CK2672">
        <v>-0.15</v>
      </c>
      <c r="CL2672">
        <v>-5.71</v>
      </c>
      <c r="CM2672">
        <v>0.15</v>
      </c>
      <c r="CN2672">
        <v>0.37</v>
      </c>
      <c r="CO2672">
        <v>28498</v>
      </c>
      <c r="CP2672">
        <v>11692</v>
      </c>
      <c r="CQ2672" t="s">
        <v>3672</v>
      </c>
      <c r="CR2672">
        <v>151.68</v>
      </c>
      <c r="CS2672">
        <v>61.74</v>
      </c>
      <c r="CT2672">
        <v>13.81</v>
      </c>
      <c r="CU2672">
        <v>168.1</v>
      </c>
      <c r="CV2672">
        <v>6.98</v>
      </c>
      <c r="CW2672">
        <v>0</v>
      </c>
      <c r="CX2672" t="s">
        <v>8184</v>
      </c>
      <c r="CY2672">
        <v>0.35</v>
      </c>
      <c r="CZ2672">
        <v>0</v>
      </c>
      <c r="DA2672">
        <v>0.55000000000000004</v>
      </c>
      <c r="DB2672">
        <v>-1.1299999999999999</v>
      </c>
      <c r="DC2672">
        <v>0.03</v>
      </c>
      <c r="DD2672">
        <v>31.83</v>
      </c>
      <c r="DE2672" t="s">
        <v>1521</v>
      </c>
      <c r="DF2672">
        <v>3.75</v>
      </c>
      <c r="DG2672">
        <v>2.48</v>
      </c>
      <c r="DH2672">
        <v>3.35</v>
      </c>
      <c r="DI2672">
        <v>0.01</v>
      </c>
      <c r="DJ2672">
        <v>188</v>
      </c>
      <c r="DK2672">
        <v>600358</v>
      </c>
      <c r="DL2672" t="s">
        <v>120</v>
      </c>
      <c r="DM2672" t="s">
        <v>120</v>
      </c>
      <c r="DN2672" t="s">
        <v>120</v>
      </c>
    </row>
    <row r="2673" spans="1:118">
      <c r="A2673" t="str">
        <f>"600359"</f>
        <v>600359</v>
      </c>
      <c r="B2673" t="s">
        <v>12077</v>
      </c>
      <c r="C2673">
        <v>3.5</v>
      </c>
      <c r="D2673">
        <v>0.13</v>
      </c>
      <c r="E2673">
        <v>0.27</v>
      </c>
      <c r="F2673">
        <v>1867</v>
      </c>
      <c r="G2673" t="s">
        <v>9742</v>
      </c>
      <c r="H2673">
        <v>18976.59</v>
      </c>
      <c r="I2673">
        <v>18.7</v>
      </c>
      <c r="J2673" t="s">
        <v>120</v>
      </c>
      <c r="K2673" t="s">
        <v>8505</v>
      </c>
      <c r="L2673">
        <v>6.47</v>
      </c>
      <c r="M2673">
        <v>7.69</v>
      </c>
      <c r="N2673">
        <v>2.66</v>
      </c>
      <c r="O2673">
        <v>4.9800000000000004</v>
      </c>
      <c r="P2673">
        <v>7.8</v>
      </c>
      <c r="Q2673">
        <v>-0.27</v>
      </c>
      <c r="R2673">
        <v>7.41</v>
      </c>
      <c r="S2673">
        <v>7.45</v>
      </c>
      <c r="T2673">
        <v>246687</v>
      </c>
      <c r="U2673">
        <v>7.69</v>
      </c>
      <c r="V2673">
        <v>7.43</v>
      </c>
      <c r="W2673">
        <v>38.49</v>
      </c>
      <c r="X2673" t="s">
        <v>447</v>
      </c>
      <c r="Y2673" t="s">
        <v>609</v>
      </c>
      <c r="Z2673">
        <v>5.25</v>
      </c>
      <c r="AA2673">
        <v>7.69</v>
      </c>
      <c r="AB2673">
        <v>95699</v>
      </c>
      <c r="AC2673">
        <v>150988</v>
      </c>
      <c r="AD2673">
        <v>0.63</v>
      </c>
      <c r="AE2673">
        <v>397</v>
      </c>
      <c r="AF2673">
        <v>1043</v>
      </c>
      <c r="AG2673" t="s">
        <v>120</v>
      </c>
      <c r="AH2673">
        <v>0.01</v>
      </c>
      <c r="AI2673" t="s">
        <v>120</v>
      </c>
      <c r="AJ2673">
        <v>3.82</v>
      </c>
      <c r="AK2673" t="s">
        <v>8505</v>
      </c>
      <c r="AL2673">
        <v>4.84</v>
      </c>
      <c r="AM2673">
        <v>3312</v>
      </c>
      <c r="AN2673">
        <v>74</v>
      </c>
      <c r="AO2673">
        <v>2E-3</v>
      </c>
      <c r="AP2673">
        <v>2</v>
      </c>
      <c r="AQ2673">
        <v>1.23</v>
      </c>
      <c r="AR2673">
        <v>1.45</v>
      </c>
      <c r="AS2673">
        <v>4.63</v>
      </c>
      <c r="AT2673">
        <v>1.85</v>
      </c>
      <c r="AU2673">
        <v>-12.92</v>
      </c>
      <c r="AV2673">
        <v>1</v>
      </c>
      <c r="AW2673">
        <v>10.83</v>
      </c>
      <c r="AX2673">
        <v>59.68</v>
      </c>
      <c r="AY2673">
        <v>42.33</v>
      </c>
      <c r="AZ2673">
        <v>74.12</v>
      </c>
      <c r="BA2673">
        <v>0.4</v>
      </c>
      <c r="BB2673" t="s">
        <v>143</v>
      </c>
      <c r="BF2673">
        <v>3.53</v>
      </c>
      <c r="BG2673">
        <v>3.22</v>
      </c>
      <c r="BH2673">
        <v>-1.41</v>
      </c>
      <c r="BI2673">
        <v>3.78</v>
      </c>
      <c r="BJ2673">
        <v>20210913</v>
      </c>
      <c r="BK2673">
        <v>19990429</v>
      </c>
      <c r="BL2673">
        <v>3.82</v>
      </c>
      <c r="BM2673" t="s">
        <v>120</v>
      </c>
      <c r="BN2673" t="s">
        <v>120</v>
      </c>
      <c r="BO2673">
        <v>16.79</v>
      </c>
      <c r="BP2673">
        <v>7.68</v>
      </c>
      <c r="BQ2673">
        <v>5.12</v>
      </c>
      <c r="BR2673">
        <v>-0.08</v>
      </c>
      <c r="BS2673">
        <v>70</v>
      </c>
      <c r="BT2673">
        <v>8.0500000000000007</v>
      </c>
      <c r="BU2673">
        <v>5.05</v>
      </c>
      <c r="BV2673">
        <v>0.36</v>
      </c>
      <c r="BW2673">
        <v>10.96</v>
      </c>
      <c r="BX2673">
        <v>1.66</v>
      </c>
      <c r="BY2673">
        <v>2.96</v>
      </c>
      <c r="BZ2673">
        <v>0.32</v>
      </c>
      <c r="CA2673">
        <v>0.01</v>
      </c>
      <c r="CB2673">
        <v>9.36</v>
      </c>
      <c r="CC2673">
        <v>2.92</v>
      </c>
      <c r="CD2673">
        <v>1.98</v>
      </c>
      <c r="CE2673">
        <v>0.41</v>
      </c>
      <c r="CF2673">
        <v>0</v>
      </c>
      <c r="CG2673">
        <v>0.43</v>
      </c>
      <c r="CH2673">
        <v>0.42</v>
      </c>
      <c r="CI2673">
        <v>0.38</v>
      </c>
      <c r="CJ2673">
        <v>0.26</v>
      </c>
      <c r="CK2673">
        <v>0.32</v>
      </c>
      <c r="CL2673">
        <v>-8.18</v>
      </c>
      <c r="CM2673">
        <v>0.47</v>
      </c>
      <c r="CN2673">
        <v>0.63</v>
      </c>
      <c r="CO2673">
        <v>58771</v>
      </c>
      <c r="CP2673">
        <v>3874</v>
      </c>
      <c r="CQ2673" t="s">
        <v>4797</v>
      </c>
      <c r="CR2673">
        <v>306.19</v>
      </c>
      <c r="CS2673">
        <v>44.13</v>
      </c>
      <c r="CT2673">
        <v>5.73</v>
      </c>
      <c r="CU2673">
        <v>62.27</v>
      </c>
      <c r="CV2673">
        <v>10.050000000000001</v>
      </c>
      <c r="CW2673">
        <v>0</v>
      </c>
      <c r="CX2673" t="s">
        <v>411</v>
      </c>
      <c r="CY2673">
        <v>1.34</v>
      </c>
      <c r="CZ2673">
        <v>0</v>
      </c>
      <c r="DA2673">
        <v>2.4500000000000002</v>
      </c>
      <c r="DB2673">
        <v>-2.14</v>
      </c>
      <c r="DC2673">
        <v>0.12</v>
      </c>
      <c r="DD2673">
        <v>30.51</v>
      </c>
      <c r="DE2673" t="s">
        <v>4803</v>
      </c>
      <c r="DF2673">
        <v>32.24</v>
      </c>
      <c r="DG2673">
        <v>13.98</v>
      </c>
      <c r="DH2673">
        <v>13.05</v>
      </c>
      <c r="DI2673">
        <v>0.04</v>
      </c>
      <c r="DJ2673">
        <v>541</v>
      </c>
      <c r="DK2673">
        <v>600359</v>
      </c>
      <c r="DL2673" t="s">
        <v>120</v>
      </c>
      <c r="DM2673" t="s">
        <v>120</v>
      </c>
      <c r="DN2673" t="s">
        <v>120</v>
      </c>
    </row>
    <row r="2674" spans="1:118">
      <c r="A2674" t="str">
        <f>"600360"</f>
        <v>600360</v>
      </c>
      <c r="B2674" t="s">
        <v>12078</v>
      </c>
      <c r="C2674">
        <v>-3.51</v>
      </c>
      <c r="D2674">
        <v>0</v>
      </c>
      <c r="E2674">
        <v>-0.23</v>
      </c>
      <c r="F2674">
        <v>3512</v>
      </c>
      <c r="G2674" t="s">
        <v>12079</v>
      </c>
      <c r="H2674">
        <v>30731.23</v>
      </c>
      <c r="I2674">
        <v>52.66</v>
      </c>
      <c r="J2674" t="s">
        <v>120</v>
      </c>
      <c r="K2674" t="s">
        <v>12080</v>
      </c>
      <c r="L2674">
        <v>3.69</v>
      </c>
      <c r="M2674">
        <v>8.5299999999999994</v>
      </c>
      <c r="N2674">
        <v>0.92</v>
      </c>
      <c r="O2674">
        <v>0.79</v>
      </c>
      <c r="P2674">
        <v>8.91</v>
      </c>
      <c r="Q2674">
        <v>-4.3</v>
      </c>
      <c r="R2674">
        <v>8.4600000000000009</v>
      </c>
      <c r="S2674">
        <v>8.82</v>
      </c>
      <c r="T2674">
        <v>354643</v>
      </c>
      <c r="U2674">
        <v>8.5299999999999994</v>
      </c>
      <c r="V2674">
        <v>8.84</v>
      </c>
      <c r="W2674">
        <v>153.91</v>
      </c>
      <c r="X2674" t="s">
        <v>3245</v>
      </c>
      <c r="Y2674" t="s">
        <v>290</v>
      </c>
      <c r="Z2674">
        <v>5.09</v>
      </c>
      <c r="AA2674">
        <v>8.67</v>
      </c>
      <c r="AB2674">
        <v>200015</v>
      </c>
      <c r="AC2674">
        <v>154628</v>
      </c>
      <c r="AD2674">
        <v>1.29</v>
      </c>
      <c r="AE2674">
        <v>1437</v>
      </c>
      <c r="AF2674">
        <v>1834</v>
      </c>
      <c r="AG2674" t="s">
        <v>120</v>
      </c>
      <c r="AH2674">
        <v>0.01</v>
      </c>
      <c r="AI2674" t="s">
        <v>120</v>
      </c>
      <c r="AJ2674">
        <v>9.6</v>
      </c>
      <c r="AK2674" t="s">
        <v>12080</v>
      </c>
      <c r="AL2674">
        <v>-2.16</v>
      </c>
      <c r="AM2674">
        <v>4246</v>
      </c>
      <c r="AN2674">
        <v>84</v>
      </c>
      <c r="AO2674">
        <v>8.9999999999999998E-4</v>
      </c>
      <c r="AP2674">
        <v>-4</v>
      </c>
      <c r="AQ2674">
        <v>-0.79</v>
      </c>
      <c r="AR2674">
        <v>-4.59</v>
      </c>
      <c r="AS2674">
        <v>-17.100000000000001</v>
      </c>
      <c r="AT2674">
        <v>1.61</v>
      </c>
      <c r="AU2674">
        <v>2.83</v>
      </c>
      <c r="AV2674">
        <v>6</v>
      </c>
      <c r="AW2674">
        <v>4.75</v>
      </c>
      <c r="AX2674">
        <v>77.680000000000007</v>
      </c>
      <c r="AY2674">
        <v>200.87</v>
      </c>
      <c r="AZ2674">
        <v>248.35</v>
      </c>
      <c r="BA2674">
        <v>0.78</v>
      </c>
      <c r="BB2674" t="s">
        <v>125</v>
      </c>
      <c r="BF2674">
        <v>-1.98</v>
      </c>
      <c r="BG2674">
        <v>-3.29</v>
      </c>
      <c r="BH2674">
        <v>-4.26</v>
      </c>
      <c r="BI2674">
        <v>0.83</v>
      </c>
      <c r="BJ2674">
        <v>20210831</v>
      </c>
      <c r="BK2674">
        <v>20010316</v>
      </c>
      <c r="BL2674">
        <v>9.6</v>
      </c>
      <c r="BM2674" t="s">
        <v>120</v>
      </c>
      <c r="BN2674" t="s">
        <v>120</v>
      </c>
      <c r="BO2674">
        <v>60.84</v>
      </c>
      <c r="BP2674">
        <v>8.52</v>
      </c>
      <c r="BQ2674">
        <v>31.32</v>
      </c>
      <c r="BR2674">
        <v>0</v>
      </c>
      <c r="BS2674">
        <v>48.53</v>
      </c>
      <c r="BT2674">
        <v>29.23</v>
      </c>
      <c r="BU2674">
        <v>8.8699999999999992</v>
      </c>
      <c r="BV2674">
        <v>1.1299999999999999</v>
      </c>
      <c r="BW2674">
        <v>19.61</v>
      </c>
      <c r="BX2674">
        <v>17.440000000000001</v>
      </c>
      <c r="BY2674">
        <v>1.83</v>
      </c>
      <c r="BZ2674">
        <v>4.33</v>
      </c>
      <c r="CA2674" t="s">
        <v>120</v>
      </c>
      <c r="CB2674">
        <v>11.56</v>
      </c>
      <c r="CC2674">
        <v>9.92</v>
      </c>
      <c r="CD2674">
        <v>7.78</v>
      </c>
      <c r="CE2674">
        <v>0.33</v>
      </c>
      <c r="CF2674">
        <v>0.03</v>
      </c>
      <c r="CG2674">
        <v>0.32</v>
      </c>
      <c r="CH2674">
        <v>0.27</v>
      </c>
      <c r="CI2674">
        <v>0.27</v>
      </c>
      <c r="CJ2674">
        <v>-0.31</v>
      </c>
      <c r="CK2674">
        <v>0.26</v>
      </c>
      <c r="CL2674">
        <v>8.92</v>
      </c>
      <c r="CM2674">
        <v>0.85</v>
      </c>
      <c r="CN2674">
        <v>1.01</v>
      </c>
      <c r="CO2674">
        <v>116976</v>
      </c>
      <c r="CP2674">
        <v>6377</v>
      </c>
      <c r="CQ2674" t="s">
        <v>11579</v>
      </c>
      <c r="CR2674">
        <v>43.59</v>
      </c>
      <c r="CS2674">
        <v>23.45</v>
      </c>
      <c r="CT2674">
        <v>2.62</v>
      </c>
      <c r="CU2674">
        <v>96.93</v>
      </c>
      <c r="CV2674">
        <v>8.26</v>
      </c>
      <c r="CW2674">
        <v>0.17</v>
      </c>
      <c r="CX2674" t="s">
        <v>2074</v>
      </c>
      <c r="CY2674">
        <v>3.26</v>
      </c>
      <c r="CZ2674">
        <v>0</v>
      </c>
      <c r="DA2674">
        <v>1.2</v>
      </c>
      <c r="DB2674">
        <v>0.93</v>
      </c>
      <c r="DC2674">
        <v>0.09</v>
      </c>
      <c r="DD2674">
        <v>51.47</v>
      </c>
      <c r="DE2674" t="s">
        <v>5334</v>
      </c>
      <c r="DF2674">
        <v>21.54</v>
      </c>
      <c r="DG2674">
        <v>3.29</v>
      </c>
      <c r="DH2674">
        <v>2.68</v>
      </c>
      <c r="DI2674">
        <v>0.44</v>
      </c>
      <c r="DJ2674">
        <v>2051</v>
      </c>
      <c r="DK2674">
        <v>600360</v>
      </c>
      <c r="DL2674" t="s">
        <v>120</v>
      </c>
      <c r="DM2674" t="s">
        <v>120</v>
      </c>
      <c r="DN2674" t="s">
        <v>120</v>
      </c>
    </row>
    <row r="2675" spans="1:118">
      <c r="A2675" t="str">
        <f>"600361"</f>
        <v>600361</v>
      </c>
      <c r="B2675" t="s">
        <v>12081</v>
      </c>
      <c r="C2675">
        <v>-4.09</v>
      </c>
      <c r="D2675">
        <v>-0.96</v>
      </c>
      <c r="E2675">
        <v>0.47</v>
      </c>
      <c r="F2675">
        <v>12390</v>
      </c>
      <c r="G2675" t="s">
        <v>10230</v>
      </c>
      <c r="H2675">
        <v>22413.52</v>
      </c>
      <c r="I2675">
        <v>942.72</v>
      </c>
      <c r="J2675" t="s">
        <v>120</v>
      </c>
      <c r="K2675" t="s">
        <v>10487</v>
      </c>
      <c r="L2675">
        <v>5.38</v>
      </c>
      <c r="M2675">
        <v>6.1</v>
      </c>
      <c r="N2675">
        <v>0.86</v>
      </c>
      <c r="O2675">
        <v>1.26</v>
      </c>
      <c r="P2675">
        <v>6.44</v>
      </c>
      <c r="Q2675">
        <v>-4.09</v>
      </c>
      <c r="R2675">
        <v>6.1</v>
      </c>
      <c r="S2675">
        <v>6.39</v>
      </c>
      <c r="T2675">
        <v>358511</v>
      </c>
      <c r="U2675">
        <v>6.1</v>
      </c>
      <c r="V2675">
        <v>6.36</v>
      </c>
      <c r="W2675" t="s">
        <v>120</v>
      </c>
      <c r="X2675" t="s">
        <v>1872</v>
      </c>
      <c r="Y2675" t="s">
        <v>158</v>
      </c>
      <c r="Z2675">
        <v>5.35</v>
      </c>
      <c r="AA2675">
        <v>6.25</v>
      </c>
      <c r="AB2675">
        <v>223311</v>
      </c>
      <c r="AC2675">
        <v>135200</v>
      </c>
      <c r="AD2675">
        <v>1.65</v>
      </c>
      <c r="AE2675">
        <v>701</v>
      </c>
      <c r="AF2675">
        <v>1573</v>
      </c>
      <c r="AG2675" t="s">
        <v>120</v>
      </c>
      <c r="AH2675">
        <v>0.49</v>
      </c>
      <c r="AI2675" t="s">
        <v>120</v>
      </c>
      <c r="AJ2675">
        <v>6.66</v>
      </c>
      <c r="AK2675" t="s">
        <v>10487</v>
      </c>
      <c r="AL2675">
        <v>-2.74</v>
      </c>
      <c r="AM2675">
        <v>3285</v>
      </c>
      <c r="AN2675">
        <v>109</v>
      </c>
      <c r="AO2675">
        <v>1.6000000000000001E-3</v>
      </c>
      <c r="AP2675">
        <v>-2</v>
      </c>
      <c r="AQ2675">
        <v>-6.88</v>
      </c>
      <c r="AR2675">
        <v>-1.77</v>
      </c>
      <c r="AS2675">
        <v>0.66</v>
      </c>
      <c r="AT2675">
        <v>69.45</v>
      </c>
      <c r="AU2675">
        <v>56.41</v>
      </c>
      <c r="AV2675">
        <v>9</v>
      </c>
      <c r="AW2675">
        <v>11.96</v>
      </c>
      <c r="AX2675">
        <v>45.02</v>
      </c>
      <c r="AY2675">
        <v>4240.28</v>
      </c>
      <c r="AZ2675">
        <v>41.07</v>
      </c>
      <c r="BA2675">
        <v>0</v>
      </c>
      <c r="BB2675" t="s">
        <v>143</v>
      </c>
      <c r="BF2675">
        <v>-1.7</v>
      </c>
      <c r="BG2675">
        <v>-4.54</v>
      </c>
      <c r="BH2675">
        <v>-5.28</v>
      </c>
      <c r="BI2675">
        <v>0</v>
      </c>
      <c r="BJ2675">
        <v>20210828</v>
      </c>
      <c r="BK2675">
        <v>20011129</v>
      </c>
      <c r="BL2675">
        <v>6.66</v>
      </c>
      <c r="BM2675" t="s">
        <v>120</v>
      </c>
      <c r="BN2675" t="s">
        <v>120</v>
      </c>
      <c r="BO2675">
        <v>112.96</v>
      </c>
      <c r="BP2675">
        <v>6.09</v>
      </c>
      <c r="BQ2675">
        <v>22.31</v>
      </c>
      <c r="BR2675" t="s">
        <v>120</v>
      </c>
      <c r="BS2675">
        <v>80.25</v>
      </c>
      <c r="BT2675">
        <v>38.450000000000003</v>
      </c>
      <c r="BU2675">
        <v>6.77</v>
      </c>
      <c r="BV2675">
        <v>1.21</v>
      </c>
      <c r="BW2675">
        <v>51.09</v>
      </c>
      <c r="BX2675">
        <v>22.51</v>
      </c>
      <c r="BY2675">
        <v>9.8800000000000008</v>
      </c>
      <c r="BZ2675">
        <v>0.51</v>
      </c>
      <c r="CA2675">
        <v>0.02</v>
      </c>
      <c r="CB2675">
        <v>16.86</v>
      </c>
      <c r="CC2675">
        <v>42.74</v>
      </c>
      <c r="CD2675">
        <v>29.52</v>
      </c>
      <c r="CE2675">
        <v>0.28000000000000003</v>
      </c>
      <c r="CF2675">
        <v>0.14000000000000001</v>
      </c>
      <c r="CG2675">
        <v>0.14000000000000001</v>
      </c>
      <c r="CH2675">
        <v>-0.18</v>
      </c>
      <c r="CI2675">
        <v>-0.19</v>
      </c>
      <c r="CJ2675">
        <v>-0.26</v>
      </c>
      <c r="CK2675">
        <v>-0.27</v>
      </c>
      <c r="CL2675">
        <v>-2.4500000000000002</v>
      </c>
      <c r="CM2675">
        <v>1.05</v>
      </c>
      <c r="CN2675">
        <v>-8.17</v>
      </c>
      <c r="CO2675">
        <v>27162</v>
      </c>
      <c r="CP2675">
        <v>11036</v>
      </c>
      <c r="CQ2675" t="s">
        <v>6248</v>
      </c>
      <c r="CR2675">
        <v>-122.83</v>
      </c>
      <c r="CS2675">
        <v>4.58</v>
      </c>
      <c r="CT2675">
        <v>1.82</v>
      </c>
      <c r="CU2675">
        <v>38.78</v>
      </c>
      <c r="CV2675">
        <v>0.95</v>
      </c>
      <c r="CW2675">
        <v>1.26</v>
      </c>
      <c r="CX2675" t="s">
        <v>479</v>
      </c>
      <c r="CY2675">
        <v>3.35</v>
      </c>
      <c r="CZ2675">
        <v>0</v>
      </c>
      <c r="DA2675">
        <v>2.5299999999999998</v>
      </c>
      <c r="DB2675">
        <v>-0.37</v>
      </c>
      <c r="DC2675">
        <v>0.16</v>
      </c>
      <c r="DD2675">
        <v>19.75</v>
      </c>
      <c r="DE2675" t="s">
        <v>12082</v>
      </c>
      <c r="DF2675">
        <v>30.94</v>
      </c>
      <c r="DG2675">
        <v>0.66</v>
      </c>
      <c r="DH2675">
        <v>-0.44</v>
      </c>
      <c r="DI2675" t="s">
        <v>120</v>
      </c>
      <c r="DJ2675">
        <v>15068</v>
      </c>
      <c r="DK2675">
        <v>600361</v>
      </c>
      <c r="DL2675">
        <v>20210820</v>
      </c>
      <c r="DM2675">
        <v>6.47</v>
      </c>
      <c r="DN2675">
        <v>-5.72</v>
      </c>
    </row>
    <row r="2676" spans="1:118">
      <c r="A2676" t="str">
        <f>"600362"</f>
        <v>600362</v>
      </c>
      <c r="B2676" t="s">
        <v>12083</v>
      </c>
      <c r="C2676">
        <v>-4.09</v>
      </c>
      <c r="D2676">
        <v>0.37</v>
      </c>
      <c r="E2676">
        <v>0.95</v>
      </c>
      <c r="F2676">
        <v>7651</v>
      </c>
      <c r="G2676" t="s">
        <v>12084</v>
      </c>
      <c r="H2676">
        <v>236226.35</v>
      </c>
      <c r="I2676">
        <v>1014.58</v>
      </c>
      <c r="J2676" t="s">
        <v>120</v>
      </c>
      <c r="K2676" t="s">
        <v>12085</v>
      </c>
      <c r="L2676">
        <v>4.0599999999999996</v>
      </c>
      <c r="M2676">
        <v>27.19</v>
      </c>
      <c r="N2676">
        <v>0.76</v>
      </c>
      <c r="O2676">
        <v>2.82</v>
      </c>
      <c r="P2676">
        <v>29.15</v>
      </c>
      <c r="Q2676">
        <v>-4.76</v>
      </c>
      <c r="R2676">
        <v>27</v>
      </c>
      <c r="S2676">
        <v>28.62</v>
      </c>
      <c r="T2676">
        <v>842298</v>
      </c>
      <c r="U2676">
        <v>27.19</v>
      </c>
      <c r="V2676">
        <v>28.35</v>
      </c>
      <c r="W2676">
        <v>15.47</v>
      </c>
      <c r="X2676" t="s">
        <v>1398</v>
      </c>
      <c r="Y2676" t="s">
        <v>676</v>
      </c>
      <c r="Z2676">
        <v>7.58</v>
      </c>
      <c r="AA2676">
        <v>28.05</v>
      </c>
      <c r="AB2676">
        <v>437968</v>
      </c>
      <c r="AC2676">
        <v>404330</v>
      </c>
      <c r="AD2676">
        <v>1.08</v>
      </c>
      <c r="AE2676">
        <v>16</v>
      </c>
      <c r="AF2676">
        <v>76</v>
      </c>
      <c r="AG2676" t="s">
        <v>120</v>
      </c>
      <c r="AH2676">
        <v>0.04</v>
      </c>
      <c r="AI2676" t="s">
        <v>120</v>
      </c>
      <c r="AJ2676">
        <v>20.75</v>
      </c>
      <c r="AK2676" t="s">
        <v>12085</v>
      </c>
      <c r="AL2676">
        <v>-2.75</v>
      </c>
      <c r="AM2676">
        <v>4726</v>
      </c>
      <c r="AN2676">
        <v>178</v>
      </c>
      <c r="AO2676">
        <v>8.9999999999999998E-4</v>
      </c>
      <c r="AP2676">
        <v>-3</v>
      </c>
      <c r="AQ2676">
        <v>-0.77</v>
      </c>
      <c r="AR2676">
        <v>-12.15</v>
      </c>
      <c r="AS2676">
        <v>18.95</v>
      </c>
      <c r="AT2676">
        <v>20.68</v>
      </c>
      <c r="AU2676">
        <v>36.979999999999997</v>
      </c>
      <c r="AV2676">
        <v>3</v>
      </c>
      <c r="AW2676">
        <v>9.23</v>
      </c>
      <c r="AX2676">
        <v>43.97</v>
      </c>
      <c r="AY2676">
        <v>21.26</v>
      </c>
      <c r="AZ2676">
        <v>42.31</v>
      </c>
      <c r="BA2676">
        <v>1.1499999999999999</v>
      </c>
      <c r="BB2676" t="s">
        <v>125</v>
      </c>
      <c r="BF2676">
        <v>-1.07</v>
      </c>
      <c r="BG2676">
        <v>-5</v>
      </c>
      <c r="BH2676">
        <v>-6.72</v>
      </c>
      <c r="BI2676">
        <v>0.7</v>
      </c>
      <c r="BJ2676">
        <v>20210830</v>
      </c>
      <c r="BK2676">
        <v>20020111</v>
      </c>
      <c r="BL2676">
        <v>34.630000000000003</v>
      </c>
      <c r="BM2676" t="s">
        <v>120</v>
      </c>
      <c r="BN2676">
        <v>13.87</v>
      </c>
      <c r="BO2676">
        <v>1672.44</v>
      </c>
      <c r="BP2676">
        <v>27.18</v>
      </c>
      <c r="BQ2676">
        <v>667.89</v>
      </c>
      <c r="BR2676">
        <v>72.34</v>
      </c>
      <c r="BS2676">
        <v>55.74</v>
      </c>
      <c r="BT2676">
        <v>1004.75</v>
      </c>
      <c r="BU2676">
        <v>208.73</v>
      </c>
      <c r="BV2676">
        <v>75.89</v>
      </c>
      <c r="BW2676">
        <v>721.05</v>
      </c>
      <c r="BX2676">
        <v>348.67</v>
      </c>
      <c r="BY2676">
        <v>401.8</v>
      </c>
      <c r="BZ2676">
        <v>54.73</v>
      </c>
      <c r="CA2676" t="s">
        <v>120</v>
      </c>
      <c r="CB2676">
        <v>111.49</v>
      </c>
      <c r="CC2676">
        <v>2267.94</v>
      </c>
      <c r="CD2676">
        <v>2156.35</v>
      </c>
      <c r="CE2676">
        <v>40.29</v>
      </c>
      <c r="CF2676">
        <v>-29.03</v>
      </c>
      <c r="CG2676">
        <v>39.57</v>
      </c>
      <c r="CH2676">
        <v>31.8</v>
      </c>
      <c r="CI2676">
        <v>30.43</v>
      </c>
      <c r="CJ2676">
        <v>-1.1599999999999999</v>
      </c>
      <c r="CK2676">
        <v>52.1</v>
      </c>
      <c r="CL2676">
        <v>252.71</v>
      </c>
      <c r="CM2676">
        <v>17.670000000000002</v>
      </c>
      <c r="CN2676">
        <v>34.130000000000003</v>
      </c>
      <c r="CO2676">
        <v>176300</v>
      </c>
      <c r="CP2676">
        <v>5175</v>
      </c>
      <c r="CQ2676" t="s">
        <v>3003</v>
      </c>
      <c r="CR2676">
        <v>308.3</v>
      </c>
      <c r="CS2676">
        <v>54.3</v>
      </c>
      <c r="CT2676">
        <v>1.41</v>
      </c>
      <c r="CU2676">
        <v>53.27</v>
      </c>
      <c r="CV2676">
        <v>0.42</v>
      </c>
      <c r="CW2676">
        <v>0.35</v>
      </c>
      <c r="CX2676" t="s">
        <v>465</v>
      </c>
      <c r="CY2676">
        <v>19.29</v>
      </c>
      <c r="CZ2676">
        <v>0</v>
      </c>
      <c r="DA2676">
        <v>3.22</v>
      </c>
      <c r="DB2676">
        <v>7.3</v>
      </c>
      <c r="DC2676">
        <v>0.51</v>
      </c>
      <c r="DD2676">
        <v>39.94</v>
      </c>
      <c r="DE2676" t="s">
        <v>5919</v>
      </c>
      <c r="DF2676">
        <v>4.92</v>
      </c>
      <c r="DG2676">
        <v>1.78</v>
      </c>
      <c r="DH2676">
        <v>1.34</v>
      </c>
      <c r="DI2676">
        <v>3.74</v>
      </c>
      <c r="DJ2676">
        <v>24831</v>
      </c>
      <c r="DK2676">
        <v>600362</v>
      </c>
      <c r="DL2676">
        <v>20210909</v>
      </c>
      <c r="DM2676">
        <v>28.1</v>
      </c>
      <c r="DN2676">
        <v>-3.24</v>
      </c>
    </row>
    <row r="2677" spans="1:118">
      <c r="A2677" t="str">
        <f>"600363"</f>
        <v>600363</v>
      </c>
      <c r="B2677" t="s">
        <v>12086</v>
      </c>
      <c r="C2677">
        <v>-1.83</v>
      </c>
      <c r="D2677">
        <v>0.47</v>
      </c>
      <c r="E2677">
        <v>0.13</v>
      </c>
      <c r="F2677">
        <v>2087</v>
      </c>
      <c r="G2677" t="s">
        <v>12087</v>
      </c>
      <c r="H2677">
        <v>22564.21</v>
      </c>
      <c r="I2677">
        <v>73.75</v>
      </c>
      <c r="J2677" t="s">
        <v>120</v>
      </c>
      <c r="K2677" t="s">
        <v>12088</v>
      </c>
      <c r="L2677">
        <v>1.68</v>
      </c>
      <c r="M2677">
        <v>30</v>
      </c>
      <c r="N2677">
        <v>0.75</v>
      </c>
      <c r="O2677">
        <v>1.28</v>
      </c>
      <c r="P2677">
        <v>30.95</v>
      </c>
      <c r="Q2677">
        <v>-2.4500000000000002</v>
      </c>
      <c r="R2677">
        <v>29.81</v>
      </c>
      <c r="S2677">
        <v>30.6</v>
      </c>
      <c r="T2677">
        <v>74688</v>
      </c>
      <c r="U2677">
        <v>30.01</v>
      </c>
      <c r="V2677">
        <v>30.56</v>
      </c>
      <c r="W2677">
        <v>44.9</v>
      </c>
      <c r="X2677" t="s">
        <v>229</v>
      </c>
      <c r="Y2677" t="s">
        <v>676</v>
      </c>
      <c r="Z2677">
        <v>3.73</v>
      </c>
      <c r="AA2677">
        <v>30.21</v>
      </c>
      <c r="AB2677">
        <v>48027</v>
      </c>
      <c r="AC2677">
        <v>26661</v>
      </c>
      <c r="AD2677">
        <v>1.8</v>
      </c>
      <c r="AE2677">
        <v>1091</v>
      </c>
      <c r="AF2677">
        <v>2</v>
      </c>
      <c r="AG2677" t="s">
        <v>120</v>
      </c>
      <c r="AH2677">
        <v>0.01</v>
      </c>
      <c r="AI2677" t="s">
        <v>120</v>
      </c>
      <c r="AJ2677">
        <v>4.43</v>
      </c>
      <c r="AK2677" t="s">
        <v>12089</v>
      </c>
      <c r="AL2677">
        <v>-0.49</v>
      </c>
      <c r="AM2677">
        <v>2625</v>
      </c>
      <c r="AN2677">
        <v>28</v>
      </c>
      <c r="AO2677">
        <v>5.9999999999999995E-4</v>
      </c>
      <c r="AP2677">
        <v>-4</v>
      </c>
      <c r="AQ2677">
        <v>-0.94</v>
      </c>
      <c r="AR2677">
        <v>-4.09</v>
      </c>
      <c r="AS2677">
        <v>-15.82</v>
      </c>
      <c r="AT2677">
        <v>4.45</v>
      </c>
      <c r="AU2677">
        <v>22.09</v>
      </c>
      <c r="AV2677">
        <v>6</v>
      </c>
      <c r="AW2677">
        <v>2.14</v>
      </c>
      <c r="AX2677">
        <v>76.78</v>
      </c>
      <c r="AY2677">
        <v>46.92</v>
      </c>
      <c r="AZ2677">
        <v>51.53</v>
      </c>
      <c r="BA2677">
        <v>1.52</v>
      </c>
      <c r="BB2677" t="s">
        <v>134</v>
      </c>
      <c r="BF2677">
        <v>-1.1399999999999999</v>
      </c>
      <c r="BG2677">
        <v>-1.96</v>
      </c>
      <c r="BH2677">
        <v>-3.07</v>
      </c>
      <c r="BI2677">
        <v>0.64</v>
      </c>
      <c r="BJ2677">
        <v>20210831</v>
      </c>
      <c r="BK2677">
        <v>20010329</v>
      </c>
      <c r="BL2677">
        <v>4.55</v>
      </c>
      <c r="BM2677" t="s">
        <v>120</v>
      </c>
      <c r="BN2677" t="s">
        <v>120</v>
      </c>
      <c r="BO2677">
        <v>60.45</v>
      </c>
      <c r="BP2677">
        <v>30</v>
      </c>
      <c r="BQ2677">
        <v>30.14</v>
      </c>
      <c r="BR2677">
        <v>4.26</v>
      </c>
      <c r="BS2677">
        <v>43.09</v>
      </c>
      <c r="BT2677">
        <v>31.27</v>
      </c>
      <c r="BU2677">
        <v>5.35</v>
      </c>
      <c r="BV2677">
        <v>1.22</v>
      </c>
      <c r="BW2677">
        <v>22.81</v>
      </c>
      <c r="BX2677">
        <v>7.77</v>
      </c>
      <c r="BY2677">
        <v>8.11</v>
      </c>
      <c r="BZ2677">
        <v>9.8000000000000007</v>
      </c>
      <c r="CA2677" t="s">
        <v>120</v>
      </c>
      <c r="CB2677">
        <v>7.79</v>
      </c>
      <c r="CC2677">
        <v>19.7</v>
      </c>
      <c r="CD2677">
        <v>17.329999999999998</v>
      </c>
      <c r="CE2677">
        <v>1.86</v>
      </c>
      <c r="CF2677">
        <v>1.65</v>
      </c>
      <c r="CG2677">
        <v>1.83</v>
      </c>
      <c r="CH2677">
        <v>1.82</v>
      </c>
      <c r="CI2677">
        <v>1.52</v>
      </c>
      <c r="CJ2677">
        <v>-0.56000000000000005</v>
      </c>
      <c r="CK2677">
        <v>1.41</v>
      </c>
      <c r="CL2677">
        <v>17.100000000000001</v>
      </c>
      <c r="CM2677">
        <v>-0.63</v>
      </c>
      <c r="CN2677">
        <v>-4.97</v>
      </c>
      <c r="CO2677">
        <v>30847</v>
      </c>
      <c r="CP2677">
        <v>11337</v>
      </c>
      <c r="CQ2677" t="s">
        <v>12090</v>
      </c>
      <c r="CR2677">
        <v>21.13</v>
      </c>
      <c r="CS2677">
        <v>4.22</v>
      </c>
      <c r="CT2677">
        <v>4.53</v>
      </c>
      <c r="CU2677">
        <v>-218.2</v>
      </c>
      <c r="CV2677">
        <v>6.94</v>
      </c>
      <c r="CW2677">
        <v>0.19</v>
      </c>
      <c r="CX2677" t="s">
        <v>2443</v>
      </c>
      <c r="CY2677">
        <v>6.62</v>
      </c>
      <c r="CZ2677">
        <v>0</v>
      </c>
      <c r="DA2677">
        <v>1.71</v>
      </c>
      <c r="DB2677">
        <v>3.75</v>
      </c>
      <c r="DC2677">
        <v>-0.14000000000000001</v>
      </c>
      <c r="DD2677">
        <v>49.86</v>
      </c>
      <c r="DE2677" t="s">
        <v>710</v>
      </c>
      <c r="DF2677">
        <v>12.05</v>
      </c>
      <c r="DG2677">
        <v>9.4499999999999993</v>
      </c>
      <c r="DH2677">
        <v>7.72</v>
      </c>
      <c r="DI2677">
        <v>0.9</v>
      </c>
      <c r="DJ2677">
        <v>6216</v>
      </c>
      <c r="DK2677">
        <v>600363</v>
      </c>
      <c r="DL2677" t="s">
        <v>120</v>
      </c>
      <c r="DM2677" t="s">
        <v>120</v>
      </c>
      <c r="DN2677" t="s">
        <v>120</v>
      </c>
    </row>
    <row r="2678" spans="1:118">
      <c r="A2678" t="str">
        <f>"600366"</f>
        <v>600366</v>
      </c>
      <c r="B2678" t="s">
        <v>12091</v>
      </c>
      <c r="C2678">
        <v>-8.7899999999999991</v>
      </c>
      <c r="D2678">
        <v>-0.15</v>
      </c>
      <c r="E2678">
        <v>0.22</v>
      </c>
      <c r="F2678">
        <v>7059</v>
      </c>
      <c r="G2678" t="s">
        <v>12092</v>
      </c>
      <c r="H2678">
        <v>99678.95</v>
      </c>
      <c r="I2678">
        <v>378.63</v>
      </c>
      <c r="J2678" t="s">
        <v>120</v>
      </c>
      <c r="K2678" t="s">
        <v>12093</v>
      </c>
      <c r="L2678">
        <v>7.92</v>
      </c>
      <c r="M2678">
        <v>12.25</v>
      </c>
      <c r="N2678">
        <v>1.1000000000000001</v>
      </c>
      <c r="O2678">
        <v>0.22</v>
      </c>
      <c r="P2678">
        <v>13.46</v>
      </c>
      <c r="Q2678">
        <v>-9.98</v>
      </c>
      <c r="R2678">
        <v>12.09</v>
      </c>
      <c r="S2678">
        <v>13.46</v>
      </c>
      <c r="T2678">
        <v>783373</v>
      </c>
      <c r="U2678">
        <v>12.25</v>
      </c>
      <c r="V2678">
        <v>13.43</v>
      </c>
      <c r="W2678">
        <v>25.39</v>
      </c>
      <c r="X2678" t="s">
        <v>1991</v>
      </c>
      <c r="Y2678" t="s">
        <v>585</v>
      </c>
      <c r="Z2678">
        <v>10.199999999999999</v>
      </c>
      <c r="AA2678">
        <v>12.72</v>
      </c>
      <c r="AB2678">
        <v>459734</v>
      </c>
      <c r="AC2678">
        <v>323639</v>
      </c>
      <c r="AD2678">
        <v>1.42</v>
      </c>
      <c r="AE2678">
        <v>165</v>
      </c>
      <c r="AF2678">
        <v>1735</v>
      </c>
      <c r="AG2678" t="s">
        <v>120</v>
      </c>
      <c r="AH2678">
        <v>0.04</v>
      </c>
      <c r="AI2678" t="s">
        <v>120</v>
      </c>
      <c r="AJ2678">
        <v>9.89</v>
      </c>
      <c r="AK2678" t="s">
        <v>12093</v>
      </c>
      <c r="AL2678">
        <v>-7.44</v>
      </c>
      <c r="AM2678">
        <v>4632</v>
      </c>
      <c r="AN2678">
        <v>169</v>
      </c>
      <c r="AO2678">
        <v>1.6999999999999999E-3</v>
      </c>
      <c r="AP2678">
        <v>-1</v>
      </c>
      <c r="AQ2678">
        <v>4.1900000000000004</v>
      </c>
      <c r="AR2678">
        <v>-2.78</v>
      </c>
      <c r="AS2678">
        <v>5.7</v>
      </c>
      <c r="AT2678">
        <v>83.93</v>
      </c>
      <c r="AU2678">
        <v>95.06</v>
      </c>
      <c r="AV2678">
        <v>7</v>
      </c>
      <c r="AW2678">
        <v>12.01</v>
      </c>
      <c r="AX2678">
        <v>65.95</v>
      </c>
      <c r="AY2678">
        <v>38.909999999999997</v>
      </c>
      <c r="AZ2678">
        <v>74.73</v>
      </c>
      <c r="BA2678">
        <v>0.65</v>
      </c>
      <c r="BB2678" t="s">
        <v>143</v>
      </c>
      <c r="BF2678">
        <v>-5.25</v>
      </c>
      <c r="BG2678">
        <v>-8.99</v>
      </c>
      <c r="BH2678">
        <v>-8.99</v>
      </c>
      <c r="BI2678">
        <v>1.32</v>
      </c>
      <c r="BJ2678">
        <v>20210810</v>
      </c>
      <c r="BK2678">
        <v>20001030</v>
      </c>
      <c r="BL2678">
        <v>9.89</v>
      </c>
      <c r="BM2678" t="s">
        <v>120</v>
      </c>
      <c r="BN2678" t="s">
        <v>120</v>
      </c>
      <c r="BO2678">
        <v>66.81</v>
      </c>
      <c r="BP2678">
        <v>12.24</v>
      </c>
      <c r="BQ2678">
        <v>45.31</v>
      </c>
      <c r="BR2678">
        <v>0.47</v>
      </c>
      <c r="BS2678">
        <v>31.47</v>
      </c>
      <c r="BT2678">
        <v>43.02</v>
      </c>
      <c r="BU2678">
        <v>13.43</v>
      </c>
      <c r="BV2678">
        <v>1.48</v>
      </c>
      <c r="BW2678">
        <v>20.34</v>
      </c>
      <c r="BX2678">
        <v>2.8</v>
      </c>
      <c r="BY2678">
        <v>15.13</v>
      </c>
      <c r="BZ2678">
        <v>8.84</v>
      </c>
      <c r="CA2678">
        <v>0.02</v>
      </c>
      <c r="CB2678">
        <v>1.81</v>
      </c>
      <c r="CC2678">
        <v>16.04</v>
      </c>
      <c r="CD2678">
        <v>11.37</v>
      </c>
      <c r="CE2678">
        <v>2.72</v>
      </c>
      <c r="CF2678">
        <v>0.44</v>
      </c>
      <c r="CG2678">
        <v>2.73</v>
      </c>
      <c r="CH2678">
        <v>2.39</v>
      </c>
      <c r="CI2678">
        <v>2.39</v>
      </c>
      <c r="CJ2678">
        <v>-1.18</v>
      </c>
      <c r="CK2678">
        <v>1.85</v>
      </c>
      <c r="CL2678">
        <v>31.27</v>
      </c>
      <c r="CM2678">
        <v>-4.12</v>
      </c>
      <c r="CN2678">
        <v>-0.02</v>
      </c>
      <c r="CO2678">
        <v>67190</v>
      </c>
      <c r="CP2678">
        <v>9708</v>
      </c>
      <c r="CQ2678" t="s">
        <v>12094</v>
      </c>
      <c r="CR2678">
        <v>218.19</v>
      </c>
      <c r="CS2678">
        <v>61.47</v>
      </c>
      <c r="CT2678">
        <v>2.67</v>
      </c>
      <c r="CU2678">
        <v>-29.41</v>
      </c>
      <c r="CV2678">
        <v>7.55</v>
      </c>
      <c r="CW2678">
        <v>0.73</v>
      </c>
      <c r="CX2678" t="s">
        <v>863</v>
      </c>
      <c r="CY2678">
        <v>4.58</v>
      </c>
      <c r="CZ2678">
        <v>0</v>
      </c>
      <c r="DA2678">
        <v>0.18</v>
      </c>
      <c r="DB2678">
        <v>3.16</v>
      </c>
      <c r="DC2678">
        <v>-0.42</v>
      </c>
      <c r="DD2678">
        <v>67.83</v>
      </c>
      <c r="DE2678" t="s">
        <v>10302</v>
      </c>
      <c r="DF2678">
        <v>29.12</v>
      </c>
      <c r="DG2678">
        <v>16.96</v>
      </c>
      <c r="DH2678">
        <v>14.87</v>
      </c>
      <c r="DI2678">
        <v>1.05</v>
      </c>
      <c r="DJ2678">
        <v>3134</v>
      </c>
      <c r="DK2678">
        <v>600366</v>
      </c>
      <c r="DL2678" t="s">
        <v>120</v>
      </c>
      <c r="DM2678" t="s">
        <v>120</v>
      </c>
      <c r="DN2678" t="s">
        <v>120</v>
      </c>
    </row>
    <row r="2679" spans="1:118">
      <c r="A2679" t="str">
        <f>"600367"</f>
        <v>600367</v>
      </c>
      <c r="B2679" t="s">
        <v>12095</v>
      </c>
      <c r="C2679">
        <v>-6.03</v>
      </c>
      <c r="D2679">
        <v>-0.35</v>
      </c>
      <c r="E2679">
        <v>1.07</v>
      </c>
      <c r="F2679">
        <v>1603</v>
      </c>
      <c r="G2679" t="s">
        <v>12096</v>
      </c>
      <c r="H2679">
        <v>80452.75</v>
      </c>
      <c r="I2679">
        <v>515.39</v>
      </c>
      <c r="J2679" t="s">
        <v>120</v>
      </c>
      <c r="K2679" t="s">
        <v>12097</v>
      </c>
      <c r="L2679">
        <v>12.11</v>
      </c>
      <c r="M2679">
        <v>21.96</v>
      </c>
      <c r="N2679">
        <v>0.82</v>
      </c>
      <c r="O2679">
        <v>2.27</v>
      </c>
      <c r="P2679">
        <v>23.9</v>
      </c>
      <c r="Q2679">
        <v>-8</v>
      </c>
      <c r="R2679">
        <v>21.5</v>
      </c>
      <c r="S2679">
        <v>23.62</v>
      </c>
      <c r="T2679">
        <v>352695</v>
      </c>
      <c r="U2679">
        <v>21.98</v>
      </c>
      <c r="V2679">
        <v>23.37</v>
      </c>
      <c r="W2679">
        <v>47.45</v>
      </c>
      <c r="X2679" t="s">
        <v>868</v>
      </c>
      <c r="Y2679" t="s">
        <v>1021</v>
      </c>
      <c r="Z2679">
        <v>10.27</v>
      </c>
      <c r="AA2679">
        <v>22.81</v>
      </c>
      <c r="AB2679">
        <v>173534</v>
      </c>
      <c r="AC2679">
        <v>179161</v>
      </c>
      <c r="AD2679">
        <v>0.97</v>
      </c>
      <c r="AE2679">
        <v>252</v>
      </c>
      <c r="AF2679">
        <v>22</v>
      </c>
      <c r="AG2679" t="s">
        <v>120</v>
      </c>
      <c r="AH2679">
        <v>0.12</v>
      </c>
      <c r="AI2679" t="s">
        <v>120</v>
      </c>
      <c r="AJ2679">
        <v>2.91</v>
      </c>
      <c r="AK2679" t="s">
        <v>12098</v>
      </c>
      <c r="AL2679">
        <v>-4.6900000000000004</v>
      </c>
      <c r="AM2679">
        <v>4581</v>
      </c>
      <c r="AN2679">
        <v>77</v>
      </c>
      <c r="AO2679">
        <v>2.5999999999999999E-3</v>
      </c>
      <c r="AP2679">
        <v>-2</v>
      </c>
      <c r="AQ2679">
        <v>-0.89</v>
      </c>
      <c r="AR2679">
        <v>-3.98</v>
      </c>
      <c r="AS2679">
        <v>53.35</v>
      </c>
      <c r="AT2679">
        <v>153.58000000000001</v>
      </c>
      <c r="AU2679">
        <v>203.74</v>
      </c>
      <c r="AV2679">
        <v>12</v>
      </c>
      <c r="AW2679">
        <v>18.95</v>
      </c>
      <c r="AX2679">
        <v>63.46</v>
      </c>
      <c r="AY2679">
        <v>52.91</v>
      </c>
      <c r="AZ2679">
        <v>124.4</v>
      </c>
      <c r="BA2679">
        <v>1.21</v>
      </c>
      <c r="BB2679" t="s">
        <v>143</v>
      </c>
      <c r="BF2679">
        <v>-2.39</v>
      </c>
      <c r="BG2679">
        <v>-7.03</v>
      </c>
      <c r="BH2679">
        <v>-8.1199999999999992</v>
      </c>
      <c r="BI2679">
        <v>2.14</v>
      </c>
      <c r="BJ2679">
        <v>20210813</v>
      </c>
      <c r="BK2679">
        <v>20010320</v>
      </c>
      <c r="BL2679">
        <v>2.93</v>
      </c>
      <c r="BM2679" t="s">
        <v>120</v>
      </c>
      <c r="BN2679" t="s">
        <v>120</v>
      </c>
      <c r="BO2679">
        <v>21.33</v>
      </c>
      <c r="BP2679">
        <v>21.96</v>
      </c>
      <c r="BQ2679">
        <v>14.44</v>
      </c>
      <c r="BR2679">
        <v>0.78</v>
      </c>
      <c r="BS2679">
        <v>28.65</v>
      </c>
      <c r="BT2679">
        <v>12.48</v>
      </c>
      <c r="BU2679">
        <v>6.29</v>
      </c>
      <c r="BV2679">
        <v>0.51</v>
      </c>
      <c r="BW2679">
        <v>5.16</v>
      </c>
      <c r="BX2679">
        <v>3.26</v>
      </c>
      <c r="BY2679">
        <v>3.22</v>
      </c>
      <c r="BZ2679">
        <v>2.1800000000000002</v>
      </c>
      <c r="CA2679" t="s">
        <v>120</v>
      </c>
      <c r="CB2679">
        <v>3</v>
      </c>
      <c r="CC2679">
        <v>9.11</v>
      </c>
      <c r="CD2679">
        <v>7.47</v>
      </c>
      <c r="CE2679">
        <v>0.92</v>
      </c>
      <c r="CF2679">
        <v>0.01</v>
      </c>
      <c r="CG2679">
        <v>0.9</v>
      </c>
      <c r="CH2679">
        <v>0.81</v>
      </c>
      <c r="CI2679">
        <v>0.68</v>
      </c>
      <c r="CJ2679">
        <v>-1.41</v>
      </c>
      <c r="CK2679">
        <v>0.64</v>
      </c>
      <c r="CL2679">
        <v>6.35</v>
      </c>
      <c r="CM2679">
        <v>0.72</v>
      </c>
      <c r="CN2679">
        <v>0.27</v>
      </c>
      <c r="CO2679">
        <v>31535</v>
      </c>
      <c r="CP2679">
        <v>5902</v>
      </c>
      <c r="CQ2679" t="s">
        <v>12099</v>
      </c>
      <c r="CR2679">
        <v>1133.03</v>
      </c>
      <c r="CS2679">
        <v>60.11</v>
      </c>
      <c r="CT2679">
        <v>4.46</v>
      </c>
      <c r="CU2679">
        <v>89.02</v>
      </c>
      <c r="CV2679">
        <v>7.07</v>
      </c>
      <c r="CW2679">
        <v>0.09</v>
      </c>
      <c r="CX2679" t="s">
        <v>694</v>
      </c>
      <c r="CY2679">
        <v>4.92</v>
      </c>
      <c r="CZ2679">
        <v>0</v>
      </c>
      <c r="DA2679">
        <v>1.02</v>
      </c>
      <c r="DB2679">
        <v>2.16</v>
      </c>
      <c r="DC2679">
        <v>0.25</v>
      </c>
      <c r="DD2679">
        <v>67.69</v>
      </c>
      <c r="DE2679" t="s">
        <v>12100</v>
      </c>
      <c r="DF2679">
        <v>17.97</v>
      </c>
      <c r="DG2679">
        <v>10.050000000000001</v>
      </c>
      <c r="DH2679">
        <v>7.45</v>
      </c>
      <c r="DI2679">
        <v>0.01</v>
      </c>
      <c r="DJ2679">
        <v>2761</v>
      </c>
      <c r="DK2679">
        <v>600367</v>
      </c>
      <c r="DL2679">
        <v>20210830</v>
      </c>
      <c r="DM2679">
        <v>18.8</v>
      </c>
      <c r="DN2679">
        <v>16.809999999999999</v>
      </c>
    </row>
    <row r="2680" spans="1:118">
      <c r="A2680" t="str">
        <f>"600368"</f>
        <v>600368</v>
      </c>
      <c r="B2680" t="s">
        <v>12101</v>
      </c>
      <c r="C2680">
        <v>-2.84</v>
      </c>
      <c r="D2680">
        <v>0</v>
      </c>
      <c r="E2680">
        <v>0.24</v>
      </c>
      <c r="F2680">
        <v>1496</v>
      </c>
      <c r="G2680" t="s">
        <v>3969</v>
      </c>
      <c r="H2680">
        <v>6726.88</v>
      </c>
      <c r="I2680">
        <v>22.17</v>
      </c>
      <c r="J2680" t="s">
        <v>120</v>
      </c>
      <c r="K2680" t="s">
        <v>3913</v>
      </c>
      <c r="L2680">
        <v>1.43</v>
      </c>
      <c r="M2680">
        <v>4.0999999999999996</v>
      </c>
      <c r="N2680">
        <v>0.78</v>
      </c>
      <c r="O2680">
        <v>1.42</v>
      </c>
      <c r="P2680">
        <v>4.28</v>
      </c>
      <c r="Q2680">
        <v>-3.08</v>
      </c>
      <c r="R2680">
        <v>4.09</v>
      </c>
      <c r="S2680">
        <v>4.2300000000000004</v>
      </c>
      <c r="T2680">
        <v>160849</v>
      </c>
      <c r="U2680">
        <v>4.1100000000000003</v>
      </c>
      <c r="V2680">
        <v>4.22</v>
      </c>
      <c r="W2680">
        <v>5.73</v>
      </c>
      <c r="X2680" t="s">
        <v>800</v>
      </c>
      <c r="Y2680" t="s">
        <v>945</v>
      </c>
      <c r="Z2680">
        <v>4.5</v>
      </c>
      <c r="AA2680">
        <v>4.18</v>
      </c>
      <c r="AB2680">
        <v>93066</v>
      </c>
      <c r="AC2680">
        <v>67783</v>
      </c>
      <c r="AD2680">
        <v>1.37</v>
      </c>
      <c r="AE2680">
        <v>4</v>
      </c>
      <c r="AF2680">
        <v>592</v>
      </c>
      <c r="AG2680" t="s">
        <v>120</v>
      </c>
      <c r="AH2680">
        <v>0.01</v>
      </c>
      <c r="AI2680" t="s">
        <v>120</v>
      </c>
      <c r="AJ2680">
        <v>11.26</v>
      </c>
      <c r="AK2680" t="s">
        <v>3913</v>
      </c>
      <c r="AL2680">
        <v>-1.5</v>
      </c>
      <c r="AM2680">
        <v>2304</v>
      </c>
      <c r="AN2680">
        <v>70</v>
      </c>
      <c r="AO2680">
        <v>5.9999999999999995E-4</v>
      </c>
      <c r="AP2680">
        <v>-1</v>
      </c>
      <c r="AQ2680">
        <v>0.72</v>
      </c>
      <c r="AR2680">
        <v>-4.2</v>
      </c>
      <c r="AS2680">
        <v>9.92</v>
      </c>
      <c r="AT2680">
        <v>15.85</v>
      </c>
      <c r="AU2680">
        <v>16.84</v>
      </c>
      <c r="AV2680">
        <v>0</v>
      </c>
      <c r="AW2680">
        <v>2.88</v>
      </c>
      <c r="AX2680">
        <v>49.69</v>
      </c>
      <c r="AY2680">
        <v>5.0999999999999996</v>
      </c>
      <c r="AZ2680">
        <v>8.42</v>
      </c>
      <c r="BA2680">
        <v>0.54</v>
      </c>
      <c r="BB2680" t="s">
        <v>184</v>
      </c>
      <c r="BF2680">
        <v>-0.9</v>
      </c>
      <c r="BG2680">
        <v>-3.07</v>
      </c>
      <c r="BH2680">
        <v>-4.21</v>
      </c>
      <c r="BI2680">
        <v>0.24</v>
      </c>
      <c r="BJ2680">
        <v>20210813</v>
      </c>
      <c r="BK2680">
        <v>20001221</v>
      </c>
      <c r="BL2680">
        <v>11.26</v>
      </c>
      <c r="BM2680" t="s">
        <v>120</v>
      </c>
      <c r="BN2680" t="s">
        <v>120</v>
      </c>
      <c r="BO2680">
        <v>101.05</v>
      </c>
      <c r="BP2680">
        <v>4.0999999999999996</v>
      </c>
      <c r="BQ2680">
        <v>50.33</v>
      </c>
      <c r="BR2680">
        <v>-0.64</v>
      </c>
      <c r="BS2680">
        <v>50.82</v>
      </c>
      <c r="BT2680">
        <v>25.69</v>
      </c>
      <c r="BU2680">
        <v>51.92</v>
      </c>
      <c r="BV2680">
        <v>0.36</v>
      </c>
      <c r="BW2680">
        <v>18.149999999999999</v>
      </c>
      <c r="BX2680">
        <v>2.94</v>
      </c>
      <c r="BY2680">
        <v>3.22</v>
      </c>
      <c r="BZ2680">
        <v>1.38</v>
      </c>
      <c r="CA2680">
        <v>0.2</v>
      </c>
      <c r="CB2680">
        <v>4.68</v>
      </c>
      <c r="CC2680">
        <v>9.34</v>
      </c>
      <c r="CD2680">
        <v>4.08</v>
      </c>
      <c r="CE2680">
        <v>4.63</v>
      </c>
      <c r="CF2680">
        <v>2.42</v>
      </c>
      <c r="CG2680">
        <v>4.6399999999999997</v>
      </c>
      <c r="CH2680">
        <v>4.03</v>
      </c>
      <c r="CI2680">
        <v>4.0199999999999996</v>
      </c>
      <c r="CJ2680">
        <v>-0.12</v>
      </c>
      <c r="CK2680">
        <v>3.53</v>
      </c>
      <c r="CL2680">
        <v>28.49</v>
      </c>
      <c r="CM2680">
        <v>5.77</v>
      </c>
      <c r="CN2680">
        <v>-2.0299999999999998</v>
      </c>
      <c r="CO2680">
        <v>46380</v>
      </c>
      <c r="CP2680">
        <v>12060</v>
      </c>
      <c r="CQ2680" t="s">
        <v>255</v>
      </c>
      <c r="CR2680">
        <v>1032.04</v>
      </c>
      <c r="CS2680">
        <v>16.82</v>
      </c>
      <c r="CT2680">
        <v>0.92</v>
      </c>
      <c r="CU2680">
        <v>8</v>
      </c>
      <c r="CV2680">
        <v>4.9400000000000004</v>
      </c>
      <c r="CW2680">
        <v>3.58</v>
      </c>
      <c r="CX2680" t="s">
        <v>12102</v>
      </c>
      <c r="CY2680">
        <v>4.47</v>
      </c>
      <c r="CZ2680">
        <v>0</v>
      </c>
      <c r="DA2680">
        <v>0.42</v>
      </c>
      <c r="DB2680">
        <v>2.5299999999999998</v>
      </c>
      <c r="DC2680">
        <v>0.51</v>
      </c>
      <c r="DD2680">
        <v>49.81</v>
      </c>
      <c r="DE2680" t="s">
        <v>12103</v>
      </c>
      <c r="DF2680">
        <v>56.36</v>
      </c>
      <c r="DG2680">
        <v>49.6</v>
      </c>
      <c r="DH2680">
        <v>43.1</v>
      </c>
      <c r="DI2680" t="s">
        <v>120</v>
      </c>
      <c r="DJ2680">
        <v>829</v>
      </c>
      <c r="DK2680">
        <v>600368</v>
      </c>
      <c r="DL2680" t="s">
        <v>120</v>
      </c>
      <c r="DM2680" t="s">
        <v>120</v>
      </c>
      <c r="DN2680" t="s">
        <v>120</v>
      </c>
    </row>
    <row r="2681" spans="1:118">
      <c r="A2681" t="str">
        <f>"600369"</f>
        <v>600369</v>
      </c>
      <c r="B2681" t="s">
        <v>12104</v>
      </c>
      <c r="C2681">
        <v>-2.58</v>
      </c>
      <c r="D2681">
        <v>-0.37</v>
      </c>
      <c r="E2681">
        <v>0</v>
      </c>
      <c r="F2681">
        <v>16565</v>
      </c>
      <c r="G2681" t="s">
        <v>1590</v>
      </c>
      <c r="H2681">
        <v>39279.370000000003</v>
      </c>
      <c r="I2681">
        <v>177.56</v>
      </c>
      <c r="J2681" t="s">
        <v>120</v>
      </c>
      <c r="K2681" t="s">
        <v>12105</v>
      </c>
      <c r="L2681">
        <v>1.29</v>
      </c>
      <c r="M2681">
        <v>5.29</v>
      </c>
      <c r="N2681">
        <v>0.55000000000000004</v>
      </c>
      <c r="O2681">
        <v>1.1000000000000001</v>
      </c>
      <c r="P2681">
        <v>5.49</v>
      </c>
      <c r="Q2681">
        <v>-2.58</v>
      </c>
      <c r="R2681">
        <v>5.29</v>
      </c>
      <c r="S2681">
        <v>5.43</v>
      </c>
      <c r="T2681">
        <v>730001</v>
      </c>
      <c r="U2681">
        <v>5.3</v>
      </c>
      <c r="V2681">
        <v>5.43</v>
      </c>
      <c r="W2681">
        <v>25.61</v>
      </c>
      <c r="X2681" t="s">
        <v>616</v>
      </c>
      <c r="Y2681" t="s">
        <v>883</v>
      </c>
      <c r="Z2681">
        <v>3.68</v>
      </c>
      <c r="AA2681">
        <v>5.38</v>
      </c>
      <c r="AB2681">
        <v>410878</v>
      </c>
      <c r="AC2681">
        <v>319123</v>
      </c>
      <c r="AD2681">
        <v>1.29</v>
      </c>
      <c r="AE2681">
        <v>5590</v>
      </c>
      <c r="AF2681">
        <v>81</v>
      </c>
      <c r="AG2681" t="s">
        <v>120</v>
      </c>
      <c r="AH2681">
        <v>0.01</v>
      </c>
      <c r="AI2681" t="s">
        <v>120</v>
      </c>
      <c r="AJ2681">
        <v>56.45</v>
      </c>
      <c r="AK2681" t="s">
        <v>12106</v>
      </c>
      <c r="AL2681">
        <v>-1.23</v>
      </c>
      <c r="AM2681">
        <v>4139</v>
      </c>
      <c r="AN2681">
        <v>176</v>
      </c>
      <c r="AO2681">
        <v>2.9999999999999997E-4</v>
      </c>
      <c r="AP2681">
        <v>-1</v>
      </c>
      <c r="AQ2681">
        <v>1.69</v>
      </c>
      <c r="AR2681">
        <v>-3.46</v>
      </c>
      <c r="AS2681">
        <v>3.72</v>
      </c>
      <c r="AT2681">
        <v>11.61</v>
      </c>
      <c r="AU2681">
        <v>0.19</v>
      </c>
      <c r="AV2681">
        <v>2</v>
      </c>
      <c r="AW2681">
        <v>2.16</v>
      </c>
      <c r="AX2681">
        <v>50.89</v>
      </c>
      <c r="AY2681">
        <v>26.74</v>
      </c>
      <c r="AZ2681">
        <v>33.06</v>
      </c>
      <c r="BA2681">
        <v>0.78</v>
      </c>
      <c r="BB2681" t="s">
        <v>240</v>
      </c>
      <c r="BF2681">
        <v>-0.91</v>
      </c>
      <c r="BG2681">
        <v>-2.58</v>
      </c>
      <c r="BH2681">
        <v>-3.64</v>
      </c>
      <c r="BI2681">
        <v>0</v>
      </c>
      <c r="BJ2681">
        <v>20210825</v>
      </c>
      <c r="BK2681">
        <v>20010109</v>
      </c>
      <c r="BL2681">
        <v>66.45</v>
      </c>
      <c r="BM2681" t="s">
        <v>120</v>
      </c>
      <c r="BN2681" t="s">
        <v>120</v>
      </c>
      <c r="BO2681">
        <v>787.11</v>
      </c>
      <c r="BP2681">
        <v>5.29</v>
      </c>
      <c r="BQ2681">
        <v>250.35</v>
      </c>
      <c r="BR2681">
        <v>-0.63</v>
      </c>
      <c r="BS2681">
        <v>68.27</v>
      </c>
      <c r="BT2681">
        <v>0</v>
      </c>
      <c r="BU2681">
        <v>2.23</v>
      </c>
      <c r="BV2681">
        <v>1.59</v>
      </c>
      <c r="BW2681">
        <v>0</v>
      </c>
      <c r="BX2681">
        <v>164.98</v>
      </c>
      <c r="BY2681">
        <v>0</v>
      </c>
      <c r="BZ2681">
        <v>0</v>
      </c>
      <c r="CA2681" t="s">
        <v>120</v>
      </c>
      <c r="CB2681">
        <v>116.54</v>
      </c>
      <c r="CC2681">
        <v>19.579999999999998</v>
      </c>
      <c r="CD2681">
        <v>0</v>
      </c>
      <c r="CE2681">
        <v>7.85</v>
      </c>
      <c r="CF2681">
        <v>10.15</v>
      </c>
      <c r="CG2681">
        <v>7.87</v>
      </c>
      <c r="CH2681">
        <v>6.87</v>
      </c>
      <c r="CI2681">
        <v>6.86</v>
      </c>
      <c r="CJ2681">
        <v>-0.14000000000000001</v>
      </c>
      <c r="CK2681">
        <v>6.78</v>
      </c>
      <c r="CL2681">
        <v>32.01</v>
      </c>
      <c r="CM2681">
        <v>-22.33</v>
      </c>
      <c r="CN2681">
        <v>-3.66</v>
      </c>
      <c r="CO2681">
        <v>136202</v>
      </c>
      <c r="CP2681">
        <v>24830</v>
      </c>
      <c r="CQ2681" t="s">
        <v>4445</v>
      </c>
      <c r="CR2681">
        <v>60.17</v>
      </c>
      <c r="CS2681">
        <v>20.75</v>
      </c>
      <c r="CT2681">
        <v>1.4</v>
      </c>
      <c r="CU2681">
        <v>-15.74</v>
      </c>
      <c r="CV2681">
        <v>17.95</v>
      </c>
      <c r="CW2681">
        <v>1.84</v>
      </c>
      <c r="CX2681" t="s">
        <v>411</v>
      </c>
      <c r="CY2681">
        <v>3.77</v>
      </c>
      <c r="CZ2681">
        <v>0</v>
      </c>
      <c r="DA2681">
        <v>1.75</v>
      </c>
      <c r="DB2681">
        <v>0.48</v>
      </c>
      <c r="DC2681">
        <v>-0.34</v>
      </c>
      <c r="DD2681">
        <v>31.81</v>
      </c>
      <c r="DE2681" t="s">
        <v>746</v>
      </c>
      <c r="DF2681" t="s">
        <v>120</v>
      </c>
      <c r="DG2681">
        <v>40.07</v>
      </c>
      <c r="DH2681">
        <v>35.04</v>
      </c>
      <c r="DI2681" t="s">
        <v>120</v>
      </c>
      <c r="DJ2681">
        <v>2346</v>
      </c>
      <c r="DK2681">
        <v>600369</v>
      </c>
      <c r="DL2681">
        <v>20210820</v>
      </c>
      <c r="DM2681">
        <v>5.56</v>
      </c>
      <c r="DN2681">
        <v>-4.8600000000000003</v>
      </c>
    </row>
    <row r="2682" spans="1:118">
      <c r="A2682" t="str">
        <f>"600370"</f>
        <v>600370</v>
      </c>
      <c r="B2682" t="s">
        <v>12107</v>
      </c>
      <c r="C2682">
        <v>2.73</v>
      </c>
      <c r="D2682">
        <v>0</v>
      </c>
      <c r="E2682">
        <v>0</v>
      </c>
      <c r="F2682">
        <v>4116</v>
      </c>
      <c r="G2682" t="s">
        <v>12108</v>
      </c>
      <c r="H2682">
        <v>11119.71</v>
      </c>
      <c r="I2682">
        <v>105.33</v>
      </c>
      <c r="J2682" t="s">
        <v>120</v>
      </c>
      <c r="K2682" t="s">
        <v>6938</v>
      </c>
      <c r="L2682">
        <v>3.71</v>
      </c>
      <c r="M2682">
        <v>3.76</v>
      </c>
      <c r="N2682">
        <v>0.89</v>
      </c>
      <c r="O2682">
        <v>5.19</v>
      </c>
      <c r="P2682">
        <v>3.85</v>
      </c>
      <c r="Q2682">
        <v>-1.91</v>
      </c>
      <c r="R2682">
        <v>3.59</v>
      </c>
      <c r="S2682">
        <v>3.66</v>
      </c>
      <c r="T2682">
        <v>296077</v>
      </c>
      <c r="U2682">
        <v>3.77</v>
      </c>
      <c r="V2682">
        <v>3.66</v>
      </c>
      <c r="W2682">
        <v>24.41</v>
      </c>
      <c r="X2682" t="s">
        <v>868</v>
      </c>
      <c r="Y2682" t="s">
        <v>319</v>
      </c>
      <c r="Z2682">
        <v>7.1</v>
      </c>
      <c r="AA2682">
        <v>3.76</v>
      </c>
      <c r="AB2682">
        <v>129232</v>
      </c>
      <c r="AC2682">
        <v>166845</v>
      </c>
      <c r="AD2682">
        <v>0.77</v>
      </c>
      <c r="AE2682">
        <v>110</v>
      </c>
      <c r="AF2682">
        <v>5512</v>
      </c>
      <c r="AG2682" t="s">
        <v>120</v>
      </c>
      <c r="AH2682">
        <v>0.08</v>
      </c>
      <c r="AI2682" t="s">
        <v>120</v>
      </c>
      <c r="AJ2682">
        <v>7.97</v>
      </c>
      <c r="AK2682" t="s">
        <v>12109</v>
      </c>
      <c r="AL2682">
        <v>4.08</v>
      </c>
      <c r="AM2682">
        <v>2584</v>
      </c>
      <c r="AN2682">
        <v>115</v>
      </c>
      <c r="AO2682">
        <v>1.4E-3</v>
      </c>
      <c r="AP2682">
        <v>2</v>
      </c>
      <c r="AQ2682">
        <v>1.39</v>
      </c>
      <c r="AR2682">
        <v>-3.09</v>
      </c>
      <c r="AS2682">
        <v>29.21</v>
      </c>
      <c r="AT2682">
        <v>23.68</v>
      </c>
      <c r="AU2682">
        <v>27.03</v>
      </c>
      <c r="AV2682">
        <v>2</v>
      </c>
      <c r="AW2682">
        <v>8.1999999999999993</v>
      </c>
      <c r="AX2682">
        <v>9.27</v>
      </c>
      <c r="AY2682">
        <v>22.48</v>
      </c>
      <c r="AZ2682">
        <v>25.51</v>
      </c>
      <c r="BA2682">
        <v>0.9</v>
      </c>
      <c r="BB2682" t="s">
        <v>341</v>
      </c>
      <c r="BF2682">
        <v>2.61</v>
      </c>
      <c r="BG2682">
        <v>2.73</v>
      </c>
      <c r="BH2682">
        <v>-2.34</v>
      </c>
      <c r="BI2682">
        <v>4.74</v>
      </c>
      <c r="BJ2682">
        <v>20210828</v>
      </c>
      <c r="BK2682">
        <v>20030306</v>
      </c>
      <c r="BL2682">
        <v>38.96</v>
      </c>
      <c r="BM2682" t="s">
        <v>120</v>
      </c>
      <c r="BN2682" t="s">
        <v>120</v>
      </c>
      <c r="BO2682">
        <v>122.82</v>
      </c>
      <c r="BP2682">
        <v>3.76</v>
      </c>
      <c r="BQ2682">
        <v>56.72</v>
      </c>
      <c r="BR2682">
        <v>2.14</v>
      </c>
      <c r="BS2682">
        <v>52.07</v>
      </c>
      <c r="BT2682">
        <v>73.819999999999993</v>
      </c>
      <c r="BU2682">
        <v>32.46</v>
      </c>
      <c r="BV2682">
        <v>6.7</v>
      </c>
      <c r="BW2682">
        <v>50.05</v>
      </c>
      <c r="BX2682">
        <v>30.37</v>
      </c>
      <c r="BY2682">
        <v>18.16</v>
      </c>
      <c r="BZ2682">
        <v>18.309999999999999</v>
      </c>
      <c r="CA2682" t="s">
        <v>120</v>
      </c>
      <c r="CB2682">
        <v>5.81</v>
      </c>
      <c r="CC2682">
        <v>91.79</v>
      </c>
      <c r="CD2682">
        <v>87.33</v>
      </c>
      <c r="CE2682">
        <v>3.63</v>
      </c>
      <c r="CF2682">
        <v>0.15</v>
      </c>
      <c r="CG2682">
        <v>3.59</v>
      </c>
      <c r="CH2682">
        <v>3.07</v>
      </c>
      <c r="CI2682">
        <v>3</v>
      </c>
      <c r="CJ2682">
        <v>0.1</v>
      </c>
      <c r="CK2682">
        <v>3.03</v>
      </c>
      <c r="CL2682">
        <v>12.78</v>
      </c>
      <c r="CM2682">
        <v>-5.13</v>
      </c>
      <c r="CN2682">
        <v>-17.32</v>
      </c>
      <c r="CO2682">
        <v>23486</v>
      </c>
      <c r="CP2682">
        <v>15371</v>
      </c>
      <c r="CQ2682" t="s">
        <v>5560</v>
      </c>
      <c r="CR2682">
        <v>33.450000000000003</v>
      </c>
      <c r="CS2682">
        <v>9.07</v>
      </c>
      <c r="CT2682">
        <v>2.42</v>
      </c>
      <c r="CU2682">
        <v>-28.58</v>
      </c>
      <c r="CV2682">
        <v>1.6</v>
      </c>
      <c r="CW2682">
        <v>2.56</v>
      </c>
      <c r="CX2682" t="s">
        <v>535</v>
      </c>
      <c r="CY2682">
        <v>1.55</v>
      </c>
      <c r="CZ2682">
        <v>1.55</v>
      </c>
      <c r="DA2682">
        <v>0.15</v>
      </c>
      <c r="DB2682">
        <v>0.33</v>
      </c>
      <c r="DC2682">
        <v>-0.13</v>
      </c>
      <c r="DD2682">
        <v>46.18</v>
      </c>
      <c r="DE2682" t="s">
        <v>12110</v>
      </c>
      <c r="DF2682">
        <v>4.8600000000000003</v>
      </c>
      <c r="DG2682">
        <v>3.96</v>
      </c>
      <c r="DH2682">
        <v>3.27</v>
      </c>
      <c r="DI2682">
        <v>0.04</v>
      </c>
      <c r="DJ2682">
        <v>2477</v>
      </c>
      <c r="DK2682">
        <v>600370</v>
      </c>
      <c r="DL2682" t="s">
        <v>120</v>
      </c>
      <c r="DM2682" t="s">
        <v>120</v>
      </c>
      <c r="DN2682" t="s">
        <v>120</v>
      </c>
    </row>
    <row r="2683" spans="1:118">
      <c r="A2683" t="str">
        <f>"600371"</f>
        <v>600371</v>
      </c>
      <c r="B2683" t="s">
        <v>12111</v>
      </c>
      <c r="C2683">
        <v>3.65</v>
      </c>
      <c r="D2683">
        <v>0</v>
      </c>
      <c r="E2683">
        <v>0</v>
      </c>
      <c r="F2683">
        <v>1764</v>
      </c>
      <c r="G2683" t="s">
        <v>9525</v>
      </c>
      <c r="H2683">
        <v>11951.73</v>
      </c>
      <c r="I2683">
        <v>6.74</v>
      </c>
      <c r="J2683" t="s">
        <v>120</v>
      </c>
      <c r="K2683" t="s">
        <v>5512</v>
      </c>
      <c r="L2683">
        <v>3.53</v>
      </c>
      <c r="M2683">
        <v>11.64</v>
      </c>
      <c r="N2683">
        <v>2.04</v>
      </c>
      <c r="O2683">
        <v>4.8099999999999996</v>
      </c>
      <c r="P2683">
        <v>11.77</v>
      </c>
      <c r="Q2683">
        <v>-0.45</v>
      </c>
      <c r="R2683">
        <v>11.18</v>
      </c>
      <c r="S2683">
        <v>11.23</v>
      </c>
      <c r="T2683">
        <v>103330</v>
      </c>
      <c r="U2683">
        <v>11.64</v>
      </c>
      <c r="V2683">
        <v>11.23</v>
      </c>
      <c r="W2683">
        <v>96.34</v>
      </c>
      <c r="X2683" t="s">
        <v>1700</v>
      </c>
      <c r="Y2683" t="s">
        <v>1686</v>
      </c>
      <c r="Z2683">
        <v>5.25</v>
      </c>
      <c r="AA2683">
        <v>11.57</v>
      </c>
      <c r="AB2683">
        <v>40061</v>
      </c>
      <c r="AC2683">
        <v>63269</v>
      </c>
      <c r="AD2683">
        <v>0.63</v>
      </c>
      <c r="AE2683">
        <v>286</v>
      </c>
      <c r="AF2683">
        <v>173</v>
      </c>
      <c r="AG2683" t="s">
        <v>120</v>
      </c>
      <c r="AH2683">
        <v>0</v>
      </c>
      <c r="AI2683" t="s">
        <v>120</v>
      </c>
      <c r="AJ2683">
        <v>2.93</v>
      </c>
      <c r="AK2683" t="s">
        <v>5512</v>
      </c>
      <c r="AL2683">
        <v>4.99</v>
      </c>
      <c r="AM2683">
        <v>2658</v>
      </c>
      <c r="AN2683">
        <v>39</v>
      </c>
      <c r="AO2683">
        <v>1.2999999999999999E-3</v>
      </c>
      <c r="AP2683">
        <v>2</v>
      </c>
      <c r="AQ2683">
        <v>0.9</v>
      </c>
      <c r="AR2683">
        <v>2.02</v>
      </c>
      <c r="AS2683">
        <v>-0.17</v>
      </c>
      <c r="AT2683">
        <v>6.01</v>
      </c>
      <c r="AU2683">
        <v>-26.51</v>
      </c>
      <c r="AV2683">
        <v>0</v>
      </c>
      <c r="AW2683">
        <v>6.89</v>
      </c>
      <c r="AX2683">
        <v>51.24</v>
      </c>
      <c r="AY2683">
        <v>87.44</v>
      </c>
      <c r="AZ2683">
        <v>59.52</v>
      </c>
      <c r="BA2683">
        <v>0.32</v>
      </c>
      <c r="BB2683" t="s">
        <v>143</v>
      </c>
      <c r="BF2683">
        <v>3</v>
      </c>
      <c r="BG2683">
        <v>3.65</v>
      </c>
      <c r="BH2683">
        <v>-1.1000000000000001</v>
      </c>
      <c r="BI2683">
        <v>4.1100000000000003</v>
      </c>
      <c r="BJ2683">
        <v>20210821</v>
      </c>
      <c r="BK2683">
        <v>20020916</v>
      </c>
      <c r="BL2683">
        <v>2.93</v>
      </c>
      <c r="BM2683" t="s">
        <v>120</v>
      </c>
      <c r="BN2683" t="s">
        <v>120</v>
      </c>
      <c r="BO2683">
        <v>6.87</v>
      </c>
      <c r="BP2683">
        <v>11.63</v>
      </c>
      <c r="BQ2683">
        <v>5.1100000000000003</v>
      </c>
      <c r="BR2683">
        <v>0.5</v>
      </c>
      <c r="BS2683">
        <v>18.34</v>
      </c>
      <c r="BT2683">
        <v>4.6100000000000003</v>
      </c>
      <c r="BU2683">
        <v>0.94</v>
      </c>
      <c r="BV2683">
        <v>0.08</v>
      </c>
      <c r="BW2683">
        <v>1.19</v>
      </c>
      <c r="BX2683">
        <v>3.5</v>
      </c>
      <c r="BY2683">
        <v>0.97</v>
      </c>
      <c r="BZ2683">
        <v>0</v>
      </c>
      <c r="CA2683" t="s">
        <v>120</v>
      </c>
      <c r="CB2683">
        <v>0.23</v>
      </c>
      <c r="CC2683">
        <v>1.2</v>
      </c>
      <c r="CD2683">
        <v>0.69</v>
      </c>
      <c r="CE2683">
        <v>0.17</v>
      </c>
      <c r="CF2683">
        <v>0</v>
      </c>
      <c r="CG2683">
        <v>0.2</v>
      </c>
      <c r="CH2683">
        <v>0.2</v>
      </c>
      <c r="CI2683">
        <v>0.18</v>
      </c>
      <c r="CJ2683">
        <v>0.41</v>
      </c>
      <c r="CK2683">
        <v>0.14000000000000001</v>
      </c>
      <c r="CL2683">
        <v>1.26</v>
      </c>
      <c r="CM2683">
        <v>0.27</v>
      </c>
      <c r="CN2683">
        <v>-0.1</v>
      </c>
      <c r="CO2683">
        <v>45811</v>
      </c>
      <c r="CP2683">
        <v>3273</v>
      </c>
      <c r="CQ2683" t="s">
        <v>1247</v>
      </c>
      <c r="CR2683">
        <v>-49.93</v>
      </c>
      <c r="CS2683">
        <v>-4.13</v>
      </c>
      <c r="CT2683">
        <v>6.67</v>
      </c>
      <c r="CU2683">
        <v>125.12</v>
      </c>
      <c r="CV2683">
        <v>28.27</v>
      </c>
      <c r="CW2683">
        <v>0.89</v>
      </c>
      <c r="CX2683" t="s">
        <v>1064</v>
      </c>
      <c r="CY2683">
        <v>1.75</v>
      </c>
      <c r="CZ2683">
        <v>0</v>
      </c>
      <c r="DA2683">
        <v>0.08</v>
      </c>
      <c r="DB2683">
        <v>0.43</v>
      </c>
      <c r="DC2683">
        <v>0.09</v>
      </c>
      <c r="DD2683">
        <v>74.31</v>
      </c>
      <c r="DE2683" t="s">
        <v>5093</v>
      </c>
      <c r="DF2683">
        <v>42.38</v>
      </c>
      <c r="DG2683">
        <v>13.88</v>
      </c>
      <c r="DH2683">
        <v>14.67</v>
      </c>
      <c r="DI2683">
        <v>0.05</v>
      </c>
      <c r="DJ2683">
        <v>201</v>
      </c>
      <c r="DK2683">
        <v>600371</v>
      </c>
      <c r="DL2683" t="s">
        <v>120</v>
      </c>
      <c r="DM2683" t="s">
        <v>120</v>
      </c>
      <c r="DN2683" t="s">
        <v>120</v>
      </c>
    </row>
    <row r="2684" spans="1:118">
      <c r="A2684" t="str">
        <f>"600372"</f>
        <v>600372</v>
      </c>
      <c r="B2684" t="s">
        <v>12112</v>
      </c>
      <c r="C2684">
        <v>-3.99</v>
      </c>
      <c r="D2684">
        <v>-0.05</v>
      </c>
      <c r="E2684">
        <v>-0.16</v>
      </c>
      <c r="F2684">
        <v>2483</v>
      </c>
      <c r="G2684" t="s">
        <v>11839</v>
      </c>
      <c r="H2684">
        <v>27930.29</v>
      </c>
      <c r="I2684">
        <v>52.74</v>
      </c>
      <c r="J2684" t="s">
        <v>120</v>
      </c>
      <c r="K2684" t="s">
        <v>12113</v>
      </c>
      <c r="L2684">
        <v>0.81</v>
      </c>
      <c r="M2684">
        <v>17.55</v>
      </c>
      <c r="N2684">
        <v>0.87</v>
      </c>
      <c r="O2684">
        <v>0.93</v>
      </c>
      <c r="P2684">
        <v>18.45</v>
      </c>
      <c r="Q2684">
        <v>-4.2699999999999996</v>
      </c>
      <c r="R2684">
        <v>17.5</v>
      </c>
      <c r="S2684">
        <v>18.25</v>
      </c>
      <c r="T2684">
        <v>155275</v>
      </c>
      <c r="U2684">
        <v>17.559999999999999</v>
      </c>
      <c r="V2684">
        <v>18.28</v>
      </c>
      <c r="W2684">
        <v>43.96</v>
      </c>
      <c r="X2684" t="s">
        <v>1621</v>
      </c>
      <c r="Y2684" t="s">
        <v>158</v>
      </c>
      <c r="Z2684">
        <v>5.2</v>
      </c>
      <c r="AA2684">
        <v>17.989999999999998</v>
      </c>
      <c r="AB2684">
        <v>94512</v>
      </c>
      <c r="AC2684">
        <v>60763</v>
      </c>
      <c r="AD2684">
        <v>1.56</v>
      </c>
      <c r="AE2684">
        <v>826</v>
      </c>
      <c r="AF2684">
        <v>34</v>
      </c>
      <c r="AG2684" t="s">
        <v>120</v>
      </c>
      <c r="AH2684">
        <v>0</v>
      </c>
      <c r="AI2684" t="s">
        <v>120</v>
      </c>
      <c r="AJ2684">
        <v>19.28</v>
      </c>
      <c r="AK2684" t="s">
        <v>12113</v>
      </c>
      <c r="AL2684">
        <v>-2.65</v>
      </c>
      <c r="AM2684">
        <v>3541</v>
      </c>
      <c r="AN2684">
        <v>44</v>
      </c>
      <c r="AO2684">
        <v>2.0000000000000001E-4</v>
      </c>
      <c r="AP2684">
        <v>-1</v>
      </c>
      <c r="AQ2684">
        <v>0.16</v>
      </c>
      <c r="AR2684">
        <v>-4.3600000000000003</v>
      </c>
      <c r="AS2684">
        <v>-6</v>
      </c>
      <c r="AT2684">
        <v>7.08</v>
      </c>
      <c r="AU2684">
        <v>-10.23</v>
      </c>
      <c r="AV2684">
        <v>0</v>
      </c>
      <c r="AW2684">
        <v>2.39</v>
      </c>
      <c r="AX2684">
        <v>33.700000000000003</v>
      </c>
      <c r="AY2684">
        <v>46.9</v>
      </c>
      <c r="AZ2684">
        <v>55.88</v>
      </c>
      <c r="BA2684">
        <v>0.76</v>
      </c>
      <c r="BB2684" t="s">
        <v>143</v>
      </c>
      <c r="BF2684">
        <v>-1.6</v>
      </c>
      <c r="BG2684">
        <v>-3.84</v>
      </c>
      <c r="BH2684">
        <v>-4.88</v>
      </c>
      <c r="BI2684">
        <v>0.28999999999999998</v>
      </c>
      <c r="BJ2684">
        <v>20210828</v>
      </c>
      <c r="BK2684">
        <v>20010706</v>
      </c>
      <c r="BL2684">
        <v>19.28</v>
      </c>
      <c r="BM2684" t="s">
        <v>120</v>
      </c>
      <c r="BN2684" t="s">
        <v>120</v>
      </c>
      <c r="BO2684">
        <v>250.03</v>
      </c>
      <c r="BP2684">
        <v>17.55</v>
      </c>
      <c r="BQ2684">
        <v>108.04</v>
      </c>
      <c r="BR2684">
        <v>4.1100000000000003</v>
      </c>
      <c r="BS2684">
        <v>55.15</v>
      </c>
      <c r="BT2684">
        <v>186.15</v>
      </c>
      <c r="BU2684">
        <v>34.76</v>
      </c>
      <c r="BV2684">
        <v>7.13</v>
      </c>
      <c r="BW2684">
        <v>110.91</v>
      </c>
      <c r="BX2684">
        <v>30.7</v>
      </c>
      <c r="BY2684">
        <v>53.39</v>
      </c>
      <c r="BZ2684">
        <v>83.23</v>
      </c>
      <c r="CA2684" t="s">
        <v>120</v>
      </c>
      <c r="CB2684">
        <v>40.659999999999997</v>
      </c>
      <c r="CC2684">
        <v>46.16</v>
      </c>
      <c r="CD2684">
        <v>33.21</v>
      </c>
      <c r="CE2684">
        <v>4.5199999999999996</v>
      </c>
      <c r="CF2684">
        <v>-0.01</v>
      </c>
      <c r="CG2684">
        <v>4.54</v>
      </c>
      <c r="CH2684">
        <v>3.97</v>
      </c>
      <c r="CI2684">
        <v>3.85</v>
      </c>
      <c r="CJ2684">
        <v>-0.73</v>
      </c>
      <c r="CK2684">
        <v>3.39</v>
      </c>
      <c r="CL2684">
        <v>44.56</v>
      </c>
      <c r="CM2684">
        <v>3.47</v>
      </c>
      <c r="CN2684">
        <v>-8.77</v>
      </c>
      <c r="CO2684">
        <v>75283</v>
      </c>
      <c r="CP2684">
        <v>8630</v>
      </c>
      <c r="CQ2684" t="s">
        <v>12114</v>
      </c>
      <c r="CR2684">
        <v>45.74</v>
      </c>
      <c r="CS2684">
        <v>29.03</v>
      </c>
      <c r="CT2684">
        <v>3.13</v>
      </c>
      <c r="CU2684">
        <v>97.66</v>
      </c>
      <c r="CV2684">
        <v>7.33</v>
      </c>
      <c r="CW2684">
        <v>0.54</v>
      </c>
      <c r="CX2684" t="s">
        <v>492</v>
      </c>
      <c r="CY2684">
        <v>5.6</v>
      </c>
      <c r="CZ2684">
        <v>0</v>
      </c>
      <c r="DA2684">
        <v>2.11</v>
      </c>
      <c r="DB2684">
        <v>2.31</v>
      </c>
      <c r="DC2684">
        <v>0.18</v>
      </c>
      <c r="DD2684">
        <v>43.21</v>
      </c>
      <c r="DE2684" t="s">
        <v>3308</v>
      </c>
      <c r="DF2684">
        <v>28.05</v>
      </c>
      <c r="DG2684">
        <v>9.7899999999999991</v>
      </c>
      <c r="DH2684">
        <v>8.34</v>
      </c>
      <c r="DI2684">
        <v>3.51</v>
      </c>
      <c r="DJ2684">
        <v>11138</v>
      </c>
      <c r="DK2684">
        <v>600372</v>
      </c>
      <c r="DL2684" t="s">
        <v>120</v>
      </c>
      <c r="DM2684" t="s">
        <v>120</v>
      </c>
      <c r="DN2684" t="s">
        <v>120</v>
      </c>
    </row>
    <row r="2685" spans="1:118">
      <c r="A2685" t="str">
        <f>"600373"</f>
        <v>600373</v>
      </c>
      <c r="B2685" t="s">
        <v>12115</v>
      </c>
      <c r="C2685">
        <v>-1.1599999999999999</v>
      </c>
      <c r="D2685">
        <v>-0.08</v>
      </c>
      <c r="E2685">
        <v>1.25</v>
      </c>
      <c r="F2685">
        <v>956</v>
      </c>
      <c r="G2685" t="s">
        <v>3683</v>
      </c>
      <c r="H2685">
        <v>13297.58</v>
      </c>
      <c r="I2685">
        <v>99.88</v>
      </c>
      <c r="J2685" t="s">
        <v>120</v>
      </c>
      <c r="K2685" t="s">
        <v>12116</v>
      </c>
      <c r="L2685">
        <v>0.87</v>
      </c>
      <c r="M2685">
        <v>11.08</v>
      </c>
      <c r="N2685">
        <v>1</v>
      </c>
      <c r="O2685">
        <v>2.0499999999999998</v>
      </c>
      <c r="P2685">
        <v>11.44</v>
      </c>
      <c r="Q2685">
        <v>-1.34</v>
      </c>
      <c r="R2685">
        <v>11.06</v>
      </c>
      <c r="S2685">
        <v>11.35</v>
      </c>
      <c r="T2685">
        <v>118099</v>
      </c>
      <c r="U2685">
        <v>11.09</v>
      </c>
      <c r="V2685">
        <v>11.21</v>
      </c>
      <c r="W2685">
        <v>6.39</v>
      </c>
      <c r="X2685" t="s">
        <v>1730</v>
      </c>
      <c r="Y2685" t="s">
        <v>676</v>
      </c>
      <c r="Z2685">
        <v>3.39</v>
      </c>
      <c r="AA2685">
        <v>11.26</v>
      </c>
      <c r="AB2685">
        <v>56048</v>
      </c>
      <c r="AC2685">
        <v>62051</v>
      </c>
      <c r="AD2685">
        <v>0.9</v>
      </c>
      <c r="AE2685">
        <v>135</v>
      </c>
      <c r="AF2685">
        <v>82</v>
      </c>
      <c r="AG2685" t="s">
        <v>120</v>
      </c>
      <c r="AH2685">
        <v>0.01</v>
      </c>
      <c r="AI2685" t="s">
        <v>120</v>
      </c>
      <c r="AJ2685">
        <v>13.55</v>
      </c>
      <c r="AK2685" t="s">
        <v>12116</v>
      </c>
      <c r="AL2685">
        <v>0.18</v>
      </c>
      <c r="AM2685">
        <v>3822</v>
      </c>
      <c r="AN2685">
        <v>31</v>
      </c>
      <c r="AO2685">
        <v>2.0000000000000001E-4</v>
      </c>
      <c r="AP2685">
        <v>-3</v>
      </c>
      <c r="AQ2685">
        <v>-0.53</v>
      </c>
      <c r="AR2685">
        <v>-3.06</v>
      </c>
      <c r="AS2685">
        <v>13.17</v>
      </c>
      <c r="AT2685">
        <v>14.11</v>
      </c>
      <c r="AU2685">
        <v>16.149999999999999</v>
      </c>
      <c r="AV2685">
        <v>0</v>
      </c>
      <c r="AW2685">
        <v>1.97</v>
      </c>
      <c r="AX2685">
        <v>44.24</v>
      </c>
      <c r="AY2685">
        <v>7.16</v>
      </c>
      <c r="AZ2685">
        <v>8.41</v>
      </c>
      <c r="BA2685">
        <v>0.73</v>
      </c>
      <c r="BB2685" t="s">
        <v>143</v>
      </c>
      <c r="BF2685">
        <v>0.44</v>
      </c>
      <c r="BG2685">
        <v>-2.38</v>
      </c>
      <c r="BH2685">
        <v>-3.15</v>
      </c>
      <c r="BI2685">
        <v>0.18</v>
      </c>
      <c r="BJ2685">
        <v>20210828</v>
      </c>
      <c r="BK2685">
        <v>20020304</v>
      </c>
      <c r="BL2685">
        <v>13.55</v>
      </c>
      <c r="BM2685" t="s">
        <v>120</v>
      </c>
      <c r="BN2685" t="s">
        <v>120</v>
      </c>
      <c r="BO2685">
        <v>287.17</v>
      </c>
      <c r="BP2685">
        <v>11.08</v>
      </c>
      <c r="BQ2685">
        <v>155.88</v>
      </c>
      <c r="BR2685">
        <v>2.5499999999999998</v>
      </c>
      <c r="BS2685">
        <v>44.83</v>
      </c>
      <c r="BT2685">
        <v>197.25</v>
      </c>
      <c r="BU2685">
        <v>13.01</v>
      </c>
      <c r="BV2685">
        <v>8.32</v>
      </c>
      <c r="BW2685">
        <v>107.34</v>
      </c>
      <c r="BX2685">
        <v>145.27000000000001</v>
      </c>
      <c r="BY2685">
        <v>13.34</v>
      </c>
      <c r="BZ2685">
        <v>12.55</v>
      </c>
      <c r="CA2685" t="s">
        <v>120</v>
      </c>
      <c r="CB2685">
        <v>51.62</v>
      </c>
      <c r="CC2685">
        <v>51.68</v>
      </c>
      <c r="CD2685">
        <v>32.4</v>
      </c>
      <c r="CE2685">
        <v>14.1</v>
      </c>
      <c r="CF2685">
        <v>9.2100000000000009</v>
      </c>
      <c r="CG2685">
        <v>14.05</v>
      </c>
      <c r="CH2685">
        <v>11.78</v>
      </c>
      <c r="CI2685">
        <v>11.74</v>
      </c>
      <c r="CJ2685">
        <v>-0.13</v>
      </c>
      <c r="CK2685">
        <v>5.04</v>
      </c>
      <c r="CL2685">
        <v>86.81</v>
      </c>
      <c r="CM2685">
        <v>4.62</v>
      </c>
      <c r="CN2685">
        <v>30.32</v>
      </c>
      <c r="CO2685">
        <v>39274</v>
      </c>
      <c r="CP2685">
        <v>15265</v>
      </c>
      <c r="CQ2685" t="s">
        <v>12117</v>
      </c>
      <c r="CR2685">
        <v>36.64</v>
      </c>
      <c r="CS2685">
        <v>4.45</v>
      </c>
      <c r="CT2685">
        <v>0.96</v>
      </c>
      <c r="CU2685">
        <v>32.520000000000003</v>
      </c>
      <c r="CV2685">
        <v>2.91</v>
      </c>
      <c r="CW2685">
        <v>4.91</v>
      </c>
      <c r="CX2685" t="s">
        <v>2847</v>
      </c>
      <c r="CY2685">
        <v>11.5</v>
      </c>
      <c r="CZ2685">
        <v>0</v>
      </c>
      <c r="DA2685">
        <v>3.81</v>
      </c>
      <c r="DB2685">
        <v>6.41</v>
      </c>
      <c r="DC2685">
        <v>0.34</v>
      </c>
      <c r="DD2685">
        <v>54.28</v>
      </c>
      <c r="DE2685" t="s">
        <v>2798</v>
      </c>
      <c r="DF2685">
        <v>37.299999999999997</v>
      </c>
      <c r="DG2685">
        <v>27.29</v>
      </c>
      <c r="DH2685">
        <v>22.72</v>
      </c>
      <c r="DI2685">
        <v>1.91</v>
      </c>
      <c r="DJ2685">
        <v>6527</v>
      </c>
      <c r="DK2685">
        <v>600373</v>
      </c>
      <c r="DL2685" t="s">
        <v>120</v>
      </c>
      <c r="DM2685" t="s">
        <v>120</v>
      </c>
      <c r="DN2685" t="s">
        <v>120</v>
      </c>
    </row>
    <row r="2686" spans="1:118">
      <c r="A2686" t="str">
        <f>"600375"</f>
        <v>600375</v>
      </c>
      <c r="B2686" t="s">
        <v>12118</v>
      </c>
      <c r="C2686">
        <v>-0.88</v>
      </c>
      <c r="D2686">
        <v>0</v>
      </c>
      <c r="E2686">
        <v>1.2</v>
      </c>
      <c r="F2686">
        <v>922</v>
      </c>
      <c r="G2686" t="s">
        <v>7747</v>
      </c>
      <c r="H2686">
        <v>12617.51</v>
      </c>
      <c r="I2686">
        <v>105.27</v>
      </c>
      <c r="J2686" t="s">
        <v>120</v>
      </c>
      <c r="K2686" t="s">
        <v>12119</v>
      </c>
      <c r="L2686">
        <v>2.4700000000000002</v>
      </c>
      <c r="M2686">
        <v>9.06</v>
      </c>
      <c r="N2686">
        <v>1.07</v>
      </c>
      <c r="O2686">
        <v>3.94</v>
      </c>
      <c r="P2686">
        <v>9.5</v>
      </c>
      <c r="Q2686">
        <v>-1.42</v>
      </c>
      <c r="R2686">
        <v>9.01</v>
      </c>
      <c r="S2686">
        <v>9.25</v>
      </c>
      <c r="T2686">
        <v>137019</v>
      </c>
      <c r="U2686">
        <v>9.07</v>
      </c>
      <c r="V2686">
        <v>9.14</v>
      </c>
      <c r="W2686" t="s">
        <v>120</v>
      </c>
      <c r="X2686" t="s">
        <v>1068</v>
      </c>
      <c r="Y2686" t="s">
        <v>570</v>
      </c>
      <c r="Z2686">
        <v>5.36</v>
      </c>
      <c r="AA2686">
        <v>9.2100000000000009</v>
      </c>
      <c r="AB2686">
        <v>77327</v>
      </c>
      <c r="AC2686">
        <v>59692</v>
      </c>
      <c r="AD2686">
        <v>1.3</v>
      </c>
      <c r="AE2686">
        <v>537</v>
      </c>
      <c r="AF2686">
        <v>212</v>
      </c>
      <c r="AG2686" t="s">
        <v>120</v>
      </c>
      <c r="AH2686">
        <v>0.02</v>
      </c>
      <c r="AI2686" t="s">
        <v>120</v>
      </c>
      <c r="AJ2686">
        <v>5.56</v>
      </c>
      <c r="AK2686" t="s">
        <v>12120</v>
      </c>
      <c r="AL2686">
        <v>0.47</v>
      </c>
      <c r="AM2686">
        <v>2361</v>
      </c>
      <c r="AN2686">
        <v>58</v>
      </c>
      <c r="AO2686">
        <v>1E-3</v>
      </c>
      <c r="AP2686">
        <v>-1</v>
      </c>
      <c r="AQ2686">
        <v>1.1100000000000001</v>
      </c>
      <c r="AR2686">
        <v>0.56000000000000005</v>
      </c>
      <c r="AS2686">
        <v>-10.29</v>
      </c>
      <c r="AT2686">
        <v>-15.17</v>
      </c>
      <c r="AU2686">
        <v>12.82</v>
      </c>
      <c r="AV2686">
        <v>9</v>
      </c>
      <c r="AW2686">
        <v>2.91</v>
      </c>
      <c r="AX2686">
        <v>71.989999999999995</v>
      </c>
      <c r="AY2686" t="s">
        <v>120</v>
      </c>
      <c r="AZ2686" t="s">
        <v>120</v>
      </c>
      <c r="BA2686">
        <v>0.67</v>
      </c>
      <c r="BB2686" t="s">
        <v>143</v>
      </c>
      <c r="BF2686">
        <v>0.75</v>
      </c>
      <c r="BG2686">
        <v>-2.0499999999999998</v>
      </c>
      <c r="BH2686">
        <v>-4.63</v>
      </c>
      <c r="BI2686">
        <v>0.55000000000000004</v>
      </c>
      <c r="BJ2686">
        <v>20210830</v>
      </c>
      <c r="BK2686">
        <v>20030401</v>
      </c>
      <c r="BL2686">
        <v>6.54</v>
      </c>
      <c r="BM2686" t="s">
        <v>120</v>
      </c>
      <c r="BN2686" t="s">
        <v>120</v>
      </c>
      <c r="BO2686">
        <v>129.15</v>
      </c>
      <c r="BP2686">
        <v>9.06</v>
      </c>
      <c r="BQ2686">
        <v>24.01</v>
      </c>
      <c r="BR2686">
        <v>0.62</v>
      </c>
      <c r="BS2686">
        <v>80.930000000000007</v>
      </c>
      <c r="BT2686">
        <v>67.400000000000006</v>
      </c>
      <c r="BU2686">
        <v>28.75</v>
      </c>
      <c r="BV2686">
        <v>8.4600000000000009</v>
      </c>
      <c r="BW2686">
        <v>95.17</v>
      </c>
      <c r="BX2686">
        <v>18.989999999999998</v>
      </c>
      <c r="BY2686">
        <v>11.78</v>
      </c>
      <c r="BZ2686">
        <v>33.880000000000003</v>
      </c>
      <c r="CA2686" t="s">
        <v>120</v>
      </c>
      <c r="CB2686">
        <v>31.58</v>
      </c>
      <c r="CC2686">
        <v>38.4</v>
      </c>
      <c r="CD2686">
        <v>36.1</v>
      </c>
      <c r="CE2686">
        <v>-5.65</v>
      </c>
      <c r="CF2686">
        <v>0</v>
      </c>
      <c r="CG2686">
        <v>-5.62</v>
      </c>
      <c r="CH2686">
        <v>-5.7</v>
      </c>
      <c r="CI2686">
        <v>-5.69</v>
      </c>
      <c r="CJ2686">
        <v>-0.08</v>
      </c>
      <c r="CK2686">
        <v>-5.88</v>
      </c>
      <c r="CL2686">
        <v>-15.35</v>
      </c>
      <c r="CM2686">
        <v>-2.12</v>
      </c>
      <c r="CN2686">
        <v>2.7</v>
      </c>
      <c r="CO2686">
        <v>41405</v>
      </c>
      <c r="CP2686">
        <v>11377</v>
      </c>
      <c r="CQ2686" t="s">
        <v>4207</v>
      </c>
      <c r="CR2686">
        <v>-491.03</v>
      </c>
      <c r="CS2686">
        <v>11.77</v>
      </c>
      <c r="CT2686">
        <v>2.4700000000000002</v>
      </c>
      <c r="CU2686">
        <v>-28.02</v>
      </c>
      <c r="CV2686">
        <v>1.54</v>
      </c>
      <c r="CW2686">
        <v>0</v>
      </c>
      <c r="CX2686" t="s">
        <v>12121</v>
      </c>
      <c r="CY2686">
        <v>3.67</v>
      </c>
      <c r="CZ2686">
        <v>0</v>
      </c>
      <c r="DA2686">
        <v>4.83</v>
      </c>
      <c r="DB2686">
        <v>-2.35</v>
      </c>
      <c r="DC2686">
        <v>-0.32</v>
      </c>
      <c r="DD2686">
        <v>18.59</v>
      </c>
      <c r="DE2686" t="s">
        <v>12122</v>
      </c>
      <c r="DF2686">
        <v>5.97</v>
      </c>
      <c r="DG2686">
        <v>-14.7</v>
      </c>
      <c r="DH2686">
        <v>-14.82</v>
      </c>
      <c r="DI2686">
        <v>0.95</v>
      </c>
      <c r="DJ2686">
        <v>3285</v>
      </c>
      <c r="DK2686">
        <v>600375</v>
      </c>
      <c r="DL2686" t="s">
        <v>120</v>
      </c>
      <c r="DM2686" t="s">
        <v>120</v>
      </c>
      <c r="DN2686" t="s">
        <v>120</v>
      </c>
    </row>
    <row r="2687" spans="1:118">
      <c r="A2687" t="str">
        <f>"600376"</f>
        <v>600376</v>
      </c>
      <c r="B2687" t="s">
        <v>12123</v>
      </c>
      <c r="C2687">
        <v>0.38</v>
      </c>
      <c r="D2687">
        <v>0.96</v>
      </c>
      <c r="E2687">
        <v>0.76</v>
      </c>
      <c r="F2687">
        <v>4451</v>
      </c>
      <c r="G2687" t="s">
        <v>9045</v>
      </c>
      <c r="H2687">
        <v>3220.51</v>
      </c>
      <c r="I2687">
        <v>9.1</v>
      </c>
      <c r="J2687" t="s">
        <v>120</v>
      </c>
      <c r="K2687" t="s">
        <v>12124</v>
      </c>
      <c r="L2687">
        <v>0.24</v>
      </c>
      <c r="M2687">
        <v>5.27</v>
      </c>
      <c r="N2687">
        <v>0.86</v>
      </c>
      <c r="O2687">
        <v>1.52</v>
      </c>
      <c r="P2687">
        <v>5.33</v>
      </c>
      <c r="Q2687">
        <v>-0.76</v>
      </c>
      <c r="R2687">
        <v>5.21</v>
      </c>
      <c r="S2687">
        <v>5.29</v>
      </c>
      <c r="T2687">
        <v>61022</v>
      </c>
      <c r="U2687">
        <v>5.27</v>
      </c>
      <c r="V2687">
        <v>5.25</v>
      </c>
      <c r="W2687">
        <v>8.01</v>
      </c>
      <c r="X2687" t="s">
        <v>150</v>
      </c>
      <c r="Y2687" t="s">
        <v>158</v>
      </c>
      <c r="Z2687">
        <v>2.29</v>
      </c>
      <c r="AA2687">
        <v>5.28</v>
      </c>
      <c r="AB2687">
        <v>32403</v>
      </c>
      <c r="AC2687">
        <v>28619</v>
      </c>
      <c r="AD2687">
        <v>1.1299999999999999</v>
      </c>
      <c r="AE2687">
        <v>12</v>
      </c>
      <c r="AF2687">
        <v>1481</v>
      </c>
      <c r="AG2687" t="s">
        <v>120</v>
      </c>
      <c r="AH2687">
        <v>0</v>
      </c>
      <c r="AI2687" t="s">
        <v>120</v>
      </c>
      <c r="AJ2687">
        <v>25.8</v>
      </c>
      <c r="AK2687" t="s">
        <v>12124</v>
      </c>
      <c r="AL2687">
        <v>1.72</v>
      </c>
      <c r="AM2687">
        <v>2025</v>
      </c>
      <c r="AN2687">
        <v>30</v>
      </c>
      <c r="AO2687">
        <v>1E-4</v>
      </c>
      <c r="AP2687">
        <v>1</v>
      </c>
      <c r="AQ2687">
        <v>-2.23</v>
      </c>
      <c r="AR2687">
        <v>-3.65</v>
      </c>
      <c r="AS2687">
        <v>6.9</v>
      </c>
      <c r="AT2687">
        <v>0.38</v>
      </c>
      <c r="AU2687">
        <v>-3.65</v>
      </c>
      <c r="AV2687">
        <v>1</v>
      </c>
      <c r="AW2687">
        <v>0.5</v>
      </c>
      <c r="AX2687">
        <v>47.34</v>
      </c>
      <c r="AY2687">
        <v>5</v>
      </c>
      <c r="AZ2687">
        <v>4.3099999999999996</v>
      </c>
      <c r="BA2687">
        <v>0.1</v>
      </c>
      <c r="BB2687" t="s">
        <v>143</v>
      </c>
      <c r="BF2687">
        <v>0.53</v>
      </c>
      <c r="BG2687">
        <v>-0.38</v>
      </c>
      <c r="BH2687">
        <v>-1.1299999999999999</v>
      </c>
      <c r="BI2687">
        <v>1.1499999999999999</v>
      </c>
      <c r="BJ2687">
        <v>20210830</v>
      </c>
      <c r="BK2687">
        <v>20010312</v>
      </c>
      <c r="BL2687">
        <v>25.8</v>
      </c>
      <c r="BM2687" t="s">
        <v>120</v>
      </c>
      <c r="BN2687" t="s">
        <v>120</v>
      </c>
      <c r="BO2687">
        <v>3215.53</v>
      </c>
      <c r="BP2687">
        <v>5.26</v>
      </c>
      <c r="BQ2687">
        <v>322.99</v>
      </c>
      <c r="BR2687">
        <v>329.35</v>
      </c>
      <c r="BS2687">
        <v>79.709999999999994</v>
      </c>
      <c r="BT2687">
        <v>2762.65</v>
      </c>
      <c r="BU2687">
        <v>11.11</v>
      </c>
      <c r="BV2687">
        <v>4.18</v>
      </c>
      <c r="BW2687">
        <v>1372.23</v>
      </c>
      <c r="BX2687">
        <v>390.59</v>
      </c>
      <c r="BY2687">
        <v>1774.18</v>
      </c>
      <c r="BZ2687">
        <v>5.62</v>
      </c>
      <c r="CA2687">
        <v>0.6</v>
      </c>
      <c r="CB2687">
        <v>74.98</v>
      </c>
      <c r="CC2687">
        <v>333.18</v>
      </c>
      <c r="CD2687">
        <v>276.66000000000003</v>
      </c>
      <c r="CE2687">
        <v>26.58</v>
      </c>
      <c r="CF2687">
        <v>1.76</v>
      </c>
      <c r="CG2687">
        <v>26.67</v>
      </c>
      <c r="CH2687">
        <v>16.84</v>
      </c>
      <c r="CI2687">
        <v>8.48</v>
      </c>
      <c r="CJ2687">
        <v>0.02</v>
      </c>
      <c r="CK2687">
        <v>7.64</v>
      </c>
      <c r="CL2687">
        <v>152.88</v>
      </c>
      <c r="CM2687">
        <v>98.04</v>
      </c>
      <c r="CN2687">
        <v>35.47</v>
      </c>
      <c r="CO2687">
        <v>39830</v>
      </c>
      <c r="CP2687">
        <v>30662</v>
      </c>
      <c r="CQ2687" t="s">
        <v>12125</v>
      </c>
      <c r="CR2687">
        <v>-33.700000000000003</v>
      </c>
      <c r="CS2687">
        <v>84.83</v>
      </c>
      <c r="CT2687">
        <v>0.5</v>
      </c>
      <c r="CU2687">
        <v>1.39</v>
      </c>
      <c r="CV2687">
        <v>0.41</v>
      </c>
      <c r="CW2687">
        <v>7.62</v>
      </c>
      <c r="CX2687" t="s">
        <v>293</v>
      </c>
      <c r="CY2687">
        <v>10.58</v>
      </c>
      <c r="CZ2687">
        <v>10.58</v>
      </c>
      <c r="DA2687">
        <v>2.91</v>
      </c>
      <c r="DB2687">
        <v>5.93</v>
      </c>
      <c r="DC2687">
        <v>3.8</v>
      </c>
      <c r="DD2687">
        <v>10.039999999999999</v>
      </c>
      <c r="DE2687" t="s">
        <v>1861</v>
      </c>
      <c r="DF2687">
        <v>16.96</v>
      </c>
      <c r="DG2687">
        <v>7.98</v>
      </c>
      <c r="DH2687">
        <v>2.5499999999999998</v>
      </c>
      <c r="DI2687" t="s">
        <v>120</v>
      </c>
      <c r="DJ2687">
        <v>2024</v>
      </c>
      <c r="DK2687">
        <v>600376</v>
      </c>
      <c r="DL2687" t="s">
        <v>120</v>
      </c>
      <c r="DM2687" t="s">
        <v>120</v>
      </c>
      <c r="DN2687" t="s">
        <v>120</v>
      </c>
    </row>
    <row r="2688" spans="1:118">
      <c r="A2688" t="str">
        <f>"600377"</f>
        <v>600377</v>
      </c>
      <c r="B2688" t="s">
        <v>12126</v>
      </c>
      <c r="C2688">
        <v>0</v>
      </c>
      <c r="D2688">
        <v>-0.1</v>
      </c>
      <c r="E2688">
        <v>0.23</v>
      </c>
      <c r="F2688">
        <v>3963</v>
      </c>
      <c r="G2688" t="s">
        <v>10452</v>
      </c>
      <c r="H2688">
        <v>6861.91</v>
      </c>
      <c r="I2688">
        <v>29.27</v>
      </c>
      <c r="J2688" t="s">
        <v>120</v>
      </c>
      <c r="K2688" t="s">
        <v>12127</v>
      </c>
      <c r="L2688">
        <v>0.21</v>
      </c>
      <c r="M2688">
        <v>8.69</v>
      </c>
      <c r="N2688">
        <v>0.68</v>
      </c>
      <c r="O2688">
        <v>1.27</v>
      </c>
      <c r="P2688">
        <v>8.8000000000000007</v>
      </c>
      <c r="Q2688">
        <v>-0.12</v>
      </c>
      <c r="R2688">
        <v>8.68</v>
      </c>
      <c r="S2688">
        <v>8.7100000000000009</v>
      </c>
      <c r="T2688">
        <v>78487</v>
      </c>
      <c r="U2688">
        <v>8.69</v>
      </c>
      <c r="V2688">
        <v>8.69</v>
      </c>
      <c r="W2688">
        <v>8.17</v>
      </c>
      <c r="X2688" t="s">
        <v>800</v>
      </c>
      <c r="Y2688" t="s">
        <v>319</v>
      </c>
      <c r="Z2688">
        <v>1.38</v>
      </c>
      <c r="AA2688">
        <v>8.74</v>
      </c>
      <c r="AB2688">
        <v>33670</v>
      </c>
      <c r="AC2688">
        <v>44817</v>
      </c>
      <c r="AD2688">
        <v>0.75</v>
      </c>
      <c r="AE2688">
        <v>1119</v>
      </c>
      <c r="AF2688">
        <v>70</v>
      </c>
      <c r="AG2688" t="s">
        <v>120</v>
      </c>
      <c r="AH2688">
        <v>0.01</v>
      </c>
      <c r="AI2688" t="s">
        <v>120</v>
      </c>
      <c r="AJ2688">
        <v>38.020000000000003</v>
      </c>
      <c r="AK2688" t="s">
        <v>12128</v>
      </c>
      <c r="AL2688">
        <v>1.34</v>
      </c>
      <c r="AM2688">
        <v>2457</v>
      </c>
      <c r="AN2688">
        <v>32</v>
      </c>
      <c r="AO2688">
        <v>1E-4</v>
      </c>
      <c r="AP2688">
        <v>0</v>
      </c>
      <c r="AQ2688">
        <v>-2.25</v>
      </c>
      <c r="AR2688">
        <v>-4.1900000000000004</v>
      </c>
      <c r="AS2688">
        <v>0.57999999999999996</v>
      </c>
      <c r="AT2688">
        <v>-7.65</v>
      </c>
      <c r="AU2688">
        <v>-0.69</v>
      </c>
      <c r="AV2688">
        <v>0</v>
      </c>
      <c r="AW2688">
        <v>1.67</v>
      </c>
      <c r="AX2688">
        <v>12.33</v>
      </c>
      <c r="AY2688">
        <v>9.4</v>
      </c>
      <c r="AZ2688">
        <v>17.77</v>
      </c>
      <c r="BA2688">
        <v>0.02</v>
      </c>
      <c r="BB2688" t="s">
        <v>2725</v>
      </c>
      <c r="BF2688">
        <v>0.61</v>
      </c>
      <c r="BG2688">
        <v>-0.23</v>
      </c>
      <c r="BH2688">
        <v>-1.25</v>
      </c>
      <c r="BI2688">
        <v>0.12</v>
      </c>
      <c r="BJ2688">
        <v>20210830</v>
      </c>
      <c r="BK2688">
        <v>20010116</v>
      </c>
      <c r="BL2688">
        <v>50.38</v>
      </c>
      <c r="BM2688" t="s">
        <v>120</v>
      </c>
      <c r="BN2688">
        <v>12.22</v>
      </c>
      <c r="BO2688">
        <v>674.98</v>
      </c>
      <c r="BP2688">
        <v>8.68</v>
      </c>
      <c r="BQ2688">
        <v>294.93</v>
      </c>
      <c r="BR2688">
        <v>48.47</v>
      </c>
      <c r="BS2688">
        <v>49.12</v>
      </c>
      <c r="BT2688">
        <v>102.72</v>
      </c>
      <c r="BU2688">
        <v>25.77</v>
      </c>
      <c r="BV2688">
        <v>359.33</v>
      </c>
      <c r="BW2688">
        <v>156.46</v>
      </c>
      <c r="BX2688">
        <v>5.22</v>
      </c>
      <c r="BY2688">
        <v>42.25</v>
      </c>
      <c r="BZ2688">
        <v>2.94</v>
      </c>
      <c r="CA2688">
        <v>0.11</v>
      </c>
      <c r="CB2688">
        <v>105.03</v>
      </c>
      <c r="CC2688">
        <v>50.62</v>
      </c>
      <c r="CD2688">
        <v>22.2</v>
      </c>
      <c r="CE2688">
        <v>34.36</v>
      </c>
      <c r="CF2688">
        <v>7.12</v>
      </c>
      <c r="CG2688">
        <v>34.36</v>
      </c>
      <c r="CH2688">
        <v>27.01</v>
      </c>
      <c r="CI2688">
        <v>26.79</v>
      </c>
      <c r="CJ2688">
        <v>0</v>
      </c>
      <c r="CK2688">
        <v>23.9</v>
      </c>
      <c r="CL2688">
        <v>85.69</v>
      </c>
      <c r="CM2688">
        <v>26</v>
      </c>
      <c r="CN2688">
        <v>1.43</v>
      </c>
      <c r="CO2688">
        <v>27615</v>
      </c>
      <c r="CP2688">
        <v>17039</v>
      </c>
      <c r="CQ2688" t="s">
        <v>12129</v>
      </c>
      <c r="CR2688">
        <v>451.71</v>
      </c>
      <c r="CS2688">
        <v>89.7</v>
      </c>
      <c r="CT2688">
        <v>1.48</v>
      </c>
      <c r="CU2688">
        <v>16.84</v>
      </c>
      <c r="CV2688">
        <v>8.65</v>
      </c>
      <c r="CW2688">
        <v>5.29</v>
      </c>
      <c r="CX2688" t="s">
        <v>12130</v>
      </c>
      <c r="CY2688">
        <v>5.85</v>
      </c>
      <c r="CZ2688">
        <v>0</v>
      </c>
      <c r="DA2688">
        <v>2.08</v>
      </c>
      <c r="DB2688">
        <v>1.7</v>
      </c>
      <c r="DC2688">
        <v>0.52</v>
      </c>
      <c r="DD2688">
        <v>43.69</v>
      </c>
      <c r="DE2688" t="s">
        <v>12131</v>
      </c>
      <c r="DF2688">
        <v>56.14</v>
      </c>
      <c r="DG2688">
        <v>67.88</v>
      </c>
      <c r="DH2688">
        <v>52.93</v>
      </c>
      <c r="DI2688" t="s">
        <v>120</v>
      </c>
      <c r="DJ2688">
        <v>4779</v>
      </c>
      <c r="DK2688">
        <v>600377</v>
      </c>
      <c r="DL2688" t="s">
        <v>120</v>
      </c>
      <c r="DM2688" t="s">
        <v>120</v>
      </c>
      <c r="DN2688" t="s">
        <v>120</v>
      </c>
    </row>
    <row r="2689" spans="1:118">
      <c r="A2689" t="str">
        <f>"600378"</f>
        <v>600378</v>
      </c>
      <c r="B2689" t="s">
        <v>12132</v>
      </c>
      <c r="C2689">
        <v>-7.53</v>
      </c>
      <c r="D2689">
        <v>0.95</v>
      </c>
      <c r="E2689">
        <v>0.14000000000000001</v>
      </c>
      <c r="F2689">
        <v>833</v>
      </c>
      <c r="G2689" t="s">
        <v>6374</v>
      </c>
      <c r="H2689">
        <v>33037.279999999999</v>
      </c>
      <c r="I2689">
        <v>428.95</v>
      </c>
      <c r="J2689" t="s">
        <v>120</v>
      </c>
      <c r="K2689" t="s">
        <v>12133</v>
      </c>
      <c r="L2689">
        <v>2.64</v>
      </c>
      <c r="M2689">
        <v>34</v>
      </c>
      <c r="N2689">
        <v>1.37</v>
      </c>
      <c r="O2689">
        <v>0.27</v>
      </c>
      <c r="P2689">
        <v>36.869999999999997</v>
      </c>
      <c r="Q2689">
        <v>-8.68</v>
      </c>
      <c r="R2689">
        <v>33.58</v>
      </c>
      <c r="S2689">
        <v>36.82</v>
      </c>
      <c r="T2689">
        <v>94047</v>
      </c>
      <c r="U2689">
        <v>34</v>
      </c>
      <c r="V2689">
        <v>36.770000000000003</v>
      </c>
      <c r="W2689">
        <v>38.03</v>
      </c>
      <c r="X2689" t="s">
        <v>868</v>
      </c>
      <c r="Y2689" t="s">
        <v>578</v>
      </c>
      <c r="Z2689">
        <v>8.9499999999999993</v>
      </c>
      <c r="AA2689">
        <v>35.130000000000003</v>
      </c>
      <c r="AB2689">
        <v>63854</v>
      </c>
      <c r="AC2689">
        <v>30193</v>
      </c>
      <c r="AD2689">
        <v>2.11</v>
      </c>
      <c r="AE2689">
        <v>1</v>
      </c>
      <c r="AF2689">
        <v>762</v>
      </c>
      <c r="AG2689" t="s">
        <v>120</v>
      </c>
      <c r="AH2689">
        <v>0.06</v>
      </c>
      <c r="AI2689" t="s">
        <v>120</v>
      </c>
      <c r="AJ2689">
        <v>3.57</v>
      </c>
      <c r="AK2689" t="s">
        <v>12134</v>
      </c>
      <c r="AL2689">
        <v>-6.19</v>
      </c>
      <c r="AM2689">
        <v>3645</v>
      </c>
      <c r="AN2689">
        <v>26</v>
      </c>
      <c r="AO2689">
        <v>6.9999999999999999E-4</v>
      </c>
      <c r="AP2689">
        <v>-1</v>
      </c>
      <c r="AQ2689">
        <v>8.66</v>
      </c>
      <c r="AR2689">
        <v>-0.41</v>
      </c>
      <c r="AS2689">
        <v>0.74</v>
      </c>
      <c r="AT2689">
        <v>54.69</v>
      </c>
      <c r="AU2689">
        <v>63.75</v>
      </c>
      <c r="AV2689">
        <v>2</v>
      </c>
      <c r="AW2689">
        <v>4.96</v>
      </c>
      <c r="AX2689">
        <v>20.64</v>
      </c>
      <c r="AY2689">
        <v>45.53</v>
      </c>
      <c r="AZ2689">
        <v>52.17</v>
      </c>
      <c r="BA2689">
        <v>0.79</v>
      </c>
      <c r="BB2689" t="s">
        <v>143</v>
      </c>
      <c r="BF2689">
        <v>-4.46</v>
      </c>
      <c r="BG2689">
        <v>-7.66</v>
      </c>
      <c r="BH2689">
        <v>-7.78</v>
      </c>
      <c r="BI2689">
        <v>1.25</v>
      </c>
      <c r="BJ2689">
        <v>20210830</v>
      </c>
      <c r="BK2689">
        <v>20010111</v>
      </c>
      <c r="BL2689">
        <v>9.19</v>
      </c>
      <c r="BM2689" t="s">
        <v>120</v>
      </c>
      <c r="BN2689" t="s">
        <v>120</v>
      </c>
      <c r="BO2689">
        <v>108.13</v>
      </c>
      <c r="BP2689">
        <v>33.97</v>
      </c>
      <c r="BQ2689">
        <v>66.569999999999993</v>
      </c>
      <c r="BR2689">
        <v>1.01</v>
      </c>
      <c r="BS2689">
        <v>37.5</v>
      </c>
      <c r="BT2689">
        <v>59.09</v>
      </c>
      <c r="BU2689">
        <v>27.51</v>
      </c>
      <c r="BV2689">
        <v>8.42</v>
      </c>
      <c r="BW2689">
        <v>26.23</v>
      </c>
      <c r="BX2689">
        <v>17.5</v>
      </c>
      <c r="BY2689">
        <v>9.26</v>
      </c>
      <c r="BZ2689">
        <v>16.25</v>
      </c>
      <c r="CA2689">
        <v>0.04</v>
      </c>
      <c r="CB2689">
        <v>25.76</v>
      </c>
      <c r="CC2689">
        <v>32.49</v>
      </c>
      <c r="CD2689">
        <v>22.91</v>
      </c>
      <c r="CE2689">
        <v>4.2300000000000004</v>
      </c>
      <c r="CF2689">
        <v>0.02</v>
      </c>
      <c r="CG2689">
        <v>4.62</v>
      </c>
      <c r="CH2689">
        <v>4.1500000000000004</v>
      </c>
      <c r="CI2689">
        <v>4.1100000000000003</v>
      </c>
      <c r="CJ2689">
        <v>-2.77</v>
      </c>
      <c r="CK2689">
        <v>4.03</v>
      </c>
      <c r="CL2689">
        <v>31.32</v>
      </c>
      <c r="CM2689">
        <v>1.72</v>
      </c>
      <c r="CN2689">
        <v>-3.29</v>
      </c>
      <c r="CO2689">
        <v>17832</v>
      </c>
      <c r="CP2689">
        <v>10638</v>
      </c>
      <c r="CQ2689" t="s">
        <v>12135</v>
      </c>
      <c r="CR2689">
        <v>29.9</v>
      </c>
      <c r="CS2689">
        <v>32.04</v>
      </c>
      <c r="CT2689">
        <v>4.6900000000000004</v>
      </c>
      <c r="CU2689">
        <v>181.6</v>
      </c>
      <c r="CV2689">
        <v>9.6199999999999992</v>
      </c>
      <c r="CW2689">
        <v>0.67</v>
      </c>
      <c r="CX2689" t="s">
        <v>1520</v>
      </c>
      <c r="CY2689">
        <v>7.24</v>
      </c>
      <c r="CZ2689">
        <v>0</v>
      </c>
      <c r="DA2689">
        <v>2.8</v>
      </c>
      <c r="DB2689">
        <v>3.41</v>
      </c>
      <c r="DC2689">
        <v>0.19</v>
      </c>
      <c r="DD2689">
        <v>61.57</v>
      </c>
      <c r="DE2689" t="s">
        <v>8718</v>
      </c>
      <c r="DF2689">
        <v>29.51</v>
      </c>
      <c r="DG2689">
        <v>13.02</v>
      </c>
      <c r="DH2689">
        <v>12.65</v>
      </c>
      <c r="DI2689">
        <v>2.33</v>
      </c>
      <c r="DJ2689">
        <v>6878</v>
      </c>
      <c r="DK2689">
        <v>600378</v>
      </c>
      <c r="DL2689">
        <v>20210825</v>
      </c>
      <c r="DM2689">
        <v>38.21</v>
      </c>
      <c r="DN2689">
        <v>-11.02</v>
      </c>
    </row>
    <row r="2690" spans="1:118">
      <c r="A2690" t="str">
        <f>"600379"</f>
        <v>600379</v>
      </c>
      <c r="B2690" t="s">
        <v>12136</v>
      </c>
      <c r="C2690">
        <v>-4.43</v>
      </c>
      <c r="D2690">
        <v>-0.35</v>
      </c>
      <c r="E2690">
        <v>0</v>
      </c>
      <c r="F2690">
        <v>2178</v>
      </c>
      <c r="G2690" t="s">
        <v>12137</v>
      </c>
      <c r="H2690">
        <v>42845.77</v>
      </c>
      <c r="I2690">
        <v>769.32</v>
      </c>
      <c r="J2690" t="s">
        <v>120</v>
      </c>
      <c r="K2690" t="s">
        <v>2790</v>
      </c>
      <c r="L2690">
        <v>9.09</v>
      </c>
      <c r="M2690">
        <v>13.81</v>
      </c>
      <c r="N2690">
        <v>1.35</v>
      </c>
      <c r="O2690">
        <v>2.77</v>
      </c>
      <c r="P2690">
        <v>14.85</v>
      </c>
      <c r="Q2690">
        <v>-4.71</v>
      </c>
      <c r="R2690">
        <v>13.77</v>
      </c>
      <c r="S2690">
        <v>14.45</v>
      </c>
      <c r="T2690">
        <v>300234</v>
      </c>
      <c r="U2690">
        <v>13.81</v>
      </c>
      <c r="V2690">
        <v>14.45</v>
      </c>
      <c r="W2690">
        <v>105.82</v>
      </c>
      <c r="X2690" t="s">
        <v>394</v>
      </c>
      <c r="Y2690" t="s">
        <v>890</v>
      </c>
      <c r="Z2690">
        <v>7.47</v>
      </c>
      <c r="AA2690">
        <v>14.27</v>
      </c>
      <c r="AB2690">
        <v>164038</v>
      </c>
      <c r="AC2690">
        <v>136196</v>
      </c>
      <c r="AD2690">
        <v>1.2</v>
      </c>
      <c r="AE2690">
        <v>233</v>
      </c>
      <c r="AF2690">
        <v>129</v>
      </c>
      <c r="AG2690" t="s">
        <v>120</v>
      </c>
      <c r="AH2690">
        <v>0.3</v>
      </c>
      <c r="AI2690" t="s">
        <v>120</v>
      </c>
      <c r="AJ2690">
        <v>3.3</v>
      </c>
      <c r="AK2690" t="s">
        <v>2790</v>
      </c>
      <c r="AL2690">
        <v>-3.09</v>
      </c>
      <c r="AM2690">
        <v>4240</v>
      </c>
      <c r="AN2690">
        <v>71</v>
      </c>
      <c r="AO2690">
        <v>2.0999999999999999E-3</v>
      </c>
      <c r="AP2690">
        <v>-1</v>
      </c>
      <c r="AQ2690">
        <v>9.9700000000000006</v>
      </c>
      <c r="AR2690">
        <v>1.4</v>
      </c>
      <c r="AS2690">
        <v>22.43</v>
      </c>
      <c r="AT2690">
        <v>60.58</v>
      </c>
      <c r="AU2690">
        <v>127.21</v>
      </c>
      <c r="AV2690">
        <v>17</v>
      </c>
      <c r="AW2690">
        <v>17.02</v>
      </c>
      <c r="AX2690">
        <v>53.42</v>
      </c>
      <c r="AY2690">
        <v>90.7</v>
      </c>
      <c r="AZ2690">
        <v>103.35</v>
      </c>
      <c r="BA2690">
        <v>1.35</v>
      </c>
      <c r="BB2690" t="s">
        <v>143</v>
      </c>
      <c r="BF2690">
        <v>-1.24</v>
      </c>
      <c r="BG2690">
        <v>-4.43</v>
      </c>
      <c r="BH2690">
        <v>-7</v>
      </c>
      <c r="BI2690">
        <v>0.28999999999999998</v>
      </c>
      <c r="BJ2690">
        <v>20210817</v>
      </c>
      <c r="BK2690">
        <v>20020116</v>
      </c>
      <c r="BL2690">
        <v>3.3</v>
      </c>
      <c r="BM2690" t="s">
        <v>120</v>
      </c>
      <c r="BN2690" t="s">
        <v>120</v>
      </c>
      <c r="BO2690">
        <v>10.37</v>
      </c>
      <c r="BP2690">
        <v>13.8</v>
      </c>
      <c r="BQ2690">
        <v>5.77</v>
      </c>
      <c r="BR2690">
        <v>0.03</v>
      </c>
      <c r="BS2690">
        <v>44.09</v>
      </c>
      <c r="BT2690">
        <v>8.08</v>
      </c>
      <c r="BU2690">
        <v>1.69</v>
      </c>
      <c r="BV2690">
        <v>0.03</v>
      </c>
      <c r="BW2690">
        <v>4.0199999999999996</v>
      </c>
      <c r="BX2690">
        <v>2.39</v>
      </c>
      <c r="BY2690">
        <v>1.26</v>
      </c>
      <c r="BZ2690">
        <v>2.64</v>
      </c>
      <c r="CA2690" t="s">
        <v>120</v>
      </c>
      <c r="CB2690">
        <v>0.08</v>
      </c>
      <c r="CC2690">
        <v>5.13</v>
      </c>
      <c r="CD2690">
        <v>4.32</v>
      </c>
      <c r="CE2690">
        <v>0.23</v>
      </c>
      <c r="CF2690">
        <v>0</v>
      </c>
      <c r="CG2690">
        <v>0.23</v>
      </c>
      <c r="CH2690">
        <v>0.21</v>
      </c>
      <c r="CI2690">
        <v>0.22</v>
      </c>
      <c r="CJ2690">
        <v>-0.64</v>
      </c>
      <c r="CK2690">
        <v>0.2</v>
      </c>
      <c r="CL2690">
        <v>1.93</v>
      </c>
      <c r="CM2690">
        <v>1.1299999999999999</v>
      </c>
      <c r="CN2690">
        <v>0.76</v>
      </c>
      <c r="CO2690">
        <v>24765</v>
      </c>
      <c r="CP2690">
        <v>7123</v>
      </c>
      <c r="CQ2690" t="s">
        <v>12138</v>
      </c>
      <c r="CR2690">
        <v>42.6</v>
      </c>
      <c r="CS2690">
        <v>29.43</v>
      </c>
      <c r="CT2690">
        <v>7.9</v>
      </c>
      <c r="CU2690">
        <v>40.44</v>
      </c>
      <c r="CV2690">
        <v>8.89</v>
      </c>
      <c r="CW2690">
        <v>0.28999999999999998</v>
      </c>
      <c r="CX2690" t="s">
        <v>1867</v>
      </c>
      <c r="CY2690">
        <v>1.75</v>
      </c>
      <c r="CZ2690">
        <v>0</v>
      </c>
      <c r="DA2690">
        <v>0.02</v>
      </c>
      <c r="DB2690">
        <v>0.59</v>
      </c>
      <c r="DC2690">
        <v>0.34</v>
      </c>
      <c r="DD2690">
        <v>55.66</v>
      </c>
      <c r="DE2690" t="s">
        <v>4130</v>
      </c>
      <c r="DF2690">
        <v>15.84</v>
      </c>
      <c r="DG2690">
        <v>4.41</v>
      </c>
      <c r="DH2690">
        <v>4.2</v>
      </c>
      <c r="DI2690">
        <v>0.16</v>
      </c>
      <c r="DJ2690">
        <v>1113</v>
      </c>
      <c r="DK2690">
        <v>600379</v>
      </c>
      <c r="DL2690" t="s">
        <v>120</v>
      </c>
      <c r="DM2690" t="s">
        <v>120</v>
      </c>
      <c r="DN2690" t="s">
        <v>120</v>
      </c>
    </row>
    <row r="2691" spans="1:118">
      <c r="A2691" t="str">
        <f>"600380"</f>
        <v>600380</v>
      </c>
      <c r="B2691" t="s">
        <v>12139</v>
      </c>
      <c r="C2691">
        <v>2.5299999999999998</v>
      </c>
      <c r="D2691">
        <v>0</v>
      </c>
      <c r="E2691">
        <v>0.84</v>
      </c>
      <c r="F2691">
        <v>1977</v>
      </c>
      <c r="G2691" t="s">
        <v>12140</v>
      </c>
      <c r="H2691">
        <v>35637.120000000003</v>
      </c>
      <c r="I2691">
        <v>58.44</v>
      </c>
      <c r="J2691" t="s">
        <v>120</v>
      </c>
      <c r="K2691" t="s">
        <v>12141</v>
      </c>
      <c r="L2691">
        <v>1.47</v>
      </c>
      <c r="M2691">
        <v>12.15</v>
      </c>
      <c r="N2691">
        <v>2.4900000000000002</v>
      </c>
      <c r="O2691">
        <v>7.59</v>
      </c>
      <c r="P2691">
        <v>12.75</v>
      </c>
      <c r="Q2691">
        <v>0.42</v>
      </c>
      <c r="R2691">
        <v>11.9</v>
      </c>
      <c r="S2691">
        <v>11.95</v>
      </c>
      <c r="T2691">
        <v>287693</v>
      </c>
      <c r="U2691">
        <v>12.15</v>
      </c>
      <c r="V2691">
        <v>11.85</v>
      </c>
      <c r="W2691">
        <v>17.32</v>
      </c>
      <c r="X2691" t="s">
        <v>569</v>
      </c>
      <c r="Y2691" t="s">
        <v>123</v>
      </c>
      <c r="Z2691">
        <v>7.17</v>
      </c>
      <c r="AA2691">
        <v>12.39</v>
      </c>
      <c r="AB2691">
        <v>139273</v>
      </c>
      <c r="AC2691">
        <v>148420</v>
      </c>
      <c r="AD2691">
        <v>0.94</v>
      </c>
      <c r="AE2691">
        <v>158</v>
      </c>
      <c r="AF2691">
        <v>140</v>
      </c>
      <c r="AG2691" t="s">
        <v>120</v>
      </c>
      <c r="AH2691">
        <v>0</v>
      </c>
      <c r="AI2691" t="s">
        <v>120</v>
      </c>
      <c r="AJ2691">
        <v>19.600000000000001</v>
      </c>
      <c r="AK2691" t="s">
        <v>12141</v>
      </c>
      <c r="AL2691">
        <v>3.88</v>
      </c>
      <c r="AM2691">
        <v>3736</v>
      </c>
      <c r="AN2691">
        <v>77</v>
      </c>
      <c r="AO2691">
        <v>4.0000000000000002E-4</v>
      </c>
      <c r="AP2691">
        <v>1</v>
      </c>
      <c r="AQ2691">
        <v>-1</v>
      </c>
      <c r="AR2691">
        <v>0.42</v>
      </c>
      <c r="AS2691">
        <v>1.67</v>
      </c>
      <c r="AT2691">
        <v>-14.02</v>
      </c>
      <c r="AU2691">
        <v>-11.7</v>
      </c>
      <c r="AV2691">
        <v>0</v>
      </c>
      <c r="AW2691">
        <v>2.7</v>
      </c>
      <c r="AX2691">
        <v>54.3</v>
      </c>
      <c r="AY2691">
        <v>20.52</v>
      </c>
      <c r="AZ2691">
        <v>20.73</v>
      </c>
      <c r="BA2691">
        <v>0.68</v>
      </c>
      <c r="BB2691" t="s">
        <v>125</v>
      </c>
      <c r="BF2691">
        <v>4.53</v>
      </c>
      <c r="BG2691">
        <v>1.67</v>
      </c>
      <c r="BH2691">
        <v>-4.71</v>
      </c>
      <c r="BI2691">
        <v>2.1</v>
      </c>
      <c r="BJ2691">
        <v>20210903</v>
      </c>
      <c r="BK2691">
        <v>20010608</v>
      </c>
      <c r="BL2691">
        <v>19.600000000000001</v>
      </c>
      <c r="BM2691" t="s">
        <v>120</v>
      </c>
      <c r="BN2691" t="s">
        <v>120</v>
      </c>
      <c r="BO2691">
        <v>285.89</v>
      </c>
      <c r="BP2691">
        <v>12.14</v>
      </c>
      <c r="BQ2691">
        <v>113.59</v>
      </c>
      <c r="BR2691">
        <v>80.260000000000005</v>
      </c>
      <c r="BS2691">
        <v>32.19</v>
      </c>
      <c r="BT2691">
        <v>178.91</v>
      </c>
      <c r="BU2691">
        <v>45.57</v>
      </c>
      <c r="BV2691">
        <v>4.88</v>
      </c>
      <c r="BW2691">
        <v>78.34</v>
      </c>
      <c r="BX2691">
        <v>103.56</v>
      </c>
      <c r="BY2691">
        <v>18.760000000000002</v>
      </c>
      <c r="BZ2691">
        <v>28.76</v>
      </c>
      <c r="CA2691" t="s">
        <v>120</v>
      </c>
      <c r="CB2691">
        <v>26.24</v>
      </c>
      <c r="CC2691">
        <v>78.349999999999994</v>
      </c>
      <c r="CD2691">
        <v>27.43</v>
      </c>
      <c r="CE2691">
        <v>17.14</v>
      </c>
      <c r="CF2691">
        <v>0.47</v>
      </c>
      <c r="CG2691">
        <v>17.13</v>
      </c>
      <c r="CH2691">
        <v>14.68</v>
      </c>
      <c r="CI2691">
        <v>6.87</v>
      </c>
      <c r="CJ2691">
        <v>0.3</v>
      </c>
      <c r="CK2691">
        <v>5.98</v>
      </c>
      <c r="CL2691">
        <v>67.069999999999993</v>
      </c>
      <c r="CM2691">
        <v>7.46</v>
      </c>
      <c r="CN2691">
        <v>-19.03</v>
      </c>
      <c r="CO2691">
        <v>118483</v>
      </c>
      <c r="CP2691">
        <v>8981</v>
      </c>
      <c r="CQ2691" t="s">
        <v>10790</v>
      </c>
      <c r="CR2691">
        <v>1.64</v>
      </c>
      <c r="CS2691">
        <v>21</v>
      </c>
      <c r="CT2691">
        <v>2.1</v>
      </c>
      <c r="CU2691">
        <v>31.93</v>
      </c>
      <c r="CV2691">
        <v>3.04</v>
      </c>
      <c r="CW2691">
        <v>1.24</v>
      </c>
      <c r="CX2691" t="s">
        <v>269</v>
      </c>
      <c r="CY2691">
        <v>5.8</v>
      </c>
      <c r="CZ2691">
        <v>5.8</v>
      </c>
      <c r="DA2691">
        <v>1.34</v>
      </c>
      <c r="DB2691">
        <v>3.42</v>
      </c>
      <c r="DC2691">
        <v>0.38</v>
      </c>
      <c r="DD2691">
        <v>39.729999999999997</v>
      </c>
      <c r="DE2691" t="s">
        <v>5611</v>
      </c>
      <c r="DF2691">
        <v>64.989999999999995</v>
      </c>
      <c r="DG2691">
        <v>21.88</v>
      </c>
      <c r="DH2691">
        <v>8.77</v>
      </c>
      <c r="DI2691">
        <v>6.23</v>
      </c>
      <c r="DJ2691">
        <v>12466</v>
      </c>
      <c r="DK2691">
        <v>600380</v>
      </c>
      <c r="DL2691" t="s">
        <v>120</v>
      </c>
      <c r="DM2691" t="s">
        <v>120</v>
      </c>
      <c r="DN2691" t="s">
        <v>120</v>
      </c>
    </row>
    <row r="2692" spans="1:118">
      <c r="A2692" t="str">
        <f>"600381"</f>
        <v>600381</v>
      </c>
      <c r="B2692" t="s">
        <v>12142</v>
      </c>
      <c r="C2692">
        <v>-0.51</v>
      </c>
      <c r="D2692">
        <v>0</v>
      </c>
      <c r="E2692">
        <v>-0.51</v>
      </c>
      <c r="F2692">
        <v>1276</v>
      </c>
      <c r="G2692" t="s">
        <v>9526</v>
      </c>
      <c r="H2692">
        <v>8836.48</v>
      </c>
      <c r="I2692">
        <v>24.68</v>
      </c>
      <c r="J2692" t="s">
        <v>120</v>
      </c>
      <c r="K2692" t="s">
        <v>12143</v>
      </c>
      <c r="L2692">
        <v>1.92</v>
      </c>
      <c r="M2692">
        <v>7.76</v>
      </c>
      <c r="N2692">
        <v>0.83</v>
      </c>
      <c r="O2692">
        <v>1.79</v>
      </c>
      <c r="P2692">
        <v>7.94</v>
      </c>
      <c r="Q2692">
        <v>-1.03</v>
      </c>
      <c r="R2692">
        <v>7.72</v>
      </c>
      <c r="S2692">
        <v>7.76</v>
      </c>
      <c r="T2692">
        <v>112995</v>
      </c>
      <c r="U2692">
        <v>7.76</v>
      </c>
      <c r="V2692">
        <v>7.8</v>
      </c>
      <c r="W2692" t="s">
        <v>120</v>
      </c>
      <c r="X2692" t="s">
        <v>555</v>
      </c>
      <c r="Y2692" t="s">
        <v>691</v>
      </c>
      <c r="Z2692">
        <v>2.82</v>
      </c>
      <c r="AA2692">
        <v>7.82</v>
      </c>
      <c r="AB2692">
        <v>58178</v>
      </c>
      <c r="AC2692">
        <v>54817</v>
      </c>
      <c r="AD2692">
        <v>1.06</v>
      </c>
      <c r="AE2692">
        <v>424</v>
      </c>
      <c r="AF2692">
        <v>383</v>
      </c>
      <c r="AG2692" t="s">
        <v>120</v>
      </c>
      <c r="AH2692">
        <v>0.01</v>
      </c>
      <c r="AI2692" t="s">
        <v>120</v>
      </c>
      <c r="AJ2692">
        <v>5.87</v>
      </c>
      <c r="AK2692" t="s">
        <v>12143</v>
      </c>
      <c r="AL2692">
        <v>0.83</v>
      </c>
      <c r="AM2692">
        <v>2661</v>
      </c>
      <c r="AN2692">
        <v>42</v>
      </c>
      <c r="AO2692">
        <v>6.9999999999999999E-4</v>
      </c>
      <c r="AP2692">
        <v>-2</v>
      </c>
      <c r="AQ2692">
        <v>-3.58</v>
      </c>
      <c r="AR2692">
        <v>-1.26</v>
      </c>
      <c r="AS2692">
        <v>-5.71</v>
      </c>
      <c r="AT2692">
        <v>3.33</v>
      </c>
      <c r="AU2692">
        <v>-9.8699999999999992</v>
      </c>
      <c r="AV2692">
        <v>18</v>
      </c>
      <c r="AW2692">
        <v>4.2699999999999996</v>
      </c>
      <c r="AX2692">
        <v>45.11</v>
      </c>
      <c r="AY2692" t="s">
        <v>120</v>
      </c>
      <c r="AZ2692" t="s">
        <v>120</v>
      </c>
      <c r="BA2692">
        <v>1.55</v>
      </c>
      <c r="BB2692" t="s">
        <v>125</v>
      </c>
      <c r="BF2692">
        <v>0.26</v>
      </c>
      <c r="BG2692">
        <v>0</v>
      </c>
      <c r="BH2692">
        <v>-2.27</v>
      </c>
      <c r="BI2692">
        <v>0.52</v>
      </c>
      <c r="BJ2692">
        <v>20210819</v>
      </c>
      <c r="BK2692">
        <v>20010508</v>
      </c>
      <c r="BL2692">
        <v>5.87</v>
      </c>
      <c r="BM2692" t="s">
        <v>120</v>
      </c>
      <c r="BN2692" t="s">
        <v>120</v>
      </c>
      <c r="BO2692">
        <v>20.36</v>
      </c>
      <c r="BP2692">
        <v>7.75</v>
      </c>
      <c r="BQ2692">
        <v>20.190000000000001</v>
      </c>
      <c r="BR2692" t="s">
        <v>120</v>
      </c>
      <c r="BS2692">
        <v>0.82</v>
      </c>
      <c r="BT2692">
        <v>11.09</v>
      </c>
      <c r="BU2692">
        <v>2.96</v>
      </c>
      <c r="BV2692">
        <v>1.56</v>
      </c>
      <c r="BW2692">
        <v>0.14000000000000001</v>
      </c>
      <c r="BX2692">
        <v>1.88</v>
      </c>
      <c r="BY2692">
        <v>4.5999999999999996</v>
      </c>
      <c r="BZ2692">
        <v>1.54</v>
      </c>
      <c r="CA2692">
        <v>0</v>
      </c>
      <c r="CB2692">
        <v>2.37</v>
      </c>
      <c r="CC2692">
        <v>0.47</v>
      </c>
      <c r="CD2692">
        <v>0.26</v>
      </c>
      <c r="CE2692">
        <v>-0.5</v>
      </c>
      <c r="CF2692">
        <v>-0.1</v>
      </c>
      <c r="CG2692">
        <v>-0.5</v>
      </c>
      <c r="CH2692">
        <v>-0.5</v>
      </c>
      <c r="CI2692">
        <v>-0.5</v>
      </c>
      <c r="CJ2692">
        <v>-0.04</v>
      </c>
      <c r="CK2692">
        <v>-0.52</v>
      </c>
      <c r="CL2692">
        <v>10.88</v>
      </c>
      <c r="CM2692">
        <v>-0.61</v>
      </c>
      <c r="CN2692">
        <v>7.0000000000000007E-2</v>
      </c>
      <c r="CO2692">
        <v>54030</v>
      </c>
      <c r="CP2692">
        <v>4902</v>
      </c>
      <c r="CQ2692" t="s">
        <v>1349</v>
      </c>
      <c r="CR2692">
        <v>22.87</v>
      </c>
      <c r="CS2692">
        <v>39.81</v>
      </c>
      <c r="CT2692">
        <v>2.2599999999999998</v>
      </c>
      <c r="CU2692">
        <v>-74.12</v>
      </c>
      <c r="CV2692">
        <v>96.83</v>
      </c>
      <c r="CW2692">
        <v>0</v>
      </c>
      <c r="CX2692" t="s">
        <v>2242</v>
      </c>
      <c r="CY2692">
        <v>3.44</v>
      </c>
      <c r="CZ2692">
        <v>0</v>
      </c>
      <c r="DA2692">
        <v>0.4</v>
      </c>
      <c r="DB2692">
        <v>1.85</v>
      </c>
      <c r="DC2692">
        <v>-0.1</v>
      </c>
      <c r="DD2692">
        <v>99.18</v>
      </c>
      <c r="DE2692" t="s">
        <v>201</v>
      </c>
      <c r="DF2692">
        <v>44.67</v>
      </c>
      <c r="DG2692">
        <v>-106.16</v>
      </c>
      <c r="DH2692">
        <v>-105.67</v>
      </c>
      <c r="DI2692">
        <v>0.04</v>
      </c>
      <c r="DJ2692">
        <v>173</v>
      </c>
      <c r="DK2692">
        <v>600381</v>
      </c>
      <c r="DL2692" t="s">
        <v>120</v>
      </c>
      <c r="DM2692" t="s">
        <v>120</v>
      </c>
      <c r="DN2692" t="s">
        <v>120</v>
      </c>
    </row>
    <row r="2693" spans="1:118">
      <c r="A2693" t="str">
        <f>"600383"</f>
        <v>600383</v>
      </c>
      <c r="B2693" t="s">
        <v>12144</v>
      </c>
      <c r="C2693">
        <v>-7.9</v>
      </c>
      <c r="D2693">
        <v>-0.09</v>
      </c>
      <c r="E2693">
        <v>-2.2000000000000002</v>
      </c>
      <c r="F2693">
        <v>15623</v>
      </c>
      <c r="G2693" t="s">
        <v>12145</v>
      </c>
      <c r="H2693">
        <v>119530.02</v>
      </c>
      <c r="I2693">
        <v>1091.0899999999999</v>
      </c>
      <c r="J2693" t="s">
        <v>120</v>
      </c>
      <c r="K2693" t="s">
        <v>12146</v>
      </c>
      <c r="L2693">
        <v>2.58</v>
      </c>
      <c r="M2693">
        <v>10.029999999999999</v>
      </c>
      <c r="N2693">
        <v>1.94</v>
      </c>
      <c r="O2693">
        <v>0.37</v>
      </c>
      <c r="P2693">
        <v>10.93</v>
      </c>
      <c r="Q2693">
        <v>-8.91</v>
      </c>
      <c r="R2693">
        <v>9.92</v>
      </c>
      <c r="S2693">
        <v>10.65</v>
      </c>
      <c r="T2693">
        <v>1165809</v>
      </c>
      <c r="U2693">
        <v>10.039999999999999</v>
      </c>
      <c r="V2693">
        <v>10.89</v>
      </c>
      <c r="W2693">
        <v>12.4</v>
      </c>
      <c r="X2693" t="s">
        <v>132</v>
      </c>
      <c r="Y2693" t="s">
        <v>123</v>
      </c>
      <c r="Z2693">
        <v>9.27</v>
      </c>
      <c r="AA2693">
        <v>10.25</v>
      </c>
      <c r="AB2693">
        <v>688945</v>
      </c>
      <c r="AC2693">
        <v>476864</v>
      </c>
      <c r="AD2693">
        <v>1.44</v>
      </c>
      <c r="AE2693">
        <v>1057</v>
      </c>
      <c r="AF2693">
        <v>7</v>
      </c>
      <c r="AG2693" t="s">
        <v>120</v>
      </c>
      <c r="AH2693">
        <v>0.05</v>
      </c>
      <c r="AI2693" t="s">
        <v>120</v>
      </c>
      <c r="AJ2693">
        <v>45.15</v>
      </c>
      <c r="AK2693" t="s">
        <v>12146</v>
      </c>
      <c r="AL2693">
        <v>-6.55</v>
      </c>
      <c r="AM2693">
        <v>4641</v>
      </c>
      <c r="AN2693">
        <v>251</v>
      </c>
      <c r="AO2693">
        <v>5.9999999999999995E-4</v>
      </c>
      <c r="AP2693">
        <v>-3</v>
      </c>
      <c r="AQ2693">
        <v>-9.02</v>
      </c>
      <c r="AR2693">
        <v>-19.11</v>
      </c>
      <c r="AS2693">
        <v>-8.82</v>
      </c>
      <c r="AT2693">
        <v>3.4</v>
      </c>
      <c r="AU2693">
        <v>-21.64</v>
      </c>
      <c r="AV2693">
        <v>1</v>
      </c>
      <c r="AW2693">
        <v>6.16</v>
      </c>
      <c r="AX2693">
        <v>41.94</v>
      </c>
      <c r="AY2693">
        <v>5.32</v>
      </c>
      <c r="AZ2693">
        <v>4.7300000000000004</v>
      </c>
      <c r="BA2693">
        <v>0.93</v>
      </c>
      <c r="BB2693" t="s">
        <v>240</v>
      </c>
      <c r="BF2693">
        <v>-5.85</v>
      </c>
      <c r="BG2693">
        <v>-5.82</v>
      </c>
      <c r="BH2693">
        <v>-8.23</v>
      </c>
      <c r="BI2693">
        <v>1.1100000000000001</v>
      </c>
      <c r="BJ2693">
        <v>20210910</v>
      </c>
      <c r="BK2693">
        <v>20010412</v>
      </c>
      <c r="BL2693">
        <v>45.15</v>
      </c>
      <c r="BM2693" t="s">
        <v>120</v>
      </c>
      <c r="BN2693" t="s">
        <v>120</v>
      </c>
      <c r="BO2693">
        <v>4421.59</v>
      </c>
      <c r="BP2693">
        <v>10.029999999999999</v>
      </c>
      <c r="BQ2693">
        <v>558.47</v>
      </c>
      <c r="BR2693" t="s">
        <v>120</v>
      </c>
      <c r="BS2693">
        <v>87.37</v>
      </c>
      <c r="BT2693">
        <v>3573.42</v>
      </c>
      <c r="BU2693">
        <v>16.899999999999999</v>
      </c>
      <c r="BV2693">
        <v>0.19</v>
      </c>
      <c r="BW2693">
        <v>2508.0500000000002</v>
      </c>
      <c r="BX2693">
        <v>597.91999999999996</v>
      </c>
      <c r="BY2693">
        <v>2010.17</v>
      </c>
      <c r="BZ2693">
        <v>5.75</v>
      </c>
      <c r="CA2693">
        <v>2.09</v>
      </c>
      <c r="CB2693">
        <v>24.53</v>
      </c>
      <c r="CC2693">
        <v>341.15</v>
      </c>
      <c r="CD2693">
        <v>281.94</v>
      </c>
      <c r="CE2693">
        <v>34.5</v>
      </c>
      <c r="CF2693">
        <v>20.56</v>
      </c>
      <c r="CG2693">
        <v>34.08</v>
      </c>
      <c r="CH2693">
        <v>29</v>
      </c>
      <c r="CI2693">
        <v>18.25</v>
      </c>
      <c r="CJ2693">
        <v>-0.86</v>
      </c>
      <c r="CK2693">
        <v>18.11</v>
      </c>
      <c r="CL2693">
        <v>461.57</v>
      </c>
      <c r="CM2693">
        <v>-100.26</v>
      </c>
      <c r="CN2693">
        <v>-13.09</v>
      </c>
      <c r="CO2693">
        <v>72307</v>
      </c>
      <c r="CP2693">
        <v>26187</v>
      </c>
      <c r="CQ2693" t="s">
        <v>12147</v>
      </c>
      <c r="CR2693">
        <v>-38.79</v>
      </c>
      <c r="CS2693">
        <v>72.930000000000007</v>
      </c>
      <c r="CT2693">
        <v>0.81</v>
      </c>
      <c r="CU2693">
        <v>-4.5199999999999996</v>
      </c>
      <c r="CV2693">
        <v>1.33</v>
      </c>
      <c r="CW2693">
        <v>6.43</v>
      </c>
      <c r="CX2693" t="s">
        <v>3527</v>
      </c>
      <c r="CY2693">
        <v>12.36</v>
      </c>
      <c r="CZ2693">
        <v>12.36</v>
      </c>
      <c r="DA2693">
        <v>0.54</v>
      </c>
      <c r="DB2693">
        <v>10.220000000000001</v>
      </c>
      <c r="DC2693">
        <v>-2.2200000000000002</v>
      </c>
      <c r="DD2693">
        <v>12.63</v>
      </c>
      <c r="DE2693" t="s">
        <v>10878</v>
      </c>
      <c r="DF2693">
        <v>17.36</v>
      </c>
      <c r="DG2693">
        <v>10.11</v>
      </c>
      <c r="DH2693">
        <v>5.35</v>
      </c>
      <c r="DI2693">
        <v>0.31</v>
      </c>
      <c r="DJ2693">
        <v>11763</v>
      </c>
      <c r="DK2693">
        <v>600383</v>
      </c>
      <c r="DL2693" t="s">
        <v>120</v>
      </c>
      <c r="DM2693" t="s">
        <v>120</v>
      </c>
      <c r="DN2693" t="s">
        <v>120</v>
      </c>
    </row>
    <row r="2694" spans="1:118">
      <c r="A2694" t="str">
        <f>"600386"</f>
        <v>600386</v>
      </c>
      <c r="B2694" t="s">
        <v>12148</v>
      </c>
      <c r="C2694">
        <v>-0.53</v>
      </c>
      <c r="D2694">
        <v>-0.25</v>
      </c>
      <c r="E2694">
        <v>-0.53</v>
      </c>
      <c r="F2694">
        <v>299</v>
      </c>
      <c r="G2694" t="s">
        <v>4769</v>
      </c>
      <c r="H2694">
        <v>3199.4</v>
      </c>
      <c r="I2694">
        <v>17.239999999999998</v>
      </c>
      <c r="J2694" t="s">
        <v>120</v>
      </c>
      <c r="K2694" t="s">
        <v>12149</v>
      </c>
      <c r="L2694">
        <v>1.04</v>
      </c>
      <c r="M2694">
        <v>3.78</v>
      </c>
      <c r="N2694">
        <v>0.9</v>
      </c>
      <c r="O2694">
        <v>2.37</v>
      </c>
      <c r="P2694">
        <v>3.89</v>
      </c>
      <c r="Q2694">
        <v>-1.32</v>
      </c>
      <c r="R2694">
        <v>3.75</v>
      </c>
      <c r="S2694">
        <v>3.78</v>
      </c>
      <c r="T2694">
        <v>83602</v>
      </c>
      <c r="U2694">
        <v>3.79</v>
      </c>
      <c r="V2694">
        <v>3.8</v>
      </c>
      <c r="W2694">
        <v>29.76</v>
      </c>
      <c r="X2694" t="s">
        <v>253</v>
      </c>
      <c r="Y2694" t="s">
        <v>158</v>
      </c>
      <c r="Z2694">
        <v>3.68</v>
      </c>
      <c r="AA2694">
        <v>3.83</v>
      </c>
      <c r="AB2694">
        <v>35419</v>
      </c>
      <c r="AC2694">
        <v>48183</v>
      </c>
      <c r="AD2694">
        <v>0.74</v>
      </c>
      <c r="AE2694">
        <v>525</v>
      </c>
      <c r="AF2694">
        <v>717</v>
      </c>
      <c r="AG2694" t="s">
        <v>120</v>
      </c>
      <c r="AH2694">
        <v>0.01</v>
      </c>
      <c r="AI2694" t="s">
        <v>120</v>
      </c>
      <c r="AJ2694">
        <v>8.06</v>
      </c>
      <c r="AK2694" t="s">
        <v>12149</v>
      </c>
      <c r="AL2694">
        <v>0.82</v>
      </c>
      <c r="AM2694">
        <v>1668</v>
      </c>
      <c r="AN2694">
        <v>50</v>
      </c>
      <c r="AO2694">
        <v>5.9999999999999995E-4</v>
      </c>
      <c r="AP2694">
        <v>-3</v>
      </c>
      <c r="AQ2694">
        <v>-0.52</v>
      </c>
      <c r="AR2694">
        <v>-1.82</v>
      </c>
      <c r="AS2694">
        <v>13.51</v>
      </c>
      <c r="AT2694">
        <v>7.69</v>
      </c>
      <c r="AU2694">
        <v>6.18</v>
      </c>
      <c r="AV2694">
        <v>0</v>
      </c>
      <c r="AW2694">
        <v>2.2999999999999998</v>
      </c>
      <c r="AX2694">
        <v>45</v>
      </c>
      <c r="AY2694">
        <v>24.47</v>
      </c>
      <c r="AZ2694">
        <v>44.94</v>
      </c>
      <c r="BA2694">
        <v>0.51</v>
      </c>
      <c r="BB2694" t="s">
        <v>143</v>
      </c>
      <c r="BF2694">
        <v>0.71</v>
      </c>
      <c r="BG2694">
        <v>0</v>
      </c>
      <c r="BH2694">
        <v>-2.83</v>
      </c>
      <c r="BI2694">
        <v>0.8</v>
      </c>
      <c r="BJ2694">
        <v>20210827</v>
      </c>
      <c r="BK2694">
        <v>20010216</v>
      </c>
      <c r="BL2694">
        <v>8.06</v>
      </c>
      <c r="BM2694" t="s">
        <v>120</v>
      </c>
      <c r="BN2694" t="s">
        <v>120</v>
      </c>
      <c r="BO2694">
        <v>43.34</v>
      </c>
      <c r="BP2694">
        <v>3.78</v>
      </c>
      <c r="BQ2694">
        <v>18.29</v>
      </c>
      <c r="BR2694">
        <v>1.31</v>
      </c>
      <c r="BS2694">
        <v>54.79</v>
      </c>
      <c r="BT2694">
        <v>16.86</v>
      </c>
      <c r="BU2694">
        <v>14.23</v>
      </c>
      <c r="BV2694">
        <v>4.1100000000000003</v>
      </c>
      <c r="BW2694">
        <v>12.19</v>
      </c>
      <c r="BX2694">
        <v>7.6</v>
      </c>
      <c r="BY2694">
        <v>3.48</v>
      </c>
      <c r="BZ2694">
        <v>3.44</v>
      </c>
      <c r="CA2694" t="s">
        <v>120</v>
      </c>
      <c r="CB2694">
        <v>2.23</v>
      </c>
      <c r="CC2694">
        <v>21.27</v>
      </c>
      <c r="CD2694">
        <v>17.37</v>
      </c>
      <c r="CE2694">
        <v>0.96</v>
      </c>
      <c r="CF2694">
        <v>0.01</v>
      </c>
      <c r="CG2694">
        <v>0.97</v>
      </c>
      <c r="CH2694">
        <v>0.68</v>
      </c>
      <c r="CI2694">
        <v>0.51</v>
      </c>
      <c r="CJ2694">
        <v>-0.02</v>
      </c>
      <c r="CK2694">
        <v>0.48</v>
      </c>
      <c r="CL2694">
        <v>5.76</v>
      </c>
      <c r="CM2694">
        <v>1.3</v>
      </c>
      <c r="CN2694">
        <v>-1.02</v>
      </c>
      <c r="CO2694">
        <v>24871</v>
      </c>
      <c r="CP2694">
        <v>14590</v>
      </c>
      <c r="CQ2694" t="s">
        <v>12150</v>
      </c>
      <c r="CR2694">
        <v>980.25</v>
      </c>
      <c r="CS2694">
        <v>15.98</v>
      </c>
      <c r="CT2694">
        <v>1.67</v>
      </c>
      <c r="CU2694">
        <v>23.5</v>
      </c>
      <c r="CV2694">
        <v>1.43</v>
      </c>
      <c r="CW2694">
        <v>2.11</v>
      </c>
      <c r="CX2694" t="s">
        <v>1064</v>
      </c>
      <c r="CY2694">
        <v>2.27</v>
      </c>
      <c r="CZ2694">
        <v>0</v>
      </c>
      <c r="DA2694">
        <v>0.28000000000000003</v>
      </c>
      <c r="DB2694">
        <v>0.71</v>
      </c>
      <c r="DC2694">
        <v>0.16</v>
      </c>
      <c r="DD2694">
        <v>42.2</v>
      </c>
      <c r="DE2694" t="s">
        <v>2028</v>
      </c>
      <c r="DF2694">
        <v>18.36</v>
      </c>
      <c r="DG2694">
        <v>4.53</v>
      </c>
      <c r="DH2694">
        <v>2.41</v>
      </c>
      <c r="DI2694">
        <v>0.1</v>
      </c>
      <c r="DJ2694">
        <v>1606</v>
      </c>
      <c r="DK2694">
        <v>600386</v>
      </c>
      <c r="DL2694" t="s">
        <v>120</v>
      </c>
      <c r="DM2694" t="s">
        <v>120</v>
      </c>
      <c r="DN2694" t="s">
        <v>120</v>
      </c>
    </row>
    <row r="2695" spans="1:118">
      <c r="A2695" t="str">
        <f>"600388"</f>
        <v>600388</v>
      </c>
      <c r="B2695" t="s">
        <v>12151</v>
      </c>
      <c r="C2695">
        <v>-2.46</v>
      </c>
      <c r="D2695">
        <v>0.77</v>
      </c>
      <c r="E2695">
        <v>-0.11</v>
      </c>
      <c r="F2695">
        <v>6450</v>
      </c>
      <c r="G2695" t="s">
        <v>12152</v>
      </c>
      <c r="H2695">
        <v>20282.310000000001</v>
      </c>
      <c r="I2695">
        <v>132.72</v>
      </c>
      <c r="J2695" t="s">
        <v>120</v>
      </c>
      <c r="K2695" t="s">
        <v>12153</v>
      </c>
      <c r="L2695">
        <v>2.06</v>
      </c>
      <c r="M2695">
        <v>9.1199999999999992</v>
      </c>
      <c r="N2695">
        <v>1.08</v>
      </c>
      <c r="O2695">
        <v>1.5</v>
      </c>
      <c r="P2695">
        <v>9.49</v>
      </c>
      <c r="Q2695">
        <v>-3.42</v>
      </c>
      <c r="R2695">
        <v>9.0299999999999994</v>
      </c>
      <c r="S2695">
        <v>9.34</v>
      </c>
      <c r="T2695">
        <v>219753</v>
      </c>
      <c r="U2695">
        <v>9.1199999999999992</v>
      </c>
      <c r="V2695">
        <v>9.35</v>
      </c>
      <c r="W2695">
        <v>12.07</v>
      </c>
      <c r="X2695" t="s">
        <v>318</v>
      </c>
      <c r="Y2695" t="s">
        <v>937</v>
      </c>
      <c r="Z2695">
        <v>4.92</v>
      </c>
      <c r="AA2695">
        <v>9.23</v>
      </c>
      <c r="AB2695">
        <v>122571</v>
      </c>
      <c r="AC2695">
        <v>97182</v>
      </c>
      <c r="AD2695">
        <v>1.26</v>
      </c>
      <c r="AE2695">
        <v>210</v>
      </c>
      <c r="AF2695">
        <v>145</v>
      </c>
      <c r="AG2695" t="s">
        <v>120</v>
      </c>
      <c r="AH2695">
        <v>0.02</v>
      </c>
      <c r="AI2695" t="s">
        <v>120</v>
      </c>
      <c r="AJ2695">
        <v>10.69</v>
      </c>
      <c r="AK2695" t="s">
        <v>12153</v>
      </c>
      <c r="AL2695">
        <v>-1.1200000000000001</v>
      </c>
      <c r="AM2695">
        <v>3600</v>
      </c>
      <c r="AN2695">
        <v>61</v>
      </c>
      <c r="AO2695">
        <v>5.9999999999999995E-4</v>
      </c>
      <c r="AP2695">
        <v>-1</v>
      </c>
      <c r="AQ2695">
        <v>1.19</v>
      </c>
      <c r="AR2695">
        <v>-2.98</v>
      </c>
      <c r="AS2695">
        <v>3.05</v>
      </c>
      <c r="AT2695">
        <v>7.04</v>
      </c>
      <c r="AU2695">
        <v>4.83</v>
      </c>
      <c r="AV2695">
        <v>0</v>
      </c>
      <c r="AW2695">
        <v>3.13</v>
      </c>
      <c r="AX2695">
        <v>65.569999999999993</v>
      </c>
      <c r="AY2695">
        <v>11.06</v>
      </c>
      <c r="AZ2695">
        <v>14.22</v>
      </c>
      <c r="BA2695">
        <v>0.52</v>
      </c>
      <c r="BB2695" t="s">
        <v>240</v>
      </c>
      <c r="BF2695">
        <v>-1.29</v>
      </c>
      <c r="BG2695">
        <v>-2.36</v>
      </c>
      <c r="BH2695">
        <v>-3.9</v>
      </c>
      <c r="BI2695">
        <v>1</v>
      </c>
      <c r="BJ2695">
        <v>20210827</v>
      </c>
      <c r="BK2695">
        <v>20001229</v>
      </c>
      <c r="BL2695">
        <v>10.69</v>
      </c>
      <c r="BM2695" t="s">
        <v>120</v>
      </c>
      <c r="BN2695" t="s">
        <v>120</v>
      </c>
      <c r="BO2695">
        <v>257.52999999999997</v>
      </c>
      <c r="BP2695">
        <v>9.1</v>
      </c>
      <c r="BQ2695">
        <v>64.099999999999994</v>
      </c>
      <c r="BR2695">
        <v>1.43</v>
      </c>
      <c r="BS2695">
        <v>74.55</v>
      </c>
      <c r="BT2695">
        <v>183.85</v>
      </c>
      <c r="BU2695">
        <v>12.57</v>
      </c>
      <c r="BV2695">
        <v>21.36</v>
      </c>
      <c r="BW2695">
        <v>150.69999999999999</v>
      </c>
      <c r="BX2695">
        <v>19.190000000000001</v>
      </c>
      <c r="BY2695">
        <v>89.47</v>
      </c>
      <c r="BZ2695">
        <v>26.67</v>
      </c>
      <c r="CA2695">
        <v>0.89</v>
      </c>
      <c r="CB2695">
        <v>4.8499999999999996</v>
      </c>
      <c r="CC2695">
        <v>48.76</v>
      </c>
      <c r="CD2695">
        <v>37.340000000000003</v>
      </c>
      <c r="CE2695">
        <v>4.7699999999999996</v>
      </c>
      <c r="CF2695">
        <v>0.21</v>
      </c>
      <c r="CG2695">
        <v>4.74</v>
      </c>
      <c r="CH2695">
        <v>4.09</v>
      </c>
      <c r="CI2695">
        <v>4.04</v>
      </c>
      <c r="CJ2695">
        <v>-0.23</v>
      </c>
      <c r="CK2695">
        <v>3.41</v>
      </c>
      <c r="CL2695">
        <v>40.42</v>
      </c>
      <c r="CM2695">
        <v>1.41</v>
      </c>
      <c r="CN2695">
        <v>-8.32</v>
      </c>
      <c r="CO2695">
        <v>80840</v>
      </c>
      <c r="CP2695">
        <v>8671</v>
      </c>
      <c r="CQ2695" t="s">
        <v>9172</v>
      </c>
      <c r="CR2695">
        <v>99.22</v>
      </c>
      <c r="CS2695">
        <v>35.39</v>
      </c>
      <c r="CT2695">
        <v>1.59</v>
      </c>
      <c r="CU2695">
        <v>69.16</v>
      </c>
      <c r="CV2695">
        <v>2</v>
      </c>
      <c r="CW2695">
        <v>1.93</v>
      </c>
      <c r="CX2695" t="s">
        <v>2429</v>
      </c>
      <c r="CY2695">
        <v>5.74</v>
      </c>
      <c r="CZ2695">
        <v>5.74</v>
      </c>
      <c r="DA2695">
        <v>0.45</v>
      </c>
      <c r="DB2695">
        <v>3.78</v>
      </c>
      <c r="DC2695">
        <v>0.13</v>
      </c>
      <c r="DD2695">
        <v>24.89</v>
      </c>
      <c r="DE2695" t="s">
        <v>12154</v>
      </c>
      <c r="DF2695">
        <v>23.41</v>
      </c>
      <c r="DG2695">
        <v>9.7799999999999994</v>
      </c>
      <c r="DH2695">
        <v>8.2899999999999991</v>
      </c>
      <c r="DI2695">
        <v>1.98</v>
      </c>
      <c r="DJ2695">
        <v>7684</v>
      </c>
      <c r="DK2695">
        <v>600388</v>
      </c>
      <c r="DL2695" t="s">
        <v>120</v>
      </c>
      <c r="DM2695" t="s">
        <v>120</v>
      </c>
      <c r="DN2695" t="s">
        <v>120</v>
      </c>
    </row>
    <row r="2696" spans="1:118">
      <c r="A2696" t="str">
        <f>"600389"</f>
        <v>600389</v>
      </c>
      <c r="B2696" t="s">
        <v>12155</v>
      </c>
      <c r="C2696">
        <v>-3.58</v>
      </c>
      <c r="D2696">
        <v>7.0000000000000007E-2</v>
      </c>
      <c r="E2696">
        <v>2.19</v>
      </c>
      <c r="F2696">
        <v>678</v>
      </c>
      <c r="G2696" t="s">
        <v>12156</v>
      </c>
      <c r="H2696">
        <v>63169.62</v>
      </c>
      <c r="I2696">
        <v>868.32</v>
      </c>
      <c r="J2696" t="s">
        <v>120</v>
      </c>
      <c r="K2696" t="s">
        <v>3062</v>
      </c>
      <c r="L2696">
        <v>3.64</v>
      </c>
      <c r="M2696">
        <v>56.9</v>
      </c>
      <c r="N2696">
        <v>1.1499999999999999</v>
      </c>
      <c r="O2696">
        <v>5.17</v>
      </c>
      <c r="P2696">
        <v>62.06</v>
      </c>
      <c r="Q2696">
        <v>-5.27</v>
      </c>
      <c r="R2696">
        <v>55.9</v>
      </c>
      <c r="S2696">
        <v>60.3</v>
      </c>
      <c r="T2696">
        <v>108084</v>
      </c>
      <c r="U2696">
        <v>56.93</v>
      </c>
      <c r="V2696">
        <v>59.01</v>
      </c>
      <c r="W2696">
        <v>27.53</v>
      </c>
      <c r="X2696" t="s">
        <v>690</v>
      </c>
      <c r="Y2696" t="s">
        <v>319</v>
      </c>
      <c r="Z2696">
        <v>10.44</v>
      </c>
      <c r="AA2696">
        <v>58.44</v>
      </c>
      <c r="AB2696">
        <v>46445</v>
      </c>
      <c r="AC2696">
        <v>61639</v>
      </c>
      <c r="AD2696">
        <v>0.75</v>
      </c>
      <c r="AE2696">
        <v>1053</v>
      </c>
      <c r="AF2696">
        <v>10</v>
      </c>
      <c r="AG2696" t="s">
        <v>120</v>
      </c>
      <c r="AH2696">
        <v>0.12</v>
      </c>
      <c r="AI2696" t="s">
        <v>120</v>
      </c>
      <c r="AJ2696">
        <v>2.97</v>
      </c>
      <c r="AK2696" t="s">
        <v>3062</v>
      </c>
      <c r="AL2696">
        <v>-2.23</v>
      </c>
      <c r="AM2696">
        <v>4104</v>
      </c>
      <c r="AN2696">
        <v>26</v>
      </c>
      <c r="AO2696">
        <v>8.9999999999999998E-4</v>
      </c>
      <c r="AP2696">
        <v>-1</v>
      </c>
      <c r="AQ2696">
        <v>2.4500000000000002</v>
      </c>
      <c r="AR2696">
        <v>3.17</v>
      </c>
      <c r="AS2696">
        <v>41.19</v>
      </c>
      <c r="AT2696">
        <v>81.5</v>
      </c>
      <c r="AU2696">
        <v>183.23</v>
      </c>
      <c r="AV2696">
        <v>5</v>
      </c>
      <c r="AW2696">
        <v>8.77</v>
      </c>
      <c r="AX2696">
        <v>41.51</v>
      </c>
      <c r="AY2696">
        <v>40.72</v>
      </c>
      <c r="AZ2696">
        <v>52.33</v>
      </c>
      <c r="BA2696">
        <v>0.66</v>
      </c>
      <c r="BB2696" t="s">
        <v>184</v>
      </c>
      <c r="BF2696">
        <v>-0.96</v>
      </c>
      <c r="BG2696">
        <v>-5.64</v>
      </c>
      <c r="BH2696">
        <v>-8.31</v>
      </c>
      <c r="BI2696">
        <v>1.79</v>
      </c>
      <c r="BJ2696">
        <v>20210817</v>
      </c>
      <c r="BK2696">
        <v>20010110</v>
      </c>
      <c r="BL2696">
        <v>2.97</v>
      </c>
      <c r="BM2696" t="s">
        <v>120</v>
      </c>
      <c r="BN2696" t="s">
        <v>120</v>
      </c>
      <c r="BO2696">
        <v>45.02</v>
      </c>
      <c r="BP2696">
        <v>56.9</v>
      </c>
      <c r="BQ2696">
        <v>21.36</v>
      </c>
      <c r="BR2696">
        <v>0.56999999999999995</v>
      </c>
      <c r="BS2696">
        <v>51.29</v>
      </c>
      <c r="BT2696">
        <v>23.05</v>
      </c>
      <c r="BU2696">
        <v>12.05</v>
      </c>
      <c r="BV2696">
        <v>2.04</v>
      </c>
      <c r="BW2696">
        <v>18.489999999999998</v>
      </c>
      <c r="BX2696">
        <v>5.12</v>
      </c>
      <c r="BY2696">
        <v>4.34</v>
      </c>
      <c r="BZ2696">
        <v>7.75</v>
      </c>
      <c r="CA2696">
        <v>0.01</v>
      </c>
      <c r="CB2696">
        <v>1.45</v>
      </c>
      <c r="CC2696">
        <v>31.53</v>
      </c>
      <c r="CD2696">
        <v>25.31</v>
      </c>
      <c r="CE2696">
        <v>3.91</v>
      </c>
      <c r="CF2696">
        <v>0.2</v>
      </c>
      <c r="CG2696">
        <v>3.85</v>
      </c>
      <c r="CH2696">
        <v>3.21</v>
      </c>
      <c r="CI2696">
        <v>3.07</v>
      </c>
      <c r="CJ2696">
        <v>-2.11</v>
      </c>
      <c r="CK2696">
        <v>2.98</v>
      </c>
      <c r="CL2696">
        <v>14.26</v>
      </c>
      <c r="CM2696">
        <v>1.62</v>
      </c>
      <c r="CN2696">
        <v>-2.92</v>
      </c>
      <c r="CO2696">
        <v>12582</v>
      </c>
      <c r="CP2696">
        <v>9799</v>
      </c>
      <c r="CQ2696" t="s">
        <v>12157</v>
      </c>
      <c r="CR2696">
        <v>45.15</v>
      </c>
      <c r="CS2696">
        <v>16.329999999999998</v>
      </c>
      <c r="CT2696">
        <v>7.91</v>
      </c>
      <c r="CU2696">
        <v>104.53</v>
      </c>
      <c r="CV2696">
        <v>5.36</v>
      </c>
      <c r="CW2696">
        <v>2.54</v>
      </c>
      <c r="CX2696" t="s">
        <v>12158</v>
      </c>
      <c r="CY2696">
        <v>7.19</v>
      </c>
      <c r="CZ2696">
        <v>0</v>
      </c>
      <c r="DA2696">
        <v>0.49</v>
      </c>
      <c r="DB2696">
        <v>4.8</v>
      </c>
      <c r="DC2696">
        <v>0.54</v>
      </c>
      <c r="DD2696">
        <v>47.44</v>
      </c>
      <c r="DE2696" t="s">
        <v>11183</v>
      </c>
      <c r="DF2696">
        <v>19.73</v>
      </c>
      <c r="DG2696">
        <v>12.41</v>
      </c>
      <c r="DH2696">
        <v>9.73</v>
      </c>
      <c r="DI2696">
        <v>0.87</v>
      </c>
      <c r="DJ2696">
        <v>1792</v>
      </c>
      <c r="DK2696">
        <v>600389</v>
      </c>
      <c r="DL2696" t="s">
        <v>120</v>
      </c>
      <c r="DM2696" t="s">
        <v>120</v>
      </c>
      <c r="DN2696" t="s">
        <v>120</v>
      </c>
    </row>
    <row r="2697" spans="1:118">
      <c r="A2697" t="str">
        <f>"600390"</f>
        <v>600390</v>
      </c>
      <c r="B2697" t="s">
        <v>12159</v>
      </c>
      <c r="C2697">
        <v>-0.81</v>
      </c>
      <c r="D2697">
        <v>-0.15</v>
      </c>
      <c r="E2697">
        <v>0</v>
      </c>
      <c r="F2697">
        <v>3083</v>
      </c>
      <c r="G2697" t="s">
        <v>7414</v>
      </c>
      <c r="H2697">
        <v>23892.34</v>
      </c>
      <c r="I2697">
        <v>83.26</v>
      </c>
      <c r="J2697" t="s">
        <v>120</v>
      </c>
      <c r="K2697" t="s">
        <v>12160</v>
      </c>
      <c r="L2697">
        <v>0.86</v>
      </c>
      <c r="M2697">
        <v>6.09</v>
      </c>
      <c r="N2697">
        <v>0.74</v>
      </c>
      <c r="O2697">
        <v>1.3</v>
      </c>
      <c r="P2697">
        <v>6.22</v>
      </c>
      <c r="Q2697">
        <v>-1.1399999999999999</v>
      </c>
      <c r="R2697">
        <v>6.07</v>
      </c>
      <c r="S2697">
        <v>6.14</v>
      </c>
      <c r="T2697">
        <v>388283</v>
      </c>
      <c r="U2697">
        <v>6.1</v>
      </c>
      <c r="V2697">
        <v>6.14</v>
      </c>
      <c r="W2697">
        <v>5.65</v>
      </c>
      <c r="X2697" t="s">
        <v>721</v>
      </c>
      <c r="Y2697" t="s">
        <v>594</v>
      </c>
      <c r="Z2697">
        <v>2.44</v>
      </c>
      <c r="AA2697">
        <v>6.15</v>
      </c>
      <c r="AB2697">
        <v>195539</v>
      </c>
      <c r="AC2697">
        <v>192744</v>
      </c>
      <c r="AD2697">
        <v>1.01</v>
      </c>
      <c r="AE2697">
        <v>3650</v>
      </c>
      <c r="AF2697">
        <v>867</v>
      </c>
      <c r="AG2697" t="s">
        <v>120</v>
      </c>
      <c r="AH2697">
        <v>0.01</v>
      </c>
      <c r="AI2697" t="s">
        <v>120</v>
      </c>
      <c r="AJ2697">
        <v>44.98</v>
      </c>
      <c r="AK2697" t="s">
        <v>12160</v>
      </c>
      <c r="AL2697">
        <v>0.53</v>
      </c>
      <c r="AM2697">
        <v>3353</v>
      </c>
      <c r="AN2697">
        <v>116</v>
      </c>
      <c r="AO2697">
        <v>2.9999999999999997E-4</v>
      </c>
      <c r="AP2697">
        <v>-1</v>
      </c>
      <c r="AQ2697">
        <v>0.33</v>
      </c>
      <c r="AR2697">
        <v>-3.63</v>
      </c>
      <c r="AS2697">
        <v>7.79</v>
      </c>
      <c r="AT2697">
        <v>1.33</v>
      </c>
      <c r="AU2697">
        <v>-11.43</v>
      </c>
      <c r="AV2697">
        <v>0</v>
      </c>
      <c r="AW2697">
        <v>1.63</v>
      </c>
      <c r="AX2697">
        <v>52.93</v>
      </c>
      <c r="AY2697">
        <v>6.61</v>
      </c>
      <c r="AZ2697">
        <v>7.36</v>
      </c>
      <c r="BA2697">
        <v>0.66</v>
      </c>
      <c r="BB2697" t="s">
        <v>143</v>
      </c>
      <c r="BF2697">
        <v>0.22</v>
      </c>
      <c r="BG2697">
        <v>-0.81</v>
      </c>
      <c r="BH2697">
        <v>-2.09</v>
      </c>
      <c r="BI2697">
        <v>0.33</v>
      </c>
      <c r="BJ2697">
        <v>20210827</v>
      </c>
      <c r="BK2697">
        <v>20010115</v>
      </c>
      <c r="BL2697">
        <v>44.98</v>
      </c>
      <c r="BM2697" t="s">
        <v>120</v>
      </c>
      <c r="BN2697" t="s">
        <v>120</v>
      </c>
      <c r="BO2697">
        <v>1463.15</v>
      </c>
      <c r="BP2697">
        <v>6.09</v>
      </c>
      <c r="BQ2697">
        <v>478.47</v>
      </c>
      <c r="BR2697">
        <v>99.9</v>
      </c>
      <c r="BS2697">
        <v>60.47</v>
      </c>
      <c r="BT2697">
        <v>830.36</v>
      </c>
      <c r="BU2697">
        <v>3.57</v>
      </c>
      <c r="BV2697">
        <v>4.8499999999999996</v>
      </c>
      <c r="BW2697">
        <v>785.46</v>
      </c>
      <c r="BX2697">
        <v>170.99</v>
      </c>
      <c r="BY2697">
        <v>1.99</v>
      </c>
      <c r="BZ2697">
        <v>0.16</v>
      </c>
      <c r="CA2697" t="s">
        <v>120</v>
      </c>
      <c r="CB2697">
        <v>213.17</v>
      </c>
      <c r="CC2697">
        <v>14.7</v>
      </c>
      <c r="CD2697">
        <v>14.39</v>
      </c>
      <c r="CE2697">
        <v>39.130000000000003</v>
      </c>
      <c r="CF2697">
        <v>10.8</v>
      </c>
      <c r="CG2697">
        <v>39.130000000000003</v>
      </c>
      <c r="CH2697">
        <v>29.9</v>
      </c>
      <c r="CI2697">
        <v>24.24</v>
      </c>
      <c r="CJ2697">
        <v>-0.05</v>
      </c>
      <c r="CK2697">
        <v>21.52</v>
      </c>
      <c r="CL2697">
        <v>108.94</v>
      </c>
      <c r="CM2697">
        <v>70.63</v>
      </c>
      <c r="CN2697">
        <v>34.770000000000003</v>
      </c>
      <c r="CO2697">
        <v>53799</v>
      </c>
      <c r="CP2697">
        <v>44257</v>
      </c>
      <c r="CQ2697" t="s">
        <v>12161</v>
      </c>
      <c r="CR2697">
        <v>21.36</v>
      </c>
      <c r="CS2697">
        <v>-39.51</v>
      </c>
      <c r="CT2697">
        <v>0.69</v>
      </c>
      <c r="CU2697">
        <v>3.88</v>
      </c>
      <c r="CV2697">
        <v>18.63</v>
      </c>
      <c r="CW2697">
        <v>5.73</v>
      </c>
      <c r="CX2697" t="s">
        <v>550</v>
      </c>
      <c r="CY2697">
        <v>8.86</v>
      </c>
      <c r="CZ2697">
        <v>8.86</v>
      </c>
      <c r="DA2697">
        <v>4.74</v>
      </c>
      <c r="DB2697">
        <v>2.42</v>
      </c>
      <c r="DC2697">
        <v>1.57</v>
      </c>
      <c r="DD2697">
        <v>32.700000000000003</v>
      </c>
      <c r="DE2697" t="s">
        <v>1813</v>
      </c>
      <c r="DF2697">
        <v>2.16</v>
      </c>
      <c r="DG2697">
        <v>266.10000000000002</v>
      </c>
      <c r="DH2697">
        <v>164.86</v>
      </c>
      <c r="DI2697" t="s">
        <v>120</v>
      </c>
      <c r="DJ2697">
        <v>2808</v>
      </c>
      <c r="DK2697">
        <v>600390</v>
      </c>
      <c r="DL2697" t="s">
        <v>120</v>
      </c>
      <c r="DM2697" t="s">
        <v>120</v>
      </c>
      <c r="DN2697" t="s">
        <v>120</v>
      </c>
    </row>
    <row r="2698" spans="1:118">
      <c r="A2698" t="str">
        <f>"600391"</f>
        <v>600391</v>
      </c>
      <c r="B2698" t="s">
        <v>12162</v>
      </c>
      <c r="C2698">
        <v>-1.48</v>
      </c>
      <c r="D2698">
        <v>0</v>
      </c>
      <c r="E2698">
        <v>0</v>
      </c>
      <c r="F2698">
        <v>328</v>
      </c>
      <c r="G2698" t="s">
        <v>2733</v>
      </c>
      <c r="H2698">
        <v>9351.7000000000007</v>
      </c>
      <c r="I2698">
        <v>24.94</v>
      </c>
      <c r="J2698" t="s">
        <v>120</v>
      </c>
      <c r="K2698" t="s">
        <v>12163</v>
      </c>
      <c r="L2698">
        <v>1.36</v>
      </c>
      <c r="M2698">
        <v>20.65</v>
      </c>
      <c r="N2698">
        <v>0.62</v>
      </c>
      <c r="O2698">
        <v>1</v>
      </c>
      <c r="P2698">
        <v>21.17</v>
      </c>
      <c r="Q2698">
        <v>-1.67</v>
      </c>
      <c r="R2698">
        <v>20.61</v>
      </c>
      <c r="S2698">
        <v>20.96</v>
      </c>
      <c r="T2698">
        <v>44819</v>
      </c>
      <c r="U2698">
        <v>20.65</v>
      </c>
      <c r="V2698">
        <v>20.96</v>
      </c>
      <c r="W2698" t="s">
        <v>120</v>
      </c>
      <c r="X2698" t="s">
        <v>1621</v>
      </c>
      <c r="Y2698" t="s">
        <v>578</v>
      </c>
      <c r="Z2698">
        <v>2.67</v>
      </c>
      <c r="AA2698">
        <v>20.87</v>
      </c>
      <c r="AB2698">
        <v>26255</v>
      </c>
      <c r="AC2698">
        <v>18564</v>
      </c>
      <c r="AD2698">
        <v>1.41</v>
      </c>
      <c r="AE2698">
        <v>290</v>
      </c>
      <c r="AF2698">
        <v>224</v>
      </c>
      <c r="AG2698" t="s">
        <v>120</v>
      </c>
      <c r="AH2698">
        <v>0.01</v>
      </c>
      <c r="AI2698" t="s">
        <v>120</v>
      </c>
      <c r="AJ2698">
        <v>3.3</v>
      </c>
      <c r="AK2698" t="s">
        <v>12163</v>
      </c>
      <c r="AL2698">
        <v>-0.14000000000000001</v>
      </c>
      <c r="AM2698">
        <v>2530</v>
      </c>
      <c r="AN2698">
        <v>18</v>
      </c>
      <c r="AO2698">
        <v>5.0000000000000001E-4</v>
      </c>
      <c r="AP2698">
        <v>-1</v>
      </c>
      <c r="AQ2698">
        <v>0.82</v>
      </c>
      <c r="AR2698">
        <v>-2.59</v>
      </c>
      <c r="AS2698">
        <v>-11.18</v>
      </c>
      <c r="AT2698">
        <v>-5.27</v>
      </c>
      <c r="AU2698">
        <v>-20.12</v>
      </c>
      <c r="AV2698">
        <v>6</v>
      </c>
      <c r="AW2698">
        <v>2.12</v>
      </c>
      <c r="AX2698">
        <v>63.98</v>
      </c>
      <c r="AY2698" t="s">
        <v>120</v>
      </c>
      <c r="AZ2698" t="s">
        <v>120</v>
      </c>
      <c r="BA2698">
        <v>0.79</v>
      </c>
      <c r="BB2698" t="s">
        <v>143</v>
      </c>
      <c r="BF2698">
        <v>-0.45</v>
      </c>
      <c r="BG2698">
        <v>-1.48</v>
      </c>
      <c r="BH2698">
        <v>-2.46</v>
      </c>
      <c r="BI2698">
        <v>0.19</v>
      </c>
      <c r="BJ2698">
        <v>20210830</v>
      </c>
      <c r="BK2698">
        <v>20011212</v>
      </c>
      <c r="BL2698">
        <v>3.3</v>
      </c>
      <c r="BM2698" t="s">
        <v>120</v>
      </c>
      <c r="BN2698" t="s">
        <v>120</v>
      </c>
      <c r="BO2698">
        <v>60.5</v>
      </c>
      <c r="BP2698">
        <v>20.64</v>
      </c>
      <c r="BQ2698">
        <v>14.12</v>
      </c>
      <c r="BR2698">
        <v>5.2</v>
      </c>
      <c r="BS2698">
        <v>68.069999999999993</v>
      </c>
      <c r="BT2698">
        <v>38.11</v>
      </c>
      <c r="BU2698">
        <v>17.09</v>
      </c>
      <c r="BV2698">
        <v>1.03</v>
      </c>
      <c r="BW2698">
        <v>28.58</v>
      </c>
      <c r="BX2698">
        <v>1.54</v>
      </c>
      <c r="BY2698">
        <v>28.37</v>
      </c>
      <c r="BZ2698">
        <v>5.89</v>
      </c>
      <c r="CA2698">
        <v>0</v>
      </c>
      <c r="CB2698">
        <v>10.130000000000001</v>
      </c>
      <c r="CC2698">
        <v>14.66</v>
      </c>
      <c r="CD2698">
        <v>13.08</v>
      </c>
      <c r="CE2698">
        <v>-0.34</v>
      </c>
      <c r="CF2698">
        <v>0</v>
      </c>
      <c r="CG2698">
        <v>-0.35</v>
      </c>
      <c r="CH2698">
        <v>-0.4</v>
      </c>
      <c r="CI2698">
        <v>-0.54</v>
      </c>
      <c r="CJ2698">
        <v>-0.31</v>
      </c>
      <c r="CK2698">
        <v>-0.59</v>
      </c>
      <c r="CL2698">
        <v>-0.55000000000000004</v>
      </c>
      <c r="CM2698">
        <v>-2.3199999999999998</v>
      </c>
      <c r="CN2698">
        <v>-3.41</v>
      </c>
      <c r="CO2698">
        <v>65753</v>
      </c>
      <c r="CP2698">
        <v>3212</v>
      </c>
      <c r="CQ2698" t="s">
        <v>2254</v>
      </c>
      <c r="CR2698">
        <v>19.59</v>
      </c>
      <c r="CS2698">
        <v>53.16</v>
      </c>
      <c r="CT2698">
        <v>4.83</v>
      </c>
      <c r="CU2698">
        <v>-29.39</v>
      </c>
      <c r="CV2698">
        <v>4.6500000000000004</v>
      </c>
      <c r="CW2698">
        <v>0</v>
      </c>
      <c r="CX2698" t="s">
        <v>893</v>
      </c>
      <c r="CY2698">
        <v>4.28</v>
      </c>
      <c r="CZ2698">
        <v>0</v>
      </c>
      <c r="DA2698">
        <v>3.07</v>
      </c>
      <c r="DB2698">
        <v>-0.17</v>
      </c>
      <c r="DC2698">
        <v>-0.7</v>
      </c>
      <c r="DD2698">
        <v>23.34</v>
      </c>
      <c r="DE2698" t="s">
        <v>12164</v>
      </c>
      <c r="DF2698">
        <v>10.83</v>
      </c>
      <c r="DG2698">
        <v>-2.29</v>
      </c>
      <c r="DH2698">
        <v>-3.66</v>
      </c>
      <c r="DI2698">
        <v>0.4</v>
      </c>
      <c r="DJ2698">
        <v>4360</v>
      </c>
      <c r="DK2698">
        <v>600391</v>
      </c>
      <c r="DL2698" t="s">
        <v>120</v>
      </c>
      <c r="DM2698" t="s">
        <v>120</v>
      </c>
      <c r="DN2698" t="s">
        <v>120</v>
      </c>
    </row>
    <row r="2699" spans="1:118">
      <c r="A2699" t="str">
        <f>"600392"</f>
        <v>600392</v>
      </c>
      <c r="B2699" t="s">
        <v>12165</v>
      </c>
      <c r="C2699">
        <v>-5.82</v>
      </c>
      <c r="D2699">
        <v>-0.71</v>
      </c>
      <c r="E2699">
        <v>-0.4</v>
      </c>
      <c r="F2699">
        <v>23021</v>
      </c>
      <c r="G2699" t="s">
        <v>12166</v>
      </c>
      <c r="H2699">
        <v>473081.38</v>
      </c>
      <c r="I2699">
        <v>2481.2199999999998</v>
      </c>
      <c r="J2699" t="s">
        <v>120</v>
      </c>
      <c r="K2699" t="s">
        <v>12167</v>
      </c>
      <c r="L2699">
        <v>9.8000000000000007</v>
      </c>
      <c r="M2699">
        <v>26.21</v>
      </c>
      <c r="N2699">
        <v>1.1000000000000001</v>
      </c>
      <c r="O2699">
        <v>4.0199999999999996</v>
      </c>
      <c r="P2699">
        <v>28.95</v>
      </c>
      <c r="Q2699">
        <v>-5.86</v>
      </c>
      <c r="R2699">
        <v>26.2</v>
      </c>
      <c r="S2699">
        <v>27.72</v>
      </c>
      <c r="T2699">
        <v>1719947</v>
      </c>
      <c r="U2699">
        <v>26.23</v>
      </c>
      <c r="V2699">
        <v>27.83</v>
      </c>
      <c r="W2699">
        <v>42.37</v>
      </c>
      <c r="X2699" t="s">
        <v>1390</v>
      </c>
      <c r="Y2699" t="s">
        <v>578</v>
      </c>
      <c r="Z2699">
        <v>9.8800000000000008</v>
      </c>
      <c r="AA2699">
        <v>27.51</v>
      </c>
      <c r="AB2699">
        <v>830140</v>
      </c>
      <c r="AC2699">
        <v>889807</v>
      </c>
      <c r="AD2699">
        <v>0.93</v>
      </c>
      <c r="AE2699">
        <v>142</v>
      </c>
      <c r="AF2699">
        <v>50</v>
      </c>
      <c r="AG2699" t="s">
        <v>120</v>
      </c>
      <c r="AH2699">
        <v>0.08</v>
      </c>
      <c r="AI2699" t="s">
        <v>120</v>
      </c>
      <c r="AJ2699">
        <v>17.55</v>
      </c>
      <c r="AK2699" t="s">
        <v>12167</v>
      </c>
      <c r="AL2699">
        <v>-4.4800000000000004</v>
      </c>
      <c r="AM2699">
        <v>4741</v>
      </c>
      <c r="AN2699">
        <v>363</v>
      </c>
      <c r="AO2699">
        <v>2.0999999999999999E-3</v>
      </c>
      <c r="AP2699">
        <v>-1</v>
      </c>
      <c r="AQ2699">
        <v>0.36</v>
      </c>
      <c r="AR2699">
        <v>-0.6</v>
      </c>
      <c r="AS2699">
        <v>14.85</v>
      </c>
      <c r="AT2699">
        <v>51.41</v>
      </c>
      <c r="AU2699">
        <v>196.49</v>
      </c>
      <c r="AV2699">
        <v>15</v>
      </c>
      <c r="AW2699">
        <v>14.42</v>
      </c>
      <c r="AX2699">
        <v>67.94</v>
      </c>
      <c r="AY2699">
        <v>59.26</v>
      </c>
      <c r="AZ2699">
        <v>151.08000000000001</v>
      </c>
      <c r="BA2699">
        <v>0.93</v>
      </c>
      <c r="BB2699" t="s">
        <v>143</v>
      </c>
      <c r="BF2699">
        <v>-1.17</v>
      </c>
      <c r="BG2699">
        <v>-5.45</v>
      </c>
      <c r="BH2699">
        <v>-9.4600000000000009</v>
      </c>
      <c r="BI2699">
        <v>0.04</v>
      </c>
      <c r="BJ2699">
        <v>20210821</v>
      </c>
      <c r="BK2699">
        <v>20030529</v>
      </c>
      <c r="BL2699">
        <v>17.55</v>
      </c>
      <c r="BM2699" t="s">
        <v>120</v>
      </c>
      <c r="BN2699" t="s">
        <v>120</v>
      </c>
      <c r="BO2699">
        <v>136.66</v>
      </c>
      <c r="BP2699">
        <v>26.21</v>
      </c>
      <c r="BQ2699">
        <v>82.2</v>
      </c>
      <c r="BR2699">
        <v>5.08</v>
      </c>
      <c r="BS2699">
        <v>36.14</v>
      </c>
      <c r="BT2699">
        <v>84.17</v>
      </c>
      <c r="BU2699">
        <v>3.38</v>
      </c>
      <c r="BV2699">
        <v>2.16</v>
      </c>
      <c r="BW2699">
        <v>43.18</v>
      </c>
      <c r="BX2699">
        <v>15.88</v>
      </c>
      <c r="BY2699">
        <v>33.07</v>
      </c>
      <c r="BZ2699">
        <v>20.93</v>
      </c>
      <c r="CA2699" t="s">
        <v>120</v>
      </c>
      <c r="CB2699">
        <v>20.97</v>
      </c>
      <c r="CC2699">
        <v>48.64</v>
      </c>
      <c r="CD2699">
        <v>38.54</v>
      </c>
      <c r="CE2699">
        <v>6.48</v>
      </c>
      <c r="CF2699">
        <v>0.21</v>
      </c>
      <c r="CG2699">
        <v>6.52</v>
      </c>
      <c r="CH2699">
        <v>5.55</v>
      </c>
      <c r="CI2699">
        <v>5.43</v>
      </c>
      <c r="CJ2699">
        <v>-1.62</v>
      </c>
      <c r="CK2699">
        <v>5.31</v>
      </c>
      <c r="CL2699">
        <v>21.5</v>
      </c>
      <c r="CM2699">
        <v>-4.29</v>
      </c>
      <c r="CN2699">
        <v>5.66</v>
      </c>
      <c r="CO2699">
        <v>166679</v>
      </c>
      <c r="CP2699">
        <v>7155</v>
      </c>
      <c r="CQ2699" t="s">
        <v>12168</v>
      </c>
      <c r="CR2699">
        <v>1195.58</v>
      </c>
      <c r="CS2699">
        <v>37.08</v>
      </c>
      <c r="CT2699">
        <v>5.6</v>
      </c>
      <c r="CU2699">
        <v>-107.2</v>
      </c>
      <c r="CV2699">
        <v>9.4600000000000009</v>
      </c>
      <c r="CW2699">
        <v>0.18</v>
      </c>
      <c r="CX2699" t="s">
        <v>2752</v>
      </c>
      <c r="CY2699">
        <v>4.68</v>
      </c>
      <c r="CZ2699">
        <v>0</v>
      </c>
      <c r="DA2699">
        <v>1.2</v>
      </c>
      <c r="DB2699">
        <v>1.22</v>
      </c>
      <c r="DC2699">
        <v>-0.24</v>
      </c>
      <c r="DD2699">
        <v>60.15</v>
      </c>
      <c r="DE2699" t="s">
        <v>1401</v>
      </c>
      <c r="DF2699">
        <v>20.77</v>
      </c>
      <c r="DG2699">
        <v>13.31</v>
      </c>
      <c r="DH2699">
        <v>11.16</v>
      </c>
      <c r="DI2699">
        <v>1.61</v>
      </c>
      <c r="DJ2699">
        <v>1553</v>
      </c>
      <c r="DK2699">
        <v>600392</v>
      </c>
      <c r="DL2699">
        <v>20201230</v>
      </c>
      <c r="DM2699">
        <v>8.93</v>
      </c>
      <c r="DN2699">
        <v>194.06</v>
      </c>
    </row>
    <row r="2700" spans="1:118">
      <c r="A2700" t="str">
        <f>"600395"</f>
        <v>600395</v>
      </c>
      <c r="B2700" t="s">
        <v>12169</v>
      </c>
      <c r="C2700">
        <v>-2.58</v>
      </c>
      <c r="D2700">
        <v>-1.25</v>
      </c>
      <c r="E2700">
        <v>2.67</v>
      </c>
      <c r="F2700">
        <v>8712</v>
      </c>
      <c r="G2700" t="s">
        <v>12170</v>
      </c>
      <c r="H2700">
        <v>45161.43</v>
      </c>
      <c r="I2700">
        <v>157.96</v>
      </c>
      <c r="J2700" t="s">
        <v>120</v>
      </c>
      <c r="K2700" t="s">
        <v>12171</v>
      </c>
      <c r="L2700">
        <v>2.37</v>
      </c>
      <c r="M2700">
        <v>10.94</v>
      </c>
      <c r="N2700">
        <v>0.95</v>
      </c>
      <c r="O2700">
        <v>6.59</v>
      </c>
      <c r="P2700">
        <v>11.97</v>
      </c>
      <c r="Q2700">
        <v>-2.58</v>
      </c>
      <c r="R2700">
        <v>10.94</v>
      </c>
      <c r="S2700">
        <v>11.53</v>
      </c>
      <c r="T2700">
        <v>393028</v>
      </c>
      <c r="U2700">
        <v>10.97</v>
      </c>
      <c r="V2700">
        <v>11.23</v>
      </c>
      <c r="W2700">
        <v>19.600000000000001</v>
      </c>
      <c r="X2700" t="s">
        <v>1081</v>
      </c>
      <c r="Y2700" t="s">
        <v>1021</v>
      </c>
      <c r="Z2700">
        <v>9.17</v>
      </c>
      <c r="AA2700">
        <v>11.49</v>
      </c>
      <c r="AB2700">
        <v>184761</v>
      </c>
      <c r="AC2700">
        <v>208267</v>
      </c>
      <c r="AD2700">
        <v>0.89</v>
      </c>
      <c r="AE2700">
        <v>1225</v>
      </c>
      <c r="AF2700">
        <v>2336</v>
      </c>
      <c r="AG2700" t="s">
        <v>120</v>
      </c>
      <c r="AH2700">
        <v>0.03</v>
      </c>
      <c r="AI2700" t="s">
        <v>120</v>
      </c>
      <c r="AJ2700">
        <v>16.55</v>
      </c>
      <c r="AK2700" t="s">
        <v>12171</v>
      </c>
      <c r="AL2700">
        <v>-1.24</v>
      </c>
      <c r="AM2700">
        <v>4239</v>
      </c>
      <c r="AN2700">
        <v>93</v>
      </c>
      <c r="AO2700">
        <v>5.9999999999999995E-4</v>
      </c>
      <c r="AP2700">
        <v>-3</v>
      </c>
      <c r="AQ2700">
        <v>-0.71</v>
      </c>
      <c r="AR2700">
        <v>-7.21</v>
      </c>
      <c r="AS2700">
        <v>20.75</v>
      </c>
      <c r="AT2700">
        <v>52.16</v>
      </c>
      <c r="AU2700">
        <v>46.45</v>
      </c>
      <c r="AV2700">
        <v>3</v>
      </c>
      <c r="AW2700">
        <v>7.82</v>
      </c>
      <c r="AX2700">
        <v>30.35</v>
      </c>
      <c r="AY2700">
        <v>19.559999999999999</v>
      </c>
      <c r="AZ2700">
        <v>21.56</v>
      </c>
      <c r="BA2700">
        <v>1.1100000000000001</v>
      </c>
      <c r="BB2700" t="s">
        <v>143</v>
      </c>
      <c r="BF2700">
        <v>2.3199999999999998</v>
      </c>
      <c r="BG2700">
        <v>-5.12</v>
      </c>
      <c r="BH2700">
        <v>-8.6</v>
      </c>
      <c r="BI2700">
        <v>0</v>
      </c>
      <c r="BJ2700">
        <v>20210831</v>
      </c>
      <c r="BK2700">
        <v>20010531</v>
      </c>
      <c r="BL2700">
        <v>16.55</v>
      </c>
      <c r="BM2700" t="s">
        <v>120</v>
      </c>
      <c r="BN2700" t="s">
        <v>120</v>
      </c>
      <c r="BO2700">
        <v>191.28</v>
      </c>
      <c r="BP2700">
        <v>10.94</v>
      </c>
      <c r="BQ2700">
        <v>68.52</v>
      </c>
      <c r="BR2700">
        <v>11.42</v>
      </c>
      <c r="BS2700">
        <v>58.21</v>
      </c>
      <c r="BT2700">
        <v>51.88</v>
      </c>
      <c r="BU2700">
        <v>51.66</v>
      </c>
      <c r="BV2700">
        <v>11.95</v>
      </c>
      <c r="BW2700">
        <v>64.290000000000006</v>
      </c>
      <c r="BX2700">
        <v>17.399999999999999</v>
      </c>
      <c r="BY2700">
        <v>2.5499999999999998</v>
      </c>
      <c r="BZ2700">
        <v>7.08</v>
      </c>
      <c r="CA2700" t="s">
        <v>120</v>
      </c>
      <c r="CB2700">
        <v>21.74</v>
      </c>
      <c r="CC2700">
        <v>36.14</v>
      </c>
      <c r="CD2700">
        <v>24.02</v>
      </c>
      <c r="CE2700">
        <v>5.54</v>
      </c>
      <c r="CF2700">
        <v>0.28000000000000003</v>
      </c>
      <c r="CG2700">
        <v>5.6</v>
      </c>
      <c r="CH2700">
        <v>4.7699999999999996</v>
      </c>
      <c r="CI2700">
        <v>4.62</v>
      </c>
      <c r="CJ2700">
        <v>-0.28999999999999998</v>
      </c>
      <c r="CK2700">
        <v>4.47</v>
      </c>
      <c r="CL2700">
        <v>17.48</v>
      </c>
      <c r="CM2700">
        <v>4.07</v>
      </c>
      <c r="CN2700">
        <v>3.08</v>
      </c>
      <c r="CO2700">
        <v>39553</v>
      </c>
      <c r="CP2700">
        <v>12701</v>
      </c>
      <c r="CQ2700" t="s">
        <v>6814</v>
      </c>
      <c r="CR2700">
        <v>23.54</v>
      </c>
      <c r="CS2700">
        <v>14.21</v>
      </c>
      <c r="CT2700">
        <v>2.64</v>
      </c>
      <c r="CU2700">
        <v>44.49</v>
      </c>
      <c r="CV2700">
        <v>5.01</v>
      </c>
      <c r="CW2700">
        <v>3.56</v>
      </c>
      <c r="CX2700" t="s">
        <v>1054</v>
      </c>
      <c r="CY2700">
        <v>4.1399999999999997</v>
      </c>
      <c r="CZ2700">
        <v>0</v>
      </c>
      <c r="DA2700">
        <v>1.31</v>
      </c>
      <c r="DB2700">
        <v>1.06</v>
      </c>
      <c r="DC2700">
        <v>0.25</v>
      </c>
      <c r="DD2700">
        <v>35.82</v>
      </c>
      <c r="DE2700" t="s">
        <v>8920</v>
      </c>
      <c r="DF2700">
        <v>33.53</v>
      </c>
      <c r="DG2700">
        <v>15.34</v>
      </c>
      <c r="DH2700">
        <v>12.79</v>
      </c>
      <c r="DI2700">
        <v>0.39</v>
      </c>
      <c r="DJ2700">
        <v>25279</v>
      </c>
      <c r="DK2700">
        <v>600395</v>
      </c>
      <c r="DL2700" t="s">
        <v>120</v>
      </c>
      <c r="DM2700" t="s">
        <v>120</v>
      </c>
      <c r="DN2700" t="s">
        <v>120</v>
      </c>
    </row>
    <row r="2701" spans="1:118">
      <c r="A2701" t="str">
        <f>"600396"</f>
        <v>600396</v>
      </c>
      <c r="B2701" t="s">
        <v>12172</v>
      </c>
      <c r="C2701">
        <v>-1.93</v>
      </c>
      <c r="D2701">
        <v>0.4</v>
      </c>
      <c r="E2701">
        <v>0.39</v>
      </c>
      <c r="F2701">
        <v>1355</v>
      </c>
      <c r="G2701" t="s">
        <v>12173</v>
      </c>
      <c r="H2701">
        <v>3812.98</v>
      </c>
      <c r="I2701">
        <v>11.83</v>
      </c>
      <c r="J2701" t="s">
        <v>120</v>
      </c>
      <c r="K2701" t="s">
        <v>12174</v>
      </c>
      <c r="L2701">
        <v>1.01</v>
      </c>
      <c r="M2701">
        <v>2.54</v>
      </c>
      <c r="N2701">
        <v>0.78</v>
      </c>
      <c r="O2701">
        <v>1.1599999999999999</v>
      </c>
      <c r="P2701">
        <v>2.62</v>
      </c>
      <c r="Q2701">
        <v>-3.47</v>
      </c>
      <c r="R2701">
        <v>2.5</v>
      </c>
      <c r="S2701">
        <v>2.6</v>
      </c>
      <c r="T2701">
        <v>148863</v>
      </c>
      <c r="U2701">
        <v>2.54</v>
      </c>
      <c r="V2701">
        <v>2.59</v>
      </c>
      <c r="W2701" t="s">
        <v>120</v>
      </c>
      <c r="X2701" t="s">
        <v>268</v>
      </c>
      <c r="Y2701" t="s">
        <v>432</v>
      </c>
      <c r="Z2701">
        <v>4.63</v>
      </c>
      <c r="AA2701">
        <v>2.56</v>
      </c>
      <c r="AB2701">
        <v>84234</v>
      </c>
      <c r="AC2701">
        <v>64629</v>
      </c>
      <c r="AD2701">
        <v>1.3</v>
      </c>
      <c r="AE2701">
        <v>429</v>
      </c>
      <c r="AF2701">
        <v>3303</v>
      </c>
      <c r="AG2701" t="s">
        <v>120</v>
      </c>
      <c r="AH2701">
        <v>0.01</v>
      </c>
      <c r="AI2701" t="s">
        <v>120</v>
      </c>
      <c r="AJ2701">
        <v>14.73</v>
      </c>
      <c r="AK2701" t="s">
        <v>12174</v>
      </c>
      <c r="AL2701">
        <v>-0.59</v>
      </c>
      <c r="AM2701">
        <v>2003</v>
      </c>
      <c r="AN2701">
        <v>74</v>
      </c>
      <c r="AO2701">
        <v>5.0000000000000001E-4</v>
      </c>
      <c r="AP2701">
        <v>-1</v>
      </c>
      <c r="AQ2701">
        <v>2.37</v>
      </c>
      <c r="AR2701">
        <v>-3.42</v>
      </c>
      <c r="AS2701">
        <v>11.41</v>
      </c>
      <c r="AT2701">
        <v>0.8</v>
      </c>
      <c r="AU2701">
        <v>-9.2899999999999991</v>
      </c>
      <c r="AV2701">
        <v>6</v>
      </c>
      <c r="AW2701">
        <v>2.41</v>
      </c>
      <c r="AX2701">
        <v>41.94</v>
      </c>
      <c r="AY2701" t="s">
        <v>120</v>
      </c>
      <c r="AZ2701">
        <v>46.67</v>
      </c>
      <c r="BA2701">
        <v>0.8</v>
      </c>
      <c r="BB2701" t="s">
        <v>184</v>
      </c>
      <c r="BF2701">
        <v>-1.1000000000000001</v>
      </c>
      <c r="BG2701">
        <v>-2.31</v>
      </c>
      <c r="BH2701">
        <v>-3.05</v>
      </c>
      <c r="BI2701">
        <v>1.6</v>
      </c>
      <c r="BJ2701">
        <v>20210827</v>
      </c>
      <c r="BK2701">
        <v>20010328</v>
      </c>
      <c r="BL2701">
        <v>14.73</v>
      </c>
      <c r="BM2701" t="s">
        <v>120</v>
      </c>
      <c r="BN2701" t="s">
        <v>120</v>
      </c>
      <c r="BO2701">
        <v>198.19</v>
      </c>
      <c r="BP2701">
        <v>2.5299999999999998</v>
      </c>
      <c r="BQ2701">
        <v>18.07</v>
      </c>
      <c r="BR2701">
        <v>2.52</v>
      </c>
      <c r="BS2701">
        <v>89.61</v>
      </c>
      <c r="BT2701">
        <v>27.46</v>
      </c>
      <c r="BU2701">
        <v>158.78</v>
      </c>
      <c r="BV2701">
        <v>2.54</v>
      </c>
      <c r="BW2701">
        <v>109.02</v>
      </c>
      <c r="BX2701">
        <v>11.5</v>
      </c>
      <c r="BY2701">
        <v>3.09</v>
      </c>
      <c r="BZ2701">
        <v>9.24</v>
      </c>
      <c r="CA2701" t="s">
        <v>120</v>
      </c>
      <c r="CB2701">
        <v>13.56</v>
      </c>
      <c r="CC2701">
        <v>32.19</v>
      </c>
      <c r="CD2701">
        <v>30.98</v>
      </c>
      <c r="CE2701">
        <v>-3.56</v>
      </c>
      <c r="CF2701">
        <v>0.13</v>
      </c>
      <c r="CG2701">
        <v>-3.53</v>
      </c>
      <c r="CH2701">
        <v>-3.59</v>
      </c>
      <c r="CI2701">
        <v>-3.16</v>
      </c>
      <c r="CJ2701">
        <v>-0.05</v>
      </c>
      <c r="CK2701">
        <v>-3.23</v>
      </c>
      <c r="CL2701">
        <v>-11.52</v>
      </c>
      <c r="CM2701">
        <v>3.83</v>
      </c>
      <c r="CN2701">
        <v>1.25</v>
      </c>
      <c r="CO2701">
        <v>66818</v>
      </c>
      <c r="CP2701">
        <v>9243</v>
      </c>
      <c r="CQ2701" t="s">
        <v>12175</v>
      </c>
      <c r="CR2701">
        <v>-405.39</v>
      </c>
      <c r="CS2701">
        <v>-6.13</v>
      </c>
      <c r="CT2701">
        <v>2.0699999999999998</v>
      </c>
      <c r="CU2701">
        <v>9.76</v>
      </c>
      <c r="CV2701">
        <v>1.1599999999999999</v>
      </c>
      <c r="CW2701">
        <v>0</v>
      </c>
      <c r="CX2701" t="s">
        <v>12176</v>
      </c>
      <c r="CY2701">
        <v>1.23</v>
      </c>
      <c r="CZ2701">
        <v>0</v>
      </c>
      <c r="DA2701">
        <v>0.92</v>
      </c>
      <c r="DB2701">
        <v>-0.78</v>
      </c>
      <c r="DC2701">
        <v>0.26</v>
      </c>
      <c r="DD2701">
        <v>9.1199999999999992</v>
      </c>
      <c r="DE2701" t="s">
        <v>12177</v>
      </c>
      <c r="DF2701">
        <v>3.75</v>
      </c>
      <c r="DG2701">
        <v>-11.08</v>
      </c>
      <c r="DH2701">
        <v>-9.8000000000000007</v>
      </c>
      <c r="DI2701" t="s">
        <v>120</v>
      </c>
      <c r="DJ2701">
        <v>3207</v>
      </c>
      <c r="DK2701">
        <v>600396</v>
      </c>
      <c r="DL2701" t="s">
        <v>120</v>
      </c>
      <c r="DM2701" t="s">
        <v>120</v>
      </c>
      <c r="DN2701" t="s">
        <v>120</v>
      </c>
    </row>
    <row r="2702" spans="1:118">
      <c r="A2702" t="str">
        <f>"600397"</f>
        <v>600397</v>
      </c>
      <c r="B2702" t="s">
        <v>12178</v>
      </c>
      <c r="C2702">
        <v>-3.5</v>
      </c>
      <c r="D2702">
        <v>-0.55000000000000004</v>
      </c>
      <c r="E2702">
        <v>2.4300000000000002</v>
      </c>
      <c r="F2702">
        <v>3862</v>
      </c>
      <c r="G2702" t="s">
        <v>7665</v>
      </c>
      <c r="H2702">
        <v>41446.57</v>
      </c>
      <c r="I2702">
        <v>882.97</v>
      </c>
      <c r="J2702" t="s">
        <v>120</v>
      </c>
      <c r="K2702" t="s">
        <v>12179</v>
      </c>
      <c r="L2702">
        <v>11.33</v>
      </c>
      <c r="M2702">
        <v>3.58</v>
      </c>
      <c r="N2702">
        <v>1.99</v>
      </c>
      <c r="O2702">
        <v>3.23</v>
      </c>
      <c r="P2702">
        <v>3.83</v>
      </c>
      <c r="Q2702">
        <v>-3.77</v>
      </c>
      <c r="R2702">
        <v>3.57</v>
      </c>
      <c r="S2702">
        <v>3.8</v>
      </c>
      <c r="T2702">
        <v>1121208</v>
      </c>
      <c r="U2702">
        <v>3.58</v>
      </c>
      <c r="V2702">
        <v>3.71</v>
      </c>
      <c r="W2702" t="s">
        <v>120</v>
      </c>
      <c r="X2702" t="s">
        <v>1081</v>
      </c>
      <c r="Y2702" t="s">
        <v>676</v>
      </c>
      <c r="Z2702">
        <v>7.01</v>
      </c>
      <c r="AA2702">
        <v>3.7</v>
      </c>
      <c r="AB2702">
        <v>548182</v>
      </c>
      <c r="AC2702">
        <v>573026</v>
      </c>
      <c r="AD2702">
        <v>0.96</v>
      </c>
      <c r="AE2702">
        <v>957</v>
      </c>
      <c r="AF2702">
        <v>1356</v>
      </c>
      <c r="AG2702" t="s">
        <v>120</v>
      </c>
      <c r="AH2702">
        <v>0.39</v>
      </c>
      <c r="AI2702" t="s">
        <v>120</v>
      </c>
      <c r="AJ2702">
        <v>9.9</v>
      </c>
      <c r="AK2702" t="s">
        <v>12179</v>
      </c>
      <c r="AL2702">
        <v>-2.16</v>
      </c>
      <c r="AM2702">
        <v>4101</v>
      </c>
      <c r="AN2702">
        <v>273</v>
      </c>
      <c r="AO2702">
        <v>2.8E-3</v>
      </c>
      <c r="AP2702">
        <v>-1</v>
      </c>
      <c r="AQ2702">
        <v>10.09</v>
      </c>
      <c r="AR2702">
        <v>2.58</v>
      </c>
      <c r="AS2702">
        <v>25.62</v>
      </c>
      <c r="AT2702">
        <v>24.31</v>
      </c>
      <c r="AU2702">
        <v>4.07</v>
      </c>
      <c r="AV2702">
        <v>10</v>
      </c>
      <c r="AW2702">
        <v>18.670000000000002</v>
      </c>
      <c r="AX2702">
        <v>60.66</v>
      </c>
      <c r="AY2702" t="s">
        <v>120</v>
      </c>
      <c r="AZ2702" t="s">
        <v>120</v>
      </c>
      <c r="BA2702">
        <v>0.75</v>
      </c>
      <c r="BB2702" t="s">
        <v>168</v>
      </c>
      <c r="BF2702">
        <v>-0.36</v>
      </c>
      <c r="BG2702">
        <v>-5.79</v>
      </c>
      <c r="BH2702">
        <v>-6.53</v>
      </c>
      <c r="BI2702">
        <v>0.28000000000000003</v>
      </c>
      <c r="BJ2702">
        <v>20210827</v>
      </c>
      <c r="BK2702">
        <v>20020702</v>
      </c>
      <c r="BL2702">
        <v>9.9</v>
      </c>
      <c r="BM2702" t="s">
        <v>120</v>
      </c>
      <c r="BN2702" t="s">
        <v>120</v>
      </c>
      <c r="BO2702">
        <v>81.260000000000005</v>
      </c>
      <c r="BP2702">
        <v>3.57</v>
      </c>
      <c r="BQ2702">
        <v>5.85</v>
      </c>
      <c r="BR2702">
        <v>-1.21</v>
      </c>
      <c r="BS2702">
        <v>94.29</v>
      </c>
      <c r="BT2702">
        <v>34.46</v>
      </c>
      <c r="BU2702">
        <v>37.479999999999997</v>
      </c>
      <c r="BV2702">
        <v>5.28</v>
      </c>
      <c r="BW2702">
        <v>70.17</v>
      </c>
      <c r="BX2702">
        <v>12.27</v>
      </c>
      <c r="BY2702">
        <v>1.68</v>
      </c>
      <c r="BZ2702">
        <v>4.9800000000000004</v>
      </c>
      <c r="CA2702" t="s">
        <v>120</v>
      </c>
      <c r="CB2702">
        <v>18.63</v>
      </c>
      <c r="CC2702">
        <v>41.01</v>
      </c>
      <c r="CD2702">
        <v>39.03</v>
      </c>
      <c r="CE2702">
        <v>-0.55000000000000004</v>
      </c>
      <c r="CF2702">
        <v>0.03</v>
      </c>
      <c r="CG2702">
        <v>-0.59</v>
      </c>
      <c r="CH2702">
        <v>-0.64</v>
      </c>
      <c r="CI2702">
        <v>-0.6</v>
      </c>
      <c r="CJ2702">
        <v>-0.13</v>
      </c>
      <c r="CK2702">
        <v>-0.67</v>
      </c>
      <c r="CL2702">
        <v>-26.14</v>
      </c>
      <c r="CM2702">
        <v>-0.25</v>
      </c>
      <c r="CN2702">
        <v>0.64</v>
      </c>
      <c r="CO2702">
        <v>53718</v>
      </c>
      <c r="CP2702">
        <v>11178</v>
      </c>
      <c r="CQ2702" t="s">
        <v>1688</v>
      </c>
      <c r="CR2702">
        <v>24.88</v>
      </c>
      <c r="CS2702">
        <v>49.92</v>
      </c>
      <c r="CT2702">
        <v>6.06</v>
      </c>
      <c r="CU2702">
        <v>-142.69999999999999</v>
      </c>
      <c r="CV2702">
        <v>0.86</v>
      </c>
      <c r="CW2702">
        <v>0</v>
      </c>
      <c r="CX2702" t="s">
        <v>2175</v>
      </c>
      <c r="CY2702">
        <v>0.59</v>
      </c>
      <c r="CZ2702">
        <v>0</v>
      </c>
      <c r="DA2702">
        <v>1.88</v>
      </c>
      <c r="DB2702">
        <v>-2.64</v>
      </c>
      <c r="DC2702">
        <v>-0.03</v>
      </c>
      <c r="DD2702">
        <v>7.2</v>
      </c>
      <c r="DE2702" t="s">
        <v>12180</v>
      </c>
      <c r="DF2702">
        <v>4.84</v>
      </c>
      <c r="DG2702">
        <v>-1.33</v>
      </c>
      <c r="DH2702">
        <v>-1.47</v>
      </c>
      <c r="DI2702">
        <v>0.22</v>
      </c>
      <c r="DJ2702">
        <v>9047</v>
      </c>
      <c r="DK2702">
        <v>600397</v>
      </c>
      <c r="DL2702">
        <v>20210902</v>
      </c>
      <c r="DM2702">
        <v>3.48</v>
      </c>
      <c r="DN2702">
        <v>2.87</v>
      </c>
    </row>
    <row r="2703" spans="1:118">
      <c r="A2703" t="str">
        <f>"600398"</f>
        <v>600398</v>
      </c>
      <c r="B2703" t="s">
        <v>12181</v>
      </c>
      <c r="C2703">
        <v>-2.46</v>
      </c>
      <c r="D2703">
        <v>-0.25</v>
      </c>
      <c r="E2703">
        <v>-0.26</v>
      </c>
      <c r="F2703">
        <v>2783</v>
      </c>
      <c r="G2703" t="s">
        <v>12182</v>
      </c>
      <c r="H2703">
        <v>9542.1200000000008</v>
      </c>
      <c r="I2703">
        <v>4.7699999999999996</v>
      </c>
      <c r="J2703" t="s">
        <v>120</v>
      </c>
      <c r="K2703" t="s">
        <v>12183</v>
      </c>
      <c r="L2703">
        <v>0.28999999999999998</v>
      </c>
      <c r="M2703">
        <v>7.53</v>
      </c>
      <c r="N2703">
        <v>1.1100000000000001</v>
      </c>
      <c r="O2703">
        <v>0.91</v>
      </c>
      <c r="P2703">
        <v>7.79</v>
      </c>
      <c r="Q2703">
        <v>-2.46</v>
      </c>
      <c r="R2703">
        <v>7.53</v>
      </c>
      <c r="S2703">
        <v>7.7</v>
      </c>
      <c r="T2703">
        <v>124314</v>
      </c>
      <c r="U2703">
        <v>7.54</v>
      </c>
      <c r="V2703">
        <v>7.72</v>
      </c>
      <c r="W2703">
        <v>9.86</v>
      </c>
      <c r="X2703" t="s">
        <v>2806</v>
      </c>
      <c r="Y2703" t="s">
        <v>319</v>
      </c>
      <c r="Z2703">
        <v>3.37</v>
      </c>
      <c r="AA2703">
        <v>7.68</v>
      </c>
      <c r="AB2703">
        <v>68682</v>
      </c>
      <c r="AC2703">
        <v>55632</v>
      </c>
      <c r="AD2703">
        <v>1.23</v>
      </c>
      <c r="AE2703">
        <v>509</v>
      </c>
      <c r="AF2703">
        <v>140</v>
      </c>
      <c r="AG2703" t="s">
        <v>120</v>
      </c>
      <c r="AH2703">
        <v>0</v>
      </c>
      <c r="AI2703" t="s">
        <v>120</v>
      </c>
      <c r="AJ2703">
        <v>43.2</v>
      </c>
      <c r="AK2703" t="s">
        <v>12183</v>
      </c>
      <c r="AL2703">
        <v>-1.1200000000000001</v>
      </c>
      <c r="AM2703">
        <v>2922</v>
      </c>
      <c r="AN2703">
        <v>43</v>
      </c>
      <c r="AO2703">
        <v>1E-4</v>
      </c>
      <c r="AP2703">
        <v>-3</v>
      </c>
      <c r="AQ2703">
        <v>-0.64</v>
      </c>
      <c r="AR2703">
        <v>-5.99</v>
      </c>
      <c r="AS2703">
        <v>8.0299999999999994</v>
      </c>
      <c r="AT2703">
        <v>8.9700000000000006</v>
      </c>
      <c r="AU2703">
        <v>22.16</v>
      </c>
      <c r="AV2703">
        <v>0</v>
      </c>
      <c r="AW2703">
        <v>1.03</v>
      </c>
      <c r="AX2703">
        <v>27.95</v>
      </c>
      <c r="AY2703">
        <v>13.41</v>
      </c>
      <c r="AZ2703">
        <v>18.690000000000001</v>
      </c>
      <c r="BA2703">
        <v>0.3</v>
      </c>
      <c r="BB2703" t="s">
        <v>143</v>
      </c>
      <c r="BF2703">
        <v>-0.56999999999999995</v>
      </c>
      <c r="BG2703">
        <v>-2.21</v>
      </c>
      <c r="BH2703">
        <v>-3.34</v>
      </c>
      <c r="BI2703">
        <v>0</v>
      </c>
      <c r="BJ2703">
        <v>20210827</v>
      </c>
      <c r="BK2703">
        <v>20001228</v>
      </c>
      <c r="BL2703">
        <v>43.2</v>
      </c>
      <c r="BM2703" t="s">
        <v>120</v>
      </c>
      <c r="BN2703" t="s">
        <v>120</v>
      </c>
      <c r="BO2703">
        <v>301.82</v>
      </c>
      <c r="BP2703">
        <v>7.53</v>
      </c>
      <c r="BQ2703">
        <v>142.59</v>
      </c>
      <c r="BR2703">
        <v>1.66</v>
      </c>
      <c r="BS2703">
        <v>52.21</v>
      </c>
      <c r="BT2703">
        <v>212.41</v>
      </c>
      <c r="BU2703">
        <v>34.71</v>
      </c>
      <c r="BV2703">
        <v>10.24</v>
      </c>
      <c r="BW2703">
        <v>119.92</v>
      </c>
      <c r="BX2703">
        <v>116.95</v>
      </c>
      <c r="BY2703">
        <v>72.03</v>
      </c>
      <c r="BZ2703">
        <v>9.18</v>
      </c>
      <c r="CA2703">
        <v>0.03</v>
      </c>
      <c r="CB2703">
        <v>9</v>
      </c>
      <c r="CC2703">
        <v>101.35</v>
      </c>
      <c r="CD2703">
        <v>57.17</v>
      </c>
      <c r="CE2703">
        <v>21.33</v>
      </c>
      <c r="CF2703">
        <v>0.19</v>
      </c>
      <c r="CG2703">
        <v>21.44</v>
      </c>
      <c r="CH2703">
        <v>16.23</v>
      </c>
      <c r="CI2703">
        <v>16.5</v>
      </c>
      <c r="CJ2703">
        <v>-0.19</v>
      </c>
      <c r="CK2703">
        <v>15.88</v>
      </c>
      <c r="CL2703">
        <v>96.91</v>
      </c>
      <c r="CM2703">
        <v>25.34</v>
      </c>
      <c r="CN2703">
        <v>8.9</v>
      </c>
      <c r="CO2703">
        <v>48380</v>
      </c>
      <c r="CP2703">
        <v>24958</v>
      </c>
      <c r="CQ2703" t="s">
        <v>12184</v>
      </c>
      <c r="CR2703">
        <v>74.19</v>
      </c>
      <c r="CS2703">
        <v>25.09</v>
      </c>
      <c r="CT2703">
        <v>2.37</v>
      </c>
      <c r="CU2703">
        <v>12.84</v>
      </c>
      <c r="CV2703">
        <v>3.21</v>
      </c>
      <c r="CW2703">
        <v>3.32</v>
      </c>
      <c r="CX2703" t="s">
        <v>2429</v>
      </c>
      <c r="CY2703">
        <v>3.18</v>
      </c>
      <c r="CZ2703">
        <v>3.18</v>
      </c>
      <c r="DA2703">
        <v>0.21</v>
      </c>
      <c r="DB2703">
        <v>2.2400000000000002</v>
      </c>
      <c r="DC2703">
        <v>0.59</v>
      </c>
      <c r="DD2703">
        <v>47.24</v>
      </c>
      <c r="DE2703" t="s">
        <v>12185</v>
      </c>
      <c r="DF2703">
        <v>43.59</v>
      </c>
      <c r="DG2703">
        <v>21.05</v>
      </c>
      <c r="DH2703">
        <v>16.28</v>
      </c>
      <c r="DI2703">
        <v>0.51</v>
      </c>
      <c r="DJ2703">
        <v>20593</v>
      </c>
      <c r="DK2703">
        <v>600398</v>
      </c>
      <c r="DL2703" t="s">
        <v>120</v>
      </c>
      <c r="DM2703" t="s">
        <v>120</v>
      </c>
      <c r="DN2703" t="s">
        <v>120</v>
      </c>
    </row>
    <row r="2704" spans="1:118">
      <c r="A2704" t="str">
        <f>"600399"</f>
        <v>600399</v>
      </c>
      <c r="B2704" t="s">
        <v>12186</v>
      </c>
      <c r="C2704">
        <v>-4.8899999999999997</v>
      </c>
      <c r="D2704">
        <v>-0.08</v>
      </c>
      <c r="E2704">
        <v>-0.04</v>
      </c>
      <c r="F2704">
        <v>2914</v>
      </c>
      <c r="G2704" t="s">
        <v>12187</v>
      </c>
      <c r="H2704">
        <v>88095.9</v>
      </c>
      <c r="I2704">
        <v>85.58</v>
      </c>
      <c r="J2704" t="s">
        <v>120</v>
      </c>
      <c r="K2704" t="s">
        <v>12188</v>
      </c>
      <c r="L2704">
        <v>2.04</v>
      </c>
      <c r="M2704">
        <v>21.6</v>
      </c>
      <c r="N2704">
        <v>1.25</v>
      </c>
      <c r="O2704">
        <v>0.09</v>
      </c>
      <c r="P2704">
        <v>22.73</v>
      </c>
      <c r="Q2704">
        <v>-5.99</v>
      </c>
      <c r="R2704">
        <v>21.35</v>
      </c>
      <c r="S2704">
        <v>22.7</v>
      </c>
      <c r="T2704">
        <v>402114</v>
      </c>
      <c r="U2704">
        <v>21.6</v>
      </c>
      <c r="V2704">
        <v>22.71</v>
      </c>
      <c r="W2704">
        <v>49.39</v>
      </c>
      <c r="X2704" t="s">
        <v>1667</v>
      </c>
      <c r="Y2704" t="s">
        <v>432</v>
      </c>
      <c r="Z2704">
        <v>6.08</v>
      </c>
      <c r="AA2704">
        <v>21.91</v>
      </c>
      <c r="AB2704">
        <v>215729</v>
      </c>
      <c r="AC2704">
        <v>186385</v>
      </c>
      <c r="AD2704">
        <v>1.1599999999999999</v>
      </c>
      <c r="AE2704">
        <v>1</v>
      </c>
      <c r="AF2704">
        <v>2276</v>
      </c>
      <c r="AG2704" t="s">
        <v>120</v>
      </c>
      <c r="AH2704">
        <v>0</v>
      </c>
      <c r="AI2704" t="s">
        <v>120</v>
      </c>
      <c r="AJ2704">
        <v>19.72</v>
      </c>
      <c r="AK2704" t="s">
        <v>12188</v>
      </c>
      <c r="AL2704">
        <v>-3.54</v>
      </c>
      <c r="AM2704">
        <v>4455</v>
      </c>
      <c r="AN2704">
        <v>90</v>
      </c>
      <c r="AO2704">
        <v>5.0000000000000001E-4</v>
      </c>
      <c r="AP2704">
        <v>-2</v>
      </c>
      <c r="AQ2704">
        <v>-1.48</v>
      </c>
      <c r="AR2704">
        <v>-5.88</v>
      </c>
      <c r="AS2704">
        <v>-16.77</v>
      </c>
      <c r="AT2704">
        <v>16.13</v>
      </c>
      <c r="AU2704">
        <v>44.97</v>
      </c>
      <c r="AV2704">
        <v>24</v>
      </c>
      <c r="AW2704">
        <v>2.88</v>
      </c>
      <c r="AX2704">
        <v>70.75</v>
      </c>
      <c r="AY2704">
        <v>56.02</v>
      </c>
      <c r="AZ2704">
        <v>81.19</v>
      </c>
      <c r="BA2704">
        <v>0.52</v>
      </c>
      <c r="BB2704" t="s">
        <v>134</v>
      </c>
      <c r="BF2704">
        <v>-3.53</v>
      </c>
      <c r="BG2704">
        <v>-4.8499999999999996</v>
      </c>
      <c r="BH2704">
        <v>-4.97</v>
      </c>
      <c r="BI2704">
        <v>1.17</v>
      </c>
      <c r="BJ2704">
        <v>20210821</v>
      </c>
      <c r="BK2704">
        <v>20001229</v>
      </c>
      <c r="BL2704">
        <v>19.72</v>
      </c>
      <c r="BM2704" t="s">
        <v>120</v>
      </c>
      <c r="BN2704" t="s">
        <v>120</v>
      </c>
      <c r="BO2704">
        <v>98.11</v>
      </c>
      <c r="BP2704">
        <v>21.59</v>
      </c>
      <c r="BQ2704">
        <v>54.62</v>
      </c>
      <c r="BR2704" t="s">
        <v>120</v>
      </c>
      <c r="BS2704">
        <v>44.33</v>
      </c>
      <c r="BT2704">
        <v>54.34</v>
      </c>
      <c r="BU2704">
        <v>33.200000000000003</v>
      </c>
      <c r="BV2704">
        <v>7.71</v>
      </c>
      <c r="BW2704">
        <v>15.38</v>
      </c>
      <c r="BX2704">
        <v>5.85</v>
      </c>
      <c r="BY2704">
        <v>18.71</v>
      </c>
      <c r="BZ2704">
        <v>5.09</v>
      </c>
      <c r="CA2704" t="s">
        <v>120</v>
      </c>
      <c r="CB2704">
        <v>21.78</v>
      </c>
      <c r="CC2704">
        <v>37.69</v>
      </c>
      <c r="CD2704">
        <v>29.95</v>
      </c>
      <c r="CE2704">
        <v>4.3499999999999996</v>
      </c>
      <c r="CF2704">
        <v>7.0000000000000007E-2</v>
      </c>
      <c r="CG2704">
        <v>4.33</v>
      </c>
      <c r="CH2704">
        <v>4.3099999999999996</v>
      </c>
      <c r="CI2704">
        <v>4.3099999999999996</v>
      </c>
      <c r="CJ2704">
        <v>-1.1100000000000001</v>
      </c>
      <c r="CK2704">
        <v>4.08</v>
      </c>
      <c r="CL2704">
        <v>11.48</v>
      </c>
      <c r="CM2704">
        <v>-1.48</v>
      </c>
      <c r="CN2704">
        <v>-3.95</v>
      </c>
      <c r="CO2704">
        <v>44188</v>
      </c>
      <c r="CP2704">
        <v>31575</v>
      </c>
      <c r="CQ2704" t="s">
        <v>12189</v>
      </c>
      <c r="CR2704">
        <v>135.21</v>
      </c>
      <c r="CS2704">
        <v>21.29</v>
      </c>
      <c r="CT2704">
        <v>7.8</v>
      </c>
      <c r="CU2704">
        <v>-287.14</v>
      </c>
      <c r="CV2704">
        <v>11.3</v>
      </c>
      <c r="CW2704">
        <v>0</v>
      </c>
      <c r="CX2704" t="s">
        <v>10013</v>
      </c>
      <c r="CY2704">
        <v>2.77</v>
      </c>
      <c r="CZ2704">
        <v>0</v>
      </c>
      <c r="DA2704">
        <v>1.1000000000000001</v>
      </c>
      <c r="DB2704">
        <v>0.57999999999999996</v>
      </c>
      <c r="DC2704">
        <v>-0.08</v>
      </c>
      <c r="DD2704">
        <v>55.67</v>
      </c>
      <c r="DE2704" t="s">
        <v>10971</v>
      </c>
      <c r="DF2704">
        <v>20.52</v>
      </c>
      <c r="DG2704">
        <v>11.53</v>
      </c>
      <c r="DH2704">
        <v>11.44</v>
      </c>
      <c r="DI2704">
        <v>1.39</v>
      </c>
      <c r="DJ2704">
        <v>7083</v>
      </c>
      <c r="DK2704">
        <v>600399</v>
      </c>
      <c r="DL2704" t="s">
        <v>120</v>
      </c>
      <c r="DM2704" t="s">
        <v>120</v>
      </c>
      <c r="DN2704" t="s">
        <v>120</v>
      </c>
    </row>
    <row r="2705" spans="1:118">
      <c r="A2705" t="str">
        <f>"600400"</f>
        <v>600400</v>
      </c>
      <c r="B2705" t="s">
        <v>12190</v>
      </c>
      <c r="C2705">
        <v>-1.33</v>
      </c>
      <c r="D2705">
        <v>-0.33</v>
      </c>
      <c r="E2705">
        <v>-0.33</v>
      </c>
      <c r="F2705">
        <v>617</v>
      </c>
      <c r="G2705" t="s">
        <v>12191</v>
      </c>
      <c r="H2705">
        <v>2446.4499999999998</v>
      </c>
      <c r="I2705">
        <v>2.25</v>
      </c>
      <c r="J2705" t="s">
        <v>120</v>
      </c>
      <c r="K2705" t="s">
        <v>12192</v>
      </c>
      <c r="L2705">
        <v>0.32</v>
      </c>
      <c r="M2705">
        <v>2.97</v>
      </c>
      <c r="N2705">
        <v>0.82</v>
      </c>
      <c r="O2705">
        <v>0.33</v>
      </c>
      <c r="P2705">
        <v>3.02</v>
      </c>
      <c r="Q2705">
        <v>-1.66</v>
      </c>
      <c r="R2705">
        <v>2.96</v>
      </c>
      <c r="S2705">
        <v>3</v>
      </c>
      <c r="T2705">
        <v>81810</v>
      </c>
      <c r="U2705">
        <v>2.97</v>
      </c>
      <c r="V2705">
        <v>3.01</v>
      </c>
      <c r="W2705">
        <v>50.09</v>
      </c>
      <c r="X2705" t="s">
        <v>2806</v>
      </c>
      <c r="Y2705" t="s">
        <v>319</v>
      </c>
      <c r="Z2705">
        <v>1.99</v>
      </c>
      <c r="AA2705">
        <v>2.99</v>
      </c>
      <c r="AB2705">
        <v>53628</v>
      </c>
      <c r="AC2705">
        <v>28182</v>
      </c>
      <c r="AD2705">
        <v>1.9</v>
      </c>
      <c r="AE2705">
        <v>3229</v>
      </c>
      <c r="AF2705">
        <v>1028</v>
      </c>
      <c r="AG2705" t="s">
        <v>120</v>
      </c>
      <c r="AH2705">
        <v>0</v>
      </c>
      <c r="AI2705" t="s">
        <v>120</v>
      </c>
      <c r="AJ2705">
        <v>25.33</v>
      </c>
      <c r="AK2705" t="s">
        <v>12192</v>
      </c>
      <c r="AL2705">
        <v>0.01</v>
      </c>
      <c r="AM2705">
        <v>1076</v>
      </c>
      <c r="AN2705">
        <v>76</v>
      </c>
      <c r="AO2705">
        <v>2.9999999999999997E-4</v>
      </c>
      <c r="AP2705">
        <v>-1</v>
      </c>
      <c r="AQ2705">
        <v>0.67</v>
      </c>
      <c r="AR2705">
        <v>-1.98</v>
      </c>
      <c r="AS2705">
        <v>3.49</v>
      </c>
      <c r="AT2705">
        <v>3.12</v>
      </c>
      <c r="AU2705">
        <v>-2.31</v>
      </c>
      <c r="AV2705">
        <v>0</v>
      </c>
      <c r="AW2705">
        <v>0.92</v>
      </c>
      <c r="AX2705">
        <v>35.28</v>
      </c>
      <c r="AY2705">
        <v>66.66</v>
      </c>
      <c r="AZ2705">
        <v>52.58</v>
      </c>
      <c r="BA2705">
        <v>0.37</v>
      </c>
      <c r="BB2705" t="s">
        <v>184</v>
      </c>
      <c r="BF2705">
        <v>-0.65</v>
      </c>
      <c r="BG2705">
        <v>-1</v>
      </c>
      <c r="BH2705">
        <v>-1.66</v>
      </c>
      <c r="BI2705">
        <v>0.34</v>
      </c>
      <c r="BJ2705">
        <v>20210827</v>
      </c>
      <c r="BK2705">
        <v>20010108</v>
      </c>
      <c r="BL2705">
        <v>25.33</v>
      </c>
      <c r="BM2705" t="s">
        <v>120</v>
      </c>
      <c r="BN2705" t="s">
        <v>120</v>
      </c>
      <c r="BO2705">
        <v>44.53</v>
      </c>
      <c r="BP2705">
        <v>2.96</v>
      </c>
      <c r="BQ2705">
        <v>31.73</v>
      </c>
      <c r="BR2705">
        <v>1.1100000000000001</v>
      </c>
      <c r="BS2705">
        <v>26.25</v>
      </c>
      <c r="BT2705">
        <v>15.12</v>
      </c>
      <c r="BU2705">
        <v>4.28</v>
      </c>
      <c r="BV2705">
        <v>1.43</v>
      </c>
      <c r="BW2705">
        <v>8.77</v>
      </c>
      <c r="BX2705">
        <v>7.19</v>
      </c>
      <c r="BY2705">
        <v>1.36</v>
      </c>
      <c r="BZ2705">
        <v>4.1100000000000003</v>
      </c>
      <c r="CA2705" t="s">
        <v>120</v>
      </c>
      <c r="CB2705">
        <v>7.54</v>
      </c>
      <c r="CC2705">
        <v>10.33</v>
      </c>
      <c r="CD2705">
        <v>7.05</v>
      </c>
      <c r="CE2705">
        <v>0.99</v>
      </c>
      <c r="CF2705">
        <v>0.33</v>
      </c>
      <c r="CG2705">
        <v>1</v>
      </c>
      <c r="CH2705">
        <v>0.77</v>
      </c>
      <c r="CI2705">
        <v>0.75</v>
      </c>
      <c r="CJ2705">
        <v>-0.04</v>
      </c>
      <c r="CK2705">
        <v>0.71</v>
      </c>
      <c r="CL2705">
        <v>8.9600000000000009</v>
      </c>
      <c r="CM2705">
        <v>-1.65</v>
      </c>
      <c r="CN2705">
        <v>-3.43</v>
      </c>
      <c r="CO2705">
        <v>43817</v>
      </c>
      <c r="CP2705">
        <v>20397</v>
      </c>
      <c r="CQ2705" t="s">
        <v>1023</v>
      </c>
      <c r="CR2705">
        <v>-28.97</v>
      </c>
      <c r="CS2705">
        <v>-15.58</v>
      </c>
      <c r="CT2705">
        <v>2.37</v>
      </c>
      <c r="CU2705">
        <v>-45.57</v>
      </c>
      <c r="CV2705">
        <v>7.29</v>
      </c>
      <c r="CW2705">
        <v>3.61</v>
      </c>
      <c r="CX2705" t="s">
        <v>2074</v>
      </c>
      <c r="CY2705">
        <v>1.25</v>
      </c>
      <c r="CZ2705">
        <v>0</v>
      </c>
      <c r="DA2705">
        <v>0.3</v>
      </c>
      <c r="DB2705">
        <v>0.35</v>
      </c>
      <c r="DC2705">
        <v>-7.0000000000000007E-2</v>
      </c>
      <c r="DD2705">
        <v>71.25</v>
      </c>
      <c r="DE2705" t="s">
        <v>8156</v>
      </c>
      <c r="DF2705">
        <v>31.74</v>
      </c>
      <c r="DG2705">
        <v>9.6300000000000008</v>
      </c>
      <c r="DH2705">
        <v>7.27</v>
      </c>
      <c r="DI2705">
        <v>0.05</v>
      </c>
      <c r="DJ2705">
        <v>3408</v>
      </c>
      <c r="DK2705">
        <v>600400</v>
      </c>
      <c r="DL2705" t="s">
        <v>120</v>
      </c>
      <c r="DM2705" t="s">
        <v>120</v>
      </c>
      <c r="DN2705" t="s">
        <v>120</v>
      </c>
    </row>
    <row r="2706" spans="1:118">
      <c r="A2706" t="str">
        <f>"600405"</f>
        <v>600405</v>
      </c>
      <c r="B2706" t="s">
        <v>12193</v>
      </c>
      <c r="C2706">
        <v>-1.56</v>
      </c>
      <c r="D2706">
        <v>-0.15</v>
      </c>
      <c r="E2706">
        <v>0.31</v>
      </c>
      <c r="F2706">
        <v>2004</v>
      </c>
      <c r="G2706" t="s">
        <v>12194</v>
      </c>
      <c r="H2706">
        <v>9872.65</v>
      </c>
      <c r="I2706">
        <v>16.53</v>
      </c>
      <c r="J2706" t="s">
        <v>120</v>
      </c>
      <c r="K2706" t="s">
        <v>12195</v>
      </c>
      <c r="L2706">
        <v>2.78</v>
      </c>
      <c r="M2706">
        <v>6.31</v>
      </c>
      <c r="N2706">
        <v>0.96</v>
      </c>
      <c r="O2706">
        <v>1.72</v>
      </c>
      <c r="P2706">
        <v>6.52</v>
      </c>
      <c r="Q2706">
        <v>-1.56</v>
      </c>
      <c r="R2706">
        <v>6.31</v>
      </c>
      <c r="S2706">
        <v>6.43</v>
      </c>
      <c r="T2706">
        <v>153900</v>
      </c>
      <c r="U2706">
        <v>6.32</v>
      </c>
      <c r="V2706">
        <v>6.41</v>
      </c>
      <c r="W2706" t="s">
        <v>120</v>
      </c>
      <c r="X2706" t="s">
        <v>394</v>
      </c>
      <c r="Y2706" t="s">
        <v>158</v>
      </c>
      <c r="Z2706">
        <v>3.28</v>
      </c>
      <c r="AA2706">
        <v>6.41</v>
      </c>
      <c r="AB2706">
        <v>88949</v>
      </c>
      <c r="AC2706">
        <v>64951</v>
      </c>
      <c r="AD2706">
        <v>1.37</v>
      </c>
      <c r="AE2706">
        <v>99</v>
      </c>
      <c r="AF2706">
        <v>528</v>
      </c>
      <c r="AG2706" t="s">
        <v>120</v>
      </c>
      <c r="AH2706">
        <v>0.01</v>
      </c>
      <c r="AI2706" t="s">
        <v>120</v>
      </c>
      <c r="AJ2706">
        <v>5.53</v>
      </c>
      <c r="AK2706" t="s">
        <v>4149</v>
      </c>
      <c r="AL2706">
        <v>-0.22</v>
      </c>
      <c r="AM2706">
        <v>2553</v>
      </c>
      <c r="AN2706">
        <v>60</v>
      </c>
      <c r="AO2706">
        <v>1.1000000000000001E-3</v>
      </c>
      <c r="AP2706">
        <v>-1</v>
      </c>
      <c r="AQ2706">
        <v>1.58</v>
      </c>
      <c r="AR2706">
        <v>-1.41</v>
      </c>
      <c r="AS2706">
        <v>-6.66</v>
      </c>
      <c r="AT2706">
        <v>0.8</v>
      </c>
      <c r="AU2706">
        <v>-4.68</v>
      </c>
      <c r="AV2706">
        <v>10</v>
      </c>
      <c r="AW2706">
        <v>3.13</v>
      </c>
      <c r="AX2706">
        <v>88.15</v>
      </c>
      <c r="AY2706" t="s">
        <v>120</v>
      </c>
      <c r="AZ2706" t="s">
        <v>120</v>
      </c>
      <c r="BA2706">
        <v>1.05</v>
      </c>
      <c r="BB2706" t="s">
        <v>143</v>
      </c>
      <c r="BF2706">
        <v>0.08</v>
      </c>
      <c r="BG2706">
        <v>-1.87</v>
      </c>
      <c r="BH2706">
        <v>-3.22</v>
      </c>
      <c r="BI2706">
        <v>0</v>
      </c>
      <c r="BJ2706">
        <v>20210830</v>
      </c>
      <c r="BK2706">
        <v>20040401</v>
      </c>
      <c r="BL2706">
        <v>5.57</v>
      </c>
      <c r="BM2706" t="s">
        <v>120</v>
      </c>
      <c r="BN2706" t="s">
        <v>120</v>
      </c>
      <c r="BO2706">
        <v>26.21</v>
      </c>
      <c r="BP2706">
        <v>6.31</v>
      </c>
      <c r="BQ2706">
        <v>9.85</v>
      </c>
      <c r="BR2706">
        <v>0.15</v>
      </c>
      <c r="BS2706">
        <v>61.84</v>
      </c>
      <c r="BT2706">
        <v>14.84</v>
      </c>
      <c r="BU2706">
        <v>7.99</v>
      </c>
      <c r="BV2706">
        <v>1.69</v>
      </c>
      <c r="BW2706">
        <v>14.98</v>
      </c>
      <c r="BX2706">
        <v>1.4</v>
      </c>
      <c r="BY2706">
        <v>4.0199999999999996</v>
      </c>
      <c r="BZ2706">
        <v>8.0399999999999991</v>
      </c>
      <c r="CA2706" t="s">
        <v>120</v>
      </c>
      <c r="CB2706">
        <v>5.13</v>
      </c>
      <c r="CC2706">
        <v>4.55</v>
      </c>
      <c r="CD2706">
        <v>3.2</v>
      </c>
      <c r="CE2706">
        <v>-0.56000000000000005</v>
      </c>
      <c r="CF2706">
        <v>0</v>
      </c>
      <c r="CG2706">
        <v>-0.57999999999999996</v>
      </c>
      <c r="CH2706">
        <v>-0.57999999999999996</v>
      </c>
      <c r="CI2706">
        <v>-0.56000000000000005</v>
      </c>
      <c r="CJ2706">
        <v>-0.1</v>
      </c>
      <c r="CK2706">
        <v>-0.53</v>
      </c>
      <c r="CL2706">
        <v>-1.0900000000000001</v>
      </c>
      <c r="CM2706">
        <v>0</v>
      </c>
      <c r="CN2706">
        <v>0.06</v>
      </c>
      <c r="CO2706">
        <v>96235</v>
      </c>
      <c r="CP2706">
        <v>5104</v>
      </c>
      <c r="CQ2706" t="s">
        <v>4004</v>
      </c>
      <c r="CR2706">
        <v>-1045.31</v>
      </c>
      <c r="CS2706">
        <v>-12.74</v>
      </c>
      <c r="CT2706">
        <v>3.57</v>
      </c>
      <c r="CU2706">
        <v>7342.48</v>
      </c>
      <c r="CV2706">
        <v>7.73</v>
      </c>
      <c r="CW2706">
        <v>0</v>
      </c>
      <c r="CX2706" t="s">
        <v>4684</v>
      </c>
      <c r="CY2706">
        <v>1.77</v>
      </c>
      <c r="CZ2706">
        <v>0</v>
      </c>
      <c r="DA2706">
        <v>0.92</v>
      </c>
      <c r="DB2706">
        <v>-0.2</v>
      </c>
      <c r="DC2706">
        <v>0</v>
      </c>
      <c r="DD2706">
        <v>37.58</v>
      </c>
      <c r="DE2706" t="s">
        <v>12196</v>
      </c>
      <c r="DF2706">
        <v>29.63</v>
      </c>
      <c r="DG2706">
        <v>-12.34</v>
      </c>
      <c r="DH2706">
        <v>-12.35</v>
      </c>
      <c r="DI2706">
        <v>0.51</v>
      </c>
      <c r="DJ2706">
        <v>2424</v>
      </c>
      <c r="DK2706">
        <v>600405</v>
      </c>
      <c r="DL2706" t="s">
        <v>120</v>
      </c>
      <c r="DM2706" t="s">
        <v>120</v>
      </c>
      <c r="DN2706" t="s">
        <v>120</v>
      </c>
    </row>
    <row r="2707" spans="1:118">
      <c r="A2707" t="str">
        <f>"600406"</f>
        <v>600406</v>
      </c>
      <c r="B2707" t="s">
        <v>12197</v>
      </c>
      <c r="C2707">
        <v>1.77</v>
      </c>
      <c r="D2707">
        <v>0.54</v>
      </c>
      <c r="E2707">
        <v>2.6</v>
      </c>
      <c r="F2707">
        <v>6053</v>
      </c>
      <c r="G2707" t="s">
        <v>12198</v>
      </c>
      <c r="H2707">
        <v>136171.93</v>
      </c>
      <c r="I2707">
        <v>1573.89</v>
      </c>
      <c r="J2707" t="s">
        <v>120</v>
      </c>
      <c r="K2707" t="s">
        <v>12199</v>
      </c>
      <c r="L2707">
        <v>0.74</v>
      </c>
      <c r="M2707">
        <v>33.28</v>
      </c>
      <c r="N2707">
        <v>0.89</v>
      </c>
      <c r="O2707">
        <v>4.5</v>
      </c>
      <c r="P2707">
        <v>34.17</v>
      </c>
      <c r="Q2707">
        <v>-0.03</v>
      </c>
      <c r="R2707">
        <v>32.69</v>
      </c>
      <c r="S2707">
        <v>33.549999999999997</v>
      </c>
      <c r="T2707">
        <v>409357</v>
      </c>
      <c r="U2707">
        <v>33.28</v>
      </c>
      <c r="V2707">
        <v>32.700000000000003</v>
      </c>
      <c r="W2707">
        <v>50.05</v>
      </c>
      <c r="X2707" t="s">
        <v>394</v>
      </c>
      <c r="Y2707" t="s">
        <v>319</v>
      </c>
      <c r="Z2707">
        <v>4.53</v>
      </c>
      <c r="AA2707">
        <v>33.26</v>
      </c>
      <c r="AB2707">
        <v>192504</v>
      </c>
      <c r="AC2707">
        <v>216853</v>
      </c>
      <c r="AD2707">
        <v>0.89</v>
      </c>
      <c r="AE2707">
        <v>17</v>
      </c>
      <c r="AF2707">
        <v>203</v>
      </c>
      <c r="AG2707" t="s">
        <v>120</v>
      </c>
      <c r="AH2707">
        <v>0.02</v>
      </c>
      <c r="AI2707" t="s">
        <v>120</v>
      </c>
      <c r="AJ2707">
        <v>55.12</v>
      </c>
      <c r="AK2707" t="s">
        <v>12200</v>
      </c>
      <c r="AL2707">
        <v>3.12</v>
      </c>
      <c r="AM2707">
        <v>4659</v>
      </c>
      <c r="AN2707">
        <v>88</v>
      </c>
      <c r="AO2707">
        <v>2.0000000000000001E-4</v>
      </c>
      <c r="AP2707">
        <v>2</v>
      </c>
      <c r="AQ2707">
        <v>3.22</v>
      </c>
      <c r="AR2707">
        <v>3.36</v>
      </c>
      <c r="AS2707">
        <v>7.98</v>
      </c>
      <c r="AT2707">
        <v>40.42</v>
      </c>
      <c r="AU2707">
        <v>52.72</v>
      </c>
      <c r="AV2707">
        <v>1</v>
      </c>
      <c r="AW2707">
        <v>1.75</v>
      </c>
      <c r="AX2707">
        <v>42.15</v>
      </c>
      <c r="AY2707">
        <v>34.1</v>
      </c>
      <c r="AZ2707">
        <v>37.380000000000003</v>
      </c>
      <c r="BA2707">
        <v>0.63</v>
      </c>
      <c r="BB2707" t="s">
        <v>143</v>
      </c>
      <c r="BF2707">
        <v>1.73</v>
      </c>
      <c r="BG2707">
        <v>-0.8</v>
      </c>
      <c r="BH2707">
        <v>-2.6</v>
      </c>
      <c r="BI2707">
        <v>1.8</v>
      </c>
      <c r="BJ2707">
        <v>20210831</v>
      </c>
      <c r="BK2707">
        <v>20031016</v>
      </c>
      <c r="BL2707">
        <v>55.46</v>
      </c>
      <c r="BM2707" t="s">
        <v>120</v>
      </c>
      <c r="BN2707" t="s">
        <v>120</v>
      </c>
      <c r="BO2707">
        <v>644.94000000000005</v>
      </c>
      <c r="BP2707">
        <v>33.26</v>
      </c>
      <c r="BQ2707">
        <v>341.79</v>
      </c>
      <c r="BR2707" t="s">
        <v>120</v>
      </c>
      <c r="BS2707">
        <v>47</v>
      </c>
      <c r="BT2707">
        <v>448.4</v>
      </c>
      <c r="BU2707">
        <v>87.36</v>
      </c>
      <c r="BV2707">
        <v>10.62</v>
      </c>
      <c r="BW2707">
        <v>263.27999999999997</v>
      </c>
      <c r="BX2707">
        <v>83.45</v>
      </c>
      <c r="BY2707">
        <v>90.15</v>
      </c>
      <c r="BZ2707">
        <v>198.68</v>
      </c>
      <c r="CA2707">
        <v>3.24</v>
      </c>
      <c r="CB2707">
        <v>91.78</v>
      </c>
      <c r="CC2707">
        <v>148.04</v>
      </c>
      <c r="CD2707">
        <v>107.51</v>
      </c>
      <c r="CE2707">
        <v>23</v>
      </c>
      <c r="CF2707">
        <v>0.34</v>
      </c>
      <c r="CG2707">
        <v>23.06</v>
      </c>
      <c r="CH2707">
        <v>19.649999999999999</v>
      </c>
      <c r="CI2707">
        <v>18.440000000000001</v>
      </c>
      <c r="CJ2707">
        <v>0.57999999999999996</v>
      </c>
      <c r="CK2707">
        <v>17.93</v>
      </c>
      <c r="CL2707">
        <v>183.83</v>
      </c>
      <c r="CM2707">
        <v>-16.04</v>
      </c>
      <c r="CN2707">
        <v>-37.29</v>
      </c>
      <c r="CO2707">
        <v>62878</v>
      </c>
      <c r="CP2707">
        <v>37180</v>
      </c>
      <c r="CQ2707" t="s">
        <v>12201</v>
      </c>
      <c r="CR2707">
        <v>33.94</v>
      </c>
      <c r="CS2707">
        <v>21.81</v>
      </c>
      <c r="CT2707">
        <v>5.4</v>
      </c>
      <c r="CU2707">
        <v>-115.04</v>
      </c>
      <c r="CV2707">
        <v>12.47</v>
      </c>
      <c r="CW2707">
        <v>1.07</v>
      </c>
      <c r="CX2707" t="s">
        <v>2443</v>
      </c>
      <c r="CY2707">
        <v>6.16</v>
      </c>
      <c r="CZ2707">
        <v>0</v>
      </c>
      <c r="DA2707">
        <v>1.65</v>
      </c>
      <c r="DB2707">
        <v>3.31</v>
      </c>
      <c r="DC2707">
        <v>-0.28999999999999998</v>
      </c>
      <c r="DD2707">
        <v>53</v>
      </c>
      <c r="DE2707" t="s">
        <v>2423</v>
      </c>
      <c r="DF2707">
        <v>27.38</v>
      </c>
      <c r="DG2707">
        <v>15.53</v>
      </c>
      <c r="DH2707">
        <v>12.45</v>
      </c>
      <c r="DI2707">
        <v>8.69</v>
      </c>
      <c r="DJ2707">
        <v>9331</v>
      </c>
      <c r="DK2707">
        <v>600406</v>
      </c>
      <c r="DL2707" t="s">
        <v>120</v>
      </c>
      <c r="DM2707" t="s">
        <v>120</v>
      </c>
      <c r="DN2707" t="s">
        <v>120</v>
      </c>
    </row>
    <row r="2708" spans="1:118">
      <c r="A2708" t="str">
        <f>"600409"</f>
        <v>600409</v>
      </c>
      <c r="B2708" t="s">
        <v>12202</v>
      </c>
      <c r="C2708">
        <v>-3.69</v>
      </c>
      <c r="D2708">
        <v>-0.06</v>
      </c>
      <c r="E2708">
        <v>2.59</v>
      </c>
      <c r="F2708">
        <v>6213</v>
      </c>
      <c r="G2708" t="s">
        <v>12203</v>
      </c>
      <c r="H2708">
        <v>191712.88</v>
      </c>
      <c r="I2708">
        <v>1750.79</v>
      </c>
      <c r="J2708" t="s">
        <v>120</v>
      </c>
      <c r="K2708" t="s">
        <v>12204</v>
      </c>
      <c r="L2708">
        <v>6.01</v>
      </c>
      <c r="M2708">
        <v>14.88</v>
      </c>
      <c r="N2708">
        <v>1.33</v>
      </c>
      <c r="O2708">
        <v>6.02</v>
      </c>
      <c r="P2708">
        <v>16.38</v>
      </c>
      <c r="Q2708">
        <v>-4.9800000000000004</v>
      </c>
      <c r="R2708">
        <v>14.68</v>
      </c>
      <c r="S2708">
        <v>15.85</v>
      </c>
      <c r="T2708">
        <v>1239662</v>
      </c>
      <c r="U2708">
        <v>14.89</v>
      </c>
      <c r="V2708">
        <v>15.45</v>
      </c>
      <c r="W2708">
        <v>13.16</v>
      </c>
      <c r="X2708" t="s">
        <v>868</v>
      </c>
      <c r="Y2708" t="s">
        <v>602</v>
      </c>
      <c r="Z2708">
        <v>11</v>
      </c>
      <c r="AA2708">
        <v>15.46</v>
      </c>
      <c r="AB2708">
        <v>634691</v>
      </c>
      <c r="AC2708">
        <v>604971</v>
      </c>
      <c r="AD2708">
        <v>1.05</v>
      </c>
      <c r="AE2708">
        <v>1307</v>
      </c>
      <c r="AF2708">
        <v>195</v>
      </c>
      <c r="AG2708" t="s">
        <v>120</v>
      </c>
      <c r="AH2708">
        <v>0.1</v>
      </c>
      <c r="AI2708" t="s">
        <v>120</v>
      </c>
      <c r="AJ2708">
        <v>20.64</v>
      </c>
      <c r="AK2708" t="s">
        <v>12204</v>
      </c>
      <c r="AL2708">
        <v>-2.35</v>
      </c>
      <c r="AM2708">
        <v>4728</v>
      </c>
      <c r="AN2708">
        <v>262</v>
      </c>
      <c r="AO2708">
        <v>1.2999999999999999E-3</v>
      </c>
      <c r="AP2708">
        <v>-3</v>
      </c>
      <c r="AQ2708">
        <v>-0.83</v>
      </c>
      <c r="AR2708">
        <v>-8.09</v>
      </c>
      <c r="AS2708">
        <v>11.21</v>
      </c>
      <c r="AT2708">
        <v>48.06</v>
      </c>
      <c r="AU2708">
        <v>48.72</v>
      </c>
      <c r="AV2708">
        <v>4</v>
      </c>
      <c r="AW2708">
        <v>10.97</v>
      </c>
      <c r="AX2708">
        <v>54.73</v>
      </c>
      <c r="AY2708">
        <v>14.81</v>
      </c>
      <c r="AZ2708">
        <v>44.48</v>
      </c>
      <c r="BA2708">
        <v>1.85</v>
      </c>
      <c r="BB2708" t="s">
        <v>240</v>
      </c>
      <c r="BF2708">
        <v>0.1</v>
      </c>
      <c r="BG2708">
        <v>-6.12</v>
      </c>
      <c r="BH2708">
        <v>-9.16</v>
      </c>
      <c r="BI2708">
        <v>1.36</v>
      </c>
      <c r="BJ2708">
        <v>20210827</v>
      </c>
      <c r="BK2708">
        <v>20030618</v>
      </c>
      <c r="BL2708">
        <v>20.64</v>
      </c>
      <c r="BM2708" t="s">
        <v>120</v>
      </c>
      <c r="BN2708" t="s">
        <v>120</v>
      </c>
      <c r="BO2708">
        <v>257.39</v>
      </c>
      <c r="BP2708">
        <v>14.88</v>
      </c>
      <c r="BQ2708">
        <v>123.11</v>
      </c>
      <c r="BR2708">
        <v>8.5</v>
      </c>
      <c r="BS2708">
        <v>48.87</v>
      </c>
      <c r="BT2708">
        <v>82.4</v>
      </c>
      <c r="BU2708">
        <v>151.72</v>
      </c>
      <c r="BV2708">
        <v>8.39</v>
      </c>
      <c r="BW2708">
        <v>87.13</v>
      </c>
      <c r="BX2708">
        <v>27.41</v>
      </c>
      <c r="BY2708">
        <v>20.8</v>
      </c>
      <c r="BZ2708">
        <v>4.72</v>
      </c>
      <c r="CA2708">
        <v>0.62</v>
      </c>
      <c r="CB2708">
        <v>35.450000000000003</v>
      </c>
      <c r="CC2708">
        <v>111.96</v>
      </c>
      <c r="CD2708">
        <v>84.1</v>
      </c>
      <c r="CE2708">
        <v>15.13</v>
      </c>
      <c r="CF2708">
        <v>0.02</v>
      </c>
      <c r="CG2708">
        <v>15.25</v>
      </c>
      <c r="CH2708">
        <v>12.28</v>
      </c>
      <c r="CI2708">
        <v>11.67</v>
      </c>
      <c r="CJ2708">
        <v>-0.56999999999999995</v>
      </c>
      <c r="CK2708">
        <v>11.37</v>
      </c>
      <c r="CL2708">
        <v>61.19</v>
      </c>
      <c r="CM2708">
        <v>6.99</v>
      </c>
      <c r="CN2708">
        <v>-2.14</v>
      </c>
      <c r="CO2708">
        <v>78721</v>
      </c>
      <c r="CP2708">
        <v>14352</v>
      </c>
      <c r="CQ2708" t="s">
        <v>12205</v>
      </c>
      <c r="CR2708">
        <v>533.28</v>
      </c>
      <c r="CS2708">
        <v>40.26</v>
      </c>
      <c r="CT2708">
        <v>2.5</v>
      </c>
      <c r="CU2708">
        <v>43.94</v>
      </c>
      <c r="CV2708">
        <v>2.74</v>
      </c>
      <c r="CW2708">
        <v>1.59</v>
      </c>
      <c r="CX2708" t="s">
        <v>12206</v>
      </c>
      <c r="CY2708">
        <v>5.96</v>
      </c>
      <c r="CZ2708">
        <v>0</v>
      </c>
      <c r="DA2708">
        <v>1.72</v>
      </c>
      <c r="DB2708">
        <v>2.96</v>
      </c>
      <c r="DC2708">
        <v>0.34</v>
      </c>
      <c r="DD2708">
        <v>47.83</v>
      </c>
      <c r="DE2708" t="s">
        <v>12207</v>
      </c>
      <c r="DF2708">
        <v>24.88</v>
      </c>
      <c r="DG2708">
        <v>13.52</v>
      </c>
      <c r="DH2708">
        <v>10.42</v>
      </c>
      <c r="DI2708">
        <v>1.07</v>
      </c>
      <c r="DJ2708">
        <v>17507</v>
      </c>
      <c r="DK2708">
        <v>600409</v>
      </c>
      <c r="DL2708" t="s">
        <v>120</v>
      </c>
      <c r="DM2708" t="s">
        <v>120</v>
      </c>
      <c r="DN2708" t="s">
        <v>120</v>
      </c>
    </row>
    <row r="2709" spans="1:118">
      <c r="A2709" t="str">
        <f>"600410"</f>
        <v>600410</v>
      </c>
      <c r="B2709" t="s">
        <v>12208</v>
      </c>
      <c r="C2709">
        <v>-1.53</v>
      </c>
      <c r="D2709">
        <v>-0.13</v>
      </c>
      <c r="E2709">
        <v>0</v>
      </c>
      <c r="F2709">
        <v>1274</v>
      </c>
      <c r="G2709" t="s">
        <v>12209</v>
      </c>
      <c r="H2709">
        <v>10473.450000000001</v>
      </c>
      <c r="I2709">
        <v>26.49</v>
      </c>
      <c r="J2709" t="s">
        <v>120</v>
      </c>
      <c r="K2709" t="s">
        <v>7148</v>
      </c>
      <c r="L2709">
        <v>1.34</v>
      </c>
      <c r="M2709">
        <v>7.07</v>
      </c>
      <c r="N2709">
        <v>0.75</v>
      </c>
      <c r="O2709">
        <v>0.84</v>
      </c>
      <c r="P2709">
        <v>7.24</v>
      </c>
      <c r="Q2709">
        <v>-1.81</v>
      </c>
      <c r="R2709">
        <v>7.05</v>
      </c>
      <c r="S2709">
        <v>7.18</v>
      </c>
      <c r="T2709">
        <v>146782</v>
      </c>
      <c r="U2709">
        <v>7.08</v>
      </c>
      <c r="V2709">
        <v>7.18</v>
      </c>
      <c r="W2709" t="s">
        <v>120</v>
      </c>
      <c r="X2709" t="s">
        <v>141</v>
      </c>
      <c r="Y2709" t="s">
        <v>158</v>
      </c>
      <c r="Z2709">
        <v>2.65</v>
      </c>
      <c r="AA2709">
        <v>7.14</v>
      </c>
      <c r="AB2709">
        <v>83516</v>
      </c>
      <c r="AC2709">
        <v>63266</v>
      </c>
      <c r="AD2709">
        <v>1.32</v>
      </c>
      <c r="AE2709">
        <v>354</v>
      </c>
      <c r="AF2709">
        <v>1361</v>
      </c>
      <c r="AG2709" t="s">
        <v>120</v>
      </c>
      <c r="AH2709">
        <v>0</v>
      </c>
      <c r="AI2709" t="s">
        <v>120</v>
      </c>
      <c r="AJ2709">
        <v>10.99</v>
      </c>
      <c r="AK2709" t="s">
        <v>7148</v>
      </c>
      <c r="AL2709">
        <v>-0.19</v>
      </c>
      <c r="AM2709">
        <v>2804</v>
      </c>
      <c r="AN2709">
        <v>52</v>
      </c>
      <c r="AO2709">
        <v>5.0000000000000001E-4</v>
      </c>
      <c r="AP2709">
        <v>-1</v>
      </c>
      <c r="AQ2709">
        <v>0.42</v>
      </c>
      <c r="AR2709">
        <v>-3.15</v>
      </c>
      <c r="AS2709">
        <v>2.4700000000000002</v>
      </c>
      <c r="AT2709">
        <v>-7.65</v>
      </c>
      <c r="AU2709">
        <v>-19.98</v>
      </c>
      <c r="AV2709">
        <v>2</v>
      </c>
      <c r="AW2709">
        <v>1.44</v>
      </c>
      <c r="AX2709">
        <v>92.99</v>
      </c>
      <c r="AY2709" t="s">
        <v>120</v>
      </c>
      <c r="AZ2709">
        <v>60</v>
      </c>
      <c r="BA2709">
        <v>0.75</v>
      </c>
      <c r="BB2709" t="s">
        <v>143</v>
      </c>
      <c r="BF2709">
        <v>-0.62</v>
      </c>
      <c r="BG2709">
        <v>-1.53</v>
      </c>
      <c r="BH2709">
        <v>-2.35</v>
      </c>
      <c r="BI2709">
        <v>0.28000000000000003</v>
      </c>
      <c r="BJ2709">
        <v>20210828</v>
      </c>
      <c r="BK2709">
        <v>20040427</v>
      </c>
      <c r="BL2709">
        <v>10.99</v>
      </c>
      <c r="BM2709" t="s">
        <v>120</v>
      </c>
      <c r="BN2709" t="s">
        <v>120</v>
      </c>
      <c r="BO2709">
        <v>87.93</v>
      </c>
      <c r="BP2709">
        <v>7.07</v>
      </c>
      <c r="BQ2709">
        <v>47.02</v>
      </c>
      <c r="BR2709">
        <v>6.47</v>
      </c>
      <c r="BS2709">
        <v>39.17</v>
      </c>
      <c r="BT2709">
        <v>43.38</v>
      </c>
      <c r="BU2709">
        <v>4.3</v>
      </c>
      <c r="BV2709">
        <v>5.0199999999999996</v>
      </c>
      <c r="BW2709">
        <v>29.24</v>
      </c>
      <c r="BX2709">
        <v>6.77</v>
      </c>
      <c r="BY2709">
        <v>6.43</v>
      </c>
      <c r="BZ2709">
        <v>10.35</v>
      </c>
      <c r="CA2709">
        <v>0.22</v>
      </c>
      <c r="CB2709">
        <v>24.94</v>
      </c>
      <c r="CC2709">
        <v>18.12</v>
      </c>
      <c r="CD2709">
        <v>15.56</v>
      </c>
      <c r="CE2709">
        <v>-0.44</v>
      </c>
      <c r="CF2709">
        <v>0.16</v>
      </c>
      <c r="CG2709">
        <v>-0.44</v>
      </c>
      <c r="CH2709">
        <v>-0.53</v>
      </c>
      <c r="CI2709">
        <v>-0.6</v>
      </c>
      <c r="CJ2709">
        <v>-0.11</v>
      </c>
      <c r="CK2709">
        <v>-0.69</v>
      </c>
      <c r="CL2709">
        <v>10.26</v>
      </c>
      <c r="CM2709">
        <v>-1.73</v>
      </c>
      <c r="CN2709">
        <v>-4.8099999999999996</v>
      </c>
      <c r="CO2709">
        <v>130892</v>
      </c>
      <c r="CP2709">
        <v>7805</v>
      </c>
      <c r="CQ2709" t="s">
        <v>12150</v>
      </c>
      <c r="CR2709">
        <v>-120.32</v>
      </c>
      <c r="CS2709">
        <v>0.6</v>
      </c>
      <c r="CT2709">
        <v>1.65</v>
      </c>
      <c r="CU2709">
        <v>-44.91</v>
      </c>
      <c r="CV2709">
        <v>4.29</v>
      </c>
      <c r="CW2709">
        <v>0.35</v>
      </c>
      <c r="CX2709" t="s">
        <v>161</v>
      </c>
      <c r="CY2709">
        <v>4.28</v>
      </c>
      <c r="CZ2709">
        <v>0</v>
      </c>
      <c r="DA2709">
        <v>2.27</v>
      </c>
      <c r="DB2709">
        <v>0.93</v>
      </c>
      <c r="DC2709">
        <v>-0.16</v>
      </c>
      <c r="DD2709">
        <v>53.47</v>
      </c>
      <c r="DE2709" t="s">
        <v>9911</v>
      </c>
      <c r="DF2709">
        <v>14.13</v>
      </c>
      <c r="DG2709">
        <v>-2.4500000000000002</v>
      </c>
      <c r="DH2709">
        <v>-3.29</v>
      </c>
      <c r="DI2709">
        <v>0.49</v>
      </c>
      <c r="DJ2709">
        <v>2443</v>
      </c>
      <c r="DK2709">
        <v>600410</v>
      </c>
      <c r="DL2709" t="s">
        <v>120</v>
      </c>
      <c r="DM2709" t="s">
        <v>120</v>
      </c>
      <c r="DN2709" t="s">
        <v>120</v>
      </c>
    </row>
    <row r="2710" spans="1:118">
      <c r="A2710" t="str">
        <f>"600415"</f>
        <v>600415</v>
      </c>
      <c r="B2710" t="s">
        <v>12210</v>
      </c>
      <c r="C2710">
        <v>-1.02</v>
      </c>
      <c r="D2710">
        <v>-0.4</v>
      </c>
      <c r="E2710">
        <v>0.41</v>
      </c>
      <c r="F2710">
        <v>8260</v>
      </c>
      <c r="G2710" t="s">
        <v>12211</v>
      </c>
      <c r="H2710">
        <v>18669.560000000001</v>
      </c>
      <c r="I2710">
        <v>113.19</v>
      </c>
      <c r="J2710" t="s">
        <v>120</v>
      </c>
      <c r="K2710" t="s">
        <v>12212</v>
      </c>
      <c r="L2710">
        <v>0.7</v>
      </c>
      <c r="M2710">
        <v>4.83</v>
      </c>
      <c r="N2710">
        <v>0.77</v>
      </c>
      <c r="O2710">
        <v>2.87</v>
      </c>
      <c r="P2710">
        <v>5.0199999999999996</v>
      </c>
      <c r="Q2710">
        <v>-1.02</v>
      </c>
      <c r="R2710">
        <v>4.83</v>
      </c>
      <c r="S2710">
        <v>4.9000000000000004</v>
      </c>
      <c r="T2710">
        <v>378516</v>
      </c>
      <c r="U2710">
        <v>4.83</v>
      </c>
      <c r="V2710">
        <v>4.88</v>
      </c>
      <c r="W2710">
        <v>15.59</v>
      </c>
      <c r="X2710" t="s">
        <v>4526</v>
      </c>
      <c r="Y2710" t="s">
        <v>585</v>
      </c>
      <c r="Z2710">
        <v>3.89</v>
      </c>
      <c r="AA2710">
        <v>4.93</v>
      </c>
      <c r="AB2710">
        <v>180925</v>
      </c>
      <c r="AC2710">
        <v>197591</v>
      </c>
      <c r="AD2710">
        <v>0.92</v>
      </c>
      <c r="AE2710">
        <v>9396</v>
      </c>
      <c r="AF2710">
        <v>40</v>
      </c>
      <c r="AG2710" t="s">
        <v>120</v>
      </c>
      <c r="AH2710">
        <v>0.01</v>
      </c>
      <c r="AI2710" t="s">
        <v>120</v>
      </c>
      <c r="AJ2710">
        <v>54.43</v>
      </c>
      <c r="AK2710" t="s">
        <v>12213</v>
      </c>
      <c r="AL2710">
        <v>0.32</v>
      </c>
      <c r="AM2710">
        <v>3241</v>
      </c>
      <c r="AN2710">
        <v>117</v>
      </c>
      <c r="AO2710">
        <v>2.0000000000000001E-4</v>
      </c>
      <c r="AP2710">
        <v>-3</v>
      </c>
      <c r="AQ2710">
        <v>-1.61</v>
      </c>
      <c r="AR2710">
        <v>-3.2</v>
      </c>
      <c r="AS2710">
        <v>5.92</v>
      </c>
      <c r="AT2710">
        <v>-12.02</v>
      </c>
      <c r="AU2710">
        <v>-11.46</v>
      </c>
      <c r="AV2710">
        <v>4</v>
      </c>
      <c r="AW2710">
        <v>1.68</v>
      </c>
      <c r="AX2710">
        <v>41.12</v>
      </c>
      <c r="AY2710">
        <v>25.33</v>
      </c>
      <c r="AZ2710">
        <v>28.91</v>
      </c>
      <c r="BA2710">
        <v>0.67</v>
      </c>
      <c r="BB2710" t="s">
        <v>143</v>
      </c>
      <c r="BF2710">
        <v>1.07</v>
      </c>
      <c r="BG2710">
        <v>-1.43</v>
      </c>
      <c r="BH2710">
        <v>-3.78</v>
      </c>
      <c r="BI2710">
        <v>0</v>
      </c>
      <c r="BJ2710">
        <v>20210811</v>
      </c>
      <c r="BK2710">
        <v>20020509</v>
      </c>
      <c r="BL2710">
        <v>54.9</v>
      </c>
      <c r="BM2710" t="s">
        <v>120</v>
      </c>
      <c r="BN2710" t="s">
        <v>120</v>
      </c>
      <c r="BO2710">
        <v>297.14</v>
      </c>
      <c r="BP2710">
        <v>4.82</v>
      </c>
      <c r="BQ2710">
        <v>140.66999999999999</v>
      </c>
      <c r="BR2710">
        <v>0.19</v>
      </c>
      <c r="BS2710">
        <v>52.59</v>
      </c>
      <c r="BT2710">
        <v>85.2</v>
      </c>
      <c r="BU2710">
        <v>50.43</v>
      </c>
      <c r="BV2710">
        <v>39.89</v>
      </c>
      <c r="BW2710">
        <v>118.3</v>
      </c>
      <c r="BX2710">
        <v>30.2</v>
      </c>
      <c r="BY2710">
        <v>13.97</v>
      </c>
      <c r="BZ2710">
        <v>1.4</v>
      </c>
      <c r="CA2710">
        <v>1.08</v>
      </c>
      <c r="CB2710">
        <v>16.12</v>
      </c>
      <c r="CC2710">
        <v>20.73</v>
      </c>
      <c r="CD2710">
        <v>9.25</v>
      </c>
      <c r="CE2710">
        <v>10.6</v>
      </c>
      <c r="CF2710">
        <v>2.64</v>
      </c>
      <c r="CG2710">
        <v>10.6</v>
      </c>
      <c r="CH2710">
        <v>8.4700000000000006</v>
      </c>
      <c r="CI2710">
        <v>8.51</v>
      </c>
      <c r="CJ2710">
        <v>-0.05</v>
      </c>
      <c r="CK2710">
        <v>8.0500000000000007</v>
      </c>
      <c r="CL2710">
        <v>57.17</v>
      </c>
      <c r="CM2710">
        <v>1.67</v>
      </c>
      <c r="CN2710">
        <v>-0.74</v>
      </c>
      <c r="CO2710">
        <v>191448</v>
      </c>
      <c r="CP2710">
        <v>11792</v>
      </c>
      <c r="CQ2710" t="s">
        <v>5224</v>
      </c>
      <c r="CR2710">
        <v>18.190000000000001</v>
      </c>
      <c r="CS2710">
        <v>-2.2999999999999998</v>
      </c>
      <c r="CT2710">
        <v>1.89</v>
      </c>
      <c r="CU2710">
        <v>159.03</v>
      </c>
      <c r="CV2710">
        <v>12.79</v>
      </c>
      <c r="CW2710">
        <v>1.1299999999999999</v>
      </c>
      <c r="CX2710" t="s">
        <v>1091</v>
      </c>
      <c r="CY2710">
        <v>2.56</v>
      </c>
      <c r="CZ2710">
        <v>0</v>
      </c>
      <c r="DA2710">
        <v>0.28999999999999998</v>
      </c>
      <c r="DB2710">
        <v>1.04</v>
      </c>
      <c r="DC2710">
        <v>0.03</v>
      </c>
      <c r="DD2710">
        <v>47.34</v>
      </c>
      <c r="DE2710" t="s">
        <v>5611</v>
      </c>
      <c r="DF2710">
        <v>55.35</v>
      </c>
      <c r="DG2710">
        <v>51.12</v>
      </c>
      <c r="DH2710">
        <v>41.04</v>
      </c>
      <c r="DI2710">
        <v>0.05</v>
      </c>
      <c r="DJ2710">
        <v>4497</v>
      </c>
      <c r="DK2710">
        <v>600415</v>
      </c>
      <c r="DL2710" t="s">
        <v>120</v>
      </c>
      <c r="DM2710" t="s">
        <v>120</v>
      </c>
      <c r="DN2710" t="s">
        <v>120</v>
      </c>
    </row>
    <row r="2711" spans="1:118">
      <c r="A2711" t="str">
        <f>"600416"</f>
        <v>600416</v>
      </c>
      <c r="B2711" t="s">
        <v>12214</v>
      </c>
      <c r="C2711">
        <v>-0.13</v>
      </c>
      <c r="D2711">
        <v>0.99</v>
      </c>
      <c r="E2711">
        <v>0.13</v>
      </c>
      <c r="F2711">
        <v>2914</v>
      </c>
      <c r="G2711" t="s">
        <v>12215</v>
      </c>
      <c r="H2711">
        <v>22580.799999999999</v>
      </c>
      <c r="I2711">
        <v>57.11</v>
      </c>
      <c r="J2711" t="s">
        <v>120</v>
      </c>
      <c r="K2711" t="s">
        <v>12215</v>
      </c>
      <c r="L2711">
        <v>2.33</v>
      </c>
      <c r="M2711">
        <v>15.23</v>
      </c>
      <c r="N2711">
        <v>1.1299999999999999</v>
      </c>
      <c r="O2711">
        <v>4.33</v>
      </c>
      <c r="P2711">
        <v>15.91</v>
      </c>
      <c r="Q2711">
        <v>-1.64</v>
      </c>
      <c r="R2711">
        <v>15</v>
      </c>
      <c r="S2711">
        <v>15.27</v>
      </c>
      <c r="T2711">
        <v>146771</v>
      </c>
      <c r="U2711">
        <v>15.24</v>
      </c>
      <c r="V2711">
        <v>15.25</v>
      </c>
      <c r="W2711">
        <v>138.83000000000001</v>
      </c>
      <c r="X2711" t="s">
        <v>394</v>
      </c>
      <c r="Y2711" t="s">
        <v>594</v>
      </c>
      <c r="Z2711">
        <v>5.97</v>
      </c>
      <c r="AA2711">
        <v>15.39</v>
      </c>
      <c r="AB2711">
        <v>74539</v>
      </c>
      <c r="AC2711">
        <v>72232</v>
      </c>
      <c r="AD2711">
        <v>1.03</v>
      </c>
      <c r="AE2711">
        <v>473</v>
      </c>
      <c r="AF2711">
        <v>5</v>
      </c>
      <c r="AG2711" t="s">
        <v>120</v>
      </c>
      <c r="AH2711">
        <v>0.01</v>
      </c>
      <c r="AI2711" t="s">
        <v>120</v>
      </c>
      <c r="AJ2711">
        <v>6.29</v>
      </c>
      <c r="AK2711" t="s">
        <v>12216</v>
      </c>
      <c r="AL2711">
        <v>1.21</v>
      </c>
      <c r="AM2711">
        <v>3059</v>
      </c>
      <c r="AN2711">
        <v>48</v>
      </c>
      <c r="AO2711">
        <v>8.0000000000000004E-4</v>
      </c>
      <c r="AP2711">
        <v>-1</v>
      </c>
      <c r="AQ2711">
        <v>0.33</v>
      </c>
      <c r="AR2711">
        <v>-2.31</v>
      </c>
      <c r="AS2711">
        <v>-11.15</v>
      </c>
      <c r="AT2711">
        <v>-1.36</v>
      </c>
      <c r="AU2711">
        <v>-27.41</v>
      </c>
      <c r="AV2711">
        <v>14</v>
      </c>
      <c r="AW2711">
        <v>2.33</v>
      </c>
      <c r="AX2711">
        <v>54.43</v>
      </c>
      <c r="AY2711">
        <v>53.67</v>
      </c>
      <c r="AZ2711">
        <v>234.02</v>
      </c>
      <c r="BA2711">
        <v>0.96</v>
      </c>
      <c r="BB2711" t="s">
        <v>143</v>
      </c>
      <c r="BF2711">
        <v>0.89</v>
      </c>
      <c r="BG2711">
        <v>-0.26</v>
      </c>
      <c r="BH2711">
        <v>-4.2699999999999996</v>
      </c>
      <c r="BI2711">
        <v>1.53</v>
      </c>
      <c r="BJ2711">
        <v>20210831</v>
      </c>
      <c r="BK2711">
        <v>20020718</v>
      </c>
      <c r="BL2711">
        <v>11.55</v>
      </c>
      <c r="BM2711" t="s">
        <v>120</v>
      </c>
      <c r="BN2711" t="s">
        <v>120</v>
      </c>
      <c r="BO2711">
        <v>121.67</v>
      </c>
      <c r="BP2711">
        <v>15.23</v>
      </c>
      <c r="BQ2711">
        <v>38.67</v>
      </c>
      <c r="BR2711">
        <v>5.9</v>
      </c>
      <c r="BS2711">
        <v>63.37</v>
      </c>
      <c r="BT2711">
        <v>85.76</v>
      </c>
      <c r="BU2711">
        <v>16.96</v>
      </c>
      <c r="BV2711">
        <v>16.100000000000001</v>
      </c>
      <c r="BW2711">
        <v>68.959999999999994</v>
      </c>
      <c r="BX2711">
        <v>15.42</v>
      </c>
      <c r="BY2711">
        <v>15.66</v>
      </c>
      <c r="BZ2711">
        <v>37.26</v>
      </c>
      <c r="CA2711" t="s">
        <v>120</v>
      </c>
      <c r="CB2711">
        <v>57.03</v>
      </c>
      <c r="CC2711">
        <v>21.47</v>
      </c>
      <c r="CD2711">
        <v>17.45</v>
      </c>
      <c r="CE2711">
        <v>0.79</v>
      </c>
      <c r="CF2711">
        <v>0.03</v>
      </c>
      <c r="CG2711">
        <v>0.94</v>
      </c>
      <c r="CH2711">
        <v>0.81</v>
      </c>
      <c r="CI2711">
        <v>0.63</v>
      </c>
      <c r="CJ2711">
        <v>-0.02</v>
      </c>
      <c r="CK2711">
        <v>0.42</v>
      </c>
      <c r="CL2711">
        <v>-31.36</v>
      </c>
      <c r="CM2711">
        <v>2.2200000000000002</v>
      </c>
      <c r="CN2711">
        <v>0.13</v>
      </c>
      <c r="CO2711">
        <v>27797</v>
      </c>
      <c r="CP2711">
        <v>22615</v>
      </c>
      <c r="CQ2711" t="s">
        <v>12217</v>
      </c>
      <c r="CR2711">
        <v>133.41999999999999</v>
      </c>
      <c r="CS2711">
        <v>-6.94</v>
      </c>
      <c r="CT2711">
        <v>4.55</v>
      </c>
      <c r="CU2711">
        <v>79.14</v>
      </c>
      <c r="CV2711">
        <v>8.19</v>
      </c>
      <c r="CW2711">
        <v>0</v>
      </c>
      <c r="CX2711" t="s">
        <v>1064</v>
      </c>
      <c r="CY2711">
        <v>3.35</v>
      </c>
      <c r="CZ2711">
        <v>0</v>
      </c>
      <c r="DA2711">
        <v>4.9400000000000004</v>
      </c>
      <c r="DB2711">
        <v>-2.72</v>
      </c>
      <c r="DC2711">
        <v>0.19</v>
      </c>
      <c r="DD2711">
        <v>31.78</v>
      </c>
      <c r="DE2711" t="s">
        <v>2961</v>
      </c>
      <c r="DF2711">
        <v>18.72</v>
      </c>
      <c r="DG2711">
        <v>3.7</v>
      </c>
      <c r="DH2711">
        <v>2.95</v>
      </c>
      <c r="DI2711">
        <v>0.72</v>
      </c>
      <c r="DJ2711">
        <v>5066</v>
      </c>
      <c r="DK2711">
        <v>600416</v>
      </c>
      <c r="DL2711" t="s">
        <v>120</v>
      </c>
      <c r="DM2711" t="s">
        <v>120</v>
      </c>
      <c r="DN2711" t="s">
        <v>120</v>
      </c>
    </row>
    <row r="2712" spans="1:118">
      <c r="A2712" t="str">
        <f>"600418"</f>
        <v>600418</v>
      </c>
      <c r="B2712" t="s">
        <v>12218</v>
      </c>
      <c r="C2712">
        <v>-9.39</v>
      </c>
      <c r="D2712">
        <v>0</v>
      </c>
      <c r="E2712">
        <v>0</v>
      </c>
      <c r="F2712">
        <v>10970</v>
      </c>
      <c r="G2712" t="s">
        <v>12219</v>
      </c>
      <c r="H2712">
        <v>189742.73</v>
      </c>
      <c r="I2712">
        <v>245.22</v>
      </c>
      <c r="J2712" t="s">
        <v>120</v>
      </c>
      <c r="K2712" t="s">
        <v>12220</v>
      </c>
      <c r="L2712">
        <v>6.87</v>
      </c>
      <c r="M2712">
        <v>14.09</v>
      </c>
      <c r="N2712">
        <v>1.45</v>
      </c>
      <c r="O2712">
        <v>0</v>
      </c>
      <c r="P2712">
        <v>15.55</v>
      </c>
      <c r="Q2712">
        <v>-9.9700000000000006</v>
      </c>
      <c r="R2712">
        <v>14</v>
      </c>
      <c r="S2712">
        <v>15.55</v>
      </c>
      <c r="T2712">
        <v>1300680</v>
      </c>
      <c r="U2712">
        <v>14.09</v>
      </c>
      <c r="V2712">
        <v>15.55</v>
      </c>
      <c r="W2712">
        <v>27.92</v>
      </c>
      <c r="X2712" t="s">
        <v>1068</v>
      </c>
      <c r="Y2712" t="s">
        <v>570</v>
      </c>
      <c r="Z2712">
        <v>9.9700000000000006</v>
      </c>
      <c r="AA2712">
        <v>14.59</v>
      </c>
      <c r="AB2712">
        <v>692299</v>
      </c>
      <c r="AC2712">
        <v>608381</v>
      </c>
      <c r="AD2712">
        <v>1.1399999999999999</v>
      </c>
      <c r="AE2712">
        <v>1491</v>
      </c>
      <c r="AF2712">
        <v>3003</v>
      </c>
      <c r="AG2712" t="s">
        <v>120</v>
      </c>
      <c r="AH2712">
        <v>0.01</v>
      </c>
      <c r="AI2712" t="s">
        <v>120</v>
      </c>
      <c r="AJ2712">
        <v>18.93</v>
      </c>
      <c r="AK2712" t="s">
        <v>12220</v>
      </c>
      <c r="AL2712">
        <v>-8.0500000000000007</v>
      </c>
      <c r="AM2712">
        <v>4736</v>
      </c>
      <c r="AN2712">
        <v>275</v>
      </c>
      <c r="AO2712">
        <v>1.5E-3</v>
      </c>
      <c r="AP2712">
        <v>-2</v>
      </c>
      <c r="AQ2712">
        <v>-2.02</v>
      </c>
      <c r="AR2712">
        <v>-9.91</v>
      </c>
      <c r="AS2712">
        <v>-11.05</v>
      </c>
      <c r="AT2712">
        <v>19.41</v>
      </c>
      <c r="AU2712">
        <v>15.43</v>
      </c>
      <c r="AV2712">
        <v>13</v>
      </c>
      <c r="AW2712">
        <v>10</v>
      </c>
      <c r="AX2712">
        <v>68.72</v>
      </c>
      <c r="AY2712">
        <v>38.35</v>
      </c>
      <c r="AZ2712">
        <v>206.44</v>
      </c>
      <c r="BA2712">
        <v>2.3199999999999998</v>
      </c>
      <c r="BB2712" t="s">
        <v>143</v>
      </c>
      <c r="BF2712">
        <v>-6.19</v>
      </c>
      <c r="BG2712">
        <v>-9.39</v>
      </c>
      <c r="BH2712">
        <v>-9.39</v>
      </c>
      <c r="BI2712">
        <v>0.64</v>
      </c>
      <c r="BJ2712">
        <v>20210828</v>
      </c>
      <c r="BK2712">
        <v>20010824</v>
      </c>
      <c r="BL2712">
        <v>18.93</v>
      </c>
      <c r="BM2712" t="s">
        <v>120</v>
      </c>
      <c r="BN2712" t="s">
        <v>120</v>
      </c>
      <c r="BO2712">
        <v>469.38</v>
      </c>
      <c r="BP2712">
        <v>14.08</v>
      </c>
      <c r="BQ2712">
        <v>135.16</v>
      </c>
      <c r="BR2712">
        <v>7.82</v>
      </c>
      <c r="BS2712">
        <v>69.540000000000006</v>
      </c>
      <c r="BT2712">
        <v>256.36</v>
      </c>
      <c r="BU2712">
        <v>105.26</v>
      </c>
      <c r="BV2712">
        <v>24.88</v>
      </c>
      <c r="BW2712">
        <v>256.70999999999998</v>
      </c>
      <c r="BX2712">
        <v>83.93</v>
      </c>
      <c r="BY2712">
        <v>27.09</v>
      </c>
      <c r="BZ2712">
        <v>35.35</v>
      </c>
      <c r="CA2712" t="s">
        <v>120</v>
      </c>
      <c r="CB2712">
        <v>52.32</v>
      </c>
      <c r="CC2712">
        <v>223.82</v>
      </c>
      <c r="CD2712">
        <v>203.28</v>
      </c>
      <c r="CE2712">
        <v>4.21</v>
      </c>
      <c r="CF2712">
        <v>1.54</v>
      </c>
      <c r="CG2712">
        <v>4.32</v>
      </c>
      <c r="CH2712">
        <v>4.34</v>
      </c>
      <c r="CI2712">
        <v>4.78</v>
      </c>
      <c r="CJ2712">
        <v>-1.46</v>
      </c>
      <c r="CK2712">
        <v>-2.74</v>
      </c>
      <c r="CL2712">
        <v>46.32</v>
      </c>
      <c r="CM2712">
        <v>7.11</v>
      </c>
      <c r="CN2712">
        <v>14.41</v>
      </c>
      <c r="CO2712">
        <v>132243</v>
      </c>
      <c r="CP2712">
        <v>9838</v>
      </c>
      <c r="CQ2712" t="s">
        <v>12221</v>
      </c>
      <c r="CR2712">
        <v>424.03</v>
      </c>
      <c r="CS2712">
        <v>13.87</v>
      </c>
      <c r="CT2712">
        <v>1.97</v>
      </c>
      <c r="CU2712">
        <v>37.51</v>
      </c>
      <c r="CV2712">
        <v>1.19</v>
      </c>
      <c r="CW2712">
        <v>0.15</v>
      </c>
      <c r="CX2712" t="s">
        <v>863</v>
      </c>
      <c r="CY2712">
        <v>7.14</v>
      </c>
      <c r="CZ2712">
        <v>0</v>
      </c>
      <c r="DA2712">
        <v>2.76</v>
      </c>
      <c r="DB2712">
        <v>2.4500000000000002</v>
      </c>
      <c r="DC2712">
        <v>0.38</v>
      </c>
      <c r="DD2712">
        <v>28.8</v>
      </c>
      <c r="DE2712" t="s">
        <v>1556</v>
      </c>
      <c r="DF2712">
        <v>9.18</v>
      </c>
      <c r="DG2712">
        <v>1.88</v>
      </c>
      <c r="DH2712">
        <v>2.13</v>
      </c>
      <c r="DI2712">
        <v>6.1</v>
      </c>
      <c r="DJ2712">
        <v>24661</v>
      </c>
      <c r="DK2712">
        <v>600418</v>
      </c>
      <c r="DL2712">
        <v>20210628</v>
      </c>
      <c r="DM2712">
        <v>12.7</v>
      </c>
      <c r="DN2712">
        <v>10.94</v>
      </c>
    </row>
    <row r="2713" spans="1:118">
      <c r="A2713" t="str">
        <f>"600419"</f>
        <v>600419</v>
      </c>
      <c r="B2713" t="s">
        <v>12222</v>
      </c>
      <c r="C2713">
        <v>1.36</v>
      </c>
      <c r="D2713">
        <v>0</v>
      </c>
      <c r="E2713">
        <v>0.64</v>
      </c>
      <c r="F2713">
        <v>487</v>
      </c>
      <c r="G2713" t="s">
        <v>9627</v>
      </c>
      <c r="H2713">
        <v>5081.16</v>
      </c>
      <c r="I2713">
        <v>9.15</v>
      </c>
      <c r="J2713" t="s">
        <v>120</v>
      </c>
      <c r="K2713" t="s">
        <v>3286</v>
      </c>
      <c r="L2713">
        <v>1.49</v>
      </c>
      <c r="M2713">
        <v>12.63</v>
      </c>
      <c r="N2713">
        <v>0.91</v>
      </c>
      <c r="O2713">
        <v>3.05</v>
      </c>
      <c r="P2713">
        <v>12.84</v>
      </c>
      <c r="Q2713">
        <v>-0.08</v>
      </c>
      <c r="R2713">
        <v>12.45</v>
      </c>
      <c r="S2713">
        <v>12.54</v>
      </c>
      <c r="T2713">
        <v>40034</v>
      </c>
      <c r="U2713">
        <v>12.63</v>
      </c>
      <c r="V2713">
        <v>12.46</v>
      </c>
      <c r="W2713">
        <v>20.89</v>
      </c>
      <c r="X2713" t="s">
        <v>4454</v>
      </c>
      <c r="Y2713" t="s">
        <v>609</v>
      </c>
      <c r="Z2713">
        <v>3.13</v>
      </c>
      <c r="AA2713">
        <v>12.69</v>
      </c>
      <c r="AB2713">
        <v>19927</v>
      </c>
      <c r="AC2713">
        <v>20107</v>
      </c>
      <c r="AD2713">
        <v>0.99</v>
      </c>
      <c r="AE2713">
        <v>159</v>
      </c>
      <c r="AF2713">
        <v>46</v>
      </c>
      <c r="AG2713" t="s">
        <v>120</v>
      </c>
      <c r="AH2713">
        <v>0</v>
      </c>
      <c r="AI2713" t="s">
        <v>120</v>
      </c>
      <c r="AJ2713">
        <v>2.69</v>
      </c>
      <c r="AK2713" t="s">
        <v>3286</v>
      </c>
      <c r="AL2713">
        <v>2.71</v>
      </c>
      <c r="AM2713">
        <v>1962</v>
      </c>
      <c r="AN2713">
        <v>20</v>
      </c>
      <c r="AO2713">
        <v>8.0000000000000004E-4</v>
      </c>
      <c r="AP2713">
        <v>1</v>
      </c>
      <c r="AQ2713">
        <v>-0.48</v>
      </c>
      <c r="AR2713">
        <v>-1.02</v>
      </c>
      <c r="AS2713">
        <v>6.05</v>
      </c>
      <c r="AT2713">
        <v>-3.51</v>
      </c>
      <c r="AU2713">
        <v>-12.44</v>
      </c>
      <c r="AV2713">
        <v>2</v>
      </c>
      <c r="AW2713">
        <v>2.4500000000000002</v>
      </c>
      <c r="AX2713">
        <v>60.8</v>
      </c>
      <c r="AY2713">
        <v>22.54</v>
      </c>
      <c r="AZ2713">
        <v>22.7</v>
      </c>
      <c r="BA2713">
        <v>0.75</v>
      </c>
      <c r="BB2713" t="s">
        <v>143</v>
      </c>
      <c r="BF2713">
        <v>1.86</v>
      </c>
      <c r="BG2713">
        <v>0.72</v>
      </c>
      <c r="BH2713">
        <v>-1.64</v>
      </c>
      <c r="BI2713">
        <v>1.45</v>
      </c>
      <c r="BJ2713">
        <v>20210827</v>
      </c>
      <c r="BK2713">
        <v>20010628</v>
      </c>
      <c r="BL2713">
        <v>2.69</v>
      </c>
      <c r="BM2713" t="s">
        <v>120</v>
      </c>
      <c r="BN2713" t="s">
        <v>120</v>
      </c>
      <c r="BO2713">
        <v>27.61</v>
      </c>
      <c r="BP2713">
        <v>12.62</v>
      </c>
      <c r="BQ2713">
        <v>16.05</v>
      </c>
      <c r="BR2713">
        <v>1.62</v>
      </c>
      <c r="BS2713">
        <v>35.979999999999997</v>
      </c>
      <c r="BT2713">
        <v>8.5299999999999994</v>
      </c>
      <c r="BU2713">
        <v>12.72</v>
      </c>
      <c r="BV2713">
        <v>0.39</v>
      </c>
      <c r="BW2713">
        <v>8.1999999999999993</v>
      </c>
      <c r="BX2713">
        <v>5</v>
      </c>
      <c r="BY2713">
        <v>2.11</v>
      </c>
      <c r="BZ2713">
        <v>0.99</v>
      </c>
      <c r="CA2713" t="s">
        <v>120</v>
      </c>
      <c r="CB2713">
        <v>8.7899999999999991</v>
      </c>
      <c r="CC2713">
        <v>10.55</v>
      </c>
      <c r="CD2713">
        <v>8.64</v>
      </c>
      <c r="CE2713">
        <v>1.03</v>
      </c>
      <c r="CF2713">
        <v>0</v>
      </c>
      <c r="CG2713">
        <v>1.01</v>
      </c>
      <c r="CH2713">
        <v>0.88</v>
      </c>
      <c r="CI2713">
        <v>0.81</v>
      </c>
      <c r="CJ2713">
        <v>0.17</v>
      </c>
      <c r="CK2713">
        <v>0.77</v>
      </c>
      <c r="CL2713">
        <v>4.0999999999999996</v>
      </c>
      <c r="CM2713">
        <v>1.78</v>
      </c>
      <c r="CN2713">
        <v>1.29</v>
      </c>
      <c r="CO2713">
        <v>33784</v>
      </c>
      <c r="CP2713">
        <v>4834</v>
      </c>
      <c r="CQ2713" t="s">
        <v>6421</v>
      </c>
      <c r="CR2713">
        <v>1.33</v>
      </c>
      <c r="CS2713">
        <v>19.54</v>
      </c>
      <c r="CT2713">
        <v>2.11</v>
      </c>
      <c r="CU2713">
        <v>19.04</v>
      </c>
      <c r="CV2713">
        <v>3.21</v>
      </c>
      <c r="CW2713">
        <v>1.32</v>
      </c>
      <c r="CX2713" t="s">
        <v>12223</v>
      </c>
      <c r="CY2713">
        <v>5.98</v>
      </c>
      <c r="CZ2713">
        <v>0</v>
      </c>
      <c r="DA2713">
        <v>3.27</v>
      </c>
      <c r="DB2713">
        <v>1.53</v>
      </c>
      <c r="DC2713">
        <v>0.66</v>
      </c>
      <c r="DD2713">
        <v>58.13</v>
      </c>
      <c r="DE2713" t="s">
        <v>1394</v>
      </c>
      <c r="DF2713">
        <v>18.13</v>
      </c>
      <c r="DG2713">
        <v>9.75</v>
      </c>
      <c r="DH2713">
        <v>7.69</v>
      </c>
      <c r="DI2713">
        <v>0.03</v>
      </c>
      <c r="DJ2713">
        <v>2225</v>
      </c>
      <c r="DK2713">
        <v>600419</v>
      </c>
      <c r="DL2713" t="s">
        <v>120</v>
      </c>
      <c r="DM2713" t="s">
        <v>120</v>
      </c>
      <c r="DN2713" t="s">
        <v>120</v>
      </c>
    </row>
    <row r="2714" spans="1:118">
      <c r="A2714" t="str">
        <f>"600420"</f>
        <v>600420</v>
      </c>
      <c r="B2714" t="s">
        <v>12224</v>
      </c>
      <c r="C2714">
        <v>-0.8</v>
      </c>
      <c r="D2714">
        <v>0.1</v>
      </c>
      <c r="E2714">
        <v>-0.2</v>
      </c>
      <c r="F2714">
        <v>161</v>
      </c>
      <c r="G2714" t="s">
        <v>6164</v>
      </c>
      <c r="H2714">
        <v>5929.41</v>
      </c>
      <c r="I2714">
        <v>4.99</v>
      </c>
      <c r="J2714" t="s">
        <v>120</v>
      </c>
      <c r="K2714" t="s">
        <v>12225</v>
      </c>
      <c r="L2714">
        <v>0.57999999999999996</v>
      </c>
      <c r="M2714">
        <v>9.91</v>
      </c>
      <c r="N2714">
        <v>0.81</v>
      </c>
      <c r="O2714">
        <v>1.1000000000000001</v>
      </c>
      <c r="P2714">
        <v>10.1</v>
      </c>
      <c r="Q2714">
        <v>-1.3</v>
      </c>
      <c r="R2714">
        <v>9.86</v>
      </c>
      <c r="S2714">
        <v>9.9700000000000006</v>
      </c>
      <c r="T2714">
        <v>59426</v>
      </c>
      <c r="U2714">
        <v>9.92</v>
      </c>
      <c r="V2714">
        <v>9.99</v>
      </c>
      <c r="W2714">
        <v>11.94</v>
      </c>
      <c r="X2714" t="s">
        <v>569</v>
      </c>
      <c r="Y2714" t="s">
        <v>1510</v>
      </c>
      <c r="Z2714">
        <v>2.4</v>
      </c>
      <c r="AA2714">
        <v>9.98</v>
      </c>
      <c r="AB2714">
        <v>30587</v>
      </c>
      <c r="AC2714">
        <v>28839</v>
      </c>
      <c r="AD2714">
        <v>1.06</v>
      </c>
      <c r="AE2714">
        <v>396</v>
      </c>
      <c r="AF2714">
        <v>70</v>
      </c>
      <c r="AG2714" t="s">
        <v>120</v>
      </c>
      <c r="AH2714">
        <v>0</v>
      </c>
      <c r="AI2714" t="s">
        <v>120</v>
      </c>
      <c r="AJ2714">
        <v>10.27</v>
      </c>
      <c r="AK2714" t="s">
        <v>12225</v>
      </c>
      <c r="AL2714">
        <v>0.54</v>
      </c>
      <c r="AM2714">
        <v>2303</v>
      </c>
      <c r="AN2714">
        <v>26</v>
      </c>
      <c r="AO2714">
        <v>2.9999999999999997E-4</v>
      </c>
      <c r="AP2714">
        <v>-3</v>
      </c>
      <c r="AQ2714">
        <v>-0.4</v>
      </c>
      <c r="AR2714">
        <v>-3.22</v>
      </c>
      <c r="AS2714">
        <v>2.37</v>
      </c>
      <c r="AT2714">
        <v>0.92</v>
      </c>
      <c r="AU2714">
        <v>5.31</v>
      </c>
      <c r="AV2714">
        <v>0</v>
      </c>
      <c r="AW2714">
        <v>1.65</v>
      </c>
      <c r="AX2714">
        <v>35.119999999999997</v>
      </c>
      <c r="AY2714">
        <v>13.71</v>
      </c>
      <c r="AZ2714">
        <v>15.81</v>
      </c>
      <c r="BA2714">
        <v>0.62</v>
      </c>
      <c r="BB2714" t="s">
        <v>143</v>
      </c>
      <c r="BF2714">
        <v>-0.12</v>
      </c>
      <c r="BG2714">
        <v>-0.6</v>
      </c>
      <c r="BH2714">
        <v>-1.88</v>
      </c>
      <c r="BI2714">
        <v>0.51</v>
      </c>
      <c r="BJ2714">
        <v>20210828</v>
      </c>
      <c r="BK2714">
        <v>20040616</v>
      </c>
      <c r="BL2714">
        <v>10.27</v>
      </c>
      <c r="BM2714" t="s">
        <v>120</v>
      </c>
      <c r="BN2714" t="s">
        <v>120</v>
      </c>
      <c r="BO2714">
        <v>198.05</v>
      </c>
      <c r="BP2714">
        <v>9.91</v>
      </c>
      <c r="BQ2714">
        <v>84.52</v>
      </c>
      <c r="BR2714">
        <v>17.32</v>
      </c>
      <c r="BS2714">
        <v>48.58</v>
      </c>
      <c r="BT2714">
        <v>115.47</v>
      </c>
      <c r="BU2714">
        <v>56.03</v>
      </c>
      <c r="BV2714">
        <v>5.18</v>
      </c>
      <c r="BW2714">
        <v>77.8</v>
      </c>
      <c r="BX2714">
        <v>41.43</v>
      </c>
      <c r="BY2714">
        <v>33.450000000000003</v>
      </c>
      <c r="BZ2714">
        <v>28.44</v>
      </c>
      <c r="CA2714">
        <v>0.02</v>
      </c>
      <c r="CB2714">
        <v>25.45</v>
      </c>
      <c r="CC2714">
        <v>76.319999999999993</v>
      </c>
      <c r="CD2714">
        <v>43.14</v>
      </c>
      <c r="CE2714">
        <v>6.41</v>
      </c>
      <c r="CF2714">
        <v>-0.18</v>
      </c>
      <c r="CG2714">
        <v>6.39</v>
      </c>
      <c r="CH2714">
        <v>5.41</v>
      </c>
      <c r="CI2714">
        <v>4.26</v>
      </c>
      <c r="CJ2714">
        <v>-0.08</v>
      </c>
      <c r="CK2714">
        <v>4.1100000000000003</v>
      </c>
      <c r="CL2714">
        <v>43.39</v>
      </c>
      <c r="CM2714">
        <v>4.4400000000000004</v>
      </c>
      <c r="CN2714">
        <v>4.3600000000000003</v>
      </c>
      <c r="CO2714">
        <v>38167</v>
      </c>
      <c r="CP2714">
        <v>9449</v>
      </c>
      <c r="CQ2714" t="s">
        <v>11192</v>
      </c>
      <c r="CR2714">
        <v>30.48</v>
      </c>
      <c r="CS2714">
        <v>22.86</v>
      </c>
      <c r="CT2714">
        <v>1.24</v>
      </c>
      <c r="CU2714">
        <v>22.93</v>
      </c>
      <c r="CV2714">
        <v>1.33</v>
      </c>
      <c r="CW2714">
        <v>1</v>
      </c>
      <c r="CX2714" t="s">
        <v>457</v>
      </c>
      <c r="CY2714">
        <v>7.98</v>
      </c>
      <c r="CZ2714">
        <v>7.98</v>
      </c>
      <c r="DA2714">
        <v>2.48</v>
      </c>
      <c r="DB2714">
        <v>4.2300000000000004</v>
      </c>
      <c r="DC2714">
        <v>0.43</v>
      </c>
      <c r="DD2714">
        <v>42.68</v>
      </c>
      <c r="DE2714" t="s">
        <v>2720</v>
      </c>
      <c r="DF2714">
        <v>43.48</v>
      </c>
      <c r="DG2714">
        <v>8.4</v>
      </c>
      <c r="DH2714">
        <v>5.58</v>
      </c>
      <c r="DI2714">
        <v>2.44</v>
      </c>
      <c r="DJ2714">
        <v>12946</v>
      </c>
      <c r="DK2714">
        <v>600420</v>
      </c>
      <c r="DL2714" t="s">
        <v>120</v>
      </c>
      <c r="DM2714" t="s">
        <v>120</v>
      </c>
      <c r="DN2714" t="s">
        <v>120</v>
      </c>
    </row>
    <row r="2715" spans="1:118">
      <c r="A2715" t="str">
        <f>"600421"</f>
        <v>600421</v>
      </c>
      <c r="B2715" t="s">
        <v>12226</v>
      </c>
      <c r="C2715">
        <v>1.25</v>
      </c>
      <c r="D2715">
        <v>0</v>
      </c>
      <c r="E2715">
        <v>0.11</v>
      </c>
      <c r="F2715">
        <v>243</v>
      </c>
      <c r="G2715" t="s">
        <v>3878</v>
      </c>
      <c r="H2715">
        <v>2132.0100000000002</v>
      </c>
      <c r="I2715">
        <v>5</v>
      </c>
      <c r="J2715" t="s">
        <v>120</v>
      </c>
      <c r="K2715" t="s">
        <v>12227</v>
      </c>
      <c r="L2715">
        <v>1.22</v>
      </c>
      <c r="M2715">
        <v>8.8800000000000008</v>
      </c>
      <c r="N2715">
        <v>1.27</v>
      </c>
      <c r="O2715">
        <v>3.76</v>
      </c>
      <c r="P2715">
        <v>9.1</v>
      </c>
      <c r="Q2715">
        <v>-1.03</v>
      </c>
      <c r="R2715">
        <v>8.68</v>
      </c>
      <c r="S2715">
        <v>8.7799999999999994</v>
      </c>
      <c r="T2715">
        <v>23832</v>
      </c>
      <c r="U2715">
        <v>8.89</v>
      </c>
      <c r="V2715">
        <v>8.77</v>
      </c>
      <c r="W2715" t="s">
        <v>120</v>
      </c>
      <c r="X2715" t="s">
        <v>166</v>
      </c>
      <c r="Y2715" t="s">
        <v>763</v>
      </c>
      <c r="Z2715">
        <v>4.79</v>
      </c>
      <c r="AA2715">
        <v>8.9499999999999993</v>
      </c>
      <c r="AB2715">
        <v>12315</v>
      </c>
      <c r="AC2715">
        <v>11517</v>
      </c>
      <c r="AD2715">
        <v>1.07</v>
      </c>
      <c r="AE2715">
        <v>176</v>
      </c>
      <c r="AF2715">
        <v>101</v>
      </c>
      <c r="AG2715" t="s">
        <v>120</v>
      </c>
      <c r="AH2715">
        <v>0.01</v>
      </c>
      <c r="AI2715" t="s">
        <v>120</v>
      </c>
      <c r="AJ2715">
        <v>1.96</v>
      </c>
      <c r="AK2715" t="s">
        <v>12227</v>
      </c>
      <c r="AL2715">
        <v>2.6</v>
      </c>
      <c r="AM2715">
        <v>1236</v>
      </c>
      <c r="AN2715">
        <v>19</v>
      </c>
      <c r="AO2715">
        <v>1E-3</v>
      </c>
      <c r="AP2715">
        <v>1</v>
      </c>
      <c r="AQ2715">
        <v>-1.35</v>
      </c>
      <c r="AR2715">
        <v>0.68</v>
      </c>
      <c r="AS2715">
        <v>-32.93</v>
      </c>
      <c r="AT2715">
        <v>-32.68</v>
      </c>
      <c r="AU2715">
        <v>-7.98</v>
      </c>
      <c r="AV2715">
        <v>14</v>
      </c>
      <c r="AW2715">
        <v>2.62</v>
      </c>
      <c r="AX2715">
        <v>46.45</v>
      </c>
      <c r="AY2715">
        <v>194.39</v>
      </c>
      <c r="AZ2715">
        <v>172.49</v>
      </c>
      <c r="BA2715">
        <v>0.23</v>
      </c>
      <c r="BB2715" t="s">
        <v>134</v>
      </c>
      <c r="BF2715">
        <v>2.0099999999999998</v>
      </c>
      <c r="BG2715">
        <v>1.1399999999999999</v>
      </c>
      <c r="BH2715">
        <v>-2.42</v>
      </c>
      <c r="BI2715">
        <v>2.2999999999999998</v>
      </c>
      <c r="BJ2715">
        <v>20210828</v>
      </c>
      <c r="BK2715">
        <v>20040607</v>
      </c>
      <c r="BL2715">
        <v>1.96</v>
      </c>
      <c r="BM2715" t="s">
        <v>120</v>
      </c>
      <c r="BN2715" t="s">
        <v>120</v>
      </c>
      <c r="BO2715">
        <v>1.0900000000000001</v>
      </c>
      <c r="BP2715">
        <v>8.8800000000000008</v>
      </c>
      <c r="BQ2715">
        <v>0.34</v>
      </c>
      <c r="BR2715">
        <v>0.26</v>
      </c>
      <c r="BS2715">
        <v>45.09</v>
      </c>
      <c r="BT2715">
        <v>0.99</v>
      </c>
      <c r="BU2715">
        <v>0.08</v>
      </c>
      <c r="BV2715">
        <v>0.02</v>
      </c>
      <c r="BW2715">
        <v>0.48</v>
      </c>
      <c r="BX2715">
        <v>0.12</v>
      </c>
      <c r="BY2715">
        <v>0.21</v>
      </c>
      <c r="BZ2715">
        <v>0.5</v>
      </c>
      <c r="CA2715" t="s">
        <v>120</v>
      </c>
      <c r="CB2715">
        <v>2.29</v>
      </c>
      <c r="CC2715">
        <v>0.6</v>
      </c>
      <c r="CD2715">
        <v>0.52</v>
      </c>
      <c r="CE2715">
        <v>-0.03</v>
      </c>
      <c r="CF2715">
        <v>0</v>
      </c>
      <c r="CG2715">
        <v>-0.03</v>
      </c>
      <c r="CH2715">
        <v>-0.03</v>
      </c>
      <c r="CI2715">
        <v>-0.03</v>
      </c>
      <c r="CJ2715">
        <v>0.11</v>
      </c>
      <c r="CK2715">
        <v>-0.03</v>
      </c>
      <c r="CL2715">
        <v>-4.1900000000000004</v>
      </c>
      <c r="CM2715">
        <v>-0.17</v>
      </c>
      <c r="CN2715">
        <v>-0.21</v>
      </c>
      <c r="CO2715">
        <v>5843</v>
      </c>
      <c r="CP2715">
        <v>15549</v>
      </c>
      <c r="CQ2715" t="s">
        <v>10646</v>
      </c>
      <c r="CR2715">
        <v>-60.39</v>
      </c>
      <c r="CS2715">
        <v>10.75</v>
      </c>
      <c r="CT2715">
        <v>51.36</v>
      </c>
      <c r="CU2715">
        <v>-102.84</v>
      </c>
      <c r="CV2715">
        <v>29</v>
      </c>
      <c r="CW2715">
        <v>0</v>
      </c>
      <c r="CX2715" t="s">
        <v>1312</v>
      </c>
      <c r="CY2715">
        <v>0.17</v>
      </c>
      <c r="CZ2715">
        <v>0</v>
      </c>
      <c r="DA2715">
        <v>1.17</v>
      </c>
      <c r="DB2715">
        <v>-2.14</v>
      </c>
      <c r="DC2715">
        <v>-0.09</v>
      </c>
      <c r="DD2715">
        <v>30.94</v>
      </c>
      <c r="DE2715" t="s">
        <v>12228</v>
      </c>
      <c r="DF2715">
        <v>13.18</v>
      </c>
      <c r="DG2715">
        <v>-5.78</v>
      </c>
      <c r="DH2715">
        <v>-4.97</v>
      </c>
      <c r="DI2715">
        <v>0.03</v>
      </c>
      <c r="DJ2715">
        <v>281</v>
      </c>
      <c r="DK2715">
        <v>600421</v>
      </c>
      <c r="DL2715" t="s">
        <v>120</v>
      </c>
      <c r="DM2715" t="s">
        <v>120</v>
      </c>
      <c r="DN2715" t="s">
        <v>120</v>
      </c>
    </row>
    <row r="2716" spans="1:118">
      <c r="A2716" t="str">
        <f>"600422"</f>
        <v>600422</v>
      </c>
      <c r="B2716" t="s">
        <v>12229</v>
      </c>
      <c r="C2716">
        <v>-1.46</v>
      </c>
      <c r="D2716">
        <v>-0.2</v>
      </c>
      <c r="E2716">
        <v>0.1</v>
      </c>
      <c r="F2716">
        <v>1419</v>
      </c>
      <c r="G2716" t="s">
        <v>12230</v>
      </c>
      <c r="H2716">
        <v>9723.23</v>
      </c>
      <c r="I2716">
        <v>10.74</v>
      </c>
      <c r="J2716" t="s">
        <v>120</v>
      </c>
      <c r="K2716" t="s">
        <v>12231</v>
      </c>
      <c r="L2716">
        <v>1.34</v>
      </c>
      <c r="M2716">
        <v>9.44</v>
      </c>
      <c r="N2716">
        <v>0.79</v>
      </c>
      <c r="O2716">
        <v>1.25</v>
      </c>
      <c r="P2716">
        <v>9.6999999999999993</v>
      </c>
      <c r="Q2716">
        <v>-1.57</v>
      </c>
      <c r="R2716">
        <v>9.43</v>
      </c>
      <c r="S2716">
        <v>9.59</v>
      </c>
      <c r="T2716">
        <v>101609</v>
      </c>
      <c r="U2716">
        <v>9.44</v>
      </c>
      <c r="V2716">
        <v>9.58</v>
      </c>
      <c r="W2716">
        <v>10.78</v>
      </c>
      <c r="X2716" t="s">
        <v>771</v>
      </c>
      <c r="Y2716" t="s">
        <v>1006</v>
      </c>
      <c r="Z2716">
        <v>2.82</v>
      </c>
      <c r="AA2716">
        <v>9.57</v>
      </c>
      <c r="AB2716">
        <v>55244</v>
      </c>
      <c r="AC2716">
        <v>46365</v>
      </c>
      <c r="AD2716">
        <v>1.19</v>
      </c>
      <c r="AE2716">
        <v>351</v>
      </c>
      <c r="AF2716">
        <v>1463</v>
      </c>
      <c r="AG2716" t="s">
        <v>120</v>
      </c>
      <c r="AH2716">
        <v>0</v>
      </c>
      <c r="AI2716" t="s">
        <v>120</v>
      </c>
      <c r="AJ2716">
        <v>7.56</v>
      </c>
      <c r="AK2716" t="s">
        <v>12232</v>
      </c>
      <c r="AL2716">
        <v>-0.12</v>
      </c>
      <c r="AM2716">
        <v>2623</v>
      </c>
      <c r="AN2716">
        <v>39</v>
      </c>
      <c r="AO2716">
        <v>5.0000000000000001E-4</v>
      </c>
      <c r="AP2716">
        <v>-3</v>
      </c>
      <c r="AQ2716">
        <v>-0.62</v>
      </c>
      <c r="AR2716">
        <v>-4.26</v>
      </c>
      <c r="AS2716">
        <v>3.28</v>
      </c>
      <c r="AT2716">
        <v>7.64</v>
      </c>
      <c r="AU2716">
        <v>12.12</v>
      </c>
      <c r="AV2716">
        <v>1</v>
      </c>
      <c r="AW2716">
        <v>2.2200000000000002</v>
      </c>
      <c r="AX2716">
        <v>60.33</v>
      </c>
      <c r="AY2716">
        <v>12.87</v>
      </c>
      <c r="AZ2716">
        <v>15.9</v>
      </c>
      <c r="BA2716">
        <v>0.88</v>
      </c>
      <c r="BB2716" t="s">
        <v>143</v>
      </c>
      <c r="BF2716">
        <v>-0.11</v>
      </c>
      <c r="BG2716">
        <v>-1.56</v>
      </c>
      <c r="BH2716">
        <v>-2.68</v>
      </c>
      <c r="BI2716">
        <v>0.11</v>
      </c>
      <c r="BJ2716">
        <v>20210814</v>
      </c>
      <c r="BK2716">
        <v>20001206</v>
      </c>
      <c r="BL2716">
        <v>7.58</v>
      </c>
      <c r="BM2716" t="s">
        <v>120</v>
      </c>
      <c r="BN2716" t="s">
        <v>120</v>
      </c>
      <c r="BO2716">
        <v>83.34</v>
      </c>
      <c r="BP2716">
        <v>9.43</v>
      </c>
      <c r="BQ2716">
        <v>46.1</v>
      </c>
      <c r="BR2716">
        <v>1.57</v>
      </c>
      <c r="BS2716">
        <v>42.81</v>
      </c>
      <c r="BT2716">
        <v>56.7</v>
      </c>
      <c r="BU2716">
        <v>12.27</v>
      </c>
      <c r="BV2716">
        <v>3.87</v>
      </c>
      <c r="BW2716">
        <v>31.47</v>
      </c>
      <c r="BX2716">
        <v>10.9</v>
      </c>
      <c r="BY2716">
        <v>17.97</v>
      </c>
      <c r="BZ2716">
        <v>17.73</v>
      </c>
      <c r="CA2716" t="s">
        <v>120</v>
      </c>
      <c r="CB2716">
        <v>11.64</v>
      </c>
      <c r="CC2716">
        <v>40.93</v>
      </c>
      <c r="CD2716">
        <v>23.22</v>
      </c>
      <c r="CE2716">
        <v>4.03</v>
      </c>
      <c r="CF2716">
        <v>1.29</v>
      </c>
      <c r="CG2716">
        <v>4.0199999999999996</v>
      </c>
      <c r="CH2716">
        <v>3.35</v>
      </c>
      <c r="CI2716">
        <v>3.32</v>
      </c>
      <c r="CJ2716">
        <v>-0.14000000000000001</v>
      </c>
      <c r="CK2716">
        <v>2.0299999999999998</v>
      </c>
      <c r="CL2716">
        <v>24.27</v>
      </c>
      <c r="CM2716">
        <v>-1.49</v>
      </c>
      <c r="CN2716">
        <v>-3.78</v>
      </c>
      <c r="CO2716">
        <v>51715</v>
      </c>
      <c r="CP2716">
        <v>8846</v>
      </c>
      <c r="CQ2716" t="s">
        <v>6203</v>
      </c>
      <c r="CR2716">
        <v>47.84</v>
      </c>
      <c r="CS2716">
        <v>19.54</v>
      </c>
      <c r="CT2716">
        <v>1.55</v>
      </c>
      <c r="CU2716">
        <v>-48.11</v>
      </c>
      <c r="CV2716">
        <v>1.75</v>
      </c>
      <c r="CW2716">
        <v>2.4</v>
      </c>
      <c r="CX2716" t="s">
        <v>12233</v>
      </c>
      <c r="CY2716">
        <v>6.08</v>
      </c>
      <c r="CZ2716">
        <v>0</v>
      </c>
      <c r="DA2716">
        <v>1.54</v>
      </c>
      <c r="DB2716">
        <v>3.2</v>
      </c>
      <c r="DC2716">
        <v>-0.2</v>
      </c>
      <c r="DD2716">
        <v>55.31</v>
      </c>
      <c r="DE2716" t="s">
        <v>7523</v>
      </c>
      <c r="DF2716">
        <v>43.28</v>
      </c>
      <c r="DG2716">
        <v>9.85</v>
      </c>
      <c r="DH2716">
        <v>8.11</v>
      </c>
      <c r="DI2716">
        <v>0.47</v>
      </c>
      <c r="DJ2716">
        <v>5572</v>
      </c>
      <c r="DK2716">
        <v>600422</v>
      </c>
      <c r="DL2716" t="s">
        <v>120</v>
      </c>
      <c r="DM2716" t="s">
        <v>120</v>
      </c>
      <c r="DN2716" t="s">
        <v>120</v>
      </c>
    </row>
    <row r="2717" spans="1:118">
      <c r="A2717" t="str">
        <f>"600423"</f>
        <v>600423</v>
      </c>
      <c r="B2717" t="s">
        <v>12234</v>
      </c>
      <c r="C2717">
        <v>0.46</v>
      </c>
      <c r="D2717">
        <v>0</v>
      </c>
      <c r="E2717">
        <v>2.2799999999999998</v>
      </c>
      <c r="F2717">
        <v>1046</v>
      </c>
      <c r="G2717" t="s">
        <v>10033</v>
      </c>
      <c r="H2717">
        <v>12301.66</v>
      </c>
      <c r="I2717">
        <v>116.3</v>
      </c>
      <c r="J2717" t="s">
        <v>120</v>
      </c>
      <c r="K2717" t="s">
        <v>12235</v>
      </c>
      <c r="L2717">
        <v>3.43</v>
      </c>
      <c r="M2717">
        <v>4.4000000000000004</v>
      </c>
      <c r="N2717">
        <v>1.34</v>
      </c>
      <c r="O2717">
        <v>5.94</v>
      </c>
      <c r="P2717">
        <v>4.6399999999999997</v>
      </c>
      <c r="Q2717">
        <v>-1.1399999999999999</v>
      </c>
      <c r="R2717">
        <v>4.33</v>
      </c>
      <c r="S2717">
        <v>4.4800000000000004</v>
      </c>
      <c r="T2717">
        <v>274273</v>
      </c>
      <c r="U2717">
        <v>4.4000000000000004</v>
      </c>
      <c r="V2717">
        <v>4.38</v>
      </c>
      <c r="W2717">
        <v>82.48</v>
      </c>
      <c r="X2717" t="s">
        <v>690</v>
      </c>
      <c r="Y2717" t="s">
        <v>945</v>
      </c>
      <c r="Z2717">
        <v>7.08</v>
      </c>
      <c r="AA2717">
        <v>4.49</v>
      </c>
      <c r="AB2717">
        <v>133370</v>
      </c>
      <c r="AC2717">
        <v>140903</v>
      </c>
      <c r="AD2717">
        <v>0.95</v>
      </c>
      <c r="AE2717">
        <v>347</v>
      </c>
      <c r="AF2717">
        <v>840</v>
      </c>
      <c r="AG2717" t="s">
        <v>120</v>
      </c>
      <c r="AH2717">
        <v>0.05</v>
      </c>
      <c r="AI2717" t="s">
        <v>120</v>
      </c>
      <c r="AJ2717">
        <v>7.99</v>
      </c>
      <c r="AK2717" t="s">
        <v>12235</v>
      </c>
      <c r="AL2717">
        <v>1.8</v>
      </c>
      <c r="AM2717">
        <v>2709</v>
      </c>
      <c r="AN2717">
        <v>101</v>
      </c>
      <c r="AO2717">
        <v>1.2999999999999999E-3</v>
      </c>
      <c r="AP2717">
        <v>2</v>
      </c>
      <c r="AQ2717">
        <v>6.05</v>
      </c>
      <c r="AR2717">
        <v>2.56</v>
      </c>
      <c r="AS2717">
        <v>25.36</v>
      </c>
      <c r="AT2717">
        <v>15.79</v>
      </c>
      <c r="AU2717">
        <v>76.7</v>
      </c>
      <c r="AV2717">
        <v>14</v>
      </c>
      <c r="AW2717">
        <v>5.22</v>
      </c>
      <c r="AX2717">
        <v>65.75</v>
      </c>
      <c r="AY2717">
        <v>88.8</v>
      </c>
      <c r="AZ2717">
        <v>275.10000000000002</v>
      </c>
      <c r="BA2717">
        <v>1.32</v>
      </c>
      <c r="BB2717" t="s">
        <v>184</v>
      </c>
      <c r="BF2717">
        <v>2.4</v>
      </c>
      <c r="BG2717">
        <v>-1.79</v>
      </c>
      <c r="BH2717">
        <v>-5.17</v>
      </c>
      <c r="BI2717">
        <v>1.62</v>
      </c>
      <c r="BJ2717">
        <v>20210730</v>
      </c>
      <c r="BK2717">
        <v>20030717</v>
      </c>
      <c r="BL2717">
        <v>7.99</v>
      </c>
      <c r="BM2717" t="s">
        <v>120</v>
      </c>
      <c r="BN2717" t="s">
        <v>120</v>
      </c>
      <c r="BO2717">
        <v>4.8600000000000003</v>
      </c>
      <c r="BP2717">
        <v>4.3899999999999997</v>
      </c>
      <c r="BQ2717">
        <v>4.1500000000000004</v>
      </c>
      <c r="BR2717" t="s">
        <v>120</v>
      </c>
      <c r="BS2717">
        <v>14.66</v>
      </c>
      <c r="BT2717">
        <v>4.24</v>
      </c>
      <c r="BU2717">
        <v>0.62</v>
      </c>
      <c r="BV2717">
        <v>0</v>
      </c>
      <c r="BW2717">
        <v>0.71</v>
      </c>
      <c r="BX2717">
        <v>3.78</v>
      </c>
      <c r="BY2717">
        <v>0.03</v>
      </c>
      <c r="BZ2717">
        <v>0</v>
      </c>
      <c r="CA2717">
        <v>0.19</v>
      </c>
      <c r="CB2717">
        <v>17.739999999999998</v>
      </c>
      <c r="CC2717">
        <v>0.6</v>
      </c>
      <c r="CD2717">
        <v>0.41</v>
      </c>
      <c r="CE2717">
        <v>0.21</v>
      </c>
      <c r="CF2717">
        <v>0</v>
      </c>
      <c r="CG2717">
        <v>0.21</v>
      </c>
      <c r="CH2717">
        <v>0.21</v>
      </c>
      <c r="CI2717">
        <v>0.21</v>
      </c>
      <c r="CJ2717">
        <v>0.02</v>
      </c>
      <c r="CK2717">
        <v>0.21</v>
      </c>
      <c r="CL2717">
        <v>-21.96</v>
      </c>
      <c r="CM2717">
        <v>0.23</v>
      </c>
      <c r="CN2717">
        <v>0.23</v>
      </c>
      <c r="CO2717">
        <v>24199</v>
      </c>
      <c r="CP2717">
        <v>21702</v>
      </c>
      <c r="CQ2717" t="s">
        <v>12236</v>
      </c>
      <c r="CR2717">
        <v>496.14</v>
      </c>
      <c r="CS2717">
        <v>37.119999999999997</v>
      </c>
      <c r="CT2717">
        <v>8.4700000000000006</v>
      </c>
      <c r="CU2717">
        <v>151.25</v>
      </c>
      <c r="CV2717">
        <v>58.72</v>
      </c>
      <c r="CW2717">
        <v>0</v>
      </c>
      <c r="CX2717" t="s">
        <v>2074</v>
      </c>
      <c r="CY2717">
        <v>0.52</v>
      </c>
      <c r="CZ2717">
        <v>0</v>
      </c>
      <c r="DA2717">
        <v>2.2200000000000002</v>
      </c>
      <c r="DB2717">
        <v>-2.75</v>
      </c>
      <c r="DC2717">
        <v>0.03</v>
      </c>
      <c r="DD2717">
        <v>85.34</v>
      </c>
      <c r="DE2717" t="s">
        <v>3095</v>
      </c>
      <c r="DF2717">
        <v>32.22</v>
      </c>
      <c r="DG2717">
        <v>34.76</v>
      </c>
      <c r="DH2717">
        <v>35.590000000000003</v>
      </c>
      <c r="DI2717" t="s">
        <v>120</v>
      </c>
      <c r="DJ2717">
        <v>84</v>
      </c>
      <c r="DK2717">
        <v>600423</v>
      </c>
      <c r="DL2717" t="s">
        <v>120</v>
      </c>
      <c r="DM2717" t="s">
        <v>120</v>
      </c>
      <c r="DN2717" t="s">
        <v>120</v>
      </c>
    </row>
    <row r="2718" spans="1:118">
      <c r="A2718" t="str">
        <f>"600425"</f>
        <v>600425</v>
      </c>
      <c r="B2718" t="s">
        <v>12237</v>
      </c>
      <c r="C2718">
        <v>0.71</v>
      </c>
      <c r="D2718">
        <v>-0.22</v>
      </c>
      <c r="E2718">
        <v>0.94</v>
      </c>
      <c r="F2718">
        <v>2660</v>
      </c>
      <c r="G2718" t="s">
        <v>12238</v>
      </c>
      <c r="H2718">
        <v>23811.87</v>
      </c>
      <c r="I2718">
        <v>186.57</v>
      </c>
      <c r="J2718" t="s">
        <v>120</v>
      </c>
      <c r="K2718" t="s">
        <v>12239</v>
      </c>
      <c r="L2718">
        <v>3.97</v>
      </c>
      <c r="M2718">
        <v>4.28</v>
      </c>
      <c r="N2718">
        <v>0.75</v>
      </c>
      <c r="O2718">
        <v>4.47</v>
      </c>
      <c r="P2718">
        <v>4.4400000000000004</v>
      </c>
      <c r="Q2718">
        <v>0.24</v>
      </c>
      <c r="R2718">
        <v>4.26</v>
      </c>
      <c r="S2718">
        <v>4.29</v>
      </c>
      <c r="T2718">
        <v>547185</v>
      </c>
      <c r="U2718">
        <v>4.28</v>
      </c>
      <c r="V2718">
        <v>4.25</v>
      </c>
      <c r="W2718">
        <v>19.36</v>
      </c>
      <c r="X2718" t="s">
        <v>653</v>
      </c>
      <c r="Y2718" t="s">
        <v>609</v>
      </c>
      <c r="Z2718">
        <v>4.24</v>
      </c>
      <c r="AA2718">
        <v>4.3499999999999996</v>
      </c>
      <c r="AB2718">
        <v>265047</v>
      </c>
      <c r="AC2718">
        <v>282138</v>
      </c>
      <c r="AD2718">
        <v>0.94</v>
      </c>
      <c r="AE2718">
        <v>2665</v>
      </c>
      <c r="AF2718">
        <v>2487</v>
      </c>
      <c r="AG2718" t="s">
        <v>120</v>
      </c>
      <c r="AH2718">
        <v>0.04</v>
      </c>
      <c r="AI2718" t="s">
        <v>120</v>
      </c>
      <c r="AJ2718">
        <v>13.79</v>
      </c>
      <c r="AK2718" t="s">
        <v>12239</v>
      </c>
      <c r="AL2718">
        <v>2.0499999999999998</v>
      </c>
      <c r="AM2718">
        <v>3380</v>
      </c>
      <c r="AN2718">
        <v>162</v>
      </c>
      <c r="AO2718">
        <v>1.1999999999999999E-3</v>
      </c>
      <c r="AP2718">
        <v>1</v>
      </c>
      <c r="AQ2718">
        <v>-0.7</v>
      </c>
      <c r="AR2718">
        <v>-3.82</v>
      </c>
      <c r="AS2718">
        <v>14.13</v>
      </c>
      <c r="AT2718">
        <v>23.7</v>
      </c>
      <c r="AU2718">
        <v>15.67</v>
      </c>
      <c r="AV2718">
        <v>1</v>
      </c>
      <c r="AW2718">
        <v>5.61</v>
      </c>
      <c r="AX2718">
        <v>70.8</v>
      </c>
      <c r="AY2718">
        <v>20.27</v>
      </c>
      <c r="AZ2718">
        <v>23.21</v>
      </c>
      <c r="BA2718">
        <v>0.87</v>
      </c>
      <c r="BB2718" t="s">
        <v>143</v>
      </c>
      <c r="BF2718">
        <v>2.39</v>
      </c>
      <c r="BG2718">
        <v>-0.23</v>
      </c>
      <c r="BH2718">
        <v>-3.6</v>
      </c>
      <c r="BI2718">
        <v>0.47</v>
      </c>
      <c r="BJ2718">
        <v>20210902</v>
      </c>
      <c r="BK2718">
        <v>20030724</v>
      </c>
      <c r="BL2718">
        <v>13.79</v>
      </c>
      <c r="BM2718" t="s">
        <v>120</v>
      </c>
      <c r="BN2718" t="s">
        <v>120</v>
      </c>
      <c r="BO2718">
        <v>82.46</v>
      </c>
      <c r="BP2718">
        <v>4.2699999999999996</v>
      </c>
      <c r="BQ2718">
        <v>48.62</v>
      </c>
      <c r="BR2718">
        <v>2.06</v>
      </c>
      <c r="BS2718">
        <v>38.54</v>
      </c>
      <c r="BT2718">
        <v>25.23</v>
      </c>
      <c r="BU2718">
        <v>42.04</v>
      </c>
      <c r="BV2718">
        <v>2.87</v>
      </c>
      <c r="BW2718">
        <v>23.88</v>
      </c>
      <c r="BX2718">
        <v>8.83</v>
      </c>
      <c r="BY2718">
        <v>4.71</v>
      </c>
      <c r="BZ2718">
        <v>3.37</v>
      </c>
      <c r="CA2718" t="s">
        <v>120</v>
      </c>
      <c r="CB2718">
        <v>30.05</v>
      </c>
      <c r="CC2718">
        <v>16.73</v>
      </c>
      <c r="CD2718">
        <v>12.06</v>
      </c>
      <c r="CE2718">
        <v>2.15</v>
      </c>
      <c r="CF2718">
        <v>-0.03</v>
      </c>
      <c r="CG2718">
        <v>2.17</v>
      </c>
      <c r="CH2718">
        <v>1.59</v>
      </c>
      <c r="CI2718">
        <v>1.52</v>
      </c>
      <c r="CJ2718">
        <v>0.03</v>
      </c>
      <c r="CK2718">
        <v>1.34</v>
      </c>
      <c r="CL2718">
        <v>2.81</v>
      </c>
      <c r="CM2718">
        <v>1.25</v>
      </c>
      <c r="CN2718">
        <v>-1.97</v>
      </c>
      <c r="CO2718">
        <v>84000</v>
      </c>
      <c r="CP2718">
        <v>11621</v>
      </c>
      <c r="CQ2718" t="s">
        <v>7410</v>
      </c>
      <c r="CR2718">
        <v>31.63</v>
      </c>
      <c r="CS2718">
        <v>25.99</v>
      </c>
      <c r="CT2718">
        <v>1.21</v>
      </c>
      <c r="CU2718">
        <v>47.12</v>
      </c>
      <c r="CV2718">
        <v>3.53</v>
      </c>
      <c r="CW2718">
        <v>0</v>
      </c>
      <c r="CX2718" t="s">
        <v>1147</v>
      </c>
      <c r="CY2718">
        <v>3.53</v>
      </c>
      <c r="CZ2718">
        <v>0</v>
      </c>
      <c r="DA2718">
        <v>2.1800000000000002</v>
      </c>
      <c r="DB2718">
        <v>0.2</v>
      </c>
      <c r="DC2718">
        <v>0.09</v>
      </c>
      <c r="DD2718">
        <v>58.96</v>
      </c>
      <c r="DE2718" t="s">
        <v>3197</v>
      </c>
      <c r="DF2718">
        <v>27.94</v>
      </c>
      <c r="DG2718">
        <v>12.84</v>
      </c>
      <c r="DH2718">
        <v>9.11</v>
      </c>
      <c r="DI2718" t="s">
        <v>120</v>
      </c>
      <c r="DJ2718">
        <v>3112</v>
      </c>
      <c r="DK2718">
        <v>600425</v>
      </c>
      <c r="DL2718" t="s">
        <v>120</v>
      </c>
      <c r="DM2718" t="s">
        <v>120</v>
      </c>
      <c r="DN2718" t="s">
        <v>120</v>
      </c>
    </row>
    <row r="2719" spans="1:118">
      <c r="A2719" t="str">
        <f>"600426"</f>
        <v>600426</v>
      </c>
      <c r="B2719" t="s">
        <v>12240</v>
      </c>
      <c r="C2719">
        <v>-1.36</v>
      </c>
      <c r="D2719">
        <v>-0.86</v>
      </c>
      <c r="E2719">
        <v>4.29</v>
      </c>
      <c r="F2719">
        <v>9957</v>
      </c>
      <c r="G2719" t="s">
        <v>12241</v>
      </c>
      <c r="H2719">
        <v>279787.40999999997</v>
      </c>
      <c r="I2719">
        <v>3289.6</v>
      </c>
      <c r="J2719" t="s">
        <v>120</v>
      </c>
      <c r="K2719" t="s">
        <v>12242</v>
      </c>
      <c r="L2719">
        <v>3.34</v>
      </c>
      <c r="M2719">
        <v>37.74</v>
      </c>
      <c r="N2719">
        <v>1.31</v>
      </c>
      <c r="O2719">
        <v>7.89</v>
      </c>
      <c r="P2719">
        <v>41.28</v>
      </c>
      <c r="Q2719">
        <v>-1.36</v>
      </c>
      <c r="R2719">
        <v>37.74</v>
      </c>
      <c r="S2719">
        <v>39.9</v>
      </c>
      <c r="T2719">
        <v>704218</v>
      </c>
      <c r="U2719">
        <v>37.770000000000003</v>
      </c>
      <c r="V2719">
        <v>38.26</v>
      </c>
      <c r="W2719">
        <v>10.48</v>
      </c>
      <c r="X2719" t="s">
        <v>690</v>
      </c>
      <c r="Y2719" t="s">
        <v>638</v>
      </c>
      <c r="Z2719">
        <v>9.25</v>
      </c>
      <c r="AA2719">
        <v>39.729999999999997</v>
      </c>
      <c r="AB2719">
        <v>337846</v>
      </c>
      <c r="AC2719">
        <v>366372</v>
      </c>
      <c r="AD2719">
        <v>0.92</v>
      </c>
      <c r="AE2719">
        <v>1365</v>
      </c>
      <c r="AF2719">
        <v>21</v>
      </c>
      <c r="AG2719" t="s">
        <v>120</v>
      </c>
      <c r="AH2719">
        <v>0.06</v>
      </c>
      <c r="AI2719" t="s">
        <v>120</v>
      </c>
      <c r="AJ2719">
        <v>21.09</v>
      </c>
      <c r="AK2719" t="s">
        <v>12243</v>
      </c>
      <c r="AL2719">
        <v>-0.02</v>
      </c>
      <c r="AM2719">
        <v>4715</v>
      </c>
      <c r="AN2719">
        <v>149</v>
      </c>
      <c r="AO2719">
        <v>6.9999999999999999E-4</v>
      </c>
      <c r="AP2719">
        <v>-3</v>
      </c>
      <c r="AQ2719">
        <v>-1.9</v>
      </c>
      <c r="AR2719">
        <v>-6.7</v>
      </c>
      <c r="AS2719">
        <v>11.36</v>
      </c>
      <c r="AT2719">
        <v>17.57</v>
      </c>
      <c r="AU2719">
        <v>32.6</v>
      </c>
      <c r="AV2719">
        <v>4</v>
      </c>
      <c r="AW2719">
        <v>4.93</v>
      </c>
      <c r="AX2719">
        <v>67.64</v>
      </c>
      <c r="AY2719">
        <v>17.21</v>
      </c>
      <c r="AZ2719">
        <v>44.93</v>
      </c>
      <c r="BA2719">
        <v>2.2000000000000002</v>
      </c>
      <c r="BB2719" t="s">
        <v>125</v>
      </c>
      <c r="BF2719">
        <v>3.84</v>
      </c>
      <c r="BG2719">
        <v>-5.41</v>
      </c>
      <c r="BH2719">
        <v>-8.58</v>
      </c>
      <c r="BI2719">
        <v>0</v>
      </c>
      <c r="BJ2719">
        <v>20210914</v>
      </c>
      <c r="BK2719">
        <v>20020620</v>
      </c>
      <c r="BL2719">
        <v>21.12</v>
      </c>
      <c r="BM2719" t="s">
        <v>120</v>
      </c>
      <c r="BN2719" t="s">
        <v>120</v>
      </c>
      <c r="BO2719">
        <v>247.62</v>
      </c>
      <c r="BP2719">
        <v>37.74</v>
      </c>
      <c r="BQ2719">
        <v>187.82</v>
      </c>
      <c r="BR2719">
        <v>1.8</v>
      </c>
      <c r="BS2719">
        <v>23.43</v>
      </c>
      <c r="BT2719">
        <v>60.84</v>
      </c>
      <c r="BU2719">
        <v>122.67</v>
      </c>
      <c r="BV2719">
        <v>13.29</v>
      </c>
      <c r="BW2719">
        <v>41.17</v>
      </c>
      <c r="BX2719">
        <v>11.17</v>
      </c>
      <c r="BY2719">
        <v>5.77</v>
      </c>
      <c r="BZ2719">
        <v>0.75</v>
      </c>
      <c r="CA2719" t="s">
        <v>120</v>
      </c>
      <c r="CB2719">
        <v>20.81</v>
      </c>
      <c r="CC2719">
        <v>116.13</v>
      </c>
      <c r="CD2719">
        <v>68.040000000000006</v>
      </c>
      <c r="CE2719">
        <v>44.73</v>
      </c>
      <c r="CF2719">
        <v>0.08</v>
      </c>
      <c r="CG2719">
        <v>44.74</v>
      </c>
      <c r="CH2719">
        <v>38.01</v>
      </c>
      <c r="CI2719">
        <v>38.01</v>
      </c>
      <c r="CJ2719">
        <v>-0.52</v>
      </c>
      <c r="CK2719">
        <v>37.909999999999997</v>
      </c>
      <c r="CL2719">
        <v>138.28</v>
      </c>
      <c r="CM2719">
        <v>22.39</v>
      </c>
      <c r="CN2719">
        <v>0.52</v>
      </c>
      <c r="CO2719">
        <v>54105</v>
      </c>
      <c r="CP2719">
        <v>26401</v>
      </c>
      <c r="CQ2719" t="s">
        <v>12244</v>
      </c>
      <c r="CR2719">
        <v>320.45999999999998</v>
      </c>
      <c r="CS2719">
        <v>93.76</v>
      </c>
      <c r="CT2719">
        <v>4.24</v>
      </c>
      <c r="CU2719">
        <v>35.590000000000003</v>
      </c>
      <c r="CV2719">
        <v>6.86</v>
      </c>
      <c r="CW2719">
        <v>0.6</v>
      </c>
      <c r="CX2719" t="s">
        <v>12245</v>
      </c>
      <c r="CY2719">
        <v>8.89</v>
      </c>
      <c r="CZ2719">
        <v>0</v>
      </c>
      <c r="DA2719">
        <v>0.99</v>
      </c>
      <c r="DB2719">
        <v>6.55</v>
      </c>
      <c r="DC2719">
        <v>1.06</v>
      </c>
      <c r="DD2719">
        <v>75.849999999999994</v>
      </c>
      <c r="DE2719" t="s">
        <v>12246</v>
      </c>
      <c r="DF2719">
        <v>41.4</v>
      </c>
      <c r="DG2719">
        <v>38.520000000000003</v>
      </c>
      <c r="DH2719">
        <v>32.729999999999997</v>
      </c>
      <c r="DI2719">
        <v>1.34</v>
      </c>
      <c r="DJ2719">
        <v>4102</v>
      </c>
      <c r="DK2719">
        <v>600426</v>
      </c>
      <c r="DL2719" t="s">
        <v>120</v>
      </c>
      <c r="DM2719" t="s">
        <v>120</v>
      </c>
      <c r="DN2719" t="s">
        <v>120</v>
      </c>
    </row>
    <row r="2720" spans="1:118">
      <c r="A2720" t="str">
        <f>"600428"</f>
        <v>600428</v>
      </c>
      <c r="B2720" t="s">
        <v>12247</v>
      </c>
      <c r="C2720">
        <v>1.3</v>
      </c>
      <c r="D2720">
        <v>0</v>
      </c>
      <c r="E2720">
        <v>1.17</v>
      </c>
      <c r="F2720">
        <v>11024</v>
      </c>
      <c r="G2720" t="s">
        <v>2623</v>
      </c>
      <c r="H2720">
        <v>79198.100000000006</v>
      </c>
      <c r="I2720">
        <v>770.87</v>
      </c>
      <c r="J2720" t="s">
        <v>120</v>
      </c>
      <c r="K2720" t="s">
        <v>12248</v>
      </c>
      <c r="L2720">
        <v>4.6399999999999997</v>
      </c>
      <c r="M2720">
        <v>7.81</v>
      </c>
      <c r="N2720">
        <v>1.06</v>
      </c>
      <c r="O2720">
        <v>6.87</v>
      </c>
      <c r="P2720">
        <v>8.24</v>
      </c>
      <c r="Q2720">
        <v>0.39</v>
      </c>
      <c r="R2720">
        <v>7.74</v>
      </c>
      <c r="S2720">
        <v>7.8</v>
      </c>
      <c r="T2720">
        <v>995587</v>
      </c>
      <c r="U2720">
        <v>7.81</v>
      </c>
      <c r="V2720">
        <v>7.71</v>
      </c>
      <c r="W2720">
        <v>57.32</v>
      </c>
      <c r="X2720" t="s">
        <v>917</v>
      </c>
      <c r="Y2720" t="s">
        <v>547</v>
      </c>
      <c r="Z2720">
        <v>6.49</v>
      </c>
      <c r="AA2720">
        <v>7.95</v>
      </c>
      <c r="AB2720">
        <v>478818</v>
      </c>
      <c r="AC2720">
        <v>516769</v>
      </c>
      <c r="AD2720">
        <v>0.93</v>
      </c>
      <c r="AE2720">
        <v>2273</v>
      </c>
      <c r="AF2720">
        <v>1447</v>
      </c>
      <c r="AG2720" t="s">
        <v>120</v>
      </c>
      <c r="AH2720">
        <v>0.11</v>
      </c>
      <c r="AI2720" t="s">
        <v>120</v>
      </c>
      <c r="AJ2720">
        <v>21.47</v>
      </c>
      <c r="AK2720" t="s">
        <v>12248</v>
      </c>
      <c r="AL2720">
        <v>2.64</v>
      </c>
      <c r="AM2720">
        <v>4578</v>
      </c>
      <c r="AN2720">
        <v>217</v>
      </c>
      <c r="AO2720">
        <v>1E-3</v>
      </c>
      <c r="AP2720">
        <v>5</v>
      </c>
      <c r="AQ2720">
        <v>1.85</v>
      </c>
      <c r="AR2720">
        <v>4.6900000000000004</v>
      </c>
      <c r="AS2720">
        <v>28.03</v>
      </c>
      <c r="AT2720">
        <v>55.89</v>
      </c>
      <c r="AU2720">
        <v>72.41</v>
      </c>
      <c r="AV2720">
        <v>16</v>
      </c>
      <c r="AW2720">
        <v>11.47</v>
      </c>
      <c r="AX2720">
        <v>40.44</v>
      </c>
      <c r="AY2720">
        <v>82.92</v>
      </c>
      <c r="AZ2720">
        <v>131.91999999999999</v>
      </c>
      <c r="BA2720">
        <v>0.66</v>
      </c>
      <c r="BB2720" t="s">
        <v>184</v>
      </c>
      <c r="BF2720">
        <v>3.18</v>
      </c>
      <c r="BG2720">
        <v>0.13</v>
      </c>
      <c r="BH2720">
        <v>-5.22</v>
      </c>
      <c r="BI2720">
        <v>0.9</v>
      </c>
      <c r="BJ2720">
        <v>20210827</v>
      </c>
      <c r="BK2720">
        <v>20020418</v>
      </c>
      <c r="BL2720">
        <v>21.47</v>
      </c>
      <c r="BM2720" t="s">
        <v>120</v>
      </c>
      <c r="BN2720" t="s">
        <v>120</v>
      </c>
      <c r="BO2720">
        <v>223.73</v>
      </c>
      <c r="BP2720">
        <v>7.8</v>
      </c>
      <c r="BQ2720">
        <v>96.18</v>
      </c>
      <c r="BR2720">
        <v>0.22</v>
      </c>
      <c r="BS2720">
        <v>56.91</v>
      </c>
      <c r="BT2720">
        <v>33.380000000000003</v>
      </c>
      <c r="BU2720">
        <v>144.56</v>
      </c>
      <c r="BV2720">
        <v>2.5499999999999998</v>
      </c>
      <c r="BW2720">
        <v>49.37</v>
      </c>
      <c r="BX2720">
        <v>7.32</v>
      </c>
      <c r="BY2720">
        <v>3.77</v>
      </c>
      <c r="BZ2720">
        <v>4.97</v>
      </c>
      <c r="CA2720">
        <v>0.01</v>
      </c>
      <c r="CB2720">
        <v>43.04</v>
      </c>
      <c r="CC2720">
        <v>35.99</v>
      </c>
      <c r="CD2720">
        <v>29.64</v>
      </c>
      <c r="CE2720">
        <v>2.0499999999999998</v>
      </c>
      <c r="CF2720">
        <v>0.34</v>
      </c>
      <c r="CG2720">
        <v>2.12</v>
      </c>
      <c r="CH2720">
        <v>1.48</v>
      </c>
      <c r="CI2720">
        <v>1.46</v>
      </c>
      <c r="CJ2720">
        <v>0.1</v>
      </c>
      <c r="CK2720">
        <v>1.37</v>
      </c>
      <c r="CL2720">
        <v>28.73</v>
      </c>
      <c r="CM2720">
        <v>3.52</v>
      </c>
      <c r="CN2720">
        <v>-7.24</v>
      </c>
      <c r="CO2720">
        <v>96871</v>
      </c>
      <c r="CP2720">
        <v>8961</v>
      </c>
      <c r="CQ2720" t="s">
        <v>8041</v>
      </c>
      <c r="CR2720">
        <v>102.84</v>
      </c>
      <c r="CS2720">
        <v>-6.04</v>
      </c>
      <c r="CT2720">
        <v>1.74</v>
      </c>
      <c r="CU2720">
        <v>47.68</v>
      </c>
      <c r="CV2720">
        <v>4.66</v>
      </c>
      <c r="CW2720">
        <v>0.26</v>
      </c>
      <c r="CX2720" t="s">
        <v>679</v>
      </c>
      <c r="CY2720">
        <v>4.4800000000000004</v>
      </c>
      <c r="CZ2720">
        <v>0</v>
      </c>
      <c r="DA2720">
        <v>2.0099999999999998</v>
      </c>
      <c r="DB2720">
        <v>1.34</v>
      </c>
      <c r="DC2720">
        <v>0.16</v>
      </c>
      <c r="DD2720">
        <v>42.99</v>
      </c>
      <c r="DE2720" t="s">
        <v>4579</v>
      </c>
      <c r="DF2720">
        <v>17.64</v>
      </c>
      <c r="DG2720">
        <v>5.7</v>
      </c>
      <c r="DH2720">
        <v>4.0599999999999996</v>
      </c>
      <c r="DI2720">
        <v>0.11</v>
      </c>
      <c r="DJ2720">
        <v>3906</v>
      </c>
      <c r="DK2720">
        <v>600428</v>
      </c>
      <c r="DL2720">
        <v>20210622</v>
      </c>
      <c r="DM2720">
        <v>4.7300000000000004</v>
      </c>
      <c r="DN2720">
        <v>65.540000000000006</v>
      </c>
    </row>
    <row r="2721" spans="1:118">
      <c r="A2721" t="str">
        <f>"600429"</f>
        <v>600429</v>
      </c>
      <c r="B2721" t="s">
        <v>12249</v>
      </c>
      <c r="C2721">
        <v>-1.06</v>
      </c>
      <c r="D2721">
        <v>-0.17</v>
      </c>
      <c r="E2721">
        <v>0.88</v>
      </c>
      <c r="F2721">
        <v>1554</v>
      </c>
      <c r="G2721" t="s">
        <v>8617</v>
      </c>
      <c r="H2721">
        <v>4941.25</v>
      </c>
      <c r="I2721">
        <v>16.16</v>
      </c>
      <c r="J2721" t="s">
        <v>120</v>
      </c>
      <c r="K2721" t="s">
        <v>12250</v>
      </c>
      <c r="L2721">
        <v>0.57999999999999996</v>
      </c>
      <c r="M2721">
        <v>5.6</v>
      </c>
      <c r="N2721">
        <v>0.96</v>
      </c>
      <c r="O2721">
        <v>2.65</v>
      </c>
      <c r="P2721">
        <v>5.81</v>
      </c>
      <c r="Q2721">
        <v>-1.41</v>
      </c>
      <c r="R2721">
        <v>5.58</v>
      </c>
      <c r="S2721">
        <v>5.71</v>
      </c>
      <c r="T2721">
        <v>86987</v>
      </c>
      <c r="U2721">
        <v>5.61</v>
      </c>
      <c r="V2721">
        <v>5.66</v>
      </c>
      <c r="W2721">
        <v>28.74</v>
      </c>
      <c r="X2721" t="s">
        <v>4454</v>
      </c>
      <c r="Y2721" t="s">
        <v>158</v>
      </c>
      <c r="Z2721">
        <v>4.0599999999999996</v>
      </c>
      <c r="AA2721">
        <v>5.68</v>
      </c>
      <c r="AB2721">
        <v>46406</v>
      </c>
      <c r="AC2721">
        <v>40581</v>
      </c>
      <c r="AD2721">
        <v>1.1399999999999999</v>
      </c>
      <c r="AE2721">
        <v>821</v>
      </c>
      <c r="AF2721">
        <v>32</v>
      </c>
      <c r="AG2721" t="s">
        <v>120</v>
      </c>
      <c r="AH2721">
        <v>0.01</v>
      </c>
      <c r="AI2721" t="s">
        <v>120</v>
      </c>
      <c r="AJ2721">
        <v>14.98</v>
      </c>
      <c r="AK2721" t="s">
        <v>12250</v>
      </c>
      <c r="AL2721">
        <v>0.28000000000000003</v>
      </c>
      <c r="AM2721">
        <v>2195</v>
      </c>
      <c r="AN2721">
        <v>40</v>
      </c>
      <c r="AO2721">
        <v>2.9999999999999997E-4</v>
      </c>
      <c r="AP2721">
        <v>-1</v>
      </c>
      <c r="AQ2721">
        <v>0.53</v>
      </c>
      <c r="AR2721">
        <v>-2.78</v>
      </c>
      <c r="AS2721">
        <v>10.46</v>
      </c>
      <c r="AT2721">
        <v>19.02</v>
      </c>
      <c r="AU2721">
        <v>12.79</v>
      </c>
      <c r="AV2721">
        <v>3</v>
      </c>
      <c r="AW2721">
        <v>2.34</v>
      </c>
      <c r="AX2721">
        <v>24.86</v>
      </c>
      <c r="AY2721">
        <v>31.48</v>
      </c>
      <c r="AZ2721">
        <v>384.29</v>
      </c>
      <c r="BA2721">
        <v>0.72</v>
      </c>
      <c r="BB2721" t="s">
        <v>143</v>
      </c>
      <c r="BF2721">
        <v>0.36</v>
      </c>
      <c r="BG2721">
        <v>-1.93</v>
      </c>
      <c r="BH2721">
        <v>-3.61</v>
      </c>
      <c r="BI2721">
        <v>0.36</v>
      </c>
      <c r="BJ2721">
        <v>20210827</v>
      </c>
      <c r="BK2721">
        <v>20030915</v>
      </c>
      <c r="BL2721">
        <v>14.98</v>
      </c>
      <c r="BM2721" t="s">
        <v>120</v>
      </c>
      <c r="BN2721" t="s">
        <v>120</v>
      </c>
      <c r="BO2721">
        <v>131.82</v>
      </c>
      <c r="BP2721">
        <v>5.6</v>
      </c>
      <c r="BQ2721">
        <v>50.71</v>
      </c>
      <c r="BR2721">
        <v>9.6999999999999993</v>
      </c>
      <c r="BS2721">
        <v>54.17</v>
      </c>
      <c r="BT2721">
        <v>34.590000000000003</v>
      </c>
      <c r="BU2721">
        <v>23.16</v>
      </c>
      <c r="BV2721">
        <v>41.12</v>
      </c>
      <c r="BW2721">
        <v>42.32</v>
      </c>
      <c r="BX2721">
        <v>17.09</v>
      </c>
      <c r="BY2721">
        <v>5.36</v>
      </c>
      <c r="BZ2721">
        <v>10.35</v>
      </c>
      <c r="CA2721">
        <v>0.05</v>
      </c>
      <c r="CB2721">
        <v>32.43</v>
      </c>
      <c r="CC2721">
        <v>40.020000000000003</v>
      </c>
      <c r="CD2721">
        <v>29.46</v>
      </c>
      <c r="CE2721">
        <v>1.53</v>
      </c>
      <c r="CF2721">
        <v>1.0900000000000001</v>
      </c>
      <c r="CG2721">
        <v>1.51</v>
      </c>
      <c r="CH2721">
        <v>1.25</v>
      </c>
      <c r="CI2721">
        <v>1.46</v>
      </c>
      <c r="CJ2721">
        <v>-0.06</v>
      </c>
      <c r="CK2721">
        <v>1.39</v>
      </c>
      <c r="CL2721">
        <v>2.14</v>
      </c>
      <c r="CM2721">
        <v>2.27</v>
      </c>
      <c r="CN2721">
        <v>-2.69</v>
      </c>
      <c r="CO2721">
        <v>31066</v>
      </c>
      <c r="CP2721">
        <v>11982</v>
      </c>
      <c r="CQ2721" t="s">
        <v>2050</v>
      </c>
      <c r="CR2721">
        <v>244.02</v>
      </c>
      <c r="CS2721">
        <v>17.559999999999999</v>
      </c>
      <c r="CT2721">
        <v>1.65</v>
      </c>
      <c r="CU2721">
        <v>37.01</v>
      </c>
      <c r="CV2721">
        <v>2.1</v>
      </c>
      <c r="CW2721">
        <v>0.09</v>
      </c>
      <c r="CX2721" t="s">
        <v>4020</v>
      </c>
      <c r="CY2721">
        <v>3.39</v>
      </c>
      <c r="CZ2721">
        <v>0</v>
      </c>
      <c r="DA2721">
        <v>2.17</v>
      </c>
      <c r="DB2721">
        <v>0.14000000000000001</v>
      </c>
      <c r="DC2721">
        <v>0.15</v>
      </c>
      <c r="DD2721">
        <v>38.47</v>
      </c>
      <c r="DE2721" t="s">
        <v>2276</v>
      </c>
      <c r="DF2721">
        <v>26.38</v>
      </c>
      <c r="DG2721">
        <v>3.82</v>
      </c>
      <c r="DH2721">
        <v>3.65</v>
      </c>
      <c r="DI2721">
        <v>0.48</v>
      </c>
      <c r="DJ2721">
        <v>6721</v>
      </c>
      <c r="DK2721">
        <v>600429</v>
      </c>
      <c r="DL2721" t="s">
        <v>120</v>
      </c>
      <c r="DM2721" t="s">
        <v>120</v>
      </c>
      <c r="DN2721" t="s">
        <v>120</v>
      </c>
    </row>
    <row r="2722" spans="1:118">
      <c r="A2722" t="str">
        <f>"600433"</f>
        <v>600433</v>
      </c>
      <c r="B2722" t="s">
        <v>12251</v>
      </c>
      <c r="C2722">
        <v>-2.4300000000000002</v>
      </c>
      <c r="D2722">
        <v>0</v>
      </c>
      <c r="E2722">
        <v>-0.35</v>
      </c>
      <c r="F2722">
        <v>4419</v>
      </c>
      <c r="G2722" t="s">
        <v>12252</v>
      </c>
      <c r="H2722">
        <v>21929.7</v>
      </c>
      <c r="I2722">
        <v>53.5</v>
      </c>
      <c r="J2722" t="s">
        <v>120</v>
      </c>
      <c r="K2722" t="s">
        <v>2048</v>
      </c>
      <c r="L2722">
        <v>2.62</v>
      </c>
      <c r="M2722">
        <v>5.62</v>
      </c>
      <c r="N2722">
        <v>0.92</v>
      </c>
      <c r="O2722">
        <v>1.56</v>
      </c>
      <c r="P2722">
        <v>5.85</v>
      </c>
      <c r="Q2722">
        <v>-2.78</v>
      </c>
      <c r="R2722">
        <v>5.6</v>
      </c>
      <c r="S2722">
        <v>5.74</v>
      </c>
      <c r="T2722">
        <v>383948</v>
      </c>
      <c r="U2722">
        <v>5.63</v>
      </c>
      <c r="V2722">
        <v>5.76</v>
      </c>
      <c r="W2722">
        <v>69.2</v>
      </c>
      <c r="X2722" t="s">
        <v>814</v>
      </c>
      <c r="Y2722" t="s">
        <v>547</v>
      </c>
      <c r="Z2722">
        <v>4.34</v>
      </c>
      <c r="AA2722">
        <v>5.71</v>
      </c>
      <c r="AB2722">
        <v>190149</v>
      </c>
      <c r="AC2722">
        <v>193799</v>
      </c>
      <c r="AD2722">
        <v>0.98</v>
      </c>
      <c r="AE2722">
        <v>630</v>
      </c>
      <c r="AF2722">
        <v>7109</v>
      </c>
      <c r="AG2722" t="s">
        <v>120</v>
      </c>
      <c r="AH2722">
        <v>0.01</v>
      </c>
      <c r="AI2722" t="s">
        <v>120</v>
      </c>
      <c r="AJ2722">
        <v>14.64</v>
      </c>
      <c r="AK2722" t="s">
        <v>12253</v>
      </c>
      <c r="AL2722">
        <v>-1.0900000000000001</v>
      </c>
      <c r="AM2722">
        <v>3531</v>
      </c>
      <c r="AN2722">
        <v>109</v>
      </c>
      <c r="AO2722">
        <v>6.9999999999999999E-4</v>
      </c>
      <c r="AP2722">
        <v>-1</v>
      </c>
      <c r="AQ2722">
        <v>1.77</v>
      </c>
      <c r="AR2722">
        <v>0.72</v>
      </c>
      <c r="AS2722">
        <v>3.5</v>
      </c>
      <c r="AT2722">
        <v>-1.92</v>
      </c>
      <c r="AU2722">
        <v>22.84</v>
      </c>
      <c r="AV2722">
        <v>8</v>
      </c>
      <c r="AW2722">
        <v>3.73</v>
      </c>
      <c r="AX2722">
        <v>55.97</v>
      </c>
      <c r="AY2722">
        <v>55.56</v>
      </c>
      <c r="AZ2722">
        <v>59.32</v>
      </c>
      <c r="BA2722">
        <v>0.4</v>
      </c>
      <c r="BB2722" t="s">
        <v>184</v>
      </c>
      <c r="BF2722">
        <v>-0.84</v>
      </c>
      <c r="BG2722">
        <v>-2.09</v>
      </c>
      <c r="BH2722">
        <v>-3.93</v>
      </c>
      <c r="BI2722">
        <v>0.36</v>
      </c>
      <c r="BJ2722">
        <v>20210826</v>
      </c>
      <c r="BK2722">
        <v>20030619</v>
      </c>
      <c r="BL2722">
        <v>18.39</v>
      </c>
      <c r="BM2722" t="s">
        <v>120</v>
      </c>
      <c r="BN2722" t="s">
        <v>120</v>
      </c>
      <c r="BO2722">
        <v>36.61</v>
      </c>
      <c r="BP2722">
        <v>5.62</v>
      </c>
      <c r="BQ2722">
        <v>28.24</v>
      </c>
      <c r="BR2722">
        <v>-0.03</v>
      </c>
      <c r="BS2722">
        <v>22.95</v>
      </c>
      <c r="BT2722">
        <v>13.09</v>
      </c>
      <c r="BU2722">
        <v>20.5</v>
      </c>
      <c r="BV2722">
        <v>2.41</v>
      </c>
      <c r="BW2722">
        <v>6.88</v>
      </c>
      <c r="BX2722">
        <v>2.0099999999999998</v>
      </c>
      <c r="BY2722">
        <v>4.0599999999999996</v>
      </c>
      <c r="BZ2722">
        <v>3.15</v>
      </c>
      <c r="CA2722" t="s">
        <v>120</v>
      </c>
      <c r="CB2722">
        <v>6.96</v>
      </c>
      <c r="CC2722">
        <v>12.48</v>
      </c>
      <c r="CD2722">
        <v>10.19</v>
      </c>
      <c r="CE2722">
        <v>0.87</v>
      </c>
      <c r="CF2722">
        <v>0</v>
      </c>
      <c r="CG2722">
        <v>0.89</v>
      </c>
      <c r="CH2722">
        <v>0.74</v>
      </c>
      <c r="CI2722">
        <v>0.75</v>
      </c>
      <c r="CJ2722">
        <v>-0.14000000000000001</v>
      </c>
      <c r="CK2722">
        <v>0.68</v>
      </c>
      <c r="CL2722">
        <v>8.1999999999999993</v>
      </c>
      <c r="CM2722">
        <v>1.69</v>
      </c>
      <c r="CN2722">
        <v>-0.22</v>
      </c>
      <c r="CO2722">
        <v>47670</v>
      </c>
      <c r="CP2722">
        <v>21591</v>
      </c>
      <c r="CQ2722" t="s">
        <v>2685</v>
      </c>
      <c r="CR2722">
        <v>19.329999999999998</v>
      </c>
      <c r="CS2722">
        <v>14.09</v>
      </c>
      <c r="CT2722">
        <v>2.5299999999999998</v>
      </c>
      <c r="CU2722">
        <v>61.26</v>
      </c>
      <c r="CV2722">
        <v>8.2799999999999994</v>
      </c>
      <c r="CW2722">
        <v>0.53</v>
      </c>
      <c r="CX2722" t="s">
        <v>1064</v>
      </c>
      <c r="CY2722">
        <v>2.2200000000000002</v>
      </c>
      <c r="CZ2722">
        <v>2.2200000000000002</v>
      </c>
      <c r="DA2722">
        <v>0.38</v>
      </c>
      <c r="DB2722">
        <v>0.45</v>
      </c>
      <c r="DC2722">
        <v>0.09</v>
      </c>
      <c r="DD2722">
        <v>77.14</v>
      </c>
      <c r="DE2722" t="s">
        <v>4616</v>
      </c>
      <c r="DF2722">
        <v>18.350000000000001</v>
      </c>
      <c r="DG2722">
        <v>6.96</v>
      </c>
      <c r="DH2722">
        <v>5.98</v>
      </c>
      <c r="DI2722">
        <v>0.56000000000000005</v>
      </c>
      <c r="DJ2722">
        <v>1545</v>
      </c>
      <c r="DK2722">
        <v>600433</v>
      </c>
      <c r="DL2722" t="s">
        <v>120</v>
      </c>
      <c r="DM2722" t="s">
        <v>120</v>
      </c>
      <c r="DN2722" t="s">
        <v>120</v>
      </c>
    </row>
    <row r="2723" spans="1:118">
      <c r="A2723" t="str">
        <f>"600435"</f>
        <v>600435</v>
      </c>
      <c r="B2723" t="s">
        <v>12254</v>
      </c>
      <c r="C2723">
        <v>-3.63</v>
      </c>
      <c r="D2723">
        <v>-0.1</v>
      </c>
      <c r="E2723">
        <v>-1.45</v>
      </c>
      <c r="F2723">
        <v>2657</v>
      </c>
      <c r="G2723" t="s">
        <v>12255</v>
      </c>
      <c r="H2723">
        <v>38353.67</v>
      </c>
      <c r="I2723">
        <v>261.06</v>
      </c>
      <c r="J2723" t="s">
        <v>120</v>
      </c>
      <c r="K2723" t="s">
        <v>813</v>
      </c>
      <c r="L2723">
        <v>2.73</v>
      </c>
      <c r="M2723">
        <v>9.2899999999999991</v>
      </c>
      <c r="N2723">
        <v>0.93</v>
      </c>
      <c r="O2723">
        <v>0.41</v>
      </c>
      <c r="P2723">
        <v>9.68</v>
      </c>
      <c r="Q2723">
        <v>-4.05</v>
      </c>
      <c r="R2723">
        <v>9.25</v>
      </c>
      <c r="S2723">
        <v>9.5</v>
      </c>
      <c r="T2723">
        <v>406246</v>
      </c>
      <c r="U2723">
        <v>9.2899999999999991</v>
      </c>
      <c r="V2723">
        <v>9.64</v>
      </c>
      <c r="W2723">
        <v>84.08</v>
      </c>
      <c r="X2723" t="s">
        <v>675</v>
      </c>
      <c r="Y2723" t="s">
        <v>158</v>
      </c>
      <c r="Z2723">
        <v>4.46</v>
      </c>
      <c r="AA2723">
        <v>9.44</v>
      </c>
      <c r="AB2723">
        <v>249012</v>
      </c>
      <c r="AC2723">
        <v>157234</v>
      </c>
      <c r="AD2723">
        <v>1.58</v>
      </c>
      <c r="AE2723">
        <v>977</v>
      </c>
      <c r="AF2723">
        <v>610</v>
      </c>
      <c r="AG2723" t="s">
        <v>120</v>
      </c>
      <c r="AH2723">
        <v>0.03</v>
      </c>
      <c r="AI2723" t="s">
        <v>120</v>
      </c>
      <c r="AJ2723">
        <v>14.89</v>
      </c>
      <c r="AK2723" t="s">
        <v>813</v>
      </c>
      <c r="AL2723">
        <v>-2.29</v>
      </c>
      <c r="AM2723">
        <v>4264</v>
      </c>
      <c r="AN2723">
        <v>95</v>
      </c>
      <c r="AO2723">
        <v>5.9999999999999995E-4</v>
      </c>
      <c r="AP2723">
        <v>-1</v>
      </c>
      <c r="AQ2723">
        <v>3.1</v>
      </c>
      <c r="AR2723">
        <v>0.21</v>
      </c>
      <c r="AS2723">
        <v>14.69</v>
      </c>
      <c r="AT2723">
        <v>13.85</v>
      </c>
      <c r="AU2723">
        <v>3.51</v>
      </c>
      <c r="AV2723">
        <v>2</v>
      </c>
      <c r="AW2723">
        <v>4.71</v>
      </c>
      <c r="AX2723">
        <v>57.97</v>
      </c>
      <c r="AY2723">
        <v>89.01</v>
      </c>
      <c r="AZ2723">
        <v>229.71</v>
      </c>
      <c r="BA2723">
        <v>7.0000000000000007E-2</v>
      </c>
      <c r="BB2723" t="s">
        <v>184</v>
      </c>
      <c r="BF2723">
        <v>-2.06</v>
      </c>
      <c r="BG2723">
        <v>-2.21</v>
      </c>
      <c r="BH2723">
        <v>-4.03</v>
      </c>
      <c r="BI2723">
        <v>0.43</v>
      </c>
      <c r="BJ2723">
        <v>20210913</v>
      </c>
      <c r="BK2723">
        <v>20030704</v>
      </c>
      <c r="BL2723">
        <v>14.89</v>
      </c>
      <c r="BM2723" t="s">
        <v>120</v>
      </c>
      <c r="BN2723" t="s">
        <v>120</v>
      </c>
      <c r="BO2723">
        <v>54.1</v>
      </c>
      <c r="BP2723">
        <v>9.2799999999999994</v>
      </c>
      <c r="BQ2723">
        <v>22.67</v>
      </c>
      <c r="BR2723">
        <v>6.97</v>
      </c>
      <c r="BS2723">
        <v>45.21</v>
      </c>
      <c r="BT2723">
        <v>40.700000000000003</v>
      </c>
      <c r="BU2723">
        <v>8.64</v>
      </c>
      <c r="BV2723">
        <v>2.4500000000000002</v>
      </c>
      <c r="BW2723">
        <v>24.22</v>
      </c>
      <c r="BX2723">
        <v>12.51</v>
      </c>
      <c r="BY2723">
        <v>9.6199999999999992</v>
      </c>
      <c r="BZ2723">
        <v>14.73</v>
      </c>
      <c r="CA2723" t="s">
        <v>120</v>
      </c>
      <c r="CB2723">
        <v>1.04</v>
      </c>
      <c r="CC2723">
        <v>15.34</v>
      </c>
      <c r="CD2723">
        <v>11.69</v>
      </c>
      <c r="CE2723">
        <v>1.27</v>
      </c>
      <c r="CF2723">
        <v>0</v>
      </c>
      <c r="CG2723">
        <v>1.31</v>
      </c>
      <c r="CH2723">
        <v>1.08</v>
      </c>
      <c r="CI2723">
        <v>0.82</v>
      </c>
      <c r="CJ2723">
        <v>-0.35</v>
      </c>
      <c r="CK2723">
        <v>0.75</v>
      </c>
      <c r="CL2723">
        <v>5.71</v>
      </c>
      <c r="CM2723">
        <v>0.71</v>
      </c>
      <c r="CN2723">
        <v>0.95</v>
      </c>
      <c r="CO2723">
        <v>137900</v>
      </c>
      <c r="CP2723">
        <v>6261</v>
      </c>
      <c r="CQ2723" t="s">
        <v>5913</v>
      </c>
      <c r="CR2723">
        <v>598.03</v>
      </c>
      <c r="CS2723">
        <v>118.12</v>
      </c>
      <c r="CT2723">
        <v>6.1</v>
      </c>
      <c r="CU2723">
        <v>194.76</v>
      </c>
      <c r="CV2723">
        <v>9.02</v>
      </c>
      <c r="CW2723">
        <v>0.26</v>
      </c>
      <c r="CX2723" t="s">
        <v>1064</v>
      </c>
      <c r="CY2723">
        <v>1.52</v>
      </c>
      <c r="CZ2723">
        <v>0</v>
      </c>
      <c r="DA2723">
        <v>7.0000000000000007E-2</v>
      </c>
      <c r="DB2723">
        <v>0.38</v>
      </c>
      <c r="DC2723">
        <v>0.05</v>
      </c>
      <c r="DD2723">
        <v>41.9</v>
      </c>
      <c r="DE2723" t="s">
        <v>8072</v>
      </c>
      <c r="DF2723">
        <v>23.8</v>
      </c>
      <c r="DG2723">
        <v>8.2899999999999991</v>
      </c>
      <c r="DH2723">
        <v>5.36</v>
      </c>
      <c r="DI2723">
        <v>0.69</v>
      </c>
      <c r="DJ2723">
        <v>2516</v>
      </c>
      <c r="DK2723">
        <v>600435</v>
      </c>
      <c r="DL2723" t="s">
        <v>120</v>
      </c>
      <c r="DM2723" t="s">
        <v>120</v>
      </c>
      <c r="DN2723" t="s">
        <v>120</v>
      </c>
    </row>
    <row r="2724" spans="1:118">
      <c r="A2724" t="str">
        <f>"600436"</f>
        <v>600436</v>
      </c>
      <c r="B2724" t="s">
        <v>12256</v>
      </c>
      <c r="C2724">
        <v>-0.92</v>
      </c>
      <c r="D2724">
        <v>0.04</v>
      </c>
      <c r="E2724">
        <v>0</v>
      </c>
      <c r="F2724">
        <v>302</v>
      </c>
      <c r="G2724" t="s">
        <v>12257</v>
      </c>
      <c r="H2724">
        <v>93384.57</v>
      </c>
      <c r="I2724">
        <v>311.56</v>
      </c>
      <c r="J2724" t="s">
        <v>120</v>
      </c>
      <c r="K2724" t="s">
        <v>12258</v>
      </c>
      <c r="L2724">
        <v>0.47</v>
      </c>
      <c r="M2724">
        <v>331.92</v>
      </c>
      <c r="N2724">
        <v>0.98</v>
      </c>
      <c r="O2724">
        <v>0.75</v>
      </c>
      <c r="P2724">
        <v>337.53</v>
      </c>
      <c r="Q2724">
        <v>-2.0299999999999998</v>
      </c>
      <c r="R2724">
        <v>328.2</v>
      </c>
      <c r="S2724">
        <v>335.01</v>
      </c>
      <c r="T2724">
        <v>28106</v>
      </c>
      <c r="U2724">
        <v>331.92</v>
      </c>
      <c r="V2724">
        <v>335.01</v>
      </c>
      <c r="W2724">
        <v>89.78</v>
      </c>
      <c r="X2724" t="s">
        <v>771</v>
      </c>
      <c r="Y2724" t="s">
        <v>937</v>
      </c>
      <c r="Z2724">
        <v>2.78</v>
      </c>
      <c r="AA2724">
        <v>332.26</v>
      </c>
      <c r="AB2724">
        <v>14295</v>
      </c>
      <c r="AC2724">
        <v>13811</v>
      </c>
      <c r="AD2724">
        <v>1.04</v>
      </c>
      <c r="AE2724">
        <v>11</v>
      </c>
      <c r="AF2724">
        <v>4</v>
      </c>
      <c r="AG2724" t="s">
        <v>120</v>
      </c>
      <c r="AH2724">
        <v>0</v>
      </c>
      <c r="AI2724" t="s">
        <v>120</v>
      </c>
      <c r="AJ2724">
        <v>6.03</v>
      </c>
      <c r="AK2724" t="s">
        <v>12258</v>
      </c>
      <c r="AL2724">
        <v>0.42</v>
      </c>
      <c r="AM2724">
        <v>3713</v>
      </c>
      <c r="AN2724">
        <v>8</v>
      </c>
      <c r="AO2724">
        <v>1E-4</v>
      </c>
      <c r="AP2724">
        <v>-3</v>
      </c>
      <c r="AQ2724">
        <v>-1.4</v>
      </c>
      <c r="AR2724">
        <v>-3.1</v>
      </c>
      <c r="AS2724">
        <v>-12.27</v>
      </c>
      <c r="AT2724">
        <v>-22.37</v>
      </c>
      <c r="AU2724">
        <v>24.5</v>
      </c>
      <c r="AV2724">
        <v>1</v>
      </c>
      <c r="AW2724">
        <v>1.1100000000000001</v>
      </c>
      <c r="AX2724">
        <v>42.08</v>
      </c>
      <c r="AY2724">
        <v>105.16</v>
      </c>
      <c r="AZ2724">
        <v>120.92</v>
      </c>
      <c r="BA2724">
        <v>1.83</v>
      </c>
      <c r="BB2724" t="s">
        <v>143</v>
      </c>
      <c r="BF2724">
        <v>-0.82</v>
      </c>
      <c r="BG2724">
        <v>-0.92</v>
      </c>
      <c r="BH2724">
        <v>-1.66</v>
      </c>
      <c r="BI2724">
        <v>1.1299999999999999</v>
      </c>
      <c r="BJ2724">
        <v>20210823</v>
      </c>
      <c r="BK2724">
        <v>20030616</v>
      </c>
      <c r="BL2724">
        <v>6.03</v>
      </c>
      <c r="BM2724" t="s">
        <v>120</v>
      </c>
      <c r="BN2724" t="s">
        <v>120</v>
      </c>
      <c r="BO2724">
        <v>109.38</v>
      </c>
      <c r="BP2724">
        <v>331.9</v>
      </c>
      <c r="BQ2724">
        <v>84.49</v>
      </c>
      <c r="BR2724">
        <v>4.3600000000000003</v>
      </c>
      <c r="BS2724">
        <v>18.77</v>
      </c>
      <c r="BT2724">
        <v>90.2</v>
      </c>
      <c r="BU2724">
        <v>2.56</v>
      </c>
      <c r="BV2724">
        <v>2.4</v>
      </c>
      <c r="BW2724">
        <v>18.13</v>
      </c>
      <c r="BX2724">
        <v>58.26</v>
      </c>
      <c r="BY2724">
        <v>21.99</v>
      </c>
      <c r="BZ2724">
        <v>6.32</v>
      </c>
      <c r="CA2724">
        <v>0.11</v>
      </c>
      <c r="CB2724">
        <v>10.86</v>
      </c>
      <c r="CC2724">
        <v>38.49</v>
      </c>
      <c r="CD2724">
        <v>19.32</v>
      </c>
      <c r="CE2724">
        <v>13.46</v>
      </c>
      <c r="CF2724">
        <v>0.14000000000000001</v>
      </c>
      <c r="CG2724">
        <v>13.44</v>
      </c>
      <c r="CH2724">
        <v>11.42</v>
      </c>
      <c r="CI2724">
        <v>11.15</v>
      </c>
      <c r="CJ2724">
        <v>-3.09</v>
      </c>
      <c r="CK2724">
        <v>11.15</v>
      </c>
      <c r="CL2724">
        <v>56.67</v>
      </c>
      <c r="CM2724">
        <v>2.83</v>
      </c>
      <c r="CN2724">
        <v>-2.13</v>
      </c>
      <c r="CO2724">
        <v>117400</v>
      </c>
      <c r="CP2724">
        <v>2162</v>
      </c>
      <c r="CQ2724" t="s">
        <v>12259</v>
      </c>
      <c r="CR2724">
        <v>28.96</v>
      </c>
      <c r="CS2724">
        <v>18.559999999999999</v>
      </c>
      <c r="CT2724">
        <v>23.7</v>
      </c>
      <c r="CU2724">
        <v>707.07</v>
      </c>
      <c r="CV2724">
        <v>52.03</v>
      </c>
      <c r="CW2724">
        <v>0.27</v>
      </c>
      <c r="CX2724" t="s">
        <v>12260</v>
      </c>
      <c r="CY2724">
        <v>14</v>
      </c>
      <c r="CZ2724">
        <v>0</v>
      </c>
      <c r="DA2724">
        <v>1.8</v>
      </c>
      <c r="DB2724">
        <v>9.39</v>
      </c>
      <c r="DC2724">
        <v>0.47</v>
      </c>
      <c r="DD2724">
        <v>77.239999999999995</v>
      </c>
      <c r="DE2724" t="s">
        <v>12261</v>
      </c>
      <c r="DF2724">
        <v>49.8</v>
      </c>
      <c r="DG2724">
        <v>34.96</v>
      </c>
      <c r="DH2724">
        <v>28.98</v>
      </c>
      <c r="DI2724">
        <v>0.6</v>
      </c>
      <c r="DJ2724">
        <v>2526</v>
      </c>
      <c r="DK2724">
        <v>600436</v>
      </c>
      <c r="DL2724" t="s">
        <v>120</v>
      </c>
      <c r="DM2724" t="s">
        <v>120</v>
      </c>
      <c r="DN2724" t="s">
        <v>120</v>
      </c>
    </row>
    <row r="2725" spans="1:118">
      <c r="A2725" t="str">
        <f>"600438"</f>
        <v>600438</v>
      </c>
      <c r="B2725" t="s">
        <v>12262</v>
      </c>
      <c r="C2725">
        <v>-6.62</v>
      </c>
      <c r="D2725">
        <v>-0.63</v>
      </c>
      <c r="E2725">
        <v>0.09</v>
      </c>
      <c r="F2725">
        <v>28505</v>
      </c>
      <c r="G2725" t="s">
        <v>12263</v>
      </c>
      <c r="H2725">
        <v>614963.39</v>
      </c>
      <c r="I2725">
        <v>1630.78</v>
      </c>
      <c r="J2725" t="s">
        <v>120</v>
      </c>
      <c r="K2725" t="s">
        <v>12264</v>
      </c>
      <c r="L2725">
        <v>2.69</v>
      </c>
      <c r="M2725">
        <v>49.5</v>
      </c>
      <c r="N2725">
        <v>1.3</v>
      </c>
      <c r="O2725">
        <v>0.72</v>
      </c>
      <c r="P2725">
        <v>53.39</v>
      </c>
      <c r="Q2725">
        <v>-6.62</v>
      </c>
      <c r="R2725">
        <v>49.5</v>
      </c>
      <c r="S2725">
        <v>53.06</v>
      </c>
      <c r="T2725">
        <v>1211481</v>
      </c>
      <c r="U2725">
        <v>49.58</v>
      </c>
      <c r="V2725">
        <v>53.01</v>
      </c>
      <c r="W2725">
        <v>37.57</v>
      </c>
      <c r="X2725" t="s">
        <v>394</v>
      </c>
      <c r="Y2725" t="s">
        <v>578</v>
      </c>
      <c r="Z2725">
        <v>7.34</v>
      </c>
      <c r="AA2725">
        <v>50.76</v>
      </c>
      <c r="AB2725">
        <v>624439</v>
      </c>
      <c r="AC2725">
        <v>587042</v>
      </c>
      <c r="AD2725">
        <v>1.06</v>
      </c>
      <c r="AE2725">
        <v>180</v>
      </c>
      <c r="AF2725">
        <v>4</v>
      </c>
      <c r="AG2725" t="s">
        <v>120</v>
      </c>
      <c r="AH2725">
        <v>0.01</v>
      </c>
      <c r="AI2725" t="s">
        <v>120</v>
      </c>
      <c r="AJ2725">
        <v>45.02</v>
      </c>
      <c r="AK2725" t="s">
        <v>12264</v>
      </c>
      <c r="AL2725">
        <v>-5.28</v>
      </c>
      <c r="AM2725">
        <v>4744</v>
      </c>
      <c r="AN2725">
        <v>255</v>
      </c>
      <c r="AO2725">
        <v>5.9999999999999995E-4</v>
      </c>
      <c r="AP2725">
        <v>-1</v>
      </c>
      <c r="AQ2725">
        <v>2</v>
      </c>
      <c r="AR2725">
        <v>-10.74</v>
      </c>
      <c r="AS2725">
        <v>0.98</v>
      </c>
      <c r="AT2725">
        <v>25.47</v>
      </c>
      <c r="AU2725">
        <v>29.58</v>
      </c>
      <c r="AV2725">
        <v>5</v>
      </c>
      <c r="AW2725">
        <v>4.79</v>
      </c>
      <c r="AX2725">
        <v>56.15</v>
      </c>
      <c r="AY2725">
        <v>42.89</v>
      </c>
      <c r="AZ2725">
        <v>66.14</v>
      </c>
      <c r="BA2725">
        <v>1.58</v>
      </c>
      <c r="BB2725" t="s">
        <v>143</v>
      </c>
      <c r="BF2725">
        <v>-4.24</v>
      </c>
      <c r="BG2725">
        <v>-6.71</v>
      </c>
      <c r="BH2725">
        <v>-7.29</v>
      </c>
      <c r="BI2725">
        <v>0</v>
      </c>
      <c r="BJ2725">
        <v>20210818</v>
      </c>
      <c r="BK2725">
        <v>20040302</v>
      </c>
      <c r="BL2725">
        <v>45.02</v>
      </c>
      <c r="BM2725" t="s">
        <v>120</v>
      </c>
      <c r="BN2725" t="s">
        <v>120</v>
      </c>
      <c r="BO2725">
        <v>795.04</v>
      </c>
      <c r="BP2725">
        <v>49.5</v>
      </c>
      <c r="BQ2725">
        <v>322.64999999999998</v>
      </c>
      <c r="BR2725">
        <v>21.76</v>
      </c>
      <c r="BS2725">
        <v>56.68</v>
      </c>
      <c r="BT2725">
        <v>321.89999999999998</v>
      </c>
      <c r="BU2725">
        <v>306.67</v>
      </c>
      <c r="BV2725">
        <v>18</v>
      </c>
      <c r="BW2725">
        <v>336.53</v>
      </c>
      <c r="BX2725">
        <v>47.18</v>
      </c>
      <c r="BY2725">
        <v>46.29</v>
      </c>
      <c r="BZ2725">
        <v>15.18</v>
      </c>
      <c r="CA2725">
        <v>1</v>
      </c>
      <c r="CB2725">
        <v>161.05000000000001</v>
      </c>
      <c r="CC2725">
        <v>265.62</v>
      </c>
      <c r="CD2725">
        <v>201.23</v>
      </c>
      <c r="CE2725">
        <v>37.85</v>
      </c>
      <c r="CF2725">
        <v>0.36</v>
      </c>
      <c r="CG2725">
        <v>37.33</v>
      </c>
      <c r="CH2725">
        <v>31.48</v>
      </c>
      <c r="CI2725">
        <v>29.66</v>
      </c>
      <c r="CJ2725">
        <v>-3.51</v>
      </c>
      <c r="CK2725">
        <v>29.95</v>
      </c>
      <c r="CL2725">
        <v>107.92</v>
      </c>
      <c r="CM2725">
        <v>30.8</v>
      </c>
      <c r="CN2725">
        <v>-17.59</v>
      </c>
      <c r="CO2725">
        <v>308147</v>
      </c>
      <c r="CP2725">
        <v>8202</v>
      </c>
      <c r="CQ2725" t="s">
        <v>12265</v>
      </c>
      <c r="CR2725">
        <v>193.5</v>
      </c>
      <c r="CS2725">
        <v>41.75</v>
      </c>
      <c r="CT2725">
        <v>6.91</v>
      </c>
      <c r="CU2725">
        <v>72.34</v>
      </c>
      <c r="CV2725">
        <v>8.39</v>
      </c>
      <c r="CW2725">
        <v>0.45</v>
      </c>
      <c r="CX2725" t="s">
        <v>12266</v>
      </c>
      <c r="CY2725">
        <v>7.17</v>
      </c>
      <c r="CZ2725">
        <v>0</v>
      </c>
      <c r="DA2725">
        <v>3.58</v>
      </c>
      <c r="DB2725">
        <v>2.4</v>
      </c>
      <c r="DC2725">
        <v>0.68</v>
      </c>
      <c r="DD2725">
        <v>40.58</v>
      </c>
      <c r="DE2725" t="s">
        <v>8352</v>
      </c>
      <c r="DF2725">
        <v>24.24</v>
      </c>
      <c r="DG2725">
        <v>14.25</v>
      </c>
      <c r="DH2725">
        <v>11.17</v>
      </c>
      <c r="DI2725">
        <v>7.87</v>
      </c>
      <c r="DJ2725">
        <v>25549</v>
      </c>
      <c r="DK2725">
        <v>600438</v>
      </c>
      <c r="DL2725">
        <v>20210825</v>
      </c>
      <c r="DM2725">
        <v>54.64</v>
      </c>
      <c r="DN2725">
        <v>-9.41</v>
      </c>
    </row>
    <row r="2726" spans="1:118">
      <c r="A2726" t="str">
        <f>"600439"</f>
        <v>600439</v>
      </c>
      <c r="B2726" t="s">
        <v>12267</v>
      </c>
      <c r="C2726">
        <v>-0.33</v>
      </c>
      <c r="D2726">
        <v>0.33</v>
      </c>
      <c r="E2726">
        <v>0.66</v>
      </c>
      <c r="F2726">
        <v>1957</v>
      </c>
      <c r="G2726" t="s">
        <v>12268</v>
      </c>
      <c r="H2726">
        <v>4731.84</v>
      </c>
      <c r="I2726">
        <v>11.54</v>
      </c>
      <c r="J2726" t="s">
        <v>120</v>
      </c>
      <c r="K2726" t="s">
        <v>7694</v>
      </c>
      <c r="L2726">
        <v>1.36</v>
      </c>
      <c r="M2726">
        <v>3.04</v>
      </c>
      <c r="N2726">
        <v>0.92</v>
      </c>
      <c r="O2726">
        <v>2.2999999999999998</v>
      </c>
      <c r="P2726">
        <v>3.12</v>
      </c>
      <c r="Q2726">
        <v>-0.98</v>
      </c>
      <c r="R2726">
        <v>3.02</v>
      </c>
      <c r="S2726">
        <v>3.07</v>
      </c>
      <c r="T2726">
        <v>153988</v>
      </c>
      <c r="U2726">
        <v>3.04</v>
      </c>
      <c r="V2726">
        <v>3.05</v>
      </c>
      <c r="W2726">
        <v>67.86</v>
      </c>
      <c r="X2726" t="s">
        <v>2806</v>
      </c>
      <c r="Y2726" t="s">
        <v>645</v>
      </c>
      <c r="Z2726">
        <v>3.28</v>
      </c>
      <c r="AA2726">
        <v>3.07</v>
      </c>
      <c r="AB2726">
        <v>78719</v>
      </c>
      <c r="AC2726">
        <v>75269</v>
      </c>
      <c r="AD2726">
        <v>1.05</v>
      </c>
      <c r="AE2726">
        <v>742</v>
      </c>
      <c r="AF2726">
        <v>645</v>
      </c>
      <c r="AG2726" t="s">
        <v>120</v>
      </c>
      <c r="AH2726">
        <v>0.01</v>
      </c>
      <c r="AI2726" t="s">
        <v>120</v>
      </c>
      <c r="AJ2726">
        <v>11.32</v>
      </c>
      <c r="AK2726" t="s">
        <v>7694</v>
      </c>
      <c r="AL2726">
        <v>1.02</v>
      </c>
      <c r="AM2726">
        <v>1673</v>
      </c>
      <c r="AN2726">
        <v>92</v>
      </c>
      <c r="AO2726">
        <v>8.0000000000000004E-4</v>
      </c>
      <c r="AP2726">
        <v>-1</v>
      </c>
      <c r="AQ2726">
        <v>0.66</v>
      </c>
      <c r="AR2726">
        <v>-2.25</v>
      </c>
      <c r="AS2726">
        <v>9.35</v>
      </c>
      <c r="AT2726">
        <v>0</v>
      </c>
      <c r="AU2726">
        <v>23.08</v>
      </c>
      <c r="AV2726">
        <v>7</v>
      </c>
      <c r="AW2726">
        <v>2.0499999999999998</v>
      </c>
      <c r="AX2726">
        <v>66.290000000000006</v>
      </c>
      <c r="AY2726">
        <v>75.25</v>
      </c>
      <c r="AZ2726">
        <v>90.52</v>
      </c>
      <c r="BA2726">
        <v>0.71</v>
      </c>
      <c r="BB2726" t="s">
        <v>143</v>
      </c>
      <c r="BF2726">
        <v>0.75</v>
      </c>
      <c r="BG2726">
        <v>-0.98</v>
      </c>
      <c r="BH2726">
        <v>-2.56</v>
      </c>
      <c r="BI2726">
        <v>0.66</v>
      </c>
      <c r="BJ2726">
        <v>20210828</v>
      </c>
      <c r="BK2726">
        <v>20030710</v>
      </c>
      <c r="BL2726">
        <v>11.32</v>
      </c>
      <c r="BM2726" t="s">
        <v>120</v>
      </c>
      <c r="BN2726" t="s">
        <v>120</v>
      </c>
      <c r="BO2726">
        <v>49.56</v>
      </c>
      <c r="BP2726">
        <v>3.03</v>
      </c>
      <c r="BQ2726">
        <v>27.89</v>
      </c>
      <c r="BR2726">
        <v>0.03</v>
      </c>
      <c r="BS2726">
        <v>43.67</v>
      </c>
      <c r="BT2726">
        <v>40.04</v>
      </c>
      <c r="BU2726">
        <v>5.59</v>
      </c>
      <c r="BV2726">
        <v>1.89</v>
      </c>
      <c r="BW2726">
        <v>18.190000000000001</v>
      </c>
      <c r="BX2726">
        <v>4.6100000000000003</v>
      </c>
      <c r="BY2726">
        <v>31.48</v>
      </c>
      <c r="BZ2726">
        <v>2.54</v>
      </c>
      <c r="CA2726" t="s">
        <v>120</v>
      </c>
      <c r="CB2726">
        <v>2.4900000000000002</v>
      </c>
      <c r="CC2726">
        <v>6.53</v>
      </c>
      <c r="CD2726">
        <v>4.34</v>
      </c>
      <c r="CE2726">
        <v>0.28999999999999998</v>
      </c>
      <c r="CF2726">
        <v>0</v>
      </c>
      <c r="CG2726">
        <v>0.28000000000000003</v>
      </c>
      <c r="CH2726">
        <v>0.25</v>
      </c>
      <c r="CI2726">
        <v>0.25</v>
      </c>
      <c r="CJ2726">
        <v>-0.01</v>
      </c>
      <c r="CK2726">
        <v>0.24</v>
      </c>
      <c r="CL2726">
        <v>16.079999999999998</v>
      </c>
      <c r="CM2726">
        <v>0.47</v>
      </c>
      <c r="CN2726">
        <v>0.81</v>
      </c>
      <c r="CO2726">
        <v>61024</v>
      </c>
      <c r="CP2726">
        <v>12298</v>
      </c>
      <c r="CQ2726" t="s">
        <v>2596</v>
      </c>
      <c r="CR2726">
        <v>43.92</v>
      </c>
      <c r="CS2726">
        <v>30.9</v>
      </c>
      <c r="CT2726">
        <v>1.23</v>
      </c>
      <c r="CU2726">
        <v>72.790000000000006</v>
      </c>
      <c r="CV2726">
        <v>5.27</v>
      </c>
      <c r="CW2726">
        <v>0</v>
      </c>
      <c r="CX2726" t="s">
        <v>1241</v>
      </c>
      <c r="CY2726">
        <v>2.46</v>
      </c>
      <c r="CZ2726">
        <v>0</v>
      </c>
      <c r="DA2726">
        <v>0.22</v>
      </c>
      <c r="DB2726">
        <v>1.42</v>
      </c>
      <c r="DC2726">
        <v>0.04</v>
      </c>
      <c r="DD2726">
        <v>56.26</v>
      </c>
      <c r="DE2726" t="s">
        <v>2062</v>
      </c>
      <c r="DF2726">
        <v>33.51</v>
      </c>
      <c r="DG2726">
        <v>4.42</v>
      </c>
      <c r="DH2726">
        <v>3.88</v>
      </c>
      <c r="DI2726">
        <v>0.15</v>
      </c>
      <c r="DJ2726">
        <v>8897</v>
      </c>
      <c r="DK2726">
        <v>600439</v>
      </c>
      <c r="DL2726" t="s">
        <v>120</v>
      </c>
      <c r="DM2726" t="s">
        <v>120</v>
      </c>
      <c r="DN2726" t="s">
        <v>120</v>
      </c>
    </row>
    <row r="2727" spans="1:118">
      <c r="A2727" t="str">
        <f>"600444"</f>
        <v>600444</v>
      </c>
      <c r="B2727" t="s">
        <v>12269</v>
      </c>
      <c r="C2727">
        <v>-6.12</v>
      </c>
      <c r="D2727">
        <v>0.21</v>
      </c>
      <c r="E2727">
        <v>-0.92</v>
      </c>
      <c r="F2727">
        <v>1024</v>
      </c>
      <c r="G2727" t="s">
        <v>12270</v>
      </c>
      <c r="H2727">
        <v>10043.61</v>
      </c>
      <c r="I2727">
        <v>123.41</v>
      </c>
      <c r="J2727" t="s">
        <v>120</v>
      </c>
      <c r="K2727" t="s">
        <v>8854</v>
      </c>
      <c r="L2727">
        <v>4.6900000000000004</v>
      </c>
      <c r="M2727">
        <v>14.26</v>
      </c>
      <c r="N2727">
        <v>0.88</v>
      </c>
      <c r="O2727">
        <v>-0.53</v>
      </c>
      <c r="P2727">
        <v>15.11</v>
      </c>
      <c r="Q2727">
        <v>-6.78</v>
      </c>
      <c r="R2727">
        <v>14.16</v>
      </c>
      <c r="S2727">
        <v>15.05</v>
      </c>
      <c r="T2727">
        <v>68742</v>
      </c>
      <c r="U2727">
        <v>14.29</v>
      </c>
      <c r="V2727">
        <v>15.19</v>
      </c>
      <c r="W2727">
        <v>38.78</v>
      </c>
      <c r="X2727" t="s">
        <v>675</v>
      </c>
      <c r="Y2727" t="s">
        <v>570</v>
      </c>
      <c r="Z2727">
        <v>6.25</v>
      </c>
      <c r="AA2727">
        <v>14.61</v>
      </c>
      <c r="AB2727">
        <v>47653</v>
      </c>
      <c r="AC2727">
        <v>21089</v>
      </c>
      <c r="AD2727">
        <v>2.2599999999999998</v>
      </c>
      <c r="AE2727">
        <v>223</v>
      </c>
      <c r="AF2727">
        <v>3</v>
      </c>
      <c r="AG2727" t="s">
        <v>120</v>
      </c>
      <c r="AH2727">
        <v>0.1</v>
      </c>
      <c r="AI2727" t="s">
        <v>120</v>
      </c>
      <c r="AJ2727">
        <v>1.46</v>
      </c>
      <c r="AK2727" t="s">
        <v>8854</v>
      </c>
      <c r="AL2727">
        <v>-4.78</v>
      </c>
      <c r="AM2727">
        <v>2552</v>
      </c>
      <c r="AN2727">
        <v>27</v>
      </c>
      <c r="AO2727">
        <v>1.8E-3</v>
      </c>
      <c r="AP2727">
        <v>-1</v>
      </c>
      <c r="AQ2727">
        <v>4.47</v>
      </c>
      <c r="AR2727">
        <v>-4.55</v>
      </c>
      <c r="AS2727">
        <v>14.26</v>
      </c>
      <c r="AT2727">
        <v>47.46</v>
      </c>
      <c r="AU2727">
        <v>53.17</v>
      </c>
      <c r="AV2727">
        <v>5</v>
      </c>
      <c r="AW2727">
        <v>8.48</v>
      </c>
      <c r="AX2727">
        <v>55.33</v>
      </c>
      <c r="AY2727">
        <v>40.67</v>
      </c>
      <c r="AZ2727">
        <v>48.82</v>
      </c>
      <c r="BA2727">
        <v>2.02</v>
      </c>
      <c r="BB2727" t="s">
        <v>184</v>
      </c>
      <c r="BF2727">
        <v>-3.81</v>
      </c>
      <c r="BG2727">
        <v>-5.25</v>
      </c>
      <c r="BH2727">
        <v>-5.63</v>
      </c>
      <c r="BI2727">
        <v>0.71</v>
      </c>
      <c r="BJ2727">
        <v>20210819</v>
      </c>
      <c r="BK2727">
        <v>20040219</v>
      </c>
      <c r="BL2727">
        <v>1.46</v>
      </c>
      <c r="BM2727" t="s">
        <v>120</v>
      </c>
      <c r="BN2727" t="s">
        <v>120</v>
      </c>
      <c r="BO2727">
        <v>10.11</v>
      </c>
      <c r="BP2727">
        <v>14.26</v>
      </c>
      <c r="BQ2727">
        <v>6.39</v>
      </c>
      <c r="BR2727" t="s">
        <v>120</v>
      </c>
      <c r="BS2727">
        <v>36.81</v>
      </c>
      <c r="BT2727">
        <v>8.9499999999999993</v>
      </c>
      <c r="BU2727">
        <v>0.71</v>
      </c>
      <c r="BV2727">
        <v>0.11</v>
      </c>
      <c r="BW2727">
        <v>3.62</v>
      </c>
      <c r="BX2727">
        <v>3.86</v>
      </c>
      <c r="BY2727">
        <v>1.7</v>
      </c>
      <c r="BZ2727">
        <v>1.59</v>
      </c>
      <c r="CA2727">
        <v>0</v>
      </c>
      <c r="CB2727">
        <v>3.29</v>
      </c>
      <c r="CC2727">
        <v>3.66</v>
      </c>
      <c r="CD2727">
        <v>3.08</v>
      </c>
      <c r="CE2727">
        <v>0.32</v>
      </c>
      <c r="CF2727">
        <v>0</v>
      </c>
      <c r="CG2727">
        <v>0.33</v>
      </c>
      <c r="CH2727">
        <v>0.27</v>
      </c>
      <c r="CI2727">
        <v>0.27</v>
      </c>
      <c r="CJ2727">
        <v>-0.93</v>
      </c>
      <c r="CK2727">
        <v>0.25</v>
      </c>
      <c r="CL2727">
        <v>1.24</v>
      </c>
      <c r="CM2727">
        <v>-1.18</v>
      </c>
      <c r="CN2727">
        <v>-1.18</v>
      </c>
      <c r="CO2727">
        <v>8444</v>
      </c>
      <c r="CP2727">
        <v>9595</v>
      </c>
      <c r="CQ2727" t="s">
        <v>12271</v>
      </c>
      <c r="CR2727">
        <v>51.3</v>
      </c>
      <c r="CS2727">
        <v>29.3</v>
      </c>
      <c r="CT2727">
        <v>3.27</v>
      </c>
      <c r="CU2727">
        <v>-17.73</v>
      </c>
      <c r="CV2727">
        <v>5.7</v>
      </c>
      <c r="CW2727">
        <v>0.99</v>
      </c>
      <c r="CX2727" t="s">
        <v>242</v>
      </c>
      <c r="CY2727">
        <v>4.3600000000000003</v>
      </c>
      <c r="CZ2727">
        <v>0</v>
      </c>
      <c r="DA2727">
        <v>2.25</v>
      </c>
      <c r="DB2727">
        <v>0.85</v>
      </c>
      <c r="DC2727">
        <v>-0.8</v>
      </c>
      <c r="DD2727">
        <v>63.19</v>
      </c>
      <c r="DE2727" t="s">
        <v>2365</v>
      </c>
      <c r="DF2727">
        <v>15.94</v>
      </c>
      <c r="DG2727">
        <v>8.77</v>
      </c>
      <c r="DH2727">
        <v>7.35</v>
      </c>
      <c r="DI2727">
        <v>0.14000000000000001</v>
      </c>
      <c r="DJ2727">
        <v>439</v>
      </c>
      <c r="DK2727">
        <v>600444</v>
      </c>
      <c r="DL2727">
        <v>20210908</v>
      </c>
      <c r="DM2727">
        <v>15.47</v>
      </c>
      <c r="DN2727">
        <v>-7.82</v>
      </c>
    </row>
    <row r="2728" spans="1:118">
      <c r="A2728" t="str">
        <f>"600446"</f>
        <v>600446</v>
      </c>
      <c r="B2728" t="s">
        <v>12272</v>
      </c>
      <c r="C2728">
        <v>-0.14000000000000001</v>
      </c>
      <c r="D2728">
        <v>0.94</v>
      </c>
      <c r="E2728">
        <v>-0.36</v>
      </c>
      <c r="F2728">
        <v>9289</v>
      </c>
      <c r="G2728" t="s">
        <v>9405</v>
      </c>
      <c r="H2728">
        <v>13698.65</v>
      </c>
      <c r="I2728">
        <v>197.53</v>
      </c>
      <c r="J2728" t="s">
        <v>120</v>
      </c>
      <c r="K2728" t="s">
        <v>12273</v>
      </c>
      <c r="L2728">
        <v>1.1499999999999999</v>
      </c>
      <c r="M2728">
        <v>13.98</v>
      </c>
      <c r="N2728">
        <v>0.59</v>
      </c>
      <c r="O2728">
        <v>0.79</v>
      </c>
      <c r="P2728">
        <v>14.11</v>
      </c>
      <c r="Q2728">
        <v>-1.21</v>
      </c>
      <c r="R2728">
        <v>13.83</v>
      </c>
      <c r="S2728">
        <v>13.95</v>
      </c>
      <c r="T2728">
        <v>98209</v>
      </c>
      <c r="U2728">
        <v>13.99</v>
      </c>
      <c r="V2728">
        <v>14</v>
      </c>
      <c r="W2728">
        <v>118.62</v>
      </c>
      <c r="X2728" t="s">
        <v>141</v>
      </c>
      <c r="Y2728" t="s">
        <v>123</v>
      </c>
      <c r="Z2728">
        <v>2</v>
      </c>
      <c r="AA2728">
        <v>13.95</v>
      </c>
      <c r="AB2728">
        <v>56806</v>
      </c>
      <c r="AC2728">
        <v>41403</v>
      </c>
      <c r="AD2728">
        <v>1.37</v>
      </c>
      <c r="AE2728">
        <v>11986</v>
      </c>
      <c r="AF2728">
        <v>36</v>
      </c>
      <c r="AG2728" t="s">
        <v>120</v>
      </c>
      <c r="AH2728">
        <v>0.03</v>
      </c>
      <c r="AI2728" t="s">
        <v>120</v>
      </c>
      <c r="AJ2728">
        <v>8.5500000000000007</v>
      </c>
      <c r="AK2728" t="s">
        <v>12274</v>
      </c>
      <c r="AL2728">
        <v>1.2</v>
      </c>
      <c r="AM2728">
        <v>2743</v>
      </c>
      <c r="AN2728">
        <v>36</v>
      </c>
      <c r="AO2728">
        <v>4.0000000000000002E-4</v>
      </c>
      <c r="AP2728">
        <v>-1</v>
      </c>
      <c r="AQ2728">
        <v>0.72</v>
      </c>
      <c r="AR2728">
        <v>-2.71</v>
      </c>
      <c r="AS2728">
        <v>5.59</v>
      </c>
      <c r="AT2728">
        <v>-4.32</v>
      </c>
      <c r="AU2728">
        <v>-13.35</v>
      </c>
      <c r="AV2728">
        <v>0</v>
      </c>
      <c r="AW2728">
        <v>1.85</v>
      </c>
      <c r="AX2728">
        <v>56.27</v>
      </c>
      <c r="AY2728">
        <v>60.16</v>
      </c>
      <c r="AZ2728">
        <v>37.06</v>
      </c>
      <c r="BA2728">
        <v>1.05</v>
      </c>
      <c r="BB2728" t="s">
        <v>143</v>
      </c>
      <c r="BF2728">
        <v>-0.37</v>
      </c>
      <c r="BG2728">
        <v>0.22</v>
      </c>
      <c r="BH2728">
        <v>-0.92</v>
      </c>
      <c r="BI2728">
        <v>1.08</v>
      </c>
      <c r="BJ2728">
        <v>20210830</v>
      </c>
      <c r="BK2728">
        <v>20031224</v>
      </c>
      <c r="BL2728">
        <v>9.42</v>
      </c>
      <c r="BM2728" t="s">
        <v>120</v>
      </c>
      <c r="BN2728" t="s">
        <v>120</v>
      </c>
      <c r="BO2728">
        <v>59.58</v>
      </c>
      <c r="BP2728">
        <v>13.98</v>
      </c>
      <c r="BQ2728">
        <v>32.83</v>
      </c>
      <c r="BR2728">
        <v>1.71</v>
      </c>
      <c r="BS2728">
        <v>42.03</v>
      </c>
      <c r="BT2728">
        <v>45.75</v>
      </c>
      <c r="BU2728">
        <v>0.71</v>
      </c>
      <c r="BV2728">
        <v>0.14000000000000001</v>
      </c>
      <c r="BW2728">
        <v>19.48</v>
      </c>
      <c r="BX2728">
        <v>17.079999999999998</v>
      </c>
      <c r="BY2728">
        <v>12.04</v>
      </c>
      <c r="BZ2728">
        <v>7.88</v>
      </c>
      <c r="CA2728" t="s">
        <v>120</v>
      </c>
      <c r="CB2728">
        <v>13.41</v>
      </c>
      <c r="CC2728">
        <v>25.93</v>
      </c>
      <c r="CD2728">
        <v>19.510000000000002</v>
      </c>
      <c r="CE2728">
        <v>0.57999999999999996</v>
      </c>
      <c r="CF2728">
        <v>-0.17</v>
      </c>
      <c r="CG2728">
        <v>0.57999999999999996</v>
      </c>
      <c r="CH2728">
        <v>0.56999999999999995</v>
      </c>
      <c r="CI2728">
        <v>0.55000000000000004</v>
      </c>
      <c r="CJ2728">
        <v>-0.02</v>
      </c>
      <c r="CK2728">
        <v>0.45</v>
      </c>
      <c r="CL2728">
        <v>8.94</v>
      </c>
      <c r="CM2728">
        <v>-4.97</v>
      </c>
      <c r="CN2728">
        <v>4.42</v>
      </c>
      <c r="CO2728">
        <v>86980</v>
      </c>
      <c r="CP2728">
        <v>6091</v>
      </c>
      <c r="CQ2728" t="s">
        <v>1267</v>
      </c>
      <c r="CR2728">
        <v>-71.11</v>
      </c>
      <c r="CS2728">
        <v>25.28</v>
      </c>
      <c r="CT2728">
        <v>4.01</v>
      </c>
      <c r="CU2728">
        <v>-26.47</v>
      </c>
      <c r="CV2728">
        <v>5.08</v>
      </c>
      <c r="CW2728">
        <v>0.54</v>
      </c>
      <c r="CX2728" t="s">
        <v>1064</v>
      </c>
      <c r="CY2728">
        <v>3.49</v>
      </c>
      <c r="CZ2728">
        <v>0</v>
      </c>
      <c r="DA2728">
        <v>1.42</v>
      </c>
      <c r="DB2728">
        <v>0.95</v>
      </c>
      <c r="DC2728">
        <v>-0.53</v>
      </c>
      <c r="DD2728">
        <v>55.1</v>
      </c>
      <c r="DE2728" t="s">
        <v>6122</v>
      </c>
      <c r="DF2728">
        <v>24.77</v>
      </c>
      <c r="DG2728">
        <v>2.23</v>
      </c>
      <c r="DH2728">
        <v>2.14</v>
      </c>
      <c r="DI2728">
        <v>3.54</v>
      </c>
      <c r="DJ2728">
        <v>8401</v>
      </c>
      <c r="DK2728">
        <v>600446</v>
      </c>
      <c r="DL2728" t="s">
        <v>120</v>
      </c>
      <c r="DM2728" t="s">
        <v>120</v>
      </c>
      <c r="DN2728" t="s">
        <v>120</v>
      </c>
    </row>
    <row r="2729" spans="1:118">
      <c r="A2729" t="str">
        <f>"600448"</f>
        <v>600448</v>
      </c>
      <c r="B2729" t="s">
        <v>12275</v>
      </c>
      <c r="C2729">
        <v>-1.5</v>
      </c>
      <c r="D2729">
        <v>0.3</v>
      </c>
      <c r="E2729">
        <v>0.3</v>
      </c>
      <c r="F2729">
        <v>1044</v>
      </c>
      <c r="G2729" t="s">
        <v>8079</v>
      </c>
      <c r="H2729">
        <v>4902.93</v>
      </c>
      <c r="I2729">
        <v>4.79</v>
      </c>
      <c r="J2729" t="s">
        <v>120</v>
      </c>
      <c r="K2729" t="s">
        <v>9342</v>
      </c>
      <c r="L2729">
        <v>2.33</v>
      </c>
      <c r="M2729">
        <v>3.29</v>
      </c>
      <c r="N2729">
        <v>1.47</v>
      </c>
      <c r="O2729">
        <v>0.9</v>
      </c>
      <c r="P2729">
        <v>3.37</v>
      </c>
      <c r="Q2729">
        <v>-1.8</v>
      </c>
      <c r="R2729">
        <v>3.28</v>
      </c>
      <c r="S2729">
        <v>3.35</v>
      </c>
      <c r="T2729">
        <v>147028</v>
      </c>
      <c r="U2729">
        <v>3.29</v>
      </c>
      <c r="V2729">
        <v>3.34</v>
      </c>
      <c r="W2729">
        <v>144.78</v>
      </c>
      <c r="X2729" t="s">
        <v>1766</v>
      </c>
      <c r="Y2729" t="s">
        <v>638</v>
      </c>
      <c r="Z2729">
        <v>2.69</v>
      </c>
      <c r="AA2729">
        <v>3.33</v>
      </c>
      <c r="AB2729">
        <v>83023</v>
      </c>
      <c r="AC2729">
        <v>64005</v>
      </c>
      <c r="AD2729">
        <v>1.3</v>
      </c>
      <c r="AE2729">
        <v>3039</v>
      </c>
      <c r="AF2729">
        <v>271</v>
      </c>
      <c r="AG2729" t="s">
        <v>120</v>
      </c>
      <c r="AH2729">
        <v>0</v>
      </c>
      <c r="AI2729" t="s">
        <v>120</v>
      </c>
      <c r="AJ2729">
        <v>6.3</v>
      </c>
      <c r="AK2729" t="s">
        <v>9342</v>
      </c>
      <c r="AL2729">
        <v>-0.15</v>
      </c>
      <c r="AM2729">
        <v>1377</v>
      </c>
      <c r="AN2729">
        <v>107</v>
      </c>
      <c r="AO2729">
        <v>1.6999999999999999E-3</v>
      </c>
      <c r="AP2729">
        <v>-1</v>
      </c>
      <c r="AQ2729">
        <v>0.6</v>
      </c>
      <c r="AR2729">
        <v>-2.37</v>
      </c>
      <c r="AS2729">
        <v>4.12</v>
      </c>
      <c r="AT2729">
        <v>-1.2</v>
      </c>
      <c r="AU2729">
        <v>-10.35</v>
      </c>
      <c r="AV2729">
        <v>1</v>
      </c>
      <c r="AW2729">
        <v>2.87</v>
      </c>
      <c r="AX2729">
        <v>81.37</v>
      </c>
      <c r="AY2729">
        <v>190.32</v>
      </c>
      <c r="AZ2729">
        <v>118.03</v>
      </c>
      <c r="BA2729">
        <v>0.5</v>
      </c>
      <c r="BB2729" t="s">
        <v>184</v>
      </c>
      <c r="BF2729">
        <v>-0.16</v>
      </c>
      <c r="BG2729">
        <v>-1.79</v>
      </c>
      <c r="BH2729">
        <v>-2.37</v>
      </c>
      <c r="BI2729">
        <v>0.3</v>
      </c>
      <c r="BJ2729">
        <v>20210830</v>
      </c>
      <c r="BK2729">
        <v>20010903</v>
      </c>
      <c r="BL2729">
        <v>6.3</v>
      </c>
      <c r="BM2729" t="s">
        <v>120</v>
      </c>
      <c r="BN2729" t="s">
        <v>120</v>
      </c>
      <c r="BO2729">
        <v>38.75</v>
      </c>
      <c r="BP2729">
        <v>3.28</v>
      </c>
      <c r="BQ2729">
        <v>14.32</v>
      </c>
      <c r="BR2729">
        <v>0.05</v>
      </c>
      <c r="BS2729">
        <v>62.91</v>
      </c>
      <c r="BT2729">
        <v>21.54</v>
      </c>
      <c r="BU2729">
        <v>9.5299999999999994</v>
      </c>
      <c r="BV2729">
        <v>2.9</v>
      </c>
      <c r="BW2729">
        <v>20.67</v>
      </c>
      <c r="BX2729">
        <v>7.45</v>
      </c>
      <c r="BY2729">
        <v>10.25</v>
      </c>
      <c r="BZ2729">
        <v>2.37</v>
      </c>
      <c r="CA2729" t="s">
        <v>120</v>
      </c>
      <c r="CB2729">
        <v>10.42</v>
      </c>
      <c r="CC2729">
        <v>16.87</v>
      </c>
      <c r="CD2729">
        <v>15.13</v>
      </c>
      <c r="CE2729">
        <v>0.08</v>
      </c>
      <c r="CF2729">
        <v>0</v>
      </c>
      <c r="CG2729">
        <v>0.08</v>
      </c>
      <c r="CH2729">
        <v>0.08</v>
      </c>
      <c r="CI2729">
        <v>7.0000000000000007E-2</v>
      </c>
      <c r="CJ2729">
        <v>-0.05</v>
      </c>
      <c r="CK2729">
        <v>0.08</v>
      </c>
      <c r="CL2729">
        <v>-1.72</v>
      </c>
      <c r="CM2729">
        <v>0.75</v>
      </c>
      <c r="CN2729">
        <v>-0.64</v>
      </c>
      <c r="CO2729">
        <v>40333</v>
      </c>
      <c r="CP2729">
        <v>12706</v>
      </c>
      <c r="CQ2729" t="s">
        <v>10936</v>
      </c>
      <c r="CR2729">
        <v>-48.61</v>
      </c>
      <c r="CS2729">
        <v>15.74</v>
      </c>
      <c r="CT2729">
        <v>1.45</v>
      </c>
      <c r="CU2729">
        <v>27.68</v>
      </c>
      <c r="CV2729">
        <v>1.23</v>
      </c>
      <c r="CW2729">
        <v>0</v>
      </c>
      <c r="CX2729" t="s">
        <v>178</v>
      </c>
      <c r="CY2729">
        <v>2.27</v>
      </c>
      <c r="CZ2729">
        <v>0</v>
      </c>
      <c r="DA2729">
        <v>1.65</v>
      </c>
      <c r="DB2729">
        <v>-0.27</v>
      </c>
      <c r="DC2729">
        <v>0.12</v>
      </c>
      <c r="DD2729">
        <v>36.950000000000003</v>
      </c>
      <c r="DE2729" t="s">
        <v>5823</v>
      </c>
      <c r="DF2729">
        <v>10.31</v>
      </c>
      <c r="DG2729">
        <v>0.48</v>
      </c>
      <c r="DH2729">
        <v>0.42</v>
      </c>
      <c r="DI2729">
        <v>0.79</v>
      </c>
      <c r="DJ2729">
        <v>3958</v>
      </c>
      <c r="DK2729">
        <v>600448</v>
      </c>
      <c r="DL2729" t="s">
        <v>120</v>
      </c>
      <c r="DM2729" t="s">
        <v>120</v>
      </c>
      <c r="DN2729" t="s">
        <v>120</v>
      </c>
    </row>
    <row r="2730" spans="1:118">
      <c r="A2730" t="str">
        <f>"600449"</f>
        <v>600449</v>
      </c>
      <c r="B2730" t="s">
        <v>12276</v>
      </c>
      <c r="C2730">
        <v>0.24</v>
      </c>
      <c r="D2730">
        <v>0.16</v>
      </c>
      <c r="E2730">
        <v>-0.24</v>
      </c>
      <c r="F2730">
        <v>813</v>
      </c>
      <c r="G2730" t="s">
        <v>12277</v>
      </c>
      <c r="H2730">
        <v>14766.21</v>
      </c>
      <c r="I2730">
        <v>32.119999999999997</v>
      </c>
      <c r="J2730" t="s">
        <v>120</v>
      </c>
      <c r="K2730" t="s">
        <v>8572</v>
      </c>
      <c r="L2730">
        <v>2.44</v>
      </c>
      <c r="M2730">
        <v>12.46</v>
      </c>
      <c r="N2730">
        <v>0.8</v>
      </c>
      <c r="O2730">
        <v>4.34</v>
      </c>
      <c r="P2730">
        <v>12.97</v>
      </c>
      <c r="Q2730">
        <v>-0.24</v>
      </c>
      <c r="R2730">
        <v>12.4</v>
      </c>
      <c r="S2730">
        <v>12.4</v>
      </c>
      <c r="T2730">
        <v>116579</v>
      </c>
      <c r="U2730">
        <v>12.46</v>
      </c>
      <c r="V2730">
        <v>12.43</v>
      </c>
      <c r="W2730">
        <v>7.71</v>
      </c>
      <c r="X2730" t="s">
        <v>653</v>
      </c>
      <c r="Y2730" t="s">
        <v>1110</v>
      </c>
      <c r="Z2730">
        <v>4.59</v>
      </c>
      <c r="AA2730">
        <v>12.67</v>
      </c>
      <c r="AB2730">
        <v>63102</v>
      </c>
      <c r="AC2730">
        <v>53477</v>
      </c>
      <c r="AD2730">
        <v>1.18</v>
      </c>
      <c r="AE2730">
        <v>200</v>
      </c>
      <c r="AF2730">
        <v>313</v>
      </c>
      <c r="AG2730" t="s">
        <v>120</v>
      </c>
      <c r="AH2730">
        <v>0.01</v>
      </c>
      <c r="AI2730" t="s">
        <v>120</v>
      </c>
      <c r="AJ2730">
        <v>4.78</v>
      </c>
      <c r="AK2730" t="s">
        <v>8572</v>
      </c>
      <c r="AL2730">
        <v>1.59</v>
      </c>
      <c r="AM2730">
        <v>2776</v>
      </c>
      <c r="AN2730">
        <v>42</v>
      </c>
      <c r="AO2730">
        <v>8.9999999999999998E-4</v>
      </c>
      <c r="AP2730">
        <v>1</v>
      </c>
      <c r="AQ2730">
        <v>-2.13</v>
      </c>
      <c r="AR2730">
        <v>-6.67</v>
      </c>
      <c r="AS2730">
        <v>7.32</v>
      </c>
      <c r="AT2730">
        <v>5.14</v>
      </c>
      <c r="AU2730">
        <v>-1.03</v>
      </c>
      <c r="AV2730">
        <v>0</v>
      </c>
      <c r="AW2730">
        <v>4.6500000000000004</v>
      </c>
      <c r="AX2730">
        <v>52.44</v>
      </c>
      <c r="AY2730">
        <v>6.43</v>
      </c>
      <c r="AZ2730">
        <v>6.16</v>
      </c>
      <c r="BA2730">
        <v>1.38</v>
      </c>
      <c r="BB2730" t="s">
        <v>143</v>
      </c>
      <c r="BF2730">
        <v>1.9</v>
      </c>
      <c r="BG2730">
        <v>0.48</v>
      </c>
      <c r="BH2730">
        <v>-3.93</v>
      </c>
      <c r="BI2730">
        <v>0.48</v>
      </c>
      <c r="BJ2730">
        <v>20210821</v>
      </c>
      <c r="BK2730">
        <v>20030829</v>
      </c>
      <c r="BL2730">
        <v>4.78</v>
      </c>
      <c r="BM2730" t="s">
        <v>120</v>
      </c>
      <c r="BN2730" t="s">
        <v>120</v>
      </c>
      <c r="BO2730">
        <v>87.54</v>
      </c>
      <c r="BP2730">
        <v>12.45</v>
      </c>
      <c r="BQ2730">
        <v>63.86</v>
      </c>
      <c r="BR2730">
        <v>5.18</v>
      </c>
      <c r="BS2730">
        <v>21.13</v>
      </c>
      <c r="BT2730">
        <v>35.31</v>
      </c>
      <c r="BU2730">
        <v>39.69</v>
      </c>
      <c r="BV2730">
        <v>4.5199999999999996</v>
      </c>
      <c r="BW2730">
        <v>16.309999999999999</v>
      </c>
      <c r="BX2730">
        <v>7.45</v>
      </c>
      <c r="BY2730">
        <v>3.2</v>
      </c>
      <c r="BZ2730">
        <v>8.26</v>
      </c>
      <c r="CA2730">
        <v>0</v>
      </c>
      <c r="CB2730">
        <v>20.25</v>
      </c>
      <c r="CC2730">
        <v>22.86</v>
      </c>
      <c r="CD2730">
        <v>16.38</v>
      </c>
      <c r="CE2730">
        <v>4.96</v>
      </c>
      <c r="CF2730">
        <v>0.03</v>
      </c>
      <c r="CG2730">
        <v>4.99</v>
      </c>
      <c r="CH2730">
        <v>4.2</v>
      </c>
      <c r="CI2730">
        <v>3.86</v>
      </c>
      <c r="CJ2730">
        <v>0.03</v>
      </c>
      <c r="CK2730">
        <v>3.64</v>
      </c>
      <c r="CL2730">
        <v>35.28</v>
      </c>
      <c r="CM2730">
        <v>4.83</v>
      </c>
      <c r="CN2730">
        <v>0.23</v>
      </c>
      <c r="CO2730">
        <v>31573</v>
      </c>
      <c r="CP2730">
        <v>7942</v>
      </c>
      <c r="CQ2730" t="s">
        <v>3431</v>
      </c>
      <c r="CR2730">
        <v>-9.36</v>
      </c>
      <c r="CS2730">
        <v>5.04</v>
      </c>
      <c r="CT2730">
        <v>0.93</v>
      </c>
      <c r="CU2730">
        <v>12.34</v>
      </c>
      <c r="CV2730">
        <v>2.61</v>
      </c>
      <c r="CW2730">
        <v>5.39</v>
      </c>
      <c r="CX2730" t="s">
        <v>2792</v>
      </c>
      <c r="CY2730">
        <v>13.36</v>
      </c>
      <c r="CZ2730">
        <v>0</v>
      </c>
      <c r="DA2730">
        <v>4.2300000000000004</v>
      </c>
      <c r="DB2730">
        <v>7.38</v>
      </c>
      <c r="DC2730">
        <v>1.01</v>
      </c>
      <c r="DD2730">
        <v>72.95</v>
      </c>
      <c r="DE2730" t="s">
        <v>5611</v>
      </c>
      <c r="DF2730">
        <v>28.34</v>
      </c>
      <c r="DG2730">
        <v>21.7</v>
      </c>
      <c r="DH2730">
        <v>16.899999999999999</v>
      </c>
      <c r="DI2730">
        <v>0.1</v>
      </c>
      <c r="DJ2730">
        <v>2758</v>
      </c>
      <c r="DK2730">
        <v>600449</v>
      </c>
      <c r="DL2730" t="s">
        <v>120</v>
      </c>
      <c r="DM2730" t="s">
        <v>120</v>
      </c>
      <c r="DN2730" t="s">
        <v>120</v>
      </c>
    </row>
    <row r="2731" spans="1:118">
      <c r="A2731" t="str">
        <f>"600452"</f>
        <v>600452</v>
      </c>
      <c r="B2731" t="s">
        <v>12278</v>
      </c>
      <c r="C2731">
        <v>-1.89</v>
      </c>
      <c r="D2731">
        <v>0</v>
      </c>
      <c r="E2731">
        <v>0.63</v>
      </c>
      <c r="F2731">
        <v>479</v>
      </c>
      <c r="G2731" t="s">
        <v>12279</v>
      </c>
      <c r="H2731">
        <v>8486.7800000000007</v>
      </c>
      <c r="I2731">
        <v>51.36</v>
      </c>
      <c r="J2731" t="s">
        <v>120</v>
      </c>
      <c r="K2731" t="s">
        <v>3790</v>
      </c>
      <c r="L2731">
        <v>0.88</v>
      </c>
      <c r="M2731">
        <v>15.6</v>
      </c>
      <c r="N2731">
        <v>0.52</v>
      </c>
      <c r="O2731">
        <v>1.01</v>
      </c>
      <c r="P2731">
        <v>16.059999999999999</v>
      </c>
      <c r="Q2731">
        <v>-2.2599999999999998</v>
      </c>
      <c r="R2731">
        <v>15.54</v>
      </c>
      <c r="S2731">
        <v>16</v>
      </c>
      <c r="T2731">
        <v>53847</v>
      </c>
      <c r="U2731">
        <v>15.61</v>
      </c>
      <c r="V2731">
        <v>15.9</v>
      </c>
      <c r="W2731">
        <v>24.66</v>
      </c>
      <c r="X2731" t="s">
        <v>1287</v>
      </c>
      <c r="Y2731" t="s">
        <v>883</v>
      </c>
      <c r="Z2731">
        <v>3.27</v>
      </c>
      <c r="AA2731">
        <v>15.76</v>
      </c>
      <c r="AB2731">
        <v>31801</v>
      </c>
      <c r="AC2731">
        <v>22046</v>
      </c>
      <c r="AD2731">
        <v>1.44</v>
      </c>
      <c r="AE2731">
        <v>255</v>
      </c>
      <c r="AF2731">
        <v>5</v>
      </c>
      <c r="AG2731" t="s">
        <v>120</v>
      </c>
      <c r="AH2731">
        <v>0.01</v>
      </c>
      <c r="AI2731" t="s">
        <v>120</v>
      </c>
      <c r="AJ2731">
        <v>6.15</v>
      </c>
      <c r="AK2731" t="s">
        <v>12280</v>
      </c>
      <c r="AL2731">
        <v>-0.54</v>
      </c>
      <c r="AM2731">
        <v>2308</v>
      </c>
      <c r="AN2731">
        <v>23</v>
      </c>
      <c r="AO2731">
        <v>4.0000000000000002E-4</v>
      </c>
      <c r="AP2731">
        <v>-1</v>
      </c>
      <c r="AQ2731">
        <v>1.27</v>
      </c>
      <c r="AR2731">
        <v>-3.83</v>
      </c>
      <c r="AS2731">
        <v>-4.29</v>
      </c>
      <c r="AT2731">
        <v>7.81</v>
      </c>
      <c r="AU2731">
        <v>34.56</v>
      </c>
      <c r="AV2731">
        <v>1</v>
      </c>
      <c r="AW2731">
        <v>1.81</v>
      </c>
      <c r="AX2731">
        <v>39</v>
      </c>
      <c r="AY2731">
        <v>25.08</v>
      </c>
      <c r="AZ2731">
        <v>30.24</v>
      </c>
      <c r="BA2731">
        <v>0.59</v>
      </c>
      <c r="BB2731" t="s">
        <v>143</v>
      </c>
      <c r="BF2731">
        <v>-0.87</v>
      </c>
      <c r="BG2731">
        <v>-2.5</v>
      </c>
      <c r="BH2731">
        <v>-2.86</v>
      </c>
      <c r="BI2731">
        <v>0.39</v>
      </c>
      <c r="BJ2731">
        <v>20210827</v>
      </c>
      <c r="BK2731">
        <v>20040303</v>
      </c>
      <c r="BL2731">
        <v>7.62</v>
      </c>
      <c r="BM2731" t="s">
        <v>120</v>
      </c>
      <c r="BN2731" t="s">
        <v>120</v>
      </c>
      <c r="BO2731">
        <v>57.85</v>
      </c>
      <c r="BP2731">
        <v>15.6</v>
      </c>
      <c r="BQ2731">
        <v>20.8</v>
      </c>
      <c r="BR2731" t="s">
        <v>120</v>
      </c>
      <c r="BS2731">
        <v>64.05</v>
      </c>
      <c r="BT2731">
        <v>12.72</v>
      </c>
      <c r="BU2731">
        <v>39.130000000000003</v>
      </c>
      <c r="BV2731">
        <v>0.45</v>
      </c>
      <c r="BW2731">
        <v>22.61</v>
      </c>
      <c r="BX2731">
        <v>3.25</v>
      </c>
      <c r="BY2731">
        <v>7.0000000000000007E-2</v>
      </c>
      <c r="BZ2731">
        <v>9</v>
      </c>
      <c r="CA2731" t="s">
        <v>120</v>
      </c>
      <c r="CB2731">
        <v>3.34</v>
      </c>
      <c r="CC2731">
        <v>15.07</v>
      </c>
      <c r="CD2731">
        <v>11.6</v>
      </c>
      <c r="CE2731">
        <v>2.4700000000000002</v>
      </c>
      <c r="CF2731">
        <v>0.12</v>
      </c>
      <c r="CG2731">
        <v>2.4900000000000002</v>
      </c>
      <c r="CH2731">
        <v>2.41</v>
      </c>
      <c r="CI2731">
        <v>2.41</v>
      </c>
      <c r="CJ2731">
        <v>-0.3</v>
      </c>
      <c r="CK2731">
        <v>2.39</v>
      </c>
      <c r="CL2731">
        <v>10.6</v>
      </c>
      <c r="CM2731">
        <v>2.16</v>
      </c>
      <c r="CN2731">
        <v>-3.75</v>
      </c>
      <c r="CO2731">
        <v>21708</v>
      </c>
      <c r="CP2731">
        <v>13692</v>
      </c>
      <c r="CQ2731" t="s">
        <v>12205</v>
      </c>
      <c r="CR2731">
        <v>51.99</v>
      </c>
      <c r="CS2731">
        <v>21.61</v>
      </c>
      <c r="CT2731">
        <v>4.6100000000000003</v>
      </c>
      <c r="CU2731">
        <v>54.92</v>
      </c>
      <c r="CV2731">
        <v>7.89</v>
      </c>
      <c r="CW2731">
        <v>0.8</v>
      </c>
      <c r="CX2731" t="s">
        <v>1980</v>
      </c>
      <c r="CY2731">
        <v>3.38</v>
      </c>
      <c r="CZ2731">
        <v>3.38</v>
      </c>
      <c r="DA2731">
        <v>0.44</v>
      </c>
      <c r="DB2731">
        <v>1.39</v>
      </c>
      <c r="DC2731">
        <v>0.28000000000000003</v>
      </c>
      <c r="DD2731">
        <v>35.950000000000003</v>
      </c>
      <c r="DE2731" t="s">
        <v>12281</v>
      </c>
      <c r="DF2731">
        <v>23.03</v>
      </c>
      <c r="DG2731">
        <v>16.399999999999999</v>
      </c>
      <c r="DH2731">
        <v>16</v>
      </c>
      <c r="DI2731">
        <v>0</v>
      </c>
      <c r="DJ2731">
        <v>706</v>
      </c>
      <c r="DK2731">
        <v>600452</v>
      </c>
      <c r="DL2731" t="s">
        <v>120</v>
      </c>
      <c r="DM2731" t="s">
        <v>120</v>
      </c>
      <c r="DN2731" t="s">
        <v>120</v>
      </c>
    </row>
    <row r="2732" spans="1:118">
      <c r="A2732" t="str">
        <f>"600455"</f>
        <v>600455</v>
      </c>
      <c r="B2732" t="s">
        <v>12282</v>
      </c>
      <c r="C2732">
        <v>1.86</v>
      </c>
      <c r="D2732">
        <v>-0.04</v>
      </c>
      <c r="E2732">
        <v>0</v>
      </c>
      <c r="F2732">
        <v>102</v>
      </c>
      <c r="G2732" t="s">
        <v>12283</v>
      </c>
      <c r="H2732">
        <v>2256.8000000000002</v>
      </c>
      <c r="I2732">
        <v>0</v>
      </c>
      <c r="J2732" t="s">
        <v>120</v>
      </c>
      <c r="K2732" t="s">
        <v>11716</v>
      </c>
      <c r="L2732">
        <v>1.78</v>
      </c>
      <c r="M2732">
        <v>20.28</v>
      </c>
      <c r="N2732">
        <v>1.33</v>
      </c>
      <c r="O2732">
        <v>2.91</v>
      </c>
      <c r="P2732">
        <v>20.49</v>
      </c>
      <c r="Q2732">
        <v>-1.46</v>
      </c>
      <c r="R2732">
        <v>19.62</v>
      </c>
      <c r="S2732">
        <v>19.91</v>
      </c>
      <c r="T2732">
        <v>11136</v>
      </c>
      <c r="U2732">
        <v>20.29</v>
      </c>
      <c r="V2732">
        <v>19.91</v>
      </c>
      <c r="W2732">
        <v>57.66</v>
      </c>
      <c r="X2732" t="s">
        <v>213</v>
      </c>
      <c r="Y2732" t="s">
        <v>890</v>
      </c>
      <c r="Z2732">
        <v>4.37</v>
      </c>
      <c r="AA2732">
        <v>20.27</v>
      </c>
      <c r="AB2732">
        <v>4634</v>
      </c>
      <c r="AC2732">
        <v>6502</v>
      </c>
      <c r="AD2732">
        <v>0.71</v>
      </c>
      <c r="AE2732">
        <v>1</v>
      </c>
      <c r="AF2732">
        <v>6</v>
      </c>
      <c r="AG2732" t="s">
        <v>120</v>
      </c>
      <c r="AH2732">
        <v>0</v>
      </c>
      <c r="AI2732" t="s">
        <v>120</v>
      </c>
      <c r="AJ2732">
        <v>0.62</v>
      </c>
      <c r="AK2732" t="s">
        <v>11716</v>
      </c>
      <c r="AL2732">
        <v>3.2</v>
      </c>
      <c r="AM2732">
        <v>1001</v>
      </c>
      <c r="AN2732">
        <v>11</v>
      </c>
      <c r="AO2732">
        <v>1.8E-3</v>
      </c>
      <c r="AP2732">
        <v>1</v>
      </c>
      <c r="AQ2732">
        <v>-0.55000000000000004</v>
      </c>
      <c r="AR2732">
        <v>4.22</v>
      </c>
      <c r="AS2732">
        <v>11.19</v>
      </c>
      <c r="AT2732">
        <v>11.98</v>
      </c>
      <c r="AU2732">
        <v>-0.59</v>
      </c>
      <c r="AV2732">
        <v>0</v>
      </c>
      <c r="AW2732">
        <v>2.25</v>
      </c>
      <c r="AX2732">
        <v>79.400000000000006</v>
      </c>
      <c r="AY2732">
        <v>53.34</v>
      </c>
      <c r="AZ2732">
        <v>42.96</v>
      </c>
      <c r="BA2732">
        <v>0.64</v>
      </c>
      <c r="BB2732" t="s">
        <v>184</v>
      </c>
      <c r="BF2732">
        <v>1.79</v>
      </c>
      <c r="BG2732">
        <v>1.86</v>
      </c>
      <c r="BH2732">
        <v>-1.02</v>
      </c>
      <c r="BI2732">
        <v>3.36</v>
      </c>
      <c r="BJ2732">
        <v>20210816</v>
      </c>
      <c r="BK2732">
        <v>20040329</v>
      </c>
      <c r="BL2732">
        <v>0.62</v>
      </c>
      <c r="BM2732" t="s">
        <v>120</v>
      </c>
      <c r="BN2732" t="s">
        <v>120</v>
      </c>
      <c r="BO2732">
        <v>7.78</v>
      </c>
      <c r="BP2732">
        <v>20.28</v>
      </c>
      <c r="BQ2732">
        <v>1.89</v>
      </c>
      <c r="BR2732">
        <v>0.86</v>
      </c>
      <c r="BS2732">
        <v>64.680000000000007</v>
      </c>
      <c r="BT2732">
        <v>1.44</v>
      </c>
      <c r="BU2732">
        <v>4.17</v>
      </c>
      <c r="BV2732">
        <v>2.09</v>
      </c>
      <c r="BW2732">
        <v>5.01</v>
      </c>
      <c r="BX2732">
        <v>1.36</v>
      </c>
      <c r="BY2732">
        <v>0</v>
      </c>
      <c r="BZ2732">
        <v>0.03</v>
      </c>
      <c r="CA2732" t="s">
        <v>120</v>
      </c>
      <c r="CB2732">
        <v>1.46</v>
      </c>
      <c r="CC2732">
        <v>1.1399999999999999</v>
      </c>
      <c r="CD2732">
        <v>0.56999999999999995</v>
      </c>
      <c r="CE2732">
        <v>0.16</v>
      </c>
      <c r="CF2732">
        <v>0</v>
      </c>
      <c r="CG2732">
        <v>0.16</v>
      </c>
      <c r="CH2732">
        <v>0.16</v>
      </c>
      <c r="CI2732">
        <v>0.11</v>
      </c>
      <c r="CJ2732">
        <v>0.37</v>
      </c>
      <c r="CK2732">
        <v>0.11</v>
      </c>
      <c r="CL2732">
        <v>-0.26</v>
      </c>
      <c r="CM2732">
        <v>-0.59</v>
      </c>
      <c r="CN2732">
        <v>-1.85</v>
      </c>
      <c r="CO2732">
        <v>10408</v>
      </c>
      <c r="CP2732">
        <v>4765</v>
      </c>
      <c r="CQ2732" t="s">
        <v>12284</v>
      </c>
      <c r="CR2732">
        <v>-33.909999999999997</v>
      </c>
      <c r="CS2732">
        <v>11.81</v>
      </c>
      <c r="CT2732">
        <v>6.69</v>
      </c>
      <c r="CU2732">
        <v>-21.31</v>
      </c>
      <c r="CV2732">
        <v>11.14</v>
      </c>
      <c r="CW2732">
        <v>0</v>
      </c>
      <c r="CX2732" t="s">
        <v>1534</v>
      </c>
      <c r="CY2732">
        <v>3.03</v>
      </c>
      <c r="CZ2732">
        <v>0</v>
      </c>
      <c r="DA2732">
        <v>2.33</v>
      </c>
      <c r="DB2732">
        <v>-0.42</v>
      </c>
      <c r="DC2732">
        <v>-0.95</v>
      </c>
      <c r="DD2732">
        <v>24.33</v>
      </c>
      <c r="DE2732" t="s">
        <v>4733</v>
      </c>
      <c r="DF2732">
        <v>49.62</v>
      </c>
      <c r="DG2732">
        <v>13.71</v>
      </c>
      <c r="DH2732">
        <v>9.66</v>
      </c>
      <c r="DI2732" t="s">
        <v>120</v>
      </c>
      <c r="DJ2732">
        <v>629</v>
      </c>
      <c r="DK2732">
        <v>600455</v>
      </c>
      <c r="DL2732" t="s">
        <v>120</v>
      </c>
      <c r="DM2732" t="s">
        <v>120</v>
      </c>
      <c r="DN2732" t="s">
        <v>120</v>
      </c>
    </row>
    <row r="2733" spans="1:118">
      <c r="A2733" t="str">
        <f>"600456"</f>
        <v>600456</v>
      </c>
      <c r="B2733" t="s">
        <v>12285</v>
      </c>
      <c r="C2733">
        <v>-4.51</v>
      </c>
      <c r="D2733">
        <v>-0.01</v>
      </c>
      <c r="E2733">
        <v>-0.3</v>
      </c>
      <c r="F2733">
        <v>794</v>
      </c>
      <c r="G2733" t="s">
        <v>12286</v>
      </c>
      <c r="H2733">
        <v>43399.9</v>
      </c>
      <c r="I2733">
        <v>131.47</v>
      </c>
      <c r="J2733" t="s">
        <v>120</v>
      </c>
      <c r="K2733" t="s">
        <v>12287</v>
      </c>
      <c r="L2733">
        <v>1.84</v>
      </c>
      <c r="M2733">
        <v>48.24</v>
      </c>
      <c r="N2733">
        <v>0.9</v>
      </c>
      <c r="O2733">
        <v>0.63</v>
      </c>
      <c r="P2733">
        <v>50.84</v>
      </c>
      <c r="Q2733">
        <v>-4.51</v>
      </c>
      <c r="R2733">
        <v>48.24</v>
      </c>
      <c r="S2733">
        <v>50.37</v>
      </c>
      <c r="T2733">
        <v>87871</v>
      </c>
      <c r="U2733">
        <v>48.24</v>
      </c>
      <c r="V2733">
        <v>50.52</v>
      </c>
      <c r="W2733">
        <v>41.45</v>
      </c>
      <c r="X2733" t="s">
        <v>1390</v>
      </c>
      <c r="Y2733" t="s">
        <v>890</v>
      </c>
      <c r="Z2733">
        <v>5.15</v>
      </c>
      <c r="AA2733">
        <v>49.39</v>
      </c>
      <c r="AB2733">
        <v>50178</v>
      </c>
      <c r="AC2733">
        <v>37693</v>
      </c>
      <c r="AD2733">
        <v>1.33</v>
      </c>
      <c r="AE2733">
        <v>29</v>
      </c>
      <c r="AF2733">
        <v>253</v>
      </c>
      <c r="AG2733" t="s">
        <v>120</v>
      </c>
      <c r="AH2733">
        <v>0.01</v>
      </c>
      <c r="AI2733" t="s">
        <v>120</v>
      </c>
      <c r="AJ2733">
        <v>4.78</v>
      </c>
      <c r="AK2733" t="s">
        <v>12287</v>
      </c>
      <c r="AL2733">
        <v>-3.17</v>
      </c>
      <c r="AM2733">
        <v>3934</v>
      </c>
      <c r="AN2733">
        <v>22</v>
      </c>
      <c r="AO2733">
        <v>5.0000000000000001E-4</v>
      </c>
      <c r="AP2733">
        <v>-1</v>
      </c>
      <c r="AQ2733">
        <v>2.29</v>
      </c>
      <c r="AR2733">
        <v>-5.39</v>
      </c>
      <c r="AS2733">
        <v>-2.86</v>
      </c>
      <c r="AT2733">
        <v>9.9600000000000009</v>
      </c>
      <c r="AU2733">
        <v>-5.49</v>
      </c>
      <c r="AV2733">
        <v>3</v>
      </c>
      <c r="AW2733">
        <v>3.52</v>
      </c>
      <c r="AX2733">
        <v>52.23</v>
      </c>
      <c r="AY2733">
        <v>48.42</v>
      </c>
      <c r="AZ2733">
        <v>66.56</v>
      </c>
      <c r="BA2733">
        <v>1.49</v>
      </c>
      <c r="BB2733" t="s">
        <v>143</v>
      </c>
      <c r="BF2733">
        <v>-2.2400000000000002</v>
      </c>
      <c r="BG2733">
        <v>-4.2300000000000004</v>
      </c>
      <c r="BH2733">
        <v>-5.1100000000000003</v>
      </c>
      <c r="BI2733">
        <v>0</v>
      </c>
      <c r="BJ2733">
        <v>20210825</v>
      </c>
      <c r="BK2733">
        <v>20020412</v>
      </c>
      <c r="BL2733">
        <v>4.78</v>
      </c>
      <c r="BM2733" t="s">
        <v>120</v>
      </c>
      <c r="BN2733" t="s">
        <v>120</v>
      </c>
      <c r="BO2733">
        <v>115.66</v>
      </c>
      <c r="BP2733">
        <v>48.23</v>
      </c>
      <c r="BQ2733">
        <v>57.56</v>
      </c>
      <c r="BR2733">
        <v>3.54</v>
      </c>
      <c r="BS2733">
        <v>47.17</v>
      </c>
      <c r="BT2733">
        <v>86.72</v>
      </c>
      <c r="BU2733">
        <v>20.65</v>
      </c>
      <c r="BV2733">
        <v>1.72</v>
      </c>
      <c r="BW2733">
        <v>38.229999999999997</v>
      </c>
      <c r="BX2733">
        <v>27.64</v>
      </c>
      <c r="BY2733">
        <v>24.11</v>
      </c>
      <c r="BZ2733">
        <v>19.27</v>
      </c>
      <c r="CA2733" t="s">
        <v>120</v>
      </c>
      <c r="CB2733">
        <v>42.92</v>
      </c>
      <c r="CC2733">
        <v>28.4</v>
      </c>
      <c r="CD2733">
        <v>22.42</v>
      </c>
      <c r="CE2733">
        <v>3.56</v>
      </c>
      <c r="CF2733">
        <v>-0.01</v>
      </c>
      <c r="CG2733">
        <v>3.57</v>
      </c>
      <c r="CH2733">
        <v>3.11</v>
      </c>
      <c r="CI2733">
        <v>2.78</v>
      </c>
      <c r="CJ2733">
        <v>-2.2799999999999998</v>
      </c>
      <c r="CK2733">
        <v>2.54</v>
      </c>
      <c r="CL2733">
        <v>7.5</v>
      </c>
      <c r="CM2733">
        <v>-1.1499999999999999</v>
      </c>
      <c r="CN2733">
        <v>13.42</v>
      </c>
      <c r="CO2733">
        <v>40016</v>
      </c>
      <c r="CP2733">
        <v>6236</v>
      </c>
      <c r="CQ2733" t="s">
        <v>12288</v>
      </c>
      <c r="CR2733">
        <v>95.56</v>
      </c>
      <c r="CS2733">
        <v>39.409999999999997</v>
      </c>
      <c r="CT2733">
        <v>4</v>
      </c>
      <c r="CU2733">
        <v>-200.15</v>
      </c>
      <c r="CV2733">
        <v>8.11</v>
      </c>
      <c r="CW2733">
        <v>2.08</v>
      </c>
      <c r="CX2733" t="s">
        <v>817</v>
      </c>
      <c r="CY2733">
        <v>12.05</v>
      </c>
      <c r="CZ2733">
        <v>0</v>
      </c>
      <c r="DA2733">
        <v>8.98</v>
      </c>
      <c r="DB2733">
        <v>1.57</v>
      </c>
      <c r="DC2733">
        <v>-0.24</v>
      </c>
      <c r="DD2733">
        <v>49.76</v>
      </c>
      <c r="DE2733" t="s">
        <v>1072</v>
      </c>
      <c r="DF2733">
        <v>21.07</v>
      </c>
      <c r="DG2733">
        <v>12.54</v>
      </c>
      <c r="DH2733">
        <v>9.7899999999999991</v>
      </c>
      <c r="DI2733">
        <v>0.56999999999999995</v>
      </c>
      <c r="DJ2733">
        <v>3920</v>
      </c>
      <c r="DK2733">
        <v>600456</v>
      </c>
      <c r="DL2733" t="s">
        <v>120</v>
      </c>
      <c r="DM2733" t="s">
        <v>120</v>
      </c>
      <c r="DN2733" t="s">
        <v>120</v>
      </c>
    </row>
    <row r="2734" spans="1:118">
      <c r="A2734" t="str">
        <f>"600458"</f>
        <v>600458</v>
      </c>
      <c r="B2734" t="s">
        <v>12289</v>
      </c>
      <c r="C2734">
        <v>-2.84</v>
      </c>
      <c r="D2734">
        <v>-0.08</v>
      </c>
      <c r="E2734">
        <v>0.34</v>
      </c>
      <c r="F2734">
        <v>1957</v>
      </c>
      <c r="G2734" t="s">
        <v>12290</v>
      </c>
      <c r="H2734">
        <v>34827.5</v>
      </c>
      <c r="I2734">
        <v>128.01</v>
      </c>
      <c r="J2734" t="s">
        <v>120</v>
      </c>
      <c r="K2734" t="s">
        <v>12291</v>
      </c>
      <c r="L2734">
        <v>3.71</v>
      </c>
      <c r="M2734">
        <v>11.31</v>
      </c>
      <c r="N2734">
        <v>1.53</v>
      </c>
      <c r="O2734">
        <v>3.95</v>
      </c>
      <c r="P2734">
        <v>12.1</v>
      </c>
      <c r="Q2734">
        <v>-2.92</v>
      </c>
      <c r="R2734">
        <v>11.3</v>
      </c>
      <c r="S2734">
        <v>11.68</v>
      </c>
      <c r="T2734">
        <v>297683</v>
      </c>
      <c r="U2734">
        <v>11.32</v>
      </c>
      <c r="V2734">
        <v>11.64</v>
      </c>
      <c r="W2734">
        <v>33.799999999999997</v>
      </c>
      <c r="X2734" t="s">
        <v>2211</v>
      </c>
      <c r="Y2734" t="s">
        <v>594</v>
      </c>
      <c r="Z2734">
        <v>6.87</v>
      </c>
      <c r="AA2734">
        <v>11.7</v>
      </c>
      <c r="AB2734">
        <v>162637</v>
      </c>
      <c r="AC2734">
        <v>135046</v>
      </c>
      <c r="AD2734">
        <v>1.2</v>
      </c>
      <c r="AE2734">
        <v>709</v>
      </c>
      <c r="AF2734">
        <v>711</v>
      </c>
      <c r="AG2734" t="s">
        <v>120</v>
      </c>
      <c r="AH2734">
        <v>0.03</v>
      </c>
      <c r="AI2734" t="s">
        <v>120</v>
      </c>
      <c r="AJ2734">
        <v>8.0299999999999994</v>
      </c>
      <c r="AK2734" t="s">
        <v>12291</v>
      </c>
      <c r="AL2734">
        <v>-1.49</v>
      </c>
      <c r="AM2734">
        <v>3507</v>
      </c>
      <c r="AN2734">
        <v>85</v>
      </c>
      <c r="AO2734">
        <v>1.1000000000000001E-3</v>
      </c>
      <c r="AP2734">
        <v>-1</v>
      </c>
      <c r="AQ2734">
        <v>4.3899999999999997</v>
      </c>
      <c r="AR2734">
        <v>1.34</v>
      </c>
      <c r="AS2734">
        <v>10.66</v>
      </c>
      <c r="AT2734">
        <v>33.840000000000003</v>
      </c>
      <c r="AU2734">
        <v>34.880000000000003</v>
      </c>
      <c r="AV2734">
        <v>1</v>
      </c>
      <c r="AW2734">
        <v>7.63</v>
      </c>
      <c r="AX2734">
        <v>48.6</v>
      </c>
      <c r="AY2734">
        <v>21.17</v>
      </c>
      <c r="AZ2734">
        <v>28.61</v>
      </c>
      <c r="BA2734">
        <v>0.72</v>
      </c>
      <c r="BB2734" t="s">
        <v>168</v>
      </c>
      <c r="BF2734">
        <v>0.51</v>
      </c>
      <c r="BG2734">
        <v>-3.17</v>
      </c>
      <c r="BH2734">
        <v>-6.53</v>
      </c>
      <c r="BI2734">
        <v>0.09</v>
      </c>
      <c r="BJ2734">
        <v>20210828</v>
      </c>
      <c r="BK2734">
        <v>20021219</v>
      </c>
      <c r="BL2734">
        <v>8.0299999999999994</v>
      </c>
      <c r="BM2734" t="s">
        <v>120</v>
      </c>
      <c r="BN2734" t="s">
        <v>120</v>
      </c>
      <c r="BO2734">
        <v>170.16</v>
      </c>
      <c r="BP2734">
        <v>11.31</v>
      </c>
      <c r="BQ2734">
        <v>47.78</v>
      </c>
      <c r="BR2734">
        <v>1.77</v>
      </c>
      <c r="BS2734">
        <v>70.88</v>
      </c>
      <c r="BT2734">
        <v>118.08</v>
      </c>
      <c r="BU2734">
        <v>28.54</v>
      </c>
      <c r="BV2734">
        <v>3.47</v>
      </c>
      <c r="BW2734">
        <v>94.61</v>
      </c>
      <c r="BX2734">
        <v>22.68</v>
      </c>
      <c r="BY2734">
        <v>26.26</v>
      </c>
      <c r="BZ2734">
        <v>32.94</v>
      </c>
      <c r="CA2734" t="s">
        <v>120</v>
      </c>
      <c r="CB2734">
        <v>30.63</v>
      </c>
      <c r="CC2734">
        <v>76.27</v>
      </c>
      <c r="CD2734">
        <v>64.8</v>
      </c>
      <c r="CE2734">
        <v>2.1800000000000002</v>
      </c>
      <c r="CF2734">
        <v>0.06</v>
      </c>
      <c r="CG2734">
        <v>2.1</v>
      </c>
      <c r="CH2734">
        <v>1.53</v>
      </c>
      <c r="CI2734">
        <v>1.34</v>
      </c>
      <c r="CJ2734">
        <v>-0.33</v>
      </c>
      <c r="CK2734">
        <v>1.21</v>
      </c>
      <c r="CL2734">
        <v>11.69</v>
      </c>
      <c r="CM2734">
        <v>-2.88</v>
      </c>
      <c r="CN2734">
        <v>-1.45</v>
      </c>
      <c r="CO2734">
        <v>44914</v>
      </c>
      <c r="CP2734">
        <v>8687</v>
      </c>
      <c r="CQ2734" t="s">
        <v>6033</v>
      </c>
      <c r="CR2734">
        <v>585.62</v>
      </c>
      <c r="CS2734">
        <v>30.13</v>
      </c>
      <c r="CT2734">
        <v>1.9</v>
      </c>
      <c r="CU2734">
        <v>-31.57</v>
      </c>
      <c r="CV2734">
        <v>1.19</v>
      </c>
      <c r="CW2734">
        <v>1.07</v>
      </c>
      <c r="CX2734" t="s">
        <v>1193</v>
      </c>
      <c r="CY2734">
        <v>5.95</v>
      </c>
      <c r="CZ2734">
        <v>0</v>
      </c>
      <c r="DA2734">
        <v>3.81</v>
      </c>
      <c r="DB2734">
        <v>1.46</v>
      </c>
      <c r="DC2734">
        <v>-0.36</v>
      </c>
      <c r="DD2734">
        <v>28.08</v>
      </c>
      <c r="DE2734" t="s">
        <v>3586</v>
      </c>
      <c r="DF2734">
        <v>15.04</v>
      </c>
      <c r="DG2734">
        <v>2.86</v>
      </c>
      <c r="DH2734">
        <v>1.76</v>
      </c>
      <c r="DI2734">
        <v>3.21</v>
      </c>
      <c r="DJ2734">
        <v>6244</v>
      </c>
      <c r="DK2734">
        <v>600458</v>
      </c>
      <c r="DL2734" t="s">
        <v>120</v>
      </c>
      <c r="DM2734" t="s">
        <v>120</v>
      </c>
      <c r="DN2734" t="s">
        <v>120</v>
      </c>
    </row>
    <row r="2735" spans="1:118">
      <c r="A2735" t="str">
        <f>"600459"</f>
        <v>600459</v>
      </c>
      <c r="B2735" t="s">
        <v>12292</v>
      </c>
      <c r="C2735">
        <v>-4.1399999999999997</v>
      </c>
      <c r="D2735">
        <v>-7.0000000000000007E-2</v>
      </c>
      <c r="E2735">
        <v>0.04</v>
      </c>
      <c r="F2735">
        <v>1215</v>
      </c>
      <c r="G2735" t="s">
        <v>12293</v>
      </c>
      <c r="H2735">
        <v>35051.620000000003</v>
      </c>
      <c r="I2735">
        <v>80.52</v>
      </c>
      <c r="J2735" t="s">
        <v>120</v>
      </c>
      <c r="K2735" t="s">
        <v>12294</v>
      </c>
      <c r="L2735">
        <v>2.33</v>
      </c>
      <c r="M2735">
        <v>25.73</v>
      </c>
      <c r="N2735">
        <v>0.96</v>
      </c>
      <c r="O2735">
        <v>1.71</v>
      </c>
      <c r="P2735">
        <v>27.3</v>
      </c>
      <c r="Q2735">
        <v>-4.4000000000000004</v>
      </c>
      <c r="R2735">
        <v>25.66</v>
      </c>
      <c r="S2735">
        <v>26.85</v>
      </c>
      <c r="T2735">
        <v>132733</v>
      </c>
      <c r="U2735">
        <v>25.75</v>
      </c>
      <c r="V2735">
        <v>26.84</v>
      </c>
      <c r="W2735">
        <v>23.84</v>
      </c>
      <c r="X2735" t="s">
        <v>1390</v>
      </c>
      <c r="Y2735" t="s">
        <v>1006</v>
      </c>
      <c r="Z2735">
        <v>6.11</v>
      </c>
      <c r="AA2735">
        <v>26.41</v>
      </c>
      <c r="AB2735">
        <v>75880</v>
      </c>
      <c r="AC2735">
        <v>56853</v>
      </c>
      <c r="AD2735">
        <v>1.33</v>
      </c>
      <c r="AE2735">
        <v>724</v>
      </c>
      <c r="AF2735">
        <v>38</v>
      </c>
      <c r="AG2735" t="s">
        <v>120</v>
      </c>
      <c r="AH2735">
        <v>0.01</v>
      </c>
      <c r="AI2735" t="s">
        <v>120</v>
      </c>
      <c r="AJ2735">
        <v>5.69</v>
      </c>
      <c r="AK2735" t="s">
        <v>12294</v>
      </c>
      <c r="AL2735">
        <v>-2.79</v>
      </c>
      <c r="AM2735">
        <v>3717</v>
      </c>
      <c r="AN2735">
        <v>36</v>
      </c>
      <c r="AO2735">
        <v>5.9999999999999995E-4</v>
      </c>
      <c r="AP2735">
        <v>-3</v>
      </c>
      <c r="AQ2735">
        <v>-2.44</v>
      </c>
      <c r="AR2735">
        <v>-9.82</v>
      </c>
      <c r="AS2735">
        <v>-7.91</v>
      </c>
      <c r="AT2735">
        <v>11.24</v>
      </c>
      <c r="AU2735">
        <v>31.07</v>
      </c>
      <c r="AV2735">
        <v>3</v>
      </c>
      <c r="AW2735">
        <v>3.86</v>
      </c>
      <c r="AX2735">
        <v>60.36</v>
      </c>
      <c r="AY2735">
        <v>36.72</v>
      </c>
      <c r="AZ2735">
        <v>46.83</v>
      </c>
      <c r="BA2735">
        <v>1.36</v>
      </c>
      <c r="BB2735" t="s">
        <v>143</v>
      </c>
      <c r="BF2735">
        <v>-1.61</v>
      </c>
      <c r="BG2735">
        <v>-4.17</v>
      </c>
      <c r="BH2735">
        <v>-5.75</v>
      </c>
      <c r="BI2735">
        <v>0.27</v>
      </c>
      <c r="BJ2735">
        <v>20210825</v>
      </c>
      <c r="BK2735">
        <v>20030516</v>
      </c>
      <c r="BL2735">
        <v>5.69</v>
      </c>
      <c r="BM2735" t="s">
        <v>120</v>
      </c>
      <c r="BN2735" t="s">
        <v>120</v>
      </c>
      <c r="BO2735">
        <v>119.64</v>
      </c>
      <c r="BP2735">
        <v>25.73</v>
      </c>
      <c r="BQ2735">
        <v>36.35</v>
      </c>
      <c r="BR2735">
        <v>2.38</v>
      </c>
      <c r="BS2735">
        <v>67.62</v>
      </c>
      <c r="BT2735">
        <v>105.95</v>
      </c>
      <c r="BU2735">
        <v>7.76</v>
      </c>
      <c r="BV2735">
        <v>0.67</v>
      </c>
      <c r="BW2735">
        <v>56.33</v>
      </c>
      <c r="BX2735">
        <v>15.6</v>
      </c>
      <c r="BY2735">
        <v>48.83</v>
      </c>
      <c r="BZ2735">
        <v>21.54</v>
      </c>
      <c r="CA2735">
        <v>0.04</v>
      </c>
      <c r="CB2735">
        <v>18.61</v>
      </c>
      <c r="CC2735">
        <v>176.87</v>
      </c>
      <c r="CD2735">
        <v>168.91</v>
      </c>
      <c r="CE2735">
        <v>3.68</v>
      </c>
      <c r="CF2735">
        <v>-0.13</v>
      </c>
      <c r="CG2735">
        <v>3.68</v>
      </c>
      <c r="CH2735">
        <v>3.29</v>
      </c>
      <c r="CI2735">
        <v>3.07</v>
      </c>
      <c r="CJ2735">
        <v>-1.1100000000000001</v>
      </c>
      <c r="CK2735">
        <v>2.91</v>
      </c>
      <c r="CL2735">
        <v>10.82</v>
      </c>
      <c r="CM2735">
        <v>-14.53</v>
      </c>
      <c r="CN2735">
        <v>1.3</v>
      </c>
      <c r="CO2735">
        <v>37464</v>
      </c>
      <c r="CP2735">
        <v>9167</v>
      </c>
      <c r="CQ2735" t="s">
        <v>6734</v>
      </c>
      <c r="CR2735">
        <v>41.31</v>
      </c>
      <c r="CS2735">
        <v>60.87</v>
      </c>
      <c r="CT2735">
        <v>4.03</v>
      </c>
      <c r="CU2735">
        <v>-10.07</v>
      </c>
      <c r="CV2735">
        <v>0.83</v>
      </c>
      <c r="CW2735">
        <v>0.66</v>
      </c>
      <c r="CX2735" t="s">
        <v>263</v>
      </c>
      <c r="CY2735">
        <v>6.39</v>
      </c>
      <c r="CZ2735">
        <v>0</v>
      </c>
      <c r="DA2735">
        <v>3.27</v>
      </c>
      <c r="DB2735">
        <v>1.9</v>
      </c>
      <c r="DC2735">
        <v>-2.5499999999999998</v>
      </c>
      <c r="DD2735">
        <v>30.39</v>
      </c>
      <c r="DE2735" t="s">
        <v>9397</v>
      </c>
      <c r="DF2735">
        <v>4.5</v>
      </c>
      <c r="DG2735">
        <v>2.08</v>
      </c>
      <c r="DH2735">
        <v>1.74</v>
      </c>
      <c r="DI2735">
        <v>1.06</v>
      </c>
      <c r="DJ2735">
        <v>1364</v>
      </c>
      <c r="DK2735">
        <v>600459</v>
      </c>
      <c r="DL2735">
        <v>20210825</v>
      </c>
      <c r="DM2735">
        <v>28.68</v>
      </c>
      <c r="DN2735">
        <v>-10.29</v>
      </c>
    </row>
    <row r="2736" spans="1:118">
      <c r="A2736" t="str">
        <f>"600460"</f>
        <v>600460</v>
      </c>
      <c r="B2736" t="s">
        <v>12295</v>
      </c>
      <c r="C2736">
        <v>-5.98</v>
      </c>
      <c r="D2736">
        <v>1.85</v>
      </c>
      <c r="E2736">
        <v>-1.55</v>
      </c>
      <c r="F2736">
        <v>19485</v>
      </c>
      <c r="G2736" t="s">
        <v>12296</v>
      </c>
      <c r="H2736">
        <v>287909.39</v>
      </c>
      <c r="I2736">
        <v>743.18</v>
      </c>
      <c r="J2736" t="s">
        <v>120</v>
      </c>
      <c r="K2736" t="s">
        <v>12297</v>
      </c>
      <c r="L2736">
        <v>4</v>
      </c>
      <c r="M2736">
        <v>54.51</v>
      </c>
      <c r="N2736">
        <v>1.0900000000000001</v>
      </c>
      <c r="O2736">
        <v>-0.22</v>
      </c>
      <c r="P2736">
        <v>57.85</v>
      </c>
      <c r="Q2736">
        <v>-8.5399999999999991</v>
      </c>
      <c r="R2736">
        <v>53.03</v>
      </c>
      <c r="S2736">
        <v>57.08</v>
      </c>
      <c r="T2736">
        <v>525088</v>
      </c>
      <c r="U2736">
        <v>54.51</v>
      </c>
      <c r="V2736">
        <v>57.98</v>
      </c>
      <c r="W2736">
        <v>88.21</v>
      </c>
      <c r="X2736" t="s">
        <v>3245</v>
      </c>
      <c r="Y2736" t="s">
        <v>585</v>
      </c>
      <c r="Z2736">
        <v>8.31</v>
      </c>
      <c r="AA2736">
        <v>54.83</v>
      </c>
      <c r="AB2736">
        <v>290108</v>
      </c>
      <c r="AC2736">
        <v>234980</v>
      </c>
      <c r="AD2736">
        <v>1.23</v>
      </c>
      <c r="AE2736">
        <v>41</v>
      </c>
      <c r="AF2736">
        <v>52</v>
      </c>
      <c r="AG2736" t="s">
        <v>120</v>
      </c>
      <c r="AH2736">
        <v>0.02</v>
      </c>
      <c r="AI2736" t="s">
        <v>120</v>
      </c>
      <c r="AJ2736">
        <v>13.12</v>
      </c>
      <c r="AK2736" t="s">
        <v>12298</v>
      </c>
      <c r="AL2736">
        <v>-4.6399999999999997</v>
      </c>
      <c r="AM2736">
        <v>4740</v>
      </c>
      <c r="AN2736">
        <v>111</v>
      </c>
      <c r="AO2736">
        <v>8.0000000000000004E-4</v>
      </c>
      <c r="AP2736">
        <v>-2</v>
      </c>
      <c r="AQ2736">
        <v>-1.1100000000000001</v>
      </c>
      <c r="AR2736">
        <v>-6.87</v>
      </c>
      <c r="AS2736">
        <v>-6.18</v>
      </c>
      <c r="AT2736">
        <v>-3.78</v>
      </c>
      <c r="AU2736">
        <v>118.18</v>
      </c>
      <c r="AV2736">
        <v>16</v>
      </c>
      <c r="AW2736">
        <v>6.77</v>
      </c>
      <c r="AX2736">
        <v>55.62</v>
      </c>
      <c r="AY2736">
        <v>172.83</v>
      </c>
      <c r="AZ2736">
        <v>1196.03</v>
      </c>
      <c r="BA2736">
        <v>0.31</v>
      </c>
      <c r="BB2736" t="s">
        <v>143</v>
      </c>
      <c r="BF2736">
        <v>-5.43</v>
      </c>
      <c r="BG2736">
        <v>-4.5</v>
      </c>
      <c r="BH2736">
        <v>-5.77</v>
      </c>
      <c r="BI2736">
        <v>2.79</v>
      </c>
      <c r="BJ2736">
        <v>20210903</v>
      </c>
      <c r="BK2736">
        <v>20030311</v>
      </c>
      <c r="BL2736">
        <v>13.94</v>
      </c>
      <c r="BM2736" t="s">
        <v>120</v>
      </c>
      <c r="BN2736" t="s">
        <v>120</v>
      </c>
      <c r="BO2736">
        <v>107.87</v>
      </c>
      <c r="BP2736">
        <v>54.5</v>
      </c>
      <c r="BQ2736">
        <v>38.58</v>
      </c>
      <c r="BR2736">
        <v>10.49</v>
      </c>
      <c r="BS2736">
        <v>54.5</v>
      </c>
      <c r="BT2736">
        <v>49.64</v>
      </c>
      <c r="BU2736">
        <v>30.36</v>
      </c>
      <c r="BV2736">
        <v>2.4900000000000002</v>
      </c>
      <c r="BW2736">
        <v>44.69</v>
      </c>
      <c r="BX2736">
        <v>10.34</v>
      </c>
      <c r="BY2736">
        <v>13.86</v>
      </c>
      <c r="BZ2736">
        <v>15.97</v>
      </c>
      <c r="CA2736" t="s">
        <v>120</v>
      </c>
      <c r="CB2736">
        <v>7.85</v>
      </c>
      <c r="CC2736">
        <v>33.08</v>
      </c>
      <c r="CD2736">
        <v>22.63</v>
      </c>
      <c r="CE2736">
        <v>4.7</v>
      </c>
      <c r="CF2736">
        <v>-0.23</v>
      </c>
      <c r="CG2736">
        <v>4.6900000000000004</v>
      </c>
      <c r="CH2736">
        <v>4.21</v>
      </c>
      <c r="CI2736">
        <v>4.3099999999999996</v>
      </c>
      <c r="CJ2736">
        <v>-3.47</v>
      </c>
      <c r="CK2736">
        <v>4.0199999999999996</v>
      </c>
      <c r="CL2736">
        <v>15.64</v>
      </c>
      <c r="CM2736">
        <v>1.53</v>
      </c>
      <c r="CN2736">
        <v>-0.82</v>
      </c>
      <c r="CO2736">
        <v>196414</v>
      </c>
      <c r="CP2736">
        <v>3949</v>
      </c>
      <c r="CQ2736" t="s">
        <v>8109</v>
      </c>
      <c r="CR2736">
        <v>1306.52</v>
      </c>
      <c r="CS2736">
        <v>94.05</v>
      </c>
      <c r="CT2736">
        <v>18.53</v>
      </c>
      <c r="CU2736">
        <v>495.32</v>
      </c>
      <c r="CV2736">
        <v>22.97</v>
      </c>
      <c r="CW2736">
        <v>0.03</v>
      </c>
      <c r="CX2736" t="s">
        <v>2443</v>
      </c>
      <c r="CY2736">
        <v>2.94</v>
      </c>
      <c r="CZ2736">
        <v>2.94</v>
      </c>
      <c r="DA2736">
        <v>0.56000000000000005</v>
      </c>
      <c r="DB2736">
        <v>1.1200000000000001</v>
      </c>
      <c r="DC2736">
        <v>0.11</v>
      </c>
      <c r="DD2736">
        <v>35.770000000000003</v>
      </c>
      <c r="DE2736" t="s">
        <v>12299</v>
      </c>
      <c r="DF2736">
        <v>31.6</v>
      </c>
      <c r="DG2736">
        <v>14.21</v>
      </c>
      <c r="DH2736">
        <v>13.02</v>
      </c>
      <c r="DI2736">
        <v>2.54</v>
      </c>
      <c r="DJ2736">
        <v>6160</v>
      </c>
      <c r="DK2736">
        <v>600460</v>
      </c>
      <c r="DL2736">
        <v>20210617</v>
      </c>
      <c r="DM2736">
        <v>46.11</v>
      </c>
      <c r="DN2736">
        <v>18.25</v>
      </c>
    </row>
    <row r="2737" spans="1:118">
      <c r="A2737" t="str">
        <f>"600461"</f>
        <v>600461</v>
      </c>
      <c r="B2737" t="s">
        <v>12300</v>
      </c>
      <c r="C2737">
        <v>0.11</v>
      </c>
      <c r="D2737">
        <v>0</v>
      </c>
      <c r="E2737">
        <v>0.11</v>
      </c>
      <c r="F2737">
        <v>373</v>
      </c>
      <c r="G2737" t="s">
        <v>982</v>
      </c>
      <c r="H2737">
        <v>7126.35</v>
      </c>
      <c r="I2737">
        <v>3.84</v>
      </c>
      <c r="J2737" t="s">
        <v>120</v>
      </c>
      <c r="K2737" t="s">
        <v>4191</v>
      </c>
      <c r="L2737">
        <v>0.89</v>
      </c>
      <c r="M2737">
        <v>8.73</v>
      </c>
      <c r="N2737">
        <v>0.78</v>
      </c>
      <c r="O2737">
        <v>2.41</v>
      </c>
      <c r="P2737">
        <v>8.93</v>
      </c>
      <c r="Q2737">
        <v>-0.23</v>
      </c>
      <c r="R2737">
        <v>8.6999999999999993</v>
      </c>
      <c r="S2737">
        <v>8.73</v>
      </c>
      <c r="T2737">
        <v>81008</v>
      </c>
      <c r="U2737">
        <v>8.75</v>
      </c>
      <c r="V2737">
        <v>8.7200000000000006</v>
      </c>
      <c r="W2737">
        <v>10.25</v>
      </c>
      <c r="X2737" t="s">
        <v>1271</v>
      </c>
      <c r="Y2737" t="s">
        <v>676</v>
      </c>
      <c r="Z2737">
        <v>2.64</v>
      </c>
      <c r="AA2737">
        <v>8.8000000000000007</v>
      </c>
      <c r="AB2737">
        <v>38799</v>
      </c>
      <c r="AC2737">
        <v>42209</v>
      </c>
      <c r="AD2737">
        <v>0.92</v>
      </c>
      <c r="AE2737">
        <v>564</v>
      </c>
      <c r="AF2737">
        <v>266</v>
      </c>
      <c r="AG2737" t="s">
        <v>120</v>
      </c>
      <c r="AH2737">
        <v>0</v>
      </c>
      <c r="AI2737" t="s">
        <v>120</v>
      </c>
      <c r="AJ2737">
        <v>9.11</v>
      </c>
      <c r="AK2737" t="s">
        <v>7059</v>
      </c>
      <c r="AL2737">
        <v>1.46</v>
      </c>
      <c r="AM2737">
        <v>2713</v>
      </c>
      <c r="AN2737">
        <v>30</v>
      </c>
      <c r="AO2737">
        <v>2.9999999999999997E-4</v>
      </c>
      <c r="AP2737">
        <v>2</v>
      </c>
      <c r="AQ2737">
        <v>0.11</v>
      </c>
      <c r="AR2737">
        <v>-4.07</v>
      </c>
      <c r="AS2737">
        <v>15.47</v>
      </c>
      <c r="AT2737">
        <v>22.8</v>
      </c>
      <c r="AU2737">
        <v>37.72</v>
      </c>
      <c r="AV2737">
        <v>1</v>
      </c>
      <c r="AW2737">
        <v>1.94</v>
      </c>
      <c r="AX2737">
        <v>43.97</v>
      </c>
      <c r="AY2737">
        <v>11.15</v>
      </c>
      <c r="AZ2737">
        <v>12.45</v>
      </c>
      <c r="BA2737">
        <v>0.83</v>
      </c>
      <c r="BB2737" t="s">
        <v>143</v>
      </c>
      <c r="BF2737">
        <v>0.88</v>
      </c>
      <c r="BG2737">
        <v>0</v>
      </c>
      <c r="BH2737">
        <v>-2.2400000000000002</v>
      </c>
      <c r="BI2737">
        <v>0.34</v>
      </c>
      <c r="BJ2737">
        <v>20210819</v>
      </c>
      <c r="BK2737">
        <v>20040601</v>
      </c>
      <c r="BL2737">
        <v>9.48</v>
      </c>
      <c r="BM2737" t="s">
        <v>120</v>
      </c>
      <c r="BN2737" t="s">
        <v>120</v>
      </c>
      <c r="BO2737">
        <v>174.6</v>
      </c>
      <c r="BP2737">
        <v>8.73</v>
      </c>
      <c r="BQ2737">
        <v>54.44</v>
      </c>
      <c r="BR2737">
        <v>6.51</v>
      </c>
      <c r="BS2737">
        <v>65.09</v>
      </c>
      <c r="BT2737">
        <v>55.83</v>
      </c>
      <c r="BU2737">
        <v>35.380000000000003</v>
      </c>
      <c r="BV2737">
        <v>48.03</v>
      </c>
      <c r="BW2737">
        <v>67.97</v>
      </c>
      <c r="BX2737">
        <v>32.25</v>
      </c>
      <c r="BY2737">
        <v>3.13</v>
      </c>
      <c r="BZ2737">
        <v>6.63</v>
      </c>
      <c r="CA2737">
        <v>0</v>
      </c>
      <c r="CB2737">
        <v>20.74</v>
      </c>
      <c r="CC2737">
        <v>42.24</v>
      </c>
      <c r="CD2737">
        <v>32.880000000000003</v>
      </c>
      <c r="CE2737">
        <v>5.86</v>
      </c>
      <c r="CF2737">
        <v>0.03</v>
      </c>
      <c r="CG2737">
        <v>5.89</v>
      </c>
      <c r="CH2737">
        <v>4.5999999999999996</v>
      </c>
      <c r="CI2737">
        <v>4.04</v>
      </c>
      <c r="CJ2737">
        <v>0.01</v>
      </c>
      <c r="CK2737">
        <v>3.86</v>
      </c>
      <c r="CL2737">
        <v>19.27</v>
      </c>
      <c r="CM2737">
        <v>3.55</v>
      </c>
      <c r="CN2737">
        <v>-9.25</v>
      </c>
      <c r="CO2737">
        <v>19479</v>
      </c>
      <c r="CP2737">
        <v>21402</v>
      </c>
      <c r="CQ2737" t="s">
        <v>12301</v>
      </c>
      <c r="CR2737">
        <v>23.8</v>
      </c>
      <c r="CS2737">
        <v>52.14</v>
      </c>
      <c r="CT2737">
        <v>1.61</v>
      </c>
      <c r="CU2737">
        <v>23.35</v>
      </c>
      <c r="CV2737">
        <v>1.96</v>
      </c>
      <c r="CW2737">
        <v>4.83</v>
      </c>
      <c r="CX2737" t="s">
        <v>1462</v>
      </c>
      <c r="CY2737">
        <v>5.44</v>
      </c>
      <c r="CZ2737">
        <v>5.44</v>
      </c>
      <c r="DA2737">
        <v>2.19</v>
      </c>
      <c r="DB2737">
        <v>2.0299999999999998</v>
      </c>
      <c r="DC2737">
        <v>0.37</v>
      </c>
      <c r="DD2737">
        <v>31.18</v>
      </c>
      <c r="DE2737" t="s">
        <v>12302</v>
      </c>
      <c r="DF2737">
        <v>22.17</v>
      </c>
      <c r="DG2737">
        <v>13.88</v>
      </c>
      <c r="DH2737">
        <v>9.56</v>
      </c>
      <c r="DI2737">
        <v>0.41</v>
      </c>
      <c r="DJ2737">
        <v>5864</v>
      </c>
      <c r="DK2737">
        <v>600461</v>
      </c>
      <c r="DL2737" t="s">
        <v>120</v>
      </c>
      <c r="DM2737" t="s">
        <v>120</v>
      </c>
      <c r="DN2737" t="s">
        <v>120</v>
      </c>
    </row>
    <row r="2738" spans="1:118">
      <c r="A2738" t="str">
        <f>"600463"</f>
        <v>600463</v>
      </c>
      <c r="B2738" t="s">
        <v>12303</v>
      </c>
      <c r="C2738">
        <v>-3.3</v>
      </c>
      <c r="D2738">
        <v>0</v>
      </c>
      <c r="E2738">
        <v>0.28999999999999998</v>
      </c>
      <c r="F2738">
        <v>92</v>
      </c>
      <c r="G2738" t="s">
        <v>11061</v>
      </c>
      <c r="H2738">
        <v>2882.35</v>
      </c>
      <c r="I2738">
        <v>3.08</v>
      </c>
      <c r="J2738" t="s">
        <v>120</v>
      </c>
      <c r="K2738" t="s">
        <v>12304</v>
      </c>
      <c r="L2738">
        <v>1.41</v>
      </c>
      <c r="M2738">
        <v>6.74</v>
      </c>
      <c r="N2738">
        <v>1.68</v>
      </c>
      <c r="O2738">
        <v>0.72</v>
      </c>
      <c r="P2738">
        <v>7.02</v>
      </c>
      <c r="Q2738">
        <v>-3.87</v>
      </c>
      <c r="R2738">
        <v>6.7</v>
      </c>
      <c r="S2738">
        <v>6.99</v>
      </c>
      <c r="T2738">
        <v>42266</v>
      </c>
      <c r="U2738">
        <v>6.75</v>
      </c>
      <c r="V2738">
        <v>6.97</v>
      </c>
      <c r="W2738">
        <v>38.06</v>
      </c>
      <c r="X2738" t="s">
        <v>1384</v>
      </c>
      <c r="Y2738" t="s">
        <v>158</v>
      </c>
      <c r="Z2738">
        <v>4.59</v>
      </c>
      <c r="AA2738">
        <v>6.82</v>
      </c>
      <c r="AB2738">
        <v>22208</v>
      </c>
      <c r="AC2738">
        <v>20058</v>
      </c>
      <c r="AD2738">
        <v>1.1100000000000001</v>
      </c>
      <c r="AE2738">
        <v>28</v>
      </c>
      <c r="AF2738">
        <v>21</v>
      </c>
      <c r="AG2738" t="s">
        <v>120</v>
      </c>
      <c r="AH2738">
        <v>0</v>
      </c>
      <c r="AI2738" t="s">
        <v>120</v>
      </c>
      <c r="AJ2738">
        <v>3</v>
      </c>
      <c r="AK2738" t="s">
        <v>12304</v>
      </c>
      <c r="AL2738">
        <v>-1.96</v>
      </c>
      <c r="AM2738">
        <v>1596</v>
      </c>
      <c r="AN2738">
        <v>26</v>
      </c>
      <c r="AO2738">
        <v>8.9999999999999998E-4</v>
      </c>
      <c r="AP2738">
        <v>-1</v>
      </c>
      <c r="AQ2738">
        <v>1.75</v>
      </c>
      <c r="AR2738">
        <v>-3.99</v>
      </c>
      <c r="AS2738">
        <v>16.61</v>
      </c>
      <c r="AT2738">
        <v>4.82</v>
      </c>
      <c r="AU2738">
        <v>8.19</v>
      </c>
      <c r="AV2738">
        <v>0</v>
      </c>
      <c r="AW2738">
        <v>4.13</v>
      </c>
      <c r="AX2738">
        <v>34.090000000000003</v>
      </c>
      <c r="AY2738">
        <v>37.11</v>
      </c>
      <c r="AZ2738">
        <v>230.43</v>
      </c>
      <c r="BA2738">
        <v>0.31</v>
      </c>
      <c r="BB2738" t="s">
        <v>143</v>
      </c>
      <c r="BF2738">
        <v>-2.16</v>
      </c>
      <c r="BG2738">
        <v>-3.58</v>
      </c>
      <c r="BH2738">
        <v>-3.99</v>
      </c>
      <c r="BI2738">
        <v>0.6</v>
      </c>
      <c r="BJ2738">
        <v>20210826</v>
      </c>
      <c r="BK2738">
        <v>20040318</v>
      </c>
      <c r="BL2738">
        <v>3</v>
      </c>
      <c r="BM2738" t="s">
        <v>120</v>
      </c>
      <c r="BN2738" t="s">
        <v>120</v>
      </c>
      <c r="BO2738">
        <v>30.18</v>
      </c>
      <c r="BP2738">
        <v>6.74</v>
      </c>
      <c r="BQ2738">
        <v>12.7</v>
      </c>
      <c r="BR2738">
        <v>0.48</v>
      </c>
      <c r="BS2738">
        <v>56.36</v>
      </c>
      <c r="BT2738">
        <v>19.34</v>
      </c>
      <c r="BU2738">
        <v>1.1100000000000001</v>
      </c>
      <c r="BV2738">
        <v>0.12</v>
      </c>
      <c r="BW2738">
        <v>16.2</v>
      </c>
      <c r="BX2738">
        <v>1.93</v>
      </c>
      <c r="BY2738">
        <v>3.52</v>
      </c>
      <c r="BZ2738">
        <v>0.83</v>
      </c>
      <c r="CA2738">
        <v>1.95</v>
      </c>
      <c r="CB2738">
        <v>5.09</v>
      </c>
      <c r="CC2738">
        <v>4.84</v>
      </c>
      <c r="CD2738">
        <v>4.17</v>
      </c>
      <c r="CE2738">
        <v>0.25</v>
      </c>
      <c r="CF2738">
        <v>-0.06</v>
      </c>
      <c r="CG2738">
        <v>0.26</v>
      </c>
      <c r="CH2738">
        <v>0.24</v>
      </c>
      <c r="CI2738">
        <v>0.27</v>
      </c>
      <c r="CJ2738">
        <v>-0.23</v>
      </c>
      <c r="CK2738">
        <v>0.12</v>
      </c>
      <c r="CL2738">
        <v>3.85</v>
      </c>
      <c r="CM2738">
        <v>-1.32</v>
      </c>
      <c r="CN2738">
        <v>-1.54</v>
      </c>
      <c r="CO2738">
        <v>12362</v>
      </c>
      <c r="CP2738">
        <v>8272</v>
      </c>
      <c r="CQ2738" t="s">
        <v>11115</v>
      </c>
      <c r="CR2738">
        <v>228.24</v>
      </c>
      <c r="CS2738">
        <v>46.66</v>
      </c>
      <c r="CT2738">
        <v>1.59</v>
      </c>
      <c r="CU2738">
        <v>-15.32</v>
      </c>
      <c r="CV2738">
        <v>4.17</v>
      </c>
      <c r="CW2738">
        <v>0.14000000000000001</v>
      </c>
      <c r="CX2738" t="s">
        <v>329</v>
      </c>
      <c r="CY2738">
        <v>4.2300000000000004</v>
      </c>
      <c r="CZ2738">
        <v>0</v>
      </c>
      <c r="DA2738">
        <v>1.7</v>
      </c>
      <c r="DB2738">
        <v>1.28</v>
      </c>
      <c r="DC2738">
        <v>-0.44</v>
      </c>
      <c r="DD2738">
        <v>42.07</v>
      </c>
      <c r="DE2738" t="s">
        <v>3457</v>
      </c>
      <c r="DF2738">
        <v>13.97</v>
      </c>
      <c r="DG2738">
        <v>5.14</v>
      </c>
      <c r="DH2738">
        <v>5.48</v>
      </c>
      <c r="DI2738" t="s">
        <v>120</v>
      </c>
      <c r="DJ2738">
        <v>653</v>
      </c>
      <c r="DK2738">
        <v>600463</v>
      </c>
      <c r="DL2738" t="s">
        <v>120</v>
      </c>
      <c r="DM2738" t="s">
        <v>120</v>
      </c>
      <c r="DN2738" t="s">
        <v>120</v>
      </c>
    </row>
    <row r="2739" spans="1:118">
      <c r="A2739" t="str">
        <f>"600466"</f>
        <v>600466</v>
      </c>
      <c r="B2739" t="s">
        <v>12305</v>
      </c>
      <c r="C2739">
        <v>-2.61</v>
      </c>
      <c r="D2739">
        <v>0</v>
      </c>
      <c r="E2739">
        <v>0.43</v>
      </c>
      <c r="F2739">
        <v>7061</v>
      </c>
      <c r="G2739" t="s">
        <v>12306</v>
      </c>
      <c r="H2739">
        <v>10715.01</v>
      </c>
      <c r="I2739">
        <v>21.44</v>
      </c>
      <c r="J2739" t="s">
        <v>120</v>
      </c>
      <c r="K2739" t="s">
        <v>12307</v>
      </c>
      <c r="L2739">
        <v>1.55</v>
      </c>
      <c r="M2739">
        <v>2.2400000000000002</v>
      </c>
      <c r="N2739">
        <v>1.02</v>
      </c>
      <c r="O2739">
        <v>2.17</v>
      </c>
      <c r="P2739">
        <v>2.35</v>
      </c>
      <c r="Q2739">
        <v>-3.48</v>
      </c>
      <c r="R2739">
        <v>2.2200000000000002</v>
      </c>
      <c r="S2739">
        <v>2.31</v>
      </c>
      <c r="T2739">
        <v>470559</v>
      </c>
      <c r="U2739">
        <v>2.2400000000000002</v>
      </c>
      <c r="V2739">
        <v>2.2999999999999998</v>
      </c>
      <c r="W2739" t="s">
        <v>120</v>
      </c>
      <c r="X2739" t="s">
        <v>150</v>
      </c>
      <c r="Y2739" t="s">
        <v>578</v>
      </c>
      <c r="Z2739">
        <v>5.65</v>
      </c>
      <c r="AA2739">
        <v>2.2799999999999998</v>
      </c>
      <c r="AB2739">
        <v>250600</v>
      </c>
      <c r="AC2739">
        <v>219959</v>
      </c>
      <c r="AD2739">
        <v>1.1399999999999999</v>
      </c>
      <c r="AE2739">
        <v>5985</v>
      </c>
      <c r="AF2739">
        <v>2533</v>
      </c>
      <c r="AG2739" t="s">
        <v>120</v>
      </c>
      <c r="AH2739">
        <v>0.01</v>
      </c>
      <c r="AI2739" t="s">
        <v>120</v>
      </c>
      <c r="AJ2739">
        <v>30.35</v>
      </c>
      <c r="AK2739" t="s">
        <v>12307</v>
      </c>
      <c r="AL2739">
        <v>-1.26</v>
      </c>
      <c r="AM2739">
        <v>2945</v>
      </c>
      <c r="AN2739">
        <v>160</v>
      </c>
      <c r="AO2739">
        <v>5.0000000000000001E-4</v>
      </c>
      <c r="AP2739">
        <v>-1</v>
      </c>
      <c r="AQ2739">
        <v>0.44</v>
      </c>
      <c r="AR2739">
        <v>-4.67</v>
      </c>
      <c r="AS2739">
        <v>-9.68</v>
      </c>
      <c r="AT2739">
        <v>-25.09</v>
      </c>
      <c r="AU2739">
        <v>-51.62</v>
      </c>
      <c r="AV2739">
        <v>1</v>
      </c>
      <c r="AW2739">
        <v>3.63</v>
      </c>
      <c r="AX2739">
        <v>42.69</v>
      </c>
      <c r="AY2739" t="s">
        <v>120</v>
      </c>
      <c r="AZ2739">
        <v>2.11</v>
      </c>
      <c r="BA2739">
        <v>0.5</v>
      </c>
      <c r="BB2739" t="s">
        <v>143</v>
      </c>
      <c r="BF2739">
        <v>-1</v>
      </c>
      <c r="BG2739">
        <v>-3.03</v>
      </c>
      <c r="BH2739">
        <v>-4.68</v>
      </c>
      <c r="BI2739">
        <v>0.9</v>
      </c>
      <c r="BJ2739">
        <v>20210831</v>
      </c>
      <c r="BK2739">
        <v>20010212</v>
      </c>
      <c r="BL2739">
        <v>30.35</v>
      </c>
      <c r="BM2739" t="s">
        <v>120</v>
      </c>
      <c r="BN2739" t="s">
        <v>120</v>
      </c>
      <c r="BO2739">
        <v>2205.9299999999998</v>
      </c>
      <c r="BP2739">
        <v>2.23</v>
      </c>
      <c r="BQ2739">
        <v>108.22</v>
      </c>
      <c r="BR2739">
        <v>116.84</v>
      </c>
      <c r="BS2739">
        <v>89.8</v>
      </c>
      <c r="BT2739">
        <v>2064.7399999999998</v>
      </c>
      <c r="BU2739">
        <v>16.88</v>
      </c>
      <c r="BV2739">
        <v>4.21</v>
      </c>
      <c r="BW2739">
        <v>1696.02</v>
      </c>
      <c r="BX2739">
        <v>100.29</v>
      </c>
      <c r="BY2739">
        <v>1613.58</v>
      </c>
      <c r="BZ2739">
        <v>22.96</v>
      </c>
      <c r="CA2739" t="s">
        <v>120</v>
      </c>
      <c r="CB2739">
        <v>2.0499999999999998</v>
      </c>
      <c r="CC2739">
        <v>119.31</v>
      </c>
      <c r="CD2739">
        <v>125.56</v>
      </c>
      <c r="CE2739">
        <v>-49.71</v>
      </c>
      <c r="CF2739">
        <v>32.090000000000003</v>
      </c>
      <c r="CG2739">
        <v>-50.79</v>
      </c>
      <c r="CH2739">
        <v>-49.91</v>
      </c>
      <c r="CI2739">
        <v>-47.21</v>
      </c>
      <c r="CJ2739">
        <v>-0.06</v>
      </c>
      <c r="CK2739">
        <v>-73.09</v>
      </c>
      <c r="CL2739">
        <v>63.24</v>
      </c>
      <c r="CM2739">
        <v>5.21</v>
      </c>
      <c r="CN2739">
        <v>-196.05</v>
      </c>
      <c r="CO2739">
        <v>79400</v>
      </c>
      <c r="CP2739">
        <v>16318</v>
      </c>
      <c r="CQ2739" t="s">
        <v>3032</v>
      </c>
      <c r="CR2739">
        <v>-446.64</v>
      </c>
      <c r="CS2739">
        <v>-24.51</v>
      </c>
      <c r="CT2739">
        <v>0.63</v>
      </c>
      <c r="CU2739">
        <v>13.05</v>
      </c>
      <c r="CV2739">
        <v>0.56999999999999995</v>
      </c>
      <c r="CW2739">
        <v>3.7</v>
      </c>
      <c r="CX2739" t="s">
        <v>12308</v>
      </c>
      <c r="CY2739">
        <v>3.57</v>
      </c>
      <c r="CZ2739">
        <v>0</v>
      </c>
      <c r="DA2739">
        <v>7.0000000000000007E-2</v>
      </c>
      <c r="DB2739">
        <v>2.08</v>
      </c>
      <c r="DC2739">
        <v>0.17</v>
      </c>
      <c r="DD2739">
        <v>4.91</v>
      </c>
      <c r="DE2739" t="s">
        <v>12309</v>
      </c>
      <c r="DF2739">
        <v>-5.24</v>
      </c>
      <c r="DG2739">
        <v>-41.67</v>
      </c>
      <c r="DH2739">
        <v>-39.57</v>
      </c>
      <c r="DI2739">
        <v>0.13</v>
      </c>
      <c r="DJ2739">
        <v>19855</v>
      </c>
      <c r="DK2739">
        <v>600466</v>
      </c>
      <c r="DL2739" t="s">
        <v>120</v>
      </c>
      <c r="DM2739" t="s">
        <v>120</v>
      </c>
      <c r="DN2739" t="s">
        <v>120</v>
      </c>
    </row>
    <row r="2740" spans="1:118">
      <c r="A2740" t="str">
        <f>"600467"</f>
        <v>600467</v>
      </c>
      <c r="B2740" t="s">
        <v>12310</v>
      </c>
      <c r="C2740">
        <v>0.38</v>
      </c>
      <c r="D2740">
        <v>-0.37</v>
      </c>
      <c r="E2740">
        <v>0</v>
      </c>
      <c r="F2740">
        <v>2136</v>
      </c>
      <c r="G2740" t="s">
        <v>8173</v>
      </c>
      <c r="H2740">
        <v>12502.46</v>
      </c>
      <c r="I2740">
        <v>54.34</v>
      </c>
      <c r="J2740" t="s">
        <v>120</v>
      </c>
      <c r="K2740" t="s">
        <v>12311</v>
      </c>
      <c r="L2740">
        <v>3.2</v>
      </c>
      <c r="M2740">
        <v>2.64</v>
      </c>
      <c r="N2740">
        <v>1.96</v>
      </c>
      <c r="O2740">
        <v>3.04</v>
      </c>
      <c r="P2740">
        <v>2.71</v>
      </c>
      <c r="Q2740">
        <v>-0.38</v>
      </c>
      <c r="R2740">
        <v>2.62</v>
      </c>
      <c r="S2740">
        <v>2.63</v>
      </c>
      <c r="T2740">
        <v>467674</v>
      </c>
      <c r="U2740">
        <v>2.65</v>
      </c>
      <c r="V2740">
        <v>2.63</v>
      </c>
      <c r="W2740">
        <v>50.42</v>
      </c>
      <c r="X2740" t="s">
        <v>2008</v>
      </c>
      <c r="Y2740" t="s">
        <v>638</v>
      </c>
      <c r="Z2740">
        <v>3.42</v>
      </c>
      <c r="AA2740">
        <v>2.67</v>
      </c>
      <c r="AB2740">
        <v>198027</v>
      </c>
      <c r="AC2740">
        <v>269647</v>
      </c>
      <c r="AD2740">
        <v>0.73</v>
      </c>
      <c r="AE2740">
        <v>1636</v>
      </c>
      <c r="AF2740">
        <v>1958</v>
      </c>
      <c r="AG2740" t="s">
        <v>120</v>
      </c>
      <c r="AH2740">
        <v>0.02</v>
      </c>
      <c r="AI2740" t="s">
        <v>120</v>
      </c>
      <c r="AJ2740">
        <v>14.61</v>
      </c>
      <c r="AK2740" t="s">
        <v>12311</v>
      </c>
      <c r="AL2740">
        <v>1.72</v>
      </c>
      <c r="AM2740">
        <v>2771</v>
      </c>
      <c r="AN2740">
        <v>169</v>
      </c>
      <c r="AO2740">
        <v>1.1999999999999999E-3</v>
      </c>
      <c r="AP2740">
        <v>2</v>
      </c>
      <c r="AQ2740">
        <v>1.1499999999999999</v>
      </c>
      <c r="AR2740">
        <v>-0.76</v>
      </c>
      <c r="AS2740">
        <v>6.88</v>
      </c>
      <c r="AT2740">
        <v>0.88</v>
      </c>
      <c r="AU2740">
        <v>-5.95</v>
      </c>
      <c r="AV2740">
        <v>1</v>
      </c>
      <c r="AW2740">
        <v>5.36</v>
      </c>
      <c r="AX2740">
        <v>59.75</v>
      </c>
      <c r="AY2740">
        <v>60.63</v>
      </c>
      <c r="AZ2740">
        <v>61.73</v>
      </c>
      <c r="BA2740">
        <v>0.62</v>
      </c>
      <c r="BB2740" t="s">
        <v>143</v>
      </c>
      <c r="BF2740">
        <v>1.65</v>
      </c>
      <c r="BG2740">
        <v>0.38</v>
      </c>
      <c r="BH2740">
        <v>-2.58</v>
      </c>
      <c r="BI2740">
        <v>0.76</v>
      </c>
      <c r="BJ2740">
        <v>20210827</v>
      </c>
      <c r="BK2740">
        <v>20040405</v>
      </c>
      <c r="BL2740">
        <v>14.61</v>
      </c>
      <c r="BM2740" t="s">
        <v>120</v>
      </c>
      <c r="BN2740" t="s">
        <v>120</v>
      </c>
      <c r="BO2740">
        <v>65.34</v>
      </c>
      <c r="BP2740">
        <v>2.64</v>
      </c>
      <c r="BQ2740">
        <v>33.07</v>
      </c>
      <c r="BR2740">
        <v>0.13</v>
      </c>
      <c r="BS2740">
        <v>49.18</v>
      </c>
      <c r="BT2740">
        <v>20.57</v>
      </c>
      <c r="BU2740">
        <v>35.130000000000003</v>
      </c>
      <c r="BV2740">
        <v>1.31</v>
      </c>
      <c r="BW2740">
        <v>27.36</v>
      </c>
      <c r="BX2740">
        <v>7.15</v>
      </c>
      <c r="BY2740">
        <v>12.05</v>
      </c>
      <c r="BZ2740">
        <v>0.37</v>
      </c>
      <c r="CA2740" t="s">
        <v>120</v>
      </c>
      <c r="CB2740">
        <v>3.95</v>
      </c>
      <c r="CC2740">
        <v>6.59</v>
      </c>
      <c r="CD2740">
        <v>5.4</v>
      </c>
      <c r="CE2740">
        <v>0.34</v>
      </c>
      <c r="CF2740">
        <v>0.09</v>
      </c>
      <c r="CG2740">
        <v>0.35</v>
      </c>
      <c r="CH2740">
        <v>0.35</v>
      </c>
      <c r="CI2740">
        <v>0.38</v>
      </c>
      <c r="CJ2740">
        <v>0.01</v>
      </c>
      <c r="CK2740">
        <v>0.24</v>
      </c>
      <c r="CL2740">
        <v>11.1</v>
      </c>
      <c r="CM2740">
        <v>0.98</v>
      </c>
      <c r="CN2740">
        <v>-0.53</v>
      </c>
      <c r="CO2740">
        <v>78309</v>
      </c>
      <c r="CP2740">
        <v>11148</v>
      </c>
      <c r="CQ2740" t="s">
        <v>4461</v>
      </c>
      <c r="CR2740">
        <v>3.04</v>
      </c>
      <c r="CS2740">
        <v>3.7</v>
      </c>
      <c r="CT2740">
        <v>1.17</v>
      </c>
      <c r="CU2740">
        <v>39.31</v>
      </c>
      <c r="CV2740">
        <v>5.85</v>
      </c>
      <c r="CW2740">
        <v>0.49</v>
      </c>
      <c r="CX2740" t="s">
        <v>702</v>
      </c>
      <c r="CY2740">
        <v>2.2599999999999998</v>
      </c>
      <c r="CZ2740">
        <v>0</v>
      </c>
      <c r="DA2740">
        <v>0.27</v>
      </c>
      <c r="DB2740">
        <v>0.76</v>
      </c>
      <c r="DC2740">
        <v>7.0000000000000007E-2</v>
      </c>
      <c r="DD2740">
        <v>50.61</v>
      </c>
      <c r="DE2740" t="s">
        <v>5141</v>
      </c>
      <c r="DF2740">
        <v>18.149999999999999</v>
      </c>
      <c r="DG2740">
        <v>5.15</v>
      </c>
      <c r="DH2740">
        <v>5.8</v>
      </c>
      <c r="DI2740">
        <v>0.02</v>
      </c>
      <c r="DJ2740">
        <v>4468</v>
      </c>
      <c r="DK2740">
        <v>600467</v>
      </c>
      <c r="DL2740" t="s">
        <v>120</v>
      </c>
      <c r="DM2740" t="s">
        <v>120</v>
      </c>
      <c r="DN2740" t="s">
        <v>120</v>
      </c>
    </row>
    <row r="2741" spans="1:118">
      <c r="A2741" t="str">
        <f>"600468"</f>
        <v>600468</v>
      </c>
      <c r="B2741" t="s">
        <v>12312</v>
      </c>
      <c r="C2741">
        <v>-3.14</v>
      </c>
      <c r="D2741">
        <v>0.2</v>
      </c>
      <c r="E2741">
        <v>0</v>
      </c>
      <c r="F2741">
        <v>953</v>
      </c>
      <c r="G2741" t="s">
        <v>5818</v>
      </c>
      <c r="H2741">
        <v>8751.52</v>
      </c>
      <c r="I2741">
        <v>6.31</v>
      </c>
      <c r="J2741" t="s">
        <v>120</v>
      </c>
      <c r="K2741" t="s">
        <v>9755</v>
      </c>
      <c r="L2741">
        <v>1.55</v>
      </c>
      <c r="M2741">
        <v>4.93</v>
      </c>
      <c r="N2741">
        <v>0.91</v>
      </c>
      <c r="O2741">
        <v>1.57</v>
      </c>
      <c r="P2741">
        <v>5.17</v>
      </c>
      <c r="Q2741">
        <v>-3.34</v>
      </c>
      <c r="R2741">
        <v>4.92</v>
      </c>
      <c r="S2741">
        <v>5.09</v>
      </c>
      <c r="T2741">
        <v>174431</v>
      </c>
      <c r="U2741">
        <v>4.93</v>
      </c>
      <c r="V2741">
        <v>5.09</v>
      </c>
      <c r="W2741">
        <v>49.26</v>
      </c>
      <c r="X2741" t="s">
        <v>394</v>
      </c>
      <c r="Y2741" t="s">
        <v>997</v>
      </c>
      <c r="Z2741">
        <v>4.91</v>
      </c>
      <c r="AA2741">
        <v>5.0199999999999996</v>
      </c>
      <c r="AB2741">
        <v>103353</v>
      </c>
      <c r="AC2741">
        <v>71078</v>
      </c>
      <c r="AD2741">
        <v>1.45</v>
      </c>
      <c r="AE2741">
        <v>508</v>
      </c>
      <c r="AF2741">
        <v>188</v>
      </c>
      <c r="AG2741" t="s">
        <v>120</v>
      </c>
      <c r="AH2741">
        <v>0</v>
      </c>
      <c r="AI2741" t="s">
        <v>120</v>
      </c>
      <c r="AJ2741">
        <v>11.22</v>
      </c>
      <c r="AK2741" t="s">
        <v>9755</v>
      </c>
      <c r="AL2741">
        <v>-1.8</v>
      </c>
      <c r="AM2741">
        <v>2355</v>
      </c>
      <c r="AN2741">
        <v>74</v>
      </c>
      <c r="AO2741">
        <v>6.9999999999999999E-4</v>
      </c>
      <c r="AP2741">
        <v>-1</v>
      </c>
      <c r="AQ2741">
        <v>3.46</v>
      </c>
      <c r="AR2741">
        <v>-2.76</v>
      </c>
      <c r="AS2741">
        <v>8.11</v>
      </c>
      <c r="AT2741">
        <v>20.28</v>
      </c>
      <c r="AU2741">
        <v>12.59</v>
      </c>
      <c r="AV2741">
        <v>4</v>
      </c>
      <c r="AW2741">
        <v>3.55</v>
      </c>
      <c r="AX2741">
        <v>43.84</v>
      </c>
      <c r="AY2741">
        <v>45.5</v>
      </c>
      <c r="AZ2741">
        <v>51.93</v>
      </c>
      <c r="BA2741">
        <v>0.81</v>
      </c>
      <c r="BB2741" t="s">
        <v>184</v>
      </c>
      <c r="BF2741">
        <v>-1.43</v>
      </c>
      <c r="BG2741">
        <v>-3.14</v>
      </c>
      <c r="BH2741">
        <v>-4.6399999999999997</v>
      </c>
      <c r="BI2741">
        <v>0.2</v>
      </c>
      <c r="BJ2741">
        <v>20210819</v>
      </c>
      <c r="BK2741">
        <v>20010615</v>
      </c>
      <c r="BL2741">
        <v>11.22</v>
      </c>
      <c r="BM2741" t="s">
        <v>120</v>
      </c>
      <c r="BN2741" t="s">
        <v>120</v>
      </c>
      <c r="BO2741">
        <v>34.369999999999997</v>
      </c>
      <c r="BP2741">
        <v>4.92</v>
      </c>
      <c r="BQ2741">
        <v>18.36</v>
      </c>
      <c r="BR2741">
        <v>1.92</v>
      </c>
      <c r="BS2741">
        <v>40.99</v>
      </c>
      <c r="BT2741">
        <v>21.73</v>
      </c>
      <c r="BU2741">
        <v>4.75</v>
      </c>
      <c r="BV2741">
        <v>1.52</v>
      </c>
      <c r="BW2741">
        <v>13.64</v>
      </c>
      <c r="BX2741">
        <v>4.12</v>
      </c>
      <c r="BY2741">
        <v>5.77</v>
      </c>
      <c r="BZ2741">
        <v>8.85</v>
      </c>
      <c r="CA2741" t="s">
        <v>120</v>
      </c>
      <c r="CB2741">
        <v>4.4400000000000004</v>
      </c>
      <c r="CC2741">
        <v>11.17</v>
      </c>
      <c r="CD2741">
        <v>8.57</v>
      </c>
      <c r="CE2741">
        <v>0.8</v>
      </c>
      <c r="CF2741">
        <v>0.08</v>
      </c>
      <c r="CG2741">
        <v>0.8</v>
      </c>
      <c r="CH2741">
        <v>0.65</v>
      </c>
      <c r="CI2741">
        <v>0.56000000000000005</v>
      </c>
      <c r="CJ2741">
        <v>-0.16</v>
      </c>
      <c r="CK2741">
        <v>0.54</v>
      </c>
      <c r="CL2741">
        <v>3.95</v>
      </c>
      <c r="CM2741">
        <v>0.24</v>
      </c>
      <c r="CN2741">
        <v>-1.0900000000000001</v>
      </c>
      <c r="CO2741">
        <v>24859</v>
      </c>
      <c r="CP2741">
        <v>19786</v>
      </c>
      <c r="CQ2741" t="s">
        <v>8046</v>
      </c>
      <c r="CR2741">
        <v>38.270000000000003</v>
      </c>
      <c r="CS2741">
        <v>18.670000000000002</v>
      </c>
      <c r="CT2741">
        <v>3.01</v>
      </c>
      <c r="CU2741">
        <v>233.17</v>
      </c>
      <c r="CV2741">
        <v>4.95</v>
      </c>
      <c r="CW2741">
        <v>0.59</v>
      </c>
      <c r="CX2741" t="s">
        <v>1248</v>
      </c>
      <c r="CY2741">
        <v>1.64</v>
      </c>
      <c r="CZ2741">
        <v>0</v>
      </c>
      <c r="DA2741">
        <v>0.4</v>
      </c>
      <c r="DB2741">
        <v>0.35</v>
      </c>
      <c r="DC2741">
        <v>0.02</v>
      </c>
      <c r="DD2741">
        <v>53.41</v>
      </c>
      <c r="DE2741" t="s">
        <v>4082</v>
      </c>
      <c r="DF2741">
        <v>23.22</v>
      </c>
      <c r="DG2741">
        <v>7.12</v>
      </c>
      <c r="DH2741">
        <v>5.03</v>
      </c>
      <c r="DI2741">
        <v>0.49</v>
      </c>
      <c r="DJ2741">
        <v>2049</v>
      </c>
      <c r="DK2741">
        <v>600468</v>
      </c>
      <c r="DL2741" t="s">
        <v>120</v>
      </c>
      <c r="DM2741" t="s">
        <v>120</v>
      </c>
      <c r="DN2741" t="s">
        <v>120</v>
      </c>
    </row>
    <row r="2742" spans="1:118">
      <c r="A2742" t="str">
        <f>"600469"</f>
        <v>600469</v>
      </c>
      <c r="B2742" t="s">
        <v>12313</v>
      </c>
      <c r="C2742">
        <v>-0.84</v>
      </c>
      <c r="D2742">
        <v>0</v>
      </c>
      <c r="E2742">
        <v>0.42</v>
      </c>
      <c r="F2742">
        <v>246</v>
      </c>
      <c r="G2742" t="s">
        <v>5367</v>
      </c>
      <c r="H2742">
        <v>1783.78</v>
      </c>
      <c r="I2742">
        <v>0.1</v>
      </c>
      <c r="J2742" t="s">
        <v>120</v>
      </c>
      <c r="K2742" t="s">
        <v>1172</v>
      </c>
      <c r="L2742">
        <v>0.66</v>
      </c>
      <c r="M2742">
        <v>4.74</v>
      </c>
      <c r="N2742">
        <v>0.9</v>
      </c>
      <c r="O2742">
        <v>1.67</v>
      </c>
      <c r="P2742">
        <v>4.8600000000000003</v>
      </c>
      <c r="Q2742">
        <v>-1.46</v>
      </c>
      <c r="R2742">
        <v>4.71</v>
      </c>
      <c r="S2742">
        <v>4.8</v>
      </c>
      <c r="T2742">
        <v>37194</v>
      </c>
      <c r="U2742">
        <v>4.74</v>
      </c>
      <c r="V2742">
        <v>4.78</v>
      </c>
      <c r="W2742">
        <v>68.78</v>
      </c>
      <c r="X2742" t="s">
        <v>289</v>
      </c>
      <c r="Y2742" t="s">
        <v>645</v>
      </c>
      <c r="Z2742">
        <v>3.14</v>
      </c>
      <c r="AA2742">
        <v>4.8</v>
      </c>
      <c r="AB2742">
        <v>21118</v>
      </c>
      <c r="AC2742">
        <v>16076</v>
      </c>
      <c r="AD2742">
        <v>1.31</v>
      </c>
      <c r="AE2742">
        <v>1093</v>
      </c>
      <c r="AF2742">
        <v>358</v>
      </c>
      <c r="AG2742" t="s">
        <v>120</v>
      </c>
      <c r="AH2742">
        <v>0</v>
      </c>
      <c r="AI2742" t="s">
        <v>120</v>
      </c>
      <c r="AJ2742">
        <v>5.62</v>
      </c>
      <c r="AK2742" t="s">
        <v>1873</v>
      </c>
      <c r="AL2742">
        <v>0.51</v>
      </c>
      <c r="AM2742">
        <v>724</v>
      </c>
      <c r="AN2742">
        <v>51</v>
      </c>
      <c r="AO2742">
        <v>8.9999999999999998E-4</v>
      </c>
      <c r="AP2742">
        <v>-1</v>
      </c>
      <c r="AQ2742">
        <v>0.63</v>
      </c>
      <c r="AR2742">
        <v>-1.46</v>
      </c>
      <c r="AS2742">
        <v>4.87</v>
      </c>
      <c r="AT2742">
        <v>-3.27</v>
      </c>
      <c r="AU2742">
        <v>-10.56</v>
      </c>
      <c r="AV2742">
        <v>1</v>
      </c>
      <c r="AW2742">
        <v>1.19</v>
      </c>
      <c r="AX2742">
        <v>42.63</v>
      </c>
      <c r="AY2742">
        <v>25.33</v>
      </c>
      <c r="AZ2742">
        <v>17.38</v>
      </c>
      <c r="BA2742">
        <v>0.52</v>
      </c>
      <c r="BB2742" t="s">
        <v>143</v>
      </c>
      <c r="BF2742">
        <v>0.33</v>
      </c>
      <c r="BG2742">
        <v>-1.25</v>
      </c>
      <c r="BH2742">
        <v>-2.4700000000000002</v>
      </c>
      <c r="BI2742">
        <v>0.64</v>
      </c>
      <c r="BJ2742">
        <v>20210830</v>
      </c>
      <c r="BK2742">
        <v>20031021</v>
      </c>
      <c r="BL2742">
        <v>7.31</v>
      </c>
      <c r="BM2742" t="s">
        <v>120</v>
      </c>
      <c r="BN2742" t="s">
        <v>120</v>
      </c>
      <c r="BO2742">
        <v>84.2</v>
      </c>
      <c r="BP2742">
        <v>4.7300000000000004</v>
      </c>
      <c r="BQ2742">
        <v>28.86</v>
      </c>
      <c r="BR2742" t="s">
        <v>120</v>
      </c>
      <c r="BS2742">
        <v>65.72</v>
      </c>
      <c r="BT2742">
        <v>47.27</v>
      </c>
      <c r="BU2742">
        <v>28.26</v>
      </c>
      <c r="BV2742">
        <v>0.53</v>
      </c>
      <c r="BW2742">
        <v>50.71</v>
      </c>
      <c r="BX2742">
        <v>12.17</v>
      </c>
      <c r="BY2742">
        <v>10.96</v>
      </c>
      <c r="BZ2742">
        <v>9.94</v>
      </c>
      <c r="CA2742" t="s">
        <v>120</v>
      </c>
      <c r="CB2742">
        <v>23.15</v>
      </c>
      <c r="CC2742">
        <v>30.16</v>
      </c>
      <c r="CD2742">
        <v>26.49</v>
      </c>
      <c r="CE2742">
        <v>0.1</v>
      </c>
      <c r="CF2742">
        <v>0.11</v>
      </c>
      <c r="CG2742">
        <v>0.26</v>
      </c>
      <c r="CH2742">
        <v>0.25</v>
      </c>
      <c r="CI2742">
        <v>0.25</v>
      </c>
      <c r="CJ2742">
        <v>-0.04</v>
      </c>
      <c r="CK2742">
        <v>7.0000000000000007E-2</v>
      </c>
      <c r="CL2742">
        <v>-4.53</v>
      </c>
      <c r="CM2742">
        <v>1.97</v>
      </c>
      <c r="CN2742">
        <v>1.28</v>
      </c>
      <c r="CO2742">
        <v>23931</v>
      </c>
      <c r="CP2742">
        <v>13025</v>
      </c>
      <c r="CQ2742" t="s">
        <v>3881</v>
      </c>
      <c r="CR2742">
        <v>-71.459999999999994</v>
      </c>
      <c r="CS2742">
        <v>13.19</v>
      </c>
      <c r="CT2742">
        <v>1.2</v>
      </c>
      <c r="CU2742">
        <v>17.55</v>
      </c>
      <c r="CV2742">
        <v>1.1499999999999999</v>
      </c>
      <c r="CW2742">
        <v>1.25</v>
      </c>
      <c r="CX2742" t="s">
        <v>2074</v>
      </c>
      <c r="CY2742">
        <v>3.95</v>
      </c>
      <c r="CZ2742">
        <v>0</v>
      </c>
      <c r="DA2742">
        <v>3.17</v>
      </c>
      <c r="DB2742">
        <v>-0.62</v>
      </c>
      <c r="DC2742">
        <v>0.27</v>
      </c>
      <c r="DD2742">
        <v>34.28</v>
      </c>
      <c r="DE2742" t="s">
        <v>6204</v>
      </c>
      <c r="DF2742">
        <v>12.17</v>
      </c>
      <c r="DG2742">
        <v>0.35</v>
      </c>
      <c r="DH2742">
        <v>0.84</v>
      </c>
      <c r="DI2742">
        <v>1.41</v>
      </c>
      <c r="DJ2742">
        <v>6296</v>
      </c>
      <c r="DK2742">
        <v>600469</v>
      </c>
      <c r="DL2742" t="s">
        <v>120</v>
      </c>
      <c r="DM2742" t="s">
        <v>120</v>
      </c>
      <c r="DN2742" t="s">
        <v>120</v>
      </c>
    </row>
    <row r="2743" spans="1:118">
      <c r="A2743" t="str">
        <f>"600470"</f>
        <v>600470</v>
      </c>
      <c r="B2743" t="s">
        <v>12314</v>
      </c>
      <c r="C2743">
        <v>9.9700000000000006</v>
      </c>
      <c r="D2743">
        <v>0</v>
      </c>
      <c r="E2743">
        <v>0.9</v>
      </c>
      <c r="F2743">
        <v>1946</v>
      </c>
      <c r="G2743" t="s">
        <v>12315</v>
      </c>
      <c r="H2743">
        <v>110416.87</v>
      </c>
      <c r="I2743">
        <v>1773.17</v>
      </c>
      <c r="J2743">
        <v>3990.46</v>
      </c>
      <c r="K2743" t="s">
        <v>8509</v>
      </c>
      <c r="L2743">
        <v>22.34</v>
      </c>
      <c r="M2743">
        <v>9.82</v>
      </c>
      <c r="N2743">
        <v>1.4</v>
      </c>
      <c r="O2743">
        <v>9.9700000000000006</v>
      </c>
      <c r="P2743">
        <v>9.82</v>
      </c>
      <c r="Q2743">
        <v>0.9</v>
      </c>
      <c r="R2743">
        <v>9.01</v>
      </c>
      <c r="S2743">
        <v>9.01</v>
      </c>
      <c r="T2743">
        <v>1165007</v>
      </c>
      <c r="U2743" t="s">
        <v>120</v>
      </c>
      <c r="V2743">
        <v>8.93</v>
      </c>
      <c r="W2743">
        <v>16.809999999999999</v>
      </c>
      <c r="X2743" t="s">
        <v>690</v>
      </c>
      <c r="Y2743" t="s">
        <v>570</v>
      </c>
      <c r="Z2743">
        <v>9.07</v>
      </c>
      <c r="AA2743">
        <v>9.48</v>
      </c>
      <c r="AB2743">
        <v>545645</v>
      </c>
      <c r="AC2743">
        <v>619362</v>
      </c>
      <c r="AD2743">
        <v>0.88</v>
      </c>
      <c r="AE2743">
        <v>40636</v>
      </c>
      <c r="AF2743">
        <v>0</v>
      </c>
      <c r="AG2743" t="s">
        <v>120</v>
      </c>
      <c r="AH2743">
        <v>0.51</v>
      </c>
      <c r="AI2743">
        <v>0.03</v>
      </c>
      <c r="AJ2743">
        <v>5.22</v>
      </c>
      <c r="AK2743" t="s">
        <v>8509</v>
      </c>
      <c r="AL2743">
        <v>11.31</v>
      </c>
      <c r="AM2743">
        <v>4513</v>
      </c>
      <c r="AN2743">
        <v>258</v>
      </c>
      <c r="AO2743">
        <v>4.8999999999999998E-3</v>
      </c>
      <c r="AP2743">
        <v>4</v>
      </c>
      <c r="AQ2743">
        <v>9.98</v>
      </c>
      <c r="AR2743">
        <v>28.04</v>
      </c>
      <c r="AS2743">
        <v>67.58</v>
      </c>
      <c r="AT2743">
        <v>112.55</v>
      </c>
      <c r="AU2743">
        <v>135.49</v>
      </c>
      <c r="AV2743">
        <v>7</v>
      </c>
      <c r="AW2743">
        <v>29.98</v>
      </c>
      <c r="AX2743">
        <v>74.510000000000005</v>
      </c>
      <c r="AY2743">
        <v>18.29</v>
      </c>
      <c r="AZ2743">
        <v>27.73</v>
      </c>
      <c r="BA2743">
        <v>1.47</v>
      </c>
      <c r="BB2743" t="s">
        <v>184</v>
      </c>
      <c r="BF2743">
        <v>6.13</v>
      </c>
      <c r="BG2743">
        <v>8.99</v>
      </c>
      <c r="BH2743">
        <v>0</v>
      </c>
      <c r="BI2743">
        <v>8.99</v>
      </c>
      <c r="BJ2743">
        <v>20210731</v>
      </c>
      <c r="BK2743">
        <v>20040305</v>
      </c>
      <c r="BL2743">
        <v>5.22</v>
      </c>
      <c r="BM2743" t="s">
        <v>120</v>
      </c>
      <c r="BN2743" t="s">
        <v>120</v>
      </c>
      <c r="BO2743">
        <v>53</v>
      </c>
      <c r="BP2743">
        <v>9.82</v>
      </c>
      <c r="BQ2743">
        <v>15.27</v>
      </c>
      <c r="BR2743">
        <v>0.03</v>
      </c>
      <c r="BS2743">
        <v>71.14</v>
      </c>
      <c r="BT2743">
        <v>26.22</v>
      </c>
      <c r="BU2743">
        <v>22.46</v>
      </c>
      <c r="BV2743">
        <v>2.64</v>
      </c>
      <c r="BW2743">
        <v>35.659999999999997</v>
      </c>
      <c r="BX2743">
        <v>10.19</v>
      </c>
      <c r="BY2743">
        <v>9.32</v>
      </c>
      <c r="BZ2743">
        <v>1.99</v>
      </c>
      <c r="CA2743" t="s">
        <v>120</v>
      </c>
      <c r="CB2743">
        <v>12.96</v>
      </c>
      <c r="CC2743">
        <v>27.54</v>
      </c>
      <c r="CD2743">
        <v>23.45</v>
      </c>
      <c r="CE2743">
        <v>1.94</v>
      </c>
      <c r="CF2743">
        <v>0</v>
      </c>
      <c r="CG2743">
        <v>1.95</v>
      </c>
      <c r="CH2743">
        <v>1.92</v>
      </c>
      <c r="CI2743">
        <v>1.52</v>
      </c>
      <c r="CJ2743">
        <v>0.89</v>
      </c>
      <c r="CK2743">
        <v>1.31</v>
      </c>
      <c r="CL2743">
        <v>-4.4000000000000004</v>
      </c>
      <c r="CM2743">
        <v>3.88</v>
      </c>
      <c r="CN2743">
        <v>5.59</v>
      </c>
      <c r="CO2743">
        <v>35806</v>
      </c>
      <c r="CP2743">
        <v>10854</v>
      </c>
      <c r="CQ2743" t="s">
        <v>4421</v>
      </c>
      <c r="CR2743">
        <v>132.22999999999999</v>
      </c>
      <c r="CS2743">
        <v>21.35</v>
      </c>
      <c r="CT2743">
        <v>3.36</v>
      </c>
      <c r="CU2743">
        <v>13.22</v>
      </c>
      <c r="CV2743">
        <v>1.86</v>
      </c>
      <c r="CW2743">
        <v>0</v>
      </c>
      <c r="CX2743" t="s">
        <v>293</v>
      </c>
      <c r="CY2743">
        <v>2.93</v>
      </c>
      <c r="CZ2743">
        <v>0</v>
      </c>
      <c r="DA2743">
        <v>2.48</v>
      </c>
      <c r="DB2743">
        <v>-0.84</v>
      </c>
      <c r="DC2743">
        <v>0.74</v>
      </c>
      <c r="DD2743">
        <v>28.8</v>
      </c>
      <c r="DE2743" t="s">
        <v>12316</v>
      </c>
      <c r="DF2743">
        <v>14.86</v>
      </c>
      <c r="DG2743">
        <v>7.05</v>
      </c>
      <c r="DH2743">
        <v>5.53</v>
      </c>
      <c r="DI2743">
        <v>0.71</v>
      </c>
      <c r="DJ2743">
        <v>2599</v>
      </c>
      <c r="DK2743">
        <v>600470</v>
      </c>
      <c r="DL2743">
        <v>20210915</v>
      </c>
      <c r="DM2743">
        <v>8.93</v>
      </c>
      <c r="DN2743">
        <v>9.9700000000000006</v>
      </c>
    </row>
    <row r="2744" spans="1:118">
      <c r="A2744" t="str">
        <f>"600475"</f>
        <v>600475</v>
      </c>
      <c r="B2744" t="s">
        <v>12317</v>
      </c>
      <c r="C2744">
        <v>-2.65</v>
      </c>
      <c r="D2744">
        <v>0.08</v>
      </c>
      <c r="E2744">
        <v>0.32</v>
      </c>
      <c r="F2744">
        <v>757</v>
      </c>
      <c r="G2744" t="s">
        <v>12318</v>
      </c>
      <c r="H2744">
        <v>9027.27</v>
      </c>
      <c r="I2744">
        <v>62.15</v>
      </c>
      <c r="J2744" t="s">
        <v>120</v>
      </c>
      <c r="K2744" t="s">
        <v>12319</v>
      </c>
      <c r="L2744">
        <v>1.05</v>
      </c>
      <c r="M2744">
        <v>12.11</v>
      </c>
      <c r="N2744">
        <v>0.71</v>
      </c>
      <c r="O2744">
        <v>0.32</v>
      </c>
      <c r="P2744">
        <v>12.48</v>
      </c>
      <c r="Q2744">
        <v>-3.46</v>
      </c>
      <c r="R2744">
        <v>12.01</v>
      </c>
      <c r="S2744">
        <v>12.48</v>
      </c>
      <c r="T2744">
        <v>74178</v>
      </c>
      <c r="U2744">
        <v>12.12</v>
      </c>
      <c r="V2744">
        <v>12.44</v>
      </c>
      <c r="W2744">
        <v>11.55</v>
      </c>
      <c r="X2744" t="s">
        <v>318</v>
      </c>
      <c r="Y2744" t="s">
        <v>319</v>
      </c>
      <c r="Z2744">
        <v>3.78</v>
      </c>
      <c r="AA2744">
        <v>12.17</v>
      </c>
      <c r="AB2744">
        <v>51777</v>
      </c>
      <c r="AC2744">
        <v>22401</v>
      </c>
      <c r="AD2744">
        <v>2.31</v>
      </c>
      <c r="AE2744">
        <v>304</v>
      </c>
      <c r="AF2744">
        <v>39</v>
      </c>
      <c r="AG2744" t="s">
        <v>120</v>
      </c>
      <c r="AH2744">
        <v>0.03</v>
      </c>
      <c r="AI2744" t="s">
        <v>120</v>
      </c>
      <c r="AJ2744">
        <v>7.07</v>
      </c>
      <c r="AK2744" t="s">
        <v>12320</v>
      </c>
      <c r="AL2744">
        <v>-1.31</v>
      </c>
      <c r="AM2744">
        <v>2494</v>
      </c>
      <c r="AN2744">
        <v>30</v>
      </c>
      <c r="AO2744">
        <v>4.0000000000000002E-4</v>
      </c>
      <c r="AP2744">
        <v>-1</v>
      </c>
      <c r="AQ2744">
        <v>3.32</v>
      </c>
      <c r="AR2744">
        <v>-1.1399999999999999</v>
      </c>
      <c r="AS2744">
        <v>10.8</v>
      </c>
      <c r="AT2744">
        <v>19.079999999999998</v>
      </c>
      <c r="AU2744">
        <v>42.47</v>
      </c>
      <c r="AV2744">
        <v>3</v>
      </c>
      <c r="AW2744">
        <v>4.28</v>
      </c>
      <c r="AX2744">
        <v>23.82</v>
      </c>
      <c r="AY2744">
        <v>13.72</v>
      </c>
      <c r="AZ2744">
        <v>14.98</v>
      </c>
      <c r="BA2744">
        <v>0.61</v>
      </c>
      <c r="BB2744" t="s">
        <v>700</v>
      </c>
      <c r="BF2744">
        <v>-2.17</v>
      </c>
      <c r="BG2744">
        <v>-2.96</v>
      </c>
      <c r="BH2744">
        <v>-2.96</v>
      </c>
      <c r="BI2744">
        <v>0.83</v>
      </c>
      <c r="BJ2744">
        <v>20210826</v>
      </c>
      <c r="BK2744">
        <v>20030721</v>
      </c>
      <c r="BL2744">
        <v>7.27</v>
      </c>
      <c r="BM2744" t="s">
        <v>120</v>
      </c>
      <c r="BN2744" t="s">
        <v>120</v>
      </c>
      <c r="BO2744">
        <v>164.08</v>
      </c>
      <c r="BP2744">
        <v>12.11</v>
      </c>
      <c r="BQ2744">
        <v>73.27</v>
      </c>
      <c r="BR2744">
        <v>7.2</v>
      </c>
      <c r="BS2744">
        <v>50.95</v>
      </c>
      <c r="BT2744">
        <v>74.650000000000006</v>
      </c>
      <c r="BU2744">
        <v>17.059999999999999</v>
      </c>
      <c r="BV2744">
        <v>15.12</v>
      </c>
      <c r="BW2744">
        <v>70.7</v>
      </c>
      <c r="BX2744">
        <v>19.64</v>
      </c>
      <c r="BY2744">
        <v>6.66</v>
      </c>
      <c r="BZ2744">
        <v>15.29</v>
      </c>
      <c r="CA2744">
        <v>0.03</v>
      </c>
      <c r="CB2744">
        <v>1.83</v>
      </c>
      <c r="CC2744">
        <v>36.56</v>
      </c>
      <c r="CD2744">
        <v>30.16</v>
      </c>
      <c r="CE2744">
        <v>4.6500000000000004</v>
      </c>
      <c r="CF2744">
        <v>2.2400000000000002</v>
      </c>
      <c r="CG2744">
        <v>4.71</v>
      </c>
      <c r="CH2744">
        <v>4.09</v>
      </c>
      <c r="CI2744">
        <v>3.81</v>
      </c>
      <c r="CJ2744">
        <v>-0.33</v>
      </c>
      <c r="CK2744">
        <v>3.69</v>
      </c>
      <c r="CL2744">
        <v>44.12</v>
      </c>
      <c r="CM2744">
        <v>1.73</v>
      </c>
      <c r="CN2744">
        <v>2.57</v>
      </c>
      <c r="CO2744">
        <v>18180</v>
      </c>
      <c r="CP2744">
        <v>9522</v>
      </c>
      <c r="CQ2744" t="s">
        <v>12321</v>
      </c>
      <c r="CR2744">
        <v>17.100000000000001</v>
      </c>
      <c r="CS2744">
        <v>41.18</v>
      </c>
      <c r="CT2744">
        <v>1.2</v>
      </c>
      <c r="CU2744">
        <v>50.73</v>
      </c>
      <c r="CV2744">
        <v>2.41</v>
      </c>
      <c r="CW2744">
        <v>2.16</v>
      </c>
      <c r="CX2744" t="s">
        <v>948</v>
      </c>
      <c r="CY2744">
        <v>10.08</v>
      </c>
      <c r="CZ2744">
        <v>0</v>
      </c>
      <c r="DA2744">
        <v>0.25</v>
      </c>
      <c r="DB2744">
        <v>6.07</v>
      </c>
      <c r="DC2744">
        <v>0.24</v>
      </c>
      <c r="DD2744">
        <v>44.66</v>
      </c>
      <c r="DE2744" t="s">
        <v>5226</v>
      </c>
      <c r="DF2744">
        <v>17.52</v>
      </c>
      <c r="DG2744">
        <v>12.71</v>
      </c>
      <c r="DH2744">
        <v>10.42</v>
      </c>
      <c r="DI2744">
        <v>1.05</v>
      </c>
      <c r="DJ2744">
        <v>3720</v>
      </c>
      <c r="DK2744">
        <v>600475</v>
      </c>
      <c r="DL2744" t="s">
        <v>120</v>
      </c>
      <c r="DM2744" t="s">
        <v>120</v>
      </c>
      <c r="DN2744" t="s">
        <v>120</v>
      </c>
    </row>
    <row r="2745" spans="1:118">
      <c r="A2745" t="str">
        <f>"600476"</f>
        <v>600476</v>
      </c>
      <c r="B2745" t="s">
        <v>12322</v>
      </c>
      <c r="C2745">
        <v>-0.64</v>
      </c>
      <c r="D2745">
        <v>0</v>
      </c>
      <c r="E2745">
        <v>-0.46</v>
      </c>
      <c r="F2745">
        <v>314</v>
      </c>
      <c r="G2745" t="s">
        <v>4399</v>
      </c>
      <c r="H2745">
        <v>3490.13</v>
      </c>
      <c r="I2745">
        <v>20.66</v>
      </c>
      <c r="J2745" t="s">
        <v>120</v>
      </c>
      <c r="K2745" t="s">
        <v>8947</v>
      </c>
      <c r="L2745">
        <v>1.96</v>
      </c>
      <c r="M2745">
        <v>10.91</v>
      </c>
      <c r="N2745">
        <v>1.04</v>
      </c>
      <c r="O2745">
        <v>2.46</v>
      </c>
      <c r="P2745">
        <v>11.25</v>
      </c>
      <c r="Q2745">
        <v>-1.28</v>
      </c>
      <c r="R2745">
        <v>10.84</v>
      </c>
      <c r="S2745">
        <v>10.93</v>
      </c>
      <c r="T2745">
        <v>31557</v>
      </c>
      <c r="U2745">
        <v>10.92</v>
      </c>
      <c r="V2745">
        <v>10.98</v>
      </c>
      <c r="W2745" t="s">
        <v>120</v>
      </c>
      <c r="X2745" t="s">
        <v>141</v>
      </c>
      <c r="Y2745" t="s">
        <v>594</v>
      </c>
      <c r="Z2745">
        <v>3.73</v>
      </c>
      <c r="AA2745">
        <v>11.06</v>
      </c>
      <c r="AB2745">
        <v>16547</v>
      </c>
      <c r="AC2745">
        <v>15010</v>
      </c>
      <c r="AD2745">
        <v>1.1000000000000001</v>
      </c>
      <c r="AE2745">
        <v>97</v>
      </c>
      <c r="AF2745">
        <v>108</v>
      </c>
      <c r="AG2745" t="s">
        <v>120</v>
      </c>
      <c r="AH2745">
        <v>0.02</v>
      </c>
      <c r="AI2745" t="s">
        <v>120</v>
      </c>
      <c r="AJ2745">
        <v>1.61</v>
      </c>
      <c r="AK2745" t="s">
        <v>8947</v>
      </c>
      <c r="AL2745">
        <v>0.71</v>
      </c>
      <c r="AM2745">
        <v>1370</v>
      </c>
      <c r="AN2745">
        <v>23</v>
      </c>
      <c r="AO2745">
        <v>1.4E-3</v>
      </c>
      <c r="AP2745">
        <v>-2</v>
      </c>
      <c r="AQ2745">
        <v>-0.54</v>
      </c>
      <c r="AR2745">
        <v>0.93</v>
      </c>
      <c r="AS2745">
        <v>3.42</v>
      </c>
      <c r="AT2745">
        <v>1.87</v>
      </c>
      <c r="AU2745">
        <v>4.4000000000000004</v>
      </c>
      <c r="AV2745">
        <v>2</v>
      </c>
      <c r="AW2745">
        <v>3.23</v>
      </c>
      <c r="AX2745">
        <v>60.66</v>
      </c>
      <c r="AY2745">
        <v>178.63</v>
      </c>
      <c r="AZ2745">
        <v>400.23</v>
      </c>
      <c r="BA2745">
        <v>0.12</v>
      </c>
      <c r="BB2745" t="s">
        <v>184</v>
      </c>
      <c r="BF2745">
        <v>0.73</v>
      </c>
      <c r="BG2745">
        <v>-0.18</v>
      </c>
      <c r="BH2745">
        <v>-3.02</v>
      </c>
      <c r="BI2745">
        <v>0.65</v>
      </c>
      <c r="BJ2745">
        <v>20210806</v>
      </c>
      <c r="BK2745">
        <v>20031210</v>
      </c>
      <c r="BL2745">
        <v>1.61</v>
      </c>
      <c r="BM2745" t="s">
        <v>120</v>
      </c>
      <c r="BN2745" t="s">
        <v>120</v>
      </c>
      <c r="BO2745">
        <v>4.9800000000000004</v>
      </c>
      <c r="BP2745">
        <v>10.91</v>
      </c>
      <c r="BQ2745">
        <v>1.55</v>
      </c>
      <c r="BR2745" t="s">
        <v>120</v>
      </c>
      <c r="BS2745">
        <v>68.930000000000007</v>
      </c>
      <c r="BT2745">
        <v>3.91</v>
      </c>
      <c r="BU2745">
        <v>0.39</v>
      </c>
      <c r="BV2745">
        <v>0.02</v>
      </c>
      <c r="BW2745">
        <v>2.98</v>
      </c>
      <c r="BX2745">
        <v>0.74</v>
      </c>
      <c r="BY2745">
        <v>0.72</v>
      </c>
      <c r="BZ2745">
        <v>1.49</v>
      </c>
      <c r="CA2745" t="s">
        <v>120</v>
      </c>
      <c r="CB2745">
        <v>1.36</v>
      </c>
      <c r="CC2745">
        <v>1.63</v>
      </c>
      <c r="CD2745">
        <v>1.35</v>
      </c>
      <c r="CE2745">
        <v>-0.05</v>
      </c>
      <c r="CF2745">
        <v>0</v>
      </c>
      <c r="CG2745">
        <v>-0.05</v>
      </c>
      <c r="CH2745">
        <v>-0.04</v>
      </c>
      <c r="CI2745">
        <v>-0.04</v>
      </c>
      <c r="CJ2745">
        <v>-7.0000000000000007E-2</v>
      </c>
      <c r="CK2745">
        <v>-0.04</v>
      </c>
      <c r="CL2745">
        <v>-1.56</v>
      </c>
      <c r="CM2745">
        <v>-0.78</v>
      </c>
      <c r="CN2745">
        <v>-0.46</v>
      </c>
      <c r="CO2745">
        <v>21425</v>
      </c>
      <c r="CP2745">
        <v>4561</v>
      </c>
      <c r="CQ2745" t="s">
        <v>6713</v>
      </c>
      <c r="CR2745">
        <v>57.58</v>
      </c>
      <c r="CS2745">
        <v>56.64</v>
      </c>
      <c r="CT2745">
        <v>11.37</v>
      </c>
      <c r="CU2745">
        <v>-22.46</v>
      </c>
      <c r="CV2745">
        <v>10.75</v>
      </c>
      <c r="CW2745">
        <v>0</v>
      </c>
      <c r="CX2745" t="s">
        <v>12323</v>
      </c>
      <c r="CY2745">
        <v>0.96</v>
      </c>
      <c r="CZ2745">
        <v>0</v>
      </c>
      <c r="DA2745">
        <v>0.84</v>
      </c>
      <c r="DB2745">
        <v>-0.97</v>
      </c>
      <c r="DC2745">
        <v>-0.49</v>
      </c>
      <c r="DD2745">
        <v>31.07</v>
      </c>
      <c r="DE2745" t="s">
        <v>6914</v>
      </c>
      <c r="DF2745">
        <v>17.2</v>
      </c>
      <c r="DG2745">
        <v>-2.81</v>
      </c>
      <c r="DH2745">
        <v>-2.4700000000000002</v>
      </c>
      <c r="DI2745">
        <v>0.04</v>
      </c>
      <c r="DJ2745">
        <v>518</v>
      </c>
      <c r="DK2745">
        <v>600476</v>
      </c>
      <c r="DL2745" t="s">
        <v>120</v>
      </c>
      <c r="DM2745" t="s">
        <v>120</v>
      </c>
      <c r="DN2745" t="s">
        <v>120</v>
      </c>
    </row>
    <row r="2746" spans="1:118">
      <c r="A2746" t="str">
        <f>"600477"</f>
        <v>600477</v>
      </c>
      <c r="B2746" t="s">
        <v>12324</v>
      </c>
      <c r="C2746">
        <v>-2.97</v>
      </c>
      <c r="D2746">
        <v>0.26</v>
      </c>
      <c r="E2746">
        <v>0.99</v>
      </c>
      <c r="F2746">
        <v>2360</v>
      </c>
      <c r="G2746" t="s">
        <v>12325</v>
      </c>
      <c r="H2746">
        <v>11338.35</v>
      </c>
      <c r="I2746">
        <v>74.95</v>
      </c>
      <c r="J2746" t="s">
        <v>120</v>
      </c>
      <c r="K2746" t="s">
        <v>12326</v>
      </c>
      <c r="L2746">
        <v>1.31</v>
      </c>
      <c r="M2746">
        <v>3.92</v>
      </c>
      <c r="N2746">
        <v>0.75</v>
      </c>
      <c r="O2746">
        <v>1.98</v>
      </c>
      <c r="P2746">
        <v>4.12</v>
      </c>
      <c r="Q2746">
        <v>-3.22</v>
      </c>
      <c r="R2746">
        <v>3.91</v>
      </c>
      <c r="S2746">
        <v>4.08</v>
      </c>
      <c r="T2746">
        <v>282455</v>
      </c>
      <c r="U2746">
        <v>3.93</v>
      </c>
      <c r="V2746">
        <v>4.04</v>
      </c>
      <c r="W2746">
        <v>23.49</v>
      </c>
      <c r="X2746" t="s">
        <v>1925</v>
      </c>
      <c r="Y2746" t="s">
        <v>585</v>
      </c>
      <c r="Z2746">
        <v>5.2</v>
      </c>
      <c r="AA2746">
        <v>4.01</v>
      </c>
      <c r="AB2746">
        <v>182621</v>
      </c>
      <c r="AC2746">
        <v>99834</v>
      </c>
      <c r="AD2746">
        <v>1.83</v>
      </c>
      <c r="AE2746">
        <v>871</v>
      </c>
      <c r="AF2746">
        <v>718</v>
      </c>
      <c r="AG2746" t="s">
        <v>120</v>
      </c>
      <c r="AH2746">
        <v>0.01</v>
      </c>
      <c r="AI2746" t="s">
        <v>120</v>
      </c>
      <c r="AJ2746">
        <v>21.54</v>
      </c>
      <c r="AK2746" t="s">
        <v>7217</v>
      </c>
      <c r="AL2746">
        <v>-1.63</v>
      </c>
      <c r="AM2746">
        <v>2564</v>
      </c>
      <c r="AN2746">
        <v>110</v>
      </c>
      <c r="AO2746">
        <v>5.0000000000000001E-4</v>
      </c>
      <c r="AP2746">
        <v>-1</v>
      </c>
      <c r="AQ2746">
        <v>0.75</v>
      </c>
      <c r="AR2746">
        <v>-5.54</v>
      </c>
      <c r="AS2746">
        <v>3.43</v>
      </c>
      <c r="AT2746">
        <v>6.81</v>
      </c>
      <c r="AU2746">
        <v>7.55</v>
      </c>
      <c r="AV2746">
        <v>1</v>
      </c>
      <c r="AW2746">
        <v>2.29</v>
      </c>
      <c r="AX2746">
        <v>57.29</v>
      </c>
      <c r="AY2746">
        <v>20.43</v>
      </c>
      <c r="AZ2746">
        <v>12.02</v>
      </c>
      <c r="BA2746">
        <v>0.39</v>
      </c>
      <c r="BB2746" t="s">
        <v>143</v>
      </c>
      <c r="BF2746">
        <v>-0.64</v>
      </c>
      <c r="BG2746">
        <v>-3.92</v>
      </c>
      <c r="BH2746">
        <v>-4.8499999999999996</v>
      </c>
      <c r="BI2746">
        <v>0.26</v>
      </c>
      <c r="BJ2746">
        <v>20210901</v>
      </c>
      <c r="BK2746">
        <v>20031110</v>
      </c>
      <c r="BL2746">
        <v>21.54</v>
      </c>
      <c r="BM2746" t="s">
        <v>120</v>
      </c>
      <c r="BN2746" t="s">
        <v>120</v>
      </c>
      <c r="BO2746">
        <v>101.47</v>
      </c>
      <c r="BP2746">
        <v>3.92</v>
      </c>
      <c r="BQ2746">
        <v>40.049999999999997</v>
      </c>
      <c r="BR2746">
        <v>2.64</v>
      </c>
      <c r="BS2746">
        <v>57.93</v>
      </c>
      <c r="BT2746">
        <v>70.37</v>
      </c>
      <c r="BU2746">
        <v>12.06</v>
      </c>
      <c r="BV2746">
        <v>3.16</v>
      </c>
      <c r="BW2746">
        <v>56.17</v>
      </c>
      <c r="BX2746">
        <v>4.5999999999999996</v>
      </c>
      <c r="BY2746">
        <v>9.17</v>
      </c>
      <c r="BZ2746">
        <v>11.97</v>
      </c>
      <c r="CA2746">
        <v>0.01</v>
      </c>
      <c r="CB2746">
        <v>1.38</v>
      </c>
      <c r="CC2746">
        <v>43.43</v>
      </c>
      <c r="CD2746">
        <v>37.11</v>
      </c>
      <c r="CE2746">
        <v>2.2799999999999998</v>
      </c>
      <c r="CF2746">
        <v>0.04</v>
      </c>
      <c r="CG2746">
        <v>2.34</v>
      </c>
      <c r="CH2746">
        <v>1.94</v>
      </c>
      <c r="CI2746">
        <v>1.8</v>
      </c>
      <c r="CJ2746">
        <v>-0.12</v>
      </c>
      <c r="CK2746">
        <v>1.69</v>
      </c>
      <c r="CL2746">
        <v>13.34</v>
      </c>
      <c r="CM2746">
        <v>-5.0599999999999996</v>
      </c>
      <c r="CN2746">
        <v>-1.1000000000000001</v>
      </c>
      <c r="CO2746">
        <v>64943</v>
      </c>
      <c r="CP2746">
        <v>19001</v>
      </c>
      <c r="CQ2746" t="s">
        <v>8081</v>
      </c>
      <c r="CR2746">
        <v>-62.38</v>
      </c>
      <c r="CS2746">
        <v>55.69</v>
      </c>
      <c r="CT2746">
        <v>2.11</v>
      </c>
      <c r="CU2746">
        <v>-16.670000000000002</v>
      </c>
      <c r="CV2746">
        <v>1.94</v>
      </c>
      <c r="CW2746">
        <v>2.6</v>
      </c>
      <c r="CX2746" t="s">
        <v>535</v>
      </c>
      <c r="CY2746">
        <v>1.86</v>
      </c>
      <c r="CZ2746">
        <v>0</v>
      </c>
      <c r="DA2746">
        <v>0.06</v>
      </c>
      <c r="DB2746">
        <v>0.62</v>
      </c>
      <c r="DC2746">
        <v>-0.24</v>
      </c>
      <c r="DD2746">
        <v>39.47</v>
      </c>
      <c r="DE2746" t="s">
        <v>4105</v>
      </c>
      <c r="DF2746">
        <v>14.56</v>
      </c>
      <c r="DG2746">
        <v>5.25</v>
      </c>
      <c r="DH2746">
        <v>4.1399999999999997</v>
      </c>
      <c r="DI2746">
        <v>1.56</v>
      </c>
      <c r="DJ2746">
        <v>5031</v>
      </c>
      <c r="DK2746">
        <v>600477</v>
      </c>
      <c r="DL2746" t="s">
        <v>120</v>
      </c>
      <c r="DM2746" t="s">
        <v>120</v>
      </c>
      <c r="DN2746" t="s">
        <v>120</v>
      </c>
    </row>
    <row r="2747" spans="1:118">
      <c r="A2747" t="str">
        <f>"600478"</f>
        <v>600478</v>
      </c>
      <c r="B2747" t="s">
        <v>12327</v>
      </c>
      <c r="C2747">
        <v>-9.61</v>
      </c>
      <c r="D2747">
        <v>0</v>
      </c>
      <c r="E2747">
        <v>-0.13</v>
      </c>
      <c r="F2747">
        <v>9561</v>
      </c>
      <c r="G2747" t="s">
        <v>12328</v>
      </c>
      <c r="H2747">
        <v>55066.92</v>
      </c>
      <c r="I2747">
        <v>49.53</v>
      </c>
      <c r="J2747" t="s">
        <v>120</v>
      </c>
      <c r="K2747" t="s">
        <v>12329</v>
      </c>
      <c r="L2747">
        <v>4.59</v>
      </c>
      <c r="M2747">
        <v>7.15</v>
      </c>
      <c r="N2747">
        <v>1.6</v>
      </c>
      <c r="O2747">
        <v>0.76</v>
      </c>
      <c r="P2747">
        <v>7.97</v>
      </c>
      <c r="Q2747">
        <v>-9.99</v>
      </c>
      <c r="R2747">
        <v>7.12</v>
      </c>
      <c r="S2747">
        <v>7.9</v>
      </c>
      <c r="T2747">
        <v>736507</v>
      </c>
      <c r="U2747">
        <v>7.15</v>
      </c>
      <c r="V2747">
        <v>7.91</v>
      </c>
      <c r="W2747">
        <v>168.23</v>
      </c>
      <c r="X2747" t="s">
        <v>229</v>
      </c>
      <c r="Y2747" t="s">
        <v>594</v>
      </c>
      <c r="Z2747">
        <v>10.75</v>
      </c>
      <c r="AA2747">
        <v>7.48</v>
      </c>
      <c r="AB2747">
        <v>444297</v>
      </c>
      <c r="AC2747">
        <v>292210</v>
      </c>
      <c r="AD2747">
        <v>1.52</v>
      </c>
      <c r="AE2747">
        <v>2003</v>
      </c>
      <c r="AF2747">
        <v>9</v>
      </c>
      <c r="AG2747" t="s">
        <v>120</v>
      </c>
      <c r="AH2747">
        <v>0.01</v>
      </c>
      <c r="AI2747" t="s">
        <v>120</v>
      </c>
      <c r="AJ2747">
        <v>16.04</v>
      </c>
      <c r="AK2747" t="s">
        <v>6696</v>
      </c>
      <c r="AL2747">
        <v>-8.26</v>
      </c>
      <c r="AM2747">
        <v>4324</v>
      </c>
      <c r="AN2747">
        <v>170</v>
      </c>
      <c r="AO2747">
        <v>1.1000000000000001E-3</v>
      </c>
      <c r="AP2747">
        <v>-1</v>
      </c>
      <c r="AQ2747">
        <v>0.38</v>
      </c>
      <c r="AR2747">
        <v>-4.79</v>
      </c>
      <c r="AS2747">
        <v>10.34</v>
      </c>
      <c r="AT2747">
        <v>43.58</v>
      </c>
      <c r="AU2747">
        <v>45.92</v>
      </c>
      <c r="AV2747">
        <v>3</v>
      </c>
      <c r="AW2747">
        <v>6.33</v>
      </c>
      <c r="AX2747">
        <v>70.39</v>
      </c>
      <c r="AY2747">
        <v>70.12</v>
      </c>
      <c r="AZ2747">
        <v>235.76</v>
      </c>
      <c r="BA2747">
        <v>1.18</v>
      </c>
      <c r="BB2747" t="s">
        <v>184</v>
      </c>
      <c r="BF2747">
        <v>-5.48</v>
      </c>
      <c r="BG2747">
        <v>-9.49</v>
      </c>
      <c r="BH2747">
        <v>-10.29</v>
      </c>
      <c r="BI2747">
        <v>0.42</v>
      </c>
      <c r="BJ2747">
        <v>20210826</v>
      </c>
      <c r="BK2747">
        <v>20030918</v>
      </c>
      <c r="BL2747">
        <v>16.53</v>
      </c>
      <c r="BM2747" t="s">
        <v>120</v>
      </c>
      <c r="BN2747" t="s">
        <v>120</v>
      </c>
      <c r="BO2747">
        <v>63.15</v>
      </c>
      <c r="BP2747">
        <v>7.14</v>
      </c>
      <c r="BQ2747">
        <v>25.82</v>
      </c>
      <c r="BR2747">
        <v>4.7</v>
      </c>
      <c r="BS2747">
        <v>51.68</v>
      </c>
      <c r="BT2747">
        <v>16.52</v>
      </c>
      <c r="BU2747">
        <v>18.23</v>
      </c>
      <c r="BV2747">
        <v>11.68</v>
      </c>
      <c r="BW2747">
        <v>17.329999999999998</v>
      </c>
      <c r="BX2747">
        <v>7.61</v>
      </c>
      <c r="BY2747">
        <v>2.84</v>
      </c>
      <c r="BZ2747">
        <v>4.3499999999999996</v>
      </c>
      <c r="CA2747">
        <v>0</v>
      </c>
      <c r="CB2747">
        <v>14.04</v>
      </c>
      <c r="CC2747">
        <v>12.2</v>
      </c>
      <c r="CD2747">
        <v>10.43</v>
      </c>
      <c r="CE2747">
        <v>0.33</v>
      </c>
      <c r="CF2747">
        <v>0.78</v>
      </c>
      <c r="CG2747">
        <v>0.33</v>
      </c>
      <c r="CH2747">
        <v>0.16</v>
      </c>
      <c r="CI2747">
        <v>0.35</v>
      </c>
      <c r="CJ2747">
        <v>-0.76</v>
      </c>
      <c r="CK2747">
        <v>0.08</v>
      </c>
      <c r="CL2747">
        <v>-4.26</v>
      </c>
      <c r="CM2747">
        <v>0.23</v>
      </c>
      <c r="CN2747">
        <v>-0.8</v>
      </c>
      <c r="CO2747">
        <v>56622</v>
      </c>
      <c r="CP2747">
        <v>20553</v>
      </c>
      <c r="CQ2747" t="s">
        <v>12330</v>
      </c>
      <c r="CR2747">
        <v>136.63</v>
      </c>
      <c r="CS2747">
        <v>23.39</v>
      </c>
      <c r="CT2747">
        <v>4.58</v>
      </c>
      <c r="CU2747">
        <v>523.07000000000005</v>
      </c>
      <c r="CV2747">
        <v>9.69</v>
      </c>
      <c r="CW2747">
        <v>0</v>
      </c>
      <c r="CX2747" t="s">
        <v>499</v>
      </c>
      <c r="CY2747">
        <v>1.56</v>
      </c>
      <c r="CZ2747">
        <v>0</v>
      </c>
      <c r="DA2747">
        <v>0.85</v>
      </c>
      <c r="DB2747">
        <v>-0.26</v>
      </c>
      <c r="DC2747">
        <v>0.01</v>
      </c>
      <c r="DD2747">
        <v>40.880000000000003</v>
      </c>
      <c r="DE2747" t="s">
        <v>980</v>
      </c>
      <c r="DF2747">
        <v>14.55</v>
      </c>
      <c r="DG2747">
        <v>2.71</v>
      </c>
      <c r="DH2747">
        <v>2.88</v>
      </c>
      <c r="DI2747">
        <v>0.36</v>
      </c>
      <c r="DJ2747">
        <v>2930</v>
      </c>
      <c r="DK2747">
        <v>600478</v>
      </c>
      <c r="DL2747" t="s">
        <v>120</v>
      </c>
      <c r="DM2747" t="s">
        <v>120</v>
      </c>
      <c r="DN2747" t="s">
        <v>120</v>
      </c>
    </row>
    <row r="2748" spans="1:118">
      <c r="A2748" t="str">
        <f>"600479"</f>
        <v>600479</v>
      </c>
      <c r="B2748" t="s">
        <v>12331</v>
      </c>
      <c r="C2748">
        <v>0.12</v>
      </c>
      <c r="D2748">
        <v>0.12</v>
      </c>
      <c r="E2748">
        <v>-0.23</v>
      </c>
      <c r="F2748">
        <v>397</v>
      </c>
      <c r="G2748" t="s">
        <v>2344</v>
      </c>
      <c r="H2748">
        <v>7526.28</v>
      </c>
      <c r="I2748">
        <v>5.7</v>
      </c>
      <c r="J2748" t="s">
        <v>120</v>
      </c>
      <c r="K2748" t="s">
        <v>2286</v>
      </c>
      <c r="L2748">
        <v>2.0499999999999998</v>
      </c>
      <c r="M2748">
        <v>8.67</v>
      </c>
      <c r="N2748">
        <v>1.38</v>
      </c>
      <c r="O2748">
        <v>2.66</v>
      </c>
      <c r="P2748">
        <v>8.89</v>
      </c>
      <c r="Q2748">
        <v>-0.46</v>
      </c>
      <c r="R2748">
        <v>8.6199999999999992</v>
      </c>
      <c r="S2748">
        <v>8.64</v>
      </c>
      <c r="T2748">
        <v>85614</v>
      </c>
      <c r="U2748">
        <v>8.67</v>
      </c>
      <c r="V2748">
        <v>8.66</v>
      </c>
      <c r="W2748">
        <v>17.52</v>
      </c>
      <c r="X2748" t="s">
        <v>771</v>
      </c>
      <c r="Y2748" t="s">
        <v>594</v>
      </c>
      <c r="Z2748">
        <v>3.12</v>
      </c>
      <c r="AA2748">
        <v>8.7899999999999991</v>
      </c>
      <c r="AB2748">
        <v>38470</v>
      </c>
      <c r="AC2748">
        <v>47144</v>
      </c>
      <c r="AD2748">
        <v>0.82</v>
      </c>
      <c r="AE2748">
        <v>72</v>
      </c>
      <c r="AF2748">
        <v>77</v>
      </c>
      <c r="AG2748" t="s">
        <v>120</v>
      </c>
      <c r="AH2748">
        <v>0</v>
      </c>
      <c r="AI2748" t="s">
        <v>120</v>
      </c>
      <c r="AJ2748">
        <v>4.1900000000000004</v>
      </c>
      <c r="AK2748" t="s">
        <v>2286</v>
      </c>
      <c r="AL2748">
        <v>1.46</v>
      </c>
      <c r="AM2748">
        <v>2262</v>
      </c>
      <c r="AN2748">
        <v>38</v>
      </c>
      <c r="AO2748">
        <v>8.9999999999999998E-4</v>
      </c>
      <c r="AP2748">
        <v>1</v>
      </c>
      <c r="AQ2748">
        <v>0</v>
      </c>
      <c r="AR2748">
        <v>-1.03</v>
      </c>
      <c r="AS2748">
        <v>5.86</v>
      </c>
      <c r="AT2748">
        <v>-1.82</v>
      </c>
      <c r="AU2748">
        <v>13.48</v>
      </c>
      <c r="AV2748">
        <v>0</v>
      </c>
      <c r="AW2748">
        <v>2.86</v>
      </c>
      <c r="AX2748">
        <v>71.47</v>
      </c>
      <c r="AY2748">
        <v>11.33</v>
      </c>
      <c r="AZ2748">
        <v>12.2</v>
      </c>
      <c r="BA2748">
        <v>0.62</v>
      </c>
      <c r="BB2748" t="s">
        <v>143</v>
      </c>
      <c r="BF2748">
        <v>1.51</v>
      </c>
      <c r="BG2748">
        <v>0.35</v>
      </c>
      <c r="BH2748">
        <v>-2.4700000000000002</v>
      </c>
      <c r="BI2748">
        <v>0.57999999999999996</v>
      </c>
      <c r="BJ2748">
        <v>20210827</v>
      </c>
      <c r="BK2748">
        <v>20040312</v>
      </c>
      <c r="BL2748">
        <v>4.1900000000000004</v>
      </c>
      <c r="BM2748" t="s">
        <v>120</v>
      </c>
      <c r="BN2748" t="s">
        <v>120</v>
      </c>
      <c r="BO2748">
        <v>38.54</v>
      </c>
      <c r="BP2748">
        <v>8.66</v>
      </c>
      <c r="BQ2748">
        <v>19.52</v>
      </c>
      <c r="BR2748">
        <v>4.99</v>
      </c>
      <c r="BS2748">
        <v>36.4</v>
      </c>
      <c r="BT2748">
        <v>27.61</v>
      </c>
      <c r="BU2748">
        <v>4.34</v>
      </c>
      <c r="BV2748">
        <v>2.04</v>
      </c>
      <c r="BW2748">
        <v>12.77</v>
      </c>
      <c r="BX2748">
        <v>5.69</v>
      </c>
      <c r="BY2748">
        <v>5.37</v>
      </c>
      <c r="BZ2748">
        <v>3.6</v>
      </c>
      <c r="CA2748" t="s">
        <v>120</v>
      </c>
      <c r="CB2748">
        <v>5.85</v>
      </c>
      <c r="CC2748">
        <v>17.54</v>
      </c>
      <c r="CD2748">
        <v>9.41</v>
      </c>
      <c r="CE2748">
        <v>1.47</v>
      </c>
      <c r="CF2748">
        <v>0.08</v>
      </c>
      <c r="CG2748">
        <v>1.46</v>
      </c>
      <c r="CH2748">
        <v>1.26</v>
      </c>
      <c r="CI2748">
        <v>1.04</v>
      </c>
      <c r="CJ2748">
        <v>0.01</v>
      </c>
      <c r="CK2748">
        <v>0.87</v>
      </c>
      <c r="CL2748">
        <v>7.32</v>
      </c>
      <c r="CM2748">
        <v>2.17</v>
      </c>
      <c r="CN2748">
        <v>-1.78</v>
      </c>
      <c r="CO2748">
        <v>37731</v>
      </c>
      <c r="CP2748">
        <v>7928</v>
      </c>
      <c r="CQ2748" t="s">
        <v>3999</v>
      </c>
      <c r="CR2748">
        <v>28.35</v>
      </c>
      <c r="CS2748">
        <v>4.1900000000000004</v>
      </c>
      <c r="CT2748">
        <v>1.86</v>
      </c>
      <c r="CU2748">
        <v>16.690000000000001</v>
      </c>
      <c r="CV2748">
        <v>2.0699999999999998</v>
      </c>
      <c r="CW2748">
        <v>11.55</v>
      </c>
      <c r="CX2748" t="s">
        <v>12332</v>
      </c>
      <c r="CY2748">
        <v>4.66</v>
      </c>
      <c r="CZ2748">
        <v>0</v>
      </c>
      <c r="DA2748">
        <v>1.4</v>
      </c>
      <c r="DB2748">
        <v>1.75</v>
      </c>
      <c r="DC2748">
        <v>0.52</v>
      </c>
      <c r="DD2748">
        <v>50.65</v>
      </c>
      <c r="DE2748" t="s">
        <v>7356</v>
      </c>
      <c r="DF2748">
        <v>46.33</v>
      </c>
      <c r="DG2748">
        <v>8.39</v>
      </c>
      <c r="DH2748">
        <v>5.9</v>
      </c>
      <c r="DI2748">
        <v>0.59</v>
      </c>
      <c r="DJ2748">
        <v>4921</v>
      </c>
      <c r="DK2748">
        <v>600479</v>
      </c>
      <c r="DL2748" t="s">
        <v>120</v>
      </c>
      <c r="DM2748" t="s">
        <v>120</v>
      </c>
      <c r="DN2748" t="s">
        <v>120</v>
      </c>
    </row>
    <row r="2749" spans="1:118">
      <c r="A2749" t="str">
        <f>"600480"</f>
        <v>600480</v>
      </c>
      <c r="B2749" t="s">
        <v>12333</v>
      </c>
      <c r="C2749">
        <v>-3.48</v>
      </c>
      <c r="D2749">
        <v>0.12</v>
      </c>
      <c r="E2749">
        <v>0.22</v>
      </c>
      <c r="F2749">
        <v>304</v>
      </c>
      <c r="G2749" t="s">
        <v>5982</v>
      </c>
      <c r="H2749">
        <v>11277.36</v>
      </c>
      <c r="I2749">
        <v>7.87</v>
      </c>
      <c r="J2749" t="s">
        <v>120</v>
      </c>
      <c r="K2749" t="s">
        <v>12334</v>
      </c>
      <c r="L2749">
        <v>1.69</v>
      </c>
      <c r="M2749">
        <v>8.61</v>
      </c>
      <c r="N2749">
        <v>1.47</v>
      </c>
      <c r="O2749">
        <v>0.45</v>
      </c>
      <c r="P2749">
        <v>8.9600000000000009</v>
      </c>
      <c r="Q2749">
        <v>-3.59</v>
      </c>
      <c r="R2749">
        <v>8.6</v>
      </c>
      <c r="S2749">
        <v>8.94</v>
      </c>
      <c r="T2749">
        <v>129037</v>
      </c>
      <c r="U2749">
        <v>8.61</v>
      </c>
      <c r="V2749">
        <v>8.92</v>
      </c>
      <c r="W2749">
        <v>24.28</v>
      </c>
      <c r="X2749" t="s">
        <v>289</v>
      </c>
      <c r="Y2749" t="s">
        <v>602</v>
      </c>
      <c r="Z2749">
        <v>4.04</v>
      </c>
      <c r="AA2749">
        <v>8.74</v>
      </c>
      <c r="AB2749">
        <v>82024</v>
      </c>
      <c r="AC2749">
        <v>47013</v>
      </c>
      <c r="AD2749">
        <v>1.74</v>
      </c>
      <c r="AE2749">
        <v>448</v>
      </c>
      <c r="AF2749">
        <v>396</v>
      </c>
      <c r="AG2749" t="s">
        <v>120</v>
      </c>
      <c r="AH2749">
        <v>0</v>
      </c>
      <c r="AI2749" t="s">
        <v>120</v>
      </c>
      <c r="AJ2749">
        <v>7.63</v>
      </c>
      <c r="AK2749" t="s">
        <v>12334</v>
      </c>
      <c r="AL2749">
        <v>-2.13</v>
      </c>
      <c r="AM2749">
        <v>2689</v>
      </c>
      <c r="AN2749">
        <v>48</v>
      </c>
      <c r="AO2749">
        <v>5.9999999999999995E-4</v>
      </c>
      <c r="AP2749">
        <v>-6</v>
      </c>
      <c r="AQ2749">
        <v>-1.22</v>
      </c>
      <c r="AR2749">
        <v>-6.11</v>
      </c>
      <c r="AS2749">
        <v>-13.21</v>
      </c>
      <c r="AT2749">
        <v>-8.1</v>
      </c>
      <c r="AU2749">
        <v>0.71</v>
      </c>
      <c r="AV2749">
        <v>2</v>
      </c>
      <c r="AW2749">
        <v>3.15</v>
      </c>
      <c r="AX2749">
        <v>53.65</v>
      </c>
      <c r="AY2749">
        <v>25.32</v>
      </c>
      <c r="AZ2749">
        <v>67.44</v>
      </c>
      <c r="BA2749">
        <v>0.33</v>
      </c>
      <c r="BB2749" t="s">
        <v>134</v>
      </c>
      <c r="BF2749">
        <v>-2.02</v>
      </c>
      <c r="BG2749">
        <v>-3.69</v>
      </c>
      <c r="BH2749">
        <v>-3.91</v>
      </c>
      <c r="BI2749">
        <v>0.12</v>
      </c>
      <c r="BJ2749">
        <v>20210828</v>
      </c>
      <c r="BK2749">
        <v>20030815</v>
      </c>
      <c r="BL2749">
        <v>7.63</v>
      </c>
      <c r="BM2749" t="s">
        <v>120</v>
      </c>
      <c r="BN2749" t="s">
        <v>120</v>
      </c>
      <c r="BO2749">
        <v>170.42</v>
      </c>
      <c r="BP2749">
        <v>8.6</v>
      </c>
      <c r="BQ2749">
        <v>48.3</v>
      </c>
      <c r="BR2749">
        <v>22.69</v>
      </c>
      <c r="BS2749">
        <v>58.35</v>
      </c>
      <c r="BT2749">
        <v>104.01</v>
      </c>
      <c r="BU2749">
        <v>31.08</v>
      </c>
      <c r="BV2749">
        <v>3.37</v>
      </c>
      <c r="BW2749">
        <v>84.3</v>
      </c>
      <c r="BX2749">
        <v>21.44</v>
      </c>
      <c r="BY2749">
        <v>20.46</v>
      </c>
      <c r="BZ2749">
        <v>35.799999999999997</v>
      </c>
      <c r="CA2749" t="s">
        <v>120</v>
      </c>
      <c r="CB2749">
        <v>22.53</v>
      </c>
      <c r="CC2749">
        <v>78.87</v>
      </c>
      <c r="CD2749">
        <v>65.47</v>
      </c>
      <c r="CE2749">
        <v>3.93</v>
      </c>
      <c r="CF2749">
        <v>0.25</v>
      </c>
      <c r="CG2749">
        <v>3.92</v>
      </c>
      <c r="CH2749">
        <v>3.12</v>
      </c>
      <c r="CI2749">
        <v>1.35</v>
      </c>
      <c r="CJ2749">
        <v>-0.31</v>
      </c>
      <c r="CK2749">
        <v>1.19</v>
      </c>
      <c r="CL2749">
        <v>16.59</v>
      </c>
      <c r="CM2749">
        <v>-0.52</v>
      </c>
      <c r="CN2749">
        <v>-2.2599999999999998</v>
      </c>
      <c r="CO2749">
        <v>29479</v>
      </c>
      <c r="CP2749">
        <v>13895</v>
      </c>
      <c r="CQ2749" t="s">
        <v>12335</v>
      </c>
      <c r="CR2749">
        <v>514.66999999999996</v>
      </c>
      <c r="CS2749">
        <v>43.63</v>
      </c>
      <c r="CT2749">
        <v>1.36</v>
      </c>
      <c r="CU2749">
        <v>-126.38</v>
      </c>
      <c r="CV2749">
        <v>0.83</v>
      </c>
      <c r="CW2749">
        <v>1.47</v>
      </c>
      <c r="CX2749" t="s">
        <v>242</v>
      </c>
      <c r="CY2749">
        <v>6.31</v>
      </c>
      <c r="CZ2749">
        <v>6.31</v>
      </c>
      <c r="DA2749">
        <v>2.95</v>
      </c>
      <c r="DB2749">
        <v>2.17</v>
      </c>
      <c r="DC2749">
        <v>-7.0000000000000007E-2</v>
      </c>
      <c r="DD2749">
        <v>28.34</v>
      </c>
      <c r="DE2749" t="s">
        <v>2028</v>
      </c>
      <c r="DF2749">
        <v>16.989999999999998</v>
      </c>
      <c r="DG2749">
        <v>4.9800000000000004</v>
      </c>
      <c r="DH2749">
        <v>1.72</v>
      </c>
      <c r="DI2749">
        <v>2.42</v>
      </c>
      <c r="DJ2749">
        <v>9676</v>
      </c>
      <c r="DK2749">
        <v>600480</v>
      </c>
      <c r="DL2749" t="s">
        <v>120</v>
      </c>
      <c r="DM2749" t="s">
        <v>120</v>
      </c>
      <c r="DN2749" t="s">
        <v>120</v>
      </c>
    </row>
    <row r="2750" spans="1:118">
      <c r="A2750" t="str">
        <f>"600481"</f>
        <v>600481</v>
      </c>
      <c r="B2750" t="s">
        <v>12336</v>
      </c>
      <c r="C2750">
        <v>-4.17</v>
      </c>
      <c r="D2750">
        <v>0.18</v>
      </c>
      <c r="E2750">
        <v>0.61</v>
      </c>
      <c r="F2750">
        <v>4031</v>
      </c>
      <c r="G2750" t="s">
        <v>7258</v>
      </c>
      <c r="H2750">
        <v>35957.599999999999</v>
      </c>
      <c r="I2750">
        <v>114.64</v>
      </c>
      <c r="J2750" t="s">
        <v>120</v>
      </c>
      <c r="K2750" t="s">
        <v>12337</v>
      </c>
      <c r="L2750">
        <v>1.98</v>
      </c>
      <c r="M2750">
        <v>11.03</v>
      </c>
      <c r="N2750">
        <v>1.03</v>
      </c>
      <c r="O2750">
        <v>0.61</v>
      </c>
      <c r="P2750">
        <v>11.58</v>
      </c>
      <c r="Q2750">
        <v>-4.87</v>
      </c>
      <c r="R2750">
        <v>10.95</v>
      </c>
      <c r="S2750">
        <v>11.58</v>
      </c>
      <c r="T2750">
        <v>321624</v>
      </c>
      <c r="U2750">
        <v>11.03</v>
      </c>
      <c r="V2750">
        <v>11.51</v>
      </c>
      <c r="W2750">
        <v>87.56</v>
      </c>
      <c r="X2750" t="s">
        <v>318</v>
      </c>
      <c r="Y2750" t="s">
        <v>319</v>
      </c>
      <c r="Z2750">
        <v>5.47</v>
      </c>
      <c r="AA2750">
        <v>11.18</v>
      </c>
      <c r="AB2750">
        <v>181952</v>
      </c>
      <c r="AC2750">
        <v>139672</v>
      </c>
      <c r="AD2750">
        <v>1.3</v>
      </c>
      <c r="AE2750">
        <v>785</v>
      </c>
      <c r="AF2750">
        <v>282</v>
      </c>
      <c r="AG2750" t="s">
        <v>120</v>
      </c>
      <c r="AH2750">
        <v>0.01</v>
      </c>
      <c r="AI2750" t="s">
        <v>120</v>
      </c>
      <c r="AJ2750">
        <v>16.27</v>
      </c>
      <c r="AK2750" t="s">
        <v>12337</v>
      </c>
      <c r="AL2750">
        <v>-2.83</v>
      </c>
      <c r="AM2750">
        <v>4050</v>
      </c>
      <c r="AN2750">
        <v>79</v>
      </c>
      <c r="AO2750">
        <v>5.0000000000000001E-4</v>
      </c>
      <c r="AP2750">
        <v>-1</v>
      </c>
      <c r="AQ2750">
        <v>1.05</v>
      </c>
      <c r="AR2750">
        <v>-3.59</v>
      </c>
      <c r="AS2750">
        <v>30.07</v>
      </c>
      <c r="AT2750">
        <v>75.08</v>
      </c>
      <c r="AU2750">
        <v>185.02</v>
      </c>
      <c r="AV2750">
        <v>14</v>
      </c>
      <c r="AW2750">
        <v>4.13</v>
      </c>
      <c r="AX2750">
        <v>47.81</v>
      </c>
      <c r="AY2750">
        <v>84.39</v>
      </c>
      <c r="AZ2750">
        <v>136.30000000000001</v>
      </c>
      <c r="BA2750">
        <v>1.35</v>
      </c>
      <c r="BB2750" t="s">
        <v>240</v>
      </c>
      <c r="BF2750">
        <v>-2.87</v>
      </c>
      <c r="BG2750">
        <v>-4.75</v>
      </c>
      <c r="BH2750">
        <v>-4.75</v>
      </c>
      <c r="BI2750">
        <v>0.73</v>
      </c>
      <c r="BJ2750">
        <v>20210731</v>
      </c>
      <c r="BK2750">
        <v>20030422</v>
      </c>
      <c r="BL2750">
        <v>16.27</v>
      </c>
      <c r="BM2750" t="s">
        <v>120</v>
      </c>
      <c r="BN2750" t="s">
        <v>120</v>
      </c>
      <c r="BO2750">
        <v>52.13</v>
      </c>
      <c r="BP2750">
        <v>11.02</v>
      </c>
      <c r="BQ2750">
        <v>21.95</v>
      </c>
      <c r="BR2750">
        <v>0.39</v>
      </c>
      <c r="BS2750">
        <v>57.14</v>
      </c>
      <c r="BT2750">
        <v>39.72</v>
      </c>
      <c r="BU2750">
        <v>4.1500000000000004</v>
      </c>
      <c r="BV2750">
        <v>0.89</v>
      </c>
      <c r="BW2750">
        <v>29.72</v>
      </c>
      <c r="BX2750">
        <v>13.03</v>
      </c>
      <c r="BY2750">
        <v>6.79</v>
      </c>
      <c r="BZ2750">
        <v>9.5500000000000007</v>
      </c>
      <c r="CA2750" t="s">
        <v>120</v>
      </c>
      <c r="CB2750">
        <v>0.01</v>
      </c>
      <c r="CC2750">
        <v>12.49</v>
      </c>
      <c r="CD2750">
        <v>8.42</v>
      </c>
      <c r="CE2750">
        <v>1.35</v>
      </c>
      <c r="CF2750">
        <v>7.0000000000000007E-2</v>
      </c>
      <c r="CG2750">
        <v>1.35</v>
      </c>
      <c r="CH2750">
        <v>1.08</v>
      </c>
      <c r="CI2750">
        <v>1.02</v>
      </c>
      <c r="CJ2750">
        <v>-0.48</v>
      </c>
      <c r="CK2750">
        <v>0.85</v>
      </c>
      <c r="CL2750">
        <v>2.2400000000000002</v>
      </c>
      <c r="CM2750">
        <v>-1.58</v>
      </c>
      <c r="CN2750">
        <v>1.08</v>
      </c>
      <c r="CO2750">
        <v>52067</v>
      </c>
      <c r="CP2750">
        <v>14941</v>
      </c>
      <c r="CQ2750" t="s">
        <v>12338</v>
      </c>
      <c r="CR2750">
        <v>470.35</v>
      </c>
      <c r="CS2750">
        <v>69.209999999999994</v>
      </c>
      <c r="CT2750">
        <v>8.18</v>
      </c>
      <c r="CU2750">
        <v>-113.46</v>
      </c>
      <c r="CV2750">
        <v>14.37</v>
      </c>
      <c r="CW2750">
        <v>0.17</v>
      </c>
      <c r="CX2750" t="s">
        <v>1064</v>
      </c>
      <c r="CY2750">
        <v>1.35</v>
      </c>
      <c r="CZ2750">
        <v>0</v>
      </c>
      <c r="DA2750">
        <v>0</v>
      </c>
      <c r="DB2750">
        <v>0.14000000000000001</v>
      </c>
      <c r="DC2750">
        <v>-0.1</v>
      </c>
      <c r="DD2750">
        <v>42.11</v>
      </c>
      <c r="DE2750" t="s">
        <v>9778</v>
      </c>
      <c r="DF2750">
        <v>32.619999999999997</v>
      </c>
      <c r="DG2750">
        <v>10.83</v>
      </c>
      <c r="DH2750">
        <v>8.1999999999999993</v>
      </c>
      <c r="DI2750">
        <v>0.72</v>
      </c>
      <c r="DJ2750">
        <v>1428</v>
      </c>
      <c r="DK2750">
        <v>600481</v>
      </c>
      <c r="DL2750">
        <v>20210205</v>
      </c>
      <c r="DM2750">
        <v>3.95</v>
      </c>
      <c r="DN2750">
        <v>179.75</v>
      </c>
    </row>
    <row r="2751" spans="1:118">
      <c r="A2751" t="str">
        <f>"600482"</f>
        <v>600482</v>
      </c>
      <c r="B2751" t="s">
        <v>12339</v>
      </c>
      <c r="C2751">
        <v>-1.6</v>
      </c>
      <c r="D2751">
        <v>-0.04</v>
      </c>
      <c r="E2751">
        <v>-0.57999999999999996</v>
      </c>
      <c r="F2751">
        <v>1423</v>
      </c>
      <c r="G2751" t="s">
        <v>12340</v>
      </c>
      <c r="H2751">
        <v>20624.43</v>
      </c>
      <c r="I2751">
        <v>50.23</v>
      </c>
      <c r="J2751" t="s">
        <v>120</v>
      </c>
      <c r="K2751" t="s">
        <v>12341</v>
      </c>
      <c r="L2751">
        <v>0.49</v>
      </c>
      <c r="M2751">
        <v>20.29</v>
      </c>
      <c r="N2751">
        <v>0.56999999999999995</v>
      </c>
      <c r="O2751">
        <v>2.38</v>
      </c>
      <c r="P2751">
        <v>21.11</v>
      </c>
      <c r="Q2751">
        <v>-1.6</v>
      </c>
      <c r="R2751">
        <v>20.29</v>
      </c>
      <c r="S2751">
        <v>20.5</v>
      </c>
      <c r="T2751">
        <v>99749</v>
      </c>
      <c r="U2751">
        <v>20.3</v>
      </c>
      <c r="V2751">
        <v>20.62</v>
      </c>
      <c r="W2751">
        <v>52.17</v>
      </c>
      <c r="X2751" t="s">
        <v>394</v>
      </c>
      <c r="Y2751" t="s">
        <v>602</v>
      </c>
      <c r="Z2751">
        <v>3.98</v>
      </c>
      <c r="AA2751">
        <v>20.68</v>
      </c>
      <c r="AB2751">
        <v>53492</v>
      </c>
      <c r="AC2751">
        <v>46257</v>
      </c>
      <c r="AD2751">
        <v>1.1599999999999999</v>
      </c>
      <c r="AE2751">
        <v>655</v>
      </c>
      <c r="AF2751">
        <v>105</v>
      </c>
      <c r="AG2751" t="s">
        <v>120</v>
      </c>
      <c r="AH2751">
        <v>0</v>
      </c>
      <c r="AI2751" t="s">
        <v>120</v>
      </c>
      <c r="AJ2751">
        <v>20.27</v>
      </c>
      <c r="AK2751" t="s">
        <v>12342</v>
      </c>
      <c r="AL2751">
        <v>-0.26</v>
      </c>
      <c r="AM2751">
        <v>3230</v>
      </c>
      <c r="AN2751">
        <v>31</v>
      </c>
      <c r="AO2751">
        <v>2.0000000000000001E-4</v>
      </c>
      <c r="AP2751">
        <v>-1</v>
      </c>
      <c r="AQ2751">
        <v>0.59</v>
      </c>
      <c r="AR2751">
        <v>-2.91</v>
      </c>
      <c r="AS2751">
        <v>9.0299999999999994</v>
      </c>
      <c r="AT2751">
        <v>16.510000000000002</v>
      </c>
      <c r="AU2751">
        <v>13.71</v>
      </c>
      <c r="AV2751">
        <v>0</v>
      </c>
      <c r="AW2751">
        <v>1.02</v>
      </c>
      <c r="AX2751">
        <v>45.4</v>
      </c>
      <c r="AY2751">
        <v>76.7</v>
      </c>
      <c r="AZ2751">
        <v>82.07</v>
      </c>
      <c r="BA2751">
        <v>0.77</v>
      </c>
      <c r="BB2751" t="s">
        <v>143</v>
      </c>
      <c r="BF2751">
        <v>0.27</v>
      </c>
      <c r="BG2751">
        <v>-1.02</v>
      </c>
      <c r="BH2751">
        <v>-3.88</v>
      </c>
      <c r="BI2751">
        <v>0</v>
      </c>
      <c r="BJ2751">
        <v>20210827</v>
      </c>
      <c r="BK2751">
        <v>20040714</v>
      </c>
      <c r="BL2751">
        <v>21.61</v>
      </c>
      <c r="BM2751" t="s">
        <v>120</v>
      </c>
      <c r="BN2751" t="s">
        <v>120</v>
      </c>
      <c r="BO2751">
        <v>609.04999999999995</v>
      </c>
      <c r="BP2751">
        <v>20.29</v>
      </c>
      <c r="BQ2751">
        <v>361.78</v>
      </c>
      <c r="BR2751">
        <v>7.89</v>
      </c>
      <c r="BS2751">
        <v>39.299999999999997</v>
      </c>
      <c r="BT2751">
        <v>422.93</v>
      </c>
      <c r="BU2751">
        <v>81.47</v>
      </c>
      <c r="BV2751">
        <v>22.94</v>
      </c>
      <c r="BW2751">
        <v>173.69</v>
      </c>
      <c r="BX2751">
        <v>100.28</v>
      </c>
      <c r="BY2751">
        <v>108.27</v>
      </c>
      <c r="BZ2751">
        <v>137.12</v>
      </c>
      <c r="CA2751" t="s">
        <v>120</v>
      </c>
      <c r="CB2751">
        <v>264.36</v>
      </c>
      <c r="CC2751">
        <v>132.91</v>
      </c>
      <c r="CD2751">
        <v>115.38</v>
      </c>
      <c r="CE2751">
        <v>4.66</v>
      </c>
      <c r="CF2751">
        <v>0.21</v>
      </c>
      <c r="CG2751">
        <v>4.96</v>
      </c>
      <c r="CH2751">
        <v>4.41</v>
      </c>
      <c r="CI2751">
        <v>4.2</v>
      </c>
      <c r="CJ2751">
        <v>-0.33</v>
      </c>
      <c r="CK2751">
        <v>3.46</v>
      </c>
      <c r="CL2751">
        <v>65.38</v>
      </c>
      <c r="CM2751">
        <v>4.1500000000000004</v>
      </c>
      <c r="CN2751">
        <v>-4.6399999999999997</v>
      </c>
      <c r="CO2751">
        <v>40027</v>
      </c>
      <c r="CP2751">
        <v>24505</v>
      </c>
      <c r="CQ2751" t="s">
        <v>12343</v>
      </c>
      <c r="CR2751">
        <v>9.9499999999999993</v>
      </c>
      <c r="CS2751">
        <v>11.53</v>
      </c>
      <c r="CT2751">
        <v>1.21</v>
      </c>
      <c r="CU2751">
        <v>105.55</v>
      </c>
      <c r="CV2751">
        <v>3.3</v>
      </c>
      <c r="CW2751">
        <v>0.37</v>
      </c>
      <c r="CX2751" t="s">
        <v>442</v>
      </c>
      <c r="CY2751">
        <v>16.7</v>
      </c>
      <c r="CZ2751">
        <v>16.7</v>
      </c>
      <c r="DA2751">
        <v>12.24</v>
      </c>
      <c r="DB2751">
        <v>3.03</v>
      </c>
      <c r="DC2751">
        <v>0.19</v>
      </c>
      <c r="DD2751">
        <v>59.4</v>
      </c>
      <c r="DE2751" t="s">
        <v>5141</v>
      </c>
      <c r="DF2751">
        <v>13.19</v>
      </c>
      <c r="DG2751">
        <v>3.51</v>
      </c>
      <c r="DH2751">
        <v>3.16</v>
      </c>
      <c r="DI2751">
        <v>3.24</v>
      </c>
      <c r="DJ2751">
        <v>22240</v>
      </c>
      <c r="DK2751">
        <v>600482</v>
      </c>
      <c r="DL2751" t="s">
        <v>120</v>
      </c>
      <c r="DM2751" t="s">
        <v>120</v>
      </c>
      <c r="DN2751" t="s">
        <v>120</v>
      </c>
    </row>
    <row r="2752" spans="1:118">
      <c r="A2752" t="str">
        <f>"600483"</f>
        <v>600483</v>
      </c>
      <c r="B2752" t="s">
        <v>12344</v>
      </c>
      <c r="C2752">
        <v>-4.4000000000000004</v>
      </c>
      <c r="D2752">
        <v>0.46</v>
      </c>
      <c r="E2752">
        <v>0</v>
      </c>
      <c r="F2752">
        <v>3431</v>
      </c>
      <c r="G2752" t="s">
        <v>12092</v>
      </c>
      <c r="H2752">
        <v>24791.15</v>
      </c>
      <c r="I2752">
        <v>136.91</v>
      </c>
      <c r="J2752" t="s">
        <v>120</v>
      </c>
      <c r="K2752" t="s">
        <v>12345</v>
      </c>
      <c r="L2752">
        <v>0.96</v>
      </c>
      <c r="M2752">
        <v>15.22</v>
      </c>
      <c r="N2752">
        <v>0.73</v>
      </c>
      <c r="O2752">
        <v>0.75</v>
      </c>
      <c r="P2752">
        <v>16.04</v>
      </c>
      <c r="Q2752">
        <v>-4.9000000000000004</v>
      </c>
      <c r="R2752">
        <v>15.14</v>
      </c>
      <c r="S2752">
        <v>15.92</v>
      </c>
      <c r="T2752">
        <v>159257</v>
      </c>
      <c r="U2752">
        <v>15.23</v>
      </c>
      <c r="V2752">
        <v>15.92</v>
      </c>
      <c r="W2752">
        <v>14.98</v>
      </c>
      <c r="X2752" t="s">
        <v>268</v>
      </c>
      <c r="Y2752" t="s">
        <v>937</v>
      </c>
      <c r="Z2752">
        <v>5.65</v>
      </c>
      <c r="AA2752">
        <v>15.57</v>
      </c>
      <c r="AB2752">
        <v>80599</v>
      </c>
      <c r="AC2752">
        <v>78658</v>
      </c>
      <c r="AD2752">
        <v>1.02</v>
      </c>
      <c r="AE2752">
        <v>364</v>
      </c>
      <c r="AF2752">
        <v>2</v>
      </c>
      <c r="AG2752" t="s">
        <v>120</v>
      </c>
      <c r="AH2752">
        <v>0.02</v>
      </c>
      <c r="AI2752" t="s">
        <v>120</v>
      </c>
      <c r="AJ2752">
        <v>16.600000000000001</v>
      </c>
      <c r="AK2752" t="s">
        <v>12346</v>
      </c>
      <c r="AL2752">
        <v>-3.05</v>
      </c>
      <c r="AM2752">
        <v>3821</v>
      </c>
      <c r="AN2752">
        <v>42</v>
      </c>
      <c r="AO2752">
        <v>2.9999999999999997E-4</v>
      </c>
      <c r="AP2752">
        <v>-1</v>
      </c>
      <c r="AQ2752">
        <v>3.38</v>
      </c>
      <c r="AR2752">
        <v>-4.87</v>
      </c>
      <c r="AS2752">
        <v>25.78</v>
      </c>
      <c r="AT2752">
        <v>40.659999999999997</v>
      </c>
      <c r="AU2752">
        <v>98.69</v>
      </c>
      <c r="AV2752">
        <v>5</v>
      </c>
      <c r="AW2752">
        <v>3.03</v>
      </c>
      <c r="AX2752">
        <v>28.09</v>
      </c>
      <c r="AY2752">
        <v>14.42</v>
      </c>
      <c r="AZ2752">
        <v>19.899999999999999</v>
      </c>
      <c r="BA2752">
        <v>1.31</v>
      </c>
      <c r="BB2752" t="s">
        <v>184</v>
      </c>
      <c r="BF2752">
        <v>-2.2200000000000002</v>
      </c>
      <c r="BG2752">
        <v>-4.4000000000000004</v>
      </c>
      <c r="BH2752">
        <v>-5.1100000000000003</v>
      </c>
      <c r="BI2752">
        <v>0.53</v>
      </c>
      <c r="BJ2752">
        <v>20210826</v>
      </c>
      <c r="BK2752">
        <v>20040531</v>
      </c>
      <c r="BL2752">
        <v>18.690000000000001</v>
      </c>
      <c r="BM2752" t="s">
        <v>120</v>
      </c>
      <c r="BN2752" t="s">
        <v>120</v>
      </c>
      <c r="BO2752">
        <v>398.25</v>
      </c>
      <c r="BP2752">
        <v>15.22</v>
      </c>
      <c r="BQ2752">
        <v>167.58</v>
      </c>
      <c r="BR2752">
        <v>35.96</v>
      </c>
      <c r="BS2752">
        <v>48.89</v>
      </c>
      <c r="BT2752">
        <v>66.75</v>
      </c>
      <c r="BU2752">
        <v>169.52</v>
      </c>
      <c r="BV2752">
        <v>4.68</v>
      </c>
      <c r="BW2752">
        <v>56.1</v>
      </c>
      <c r="BX2752">
        <v>28.94</v>
      </c>
      <c r="BY2752">
        <v>3.19</v>
      </c>
      <c r="BZ2752">
        <v>28.09</v>
      </c>
      <c r="CA2752" t="s">
        <v>120</v>
      </c>
      <c r="CB2752">
        <v>55.91</v>
      </c>
      <c r="CC2752">
        <v>57.83</v>
      </c>
      <c r="CD2752">
        <v>44.47</v>
      </c>
      <c r="CE2752">
        <v>13</v>
      </c>
      <c r="CF2752">
        <v>3.26</v>
      </c>
      <c r="CG2752">
        <v>13</v>
      </c>
      <c r="CH2752">
        <v>11.1</v>
      </c>
      <c r="CI2752">
        <v>9.49</v>
      </c>
      <c r="CJ2752">
        <v>-0.7</v>
      </c>
      <c r="CK2752">
        <v>9.4499999999999993</v>
      </c>
      <c r="CL2752">
        <v>59.87</v>
      </c>
      <c r="CM2752">
        <v>15.88</v>
      </c>
      <c r="CN2752">
        <v>7.93</v>
      </c>
      <c r="CO2752">
        <v>25359</v>
      </c>
      <c r="CP2752">
        <v>20701</v>
      </c>
      <c r="CQ2752" t="s">
        <v>12347</v>
      </c>
      <c r="CR2752">
        <v>149.06</v>
      </c>
      <c r="CS2752">
        <v>58.05</v>
      </c>
      <c r="CT2752">
        <v>1.73</v>
      </c>
      <c r="CU2752">
        <v>17.91</v>
      </c>
      <c r="CV2752">
        <v>4.92</v>
      </c>
      <c r="CW2752">
        <v>1.7</v>
      </c>
      <c r="CX2752" t="s">
        <v>263</v>
      </c>
      <c r="CY2752">
        <v>8.7799999999999994</v>
      </c>
      <c r="CZ2752">
        <v>8.7799999999999994</v>
      </c>
      <c r="DA2752">
        <v>2.99</v>
      </c>
      <c r="DB2752">
        <v>3.2</v>
      </c>
      <c r="DC2752">
        <v>0.85</v>
      </c>
      <c r="DD2752">
        <v>42.08</v>
      </c>
      <c r="DE2752" t="s">
        <v>12348</v>
      </c>
      <c r="DF2752">
        <v>23.1</v>
      </c>
      <c r="DG2752">
        <v>22.47</v>
      </c>
      <c r="DH2752">
        <v>16.41</v>
      </c>
      <c r="DI2752">
        <v>0.11</v>
      </c>
      <c r="DJ2752">
        <v>2963</v>
      </c>
      <c r="DK2752">
        <v>600483</v>
      </c>
      <c r="DL2752" t="s">
        <v>120</v>
      </c>
      <c r="DM2752" t="s">
        <v>120</v>
      </c>
      <c r="DN2752" t="s">
        <v>120</v>
      </c>
    </row>
    <row r="2753" spans="1:118">
      <c r="A2753" t="str">
        <f>"600486"</f>
        <v>600486</v>
      </c>
      <c r="B2753" t="s">
        <v>12349</v>
      </c>
      <c r="C2753">
        <v>-0.68</v>
      </c>
      <c r="D2753">
        <v>0.17</v>
      </c>
      <c r="E2753">
        <v>-0.46</v>
      </c>
      <c r="F2753">
        <v>653</v>
      </c>
      <c r="G2753" t="s">
        <v>12350</v>
      </c>
      <c r="H2753">
        <v>17252.34</v>
      </c>
      <c r="I2753">
        <v>56.38</v>
      </c>
      <c r="J2753" t="s">
        <v>120</v>
      </c>
      <c r="K2753" t="s">
        <v>12351</v>
      </c>
      <c r="L2753">
        <v>0.47</v>
      </c>
      <c r="M2753">
        <v>117.2</v>
      </c>
      <c r="N2753">
        <v>0.86</v>
      </c>
      <c r="O2753">
        <v>2.27</v>
      </c>
      <c r="P2753">
        <v>120.68</v>
      </c>
      <c r="Q2753">
        <v>-1.27</v>
      </c>
      <c r="R2753">
        <v>116.5</v>
      </c>
      <c r="S2753">
        <v>117.46</v>
      </c>
      <c r="T2753">
        <v>14635</v>
      </c>
      <c r="U2753">
        <v>117.21</v>
      </c>
      <c r="V2753">
        <v>118</v>
      </c>
      <c r="W2753">
        <v>22.95</v>
      </c>
      <c r="X2753" t="s">
        <v>690</v>
      </c>
      <c r="Y2753" t="s">
        <v>319</v>
      </c>
      <c r="Z2753">
        <v>3.54</v>
      </c>
      <c r="AA2753">
        <v>117.89</v>
      </c>
      <c r="AB2753">
        <v>8337</v>
      </c>
      <c r="AC2753">
        <v>6298</v>
      </c>
      <c r="AD2753">
        <v>1.32</v>
      </c>
      <c r="AE2753">
        <v>72</v>
      </c>
      <c r="AF2753">
        <v>22</v>
      </c>
      <c r="AG2753" t="s">
        <v>120</v>
      </c>
      <c r="AH2753">
        <v>0</v>
      </c>
      <c r="AI2753" t="s">
        <v>120</v>
      </c>
      <c r="AJ2753">
        <v>3.1</v>
      </c>
      <c r="AK2753" t="s">
        <v>12351</v>
      </c>
      <c r="AL2753">
        <v>0.67</v>
      </c>
      <c r="AM2753">
        <v>2382</v>
      </c>
      <c r="AN2753">
        <v>6</v>
      </c>
      <c r="AO2753">
        <v>2.0000000000000001E-4</v>
      </c>
      <c r="AP2753">
        <v>-2</v>
      </c>
      <c r="AQ2753">
        <v>-3.28</v>
      </c>
      <c r="AR2753">
        <v>-1.4</v>
      </c>
      <c r="AS2753">
        <v>-7.2</v>
      </c>
      <c r="AT2753">
        <v>11.98</v>
      </c>
      <c r="AU2753">
        <v>-10.77</v>
      </c>
      <c r="AV2753">
        <v>0</v>
      </c>
      <c r="AW2753">
        <v>0.89</v>
      </c>
      <c r="AX2753">
        <v>53.18</v>
      </c>
      <c r="AY2753">
        <v>31.14</v>
      </c>
      <c r="AZ2753">
        <v>30.23</v>
      </c>
      <c r="BA2753">
        <v>1.19</v>
      </c>
      <c r="BB2753" t="s">
        <v>2725</v>
      </c>
      <c r="BF2753">
        <v>-0.1</v>
      </c>
      <c r="BG2753">
        <v>-0.22</v>
      </c>
      <c r="BH2753">
        <v>-2.88</v>
      </c>
      <c r="BI2753">
        <v>0.6</v>
      </c>
      <c r="BJ2753">
        <v>20210824</v>
      </c>
      <c r="BK2753">
        <v>20020425</v>
      </c>
      <c r="BL2753">
        <v>3.1</v>
      </c>
      <c r="BM2753" t="s">
        <v>120</v>
      </c>
      <c r="BN2753" t="s">
        <v>120</v>
      </c>
      <c r="BO2753">
        <v>122.78</v>
      </c>
      <c r="BP2753">
        <v>117.2</v>
      </c>
      <c r="BQ2753">
        <v>65.209999999999994</v>
      </c>
      <c r="BR2753">
        <v>0.05</v>
      </c>
      <c r="BS2753">
        <v>46.85</v>
      </c>
      <c r="BT2753">
        <v>77.16</v>
      </c>
      <c r="BU2753">
        <v>34.67</v>
      </c>
      <c r="BV2753">
        <v>4.9400000000000004</v>
      </c>
      <c r="BW2753">
        <v>45.85</v>
      </c>
      <c r="BX2753">
        <v>25.05</v>
      </c>
      <c r="BY2753">
        <v>13.03</v>
      </c>
      <c r="BZ2753">
        <v>22.58</v>
      </c>
      <c r="CA2753">
        <v>0.31</v>
      </c>
      <c r="CB2753">
        <v>5.92</v>
      </c>
      <c r="CC2753">
        <v>66.819999999999993</v>
      </c>
      <c r="CD2753">
        <v>50.8</v>
      </c>
      <c r="CE2753">
        <v>9.42</v>
      </c>
      <c r="CF2753">
        <v>0.06</v>
      </c>
      <c r="CG2753">
        <v>9.43</v>
      </c>
      <c r="CH2753">
        <v>7.93</v>
      </c>
      <c r="CI2753">
        <v>7.91</v>
      </c>
      <c r="CJ2753">
        <v>-0.8</v>
      </c>
      <c r="CK2753">
        <v>7.7</v>
      </c>
      <c r="CL2753">
        <v>51.82</v>
      </c>
      <c r="CM2753">
        <v>9.23</v>
      </c>
      <c r="CN2753">
        <v>6.53</v>
      </c>
      <c r="CO2753">
        <v>18658</v>
      </c>
      <c r="CP2753">
        <v>8833</v>
      </c>
      <c r="CQ2753" t="s">
        <v>12352</v>
      </c>
      <c r="CR2753">
        <v>-4.28</v>
      </c>
      <c r="CS2753">
        <v>12.94</v>
      </c>
      <c r="CT2753">
        <v>5.57</v>
      </c>
      <c r="CU2753">
        <v>39.340000000000003</v>
      </c>
      <c r="CV2753">
        <v>5.44</v>
      </c>
      <c r="CW2753">
        <v>0.55000000000000004</v>
      </c>
      <c r="CX2753" t="s">
        <v>12353</v>
      </c>
      <c r="CY2753">
        <v>21.04</v>
      </c>
      <c r="CZ2753">
        <v>0</v>
      </c>
      <c r="DA2753">
        <v>1.91</v>
      </c>
      <c r="DB2753">
        <v>16.72</v>
      </c>
      <c r="DC2753">
        <v>2.98</v>
      </c>
      <c r="DD2753">
        <v>53.11</v>
      </c>
      <c r="DE2753" t="s">
        <v>12354</v>
      </c>
      <c r="DF2753">
        <v>23.97</v>
      </c>
      <c r="DG2753">
        <v>14.1</v>
      </c>
      <c r="DH2753">
        <v>11.84</v>
      </c>
      <c r="DI2753">
        <v>1.74</v>
      </c>
      <c r="DJ2753">
        <v>3117</v>
      </c>
      <c r="DK2753">
        <v>600486</v>
      </c>
      <c r="DL2753" t="s">
        <v>120</v>
      </c>
      <c r="DM2753" t="s">
        <v>120</v>
      </c>
      <c r="DN2753" t="s">
        <v>120</v>
      </c>
    </row>
    <row r="2754" spans="1:118">
      <c r="A2754" t="str">
        <f>"600487"</f>
        <v>600487</v>
      </c>
      <c r="B2754" t="s">
        <v>12355</v>
      </c>
      <c r="C2754">
        <v>0.67</v>
      </c>
      <c r="D2754">
        <v>-0.06</v>
      </c>
      <c r="E2754">
        <v>-0.75</v>
      </c>
      <c r="F2754">
        <v>3213</v>
      </c>
      <c r="G2754" t="s">
        <v>12356</v>
      </c>
      <c r="H2754">
        <v>65015.29</v>
      </c>
      <c r="I2754">
        <v>260.63</v>
      </c>
      <c r="J2754" t="s">
        <v>120</v>
      </c>
      <c r="K2754" t="s">
        <v>12357</v>
      </c>
      <c r="L2754">
        <v>2.12</v>
      </c>
      <c r="M2754">
        <v>13.44</v>
      </c>
      <c r="N2754">
        <v>0.9</v>
      </c>
      <c r="O2754">
        <v>2.1</v>
      </c>
      <c r="P2754">
        <v>13.63</v>
      </c>
      <c r="Q2754">
        <v>-1.05</v>
      </c>
      <c r="R2754">
        <v>13.21</v>
      </c>
      <c r="S2754">
        <v>13.25</v>
      </c>
      <c r="T2754">
        <v>483486</v>
      </c>
      <c r="U2754">
        <v>13.44</v>
      </c>
      <c r="V2754">
        <v>13.35</v>
      </c>
      <c r="W2754">
        <v>23.65</v>
      </c>
      <c r="X2754" t="s">
        <v>462</v>
      </c>
      <c r="Y2754" t="s">
        <v>319</v>
      </c>
      <c r="Z2754">
        <v>3.15</v>
      </c>
      <c r="AA2754">
        <v>13.45</v>
      </c>
      <c r="AB2754">
        <v>242298</v>
      </c>
      <c r="AC2754">
        <v>241188</v>
      </c>
      <c r="AD2754">
        <v>1</v>
      </c>
      <c r="AE2754">
        <v>2609</v>
      </c>
      <c r="AF2754">
        <v>1027</v>
      </c>
      <c r="AG2754" t="s">
        <v>120</v>
      </c>
      <c r="AH2754">
        <v>0.01</v>
      </c>
      <c r="AI2754" t="s">
        <v>120</v>
      </c>
      <c r="AJ2754">
        <v>22.81</v>
      </c>
      <c r="AK2754" t="s">
        <v>12358</v>
      </c>
      <c r="AL2754">
        <v>2.02</v>
      </c>
      <c r="AM2754">
        <v>4408</v>
      </c>
      <c r="AN2754">
        <v>110</v>
      </c>
      <c r="AO2754">
        <v>5.0000000000000001E-4</v>
      </c>
      <c r="AP2754">
        <v>2</v>
      </c>
      <c r="AQ2754">
        <v>2.14</v>
      </c>
      <c r="AR2754">
        <v>-0.45</v>
      </c>
      <c r="AS2754">
        <v>7.78</v>
      </c>
      <c r="AT2754">
        <v>15.46</v>
      </c>
      <c r="AU2754">
        <v>-3.51</v>
      </c>
      <c r="AV2754">
        <v>0</v>
      </c>
      <c r="AW2754">
        <v>2.85</v>
      </c>
      <c r="AX2754">
        <v>71.92</v>
      </c>
      <c r="AY2754">
        <v>24.45</v>
      </c>
      <c r="AZ2754">
        <v>29.7</v>
      </c>
      <c r="BA2754">
        <v>0.68</v>
      </c>
      <c r="BB2754" t="s">
        <v>143</v>
      </c>
      <c r="BF2754">
        <v>0.73</v>
      </c>
      <c r="BG2754">
        <v>1.43</v>
      </c>
      <c r="BH2754">
        <v>-1.39</v>
      </c>
      <c r="BI2754">
        <v>1.74</v>
      </c>
      <c r="BJ2754">
        <v>20210824</v>
      </c>
      <c r="BK2754">
        <v>20030822</v>
      </c>
      <c r="BL2754">
        <v>23.62</v>
      </c>
      <c r="BM2754" t="s">
        <v>120</v>
      </c>
      <c r="BN2754" t="s">
        <v>120</v>
      </c>
      <c r="BO2754">
        <v>519.88</v>
      </c>
      <c r="BP2754">
        <v>13.43</v>
      </c>
      <c r="BQ2754">
        <v>203.26</v>
      </c>
      <c r="BR2754">
        <v>33.18</v>
      </c>
      <c r="BS2754">
        <v>54.52</v>
      </c>
      <c r="BT2754">
        <v>361.47</v>
      </c>
      <c r="BU2754">
        <v>73.09</v>
      </c>
      <c r="BV2754">
        <v>15.81</v>
      </c>
      <c r="BW2754">
        <v>237.07</v>
      </c>
      <c r="BX2754">
        <v>115.98</v>
      </c>
      <c r="BY2754">
        <v>52.88</v>
      </c>
      <c r="BZ2754">
        <v>125.34</v>
      </c>
      <c r="CA2754" t="s">
        <v>120</v>
      </c>
      <c r="CB2754">
        <v>82.46</v>
      </c>
      <c r="CC2754">
        <v>180.57</v>
      </c>
      <c r="CD2754">
        <v>150.68</v>
      </c>
      <c r="CE2754">
        <v>8.32</v>
      </c>
      <c r="CF2754">
        <v>-0.13</v>
      </c>
      <c r="CG2754">
        <v>8.48</v>
      </c>
      <c r="CH2754">
        <v>6.95</v>
      </c>
      <c r="CI2754">
        <v>6.71</v>
      </c>
      <c r="CJ2754">
        <v>0.09</v>
      </c>
      <c r="CK2754">
        <v>5.56</v>
      </c>
      <c r="CL2754">
        <v>94.47</v>
      </c>
      <c r="CM2754">
        <v>-3.35</v>
      </c>
      <c r="CN2754">
        <v>1.1399999999999999</v>
      </c>
      <c r="CO2754">
        <v>174793</v>
      </c>
      <c r="CP2754">
        <v>9719</v>
      </c>
      <c r="CQ2754" t="s">
        <v>12359</v>
      </c>
      <c r="CR2754">
        <v>51.39</v>
      </c>
      <c r="CS2754">
        <v>16.72</v>
      </c>
      <c r="CT2754">
        <v>1.58</v>
      </c>
      <c r="CU2754">
        <v>-94.82</v>
      </c>
      <c r="CV2754">
        <v>1.76</v>
      </c>
      <c r="CW2754">
        <v>0.44</v>
      </c>
      <c r="CX2754" t="s">
        <v>10728</v>
      </c>
      <c r="CY2754">
        <v>8.51</v>
      </c>
      <c r="CZ2754">
        <v>8.51</v>
      </c>
      <c r="DA2754">
        <v>3.49</v>
      </c>
      <c r="DB2754">
        <v>4</v>
      </c>
      <c r="DC2754">
        <v>-0.14000000000000001</v>
      </c>
      <c r="DD2754">
        <v>39.1</v>
      </c>
      <c r="DE2754" t="s">
        <v>6470</v>
      </c>
      <c r="DF2754">
        <v>16.55</v>
      </c>
      <c r="DG2754">
        <v>4.6100000000000003</v>
      </c>
      <c r="DH2754">
        <v>3.72</v>
      </c>
      <c r="DI2754">
        <v>7.04</v>
      </c>
      <c r="DJ2754">
        <v>15293</v>
      </c>
      <c r="DK2754">
        <v>600487</v>
      </c>
      <c r="DL2754" t="s">
        <v>120</v>
      </c>
      <c r="DM2754" t="s">
        <v>120</v>
      </c>
      <c r="DN2754" t="s">
        <v>120</v>
      </c>
    </row>
    <row r="2755" spans="1:118">
      <c r="A2755" t="str">
        <f>"600488"</f>
        <v>600488</v>
      </c>
      <c r="B2755" t="s">
        <v>12360</v>
      </c>
      <c r="C2755">
        <v>-0.44</v>
      </c>
      <c r="D2755">
        <v>0</v>
      </c>
      <c r="E2755">
        <v>0</v>
      </c>
      <c r="F2755">
        <v>359</v>
      </c>
      <c r="G2755" t="s">
        <v>4968</v>
      </c>
      <c r="H2755">
        <v>1496.83</v>
      </c>
      <c r="I2755">
        <v>6.9</v>
      </c>
      <c r="J2755" t="s">
        <v>120</v>
      </c>
      <c r="K2755" t="s">
        <v>9483</v>
      </c>
      <c r="L2755">
        <v>0.3</v>
      </c>
      <c r="M2755">
        <v>4.55</v>
      </c>
      <c r="N2755">
        <v>0.94</v>
      </c>
      <c r="O2755">
        <v>1.31</v>
      </c>
      <c r="P2755">
        <v>4.63</v>
      </c>
      <c r="Q2755">
        <v>-0.44</v>
      </c>
      <c r="R2755">
        <v>4.55</v>
      </c>
      <c r="S2755">
        <v>4.57</v>
      </c>
      <c r="T2755">
        <v>32593</v>
      </c>
      <c r="U2755">
        <v>4.5599999999999996</v>
      </c>
      <c r="V2755">
        <v>4.57</v>
      </c>
      <c r="W2755">
        <v>53.8</v>
      </c>
      <c r="X2755" t="s">
        <v>569</v>
      </c>
      <c r="Y2755" t="s">
        <v>997</v>
      </c>
      <c r="Z2755">
        <v>1.75</v>
      </c>
      <c r="AA2755">
        <v>4.59</v>
      </c>
      <c r="AB2755">
        <v>18935</v>
      </c>
      <c r="AC2755">
        <v>13658</v>
      </c>
      <c r="AD2755">
        <v>1.39</v>
      </c>
      <c r="AE2755">
        <v>818</v>
      </c>
      <c r="AF2755">
        <v>29</v>
      </c>
      <c r="AG2755" t="s">
        <v>120</v>
      </c>
      <c r="AH2755">
        <v>0</v>
      </c>
      <c r="AI2755" t="s">
        <v>120</v>
      </c>
      <c r="AJ2755">
        <v>10.92</v>
      </c>
      <c r="AK2755" t="s">
        <v>12361</v>
      </c>
      <c r="AL2755">
        <v>0.91</v>
      </c>
      <c r="AM2755">
        <v>1106</v>
      </c>
      <c r="AN2755">
        <v>29</v>
      </c>
      <c r="AO2755">
        <v>2.9999999999999997E-4</v>
      </c>
      <c r="AP2755">
        <v>-1</v>
      </c>
      <c r="AQ2755">
        <v>0</v>
      </c>
      <c r="AR2755">
        <v>-0.44</v>
      </c>
      <c r="AS2755">
        <v>5.57</v>
      </c>
      <c r="AT2755">
        <v>-0.88</v>
      </c>
      <c r="AU2755">
        <v>-7.52</v>
      </c>
      <c r="AV2755">
        <v>1</v>
      </c>
      <c r="AW2755">
        <v>0.69</v>
      </c>
      <c r="AX2755">
        <v>43.2</v>
      </c>
      <c r="AY2755" t="s">
        <v>120</v>
      </c>
      <c r="AZ2755">
        <v>147.99</v>
      </c>
      <c r="BA2755">
        <v>0.22</v>
      </c>
      <c r="BB2755" t="s">
        <v>143</v>
      </c>
      <c r="BF2755">
        <v>0.49</v>
      </c>
      <c r="BG2755">
        <v>-0.44</v>
      </c>
      <c r="BH2755">
        <v>-1.73</v>
      </c>
      <c r="BI2755">
        <v>0</v>
      </c>
      <c r="BJ2755">
        <v>20210902</v>
      </c>
      <c r="BK2755">
        <v>20010618</v>
      </c>
      <c r="BL2755">
        <v>11</v>
      </c>
      <c r="BM2755" t="s">
        <v>120</v>
      </c>
      <c r="BN2755" t="s">
        <v>120</v>
      </c>
      <c r="BO2755">
        <v>63.46</v>
      </c>
      <c r="BP2755">
        <v>4.55</v>
      </c>
      <c r="BQ2755">
        <v>30.32</v>
      </c>
      <c r="BR2755">
        <v>8.16</v>
      </c>
      <c r="BS2755">
        <v>39.369999999999997</v>
      </c>
      <c r="BT2755">
        <v>19.38</v>
      </c>
      <c r="BU2755">
        <v>26.6</v>
      </c>
      <c r="BV2755">
        <v>1.31</v>
      </c>
      <c r="BW2755">
        <v>18.149999999999999</v>
      </c>
      <c r="BX2755">
        <v>2.0099999999999998</v>
      </c>
      <c r="BY2755">
        <v>10.74</v>
      </c>
      <c r="BZ2755">
        <v>5.21</v>
      </c>
      <c r="CA2755">
        <v>0.13</v>
      </c>
      <c r="CB2755">
        <v>3.39</v>
      </c>
      <c r="CC2755">
        <v>17.02</v>
      </c>
      <c r="CD2755">
        <v>8.1</v>
      </c>
      <c r="CE2755">
        <v>1</v>
      </c>
      <c r="CF2755">
        <v>0.02</v>
      </c>
      <c r="CG2755">
        <v>1.06</v>
      </c>
      <c r="CH2755">
        <v>0.91</v>
      </c>
      <c r="CI2755">
        <v>0.47</v>
      </c>
      <c r="CJ2755">
        <v>-0.02</v>
      </c>
      <c r="CK2755">
        <v>0.39</v>
      </c>
      <c r="CL2755">
        <v>11.5</v>
      </c>
      <c r="CM2755">
        <v>1.1599999999999999</v>
      </c>
      <c r="CN2755">
        <v>-0.2</v>
      </c>
      <c r="CO2755">
        <v>54172</v>
      </c>
      <c r="CP2755">
        <v>8775</v>
      </c>
      <c r="CQ2755" t="s">
        <v>7252</v>
      </c>
      <c r="CR2755">
        <v>-43.04</v>
      </c>
      <c r="CS2755">
        <v>5.18</v>
      </c>
      <c r="CT2755">
        <v>1.65</v>
      </c>
      <c r="CU2755">
        <v>43.09</v>
      </c>
      <c r="CV2755">
        <v>2.94</v>
      </c>
      <c r="CW2755">
        <v>0.22</v>
      </c>
      <c r="CX2755" t="s">
        <v>145</v>
      </c>
      <c r="CY2755">
        <v>2.76</v>
      </c>
      <c r="CZ2755">
        <v>0</v>
      </c>
      <c r="DA2755">
        <v>0.31</v>
      </c>
      <c r="DB2755">
        <v>1.05</v>
      </c>
      <c r="DC2755">
        <v>0.11</v>
      </c>
      <c r="DD2755">
        <v>47.77</v>
      </c>
      <c r="DE2755" t="s">
        <v>2358</v>
      </c>
      <c r="DF2755">
        <v>52.41</v>
      </c>
      <c r="DG2755">
        <v>5.89</v>
      </c>
      <c r="DH2755">
        <v>2.73</v>
      </c>
      <c r="DI2755">
        <v>0.7</v>
      </c>
      <c r="DJ2755">
        <v>2943</v>
      </c>
      <c r="DK2755">
        <v>600488</v>
      </c>
      <c r="DL2755" t="s">
        <v>120</v>
      </c>
      <c r="DM2755" t="s">
        <v>120</v>
      </c>
      <c r="DN2755" t="s">
        <v>120</v>
      </c>
    </row>
    <row r="2756" spans="1:118">
      <c r="A2756" t="str">
        <f>"600489"</f>
        <v>600489</v>
      </c>
      <c r="B2756" t="s">
        <v>12362</v>
      </c>
      <c r="C2756">
        <v>-2.2599999999999998</v>
      </c>
      <c r="D2756">
        <v>-0.43</v>
      </c>
      <c r="E2756">
        <v>-0.21</v>
      </c>
      <c r="F2756">
        <v>28033</v>
      </c>
      <c r="G2756" t="s">
        <v>12363</v>
      </c>
      <c r="H2756">
        <v>81431.83</v>
      </c>
      <c r="I2756">
        <v>359.43</v>
      </c>
      <c r="J2756" t="s">
        <v>120</v>
      </c>
      <c r="K2756" t="s">
        <v>12364</v>
      </c>
      <c r="L2756">
        <v>2</v>
      </c>
      <c r="M2756">
        <v>9.1</v>
      </c>
      <c r="N2756">
        <v>0.77</v>
      </c>
      <c r="O2756">
        <v>2.36</v>
      </c>
      <c r="P2756">
        <v>9.5299999999999994</v>
      </c>
      <c r="Q2756">
        <v>-2.2599999999999998</v>
      </c>
      <c r="R2756">
        <v>9.1</v>
      </c>
      <c r="S2756">
        <v>9.2899999999999991</v>
      </c>
      <c r="T2756">
        <v>872635</v>
      </c>
      <c r="U2756">
        <v>9.1199999999999992</v>
      </c>
      <c r="V2756">
        <v>9.31</v>
      </c>
      <c r="W2756">
        <v>24.45</v>
      </c>
      <c r="X2756" t="s">
        <v>855</v>
      </c>
      <c r="Y2756" t="s">
        <v>158</v>
      </c>
      <c r="Z2756">
        <v>4.62</v>
      </c>
      <c r="AA2756">
        <v>9.33</v>
      </c>
      <c r="AB2756">
        <v>445219</v>
      </c>
      <c r="AC2756">
        <v>427415</v>
      </c>
      <c r="AD2756">
        <v>1.04</v>
      </c>
      <c r="AE2756">
        <v>10098</v>
      </c>
      <c r="AF2756">
        <v>20</v>
      </c>
      <c r="AG2756" t="s">
        <v>120</v>
      </c>
      <c r="AH2756">
        <v>0.01</v>
      </c>
      <c r="AI2756" t="s">
        <v>120</v>
      </c>
      <c r="AJ2756">
        <v>43.63</v>
      </c>
      <c r="AK2756" t="s">
        <v>12365</v>
      </c>
      <c r="AL2756">
        <v>-0.91</v>
      </c>
      <c r="AM2756">
        <v>4447</v>
      </c>
      <c r="AN2756">
        <v>196</v>
      </c>
      <c r="AO2756">
        <v>4.0000000000000002E-4</v>
      </c>
      <c r="AP2756">
        <v>-1</v>
      </c>
      <c r="AQ2756">
        <v>1.31</v>
      </c>
      <c r="AR2756">
        <v>-6.47</v>
      </c>
      <c r="AS2756">
        <v>12.62</v>
      </c>
      <c r="AT2756">
        <v>5.33</v>
      </c>
      <c r="AU2756">
        <v>5.21</v>
      </c>
      <c r="AV2756">
        <v>1</v>
      </c>
      <c r="AW2756">
        <v>3.32</v>
      </c>
      <c r="AX2756">
        <v>54.16</v>
      </c>
      <c r="AY2756">
        <v>23.25</v>
      </c>
      <c r="AZ2756">
        <v>29.03</v>
      </c>
      <c r="BA2756">
        <v>0.55000000000000004</v>
      </c>
      <c r="BB2756" t="s">
        <v>143</v>
      </c>
      <c r="BF2756">
        <v>0.23</v>
      </c>
      <c r="BG2756">
        <v>-2.0499999999999998</v>
      </c>
      <c r="BH2756">
        <v>-4.51</v>
      </c>
      <c r="BI2756">
        <v>0</v>
      </c>
      <c r="BJ2756">
        <v>20210831</v>
      </c>
      <c r="BK2756">
        <v>20030814</v>
      </c>
      <c r="BL2756">
        <v>48.47</v>
      </c>
      <c r="BM2756" t="s">
        <v>120</v>
      </c>
      <c r="BN2756" t="s">
        <v>120</v>
      </c>
      <c r="BO2756">
        <v>503.63</v>
      </c>
      <c r="BP2756">
        <v>9.1</v>
      </c>
      <c r="BQ2756">
        <v>243.5</v>
      </c>
      <c r="BR2756">
        <v>23.22</v>
      </c>
      <c r="BS2756">
        <v>47.04</v>
      </c>
      <c r="BT2756">
        <v>231.4</v>
      </c>
      <c r="BU2756">
        <v>150.82</v>
      </c>
      <c r="BV2756">
        <v>46.27</v>
      </c>
      <c r="BW2756">
        <v>174.38</v>
      </c>
      <c r="BX2756">
        <v>63.13</v>
      </c>
      <c r="BY2756">
        <v>138.52000000000001</v>
      </c>
      <c r="BZ2756">
        <v>1.37</v>
      </c>
      <c r="CA2756" t="s">
        <v>120</v>
      </c>
      <c r="CB2756">
        <v>91.88</v>
      </c>
      <c r="CC2756">
        <v>263.14</v>
      </c>
      <c r="CD2756">
        <v>232.66</v>
      </c>
      <c r="CE2756">
        <v>14.95</v>
      </c>
      <c r="CF2756">
        <v>0.28999999999999998</v>
      </c>
      <c r="CG2756">
        <v>14.13</v>
      </c>
      <c r="CH2756">
        <v>11.14</v>
      </c>
      <c r="CI2756">
        <v>9.02</v>
      </c>
      <c r="CJ2756">
        <v>-0.21</v>
      </c>
      <c r="CK2756">
        <v>9.39</v>
      </c>
      <c r="CL2756">
        <v>77.81</v>
      </c>
      <c r="CM2756">
        <v>-3.03</v>
      </c>
      <c r="CN2756">
        <v>7.78</v>
      </c>
      <c r="CO2756">
        <v>200718</v>
      </c>
      <c r="CP2756">
        <v>13081</v>
      </c>
      <c r="CQ2756" t="s">
        <v>12366</v>
      </c>
      <c r="CR2756">
        <v>74.95</v>
      </c>
      <c r="CS2756">
        <v>38.68</v>
      </c>
      <c r="CT2756">
        <v>1.81</v>
      </c>
      <c r="CU2756">
        <v>-145.74</v>
      </c>
      <c r="CV2756">
        <v>1.68</v>
      </c>
      <c r="CW2756">
        <v>1.72</v>
      </c>
      <c r="CX2756" t="s">
        <v>442</v>
      </c>
      <c r="CY2756">
        <v>5.0199999999999996</v>
      </c>
      <c r="CZ2756">
        <v>0</v>
      </c>
      <c r="DA2756">
        <v>1.9</v>
      </c>
      <c r="DB2756">
        <v>1.61</v>
      </c>
      <c r="DC2756">
        <v>-0.06</v>
      </c>
      <c r="DD2756">
        <v>48.35</v>
      </c>
      <c r="DE2756" t="s">
        <v>2654</v>
      </c>
      <c r="DF2756">
        <v>11.58</v>
      </c>
      <c r="DG2756">
        <v>5.68</v>
      </c>
      <c r="DH2756">
        <v>3.43</v>
      </c>
      <c r="DI2756">
        <v>1.63</v>
      </c>
      <c r="DJ2756">
        <v>22759</v>
      </c>
      <c r="DK2756">
        <v>600489</v>
      </c>
      <c r="DL2756" t="s">
        <v>120</v>
      </c>
      <c r="DM2756" t="s">
        <v>120</v>
      </c>
      <c r="DN2756" t="s">
        <v>120</v>
      </c>
    </row>
    <row r="2757" spans="1:118">
      <c r="A2757" t="str">
        <f>"600490"</f>
        <v>600490</v>
      </c>
      <c r="B2757" t="s">
        <v>12367</v>
      </c>
      <c r="C2757">
        <v>-5.83</v>
      </c>
      <c r="D2757">
        <v>0.12</v>
      </c>
      <c r="E2757">
        <v>1.79</v>
      </c>
      <c r="F2757">
        <v>6374</v>
      </c>
      <c r="G2757" t="s">
        <v>12368</v>
      </c>
      <c r="H2757">
        <v>108633.87</v>
      </c>
      <c r="I2757">
        <v>268.04000000000002</v>
      </c>
      <c r="J2757" t="s">
        <v>120</v>
      </c>
      <c r="K2757" t="s">
        <v>12369</v>
      </c>
      <c r="L2757">
        <v>6.34</v>
      </c>
      <c r="M2757">
        <v>8.4</v>
      </c>
      <c r="N2757">
        <v>0.85</v>
      </c>
      <c r="O2757">
        <v>2.02</v>
      </c>
      <c r="P2757">
        <v>9.1</v>
      </c>
      <c r="Q2757">
        <v>-6.5</v>
      </c>
      <c r="R2757">
        <v>8.34</v>
      </c>
      <c r="S2757">
        <v>9.08</v>
      </c>
      <c r="T2757">
        <v>1263977</v>
      </c>
      <c r="U2757">
        <v>8.4</v>
      </c>
      <c r="V2757">
        <v>8.92</v>
      </c>
      <c r="W2757">
        <v>151.12</v>
      </c>
      <c r="X2757" t="s">
        <v>1398</v>
      </c>
      <c r="Y2757" t="s">
        <v>1510</v>
      </c>
      <c r="Z2757">
        <v>8.52</v>
      </c>
      <c r="AA2757">
        <v>8.59</v>
      </c>
      <c r="AB2757">
        <v>674782</v>
      </c>
      <c r="AC2757">
        <v>589195</v>
      </c>
      <c r="AD2757">
        <v>1.1499999999999999</v>
      </c>
      <c r="AE2757">
        <v>917</v>
      </c>
      <c r="AF2757">
        <v>1467</v>
      </c>
      <c r="AG2757" t="s">
        <v>120</v>
      </c>
      <c r="AH2757">
        <v>0.02</v>
      </c>
      <c r="AI2757" t="s">
        <v>120</v>
      </c>
      <c r="AJ2757">
        <v>19.93</v>
      </c>
      <c r="AK2757" t="s">
        <v>12370</v>
      </c>
      <c r="AL2757">
        <v>-4.49</v>
      </c>
      <c r="AM2757">
        <v>4593</v>
      </c>
      <c r="AN2757">
        <v>275</v>
      </c>
      <c r="AO2757">
        <v>1.4E-3</v>
      </c>
      <c r="AP2757">
        <v>-3</v>
      </c>
      <c r="AQ2757">
        <v>-0.89</v>
      </c>
      <c r="AR2757">
        <v>-7.28</v>
      </c>
      <c r="AS2757">
        <v>30.23</v>
      </c>
      <c r="AT2757">
        <v>123.7</v>
      </c>
      <c r="AU2757">
        <v>84.41</v>
      </c>
      <c r="AV2757">
        <v>7</v>
      </c>
      <c r="AW2757">
        <v>8.9600000000000009</v>
      </c>
      <c r="AX2757">
        <v>63.74</v>
      </c>
      <c r="AY2757">
        <v>35.46</v>
      </c>
      <c r="AZ2757">
        <v>42.65</v>
      </c>
      <c r="BA2757">
        <v>0.65</v>
      </c>
      <c r="BB2757" t="s">
        <v>143</v>
      </c>
      <c r="BF2757">
        <v>-3.65</v>
      </c>
      <c r="BG2757">
        <v>-7.49</v>
      </c>
      <c r="BH2757">
        <v>-7.69</v>
      </c>
      <c r="BI2757">
        <v>0.72</v>
      </c>
      <c r="BJ2757">
        <v>20210825</v>
      </c>
      <c r="BK2757">
        <v>20030626</v>
      </c>
      <c r="BL2757">
        <v>22.13</v>
      </c>
      <c r="BM2757" t="s">
        <v>120</v>
      </c>
      <c r="BN2757" t="s">
        <v>120</v>
      </c>
      <c r="BO2757">
        <v>83.94</v>
      </c>
      <c r="BP2757">
        <v>8.39</v>
      </c>
      <c r="BQ2757">
        <v>64.67</v>
      </c>
      <c r="BR2757">
        <v>-0.15</v>
      </c>
      <c r="BS2757">
        <v>23.14</v>
      </c>
      <c r="BT2757">
        <v>34.49</v>
      </c>
      <c r="BU2757">
        <v>23.65</v>
      </c>
      <c r="BV2757">
        <v>0.02</v>
      </c>
      <c r="BW2757">
        <v>18.86</v>
      </c>
      <c r="BX2757">
        <v>13.59</v>
      </c>
      <c r="BY2757">
        <v>13.36</v>
      </c>
      <c r="BZ2757">
        <v>0.34</v>
      </c>
      <c r="CA2757">
        <v>0.12</v>
      </c>
      <c r="CB2757">
        <v>32.71</v>
      </c>
      <c r="CC2757">
        <v>48.77</v>
      </c>
      <c r="CD2757">
        <v>45.72</v>
      </c>
      <c r="CE2757">
        <v>0.94</v>
      </c>
      <c r="CF2757">
        <v>0.21</v>
      </c>
      <c r="CG2757">
        <v>0.93</v>
      </c>
      <c r="CH2757">
        <v>0.83</v>
      </c>
      <c r="CI2757">
        <v>0.62</v>
      </c>
      <c r="CJ2757">
        <v>-0.52</v>
      </c>
      <c r="CK2757">
        <v>0.68</v>
      </c>
      <c r="CL2757">
        <v>10.55</v>
      </c>
      <c r="CM2757">
        <v>2.5299999999999998</v>
      </c>
      <c r="CN2757">
        <v>0.97</v>
      </c>
      <c r="CO2757">
        <v>74942</v>
      </c>
      <c r="CP2757">
        <v>18822</v>
      </c>
      <c r="CQ2757" t="s">
        <v>12371</v>
      </c>
      <c r="CR2757">
        <v>290.14999999999998</v>
      </c>
      <c r="CS2757">
        <v>40.17</v>
      </c>
      <c r="CT2757">
        <v>2.87</v>
      </c>
      <c r="CU2757">
        <v>73.36</v>
      </c>
      <c r="CV2757">
        <v>3.81</v>
      </c>
      <c r="CW2757">
        <v>0.72</v>
      </c>
      <c r="CX2757" t="s">
        <v>1808</v>
      </c>
      <c r="CY2757">
        <v>2.92</v>
      </c>
      <c r="CZ2757">
        <v>0</v>
      </c>
      <c r="DA2757">
        <v>1.48</v>
      </c>
      <c r="DB2757">
        <v>0.48</v>
      </c>
      <c r="DC2757">
        <v>0.11</v>
      </c>
      <c r="DD2757">
        <v>77.040000000000006</v>
      </c>
      <c r="DE2757" t="s">
        <v>344</v>
      </c>
      <c r="DF2757">
        <v>6.24</v>
      </c>
      <c r="DG2757">
        <v>1.92</v>
      </c>
      <c r="DH2757">
        <v>1.26</v>
      </c>
      <c r="DI2757" t="s">
        <v>120</v>
      </c>
      <c r="DJ2757">
        <v>1892</v>
      </c>
      <c r="DK2757">
        <v>600490</v>
      </c>
      <c r="DL2757">
        <v>20210907</v>
      </c>
      <c r="DM2757">
        <v>7.89</v>
      </c>
      <c r="DN2757">
        <v>6.46</v>
      </c>
    </row>
    <row r="2758" spans="1:118">
      <c r="A2758" t="str">
        <f>"600491"</f>
        <v>600491</v>
      </c>
      <c r="B2758" t="s">
        <v>12372</v>
      </c>
      <c r="C2758">
        <v>-2.5</v>
      </c>
      <c r="D2758">
        <v>0.81</v>
      </c>
      <c r="E2758">
        <v>0.47</v>
      </c>
      <c r="F2758">
        <v>3967</v>
      </c>
      <c r="G2758" t="s">
        <v>12373</v>
      </c>
      <c r="H2758">
        <v>29531.96</v>
      </c>
      <c r="I2758">
        <v>49.06</v>
      </c>
      <c r="J2758" t="s">
        <v>120</v>
      </c>
      <c r="K2758" t="s">
        <v>12374</v>
      </c>
      <c r="L2758">
        <v>3.05</v>
      </c>
      <c r="M2758">
        <v>6.24</v>
      </c>
      <c r="N2758">
        <v>1.1200000000000001</v>
      </c>
      <c r="O2758">
        <v>2.0299999999999998</v>
      </c>
      <c r="P2758">
        <v>6.53</v>
      </c>
      <c r="Q2758">
        <v>-3.44</v>
      </c>
      <c r="R2758">
        <v>6.18</v>
      </c>
      <c r="S2758">
        <v>6.43</v>
      </c>
      <c r="T2758">
        <v>467324</v>
      </c>
      <c r="U2758">
        <v>6.24</v>
      </c>
      <c r="V2758">
        <v>6.4</v>
      </c>
      <c r="W2758">
        <v>11.66</v>
      </c>
      <c r="X2758" t="s">
        <v>175</v>
      </c>
      <c r="Y2758" t="s">
        <v>585</v>
      </c>
      <c r="Z2758">
        <v>5.47</v>
      </c>
      <c r="AA2758">
        <v>6.32</v>
      </c>
      <c r="AB2758">
        <v>250707</v>
      </c>
      <c r="AC2758">
        <v>216617</v>
      </c>
      <c r="AD2758">
        <v>1.1599999999999999</v>
      </c>
      <c r="AE2758">
        <v>11</v>
      </c>
      <c r="AF2758">
        <v>1354</v>
      </c>
      <c r="AG2758" t="s">
        <v>120</v>
      </c>
      <c r="AH2758">
        <v>0.01</v>
      </c>
      <c r="AI2758" t="s">
        <v>120</v>
      </c>
      <c r="AJ2758">
        <v>15.3</v>
      </c>
      <c r="AK2758" t="s">
        <v>12374</v>
      </c>
      <c r="AL2758">
        <v>-1.1599999999999999</v>
      </c>
      <c r="AM2758">
        <v>3268</v>
      </c>
      <c r="AN2758">
        <v>143</v>
      </c>
      <c r="AO2758">
        <v>8.9999999999999998E-4</v>
      </c>
      <c r="AP2758">
        <v>-1</v>
      </c>
      <c r="AQ2758">
        <v>2.0699999999999998</v>
      </c>
      <c r="AR2758">
        <v>-4.88</v>
      </c>
      <c r="AS2758">
        <v>46.83</v>
      </c>
      <c r="AT2758">
        <v>20.23</v>
      </c>
      <c r="AU2758">
        <v>20.46</v>
      </c>
      <c r="AV2758">
        <v>1</v>
      </c>
      <c r="AW2758">
        <v>5.24</v>
      </c>
      <c r="AX2758">
        <v>58.3</v>
      </c>
      <c r="AY2758">
        <v>11.7</v>
      </c>
      <c r="AZ2758">
        <v>12.1</v>
      </c>
      <c r="BA2758">
        <v>0.96</v>
      </c>
      <c r="BB2758" t="s">
        <v>143</v>
      </c>
      <c r="BF2758">
        <v>-1.26</v>
      </c>
      <c r="BG2758">
        <v>-2.95</v>
      </c>
      <c r="BH2758">
        <v>-4.4400000000000004</v>
      </c>
      <c r="BI2758">
        <v>0.97</v>
      </c>
      <c r="BJ2758">
        <v>20210827</v>
      </c>
      <c r="BK2758">
        <v>20040524</v>
      </c>
      <c r="BL2758">
        <v>15.3</v>
      </c>
      <c r="BM2758" t="s">
        <v>120</v>
      </c>
      <c r="BN2758" t="s">
        <v>120</v>
      </c>
      <c r="BO2758">
        <v>639.84</v>
      </c>
      <c r="BP2758">
        <v>6.23</v>
      </c>
      <c r="BQ2758">
        <v>118.01</v>
      </c>
      <c r="BR2758">
        <v>10.68</v>
      </c>
      <c r="BS2758">
        <v>79.89</v>
      </c>
      <c r="BT2758">
        <v>521.49</v>
      </c>
      <c r="BU2758">
        <v>7.14</v>
      </c>
      <c r="BV2758">
        <v>0.9</v>
      </c>
      <c r="BW2758">
        <v>314.13</v>
      </c>
      <c r="BX2758">
        <v>36.03</v>
      </c>
      <c r="BY2758">
        <v>0.32</v>
      </c>
      <c r="BZ2758">
        <v>34.229999999999997</v>
      </c>
      <c r="CA2758" t="s">
        <v>120</v>
      </c>
      <c r="CB2758">
        <v>40.58</v>
      </c>
      <c r="CC2758">
        <v>102.99</v>
      </c>
      <c r="CD2758">
        <v>86.25</v>
      </c>
      <c r="CE2758">
        <v>5.88</v>
      </c>
      <c r="CF2758">
        <v>0.44</v>
      </c>
      <c r="CG2758">
        <v>5.86</v>
      </c>
      <c r="CH2758">
        <v>4.08</v>
      </c>
      <c r="CI2758">
        <v>4.09</v>
      </c>
      <c r="CJ2758">
        <v>-0.16</v>
      </c>
      <c r="CK2758">
        <v>3.39</v>
      </c>
      <c r="CL2758">
        <v>50.26</v>
      </c>
      <c r="CM2758">
        <v>-5.85</v>
      </c>
      <c r="CN2758">
        <v>1.95</v>
      </c>
      <c r="CO2758">
        <v>45855</v>
      </c>
      <c r="CP2758">
        <v>19450</v>
      </c>
      <c r="CQ2758" t="s">
        <v>8507</v>
      </c>
      <c r="CR2758">
        <v>7.31</v>
      </c>
      <c r="CS2758">
        <v>2.4500000000000002</v>
      </c>
      <c r="CT2758">
        <v>0.81</v>
      </c>
      <c r="CU2758">
        <v>-16.329999999999998</v>
      </c>
      <c r="CV2758">
        <v>0.93</v>
      </c>
      <c r="CW2758">
        <v>0.78</v>
      </c>
      <c r="CX2758" t="s">
        <v>1233</v>
      </c>
      <c r="CY2758">
        <v>7.71</v>
      </c>
      <c r="CZ2758">
        <v>0</v>
      </c>
      <c r="DA2758">
        <v>2.65</v>
      </c>
      <c r="DB2758">
        <v>3.29</v>
      </c>
      <c r="DC2758">
        <v>-0.38</v>
      </c>
      <c r="DD2758">
        <v>18.440000000000001</v>
      </c>
      <c r="DE2758" t="s">
        <v>2135</v>
      </c>
      <c r="DF2758">
        <v>16.25</v>
      </c>
      <c r="DG2758">
        <v>5.71</v>
      </c>
      <c r="DH2758">
        <v>3.97</v>
      </c>
      <c r="DI2758">
        <v>0.6</v>
      </c>
      <c r="DJ2758">
        <v>5035</v>
      </c>
      <c r="DK2758">
        <v>600491</v>
      </c>
      <c r="DL2758">
        <v>20210903</v>
      </c>
      <c r="DM2758">
        <v>6.23</v>
      </c>
      <c r="DN2758">
        <v>0.16</v>
      </c>
    </row>
    <row r="2759" spans="1:118">
      <c r="A2759" t="str">
        <f>"600493"</f>
        <v>600493</v>
      </c>
      <c r="B2759" t="s">
        <v>12375</v>
      </c>
      <c r="C2759">
        <v>-0.56000000000000005</v>
      </c>
      <c r="D2759">
        <v>0.37</v>
      </c>
      <c r="E2759">
        <v>-1.1100000000000001</v>
      </c>
      <c r="F2759">
        <v>178</v>
      </c>
      <c r="G2759" t="s">
        <v>12376</v>
      </c>
      <c r="H2759">
        <v>1948.75</v>
      </c>
      <c r="I2759">
        <v>3.73</v>
      </c>
      <c r="J2759" t="s">
        <v>120</v>
      </c>
      <c r="K2759" t="s">
        <v>12377</v>
      </c>
      <c r="L2759">
        <v>1.32</v>
      </c>
      <c r="M2759">
        <v>5.36</v>
      </c>
      <c r="N2759">
        <v>0.83</v>
      </c>
      <c r="O2759">
        <v>1.86</v>
      </c>
      <c r="P2759">
        <v>5.49</v>
      </c>
      <c r="Q2759">
        <v>-1.1100000000000001</v>
      </c>
      <c r="R2759">
        <v>5.33</v>
      </c>
      <c r="S2759">
        <v>5.33</v>
      </c>
      <c r="T2759">
        <v>36001</v>
      </c>
      <c r="U2759">
        <v>5.38</v>
      </c>
      <c r="V2759">
        <v>5.39</v>
      </c>
      <c r="W2759">
        <v>23.04</v>
      </c>
      <c r="X2759" t="s">
        <v>1766</v>
      </c>
      <c r="Y2759" t="s">
        <v>937</v>
      </c>
      <c r="Z2759">
        <v>2.97</v>
      </c>
      <c r="AA2759">
        <v>5.41</v>
      </c>
      <c r="AB2759">
        <v>15949</v>
      </c>
      <c r="AC2759">
        <v>20052</v>
      </c>
      <c r="AD2759">
        <v>0.8</v>
      </c>
      <c r="AE2759">
        <v>113</v>
      </c>
      <c r="AF2759">
        <v>193</v>
      </c>
      <c r="AG2759" t="s">
        <v>120</v>
      </c>
      <c r="AH2759">
        <v>0</v>
      </c>
      <c r="AI2759" t="s">
        <v>120</v>
      </c>
      <c r="AJ2759">
        <v>2.72</v>
      </c>
      <c r="AK2759" t="s">
        <v>12377</v>
      </c>
      <c r="AL2759">
        <v>0.79</v>
      </c>
      <c r="AM2759">
        <v>1425</v>
      </c>
      <c r="AN2759">
        <v>25</v>
      </c>
      <c r="AO2759">
        <v>8.9999999999999998E-4</v>
      </c>
      <c r="AP2759">
        <v>-1</v>
      </c>
      <c r="AQ2759">
        <v>1.51</v>
      </c>
      <c r="AR2759">
        <v>-0.74</v>
      </c>
      <c r="AS2759">
        <v>15.76</v>
      </c>
      <c r="AT2759">
        <v>9.61</v>
      </c>
      <c r="AU2759">
        <v>6.14</v>
      </c>
      <c r="AV2759">
        <v>0</v>
      </c>
      <c r="AW2759">
        <v>1.98</v>
      </c>
      <c r="AX2759">
        <v>66.98</v>
      </c>
      <c r="AY2759">
        <v>28.07</v>
      </c>
      <c r="AZ2759">
        <v>49.48</v>
      </c>
      <c r="BA2759">
        <v>0.64</v>
      </c>
      <c r="BB2759" t="s">
        <v>184</v>
      </c>
      <c r="BF2759">
        <v>0.43</v>
      </c>
      <c r="BG2759">
        <v>0.56000000000000005</v>
      </c>
      <c r="BH2759">
        <v>-2.37</v>
      </c>
      <c r="BI2759">
        <v>0.56000000000000005</v>
      </c>
      <c r="BJ2759">
        <v>20210830</v>
      </c>
      <c r="BK2759">
        <v>20040421</v>
      </c>
      <c r="BL2759">
        <v>2.72</v>
      </c>
      <c r="BM2759" t="s">
        <v>120</v>
      </c>
      <c r="BN2759" t="s">
        <v>120</v>
      </c>
      <c r="BO2759">
        <v>20.55</v>
      </c>
      <c r="BP2759">
        <v>5.36</v>
      </c>
      <c r="BQ2759">
        <v>7.88</v>
      </c>
      <c r="BR2759" t="s">
        <v>120</v>
      </c>
      <c r="BS2759">
        <v>61.67</v>
      </c>
      <c r="BT2759">
        <v>11.42</v>
      </c>
      <c r="BU2759">
        <v>2.0099999999999998</v>
      </c>
      <c r="BV2759">
        <v>0.91</v>
      </c>
      <c r="BW2759">
        <v>9.08</v>
      </c>
      <c r="BX2759">
        <v>2.93</v>
      </c>
      <c r="BY2759">
        <v>3.53</v>
      </c>
      <c r="BZ2759">
        <v>2.17</v>
      </c>
      <c r="CA2759" t="s">
        <v>120</v>
      </c>
      <c r="CB2759">
        <v>1.91</v>
      </c>
      <c r="CC2759">
        <v>5.97</v>
      </c>
      <c r="CD2759">
        <v>5.1100000000000003</v>
      </c>
      <c r="CE2759">
        <v>0.37</v>
      </c>
      <c r="CF2759">
        <v>0.03</v>
      </c>
      <c r="CG2759">
        <v>0.37</v>
      </c>
      <c r="CH2759">
        <v>0.32</v>
      </c>
      <c r="CI2759">
        <v>0.32</v>
      </c>
      <c r="CJ2759">
        <v>-0.03</v>
      </c>
      <c r="CK2759">
        <v>0.25</v>
      </c>
      <c r="CL2759">
        <v>2.2200000000000002</v>
      </c>
      <c r="CM2759">
        <v>0.53</v>
      </c>
      <c r="CN2759">
        <v>-0.96</v>
      </c>
      <c r="CO2759">
        <v>19630</v>
      </c>
      <c r="CP2759">
        <v>9281</v>
      </c>
      <c r="CQ2759" t="s">
        <v>7410</v>
      </c>
      <c r="CR2759">
        <v>250.05</v>
      </c>
      <c r="CS2759">
        <v>42.28</v>
      </c>
      <c r="CT2759">
        <v>1.85</v>
      </c>
      <c r="CU2759">
        <v>27.68</v>
      </c>
      <c r="CV2759">
        <v>2.44</v>
      </c>
      <c r="CW2759">
        <v>0.74</v>
      </c>
      <c r="CX2759" t="s">
        <v>8308</v>
      </c>
      <c r="CY2759">
        <v>2.9</v>
      </c>
      <c r="CZ2759">
        <v>0</v>
      </c>
      <c r="DA2759">
        <v>0.7</v>
      </c>
      <c r="DB2759">
        <v>0.82</v>
      </c>
      <c r="DC2759">
        <v>0.19</v>
      </c>
      <c r="DD2759">
        <v>38.33</v>
      </c>
      <c r="DE2759" t="s">
        <v>1363</v>
      </c>
      <c r="DF2759">
        <v>14.42</v>
      </c>
      <c r="DG2759">
        <v>6.2</v>
      </c>
      <c r="DH2759">
        <v>5.3</v>
      </c>
      <c r="DI2759">
        <v>0.11</v>
      </c>
      <c r="DJ2759">
        <v>1440</v>
      </c>
      <c r="DK2759">
        <v>600493</v>
      </c>
      <c r="DL2759" t="s">
        <v>120</v>
      </c>
      <c r="DM2759" t="s">
        <v>120</v>
      </c>
      <c r="DN2759" t="s">
        <v>120</v>
      </c>
    </row>
    <row r="2760" spans="1:118">
      <c r="A2760" t="str">
        <f>"600495"</f>
        <v>600495</v>
      </c>
      <c r="B2760" t="s">
        <v>12378</v>
      </c>
      <c r="C2760">
        <v>0.53</v>
      </c>
      <c r="D2760">
        <v>0</v>
      </c>
      <c r="E2760">
        <v>0.27</v>
      </c>
      <c r="F2760">
        <v>1852</v>
      </c>
      <c r="G2760" t="s">
        <v>12379</v>
      </c>
      <c r="H2760">
        <v>11545.8</v>
      </c>
      <c r="I2760">
        <v>36.79</v>
      </c>
      <c r="J2760" t="s">
        <v>120</v>
      </c>
      <c r="K2760" t="s">
        <v>2734</v>
      </c>
      <c r="L2760">
        <v>2.4900000000000002</v>
      </c>
      <c r="M2760">
        <v>3.76</v>
      </c>
      <c r="N2760">
        <v>1.88</v>
      </c>
      <c r="O2760">
        <v>5.08</v>
      </c>
      <c r="P2760">
        <v>3.93</v>
      </c>
      <c r="Q2760">
        <v>0.27</v>
      </c>
      <c r="R2760">
        <v>3.75</v>
      </c>
      <c r="S2760">
        <v>3.75</v>
      </c>
      <c r="T2760">
        <v>300396</v>
      </c>
      <c r="U2760">
        <v>3.77</v>
      </c>
      <c r="V2760">
        <v>3.74</v>
      </c>
      <c r="W2760" t="s">
        <v>120</v>
      </c>
      <c r="X2760" t="s">
        <v>157</v>
      </c>
      <c r="Y2760" t="s">
        <v>667</v>
      </c>
      <c r="Z2760">
        <v>4.8099999999999996</v>
      </c>
      <c r="AA2760">
        <v>3.84</v>
      </c>
      <c r="AB2760">
        <v>138798</v>
      </c>
      <c r="AC2760">
        <v>161598</v>
      </c>
      <c r="AD2760">
        <v>0.86</v>
      </c>
      <c r="AE2760">
        <v>2723</v>
      </c>
      <c r="AF2760">
        <v>1489</v>
      </c>
      <c r="AG2760" t="s">
        <v>120</v>
      </c>
      <c r="AH2760">
        <v>0.01</v>
      </c>
      <c r="AI2760" t="s">
        <v>120</v>
      </c>
      <c r="AJ2760">
        <v>12.08</v>
      </c>
      <c r="AK2760" t="s">
        <v>2734</v>
      </c>
      <c r="AL2760">
        <v>1.88</v>
      </c>
      <c r="AM2760">
        <v>2218</v>
      </c>
      <c r="AN2760">
        <v>135</v>
      </c>
      <c r="AO2760">
        <v>1.1000000000000001E-3</v>
      </c>
      <c r="AP2760">
        <v>2</v>
      </c>
      <c r="AQ2760">
        <v>1.08</v>
      </c>
      <c r="AR2760">
        <v>-1.05</v>
      </c>
      <c r="AS2760">
        <v>8.99</v>
      </c>
      <c r="AT2760">
        <v>3.78</v>
      </c>
      <c r="AU2760">
        <v>-8.36</v>
      </c>
      <c r="AV2760">
        <v>1</v>
      </c>
      <c r="AW2760">
        <v>3.6</v>
      </c>
      <c r="AX2760">
        <v>68.989999999999995</v>
      </c>
      <c r="AY2760" t="s">
        <v>120</v>
      </c>
      <c r="AZ2760">
        <v>223.21</v>
      </c>
      <c r="BA2760">
        <v>0.81</v>
      </c>
      <c r="BB2760" t="s">
        <v>240</v>
      </c>
      <c r="BF2760">
        <v>2.77</v>
      </c>
      <c r="BG2760">
        <v>0.27</v>
      </c>
      <c r="BH2760">
        <v>-4.33</v>
      </c>
      <c r="BI2760">
        <v>0.27</v>
      </c>
      <c r="BJ2760">
        <v>20210818</v>
      </c>
      <c r="BK2760">
        <v>20040526</v>
      </c>
      <c r="BL2760">
        <v>12.08</v>
      </c>
      <c r="BM2760" t="s">
        <v>120</v>
      </c>
      <c r="BN2760" t="s">
        <v>120</v>
      </c>
      <c r="BO2760">
        <v>36.74</v>
      </c>
      <c r="BP2760">
        <v>3.76</v>
      </c>
      <c r="BQ2760">
        <v>31.66</v>
      </c>
      <c r="BR2760" t="s">
        <v>120</v>
      </c>
      <c r="BS2760">
        <v>13.83</v>
      </c>
      <c r="BT2760">
        <v>20.59</v>
      </c>
      <c r="BU2760">
        <v>12.4</v>
      </c>
      <c r="BV2760">
        <v>1.05</v>
      </c>
      <c r="BW2760">
        <v>4.16</v>
      </c>
      <c r="BX2760">
        <v>4.2300000000000004</v>
      </c>
      <c r="BY2760">
        <v>4.9400000000000004</v>
      </c>
      <c r="BZ2760">
        <v>1.57</v>
      </c>
      <c r="CA2760">
        <v>0</v>
      </c>
      <c r="CB2760">
        <v>11.6</v>
      </c>
      <c r="CC2760">
        <v>2.88</v>
      </c>
      <c r="CD2760">
        <v>2.85</v>
      </c>
      <c r="CE2760">
        <v>-0.56999999999999995</v>
      </c>
      <c r="CF2760">
        <v>0.14000000000000001</v>
      </c>
      <c r="CG2760">
        <v>-0.54</v>
      </c>
      <c r="CH2760">
        <v>-0.55000000000000004</v>
      </c>
      <c r="CI2760">
        <v>-0.55000000000000004</v>
      </c>
      <c r="CJ2760">
        <v>0.02</v>
      </c>
      <c r="CK2760">
        <v>-0.71</v>
      </c>
      <c r="CL2760">
        <v>5.43</v>
      </c>
      <c r="CM2760">
        <v>-1.32</v>
      </c>
      <c r="CN2760">
        <v>-2.8</v>
      </c>
      <c r="CO2760">
        <v>103025</v>
      </c>
      <c r="CP2760">
        <v>8091</v>
      </c>
      <c r="CQ2760" t="s">
        <v>3888</v>
      </c>
      <c r="CR2760">
        <v>-341.1</v>
      </c>
      <c r="CS2760">
        <v>-32.93</v>
      </c>
      <c r="CT2760">
        <v>1.44</v>
      </c>
      <c r="CU2760">
        <v>-34.380000000000003</v>
      </c>
      <c r="CV2760">
        <v>15.79</v>
      </c>
      <c r="CW2760">
        <v>0.19</v>
      </c>
      <c r="CX2760" t="s">
        <v>161</v>
      </c>
      <c r="CY2760">
        <v>2.62</v>
      </c>
      <c r="CZ2760">
        <v>0</v>
      </c>
      <c r="DA2760">
        <v>0.96</v>
      </c>
      <c r="DB2760">
        <v>0.45</v>
      </c>
      <c r="DC2760">
        <v>-0.11</v>
      </c>
      <c r="DD2760">
        <v>86.17</v>
      </c>
      <c r="DE2760" t="s">
        <v>12380</v>
      </c>
      <c r="DF2760">
        <v>0.91</v>
      </c>
      <c r="DG2760">
        <v>-19.64</v>
      </c>
      <c r="DH2760">
        <v>-19.09</v>
      </c>
      <c r="DI2760">
        <v>0.25</v>
      </c>
      <c r="DJ2760">
        <v>1313</v>
      </c>
      <c r="DK2760">
        <v>600495</v>
      </c>
      <c r="DL2760" t="s">
        <v>120</v>
      </c>
      <c r="DM2760" t="s">
        <v>120</v>
      </c>
      <c r="DN2760" t="s">
        <v>120</v>
      </c>
    </row>
    <row r="2761" spans="1:118">
      <c r="A2761" t="str">
        <f>"600496"</f>
        <v>600496</v>
      </c>
      <c r="B2761" t="s">
        <v>12381</v>
      </c>
      <c r="C2761">
        <v>-0.7</v>
      </c>
      <c r="D2761">
        <v>-0.22</v>
      </c>
      <c r="E2761">
        <v>0.7</v>
      </c>
      <c r="F2761">
        <v>1723</v>
      </c>
      <c r="G2761" t="s">
        <v>12382</v>
      </c>
      <c r="H2761">
        <v>20059.5</v>
      </c>
      <c r="I2761">
        <v>139.30000000000001</v>
      </c>
      <c r="J2761" t="s">
        <v>120</v>
      </c>
      <c r="K2761" t="s">
        <v>12383</v>
      </c>
      <c r="L2761">
        <v>2.29</v>
      </c>
      <c r="M2761">
        <v>4.2699999999999996</v>
      </c>
      <c r="N2761">
        <v>0.81</v>
      </c>
      <c r="O2761">
        <v>3.49</v>
      </c>
      <c r="P2761">
        <v>4.45</v>
      </c>
      <c r="Q2761">
        <v>-0.93</v>
      </c>
      <c r="R2761">
        <v>4.26</v>
      </c>
      <c r="S2761">
        <v>4.33</v>
      </c>
      <c r="T2761">
        <v>460573</v>
      </c>
      <c r="U2761">
        <v>4.28</v>
      </c>
      <c r="V2761">
        <v>4.3</v>
      </c>
      <c r="W2761">
        <v>13.01</v>
      </c>
      <c r="X2761" t="s">
        <v>1925</v>
      </c>
      <c r="Y2761" t="s">
        <v>570</v>
      </c>
      <c r="Z2761">
        <v>4.42</v>
      </c>
      <c r="AA2761">
        <v>4.3600000000000003</v>
      </c>
      <c r="AB2761">
        <v>261822</v>
      </c>
      <c r="AC2761">
        <v>198751</v>
      </c>
      <c r="AD2761">
        <v>1.32</v>
      </c>
      <c r="AE2761">
        <v>5396</v>
      </c>
      <c r="AF2761">
        <v>1203</v>
      </c>
      <c r="AG2761" t="s">
        <v>120</v>
      </c>
      <c r="AH2761">
        <v>0.02</v>
      </c>
      <c r="AI2761" t="s">
        <v>120</v>
      </c>
      <c r="AJ2761">
        <v>20.13</v>
      </c>
      <c r="AK2761" t="s">
        <v>12383</v>
      </c>
      <c r="AL2761">
        <v>0.65</v>
      </c>
      <c r="AM2761">
        <v>3194</v>
      </c>
      <c r="AN2761">
        <v>144</v>
      </c>
      <c r="AO2761">
        <v>6.9999999999999999E-4</v>
      </c>
      <c r="AP2761">
        <v>-1</v>
      </c>
      <c r="AQ2761">
        <v>0.47</v>
      </c>
      <c r="AR2761">
        <v>-3.82</v>
      </c>
      <c r="AS2761">
        <v>14.17</v>
      </c>
      <c r="AT2761">
        <v>1.19</v>
      </c>
      <c r="AU2761">
        <v>-4.04</v>
      </c>
      <c r="AV2761">
        <v>1</v>
      </c>
      <c r="AW2761">
        <v>3.12</v>
      </c>
      <c r="AX2761">
        <v>73.319999999999993</v>
      </c>
      <c r="AY2761">
        <v>12.21</v>
      </c>
      <c r="AZ2761">
        <v>13.35</v>
      </c>
      <c r="BA2761">
        <v>1.04</v>
      </c>
      <c r="BB2761" t="s">
        <v>143</v>
      </c>
      <c r="BF2761">
        <v>1.29</v>
      </c>
      <c r="BG2761">
        <v>-1.39</v>
      </c>
      <c r="BH2761">
        <v>-4.04</v>
      </c>
      <c r="BI2761">
        <v>0.23</v>
      </c>
      <c r="BJ2761">
        <v>20210831</v>
      </c>
      <c r="BK2761">
        <v>20020605</v>
      </c>
      <c r="BL2761">
        <v>20.13</v>
      </c>
      <c r="BM2761" t="s">
        <v>120</v>
      </c>
      <c r="BN2761" t="s">
        <v>120</v>
      </c>
      <c r="BO2761">
        <v>168.25</v>
      </c>
      <c r="BP2761">
        <v>4.2699999999999996</v>
      </c>
      <c r="BQ2761">
        <v>74.34</v>
      </c>
      <c r="BR2761">
        <v>0.14000000000000001</v>
      </c>
      <c r="BS2761">
        <v>55.74</v>
      </c>
      <c r="BT2761">
        <v>125.64</v>
      </c>
      <c r="BU2761">
        <v>8.73</v>
      </c>
      <c r="BV2761">
        <v>3.71</v>
      </c>
      <c r="BW2761">
        <v>91</v>
      </c>
      <c r="BX2761">
        <v>22.25</v>
      </c>
      <c r="BY2761">
        <v>14.56</v>
      </c>
      <c r="BZ2761">
        <v>20.399999999999999</v>
      </c>
      <c r="CA2761">
        <v>0</v>
      </c>
      <c r="CB2761">
        <v>16.690000000000001</v>
      </c>
      <c r="CC2761">
        <v>64.36</v>
      </c>
      <c r="CD2761">
        <v>55.22</v>
      </c>
      <c r="CE2761">
        <v>3.39</v>
      </c>
      <c r="CF2761">
        <v>0.34</v>
      </c>
      <c r="CG2761">
        <v>3.45</v>
      </c>
      <c r="CH2761">
        <v>3.28</v>
      </c>
      <c r="CI2761">
        <v>3.3</v>
      </c>
      <c r="CJ2761">
        <v>-0.03</v>
      </c>
      <c r="CK2761">
        <v>3.08</v>
      </c>
      <c r="CL2761">
        <v>31.12</v>
      </c>
      <c r="CM2761">
        <v>-4.8899999999999997</v>
      </c>
      <c r="CN2761">
        <v>-9.18</v>
      </c>
      <c r="CO2761">
        <v>133520</v>
      </c>
      <c r="CP2761">
        <v>11053</v>
      </c>
      <c r="CQ2761" t="s">
        <v>1431</v>
      </c>
      <c r="CR2761">
        <v>22.51</v>
      </c>
      <c r="CS2761">
        <v>36.549999999999997</v>
      </c>
      <c r="CT2761">
        <v>1.1599999999999999</v>
      </c>
      <c r="CU2761">
        <v>-17.579999999999998</v>
      </c>
      <c r="CV2761">
        <v>1.34</v>
      </c>
      <c r="CW2761">
        <v>0.7</v>
      </c>
      <c r="CX2761" t="s">
        <v>3394</v>
      </c>
      <c r="CY2761">
        <v>3.69</v>
      </c>
      <c r="CZ2761">
        <v>0</v>
      </c>
      <c r="DA2761">
        <v>0.83</v>
      </c>
      <c r="DB2761">
        <v>1.55</v>
      </c>
      <c r="DC2761">
        <v>-0.24</v>
      </c>
      <c r="DD2761">
        <v>44.18</v>
      </c>
      <c r="DE2761" t="s">
        <v>4256</v>
      </c>
      <c r="DF2761">
        <v>14.2</v>
      </c>
      <c r="DG2761">
        <v>5.27</v>
      </c>
      <c r="DH2761">
        <v>5.13</v>
      </c>
      <c r="DI2761">
        <v>2.65</v>
      </c>
      <c r="DJ2761">
        <v>6836</v>
      </c>
      <c r="DK2761">
        <v>600496</v>
      </c>
      <c r="DL2761" t="s">
        <v>120</v>
      </c>
      <c r="DM2761" t="s">
        <v>120</v>
      </c>
      <c r="DN2761" t="s">
        <v>120</v>
      </c>
    </row>
    <row r="2762" spans="1:118">
      <c r="A2762" t="str">
        <f>"600497"</f>
        <v>600497</v>
      </c>
      <c r="B2762" t="s">
        <v>12384</v>
      </c>
      <c r="C2762">
        <v>-3.45</v>
      </c>
      <c r="D2762">
        <v>0.17</v>
      </c>
      <c r="E2762">
        <v>0.16</v>
      </c>
      <c r="F2762">
        <v>7395</v>
      </c>
      <c r="G2762" t="s">
        <v>12385</v>
      </c>
      <c r="H2762">
        <v>106203.66</v>
      </c>
      <c r="I2762">
        <v>531.6</v>
      </c>
      <c r="J2762" t="s">
        <v>120</v>
      </c>
      <c r="K2762" t="s">
        <v>12386</v>
      </c>
      <c r="L2762">
        <v>3.47</v>
      </c>
      <c r="M2762">
        <v>5.87</v>
      </c>
      <c r="N2762">
        <v>0.65</v>
      </c>
      <c r="O2762">
        <v>2.4700000000000002</v>
      </c>
      <c r="P2762">
        <v>6.23</v>
      </c>
      <c r="Q2762">
        <v>-3.78</v>
      </c>
      <c r="R2762">
        <v>5.85</v>
      </c>
      <c r="S2762">
        <v>6.09</v>
      </c>
      <c r="T2762">
        <v>1764593</v>
      </c>
      <c r="U2762">
        <v>5.87</v>
      </c>
      <c r="V2762">
        <v>6.08</v>
      </c>
      <c r="W2762">
        <v>25.02</v>
      </c>
      <c r="X2762" t="s">
        <v>439</v>
      </c>
      <c r="Y2762" t="s">
        <v>1006</v>
      </c>
      <c r="Z2762">
        <v>6.25</v>
      </c>
      <c r="AA2762">
        <v>6.02</v>
      </c>
      <c r="AB2762">
        <v>929732</v>
      </c>
      <c r="AC2762">
        <v>834861</v>
      </c>
      <c r="AD2762">
        <v>1.1100000000000001</v>
      </c>
      <c r="AE2762">
        <v>3263</v>
      </c>
      <c r="AF2762">
        <v>4369</v>
      </c>
      <c r="AG2762" t="s">
        <v>120</v>
      </c>
      <c r="AH2762">
        <v>0.03</v>
      </c>
      <c r="AI2762" t="s">
        <v>120</v>
      </c>
      <c r="AJ2762">
        <v>50.91</v>
      </c>
      <c r="AK2762" t="s">
        <v>12386</v>
      </c>
      <c r="AL2762">
        <v>-2.11</v>
      </c>
      <c r="AM2762">
        <v>4640</v>
      </c>
      <c r="AN2762">
        <v>380</v>
      </c>
      <c r="AO2762">
        <v>6.9999999999999999E-4</v>
      </c>
      <c r="AP2762">
        <v>-1</v>
      </c>
      <c r="AQ2762">
        <v>2.1800000000000002</v>
      </c>
      <c r="AR2762">
        <v>-8.15</v>
      </c>
      <c r="AS2762">
        <v>16.010000000000002</v>
      </c>
      <c r="AT2762">
        <v>35.25</v>
      </c>
      <c r="AU2762">
        <v>23.58</v>
      </c>
      <c r="AV2762">
        <v>5</v>
      </c>
      <c r="AW2762">
        <v>6.12</v>
      </c>
      <c r="AX2762">
        <v>56.6</v>
      </c>
      <c r="AY2762">
        <v>44.23</v>
      </c>
      <c r="AZ2762">
        <v>65.63</v>
      </c>
      <c r="BA2762">
        <v>0.25</v>
      </c>
      <c r="BB2762" t="s">
        <v>240</v>
      </c>
      <c r="BF2762">
        <v>-1.01</v>
      </c>
      <c r="BG2762">
        <v>-3.61</v>
      </c>
      <c r="BH2762">
        <v>-5.78</v>
      </c>
      <c r="BI2762">
        <v>0.34</v>
      </c>
      <c r="BJ2762">
        <v>20210816</v>
      </c>
      <c r="BK2762">
        <v>20040420</v>
      </c>
      <c r="BL2762">
        <v>50.91</v>
      </c>
      <c r="BM2762" t="s">
        <v>120</v>
      </c>
      <c r="BN2762" t="s">
        <v>120</v>
      </c>
      <c r="BO2762">
        <v>296.8</v>
      </c>
      <c r="BP2762">
        <v>5.86</v>
      </c>
      <c r="BQ2762">
        <v>149.94</v>
      </c>
      <c r="BR2762">
        <v>24.16</v>
      </c>
      <c r="BS2762">
        <v>41.34</v>
      </c>
      <c r="BT2762">
        <v>31.31</v>
      </c>
      <c r="BU2762">
        <v>103.4</v>
      </c>
      <c r="BV2762">
        <v>110.88</v>
      </c>
      <c r="BW2762">
        <v>61.45</v>
      </c>
      <c r="BX2762">
        <v>7.12</v>
      </c>
      <c r="BY2762">
        <v>18.68</v>
      </c>
      <c r="BZ2762">
        <v>0.47</v>
      </c>
      <c r="CA2762" t="s">
        <v>120</v>
      </c>
      <c r="CB2762">
        <v>81.819999999999993</v>
      </c>
      <c r="CC2762">
        <v>105.06</v>
      </c>
      <c r="CD2762">
        <v>89.03</v>
      </c>
      <c r="CE2762">
        <v>7.12</v>
      </c>
      <c r="CF2762">
        <v>0</v>
      </c>
      <c r="CG2762">
        <v>7.28</v>
      </c>
      <c r="CH2762">
        <v>5.92</v>
      </c>
      <c r="CI2762">
        <v>5.97</v>
      </c>
      <c r="CJ2762">
        <v>-0.21</v>
      </c>
      <c r="CK2762">
        <v>5.45</v>
      </c>
      <c r="CL2762">
        <v>8.85</v>
      </c>
      <c r="CM2762">
        <v>9.27</v>
      </c>
      <c r="CN2762">
        <v>-1.27</v>
      </c>
      <c r="CO2762">
        <v>178095</v>
      </c>
      <c r="CP2762">
        <v>16180</v>
      </c>
      <c r="CQ2762" t="s">
        <v>11851</v>
      </c>
      <c r="CR2762">
        <v>61.81</v>
      </c>
      <c r="CS2762">
        <v>27.17</v>
      </c>
      <c r="CT2762">
        <v>1.99</v>
      </c>
      <c r="CU2762">
        <v>32.22</v>
      </c>
      <c r="CV2762">
        <v>2.84</v>
      </c>
      <c r="CW2762">
        <v>0.82</v>
      </c>
      <c r="CX2762" t="s">
        <v>4897</v>
      </c>
      <c r="CY2762">
        <v>2.95</v>
      </c>
      <c r="CZ2762">
        <v>0</v>
      </c>
      <c r="DA2762">
        <v>1.61</v>
      </c>
      <c r="DB2762">
        <v>0.17</v>
      </c>
      <c r="DC2762">
        <v>0.18</v>
      </c>
      <c r="DD2762">
        <v>50.52</v>
      </c>
      <c r="DE2762" t="s">
        <v>12387</v>
      </c>
      <c r="DF2762">
        <v>15.25</v>
      </c>
      <c r="DG2762">
        <v>6.78</v>
      </c>
      <c r="DH2762">
        <v>5.68</v>
      </c>
      <c r="DI2762">
        <v>0.22</v>
      </c>
      <c r="DJ2762">
        <v>9735</v>
      </c>
      <c r="DK2762">
        <v>600497</v>
      </c>
      <c r="DL2762">
        <v>20210810</v>
      </c>
      <c r="DM2762">
        <v>5.45</v>
      </c>
      <c r="DN2762">
        <v>7.71</v>
      </c>
    </row>
    <row r="2763" spans="1:118">
      <c r="A2763" t="str">
        <f>"600498"</f>
        <v>600498</v>
      </c>
      <c r="B2763" t="s">
        <v>12388</v>
      </c>
      <c r="C2763">
        <v>-1.42</v>
      </c>
      <c r="D2763">
        <v>0.5</v>
      </c>
      <c r="E2763">
        <v>-0.05</v>
      </c>
      <c r="F2763">
        <v>953</v>
      </c>
      <c r="G2763" t="s">
        <v>12389</v>
      </c>
      <c r="H2763">
        <v>14896.6</v>
      </c>
      <c r="I2763">
        <v>20.54</v>
      </c>
      <c r="J2763" t="s">
        <v>120</v>
      </c>
      <c r="K2763" t="s">
        <v>3442</v>
      </c>
      <c r="L2763">
        <v>0.72</v>
      </c>
      <c r="M2763">
        <v>18.09</v>
      </c>
      <c r="N2763">
        <v>0.96</v>
      </c>
      <c r="O2763">
        <v>0.33</v>
      </c>
      <c r="P2763">
        <v>18.41</v>
      </c>
      <c r="Q2763">
        <v>-1.91</v>
      </c>
      <c r="R2763">
        <v>18</v>
      </c>
      <c r="S2763">
        <v>18.34</v>
      </c>
      <c r="T2763">
        <v>81787</v>
      </c>
      <c r="U2763">
        <v>18.09</v>
      </c>
      <c r="V2763">
        <v>18.350000000000001</v>
      </c>
      <c r="W2763">
        <v>68.14</v>
      </c>
      <c r="X2763" t="s">
        <v>462</v>
      </c>
      <c r="Y2763" t="s">
        <v>763</v>
      </c>
      <c r="Z2763">
        <v>2.23</v>
      </c>
      <c r="AA2763">
        <v>18.21</v>
      </c>
      <c r="AB2763">
        <v>48744</v>
      </c>
      <c r="AC2763">
        <v>33043</v>
      </c>
      <c r="AD2763">
        <v>1.48</v>
      </c>
      <c r="AE2763">
        <v>6</v>
      </c>
      <c r="AF2763">
        <v>123</v>
      </c>
      <c r="AG2763" t="s">
        <v>120</v>
      </c>
      <c r="AH2763">
        <v>0</v>
      </c>
      <c r="AI2763" t="s">
        <v>120</v>
      </c>
      <c r="AJ2763">
        <v>11.32</v>
      </c>
      <c r="AK2763" t="s">
        <v>3442</v>
      </c>
      <c r="AL2763">
        <v>-7.0000000000000007E-2</v>
      </c>
      <c r="AM2763">
        <v>2924</v>
      </c>
      <c r="AN2763">
        <v>28</v>
      </c>
      <c r="AO2763">
        <v>2.0000000000000001E-4</v>
      </c>
      <c r="AP2763">
        <v>-1</v>
      </c>
      <c r="AQ2763">
        <v>0.11</v>
      </c>
      <c r="AR2763">
        <v>-1.04</v>
      </c>
      <c r="AS2763">
        <v>-6.95</v>
      </c>
      <c r="AT2763">
        <v>-2.3199999999999998</v>
      </c>
      <c r="AU2763">
        <v>-24.62</v>
      </c>
      <c r="AV2763">
        <v>2</v>
      </c>
      <c r="AW2763">
        <v>1.28</v>
      </c>
      <c r="AX2763">
        <v>56.33</v>
      </c>
      <c r="AY2763">
        <v>105.54</v>
      </c>
      <c r="AZ2763">
        <v>202.99</v>
      </c>
      <c r="BA2763">
        <v>0.65</v>
      </c>
      <c r="BB2763" t="s">
        <v>143</v>
      </c>
      <c r="BF2763">
        <v>-0.74</v>
      </c>
      <c r="BG2763">
        <v>-1.36</v>
      </c>
      <c r="BH2763">
        <v>-1.74</v>
      </c>
      <c r="BI2763">
        <v>0.5</v>
      </c>
      <c r="BJ2763">
        <v>20210828</v>
      </c>
      <c r="BK2763">
        <v>20010823</v>
      </c>
      <c r="BL2763">
        <v>11.32</v>
      </c>
      <c r="BM2763" t="s">
        <v>120</v>
      </c>
      <c r="BN2763" t="s">
        <v>120</v>
      </c>
      <c r="BO2763">
        <v>352.18</v>
      </c>
      <c r="BP2763">
        <v>18.079999999999998</v>
      </c>
      <c r="BQ2763">
        <v>115.85</v>
      </c>
      <c r="BR2763">
        <v>7.71</v>
      </c>
      <c r="BS2763">
        <v>64.92</v>
      </c>
      <c r="BT2763">
        <v>256.79000000000002</v>
      </c>
      <c r="BU2763">
        <v>33.25</v>
      </c>
      <c r="BV2763">
        <v>9.77</v>
      </c>
      <c r="BW2763">
        <v>158.11000000000001</v>
      </c>
      <c r="BX2763">
        <v>37.44</v>
      </c>
      <c r="BY2763">
        <v>136.63999999999999</v>
      </c>
      <c r="BZ2763">
        <v>56.9</v>
      </c>
      <c r="CA2763">
        <v>0.01</v>
      </c>
      <c r="CB2763">
        <v>52.3</v>
      </c>
      <c r="CC2763">
        <v>120.09</v>
      </c>
      <c r="CD2763">
        <v>95.84</v>
      </c>
      <c r="CE2763">
        <v>1.66</v>
      </c>
      <c r="CF2763">
        <v>1.55</v>
      </c>
      <c r="CG2763">
        <v>1.68</v>
      </c>
      <c r="CH2763">
        <v>1.6</v>
      </c>
      <c r="CI2763">
        <v>1.5</v>
      </c>
      <c r="CJ2763">
        <v>-0.26</v>
      </c>
      <c r="CK2763">
        <v>1.4</v>
      </c>
      <c r="CL2763">
        <v>41.19</v>
      </c>
      <c r="CM2763">
        <v>-35.770000000000003</v>
      </c>
      <c r="CN2763">
        <v>-1.97</v>
      </c>
      <c r="CO2763">
        <v>131748</v>
      </c>
      <c r="CP2763">
        <v>4838</v>
      </c>
      <c r="CQ2763" t="s">
        <v>3574</v>
      </c>
      <c r="CR2763">
        <v>169.4</v>
      </c>
      <c r="CS2763">
        <v>27.22</v>
      </c>
      <c r="CT2763">
        <v>1.89</v>
      </c>
      <c r="CU2763">
        <v>-5.72</v>
      </c>
      <c r="CV2763">
        <v>1.7</v>
      </c>
      <c r="CW2763">
        <v>0.44</v>
      </c>
      <c r="CX2763" t="s">
        <v>986</v>
      </c>
      <c r="CY2763">
        <v>9.59</v>
      </c>
      <c r="CZ2763">
        <v>9.59</v>
      </c>
      <c r="DA2763">
        <v>4.62</v>
      </c>
      <c r="DB2763">
        <v>3.64</v>
      </c>
      <c r="DC2763">
        <v>-3.16</v>
      </c>
      <c r="DD2763">
        <v>32.89</v>
      </c>
      <c r="DE2763" t="s">
        <v>7565</v>
      </c>
      <c r="DF2763">
        <v>20.190000000000001</v>
      </c>
      <c r="DG2763">
        <v>1.38</v>
      </c>
      <c r="DH2763">
        <v>1.25</v>
      </c>
      <c r="DI2763">
        <v>13.93</v>
      </c>
      <c r="DJ2763">
        <v>15986</v>
      </c>
      <c r="DK2763">
        <v>600498</v>
      </c>
      <c r="DL2763" t="s">
        <v>120</v>
      </c>
      <c r="DM2763" t="s">
        <v>120</v>
      </c>
      <c r="DN2763" t="s">
        <v>120</v>
      </c>
    </row>
    <row r="2764" spans="1:118">
      <c r="A2764" t="str">
        <f>"600499"</f>
        <v>600499</v>
      </c>
      <c r="B2764" t="s">
        <v>12390</v>
      </c>
      <c r="C2764">
        <v>-7.59</v>
      </c>
      <c r="D2764">
        <v>-0.24</v>
      </c>
      <c r="E2764">
        <v>-1.47</v>
      </c>
      <c r="F2764">
        <v>25570</v>
      </c>
      <c r="G2764" t="s">
        <v>12391</v>
      </c>
      <c r="H2764">
        <v>354295.06</v>
      </c>
      <c r="I2764">
        <v>5988.18</v>
      </c>
      <c r="J2764" t="s">
        <v>120</v>
      </c>
      <c r="K2764" t="s">
        <v>12392</v>
      </c>
      <c r="L2764">
        <v>10.66</v>
      </c>
      <c r="M2764">
        <v>20.09</v>
      </c>
      <c r="N2764">
        <v>1.34</v>
      </c>
      <c r="O2764">
        <v>2.02</v>
      </c>
      <c r="P2764">
        <v>22.18</v>
      </c>
      <c r="Q2764">
        <v>-8.6</v>
      </c>
      <c r="R2764">
        <v>19.87</v>
      </c>
      <c r="S2764">
        <v>21.42</v>
      </c>
      <c r="T2764">
        <v>1680764</v>
      </c>
      <c r="U2764">
        <v>20.100000000000001</v>
      </c>
      <c r="V2764">
        <v>21.74</v>
      </c>
      <c r="W2764">
        <v>46.33</v>
      </c>
      <c r="X2764" t="s">
        <v>675</v>
      </c>
      <c r="Y2764" t="s">
        <v>547</v>
      </c>
      <c r="Z2764">
        <v>10.63</v>
      </c>
      <c r="AA2764">
        <v>21.08</v>
      </c>
      <c r="AB2764">
        <v>899518</v>
      </c>
      <c r="AC2764">
        <v>781246</v>
      </c>
      <c r="AD2764">
        <v>1.1499999999999999</v>
      </c>
      <c r="AE2764">
        <v>567</v>
      </c>
      <c r="AF2764">
        <v>582</v>
      </c>
      <c r="AG2764" t="s">
        <v>120</v>
      </c>
      <c r="AH2764">
        <v>0.28000000000000003</v>
      </c>
      <c r="AI2764" t="s">
        <v>120</v>
      </c>
      <c r="AJ2764">
        <v>15.77</v>
      </c>
      <c r="AK2764" t="s">
        <v>12393</v>
      </c>
      <c r="AL2764">
        <v>-6.25</v>
      </c>
      <c r="AM2764">
        <v>4738</v>
      </c>
      <c r="AN2764">
        <v>355</v>
      </c>
      <c r="AO2764">
        <v>2.2000000000000001E-3</v>
      </c>
      <c r="AP2764">
        <v>-1</v>
      </c>
      <c r="AQ2764">
        <v>7.2</v>
      </c>
      <c r="AR2764">
        <v>8.9499999999999993</v>
      </c>
      <c r="AS2764">
        <v>6.18</v>
      </c>
      <c r="AT2764">
        <v>47.94</v>
      </c>
      <c r="AU2764">
        <v>190.74</v>
      </c>
      <c r="AV2764">
        <v>13</v>
      </c>
      <c r="AW2764">
        <v>16.61</v>
      </c>
      <c r="AX2764">
        <v>53.58</v>
      </c>
      <c r="AY2764">
        <v>66.97</v>
      </c>
      <c r="AZ2764">
        <v>144.31</v>
      </c>
      <c r="BA2764">
        <v>0.66</v>
      </c>
      <c r="BB2764" t="s">
        <v>700</v>
      </c>
      <c r="BF2764">
        <v>-3.04</v>
      </c>
      <c r="BG2764">
        <v>-6.21</v>
      </c>
      <c r="BH2764">
        <v>-9.42</v>
      </c>
      <c r="BI2764">
        <v>1.1100000000000001</v>
      </c>
      <c r="BJ2764">
        <v>20210814</v>
      </c>
      <c r="BK2764">
        <v>20021010</v>
      </c>
      <c r="BL2764">
        <v>18.88</v>
      </c>
      <c r="BM2764" t="s">
        <v>120</v>
      </c>
      <c r="BN2764" t="s">
        <v>120</v>
      </c>
      <c r="BO2764">
        <v>148.13999999999999</v>
      </c>
      <c r="BP2764">
        <v>20.09</v>
      </c>
      <c r="BQ2764">
        <v>61.97</v>
      </c>
      <c r="BR2764">
        <v>8.82</v>
      </c>
      <c r="BS2764">
        <v>52.21</v>
      </c>
      <c r="BT2764">
        <v>76.599999999999994</v>
      </c>
      <c r="BU2764">
        <v>28.86</v>
      </c>
      <c r="BV2764">
        <v>6.87</v>
      </c>
      <c r="BW2764">
        <v>61.76</v>
      </c>
      <c r="BX2764">
        <v>14.27</v>
      </c>
      <c r="BY2764">
        <v>27.1</v>
      </c>
      <c r="BZ2764">
        <v>13.18</v>
      </c>
      <c r="CA2764" t="s">
        <v>120</v>
      </c>
      <c r="CB2764">
        <v>17.559999999999999</v>
      </c>
      <c r="CC2764">
        <v>45.58</v>
      </c>
      <c r="CD2764">
        <v>34.42</v>
      </c>
      <c r="CE2764">
        <v>6.13</v>
      </c>
      <c r="CF2764">
        <v>1.24</v>
      </c>
      <c r="CG2764">
        <v>6.21</v>
      </c>
      <c r="CH2764">
        <v>5.95</v>
      </c>
      <c r="CI2764">
        <v>4.09</v>
      </c>
      <c r="CJ2764">
        <v>-1.65</v>
      </c>
      <c r="CK2764">
        <v>3.61</v>
      </c>
      <c r="CL2764">
        <v>22.89</v>
      </c>
      <c r="CM2764">
        <v>4.38</v>
      </c>
      <c r="CN2764">
        <v>-0.89</v>
      </c>
      <c r="CO2764">
        <v>54551</v>
      </c>
      <c r="CP2764">
        <v>18548</v>
      </c>
      <c r="CQ2764" t="s">
        <v>12394</v>
      </c>
      <c r="CR2764">
        <v>406.4</v>
      </c>
      <c r="CS2764">
        <v>47.72</v>
      </c>
      <c r="CT2764">
        <v>6.12</v>
      </c>
      <c r="CU2764">
        <v>86.6</v>
      </c>
      <c r="CV2764">
        <v>8.32</v>
      </c>
      <c r="CW2764">
        <v>0.46</v>
      </c>
      <c r="CX2764" t="s">
        <v>3361</v>
      </c>
      <c r="CY2764">
        <v>3.28</v>
      </c>
      <c r="CZ2764">
        <v>0</v>
      </c>
      <c r="DA2764">
        <v>0.93</v>
      </c>
      <c r="DB2764">
        <v>1.21</v>
      </c>
      <c r="DC2764">
        <v>0.23</v>
      </c>
      <c r="DD2764">
        <v>41.84</v>
      </c>
      <c r="DE2764" t="s">
        <v>1401</v>
      </c>
      <c r="DF2764">
        <v>24.49</v>
      </c>
      <c r="DG2764">
        <v>13.45</v>
      </c>
      <c r="DH2764">
        <v>8.98</v>
      </c>
      <c r="DI2764">
        <v>1.24</v>
      </c>
      <c r="DJ2764">
        <v>8600</v>
      </c>
      <c r="DK2764">
        <v>600499</v>
      </c>
      <c r="DL2764">
        <v>20210712</v>
      </c>
      <c r="DM2764">
        <v>18.38</v>
      </c>
      <c r="DN2764">
        <v>9.3000000000000007</v>
      </c>
    </row>
    <row r="2765" spans="1:118">
      <c r="A2765" t="str">
        <f>"600500"</f>
        <v>600500</v>
      </c>
      <c r="B2765" t="s">
        <v>12395</v>
      </c>
      <c r="C2765">
        <v>-1.02</v>
      </c>
      <c r="D2765">
        <v>0.09</v>
      </c>
      <c r="E2765">
        <v>0.51</v>
      </c>
      <c r="F2765">
        <v>6227</v>
      </c>
      <c r="G2765" t="s">
        <v>12396</v>
      </c>
      <c r="H2765">
        <v>107715.34</v>
      </c>
      <c r="I2765">
        <v>612.63</v>
      </c>
      <c r="J2765" t="s">
        <v>120</v>
      </c>
      <c r="K2765" t="s">
        <v>12397</v>
      </c>
      <c r="L2765">
        <v>3.39</v>
      </c>
      <c r="M2765">
        <v>11.66</v>
      </c>
      <c r="N2765">
        <v>0.99</v>
      </c>
      <c r="O2765">
        <v>3.23</v>
      </c>
      <c r="P2765">
        <v>12.16</v>
      </c>
      <c r="Q2765">
        <v>-3.4</v>
      </c>
      <c r="R2765">
        <v>11.38</v>
      </c>
      <c r="S2765">
        <v>11.84</v>
      </c>
      <c r="T2765">
        <v>917811</v>
      </c>
      <c r="U2765">
        <v>11.66</v>
      </c>
      <c r="V2765">
        <v>11.78</v>
      </c>
      <c r="W2765">
        <v>7.5</v>
      </c>
      <c r="X2765" t="s">
        <v>562</v>
      </c>
      <c r="Y2765" t="s">
        <v>1510</v>
      </c>
      <c r="Z2765">
        <v>6.62</v>
      </c>
      <c r="AA2765">
        <v>11.74</v>
      </c>
      <c r="AB2765">
        <v>448491</v>
      </c>
      <c r="AC2765">
        <v>469320</v>
      </c>
      <c r="AD2765">
        <v>0.96</v>
      </c>
      <c r="AE2765">
        <v>583</v>
      </c>
      <c r="AF2765">
        <v>9541</v>
      </c>
      <c r="AG2765" t="s">
        <v>120</v>
      </c>
      <c r="AH2765">
        <v>0.04</v>
      </c>
      <c r="AI2765" t="s">
        <v>120</v>
      </c>
      <c r="AJ2765">
        <v>27.08</v>
      </c>
      <c r="AK2765" t="s">
        <v>12398</v>
      </c>
      <c r="AL2765">
        <v>0.33</v>
      </c>
      <c r="AM2765">
        <v>4552</v>
      </c>
      <c r="AN2765">
        <v>202</v>
      </c>
      <c r="AO2765">
        <v>6.9999999999999999E-4</v>
      </c>
      <c r="AP2765">
        <v>-1</v>
      </c>
      <c r="AQ2765">
        <v>2.97</v>
      </c>
      <c r="AR2765">
        <v>-5.36</v>
      </c>
      <c r="AS2765">
        <v>35.270000000000003</v>
      </c>
      <c r="AT2765">
        <v>53.22</v>
      </c>
      <c r="AU2765">
        <v>122.95</v>
      </c>
      <c r="AV2765">
        <v>3</v>
      </c>
      <c r="AW2765">
        <v>7.65</v>
      </c>
      <c r="AX2765">
        <v>43.4</v>
      </c>
      <c r="AY2765">
        <v>13.45</v>
      </c>
      <c r="AZ2765">
        <v>106.18</v>
      </c>
      <c r="BA2765">
        <v>1.47</v>
      </c>
      <c r="BB2765" t="s">
        <v>143</v>
      </c>
      <c r="BF2765">
        <v>-0.37</v>
      </c>
      <c r="BG2765">
        <v>-1.52</v>
      </c>
      <c r="BH2765">
        <v>-4.1100000000000003</v>
      </c>
      <c r="BI2765">
        <v>2.46</v>
      </c>
      <c r="BJ2765">
        <v>20210830</v>
      </c>
      <c r="BK2765">
        <v>20000301</v>
      </c>
      <c r="BL2765">
        <v>27.66</v>
      </c>
      <c r="BM2765" t="s">
        <v>120</v>
      </c>
      <c r="BN2765" t="s">
        <v>120</v>
      </c>
      <c r="BO2765">
        <v>563.70000000000005</v>
      </c>
      <c r="BP2765">
        <v>11.65</v>
      </c>
      <c r="BQ2765">
        <v>135.51</v>
      </c>
      <c r="BR2765">
        <v>80.430000000000007</v>
      </c>
      <c r="BS2765">
        <v>61.69</v>
      </c>
      <c r="BT2765">
        <v>261.89999999999998</v>
      </c>
      <c r="BU2765">
        <v>76.97</v>
      </c>
      <c r="BV2765">
        <v>36.81</v>
      </c>
      <c r="BW2765">
        <v>241.35</v>
      </c>
      <c r="BX2765">
        <v>68.11</v>
      </c>
      <c r="BY2765">
        <v>75.03</v>
      </c>
      <c r="BZ2765">
        <v>50.16</v>
      </c>
      <c r="CA2765">
        <v>0.01</v>
      </c>
      <c r="CB2765">
        <v>22.73</v>
      </c>
      <c r="CC2765">
        <v>388.89</v>
      </c>
      <c r="CD2765">
        <v>341.12</v>
      </c>
      <c r="CE2765">
        <v>90.5</v>
      </c>
      <c r="CF2765">
        <v>69.05</v>
      </c>
      <c r="CG2765">
        <v>90.54</v>
      </c>
      <c r="CH2765">
        <v>62.25</v>
      </c>
      <c r="CI2765">
        <v>21.51</v>
      </c>
      <c r="CJ2765">
        <v>-0.12</v>
      </c>
      <c r="CK2765">
        <v>6.09</v>
      </c>
      <c r="CL2765">
        <v>69.040000000000006</v>
      </c>
      <c r="CM2765">
        <v>-13.14</v>
      </c>
      <c r="CN2765">
        <v>0.19</v>
      </c>
      <c r="CO2765">
        <v>64191</v>
      </c>
      <c r="CP2765">
        <v>18702</v>
      </c>
      <c r="CQ2765" t="s">
        <v>12399</v>
      </c>
      <c r="CR2765">
        <v>5944.47</v>
      </c>
      <c r="CS2765">
        <v>56.79</v>
      </c>
      <c r="CT2765">
        <v>2.63</v>
      </c>
      <c r="CU2765">
        <v>-24.54</v>
      </c>
      <c r="CV2765">
        <v>0.83</v>
      </c>
      <c r="CW2765">
        <v>0.34</v>
      </c>
      <c r="CX2765" t="s">
        <v>3993</v>
      </c>
      <c r="CY2765">
        <v>4.43</v>
      </c>
      <c r="CZ2765">
        <v>4.43</v>
      </c>
      <c r="DA2765">
        <v>0.82</v>
      </c>
      <c r="DB2765">
        <v>2.5</v>
      </c>
      <c r="DC2765">
        <v>-0.48</v>
      </c>
      <c r="DD2765">
        <v>24.04</v>
      </c>
      <c r="DE2765" t="s">
        <v>12400</v>
      </c>
      <c r="DF2765">
        <v>12.28</v>
      </c>
      <c r="DG2765">
        <v>23.27</v>
      </c>
      <c r="DH2765">
        <v>5.53</v>
      </c>
      <c r="DI2765">
        <v>5.01</v>
      </c>
      <c r="DJ2765">
        <v>26979</v>
      </c>
      <c r="DK2765">
        <v>600500</v>
      </c>
      <c r="DL2765">
        <v>20210806</v>
      </c>
      <c r="DM2765">
        <v>8.18</v>
      </c>
      <c r="DN2765">
        <v>42.54</v>
      </c>
    </row>
    <row r="2766" spans="1:118">
      <c r="A2766" t="str">
        <f>"600501"</f>
        <v>600501</v>
      </c>
      <c r="B2766" t="s">
        <v>12401</v>
      </c>
      <c r="C2766">
        <v>-1.39</v>
      </c>
      <c r="D2766">
        <v>0</v>
      </c>
      <c r="E2766">
        <v>-0.4</v>
      </c>
      <c r="F2766">
        <v>1034</v>
      </c>
      <c r="G2766" t="s">
        <v>8080</v>
      </c>
      <c r="H2766">
        <v>7532.96</v>
      </c>
      <c r="I2766">
        <v>21.2</v>
      </c>
      <c r="J2766" t="s">
        <v>120</v>
      </c>
      <c r="K2766" t="s">
        <v>12402</v>
      </c>
      <c r="L2766">
        <v>1.78</v>
      </c>
      <c r="M2766">
        <v>9.9</v>
      </c>
      <c r="N2766">
        <v>0.82</v>
      </c>
      <c r="O2766">
        <v>1.89</v>
      </c>
      <c r="P2766">
        <v>10.23</v>
      </c>
      <c r="Q2766">
        <v>-1.49</v>
      </c>
      <c r="R2766">
        <v>9.89</v>
      </c>
      <c r="S2766">
        <v>10</v>
      </c>
      <c r="T2766">
        <v>74805</v>
      </c>
      <c r="U2766">
        <v>9.91</v>
      </c>
      <c r="V2766">
        <v>10.039999999999999</v>
      </c>
      <c r="W2766">
        <v>61.4</v>
      </c>
      <c r="X2766" t="s">
        <v>289</v>
      </c>
      <c r="Y2766" t="s">
        <v>319</v>
      </c>
      <c r="Z2766">
        <v>3.39</v>
      </c>
      <c r="AA2766">
        <v>10.07</v>
      </c>
      <c r="AB2766">
        <v>38910</v>
      </c>
      <c r="AC2766">
        <v>35895</v>
      </c>
      <c r="AD2766">
        <v>1.08</v>
      </c>
      <c r="AE2766">
        <v>238</v>
      </c>
      <c r="AF2766">
        <v>172</v>
      </c>
      <c r="AG2766" t="s">
        <v>120</v>
      </c>
      <c r="AH2766">
        <v>0.01</v>
      </c>
      <c r="AI2766" t="s">
        <v>120</v>
      </c>
      <c r="AJ2766">
        <v>4.21</v>
      </c>
      <c r="AK2766" t="s">
        <v>12402</v>
      </c>
      <c r="AL2766">
        <v>-0.05</v>
      </c>
      <c r="AM2766">
        <v>2112</v>
      </c>
      <c r="AN2766">
        <v>35</v>
      </c>
      <c r="AO2766">
        <v>8.0000000000000004E-4</v>
      </c>
      <c r="AP2766">
        <v>-1</v>
      </c>
      <c r="AQ2766">
        <v>1.31</v>
      </c>
      <c r="AR2766">
        <v>-2.56</v>
      </c>
      <c r="AS2766">
        <v>-1.2</v>
      </c>
      <c r="AT2766">
        <v>7.96</v>
      </c>
      <c r="AU2766">
        <v>-4.4400000000000004</v>
      </c>
      <c r="AV2766">
        <v>2</v>
      </c>
      <c r="AW2766">
        <v>3.34</v>
      </c>
      <c r="AX2766">
        <v>53.14</v>
      </c>
      <c r="AY2766">
        <v>66.38</v>
      </c>
      <c r="AZ2766">
        <v>95.15</v>
      </c>
      <c r="BA2766">
        <v>0.91</v>
      </c>
      <c r="BB2766" t="s">
        <v>143</v>
      </c>
      <c r="BF2766">
        <v>0.3</v>
      </c>
      <c r="BG2766">
        <v>-1</v>
      </c>
      <c r="BH2766">
        <v>-3.23</v>
      </c>
      <c r="BI2766">
        <v>0.1</v>
      </c>
      <c r="BJ2766">
        <v>20210827</v>
      </c>
      <c r="BK2766">
        <v>20010615</v>
      </c>
      <c r="BL2766">
        <v>4.21</v>
      </c>
      <c r="BM2766" t="s">
        <v>120</v>
      </c>
      <c r="BN2766" t="s">
        <v>120</v>
      </c>
      <c r="BO2766">
        <v>49.01</v>
      </c>
      <c r="BP2766">
        <v>9.9</v>
      </c>
      <c r="BQ2766">
        <v>21.69</v>
      </c>
      <c r="BR2766">
        <v>2.13</v>
      </c>
      <c r="BS2766">
        <v>51.41</v>
      </c>
      <c r="BT2766">
        <v>30.36</v>
      </c>
      <c r="BU2766">
        <v>11.06</v>
      </c>
      <c r="BV2766">
        <v>0.88</v>
      </c>
      <c r="BW2766">
        <v>24.52</v>
      </c>
      <c r="BX2766">
        <v>5.19</v>
      </c>
      <c r="BY2766">
        <v>7.28</v>
      </c>
      <c r="BZ2766">
        <v>13.15</v>
      </c>
      <c r="CA2766" t="s">
        <v>120</v>
      </c>
      <c r="CB2766">
        <v>14.18</v>
      </c>
      <c r="CC2766">
        <v>16.260000000000002</v>
      </c>
      <c r="CD2766">
        <v>13.59</v>
      </c>
      <c r="CE2766">
        <v>0.3</v>
      </c>
      <c r="CF2766">
        <v>0</v>
      </c>
      <c r="CG2766">
        <v>0.3</v>
      </c>
      <c r="CH2766">
        <v>0.34</v>
      </c>
      <c r="CI2766">
        <v>0.34</v>
      </c>
      <c r="CJ2766">
        <v>-0.14000000000000001</v>
      </c>
      <c r="CK2766">
        <v>0.12</v>
      </c>
      <c r="CL2766">
        <v>1.81</v>
      </c>
      <c r="CM2766">
        <v>-4.4000000000000004</v>
      </c>
      <c r="CN2766">
        <v>-5.09</v>
      </c>
      <c r="CO2766">
        <v>42009</v>
      </c>
      <c r="CP2766">
        <v>5330</v>
      </c>
      <c r="CQ2766" t="s">
        <v>610</v>
      </c>
      <c r="CR2766">
        <v>131.04</v>
      </c>
      <c r="CS2766">
        <v>18.05</v>
      </c>
      <c r="CT2766">
        <v>1.92</v>
      </c>
      <c r="CU2766">
        <v>-9.4700000000000006</v>
      </c>
      <c r="CV2766">
        <v>2.57</v>
      </c>
      <c r="CW2766">
        <v>0</v>
      </c>
      <c r="CX2766" t="s">
        <v>535</v>
      </c>
      <c r="CY2766">
        <v>5.15</v>
      </c>
      <c r="CZ2766">
        <v>0</v>
      </c>
      <c r="DA2766">
        <v>3.37</v>
      </c>
      <c r="DB2766">
        <v>0.43</v>
      </c>
      <c r="DC2766">
        <v>-1.05</v>
      </c>
      <c r="DD2766">
        <v>44.25</v>
      </c>
      <c r="DE2766" t="s">
        <v>4096</v>
      </c>
      <c r="DF2766">
        <v>16.440000000000001</v>
      </c>
      <c r="DG2766">
        <v>1.87</v>
      </c>
      <c r="DH2766">
        <v>2.09</v>
      </c>
      <c r="DI2766">
        <v>0.86</v>
      </c>
      <c r="DJ2766">
        <v>2301</v>
      </c>
      <c r="DK2766">
        <v>600501</v>
      </c>
      <c r="DL2766" t="s">
        <v>120</v>
      </c>
      <c r="DM2766" t="s">
        <v>120</v>
      </c>
      <c r="DN2766" t="s">
        <v>120</v>
      </c>
    </row>
    <row r="2767" spans="1:118">
      <c r="A2767" t="str">
        <f>"600502"</f>
        <v>600502</v>
      </c>
      <c r="B2767" t="s">
        <v>12403</v>
      </c>
      <c r="C2767">
        <v>-2.12</v>
      </c>
      <c r="D2767">
        <v>0</v>
      </c>
      <c r="E2767">
        <v>0</v>
      </c>
      <c r="F2767">
        <v>707</v>
      </c>
      <c r="G2767" t="s">
        <v>12404</v>
      </c>
      <c r="H2767">
        <v>10334.370000000001</v>
      </c>
      <c r="I2767">
        <v>50.96</v>
      </c>
      <c r="J2767" t="s">
        <v>120</v>
      </c>
      <c r="K2767" t="s">
        <v>12405</v>
      </c>
      <c r="L2767">
        <v>1.42</v>
      </c>
      <c r="M2767">
        <v>4.1500000000000004</v>
      </c>
      <c r="N2767">
        <v>0.83</v>
      </c>
      <c r="O2767">
        <v>2.12</v>
      </c>
      <c r="P2767">
        <v>4.33</v>
      </c>
      <c r="Q2767">
        <v>-2.59</v>
      </c>
      <c r="R2767">
        <v>4.13</v>
      </c>
      <c r="S2767">
        <v>4.24</v>
      </c>
      <c r="T2767">
        <v>243976</v>
      </c>
      <c r="U2767">
        <v>4.16</v>
      </c>
      <c r="V2767">
        <v>4.24</v>
      </c>
      <c r="W2767">
        <v>6.19</v>
      </c>
      <c r="X2767" t="s">
        <v>175</v>
      </c>
      <c r="Y2767" t="s">
        <v>570</v>
      </c>
      <c r="Z2767">
        <v>4.72</v>
      </c>
      <c r="AA2767">
        <v>4.24</v>
      </c>
      <c r="AB2767">
        <v>140029</v>
      </c>
      <c r="AC2767">
        <v>103947</v>
      </c>
      <c r="AD2767">
        <v>1.35</v>
      </c>
      <c r="AE2767">
        <v>816</v>
      </c>
      <c r="AF2767">
        <v>617</v>
      </c>
      <c r="AG2767" t="s">
        <v>120</v>
      </c>
      <c r="AH2767">
        <v>0.01</v>
      </c>
      <c r="AI2767" t="s">
        <v>120</v>
      </c>
      <c r="AJ2767">
        <v>17.21</v>
      </c>
      <c r="AK2767" t="s">
        <v>12405</v>
      </c>
      <c r="AL2767">
        <v>-0.78</v>
      </c>
      <c r="AM2767">
        <v>2753</v>
      </c>
      <c r="AN2767">
        <v>89</v>
      </c>
      <c r="AO2767">
        <v>5.0000000000000001E-4</v>
      </c>
      <c r="AP2767">
        <v>-1</v>
      </c>
      <c r="AQ2767">
        <v>0</v>
      </c>
      <c r="AR2767">
        <v>-5.03</v>
      </c>
      <c r="AS2767">
        <v>4.8</v>
      </c>
      <c r="AT2767">
        <v>6.96</v>
      </c>
      <c r="AU2767">
        <v>15.93</v>
      </c>
      <c r="AV2767">
        <v>0</v>
      </c>
      <c r="AW2767">
        <v>2.09</v>
      </c>
      <c r="AX2767">
        <v>67.680000000000007</v>
      </c>
      <c r="AY2767">
        <v>7.9</v>
      </c>
      <c r="AZ2767">
        <v>8.9499999999999993</v>
      </c>
      <c r="BA2767">
        <v>0.57999999999999996</v>
      </c>
      <c r="BB2767" t="s">
        <v>240</v>
      </c>
      <c r="BF2767">
        <v>-0.1</v>
      </c>
      <c r="BG2767">
        <v>-2.12</v>
      </c>
      <c r="BH2767">
        <v>-4.16</v>
      </c>
      <c r="BI2767">
        <v>0.48</v>
      </c>
      <c r="BJ2767">
        <v>20210827</v>
      </c>
      <c r="BK2767">
        <v>20030415</v>
      </c>
      <c r="BL2767">
        <v>17.21</v>
      </c>
      <c r="BM2767" t="s">
        <v>120</v>
      </c>
      <c r="BN2767" t="s">
        <v>120</v>
      </c>
      <c r="BO2767">
        <v>1133.8</v>
      </c>
      <c r="BP2767">
        <v>4.1500000000000004</v>
      </c>
      <c r="BQ2767">
        <v>106.07</v>
      </c>
      <c r="BR2767">
        <v>80.06</v>
      </c>
      <c r="BS2767">
        <v>83.58</v>
      </c>
      <c r="BT2767">
        <v>759.83</v>
      </c>
      <c r="BU2767">
        <v>32.549999999999997</v>
      </c>
      <c r="BV2767">
        <v>3.97</v>
      </c>
      <c r="BW2767">
        <v>670.83</v>
      </c>
      <c r="BX2767">
        <v>117.8</v>
      </c>
      <c r="BY2767">
        <v>148.53</v>
      </c>
      <c r="BZ2767">
        <v>207.72</v>
      </c>
      <c r="CA2767" t="s">
        <v>120</v>
      </c>
      <c r="CB2767">
        <v>16.46</v>
      </c>
      <c r="CC2767">
        <v>316.55</v>
      </c>
      <c r="CD2767">
        <v>284.72000000000003</v>
      </c>
      <c r="CE2767">
        <v>10.39</v>
      </c>
      <c r="CF2767">
        <v>0.21</v>
      </c>
      <c r="CG2767">
        <v>10.45</v>
      </c>
      <c r="CH2767">
        <v>7.8</v>
      </c>
      <c r="CI2767">
        <v>5.77</v>
      </c>
      <c r="CJ2767">
        <v>-0.09</v>
      </c>
      <c r="CK2767">
        <v>5.56</v>
      </c>
      <c r="CL2767">
        <v>36.770000000000003</v>
      </c>
      <c r="CM2767">
        <v>-46</v>
      </c>
      <c r="CN2767">
        <v>-5.09</v>
      </c>
      <c r="CO2767">
        <v>55943</v>
      </c>
      <c r="CP2767">
        <v>20823</v>
      </c>
      <c r="CQ2767" t="s">
        <v>12406</v>
      </c>
      <c r="CR2767">
        <v>23.01</v>
      </c>
      <c r="CS2767">
        <v>34.04</v>
      </c>
      <c r="CT2767">
        <v>0.92</v>
      </c>
      <c r="CU2767">
        <v>-1.55</v>
      </c>
      <c r="CV2767">
        <v>0.23</v>
      </c>
      <c r="CW2767">
        <v>4.72</v>
      </c>
      <c r="CX2767" t="s">
        <v>2443</v>
      </c>
      <c r="CY2767">
        <v>4.49</v>
      </c>
      <c r="CZ2767">
        <v>4.49</v>
      </c>
      <c r="DA2767">
        <v>0.96</v>
      </c>
      <c r="DB2767">
        <v>2.14</v>
      </c>
      <c r="DC2767">
        <v>-2.67</v>
      </c>
      <c r="DD2767">
        <v>9.36</v>
      </c>
      <c r="DE2767" t="s">
        <v>10187</v>
      </c>
      <c r="DF2767">
        <v>10.050000000000001</v>
      </c>
      <c r="DG2767">
        <v>3.28</v>
      </c>
      <c r="DH2767">
        <v>1.82</v>
      </c>
      <c r="DI2767">
        <v>3.5</v>
      </c>
      <c r="DJ2767">
        <v>18207</v>
      </c>
      <c r="DK2767">
        <v>600502</v>
      </c>
      <c r="DL2767" t="s">
        <v>120</v>
      </c>
      <c r="DM2767" t="s">
        <v>120</v>
      </c>
      <c r="DN2767" t="s">
        <v>120</v>
      </c>
    </row>
    <row r="2768" spans="1:118">
      <c r="A2768" t="str">
        <f>"600503"</f>
        <v>600503</v>
      </c>
      <c r="B2768" t="s">
        <v>12407</v>
      </c>
      <c r="C2768">
        <v>-1.4</v>
      </c>
      <c r="D2768">
        <v>0</v>
      </c>
      <c r="E2768">
        <v>-0.28000000000000003</v>
      </c>
      <c r="F2768">
        <v>5431</v>
      </c>
      <c r="G2768" t="s">
        <v>6981</v>
      </c>
      <c r="H2768">
        <v>12073.23</v>
      </c>
      <c r="I2768">
        <v>30.89</v>
      </c>
      <c r="J2768" t="s">
        <v>120</v>
      </c>
      <c r="K2768" t="s">
        <v>12408</v>
      </c>
      <c r="L2768">
        <v>2.11</v>
      </c>
      <c r="M2768">
        <v>3.51</v>
      </c>
      <c r="N2768">
        <v>1.07</v>
      </c>
      <c r="O2768">
        <v>1.69</v>
      </c>
      <c r="P2768">
        <v>3.62</v>
      </c>
      <c r="Q2768">
        <v>-1.69</v>
      </c>
      <c r="R2768">
        <v>3.5</v>
      </c>
      <c r="S2768">
        <v>3.55</v>
      </c>
      <c r="T2768">
        <v>338513</v>
      </c>
      <c r="U2768">
        <v>3.52</v>
      </c>
      <c r="V2768">
        <v>3.56</v>
      </c>
      <c r="W2768">
        <v>22.61</v>
      </c>
      <c r="X2768" t="s">
        <v>150</v>
      </c>
      <c r="Y2768" t="s">
        <v>1510</v>
      </c>
      <c r="Z2768">
        <v>3.37</v>
      </c>
      <c r="AA2768">
        <v>3.57</v>
      </c>
      <c r="AB2768">
        <v>186278</v>
      </c>
      <c r="AC2768">
        <v>152235</v>
      </c>
      <c r="AD2768">
        <v>1.22</v>
      </c>
      <c r="AE2768">
        <v>1016</v>
      </c>
      <c r="AF2768">
        <v>689</v>
      </c>
      <c r="AG2768" t="s">
        <v>120</v>
      </c>
      <c r="AH2768">
        <v>0.01</v>
      </c>
      <c r="AI2768" t="s">
        <v>120</v>
      </c>
      <c r="AJ2768">
        <v>16.02</v>
      </c>
      <c r="AK2768" t="s">
        <v>12408</v>
      </c>
      <c r="AL2768">
        <v>-0.06</v>
      </c>
      <c r="AM2768">
        <v>2547</v>
      </c>
      <c r="AN2768">
        <v>133</v>
      </c>
      <c r="AO2768">
        <v>8.0000000000000004E-4</v>
      </c>
      <c r="AP2768">
        <v>-1</v>
      </c>
      <c r="AQ2768">
        <v>2.2999999999999998</v>
      </c>
      <c r="AR2768">
        <v>-1.1200000000000001</v>
      </c>
      <c r="AS2768">
        <v>7.02</v>
      </c>
      <c r="AT2768">
        <v>-2.9</v>
      </c>
      <c r="AU2768">
        <v>-3.44</v>
      </c>
      <c r="AV2768">
        <v>1</v>
      </c>
      <c r="AW2768">
        <v>2.42</v>
      </c>
      <c r="AX2768">
        <v>87.27</v>
      </c>
      <c r="AY2768">
        <v>34.799999999999997</v>
      </c>
      <c r="AZ2768">
        <v>37.99</v>
      </c>
      <c r="BA2768">
        <v>0.63</v>
      </c>
      <c r="BB2768" t="s">
        <v>168</v>
      </c>
      <c r="BF2768">
        <v>0.18</v>
      </c>
      <c r="BG2768">
        <v>-1.1299999999999999</v>
      </c>
      <c r="BH2768">
        <v>-3.04</v>
      </c>
      <c r="BI2768">
        <v>0.28999999999999998</v>
      </c>
      <c r="BJ2768">
        <v>20210826</v>
      </c>
      <c r="BK2768">
        <v>20020709</v>
      </c>
      <c r="BL2768">
        <v>16.02</v>
      </c>
      <c r="BM2768" t="s">
        <v>120</v>
      </c>
      <c r="BN2768" t="s">
        <v>120</v>
      </c>
      <c r="BO2768">
        <v>53.27</v>
      </c>
      <c r="BP2768">
        <v>3.51</v>
      </c>
      <c r="BQ2768">
        <v>39.17</v>
      </c>
      <c r="BR2768">
        <v>-0.19</v>
      </c>
      <c r="BS2768">
        <v>26.82</v>
      </c>
      <c r="BT2768">
        <v>23.18</v>
      </c>
      <c r="BU2768">
        <v>0.56999999999999995</v>
      </c>
      <c r="BV2768">
        <v>0.32</v>
      </c>
      <c r="BW2768">
        <v>10.87</v>
      </c>
      <c r="BX2768">
        <v>2.08</v>
      </c>
      <c r="BY2768">
        <v>17.68</v>
      </c>
      <c r="BZ2768">
        <v>0.04</v>
      </c>
      <c r="CA2768">
        <v>0.01</v>
      </c>
      <c r="CB2768">
        <v>11.3</v>
      </c>
      <c r="CC2768">
        <v>4.76</v>
      </c>
      <c r="CD2768">
        <v>2.2999999999999998</v>
      </c>
      <c r="CE2768">
        <v>1.55</v>
      </c>
      <c r="CF2768">
        <v>0.72</v>
      </c>
      <c r="CG2768">
        <v>1.56</v>
      </c>
      <c r="CH2768">
        <v>1.21</v>
      </c>
      <c r="CI2768">
        <v>1.24</v>
      </c>
      <c r="CJ2768">
        <v>-0.05</v>
      </c>
      <c r="CK2768">
        <v>1.23</v>
      </c>
      <c r="CL2768">
        <v>11.9</v>
      </c>
      <c r="CM2768">
        <v>-2.41</v>
      </c>
      <c r="CN2768">
        <v>-2.54</v>
      </c>
      <c r="CO2768">
        <v>150965</v>
      </c>
      <c r="CP2768">
        <v>9262</v>
      </c>
      <c r="CQ2768" t="s">
        <v>1254</v>
      </c>
      <c r="CR2768">
        <v>12.44</v>
      </c>
      <c r="CS2768">
        <v>-18.16</v>
      </c>
      <c r="CT2768">
        <v>1.44</v>
      </c>
      <c r="CU2768">
        <v>-23.32</v>
      </c>
      <c r="CV2768">
        <v>11.81</v>
      </c>
      <c r="CW2768">
        <v>0.14000000000000001</v>
      </c>
      <c r="CX2768" t="s">
        <v>2357</v>
      </c>
      <c r="CY2768">
        <v>2.44</v>
      </c>
      <c r="CZ2768">
        <v>0</v>
      </c>
      <c r="DA2768">
        <v>0.71</v>
      </c>
      <c r="DB2768">
        <v>0.74</v>
      </c>
      <c r="DC2768">
        <v>-0.15</v>
      </c>
      <c r="DD2768">
        <v>73.53</v>
      </c>
      <c r="DE2768" t="s">
        <v>9761</v>
      </c>
      <c r="DF2768">
        <v>51.71</v>
      </c>
      <c r="DG2768">
        <v>32.57</v>
      </c>
      <c r="DH2768">
        <v>26.1</v>
      </c>
      <c r="DI2768">
        <v>0.02</v>
      </c>
      <c r="DJ2768">
        <v>270</v>
      </c>
      <c r="DK2768">
        <v>600503</v>
      </c>
      <c r="DL2768" t="s">
        <v>120</v>
      </c>
      <c r="DM2768" t="s">
        <v>120</v>
      </c>
      <c r="DN2768" t="s">
        <v>120</v>
      </c>
    </row>
    <row r="2769" spans="1:118">
      <c r="A2769" t="str">
        <f>"600505"</f>
        <v>600505</v>
      </c>
      <c r="B2769" t="s">
        <v>12409</v>
      </c>
      <c r="C2769">
        <v>-2.5499999999999998</v>
      </c>
      <c r="D2769">
        <v>-0.13</v>
      </c>
      <c r="E2769">
        <v>0.27</v>
      </c>
      <c r="F2769">
        <v>1694</v>
      </c>
      <c r="G2769" t="s">
        <v>12410</v>
      </c>
      <c r="H2769">
        <v>5186.1400000000003</v>
      </c>
      <c r="I2769">
        <v>55.43</v>
      </c>
      <c r="J2769" t="s">
        <v>120</v>
      </c>
      <c r="K2769" t="s">
        <v>12411</v>
      </c>
      <c r="L2769">
        <v>1.92</v>
      </c>
      <c r="M2769">
        <v>7.27</v>
      </c>
      <c r="N2769">
        <v>0.6</v>
      </c>
      <c r="O2769">
        <v>1.61</v>
      </c>
      <c r="P2769">
        <v>7.58</v>
      </c>
      <c r="Q2769">
        <v>-2.5499999999999998</v>
      </c>
      <c r="R2769">
        <v>7.27</v>
      </c>
      <c r="S2769">
        <v>7.48</v>
      </c>
      <c r="T2769">
        <v>69859</v>
      </c>
      <c r="U2769">
        <v>7.28</v>
      </c>
      <c r="V2769">
        <v>7.46</v>
      </c>
      <c r="W2769" t="s">
        <v>120</v>
      </c>
      <c r="X2769" t="s">
        <v>1287</v>
      </c>
      <c r="Y2769" t="s">
        <v>578</v>
      </c>
      <c r="Z2769">
        <v>4.16</v>
      </c>
      <c r="AA2769">
        <v>7.42</v>
      </c>
      <c r="AB2769">
        <v>38501</v>
      </c>
      <c r="AC2769">
        <v>31358</v>
      </c>
      <c r="AD2769">
        <v>1.23</v>
      </c>
      <c r="AE2769">
        <v>50</v>
      </c>
      <c r="AF2769">
        <v>133</v>
      </c>
      <c r="AG2769" t="s">
        <v>120</v>
      </c>
      <c r="AH2769">
        <v>0.05</v>
      </c>
      <c r="AI2769" t="s">
        <v>120</v>
      </c>
      <c r="AJ2769">
        <v>3.65</v>
      </c>
      <c r="AK2769" t="s">
        <v>12411</v>
      </c>
      <c r="AL2769">
        <v>-1.2</v>
      </c>
      <c r="AM2769">
        <v>2196</v>
      </c>
      <c r="AN2769">
        <v>32</v>
      </c>
      <c r="AO2769">
        <v>8.9999999999999998E-4</v>
      </c>
      <c r="AP2769">
        <v>-1</v>
      </c>
      <c r="AQ2769">
        <v>3.9</v>
      </c>
      <c r="AR2769">
        <v>-2.2799999999999998</v>
      </c>
      <c r="AS2769">
        <v>7.23</v>
      </c>
      <c r="AT2769">
        <v>2.25</v>
      </c>
      <c r="AU2769">
        <v>3.56</v>
      </c>
      <c r="AV2769">
        <v>8</v>
      </c>
      <c r="AW2769">
        <v>4.34</v>
      </c>
      <c r="AX2769">
        <v>44.15</v>
      </c>
      <c r="AY2769">
        <v>41.27</v>
      </c>
      <c r="AZ2769">
        <v>79.650000000000006</v>
      </c>
      <c r="BA2769">
        <v>0.57999999999999996</v>
      </c>
      <c r="BB2769" t="s">
        <v>143</v>
      </c>
      <c r="BF2769">
        <v>-0.49</v>
      </c>
      <c r="BG2769">
        <v>-2.81</v>
      </c>
      <c r="BH2769">
        <v>-4.09</v>
      </c>
      <c r="BI2769">
        <v>0</v>
      </c>
      <c r="BJ2769">
        <v>20210826</v>
      </c>
      <c r="BK2769">
        <v>20020530</v>
      </c>
      <c r="BL2769">
        <v>3.65</v>
      </c>
      <c r="BM2769" t="s">
        <v>120</v>
      </c>
      <c r="BN2769" t="s">
        <v>120</v>
      </c>
      <c r="BO2769">
        <v>40.21</v>
      </c>
      <c r="BP2769">
        <v>7.27</v>
      </c>
      <c r="BQ2769">
        <v>11.81</v>
      </c>
      <c r="BR2769">
        <v>2.4900000000000002</v>
      </c>
      <c r="BS2769">
        <v>64.430000000000007</v>
      </c>
      <c r="BT2769">
        <v>5.66</v>
      </c>
      <c r="BU2769">
        <v>15.16</v>
      </c>
      <c r="BV2769">
        <v>0.69</v>
      </c>
      <c r="BW2769">
        <v>7.61</v>
      </c>
      <c r="BX2769">
        <v>1.78</v>
      </c>
      <c r="BY2769">
        <v>0.56999999999999995</v>
      </c>
      <c r="BZ2769">
        <v>1.33</v>
      </c>
      <c r="CA2769">
        <v>0.04</v>
      </c>
      <c r="CB2769">
        <v>0.75</v>
      </c>
      <c r="CC2769">
        <v>5.0199999999999996</v>
      </c>
      <c r="CD2769">
        <v>4.2699999999999996</v>
      </c>
      <c r="CE2769">
        <v>0.02</v>
      </c>
      <c r="CF2769">
        <v>0.01</v>
      </c>
      <c r="CG2769">
        <v>0.03</v>
      </c>
      <c r="CH2769">
        <v>-0.01</v>
      </c>
      <c r="CI2769">
        <v>-0.03</v>
      </c>
      <c r="CJ2769">
        <v>-0.19</v>
      </c>
      <c r="CK2769">
        <v>0</v>
      </c>
      <c r="CL2769">
        <v>5.61</v>
      </c>
      <c r="CM2769">
        <v>0.3</v>
      </c>
      <c r="CN2769">
        <v>-1.1200000000000001</v>
      </c>
      <c r="CO2769">
        <v>29672</v>
      </c>
      <c r="CP2769">
        <v>5425</v>
      </c>
      <c r="CQ2769" t="s">
        <v>7049</v>
      </c>
      <c r="CR2769">
        <v>91.88</v>
      </c>
      <c r="CS2769">
        <v>19.14</v>
      </c>
      <c r="CT2769">
        <v>2.2400000000000002</v>
      </c>
      <c r="CU2769">
        <v>89.81</v>
      </c>
      <c r="CV2769">
        <v>5.28</v>
      </c>
      <c r="CW2769">
        <v>0.4</v>
      </c>
      <c r="CX2769" t="s">
        <v>11575</v>
      </c>
      <c r="CY2769">
        <v>3.24</v>
      </c>
      <c r="CZ2769">
        <v>0</v>
      </c>
      <c r="DA2769">
        <v>0.21</v>
      </c>
      <c r="DB2769">
        <v>1.54</v>
      </c>
      <c r="DC2769">
        <v>0.08</v>
      </c>
      <c r="DD2769">
        <v>29.37</v>
      </c>
      <c r="DE2769" t="s">
        <v>7669</v>
      </c>
      <c r="DF2769">
        <v>14.92</v>
      </c>
      <c r="DG2769">
        <v>0.35</v>
      </c>
      <c r="DH2769">
        <v>-0.56000000000000005</v>
      </c>
      <c r="DI2769" t="s">
        <v>120</v>
      </c>
      <c r="DJ2769">
        <v>867</v>
      </c>
      <c r="DK2769">
        <v>600505</v>
      </c>
      <c r="DL2769" t="s">
        <v>120</v>
      </c>
      <c r="DM2769" t="s">
        <v>120</v>
      </c>
      <c r="DN2769" t="s">
        <v>120</v>
      </c>
    </row>
    <row r="2770" spans="1:118">
      <c r="A2770" t="str">
        <f>"600507"</f>
        <v>600507</v>
      </c>
      <c r="B2770" t="s">
        <v>12412</v>
      </c>
      <c r="C2770">
        <v>-1.0900000000000001</v>
      </c>
      <c r="D2770">
        <v>0.22</v>
      </c>
      <c r="E2770">
        <v>1.74</v>
      </c>
      <c r="F2770">
        <v>3929</v>
      </c>
      <c r="G2770" t="s">
        <v>12413</v>
      </c>
      <c r="H2770">
        <v>58751.51</v>
      </c>
      <c r="I2770">
        <v>326.29000000000002</v>
      </c>
      <c r="J2770" t="s">
        <v>120</v>
      </c>
      <c r="K2770" t="s">
        <v>12414</v>
      </c>
      <c r="L2770">
        <v>2.92</v>
      </c>
      <c r="M2770">
        <v>9.1</v>
      </c>
      <c r="N2770">
        <v>0.71</v>
      </c>
      <c r="O2770">
        <v>4.13</v>
      </c>
      <c r="P2770">
        <v>9.58</v>
      </c>
      <c r="Q2770">
        <v>-1.74</v>
      </c>
      <c r="R2770">
        <v>9.0399999999999991</v>
      </c>
      <c r="S2770">
        <v>9.36</v>
      </c>
      <c r="T2770">
        <v>630138</v>
      </c>
      <c r="U2770">
        <v>9.1</v>
      </c>
      <c r="V2770">
        <v>9.1999999999999993</v>
      </c>
      <c r="W2770">
        <v>6.64</v>
      </c>
      <c r="X2770" t="s">
        <v>1667</v>
      </c>
      <c r="Y2770" t="s">
        <v>676</v>
      </c>
      <c r="Z2770">
        <v>5.87</v>
      </c>
      <c r="AA2770">
        <v>9.32</v>
      </c>
      <c r="AB2770">
        <v>316871</v>
      </c>
      <c r="AC2770">
        <v>313267</v>
      </c>
      <c r="AD2770">
        <v>1.01</v>
      </c>
      <c r="AE2770">
        <v>62</v>
      </c>
      <c r="AF2770">
        <v>1406</v>
      </c>
      <c r="AG2770" t="s">
        <v>120</v>
      </c>
      <c r="AH2770">
        <v>0.03</v>
      </c>
      <c r="AI2770" t="s">
        <v>120</v>
      </c>
      <c r="AJ2770">
        <v>21.56</v>
      </c>
      <c r="AK2770" t="s">
        <v>12414</v>
      </c>
      <c r="AL2770">
        <v>0.26</v>
      </c>
      <c r="AM2770">
        <v>4275</v>
      </c>
      <c r="AN2770">
        <v>147</v>
      </c>
      <c r="AO2770">
        <v>6.9999999999999999E-4</v>
      </c>
      <c r="AP2770">
        <v>-3</v>
      </c>
      <c r="AQ2770">
        <v>-1.6</v>
      </c>
      <c r="AR2770">
        <v>-9.5399999999999991</v>
      </c>
      <c r="AS2770">
        <v>23.3</v>
      </c>
      <c r="AT2770">
        <v>31.88</v>
      </c>
      <c r="AU2770">
        <v>55.82</v>
      </c>
      <c r="AV2770">
        <v>4</v>
      </c>
      <c r="AW2770">
        <v>5.95</v>
      </c>
      <c r="AX2770">
        <v>49.14</v>
      </c>
      <c r="AY2770">
        <v>7.09</v>
      </c>
      <c r="AZ2770">
        <v>9.27</v>
      </c>
      <c r="BA2770">
        <v>0.95</v>
      </c>
      <c r="BB2770" t="s">
        <v>143</v>
      </c>
      <c r="BF2770">
        <v>1.34</v>
      </c>
      <c r="BG2770">
        <v>-2.78</v>
      </c>
      <c r="BH2770">
        <v>-5.01</v>
      </c>
      <c r="BI2770">
        <v>0.66</v>
      </c>
      <c r="BJ2770">
        <v>20210830</v>
      </c>
      <c r="BK2770">
        <v>20030930</v>
      </c>
      <c r="BL2770">
        <v>21.56</v>
      </c>
      <c r="BM2770" t="s">
        <v>120</v>
      </c>
      <c r="BN2770" t="s">
        <v>120</v>
      </c>
      <c r="BO2770">
        <v>197.99</v>
      </c>
      <c r="BP2770">
        <v>9.09</v>
      </c>
      <c r="BQ2770">
        <v>82.01</v>
      </c>
      <c r="BR2770">
        <v>3.28</v>
      </c>
      <c r="BS2770">
        <v>56.92</v>
      </c>
      <c r="BT2770">
        <v>155.38</v>
      </c>
      <c r="BU2770">
        <v>27.67</v>
      </c>
      <c r="BV2770">
        <v>9.8000000000000007</v>
      </c>
      <c r="BW2770">
        <v>111.8</v>
      </c>
      <c r="BX2770">
        <v>122.55</v>
      </c>
      <c r="BY2770">
        <v>15.71</v>
      </c>
      <c r="BZ2770">
        <v>5.95</v>
      </c>
      <c r="CA2770" t="s">
        <v>120</v>
      </c>
      <c r="CB2770">
        <v>12.32</v>
      </c>
      <c r="CC2770">
        <v>98.67</v>
      </c>
      <c r="CD2770">
        <v>75.680000000000007</v>
      </c>
      <c r="CE2770">
        <v>19.77</v>
      </c>
      <c r="CF2770">
        <v>0.01</v>
      </c>
      <c r="CG2770">
        <v>19.75</v>
      </c>
      <c r="CH2770">
        <v>14.96</v>
      </c>
      <c r="CI2770">
        <v>14.77</v>
      </c>
      <c r="CJ2770">
        <v>-0.1</v>
      </c>
      <c r="CK2770">
        <v>14.18</v>
      </c>
      <c r="CL2770">
        <v>39.1</v>
      </c>
      <c r="CM2770">
        <v>23</v>
      </c>
      <c r="CN2770">
        <v>43.84</v>
      </c>
      <c r="CO2770">
        <v>96361</v>
      </c>
      <c r="CP2770">
        <v>10995</v>
      </c>
      <c r="CQ2770" t="s">
        <v>8335</v>
      </c>
      <c r="CR2770">
        <v>79.84</v>
      </c>
      <c r="CS2770">
        <v>34.119999999999997</v>
      </c>
      <c r="CT2770">
        <v>2.39</v>
      </c>
      <c r="CU2770">
        <v>8.5299999999999994</v>
      </c>
      <c r="CV2770">
        <v>1.99</v>
      </c>
      <c r="CW2770">
        <v>11.96</v>
      </c>
      <c r="CX2770" t="s">
        <v>2797</v>
      </c>
      <c r="CY2770">
        <v>3.8</v>
      </c>
      <c r="CZ2770">
        <v>0</v>
      </c>
      <c r="DA2770">
        <v>0.56999999999999995</v>
      </c>
      <c r="DB2770">
        <v>1.81</v>
      </c>
      <c r="DC2770">
        <v>1.07</v>
      </c>
      <c r="DD2770">
        <v>41.42</v>
      </c>
      <c r="DE2770" t="s">
        <v>12415</v>
      </c>
      <c r="DF2770">
        <v>23.3</v>
      </c>
      <c r="DG2770">
        <v>20.04</v>
      </c>
      <c r="DH2770">
        <v>14.97</v>
      </c>
      <c r="DI2770">
        <v>0.28999999999999998</v>
      </c>
      <c r="DJ2770">
        <v>7468</v>
      </c>
      <c r="DK2770">
        <v>600507</v>
      </c>
      <c r="DL2770">
        <v>20210906</v>
      </c>
      <c r="DM2770">
        <v>8.7799999999999994</v>
      </c>
      <c r="DN2770">
        <v>3.64</v>
      </c>
    </row>
    <row r="2771" spans="1:118">
      <c r="A2771" t="str">
        <f>"600508"</f>
        <v>600508</v>
      </c>
      <c r="B2771" t="s">
        <v>12416</v>
      </c>
      <c r="C2771">
        <v>-0.92</v>
      </c>
      <c r="D2771">
        <v>-0.53</v>
      </c>
      <c r="E2771">
        <v>2.15</v>
      </c>
      <c r="F2771">
        <v>2209</v>
      </c>
      <c r="G2771" t="s">
        <v>904</v>
      </c>
      <c r="H2771">
        <v>27947.15</v>
      </c>
      <c r="I2771">
        <v>154.22999999999999</v>
      </c>
      <c r="J2771" t="s">
        <v>120</v>
      </c>
      <c r="K2771" t="s">
        <v>387</v>
      </c>
      <c r="L2771">
        <v>2.9</v>
      </c>
      <c r="M2771">
        <v>12.93</v>
      </c>
      <c r="N2771">
        <v>0.77</v>
      </c>
      <c r="O2771">
        <v>4.75</v>
      </c>
      <c r="P2771">
        <v>13.67</v>
      </c>
      <c r="Q2771">
        <v>-0.92</v>
      </c>
      <c r="R2771">
        <v>12.93</v>
      </c>
      <c r="S2771">
        <v>13.33</v>
      </c>
      <c r="T2771">
        <v>209857</v>
      </c>
      <c r="U2771">
        <v>12.94</v>
      </c>
      <c r="V2771">
        <v>13.05</v>
      </c>
      <c r="W2771">
        <v>10.68</v>
      </c>
      <c r="X2771" t="s">
        <v>1081</v>
      </c>
      <c r="Y2771" t="s">
        <v>1510</v>
      </c>
      <c r="Z2771">
        <v>5.67</v>
      </c>
      <c r="AA2771">
        <v>13.32</v>
      </c>
      <c r="AB2771">
        <v>109882</v>
      </c>
      <c r="AC2771">
        <v>99975</v>
      </c>
      <c r="AD2771">
        <v>1.1000000000000001</v>
      </c>
      <c r="AE2771">
        <v>186</v>
      </c>
      <c r="AF2771">
        <v>42</v>
      </c>
      <c r="AG2771" t="s">
        <v>120</v>
      </c>
      <c r="AH2771">
        <v>0.04</v>
      </c>
      <c r="AI2771" t="s">
        <v>120</v>
      </c>
      <c r="AJ2771">
        <v>7.23</v>
      </c>
      <c r="AK2771" t="s">
        <v>387</v>
      </c>
      <c r="AL2771">
        <v>0.42</v>
      </c>
      <c r="AM2771">
        <v>3792</v>
      </c>
      <c r="AN2771">
        <v>55</v>
      </c>
      <c r="AO2771">
        <v>8.0000000000000004E-4</v>
      </c>
      <c r="AP2771">
        <v>-1</v>
      </c>
      <c r="AQ2771">
        <v>1.64</v>
      </c>
      <c r="AR2771">
        <v>-4.3600000000000003</v>
      </c>
      <c r="AS2771">
        <v>30.74</v>
      </c>
      <c r="AT2771">
        <v>31.51</v>
      </c>
      <c r="AU2771">
        <v>31.11</v>
      </c>
      <c r="AV2771">
        <v>2</v>
      </c>
      <c r="AW2771">
        <v>7.73</v>
      </c>
      <c r="AX2771">
        <v>37.57</v>
      </c>
      <c r="AY2771">
        <v>14.89</v>
      </c>
      <c r="AZ2771">
        <v>14.11</v>
      </c>
      <c r="BA2771">
        <v>0.91</v>
      </c>
      <c r="BB2771" t="s">
        <v>143</v>
      </c>
      <c r="BF2771">
        <v>2.0499999999999998</v>
      </c>
      <c r="BG2771">
        <v>-3</v>
      </c>
      <c r="BH2771">
        <v>-5.41</v>
      </c>
      <c r="BI2771">
        <v>0</v>
      </c>
      <c r="BJ2771">
        <v>20210826</v>
      </c>
      <c r="BK2771">
        <v>20010829</v>
      </c>
      <c r="BL2771">
        <v>7.23</v>
      </c>
      <c r="BM2771" t="s">
        <v>120</v>
      </c>
      <c r="BN2771" t="s">
        <v>120</v>
      </c>
      <c r="BO2771">
        <v>178.78</v>
      </c>
      <c r="BP2771">
        <v>12.93</v>
      </c>
      <c r="BQ2771">
        <v>105.81</v>
      </c>
      <c r="BR2771">
        <v>-0.1</v>
      </c>
      <c r="BS2771">
        <v>40.880000000000003</v>
      </c>
      <c r="BT2771">
        <v>27.51</v>
      </c>
      <c r="BU2771">
        <v>111.51</v>
      </c>
      <c r="BV2771">
        <v>14.52</v>
      </c>
      <c r="BW2771">
        <v>41.64</v>
      </c>
      <c r="BX2771">
        <v>9.7899999999999991</v>
      </c>
      <c r="BY2771">
        <v>3.36</v>
      </c>
      <c r="BZ2771">
        <v>5.51</v>
      </c>
      <c r="CA2771" t="s">
        <v>120</v>
      </c>
      <c r="CB2771">
        <v>9.17</v>
      </c>
      <c r="CC2771">
        <v>44.61</v>
      </c>
      <c r="CD2771">
        <v>34.35</v>
      </c>
      <c r="CE2771">
        <v>5.74</v>
      </c>
      <c r="CF2771">
        <v>0</v>
      </c>
      <c r="CG2771">
        <v>5.81</v>
      </c>
      <c r="CH2771">
        <v>4.22</v>
      </c>
      <c r="CI2771">
        <v>4.37</v>
      </c>
      <c r="CJ2771">
        <v>-0.12</v>
      </c>
      <c r="CK2771">
        <v>4.21</v>
      </c>
      <c r="CL2771">
        <v>82.77</v>
      </c>
      <c r="CM2771">
        <v>3.52</v>
      </c>
      <c r="CN2771">
        <v>2.86</v>
      </c>
      <c r="CO2771">
        <v>41238</v>
      </c>
      <c r="CP2771">
        <v>6584</v>
      </c>
      <c r="CQ2771" t="s">
        <v>1267</v>
      </c>
      <c r="CR2771">
        <v>-7.43</v>
      </c>
      <c r="CS2771">
        <v>22.74</v>
      </c>
      <c r="CT2771">
        <v>0.88</v>
      </c>
      <c r="CU2771">
        <v>26.52</v>
      </c>
      <c r="CV2771">
        <v>2.09</v>
      </c>
      <c r="CW2771">
        <v>2.13</v>
      </c>
      <c r="CX2771" t="s">
        <v>1656</v>
      </c>
      <c r="CY2771">
        <v>14.64</v>
      </c>
      <c r="CZ2771">
        <v>0</v>
      </c>
      <c r="DA2771">
        <v>1.27</v>
      </c>
      <c r="DB2771">
        <v>11.45</v>
      </c>
      <c r="DC2771">
        <v>0.49</v>
      </c>
      <c r="DD2771">
        <v>59.18</v>
      </c>
      <c r="DE2771" t="s">
        <v>1175</v>
      </c>
      <c r="DF2771">
        <v>23</v>
      </c>
      <c r="DG2771">
        <v>12.87</v>
      </c>
      <c r="DH2771">
        <v>9.8000000000000007</v>
      </c>
      <c r="DI2771">
        <v>0.18</v>
      </c>
      <c r="DJ2771">
        <v>12831</v>
      </c>
      <c r="DK2771">
        <v>600508</v>
      </c>
      <c r="DL2771" t="s">
        <v>120</v>
      </c>
      <c r="DM2771" t="s">
        <v>120</v>
      </c>
      <c r="DN2771" t="s">
        <v>120</v>
      </c>
    </row>
    <row r="2772" spans="1:118">
      <c r="A2772" t="str">
        <f>"600509"</f>
        <v>600509</v>
      </c>
      <c r="B2772" t="s">
        <v>12417</v>
      </c>
      <c r="C2772">
        <v>-3.49</v>
      </c>
      <c r="D2772">
        <v>0.13</v>
      </c>
      <c r="E2772">
        <v>2.71</v>
      </c>
      <c r="F2772">
        <v>5823</v>
      </c>
      <c r="G2772" t="s">
        <v>12418</v>
      </c>
      <c r="H2772">
        <v>40186.19</v>
      </c>
      <c r="I2772">
        <v>363.32</v>
      </c>
      <c r="J2772" t="s">
        <v>120</v>
      </c>
      <c r="K2772" t="s">
        <v>12419</v>
      </c>
      <c r="L2772">
        <v>4.46</v>
      </c>
      <c r="M2772">
        <v>7.47</v>
      </c>
      <c r="N2772">
        <v>1.08</v>
      </c>
      <c r="O2772">
        <v>4.6500000000000004</v>
      </c>
      <c r="P2772">
        <v>8.1</v>
      </c>
      <c r="Q2772">
        <v>-3.75</v>
      </c>
      <c r="R2772">
        <v>7.45</v>
      </c>
      <c r="S2772">
        <v>7.95</v>
      </c>
      <c r="T2772">
        <v>513953</v>
      </c>
      <c r="U2772">
        <v>7.48</v>
      </c>
      <c r="V2772">
        <v>7.74</v>
      </c>
      <c r="W2772">
        <v>30.99</v>
      </c>
      <c r="X2772" t="s">
        <v>268</v>
      </c>
      <c r="Y2772" t="s">
        <v>609</v>
      </c>
      <c r="Z2772">
        <v>8.4</v>
      </c>
      <c r="AA2772">
        <v>7.82</v>
      </c>
      <c r="AB2772">
        <v>275743</v>
      </c>
      <c r="AC2772">
        <v>238210</v>
      </c>
      <c r="AD2772">
        <v>1.1599999999999999</v>
      </c>
      <c r="AE2772">
        <v>1494</v>
      </c>
      <c r="AF2772">
        <v>67</v>
      </c>
      <c r="AG2772" t="s">
        <v>120</v>
      </c>
      <c r="AH2772">
        <v>7.0000000000000007E-2</v>
      </c>
      <c r="AI2772" t="s">
        <v>120</v>
      </c>
      <c r="AJ2772">
        <v>11.51</v>
      </c>
      <c r="AK2772" t="s">
        <v>12419</v>
      </c>
      <c r="AL2772">
        <v>-2.14</v>
      </c>
      <c r="AM2772">
        <v>4041</v>
      </c>
      <c r="AN2772">
        <v>127</v>
      </c>
      <c r="AO2772">
        <v>1.1000000000000001E-3</v>
      </c>
      <c r="AP2772">
        <v>-1</v>
      </c>
      <c r="AQ2772">
        <v>4.03</v>
      </c>
      <c r="AR2772">
        <v>-4.5999999999999996</v>
      </c>
      <c r="AS2772">
        <v>5.66</v>
      </c>
      <c r="AT2772">
        <v>-8.98</v>
      </c>
      <c r="AU2772">
        <v>47.72</v>
      </c>
      <c r="AV2772">
        <v>14</v>
      </c>
      <c r="AW2772">
        <v>7.58</v>
      </c>
      <c r="AX2772">
        <v>58.9</v>
      </c>
      <c r="AY2772">
        <v>51.52</v>
      </c>
      <c r="AZ2772">
        <v>183.64</v>
      </c>
      <c r="BA2772">
        <v>1.31</v>
      </c>
      <c r="BB2772" t="s">
        <v>143</v>
      </c>
      <c r="BF2772">
        <v>1.02</v>
      </c>
      <c r="BG2772">
        <v>-6.04</v>
      </c>
      <c r="BH2772">
        <v>-7.78</v>
      </c>
      <c r="BI2772">
        <v>0.27</v>
      </c>
      <c r="BJ2772">
        <v>20210821</v>
      </c>
      <c r="BK2772">
        <v>20020228</v>
      </c>
      <c r="BL2772">
        <v>11.51</v>
      </c>
      <c r="BM2772" t="s">
        <v>120</v>
      </c>
      <c r="BN2772" t="s">
        <v>120</v>
      </c>
      <c r="BO2772">
        <v>220.86</v>
      </c>
      <c r="BP2772">
        <v>7.47</v>
      </c>
      <c r="BQ2772">
        <v>61.06</v>
      </c>
      <c r="BR2772">
        <v>6.7</v>
      </c>
      <c r="BS2772">
        <v>69.319999999999993</v>
      </c>
      <c r="BT2772">
        <v>47.28</v>
      </c>
      <c r="BU2772">
        <v>147.44999999999999</v>
      </c>
      <c r="BV2772">
        <v>1.7</v>
      </c>
      <c r="BW2772">
        <v>57.47</v>
      </c>
      <c r="BX2772">
        <v>17.95</v>
      </c>
      <c r="BY2772">
        <v>3.25</v>
      </c>
      <c r="BZ2772">
        <v>7.15</v>
      </c>
      <c r="CA2772">
        <v>0.01</v>
      </c>
      <c r="CB2772">
        <v>38.97</v>
      </c>
      <c r="CC2772">
        <v>30.52</v>
      </c>
      <c r="CD2772">
        <v>24.09</v>
      </c>
      <c r="CE2772">
        <v>1.75</v>
      </c>
      <c r="CF2772">
        <v>0.01</v>
      </c>
      <c r="CG2772">
        <v>1.77</v>
      </c>
      <c r="CH2772">
        <v>1.63</v>
      </c>
      <c r="CI2772">
        <v>1.39</v>
      </c>
      <c r="CJ2772">
        <v>-0.27</v>
      </c>
      <c r="CK2772">
        <v>1.04</v>
      </c>
      <c r="CL2772">
        <v>7.02</v>
      </c>
      <c r="CM2772">
        <v>5.57</v>
      </c>
      <c r="CN2772">
        <v>-0.97</v>
      </c>
      <c r="CO2772">
        <v>79039</v>
      </c>
      <c r="CP2772">
        <v>8580</v>
      </c>
      <c r="CQ2772" t="s">
        <v>6571</v>
      </c>
      <c r="CR2772">
        <v>868.69</v>
      </c>
      <c r="CS2772">
        <v>29.5</v>
      </c>
      <c r="CT2772">
        <v>1.41</v>
      </c>
      <c r="CU2772">
        <v>15.44</v>
      </c>
      <c r="CV2772">
        <v>2.82</v>
      </c>
      <c r="CW2772">
        <v>0.17</v>
      </c>
      <c r="CX2772" t="s">
        <v>1908</v>
      </c>
      <c r="CY2772">
        <v>5.3</v>
      </c>
      <c r="CZ2772">
        <v>0</v>
      </c>
      <c r="DA2772">
        <v>3.38</v>
      </c>
      <c r="DB2772">
        <v>0.61</v>
      </c>
      <c r="DC2772">
        <v>0.48</v>
      </c>
      <c r="DD2772">
        <v>27.65</v>
      </c>
      <c r="DE2772" t="s">
        <v>5116</v>
      </c>
      <c r="DF2772">
        <v>21.07</v>
      </c>
      <c r="DG2772">
        <v>5.72</v>
      </c>
      <c r="DH2772">
        <v>4.55</v>
      </c>
      <c r="DI2772" t="s">
        <v>120</v>
      </c>
      <c r="DJ2772">
        <v>2397</v>
      </c>
      <c r="DK2772">
        <v>600509</v>
      </c>
      <c r="DL2772" t="s">
        <v>120</v>
      </c>
      <c r="DM2772" t="s">
        <v>120</v>
      </c>
      <c r="DN2772" t="s">
        <v>120</v>
      </c>
    </row>
    <row r="2773" spans="1:118">
      <c r="A2773" t="str">
        <f>"600510"</f>
        <v>600510</v>
      </c>
      <c r="B2773" t="s">
        <v>12420</v>
      </c>
      <c r="C2773">
        <v>-4.3099999999999996</v>
      </c>
      <c r="D2773">
        <v>0.12</v>
      </c>
      <c r="E2773">
        <v>-0.57999999999999996</v>
      </c>
      <c r="F2773">
        <v>2671</v>
      </c>
      <c r="G2773" t="s">
        <v>5307</v>
      </c>
      <c r="H2773">
        <v>9280.24</v>
      </c>
      <c r="I2773">
        <v>26.13</v>
      </c>
      <c r="J2773" t="s">
        <v>120</v>
      </c>
      <c r="K2773" t="s">
        <v>12421</v>
      </c>
      <c r="L2773">
        <v>1.0900000000000001</v>
      </c>
      <c r="M2773">
        <v>8.2200000000000006</v>
      </c>
      <c r="N2773">
        <v>1.06</v>
      </c>
      <c r="O2773">
        <v>-0.12</v>
      </c>
      <c r="P2773">
        <v>8.58</v>
      </c>
      <c r="Q2773">
        <v>-4.54</v>
      </c>
      <c r="R2773">
        <v>8.1999999999999993</v>
      </c>
      <c r="S2773">
        <v>8.5399999999999991</v>
      </c>
      <c r="T2773">
        <v>111044</v>
      </c>
      <c r="U2773">
        <v>8.23</v>
      </c>
      <c r="V2773">
        <v>8.59</v>
      </c>
      <c r="W2773">
        <v>8.43</v>
      </c>
      <c r="X2773" t="s">
        <v>132</v>
      </c>
      <c r="Y2773" t="s">
        <v>319</v>
      </c>
      <c r="Z2773">
        <v>4.42</v>
      </c>
      <c r="AA2773">
        <v>8.36</v>
      </c>
      <c r="AB2773">
        <v>66723</v>
      </c>
      <c r="AC2773">
        <v>44321</v>
      </c>
      <c r="AD2773">
        <v>1.51</v>
      </c>
      <c r="AE2773">
        <v>246</v>
      </c>
      <c r="AF2773">
        <v>860</v>
      </c>
      <c r="AG2773" t="s">
        <v>120</v>
      </c>
      <c r="AH2773">
        <v>0.01</v>
      </c>
      <c r="AI2773" t="s">
        <v>120</v>
      </c>
      <c r="AJ2773">
        <v>10.17</v>
      </c>
      <c r="AK2773" t="s">
        <v>12422</v>
      </c>
      <c r="AL2773">
        <v>-2.96</v>
      </c>
      <c r="AM2773">
        <v>3056</v>
      </c>
      <c r="AN2773">
        <v>36</v>
      </c>
      <c r="AO2773">
        <v>4.0000000000000002E-4</v>
      </c>
      <c r="AP2773">
        <v>-1</v>
      </c>
      <c r="AQ2773">
        <v>0.59</v>
      </c>
      <c r="AR2773">
        <v>-4.8600000000000003</v>
      </c>
      <c r="AS2773">
        <v>-2.4900000000000002</v>
      </c>
      <c r="AT2773">
        <v>26.08</v>
      </c>
      <c r="AU2773">
        <v>25.31</v>
      </c>
      <c r="AV2773">
        <v>3</v>
      </c>
      <c r="AW2773">
        <v>3.38</v>
      </c>
      <c r="AX2773">
        <v>31.42</v>
      </c>
      <c r="AY2773">
        <v>9.5299999999999994</v>
      </c>
      <c r="AZ2773">
        <v>11.27</v>
      </c>
      <c r="BA2773">
        <v>0.31</v>
      </c>
      <c r="BB2773" t="s">
        <v>143</v>
      </c>
      <c r="BF2773">
        <v>-2.71</v>
      </c>
      <c r="BG2773">
        <v>-3.75</v>
      </c>
      <c r="BH2773">
        <v>-4.2</v>
      </c>
      <c r="BI2773">
        <v>0.24</v>
      </c>
      <c r="BJ2773">
        <v>20210824</v>
      </c>
      <c r="BK2773">
        <v>20020618</v>
      </c>
      <c r="BL2773">
        <v>10.47</v>
      </c>
      <c r="BM2773" t="s">
        <v>120</v>
      </c>
      <c r="BN2773" t="s">
        <v>120</v>
      </c>
      <c r="BO2773">
        <v>333.91</v>
      </c>
      <c r="BP2773">
        <v>8.2200000000000006</v>
      </c>
      <c r="BQ2773">
        <v>93.46</v>
      </c>
      <c r="BR2773">
        <v>12.69</v>
      </c>
      <c r="BS2773">
        <v>68.209999999999994</v>
      </c>
      <c r="BT2773">
        <v>279.66000000000003</v>
      </c>
      <c r="BU2773">
        <v>7.26</v>
      </c>
      <c r="BV2773">
        <v>1.99</v>
      </c>
      <c r="BW2773">
        <v>170.61</v>
      </c>
      <c r="BX2773">
        <v>51.61</v>
      </c>
      <c r="BY2773">
        <v>124.94</v>
      </c>
      <c r="BZ2773">
        <v>49.98</v>
      </c>
      <c r="CA2773">
        <v>0.03</v>
      </c>
      <c r="CB2773">
        <v>29.96</v>
      </c>
      <c r="CC2773">
        <v>50.66</v>
      </c>
      <c r="CD2773">
        <v>37.619999999999997</v>
      </c>
      <c r="CE2773">
        <v>7.59</v>
      </c>
      <c r="CF2773">
        <v>0.54</v>
      </c>
      <c r="CG2773">
        <v>7.65</v>
      </c>
      <c r="CH2773">
        <v>6.02</v>
      </c>
      <c r="CI2773">
        <v>5.0999999999999996</v>
      </c>
      <c r="CJ2773">
        <v>-0.37</v>
      </c>
      <c r="CK2773">
        <v>4.9800000000000004</v>
      </c>
      <c r="CL2773">
        <v>45.04</v>
      </c>
      <c r="CM2773">
        <v>-2.67</v>
      </c>
      <c r="CN2773">
        <v>-4.34</v>
      </c>
      <c r="CO2773">
        <v>26682</v>
      </c>
      <c r="CP2773">
        <v>12329</v>
      </c>
      <c r="CQ2773" t="s">
        <v>4936</v>
      </c>
      <c r="CR2773">
        <v>40.229999999999997</v>
      </c>
      <c r="CS2773">
        <v>41.73</v>
      </c>
      <c r="CT2773">
        <v>0.92</v>
      </c>
      <c r="CU2773">
        <v>-32.26</v>
      </c>
      <c r="CV2773">
        <v>1.7</v>
      </c>
      <c r="CW2773">
        <v>2.67</v>
      </c>
      <c r="CX2773" t="s">
        <v>550</v>
      </c>
      <c r="CY2773">
        <v>8.93</v>
      </c>
      <c r="CZ2773">
        <v>0</v>
      </c>
      <c r="DA2773">
        <v>2.86</v>
      </c>
      <c r="DB2773">
        <v>4.3</v>
      </c>
      <c r="DC2773">
        <v>-0.25</v>
      </c>
      <c r="DD2773">
        <v>27.99</v>
      </c>
      <c r="DE2773" t="s">
        <v>9757</v>
      </c>
      <c r="DF2773">
        <v>25.75</v>
      </c>
      <c r="DG2773">
        <v>14.98</v>
      </c>
      <c r="DH2773">
        <v>10.07</v>
      </c>
      <c r="DI2773">
        <v>0.31</v>
      </c>
      <c r="DJ2773">
        <v>3196</v>
      </c>
      <c r="DK2773">
        <v>600510</v>
      </c>
      <c r="DL2773" t="s">
        <v>120</v>
      </c>
      <c r="DM2773" t="s">
        <v>120</v>
      </c>
      <c r="DN2773" t="s">
        <v>120</v>
      </c>
    </row>
    <row r="2774" spans="1:118">
      <c r="A2774" t="str">
        <f>"600511"</f>
        <v>600511</v>
      </c>
      <c r="B2774" t="s">
        <v>12423</v>
      </c>
      <c r="C2774">
        <v>-0.64</v>
      </c>
      <c r="D2774">
        <v>0</v>
      </c>
      <c r="E2774">
        <v>-0.3</v>
      </c>
      <c r="F2774">
        <v>1430</v>
      </c>
      <c r="G2774" t="s">
        <v>12424</v>
      </c>
      <c r="H2774">
        <v>15206.32</v>
      </c>
      <c r="I2774">
        <v>48.86</v>
      </c>
      <c r="J2774" t="s">
        <v>120</v>
      </c>
      <c r="K2774" t="s">
        <v>12425</v>
      </c>
      <c r="L2774">
        <v>0.92</v>
      </c>
      <c r="M2774">
        <v>29.51</v>
      </c>
      <c r="N2774">
        <v>0.85</v>
      </c>
      <c r="O2774">
        <v>0.98</v>
      </c>
      <c r="P2774">
        <v>29.99</v>
      </c>
      <c r="Q2774">
        <v>-0.67</v>
      </c>
      <c r="R2774">
        <v>29.5</v>
      </c>
      <c r="S2774">
        <v>29.61</v>
      </c>
      <c r="T2774">
        <v>51183</v>
      </c>
      <c r="U2774">
        <v>29.51</v>
      </c>
      <c r="V2774">
        <v>29.7</v>
      </c>
      <c r="W2774">
        <v>14.54</v>
      </c>
      <c r="X2774" t="s">
        <v>274</v>
      </c>
      <c r="Y2774" t="s">
        <v>158</v>
      </c>
      <c r="Z2774">
        <v>1.65</v>
      </c>
      <c r="AA2774">
        <v>29.71</v>
      </c>
      <c r="AB2774">
        <v>31282</v>
      </c>
      <c r="AC2774">
        <v>19901</v>
      </c>
      <c r="AD2774">
        <v>1.57</v>
      </c>
      <c r="AE2774">
        <v>1396</v>
      </c>
      <c r="AF2774">
        <v>45</v>
      </c>
      <c r="AG2774" t="s">
        <v>120</v>
      </c>
      <c r="AH2774">
        <v>0</v>
      </c>
      <c r="AI2774" t="s">
        <v>120</v>
      </c>
      <c r="AJ2774">
        <v>5.53</v>
      </c>
      <c r="AK2774" t="s">
        <v>12426</v>
      </c>
      <c r="AL2774">
        <v>0.7</v>
      </c>
      <c r="AM2774">
        <v>2895</v>
      </c>
      <c r="AN2774">
        <v>18</v>
      </c>
      <c r="AO2774">
        <v>2.9999999999999997E-4</v>
      </c>
      <c r="AP2774">
        <v>-3</v>
      </c>
      <c r="AQ2774">
        <v>-1.2</v>
      </c>
      <c r="AR2774">
        <v>-3.63</v>
      </c>
      <c r="AS2774">
        <v>-4.9000000000000004</v>
      </c>
      <c r="AT2774">
        <v>-9.75</v>
      </c>
      <c r="AU2774">
        <v>-39.479999999999997</v>
      </c>
      <c r="AV2774">
        <v>3</v>
      </c>
      <c r="AW2774">
        <v>1.5</v>
      </c>
      <c r="AX2774">
        <v>45.28</v>
      </c>
      <c r="AY2774">
        <v>14.66</v>
      </c>
      <c r="AZ2774">
        <v>16.21</v>
      </c>
      <c r="BA2774">
        <v>0.61</v>
      </c>
      <c r="BB2774" t="s">
        <v>143</v>
      </c>
      <c r="BF2774">
        <v>0.03</v>
      </c>
      <c r="BG2774">
        <v>-0.34</v>
      </c>
      <c r="BH2774">
        <v>-1.6</v>
      </c>
      <c r="BI2774">
        <v>0.03</v>
      </c>
      <c r="BJ2774">
        <v>20210819</v>
      </c>
      <c r="BK2774">
        <v>20021127</v>
      </c>
      <c r="BL2774">
        <v>7.55</v>
      </c>
      <c r="BM2774" t="s">
        <v>120</v>
      </c>
      <c r="BN2774" t="s">
        <v>120</v>
      </c>
      <c r="BO2774">
        <v>264.60000000000002</v>
      </c>
      <c r="BP2774">
        <v>29.5</v>
      </c>
      <c r="BQ2774">
        <v>117.91</v>
      </c>
      <c r="BR2774">
        <v>15.62</v>
      </c>
      <c r="BS2774">
        <v>49.54</v>
      </c>
      <c r="BT2774">
        <v>236.9</v>
      </c>
      <c r="BU2774">
        <v>5.45</v>
      </c>
      <c r="BV2774">
        <v>2.4900000000000002</v>
      </c>
      <c r="BW2774">
        <v>125.69</v>
      </c>
      <c r="BX2774">
        <v>67.290000000000006</v>
      </c>
      <c r="BY2774">
        <v>33.880000000000003</v>
      </c>
      <c r="BZ2774">
        <v>61.28</v>
      </c>
      <c r="CA2774" t="s">
        <v>120</v>
      </c>
      <c r="CB2774">
        <v>23.49</v>
      </c>
      <c r="CC2774">
        <v>220.76</v>
      </c>
      <c r="CD2774">
        <v>204.32</v>
      </c>
      <c r="CE2774">
        <v>10.5</v>
      </c>
      <c r="CF2774">
        <v>0.96</v>
      </c>
      <c r="CG2774">
        <v>10.52</v>
      </c>
      <c r="CH2774">
        <v>8.33</v>
      </c>
      <c r="CI2774">
        <v>7.66</v>
      </c>
      <c r="CJ2774">
        <v>-0.19</v>
      </c>
      <c r="CK2774">
        <v>7.58</v>
      </c>
      <c r="CL2774">
        <v>80.56</v>
      </c>
      <c r="CM2774">
        <v>8.07</v>
      </c>
      <c r="CN2774">
        <v>5.36</v>
      </c>
      <c r="CO2774">
        <v>127119</v>
      </c>
      <c r="CP2774">
        <v>2688</v>
      </c>
      <c r="CQ2774" t="s">
        <v>3259</v>
      </c>
      <c r="CR2774">
        <v>23.56</v>
      </c>
      <c r="CS2774">
        <v>25.92</v>
      </c>
      <c r="CT2774">
        <v>1.89</v>
      </c>
      <c r="CU2774">
        <v>27.59</v>
      </c>
      <c r="CV2774">
        <v>1.01</v>
      </c>
      <c r="CW2774">
        <v>1.85</v>
      </c>
      <c r="CX2774" t="s">
        <v>12427</v>
      </c>
      <c r="CY2774">
        <v>15.63</v>
      </c>
      <c r="CZ2774">
        <v>0</v>
      </c>
      <c r="DA2774">
        <v>3.11</v>
      </c>
      <c r="DB2774">
        <v>10.68</v>
      </c>
      <c r="DC2774">
        <v>1.07</v>
      </c>
      <c r="DD2774">
        <v>44.56</v>
      </c>
      <c r="DE2774" t="s">
        <v>3395</v>
      </c>
      <c r="DF2774">
        <v>7.44</v>
      </c>
      <c r="DG2774">
        <v>4.76</v>
      </c>
      <c r="DH2774">
        <v>3.47</v>
      </c>
      <c r="DI2774">
        <v>0.26</v>
      </c>
      <c r="DJ2774">
        <v>2982</v>
      </c>
      <c r="DK2774">
        <v>600511</v>
      </c>
      <c r="DL2774" t="s">
        <v>120</v>
      </c>
      <c r="DM2774" t="s">
        <v>120</v>
      </c>
      <c r="DN2774" t="s">
        <v>120</v>
      </c>
    </row>
    <row r="2775" spans="1:118">
      <c r="A2775" t="str">
        <f>"600512"</f>
        <v>600512</v>
      </c>
      <c r="B2775" t="s">
        <v>12428</v>
      </c>
      <c r="C2775">
        <v>0</v>
      </c>
      <c r="D2775">
        <v>0</v>
      </c>
      <c r="E2775">
        <v>0</v>
      </c>
      <c r="F2775">
        <v>12269</v>
      </c>
      <c r="G2775" t="s">
        <v>971</v>
      </c>
      <c r="H2775">
        <v>21486.98</v>
      </c>
      <c r="I2775">
        <v>20.2</v>
      </c>
      <c r="J2775" t="s">
        <v>120</v>
      </c>
      <c r="K2775" t="s">
        <v>2896</v>
      </c>
      <c r="L2775">
        <v>3.63</v>
      </c>
      <c r="M2775">
        <v>3.64</v>
      </c>
      <c r="N2775">
        <v>0.94</v>
      </c>
      <c r="O2775">
        <v>3.85</v>
      </c>
      <c r="P2775">
        <v>3.78</v>
      </c>
      <c r="Q2775">
        <v>-0.27</v>
      </c>
      <c r="R2775">
        <v>3.63</v>
      </c>
      <c r="S2775">
        <v>3.64</v>
      </c>
      <c r="T2775">
        <v>579980</v>
      </c>
      <c r="U2775">
        <v>3.64</v>
      </c>
      <c r="V2775">
        <v>3.64</v>
      </c>
      <c r="W2775">
        <v>4.8899999999999997</v>
      </c>
      <c r="X2775" t="s">
        <v>175</v>
      </c>
      <c r="Y2775" t="s">
        <v>585</v>
      </c>
      <c r="Z2775">
        <v>4.12</v>
      </c>
      <c r="AA2775">
        <v>3.7</v>
      </c>
      <c r="AB2775">
        <v>271459</v>
      </c>
      <c r="AC2775">
        <v>308521</v>
      </c>
      <c r="AD2775">
        <v>0.88</v>
      </c>
      <c r="AE2775">
        <v>6999</v>
      </c>
      <c r="AF2775">
        <v>880</v>
      </c>
      <c r="AG2775" t="s">
        <v>120</v>
      </c>
      <c r="AH2775">
        <v>0</v>
      </c>
      <c r="AI2775" t="s">
        <v>120</v>
      </c>
      <c r="AJ2775">
        <v>15.99</v>
      </c>
      <c r="AK2775" t="s">
        <v>2896</v>
      </c>
      <c r="AL2775">
        <v>1.34</v>
      </c>
      <c r="AM2775">
        <v>3145</v>
      </c>
      <c r="AN2775">
        <v>184</v>
      </c>
      <c r="AO2775">
        <v>1.1999999999999999E-3</v>
      </c>
      <c r="AP2775">
        <v>0</v>
      </c>
      <c r="AQ2775">
        <v>0</v>
      </c>
      <c r="AR2775">
        <v>-4.21</v>
      </c>
      <c r="AS2775">
        <v>6.12</v>
      </c>
      <c r="AT2775">
        <v>16.670000000000002</v>
      </c>
      <c r="AU2775">
        <v>25.09</v>
      </c>
      <c r="AV2775">
        <v>2</v>
      </c>
      <c r="AW2775">
        <v>4.43</v>
      </c>
      <c r="AX2775">
        <v>81.97</v>
      </c>
      <c r="AY2775">
        <v>6.01</v>
      </c>
      <c r="AZ2775">
        <v>9.58</v>
      </c>
      <c r="BA2775">
        <v>0.78</v>
      </c>
      <c r="BB2775" t="s">
        <v>240</v>
      </c>
      <c r="BF2775">
        <v>1.78</v>
      </c>
      <c r="BG2775">
        <v>0</v>
      </c>
      <c r="BH2775">
        <v>-3.7</v>
      </c>
      <c r="BI2775">
        <v>0.28000000000000003</v>
      </c>
      <c r="BJ2775">
        <v>20210825</v>
      </c>
      <c r="BK2775">
        <v>20021226</v>
      </c>
      <c r="BL2775">
        <v>15.99</v>
      </c>
      <c r="BM2775" t="s">
        <v>120</v>
      </c>
      <c r="BN2775" t="s">
        <v>120</v>
      </c>
      <c r="BO2775">
        <v>107.71</v>
      </c>
      <c r="BP2775">
        <v>3.63</v>
      </c>
      <c r="BQ2775">
        <v>58.34</v>
      </c>
      <c r="BR2775">
        <v>-1.25</v>
      </c>
      <c r="BS2775">
        <v>46.99</v>
      </c>
      <c r="BT2775">
        <v>81.14</v>
      </c>
      <c r="BU2775">
        <v>2.68</v>
      </c>
      <c r="BV2775">
        <v>1.7</v>
      </c>
      <c r="BW2775">
        <v>49.52</v>
      </c>
      <c r="BX2775">
        <v>21.82</v>
      </c>
      <c r="BY2775">
        <v>32.33</v>
      </c>
      <c r="BZ2775">
        <v>2.9</v>
      </c>
      <c r="CA2775">
        <v>0.46</v>
      </c>
      <c r="CB2775">
        <v>22.53</v>
      </c>
      <c r="CC2775">
        <v>33.86</v>
      </c>
      <c r="CD2775">
        <v>26.5</v>
      </c>
      <c r="CE2775">
        <v>7.12</v>
      </c>
      <c r="CF2775">
        <v>2.67</v>
      </c>
      <c r="CG2775">
        <v>7.11</v>
      </c>
      <c r="CH2775">
        <v>5.96</v>
      </c>
      <c r="CI2775">
        <v>5.95</v>
      </c>
      <c r="CJ2775">
        <v>0</v>
      </c>
      <c r="CK2775">
        <v>5.74</v>
      </c>
      <c r="CL2775">
        <v>17.11</v>
      </c>
      <c r="CM2775">
        <v>3.6</v>
      </c>
      <c r="CN2775">
        <v>2.81</v>
      </c>
      <c r="CO2775">
        <v>76057</v>
      </c>
      <c r="CP2775">
        <v>17232</v>
      </c>
      <c r="CQ2775" t="s">
        <v>4771</v>
      </c>
      <c r="CR2775">
        <v>154.86000000000001</v>
      </c>
      <c r="CS2775">
        <v>91.24</v>
      </c>
      <c r="CT2775">
        <v>1</v>
      </c>
      <c r="CU2775">
        <v>16.190000000000001</v>
      </c>
      <c r="CV2775">
        <v>1.72</v>
      </c>
      <c r="CW2775">
        <v>1.37</v>
      </c>
      <c r="CX2775" t="s">
        <v>709</v>
      </c>
      <c r="CY2775">
        <v>3.65</v>
      </c>
      <c r="CZ2775">
        <v>0</v>
      </c>
      <c r="DA2775">
        <v>1.41</v>
      </c>
      <c r="DB2775">
        <v>1.07</v>
      </c>
      <c r="DC2775">
        <v>0.22</v>
      </c>
      <c r="DD2775">
        <v>54.17</v>
      </c>
      <c r="DE2775" t="s">
        <v>9837</v>
      </c>
      <c r="DF2775">
        <v>21.72</v>
      </c>
      <c r="DG2775">
        <v>21.02</v>
      </c>
      <c r="DH2775">
        <v>17.57</v>
      </c>
      <c r="DI2775">
        <v>0.72</v>
      </c>
      <c r="DJ2775">
        <v>3379</v>
      </c>
      <c r="DK2775">
        <v>600512</v>
      </c>
      <c r="DL2775" t="s">
        <v>120</v>
      </c>
      <c r="DM2775" t="s">
        <v>120</v>
      </c>
      <c r="DN2775" t="s">
        <v>120</v>
      </c>
    </row>
    <row r="2776" spans="1:118">
      <c r="A2776" t="str">
        <f>"600513"</f>
        <v>600513</v>
      </c>
      <c r="B2776" t="s">
        <v>12429</v>
      </c>
      <c r="C2776">
        <v>-0.92</v>
      </c>
      <c r="D2776">
        <v>0</v>
      </c>
      <c r="E2776">
        <v>-0.46</v>
      </c>
      <c r="F2776">
        <v>148</v>
      </c>
      <c r="G2776" t="s">
        <v>12430</v>
      </c>
      <c r="H2776">
        <v>2867.37</v>
      </c>
      <c r="I2776">
        <v>0</v>
      </c>
      <c r="J2776" t="s">
        <v>120</v>
      </c>
      <c r="K2776" t="s">
        <v>12431</v>
      </c>
      <c r="L2776">
        <v>1.1499999999999999</v>
      </c>
      <c r="M2776">
        <v>8.64</v>
      </c>
      <c r="N2776">
        <v>1.26</v>
      </c>
      <c r="O2776">
        <v>0.92</v>
      </c>
      <c r="P2776">
        <v>8.8000000000000007</v>
      </c>
      <c r="Q2776">
        <v>-1.03</v>
      </c>
      <c r="R2776">
        <v>8.6300000000000008</v>
      </c>
      <c r="S2776">
        <v>8.68</v>
      </c>
      <c r="T2776">
        <v>32858</v>
      </c>
      <c r="U2776">
        <v>8.65</v>
      </c>
      <c r="V2776">
        <v>8.7200000000000006</v>
      </c>
      <c r="W2776">
        <v>22.88</v>
      </c>
      <c r="X2776" t="s">
        <v>569</v>
      </c>
      <c r="Y2776" t="s">
        <v>319</v>
      </c>
      <c r="Z2776">
        <v>1.95</v>
      </c>
      <c r="AA2776">
        <v>8.73</v>
      </c>
      <c r="AB2776">
        <v>16872</v>
      </c>
      <c r="AC2776">
        <v>15986</v>
      </c>
      <c r="AD2776">
        <v>1.06</v>
      </c>
      <c r="AE2776">
        <v>170</v>
      </c>
      <c r="AF2776">
        <v>233</v>
      </c>
      <c r="AG2776" t="s">
        <v>120</v>
      </c>
      <c r="AH2776">
        <v>0</v>
      </c>
      <c r="AI2776" t="s">
        <v>120</v>
      </c>
      <c r="AJ2776">
        <v>2.85</v>
      </c>
      <c r="AK2776" t="s">
        <v>8364</v>
      </c>
      <c r="AL2776">
        <v>0.43</v>
      </c>
      <c r="AM2776">
        <v>1358</v>
      </c>
      <c r="AN2776">
        <v>24</v>
      </c>
      <c r="AO2776">
        <v>8.0000000000000004E-4</v>
      </c>
      <c r="AP2776">
        <v>-1</v>
      </c>
      <c r="AQ2776">
        <v>1.63</v>
      </c>
      <c r="AR2776">
        <v>-0.8</v>
      </c>
      <c r="AS2776">
        <v>2.74</v>
      </c>
      <c r="AT2776">
        <v>-2.37</v>
      </c>
      <c r="AU2776">
        <v>-15.31</v>
      </c>
      <c r="AV2776">
        <v>2</v>
      </c>
      <c r="AW2776">
        <v>1.83</v>
      </c>
      <c r="AX2776">
        <v>62.36</v>
      </c>
      <c r="AY2776">
        <v>22.36</v>
      </c>
      <c r="AZ2776">
        <v>24.38</v>
      </c>
      <c r="BA2776">
        <v>0.53</v>
      </c>
      <c r="BB2776" t="s">
        <v>143</v>
      </c>
      <c r="BF2776">
        <v>0.08</v>
      </c>
      <c r="BG2776">
        <v>-0.46</v>
      </c>
      <c r="BH2776">
        <v>-1.82</v>
      </c>
      <c r="BI2776">
        <v>0.12</v>
      </c>
      <c r="BJ2776">
        <v>20210825</v>
      </c>
      <c r="BK2776">
        <v>20030319</v>
      </c>
      <c r="BL2776">
        <v>2.88</v>
      </c>
      <c r="BM2776" t="s">
        <v>120</v>
      </c>
      <c r="BN2776" t="s">
        <v>120</v>
      </c>
      <c r="BO2776">
        <v>21.67</v>
      </c>
      <c r="BP2776">
        <v>8.64</v>
      </c>
      <c r="BQ2776">
        <v>10.96</v>
      </c>
      <c r="BR2776">
        <v>1.19</v>
      </c>
      <c r="BS2776">
        <v>43.93</v>
      </c>
      <c r="BT2776">
        <v>10.74</v>
      </c>
      <c r="BU2776">
        <v>6.04</v>
      </c>
      <c r="BV2776">
        <v>0.73</v>
      </c>
      <c r="BW2776">
        <v>9.0500000000000007</v>
      </c>
      <c r="BX2776">
        <v>1.75</v>
      </c>
      <c r="BY2776">
        <v>2.09</v>
      </c>
      <c r="BZ2776">
        <v>4.16</v>
      </c>
      <c r="CA2776">
        <v>1.25</v>
      </c>
      <c r="CB2776">
        <v>2.72</v>
      </c>
      <c r="CC2776">
        <v>7.59</v>
      </c>
      <c r="CD2776">
        <v>3.59</v>
      </c>
      <c r="CE2776">
        <v>0.76</v>
      </c>
      <c r="CF2776">
        <v>-0.01</v>
      </c>
      <c r="CG2776">
        <v>0.78</v>
      </c>
      <c r="CH2776">
        <v>0.65</v>
      </c>
      <c r="CI2776">
        <v>0.54</v>
      </c>
      <c r="CJ2776">
        <v>-0.08</v>
      </c>
      <c r="CK2776">
        <v>0.51</v>
      </c>
      <c r="CL2776">
        <v>4.8499999999999996</v>
      </c>
      <c r="CM2776">
        <v>0.22</v>
      </c>
      <c r="CN2776">
        <v>-0.67</v>
      </c>
      <c r="CO2776">
        <v>38102</v>
      </c>
      <c r="CP2776">
        <v>4713</v>
      </c>
      <c r="CQ2776" t="s">
        <v>8529</v>
      </c>
      <c r="CR2776">
        <v>20.59</v>
      </c>
      <c r="CS2776">
        <v>23.25</v>
      </c>
      <c r="CT2776">
        <v>2.27</v>
      </c>
      <c r="CU2776">
        <v>113.76</v>
      </c>
      <c r="CV2776">
        <v>3.28</v>
      </c>
      <c r="CW2776">
        <v>1.24</v>
      </c>
      <c r="CX2776" t="s">
        <v>442</v>
      </c>
      <c r="CY2776">
        <v>3.81</v>
      </c>
      <c r="CZ2776">
        <v>0</v>
      </c>
      <c r="DA2776">
        <v>0.94</v>
      </c>
      <c r="DB2776">
        <v>1.68</v>
      </c>
      <c r="DC2776">
        <v>0.08</v>
      </c>
      <c r="DD2776">
        <v>50.57</v>
      </c>
      <c r="DE2776" t="s">
        <v>9491</v>
      </c>
      <c r="DF2776">
        <v>52.76</v>
      </c>
      <c r="DG2776">
        <v>10</v>
      </c>
      <c r="DH2776">
        <v>7.16</v>
      </c>
      <c r="DI2776">
        <v>0.24</v>
      </c>
      <c r="DJ2776">
        <v>1319</v>
      </c>
      <c r="DK2776">
        <v>600513</v>
      </c>
      <c r="DL2776" t="s">
        <v>120</v>
      </c>
      <c r="DM2776" t="s">
        <v>120</v>
      </c>
      <c r="DN2776" t="s">
        <v>120</v>
      </c>
    </row>
    <row r="2777" spans="1:118">
      <c r="A2777" t="str">
        <f>"600516"</f>
        <v>600516</v>
      </c>
      <c r="B2777" t="s">
        <v>12432</v>
      </c>
      <c r="C2777">
        <v>2.4700000000000002</v>
      </c>
      <c r="D2777">
        <v>-7.0000000000000007E-2</v>
      </c>
      <c r="E2777">
        <v>-0.31</v>
      </c>
      <c r="F2777">
        <v>36961</v>
      </c>
      <c r="G2777" t="s">
        <v>12433</v>
      </c>
      <c r="H2777">
        <v>418058.51</v>
      </c>
      <c r="I2777">
        <v>1654.5</v>
      </c>
      <c r="J2777" t="s">
        <v>120</v>
      </c>
      <c r="K2777" t="s">
        <v>12434</v>
      </c>
      <c r="L2777">
        <v>8.36</v>
      </c>
      <c r="M2777">
        <v>13.26</v>
      </c>
      <c r="N2777">
        <v>1.46</v>
      </c>
      <c r="O2777">
        <v>5.72</v>
      </c>
      <c r="P2777">
        <v>13.68</v>
      </c>
      <c r="Q2777">
        <v>-3.25</v>
      </c>
      <c r="R2777">
        <v>12.52</v>
      </c>
      <c r="S2777">
        <v>12.9</v>
      </c>
      <c r="T2777">
        <v>3183657</v>
      </c>
      <c r="U2777">
        <v>13.27</v>
      </c>
      <c r="V2777">
        <v>12.94</v>
      </c>
      <c r="W2777">
        <v>50.25</v>
      </c>
      <c r="X2777" t="s">
        <v>1991</v>
      </c>
      <c r="Y2777" t="s">
        <v>1082</v>
      </c>
      <c r="Z2777">
        <v>8.9600000000000009</v>
      </c>
      <c r="AA2777">
        <v>13.13</v>
      </c>
      <c r="AB2777">
        <v>1576105</v>
      </c>
      <c r="AC2777">
        <v>1607552</v>
      </c>
      <c r="AD2777">
        <v>0.98</v>
      </c>
      <c r="AE2777">
        <v>7152</v>
      </c>
      <c r="AF2777">
        <v>6931</v>
      </c>
      <c r="AG2777" t="s">
        <v>120</v>
      </c>
      <c r="AH2777">
        <v>0.06</v>
      </c>
      <c r="AI2777" t="s">
        <v>120</v>
      </c>
      <c r="AJ2777">
        <v>38.06</v>
      </c>
      <c r="AK2777" t="s">
        <v>12434</v>
      </c>
      <c r="AL2777">
        <v>3.82</v>
      </c>
      <c r="AM2777">
        <v>4745</v>
      </c>
      <c r="AN2777">
        <v>671</v>
      </c>
      <c r="AO2777">
        <v>1.8E-3</v>
      </c>
      <c r="AP2777">
        <v>4</v>
      </c>
      <c r="AQ2777">
        <v>5.37</v>
      </c>
      <c r="AR2777">
        <v>8.33</v>
      </c>
      <c r="AS2777">
        <v>35.17</v>
      </c>
      <c r="AT2777">
        <v>71.77</v>
      </c>
      <c r="AU2777">
        <v>101.83</v>
      </c>
      <c r="AV2777">
        <v>7</v>
      </c>
      <c r="AW2777">
        <v>14.07</v>
      </c>
      <c r="AX2777">
        <v>59.46</v>
      </c>
      <c r="AY2777">
        <v>57.86</v>
      </c>
      <c r="AZ2777">
        <v>89.96</v>
      </c>
      <c r="BA2777">
        <v>0.6</v>
      </c>
      <c r="BB2777" t="s">
        <v>168</v>
      </c>
      <c r="BF2777">
        <v>1.48</v>
      </c>
      <c r="BG2777">
        <v>2.79</v>
      </c>
      <c r="BH2777">
        <v>-3.07</v>
      </c>
      <c r="BI2777">
        <v>5.91</v>
      </c>
      <c r="BJ2777">
        <v>20210825</v>
      </c>
      <c r="BK2777">
        <v>20020830</v>
      </c>
      <c r="BL2777">
        <v>38.06</v>
      </c>
      <c r="BM2777" t="s">
        <v>120</v>
      </c>
      <c r="BN2777" t="s">
        <v>120</v>
      </c>
      <c r="BO2777">
        <v>186.33</v>
      </c>
      <c r="BP2777">
        <v>13.26</v>
      </c>
      <c r="BQ2777">
        <v>141.82</v>
      </c>
      <c r="BR2777">
        <v>9.81</v>
      </c>
      <c r="BS2777">
        <v>18.62</v>
      </c>
      <c r="BT2777">
        <v>124.25</v>
      </c>
      <c r="BU2777">
        <v>21.7</v>
      </c>
      <c r="BV2777">
        <v>4.59</v>
      </c>
      <c r="BW2777">
        <v>25.8</v>
      </c>
      <c r="BX2777">
        <v>33</v>
      </c>
      <c r="BY2777">
        <v>14.83</v>
      </c>
      <c r="BZ2777">
        <v>6.82</v>
      </c>
      <c r="CA2777" t="s">
        <v>120</v>
      </c>
      <c r="CB2777">
        <v>8.98</v>
      </c>
      <c r="CC2777">
        <v>23.64</v>
      </c>
      <c r="CD2777">
        <v>15.91</v>
      </c>
      <c r="CE2777">
        <v>6.08</v>
      </c>
      <c r="CF2777">
        <v>0.62</v>
      </c>
      <c r="CG2777">
        <v>6.13</v>
      </c>
      <c r="CH2777">
        <v>5.23</v>
      </c>
      <c r="CI2777">
        <v>5.0199999999999996</v>
      </c>
      <c r="CJ2777">
        <v>0.32</v>
      </c>
      <c r="CK2777">
        <v>4.58</v>
      </c>
      <c r="CL2777">
        <v>82.66</v>
      </c>
      <c r="CM2777">
        <v>5.9</v>
      </c>
      <c r="CN2777">
        <v>-23.27</v>
      </c>
      <c r="CO2777">
        <v>253656</v>
      </c>
      <c r="CP2777">
        <v>8922</v>
      </c>
      <c r="CQ2777" t="s">
        <v>12435</v>
      </c>
      <c r="CR2777">
        <v>153.01</v>
      </c>
      <c r="CS2777">
        <v>44.57</v>
      </c>
      <c r="CT2777">
        <v>3.56</v>
      </c>
      <c r="CU2777">
        <v>85.56</v>
      </c>
      <c r="CV2777">
        <v>21.35</v>
      </c>
      <c r="CW2777">
        <v>3.86</v>
      </c>
      <c r="CX2777" t="s">
        <v>1663</v>
      </c>
      <c r="CY2777">
        <v>3.73</v>
      </c>
      <c r="CZ2777">
        <v>0</v>
      </c>
      <c r="DA2777">
        <v>0.24</v>
      </c>
      <c r="DB2777">
        <v>2.17</v>
      </c>
      <c r="DC2777">
        <v>0.15</v>
      </c>
      <c r="DD2777">
        <v>76.11</v>
      </c>
      <c r="DE2777" t="s">
        <v>1130</v>
      </c>
      <c r="DF2777">
        <v>32.69</v>
      </c>
      <c r="DG2777">
        <v>25.71</v>
      </c>
      <c r="DH2777">
        <v>21.24</v>
      </c>
      <c r="DI2777">
        <v>0.33</v>
      </c>
      <c r="DJ2777">
        <v>4930</v>
      </c>
      <c r="DK2777">
        <v>600516</v>
      </c>
      <c r="DL2777">
        <v>20210815</v>
      </c>
      <c r="DM2777">
        <v>10.09</v>
      </c>
      <c r="DN2777">
        <v>31.42</v>
      </c>
    </row>
    <row r="2778" spans="1:118">
      <c r="A2778" t="str">
        <f>"600517"</f>
        <v>600517</v>
      </c>
      <c r="B2778" t="s">
        <v>12436</v>
      </c>
      <c r="C2778">
        <v>-4.47</v>
      </c>
      <c r="D2778">
        <v>0</v>
      </c>
      <c r="E2778">
        <v>0.26</v>
      </c>
      <c r="F2778">
        <v>4195</v>
      </c>
      <c r="G2778" t="s">
        <v>8165</v>
      </c>
      <c r="H2778">
        <v>40037.31</v>
      </c>
      <c r="I2778">
        <v>267.92</v>
      </c>
      <c r="J2778" t="s">
        <v>120</v>
      </c>
      <c r="K2778" t="s">
        <v>12437</v>
      </c>
      <c r="L2778">
        <v>2.84</v>
      </c>
      <c r="M2778">
        <v>7.26</v>
      </c>
      <c r="N2778">
        <v>0.6</v>
      </c>
      <c r="O2778">
        <v>0.79</v>
      </c>
      <c r="P2778">
        <v>7.66</v>
      </c>
      <c r="Q2778">
        <v>-4.74</v>
      </c>
      <c r="R2778">
        <v>7.24</v>
      </c>
      <c r="S2778">
        <v>7.62</v>
      </c>
      <c r="T2778">
        <v>539843</v>
      </c>
      <c r="U2778">
        <v>7.27</v>
      </c>
      <c r="V2778">
        <v>7.6</v>
      </c>
      <c r="W2778">
        <v>32.18</v>
      </c>
      <c r="X2778" t="s">
        <v>394</v>
      </c>
      <c r="Y2778" t="s">
        <v>1510</v>
      </c>
      <c r="Z2778">
        <v>5.53</v>
      </c>
      <c r="AA2778">
        <v>7.42</v>
      </c>
      <c r="AB2778">
        <v>333912</v>
      </c>
      <c r="AC2778">
        <v>205931</v>
      </c>
      <c r="AD2778">
        <v>1.62</v>
      </c>
      <c r="AE2778">
        <v>1083</v>
      </c>
      <c r="AF2778">
        <v>829</v>
      </c>
      <c r="AG2778" t="s">
        <v>120</v>
      </c>
      <c r="AH2778">
        <v>0.03</v>
      </c>
      <c r="AI2778" t="s">
        <v>120</v>
      </c>
      <c r="AJ2778">
        <v>19</v>
      </c>
      <c r="AK2778" t="s">
        <v>12438</v>
      </c>
      <c r="AL2778">
        <v>-3.13</v>
      </c>
      <c r="AM2778">
        <v>4014</v>
      </c>
      <c r="AN2778">
        <v>134</v>
      </c>
      <c r="AO2778">
        <v>6.9999999999999999E-4</v>
      </c>
      <c r="AP2778">
        <v>-1</v>
      </c>
      <c r="AQ2778">
        <v>1.88</v>
      </c>
      <c r="AR2778">
        <v>-6.56</v>
      </c>
      <c r="AS2778">
        <v>13.62</v>
      </c>
      <c r="AT2778">
        <v>3.57</v>
      </c>
      <c r="AU2778">
        <v>20.64</v>
      </c>
      <c r="AV2778">
        <v>6</v>
      </c>
      <c r="AW2778">
        <v>4.63</v>
      </c>
      <c r="AX2778">
        <v>20.399999999999999</v>
      </c>
      <c r="AY2778">
        <v>34.72</v>
      </c>
      <c r="AZ2778">
        <v>36.96</v>
      </c>
      <c r="BA2778">
        <v>0.85</v>
      </c>
      <c r="BB2778" t="s">
        <v>184</v>
      </c>
      <c r="BF2778">
        <v>-2.41</v>
      </c>
      <c r="BG2778">
        <v>-4.72</v>
      </c>
      <c r="BH2778">
        <v>-5.22</v>
      </c>
      <c r="BI2778">
        <v>0.28000000000000003</v>
      </c>
      <c r="BJ2778">
        <v>20210908</v>
      </c>
      <c r="BK2778">
        <v>20031010</v>
      </c>
      <c r="BL2778">
        <v>57.18</v>
      </c>
      <c r="BM2778" t="s">
        <v>120</v>
      </c>
      <c r="BN2778" t="s">
        <v>120</v>
      </c>
      <c r="BO2778">
        <v>433.59</v>
      </c>
      <c r="BP2778">
        <v>7.26</v>
      </c>
      <c r="BQ2778">
        <v>176.2</v>
      </c>
      <c r="BR2778">
        <v>29.77</v>
      </c>
      <c r="BS2778">
        <v>52.5</v>
      </c>
      <c r="BT2778">
        <v>302.57</v>
      </c>
      <c r="BU2778">
        <v>7.95</v>
      </c>
      <c r="BV2778">
        <v>4.2</v>
      </c>
      <c r="BW2778">
        <v>217.17</v>
      </c>
      <c r="BX2778">
        <v>57.11</v>
      </c>
      <c r="BY2778">
        <v>10.87</v>
      </c>
      <c r="BZ2778">
        <v>43.31</v>
      </c>
      <c r="CA2778">
        <v>0</v>
      </c>
      <c r="CB2778">
        <v>49.31</v>
      </c>
      <c r="CC2778">
        <v>18.25</v>
      </c>
      <c r="CD2778">
        <v>15.43</v>
      </c>
      <c r="CE2778">
        <v>11.11</v>
      </c>
      <c r="CF2778">
        <v>3.2</v>
      </c>
      <c r="CG2778">
        <v>11.16</v>
      </c>
      <c r="CH2778">
        <v>8.48</v>
      </c>
      <c r="CI2778">
        <v>6.45</v>
      </c>
      <c r="CJ2778">
        <v>-0.34</v>
      </c>
      <c r="CK2778">
        <v>6.37</v>
      </c>
      <c r="CL2778">
        <v>52.23</v>
      </c>
      <c r="CM2778">
        <v>-3.82</v>
      </c>
      <c r="CN2778">
        <v>6.22</v>
      </c>
      <c r="CO2778">
        <v>74058</v>
      </c>
      <c r="CP2778">
        <v>15752</v>
      </c>
      <c r="CQ2778" t="s">
        <v>12439</v>
      </c>
      <c r="CR2778">
        <v>13.31</v>
      </c>
      <c r="CS2778">
        <v>40.32</v>
      </c>
      <c r="CT2778">
        <v>2.36</v>
      </c>
      <c r="CU2778">
        <v>-108.76</v>
      </c>
      <c r="CV2778">
        <v>22.75</v>
      </c>
      <c r="CW2778">
        <v>0.82</v>
      </c>
      <c r="CX2778" t="s">
        <v>1147</v>
      </c>
      <c r="CY2778">
        <v>3.08</v>
      </c>
      <c r="CZ2778">
        <v>0</v>
      </c>
      <c r="DA2778">
        <v>0.86</v>
      </c>
      <c r="DB2778">
        <v>0.91</v>
      </c>
      <c r="DC2778">
        <v>-7.0000000000000007E-2</v>
      </c>
      <c r="DD2778">
        <v>40.64</v>
      </c>
      <c r="DE2778" t="s">
        <v>1077</v>
      </c>
      <c r="DF2778">
        <v>15.46</v>
      </c>
      <c r="DG2778">
        <v>60.87</v>
      </c>
      <c r="DH2778">
        <v>35.35</v>
      </c>
      <c r="DI2778">
        <v>0.51</v>
      </c>
      <c r="DJ2778">
        <v>2972</v>
      </c>
      <c r="DK2778">
        <v>600517</v>
      </c>
      <c r="DL2778" t="s">
        <v>120</v>
      </c>
      <c r="DM2778" t="s">
        <v>120</v>
      </c>
      <c r="DN2778" t="s">
        <v>120</v>
      </c>
    </row>
    <row r="2779" spans="1:118">
      <c r="A2779" t="str">
        <f>"600519"</f>
        <v>600519</v>
      </c>
      <c r="B2779" t="s">
        <v>12440</v>
      </c>
      <c r="C2779">
        <v>1.38</v>
      </c>
      <c r="D2779">
        <v>-0.2</v>
      </c>
      <c r="E2779">
        <v>-0.79</v>
      </c>
      <c r="F2779">
        <v>1001</v>
      </c>
      <c r="G2779" t="s">
        <v>12441</v>
      </c>
      <c r="H2779">
        <v>745845.49</v>
      </c>
      <c r="I2779">
        <v>8698.36</v>
      </c>
      <c r="J2779" t="s">
        <v>120</v>
      </c>
      <c r="K2779" t="s">
        <v>12442</v>
      </c>
      <c r="L2779">
        <v>0.37</v>
      </c>
      <c r="M2779">
        <v>1638.07</v>
      </c>
      <c r="N2779">
        <v>1.47</v>
      </c>
      <c r="O2779">
        <v>1.75</v>
      </c>
      <c r="P2779">
        <v>1644</v>
      </c>
      <c r="Q2779">
        <v>-1.9</v>
      </c>
      <c r="R2779">
        <v>1585</v>
      </c>
      <c r="S2779">
        <v>1603</v>
      </c>
      <c r="T2779">
        <v>45968</v>
      </c>
      <c r="U2779">
        <v>1639</v>
      </c>
      <c r="V2779">
        <v>1615.74</v>
      </c>
      <c r="W2779">
        <v>41.73</v>
      </c>
      <c r="X2779" t="s">
        <v>1165</v>
      </c>
      <c r="Y2779" t="s">
        <v>1021</v>
      </c>
      <c r="Z2779">
        <v>3.65</v>
      </c>
      <c r="AA2779">
        <v>1622.53</v>
      </c>
      <c r="AB2779">
        <v>21471</v>
      </c>
      <c r="AC2779">
        <v>24497</v>
      </c>
      <c r="AD2779">
        <v>0.88</v>
      </c>
      <c r="AE2779">
        <v>39</v>
      </c>
      <c r="AF2779">
        <v>15</v>
      </c>
      <c r="AG2779" t="s">
        <v>120</v>
      </c>
      <c r="AH2779">
        <v>0.01</v>
      </c>
      <c r="AI2779" t="s">
        <v>120</v>
      </c>
      <c r="AJ2779">
        <v>12.56</v>
      </c>
      <c r="AK2779" t="s">
        <v>12442</v>
      </c>
      <c r="AL2779">
        <v>2.73</v>
      </c>
      <c r="AM2779">
        <v>4605</v>
      </c>
      <c r="AN2779">
        <v>10</v>
      </c>
      <c r="AO2779">
        <v>1E-4</v>
      </c>
      <c r="AP2779">
        <v>1</v>
      </c>
      <c r="AQ2779">
        <v>-2.4900000000000002</v>
      </c>
      <c r="AR2779">
        <v>-0.96</v>
      </c>
      <c r="AS2779">
        <v>1.1200000000000001</v>
      </c>
      <c r="AT2779">
        <v>-20.05</v>
      </c>
      <c r="AU2779">
        <v>-17.21</v>
      </c>
      <c r="AV2779">
        <v>0</v>
      </c>
      <c r="AW2779">
        <v>0.84</v>
      </c>
      <c r="AX2779">
        <v>43.79</v>
      </c>
      <c r="AY2779">
        <v>41.64</v>
      </c>
      <c r="AZ2779">
        <v>43.46</v>
      </c>
      <c r="BA2779">
        <v>1.57</v>
      </c>
      <c r="BB2779" t="s">
        <v>143</v>
      </c>
      <c r="BF2779">
        <v>0.42</v>
      </c>
      <c r="BG2779">
        <v>2.19</v>
      </c>
      <c r="BH2779">
        <v>-0.36</v>
      </c>
      <c r="BI2779">
        <v>3.35</v>
      </c>
      <c r="BJ2779">
        <v>20210803</v>
      </c>
      <c r="BK2779">
        <v>20010827</v>
      </c>
      <c r="BL2779">
        <v>12.56</v>
      </c>
      <c r="BM2779" t="s">
        <v>120</v>
      </c>
      <c r="BN2779" t="s">
        <v>120</v>
      </c>
      <c r="BO2779">
        <v>2128.69</v>
      </c>
      <c r="BP2779">
        <v>1638.07</v>
      </c>
      <c r="BQ2779">
        <v>1617.38</v>
      </c>
      <c r="BR2779">
        <v>58.26</v>
      </c>
      <c r="BS2779">
        <v>21.28</v>
      </c>
      <c r="BT2779">
        <v>1818.51</v>
      </c>
      <c r="BU2779">
        <v>170.25</v>
      </c>
      <c r="BV2779">
        <v>52.7</v>
      </c>
      <c r="BW2779">
        <v>448.77</v>
      </c>
      <c r="BX2779">
        <v>541.98</v>
      </c>
      <c r="BY2779">
        <v>306.55</v>
      </c>
      <c r="BZ2779">
        <v>0</v>
      </c>
      <c r="CA2779" t="s">
        <v>120</v>
      </c>
      <c r="CB2779">
        <v>13.75</v>
      </c>
      <c r="CC2779">
        <v>490.87</v>
      </c>
      <c r="CD2779">
        <v>42.32</v>
      </c>
      <c r="CE2779">
        <v>350.72</v>
      </c>
      <c r="CF2779">
        <v>0.28000000000000003</v>
      </c>
      <c r="CG2779">
        <v>350.51</v>
      </c>
      <c r="CH2779">
        <v>262.07</v>
      </c>
      <c r="CI2779">
        <v>246.54</v>
      </c>
      <c r="CJ2779">
        <v>22.33</v>
      </c>
      <c r="CK2779">
        <v>246.49</v>
      </c>
      <c r="CL2779">
        <v>1338.85</v>
      </c>
      <c r="CM2779">
        <v>217.19</v>
      </c>
      <c r="CN2779">
        <v>-85.6</v>
      </c>
      <c r="CO2779">
        <v>146298</v>
      </c>
      <c r="CP2779">
        <v>3760</v>
      </c>
      <c r="CQ2779" t="s">
        <v>12443</v>
      </c>
      <c r="CR2779">
        <v>9.08</v>
      </c>
      <c r="CS2779">
        <v>11.68</v>
      </c>
      <c r="CT2779">
        <v>12.72</v>
      </c>
      <c r="CU2779">
        <v>94.74</v>
      </c>
      <c r="CV2779">
        <v>41.92</v>
      </c>
      <c r="CW2779">
        <v>1.19</v>
      </c>
      <c r="CX2779" t="s">
        <v>12444</v>
      </c>
      <c r="CY2779">
        <v>128.75</v>
      </c>
      <c r="CZ2779">
        <v>0</v>
      </c>
      <c r="DA2779">
        <v>1.0900000000000001</v>
      </c>
      <c r="DB2779">
        <v>106.58</v>
      </c>
      <c r="DC2779">
        <v>17.29</v>
      </c>
      <c r="DD2779">
        <v>75.98</v>
      </c>
      <c r="DE2779" t="s">
        <v>12445</v>
      </c>
      <c r="DF2779">
        <v>91.38</v>
      </c>
      <c r="DG2779">
        <v>71.45</v>
      </c>
      <c r="DH2779">
        <v>50.22</v>
      </c>
      <c r="DI2779">
        <v>0.23</v>
      </c>
      <c r="DJ2779">
        <v>29031</v>
      </c>
      <c r="DK2779">
        <v>600519</v>
      </c>
      <c r="DL2779">
        <v>20210901</v>
      </c>
      <c r="DM2779">
        <v>1622.01</v>
      </c>
      <c r="DN2779">
        <v>0.99</v>
      </c>
    </row>
    <row r="2780" spans="1:118">
      <c r="A2780" t="str">
        <f>"600520"</f>
        <v>600520</v>
      </c>
      <c r="B2780" t="s">
        <v>12446</v>
      </c>
      <c r="C2780">
        <v>-3.7</v>
      </c>
      <c r="D2780">
        <v>0.34</v>
      </c>
      <c r="E2780">
        <v>0</v>
      </c>
      <c r="F2780">
        <v>298</v>
      </c>
      <c r="G2780" t="s">
        <v>3855</v>
      </c>
      <c r="H2780">
        <v>5523.57</v>
      </c>
      <c r="I2780">
        <v>83.45</v>
      </c>
      <c r="J2780" t="s">
        <v>120</v>
      </c>
      <c r="K2780" t="s">
        <v>12447</v>
      </c>
      <c r="L2780">
        <v>3.91</v>
      </c>
      <c r="M2780">
        <v>8.84</v>
      </c>
      <c r="N2780">
        <v>1.4</v>
      </c>
      <c r="O2780">
        <v>0.11</v>
      </c>
      <c r="P2780">
        <v>9.19</v>
      </c>
      <c r="Q2780">
        <v>-4.3600000000000003</v>
      </c>
      <c r="R2780">
        <v>8.7799999999999994</v>
      </c>
      <c r="S2780">
        <v>9.18</v>
      </c>
      <c r="T2780">
        <v>61920</v>
      </c>
      <c r="U2780">
        <v>8.84</v>
      </c>
      <c r="V2780">
        <v>9.18</v>
      </c>
      <c r="W2780" t="s">
        <v>120</v>
      </c>
      <c r="X2780" t="s">
        <v>959</v>
      </c>
      <c r="Y2780" t="s">
        <v>570</v>
      </c>
      <c r="Z2780">
        <v>4.47</v>
      </c>
      <c r="AA2780">
        <v>8.92</v>
      </c>
      <c r="AB2780">
        <v>35601</v>
      </c>
      <c r="AC2780">
        <v>26319</v>
      </c>
      <c r="AD2780">
        <v>1.35</v>
      </c>
      <c r="AE2780">
        <v>183</v>
      </c>
      <c r="AF2780">
        <v>47</v>
      </c>
      <c r="AG2780" t="s">
        <v>120</v>
      </c>
      <c r="AH2780">
        <v>0.08</v>
      </c>
      <c r="AI2780" t="s">
        <v>120</v>
      </c>
      <c r="AJ2780">
        <v>1.58</v>
      </c>
      <c r="AK2780" t="s">
        <v>12447</v>
      </c>
      <c r="AL2780">
        <v>-2.36</v>
      </c>
      <c r="AM2780">
        <v>2319</v>
      </c>
      <c r="AN2780">
        <v>27</v>
      </c>
      <c r="AO2780">
        <v>1.6999999999999999E-3</v>
      </c>
      <c r="AP2780">
        <v>-1</v>
      </c>
      <c r="AQ2780">
        <v>8.64</v>
      </c>
      <c r="AR2780">
        <v>2.56</v>
      </c>
      <c r="AS2780">
        <v>6.76</v>
      </c>
      <c r="AT2780">
        <v>4.62</v>
      </c>
      <c r="AU2780">
        <v>29.61</v>
      </c>
      <c r="AV2780">
        <v>5</v>
      </c>
      <c r="AW2780">
        <v>5.36</v>
      </c>
      <c r="AX2780">
        <v>72.91</v>
      </c>
      <c r="AY2780">
        <v>92.87</v>
      </c>
      <c r="AZ2780">
        <v>175.28</v>
      </c>
      <c r="BA2780">
        <v>0.59</v>
      </c>
      <c r="BB2780" t="s">
        <v>751</v>
      </c>
      <c r="BF2780">
        <v>-2.83</v>
      </c>
      <c r="BG2780">
        <v>-3.7</v>
      </c>
      <c r="BH2780">
        <v>-3.81</v>
      </c>
      <c r="BI2780">
        <v>0.68</v>
      </c>
      <c r="BJ2780">
        <v>20210818</v>
      </c>
      <c r="BK2780">
        <v>20020108</v>
      </c>
      <c r="BL2780">
        <v>1.58</v>
      </c>
      <c r="BM2780" t="s">
        <v>120</v>
      </c>
      <c r="BN2780" t="s">
        <v>120</v>
      </c>
      <c r="BO2780">
        <v>8.59</v>
      </c>
      <c r="BP2780">
        <v>8.83</v>
      </c>
      <c r="BQ2780">
        <v>3.68</v>
      </c>
      <c r="BR2780">
        <v>0.52</v>
      </c>
      <c r="BS2780">
        <v>51.07</v>
      </c>
      <c r="BT2780">
        <v>4.3899999999999997</v>
      </c>
      <c r="BU2780">
        <v>3.35</v>
      </c>
      <c r="BV2780">
        <v>0.33</v>
      </c>
      <c r="BW2780">
        <v>4.34</v>
      </c>
      <c r="BX2780">
        <v>1.25</v>
      </c>
      <c r="BY2780">
        <v>1.41</v>
      </c>
      <c r="BZ2780">
        <v>1.19</v>
      </c>
      <c r="CA2780" t="s">
        <v>120</v>
      </c>
      <c r="CB2780">
        <v>3.8</v>
      </c>
      <c r="CC2780">
        <v>1.98</v>
      </c>
      <c r="CD2780">
        <v>1.49</v>
      </c>
      <c r="CE2780">
        <v>-0.08</v>
      </c>
      <c r="CF2780">
        <v>-0.04</v>
      </c>
      <c r="CG2780">
        <v>-0.08</v>
      </c>
      <c r="CH2780">
        <v>-0.09</v>
      </c>
      <c r="CI2780">
        <v>-0.1</v>
      </c>
      <c r="CJ2780">
        <v>-0.34</v>
      </c>
      <c r="CK2780">
        <v>-0.12</v>
      </c>
      <c r="CL2780">
        <v>-1.82</v>
      </c>
      <c r="CM2780">
        <v>-0.06</v>
      </c>
      <c r="CN2780">
        <v>-0.52</v>
      </c>
      <c r="CO2780">
        <v>15069</v>
      </c>
      <c r="CP2780">
        <v>7665</v>
      </c>
      <c r="CQ2780" t="s">
        <v>1225</v>
      </c>
      <c r="CR2780">
        <v>42.57</v>
      </c>
      <c r="CS2780">
        <v>40.049999999999997</v>
      </c>
      <c r="CT2780">
        <v>3.8</v>
      </c>
      <c r="CU2780">
        <v>-233.07</v>
      </c>
      <c r="CV2780">
        <v>7.07</v>
      </c>
      <c r="CW2780">
        <v>0</v>
      </c>
      <c r="CX2780" t="s">
        <v>2044</v>
      </c>
      <c r="CY2780">
        <v>2.3199999999999998</v>
      </c>
      <c r="CZ2780">
        <v>0</v>
      </c>
      <c r="DA2780">
        <v>2.4</v>
      </c>
      <c r="DB2780">
        <v>-1.1499999999999999</v>
      </c>
      <c r="DC2780">
        <v>-0.04</v>
      </c>
      <c r="DD2780">
        <v>42.83</v>
      </c>
      <c r="DE2780" t="s">
        <v>12448</v>
      </c>
      <c r="DF2780">
        <v>24.63</v>
      </c>
      <c r="DG2780">
        <v>-3.93</v>
      </c>
      <c r="DH2780">
        <v>-5.01</v>
      </c>
      <c r="DI2780">
        <v>7.0000000000000007E-2</v>
      </c>
      <c r="DJ2780">
        <v>694</v>
      </c>
      <c r="DK2780">
        <v>600520</v>
      </c>
      <c r="DL2780" t="s">
        <v>120</v>
      </c>
      <c r="DM2780" t="s">
        <v>120</v>
      </c>
      <c r="DN2780" t="s">
        <v>120</v>
      </c>
    </row>
    <row r="2781" spans="1:118">
      <c r="A2781" t="str">
        <f>"600521"</f>
        <v>600521</v>
      </c>
      <c r="B2781" t="s">
        <v>12449</v>
      </c>
      <c r="C2781">
        <v>-2.92</v>
      </c>
      <c r="D2781">
        <v>-0.17</v>
      </c>
      <c r="E2781">
        <v>-0.34</v>
      </c>
      <c r="F2781">
        <v>2290</v>
      </c>
      <c r="G2781" t="s">
        <v>12450</v>
      </c>
      <c r="H2781">
        <v>18560.82</v>
      </c>
      <c r="I2781">
        <v>30.14</v>
      </c>
      <c r="J2781" t="s">
        <v>120</v>
      </c>
      <c r="K2781" t="s">
        <v>12451</v>
      </c>
      <c r="L2781">
        <v>0.74</v>
      </c>
      <c r="M2781">
        <v>16.97</v>
      </c>
      <c r="N2781">
        <v>1.1000000000000001</v>
      </c>
      <c r="O2781">
        <v>1.54</v>
      </c>
      <c r="P2781">
        <v>17.75</v>
      </c>
      <c r="Q2781">
        <v>-3.26</v>
      </c>
      <c r="R2781">
        <v>16.91</v>
      </c>
      <c r="S2781">
        <v>17.420000000000002</v>
      </c>
      <c r="T2781">
        <v>107200</v>
      </c>
      <c r="U2781">
        <v>16.97</v>
      </c>
      <c r="V2781">
        <v>17.48</v>
      </c>
      <c r="W2781">
        <v>24.55</v>
      </c>
      <c r="X2781" t="s">
        <v>569</v>
      </c>
      <c r="Y2781" t="s">
        <v>585</v>
      </c>
      <c r="Z2781">
        <v>4.8099999999999996</v>
      </c>
      <c r="AA2781">
        <v>17.309999999999999</v>
      </c>
      <c r="AB2781">
        <v>65629</v>
      </c>
      <c r="AC2781">
        <v>41571</v>
      </c>
      <c r="AD2781">
        <v>1.58</v>
      </c>
      <c r="AE2781">
        <v>61</v>
      </c>
      <c r="AF2781">
        <v>19</v>
      </c>
      <c r="AG2781" t="s">
        <v>120</v>
      </c>
      <c r="AH2781">
        <v>0</v>
      </c>
      <c r="AI2781" t="s">
        <v>120</v>
      </c>
      <c r="AJ2781">
        <v>14.55</v>
      </c>
      <c r="AK2781" t="s">
        <v>12452</v>
      </c>
      <c r="AL2781">
        <v>-1.57</v>
      </c>
      <c r="AM2781">
        <v>3206</v>
      </c>
      <c r="AN2781">
        <v>33</v>
      </c>
      <c r="AO2781">
        <v>2.0000000000000001E-4</v>
      </c>
      <c r="AP2781">
        <v>-1</v>
      </c>
      <c r="AQ2781">
        <v>3.25</v>
      </c>
      <c r="AR2781">
        <v>-1.8</v>
      </c>
      <c r="AS2781">
        <v>-5.67</v>
      </c>
      <c r="AT2781">
        <v>-23.66</v>
      </c>
      <c r="AU2781">
        <v>-49.51</v>
      </c>
      <c r="AV2781">
        <v>2</v>
      </c>
      <c r="AW2781">
        <v>1.28</v>
      </c>
      <c r="AX2781">
        <v>56.22</v>
      </c>
      <c r="AY2781">
        <v>30.07</v>
      </c>
      <c r="AZ2781">
        <v>28.04</v>
      </c>
      <c r="BA2781">
        <v>0.71</v>
      </c>
      <c r="BB2781" t="s">
        <v>143</v>
      </c>
      <c r="BF2781">
        <v>-0.95</v>
      </c>
      <c r="BG2781">
        <v>-2.58</v>
      </c>
      <c r="BH2781">
        <v>-4.3899999999999997</v>
      </c>
      <c r="BI2781">
        <v>0.35</v>
      </c>
      <c r="BJ2781">
        <v>20210827</v>
      </c>
      <c r="BK2781">
        <v>20030304</v>
      </c>
      <c r="BL2781">
        <v>14.92</v>
      </c>
      <c r="BM2781" t="s">
        <v>120</v>
      </c>
      <c r="BN2781" t="s">
        <v>120</v>
      </c>
      <c r="BO2781">
        <v>145.19</v>
      </c>
      <c r="BP2781">
        <v>16.96</v>
      </c>
      <c r="BQ2781">
        <v>67.53</v>
      </c>
      <c r="BR2781">
        <v>2.17</v>
      </c>
      <c r="BS2781">
        <v>51.99</v>
      </c>
      <c r="BT2781">
        <v>72.2</v>
      </c>
      <c r="BU2781">
        <v>32.1</v>
      </c>
      <c r="BV2781">
        <v>8.1</v>
      </c>
      <c r="BW2781">
        <v>38.520000000000003</v>
      </c>
      <c r="BX2781">
        <v>27.51</v>
      </c>
      <c r="BY2781">
        <v>26.4</v>
      </c>
      <c r="BZ2781">
        <v>15.41</v>
      </c>
      <c r="CA2781">
        <v>0</v>
      </c>
      <c r="CB2781">
        <v>13.95</v>
      </c>
      <c r="CC2781">
        <v>30.35</v>
      </c>
      <c r="CD2781">
        <v>11.79</v>
      </c>
      <c r="CE2781">
        <v>6.54</v>
      </c>
      <c r="CF2781">
        <v>0.87</v>
      </c>
      <c r="CG2781">
        <v>6.46</v>
      </c>
      <c r="CH2781">
        <v>5.21</v>
      </c>
      <c r="CI2781">
        <v>5.16</v>
      </c>
      <c r="CJ2781">
        <v>-0.51</v>
      </c>
      <c r="CK2781">
        <v>1.8</v>
      </c>
      <c r="CL2781">
        <v>34.01</v>
      </c>
      <c r="CM2781">
        <v>4.1399999999999997</v>
      </c>
      <c r="CN2781">
        <v>5.67</v>
      </c>
      <c r="CO2781">
        <v>67464</v>
      </c>
      <c r="CP2781">
        <v>12431</v>
      </c>
      <c r="CQ2781" t="s">
        <v>12453</v>
      </c>
      <c r="CR2781">
        <v>-10.84</v>
      </c>
      <c r="CS2781">
        <v>-8.18</v>
      </c>
      <c r="CT2781">
        <v>3.89</v>
      </c>
      <c r="CU2781">
        <v>61.08</v>
      </c>
      <c r="CV2781">
        <v>8.34</v>
      </c>
      <c r="CW2781">
        <v>1.1200000000000001</v>
      </c>
      <c r="CX2781" t="s">
        <v>269</v>
      </c>
      <c r="CY2781">
        <v>4.37</v>
      </c>
      <c r="CZ2781">
        <v>4.37</v>
      </c>
      <c r="DA2781">
        <v>0.93</v>
      </c>
      <c r="DB2781">
        <v>2.2799999999999998</v>
      </c>
      <c r="DC2781">
        <v>0.28000000000000003</v>
      </c>
      <c r="DD2781">
        <v>46.51</v>
      </c>
      <c r="DE2781" t="s">
        <v>4011</v>
      </c>
      <c r="DF2781">
        <v>61.14</v>
      </c>
      <c r="DG2781">
        <v>21.55</v>
      </c>
      <c r="DH2781">
        <v>16.989999999999998</v>
      </c>
      <c r="DI2781">
        <v>3.59</v>
      </c>
      <c r="DJ2781">
        <v>6655</v>
      </c>
      <c r="DK2781">
        <v>600521</v>
      </c>
      <c r="DL2781" t="s">
        <v>120</v>
      </c>
      <c r="DM2781" t="s">
        <v>120</v>
      </c>
      <c r="DN2781" t="s">
        <v>120</v>
      </c>
    </row>
    <row r="2782" spans="1:118">
      <c r="A2782" t="str">
        <f>"600522"</f>
        <v>600522</v>
      </c>
      <c r="B2782" t="s">
        <v>12454</v>
      </c>
      <c r="C2782">
        <v>-3.95</v>
      </c>
      <c r="D2782">
        <v>0</v>
      </c>
      <c r="E2782">
        <v>0.64</v>
      </c>
      <c r="F2782">
        <v>13854</v>
      </c>
      <c r="G2782" t="s">
        <v>12455</v>
      </c>
      <c r="H2782">
        <v>132490.54</v>
      </c>
      <c r="I2782">
        <v>2451.9</v>
      </c>
      <c r="J2782" t="s">
        <v>120</v>
      </c>
      <c r="K2782" t="s">
        <v>12456</v>
      </c>
      <c r="L2782">
        <v>4.7</v>
      </c>
      <c r="M2782">
        <v>9</v>
      </c>
      <c r="N2782">
        <v>1.4</v>
      </c>
      <c r="O2782">
        <v>0.96</v>
      </c>
      <c r="P2782">
        <v>9.4600000000000009</v>
      </c>
      <c r="Q2782">
        <v>-4.59</v>
      </c>
      <c r="R2782">
        <v>8.94</v>
      </c>
      <c r="S2782">
        <v>9.43</v>
      </c>
      <c r="T2782">
        <v>1441024</v>
      </c>
      <c r="U2782">
        <v>9</v>
      </c>
      <c r="V2782">
        <v>9.3699999999999992</v>
      </c>
      <c r="W2782">
        <v>56.36</v>
      </c>
      <c r="X2782" t="s">
        <v>462</v>
      </c>
      <c r="Y2782" t="s">
        <v>319</v>
      </c>
      <c r="Z2782">
        <v>5.55</v>
      </c>
      <c r="AA2782">
        <v>9.19</v>
      </c>
      <c r="AB2782">
        <v>758753</v>
      </c>
      <c r="AC2782">
        <v>682271</v>
      </c>
      <c r="AD2782">
        <v>1.1100000000000001</v>
      </c>
      <c r="AE2782">
        <v>1369</v>
      </c>
      <c r="AF2782">
        <v>6305</v>
      </c>
      <c r="AG2782" t="s">
        <v>120</v>
      </c>
      <c r="AH2782">
        <v>0.11</v>
      </c>
      <c r="AI2782" t="s">
        <v>120</v>
      </c>
      <c r="AJ2782">
        <v>30.66</v>
      </c>
      <c r="AK2782" t="s">
        <v>12456</v>
      </c>
      <c r="AL2782">
        <v>-2.61</v>
      </c>
      <c r="AM2782">
        <v>4678</v>
      </c>
      <c r="AN2782">
        <v>308</v>
      </c>
      <c r="AO2782">
        <v>1E-3</v>
      </c>
      <c r="AP2782">
        <v>-1</v>
      </c>
      <c r="AQ2782">
        <v>9.98</v>
      </c>
      <c r="AR2782">
        <v>3.45</v>
      </c>
      <c r="AS2782">
        <v>10.83</v>
      </c>
      <c r="AT2782">
        <v>-10.62</v>
      </c>
      <c r="AU2782">
        <v>-16.2</v>
      </c>
      <c r="AV2782">
        <v>3</v>
      </c>
      <c r="AW2782">
        <v>6.27</v>
      </c>
      <c r="AX2782">
        <v>74.95</v>
      </c>
      <c r="AY2782">
        <v>19.920000000000002</v>
      </c>
      <c r="AZ2782">
        <v>12.63</v>
      </c>
      <c r="BA2782">
        <v>1.1100000000000001</v>
      </c>
      <c r="BB2782" t="s">
        <v>168</v>
      </c>
      <c r="BF2782">
        <v>-1.88</v>
      </c>
      <c r="BG2782">
        <v>-4.5599999999999996</v>
      </c>
      <c r="BH2782">
        <v>-4.8600000000000003</v>
      </c>
      <c r="BI2782">
        <v>0.67</v>
      </c>
      <c r="BJ2782">
        <v>20210830</v>
      </c>
      <c r="BK2782">
        <v>20021024</v>
      </c>
      <c r="BL2782">
        <v>30.66</v>
      </c>
      <c r="BM2782" t="s">
        <v>120</v>
      </c>
      <c r="BN2782" t="s">
        <v>120</v>
      </c>
      <c r="BO2782">
        <v>461.99</v>
      </c>
      <c r="BP2782">
        <v>8.99</v>
      </c>
      <c r="BQ2782">
        <v>233.76</v>
      </c>
      <c r="BR2782">
        <v>8.52</v>
      </c>
      <c r="BS2782">
        <v>47.56</v>
      </c>
      <c r="BT2782">
        <v>331.47</v>
      </c>
      <c r="BU2782">
        <v>84.4</v>
      </c>
      <c r="BV2782">
        <v>10.65</v>
      </c>
      <c r="BW2782">
        <v>162.08000000000001</v>
      </c>
      <c r="BX2782">
        <v>92.24</v>
      </c>
      <c r="BY2782">
        <v>81.400000000000006</v>
      </c>
      <c r="BZ2782">
        <v>104.01</v>
      </c>
      <c r="CA2782">
        <v>7.0000000000000007E-2</v>
      </c>
      <c r="CB2782">
        <v>76.06</v>
      </c>
      <c r="CC2782">
        <v>243.76</v>
      </c>
      <c r="CD2782">
        <v>213.58</v>
      </c>
      <c r="CE2782">
        <v>5.59</v>
      </c>
      <c r="CF2782">
        <v>0.52</v>
      </c>
      <c r="CG2782">
        <v>5.59</v>
      </c>
      <c r="CH2782">
        <v>3.13</v>
      </c>
      <c r="CI2782">
        <v>2.4500000000000002</v>
      </c>
      <c r="CJ2782">
        <v>-0.37</v>
      </c>
      <c r="CK2782">
        <v>2</v>
      </c>
      <c r="CL2782">
        <v>113.96</v>
      </c>
      <c r="CM2782">
        <v>-10.42</v>
      </c>
      <c r="CN2782">
        <v>-18.54</v>
      </c>
      <c r="CO2782">
        <v>183144</v>
      </c>
      <c r="CP2782">
        <v>12548</v>
      </c>
      <c r="CQ2782" t="s">
        <v>4749</v>
      </c>
      <c r="CR2782">
        <v>-77.27</v>
      </c>
      <c r="CS2782">
        <v>16.64</v>
      </c>
      <c r="CT2782">
        <v>1.21</v>
      </c>
      <c r="CU2782">
        <v>-26.47</v>
      </c>
      <c r="CV2782">
        <v>1.1299999999999999</v>
      </c>
      <c r="CW2782">
        <v>1.05</v>
      </c>
      <c r="CX2782" t="s">
        <v>535</v>
      </c>
      <c r="CY2782">
        <v>7.42</v>
      </c>
      <c r="CZ2782">
        <v>7.42</v>
      </c>
      <c r="DA2782">
        <v>2.48</v>
      </c>
      <c r="DB2782">
        <v>3.72</v>
      </c>
      <c r="DC2782">
        <v>-0.34</v>
      </c>
      <c r="DD2782">
        <v>50.6</v>
      </c>
      <c r="DE2782" t="s">
        <v>249</v>
      </c>
      <c r="DF2782">
        <v>12.38</v>
      </c>
      <c r="DG2782">
        <v>2.29</v>
      </c>
      <c r="DH2782">
        <v>1</v>
      </c>
      <c r="DI2782">
        <v>6.16</v>
      </c>
      <c r="DJ2782">
        <v>12495</v>
      </c>
      <c r="DK2782">
        <v>600522</v>
      </c>
      <c r="DL2782">
        <v>20210915</v>
      </c>
      <c r="DM2782">
        <v>9.36</v>
      </c>
      <c r="DN2782">
        <v>-3.85</v>
      </c>
    </row>
    <row r="2783" spans="1:118">
      <c r="A2783" t="str">
        <f>"600523"</f>
        <v>600523</v>
      </c>
      <c r="B2783" t="s">
        <v>12457</v>
      </c>
      <c r="C2783">
        <v>-0.49</v>
      </c>
      <c r="D2783">
        <v>-0.48</v>
      </c>
      <c r="E2783">
        <v>-0.12</v>
      </c>
      <c r="F2783">
        <v>341</v>
      </c>
      <c r="G2783" t="s">
        <v>12458</v>
      </c>
      <c r="H2783">
        <v>8718.07</v>
      </c>
      <c r="I2783">
        <v>14.76</v>
      </c>
      <c r="J2783" t="s">
        <v>120</v>
      </c>
      <c r="K2783" t="s">
        <v>12459</v>
      </c>
      <c r="L2783">
        <v>1.31</v>
      </c>
      <c r="M2783">
        <v>16.34</v>
      </c>
      <c r="N2783">
        <v>0.98</v>
      </c>
      <c r="O2783">
        <v>2.62</v>
      </c>
      <c r="P2783">
        <v>16.850000000000001</v>
      </c>
      <c r="Q2783">
        <v>-1.22</v>
      </c>
      <c r="R2783">
        <v>16.22</v>
      </c>
      <c r="S2783">
        <v>16.399999999999999</v>
      </c>
      <c r="T2783">
        <v>52787</v>
      </c>
      <c r="U2783">
        <v>16.34</v>
      </c>
      <c r="V2783">
        <v>16.420000000000002</v>
      </c>
      <c r="W2783">
        <v>38.33</v>
      </c>
      <c r="X2783" t="s">
        <v>289</v>
      </c>
      <c r="Y2783" t="s">
        <v>1021</v>
      </c>
      <c r="Z2783">
        <v>3.84</v>
      </c>
      <c r="AA2783">
        <v>16.52</v>
      </c>
      <c r="AB2783">
        <v>28542</v>
      </c>
      <c r="AC2783">
        <v>24245</v>
      </c>
      <c r="AD2783">
        <v>1.18</v>
      </c>
      <c r="AE2783">
        <v>114</v>
      </c>
      <c r="AF2783">
        <v>31</v>
      </c>
      <c r="AG2783" t="s">
        <v>120</v>
      </c>
      <c r="AH2783">
        <v>0</v>
      </c>
      <c r="AI2783" t="s">
        <v>120</v>
      </c>
      <c r="AJ2783">
        <v>4.04</v>
      </c>
      <c r="AK2783" t="s">
        <v>12460</v>
      </c>
      <c r="AL2783">
        <v>0.86</v>
      </c>
      <c r="AM2783">
        <v>2241</v>
      </c>
      <c r="AN2783">
        <v>24</v>
      </c>
      <c r="AO2783">
        <v>5.9999999999999995E-4</v>
      </c>
      <c r="AP2783">
        <v>-3</v>
      </c>
      <c r="AQ2783">
        <v>-0.67</v>
      </c>
      <c r="AR2783">
        <v>-4.78</v>
      </c>
      <c r="AS2783">
        <v>0.74</v>
      </c>
      <c r="AT2783">
        <v>12.77</v>
      </c>
      <c r="AU2783">
        <v>8.43</v>
      </c>
      <c r="AV2783">
        <v>0</v>
      </c>
      <c r="AW2783">
        <v>2.75</v>
      </c>
      <c r="AX2783">
        <v>47.4</v>
      </c>
      <c r="AY2783">
        <v>36.409999999999997</v>
      </c>
      <c r="AZ2783">
        <v>44.19</v>
      </c>
      <c r="BA2783">
        <v>0.54</v>
      </c>
      <c r="BB2783" t="s">
        <v>143</v>
      </c>
      <c r="BF2783">
        <v>0.57999999999999996</v>
      </c>
      <c r="BG2783">
        <v>-0.37</v>
      </c>
      <c r="BH2783">
        <v>-3.03</v>
      </c>
      <c r="BI2783">
        <v>0.74</v>
      </c>
      <c r="BJ2783">
        <v>20210813</v>
      </c>
      <c r="BK2783">
        <v>20011227</v>
      </c>
      <c r="BL2783">
        <v>4.04</v>
      </c>
      <c r="BM2783" t="s">
        <v>120</v>
      </c>
      <c r="BN2783" t="s">
        <v>120</v>
      </c>
      <c r="BO2783">
        <v>32.85</v>
      </c>
      <c r="BP2783">
        <v>16.329999999999998</v>
      </c>
      <c r="BQ2783">
        <v>26.32</v>
      </c>
      <c r="BR2783">
        <v>1.53</v>
      </c>
      <c r="BS2783">
        <v>15.22</v>
      </c>
      <c r="BT2783">
        <v>19.8</v>
      </c>
      <c r="BU2783">
        <v>6.45</v>
      </c>
      <c r="BV2783">
        <v>1.1299999999999999</v>
      </c>
      <c r="BW2783">
        <v>4.72</v>
      </c>
      <c r="BX2783">
        <v>5.72</v>
      </c>
      <c r="BY2783">
        <v>3.64</v>
      </c>
      <c r="BZ2783">
        <v>6.73</v>
      </c>
      <c r="CA2783">
        <v>0.01</v>
      </c>
      <c r="CB2783">
        <v>8.1999999999999993</v>
      </c>
      <c r="CC2783">
        <v>12</v>
      </c>
      <c r="CD2783">
        <v>9.0299999999999994</v>
      </c>
      <c r="CE2783">
        <v>1.0900000000000001</v>
      </c>
      <c r="CF2783">
        <v>0.06</v>
      </c>
      <c r="CG2783">
        <v>1.08</v>
      </c>
      <c r="CH2783">
        <v>0.9</v>
      </c>
      <c r="CI2783">
        <v>0.86</v>
      </c>
      <c r="CJ2783">
        <v>-0.08</v>
      </c>
      <c r="CK2783">
        <v>0.76</v>
      </c>
      <c r="CL2783">
        <v>11.48</v>
      </c>
      <c r="CM2783">
        <v>1.17</v>
      </c>
      <c r="CN2783">
        <v>-0.28000000000000003</v>
      </c>
      <c r="CO2783">
        <v>16844</v>
      </c>
      <c r="CP2783">
        <v>11379</v>
      </c>
      <c r="CQ2783" t="s">
        <v>12461</v>
      </c>
      <c r="CR2783">
        <v>59.44</v>
      </c>
      <c r="CS2783">
        <v>25.79</v>
      </c>
      <c r="CT2783">
        <v>2.5099999999999998</v>
      </c>
      <c r="CU2783">
        <v>56.53</v>
      </c>
      <c r="CV2783">
        <v>5.51</v>
      </c>
      <c r="CW2783">
        <v>1.22</v>
      </c>
      <c r="CX2783" t="s">
        <v>2097</v>
      </c>
      <c r="CY2783">
        <v>6.51</v>
      </c>
      <c r="CZ2783">
        <v>0</v>
      </c>
      <c r="DA2783">
        <v>2.0299999999999998</v>
      </c>
      <c r="DB2783">
        <v>2.84</v>
      </c>
      <c r="DC2783">
        <v>0.28999999999999998</v>
      </c>
      <c r="DD2783">
        <v>80.12</v>
      </c>
      <c r="DE2783" t="s">
        <v>10878</v>
      </c>
      <c r="DF2783">
        <v>24.78</v>
      </c>
      <c r="DG2783">
        <v>9.07</v>
      </c>
      <c r="DH2783">
        <v>7.18</v>
      </c>
      <c r="DI2783">
        <v>0.49</v>
      </c>
      <c r="DJ2783">
        <v>4409</v>
      </c>
      <c r="DK2783">
        <v>600523</v>
      </c>
      <c r="DL2783" t="s">
        <v>120</v>
      </c>
      <c r="DM2783" t="s">
        <v>120</v>
      </c>
      <c r="DN2783" t="s">
        <v>120</v>
      </c>
    </row>
    <row r="2784" spans="1:118">
      <c r="A2784" t="str">
        <f>"600525"</f>
        <v>600525</v>
      </c>
      <c r="B2784" t="s">
        <v>12462</v>
      </c>
      <c r="C2784">
        <v>-4.42</v>
      </c>
      <c r="D2784">
        <v>0.14000000000000001</v>
      </c>
      <c r="E2784">
        <v>-0.27</v>
      </c>
      <c r="F2784">
        <v>3242</v>
      </c>
      <c r="G2784" t="s">
        <v>12463</v>
      </c>
      <c r="H2784">
        <v>27724.43</v>
      </c>
      <c r="I2784">
        <v>100.74</v>
      </c>
      <c r="J2784" t="s">
        <v>120</v>
      </c>
      <c r="K2784" t="s">
        <v>12464</v>
      </c>
      <c r="L2784">
        <v>2.92</v>
      </c>
      <c r="M2784">
        <v>7.13</v>
      </c>
      <c r="N2784">
        <v>0.96</v>
      </c>
      <c r="O2784">
        <v>0.67</v>
      </c>
      <c r="P2784">
        <v>7.51</v>
      </c>
      <c r="Q2784">
        <v>-4.6900000000000004</v>
      </c>
      <c r="R2784">
        <v>7.11</v>
      </c>
      <c r="S2784">
        <v>7.44</v>
      </c>
      <c r="T2784">
        <v>380834</v>
      </c>
      <c r="U2784">
        <v>7.13</v>
      </c>
      <c r="V2784">
        <v>7.46</v>
      </c>
      <c r="W2784">
        <v>133.53</v>
      </c>
      <c r="X2784" t="s">
        <v>394</v>
      </c>
      <c r="Y2784" t="s">
        <v>123</v>
      </c>
      <c r="Z2784">
        <v>5.36</v>
      </c>
      <c r="AA2784">
        <v>7.28</v>
      </c>
      <c r="AB2784">
        <v>227388</v>
      </c>
      <c r="AC2784">
        <v>153446</v>
      </c>
      <c r="AD2784">
        <v>1.48</v>
      </c>
      <c r="AE2784">
        <v>1987</v>
      </c>
      <c r="AF2784">
        <v>338</v>
      </c>
      <c r="AG2784" t="s">
        <v>120</v>
      </c>
      <c r="AH2784">
        <v>0.02</v>
      </c>
      <c r="AI2784" t="s">
        <v>120</v>
      </c>
      <c r="AJ2784">
        <v>13.06</v>
      </c>
      <c r="AK2784" t="s">
        <v>12464</v>
      </c>
      <c r="AL2784">
        <v>-3.08</v>
      </c>
      <c r="AM2784">
        <v>3140</v>
      </c>
      <c r="AN2784">
        <v>121</v>
      </c>
      <c r="AO2784">
        <v>8.9999999999999998E-4</v>
      </c>
      <c r="AP2784">
        <v>-1</v>
      </c>
      <c r="AQ2784">
        <v>3.61</v>
      </c>
      <c r="AR2784">
        <v>-2.73</v>
      </c>
      <c r="AS2784">
        <v>4.6900000000000004</v>
      </c>
      <c r="AT2784">
        <v>12.46</v>
      </c>
      <c r="AU2784">
        <v>10.72</v>
      </c>
      <c r="AV2784">
        <v>1</v>
      </c>
      <c r="AW2784">
        <v>4.53</v>
      </c>
      <c r="AX2784">
        <v>64.39</v>
      </c>
      <c r="AY2784">
        <v>142.66</v>
      </c>
      <c r="AZ2784">
        <v>74.45</v>
      </c>
      <c r="BA2784">
        <v>0.95</v>
      </c>
      <c r="BB2784" t="s">
        <v>184</v>
      </c>
      <c r="BF2784">
        <v>-2.41</v>
      </c>
      <c r="BG2784">
        <v>-4.17</v>
      </c>
      <c r="BH2784">
        <v>-5.0599999999999996</v>
      </c>
      <c r="BI2784">
        <v>0.28000000000000003</v>
      </c>
      <c r="BJ2784">
        <v>20210830</v>
      </c>
      <c r="BK2784">
        <v>20021202</v>
      </c>
      <c r="BL2784">
        <v>13.06</v>
      </c>
      <c r="BM2784" t="s">
        <v>120</v>
      </c>
      <c r="BN2784" t="s">
        <v>120</v>
      </c>
      <c r="BO2784">
        <v>124.96</v>
      </c>
      <c r="BP2784">
        <v>7.12</v>
      </c>
      <c r="BQ2784">
        <v>43.52</v>
      </c>
      <c r="BR2784">
        <v>1.62</v>
      </c>
      <c r="BS2784">
        <v>63.88</v>
      </c>
      <c r="BT2784">
        <v>74.83</v>
      </c>
      <c r="BU2784">
        <v>7.86</v>
      </c>
      <c r="BV2784">
        <v>2.65</v>
      </c>
      <c r="BW2784">
        <v>70.11</v>
      </c>
      <c r="BX2784">
        <v>16.13</v>
      </c>
      <c r="BY2784">
        <v>18.059999999999999</v>
      </c>
      <c r="BZ2784">
        <v>28.84</v>
      </c>
      <c r="CA2784" t="s">
        <v>120</v>
      </c>
      <c r="CB2784">
        <v>17.260000000000002</v>
      </c>
      <c r="CC2784">
        <v>26.76</v>
      </c>
      <c r="CD2784">
        <v>15.79</v>
      </c>
      <c r="CE2784">
        <v>0.48</v>
      </c>
      <c r="CF2784">
        <v>0.28000000000000003</v>
      </c>
      <c r="CG2784">
        <v>0.49</v>
      </c>
      <c r="CH2784">
        <v>0.33</v>
      </c>
      <c r="CI2784">
        <v>0.35</v>
      </c>
      <c r="CJ2784">
        <v>-0.33</v>
      </c>
      <c r="CK2784">
        <v>0.15</v>
      </c>
      <c r="CL2784">
        <v>11.71</v>
      </c>
      <c r="CM2784">
        <v>-1.34</v>
      </c>
      <c r="CN2784">
        <v>0.67</v>
      </c>
      <c r="CO2784">
        <v>42328</v>
      </c>
      <c r="CP2784">
        <v>19863</v>
      </c>
      <c r="CQ2784" t="s">
        <v>10927</v>
      </c>
      <c r="CR2784">
        <v>-64.209999999999994</v>
      </c>
      <c r="CS2784">
        <v>13.32</v>
      </c>
      <c r="CT2784">
        <v>2.14</v>
      </c>
      <c r="CU2784">
        <v>-69.69</v>
      </c>
      <c r="CV2784">
        <v>3.48</v>
      </c>
      <c r="CW2784">
        <v>0</v>
      </c>
      <c r="CX2784" t="s">
        <v>2559</v>
      </c>
      <c r="CY2784">
        <v>3.33</v>
      </c>
      <c r="CZ2784">
        <v>0</v>
      </c>
      <c r="DA2784">
        <v>1.32</v>
      </c>
      <c r="DB2784">
        <v>0.9</v>
      </c>
      <c r="DC2784">
        <v>-0.1</v>
      </c>
      <c r="DD2784">
        <v>34.83</v>
      </c>
      <c r="DE2784" t="s">
        <v>4633</v>
      </c>
      <c r="DF2784">
        <v>40.99</v>
      </c>
      <c r="DG2784">
        <v>1.79</v>
      </c>
      <c r="DH2784">
        <v>1.3</v>
      </c>
      <c r="DI2784">
        <v>2.98</v>
      </c>
      <c r="DJ2784">
        <v>6469</v>
      </c>
      <c r="DK2784">
        <v>600525</v>
      </c>
      <c r="DL2784" t="s">
        <v>120</v>
      </c>
      <c r="DM2784" t="s">
        <v>120</v>
      </c>
      <c r="DN2784" t="s">
        <v>120</v>
      </c>
    </row>
    <row r="2785" spans="1:118">
      <c r="A2785" t="str">
        <f>"600526"</f>
        <v>600526</v>
      </c>
      <c r="B2785" t="s">
        <v>12465</v>
      </c>
      <c r="C2785">
        <v>-1.89</v>
      </c>
      <c r="D2785">
        <v>0</v>
      </c>
      <c r="E2785">
        <v>-0.47</v>
      </c>
      <c r="F2785">
        <v>1891</v>
      </c>
      <c r="G2785" t="s">
        <v>9502</v>
      </c>
      <c r="H2785">
        <v>9333.48</v>
      </c>
      <c r="I2785">
        <v>18.55</v>
      </c>
      <c r="J2785" t="s">
        <v>120</v>
      </c>
      <c r="K2785" t="s">
        <v>12466</v>
      </c>
      <c r="L2785">
        <v>2.69</v>
      </c>
      <c r="M2785">
        <v>6.22</v>
      </c>
      <c r="N2785">
        <v>0.82</v>
      </c>
      <c r="O2785">
        <v>2.37</v>
      </c>
      <c r="P2785">
        <v>6.49</v>
      </c>
      <c r="Q2785">
        <v>-2.21</v>
      </c>
      <c r="R2785">
        <v>6.2</v>
      </c>
      <c r="S2785">
        <v>6.31</v>
      </c>
      <c r="T2785">
        <v>147143</v>
      </c>
      <c r="U2785">
        <v>6.22</v>
      </c>
      <c r="V2785">
        <v>6.34</v>
      </c>
      <c r="W2785">
        <v>52.47</v>
      </c>
      <c r="X2785" t="s">
        <v>318</v>
      </c>
      <c r="Y2785" t="s">
        <v>585</v>
      </c>
      <c r="Z2785">
        <v>4.57</v>
      </c>
      <c r="AA2785">
        <v>6.34</v>
      </c>
      <c r="AB2785">
        <v>73948</v>
      </c>
      <c r="AC2785">
        <v>73195</v>
      </c>
      <c r="AD2785">
        <v>1.01</v>
      </c>
      <c r="AE2785">
        <v>1062</v>
      </c>
      <c r="AF2785">
        <v>55</v>
      </c>
      <c r="AG2785" t="s">
        <v>120</v>
      </c>
      <c r="AH2785">
        <v>0.01</v>
      </c>
      <c r="AI2785" t="s">
        <v>120</v>
      </c>
      <c r="AJ2785">
        <v>5.47</v>
      </c>
      <c r="AK2785" t="s">
        <v>12466</v>
      </c>
      <c r="AL2785">
        <v>-0.55000000000000004</v>
      </c>
      <c r="AM2785">
        <v>3115</v>
      </c>
      <c r="AN2785">
        <v>47</v>
      </c>
      <c r="AO2785">
        <v>8.9999999999999998E-4</v>
      </c>
      <c r="AP2785">
        <v>-1</v>
      </c>
      <c r="AQ2785">
        <v>2.42</v>
      </c>
      <c r="AR2785">
        <v>-5.05</v>
      </c>
      <c r="AS2785">
        <v>10.87</v>
      </c>
      <c r="AT2785">
        <v>-6.89</v>
      </c>
      <c r="AU2785">
        <v>37.31</v>
      </c>
      <c r="AV2785">
        <v>11</v>
      </c>
      <c r="AW2785">
        <v>4.74</v>
      </c>
      <c r="AX2785">
        <v>56.68</v>
      </c>
      <c r="AY2785">
        <v>45.28</v>
      </c>
      <c r="AZ2785">
        <v>66.33</v>
      </c>
      <c r="BA2785">
        <v>0.46</v>
      </c>
      <c r="BB2785" t="s">
        <v>143</v>
      </c>
      <c r="BF2785">
        <v>0.05</v>
      </c>
      <c r="BG2785">
        <v>-1.43</v>
      </c>
      <c r="BH2785">
        <v>-4.16</v>
      </c>
      <c r="BI2785">
        <v>0.32</v>
      </c>
      <c r="BJ2785">
        <v>20210825</v>
      </c>
      <c r="BK2785">
        <v>20020722</v>
      </c>
      <c r="BL2785">
        <v>5.47</v>
      </c>
      <c r="BM2785" t="s">
        <v>120</v>
      </c>
      <c r="BN2785" t="s">
        <v>120</v>
      </c>
      <c r="BO2785">
        <v>71.849999999999994</v>
      </c>
      <c r="BP2785">
        <v>6.21</v>
      </c>
      <c r="BQ2785">
        <v>20.73</v>
      </c>
      <c r="BR2785">
        <v>0.84</v>
      </c>
      <c r="BS2785">
        <v>69.98</v>
      </c>
      <c r="BT2785">
        <v>52.78</v>
      </c>
      <c r="BU2785">
        <v>5.16</v>
      </c>
      <c r="BV2785">
        <v>4.41</v>
      </c>
      <c r="BW2785">
        <v>46.73</v>
      </c>
      <c r="BX2785">
        <v>9.68</v>
      </c>
      <c r="BY2785">
        <v>14.88</v>
      </c>
      <c r="BZ2785">
        <v>7.91</v>
      </c>
      <c r="CA2785" t="s">
        <v>120</v>
      </c>
      <c r="CB2785">
        <v>17.010000000000002</v>
      </c>
      <c r="CC2785">
        <v>12.34</v>
      </c>
      <c r="CD2785">
        <v>11.11</v>
      </c>
      <c r="CE2785">
        <v>0.54</v>
      </c>
      <c r="CF2785">
        <v>0.12</v>
      </c>
      <c r="CG2785">
        <v>0.55000000000000004</v>
      </c>
      <c r="CH2785">
        <v>0.28999999999999998</v>
      </c>
      <c r="CI2785">
        <v>0.32</v>
      </c>
      <c r="CJ2785">
        <v>-0.12</v>
      </c>
      <c r="CK2785">
        <v>-0.3</v>
      </c>
      <c r="CL2785">
        <v>-2.11</v>
      </c>
      <c r="CM2785">
        <v>-1.51</v>
      </c>
      <c r="CN2785">
        <v>-0.71</v>
      </c>
      <c r="CO2785">
        <v>62760</v>
      </c>
      <c r="CP2785">
        <v>4944</v>
      </c>
      <c r="CQ2785" t="s">
        <v>10911</v>
      </c>
      <c r="CR2785">
        <v>300.04000000000002</v>
      </c>
      <c r="CS2785">
        <v>-11.18</v>
      </c>
      <c r="CT2785">
        <v>1.64</v>
      </c>
      <c r="CU2785">
        <v>-22.48</v>
      </c>
      <c r="CV2785">
        <v>2.76</v>
      </c>
      <c r="CW2785">
        <v>0</v>
      </c>
      <c r="CX2785" t="s">
        <v>1064</v>
      </c>
      <c r="CY2785">
        <v>3.79</v>
      </c>
      <c r="CZ2785">
        <v>0</v>
      </c>
      <c r="DA2785">
        <v>3.11</v>
      </c>
      <c r="DB2785">
        <v>-0.39</v>
      </c>
      <c r="DC2785">
        <v>-0.28000000000000003</v>
      </c>
      <c r="DD2785">
        <v>28.84</v>
      </c>
      <c r="DE2785" t="s">
        <v>4096</v>
      </c>
      <c r="DF2785">
        <v>9.91</v>
      </c>
      <c r="DG2785">
        <v>4.4000000000000004</v>
      </c>
      <c r="DH2785">
        <v>2.63</v>
      </c>
      <c r="DI2785">
        <v>0.28999999999999998</v>
      </c>
      <c r="DJ2785">
        <v>2235</v>
      </c>
      <c r="DK2785">
        <v>600526</v>
      </c>
      <c r="DL2785" t="s">
        <v>120</v>
      </c>
      <c r="DM2785" t="s">
        <v>120</v>
      </c>
      <c r="DN2785" t="s">
        <v>120</v>
      </c>
    </row>
    <row r="2786" spans="1:118">
      <c r="A2786" t="str">
        <f>"600527"</f>
        <v>600527</v>
      </c>
      <c r="B2786" t="s">
        <v>12467</v>
      </c>
      <c r="C2786">
        <v>-0.79</v>
      </c>
      <c r="D2786">
        <v>0</v>
      </c>
      <c r="E2786">
        <v>0</v>
      </c>
      <c r="F2786">
        <v>2370</v>
      </c>
      <c r="G2786" t="s">
        <v>7058</v>
      </c>
      <c r="H2786">
        <v>11985.07</v>
      </c>
      <c r="I2786">
        <v>55.44</v>
      </c>
      <c r="J2786" t="s">
        <v>120</v>
      </c>
      <c r="K2786" t="s">
        <v>7848</v>
      </c>
      <c r="L2786">
        <v>2.74</v>
      </c>
      <c r="M2786">
        <v>2.5</v>
      </c>
      <c r="N2786">
        <v>1.27</v>
      </c>
      <c r="O2786">
        <v>1.59</v>
      </c>
      <c r="P2786">
        <v>2.56</v>
      </c>
      <c r="Q2786">
        <v>-1.59</v>
      </c>
      <c r="R2786">
        <v>2.48</v>
      </c>
      <c r="S2786">
        <v>2.52</v>
      </c>
      <c r="T2786">
        <v>474849</v>
      </c>
      <c r="U2786">
        <v>2.5</v>
      </c>
      <c r="V2786">
        <v>2.52</v>
      </c>
      <c r="W2786">
        <v>45.74</v>
      </c>
      <c r="X2786" t="s">
        <v>623</v>
      </c>
      <c r="Y2786" t="s">
        <v>319</v>
      </c>
      <c r="Z2786">
        <v>3.17</v>
      </c>
      <c r="AA2786">
        <v>2.52</v>
      </c>
      <c r="AB2786">
        <v>247417</v>
      </c>
      <c r="AC2786">
        <v>227432</v>
      </c>
      <c r="AD2786">
        <v>1.0900000000000001</v>
      </c>
      <c r="AE2786">
        <v>6775</v>
      </c>
      <c r="AF2786">
        <v>3755</v>
      </c>
      <c r="AG2786" t="s">
        <v>120</v>
      </c>
      <c r="AH2786">
        <v>0.02</v>
      </c>
      <c r="AI2786" t="s">
        <v>120</v>
      </c>
      <c r="AJ2786">
        <v>17.32</v>
      </c>
      <c r="AK2786" t="s">
        <v>7848</v>
      </c>
      <c r="AL2786">
        <v>0.55000000000000004</v>
      </c>
      <c r="AM2786">
        <v>2440</v>
      </c>
      <c r="AN2786">
        <v>195</v>
      </c>
      <c r="AO2786">
        <v>1.1000000000000001E-3</v>
      </c>
      <c r="AP2786">
        <v>-1</v>
      </c>
      <c r="AQ2786">
        <v>3.28</v>
      </c>
      <c r="AR2786">
        <v>1.22</v>
      </c>
      <c r="AS2786">
        <v>7.76</v>
      </c>
      <c r="AT2786">
        <v>0.4</v>
      </c>
      <c r="AU2786">
        <v>-3.47</v>
      </c>
      <c r="AV2786">
        <v>0</v>
      </c>
      <c r="AW2786">
        <v>3.91</v>
      </c>
      <c r="AX2786">
        <v>70.12</v>
      </c>
      <c r="AY2786">
        <v>38.99</v>
      </c>
      <c r="AZ2786">
        <v>18.760000000000002</v>
      </c>
      <c r="BA2786">
        <v>0.69</v>
      </c>
      <c r="BB2786" t="s">
        <v>700</v>
      </c>
      <c r="BF2786">
        <v>0.16</v>
      </c>
      <c r="BG2786">
        <v>-0.79</v>
      </c>
      <c r="BH2786">
        <v>-2.34</v>
      </c>
      <c r="BI2786">
        <v>0.81</v>
      </c>
      <c r="BJ2786">
        <v>20210902</v>
      </c>
      <c r="BK2786">
        <v>20031127</v>
      </c>
      <c r="BL2786">
        <v>17.32</v>
      </c>
      <c r="BM2786" t="s">
        <v>120</v>
      </c>
      <c r="BN2786" t="s">
        <v>120</v>
      </c>
      <c r="BO2786">
        <v>24.83</v>
      </c>
      <c r="BP2786">
        <v>2.4900000000000002</v>
      </c>
      <c r="BQ2786">
        <v>23.3</v>
      </c>
      <c r="BR2786" t="s">
        <v>120</v>
      </c>
      <c r="BS2786">
        <v>6.17</v>
      </c>
      <c r="BT2786">
        <v>14.05</v>
      </c>
      <c r="BU2786">
        <v>3.9</v>
      </c>
      <c r="BV2786">
        <v>0.39</v>
      </c>
      <c r="BW2786">
        <v>1.05</v>
      </c>
      <c r="BX2786">
        <v>5.73</v>
      </c>
      <c r="BY2786">
        <v>2.35</v>
      </c>
      <c r="BZ2786">
        <v>0.11</v>
      </c>
      <c r="CA2786" t="s">
        <v>120</v>
      </c>
      <c r="CB2786">
        <v>0.2</v>
      </c>
      <c r="CC2786">
        <v>4.1399999999999997</v>
      </c>
      <c r="CD2786">
        <v>3.35</v>
      </c>
      <c r="CE2786">
        <v>0.56000000000000005</v>
      </c>
      <c r="CF2786">
        <v>0.09</v>
      </c>
      <c r="CG2786">
        <v>0.56000000000000005</v>
      </c>
      <c r="CH2786">
        <v>0.47</v>
      </c>
      <c r="CI2786">
        <v>0.47</v>
      </c>
      <c r="CJ2786">
        <v>-0.02</v>
      </c>
      <c r="CK2786">
        <v>0.43</v>
      </c>
      <c r="CL2786">
        <v>4.09</v>
      </c>
      <c r="CM2786">
        <v>0.4</v>
      </c>
      <c r="CN2786">
        <v>2.14</v>
      </c>
      <c r="CO2786">
        <v>79337</v>
      </c>
      <c r="CP2786">
        <v>15305</v>
      </c>
      <c r="CQ2786" t="s">
        <v>3176</v>
      </c>
      <c r="CR2786">
        <v>-71.84</v>
      </c>
      <c r="CS2786">
        <v>-37.74</v>
      </c>
      <c r="CT2786">
        <v>1.86</v>
      </c>
      <c r="CU2786">
        <v>107.18</v>
      </c>
      <c r="CV2786">
        <v>10.45</v>
      </c>
      <c r="CW2786">
        <v>3.97</v>
      </c>
      <c r="CX2786" t="s">
        <v>2559</v>
      </c>
      <c r="CY2786">
        <v>1.35</v>
      </c>
      <c r="CZ2786">
        <v>0</v>
      </c>
      <c r="DA2786">
        <v>0.01</v>
      </c>
      <c r="DB2786">
        <v>0.24</v>
      </c>
      <c r="DC2786">
        <v>0.02</v>
      </c>
      <c r="DD2786">
        <v>93.83</v>
      </c>
      <c r="DE2786" t="s">
        <v>412</v>
      </c>
      <c r="DF2786">
        <v>19.16</v>
      </c>
      <c r="DG2786">
        <v>13.6</v>
      </c>
      <c r="DH2786">
        <v>11.43</v>
      </c>
      <c r="DI2786">
        <v>0.18</v>
      </c>
      <c r="DJ2786">
        <v>528</v>
      </c>
      <c r="DK2786">
        <v>600527</v>
      </c>
      <c r="DL2786" t="s">
        <v>120</v>
      </c>
      <c r="DM2786" t="s">
        <v>120</v>
      </c>
      <c r="DN2786" t="s">
        <v>120</v>
      </c>
    </row>
    <row r="2787" spans="1:118">
      <c r="A2787" t="str">
        <f>"600528"</f>
        <v>600528</v>
      </c>
      <c r="B2787" t="s">
        <v>12468</v>
      </c>
      <c r="C2787">
        <v>-1.06</v>
      </c>
      <c r="D2787">
        <v>-0.23</v>
      </c>
      <c r="E2787">
        <v>0</v>
      </c>
      <c r="F2787">
        <v>2598</v>
      </c>
      <c r="G2787" t="s">
        <v>2839</v>
      </c>
      <c r="H2787">
        <v>13655.07</v>
      </c>
      <c r="I2787">
        <v>26.1</v>
      </c>
      <c r="J2787" t="s">
        <v>120</v>
      </c>
      <c r="K2787" t="s">
        <v>12469</v>
      </c>
      <c r="L2787">
        <v>0.72</v>
      </c>
      <c r="M2787">
        <v>8.41</v>
      </c>
      <c r="N2787">
        <v>0.72</v>
      </c>
      <c r="O2787">
        <v>2.35</v>
      </c>
      <c r="P2787">
        <v>8.6999999999999993</v>
      </c>
      <c r="Q2787">
        <v>-1.06</v>
      </c>
      <c r="R2787">
        <v>8.41</v>
      </c>
      <c r="S2787">
        <v>8.5</v>
      </c>
      <c r="T2787">
        <v>159745</v>
      </c>
      <c r="U2787">
        <v>8.42</v>
      </c>
      <c r="V2787">
        <v>8.5</v>
      </c>
      <c r="W2787">
        <v>9.64</v>
      </c>
      <c r="X2787" t="s">
        <v>157</v>
      </c>
      <c r="Y2787" t="s">
        <v>158</v>
      </c>
      <c r="Z2787">
        <v>3.41</v>
      </c>
      <c r="AA2787">
        <v>8.5500000000000007</v>
      </c>
      <c r="AB2787">
        <v>79813</v>
      </c>
      <c r="AC2787">
        <v>79932</v>
      </c>
      <c r="AD2787">
        <v>1</v>
      </c>
      <c r="AE2787">
        <v>790</v>
      </c>
      <c r="AF2787">
        <v>336</v>
      </c>
      <c r="AG2787" t="s">
        <v>120</v>
      </c>
      <c r="AH2787">
        <v>0</v>
      </c>
      <c r="AI2787" t="s">
        <v>120</v>
      </c>
      <c r="AJ2787">
        <v>22.22</v>
      </c>
      <c r="AK2787" t="s">
        <v>12469</v>
      </c>
      <c r="AL2787">
        <v>0.28000000000000003</v>
      </c>
      <c r="AM2787">
        <v>2411</v>
      </c>
      <c r="AN2787">
        <v>66</v>
      </c>
      <c r="AO2787">
        <v>2.9999999999999997E-4</v>
      </c>
      <c r="AP2787">
        <v>-1</v>
      </c>
      <c r="AQ2787">
        <v>0.47</v>
      </c>
      <c r="AR2787">
        <v>-3.67</v>
      </c>
      <c r="AS2787">
        <v>5.39</v>
      </c>
      <c r="AT2787">
        <v>1.95</v>
      </c>
      <c r="AU2787">
        <v>-2.2000000000000002</v>
      </c>
      <c r="AV2787">
        <v>0</v>
      </c>
      <c r="AW2787">
        <v>1.63</v>
      </c>
      <c r="AX2787">
        <v>44.06</v>
      </c>
      <c r="AY2787">
        <v>9.92</v>
      </c>
      <c r="AZ2787">
        <v>10.34</v>
      </c>
      <c r="BA2787">
        <v>0.55000000000000004</v>
      </c>
      <c r="BB2787" t="s">
        <v>143</v>
      </c>
      <c r="BF2787">
        <v>0.56999999999999995</v>
      </c>
      <c r="BG2787">
        <v>-1.06</v>
      </c>
      <c r="BH2787">
        <v>-3.33</v>
      </c>
      <c r="BI2787">
        <v>0</v>
      </c>
      <c r="BJ2787">
        <v>20210830</v>
      </c>
      <c r="BK2787">
        <v>20010528</v>
      </c>
      <c r="BL2787">
        <v>22.22</v>
      </c>
      <c r="BM2787" t="s">
        <v>120</v>
      </c>
      <c r="BN2787" t="s">
        <v>120</v>
      </c>
      <c r="BO2787">
        <v>462.8</v>
      </c>
      <c r="BP2787">
        <v>8.41</v>
      </c>
      <c r="BQ2787">
        <v>218.03</v>
      </c>
      <c r="BR2787">
        <v>5.66</v>
      </c>
      <c r="BS2787">
        <v>51.67</v>
      </c>
      <c r="BT2787">
        <v>338.81</v>
      </c>
      <c r="BU2787">
        <v>52.25</v>
      </c>
      <c r="BV2787">
        <v>14.15</v>
      </c>
      <c r="BW2787">
        <v>231.07</v>
      </c>
      <c r="BX2787">
        <v>47.76</v>
      </c>
      <c r="BY2787">
        <v>143.34</v>
      </c>
      <c r="BZ2787">
        <v>90.54</v>
      </c>
      <c r="CA2787">
        <v>0.69</v>
      </c>
      <c r="CB2787">
        <v>53.8</v>
      </c>
      <c r="CC2787">
        <v>135.11000000000001</v>
      </c>
      <c r="CD2787">
        <v>111.2</v>
      </c>
      <c r="CE2787">
        <v>10.55</v>
      </c>
      <c r="CF2787">
        <v>0.31</v>
      </c>
      <c r="CG2787">
        <v>10.57</v>
      </c>
      <c r="CH2787">
        <v>9.6300000000000008</v>
      </c>
      <c r="CI2787">
        <v>9.69</v>
      </c>
      <c r="CJ2787">
        <v>-0.09</v>
      </c>
      <c r="CK2787">
        <v>9.1300000000000008</v>
      </c>
      <c r="CL2787">
        <v>105.77</v>
      </c>
      <c r="CM2787">
        <v>-18.829999999999998</v>
      </c>
      <c r="CN2787">
        <v>-29.67</v>
      </c>
      <c r="CO2787">
        <v>100287</v>
      </c>
      <c r="CP2787">
        <v>9761</v>
      </c>
      <c r="CQ2787" t="s">
        <v>5765</v>
      </c>
      <c r="CR2787">
        <v>8.67</v>
      </c>
      <c r="CS2787">
        <v>20.68</v>
      </c>
      <c r="CT2787">
        <v>0.98</v>
      </c>
      <c r="CU2787">
        <v>-9.92</v>
      </c>
      <c r="CV2787">
        <v>1.38</v>
      </c>
      <c r="CW2787">
        <v>1.66</v>
      </c>
      <c r="CX2787" t="s">
        <v>1980</v>
      </c>
      <c r="CY2787">
        <v>8.6</v>
      </c>
      <c r="CZ2787">
        <v>8.6</v>
      </c>
      <c r="DA2787">
        <v>2.42</v>
      </c>
      <c r="DB2787">
        <v>4.76</v>
      </c>
      <c r="DC2787">
        <v>-0.85</v>
      </c>
      <c r="DD2787">
        <v>47.11</v>
      </c>
      <c r="DE2787" t="s">
        <v>4256</v>
      </c>
      <c r="DF2787">
        <v>17.690000000000001</v>
      </c>
      <c r="DG2787">
        <v>7.81</v>
      </c>
      <c r="DH2787">
        <v>7.17</v>
      </c>
      <c r="DI2787">
        <v>5.92</v>
      </c>
      <c r="DJ2787">
        <v>12597</v>
      </c>
      <c r="DK2787">
        <v>600528</v>
      </c>
      <c r="DL2787" t="s">
        <v>120</v>
      </c>
      <c r="DM2787" t="s">
        <v>120</v>
      </c>
      <c r="DN2787" t="s">
        <v>120</v>
      </c>
    </row>
    <row r="2788" spans="1:118">
      <c r="A2788" t="str">
        <f>"600529"</f>
        <v>600529</v>
      </c>
      <c r="B2788" t="s">
        <v>12470</v>
      </c>
      <c r="C2788">
        <v>3.26</v>
      </c>
      <c r="D2788">
        <v>0.03</v>
      </c>
      <c r="E2788">
        <v>0.7</v>
      </c>
      <c r="F2788">
        <v>1691</v>
      </c>
      <c r="G2788" t="s">
        <v>12471</v>
      </c>
      <c r="H2788">
        <v>41031.9</v>
      </c>
      <c r="I2788">
        <v>43.87</v>
      </c>
      <c r="J2788" t="s">
        <v>120</v>
      </c>
      <c r="K2788" t="s">
        <v>12472</v>
      </c>
      <c r="L2788">
        <v>2.13</v>
      </c>
      <c r="M2788">
        <v>32.6</v>
      </c>
      <c r="N2788">
        <v>1.51</v>
      </c>
      <c r="O2788">
        <v>4.05</v>
      </c>
      <c r="P2788">
        <v>32.85</v>
      </c>
      <c r="Q2788">
        <v>0.1</v>
      </c>
      <c r="R2788">
        <v>31.6</v>
      </c>
      <c r="S2788">
        <v>31.79</v>
      </c>
      <c r="T2788">
        <v>126679</v>
      </c>
      <c r="U2788">
        <v>32.61</v>
      </c>
      <c r="V2788">
        <v>31.57</v>
      </c>
      <c r="W2788">
        <v>32.22</v>
      </c>
      <c r="X2788" t="s">
        <v>555</v>
      </c>
      <c r="Y2788" t="s">
        <v>638</v>
      </c>
      <c r="Z2788">
        <v>3.96</v>
      </c>
      <c r="AA2788">
        <v>32.39</v>
      </c>
      <c r="AB2788">
        <v>57622</v>
      </c>
      <c r="AC2788">
        <v>69057</v>
      </c>
      <c r="AD2788">
        <v>0.83</v>
      </c>
      <c r="AE2788">
        <v>652</v>
      </c>
      <c r="AF2788">
        <v>71</v>
      </c>
      <c r="AG2788" t="s">
        <v>120</v>
      </c>
      <c r="AH2788">
        <v>0</v>
      </c>
      <c r="AI2788" t="s">
        <v>120</v>
      </c>
      <c r="AJ2788">
        <v>5.95</v>
      </c>
      <c r="AK2788" t="s">
        <v>12472</v>
      </c>
      <c r="AL2788">
        <v>4.6100000000000003</v>
      </c>
      <c r="AM2788">
        <v>3921</v>
      </c>
      <c r="AN2788">
        <v>32</v>
      </c>
      <c r="AO2788">
        <v>5.0000000000000001E-4</v>
      </c>
      <c r="AP2788">
        <v>1</v>
      </c>
      <c r="AQ2788">
        <v>-1.44</v>
      </c>
      <c r="AR2788">
        <v>0.18</v>
      </c>
      <c r="AS2788">
        <v>-0.91</v>
      </c>
      <c r="AT2788">
        <v>-4.84</v>
      </c>
      <c r="AU2788">
        <v>-34.6</v>
      </c>
      <c r="AV2788">
        <v>2</v>
      </c>
      <c r="AW2788">
        <v>2.72</v>
      </c>
      <c r="AX2788">
        <v>78.25</v>
      </c>
      <c r="AY2788">
        <v>31.16</v>
      </c>
      <c r="AZ2788">
        <v>33.28</v>
      </c>
      <c r="BA2788">
        <v>0.67</v>
      </c>
      <c r="BB2788" t="s">
        <v>143</v>
      </c>
      <c r="BF2788">
        <v>2.6</v>
      </c>
      <c r="BG2788">
        <v>2.5499999999999998</v>
      </c>
      <c r="BH2788">
        <v>-0.76</v>
      </c>
      <c r="BI2788">
        <v>3.16</v>
      </c>
      <c r="BJ2788">
        <v>20210824</v>
      </c>
      <c r="BK2788">
        <v>20020603</v>
      </c>
      <c r="BL2788">
        <v>5.95</v>
      </c>
      <c r="BM2788" t="s">
        <v>120</v>
      </c>
      <c r="BN2788" t="s">
        <v>120</v>
      </c>
      <c r="BO2788">
        <v>59.13</v>
      </c>
      <c r="BP2788">
        <v>32.6</v>
      </c>
      <c r="BQ2788">
        <v>43.81</v>
      </c>
      <c r="BR2788" t="s">
        <v>120</v>
      </c>
      <c r="BS2788">
        <v>25.9</v>
      </c>
      <c r="BT2788">
        <v>31.25</v>
      </c>
      <c r="BU2788">
        <v>17.829999999999998</v>
      </c>
      <c r="BV2788">
        <v>2.0099999999999998</v>
      </c>
      <c r="BW2788">
        <v>14.73</v>
      </c>
      <c r="BX2788">
        <v>7.18</v>
      </c>
      <c r="BY2788">
        <v>7.95</v>
      </c>
      <c r="BZ2788">
        <v>7.03</v>
      </c>
      <c r="CA2788" t="s">
        <v>120</v>
      </c>
      <c r="CB2788">
        <v>9.1300000000000008</v>
      </c>
      <c r="CC2788">
        <v>18.12</v>
      </c>
      <c r="CD2788">
        <v>12.61</v>
      </c>
      <c r="CE2788">
        <v>3.56</v>
      </c>
      <c r="CF2788">
        <v>0.02</v>
      </c>
      <c r="CG2788">
        <v>3.58</v>
      </c>
      <c r="CH2788">
        <v>3.01</v>
      </c>
      <c r="CI2788">
        <v>3.01</v>
      </c>
      <c r="CJ2788">
        <v>1.03</v>
      </c>
      <c r="CK2788">
        <v>2.89</v>
      </c>
      <c r="CL2788">
        <v>24.38</v>
      </c>
      <c r="CM2788">
        <v>1.89</v>
      </c>
      <c r="CN2788">
        <v>-1.99</v>
      </c>
      <c r="CO2788">
        <v>127944</v>
      </c>
      <c r="CP2788">
        <v>3639</v>
      </c>
      <c r="CQ2788" t="s">
        <v>4223</v>
      </c>
      <c r="CR2788">
        <v>14.62</v>
      </c>
      <c r="CS2788">
        <v>17.98</v>
      </c>
      <c r="CT2788">
        <v>4.43</v>
      </c>
      <c r="CU2788">
        <v>102.68</v>
      </c>
      <c r="CV2788">
        <v>10.7</v>
      </c>
      <c r="CW2788">
        <v>0.95</v>
      </c>
      <c r="CX2788" t="s">
        <v>12473</v>
      </c>
      <c r="CY2788">
        <v>7.36</v>
      </c>
      <c r="CZ2788">
        <v>0</v>
      </c>
      <c r="DA2788">
        <v>1.54</v>
      </c>
      <c r="DB2788">
        <v>4.0999999999999996</v>
      </c>
      <c r="DC2788">
        <v>0.32</v>
      </c>
      <c r="DD2788">
        <v>74.099999999999994</v>
      </c>
      <c r="DE2788" t="s">
        <v>12474</v>
      </c>
      <c r="DF2788">
        <v>30.39</v>
      </c>
      <c r="DG2788">
        <v>19.670000000000002</v>
      </c>
      <c r="DH2788">
        <v>16.61</v>
      </c>
      <c r="DI2788">
        <v>0.69</v>
      </c>
      <c r="DJ2788">
        <v>5637</v>
      </c>
      <c r="DK2788">
        <v>600529</v>
      </c>
      <c r="DL2788" t="s">
        <v>120</v>
      </c>
      <c r="DM2788" t="s">
        <v>120</v>
      </c>
      <c r="DN2788" t="s">
        <v>120</v>
      </c>
    </row>
    <row r="2789" spans="1:118">
      <c r="A2789" t="str">
        <f>"600530"</f>
        <v>600530</v>
      </c>
      <c r="B2789" t="s">
        <v>12475</v>
      </c>
      <c r="C2789">
        <v>2.82</v>
      </c>
      <c r="D2789">
        <v>-0.26</v>
      </c>
      <c r="E2789">
        <v>0.56000000000000005</v>
      </c>
      <c r="F2789">
        <v>2432</v>
      </c>
      <c r="G2789" t="s">
        <v>5637</v>
      </c>
      <c r="H2789">
        <v>4910.58</v>
      </c>
      <c r="I2789">
        <v>4.24</v>
      </c>
      <c r="J2789" t="s">
        <v>120</v>
      </c>
      <c r="K2789" t="s">
        <v>12476</v>
      </c>
      <c r="L2789">
        <v>1.74</v>
      </c>
      <c r="M2789">
        <v>3.64</v>
      </c>
      <c r="N2789">
        <v>2.21</v>
      </c>
      <c r="O2789">
        <v>3.39</v>
      </c>
      <c r="P2789">
        <v>3.66</v>
      </c>
      <c r="Q2789">
        <v>-0.56000000000000005</v>
      </c>
      <c r="R2789">
        <v>3.52</v>
      </c>
      <c r="S2789">
        <v>3.56</v>
      </c>
      <c r="T2789">
        <v>136107</v>
      </c>
      <c r="U2789">
        <v>3.65</v>
      </c>
      <c r="V2789">
        <v>3.54</v>
      </c>
      <c r="W2789">
        <v>69.5</v>
      </c>
      <c r="X2789" t="s">
        <v>555</v>
      </c>
      <c r="Y2789" t="s">
        <v>1510</v>
      </c>
      <c r="Z2789">
        <v>3.95</v>
      </c>
      <c r="AA2789">
        <v>3.61</v>
      </c>
      <c r="AB2789">
        <v>53733</v>
      </c>
      <c r="AC2789">
        <v>82374</v>
      </c>
      <c r="AD2789">
        <v>0.65</v>
      </c>
      <c r="AE2789">
        <v>995</v>
      </c>
      <c r="AF2789">
        <v>1230</v>
      </c>
      <c r="AG2789" t="s">
        <v>120</v>
      </c>
      <c r="AH2789">
        <v>0</v>
      </c>
      <c r="AI2789" t="s">
        <v>120</v>
      </c>
      <c r="AJ2789">
        <v>7.8</v>
      </c>
      <c r="AK2789" t="s">
        <v>12476</v>
      </c>
      <c r="AL2789">
        <v>4.17</v>
      </c>
      <c r="AM2789">
        <v>1605</v>
      </c>
      <c r="AN2789">
        <v>85</v>
      </c>
      <c r="AO2789">
        <v>1.1000000000000001E-3</v>
      </c>
      <c r="AP2789">
        <v>2</v>
      </c>
      <c r="AQ2789">
        <v>1.1399999999999999</v>
      </c>
      <c r="AR2789">
        <v>4</v>
      </c>
      <c r="AS2789">
        <v>15.55</v>
      </c>
      <c r="AT2789">
        <v>4.59</v>
      </c>
      <c r="AU2789">
        <v>28.62</v>
      </c>
      <c r="AV2789">
        <v>5</v>
      </c>
      <c r="AW2789">
        <v>3.92</v>
      </c>
      <c r="AX2789">
        <v>44.46</v>
      </c>
      <c r="AY2789">
        <v>33.49</v>
      </c>
      <c r="AZ2789">
        <v>29.8</v>
      </c>
      <c r="BA2789">
        <v>1.03</v>
      </c>
      <c r="BB2789" t="s">
        <v>184</v>
      </c>
      <c r="BF2789">
        <v>1.92</v>
      </c>
      <c r="BG2789">
        <v>2.25</v>
      </c>
      <c r="BH2789">
        <v>-0.55000000000000004</v>
      </c>
      <c r="BI2789">
        <v>3.41</v>
      </c>
      <c r="BJ2789">
        <v>20210913</v>
      </c>
      <c r="BK2789">
        <v>20010702</v>
      </c>
      <c r="BL2789">
        <v>7.8</v>
      </c>
      <c r="BM2789" t="s">
        <v>120</v>
      </c>
      <c r="BN2789" t="s">
        <v>120</v>
      </c>
      <c r="BO2789">
        <v>13.26</v>
      </c>
      <c r="BP2789">
        <v>3.64</v>
      </c>
      <c r="BQ2789">
        <v>8.58</v>
      </c>
      <c r="BR2789">
        <v>0.37</v>
      </c>
      <c r="BS2789">
        <v>32.54</v>
      </c>
      <c r="BT2789">
        <v>2.5099999999999998</v>
      </c>
      <c r="BU2789">
        <v>1.3</v>
      </c>
      <c r="BV2789">
        <v>0.15</v>
      </c>
      <c r="BW2789">
        <v>1.77</v>
      </c>
      <c r="BX2789">
        <v>0.86</v>
      </c>
      <c r="BY2789">
        <v>0.4</v>
      </c>
      <c r="BZ2789">
        <v>0.88</v>
      </c>
      <c r="CA2789">
        <v>0.03</v>
      </c>
      <c r="CB2789">
        <v>0.56000000000000005</v>
      </c>
      <c r="CC2789">
        <v>1.78</v>
      </c>
      <c r="CD2789">
        <v>1.05</v>
      </c>
      <c r="CE2789">
        <v>0.25</v>
      </c>
      <c r="CF2789">
        <v>0.01</v>
      </c>
      <c r="CG2789">
        <v>0.24</v>
      </c>
      <c r="CH2789">
        <v>0.23</v>
      </c>
      <c r="CI2789">
        <v>0.2</v>
      </c>
      <c r="CJ2789">
        <v>0.1</v>
      </c>
      <c r="CK2789">
        <v>0.16</v>
      </c>
      <c r="CL2789">
        <v>-1.1100000000000001</v>
      </c>
      <c r="CM2789">
        <v>0.39</v>
      </c>
      <c r="CN2789">
        <v>-0.32</v>
      </c>
      <c r="CO2789">
        <v>30689</v>
      </c>
      <c r="CP2789">
        <v>11301</v>
      </c>
      <c r="CQ2789" t="s">
        <v>12477</v>
      </c>
      <c r="CR2789">
        <v>-33.33</v>
      </c>
      <c r="CS2789">
        <v>14.03</v>
      </c>
      <c r="CT2789">
        <v>3.31</v>
      </c>
      <c r="CU2789">
        <v>72.650000000000006</v>
      </c>
      <c r="CV2789">
        <v>15.91</v>
      </c>
      <c r="CW2789">
        <v>0</v>
      </c>
      <c r="CX2789" t="s">
        <v>2074</v>
      </c>
      <c r="CY2789">
        <v>1.1000000000000001</v>
      </c>
      <c r="CZ2789">
        <v>0</v>
      </c>
      <c r="DA2789">
        <v>7.0000000000000007E-2</v>
      </c>
      <c r="DB2789">
        <v>-0.14000000000000001</v>
      </c>
      <c r="DC2789">
        <v>0.05</v>
      </c>
      <c r="DD2789">
        <v>64.66</v>
      </c>
      <c r="DE2789" t="s">
        <v>8390</v>
      </c>
      <c r="DF2789">
        <v>41.32</v>
      </c>
      <c r="DG2789">
        <v>13.82</v>
      </c>
      <c r="DH2789">
        <v>11.45</v>
      </c>
      <c r="DI2789">
        <v>7.0000000000000007E-2</v>
      </c>
      <c r="DJ2789">
        <v>893</v>
      </c>
      <c r="DK2789">
        <v>600530</v>
      </c>
      <c r="DL2789" t="s">
        <v>120</v>
      </c>
      <c r="DM2789" t="s">
        <v>120</v>
      </c>
      <c r="DN2789" t="s">
        <v>120</v>
      </c>
    </row>
    <row r="2790" spans="1:118">
      <c r="A2790" t="str">
        <f>"600531"</f>
        <v>600531</v>
      </c>
      <c r="B2790" t="s">
        <v>12478</v>
      </c>
      <c r="C2790">
        <v>-3.54</v>
      </c>
      <c r="D2790">
        <v>0.28999999999999998</v>
      </c>
      <c r="E2790">
        <v>0.14000000000000001</v>
      </c>
      <c r="F2790">
        <v>3815</v>
      </c>
      <c r="G2790" t="s">
        <v>2072</v>
      </c>
      <c r="H2790">
        <v>45334.720000000001</v>
      </c>
      <c r="I2790">
        <v>119.96</v>
      </c>
      <c r="J2790" t="s">
        <v>120</v>
      </c>
      <c r="K2790" t="s">
        <v>7501</v>
      </c>
      <c r="L2790">
        <v>5.96</v>
      </c>
      <c r="M2790">
        <v>6.82</v>
      </c>
      <c r="N2790">
        <v>0.84</v>
      </c>
      <c r="O2790">
        <v>1.7</v>
      </c>
      <c r="P2790">
        <v>7.19</v>
      </c>
      <c r="Q2790">
        <v>-4.0999999999999996</v>
      </c>
      <c r="R2790">
        <v>6.78</v>
      </c>
      <c r="S2790">
        <v>7.08</v>
      </c>
      <c r="T2790">
        <v>649915</v>
      </c>
      <c r="U2790">
        <v>6.82</v>
      </c>
      <c r="V2790">
        <v>7.07</v>
      </c>
      <c r="W2790">
        <v>15.5</v>
      </c>
      <c r="X2790" t="s">
        <v>439</v>
      </c>
      <c r="Y2790" t="s">
        <v>645</v>
      </c>
      <c r="Z2790">
        <v>5.8</v>
      </c>
      <c r="AA2790">
        <v>6.98</v>
      </c>
      <c r="AB2790">
        <v>333260</v>
      </c>
      <c r="AC2790">
        <v>316655</v>
      </c>
      <c r="AD2790">
        <v>1.05</v>
      </c>
      <c r="AE2790">
        <v>41</v>
      </c>
      <c r="AF2790">
        <v>1267</v>
      </c>
      <c r="AG2790" t="s">
        <v>120</v>
      </c>
      <c r="AH2790">
        <v>0.02</v>
      </c>
      <c r="AI2790" t="s">
        <v>120</v>
      </c>
      <c r="AJ2790">
        <v>10.9</v>
      </c>
      <c r="AK2790" t="s">
        <v>7501</v>
      </c>
      <c r="AL2790">
        <v>-2.19</v>
      </c>
      <c r="AM2790">
        <v>4139</v>
      </c>
      <c r="AN2790">
        <v>157</v>
      </c>
      <c r="AO2790">
        <v>1.4E-3</v>
      </c>
      <c r="AP2790">
        <v>-1</v>
      </c>
      <c r="AQ2790">
        <v>0.28000000000000003</v>
      </c>
      <c r="AR2790">
        <v>-7.72</v>
      </c>
      <c r="AS2790">
        <v>16.38</v>
      </c>
      <c r="AT2790">
        <v>30.15</v>
      </c>
      <c r="AU2790">
        <v>17.100000000000001</v>
      </c>
      <c r="AV2790">
        <v>2</v>
      </c>
      <c r="AW2790">
        <v>9.39</v>
      </c>
      <c r="AX2790">
        <v>63.5</v>
      </c>
      <c r="AY2790">
        <v>14.62</v>
      </c>
      <c r="AZ2790">
        <v>24.67</v>
      </c>
      <c r="BA2790">
        <v>0.59</v>
      </c>
      <c r="BB2790" t="s">
        <v>125</v>
      </c>
      <c r="BF2790">
        <v>-1.34</v>
      </c>
      <c r="BG2790">
        <v>-3.67</v>
      </c>
      <c r="BH2790">
        <v>-5.15</v>
      </c>
      <c r="BI2790">
        <v>0.59</v>
      </c>
      <c r="BJ2790">
        <v>20210831</v>
      </c>
      <c r="BK2790">
        <v>20020730</v>
      </c>
      <c r="BL2790">
        <v>10.9</v>
      </c>
      <c r="BM2790" t="s">
        <v>120</v>
      </c>
      <c r="BN2790" t="s">
        <v>120</v>
      </c>
      <c r="BO2790">
        <v>129.97999999999999</v>
      </c>
      <c r="BP2790">
        <v>6.81</v>
      </c>
      <c r="BQ2790">
        <v>39.06</v>
      </c>
      <c r="BR2790">
        <v>0.02</v>
      </c>
      <c r="BS2790">
        <v>69.930000000000007</v>
      </c>
      <c r="BT2790">
        <v>91.62</v>
      </c>
      <c r="BU2790">
        <v>30.64</v>
      </c>
      <c r="BV2790">
        <v>2.86</v>
      </c>
      <c r="BW2790">
        <v>75.760000000000005</v>
      </c>
      <c r="BX2790">
        <v>11.63</v>
      </c>
      <c r="BY2790">
        <v>65.97</v>
      </c>
      <c r="BZ2790">
        <v>1.63</v>
      </c>
      <c r="CA2790" t="s">
        <v>120</v>
      </c>
      <c r="CB2790">
        <v>14.43</v>
      </c>
      <c r="CC2790">
        <v>117.93</v>
      </c>
      <c r="CD2790">
        <v>111.46</v>
      </c>
      <c r="CE2790">
        <v>2.91</v>
      </c>
      <c r="CF2790">
        <v>-1.29</v>
      </c>
      <c r="CG2790">
        <v>2.89</v>
      </c>
      <c r="CH2790">
        <v>2.39</v>
      </c>
      <c r="CI2790">
        <v>2.4</v>
      </c>
      <c r="CJ2790">
        <v>-0.25</v>
      </c>
      <c r="CK2790">
        <v>2.1800000000000002</v>
      </c>
      <c r="CL2790">
        <v>11.1</v>
      </c>
      <c r="CM2790">
        <v>-4.25</v>
      </c>
      <c r="CN2790">
        <v>-2.0699999999999998</v>
      </c>
      <c r="CO2790">
        <v>84801</v>
      </c>
      <c r="CP2790">
        <v>8164</v>
      </c>
      <c r="CQ2790" t="s">
        <v>4176</v>
      </c>
      <c r="CR2790">
        <v>858.35</v>
      </c>
      <c r="CS2790">
        <v>64.28</v>
      </c>
      <c r="CT2790">
        <v>1.9</v>
      </c>
      <c r="CU2790">
        <v>-17.510000000000002</v>
      </c>
      <c r="CV2790">
        <v>0.63</v>
      </c>
      <c r="CW2790">
        <v>1.22</v>
      </c>
      <c r="CX2790" t="s">
        <v>3361</v>
      </c>
      <c r="CY2790">
        <v>3.58</v>
      </c>
      <c r="CZ2790">
        <v>0</v>
      </c>
      <c r="DA2790">
        <v>1.32</v>
      </c>
      <c r="DB2790">
        <v>1.02</v>
      </c>
      <c r="DC2790">
        <v>-0.39</v>
      </c>
      <c r="DD2790">
        <v>30.05</v>
      </c>
      <c r="DE2790" t="s">
        <v>2620</v>
      </c>
      <c r="DF2790">
        <v>5.49</v>
      </c>
      <c r="DG2790">
        <v>2.46</v>
      </c>
      <c r="DH2790">
        <v>2.0299999999999998</v>
      </c>
      <c r="DI2790">
        <v>0.14000000000000001</v>
      </c>
      <c r="DJ2790">
        <v>3715</v>
      </c>
      <c r="DK2790">
        <v>600531</v>
      </c>
      <c r="DL2790" t="s">
        <v>120</v>
      </c>
      <c r="DM2790" t="s">
        <v>120</v>
      </c>
      <c r="DN2790" t="s">
        <v>120</v>
      </c>
    </row>
    <row r="2791" spans="1:118">
      <c r="A2791" t="str">
        <f>"600532"</f>
        <v>600532</v>
      </c>
      <c r="B2791" t="s">
        <v>12479</v>
      </c>
      <c r="C2791">
        <v>0.05</v>
      </c>
      <c r="D2791">
        <v>0</v>
      </c>
      <c r="E2791">
        <v>0</v>
      </c>
      <c r="F2791">
        <v>1327</v>
      </c>
      <c r="G2791" t="s">
        <v>8548</v>
      </c>
      <c r="H2791">
        <v>9454.26</v>
      </c>
      <c r="I2791">
        <v>101.71</v>
      </c>
      <c r="J2791" t="s">
        <v>120</v>
      </c>
      <c r="K2791" t="s">
        <v>12480</v>
      </c>
      <c r="L2791">
        <v>0.95</v>
      </c>
      <c r="M2791">
        <v>19.309999999999999</v>
      </c>
      <c r="N2791">
        <v>0.87</v>
      </c>
      <c r="O2791">
        <v>1.45</v>
      </c>
      <c r="P2791">
        <v>19.579999999999998</v>
      </c>
      <c r="Q2791">
        <v>-1.5</v>
      </c>
      <c r="R2791">
        <v>19.010000000000002</v>
      </c>
      <c r="S2791">
        <v>19.3</v>
      </c>
      <c r="T2791">
        <v>48902</v>
      </c>
      <c r="U2791">
        <v>19.309999999999999</v>
      </c>
      <c r="V2791">
        <v>19.3</v>
      </c>
      <c r="W2791" t="s">
        <v>120</v>
      </c>
      <c r="X2791" t="s">
        <v>555</v>
      </c>
      <c r="Y2791" t="s">
        <v>1510</v>
      </c>
      <c r="Z2791">
        <v>2.95</v>
      </c>
      <c r="AA2791">
        <v>19.329999999999998</v>
      </c>
      <c r="AB2791">
        <v>19839</v>
      </c>
      <c r="AC2791">
        <v>29063</v>
      </c>
      <c r="AD2791">
        <v>0.68</v>
      </c>
      <c r="AE2791">
        <v>25</v>
      </c>
      <c r="AF2791">
        <v>145</v>
      </c>
      <c r="AG2791" t="s">
        <v>120</v>
      </c>
      <c r="AH2791">
        <v>0.01</v>
      </c>
      <c r="AI2791" t="s">
        <v>120</v>
      </c>
      <c r="AJ2791">
        <v>5.16</v>
      </c>
      <c r="AK2791" t="s">
        <v>12480</v>
      </c>
      <c r="AL2791">
        <v>1.4</v>
      </c>
      <c r="AM2791">
        <v>3030</v>
      </c>
      <c r="AN2791">
        <v>16</v>
      </c>
      <c r="AO2791">
        <v>2.9999999999999997E-4</v>
      </c>
      <c r="AP2791">
        <v>3</v>
      </c>
      <c r="AQ2791">
        <v>1.95</v>
      </c>
      <c r="AR2791">
        <v>12.19</v>
      </c>
      <c r="AS2791">
        <v>6.09</v>
      </c>
      <c r="AT2791">
        <v>11.04</v>
      </c>
      <c r="AU2791">
        <v>43.14</v>
      </c>
      <c r="AV2791">
        <v>3</v>
      </c>
      <c r="AW2791">
        <v>1.28</v>
      </c>
      <c r="AX2791">
        <v>73.81</v>
      </c>
      <c r="AY2791">
        <v>420.54</v>
      </c>
      <c r="AZ2791">
        <v>454.75</v>
      </c>
      <c r="BA2791">
        <v>0.12</v>
      </c>
      <c r="BB2791" t="s">
        <v>143</v>
      </c>
      <c r="BF2791">
        <v>0.17</v>
      </c>
      <c r="BG2791">
        <v>0.05</v>
      </c>
      <c r="BH2791">
        <v>-1.38</v>
      </c>
      <c r="BI2791">
        <v>1.58</v>
      </c>
      <c r="BJ2791">
        <v>20210814</v>
      </c>
      <c r="BK2791">
        <v>20021031</v>
      </c>
      <c r="BL2791">
        <v>5.16</v>
      </c>
      <c r="BM2791" t="s">
        <v>120</v>
      </c>
      <c r="BN2791" t="s">
        <v>120</v>
      </c>
      <c r="BO2791">
        <v>24.16</v>
      </c>
      <c r="BP2791">
        <v>19.3</v>
      </c>
      <c r="BQ2791">
        <v>18.8</v>
      </c>
      <c r="BR2791">
        <v>0.05</v>
      </c>
      <c r="BS2791">
        <v>21.97</v>
      </c>
      <c r="BT2791">
        <v>17.54</v>
      </c>
      <c r="BU2791">
        <v>0.23</v>
      </c>
      <c r="BV2791">
        <v>0.01</v>
      </c>
      <c r="BW2791">
        <v>3.67</v>
      </c>
      <c r="BX2791">
        <v>17.09</v>
      </c>
      <c r="BY2791">
        <v>0</v>
      </c>
      <c r="BZ2791">
        <v>0.01</v>
      </c>
      <c r="CA2791" t="s">
        <v>120</v>
      </c>
      <c r="CB2791">
        <v>10.48</v>
      </c>
      <c r="CC2791">
        <v>6.63</v>
      </c>
      <c r="CD2791">
        <v>6.38</v>
      </c>
      <c r="CE2791">
        <v>-0.03</v>
      </c>
      <c r="CF2791">
        <v>0.01</v>
      </c>
      <c r="CG2791">
        <v>-0.03</v>
      </c>
      <c r="CH2791">
        <v>-0.03</v>
      </c>
      <c r="CI2791">
        <v>-0.03</v>
      </c>
      <c r="CJ2791">
        <v>0.01</v>
      </c>
      <c r="CK2791">
        <v>-0.09</v>
      </c>
      <c r="CL2791">
        <v>3.02</v>
      </c>
      <c r="CM2791">
        <v>6.02</v>
      </c>
      <c r="CN2791">
        <v>6.07</v>
      </c>
      <c r="CO2791">
        <v>9907</v>
      </c>
      <c r="CP2791">
        <v>38450</v>
      </c>
      <c r="CQ2791" t="s">
        <v>12481</v>
      </c>
      <c r="CR2791">
        <v>37.1</v>
      </c>
      <c r="CS2791">
        <v>-66.78</v>
      </c>
      <c r="CT2791">
        <v>5.3</v>
      </c>
      <c r="CU2791">
        <v>16.559999999999999</v>
      </c>
      <c r="CV2791">
        <v>15.04</v>
      </c>
      <c r="CW2791">
        <v>0</v>
      </c>
      <c r="CX2791" t="s">
        <v>1312</v>
      </c>
      <c r="CY2791">
        <v>3.64</v>
      </c>
      <c r="CZ2791">
        <v>0</v>
      </c>
      <c r="DA2791">
        <v>2.0299999999999998</v>
      </c>
      <c r="DB2791">
        <v>0.57999999999999996</v>
      </c>
      <c r="DC2791">
        <v>1.17</v>
      </c>
      <c r="DD2791">
        <v>77.83</v>
      </c>
      <c r="DE2791" t="s">
        <v>5190</v>
      </c>
      <c r="DF2791">
        <v>3.67</v>
      </c>
      <c r="DG2791">
        <v>-0.48</v>
      </c>
      <c r="DH2791">
        <v>-0.46</v>
      </c>
      <c r="DI2791" t="s">
        <v>120</v>
      </c>
      <c r="DJ2791">
        <v>36</v>
      </c>
      <c r="DK2791">
        <v>600532</v>
      </c>
      <c r="DL2791">
        <v>20210916</v>
      </c>
      <c r="DM2791">
        <v>19.3</v>
      </c>
      <c r="DN2791">
        <v>0.05</v>
      </c>
    </row>
    <row r="2792" spans="1:118">
      <c r="A2792" t="str">
        <f>"600533"</f>
        <v>600533</v>
      </c>
      <c r="B2792" t="s">
        <v>12482</v>
      </c>
      <c r="C2792">
        <v>-1.53</v>
      </c>
      <c r="D2792">
        <v>0.31</v>
      </c>
      <c r="E2792">
        <v>-0.31</v>
      </c>
      <c r="F2792">
        <v>796</v>
      </c>
      <c r="G2792" t="s">
        <v>12483</v>
      </c>
      <c r="H2792">
        <v>3666.3</v>
      </c>
      <c r="I2792">
        <v>0.75</v>
      </c>
      <c r="J2792" t="s">
        <v>120</v>
      </c>
      <c r="K2792" t="s">
        <v>3143</v>
      </c>
      <c r="L2792">
        <v>1.07</v>
      </c>
      <c r="M2792">
        <v>3.22</v>
      </c>
      <c r="N2792">
        <v>0.7</v>
      </c>
      <c r="O2792">
        <v>1.53</v>
      </c>
      <c r="P2792">
        <v>3.32</v>
      </c>
      <c r="Q2792">
        <v>-1.83</v>
      </c>
      <c r="R2792">
        <v>3.21</v>
      </c>
      <c r="S2792">
        <v>3.26</v>
      </c>
      <c r="T2792">
        <v>112338</v>
      </c>
      <c r="U2792">
        <v>3.23</v>
      </c>
      <c r="V2792">
        <v>3.27</v>
      </c>
      <c r="W2792">
        <v>5.09</v>
      </c>
      <c r="X2792" t="s">
        <v>150</v>
      </c>
      <c r="Y2792" t="s">
        <v>319</v>
      </c>
      <c r="Z2792">
        <v>3.36</v>
      </c>
      <c r="AA2792">
        <v>3.26</v>
      </c>
      <c r="AB2792">
        <v>63969</v>
      </c>
      <c r="AC2792">
        <v>48369</v>
      </c>
      <c r="AD2792">
        <v>1.32</v>
      </c>
      <c r="AE2792">
        <v>273</v>
      </c>
      <c r="AF2792">
        <v>2059</v>
      </c>
      <c r="AG2792" t="s">
        <v>120</v>
      </c>
      <c r="AH2792">
        <v>0</v>
      </c>
      <c r="AI2792" t="s">
        <v>120</v>
      </c>
      <c r="AJ2792">
        <v>10.5</v>
      </c>
      <c r="AK2792" t="s">
        <v>3143</v>
      </c>
      <c r="AL2792">
        <v>-0.19</v>
      </c>
      <c r="AM2792">
        <v>1267</v>
      </c>
      <c r="AN2792">
        <v>89</v>
      </c>
      <c r="AO2792">
        <v>8.0000000000000004E-4</v>
      </c>
      <c r="AP2792">
        <v>-1</v>
      </c>
      <c r="AQ2792">
        <v>1.55</v>
      </c>
      <c r="AR2792">
        <v>-3.59</v>
      </c>
      <c r="AS2792">
        <v>5.93</v>
      </c>
      <c r="AT2792">
        <v>2.87</v>
      </c>
      <c r="AU2792">
        <v>4.55</v>
      </c>
      <c r="AV2792">
        <v>0</v>
      </c>
      <c r="AW2792">
        <v>2.02</v>
      </c>
      <c r="AX2792">
        <v>53.05</v>
      </c>
      <c r="AY2792">
        <v>7.81</v>
      </c>
      <c r="AZ2792">
        <v>10.52</v>
      </c>
      <c r="BA2792">
        <v>0.56000000000000005</v>
      </c>
      <c r="BB2792" t="s">
        <v>184</v>
      </c>
      <c r="BF2792">
        <v>-0.19</v>
      </c>
      <c r="BG2792">
        <v>-1.23</v>
      </c>
      <c r="BH2792">
        <v>-3.01</v>
      </c>
      <c r="BI2792">
        <v>0.31</v>
      </c>
      <c r="BJ2792">
        <v>20210831</v>
      </c>
      <c r="BK2792">
        <v>20020328</v>
      </c>
      <c r="BL2792">
        <v>10.5</v>
      </c>
      <c r="BM2792" t="s">
        <v>120</v>
      </c>
      <c r="BN2792" t="s">
        <v>120</v>
      </c>
      <c r="BO2792">
        <v>223.01</v>
      </c>
      <c r="BP2792">
        <v>3.22</v>
      </c>
      <c r="BQ2792">
        <v>44.21</v>
      </c>
      <c r="BR2792">
        <v>0.77</v>
      </c>
      <c r="BS2792">
        <v>79.83</v>
      </c>
      <c r="BT2792">
        <v>192.16</v>
      </c>
      <c r="BU2792">
        <v>0.25</v>
      </c>
      <c r="BV2792">
        <v>0.01</v>
      </c>
      <c r="BW2792">
        <v>125.15</v>
      </c>
      <c r="BX2792">
        <v>26.47</v>
      </c>
      <c r="BY2792">
        <v>151.5</v>
      </c>
      <c r="BZ2792">
        <v>0.11</v>
      </c>
      <c r="CA2792">
        <v>0.13</v>
      </c>
      <c r="CB2792">
        <v>10.45</v>
      </c>
      <c r="CC2792">
        <v>24.94</v>
      </c>
      <c r="CD2792">
        <v>16.07</v>
      </c>
      <c r="CE2792">
        <v>4.5999999999999996</v>
      </c>
      <c r="CF2792">
        <v>0.28999999999999998</v>
      </c>
      <c r="CG2792">
        <v>4.59</v>
      </c>
      <c r="CH2792">
        <v>3.3</v>
      </c>
      <c r="CI2792">
        <v>3.32</v>
      </c>
      <c r="CJ2792">
        <v>-0.05</v>
      </c>
      <c r="CK2792">
        <v>3.36</v>
      </c>
      <c r="CL2792">
        <v>18.79</v>
      </c>
      <c r="CM2792">
        <v>20.87</v>
      </c>
      <c r="CN2792">
        <v>3.35</v>
      </c>
      <c r="CO2792">
        <v>48157</v>
      </c>
      <c r="CP2792">
        <v>11567</v>
      </c>
      <c r="CQ2792" t="s">
        <v>708</v>
      </c>
      <c r="CR2792">
        <v>51.74</v>
      </c>
      <c r="CS2792">
        <v>127.99</v>
      </c>
      <c r="CT2792">
        <v>0.76</v>
      </c>
      <c r="CU2792">
        <v>1.62</v>
      </c>
      <c r="CV2792">
        <v>1.36</v>
      </c>
      <c r="CW2792">
        <v>3.06</v>
      </c>
      <c r="CX2792" t="s">
        <v>12484</v>
      </c>
      <c r="CY2792">
        <v>4.21</v>
      </c>
      <c r="CZ2792">
        <v>0</v>
      </c>
      <c r="DA2792">
        <v>1</v>
      </c>
      <c r="DB2792">
        <v>1.79</v>
      </c>
      <c r="DC2792">
        <v>1.99</v>
      </c>
      <c r="DD2792">
        <v>19.82</v>
      </c>
      <c r="DE2792" t="s">
        <v>12485</v>
      </c>
      <c r="DF2792">
        <v>35.590000000000003</v>
      </c>
      <c r="DG2792">
        <v>18.43</v>
      </c>
      <c r="DH2792">
        <v>13.32</v>
      </c>
      <c r="DI2792" t="s">
        <v>120</v>
      </c>
      <c r="DJ2792">
        <v>1968</v>
      </c>
      <c r="DK2792">
        <v>600533</v>
      </c>
      <c r="DL2792" t="s">
        <v>120</v>
      </c>
      <c r="DM2792" t="s">
        <v>120</v>
      </c>
      <c r="DN2792" t="s">
        <v>120</v>
      </c>
    </row>
    <row r="2793" spans="1:118">
      <c r="A2793" t="str">
        <f>"600535"</f>
        <v>600535</v>
      </c>
      <c r="B2793" t="s">
        <v>12486</v>
      </c>
      <c r="C2793">
        <v>-0.67</v>
      </c>
      <c r="D2793">
        <v>0</v>
      </c>
      <c r="E2793">
        <v>0.3</v>
      </c>
      <c r="F2793">
        <v>822</v>
      </c>
      <c r="G2793" t="s">
        <v>12487</v>
      </c>
      <c r="H2793">
        <v>11423.67</v>
      </c>
      <c r="I2793">
        <v>39.18</v>
      </c>
      <c r="J2793" t="s">
        <v>120</v>
      </c>
      <c r="K2793" t="s">
        <v>12488</v>
      </c>
      <c r="L2793">
        <v>0.56000000000000005</v>
      </c>
      <c r="M2793">
        <v>13.38</v>
      </c>
      <c r="N2793">
        <v>0.84</v>
      </c>
      <c r="O2793">
        <v>0.82</v>
      </c>
      <c r="P2793">
        <v>13.58</v>
      </c>
      <c r="Q2793">
        <v>-0.67</v>
      </c>
      <c r="R2793">
        <v>13.38</v>
      </c>
      <c r="S2793">
        <v>13.51</v>
      </c>
      <c r="T2793">
        <v>84714</v>
      </c>
      <c r="U2793">
        <v>13.38</v>
      </c>
      <c r="V2793">
        <v>13.47</v>
      </c>
      <c r="W2793">
        <v>10.1</v>
      </c>
      <c r="X2793" t="s">
        <v>771</v>
      </c>
      <c r="Y2793" t="s">
        <v>997</v>
      </c>
      <c r="Z2793">
        <v>1.48</v>
      </c>
      <c r="AA2793">
        <v>13.48</v>
      </c>
      <c r="AB2793">
        <v>48835</v>
      </c>
      <c r="AC2793">
        <v>35879</v>
      </c>
      <c r="AD2793">
        <v>1.36</v>
      </c>
      <c r="AE2793">
        <v>52</v>
      </c>
      <c r="AF2793">
        <v>743</v>
      </c>
      <c r="AG2793" t="s">
        <v>120</v>
      </c>
      <c r="AH2793">
        <v>0</v>
      </c>
      <c r="AI2793" t="s">
        <v>120</v>
      </c>
      <c r="AJ2793">
        <v>15.13</v>
      </c>
      <c r="AK2793" t="s">
        <v>12488</v>
      </c>
      <c r="AL2793">
        <v>0.68</v>
      </c>
      <c r="AM2793">
        <v>2936</v>
      </c>
      <c r="AN2793">
        <v>29</v>
      </c>
      <c r="AO2793">
        <v>2.0000000000000001E-4</v>
      </c>
      <c r="AP2793">
        <v>-4</v>
      </c>
      <c r="AQ2793">
        <v>-7.0000000000000007E-2</v>
      </c>
      <c r="AR2793">
        <v>-2.19</v>
      </c>
      <c r="AS2793">
        <v>5.94</v>
      </c>
      <c r="AT2793">
        <v>-0.37</v>
      </c>
      <c r="AU2793">
        <v>-7.47</v>
      </c>
      <c r="AV2793">
        <v>0</v>
      </c>
      <c r="AW2793">
        <v>1.02</v>
      </c>
      <c r="AX2793">
        <v>54.82</v>
      </c>
      <c r="AY2793">
        <v>14.13</v>
      </c>
      <c r="AZ2793">
        <v>18.100000000000001</v>
      </c>
      <c r="BA2793">
        <v>0.43</v>
      </c>
      <c r="BB2793" t="s">
        <v>143</v>
      </c>
      <c r="BF2793">
        <v>0.11</v>
      </c>
      <c r="BG2793">
        <v>-0.96</v>
      </c>
      <c r="BH2793">
        <v>-1.47</v>
      </c>
      <c r="BI2793">
        <v>0</v>
      </c>
      <c r="BJ2793">
        <v>20210827</v>
      </c>
      <c r="BK2793">
        <v>20020823</v>
      </c>
      <c r="BL2793">
        <v>15.13</v>
      </c>
      <c r="BM2793" t="s">
        <v>120</v>
      </c>
      <c r="BN2793" t="s">
        <v>120</v>
      </c>
      <c r="BO2793">
        <v>157.75</v>
      </c>
      <c r="BP2793">
        <v>13.37</v>
      </c>
      <c r="BQ2793">
        <v>124.03</v>
      </c>
      <c r="BR2793">
        <v>3.94</v>
      </c>
      <c r="BS2793">
        <v>18.88</v>
      </c>
      <c r="BT2793">
        <v>81.25</v>
      </c>
      <c r="BU2793">
        <v>33.950000000000003</v>
      </c>
      <c r="BV2793">
        <v>3.73</v>
      </c>
      <c r="BW2793">
        <v>13.62</v>
      </c>
      <c r="BX2793">
        <v>19.850000000000001</v>
      </c>
      <c r="BY2793">
        <v>15.12</v>
      </c>
      <c r="BZ2793">
        <v>13.04</v>
      </c>
      <c r="CA2793">
        <v>0.67</v>
      </c>
      <c r="CB2793">
        <v>22.69</v>
      </c>
      <c r="CC2793">
        <v>38.270000000000003</v>
      </c>
      <c r="CD2793">
        <v>12.9</v>
      </c>
      <c r="CE2793">
        <v>11.81</v>
      </c>
      <c r="CF2793">
        <v>2.27</v>
      </c>
      <c r="CG2793">
        <v>11.77</v>
      </c>
      <c r="CH2793">
        <v>10.210000000000001</v>
      </c>
      <c r="CI2793">
        <v>10.02</v>
      </c>
      <c r="CJ2793">
        <v>-0.09</v>
      </c>
      <c r="CK2793">
        <v>6.2</v>
      </c>
      <c r="CL2793">
        <v>75.69</v>
      </c>
      <c r="CM2793">
        <v>16.440000000000001</v>
      </c>
      <c r="CN2793">
        <v>0.76</v>
      </c>
      <c r="CO2793">
        <v>86387</v>
      </c>
      <c r="CP2793">
        <v>9598</v>
      </c>
      <c r="CQ2793" t="s">
        <v>12489</v>
      </c>
      <c r="CR2793">
        <v>46.1</v>
      </c>
      <c r="CS2793">
        <v>-55.63</v>
      </c>
      <c r="CT2793">
        <v>1.63</v>
      </c>
      <c r="CU2793">
        <v>12.31</v>
      </c>
      <c r="CV2793">
        <v>5.29</v>
      </c>
      <c r="CW2793">
        <v>2.4300000000000002</v>
      </c>
      <c r="CX2793" t="s">
        <v>1469</v>
      </c>
      <c r="CY2793">
        <v>8.1999999999999993</v>
      </c>
      <c r="CZ2793">
        <v>0</v>
      </c>
      <c r="DA2793">
        <v>1.5</v>
      </c>
      <c r="DB2793">
        <v>5</v>
      </c>
      <c r="DC2793">
        <v>1.0900000000000001</v>
      </c>
      <c r="DD2793">
        <v>78.62</v>
      </c>
      <c r="DE2793" t="s">
        <v>3538</v>
      </c>
      <c r="DF2793">
        <v>66.3</v>
      </c>
      <c r="DG2793">
        <v>30.87</v>
      </c>
      <c r="DH2793">
        <v>26.19</v>
      </c>
      <c r="DI2793">
        <v>2.56</v>
      </c>
      <c r="DJ2793">
        <v>9284</v>
      </c>
      <c r="DK2793">
        <v>600535</v>
      </c>
      <c r="DL2793" t="s">
        <v>120</v>
      </c>
      <c r="DM2793" t="s">
        <v>120</v>
      </c>
      <c r="DN2793" t="s">
        <v>120</v>
      </c>
    </row>
    <row r="2794" spans="1:118">
      <c r="A2794" t="str">
        <f>"600536"</f>
        <v>600536</v>
      </c>
      <c r="B2794" t="s">
        <v>12490</v>
      </c>
      <c r="C2794">
        <v>-2.74</v>
      </c>
      <c r="D2794">
        <v>-0.23</v>
      </c>
      <c r="E2794">
        <v>-0.6</v>
      </c>
      <c r="F2794">
        <v>1937</v>
      </c>
      <c r="G2794" t="s">
        <v>12491</v>
      </c>
      <c r="H2794">
        <v>36446.53</v>
      </c>
      <c r="I2794">
        <v>153.15</v>
      </c>
      <c r="J2794" t="s">
        <v>120</v>
      </c>
      <c r="K2794" t="s">
        <v>12492</v>
      </c>
      <c r="L2794">
        <v>1.48</v>
      </c>
      <c r="M2794">
        <v>48.97</v>
      </c>
      <c r="N2794">
        <v>0.67</v>
      </c>
      <c r="O2794">
        <v>1.05</v>
      </c>
      <c r="P2794">
        <v>50.88</v>
      </c>
      <c r="Q2794">
        <v>-2.74</v>
      </c>
      <c r="R2794">
        <v>48.97</v>
      </c>
      <c r="S2794">
        <v>50.05</v>
      </c>
      <c r="T2794">
        <v>73114</v>
      </c>
      <c r="U2794">
        <v>49</v>
      </c>
      <c r="V2794">
        <v>50.35</v>
      </c>
      <c r="W2794" t="s">
        <v>120</v>
      </c>
      <c r="X2794" t="s">
        <v>141</v>
      </c>
      <c r="Y2794" t="s">
        <v>158</v>
      </c>
      <c r="Z2794">
        <v>3.79</v>
      </c>
      <c r="AA2794">
        <v>49.85</v>
      </c>
      <c r="AB2794">
        <v>40643</v>
      </c>
      <c r="AC2794">
        <v>32471</v>
      </c>
      <c r="AD2794">
        <v>1.25</v>
      </c>
      <c r="AE2794">
        <v>12</v>
      </c>
      <c r="AF2794">
        <v>24</v>
      </c>
      <c r="AG2794" t="s">
        <v>120</v>
      </c>
      <c r="AH2794">
        <v>0.01</v>
      </c>
      <c r="AI2794" t="s">
        <v>120</v>
      </c>
      <c r="AJ2794">
        <v>4.95</v>
      </c>
      <c r="AK2794" t="s">
        <v>12492</v>
      </c>
      <c r="AL2794">
        <v>-1.4</v>
      </c>
      <c r="AM2794">
        <v>3851</v>
      </c>
      <c r="AN2794">
        <v>19</v>
      </c>
      <c r="AO2794">
        <v>4.0000000000000002E-4</v>
      </c>
      <c r="AP2794">
        <v>-2</v>
      </c>
      <c r="AQ2794">
        <v>-3.58</v>
      </c>
      <c r="AR2794">
        <v>-4.95</v>
      </c>
      <c r="AS2794">
        <v>-6.42</v>
      </c>
      <c r="AT2794">
        <v>-18.510000000000002</v>
      </c>
      <c r="AU2794">
        <v>-37.79</v>
      </c>
      <c r="AV2794">
        <v>3</v>
      </c>
      <c r="AW2794">
        <v>2.54</v>
      </c>
      <c r="AX2794">
        <v>58.18</v>
      </c>
      <c r="AY2794">
        <v>212.79</v>
      </c>
      <c r="AZ2794">
        <v>364.96</v>
      </c>
      <c r="BA2794">
        <v>0.48</v>
      </c>
      <c r="BB2794" t="s">
        <v>125</v>
      </c>
      <c r="BF2794">
        <v>-1</v>
      </c>
      <c r="BG2794">
        <v>-2.16</v>
      </c>
      <c r="BH2794">
        <v>-3.75</v>
      </c>
      <c r="BI2794">
        <v>0</v>
      </c>
      <c r="BJ2794">
        <v>20210827</v>
      </c>
      <c r="BK2794">
        <v>20020517</v>
      </c>
      <c r="BL2794">
        <v>4.95</v>
      </c>
      <c r="BM2794" t="s">
        <v>120</v>
      </c>
      <c r="BN2794" t="s">
        <v>120</v>
      </c>
      <c r="BO2794">
        <v>97.45</v>
      </c>
      <c r="BP2794">
        <v>48.97</v>
      </c>
      <c r="BQ2794">
        <v>19.34</v>
      </c>
      <c r="BR2794">
        <v>6.05</v>
      </c>
      <c r="BS2794">
        <v>73.94</v>
      </c>
      <c r="BT2794">
        <v>81.7</v>
      </c>
      <c r="BU2794">
        <v>4.7300000000000004</v>
      </c>
      <c r="BV2794">
        <v>1.62</v>
      </c>
      <c r="BW2794">
        <v>61.07</v>
      </c>
      <c r="BX2794">
        <v>18.059999999999999</v>
      </c>
      <c r="BY2794">
        <v>31.1</v>
      </c>
      <c r="BZ2794">
        <v>20.079999999999998</v>
      </c>
      <c r="CA2794" t="s">
        <v>120</v>
      </c>
      <c r="CB2794">
        <v>10.31</v>
      </c>
      <c r="CC2794">
        <v>26.31</v>
      </c>
      <c r="CD2794">
        <v>16.309999999999999</v>
      </c>
      <c r="CE2794">
        <v>-3.67</v>
      </c>
      <c r="CF2794">
        <v>0.14000000000000001</v>
      </c>
      <c r="CG2794">
        <v>-3.63</v>
      </c>
      <c r="CH2794">
        <v>-3.83</v>
      </c>
      <c r="CI2794">
        <v>-3.61</v>
      </c>
      <c r="CJ2794">
        <v>-1.38</v>
      </c>
      <c r="CK2794">
        <v>-3.76</v>
      </c>
      <c r="CL2794">
        <v>3.75</v>
      </c>
      <c r="CM2794">
        <v>-19.52</v>
      </c>
      <c r="CN2794">
        <v>-7.06</v>
      </c>
      <c r="CO2794">
        <v>137239</v>
      </c>
      <c r="CP2794">
        <v>2096</v>
      </c>
      <c r="CQ2794" t="s">
        <v>12493</v>
      </c>
      <c r="CR2794">
        <v>11.91</v>
      </c>
      <c r="CS2794">
        <v>88.77</v>
      </c>
      <c r="CT2794">
        <v>12.52</v>
      </c>
      <c r="CU2794">
        <v>-12.4</v>
      </c>
      <c r="CV2794">
        <v>9.2100000000000009</v>
      </c>
      <c r="CW2794">
        <v>0.08</v>
      </c>
      <c r="CX2794" t="s">
        <v>12494</v>
      </c>
      <c r="CY2794">
        <v>3.91</v>
      </c>
      <c r="CZ2794">
        <v>0</v>
      </c>
      <c r="DA2794">
        <v>2.09</v>
      </c>
      <c r="DB2794">
        <v>0.76</v>
      </c>
      <c r="DC2794">
        <v>-3.95</v>
      </c>
      <c r="DD2794">
        <v>19.850000000000001</v>
      </c>
      <c r="DE2794" t="s">
        <v>12495</v>
      </c>
      <c r="DF2794">
        <v>38.01</v>
      </c>
      <c r="DG2794">
        <v>-13.95</v>
      </c>
      <c r="DH2794">
        <v>-13.72</v>
      </c>
      <c r="DI2794">
        <v>9.4600000000000009</v>
      </c>
      <c r="DJ2794">
        <v>10321</v>
      </c>
      <c r="DK2794">
        <v>600536</v>
      </c>
      <c r="DL2794" t="s">
        <v>120</v>
      </c>
      <c r="DM2794" t="s">
        <v>120</v>
      </c>
      <c r="DN2794" t="s">
        <v>120</v>
      </c>
    </row>
    <row r="2795" spans="1:118">
      <c r="A2795" t="str">
        <f>"600537"</f>
        <v>600537</v>
      </c>
      <c r="B2795" t="s">
        <v>12496</v>
      </c>
      <c r="C2795">
        <v>-3.4</v>
      </c>
      <c r="D2795">
        <v>0</v>
      </c>
      <c r="E2795">
        <v>0.19</v>
      </c>
      <c r="F2795">
        <v>7461</v>
      </c>
      <c r="G2795" t="s">
        <v>10509</v>
      </c>
      <c r="H2795">
        <v>22755.919999999998</v>
      </c>
      <c r="I2795">
        <v>197.16</v>
      </c>
      <c r="J2795" t="s">
        <v>120</v>
      </c>
      <c r="K2795" t="s">
        <v>12497</v>
      </c>
      <c r="L2795">
        <v>3.7</v>
      </c>
      <c r="M2795">
        <v>5.12</v>
      </c>
      <c r="N2795">
        <v>0.96</v>
      </c>
      <c r="O2795">
        <v>1.32</v>
      </c>
      <c r="P2795">
        <v>5.37</v>
      </c>
      <c r="Q2795">
        <v>-3.77</v>
      </c>
      <c r="R2795">
        <v>5.0999999999999996</v>
      </c>
      <c r="S2795">
        <v>5.31</v>
      </c>
      <c r="T2795">
        <v>435017</v>
      </c>
      <c r="U2795">
        <v>5.12</v>
      </c>
      <c r="V2795">
        <v>5.3</v>
      </c>
      <c r="W2795" t="s">
        <v>120</v>
      </c>
      <c r="X2795" t="s">
        <v>394</v>
      </c>
      <c r="Y2795" t="s">
        <v>585</v>
      </c>
      <c r="Z2795">
        <v>5.09</v>
      </c>
      <c r="AA2795">
        <v>5.23</v>
      </c>
      <c r="AB2795">
        <v>242561</v>
      </c>
      <c r="AC2795">
        <v>192456</v>
      </c>
      <c r="AD2795">
        <v>1.26</v>
      </c>
      <c r="AE2795">
        <v>696</v>
      </c>
      <c r="AF2795">
        <v>904</v>
      </c>
      <c r="AG2795" t="s">
        <v>120</v>
      </c>
      <c r="AH2795">
        <v>0.05</v>
      </c>
      <c r="AI2795" t="s">
        <v>120</v>
      </c>
      <c r="AJ2795">
        <v>11.76</v>
      </c>
      <c r="AK2795" t="s">
        <v>12497</v>
      </c>
      <c r="AL2795">
        <v>-2.0499999999999998</v>
      </c>
      <c r="AM2795">
        <v>3708</v>
      </c>
      <c r="AN2795">
        <v>117</v>
      </c>
      <c r="AO2795">
        <v>1E-3</v>
      </c>
      <c r="AP2795">
        <v>-1</v>
      </c>
      <c r="AQ2795">
        <v>1.92</v>
      </c>
      <c r="AR2795">
        <v>6.22</v>
      </c>
      <c r="AS2795">
        <v>9.4</v>
      </c>
      <c r="AT2795">
        <v>23.37</v>
      </c>
      <c r="AU2795">
        <v>1.18</v>
      </c>
      <c r="AV2795">
        <v>9</v>
      </c>
      <c r="AW2795">
        <v>5.52</v>
      </c>
      <c r="AX2795">
        <v>67.010000000000005</v>
      </c>
      <c r="AY2795" t="s">
        <v>120</v>
      </c>
      <c r="AZ2795" t="s">
        <v>120</v>
      </c>
      <c r="BA2795">
        <v>0.48</v>
      </c>
      <c r="BB2795" t="s">
        <v>184</v>
      </c>
      <c r="BF2795">
        <v>-1.3</v>
      </c>
      <c r="BG2795">
        <v>-3.58</v>
      </c>
      <c r="BH2795">
        <v>-4.66</v>
      </c>
      <c r="BI2795">
        <v>0.39</v>
      </c>
      <c r="BJ2795">
        <v>20210901</v>
      </c>
      <c r="BK2795">
        <v>20030123</v>
      </c>
      <c r="BL2795">
        <v>11.76</v>
      </c>
      <c r="BM2795" t="s">
        <v>120</v>
      </c>
      <c r="BN2795" t="s">
        <v>120</v>
      </c>
      <c r="BO2795">
        <v>70.150000000000006</v>
      </c>
      <c r="BP2795">
        <v>5.1100000000000003</v>
      </c>
      <c r="BQ2795">
        <v>27.57</v>
      </c>
      <c r="BR2795">
        <v>4.49</v>
      </c>
      <c r="BS2795">
        <v>54.29</v>
      </c>
      <c r="BT2795">
        <v>35.78</v>
      </c>
      <c r="BU2795">
        <v>21.25</v>
      </c>
      <c r="BV2795">
        <v>1.29</v>
      </c>
      <c r="BW2795">
        <v>27.34</v>
      </c>
      <c r="BX2795">
        <v>18.46</v>
      </c>
      <c r="BY2795">
        <v>3.28</v>
      </c>
      <c r="BZ2795">
        <v>6.75</v>
      </c>
      <c r="CA2795" t="s">
        <v>120</v>
      </c>
      <c r="CB2795">
        <v>15.11</v>
      </c>
      <c r="CC2795">
        <v>17.93</v>
      </c>
      <c r="CD2795">
        <v>17.36</v>
      </c>
      <c r="CE2795">
        <v>-1.39</v>
      </c>
      <c r="CF2795">
        <v>0.03</v>
      </c>
      <c r="CG2795">
        <v>-1.47</v>
      </c>
      <c r="CH2795">
        <v>-1.66</v>
      </c>
      <c r="CI2795">
        <v>-1.44</v>
      </c>
      <c r="CJ2795">
        <v>-0.18</v>
      </c>
      <c r="CK2795">
        <v>-1.45</v>
      </c>
      <c r="CL2795">
        <v>0.2</v>
      </c>
      <c r="CM2795">
        <v>-5.79</v>
      </c>
      <c r="CN2795">
        <v>-4.51</v>
      </c>
      <c r="CO2795">
        <v>55909</v>
      </c>
      <c r="CP2795">
        <v>14099</v>
      </c>
      <c r="CQ2795" t="s">
        <v>2982</v>
      </c>
      <c r="CR2795">
        <v>-2012.31</v>
      </c>
      <c r="CS2795">
        <v>-12.78</v>
      </c>
      <c r="CT2795">
        <v>2.1800000000000002</v>
      </c>
      <c r="CU2795">
        <v>-10.4</v>
      </c>
      <c r="CV2795">
        <v>3.36</v>
      </c>
      <c r="CW2795">
        <v>0</v>
      </c>
      <c r="CX2795" t="s">
        <v>1643</v>
      </c>
      <c r="CY2795">
        <v>2.34</v>
      </c>
      <c r="CZ2795">
        <v>0</v>
      </c>
      <c r="DA2795">
        <v>1.28</v>
      </c>
      <c r="DB2795">
        <v>0.02</v>
      </c>
      <c r="DC2795">
        <v>-0.49</v>
      </c>
      <c r="DD2795">
        <v>39.299999999999997</v>
      </c>
      <c r="DE2795" t="s">
        <v>12498</v>
      </c>
      <c r="DF2795">
        <v>3.17</v>
      </c>
      <c r="DG2795">
        <v>-7.73</v>
      </c>
      <c r="DH2795">
        <v>-8.01</v>
      </c>
      <c r="DI2795">
        <v>0.66</v>
      </c>
      <c r="DJ2795">
        <v>1643</v>
      </c>
      <c r="DK2795">
        <v>600537</v>
      </c>
      <c r="DL2795" t="s">
        <v>120</v>
      </c>
      <c r="DM2795" t="s">
        <v>120</v>
      </c>
      <c r="DN2795" t="s">
        <v>120</v>
      </c>
    </row>
    <row r="2796" spans="1:118">
      <c r="A2796" t="str">
        <f>"600538"</f>
        <v>600538</v>
      </c>
      <c r="B2796" t="s">
        <v>12499</v>
      </c>
      <c r="C2796">
        <v>-1.44</v>
      </c>
      <c r="D2796">
        <v>0.24</v>
      </c>
      <c r="E2796">
        <v>-0.48</v>
      </c>
      <c r="F2796">
        <v>2424</v>
      </c>
      <c r="G2796" t="s">
        <v>6013</v>
      </c>
      <c r="H2796">
        <v>11685.47</v>
      </c>
      <c r="I2796">
        <v>8.3000000000000007</v>
      </c>
      <c r="J2796" t="s">
        <v>120</v>
      </c>
      <c r="K2796" t="s">
        <v>8523</v>
      </c>
      <c r="L2796">
        <v>3.05</v>
      </c>
      <c r="M2796">
        <v>8.2200000000000006</v>
      </c>
      <c r="N2796">
        <v>1.38</v>
      </c>
      <c r="O2796">
        <v>0.36</v>
      </c>
      <c r="P2796">
        <v>8.3699999999999992</v>
      </c>
      <c r="Q2796">
        <v>-1.92</v>
      </c>
      <c r="R2796">
        <v>8.18</v>
      </c>
      <c r="S2796">
        <v>8.3000000000000007</v>
      </c>
      <c r="T2796">
        <v>141552</v>
      </c>
      <c r="U2796">
        <v>8.2200000000000006</v>
      </c>
      <c r="V2796">
        <v>8.34</v>
      </c>
      <c r="W2796">
        <v>467.85</v>
      </c>
      <c r="X2796" t="s">
        <v>274</v>
      </c>
      <c r="Y2796" t="s">
        <v>945</v>
      </c>
      <c r="Z2796">
        <v>2.2799999999999998</v>
      </c>
      <c r="AA2796">
        <v>8.26</v>
      </c>
      <c r="AB2796">
        <v>60828</v>
      </c>
      <c r="AC2796">
        <v>80724</v>
      </c>
      <c r="AD2796">
        <v>0.75</v>
      </c>
      <c r="AE2796">
        <v>159</v>
      </c>
      <c r="AF2796">
        <v>160</v>
      </c>
      <c r="AG2796" t="s">
        <v>120</v>
      </c>
      <c r="AH2796">
        <v>0</v>
      </c>
      <c r="AI2796" t="s">
        <v>120</v>
      </c>
      <c r="AJ2796">
        <v>4.6399999999999997</v>
      </c>
      <c r="AK2796" t="s">
        <v>12500</v>
      </c>
      <c r="AL2796">
        <v>-0.1</v>
      </c>
      <c r="AM2796">
        <v>1953</v>
      </c>
      <c r="AN2796">
        <v>72</v>
      </c>
      <c r="AO2796">
        <v>1.6000000000000001E-3</v>
      </c>
      <c r="AP2796">
        <v>-1</v>
      </c>
      <c r="AQ2796">
        <v>1.21</v>
      </c>
      <c r="AR2796">
        <v>1.1000000000000001</v>
      </c>
      <c r="AS2796">
        <v>1.48</v>
      </c>
      <c r="AT2796">
        <v>21.42</v>
      </c>
      <c r="AU2796">
        <v>39.33</v>
      </c>
      <c r="AV2796">
        <v>0</v>
      </c>
      <c r="AW2796">
        <v>5.15</v>
      </c>
      <c r="AX2796">
        <v>52.42</v>
      </c>
      <c r="AY2796">
        <v>376.64</v>
      </c>
      <c r="AZ2796">
        <v>1365.95</v>
      </c>
      <c r="BA2796">
        <v>0.01</v>
      </c>
      <c r="BB2796" t="s">
        <v>143</v>
      </c>
      <c r="BF2796">
        <v>-1.02</v>
      </c>
      <c r="BG2796">
        <v>-0.96</v>
      </c>
      <c r="BH2796">
        <v>-1.79</v>
      </c>
      <c r="BI2796">
        <v>0.49</v>
      </c>
      <c r="BJ2796">
        <v>20210827</v>
      </c>
      <c r="BK2796">
        <v>20030114</v>
      </c>
      <c r="BL2796">
        <v>5.24</v>
      </c>
      <c r="BM2796" t="s">
        <v>120</v>
      </c>
      <c r="BN2796" t="s">
        <v>120</v>
      </c>
      <c r="BO2796">
        <v>9.92</v>
      </c>
      <c r="BP2796">
        <v>8.2100000000000009</v>
      </c>
      <c r="BQ2796">
        <v>8.44</v>
      </c>
      <c r="BR2796">
        <v>7.0000000000000007E-2</v>
      </c>
      <c r="BS2796">
        <v>14.17</v>
      </c>
      <c r="BT2796">
        <v>4.24</v>
      </c>
      <c r="BU2796">
        <v>1.1200000000000001</v>
      </c>
      <c r="BV2796">
        <v>0.31</v>
      </c>
      <c r="BW2796">
        <v>1.39</v>
      </c>
      <c r="BX2796">
        <v>0.89</v>
      </c>
      <c r="BY2796">
        <v>0.67</v>
      </c>
      <c r="BZ2796">
        <v>2.13</v>
      </c>
      <c r="CA2796">
        <v>0</v>
      </c>
      <c r="CB2796">
        <v>7.31</v>
      </c>
      <c r="CC2796">
        <v>1.9</v>
      </c>
      <c r="CD2796">
        <v>1.39</v>
      </c>
      <c r="CE2796">
        <v>0.08</v>
      </c>
      <c r="CF2796">
        <v>-0.01</v>
      </c>
      <c r="CG2796">
        <v>0.08</v>
      </c>
      <c r="CH2796">
        <v>0.05</v>
      </c>
      <c r="CI2796">
        <v>0.05</v>
      </c>
      <c r="CJ2796">
        <v>-0.12</v>
      </c>
      <c r="CK2796">
        <v>0.04</v>
      </c>
      <c r="CL2796">
        <v>-4.3099999999999996</v>
      </c>
      <c r="CM2796">
        <v>-0.44</v>
      </c>
      <c r="CN2796">
        <v>-1.2</v>
      </c>
      <c r="CO2796">
        <v>16302</v>
      </c>
      <c r="CP2796">
        <v>16856</v>
      </c>
      <c r="CQ2796" t="s">
        <v>12221</v>
      </c>
      <c r="CR2796">
        <v>221.13</v>
      </c>
      <c r="CS2796">
        <v>61.85</v>
      </c>
      <c r="CT2796">
        <v>4.9800000000000004</v>
      </c>
      <c r="CU2796">
        <v>-98.7</v>
      </c>
      <c r="CV2796">
        <v>22.67</v>
      </c>
      <c r="CW2796">
        <v>0</v>
      </c>
      <c r="CX2796" t="s">
        <v>178</v>
      </c>
      <c r="CY2796">
        <v>1.65</v>
      </c>
      <c r="CZ2796">
        <v>1.65</v>
      </c>
      <c r="DA2796">
        <v>1.39</v>
      </c>
      <c r="DB2796">
        <v>-0.82</v>
      </c>
      <c r="DC2796">
        <v>-0.08</v>
      </c>
      <c r="DD2796">
        <v>85.12</v>
      </c>
      <c r="DE2796" t="s">
        <v>2369</v>
      </c>
      <c r="DF2796">
        <v>26.71</v>
      </c>
      <c r="DG2796">
        <v>4.3600000000000003</v>
      </c>
      <c r="DH2796">
        <v>2.42</v>
      </c>
      <c r="DI2796">
        <v>0.03</v>
      </c>
      <c r="DJ2796">
        <v>443</v>
      </c>
      <c r="DK2796">
        <v>600538</v>
      </c>
      <c r="DL2796" t="s">
        <v>120</v>
      </c>
      <c r="DM2796" t="s">
        <v>120</v>
      </c>
      <c r="DN2796" t="s">
        <v>120</v>
      </c>
    </row>
    <row r="2797" spans="1:118">
      <c r="A2797" t="str">
        <f>"600539"</f>
        <v>600539</v>
      </c>
      <c r="B2797" t="s">
        <v>12501</v>
      </c>
      <c r="C2797">
        <v>-0.14000000000000001</v>
      </c>
      <c r="D2797">
        <v>0</v>
      </c>
      <c r="E2797">
        <v>-0.42</v>
      </c>
      <c r="F2797">
        <v>68</v>
      </c>
      <c r="G2797" t="s">
        <v>6677</v>
      </c>
      <c r="H2797">
        <v>1136.23</v>
      </c>
      <c r="I2797">
        <v>5.88</v>
      </c>
      <c r="J2797" t="s">
        <v>120</v>
      </c>
      <c r="K2797" t="s">
        <v>8221</v>
      </c>
      <c r="L2797">
        <v>0.69</v>
      </c>
      <c r="M2797">
        <v>7.1</v>
      </c>
      <c r="N2797">
        <v>0.86</v>
      </c>
      <c r="O2797">
        <v>1.97</v>
      </c>
      <c r="P2797">
        <v>7.25</v>
      </c>
      <c r="Q2797">
        <v>-0.56000000000000005</v>
      </c>
      <c r="R2797">
        <v>7.07</v>
      </c>
      <c r="S2797">
        <v>7.08</v>
      </c>
      <c r="T2797">
        <v>15860</v>
      </c>
      <c r="U2797">
        <v>7.12</v>
      </c>
      <c r="V2797">
        <v>7.11</v>
      </c>
      <c r="W2797">
        <v>98.98</v>
      </c>
      <c r="X2797" t="s">
        <v>653</v>
      </c>
      <c r="Y2797" t="s">
        <v>667</v>
      </c>
      <c r="Z2797">
        <v>2.5299999999999998</v>
      </c>
      <c r="AA2797">
        <v>7.16</v>
      </c>
      <c r="AB2797">
        <v>8581</v>
      </c>
      <c r="AC2797">
        <v>7279</v>
      </c>
      <c r="AD2797">
        <v>1.18</v>
      </c>
      <c r="AE2797">
        <v>220</v>
      </c>
      <c r="AF2797">
        <v>55</v>
      </c>
      <c r="AG2797" t="s">
        <v>120</v>
      </c>
      <c r="AH2797">
        <v>0.01</v>
      </c>
      <c r="AI2797" t="s">
        <v>120</v>
      </c>
      <c r="AJ2797">
        <v>2.2999999999999998</v>
      </c>
      <c r="AK2797" t="s">
        <v>8221</v>
      </c>
      <c r="AL2797">
        <v>1.2</v>
      </c>
      <c r="AM2797">
        <v>813</v>
      </c>
      <c r="AN2797">
        <v>20</v>
      </c>
      <c r="AO2797">
        <v>8.0000000000000004E-4</v>
      </c>
      <c r="AP2797">
        <v>-1</v>
      </c>
      <c r="AQ2797">
        <v>0.28000000000000003</v>
      </c>
      <c r="AR2797">
        <v>-0.98</v>
      </c>
      <c r="AS2797">
        <v>6.45</v>
      </c>
      <c r="AT2797">
        <v>-7.55</v>
      </c>
      <c r="AU2797">
        <v>-3.41</v>
      </c>
      <c r="AV2797">
        <v>6</v>
      </c>
      <c r="AW2797">
        <v>1.39</v>
      </c>
      <c r="AX2797">
        <v>49.73</v>
      </c>
      <c r="AY2797">
        <v>105.39</v>
      </c>
      <c r="AZ2797">
        <v>146.71</v>
      </c>
      <c r="BA2797">
        <v>0.83</v>
      </c>
      <c r="BB2797" t="s">
        <v>143</v>
      </c>
      <c r="BF2797">
        <v>0.76</v>
      </c>
      <c r="BG2797">
        <v>0.28000000000000003</v>
      </c>
      <c r="BH2797">
        <v>-2.0699999999999998</v>
      </c>
      <c r="BI2797">
        <v>0.42</v>
      </c>
      <c r="BJ2797">
        <v>20210831</v>
      </c>
      <c r="BK2797">
        <v>20010824</v>
      </c>
      <c r="BL2797">
        <v>2.2999999999999998</v>
      </c>
      <c r="BM2797" t="s">
        <v>120</v>
      </c>
      <c r="BN2797" t="s">
        <v>120</v>
      </c>
      <c r="BO2797">
        <v>6.38</v>
      </c>
      <c r="BP2797">
        <v>7.1</v>
      </c>
      <c r="BQ2797">
        <v>4.29</v>
      </c>
      <c r="BR2797">
        <v>0.89</v>
      </c>
      <c r="BS2797">
        <v>18.920000000000002</v>
      </c>
      <c r="BT2797">
        <v>5.09</v>
      </c>
      <c r="BU2797">
        <v>0.14000000000000001</v>
      </c>
      <c r="BV2797">
        <v>0</v>
      </c>
      <c r="BW2797">
        <v>0.96</v>
      </c>
      <c r="BX2797">
        <v>3.09</v>
      </c>
      <c r="BY2797">
        <v>0.96</v>
      </c>
      <c r="BZ2797">
        <v>0.43</v>
      </c>
      <c r="CA2797" t="s">
        <v>120</v>
      </c>
      <c r="CB2797">
        <v>5.46</v>
      </c>
      <c r="CC2797">
        <v>2.0699999999999998</v>
      </c>
      <c r="CD2797">
        <v>1.36</v>
      </c>
      <c r="CE2797">
        <v>0.22</v>
      </c>
      <c r="CF2797">
        <v>0</v>
      </c>
      <c r="CG2797">
        <v>0.24</v>
      </c>
      <c r="CH2797">
        <v>0.19</v>
      </c>
      <c r="CI2797">
        <v>0.08</v>
      </c>
      <c r="CJ2797">
        <v>-0.01</v>
      </c>
      <c r="CK2797">
        <v>7.0000000000000007E-2</v>
      </c>
      <c r="CL2797">
        <v>-3.85</v>
      </c>
      <c r="CM2797">
        <v>0</v>
      </c>
      <c r="CN2797">
        <v>-2.2400000000000002</v>
      </c>
      <c r="CO2797">
        <v>11394</v>
      </c>
      <c r="CP2797">
        <v>10038</v>
      </c>
      <c r="CQ2797" t="s">
        <v>9936</v>
      </c>
      <c r="CR2797">
        <v>112.65</v>
      </c>
      <c r="CS2797">
        <v>733.68</v>
      </c>
      <c r="CT2797">
        <v>3.81</v>
      </c>
      <c r="CU2797">
        <v>3649.98</v>
      </c>
      <c r="CV2797">
        <v>7.9</v>
      </c>
      <c r="CW2797">
        <v>0</v>
      </c>
      <c r="CX2797" t="s">
        <v>926</v>
      </c>
      <c r="CY2797">
        <v>1.86</v>
      </c>
      <c r="CZ2797">
        <v>0</v>
      </c>
      <c r="DA2797">
        <v>2.38</v>
      </c>
      <c r="DB2797">
        <v>-1.67</v>
      </c>
      <c r="DC2797">
        <v>0</v>
      </c>
      <c r="DD2797">
        <v>67.16</v>
      </c>
      <c r="DE2797" t="s">
        <v>1820</v>
      </c>
      <c r="DF2797">
        <v>33.96</v>
      </c>
      <c r="DG2797">
        <v>10.75</v>
      </c>
      <c r="DH2797">
        <v>3.99</v>
      </c>
      <c r="DI2797" t="s">
        <v>120</v>
      </c>
      <c r="DJ2797">
        <v>479</v>
      </c>
      <c r="DK2797">
        <v>600539</v>
      </c>
      <c r="DL2797" t="s">
        <v>120</v>
      </c>
      <c r="DM2797" t="s">
        <v>120</v>
      </c>
      <c r="DN2797" t="s">
        <v>120</v>
      </c>
    </row>
    <row r="2798" spans="1:118">
      <c r="A2798" t="str">
        <f>"600540"</f>
        <v>600540</v>
      </c>
      <c r="B2798" t="s">
        <v>12502</v>
      </c>
      <c r="C2798">
        <v>10.039999999999999</v>
      </c>
      <c r="D2798">
        <v>0</v>
      </c>
      <c r="E2798">
        <v>1.35</v>
      </c>
      <c r="F2798">
        <v>790</v>
      </c>
      <c r="G2798" t="s">
        <v>12430</v>
      </c>
      <c r="H2798">
        <v>47523.62</v>
      </c>
      <c r="I2798">
        <v>120.54</v>
      </c>
      <c r="J2798">
        <v>1608.6</v>
      </c>
      <c r="K2798" t="s">
        <v>12503</v>
      </c>
      <c r="L2798">
        <v>18.010000000000002</v>
      </c>
      <c r="M2798">
        <v>5.7</v>
      </c>
      <c r="N2798">
        <v>6.68</v>
      </c>
      <c r="O2798">
        <v>10.039999999999999</v>
      </c>
      <c r="P2798">
        <v>5.7</v>
      </c>
      <c r="Q2798">
        <v>0.97</v>
      </c>
      <c r="R2798">
        <v>5.23</v>
      </c>
      <c r="S2798">
        <v>5.25</v>
      </c>
      <c r="T2798">
        <v>847942</v>
      </c>
      <c r="U2798" t="s">
        <v>120</v>
      </c>
      <c r="V2798">
        <v>5.18</v>
      </c>
      <c r="W2798">
        <v>282</v>
      </c>
      <c r="X2798" t="s">
        <v>1700</v>
      </c>
      <c r="Y2798" t="s">
        <v>609</v>
      </c>
      <c r="Z2798">
        <v>9.07</v>
      </c>
      <c r="AA2798">
        <v>5.6</v>
      </c>
      <c r="AB2798">
        <v>489659</v>
      </c>
      <c r="AC2798">
        <v>358283</v>
      </c>
      <c r="AD2798">
        <v>1.37</v>
      </c>
      <c r="AE2798">
        <v>28221</v>
      </c>
      <c r="AF2798">
        <v>0</v>
      </c>
      <c r="AG2798" t="s">
        <v>120</v>
      </c>
      <c r="AH2798">
        <v>0.08</v>
      </c>
      <c r="AI2798">
        <v>0.03</v>
      </c>
      <c r="AJ2798">
        <v>4.71</v>
      </c>
      <c r="AK2798" t="s">
        <v>12503</v>
      </c>
      <c r="AL2798">
        <v>11.38</v>
      </c>
      <c r="AM2798">
        <v>3793</v>
      </c>
      <c r="AN2798">
        <v>224</v>
      </c>
      <c r="AO2798">
        <v>4.7000000000000002E-3</v>
      </c>
      <c r="AP2798">
        <v>2</v>
      </c>
      <c r="AQ2798">
        <v>1.77</v>
      </c>
      <c r="AR2798">
        <v>8.16</v>
      </c>
      <c r="AS2798">
        <v>5.95</v>
      </c>
      <c r="AT2798">
        <v>14.92</v>
      </c>
      <c r="AU2798">
        <v>4.0199999999999996</v>
      </c>
      <c r="AV2798">
        <v>10</v>
      </c>
      <c r="AW2798">
        <v>31.14</v>
      </c>
      <c r="AX2798">
        <v>57.83</v>
      </c>
      <c r="AY2798">
        <v>218.75</v>
      </c>
      <c r="AZ2798">
        <v>277.64</v>
      </c>
      <c r="BA2798">
        <v>0.47</v>
      </c>
      <c r="BB2798" t="s">
        <v>143</v>
      </c>
      <c r="BF2798">
        <v>8.1999999999999993</v>
      </c>
      <c r="BG2798">
        <v>8.57</v>
      </c>
      <c r="BH2798">
        <v>0</v>
      </c>
      <c r="BI2798">
        <v>8.99</v>
      </c>
      <c r="BJ2798">
        <v>20210821</v>
      </c>
      <c r="BK2798">
        <v>20040107</v>
      </c>
      <c r="BL2798">
        <v>4.71</v>
      </c>
      <c r="BM2798" t="s">
        <v>120</v>
      </c>
      <c r="BN2798" t="s">
        <v>120</v>
      </c>
      <c r="BO2798">
        <v>14.25</v>
      </c>
      <c r="BP2798">
        <v>5.7</v>
      </c>
      <c r="BQ2798">
        <v>6.76</v>
      </c>
      <c r="BR2798">
        <v>-0.06</v>
      </c>
      <c r="BS2798">
        <v>53.01</v>
      </c>
      <c r="BT2798">
        <v>5.71</v>
      </c>
      <c r="BU2798">
        <v>3.76</v>
      </c>
      <c r="BV2798">
        <v>1.1200000000000001</v>
      </c>
      <c r="BW2798">
        <v>7.18</v>
      </c>
      <c r="BX2798">
        <v>2.61</v>
      </c>
      <c r="BY2798">
        <v>1.21</v>
      </c>
      <c r="BZ2798">
        <v>0.21</v>
      </c>
      <c r="CA2798" t="s">
        <v>120</v>
      </c>
      <c r="CB2798">
        <v>8</v>
      </c>
      <c r="CC2798">
        <v>6.42</v>
      </c>
      <c r="CD2798">
        <v>6.15</v>
      </c>
      <c r="CE2798">
        <v>0.05</v>
      </c>
      <c r="CF2798">
        <v>0.22</v>
      </c>
      <c r="CG2798">
        <v>0.05</v>
      </c>
      <c r="CH2798">
        <v>0.05</v>
      </c>
      <c r="CI2798">
        <v>0.05</v>
      </c>
      <c r="CJ2798">
        <v>0.52</v>
      </c>
      <c r="CK2798">
        <v>0.06</v>
      </c>
      <c r="CL2798">
        <v>-6.37</v>
      </c>
      <c r="CM2798">
        <v>3.98</v>
      </c>
      <c r="CN2798">
        <v>1.65</v>
      </c>
      <c r="CO2798">
        <v>45644</v>
      </c>
      <c r="CP2798">
        <v>5966</v>
      </c>
      <c r="CQ2798" t="s">
        <v>1712</v>
      </c>
      <c r="CR2798">
        <v>98.77</v>
      </c>
      <c r="CS2798">
        <v>102.83</v>
      </c>
      <c r="CT2798">
        <v>3.97</v>
      </c>
      <c r="CU2798">
        <v>6.75</v>
      </c>
      <c r="CV2798">
        <v>4.18</v>
      </c>
      <c r="CW2798">
        <v>0</v>
      </c>
      <c r="CX2798" t="s">
        <v>178</v>
      </c>
      <c r="CY2798">
        <v>1.43</v>
      </c>
      <c r="CZ2798">
        <v>0</v>
      </c>
      <c r="DA2798">
        <v>1.7</v>
      </c>
      <c r="DB2798">
        <v>-1.35</v>
      </c>
      <c r="DC2798">
        <v>0.84</v>
      </c>
      <c r="DD2798">
        <v>47.43</v>
      </c>
      <c r="DE2798" t="s">
        <v>759</v>
      </c>
      <c r="DF2798">
        <v>4.26</v>
      </c>
      <c r="DG2798">
        <v>0.79</v>
      </c>
      <c r="DH2798">
        <v>0.74</v>
      </c>
      <c r="DI2798">
        <v>0</v>
      </c>
      <c r="DJ2798">
        <v>598</v>
      </c>
      <c r="DK2798">
        <v>600540</v>
      </c>
      <c r="DL2798" t="s">
        <v>120</v>
      </c>
      <c r="DM2798" t="s">
        <v>120</v>
      </c>
      <c r="DN2798" t="s">
        <v>120</v>
      </c>
    </row>
    <row r="2799" spans="1:118">
      <c r="A2799" t="str">
        <f>"600543"</f>
        <v>600543</v>
      </c>
      <c r="B2799" t="s">
        <v>12504</v>
      </c>
      <c r="C2799">
        <v>0.14000000000000001</v>
      </c>
      <c r="D2799">
        <v>0</v>
      </c>
      <c r="E2799">
        <v>-1.22</v>
      </c>
      <c r="F2799">
        <v>1163</v>
      </c>
      <c r="G2799" t="s">
        <v>12505</v>
      </c>
      <c r="H2799">
        <v>12786.87</v>
      </c>
      <c r="I2799">
        <v>154.57</v>
      </c>
      <c r="J2799" t="s">
        <v>120</v>
      </c>
      <c r="K2799" t="s">
        <v>8058</v>
      </c>
      <c r="L2799">
        <v>5.32</v>
      </c>
      <c r="M2799">
        <v>7.36</v>
      </c>
      <c r="N2799">
        <v>2.2200000000000002</v>
      </c>
      <c r="O2799">
        <v>5.71</v>
      </c>
      <c r="P2799">
        <v>7.77</v>
      </c>
      <c r="Q2799">
        <v>-1.63</v>
      </c>
      <c r="R2799">
        <v>7.23</v>
      </c>
      <c r="S2799">
        <v>7.26</v>
      </c>
      <c r="T2799">
        <v>170941</v>
      </c>
      <c r="U2799">
        <v>7.37</v>
      </c>
      <c r="V2799">
        <v>7.35</v>
      </c>
      <c r="W2799" t="s">
        <v>120</v>
      </c>
      <c r="X2799" t="s">
        <v>2247</v>
      </c>
      <c r="Y2799" t="s">
        <v>1082</v>
      </c>
      <c r="Z2799">
        <v>7.35</v>
      </c>
      <c r="AA2799">
        <v>7.48</v>
      </c>
      <c r="AB2799">
        <v>90018</v>
      </c>
      <c r="AC2799">
        <v>80923</v>
      </c>
      <c r="AD2799">
        <v>1.1100000000000001</v>
      </c>
      <c r="AE2799">
        <v>293</v>
      </c>
      <c r="AF2799">
        <v>467</v>
      </c>
      <c r="AG2799" t="s">
        <v>120</v>
      </c>
      <c r="AH2799">
        <v>0.1</v>
      </c>
      <c r="AI2799" t="s">
        <v>120</v>
      </c>
      <c r="AJ2799">
        <v>3.21</v>
      </c>
      <c r="AK2799" t="s">
        <v>8058</v>
      </c>
      <c r="AL2799">
        <v>1.48</v>
      </c>
      <c r="AM2799">
        <v>2989</v>
      </c>
      <c r="AN2799">
        <v>57</v>
      </c>
      <c r="AO2799">
        <v>1.8E-3</v>
      </c>
      <c r="AP2799">
        <v>3</v>
      </c>
      <c r="AQ2799">
        <v>2.65</v>
      </c>
      <c r="AR2799">
        <v>2.93</v>
      </c>
      <c r="AS2799">
        <v>5.14</v>
      </c>
      <c r="AT2799">
        <v>-9.14</v>
      </c>
      <c r="AU2799">
        <v>-22.6</v>
      </c>
      <c r="AV2799">
        <v>10</v>
      </c>
      <c r="AW2799">
        <v>8.16</v>
      </c>
      <c r="AX2799">
        <v>65.27</v>
      </c>
      <c r="AY2799" t="s">
        <v>120</v>
      </c>
      <c r="AZ2799">
        <v>1269.21</v>
      </c>
      <c r="BA2799">
        <v>1.32</v>
      </c>
      <c r="BB2799" t="s">
        <v>700</v>
      </c>
      <c r="BF2799">
        <v>1.77</v>
      </c>
      <c r="BG2799">
        <v>1.38</v>
      </c>
      <c r="BH2799">
        <v>-5.28</v>
      </c>
      <c r="BI2799">
        <v>1.8</v>
      </c>
      <c r="BJ2799">
        <v>20210828</v>
      </c>
      <c r="BK2799">
        <v>20040324</v>
      </c>
      <c r="BL2799">
        <v>3.21</v>
      </c>
      <c r="BM2799" t="s">
        <v>120</v>
      </c>
      <c r="BN2799" t="s">
        <v>120</v>
      </c>
      <c r="BO2799">
        <v>12.38</v>
      </c>
      <c r="BP2799">
        <v>7.36</v>
      </c>
      <c r="BQ2799">
        <v>11.57</v>
      </c>
      <c r="BR2799">
        <v>-0.2</v>
      </c>
      <c r="BS2799">
        <v>8.17</v>
      </c>
      <c r="BT2799">
        <v>4.43</v>
      </c>
      <c r="BU2799">
        <v>6.91</v>
      </c>
      <c r="BV2799">
        <v>0.27</v>
      </c>
      <c r="BW2799">
        <v>0.75</v>
      </c>
      <c r="BX2799">
        <v>2.27</v>
      </c>
      <c r="BY2799">
        <v>1.26</v>
      </c>
      <c r="BZ2799">
        <v>0.56999999999999995</v>
      </c>
      <c r="CA2799">
        <v>0.02</v>
      </c>
      <c r="CB2799">
        <v>4.66</v>
      </c>
      <c r="CC2799">
        <v>0.63</v>
      </c>
      <c r="CD2799">
        <v>0.35</v>
      </c>
      <c r="CE2799">
        <v>-0.18</v>
      </c>
      <c r="CF2799">
        <v>0</v>
      </c>
      <c r="CG2799">
        <v>-0.18</v>
      </c>
      <c r="CH2799">
        <v>-0.17</v>
      </c>
      <c r="CI2799">
        <v>-0.16</v>
      </c>
      <c r="CJ2799">
        <v>0.01</v>
      </c>
      <c r="CK2799">
        <v>-0.16</v>
      </c>
      <c r="CL2799">
        <v>2.36</v>
      </c>
      <c r="CM2799">
        <v>0.02</v>
      </c>
      <c r="CN2799">
        <v>0</v>
      </c>
      <c r="CO2799">
        <v>45943</v>
      </c>
      <c r="CP2799">
        <v>4562</v>
      </c>
      <c r="CQ2799" t="s">
        <v>6056</v>
      </c>
      <c r="CR2799">
        <v>-67.5</v>
      </c>
      <c r="CS2799">
        <v>73.75</v>
      </c>
      <c r="CT2799">
        <v>2.04</v>
      </c>
      <c r="CU2799">
        <v>1407.06</v>
      </c>
      <c r="CV2799">
        <v>37.450000000000003</v>
      </c>
      <c r="CW2799">
        <v>0</v>
      </c>
      <c r="CX2799" t="s">
        <v>161</v>
      </c>
      <c r="CY2799">
        <v>3.6</v>
      </c>
      <c r="CZ2799">
        <v>0</v>
      </c>
      <c r="DA2799">
        <v>1.45</v>
      </c>
      <c r="DB2799">
        <v>0.74</v>
      </c>
      <c r="DC2799">
        <v>0.01</v>
      </c>
      <c r="DD2799">
        <v>93.41</v>
      </c>
      <c r="DE2799" t="s">
        <v>5845</v>
      </c>
      <c r="DF2799">
        <v>44.93</v>
      </c>
      <c r="DG2799">
        <v>-29.12</v>
      </c>
      <c r="DH2799">
        <v>-24.88</v>
      </c>
      <c r="DI2799">
        <v>0</v>
      </c>
      <c r="DJ2799">
        <v>589</v>
      </c>
      <c r="DK2799">
        <v>600543</v>
      </c>
      <c r="DL2799" t="s">
        <v>120</v>
      </c>
      <c r="DM2799" t="s">
        <v>120</v>
      </c>
      <c r="DN2799" t="s">
        <v>120</v>
      </c>
    </row>
    <row r="2800" spans="1:118">
      <c r="A2800" t="str">
        <f>"600545"</f>
        <v>600545</v>
      </c>
      <c r="B2800" t="s">
        <v>12506</v>
      </c>
      <c r="C2800">
        <v>-2.41</v>
      </c>
      <c r="D2800">
        <v>-0.34</v>
      </c>
      <c r="E2800">
        <v>0</v>
      </c>
      <c r="F2800">
        <v>360</v>
      </c>
      <c r="G2800" t="s">
        <v>1430</v>
      </c>
      <c r="H2800">
        <v>2856.77</v>
      </c>
      <c r="I2800">
        <v>23.14</v>
      </c>
      <c r="J2800" t="s">
        <v>120</v>
      </c>
      <c r="K2800" t="s">
        <v>10314</v>
      </c>
      <c r="L2800">
        <v>0.52</v>
      </c>
      <c r="M2800">
        <v>2.83</v>
      </c>
      <c r="N2800">
        <v>0.81</v>
      </c>
      <c r="O2800">
        <v>1.03</v>
      </c>
      <c r="P2800">
        <v>2.93</v>
      </c>
      <c r="Q2800">
        <v>-2.76</v>
      </c>
      <c r="R2800">
        <v>2.82</v>
      </c>
      <c r="S2800">
        <v>2.9</v>
      </c>
      <c r="T2800">
        <v>99201</v>
      </c>
      <c r="U2800">
        <v>2.84</v>
      </c>
      <c r="V2800">
        <v>2.9</v>
      </c>
      <c r="W2800" t="s">
        <v>120</v>
      </c>
      <c r="X2800" t="s">
        <v>3820</v>
      </c>
      <c r="Y2800" t="s">
        <v>609</v>
      </c>
      <c r="Z2800">
        <v>3.79</v>
      </c>
      <c r="AA2800">
        <v>2.88</v>
      </c>
      <c r="AB2800">
        <v>63977</v>
      </c>
      <c r="AC2800">
        <v>35224</v>
      </c>
      <c r="AD2800">
        <v>1.82</v>
      </c>
      <c r="AE2800">
        <v>1562</v>
      </c>
      <c r="AF2800">
        <v>1358</v>
      </c>
      <c r="AG2800" t="s">
        <v>120</v>
      </c>
      <c r="AH2800">
        <v>0.01</v>
      </c>
      <c r="AI2800" t="s">
        <v>120</v>
      </c>
      <c r="AJ2800">
        <v>18.95</v>
      </c>
      <c r="AK2800" t="s">
        <v>10314</v>
      </c>
      <c r="AL2800">
        <v>-1.07</v>
      </c>
      <c r="AM2800">
        <v>1801</v>
      </c>
      <c r="AN2800">
        <v>55</v>
      </c>
      <c r="AO2800">
        <v>2.9999999999999997E-4</v>
      </c>
      <c r="AP2800">
        <v>-1</v>
      </c>
      <c r="AQ2800">
        <v>2.11</v>
      </c>
      <c r="AR2800">
        <v>-4.07</v>
      </c>
      <c r="AS2800">
        <v>7.61</v>
      </c>
      <c r="AT2800">
        <v>-13.45</v>
      </c>
      <c r="AU2800">
        <v>-19.14</v>
      </c>
      <c r="AV2800">
        <v>4</v>
      </c>
      <c r="AW2800">
        <v>1.1000000000000001</v>
      </c>
      <c r="AX2800">
        <v>47.39</v>
      </c>
      <c r="AY2800" t="s">
        <v>120</v>
      </c>
      <c r="AZ2800" t="s">
        <v>120</v>
      </c>
      <c r="BA2800">
        <v>1.34</v>
      </c>
      <c r="BB2800" t="s">
        <v>184</v>
      </c>
      <c r="BF2800">
        <v>-0.7</v>
      </c>
      <c r="BG2800">
        <v>-2.41</v>
      </c>
      <c r="BH2800">
        <v>-3.41</v>
      </c>
      <c r="BI2800">
        <v>0.35</v>
      </c>
      <c r="BJ2800">
        <v>20210828</v>
      </c>
      <c r="BK2800">
        <v>20031203</v>
      </c>
      <c r="BL2800">
        <v>18.95</v>
      </c>
      <c r="BM2800" t="s">
        <v>120</v>
      </c>
      <c r="BN2800" t="s">
        <v>120</v>
      </c>
      <c r="BO2800">
        <v>125.21</v>
      </c>
      <c r="BP2800">
        <v>2.83</v>
      </c>
      <c r="BQ2800">
        <v>37.86</v>
      </c>
      <c r="BR2800">
        <v>11.34</v>
      </c>
      <c r="BS2800">
        <v>60.71</v>
      </c>
      <c r="BT2800">
        <v>69.180000000000007</v>
      </c>
      <c r="BU2800">
        <v>11.53</v>
      </c>
      <c r="BV2800">
        <v>10.58</v>
      </c>
      <c r="BW2800">
        <v>64.27</v>
      </c>
      <c r="BX2800">
        <v>3.82</v>
      </c>
      <c r="BY2800">
        <v>14.01</v>
      </c>
      <c r="BZ2800">
        <v>43.07</v>
      </c>
      <c r="CA2800" t="s">
        <v>120</v>
      </c>
      <c r="CB2800">
        <v>15.8</v>
      </c>
      <c r="CC2800">
        <v>24.97</v>
      </c>
      <c r="CD2800">
        <v>20.09</v>
      </c>
      <c r="CE2800">
        <v>-0.11</v>
      </c>
      <c r="CF2800">
        <v>0</v>
      </c>
      <c r="CG2800">
        <v>-0.1</v>
      </c>
      <c r="CH2800">
        <v>-0.5</v>
      </c>
      <c r="CI2800">
        <v>-0.52</v>
      </c>
      <c r="CJ2800">
        <v>-7.0000000000000007E-2</v>
      </c>
      <c r="CK2800">
        <v>-0.54</v>
      </c>
      <c r="CL2800">
        <v>9.1</v>
      </c>
      <c r="CM2800">
        <v>4.03</v>
      </c>
      <c r="CN2800">
        <v>0.77</v>
      </c>
      <c r="CO2800">
        <v>69387</v>
      </c>
      <c r="CP2800">
        <v>12944</v>
      </c>
      <c r="CQ2800" t="s">
        <v>3032</v>
      </c>
      <c r="CR2800">
        <v>52.78</v>
      </c>
      <c r="CS2800">
        <v>11.11</v>
      </c>
      <c r="CT2800">
        <v>1.42</v>
      </c>
      <c r="CU2800">
        <v>13.3</v>
      </c>
      <c r="CV2800">
        <v>2.15</v>
      </c>
      <c r="CW2800">
        <v>0</v>
      </c>
      <c r="CX2800" t="s">
        <v>479</v>
      </c>
      <c r="CY2800">
        <v>2</v>
      </c>
      <c r="CZ2800">
        <v>0</v>
      </c>
      <c r="DA2800">
        <v>0.83</v>
      </c>
      <c r="DB2800">
        <v>0.48</v>
      </c>
      <c r="DC2800">
        <v>0.21</v>
      </c>
      <c r="DD2800">
        <v>30.23</v>
      </c>
      <c r="DE2800" t="s">
        <v>12507</v>
      </c>
      <c r="DF2800">
        <v>19.53</v>
      </c>
      <c r="DG2800">
        <v>-0.46</v>
      </c>
      <c r="DH2800">
        <v>-2.1</v>
      </c>
      <c r="DI2800">
        <v>1.77</v>
      </c>
      <c r="DJ2800">
        <v>4453</v>
      </c>
      <c r="DK2800">
        <v>600545</v>
      </c>
      <c r="DL2800" t="s">
        <v>120</v>
      </c>
      <c r="DM2800" t="s">
        <v>120</v>
      </c>
      <c r="DN2800" t="s">
        <v>120</v>
      </c>
    </row>
    <row r="2801" spans="1:118">
      <c r="A2801" t="str">
        <f>"600546"</f>
        <v>600546</v>
      </c>
      <c r="B2801" t="s">
        <v>12508</v>
      </c>
      <c r="C2801">
        <v>-2.4</v>
      </c>
      <c r="D2801">
        <v>7.0000000000000007E-2</v>
      </c>
      <c r="E2801">
        <v>5.93</v>
      </c>
      <c r="F2801">
        <v>5189</v>
      </c>
      <c r="G2801" t="s">
        <v>12509</v>
      </c>
      <c r="H2801">
        <v>171462.23</v>
      </c>
      <c r="I2801">
        <v>4893</v>
      </c>
      <c r="J2801" t="s">
        <v>120</v>
      </c>
      <c r="K2801" t="s">
        <v>12510</v>
      </c>
      <c r="L2801">
        <v>6.11</v>
      </c>
      <c r="M2801">
        <v>13.82</v>
      </c>
      <c r="N2801">
        <v>1.1100000000000001</v>
      </c>
      <c r="O2801">
        <v>6.57</v>
      </c>
      <c r="P2801">
        <v>15.09</v>
      </c>
      <c r="Q2801">
        <v>-5.16</v>
      </c>
      <c r="R2801">
        <v>13.43</v>
      </c>
      <c r="S2801">
        <v>15</v>
      </c>
      <c r="T2801">
        <v>1211182</v>
      </c>
      <c r="U2801">
        <v>13.83</v>
      </c>
      <c r="V2801">
        <v>14.16</v>
      </c>
      <c r="W2801">
        <v>16.190000000000001</v>
      </c>
      <c r="X2801" t="s">
        <v>1081</v>
      </c>
      <c r="Y2801" t="s">
        <v>667</v>
      </c>
      <c r="Z2801">
        <v>11.72</v>
      </c>
      <c r="AA2801">
        <v>14.16</v>
      </c>
      <c r="AB2801">
        <v>570719</v>
      </c>
      <c r="AC2801">
        <v>640463</v>
      </c>
      <c r="AD2801">
        <v>0.89</v>
      </c>
      <c r="AE2801">
        <v>154</v>
      </c>
      <c r="AF2801">
        <v>158</v>
      </c>
      <c r="AG2801" t="s">
        <v>120</v>
      </c>
      <c r="AH2801">
        <v>0.42</v>
      </c>
      <c r="AI2801" t="s">
        <v>120</v>
      </c>
      <c r="AJ2801">
        <v>19.82</v>
      </c>
      <c r="AK2801" t="s">
        <v>12510</v>
      </c>
      <c r="AL2801">
        <v>-1.06</v>
      </c>
      <c r="AM2801">
        <v>4620</v>
      </c>
      <c r="AN2801">
        <v>262</v>
      </c>
      <c r="AO2801">
        <v>1.2999999999999999E-3</v>
      </c>
      <c r="AP2801">
        <v>-3</v>
      </c>
      <c r="AQ2801">
        <v>-3.08</v>
      </c>
      <c r="AR2801">
        <v>-8.7200000000000006</v>
      </c>
      <c r="AS2801">
        <v>85.01</v>
      </c>
      <c r="AT2801">
        <v>73.53</v>
      </c>
      <c r="AU2801">
        <v>63.66</v>
      </c>
      <c r="AV2801">
        <v>8</v>
      </c>
      <c r="AW2801">
        <v>15.44</v>
      </c>
      <c r="AX2801">
        <v>39.57</v>
      </c>
      <c r="AY2801">
        <v>22.87</v>
      </c>
      <c r="AZ2801">
        <v>33.96</v>
      </c>
      <c r="BA2801">
        <v>1.1599999999999999</v>
      </c>
      <c r="BB2801" t="s">
        <v>125</v>
      </c>
      <c r="BF2801">
        <v>-0.02</v>
      </c>
      <c r="BG2801">
        <v>-7.87</v>
      </c>
      <c r="BH2801">
        <v>-8.42</v>
      </c>
      <c r="BI2801">
        <v>2.9</v>
      </c>
      <c r="BJ2801">
        <v>20210828</v>
      </c>
      <c r="BK2801">
        <v>20030731</v>
      </c>
      <c r="BL2801">
        <v>19.82</v>
      </c>
      <c r="BM2801" t="s">
        <v>120</v>
      </c>
      <c r="BN2801" t="s">
        <v>120</v>
      </c>
      <c r="BO2801">
        <v>444.98</v>
      </c>
      <c r="BP2801">
        <v>13.82</v>
      </c>
      <c r="BQ2801">
        <v>99.98</v>
      </c>
      <c r="BR2801">
        <v>20.8</v>
      </c>
      <c r="BS2801">
        <v>72.86</v>
      </c>
      <c r="BT2801">
        <v>146.69999999999999</v>
      </c>
      <c r="BU2801">
        <v>145.43</v>
      </c>
      <c r="BV2801">
        <v>62.46</v>
      </c>
      <c r="BW2801">
        <v>193.86</v>
      </c>
      <c r="BX2801">
        <v>89</v>
      </c>
      <c r="BY2801">
        <v>15.84</v>
      </c>
      <c r="BZ2801">
        <v>22.81</v>
      </c>
      <c r="CA2801">
        <v>0.1</v>
      </c>
      <c r="CB2801">
        <v>33.520000000000003</v>
      </c>
      <c r="CC2801">
        <v>175.42</v>
      </c>
      <c r="CD2801">
        <v>129.13999999999999</v>
      </c>
      <c r="CE2801">
        <v>21.13</v>
      </c>
      <c r="CF2801">
        <v>0.17</v>
      </c>
      <c r="CG2801">
        <v>20.46</v>
      </c>
      <c r="CH2801">
        <v>12.53</v>
      </c>
      <c r="CI2801">
        <v>8.4600000000000009</v>
      </c>
      <c r="CJ2801">
        <v>-0.34</v>
      </c>
      <c r="CK2801">
        <v>8.73</v>
      </c>
      <c r="CL2801">
        <v>19.670000000000002</v>
      </c>
      <c r="CM2801">
        <v>34.479999999999997</v>
      </c>
      <c r="CN2801">
        <v>32.630000000000003</v>
      </c>
      <c r="CO2801">
        <v>88378</v>
      </c>
      <c r="CP2801">
        <v>8876</v>
      </c>
      <c r="CQ2801" t="s">
        <v>4151</v>
      </c>
      <c r="CR2801">
        <v>90.04</v>
      </c>
      <c r="CS2801">
        <v>-2.56</v>
      </c>
      <c r="CT2801">
        <v>3.43</v>
      </c>
      <c r="CU2801">
        <v>7.95</v>
      </c>
      <c r="CV2801">
        <v>1.56</v>
      </c>
      <c r="CW2801">
        <v>0.47</v>
      </c>
      <c r="CX2801" t="s">
        <v>1462</v>
      </c>
      <c r="CY2801">
        <v>4.03</v>
      </c>
      <c r="CZ2801">
        <v>4.03</v>
      </c>
      <c r="DA2801">
        <v>1.69</v>
      </c>
      <c r="DB2801">
        <v>0.99</v>
      </c>
      <c r="DC2801">
        <v>1.74</v>
      </c>
      <c r="DD2801">
        <v>22.47</v>
      </c>
      <c r="DE2801" t="s">
        <v>3994</v>
      </c>
      <c r="DF2801">
        <v>26.38</v>
      </c>
      <c r="DG2801">
        <v>12.05</v>
      </c>
      <c r="DH2801">
        <v>4.82</v>
      </c>
      <c r="DI2801">
        <v>0.56999999999999995</v>
      </c>
      <c r="DJ2801">
        <v>13401</v>
      </c>
      <c r="DK2801">
        <v>600546</v>
      </c>
      <c r="DL2801">
        <v>20210826</v>
      </c>
      <c r="DM2801">
        <v>9.15</v>
      </c>
      <c r="DN2801">
        <v>51.04</v>
      </c>
    </row>
    <row r="2802" spans="1:118">
      <c r="A2802" t="str">
        <f>"600547"</f>
        <v>600547</v>
      </c>
      <c r="B2802" t="s">
        <v>12511</v>
      </c>
      <c r="C2802">
        <v>-1.31</v>
      </c>
      <c r="D2802">
        <v>-0.08</v>
      </c>
      <c r="E2802">
        <v>0</v>
      </c>
      <c r="F2802">
        <v>4848</v>
      </c>
      <c r="G2802" t="s">
        <v>12512</v>
      </c>
      <c r="H2802">
        <v>105015.17</v>
      </c>
      <c r="I2802">
        <v>763.52</v>
      </c>
      <c r="J2802" t="s">
        <v>120</v>
      </c>
      <c r="K2802" t="s">
        <v>12513</v>
      </c>
      <c r="L2802">
        <v>1.39</v>
      </c>
      <c r="M2802">
        <v>21.03</v>
      </c>
      <c r="N2802">
        <v>0.67</v>
      </c>
      <c r="O2802">
        <v>2.67</v>
      </c>
      <c r="P2802">
        <v>21.88</v>
      </c>
      <c r="Q2802">
        <v>-1.45</v>
      </c>
      <c r="R2802">
        <v>21</v>
      </c>
      <c r="S2802">
        <v>21.31</v>
      </c>
      <c r="T2802">
        <v>490454</v>
      </c>
      <c r="U2802">
        <v>21.04</v>
      </c>
      <c r="V2802">
        <v>21.31</v>
      </c>
      <c r="W2802" t="s">
        <v>120</v>
      </c>
      <c r="X2802" t="s">
        <v>855</v>
      </c>
      <c r="Y2802" t="s">
        <v>638</v>
      </c>
      <c r="Z2802">
        <v>4.13</v>
      </c>
      <c r="AA2802">
        <v>21.41</v>
      </c>
      <c r="AB2802">
        <v>229976</v>
      </c>
      <c r="AC2802">
        <v>260478</v>
      </c>
      <c r="AD2802">
        <v>0.88</v>
      </c>
      <c r="AE2802">
        <v>3199</v>
      </c>
      <c r="AF2802">
        <v>125</v>
      </c>
      <c r="AG2802" t="s">
        <v>120</v>
      </c>
      <c r="AH2802">
        <v>0.02</v>
      </c>
      <c r="AI2802" t="s">
        <v>120</v>
      </c>
      <c r="AJ2802">
        <v>35.36</v>
      </c>
      <c r="AK2802" t="s">
        <v>12514</v>
      </c>
      <c r="AL2802">
        <v>0.03</v>
      </c>
      <c r="AM2802">
        <v>4545</v>
      </c>
      <c r="AN2802">
        <v>108</v>
      </c>
      <c r="AO2802">
        <v>2.9999999999999997E-4</v>
      </c>
      <c r="AP2802">
        <v>-1</v>
      </c>
      <c r="AQ2802">
        <v>0.28000000000000003</v>
      </c>
      <c r="AR2802">
        <v>-3.22</v>
      </c>
      <c r="AS2802">
        <v>19.82</v>
      </c>
      <c r="AT2802">
        <v>8.91</v>
      </c>
      <c r="AU2802">
        <v>-10.78</v>
      </c>
      <c r="AV2802">
        <v>0</v>
      </c>
      <c r="AW2802">
        <v>3.06</v>
      </c>
      <c r="AX2802">
        <v>44.29</v>
      </c>
      <c r="AY2802" t="s">
        <v>120</v>
      </c>
      <c r="AZ2802">
        <v>42.23</v>
      </c>
      <c r="BA2802">
        <v>0.28999999999999998</v>
      </c>
      <c r="BB2802" t="s">
        <v>184</v>
      </c>
      <c r="BF2802">
        <v>0.48</v>
      </c>
      <c r="BG2802">
        <v>-1.31</v>
      </c>
      <c r="BH2802">
        <v>-3.88</v>
      </c>
      <c r="BI2802">
        <v>0.14000000000000001</v>
      </c>
      <c r="BJ2802">
        <v>20210827</v>
      </c>
      <c r="BK2802">
        <v>20030828</v>
      </c>
      <c r="BL2802">
        <v>44.73</v>
      </c>
      <c r="BM2802" t="s">
        <v>120</v>
      </c>
      <c r="BN2802">
        <v>8.59</v>
      </c>
      <c r="BO2802">
        <v>698.76</v>
      </c>
      <c r="BP2802">
        <v>21.03</v>
      </c>
      <c r="BQ2802">
        <v>293.61</v>
      </c>
      <c r="BR2802">
        <v>27.01</v>
      </c>
      <c r="BS2802">
        <v>54.12</v>
      </c>
      <c r="BT2802">
        <v>125.98</v>
      </c>
      <c r="BU2802">
        <v>248.88</v>
      </c>
      <c r="BV2802">
        <v>153.51</v>
      </c>
      <c r="BW2802">
        <v>301.19</v>
      </c>
      <c r="BX2802">
        <v>43.26</v>
      </c>
      <c r="BY2802">
        <v>34.090000000000003</v>
      </c>
      <c r="BZ2802">
        <v>1.78</v>
      </c>
      <c r="CA2802" t="s">
        <v>120</v>
      </c>
      <c r="CB2802">
        <v>83.29</v>
      </c>
      <c r="CC2802">
        <v>118.68</v>
      </c>
      <c r="CD2802">
        <v>112.2</v>
      </c>
      <c r="CE2802">
        <v>-13.09</v>
      </c>
      <c r="CF2802">
        <v>2.46</v>
      </c>
      <c r="CG2802">
        <v>-13.12</v>
      </c>
      <c r="CH2802">
        <v>-14.32</v>
      </c>
      <c r="CI2802">
        <v>-13.63</v>
      </c>
      <c r="CJ2802">
        <v>-0.28000000000000003</v>
      </c>
      <c r="CK2802">
        <v>-13.66</v>
      </c>
      <c r="CL2802">
        <v>119.58</v>
      </c>
      <c r="CM2802">
        <v>4.75</v>
      </c>
      <c r="CN2802">
        <v>10.25</v>
      </c>
      <c r="CO2802">
        <v>263191</v>
      </c>
      <c r="CP2802">
        <v>6083</v>
      </c>
      <c r="CQ2802" t="s">
        <v>12515</v>
      </c>
      <c r="CR2802">
        <v>-218.25</v>
      </c>
      <c r="CS2802">
        <v>-64.09</v>
      </c>
      <c r="CT2802">
        <v>3.71</v>
      </c>
      <c r="CU2802">
        <v>197.9</v>
      </c>
      <c r="CV2802">
        <v>7.93</v>
      </c>
      <c r="CW2802">
        <v>0.23</v>
      </c>
      <c r="CX2802" t="s">
        <v>6127</v>
      </c>
      <c r="CY2802">
        <v>5.67</v>
      </c>
      <c r="CZ2802">
        <v>5.67</v>
      </c>
      <c r="DA2802">
        <v>1.86</v>
      </c>
      <c r="DB2802">
        <v>2.67</v>
      </c>
      <c r="DC2802">
        <v>0.11</v>
      </c>
      <c r="DD2802">
        <v>42.02</v>
      </c>
      <c r="DE2802" t="s">
        <v>12516</v>
      </c>
      <c r="DF2802">
        <v>5.46</v>
      </c>
      <c r="DG2802">
        <v>-11.03</v>
      </c>
      <c r="DH2802">
        <v>-11.49</v>
      </c>
      <c r="DI2802">
        <v>1.19</v>
      </c>
      <c r="DJ2802">
        <v>15770</v>
      </c>
      <c r="DK2802">
        <v>600547</v>
      </c>
      <c r="DL2802" t="s">
        <v>120</v>
      </c>
      <c r="DM2802" t="s">
        <v>120</v>
      </c>
      <c r="DN2802" t="s">
        <v>120</v>
      </c>
    </row>
    <row r="2803" spans="1:118">
      <c r="A2803" t="str">
        <f>"600548"</f>
        <v>600548</v>
      </c>
      <c r="B2803" t="s">
        <v>12517</v>
      </c>
      <c r="C2803">
        <v>-1.96</v>
      </c>
      <c r="D2803">
        <v>-0.1</v>
      </c>
      <c r="E2803">
        <v>0.44</v>
      </c>
      <c r="F2803">
        <v>546</v>
      </c>
      <c r="G2803" t="s">
        <v>12518</v>
      </c>
      <c r="H2803">
        <v>4800.37</v>
      </c>
      <c r="I2803">
        <v>36.880000000000003</v>
      </c>
      <c r="J2803" t="s">
        <v>120</v>
      </c>
      <c r="K2803" t="s">
        <v>12519</v>
      </c>
      <c r="L2803">
        <v>0.37</v>
      </c>
      <c r="M2803">
        <v>9</v>
      </c>
      <c r="N2803">
        <v>0.96</v>
      </c>
      <c r="O2803">
        <v>1.74</v>
      </c>
      <c r="P2803">
        <v>9.34</v>
      </c>
      <c r="Q2803">
        <v>-1.96</v>
      </c>
      <c r="R2803">
        <v>9</v>
      </c>
      <c r="S2803">
        <v>9.2200000000000006</v>
      </c>
      <c r="T2803">
        <v>52491</v>
      </c>
      <c r="U2803">
        <v>9.01</v>
      </c>
      <c r="V2803">
        <v>9.18</v>
      </c>
      <c r="W2803">
        <v>8.0500000000000007</v>
      </c>
      <c r="X2803" t="s">
        <v>800</v>
      </c>
      <c r="Y2803" t="s">
        <v>123</v>
      </c>
      <c r="Z2803">
        <v>3.7</v>
      </c>
      <c r="AA2803">
        <v>9.15</v>
      </c>
      <c r="AB2803">
        <v>29033</v>
      </c>
      <c r="AC2803">
        <v>23458</v>
      </c>
      <c r="AD2803">
        <v>1.24</v>
      </c>
      <c r="AE2803">
        <v>46</v>
      </c>
      <c r="AF2803">
        <v>136</v>
      </c>
      <c r="AG2803" t="s">
        <v>120</v>
      </c>
      <c r="AH2803">
        <v>0.01</v>
      </c>
      <c r="AI2803" t="s">
        <v>120</v>
      </c>
      <c r="AJ2803">
        <v>14.33</v>
      </c>
      <c r="AK2803" t="s">
        <v>12519</v>
      </c>
      <c r="AL2803">
        <v>-0.62</v>
      </c>
      <c r="AM2803">
        <v>2116</v>
      </c>
      <c r="AN2803">
        <v>25</v>
      </c>
      <c r="AO2803">
        <v>2.0000000000000001E-4</v>
      </c>
      <c r="AP2803">
        <v>-3</v>
      </c>
      <c r="AQ2803">
        <v>-0.54</v>
      </c>
      <c r="AR2803">
        <v>-4.6500000000000004</v>
      </c>
      <c r="AS2803">
        <v>2.5099999999999998</v>
      </c>
      <c r="AT2803">
        <v>2.5099999999999998</v>
      </c>
      <c r="AU2803">
        <v>6.51</v>
      </c>
      <c r="AV2803">
        <v>0</v>
      </c>
      <c r="AW2803">
        <v>1.43</v>
      </c>
      <c r="AX2803">
        <v>25.61</v>
      </c>
      <c r="AY2803">
        <v>6.22</v>
      </c>
      <c r="AZ2803">
        <v>9.74</v>
      </c>
      <c r="BA2803">
        <v>0.39</v>
      </c>
      <c r="BB2803" t="s">
        <v>143</v>
      </c>
      <c r="BF2803">
        <v>-0.38</v>
      </c>
      <c r="BG2803">
        <v>-2.39</v>
      </c>
      <c r="BH2803">
        <v>-3.64</v>
      </c>
      <c r="BI2803">
        <v>0</v>
      </c>
      <c r="BJ2803">
        <v>20210901</v>
      </c>
      <c r="BK2803">
        <v>20011225</v>
      </c>
      <c r="BL2803">
        <v>21.81</v>
      </c>
      <c r="BM2803" t="s">
        <v>120</v>
      </c>
      <c r="BN2803">
        <v>7.48</v>
      </c>
      <c r="BO2803">
        <v>573.29</v>
      </c>
      <c r="BP2803">
        <v>9</v>
      </c>
      <c r="BQ2803">
        <v>232.42</v>
      </c>
      <c r="BR2803">
        <v>32.5</v>
      </c>
      <c r="BS2803">
        <v>53.79</v>
      </c>
      <c r="BT2803">
        <v>96.04</v>
      </c>
      <c r="BU2803">
        <v>54.51</v>
      </c>
      <c r="BV2803">
        <v>265.37</v>
      </c>
      <c r="BW2803">
        <v>133.28</v>
      </c>
      <c r="BX2803">
        <v>44.5</v>
      </c>
      <c r="BY2803">
        <v>10.67</v>
      </c>
      <c r="BZ2803">
        <v>7.39</v>
      </c>
      <c r="CA2803">
        <v>0.16</v>
      </c>
      <c r="CB2803">
        <v>60.28</v>
      </c>
      <c r="CC2803">
        <v>42.11</v>
      </c>
      <c r="CD2803">
        <v>23.8</v>
      </c>
      <c r="CE2803">
        <v>15.93</v>
      </c>
      <c r="CF2803">
        <v>3.61</v>
      </c>
      <c r="CG2803">
        <v>16.03</v>
      </c>
      <c r="CH2803">
        <v>12.9</v>
      </c>
      <c r="CI2803">
        <v>12.19</v>
      </c>
      <c r="CJ2803">
        <v>-0.18</v>
      </c>
      <c r="CK2803">
        <v>11.89</v>
      </c>
      <c r="CL2803">
        <v>72.47</v>
      </c>
      <c r="CM2803">
        <v>17.34</v>
      </c>
      <c r="CN2803">
        <v>3.2</v>
      </c>
      <c r="CO2803">
        <v>18587</v>
      </c>
      <c r="CP2803">
        <v>19747</v>
      </c>
      <c r="CQ2803" t="s">
        <v>12059</v>
      </c>
      <c r="CR2803">
        <v>2214.65</v>
      </c>
      <c r="CS2803">
        <v>142.5</v>
      </c>
      <c r="CT2803">
        <v>1.02</v>
      </c>
      <c r="CU2803">
        <v>11.32</v>
      </c>
      <c r="CV2803">
        <v>4.66</v>
      </c>
      <c r="CW2803">
        <v>4.68</v>
      </c>
      <c r="CX2803" t="s">
        <v>948</v>
      </c>
      <c r="CY2803">
        <v>8.82</v>
      </c>
      <c r="CZ2803">
        <v>8.82</v>
      </c>
      <c r="DA2803">
        <v>2.76</v>
      </c>
      <c r="DB2803">
        <v>3.32</v>
      </c>
      <c r="DC2803">
        <v>0.79</v>
      </c>
      <c r="DD2803">
        <v>40.54</v>
      </c>
      <c r="DE2803" t="s">
        <v>2474</v>
      </c>
      <c r="DF2803">
        <v>43.48</v>
      </c>
      <c r="DG2803">
        <v>37.82</v>
      </c>
      <c r="DH2803">
        <v>28.95</v>
      </c>
      <c r="DI2803">
        <v>0.2</v>
      </c>
      <c r="DJ2803">
        <v>6705</v>
      </c>
      <c r="DK2803">
        <v>600548</v>
      </c>
      <c r="DL2803" t="s">
        <v>120</v>
      </c>
      <c r="DM2803" t="s">
        <v>120</v>
      </c>
      <c r="DN2803" t="s">
        <v>120</v>
      </c>
    </row>
    <row r="2804" spans="1:118">
      <c r="A2804" t="str">
        <f>"600549"</f>
        <v>600549</v>
      </c>
      <c r="B2804" t="s">
        <v>12520</v>
      </c>
      <c r="C2804">
        <v>-6.52</v>
      </c>
      <c r="D2804">
        <v>0</v>
      </c>
      <c r="E2804">
        <v>0.71</v>
      </c>
      <c r="F2804">
        <v>7082</v>
      </c>
      <c r="G2804" t="s">
        <v>12521</v>
      </c>
      <c r="H2804">
        <v>192131.02</v>
      </c>
      <c r="I2804">
        <v>691.44</v>
      </c>
      <c r="J2804" t="s">
        <v>120</v>
      </c>
      <c r="K2804" t="s">
        <v>12522</v>
      </c>
      <c r="L2804">
        <v>4.57</v>
      </c>
      <c r="M2804">
        <v>28.8</v>
      </c>
      <c r="N2804">
        <v>0.81</v>
      </c>
      <c r="O2804">
        <v>1.27</v>
      </c>
      <c r="P2804">
        <v>31.2</v>
      </c>
      <c r="Q2804">
        <v>-6.59</v>
      </c>
      <c r="R2804">
        <v>28.78</v>
      </c>
      <c r="S2804">
        <v>31.03</v>
      </c>
      <c r="T2804">
        <v>642644</v>
      </c>
      <c r="U2804">
        <v>28.8</v>
      </c>
      <c r="V2804">
        <v>30.81</v>
      </c>
      <c r="W2804">
        <v>29.72</v>
      </c>
      <c r="X2804" t="s">
        <v>1390</v>
      </c>
      <c r="Y2804" t="s">
        <v>937</v>
      </c>
      <c r="Z2804">
        <v>7.85</v>
      </c>
      <c r="AA2804">
        <v>29.9</v>
      </c>
      <c r="AB2804">
        <v>354726</v>
      </c>
      <c r="AC2804">
        <v>287918</v>
      </c>
      <c r="AD2804">
        <v>1.23</v>
      </c>
      <c r="AE2804">
        <v>457</v>
      </c>
      <c r="AF2804">
        <v>2774</v>
      </c>
      <c r="AG2804" t="s">
        <v>120</v>
      </c>
      <c r="AH2804">
        <v>0.03</v>
      </c>
      <c r="AI2804" t="s">
        <v>120</v>
      </c>
      <c r="AJ2804">
        <v>14.06</v>
      </c>
      <c r="AK2804" t="s">
        <v>12523</v>
      </c>
      <c r="AL2804">
        <v>-5.18</v>
      </c>
      <c r="AM2804">
        <v>4706</v>
      </c>
      <c r="AN2804">
        <v>137</v>
      </c>
      <c r="AO2804">
        <v>1E-3</v>
      </c>
      <c r="AP2804">
        <v>-3</v>
      </c>
      <c r="AQ2804">
        <v>-0.84</v>
      </c>
      <c r="AR2804">
        <v>-12.55</v>
      </c>
      <c r="AS2804">
        <v>9.17</v>
      </c>
      <c r="AT2804">
        <v>46.86</v>
      </c>
      <c r="AU2804">
        <v>72.45</v>
      </c>
      <c r="AV2804">
        <v>7</v>
      </c>
      <c r="AW2804">
        <v>8.65</v>
      </c>
      <c r="AX2804">
        <v>52.4</v>
      </c>
      <c r="AY2804">
        <v>40.93</v>
      </c>
      <c r="AZ2804">
        <v>71.16</v>
      </c>
      <c r="BA2804">
        <v>1.52</v>
      </c>
      <c r="BB2804" t="s">
        <v>143</v>
      </c>
      <c r="BF2804">
        <v>-2.96</v>
      </c>
      <c r="BG2804">
        <v>-7.19</v>
      </c>
      <c r="BH2804">
        <v>-7.69</v>
      </c>
      <c r="BI2804">
        <v>7.0000000000000007E-2</v>
      </c>
      <c r="BJ2804">
        <v>20210826</v>
      </c>
      <c r="BK2804">
        <v>20021107</v>
      </c>
      <c r="BL2804">
        <v>14.18</v>
      </c>
      <c r="BM2804" t="s">
        <v>120</v>
      </c>
      <c r="BN2804" t="s">
        <v>120</v>
      </c>
      <c r="BO2804">
        <v>280.43</v>
      </c>
      <c r="BP2804">
        <v>28.79</v>
      </c>
      <c r="BQ2804">
        <v>81.06</v>
      </c>
      <c r="BR2804">
        <v>24.74</v>
      </c>
      <c r="BS2804">
        <v>62.27</v>
      </c>
      <c r="BT2804">
        <v>139</v>
      </c>
      <c r="BU2804">
        <v>75.39</v>
      </c>
      <c r="BV2804">
        <v>11.25</v>
      </c>
      <c r="BW2804">
        <v>147.69</v>
      </c>
      <c r="BX2804">
        <v>12.92</v>
      </c>
      <c r="BY2804">
        <v>64.05</v>
      </c>
      <c r="BZ2804">
        <v>40.159999999999997</v>
      </c>
      <c r="CA2804" t="s">
        <v>120</v>
      </c>
      <c r="CB2804">
        <v>29.91</v>
      </c>
      <c r="CC2804">
        <v>142.22999999999999</v>
      </c>
      <c r="CD2804">
        <v>118.24</v>
      </c>
      <c r="CE2804">
        <v>10.87</v>
      </c>
      <c r="CF2804">
        <v>1.1499999999999999</v>
      </c>
      <c r="CG2804">
        <v>10.77</v>
      </c>
      <c r="CH2804">
        <v>9.5399999999999991</v>
      </c>
      <c r="CI2804">
        <v>6.87</v>
      </c>
      <c r="CJ2804">
        <v>-2.0099999999999998</v>
      </c>
      <c r="CK2804">
        <v>5.88</v>
      </c>
      <c r="CL2804">
        <v>32.299999999999997</v>
      </c>
      <c r="CM2804">
        <v>8.59</v>
      </c>
      <c r="CN2804">
        <v>1.55</v>
      </c>
      <c r="CO2804">
        <v>81517</v>
      </c>
      <c r="CP2804">
        <v>9119</v>
      </c>
      <c r="CQ2804" t="s">
        <v>12524</v>
      </c>
      <c r="CR2804">
        <v>194.4</v>
      </c>
      <c r="CS2804">
        <v>79.48</v>
      </c>
      <c r="CT2804">
        <v>5.04</v>
      </c>
      <c r="CU2804">
        <v>47.57</v>
      </c>
      <c r="CV2804">
        <v>2.87</v>
      </c>
      <c r="CW2804">
        <v>0.49</v>
      </c>
      <c r="CX2804" t="s">
        <v>3347</v>
      </c>
      <c r="CY2804">
        <v>5.71</v>
      </c>
      <c r="CZ2804">
        <v>0</v>
      </c>
      <c r="DA2804">
        <v>2.11</v>
      </c>
      <c r="DB2804">
        <v>2.2799999999999998</v>
      </c>
      <c r="DC2804">
        <v>0.61</v>
      </c>
      <c r="DD2804">
        <v>28.9</v>
      </c>
      <c r="DE2804" t="s">
        <v>6294</v>
      </c>
      <c r="DF2804">
        <v>16.87</v>
      </c>
      <c r="DG2804">
        <v>7.64</v>
      </c>
      <c r="DH2804">
        <v>4.83</v>
      </c>
      <c r="DI2804">
        <v>5.03</v>
      </c>
      <c r="DJ2804">
        <v>13819</v>
      </c>
      <c r="DK2804">
        <v>600549</v>
      </c>
      <c r="DL2804">
        <v>20210712</v>
      </c>
      <c r="DM2804">
        <v>26.96</v>
      </c>
      <c r="DN2804">
        <v>6.82</v>
      </c>
    </row>
    <row r="2805" spans="1:118">
      <c r="A2805" t="str">
        <f>"600550"</f>
        <v>600550</v>
      </c>
      <c r="B2805" t="s">
        <v>12525</v>
      </c>
      <c r="C2805">
        <v>-4.51</v>
      </c>
      <c r="D2805">
        <v>0.19</v>
      </c>
      <c r="E2805">
        <v>1.08</v>
      </c>
      <c r="F2805">
        <v>3853</v>
      </c>
      <c r="G2805" t="s">
        <v>2168</v>
      </c>
      <c r="H2805">
        <v>25662.63</v>
      </c>
      <c r="I2805">
        <v>191.52</v>
      </c>
      <c r="J2805" t="s">
        <v>120</v>
      </c>
      <c r="K2805" t="s">
        <v>12526</v>
      </c>
      <c r="L2805">
        <v>2.58</v>
      </c>
      <c r="M2805">
        <v>5.29</v>
      </c>
      <c r="N2805">
        <v>0.68</v>
      </c>
      <c r="O2805">
        <v>1.99</v>
      </c>
      <c r="P2805">
        <v>5.65</v>
      </c>
      <c r="Q2805">
        <v>-4.87</v>
      </c>
      <c r="R2805">
        <v>5.27</v>
      </c>
      <c r="S2805">
        <v>5.6</v>
      </c>
      <c r="T2805">
        <v>474520</v>
      </c>
      <c r="U2805">
        <v>5.29</v>
      </c>
      <c r="V2805">
        <v>5.54</v>
      </c>
      <c r="W2805">
        <v>634.14</v>
      </c>
      <c r="X2805" t="s">
        <v>394</v>
      </c>
      <c r="Y2805" t="s">
        <v>602</v>
      </c>
      <c r="Z2805">
        <v>6.86</v>
      </c>
      <c r="AA2805">
        <v>5.41</v>
      </c>
      <c r="AB2805">
        <v>290804</v>
      </c>
      <c r="AC2805">
        <v>183716</v>
      </c>
      <c r="AD2805">
        <v>1.58</v>
      </c>
      <c r="AE2805">
        <v>1681</v>
      </c>
      <c r="AF2805">
        <v>1936</v>
      </c>
      <c r="AG2805" t="s">
        <v>120</v>
      </c>
      <c r="AH2805">
        <v>0.05</v>
      </c>
      <c r="AI2805" t="s">
        <v>120</v>
      </c>
      <c r="AJ2805">
        <v>18.420000000000002</v>
      </c>
      <c r="AK2805" t="s">
        <v>12526</v>
      </c>
      <c r="AL2805">
        <v>-3.17</v>
      </c>
      <c r="AM2805">
        <v>3867</v>
      </c>
      <c r="AN2805">
        <v>123</v>
      </c>
      <c r="AO2805">
        <v>6.9999999999999999E-4</v>
      </c>
      <c r="AP2805">
        <v>-1</v>
      </c>
      <c r="AQ2805">
        <v>1.65</v>
      </c>
      <c r="AR2805">
        <v>-6.37</v>
      </c>
      <c r="AS2805">
        <v>18.079999999999998</v>
      </c>
      <c r="AT2805">
        <v>27.16</v>
      </c>
      <c r="AU2805">
        <v>3.73</v>
      </c>
      <c r="AV2805">
        <v>4</v>
      </c>
      <c r="AW2805">
        <v>7.5</v>
      </c>
      <c r="AX2805">
        <v>34.340000000000003</v>
      </c>
      <c r="AY2805">
        <v>632.46</v>
      </c>
      <c r="AZ2805">
        <v>482.91</v>
      </c>
      <c r="BA2805">
        <v>0</v>
      </c>
      <c r="BB2805" t="s">
        <v>184</v>
      </c>
      <c r="BF2805">
        <v>-2.38</v>
      </c>
      <c r="BG2805">
        <v>-5.54</v>
      </c>
      <c r="BH2805">
        <v>-6.37</v>
      </c>
      <c r="BI2805">
        <v>0.38</v>
      </c>
      <c r="BJ2805">
        <v>20210824</v>
      </c>
      <c r="BK2805">
        <v>20010228</v>
      </c>
      <c r="BL2805">
        <v>18.420000000000002</v>
      </c>
      <c r="BM2805" t="s">
        <v>120</v>
      </c>
      <c r="BN2805" t="s">
        <v>120</v>
      </c>
      <c r="BO2805">
        <v>53.4</v>
      </c>
      <c r="BP2805">
        <v>5.28</v>
      </c>
      <c r="BQ2805">
        <v>6.57</v>
      </c>
      <c r="BR2805">
        <v>1.04</v>
      </c>
      <c r="BS2805">
        <v>85.75</v>
      </c>
      <c r="BT2805">
        <v>34.409999999999997</v>
      </c>
      <c r="BU2805">
        <v>11.5</v>
      </c>
      <c r="BV2805">
        <v>3.59</v>
      </c>
      <c r="BW2805">
        <v>44.13</v>
      </c>
      <c r="BX2805">
        <v>6.68</v>
      </c>
      <c r="BY2805">
        <v>8.6300000000000008</v>
      </c>
      <c r="BZ2805">
        <v>14.04</v>
      </c>
      <c r="CA2805" t="s">
        <v>120</v>
      </c>
      <c r="CB2805">
        <v>39.86</v>
      </c>
      <c r="CC2805">
        <v>16.18</v>
      </c>
      <c r="CD2805">
        <v>13.42</v>
      </c>
      <c r="CE2805">
        <v>0.1</v>
      </c>
      <c r="CF2805">
        <v>-0.01</v>
      </c>
      <c r="CG2805">
        <v>0.12</v>
      </c>
      <c r="CH2805">
        <v>0.11</v>
      </c>
      <c r="CI2805">
        <v>0.08</v>
      </c>
      <c r="CJ2805">
        <v>-0.25</v>
      </c>
      <c r="CK2805">
        <v>-0.04</v>
      </c>
      <c r="CL2805">
        <v>-53.11</v>
      </c>
      <c r="CM2805">
        <v>-0.99</v>
      </c>
      <c r="CN2805">
        <v>-5.44</v>
      </c>
      <c r="CO2805">
        <v>102342</v>
      </c>
      <c r="CP2805">
        <v>6179</v>
      </c>
      <c r="CQ2805" t="s">
        <v>6393</v>
      </c>
      <c r="CR2805">
        <v>-39.409999999999997</v>
      </c>
      <c r="CS2805">
        <v>1.29</v>
      </c>
      <c r="CT2805">
        <v>14.83</v>
      </c>
      <c r="CU2805">
        <v>-98.5</v>
      </c>
      <c r="CV2805">
        <v>6.02</v>
      </c>
      <c r="CW2805">
        <v>0</v>
      </c>
      <c r="CX2805" t="s">
        <v>1902</v>
      </c>
      <c r="CY2805">
        <v>0.36</v>
      </c>
      <c r="CZ2805">
        <v>0</v>
      </c>
      <c r="DA2805">
        <v>2.16</v>
      </c>
      <c r="DB2805">
        <v>-2.88</v>
      </c>
      <c r="DC2805">
        <v>-0.05</v>
      </c>
      <c r="DD2805">
        <v>12.3</v>
      </c>
      <c r="DE2805" t="s">
        <v>1921</v>
      </c>
      <c r="DF2805">
        <v>17.079999999999998</v>
      </c>
      <c r="DG2805">
        <v>0.63</v>
      </c>
      <c r="DH2805">
        <v>0.47</v>
      </c>
      <c r="DI2805">
        <v>0.6</v>
      </c>
      <c r="DJ2805">
        <v>4038</v>
      </c>
      <c r="DK2805">
        <v>600550</v>
      </c>
      <c r="DL2805" t="s">
        <v>120</v>
      </c>
      <c r="DM2805" t="s">
        <v>120</v>
      </c>
      <c r="DN2805" t="s">
        <v>120</v>
      </c>
    </row>
    <row r="2806" spans="1:118">
      <c r="A2806" t="str">
        <f>"600551"</f>
        <v>600551</v>
      </c>
      <c r="B2806" t="s">
        <v>12527</v>
      </c>
      <c r="C2806">
        <v>-1.86</v>
      </c>
      <c r="D2806">
        <v>-0.49</v>
      </c>
      <c r="E2806">
        <v>0.37</v>
      </c>
      <c r="F2806">
        <v>622</v>
      </c>
      <c r="G2806" t="s">
        <v>6026</v>
      </c>
      <c r="H2806">
        <v>3078.8</v>
      </c>
      <c r="I2806">
        <v>0.24</v>
      </c>
      <c r="J2806" t="s">
        <v>120</v>
      </c>
      <c r="K2806" t="s">
        <v>12528</v>
      </c>
      <c r="L2806">
        <v>0.75</v>
      </c>
      <c r="M2806">
        <v>7.92</v>
      </c>
      <c r="N2806">
        <v>1.1200000000000001</v>
      </c>
      <c r="O2806">
        <v>2.48</v>
      </c>
      <c r="P2806">
        <v>8.27</v>
      </c>
      <c r="Q2806">
        <v>-2.11</v>
      </c>
      <c r="R2806">
        <v>7.9</v>
      </c>
      <c r="S2806">
        <v>8.1</v>
      </c>
      <c r="T2806">
        <v>38036</v>
      </c>
      <c r="U2806">
        <v>7.94</v>
      </c>
      <c r="V2806">
        <v>8.07</v>
      </c>
      <c r="W2806">
        <v>8.6999999999999993</v>
      </c>
      <c r="X2806" t="s">
        <v>1730</v>
      </c>
      <c r="Y2806" t="s">
        <v>570</v>
      </c>
      <c r="Z2806">
        <v>4.58</v>
      </c>
      <c r="AA2806">
        <v>8.09</v>
      </c>
      <c r="AB2806">
        <v>20765</v>
      </c>
      <c r="AC2806">
        <v>17271</v>
      </c>
      <c r="AD2806">
        <v>1.2</v>
      </c>
      <c r="AE2806">
        <v>94</v>
      </c>
      <c r="AF2806">
        <v>11</v>
      </c>
      <c r="AG2806" t="s">
        <v>120</v>
      </c>
      <c r="AH2806">
        <v>0</v>
      </c>
      <c r="AI2806" t="s">
        <v>120</v>
      </c>
      <c r="AJ2806">
        <v>5.0599999999999996</v>
      </c>
      <c r="AK2806" t="s">
        <v>12528</v>
      </c>
      <c r="AL2806">
        <v>-0.51</v>
      </c>
      <c r="AM2806">
        <v>1725</v>
      </c>
      <c r="AN2806">
        <v>22</v>
      </c>
      <c r="AO2806">
        <v>4.0000000000000002E-4</v>
      </c>
      <c r="AP2806">
        <v>-1</v>
      </c>
      <c r="AQ2806">
        <v>0.12</v>
      </c>
      <c r="AR2806">
        <v>-4</v>
      </c>
      <c r="AS2806">
        <v>4.4800000000000004</v>
      </c>
      <c r="AT2806">
        <v>7.76</v>
      </c>
      <c r="AU2806">
        <v>10.1</v>
      </c>
      <c r="AV2806">
        <v>0</v>
      </c>
      <c r="AW2806">
        <v>2.13</v>
      </c>
      <c r="AX2806">
        <v>35.229999999999997</v>
      </c>
      <c r="AY2806">
        <v>10.41</v>
      </c>
      <c r="AZ2806">
        <v>15.2</v>
      </c>
      <c r="BA2806">
        <v>0.47</v>
      </c>
      <c r="BB2806" t="s">
        <v>143</v>
      </c>
      <c r="BF2806">
        <v>0.3</v>
      </c>
      <c r="BG2806">
        <v>-2.2200000000000002</v>
      </c>
      <c r="BH2806">
        <v>-4.2300000000000004</v>
      </c>
      <c r="BI2806">
        <v>0.25</v>
      </c>
      <c r="BJ2806">
        <v>20210821</v>
      </c>
      <c r="BK2806">
        <v>20020905</v>
      </c>
      <c r="BL2806">
        <v>5.0599999999999996</v>
      </c>
      <c r="BM2806" t="s">
        <v>120</v>
      </c>
      <c r="BN2806" t="s">
        <v>120</v>
      </c>
      <c r="BO2806">
        <v>72.03</v>
      </c>
      <c r="BP2806">
        <v>7.92</v>
      </c>
      <c r="BQ2806">
        <v>49.23</v>
      </c>
      <c r="BR2806">
        <v>0.96</v>
      </c>
      <c r="BS2806">
        <v>30.31</v>
      </c>
      <c r="BT2806">
        <v>48.91</v>
      </c>
      <c r="BU2806">
        <v>5.62</v>
      </c>
      <c r="BV2806">
        <v>0.96</v>
      </c>
      <c r="BW2806">
        <v>20.9</v>
      </c>
      <c r="BX2806">
        <v>14.75</v>
      </c>
      <c r="BY2806">
        <v>11.37</v>
      </c>
      <c r="BZ2806">
        <v>7.71</v>
      </c>
      <c r="CA2806">
        <v>0.03</v>
      </c>
      <c r="CB2806">
        <v>13.37</v>
      </c>
      <c r="CC2806">
        <v>36.28</v>
      </c>
      <c r="CD2806">
        <v>32.76</v>
      </c>
      <c r="CE2806">
        <v>2.34</v>
      </c>
      <c r="CF2806">
        <v>1.96</v>
      </c>
      <c r="CG2806">
        <v>2.3199999999999998</v>
      </c>
      <c r="CH2806">
        <v>2.31</v>
      </c>
      <c r="CI2806">
        <v>2.2999999999999998</v>
      </c>
      <c r="CJ2806">
        <v>-0.15</v>
      </c>
      <c r="CK2806">
        <v>0.44</v>
      </c>
      <c r="CL2806">
        <v>30.43</v>
      </c>
      <c r="CM2806">
        <v>-2.34</v>
      </c>
      <c r="CN2806">
        <v>-6.19</v>
      </c>
      <c r="CO2806">
        <v>14995</v>
      </c>
      <c r="CP2806">
        <v>11884</v>
      </c>
      <c r="CQ2806" t="s">
        <v>9086</v>
      </c>
      <c r="CR2806">
        <v>115.87</v>
      </c>
      <c r="CS2806">
        <v>32.520000000000003</v>
      </c>
      <c r="CT2806">
        <v>0.81</v>
      </c>
      <c r="CU2806">
        <v>-17.14</v>
      </c>
      <c r="CV2806">
        <v>1.1000000000000001</v>
      </c>
      <c r="CW2806">
        <v>1.98</v>
      </c>
      <c r="CX2806" t="s">
        <v>780</v>
      </c>
      <c r="CY2806">
        <v>9.73</v>
      </c>
      <c r="CZ2806">
        <v>0</v>
      </c>
      <c r="DA2806">
        <v>2.64</v>
      </c>
      <c r="DB2806">
        <v>6.02</v>
      </c>
      <c r="DC2806">
        <v>-0.46</v>
      </c>
      <c r="DD2806">
        <v>68.349999999999994</v>
      </c>
      <c r="DE2806" t="s">
        <v>9778</v>
      </c>
      <c r="DF2806">
        <v>9.69</v>
      </c>
      <c r="DG2806">
        <v>6.45</v>
      </c>
      <c r="DH2806">
        <v>6.34</v>
      </c>
      <c r="DI2806">
        <v>0.13</v>
      </c>
      <c r="DJ2806">
        <v>2785</v>
      </c>
      <c r="DK2806">
        <v>600551</v>
      </c>
      <c r="DL2806" t="s">
        <v>120</v>
      </c>
      <c r="DM2806" t="s">
        <v>120</v>
      </c>
      <c r="DN2806" t="s">
        <v>120</v>
      </c>
    </row>
    <row r="2807" spans="1:118">
      <c r="A2807" t="str">
        <f>"600552"</f>
        <v>600552</v>
      </c>
      <c r="B2807" t="s">
        <v>12529</v>
      </c>
      <c r="C2807">
        <v>-5.99</v>
      </c>
      <c r="D2807">
        <v>0</v>
      </c>
      <c r="E2807">
        <v>-0.66</v>
      </c>
      <c r="F2807">
        <v>3126</v>
      </c>
      <c r="G2807" t="s">
        <v>12530</v>
      </c>
      <c r="H2807">
        <v>29110.1</v>
      </c>
      <c r="I2807">
        <v>28.65</v>
      </c>
      <c r="J2807" t="s">
        <v>120</v>
      </c>
      <c r="K2807" t="s">
        <v>12531</v>
      </c>
      <c r="L2807">
        <v>3.71</v>
      </c>
      <c r="M2807">
        <v>10.039999999999999</v>
      </c>
      <c r="N2807">
        <v>1.24</v>
      </c>
      <c r="O2807">
        <v>-0.19</v>
      </c>
      <c r="P2807">
        <v>10.66</v>
      </c>
      <c r="Q2807">
        <v>-6.18</v>
      </c>
      <c r="R2807">
        <v>10.02</v>
      </c>
      <c r="S2807">
        <v>10.61</v>
      </c>
      <c r="T2807">
        <v>283045</v>
      </c>
      <c r="U2807">
        <v>10.039999999999999</v>
      </c>
      <c r="V2807">
        <v>10.68</v>
      </c>
      <c r="W2807">
        <v>45.6</v>
      </c>
      <c r="X2807" t="s">
        <v>191</v>
      </c>
      <c r="Y2807" t="s">
        <v>570</v>
      </c>
      <c r="Z2807">
        <v>5.99</v>
      </c>
      <c r="AA2807">
        <v>10.28</v>
      </c>
      <c r="AB2807">
        <v>163563</v>
      </c>
      <c r="AC2807">
        <v>119482</v>
      </c>
      <c r="AD2807">
        <v>1.37</v>
      </c>
      <c r="AE2807">
        <v>159</v>
      </c>
      <c r="AF2807">
        <v>3242</v>
      </c>
      <c r="AG2807" t="s">
        <v>120</v>
      </c>
      <c r="AH2807">
        <v>0</v>
      </c>
      <c r="AI2807" t="s">
        <v>120</v>
      </c>
      <c r="AJ2807">
        <v>7.64</v>
      </c>
      <c r="AK2807" t="s">
        <v>12531</v>
      </c>
      <c r="AL2807">
        <v>-4.6500000000000004</v>
      </c>
      <c r="AM2807">
        <v>4147</v>
      </c>
      <c r="AN2807">
        <v>68</v>
      </c>
      <c r="AO2807">
        <v>8.9999999999999998E-4</v>
      </c>
      <c r="AP2807">
        <v>-1</v>
      </c>
      <c r="AQ2807">
        <v>1.81</v>
      </c>
      <c r="AR2807">
        <v>-4.74</v>
      </c>
      <c r="AS2807">
        <v>15.8</v>
      </c>
      <c r="AT2807">
        <v>41.41</v>
      </c>
      <c r="AU2807">
        <v>47</v>
      </c>
      <c r="AV2807">
        <v>7</v>
      </c>
      <c r="AW2807">
        <v>5.09</v>
      </c>
      <c r="AX2807">
        <v>72.78</v>
      </c>
      <c r="AY2807">
        <v>51.72</v>
      </c>
      <c r="AZ2807">
        <v>67.55</v>
      </c>
      <c r="BA2807">
        <v>0.85</v>
      </c>
      <c r="BB2807" t="s">
        <v>143</v>
      </c>
      <c r="BF2807">
        <v>-3.7</v>
      </c>
      <c r="BG2807">
        <v>-5.37</v>
      </c>
      <c r="BH2807">
        <v>-5.82</v>
      </c>
      <c r="BI2807">
        <v>0.2</v>
      </c>
      <c r="BJ2807">
        <v>20210827</v>
      </c>
      <c r="BK2807">
        <v>20021108</v>
      </c>
      <c r="BL2807">
        <v>7.64</v>
      </c>
      <c r="BM2807" t="s">
        <v>120</v>
      </c>
      <c r="BN2807" t="s">
        <v>120</v>
      </c>
      <c r="BO2807">
        <v>82.97</v>
      </c>
      <c r="BP2807">
        <v>10.029999999999999</v>
      </c>
      <c r="BQ2807">
        <v>25.82</v>
      </c>
      <c r="BR2807">
        <v>2.8</v>
      </c>
      <c r="BS2807">
        <v>65.510000000000005</v>
      </c>
      <c r="BT2807">
        <v>53.65</v>
      </c>
      <c r="BU2807">
        <v>18.7</v>
      </c>
      <c r="BV2807">
        <v>4.26</v>
      </c>
      <c r="BW2807">
        <v>40.32</v>
      </c>
      <c r="BX2807">
        <v>9.66</v>
      </c>
      <c r="BY2807">
        <v>16.91</v>
      </c>
      <c r="BZ2807">
        <v>15.77</v>
      </c>
      <c r="CA2807" t="s">
        <v>120</v>
      </c>
      <c r="CB2807">
        <v>9.6</v>
      </c>
      <c r="CC2807">
        <v>33.85</v>
      </c>
      <c r="CD2807">
        <v>29.19</v>
      </c>
      <c r="CE2807">
        <v>1.51</v>
      </c>
      <c r="CF2807">
        <v>-0.03</v>
      </c>
      <c r="CG2807">
        <v>1.51</v>
      </c>
      <c r="CH2807">
        <v>1.23</v>
      </c>
      <c r="CI2807">
        <v>0.84</v>
      </c>
      <c r="CJ2807">
        <v>-0.64</v>
      </c>
      <c r="CK2807">
        <v>0.67</v>
      </c>
      <c r="CL2807">
        <v>8.23</v>
      </c>
      <c r="CM2807">
        <v>0.94</v>
      </c>
      <c r="CN2807">
        <v>-0.56999999999999995</v>
      </c>
      <c r="CO2807">
        <v>34700</v>
      </c>
      <c r="CP2807">
        <v>16022</v>
      </c>
      <c r="CQ2807" t="s">
        <v>12532</v>
      </c>
      <c r="CR2807">
        <v>78.45</v>
      </c>
      <c r="CS2807">
        <v>70.11</v>
      </c>
      <c r="CT2807">
        <v>2.97</v>
      </c>
      <c r="CU2807">
        <v>81.87</v>
      </c>
      <c r="CV2807">
        <v>2.27</v>
      </c>
      <c r="CW2807">
        <v>0.47</v>
      </c>
      <c r="CX2807" t="s">
        <v>1147</v>
      </c>
      <c r="CY2807">
        <v>3.38</v>
      </c>
      <c r="CZ2807">
        <v>0</v>
      </c>
      <c r="DA2807">
        <v>1.26</v>
      </c>
      <c r="DB2807">
        <v>1.08</v>
      </c>
      <c r="DC2807">
        <v>0.12</v>
      </c>
      <c r="DD2807">
        <v>31.12</v>
      </c>
      <c r="DE2807" t="s">
        <v>6897</v>
      </c>
      <c r="DF2807">
        <v>13.76</v>
      </c>
      <c r="DG2807">
        <v>4.45</v>
      </c>
      <c r="DH2807">
        <v>2.48</v>
      </c>
      <c r="DI2807">
        <v>1.21</v>
      </c>
      <c r="DJ2807">
        <v>5147</v>
      </c>
      <c r="DK2807">
        <v>600552</v>
      </c>
      <c r="DL2807">
        <v>20210810</v>
      </c>
      <c r="DM2807">
        <v>10.18</v>
      </c>
      <c r="DN2807">
        <v>-1.38</v>
      </c>
    </row>
    <row r="2808" spans="1:118">
      <c r="A2808" t="str">
        <f>"600556"</f>
        <v>600556</v>
      </c>
      <c r="B2808" t="s">
        <v>12533</v>
      </c>
      <c r="C2808">
        <v>-5.84</v>
      </c>
      <c r="D2808">
        <v>-0.65</v>
      </c>
      <c r="E2808">
        <v>0.1</v>
      </c>
      <c r="F2808">
        <v>4276</v>
      </c>
      <c r="G2808" t="s">
        <v>5532</v>
      </c>
      <c r="H2808">
        <v>13964.51</v>
      </c>
      <c r="I2808">
        <v>48</v>
      </c>
      <c r="J2808" t="s">
        <v>120</v>
      </c>
      <c r="K2808" t="s">
        <v>5532</v>
      </c>
      <c r="L2808">
        <v>3.17</v>
      </c>
      <c r="M2808">
        <v>9.0299999999999994</v>
      </c>
      <c r="N2808">
        <v>1.19</v>
      </c>
      <c r="O2808">
        <v>0.21</v>
      </c>
      <c r="P2808">
        <v>9.61</v>
      </c>
      <c r="Q2808">
        <v>-5.84</v>
      </c>
      <c r="R2808">
        <v>9.0299999999999994</v>
      </c>
      <c r="S2808">
        <v>9.6</v>
      </c>
      <c r="T2808">
        <v>150788</v>
      </c>
      <c r="U2808">
        <v>9.0500000000000007</v>
      </c>
      <c r="V2808">
        <v>9.59</v>
      </c>
      <c r="W2808">
        <v>38.57</v>
      </c>
      <c r="X2808" t="s">
        <v>1531</v>
      </c>
      <c r="Y2808" t="s">
        <v>945</v>
      </c>
      <c r="Z2808">
        <v>6.05</v>
      </c>
      <c r="AA2808">
        <v>9.26</v>
      </c>
      <c r="AB2808">
        <v>85567</v>
      </c>
      <c r="AC2808">
        <v>65221</v>
      </c>
      <c r="AD2808">
        <v>1.31</v>
      </c>
      <c r="AE2808">
        <v>324</v>
      </c>
      <c r="AF2808">
        <v>43</v>
      </c>
      <c r="AG2808" t="s">
        <v>120</v>
      </c>
      <c r="AH2808">
        <v>0.01</v>
      </c>
      <c r="AI2808" t="s">
        <v>120</v>
      </c>
      <c r="AJ2808">
        <v>4.76</v>
      </c>
      <c r="AK2808" t="s">
        <v>12534</v>
      </c>
      <c r="AL2808">
        <v>-4.5</v>
      </c>
      <c r="AM2808">
        <v>2691</v>
      </c>
      <c r="AN2808">
        <v>56</v>
      </c>
      <c r="AO2808">
        <v>1.1999999999999999E-3</v>
      </c>
      <c r="AP2808">
        <v>-3</v>
      </c>
      <c r="AQ2808">
        <v>-2.04</v>
      </c>
      <c r="AR2808">
        <v>-9.43</v>
      </c>
      <c r="AS2808">
        <v>0.34</v>
      </c>
      <c r="AT2808">
        <v>-12.86</v>
      </c>
      <c r="AU2808">
        <v>-28.52</v>
      </c>
      <c r="AV2808">
        <v>2</v>
      </c>
      <c r="AW2808">
        <v>3.17</v>
      </c>
      <c r="AX2808">
        <v>26.34</v>
      </c>
      <c r="AY2808">
        <v>46.66</v>
      </c>
      <c r="AZ2808">
        <v>58.67</v>
      </c>
      <c r="BA2808">
        <v>0.71</v>
      </c>
      <c r="BB2808" t="s">
        <v>125</v>
      </c>
      <c r="BF2808">
        <v>-3.43</v>
      </c>
      <c r="BG2808">
        <v>-5.94</v>
      </c>
      <c r="BH2808">
        <v>-6.04</v>
      </c>
      <c r="BI2808">
        <v>0</v>
      </c>
      <c r="BJ2808">
        <v>20210817</v>
      </c>
      <c r="BK2808">
        <v>20010807</v>
      </c>
      <c r="BL2808">
        <v>18.079999999999998</v>
      </c>
      <c r="BM2808" t="s">
        <v>120</v>
      </c>
      <c r="BN2808" t="s">
        <v>120</v>
      </c>
      <c r="BO2808">
        <v>43.37</v>
      </c>
      <c r="BP2808">
        <v>9.0299999999999994</v>
      </c>
      <c r="BQ2808">
        <v>34.840000000000003</v>
      </c>
      <c r="BR2808">
        <v>-0.02</v>
      </c>
      <c r="BS2808">
        <v>19.71</v>
      </c>
      <c r="BT2808">
        <v>41.04</v>
      </c>
      <c r="BU2808">
        <v>0.09</v>
      </c>
      <c r="BV2808">
        <v>0.1</v>
      </c>
      <c r="BW2808">
        <v>7.5</v>
      </c>
      <c r="BX2808">
        <v>18.62</v>
      </c>
      <c r="BY2808">
        <v>0.05</v>
      </c>
      <c r="BZ2808">
        <v>19.23</v>
      </c>
      <c r="CA2808" t="s">
        <v>120</v>
      </c>
      <c r="CB2808">
        <v>7.63</v>
      </c>
      <c r="CC2808">
        <v>21.51</v>
      </c>
      <c r="CD2808">
        <v>16.489999999999998</v>
      </c>
      <c r="CE2808">
        <v>2.35</v>
      </c>
      <c r="CF2808">
        <v>-0.1</v>
      </c>
      <c r="CG2808">
        <v>2.3199999999999998</v>
      </c>
      <c r="CH2808">
        <v>2.06</v>
      </c>
      <c r="CI2808">
        <v>2.12</v>
      </c>
      <c r="CJ2808">
        <v>-0.56000000000000005</v>
      </c>
      <c r="CK2808">
        <v>2.13</v>
      </c>
      <c r="CL2808">
        <v>8.6300000000000008</v>
      </c>
      <c r="CM2808">
        <v>-3.36</v>
      </c>
      <c r="CN2808">
        <v>-4.3499999999999996</v>
      </c>
      <c r="CO2808">
        <v>37493</v>
      </c>
      <c r="CP2808">
        <v>12698</v>
      </c>
      <c r="CQ2808" t="s">
        <v>12535</v>
      </c>
      <c r="CR2808">
        <v>56.08</v>
      </c>
      <c r="CS2808">
        <v>62.89</v>
      </c>
      <c r="CT2808">
        <v>4.6900000000000004</v>
      </c>
      <c r="CU2808">
        <v>-48.55</v>
      </c>
      <c r="CV2808">
        <v>7.59</v>
      </c>
      <c r="CW2808">
        <v>0.17</v>
      </c>
      <c r="CX2808" t="s">
        <v>4897</v>
      </c>
      <c r="CY2808">
        <v>1.93</v>
      </c>
      <c r="CZ2808">
        <v>0</v>
      </c>
      <c r="DA2808">
        <v>0.42</v>
      </c>
      <c r="DB2808">
        <v>0.48</v>
      </c>
      <c r="DC2808">
        <v>-0.19</v>
      </c>
      <c r="DD2808">
        <v>80.33</v>
      </c>
      <c r="DE2808" t="s">
        <v>10197</v>
      </c>
      <c r="DF2808">
        <v>23.3</v>
      </c>
      <c r="DG2808">
        <v>10.95</v>
      </c>
      <c r="DH2808">
        <v>9.84</v>
      </c>
      <c r="DI2808">
        <v>0.82</v>
      </c>
      <c r="DJ2808">
        <v>1349</v>
      </c>
      <c r="DK2808">
        <v>600556</v>
      </c>
      <c r="DL2808" t="s">
        <v>120</v>
      </c>
      <c r="DM2808" t="s">
        <v>120</v>
      </c>
      <c r="DN2808" t="s">
        <v>120</v>
      </c>
    </row>
    <row r="2809" spans="1:118">
      <c r="A2809" t="str">
        <f>"600557"</f>
        <v>600557</v>
      </c>
      <c r="B2809" t="s">
        <v>12536</v>
      </c>
      <c r="C2809">
        <v>-0.97</v>
      </c>
      <c r="D2809">
        <v>0</v>
      </c>
      <c r="E2809">
        <v>0</v>
      </c>
      <c r="F2809">
        <v>261</v>
      </c>
      <c r="G2809" t="s">
        <v>12537</v>
      </c>
      <c r="H2809">
        <v>3622.38</v>
      </c>
      <c r="I2809">
        <v>21.79</v>
      </c>
      <c r="J2809" t="s">
        <v>120</v>
      </c>
      <c r="K2809" t="s">
        <v>12538</v>
      </c>
      <c r="L2809">
        <v>0.6</v>
      </c>
      <c r="M2809">
        <v>10.18</v>
      </c>
      <c r="N2809">
        <v>0.8</v>
      </c>
      <c r="O2809">
        <v>0.78</v>
      </c>
      <c r="P2809">
        <v>10.36</v>
      </c>
      <c r="Q2809">
        <v>-1.26</v>
      </c>
      <c r="R2809">
        <v>10.15</v>
      </c>
      <c r="S2809">
        <v>10.28</v>
      </c>
      <c r="T2809">
        <v>35326</v>
      </c>
      <c r="U2809">
        <v>10.19</v>
      </c>
      <c r="V2809">
        <v>10.28</v>
      </c>
      <c r="W2809">
        <v>18.920000000000002</v>
      </c>
      <c r="X2809" t="s">
        <v>771</v>
      </c>
      <c r="Y2809" t="s">
        <v>319</v>
      </c>
      <c r="Z2809">
        <v>2.04</v>
      </c>
      <c r="AA2809">
        <v>10.25</v>
      </c>
      <c r="AB2809">
        <v>18791</v>
      </c>
      <c r="AC2809">
        <v>16535</v>
      </c>
      <c r="AD2809">
        <v>1.1399999999999999</v>
      </c>
      <c r="AE2809">
        <v>76</v>
      </c>
      <c r="AF2809">
        <v>109</v>
      </c>
      <c r="AG2809" t="s">
        <v>120</v>
      </c>
      <c r="AH2809">
        <v>0.01</v>
      </c>
      <c r="AI2809" t="s">
        <v>120</v>
      </c>
      <c r="AJ2809">
        <v>5.93</v>
      </c>
      <c r="AK2809" t="s">
        <v>12538</v>
      </c>
      <c r="AL2809">
        <v>0.37</v>
      </c>
      <c r="AM2809">
        <v>1585</v>
      </c>
      <c r="AN2809">
        <v>22</v>
      </c>
      <c r="AO2809">
        <v>4.0000000000000002E-4</v>
      </c>
      <c r="AP2809">
        <v>-3</v>
      </c>
      <c r="AQ2809">
        <v>-0.57999999999999996</v>
      </c>
      <c r="AR2809">
        <v>-3.51</v>
      </c>
      <c r="AS2809">
        <v>3.45</v>
      </c>
      <c r="AT2809">
        <v>-5.21</v>
      </c>
      <c r="AU2809">
        <v>0.1</v>
      </c>
      <c r="AV2809">
        <v>1</v>
      </c>
      <c r="AW2809">
        <v>0.99</v>
      </c>
      <c r="AX2809">
        <v>60.03</v>
      </c>
      <c r="AY2809">
        <v>21.92</v>
      </c>
      <c r="AZ2809">
        <v>23.18</v>
      </c>
      <c r="BA2809">
        <v>0.82</v>
      </c>
      <c r="BB2809" t="s">
        <v>143</v>
      </c>
      <c r="BF2809">
        <v>-0.25</v>
      </c>
      <c r="BG2809">
        <v>-0.97</v>
      </c>
      <c r="BH2809">
        <v>-1.74</v>
      </c>
      <c r="BI2809">
        <v>0.3</v>
      </c>
      <c r="BJ2809">
        <v>20210821</v>
      </c>
      <c r="BK2809">
        <v>20020918</v>
      </c>
      <c r="BL2809">
        <v>5.93</v>
      </c>
      <c r="BM2809" t="s">
        <v>120</v>
      </c>
      <c r="BN2809" t="s">
        <v>120</v>
      </c>
      <c r="BO2809">
        <v>58.32</v>
      </c>
      <c r="BP2809">
        <v>10.18</v>
      </c>
      <c r="BQ2809">
        <v>41.86</v>
      </c>
      <c r="BR2809">
        <v>1.62</v>
      </c>
      <c r="BS2809">
        <v>25.44</v>
      </c>
      <c r="BT2809">
        <v>26.54</v>
      </c>
      <c r="BU2809">
        <v>24.98</v>
      </c>
      <c r="BV2809">
        <v>3.25</v>
      </c>
      <c r="BW2809">
        <v>13.9</v>
      </c>
      <c r="BX2809">
        <v>6.66</v>
      </c>
      <c r="BY2809">
        <v>3.42</v>
      </c>
      <c r="BZ2809">
        <v>9.43</v>
      </c>
      <c r="CA2809" t="s">
        <v>120</v>
      </c>
      <c r="CB2809">
        <v>1.75</v>
      </c>
      <c r="CC2809">
        <v>17.690000000000001</v>
      </c>
      <c r="CD2809">
        <v>5.14</v>
      </c>
      <c r="CE2809">
        <v>2.09</v>
      </c>
      <c r="CF2809">
        <v>0.02</v>
      </c>
      <c r="CG2809">
        <v>1.92</v>
      </c>
      <c r="CH2809">
        <v>1.62</v>
      </c>
      <c r="CI2809">
        <v>1.6</v>
      </c>
      <c r="CJ2809">
        <v>-0.1</v>
      </c>
      <c r="CK2809">
        <v>1.63</v>
      </c>
      <c r="CL2809">
        <v>32.479999999999997</v>
      </c>
      <c r="CM2809">
        <v>4.1399999999999997</v>
      </c>
      <c r="CN2809">
        <v>-1.03</v>
      </c>
      <c r="CO2809">
        <v>33065</v>
      </c>
      <c r="CP2809">
        <v>10763</v>
      </c>
      <c r="CQ2809" t="s">
        <v>12539</v>
      </c>
      <c r="CR2809">
        <v>10.48</v>
      </c>
      <c r="CS2809">
        <v>14.35</v>
      </c>
      <c r="CT2809">
        <v>1.44</v>
      </c>
      <c r="CU2809">
        <v>14.57</v>
      </c>
      <c r="CV2809">
        <v>3.41</v>
      </c>
      <c r="CW2809">
        <v>0</v>
      </c>
      <c r="CX2809" t="s">
        <v>1054</v>
      </c>
      <c r="CY2809">
        <v>7.06</v>
      </c>
      <c r="CZ2809">
        <v>0</v>
      </c>
      <c r="DA2809">
        <v>0.28999999999999998</v>
      </c>
      <c r="DB2809">
        <v>5.48</v>
      </c>
      <c r="DC2809">
        <v>0.7</v>
      </c>
      <c r="DD2809">
        <v>71.78</v>
      </c>
      <c r="DE2809" t="s">
        <v>1125</v>
      </c>
      <c r="DF2809">
        <v>70.94</v>
      </c>
      <c r="DG2809">
        <v>11.82</v>
      </c>
      <c r="DH2809">
        <v>9.02</v>
      </c>
      <c r="DI2809">
        <v>2.17</v>
      </c>
      <c r="DJ2809">
        <v>6452</v>
      </c>
      <c r="DK2809">
        <v>600557</v>
      </c>
      <c r="DL2809" t="s">
        <v>120</v>
      </c>
      <c r="DM2809" t="s">
        <v>120</v>
      </c>
      <c r="DN2809" t="s">
        <v>120</v>
      </c>
    </row>
    <row r="2810" spans="1:118">
      <c r="A2810" t="str">
        <f>"600558"</f>
        <v>600558</v>
      </c>
      <c r="B2810" t="s">
        <v>12540</v>
      </c>
      <c r="C2810">
        <v>3.03</v>
      </c>
      <c r="D2810">
        <v>0</v>
      </c>
      <c r="E2810">
        <v>0.83</v>
      </c>
      <c r="F2810">
        <v>4475</v>
      </c>
      <c r="G2810" t="s">
        <v>12541</v>
      </c>
      <c r="H2810">
        <v>25201.89</v>
      </c>
      <c r="I2810">
        <v>148.01</v>
      </c>
      <c r="J2810" t="s">
        <v>120</v>
      </c>
      <c r="K2810" t="s">
        <v>12542</v>
      </c>
      <c r="L2810">
        <v>7.33</v>
      </c>
      <c r="M2810">
        <v>3.74</v>
      </c>
      <c r="N2810">
        <v>3.24</v>
      </c>
      <c r="O2810">
        <v>9.92</v>
      </c>
      <c r="P2810">
        <v>3.99</v>
      </c>
      <c r="Q2810">
        <v>0.55000000000000004</v>
      </c>
      <c r="R2810">
        <v>3.65</v>
      </c>
      <c r="S2810">
        <v>3.66</v>
      </c>
      <c r="T2810">
        <v>658031</v>
      </c>
      <c r="U2810">
        <v>3.74</v>
      </c>
      <c r="V2810">
        <v>3.63</v>
      </c>
      <c r="W2810">
        <v>34.869999999999997</v>
      </c>
      <c r="X2810" t="s">
        <v>1925</v>
      </c>
      <c r="Y2810" t="s">
        <v>578</v>
      </c>
      <c r="Z2810">
        <v>9.3699999999999992</v>
      </c>
      <c r="AA2810">
        <v>3.83</v>
      </c>
      <c r="AB2810">
        <v>313450</v>
      </c>
      <c r="AC2810">
        <v>344581</v>
      </c>
      <c r="AD2810">
        <v>0.91</v>
      </c>
      <c r="AE2810">
        <v>2288</v>
      </c>
      <c r="AF2810">
        <v>617</v>
      </c>
      <c r="AG2810" t="s">
        <v>120</v>
      </c>
      <c r="AH2810">
        <v>7.0000000000000007E-2</v>
      </c>
      <c r="AI2810" t="s">
        <v>120</v>
      </c>
      <c r="AJ2810">
        <v>8.98</v>
      </c>
      <c r="AK2810" t="s">
        <v>12542</v>
      </c>
      <c r="AL2810">
        <v>4.37</v>
      </c>
      <c r="AM2810">
        <v>3118</v>
      </c>
      <c r="AN2810">
        <v>211</v>
      </c>
      <c r="AO2810">
        <v>2.3999999999999998E-3</v>
      </c>
      <c r="AP2810">
        <v>2</v>
      </c>
      <c r="AQ2810">
        <v>1.4</v>
      </c>
      <c r="AR2810">
        <v>1.63</v>
      </c>
      <c r="AS2810">
        <v>10.65</v>
      </c>
      <c r="AT2810">
        <v>16.510000000000002</v>
      </c>
      <c r="AU2810">
        <v>19.48</v>
      </c>
      <c r="AV2810">
        <v>0</v>
      </c>
      <c r="AW2810">
        <v>11</v>
      </c>
      <c r="AX2810">
        <v>66.63</v>
      </c>
      <c r="AY2810">
        <v>25.98</v>
      </c>
      <c r="AZ2810">
        <v>30.77</v>
      </c>
      <c r="BA2810">
        <v>0.78</v>
      </c>
      <c r="BB2810" t="s">
        <v>143</v>
      </c>
      <c r="BF2810">
        <v>5.51</v>
      </c>
      <c r="BG2810">
        <v>2.19</v>
      </c>
      <c r="BH2810">
        <v>-6.27</v>
      </c>
      <c r="BI2810">
        <v>2.4700000000000002</v>
      </c>
      <c r="BJ2810">
        <v>20210827</v>
      </c>
      <c r="BK2810">
        <v>20010227</v>
      </c>
      <c r="BL2810">
        <v>8.98</v>
      </c>
      <c r="BM2810" t="s">
        <v>120</v>
      </c>
      <c r="BN2810" t="s">
        <v>120</v>
      </c>
      <c r="BO2810">
        <v>32.56</v>
      </c>
      <c r="BP2810">
        <v>3.73</v>
      </c>
      <c r="BQ2810">
        <v>21.56</v>
      </c>
      <c r="BR2810">
        <v>2.0099999999999998</v>
      </c>
      <c r="BS2810">
        <v>27.58</v>
      </c>
      <c r="BT2810">
        <v>17.29</v>
      </c>
      <c r="BU2810">
        <v>9.94</v>
      </c>
      <c r="BV2810">
        <v>2.4900000000000002</v>
      </c>
      <c r="BW2810">
        <v>8.31</v>
      </c>
      <c r="BX2810">
        <v>2.56</v>
      </c>
      <c r="BY2810">
        <v>6.9</v>
      </c>
      <c r="BZ2810">
        <v>3.37</v>
      </c>
      <c r="CA2810" t="s">
        <v>120</v>
      </c>
      <c r="CB2810">
        <v>4.4800000000000004</v>
      </c>
      <c r="CC2810">
        <v>18.22</v>
      </c>
      <c r="CD2810">
        <v>15.86</v>
      </c>
      <c r="CE2810">
        <v>0.76</v>
      </c>
      <c r="CF2810">
        <v>0.05</v>
      </c>
      <c r="CG2810">
        <v>0.76</v>
      </c>
      <c r="CH2810">
        <v>0.62</v>
      </c>
      <c r="CI2810">
        <v>0.48</v>
      </c>
      <c r="CJ2810">
        <v>0.11</v>
      </c>
      <c r="CK2810">
        <v>0.45</v>
      </c>
      <c r="CL2810">
        <v>6.55</v>
      </c>
      <c r="CM2810">
        <v>-0.59</v>
      </c>
      <c r="CN2810">
        <v>-0.56000000000000005</v>
      </c>
      <c r="CO2810">
        <v>37859</v>
      </c>
      <c r="CP2810">
        <v>15797</v>
      </c>
      <c r="CQ2810" t="s">
        <v>7094</v>
      </c>
      <c r="CR2810">
        <v>68.17</v>
      </c>
      <c r="CS2810">
        <v>27.69</v>
      </c>
      <c r="CT2810">
        <v>1.56</v>
      </c>
      <c r="CU2810">
        <v>-57.06</v>
      </c>
      <c r="CV2810">
        <v>1.84</v>
      </c>
      <c r="CW2810">
        <v>1.1000000000000001</v>
      </c>
      <c r="CX2810" t="s">
        <v>12543</v>
      </c>
      <c r="CY2810">
        <v>2.4</v>
      </c>
      <c r="CZ2810">
        <v>0</v>
      </c>
      <c r="DA2810">
        <v>0.5</v>
      </c>
      <c r="DB2810">
        <v>0.73</v>
      </c>
      <c r="DC2810">
        <v>-7.0000000000000007E-2</v>
      </c>
      <c r="DD2810">
        <v>66.23</v>
      </c>
      <c r="DE2810" t="s">
        <v>11374</v>
      </c>
      <c r="DF2810">
        <v>12.93</v>
      </c>
      <c r="DG2810">
        <v>4.17</v>
      </c>
      <c r="DH2810">
        <v>2.64</v>
      </c>
      <c r="DI2810">
        <v>0.2</v>
      </c>
      <c r="DJ2810">
        <v>1993</v>
      </c>
      <c r="DK2810">
        <v>600558</v>
      </c>
      <c r="DL2810" t="s">
        <v>120</v>
      </c>
      <c r="DM2810" t="s">
        <v>120</v>
      </c>
      <c r="DN2810" t="s">
        <v>120</v>
      </c>
    </row>
    <row r="2811" spans="1:118">
      <c r="A2811" t="str">
        <f>"600559"</f>
        <v>600559</v>
      </c>
      <c r="B2811" t="s">
        <v>12544</v>
      </c>
      <c r="C2811">
        <v>0.24</v>
      </c>
      <c r="D2811">
        <v>-0.04</v>
      </c>
      <c r="E2811">
        <v>-0.38</v>
      </c>
      <c r="F2811">
        <v>2567</v>
      </c>
      <c r="G2811" t="s">
        <v>12545</v>
      </c>
      <c r="H2811">
        <v>52943.29</v>
      </c>
      <c r="I2811">
        <v>90.71</v>
      </c>
      <c r="J2811" t="s">
        <v>120</v>
      </c>
      <c r="K2811" t="s">
        <v>12546</v>
      </c>
      <c r="L2811">
        <v>2.79</v>
      </c>
      <c r="M2811">
        <v>21.03</v>
      </c>
      <c r="N2811">
        <v>0.94</v>
      </c>
      <c r="O2811">
        <v>2.29</v>
      </c>
      <c r="P2811">
        <v>21.46</v>
      </c>
      <c r="Q2811">
        <v>-1.19</v>
      </c>
      <c r="R2811">
        <v>20.73</v>
      </c>
      <c r="S2811">
        <v>20.9</v>
      </c>
      <c r="T2811">
        <v>250685</v>
      </c>
      <c r="U2811">
        <v>21.04</v>
      </c>
      <c r="V2811">
        <v>20.98</v>
      </c>
      <c r="W2811">
        <v>75.81</v>
      </c>
      <c r="X2811" t="s">
        <v>1165</v>
      </c>
      <c r="Y2811" t="s">
        <v>602</v>
      </c>
      <c r="Z2811">
        <v>3.48</v>
      </c>
      <c r="AA2811">
        <v>21.12</v>
      </c>
      <c r="AB2811">
        <v>123566</v>
      </c>
      <c r="AC2811">
        <v>127119</v>
      </c>
      <c r="AD2811">
        <v>0.97</v>
      </c>
      <c r="AE2811">
        <v>826</v>
      </c>
      <c r="AF2811">
        <v>425</v>
      </c>
      <c r="AG2811" t="s">
        <v>120</v>
      </c>
      <c r="AH2811">
        <v>0.01</v>
      </c>
      <c r="AI2811" t="s">
        <v>120</v>
      </c>
      <c r="AJ2811">
        <v>8.9700000000000006</v>
      </c>
      <c r="AK2811" t="s">
        <v>12546</v>
      </c>
      <c r="AL2811">
        <v>1.58</v>
      </c>
      <c r="AM2811">
        <v>4507</v>
      </c>
      <c r="AN2811">
        <v>56</v>
      </c>
      <c r="AO2811">
        <v>5.9999999999999995E-4</v>
      </c>
      <c r="AP2811">
        <v>1</v>
      </c>
      <c r="AQ2811">
        <v>-3.27</v>
      </c>
      <c r="AR2811">
        <v>-3.83</v>
      </c>
      <c r="AS2811">
        <v>-0.47</v>
      </c>
      <c r="AT2811">
        <v>-17.62</v>
      </c>
      <c r="AU2811">
        <v>-32.880000000000003</v>
      </c>
      <c r="AV2811">
        <v>15</v>
      </c>
      <c r="AW2811">
        <v>3.76</v>
      </c>
      <c r="AX2811">
        <v>74.37</v>
      </c>
      <c r="AY2811">
        <v>58.87</v>
      </c>
      <c r="AZ2811">
        <v>60.22</v>
      </c>
      <c r="BA2811">
        <v>2.0299999999999998</v>
      </c>
      <c r="BB2811" t="s">
        <v>143</v>
      </c>
      <c r="BF2811">
        <v>0.66</v>
      </c>
      <c r="BG2811">
        <v>0.62</v>
      </c>
      <c r="BH2811">
        <v>-2</v>
      </c>
      <c r="BI2811">
        <v>1.45</v>
      </c>
      <c r="BJ2811">
        <v>20210828</v>
      </c>
      <c r="BK2811">
        <v>20021029</v>
      </c>
      <c r="BL2811">
        <v>8.9700000000000006</v>
      </c>
      <c r="BM2811" t="s">
        <v>120</v>
      </c>
      <c r="BN2811" t="s">
        <v>120</v>
      </c>
      <c r="BO2811">
        <v>67.05</v>
      </c>
      <c r="BP2811">
        <v>21.03</v>
      </c>
      <c r="BQ2811">
        <v>34.54</v>
      </c>
      <c r="BR2811" t="s">
        <v>120</v>
      </c>
      <c r="BS2811">
        <v>48.49</v>
      </c>
      <c r="BT2811">
        <v>35.42</v>
      </c>
      <c r="BU2811">
        <v>10.85</v>
      </c>
      <c r="BV2811">
        <v>8.4700000000000006</v>
      </c>
      <c r="BW2811">
        <v>30.84</v>
      </c>
      <c r="BX2811">
        <v>8.73</v>
      </c>
      <c r="BY2811">
        <v>20.28</v>
      </c>
      <c r="BZ2811">
        <v>0.38</v>
      </c>
      <c r="CA2811" t="s">
        <v>120</v>
      </c>
      <c r="CB2811">
        <v>12.81</v>
      </c>
      <c r="CC2811">
        <v>16.52</v>
      </c>
      <c r="CD2811">
        <v>5.35</v>
      </c>
      <c r="CE2811">
        <v>1.75</v>
      </c>
      <c r="CF2811">
        <v>0.09</v>
      </c>
      <c r="CG2811">
        <v>1.77</v>
      </c>
      <c r="CH2811">
        <v>1.24</v>
      </c>
      <c r="CI2811">
        <v>1.24</v>
      </c>
      <c r="CJ2811">
        <v>0.05</v>
      </c>
      <c r="CK2811">
        <v>1.06</v>
      </c>
      <c r="CL2811">
        <v>11.14</v>
      </c>
      <c r="CM2811">
        <v>5.07</v>
      </c>
      <c r="CN2811">
        <v>-2.7</v>
      </c>
      <c r="CO2811">
        <v>239388</v>
      </c>
      <c r="CP2811">
        <v>2787</v>
      </c>
      <c r="CQ2811" t="s">
        <v>12547</v>
      </c>
      <c r="CR2811">
        <v>6.1</v>
      </c>
      <c r="CS2811">
        <v>10.61</v>
      </c>
      <c r="CT2811">
        <v>5.46</v>
      </c>
      <c r="CU2811">
        <v>37.25</v>
      </c>
      <c r="CV2811">
        <v>11.43</v>
      </c>
      <c r="CW2811">
        <v>0.71</v>
      </c>
      <c r="CX2811" t="s">
        <v>300</v>
      </c>
      <c r="CY2811">
        <v>3.85</v>
      </c>
      <c r="CZ2811">
        <v>0</v>
      </c>
      <c r="DA2811">
        <v>1.43</v>
      </c>
      <c r="DB2811">
        <v>1.24</v>
      </c>
      <c r="DC2811">
        <v>0.56000000000000005</v>
      </c>
      <c r="DD2811">
        <v>51.51</v>
      </c>
      <c r="DE2811" t="s">
        <v>1060</v>
      </c>
      <c r="DF2811">
        <v>67.62</v>
      </c>
      <c r="DG2811">
        <v>10.62</v>
      </c>
      <c r="DH2811">
        <v>7.54</v>
      </c>
      <c r="DI2811">
        <v>0.08</v>
      </c>
      <c r="DJ2811">
        <v>5903</v>
      </c>
      <c r="DK2811">
        <v>600559</v>
      </c>
      <c r="DL2811" t="s">
        <v>120</v>
      </c>
      <c r="DM2811" t="s">
        <v>120</v>
      </c>
      <c r="DN2811" t="s">
        <v>120</v>
      </c>
    </row>
    <row r="2812" spans="1:118">
      <c r="A2812" t="str">
        <f>"600560"</f>
        <v>600560</v>
      </c>
      <c r="B2812" t="s">
        <v>12548</v>
      </c>
      <c r="C2812">
        <v>-1.73</v>
      </c>
      <c r="D2812">
        <v>0.1</v>
      </c>
      <c r="E2812">
        <v>-0.2</v>
      </c>
      <c r="F2812">
        <v>151</v>
      </c>
      <c r="G2812" t="s">
        <v>5583</v>
      </c>
      <c r="H2812">
        <v>2500.88</v>
      </c>
      <c r="I2812">
        <v>16.12</v>
      </c>
      <c r="J2812" t="s">
        <v>120</v>
      </c>
      <c r="K2812" t="s">
        <v>7147</v>
      </c>
      <c r="L2812">
        <v>1.1399999999999999</v>
      </c>
      <c r="M2812">
        <v>9.68</v>
      </c>
      <c r="N2812">
        <v>1.03</v>
      </c>
      <c r="O2812">
        <v>1.1200000000000001</v>
      </c>
      <c r="P2812">
        <v>9.9600000000000009</v>
      </c>
      <c r="Q2812">
        <v>-2.0299999999999998</v>
      </c>
      <c r="R2812">
        <v>9.65</v>
      </c>
      <c r="S2812">
        <v>9.83</v>
      </c>
      <c r="T2812">
        <v>25519</v>
      </c>
      <c r="U2812">
        <v>9.68</v>
      </c>
      <c r="V2812">
        <v>9.85</v>
      </c>
      <c r="W2812">
        <v>42.98</v>
      </c>
      <c r="X2812" t="s">
        <v>394</v>
      </c>
      <c r="Y2812" t="s">
        <v>158</v>
      </c>
      <c r="Z2812">
        <v>3.15</v>
      </c>
      <c r="AA2812">
        <v>9.8000000000000007</v>
      </c>
      <c r="AB2812">
        <v>15713</v>
      </c>
      <c r="AC2812">
        <v>9806</v>
      </c>
      <c r="AD2812">
        <v>1.6</v>
      </c>
      <c r="AE2812">
        <v>224</v>
      </c>
      <c r="AF2812">
        <v>34</v>
      </c>
      <c r="AG2812" t="s">
        <v>120</v>
      </c>
      <c r="AH2812">
        <v>0.01</v>
      </c>
      <c r="AI2812" t="s">
        <v>120</v>
      </c>
      <c r="AJ2812">
        <v>2.2400000000000002</v>
      </c>
      <c r="AK2812" t="s">
        <v>7147</v>
      </c>
      <c r="AL2812">
        <v>-0.38</v>
      </c>
      <c r="AM2812">
        <v>1398</v>
      </c>
      <c r="AN2812">
        <v>18</v>
      </c>
      <c r="AO2812">
        <v>8.0000000000000004E-4</v>
      </c>
      <c r="AP2812">
        <v>-1</v>
      </c>
      <c r="AQ2812">
        <v>2.6</v>
      </c>
      <c r="AR2812">
        <v>-1.43</v>
      </c>
      <c r="AS2812">
        <v>4.43</v>
      </c>
      <c r="AT2812">
        <v>6.84</v>
      </c>
      <c r="AU2812">
        <v>7.7</v>
      </c>
      <c r="AV2812">
        <v>0</v>
      </c>
      <c r="AW2812">
        <v>2.02</v>
      </c>
      <c r="AX2812">
        <v>56.42</v>
      </c>
      <c r="AY2812">
        <v>49.96</v>
      </c>
      <c r="AZ2812">
        <v>57.89</v>
      </c>
      <c r="BA2812">
        <v>0.78</v>
      </c>
      <c r="BB2812" t="s">
        <v>168</v>
      </c>
      <c r="BF2812">
        <v>-0.51</v>
      </c>
      <c r="BG2812">
        <v>-1.53</v>
      </c>
      <c r="BH2812">
        <v>-2.81</v>
      </c>
      <c r="BI2812">
        <v>0.31</v>
      </c>
      <c r="BJ2812">
        <v>20210826</v>
      </c>
      <c r="BK2812">
        <v>20020919</v>
      </c>
      <c r="BL2812">
        <v>2.2400000000000002</v>
      </c>
      <c r="BM2812" t="s">
        <v>120</v>
      </c>
      <c r="BN2812" t="s">
        <v>120</v>
      </c>
      <c r="BO2812">
        <v>19.55</v>
      </c>
      <c r="BP2812">
        <v>9.67</v>
      </c>
      <c r="BQ2812">
        <v>8.1999999999999993</v>
      </c>
      <c r="BR2812">
        <v>0.32</v>
      </c>
      <c r="BS2812">
        <v>56.41</v>
      </c>
      <c r="BT2812">
        <v>16.93</v>
      </c>
      <c r="BU2812">
        <v>1.0900000000000001</v>
      </c>
      <c r="BV2812">
        <v>0.24</v>
      </c>
      <c r="BW2812">
        <v>10.85</v>
      </c>
      <c r="BX2812">
        <v>0.85</v>
      </c>
      <c r="BY2812">
        <v>6.52</v>
      </c>
      <c r="BZ2812">
        <v>3.27</v>
      </c>
      <c r="CA2812" t="s">
        <v>120</v>
      </c>
      <c r="CB2812">
        <v>2.0699999999999998</v>
      </c>
      <c r="CC2812">
        <v>3.1</v>
      </c>
      <c r="CD2812">
        <v>2.4</v>
      </c>
      <c r="CE2812">
        <v>0.32</v>
      </c>
      <c r="CF2812">
        <v>0.01</v>
      </c>
      <c r="CG2812">
        <v>0.32</v>
      </c>
      <c r="CH2812">
        <v>0.26</v>
      </c>
      <c r="CI2812">
        <v>0.25</v>
      </c>
      <c r="CJ2812">
        <v>-0.17</v>
      </c>
      <c r="CK2812">
        <v>0.2</v>
      </c>
      <c r="CL2812">
        <v>3.24</v>
      </c>
      <c r="CM2812">
        <v>0.88</v>
      </c>
      <c r="CN2812">
        <v>0.37</v>
      </c>
      <c r="CO2812">
        <v>18404</v>
      </c>
      <c r="CP2812">
        <v>6856</v>
      </c>
      <c r="CQ2812" t="s">
        <v>2067</v>
      </c>
      <c r="CR2812">
        <v>31.5</v>
      </c>
      <c r="CS2812">
        <v>13.32</v>
      </c>
      <c r="CT2812">
        <v>2.64</v>
      </c>
      <c r="CU2812">
        <v>24.52</v>
      </c>
      <c r="CV2812">
        <v>6.99</v>
      </c>
      <c r="CW2812">
        <v>0.53</v>
      </c>
      <c r="CX2812" t="s">
        <v>12549</v>
      </c>
      <c r="CY2812">
        <v>3.67</v>
      </c>
      <c r="CZ2812">
        <v>0</v>
      </c>
      <c r="DA2812">
        <v>0.93</v>
      </c>
      <c r="DB2812">
        <v>1.45</v>
      </c>
      <c r="DC2812">
        <v>0.39</v>
      </c>
      <c r="DD2812">
        <v>41.93</v>
      </c>
      <c r="DE2812" t="s">
        <v>9800</v>
      </c>
      <c r="DF2812">
        <v>22.4</v>
      </c>
      <c r="DG2812">
        <v>10.34</v>
      </c>
      <c r="DH2812">
        <v>8.1300000000000008</v>
      </c>
      <c r="DI2812">
        <v>0.19</v>
      </c>
      <c r="DJ2812">
        <v>351</v>
      </c>
      <c r="DK2812">
        <v>600560</v>
      </c>
      <c r="DL2812">
        <v>20200831</v>
      </c>
      <c r="DM2812">
        <v>10.35</v>
      </c>
      <c r="DN2812">
        <v>-5.97</v>
      </c>
    </row>
    <row r="2813" spans="1:118">
      <c r="A2813" t="str">
        <f>"600561"</f>
        <v>600561</v>
      </c>
      <c r="B2813" t="s">
        <v>12550</v>
      </c>
      <c r="C2813">
        <v>0.39</v>
      </c>
      <c r="D2813">
        <v>-0.18</v>
      </c>
      <c r="E2813">
        <v>0</v>
      </c>
      <c r="F2813">
        <v>124</v>
      </c>
      <c r="G2813" t="s">
        <v>9931</v>
      </c>
      <c r="H2813">
        <v>1348.33</v>
      </c>
      <c r="I2813">
        <v>1.86</v>
      </c>
      <c r="J2813" t="s">
        <v>120</v>
      </c>
      <c r="K2813" t="s">
        <v>10409</v>
      </c>
      <c r="L2813">
        <v>1.0900000000000001</v>
      </c>
      <c r="M2813">
        <v>5.19</v>
      </c>
      <c r="N2813">
        <v>0.77</v>
      </c>
      <c r="O2813">
        <v>2.71</v>
      </c>
      <c r="P2813">
        <v>5.31</v>
      </c>
      <c r="Q2813">
        <v>-0.39</v>
      </c>
      <c r="R2813">
        <v>5.15</v>
      </c>
      <c r="S2813">
        <v>5.17</v>
      </c>
      <c r="T2813">
        <v>25838</v>
      </c>
      <c r="U2813">
        <v>5.2</v>
      </c>
      <c r="V2813">
        <v>5.17</v>
      </c>
      <c r="W2813">
        <v>67.53</v>
      </c>
      <c r="X2813" t="s">
        <v>5789</v>
      </c>
      <c r="Y2813" t="s">
        <v>676</v>
      </c>
      <c r="Z2813">
        <v>3.09</v>
      </c>
      <c r="AA2813">
        <v>5.22</v>
      </c>
      <c r="AB2813">
        <v>13166</v>
      </c>
      <c r="AC2813">
        <v>12672</v>
      </c>
      <c r="AD2813">
        <v>1.04</v>
      </c>
      <c r="AE2813">
        <v>181</v>
      </c>
      <c r="AF2813">
        <v>115</v>
      </c>
      <c r="AG2813" t="s">
        <v>120</v>
      </c>
      <c r="AH2813">
        <v>0</v>
      </c>
      <c r="AI2813" t="s">
        <v>120</v>
      </c>
      <c r="AJ2813">
        <v>2.37</v>
      </c>
      <c r="AK2813" t="s">
        <v>896</v>
      </c>
      <c r="AL2813">
        <v>1.73</v>
      </c>
      <c r="AM2813">
        <v>1724</v>
      </c>
      <c r="AN2813">
        <v>15</v>
      </c>
      <c r="AO2813">
        <v>5.9999999999999995E-4</v>
      </c>
      <c r="AP2813">
        <v>2</v>
      </c>
      <c r="AQ2813">
        <v>0.19</v>
      </c>
      <c r="AR2813">
        <v>-3.89</v>
      </c>
      <c r="AS2813">
        <v>16.11</v>
      </c>
      <c r="AT2813">
        <v>22.4</v>
      </c>
      <c r="AU2813">
        <v>15.33</v>
      </c>
      <c r="AV2813">
        <v>0</v>
      </c>
      <c r="AW2813">
        <v>1.51</v>
      </c>
      <c r="AX2813">
        <v>60.25</v>
      </c>
      <c r="AY2813" t="s">
        <v>120</v>
      </c>
      <c r="AZ2813" t="s">
        <v>120</v>
      </c>
      <c r="BA2813">
        <v>0.52</v>
      </c>
      <c r="BB2813" t="s">
        <v>143</v>
      </c>
      <c r="BF2813">
        <v>0.94</v>
      </c>
      <c r="BG2813">
        <v>0.39</v>
      </c>
      <c r="BH2813">
        <v>-2.2599999999999998</v>
      </c>
      <c r="BI2813">
        <v>0.78</v>
      </c>
      <c r="BJ2813">
        <v>20210828</v>
      </c>
      <c r="BK2813">
        <v>20020716</v>
      </c>
      <c r="BL2813">
        <v>2.84</v>
      </c>
      <c r="BM2813" t="s">
        <v>120</v>
      </c>
      <c r="BN2813" t="s">
        <v>120</v>
      </c>
      <c r="BO2813">
        <v>55.67</v>
      </c>
      <c r="BP2813">
        <v>5.19</v>
      </c>
      <c r="BQ2813">
        <v>11.04</v>
      </c>
      <c r="BR2813">
        <v>3.28</v>
      </c>
      <c r="BS2813">
        <v>74.27</v>
      </c>
      <c r="BT2813">
        <v>11.72</v>
      </c>
      <c r="BU2813">
        <v>25.83</v>
      </c>
      <c r="BV2813">
        <v>11.21</v>
      </c>
      <c r="BW2813">
        <v>37.61</v>
      </c>
      <c r="BX2813">
        <v>5.62</v>
      </c>
      <c r="BY2813">
        <v>1.05</v>
      </c>
      <c r="BZ2813">
        <v>1.24</v>
      </c>
      <c r="CA2813">
        <v>0.03</v>
      </c>
      <c r="CB2813">
        <v>6.57</v>
      </c>
      <c r="CC2813">
        <v>9.35</v>
      </c>
      <c r="CD2813">
        <v>9.81</v>
      </c>
      <c r="CE2813">
        <v>0.11</v>
      </c>
      <c r="CF2813">
        <v>0.88</v>
      </c>
      <c r="CG2813">
        <v>0.16</v>
      </c>
      <c r="CH2813">
        <v>0.13</v>
      </c>
      <c r="CI2813">
        <v>0.11</v>
      </c>
      <c r="CJ2813">
        <v>0.02</v>
      </c>
      <c r="CK2813">
        <v>-0.57999999999999996</v>
      </c>
      <c r="CL2813">
        <v>-0.1</v>
      </c>
      <c r="CM2813">
        <v>1.69</v>
      </c>
      <c r="CN2813">
        <v>0.9</v>
      </c>
      <c r="CO2813">
        <v>11918</v>
      </c>
      <c r="CP2813">
        <v>14381</v>
      </c>
      <c r="CQ2813" t="s">
        <v>1029</v>
      </c>
      <c r="CR2813">
        <v>105.3</v>
      </c>
      <c r="CS2813">
        <v>23.03</v>
      </c>
      <c r="CT2813">
        <v>1.34</v>
      </c>
      <c r="CU2813">
        <v>8.7200000000000006</v>
      </c>
      <c r="CV2813">
        <v>1.58</v>
      </c>
      <c r="CW2813">
        <v>0</v>
      </c>
      <c r="CX2813" t="s">
        <v>145</v>
      </c>
      <c r="CY2813">
        <v>3.88</v>
      </c>
      <c r="CZ2813">
        <v>0</v>
      </c>
      <c r="DA2813">
        <v>2.31</v>
      </c>
      <c r="DB2813">
        <v>-0.03</v>
      </c>
      <c r="DC2813">
        <v>0.6</v>
      </c>
      <c r="DD2813">
        <v>19.829999999999998</v>
      </c>
      <c r="DE2813" t="s">
        <v>1546</v>
      </c>
      <c r="DF2813">
        <v>-4.9000000000000004</v>
      </c>
      <c r="DG2813">
        <v>1.22</v>
      </c>
      <c r="DH2813">
        <v>1.17</v>
      </c>
      <c r="DI2813" t="s">
        <v>120</v>
      </c>
      <c r="DJ2813">
        <v>13698</v>
      </c>
      <c r="DK2813">
        <v>600561</v>
      </c>
      <c r="DL2813" t="s">
        <v>120</v>
      </c>
      <c r="DM2813" t="s">
        <v>120</v>
      </c>
      <c r="DN2813" t="s">
        <v>120</v>
      </c>
    </row>
    <row r="2814" spans="1:118">
      <c r="A2814" t="str">
        <f>"600562"</f>
        <v>600562</v>
      </c>
      <c r="B2814" t="s">
        <v>12551</v>
      </c>
      <c r="C2814">
        <v>-0.93</v>
      </c>
      <c r="D2814">
        <v>-0.13</v>
      </c>
      <c r="E2814">
        <v>0.14000000000000001</v>
      </c>
      <c r="F2814">
        <v>3751</v>
      </c>
      <c r="G2814" t="s">
        <v>5379</v>
      </c>
      <c r="H2814">
        <v>11551.17</v>
      </c>
      <c r="I2814">
        <v>9.5399999999999991</v>
      </c>
      <c r="J2814" t="s">
        <v>120</v>
      </c>
      <c r="K2814" t="s">
        <v>12552</v>
      </c>
      <c r="L2814">
        <v>1.25</v>
      </c>
      <c r="M2814">
        <v>13.88</v>
      </c>
      <c r="N2814">
        <v>0.92</v>
      </c>
      <c r="O2814">
        <v>0.79</v>
      </c>
      <c r="P2814">
        <v>14.12</v>
      </c>
      <c r="Q2814">
        <v>-0.93</v>
      </c>
      <c r="R2814">
        <v>13.88</v>
      </c>
      <c r="S2814">
        <v>14.03</v>
      </c>
      <c r="T2814">
        <v>82664</v>
      </c>
      <c r="U2814">
        <v>13.88</v>
      </c>
      <c r="V2814">
        <v>14.01</v>
      </c>
      <c r="W2814">
        <v>48.23</v>
      </c>
      <c r="X2814" t="s">
        <v>462</v>
      </c>
      <c r="Y2814" t="s">
        <v>319</v>
      </c>
      <c r="Z2814">
        <v>1.71</v>
      </c>
      <c r="AA2814">
        <v>13.97</v>
      </c>
      <c r="AB2814">
        <v>53738</v>
      </c>
      <c r="AC2814">
        <v>28926</v>
      </c>
      <c r="AD2814">
        <v>1.86</v>
      </c>
      <c r="AE2814">
        <v>386</v>
      </c>
      <c r="AF2814">
        <v>62</v>
      </c>
      <c r="AG2814" t="s">
        <v>120</v>
      </c>
      <c r="AH2814">
        <v>0</v>
      </c>
      <c r="AI2814" t="s">
        <v>120</v>
      </c>
      <c r="AJ2814">
        <v>6.61</v>
      </c>
      <c r="AK2814" t="s">
        <v>12553</v>
      </c>
      <c r="AL2814">
        <v>0.42</v>
      </c>
      <c r="AM2814">
        <v>2678</v>
      </c>
      <c r="AN2814">
        <v>31</v>
      </c>
      <c r="AO2814">
        <v>5.0000000000000001E-4</v>
      </c>
      <c r="AP2814">
        <v>-3</v>
      </c>
      <c r="AQ2814">
        <v>-0.56999999999999995</v>
      </c>
      <c r="AR2814">
        <v>-3.14</v>
      </c>
      <c r="AS2814">
        <v>-8.69</v>
      </c>
      <c r="AT2814">
        <v>-10.38</v>
      </c>
      <c r="AU2814">
        <v>-17.899999999999999</v>
      </c>
      <c r="AV2814">
        <v>0</v>
      </c>
      <c r="AW2814">
        <v>2.09</v>
      </c>
      <c r="AX2814">
        <v>31.91</v>
      </c>
      <c r="AY2814">
        <v>36.840000000000003</v>
      </c>
      <c r="AZ2814">
        <v>37.299999999999997</v>
      </c>
      <c r="BA2814">
        <v>0.46</v>
      </c>
      <c r="BB2814" t="s">
        <v>143</v>
      </c>
      <c r="BF2814">
        <v>-0.26</v>
      </c>
      <c r="BG2814">
        <v>-1.07</v>
      </c>
      <c r="BH2814">
        <v>-1.7</v>
      </c>
      <c r="BI2814">
        <v>0</v>
      </c>
      <c r="BJ2814">
        <v>20210828</v>
      </c>
      <c r="BK2814">
        <v>20030128</v>
      </c>
      <c r="BL2814">
        <v>12.42</v>
      </c>
      <c r="BM2814" t="s">
        <v>120</v>
      </c>
      <c r="BN2814" t="s">
        <v>120</v>
      </c>
      <c r="BO2814">
        <v>86.32</v>
      </c>
      <c r="BP2814">
        <v>13.87</v>
      </c>
      <c r="BQ2814">
        <v>43.54</v>
      </c>
      <c r="BR2814">
        <v>0.08</v>
      </c>
      <c r="BS2814">
        <v>49.48</v>
      </c>
      <c r="BT2814">
        <v>75.22</v>
      </c>
      <c r="BU2814">
        <v>2.06</v>
      </c>
      <c r="BV2814">
        <v>0.3</v>
      </c>
      <c r="BW2814">
        <v>42.11</v>
      </c>
      <c r="BX2814">
        <v>11.69</v>
      </c>
      <c r="BY2814">
        <v>24.49</v>
      </c>
      <c r="BZ2814">
        <v>34.159999999999997</v>
      </c>
      <c r="CA2814">
        <v>0.01</v>
      </c>
      <c r="CB2814">
        <v>18.05</v>
      </c>
      <c r="CC2814">
        <v>16.45</v>
      </c>
      <c r="CD2814">
        <v>12.64</v>
      </c>
      <c r="CE2814">
        <v>2.2999999999999998</v>
      </c>
      <c r="CF2814">
        <v>-0.19</v>
      </c>
      <c r="CG2814">
        <v>2.31</v>
      </c>
      <c r="CH2814">
        <v>1.79</v>
      </c>
      <c r="CI2814">
        <v>1.79</v>
      </c>
      <c r="CJ2814">
        <v>-0.13</v>
      </c>
      <c r="CK2814">
        <v>1.73</v>
      </c>
      <c r="CL2814">
        <v>11.81</v>
      </c>
      <c r="CM2814">
        <v>0.63</v>
      </c>
      <c r="CN2814">
        <v>1.46</v>
      </c>
      <c r="CO2814">
        <v>35383</v>
      </c>
      <c r="CP2814">
        <v>11200</v>
      </c>
      <c r="CQ2814" t="s">
        <v>12554</v>
      </c>
      <c r="CR2814">
        <v>3.36</v>
      </c>
      <c r="CS2814">
        <v>-3.69</v>
      </c>
      <c r="CT2814">
        <v>3.96</v>
      </c>
      <c r="CU2814">
        <v>272.95999999999998</v>
      </c>
      <c r="CV2814">
        <v>10.48</v>
      </c>
      <c r="CW2814">
        <v>0.81</v>
      </c>
      <c r="CX2814" t="s">
        <v>300</v>
      </c>
      <c r="CY2814">
        <v>3.51</v>
      </c>
      <c r="CZ2814">
        <v>0</v>
      </c>
      <c r="DA2814">
        <v>1.45</v>
      </c>
      <c r="DB2814">
        <v>0.95</v>
      </c>
      <c r="DC2814">
        <v>0.05</v>
      </c>
      <c r="DD2814">
        <v>50.43</v>
      </c>
      <c r="DE2814" t="s">
        <v>1587</v>
      </c>
      <c r="DF2814">
        <v>23.13</v>
      </c>
      <c r="DG2814">
        <v>14.01</v>
      </c>
      <c r="DH2814">
        <v>10.86</v>
      </c>
      <c r="DI2814">
        <v>0.61</v>
      </c>
      <c r="DJ2814">
        <v>1343</v>
      </c>
      <c r="DK2814">
        <v>600562</v>
      </c>
      <c r="DL2814" t="s">
        <v>120</v>
      </c>
      <c r="DM2814" t="s">
        <v>120</v>
      </c>
      <c r="DN2814" t="s">
        <v>120</v>
      </c>
    </row>
    <row r="2815" spans="1:118">
      <c r="A2815" t="str">
        <f>"600563"</f>
        <v>600563</v>
      </c>
      <c r="B2815" t="s">
        <v>12555</v>
      </c>
      <c r="C2815">
        <v>-0.61</v>
      </c>
      <c r="D2815">
        <v>-0.02</v>
      </c>
      <c r="E2815">
        <v>0.98</v>
      </c>
      <c r="F2815">
        <v>235</v>
      </c>
      <c r="G2815" t="s">
        <v>12556</v>
      </c>
      <c r="H2815">
        <v>30265.65</v>
      </c>
      <c r="I2815">
        <v>156.63999999999999</v>
      </c>
      <c r="J2815" t="s">
        <v>120</v>
      </c>
      <c r="K2815" t="s">
        <v>12557</v>
      </c>
      <c r="L2815">
        <v>0.76</v>
      </c>
      <c r="M2815">
        <v>175.2</v>
      </c>
      <c r="N2815">
        <v>0.64</v>
      </c>
      <c r="O2815">
        <v>4.83</v>
      </c>
      <c r="P2815">
        <v>184.8</v>
      </c>
      <c r="Q2815">
        <v>-1.29</v>
      </c>
      <c r="R2815">
        <v>174</v>
      </c>
      <c r="S2815">
        <v>178</v>
      </c>
      <c r="T2815">
        <v>17010</v>
      </c>
      <c r="U2815">
        <v>175.2</v>
      </c>
      <c r="V2815">
        <v>176.28</v>
      </c>
      <c r="W2815">
        <v>54.21</v>
      </c>
      <c r="X2815" t="s">
        <v>229</v>
      </c>
      <c r="Y2815" t="s">
        <v>937</v>
      </c>
      <c r="Z2815">
        <v>6.13</v>
      </c>
      <c r="AA2815">
        <v>177.93</v>
      </c>
      <c r="AB2815">
        <v>9190</v>
      </c>
      <c r="AC2815">
        <v>7820</v>
      </c>
      <c r="AD2815">
        <v>1.18</v>
      </c>
      <c r="AE2815">
        <v>1</v>
      </c>
      <c r="AF2815">
        <v>25</v>
      </c>
      <c r="AG2815" t="s">
        <v>120</v>
      </c>
      <c r="AH2815">
        <v>0.01</v>
      </c>
      <c r="AI2815" t="s">
        <v>120</v>
      </c>
      <c r="AJ2815">
        <v>2.25</v>
      </c>
      <c r="AK2815" t="s">
        <v>12557</v>
      </c>
      <c r="AL2815">
        <v>0.73</v>
      </c>
      <c r="AM2815">
        <v>2932</v>
      </c>
      <c r="AN2815">
        <v>6</v>
      </c>
      <c r="AO2815">
        <v>2.9999999999999997E-4</v>
      </c>
      <c r="AP2815">
        <v>-2</v>
      </c>
      <c r="AQ2815">
        <v>-1.26</v>
      </c>
      <c r="AR2815">
        <v>1.78</v>
      </c>
      <c r="AS2815">
        <v>-12.65</v>
      </c>
      <c r="AT2815">
        <v>18.55</v>
      </c>
      <c r="AU2815">
        <v>64.89</v>
      </c>
      <c r="AV2815">
        <v>1</v>
      </c>
      <c r="AW2815">
        <v>1.34</v>
      </c>
      <c r="AX2815">
        <v>56.41</v>
      </c>
      <c r="AY2815">
        <v>57.58</v>
      </c>
      <c r="AZ2815">
        <v>71.39</v>
      </c>
      <c r="BA2815">
        <v>1.26</v>
      </c>
      <c r="BB2815" t="s">
        <v>143</v>
      </c>
      <c r="BF2815">
        <v>0.93</v>
      </c>
      <c r="BG2815">
        <v>-1.57</v>
      </c>
      <c r="BH2815">
        <v>-5.19</v>
      </c>
      <c r="BI2815">
        <v>0.69</v>
      </c>
      <c r="BJ2815">
        <v>20210821</v>
      </c>
      <c r="BK2815">
        <v>20021210</v>
      </c>
      <c r="BL2815">
        <v>2.25</v>
      </c>
      <c r="BM2815" t="s">
        <v>120</v>
      </c>
      <c r="BN2815" t="s">
        <v>120</v>
      </c>
      <c r="BO2815">
        <v>38.47</v>
      </c>
      <c r="BP2815">
        <v>175.18</v>
      </c>
      <c r="BQ2815">
        <v>29.66</v>
      </c>
      <c r="BR2815">
        <v>0.51</v>
      </c>
      <c r="BS2815">
        <v>21.59</v>
      </c>
      <c r="BT2815">
        <v>28.46</v>
      </c>
      <c r="BU2815">
        <v>6.65</v>
      </c>
      <c r="BV2815">
        <v>0.72</v>
      </c>
      <c r="BW2815">
        <v>7.73</v>
      </c>
      <c r="BX2815">
        <v>7.98</v>
      </c>
      <c r="BY2815">
        <v>4.18</v>
      </c>
      <c r="BZ2815">
        <v>7.81</v>
      </c>
      <c r="CA2815">
        <v>0.02</v>
      </c>
      <c r="CB2815">
        <v>2.62</v>
      </c>
      <c r="CC2815">
        <v>12.83</v>
      </c>
      <c r="CD2815">
        <v>7.23</v>
      </c>
      <c r="CE2815">
        <v>4.3499999999999996</v>
      </c>
      <c r="CF2815">
        <v>0.21</v>
      </c>
      <c r="CG2815">
        <v>4.34</v>
      </c>
      <c r="CH2815">
        <v>3.68</v>
      </c>
      <c r="CI2815">
        <v>3.64</v>
      </c>
      <c r="CJ2815">
        <v>-1.08</v>
      </c>
      <c r="CK2815">
        <v>3.45</v>
      </c>
      <c r="CL2815">
        <v>23.24</v>
      </c>
      <c r="CM2815">
        <v>3.83</v>
      </c>
      <c r="CN2815">
        <v>0.46</v>
      </c>
      <c r="CO2815">
        <v>11535</v>
      </c>
      <c r="CP2815">
        <v>11004</v>
      </c>
      <c r="CQ2815" t="s">
        <v>12558</v>
      </c>
      <c r="CR2815">
        <v>57.87</v>
      </c>
      <c r="CS2815">
        <v>53.34</v>
      </c>
      <c r="CT2815">
        <v>13.29</v>
      </c>
      <c r="CU2815">
        <v>102.92</v>
      </c>
      <c r="CV2815">
        <v>30.73</v>
      </c>
      <c r="CW2815">
        <v>0.74</v>
      </c>
      <c r="CX2815" t="s">
        <v>1449</v>
      </c>
      <c r="CY2815">
        <v>13.18</v>
      </c>
      <c r="CZ2815">
        <v>0</v>
      </c>
      <c r="DA2815">
        <v>1.1599999999999999</v>
      </c>
      <c r="DB2815">
        <v>10.33</v>
      </c>
      <c r="DC2815">
        <v>1.7</v>
      </c>
      <c r="DD2815">
        <v>77.09</v>
      </c>
      <c r="DE2815" t="s">
        <v>11665</v>
      </c>
      <c r="DF2815">
        <v>43.65</v>
      </c>
      <c r="DG2815">
        <v>33.89</v>
      </c>
      <c r="DH2815">
        <v>28.35</v>
      </c>
      <c r="DI2815">
        <v>0.51</v>
      </c>
      <c r="DJ2815">
        <v>3326</v>
      </c>
      <c r="DK2815">
        <v>600563</v>
      </c>
      <c r="DL2815" t="s">
        <v>120</v>
      </c>
      <c r="DM2815" t="s">
        <v>120</v>
      </c>
      <c r="DN2815" t="s">
        <v>120</v>
      </c>
    </row>
    <row r="2816" spans="1:118">
      <c r="A2816" t="str">
        <f>"600565"</f>
        <v>600565</v>
      </c>
      <c r="B2816" t="s">
        <v>12559</v>
      </c>
      <c r="C2816">
        <v>-1.94</v>
      </c>
      <c r="D2816">
        <v>0</v>
      </c>
      <c r="E2816">
        <v>0.39</v>
      </c>
      <c r="F2816">
        <v>1887</v>
      </c>
      <c r="G2816" t="s">
        <v>12560</v>
      </c>
      <c r="H2816">
        <v>4345.17</v>
      </c>
      <c r="I2816">
        <v>29.14</v>
      </c>
      <c r="J2816" t="s">
        <v>120</v>
      </c>
      <c r="K2816" t="s">
        <v>12561</v>
      </c>
      <c r="L2816">
        <v>0.69</v>
      </c>
      <c r="M2816">
        <v>2.5299999999999998</v>
      </c>
      <c r="N2816">
        <v>0.79</v>
      </c>
      <c r="O2816">
        <v>1.1599999999999999</v>
      </c>
      <c r="P2816">
        <v>2.61</v>
      </c>
      <c r="Q2816">
        <v>-1.94</v>
      </c>
      <c r="R2816">
        <v>2.5299999999999998</v>
      </c>
      <c r="S2816">
        <v>2.59</v>
      </c>
      <c r="T2816">
        <v>169029</v>
      </c>
      <c r="U2816">
        <v>2.54</v>
      </c>
      <c r="V2816">
        <v>2.58</v>
      </c>
      <c r="W2816">
        <v>22.5</v>
      </c>
      <c r="X2816" t="s">
        <v>132</v>
      </c>
      <c r="Y2816" t="s">
        <v>883</v>
      </c>
      <c r="Z2816">
        <v>3.1</v>
      </c>
      <c r="AA2816">
        <v>2.57</v>
      </c>
      <c r="AB2816">
        <v>104530</v>
      </c>
      <c r="AC2816">
        <v>64499</v>
      </c>
      <c r="AD2816">
        <v>1.62</v>
      </c>
      <c r="AE2816">
        <v>7367</v>
      </c>
      <c r="AF2816">
        <v>951</v>
      </c>
      <c r="AG2816" t="s">
        <v>120</v>
      </c>
      <c r="AH2816">
        <v>0.01</v>
      </c>
      <c r="AI2816" t="s">
        <v>120</v>
      </c>
      <c r="AJ2816">
        <v>24.33</v>
      </c>
      <c r="AK2816" t="s">
        <v>12562</v>
      </c>
      <c r="AL2816">
        <v>-0.59</v>
      </c>
      <c r="AM2816">
        <v>1615</v>
      </c>
      <c r="AN2816">
        <v>105</v>
      </c>
      <c r="AO2816">
        <v>4.0000000000000002E-4</v>
      </c>
      <c r="AP2816">
        <v>-1</v>
      </c>
      <c r="AQ2816">
        <v>0</v>
      </c>
      <c r="AR2816">
        <v>-5.24</v>
      </c>
      <c r="AS2816">
        <v>4.1100000000000003</v>
      </c>
      <c r="AT2816">
        <v>-1.56</v>
      </c>
      <c r="AU2816">
        <v>-4.53</v>
      </c>
      <c r="AV2816">
        <v>2</v>
      </c>
      <c r="AW2816">
        <v>1.24</v>
      </c>
      <c r="AX2816">
        <v>53.22</v>
      </c>
      <c r="AY2816">
        <v>3.78</v>
      </c>
      <c r="AZ2816">
        <v>3.65</v>
      </c>
      <c r="BA2816">
        <v>0.53</v>
      </c>
      <c r="BB2816" t="s">
        <v>143</v>
      </c>
      <c r="BF2816">
        <v>-0.36</v>
      </c>
      <c r="BG2816">
        <v>-2.3199999999999998</v>
      </c>
      <c r="BH2816">
        <v>-3.07</v>
      </c>
      <c r="BI2816">
        <v>0</v>
      </c>
      <c r="BJ2816">
        <v>20210828</v>
      </c>
      <c r="BK2816">
        <v>20020723</v>
      </c>
      <c r="BL2816">
        <v>25.52</v>
      </c>
      <c r="BM2816" t="s">
        <v>120</v>
      </c>
      <c r="BN2816" t="s">
        <v>120</v>
      </c>
      <c r="BO2816">
        <v>932.89</v>
      </c>
      <c r="BP2816">
        <v>2.5299999999999998</v>
      </c>
      <c r="BQ2816">
        <v>107.85</v>
      </c>
      <c r="BR2816">
        <v>93.25</v>
      </c>
      <c r="BS2816">
        <v>78.44</v>
      </c>
      <c r="BT2816">
        <v>801.55</v>
      </c>
      <c r="BU2816">
        <v>5</v>
      </c>
      <c r="BV2816">
        <v>1.01</v>
      </c>
      <c r="BW2816">
        <v>593.22</v>
      </c>
      <c r="BX2816">
        <v>60.01</v>
      </c>
      <c r="BY2816">
        <v>567.77</v>
      </c>
      <c r="BZ2816">
        <v>8.4700000000000006</v>
      </c>
      <c r="CA2816">
        <v>0.14000000000000001</v>
      </c>
      <c r="CB2816">
        <v>24.03</v>
      </c>
      <c r="CC2816">
        <v>62.31</v>
      </c>
      <c r="CD2816">
        <v>47.22</v>
      </c>
      <c r="CE2816">
        <v>5.93</v>
      </c>
      <c r="CF2816">
        <v>0.89</v>
      </c>
      <c r="CG2816">
        <v>5.88</v>
      </c>
      <c r="CH2816">
        <v>5.22</v>
      </c>
      <c r="CI2816">
        <v>1.43</v>
      </c>
      <c r="CJ2816">
        <v>-0.05</v>
      </c>
      <c r="CK2816">
        <v>1.31</v>
      </c>
      <c r="CL2816">
        <v>51.47</v>
      </c>
      <c r="CM2816">
        <v>-46.9</v>
      </c>
      <c r="CN2816">
        <v>-13.61</v>
      </c>
      <c r="CO2816">
        <v>75373</v>
      </c>
      <c r="CP2816">
        <v>18019</v>
      </c>
      <c r="CQ2816" t="s">
        <v>12563</v>
      </c>
      <c r="CR2816">
        <v>-29.46</v>
      </c>
      <c r="CS2816">
        <v>45.52</v>
      </c>
      <c r="CT2816">
        <v>0.6</v>
      </c>
      <c r="CU2816">
        <v>-1.38</v>
      </c>
      <c r="CV2816">
        <v>1.04</v>
      </c>
      <c r="CW2816">
        <v>3.11</v>
      </c>
      <c r="CX2816" t="s">
        <v>1064</v>
      </c>
      <c r="CY2816">
        <v>4.22</v>
      </c>
      <c r="CZ2816">
        <v>4.22</v>
      </c>
      <c r="DA2816">
        <v>0.94</v>
      </c>
      <c r="DB2816">
        <v>2.02</v>
      </c>
      <c r="DC2816">
        <v>-1.84</v>
      </c>
      <c r="DD2816">
        <v>11.56</v>
      </c>
      <c r="DE2816" t="s">
        <v>8227</v>
      </c>
      <c r="DF2816">
        <v>24.22</v>
      </c>
      <c r="DG2816">
        <v>9.52</v>
      </c>
      <c r="DH2816">
        <v>2.2999999999999998</v>
      </c>
      <c r="DI2816">
        <v>0.23</v>
      </c>
      <c r="DJ2816">
        <v>7273</v>
      </c>
      <c r="DK2816">
        <v>600565</v>
      </c>
      <c r="DL2816" t="s">
        <v>120</v>
      </c>
      <c r="DM2816" t="s">
        <v>120</v>
      </c>
      <c r="DN2816" t="s">
        <v>120</v>
      </c>
    </row>
    <row r="2817" spans="1:118">
      <c r="A2817" t="str">
        <f>"600566"</f>
        <v>600566</v>
      </c>
      <c r="B2817" t="s">
        <v>12564</v>
      </c>
      <c r="C2817">
        <v>-0.35</v>
      </c>
      <c r="D2817">
        <v>0.24</v>
      </c>
      <c r="E2817">
        <v>-0.83</v>
      </c>
      <c r="F2817">
        <v>1625</v>
      </c>
      <c r="G2817" t="s">
        <v>12565</v>
      </c>
      <c r="H2817">
        <v>6613.39</v>
      </c>
      <c r="I2817">
        <v>17.11</v>
      </c>
      <c r="J2817" t="s">
        <v>120</v>
      </c>
      <c r="K2817" t="s">
        <v>275</v>
      </c>
      <c r="L2817">
        <v>0.44</v>
      </c>
      <c r="M2817">
        <v>16.850000000000001</v>
      </c>
      <c r="N2817">
        <v>0.79</v>
      </c>
      <c r="O2817">
        <v>0.83</v>
      </c>
      <c r="P2817">
        <v>17.05</v>
      </c>
      <c r="Q2817">
        <v>-1.1200000000000001</v>
      </c>
      <c r="R2817">
        <v>16.72</v>
      </c>
      <c r="S2817">
        <v>16.77</v>
      </c>
      <c r="T2817">
        <v>39207</v>
      </c>
      <c r="U2817">
        <v>16.850000000000001</v>
      </c>
      <c r="V2817">
        <v>16.91</v>
      </c>
      <c r="W2817">
        <v>8.76</v>
      </c>
      <c r="X2817" t="s">
        <v>771</v>
      </c>
      <c r="Y2817" t="s">
        <v>763</v>
      </c>
      <c r="Z2817">
        <v>1.95</v>
      </c>
      <c r="AA2817">
        <v>16.87</v>
      </c>
      <c r="AB2817">
        <v>20620</v>
      </c>
      <c r="AC2817">
        <v>18587</v>
      </c>
      <c r="AD2817">
        <v>1.1100000000000001</v>
      </c>
      <c r="AE2817">
        <v>30</v>
      </c>
      <c r="AF2817">
        <v>73</v>
      </c>
      <c r="AG2817" t="s">
        <v>120</v>
      </c>
      <c r="AH2817">
        <v>0</v>
      </c>
      <c r="AI2817" t="s">
        <v>120</v>
      </c>
      <c r="AJ2817">
        <v>8.8800000000000008</v>
      </c>
      <c r="AK2817" t="s">
        <v>275</v>
      </c>
      <c r="AL2817">
        <v>0.99</v>
      </c>
      <c r="AM2817">
        <v>2532</v>
      </c>
      <c r="AN2817">
        <v>15</v>
      </c>
      <c r="AO2817">
        <v>2.0000000000000001E-4</v>
      </c>
      <c r="AP2817">
        <v>-2</v>
      </c>
      <c r="AQ2817">
        <v>-0.12</v>
      </c>
      <c r="AR2817">
        <v>-0.24</v>
      </c>
      <c r="AS2817">
        <v>15.17</v>
      </c>
      <c r="AT2817">
        <v>-3.21</v>
      </c>
      <c r="AU2817">
        <v>-14.81</v>
      </c>
      <c r="AV2817">
        <v>0</v>
      </c>
      <c r="AW2817">
        <v>1.21</v>
      </c>
      <c r="AX2817">
        <v>36.549999999999997</v>
      </c>
      <c r="AY2817">
        <v>10.39</v>
      </c>
      <c r="AZ2817">
        <v>11.76</v>
      </c>
      <c r="BA2817">
        <v>0.78</v>
      </c>
      <c r="BB2817" t="s">
        <v>143</v>
      </c>
      <c r="BF2817">
        <v>-0.25</v>
      </c>
      <c r="BG2817">
        <v>0.48</v>
      </c>
      <c r="BH2817">
        <v>-1.17</v>
      </c>
      <c r="BI2817">
        <v>0.78</v>
      </c>
      <c r="BJ2817">
        <v>20210821</v>
      </c>
      <c r="BK2817">
        <v>20010822</v>
      </c>
      <c r="BL2817">
        <v>8.8800000000000008</v>
      </c>
      <c r="BM2817" t="s">
        <v>120</v>
      </c>
      <c r="BN2817" t="s">
        <v>120</v>
      </c>
      <c r="BO2817">
        <v>111.13</v>
      </c>
      <c r="BP2817">
        <v>16.84</v>
      </c>
      <c r="BQ2817">
        <v>82.17</v>
      </c>
      <c r="BR2817" t="s">
        <v>120</v>
      </c>
      <c r="BS2817">
        <v>26.05</v>
      </c>
      <c r="BT2817">
        <v>71.88</v>
      </c>
      <c r="BU2817">
        <v>27.35</v>
      </c>
      <c r="BV2817">
        <v>2.85</v>
      </c>
      <c r="BW2817">
        <v>20.93</v>
      </c>
      <c r="BX2817">
        <v>37.32</v>
      </c>
      <c r="BY2817">
        <v>2.41</v>
      </c>
      <c r="BZ2817">
        <v>19.309999999999999</v>
      </c>
      <c r="CA2817" t="s">
        <v>120</v>
      </c>
      <c r="CB2817">
        <v>31.14</v>
      </c>
      <c r="CC2817">
        <v>36.82</v>
      </c>
      <c r="CD2817">
        <v>6.23</v>
      </c>
      <c r="CE2817">
        <v>9.77</v>
      </c>
      <c r="CF2817">
        <v>0.19</v>
      </c>
      <c r="CG2817">
        <v>9.9</v>
      </c>
      <c r="CH2817">
        <v>8.5399999999999991</v>
      </c>
      <c r="CI2817">
        <v>8.5399999999999991</v>
      </c>
      <c r="CJ2817">
        <v>-0.06</v>
      </c>
      <c r="CK2817">
        <v>8.0500000000000007</v>
      </c>
      <c r="CL2817">
        <v>44.04</v>
      </c>
      <c r="CM2817">
        <v>12.25</v>
      </c>
      <c r="CN2817">
        <v>7.72</v>
      </c>
      <c r="CO2817">
        <v>97385</v>
      </c>
      <c r="CP2817">
        <v>3334</v>
      </c>
      <c r="CQ2817" t="s">
        <v>5313</v>
      </c>
      <c r="CR2817">
        <v>24.7</v>
      </c>
      <c r="CS2817">
        <v>24.76</v>
      </c>
      <c r="CT2817">
        <v>1.84</v>
      </c>
      <c r="CU2817">
        <v>12.22</v>
      </c>
      <c r="CV2817">
        <v>4.0599999999999996</v>
      </c>
      <c r="CW2817">
        <v>2.66</v>
      </c>
      <c r="CX2817" t="s">
        <v>4116</v>
      </c>
      <c r="CY2817">
        <v>9.14</v>
      </c>
      <c r="CZ2817">
        <v>9.14</v>
      </c>
      <c r="DA2817">
        <v>3.51</v>
      </c>
      <c r="DB2817">
        <v>4.96</v>
      </c>
      <c r="DC2817">
        <v>1.38</v>
      </c>
      <c r="DD2817">
        <v>73.95</v>
      </c>
      <c r="DE2817" t="s">
        <v>781</v>
      </c>
      <c r="DF2817">
        <v>83.09</v>
      </c>
      <c r="DG2817">
        <v>26.54</v>
      </c>
      <c r="DH2817">
        <v>23.19</v>
      </c>
      <c r="DI2817">
        <v>1.46</v>
      </c>
      <c r="DJ2817">
        <v>6923</v>
      </c>
      <c r="DK2817">
        <v>600566</v>
      </c>
      <c r="DL2817" t="s">
        <v>120</v>
      </c>
      <c r="DM2817" t="s">
        <v>120</v>
      </c>
      <c r="DN2817" t="s">
        <v>120</v>
      </c>
    </row>
    <row r="2818" spans="1:118">
      <c r="A2818" t="str">
        <f>"600567"</f>
        <v>600567</v>
      </c>
      <c r="B2818" t="s">
        <v>12566</v>
      </c>
      <c r="C2818">
        <v>-0.81</v>
      </c>
      <c r="D2818">
        <v>0</v>
      </c>
      <c r="E2818">
        <v>-0.27</v>
      </c>
      <c r="F2818">
        <v>5460</v>
      </c>
      <c r="G2818" t="s">
        <v>12567</v>
      </c>
      <c r="H2818">
        <v>40279.019999999997</v>
      </c>
      <c r="I2818">
        <v>69.86</v>
      </c>
      <c r="J2818" t="s">
        <v>120</v>
      </c>
      <c r="K2818" t="s">
        <v>12568</v>
      </c>
      <c r="L2818">
        <v>2.3199999999999998</v>
      </c>
      <c r="M2818">
        <v>3.69</v>
      </c>
      <c r="N2818">
        <v>0.81</v>
      </c>
      <c r="O2818">
        <v>3.23</v>
      </c>
      <c r="P2818">
        <v>3.84</v>
      </c>
      <c r="Q2818">
        <v>-1.08</v>
      </c>
      <c r="R2818">
        <v>3.68</v>
      </c>
      <c r="S2818">
        <v>3.71</v>
      </c>
      <c r="T2818">
        <v>1072664</v>
      </c>
      <c r="U2818">
        <v>3.69</v>
      </c>
      <c r="V2818">
        <v>3.72</v>
      </c>
      <c r="W2818">
        <v>8.48</v>
      </c>
      <c r="X2818" t="s">
        <v>814</v>
      </c>
      <c r="Y2818" t="s">
        <v>570</v>
      </c>
      <c r="Z2818">
        <v>4.3</v>
      </c>
      <c r="AA2818">
        <v>3.76</v>
      </c>
      <c r="AB2818">
        <v>557176</v>
      </c>
      <c r="AC2818">
        <v>515488</v>
      </c>
      <c r="AD2818">
        <v>1.08</v>
      </c>
      <c r="AE2818">
        <v>3501</v>
      </c>
      <c r="AF2818">
        <v>1131</v>
      </c>
      <c r="AG2818" t="s">
        <v>120</v>
      </c>
      <c r="AH2818">
        <v>0.01</v>
      </c>
      <c r="AI2818" t="s">
        <v>120</v>
      </c>
      <c r="AJ2818">
        <v>46.16</v>
      </c>
      <c r="AK2818" t="s">
        <v>12568</v>
      </c>
      <c r="AL2818">
        <v>0.54</v>
      </c>
      <c r="AM2818">
        <v>3997</v>
      </c>
      <c r="AN2818">
        <v>268</v>
      </c>
      <c r="AO2818">
        <v>5.9999999999999995E-4</v>
      </c>
      <c r="AP2818">
        <v>-1</v>
      </c>
      <c r="AQ2818">
        <v>0.54</v>
      </c>
      <c r="AR2818">
        <v>-3.65</v>
      </c>
      <c r="AS2818">
        <v>9.5</v>
      </c>
      <c r="AT2818">
        <v>6.64</v>
      </c>
      <c r="AU2818">
        <v>23.82</v>
      </c>
      <c r="AV2818">
        <v>2</v>
      </c>
      <c r="AW2818">
        <v>3.23</v>
      </c>
      <c r="AX2818">
        <v>71.88</v>
      </c>
      <c r="AY2818">
        <v>9.11</v>
      </c>
      <c r="AZ2818">
        <v>12.43</v>
      </c>
      <c r="BA2818">
        <v>0.68</v>
      </c>
      <c r="BB2818" t="s">
        <v>143</v>
      </c>
      <c r="BF2818">
        <v>0.94</v>
      </c>
      <c r="BG2818">
        <v>-0.54</v>
      </c>
      <c r="BH2818">
        <v>-3.91</v>
      </c>
      <c r="BI2818">
        <v>0.27</v>
      </c>
      <c r="BJ2818">
        <v>20210825</v>
      </c>
      <c r="BK2818">
        <v>20011218</v>
      </c>
      <c r="BL2818">
        <v>46.16</v>
      </c>
      <c r="BM2818" t="s">
        <v>120</v>
      </c>
      <c r="BN2818" t="s">
        <v>120</v>
      </c>
      <c r="BO2818">
        <v>492.05</v>
      </c>
      <c r="BP2818">
        <v>3.68</v>
      </c>
      <c r="BQ2818">
        <v>164.05</v>
      </c>
      <c r="BR2818">
        <v>17.579999999999998</v>
      </c>
      <c r="BS2818">
        <v>63.09</v>
      </c>
      <c r="BT2818">
        <v>158.38</v>
      </c>
      <c r="BU2818">
        <v>189.4</v>
      </c>
      <c r="BV2818">
        <v>21.51</v>
      </c>
      <c r="BW2818">
        <v>214.18</v>
      </c>
      <c r="BX2818">
        <v>47.22</v>
      </c>
      <c r="BY2818">
        <v>37.32</v>
      </c>
      <c r="BZ2818">
        <v>44.14</v>
      </c>
      <c r="CA2818" t="s">
        <v>120</v>
      </c>
      <c r="CB2818">
        <v>44.4</v>
      </c>
      <c r="CC2818">
        <v>151.99</v>
      </c>
      <c r="CD2818">
        <v>130.49</v>
      </c>
      <c r="CE2818">
        <v>12.37</v>
      </c>
      <c r="CF2818">
        <v>0.08</v>
      </c>
      <c r="CG2818">
        <v>12.43</v>
      </c>
      <c r="CH2818">
        <v>10.43</v>
      </c>
      <c r="CI2818">
        <v>10.039999999999999</v>
      </c>
      <c r="CJ2818">
        <v>-0.03</v>
      </c>
      <c r="CK2818">
        <v>7.19</v>
      </c>
      <c r="CL2818">
        <v>84.63</v>
      </c>
      <c r="CM2818">
        <v>16.71</v>
      </c>
      <c r="CN2818">
        <v>-1.87</v>
      </c>
      <c r="CO2818">
        <v>190567</v>
      </c>
      <c r="CP2818">
        <v>17411</v>
      </c>
      <c r="CQ2818" t="s">
        <v>4250</v>
      </c>
      <c r="CR2818">
        <v>100.4</v>
      </c>
      <c r="CS2818">
        <v>54.68</v>
      </c>
      <c r="CT2818">
        <v>1.07</v>
      </c>
      <c r="CU2818">
        <v>10.19</v>
      </c>
      <c r="CV2818">
        <v>1.1200000000000001</v>
      </c>
      <c r="CW2818">
        <v>1.04</v>
      </c>
      <c r="CX2818" t="s">
        <v>3361</v>
      </c>
      <c r="CY2818">
        <v>3.45</v>
      </c>
      <c r="CZ2818">
        <v>3.45</v>
      </c>
      <c r="DA2818">
        <v>0.96</v>
      </c>
      <c r="DB2818">
        <v>1.83</v>
      </c>
      <c r="DC2818">
        <v>0.36</v>
      </c>
      <c r="DD2818">
        <v>33.340000000000003</v>
      </c>
      <c r="DE2818" t="s">
        <v>1386</v>
      </c>
      <c r="DF2818">
        <v>14.15</v>
      </c>
      <c r="DG2818">
        <v>8.14</v>
      </c>
      <c r="DH2818">
        <v>6.61</v>
      </c>
      <c r="DI2818">
        <v>3.57</v>
      </c>
      <c r="DJ2818">
        <v>13189</v>
      </c>
      <c r="DK2818">
        <v>600567</v>
      </c>
      <c r="DL2818" t="s">
        <v>120</v>
      </c>
      <c r="DM2818" t="s">
        <v>120</v>
      </c>
      <c r="DN2818" t="s">
        <v>120</v>
      </c>
    </row>
    <row r="2819" spans="1:118">
      <c r="A2819" t="str">
        <f>"600569"</f>
        <v>600569</v>
      </c>
      <c r="B2819" t="s">
        <v>12569</v>
      </c>
      <c r="C2819">
        <v>-0.24</v>
      </c>
      <c r="D2819">
        <v>0</v>
      </c>
      <c r="E2819">
        <v>1.7</v>
      </c>
      <c r="F2819">
        <v>3932</v>
      </c>
      <c r="G2819" t="s">
        <v>7176</v>
      </c>
      <c r="H2819">
        <v>39288.14</v>
      </c>
      <c r="I2819">
        <v>102.03</v>
      </c>
      <c r="J2819" t="s">
        <v>120</v>
      </c>
      <c r="K2819" t="s">
        <v>12570</v>
      </c>
      <c r="L2819">
        <v>3.87</v>
      </c>
      <c r="M2819">
        <v>4.1100000000000003</v>
      </c>
      <c r="N2819">
        <v>0.8</v>
      </c>
      <c r="O2819">
        <v>5.83</v>
      </c>
      <c r="P2819">
        <v>4.3600000000000003</v>
      </c>
      <c r="Q2819">
        <v>-0.73</v>
      </c>
      <c r="R2819">
        <v>4.09</v>
      </c>
      <c r="S2819">
        <v>4.1900000000000004</v>
      </c>
      <c r="T2819">
        <v>926669</v>
      </c>
      <c r="U2819">
        <v>4.1100000000000003</v>
      </c>
      <c r="V2819">
        <v>4.12</v>
      </c>
      <c r="W2819">
        <v>7.66</v>
      </c>
      <c r="X2819" t="s">
        <v>1460</v>
      </c>
      <c r="Y2819" t="s">
        <v>645</v>
      </c>
      <c r="Z2819">
        <v>6.55</v>
      </c>
      <c r="AA2819">
        <v>4.24</v>
      </c>
      <c r="AB2819">
        <v>428574</v>
      </c>
      <c r="AC2819">
        <v>498094</v>
      </c>
      <c r="AD2819">
        <v>0.86</v>
      </c>
      <c r="AE2819">
        <v>9256</v>
      </c>
      <c r="AF2819">
        <v>144</v>
      </c>
      <c r="AG2819" t="s">
        <v>120</v>
      </c>
      <c r="AH2819">
        <v>0.03</v>
      </c>
      <c r="AI2819" t="s">
        <v>120</v>
      </c>
      <c r="AJ2819">
        <v>23.94</v>
      </c>
      <c r="AK2819" t="s">
        <v>12571</v>
      </c>
      <c r="AL2819">
        <v>1.1000000000000001</v>
      </c>
      <c r="AM2819">
        <v>4094</v>
      </c>
      <c r="AN2819">
        <v>226</v>
      </c>
      <c r="AO2819">
        <v>8.9999999999999998E-4</v>
      </c>
      <c r="AP2819">
        <v>-1</v>
      </c>
      <c r="AQ2819">
        <v>1.48</v>
      </c>
      <c r="AR2819">
        <v>-3.07</v>
      </c>
      <c r="AS2819">
        <v>2.75</v>
      </c>
      <c r="AT2819">
        <v>35.64</v>
      </c>
      <c r="AU2819">
        <v>64.400000000000006</v>
      </c>
      <c r="AV2819">
        <v>12</v>
      </c>
      <c r="AW2819">
        <v>9.7100000000000009</v>
      </c>
      <c r="AX2819">
        <v>33.22</v>
      </c>
      <c r="AY2819">
        <v>8.83</v>
      </c>
      <c r="AZ2819">
        <v>51.81</v>
      </c>
      <c r="BA2819">
        <v>0.56000000000000005</v>
      </c>
      <c r="BB2819" t="s">
        <v>143</v>
      </c>
      <c r="BF2819">
        <v>2.91</v>
      </c>
      <c r="BG2819">
        <v>-1.91</v>
      </c>
      <c r="BH2819">
        <v>-5.73</v>
      </c>
      <c r="BI2819">
        <v>0.49</v>
      </c>
      <c r="BJ2819">
        <v>20210826</v>
      </c>
      <c r="BK2819">
        <v>20010820</v>
      </c>
      <c r="BL2819">
        <v>28.72</v>
      </c>
      <c r="BM2819" t="s">
        <v>120</v>
      </c>
      <c r="BN2819" t="s">
        <v>120</v>
      </c>
      <c r="BO2819">
        <v>422.91</v>
      </c>
      <c r="BP2819">
        <v>4.0999999999999996</v>
      </c>
      <c r="BQ2819">
        <v>107.47</v>
      </c>
      <c r="BR2819">
        <v>9.07</v>
      </c>
      <c r="BS2819">
        <v>72.44</v>
      </c>
      <c r="BT2819">
        <v>219.61</v>
      </c>
      <c r="BU2819">
        <v>87.85</v>
      </c>
      <c r="BV2819">
        <v>23.34</v>
      </c>
      <c r="BW2819">
        <v>273.87</v>
      </c>
      <c r="BX2819">
        <v>63.44</v>
      </c>
      <c r="BY2819">
        <v>119.34</v>
      </c>
      <c r="BZ2819">
        <v>6.87</v>
      </c>
      <c r="CA2819">
        <v>0.01</v>
      </c>
      <c r="CB2819">
        <v>45.3</v>
      </c>
      <c r="CC2819">
        <v>241.94</v>
      </c>
      <c r="CD2819">
        <v>213.57</v>
      </c>
      <c r="CE2819">
        <v>10.06</v>
      </c>
      <c r="CF2819">
        <v>0</v>
      </c>
      <c r="CG2819">
        <v>10.039999999999999</v>
      </c>
      <c r="CH2819">
        <v>7.89</v>
      </c>
      <c r="CI2819">
        <v>7.7</v>
      </c>
      <c r="CJ2819">
        <v>-0.01</v>
      </c>
      <c r="CK2819">
        <v>7.58</v>
      </c>
      <c r="CL2819">
        <v>15.26</v>
      </c>
      <c r="CM2819">
        <v>9.61</v>
      </c>
      <c r="CN2819">
        <v>-6.18</v>
      </c>
      <c r="CO2819">
        <v>113139</v>
      </c>
      <c r="CP2819">
        <v>8433</v>
      </c>
      <c r="CQ2819" t="s">
        <v>758</v>
      </c>
      <c r="CR2819">
        <v>325.66000000000003</v>
      </c>
      <c r="CS2819">
        <v>75.37</v>
      </c>
      <c r="CT2819">
        <v>1.1000000000000001</v>
      </c>
      <c r="CU2819">
        <v>12.29</v>
      </c>
      <c r="CV2819">
        <v>0.49</v>
      </c>
      <c r="CW2819">
        <v>1.21</v>
      </c>
      <c r="CX2819" t="s">
        <v>1233</v>
      </c>
      <c r="CY2819">
        <v>3.74</v>
      </c>
      <c r="CZ2819">
        <v>0</v>
      </c>
      <c r="DA2819">
        <v>1.58</v>
      </c>
      <c r="DB2819">
        <v>0.53</v>
      </c>
      <c r="DC2819">
        <v>0.33</v>
      </c>
      <c r="DD2819">
        <v>25.41</v>
      </c>
      <c r="DE2819" t="s">
        <v>12572</v>
      </c>
      <c r="DF2819">
        <v>11.73</v>
      </c>
      <c r="DG2819">
        <v>4.16</v>
      </c>
      <c r="DH2819">
        <v>3.18</v>
      </c>
      <c r="DI2819">
        <v>7.05</v>
      </c>
      <c r="DJ2819">
        <v>15347</v>
      </c>
      <c r="DK2819">
        <v>600569</v>
      </c>
      <c r="DL2819" t="s">
        <v>120</v>
      </c>
      <c r="DM2819" t="s">
        <v>120</v>
      </c>
      <c r="DN2819" t="s">
        <v>120</v>
      </c>
    </row>
    <row r="2820" spans="1:118">
      <c r="A2820" t="str">
        <f>"600570"</f>
        <v>600570</v>
      </c>
      <c r="B2820" t="s">
        <v>12573</v>
      </c>
      <c r="C2820">
        <v>-1.54</v>
      </c>
      <c r="D2820">
        <v>7.0000000000000007E-2</v>
      </c>
      <c r="E2820">
        <v>-1.18</v>
      </c>
      <c r="F2820">
        <v>4533</v>
      </c>
      <c r="G2820" t="s">
        <v>12574</v>
      </c>
      <c r="H2820">
        <v>75639.27</v>
      </c>
      <c r="I2820">
        <v>309.89</v>
      </c>
      <c r="J2820" t="s">
        <v>120</v>
      </c>
      <c r="K2820" t="s">
        <v>12575</v>
      </c>
      <c r="L2820">
        <v>0.96</v>
      </c>
      <c r="M2820">
        <v>53.6</v>
      </c>
      <c r="N2820">
        <v>0.42</v>
      </c>
      <c r="O2820">
        <v>-0.33</v>
      </c>
      <c r="P2820">
        <v>54.26</v>
      </c>
      <c r="Q2820">
        <v>-2.2400000000000002</v>
      </c>
      <c r="R2820">
        <v>53.22</v>
      </c>
      <c r="S2820">
        <v>53.8</v>
      </c>
      <c r="T2820">
        <v>140967</v>
      </c>
      <c r="U2820">
        <v>53.6</v>
      </c>
      <c r="V2820">
        <v>54.44</v>
      </c>
      <c r="W2820">
        <v>54.78</v>
      </c>
      <c r="X2820" t="s">
        <v>141</v>
      </c>
      <c r="Y2820" t="s">
        <v>585</v>
      </c>
      <c r="Z2820">
        <v>1.91</v>
      </c>
      <c r="AA2820">
        <v>53.66</v>
      </c>
      <c r="AB2820">
        <v>77108</v>
      </c>
      <c r="AC2820">
        <v>63859</v>
      </c>
      <c r="AD2820">
        <v>1.21</v>
      </c>
      <c r="AE2820">
        <v>22</v>
      </c>
      <c r="AF2820">
        <v>46</v>
      </c>
      <c r="AG2820" t="s">
        <v>120</v>
      </c>
      <c r="AH2820">
        <v>0</v>
      </c>
      <c r="AI2820" t="s">
        <v>120</v>
      </c>
      <c r="AJ2820">
        <v>14.62</v>
      </c>
      <c r="AK2820" t="s">
        <v>12575</v>
      </c>
      <c r="AL2820">
        <v>-0.2</v>
      </c>
      <c r="AM2820">
        <v>4474</v>
      </c>
      <c r="AN2820">
        <v>32</v>
      </c>
      <c r="AO2820">
        <v>2.0000000000000001E-4</v>
      </c>
      <c r="AP2820">
        <v>-3</v>
      </c>
      <c r="AQ2820">
        <v>-1.1599999999999999</v>
      </c>
      <c r="AR2820">
        <v>-6.99</v>
      </c>
      <c r="AS2820">
        <v>-3.88</v>
      </c>
      <c r="AT2820">
        <v>-12.77</v>
      </c>
      <c r="AU2820">
        <v>-28.39</v>
      </c>
      <c r="AV2820">
        <v>1</v>
      </c>
      <c r="AW2820">
        <v>1.22</v>
      </c>
      <c r="AX2820">
        <v>79.28</v>
      </c>
      <c r="AY2820">
        <v>46.99</v>
      </c>
      <c r="AZ2820">
        <v>60.2</v>
      </c>
      <c r="BA2820">
        <v>1.26</v>
      </c>
      <c r="BB2820" t="s">
        <v>143</v>
      </c>
      <c r="BF2820">
        <v>-1.44</v>
      </c>
      <c r="BG2820">
        <v>-0.37</v>
      </c>
      <c r="BH2820">
        <v>-1.22</v>
      </c>
      <c r="BI2820">
        <v>0.71</v>
      </c>
      <c r="BJ2820">
        <v>20210826</v>
      </c>
      <c r="BK2820">
        <v>20031216</v>
      </c>
      <c r="BL2820">
        <v>14.62</v>
      </c>
      <c r="BM2820" t="s">
        <v>120</v>
      </c>
      <c r="BN2820" t="s">
        <v>120</v>
      </c>
      <c r="BO2820">
        <v>100.2</v>
      </c>
      <c r="BP2820">
        <v>53.57</v>
      </c>
      <c r="BQ2820">
        <v>45.57</v>
      </c>
      <c r="BR2820">
        <v>5.28</v>
      </c>
      <c r="BS2820">
        <v>49.25</v>
      </c>
      <c r="BT2820">
        <v>39.159999999999997</v>
      </c>
      <c r="BU2820">
        <v>7.35</v>
      </c>
      <c r="BV2820">
        <v>2.15</v>
      </c>
      <c r="BW2820">
        <v>44.07</v>
      </c>
      <c r="BX2820">
        <v>11.47</v>
      </c>
      <c r="BY2820">
        <v>4.55</v>
      </c>
      <c r="BZ2820">
        <v>7.27</v>
      </c>
      <c r="CA2820">
        <v>0.01</v>
      </c>
      <c r="CB2820">
        <v>5.29</v>
      </c>
      <c r="CC2820">
        <v>20.52</v>
      </c>
      <c r="CD2820">
        <v>5.27</v>
      </c>
      <c r="CE2820">
        <v>7.53</v>
      </c>
      <c r="CF2820">
        <v>2.78</v>
      </c>
      <c r="CG2820">
        <v>7.53</v>
      </c>
      <c r="CH2820">
        <v>7.31</v>
      </c>
      <c r="CI2820">
        <v>7.15</v>
      </c>
      <c r="CJ2820">
        <v>-0.84</v>
      </c>
      <c r="CK2820">
        <v>3</v>
      </c>
      <c r="CL2820">
        <v>36.08</v>
      </c>
      <c r="CM2820">
        <v>-7.81</v>
      </c>
      <c r="CN2820">
        <v>-2.2400000000000002</v>
      </c>
      <c r="CO2820">
        <v>112855</v>
      </c>
      <c r="CP2820">
        <v>10267</v>
      </c>
      <c r="CQ2820" t="s">
        <v>12576</v>
      </c>
      <c r="CR2820">
        <v>108.05</v>
      </c>
      <c r="CS2820">
        <v>26.72</v>
      </c>
      <c r="CT2820">
        <v>17.190000000000001</v>
      </c>
      <c r="CU2820">
        <v>-100.27</v>
      </c>
      <c r="CV2820">
        <v>38.17</v>
      </c>
      <c r="CW2820">
        <v>0.13</v>
      </c>
      <c r="CX2820" t="s">
        <v>5566</v>
      </c>
      <c r="CY2820">
        <v>3.12</v>
      </c>
      <c r="CZ2820">
        <v>0</v>
      </c>
      <c r="DA2820">
        <v>0.36</v>
      </c>
      <c r="DB2820">
        <v>2.4700000000000002</v>
      </c>
      <c r="DC2820">
        <v>-0.53</v>
      </c>
      <c r="DD2820">
        <v>45.48</v>
      </c>
      <c r="DE2820" t="s">
        <v>12577</v>
      </c>
      <c r="DF2820">
        <v>74.33</v>
      </c>
      <c r="DG2820">
        <v>36.67</v>
      </c>
      <c r="DH2820">
        <v>34.85</v>
      </c>
      <c r="DI2820">
        <v>8.27</v>
      </c>
      <c r="DJ2820">
        <v>9739</v>
      </c>
      <c r="DK2820">
        <v>600570</v>
      </c>
      <c r="DL2820" t="s">
        <v>120</v>
      </c>
      <c r="DM2820" t="s">
        <v>120</v>
      </c>
      <c r="DN2820" t="s">
        <v>120</v>
      </c>
    </row>
    <row r="2821" spans="1:118">
      <c r="A2821" t="str">
        <f>"600571"</f>
        <v>600571</v>
      </c>
      <c r="B2821" t="s">
        <v>12578</v>
      </c>
      <c r="C2821">
        <v>1.96</v>
      </c>
      <c r="D2821">
        <v>0.23</v>
      </c>
      <c r="E2821">
        <v>-0.69</v>
      </c>
      <c r="F2821">
        <v>3614</v>
      </c>
      <c r="G2821" t="s">
        <v>5521</v>
      </c>
      <c r="H2821">
        <v>20581.810000000001</v>
      </c>
      <c r="I2821">
        <v>22.67</v>
      </c>
      <c r="J2821" t="s">
        <v>120</v>
      </c>
      <c r="K2821" t="s">
        <v>12579</v>
      </c>
      <c r="L2821">
        <v>5.33</v>
      </c>
      <c r="M2821">
        <v>8.85</v>
      </c>
      <c r="N2821">
        <v>0.79</v>
      </c>
      <c r="O2821">
        <v>7.03</v>
      </c>
      <c r="P2821">
        <v>9.2899999999999991</v>
      </c>
      <c r="Q2821">
        <v>-0.92</v>
      </c>
      <c r="R2821">
        <v>8.6</v>
      </c>
      <c r="S2821">
        <v>8.6199999999999992</v>
      </c>
      <c r="T2821">
        <v>229599</v>
      </c>
      <c r="U2821">
        <v>8.86</v>
      </c>
      <c r="V2821">
        <v>8.68</v>
      </c>
      <c r="W2821">
        <v>8.74</v>
      </c>
      <c r="X2821" t="s">
        <v>141</v>
      </c>
      <c r="Y2821" t="s">
        <v>585</v>
      </c>
      <c r="Z2821">
        <v>7.95</v>
      </c>
      <c r="AA2821">
        <v>8.9600000000000009</v>
      </c>
      <c r="AB2821">
        <v>118239</v>
      </c>
      <c r="AC2821">
        <v>111360</v>
      </c>
      <c r="AD2821">
        <v>1.06</v>
      </c>
      <c r="AE2821">
        <v>399</v>
      </c>
      <c r="AF2821">
        <v>692</v>
      </c>
      <c r="AG2821" t="s">
        <v>120</v>
      </c>
      <c r="AH2821">
        <v>0.01</v>
      </c>
      <c r="AI2821" t="s">
        <v>120</v>
      </c>
      <c r="AJ2821">
        <v>4.3099999999999996</v>
      </c>
      <c r="AK2821" t="s">
        <v>2300</v>
      </c>
      <c r="AL2821">
        <v>3.3</v>
      </c>
      <c r="AM2821">
        <v>3652</v>
      </c>
      <c r="AN2821">
        <v>63</v>
      </c>
      <c r="AO2821">
        <v>1.5E-3</v>
      </c>
      <c r="AP2821">
        <v>2</v>
      </c>
      <c r="AQ2821">
        <v>1.28</v>
      </c>
      <c r="AR2821">
        <v>-1.34</v>
      </c>
      <c r="AS2821">
        <v>35.32</v>
      </c>
      <c r="AT2821">
        <v>23.43</v>
      </c>
      <c r="AU2821">
        <v>20.239999999999998</v>
      </c>
      <c r="AV2821">
        <v>3</v>
      </c>
      <c r="AW2821">
        <v>6.99</v>
      </c>
      <c r="AX2821">
        <v>68.849999999999994</v>
      </c>
      <c r="AY2821">
        <v>11.74</v>
      </c>
      <c r="AZ2821">
        <v>36.770000000000003</v>
      </c>
      <c r="BA2821">
        <v>1.18</v>
      </c>
      <c r="BB2821" t="s">
        <v>341</v>
      </c>
      <c r="BF2821">
        <v>3.27</v>
      </c>
      <c r="BG2821">
        <v>2.67</v>
      </c>
      <c r="BH2821">
        <v>-4.74</v>
      </c>
      <c r="BI2821">
        <v>2.91</v>
      </c>
      <c r="BJ2821">
        <v>20210831</v>
      </c>
      <c r="BK2821">
        <v>20021101</v>
      </c>
      <c r="BL2821">
        <v>4.7699999999999996</v>
      </c>
      <c r="BM2821" t="s">
        <v>120</v>
      </c>
      <c r="BN2821" t="s">
        <v>120</v>
      </c>
      <c r="BO2821">
        <v>17.11</v>
      </c>
      <c r="BP2821">
        <v>8.85</v>
      </c>
      <c r="BQ2821">
        <v>12.41</v>
      </c>
      <c r="BR2821">
        <v>1.3</v>
      </c>
      <c r="BS2821">
        <v>19.84</v>
      </c>
      <c r="BT2821">
        <v>13.39</v>
      </c>
      <c r="BU2821">
        <v>0.28999999999999998</v>
      </c>
      <c r="BV2821">
        <v>0.08</v>
      </c>
      <c r="BW2821">
        <v>3.21</v>
      </c>
      <c r="BX2821">
        <v>1.07</v>
      </c>
      <c r="BY2821">
        <v>1.18</v>
      </c>
      <c r="BZ2821">
        <v>2.13</v>
      </c>
      <c r="CA2821" t="s">
        <v>120</v>
      </c>
      <c r="CB2821">
        <v>1.92</v>
      </c>
      <c r="CC2821">
        <v>6.43</v>
      </c>
      <c r="CD2821">
        <v>2.98</v>
      </c>
      <c r="CE2821">
        <v>3.13</v>
      </c>
      <c r="CF2821">
        <v>0.28000000000000003</v>
      </c>
      <c r="CG2821">
        <v>3.12</v>
      </c>
      <c r="CH2821">
        <v>3</v>
      </c>
      <c r="CI2821">
        <v>2.42</v>
      </c>
      <c r="CJ2821">
        <v>0.17</v>
      </c>
      <c r="CK2821">
        <v>-0.09</v>
      </c>
      <c r="CL2821">
        <v>5.03</v>
      </c>
      <c r="CM2821">
        <v>-3.37</v>
      </c>
      <c r="CN2821">
        <v>0.31</v>
      </c>
      <c r="CO2821">
        <v>43449</v>
      </c>
      <c r="CP2821">
        <v>7559</v>
      </c>
      <c r="CQ2821" t="s">
        <v>4802</v>
      </c>
      <c r="CR2821">
        <v>16970.169999999998</v>
      </c>
      <c r="CS2821">
        <v>25.32</v>
      </c>
      <c r="CT2821">
        <v>3.13</v>
      </c>
      <c r="CU2821">
        <v>-12.53</v>
      </c>
      <c r="CV2821">
        <v>6.56</v>
      </c>
      <c r="CW2821">
        <v>2.33</v>
      </c>
      <c r="CX2821" t="s">
        <v>1581</v>
      </c>
      <c r="CY2821">
        <v>2.83</v>
      </c>
      <c r="CZ2821">
        <v>2.83</v>
      </c>
      <c r="DA2821">
        <v>0.4</v>
      </c>
      <c r="DB2821">
        <v>1.06</v>
      </c>
      <c r="DC2821">
        <v>-0.71</v>
      </c>
      <c r="DD2821">
        <v>72.56</v>
      </c>
      <c r="DE2821" t="s">
        <v>12580</v>
      </c>
      <c r="DF2821">
        <v>53.66</v>
      </c>
      <c r="DG2821">
        <v>48.66</v>
      </c>
      <c r="DH2821">
        <v>37.54</v>
      </c>
      <c r="DI2821">
        <v>2.21</v>
      </c>
      <c r="DJ2821">
        <v>6437</v>
      </c>
      <c r="DK2821">
        <v>600571</v>
      </c>
      <c r="DL2821">
        <v>20210902</v>
      </c>
      <c r="DM2821">
        <v>8.6</v>
      </c>
      <c r="DN2821">
        <v>2.91</v>
      </c>
    </row>
    <row r="2822" spans="1:118">
      <c r="A2822" t="str">
        <f>"600572"</f>
        <v>600572</v>
      </c>
      <c r="B2822" t="s">
        <v>12581</v>
      </c>
      <c r="C2822">
        <v>-0.46</v>
      </c>
      <c r="D2822">
        <v>-0.22</v>
      </c>
      <c r="E2822">
        <v>0.23</v>
      </c>
      <c r="F2822">
        <v>1226</v>
      </c>
      <c r="G2822" t="s">
        <v>12582</v>
      </c>
      <c r="H2822">
        <v>12412.81</v>
      </c>
      <c r="I2822">
        <v>43</v>
      </c>
      <c r="J2822" t="s">
        <v>120</v>
      </c>
      <c r="K2822" t="s">
        <v>12583</v>
      </c>
      <c r="L2822">
        <v>1.06</v>
      </c>
      <c r="M2822">
        <v>4.34</v>
      </c>
      <c r="N2822">
        <v>1.34</v>
      </c>
      <c r="O2822">
        <v>2.29</v>
      </c>
      <c r="P2822">
        <v>4.46</v>
      </c>
      <c r="Q2822">
        <v>-0.46</v>
      </c>
      <c r="R2822">
        <v>4.34</v>
      </c>
      <c r="S2822">
        <v>4.37</v>
      </c>
      <c r="T2822">
        <v>281720</v>
      </c>
      <c r="U2822">
        <v>4.3499999999999996</v>
      </c>
      <c r="V2822">
        <v>4.3600000000000003</v>
      </c>
      <c r="W2822">
        <v>23.57</v>
      </c>
      <c r="X2822" t="s">
        <v>771</v>
      </c>
      <c r="Y2822" t="s">
        <v>585</v>
      </c>
      <c r="Z2822">
        <v>2.75</v>
      </c>
      <c r="AA2822">
        <v>4.41</v>
      </c>
      <c r="AB2822">
        <v>131873</v>
      </c>
      <c r="AC2822">
        <v>149847</v>
      </c>
      <c r="AD2822">
        <v>0.88</v>
      </c>
      <c r="AE2822">
        <v>3322</v>
      </c>
      <c r="AF2822">
        <v>49</v>
      </c>
      <c r="AG2822" t="s">
        <v>120</v>
      </c>
      <c r="AH2822">
        <v>0.01</v>
      </c>
      <c r="AI2822" t="s">
        <v>120</v>
      </c>
      <c r="AJ2822">
        <v>26.61</v>
      </c>
      <c r="AK2822" t="s">
        <v>12584</v>
      </c>
      <c r="AL2822">
        <v>0.89</v>
      </c>
      <c r="AM2822">
        <v>2896</v>
      </c>
      <c r="AN2822">
        <v>97</v>
      </c>
      <c r="AO2822">
        <v>4.0000000000000002E-4</v>
      </c>
      <c r="AP2822">
        <v>-3</v>
      </c>
      <c r="AQ2822">
        <v>-0.23</v>
      </c>
      <c r="AR2822">
        <v>-1.59</v>
      </c>
      <c r="AS2822">
        <v>4.08</v>
      </c>
      <c r="AT2822">
        <v>0.93</v>
      </c>
      <c r="AU2822">
        <v>-7.85</v>
      </c>
      <c r="AV2822">
        <v>1</v>
      </c>
      <c r="AW2822">
        <v>1.59</v>
      </c>
      <c r="AX2822">
        <v>66.63</v>
      </c>
      <c r="AY2822">
        <v>53.98</v>
      </c>
      <c r="AZ2822">
        <v>25.66</v>
      </c>
      <c r="BA2822">
        <v>0.54</v>
      </c>
      <c r="BB2822" t="s">
        <v>143</v>
      </c>
      <c r="BF2822">
        <v>1.06</v>
      </c>
      <c r="BG2822">
        <v>-0.69</v>
      </c>
      <c r="BH2822">
        <v>-2.69</v>
      </c>
      <c r="BI2822">
        <v>0</v>
      </c>
      <c r="BJ2822">
        <v>20210813</v>
      </c>
      <c r="BK2822">
        <v>20040412</v>
      </c>
      <c r="BL2822">
        <v>26.67</v>
      </c>
      <c r="BM2822" t="s">
        <v>120</v>
      </c>
      <c r="BN2822" t="s">
        <v>120</v>
      </c>
      <c r="BO2822">
        <v>91.07</v>
      </c>
      <c r="BP2822">
        <v>4.34</v>
      </c>
      <c r="BQ2822">
        <v>52.84</v>
      </c>
      <c r="BR2822">
        <v>3.34</v>
      </c>
      <c r="BS2822">
        <v>38.32</v>
      </c>
      <c r="BT2822">
        <v>39.61</v>
      </c>
      <c r="BU2822">
        <v>23.22</v>
      </c>
      <c r="BV2822">
        <v>3.7</v>
      </c>
      <c r="BW2822">
        <v>29.97</v>
      </c>
      <c r="BX2822">
        <v>10.92</v>
      </c>
      <c r="BY2822">
        <v>9.32</v>
      </c>
      <c r="BZ2822">
        <v>12.59</v>
      </c>
      <c r="CA2822" t="s">
        <v>120</v>
      </c>
      <c r="CB2822">
        <v>6.89</v>
      </c>
      <c r="CC2822">
        <v>31.2</v>
      </c>
      <c r="CD2822">
        <v>10.66</v>
      </c>
      <c r="CE2822">
        <v>3.73</v>
      </c>
      <c r="CF2822">
        <v>-0.05</v>
      </c>
      <c r="CG2822">
        <v>3.72</v>
      </c>
      <c r="CH2822">
        <v>3</v>
      </c>
      <c r="CI2822">
        <v>2.46</v>
      </c>
      <c r="CJ2822">
        <v>-0.02</v>
      </c>
      <c r="CK2822">
        <v>2.46</v>
      </c>
      <c r="CL2822">
        <v>20.86</v>
      </c>
      <c r="CM2822">
        <v>3.98</v>
      </c>
      <c r="CN2822">
        <v>-3.72</v>
      </c>
      <c r="CO2822">
        <v>125209</v>
      </c>
      <c r="CP2822">
        <v>14194</v>
      </c>
      <c r="CQ2822" t="s">
        <v>5621</v>
      </c>
      <c r="CR2822">
        <v>-49.2</v>
      </c>
      <c r="CS2822">
        <v>-2.36</v>
      </c>
      <c r="CT2822">
        <v>2.19</v>
      </c>
      <c r="CU2822">
        <v>29.08</v>
      </c>
      <c r="CV2822">
        <v>3.71</v>
      </c>
      <c r="CW2822">
        <v>0</v>
      </c>
      <c r="CX2822" t="s">
        <v>411</v>
      </c>
      <c r="CY2822">
        <v>1.98</v>
      </c>
      <c r="CZ2822">
        <v>0</v>
      </c>
      <c r="DA2822">
        <v>0.26</v>
      </c>
      <c r="DB2822">
        <v>0.78</v>
      </c>
      <c r="DC2822">
        <v>0.15</v>
      </c>
      <c r="DD2822">
        <v>58.02</v>
      </c>
      <c r="DE2822" t="s">
        <v>473</v>
      </c>
      <c r="DF2822">
        <v>65.81</v>
      </c>
      <c r="DG2822">
        <v>11.95</v>
      </c>
      <c r="DH2822">
        <v>7.87</v>
      </c>
      <c r="DI2822">
        <v>0.84</v>
      </c>
      <c r="DJ2822">
        <v>9520</v>
      </c>
      <c r="DK2822">
        <v>600572</v>
      </c>
      <c r="DL2822" t="s">
        <v>120</v>
      </c>
      <c r="DM2822" t="s">
        <v>120</v>
      </c>
      <c r="DN2822" t="s">
        <v>120</v>
      </c>
    </row>
    <row r="2823" spans="1:118">
      <c r="A2823" t="str">
        <f>"600573"</f>
        <v>600573</v>
      </c>
      <c r="B2823" t="s">
        <v>12585</v>
      </c>
      <c r="C2823">
        <v>0.36</v>
      </c>
      <c r="D2823">
        <v>0</v>
      </c>
      <c r="E2823">
        <v>-0.12</v>
      </c>
      <c r="F2823">
        <v>248</v>
      </c>
      <c r="G2823" t="s">
        <v>12586</v>
      </c>
      <c r="H2823">
        <v>3577.2</v>
      </c>
      <c r="I2823">
        <v>4.21</v>
      </c>
      <c r="J2823" t="s">
        <v>120</v>
      </c>
      <c r="K2823" t="s">
        <v>12587</v>
      </c>
      <c r="L2823">
        <v>1.68</v>
      </c>
      <c r="M2823">
        <v>8.4600000000000009</v>
      </c>
      <c r="N2823">
        <v>1.31</v>
      </c>
      <c r="O2823">
        <v>2.37</v>
      </c>
      <c r="P2823">
        <v>8.6300000000000008</v>
      </c>
      <c r="Q2823">
        <v>-0.95</v>
      </c>
      <c r="R2823">
        <v>8.35</v>
      </c>
      <c r="S2823">
        <v>8.42</v>
      </c>
      <c r="T2823">
        <v>42072</v>
      </c>
      <c r="U2823">
        <v>8.4600000000000009</v>
      </c>
      <c r="V2823">
        <v>8.43</v>
      </c>
      <c r="W2823">
        <v>91.1</v>
      </c>
      <c r="X2823" t="s">
        <v>1783</v>
      </c>
      <c r="Y2823" t="s">
        <v>937</v>
      </c>
      <c r="Z2823">
        <v>3.32</v>
      </c>
      <c r="AA2823">
        <v>8.5</v>
      </c>
      <c r="AB2823">
        <v>22508</v>
      </c>
      <c r="AC2823">
        <v>19564</v>
      </c>
      <c r="AD2823">
        <v>1.1499999999999999</v>
      </c>
      <c r="AE2823">
        <v>357</v>
      </c>
      <c r="AF2823">
        <v>44</v>
      </c>
      <c r="AG2823" t="s">
        <v>120</v>
      </c>
      <c r="AH2823">
        <v>0</v>
      </c>
      <c r="AI2823" t="s">
        <v>120</v>
      </c>
      <c r="AJ2823">
        <v>2.5</v>
      </c>
      <c r="AK2823" t="s">
        <v>12587</v>
      </c>
      <c r="AL2823">
        <v>1.7</v>
      </c>
      <c r="AM2823">
        <v>1758</v>
      </c>
      <c r="AN2823">
        <v>24</v>
      </c>
      <c r="AO2823">
        <v>1E-3</v>
      </c>
      <c r="AP2823">
        <v>1</v>
      </c>
      <c r="AQ2823">
        <v>-1.29</v>
      </c>
      <c r="AR2823">
        <v>-1.74</v>
      </c>
      <c r="AS2823">
        <v>-3.43</v>
      </c>
      <c r="AT2823">
        <v>-18.38</v>
      </c>
      <c r="AU2823">
        <v>-27.41</v>
      </c>
      <c r="AV2823">
        <v>8</v>
      </c>
      <c r="AW2823">
        <v>3.37</v>
      </c>
      <c r="AX2823">
        <v>49.92</v>
      </c>
      <c r="AY2823">
        <v>67.209999999999994</v>
      </c>
      <c r="AZ2823">
        <v>73.510000000000005</v>
      </c>
      <c r="BA2823">
        <v>1.63</v>
      </c>
      <c r="BB2823" t="s">
        <v>125</v>
      </c>
      <c r="BF2823">
        <v>0.86</v>
      </c>
      <c r="BG2823">
        <v>0.48</v>
      </c>
      <c r="BH2823">
        <v>-1.97</v>
      </c>
      <c r="BI2823">
        <v>1.32</v>
      </c>
      <c r="BJ2823">
        <v>20210816</v>
      </c>
      <c r="BK2823">
        <v>20030226</v>
      </c>
      <c r="BL2823">
        <v>2.5</v>
      </c>
      <c r="BM2823" t="s">
        <v>120</v>
      </c>
      <c r="BN2823" t="s">
        <v>120</v>
      </c>
      <c r="BO2823">
        <v>13.63</v>
      </c>
      <c r="BP2823">
        <v>8.4499999999999993</v>
      </c>
      <c r="BQ2823">
        <v>11.71</v>
      </c>
      <c r="BR2823">
        <v>0.09</v>
      </c>
      <c r="BS2823">
        <v>13.46</v>
      </c>
      <c r="BT2823">
        <v>9.6199999999999992</v>
      </c>
      <c r="BU2823">
        <v>3.34</v>
      </c>
      <c r="BV2823">
        <v>0.59</v>
      </c>
      <c r="BW2823">
        <v>1.76</v>
      </c>
      <c r="BX2823">
        <v>7.26</v>
      </c>
      <c r="BY2823">
        <v>0.9</v>
      </c>
      <c r="BZ2823">
        <v>0</v>
      </c>
      <c r="CA2823" t="s">
        <v>120</v>
      </c>
      <c r="CB2823">
        <v>5.0599999999999996</v>
      </c>
      <c r="CC2823">
        <v>3.17</v>
      </c>
      <c r="CD2823">
        <v>2.25</v>
      </c>
      <c r="CE2823">
        <v>0.16</v>
      </c>
      <c r="CF2823">
        <v>0</v>
      </c>
      <c r="CG2823">
        <v>0.16</v>
      </c>
      <c r="CH2823">
        <v>0.12</v>
      </c>
      <c r="CI2823">
        <v>0.12</v>
      </c>
      <c r="CJ2823">
        <v>0.03</v>
      </c>
      <c r="CK2823">
        <v>0.08</v>
      </c>
      <c r="CL2823">
        <v>2.83</v>
      </c>
      <c r="CM2823">
        <v>1.2</v>
      </c>
      <c r="CN2823">
        <v>-0.22</v>
      </c>
      <c r="CO2823">
        <v>39489</v>
      </c>
      <c r="CP2823">
        <v>3161</v>
      </c>
      <c r="CQ2823" t="s">
        <v>3726</v>
      </c>
      <c r="CR2823">
        <v>30.08</v>
      </c>
      <c r="CS2823">
        <v>-1.1499999999999999</v>
      </c>
      <c r="CT2823">
        <v>1.81</v>
      </c>
      <c r="CU2823">
        <v>17.690000000000001</v>
      </c>
      <c r="CV2823">
        <v>6.68</v>
      </c>
      <c r="CW2823">
        <v>0.42</v>
      </c>
      <c r="CX2823" t="s">
        <v>1248</v>
      </c>
      <c r="CY2823">
        <v>4.68</v>
      </c>
      <c r="CZ2823">
        <v>0</v>
      </c>
      <c r="DA2823">
        <v>2.02</v>
      </c>
      <c r="DB2823">
        <v>1.1299999999999999</v>
      </c>
      <c r="DC2823">
        <v>0.48</v>
      </c>
      <c r="DD2823">
        <v>85.88</v>
      </c>
      <c r="DE2823" t="s">
        <v>1546</v>
      </c>
      <c r="DF2823">
        <v>28.97</v>
      </c>
      <c r="DG2823">
        <v>4.95</v>
      </c>
      <c r="DH2823">
        <v>3.67</v>
      </c>
      <c r="DI2823">
        <v>0.11</v>
      </c>
      <c r="DJ2823">
        <v>1535</v>
      </c>
      <c r="DK2823">
        <v>600573</v>
      </c>
      <c r="DL2823" t="s">
        <v>120</v>
      </c>
      <c r="DM2823" t="s">
        <v>120</v>
      </c>
      <c r="DN2823" t="s">
        <v>120</v>
      </c>
    </row>
    <row r="2824" spans="1:118">
      <c r="A2824" t="str">
        <f>"600575"</f>
        <v>600575</v>
      </c>
      <c r="B2824" t="s">
        <v>12588</v>
      </c>
      <c r="C2824">
        <v>-1.87</v>
      </c>
      <c r="D2824">
        <v>0.38</v>
      </c>
      <c r="E2824">
        <v>1.1200000000000001</v>
      </c>
      <c r="F2824">
        <v>6835</v>
      </c>
      <c r="G2824" t="s">
        <v>12589</v>
      </c>
      <c r="H2824">
        <v>15543.95</v>
      </c>
      <c r="I2824">
        <v>125.2</v>
      </c>
      <c r="J2824" t="s">
        <v>120</v>
      </c>
      <c r="K2824" t="s">
        <v>393</v>
      </c>
      <c r="L2824">
        <v>1.5</v>
      </c>
      <c r="M2824">
        <v>2.62</v>
      </c>
      <c r="N2824">
        <v>0.78</v>
      </c>
      <c r="O2824">
        <v>3.75</v>
      </c>
      <c r="P2824">
        <v>2.77</v>
      </c>
      <c r="Q2824">
        <v>-2.62</v>
      </c>
      <c r="R2824">
        <v>2.6</v>
      </c>
      <c r="S2824">
        <v>2.7</v>
      </c>
      <c r="T2824">
        <v>582235</v>
      </c>
      <c r="U2824">
        <v>2.63</v>
      </c>
      <c r="V2824">
        <v>2.67</v>
      </c>
      <c r="W2824">
        <v>18.62</v>
      </c>
      <c r="X2824" t="s">
        <v>917</v>
      </c>
      <c r="Y2824" t="s">
        <v>570</v>
      </c>
      <c r="Z2824">
        <v>6.37</v>
      </c>
      <c r="AA2824">
        <v>2.67</v>
      </c>
      <c r="AB2824">
        <v>320352</v>
      </c>
      <c r="AC2824">
        <v>261883</v>
      </c>
      <c r="AD2824">
        <v>1.22</v>
      </c>
      <c r="AE2824">
        <v>329</v>
      </c>
      <c r="AF2824">
        <v>4786</v>
      </c>
      <c r="AG2824" t="s">
        <v>120</v>
      </c>
      <c r="AH2824">
        <v>0.03</v>
      </c>
      <c r="AI2824" t="s">
        <v>120</v>
      </c>
      <c r="AJ2824">
        <v>38.86</v>
      </c>
      <c r="AK2824" t="s">
        <v>393</v>
      </c>
      <c r="AL2824">
        <v>-0.53</v>
      </c>
      <c r="AM2824">
        <v>2969</v>
      </c>
      <c r="AN2824">
        <v>196</v>
      </c>
      <c r="AO2824">
        <v>5.0000000000000001E-4</v>
      </c>
      <c r="AP2824">
        <v>-1</v>
      </c>
      <c r="AQ2824">
        <v>3.49</v>
      </c>
      <c r="AR2824">
        <v>-1.87</v>
      </c>
      <c r="AS2824">
        <v>24.76</v>
      </c>
      <c r="AT2824">
        <v>17.489999999999998</v>
      </c>
      <c r="AU2824">
        <v>12.93</v>
      </c>
      <c r="AV2824">
        <v>0</v>
      </c>
      <c r="AW2824">
        <v>4.08</v>
      </c>
      <c r="AX2824">
        <v>36.729999999999997</v>
      </c>
      <c r="AY2824">
        <v>22.77</v>
      </c>
      <c r="AZ2824">
        <v>21.82</v>
      </c>
      <c r="BA2824">
        <v>0.5</v>
      </c>
      <c r="BB2824" t="s">
        <v>168</v>
      </c>
      <c r="BF2824">
        <v>-0.01</v>
      </c>
      <c r="BG2824">
        <v>-2.96</v>
      </c>
      <c r="BH2824">
        <v>-5.42</v>
      </c>
      <c r="BI2824">
        <v>0.77</v>
      </c>
      <c r="BJ2824">
        <v>20210827</v>
      </c>
      <c r="BK2824">
        <v>20030328</v>
      </c>
      <c r="BL2824">
        <v>38.86</v>
      </c>
      <c r="BM2824" t="s">
        <v>120</v>
      </c>
      <c r="BN2824" t="s">
        <v>120</v>
      </c>
      <c r="BO2824">
        <v>187.63</v>
      </c>
      <c r="BP2824">
        <v>2.62</v>
      </c>
      <c r="BQ2824">
        <v>97.63</v>
      </c>
      <c r="BR2824">
        <v>13.86</v>
      </c>
      <c r="BS2824">
        <v>40.58</v>
      </c>
      <c r="BT2824">
        <v>54.94</v>
      </c>
      <c r="BU2824">
        <v>73.2</v>
      </c>
      <c r="BV2824">
        <v>17.91</v>
      </c>
      <c r="BW2824">
        <v>49.15</v>
      </c>
      <c r="BX2824">
        <v>17.36</v>
      </c>
      <c r="BY2824">
        <v>16.14</v>
      </c>
      <c r="BZ2824">
        <v>9.99</v>
      </c>
      <c r="CA2824" t="s">
        <v>120</v>
      </c>
      <c r="CB2824">
        <v>50.02</v>
      </c>
      <c r="CC2824">
        <v>100.3</v>
      </c>
      <c r="CD2824">
        <v>94.32</v>
      </c>
      <c r="CE2824">
        <v>3.28</v>
      </c>
      <c r="CF2824">
        <v>0.92</v>
      </c>
      <c r="CG2824">
        <v>3.26</v>
      </c>
      <c r="CH2824">
        <v>2.99</v>
      </c>
      <c r="CI2824">
        <v>2.73</v>
      </c>
      <c r="CJ2824">
        <v>-0.05</v>
      </c>
      <c r="CK2824">
        <v>2.19</v>
      </c>
      <c r="CL2824">
        <v>7.55</v>
      </c>
      <c r="CM2824">
        <v>10.51</v>
      </c>
      <c r="CN2824">
        <v>3.19</v>
      </c>
      <c r="CO2824">
        <v>39266</v>
      </c>
      <c r="CP2824">
        <v>36349</v>
      </c>
      <c r="CQ2824" t="s">
        <v>3195</v>
      </c>
      <c r="CR2824">
        <v>-6.74</v>
      </c>
      <c r="CS2824">
        <v>105.31</v>
      </c>
      <c r="CT2824">
        <v>1.04</v>
      </c>
      <c r="CU2824">
        <v>9.68</v>
      </c>
      <c r="CV2824">
        <v>1.02</v>
      </c>
      <c r="CW2824">
        <v>0</v>
      </c>
      <c r="CX2824" t="s">
        <v>679</v>
      </c>
      <c r="CY2824">
        <v>2.5099999999999998</v>
      </c>
      <c r="CZ2824">
        <v>0</v>
      </c>
      <c r="DA2824">
        <v>1.29</v>
      </c>
      <c r="DB2824">
        <v>0.19</v>
      </c>
      <c r="DC2824">
        <v>0.27</v>
      </c>
      <c r="DD2824">
        <v>52.03</v>
      </c>
      <c r="DE2824" t="s">
        <v>2028</v>
      </c>
      <c r="DF2824">
        <v>5.96</v>
      </c>
      <c r="DG2824">
        <v>3.27</v>
      </c>
      <c r="DH2824">
        <v>2.73</v>
      </c>
      <c r="DI2824">
        <v>0.02</v>
      </c>
      <c r="DJ2824">
        <v>7530</v>
      </c>
      <c r="DK2824">
        <v>600575</v>
      </c>
      <c r="DL2824" t="s">
        <v>120</v>
      </c>
      <c r="DM2824" t="s">
        <v>120</v>
      </c>
      <c r="DN2824" t="s">
        <v>120</v>
      </c>
    </row>
    <row r="2825" spans="1:118">
      <c r="A2825" t="str">
        <f>"600576"</f>
        <v>600576</v>
      </c>
      <c r="B2825" t="s">
        <v>12590</v>
      </c>
      <c r="C2825">
        <v>-1.1299999999999999</v>
      </c>
      <c r="D2825">
        <v>0</v>
      </c>
      <c r="E2825">
        <v>0.94</v>
      </c>
      <c r="F2825">
        <v>348</v>
      </c>
      <c r="G2825" t="s">
        <v>7197</v>
      </c>
      <c r="H2825">
        <v>2604.39</v>
      </c>
      <c r="I2825">
        <v>11.29</v>
      </c>
      <c r="J2825" t="s">
        <v>120</v>
      </c>
      <c r="K2825" t="s">
        <v>12591</v>
      </c>
      <c r="L2825">
        <v>0.79</v>
      </c>
      <c r="M2825">
        <v>5.24</v>
      </c>
      <c r="N2825">
        <v>0.88</v>
      </c>
      <c r="O2825">
        <v>3.02</v>
      </c>
      <c r="P2825">
        <v>5.46</v>
      </c>
      <c r="Q2825">
        <v>-2.2599999999999998</v>
      </c>
      <c r="R2825">
        <v>5.18</v>
      </c>
      <c r="S2825">
        <v>5.35</v>
      </c>
      <c r="T2825">
        <v>48933</v>
      </c>
      <c r="U2825">
        <v>5.25</v>
      </c>
      <c r="V2825">
        <v>5.3</v>
      </c>
      <c r="W2825">
        <v>165.12</v>
      </c>
      <c r="X2825" t="s">
        <v>584</v>
      </c>
      <c r="Y2825" t="s">
        <v>585</v>
      </c>
      <c r="Z2825">
        <v>5.28</v>
      </c>
      <c r="AA2825">
        <v>5.32</v>
      </c>
      <c r="AB2825">
        <v>25550</v>
      </c>
      <c r="AC2825">
        <v>23383</v>
      </c>
      <c r="AD2825">
        <v>1.0900000000000001</v>
      </c>
      <c r="AE2825">
        <v>24</v>
      </c>
      <c r="AF2825">
        <v>431</v>
      </c>
      <c r="AG2825" t="s">
        <v>120</v>
      </c>
      <c r="AH2825">
        <v>0.01</v>
      </c>
      <c r="AI2825" t="s">
        <v>120</v>
      </c>
      <c r="AJ2825">
        <v>6.19</v>
      </c>
      <c r="AK2825" t="s">
        <v>12591</v>
      </c>
      <c r="AL2825">
        <v>0.21</v>
      </c>
      <c r="AM2825">
        <v>1778</v>
      </c>
      <c r="AN2825">
        <v>28</v>
      </c>
      <c r="AO2825">
        <v>4.0000000000000002E-4</v>
      </c>
      <c r="AP2825">
        <v>-3</v>
      </c>
      <c r="AQ2825">
        <v>-0.75</v>
      </c>
      <c r="AR2825">
        <v>-5.58</v>
      </c>
      <c r="AS2825">
        <v>8.94</v>
      </c>
      <c r="AT2825">
        <v>0.19</v>
      </c>
      <c r="AU2825">
        <v>46.36</v>
      </c>
      <c r="AV2825">
        <v>8</v>
      </c>
      <c r="AW2825">
        <v>1.51</v>
      </c>
      <c r="AX2825">
        <v>52.17</v>
      </c>
      <c r="AY2825">
        <v>143.38999999999999</v>
      </c>
      <c r="AZ2825">
        <v>173.23</v>
      </c>
      <c r="BA2825">
        <v>0.33</v>
      </c>
      <c r="BB2825" t="s">
        <v>240</v>
      </c>
      <c r="BF2825">
        <v>0.42</v>
      </c>
      <c r="BG2825">
        <v>-2.06</v>
      </c>
      <c r="BH2825">
        <v>-4.03</v>
      </c>
      <c r="BI2825">
        <v>1.1599999999999999</v>
      </c>
      <c r="BJ2825">
        <v>20210825</v>
      </c>
      <c r="BK2825">
        <v>20030220</v>
      </c>
      <c r="BL2825">
        <v>6.19</v>
      </c>
      <c r="BM2825" t="s">
        <v>120</v>
      </c>
      <c r="BN2825" t="s">
        <v>120</v>
      </c>
      <c r="BO2825">
        <v>11.43</v>
      </c>
      <c r="BP2825">
        <v>5.24</v>
      </c>
      <c r="BQ2825">
        <v>10.35</v>
      </c>
      <c r="BR2825">
        <v>-0.23</v>
      </c>
      <c r="BS2825">
        <v>11.46</v>
      </c>
      <c r="BT2825">
        <v>8.08</v>
      </c>
      <c r="BU2825">
        <v>0.52</v>
      </c>
      <c r="BV2825">
        <v>0.28999999999999998</v>
      </c>
      <c r="BW2825">
        <v>1.1399999999999999</v>
      </c>
      <c r="BX2825">
        <v>2.8</v>
      </c>
      <c r="BY2825">
        <v>0.27</v>
      </c>
      <c r="BZ2825">
        <v>3.1</v>
      </c>
      <c r="CA2825">
        <v>0.16</v>
      </c>
      <c r="CB2825">
        <v>10.68</v>
      </c>
      <c r="CC2825">
        <v>1.04</v>
      </c>
      <c r="CD2825">
        <v>0.43</v>
      </c>
      <c r="CE2825">
        <v>0.12</v>
      </c>
      <c r="CF2825">
        <v>0</v>
      </c>
      <c r="CG2825">
        <v>0.12</v>
      </c>
      <c r="CH2825">
        <v>0.09</v>
      </c>
      <c r="CI2825">
        <v>0.1</v>
      </c>
      <c r="CJ2825">
        <v>-0.06</v>
      </c>
      <c r="CK2825">
        <v>0.09</v>
      </c>
      <c r="CL2825">
        <v>-6.98</v>
      </c>
      <c r="CM2825">
        <v>0.04</v>
      </c>
      <c r="CN2825">
        <v>-0.11</v>
      </c>
      <c r="CO2825">
        <v>36779</v>
      </c>
      <c r="CP2825">
        <v>8786</v>
      </c>
      <c r="CQ2825" t="s">
        <v>3374</v>
      </c>
      <c r="CR2825">
        <v>67.02</v>
      </c>
      <c r="CS2825">
        <v>-16.760000000000002</v>
      </c>
      <c r="CT2825">
        <v>3.14</v>
      </c>
      <c r="CU2825">
        <v>875.53</v>
      </c>
      <c r="CV2825">
        <v>31.26</v>
      </c>
      <c r="CW2825">
        <v>0</v>
      </c>
      <c r="CX2825" t="s">
        <v>3900</v>
      </c>
      <c r="CY2825">
        <v>1.67</v>
      </c>
      <c r="CZ2825">
        <v>0</v>
      </c>
      <c r="DA2825">
        <v>1.72</v>
      </c>
      <c r="DB2825">
        <v>-1.1299999999999999</v>
      </c>
      <c r="DC2825">
        <v>0.01</v>
      </c>
      <c r="DD2825">
        <v>90.59</v>
      </c>
      <c r="DE2825" t="s">
        <v>344</v>
      </c>
      <c r="DF2825">
        <v>59.03</v>
      </c>
      <c r="DG2825">
        <v>11.34</v>
      </c>
      <c r="DH2825">
        <v>9.4700000000000006</v>
      </c>
      <c r="DI2825">
        <v>0.02</v>
      </c>
      <c r="DJ2825">
        <v>185</v>
      </c>
      <c r="DK2825">
        <v>600576</v>
      </c>
      <c r="DL2825" t="s">
        <v>120</v>
      </c>
      <c r="DM2825" t="s">
        <v>120</v>
      </c>
      <c r="DN2825" t="s">
        <v>120</v>
      </c>
    </row>
    <row r="2826" spans="1:118">
      <c r="A2826" t="str">
        <f>"600577"</f>
        <v>600577</v>
      </c>
      <c r="B2826" t="s">
        <v>12592</v>
      </c>
      <c r="C2826">
        <v>-7.79</v>
      </c>
      <c r="D2826">
        <v>0</v>
      </c>
      <c r="E2826">
        <v>-0.56000000000000005</v>
      </c>
      <c r="F2826">
        <v>8048</v>
      </c>
      <c r="G2826" t="s">
        <v>12593</v>
      </c>
      <c r="H2826">
        <v>66388.5</v>
      </c>
      <c r="I2826">
        <v>243.51</v>
      </c>
      <c r="J2826" t="s">
        <v>120</v>
      </c>
      <c r="K2826" t="s">
        <v>8905</v>
      </c>
      <c r="L2826">
        <v>3.99</v>
      </c>
      <c r="M2826">
        <v>8.17</v>
      </c>
      <c r="N2826">
        <v>1.23</v>
      </c>
      <c r="O2826">
        <v>0.11</v>
      </c>
      <c r="P2826">
        <v>8.8699999999999992</v>
      </c>
      <c r="Q2826">
        <v>-8.01</v>
      </c>
      <c r="R2826">
        <v>8.15</v>
      </c>
      <c r="S2826">
        <v>8.81</v>
      </c>
      <c r="T2826">
        <v>787722</v>
      </c>
      <c r="U2826">
        <v>8.18</v>
      </c>
      <c r="V2826">
        <v>8.86</v>
      </c>
      <c r="W2826">
        <v>29.45</v>
      </c>
      <c r="X2826" t="s">
        <v>394</v>
      </c>
      <c r="Y2826" t="s">
        <v>570</v>
      </c>
      <c r="Z2826">
        <v>8.1300000000000008</v>
      </c>
      <c r="AA2826">
        <v>8.43</v>
      </c>
      <c r="AB2826">
        <v>452868</v>
      </c>
      <c r="AC2826">
        <v>334854</v>
      </c>
      <c r="AD2826">
        <v>1.35</v>
      </c>
      <c r="AE2826">
        <v>3278</v>
      </c>
      <c r="AF2826">
        <v>152</v>
      </c>
      <c r="AG2826" t="s">
        <v>120</v>
      </c>
      <c r="AH2826">
        <v>0.02</v>
      </c>
      <c r="AI2826" t="s">
        <v>120</v>
      </c>
      <c r="AJ2826">
        <v>19.739999999999998</v>
      </c>
      <c r="AK2826" t="s">
        <v>8905</v>
      </c>
      <c r="AL2826">
        <v>-6.44</v>
      </c>
      <c r="AM2826">
        <v>4585</v>
      </c>
      <c r="AN2826">
        <v>172</v>
      </c>
      <c r="AO2826">
        <v>8.9999999999999998E-4</v>
      </c>
      <c r="AP2826">
        <v>-1</v>
      </c>
      <c r="AQ2826">
        <v>5.98</v>
      </c>
      <c r="AR2826">
        <v>1.1200000000000001</v>
      </c>
      <c r="AS2826">
        <v>-8</v>
      </c>
      <c r="AT2826">
        <v>22.13</v>
      </c>
      <c r="AU2826">
        <v>164.4</v>
      </c>
      <c r="AV2826">
        <v>8</v>
      </c>
      <c r="AW2826">
        <v>5.94</v>
      </c>
      <c r="AX2826">
        <v>67.22</v>
      </c>
      <c r="AY2826">
        <v>33.520000000000003</v>
      </c>
      <c r="AZ2826">
        <v>41.75</v>
      </c>
      <c r="BA2826">
        <v>0.96</v>
      </c>
      <c r="BB2826" t="s">
        <v>751</v>
      </c>
      <c r="BF2826">
        <v>-4.88</v>
      </c>
      <c r="BG2826">
        <v>-7.26</v>
      </c>
      <c r="BH2826">
        <v>-7.89</v>
      </c>
      <c r="BI2826">
        <v>0.25</v>
      </c>
      <c r="BJ2826">
        <v>20210729</v>
      </c>
      <c r="BK2826">
        <v>20020911</v>
      </c>
      <c r="BL2826">
        <v>19.739999999999998</v>
      </c>
      <c r="BM2826" t="s">
        <v>120</v>
      </c>
      <c r="BN2826" t="s">
        <v>120</v>
      </c>
      <c r="BO2826">
        <v>102.44</v>
      </c>
      <c r="BP2826">
        <v>8.17</v>
      </c>
      <c r="BQ2826">
        <v>41.4</v>
      </c>
      <c r="BR2826">
        <v>5.08</v>
      </c>
      <c r="BS2826">
        <v>54.63</v>
      </c>
      <c r="BT2826">
        <v>83.66</v>
      </c>
      <c r="BU2826">
        <v>10.69</v>
      </c>
      <c r="BV2826">
        <v>1.23</v>
      </c>
      <c r="BW2826">
        <v>48.68</v>
      </c>
      <c r="BX2826">
        <v>14.73</v>
      </c>
      <c r="BY2826">
        <v>15.42</v>
      </c>
      <c r="BZ2826">
        <v>32.35</v>
      </c>
      <c r="CA2826" t="s">
        <v>120</v>
      </c>
      <c r="CB2826">
        <v>0.81</v>
      </c>
      <c r="CC2826">
        <v>89.07</v>
      </c>
      <c r="CD2826">
        <v>81.709999999999994</v>
      </c>
      <c r="CE2826">
        <v>3.87</v>
      </c>
      <c r="CF2826">
        <v>0.17</v>
      </c>
      <c r="CG2826">
        <v>3.9</v>
      </c>
      <c r="CH2826">
        <v>3.22</v>
      </c>
      <c r="CI2826">
        <v>2.74</v>
      </c>
      <c r="CJ2826">
        <v>-0.69</v>
      </c>
      <c r="CK2826">
        <v>2.52</v>
      </c>
      <c r="CL2826">
        <v>18.47</v>
      </c>
      <c r="CM2826">
        <v>-7.83</v>
      </c>
      <c r="CN2826">
        <v>2.3199999999999998</v>
      </c>
      <c r="CO2826">
        <v>85254</v>
      </c>
      <c r="CP2826">
        <v>15563</v>
      </c>
      <c r="CQ2826" t="s">
        <v>647</v>
      </c>
      <c r="CR2826">
        <v>60.17</v>
      </c>
      <c r="CS2826">
        <v>59.93</v>
      </c>
      <c r="CT2826">
        <v>3.96</v>
      </c>
      <c r="CU2826">
        <v>-20.6</v>
      </c>
      <c r="CV2826">
        <v>1.81</v>
      </c>
      <c r="CW2826">
        <v>0.22</v>
      </c>
      <c r="CX2826" t="s">
        <v>300</v>
      </c>
      <c r="CY2826">
        <v>2.06</v>
      </c>
      <c r="CZ2826">
        <v>2.06</v>
      </c>
      <c r="DA2826">
        <v>0.04</v>
      </c>
      <c r="DB2826">
        <v>0.94</v>
      </c>
      <c r="DC2826">
        <v>-0.4</v>
      </c>
      <c r="DD2826">
        <v>40.409999999999997</v>
      </c>
      <c r="DE2826" t="s">
        <v>1401</v>
      </c>
      <c r="DF2826">
        <v>8.26</v>
      </c>
      <c r="DG2826">
        <v>4.3499999999999996</v>
      </c>
      <c r="DH2826">
        <v>3.07</v>
      </c>
      <c r="DI2826">
        <v>0.86</v>
      </c>
      <c r="DJ2826">
        <v>3188</v>
      </c>
      <c r="DK2826">
        <v>600577</v>
      </c>
      <c r="DL2826" t="s">
        <v>120</v>
      </c>
      <c r="DM2826" t="s">
        <v>120</v>
      </c>
      <c r="DN2826" t="s">
        <v>120</v>
      </c>
    </row>
    <row r="2827" spans="1:118">
      <c r="A2827" t="str">
        <f>"600578"</f>
        <v>600578</v>
      </c>
      <c r="B2827" t="s">
        <v>12594</v>
      </c>
      <c r="C2827">
        <v>-1.27</v>
      </c>
      <c r="D2827">
        <v>0.65</v>
      </c>
      <c r="E2827">
        <v>0.32</v>
      </c>
      <c r="F2827">
        <v>5350</v>
      </c>
      <c r="G2827" t="s">
        <v>12595</v>
      </c>
      <c r="H2827">
        <v>10615.6</v>
      </c>
      <c r="I2827">
        <v>136.53</v>
      </c>
      <c r="J2827" t="s">
        <v>120</v>
      </c>
      <c r="K2827" t="s">
        <v>12596</v>
      </c>
      <c r="L2827">
        <v>0.51</v>
      </c>
      <c r="M2827">
        <v>3.12</v>
      </c>
      <c r="N2827">
        <v>0.56999999999999995</v>
      </c>
      <c r="O2827">
        <v>1.9</v>
      </c>
      <c r="P2827">
        <v>3.22</v>
      </c>
      <c r="Q2827">
        <v>-2.2200000000000002</v>
      </c>
      <c r="R2827">
        <v>3.09</v>
      </c>
      <c r="S2827">
        <v>3.17</v>
      </c>
      <c r="T2827">
        <v>337934</v>
      </c>
      <c r="U2827">
        <v>3.12</v>
      </c>
      <c r="V2827">
        <v>3.16</v>
      </c>
      <c r="W2827" t="s">
        <v>120</v>
      </c>
      <c r="X2827" t="s">
        <v>268</v>
      </c>
      <c r="Y2827" t="s">
        <v>158</v>
      </c>
      <c r="Z2827">
        <v>4.1100000000000003</v>
      </c>
      <c r="AA2827">
        <v>3.14</v>
      </c>
      <c r="AB2827">
        <v>188240</v>
      </c>
      <c r="AC2827">
        <v>149694</v>
      </c>
      <c r="AD2827">
        <v>1.26</v>
      </c>
      <c r="AE2827">
        <v>259</v>
      </c>
      <c r="AF2827">
        <v>1430</v>
      </c>
      <c r="AG2827" t="s">
        <v>120</v>
      </c>
      <c r="AH2827">
        <v>0.03</v>
      </c>
      <c r="AI2827" t="s">
        <v>120</v>
      </c>
      <c r="AJ2827">
        <v>66.78</v>
      </c>
      <c r="AK2827" t="s">
        <v>12596</v>
      </c>
      <c r="AL2827">
        <v>0.08</v>
      </c>
      <c r="AM2827">
        <v>2652</v>
      </c>
      <c r="AN2827">
        <v>127</v>
      </c>
      <c r="AO2827">
        <v>2.0000000000000001E-4</v>
      </c>
      <c r="AP2827">
        <v>-1</v>
      </c>
      <c r="AQ2827">
        <v>1.61</v>
      </c>
      <c r="AR2827">
        <v>-4.58</v>
      </c>
      <c r="AS2827">
        <v>12.64</v>
      </c>
      <c r="AT2827">
        <v>9.09</v>
      </c>
      <c r="AU2827">
        <v>7.59</v>
      </c>
      <c r="AV2827">
        <v>4</v>
      </c>
      <c r="AW2827">
        <v>2.5</v>
      </c>
      <c r="AX2827">
        <v>20.28</v>
      </c>
      <c r="AY2827">
        <v>82.67</v>
      </c>
      <c r="AZ2827">
        <v>15.11</v>
      </c>
      <c r="BA2827">
        <v>0.21</v>
      </c>
      <c r="BB2827" t="s">
        <v>341</v>
      </c>
      <c r="BF2827">
        <v>-0.59</v>
      </c>
      <c r="BG2827">
        <v>-1.58</v>
      </c>
      <c r="BH2827">
        <v>-3.11</v>
      </c>
      <c r="BI2827">
        <v>0.97</v>
      </c>
      <c r="BJ2827">
        <v>20210823</v>
      </c>
      <c r="BK2827">
        <v>20020510</v>
      </c>
      <c r="BL2827">
        <v>66.78</v>
      </c>
      <c r="BM2827" t="s">
        <v>120</v>
      </c>
      <c r="BN2827" t="s">
        <v>120</v>
      </c>
      <c r="BO2827">
        <v>799.46</v>
      </c>
      <c r="BP2827">
        <v>3.11</v>
      </c>
      <c r="BQ2827">
        <v>244.26</v>
      </c>
      <c r="BR2827">
        <v>55.77</v>
      </c>
      <c r="BS2827">
        <v>62.47</v>
      </c>
      <c r="BT2827">
        <v>86.46</v>
      </c>
      <c r="BU2827">
        <v>447.94</v>
      </c>
      <c r="BV2827">
        <v>19.87</v>
      </c>
      <c r="BW2827">
        <v>205.36</v>
      </c>
      <c r="BX2827">
        <v>37.99</v>
      </c>
      <c r="BY2827">
        <v>7.68</v>
      </c>
      <c r="BZ2827">
        <v>29.86</v>
      </c>
      <c r="CA2827">
        <v>0.03</v>
      </c>
      <c r="CB2827">
        <v>81.62</v>
      </c>
      <c r="CC2827">
        <v>100.32</v>
      </c>
      <c r="CD2827">
        <v>95.4</v>
      </c>
      <c r="CE2827">
        <v>-3.52</v>
      </c>
      <c r="CF2827">
        <v>4.3499999999999996</v>
      </c>
      <c r="CG2827">
        <v>-3.5</v>
      </c>
      <c r="CH2827">
        <v>-3.83</v>
      </c>
      <c r="CI2827">
        <v>-3</v>
      </c>
      <c r="CJ2827">
        <v>-0.04</v>
      </c>
      <c r="CK2827">
        <v>-3.2</v>
      </c>
      <c r="CL2827">
        <v>32.799999999999997</v>
      </c>
      <c r="CM2827">
        <v>23.33</v>
      </c>
      <c r="CN2827">
        <v>0.13</v>
      </c>
      <c r="CO2827">
        <v>75127</v>
      </c>
      <c r="CP2827">
        <v>18023</v>
      </c>
      <c r="CQ2827" t="s">
        <v>5313</v>
      </c>
      <c r="CR2827">
        <v>-135.69</v>
      </c>
      <c r="CS2827">
        <v>10</v>
      </c>
      <c r="CT2827">
        <v>0.91</v>
      </c>
      <c r="CU2827">
        <v>8.93</v>
      </c>
      <c r="CV2827">
        <v>2.08</v>
      </c>
      <c r="CW2827">
        <v>3.8</v>
      </c>
      <c r="CX2827" t="s">
        <v>161</v>
      </c>
      <c r="CY2827">
        <v>3.43</v>
      </c>
      <c r="CZ2827">
        <v>3.43</v>
      </c>
      <c r="DA2827">
        <v>1.22</v>
      </c>
      <c r="DB2827">
        <v>0.49</v>
      </c>
      <c r="DC2827">
        <v>0.35</v>
      </c>
      <c r="DD2827">
        <v>30.55</v>
      </c>
      <c r="DE2827" t="s">
        <v>12597</v>
      </c>
      <c r="DF2827">
        <v>4.9000000000000004</v>
      </c>
      <c r="DG2827">
        <v>-3.51</v>
      </c>
      <c r="DH2827">
        <v>-2.99</v>
      </c>
      <c r="DI2827">
        <v>0.08</v>
      </c>
      <c r="DJ2827">
        <v>5405</v>
      </c>
      <c r="DK2827">
        <v>600578</v>
      </c>
      <c r="DL2827">
        <v>20210906</v>
      </c>
      <c r="DM2827">
        <v>3.04</v>
      </c>
      <c r="DN2827">
        <v>2.63</v>
      </c>
    </row>
    <row r="2828" spans="1:118">
      <c r="A2828" t="str">
        <f>"600579"</f>
        <v>600579</v>
      </c>
      <c r="B2828" t="s">
        <v>12598</v>
      </c>
      <c r="C2828">
        <v>4.2699999999999996</v>
      </c>
      <c r="D2828">
        <v>0</v>
      </c>
      <c r="E2828">
        <v>0.67</v>
      </c>
      <c r="F2828">
        <v>1341</v>
      </c>
      <c r="G2828" t="s">
        <v>12599</v>
      </c>
      <c r="H2828">
        <v>14761.23</v>
      </c>
      <c r="I2828">
        <v>31.79</v>
      </c>
      <c r="J2828" t="s">
        <v>120</v>
      </c>
      <c r="K2828" t="s">
        <v>4703</v>
      </c>
      <c r="L2828">
        <v>4.55</v>
      </c>
      <c r="M2828">
        <v>7.82</v>
      </c>
      <c r="N2828">
        <v>1.22</v>
      </c>
      <c r="O2828">
        <v>9.8699999999999992</v>
      </c>
      <c r="P2828">
        <v>8.24</v>
      </c>
      <c r="Q2828">
        <v>-0.67</v>
      </c>
      <c r="R2828">
        <v>7.45</v>
      </c>
      <c r="S2828">
        <v>7.55</v>
      </c>
      <c r="T2828">
        <v>186450</v>
      </c>
      <c r="U2828">
        <v>7.83</v>
      </c>
      <c r="V2828">
        <v>7.5</v>
      </c>
      <c r="W2828" t="s">
        <v>120</v>
      </c>
      <c r="X2828" t="s">
        <v>2196</v>
      </c>
      <c r="Y2828" t="s">
        <v>638</v>
      </c>
      <c r="Z2828">
        <v>10.53</v>
      </c>
      <c r="AA2828">
        <v>7.92</v>
      </c>
      <c r="AB2828">
        <v>87063</v>
      </c>
      <c r="AC2828">
        <v>99387</v>
      </c>
      <c r="AD2828">
        <v>0.88</v>
      </c>
      <c r="AE2828">
        <v>47</v>
      </c>
      <c r="AF2828">
        <v>725</v>
      </c>
      <c r="AG2828" t="s">
        <v>120</v>
      </c>
      <c r="AH2828">
        <v>0.02</v>
      </c>
      <c r="AI2828" t="s">
        <v>120</v>
      </c>
      <c r="AJ2828">
        <v>4.0999999999999996</v>
      </c>
      <c r="AK2828" t="s">
        <v>12600</v>
      </c>
      <c r="AL2828">
        <v>5.61</v>
      </c>
      <c r="AM2828">
        <v>3626</v>
      </c>
      <c r="AN2828">
        <v>51</v>
      </c>
      <c r="AO2828">
        <v>1.2999999999999999E-3</v>
      </c>
      <c r="AP2828">
        <v>2</v>
      </c>
      <c r="AQ2828">
        <v>0.81</v>
      </c>
      <c r="AR2828">
        <v>0.39</v>
      </c>
      <c r="AS2828">
        <v>37.43</v>
      </c>
      <c r="AT2828">
        <v>10.92</v>
      </c>
      <c r="AU2828">
        <v>58.62</v>
      </c>
      <c r="AV2828">
        <v>10</v>
      </c>
      <c r="AW2828">
        <v>9.94</v>
      </c>
      <c r="AX2828">
        <v>25.56</v>
      </c>
      <c r="AY2828" t="s">
        <v>120</v>
      </c>
      <c r="AZ2828" t="s">
        <v>120</v>
      </c>
      <c r="BA2828">
        <v>0.82</v>
      </c>
      <c r="BB2828" t="s">
        <v>184</v>
      </c>
      <c r="BF2828">
        <v>5.56</v>
      </c>
      <c r="BG2828">
        <v>3.58</v>
      </c>
      <c r="BH2828">
        <v>-5.0999999999999996</v>
      </c>
      <c r="BI2828">
        <v>4.97</v>
      </c>
      <c r="BJ2828">
        <v>20210828</v>
      </c>
      <c r="BK2828">
        <v>20020809</v>
      </c>
      <c r="BL2828">
        <v>7.34</v>
      </c>
      <c r="BM2828" t="s">
        <v>120</v>
      </c>
      <c r="BN2828" t="s">
        <v>120</v>
      </c>
      <c r="BO2828">
        <v>163.01</v>
      </c>
      <c r="BP2828">
        <v>7.82</v>
      </c>
      <c r="BQ2828">
        <v>50.31</v>
      </c>
      <c r="BR2828" t="s">
        <v>120</v>
      </c>
      <c r="BS2828">
        <v>69.14</v>
      </c>
      <c r="BT2828">
        <v>68.14</v>
      </c>
      <c r="BU2828">
        <v>18.03</v>
      </c>
      <c r="BV2828">
        <v>31.6</v>
      </c>
      <c r="BW2828">
        <v>58.67</v>
      </c>
      <c r="BX2828">
        <v>10.47</v>
      </c>
      <c r="BY2828">
        <v>27.72</v>
      </c>
      <c r="BZ2828">
        <v>17.809999999999999</v>
      </c>
      <c r="CA2828" t="s">
        <v>120</v>
      </c>
      <c r="CB2828">
        <v>51.66</v>
      </c>
      <c r="CC2828">
        <v>42.9</v>
      </c>
      <c r="CD2828">
        <v>33.520000000000003</v>
      </c>
      <c r="CE2828">
        <v>-2.4300000000000002</v>
      </c>
      <c r="CF2828">
        <v>0.01</v>
      </c>
      <c r="CG2828">
        <v>-2.4700000000000002</v>
      </c>
      <c r="CH2828">
        <v>-1.76</v>
      </c>
      <c r="CI2828">
        <v>-1.76</v>
      </c>
      <c r="CJ2828">
        <v>0.32</v>
      </c>
      <c r="CK2828">
        <v>-1.25</v>
      </c>
      <c r="CL2828">
        <v>-9.4700000000000006</v>
      </c>
      <c r="CM2828">
        <v>2.71</v>
      </c>
      <c r="CN2828">
        <v>-0.91</v>
      </c>
      <c r="CO2828">
        <v>19515</v>
      </c>
      <c r="CP2828">
        <v>9616</v>
      </c>
      <c r="CQ2828" t="s">
        <v>1015</v>
      </c>
      <c r="CR2828">
        <v>21.81</v>
      </c>
      <c r="CS2828">
        <v>0.86</v>
      </c>
      <c r="CT2828">
        <v>1.1399999999999999</v>
      </c>
      <c r="CU2828">
        <v>21.21</v>
      </c>
      <c r="CV2828">
        <v>1.34</v>
      </c>
      <c r="CW2828">
        <v>0</v>
      </c>
      <c r="CX2828" t="s">
        <v>2449</v>
      </c>
      <c r="CY2828">
        <v>6.85</v>
      </c>
      <c r="CZ2828">
        <v>0</v>
      </c>
      <c r="DA2828">
        <v>7.04</v>
      </c>
      <c r="DB2828">
        <v>-1.29</v>
      </c>
      <c r="DC2828">
        <v>0.37</v>
      </c>
      <c r="DD2828">
        <v>30.86</v>
      </c>
      <c r="DE2828" t="s">
        <v>11707</v>
      </c>
      <c r="DF2828">
        <v>21.88</v>
      </c>
      <c r="DG2828">
        <v>-5.66</v>
      </c>
      <c r="DH2828">
        <v>-4.0999999999999996</v>
      </c>
      <c r="DI2828">
        <v>1.24</v>
      </c>
      <c r="DJ2828">
        <v>6064</v>
      </c>
      <c r="DK2828">
        <v>600579</v>
      </c>
      <c r="DL2828" t="s">
        <v>120</v>
      </c>
      <c r="DM2828" t="s">
        <v>120</v>
      </c>
      <c r="DN2828" t="s">
        <v>120</v>
      </c>
    </row>
    <row r="2829" spans="1:118">
      <c r="A2829" t="str">
        <f>"600580"</f>
        <v>600580</v>
      </c>
      <c r="B2829" t="s">
        <v>12601</v>
      </c>
      <c r="C2829">
        <v>-4.45</v>
      </c>
      <c r="D2829">
        <v>0</v>
      </c>
      <c r="E2829">
        <v>-0.27</v>
      </c>
      <c r="F2829">
        <v>3181</v>
      </c>
      <c r="G2829" t="s">
        <v>12602</v>
      </c>
      <c r="H2829">
        <v>43897.3</v>
      </c>
      <c r="I2829">
        <v>65.42</v>
      </c>
      <c r="J2829" t="s">
        <v>120</v>
      </c>
      <c r="K2829" t="s">
        <v>12603</v>
      </c>
      <c r="L2829">
        <v>2.3199999999999998</v>
      </c>
      <c r="M2829">
        <v>13.96</v>
      </c>
      <c r="N2829">
        <v>0.86</v>
      </c>
      <c r="O2829">
        <v>1.64</v>
      </c>
      <c r="P2829">
        <v>14.85</v>
      </c>
      <c r="Q2829">
        <v>-4.5199999999999996</v>
      </c>
      <c r="R2829">
        <v>13.95</v>
      </c>
      <c r="S2829">
        <v>14.57</v>
      </c>
      <c r="T2829">
        <v>305643</v>
      </c>
      <c r="U2829">
        <v>13.97</v>
      </c>
      <c r="V2829">
        <v>14.61</v>
      </c>
      <c r="W2829">
        <v>21.93</v>
      </c>
      <c r="X2829" t="s">
        <v>394</v>
      </c>
      <c r="Y2829" t="s">
        <v>585</v>
      </c>
      <c r="Z2829">
        <v>6.16</v>
      </c>
      <c r="AA2829">
        <v>14.36</v>
      </c>
      <c r="AB2829">
        <v>177394</v>
      </c>
      <c r="AC2829">
        <v>128249</v>
      </c>
      <c r="AD2829">
        <v>1.38</v>
      </c>
      <c r="AE2829">
        <v>810</v>
      </c>
      <c r="AF2829">
        <v>520</v>
      </c>
      <c r="AG2829" t="s">
        <v>120</v>
      </c>
      <c r="AH2829">
        <v>0.01</v>
      </c>
      <c r="AI2829" t="s">
        <v>120</v>
      </c>
      <c r="AJ2829">
        <v>13.15</v>
      </c>
      <c r="AK2829" t="s">
        <v>12603</v>
      </c>
      <c r="AL2829">
        <v>-3.11</v>
      </c>
      <c r="AM2829">
        <v>4172</v>
      </c>
      <c r="AN2829">
        <v>73</v>
      </c>
      <c r="AO2829">
        <v>5.9999999999999995E-4</v>
      </c>
      <c r="AP2829">
        <v>-1</v>
      </c>
      <c r="AQ2829">
        <v>2.38</v>
      </c>
      <c r="AR2829">
        <v>-2.11</v>
      </c>
      <c r="AS2829">
        <v>-0.78</v>
      </c>
      <c r="AT2829">
        <v>6.24</v>
      </c>
      <c r="AU2829">
        <v>-9.65</v>
      </c>
      <c r="AV2829">
        <v>0</v>
      </c>
      <c r="AW2829">
        <v>3.58</v>
      </c>
      <c r="AX2829">
        <v>64.91</v>
      </c>
      <c r="AY2829">
        <v>20.8</v>
      </c>
      <c r="AZ2829">
        <v>22.17</v>
      </c>
      <c r="BA2829">
        <v>1.72</v>
      </c>
      <c r="BB2829" t="s">
        <v>143</v>
      </c>
      <c r="BF2829">
        <v>-1.7</v>
      </c>
      <c r="BG2829">
        <v>-4.1900000000000004</v>
      </c>
      <c r="BH2829">
        <v>-5.99</v>
      </c>
      <c r="BI2829">
        <v>7.0000000000000007E-2</v>
      </c>
      <c r="BJ2829">
        <v>20210831</v>
      </c>
      <c r="BK2829">
        <v>20020606</v>
      </c>
      <c r="BL2829">
        <v>13.15</v>
      </c>
      <c r="BM2829" t="s">
        <v>120</v>
      </c>
      <c r="BN2829" t="s">
        <v>120</v>
      </c>
      <c r="BO2829">
        <v>216.9</v>
      </c>
      <c r="BP2829">
        <v>13.96</v>
      </c>
      <c r="BQ2829">
        <v>79.73</v>
      </c>
      <c r="BR2829">
        <v>6.6</v>
      </c>
      <c r="BS2829">
        <v>60.2</v>
      </c>
      <c r="BT2829">
        <v>119.05</v>
      </c>
      <c r="BU2829">
        <v>40.82</v>
      </c>
      <c r="BV2829">
        <v>12.79</v>
      </c>
      <c r="BW2829">
        <v>94.07</v>
      </c>
      <c r="BX2829">
        <v>21.97</v>
      </c>
      <c r="BY2829">
        <v>30.29</v>
      </c>
      <c r="BZ2829">
        <v>41.65</v>
      </c>
      <c r="CA2829">
        <v>0.06</v>
      </c>
      <c r="CB2829">
        <v>20.149999999999999</v>
      </c>
      <c r="CC2829">
        <v>67.44</v>
      </c>
      <c r="CD2829">
        <v>50.69</v>
      </c>
      <c r="CE2829">
        <v>5.79</v>
      </c>
      <c r="CF2829">
        <v>0.8</v>
      </c>
      <c r="CG2829">
        <v>5.44</v>
      </c>
      <c r="CH2829">
        <v>4.46</v>
      </c>
      <c r="CI2829">
        <v>4.1900000000000004</v>
      </c>
      <c r="CJ2829">
        <v>-0.65</v>
      </c>
      <c r="CK2829">
        <v>3.5</v>
      </c>
      <c r="CL2829">
        <v>49.26</v>
      </c>
      <c r="CM2829">
        <v>5.44</v>
      </c>
      <c r="CN2829">
        <v>-0.26</v>
      </c>
      <c r="CO2829">
        <v>61874</v>
      </c>
      <c r="CP2829">
        <v>13797</v>
      </c>
      <c r="CQ2829" t="s">
        <v>12604</v>
      </c>
      <c r="CR2829">
        <v>15.75</v>
      </c>
      <c r="CS2829">
        <v>13.45</v>
      </c>
      <c r="CT2829">
        <v>2.2999999999999998</v>
      </c>
      <c r="CU2829">
        <v>33.75</v>
      </c>
      <c r="CV2829">
        <v>2.72</v>
      </c>
      <c r="CW2829">
        <v>1.02</v>
      </c>
      <c r="CX2829" t="s">
        <v>966</v>
      </c>
      <c r="CY2829">
        <v>6.06</v>
      </c>
      <c r="CZ2829">
        <v>0</v>
      </c>
      <c r="DA2829">
        <v>1.53</v>
      </c>
      <c r="DB2829">
        <v>3.74</v>
      </c>
      <c r="DC2829">
        <v>0.41</v>
      </c>
      <c r="DD2829">
        <v>36.76</v>
      </c>
      <c r="DE2829" t="s">
        <v>2474</v>
      </c>
      <c r="DF2829">
        <v>24.84</v>
      </c>
      <c r="DG2829">
        <v>8.59</v>
      </c>
      <c r="DH2829">
        <v>6.21</v>
      </c>
      <c r="DI2829">
        <v>2.35</v>
      </c>
      <c r="DJ2829">
        <v>14470</v>
      </c>
      <c r="DK2829">
        <v>600580</v>
      </c>
      <c r="DL2829" t="s">
        <v>120</v>
      </c>
      <c r="DM2829" t="s">
        <v>120</v>
      </c>
      <c r="DN2829" t="s">
        <v>120</v>
      </c>
    </row>
    <row r="2830" spans="1:118">
      <c r="A2830" t="str">
        <f>"600581"</f>
        <v>600581</v>
      </c>
      <c r="B2830" t="s">
        <v>12605</v>
      </c>
      <c r="C2830">
        <v>-0.3</v>
      </c>
      <c r="D2830">
        <v>-0.09</v>
      </c>
      <c r="E2830">
        <v>1.88</v>
      </c>
      <c r="F2830">
        <v>6472</v>
      </c>
      <c r="G2830" t="s">
        <v>12606</v>
      </c>
      <c r="H2830">
        <v>80972.350000000006</v>
      </c>
      <c r="I2830">
        <v>826.74</v>
      </c>
      <c r="J2830" t="s">
        <v>120</v>
      </c>
      <c r="K2830" t="s">
        <v>12607</v>
      </c>
      <c r="L2830">
        <v>5.09</v>
      </c>
      <c r="M2830">
        <v>10.1</v>
      </c>
      <c r="N2830">
        <v>0.68</v>
      </c>
      <c r="O2830">
        <v>5.82</v>
      </c>
      <c r="P2830">
        <v>10.72</v>
      </c>
      <c r="Q2830">
        <v>-0.59</v>
      </c>
      <c r="R2830">
        <v>10.07</v>
      </c>
      <c r="S2830">
        <v>10.32</v>
      </c>
      <c r="T2830">
        <v>780413</v>
      </c>
      <c r="U2830">
        <v>10.1</v>
      </c>
      <c r="V2830">
        <v>10.130000000000001</v>
      </c>
      <c r="W2830">
        <v>6.08</v>
      </c>
      <c r="X2830" t="s">
        <v>1460</v>
      </c>
      <c r="Y2830" t="s">
        <v>609</v>
      </c>
      <c r="Z2830">
        <v>6.42</v>
      </c>
      <c r="AA2830">
        <v>10.38</v>
      </c>
      <c r="AB2830">
        <v>394031</v>
      </c>
      <c r="AC2830">
        <v>386382</v>
      </c>
      <c r="AD2830">
        <v>1.02</v>
      </c>
      <c r="AE2830">
        <v>743</v>
      </c>
      <c r="AF2830">
        <v>397</v>
      </c>
      <c r="AG2830" t="s">
        <v>120</v>
      </c>
      <c r="AH2830">
        <v>0.1</v>
      </c>
      <c r="AI2830" t="s">
        <v>120</v>
      </c>
      <c r="AJ2830">
        <v>15.33</v>
      </c>
      <c r="AK2830" t="s">
        <v>12607</v>
      </c>
      <c r="AL2830">
        <v>1.05</v>
      </c>
      <c r="AM2830">
        <v>4509</v>
      </c>
      <c r="AN2830">
        <v>173</v>
      </c>
      <c r="AO2830">
        <v>1.1000000000000001E-3</v>
      </c>
      <c r="AP2830">
        <v>-3</v>
      </c>
      <c r="AQ2830">
        <v>-0.59</v>
      </c>
      <c r="AR2830">
        <v>-7.26</v>
      </c>
      <c r="AS2830">
        <v>41.06</v>
      </c>
      <c r="AT2830">
        <v>69.47</v>
      </c>
      <c r="AU2830">
        <v>163.71</v>
      </c>
      <c r="AV2830">
        <v>9</v>
      </c>
      <c r="AW2830">
        <v>10.19</v>
      </c>
      <c r="AX2830">
        <v>49.98</v>
      </c>
      <c r="AY2830">
        <v>10.210000000000001</v>
      </c>
      <c r="AZ2830">
        <v>49.1</v>
      </c>
      <c r="BA2830">
        <v>1.81</v>
      </c>
      <c r="BB2830" t="s">
        <v>143</v>
      </c>
      <c r="BF2830">
        <v>2.42</v>
      </c>
      <c r="BG2830">
        <v>-2.13</v>
      </c>
      <c r="BH2830">
        <v>-5.78</v>
      </c>
      <c r="BI2830">
        <v>0.3</v>
      </c>
      <c r="BJ2830">
        <v>20210830</v>
      </c>
      <c r="BK2830">
        <v>20020816</v>
      </c>
      <c r="BL2830">
        <v>15.33</v>
      </c>
      <c r="BM2830" t="s">
        <v>120</v>
      </c>
      <c r="BN2830" t="s">
        <v>120</v>
      </c>
      <c r="BO2830">
        <v>259.25</v>
      </c>
      <c r="BP2830">
        <v>10.09</v>
      </c>
      <c r="BQ2830">
        <v>57.73</v>
      </c>
      <c r="BR2830" t="s">
        <v>120</v>
      </c>
      <c r="BS2830">
        <v>77.73</v>
      </c>
      <c r="BT2830">
        <v>99.71</v>
      </c>
      <c r="BU2830">
        <v>134.08000000000001</v>
      </c>
      <c r="BV2830">
        <v>0.18</v>
      </c>
      <c r="BW2830">
        <v>175.4</v>
      </c>
      <c r="BX2830">
        <v>16.690000000000001</v>
      </c>
      <c r="BY2830">
        <v>34.369999999999997</v>
      </c>
      <c r="BZ2830">
        <v>10.98</v>
      </c>
      <c r="CA2830" t="s">
        <v>120</v>
      </c>
      <c r="CB2830">
        <v>33.65</v>
      </c>
      <c r="CC2830">
        <v>146.59</v>
      </c>
      <c r="CD2830">
        <v>119.6</v>
      </c>
      <c r="CE2830">
        <v>15.02</v>
      </c>
      <c r="CF2830">
        <v>0</v>
      </c>
      <c r="CG2830">
        <v>15.02</v>
      </c>
      <c r="CH2830">
        <v>12.74</v>
      </c>
      <c r="CI2830">
        <v>12.74</v>
      </c>
      <c r="CJ2830">
        <v>-0.03</v>
      </c>
      <c r="CK2830">
        <v>12.72</v>
      </c>
      <c r="CL2830">
        <v>0.88</v>
      </c>
      <c r="CM2830">
        <v>-3.57</v>
      </c>
      <c r="CN2830">
        <v>-7.39</v>
      </c>
      <c r="CO2830">
        <v>61478</v>
      </c>
      <c r="CP2830">
        <v>12462</v>
      </c>
      <c r="CQ2830" t="s">
        <v>11898</v>
      </c>
      <c r="CR2830">
        <v>1740.59</v>
      </c>
      <c r="CS2830">
        <v>49.52</v>
      </c>
      <c r="CT2830">
        <v>2.68</v>
      </c>
      <c r="CU2830">
        <v>-43.34</v>
      </c>
      <c r="CV2830">
        <v>1.06</v>
      </c>
      <c r="CW2830">
        <v>0</v>
      </c>
      <c r="CX2830" t="s">
        <v>655</v>
      </c>
      <c r="CY2830">
        <v>3.77</v>
      </c>
      <c r="CZ2830">
        <v>0</v>
      </c>
      <c r="DA2830">
        <v>2.2000000000000002</v>
      </c>
      <c r="DB2830">
        <v>0.06</v>
      </c>
      <c r="DC2830">
        <v>-0.23</v>
      </c>
      <c r="DD2830">
        <v>22.27</v>
      </c>
      <c r="DE2830" t="s">
        <v>12608</v>
      </c>
      <c r="DF2830">
        <v>18.41</v>
      </c>
      <c r="DG2830">
        <v>10.25</v>
      </c>
      <c r="DH2830">
        <v>8.69</v>
      </c>
      <c r="DI2830">
        <v>2.52</v>
      </c>
      <c r="DJ2830">
        <v>5366</v>
      </c>
      <c r="DK2830">
        <v>600581</v>
      </c>
      <c r="DL2830">
        <v>20210719</v>
      </c>
      <c r="DM2830">
        <v>7.55</v>
      </c>
      <c r="DN2830">
        <v>33.770000000000003</v>
      </c>
    </row>
    <row r="2831" spans="1:118">
      <c r="A2831" t="str">
        <f>"600582"</f>
        <v>600582</v>
      </c>
      <c r="B2831" t="s">
        <v>12609</v>
      </c>
      <c r="C2831">
        <v>0.9</v>
      </c>
      <c r="D2831">
        <v>-0.17</v>
      </c>
      <c r="E2831">
        <v>1.08</v>
      </c>
      <c r="F2831">
        <v>12315</v>
      </c>
      <c r="G2831" t="s">
        <v>12610</v>
      </c>
      <c r="H2831">
        <v>48902.19</v>
      </c>
      <c r="I2831">
        <v>346.8</v>
      </c>
      <c r="J2831" t="s">
        <v>120</v>
      </c>
      <c r="K2831" t="s">
        <v>12611</v>
      </c>
      <c r="L2831">
        <v>2.0499999999999998</v>
      </c>
      <c r="M2831">
        <v>5.63</v>
      </c>
      <c r="N2831">
        <v>1.29</v>
      </c>
      <c r="O2831">
        <v>6.81</v>
      </c>
      <c r="P2831">
        <v>5.96</v>
      </c>
      <c r="Q2831">
        <v>-0.36</v>
      </c>
      <c r="R2831">
        <v>5.56</v>
      </c>
      <c r="S2831">
        <v>5.64</v>
      </c>
      <c r="T2831">
        <v>848629</v>
      </c>
      <c r="U2831">
        <v>5.64</v>
      </c>
      <c r="V2831">
        <v>5.58</v>
      </c>
      <c r="W2831">
        <v>14.14</v>
      </c>
      <c r="X2831" t="s">
        <v>593</v>
      </c>
      <c r="Y2831" t="s">
        <v>158</v>
      </c>
      <c r="Z2831">
        <v>7.17</v>
      </c>
      <c r="AA2831">
        <v>5.76</v>
      </c>
      <c r="AB2831">
        <v>410321</v>
      </c>
      <c r="AC2831">
        <v>438308</v>
      </c>
      <c r="AD2831">
        <v>0.94</v>
      </c>
      <c r="AE2831">
        <v>477</v>
      </c>
      <c r="AF2831">
        <v>287</v>
      </c>
      <c r="AG2831" t="s">
        <v>120</v>
      </c>
      <c r="AH2831">
        <v>0.04</v>
      </c>
      <c r="AI2831" t="s">
        <v>120</v>
      </c>
      <c r="AJ2831">
        <v>41.39</v>
      </c>
      <c r="AK2831" t="s">
        <v>12611</v>
      </c>
      <c r="AL2831">
        <v>2.2400000000000002</v>
      </c>
      <c r="AM2831">
        <v>4171</v>
      </c>
      <c r="AN2831">
        <v>203</v>
      </c>
      <c r="AO2831">
        <v>5.0000000000000001E-4</v>
      </c>
      <c r="AP2831">
        <v>2</v>
      </c>
      <c r="AQ2831">
        <v>1.82</v>
      </c>
      <c r="AR2831">
        <v>0.53</v>
      </c>
      <c r="AS2831">
        <v>26.81</v>
      </c>
      <c r="AT2831">
        <v>38.67</v>
      </c>
      <c r="AU2831">
        <v>92.15</v>
      </c>
      <c r="AV2831">
        <v>4</v>
      </c>
      <c r="AW2831">
        <v>5.85</v>
      </c>
      <c r="AX2831">
        <v>35.03</v>
      </c>
      <c r="AY2831">
        <v>14.16</v>
      </c>
      <c r="AZ2831">
        <v>16.93</v>
      </c>
      <c r="BA2831">
        <v>0.73</v>
      </c>
      <c r="BB2831" t="s">
        <v>184</v>
      </c>
      <c r="BF2831">
        <v>3.27</v>
      </c>
      <c r="BG2831">
        <v>-0.18</v>
      </c>
      <c r="BH2831">
        <v>-5.54</v>
      </c>
      <c r="BI2831">
        <v>1.26</v>
      </c>
      <c r="BJ2831">
        <v>20210827</v>
      </c>
      <c r="BK2831">
        <v>20020515</v>
      </c>
      <c r="BL2831">
        <v>41.39</v>
      </c>
      <c r="BM2831" t="s">
        <v>120</v>
      </c>
      <c r="BN2831" t="s">
        <v>120</v>
      </c>
      <c r="BO2831">
        <v>397.31</v>
      </c>
      <c r="BP2831">
        <v>5.63</v>
      </c>
      <c r="BQ2831">
        <v>182.66</v>
      </c>
      <c r="BR2831">
        <v>48.09</v>
      </c>
      <c r="BS2831">
        <v>41.92</v>
      </c>
      <c r="BT2831">
        <v>290.13</v>
      </c>
      <c r="BU2831">
        <v>44.56</v>
      </c>
      <c r="BV2831">
        <v>19.12</v>
      </c>
      <c r="BW2831">
        <v>140</v>
      </c>
      <c r="BX2831">
        <v>72.709999999999994</v>
      </c>
      <c r="BY2831">
        <v>47.77</v>
      </c>
      <c r="BZ2831">
        <v>107.23</v>
      </c>
      <c r="CA2831">
        <v>0.06</v>
      </c>
      <c r="CB2831">
        <v>16.940000000000001</v>
      </c>
      <c r="CC2831">
        <v>107.86</v>
      </c>
      <c r="CD2831">
        <v>73.64</v>
      </c>
      <c r="CE2831">
        <v>12.44</v>
      </c>
      <c r="CF2831">
        <v>0.35</v>
      </c>
      <c r="CG2831">
        <v>12.56</v>
      </c>
      <c r="CH2831">
        <v>10.73</v>
      </c>
      <c r="CI2831">
        <v>8.24</v>
      </c>
      <c r="CJ2831">
        <v>0.05</v>
      </c>
      <c r="CK2831">
        <v>7.72</v>
      </c>
      <c r="CL2831">
        <v>116.36</v>
      </c>
      <c r="CM2831">
        <v>7.75</v>
      </c>
      <c r="CN2831">
        <v>3.73</v>
      </c>
      <c r="CO2831">
        <v>62142</v>
      </c>
      <c r="CP2831">
        <v>23333</v>
      </c>
      <c r="CQ2831" t="s">
        <v>9446</v>
      </c>
      <c r="CR2831">
        <v>47.97</v>
      </c>
      <c r="CS2831">
        <v>26.6</v>
      </c>
      <c r="CT2831">
        <v>1.28</v>
      </c>
      <c r="CU2831">
        <v>30.06</v>
      </c>
      <c r="CV2831">
        <v>2.16</v>
      </c>
      <c r="CW2831">
        <v>2.69</v>
      </c>
      <c r="CX2831" t="s">
        <v>492</v>
      </c>
      <c r="CY2831">
        <v>4.41</v>
      </c>
      <c r="CZ2831">
        <v>0</v>
      </c>
      <c r="DA2831">
        <v>0.41</v>
      </c>
      <c r="DB2831">
        <v>2.81</v>
      </c>
      <c r="DC2831">
        <v>0.19</v>
      </c>
      <c r="DD2831">
        <v>45.97</v>
      </c>
      <c r="DE2831" t="s">
        <v>7300</v>
      </c>
      <c r="DF2831">
        <v>31.72</v>
      </c>
      <c r="DG2831">
        <v>11.53</v>
      </c>
      <c r="DH2831">
        <v>7.64</v>
      </c>
      <c r="DI2831">
        <v>4.6500000000000004</v>
      </c>
      <c r="DJ2831">
        <v>21848</v>
      </c>
      <c r="DK2831">
        <v>600582</v>
      </c>
      <c r="DL2831" t="s">
        <v>120</v>
      </c>
      <c r="DM2831" t="s">
        <v>120</v>
      </c>
      <c r="DN2831" t="s">
        <v>120</v>
      </c>
    </row>
    <row r="2832" spans="1:118">
      <c r="A2832" t="str">
        <f>"600583"</f>
        <v>600583</v>
      </c>
      <c r="B2832" t="s">
        <v>12612</v>
      </c>
      <c r="C2832">
        <v>2.96</v>
      </c>
      <c r="D2832">
        <v>0.57999999999999996</v>
      </c>
      <c r="E2832">
        <v>1.58</v>
      </c>
      <c r="F2832">
        <v>11944</v>
      </c>
      <c r="G2832" t="s">
        <v>6584</v>
      </c>
      <c r="H2832">
        <v>65734.100000000006</v>
      </c>
      <c r="I2832">
        <v>493.42</v>
      </c>
      <c r="J2832" t="s">
        <v>120</v>
      </c>
      <c r="K2832" t="s">
        <v>12613</v>
      </c>
      <c r="L2832">
        <v>2.85</v>
      </c>
      <c r="M2832">
        <v>5.22</v>
      </c>
      <c r="N2832">
        <v>1.66</v>
      </c>
      <c r="O2832">
        <v>4.34</v>
      </c>
      <c r="P2832">
        <v>5.29</v>
      </c>
      <c r="Q2832">
        <v>1.18</v>
      </c>
      <c r="R2832">
        <v>5.13</v>
      </c>
      <c r="S2832">
        <v>5.15</v>
      </c>
      <c r="T2832">
        <v>1260490</v>
      </c>
      <c r="U2832">
        <v>5.22</v>
      </c>
      <c r="V2832">
        <v>5.07</v>
      </c>
      <c r="W2832">
        <v>28.87</v>
      </c>
      <c r="X2832" t="s">
        <v>3867</v>
      </c>
      <c r="Y2832" t="s">
        <v>997</v>
      </c>
      <c r="Z2832">
        <v>3.16</v>
      </c>
      <c r="AA2832">
        <v>5.21</v>
      </c>
      <c r="AB2832">
        <v>545756</v>
      </c>
      <c r="AC2832">
        <v>714733</v>
      </c>
      <c r="AD2832">
        <v>0.76</v>
      </c>
      <c r="AE2832">
        <v>79</v>
      </c>
      <c r="AF2832">
        <v>6203</v>
      </c>
      <c r="AG2832" t="s">
        <v>120</v>
      </c>
      <c r="AH2832">
        <v>0.05</v>
      </c>
      <c r="AI2832" t="s">
        <v>120</v>
      </c>
      <c r="AJ2832">
        <v>44.21</v>
      </c>
      <c r="AK2832" t="s">
        <v>12613</v>
      </c>
      <c r="AL2832">
        <v>4.3</v>
      </c>
      <c r="AM2832">
        <v>4196</v>
      </c>
      <c r="AN2832">
        <v>300</v>
      </c>
      <c r="AO2832">
        <v>6.9999999999999999E-4</v>
      </c>
      <c r="AP2832">
        <v>2</v>
      </c>
      <c r="AQ2832">
        <v>2.63</v>
      </c>
      <c r="AR2832">
        <v>3.99</v>
      </c>
      <c r="AS2832">
        <v>23.69</v>
      </c>
      <c r="AT2832">
        <v>13.98</v>
      </c>
      <c r="AU2832">
        <v>18.100000000000001</v>
      </c>
      <c r="AV2832">
        <v>1</v>
      </c>
      <c r="AW2832">
        <v>6.34</v>
      </c>
      <c r="AX2832">
        <v>44.98</v>
      </c>
      <c r="AY2832">
        <v>22.27</v>
      </c>
      <c r="AZ2832">
        <v>61.7</v>
      </c>
      <c r="BA2832">
        <v>0.71</v>
      </c>
      <c r="BB2832" t="s">
        <v>184</v>
      </c>
      <c r="BF2832">
        <v>2.86</v>
      </c>
      <c r="BG2832">
        <v>1.36</v>
      </c>
      <c r="BH2832">
        <v>-1.32</v>
      </c>
      <c r="BI2832">
        <v>1.75</v>
      </c>
      <c r="BJ2832">
        <v>20210824</v>
      </c>
      <c r="BK2832">
        <v>20020205</v>
      </c>
      <c r="BL2832">
        <v>44.21</v>
      </c>
      <c r="BM2832" t="s">
        <v>120</v>
      </c>
      <c r="BN2832" t="s">
        <v>120</v>
      </c>
      <c r="BO2832">
        <v>320.24</v>
      </c>
      <c r="BP2832">
        <v>5.2</v>
      </c>
      <c r="BQ2832">
        <v>226.8</v>
      </c>
      <c r="BR2832">
        <v>0.15</v>
      </c>
      <c r="BS2832">
        <v>29.13</v>
      </c>
      <c r="BT2832">
        <v>150.65</v>
      </c>
      <c r="BU2832">
        <v>97.92</v>
      </c>
      <c r="BV2832">
        <v>11</v>
      </c>
      <c r="BW2832">
        <v>82.79</v>
      </c>
      <c r="BX2832">
        <v>12.85</v>
      </c>
      <c r="BY2832">
        <v>13.36</v>
      </c>
      <c r="BZ2832">
        <v>50.66</v>
      </c>
      <c r="CA2832">
        <v>0.04</v>
      </c>
      <c r="CB2832">
        <v>42.48</v>
      </c>
      <c r="CC2832">
        <v>74.709999999999994</v>
      </c>
      <c r="CD2832">
        <v>65.28</v>
      </c>
      <c r="CE2832">
        <v>4.88</v>
      </c>
      <c r="CF2832">
        <v>0.2</v>
      </c>
      <c r="CG2832">
        <v>4.93</v>
      </c>
      <c r="CH2832">
        <v>4</v>
      </c>
      <c r="CI2832">
        <v>4</v>
      </c>
      <c r="CJ2832">
        <v>0.15</v>
      </c>
      <c r="CK2832">
        <v>2.65</v>
      </c>
      <c r="CL2832">
        <v>119.68</v>
      </c>
      <c r="CM2832">
        <v>8.5299999999999994</v>
      </c>
      <c r="CN2832">
        <v>-2.84</v>
      </c>
      <c r="CO2832">
        <v>103792</v>
      </c>
      <c r="CP2832">
        <v>19161</v>
      </c>
      <c r="CQ2832" t="s">
        <v>12614</v>
      </c>
      <c r="CR2832">
        <v>264.12</v>
      </c>
      <c r="CS2832">
        <v>15.17</v>
      </c>
      <c r="CT2832">
        <v>1.02</v>
      </c>
      <c r="CU2832">
        <v>27.07</v>
      </c>
      <c r="CV2832">
        <v>3.09</v>
      </c>
      <c r="CW2832">
        <v>1.38</v>
      </c>
      <c r="CX2832" t="s">
        <v>329</v>
      </c>
      <c r="CY2832">
        <v>5.13</v>
      </c>
      <c r="CZ2832">
        <v>0</v>
      </c>
      <c r="DA2832">
        <v>0.96</v>
      </c>
      <c r="DB2832">
        <v>2.71</v>
      </c>
      <c r="DC2832">
        <v>0.19</v>
      </c>
      <c r="DD2832">
        <v>70.819999999999993</v>
      </c>
      <c r="DE2832" t="s">
        <v>6403</v>
      </c>
      <c r="DF2832">
        <v>12.62</v>
      </c>
      <c r="DG2832">
        <v>6.53</v>
      </c>
      <c r="DH2832">
        <v>5.35</v>
      </c>
      <c r="DI2832">
        <v>3.29</v>
      </c>
      <c r="DJ2832">
        <v>7894</v>
      </c>
      <c r="DK2832">
        <v>600583</v>
      </c>
      <c r="DL2832" t="s">
        <v>120</v>
      </c>
      <c r="DM2832" t="s">
        <v>120</v>
      </c>
      <c r="DN2832" t="s">
        <v>120</v>
      </c>
    </row>
    <row r="2833" spans="1:118">
      <c r="A2833" t="str">
        <f>"600584"</f>
        <v>600584</v>
      </c>
      <c r="B2833" t="s">
        <v>12615</v>
      </c>
      <c r="C2833">
        <v>-2.02</v>
      </c>
      <c r="D2833">
        <v>0</v>
      </c>
      <c r="E2833">
        <v>-0.24</v>
      </c>
      <c r="F2833">
        <v>5487</v>
      </c>
      <c r="G2833" t="s">
        <v>12616</v>
      </c>
      <c r="H2833">
        <v>93108.28</v>
      </c>
      <c r="I2833">
        <v>261.45</v>
      </c>
      <c r="J2833" t="s">
        <v>120</v>
      </c>
      <c r="K2833" t="s">
        <v>12617</v>
      </c>
      <c r="L2833">
        <v>1.8</v>
      </c>
      <c r="M2833">
        <v>32.020000000000003</v>
      </c>
      <c r="N2833">
        <v>0.83</v>
      </c>
      <c r="O2833">
        <v>0.37</v>
      </c>
      <c r="P2833">
        <v>32.799999999999997</v>
      </c>
      <c r="Q2833">
        <v>-2.08</v>
      </c>
      <c r="R2833">
        <v>32</v>
      </c>
      <c r="S2833">
        <v>32.6</v>
      </c>
      <c r="T2833">
        <v>288394</v>
      </c>
      <c r="U2833">
        <v>32.03</v>
      </c>
      <c r="V2833">
        <v>32.68</v>
      </c>
      <c r="W2833">
        <v>21.55</v>
      </c>
      <c r="X2833" t="s">
        <v>3245</v>
      </c>
      <c r="Y2833" t="s">
        <v>319</v>
      </c>
      <c r="Z2833">
        <v>2.4500000000000002</v>
      </c>
      <c r="AA2833">
        <v>32.29</v>
      </c>
      <c r="AB2833">
        <v>154222</v>
      </c>
      <c r="AC2833">
        <v>134172</v>
      </c>
      <c r="AD2833">
        <v>1.1499999999999999</v>
      </c>
      <c r="AE2833">
        <v>723</v>
      </c>
      <c r="AF2833">
        <v>78</v>
      </c>
      <c r="AG2833" t="s">
        <v>120</v>
      </c>
      <c r="AH2833">
        <v>0.01</v>
      </c>
      <c r="AI2833" t="s">
        <v>120</v>
      </c>
      <c r="AJ2833">
        <v>16.03</v>
      </c>
      <c r="AK2833" t="s">
        <v>12618</v>
      </c>
      <c r="AL2833">
        <v>-0.68</v>
      </c>
      <c r="AM2833">
        <v>4669</v>
      </c>
      <c r="AN2833">
        <v>62</v>
      </c>
      <c r="AO2833">
        <v>4.0000000000000002E-4</v>
      </c>
      <c r="AP2833">
        <v>-4</v>
      </c>
      <c r="AQ2833">
        <v>-1.57</v>
      </c>
      <c r="AR2833">
        <v>-5.44</v>
      </c>
      <c r="AS2833">
        <v>-6.78</v>
      </c>
      <c r="AT2833">
        <v>-11.08</v>
      </c>
      <c r="AU2833">
        <v>-24.69</v>
      </c>
      <c r="AV2833">
        <v>1</v>
      </c>
      <c r="AW2833">
        <v>2.54</v>
      </c>
      <c r="AX2833">
        <v>63.8</v>
      </c>
      <c r="AY2833">
        <v>25.73</v>
      </c>
      <c r="AZ2833">
        <v>44.58</v>
      </c>
      <c r="BA2833">
        <v>0</v>
      </c>
      <c r="BB2833" t="s">
        <v>134</v>
      </c>
      <c r="BF2833">
        <v>-1.21</v>
      </c>
      <c r="BG2833">
        <v>-1.78</v>
      </c>
      <c r="BH2833">
        <v>-2.38</v>
      </c>
      <c r="BI2833">
        <v>0.06</v>
      </c>
      <c r="BJ2833">
        <v>20210830</v>
      </c>
      <c r="BK2833">
        <v>20030603</v>
      </c>
      <c r="BL2833">
        <v>17.8</v>
      </c>
      <c r="BM2833" t="s">
        <v>120</v>
      </c>
      <c r="BN2833" t="s">
        <v>120</v>
      </c>
      <c r="BO2833">
        <v>359.76</v>
      </c>
      <c r="BP2833">
        <v>32.020000000000003</v>
      </c>
      <c r="BQ2833">
        <v>194.51</v>
      </c>
      <c r="BR2833">
        <v>0.11</v>
      </c>
      <c r="BS2833">
        <v>45.91</v>
      </c>
      <c r="BT2833">
        <v>123.71</v>
      </c>
      <c r="BU2833">
        <v>173.49</v>
      </c>
      <c r="BV2833">
        <v>4.58</v>
      </c>
      <c r="BW2833">
        <v>120.43</v>
      </c>
      <c r="BX2833">
        <v>33.81</v>
      </c>
      <c r="BY2833">
        <v>29.19</v>
      </c>
      <c r="BZ2833">
        <v>36.61</v>
      </c>
      <c r="CA2833" t="s">
        <v>120</v>
      </c>
      <c r="CB2833">
        <v>149.84</v>
      </c>
      <c r="CC2833">
        <v>138.19</v>
      </c>
      <c r="CD2833">
        <v>114.3</v>
      </c>
      <c r="CE2833">
        <v>14.53</v>
      </c>
      <c r="CF2833">
        <v>2.84</v>
      </c>
      <c r="CG2833">
        <v>14.56</v>
      </c>
      <c r="CH2833">
        <v>13.23</v>
      </c>
      <c r="CI2833">
        <v>13.22</v>
      </c>
      <c r="CJ2833">
        <v>-0.66</v>
      </c>
      <c r="CK2833">
        <v>9.39</v>
      </c>
      <c r="CL2833">
        <v>27.51</v>
      </c>
      <c r="CM2833">
        <v>28.81</v>
      </c>
      <c r="CN2833">
        <v>12.23</v>
      </c>
      <c r="CO2833">
        <v>347883</v>
      </c>
      <c r="CP2833">
        <v>3264</v>
      </c>
      <c r="CQ2833" t="s">
        <v>10986</v>
      </c>
      <c r="CR2833">
        <v>260.97000000000003</v>
      </c>
      <c r="CS2833">
        <v>15.39</v>
      </c>
      <c r="CT2833">
        <v>2.93</v>
      </c>
      <c r="CU2833">
        <v>19.78</v>
      </c>
      <c r="CV2833">
        <v>4.12</v>
      </c>
      <c r="CW2833">
        <v>0.15</v>
      </c>
      <c r="CX2833" t="s">
        <v>3993</v>
      </c>
      <c r="CY2833">
        <v>10.93</v>
      </c>
      <c r="CZ2833">
        <v>0</v>
      </c>
      <c r="DA2833">
        <v>8.42</v>
      </c>
      <c r="DB2833">
        <v>1.55</v>
      </c>
      <c r="DC2833">
        <v>1.62</v>
      </c>
      <c r="DD2833">
        <v>54.07</v>
      </c>
      <c r="DE2833" t="s">
        <v>1948</v>
      </c>
      <c r="DF2833">
        <v>17.29</v>
      </c>
      <c r="DG2833">
        <v>10.52</v>
      </c>
      <c r="DH2833">
        <v>9.57</v>
      </c>
      <c r="DI2833">
        <v>5.48</v>
      </c>
      <c r="DJ2833">
        <v>23359</v>
      </c>
      <c r="DK2833">
        <v>600584</v>
      </c>
      <c r="DL2833" t="s">
        <v>120</v>
      </c>
      <c r="DM2833" t="s">
        <v>120</v>
      </c>
      <c r="DN2833" t="s">
        <v>120</v>
      </c>
    </row>
    <row r="2834" spans="1:118">
      <c r="A2834" t="str">
        <f>"600585"</f>
        <v>600585</v>
      </c>
      <c r="B2834" t="s">
        <v>12619</v>
      </c>
      <c r="C2834">
        <v>1.05</v>
      </c>
      <c r="D2834">
        <v>0.72</v>
      </c>
      <c r="E2834">
        <v>1.51</v>
      </c>
      <c r="F2834">
        <v>9771</v>
      </c>
      <c r="G2834" t="s">
        <v>12620</v>
      </c>
      <c r="H2834">
        <v>244221.59</v>
      </c>
      <c r="I2834">
        <v>1573.64</v>
      </c>
      <c r="J2834" t="s">
        <v>120</v>
      </c>
      <c r="K2834" t="s">
        <v>12621</v>
      </c>
      <c r="L2834">
        <v>1.31</v>
      </c>
      <c r="M2834">
        <v>46.21</v>
      </c>
      <c r="N2834">
        <v>0.82</v>
      </c>
      <c r="O2834">
        <v>4.07</v>
      </c>
      <c r="P2834">
        <v>47.59</v>
      </c>
      <c r="Q2834">
        <v>-0.22</v>
      </c>
      <c r="R2834">
        <v>45.63</v>
      </c>
      <c r="S2834">
        <v>46.42</v>
      </c>
      <c r="T2834">
        <v>524819</v>
      </c>
      <c r="U2834">
        <v>46.22</v>
      </c>
      <c r="V2834">
        <v>45.73</v>
      </c>
      <c r="W2834">
        <v>8.19</v>
      </c>
      <c r="X2834" t="s">
        <v>653</v>
      </c>
      <c r="Y2834" t="s">
        <v>570</v>
      </c>
      <c r="Z2834">
        <v>4.29</v>
      </c>
      <c r="AA2834">
        <v>46.53</v>
      </c>
      <c r="AB2834">
        <v>241012</v>
      </c>
      <c r="AC2834">
        <v>283807</v>
      </c>
      <c r="AD2834">
        <v>0.85</v>
      </c>
      <c r="AE2834">
        <v>1180</v>
      </c>
      <c r="AF2834">
        <v>19</v>
      </c>
      <c r="AG2834" t="s">
        <v>120</v>
      </c>
      <c r="AH2834">
        <v>0.02</v>
      </c>
      <c r="AI2834" t="s">
        <v>120</v>
      </c>
      <c r="AJ2834">
        <v>40</v>
      </c>
      <c r="AK2834" t="s">
        <v>12621</v>
      </c>
      <c r="AL2834">
        <v>2.39</v>
      </c>
      <c r="AM2834">
        <v>4729</v>
      </c>
      <c r="AN2834">
        <v>111</v>
      </c>
      <c r="AO2834">
        <v>2.9999999999999997E-4</v>
      </c>
      <c r="AP2834">
        <v>1</v>
      </c>
      <c r="AQ2834">
        <v>-5.71</v>
      </c>
      <c r="AR2834">
        <v>-6.42</v>
      </c>
      <c r="AS2834">
        <v>12.02</v>
      </c>
      <c r="AT2834">
        <v>11.38</v>
      </c>
      <c r="AU2834">
        <v>-6.65</v>
      </c>
      <c r="AV2834">
        <v>0</v>
      </c>
      <c r="AW2834">
        <v>2.5299999999999998</v>
      </c>
      <c r="AX2834">
        <v>51.77</v>
      </c>
      <c r="AY2834">
        <v>7.13</v>
      </c>
      <c r="AZ2834">
        <v>6.9</v>
      </c>
      <c r="BA2834">
        <v>1.48</v>
      </c>
      <c r="BB2834" t="s">
        <v>125</v>
      </c>
      <c r="BF2834">
        <v>1.76</v>
      </c>
      <c r="BG2834">
        <v>-0.45</v>
      </c>
      <c r="BH2834">
        <v>-2.9</v>
      </c>
      <c r="BI2834">
        <v>1.27</v>
      </c>
      <c r="BJ2834">
        <v>20210830</v>
      </c>
      <c r="BK2834">
        <v>20020207</v>
      </c>
      <c r="BL2834">
        <v>52.99</v>
      </c>
      <c r="BM2834" t="s">
        <v>120</v>
      </c>
      <c r="BN2834">
        <v>13</v>
      </c>
      <c r="BO2834">
        <v>2009.08</v>
      </c>
      <c r="BP2834">
        <v>46.21</v>
      </c>
      <c r="BQ2834">
        <v>1653.48</v>
      </c>
      <c r="BR2834">
        <v>63.21</v>
      </c>
      <c r="BS2834">
        <v>14.55</v>
      </c>
      <c r="BT2834">
        <v>1075.8900000000001</v>
      </c>
      <c r="BU2834">
        <v>624.34</v>
      </c>
      <c r="BV2834">
        <v>139.75</v>
      </c>
      <c r="BW2834">
        <v>209.35</v>
      </c>
      <c r="BX2834">
        <v>574.38</v>
      </c>
      <c r="BY2834">
        <v>87.12</v>
      </c>
      <c r="BZ2834">
        <v>10.97</v>
      </c>
      <c r="CA2834" t="s">
        <v>120</v>
      </c>
      <c r="CB2834">
        <v>105.6</v>
      </c>
      <c r="CC2834">
        <v>804.33</v>
      </c>
      <c r="CD2834">
        <v>580.75</v>
      </c>
      <c r="CE2834">
        <v>192.84</v>
      </c>
      <c r="CF2834">
        <v>7.63</v>
      </c>
      <c r="CG2834">
        <v>198.68</v>
      </c>
      <c r="CH2834">
        <v>153.69</v>
      </c>
      <c r="CI2834">
        <v>149.51</v>
      </c>
      <c r="CJ2834">
        <v>0.48</v>
      </c>
      <c r="CK2834">
        <v>140.06</v>
      </c>
      <c r="CL2834">
        <v>1469.87</v>
      </c>
      <c r="CM2834">
        <v>122.97</v>
      </c>
      <c r="CN2834">
        <v>-94.77</v>
      </c>
      <c r="CO2834">
        <v>413342</v>
      </c>
      <c r="CP2834">
        <v>5010</v>
      </c>
      <c r="CQ2834" t="s">
        <v>12622</v>
      </c>
      <c r="CR2834">
        <v>-6.96</v>
      </c>
      <c r="CS2834">
        <v>8.68</v>
      </c>
      <c r="CT2834">
        <v>1.48</v>
      </c>
      <c r="CU2834">
        <v>19.91</v>
      </c>
      <c r="CV2834">
        <v>3.04</v>
      </c>
      <c r="CW2834">
        <v>4.6399999999999997</v>
      </c>
      <c r="CX2834" t="s">
        <v>12623</v>
      </c>
      <c r="CY2834">
        <v>31.2</v>
      </c>
      <c r="CZ2834">
        <v>0</v>
      </c>
      <c r="DA2834">
        <v>1.99</v>
      </c>
      <c r="DB2834">
        <v>27.74</v>
      </c>
      <c r="DC2834">
        <v>2.3199999999999998</v>
      </c>
      <c r="DD2834">
        <v>82.3</v>
      </c>
      <c r="DE2834" t="s">
        <v>12624</v>
      </c>
      <c r="DF2834">
        <v>27.8</v>
      </c>
      <c r="DG2834">
        <v>23.98</v>
      </c>
      <c r="DH2834">
        <v>18.59</v>
      </c>
      <c r="DI2834">
        <v>2.73</v>
      </c>
      <c r="DJ2834">
        <v>46312</v>
      </c>
      <c r="DK2834">
        <v>600585</v>
      </c>
      <c r="DL2834" t="s">
        <v>120</v>
      </c>
      <c r="DM2834" t="s">
        <v>120</v>
      </c>
      <c r="DN2834" t="s">
        <v>120</v>
      </c>
    </row>
    <row r="2835" spans="1:118">
      <c r="A2835" t="str">
        <f>"600586"</f>
        <v>600586</v>
      </c>
      <c r="B2835" t="s">
        <v>12625</v>
      </c>
      <c r="C2835">
        <v>-5.26</v>
      </c>
      <c r="D2835">
        <v>0</v>
      </c>
      <c r="E2835">
        <v>-1.57</v>
      </c>
      <c r="F2835">
        <v>4935</v>
      </c>
      <c r="G2835" t="s">
        <v>12626</v>
      </c>
      <c r="H2835">
        <v>98012.29</v>
      </c>
      <c r="I2835">
        <v>515.9</v>
      </c>
      <c r="J2835" t="s">
        <v>120</v>
      </c>
      <c r="K2835" t="s">
        <v>12627</v>
      </c>
      <c r="L2835">
        <v>5.58</v>
      </c>
      <c r="M2835">
        <v>12.07</v>
      </c>
      <c r="N2835">
        <v>0.91</v>
      </c>
      <c r="O2835">
        <v>-0.47</v>
      </c>
      <c r="P2835">
        <v>12.68</v>
      </c>
      <c r="Q2835">
        <v>-5.81</v>
      </c>
      <c r="R2835">
        <v>12</v>
      </c>
      <c r="S2835">
        <v>12.54</v>
      </c>
      <c r="T2835">
        <v>797535</v>
      </c>
      <c r="U2835">
        <v>12.08</v>
      </c>
      <c r="V2835">
        <v>12.74</v>
      </c>
      <c r="W2835">
        <v>11.01</v>
      </c>
      <c r="X2835" t="s">
        <v>191</v>
      </c>
      <c r="Y2835" t="s">
        <v>638</v>
      </c>
      <c r="Z2835">
        <v>5.34</v>
      </c>
      <c r="AA2835">
        <v>12.29</v>
      </c>
      <c r="AB2835">
        <v>451761</v>
      </c>
      <c r="AC2835">
        <v>345774</v>
      </c>
      <c r="AD2835">
        <v>1.31</v>
      </c>
      <c r="AE2835">
        <v>2729</v>
      </c>
      <c r="AF2835">
        <v>367</v>
      </c>
      <c r="AG2835" t="s">
        <v>120</v>
      </c>
      <c r="AH2835">
        <v>0.04</v>
      </c>
      <c r="AI2835" t="s">
        <v>120</v>
      </c>
      <c r="AJ2835">
        <v>14.29</v>
      </c>
      <c r="AK2835" t="s">
        <v>12627</v>
      </c>
      <c r="AL2835">
        <v>-3.92</v>
      </c>
      <c r="AM2835">
        <v>4651</v>
      </c>
      <c r="AN2835">
        <v>171</v>
      </c>
      <c r="AO2835">
        <v>1.1999999999999999E-3</v>
      </c>
      <c r="AP2835">
        <v>-1</v>
      </c>
      <c r="AQ2835">
        <v>6.43</v>
      </c>
      <c r="AR2835">
        <v>-0.5</v>
      </c>
      <c r="AS2835">
        <v>18.68</v>
      </c>
      <c r="AT2835">
        <v>64.209999999999994</v>
      </c>
      <c r="AU2835">
        <v>86.55</v>
      </c>
      <c r="AV2835">
        <v>12</v>
      </c>
      <c r="AW2835">
        <v>8.2100000000000009</v>
      </c>
      <c r="AX2835">
        <v>67.97</v>
      </c>
      <c r="AY2835">
        <v>17.54</v>
      </c>
      <c r="AZ2835">
        <v>55.01</v>
      </c>
      <c r="BA2835">
        <v>1.97</v>
      </c>
      <c r="BB2835" t="s">
        <v>143</v>
      </c>
      <c r="BF2835">
        <v>-3.54</v>
      </c>
      <c r="BG2835">
        <v>-3.75</v>
      </c>
      <c r="BH2835">
        <v>-4.8099999999999996</v>
      </c>
      <c r="BI2835">
        <v>0.57999999999999996</v>
      </c>
      <c r="BJ2835">
        <v>20210807</v>
      </c>
      <c r="BK2835">
        <v>20020815</v>
      </c>
      <c r="BL2835">
        <v>14.29</v>
      </c>
      <c r="BM2835" t="s">
        <v>120</v>
      </c>
      <c r="BN2835" t="s">
        <v>120</v>
      </c>
      <c r="BO2835">
        <v>101.76</v>
      </c>
      <c r="BP2835">
        <v>12.07</v>
      </c>
      <c r="BQ2835">
        <v>50.01</v>
      </c>
      <c r="BR2835">
        <v>0.65</v>
      </c>
      <c r="BS2835">
        <v>50.22</v>
      </c>
      <c r="BT2835">
        <v>36.57</v>
      </c>
      <c r="BU2835">
        <v>41.12</v>
      </c>
      <c r="BV2835">
        <v>5.41</v>
      </c>
      <c r="BW2835">
        <v>47.34</v>
      </c>
      <c r="BX2835">
        <v>13.97</v>
      </c>
      <c r="BY2835">
        <v>6.61</v>
      </c>
      <c r="BZ2835">
        <v>4.05</v>
      </c>
      <c r="CA2835" t="s">
        <v>120</v>
      </c>
      <c r="CB2835">
        <v>18.13</v>
      </c>
      <c r="CC2835">
        <v>33.44</v>
      </c>
      <c r="CD2835">
        <v>22.45</v>
      </c>
      <c r="CE2835">
        <v>9.6300000000000008</v>
      </c>
      <c r="CF2835">
        <v>1.06</v>
      </c>
      <c r="CG2835">
        <v>9.58</v>
      </c>
      <c r="CH2835">
        <v>7.97</v>
      </c>
      <c r="CI2835">
        <v>7.83</v>
      </c>
      <c r="CJ2835">
        <v>-0.67</v>
      </c>
      <c r="CK2835">
        <v>6.6</v>
      </c>
      <c r="CL2835">
        <v>16.04</v>
      </c>
      <c r="CM2835">
        <v>6.81</v>
      </c>
      <c r="CN2835">
        <v>-0.57999999999999996</v>
      </c>
      <c r="CO2835">
        <v>99279</v>
      </c>
      <c r="CP2835">
        <v>9782</v>
      </c>
      <c r="CQ2835" t="s">
        <v>3231</v>
      </c>
      <c r="CR2835">
        <v>930.52</v>
      </c>
      <c r="CS2835">
        <v>53.54</v>
      </c>
      <c r="CT2835">
        <v>3.45</v>
      </c>
      <c r="CU2835">
        <v>25.31</v>
      </c>
      <c r="CV2835">
        <v>5.16</v>
      </c>
      <c r="CW2835">
        <v>0.24</v>
      </c>
      <c r="CX2835" t="s">
        <v>12628</v>
      </c>
      <c r="CY2835">
        <v>3.5</v>
      </c>
      <c r="CZ2835">
        <v>0</v>
      </c>
      <c r="DA2835">
        <v>1.27</v>
      </c>
      <c r="DB2835">
        <v>1.1200000000000001</v>
      </c>
      <c r="DC2835">
        <v>0.48</v>
      </c>
      <c r="DD2835">
        <v>49.14</v>
      </c>
      <c r="DE2835" t="s">
        <v>12629</v>
      </c>
      <c r="DF2835">
        <v>32.880000000000003</v>
      </c>
      <c r="DG2835">
        <v>28.78</v>
      </c>
      <c r="DH2835">
        <v>23.41</v>
      </c>
      <c r="DI2835">
        <v>0.28999999999999998</v>
      </c>
      <c r="DJ2835">
        <v>3453</v>
      </c>
      <c r="DK2835">
        <v>600586</v>
      </c>
      <c r="DL2835">
        <v>20210905</v>
      </c>
      <c r="DM2835">
        <v>13.05</v>
      </c>
      <c r="DN2835">
        <v>-7.51</v>
      </c>
    </row>
    <row r="2836" spans="1:118">
      <c r="A2836" t="str">
        <f>"600587"</f>
        <v>600587</v>
      </c>
      <c r="B2836" t="s">
        <v>12630</v>
      </c>
      <c r="C2836">
        <v>-0.57999999999999996</v>
      </c>
      <c r="D2836">
        <v>0.97</v>
      </c>
      <c r="E2836">
        <v>-0.21</v>
      </c>
      <c r="F2836">
        <v>1282</v>
      </c>
      <c r="G2836" t="s">
        <v>316</v>
      </c>
      <c r="H2836">
        <v>23227.27</v>
      </c>
      <c r="I2836">
        <v>63.93</v>
      </c>
      <c r="J2836" t="s">
        <v>120</v>
      </c>
      <c r="K2836" t="s">
        <v>12631</v>
      </c>
      <c r="L2836">
        <v>1.96</v>
      </c>
      <c r="M2836">
        <v>29.08</v>
      </c>
      <c r="N2836">
        <v>0.61</v>
      </c>
      <c r="O2836">
        <v>2.39</v>
      </c>
      <c r="P2836">
        <v>29.95</v>
      </c>
      <c r="Q2836">
        <v>-1.64</v>
      </c>
      <c r="R2836">
        <v>28.77</v>
      </c>
      <c r="S2836">
        <v>29.19</v>
      </c>
      <c r="T2836">
        <v>79068</v>
      </c>
      <c r="U2836">
        <v>29.08</v>
      </c>
      <c r="V2836">
        <v>29.25</v>
      </c>
      <c r="W2836">
        <v>17.95</v>
      </c>
      <c r="X2836" t="s">
        <v>555</v>
      </c>
      <c r="Y2836" t="s">
        <v>638</v>
      </c>
      <c r="Z2836">
        <v>4.03</v>
      </c>
      <c r="AA2836">
        <v>29.38</v>
      </c>
      <c r="AB2836">
        <v>38572</v>
      </c>
      <c r="AC2836">
        <v>40496</v>
      </c>
      <c r="AD2836">
        <v>0.95</v>
      </c>
      <c r="AE2836">
        <v>8</v>
      </c>
      <c r="AF2836">
        <v>339</v>
      </c>
      <c r="AG2836" t="s">
        <v>120</v>
      </c>
      <c r="AH2836">
        <v>0.01</v>
      </c>
      <c r="AI2836" t="s">
        <v>120</v>
      </c>
      <c r="AJ2836">
        <v>4.03</v>
      </c>
      <c r="AK2836" t="s">
        <v>2126</v>
      </c>
      <c r="AL2836">
        <v>0.76</v>
      </c>
      <c r="AM2836">
        <v>3612</v>
      </c>
      <c r="AN2836">
        <v>22</v>
      </c>
      <c r="AO2836">
        <v>5.0000000000000001E-4</v>
      </c>
      <c r="AP2836">
        <v>-2</v>
      </c>
      <c r="AQ2836">
        <v>-4.1900000000000004</v>
      </c>
      <c r="AR2836">
        <v>-4.59</v>
      </c>
      <c r="AS2836">
        <v>7.98</v>
      </c>
      <c r="AT2836">
        <v>50.83</v>
      </c>
      <c r="AU2836">
        <v>105.95</v>
      </c>
      <c r="AV2836">
        <v>7</v>
      </c>
      <c r="AW2836">
        <v>2.76</v>
      </c>
      <c r="AX2836">
        <v>70.5</v>
      </c>
      <c r="AY2836">
        <v>27.35</v>
      </c>
      <c r="AZ2836">
        <v>50.77</v>
      </c>
      <c r="BA2836">
        <v>1.93</v>
      </c>
      <c r="BB2836" t="s">
        <v>143</v>
      </c>
      <c r="BF2836">
        <v>0.43</v>
      </c>
      <c r="BG2836">
        <v>-0.38</v>
      </c>
      <c r="BH2836">
        <v>-2.9</v>
      </c>
      <c r="BI2836">
        <v>1.08</v>
      </c>
      <c r="BJ2836">
        <v>20210826</v>
      </c>
      <c r="BK2836">
        <v>20020927</v>
      </c>
      <c r="BL2836">
        <v>4.0599999999999996</v>
      </c>
      <c r="BM2836" t="s">
        <v>120</v>
      </c>
      <c r="BN2836" t="s">
        <v>120</v>
      </c>
      <c r="BO2836">
        <v>114.25</v>
      </c>
      <c r="BP2836">
        <v>29.02</v>
      </c>
      <c r="BQ2836">
        <v>46.53</v>
      </c>
      <c r="BR2836">
        <v>4.6500000000000004</v>
      </c>
      <c r="BS2836">
        <v>55.2</v>
      </c>
      <c r="BT2836">
        <v>59.14</v>
      </c>
      <c r="BU2836">
        <v>21.45</v>
      </c>
      <c r="BV2836">
        <v>4.67</v>
      </c>
      <c r="BW2836">
        <v>60.29</v>
      </c>
      <c r="BX2836">
        <v>14.66</v>
      </c>
      <c r="BY2836">
        <v>21.21</v>
      </c>
      <c r="BZ2836">
        <v>17.8</v>
      </c>
      <c r="CA2836" t="s">
        <v>120</v>
      </c>
      <c r="CB2836">
        <v>16.52</v>
      </c>
      <c r="CC2836">
        <v>54.6</v>
      </c>
      <c r="CD2836">
        <v>42.51</v>
      </c>
      <c r="CE2836">
        <v>4.2300000000000004</v>
      </c>
      <c r="CF2836">
        <v>0.45</v>
      </c>
      <c r="CG2836">
        <v>4.21</v>
      </c>
      <c r="CH2836">
        <v>3.39</v>
      </c>
      <c r="CI2836">
        <v>3.29</v>
      </c>
      <c r="CJ2836">
        <v>-0.17</v>
      </c>
      <c r="CK2836">
        <v>2.7</v>
      </c>
      <c r="CL2836">
        <v>24.32</v>
      </c>
      <c r="CM2836">
        <v>11.2</v>
      </c>
      <c r="CN2836">
        <v>1.1000000000000001</v>
      </c>
      <c r="CO2836">
        <v>28840</v>
      </c>
      <c r="CP2836">
        <v>9935</v>
      </c>
      <c r="CQ2836" t="s">
        <v>12632</v>
      </c>
      <c r="CR2836">
        <v>155.78</v>
      </c>
      <c r="CS2836">
        <v>35.799999999999997</v>
      </c>
      <c r="CT2836">
        <v>2.54</v>
      </c>
      <c r="CU2836">
        <v>10.56</v>
      </c>
      <c r="CV2836">
        <v>2.16</v>
      </c>
      <c r="CW2836">
        <v>0.34</v>
      </c>
      <c r="CX2836" t="s">
        <v>2792</v>
      </c>
      <c r="CY2836">
        <v>11.45</v>
      </c>
      <c r="CZ2836">
        <v>0</v>
      </c>
      <c r="DA2836">
        <v>4.0599999999999996</v>
      </c>
      <c r="DB2836">
        <v>5.98</v>
      </c>
      <c r="DC2836">
        <v>2.75</v>
      </c>
      <c r="DD2836">
        <v>40.729999999999997</v>
      </c>
      <c r="DE2836" t="s">
        <v>5021</v>
      </c>
      <c r="DF2836">
        <v>22.14</v>
      </c>
      <c r="DG2836">
        <v>7.74</v>
      </c>
      <c r="DH2836">
        <v>6.03</v>
      </c>
      <c r="DI2836">
        <v>1.01</v>
      </c>
      <c r="DJ2836">
        <v>6676</v>
      </c>
      <c r="DK2836">
        <v>600587</v>
      </c>
      <c r="DL2836" t="s">
        <v>120</v>
      </c>
      <c r="DM2836" t="s">
        <v>120</v>
      </c>
      <c r="DN2836" t="s">
        <v>120</v>
      </c>
    </row>
    <row r="2837" spans="1:118">
      <c r="A2837" t="str">
        <f>"600588"</f>
        <v>600588</v>
      </c>
      <c r="B2837" t="s">
        <v>12633</v>
      </c>
      <c r="C2837">
        <v>-0.03</v>
      </c>
      <c r="D2837">
        <v>-0.15</v>
      </c>
      <c r="E2837">
        <v>0.16</v>
      </c>
      <c r="F2837">
        <v>5467</v>
      </c>
      <c r="G2837" t="s">
        <v>12634</v>
      </c>
      <c r="H2837">
        <v>36436.43</v>
      </c>
      <c r="I2837">
        <v>86.3</v>
      </c>
      <c r="J2837" t="s">
        <v>120</v>
      </c>
      <c r="K2837" t="s">
        <v>12635</v>
      </c>
      <c r="L2837">
        <v>0.35</v>
      </c>
      <c r="M2837">
        <v>31.89</v>
      </c>
      <c r="N2837">
        <v>0.66</v>
      </c>
      <c r="O2837">
        <v>0.88</v>
      </c>
      <c r="P2837">
        <v>32.18</v>
      </c>
      <c r="Q2837">
        <v>-0.6</v>
      </c>
      <c r="R2837">
        <v>31.71</v>
      </c>
      <c r="S2837">
        <v>31.95</v>
      </c>
      <c r="T2837">
        <v>114027</v>
      </c>
      <c r="U2837">
        <v>31.9</v>
      </c>
      <c r="V2837">
        <v>31.9</v>
      </c>
      <c r="W2837">
        <v>242.49</v>
      </c>
      <c r="X2837" t="s">
        <v>141</v>
      </c>
      <c r="Y2837" t="s">
        <v>158</v>
      </c>
      <c r="Z2837">
        <v>1.47</v>
      </c>
      <c r="AA2837">
        <v>31.95</v>
      </c>
      <c r="AB2837">
        <v>57664</v>
      </c>
      <c r="AC2837">
        <v>56363</v>
      </c>
      <c r="AD2837">
        <v>1.02</v>
      </c>
      <c r="AE2837">
        <v>369</v>
      </c>
      <c r="AF2837">
        <v>6</v>
      </c>
      <c r="AG2837" t="s">
        <v>120</v>
      </c>
      <c r="AH2837">
        <v>0</v>
      </c>
      <c r="AI2837" t="s">
        <v>120</v>
      </c>
      <c r="AJ2837">
        <v>32.51</v>
      </c>
      <c r="AK2837" t="s">
        <v>12636</v>
      </c>
      <c r="AL2837">
        <v>1.31</v>
      </c>
      <c r="AM2837">
        <v>4014</v>
      </c>
      <c r="AN2837">
        <v>28</v>
      </c>
      <c r="AO2837">
        <v>1E-4</v>
      </c>
      <c r="AP2837">
        <v>-4</v>
      </c>
      <c r="AQ2837">
        <v>-0.99</v>
      </c>
      <c r="AR2837">
        <v>-2.33</v>
      </c>
      <c r="AS2837">
        <v>-11.79</v>
      </c>
      <c r="AT2837">
        <v>-2.6</v>
      </c>
      <c r="AU2837">
        <v>-26.97</v>
      </c>
      <c r="AV2837">
        <v>2</v>
      </c>
      <c r="AW2837">
        <v>0.62</v>
      </c>
      <c r="AX2837">
        <v>56.12</v>
      </c>
      <c r="AY2837">
        <v>88.56</v>
      </c>
      <c r="AZ2837">
        <v>105.53</v>
      </c>
      <c r="BA2837">
        <v>1.41</v>
      </c>
      <c r="BB2837" t="s">
        <v>134</v>
      </c>
      <c r="BF2837">
        <v>0.17</v>
      </c>
      <c r="BG2837">
        <v>-0.19</v>
      </c>
      <c r="BH2837">
        <v>-0.9</v>
      </c>
      <c r="BI2837">
        <v>0.56999999999999995</v>
      </c>
      <c r="BJ2837">
        <v>20210819</v>
      </c>
      <c r="BK2837">
        <v>20010518</v>
      </c>
      <c r="BL2837">
        <v>32.71</v>
      </c>
      <c r="BM2837" t="s">
        <v>120</v>
      </c>
      <c r="BN2837" t="s">
        <v>120</v>
      </c>
      <c r="BO2837">
        <v>169.32</v>
      </c>
      <c r="BP2837">
        <v>31.89</v>
      </c>
      <c r="BQ2837">
        <v>65.37</v>
      </c>
      <c r="BR2837">
        <v>10.130000000000001</v>
      </c>
      <c r="BS2837">
        <v>55.41</v>
      </c>
      <c r="BT2837">
        <v>77.510000000000005</v>
      </c>
      <c r="BU2837">
        <v>24.02</v>
      </c>
      <c r="BV2837">
        <v>12.81</v>
      </c>
      <c r="BW2837">
        <v>83.82</v>
      </c>
      <c r="BX2837">
        <v>41.88</v>
      </c>
      <c r="BY2837">
        <v>4.28</v>
      </c>
      <c r="BZ2837">
        <v>11.11</v>
      </c>
      <c r="CA2837">
        <v>0.15</v>
      </c>
      <c r="CB2837">
        <v>11.08</v>
      </c>
      <c r="CC2837">
        <v>31.77</v>
      </c>
      <c r="CD2837">
        <v>13.61</v>
      </c>
      <c r="CE2837">
        <v>1.46</v>
      </c>
      <c r="CF2837">
        <v>3.26</v>
      </c>
      <c r="CG2837">
        <v>1.49</v>
      </c>
      <c r="CH2837">
        <v>1.45</v>
      </c>
      <c r="CI2837">
        <v>2.15</v>
      </c>
      <c r="CJ2837">
        <v>-0.01</v>
      </c>
      <c r="CK2837">
        <v>-0.81</v>
      </c>
      <c r="CL2837">
        <v>18.22</v>
      </c>
      <c r="CM2837">
        <v>-6.88</v>
      </c>
      <c r="CN2837">
        <v>-12.76</v>
      </c>
      <c r="CO2837">
        <v>131650</v>
      </c>
      <c r="CP2837">
        <v>13942</v>
      </c>
      <c r="CQ2837" t="s">
        <v>12637</v>
      </c>
      <c r="CR2837">
        <v>740.02</v>
      </c>
      <c r="CS2837">
        <v>7.68</v>
      </c>
      <c r="CT2837">
        <v>15.94</v>
      </c>
      <c r="CU2837">
        <v>-151.55000000000001</v>
      </c>
      <c r="CV2837">
        <v>32.83</v>
      </c>
      <c r="CW2837">
        <v>0.62</v>
      </c>
      <c r="CX2837" t="s">
        <v>679</v>
      </c>
      <c r="CY2837">
        <v>2</v>
      </c>
      <c r="CZ2837">
        <v>2</v>
      </c>
      <c r="DA2837">
        <v>0.34</v>
      </c>
      <c r="DB2837">
        <v>0.56000000000000005</v>
      </c>
      <c r="DC2837">
        <v>-0.21</v>
      </c>
      <c r="DD2837">
        <v>38.61</v>
      </c>
      <c r="DE2837" t="s">
        <v>8609</v>
      </c>
      <c r="DF2837">
        <v>57.15</v>
      </c>
      <c r="DG2837">
        <v>4.59</v>
      </c>
      <c r="DH2837">
        <v>6.77</v>
      </c>
      <c r="DI2837">
        <v>7.45</v>
      </c>
      <c r="DJ2837">
        <v>19473</v>
      </c>
      <c r="DK2837">
        <v>600588</v>
      </c>
      <c r="DL2837" t="s">
        <v>120</v>
      </c>
      <c r="DM2837" t="s">
        <v>120</v>
      </c>
      <c r="DN2837" t="s">
        <v>120</v>
      </c>
    </row>
    <row r="2838" spans="1:118">
      <c r="A2838" t="str">
        <f>"600590"</f>
        <v>600590</v>
      </c>
      <c r="B2838" t="s">
        <v>12638</v>
      </c>
      <c r="C2838">
        <v>-3.02</v>
      </c>
      <c r="D2838">
        <v>-0.11</v>
      </c>
      <c r="E2838">
        <v>-0.24</v>
      </c>
      <c r="F2838">
        <v>2252</v>
      </c>
      <c r="G2838" t="s">
        <v>9355</v>
      </c>
      <c r="H2838">
        <v>19615.419999999998</v>
      </c>
      <c r="I2838">
        <v>40.69</v>
      </c>
      <c r="J2838" t="s">
        <v>120</v>
      </c>
      <c r="K2838" t="s">
        <v>9889</v>
      </c>
      <c r="L2838">
        <v>2.83</v>
      </c>
      <c r="M2838">
        <v>8.0399999999999991</v>
      </c>
      <c r="N2838">
        <v>0.84</v>
      </c>
      <c r="O2838">
        <v>1.33</v>
      </c>
      <c r="P2838">
        <v>8.4</v>
      </c>
      <c r="Q2838">
        <v>-3.02</v>
      </c>
      <c r="R2838">
        <v>8.0399999999999991</v>
      </c>
      <c r="S2838">
        <v>8.27</v>
      </c>
      <c r="T2838">
        <v>238933</v>
      </c>
      <c r="U2838">
        <v>8.0500000000000007</v>
      </c>
      <c r="V2838">
        <v>8.2899999999999991</v>
      </c>
      <c r="W2838">
        <v>8.0399999999999991</v>
      </c>
      <c r="X2838" t="s">
        <v>394</v>
      </c>
      <c r="Y2838" t="s">
        <v>676</v>
      </c>
      <c r="Z2838">
        <v>4.34</v>
      </c>
      <c r="AA2838">
        <v>8.2100000000000009</v>
      </c>
      <c r="AB2838">
        <v>143530</v>
      </c>
      <c r="AC2838">
        <v>95403</v>
      </c>
      <c r="AD2838">
        <v>1.5</v>
      </c>
      <c r="AE2838">
        <v>225</v>
      </c>
      <c r="AF2838">
        <v>358</v>
      </c>
      <c r="AG2838" t="s">
        <v>120</v>
      </c>
      <c r="AH2838">
        <v>0.01</v>
      </c>
      <c r="AI2838" t="s">
        <v>120</v>
      </c>
      <c r="AJ2838">
        <v>8.4499999999999993</v>
      </c>
      <c r="AK2838" t="s">
        <v>10104</v>
      </c>
      <c r="AL2838">
        <v>-1.67</v>
      </c>
      <c r="AM2838">
        <v>3011</v>
      </c>
      <c r="AN2838">
        <v>79</v>
      </c>
      <c r="AO2838">
        <v>8.9999999999999998E-4</v>
      </c>
      <c r="AP2838">
        <v>-1</v>
      </c>
      <c r="AQ2838">
        <v>2.98</v>
      </c>
      <c r="AR2838">
        <v>-4.0599999999999996</v>
      </c>
      <c r="AS2838">
        <v>-7.05</v>
      </c>
      <c r="AT2838">
        <v>19.82</v>
      </c>
      <c r="AU2838">
        <v>41.3</v>
      </c>
      <c r="AV2838">
        <v>4</v>
      </c>
      <c r="AW2838">
        <v>4.8099999999999996</v>
      </c>
      <c r="AX2838">
        <v>57.88</v>
      </c>
      <c r="AY2838">
        <v>83.79</v>
      </c>
      <c r="AZ2838" t="s">
        <v>120</v>
      </c>
      <c r="BA2838">
        <v>1.35</v>
      </c>
      <c r="BB2838" t="s">
        <v>143</v>
      </c>
      <c r="BF2838">
        <v>-0.97</v>
      </c>
      <c r="BG2838">
        <v>-2.78</v>
      </c>
      <c r="BH2838">
        <v>-4.29</v>
      </c>
      <c r="BI2838">
        <v>0</v>
      </c>
      <c r="BJ2838">
        <v>20210830</v>
      </c>
      <c r="BK2838">
        <v>20020703</v>
      </c>
      <c r="BL2838">
        <v>8.59</v>
      </c>
      <c r="BM2838" t="s">
        <v>120</v>
      </c>
      <c r="BN2838" t="s">
        <v>120</v>
      </c>
      <c r="BO2838">
        <v>129.77000000000001</v>
      </c>
      <c r="BP2838">
        <v>8.0399999999999991</v>
      </c>
      <c r="BQ2838">
        <v>40.799999999999997</v>
      </c>
      <c r="BR2838">
        <v>5.33</v>
      </c>
      <c r="BS2838">
        <v>64.45</v>
      </c>
      <c r="BT2838">
        <v>92.65</v>
      </c>
      <c r="BU2838">
        <v>8.74</v>
      </c>
      <c r="BV2838">
        <v>3.44</v>
      </c>
      <c r="BW2838">
        <v>66.94</v>
      </c>
      <c r="BX2838">
        <v>20.91</v>
      </c>
      <c r="BY2838">
        <v>18.53</v>
      </c>
      <c r="BZ2838">
        <v>39.04</v>
      </c>
      <c r="CA2838" t="s">
        <v>120</v>
      </c>
      <c r="CB2838">
        <v>24.71</v>
      </c>
      <c r="CC2838">
        <v>21.73</v>
      </c>
      <c r="CD2838">
        <v>17.29</v>
      </c>
      <c r="CE2838">
        <v>4.87</v>
      </c>
      <c r="CF2838">
        <v>2.75</v>
      </c>
      <c r="CG2838">
        <v>4.9000000000000004</v>
      </c>
      <c r="CH2838">
        <v>4.5999999999999996</v>
      </c>
      <c r="CI2838">
        <v>4.29</v>
      </c>
      <c r="CJ2838">
        <v>-0.25</v>
      </c>
      <c r="CK2838">
        <v>0.78</v>
      </c>
      <c r="CL2838">
        <v>6.51</v>
      </c>
      <c r="CM2838">
        <v>-4.1500000000000004</v>
      </c>
      <c r="CN2838">
        <v>-0.15</v>
      </c>
      <c r="CO2838">
        <v>46944</v>
      </c>
      <c r="CP2838">
        <v>10588</v>
      </c>
      <c r="CQ2838" t="s">
        <v>1267</v>
      </c>
      <c r="CR2838">
        <v>429.72</v>
      </c>
      <c r="CS2838">
        <v>25.01</v>
      </c>
      <c r="CT2838">
        <v>1.69</v>
      </c>
      <c r="CU2838">
        <v>-16.63</v>
      </c>
      <c r="CV2838">
        <v>3.18</v>
      </c>
      <c r="CW2838">
        <v>0</v>
      </c>
      <c r="CX2838" t="s">
        <v>550</v>
      </c>
      <c r="CY2838">
        <v>4.75</v>
      </c>
      <c r="CZ2838">
        <v>0</v>
      </c>
      <c r="DA2838">
        <v>2.88</v>
      </c>
      <c r="DB2838">
        <v>0.76</v>
      </c>
      <c r="DC2838">
        <v>-0.48</v>
      </c>
      <c r="DD2838">
        <v>31.44</v>
      </c>
      <c r="DE2838" t="s">
        <v>5441</v>
      </c>
      <c r="DF2838">
        <v>20.45</v>
      </c>
      <c r="DG2838">
        <v>22.4</v>
      </c>
      <c r="DH2838">
        <v>19.75</v>
      </c>
      <c r="DI2838">
        <v>0.57999999999999996</v>
      </c>
      <c r="DJ2838">
        <v>3287</v>
      </c>
      <c r="DK2838">
        <v>600590</v>
      </c>
      <c r="DL2838" t="s">
        <v>120</v>
      </c>
      <c r="DM2838" t="s">
        <v>120</v>
      </c>
      <c r="DN2838" t="s">
        <v>120</v>
      </c>
    </row>
    <row r="2839" spans="1:118">
      <c r="A2839" t="str">
        <f>"600592"</f>
        <v>600592</v>
      </c>
      <c r="B2839" t="s">
        <v>12639</v>
      </c>
      <c r="C2839">
        <v>-2.71</v>
      </c>
      <c r="D2839">
        <v>-0.18</v>
      </c>
      <c r="E2839">
        <v>-0.09</v>
      </c>
      <c r="F2839">
        <v>246</v>
      </c>
      <c r="G2839" t="s">
        <v>8575</v>
      </c>
      <c r="H2839">
        <v>4499.79</v>
      </c>
      <c r="I2839">
        <v>3</v>
      </c>
      <c r="J2839" t="s">
        <v>120</v>
      </c>
      <c r="K2839" t="s">
        <v>6882</v>
      </c>
      <c r="L2839">
        <v>1.06</v>
      </c>
      <c r="M2839">
        <v>10.42</v>
      </c>
      <c r="N2839">
        <v>0.99</v>
      </c>
      <c r="O2839">
        <v>1.59</v>
      </c>
      <c r="P2839">
        <v>10.88</v>
      </c>
      <c r="Q2839">
        <v>-2.89</v>
      </c>
      <c r="R2839">
        <v>10.4</v>
      </c>
      <c r="S2839">
        <v>10.7</v>
      </c>
      <c r="T2839">
        <v>42324</v>
      </c>
      <c r="U2839">
        <v>10.46</v>
      </c>
      <c r="V2839">
        <v>10.71</v>
      </c>
      <c r="W2839">
        <v>19.18</v>
      </c>
      <c r="X2839" t="s">
        <v>959</v>
      </c>
      <c r="Y2839" t="s">
        <v>937</v>
      </c>
      <c r="Z2839">
        <v>4.4800000000000004</v>
      </c>
      <c r="AA2839">
        <v>10.63</v>
      </c>
      <c r="AB2839">
        <v>25720</v>
      </c>
      <c r="AC2839">
        <v>16604</v>
      </c>
      <c r="AD2839">
        <v>1.55</v>
      </c>
      <c r="AE2839">
        <v>75</v>
      </c>
      <c r="AF2839">
        <v>32</v>
      </c>
      <c r="AG2839" t="s">
        <v>120</v>
      </c>
      <c r="AH2839">
        <v>0</v>
      </c>
      <c r="AI2839" t="s">
        <v>120</v>
      </c>
      <c r="AJ2839">
        <v>4</v>
      </c>
      <c r="AK2839" t="s">
        <v>6882</v>
      </c>
      <c r="AL2839">
        <v>-1.36</v>
      </c>
      <c r="AM2839">
        <v>1914</v>
      </c>
      <c r="AN2839">
        <v>22</v>
      </c>
      <c r="AO2839">
        <v>5.9999999999999995E-4</v>
      </c>
      <c r="AP2839">
        <v>-1</v>
      </c>
      <c r="AQ2839">
        <v>1.42</v>
      </c>
      <c r="AR2839">
        <v>-1.79</v>
      </c>
      <c r="AS2839">
        <v>3.37</v>
      </c>
      <c r="AT2839">
        <v>4.54</v>
      </c>
      <c r="AU2839">
        <v>1.49</v>
      </c>
      <c r="AV2839">
        <v>1</v>
      </c>
      <c r="AW2839">
        <v>1.7</v>
      </c>
      <c r="AX2839">
        <v>62.15</v>
      </c>
      <c r="AY2839">
        <v>18.43</v>
      </c>
      <c r="AZ2839">
        <v>28.6</v>
      </c>
      <c r="BA2839">
        <v>0.72</v>
      </c>
      <c r="BB2839" t="s">
        <v>184</v>
      </c>
      <c r="BF2839">
        <v>-0.73</v>
      </c>
      <c r="BG2839">
        <v>-2.62</v>
      </c>
      <c r="BH2839">
        <v>-4.2300000000000004</v>
      </c>
      <c r="BI2839">
        <v>0.19</v>
      </c>
      <c r="BJ2839">
        <v>20210827</v>
      </c>
      <c r="BK2839">
        <v>20020805</v>
      </c>
      <c r="BL2839">
        <v>4</v>
      </c>
      <c r="BM2839" t="s">
        <v>120</v>
      </c>
      <c r="BN2839" t="s">
        <v>120</v>
      </c>
      <c r="BO2839">
        <v>29.56</v>
      </c>
      <c r="BP2839">
        <v>10.42</v>
      </c>
      <c r="BQ2839">
        <v>21.15</v>
      </c>
      <c r="BR2839">
        <v>0.17</v>
      </c>
      <c r="BS2839">
        <v>27.87</v>
      </c>
      <c r="BT2839">
        <v>17.899999999999999</v>
      </c>
      <c r="BU2839">
        <v>7.64</v>
      </c>
      <c r="BV2839">
        <v>1.34</v>
      </c>
      <c r="BW2839">
        <v>3.38</v>
      </c>
      <c r="BX2839">
        <v>1.86</v>
      </c>
      <c r="BY2839">
        <v>4.5</v>
      </c>
      <c r="BZ2839">
        <v>3.23</v>
      </c>
      <c r="CA2839" t="s">
        <v>120</v>
      </c>
      <c r="CB2839">
        <v>6.96</v>
      </c>
      <c r="CC2839">
        <v>7.48</v>
      </c>
      <c r="CD2839">
        <v>5.43</v>
      </c>
      <c r="CE2839">
        <v>1.23</v>
      </c>
      <c r="CF2839">
        <v>7.0000000000000007E-2</v>
      </c>
      <c r="CG2839">
        <v>1.23</v>
      </c>
      <c r="CH2839">
        <v>1.05</v>
      </c>
      <c r="CI2839">
        <v>1.0900000000000001</v>
      </c>
      <c r="CJ2839">
        <v>-0.28999999999999998</v>
      </c>
      <c r="CK2839">
        <v>0.6</v>
      </c>
      <c r="CL2839">
        <v>7.9</v>
      </c>
      <c r="CM2839">
        <v>-0.34</v>
      </c>
      <c r="CN2839">
        <v>-0.91</v>
      </c>
      <c r="CO2839">
        <v>17439</v>
      </c>
      <c r="CP2839">
        <v>14239</v>
      </c>
      <c r="CQ2839" t="s">
        <v>12640</v>
      </c>
      <c r="CR2839">
        <v>317.18</v>
      </c>
      <c r="CS2839">
        <v>46.9</v>
      </c>
      <c r="CT2839">
        <v>1.97</v>
      </c>
      <c r="CU2839">
        <v>-122</v>
      </c>
      <c r="CV2839">
        <v>5.56</v>
      </c>
      <c r="CW2839">
        <v>1.06</v>
      </c>
      <c r="CX2839" t="s">
        <v>12641</v>
      </c>
      <c r="CY2839">
        <v>5.29</v>
      </c>
      <c r="CZ2839">
        <v>0</v>
      </c>
      <c r="DA2839">
        <v>1.74</v>
      </c>
      <c r="DB2839">
        <v>1.98</v>
      </c>
      <c r="DC2839">
        <v>-0.09</v>
      </c>
      <c r="DD2839">
        <v>71.56</v>
      </c>
      <c r="DE2839" t="s">
        <v>2624</v>
      </c>
      <c r="DF2839">
        <v>27.44</v>
      </c>
      <c r="DG2839">
        <v>16.399999999999999</v>
      </c>
      <c r="DH2839">
        <v>14.5</v>
      </c>
      <c r="DI2839">
        <v>0.48</v>
      </c>
      <c r="DJ2839">
        <v>2394</v>
      </c>
      <c r="DK2839">
        <v>600592</v>
      </c>
      <c r="DL2839" t="s">
        <v>120</v>
      </c>
      <c r="DM2839" t="s">
        <v>120</v>
      </c>
      <c r="DN2839" t="s">
        <v>120</v>
      </c>
    </row>
    <row r="2840" spans="1:118">
      <c r="A2840" t="str">
        <f>"600594"</f>
        <v>600594</v>
      </c>
      <c r="B2840" t="s">
        <v>12642</v>
      </c>
      <c r="C2840">
        <v>-1.18</v>
      </c>
      <c r="D2840">
        <v>0</v>
      </c>
      <c r="E2840">
        <v>0.84</v>
      </c>
      <c r="F2840">
        <v>1054</v>
      </c>
      <c r="G2840" t="s">
        <v>2454</v>
      </c>
      <c r="H2840">
        <v>7516.79</v>
      </c>
      <c r="I2840">
        <v>34.270000000000003</v>
      </c>
      <c r="J2840" t="s">
        <v>120</v>
      </c>
      <c r="K2840" t="s">
        <v>12643</v>
      </c>
      <c r="L2840">
        <v>1.61</v>
      </c>
      <c r="M2840">
        <v>5.85</v>
      </c>
      <c r="N2840">
        <v>0.8</v>
      </c>
      <c r="O2840">
        <v>1.01</v>
      </c>
      <c r="P2840">
        <v>5.98</v>
      </c>
      <c r="Q2840">
        <v>-1.52</v>
      </c>
      <c r="R2840">
        <v>5.83</v>
      </c>
      <c r="S2840">
        <v>5.97</v>
      </c>
      <c r="T2840">
        <v>127218</v>
      </c>
      <c r="U2840">
        <v>5.85</v>
      </c>
      <c r="V2840">
        <v>5.92</v>
      </c>
      <c r="W2840">
        <v>13.54</v>
      </c>
      <c r="X2840" t="s">
        <v>771</v>
      </c>
      <c r="Y2840" t="s">
        <v>1021</v>
      </c>
      <c r="Z2840">
        <v>2.5299999999999998</v>
      </c>
      <c r="AA2840">
        <v>5.91</v>
      </c>
      <c r="AB2840">
        <v>66803</v>
      </c>
      <c r="AC2840">
        <v>60415</v>
      </c>
      <c r="AD2840">
        <v>1.1100000000000001</v>
      </c>
      <c r="AE2840">
        <v>710</v>
      </c>
      <c r="AF2840">
        <v>63</v>
      </c>
      <c r="AG2840" t="s">
        <v>120</v>
      </c>
      <c r="AH2840">
        <v>0.01</v>
      </c>
      <c r="AI2840" t="s">
        <v>120</v>
      </c>
      <c r="AJ2840">
        <v>7.92</v>
      </c>
      <c r="AK2840" t="s">
        <v>12643</v>
      </c>
      <c r="AL2840">
        <v>0.16</v>
      </c>
      <c r="AM2840">
        <v>2666</v>
      </c>
      <c r="AN2840">
        <v>48</v>
      </c>
      <c r="AO2840">
        <v>5.9999999999999995E-4</v>
      </c>
      <c r="AP2840">
        <v>-1</v>
      </c>
      <c r="AQ2840">
        <v>1.02</v>
      </c>
      <c r="AR2840">
        <v>-2.0099999999999998</v>
      </c>
      <c r="AS2840">
        <v>11.64</v>
      </c>
      <c r="AT2840">
        <v>7.14</v>
      </c>
      <c r="AU2840">
        <v>14.93</v>
      </c>
      <c r="AV2840">
        <v>0</v>
      </c>
      <c r="AW2840">
        <v>2.1</v>
      </c>
      <c r="AX2840">
        <v>76.58</v>
      </c>
      <c r="AY2840">
        <v>16.809999999999999</v>
      </c>
      <c r="AZ2840">
        <v>20.49</v>
      </c>
      <c r="BA2840">
        <v>0.63</v>
      </c>
      <c r="BB2840" t="s">
        <v>184</v>
      </c>
      <c r="BF2840">
        <v>-0.19</v>
      </c>
      <c r="BG2840">
        <v>-2.0099999999999998</v>
      </c>
      <c r="BH2840">
        <v>-2.17</v>
      </c>
      <c r="BI2840">
        <v>0.34</v>
      </c>
      <c r="BJ2840">
        <v>20210827</v>
      </c>
      <c r="BK2840">
        <v>20040323</v>
      </c>
      <c r="BL2840">
        <v>7.92</v>
      </c>
      <c r="BM2840" t="s">
        <v>120</v>
      </c>
      <c r="BN2840" t="s">
        <v>120</v>
      </c>
      <c r="BO2840">
        <v>52.55</v>
      </c>
      <c r="BP2840">
        <v>5.84</v>
      </c>
      <c r="BQ2840">
        <v>34.340000000000003</v>
      </c>
      <c r="BR2840">
        <v>0.67</v>
      </c>
      <c r="BS2840">
        <v>33.39</v>
      </c>
      <c r="BT2840">
        <v>22.17</v>
      </c>
      <c r="BU2840">
        <v>12</v>
      </c>
      <c r="BV2840">
        <v>3.36</v>
      </c>
      <c r="BW2840">
        <v>12.77</v>
      </c>
      <c r="BX2840">
        <v>7.46</v>
      </c>
      <c r="BY2840">
        <v>5.19</v>
      </c>
      <c r="BZ2840">
        <v>2.71</v>
      </c>
      <c r="CA2840" t="s">
        <v>120</v>
      </c>
      <c r="CB2840">
        <v>7.68</v>
      </c>
      <c r="CC2840">
        <v>16.87</v>
      </c>
      <c r="CD2840">
        <v>3.61</v>
      </c>
      <c r="CE2840">
        <v>2.0299999999999998</v>
      </c>
      <c r="CF2840">
        <v>0.03</v>
      </c>
      <c r="CG2840">
        <v>2.04</v>
      </c>
      <c r="CH2840">
        <v>1.64</v>
      </c>
      <c r="CI2840">
        <v>1.71</v>
      </c>
      <c r="CJ2840">
        <v>-7.0000000000000007E-2</v>
      </c>
      <c r="CK2840">
        <v>1.54</v>
      </c>
      <c r="CL2840">
        <v>15.76</v>
      </c>
      <c r="CM2840">
        <v>4.17</v>
      </c>
      <c r="CN2840">
        <v>1.28</v>
      </c>
      <c r="CO2840">
        <v>57368</v>
      </c>
      <c r="CP2840">
        <v>10572</v>
      </c>
      <c r="CQ2840" t="s">
        <v>6469</v>
      </c>
      <c r="CR2840">
        <v>41.37</v>
      </c>
      <c r="CS2840">
        <v>14.54</v>
      </c>
      <c r="CT2840">
        <v>1.35</v>
      </c>
      <c r="CU2840">
        <v>11.1</v>
      </c>
      <c r="CV2840">
        <v>2.75</v>
      </c>
      <c r="CW2840">
        <v>2.2000000000000002</v>
      </c>
      <c r="CX2840" t="s">
        <v>12644</v>
      </c>
      <c r="CY2840">
        <v>4.34</v>
      </c>
      <c r="CZ2840">
        <v>0</v>
      </c>
      <c r="DA2840">
        <v>0.97</v>
      </c>
      <c r="DB2840">
        <v>1.99</v>
      </c>
      <c r="DC2840">
        <v>0.53</v>
      </c>
      <c r="DD2840">
        <v>65.34</v>
      </c>
      <c r="DE2840" t="s">
        <v>137</v>
      </c>
      <c r="DF2840">
        <v>78.62</v>
      </c>
      <c r="DG2840">
        <v>12.02</v>
      </c>
      <c r="DH2840">
        <v>10.14</v>
      </c>
      <c r="DI2840">
        <v>0.63</v>
      </c>
      <c r="DJ2840">
        <v>6723</v>
      </c>
      <c r="DK2840">
        <v>600594</v>
      </c>
      <c r="DL2840" t="s">
        <v>120</v>
      </c>
      <c r="DM2840" t="s">
        <v>120</v>
      </c>
      <c r="DN2840" t="s">
        <v>120</v>
      </c>
    </row>
    <row r="2841" spans="1:118">
      <c r="A2841" t="str">
        <f>"600596"</f>
        <v>600596</v>
      </c>
      <c r="B2841" t="s">
        <v>12645</v>
      </c>
      <c r="C2841">
        <v>-8.77</v>
      </c>
      <c r="D2841">
        <v>-0.13</v>
      </c>
      <c r="E2841">
        <v>-2.5099999999999998</v>
      </c>
      <c r="F2841">
        <v>6235</v>
      </c>
      <c r="G2841" t="s">
        <v>12646</v>
      </c>
      <c r="H2841">
        <v>373675.84</v>
      </c>
      <c r="I2841">
        <v>2535.1</v>
      </c>
      <c r="J2841" t="s">
        <v>120</v>
      </c>
      <c r="K2841" t="s">
        <v>12647</v>
      </c>
      <c r="L2841">
        <v>11.56</v>
      </c>
      <c r="M2841">
        <v>42.52</v>
      </c>
      <c r="N2841">
        <v>0.94</v>
      </c>
      <c r="O2841">
        <v>1.59</v>
      </c>
      <c r="P2841">
        <v>47.35</v>
      </c>
      <c r="Q2841">
        <v>-10</v>
      </c>
      <c r="R2841">
        <v>41.95</v>
      </c>
      <c r="S2841">
        <v>45.44</v>
      </c>
      <c r="T2841">
        <v>850048</v>
      </c>
      <c r="U2841">
        <v>42.52</v>
      </c>
      <c r="V2841">
        <v>46.61</v>
      </c>
      <c r="W2841">
        <v>20.66</v>
      </c>
      <c r="X2841" t="s">
        <v>868</v>
      </c>
      <c r="Y2841" t="s">
        <v>585</v>
      </c>
      <c r="Z2841">
        <v>11.59</v>
      </c>
      <c r="AA2841">
        <v>43.96</v>
      </c>
      <c r="AB2841">
        <v>479940</v>
      </c>
      <c r="AC2841">
        <v>370108</v>
      </c>
      <c r="AD2841">
        <v>1.3</v>
      </c>
      <c r="AE2841">
        <v>70</v>
      </c>
      <c r="AF2841">
        <v>79</v>
      </c>
      <c r="AG2841" t="s">
        <v>120</v>
      </c>
      <c r="AH2841">
        <v>0.1</v>
      </c>
      <c r="AI2841" t="s">
        <v>120</v>
      </c>
      <c r="AJ2841">
        <v>7.35</v>
      </c>
      <c r="AK2841" t="s">
        <v>12648</v>
      </c>
      <c r="AL2841">
        <v>-7.43</v>
      </c>
      <c r="AM2841">
        <v>4733</v>
      </c>
      <c r="AN2841">
        <v>180</v>
      </c>
      <c r="AO2841">
        <v>2.3999999999999998E-3</v>
      </c>
      <c r="AP2841">
        <v>-1</v>
      </c>
      <c r="AQ2841">
        <v>4.1100000000000003</v>
      </c>
      <c r="AR2841">
        <v>-1.44</v>
      </c>
      <c r="AS2841">
        <v>46.87</v>
      </c>
      <c r="AT2841">
        <v>150.12</v>
      </c>
      <c r="AU2841">
        <v>301.13</v>
      </c>
      <c r="AV2841">
        <v>11</v>
      </c>
      <c r="AW2841">
        <v>14.54</v>
      </c>
      <c r="AX2841">
        <v>71.45</v>
      </c>
      <c r="AY2841">
        <v>28.37</v>
      </c>
      <c r="AZ2841">
        <v>65.23</v>
      </c>
      <c r="BA2841">
        <v>1.42</v>
      </c>
      <c r="BB2841" t="s">
        <v>751</v>
      </c>
      <c r="BF2841">
        <v>-5.69</v>
      </c>
      <c r="BG2841">
        <v>-6.43</v>
      </c>
      <c r="BH2841">
        <v>-10.199999999999999</v>
      </c>
      <c r="BI2841">
        <v>1.36</v>
      </c>
      <c r="BJ2841">
        <v>20210821</v>
      </c>
      <c r="BK2841">
        <v>20010906</v>
      </c>
      <c r="BL2841">
        <v>8.18</v>
      </c>
      <c r="BM2841" t="s">
        <v>120</v>
      </c>
      <c r="BN2841" t="s">
        <v>120</v>
      </c>
      <c r="BO2841">
        <v>140.69999999999999</v>
      </c>
      <c r="BP2841">
        <v>42.51</v>
      </c>
      <c r="BQ2841">
        <v>71.66</v>
      </c>
      <c r="BR2841">
        <v>8.77</v>
      </c>
      <c r="BS2841">
        <v>42.83</v>
      </c>
      <c r="BT2841">
        <v>72.599999999999994</v>
      </c>
      <c r="BU2841">
        <v>48.01</v>
      </c>
      <c r="BV2841">
        <v>7.36</v>
      </c>
      <c r="BW2841">
        <v>49.11</v>
      </c>
      <c r="BX2841">
        <v>17.5</v>
      </c>
      <c r="BY2841">
        <v>16.32</v>
      </c>
      <c r="BZ2841">
        <v>15.74</v>
      </c>
      <c r="CA2841" t="s">
        <v>120</v>
      </c>
      <c r="CB2841">
        <v>9.89</v>
      </c>
      <c r="CC2841">
        <v>84.65</v>
      </c>
      <c r="CD2841">
        <v>68.260000000000005</v>
      </c>
      <c r="CE2841">
        <v>9.89</v>
      </c>
      <c r="CF2841">
        <v>0.14000000000000001</v>
      </c>
      <c r="CG2841">
        <v>9.8000000000000007</v>
      </c>
      <c r="CH2841">
        <v>8.6999999999999993</v>
      </c>
      <c r="CI2841">
        <v>8.42</v>
      </c>
      <c r="CJ2841">
        <v>-4.09</v>
      </c>
      <c r="CK2841">
        <v>8.25</v>
      </c>
      <c r="CL2841">
        <v>47.43</v>
      </c>
      <c r="CM2841">
        <v>10.6</v>
      </c>
      <c r="CN2841">
        <v>4.58</v>
      </c>
      <c r="CO2841">
        <v>47648</v>
      </c>
      <c r="CP2841">
        <v>12271</v>
      </c>
      <c r="CQ2841" t="s">
        <v>12649</v>
      </c>
      <c r="CR2841">
        <v>922.25</v>
      </c>
      <c r="CS2841">
        <v>34.39</v>
      </c>
      <c r="CT2841">
        <v>4.8600000000000003</v>
      </c>
      <c r="CU2841">
        <v>32.840000000000003</v>
      </c>
      <c r="CV2841">
        <v>4.1100000000000003</v>
      </c>
      <c r="CW2841">
        <v>0.54</v>
      </c>
      <c r="CX2841" t="s">
        <v>3739</v>
      </c>
      <c r="CY2841">
        <v>8.76</v>
      </c>
      <c r="CZ2841">
        <v>0</v>
      </c>
      <c r="DA2841">
        <v>1.21</v>
      </c>
      <c r="DB2841">
        <v>5.8</v>
      </c>
      <c r="DC2841">
        <v>1.29</v>
      </c>
      <c r="DD2841">
        <v>50.93</v>
      </c>
      <c r="DE2841" t="s">
        <v>12650</v>
      </c>
      <c r="DF2841">
        <v>19.36</v>
      </c>
      <c r="DG2841">
        <v>11.68</v>
      </c>
      <c r="DH2841">
        <v>9.9499999999999993</v>
      </c>
      <c r="DI2841">
        <v>2.02</v>
      </c>
      <c r="DJ2841">
        <v>5766</v>
      </c>
      <c r="DK2841">
        <v>600596</v>
      </c>
      <c r="DL2841">
        <v>20210525</v>
      </c>
      <c r="DM2841">
        <v>14.75</v>
      </c>
      <c r="DN2841">
        <v>189.97</v>
      </c>
    </row>
    <row r="2842" spans="1:118">
      <c r="A2842" t="str">
        <f>"600597"</f>
        <v>600597</v>
      </c>
      <c r="B2842" t="s">
        <v>12651</v>
      </c>
      <c r="C2842">
        <v>-0.16</v>
      </c>
      <c r="D2842">
        <v>-0.15</v>
      </c>
      <c r="E2842">
        <v>-0.24</v>
      </c>
      <c r="F2842">
        <v>2700</v>
      </c>
      <c r="G2842" t="s">
        <v>12652</v>
      </c>
      <c r="H2842">
        <v>15869.55</v>
      </c>
      <c r="I2842">
        <v>39.25</v>
      </c>
      <c r="J2842" t="s">
        <v>120</v>
      </c>
      <c r="K2842" t="s">
        <v>2892</v>
      </c>
      <c r="L2842">
        <v>1.02</v>
      </c>
      <c r="M2842">
        <v>12.67</v>
      </c>
      <c r="N2842">
        <v>1.21</v>
      </c>
      <c r="O2842">
        <v>2.21</v>
      </c>
      <c r="P2842">
        <v>12.97</v>
      </c>
      <c r="Q2842">
        <v>-0.71</v>
      </c>
      <c r="R2842">
        <v>12.6</v>
      </c>
      <c r="S2842">
        <v>12.66</v>
      </c>
      <c r="T2842">
        <v>124455</v>
      </c>
      <c r="U2842">
        <v>12.68</v>
      </c>
      <c r="V2842">
        <v>12.69</v>
      </c>
      <c r="W2842">
        <v>29.72</v>
      </c>
      <c r="X2842" t="s">
        <v>4454</v>
      </c>
      <c r="Y2842" t="s">
        <v>1510</v>
      </c>
      <c r="Z2842">
        <v>2.92</v>
      </c>
      <c r="AA2842">
        <v>12.75</v>
      </c>
      <c r="AB2842">
        <v>65454</v>
      </c>
      <c r="AC2842">
        <v>59001</v>
      </c>
      <c r="AD2842">
        <v>1.1100000000000001</v>
      </c>
      <c r="AE2842">
        <v>104</v>
      </c>
      <c r="AF2842">
        <v>2</v>
      </c>
      <c r="AG2842" t="s">
        <v>120</v>
      </c>
      <c r="AH2842">
        <v>0.01</v>
      </c>
      <c r="AI2842" t="s">
        <v>120</v>
      </c>
      <c r="AJ2842">
        <v>12.24</v>
      </c>
      <c r="AK2842" t="s">
        <v>801</v>
      </c>
      <c r="AL2842">
        <v>1.19</v>
      </c>
      <c r="AM2842">
        <v>3534</v>
      </c>
      <c r="AN2842">
        <v>35</v>
      </c>
      <c r="AO2842">
        <v>2.9999999999999997E-4</v>
      </c>
      <c r="AP2842">
        <v>-5</v>
      </c>
      <c r="AQ2842">
        <v>-1.25</v>
      </c>
      <c r="AR2842">
        <v>-2.91</v>
      </c>
      <c r="AS2842">
        <v>-1.93</v>
      </c>
      <c r="AT2842">
        <v>-15.98</v>
      </c>
      <c r="AU2842">
        <v>-21.3</v>
      </c>
      <c r="AV2842">
        <v>1</v>
      </c>
      <c r="AW2842">
        <v>2.1</v>
      </c>
      <c r="AX2842">
        <v>48.36</v>
      </c>
      <c r="AY2842">
        <v>28.01</v>
      </c>
      <c r="AZ2842">
        <v>25.57</v>
      </c>
      <c r="BA2842">
        <v>0.57999999999999996</v>
      </c>
      <c r="BB2842" t="s">
        <v>143</v>
      </c>
      <c r="BF2842">
        <v>0.48</v>
      </c>
      <c r="BG2842">
        <v>0.08</v>
      </c>
      <c r="BH2842">
        <v>-2.31</v>
      </c>
      <c r="BI2842">
        <v>0.56000000000000005</v>
      </c>
      <c r="BJ2842">
        <v>20210831</v>
      </c>
      <c r="BK2842">
        <v>20020828</v>
      </c>
      <c r="BL2842">
        <v>12.24</v>
      </c>
      <c r="BM2842" t="s">
        <v>120</v>
      </c>
      <c r="BN2842" t="s">
        <v>120</v>
      </c>
      <c r="BO2842">
        <v>201.16</v>
      </c>
      <c r="BP2842">
        <v>12.67</v>
      </c>
      <c r="BQ2842">
        <v>61.58</v>
      </c>
      <c r="BR2842">
        <v>24.51</v>
      </c>
      <c r="BS2842">
        <v>57.2</v>
      </c>
      <c r="BT2842">
        <v>83.18</v>
      </c>
      <c r="BU2842">
        <v>78.81</v>
      </c>
      <c r="BV2842">
        <v>4.37</v>
      </c>
      <c r="BW2842">
        <v>88.69</v>
      </c>
      <c r="BX2842">
        <v>17.190000000000001</v>
      </c>
      <c r="BY2842">
        <v>33.33</v>
      </c>
      <c r="BZ2842">
        <v>20.95</v>
      </c>
      <c r="CA2842" t="s">
        <v>120</v>
      </c>
      <c r="CB2842">
        <v>16.53</v>
      </c>
      <c r="CC2842">
        <v>142.63999999999999</v>
      </c>
      <c r="CD2842">
        <v>108.13</v>
      </c>
      <c r="CE2842">
        <v>2.61</v>
      </c>
      <c r="CF2842">
        <v>0</v>
      </c>
      <c r="CG2842">
        <v>2.84</v>
      </c>
      <c r="CH2842">
        <v>2.2000000000000002</v>
      </c>
      <c r="CI2842">
        <v>2.61</v>
      </c>
      <c r="CJ2842">
        <v>-0.02</v>
      </c>
      <c r="CK2842">
        <v>1.95</v>
      </c>
      <c r="CL2842">
        <v>28.34</v>
      </c>
      <c r="CM2842">
        <v>-0.67</v>
      </c>
      <c r="CN2842">
        <v>-12.39</v>
      </c>
      <c r="CO2842">
        <v>92284</v>
      </c>
      <c r="CP2842">
        <v>6417</v>
      </c>
      <c r="CQ2842" t="s">
        <v>1205</v>
      </c>
      <c r="CR2842">
        <v>-16.809999999999999</v>
      </c>
      <c r="CS2842">
        <v>17.36</v>
      </c>
      <c r="CT2842">
        <v>2.52</v>
      </c>
      <c r="CU2842">
        <v>-232.79</v>
      </c>
      <c r="CV2842">
        <v>1.0900000000000001</v>
      </c>
      <c r="CW2842">
        <v>1.26</v>
      </c>
      <c r="CX2842" t="s">
        <v>2097</v>
      </c>
      <c r="CY2842">
        <v>5.03</v>
      </c>
      <c r="CZ2842">
        <v>0</v>
      </c>
      <c r="DA2842">
        <v>1.35</v>
      </c>
      <c r="DB2842">
        <v>2.31</v>
      </c>
      <c r="DC2842">
        <v>-0.05</v>
      </c>
      <c r="DD2842">
        <v>30.62</v>
      </c>
      <c r="DE2842" t="s">
        <v>3564</v>
      </c>
      <c r="DF2842">
        <v>24.19</v>
      </c>
      <c r="DG2842">
        <v>1.83</v>
      </c>
      <c r="DH2842">
        <v>1.83</v>
      </c>
      <c r="DI2842">
        <v>0.44</v>
      </c>
      <c r="DJ2842">
        <v>11856</v>
      </c>
      <c r="DK2842">
        <v>600597</v>
      </c>
      <c r="DL2842" t="s">
        <v>120</v>
      </c>
      <c r="DM2842" t="s">
        <v>120</v>
      </c>
      <c r="DN2842" t="s">
        <v>120</v>
      </c>
    </row>
    <row r="2843" spans="1:118">
      <c r="A2843" t="str">
        <f>"600598"</f>
        <v>600598</v>
      </c>
      <c r="B2843" t="s">
        <v>12653</v>
      </c>
      <c r="C2843">
        <v>2.06</v>
      </c>
      <c r="D2843">
        <v>0</v>
      </c>
      <c r="E2843">
        <v>0.4</v>
      </c>
      <c r="F2843">
        <v>3522</v>
      </c>
      <c r="G2843" t="s">
        <v>12654</v>
      </c>
      <c r="H2843">
        <v>50964.480000000003</v>
      </c>
      <c r="I2843">
        <v>32.31</v>
      </c>
      <c r="J2843" t="s">
        <v>120</v>
      </c>
      <c r="K2843" t="s">
        <v>12655</v>
      </c>
      <c r="L2843">
        <v>1.86</v>
      </c>
      <c r="M2843">
        <v>15.35</v>
      </c>
      <c r="N2843">
        <v>1.85</v>
      </c>
      <c r="O2843">
        <v>3.32</v>
      </c>
      <c r="P2843">
        <v>15.54</v>
      </c>
      <c r="Q2843">
        <v>0.33</v>
      </c>
      <c r="R2843">
        <v>15.09</v>
      </c>
      <c r="S2843">
        <v>15.1</v>
      </c>
      <c r="T2843">
        <v>330954</v>
      </c>
      <c r="U2843">
        <v>15.35</v>
      </c>
      <c r="V2843">
        <v>15.04</v>
      </c>
      <c r="W2843">
        <v>17.739999999999998</v>
      </c>
      <c r="X2843" t="s">
        <v>1700</v>
      </c>
      <c r="Y2843" t="s">
        <v>1686</v>
      </c>
      <c r="Z2843">
        <v>2.99</v>
      </c>
      <c r="AA2843">
        <v>15.4</v>
      </c>
      <c r="AB2843">
        <v>129821</v>
      </c>
      <c r="AC2843">
        <v>201133</v>
      </c>
      <c r="AD2843">
        <v>0.65</v>
      </c>
      <c r="AE2843">
        <v>216</v>
      </c>
      <c r="AF2843">
        <v>243</v>
      </c>
      <c r="AG2843" t="s">
        <v>120</v>
      </c>
      <c r="AH2843">
        <v>0</v>
      </c>
      <c r="AI2843" t="s">
        <v>120</v>
      </c>
      <c r="AJ2843">
        <v>17.78</v>
      </c>
      <c r="AK2843" t="s">
        <v>12655</v>
      </c>
      <c r="AL2843">
        <v>3.4</v>
      </c>
      <c r="AM2843">
        <v>4285</v>
      </c>
      <c r="AN2843">
        <v>77</v>
      </c>
      <c r="AO2843">
        <v>4.0000000000000002E-4</v>
      </c>
      <c r="AP2843">
        <v>2</v>
      </c>
      <c r="AQ2843">
        <v>0.27</v>
      </c>
      <c r="AR2843">
        <v>0.73</v>
      </c>
      <c r="AS2843">
        <v>5.13</v>
      </c>
      <c r="AT2843">
        <v>0.59</v>
      </c>
      <c r="AU2843">
        <v>-18.57</v>
      </c>
      <c r="AV2843">
        <v>0</v>
      </c>
      <c r="AW2843">
        <v>5.19</v>
      </c>
      <c r="AX2843">
        <v>35.86</v>
      </c>
      <c r="AY2843">
        <v>27.74</v>
      </c>
      <c r="AZ2843">
        <v>27.01</v>
      </c>
      <c r="BA2843">
        <v>0.32</v>
      </c>
      <c r="BB2843" t="s">
        <v>143</v>
      </c>
      <c r="BF2843">
        <v>2.39</v>
      </c>
      <c r="BG2843">
        <v>1.66</v>
      </c>
      <c r="BH2843">
        <v>-1.22</v>
      </c>
      <c r="BI2843">
        <v>1.72</v>
      </c>
      <c r="BJ2843">
        <v>20210825</v>
      </c>
      <c r="BK2843">
        <v>20020329</v>
      </c>
      <c r="BL2843">
        <v>17.78</v>
      </c>
      <c r="BM2843" t="s">
        <v>120</v>
      </c>
      <c r="BN2843" t="s">
        <v>120</v>
      </c>
      <c r="BO2843">
        <v>95.69</v>
      </c>
      <c r="BP2843">
        <v>15.34</v>
      </c>
      <c r="BQ2843">
        <v>70.180000000000007</v>
      </c>
      <c r="BR2843">
        <v>-2.4300000000000002</v>
      </c>
      <c r="BS2843">
        <v>29.2</v>
      </c>
      <c r="BT2843">
        <v>47.65</v>
      </c>
      <c r="BU2843">
        <v>31.78</v>
      </c>
      <c r="BV2843">
        <v>4.17</v>
      </c>
      <c r="BW2843">
        <v>26.92</v>
      </c>
      <c r="BX2843">
        <v>24.42</v>
      </c>
      <c r="BY2843">
        <v>1.85</v>
      </c>
      <c r="BZ2843">
        <v>0.13</v>
      </c>
      <c r="CA2843">
        <v>0.14000000000000001</v>
      </c>
      <c r="CB2843">
        <v>24.2</v>
      </c>
      <c r="CC2843">
        <v>19.670000000000002</v>
      </c>
      <c r="CD2843">
        <v>10.58</v>
      </c>
      <c r="CE2843">
        <v>7.71</v>
      </c>
      <c r="CF2843">
        <v>0.15</v>
      </c>
      <c r="CG2843">
        <v>7.73</v>
      </c>
      <c r="CH2843">
        <v>7.63</v>
      </c>
      <c r="CI2843">
        <v>7.69</v>
      </c>
      <c r="CJ2843">
        <v>0.31</v>
      </c>
      <c r="CK2843">
        <v>7.67</v>
      </c>
      <c r="CL2843">
        <v>10.35</v>
      </c>
      <c r="CM2843">
        <v>23.83</v>
      </c>
      <c r="CN2843">
        <v>7.97</v>
      </c>
      <c r="CO2843">
        <v>117435</v>
      </c>
      <c r="CP2843">
        <v>5428</v>
      </c>
      <c r="CQ2843" t="s">
        <v>8885</v>
      </c>
      <c r="CR2843">
        <v>-3.29</v>
      </c>
      <c r="CS2843">
        <v>12.23</v>
      </c>
      <c r="CT2843">
        <v>3.89</v>
      </c>
      <c r="CU2843">
        <v>11.45</v>
      </c>
      <c r="CV2843">
        <v>13.87</v>
      </c>
      <c r="CW2843">
        <v>2.66</v>
      </c>
      <c r="CX2843" t="s">
        <v>1462</v>
      </c>
      <c r="CY2843">
        <v>3.95</v>
      </c>
      <c r="CZ2843">
        <v>0</v>
      </c>
      <c r="DA2843">
        <v>1.36</v>
      </c>
      <c r="DB2843">
        <v>0.57999999999999996</v>
      </c>
      <c r="DC2843">
        <v>1.34</v>
      </c>
      <c r="DD2843">
        <v>73.349999999999994</v>
      </c>
      <c r="DE2843" t="s">
        <v>6274</v>
      </c>
      <c r="DF2843">
        <v>46.23</v>
      </c>
      <c r="DG2843">
        <v>39.200000000000003</v>
      </c>
      <c r="DH2843">
        <v>39.1</v>
      </c>
      <c r="DI2843">
        <v>0.03</v>
      </c>
      <c r="DJ2843">
        <v>34412</v>
      </c>
      <c r="DK2843">
        <v>600598</v>
      </c>
      <c r="DL2843" t="s">
        <v>120</v>
      </c>
      <c r="DM2843" t="s">
        <v>120</v>
      </c>
      <c r="DN2843" t="s">
        <v>120</v>
      </c>
    </row>
    <row r="2844" spans="1:118">
      <c r="A2844" t="str">
        <f>"600600"</f>
        <v>600600</v>
      </c>
      <c r="B2844" t="s">
        <v>12656</v>
      </c>
      <c r="C2844">
        <v>-2.31</v>
      </c>
      <c r="D2844">
        <v>-0.42</v>
      </c>
      <c r="E2844">
        <v>0</v>
      </c>
      <c r="F2844">
        <v>996</v>
      </c>
      <c r="G2844" t="s">
        <v>12657</v>
      </c>
      <c r="H2844">
        <v>70364.27</v>
      </c>
      <c r="I2844">
        <v>116.18</v>
      </c>
      <c r="J2844" t="s">
        <v>120</v>
      </c>
      <c r="K2844" t="s">
        <v>12658</v>
      </c>
      <c r="L2844">
        <v>1.25</v>
      </c>
      <c r="M2844">
        <v>80.5</v>
      </c>
      <c r="N2844">
        <v>1.68</v>
      </c>
      <c r="O2844">
        <v>1.33</v>
      </c>
      <c r="P2844">
        <v>83.5</v>
      </c>
      <c r="Q2844">
        <v>-3.88</v>
      </c>
      <c r="R2844">
        <v>79.2</v>
      </c>
      <c r="S2844">
        <v>82.4</v>
      </c>
      <c r="T2844">
        <v>86862</v>
      </c>
      <c r="U2844">
        <v>80.75</v>
      </c>
      <c r="V2844">
        <v>82.4</v>
      </c>
      <c r="W2844">
        <v>22.74</v>
      </c>
      <c r="X2844" t="s">
        <v>1783</v>
      </c>
      <c r="Y2844" t="s">
        <v>638</v>
      </c>
      <c r="Z2844">
        <v>5.22</v>
      </c>
      <c r="AA2844">
        <v>81.010000000000005</v>
      </c>
      <c r="AB2844">
        <v>45293</v>
      </c>
      <c r="AC2844">
        <v>41569</v>
      </c>
      <c r="AD2844">
        <v>1.0900000000000001</v>
      </c>
      <c r="AE2844">
        <v>186</v>
      </c>
      <c r="AF2844">
        <v>6</v>
      </c>
      <c r="AG2844" t="s">
        <v>120</v>
      </c>
      <c r="AH2844">
        <v>0</v>
      </c>
      <c r="AI2844" t="s">
        <v>120</v>
      </c>
      <c r="AJ2844">
        <v>6.96</v>
      </c>
      <c r="AK2844" t="s">
        <v>12659</v>
      </c>
      <c r="AL2844">
        <v>-0.96</v>
      </c>
      <c r="AM2844">
        <v>4570</v>
      </c>
      <c r="AN2844">
        <v>19</v>
      </c>
      <c r="AO2844">
        <v>2.9999999999999997E-4</v>
      </c>
      <c r="AP2844">
        <v>-8</v>
      </c>
      <c r="AQ2844">
        <v>-3.93</v>
      </c>
      <c r="AR2844">
        <v>-6.95</v>
      </c>
      <c r="AS2844">
        <v>-10.85</v>
      </c>
      <c r="AT2844">
        <v>-23.01</v>
      </c>
      <c r="AU2844">
        <v>-18.399999999999999</v>
      </c>
      <c r="AV2844">
        <v>1</v>
      </c>
      <c r="AW2844">
        <v>2.99</v>
      </c>
      <c r="AX2844">
        <v>40.99</v>
      </c>
      <c r="AY2844">
        <v>40.71</v>
      </c>
      <c r="AZ2844">
        <v>51.08</v>
      </c>
      <c r="BA2844">
        <v>1.82</v>
      </c>
      <c r="BB2844" t="s">
        <v>240</v>
      </c>
      <c r="BF2844">
        <v>-1.69</v>
      </c>
      <c r="BG2844">
        <v>-2.31</v>
      </c>
      <c r="BH2844">
        <v>-3.59</v>
      </c>
      <c r="BI2844">
        <v>1.64</v>
      </c>
      <c r="BJ2844">
        <v>20210901</v>
      </c>
      <c r="BK2844">
        <v>19930827</v>
      </c>
      <c r="BL2844">
        <v>13.64</v>
      </c>
      <c r="BM2844" t="s">
        <v>120</v>
      </c>
      <c r="BN2844">
        <v>6.55</v>
      </c>
      <c r="BO2844">
        <v>452.37</v>
      </c>
      <c r="BP2844">
        <v>80.5</v>
      </c>
      <c r="BQ2844">
        <v>221.83</v>
      </c>
      <c r="BR2844">
        <v>7.73</v>
      </c>
      <c r="BS2844">
        <v>49.25</v>
      </c>
      <c r="BT2844">
        <v>278.45999999999998</v>
      </c>
      <c r="BU2844">
        <v>105.09</v>
      </c>
      <c r="BV2844">
        <v>24.75</v>
      </c>
      <c r="BW2844">
        <v>178.16</v>
      </c>
      <c r="BX2844">
        <v>93.22</v>
      </c>
      <c r="BY2844">
        <v>22.14</v>
      </c>
      <c r="BZ2844">
        <v>1.97</v>
      </c>
      <c r="CA2844" t="s">
        <v>120</v>
      </c>
      <c r="CB2844">
        <v>38.39</v>
      </c>
      <c r="CC2844">
        <v>182.91</v>
      </c>
      <c r="CD2844">
        <v>101.7</v>
      </c>
      <c r="CE2844">
        <v>32.81</v>
      </c>
      <c r="CF2844">
        <v>0.6</v>
      </c>
      <c r="CG2844">
        <v>32.909999999999997</v>
      </c>
      <c r="CH2844">
        <v>24.87</v>
      </c>
      <c r="CI2844">
        <v>24.16</v>
      </c>
      <c r="CJ2844">
        <v>-1.9</v>
      </c>
      <c r="CK2844">
        <v>21.58</v>
      </c>
      <c r="CL2844">
        <v>156.13</v>
      </c>
      <c r="CM2844">
        <v>50.25</v>
      </c>
      <c r="CN2844">
        <v>-107.91</v>
      </c>
      <c r="CO2844">
        <v>43773</v>
      </c>
      <c r="CP2844">
        <v>6643</v>
      </c>
      <c r="CQ2844" t="s">
        <v>12660</v>
      </c>
      <c r="CR2844">
        <v>30.22</v>
      </c>
      <c r="CS2844">
        <v>16.66</v>
      </c>
      <c r="CT2844">
        <v>4.95</v>
      </c>
      <c r="CU2844">
        <v>21.86</v>
      </c>
      <c r="CV2844">
        <v>6.01</v>
      </c>
      <c r="CW2844">
        <v>0.91</v>
      </c>
      <c r="CX2844" t="s">
        <v>6550</v>
      </c>
      <c r="CY2844">
        <v>16.260000000000002</v>
      </c>
      <c r="CZ2844">
        <v>0</v>
      </c>
      <c r="DA2844">
        <v>2.81</v>
      </c>
      <c r="DB2844">
        <v>11.44</v>
      </c>
      <c r="DC2844">
        <v>3.68</v>
      </c>
      <c r="DD2844">
        <v>49.04</v>
      </c>
      <c r="DE2844" t="s">
        <v>9173</v>
      </c>
      <c r="DF2844">
        <v>44.4</v>
      </c>
      <c r="DG2844">
        <v>17.940000000000001</v>
      </c>
      <c r="DH2844">
        <v>13.21</v>
      </c>
      <c r="DI2844">
        <v>0.08</v>
      </c>
      <c r="DJ2844">
        <v>35678</v>
      </c>
      <c r="DK2844">
        <v>600600</v>
      </c>
      <c r="DL2844" t="s">
        <v>120</v>
      </c>
      <c r="DM2844" t="s">
        <v>120</v>
      </c>
      <c r="DN2844" t="s">
        <v>120</v>
      </c>
    </row>
    <row r="2845" spans="1:118">
      <c r="A2845" t="str">
        <f>"600602"</f>
        <v>600602</v>
      </c>
      <c r="B2845" t="s">
        <v>12661</v>
      </c>
      <c r="C2845">
        <v>-1.6</v>
      </c>
      <c r="D2845">
        <v>0</v>
      </c>
      <c r="E2845">
        <v>-0.32</v>
      </c>
      <c r="F2845">
        <v>2617</v>
      </c>
      <c r="G2845" t="s">
        <v>1492</v>
      </c>
      <c r="H2845">
        <v>7830.18</v>
      </c>
      <c r="I2845">
        <v>23.92</v>
      </c>
      <c r="J2845" t="s">
        <v>120</v>
      </c>
      <c r="K2845" t="s">
        <v>12662</v>
      </c>
      <c r="L2845">
        <v>1.17</v>
      </c>
      <c r="M2845">
        <v>6.15</v>
      </c>
      <c r="N2845">
        <v>0.56000000000000005</v>
      </c>
      <c r="O2845">
        <v>1.28</v>
      </c>
      <c r="P2845">
        <v>6.33</v>
      </c>
      <c r="Q2845">
        <v>-1.76</v>
      </c>
      <c r="R2845">
        <v>6.14</v>
      </c>
      <c r="S2845">
        <v>6.23</v>
      </c>
      <c r="T2845">
        <v>125734</v>
      </c>
      <c r="U2845">
        <v>6.15</v>
      </c>
      <c r="V2845">
        <v>6.25</v>
      </c>
      <c r="W2845">
        <v>37.520000000000003</v>
      </c>
      <c r="X2845" t="s">
        <v>141</v>
      </c>
      <c r="Y2845" t="s">
        <v>1510</v>
      </c>
      <c r="Z2845">
        <v>3.04</v>
      </c>
      <c r="AA2845">
        <v>6.23</v>
      </c>
      <c r="AB2845">
        <v>69924</v>
      </c>
      <c r="AC2845">
        <v>55810</v>
      </c>
      <c r="AD2845">
        <v>1.25</v>
      </c>
      <c r="AE2845">
        <v>1468</v>
      </c>
      <c r="AF2845">
        <v>671</v>
      </c>
      <c r="AG2845" t="s">
        <v>120</v>
      </c>
      <c r="AH2845">
        <v>0.01</v>
      </c>
      <c r="AI2845" t="s">
        <v>120</v>
      </c>
      <c r="AJ2845">
        <v>10.74</v>
      </c>
      <c r="AK2845" t="s">
        <v>12663</v>
      </c>
      <c r="AL2845">
        <v>-0.26</v>
      </c>
      <c r="AM2845">
        <v>2181</v>
      </c>
      <c r="AN2845">
        <v>58</v>
      </c>
      <c r="AO2845">
        <v>5.0000000000000001E-4</v>
      </c>
      <c r="AP2845">
        <v>-2</v>
      </c>
      <c r="AQ2845">
        <v>-2.19</v>
      </c>
      <c r="AR2845">
        <v>-3.46</v>
      </c>
      <c r="AS2845">
        <v>18.73</v>
      </c>
      <c r="AT2845">
        <v>4.8600000000000003</v>
      </c>
      <c r="AU2845">
        <v>10.51</v>
      </c>
      <c r="AV2845">
        <v>3</v>
      </c>
      <c r="AW2845">
        <v>2.09</v>
      </c>
      <c r="AX2845">
        <v>44.02</v>
      </c>
      <c r="AY2845">
        <v>31.67</v>
      </c>
      <c r="AZ2845">
        <v>34.380000000000003</v>
      </c>
      <c r="BA2845">
        <v>0.79</v>
      </c>
      <c r="BB2845" t="s">
        <v>240</v>
      </c>
      <c r="BF2845">
        <v>-0.36</v>
      </c>
      <c r="BG2845">
        <v>-1.28</v>
      </c>
      <c r="BH2845">
        <v>-2.84</v>
      </c>
      <c r="BI2845">
        <v>0.16</v>
      </c>
      <c r="BJ2845">
        <v>20210825</v>
      </c>
      <c r="BK2845">
        <v>19901219</v>
      </c>
      <c r="BL2845">
        <v>13.68</v>
      </c>
      <c r="BM2845">
        <v>2.93</v>
      </c>
      <c r="BN2845" t="s">
        <v>120</v>
      </c>
      <c r="BO2845">
        <v>66.040000000000006</v>
      </c>
      <c r="BP2845">
        <v>6.14</v>
      </c>
      <c r="BQ2845">
        <v>44.03</v>
      </c>
      <c r="BR2845">
        <v>2.29</v>
      </c>
      <c r="BS2845">
        <v>29.85</v>
      </c>
      <c r="BT2845">
        <v>56.52</v>
      </c>
      <c r="BU2845">
        <v>1.94</v>
      </c>
      <c r="BV2845">
        <v>0.26</v>
      </c>
      <c r="BW2845">
        <v>17.96</v>
      </c>
      <c r="BX2845">
        <v>29.07</v>
      </c>
      <c r="BY2845">
        <v>6.6</v>
      </c>
      <c r="BZ2845">
        <v>11.42</v>
      </c>
      <c r="CA2845">
        <v>0.06</v>
      </c>
      <c r="CB2845">
        <v>14.97</v>
      </c>
      <c r="CC2845">
        <v>23.3</v>
      </c>
      <c r="CD2845">
        <v>18.72</v>
      </c>
      <c r="CE2845">
        <v>1.27</v>
      </c>
      <c r="CF2845">
        <v>0.19</v>
      </c>
      <c r="CG2845">
        <v>1.29</v>
      </c>
      <c r="CH2845">
        <v>1.2</v>
      </c>
      <c r="CI2845">
        <v>1.1200000000000001</v>
      </c>
      <c r="CJ2845">
        <v>-0.1</v>
      </c>
      <c r="CK2845">
        <v>1.05</v>
      </c>
      <c r="CL2845">
        <v>11.57</v>
      </c>
      <c r="CM2845">
        <v>-4.47</v>
      </c>
      <c r="CN2845">
        <v>-5.0599999999999996</v>
      </c>
      <c r="CO2845">
        <v>93277</v>
      </c>
      <c r="CP2845">
        <v>9599</v>
      </c>
      <c r="CQ2845" t="s">
        <v>3869</v>
      </c>
      <c r="CR2845">
        <v>23.44</v>
      </c>
      <c r="CS2845">
        <v>19.21</v>
      </c>
      <c r="CT2845">
        <v>1.91</v>
      </c>
      <c r="CU2845">
        <v>-18.82</v>
      </c>
      <c r="CV2845">
        <v>3.61</v>
      </c>
      <c r="CW2845">
        <v>0.88</v>
      </c>
      <c r="CX2845" t="s">
        <v>1889</v>
      </c>
      <c r="CY2845">
        <v>3.22</v>
      </c>
      <c r="CZ2845">
        <v>0</v>
      </c>
      <c r="DA2845">
        <v>1.0900000000000001</v>
      </c>
      <c r="DB2845">
        <v>0.85</v>
      </c>
      <c r="DC2845">
        <v>-0.33</v>
      </c>
      <c r="DD2845">
        <v>66.680000000000007</v>
      </c>
      <c r="DE2845" t="s">
        <v>10708</v>
      </c>
      <c r="DF2845">
        <v>19.64</v>
      </c>
      <c r="DG2845">
        <v>5.44</v>
      </c>
      <c r="DH2845">
        <v>4.8099999999999996</v>
      </c>
      <c r="DI2845">
        <v>1.75</v>
      </c>
      <c r="DJ2845">
        <v>2444</v>
      </c>
      <c r="DK2845">
        <v>600602</v>
      </c>
      <c r="DL2845" t="s">
        <v>120</v>
      </c>
      <c r="DM2845" t="s">
        <v>120</v>
      </c>
      <c r="DN2845" t="s">
        <v>120</v>
      </c>
    </row>
    <row r="2846" spans="1:118">
      <c r="A2846" t="str">
        <f>"600603"</f>
        <v>600603</v>
      </c>
      <c r="B2846" t="s">
        <v>12664</v>
      </c>
      <c r="C2846">
        <v>-1.47</v>
      </c>
      <c r="D2846">
        <v>0</v>
      </c>
      <c r="E2846">
        <v>0.24</v>
      </c>
      <c r="F2846">
        <v>345</v>
      </c>
      <c r="G2846" t="s">
        <v>8259</v>
      </c>
      <c r="H2846">
        <v>2270.14</v>
      </c>
      <c r="I2846">
        <v>0.62</v>
      </c>
      <c r="J2846" t="s">
        <v>120</v>
      </c>
      <c r="K2846" t="s">
        <v>12665</v>
      </c>
      <c r="L2846">
        <v>0.44</v>
      </c>
      <c r="M2846">
        <v>4.03</v>
      </c>
      <c r="N2846">
        <v>0.86</v>
      </c>
      <c r="O2846">
        <v>1.22</v>
      </c>
      <c r="P2846">
        <v>4.1399999999999997</v>
      </c>
      <c r="Q2846">
        <v>-1.71</v>
      </c>
      <c r="R2846">
        <v>4.0199999999999996</v>
      </c>
      <c r="S2846">
        <v>4.0999999999999996</v>
      </c>
      <c r="T2846">
        <v>55727</v>
      </c>
      <c r="U2846">
        <v>4.03</v>
      </c>
      <c r="V2846">
        <v>4.09</v>
      </c>
      <c r="W2846">
        <v>7.51</v>
      </c>
      <c r="X2846" t="s">
        <v>2775</v>
      </c>
      <c r="Y2846" t="s">
        <v>578</v>
      </c>
      <c r="Z2846">
        <v>2.93</v>
      </c>
      <c r="AA2846">
        <v>4.07</v>
      </c>
      <c r="AB2846">
        <v>31851</v>
      </c>
      <c r="AC2846">
        <v>23876</v>
      </c>
      <c r="AD2846">
        <v>1.33</v>
      </c>
      <c r="AE2846">
        <v>2018</v>
      </c>
      <c r="AF2846">
        <v>102</v>
      </c>
      <c r="AG2846" t="s">
        <v>120</v>
      </c>
      <c r="AH2846">
        <v>0</v>
      </c>
      <c r="AI2846" t="s">
        <v>120</v>
      </c>
      <c r="AJ2846">
        <v>12.53</v>
      </c>
      <c r="AK2846" t="s">
        <v>12418</v>
      </c>
      <c r="AL2846">
        <v>-0.12</v>
      </c>
      <c r="AM2846">
        <v>1107</v>
      </c>
      <c r="AN2846">
        <v>50</v>
      </c>
      <c r="AO2846">
        <v>4.0000000000000002E-4</v>
      </c>
      <c r="AP2846">
        <v>-3</v>
      </c>
      <c r="AQ2846">
        <v>-0.73</v>
      </c>
      <c r="AR2846">
        <v>-4.7300000000000004</v>
      </c>
      <c r="AS2846">
        <v>8.92</v>
      </c>
      <c r="AT2846">
        <v>-0.98</v>
      </c>
      <c r="AU2846">
        <v>-11.03</v>
      </c>
      <c r="AV2846">
        <v>0</v>
      </c>
      <c r="AW2846">
        <v>1.07</v>
      </c>
      <c r="AX2846">
        <v>41.56</v>
      </c>
      <c r="AY2846">
        <v>5.78</v>
      </c>
      <c r="AZ2846">
        <v>6.2</v>
      </c>
      <c r="BA2846">
        <v>0.52</v>
      </c>
      <c r="BB2846" t="s">
        <v>143</v>
      </c>
      <c r="BF2846">
        <v>-0.4</v>
      </c>
      <c r="BG2846">
        <v>-1.71</v>
      </c>
      <c r="BH2846">
        <v>-2.66</v>
      </c>
      <c r="BI2846">
        <v>0.25</v>
      </c>
      <c r="BJ2846">
        <v>20210903</v>
      </c>
      <c r="BK2846">
        <v>19920113</v>
      </c>
      <c r="BL2846">
        <v>12.57</v>
      </c>
      <c r="BM2846" t="s">
        <v>120</v>
      </c>
      <c r="BN2846" t="s">
        <v>120</v>
      </c>
      <c r="BO2846">
        <v>160.18</v>
      </c>
      <c r="BP2846">
        <v>4.0199999999999996</v>
      </c>
      <c r="BQ2846">
        <v>67.55</v>
      </c>
      <c r="BR2846">
        <v>3.46</v>
      </c>
      <c r="BS2846">
        <v>55.67</v>
      </c>
      <c r="BT2846">
        <v>94.99</v>
      </c>
      <c r="BU2846">
        <v>2.5099999999999998</v>
      </c>
      <c r="BV2846">
        <v>0.46</v>
      </c>
      <c r="BW2846">
        <v>75.63</v>
      </c>
      <c r="BX2846">
        <v>16.5</v>
      </c>
      <c r="BY2846">
        <v>67.19</v>
      </c>
      <c r="BZ2846">
        <v>5.6</v>
      </c>
      <c r="CA2846">
        <v>0.28000000000000003</v>
      </c>
      <c r="CB2846">
        <v>7.61</v>
      </c>
      <c r="CC2846">
        <v>15.84</v>
      </c>
      <c r="CD2846">
        <v>8.59</v>
      </c>
      <c r="CE2846">
        <v>4.33</v>
      </c>
      <c r="CF2846">
        <v>0.09</v>
      </c>
      <c r="CG2846">
        <v>4.34</v>
      </c>
      <c r="CH2846">
        <v>3.41</v>
      </c>
      <c r="CI2846">
        <v>3.37</v>
      </c>
      <c r="CJ2846">
        <v>-0.06</v>
      </c>
      <c r="CK2846">
        <v>3.27</v>
      </c>
      <c r="CL2846">
        <v>42.21</v>
      </c>
      <c r="CM2846">
        <v>7.3</v>
      </c>
      <c r="CN2846">
        <v>-9.85</v>
      </c>
      <c r="CO2846">
        <v>29616</v>
      </c>
      <c r="CP2846">
        <v>17642</v>
      </c>
      <c r="CQ2846" t="s">
        <v>12666</v>
      </c>
      <c r="CR2846">
        <v>22.18</v>
      </c>
      <c r="CS2846">
        <v>24.25</v>
      </c>
      <c r="CT2846">
        <v>0.75</v>
      </c>
      <c r="CU2846">
        <v>6.94</v>
      </c>
      <c r="CV2846">
        <v>3.2</v>
      </c>
      <c r="CW2846">
        <v>6.98</v>
      </c>
      <c r="CX2846" t="s">
        <v>1054</v>
      </c>
      <c r="CY2846">
        <v>5.37</v>
      </c>
      <c r="CZ2846">
        <v>0</v>
      </c>
      <c r="DA2846">
        <v>0.61</v>
      </c>
      <c r="DB2846">
        <v>3.36</v>
      </c>
      <c r="DC2846">
        <v>0.57999999999999996</v>
      </c>
      <c r="DD2846">
        <v>42.17</v>
      </c>
      <c r="DE2846" t="s">
        <v>3959</v>
      </c>
      <c r="DF2846">
        <v>45.78</v>
      </c>
      <c r="DG2846">
        <v>27.32</v>
      </c>
      <c r="DH2846">
        <v>21.29</v>
      </c>
      <c r="DI2846" t="s">
        <v>120</v>
      </c>
      <c r="DJ2846">
        <v>737</v>
      </c>
      <c r="DK2846">
        <v>600603</v>
      </c>
      <c r="DL2846" t="s">
        <v>120</v>
      </c>
      <c r="DM2846" t="s">
        <v>120</v>
      </c>
      <c r="DN2846" t="s">
        <v>120</v>
      </c>
    </row>
    <row r="2847" spans="1:118">
      <c r="A2847" t="str">
        <f>"600604"</f>
        <v>600604</v>
      </c>
      <c r="B2847" t="s">
        <v>12667</v>
      </c>
      <c r="C2847">
        <v>-0.71</v>
      </c>
      <c r="D2847">
        <v>0.18</v>
      </c>
      <c r="E2847">
        <v>-0.36</v>
      </c>
      <c r="F2847">
        <v>612</v>
      </c>
      <c r="G2847" t="s">
        <v>12668</v>
      </c>
      <c r="H2847">
        <v>6075.08</v>
      </c>
      <c r="I2847">
        <v>3.01</v>
      </c>
      <c r="J2847" t="s">
        <v>120</v>
      </c>
      <c r="K2847" t="s">
        <v>12669</v>
      </c>
      <c r="L2847">
        <v>0.77</v>
      </c>
      <c r="M2847">
        <v>5.56</v>
      </c>
      <c r="N2847">
        <v>0.76</v>
      </c>
      <c r="O2847">
        <v>1.79</v>
      </c>
      <c r="P2847">
        <v>5.7</v>
      </c>
      <c r="Q2847">
        <v>-0.89</v>
      </c>
      <c r="R2847">
        <v>5.55</v>
      </c>
      <c r="S2847">
        <v>5.58</v>
      </c>
      <c r="T2847">
        <v>108244</v>
      </c>
      <c r="U2847">
        <v>5.56</v>
      </c>
      <c r="V2847">
        <v>5.6</v>
      </c>
      <c r="W2847" t="s">
        <v>120</v>
      </c>
      <c r="X2847" t="s">
        <v>1384</v>
      </c>
      <c r="Y2847" t="s">
        <v>1510</v>
      </c>
      <c r="Z2847">
        <v>2.68</v>
      </c>
      <c r="AA2847">
        <v>5.61</v>
      </c>
      <c r="AB2847">
        <v>57649</v>
      </c>
      <c r="AC2847">
        <v>50595</v>
      </c>
      <c r="AD2847">
        <v>1.1399999999999999</v>
      </c>
      <c r="AE2847">
        <v>1837</v>
      </c>
      <c r="AF2847">
        <v>4579</v>
      </c>
      <c r="AG2847" t="s">
        <v>120</v>
      </c>
      <c r="AH2847">
        <v>0</v>
      </c>
      <c r="AI2847" t="s">
        <v>120</v>
      </c>
      <c r="AJ2847">
        <v>14.07</v>
      </c>
      <c r="AK2847" t="s">
        <v>12670</v>
      </c>
      <c r="AL2847">
        <v>0.63</v>
      </c>
      <c r="AM2847">
        <v>1897</v>
      </c>
      <c r="AN2847">
        <v>57</v>
      </c>
      <c r="AO2847">
        <v>4.0000000000000002E-4</v>
      </c>
      <c r="AP2847">
        <v>-1</v>
      </c>
      <c r="AQ2847">
        <v>0.9</v>
      </c>
      <c r="AR2847">
        <v>-2.11</v>
      </c>
      <c r="AS2847">
        <v>5.3</v>
      </c>
      <c r="AT2847">
        <v>-8.4</v>
      </c>
      <c r="AU2847">
        <v>-15.61</v>
      </c>
      <c r="AV2847">
        <v>2</v>
      </c>
      <c r="AW2847">
        <v>1.92</v>
      </c>
      <c r="AX2847">
        <v>30.05</v>
      </c>
      <c r="AY2847">
        <v>3196.46</v>
      </c>
      <c r="AZ2847">
        <v>59.66</v>
      </c>
      <c r="BA2847">
        <v>0.59</v>
      </c>
      <c r="BB2847" t="s">
        <v>143</v>
      </c>
      <c r="BF2847">
        <v>0.22</v>
      </c>
      <c r="BG2847">
        <v>-0.36</v>
      </c>
      <c r="BH2847">
        <v>-2.46</v>
      </c>
      <c r="BI2847">
        <v>0.18</v>
      </c>
      <c r="BJ2847">
        <v>20210830</v>
      </c>
      <c r="BK2847">
        <v>19920327</v>
      </c>
      <c r="BL2847">
        <v>18.73</v>
      </c>
      <c r="BM2847">
        <v>4.66</v>
      </c>
      <c r="BN2847" t="s">
        <v>120</v>
      </c>
      <c r="BO2847">
        <v>196.9</v>
      </c>
      <c r="BP2847">
        <v>5.55</v>
      </c>
      <c r="BQ2847">
        <v>63.39</v>
      </c>
      <c r="BR2847">
        <v>19.059999999999999</v>
      </c>
      <c r="BS2847">
        <v>58.13</v>
      </c>
      <c r="BT2847">
        <v>92.19</v>
      </c>
      <c r="BU2847">
        <v>0.18</v>
      </c>
      <c r="BV2847">
        <v>0.01</v>
      </c>
      <c r="BW2847">
        <v>90.66</v>
      </c>
      <c r="BX2847">
        <v>9.02</v>
      </c>
      <c r="BY2847">
        <v>77.95</v>
      </c>
      <c r="BZ2847">
        <v>1.34</v>
      </c>
      <c r="CA2847">
        <v>0.98</v>
      </c>
      <c r="CB2847">
        <v>31.22</v>
      </c>
      <c r="CC2847">
        <v>2.79</v>
      </c>
      <c r="CD2847">
        <v>1.38</v>
      </c>
      <c r="CE2847">
        <v>-0.75</v>
      </c>
      <c r="CF2847">
        <v>0.12</v>
      </c>
      <c r="CG2847">
        <v>-0.72</v>
      </c>
      <c r="CH2847">
        <v>-0.75</v>
      </c>
      <c r="CI2847">
        <v>-0.77</v>
      </c>
      <c r="CJ2847">
        <v>-0.04</v>
      </c>
      <c r="CK2847">
        <v>-0.68</v>
      </c>
      <c r="CL2847">
        <v>12.58</v>
      </c>
      <c r="CM2847">
        <v>-3.79</v>
      </c>
      <c r="CN2847">
        <v>1.29</v>
      </c>
      <c r="CO2847">
        <v>115479</v>
      </c>
      <c r="CP2847">
        <v>8909</v>
      </c>
      <c r="CQ2847" t="s">
        <v>564</v>
      </c>
      <c r="CR2847">
        <v>-180.62</v>
      </c>
      <c r="CS2847">
        <v>-66.34</v>
      </c>
      <c r="CT2847">
        <v>1.64</v>
      </c>
      <c r="CU2847">
        <v>-27.51</v>
      </c>
      <c r="CV2847">
        <v>37.32</v>
      </c>
      <c r="CW2847">
        <v>0.21</v>
      </c>
      <c r="CX2847" t="s">
        <v>2156</v>
      </c>
      <c r="CY2847">
        <v>3.38</v>
      </c>
      <c r="CZ2847">
        <v>0</v>
      </c>
      <c r="DA2847">
        <v>1.67</v>
      </c>
      <c r="DB2847">
        <v>0.67</v>
      </c>
      <c r="DC2847">
        <v>-0.2</v>
      </c>
      <c r="DD2847">
        <v>32.19</v>
      </c>
      <c r="DE2847" t="s">
        <v>12671</v>
      </c>
      <c r="DF2847">
        <v>50.39</v>
      </c>
      <c r="DG2847">
        <v>-26.91</v>
      </c>
      <c r="DH2847">
        <v>-27.59</v>
      </c>
      <c r="DI2847" t="s">
        <v>120</v>
      </c>
      <c r="DJ2847">
        <v>197</v>
      </c>
      <c r="DK2847">
        <v>600604</v>
      </c>
      <c r="DL2847" t="s">
        <v>120</v>
      </c>
      <c r="DM2847" t="s">
        <v>120</v>
      </c>
      <c r="DN2847" t="s">
        <v>120</v>
      </c>
    </row>
    <row r="2848" spans="1:118">
      <c r="A2848" t="str">
        <f>"600605"</f>
        <v>600605</v>
      </c>
      <c r="B2848" t="s">
        <v>12672</v>
      </c>
      <c r="C2848">
        <v>-0.36</v>
      </c>
      <c r="D2848">
        <v>0.24</v>
      </c>
      <c r="E2848">
        <v>0</v>
      </c>
      <c r="F2848">
        <v>57</v>
      </c>
      <c r="G2848" t="s">
        <v>12673</v>
      </c>
      <c r="H2848">
        <v>755.09</v>
      </c>
      <c r="I2848">
        <v>0</v>
      </c>
      <c r="J2848" t="s">
        <v>120</v>
      </c>
      <c r="K2848" t="s">
        <v>8750</v>
      </c>
      <c r="L2848">
        <v>0.44</v>
      </c>
      <c r="M2848">
        <v>8.33</v>
      </c>
      <c r="N2848">
        <v>1.1000000000000001</v>
      </c>
      <c r="O2848">
        <v>1.44</v>
      </c>
      <c r="P2848">
        <v>8.48</v>
      </c>
      <c r="Q2848">
        <v>-0.6</v>
      </c>
      <c r="R2848">
        <v>8.31</v>
      </c>
      <c r="S2848">
        <v>8.36</v>
      </c>
      <c r="T2848">
        <v>8991</v>
      </c>
      <c r="U2848">
        <v>8.33</v>
      </c>
      <c r="V2848">
        <v>8.36</v>
      </c>
      <c r="W2848">
        <v>31.55</v>
      </c>
      <c r="X2848" t="s">
        <v>416</v>
      </c>
      <c r="Y2848" t="s">
        <v>1510</v>
      </c>
      <c r="Z2848">
        <v>2.0299999999999998</v>
      </c>
      <c r="AA2848">
        <v>8.4</v>
      </c>
      <c r="AB2848">
        <v>4924</v>
      </c>
      <c r="AC2848">
        <v>4067</v>
      </c>
      <c r="AD2848">
        <v>1.21</v>
      </c>
      <c r="AE2848">
        <v>29</v>
      </c>
      <c r="AF2848">
        <v>107</v>
      </c>
      <c r="AG2848" t="s">
        <v>120</v>
      </c>
      <c r="AH2848">
        <v>0</v>
      </c>
      <c r="AI2848" t="s">
        <v>120</v>
      </c>
      <c r="AJ2848">
        <v>2.06</v>
      </c>
      <c r="AK2848" t="s">
        <v>8750</v>
      </c>
      <c r="AL2848">
        <v>0.98</v>
      </c>
      <c r="AM2848">
        <v>708</v>
      </c>
      <c r="AN2848">
        <v>13</v>
      </c>
      <c r="AO2848">
        <v>5.9999999999999995E-4</v>
      </c>
      <c r="AP2848">
        <v>-3</v>
      </c>
      <c r="AQ2848">
        <v>-0.12</v>
      </c>
      <c r="AR2848">
        <v>-1.77</v>
      </c>
      <c r="AS2848">
        <v>4.51</v>
      </c>
      <c r="AT2848">
        <v>-1.31</v>
      </c>
      <c r="AU2848">
        <v>-2.06</v>
      </c>
      <c r="AV2848">
        <v>0</v>
      </c>
      <c r="AW2848">
        <v>1.1299999999999999</v>
      </c>
      <c r="AX2848">
        <v>38.47</v>
      </c>
      <c r="AY2848">
        <v>36.11</v>
      </c>
      <c r="AZ2848">
        <v>34.68</v>
      </c>
      <c r="BA2848">
        <v>0.71</v>
      </c>
      <c r="BB2848" t="s">
        <v>143</v>
      </c>
      <c r="BF2848">
        <v>0.45</v>
      </c>
      <c r="BG2848">
        <v>-0.36</v>
      </c>
      <c r="BH2848">
        <v>-1.77</v>
      </c>
      <c r="BI2848">
        <v>0.24</v>
      </c>
      <c r="BJ2848">
        <v>20210830</v>
      </c>
      <c r="BK2848">
        <v>19920327</v>
      </c>
      <c r="BL2848">
        <v>2.06</v>
      </c>
      <c r="BM2848" t="s">
        <v>120</v>
      </c>
      <c r="BN2848" t="s">
        <v>120</v>
      </c>
      <c r="BO2848">
        <v>16.260000000000002</v>
      </c>
      <c r="BP2848">
        <v>8.32</v>
      </c>
      <c r="BQ2848">
        <v>8.15</v>
      </c>
      <c r="BR2848">
        <v>0.14000000000000001</v>
      </c>
      <c r="BS2848">
        <v>49.05</v>
      </c>
      <c r="BT2848">
        <v>14.98</v>
      </c>
      <c r="BU2848">
        <v>0.03</v>
      </c>
      <c r="BV2848">
        <v>0</v>
      </c>
      <c r="BW2848">
        <v>3.44</v>
      </c>
      <c r="BX2848">
        <v>0.66</v>
      </c>
      <c r="BY2848">
        <v>14.04</v>
      </c>
      <c r="BZ2848">
        <v>0.14000000000000001</v>
      </c>
      <c r="CA2848">
        <v>7.0000000000000007E-2</v>
      </c>
      <c r="CB2848">
        <v>2.56</v>
      </c>
      <c r="CC2848">
        <v>0.6</v>
      </c>
      <c r="CD2848">
        <v>0.18</v>
      </c>
      <c r="CE2848">
        <v>0.12</v>
      </c>
      <c r="CF2848">
        <v>0</v>
      </c>
      <c r="CG2848">
        <v>0.32</v>
      </c>
      <c r="CH2848">
        <v>0.26</v>
      </c>
      <c r="CI2848">
        <v>0.27</v>
      </c>
      <c r="CJ2848">
        <v>-0.03</v>
      </c>
      <c r="CK2848">
        <v>0.12</v>
      </c>
      <c r="CL2848">
        <v>2.62</v>
      </c>
      <c r="CM2848">
        <v>-6.96</v>
      </c>
      <c r="CN2848">
        <v>0.32</v>
      </c>
      <c r="CO2848">
        <v>8333</v>
      </c>
      <c r="CP2848">
        <v>9523</v>
      </c>
      <c r="CQ2848" t="s">
        <v>3259</v>
      </c>
      <c r="CR2848">
        <v>-6.71</v>
      </c>
      <c r="CS2848">
        <v>42.77</v>
      </c>
      <c r="CT2848">
        <v>2.11</v>
      </c>
      <c r="CU2848">
        <v>-2.4700000000000002</v>
      </c>
      <c r="CV2848">
        <v>28.6</v>
      </c>
      <c r="CW2848">
        <v>0.87</v>
      </c>
      <c r="CX2848" t="s">
        <v>1663</v>
      </c>
      <c r="CY2848">
        <v>3.95</v>
      </c>
      <c r="CZ2848">
        <v>0</v>
      </c>
      <c r="DA2848">
        <v>1.24</v>
      </c>
      <c r="DB2848">
        <v>1.27</v>
      </c>
      <c r="DC2848">
        <v>-3.37</v>
      </c>
      <c r="DD2848">
        <v>50.09</v>
      </c>
      <c r="DE2848" t="s">
        <v>6440</v>
      </c>
      <c r="DF2848">
        <v>69.5</v>
      </c>
      <c r="DG2848">
        <v>19.899999999999999</v>
      </c>
      <c r="DH2848">
        <v>45.32</v>
      </c>
      <c r="DI2848" t="s">
        <v>120</v>
      </c>
      <c r="DJ2848">
        <v>142</v>
      </c>
      <c r="DK2848">
        <v>600605</v>
      </c>
      <c r="DL2848" t="s">
        <v>120</v>
      </c>
      <c r="DM2848" t="s">
        <v>120</v>
      </c>
      <c r="DN2848" t="s">
        <v>120</v>
      </c>
    </row>
    <row r="2849" spans="1:118">
      <c r="A2849" t="str">
        <f>"600606"</f>
        <v>600606</v>
      </c>
      <c r="B2849" t="s">
        <v>12674</v>
      </c>
      <c r="C2849">
        <v>-1.72</v>
      </c>
      <c r="D2849">
        <v>0.22</v>
      </c>
      <c r="E2849">
        <v>-0.22</v>
      </c>
      <c r="F2849">
        <v>9851</v>
      </c>
      <c r="G2849" t="s">
        <v>12675</v>
      </c>
      <c r="H2849">
        <v>17016.86</v>
      </c>
      <c r="I2849">
        <v>146.18</v>
      </c>
      <c r="J2849" t="s">
        <v>120</v>
      </c>
      <c r="K2849" t="s">
        <v>12676</v>
      </c>
      <c r="L2849">
        <v>0.28999999999999998</v>
      </c>
      <c r="M2849">
        <v>4.5599999999999996</v>
      </c>
      <c r="N2849">
        <v>0.83</v>
      </c>
      <c r="O2849">
        <v>1.51</v>
      </c>
      <c r="P2849">
        <v>4.71</v>
      </c>
      <c r="Q2849">
        <v>-2.37</v>
      </c>
      <c r="R2849">
        <v>4.53</v>
      </c>
      <c r="S2849">
        <v>4.63</v>
      </c>
      <c r="T2849">
        <v>368691</v>
      </c>
      <c r="U2849">
        <v>4.57</v>
      </c>
      <c r="V2849">
        <v>4.6399999999999997</v>
      </c>
      <c r="W2849">
        <v>3.54</v>
      </c>
      <c r="X2849" t="s">
        <v>132</v>
      </c>
      <c r="Y2849" t="s">
        <v>1510</v>
      </c>
      <c r="Z2849">
        <v>3.88</v>
      </c>
      <c r="AA2849">
        <v>4.62</v>
      </c>
      <c r="AB2849">
        <v>202599</v>
      </c>
      <c r="AC2849">
        <v>166092</v>
      </c>
      <c r="AD2849">
        <v>1.22</v>
      </c>
      <c r="AE2849">
        <v>609</v>
      </c>
      <c r="AF2849">
        <v>5065</v>
      </c>
      <c r="AG2849" t="s">
        <v>120</v>
      </c>
      <c r="AH2849">
        <v>0.01</v>
      </c>
      <c r="AI2849" t="s">
        <v>120</v>
      </c>
      <c r="AJ2849">
        <v>127.77</v>
      </c>
      <c r="AK2849" t="s">
        <v>12676</v>
      </c>
      <c r="AL2849">
        <v>-0.38</v>
      </c>
      <c r="AM2849">
        <v>3572</v>
      </c>
      <c r="AN2849">
        <v>103</v>
      </c>
      <c r="AO2849">
        <v>1E-4</v>
      </c>
      <c r="AP2849">
        <v>-1</v>
      </c>
      <c r="AQ2849">
        <v>0.22</v>
      </c>
      <c r="AR2849">
        <v>-5.19</v>
      </c>
      <c r="AS2849">
        <v>2.93</v>
      </c>
      <c r="AT2849">
        <v>-8.1</v>
      </c>
      <c r="AU2849">
        <v>-14.2</v>
      </c>
      <c r="AV2849">
        <v>0</v>
      </c>
      <c r="AW2849">
        <v>1.18</v>
      </c>
      <c r="AX2849">
        <v>24.5</v>
      </c>
      <c r="AY2849">
        <v>3.9</v>
      </c>
      <c r="AZ2849">
        <v>3.95</v>
      </c>
      <c r="BA2849">
        <v>0.87</v>
      </c>
      <c r="BB2849" t="s">
        <v>143</v>
      </c>
      <c r="BF2849">
        <v>-0.53</v>
      </c>
      <c r="BG2849">
        <v>-1.51</v>
      </c>
      <c r="BH2849">
        <v>-3.18</v>
      </c>
      <c r="BI2849">
        <v>0.66</v>
      </c>
      <c r="BJ2849">
        <v>20210824</v>
      </c>
      <c r="BK2849">
        <v>19920327</v>
      </c>
      <c r="BL2849">
        <v>127.77</v>
      </c>
      <c r="BM2849" t="s">
        <v>120</v>
      </c>
      <c r="BN2849" t="s">
        <v>120</v>
      </c>
      <c r="BO2849">
        <v>13996.83</v>
      </c>
      <c r="BP2849">
        <v>4.5599999999999996</v>
      </c>
      <c r="BQ2849">
        <v>904.4</v>
      </c>
      <c r="BR2849">
        <v>753.8</v>
      </c>
      <c r="BS2849">
        <v>88.15</v>
      </c>
      <c r="BT2849">
        <v>12246.33</v>
      </c>
      <c r="BU2849">
        <v>541.61</v>
      </c>
      <c r="BV2849">
        <v>52.89</v>
      </c>
      <c r="BW2849">
        <v>10048.16</v>
      </c>
      <c r="BX2849">
        <v>882.63</v>
      </c>
      <c r="BY2849">
        <v>6826.81</v>
      </c>
      <c r="BZ2849">
        <v>1055.01</v>
      </c>
      <c r="CA2849">
        <v>2.0099999999999998</v>
      </c>
      <c r="CB2849">
        <v>98.29</v>
      </c>
      <c r="CC2849">
        <v>2826.96</v>
      </c>
      <c r="CD2849">
        <v>2491.71</v>
      </c>
      <c r="CE2849">
        <v>162.51</v>
      </c>
      <c r="CF2849">
        <v>11.51</v>
      </c>
      <c r="CG2849">
        <v>157.9</v>
      </c>
      <c r="CH2849">
        <v>109.91</v>
      </c>
      <c r="CI2849">
        <v>82.33</v>
      </c>
      <c r="CJ2849">
        <v>-0.08</v>
      </c>
      <c r="CK2849">
        <v>77.87</v>
      </c>
      <c r="CL2849">
        <v>639.71</v>
      </c>
      <c r="CM2849">
        <v>285.98</v>
      </c>
      <c r="CN2849">
        <v>-171.45</v>
      </c>
      <c r="CO2849">
        <v>128610</v>
      </c>
      <c r="CP2849">
        <v>24334</v>
      </c>
      <c r="CQ2849" t="s">
        <v>12677</v>
      </c>
      <c r="CR2849">
        <v>2.67</v>
      </c>
      <c r="CS2849">
        <v>34.72</v>
      </c>
      <c r="CT2849">
        <v>0.64</v>
      </c>
      <c r="CU2849">
        <v>2.04</v>
      </c>
      <c r="CV2849">
        <v>0.21</v>
      </c>
      <c r="CW2849">
        <v>5.13</v>
      </c>
      <c r="CX2849" t="s">
        <v>12678</v>
      </c>
      <c r="CY2849">
        <v>7.08</v>
      </c>
      <c r="CZ2849">
        <v>0</v>
      </c>
      <c r="DA2849">
        <v>0.77</v>
      </c>
      <c r="DB2849">
        <v>5.01</v>
      </c>
      <c r="DC2849">
        <v>2.2400000000000002</v>
      </c>
      <c r="DD2849">
        <v>6.46</v>
      </c>
      <c r="DE2849" t="s">
        <v>5497</v>
      </c>
      <c r="DF2849">
        <v>11.86</v>
      </c>
      <c r="DG2849">
        <v>5.75</v>
      </c>
      <c r="DH2849">
        <v>2.91</v>
      </c>
      <c r="DI2849">
        <v>8.1199999999999992</v>
      </c>
      <c r="DJ2849">
        <v>86251</v>
      </c>
      <c r="DK2849">
        <v>600606</v>
      </c>
      <c r="DL2849" t="s">
        <v>120</v>
      </c>
      <c r="DM2849" t="s">
        <v>120</v>
      </c>
      <c r="DN2849" t="s">
        <v>120</v>
      </c>
    </row>
    <row r="2850" spans="1:118">
      <c r="A2850" t="str">
        <f>"600609"</f>
        <v>600609</v>
      </c>
      <c r="B2850" t="s">
        <v>12679</v>
      </c>
      <c r="C2850">
        <v>-1.45</v>
      </c>
      <c r="D2850">
        <v>-0.48</v>
      </c>
      <c r="E2850">
        <v>0</v>
      </c>
      <c r="F2850">
        <v>8308</v>
      </c>
      <c r="G2850" t="s">
        <v>10199</v>
      </c>
      <c r="H2850">
        <v>13933.83</v>
      </c>
      <c r="I2850">
        <v>54.62</v>
      </c>
      <c r="J2850" t="s">
        <v>120</v>
      </c>
      <c r="K2850" t="s">
        <v>12680</v>
      </c>
      <c r="L2850">
        <v>2.02</v>
      </c>
      <c r="M2850">
        <v>6.11</v>
      </c>
      <c r="N2850">
        <v>1.03</v>
      </c>
      <c r="O2850">
        <v>4.68</v>
      </c>
      <c r="P2850">
        <v>6.49</v>
      </c>
      <c r="Q2850">
        <v>-1.45</v>
      </c>
      <c r="R2850">
        <v>6.11</v>
      </c>
      <c r="S2850">
        <v>6.2</v>
      </c>
      <c r="T2850">
        <v>220876</v>
      </c>
      <c r="U2850">
        <v>6.11</v>
      </c>
      <c r="V2850">
        <v>6.2</v>
      </c>
      <c r="W2850">
        <v>25.28</v>
      </c>
      <c r="X2850" t="s">
        <v>289</v>
      </c>
      <c r="Y2850" t="s">
        <v>432</v>
      </c>
      <c r="Z2850">
        <v>6.13</v>
      </c>
      <c r="AA2850">
        <v>6.31</v>
      </c>
      <c r="AB2850">
        <v>111659</v>
      </c>
      <c r="AC2850">
        <v>109217</v>
      </c>
      <c r="AD2850">
        <v>1.02</v>
      </c>
      <c r="AE2850">
        <v>365</v>
      </c>
      <c r="AF2850">
        <v>12903</v>
      </c>
      <c r="AG2850" t="s">
        <v>120</v>
      </c>
      <c r="AH2850">
        <v>0.01</v>
      </c>
      <c r="AI2850" t="s">
        <v>120</v>
      </c>
      <c r="AJ2850">
        <v>10.93</v>
      </c>
      <c r="AK2850" t="s">
        <v>12681</v>
      </c>
      <c r="AL2850">
        <v>-0.11</v>
      </c>
      <c r="AM2850">
        <v>2977</v>
      </c>
      <c r="AN2850">
        <v>74</v>
      </c>
      <c r="AO2850">
        <v>6.9999999999999999E-4</v>
      </c>
      <c r="AP2850">
        <v>-1</v>
      </c>
      <c r="AQ2850">
        <v>0.81</v>
      </c>
      <c r="AR2850">
        <v>-3.02</v>
      </c>
      <c r="AS2850">
        <v>22.45</v>
      </c>
      <c r="AT2850">
        <v>14.21</v>
      </c>
      <c r="AU2850">
        <v>6.63</v>
      </c>
      <c r="AV2850">
        <v>3</v>
      </c>
      <c r="AW2850">
        <v>2.6</v>
      </c>
      <c r="AX2850">
        <v>64.8</v>
      </c>
      <c r="AY2850" t="s">
        <v>120</v>
      </c>
      <c r="AZ2850" t="s">
        <v>120</v>
      </c>
      <c r="BA2850">
        <v>0.55000000000000004</v>
      </c>
      <c r="BB2850" t="s">
        <v>143</v>
      </c>
      <c r="BF2850">
        <v>1.75</v>
      </c>
      <c r="BG2850">
        <v>-1.45</v>
      </c>
      <c r="BH2850">
        <v>-5.86</v>
      </c>
      <c r="BI2850">
        <v>0</v>
      </c>
      <c r="BJ2850">
        <v>20210831</v>
      </c>
      <c r="BK2850">
        <v>19920724</v>
      </c>
      <c r="BL2850">
        <v>13.11</v>
      </c>
      <c r="BM2850" t="s">
        <v>120</v>
      </c>
      <c r="BN2850" t="s">
        <v>120</v>
      </c>
      <c r="BO2850">
        <v>41.53</v>
      </c>
      <c r="BP2850">
        <v>6.1</v>
      </c>
      <c r="BQ2850">
        <v>5.54</v>
      </c>
      <c r="BR2850">
        <v>1.08</v>
      </c>
      <c r="BS2850">
        <v>84.05</v>
      </c>
      <c r="BT2850">
        <v>28.99</v>
      </c>
      <c r="BU2850">
        <v>5.42</v>
      </c>
      <c r="BV2850">
        <v>1.29</v>
      </c>
      <c r="BW2850">
        <v>28.48</v>
      </c>
      <c r="BX2850">
        <v>14.89</v>
      </c>
      <c r="BY2850">
        <v>2.92</v>
      </c>
      <c r="BZ2850">
        <v>9.5</v>
      </c>
      <c r="CA2850" t="s">
        <v>120</v>
      </c>
      <c r="CB2850">
        <v>14.3</v>
      </c>
      <c r="CC2850">
        <v>26.41</v>
      </c>
      <c r="CD2850">
        <v>21.51</v>
      </c>
      <c r="CE2850">
        <v>3.4</v>
      </c>
      <c r="CF2850">
        <v>0.23</v>
      </c>
      <c r="CG2850">
        <v>3.14</v>
      </c>
      <c r="CH2850">
        <v>2.64</v>
      </c>
      <c r="CI2850">
        <v>1.58</v>
      </c>
      <c r="CJ2850">
        <v>-0.09</v>
      </c>
      <c r="CK2850">
        <v>1.78</v>
      </c>
      <c r="CL2850">
        <v>-25.87</v>
      </c>
      <c r="CM2850">
        <v>0.72</v>
      </c>
      <c r="CN2850">
        <v>-3.22</v>
      </c>
      <c r="CO2850">
        <v>48637</v>
      </c>
      <c r="CP2850">
        <v>17470</v>
      </c>
      <c r="CQ2850" t="s">
        <v>7792</v>
      </c>
      <c r="CR2850">
        <v>405.05</v>
      </c>
      <c r="CS2850">
        <v>6.36</v>
      </c>
      <c r="CT2850">
        <v>14.46</v>
      </c>
      <c r="CU2850">
        <v>111.92</v>
      </c>
      <c r="CV2850">
        <v>3.03</v>
      </c>
      <c r="CW2850">
        <v>0</v>
      </c>
      <c r="CX2850" t="s">
        <v>850</v>
      </c>
      <c r="CY2850">
        <v>0.42</v>
      </c>
      <c r="CZ2850">
        <v>0</v>
      </c>
      <c r="DA2850">
        <v>1.0900000000000001</v>
      </c>
      <c r="DB2850">
        <v>-1.97</v>
      </c>
      <c r="DC2850">
        <v>0.05</v>
      </c>
      <c r="DD2850">
        <v>13.34</v>
      </c>
      <c r="DE2850" t="s">
        <v>12682</v>
      </c>
      <c r="DF2850">
        <v>18.559999999999999</v>
      </c>
      <c r="DG2850">
        <v>12.89</v>
      </c>
      <c r="DH2850">
        <v>6</v>
      </c>
      <c r="DI2850">
        <v>0.34</v>
      </c>
      <c r="DJ2850">
        <v>2783</v>
      </c>
      <c r="DK2850">
        <v>600609</v>
      </c>
      <c r="DL2850" t="s">
        <v>120</v>
      </c>
      <c r="DM2850" t="s">
        <v>120</v>
      </c>
      <c r="DN2850" t="s">
        <v>120</v>
      </c>
    </row>
    <row r="2851" spans="1:118">
      <c r="A2851" t="str">
        <f>"600610"</f>
        <v>600610</v>
      </c>
      <c r="B2851" t="s">
        <v>12683</v>
      </c>
      <c r="C2851">
        <v>-5.25</v>
      </c>
      <c r="D2851">
        <v>-0.18</v>
      </c>
      <c r="E2851">
        <v>1.44</v>
      </c>
      <c r="F2851">
        <v>1912</v>
      </c>
      <c r="G2851" t="s">
        <v>12684</v>
      </c>
      <c r="H2851">
        <v>39724.21</v>
      </c>
      <c r="I2851">
        <v>961.63</v>
      </c>
      <c r="J2851" t="s">
        <v>120</v>
      </c>
      <c r="K2851" t="s">
        <v>12685</v>
      </c>
      <c r="L2851">
        <v>4.09</v>
      </c>
      <c r="M2851">
        <v>21.11</v>
      </c>
      <c r="N2851">
        <v>1</v>
      </c>
      <c r="O2851">
        <v>2.33</v>
      </c>
      <c r="P2851">
        <v>22.8</v>
      </c>
      <c r="Q2851">
        <v>-6.42</v>
      </c>
      <c r="R2851">
        <v>20.85</v>
      </c>
      <c r="S2851">
        <v>22.6</v>
      </c>
      <c r="T2851">
        <v>183295</v>
      </c>
      <c r="U2851">
        <v>21.11</v>
      </c>
      <c r="V2851">
        <v>22.28</v>
      </c>
      <c r="W2851">
        <v>918.68</v>
      </c>
      <c r="X2851" t="s">
        <v>868</v>
      </c>
      <c r="Y2851" t="s">
        <v>1510</v>
      </c>
      <c r="Z2851">
        <v>8.75</v>
      </c>
      <c r="AA2851">
        <v>21.67</v>
      </c>
      <c r="AB2851">
        <v>115072</v>
      </c>
      <c r="AC2851">
        <v>68223</v>
      </c>
      <c r="AD2851">
        <v>1.69</v>
      </c>
      <c r="AE2851">
        <v>198</v>
      </c>
      <c r="AF2851">
        <v>221</v>
      </c>
      <c r="AG2851" t="s">
        <v>120</v>
      </c>
      <c r="AH2851">
        <v>0.12</v>
      </c>
      <c r="AI2851" t="s">
        <v>120</v>
      </c>
      <c r="AJ2851">
        <v>4.49</v>
      </c>
      <c r="AK2851" t="s">
        <v>12686</v>
      </c>
      <c r="AL2851">
        <v>-3.91</v>
      </c>
      <c r="AM2851">
        <v>3421</v>
      </c>
      <c r="AN2851">
        <v>54</v>
      </c>
      <c r="AO2851">
        <v>1.1999999999999999E-3</v>
      </c>
      <c r="AP2851">
        <v>-1</v>
      </c>
      <c r="AQ2851">
        <v>5.34</v>
      </c>
      <c r="AR2851">
        <v>3.83</v>
      </c>
      <c r="AS2851">
        <v>24.32</v>
      </c>
      <c r="AT2851">
        <v>70.239999999999995</v>
      </c>
      <c r="AU2851">
        <v>318.02</v>
      </c>
      <c r="AV2851">
        <v>24</v>
      </c>
      <c r="AW2851">
        <v>5.29</v>
      </c>
      <c r="AX2851">
        <v>32.35</v>
      </c>
      <c r="AY2851">
        <v>492.08</v>
      </c>
      <c r="AZ2851">
        <v>523.9</v>
      </c>
      <c r="BA2851">
        <v>0.77</v>
      </c>
      <c r="BB2851" t="s">
        <v>184</v>
      </c>
      <c r="BF2851">
        <v>-2.73</v>
      </c>
      <c r="BG2851">
        <v>-6.59</v>
      </c>
      <c r="BH2851">
        <v>-7.41</v>
      </c>
      <c r="BI2851">
        <v>1.25</v>
      </c>
      <c r="BJ2851">
        <v>20210827</v>
      </c>
      <c r="BK2851">
        <v>19920805</v>
      </c>
      <c r="BL2851">
        <v>10.71</v>
      </c>
      <c r="BM2851">
        <v>3.6</v>
      </c>
      <c r="BN2851" t="s">
        <v>120</v>
      </c>
      <c r="BO2851">
        <v>13.08</v>
      </c>
      <c r="BP2851">
        <v>21.1</v>
      </c>
      <c r="BQ2851">
        <v>1.02</v>
      </c>
      <c r="BR2851" t="s">
        <v>120</v>
      </c>
      <c r="BS2851">
        <v>92.16</v>
      </c>
      <c r="BT2851">
        <v>4.1500000000000004</v>
      </c>
      <c r="BU2851">
        <v>5.23</v>
      </c>
      <c r="BV2851">
        <v>0.87</v>
      </c>
      <c r="BW2851">
        <v>4.57</v>
      </c>
      <c r="BX2851">
        <v>0.56999999999999995</v>
      </c>
      <c r="BY2851">
        <v>1.5</v>
      </c>
      <c r="BZ2851">
        <v>0.31</v>
      </c>
      <c r="CA2851" t="s">
        <v>120</v>
      </c>
      <c r="CB2851">
        <v>8.83</v>
      </c>
      <c r="CC2851">
        <v>6.77</v>
      </c>
      <c r="CD2851">
        <v>5.59</v>
      </c>
      <c r="CE2851">
        <v>0.3</v>
      </c>
      <c r="CF2851">
        <v>0</v>
      </c>
      <c r="CG2851">
        <v>0.24</v>
      </c>
      <c r="CH2851">
        <v>0.12</v>
      </c>
      <c r="CI2851">
        <v>0.12</v>
      </c>
      <c r="CJ2851">
        <v>-1.17</v>
      </c>
      <c r="CK2851">
        <v>0.17</v>
      </c>
      <c r="CL2851">
        <v>-17.21</v>
      </c>
      <c r="CM2851">
        <v>0.19</v>
      </c>
      <c r="CN2851">
        <v>-0.47</v>
      </c>
      <c r="CO2851">
        <v>51235</v>
      </c>
      <c r="CP2851">
        <v>13798</v>
      </c>
      <c r="CQ2851" t="s">
        <v>12687</v>
      </c>
      <c r="CR2851">
        <v>31.47</v>
      </c>
      <c r="CS2851">
        <v>38.5</v>
      </c>
      <c r="CT2851">
        <v>220.68</v>
      </c>
      <c r="CU2851">
        <v>1214.1199999999999</v>
      </c>
      <c r="CV2851">
        <v>33.380000000000003</v>
      </c>
      <c r="CW2851">
        <v>0</v>
      </c>
      <c r="CX2851" t="s">
        <v>730</v>
      </c>
      <c r="CY2851">
        <v>0.1</v>
      </c>
      <c r="CZ2851">
        <v>0</v>
      </c>
      <c r="DA2851">
        <v>0.82</v>
      </c>
      <c r="DB2851">
        <v>-1.61</v>
      </c>
      <c r="DC2851">
        <v>0.02</v>
      </c>
      <c r="DD2851">
        <v>7.84</v>
      </c>
      <c r="DE2851" t="s">
        <v>195</v>
      </c>
      <c r="DF2851">
        <v>17.420000000000002</v>
      </c>
      <c r="DG2851">
        <v>4.43</v>
      </c>
      <c r="DH2851">
        <v>1.82</v>
      </c>
      <c r="DI2851">
        <v>0.06</v>
      </c>
      <c r="DJ2851">
        <v>756</v>
      </c>
      <c r="DK2851">
        <v>600610</v>
      </c>
      <c r="DL2851" t="s">
        <v>120</v>
      </c>
      <c r="DM2851" t="s">
        <v>120</v>
      </c>
      <c r="DN2851" t="s">
        <v>120</v>
      </c>
    </row>
    <row r="2852" spans="1:118">
      <c r="A2852" t="str">
        <f>"600611"</f>
        <v>600611</v>
      </c>
      <c r="B2852" t="s">
        <v>12688</v>
      </c>
      <c r="C2852">
        <v>0</v>
      </c>
      <c r="D2852">
        <v>0.28000000000000003</v>
      </c>
      <c r="E2852">
        <v>-0.28000000000000003</v>
      </c>
      <c r="F2852">
        <v>4222</v>
      </c>
      <c r="G2852" t="s">
        <v>8248</v>
      </c>
      <c r="H2852">
        <v>3363.1</v>
      </c>
      <c r="I2852">
        <v>4.3099999999999996</v>
      </c>
      <c r="J2852" t="s">
        <v>120</v>
      </c>
      <c r="K2852" t="s">
        <v>12689</v>
      </c>
      <c r="L2852">
        <v>0.61</v>
      </c>
      <c r="M2852">
        <v>3.53</v>
      </c>
      <c r="N2852">
        <v>1.02</v>
      </c>
      <c r="O2852">
        <v>1.42</v>
      </c>
      <c r="P2852">
        <v>3.58</v>
      </c>
      <c r="Q2852">
        <v>-1.42</v>
      </c>
      <c r="R2852">
        <v>3.48</v>
      </c>
      <c r="S2852">
        <v>3.52</v>
      </c>
      <c r="T2852">
        <v>95307</v>
      </c>
      <c r="U2852">
        <v>3.53</v>
      </c>
      <c r="V2852">
        <v>3.53</v>
      </c>
      <c r="W2852">
        <v>17.48</v>
      </c>
      <c r="X2852" t="s">
        <v>5789</v>
      </c>
      <c r="Y2852" t="s">
        <v>1510</v>
      </c>
      <c r="Z2852">
        <v>2.83</v>
      </c>
      <c r="AA2852">
        <v>3.53</v>
      </c>
      <c r="AB2852">
        <v>44955</v>
      </c>
      <c r="AC2852">
        <v>50352</v>
      </c>
      <c r="AD2852">
        <v>0.89</v>
      </c>
      <c r="AE2852">
        <v>639</v>
      </c>
      <c r="AF2852">
        <v>412</v>
      </c>
      <c r="AG2852" t="s">
        <v>120</v>
      </c>
      <c r="AH2852">
        <v>0</v>
      </c>
      <c r="AI2852" t="s">
        <v>120</v>
      </c>
      <c r="AJ2852">
        <v>15.63</v>
      </c>
      <c r="AK2852" t="s">
        <v>12690</v>
      </c>
      <c r="AL2852">
        <v>1.34</v>
      </c>
      <c r="AM2852">
        <v>1461</v>
      </c>
      <c r="AN2852">
        <v>65</v>
      </c>
      <c r="AO2852">
        <v>4.0000000000000002E-4</v>
      </c>
      <c r="AP2852">
        <v>0</v>
      </c>
      <c r="AQ2852">
        <v>0.86</v>
      </c>
      <c r="AR2852">
        <v>-1.67</v>
      </c>
      <c r="AS2852">
        <v>6.65</v>
      </c>
      <c r="AT2852">
        <v>0.56999999999999995</v>
      </c>
      <c r="AU2852">
        <v>0</v>
      </c>
      <c r="AV2852">
        <v>0</v>
      </c>
      <c r="AW2852">
        <v>0.87</v>
      </c>
      <c r="AX2852">
        <v>46.11</v>
      </c>
      <c r="AY2852">
        <v>12.81</v>
      </c>
      <c r="AZ2852">
        <v>15.59</v>
      </c>
      <c r="BA2852">
        <v>0.56999999999999995</v>
      </c>
      <c r="BB2852" t="s">
        <v>143</v>
      </c>
      <c r="BF2852">
        <v>-0.04</v>
      </c>
      <c r="BG2852">
        <v>0.28000000000000003</v>
      </c>
      <c r="BH2852">
        <v>-1.4</v>
      </c>
      <c r="BI2852">
        <v>1.44</v>
      </c>
      <c r="BJ2852">
        <v>20210831</v>
      </c>
      <c r="BK2852">
        <v>19920807</v>
      </c>
      <c r="BL2852">
        <v>23.64</v>
      </c>
      <c r="BM2852">
        <v>8.01</v>
      </c>
      <c r="BN2852" t="s">
        <v>120</v>
      </c>
      <c r="BO2852">
        <v>185.44</v>
      </c>
      <c r="BP2852">
        <v>3.52</v>
      </c>
      <c r="BQ2852">
        <v>94.94</v>
      </c>
      <c r="BR2852">
        <v>5.28</v>
      </c>
      <c r="BS2852">
        <v>45.96</v>
      </c>
      <c r="BT2852">
        <v>104.77</v>
      </c>
      <c r="BU2852">
        <v>17.48</v>
      </c>
      <c r="BV2852">
        <v>12.09</v>
      </c>
      <c r="BW2852">
        <v>69.27</v>
      </c>
      <c r="BX2852">
        <v>24.29</v>
      </c>
      <c r="BY2852">
        <v>39.270000000000003</v>
      </c>
      <c r="BZ2852">
        <v>1.58</v>
      </c>
      <c r="CA2852">
        <v>0.08</v>
      </c>
      <c r="CB2852">
        <v>7.0000000000000007E-2</v>
      </c>
      <c r="CC2852">
        <v>10.23</v>
      </c>
      <c r="CD2852">
        <v>7.05</v>
      </c>
      <c r="CE2852">
        <v>3.46</v>
      </c>
      <c r="CF2852">
        <v>0.15</v>
      </c>
      <c r="CG2852">
        <v>3.47</v>
      </c>
      <c r="CH2852">
        <v>2.64</v>
      </c>
      <c r="CI2852">
        <v>2.39</v>
      </c>
      <c r="CJ2852">
        <v>0</v>
      </c>
      <c r="CK2852">
        <v>0.7</v>
      </c>
      <c r="CL2852">
        <v>61.08</v>
      </c>
      <c r="CM2852">
        <v>7.11</v>
      </c>
      <c r="CN2852">
        <v>5.6</v>
      </c>
      <c r="CO2852">
        <v>124491</v>
      </c>
      <c r="CP2852">
        <v>15189</v>
      </c>
      <c r="CQ2852" t="s">
        <v>2586</v>
      </c>
      <c r="CR2852">
        <v>94.45</v>
      </c>
      <c r="CS2852">
        <v>-19.53</v>
      </c>
      <c r="CT2852">
        <v>0.88</v>
      </c>
      <c r="CU2852">
        <v>11.74</v>
      </c>
      <c r="CV2852">
        <v>8.16</v>
      </c>
      <c r="CW2852">
        <v>0</v>
      </c>
      <c r="CX2852" t="s">
        <v>411</v>
      </c>
      <c r="CY2852">
        <v>4.0199999999999996</v>
      </c>
      <c r="CZ2852">
        <v>0</v>
      </c>
      <c r="DA2852">
        <v>0</v>
      </c>
      <c r="DB2852">
        <v>2.58</v>
      </c>
      <c r="DC2852">
        <v>0.3</v>
      </c>
      <c r="DD2852">
        <v>51.2</v>
      </c>
      <c r="DE2852" t="s">
        <v>5258</v>
      </c>
      <c r="DF2852">
        <v>31.13</v>
      </c>
      <c r="DG2852">
        <v>33.78</v>
      </c>
      <c r="DH2852">
        <v>23.34</v>
      </c>
      <c r="DI2852">
        <v>0.03</v>
      </c>
      <c r="DJ2852">
        <v>7494</v>
      </c>
      <c r="DK2852">
        <v>600611</v>
      </c>
      <c r="DL2852" t="s">
        <v>120</v>
      </c>
      <c r="DM2852" t="s">
        <v>120</v>
      </c>
      <c r="DN2852" t="s">
        <v>120</v>
      </c>
    </row>
    <row r="2853" spans="1:118">
      <c r="A2853" t="str">
        <f>"600612"</f>
        <v>600612</v>
      </c>
      <c r="B2853" t="s">
        <v>12691</v>
      </c>
      <c r="C2853">
        <v>0.15</v>
      </c>
      <c r="D2853">
        <v>-0.21</v>
      </c>
      <c r="E2853">
        <v>0.81</v>
      </c>
      <c r="F2853">
        <v>104</v>
      </c>
      <c r="G2853" t="s">
        <v>12692</v>
      </c>
      <c r="H2853">
        <v>4130.29</v>
      </c>
      <c r="I2853">
        <v>6.02</v>
      </c>
      <c r="J2853" t="s">
        <v>120</v>
      </c>
      <c r="K2853" t="s">
        <v>12693</v>
      </c>
      <c r="L2853">
        <v>0.28000000000000003</v>
      </c>
      <c r="M2853">
        <v>46</v>
      </c>
      <c r="N2853">
        <v>0.61</v>
      </c>
      <c r="O2853">
        <v>1.44</v>
      </c>
      <c r="P2853">
        <v>46.59</v>
      </c>
      <c r="Q2853">
        <v>0.04</v>
      </c>
      <c r="R2853">
        <v>45.95</v>
      </c>
      <c r="S2853">
        <v>46.3</v>
      </c>
      <c r="T2853">
        <v>8936</v>
      </c>
      <c r="U2853">
        <v>46.02</v>
      </c>
      <c r="V2853">
        <v>45.93</v>
      </c>
      <c r="W2853">
        <v>11.55</v>
      </c>
      <c r="X2853" t="s">
        <v>2806</v>
      </c>
      <c r="Y2853" t="s">
        <v>1510</v>
      </c>
      <c r="Z2853">
        <v>1.39</v>
      </c>
      <c r="AA2853">
        <v>46.22</v>
      </c>
      <c r="AB2853">
        <v>5268</v>
      </c>
      <c r="AC2853">
        <v>3668</v>
      </c>
      <c r="AD2853">
        <v>1.44</v>
      </c>
      <c r="AE2853">
        <v>22</v>
      </c>
      <c r="AF2853">
        <v>3</v>
      </c>
      <c r="AG2853" t="s">
        <v>120</v>
      </c>
      <c r="AH2853">
        <v>0</v>
      </c>
      <c r="AI2853" t="s">
        <v>120</v>
      </c>
      <c r="AJ2853">
        <v>3.17</v>
      </c>
      <c r="AK2853" t="s">
        <v>12694</v>
      </c>
      <c r="AL2853">
        <v>1.5</v>
      </c>
      <c r="AM2853">
        <v>1497</v>
      </c>
      <c r="AN2853">
        <v>6</v>
      </c>
      <c r="AO2853">
        <v>2.0000000000000001E-4</v>
      </c>
      <c r="AP2853">
        <v>1</v>
      </c>
      <c r="AQ2853">
        <v>-1.01</v>
      </c>
      <c r="AR2853">
        <v>-4.0599999999999996</v>
      </c>
      <c r="AS2853">
        <v>1.32</v>
      </c>
      <c r="AT2853">
        <v>-9.2899999999999991</v>
      </c>
      <c r="AU2853">
        <v>4.3600000000000003</v>
      </c>
      <c r="AV2853">
        <v>0</v>
      </c>
      <c r="AW2853">
        <v>0.92</v>
      </c>
      <c r="AX2853">
        <v>18.53</v>
      </c>
      <c r="AY2853">
        <v>12.73</v>
      </c>
      <c r="AZ2853">
        <v>15.15</v>
      </c>
      <c r="BA2853">
        <v>0.88</v>
      </c>
      <c r="BB2853" t="s">
        <v>143</v>
      </c>
      <c r="BF2853">
        <v>0.64</v>
      </c>
      <c r="BG2853">
        <v>-0.65</v>
      </c>
      <c r="BH2853">
        <v>-1.27</v>
      </c>
      <c r="BI2853">
        <v>0.11</v>
      </c>
      <c r="BJ2853">
        <v>20210830</v>
      </c>
      <c r="BK2853">
        <v>19920814</v>
      </c>
      <c r="BL2853">
        <v>5.23</v>
      </c>
      <c r="BM2853">
        <v>2.06</v>
      </c>
      <c r="BN2853" t="s">
        <v>120</v>
      </c>
      <c r="BO2853">
        <v>200.86</v>
      </c>
      <c r="BP2853">
        <v>46</v>
      </c>
      <c r="BQ2853">
        <v>83.56</v>
      </c>
      <c r="BR2853">
        <v>14.2</v>
      </c>
      <c r="BS2853">
        <v>51.33</v>
      </c>
      <c r="BT2853">
        <v>188.49</v>
      </c>
      <c r="BU2853">
        <v>3.54</v>
      </c>
      <c r="BV2853">
        <v>0.6</v>
      </c>
      <c r="BW2853">
        <v>90.21</v>
      </c>
      <c r="BX2853">
        <v>73.69</v>
      </c>
      <c r="BY2853">
        <v>101.22</v>
      </c>
      <c r="BZ2853">
        <v>6.63</v>
      </c>
      <c r="CA2853">
        <v>0.09</v>
      </c>
      <c r="CB2853">
        <v>4.67</v>
      </c>
      <c r="CC2853">
        <v>315.89999999999998</v>
      </c>
      <c r="CD2853">
        <v>291.18</v>
      </c>
      <c r="CE2853">
        <v>17.809999999999999</v>
      </c>
      <c r="CF2853">
        <v>0.05</v>
      </c>
      <c r="CG2853">
        <v>17.850000000000001</v>
      </c>
      <c r="CH2853">
        <v>13.37</v>
      </c>
      <c r="CI2853">
        <v>10.42</v>
      </c>
      <c r="CJ2853">
        <v>7.0000000000000007E-2</v>
      </c>
      <c r="CK2853">
        <v>8.1300000000000008</v>
      </c>
      <c r="CL2853">
        <v>70.25</v>
      </c>
      <c r="CM2853">
        <v>27.24</v>
      </c>
      <c r="CN2853">
        <v>17.68</v>
      </c>
      <c r="CO2853">
        <v>43533</v>
      </c>
      <c r="CP2853">
        <v>6959</v>
      </c>
      <c r="CQ2853" t="s">
        <v>12695</v>
      </c>
      <c r="CR2853">
        <v>40.630000000000003</v>
      </c>
      <c r="CS2853">
        <v>19.27</v>
      </c>
      <c r="CT2853">
        <v>2.88</v>
      </c>
      <c r="CU2853">
        <v>8.83</v>
      </c>
      <c r="CV2853">
        <v>0.76</v>
      </c>
      <c r="CW2853">
        <v>2.72</v>
      </c>
      <c r="CX2853" t="s">
        <v>12696</v>
      </c>
      <c r="CY2853">
        <v>15.97</v>
      </c>
      <c r="CZ2853">
        <v>0</v>
      </c>
      <c r="DA2853">
        <v>0.89</v>
      </c>
      <c r="DB2853">
        <v>13.43</v>
      </c>
      <c r="DC2853">
        <v>5.21</v>
      </c>
      <c r="DD2853">
        <v>41.6</v>
      </c>
      <c r="DE2853" t="s">
        <v>12697</v>
      </c>
      <c r="DF2853">
        <v>7.82</v>
      </c>
      <c r="DG2853">
        <v>5.64</v>
      </c>
      <c r="DH2853">
        <v>3.3</v>
      </c>
      <c r="DI2853">
        <v>0.13</v>
      </c>
      <c r="DJ2853">
        <v>2349</v>
      </c>
      <c r="DK2853">
        <v>600612</v>
      </c>
      <c r="DL2853" t="s">
        <v>120</v>
      </c>
      <c r="DM2853" t="s">
        <v>120</v>
      </c>
      <c r="DN2853" t="s">
        <v>120</v>
      </c>
    </row>
    <row r="2854" spans="1:118">
      <c r="A2854" t="str">
        <f>"600613"</f>
        <v>600613</v>
      </c>
      <c r="B2854" t="s">
        <v>12698</v>
      </c>
      <c r="C2854">
        <v>0.89</v>
      </c>
      <c r="D2854">
        <v>0.18</v>
      </c>
      <c r="E2854">
        <v>0</v>
      </c>
      <c r="F2854">
        <v>938</v>
      </c>
      <c r="G2854" t="s">
        <v>10862</v>
      </c>
      <c r="H2854">
        <v>3309.42</v>
      </c>
      <c r="I2854">
        <v>0.56000000000000005</v>
      </c>
      <c r="J2854" t="s">
        <v>120</v>
      </c>
      <c r="K2854" t="s">
        <v>10556</v>
      </c>
      <c r="L2854">
        <v>1.22</v>
      </c>
      <c r="M2854">
        <v>5.67</v>
      </c>
      <c r="N2854">
        <v>1.06</v>
      </c>
      <c r="O2854">
        <v>1.96</v>
      </c>
      <c r="P2854">
        <v>5.73</v>
      </c>
      <c r="Q2854">
        <v>-0.89</v>
      </c>
      <c r="R2854">
        <v>5.57</v>
      </c>
      <c r="S2854">
        <v>5.62</v>
      </c>
      <c r="T2854">
        <v>58588</v>
      </c>
      <c r="U2854">
        <v>5.67</v>
      </c>
      <c r="V2854">
        <v>5.62</v>
      </c>
      <c r="W2854">
        <v>34.119999999999997</v>
      </c>
      <c r="X2854" t="s">
        <v>771</v>
      </c>
      <c r="Y2854" t="s">
        <v>1510</v>
      </c>
      <c r="Z2854">
        <v>2.85</v>
      </c>
      <c r="AA2854">
        <v>5.65</v>
      </c>
      <c r="AB2854">
        <v>29936</v>
      </c>
      <c r="AC2854">
        <v>28652</v>
      </c>
      <c r="AD2854">
        <v>1.04</v>
      </c>
      <c r="AE2854">
        <v>57</v>
      </c>
      <c r="AF2854">
        <v>381</v>
      </c>
      <c r="AG2854" t="s">
        <v>120</v>
      </c>
      <c r="AH2854">
        <v>0</v>
      </c>
      <c r="AI2854" t="s">
        <v>120</v>
      </c>
      <c r="AJ2854">
        <v>4.79</v>
      </c>
      <c r="AK2854" t="s">
        <v>5916</v>
      </c>
      <c r="AL2854">
        <v>2.23</v>
      </c>
      <c r="AM2854">
        <v>1855</v>
      </c>
      <c r="AN2854">
        <v>32</v>
      </c>
      <c r="AO2854">
        <v>6.9999999999999999E-4</v>
      </c>
      <c r="AP2854">
        <v>2</v>
      </c>
      <c r="AQ2854">
        <v>1.08</v>
      </c>
      <c r="AR2854">
        <v>0.17</v>
      </c>
      <c r="AS2854">
        <v>13.18</v>
      </c>
      <c r="AT2854">
        <v>6.18</v>
      </c>
      <c r="AU2854">
        <v>15.71</v>
      </c>
      <c r="AV2854">
        <v>4</v>
      </c>
      <c r="AW2854">
        <v>3.25</v>
      </c>
      <c r="AX2854">
        <v>33.78</v>
      </c>
      <c r="AY2854" t="s">
        <v>120</v>
      </c>
      <c r="AZ2854" t="s">
        <v>120</v>
      </c>
      <c r="BA2854">
        <v>0.75</v>
      </c>
      <c r="BB2854" t="s">
        <v>184</v>
      </c>
      <c r="BF2854">
        <v>0.51</v>
      </c>
      <c r="BG2854">
        <v>0.89</v>
      </c>
      <c r="BH2854">
        <v>-1.05</v>
      </c>
      <c r="BI2854">
        <v>1.8</v>
      </c>
      <c r="BJ2854">
        <v>20210831</v>
      </c>
      <c r="BK2854">
        <v>19920820</v>
      </c>
      <c r="BL2854">
        <v>5.34</v>
      </c>
      <c r="BM2854">
        <v>0.55000000000000004</v>
      </c>
      <c r="BN2854" t="s">
        <v>120</v>
      </c>
      <c r="BO2854">
        <v>31.14</v>
      </c>
      <c r="BP2854">
        <v>5.66</v>
      </c>
      <c r="BQ2854">
        <v>23.16</v>
      </c>
      <c r="BR2854" t="s">
        <v>120</v>
      </c>
      <c r="BS2854">
        <v>25.64</v>
      </c>
      <c r="BT2854">
        <v>13.95</v>
      </c>
      <c r="BU2854">
        <v>4.66</v>
      </c>
      <c r="BV2854">
        <v>1.07</v>
      </c>
      <c r="BW2854">
        <v>4.54</v>
      </c>
      <c r="BX2854">
        <v>4.74</v>
      </c>
      <c r="BY2854">
        <v>2.1</v>
      </c>
      <c r="BZ2854">
        <v>5.25</v>
      </c>
      <c r="CA2854" t="s">
        <v>120</v>
      </c>
      <c r="CB2854">
        <v>9.69</v>
      </c>
      <c r="CC2854">
        <v>11.56</v>
      </c>
      <c r="CD2854">
        <v>4.8499999999999996</v>
      </c>
      <c r="CE2854">
        <v>0.65</v>
      </c>
      <c r="CF2854">
        <v>0.03</v>
      </c>
      <c r="CG2854">
        <v>0.64</v>
      </c>
      <c r="CH2854">
        <v>0.44</v>
      </c>
      <c r="CI2854">
        <v>0.44</v>
      </c>
      <c r="CJ2854">
        <v>0.05</v>
      </c>
      <c r="CK2854">
        <v>0.46</v>
      </c>
      <c r="CL2854">
        <v>7.22</v>
      </c>
      <c r="CM2854">
        <v>0.84</v>
      </c>
      <c r="CN2854">
        <v>-7.0000000000000007E-2</v>
      </c>
      <c r="CO2854">
        <v>46656</v>
      </c>
      <c r="CP2854">
        <v>5040</v>
      </c>
      <c r="CQ2854" t="s">
        <v>6412</v>
      </c>
      <c r="CR2854">
        <v>55.52</v>
      </c>
      <c r="CS2854">
        <v>37.69</v>
      </c>
      <c r="CT2854">
        <v>1.31</v>
      </c>
      <c r="CU2854">
        <v>36.08</v>
      </c>
      <c r="CV2854">
        <v>2.62</v>
      </c>
      <c r="CW2854">
        <v>0</v>
      </c>
      <c r="CX2854" t="s">
        <v>535</v>
      </c>
      <c r="CY2854">
        <v>4.34</v>
      </c>
      <c r="CZ2854">
        <v>0</v>
      </c>
      <c r="DA2854">
        <v>1.81</v>
      </c>
      <c r="DB2854">
        <v>1.35</v>
      </c>
      <c r="DC2854">
        <v>0.16</v>
      </c>
      <c r="DD2854">
        <v>74.36</v>
      </c>
      <c r="DE2854" t="s">
        <v>1820</v>
      </c>
      <c r="DF2854">
        <v>58.03</v>
      </c>
      <c r="DG2854">
        <v>5.65</v>
      </c>
      <c r="DH2854">
        <v>3.84</v>
      </c>
      <c r="DI2854">
        <v>0.17</v>
      </c>
      <c r="DJ2854">
        <v>1301</v>
      </c>
      <c r="DK2854">
        <v>600613</v>
      </c>
      <c r="DL2854" t="s">
        <v>120</v>
      </c>
      <c r="DM2854" t="s">
        <v>120</v>
      </c>
      <c r="DN2854" t="s">
        <v>120</v>
      </c>
    </row>
    <row r="2855" spans="1:118">
      <c r="A2855" t="str">
        <f>"600616"</f>
        <v>600616</v>
      </c>
      <c r="B2855" t="s">
        <v>12699</v>
      </c>
      <c r="C2855">
        <v>1.8</v>
      </c>
      <c r="D2855">
        <v>-0.13</v>
      </c>
      <c r="E2855">
        <v>0.41</v>
      </c>
      <c r="F2855">
        <v>1330</v>
      </c>
      <c r="G2855" t="s">
        <v>12668</v>
      </c>
      <c r="H2855">
        <v>16222.01</v>
      </c>
      <c r="I2855">
        <v>14.9</v>
      </c>
      <c r="J2855" t="s">
        <v>120</v>
      </c>
      <c r="K2855" t="s">
        <v>6578</v>
      </c>
      <c r="L2855">
        <v>3.28</v>
      </c>
      <c r="M2855">
        <v>7.37</v>
      </c>
      <c r="N2855">
        <v>1.29</v>
      </c>
      <c r="O2855">
        <v>4.1399999999999997</v>
      </c>
      <c r="P2855">
        <v>7.54</v>
      </c>
      <c r="Q2855">
        <v>-0.41</v>
      </c>
      <c r="R2855">
        <v>7.21</v>
      </c>
      <c r="S2855">
        <v>7.27</v>
      </c>
      <c r="T2855">
        <v>219237</v>
      </c>
      <c r="U2855">
        <v>7.38</v>
      </c>
      <c r="V2855">
        <v>7.24</v>
      </c>
      <c r="W2855" t="s">
        <v>120</v>
      </c>
      <c r="X2855" t="s">
        <v>2247</v>
      </c>
      <c r="Y2855" t="s">
        <v>1510</v>
      </c>
      <c r="Z2855">
        <v>4.5599999999999996</v>
      </c>
      <c r="AA2855">
        <v>7.4</v>
      </c>
      <c r="AB2855">
        <v>89317</v>
      </c>
      <c r="AC2855">
        <v>129920</v>
      </c>
      <c r="AD2855">
        <v>0.69</v>
      </c>
      <c r="AE2855">
        <v>933</v>
      </c>
      <c r="AF2855">
        <v>211</v>
      </c>
      <c r="AG2855" t="s">
        <v>120</v>
      </c>
      <c r="AH2855">
        <v>0</v>
      </c>
      <c r="AI2855" t="s">
        <v>120</v>
      </c>
      <c r="AJ2855">
        <v>6.69</v>
      </c>
      <c r="AK2855" t="s">
        <v>6578</v>
      </c>
      <c r="AL2855">
        <v>3.14</v>
      </c>
      <c r="AM2855">
        <v>3224</v>
      </c>
      <c r="AN2855">
        <v>68</v>
      </c>
      <c r="AO2855">
        <v>1E-3</v>
      </c>
      <c r="AP2855">
        <v>1</v>
      </c>
      <c r="AQ2855">
        <v>-2.4300000000000002</v>
      </c>
      <c r="AR2855">
        <v>-0.81</v>
      </c>
      <c r="AS2855">
        <v>-3.78</v>
      </c>
      <c r="AT2855">
        <v>-10.45</v>
      </c>
      <c r="AU2855">
        <v>-31.13</v>
      </c>
      <c r="AV2855">
        <v>13</v>
      </c>
      <c r="AW2855">
        <v>5.16</v>
      </c>
      <c r="AX2855">
        <v>63.48</v>
      </c>
      <c r="AY2855">
        <v>1195.07</v>
      </c>
      <c r="AZ2855">
        <v>395.73</v>
      </c>
      <c r="BA2855">
        <v>1.55</v>
      </c>
      <c r="BB2855" t="s">
        <v>125</v>
      </c>
      <c r="BF2855">
        <v>2.2000000000000002</v>
      </c>
      <c r="BG2855">
        <v>1.38</v>
      </c>
      <c r="BH2855">
        <v>-2.25</v>
      </c>
      <c r="BI2855">
        <v>2.2200000000000002</v>
      </c>
      <c r="BJ2855">
        <v>20210830</v>
      </c>
      <c r="BK2855">
        <v>19920929</v>
      </c>
      <c r="BL2855">
        <v>6.69</v>
      </c>
      <c r="BM2855" t="s">
        <v>120</v>
      </c>
      <c r="BN2855" t="s">
        <v>120</v>
      </c>
      <c r="BO2855">
        <v>22.02</v>
      </c>
      <c r="BP2855">
        <v>7.37</v>
      </c>
      <c r="BQ2855">
        <v>19.13</v>
      </c>
      <c r="BR2855">
        <v>-0.1</v>
      </c>
      <c r="BS2855">
        <v>13.52</v>
      </c>
      <c r="BT2855">
        <v>14.6</v>
      </c>
      <c r="BU2855">
        <v>4.88</v>
      </c>
      <c r="BV2855">
        <v>1.01</v>
      </c>
      <c r="BW2855">
        <v>1.74</v>
      </c>
      <c r="BX2855">
        <v>2.09</v>
      </c>
      <c r="BY2855">
        <v>7.61</v>
      </c>
      <c r="BZ2855">
        <v>0.7</v>
      </c>
      <c r="CA2855">
        <v>0</v>
      </c>
      <c r="CB2855">
        <v>3.76</v>
      </c>
      <c r="CC2855">
        <v>2.52</v>
      </c>
      <c r="CD2855">
        <v>1.59</v>
      </c>
      <c r="CE2855">
        <v>-0.31</v>
      </c>
      <c r="CF2855">
        <v>0.01</v>
      </c>
      <c r="CG2855">
        <v>-0.32</v>
      </c>
      <c r="CH2855">
        <v>-0.25</v>
      </c>
      <c r="CI2855">
        <v>-0.23</v>
      </c>
      <c r="CJ2855">
        <v>0.13</v>
      </c>
      <c r="CK2855">
        <v>-0.24</v>
      </c>
      <c r="CL2855">
        <v>7.99</v>
      </c>
      <c r="CM2855">
        <v>-0.45</v>
      </c>
      <c r="CN2855">
        <v>-2.0299999999999998</v>
      </c>
      <c r="CO2855">
        <v>105260</v>
      </c>
      <c r="CP2855">
        <v>4035</v>
      </c>
      <c r="CQ2855" t="s">
        <v>3663</v>
      </c>
      <c r="CR2855">
        <v>-55.98</v>
      </c>
      <c r="CS2855">
        <v>2.61</v>
      </c>
      <c r="CT2855">
        <v>2.58</v>
      </c>
      <c r="CU2855">
        <v>-109.84</v>
      </c>
      <c r="CV2855">
        <v>19.54</v>
      </c>
      <c r="CW2855">
        <v>0.41</v>
      </c>
      <c r="CX2855" t="s">
        <v>479</v>
      </c>
      <c r="CY2855">
        <v>2.86</v>
      </c>
      <c r="CZ2855">
        <v>0</v>
      </c>
      <c r="DA2855">
        <v>0.56000000000000005</v>
      </c>
      <c r="DB2855">
        <v>1.19</v>
      </c>
      <c r="DC2855">
        <v>-7.0000000000000007E-2</v>
      </c>
      <c r="DD2855">
        <v>86.91</v>
      </c>
      <c r="DE2855" t="s">
        <v>2853</v>
      </c>
      <c r="DF2855">
        <v>36.85</v>
      </c>
      <c r="DG2855">
        <v>-12.43</v>
      </c>
      <c r="DH2855">
        <v>-9.0399999999999991</v>
      </c>
      <c r="DI2855">
        <v>0.01</v>
      </c>
      <c r="DJ2855">
        <v>1022</v>
      </c>
      <c r="DK2855">
        <v>600616</v>
      </c>
      <c r="DL2855" t="s">
        <v>120</v>
      </c>
      <c r="DM2855" t="s">
        <v>120</v>
      </c>
      <c r="DN2855" t="s">
        <v>120</v>
      </c>
    </row>
    <row r="2856" spans="1:118">
      <c r="A2856" t="str">
        <f>"600617"</f>
        <v>600617</v>
      </c>
      <c r="B2856" t="s">
        <v>12700</v>
      </c>
      <c r="C2856">
        <v>-1.98</v>
      </c>
      <c r="D2856">
        <v>-0.17</v>
      </c>
      <c r="E2856">
        <v>0.36</v>
      </c>
      <c r="F2856">
        <v>1184</v>
      </c>
      <c r="G2856" t="s">
        <v>1094</v>
      </c>
      <c r="H2856">
        <v>13144.62</v>
      </c>
      <c r="I2856">
        <v>44.28</v>
      </c>
      <c r="J2856" t="s">
        <v>120</v>
      </c>
      <c r="K2856" t="s">
        <v>12701</v>
      </c>
      <c r="L2856">
        <v>2.39</v>
      </c>
      <c r="M2856">
        <v>5.44</v>
      </c>
      <c r="N2856">
        <v>0.71</v>
      </c>
      <c r="O2856">
        <v>4.68</v>
      </c>
      <c r="P2856">
        <v>5.81</v>
      </c>
      <c r="Q2856">
        <v>-2.16</v>
      </c>
      <c r="R2856">
        <v>5.43</v>
      </c>
      <c r="S2856">
        <v>5.57</v>
      </c>
      <c r="T2856">
        <v>233023</v>
      </c>
      <c r="U2856">
        <v>5.45</v>
      </c>
      <c r="V2856">
        <v>5.55</v>
      </c>
      <c r="W2856">
        <v>119.8</v>
      </c>
      <c r="X2856" t="s">
        <v>684</v>
      </c>
      <c r="Y2856" t="s">
        <v>667</v>
      </c>
      <c r="Z2856">
        <v>6.85</v>
      </c>
      <c r="AA2856">
        <v>5.64</v>
      </c>
      <c r="AB2856">
        <v>127222</v>
      </c>
      <c r="AC2856">
        <v>105801</v>
      </c>
      <c r="AD2856">
        <v>1.2</v>
      </c>
      <c r="AE2856">
        <v>403</v>
      </c>
      <c r="AF2856">
        <v>120</v>
      </c>
      <c r="AG2856" t="s">
        <v>120</v>
      </c>
      <c r="AH2856">
        <v>0.02</v>
      </c>
      <c r="AI2856" t="s">
        <v>120</v>
      </c>
      <c r="AJ2856">
        <v>9.75</v>
      </c>
      <c r="AK2856" t="s">
        <v>12702</v>
      </c>
      <c r="AL2856">
        <v>-0.64</v>
      </c>
      <c r="AM2856">
        <v>3072</v>
      </c>
      <c r="AN2856">
        <v>76</v>
      </c>
      <c r="AO2856">
        <v>8.0000000000000004E-4</v>
      </c>
      <c r="AP2856">
        <v>-4</v>
      </c>
      <c r="AQ2856">
        <v>-0.18</v>
      </c>
      <c r="AR2856">
        <v>-4.7300000000000004</v>
      </c>
      <c r="AS2856">
        <v>19.829999999999998</v>
      </c>
      <c r="AT2856">
        <v>24.77</v>
      </c>
      <c r="AU2856">
        <v>15.99</v>
      </c>
      <c r="AV2856">
        <v>1</v>
      </c>
      <c r="AW2856">
        <v>6.79</v>
      </c>
      <c r="AX2856">
        <v>24.92</v>
      </c>
      <c r="AY2856" t="s">
        <v>120</v>
      </c>
      <c r="AZ2856" t="s">
        <v>120</v>
      </c>
      <c r="BA2856">
        <v>0.98</v>
      </c>
      <c r="BB2856" t="s">
        <v>125</v>
      </c>
      <c r="BF2856">
        <v>1.64</v>
      </c>
      <c r="BG2856">
        <v>-2.33</v>
      </c>
      <c r="BH2856">
        <v>-6.37</v>
      </c>
      <c r="BI2856">
        <v>0.18</v>
      </c>
      <c r="BJ2856">
        <v>20210826</v>
      </c>
      <c r="BK2856">
        <v>19921013</v>
      </c>
      <c r="BL2856">
        <v>13.78</v>
      </c>
      <c r="BM2856">
        <v>1.1000000000000001</v>
      </c>
      <c r="BN2856" t="s">
        <v>120</v>
      </c>
      <c r="BO2856">
        <v>278.22000000000003</v>
      </c>
      <c r="BP2856">
        <v>5.44</v>
      </c>
      <c r="BQ2856">
        <v>41.02</v>
      </c>
      <c r="BR2856">
        <v>4.33</v>
      </c>
      <c r="BS2856">
        <v>83.7</v>
      </c>
      <c r="BT2856">
        <v>64.5</v>
      </c>
      <c r="BU2856">
        <v>131.68</v>
      </c>
      <c r="BV2856">
        <v>7.37</v>
      </c>
      <c r="BW2856">
        <v>107.94</v>
      </c>
      <c r="BX2856">
        <v>35.92</v>
      </c>
      <c r="BY2856">
        <v>3.25</v>
      </c>
      <c r="BZ2856">
        <v>15.84</v>
      </c>
      <c r="CA2856">
        <v>0</v>
      </c>
      <c r="CB2856">
        <v>16.82</v>
      </c>
      <c r="CC2856">
        <v>46.61</v>
      </c>
      <c r="CD2856">
        <v>37.03</v>
      </c>
      <c r="CE2856">
        <v>0.17</v>
      </c>
      <c r="CF2856">
        <v>0.4</v>
      </c>
      <c r="CG2856">
        <v>0.17</v>
      </c>
      <c r="CH2856">
        <v>-0.61</v>
      </c>
      <c r="CI2856">
        <v>0.31</v>
      </c>
      <c r="CJ2856">
        <v>-0.11</v>
      </c>
      <c r="CK2856">
        <v>-1.86</v>
      </c>
      <c r="CL2856">
        <v>7.94</v>
      </c>
      <c r="CM2856">
        <v>10.95</v>
      </c>
      <c r="CN2856">
        <v>5.71</v>
      </c>
      <c r="CO2856">
        <v>37550</v>
      </c>
      <c r="CP2856">
        <v>12067</v>
      </c>
      <c r="CQ2856" t="s">
        <v>6024</v>
      </c>
      <c r="CR2856">
        <v>111.23</v>
      </c>
      <c r="CS2856">
        <v>6.5</v>
      </c>
      <c r="CT2856">
        <v>1.83</v>
      </c>
      <c r="CU2856">
        <v>6.85</v>
      </c>
      <c r="CV2856">
        <v>1.61</v>
      </c>
      <c r="CW2856">
        <v>0</v>
      </c>
      <c r="CX2856" t="s">
        <v>499</v>
      </c>
      <c r="CY2856">
        <v>2.98</v>
      </c>
      <c r="CZ2856">
        <v>0</v>
      </c>
      <c r="DA2856">
        <v>1.22</v>
      </c>
      <c r="DB2856">
        <v>0.57999999999999996</v>
      </c>
      <c r="DC2856">
        <v>0.79</v>
      </c>
      <c r="DD2856">
        <v>14.74</v>
      </c>
      <c r="DE2856" t="s">
        <v>5739</v>
      </c>
      <c r="DF2856">
        <v>20.56</v>
      </c>
      <c r="DG2856">
        <v>0.36</v>
      </c>
      <c r="DH2856">
        <v>0.67</v>
      </c>
      <c r="DI2856">
        <v>0.04</v>
      </c>
      <c r="DJ2856">
        <v>4413</v>
      </c>
      <c r="DK2856">
        <v>600617</v>
      </c>
      <c r="DL2856" t="s">
        <v>120</v>
      </c>
      <c r="DM2856" t="s">
        <v>120</v>
      </c>
      <c r="DN2856" t="s">
        <v>120</v>
      </c>
    </row>
    <row r="2857" spans="1:118">
      <c r="A2857" t="str">
        <f>"600618"</f>
        <v>600618</v>
      </c>
      <c r="B2857" t="s">
        <v>12703</v>
      </c>
      <c r="C2857">
        <v>4.95</v>
      </c>
      <c r="D2857">
        <v>0</v>
      </c>
      <c r="E2857">
        <v>4.95</v>
      </c>
      <c r="F2857">
        <v>6366</v>
      </c>
      <c r="G2857" t="s">
        <v>12704</v>
      </c>
      <c r="H2857">
        <v>183365.93</v>
      </c>
      <c r="I2857">
        <v>3344.6</v>
      </c>
      <c r="J2857" t="s">
        <v>120</v>
      </c>
      <c r="K2857" t="s">
        <v>3904</v>
      </c>
      <c r="L2857">
        <v>12.53</v>
      </c>
      <c r="M2857">
        <v>19.100000000000001</v>
      </c>
      <c r="N2857">
        <v>1.22</v>
      </c>
      <c r="O2857">
        <v>10</v>
      </c>
      <c r="P2857">
        <v>20.02</v>
      </c>
      <c r="Q2857">
        <v>1.48</v>
      </c>
      <c r="R2857">
        <v>18.47</v>
      </c>
      <c r="S2857">
        <v>19.100000000000001</v>
      </c>
      <c r="T2857">
        <v>939503</v>
      </c>
      <c r="U2857">
        <v>19.11</v>
      </c>
      <c r="V2857">
        <v>18.2</v>
      </c>
      <c r="W2857">
        <v>16.579999999999998</v>
      </c>
      <c r="X2857" t="s">
        <v>868</v>
      </c>
      <c r="Y2857" t="s">
        <v>1510</v>
      </c>
      <c r="Z2857">
        <v>8.52</v>
      </c>
      <c r="AA2857">
        <v>19.52</v>
      </c>
      <c r="AB2857">
        <v>488633</v>
      </c>
      <c r="AC2857">
        <v>450870</v>
      </c>
      <c r="AD2857">
        <v>1.08</v>
      </c>
      <c r="AE2857">
        <v>967</v>
      </c>
      <c r="AF2857">
        <v>724</v>
      </c>
      <c r="AG2857" t="s">
        <v>120</v>
      </c>
      <c r="AH2857">
        <v>0.83</v>
      </c>
      <c r="AI2857" t="s">
        <v>120</v>
      </c>
      <c r="AJ2857">
        <v>7.5</v>
      </c>
      <c r="AK2857" t="s">
        <v>12705</v>
      </c>
      <c r="AL2857">
        <v>6.29</v>
      </c>
      <c r="AM2857">
        <v>4669</v>
      </c>
      <c r="AN2857">
        <v>201</v>
      </c>
      <c r="AO2857">
        <v>2.7000000000000001E-3</v>
      </c>
      <c r="AP2857">
        <v>2</v>
      </c>
      <c r="AQ2857">
        <v>1.79</v>
      </c>
      <c r="AR2857">
        <v>2.0299999999999998</v>
      </c>
      <c r="AS2857">
        <v>87.25</v>
      </c>
      <c r="AT2857">
        <v>124.83</v>
      </c>
      <c r="AU2857">
        <v>163.27000000000001</v>
      </c>
      <c r="AV2857">
        <v>6</v>
      </c>
      <c r="AW2857">
        <v>44.52</v>
      </c>
      <c r="AX2857">
        <v>18.25</v>
      </c>
      <c r="AY2857">
        <v>18.690000000000001</v>
      </c>
      <c r="AZ2857">
        <v>34.69</v>
      </c>
      <c r="BA2857">
        <v>2.0099999999999998</v>
      </c>
      <c r="BB2857" t="s">
        <v>184</v>
      </c>
      <c r="BF2857">
        <v>7.24</v>
      </c>
      <c r="BG2857">
        <v>0</v>
      </c>
      <c r="BH2857">
        <v>-4.5999999999999996</v>
      </c>
      <c r="BI2857">
        <v>3.41</v>
      </c>
      <c r="BJ2857">
        <v>20210826</v>
      </c>
      <c r="BK2857">
        <v>19921113</v>
      </c>
      <c r="BL2857">
        <v>11.56</v>
      </c>
      <c r="BM2857">
        <v>4.07</v>
      </c>
      <c r="BN2857" t="s">
        <v>120</v>
      </c>
      <c r="BO2857">
        <v>74.38</v>
      </c>
      <c r="BP2857">
        <v>19.100000000000001</v>
      </c>
      <c r="BQ2857">
        <v>57.5</v>
      </c>
      <c r="BR2857">
        <v>1.33</v>
      </c>
      <c r="BS2857">
        <v>20.89</v>
      </c>
      <c r="BT2857">
        <v>34.83</v>
      </c>
      <c r="BU2857">
        <v>13.32</v>
      </c>
      <c r="BV2857">
        <v>3.61</v>
      </c>
      <c r="BW2857">
        <v>14.21</v>
      </c>
      <c r="BX2857">
        <v>25.42</v>
      </c>
      <c r="BY2857">
        <v>1.44</v>
      </c>
      <c r="BZ2857">
        <v>2</v>
      </c>
      <c r="CA2857" t="s">
        <v>120</v>
      </c>
      <c r="CB2857">
        <v>16.73</v>
      </c>
      <c r="CC2857">
        <v>29.96</v>
      </c>
      <c r="CD2857">
        <v>22.66</v>
      </c>
      <c r="CE2857">
        <v>7.56</v>
      </c>
      <c r="CF2857">
        <v>1.53</v>
      </c>
      <c r="CG2857">
        <v>7.57</v>
      </c>
      <c r="CH2857">
        <v>6.65</v>
      </c>
      <c r="CI2857">
        <v>6.66</v>
      </c>
      <c r="CJ2857">
        <v>0.9</v>
      </c>
      <c r="CK2857">
        <v>6.68</v>
      </c>
      <c r="CL2857">
        <v>26.07</v>
      </c>
      <c r="CM2857">
        <v>2.36</v>
      </c>
      <c r="CN2857">
        <v>3.22</v>
      </c>
      <c r="CO2857">
        <v>76407</v>
      </c>
      <c r="CP2857">
        <v>8083</v>
      </c>
      <c r="CQ2857" t="s">
        <v>12706</v>
      </c>
      <c r="CR2857">
        <v>354.69</v>
      </c>
      <c r="CS2857">
        <v>39.43</v>
      </c>
      <c r="CT2857">
        <v>3.84</v>
      </c>
      <c r="CU2857">
        <v>93.56</v>
      </c>
      <c r="CV2857">
        <v>7.37</v>
      </c>
      <c r="CW2857">
        <v>0.3</v>
      </c>
      <c r="CX2857" t="s">
        <v>12707</v>
      </c>
      <c r="CY2857">
        <v>4.97</v>
      </c>
      <c r="CZ2857">
        <v>0</v>
      </c>
      <c r="DA2857">
        <v>1.45</v>
      </c>
      <c r="DB2857">
        <v>2.25</v>
      </c>
      <c r="DC2857">
        <v>0.2</v>
      </c>
      <c r="DD2857">
        <v>77.31</v>
      </c>
      <c r="DE2857" t="s">
        <v>10467</v>
      </c>
      <c r="DF2857">
        <v>24.38</v>
      </c>
      <c r="DG2857">
        <v>25.25</v>
      </c>
      <c r="DH2857">
        <v>22.23</v>
      </c>
      <c r="DI2857">
        <v>0.55000000000000004</v>
      </c>
      <c r="DJ2857">
        <v>919</v>
      </c>
      <c r="DK2857">
        <v>600618</v>
      </c>
      <c r="DL2857">
        <v>20210908</v>
      </c>
      <c r="DM2857">
        <v>14.47</v>
      </c>
      <c r="DN2857">
        <v>32</v>
      </c>
    </row>
    <row r="2858" spans="1:118">
      <c r="A2858" t="str">
        <f>"600619"</f>
        <v>600619</v>
      </c>
      <c r="B2858" t="s">
        <v>12708</v>
      </c>
      <c r="C2858">
        <v>0.56999999999999995</v>
      </c>
      <c r="D2858">
        <v>0</v>
      </c>
      <c r="E2858">
        <v>-0.46</v>
      </c>
      <c r="F2858">
        <v>568</v>
      </c>
      <c r="G2858" t="s">
        <v>4491</v>
      </c>
      <c r="H2858">
        <v>6077.68</v>
      </c>
      <c r="I2858">
        <v>5.83</v>
      </c>
      <c r="J2858" t="s">
        <v>120</v>
      </c>
      <c r="K2858" t="s">
        <v>12709</v>
      </c>
      <c r="L2858">
        <v>1.18</v>
      </c>
      <c r="M2858">
        <v>8.7899999999999991</v>
      </c>
      <c r="N2858">
        <v>1.51</v>
      </c>
      <c r="O2858">
        <v>4.12</v>
      </c>
      <c r="P2858">
        <v>9.1</v>
      </c>
      <c r="Q2858">
        <v>-0.46</v>
      </c>
      <c r="R2858">
        <v>8.6999999999999993</v>
      </c>
      <c r="S2858">
        <v>8.6999999999999993</v>
      </c>
      <c r="T2858">
        <v>68443</v>
      </c>
      <c r="U2858">
        <v>8.8000000000000007</v>
      </c>
      <c r="V2858">
        <v>8.74</v>
      </c>
      <c r="W2858">
        <v>45.67</v>
      </c>
      <c r="X2858" t="s">
        <v>959</v>
      </c>
      <c r="Y2858" t="s">
        <v>1510</v>
      </c>
      <c r="Z2858">
        <v>4.58</v>
      </c>
      <c r="AA2858">
        <v>8.8800000000000008</v>
      </c>
      <c r="AB2858">
        <v>34099</v>
      </c>
      <c r="AC2858">
        <v>34344</v>
      </c>
      <c r="AD2858">
        <v>0.99</v>
      </c>
      <c r="AE2858">
        <v>7</v>
      </c>
      <c r="AF2858">
        <v>337</v>
      </c>
      <c r="AG2858" t="s">
        <v>120</v>
      </c>
      <c r="AH2858">
        <v>0</v>
      </c>
      <c r="AI2858" t="s">
        <v>120</v>
      </c>
      <c r="AJ2858">
        <v>5.82</v>
      </c>
      <c r="AK2858" t="s">
        <v>12710</v>
      </c>
      <c r="AL2858">
        <v>1.92</v>
      </c>
      <c r="AM2858">
        <v>2048</v>
      </c>
      <c r="AN2858">
        <v>33</v>
      </c>
      <c r="AO2858">
        <v>5.9999999999999995E-4</v>
      </c>
      <c r="AP2858">
        <v>2</v>
      </c>
      <c r="AQ2858">
        <v>0.81</v>
      </c>
      <c r="AR2858">
        <v>-1.23</v>
      </c>
      <c r="AS2858">
        <v>7.85</v>
      </c>
      <c r="AT2858">
        <v>-7.18</v>
      </c>
      <c r="AU2858">
        <v>25.39</v>
      </c>
      <c r="AV2858">
        <v>3</v>
      </c>
      <c r="AW2858">
        <v>3.57</v>
      </c>
      <c r="AX2858">
        <v>17.690000000000001</v>
      </c>
      <c r="AY2858">
        <v>44.49</v>
      </c>
      <c r="AZ2858">
        <v>58.36</v>
      </c>
      <c r="BA2858">
        <v>1.02</v>
      </c>
      <c r="BB2858" t="s">
        <v>143</v>
      </c>
      <c r="BF2858">
        <v>1.6</v>
      </c>
      <c r="BG2858">
        <v>1.03</v>
      </c>
      <c r="BH2858">
        <v>-3.41</v>
      </c>
      <c r="BI2858">
        <v>1.03</v>
      </c>
      <c r="BJ2858">
        <v>20210913</v>
      </c>
      <c r="BK2858">
        <v>19921116</v>
      </c>
      <c r="BL2858">
        <v>10.85</v>
      </c>
      <c r="BM2858">
        <v>2.84</v>
      </c>
      <c r="BN2858" t="s">
        <v>120</v>
      </c>
      <c r="BO2858">
        <v>190.59</v>
      </c>
      <c r="BP2858">
        <v>8.7899999999999991</v>
      </c>
      <c r="BQ2858">
        <v>44.49</v>
      </c>
      <c r="BR2858" t="s">
        <v>120</v>
      </c>
      <c r="BS2858">
        <v>76.66</v>
      </c>
      <c r="BT2858">
        <v>125.11</v>
      </c>
      <c r="BU2858">
        <v>43.85</v>
      </c>
      <c r="BV2858">
        <v>6.67</v>
      </c>
      <c r="BW2858">
        <v>108.79</v>
      </c>
      <c r="BX2858">
        <v>16.350000000000001</v>
      </c>
      <c r="BY2858">
        <v>29.56</v>
      </c>
      <c r="BZ2858">
        <v>38.31</v>
      </c>
      <c r="CA2858">
        <v>0.21</v>
      </c>
      <c r="CB2858">
        <v>21.9</v>
      </c>
      <c r="CC2858">
        <v>82.41</v>
      </c>
      <c r="CD2858">
        <v>71.849999999999994</v>
      </c>
      <c r="CE2858">
        <v>1.65</v>
      </c>
      <c r="CF2858">
        <v>-0.08</v>
      </c>
      <c r="CG2858">
        <v>1.63</v>
      </c>
      <c r="CH2858">
        <v>1.4</v>
      </c>
      <c r="CI2858">
        <v>1.04</v>
      </c>
      <c r="CJ2858">
        <v>0.05</v>
      </c>
      <c r="CK2858">
        <v>0.84</v>
      </c>
      <c r="CL2858">
        <v>11.63</v>
      </c>
      <c r="CM2858">
        <v>-3.17</v>
      </c>
      <c r="CN2858">
        <v>-6.49</v>
      </c>
      <c r="CO2858">
        <v>42214</v>
      </c>
      <c r="CP2858">
        <v>11279</v>
      </c>
      <c r="CQ2858" t="s">
        <v>12711</v>
      </c>
      <c r="CR2858">
        <v>94.27</v>
      </c>
      <c r="CS2858">
        <v>64.09</v>
      </c>
      <c r="CT2858">
        <v>1.75</v>
      </c>
      <c r="CU2858">
        <v>-30.06</v>
      </c>
      <c r="CV2858">
        <v>1.1599999999999999</v>
      </c>
      <c r="CW2858">
        <v>1.4</v>
      </c>
      <c r="CX2858" t="s">
        <v>850</v>
      </c>
      <c r="CY2858">
        <v>5.04</v>
      </c>
      <c r="CZ2858">
        <v>5.04</v>
      </c>
      <c r="DA2858">
        <v>2.02</v>
      </c>
      <c r="DB2858">
        <v>1.07</v>
      </c>
      <c r="DC2858">
        <v>-0.28999999999999998</v>
      </c>
      <c r="DD2858">
        <v>23.34</v>
      </c>
      <c r="DE2858" t="s">
        <v>2151</v>
      </c>
      <c r="DF2858">
        <v>12.81</v>
      </c>
      <c r="DG2858">
        <v>2</v>
      </c>
      <c r="DH2858">
        <v>1.27</v>
      </c>
      <c r="DI2858">
        <v>2.5499999999999998</v>
      </c>
      <c r="DJ2858">
        <v>6656</v>
      </c>
      <c r="DK2858">
        <v>600619</v>
      </c>
      <c r="DL2858" t="s">
        <v>120</v>
      </c>
      <c r="DM2858" t="s">
        <v>120</v>
      </c>
      <c r="DN2858" t="s">
        <v>120</v>
      </c>
    </row>
    <row r="2859" spans="1:118">
      <c r="A2859" t="str">
        <f>"600620"</f>
        <v>600620</v>
      </c>
      <c r="B2859" t="s">
        <v>12712</v>
      </c>
      <c r="C2859">
        <v>-2.4</v>
      </c>
      <c r="D2859">
        <v>0</v>
      </c>
      <c r="E2859">
        <v>0.1</v>
      </c>
      <c r="F2859">
        <v>1598</v>
      </c>
      <c r="G2859" t="s">
        <v>7030</v>
      </c>
      <c r="H2859">
        <v>6172.8</v>
      </c>
      <c r="I2859">
        <v>21.98</v>
      </c>
      <c r="J2859" t="s">
        <v>120</v>
      </c>
      <c r="K2859" t="s">
        <v>12713</v>
      </c>
      <c r="L2859">
        <v>0.91</v>
      </c>
      <c r="M2859">
        <v>9.74</v>
      </c>
      <c r="N2859">
        <v>0.7</v>
      </c>
      <c r="O2859">
        <v>0.8</v>
      </c>
      <c r="P2859">
        <v>10.06</v>
      </c>
      <c r="Q2859">
        <v>-2.4</v>
      </c>
      <c r="R2859">
        <v>9.74</v>
      </c>
      <c r="S2859">
        <v>9.99</v>
      </c>
      <c r="T2859">
        <v>62733</v>
      </c>
      <c r="U2859">
        <v>9.74</v>
      </c>
      <c r="V2859">
        <v>9.98</v>
      </c>
      <c r="W2859">
        <v>18.850000000000001</v>
      </c>
      <c r="X2859" t="s">
        <v>166</v>
      </c>
      <c r="Y2859" t="s">
        <v>1510</v>
      </c>
      <c r="Z2859">
        <v>3.21</v>
      </c>
      <c r="AA2859">
        <v>9.84</v>
      </c>
      <c r="AB2859">
        <v>36435</v>
      </c>
      <c r="AC2859">
        <v>26298</v>
      </c>
      <c r="AD2859">
        <v>1.39</v>
      </c>
      <c r="AE2859">
        <v>331</v>
      </c>
      <c r="AF2859">
        <v>169</v>
      </c>
      <c r="AG2859" t="s">
        <v>120</v>
      </c>
      <c r="AH2859">
        <v>0.01</v>
      </c>
      <c r="AI2859" t="s">
        <v>120</v>
      </c>
      <c r="AJ2859">
        <v>6.87</v>
      </c>
      <c r="AK2859" t="s">
        <v>12713</v>
      </c>
      <c r="AL2859">
        <v>-1.06</v>
      </c>
      <c r="AM2859">
        <v>1662</v>
      </c>
      <c r="AN2859">
        <v>38</v>
      </c>
      <c r="AO2859">
        <v>5.0000000000000001E-4</v>
      </c>
      <c r="AP2859">
        <v>-1</v>
      </c>
      <c r="AQ2859">
        <v>1.53</v>
      </c>
      <c r="AR2859">
        <v>-0.6</v>
      </c>
      <c r="AS2859">
        <v>26.82</v>
      </c>
      <c r="AT2859">
        <v>31.8</v>
      </c>
      <c r="AU2859">
        <v>59.15</v>
      </c>
      <c r="AV2859">
        <v>2</v>
      </c>
      <c r="AW2859">
        <v>1.98</v>
      </c>
      <c r="AX2859">
        <v>46.1</v>
      </c>
      <c r="AY2859">
        <v>38.31</v>
      </c>
      <c r="AZ2859">
        <v>65.069999999999993</v>
      </c>
      <c r="BA2859">
        <v>0.17</v>
      </c>
      <c r="BB2859" t="s">
        <v>184</v>
      </c>
      <c r="BF2859">
        <v>-1.41</v>
      </c>
      <c r="BG2859">
        <v>-2.5</v>
      </c>
      <c r="BH2859">
        <v>-3.18</v>
      </c>
      <c r="BI2859">
        <v>0</v>
      </c>
      <c r="BJ2859">
        <v>20210830</v>
      </c>
      <c r="BK2859">
        <v>19921117</v>
      </c>
      <c r="BL2859">
        <v>6.87</v>
      </c>
      <c r="BM2859" t="s">
        <v>120</v>
      </c>
      <c r="BN2859" t="s">
        <v>120</v>
      </c>
      <c r="BO2859">
        <v>30.62</v>
      </c>
      <c r="BP2859">
        <v>9.73</v>
      </c>
      <c r="BQ2859">
        <v>24.39</v>
      </c>
      <c r="BR2859">
        <v>1.05</v>
      </c>
      <c r="BS2859">
        <v>16.91</v>
      </c>
      <c r="BT2859">
        <v>11.39</v>
      </c>
      <c r="BU2859">
        <v>0.21</v>
      </c>
      <c r="BV2859">
        <v>0.56999999999999995</v>
      </c>
      <c r="BW2859">
        <v>0.99</v>
      </c>
      <c r="BX2859">
        <v>1.61</v>
      </c>
      <c r="BY2859">
        <v>6.3</v>
      </c>
      <c r="BZ2859">
        <v>0.02</v>
      </c>
      <c r="CA2859">
        <v>0.04</v>
      </c>
      <c r="CB2859">
        <v>0.53</v>
      </c>
      <c r="CC2859">
        <v>0.21</v>
      </c>
      <c r="CD2859">
        <v>7.0000000000000007E-2</v>
      </c>
      <c r="CE2859">
        <v>2.11</v>
      </c>
      <c r="CF2859">
        <v>0.83</v>
      </c>
      <c r="CG2859">
        <v>2.11</v>
      </c>
      <c r="CH2859">
        <v>1.77</v>
      </c>
      <c r="CI2859">
        <v>1.77</v>
      </c>
      <c r="CJ2859">
        <v>-0.24</v>
      </c>
      <c r="CK2859">
        <v>0.74</v>
      </c>
      <c r="CL2859">
        <v>4.3099999999999996</v>
      </c>
      <c r="CM2859">
        <v>-0.73</v>
      </c>
      <c r="CN2859">
        <v>-1.03</v>
      </c>
      <c r="CO2859">
        <v>19729</v>
      </c>
      <c r="CP2859">
        <v>16046</v>
      </c>
      <c r="CQ2859" t="s">
        <v>12714</v>
      </c>
      <c r="CR2859">
        <v>70.84</v>
      </c>
      <c r="CS2859">
        <v>11.25</v>
      </c>
      <c r="CT2859">
        <v>2.74</v>
      </c>
      <c r="CU2859">
        <v>-91.92</v>
      </c>
      <c r="CV2859">
        <v>318.39</v>
      </c>
      <c r="CW2859">
        <v>0.5</v>
      </c>
      <c r="CX2859" t="s">
        <v>8839</v>
      </c>
      <c r="CY2859">
        <v>3.55</v>
      </c>
      <c r="CZ2859">
        <v>0</v>
      </c>
      <c r="DA2859">
        <v>0.08</v>
      </c>
      <c r="DB2859">
        <v>0.63</v>
      </c>
      <c r="DC2859">
        <v>-0.11</v>
      </c>
      <c r="DD2859">
        <v>79.66</v>
      </c>
      <c r="DE2859" t="s">
        <v>9186</v>
      </c>
      <c r="DF2859">
        <v>67.66</v>
      </c>
      <c r="DG2859">
        <v>1005.22</v>
      </c>
      <c r="DH2859">
        <v>844.77</v>
      </c>
      <c r="DI2859" t="s">
        <v>120</v>
      </c>
      <c r="DJ2859">
        <v>260</v>
      </c>
      <c r="DK2859">
        <v>600620</v>
      </c>
      <c r="DL2859" t="s">
        <v>120</v>
      </c>
      <c r="DM2859" t="s">
        <v>120</v>
      </c>
      <c r="DN2859" t="s">
        <v>120</v>
      </c>
    </row>
    <row r="2860" spans="1:118">
      <c r="A2860" t="str">
        <f>"600621"</f>
        <v>600621</v>
      </c>
      <c r="B2860" t="s">
        <v>12715</v>
      </c>
      <c r="C2860">
        <v>-1.78</v>
      </c>
      <c r="D2860">
        <v>-0.18</v>
      </c>
      <c r="E2860">
        <v>0</v>
      </c>
      <c r="F2860">
        <v>2410</v>
      </c>
      <c r="G2860" t="s">
        <v>12716</v>
      </c>
      <c r="H2860">
        <v>17521.240000000002</v>
      </c>
      <c r="I2860">
        <v>14.18</v>
      </c>
      <c r="J2860" t="s">
        <v>120</v>
      </c>
      <c r="K2860" t="s">
        <v>12717</v>
      </c>
      <c r="L2860">
        <v>1.05</v>
      </c>
      <c r="M2860">
        <v>15.48</v>
      </c>
      <c r="N2860">
        <v>0.68</v>
      </c>
      <c r="O2860">
        <v>1.1399999999999999</v>
      </c>
      <c r="P2860">
        <v>15.94</v>
      </c>
      <c r="Q2860">
        <v>-1.78</v>
      </c>
      <c r="R2860">
        <v>15.48</v>
      </c>
      <c r="S2860">
        <v>15.76</v>
      </c>
      <c r="T2860">
        <v>111563</v>
      </c>
      <c r="U2860">
        <v>15.49</v>
      </c>
      <c r="V2860">
        <v>15.76</v>
      </c>
      <c r="W2860">
        <v>45.89</v>
      </c>
      <c r="X2860" t="s">
        <v>616</v>
      </c>
      <c r="Y2860" t="s">
        <v>1510</v>
      </c>
      <c r="Z2860">
        <v>2.92</v>
      </c>
      <c r="AA2860">
        <v>15.71</v>
      </c>
      <c r="AB2860">
        <v>66700</v>
      </c>
      <c r="AC2860">
        <v>44863</v>
      </c>
      <c r="AD2860">
        <v>1.49</v>
      </c>
      <c r="AE2860">
        <v>125</v>
      </c>
      <c r="AF2860">
        <v>2</v>
      </c>
      <c r="AG2860" t="s">
        <v>120</v>
      </c>
      <c r="AH2860">
        <v>0</v>
      </c>
      <c r="AI2860" t="s">
        <v>120</v>
      </c>
      <c r="AJ2860">
        <v>10.61</v>
      </c>
      <c r="AK2860" t="s">
        <v>12717</v>
      </c>
      <c r="AL2860">
        <v>-0.43</v>
      </c>
      <c r="AM2860">
        <v>2886</v>
      </c>
      <c r="AN2860">
        <v>39</v>
      </c>
      <c r="AO2860">
        <v>4.0000000000000002E-4</v>
      </c>
      <c r="AP2860">
        <v>-1</v>
      </c>
      <c r="AQ2860">
        <v>0.51</v>
      </c>
      <c r="AR2860">
        <v>-3.73</v>
      </c>
      <c r="AS2860">
        <v>-11.75</v>
      </c>
      <c r="AT2860">
        <v>-1.02</v>
      </c>
      <c r="AU2860">
        <v>-31.59</v>
      </c>
      <c r="AV2860">
        <v>1</v>
      </c>
      <c r="AW2860">
        <v>2.25</v>
      </c>
      <c r="AX2860">
        <v>46.73</v>
      </c>
      <c r="AY2860">
        <v>51.65</v>
      </c>
      <c r="AZ2860">
        <v>23.61</v>
      </c>
      <c r="BA2860">
        <v>0.43</v>
      </c>
      <c r="BB2860" t="s">
        <v>143</v>
      </c>
      <c r="BF2860">
        <v>-0.35</v>
      </c>
      <c r="BG2860">
        <v>-1.78</v>
      </c>
      <c r="BH2860">
        <v>-2.89</v>
      </c>
      <c r="BI2860">
        <v>0</v>
      </c>
      <c r="BJ2860">
        <v>20210910</v>
      </c>
      <c r="BK2860">
        <v>19921202</v>
      </c>
      <c r="BL2860">
        <v>10.61</v>
      </c>
      <c r="BM2860" t="s">
        <v>120</v>
      </c>
      <c r="BN2860" t="s">
        <v>120</v>
      </c>
      <c r="BO2860">
        <v>308.83999999999997</v>
      </c>
      <c r="BP2860">
        <v>15.48</v>
      </c>
      <c r="BQ2860">
        <v>69.239999999999995</v>
      </c>
      <c r="BR2860">
        <v>1.19</v>
      </c>
      <c r="BS2860">
        <v>77.2</v>
      </c>
      <c r="BT2860">
        <v>297.32</v>
      </c>
      <c r="BU2860">
        <v>0.72</v>
      </c>
      <c r="BV2860">
        <v>0.85</v>
      </c>
      <c r="BW2860">
        <v>205.93</v>
      </c>
      <c r="BX2860">
        <v>80.709999999999994</v>
      </c>
      <c r="BY2860">
        <v>0.02</v>
      </c>
      <c r="BZ2860">
        <v>0.46</v>
      </c>
      <c r="CA2860">
        <v>0</v>
      </c>
      <c r="CB2860">
        <v>18.41</v>
      </c>
      <c r="CC2860">
        <v>0.65</v>
      </c>
      <c r="CD2860">
        <v>0.43</v>
      </c>
      <c r="CE2860">
        <v>2.35</v>
      </c>
      <c r="CF2860">
        <v>1.42</v>
      </c>
      <c r="CG2860">
        <v>2.5</v>
      </c>
      <c r="CH2860">
        <v>1.81</v>
      </c>
      <c r="CI2860">
        <v>1.79</v>
      </c>
      <c r="CJ2860">
        <v>-0.28000000000000003</v>
      </c>
      <c r="CK2860">
        <v>1.57</v>
      </c>
      <c r="CL2860">
        <v>37.6</v>
      </c>
      <c r="CM2860">
        <v>-13.33</v>
      </c>
      <c r="CN2860">
        <v>4.05</v>
      </c>
      <c r="CO2860">
        <v>75538</v>
      </c>
      <c r="CP2860">
        <v>6563</v>
      </c>
      <c r="CQ2860" t="s">
        <v>6029</v>
      </c>
      <c r="CR2860">
        <v>-68.25</v>
      </c>
      <c r="CS2860">
        <v>-9.3000000000000007</v>
      </c>
      <c r="CT2860">
        <v>2.37</v>
      </c>
      <c r="CU2860">
        <v>-12.32</v>
      </c>
      <c r="CV2860">
        <v>253.12</v>
      </c>
      <c r="CW2860">
        <v>0.89</v>
      </c>
      <c r="CX2860" t="s">
        <v>1193</v>
      </c>
      <c r="CY2860">
        <v>6.53</v>
      </c>
      <c r="CZ2860">
        <v>0</v>
      </c>
      <c r="DA2860">
        <v>1.74</v>
      </c>
      <c r="DB2860">
        <v>3.54</v>
      </c>
      <c r="DC2860">
        <v>-1.26</v>
      </c>
      <c r="DD2860">
        <v>22.42</v>
      </c>
      <c r="DE2860" t="s">
        <v>2660</v>
      </c>
      <c r="DF2860">
        <v>33.130000000000003</v>
      </c>
      <c r="DG2860">
        <v>361.55</v>
      </c>
      <c r="DH2860">
        <v>275.76</v>
      </c>
      <c r="DI2860">
        <v>0.09</v>
      </c>
      <c r="DJ2860">
        <v>1692</v>
      </c>
      <c r="DK2860">
        <v>600621</v>
      </c>
      <c r="DL2860" t="s">
        <v>120</v>
      </c>
      <c r="DM2860" t="s">
        <v>120</v>
      </c>
      <c r="DN2860" t="s">
        <v>120</v>
      </c>
    </row>
    <row r="2861" spans="1:118">
      <c r="A2861" t="str">
        <f>"600622"</f>
        <v>600622</v>
      </c>
      <c r="B2861" t="s">
        <v>12718</v>
      </c>
      <c r="C2861">
        <v>-2.06</v>
      </c>
      <c r="D2861">
        <v>0</v>
      </c>
      <c r="E2861">
        <v>-0.34</v>
      </c>
      <c r="F2861">
        <v>320</v>
      </c>
      <c r="G2861" t="s">
        <v>6842</v>
      </c>
      <c r="H2861">
        <v>2339.2399999999998</v>
      </c>
      <c r="I2861">
        <v>4.21</v>
      </c>
      <c r="J2861" t="s">
        <v>120</v>
      </c>
      <c r="K2861" t="s">
        <v>3121</v>
      </c>
      <c r="L2861">
        <v>0.54</v>
      </c>
      <c r="M2861">
        <v>2.85</v>
      </c>
      <c r="N2861">
        <v>0.71</v>
      </c>
      <c r="O2861">
        <v>0.34</v>
      </c>
      <c r="P2861">
        <v>2.92</v>
      </c>
      <c r="Q2861">
        <v>-2.06</v>
      </c>
      <c r="R2861">
        <v>2.85</v>
      </c>
      <c r="S2861">
        <v>2.9</v>
      </c>
      <c r="T2861">
        <v>81079</v>
      </c>
      <c r="U2861">
        <v>2.86</v>
      </c>
      <c r="V2861">
        <v>2.91</v>
      </c>
      <c r="W2861">
        <v>22.43</v>
      </c>
      <c r="X2861" t="s">
        <v>150</v>
      </c>
      <c r="Y2861" t="s">
        <v>1510</v>
      </c>
      <c r="Z2861">
        <v>2.41</v>
      </c>
      <c r="AA2861">
        <v>2.89</v>
      </c>
      <c r="AB2861">
        <v>51510</v>
      </c>
      <c r="AC2861">
        <v>29569</v>
      </c>
      <c r="AD2861">
        <v>1.74</v>
      </c>
      <c r="AE2861">
        <v>3696</v>
      </c>
      <c r="AF2861">
        <v>1454</v>
      </c>
      <c r="AG2861" t="s">
        <v>120</v>
      </c>
      <c r="AH2861">
        <v>0</v>
      </c>
      <c r="AI2861" t="s">
        <v>120</v>
      </c>
      <c r="AJ2861">
        <v>15</v>
      </c>
      <c r="AK2861" t="s">
        <v>3121</v>
      </c>
      <c r="AL2861">
        <v>-0.72</v>
      </c>
      <c r="AM2861">
        <v>1470</v>
      </c>
      <c r="AN2861">
        <v>55</v>
      </c>
      <c r="AO2861">
        <v>4.0000000000000002E-4</v>
      </c>
      <c r="AP2861">
        <v>-1</v>
      </c>
      <c r="AQ2861">
        <v>0.69</v>
      </c>
      <c r="AR2861">
        <v>-3.06</v>
      </c>
      <c r="AS2861">
        <v>7.14</v>
      </c>
      <c r="AT2861">
        <v>-6.86</v>
      </c>
      <c r="AU2861">
        <v>-15.69</v>
      </c>
      <c r="AV2861">
        <v>0</v>
      </c>
      <c r="AW2861">
        <v>1.01</v>
      </c>
      <c r="AX2861">
        <v>53.75</v>
      </c>
      <c r="AY2861">
        <v>10.81</v>
      </c>
      <c r="AZ2861">
        <v>10.58</v>
      </c>
      <c r="BA2861">
        <v>0.67</v>
      </c>
      <c r="BB2861" t="s">
        <v>184</v>
      </c>
      <c r="BF2861">
        <v>-0.85</v>
      </c>
      <c r="BG2861">
        <v>-1.72</v>
      </c>
      <c r="BH2861">
        <v>-2.4</v>
      </c>
      <c r="BI2861">
        <v>0</v>
      </c>
      <c r="BJ2861">
        <v>20210831</v>
      </c>
      <c r="BK2861">
        <v>19921203</v>
      </c>
      <c r="BL2861">
        <v>15</v>
      </c>
      <c r="BM2861" t="s">
        <v>120</v>
      </c>
      <c r="BN2861" t="s">
        <v>120</v>
      </c>
      <c r="BO2861">
        <v>351.46</v>
      </c>
      <c r="BP2861">
        <v>2.85</v>
      </c>
      <c r="BQ2861">
        <v>67.78</v>
      </c>
      <c r="BR2861">
        <v>30.66</v>
      </c>
      <c r="BS2861">
        <v>71.989999999999995</v>
      </c>
      <c r="BT2861">
        <v>137.86000000000001</v>
      </c>
      <c r="BU2861">
        <v>1.1499999999999999</v>
      </c>
      <c r="BV2861">
        <v>7.0000000000000007E-2</v>
      </c>
      <c r="BW2861">
        <v>111.91</v>
      </c>
      <c r="BX2861">
        <v>37.78</v>
      </c>
      <c r="BY2861">
        <v>76.67</v>
      </c>
      <c r="BZ2861">
        <v>3.53</v>
      </c>
      <c r="CA2861">
        <v>1.1499999999999999</v>
      </c>
      <c r="CB2861">
        <v>14.14</v>
      </c>
      <c r="CC2861">
        <v>12.94</v>
      </c>
      <c r="CD2861">
        <v>6.08</v>
      </c>
      <c r="CE2861">
        <v>0.68</v>
      </c>
      <c r="CF2861">
        <v>0.05</v>
      </c>
      <c r="CG2861">
        <v>0.81</v>
      </c>
      <c r="CH2861">
        <v>0.11</v>
      </c>
      <c r="CI2861">
        <v>0.95</v>
      </c>
      <c r="CJ2861">
        <v>-0.06</v>
      </c>
      <c r="CK2861">
        <v>0.72</v>
      </c>
      <c r="CL2861">
        <v>35.71</v>
      </c>
      <c r="CM2861">
        <v>19.5</v>
      </c>
      <c r="CN2861">
        <v>3.77</v>
      </c>
      <c r="CO2861">
        <v>39508</v>
      </c>
      <c r="CP2861">
        <v>20402</v>
      </c>
      <c r="CQ2861" t="s">
        <v>448</v>
      </c>
      <c r="CR2861">
        <v>-8.31</v>
      </c>
      <c r="CS2861">
        <v>-32.770000000000003</v>
      </c>
      <c r="CT2861">
        <v>0.63</v>
      </c>
      <c r="CU2861">
        <v>2.19</v>
      </c>
      <c r="CV2861">
        <v>3.3</v>
      </c>
      <c r="CW2861">
        <v>0</v>
      </c>
      <c r="CX2861" t="s">
        <v>1064</v>
      </c>
      <c r="CY2861">
        <v>4.5199999999999996</v>
      </c>
      <c r="CZ2861">
        <v>0</v>
      </c>
      <c r="DA2861">
        <v>0.94</v>
      </c>
      <c r="DB2861">
        <v>2.38</v>
      </c>
      <c r="DC2861">
        <v>1.3</v>
      </c>
      <c r="DD2861">
        <v>19.28</v>
      </c>
      <c r="DE2861" t="s">
        <v>2092</v>
      </c>
      <c r="DF2861">
        <v>52.97</v>
      </c>
      <c r="DG2861">
        <v>5.27</v>
      </c>
      <c r="DH2861">
        <v>7.36</v>
      </c>
      <c r="DI2861" t="s">
        <v>120</v>
      </c>
      <c r="DJ2861">
        <v>925</v>
      </c>
      <c r="DK2861">
        <v>600622</v>
      </c>
      <c r="DL2861" t="s">
        <v>120</v>
      </c>
      <c r="DM2861" t="s">
        <v>120</v>
      </c>
      <c r="DN2861" t="s">
        <v>120</v>
      </c>
    </row>
    <row r="2862" spans="1:118">
      <c r="A2862" t="str">
        <f>"600623"</f>
        <v>600623</v>
      </c>
      <c r="B2862" t="s">
        <v>12719</v>
      </c>
      <c r="C2862">
        <v>-2.6</v>
      </c>
      <c r="D2862">
        <v>0</v>
      </c>
      <c r="E2862">
        <v>3.7</v>
      </c>
      <c r="F2862">
        <v>3806</v>
      </c>
      <c r="G2862" t="s">
        <v>12720</v>
      </c>
      <c r="H2862">
        <v>104936.48</v>
      </c>
      <c r="I2862">
        <v>2684.19</v>
      </c>
      <c r="J2862" t="s">
        <v>120</v>
      </c>
      <c r="K2862" t="s">
        <v>12721</v>
      </c>
      <c r="L2862">
        <v>3.7</v>
      </c>
      <c r="M2862">
        <v>15.01</v>
      </c>
      <c r="N2862">
        <v>1.37</v>
      </c>
      <c r="O2862">
        <v>4.8</v>
      </c>
      <c r="P2862">
        <v>16.149999999999999</v>
      </c>
      <c r="Q2862">
        <v>-3.96</v>
      </c>
      <c r="R2862">
        <v>14.8</v>
      </c>
      <c r="S2862">
        <v>15.98</v>
      </c>
      <c r="T2862">
        <v>689935</v>
      </c>
      <c r="U2862">
        <v>15.02</v>
      </c>
      <c r="V2862">
        <v>15.41</v>
      </c>
      <c r="W2862">
        <v>10.34</v>
      </c>
      <c r="X2862" t="s">
        <v>289</v>
      </c>
      <c r="Y2862" t="s">
        <v>1510</v>
      </c>
      <c r="Z2862">
        <v>8.76</v>
      </c>
      <c r="AA2862">
        <v>15.21</v>
      </c>
      <c r="AB2862">
        <v>361198</v>
      </c>
      <c r="AC2862">
        <v>328737</v>
      </c>
      <c r="AD2862">
        <v>1.1000000000000001</v>
      </c>
      <c r="AE2862">
        <v>32</v>
      </c>
      <c r="AF2862">
        <v>287</v>
      </c>
      <c r="AG2862" t="s">
        <v>120</v>
      </c>
      <c r="AH2862">
        <v>0.33</v>
      </c>
      <c r="AI2862" t="s">
        <v>120</v>
      </c>
      <c r="AJ2862">
        <v>18.62</v>
      </c>
      <c r="AK2862" t="s">
        <v>12722</v>
      </c>
      <c r="AL2862">
        <v>-1.25</v>
      </c>
      <c r="AM2862">
        <v>4583</v>
      </c>
      <c r="AN2862">
        <v>151</v>
      </c>
      <c r="AO2862">
        <v>8.0000000000000004E-4</v>
      </c>
      <c r="AP2862">
        <v>-1</v>
      </c>
      <c r="AQ2862">
        <v>8.6</v>
      </c>
      <c r="AR2862">
        <v>16.36</v>
      </c>
      <c r="AS2862">
        <v>24.56</v>
      </c>
      <c r="AT2862">
        <v>71.540000000000006</v>
      </c>
      <c r="AU2862">
        <v>161.5</v>
      </c>
      <c r="AV2862">
        <v>5</v>
      </c>
      <c r="AW2862">
        <v>13.6</v>
      </c>
      <c r="AX2862">
        <v>23.81</v>
      </c>
      <c r="AY2862">
        <v>15.94</v>
      </c>
      <c r="AZ2862">
        <v>77.53</v>
      </c>
      <c r="BA2862">
        <v>0.27</v>
      </c>
      <c r="BB2862" t="s">
        <v>184</v>
      </c>
      <c r="BF2862">
        <v>-1.3</v>
      </c>
      <c r="BG2862">
        <v>-6.07</v>
      </c>
      <c r="BH2862">
        <v>-7.06</v>
      </c>
      <c r="BI2862">
        <v>1.42</v>
      </c>
      <c r="BJ2862">
        <v>20210824</v>
      </c>
      <c r="BK2862">
        <v>19921204</v>
      </c>
      <c r="BL2862">
        <v>21.3</v>
      </c>
      <c r="BM2862">
        <v>2.4300000000000002</v>
      </c>
      <c r="BN2862" t="s">
        <v>120</v>
      </c>
      <c r="BO2862">
        <v>489.82</v>
      </c>
      <c r="BP2862">
        <v>15.01</v>
      </c>
      <c r="BQ2862">
        <v>200.14</v>
      </c>
      <c r="BR2862">
        <v>32.75</v>
      </c>
      <c r="BS2862">
        <v>52.45</v>
      </c>
      <c r="BT2862">
        <v>216.74</v>
      </c>
      <c r="BU2862">
        <v>113.52</v>
      </c>
      <c r="BV2862">
        <v>16.559999999999999</v>
      </c>
      <c r="BW2862">
        <v>191.49</v>
      </c>
      <c r="BX2862">
        <v>80.22</v>
      </c>
      <c r="BY2862">
        <v>42.23</v>
      </c>
      <c r="BZ2862">
        <v>27.33</v>
      </c>
      <c r="CA2862" t="s">
        <v>120</v>
      </c>
      <c r="CB2862">
        <v>91.09</v>
      </c>
      <c r="CC2862">
        <v>200.58</v>
      </c>
      <c r="CD2862">
        <v>164.32</v>
      </c>
      <c r="CE2862">
        <v>25.22</v>
      </c>
      <c r="CF2862">
        <v>2.44</v>
      </c>
      <c r="CG2862">
        <v>25.3</v>
      </c>
      <c r="CH2862">
        <v>20.7</v>
      </c>
      <c r="CI2862">
        <v>15.47</v>
      </c>
      <c r="CJ2862">
        <v>-0.4</v>
      </c>
      <c r="CK2862">
        <v>15.11</v>
      </c>
      <c r="CL2862">
        <v>84.45</v>
      </c>
      <c r="CM2862">
        <v>10.130000000000001</v>
      </c>
      <c r="CN2862">
        <v>-9.3800000000000008</v>
      </c>
      <c r="CO2862">
        <v>58196</v>
      </c>
      <c r="CP2862">
        <v>12893</v>
      </c>
      <c r="CQ2862" t="s">
        <v>12723</v>
      </c>
      <c r="CR2862">
        <v>1828.79</v>
      </c>
      <c r="CS2862">
        <v>56.14</v>
      </c>
      <c r="CT2862">
        <v>1.6</v>
      </c>
      <c r="CU2862">
        <v>31.56</v>
      </c>
      <c r="CV2862">
        <v>1.59</v>
      </c>
      <c r="CW2862">
        <v>0.39</v>
      </c>
      <c r="CX2862" t="s">
        <v>6967</v>
      </c>
      <c r="CY2862">
        <v>9.39</v>
      </c>
      <c r="CZ2862">
        <v>0</v>
      </c>
      <c r="DA2862">
        <v>4.28</v>
      </c>
      <c r="DB2862">
        <v>3.96</v>
      </c>
      <c r="DC2862">
        <v>0.48</v>
      </c>
      <c r="DD2862">
        <v>40.86</v>
      </c>
      <c r="DE2862" t="s">
        <v>10135</v>
      </c>
      <c r="DF2862">
        <v>18.079999999999998</v>
      </c>
      <c r="DG2862">
        <v>12.58</v>
      </c>
      <c r="DH2862">
        <v>7.71</v>
      </c>
      <c r="DI2862">
        <v>2.38</v>
      </c>
      <c r="DJ2862">
        <v>12580</v>
      </c>
      <c r="DK2862">
        <v>600623</v>
      </c>
      <c r="DL2862" t="s">
        <v>120</v>
      </c>
      <c r="DM2862" t="s">
        <v>120</v>
      </c>
      <c r="DN2862" t="s">
        <v>120</v>
      </c>
    </row>
    <row r="2863" spans="1:118">
      <c r="A2863" t="str">
        <f>"600624"</f>
        <v>600624</v>
      </c>
      <c r="B2863" t="s">
        <v>12724</v>
      </c>
      <c r="C2863">
        <v>-0.15</v>
      </c>
      <c r="D2863">
        <v>0.15</v>
      </c>
      <c r="E2863">
        <v>0</v>
      </c>
      <c r="F2863">
        <v>603</v>
      </c>
      <c r="G2863" t="s">
        <v>12725</v>
      </c>
      <c r="H2863">
        <v>5230.6899999999996</v>
      </c>
      <c r="I2863">
        <v>14.76</v>
      </c>
      <c r="J2863" t="s">
        <v>120</v>
      </c>
      <c r="K2863" t="s">
        <v>12726</v>
      </c>
      <c r="L2863">
        <v>1.1200000000000001</v>
      </c>
      <c r="M2863">
        <v>6.73</v>
      </c>
      <c r="N2863">
        <v>1.32</v>
      </c>
      <c r="O2863">
        <v>3.12</v>
      </c>
      <c r="P2863">
        <v>6.95</v>
      </c>
      <c r="Q2863">
        <v>-0.3</v>
      </c>
      <c r="R2863">
        <v>6.72</v>
      </c>
      <c r="S2863">
        <v>6.74</v>
      </c>
      <c r="T2863">
        <v>76795</v>
      </c>
      <c r="U2863">
        <v>6.73</v>
      </c>
      <c r="V2863">
        <v>6.74</v>
      </c>
      <c r="W2863">
        <v>278.49</v>
      </c>
      <c r="X2863" t="s">
        <v>569</v>
      </c>
      <c r="Y2863" t="s">
        <v>1510</v>
      </c>
      <c r="Z2863">
        <v>3.41</v>
      </c>
      <c r="AA2863">
        <v>6.81</v>
      </c>
      <c r="AB2863">
        <v>37946</v>
      </c>
      <c r="AC2863">
        <v>38849</v>
      </c>
      <c r="AD2863">
        <v>0.98</v>
      </c>
      <c r="AE2863">
        <v>477</v>
      </c>
      <c r="AF2863">
        <v>5</v>
      </c>
      <c r="AG2863" t="s">
        <v>120</v>
      </c>
      <c r="AH2863">
        <v>0</v>
      </c>
      <c r="AI2863" t="s">
        <v>120</v>
      </c>
      <c r="AJ2863">
        <v>6.85</v>
      </c>
      <c r="AK2863" t="s">
        <v>12726</v>
      </c>
      <c r="AL2863">
        <v>1.2</v>
      </c>
      <c r="AM2863">
        <v>1619</v>
      </c>
      <c r="AN2863">
        <v>47</v>
      </c>
      <c r="AO2863">
        <v>6.9999999999999999E-4</v>
      </c>
      <c r="AP2863">
        <v>-1</v>
      </c>
      <c r="AQ2863">
        <v>0.15</v>
      </c>
      <c r="AR2863">
        <v>-2.04</v>
      </c>
      <c r="AS2863">
        <v>9.7899999999999991</v>
      </c>
      <c r="AT2863">
        <v>-10.62</v>
      </c>
      <c r="AU2863">
        <v>-14.05</v>
      </c>
      <c r="AV2863">
        <v>0</v>
      </c>
      <c r="AW2863">
        <v>1.64</v>
      </c>
      <c r="AX2863">
        <v>68.569999999999993</v>
      </c>
      <c r="AY2863" t="s">
        <v>120</v>
      </c>
      <c r="AZ2863" t="s">
        <v>120</v>
      </c>
      <c r="BA2863">
        <v>0.39</v>
      </c>
      <c r="BB2863" t="s">
        <v>143</v>
      </c>
      <c r="BF2863">
        <v>1.06</v>
      </c>
      <c r="BG2863">
        <v>-0.15</v>
      </c>
      <c r="BH2863">
        <v>-3.17</v>
      </c>
      <c r="BI2863">
        <v>0.15</v>
      </c>
      <c r="BJ2863">
        <v>20210830</v>
      </c>
      <c r="BK2863">
        <v>19930105</v>
      </c>
      <c r="BL2863">
        <v>6.85</v>
      </c>
      <c r="BM2863" t="s">
        <v>120</v>
      </c>
      <c r="BN2863" t="s">
        <v>120</v>
      </c>
      <c r="BO2863">
        <v>21.26</v>
      </c>
      <c r="BP2863">
        <v>6.72</v>
      </c>
      <c r="BQ2863">
        <v>11.01</v>
      </c>
      <c r="BR2863">
        <v>0.81</v>
      </c>
      <c r="BS2863">
        <v>44.41</v>
      </c>
      <c r="BT2863">
        <v>12.09</v>
      </c>
      <c r="BU2863">
        <v>3.15</v>
      </c>
      <c r="BV2863">
        <v>0.68</v>
      </c>
      <c r="BW2863">
        <v>7.41</v>
      </c>
      <c r="BX2863">
        <v>3.46</v>
      </c>
      <c r="BY2863">
        <v>6.97</v>
      </c>
      <c r="BZ2863">
        <v>0.93</v>
      </c>
      <c r="CA2863">
        <v>0.03</v>
      </c>
      <c r="CB2863">
        <v>1.72</v>
      </c>
      <c r="CC2863">
        <v>4.96</v>
      </c>
      <c r="CD2863">
        <v>2.52</v>
      </c>
      <c r="CE2863">
        <v>0.34</v>
      </c>
      <c r="CF2863">
        <v>-0.01</v>
      </c>
      <c r="CG2863">
        <v>0.3</v>
      </c>
      <c r="CH2863">
        <v>0.11</v>
      </c>
      <c r="CI2863">
        <v>0.08</v>
      </c>
      <c r="CJ2863">
        <v>-0.01</v>
      </c>
      <c r="CK2863">
        <v>7.0000000000000007E-2</v>
      </c>
      <c r="CL2863">
        <v>2.37</v>
      </c>
      <c r="CM2863">
        <v>0.75</v>
      </c>
      <c r="CN2863">
        <v>0.42</v>
      </c>
      <c r="CO2863">
        <v>71479</v>
      </c>
      <c r="CP2863">
        <v>6569</v>
      </c>
      <c r="CQ2863" t="s">
        <v>5588</v>
      </c>
      <c r="CR2863">
        <v>-24.12</v>
      </c>
      <c r="CS2863">
        <v>12.02</v>
      </c>
      <c r="CT2863">
        <v>4.18</v>
      </c>
      <c r="CU2863">
        <v>61.2</v>
      </c>
      <c r="CV2863">
        <v>9.2799999999999994</v>
      </c>
      <c r="CW2863">
        <v>0</v>
      </c>
      <c r="CX2863" t="s">
        <v>2327</v>
      </c>
      <c r="CY2863">
        <v>1.61</v>
      </c>
      <c r="CZ2863">
        <v>0</v>
      </c>
      <c r="DA2863">
        <v>0.25</v>
      </c>
      <c r="DB2863">
        <v>0.35</v>
      </c>
      <c r="DC2863">
        <v>0.11</v>
      </c>
      <c r="DD2863">
        <v>51.78</v>
      </c>
      <c r="DE2863" t="s">
        <v>521</v>
      </c>
      <c r="DF2863">
        <v>49.17</v>
      </c>
      <c r="DG2863">
        <v>6.9</v>
      </c>
      <c r="DH2863">
        <v>1.67</v>
      </c>
      <c r="DI2863">
        <v>0.27</v>
      </c>
      <c r="DJ2863">
        <v>1508</v>
      </c>
      <c r="DK2863">
        <v>600624</v>
      </c>
      <c r="DL2863" t="s">
        <v>120</v>
      </c>
      <c r="DM2863" t="s">
        <v>120</v>
      </c>
      <c r="DN2863" t="s">
        <v>120</v>
      </c>
    </row>
    <row r="2864" spans="1:118">
      <c r="A2864" t="str">
        <f>"600626"</f>
        <v>600626</v>
      </c>
      <c r="B2864" t="s">
        <v>12727</v>
      </c>
      <c r="C2864">
        <v>-2.31</v>
      </c>
      <c r="D2864">
        <v>0.24</v>
      </c>
      <c r="E2864">
        <v>-0.23</v>
      </c>
      <c r="F2864">
        <v>743</v>
      </c>
      <c r="G2864" t="s">
        <v>3947</v>
      </c>
      <c r="H2864">
        <v>3817.03</v>
      </c>
      <c r="I2864">
        <v>1.21</v>
      </c>
      <c r="J2864" t="s">
        <v>120</v>
      </c>
      <c r="K2864" t="s">
        <v>5204</v>
      </c>
      <c r="L2864">
        <v>1.1000000000000001</v>
      </c>
      <c r="M2864">
        <v>4.22</v>
      </c>
      <c r="N2864">
        <v>0.98</v>
      </c>
      <c r="O2864">
        <v>0.93</v>
      </c>
      <c r="P2864">
        <v>4.3600000000000003</v>
      </c>
      <c r="Q2864">
        <v>-2.5499999999999998</v>
      </c>
      <c r="R2864">
        <v>4.21</v>
      </c>
      <c r="S2864">
        <v>4.3099999999999996</v>
      </c>
      <c r="T2864">
        <v>89265</v>
      </c>
      <c r="U2864">
        <v>4.2300000000000004</v>
      </c>
      <c r="V2864">
        <v>4.32</v>
      </c>
      <c r="W2864">
        <v>10.46</v>
      </c>
      <c r="X2864" t="s">
        <v>1766</v>
      </c>
      <c r="Y2864" t="s">
        <v>1510</v>
      </c>
      <c r="Z2864">
        <v>3.47</v>
      </c>
      <c r="AA2864">
        <v>4.28</v>
      </c>
      <c r="AB2864">
        <v>54901</v>
      </c>
      <c r="AC2864">
        <v>34364</v>
      </c>
      <c r="AD2864">
        <v>1.6</v>
      </c>
      <c r="AE2864">
        <v>275</v>
      </c>
      <c r="AF2864">
        <v>494</v>
      </c>
      <c r="AG2864" t="s">
        <v>120</v>
      </c>
      <c r="AH2864">
        <v>0</v>
      </c>
      <c r="AI2864" t="s">
        <v>120</v>
      </c>
      <c r="AJ2864">
        <v>8.08</v>
      </c>
      <c r="AK2864" t="s">
        <v>12728</v>
      </c>
      <c r="AL2864">
        <v>-0.97</v>
      </c>
      <c r="AM2864">
        <v>1708</v>
      </c>
      <c r="AN2864">
        <v>52</v>
      </c>
      <c r="AO2864">
        <v>5.9999999999999995E-4</v>
      </c>
      <c r="AP2864">
        <v>-1</v>
      </c>
      <c r="AQ2864">
        <v>0.47</v>
      </c>
      <c r="AR2864">
        <v>-4.3</v>
      </c>
      <c r="AS2864">
        <v>11.64</v>
      </c>
      <c r="AT2864">
        <v>-1.41</v>
      </c>
      <c r="AU2864">
        <v>5.76</v>
      </c>
      <c r="AV2864">
        <v>2</v>
      </c>
      <c r="AW2864">
        <v>1.52</v>
      </c>
      <c r="AX2864">
        <v>53.02</v>
      </c>
      <c r="AY2864" t="s">
        <v>120</v>
      </c>
      <c r="AZ2864" t="s">
        <v>120</v>
      </c>
      <c r="BA2864">
        <v>0.73</v>
      </c>
      <c r="BB2864" t="s">
        <v>143</v>
      </c>
      <c r="BF2864">
        <v>-1.02</v>
      </c>
      <c r="BG2864">
        <v>-2.09</v>
      </c>
      <c r="BH2864">
        <v>-3.21</v>
      </c>
      <c r="BI2864">
        <v>0.24</v>
      </c>
      <c r="BJ2864">
        <v>20210831</v>
      </c>
      <c r="BK2864">
        <v>19930107</v>
      </c>
      <c r="BL2864">
        <v>11.08</v>
      </c>
      <c r="BM2864" t="s">
        <v>120</v>
      </c>
      <c r="BN2864" t="s">
        <v>120</v>
      </c>
      <c r="BO2864">
        <v>102.12</v>
      </c>
      <c r="BP2864">
        <v>4.22</v>
      </c>
      <c r="BQ2864">
        <v>26.18</v>
      </c>
      <c r="BR2864">
        <v>3.92</v>
      </c>
      <c r="BS2864">
        <v>70.52</v>
      </c>
      <c r="BT2864">
        <v>46.27</v>
      </c>
      <c r="BU2864">
        <v>28.05</v>
      </c>
      <c r="BV2864">
        <v>2.97</v>
      </c>
      <c r="BW2864">
        <v>37.130000000000003</v>
      </c>
      <c r="BX2864">
        <v>17.8</v>
      </c>
      <c r="BY2864">
        <v>9.82</v>
      </c>
      <c r="BZ2864">
        <v>11.66</v>
      </c>
      <c r="CA2864" t="s">
        <v>120</v>
      </c>
      <c r="CB2864">
        <v>7.23</v>
      </c>
      <c r="CC2864">
        <v>54.78</v>
      </c>
      <c r="CD2864">
        <v>50.02</v>
      </c>
      <c r="CE2864">
        <v>3.28</v>
      </c>
      <c r="CF2864">
        <v>4.26</v>
      </c>
      <c r="CG2864">
        <v>3.12</v>
      </c>
      <c r="CH2864">
        <v>1.87</v>
      </c>
      <c r="CI2864">
        <v>2.2400000000000002</v>
      </c>
      <c r="CJ2864">
        <v>-0.1</v>
      </c>
      <c r="CK2864">
        <v>-0.98</v>
      </c>
      <c r="CL2864">
        <v>4.2</v>
      </c>
      <c r="CM2864">
        <v>-0.31</v>
      </c>
      <c r="CN2864">
        <v>3.53</v>
      </c>
      <c r="CO2864">
        <v>50086</v>
      </c>
      <c r="CP2864">
        <v>11729</v>
      </c>
      <c r="CQ2864" t="s">
        <v>564</v>
      </c>
      <c r="CR2864">
        <v>299.74</v>
      </c>
      <c r="CS2864">
        <v>12.65</v>
      </c>
      <c r="CT2864">
        <v>1.37</v>
      </c>
      <c r="CU2864">
        <v>-151.86000000000001</v>
      </c>
      <c r="CV2864">
        <v>0.85</v>
      </c>
      <c r="CW2864">
        <v>0</v>
      </c>
      <c r="CX2864" t="s">
        <v>670</v>
      </c>
      <c r="CY2864">
        <v>3.07</v>
      </c>
      <c r="CZ2864">
        <v>3.07</v>
      </c>
      <c r="DA2864">
        <v>0.65</v>
      </c>
      <c r="DB2864">
        <v>0.38</v>
      </c>
      <c r="DC2864">
        <v>-0.03</v>
      </c>
      <c r="DD2864">
        <v>25.64</v>
      </c>
      <c r="DE2864" t="s">
        <v>1463</v>
      </c>
      <c r="DF2864">
        <v>8.6999999999999993</v>
      </c>
      <c r="DG2864">
        <v>5.99</v>
      </c>
      <c r="DH2864">
        <v>4.08</v>
      </c>
      <c r="DI2864">
        <v>0.73</v>
      </c>
      <c r="DJ2864">
        <v>8615</v>
      </c>
      <c r="DK2864">
        <v>600626</v>
      </c>
      <c r="DL2864" t="s">
        <v>120</v>
      </c>
      <c r="DM2864" t="s">
        <v>120</v>
      </c>
      <c r="DN2864" t="s">
        <v>120</v>
      </c>
    </row>
    <row r="2865" spans="1:118">
      <c r="A2865" t="str">
        <f>"600628"</f>
        <v>600628</v>
      </c>
      <c r="B2865" t="s">
        <v>12729</v>
      </c>
      <c r="C2865">
        <v>-1.07</v>
      </c>
      <c r="D2865">
        <v>0.12</v>
      </c>
      <c r="E2865">
        <v>0.12</v>
      </c>
      <c r="F2865">
        <v>82</v>
      </c>
      <c r="G2865" t="s">
        <v>6447</v>
      </c>
      <c r="H2865">
        <v>2040.07</v>
      </c>
      <c r="I2865">
        <v>1.43</v>
      </c>
      <c r="J2865" t="s">
        <v>120</v>
      </c>
      <c r="K2865" t="s">
        <v>8075</v>
      </c>
      <c r="L2865">
        <v>0.38</v>
      </c>
      <c r="M2865">
        <v>8.2899999999999991</v>
      </c>
      <c r="N2865">
        <v>0.74</v>
      </c>
      <c r="O2865">
        <v>0.6</v>
      </c>
      <c r="P2865">
        <v>8.43</v>
      </c>
      <c r="Q2865">
        <v>-1.67</v>
      </c>
      <c r="R2865">
        <v>8.24</v>
      </c>
      <c r="S2865">
        <v>8.39</v>
      </c>
      <c r="T2865">
        <v>24456</v>
      </c>
      <c r="U2865">
        <v>8.2899999999999991</v>
      </c>
      <c r="V2865">
        <v>8.3800000000000008</v>
      </c>
      <c r="W2865">
        <v>43.52</v>
      </c>
      <c r="X2865" t="s">
        <v>735</v>
      </c>
      <c r="Y2865" t="s">
        <v>1510</v>
      </c>
      <c r="Z2865">
        <v>2.27</v>
      </c>
      <c r="AA2865">
        <v>8.34</v>
      </c>
      <c r="AB2865">
        <v>13731</v>
      </c>
      <c r="AC2865">
        <v>10725</v>
      </c>
      <c r="AD2865">
        <v>1.28</v>
      </c>
      <c r="AE2865">
        <v>50</v>
      </c>
      <c r="AF2865">
        <v>148</v>
      </c>
      <c r="AG2865" t="s">
        <v>120</v>
      </c>
      <c r="AH2865">
        <v>0</v>
      </c>
      <c r="AI2865" t="s">
        <v>120</v>
      </c>
      <c r="AJ2865">
        <v>6.47</v>
      </c>
      <c r="AK2865" t="s">
        <v>8075</v>
      </c>
      <c r="AL2865">
        <v>0.27</v>
      </c>
      <c r="AM2865">
        <v>1139</v>
      </c>
      <c r="AN2865">
        <v>21</v>
      </c>
      <c r="AO2865">
        <v>2.9999999999999997E-4</v>
      </c>
      <c r="AP2865">
        <v>-1</v>
      </c>
      <c r="AQ2865">
        <v>0.48</v>
      </c>
      <c r="AR2865">
        <v>-2.0099999999999998</v>
      </c>
      <c r="AS2865">
        <v>3.56</v>
      </c>
      <c r="AT2865">
        <v>4.87</v>
      </c>
      <c r="AU2865">
        <v>7.04</v>
      </c>
      <c r="AV2865">
        <v>2</v>
      </c>
      <c r="AW2865">
        <v>0.86</v>
      </c>
      <c r="AX2865">
        <v>44.17</v>
      </c>
      <c r="AY2865">
        <v>41.05</v>
      </c>
      <c r="AZ2865">
        <v>76.75</v>
      </c>
      <c r="BA2865">
        <v>0.75</v>
      </c>
      <c r="BB2865" t="s">
        <v>143</v>
      </c>
      <c r="BF2865">
        <v>-0.46</v>
      </c>
      <c r="BG2865">
        <v>-1.19</v>
      </c>
      <c r="BH2865">
        <v>-1.66</v>
      </c>
      <c r="BI2865">
        <v>0.61</v>
      </c>
      <c r="BJ2865">
        <v>20210827</v>
      </c>
      <c r="BK2865">
        <v>19930119</v>
      </c>
      <c r="BL2865">
        <v>6.47</v>
      </c>
      <c r="BM2865" t="s">
        <v>120</v>
      </c>
      <c r="BN2865" t="s">
        <v>120</v>
      </c>
      <c r="BO2865">
        <v>60.84</v>
      </c>
      <c r="BP2865">
        <v>8.2799999999999994</v>
      </c>
      <c r="BQ2865">
        <v>44.07</v>
      </c>
      <c r="BR2865">
        <v>0.03</v>
      </c>
      <c r="BS2865">
        <v>27.52</v>
      </c>
      <c r="BT2865">
        <v>23.79</v>
      </c>
      <c r="BU2865">
        <v>27.47</v>
      </c>
      <c r="BV2865">
        <v>4.5999999999999996</v>
      </c>
      <c r="BW2865">
        <v>16.36</v>
      </c>
      <c r="BX2865">
        <v>21.27</v>
      </c>
      <c r="BY2865">
        <v>1.39</v>
      </c>
      <c r="BZ2865">
        <v>0.91</v>
      </c>
      <c r="CA2865">
        <v>0.03</v>
      </c>
      <c r="CB2865">
        <v>15.65</v>
      </c>
      <c r="CC2865">
        <v>5.61</v>
      </c>
      <c r="CD2865">
        <v>3.3</v>
      </c>
      <c r="CE2865">
        <v>0.59</v>
      </c>
      <c r="CF2865">
        <v>0</v>
      </c>
      <c r="CG2865">
        <v>0.81</v>
      </c>
      <c r="CH2865">
        <v>0.62</v>
      </c>
      <c r="CI2865">
        <v>0.62</v>
      </c>
      <c r="CJ2865">
        <v>-0.09</v>
      </c>
      <c r="CK2865">
        <v>0.44</v>
      </c>
      <c r="CL2865">
        <v>19.32</v>
      </c>
      <c r="CM2865">
        <v>1.27</v>
      </c>
      <c r="CN2865">
        <v>4.71</v>
      </c>
      <c r="CO2865">
        <v>32537</v>
      </c>
      <c r="CP2865">
        <v>8781</v>
      </c>
      <c r="CQ2865" t="s">
        <v>12730</v>
      </c>
      <c r="CR2865">
        <v>31483.1</v>
      </c>
      <c r="CS2865">
        <v>27.86</v>
      </c>
      <c r="CT2865">
        <v>1.22</v>
      </c>
      <c r="CU2865">
        <v>42.11</v>
      </c>
      <c r="CV2865">
        <v>9.56</v>
      </c>
      <c r="CW2865">
        <v>0.66</v>
      </c>
      <c r="CX2865" t="s">
        <v>411</v>
      </c>
      <c r="CY2865">
        <v>6.81</v>
      </c>
      <c r="CZ2865">
        <v>0</v>
      </c>
      <c r="DA2865">
        <v>2.42</v>
      </c>
      <c r="DB2865">
        <v>2.99</v>
      </c>
      <c r="DC2865">
        <v>0.2</v>
      </c>
      <c r="DD2865">
        <v>72.430000000000007</v>
      </c>
      <c r="DE2865" t="s">
        <v>4542</v>
      </c>
      <c r="DF2865">
        <v>41.16</v>
      </c>
      <c r="DG2865">
        <v>10.47</v>
      </c>
      <c r="DH2865">
        <v>10.98</v>
      </c>
      <c r="DI2865" t="s">
        <v>120</v>
      </c>
      <c r="DJ2865">
        <v>932</v>
      </c>
      <c r="DK2865">
        <v>600628</v>
      </c>
      <c r="DL2865" t="s">
        <v>120</v>
      </c>
      <c r="DM2865" t="s">
        <v>120</v>
      </c>
      <c r="DN2865" t="s">
        <v>120</v>
      </c>
    </row>
    <row r="2866" spans="1:118">
      <c r="A2866" t="str">
        <f>"600629"</f>
        <v>600629</v>
      </c>
      <c r="B2866" t="s">
        <v>12731</v>
      </c>
      <c r="C2866">
        <v>-0.32</v>
      </c>
      <c r="D2866">
        <v>0.64</v>
      </c>
      <c r="E2866">
        <v>0.79</v>
      </c>
      <c r="F2866">
        <v>306</v>
      </c>
      <c r="G2866" t="s">
        <v>3885</v>
      </c>
      <c r="H2866">
        <v>1075.78</v>
      </c>
      <c r="I2866">
        <v>1.66</v>
      </c>
      <c r="J2866" t="s">
        <v>120</v>
      </c>
      <c r="K2866" t="s">
        <v>12732</v>
      </c>
      <c r="L2866">
        <v>0.27</v>
      </c>
      <c r="M2866">
        <v>6.31</v>
      </c>
      <c r="N2866">
        <v>0.93</v>
      </c>
      <c r="O2866">
        <v>1.1100000000000001</v>
      </c>
      <c r="P2866">
        <v>6.4</v>
      </c>
      <c r="Q2866">
        <v>-1.1100000000000001</v>
      </c>
      <c r="R2866">
        <v>6.26</v>
      </c>
      <c r="S2866">
        <v>6.38</v>
      </c>
      <c r="T2866">
        <v>17040</v>
      </c>
      <c r="U2866">
        <v>6.31</v>
      </c>
      <c r="V2866">
        <v>6.33</v>
      </c>
      <c r="W2866">
        <v>10.199999999999999</v>
      </c>
      <c r="X2866" t="s">
        <v>175</v>
      </c>
      <c r="Y2866" t="s">
        <v>1510</v>
      </c>
      <c r="Z2866">
        <v>2.21</v>
      </c>
      <c r="AA2866">
        <v>6.31</v>
      </c>
      <c r="AB2866">
        <v>7532</v>
      </c>
      <c r="AC2866">
        <v>9508</v>
      </c>
      <c r="AD2866">
        <v>0.79</v>
      </c>
      <c r="AE2866">
        <v>142</v>
      </c>
      <c r="AF2866">
        <v>490</v>
      </c>
      <c r="AG2866" t="s">
        <v>120</v>
      </c>
      <c r="AH2866">
        <v>0</v>
      </c>
      <c r="AI2866" t="s">
        <v>120</v>
      </c>
      <c r="AJ2866">
        <v>6.28</v>
      </c>
      <c r="AK2866" t="s">
        <v>5587</v>
      </c>
      <c r="AL2866">
        <v>1.03</v>
      </c>
      <c r="AM2866">
        <v>805</v>
      </c>
      <c r="AN2866">
        <v>21</v>
      </c>
      <c r="AO2866">
        <v>2.9999999999999997E-4</v>
      </c>
      <c r="AP2866">
        <v>-1</v>
      </c>
      <c r="AQ2866">
        <v>0</v>
      </c>
      <c r="AR2866">
        <v>-2.02</v>
      </c>
      <c r="AS2866">
        <v>12.07</v>
      </c>
      <c r="AT2866">
        <v>5.24</v>
      </c>
      <c r="AU2866">
        <v>-2.74</v>
      </c>
      <c r="AV2866">
        <v>0</v>
      </c>
      <c r="AW2866">
        <v>0.93</v>
      </c>
      <c r="AX2866">
        <v>29.01</v>
      </c>
      <c r="AY2866">
        <v>22.36</v>
      </c>
      <c r="AZ2866">
        <v>23.09</v>
      </c>
      <c r="BA2866">
        <v>0.63</v>
      </c>
      <c r="BB2866" t="s">
        <v>143</v>
      </c>
      <c r="BF2866">
        <v>-0.26</v>
      </c>
      <c r="BG2866">
        <v>-1.1000000000000001</v>
      </c>
      <c r="BH2866">
        <v>-1.41</v>
      </c>
      <c r="BI2866">
        <v>0.8</v>
      </c>
      <c r="BJ2866">
        <v>20210831</v>
      </c>
      <c r="BK2866">
        <v>19930209</v>
      </c>
      <c r="BL2866">
        <v>6.34</v>
      </c>
      <c r="BM2866" t="s">
        <v>120</v>
      </c>
      <c r="BN2866" t="s">
        <v>120</v>
      </c>
      <c r="BO2866">
        <v>125.47</v>
      </c>
      <c r="BP2866">
        <v>6.27</v>
      </c>
      <c r="BQ2866">
        <v>31.23</v>
      </c>
      <c r="BR2866">
        <v>3.32</v>
      </c>
      <c r="BS2866">
        <v>72.459999999999994</v>
      </c>
      <c r="BT2866">
        <v>92.16</v>
      </c>
      <c r="BU2866">
        <v>9.9</v>
      </c>
      <c r="BV2866">
        <v>0.57999999999999996</v>
      </c>
      <c r="BW2866">
        <v>80.19</v>
      </c>
      <c r="BX2866">
        <v>19.29</v>
      </c>
      <c r="BY2866">
        <v>27.89</v>
      </c>
      <c r="BZ2866">
        <v>26.5</v>
      </c>
      <c r="CA2866" t="s">
        <v>120</v>
      </c>
      <c r="CB2866">
        <v>14.54</v>
      </c>
      <c r="CC2866">
        <v>40.49</v>
      </c>
      <c r="CD2866">
        <v>32.51</v>
      </c>
      <c r="CE2866">
        <v>2.11</v>
      </c>
      <c r="CF2866">
        <v>0.34</v>
      </c>
      <c r="CG2866">
        <v>2.4700000000000002</v>
      </c>
      <c r="CH2866">
        <v>2.11</v>
      </c>
      <c r="CI2866">
        <v>1.96</v>
      </c>
      <c r="CJ2866">
        <v>-0.02</v>
      </c>
      <c r="CK2866">
        <v>1.65</v>
      </c>
      <c r="CL2866">
        <v>15.23</v>
      </c>
      <c r="CM2866">
        <v>-5.05</v>
      </c>
      <c r="CN2866">
        <v>-2.89</v>
      </c>
      <c r="CO2866">
        <v>14462</v>
      </c>
      <c r="CP2866">
        <v>12724</v>
      </c>
      <c r="CQ2866" t="s">
        <v>12733</v>
      </c>
      <c r="CR2866">
        <v>2.98</v>
      </c>
      <c r="CS2866">
        <v>7.48</v>
      </c>
      <c r="CT2866">
        <v>1.28</v>
      </c>
      <c r="CU2866">
        <v>-7.92</v>
      </c>
      <c r="CV2866">
        <v>0.99</v>
      </c>
      <c r="CW2866">
        <v>0.72</v>
      </c>
      <c r="CX2866" t="s">
        <v>9000</v>
      </c>
      <c r="CY2866">
        <v>4.92</v>
      </c>
      <c r="CZ2866">
        <v>0</v>
      </c>
      <c r="DA2866">
        <v>2.29</v>
      </c>
      <c r="DB2866">
        <v>2.4</v>
      </c>
      <c r="DC2866">
        <v>-0.8</v>
      </c>
      <c r="DD2866">
        <v>24.89</v>
      </c>
      <c r="DE2866" t="s">
        <v>12734</v>
      </c>
      <c r="DF2866">
        <v>19.71</v>
      </c>
      <c r="DG2866">
        <v>5.2</v>
      </c>
      <c r="DH2866">
        <v>4.84</v>
      </c>
      <c r="DI2866">
        <v>1.07</v>
      </c>
      <c r="DJ2866">
        <v>8350</v>
      </c>
      <c r="DK2866">
        <v>600629</v>
      </c>
      <c r="DL2866" t="s">
        <v>120</v>
      </c>
      <c r="DM2866" t="s">
        <v>120</v>
      </c>
      <c r="DN2866" t="s">
        <v>120</v>
      </c>
    </row>
    <row r="2867" spans="1:118">
      <c r="A2867" t="str">
        <f>"600630"</f>
        <v>600630</v>
      </c>
      <c r="B2867" t="s">
        <v>12735</v>
      </c>
      <c r="C2867">
        <v>-0.91</v>
      </c>
      <c r="D2867">
        <v>-0.17</v>
      </c>
      <c r="E2867">
        <v>-0.55000000000000004</v>
      </c>
      <c r="F2867">
        <v>783</v>
      </c>
      <c r="G2867" t="s">
        <v>12736</v>
      </c>
      <c r="H2867">
        <v>2963.66</v>
      </c>
      <c r="I2867">
        <v>4.58</v>
      </c>
      <c r="J2867" t="s">
        <v>120</v>
      </c>
      <c r="K2867" t="s">
        <v>12737</v>
      </c>
      <c r="L2867">
        <v>1.27</v>
      </c>
      <c r="M2867">
        <v>5.43</v>
      </c>
      <c r="N2867">
        <v>0.95</v>
      </c>
      <c r="O2867">
        <v>1.64</v>
      </c>
      <c r="P2867">
        <v>5.57</v>
      </c>
      <c r="Q2867">
        <v>-1.0900000000000001</v>
      </c>
      <c r="R2867">
        <v>5.42</v>
      </c>
      <c r="S2867">
        <v>5.45</v>
      </c>
      <c r="T2867">
        <v>53947</v>
      </c>
      <c r="U2867">
        <v>5.44</v>
      </c>
      <c r="V2867">
        <v>5.48</v>
      </c>
      <c r="W2867">
        <v>82.68</v>
      </c>
      <c r="X2867" t="s">
        <v>1766</v>
      </c>
      <c r="Y2867" t="s">
        <v>1510</v>
      </c>
      <c r="Z2867">
        <v>2.74</v>
      </c>
      <c r="AA2867">
        <v>5.49</v>
      </c>
      <c r="AB2867">
        <v>29159</v>
      </c>
      <c r="AC2867">
        <v>24788</v>
      </c>
      <c r="AD2867">
        <v>1.18</v>
      </c>
      <c r="AE2867">
        <v>73</v>
      </c>
      <c r="AF2867">
        <v>185</v>
      </c>
      <c r="AG2867" t="s">
        <v>120</v>
      </c>
      <c r="AH2867">
        <v>0</v>
      </c>
      <c r="AI2867" t="s">
        <v>120</v>
      </c>
      <c r="AJ2867">
        <v>4.25</v>
      </c>
      <c r="AK2867" t="s">
        <v>12737</v>
      </c>
      <c r="AL2867">
        <v>0.43</v>
      </c>
      <c r="AM2867">
        <v>1256</v>
      </c>
      <c r="AN2867">
        <v>43</v>
      </c>
      <c r="AO2867">
        <v>1E-3</v>
      </c>
      <c r="AP2867">
        <v>-3</v>
      </c>
      <c r="AQ2867">
        <v>-0.36</v>
      </c>
      <c r="AR2867">
        <v>-2.86</v>
      </c>
      <c r="AS2867">
        <v>6.47</v>
      </c>
      <c r="AT2867">
        <v>-10.54</v>
      </c>
      <c r="AU2867">
        <v>-7.33</v>
      </c>
      <c r="AV2867">
        <v>4</v>
      </c>
      <c r="AW2867">
        <v>1.82</v>
      </c>
      <c r="AX2867">
        <v>69.92</v>
      </c>
      <c r="AY2867" t="s">
        <v>120</v>
      </c>
      <c r="AZ2867" t="s">
        <v>120</v>
      </c>
      <c r="BA2867">
        <v>0.84</v>
      </c>
      <c r="BB2867" t="s">
        <v>143</v>
      </c>
      <c r="BF2867">
        <v>0.25</v>
      </c>
      <c r="BG2867">
        <v>-0.37</v>
      </c>
      <c r="BH2867">
        <v>-2.5099999999999998</v>
      </c>
      <c r="BI2867">
        <v>0.18</v>
      </c>
      <c r="BJ2867">
        <v>20210830</v>
      </c>
      <c r="BK2867">
        <v>19930209</v>
      </c>
      <c r="BL2867">
        <v>4.25</v>
      </c>
      <c r="BM2867" t="s">
        <v>120</v>
      </c>
      <c r="BN2867" t="s">
        <v>120</v>
      </c>
      <c r="BO2867">
        <v>25.96</v>
      </c>
      <c r="BP2867">
        <v>5.43</v>
      </c>
      <c r="BQ2867">
        <v>15.4</v>
      </c>
      <c r="BR2867">
        <v>0.21</v>
      </c>
      <c r="BS2867">
        <v>39.880000000000003</v>
      </c>
      <c r="BT2867">
        <v>20.55</v>
      </c>
      <c r="BU2867">
        <v>4.09</v>
      </c>
      <c r="BV2867">
        <v>0.28000000000000003</v>
      </c>
      <c r="BW2867">
        <v>8.2100000000000009</v>
      </c>
      <c r="BX2867">
        <v>3.23</v>
      </c>
      <c r="BY2867">
        <v>7.12</v>
      </c>
      <c r="BZ2867">
        <v>3.46</v>
      </c>
      <c r="CA2867" t="s">
        <v>120</v>
      </c>
      <c r="CB2867">
        <v>9.33</v>
      </c>
      <c r="CC2867">
        <v>14.64</v>
      </c>
      <c r="CD2867">
        <v>10.56</v>
      </c>
      <c r="CE2867">
        <v>0.2</v>
      </c>
      <c r="CF2867">
        <v>0</v>
      </c>
      <c r="CG2867">
        <v>0.21</v>
      </c>
      <c r="CH2867">
        <v>0.15</v>
      </c>
      <c r="CI2867">
        <v>0.14000000000000001</v>
      </c>
      <c r="CJ2867">
        <v>-0.05</v>
      </c>
      <c r="CK2867">
        <v>7.0000000000000007E-2</v>
      </c>
      <c r="CL2867">
        <v>1.63</v>
      </c>
      <c r="CM2867">
        <v>0.24</v>
      </c>
      <c r="CN2867">
        <v>-0.57999999999999996</v>
      </c>
      <c r="CO2867">
        <v>63186</v>
      </c>
      <c r="CP2867">
        <v>4701</v>
      </c>
      <c r="CQ2867" t="s">
        <v>2081</v>
      </c>
      <c r="CR2867">
        <v>113.6</v>
      </c>
      <c r="CS2867">
        <v>-7.96</v>
      </c>
      <c r="CT2867">
        <v>1.5</v>
      </c>
      <c r="CU2867">
        <v>96.68</v>
      </c>
      <c r="CV2867">
        <v>1.58</v>
      </c>
      <c r="CW2867">
        <v>0</v>
      </c>
      <c r="CX2867" t="s">
        <v>2074</v>
      </c>
      <c r="CY2867">
        <v>3.63</v>
      </c>
      <c r="CZ2867">
        <v>0</v>
      </c>
      <c r="DA2867">
        <v>2.2000000000000002</v>
      </c>
      <c r="DB2867">
        <v>0.38</v>
      </c>
      <c r="DC2867">
        <v>0.06</v>
      </c>
      <c r="DD2867">
        <v>59.33</v>
      </c>
      <c r="DE2867" t="s">
        <v>2062</v>
      </c>
      <c r="DF2867">
        <v>27.87</v>
      </c>
      <c r="DG2867">
        <v>1.36</v>
      </c>
      <c r="DH2867">
        <v>0.95</v>
      </c>
      <c r="DI2867">
        <v>0.21</v>
      </c>
      <c r="DJ2867">
        <v>2057</v>
      </c>
      <c r="DK2867">
        <v>600630</v>
      </c>
      <c r="DL2867" t="s">
        <v>120</v>
      </c>
      <c r="DM2867" t="s">
        <v>120</v>
      </c>
      <c r="DN2867" t="s">
        <v>120</v>
      </c>
    </row>
    <row r="2868" spans="1:118">
      <c r="A2868" t="str">
        <f>"600633"</f>
        <v>600633</v>
      </c>
      <c r="B2868" t="s">
        <v>12738</v>
      </c>
      <c r="C2868">
        <v>0.28000000000000003</v>
      </c>
      <c r="D2868">
        <v>0.99</v>
      </c>
      <c r="E2868">
        <v>0.98</v>
      </c>
      <c r="F2868">
        <v>5290</v>
      </c>
      <c r="G2868" t="s">
        <v>5443</v>
      </c>
      <c r="H2868">
        <v>5420.31</v>
      </c>
      <c r="I2868">
        <v>28.9</v>
      </c>
      <c r="J2868" t="s">
        <v>120</v>
      </c>
      <c r="K2868" t="s">
        <v>7267</v>
      </c>
      <c r="L2868">
        <v>0.57999999999999996</v>
      </c>
      <c r="M2868">
        <v>7.14</v>
      </c>
      <c r="N2868">
        <v>0.79</v>
      </c>
      <c r="O2868">
        <v>1.69</v>
      </c>
      <c r="P2868">
        <v>7.24</v>
      </c>
      <c r="Q2868">
        <v>-1.1200000000000001</v>
      </c>
      <c r="R2868">
        <v>7.04</v>
      </c>
      <c r="S2868">
        <v>7.19</v>
      </c>
      <c r="T2868">
        <v>75837</v>
      </c>
      <c r="U2868">
        <v>7.15</v>
      </c>
      <c r="V2868">
        <v>7.12</v>
      </c>
      <c r="W2868">
        <v>16.21</v>
      </c>
      <c r="X2868" t="s">
        <v>1531</v>
      </c>
      <c r="Y2868" t="s">
        <v>585</v>
      </c>
      <c r="Z2868">
        <v>2.81</v>
      </c>
      <c r="AA2868">
        <v>7.15</v>
      </c>
      <c r="AB2868">
        <v>40543</v>
      </c>
      <c r="AC2868">
        <v>35294</v>
      </c>
      <c r="AD2868">
        <v>1.1499999999999999</v>
      </c>
      <c r="AE2868">
        <v>14465</v>
      </c>
      <c r="AF2868">
        <v>166</v>
      </c>
      <c r="AG2868" t="s">
        <v>120</v>
      </c>
      <c r="AH2868">
        <v>0.01</v>
      </c>
      <c r="AI2868" t="s">
        <v>120</v>
      </c>
      <c r="AJ2868">
        <v>13.02</v>
      </c>
      <c r="AK2868" t="s">
        <v>7267</v>
      </c>
      <c r="AL2868">
        <v>1.62</v>
      </c>
      <c r="AM2868">
        <v>1932</v>
      </c>
      <c r="AN2868">
        <v>39</v>
      </c>
      <c r="AO2868">
        <v>2.9999999999999997E-4</v>
      </c>
      <c r="AP2868">
        <v>1</v>
      </c>
      <c r="AQ2868">
        <v>-0.42</v>
      </c>
      <c r="AR2868">
        <v>-1.1100000000000001</v>
      </c>
      <c r="AS2868">
        <v>7.37</v>
      </c>
      <c r="AT2868">
        <v>-3.77</v>
      </c>
      <c r="AU2868">
        <v>-11.41</v>
      </c>
      <c r="AV2868">
        <v>0</v>
      </c>
      <c r="AW2868">
        <v>1.1200000000000001</v>
      </c>
      <c r="AX2868">
        <v>52.18</v>
      </c>
      <c r="AY2868">
        <v>21.23</v>
      </c>
      <c r="AZ2868">
        <v>18.12</v>
      </c>
      <c r="BA2868">
        <v>0.55000000000000004</v>
      </c>
      <c r="BB2868" t="s">
        <v>125</v>
      </c>
      <c r="BF2868">
        <v>0.38</v>
      </c>
      <c r="BG2868">
        <v>-0.7</v>
      </c>
      <c r="BH2868">
        <v>-1.38</v>
      </c>
      <c r="BI2868">
        <v>1.42</v>
      </c>
      <c r="BJ2868">
        <v>20210813</v>
      </c>
      <c r="BK2868">
        <v>19930304</v>
      </c>
      <c r="BL2868">
        <v>13.02</v>
      </c>
      <c r="BM2868" t="s">
        <v>120</v>
      </c>
      <c r="BN2868" t="s">
        <v>120</v>
      </c>
      <c r="BO2868">
        <v>110.63</v>
      </c>
      <c r="BP2868">
        <v>7.14</v>
      </c>
      <c r="BQ2868">
        <v>85.58</v>
      </c>
      <c r="BR2868">
        <v>7.5</v>
      </c>
      <c r="BS2868">
        <v>15.87</v>
      </c>
      <c r="BT2868">
        <v>23</v>
      </c>
      <c r="BU2868">
        <v>7.42</v>
      </c>
      <c r="BV2868">
        <v>9.44</v>
      </c>
      <c r="BW2868">
        <v>15.18</v>
      </c>
      <c r="BX2868">
        <v>7.11</v>
      </c>
      <c r="BY2868">
        <v>0.13</v>
      </c>
      <c r="BZ2868">
        <v>2.38</v>
      </c>
      <c r="CA2868" t="s">
        <v>120</v>
      </c>
      <c r="CB2868">
        <v>31.37</v>
      </c>
      <c r="CC2868">
        <v>14.75</v>
      </c>
      <c r="CD2868">
        <v>3.81</v>
      </c>
      <c r="CE2868">
        <v>4.13</v>
      </c>
      <c r="CF2868">
        <v>-0.09</v>
      </c>
      <c r="CG2868">
        <v>4.1500000000000004</v>
      </c>
      <c r="CH2868">
        <v>3.25</v>
      </c>
      <c r="CI2868">
        <v>2.87</v>
      </c>
      <c r="CJ2868">
        <v>0.02</v>
      </c>
      <c r="CK2868">
        <v>2.81</v>
      </c>
      <c r="CL2868">
        <v>42.51</v>
      </c>
      <c r="CM2868">
        <v>3.65</v>
      </c>
      <c r="CN2868">
        <v>-0.96</v>
      </c>
      <c r="CO2868">
        <v>51441</v>
      </c>
      <c r="CP2868">
        <v>13207</v>
      </c>
      <c r="CQ2868" t="s">
        <v>6261</v>
      </c>
      <c r="CR2868">
        <v>-20.74</v>
      </c>
      <c r="CS2868">
        <v>-20.79</v>
      </c>
      <c r="CT2868">
        <v>1.0900000000000001</v>
      </c>
      <c r="CU2868">
        <v>25.43</v>
      </c>
      <c r="CV2868">
        <v>6.3</v>
      </c>
      <c r="CW2868">
        <v>1.0900000000000001</v>
      </c>
      <c r="CX2868" t="s">
        <v>694</v>
      </c>
      <c r="CY2868">
        <v>6.57</v>
      </c>
      <c r="CZ2868">
        <v>0</v>
      </c>
      <c r="DA2868">
        <v>2.41</v>
      </c>
      <c r="DB2868">
        <v>3.26</v>
      </c>
      <c r="DC2868">
        <v>0.28000000000000003</v>
      </c>
      <c r="DD2868">
        <v>77.36</v>
      </c>
      <c r="DE2868" t="s">
        <v>739</v>
      </c>
      <c r="DF2868">
        <v>74.180000000000007</v>
      </c>
      <c r="DG2868">
        <v>27.97</v>
      </c>
      <c r="DH2868">
        <v>19.43</v>
      </c>
      <c r="DI2868">
        <v>2.17</v>
      </c>
      <c r="DJ2868">
        <v>2350</v>
      </c>
      <c r="DK2868">
        <v>600633</v>
      </c>
      <c r="DL2868" t="s">
        <v>120</v>
      </c>
      <c r="DM2868" t="s">
        <v>120</v>
      </c>
      <c r="DN2868" t="s">
        <v>120</v>
      </c>
    </row>
    <row r="2869" spans="1:118">
      <c r="A2869" t="str">
        <f>"600635"</f>
        <v>600635</v>
      </c>
      <c r="B2869" t="s">
        <v>12739</v>
      </c>
      <c r="C2869">
        <v>0</v>
      </c>
      <c r="D2869">
        <v>0.48</v>
      </c>
      <c r="E2869">
        <v>0.24</v>
      </c>
      <c r="F2869">
        <v>9127</v>
      </c>
      <c r="G2869" t="s">
        <v>12740</v>
      </c>
      <c r="H2869">
        <v>14053.71</v>
      </c>
      <c r="I2869">
        <v>37.46</v>
      </c>
      <c r="J2869" t="s">
        <v>120</v>
      </c>
      <c r="K2869" t="s">
        <v>12741</v>
      </c>
      <c r="L2869">
        <v>1.37</v>
      </c>
      <c r="M2869">
        <v>4.1900000000000004</v>
      </c>
      <c r="N2869">
        <v>0.65</v>
      </c>
      <c r="O2869">
        <v>3.58</v>
      </c>
      <c r="P2869">
        <v>4.34</v>
      </c>
      <c r="Q2869">
        <v>-0.72</v>
      </c>
      <c r="R2869">
        <v>4.16</v>
      </c>
      <c r="S2869">
        <v>4.2</v>
      </c>
      <c r="T2869">
        <v>331066</v>
      </c>
      <c r="U2869">
        <v>4.1900000000000004</v>
      </c>
      <c r="V2869">
        <v>4.1900000000000004</v>
      </c>
      <c r="W2869">
        <v>28.52</v>
      </c>
      <c r="X2869" t="s">
        <v>684</v>
      </c>
      <c r="Y2869" t="s">
        <v>1510</v>
      </c>
      <c r="Z2869">
        <v>4.3</v>
      </c>
      <c r="AA2869">
        <v>4.24</v>
      </c>
      <c r="AB2869">
        <v>156238</v>
      </c>
      <c r="AC2869">
        <v>174828</v>
      </c>
      <c r="AD2869">
        <v>0.89</v>
      </c>
      <c r="AE2869">
        <v>71</v>
      </c>
      <c r="AF2869">
        <v>1951</v>
      </c>
      <c r="AG2869" t="s">
        <v>120</v>
      </c>
      <c r="AH2869">
        <v>0.01</v>
      </c>
      <c r="AI2869" t="s">
        <v>120</v>
      </c>
      <c r="AJ2869">
        <v>24.19</v>
      </c>
      <c r="AK2869" t="s">
        <v>12741</v>
      </c>
      <c r="AL2869">
        <v>1.34</v>
      </c>
      <c r="AM2869">
        <v>3008</v>
      </c>
      <c r="AN2869">
        <v>110</v>
      </c>
      <c r="AO2869">
        <v>5.0000000000000001E-4</v>
      </c>
      <c r="AP2869">
        <v>0</v>
      </c>
      <c r="AQ2869">
        <v>-0.71</v>
      </c>
      <c r="AR2869">
        <v>-4.12</v>
      </c>
      <c r="AS2869">
        <v>19.71</v>
      </c>
      <c r="AT2869">
        <v>18.190000000000001</v>
      </c>
      <c r="AU2869">
        <v>2.57</v>
      </c>
      <c r="AV2869">
        <v>0</v>
      </c>
      <c r="AW2869">
        <v>1.87</v>
      </c>
      <c r="AX2869">
        <v>73.17</v>
      </c>
      <c r="AY2869">
        <v>25.8</v>
      </c>
      <c r="AZ2869">
        <v>24.01</v>
      </c>
      <c r="BA2869">
        <v>0.62</v>
      </c>
      <c r="BB2869" t="s">
        <v>143</v>
      </c>
      <c r="BF2869">
        <v>1.31</v>
      </c>
      <c r="BG2869">
        <v>-0.24</v>
      </c>
      <c r="BH2869">
        <v>-3.46</v>
      </c>
      <c r="BI2869">
        <v>0.72</v>
      </c>
      <c r="BJ2869">
        <v>20210831</v>
      </c>
      <c r="BK2869">
        <v>19930304</v>
      </c>
      <c r="BL2869">
        <v>29.52</v>
      </c>
      <c r="BM2869" t="s">
        <v>120</v>
      </c>
      <c r="BN2869">
        <v>5.34</v>
      </c>
      <c r="BO2869">
        <v>249.57</v>
      </c>
      <c r="BP2869">
        <v>4.18</v>
      </c>
      <c r="BQ2869">
        <v>85.52</v>
      </c>
      <c r="BR2869">
        <v>13.02</v>
      </c>
      <c r="BS2869">
        <v>60.52</v>
      </c>
      <c r="BT2869">
        <v>62.68</v>
      </c>
      <c r="BU2869">
        <v>47.63</v>
      </c>
      <c r="BV2869">
        <v>9.48</v>
      </c>
      <c r="BW2869">
        <v>86.54</v>
      </c>
      <c r="BX2869">
        <v>33.520000000000003</v>
      </c>
      <c r="BY2869">
        <v>4.04</v>
      </c>
      <c r="BZ2869">
        <v>5.28</v>
      </c>
      <c r="CA2869">
        <v>0.41</v>
      </c>
      <c r="CB2869">
        <v>12.5</v>
      </c>
      <c r="CC2869">
        <v>30.61</v>
      </c>
      <c r="CD2869">
        <v>25.55</v>
      </c>
      <c r="CE2869">
        <v>3.4</v>
      </c>
      <c r="CF2869">
        <v>2.7</v>
      </c>
      <c r="CG2869">
        <v>3.42</v>
      </c>
      <c r="CH2869">
        <v>3.03</v>
      </c>
      <c r="CI2869">
        <v>2.17</v>
      </c>
      <c r="CJ2869">
        <v>0</v>
      </c>
      <c r="CK2869">
        <v>2.11</v>
      </c>
      <c r="CL2869">
        <v>36.53</v>
      </c>
      <c r="CM2869">
        <v>3.72</v>
      </c>
      <c r="CN2869">
        <v>12.16</v>
      </c>
      <c r="CO2869">
        <v>167023</v>
      </c>
      <c r="CP2869">
        <v>10596</v>
      </c>
      <c r="CQ2869" t="s">
        <v>9617</v>
      </c>
      <c r="CR2869">
        <v>-14.14</v>
      </c>
      <c r="CS2869">
        <v>19.350000000000001</v>
      </c>
      <c r="CT2869">
        <v>1.45</v>
      </c>
      <c r="CU2869">
        <v>33.229999999999997</v>
      </c>
      <c r="CV2869">
        <v>4.04</v>
      </c>
      <c r="CW2869">
        <v>1.31</v>
      </c>
      <c r="CX2869" t="s">
        <v>12742</v>
      </c>
      <c r="CY2869">
        <v>2.9</v>
      </c>
      <c r="CZ2869">
        <v>0</v>
      </c>
      <c r="DA2869">
        <v>0.42</v>
      </c>
      <c r="DB2869">
        <v>1.24</v>
      </c>
      <c r="DC2869">
        <v>0.13</v>
      </c>
      <c r="DD2869">
        <v>34.270000000000003</v>
      </c>
      <c r="DE2869" t="s">
        <v>3064</v>
      </c>
      <c r="DF2869">
        <v>16.53</v>
      </c>
      <c r="DG2869">
        <v>11.11</v>
      </c>
      <c r="DH2869">
        <v>7.08</v>
      </c>
      <c r="DI2869" t="s">
        <v>120</v>
      </c>
      <c r="DJ2869">
        <v>2962</v>
      </c>
      <c r="DK2869">
        <v>600635</v>
      </c>
      <c r="DL2869" t="s">
        <v>120</v>
      </c>
      <c r="DM2869" t="s">
        <v>120</v>
      </c>
      <c r="DN2869" t="s">
        <v>120</v>
      </c>
    </row>
    <row r="2870" spans="1:118">
      <c r="A2870" t="str">
        <f>"600636"</f>
        <v>600636</v>
      </c>
      <c r="B2870" t="s">
        <v>12743</v>
      </c>
      <c r="C2870">
        <v>-3.38</v>
      </c>
      <c r="D2870">
        <v>0.35</v>
      </c>
      <c r="E2870">
        <v>0.08</v>
      </c>
      <c r="F2870">
        <v>595</v>
      </c>
      <c r="G2870" t="s">
        <v>8200</v>
      </c>
      <c r="H2870">
        <v>6610.04</v>
      </c>
      <c r="I2870">
        <v>15.76</v>
      </c>
      <c r="J2870" t="s">
        <v>120</v>
      </c>
      <c r="K2870" t="s">
        <v>1985</v>
      </c>
      <c r="L2870">
        <v>1.28</v>
      </c>
      <c r="M2870">
        <v>11.44</v>
      </c>
      <c r="N2870">
        <v>0.82</v>
      </c>
      <c r="O2870">
        <v>1.01</v>
      </c>
      <c r="P2870">
        <v>11.96</v>
      </c>
      <c r="Q2870">
        <v>-3.89</v>
      </c>
      <c r="R2870">
        <v>11.38</v>
      </c>
      <c r="S2870">
        <v>11.85</v>
      </c>
      <c r="T2870">
        <v>57000</v>
      </c>
      <c r="U2870">
        <v>11.44</v>
      </c>
      <c r="V2870">
        <v>11.84</v>
      </c>
      <c r="W2870">
        <v>246.75</v>
      </c>
      <c r="X2870" t="s">
        <v>141</v>
      </c>
      <c r="Y2870" t="s">
        <v>1510</v>
      </c>
      <c r="Z2870">
        <v>4.9000000000000004</v>
      </c>
      <c r="AA2870">
        <v>11.6</v>
      </c>
      <c r="AB2870">
        <v>35740</v>
      </c>
      <c r="AC2870">
        <v>21260</v>
      </c>
      <c r="AD2870">
        <v>1.68</v>
      </c>
      <c r="AE2870">
        <v>64</v>
      </c>
      <c r="AF2870">
        <v>216</v>
      </c>
      <c r="AG2870" t="s">
        <v>120</v>
      </c>
      <c r="AH2870">
        <v>0.01</v>
      </c>
      <c r="AI2870" t="s">
        <v>120</v>
      </c>
      <c r="AJ2870">
        <v>4.47</v>
      </c>
      <c r="AK2870" t="s">
        <v>1985</v>
      </c>
      <c r="AL2870">
        <v>-2.0299999999999998</v>
      </c>
      <c r="AM2870">
        <v>2174</v>
      </c>
      <c r="AN2870">
        <v>26</v>
      </c>
      <c r="AO2870">
        <v>5.9999999999999995E-4</v>
      </c>
      <c r="AP2870">
        <v>-1</v>
      </c>
      <c r="AQ2870">
        <v>2.42</v>
      </c>
      <c r="AR2870">
        <v>-3.05</v>
      </c>
      <c r="AS2870">
        <v>-0.95</v>
      </c>
      <c r="AT2870">
        <v>11.29</v>
      </c>
      <c r="AU2870">
        <v>-14.05</v>
      </c>
      <c r="AV2870">
        <v>1</v>
      </c>
      <c r="AW2870">
        <v>2.19</v>
      </c>
      <c r="AX2870">
        <v>58.15</v>
      </c>
      <c r="AY2870">
        <v>39.619999999999997</v>
      </c>
      <c r="AZ2870">
        <v>34.020000000000003</v>
      </c>
      <c r="BA2870">
        <v>0.19</v>
      </c>
      <c r="BB2870" t="s">
        <v>143</v>
      </c>
      <c r="BF2870">
        <v>-2.06</v>
      </c>
      <c r="BG2870">
        <v>-3.46</v>
      </c>
      <c r="BH2870">
        <v>-4.3499999999999996</v>
      </c>
      <c r="BI2870">
        <v>0.53</v>
      </c>
      <c r="BJ2870">
        <v>20210831</v>
      </c>
      <c r="BK2870">
        <v>19930316</v>
      </c>
      <c r="BL2870">
        <v>4.47</v>
      </c>
      <c r="BM2870" t="s">
        <v>120</v>
      </c>
      <c r="BN2870" t="s">
        <v>120</v>
      </c>
      <c r="BO2870">
        <v>31.25</v>
      </c>
      <c r="BP2870">
        <v>11.43</v>
      </c>
      <c r="BQ2870">
        <v>30.07</v>
      </c>
      <c r="BR2870" t="s">
        <v>120</v>
      </c>
      <c r="BS2870">
        <v>3.77</v>
      </c>
      <c r="BT2870">
        <v>12.66</v>
      </c>
      <c r="BU2870">
        <v>1.1499999999999999</v>
      </c>
      <c r="BV2870">
        <v>0.12</v>
      </c>
      <c r="BW2870">
        <v>1.0900000000000001</v>
      </c>
      <c r="BX2870">
        <v>8.9</v>
      </c>
      <c r="BY2870">
        <v>1.17</v>
      </c>
      <c r="BZ2870">
        <v>0.71</v>
      </c>
      <c r="CA2870">
        <v>0.01</v>
      </c>
      <c r="CB2870">
        <v>15.04</v>
      </c>
      <c r="CC2870">
        <v>1.47</v>
      </c>
      <c r="CD2870">
        <v>0.59</v>
      </c>
      <c r="CE2870">
        <v>0.11</v>
      </c>
      <c r="CF2870">
        <v>0.11</v>
      </c>
      <c r="CG2870">
        <v>0.11</v>
      </c>
      <c r="CH2870">
        <v>0.1</v>
      </c>
      <c r="CI2870">
        <v>0.1</v>
      </c>
      <c r="CJ2870">
        <v>-0.4</v>
      </c>
      <c r="CK2870">
        <v>0.1</v>
      </c>
      <c r="CL2870">
        <v>9.61</v>
      </c>
      <c r="CM2870">
        <v>-0.44</v>
      </c>
      <c r="CN2870">
        <v>1.18</v>
      </c>
      <c r="CO2870">
        <v>27526</v>
      </c>
      <c r="CP2870">
        <v>9442</v>
      </c>
      <c r="CQ2870" t="s">
        <v>12744</v>
      </c>
      <c r="CR2870">
        <v>-67.95</v>
      </c>
      <c r="CS2870">
        <v>-27.18</v>
      </c>
      <c r="CT2870">
        <v>1.7</v>
      </c>
      <c r="CU2870">
        <v>-117.18</v>
      </c>
      <c r="CV2870">
        <v>34.71</v>
      </c>
      <c r="CW2870">
        <v>0.91</v>
      </c>
      <c r="CX2870" t="s">
        <v>8184</v>
      </c>
      <c r="CY2870">
        <v>6.73</v>
      </c>
      <c r="CZ2870">
        <v>0</v>
      </c>
      <c r="DA2870">
        <v>3.36</v>
      </c>
      <c r="DB2870">
        <v>2.15</v>
      </c>
      <c r="DC2870">
        <v>-0.1</v>
      </c>
      <c r="DD2870">
        <v>96.23</v>
      </c>
      <c r="DE2870" t="s">
        <v>4953</v>
      </c>
      <c r="DF2870">
        <v>60.01</v>
      </c>
      <c r="DG2870">
        <v>7.45</v>
      </c>
      <c r="DH2870">
        <v>7.03</v>
      </c>
      <c r="DI2870">
        <v>0.38</v>
      </c>
      <c r="DJ2870">
        <v>747</v>
      </c>
      <c r="DK2870">
        <v>600636</v>
      </c>
      <c r="DL2870" t="s">
        <v>120</v>
      </c>
      <c r="DM2870" t="s">
        <v>120</v>
      </c>
      <c r="DN2870" t="s">
        <v>120</v>
      </c>
    </row>
    <row r="2871" spans="1:118">
      <c r="A2871" t="str">
        <f>"600637"</f>
        <v>600637</v>
      </c>
      <c r="B2871" t="s">
        <v>12745</v>
      </c>
      <c r="C2871">
        <v>-1.84</v>
      </c>
      <c r="D2871">
        <v>-0.49</v>
      </c>
      <c r="E2871">
        <v>0.25</v>
      </c>
      <c r="F2871">
        <v>6022</v>
      </c>
      <c r="G2871" t="s">
        <v>12746</v>
      </c>
      <c r="H2871">
        <v>12552.81</v>
      </c>
      <c r="I2871">
        <v>14.07</v>
      </c>
      <c r="J2871" t="s">
        <v>120</v>
      </c>
      <c r="K2871" t="s">
        <v>1950</v>
      </c>
      <c r="L2871">
        <v>0.45</v>
      </c>
      <c r="M2871">
        <v>8.01</v>
      </c>
      <c r="N2871">
        <v>1.1100000000000001</v>
      </c>
      <c r="O2871">
        <v>1.47</v>
      </c>
      <c r="P2871">
        <v>8.2799999999999994</v>
      </c>
      <c r="Q2871">
        <v>-1.84</v>
      </c>
      <c r="R2871">
        <v>8.01</v>
      </c>
      <c r="S2871">
        <v>8.18</v>
      </c>
      <c r="T2871">
        <v>154125</v>
      </c>
      <c r="U2871">
        <v>8.0399999999999991</v>
      </c>
      <c r="V2871">
        <v>8.16</v>
      </c>
      <c r="W2871">
        <v>16.34</v>
      </c>
      <c r="X2871" t="s">
        <v>584</v>
      </c>
      <c r="Y2871" t="s">
        <v>1510</v>
      </c>
      <c r="Z2871">
        <v>3.31</v>
      </c>
      <c r="AA2871">
        <v>8.14</v>
      </c>
      <c r="AB2871">
        <v>95519</v>
      </c>
      <c r="AC2871">
        <v>58606</v>
      </c>
      <c r="AD2871">
        <v>1.63</v>
      </c>
      <c r="AE2871">
        <v>1904</v>
      </c>
      <c r="AF2871">
        <v>1</v>
      </c>
      <c r="AG2871" t="s">
        <v>120</v>
      </c>
      <c r="AH2871">
        <v>0</v>
      </c>
      <c r="AI2871" t="s">
        <v>120</v>
      </c>
      <c r="AJ2871">
        <v>34.15</v>
      </c>
      <c r="AK2871" t="s">
        <v>1950</v>
      </c>
      <c r="AL2871">
        <v>-0.49</v>
      </c>
      <c r="AM2871">
        <v>2589</v>
      </c>
      <c r="AN2871">
        <v>60</v>
      </c>
      <c r="AO2871">
        <v>2.0000000000000001E-4</v>
      </c>
      <c r="AP2871">
        <v>-1</v>
      </c>
      <c r="AQ2871">
        <v>0</v>
      </c>
      <c r="AR2871">
        <v>-3.84</v>
      </c>
      <c r="AS2871">
        <v>3.22</v>
      </c>
      <c r="AT2871">
        <v>-2.67</v>
      </c>
      <c r="AU2871">
        <v>-7.61</v>
      </c>
      <c r="AV2871">
        <v>0</v>
      </c>
      <c r="AW2871">
        <v>0.84</v>
      </c>
      <c r="AX2871">
        <v>54.02</v>
      </c>
      <c r="AY2871">
        <v>19.13</v>
      </c>
      <c r="AZ2871">
        <v>17.190000000000001</v>
      </c>
      <c r="BA2871">
        <v>0.25</v>
      </c>
      <c r="BB2871" t="s">
        <v>143</v>
      </c>
      <c r="BF2871">
        <v>-0.19</v>
      </c>
      <c r="BG2871">
        <v>-2.08</v>
      </c>
      <c r="BH2871">
        <v>-3.26</v>
      </c>
      <c r="BI2871">
        <v>0</v>
      </c>
      <c r="BJ2871">
        <v>20210831</v>
      </c>
      <c r="BK2871">
        <v>19930316</v>
      </c>
      <c r="BL2871">
        <v>34.15</v>
      </c>
      <c r="BM2871" t="s">
        <v>120</v>
      </c>
      <c r="BN2871" t="s">
        <v>120</v>
      </c>
      <c r="BO2871">
        <v>431.13</v>
      </c>
      <c r="BP2871">
        <v>8.01</v>
      </c>
      <c r="BQ2871">
        <v>289.5</v>
      </c>
      <c r="BR2871">
        <v>52.84</v>
      </c>
      <c r="BS2871">
        <v>20.59</v>
      </c>
      <c r="BT2871">
        <v>231.72</v>
      </c>
      <c r="BU2871">
        <v>72.069999999999993</v>
      </c>
      <c r="BV2871">
        <v>8.39</v>
      </c>
      <c r="BW2871">
        <v>71.260000000000005</v>
      </c>
      <c r="BX2871">
        <v>77.52</v>
      </c>
      <c r="BY2871">
        <v>31.19</v>
      </c>
      <c r="BZ2871">
        <v>23.77</v>
      </c>
      <c r="CA2871">
        <v>0.82</v>
      </c>
      <c r="CB2871">
        <v>110.07</v>
      </c>
      <c r="CC2871">
        <v>45.11</v>
      </c>
      <c r="CD2871">
        <v>31.2</v>
      </c>
      <c r="CE2871">
        <v>10.210000000000001</v>
      </c>
      <c r="CF2871">
        <v>4.72</v>
      </c>
      <c r="CG2871">
        <v>10.220000000000001</v>
      </c>
      <c r="CH2871">
        <v>8.17</v>
      </c>
      <c r="CI2871">
        <v>8.3699999999999992</v>
      </c>
      <c r="CJ2871">
        <v>-0.15</v>
      </c>
      <c r="CK2871">
        <v>5.84</v>
      </c>
      <c r="CL2871">
        <v>133.22999999999999</v>
      </c>
      <c r="CM2871">
        <v>9.92</v>
      </c>
      <c r="CN2871">
        <v>-0.26</v>
      </c>
      <c r="CO2871">
        <v>144063</v>
      </c>
      <c r="CP2871">
        <v>12805</v>
      </c>
      <c r="CQ2871" t="s">
        <v>5026</v>
      </c>
      <c r="CR2871">
        <v>-16.440000000000001</v>
      </c>
      <c r="CS2871">
        <v>-13.23</v>
      </c>
      <c r="CT2871">
        <v>0.94</v>
      </c>
      <c r="CU2871">
        <v>27.57</v>
      </c>
      <c r="CV2871">
        <v>6.06</v>
      </c>
      <c r="CW2871">
        <v>3.26</v>
      </c>
      <c r="CX2871" t="s">
        <v>863</v>
      </c>
      <c r="CY2871">
        <v>8.48</v>
      </c>
      <c r="CZ2871">
        <v>0</v>
      </c>
      <c r="DA2871">
        <v>3.22</v>
      </c>
      <c r="DB2871">
        <v>3.9</v>
      </c>
      <c r="DC2871">
        <v>0.28999999999999998</v>
      </c>
      <c r="DD2871">
        <v>67.150000000000006</v>
      </c>
      <c r="DE2871" t="s">
        <v>671</v>
      </c>
      <c r="DF2871">
        <v>30.84</v>
      </c>
      <c r="DG2871">
        <v>22.65</v>
      </c>
      <c r="DH2871">
        <v>18.559999999999999</v>
      </c>
      <c r="DI2871">
        <v>1.1100000000000001</v>
      </c>
      <c r="DJ2871">
        <v>7232</v>
      </c>
      <c r="DK2871">
        <v>600637</v>
      </c>
      <c r="DL2871" t="s">
        <v>120</v>
      </c>
      <c r="DM2871" t="s">
        <v>120</v>
      </c>
      <c r="DN2871" t="s">
        <v>120</v>
      </c>
    </row>
    <row r="2872" spans="1:118">
      <c r="A2872" t="str">
        <f>"600638"</f>
        <v>600638</v>
      </c>
      <c r="B2872" t="s">
        <v>12747</v>
      </c>
      <c r="C2872">
        <v>-0.56000000000000005</v>
      </c>
      <c r="D2872">
        <v>0</v>
      </c>
      <c r="E2872">
        <v>0.19</v>
      </c>
      <c r="F2872">
        <v>79</v>
      </c>
      <c r="G2872" t="s">
        <v>12748</v>
      </c>
      <c r="H2872">
        <v>1150.94</v>
      </c>
      <c r="I2872">
        <v>0.49</v>
      </c>
      <c r="J2872" t="s">
        <v>120</v>
      </c>
      <c r="K2872" t="s">
        <v>12749</v>
      </c>
      <c r="L2872">
        <v>0.32</v>
      </c>
      <c r="M2872">
        <v>5.35</v>
      </c>
      <c r="N2872">
        <v>0.84</v>
      </c>
      <c r="O2872">
        <v>1.86</v>
      </c>
      <c r="P2872">
        <v>5.48</v>
      </c>
      <c r="Q2872">
        <v>-0.74</v>
      </c>
      <c r="R2872">
        <v>5.34</v>
      </c>
      <c r="S2872">
        <v>5.39</v>
      </c>
      <c r="T2872">
        <v>21280</v>
      </c>
      <c r="U2872">
        <v>5.36</v>
      </c>
      <c r="V2872">
        <v>5.38</v>
      </c>
      <c r="W2872">
        <v>23.5</v>
      </c>
      <c r="X2872" t="s">
        <v>150</v>
      </c>
      <c r="Y2872" t="s">
        <v>1510</v>
      </c>
      <c r="Z2872">
        <v>2.6</v>
      </c>
      <c r="AA2872">
        <v>5.41</v>
      </c>
      <c r="AB2872">
        <v>10331</v>
      </c>
      <c r="AC2872">
        <v>10949</v>
      </c>
      <c r="AD2872">
        <v>0.94</v>
      </c>
      <c r="AE2872">
        <v>185</v>
      </c>
      <c r="AF2872">
        <v>133</v>
      </c>
      <c r="AG2872" t="s">
        <v>120</v>
      </c>
      <c r="AH2872">
        <v>0</v>
      </c>
      <c r="AI2872" t="s">
        <v>120</v>
      </c>
      <c r="AJ2872">
        <v>6.73</v>
      </c>
      <c r="AK2872" t="s">
        <v>12749</v>
      </c>
      <c r="AL2872">
        <v>0.79</v>
      </c>
      <c r="AM2872">
        <v>928</v>
      </c>
      <c r="AN2872">
        <v>23</v>
      </c>
      <c r="AO2872">
        <v>2.9999999999999997E-4</v>
      </c>
      <c r="AP2872">
        <v>-3</v>
      </c>
      <c r="AQ2872">
        <v>-0.92</v>
      </c>
      <c r="AR2872">
        <v>-3.78</v>
      </c>
      <c r="AS2872">
        <v>3.48</v>
      </c>
      <c r="AT2872">
        <v>-2.02</v>
      </c>
      <c r="AU2872">
        <v>-22.46</v>
      </c>
      <c r="AV2872">
        <v>0</v>
      </c>
      <c r="AW2872">
        <v>0.71</v>
      </c>
      <c r="AX2872">
        <v>44.35</v>
      </c>
      <c r="AY2872">
        <v>13.38</v>
      </c>
      <c r="AZ2872">
        <v>13.48</v>
      </c>
      <c r="BA2872">
        <v>0.68</v>
      </c>
      <c r="BB2872" t="s">
        <v>143</v>
      </c>
      <c r="BF2872">
        <v>0.53</v>
      </c>
      <c r="BG2872">
        <v>-0.74</v>
      </c>
      <c r="BH2872">
        <v>-2.37</v>
      </c>
      <c r="BI2872">
        <v>0.19</v>
      </c>
      <c r="BJ2872">
        <v>20210831</v>
      </c>
      <c r="BK2872">
        <v>19930326</v>
      </c>
      <c r="BL2872">
        <v>6.73</v>
      </c>
      <c r="BM2872" t="s">
        <v>120</v>
      </c>
      <c r="BN2872" t="s">
        <v>120</v>
      </c>
      <c r="BO2872">
        <v>220.62</v>
      </c>
      <c r="BP2872">
        <v>5.35</v>
      </c>
      <c r="BQ2872">
        <v>44.1</v>
      </c>
      <c r="BR2872">
        <v>1.95</v>
      </c>
      <c r="BS2872">
        <v>79.12</v>
      </c>
      <c r="BT2872">
        <v>190.14</v>
      </c>
      <c r="BU2872">
        <v>4.92</v>
      </c>
      <c r="BV2872">
        <v>0.04</v>
      </c>
      <c r="BW2872">
        <v>107.22</v>
      </c>
      <c r="BX2872">
        <v>55</v>
      </c>
      <c r="BY2872">
        <v>90.43</v>
      </c>
      <c r="BZ2872">
        <v>0.21</v>
      </c>
      <c r="CA2872">
        <v>0.01</v>
      </c>
      <c r="CB2872">
        <v>9.0299999999999994</v>
      </c>
      <c r="CC2872">
        <v>9.14</v>
      </c>
      <c r="CD2872">
        <v>7.65</v>
      </c>
      <c r="CE2872">
        <v>1.33</v>
      </c>
      <c r="CF2872">
        <v>0.04</v>
      </c>
      <c r="CG2872">
        <v>1.34</v>
      </c>
      <c r="CH2872">
        <v>1.18</v>
      </c>
      <c r="CI2872">
        <v>0.77</v>
      </c>
      <c r="CJ2872">
        <v>-0.03</v>
      </c>
      <c r="CK2872">
        <v>0.39</v>
      </c>
      <c r="CL2872">
        <v>24.69</v>
      </c>
      <c r="CM2872">
        <v>12.26</v>
      </c>
      <c r="CN2872">
        <v>10.82</v>
      </c>
      <c r="CO2872">
        <v>30819</v>
      </c>
      <c r="CP2872">
        <v>9691</v>
      </c>
      <c r="CQ2872" t="s">
        <v>177</v>
      </c>
      <c r="CR2872">
        <v>2.68</v>
      </c>
      <c r="CS2872">
        <v>85.98</v>
      </c>
      <c r="CT2872">
        <v>0.82</v>
      </c>
      <c r="CU2872">
        <v>2.94</v>
      </c>
      <c r="CV2872">
        <v>3.94</v>
      </c>
      <c r="CW2872">
        <v>2.23</v>
      </c>
      <c r="CX2872" t="s">
        <v>1047</v>
      </c>
      <c r="CY2872">
        <v>6.55</v>
      </c>
      <c r="CZ2872">
        <v>0</v>
      </c>
      <c r="DA2872">
        <v>1.34</v>
      </c>
      <c r="DB2872">
        <v>3.67</v>
      </c>
      <c r="DC2872">
        <v>1.82</v>
      </c>
      <c r="DD2872">
        <v>19.989999999999998</v>
      </c>
      <c r="DE2872" t="s">
        <v>6818</v>
      </c>
      <c r="DF2872">
        <v>16.27</v>
      </c>
      <c r="DG2872">
        <v>14.51</v>
      </c>
      <c r="DH2872">
        <v>8.39</v>
      </c>
      <c r="DI2872" t="s">
        <v>120</v>
      </c>
      <c r="DJ2872">
        <v>749</v>
      </c>
      <c r="DK2872">
        <v>600638</v>
      </c>
      <c r="DL2872" t="s">
        <v>120</v>
      </c>
      <c r="DM2872" t="s">
        <v>120</v>
      </c>
      <c r="DN2872" t="s">
        <v>120</v>
      </c>
    </row>
    <row r="2873" spans="1:118">
      <c r="A2873" t="str">
        <f>"600639"</f>
        <v>600639</v>
      </c>
      <c r="B2873" t="s">
        <v>12750</v>
      </c>
      <c r="C2873">
        <v>-1.5</v>
      </c>
      <c r="D2873">
        <v>-0.41</v>
      </c>
      <c r="E2873">
        <v>0.5</v>
      </c>
      <c r="F2873">
        <v>3020</v>
      </c>
      <c r="G2873" t="s">
        <v>12751</v>
      </c>
      <c r="H2873">
        <v>3496.58</v>
      </c>
      <c r="I2873">
        <v>7.96</v>
      </c>
      <c r="J2873" t="s">
        <v>120</v>
      </c>
      <c r="K2873" t="s">
        <v>4120</v>
      </c>
      <c r="L2873">
        <v>0.34</v>
      </c>
      <c r="M2873">
        <v>11.82</v>
      </c>
      <c r="N2873">
        <v>1</v>
      </c>
      <c r="O2873">
        <v>2.08</v>
      </c>
      <c r="P2873">
        <v>12.25</v>
      </c>
      <c r="Q2873">
        <v>-1.5</v>
      </c>
      <c r="R2873">
        <v>11.82</v>
      </c>
      <c r="S2873">
        <v>12.06</v>
      </c>
      <c r="T2873">
        <v>29084</v>
      </c>
      <c r="U2873">
        <v>11.86</v>
      </c>
      <c r="V2873">
        <v>12</v>
      </c>
      <c r="W2873">
        <v>14.97</v>
      </c>
      <c r="X2873" t="s">
        <v>1384</v>
      </c>
      <c r="Y2873" t="s">
        <v>1510</v>
      </c>
      <c r="Z2873">
        <v>3.58</v>
      </c>
      <c r="AA2873">
        <v>12.02</v>
      </c>
      <c r="AB2873">
        <v>16338</v>
      </c>
      <c r="AC2873">
        <v>12746</v>
      </c>
      <c r="AD2873">
        <v>1.28</v>
      </c>
      <c r="AE2873">
        <v>164</v>
      </c>
      <c r="AF2873">
        <v>40</v>
      </c>
      <c r="AG2873" t="s">
        <v>120</v>
      </c>
      <c r="AH2873">
        <v>0</v>
      </c>
      <c r="AI2873" t="s">
        <v>120</v>
      </c>
      <c r="AJ2873">
        <v>8.5</v>
      </c>
      <c r="AK2873" t="s">
        <v>12752</v>
      </c>
      <c r="AL2873">
        <v>-0.16</v>
      </c>
      <c r="AM2873">
        <v>1750</v>
      </c>
      <c r="AN2873">
        <v>17</v>
      </c>
      <c r="AO2873">
        <v>2.0000000000000001E-4</v>
      </c>
      <c r="AP2873">
        <v>-3</v>
      </c>
      <c r="AQ2873">
        <v>-0.41</v>
      </c>
      <c r="AR2873">
        <v>-4.21</v>
      </c>
      <c r="AS2873">
        <v>2.25</v>
      </c>
      <c r="AT2873">
        <v>-15.39</v>
      </c>
      <c r="AU2873">
        <v>-2.3199999999999998</v>
      </c>
      <c r="AV2873">
        <v>2</v>
      </c>
      <c r="AW2873">
        <v>0.98</v>
      </c>
      <c r="AX2873">
        <v>26.39</v>
      </c>
      <c r="AY2873">
        <v>13.4</v>
      </c>
      <c r="AZ2873">
        <v>12.16</v>
      </c>
      <c r="BA2873">
        <v>0.75</v>
      </c>
      <c r="BB2873" t="s">
        <v>143</v>
      </c>
      <c r="BF2873">
        <v>0.19</v>
      </c>
      <c r="BG2873">
        <v>-1.99</v>
      </c>
      <c r="BH2873">
        <v>-3.51</v>
      </c>
      <c r="BI2873">
        <v>0</v>
      </c>
      <c r="BJ2873">
        <v>20210830</v>
      </c>
      <c r="BK2873">
        <v>19930326</v>
      </c>
      <c r="BL2873">
        <v>11.22</v>
      </c>
      <c r="BM2873">
        <v>2.72</v>
      </c>
      <c r="BN2873" t="s">
        <v>120</v>
      </c>
      <c r="BO2873">
        <v>294.68</v>
      </c>
      <c r="BP2873">
        <v>11.82</v>
      </c>
      <c r="BQ2873">
        <v>106.8</v>
      </c>
      <c r="BR2873">
        <v>2.0099999999999998</v>
      </c>
      <c r="BS2873">
        <v>63.07</v>
      </c>
      <c r="BT2873">
        <v>124.85</v>
      </c>
      <c r="BU2873">
        <v>10.94</v>
      </c>
      <c r="BV2873">
        <v>2.76</v>
      </c>
      <c r="BW2873">
        <v>116.04</v>
      </c>
      <c r="BX2873">
        <v>22.53</v>
      </c>
      <c r="BY2873">
        <v>50.53</v>
      </c>
      <c r="BZ2873">
        <v>2.57</v>
      </c>
      <c r="CA2873">
        <v>1.86</v>
      </c>
      <c r="CB2873">
        <v>17.09</v>
      </c>
      <c r="CC2873">
        <v>11.78</v>
      </c>
      <c r="CD2873">
        <v>4.7</v>
      </c>
      <c r="CE2873">
        <v>5.56</v>
      </c>
      <c r="CF2873">
        <v>0.7</v>
      </c>
      <c r="CG2873">
        <v>5.56</v>
      </c>
      <c r="CH2873">
        <v>4.2300000000000004</v>
      </c>
      <c r="CI2873">
        <v>4.43</v>
      </c>
      <c r="CJ2873">
        <v>-0.18</v>
      </c>
      <c r="CK2873">
        <v>4.07</v>
      </c>
      <c r="CL2873">
        <v>57.4</v>
      </c>
      <c r="CM2873">
        <v>-3.88</v>
      </c>
      <c r="CN2873">
        <v>1.76</v>
      </c>
      <c r="CO2873">
        <v>69685</v>
      </c>
      <c r="CP2873">
        <v>8156</v>
      </c>
      <c r="CQ2873" t="s">
        <v>587</v>
      </c>
      <c r="CR2873">
        <v>-18.8</v>
      </c>
      <c r="CS2873">
        <v>-41.35</v>
      </c>
      <c r="CT2873">
        <v>1.24</v>
      </c>
      <c r="CU2873">
        <v>-34.15</v>
      </c>
      <c r="CV2873">
        <v>11.26</v>
      </c>
      <c r="CW2873">
        <v>2.5</v>
      </c>
      <c r="CX2873" t="s">
        <v>12753</v>
      </c>
      <c r="CY2873">
        <v>9.51</v>
      </c>
      <c r="CZ2873">
        <v>0</v>
      </c>
      <c r="DA2873">
        <v>1.52</v>
      </c>
      <c r="DB2873">
        <v>5.1100000000000003</v>
      </c>
      <c r="DC2873">
        <v>-0.35</v>
      </c>
      <c r="DD2873">
        <v>36.24</v>
      </c>
      <c r="DE2873" t="s">
        <v>4662</v>
      </c>
      <c r="DF2873">
        <v>60.09</v>
      </c>
      <c r="DG2873">
        <v>47.17</v>
      </c>
      <c r="DH2873">
        <v>37.630000000000003</v>
      </c>
      <c r="DI2873" t="s">
        <v>120</v>
      </c>
      <c r="DJ2873">
        <v>213</v>
      </c>
      <c r="DK2873">
        <v>600639</v>
      </c>
      <c r="DL2873" t="s">
        <v>120</v>
      </c>
      <c r="DM2873" t="s">
        <v>120</v>
      </c>
      <c r="DN2873" t="s">
        <v>120</v>
      </c>
    </row>
    <row r="2874" spans="1:118">
      <c r="A2874" t="str">
        <f>"600640"</f>
        <v>600640</v>
      </c>
      <c r="B2874" t="s">
        <v>12754</v>
      </c>
      <c r="C2874">
        <v>-0.91</v>
      </c>
      <c r="D2874">
        <v>0</v>
      </c>
      <c r="E2874">
        <v>1</v>
      </c>
      <c r="F2874">
        <v>442</v>
      </c>
      <c r="G2874" t="s">
        <v>12755</v>
      </c>
      <c r="H2874">
        <v>4408.68</v>
      </c>
      <c r="I2874">
        <v>33.18</v>
      </c>
      <c r="J2874" t="s">
        <v>120</v>
      </c>
      <c r="K2874" t="s">
        <v>12756</v>
      </c>
      <c r="L2874">
        <v>0.5</v>
      </c>
      <c r="M2874">
        <v>10.85</v>
      </c>
      <c r="N2874">
        <v>0.65</v>
      </c>
      <c r="O2874">
        <v>2.65</v>
      </c>
      <c r="P2874">
        <v>11.24</v>
      </c>
      <c r="Q2874">
        <v>-1</v>
      </c>
      <c r="R2874">
        <v>10.84</v>
      </c>
      <c r="S2874">
        <v>11.06</v>
      </c>
      <c r="T2874">
        <v>40046</v>
      </c>
      <c r="U2874">
        <v>10.85</v>
      </c>
      <c r="V2874">
        <v>10.95</v>
      </c>
      <c r="W2874" t="s">
        <v>120</v>
      </c>
      <c r="X2874" t="s">
        <v>584</v>
      </c>
      <c r="Y2874" t="s">
        <v>1510</v>
      </c>
      <c r="Z2874">
        <v>3.65</v>
      </c>
      <c r="AA2874">
        <v>11.01</v>
      </c>
      <c r="AB2874">
        <v>24408</v>
      </c>
      <c r="AC2874">
        <v>15638</v>
      </c>
      <c r="AD2874">
        <v>1.56</v>
      </c>
      <c r="AE2874">
        <v>373</v>
      </c>
      <c r="AF2874">
        <v>129</v>
      </c>
      <c r="AG2874" t="s">
        <v>120</v>
      </c>
      <c r="AH2874">
        <v>0.01</v>
      </c>
      <c r="AI2874" t="s">
        <v>120</v>
      </c>
      <c r="AJ2874">
        <v>7.96</v>
      </c>
      <c r="AK2874" t="s">
        <v>12756</v>
      </c>
      <c r="AL2874">
        <v>0.43</v>
      </c>
      <c r="AM2874">
        <v>1778</v>
      </c>
      <c r="AN2874">
        <v>23</v>
      </c>
      <c r="AO2874">
        <v>2.9999999999999997E-4</v>
      </c>
      <c r="AP2874">
        <v>-3</v>
      </c>
      <c r="AQ2874">
        <v>-0.99</v>
      </c>
      <c r="AR2874">
        <v>-4.1500000000000004</v>
      </c>
      <c r="AS2874">
        <v>-12</v>
      </c>
      <c r="AT2874">
        <v>-20.49</v>
      </c>
      <c r="AU2874">
        <v>-11.4</v>
      </c>
      <c r="AV2874">
        <v>4</v>
      </c>
      <c r="AW2874">
        <v>1.64</v>
      </c>
      <c r="AX2874">
        <v>30.62</v>
      </c>
      <c r="AY2874" t="s">
        <v>120</v>
      </c>
      <c r="AZ2874">
        <v>844.87</v>
      </c>
      <c r="BA2874">
        <v>0.89</v>
      </c>
      <c r="BB2874" t="s">
        <v>125</v>
      </c>
      <c r="BF2874">
        <v>0.54</v>
      </c>
      <c r="BG2874">
        <v>-1.9</v>
      </c>
      <c r="BH2874">
        <v>-3.47</v>
      </c>
      <c r="BI2874">
        <v>0.09</v>
      </c>
      <c r="BJ2874">
        <v>20210901</v>
      </c>
      <c r="BK2874">
        <v>19930407</v>
      </c>
      <c r="BL2874">
        <v>7.96</v>
      </c>
      <c r="BM2874" t="s">
        <v>120</v>
      </c>
      <c r="BN2874" t="s">
        <v>120</v>
      </c>
      <c r="BO2874">
        <v>60.21</v>
      </c>
      <c r="BP2874">
        <v>10.84</v>
      </c>
      <c r="BQ2874">
        <v>43.88</v>
      </c>
      <c r="BR2874">
        <v>4.87</v>
      </c>
      <c r="BS2874">
        <v>19.04</v>
      </c>
      <c r="BT2874">
        <v>34.93</v>
      </c>
      <c r="BU2874">
        <v>6.65</v>
      </c>
      <c r="BV2874">
        <v>2.48</v>
      </c>
      <c r="BW2874">
        <v>11.15</v>
      </c>
      <c r="BX2874">
        <v>13.91</v>
      </c>
      <c r="BY2874">
        <v>0.18</v>
      </c>
      <c r="BZ2874">
        <v>5.44</v>
      </c>
      <c r="CA2874">
        <v>0.02</v>
      </c>
      <c r="CB2874">
        <v>23.85</v>
      </c>
      <c r="CC2874">
        <v>19.78</v>
      </c>
      <c r="CD2874">
        <v>18.600000000000001</v>
      </c>
      <c r="CE2874">
        <v>-1.1200000000000001</v>
      </c>
      <c r="CF2874">
        <v>0.06</v>
      </c>
      <c r="CG2874">
        <v>-1.1100000000000001</v>
      </c>
      <c r="CH2874">
        <v>-1.1399999999999999</v>
      </c>
      <c r="CI2874">
        <v>-1.1599999999999999</v>
      </c>
      <c r="CJ2874">
        <v>-0.1</v>
      </c>
      <c r="CK2874">
        <v>-1.1399999999999999</v>
      </c>
      <c r="CL2874">
        <v>8.94</v>
      </c>
      <c r="CM2874">
        <v>0.7</v>
      </c>
      <c r="CN2874">
        <v>-1.57</v>
      </c>
      <c r="CO2874">
        <v>30747</v>
      </c>
      <c r="CP2874">
        <v>7924</v>
      </c>
      <c r="CQ2874" t="s">
        <v>3450</v>
      </c>
      <c r="CR2874">
        <v>-33.58</v>
      </c>
      <c r="CS2874">
        <v>36.79</v>
      </c>
      <c r="CT2874">
        <v>1.97</v>
      </c>
      <c r="CU2874">
        <v>123.41</v>
      </c>
      <c r="CV2874">
        <v>4.3600000000000003</v>
      </c>
      <c r="CW2874">
        <v>0.04</v>
      </c>
      <c r="CX2874" t="s">
        <v>12757</v>
      </c>
      <c r="CY2874">
        <v>5.51</v>
      </c>
      <c r="CZ2874">
        <v>0</v>
      </c>
      <c r="DA2874">
        <v>3</v>
      </c>
      <c r="DB2874">
        <v>1.1200000000000001</v>
      </c>
      <c r="DC2874">
        <v>0.09</v>
      </c>
      <c r="DD2874">
        <v>72.88</v>
      </c>
      <c r="DE2874" t="s">
        <v>12758</v>
      </c>
      <c r="DF2874">
        <v>5.98</v>
      </c>
      <c r="DG2874">
        <v>-5.64</v>
      </c>
      <c r="DH2874">
        <v>-5.85</v>
      </c>
      <c r="DI2874">
        <v>0.51</v>
      </c>
      <c r="DJ2874">
        <v>2402</v>
      </c>
      <c r="DK2874">
        <v>600640</v>
      </c>
      <c r="DL2874" t="s">
        <v>120</v>
      </c>
      <c r="DM2874" t="s">
        <v>120</v>
      </c>
      <c r="DN2874" t="s">
        <v>120</v>
      </c>
    </row>
    <row r="2875" spans="1:118">
      <c r="A2875" t="str">
        <f>"600641"</f>
        <v>600641</v>
      </c>
      <c r="B2875" t="s">
        <v>12759</v>
      </c>
      <c r="C2875">
        <v>-1.28</v>
      </c>
      <c r="D2875">
        <v>1.01</v>
      </c>
      <c r="E2875">
        <v>-0.37</v>
      </c>
      <c r="F2875">
        <v>5112</v>
      </c>
      <c r="G2875" t="s">
        <v>12760</v>
      </c>
      <c r="H2875">
        <v>57832.7</v>
      </c>
      <c r="I2875">
        <v>631.86</v>
      </c>
      <c r="J2875" t="s">
        <v>120</v>
      </c>
      <c r="K2875" t="s">
        <v>12761</v>
      </c>
      <c r="L2875">
        <v>2.23</v>
      </c>
      <c r="M2875">
        <v>26.95</v>
      </c>
      <c r="N2875">
        <v>0.74</v>
      </c>
      <c r="O2875">
        <v>1.72</v>
      </c>
      <c r="P2875">
        <v>27.77</v>
      </c>
      <c r="Q2875">
        <v>-2.4500000000000002</v>
      </c>
      <c r="R2875">
        <v>26.63</v>
      </c>
      <c r="S2875">
        <v>27.2</v>
      </c>
      <c r="T2875">
        <v>213236</v>
      </c>
      <c r="U2875">
        <v>26.98</v>
      </c>
      <c r="V2875">
        <v>27.3</v>
      </c>
      <c r="W2875">
        <v>46.22</v>
      </c>
      <c r="X2875" t="s">
        <v>150</v>
      </c>
      <c r="Y2875" t="s">
        <v>1510</v>
      </c>
      <c r="Z2875">
        <v>4.18</v>
      </c>
      <c r="AA2875">
        <v>27.12</v>
      </c>
      <c r="AB2875">
        <v>105609</v>
      </c>
      <c r="AC2875">
        <v>107627</v>
      </c>
      <c r="AD2875">
        <v>0.98</v>
      </c>
      <c r="AE2875">
        <v>322</v>
      </c>
      <c r="AF2875">
        <v>5</v>
      </c>
      <c r="AG2875" t="s">
        <v>120</v>
      </c>
      <c r="AH2875">
        <v>0.05</v>
      </c>
      <c r="AI2875" t="s">
        <v>120</v>
      </c>
      <c r="AJ2875">
        <v>9.58</v>
      </c>
      <c r="AK2875" t="s">
        <v>12761</v>
      </c>
      <c r="AL2875">
        <v>0.06</v>
      </c>
      <c r="AM2875">
        <v>4219</v>
      </c>
      <c r="AN2875">
        <v>51</v>
      </c>
      <c r="AO2875">
        <v>5.0000000000000001E-4</v>
      </c>
      <c r="AP2875">
        <v>-2</v>
      </c>
      <c r="AQ2875">
        <v>-0.8</v>
      </c>
      <c r="AR2875">
        <v>2.63</v>
      </c>
      <c r="AS2875">
        <v>26.29</v>
      </c>
      <c r="AT2875">
        <v>42.48</v>
      </c>
      <c r="AU2875">
        <v>34.32</v>
      </c>
      <c r="AV2875">
        <v>5</v>
      </c>
      <c r="AW2875">
        <v>4.3099999999999996</v>
      </c>
      <c r="AX2875">
        <v>51.6</v>
      </c>
      <c r="AY2875">
        <v>63.08</v>
      </c>
      <c r="AZ2875">
        <v>82.95</v>
      </c>
      <c r="BA2875">
        <v>0.62</v>
      </c>
      <c r="BB2875" t="s">
        <v>143</v>
      </c>
      <c r="BF2875">
        <v>-0.65</v>
      </c>
      <c r="BG2875">
        <v>-0.92</v>
      </c>
      <c r="BH2875">
        <v>-2.95</v>
      </c>
      <c r="BI2875">
        <v>1.2</v>
      </c>
      <c r="BJ2875">
        <v>20210830</v>
      </c>
      <c r="BK2875">
        <v>19930407</v>
      </c>
      <c r="BL2875">
        <v>9.58</v>
      </c>
      <c r="BM2875" t="s">
        <v>120</v>
      </c>
      <c r="BN2875" t="s">
        <v>120</v>
      </c>
      <c r="BO2875">
        <v>76.53</v>
      </c>
      <c r="BP2875">
        <v>26.95</v>
      </c>
      <c r="BQ2875">
        <v>68.709999999999994</v>
      </c>
      <c r="BR2875">
        <v>0.05</v>
      </c>
      <c r="BS2875">
        <v>10.16</v>
      </c>
      <c r="BT2875">
        <v>46.52</v>
      </c>
      <c r="BU2875">
        <v>0.62</v>
      </c>
      <c r="BV2875">
        <v>0.49</v>
      </c>
      <c r="BW2875">
        <v>5.14</v>
      </c>
      <c r="BX2875">
        <v>19.98</v>
      </c>
      <c r="BY2875">
        <v>6.23</v>
      </c>
      <c r="BZ2875">
        <v>0.63</v>
      </c>
      <c r="CA2875" t="s">
        <v>120</v>
      </c>
      <c r="CB2875">
        <v>1.0900000000000001</v>
      </c>
      <c r="CC2875">
        <v>6.09</v>
      </c>
      <c r="CD2875">
        <v>2.78</v>
      </c>
      <c r="CE2875">
        <v>3.62</v>
      </c>
      <c r="CF2875">
        <v>0.59</v>
      </c>
      <c r="CG2875">
        <v>3.63</v>
      </c>
      <c r="CH2875">
        <v>2.81</v>
      </c>
      <c r="CI2875">
        <v>2.79</v>
      </c>
      <c r="CJ2875">
        <v>-0.35</v>
      </c>
      <c r="CK2875">
        <v>1.97</v>
      </c>
      <c r="CL2875">
        <v>50.88</v>
      </c>
      <c r="CM2875">
        <v>-1.66</v>
      </c>
      <c r="CN2875">
        <v>-2.87</v>
      </c>
      <c r="CO2875">
        <v>51287</v>
      </c>
      <c r="CP2875">
        <v>9637</v>
      </c>
      <c r="CQ2875" t="s">
        <v>7547</v>
      </c>
      <c r="CR2875">
        <v>55.18</v>
      </c>
      <c r="CS2875">
        <v>28.25</v>
      </c>
      <c r="CT2875">
        <v>3.76</v>
      </c>
      <c r="CU2875">
        <v>-155.32</v>
      </c>
      <c r="CV2875">
        <v>42.4</v>
      </c>
      <c r="CW2875">
        <v>0.37</v>
      </c>
      <c r="CX2875" t="s">
        <v>2752</v>
      </c>
      <c r="CY2875">
        <v>7.17</v>
      </c>
      <c r="CZ2875">
        <v>0</v>
      </c>
      <c r="DA2875">
        <v>0.11</v>
      </c>
      <c r="DB2875">
        <v>5.31</v>
      </c>
      <c r="DC2875">
        <v>-0.17</v>
      </c>
      <c r="DD2875">
        <v>89.78</v>
      </c>
      <c r="DE2875" t="s">
        <v>5424</v>
      </c>
      <c r="DF2875">
        <v>54.29</v>
      </c>
      <c r="DG2875">
        <v>59.45</v>
      </c>
      <c r="DH2875">
        <v>45.87</v>
      </c>
      <c r="DI2875">
        <v>0.22</v>
      </c>
      <c r="DJ2875">
        <v>423</v>
      </c>
      <c r="DK2875">
        <v>600641</v>
      </c>
      <c r="DL2875" t="s">
        <v>120</v>
      </c>
      <c r="DM2875" t="s">
        <v>120</v>
      </c>
      <c r="DN2875" t="s">
        <v>120</v>
      </c>
    </row>
    <row r="2876" spans="1:118">
      <c r="A2876" t="str">
        <f>"600642"</f>
        <v>600642</v>
      </c>
      <c r="B2876" t="s">
        <v>12762</v>
      </c>
      <c r="C2876">
        <v>-1.18</v>
      </c>
      <c r="D2876">
        <v>-0.28999999999999998</v>
      </c>
      <c r="E2876">
        <v>0.28999999999999998</v>
      </c>
      <c r="F2876">
        <v>8831</v>
      </c>
      <c r="G2876" t="s">
        <v>12763</v>
      </c>
      <c r="H2876">
        <v>20527.71</v>
      </c>
      <c r="I2876">
        <v>86.02</v>
      </c>
      <c r="J2876" t="s">
        <v>120</v>
      </c>
      <c r="K2876" t="s">
        <v>12764</v>
      </c>
      <c r="L2876">
        <v>0.67</v>
      </c>
      <c r="M2876">
        <v>6.7</v>
      </c>
      <c r="N2876">
        <v>0.82</v>
      </c>
      <c r="O2876">
        <v>2.65</v>
      </c>
      <c r="P2876">
        <v>6.96</v>
      </c>
      <c r="Q2876">
        <v>-1.18</v>
      </c>
      <c r="R2876">
        <v>6.7</v>
      </c>
      <c r="S2876">
        <v>6.8</v>
      </c>
      <c r="T2876">
        <v>300528</v>
      </c>
      <c r="U2876">
        <v>6.72</v>
      </c>
      <c r="V2876">
        <v>6.78</v>
      </c>
      <c r="W2876">
        <v>10.47</v>
      </c>
      <c r="X2876" t="s">
        <v>268</v>
      </c>
      <c r="Y2876" t="s">
        <v>1510</v>
      </c>
      <c r="Z2876">
        <v>3.83</v>
      </c>
      <c r="AA2876">
        <v>6.83</v>
      </c>
      <c r="AB2876">
        <v>155783</v>
      </c>
      <c r="AC2876">
        <v>144745</v>
      </c>
      <c r="AD2876">
        <v>1.08</v>
      </c>
      <c r="AE2876">
        <v>3265</v>
      </c>
      <c r="AF2876">
        <v>129</v>
      </c>
      <c r="AG2876" t="s">
        <v>120</v>
      </c>
      <c r="AH2876">
        <v>0.01</v>
      </c>
      <c r="AI2876" t="s">
        <v>120</v>
      </c>
      <c r="AJ2876">
        <v>45.08</v>
      </c>
      <c r="AK2876" t="s">
        <v>12765</v>
      </c>
      <c r="AL2876">
        <v>0.16</v>
      </c>
      <c r="AM2876">
        <v>3217</v>
      </c>
      <c r="AN2876">
        <v>93</v>
      </c>
      <c r="AO2876">
        <v>2.0000000000000001E-4</v>
      </c>
      <c r="AP2876">
        <v>-1</v>
      </c>
      <c r="AQ2876">
        <v>0.15</v>
      </c>
      <c r="AR2876">
        <v>-2.48</v>
      </c>
      <c r="AS2876">
        <v>7.55</v>
      </c>
      <c r="AT2876">
        <v>10.56</v>
      </c>
      <c r="AU2876">
        <v>35.630000000000003</v>
      </c>
      <c r="AV2876">
        <v>0</v>
      </c>
      <c r="AW2876">
        <v>1.8</v>
      </c>
      <c r="AX2876">
        <v>33.909999999999997</v>
      </c>
      <c r="AY2876">
        <v>11.86</v>
      </c>
      <c r="AZ2876">
        <v>13.92</v>
      </c>
      <c r="BA2876">
        <v>0.16</v>
      </c>
      <c r="BB2876" t="s">
        <v>240</v>
      </c>
      <c r="BF2876">
        <v>0.75</v>
      </c>
      <c r="BG2876">
        <v>-1.47</v>
      </c>
      <c r="BH2876">
        <v>-3.74</v>
      </c>
      <c r="BI2876">
        <v>0</v>
      </c>
      <c r="BJ2876">
        <v>20210831</v>
      </c>
      <c r="BK2876">
        <v>19930416</v>
      </c>
      <c r="BL2876">
        <v>49.12</v>
      </c>
      <c r="BM2876" t="s">
        <v>120</v>
      </c>
      <c r="BN2876" t="s">
        <v>120</v>
      </c>
      <c r="BO2876">
        <v>826.63</v>
      </c>
      <c r="BP2876">
        <v>6.7</v>
      </c>
      <c r="BQ2876">
        <v>307.61</v>
      </c>
      <c r="BR2876">
        <v>79.39</v>
      </c>
      <c r="BS2876">
        <v>53.18</v>
      </c>
      <c r="BT2876">
        <v>188.26</v>
      </c>
      <c r="BU2876">
        <v>311.33999999999997</v>
      </c>
      <c r="BV2876">
        <v>3.01</v>
      </c>
      <c r="BW2876">
        <v>204.82</v>
      </c>
      <c r="BX2876">
        <v>99.4</v>
      </c>
      <c r="BY2876">
        <v>6.61</v>
      </c>
      <c r="BZ2876">
        <v>50.99</v>
      </c>
      <c r="CA2876" t="s">
        <v>120</v>
      </c>
      <c r="CB2876">
        <v>48.44</v>
      </c>
      <c r="CC2876">
        <v>113.66</v>
      </c>
      <c r="CD2876">
        <v>95.04</v>
      </c>
      <c r="CE2876">
        <v>19.61</v>
      </c>
      <c r="CF2876">
        <v>9.8699999999999992</v>
      </c>
      <c r="CG2876">
        <v>20.190000000000001</v>
      </c>
      <c r="CH2876">
        <v>18.190000000000001</v>
      </c>
      <c r="CI2876">
        <v>15.71</v>
      </c>
      <c r="CJ2876">
        <v>-0.08</v>
      </c>
      <c r="CK2876">
        <v>14.94</v>
      </c>
      <c r="CL2876">
        <v>62.64</v>
      </c>
      <c r="CM2876">
        <v>23.2</v>
      </c>
      <c r="CN2876">
        <v>11.73</v>
      </c>
      <c r="CO2876">
        <v>116551</v>
      </c>
      <c r="CP2876">
        <v>14293</v>
      </c>
      <c r="CQ2876" t="s">
        <v>4217</v>
      </c>
      <c r="CR2876">
        <v>35.950000000000003</v>
      </c>
      <c r="CS2876">
        <v>23.86</v>
      </c>
      <c r="CT2876">
        <v>1.07</v>
      </c>
      <c r="CU2876">
        <v>14.19</v>
      </c>
      <c r="CV2876">
        <v>2.9</v>
      </c>
      <c r="CW2876">
        <v>4.09</v>
      </c>
      <c r="CX2876" t="s">
        <v>966</v>
      </c>
      <c r="CY2876">
        <v>6.26</v>
      </c>
      <c r="CZ2876">
        <v>0</v>
      </c>
      <c r="DA2876">
        <v>0.99</v>
      </c>
      <c r="DB2876">
        <v>1.28</v>
      </c>
      <c r="DC2876">
        <v>0.47</v>
      </c>
      <c r="DD2876">
        <v>37.21</v>
      </c>
      <c r="DE2876" t="s">
        <v>4904</v>
      </c>
      <c r="DF2876">
        <v>16.38</v>
      </c>
      <c r="DG2876">
        <v>17.25</v>
      </c>
      <c r="DH2876">
        <v>13.83</v>
      </c>
      <c r="DI2876">
        <v>0.01</v>
      </c>
      <c r="DJ2876">
        <v>2617</v>
      </c>
      <c r="DK2876">
        <v>600642</v>
      </c>
      <c r="DL2876" t="s">
        <v>120</v>
      </c>
      <c r="DM2876" t="s">
        <v>120</v>
      </c>
      <c r="DN2876" t="s">
        <v>120</v>
      </c>
    </row>
    <row r="2877" spans="1:118">
      <c r="A2877" t="str">
        <f>"600643"</f>
        <v>600643</v>
      </c>
      <c r="B2877" t="s">
        <v>12766</v>
      </c>
      <c r="C2877">
        <v>-2.2400000000000002</v>
      </c>
      <c r="D2877">
        <v>0.41</v>
      </c>
      <c r="E2877">
        <v>-0.26</v>
      </c>
      <c r="F2877">
        <v>5283</v>
      </c>
      <c r="G2877" t="s">
        <v>12767</v>
      </c>
      <c r="H2877">
        <v>9960.6299999999992</v>
      </c>
      <c r="I2877">
        <v>39.69</v>
      </c>
      <c r="J2877" t="s">
        <v>120</v>
      </c>
      <c r="K2877" t="s">
        <v>12768</v>
      </c>
      <c r="L2877">
        <v>0.82</v>
      </c>
      <c r="M2877">
        <v>7.41</v>
      </c>
      <c r="N2877">
        <v>0.95</v>
      </c>
      <c r="O2877">
        <v>0.26</v>
      </c>
      <c r="P2877">
        <v>7.6</v>
      </c>
      <c r="Q2877">
        <v>-2.77</v>
      </c>
      <c r="R2877">
        <v>7.37</v>
      </c>
      <c r="S2877">
        <v>7.56</v>
      </c>
      <c r="T2877">
        <v>133436</v>
      </c>
      <c r="U2877">
        <v>7.41</v>
      </c>
      <c r="V2877">
        <v>7.58</v>
      </c>
      <c r="W2877">
        <v>6.84</v>
      </c>
      <c r="X2877" t="s">
        <v>721</v>
      </c>
      <c r="Y2877" t="s">
        <v>1510</v>
      </c>
      <c r="Z2877">
        <v>3.03</v>
      </c>
      <c r="AA2877">
        <v>7.46</v>
      </c>
      <c r="AB2877">
        <v>81037</v>
      </c>
      <c r="AC2877">
        <v>52399</v>
      </c>
      <c r="AD2877">
        <v>1.55</v>
      </c>
      <c r="AE2877">
        <v>41</v>
      </c>
      <c r="AF2877">
        <v>1012</v>
      </c>
      <c r="AG2877" t="s">
        <v>120</v>
      </c>
      <c r="AH2877">
        <v>0.01</v>
      </c>
      <c r="AI2877" t="s">
        <v>120</v>
      </c>
      <c r="AJ2877">
        <v>16.190000000000001</v>
      </c>
      <c r="AK2877" t="s">
        <v>12769</v>
      </c>
      <c r="AL2877">
        <v>-0.9</v>
      </c>
      <c r="AM2877">
        <v>2725</v>
      </c>
      <c r="AN2877">
        <v>49</v>
      </c>
      <c r="AO2877">
        <v>2.9999999999999997E-4</v>
      </c>
      <c r="AP2877">
        <v>-1</v>
      </c>
      <c r="AQ2877">
        <v>1.88</v>
      </c>
      <c r="AR2877">
        <v>-2.38</v>
      </c>
      <c r="AS2877">
        <v>12.1</v>
      </c>
      <c r="AT2877">
        <v>5.4</v>
      </c>
      <c r="AU2877">
        <v>2.0699999999999998</v>
      </c>
      <c r="AV2877">
        <v>0</v>
      </c>
      <c r="AW2877">
        <v>1.65</v>
      </c>
      <c r="AX2877">
        <v>49.89</v>
      </c>
      <c r="AY2877">
        <v>7.82</v>
      </c>
      <c r="AZ2877">
        <v>9.09</v>
      </c>
      <c r="BA2877">
        <v>0.61</v>
      </c>
      <c r="BB2877" t="s">
        <v>184</v>
      </c>
      <c r="BF2877">
        <v>-1.52</v>
      </c>
      <c r="BG2877">
        <v>-1.98</v>
      </c>
      <c r="BH2877">
        <v>-2.5</v>
      </c>
      <c r="BI2877">
        <v>0.54</v>
      </c>
      <c r="BJ2877">
        <v>20210828</v>
      </c>
      <c r="BK2877">
        <v>19930426</v>
      </c>
      <c r="BL2877">
        <v>16.22</v>
      </c>
      <c r="BM2877" t="s">
        <v>120</v>
      </c>
      <c r="BN2877" t="s">
        <v>120</v>
      </c>
      <c r="BO2877">
        <v>270.74</v>
      </c>
      <c r="BP2877">
        <v>7.39</v>
      </c>
      <c r="BQ2877">
        <v>121.09</v>
      </c>
      <c r="BR2877">
        <v>0.06</v>
      </c>
      <c r="BS2877">
        <v>55.25</v>
      </c>
      <c r="BT2877">
        <v>131.82</v>
      </c>
      <c r="BU2877">
        <v>50.88</v>
      </c>
      <c r="BV2877">
        <v>0.47</v>
      </c>
      <c r="BW2877">
        <v>90.59</v>
      </c>
      <c r="BX2877">
        <v>25.67</v>
      </c>
      <c r="BY2877">
        <v>0.06</v>
      </c>
      <c r="BZ2877">
        <v>8.6999999999999993</v>
      </c>
      <c r="CA2877">
        <v>0.78</v>
      </c>
      <c r="CB2877">
        <v>40.450000000000003</v>
      </c>
      <c r="CC2877">
        <v>10.58</v>
      </c>
      <c r="CD2877">
        <v>7.62</v>
      </c>
      <c r="CE2877">
        <v>11.85</v>
      </c>
      <c r="CF2877">
        <v>0.71</v>
      </c>
      <c r="CG2877">
        <v>11.78</v>
      </c>
      <c r="CH2877">
        <v>8.7799999999999994</v>
      </c>
      <c r="CI2877">
        <v>8.7799999999999994</v>
      </c>
      <c r="CJ2877">
        <v>-0.17</v>
      </c>
      <c r="CK2877">
        <v>6.65</v>
      </c>
      <c r="CL2877">
        <v>55.06</v>
      </c>
      <c r="CM2877">
        <v>5.95</v>
      </c>
      <c r="CN2877">
        <v>0.41</v>
      </c>
      <c r="CO2877">
        <v>63677</v>
      </c>
      <c r="CP2877">
        <v>12706</v>
      </c>
      <c r="CQ2877" t="s">
        <v>3089</v>
      </c>
      <c r="CR2877">
        <v>33.47</v>
      </c>
      <c r="CS2877">
        <v>25.22</v>
      </c>
      <c r="CT2877">
        <v>0.99</v>
      </c>
      <c r="CU2877">
        <v>20.21</v>
      </c>
      <c r="CV2877">
        <v>11.36</v>
      </c>
      <c r="CW2877">
        <v>3.41</v>
      </c>
      <c r="CX2877" t="s">
        <v>263</v>
      </c>
      <c r="CY2877">
        <v>7.47</v>
      </c>
      <c r="CZ2877">
        <v>0</v>
      </c>
      <c r="DA2877">
        <v>2.4900000000000002</v>
      </c>
      <c r="DB2877">
        <v>3.39</v>
      </c>
      <c r="DC2877">
        <v>0.37</v>
      </c>
      <c r="DD2877">
        <v>44.73</v>
      </c>
      <c r="DE2877" t="s">
        <v>10758</v>
      </c>
      <c r="DF2877">
        <v>27.99</v>
      </c>
      <c r="DG2877">
        <v>111.97</v>
      </c>
      <c r="DH2877">
        <v>82.99</v>
      </c>
      <c r="DI2877">
        <v>0.02</v>
      </c>
      <c r="DJ2877">
        <v>818</v>
      </c>
      <c r="DK2877">
        <v>600643</v>
      </c>
      <c r="DL2877" t="s">
        <v>120</v>
      </c>
      <c r="DM2877" t="s">
        <v>120</v>
      </c>
      <c r="DN2877" t="s">
        <v>120</v>
      </c>
    </row>
    <row r="2878" spans="1:118">
      <c r="A2878" t="str">
        <f>"600644"</f>
        <v>600644</v>
      </c>
      <c r="B2878" t="s">
        <v>12770</v>
      </c>
      <c r="C2878">
        <v>-0.95</v>
      </c>
      <c r="D2878">
        <v>0.32</v>
      </c>
      <c r="E2878">
        <v>0</v>
      </c>
      <c r="F2878">
        <v>1099</v>
      </c>
      <c r="G2878" t="s">
        <v>12771</v>
      </c>
      <c r="H2878">
        <v>5558.3</v>
      </c>
      <c r="I2878">
        <v>29.47</v>
      </c>
      <c r="J2878" t="s">
        <v>120</v>
      </c>
      <c r="K2878" t="s">
        <v>2245</v>
      </c>
      <c r="L2878">
        <v>1.63</v>
      </c>
      <c r="M2878">
        <v>6.25</v>
      </c>
      <c r="N2878">
        <v>0.73</v>
      </c>
      <c r="O2878">
        <v>2.06</v>
      </c>
      <c r="P2878">
        <v>6.44</v>
      </c>
      <c r="Q2878">
        <v>-1.58</v>
      </c>
      <c r="R2878">
        <v>6.21</v>
      </c>
      <c r="S2878">
        <v>6.31</v>
      </c>
      <c r="T2878">
        <v>87884</v>
      </c>
      <c r="U2878">
        <v>6.26</v>
      </c>
      <c r="V2878">
        <v>6.31</v>
      </c>
      <c r="W2878">
        <v>20.079999999999998</v>
      </c>
      <c r="X2878" t="s">
        <v>1287</v>
      </c>
      <c r="Y2878" t="s">
        <v>578</v>
      </c>
      <c r="Z2878">
        <v>3.65</v>
      </c>
      <c r="AA2878">
        <v>6.32</v>
      </c>
      <c r="AB2878">
        <v>44302</v>
      </c>
      <c r="AC2878">
        <v>43582</v>
      </c>
      <c r="AD2878">
        <v>1.02</v>
      </c>
      <c r="AE2878">
        <v>611</v>
      </c>
      <c r="AF2878">
        <v>144</v>
      </c>
      <c r="AG2878" t="s">
        <v>120</v>
      </c>
      <c r="AH2878">
        <v>0.02</v>
      </c>
      <c r="AI2878" t="s">
        <v>120</v>
      </c>
      <c r="AJ2878">
        <v>5.38</v>
      </c>
      <c r="AK2878" t="s">
        <v>2245</v>
      </c>
      <c r="AL2878">
        <v>0.39</v>
      </c>
      <c r="AM2878">
        <v>2023</v>
      </c>
      <c r="AN2878">
        <v>43</v>
      </c>
      <c r="AO2878">
        <v>8.0000000000000004E-4</v>
      </c>
      <c r="AP2878">
        <v>-1</v>
      </c>
      <c r="AQ2878">
        <v>2.27</v>
      </c>
      <c r="AR2878">
        <v>-0.48</v>
      </c>
      <c r="AS2878">
        <v>8.6999999999999993</v>
      </c>
      <c r="AT2878">
        <v>9.26</v>
      </c>
      <c r="AU2878">
        <v>4.8600000000000003</v>
      </c>
      <c r="AV2878">
        <v>4</v>
      </c>
      <c r="AW2878">
        <v>4.45</v>
      </c>
      <c r="AX2878">
        <v>36.72</v>
      </c>
      <c r="AY2878">
        <v>38.369999999999997</v>
      </c>
      <c r="AZ2878">
        <v>33.130000000000003</v>
      </c>
      <c r="BA2878">
        <v>0.72</v>
      </c>
      <c r="BB2878" t="s">
        <v>184</v>
      </c>
      <c r="BF2878">
        <v>0.23</v>
      </c>
      <c r="BG2878">
        <v>-0.95</v>
      </c>
      <c r="BH2878">
        <v>-2.95</v>
      </c>
      <c r="BI2878">
        <v>0.64</v>
      </c>
      <c r="BJ2878">
        <v>20210821</v>
      </c>
      <c r="BK2878">
        <v>19930426</v>
      </c>
      <c r="BL2878">
        <v>5.38</v>
      </c>
      <c r="BM2878" t="s">
        <v>120</v>
      </c>
      <c r="BN2878" t="s">
        <v>120</v>
      </c>
      <c r="BO2878">
        <v>38.69</v>
      </c>
      <c r="BP2878">
        <v>6.25</v>
      </c>
      <c r="BQ2878">
        <v>16.760000000000002</v>
      </c>
      <c r="BR2878">
        <v>2.35</v>
      </c>
      <c r="BS2878">
        <v>50.61</v>
      </c>
      <c r="BT2878">
        <v>4.45</v>
      </c>
      <c r="BU2878">
        <v>20.440000000000001</v>
      </c>
      <c r="BV2878">
        <v>2.12</v>
      </c>
      <c r="BW2878">
        <v>11.82</v>
      </c>
      <c r="BX2878">
        <v>1.32</v>
      </c>
      <c r="BY2878">
        <v>0.74</v>
      </c>
      <c r="BZ2878">
        <v>0.91</v>
      </c>
      <c r="CA2878" t="s">
        <v>120</v>
      </c>
      <c r="CB2878">
        <v>13.87</v>
      </c>
      <c r="CC2878">
        <v>12.57</v>
      </c>
      <c r="CD2878">
        <v>9.6</v>
      </c>
      <c r="CE2878">
        <v>0.92</v>
      </c>
      <c r="CF2878">
        <v>0.08</v>
      </c>
      <c r="CG2878">
        <v>0.93</v>
      </c>
      <c r="CH2878">
        <v>0.86</v>
      </c>
      <c r="CI2878">
        <v>0.84</v>
      </c>
      <c r="CJ2878">
        <v>-0.06</v>
      </c>
      <c r="CK2878">
        <v>0.81</v>
      </c>
      <c r="CL2878">
        <v>-3.48</v>
      </c>
      <c r="CM2878">
        <v>1.08</v>
      </c>
      <c r="CN2878">
        <v>-0.97</v>
      </c>
      <c r="CO2878">
        <v>18500</v>
      </c>
      <c r="CP2878">
        <v>10687</v>
      </c>
      <c r="CQ2878" t="s">
        <v>4615</v>
      </c>
      <c r="CR2878">
        <v>-14.3</v>
      </c>
      <c r="CS2878">
        <v>18.079999999999998</v>
      </c>
      <c r="CT2878">
        <v>2.0099999999999998</v>
      </c>
      <c r="CU2878">
        <v>31.11</v>
      </c>
      <c r="CV2878">
        <v>2.68</v>
      </c>
      <c r="CW2878">
        <v>0</v>
      </c>
      <c r="CX2878" t="s">
        <v>12772</v>
      </c>
      <c r="CY2878">
        <v>3.11</v>
      </c>
      <c r="CZ2878">
        <v>0</v>
      </c>
      <c r="DA2878">
        <v>2.58</v>
      </c>
      <c r="DB2878">
        <v>-0.65</v>
      </c>
      <c r="DC2878">
        <v>0.2</v>
      </c>
      <c r="DD2878">
        <v>43.31</v>
      </c>
      <c r="DE2878" t="s">
        <v>6258</v>
      </c>
      <c r="DF2878">
        <v>23.65</v>
      </c>
      <c r="DG2878">
        <v>7.32</v>
      </c>
      <c r="DH2878">
        <v>6.67</v>
      </c>
      <c r="DI2878" t="s">
        <v>120</v>
      </c>
      <c r="DJ2878">
        <v>3072</v>
      </c>
      <c r="DK2878">
        <v>600644</v>
      </c>
      <c r="DL2878" t="s">
        <v>120</v>
      </c>
      <c r="DM2878" t="s">
        <v>120</v>
      </c>
      <c r="DN2878" t="s">
        <v>120</v>
      </c>
    </row>
    <row r="2879" spans="1:118">
      <c r="A2879" t="str">
        <f>"600645"</f>
        <v>600645</v>
      </c>
      <c r="B2879" t="s">
        <v>12773</v>
      </c>
      <c r="C2879">
        <v>-0.14000000000000001</v>
      </c>
      <c r="D2879">
        <v>0</v>
      </c>
      <c r="E2879">
        <v>-0.32</v>
      </c>
      <c r="F2879">
        <v>515</v>
      </c>
      <c r="G2879" t="s">
        <v>12774</v>
      </c>
      <c r="H2879">
        <v>21974.93</v>
      </c>
      <c r="I2879">
        <v>26.54</v>
      </c>
      <c r="J2879" t="s">
        <v>120</v>
      </c>
      <c r="K2879" t="s">
        <v>12775</v>
      </c>
      <c r="L2879">
        <v>2.11</v>
      </c>
      <c r="M2879">
        <v>21.97</v>
      </c>
      <c r="N2879">
        <v>0.97</v>
      </c>
      <c r="O2879">
        <v>3.59</v>
      </c>
      <c r="P2879">
        <v>22.79</v>
      </c>
      <c r="Q2879">
        <v>-0.32</v>
      </c>
      <c r="R2879">
        <v>21.93</v>
      </c>
      <c r="S2879">
        <v>21.93</v>
      </c>
      <c r="T2879">
        <v>98527</v>
      </c>
      <c r="U2879">
        <v>21.97</v>
      </c>
      <c r="V2879">
        <v>22</v>
      </c>
      <c r="W2879">
        <v>46.43</v>
      </c>
      <c r="X2879" t="s">
        <v>666</v>
      </c>
      <c r="Y2879" t="s">
        <v>997</v>
      </c>
      <c r="Z2879">
        <v>3.91</v>
      </c>
      <c r="AA2879">
        <v>22.3</v>
      </c>
      <c r="AB2879">
        <v>47353</v>
      </c>
      <c r="AC2879">
        <v>51174</v>
      </c>
      <c r="AD2879">
        <v>0.93</v>
      </c>
      <c r="AE2879">
        <v>213</v>
      </c>
      <c r="AF2879">
        <v>262</v>
      </c>
      <c r="AG2879" t="s">
        <v>120</v>
      </c>
      <c r="AH2879">
        <v>0</v>
      </c>
      <c r="AI2879" t="s">
        <v>120</v>
      </c>
      <c r="AJ2879">
        <v>4.67</v>
      </c>
      <c r="AK2879" t="s">
        <v>12776</v>
      </c>
      <c r="AL2879">
        <v>1.21</v>
      </c>
      <c r="AM2879">
        <v>3482</v>
      </c>
      <c r="AN2879">
        <v>28</v>
      </c>
      <c r="AO2879">
        <v>5.9999999999999995E-4</v>
      </c>
      <c r="AP2879">
        <v>-3</v>
      </c>
      <c r="AQ2879">
        <v>-2.2200000000000002</v>
      </c>
      <c r="AR2879">
        <v>-4.0599999999999996</v>
      </c>
      <c r="AS2879">
        <v>4.08</v>
      </c>
      <c r="AT2879">
        <v>-4.2699999999999996</v>
      </c>
      <c r="AU2879">
        <v>12.04</v>
      </c>
      <c r="AV2879">
        <v>3</v>
      </c>
      <c r="AW2879">
        <v>2.94</v>
      </c>
      <c r="AX2879">
        <v>71.56</v>
      </c>
      <c r="AY2879" t="s">
        <v>120</v>
      </c>
      <c r="AZ2879" t="s">
        <v>120</v>
      </c>
      <c r="BA2879">
        <v>0.6</v>
      </c>
      <c r="BB2879" t="s">
        <v>125</v>
      </c>
      <c r="BF2879">
        <v>1.38</v>
      </c>
      <c r="BG2879">
        <v>0.18</v>
      </c>
      <c r="BH2879">
        <v>-3.6</v>
      </c>
      <c r="BI2879">
        <v>0.18</v>
      </c>
      <c r="BJ2879">
        <v>20210830</v>
      </c>
      <c r="BK2879">
        <v>19930504</v>
      </c>
      <c r="BL2879">
        <v>4.68</v>
      </c>
      <c r="BM2879" t="s">
        <v>120</v>
      </c>
      <c r="BN2879" t="s">
        <v>120</v>
      </c>
      <c r="BO2879">
        <v>51.73</v>
      </c>
      <c r="BP2879">
        <v>21.96</v>
      </c>
      <c r="BQ2879">
        <v>36.26</v>
      </c>
      <c r="BR2879">
        <v>1.02</v>
      </c>
      <c r="BS2879">
        <v>27.95</v>
      </c>
      <c r="BT2879">
        <v>19.98</v>
      </c>
      <c r="BU2879">
        <v>7.18</v>
      </c>
      <c r="BV2879">
        <v>1.41</v>
      </c>
      <c r="BW2879">
        <v>13.57</v>
      </c>
      <c r="BX2879">
        <v>11.08</v>
      </c>
      <c r="BY2879">
        <v>2.2400000000000002</v>
      </c>
      <c r="BZ2879">
        <v>4.75</v>
      </c>
      <c r="CA2879">
        <v>0.02</v>
      </c>
      <c r="CB2879">
        <v>33.85</v>
      </c>
      <c r="CC2879">
        <v>7.68</v>
      </c>
      <c r="CD2879">
        <v>2.2999999999999998</v>
      </c>
      <c r="CE2879">
        <v>1.42</v>
      </c>
      <c r="CF2879">
        <v>0.18</v>
      </c>
      <c r="CG2879">
        <v>1.44</v>
      </c>
      <c r="CH2879">
        <v>1.1299999999999999</v>
      </c>
      <c r="CI2879">
        <v>1.1100000000000001</v>
      </c>
      <c r="CJ2879">
        <v>-0.03</v>
      </c>
      <c r="CK2879">
        <v>0.72</v>
      </c>
      <c r="CL2879">
        <v>-6</v>
      </c>
      <c r="CM2879">
        <v>1.22</v>
      </c>
      <c r="CN2879">
        <v>0.5</v>
      </c>
      <c r="CO2879">
        <v>36442</v>
      </c>
      <c r="CP2879">
        <v>9189</v>
      </c>
      <c r="CQ2879" t="s">
        <v>12777</v>
      </c>
      <c r="CR2879">
        <v>36.119999999999997</v>
      </c>
      <c r="CS2879">
        <v>23.99</v>
      </c>
      <c r="CT2879">
        <v>2.84</v>
      </c>
      <c r="CU2879">
        <v>83.98</v>
      </c>
      <c r="CV2879">
        <v>13.38</v>
      </c>
      <c r="CW2879">
        <v>0</v>
      </c>
      <c r="CX2879" t="s">
        <v>626</v>
      </c>
      <c r="CY2879">
        <v>7.75</v>
      </c>
      <c r="CZ2879">
        <v>0</v>
      </c>
      <c r="DA2879">
        <v>7.23</v>
      </c>
      <c r="DB2879">
        <v>-1.28</v>
      </c>
      <c r="DC2879">
        <v>0.26</v>
      </c>
      <c r="DD2879">
        <v>70.08</v>
      </c>
      <c r="DE2879" t="s">
        <v>4017</v>
      </c>
      <c r="DF2879">
        <v>69.989999999999995</v>
      </c>
      <c r="DG2879">
        <v>18.510000000000002</v>
      </c>
      <c r="DH2879">
        <v>14.41</v>
      </c>
      <c r="DI2879">
        <v>0.7</v>
      </c>
      <c r="DJ2879">
        <v>2233</v>
      </c>
      <c r="DK2879">
        <v>600645</v>
      </c>
      <c r="DL2879" t="s">
        <v>120</v>
      </c>
      <c r="DM2879" t="s">
        <v>120</v>
      </c>
      <c r="DN2879" t="s">
        <v>120</v>
      </c>
    </row>
    <row r="2880" spans="1:118">
      <c r="A2880" t="str">
        <f>"600647"</f>
        <v>600647</v>
      </c>
      <c r="B2880" t="s">
        <v>12778</v>
      </c>
      <c r="C2880">
        <v>-0.26</v>
      </c>
      <c r="D2880">
        <v>-0.16</v>
      </c>
      <c r="E2880">
        <v>0.17</v>
      </c>
      <c r="F2880">
        <v>67</v>
      </c>
      <c r="G2880" t="s">
        <v>6790</v>
      </c>
      <c r="H2880">
        <v>1203.6600000000001</v>
      </c>
      <c r="I2880">
        <v>0.59</v>
      </c>
      <c r="J2880" t="s">
        <v>120</v>
      </c>
      <c r="K2880" t="s">
        <v>1408</v>
      </c>
      <c r="L2880">
        <v>0.72</v>
      </c>
      <c r="M2880">
        <v>11.71</v>
      </c>
      <c r="N2880">
        <v>1.68</v>
      </c>
      <c r="O2880">
        <v>3.66</v>
      </c>
      <c r="P2880">
        <v>12.17</v>
      </c>
      <c r="Q2880">
        <v>-0.51</v>
      </c>
      <c r="R2880">
        <v>11.68</v>
      </c>
      <c r="S2880">
        <v>11.76</v>
      </c>
      <c r="T2880">
        <v>10083</v>
      </c>
      <c r="U2880">
        <v>11.73</v>
      </c>
      <c r="V2880">
        <v>11.74</v>
      </c>
      <c r="W2880">
        <v>82.07</v>
      </c>
      <c r="X2880" t="s">
        <v>166</v>
      </c>
      <c r="Y2880" t="s">
        <v>1510</v>
      </c>
      <c r="Z2880">
        <v>4.17</v>
      </c>
      <c r="AA2880">
        <v>11.94</v>
      </c>
      <c r="AB2880">
        <v>5499</v>
      </c>
      <c r="AC2880">
        <v>4584</v>
      </c>
      <c r="AD2880">
        <v>1.2</v>
      </c>
      <c r="AE2880">
        <v>8</v>
      </c>
      <c r="AF2880">
        <v>10</v>
      </c>
      <c r="AG2880" t="s">
        <v>120</v>
      </c>
      <c r="AH2880">
        <v>0</v>
      </c>
      <c r="AI2880" t="s">
        <v>120</v>
      </c>
      <c r="AJ2880">
        <v>1.39</v>
      </c>
      <c r="AK2880" t="s">
        <v>1408</v>
      </c>
      <c r="AL2880">
        <v>1.0900000000000001</v>
      </c>
      <c r="AM2880">
        <v>772</v>
      </c>
      <c r="AN2880">
        <v>13</v>
      </c>
      <c r="AO2880">
        <v>8.9999999999999998E-4</v>
      </c>
      <c r="AP2880">
        <v>-6</v>
      </c>
      <c r="AQ2880">
        <v>-0.25</v>
      </c>
      <c r="AR2880">
        <v>-1.34</v>
      </c>
      <c r="AS2880">
        <v>4.3600000000000003</v>
      </c>
      <c r="AT2880">
        <v>-1.84</v>
      </c>
      <c r="AU2880">
        <v>-2.42</v>
      </c>
      <c r="AV2880">
        <v>0</v>
      </c>
      <c r="AW2880">
        <v>1.22</v>
      </c>
      <c r="AX2880">
        <v>59.32</v>
      </c>
      <c r="AY2880">
        <v>85.13</v>
      </c>
      <c r="AZ2880">
        <v>139.68</v>
      </c>
      <c r="BA2880">
        <v>0.81</v>
      </c>
      <c r="BB2880" t="s">
        <v>143</v>
      </c>
      <c r="BF2880">
        <v>1.68</v>
      </c>
      <c r="BG2880">
        <v>-0.43</v>
      </c>
      <c r="BH2880">
        <v>-3.78</v>
      </c>
      <c r="BI2880">
        <v>0.26</v>
      </c>
      <c r="BJ2880">
        <v>20210913</v>
      </c>
      <c r="BK2880">
        <v>19930504</v>
      </c>
      <c r="BL2880">
        <v>1.39</v>
      </c>
      <c r="BM2880" t="s">
        <v>120</v>
      </c>
      <c r="BN2880" t="s">
        <v>120</v>
      </c>
      <c r="BO2880">
        <v>5.09</v>
      </c>
      <c r="BP2880">
        <v>11.71</v>
      </c>
      <c r="BQ2880">
        <v>3.09</v>
      </c>
      <c r="BR2880">
        <v>0.27</v>
      </c>
      <c r="BS2880">
        <v>33.799999999999997</v>
      </c>
      <c r="BT2880">
        <v>4.71</v>
      </c>
      <c r="BU2880">
        <v>0.16</v>
      </c>
      <c r="BV2880">
        <v>0</v>
      </c>
      <c r="BW2880">
        <v>1.72</v>
      </c>
      <c r="BX2880">
        <v>1.69</v>
      </c>
      <c r="BY2880">
        <v>0.67</v>
      </c>
      <c r="BZ2880">
        <v>2.17</v>
      </c>
      <c r="CA2880">
        <v>0.02</v>
      </c>
      <c r="CB2880">
        <v>0.01</v>
      </c>
      <c r="CC2880">
        <v>2.58</v>
      </c>
      <c r="CD2880">
        <v>2.4700000000000002</v>
      </c>
      <c r="CE2880">
        <v>0.1</v>
      </c>
      <c r="CF2880">
        <v>0.14000000000000001</v>
      </c>
      <c r="CG2880">
        <v>0.1</v>
      </c>
      <c r="CH2880">
        <v>0.1</v>
      </c>
      <c r="CI2880">
        <v>0.1</v>
      </c>
      <c r="CJ2880">
        <v>-0.03</v>
      </c>
      <c r="CK2880">
        <v>0.08</v>
      </c>
      <c r="CL2880">
        <v>1.35</v>
      </c>
      <c r="CM2880">
        <v>-1.99</v>
      </c>
      <c r="CN2880">
        <v>-0.95</v>
      </c>
      <c r="CO2880">
        <v>9003</v>
      </c>
      <c r="CP2880">
        <v>9168</v>
      </c>
      <c r="CQ2880" t="s">
        <v>12779</v>
      </c>
      <c r="CR2880">
        <v>308.06</v>
      </c>
      <c r="CS2880">
        <v>170.95</v>
      </c>
      <c r="CT2880">
        <v>5.27</v>
      </c>
      <c r="CU2880">
        <v>-8.18</v>
      </c>
      <c r="CV2880">
        <v>6.32</v>
      </c>
      <c r="CW2880">
        <v>0</v>
      </c>
      <c r="CX2880" t="s">
        <v>8123</v>
      </c>
      <c r="CY2880">
        <v>2.2200000000000002</v>
      </c>
      <c r="CZ2880">
        <v>0</v>
      </c>
      <c r="DA2880">
        <v>0.01</v>
      </c>
      <c r="DB2880">
        <v>0.97</v>
      </c>
      <c r="DC2880">
        <v>-1.43</v>
      </c>
      <c r="DD2880">
        <v>60.8</v>
      </c>
      <c r="DE2880" t="s">
        <v>7310</v>
      </c>
      <c r="DF2880">
        <v>4.21</v>
      </c>
      <c r="DG2880">
        <v>3.84</v>
      </c>
      <c r="DH2880">
        <v>3.85</v>
      </c>
      <c r="DI2880" t="s">
        <v>120</v>
      </c>
      <c r="DJ2880">
        <v>31</v>
      </c>
      <c r="DK2880">
        <v>600647</v>
      </c>
      <c r="DL2880" t="s">
        <v>120</v>
      </c>
      <c r="DM2880" t="s">
        <v>120</v>
      </c>
      <c r="DN2880" t="s">
        <v>120</v>
      </c>
    </row>
    <row r="2881" spans="1:118">
      <c r="A2881" t="str">
        <f>"600648"</f>
        <v>600648</v>
      </c>
      <c r="B2881" t="s">
        <v>12780</v>
      </c>
      <c r="C2881">
        <v>-0.52</v>
      </c>
      <c r="D2881">
        <v>0.15</v>
      </c>
      <c r="E2881">
        <v>7.0000000000000007E-2</v>
      </c>
      <c r="F2881">
        <v>1806</v>
      </c>
      <c r="G2881" t="s">
        <v>12781</v>
      </c>
      <c r="H2881">
        <v>3370.5</v>
      </c>
      <c r="I2881">
        <v>21.01</v>
      </c>
      <c r="J2881" t="s">
        <v>120</v>
      </c>
      <c r="K2881" t="s">
        <v>4753</v>
      </c>
      <c r="L2881">
        <v>0.27</v>
      </c>
      <c r="M2881">
        <v>13.3</v>
      </c>
      <c r="N2881">
        <v>0.73</v>
      </c>
      <c r="O2881">
        <v>0.67</v>
      </c>
      <c r="P2881">
        <v>13.46</v>
      </c>
      <c r="Q2881">
        <v>-0.82</v>
      </c>
      <c r="R2881">
        <v>13.26</v>
      </c>
      <c r="S2881">
        <v>13.38</v>
      </c>
      <c r="T2881">
        <v>25244</v>
      </c>
      <c r="U2881">
        <v>13.3</v>
      </c>
      <c r="V2881">
        <v>13.37</v>
      </c>
      <c r="W2881">
        <v>17.190000000000001</v>
      </c>
      <c r="X2881" t="s">
        <v>1384</v>
      </c>
      <c r="Y2881" t="s">
        <v>1510</v>
      </c>
      <c r="Z2881">
        <v>1.5</v>
      </c>
      <c r="AA2881">
        <v>13.35</v>
      </c>
      <c r="AB2881">
        <v>14880</v>
      </c>
      <c r="AC2881">
        <v>10364</v>
      </c>
      <c r="AD2881">
        <v>1.44</v>
      </c>
      <c r="AE2881">
        <v>207</v>
      </c>
      <c r="AF2881">
        <v>600</v>
      </c>
      <c r="AG2881" t="s">
        <v>120</v>
      </c>
      <c r="AH2881">
        <v>0</v>
      </c>
      <c r="AI2881" t="s">
        <v>120</v>
      </c>
      <c r="AJ2881">
        <v>9.35</v>
      </c>
      <c r="AK2881" t="s">
        <v>12782</v>
      </c>
      <c r="AL2881">
        <v>0.82</v>
      </c>
      <c r="AM2881">
        <v>1246</v>
      </c>
      <c r="AN2881">
        <v>20</v>
      </c>
      <c r="AO2881">
        <v>2.0000000000000001E-4</v>
      </c>
      <c r="AP2881">
        <v>-1</v>
      </c>
      <c r="AQ2881">
        <v>7.0000000000000007E-2</v>
      </c>
      <c r="AR2881">
        <v>-2.42</v>
      </c>
      <c r="AS2881">
        <v>0.15</v>
      </c>
      <c r="AT2881">
        <v>-10.74</v>
      </c>
      <c r="AU2881">
        <v>-3.41</v>
      </c>
      <c r="AV2881">
        <v>1</v>
      </c>
      <c r="AW2881">
        <v>0.76</v>
      </c>
      <c r="AX2881">
        <v>29.3</v>
      </c>
      <c r="AY2881">
        <v>19.41</v>
      </c>
      <c r="AZ2881">
        <v>21.04</v>
      </c>
      <c r="BA2881">
        <v>0.61</v>
      </c>
      <c r="BB2881" t="s">
        <v>4676</v>
      </c>
      <c r="BF2881">
        <v>-0.14000000000000001</v>
      </c>
      <c r="BG2881">
        <v>-0.6</v>
      </c>
      <c r="BH2881">
        <v>-1.19</v>
      </c>
      <c r="BI2881">
        <v>0.3</v>
      </c>
      <c r="BJ2881">
        <v>20210826</v>
      </c>
      <c r="BK2881">
        <v>19930504</v>
      </c>
      <c r="BL2881">
        <v>11.35</v>
      </c>
      <c r="BM2881">
        <v>2.0099999999999998</v>
      </c>
      <c r="BN2881" t="s">
        <v>120</v>
      </c>
      <c r="BO2881">
        <v>404.3</v>
      </c>
      <c r="BP2881">
        <v>13.28</v>
      </c>
      <c r="BQ2881">
        <v>111.63</v>
      </c>
      <c r="BR2881">
        <v>2.77</v>
      </c>
      <c r="BS2881">
        <v>71.7</v>
      </c>
      <c r="BT2881">
        <v>211.25</v>
      </c>
      <c r="BU2881">
        <v>7.62</v>
      </c>
      <c r="BV2881">
        <v>0.59</v>
      </c>
      <c r="BW2881">
        <v>207.26</v>
      </c>
      <c r="BX2881">
        <v>76.53</v>
      </c>
      <c r="BY2881">
        <v>119.69</v>
      </c>
      <c r="BZ2881">
        <v>5.31</v>
      </c>
      <c r="CA2881">
        <v>1.1200000000000001</v>
      </c>
      <c r="CB2881">
        <v>35.68</v>
      </c>
      <c r="CC2881">
        <v>38.479999999999997</v>
      </c>
      <c r="CD2881">
        <v>25.76</v>
      </c>
      <c r="CE2881">
        <v>6.15</v>
      </c>
      <c r="CF2881">
        <v>0.27</v>
      </c>
      <c r="CG2881">
        <v>6.18</v>
      </c>
      <c r="CH2881">
        <v>4.49</v>
      </c>
      <c r="CI2881">
        <v>4.3899999999999997</v>
      </c>
      <c r="CJ2881">
        <v>-7.0000000000000007E-2</v>
      </c>
      <c r="CK2881">
        <v>3.31</v>
      </c>
      <c r="CL2881">
        <v>56.42</v>
      </c>
      <c r="CM2881">
        <v>0.66</v>
      </c>
      <c r="CN2881">
        <v>-3.23</v>
      </c>
      <c r="CO2881">
        <v>62705</v>
      </c>
      <c r="CP2881">
        <v>8504</v>
      </c>
      <c r="CQ2881" t="s">
        <v>8171</v>
      </c>
      <c r="CR2881">
        <v>15.94</v>
      </c>
      <c r="CS2881">
        <v>-10.199999999999999</v>
      </c>
      <c r="CT2881">
        <v>1.35</v>
      </c>
      <c r="CU2881">
        <v>229.61</v>
      </c>
      <c r="CV2881">
        <v>3.92</v>
      </c>
      <c r="CW2881">
        <v>1.5</v>
      </c>
      <c r="CX2881" t="s">
        <v>1980</v>
      </c>
      <c r="CY2881">
        <v>9.83</v>
      </c>
      <c r="CZ2881">
        <v>0</v>
      </c>
      <c r="DA2881">
        <v>3.14</v>
      </c>
      <c r="DB2881">
        <v>4.97</v>
      </c>
      <c r="DC2881">
        <v>0.06</v>
      </c>
      <c r="DD2881">
        <v>27.61</v>
      </c>
      <c r="DE2881" t="s">
        <v>4245</v>
      </c>
      <c r="DF2881">
        <v>33.049999999999997</v>
      </c>
      <c r="DG2881">
        <v>15.98</v>
      </c>
      <c r="DH2881">
        <v>11.41</v>
      </c>
      <c r="DI2881">
        <v>0.05</v>
      </c>
      <c r="DJ2881">
        <v>2815</v>
      </c>
      <c r="DK2881">
        <v>600648</v>
      </c>
      <c r="DL2881" t="s">
        <v>120</v>
      </c>
      <c r="DM2881" t="s">
        <v>120</v>
      </c>
      <c r="DN2881" t="s">
        <v>120</v>
      </c>
    </row>
    <row r="2882" spans="1:118">
      <c r="A2882" t="str">
        <f>"600649"</f>
        <v>600649</v>
      </c>
      <c r="B2882" t="s">
        <v>12783</v>
      </c>
      <c r="C2882">
        <v>-1.75</v>
      </c>
      <c r="D2882">
        <v>-0.21</v>
      </c>
      <c r="E2882">
        <v>0.22</v>
      </c>
      <c r="F2882">
        <v>853</v>
      </c>
      <c r="G2882" t="s">
        <v>1850</v>
      </c>
      <c r="H2882">
        <v>7689.25</v>
      </c>
      <c r="I2882">
        <v>40.9</v>
      </c>
      <c r="J2882" t="s">
        <v>120</v>
      </c>
      <c r="K2882" t="s">
        <v>12784</v>
      </c>
      <c r="L2882">
        <v>0.67</v>
      </c>
      <c r="M2882">
        <v>4.49</v>
      </c>
      <c r="N2882">
        <v>1.1399999999999999</v>
      </c>
      <c r="O2882">
        <v>1.31</v>
      </c>
      <c r="P2882">
        <v>4.63</v>
      </c>
      <c r="Q2882">
        <v>-1.97</v>
      </c>
      <c r="R2882">
        <v>4.4800000000000004</v>
      </c>
      <c r="S2882">
        <v>4.58</v>
      </c>
      <c r="T2882">
        <v>168937</v>
      </c>
      <c r="U2882">
        <v>4.49</v>
      </c>
      <c r="V2882">
        <v>4.57</v>
      </c>
      <c r="W2882">
        <v>9.7899999999999991</v>
      </c>
      <c r="X2882" t="s">
        <v>150</v>
      </c>
      <c r="Y2882" t="s">
        <v>1510</v>
      </c>
      <c r="Z2882">
        <v>3.28</v>
      </c>
      <c r="AA2882">
        <v>4.55</v>
      </c>
      <c r="AB2882">
        <v>102337</v>
      </c>
      <c r="AC2882">
        <v>66600</v>
      </c>
      <c r="AD2882">
        <v>1.54</v>
      </c>
      <c r="AE2882">
        <v>2953</v>
      </c>
      <c r="AF2882">
        <v>400</v>
      </c>
      <c r="AG2882" t="s">
        <v>120</v>
      </c>
      <c r="AH2882">
        <v>0.01</v>
      </c>
      <c r="AI2882" t="s">
        <v>120</v>
      </c>
      <c r="AJ2882">
        <v>25.3</v>
      </c>
      <c r="AK2882" t="s">
        <v>12784</v>
      </c>
      <c r="AL2882">
        <v>-0.41</v>
      </c>
      <c r="AM2882">
        <v>2810</v>
      </c>
      <c r="AN2882">
        <v>60</v>
      </c>
      <c r="AO2882">
        <v>2.0000000000000001E-4</v>
      </c>
      <c r="AP2882">
        <v>-1</v>
      </c>
      <c r="AQ2882">
        <v>0.66</v>
      </c>
      <c r="AR2882">
        <v>-4.0599999999999996</v>
      </c>
      <c r="AS2882">
        <v>4.42</v>
      </c>
      <c r="AT2882">
        <v>-5.03</v>
      </c>
      <c r="AU2882">
        <v>-15.89</v>
      </c>
      <c r="AV2882">
        <v>0</v>
      </c>
      <c r="AW2882">
        <v>1.42</v>
      </c>
      <c r="AX2882">
        <v>47.19</v>
      </c>
      <c r="AY2882">
        <v>9.57</v>
      </c>
      <c r="AZ2882">
        <v>15.02</v>
      </c>
      <c r="BA2882">
        <v>0.22</v>
      </c>
      <c r="BB2882" t="s">
        <v>143</v>
      </c>
      <c r="BF2882">
        <v>-0.4</v>
      </c>
      <c r="BG2882">
        <v>-1.97</v>
      </c>
      <c r="BH2882">
        <v>-3.02</v>
      </c>
      <c r="BI2882">
        <v>0.22</v>
      </c>
      <c r="BJ2882">
        <v>20210831</v>
      </c>
      <c r="BK2882">
        <v>19930518</v>
      </c>
      <c r="BL2882">
        <v>25.3</v>
      </c>
      <c r="BM2882" t="s">
        <v>120</v>
      </c>
      <c r="BN2882" t="s">
        <v>120</v>
      </c>
      <c r="BO2882">
        <v>682.33</v>
      </c>
      <c r="BP2882">
        <v>4.4800000000000004</v>
      </c>
      <c r="BQ2882">
        <v>200.41</v>
      </c>
      <c r="BR2882">
        <v>21.45</v>
      </c>
      <c r="BS2882">
        <v>67.489999999999995</v>
      </c>
      <c r="BT2882">
        <v>574.04</v>
      </c>
      <c r="BU2882">
        <v>0.18</v>
      </c>
      <c r="BV2882">
        <v>0.47</v>
      </c>
      <c r="BW2882">
        <v>290.12</v>
      </c>
      <c r="BX2882">
        <v>53.31</v>
      </c>
      <c r="BY2882">
        <v>468.9</v>
      </c>
      <c r="BZ2882">
        <v>12.21</v>
      </c>
      <c r="CA2882" t="s">
        <v>120</v>
      </c>
      <c r="CB2882">
        <v>16.18</v>
      </c>
      <c r="CC2882">
        <v>22.04</v>
      </c>
      <c r="CD2882">
        <v>13.64</v>
      </c>
      <c r="CE2882">
        <v>9.35</v>
      </c>
      <c r="CF2882">
        <v>7.83</v>
      </c>
      <c r="CG2882">
        <v>8.56</v>
      </c>
      <c r="CH2882">
        <v>5.77</v>
      </c>
      <c r="CI2882">
        <v>5.8</v>
      </c>
      <c r="CJ2882">
        <v>-0.08</v>
      </c>
      <c r="CK2882">
        <v>2.9</v>
      </c>
      <c r="CL2882">
        <v>134.80000000000001</v>
      </c>
      <c r="CM2882">
        <v>-112.79</v>
      </c>
      <c r="CN2882">
        <v>-131.02000000000001</v>
      </c>
      <c r="CO2882">
        <v>79572</v>
      </c>
      <c r="CP2882">
        <v>15001</v>
      </c>
      <c r="CQ2882" t="s">
        <v>6553</v>
      </c>
      <c r="CR2882">
        <v>309.20999999999998</v>
      </c>
      <c r="CS2882">
        <v>1431.51</v>
      </c>
      <c r="CT2882">
        <v>0.56999999999999995</v>
      </c>
      <c r="CU2882">
        <v>-1.01</v>
      </c>
      <c r="CV2882">
        <v>5.15</v>
      </c>
      <c r="CW2882">
        <v>2.0099999999999998</v>
      </c>
      <c r="CX2882" t="s">
        <v>694</v>
      </c>
      <c r="CY2882">
        <v>7.92</v>
      </c>
      <c r="CZ2882">
        <v>0</v>
      </c>
      <c r="DA2882">
        <v>0.64</v>
      </c>
      <c r="DB2882">
        <v>5.33</v>
      </c>
      <c r="DC2882">
        <v>-4.46</v>
      </c>
      <c r="DD2882">
        <v>29.37</v>
      </c>
      <c r="DE2882" t="s">
        <v>7027</v>
      </c>
      <c r="DF2882">
        <v>38.11</v>
      </c>
      <c r="DG2882">
        <v>42.44</v>
      </c>
      <c r="DH2882">
        <v>26.33</v>
      </c>
      <c r="DI2882" t="s">
        <v>120</v>
      </c>
      <c r="DJ2882">
        <v>321</v>
      </c>
      <c r="DK2882">
        <v>600649</v>
      </c>
      <c r="DL2882" t="s">
        <v>120</v>
      </c>
      <c r="DM2882" t="s">
        <v>120</v>
      </c>
      <c r="DN2882" t="s">
        <v>120</v>
      </c>
    </row>
    <row r="2883" spans="1:118">
      <c r="A2883" t="str">
        <f>"600650"</f>
        <v>600650</v>
      </c>
      <c r="B2883" t="s">
        <v>12785</v>
      </c>
      <c r="C2883">
        <v>-0.95</v>
      </c>
      <c r="D2883">
        <v>0</v>
      </c>
      <c r="E2883">
        <v>0.53</v>
      </c>
      <c r="F2883">
        <v>104</v>
      </c>
      <c r="G2883" t="s">
        <v>3980</v>
      </c>
      <c r="H2883">
        <v>1223.6099999999999</v>
      </c>
      <c r="I2883">
        <v>3.25</v>
      </c>
      <c r="J2883" t="s">
        <v>120</v>
      </c>
      <c r="K2883" t="s">
        <v>2622</v>
      </c>
      <c r="L2883">
        <v>0.33</v>
      </c>
      <c r="M2883">
        <v>9.41</v>
      </c>
      <c r="N2883">
        <v>0.84</v>
      </c>
      <c r="O2883">
        <v>0.53</v>
      </c>
      <c r="P2883">
        <v>9.5500000000000007</v>
      </c>
      <c r="Q2883">
        <v>-1.05</v>
      </c>
      <c r="R2883">
        <v>9.4</v>
      </c>
      <c r="S2883">
        <v>9.5500000000000007</v>
      </c>
      <c r="T2883">
        <v>12925</v>
      </c>
      <c r="U2883">
        <v>9.42</v>
      </c>
      <c r="V2883">
        <v>9.5</v>
      </c>
      <c r="W2883">
        <v>43.97</v>
      </c>
      <c r="X2883" t="s">
        <v>5789</v>
      </c>
      <c r="Y2883" t="s">
        <v>1510</v>
      </c>
      <c r="Z2883">
        <v>1.58</v>
      </c>
      <c r="AA2883">
        <v>9.4700000000000006</v>
      </c>
      <c r="AB2883">
        <v>7162</v>
      </c>
      <c r="AC2883">
        <v>5763</v>
      </c>
      <c r="AD2883">
        <v>1.24</v>
      </c>
      <c r="AE2883">
        <v>167</v>
      </c>
      <c r="AF2883">
        <v>9</v>
      </c>
      <c r="AG2883" t="s">
        <v>120</v>
      </c>
      <c r="AH2883">
        <v>0</v>
      </c>
      <c r="AI2883" t="s">
        <v>120</v>
      </c>
      <c r="AJ2883">
        <v>3.91</v>
      </c>
      <c r="AK2883" t="s">
        <v>12786</v>
      </c>
      <c r="AL2883">
        <v>0.4</v>
      </c>
      <c r="AM2883">
        <v>765</v>
      </c>
      <c r="AN2883">
        <v>17</v>
      </c>
      <c r="AO2883">
        <v>4.0000000000000002E-4</v>
      </c>
      <c r="AP2883">
        <v>-1</v>
      </c>
      <c r="AQ2883">
        <v>0.11</v>
      </c>
      <c r="AR2883">
        <v>-2.08</v>
      </c>
      <c r="AS2883">
        <v>4.5599999999999996</v>
      </c>
      <c r="AT2883">
        <v>-6.72</v>
      </c>
      <c r="AU2883">
        <v>5.88</v>
      </c>
      <c r="AV2883">
        <v>0</v>
      </c>
      <c r="AW2883">
        <v>0.75</v>
      </c>
      <c r="AX2883">
        <v>31.29</v>
      </c>
      <c r="AY2883">
        <v>20.72</v>
      </c>
      <c r="AZ2883">
        <v>21.69</v>
      </c>
      <c r="BA2883">
        <v>0.67</v>
      </c>
      <c r="BB2883" t="s">
        <v>143</v>
      </c>
      <c r="BF2883">
        <v>-0.35</v>
      </c>
      <c r="BG2883">
        <v>-1.47</v>
      </c>
      <c r="BH2883">
        <v>-1.47</v>
      </c>
      <c r="BI2883">
        <v>0.11</v>
      </c>
      <c r="BJ2883">
        <v>20210910</v>
      </c>
      <c r="BK2883">
        <v>19930607</v>
      </c>
      <c r="BL2883">
        <v>5.52</v>
      </c>
      <c r="BM2883">
        <v>1.61</v>
      </c>
      <c r="BN2883" t="s">
        <v>120</v>
      </c>
      <c r="BO2883">
        <v>53.16</v>
      </c>
      <c r="BP2883">
        <v>9.41</v>
      </c>
      <c r="BQ2883">
        <v>35.15</v>
      </c>
      <c r="BR2883">
        <v>4.01</v>
      </c>
      <c r="BS2883">
        <v>26.34</v>
      </c>
      <c r="BT2883">
        <v>19.46</v>
      </c>
      <c r="BU2883">
        <v>8.08</v>
      </c>
      <c r="BV2883">
        <v>3.07</v>
      </c>
      <c r="BW2883">
        <v>7.99</v>
      </c>
      <c r="BX2883">
        <v>11.51</v>
      </c>
      <c r="BY2883">
        <v>1.54</v>
      </c>
      <c r="BZ2883">
        <v>1.76</v>
      </c>
      <c r="CA2883">
        <v>0.04</v>
      </c>
      <c r="CB2883">
        <v>3.29</v>
      </c>
      <c r="CC2883">
        <v>13.99</v>
      </c>
      <c r="CD2883">
        <v>11.69</v>
      </c>
      <c r="CE2883">
        <v>0.82</v>
      </c>
      <c r="CF2883">
        <v>0.56000000000000005</v>
      </c>
      <c r="CG2883">
        <v>0.82</v>
      </c>
      <c r="CH2883">
        <v>0.71</v>
      </c>
      <c r="CI2883">
        <v>0.59</v>
      </c>
      <c r="CJ2883">
        <v>-0.09</v>
      </c>
      <c r="CK2883">
        <v>0.55000000000000004</v>
      </c>
      <c r="CL2883">
        <v>16.53</v>
      </c>
      <c r="CM2883">
        <v>0.03</v>
      </c>
      <c r="CN2883">
        <v>-1.1499999999999999</v>
      </c>
      <c r="CO2883">
        <v>57371</v>
      </c>
      <c r="CP2883">
        <v>5816</v>
      </c>
      <c r="CQ2883" t="s">
        <v>6385</v>
      </c>
      <c r="CR2883">
        <v>23.75</v>
      </c>
      <c r="CS2883">
        <v>21.85</v>
      </c>
      <c r="CT2883">
        <v>1.48</v>
      </c>
      <c r="CU2883">
        <v>1576.03</v>
      </c>
      <c r="CV2883">
        <v>3.71</v>
      </c>
      <c r="CW2883">
        <v>1.39</v>
      </c>
      <c r="CX2883" t="s">
        <v>12787</v>
      </c>
      <c r="CY2883">
        <v>6.37</v>
      </c>
      <c r="CZ2883">
        <v>0</v>
      </c>
      <c r="DA2883">
        <v>0.6</v>
      </c>
      <c r="DB2883">
        <v>3</v>
      </c>
      <c r="DC2883">
        <v>0.01</v>
      </c>
      <c r="DD2883">
        <v>66.12</v>
      </c>
      <c r="DE2883" t="s">
        <v>1249</v>
      </c>
      <c r="DF2883">
        <v>16.440000000000001</v>
      </c>
      <c r="DG2883">
        <v>5.83</v>
      </c>
      <c r="DH2883">
        <v>4.22</v>
      </c>
      <c r="DI2883" t="s">
        <v>120</v>
      </c>
      <c r="DJ2883">
        <v>6904</v>
      </c>
      <c r="DK2883">
        <v>600650</v>
      </c>
      <c r="DL2883" t="s">
        <v>120</v>
      </c>
      <c r="DM2883" t="s">
        <v>120</v>
      </c>
      <c r="DN2883" t="s">
        <v>120</v>
      </c>
    </row>
    <row r="2884" spans="1:118">
      <c r="A2884" t="str">
        <f>"600651"</f>
        <v>600651</v>
      </c>
      <c r="B2884" t="s">
        <v>12788</v>
      </c>
      <c r="C2884">
        <v>-3.26</v>
      </c>
      <c r="D2884">
        <v>-0.6</v>
      </c>
      <c r="E2884">
        <v>0.59</v>
      </c>
      <c r="F2884">
        <v>3549</v>
      </c>
      <c r="G2884" t="s">
        <v>8361</v>
      </c>
      <c r="H2884">
        <v>5444.18</v>
      </c>
      <c r="I2884">
        <v>86.92</v>
      </c>
      <c r="J2884" t="s">
        <v>120</v>
      </c>
      <c r="K2884" t="s">
        <v>12789</v>
      </c>
      <c r="L2884">
        <v>1.42</v>
      </c>
      <c r="M2884">
        <v>3.26</v>
      </c>
      <c r="N2884">
        <v>1.05</v>
      </c>
      <c r="O2884">
        <v>1.78</v>
      </c>
      <c r="P2884">
        <v>3.43</v>
      </c>
      <c r="Q2884">
        <v>-3.56</v>
      </c>
      <c r="R2884">
        <v>3.25</v>
      </c>
      <c r="S2884">
        <v>3.39</v>
      </c>
      <c r="T2884">
        <v>162877</v>
      </c>
      <c r="U2884">
        <v>3.27</v>
      </c>
      <c r="V2884">
        <v>3.37</v>
      </c>
      <c r="W2884" t="s">
        <v>120</v>
      </c>
      <c r="X2884" t="s">
        <v>2717</v>
      </c>
      <c r="Y2884" t="s">
        <v>1510</v>
      </c>
      <c r="Z2884">
        <v>5.34</v>
      </c>
      <c r="AA2884">
        <v>3.34</v>
      </c>
      <c r="AB2884">
        <v>99422</v>
      </c>
      <c r="AC2884">
        <v>63455</v>
      </c>
      <c r="AD2884">
        <v>1.57</v>
      </c>
      <c r="AE2884">
        <v>1898</v>
      </c>
      <c r="AF2884">
        <v>92</v>
      </c>
      <c r="AG2884" t="s">
        <v>120</v>
      </c>
      <c r="AH2884">
        <v>0.03</v>
      </c>
      <c r="AI2884" t="s">
        <v>120</v>
      </c>
      <c r="AJ2884">
        <v>11.48</v>
      </c>
      <c r="AK2884" t="s">
        <v>12790</v>
      </c>
      <c r="AL2884">
        <v>-1.92</v>
      </c>
      <c r="AM2884">
        <v>1961</v>
      </c>
      <c r="AN2884">
        <v>83</v>
      </c>
      <c r="AO2884">
        <v>6.9999999999999999E-4</v>
      </c>
      <c r="AP2884">
        <v>-1</v>
      </c>
      <c r="AQ2884">
        <v>2.74</v>
      </c>
      <c r="AR2884">
        <v>-0.31</v>
      </c>
      <c r="AS2884">
        <v>6.54</v>
      </c>
      <c r="AT2884">
        <v>-2.39</v>
      </c>
      <c r="AU2884">
        <v>-4.96</v>
      </c>
      <c r="AV2884">
        <v>2</v>
      </c>
      <c r="AW2884">
        <v>1.94</v>
      </c>
      <c r="AX2884">
        <v>33.4</v>
      </c>
      <c r="AY2884" t="s">
        <v>120</v>
      </c>
      <c r="AZ2884">
        <v>19.579999999999998</v>
      </c>
      <c r="BA2884">
        <v>0.1</v>
      </c>
      <c r="BB2884" t="s">
        <v>700</v>
      </c>
      <c r="BF2884">
        <v>-0.82</v>
      </c>
      <c r="BG2884">
        <v>-3.83</v>
      </c>
      <c r="BH2884">
        <v>-4.96</v>
      </c>
      <c r="BI2884">
        <v>0.31</v>
      </c>
      <c r="BJ2884">
        <v>20210831</v>
      </c>
      <c r="BK2884">
        <v>19901219</v>
      </c>
      <c r="BL2884">
        <v>25.07</v>
      </c>
      <c r="BM2884" t="s">
        <v>120</v>
      </c>
      <c r="BN2884" t="s">
        <v>120</v>
      </c>
      <c r="BO2884">
        <v>88.11</v>
      </c>
      <c r="BP2884">
        <v>3.26</v>
      </c>
      <c r="BQ2884">
        <v>23.89</v>
      </c>
      <c r="BR2884">
        <v>1.47</v>
      </c>
      <c r="BS2884">
        <v>71.22</v>
      </c>
      <c r="BT2884">
        <v>46.24</v>
      </c>
      <c r="BU2884">
        <v>10.08</v>
      </c>
      <c r="BV2884">
        <v>6.46</v>
      </c>
      <c r="BW2884">
        <v>50.82</v>
      </c>
      <c r="BX2884">
        <v>14.06</v>
      </c>
      <c r="BY2884">
        <v>11.22</v>
      </c>
      <c r="BZ2884">
        <v>12.36</v>
      </c>
      <c r="CA2884" t="s">
        <v>120</v>
      </c>
      <c r="CB2884">
        <v>34.82</v>
      </c>
      <c r="CC2884">
        <v>22.52</v>
      </c>
      <c r="CD2884">
        <v>16.73</v>
      </c>
      <c r="CE2884">
        <v>-0.5</v>
      </c>
      <c r="CF2884">
        <v>0.27</v>
      </c>
      <c r="CG2884">
        <v>-0.49</v>
      </c>
      <c r="CH2884">
        <v>-0.8</v>
      </c>
      <c r="CI2884">
        <v>-0.79</v>
      </c>
      <c r="CJ2884">
        <v>-0.11</v>
      </c>
      <c r="CK2884">
        <v>-1.1100000000000001</v>
      </c>
      <c r="CL2884">
        <v>-37.22</v>
      </c>
      <c r="CM2884">
        <v>0.19</v>
      </c>
      <c r="CN2884">
        <v>-3.38</v>
      </c>
      <c r="CO2884">
        <v>51150</v>
      </c>
      <c r="CP2884">
        <v>16372</v>
      </c>
      <c r="CQ2884" t="s">
        <v>2990</v>
      </c>
      <c r="CR2884">
        <v>-110.43</v>
      </c>
      <c r="CS2884">
        <v>11.1</v>
      </c>
      <c r="CT2884">
        <v>3.42</v>
      </c>
      <c r="CU2884">
        <v>436.69</v>
      </c>
      <c r="CV2884">
        <v>3.63</v>
      </c>
      <c r="CW2884">
        <v>0</v>
      </c>
      <c r="CX2884" t="s">
        <v>479</v>
      </c>
      <c r="CY2884">
        <v>0.95</v>
      </c>
      <c r="CZ2884">
        <v>0</v>
      </c>
      <c r="DA2884">
        <v>1.39</v>
      </c>
      <c r="DB2884">
        <v>-1.48</v>
      </c>
      <c r="DC2884">
        <v>0.01</v>
      </c>
      <c r="DD2884">
        <v>27.12</v>
      </c>
      <c r="DE2884" t="s">
        <v>7895</v>
      </c>
      <c r="DF2884">
        <v>25.71</v>
      </c>
      <c r="DG2884">
        <v>-2.2200000000000002</v>
      </c>
      <c r="DH2884">
        <v>-3.52</v>
      </c>
      <c r="DI2884">
        <v>1.0900000000000001</v>
      </c>
      <c r="DJ2884">
        <v>3661</v>
      </c>
      <c r="DK2884">
        <v>600651</v>
      </c>
      <c r="DL2884" t="s">
        <v>120</v>
      </c>
      <c r="DM2884" t="s">
        <v>120</v>
      </c>
      <c r="DN2884" t="s">
        <v>120</v>
      </c>
    </row>
    <row r="2885" spans="1:118">
      <c r="A2885" t="str">
        <f>"600653"</f>
        <v>600653</v>
      </c>
      <c r="B2885" t="s">
        <v>12791</v>
      </c>
      <c r="C2885">
        <v>-1.43</v>
      </c>
      <c r="D2885">
        <v>0</v>
      </c>
      <c r="E2885">
        <v>0.48</v>
      </c>
      <c r="F2885">
        <v>3468</v>
      </c>
      <c r="G2885" t="s">
        <v>12792</v>
      </c>
      <c r="H2885">
        <v>5712.21</v>
      </c>
      <c r="I2885">
        <v>46.06</v>
      </c>
      <c r="J2885" t="s">
        <v>120</v>
      </c>
      <c r="K2885" t="s">
        <v>4465</v>
      </c>
      <c r="L2885">
        <v>1.4</v>
      </c>
      <c r="M2885">
        <v>2.0699999999999998</v>
      </c>
      <c r="N2885">
        <v>0.79</v>
      </c>
      <c r="O2885">
        <v>1.9</v>
      </c>
      <c r="P2885">
        <v>2.14</v>
      </c>
      <c r="Q2885">
        <v>-2.38</v>
      </c>
      <c r="R2885">
        <v>2.0499999999999998</v>
      </c>
      <c r="S2885">
        <v>2.11</v>
      </c>
      <c r="T2885">
        <v>272341</v>
      </c>
      <c r="U2885">
        <v>2.0699999999999998</v>
      </c>
      <c r="V2885">
        <v>2.1</v>
      </c>
      <c r="W2885">
        <v>356.17</v>
      </c>
      <c r="X2885" t="s">
        <v>253</v>
      </c>
      <c r="Y2885" t="s">
        <v>432</v>
      </c>
      <c r="Z2885">
        <v>4.29</v>
      </c>
      <c r="AA2885">
        <v>2.1</v>
      </c>
      <c r="AB2885">
        <v>157483</v>
      </c>
      <c r="AC2885">
        <v>114858</v>
      </c>
      <c r="AD2885">
        <v>1.37</v>
      </c>
      <c r="AE2885">
        <v>5925</v>
      </c>
      <c r="AF2885">
        <v>5321</v>
      </c>
      <c r="AG2885" t="s">
        <v>120</v>
      </c>
      <c r="AH2885">
        <v>0.01</v>
      </c>
      <c r="AI2885" t="s">
        <v>120</v>
      </c>
      <c r="AJ2885">
        <v>19.46</v>
      </c>
      <c r="AK2885" t="s">
        <v>4465</v>
      </c>
      <c r="AL2885">
        <v>-0.08</v>
      </c>
      <c r="AM2885">
        <v>2064</v>
      </c>
      <c r="AN2885">
        <v>132</v>
      </c>
      <c r="AO2885">
        <v>6.9999999999999999E-4</v>
      </c>
      <c r="AP2885">
        <v>-1</v>
      </c>
      <c r="AQ2885">
        <v>1.94</v>
      </c>
      <c r="AR2885">
        <v>-0.48</v>
      </c>
      <c r="AS2885">
        <v>12.5</v>
      </c>
      <c r="AT2885">
        <v>11.89</v>
      </c>
      <c r="AU2885">
        <v>14.36</v>
      </c>
      <c r="AV2885">
        <v>2</v>
      </c>
      <c r="AW2885">
        <v>1.82</v>
      </c>
      <c r="AX2885">
        <v>77.069999999999993</v>
      </c>
      <c r="AY2885" t="s">
        <v>120</v>
      </c>
      <c r="AZ2885" t="s">
        <v>120</v>
      </c>
      <c r="BA2885">
        <v>0.33</v>
      </c>
      <c r="BB2885" t="s">
        <v>184</v>
      </c>
      <c r="BF2885">
        <v>-0.12</v>
      </c>
      <c r="BG2885">
        <v>-1.9</v>
      </c>
      <c r="BH2885">
        <v>-3.27</v>
      </c>
      <c r="BI2885">
        <v>0.98</v>
      </c>
      <c r="BJ2885">
        <v>20210831</v>
      </c>
      <c r="BK2885">
        <v>19901219</v>
      </c>
      <c r="BL2885">
        <v>19.46</v>
      </c>
      <c r="BM2885" t="s">
        <v>120</v>
      </c>
      <c r="BN2885" t="s">
        <v>120</v>
      </c>
      <c r="BO2885">
        <v>41.34</v>
      </c>
      <c r="BP2885">
        <v>2.06</v>
      </c>
      <c r="BQ2885">
        <v>11.05</v>
      </c>
      <c r="BR2885">
        <v>2.61</v>
      </c>
      <c r="BS2885">
        <v>66.94</v>
      </c>
      <c r="BT2885">
        <v>21.95</v>
      </c>
      <c r="BU2885">
        <v>6.86</v>
      </c>
      <c r="BV2885">
        <v>2.95</v>
      </c>
      <c r="BW2885">
        <v>16.489999999999998</v>
      </c>
      <c r="BX2885">
        <v>5.04</v>
      </c>
      <c r="BY2885">
        <v>10.29</v>
      </c>
      <c r="BZ2885">
        <v>1.77</v>
      </c>
      <c r="CA2885">
        <v>0</v>
      </c>
      <c r="CB2885">
        <v>3.56</v>
      </c>
      <c r="CC2885">
        <v>38.840000000000003</v>
      </c>
      <c r="CD2885">
        <v>35.49</v>
      </c>
      <c r="CE2885">
        <v>0.86</v>
      </c>
      <c r="CF2885">
        <v>0.12</v>
      </c>
      <c r="CG2885">
        <v>0.86</v>
      </c>
      <c r="CH2885">
        <v>0.5</v>
      </c>
      <c r="CI2885">
        <v>0.06</v>
      </c>
      <c r="CJ2885">
        <v>-0.03</v>
      </c>
      <c r="CK2885">
        <v>0.04</v>
      </c>
      <c r="CL2885">
        <v>-11.55</v>
      </c>
      <c r="CM2885">
        <v>2.35</v>
      </c>
      <c r="CN2885">
        <v>0.78</v>
      </c>
      <c r="CO2885">
        <v>153606</v>
      </c>
      <c r="CP2885">
        <v>9765</v>
      </c>
      <c r="CQ2885" t="s">
        <v>12793</v>
      </c>
      <c r="CR2885">
        <v>117.51</v>
      </c>
      <c r="CS2885">
        <v>28.85</v>
      </c>
      <c r="CT2885">
        <v>3.64</v>
      </c>
      <c r="CU2885">
        <v>17.18</v>
      </c>
      <c r="CV2885">
        <v>1.04</v>
      </c>
      <c r="CW2885">
        <v>0</v>
      </c>
      <c r="CX2885" t="s">
        <v>1097</v>
      </c>
      <c r="CY2885">
        <v>0.56999999999999995</v>
      </c>
      <c r="CZ2885">
        <v>0</v>
      </c>
      <c r="DA2885">
        <v>0.18</v>
      </c>
      <c r="DB2885">
        <v>-0.59</v>
      </c>
      <c r="DC2885">
        <v>0.12</v>
      </c>
      <c r="DD2885">
        <v>26.74</v>
      </c>
      <c r="DE2885" t="s">
        <v>7604</v>
      </c>
      <c r="DF2885">
        <v>8.64</v>
      </c>
      <c r="DG2885">
        <v>2.21</v>
      </c>
      <c r="DH2885">
        <v>0.15</v>
      </c>
      <c r="DI2885" t="s">
        <v>120</v>
      </c>
      <c r="DJ2885">
        <v>2095</v>
      </c>
      <c r="DK2885">
        <v>600653</v>
      </c>
      <c r="DL2885" t="s">
        <v>120</v>
      </c>
      <c r="DM2885" t="s">
        <v>120</v>
      </c>
      <c r="DN2885" t="s">
        <v>120</v>
      </c>
    </row>
    <row r="2886" spans="1:118">
      <c r="A2886" t="str">
        <f>"600655"</f>
        <v>600655</v>
      </c>
      <c r="B2886" t="s">
        <v>12794</v>
      </c>
      <c r="C2886">
        <v>0.4</v>
      </c>
      <c r="D2886">
        <v>0.2</v>
      </c>
      <c r="E2886">
        <v>0.3</v>
      </c>
      <c r="F2886">
        <v>3575</v>
      </c>
      <c r="G2886" t="s">
        <v>12795</v>
      </c>
      <c r="H2886">
        <v>14045.49</v>
      </c>
      <c r="I2886">
        <v>26.67</v>
      </c>
      <c r="J2886" t="s">
        <v>120</v>
      </c>
      <c r="K2886" t="s">
        <v>12796</v>
      </c>
      <c r="L2886">
        <v>0.86</v>
      </c>
      <c r="M2886">
        <v>10.15</v>
      </c>
      <c r="N2886">
        <v>0.6</v>
      </c>
      <c r="O2886">
        <v>1.98</v>
      </c>
      <c r="P2886">
        <v>10.31</v>
      </c>
      <c r="Q2886">
        <v>-0.3</v>
      </c>
      <c r="R2886">
        <v>10.08</v>
      </c>
      <c r="S2886">
        <v>10.14</v>
      </c>
      <c r="T2886">
        <v>138162</v>
      </c>
      <c r="U2886">
        <v>10.15</v>
      </c>
      <c r="V2886">
        <v>10.11</v>
      </c>
      <c r="W2886">
        <v>13.99</v>
      </c>
      <c r="X2886" t="s">
        <v>735</v>
      </c>
      <c r="Y2886" t="s">
        <v>1510</v>
      </c>
      <c r="Z2886">
        <v>2.27</v>
      </c>
      <c r="AA2886">
        <v>10.17</v>
      </c>
      <c r="AB2886">
        <v>75918</v>
      </c>
      <c r="AC2886">
        <v>62244</v>
      </c>
      <c r="AD2886">
        <v>1.22</v>
      </c>
      <c r="AE2886">
        <v>1159</v>
      </c>
      <c r="AF2886">
        <v>117</v>
      </c>
      <c r="AG2886" t="s">
        <v>120</v>
      </c>
      <c r="AH2886">
        <v>0</v>
      </c>
      <c r="AI2886" t="s">
        <v>120</v>
      </c>
      <c r="AJ2886">
        <v>16.05</v>
      </c>
      <c r="AK2886" t="s">
        <v>12797</v>
      </c>
      <c r="AL2886">
        <v>1.74</v>
      </c>
      <c r="AM2886">
        <v>2940</v>
      </c>
      <c r="AN2886">
        <v>47</v>
      </c>
      <c r="AO2886">
        <v>2.9999999999999997E-4</v>
      </c>
      <c r="AP2886">
        <v>1</v>
      </c>
      <c r="AQ2886">
        <v>-0.3</v>
      </c>
      <c r="AR2886">
        <v>-3.61</v>
      </c>
      <c r="AS2886">
        <v>-8.06</v>
      </c>
      <c r="AT2886">
        <v>-13.1</v>
      </c>
      <c r="AU2886">
        <v>18.579999999999998</v>
      </c>
      <c r="AV2886">
        <v>8</v>
      </c>
      <c r="AW2886">
        <v>1.1399999999999999</v>
      </c>
      <c r="AX2886">
        <v>31.32</v>
      </c>
      <c r="AY2886">
        <v>9.9499999999999993</v>
      </c>
      <c r="AZ2886">
        <v>10.87</v>
      </c>
      <c r="BA2886">
        <v>1.05</v>
      </c>
      <c r="BB2886" t="s">
        <v>143</v>
      </c>
      <c r="BF2886">
        <v>0.55000000000000004</v>
      </c>
      <c r="BG2886">
        <v>0.1</v>
      </c>
      <c r="BH2886">
        <v>-1.55</v>
      </c>
      <c r="BI2886">
        <v>0.69</v>
      </c>
      <c r="BJ2886">
        <v>20210824</v>
      </c>
      <c r="BK2886">
        <v>19920902</v>
      </c>
      <c r="BL2886">
        <v>38.83</v>
      </c>
      <c r="BM2886" t="s">
        <v>120</v>
      </c>
      <c r="BN2886" t="s">
        <v>120</v>
      </c>
      <c r="BO2886">
        <v>1203.6300000000001</v>
      </c>
      <c r="BP2886">
        <v>10.14</v>
      </c>
      <c r="BQ2886">
        <v>330.05</v>
      </c>
      <c r="BR2886">
        <v>66.42</v>
      </c>
      <c r="BS2886">
        <v>67.06</v>
      </c>
      <c r="BT2886">
        <v>693.48</v>
      </c>
      <c r="BU2886">
        <v>53.21</v>
      </c>
      <c r="BV2886">
        <v>37.619999999999997</v>
      </c>
      <c r="BW2886">
        <v>475.04</v>
      </c>
      <c r="BX2886">
        <v>158.57</v>
      </c>
      <c r="BY2886">
        <v>401.8</v>
      </c>
      <c r="BZ2886">
        <v>25.11</v>
      </c>
      <c r="CA2886">
        <v>1.1299999999999999</v>
      </c>
      <c r="CB2886">
        <v>106.13</v>
      </c>
      <c r="CC2886">
        <v>227.24</v>
      </c>
      <c r="CD2886">
        <v>181.83</v>
      </c>
      <c r="CE2886">
        <v>16.829999999999998</v>
      </c>
      <c r="CF2886">
        <v>7.75</v>
      </c>
      <c r="CG2886">
        <v>17.239999999999998</v>
      </c>
      <c r="CH2886">
        <v>14.29</v>
      </c>
      <c r="CI2886">
        <v>14.09</v>
      </c>
      <c r="CJ2886">
        <v>0.04</v>
      </c>
      <c r="CK2886">
        <v>9.61</v>
      </c>
      <c r="CL2886">
        <v>155.57</v>
      </c>
      <c r="CM2886">
        <v>-11.14</v>
      </c>
      <c r="CN2886">
        <v>9.0399999999999991</v>
      </c>
      <c r="CO2886">
        <v>180138</v>
      </c>
      <c r="CP2886">
        <v>6753</v>
      </c>
      <c r="CQ2886" t="s">
        <v>3506</v>
      </c>
      <c r="CR2886">
        <v>31.1</v>
      </c>
      <c r="CS2886">
        <v>12.68</v>
      </c>
      <c r="CT2886">
        <v>1.19</v>
      </c>
      <c r="CU2886">
        <v>-35.39</v>
      </c>
      <c r="CV2886">
        <v>1.73</v>
      </c>
      <c r="CW2886">
        <v>3.26</v>
      </c>
      <c r="CX2886" t="s">
        <v>472</v>
      </c>
      <c r="CY2886">
        <v>8.5</v>
      </c>
      <c r="CZ2886">
        <v>0</v>
      </c>
      <c r="DA2886">
        <v>2.73</v>
      </c>
      <c r="DB2886">
        <v>4.01</v>
      </c>
      <c r="DC2886">
        <v>-0.28999999999999998</v>
      </c>
      <c r="DD2886">
        <v>27.42</v>
      </c>
      <c r="DE2886" t="s">
        <v>2110</v>
      </c>
      <c r="DF2886">
        <v>19.989999999999998</v>
      </c>
      <c r="DG2886">
        <v>7.41</v>
      </c>
      <c r="DH2886">
        <v>6.2</v>
      </c>
      <c r="DI2886">
        <v>0.28000000000000003</v>
      </c>
      <c r="DJ2886">
        <v>11648</v>
      </c>
      <c r="DK2886">
        <v>600655</v>
      </c>
      <c r="DL2886" t="s">
        <v>120</v>
      </c>
      <c r="DM2886" t="s">
        <v>120</v>
      </c>
      <c r="DN2886" t="s">
        <v>120</v>
      </c>
    </row>
    <row r="2887" spans="1:118">
      <c r="A2887" t="str">
        <f>"600657"</f>
        <v>600657</v>
      </c>
      <c r="B2887" t="s">
        <v>12798</v>
      </c>
      <c r="C2887">
        <v>-0.28000000000000003</v>
      </c>
      <c r="D2887">
        <v>0.86</v>
      </c>
      <c r="E2887">
        <v>0.28000000000000003</v>
      </c>
      <c r="F2887">
        <v>4066</v>
      </c>
      <c r="G2887" t="s">
        <v>12799</v>
      </c>
      <c r="H2887">
        <v>2632.09</v>
      </c>
      <c r="I2887">
        <v>18.71</v>
      </c>
      <c r="J2887" t="s">
        <v>120</v>
      </c>
      <c r="K2887" t="s">
        <v>1715</v>
      </c>
      <c r="L2887">
        <v>0.37</v>
      </c>
      <c r="M2887">
        <v>3.51</v>
      </c>
      <c r="N2887">
        <v>1.1599999999999999</v>
      </c>
      <c r="O2887">
        <v>0.85</v>
      </c>
      <c r="P2887">
        <v>3.55</v>
      </c>
      <c r="Q2887">
        <v>-1.7</v>
      </c>
      <c r="R2887">
        <v>3.46</v>
      </c>
      <c r="S2887">
        <v>3.53</v>
      </c>
      <c r="T2887">
        <v>75126</v>
      </c>
      <c r="U2887">
        <v>3.51</v>
      </c>
      <c r="V2887">
        <v>3.52</v>
      </c>
      <c r="W2887">
        <v>10.63</v>
      </c>
      <c r="X2887" t="s">
        <v>132</v>
      </c>
      <c r="Y2887" t="s">
        <v>158</v>
      </c>
      <c r="Z2887">
        <v>2.56</v>
      </c>
      <c r="AA2887">
        <v>3.5</v>
      </c>
      <c r="AB2887">
        <v>50277</v>
      </c>
      <c r="AC2887">
        <v>24849</v>
      </c>
      <c r="AD2887">
        <v>2.02</v>
      </c>
      <c r="AE2887">
        <v>9</v>
      </c>
      <c r="AF2887">
        <v>456</v>
      </c>
      <c r="AG2887" t="s">
        <v>120</v>
      </c>
      <c r="AH2887">
        <v>0.01</v>
      </c>
      <c r="AI2887" t="s">
        <v>120</v>
      </c>
      <c r="AJ2887">
        <v>20.55</v>
      </c>
      <c r="AK2887" t="s">
        <v>6590</v>
      </c>
      <c r="AL2887">
        <v>1.06</v>
      </c>
      <c r="AM2887">
        <v>1262</v>
      </c>
      <c r="AN2887">
        <v>60</v>
      </c>
      <c r="AO2887">
        <v>2.9999999999999997E-4</v>
      </c>
      <c r="AP2887">
        <v>-1</v>
      </c>
      <c r="AQ2887">
        <v>0.28000000000000003</v>
      </c>
      <c r="AR2887">
        <v>-2.5</v>
      </c>
      <c r="AS2887">
        <v>4.7699999999999996</v>
      </c>
      <c r="AT2887">
        <v>-0.56000000000000005</v>
      </c>
      <c r="AU2887">
        <v>-13.34</v>
      </c>
      <c r="AV2887">
        <v>0</v>
      </c>
      <c r="AW2887">
        <v>1.02</v>
      </c>
      <c r="AX2887">
        <v>25.93</v>
      </c>
      <c r="AY2887">
        <v>9.41</v>
      </c>
      <c r="AZ2887">
        <v>6.68</v>
      </c>
      <c r="BA2887">
        <v>0.34</v>
      </c>
      <c r="BB2887" t="s">
        <v>143</v>
      </c>
      <c r="BF2887">
        <v>-0.47</v>
      </c>
      <c r="BG2887">
        <v>-0.56999999999999995</v>
      </c>
      <c r="BH2887">
        <v>-1.1299999999999999</v>
      </c>
      <c r="BI2887">
        <v>1.45</v>
      </c>
      <c r="BJ2887">
        <v>20210828</v>
      </c>
      <c r="BK2887">
        <v>19930524</v>
      </c>
      <c r="BL2887">
        <v>28.52</v>
      </c>
      <c r="BM2887" t="s">
        <v>120</v>
      </c>
      <c r="BN2887" t="s">
        <v>120</v>
      </c>
      <c r="BO2887">
        <v>988.19</v>
      </c>
      <c r="BP2887">
        <v>3.5</v>
      </c>
      <c r="BQ2887">
        <v>235.19</v>
      </c>
      <c r="BR2887">
        <v>10.31</v>
      </c>
      <c r="BS2887">
        <v>75.16</v>
      </c>
      <c r="BT2887">
        <v>854.55</v>
      </c>
      <c r="BU2887">
        <v>4.03</v>
      </c>
      <c r="BV2887">
        <v>0.05</v>
      </c>
      <c r="BW2887">
        <v>461.81</v>
      </c>
      <c r="BX2887">
        <v>194.7</v>
      </c>
      <c r="BY2887">
        <v>544.1</v>
      </c>
      <c r="BZ2887">
        <v>9.26</v>
      </c>
      <c r="CA2887">
        <v>0.33</v>
      </c>
      <c r="CB2887">
        <v>82.7</v>
      </c>
      <c r="CC2887">
        <v>48.76</v>
      </c>
      <c r="CD2887">
        <v>40.08</v>
      </c>
      <c r="CE2887">
        <v>1.1399999999999999</v>
      </c>
      <c r="CF2887">
        <v>6.45</v>
      </c>
      <c r="CG2887">
        <v>6.82</v>
      </c>
      <c r="CH2887">
        <v>4.16</v>
      </c>
      <c r="CI2887">
        <v>4.71</v>
      </c>
      <c r="CJ2887">
        <v>-0.01</v>
      </c>
      <c r="CK2887">
        <v>-0.25</v>
      </c>
      <c r="CL2887">
        <v>123.97</v>
      </c>
      <c r="CM2887">
        <v>29.33</v>
      </c>
      <c r="CN2887">
        <v>-18.87</v>
      </c>
      <c r="CO2887">
        <v>37628</v>
      </c>
      <c r="CP2887">
        <v>19650</v>
      </c>
      <c r="CQ2887" t="s">
        <v>3419</v>
      </c>
      <c r="CR2887">
        <v>-48.01</v>
      </c>
      <c r="CS2887">
        <v>-52.31</v>
      </c>
      <c r="CT2887">
        <v>0.43</v>
      </c>
      <c r="CU2887">
        <v>3.41</v>
      </c>
      <c r="CV2887">
        <v>2.0499999999999998</v>
      </c>
      <c r="CW2887">
        <v>0</v>
      </c>
      <c r="CX2887" t="s">
        <v>1193</v>
      </c>
      <c r="CY2887">
        <v>8.25</v>
      </c>
      <c r="CZ2887">
        <v>0</v>
      </c>
      <c r="DA2887">
        <v>2.9</v>
      </c>
      <c r="DB2887">
        <v>4.3499999999999996</v>
      </c>
      <c r="DC2887">
        <v>1.03</v>
      </c>
      <c r="DD2887">
        <v>23.8</v>
      </c>
      <c r="DE2887" t="s">
        <v>9520</v>
      </c>
      <c r="DF2887">
        <v>17.8</v>
      </c>
      <c r="DG2887">
        <v>2.34</v>
      </c>
      <c r="DH2887">
        <v>9.65</v>
      </c>
      <c r="DI2887">
        <v>0.03</v>
      </c>
      <c r="DJ2887">
        <v>2857</v>
      </c>
      <c r="DK2887">
        <v>600657</v>
      </c>
      <c r="DL2887" t="s">
        <v>120</v>
      </c>
      <c r="DM2887" t="s">
        <v>120</v>
      </c>
      <c r="DN2887" t="s">
        <v>120</v>
      </c>
    </row>
    <row r="2888" spans="1:118">
      <c r="A2888" t="str">
        <f>"600658"</f>
        <v>600658</v>
      </c>
      <c r="B2888" t="s">
        <v>12800</v>
      </c>
      <c r="C2888">
        <v>0.22</v>
      </c>
      <c r="D2888">
        <v>0.22</v>
      </c>
      <c r="E2888">
        <v>-0.87</v>
      </c>
      <c r="F2888">
        <v>1810</v>
      </c>
      <c r="G2888" t="s">
        <v>5807</v>
      </c>
      <c r="H2888">
        <v>6483.36</v>
      </c>
      <c r="I2888">
        <v>24.78</v>
      </c>
      <c r="J2888" t="s">
        <v>120</v>
      </c>
      <c r="K2888" t="s">
        <v>364</v>
      </c>
      <c r="L2888">
        <v>1.24</v>
      </c>
      <c r="M2888">
        <v>4.63</v>
      </c>
      <c r="N2888">
        <v>0.59</v>
      </c>
      <c r="O2888">
        <v>3.25</v>
      </c>
      <c r="P2888">
        <v>4.7699999999999996</v>
      </c>
      <c r="Q2888">
        <v>-0.87</v>
      </c>
      <c r="R2888">
        <v>4.58</v>
      </c>
      <c r="S2888">
        <v>4.58</v>
      </c>
      <c r="T2888">
        <v>138925</v>
      </c>
      <c r="U2888">
        <v>4.63</v>
      </c>
      <c r="V2888">
        <v>4.62</v>
      </c>
      <c r="W2888" t="s">
        <v>120</v>
      </c>
      <c r="X2888" t="s">
        <v>1384</v>
      </c>
      <c r="Y2888" t="s">
        <v>158</v>
      </c>
      <c r="Z2888">
        <v>4.1100000000000003</v>
      </c>
      <c r="AA2888">
        <v>4.67</v>
      </c>
      <c r="AB2888">
        <v>69671</v>
      </c>
      <c r="AC2888">
        <v>69254</v>
      </c>
      <c r="AD2888">
        <v>1.01</v>
      </c>
      <c r="AE2888">
        <v>317</v>
      </c>
      <c r="AF2888">
        <v>7813</v>
      </c>
      <c r="AG2888" t="s">
        <v>120</v>
      </c>
      <c r="AH2888">
        <v>0.01</v>
      </c>
      <c r="AI2888" t="s">
        <v>120</v>
      </c>
      <c r="AJ2888">
        <v>11.19</v>
      </c>
      <c r="AK2888" t="s">
        <v>364</v>
      </c>
      <c r="AL2888">
        <v>1.56</v>
      </c>
      <c r="AM2888">
        <v>1950</v>
      </c>
      <c r="AN2888">
        <v>71</v>
      </c>
      <c r="AO2888">
        <v>5.9999999999999995E-4</v>
      </c>
      <c r="AP2888">
        <v>1</v>
      </c>
      <c r="AQ2888">
        <v>-0.22</v>
      </c>
      <c r="AR2888">
        <v>-6.46</v>
      </c>
      <c r="AS2888">
        <v>26.16</v>
      </c>
      <c r="AT2888">
        <v>10.77</v>
      </c>
      <c r="AU2888">
        <v>-12.14</v>
      </c>
      <c r="AV2888">
        <v>5</v>
      </c>
      <c r="AW2888">
        <v>3.07</v>
      </c>
      <c r="AX2888">
        <v>40.450000000000003</v>
      </c>
      <c r="AY2888">
        <v>68.23</v>
      </c>
      <c r="AZ2888">
        <v>9.93</v>
      </c>
      <c r="BA2888">
        <v>0.82</v>
      </c>
      <c r="BB2888" t="s">
        <v>143</v>
      </c>
      <c r="BF2888">
        <v>1.01</v>
      </c>
      <c r="BG2888">
        <v>1.0900000000000001</v>
      </c>
      <c r="BH2888">
        <v>-2.94</v>
      </c>
      <c r="BI2888">
        <v>1.0900000000000001</v>
      </c>
      <c r="BJ2888">
        <v>20210913</v>
      </c>
      <c r="BK2888">
        <v>19930524</v>
      </c>
      <c r="BL2888">
        <v>11.19</v>
      </c>
      <c r="BM2888" t="s">
        <v>120</v>
      </c>
      <c r="BN2888" t="s">
        <v>120</v>
      </c>
      <c r="BO2888">
        <v>184.92</v>
      </c>
      <c r="BP2888">
        <v>4.62</v>
      </c>
      <c r="BQ2888">
        <v>67.790000000000006</v>
      </c>
      <c r="BR2888">
        <v>2.92</v>
      </c>
      <c r="BS2888">
        <v>61.76</v>
      </c>
      <c r="BT2888">
        <v>130.72999999999999</v>
      </c>
      <c r="BU2888">
        <v>2.95</v>
      </c>
      <c r="BV2888">
        <v>2.09</v>
      </c>
      <c r="BW2888">
        <v>52.47</v>
      </c>
      <c r="BX2888">
        <v>22.54</v>
      </c>
      <c r="BY2888">
        <v>97.18</v>
      </c>
      <c r="BZ2888">
        <v>1.43</v>
      </c>
      <c r="CA2888">
        <v>0.62</v>
      </c>
      <c r="CB2888">
        <v>26.53</v>
      </c>
      <c r="CC2888">
        <v>5.24</v>
      </c>
      <c r="CD2888">
        <v>4.2699999999999996</v>
      </c>
      <c r="CE2888">
        <v>-2.2599999999999998</v>
      </c>
      <c r="CF2888">
        <v>0.09</v>
      </c>
      <c r="CG2888">
        <v>-2.29</v>
      </c>
      <c r="CH2888">
        <v>-2.0699999999999998</v>
      </c>
      <c r="CI2888">
        <v>-2.1</v>
      </c>
      <c r="CJ2888">
        <v>0.01</v>
      </c>
      <c r="CK2888">
        <v>-2.13</v>
      </c>
      <c r="CL2888">
        <v>28.04</v>
      </c>
      <c r="CM2888">
        <v>-3.84</v>
      </c>
      <c r="CN2888">
        <v>-18.82</v>
      </c>
      <c r="CO2888">
        <v>28466</v>
      </c>
      <c r="CP2888">
        <v>15894</v>
      </c>
      <c r="CQ2888" t="s">
        <v>3812</v>
      </c>
      <c r="CR2888">
        <v>-189.68</v>
      </c>
      <c r="CS2888">
        <v>-59.04</v>
      </c>
      <c r="CT2888">
        <v>0.76</v>
      </c>
      <c r="CU2888">
        <v>-13.48</v>
      </c>
      <c r="CV2888">
        <v>9.8800000000000008</v>
      </c>
      <c r="CW2888">
        <v>3.03</v>
      </c>
      <c r="CX2888" t="s">
        <v>716</v>
      </c>
      <c r="CY2888">
        <v>6.06</v>
      </c>
      <c r="CZ2888">
        <v>0</v>
      </c>
      <c r="DA2888">
        <v>2.37</v>
      </c>
      <c r="DB2888">
        <v>2.5099999999999998</v>
      </c>
      <c r="DC2888">
        <v>-0.34</v>
      </c>
      <c r="DD2888">
        <v>36.659999999999997</v>
      </c>
      <c r="DE2888" t="s">
        <v>12801</v>
      </c>
      <c r="DF2888">
        <v>18.59</v>
      </c>
      <c r="DG2888">
        <v>-43.18</v>
      </c>
      <c r="DH2888">
        <v>-40.14</v>
      </c>
      <c r="DI2888">
        <v>0.09</v>
      </c>
      <c r="DJ2888">
        <v>853</v>
      </c>
      <c r="DK2888">
        <v>600658</v>
      </c>
      <c r="DL2888" t="s">
        <v>120</v>
      </c>
      <c r="DM2888" t="s">
        <v>120</v>
      </c>
      <c r="DN2888" t="s">
        <v>120</v>
      </c>
    </row>
    <row r="2889" spans="1:118">
      <c r="A2889" t="str">
        <f>"600660"</f>
        <v>600660</v>
      </c>
      <c r="B2889" t="s">
        <v>12802</v>
      </c>
      <c r="C2889">
        <v>-3.07</v>
      </c>
      <c r="D2889">
        <v>-0.08</v>
      </c>
      <c r="E2889">
        <v>-0.02</v>
      </c>
      <c r="F2889">
        <v>4969</v>
      </c>
      <c r="G2889" t="s">
        <v>12803</v>
      </c>
      <c r="H2889">
        <v>89664.45</v>
      </c>
      <c r="I2889">
        <v>149.62</v>
      </c>
      <c r="J2889" t="s">
        <v>120</v>
      </c>
      <c r="K2889" t="s">
        <v>12804</v>
      </c>
      <c r="L2889">
        <v>0.99</v>
      </c>
      <c r="M2889">
        <v>44.77</v>
      </c>
      <c r="N2889">
        <v>0.74</v>
      </c>
      <c r="O2889">
        <v>-0.02</v>
      </c>
      <c r="P2889">
        <v>46.18</v>
      </c>
      <c r="Q2889">
        <v>-3.07</v>
      </c>
      <c r="R2889">
        <v>44.77</v>
      </c>
      <c r="S2889">
        <v>46.18</v>
      </c>
      <c r="T2889">
        <v>198826</v>
      </c>
      <c r="U2889">
        <v>44.77</v>
      </c>
      <c r="V2889">
        <v>46.19</v>
      </c>
      <c r="W2889">
        <v>33.020000000000003</v>
      </c>
      <c r="X2889" t="s">
        <v>289</v>
      </c>
      <c r="Y2889" t="s">
        <v>937</v>
      </c>
      <c r="Z2889">
        <v>3.05</v>
      </c>
      <c r="AA2889">
        <v>45.1</v>
      </c>
      <c r="AB2889">
        <v>108147</v>
      </c>
      <c r="AC2889">
        <v>90679</v>
      </c>
      <c r="AD2889">
        <v>1.19</v>
      </c>
      <c r="AE2889">
        <v>343</v>
      </c>
      <c r="AF2889">
        <v>123</v>
      </c>
      <c r="AG2889" t="s">
        <v>120</v>
      </c>
      <c r="AH2889">
        <v>0</v>
      </c>
      <c r="AI2889" t="s">
        <v>120</v>
      </c>
      <c r="AJ2889">
        <v>20.03</v>
      </c>
      <c r="AK2889" t="s">
        <v>12804</v>
      </c>
      <c r="AL2889">
        <v>-1.73</v>
      </c>
      <c r="AM2889">
        <v>4685</v>
      </c>
      <c r="AN2889">
        <v>42</v>
      </c>
      <c r="AO2889">
        <v>2.0000000000000001E-4</v>
      </c>
      <c r="AP2889">
        <v>-2</v>
      </c>
      <c r="AQ2889">
        <v>-1.51</v>
      </c>
      <c r="AR2889">
        <v>-0.8</v>
      </c>
      <c r="AS2889">
        <v>-7.48</v>
      </c>
      <c r="AT2889">
        <v>-22.18</v>
      </c>
      <c r="AU2889">
        <v>-5.35</v>
      </c>
      <c r="AV2889">
        <v>3</v>
      </c>
      <c r="AW2889">
        <v>1.45</v>
      </c>
      <c r="AX2889">
        <v>68.56</v>
      </c>
      <c r="AY2889">
        <v>35.39</v>
      </c>
      <c r="AZ2889">
        <v>46.35</v>
      </c>
      <c r="BA2889">
        <v>0.97</v>
      </c>
      <c r="BB2889" t="s">
        <v>143</v>
      </c>
      <c r="BF2889">
        <v>-2.37</v>
      </c>
      <c r="BG2889">
        <v>-3.05</v>
      </c>
      <c r="BH2889">
        <v>-3.05</v>
      </c>
      <c r="BI2889">
        <v>0</v>
      </c>
      <c r="BJ2889">
        <v>20210806</v>
      </c>
      <c r="BK2889">
        <v>19930610</v>
      </c>
      <c r="BL2889">
        <v>26.1</v>
      </c>
      <c r="BM2889" t="s">
        <v>120</v>
      </c>
      <c r="BN2889">
        <v>6.07</v>
      </c>
      <c r="BO2889">
        <v>443.23</v>
      </c>
      <c r="BP2889">
        <v>44.76</v>
      </c>
      <c r="BQ2889">
        <v>249.55</v>
      </c>
      <c r="BR2889">
        <v>-0.06</v>
      </c>
      <c r="BS2889">
        <v>43.71</v>
      </c>
      <c r="BT2889">
        <v>243.59</v>
      </c>
      <c r="BU2889">
        <v>139.5</v>
      </c>
      <c r="BV2889">
        <v>12.56</v>
      </c>
      <c r="BW2889">
        <v>144.19999999999999</v>
      </c>
      <c r="BX2889">
        <v>152.27000000000001</v>
      </c>
      <c r="BY2889">
        <v>33.96</v>
      </c>
      <c r="BZ2889">
        <v>39.28</v>
      </c>
      <c r="CA2889" t="s">
        <v>120</v>
      </c>
      <c r="CB2889">
        <v>97.01</v>
      </c>
      <c r="CC2889">
        <v>115.43</v>
      </c>
      <c r="CD2889">
        <v>68.55</v>
      </c>
      <c r="CE2889">
        <v>20.87</v>
      </c>
      <c r="CF2889">
        <v>0.28999999999999998</v>
      </c>
      <c r="CG2889">
        <v>20.76</v>
      </c>
      <c r="CH2889">
        <v>17.670000000000002</v>
      </c>
      <c r="CI2889">
        <v>17.690000000000001</v>
      </c>
      <c r="CJ2889">
        <v>-1.42</v>
      </c>
      <c r="CK2889">
        <v>16.62</v>
      </c>
      <c r="CL2889">
        <v>101.17</v>
      </c>
      <c r="CM2889">
        <v>32.57</v>
      </c>
      <c r="CN2889">
        <v>64.88</v>
      </c>
      <c r="CO2889">
        <v>178591</v>
      </c>
      <c r="CP2889">
        <v>7689</v>
      </c>
      <c r="CQ2889" t="s">
        <v>12805</v>
      </c>
      <c r="CR2889">
        <v>83.54</v>
      </c>
      <c r="CS2889">
        <v>42.14</v>
      </c>
      <c r="CT2889">
        <v>4.68</v>
      </c>
      <c r="CU2889">
        <v>35.869999999999997</v>
      </c>
      <c r="CV2889">
        <v>10.119999999999999</v>
      </c>
      <c r="CW2889">
        <v>1.25</v>
      </c>
      <c r="CX2889" t="s">
        <v>2021</v>
      </c>
      <c r="CY2889">
        <v>9.56</v>
      </c>
      <c r="CZ2889">
        <v>0</v>
      </c>
      <c r="DA2889">
        <v>3.72</v>
      </c>
      <c r="DB2889">
        <v>3.88</v>
      </c>
      <c r="DC2889">
        <v>1.25</v>
      </c>
      <c r="DD2889">
        <v>56.3</v>
      </c>
      <c r="DE2889" t="s">
        <v>6478</v>
      </c>
      <c r="DF2889">
        <v>40.61</v>
      </c>
      <c r="DG2889">
        <v>18.079999999999998</v>
      </c>
      <c r="DH2889">
        <v>15.33</v>
      </c>
      <c r="DI2889">
        <v>4.72</v>
      </c>
      <c r="DJ2889">
        <v>25871</v>
      </c>
      <c r="DK2889">
        <v>600660</v>
      </c>
      <c r="DL2889" t="s">
        <v>120</v>
      </c>
      <c r="DM2889" t="s">
        <v>120</v>
      </c>
      <c r="DN2889" t="s">
        <v>120</v>
      </c>
    </row>
    <row r="2890" spans="1:118">
      <c r="A2890" t="str">
        <f>"600661"</f>
        <v>600661</v>
      </c>
      <c r="B2890" t="s">
        <v>12806</v>
      </c>
      <c r="C2890">
        <v>0</v>
      </c>
      <c r="D2890">
        <v>-0.09</v>
      </c>
      <c r="E2890">
        <v>-1.05</v>
      </c>
      <c r="F2890">
        <v>510</v>
      </c>
      <c r="G2890" t="s">
        <v>5222</v>
      </c>
      <c r="H2890">
        <v>4010.61</v>
      </c>
      <c r="I2890">
        <v>29.92</v>
      </c>
      <c r="J2890" t="s">
        <v>120</v>
      </c>
      <c r="K2890" t="s">
        <v>11807</v>
      </c>
      <c r="L2890">
        <v>1.46</v>
      </c>
      <c r="M2890">
        <v>9.5399999999999991</v>
      </c>
      <c r="N2890">
        <v>0.77</v>
      </c>
      <c r="O2890">
        <v>1.89</v>
      </c>
      <c r="P2890">
        <v>9.7200000000000006</v>
      </c>
      <c r="Q2890">
        <v>-1.47</v>
      </c>
      <c r="R2890">
        <v>9.4</v>
      </c>
      <c r="S2890">
        <v>9.44</v>
      </c>
      <c r="T2890">
        <v>41851</v>
      </c>
      <c r="U2890">
        <v>9.5500000000000007</v>
      </c>
      <c r="V2890">
        <v>9.5399999999999991</v>
      </c>
      <c r="W2890">
        <v>8.08</v>
      </c>
      <c r="X2890" t="s">
        <v>213</v>
      </c>
      <c r="Y2890" t="s">
        <v>1510</v>
      </c>
      <c r="Z2890">
        <v>3.35</v>
      </c>
      <c r="AA2890">
        <v>9.58</v>
      </c>
      <c r="AB2890">
        <v>16110</v>
      </c>
      <c r="AC2890">
        <v>25741</v>
      </c>
      <c r="AD2890">
        <v>0.63</v>
      </c>
      <c r="AE2890">
        <v>82</v>
      </c>
      <c r="AF2890">
        <v>201</v>
      </c>
      <c r="AG2890" t="s">
        <v>120</v>
      </c>
      <c r="AH2890">
        <v>0.02</v>
      </c>
      <c r="AI2890" t="s">
        <v>120</v>
      </c>
      <c r="AJ2890">
        <v>2.87</v>
      </c>
      <c r="AK2890" t="s">
        <v>11807</v>
      </c>
      <c r="AL2890">
        <v>1.34</v>
      </c>
      <c r="AM2890">
        <v>2517</v>
      </c>
      <c r="AN2890">
        <v>17</v>
      </c>
      <c r="AO2890">
        <v>5.9999999999999995E-4</v>
      </c>
      <c r="AP2890">
        <v>0</v>
      </c>
      <c r="AQ2890">
        <v>-2.85</v>
      </c>
      <c r="AR2890">
        <v>-2.75</v>
      </c>
      <c r="AS2890">
        <v>-4.5999999999999996</v>
      </c>
      <c r="AT2890">
        <v>-23.56</v>
      </c>
      <c r="AU2890">
        <v>-36.229999999999997</v>
      </c>
      <c r="AV2890">
        <v>4</v>
      </c>
      <c r="AW2890">
        <v>3.04</v>
      </c>
      <c r="AX2890">
        <v>48.09</v>
      </c>
      <c r="AY2890">
        <v>3625.18</v>
      </c>
      <c r="AZ2890" t="s">
        <v>120</v>
      </c>
      <c r="BA2890">
        <v>1.56</v>
      </c>
      <c r="BB2890" t="s">
        <v>240</v>
      </c>
      <c r="BF2890">
        <v>0.45</v>
      </c>
      <c r="BG2890">
        <v>1.06</v>
      </c>
      <c r="BH2890">
        <v>-1.85</v>
      </c>
      <c r="BI2890">
        <v>1.49</v>
      </c>
      <c r="BJ2890">
        <v>20210828</v>
      </c>
      <c r="BK2890">
        <v>19930614</v>
      </c>
      <c r="BL2890">
        <v>2.87</v>
      </c>
      <c r="BM2890" t="s">
        <v>120</v>
      </c>
      <c r="BN2890" t="s">
        <v>120</v>
      </c>
      <c r="BO2890">
        <v>27.79</v>
      </c>
      <c r="BP2890">
        <v>9.5399999999999991</v>
      </c>
      <c r="BQ2890">
        <v>5.6</v>
      </c>
      <c r="BR2890">
        <v>0.59</v>
      </c>
      <c r="BS2890">
        <v>77.72</v>
      </c>
      <c r="BT2890">
        <v>13.68</v>
      </c>
      <c r="BU2890">
        <v>1.85</v>
      </c>
      <c r="BV2890">
        <v>0.54</v>
      </c>
      <c r="BW2890">
        <v>17.52</v>
      </c>
      <c r="BX2890">
        <v>6.61</v>
      </c>
      <c r="BY2890">
        <v>0.22</v>
      </c>
      <c r="BZ2890">
        <v>0.33</v>
      </c>
      <c r="CA2890">
        <v>0.02</v>
      </c>
      <c r="CB2890">
        <v>7.12</v>
      </c>
      <c r="CC2890">
        <v>9.02</v>
      </c>
      <c r="CD2890">
        <v>4.93</v>
      </c>
      <c r="CE2890">
        <v>2.1</v>
      </c>
      <c r="CF2890">
        <v>0.8</v>
      </c>
      <c r="CG2890">
        <v>2.11</v>
      </c>
      <c r="CH2890">
        <v>1.85</v>
      </c>
      <c r="CI2890">
        <v>1.69</v>
      </c>
      <c r="CJ2890">
        <v>0</v>
      </c>
      <c r="CK2890">
        <v>0.22</v>
      </c>
      <c r="CL2890">
        <v>1.26</v>
      </c>
      <c r="CM2890">
        <v>1.51</v>
      </c>
      <c r="CN2890">
        <v>-2.2799999999999998</v>
      </c>
      <c r="CO2890">
        <v>13679</v>
      </c>
      <c r="CP2890">
        <v>10073</v>
      </c>
      <c r="CQ2890" t="s">
        <v>4726</v>
      </c>
      <c r="CR2890">
        <v>310.91000000000003</v>
      </c>
      <c r="CS2890">
        <v>14.8</v>
      </c>
      <c r="CT2890">
        <v>4.88</v>
      </c>
      <c r="CU2890">
        <v>18.16</v>
      </c>
      <c r="CV2890">
        <v>3.03</v>
      </c>
      <c r="CW2890">
        <v>0</v>
      </c>
      <c r="CX2890" t="s">
        <v>2039</v>
      </c>
      <c r="CY2890">
        <v>1.95</v>
      </c>
      <c r="CZ2890">
        <v>0</v>
      </c>
      <c r="DA2890">
        <v>2.48</v>
      </c>
      <c r="DB2890">
        <v>0.44</v>
      </c>
      <c r="DC2890">
        <v>0.53</v>
      </c>
      <c r="DD2890">
        <v>20.14</v>
      </c>
      <c r="DE2890" t="s">
        <v>12807</v>
      </c>
      <c r="DF2890">
        <v>45.33</v>
      </c>
      <c r="DG2890">
        <v>23.33</v>
      </c>
      <c r="DH2890">
        <v>18.75</v>
      </c>
      <c r="DI2890">
        <v>7.0000000000000007E-2</v>
      </c>
      <c r="DJ2890">
        <v>5383</v>
      </c>
      <c r="DK2890">
        <v>600661</v>
      </c>
      <c r="DL2890" t="s">
        <v>120</v>
      </c>
      <c r="DM2890" t="s">
        <v>120</v>
      </c>
      <c r="DN2890" t="s">
        <v>120</v>
      </c>
    </row>
    <row r="2891" spans="1:118">
      <c r="A2891" t="str">
        <f>"600662"</f>
        <v>600662</v>
      </c>
      <c r="B2891" t="s">
        <v>12808</v>
      </c>
      <c r="C2891">
        <v>-2.0699999999999998</v>
      </c>
      <c r="D2891">
        <v>-0.24</v>
      </c>
      <c r="E2891">
        <v>1.22</v>
      </c>
      <c r="F2891">
        <v>1472</v>
      </c>
      <c r="G2891" t="s">
        <v>12809</v>
      </c>
      <c r="H2891">
        <v>3815.93</v>
      </c>
      <c r="I2891">
        <v>43.82</v>
      </c>
      <c r="J2891" t="s">
        <v>120</v>
      </c>
      <c r="K2891" t="s">
        <v>12810</v>
      </c>
      <c r="L2891">
        <v>0.44</v>
      </c>
      <c r="M2891">
        <v>8.0299999999999994</v>
      </c>
      <c r="N2891">
        <v>0.99</v>
      </c>
      <c r="O2891">
        <v>1.22</v>
      </c>
      <c r="P2891">
        <v>8.3000000000000007</v>
      </c>
      <c r="Q2891">
        <v>-2.0699999999999998</v>
      </c>
      <c r="R2891">
        <v>8.0299999999999994</v>
      </c>
      <c r="S2891">
        <v>8.3000000000000007</v>
      </c>
      <c r="T2891">
        <v>46850</v>
      </c>
      <c r="U2891">
        <v>8.0399999999999991</v>
      </c>
      <c r="V2891">
        <v>8.1999999999999993</v>
      </c>
      <c r="W2891">
        <v>116.77</v>
      </c>
      <c r="X2891" t="s">
        <v>5789</v>
      </c>
      <c r="Y2891" t="s">
        <v>1510</v>
      </c>
      <c r="Z2891">
        <v>3.29</v>
      </c>
      <c r="AA2891">
        <v>8.14</v>
      </c>
      <c r="AB2891">
        <v>31791</v>
      </c>
      <c r="AC2891">
        <v>15059</v>
      </c>
      <c r="AD2891">
        <v>2.11</v>
      </c>
      <c r="AE2891">
        <v>871</v>
      </c>
      <c r="AF2891">
        <v>199</v>
      </c>
      <c r="AG2891" t="s">
        <v>120</v>
      </c>
      <c r="AH2891">
        <v>0.01</v>
      </c>
      <c r="AI2891" t="s">
        <v>120</v>
      </c>
      <c r="AJ2891">
        <v>10.53</v>
      </c>
      <c r="AK2891" t="s">
        <v>12810</v>
      </c>
      <c r="AL2891">
        <v>-0.73</v>
      </c>
      <c r="AM2891">
        <v>1435</v>
      </c>
      <c r="AN2891">
        <v>33</v>
      </c>
      <c r="AO2891">
        <v>2.9999999999999997E-4</v>
      </c>
      <c r="AP2891">
        <v>-2</v>
      </c>
      <c r="AQ2891">
        <v>-0.97</v>
      </c>
      <c r="AR2891">
        <v>-1.71</v>
      </c>
      <c r="AS2891">
        <v>3.48</v>
      </c>
      <c r="AT2891">
        <v>-8.33</v>
      </c>
      <c r="AU2891">
        <v>-8.9600000000000009</v>
      </c>
      <c r="AV2891">
        <v>0</v>
      </c>
      <c r="AW2891">
        <v>0.81</v>
      </c>
      <c r="AX2891">
        <v>55</v>
      </c>
      <c r="AY2891">
        <v>352.22</v>
      </c>
      <c r="AZ2891">
        <v>147.91999999999999</v>
      </c>
      <c r="BA2891">
        <v>0.76</v>
      </c>
      <c r="BB2891" t="s">
        <v>143</v>
      </c>
      <c r="BF2891">
        <v>-0.67</v>
      </c>
      <c r="BG2891">
        <v>-3.25</v>
      </c>
      <c r="BH2891">
        <v>-3.25</v>
      </c>
      <c r="BI2891">
        <v>0</v>
      </c>
      <c r="BJ2891">
        <v>20210830</v>
      </c>
      <c r="BK2891">
        <v>19930614</v>
      </c>
      <c r="BL2891">
        <v>10.53</v>
      </c>
      <c r="BM2891" t="s">
        <v>120</v>
      </c>
      <c r="BN2891" t="s">
        <v>120</v>
      </c>
      <c r="BO2891">
        <v>58.04</v>
      </c>
      <c r="BP2891">
        <v>8.0299999999999994</v>
      </c>
      <c r="BQ2891">
        <v>32.72</v>
      </c>
      <c r="BR2891">
        <v>3.09</v>
      </c>
      <c r="BS2891">
        <v>38.31</v>
      </c>
      <c r="BT2891">
        <v>15.9</v>
      </c>
      <c r="BU2891">
        <v>15.9</v>
      </c>
      <c r="BV2891">
        <v>13.14</v>
      </c>
      <c r="BW2891">
        <v>20.98</v>
      </c>
      <c r="BX2891">
        <v>6.51</v>
      </c>
      <c r="BY2891">
        <v>2.89</v>
      </c>
      <c r="BZ2891">
        <v>1.87</v>
      </c>
      <c r="CA2891">
        <v>0.23</v>
      </c>
      <c r="CB2891">
        <v>6.8</v>
      </c>
      <c r="CC2891">
        <v>13.37</v>
      </c>
      <c r="CD2891">
        <v>11.01</v>
      </c>
      <c r="CE2891">
        <v>0.69</v>
      </c>
      <c r="CF2891">
        <v>7.0000000000000007E-2</v>
      </c>
      <c r="CG2891">
        <v>0.67</v>
      </c>
      <c r="CH2891">
        <v>0.44</v>
      </c>
      <c r="CI2891">
        <v>0.36</v>
      </c>
      <c r="CJ2891">
        <v>-0.17</v>
      </c>
      <c r="CK2891">
        <v>0</v>
      </c>
      <c r="CL2891">
        <v>10.51</v>
      </c>
      <c r="CM2891">
        <v>2.1</v>
      </c>
      <c r="CN2891">
        <v>-9.49</v>
      </c>
      <c r="CO2891">
        <v>58613</v>
      </c>
      <c r="CP2891">
        <v>9884</v>
      </c>
      <c r="CQ2891" t="s">
        <v>3382</v>
      </c>
      <c r="CR2891">
        <v>-48.32</v>
      </c>
      <c r="CS2891">
        <v>-0.26</v>
      </c>
      <c r="CT2891">
        <v>2.58</v>
      </c>
      <c r="CU2891">
        <v>40.33</v>
      </c>
      <c r="CV2891">
        <v>6.33</v>
      </c>
      <c r="CW2891">
        <v>0</v>
      </c>
      <c r="CX2891" t="s">
        <v>919</v>
      </c>
      <c r="CY2891">
        <v>3.11</v>
      </c>
      <c r="CZ2891">
        <v>0</v>
      </c>
      <c r="DA2891">
        <v>0.65</v>
      </c>
      <c r="DB2891">
        <v>1</v>
      </c>
      <c r="DC2891">
        <v>0.2</v>
      </c>
      <c r="DD2891">
        <v>56.37</v>
      </c>
      <c r="DE2891" t="s">
        <v>12811</v>
      </c>
      <c r="DF2891">
        <v>17.63</v>
      </c>
      <c r="DG2891">
        <v>5.16</v>
      </c>
      <c r="DH2891">
        <v>2.71</v>
      </c>
      <c r="DI2891">
        <v>0.04</v>
      </c>
      <c r="DJ2891">
        <v>19764</v>
      </c>
      <c r="DK2891">
        <v>600662</v>
      </c>
      <c r="DL2891" t="s">
        <v>120</v>
      </c>
      <c r="DM2891" t="s">
        <v>120</v>
      </c>
      <c r="DN2891" t="s">
        <v>120</v>
      </c>
    </row>
    <row r="2892" spans="1:118">
      <c r="A2892" t="str">
        <f>"600663"</f>
        <v>600663</v>
      </c>
      <c r="B2892" t="s">
        <v>12812</v>
      </c>
      <c r="C2892">
        <v>0.26</v>
      </c>
      <c r="D2892">
        <v>0.09</v>
      </c>
      <c r="E2892">
        <v>0.17</v>
      </c>
      <c r="F2892">
        <v>485</v>
      </c>
      <c r="G2892" t="s">
        <v>12813</v>
      </c>
      <c r="H2892">
        <v>8232.2000000000007</v>
      </c>
      <c r="I2892">
        <v>73.48</v>
      </c>
      <c r="J2892" t="s">
        <v>120</v>
      </c>
      <c r="K2892" t="s">
        <v>4157</v>
      </c>
      <c r="L2892">
        <v>0.24</v>
      </c>
      <c r="M2892">
        <v>11.71</v>
      </c>
      <c r="N2892">
        <v>0.69</v>
      </c>
      <c r="O2892">
        <v>1.71</v>
      </c>
      <c r="P2892">
        <v>11.88</v>
      </c>
      <c r="Q2892">
        <v>-0.17</v>
      </c>
      <c r="R2892">
        <v>11.66</v>
      </c>
      <c r="S2892">
        <v>11.7</v>
      </c>
      <c r="T2892">
        <v>70072</v>
      </c>
      <c r="U2892">
        <v>11.71</v>
      </c>
      <c r="V2892">
        <v>11.68</v>
      </c>
      <c r="W2892">
        <v>11.49</v>
      </c>
      <c r="X2892" t="s">
        <v>1384</v>
      </c>
      <c r="Y2892" t="s">
        <v>1510</v>
      </c>
      <c r="Z2892">
        <v>1.88</v>
      </c>
      <c r="AA2892">
        <v>11.75</v>
      </c>
      <c r="AB2892">
        <v>39221</v>
      </c>
      <c r="AC2892">
        <v>30851</v>
      </c>
      <c r="AD2892">
        <v>1.27</v>
      </c>
      <c r="AE2892">
        <v>5</v>
      </c>
      <c r="AF2892">
        <v>256</v>
      </c>
      <c r="AG2892" t="s">
        <v>120</v>
      </c>
      <c r="AH2892">
        <v>0.01</v>
      </c>
      <c r="AI2892" t="s">
        <v>120</v>
      </c>
      <c r="AJ2892">
        <v>29.33</v>
      </c>
      <c r="AK2892" t="s">
        <v>12814</v>
      </c>
      <c r="AL2892">
        <v>1.6</v>
      </c>
      <c r="AM2892">
        <v>2150</v>
      </c>
      <c r="AN2892">
        <v>33</v>
      </c>
      <c r="AO2892">
        <v>1E-4</v>
      </c>
      <c r="AP2892">
        <v>2</v>
      </c>
      <c r="AQ2892">
        <v>0.09</v>
      </c>
      <c r="AR2892">
        <v>-1.43</v>
      </c>
      <c r="AS2892">
        <v>1.1200000000000001</v>
      </c>
      <c r="AT2892">
        <v>-15.2</v>
      </c>
      <c r="AU2892">
        <v>14.78</v>
      </c>
      <c r="AV2892">
        <v>2</v>
      </c>
      <c r="AW2892">
        <v>1.07</v>
      </c>
      <c r="AX2892">
        <v>16.3</v>
      </c>
      <c r="AY2892">
        <v>10.73</v>
      </c>
      <c r="AZ2892">
        <v>11.74</v>
      </c>
      <c r="BA2892">
        <v>1.07</v>
      </c>
      <c r="BB2892" t="s">
        <v>143</v>
      </c>
      <c r="BF2892">
        <v>0.57999999999999996</v>
      </c>
      <c r="BG2892">
        <v>0.09</v>
      </c>
      <c r="BH2892">
        <v>-1.43</v>
      </c>
      <c r="BI2892">
        <v>0.43</v>
      </c>
      <c r="BJ2892">
        <v>20210802</v>
      </c>
      <c r="BK2892">
        <v>19930628</v>
      </c>
      <c r="BL2892">
        <v>40.340000000000003</v>
      </c>
      <c r="BM2892">
        <v>11.01</v>
      </c>
      <c r="BN2892" t="s">
        <v>120</v>
      </c>
      <c r="BO2892">
        <v>1062.42</v>
      </c>
      <c r="BP2892">
        <v>11.69</v>
      </c>
      <c r="BQ2892">
        <v>203.11</v>
      </c>
      <c r="BR2892">
        <v>145.4</v>
      </c>
      <c r="BS2892">
        <v>67.2</v>
      </c>
      <c r="BT2892">
        <v>476.46</v>
      </c>
      <c r="BU2892">
        <v>16</v>
      </c>
      <c r="BV2892">
        <v>0.33</v>
      </c>
      <c r="BW2892">
        <v>490.19</v>
      </c>
      <c r="BX2892">
        <v>53.56</v>
      </c>
      <c r="BY2892">
        <v>312.66000000000003</v>
      </c>
      <c r="BZ2892">
        <v>7.37</v>
      </c>
      <c r="CA2892">
        <v>6.38</v>
      </c>
      <c r="CB2892">
        <v>0.4</v>
      </c>
      <c r="CC2892">
        <v>57.77</v>
      </c>
      <c r="CD2892">
        <v>17.38</v>
      </c>
      <c r="CE2892">
        <v>27.76</v>
      </c>
      <c r="CF2892">
        <v>-0.05</v>
      </c>
      <c r="CG2892">
        <v>32.21</v>
      </c>
      <c r="CH2892">
        <v>23.83</v>
      </c>
      <c r="CI2892">
        <v>20.57</v>
      </c>
      <c r="CJ2892">
        <v>0.03</v>
      </c>
      <c r="CK2892">
        <v>16.64</v>
      </c>
      <c r="CL2892">
        <v>136.49</v>
      </c>
      <c r="CM2892">
        <v>19.239999999999998</v>
      </c>
      <c r="CN2892">
        <v>13.24</v>
      </c>
      <c r="CO2892">
        <v>116982</v>
      </c>
      <c r="CP2892">
        <v>15030</v>
      </c>
      <c r="CQ2892" t="s">
        <v>4656</v>
      </c>
      <c r="CR2892">
        <v>22.52</v>
      </c>
      <c r="CS2892">
        <v>-12.83</v>
      </c>
      <c r="CT2892">
        <v>2.33</v>
      </c>
      <c r="CU2892">
        <v>24.55</v>
      </c>
      <c r="CV2892">
        <v>8.18</v>
      </c>
      <c r="CW2892">
        <v>4.26</v>
      </c>
      <c r="CX2892" t="s">
        <v>1001</v>
      </c>
      <c r="CY2892">
        <v>5.03</v>
      </c>
      <c r="CZ2892">
        <v>0</v>
      </c>
      <c r="DA2892">
        <v>0.01</v>
      </c>
      <c r="DB2892">
        <v>3.38</v>
      </c>
      <c r="DC2892">
        <v>0.48</v>
      </c>
      <c r="DD2892">
        <v>19.12</v>
      </c>
      <c r="DE2892" t="s">
        <v>4537</v>
      </c>
      <c r="DF2892">
        <v>69.91</v>
      </c>
      <c r="DG2892">
        <v>48.06</v>
      </c>
      <c r="DH2892">
        <v>35.6</v>
      </c>
      <c r="DI2892" t="s">
        <v>120</v>
      </c>
      <c r="DJ2892">
        <v>5658</v>
      </c>
      <c r="DK2892">
        <v>600663</v>
      </c>
      <c r="DL2892" t="s">
        <v>120</v>
      </c>
      <c r="DM2892" t="s">
        <v>120</v>
      </c>
      <c r="DN2892" t="s">
        <v>120</v>
      </c>
    </row>
    <row r="2893" spans="1:118">
      <c r="A2893" t="str">
        <f>"600664"</f>
        <v>600664</v>
      </c>
      <c r="B2893" t="s">
        <v>12815</v>
      </c>
      <c r="C2893">
        <v>2.59</v>
      </c>
      <c r="D2893">
        <v>0.28000000000000003</v>
      </c>
      <c r="E2893">
        <v>-0.28999999999999998</v>
      </c>
      <c r="F2893">
        <v>11404</v>
      </c>
      <c r="G2893" t="s">
        <v>7424</v>
      </c>
      <c r="H2893">
        <v>16288.53</v>
      </c>
      <c r="I2893">
        <v>32.11</v>
      </c>
      <c r="J2893" t="s">
        <v>120</v>
      </c>
      <c r="K2893" t="s">
        <v>12816</v>
      </c>
      <c r="L2893">
        <v>1.84</v>
      </c>
      <c r="M2893">
        <v>3.56</v>
      </c>
      <c r="N2893">
        <v>1.1100000000000001</v>
      </c>
      <c r="O2893">
        <v>4.03</v>
      </c>
      <c r="P2893">
        <v>3.61</v>
      </c>
      <c r="Q2893">
        <v>-0.57999999999999996</v>
      </c>
      <c r="R2893">
        <v>3.45</v>
      </c>
      <c r="S2893">
        <v>3.46</v>
      </c>
      <c r="T2893">
        <v>461687</v>
      </c>
      <c r="U2893">
        <v>3.56</v>
      </c>
      <c r="V2893">
        <v>3.47</v>
      </c>
      <c r="W2893">
        <v>13.1</v>
      </c>
      <c r="X2893" t="s">
        <v>569</v>
      </c>
      <c r="Y2893" t="s">
        <v>1686</v>
      </c>
      <c r="Z2893">
        <v>4.6100000000000003</v>
      </c>
      <c r="AA2893">
        <v>3.53</v>
      </c>
      <c r="AB2893">
        <v>195233</v>
      </c>
      <c r="AC2893">
        <v>266454</v>
      </c>
      <c r="AD2893">
        <v>0.73</v>
      </c>
      <c r="AE2893">
        <v>6881</v>
      </c>
      <c r="AF2893">
        <v>3637</v>
      </c>
      <c r="AG2893" t="s">
        <v>120</v>
      </c>
      <c r="AH2893">
        <v>0.01</v>
      </c>
      <c r="AI2893" t="s">
        <v>120</v>
      </c>
      <c r="AJ2893">
        <v>25.07</v>
      </c>
      <c r="AK2893" t="s">
        <v>12817</v>
      </c>
      <c r="AL2893">
        <v>3.94</v>
      </c>
      <c r="AM2893">
        <v>3010</v>
      </c>
      <c r="AN2893">
        <v>153</v>
      </c>
      <c r="AO2893">
        <v>5.9999999999999995E-4</v>
      </c>
      <c r="AP2893">
        <v>1</v>
      </c>
      <c r="AQ2893">
        <v>-0.56999999999999995</v>
      </c>
      <c r="AR2893">
        <v>-1.93</v>
      </c>
      <c r="AS2893">
        <v>11.6</v>
      </c>
      <c r="AT2893">
        <v>27.14</v>
      </c>
      <c r="AU2893">
        <v>11.6</v>
      </c>
      <c r="AV2893">
        <v>2</v>
      </c>
      <c r="AW2893">
        <v>3.46</v>
      </c>
      <c r="AX2893">
        <v>52.97</v>
      </c>
      <c r="AY2893" t="s">
        <v>120</v>
      </c>
      <c r="AZ2893" t="s">
        <v>120</v>
      </c>
      <c r="BA2893">
        <v>0.62</v>
      </c>
      <c r="BB2893" t="s">
        <v>143</v>
      </c>
      <c r="BF2893">
        <v>1.67</v>
      </c>
      <c r="BG2893">
        <v>2.89</v>
      </c>
      <c r="BH2893">
        <v>-1.39</v>
      </c>
      <c r="BI2893">
        <v>3.19</v>
      </c>
      <c r="BJ2893">
        <v>20210816</v>
      </c>
      <c r="BK2893">
        <v>19930629</v>
      </c>
      <c r="BL2893">
        <v>25.18</v>
      </c>
      <c r="BM2893" t="s">
        <v>120</v>
      </c>
      <c r="BN2893" t="s">
        <v>120</v>
      </c>
      <c r="BO2893">
        <v>120.41</v>
      </c>
      <c r="BP2893">
        <v>3.55</v>
      </c>
      <c r="BQ2893">
        <v>37.82</v>
      </c>
      <c r="BR2893">
        <v>5.15</v>
      </c>
      <c r="BS2893">
        <v>64.31</v>
      </c>
      <c r="BT2893">
        <v>79.930000000000007</v>
      </c>
      <c r="BU2893">
        <v>25.2</v>
      </c>
      <c r="BV2893">
        <v>4.78</v>
      </c>
      <c r="BW2893">
        <v>71.36</v>
      </c>
      <c r="BX2893">
        <v>10.56</v>
      </c>
      <c r="BY2893">
        <v>17.18</v>
      </c>
      <c r="BZ2893">
        <v>39.22</v>
      </c>
      <c r="CA2893">
        <v>0.06</v>
      </c>
      <c r="CB2893">
        <v>6.67</v>
      </c>
      <c r="CC2893">
        <v>64.06</v>
      </c>
      <c r="CD2893">
        <v>49.26</v>
      </c>
      <c r="CE2893">
        <v>4.62</v>
      </c>
      <c r="CF2893">
        <v>0</v>
      </c>
      <c r="CG2893">
        <v>4.49</v>
      </c>
      <c r="CH2893">
        <v>3.66</v>
      </c>
      <c r="CI2893">
        <v>3.42</v>
      </c>
      <c r="CJ2893">
        <v>0.09</v>
      </c>
      <c r="CK2893">
        <v>1.99</v>
      </c>
      <c r="CL2893">
        <v>10.59</v>
      </c>
      <c r="CM2893">
        <v>1.59</v>
      </c>
      <c r="CN2893">
        <v>1.59</v>
      </c>
      <c r="CO2893">
        <v>124026</v>
      </c>
      <c r="CP2893">
        <v>10754</v>
      </c>
      <c r="CQ2893" t="s">
        <v>3176</v>
      </c>
      <c r="CR2893">
        <v>202.64</v>
      </c>
      <c r="CS2893">
        <v>33.19</v>
      </c>
      <c r="CT2893">
        <v>2.37</v>
      </c>
      <c r="CU2893">
        <v>56.22</v>
      </c>
      <c r="CV2893">
        <v>1.4</v>
      </c>
      <c r="CW2893">
        <v>0</v>
      </c>
      <c r="CX2893" t="s">
        <v>300</v>
      </c>
      <c r="CY2893">
        <v>1.5</v>
      </c>
      <c r="CZ2893">
        <v>0</v>
      </c>
      <c r="DA2893">
        <v>0.26</v>
      </c>
      <c r="DB2893">
        <v>0.42</v>
      </c>
      <c r="DC2893">
        <v>0.06</v>
      </c>
      <c r="DD2893">
        <v>31.41</v>
      </c>
      <c r="DE2893" t="s">
        <v>12624</v>
      </c>
      <c r="DF2893">
        <v>23.1</v>
      </c>
      <c r="DG2893">
        <v>7.21</v>
      </c>
      <c r="DH2893">
        <v>5.34</v>
      </c>
      <c r="DI2893">
        <v>0.42</v>
      </c>
      <c r="DJ2893">
        <v>11059</v>
      </c>
      <c r="DK2893">
        <v>600664</v>
      </c>
      <c r="DL2893" t="s">
        <v>120</v>
      </c>
      <c r="DM2893" t="s">
        <v>120</v>
      </c>
      <c r="DN2893" t="s">
        <v>120</v>
      </c>
    </row>
    <row r="2894" spans="1:118">
      <c r="A2894" t="str">
        <f>"600665"</f>
        <v>600665</v>
      </c>
      <c r="B2894" t="s">
        <v>12818</v>
      </c>
      <c r="C2894">
        <v>-0.92</v>
      </c>
      <c r="D2894">
        <v>0</v>
      </c>
      <c r="E2894">
        <v>0.61</v>
      </c>
      <c r="F2894">
        <v>179</v>
      </c>
      <c r="G2894" t="s">
        <v>12819</v>
      </c>
      <c r="H2894">
        <v>1813.56</v>
      </c>
      <c r="I2894">
        <v>11.84</v>
      </c>
      <c r="J2894" t="s">
        <v>120</v>
      </c>
      <c r="K2894" t="s">
        <v>8466</v>
      </c>
      <c r="L2894">
        <v>0.64</v>
      </c>
      <c r="M2894">
        <v>3.23</v>
      </c>
      <c r="N2894">
        <v>0.83</v>
      </c>
      <c r="O2894">
        <v>0.92</v>
      </c>
      <c r="P2894">
        <v>3.29</v>
      </c>
      <c r="Q2894">
        <v>-1.53</v>
      </c>
      <c r="R2894">
        <v>3.21</v>
      </c>
      <c r="S2894">
        <v>3.28</v>
      </c>
      <c r="T2894">
        <v>55725</v>
      </c>
      <c r="U2894">
        <v>3.24</v>
      </c>
      <c r="V2894">
        <v>3.26</v>
      </c>
      <c r="W2894">
        <v>5.19</v>
      </c>
      <c r="X2894" t="s">
        <v>132</v>
      </c>
      <c r="Y2894" t="s">
        <v>890</v>
      </c>
      <c r="Z2894">
        <v>2.4500000000000002</v>
      </c>
      <c r="AA2894">
        <v>3.25</v>
      </c>
      <c r="AB2894">
        <v>27610</v>
      </c>
      <c r="AC2894">
        <v>28115</v>
      </c>
      <c r="AD2894">
        <v>0.98</v>
      </c>
      <c r="AE2894">
        <v>83</v>
      </c>
      <c r="AF2894">
        <v>235</v>
      </c>
      <c r="AG2894" t="s">
        <v>120</v>
      </c>
      <c r="AH2894">
        <v>0.01</v>
      </c>
      <c r="AI2894" t="s">
        <v>120</v>
      </c>
      <c r="AJ2894">
        <v>8.64</v>
      </c>
      <c r="AK2894" t="s">
        <v>8466</v>
      </c>
      <c r="AL2894">
        <v>0.42</v>
      </c>
      <c r="AM2894">
        <v>1258</v>
      </c>
      <c r="AN2894">
        <v>44</v>
      </c>
      <c r="AO2894">
        <v>5.0000000000000001E-4</v>
      </c>
      <c r="AP2894">
        <v>-1</v>
      </c>
      <c r="AQ2894">
        <v>1.56</v>
      </c>
      <c r="AR2894">
        <v>-1.82</v>
      </c>
      <c r="AS2894">
        <v>19.190000000000001</v>
      </c>
      <c r="AT2894">
        <v>9.94</v>
      </c>
      <c r="AU2894">
        <v>8.83</v>
      </c>
      <c r="AV2894">
        <v>0</v>
      </c>
      <c r="AW2894">
        <v>1.52</v>
      </c>
      <c r="AX2894">
        <v>42.48</v>
      </c>
      <c r="AY2894">
        <v>5.28</v>
      </c>
      <c r="AZ2894">
        <v>8.57</v>
      </c>
      <c r="BA2894">
        <v>0.64</v>
      </c>
      <c r="BB2894" t="s">
        <v>184</v>
      </c>
      <c r="BF2894">
        <v>-0.17</v>
      </c>
      <c r="BG2894">
        <v>-1.52</v>
      </c>
      <c r="BH2894">
        <v>-1.82</v>
      </c>
      <c r="BI2894">
        <v>0.62</v>
      </c>
      <c r="BJ2894">
        <v>20210831</v>
      </c>
      <c r="BK2894">
        <v>19930709</v>
      </c>
      <c r="BL2894">
        <v>8.64</v>
      </c>
      <c r="BM2894" t="s">
        <v>120</v>
      </c>
      <c r="BN2894" t="s">
        <v>120</v>
      </c>
      <c r="BO2894">
        <v>367.66</v>
      </c>
      <c r="BP2894">
        <v>3.23</v>
      </c>
      <c r="BQ2894">
        <v>41.82</v>
      </c>
      <c r="BR2894">
        <v>3.19</v>
      </c>
      <c r="BS2894">
        <v>87.76</v>
      </c>
      <c r="BT2894">
        <v>354.13</v>
      </c>
      <c r="BU2894">
        <v>1.28</v>
      </c>
      <c r="BV2894">
        <v>7.0000000000000007E-2</v>
      </c>
      <c r="BW2894">
        <v>235.84</v>
      </c>
      <c r="BX2894">
        <v>57.68</v>
      </c>
      <c r="BY2894">
        <v>243.78</v>
      </c>
      <c r="BZ2894">
        <v>0.89</v>
      </c>
      <c r="CA2894">
        <v>0.01</v>
      </c>
      <c r="CB2894">
        <v>2.0699999999999998</v>
      </c>
      <c r="CC2894">
        <v>27.99</v>
      </c>
      <c r="CD2894">
        <v>22.86</v>
      </c>
      <c r="CE2894">
        <v>1.9</v>
      </c>
      <c r="CF2894">
        <v>0</v>
      </c>
      <c r="CG2894">
        <v>3.47</v>
      </c>
      <c r="CH2894">
        <v>2.69</v>
      </c>
      <c r="CI2894">
        <v>2.69</v>
      </c>
      <c r="CJ2894">
        <v>-0.03</v>
      </c>
      <c r="CK2894">
        <v>1.53</v>
      </c>
      <c r="CL2894">
        <v>27.91</v>
      </c>
      <c r="CM2894">
        <v>-9.16</v>
      </c>
      <c r="CN2894">
        <v>-15.15</v>
      </c>
      <c r="CO2894">
        <v>35202</v>
      </c>
      <c r="CP2894">
        <v>10429</v>
      </c>
      <c r="CQ2894" t="s">
        <v>12820</v>
      </c>
      <c r="CR2894">
        <v>318.11</v>
      </c>
      <c r="CS2894">
        <v>192.17</v>
      </c>
      <c r="CT2894">
        <v>0.67</v>
      </c>
      <c r="CU2894">
        <v>-3.05</v>
      </c>
      <c r="CV2894">
        <v>1</v>
      </c>
      <c r="CW2894">
        <v>4.66</v>
      </c>
      <c r="CX2894" t="s">
        <v>11941</v>
      </c>
      <c r="CY2894">
        <v>4.84</v>
      </c>
      <c r="CZ2894">
        <v>0</v>
      </c>
      <c r="DA2894">
        <v>0.24</v>
      </c>
      <c r="DB2894">
        <v>3.23</v>
      </c>
      <c r="DC2894">
        <v>-1.06</v>
      </c>
      <c r="DD2894">
        <v>11.37</v>
      </c>
      <c r="DE2894" t="s">
        <v>949</v>
      </c>
      <c r="DF2894">
        <v>18.329999999999998</v>
      </c>
      <c r="DG2894">
        <v>6.79</v>
      </c>
      <c r="DH2894">
        <v>9.61</v>
      </c>
      <c r="DI2894" t="s">
        <v>120</v>
      </c>
      <c r="DJ2894">
        <v>2460</v>
      </c>
      <c r="DK2894">
        <v>600665</v>
      </c>
      <c r="DL2894" t="s">
        <v>120</v>
      </c>
      <c r="DM2894" t="s">
        <v>120</v>
      </c>
      <c r="DN2894" t="s">
        <v>120</v>
      </c>
    </row>
    <row r="2895" spans="1:118">
      <c r="A2895" t="str">
        <f>"600667"</f>
        <v>600667</v>
      </c>
      <c r="B2895" t="s">
        <v>12821</v>
      </c>
      <c r="C2895">
        <v>-2.7</v>
      </c>
      <c r="D2895">
        <v>0.12</v>
      </c>
      <c r="E2895">
        <v>-0.34</v>
      </c>
      <c r="F2895">
        <v>1422</v>
      </c>
      <c r="G2895" t="s">
        <v>12822</v>
      </c>
      <c r="H2895">
        <v>24207.14</v>
      </c>
      <c r="I2895">
        <v>51.51</v>
      </c>
      <c r="J2895" t="s">
        <v>120</v>
      </c>
      <c r="K2895" t="s">
        <v>12823</v>
      </c>
      <c r="L2895">
        <v>1.31</v>
      </c>
      <c r="M2895">
        <v>8.64</v>
      </c>
      <c r="N2895">
        <v>0.68</v>
      </c>
      <c r="O2895">
        <v>0.56000000000000005</v>
      </c>
      <c r="P2895">
        <v>8.93</v>
      </c>
      <c r="Q2895">
        <v>-2.93</v>
      </c>
      <c r="R2895">
        <v>8.6199999999999992</v>
      </c>
      <c r="S2895">
        <v>8.85</v>
      </c>
      <c r="T2895">
        <v>276757</v>
      </c>
      <c r="U2895">
        <v>8.64</v>
      </c>
      <c r="V2895">
        <v>8.8800000000000008</v>
      </c>
      <c r="W2895">
        <v>22.58</v>
      </c>
      <c r="X2895" t="s">
        <v>3245</v>
      </c>
      <c r="Y2895" t="s">
        <v>319</v>
      </c>
      <c r="Z2895">
        <v>3.49</v>
      </c>
      <c r="AA2895">
        <v>8.75</v>
      </c>
      <c r="AB2895">
        <v>168551</v>
      </c>
      <c r="AC2895">
        <v>108206</v>
      </c>
      <c r="AD2895">
        <v>1.56</v>
      </c>
      <c r="AE2895">
        <v>1088</v>
      </c>
      <c r="AF2895">
        <v>812</v>
      </c>
      <c r="AG2895" t="s">
        <v>120</v>
      </c>
      <c r="AH2895">
        <v>0</v>
      </c>
      <c r="AI2895" t="s">
        <v>120</v>
      </c>
      <c r="AJ2895">
        <v>21.06</v>
      </c>
      <c r="AK2895" t="s">
        <v>12823</v>
      </c>
      <c r="AL2895">
        <v>-1.36</v>
      </c>
      <c r="AM2895">
        <v>3950</v>
      </c>
      <c r="AN2895">
        <v>70</v>
      </c>
      <c r="AO2895">
        <v>2.9999999999999997E-4</v>
      </c>
      <c r="AP2895">
        <v>-1</v>
      </c>
      <c r="AQ2895">
        <v>0.56999999999999995</v>
      </c>
      <c r="AR2895">
        <v>-5.88</v>
      </c>
      <c r="AS2895">
        <v>-4</v>
      </c>
      <c r="AT2895">
        <v>-2.15</v>
      </c>
      <c r="AU2895">
        <v>-6.9</v>
      </c>
      <c r="AV2895">
        <v>1</v>
      </c>
      <c r="AW2895">
        <v>2.13</v>
      </c>
      <c r="AX2895">
        <v>61.75</v>
      </c>
      <c r="AY2895">
        <v>20.41</v>
      </c>
      <c r="AZ2895">
        <v>22.45</v>
      </c>
      <c r="BA2895">
        <v>0.23</v>
      </c>
      <c r="BB2895" t="s">
        <v>240</v>
      </c>
      <c r="BF2895">
        <v>-1.5</v>
      </c>
      <c r="BG2895">
        <v>-2.37</v>
      </c>
      <c r="BH2895">
        <v>-3.25</v>
      </c>
      <c r="BI2895">
        <v>0.23</v>
      </c>
      <c r="BJ2895">
        <v>20210827</v>
      </c>
      <c r="BK2895">
        <v>19930728</v>
      </c>
      <c r="BL2895">
        <v>21.06</v>
      </c>
      <c r="BM2895" t="s">
        <v>120</v>
      </c>
      <c r="BN2895" t="s">
        <v>120</v>
      </c>
      <c r="BO2895">
        <v>225.87</v>
      </c>
      <c r="BP2895">
        <v>8.6300000000000008</v>
      </c>
      <c r="BQ2895">
        <v>74.56</v>
      </c>
      <c r="BR2895">
        <v>6.53</v>
      </c>
      <c r="BS2895">
        <v>64.099999999999994</v>
      </c>
      <c r="BT2895">
        <v>139.19</v>
      </c>
      <c r="BU2895">
        <v>53.53</v>
      </c>
      <c r="BV2895">
        <v>4.6500000000000004</v>
      </c>
      <c r="BW2895">
        <v>128.86000000000001</v>
      </c>
      <c r="BX2895">
        <v>36.5</v>
      </c>
      <c r="BY2895">
        <v>7.87</v>
      </c>
      <c r="BZ2895">
        <v>44.57</v>
      </c>
      <c r="CA2895">
        <v>0.11</v>
      </c>
      <c r="CB2895">
        <v>31.4</v>
      </c>
      <c r="CC2895">
        <v>102.28</v>
      </c>
      <c r="CD2895">
        <v>91.11</v>
      </c>
      <c r="CE2895">
        <v>5.07</v>
      </c>
      <c r="CF2895">
        <v>0.7</v>
      </c>
      <c r="CG2895">
        <v>5.03</v>
      </c>
      <c r="CH2895">
        <v>4.45</v>
      </c>
      <c r="CI2895">
        <v>4.03</v>
      </c>
      <c r="CJ2895">
        <v>-0.24</v>
      </c>
      <c r="CK2895">
        <v>3.96</v>
      </c>
      <c r="CL2895">
        <v>18.899999999999999</v>
      </c>
      <c r="CM2895">
        <v>-4.78</v>
      </c>
      <c r="CN2895">
        <v>-8.35</v>
      </c>
      <c r="CO2895">
        <v>141418</v>
      </c>
      <c r="CP2895">
        <v>9196</v>
      </c>
      <c r="CQ2895" t="s">
        <v>7796</v>
      </c>
      <c r="CR2895">
        <v>26.07</v>
      </c>
      <c r="CS2895">
        <v>21.92</v>
      </c>
      <c r="CT2895">
        <v>2.44</v>
      </c>
      <c r="CU2895">
        <v>-38.06</v>
      </c>
      <c r="CV2895">
        <v>1.78</v>
      </c>
      <c r="CW2895">
        <v>1.91</v>
      </c>
      <c r="CX2895" t="s">
        <v>442</v>
      </c>
      <c r="CY2895">
        <v>3.54</v>
      </c>
      <c r="CZ2895">
        <v>0</v>
      </c>
      <c r="DA2895">
        <v>1.49</v>
      </c>
      <c r="DB2895">
        <v>0.9</v>
      </c>
      <c r="DC2895">
        <v>-0.23</v>
      </c>
      <c r="DD2895">
        <v>33.01</v>
      </c>
      <c r="DE2895" t="s">
        <v>4153</v>
      </c>
      <c r="DF2895">
        <v>10.92</v>
      </c>
      <c r="DG2895">
        <v>4.96</v>
      </c>
      <c r="DH2895">
        <v>3.94</v>
      </c>
      <c r="DI2895">
        <v>2.78</v>
      </c>
      <c r="DJ2895">
        <v>7842</v>
      </c>
      <c r="DK2895">
        <v>600667</v>
      </c>
      <c r="DL2895" t="s">
        <v>120</v>
      </c>
      <c r="DM2895" t="s">
        <v>120</v>
      </c>
      <c r="DN2895" t="s">
        <v>120</v>
      </c>
    </row>
    <row r="2896" spans="1:118">
      <c r="A2896" t="str">
        <f>"600668"</f>
        <v>600668</v>
      </c>
      <c r="B2896" t="s">
        <v>12824</v>
      </c>
      <c r="C2896">
        <v>-0.54</v>
      </c>
      <c r="D2896">
        <v>0</v>
      </c>
      <c r="E2896">
        <v>0.08</v>
      </c>
      <c r="F2896">
        <v>1025</v>
      </c>
      <c r="G2896" t="s">
        <v>12825</v>
      </c>
      <c r="H2896">
        <v>10052.5</v>
      </c>
      <c r="I2896">
        <v>35.57</v>
      </c>
      <c r="J2896" t="s">
        <v>120</v>
      </c>
      <c r="K2896" t="s">
        <v>10081</v>
      </c>
      <c r="L2896">
        <v>2.23</v>
      </c>
      <c r="M2896">
        <v>12.95</v>
      </c>
      <c r="N2896">
        <v>0.56000000000000005</v>
      </c>
      <c r="O2896">
        <v>2.23</v>
      </c>
      <c r="P2896">
        <v>13.31</v>
      </c>
      <c r="Q2896">
        <v>-1.08</v>
      </c>
      <c r="R2896">
        <v>12.88</v>
      </c>
      <c r="S2896">
        <v>13.03</v>
      </c>
      <c r="T2896">
        <v>76776</v>
      </c>
      <c r="U2896">
        <v>12.95</v>
      </c>
      <c r="V2896">
        <v>13.02</v>
      </c>
      <c r="W2896">
        <v>6.97</v>
      </c>
      <c r="X2896" t="s">
        <v>653</v>
      </c>
      <c r="Y2896" t="s">
        <v>585</v>
      </c>
      <c r="Z2896">
        <v>3.3</v>
      </c>
      <c r="AA2896">
        <v>13.09</v>
      </c>
      <c r="AB2896">
        <v>42289</v>
      </c>
      <c r="AC2896">
        <v>34487</v>
      </c>
      <c r="AD2896">
        <v>1.23</v>
      </c>
      <c r="AE2896">
        <v>242</v>
      </c>
      <c r="AF2896">
        <v>531</v>
      </c>
      <c r="AG2896" t="s">
        <v>120</v>
      </c>
      <c r="AH2896">
        <v>0.01</v>
      </c>
      <c r="AI2896" t="s">
        <v>120</v>
      </c>
      <c r="AJ2896">
        <v>3.44</v>
      </c>
      <c r="AK2896" t="s">
        <v>10081</v>
      </c>
      <c r="AL2896">
        <v>0.81</v>
      </c>
      <c r="AM2896">
        <v>2249</v>
      </c>
      <c r="AN2896">
        <v>34</v>
      </c>
      <c r="AO2896">
        <v>1E-3</v>
      </c>
      <c r="AP2896">
        <v>-3</v>
      </c>
      <c r="AQ2896">
        <v>-0.61</v>
      </c>
      <c r="AR2896">
        <v>-2.34</v>
      </c>
      <c r="AS2896">
        <v>14.09</v>
      </c>
      <c r="AT2896">
        <v>11.16</v>
      </c>
      <c r="AU2896">
        <v>-4.6399999999999997</v>
      </c>
      <c r="AV2896">
        <v>0</v>
      </c>
      <c r="AW2896">
        <v>2.66</v>
      </c>
      <c r="AX2896">
        <v>83.85</v>
      </c>
      <c r="AY2896">
        <v>8.36</v>
      </c>
      <c r="AZ2896">
        <v>7.67</v>
      </c>
      <c r="BA2896">
        <v>0.87</v>
      </c>
      <c r="BB2896" t="s">
        <v>143</v>
      </c>
      <c r="BF2896">
        <v>0.56000000000000005</v>
      </c>
      <c r="BG2896">
        <v>-0.61</v>
      </c>
      <c r="BH2896">
        <v>-2.7</v>
      </c>
      <c r="BI2896">
        <v>0.54</v>
      </c>
      <c r="BJ2896">
        <v>20210831</v>
      </c>
      <c r="BK2896">
        <v>19930728</v>
      </c>
      <c r="BL2896">
        <v>3.44</v>
      </c>
      <c r="BM2896" t="s">
        <v>120</v>
      </c>
      <c r="BN2896" t="s">
        <v>120</v>
      </c>
      <c r="BO2896">
        <v>61.98</v>
      </c>
      <c r="BP2896">
        <v>12.94</v>
      </c>
      <c r="BQ2896">
        <v>46.12</v>
      </c>
      <c r="BR2896">
        <v>2.92</v>
      </c>
      <c r="BS2896">
        <v>20.89</v>
      </c>
      <c r="BT2896">
        <v>13.57</v>
      </c>
      <c r="BU2896">
        <v>18.05</v>
      </c>
      <c r="BV2896">
        <v>3.32</v>
      </c>
      <c r="BW2896">
        <v>10.47</v>
      </c>
      <c r="BX2896">
        <v>3.46</v>
      </c>
      <c r="BY2896">
        <v>3.71</v>
      </c>
      <c r="BZ2896">
        <v>2.41</v>
      </c>
      <c r="CA2896" t="s">
        <v>120</v>
      </c>
      <c r="CB2896">
        <v>5.42</v>
      </c>
      <c r="CC2896">
        <v>17.13</v>
      </c>
      <c r="CD2896">
        <v>11.68</v>
      </c>
      <c r="CE2896">
        <v>4.16</v>
      </c>
      <c r="CF2896">
        <v>1.61</v>
      </c>
      <c r="CG2896">
        <v>4.16</v>
      </c>
      <c r="CH2896">
        <v>3.56</v>
      </c>
      <c r="CI2896">
        <v>3.2</v>
      </c>
      <c r="CJ2896">
        <v>-7.0000000000000007E-2</v>
      </c>
      <c r="CK2896">
        <v>3.12</v>
      </c>
      <c r="CL2896">
        <v>32.43</v>
      </c>
      <c r="CM2896">
        <v>0.95</v>
      </c>
      <c r="CN2896">
        <v>1.1599999999999999</v>
      </c>
      <c r="CO2896">
        <v>35117</v>
      </c>
      <c r="CP2896">
        <v>8216</v>
      </c>
      <c r="CQ2896" t="s">
        <v>11490</v>
      </c>
      <c r="CR2896">
        <v>-13.21</v>
      </c>
      <c r="CS2896">
        <v>18.940000000000001</v>
      </c>
      <c r="CT2896">
        <v>0.97</v>
      </c>
      <c r="CU2896">
        <v>46.96</v>
      </c>
      <c r="CV2896">
        <v>2.6</v>
      </c>
      <c r="CW2896">
        <v>3.07</v>
      </c>
      <c r="CX2896" t="s">
        <v>12826</v>
      </c>
      <c r="CY2896">
        <v>13.4</v>
      </c>
      <c r="CZ2896">
        <v>0</v>
      </c>
      <c r="DA2896">
        <v>1.58</v>
      </c>
      <c r="DB2896">
        <v>9.43</v>
      </c>
      <c r="DC2896">
        <v>0.28000000000000003</v>
      </c>
      <c r="DD2896">
        <v>74.41</v>
      </c>
      <c r="DE2896" t="s">
        <v>11385</v>
      </c>
      <c r="DF2896">
        <v>31.85</v>
      </c>
      <c r="DG2896">
        <v>24.3</v>
      </c>
      <c r="DH2896">
        <v>18.649999999999999</v>
      </c>
      <c r="DI2896">
        <v>0.34</v>
      </c>
      <c r="DJ2896">
        <v>2177</v>
      </c>
      <c r="DK2896">
        <v>600668</v>
      </c>
      <c r="DL2896" t="s">
        <v>120</v>
      </c>
      <c r="DM2896" t="s">
        <v>120</v>
      </c>
      <c r="DN2896" t="s">
        <v>120</v>
      </c>
    </row>
    <row r="2897" spans="1:118">
      <c r="A2897" t="str">
        <f>"600673"</f>
        <v>600673</v>
      </c>
      <c r="B2897" t="s">
        <v>12827</v>
      </c>
      <c r="C2897">
        <v>-10.029999999999999</v>
      </c>
      <c r="D2897">
        <v>0</v>
      </c>
      <c r="E2897">
        <v>-0.19</v>
      </c>
      <c r="F2897">
        <v>3208</v>
      </c>
      <c r="G2897" t="s">
        <v>12828</v>
      </c>
      <c r="H2897">
        <v>176804.73</v>
      </c>
      <c r="I2897">
        <v>1866.09</v>
      </c>
      <c r="J2897">
        <v>1015.51</v>
      </c>
      <c r="K2897" t="s">
        <v>12829</v>
      </c>
      <c r="L2897">
        <v>5.9</v>
      </c>
      <c r="M2897">
        <v>9.69</v>
      </c>
      <c r="N2897">
        <v>1.31</v>
      </c>
      <c r="O2897">
        <v>-0.09</v>
      </c>
      <c r="P2897">
        <v>10.76</v>
      </c>
      <c r="Q2897">
        <v>-10.029999999999999</v>
      </c>
      <c r="R2897">
        <v>9.69</v>
      </c>
      <c r="S2897">
        <v>10.75</v>
      </c>
      <c r="T2897">
        <v>1773109</v>
      </c>
      <c r="U2897">
        <v>9.69</v>
      </c>
      <c r="V2897">
        <v>10.77</v>
      </c>
      <c r="W2897">
        <v>174.56</v>
      </c>
      <c r="X2897" t="s">
        <v>1325</v>
      </c>
      <c r="Y2897" t="s">
        <v>547</v>
      </c>
      <c r="Z2897">
        <v>9.94</v>
      </c>
      <c r="AA2897">
        <v>9.9700000000000006</v>
      </c>
      <c r="AB2897">
        <v>1042547</v>
      </c>
      <c r="AC2897">
        <v>730562</v>
      </c>
      <c r="AD2897">
        <v>1.43</v>
      </c>
      <c r="AE2897">
        <v>0</v>
      </c>
      <c r="AF2897">
        <v>10480</v>
      </c>
      <c r="AG2897" t="s">
        <v>120</v>
      </c>
      <c r="AH2897">
        <v>0.12</v>
      </c>
      <c r="AI2897">
        <v>0.01</v>
      </c>
      <c r="AJ2897">
        <v>30.04</v>
      </c>
      <c r="AK2897" t="s">
        <v>12830</v>
      </c>
      <c r="AL2897">
        <v>-8.68</v>
      </c>
      <c r="AM2897">
        <v>4617</v>
      </c>
      <c r="AN2897">
        <v>384</v>
      </c>
      <c r="AO2897">
        <v>1.2999999999999999E-3</v>
      </c>
      <c r="AP2897">
        <v>-1</v>
      </c>
      <c r="AQ2897">
        <v>10.01</v>
      </c>
      <c r="AR2897">
        <v>-1.02</v>
      </c>
      <c r="AS2897">
        <v>60.7</v>
      </c>
      <c r="AT2897">
        <v>115.82</v>
      </c>
      <c r="AU2897">
        <v>92.65</v>
      </c>
      <c r="AV2897">
        <v>7</v>
      </c>
      <c r="AW2897">
        <v>12.69</v>
      </c>
      <c r="AX2897">
        <v>46.35</v>
      </c>
      <c r="AY2897">
        <v>131.26</v>
      </c>
      <c r="AZ2897">
        <v>78.08</v>
      </c>
      <c r="BA2897">
        <v>1.41</v>
      </c>
      <c r="BB2897" t="s">
        <v>168</v>
      </c>
      <c r="BF2897">
        <v>-7.41</v>
      </c>
      <c r="BG2897">
        <v>-9.86</v>
      </c>
      <c r="BH2897">
        <v>-9.94</v>
      </c>
      <c r="BI2897">
        <v>0</v>
      </c>
      <c r="BJ2897">
        <v>20210902</v>
      </c>
      <c r="BK2897">
        <v>19930917</v>
      </c>
      <c r="BL2897">
        <v>30.14</v>
      </c>
      <c r="BM2897" t="s">
        <v>120</v>
      </c>
      <c r="BN2897" t="s">
        <v>120</v>
      </c>
      <c r="BO2897">
        <v>279.45999999999998</v>
      </c>
      <c r="BP2897" t="s">
        <v>120</v>
      </c>
      <c r="BQ2897">
        <v>70.7</v>
      </c>
      <c r="BR2897">
        <v>26.65</v>
      </c>
      <c r="BS2897">
        <v>65.16</v>
      </c>
      <c r="BT2897">
        <v>126.92</v>
      </c>
      <c r="BU2897">
        <v>70.510000000000005</v>
      </c>
      <c r="BV2897">
        <v>39.51</v>
      </c>
      <c r="BW2897">
        <v>128.61000000000001</v>
      </c>
      <c r="BX2897">
        <v>55.29</v>
      </c>
      <c r="BY2897">
        <v>16.53</v>
      </c>
      <c r="BZ2897">
        <v>24.62</v>
      </c>
      <c r="CA2897" t="s">
        <v>120</v>
      </c>
      <c r="CB2897">
        <v>5.01</v>
      </c>
      <c r="CC2897">
        <v>58.9</v>
      </c>
      <c r="CD2897">
        <v>46.2</v>
      </c>
      <c r="CE2897">
        <v>-1.79</v>
      </c>
      <c r="CF2897">
        <v>0.18</v>
      </c>
      <c r="CG2897">
        <v>-1.91</v>
      </c>
      <c r="CH2897">
        <v>-1.66</v>
      </c>
      <c r="CI2897">
        <v>0.84</v>
      </c>
      <c r="CJ2897">
        <v>-1.08</v>
      </c>
      <c r="CK2897">
        <v>0.27</v>
      </c>
      <c r="CL2897">
        <v>43.35</v>
      </c>
      <c r="CM2897">
        <v>8.27</v>
      </c>
      <c r="CN2897">
        <v>-3.63</v>
      </c>
      <c r="CO2897">
        <v>86102</v>
      </c>
      <c r="CP2897">
        <v>16224</v>
      </c>
      <c r="CQ2897" t="s">
        <v>12831</v>
      </c>
      <c r="CR2897">
        <v>-66.81</v>
      </c>
      <c r="CS2897">
        <v>-1.03</v>
      </c>
      <c r="CT2897">
        <v>4.13</v>
      </c>
      <c r="CU2897">
        <v>35.299999999999997</v>
      </c>
      <c r="CV2897">
        <v>4.96</v>
      </c>
      <c r="CW2897">
        <v>0</v>
      </c>
      <c r="CX2897" t="s">
        <v>2074</v>
      </c>
      <c r="CY2897">
        <v>2.35</v>
      </c>
      <c r="CZ2897">
        <v>0</v>
      </c>
      <c r="DA2897">
        <v>0.17</v>
      </c>
      <c r="DB2897">
        <v>1.44</v>
      </c>
      <c r="DC2897">
        <v>0.27</v>
      </c>
      <c r="DD2897">
        <v>25.3</v>
      </c>
      <c r="DE2897" t="s">
        <v>1283</v>
      </c>
      <c r="DF2897">
        <v>21.57</v>
      </c>
      <c r="DG2897">
        <v>-3.04</v>
      </c>
      <c r="DH2897">
        <v>1.42</v>
      </c>
      <c r="DI2897">
        <v>2.06</v>
      </c>
      <c r="DJ2897">
        <v>11894</v>
      </c>
      <c r="DK2897">
        <v>600673</v>
      </c>
      <c r="DL2897">
        <v>20210907</v>
      </c>
      <c r="DM2897">
        <v>10</v>
      </c>
      <c r="DN2897">
        <v>-3.1</v>
      </c>
    </row>
    <row r="2898" spans="1:118">
      <c r="A2898" t="str">
        <f>"600674"</f>
        <v>600674</v>
      </c>
      <c r="B2898" t="s">
        <v>12832</v>
      </c>
      <c r="C2898">
        <v>-0.63</v>
      </c>
      <c r="D2898">
        <v>0.16</v>
      </c>
      <c r="E2898">
        <v>-0.55000000000000004</v>
      </c>
      <c r="F2898">
        <v>3641</v>
      </c>
      <c r="G2898" t="s">
        <v>12833</v>
      </c>
      <c r="H2898">
        <v>16187.94</v>
      </c>
      <c r="I2898">
        <v>165.06</v>
      </c>
      <c r="J2898" t="s">
        <v>120</v>
      </c>
      <c r="K2898" t="s">
        <v>12834</v>
      </c>
      <c r="L2898">
        <v>0.28999999999999998</v>
      </c>
      <c r="M2898">
        <v>12.59</v>
      </c>
      <c r="N2898">
        <v>0.52</v>
      </c>
      <c r="O2898">
        <v>1.82</v>
      </c>
      <c r="P2898">
        <v>12.9</v>
      </c>
      <c r="Q2898">
        <v>-0.95</v>
      </c>
      <c r="R2898">
        <v>12.55</v>
      </c>
      <c r="S2898">
        <v>12.6</v>
      </c>
      <c r="T2898">
        <v>127010</v>
      </c>
      <c r="U2898">
        <v>12.6</v>
      </c>
      <c r="V2898">
        <v>12.67</v>
      </c>
      <c r="W2898">
        <v>21.16</v>
      </c>
      <c r="X2898" t="s">
        <v>1287</v>
      </c>
      <c r="Y2898" t="s">
        <v>578</v>
      </c>
      <c r="Z2898">
        <v>2.76</v>
      </c>
      <c r="AA2898">
        <v>12.75</v>
      </c>
      <c r="AB2898">
        <v>64852</v>
      </c>
      <c r="AC2898">
        <v>62158</v>
      </c>
      <c r="AD2898">
        <v>1.04</v>
      </c>
      <c r="AE2898">
        <v>731</v>
      </c>
      <c r="AF2898">
        <v>18</v>
      </c>
      <c r="AG2898" t="s">
        <v>120</v>
      </c>
      <c r="AH2898">
        <v>0.01</v>
      </c>
      <c r="AI2898" t="s">
        <v>120</v>
      </c>
      <c r="AJ2898">
        <v>44.06</v>
      </c>
      <c r="AK2898" t="s">
        <v>12834</v>
      </c>
      <c r="AL2898">
        <v>0.71</v>
      </c>
      <c r="AM2898">
        <v>3342</v>
      </c>
      <c r="AN2898">
        <v>38</v>
      </c>
      <c r="AO2898">
        <v>1E-4</v>
      </c>
      <c r="AP2898">
        <v>-3</v>
      </c>
      <c r="AQ2898">
        <v>-1.55</v>
      </c>
      <c r="AR2898">
        <v>-3</v>
      </c>
      <c r="AS2898">
        <v>11.81</v>
      </c>
      <c r="AT2898">
        <v>9.1999999999999993</v>
      </c>
      <c r="AU2898">
        <v>30.19</v>
      </c>
      <c r="AV2898">
        <v>0</v>
      </c>
      <c r="AW2898">
        <v>1.1100000000000001</v>
      </c>
      <c r="AX2898">
        <v>25.86</v>
      </c>
      <c r="AY2898">
        <v>17.29</v>
      </c>
      <c r="AZ2898">
        <v>17.66</v>
      </c>
      <c r="BA2898">
        <v>0.72</v>
      </c>
      <c r="BB2898" t="s">
        <v>341</v>
      </c>
      <c r="BF2898">
        <v>0.6</v>
      </c>
      <c r="BG2898">
        <v>-0.08</v>
      </c>
      <c r="BH2898">
        <v>-2.4</v>
      </c>
      <c r="BI2898">
        <v>0.32</v>
      </c>
      <c r="BJ2898">
        <v>20210817</v>
      </c>
      <c r="BK2898">
        <v>19930924</v>
      </c>
      <c r="BL2898">
        <v>44.06</v>
      </c>
      <c r="BM2898" t="s">
        <v>120</v>
      </c>
      <c r="BN2898" t="s">
        <v>120</v>
      </c>
      <c r="BO2898">
        <v>442.31</v>
      </c>
      <c r="BP2898">
        <v>12.59</v>
      </c>
      <c r="BQ2898">
        <v>295.86</v>
      </c>
      <c r="BR2898">
        <v>10.15</v>
      </c>
      <c r="BS2898">
        <v>30.81</v>
      </c>
      <c r="BT2898">
        <v>72.42</v>
      </c>
      <c r="BU2898">
        <v>51.75</v>
      </c>
      <c r="BV2898">
        <v>3.04</v>
      </c>
      <c r="BW2898">
        <v>73.83</v>
      </c>
      <c r="BX2898">
        <v>24.46</v>
      </c>
      <c r="BY2898">
        <v>1.59</v>
      </c>
      <c r="BZ2898">
        <v>3.09</v>
      </c>
      <c r="CA2898">
        <v>0.01</v>
      </c>
      <c r="CB2898">
        <v>40.869999999999997</v>
      </c>
      <c r="CC2898">
        <v>4.67</v>
      </c>
      <c r="CD2898">
        <v>2.48</v>
      </c>
      <c r="CE2898">
        <v>13.44</v>
      </c>
      <c r="CF2898">
        <v>14.15</v>
      </c>
      <c r="CG2898">
        <v>13.43</v>
      </c>
      <c r="CH2898">
        <v>13.27</v>
      </c>
      <c r="CI2898">
        <v>13.11</v>
      </c>
      <c r="CJ2898">
        <v>-0.08</v>
      </c>
      <c r="CK2898">
        <v>12.9</v>
      </c>
      <c r="CL2898">
        <v>125.59</v>
      </c>
      <c r="CM2898">
        <v>1.82</v>
      </c>
      <c r="CN2898">
        <v>18.41</v>
      </c>
      <c r="CO2898">
        <v>40452</v>
      </c>
      <c r="CP2898">
        <v>28169</v>
      </c>
      <c r="CQ2898" t="s">
        <v>12835</v>
      </c>
      <c r="CR2898">
        <v>5.47</v>
      </c>
      <c r="CS2898">
        <v>52.49</v>
      </c>
      <c r="CT2898">
        <v>1.92</v>
      </c>
      <c r="CU2898">
        <v>305</v>
      </c>
      <c r="CV2898">
        <v>118.66</v>
      </c>
      <c r="CW2898">
        <v>3</v>
      </c>
      <c r="CX2898" t="s">
        <v>1340</v>
      </c>
      <c r="CY2898">
        <v>6.56</v>
      </c>
      <c r="CZ2898">
        <v>6.56</v>
      </c>
      <c r="DA2898">
        <v>0.93</v>
      </c>
      <c r="DB2898">
        <v>2.85</v>
      </c>
      <c r="DC2898">
        <v>0.04</v>
      </c>
      <c r="DD2898">
        <v>66.89</v>
      </c>
      <c r="DE2898" t="s">
        <v>4721</v>
      </c>
      <c r="DF2898">
        <v>46.89</v>
      </c>
      <c r="DG2898">
        <v>287.45999999999998</v>
      </c>
      <c r="DH2898">
        <v>280.37</v>
      </c>
      <c r="DI2898">
        <v>0.09</v>
      </c>
      <c r="DJ2898">
        <v>1554</v>
      </c>
      <c r="DK2898">
        <v>600674</v>
      </c>
      <c r="DL2898" t="s">
        <v>120</v>
      </c>
      <c r="DM2898" t="s">
        <v>120</v>
      </c>
      <c r="DN2898" t="s">
        <v>120</v>
      </c>
    </row>
    <row r="2899" spans="1:118">
      <c r="A2899" t="str">
        <f>"600675"</f>
        <v>600675</v>
      </c>
      <c r="B2899" t="s">
        <v>12836</v>
      </c>
      <c r="C2899">
        <v>-2.96</v>
      </c>
      <c r="D2899">
        <v>0</v>
      </c>
      <c r="E2899">
        <v>-0.33</v>
      </c>
      <c r="F2899">
        <v>227</v>
      </c>
      <c r="G2899" t="s">
        <v>582</v>
      </c>
      <c r="H2899">
        <v>2582.7199999999998</v>
      </c>
      <c r="I2899">
        <v>31.21</v>
      </c>
      <c r="J2899" t="s">
        <v>120</v>
      </c>
      <c r="K2899" t="s">
        <v>12837</v>
      </c>
      <c r="L2899">
        <v>0.38</v>
      </c>
      <c r="M2899">
        <v>2.95</v>
      </c>
      <c r="N2899">
        <v>1.19</v>
      </c>
      <c r="O2899">
        <v>0.99</v>
      </c>
      <c r="P2899">
        <v>3.07</v>
      </c>
      <c r="Q2899">
        <v>-3.29</v>
      </c>
      <c r="R2899">
        <v>2.94</v>
      </c>
      <c r="S2899">
        <v>3.03</v>
      </c>
      <c r="T2899">
        <v>85995</v>
      </c>
      <c r="U2899">
        <v>2.96</v>
      </c>
      <c r="V2899">
        <v>3.04</v>
      </c>
      <c r="W2899">
        <v>9.08</v>
      </c>
      <c r="X2899" t="s">
        <v>150</v>
      </c>
      <c r="Y2899" t="s">
        <v>1510</v>
      </c>
      <c r="Z2899">
        <v>4.28</v>
      </c>
      <c r="AA2899">
        <v>3</v>
      </c>
      <c r="AB2899">
        <v>52309</v>
      </c>
      <c r="AC2899">
        <v>33686</v>
      </c>
      <c r="AD2899">
        <v>1.55</v>
      </c>
      <c r="AE2899">
        <v>5339</v>
      </c>
      <c r="AF2899">
        <v>176</v>
      </c>
      <c r="AG2899" t="s">
        <v>120</v>
      </c>
      <c r="AH2899">
        <v>0.01</v>
      </c>
      <c r="AI2899" t="s">
        <v>120</v>
      </c>
      <c r="AJ2899">
        <v>22.4</v>
      </c>
      <c r="AK2899" t="s">
        <v>12838</v>
      </c>
      <c r="AL2899">
        <v>-1.62</v>
      </c>
      <c r="AM2899">
        <v>1685</v>
      </c>
      <c r="AN2899">
        <v>51</v>
      </c>
      <c r="AO2899">
        <v>2.0000000000000001E-4</v>
      </c>
      <c r="AP2899">
        <v>-1</v>
      </c>
      <c r="AQ2899">
        <v>0.66</v>
      </c>
      <c r="AR2899">
        <v>-4.54</v>
      </c>
      <c r="AS2899">
        <v>9.66</v>
      </c>
      <c r="AT2899">
        <v>-2.38</v>
      </c>
      <c r="AU2899">
        <v>-8.44</v>
      </c>
      <c r="AV2899">
        <v>0</v>
      </c>
      <c r="AW2899">
        <v>0.57999999999999996</v>
      </c>
      <c r="AX2899">
        <v>24.2</v>
      </c>
      <c r="AY2899">
        <v>10.44</v>
      </c>
      <c r="AZ2899">
        <v>13.45</v>
      </c>
      <c r="BA2899">
        <v>0.15</v>
      </c>
      <c r="BB2899" t="s">
        <v>143</v>
      </c>
      <c r="BF2899">
        <v>-1.21</v>
      </c>
      <c r="BG2899">
        <v>-2.64</v>
      </c>
      <c r="BH2899">
        <v>-3.91</v>
      </c>
      <c r="BI2899">
        <v>0.34</v>
      </c>
      <c r="BJ2899">
        <v>20210830</v>
      </c>
      <c r="BK2899">
        <v>19930924</v>
      </c>
      <c r="BL2899">
        <v>60.96</v>
      </c>
      <c r="BM2899" t="s">
        <v>120</v>
      </c>
      <c r="BN2899" t="s">
        <v>120</v>
      </c>
      <c r="BO2899">
        <v>489.3</v>
      </c>
      <c r="BP2899">
        <v>2.95</v>
      </c>
      <c r="BQ2899">
        <v>157.25</v>
      </c>
      <c r="BR2899">
        <v>18.5</v>
      </c>
      <c r="BS2899">
        <v>64.08</v>
      </c>
      <c r="BT2899">
        <v>352.12</v>
      </c>
      <c r="BU2899">
        <v>1.95</v>
      </c>
      <c r="BV2899">
        <v>0.69</v>
      </c>
      <c r="BW2899">
        <v>143.37</v>
      </c>
      <c r="BX2899">
        <v>149.49</v>
      </c>
      <c r="BY2899">
        <v>183.6</v>
      </c>
      <c r="BZ2899">
        <v>1.53</v>
      </c>
      <c r="CA2899">
        <v>0.28999999999999998</v>
      </c>
      <c r="CB2899">
        <v>22.45</v>
      </c>
      <c r="CC2899">
        <v>66.28</v>
      </c>
      <c r="CD2899">
        <v>31.27</v>
      </c>
      <c r="CE2899">
        <v>20.89</v>
      </c>
      <c r="CF2899">
        <v>0.47</v>
      </c>
      <c r="CG2899">
        <v>21</v>
      </c>
      <c r="CH2899">
        <v>14.3</v>
      </c>
      <c r="CI2899">
        <v>9.91</v>
      </c>
      <c r="CJ2899">
        <v>-0.09</v>
      </c>
      <c r="CK2899">
        <v>8.44</v>
      </c>
      <c r="CL2899">
        <v>67.5</v>
      </c>
      <c r="CM2899">
        <v>1.07</v>
      </c>
      <c r="CN2899">
        <v>33.799999999999997</v>
      </c>
      <c r="CO2899">
        <v>65924</v>
      </c>
      <c r="CP2899">
        <v>22382</v>
      </c>
      <c r="CQ2899" t="s">
        <v>723</v>
      </c>
      <c r="CR2899">
        <v>66.64</v>
      </c>
      <c r="CS2899">
        <v>33.24</v>
      </c>
      <c r="CT2899">
        <v>1.1399999999999999</v>
      </c>
      <c r="CU2899">
        <v>167.91</v>
      </c>
      <c r="CV2899">
        <v>2.71</v>
      </c>
      <c r="CW2899">
        <v>4.5</v>
      </c>
      <c r="CX2899" t="s">
        <v>1091</v>
      </c>
      <c r="CY2899">
        <v>2.58</v>
      </c>
      <c r="CZ2899">
        <v>0</v>
      </c>
      <c r="DA2899">
        <v>0.37</v>
      </c>
      <c r="DB2899">
        <v>1.1100000000000001</v>
      </c>
      <c r="DC2899">
        <v>0.02</v>
      </c>
      <c r="DD2899">
        <v>32.14</v>
      </c>
      <c r="DE2899" t="s">
        <v>12154</v>
      </c>
      <c r="DF2899">
        <v>52.82</v>
      </c>
      <c r="DG2899">
        <v>31.52</v>
      </c>
      <c r="DH2899">
        <v>14.95</v>
      </c>
      <c r="DI2899" t="s">
        <v>120</v>
      </c>
      <c r="DJ2899">
        <v>1565</v>
      </c>
      <c r="DK2899">
        <v>600675</v>
      </c>
      <c r="DL2899" t="s">
        <v>120</v>
      </c>
      <c r="DM2899" t="s">
        <v>120</v>
      </c>
      <c r="DN2899" t="s">
        <v>120</v>
      </c>
    </row>
    <row r="2900" spans="1:118">
      <c r="A2900" t="str">
        <f>"600676"</f>
        <v>600676</v>
      </c>
      <c r="B2900" t="s">
        <v>12839</v>
      </c>
      <c r="C2900">
        <v>-1.85</v>
      </c>
      <c r="D2900">
        <v>0</v>
      </c>
      <c r="E2900">
        <v>0.23</v>
      </c>
      <c r="F2900">
        <v>98</v>
      </c>
      <c r="G2900" t="s">
        <v>6692</v>
      </c>
      <c r="H2900">
        <v>1969.07</v>
      </c>
      <c r="I2900">
        <v>1.43</v>
      </c>
      <c r="J2900" t="s">
        <v>120</v>
      </c>
      <c r="K2900" t="s">
        <v>12840</v>
      </c>
      <c r="L2900">
        <v>0.45</v>
      </c>
      <c r="M2900">
        <v>4.24</v>
      </c>
      <c r="N2900">
        <v>1.01</v>
      </c>
      <c r="O2900">
        <v>0.23</v>
      </c>
      <c r="P2900">
        <v>4.33</v>
      </c>
      <c r="Q2900">
        <v>-2.08</v>
      </c>
      <c r="R2900">
        <v>4.2300000000000004</v>
      </c>
      <c r="S2900">
        <v>4.33</v>
      </c>
      <c r="T2900">
        <v>45929</v>
      </c>
      <c r="U2900">
        <v>4.25</v>
      </c>
      <c r="V2900">
        <v>4.32</v>
      </c>
      <c r="W2900">
        <v>152.13</v>
      </c>
      <c r="X2900" t="s">
        <v>5789</v>
      </c>
      <c r="Y2900" t="s">
        <v>1510</v>
      </c>
      <c r="Z2900">
        <v>2.31</v>
      </c>
      <c r="AA2900">
        <v>4.29</v>
      </c>
      <c r="AB2900">
        <v>30464</v>
      </c>
      <c r="AC2900">
        <v>15465</v>
      </c>
      <c r="AD2900">
        <v>1.97</v>
      </c>
      <c r="AE2900">
        <v>946</v>
      </c>
      <c r="AF2900">
        <v>1026</v>
      </c>
      <c r="AG2900" t="s">
        <v>120</v>
      </c>
      <c r="AH2900">
        <v>0</v>
      </c>
      <c r="AI2900" t="s">
        <v>120</v>
      </c>
      <c r="AJ2900">
        <v>10.28</v>
      </c>
      <c r="AK2900" t="s">
        <v>12840</v>
      </c>
      <c r="AL2900">
        <v>-0.51</v>
      </c>
      <c r="AM2900">
        <v>1062</v>
      </c>
      <c r="AN2900">
        <v>43</v>
      </c>
      <c r="AO2900">
        <v>4.0000000000000002E-4</v>
      </c>
      <c r="AP2900">
        <v>-1</v>
      </c>
      <c r="AQ2900">
        <v>0.93</v>
      </c>
      <c r="AR2900">
        <v>-3.2</v>
      </c>
      <c r="AS2900">
        <v>5.21</v>
      </c>
      <c r="AT2900">
        <v>0.24</v>
      </c>
      <c r="AU2900">
        <v>-13.3</v>
      </c>
      <c r="AV2900">
        <v>1</v>
      </c>
      <c r="AW2900">
        <v>0.83</v>
      </c>
      <c r="AX2900">
        <v>53.66</v>
      </c>
      <c r="AY2900" t="s">
        <v>120</v>
      </c>
      <c r="AZ2900" t="s">
        <v>120</v>
      </c>
      <c r="BA2900">
        <v>0.48</v>
      </c>
      <c r="BB2900" t="s">
        <v>143</v>
      </c>
      <c r="BF2900">
        <v>-0.76</v>
      </c>
      <c r="BG2900">
        <v>-2.08</v>
      </c>
      <c r="BH2900">
        <v>-2.08</v>
      </c>
      <c r="BI2900">
        <v>0.24</v>
      </c>
      <c r="BJ2900">
        <v>20210910</v>
      </c>
      <c r="BK2900">
        <v>19930928</v>
      </c>
      <c r="BL2900">
        <v>10.28</v>
      </c>
      <c r="BM2900" t="s">
        <v>120</v>
      </c>
      <c r="BN2900" t="s">
        <v>120</v>
      </c>
      <c r="BO2900">
        <v>86.57</v>
      </c>
      <c r="BP2900">
        <v>4.24</v>
      </c>
      <c r="BQ2900">
        <v>55.94</v>
      </c>
      <c r="BR2900">
        <v>3.28</v>
      </c>
      <c r="BS2900">
        <v>31.6</v>
      </c>
      <c r="BT2900">
        <v>48.22</v>
      </c>
      <c r="BU2900">
        <v>21.79</v>
      </c>
      <c r="BV2900">
        <v>3</v>
      </c>
      <c r="BW2900">
        <v>20</v>
      </c>
      <c r="BX2900">
        <v>20.079999999999998</v>
      </c>
      <c r="BY2900">
        <v>8.4600000000000009</v>
      </c>
      <c r="BZ2900">
        <v>13.07</v>
      </c>
      <c r="CA2900">
        <v>0.48</v>
      </c>
      <c r="CB2900">
        <v>23.89</v>
      </c>
      <c r="CC2900">
        <v>39.39</v>
      </c>
      <c r="CD2900">
        <v>37.17</v>
      </c>
      <c r="CE2900">
        <v>0.24</v>
      </c>
      <c r="CF2900">
        <v>0.06</v>
      </c>
      <c r="CG2900">
        <v>0.28000000000000003</v>
      </c>
      <c r="CH2900">
        <v>0.02</v>
      </c>
      <c r="CI2900">
        <v>0.14000000000000001</v>
      </c>
      <c r="CJ2900">
        <v>-0.08</v>
      </c>
      <c r="CK2900">
        <v>-0.46</v>
      </c>
      <c r="CL2900">
        <v>17.489999999999998</v>
      </c>
      <c r="CM2900">
        <v>1.23</v>
      </c>
      <c r="CN2900">
        <v>0.3</v>
      </c>
      <c r="CO2900">
        <v>39897</v>
      </c>
      <c r="CP2900">
        <v>13833</v>
      </c>
      <c r="CQ2900" t="s">
        <v>6036</v>
      </c>
      <c r="CR2900">
        <v>109.08</v>
      </c>
      <c r="CS2900">
        <v>21.03</v>
      </c>
      <c r="CT2900">
        <v>0.78</v>
      </c>
      <c r="CU2900">
        <v>35.409999999999997</v>
      </c>
      <c r="CV2900">
        <v>1.1100000000000001</v>
      </c>
      <c r="CW2900">
        <v>0</v>
      </c>
      <c r="CX2900" t="s">
        <v>178</v>
      </c>
      <c r="CY2900">
        <v>5.44</v>
      </c>
      <c r="CZ2900">
        <v>0</v>
      </c>
      <c r="DA2900">
        <v>2.3199999999999998</v>
      </c>
      <c r="DB2900">
        <v>1.7</v>
      </c>
      <c r="DC2900">
        <v>0.12</v>
      </c>
      <c r="DD2900">
        <v>64.62</v>
      </c>
      <c r="DE2900" t="s">
        <v>7692</v>
      </c>
      <c r="DF2900">
        <v>5.63</v>
      </c>
      <c r="DG2900">
        <v>0.6</v>
      </c>
      <c r="DH2900">
        <v>0.36</v>
      </c>
      <c r="DI2900">
        <v>0.34</v>
      </c>
      <c r="DJ2900">
        <v>5251</v>
      </c>
      <c r="DK2900">
        <v>600676</v>
      </c>
      <c r="DL2900" t="s">
        <v>120</v>
      </c>
      <c r="DM2900" t="s">
        <v>120</v>
      </c>
      <c r="DN2900" t="s">
        <v>120</v>
      </c>
    </row>
    <row r="2901" spans="1:118">
      <c r="A2901" t="str">
        <f>"600678"</f>
        <v>600678</v>
      </c>
      <c r="B2901" t="s">
        <v>12841</v>
      </c>
      <c r="C2901">
        <v>10.050000000000001</v>
      </c>
      <c r="D2901">
        <v>0</v>
      </c>
      <c r="E2901">
        <v>2.78</v>
      </c>
      <c r="F2901">
        <v>3212</v>
      </c>
      <c r="G2901" t="s">
        <v>12842</v>
      </c>
      <c r="H2901">
        <v>34330.050000000003</v>
      </c>
      <c r="I2901">
        <v>156.61000000000001</v>
      </c>
      <c r="J2901">
        <v>380.21</v>
      </c>
      <c r="K2901" t="s">
        <v>1711</v>
      </c>
      <c r="L2901">
        <v>13.93</v>
      </c>
      <c r="M2901">
        <v>7.12</v>
      </c>
      <c r="N2901">
        <v>2.21</v>
      </c>
      <c r="O2901">
        <v>10.050000000000001</v>
      </c>
      <c r="P2901">
        <v>7.12</v>
      </c>
      <c r="Q2901">
        <v>2.4700000000000002</v>
      </c>
      <c r="R2901">
        <v>6.63</v>
      </c>
      <c r="S2901">
        <v>6.65</v>
      </c>
      <c r="T2901">
        <v>486187</v>
      </c>
      <c r="U2901" t="s">
        <v>120</v>
      </c>
      <c r="V2901">
        <v>6.47</v>
      </c>
      <c r="W2901">
        <v>26.58</v>
      </c>
      <c r="X2901" t="s">
        <v>653</v>
      </c>
      <c r="Y2901" t="s">
        <v>578</v>
      </c>
      <c r="Z2901">
        <v>7.57</v>
      </c>
      <c r="AA2901">
        <v>7.06</v>
      </c>
      <c r="AB2901">
        <v>302431</v>
      </c>
      <c r="AC2901">
        <v>183756</v>
      </c>
      <c r="AD2901">
        <v>1.65</v>
      </c>
      <c r="AE2901">
        <v>5340</v>
      </c>
      <c r="AF2901">
        <v>0</v>
      </c>
      <c r="AG2901" t="s">
        <v>120</v>
      </c>
      <c r="AH2901">
        <v>0.08</v>
      </c>
      <c r="AI2901">
        <v>0.01</v>
      </c>
      <c r="AJ2901">
        <v>3.49</v>
      </c>
      <c r="AK2901" t="s">
        <v>1711</v>
      </c>
      <c r="AL2901">
        <v>11.39</v>
      </c>
      <c r="AM2901">
        <v>2694</v>
      </c>
      <c r="AN2901">
        <v>180</v>
      </c>
      <c r="AO2901">
        <v>5.1999999999999998E-3</v>
      </c>
      <c r="AP2901">
        <v>2</v>
      </c>
      <c r="AQ2901">
        <v>2.0499999999999998</v>
      </c>
      <c r="AR2901">
        <v>7.07</v>
      </c>
      <c r="AS2901">
        <v>17.5</v>
      </c>
      <c r="AT2901">
        <v>28.52</v>
      </c>
      <c r="AU2901">
        <v>16.73</v>
      </c>
      <c r="AV2901">
        <v>1</v>
      </c>
      <c r="AW2901">
        <v>17.52</v>
      </c>
      <c r="AX2901">
        <v>79.5</v>
      </c>
      <c r="AY2901">
        <v>38.93</v>
      </c>
      <c r="AZ2901">
        <v>59.05</v>
      </c>
      <c r="BA2901">
        <v>0.78</v>
      </c>
      <c r="BB2901" t="s">
        <v>143</v>
      </c>
      <c r="BF2901">
        <v>9.14</v>
      </c>
      <c r="BG2901">
        <v>7.07</v>
      </c>
      <c r="BH2901">
        <v>0</v>
      </c>
      <c r="BI2901">
        <v>7.39</v>
      </c>
      <c r="BJ2901">
        <v>20210828</v>
      </c>
      <c r="BK2901">
        <v>19931008</v>
      </c>
      <c r="BL2901">
        <v>3.49</v>
      </c>
      <c r="BM2901" t="s">
        <v>120</v>
      </c>
      <c r="BN2901" t="s">
        <v>120</v>
      </c>
      <c r="BO2901">
        <v>5.45</v>
      </c>
      <c r="BP2901">
        <v>7.12</v>
      </c>
      <c r="BQ2901">
        <v>2.17</v>
      </c>
      <c r="BR2901">
        <v>0.02</v>
      </c>
      <c r="BS2901">
        <v>59.87</v>
      </c>
      <c r="BT2901">
        <v>0.79</v>
      </c>
      <c r="BU2901">
        <v>1.58</v>
      </c>
      <c r="BV2901">
        <v>0.76</v>
      </c>
      <c r="BW2901">
        <v>1.94</v>
      </c>
      <c r="BX2901">
        <v>0.37</v>
      </c>
      <c r="BY2901">
        <v>0.06</v>
      </c>
      <c r="BZ2901">
        <v>0</v>
      </c>
      <c r="CA2901">
        <v>7.0000000000000007E-2</v>
      </c>
      <c r="CB2901">
        <v>3.05</v>
      </c>
      <c r="CC2901">
        <v>1.88</v>
      </c>
      <c r="CD2901">
        <v>0.97</v>
      </c>
      <c r="CE2901">
        <v>0.64</v>
      </c>
      <c r="CF2901">
        <v>0</v>
      </c>
      <c r="CG2901">
        <v>0.64</v>
      </c>
      <c r="CH2901">
        <v>0.47</v>
      </c>
      <c r="CI2901">
        <v>0.47</v>
      </c>
      <c r="CJ2901">
        <v>0.65</v>
      </c>
      <c r="CK2901">
        <v>0.4</v>
      </c>
      <c r="CL2901">
        <v>-5</v>
      </c>
      <c r="CM2901">
        <v>0.39</v>
      </c>
      <c r="CN2901">
        <v>0.06</v>
      </c>
      <c r="CO2901">
        <v>47304</v>
      </c>
      <c r="CP2901">
        <v>5865</v>
      </c>
      <c r="CQ2901" t="s">
        <v>10936</v>
      </c>
      <c r="CR2901">
        <v>73.28</v>
      </c>
      <c r="CS2901">
        <v>61.04</v>
      </c>
      <c r="CT2901">
        <v>11.46</v>
      </c>
      <c r="CU2901">
        <v>63.52</v>
      </c>
      <c r="CV2901">
        <v>13.24</v>
      </c>
      <c r="CW2901">
        <v>0</v>
      </c>
      <c r="CX2901" t="s">
        <v>322</v>
      </c>
      <c r="CY2901">
        <v>0.62</v>
      </c>
      <c r="CZ2901">
        <v>0</v>
      </c>
      <c r="DA2901">
        <v>0.87</v>
      </c>
      <c r="DB2901">
        <v>-1.43</v>
      </c>
      <c r="DC2901">
        <v>0.11</v>
      </c>
      <c r="DD2901">
        <v>39.770000000000003</v>
      </c>
      <c r="DE2901" t="s">
        <v>12843</v>
      </c>
      <c r="DF2901">
        <v>48.12</v>
      </c>
      <c r="DG2901">
        <v>33.950000000000003</v>
      </c>
      <c r="DH2901">
        <v>24.9</v>
      </c>
      <c r="DI2901" t="s">
        <v>120</v>
      </c>
      <c r="DJ2901">
        <v>181</v>
      </c>
      <c r="DK2901">
        <v>600678</v>
      </c>
      <c r="DL2901" t="s">
        <v>120</v>
      </c>
      <c r="DM2901" t="s">
        <v>120</v>
      </c>
      <c r="DN2901" t="s">
        <v>120</v>
      </c>
    </row>
    <row r="2902" spans="1:118">
      <c r="A2902" t="str">
        <f>"600679"</f>
        <v>600679</v>
      </c>
      <c r="B2902" t="s">
        <v>12844</v>
      </c>
      <c r="C2902">
        <v>0.54</v>
      </c>
      <c r="D2902">
        <v>0</v>
      </c>
      <c r="E2902">
        <v>-0.09</v>
      </c>
      <c r="F2902">
        <v>60</v>
      </c>
      <c r="G2902" t="s">
        <v>10677</v>
      </c>
      <c r="H2902">
        <v>2104.9499999999998</v>
      </c>
      <c r="I2902">
        <v>13.54</v>
      </c>
      <c r="J2902" t="s">
        <v>120</v>
      </c>
      <c r="K2902" t="s">
        <v>12845</v>
      </c>
      <c r="L2902">
        <v>0.81</v>
      </c>
      <c r="M2902">
        <v>11.17</v>
      </c>
      <c r="N2902">
        <v>2</v>
      </c>
      <c r="O2902">
        <v>2.16</v>
      </c>
      <c r="P2902">
        <v>11.35</v>
      </c>
      <c r="Q2902">
        <v>-0.09</v>
      </c>
      <c r="R2902">
        <v>11.1</v>
      </c>
      <c r="S2902">
        <v>11.1</v>
      </c>
      <c r="T2902">
        <v>18728</v>
      </c>
      <c r="U2902">
        <v>11.17</v>
      </c>
      <c r="V2902">
        <v>11.11</v>
      </c>
      <c r="W2902">
        <v>46.27</v>
      </c>
      <c r="X2902" t="s">
        <v>213</v>
      </c>
      <c r="Y2902" t="s">
        <v>1510</v>
      </c>
      <c r="Z2902">
        <v>2.25</v>
      </c>
      <c r="AA2902">
        <v>11.24</v>
      </c>
      <c r="AB2902">
        <v>7757</v>
      </c>
      <c r="AC2902">
        <v>10971</v>
      </c>
      <c r="AD2902">
        <v>0.71</v>
      </c>
      <c r="AE2902">
        <v>7</v>
      </c>
      <c r="AF2902">
        <v>22</v>
      </c>
      <c r="AG2902" t="s">
        <v>120</v>
      </c>
      <c r="AH2902">
        <v>0.02</v>
      </c>
      <c r="AI2902" t="s">
        <v>120</v>
      </c>
      <c r="AJ2902">
        <v>2.31</v>
      </c>
      <c r="AK2902" t="s">
        <v>6786</v>
      </c>
      <c r="AL2902">
        <v>1.88</v>
      </c>
      <c r="AM2902">
        <v>961</v>
      </c>
      <c r="AN2902">
        <v>19</v>
      </c>
      <c r="AO2902">
        <v>8.0000000000000004E-4</v>
      </c>
      <c r="AP2902">
        <v>1</v>
      </c>
      <c r="AQ2902">
        <v>0</v>
      </c>
      <c r="AR2902">
        <v>0.18</v>
      </c>
      <c r="AS2902">
        <v>1.17</v>
      </c>
      <c r="AT2902">
        <v>-7.61</v>
      </c>
      <c r="AU2902">
        <v>-18.88</v>
      </c>
      <c r="AV2902">
        <v>3</v>
      </c>
      <c r="AW2902">
        <v>2.7</v>
      </c>
      <c r="AX2902">
        <v>13.45</v>
      </c>
      <c r="AY2902">
        <v>71.91</v>
      </c>
      <c r="AZ2902">
        <v>94.28</v>
      </c>
      <c r="BA2902">
        <v>0.64</v>
      </c>
      <c r="BB2902" t="s">
        <v>4676</v>
      </c>
      <c r="BF2902">
        <v>1.17</v>
      </c>
      <c r="BG2902">
        <v>0.63</v>
      </c>
      <c r="BH2902">
        <v>-1.59</v>
      </c>
      <c r="BI2902">
        <v>0.63</v>
      </c>
      <c r="BJ2902">
        <v>20210913</v>
      </c>
      <c r="BK2902">
        <v>19931008</v>
      </c>
      <c r="BL2902">
        <v>5.15</v>
      </c>
      <c r="BM2902">
        <v>1.72</v>
      </c>
      <c r="BN2902" t="s">
        <v>120</v>
      </c>
      <c r="BO2902">
        <v>31.85</v>
      </c>
      <c r="BP2902">
        <v>11.16</v>
      </c>
      <c r="BQ2902">
        <v>19.46</v>
      </c>
      <c r="BR2902">
        <v>0.2</v>
      </c>
      <c r="BS2902">
        <v>38.270000000000003</v>
      </c>
      <c r="BT2902">
        <v>14.45</v>
      </c>
      <c r="BU2902">
        <v>2.59</v>
      </c>
      <c r="BV2902">
        <v>1.31</v>
      </c>
      <c r="BW2902">
        <v>9.42</v>
      </c>
      <c r="BX2902">
        <v>5.79</v>
      </c>
      <c r="BY2902">
        <v>2.56</v>
      </c>
      <c r="BZ2902">
        <v>3.5</v>
      </c>
      <c r="CA2902">
        <v>0.06</v>
      </c>
      <c r="CB2902">
        <v>11.87</v>
      </c>
      <c r="CC2902">
        <v>11.77</v>
      </c>
      <c r="CD2902">
        <v>9.91</v>
      </c>
      <c r="CE2902">
        <v>0.8</v>
      </c>
      <c r="CF2902">
        <v>0.02</v>
      </c>
      <c r="CG2902">
        <v>0.79</v>
      </c>
      <c r="CH2902">
        <v>0.62</v>
      </c>
      <c r="CI2902">
        <v>0.62</v>
      </c>
      <c r="CJ2902">
        <v>0.06</v>
      </c>
      <c r="CK2902">
        <v>0.56999999999999995</v>
      </c>
      <c r="CL2902">
        <v>2.36</v>
      </c>
      <c r="CM2902">
        <v>0.42</v>
      </c>
      <c r="CN2902">
        <v>-0.17</v>
      </c>
      <c r="CO2902">
        <v>39517</v>
      </c>
      <c r="CP2902">
        <v>6096</v>
      </c>
      <c r="CQ2902" t="s">
        <v>6222</v>
      </c>
      <c r="CR2902">
        <v>43.62</v>
      </c>
      <c r="CS2902">
        <v>90.23</v>
      </c>
      <c r="CT2902">
        <v>2.67</v>
      </c>
      <c r="CU2902">
        <v>137.55000000000001</v>
      </c>
      <c r="CV2902">
        <v>4.8899999999999997</v>
      </c>
      <c r="CW2902">
        <v>0.33</v>
      </c>
      <c r="CX2902" t="s">
        <v>986</v>
      </c>
      <c r="CY2902">
        <v>4.18</v>
      </c>
      <c r="CZ2902">
        <v>4.18</v>
      </c>
      <c r="DA2902">
        <v>2.2999999999999998</v>
      </c>
      <c r="DB2902">
        <v>0.46</v>
      </c>
      <c r="DC2902">
        <v>0.08</v>
      </c>
      <c r="DD2902">
        <v>61.09</v>
      </c>
      <c r="DE2902" t="s">
        <v>301</v>
      </c>
      <c r="DF2902">
        <v>15.83</v>
      </c>
      <c r="DG2902">
        <v>6.76</v>
      </c>
      <c r="DH2902">
        <v>5.28</v>
      </c>
      <c r="DI2902">
        <v>0.09</v>
      </c>
      <c r="DJ2902">
        <v>1032</v>
      </c>
      <c r="DK2902">
        <v>600679</v>
      </c>
      <c r="DL2902" t="s">
        <v>120</v>
      </c>
      <c r="DM2902" t="s">
        <v>120</v>
      </c>
      <c r="DN2902" t="s">
        <v>120</v>
      </c>
    </row>
    <row r="2903" spans="1:118">
      <c r="A2903" t="str">
        <f>"600681"</f>
        <v>600681</v>
      </c>
      <c r="B2903" t="s">
        <v>12846</v>
      </c>
      <c r="C2903">
        <v>-2.61</v>
      </c>
      <c r="D2903">
        <v>-0.16</v>
      </c>
      <c r="E2903">
        <v>0.65</v>
      </c>
      <c r="F2903">
        <v>3299</v>
      </c>
      <c r="G2903" t="s">
        <v>12847</v>
      </c>
      <c r="H2903">
        <v>21254.95</v>
      </c>
      <c r="I2903">
        <v>176.44</v>
      </c>
      <c r="J2903" t="s">
        <v>120</v>
      </c>
      <c r="K2903" t="s">
        <v>12848</v>
      </c>
      <c r="L2903">
        <v>2.52</v>
      </c>
      <c r="M2903">
        <v>5.98</v>
      </c>
      <c r="N2903">
        <v>0.7</v>
      </c>
      <c r="O2903">
        <v>3.42</v>
      </c>
      <c r="P2903">
        <v>6.35</v>
      </c>
      <c r="Q2903">
        <v>-2.61</v>
      </c>
      <c r="R2903">
        <v>5.98</v>
      </c>
      <c r="S2903">
        <v>6.18</v>
      </c>
      <c r="T2903">
        <v>343410</v>
      </c>
      <c r="U2903">
        <v>5.98</v>
      </c>
      <c r="V2903">
        <v>6.14</v>
      </c>
      <c r="W2903">
        <v>11.89</v>
      </c>
      <c r="X2903" t="s">
        <v>684</v>
      </c>
      <c r="Y2903" t="s">
        <v>763</v>
      </c>
      <c r="Z2903">
        <v>6.03</v>
      </c>
      <c r="AA2903">
        <v>6.19</v>
      </c>
      <c r="AB2903">
        <v>187939</v>
      </c>
      <c r="AC2903">
        <v>155471</v>
      </c>
      <c r="AD2903">
        <v>1.21</v>
      </c>
      <c r="AE2903">
        <v>659</v>
      </c>
      <c r="AF2903">
        <v>653</v>
      </c>
      <c r="AG2903" t="s">
        <v>120</v>
      </c>
      <c r="AH2903">
        <v>0.08</v>
      </c>
      <c r="AI2903" t="s">
        <v>120</v>
      </c>
      <c r="AJ2903">
        <v>13.61</v>
      </c>
      <c r="AK2903" t="s">
        <v>12849</v>
      </c>
      <c r="AL2903">
        <v>-1.26</v>
      </c>
      <c r="AM2903">
        <v>3320</v>
      </c>
      <c r="AN2903">
        <v>103</v>
      </c>
      <c r="AO2903">
        <v>8.0000000000000004E-4</v>
      </c>
      <c r="AP2903">
        <v>-3</v>
      </c>
      <c r="AQ2903">
        <v>-1.1299999999999999</v>
      </c>
      <c r="AR2903">
        <v>-6.12</v>
      </c>
      <c r="AS2903">
        <v>28.05</v>
      </c>
      <c r="AT2903">
        <v>33.78</v>
      </c>
      <c r="AU2903">
        <v>31.14</v>
      </c>
      <c r="AV2903">
        <v>2</v>
      </c>
      <c r="AW2903">
        <v>10.199999999999999</v>
      </c>
      <c r="AX2903">
        <v>24.69</v>
      </c>
      <c r="AY2903">
        <v>16.11</v>
      </c>
      <c r="AZ2903">
        <v>16.489999999999998</v>
      </c>
      <c r="BA2903">
        <v>0.91</v>
      </c>
      <c r="BB2903" t="s">
        <v>143</v>
      </c>
      <c r="BF2903">
        <v>0.8</v>
      </c>
      <c r="BG2903">
        <v>-3.24</v>
      </c>
      <c r="BH2903">
        <v>-5.83</v>
      </c>
      <c r="BI2903">
        <v>0</v>
      </c>
      <c r="BJ2903">
        <v>20210803</v>
      </c>
      <c r="BK2903">
        <v>19931018</v>
      </c>
      <c r="BL2903">
        <v>13.63</v>
      </c>
      <c r="BM2903" t="s">
        <v>120</v>
      </c>
      <c r="BN2903" t="s">
        <v>120</v>
      </c>
      <c r="BO2903">
        <v>77.72</v>
      </c>
      <c r="BP2903">
        <v>5.97</v>
      </c>
      <c r="BQ2903">
        <v>39.86</v>
      </c>
      <c r="BR2903">
        <v>1.43</v>
      </c>
      <c r="BS2903">
        <v>46.87</v>
      </c>
      <c r="BT2903">
        <v>16.73</v>
      </c>
      <c r="BU2903">
        <v>34.35</v>
      </c>
      <c r="BV2903">
        <v>7.26</v>
      </c>
      <c r="BW2903">
        <v>21.62</v>
      </c>
      <c r="BX2903">
        <v>4.8899999999999997</v>
      </c>
      <c r="BY2903">
        <v>3.16</v>
      </c>
      <c r="BZ2903">
        <v>6.55</v>
      </c>
      <c r="CA2903" t="s">
        <v>120</v>
      </c>
      <c r="CB2903">
        <v>4.9400000000000004</v>
      </c>
      <c r="CC2903">
        <v>24.46</v>
      </c>
      <c r="CD2903">
        <v>18.63</v>
      </c>
      <c r="CE2903">
        <v>4.7</v>
      </c>
      <c r="CF2903">
        <v>0.03</v>
      </c>
      <c r="CG2903">
        <v>4.6900000000000004</v>
      </c>
      <c r="CH2903">
        <v>3.57</v>
      </c>
      <c r="CI2903">
        <v>3.43</v>
      </c>
      <c r="CJ2903">
        <v>-0.16</v>
      </c>
      <c r="CK2903">
        <v>3.33</v>
      </c>
      <c r="CL2903">
        <v>22.51</v>
      </c>
      <c r="CM2903">
        <v>1.22</v>
      </c>
      <c r="CN2903">
        <v>-2.2400000000000002</v>
      </c>
      <c r="CO2903">
        <v>24897</v>
      </c>
      <c r="CP2903">
        <v>13518</v>
      </c>
      <c r="CQ2903" t="s">
        <v>7890</v>
      </c>
      <c r="CR2903">
        <v>3.68</v>
      </c>
      <c r="CS2903">
        <v>9.6199999999999992</v>
      </c>
      <c r="CT2903">
        <v>2.04</v>
      </c>
      <c r="CU2903">
        <v>66.650000000000006</v>
      </c>
      <c r="CV2903">
        <v>3.33</v>
      </c>
      <c r="CW2903">
        <v>8.3000000000000007</v>
      </c>
      <c r="CX2903" t="s">
        <v>863</v>
      </c>
      <c r="CY2903">
        <v>2.92</v>
      </c>
      <c r="CZ2903">
        <v>0</v>
      </c>
      <c r="DA2903">
        <v>0.36</v>
      </c>
      <c r="DB2903">
        <v>1.65</v>
      </c>
      <c r="DC2903">
        <v>0.09</v>
      </c>
      <c r="DD2903">
        <v>51.29</v>
      </c>
      <c r="DE2903" t="s">
        <v>4808</v>
      </c>
      <c r="DF2903">
        <v>23.82</v>
      </c>
      <c r="DG2903">
        <v>19.2</v>
      </c>
      <c r="DH2903">
        <v>14.02</v>
      </c>
      <c r="DI2903">
        <v>0.02</v>
      </c>
      <c r="DJ2903">
        <v>1833</v>
      </c>
      <c r="DK2903">
        <v>600681</v>
      </c>
      <c r="DL2903" t="s">
        <v>120</v>
      </c>
      <c r="DM2903" t="s">
        <v>120</v>
      </c>
      <c r="DN2903" t="s">
        <v>120</v>
      </c>
    </row>
    <row r="2904" spans="1:118">
      <c r="A2904" t="str">
        <f>"600682"</f>
        <v>600682</v>
      </c>
      <c r="B2904" t="s">
        <v>12850</v>
      </c>
      <c r="C2904">
        <v>-2.06</v>
      </c>
      <c r="D2904">
        <v>0.1</v>
      </c>
      <c r="E2904">
        <v>-0.2</v>
      </c>
      <c r="F2904">
        <v>662</v>
      </c>
      <c r="G2904" t="s">
        <v>12851</v>
      </c>
      <c r="H2904">
        <v>7592.1</v>
      </c>
      <c r="I2904">
        <v>6.3</v>
      </c>
      <c r="J2904" t="s">
        <v>120</v>
      </c>
      <c r="K2904" t="s">
        <v>12852</v>
      </c>
      <c r="L2904">
        <v>0.65</v>
      </c>
      <c r="M2904">
        <v>9.9700000000000006</v>
      </c>
      <c r="N2904">
        <v>1.04</v>
      </c>
      <c r="O2904">
        <v>1.18</v>
      </c>
      <c r="P2904">
        <v>10.3</v>
      </c>
      <c r="Q2904">
        <v>-2.36</v>
      </c>
      <c r="R2904">
        <v>9.94</v>
      </c>
      <c r="S2904">
        <v>10.16</v>
      </c>
      <c r="T2904">
        <v>75313</v>
      </c>
      <c r="U2904">
        <v>9.9700000000000006</v>
      </c>
      <c r="V2904">
        <v>10.18</v>
      </c>
      <c r="W2904">
        <v>10.88</v>
      </c>
      <c r="X2904" t="s">
        <v>735</v>
      </c>
      <c r="Y2904" t="s">
        <v>319</v>
      </c>
      <c r="Z2904">
        <v>3.54</v>
      </c>
      <c r="AA2904">
        <v>10.08</v>
      </c>
      <c r="AB2904">
        <v>45950</v>
      </c>
      <c r="AC2904">
        <v>29363</v>
      </c>
      <c r="AD2904">
        <v>1.56</v>
      </c>
      <c r="AE2904">
        <v>272</v>
      </c>
      <c r="AF2904">
        <v>644</v>
      </c>
      <c r="AG2904" t="s">
        <v>120</v>
      </c>
      <c r="AH2904">
        <v>0</v>
      </c>
      <c r="AI2904" t="s">
        <v>120</v>
      </c>
      <c r="AJ2904">
        <v>11.65</v>
      </c>
      <c r="AK2904" t="s">
        <v>12853</v>
      </c>
      <c r="AL2904">
        <v>-0.72</v>
      </c>
      <c r="AM2904">
        <v>2123</v>
      </c>
      <c r="AN2904">
        <v>35</v>
      </c>
      <c r="AO2904">
        <v>2.9999999999999997E-4</v>
      </c>
      <c r="AP2904">
        <v>-1</v>
      </c>
      <c r="AQ2904">
        <v>0.49</v>
      </c>
      <c r="AR2904">
        <v>-3.95</v>
      </c>
      <c r="AS2904">
        <v>4.84</v>
      </c>
      <c r="AT2904">
        <v>0.71</v>
      </c>
      <c r="AU2904">
        <v>-11.3</v>
      </c>
      <c r="AV2904">
        <v>3</v>
      </c>
      <c r="AW2904">
        <v>1.17</v>
      </c>
      <c r="AX2904">
        <v>47.91</v>
      </c>
      <c r="AY2904">
        <v>14.55</v>
      </c>
      <c r="AZ2904">
        <v>18.23</v>
      </c>
      <c r="BA2904">
        <v>0.31</v>
      </c>
      <c r="BB2904" t="s">
        <v>143</v>
      </c>
      <c r="BF2904">
        <v>-0.98</v>
      </c>
      <c r="BG2904">
        <v>-1.87</v>
      </c>
      <c r="BH2904">
        <v>-3.2</v>
      </c>
      <c r="BI2904">
        <v>0.3</v>
      </c>
      <c r="BJ2904">
        <v>20210831</v>
      </c>
      <c r="BK2904">
        <v>19931018</v>
      </c>
      <c r="BL2904">
        <v>13.46</v>
      </c>
      <c r="BM2904" t="s">
        <v>120</v>
      </c>
      <c r="BN2904" t="s">
        <v>120</v>
      </c>
      <c r="BO2904">
        <v>246.67</v>
      </c>
      <c r="BP2904">
        <v>9.9600000000000009</v>
      </c>
      <c r="BQ2904">
        <v>166.4</v>
      </c>
      <c r="BR2904" t="s">
        <v>120</v>
      </c>
      <c r="BS2904">
        <v>32.54</v>
      </c>
      <c r="BT2904">
        <v>98.84</v>
      </c>
      <c r="BU2904">
        <v>17.239999999999998</v>
      </c>
      <c r="BV2904">
        <v>25.74</v>
      </c>
      <c r="BW2904">
        <v>61.53</v>
      </c>
      <c r="BX2904">
        <v>59.82</v>
      </c>
      <c r="BY2904">
        <v>5.16</v>
      </c>
      <c r="BZ2904">
        <v>11.31</v>
      </c>
      <c r="CA2904">
        <v>0.14000000000000001</v>
      </c>
      <c r="CB2904">
        <v>102.61</v>
      </c>
      <c r="CC2904">
        <v>30</v>
      </c>
      <c r="CD2904">
        <v>12.77</v>
      </c>
      <c r="CE2904">
        <v>8.24</v>
      </c>
      <c r="CF2904">
        <v>0.02</v>
      </c>
      <c r="CG2904">
        <v>8.2200000000000006</v>
      </c>
      <c r="CH2904">
        <v>6.93</v>
      </c>
      <c r="CI2904">
        <v>6.17</v>
      </c>
      <c r="CJ2904">
        <v>-0.21</v>
      </c>
      <c r="CK2904">
        <v>6.16</v>
      </c>
      <c r="CL2904">
        <v>48.63</v>
      </c>
      <c r="CM2904">
        <v>7.05</v>
      </c>
      <c r="CN2904">
        <v>-11.95</v>
      </c>
      <c r="CO2904">
        <v>40390</v>
      </c>
      <c r="CP2904">
        <v>15967</v>
      </c>
      <c r="CQ2904" t="s">
        <v>10012</v>
      </c>
      <c r="CR2904">
        <v>44.51</v>
      </c>
      <c r="CS2904">
        <v>13.68</v>
      </c>
      <c r="CT2904">
        <v>0.81</v>
      </c>
      <c r="CU2904">
        <v>19.02</v>
      </c>
      <c r="CV2904">
        <v>4.47</v>
      </c>
      <c r="CW2904">
        <v>0.2</v>
      </c>
      <c r="CX2904" t="s">
        <v>1631</v>
      </c>
      <c r="CY2904">
        <v>12.36</v>
      </c>
      <c r="CZ2904">
        <v>0</v>
      </c>
      <c r="DA2904">
        <v>7.62</v>
      </c>
      <c r="DB2904">
        <v>3.61</v>
      </c>
      <c r="DC2904">
        <v>0.52</v>
      </c>
      <c r="DD2904">
        <v>67.459999999999994</v>
      </c>
      <c r="DE2904" t="s">
        <v>3172</v>
      </c>
      <c r="DF2904">
        <v>57.42</v>
      </c>
      <c r="DG2904">
        <v>27.46</v>
      </c>
      <c r="DH2904">
        <v>20.56</v>
      </c>
      <c r="DI2904">
        <v>1.04</v>
      </c>
      <c r="DJ2904">
        <v>16356</v>
      </c>
      <c r="DK2904">
        <v>600682</v>
      </c>
      <c r="DL2904" t="s">
        <v>120</v>
      </c>
      <c r="DM2904" t="s">
        <v>120</v>
      </c>
      <c r="DN2904" t="s">
        <v>120</v>
      </c>
    </row>
    <row r="2905" spans="1:118">
      <c r="A2905" t="str">
        <f>"600683"</f>
        <v>600683</v>
      </c>
      <c r="B2905" t="s">
        <v>12854</v>
      </c>
      <c r="C2905">
        <v>8.59</v>
      </c>
      <c r="D2905">
        <v>-0.4</v>
      </c>
      <c r="E2905">
        <v>1.78</v>
      </c>
      <c r="F2905">
        <v>13894</v>
      </c>
      <c r="G2905" t="s">
        <v>5736</v>
      </c>
      <c r="H2905">
        <v>65602.210000000006</v>
      </c>
      <c r="I2905">
        <v>996.18</v>
      </c>
      <c r="J2905" t="s">
        <v>120</v>
      </c>
      <c r="K2905" t="s">
        <v>12855</v>
      </c>
      <c r="L2905">
        <v>12.31</v>
      </c>
      <c r="M2905">
        <v>7.33</v>
      </c>
      <c r="N2905">
        <v>1.27</v>
      </c>
      <c r="O2905">
        <v>10.07</v>
      </c>
      <c r="P2905">
        <v>7.43</v>
      </c>
      <c r="Q2905">
        <v>-2.0699999999999998</v>
      </c>
      <c r="R2905">
        <v>6.61</v>
      </c>
      <c r="S2905">
        <v>6.87</v>
      </c>
      <c r="T2905">
        <v>912048</v>
      </c>
      <c r="U2905">
        <v>7.33</v>
      </c>
      <c r="V2905">
        <v>6.75</v>
      </c>
      <c r="W2905">
        <v>16.850000000000001</v>
      </c>
      <c r="X2905" t="s">
        <v>150</v>
      </c>
      <c r="Y2905" t="s">
        <v>585</v>
      </c>
      <c r="Z2905">
        <v>12.15</v>
      </c>
      <c r="AA2905">
        <v>7.19</v>
      </c>
      <c r="AB2905">
        <v>510418</v>
      </c>
      <c r="AC2905">
        <v>401630</v>
      </c>
      <c r="AD2905">
        <v>1.27</v>
      </c>
      <c r="AE2905">
        <v>21</v>
      </c>
      <c r="AF2905">
        <v>1985</v>
      </c>
      <c r="AG2905" t="s">
        <v>120</v>
      </c>
      <c r="AH2905">
        <v>0.47</v>
      </c>
      <c r="AI2905" t="s">
        <v>120</v>
      </c>
      <c r="AJ2905">
        <v>7.41</v>
      </c>
      <c r="AK2905" t="s">
        <v>12855</v>
      </c>
      <c r="AL2905">
        <v>9.94</v>
      </c>
      <c r="AM2905">
        <v>3259</v>
      </c>
      <c r="AN2905">
        <v>280</v>
      </c>
      <c r="AO2905">
        <v>3.8E-3</v>
      </c>
      <c r="AP2905">
        <v>1</v>
      </c>
      <c r="AQ2905">
        <v>-0.74</v>
      </c>
      <c r="AR2905">
        <v>-0.14000000000000001</v>
      </c>
      <c r="AS2905">
        <v>111.85</v>
      </c>
      <c r="AT2905">
        <v>94.95</v>
      </c>
      <c r="AU2905">
        <v>94.95</v>
      </c>
      <c r="AV2905">
        <v>9</v>
      </c>
      <c r="AW2905">
        <v>29.87</v>
      </c>
      <c r="AX2905">
        <v>41.22</v>
      </c>
      <c r="AY2905">
        <v>9.16</v>
      </c>
      <c r="AZ2905">
        <v>10.06</v>
      </c>
      <c r="BA2905">
        <v>1.18</v>
      </c>
      <c r="BB2905" t="s">
        <v>341</v>
      </c>
      <c r="BF2905">
        <v>6.56</v>
      </c>
      <c r="BG2905">
        <v>6.7</v>
      </c>
      <c r="BH2905">
        <v>-1.35</v>
      </c>
      <c r="BI2905">
        <v>10.89</v>
      </c>
      <c r="BJ2905">
        <v>20210827</v>
      </c>
      <c r="BK2905">
        <v>19931025</v>
      </c>
      <c r="BL2905">
        <v>7.41</v>
      </c>
      <c r="BM2905" t="s">
        <v>120</v>
      </c>
      <c r="BN2905" t="s">
        <v>120</v>
      </c>
      <c r="BO2905">
        <v>482.93</v>
      </c>
      <c r="BP2905">
        <v>7.32</v>
      </c>
      <c r="BQ2905">
        <v>61.98</v>
      </c>
      <c r="BR2905">
        <v>20.59</v>
      </c>
      <c r="BS2905">
        <v>82.9</v>
      </c>
      <c r="BT2905">
        <v>369.22</v>
      </c>
      <c r="BU2905">
        <v>0.74</v>
      </c>
      <c r="BV2905">
        <v>0.38</v>
      </c>
      <c r="BW2905">
        <v>236.28</v>
      </c>
      <c r="BX2905">
        <v>34.33</v>
      </c>
      <c r="BY2905">
        <v>316.04000000000002</v>
      </c>
      <c r="BZ2905">
        <v>0.41</v>
      </c>
      <c r="CA2905">
        <v>0.05</v>
      </c>
      <c r="CB2905">
        <v>3.28</v>
      </c>
      <c r="CC2905">
        <v>20.420000000000002</v>
      </c>
      <c r="CD2905">
        <v>13.92</v>
      </c>
      <c r="CE2905">
        <v>3.1</v>
      </c>
      <c r="CF2905">
        <v>1.05</v>
      </c>
      <c r="CG2905">
        <v>2.99</v>
      </c>
      <c r="CH2905">
        <v>2</v>
      </c>
      <c r="CI2905">
        <v>1.61</v>
      </c>
      <c r="CJ2905">
        <v>0.57999999999999996</v>
      </c>
      <c r="CK2905">
        <v>1.05</v>
      </c>
      <c r="CL2905">
        <v>15.18</v>
      </c>
      <c r="CM2905">
        <v>37.43</v>
      </c>
      <c r="CN2905">
        <v>-14.59</v>
      </c>
      <c r="CO2905">
        <v>22018</v>
      </c>
      <c r="CP2905">
        <v>13868</v>
      </c>
      <c r="CQ2905" t="s">
        <v>7709</v>
      </c>
      <c r="CR2905">
        <v>43.83</v>
      </c>
      <c r="CS2905">
        <v>-0.31</v>
      </c>
      <c r="CT2905">
        <v>1.7</v>
      </c>
      <c r="CU2905">
        <v>1.45</v>
      </c>
      <c r="CV2905">
        <v>2.66</v>
      </c>
      <c r="CW2905">
        <v>3.7</v>
      </c>
      <c r="CX2905" t="s">
        <v>411</v>
      </c>
      <c r="CY2905">
        <v>4.32</v>
      </c>
      <c r="CZ2905">
        <v>4.32</v>
      </c>
      <c r="DA2905">
        <v>0.44</v>
      </c>
      <c r="DB2905">
        <v>2.0499999999999998</v>
      </c>
      <c r="DC2905">
        <v>5.05</v>
      </c>
      <c r="DD2905">
        <v>12.83</v>
      </c>
      <c r="DE2905" t="s">
        <v>3597</v>
      </c>
      <c r="DF2905">
        <v>31.83</v>
      </c>
      <c r="DG2905">
        <v>15.19</v>
      </c>
      <c r="DH2905">
        <v>7.89</v>
      </c>
      <c r="DI2905" t="s">
        <v>120</v>
      </c>
      <c r="DJ2905">
        <v>513</v>
      </c>
      <c r="DK2905">
        <v>600683</v>
      </c>
      <c r="DL2905">
        <v>20210906</v>
      </c>
      <c r="DM2905">
        <v>4.8499999999999996</v>
      </c>
      <c r="DN2905">
        <v>51.13</v>
      </c>
    </row>
    <row r="2906" spans="1:118">
      <c r="A2906" t="str">
        <f>"600684"</f>
        <v>600684</v>
      </c>
      <c r="B2906" t="s">
        <v>12856</v>
      </c>
      <c r="C2906">
        <v>-2.5299999999999998</v>
      </c>
      <c r="D2906">
        <v>0</v>
      </c>
      <c r="E2906">
        <v>0.28000000000000003</v>
      </c>
      <c r="F2906">
        <v>1892</v>
      </c>
      <c r="G2906" t="s">
        <v>12857</v>
      </c>
      <c r="H2906">
        <v>4401.55</v>
      </c>
      <c r="I2906">
        <v>27.63</v>
      </c>
      <c r="J2906" t="s">
        <v>120</v>
      </c>
      <c r="K2906" t="s">
        <v>12858</v>
      </c>
      <c r="L2906">
        <v>1.46</v>
      </c>
      <c r="M2906">
        <v>3.47</v>
      </c>
      <c r="N2906">
        <v>0.79</v>
      </c>
      <c r="O2906">
        <v>1.4</v>
      </c>
      <c r="P2906">
        <v>3.61</v>
      </c>
      <c r="Q2906">
        <v>-2.81</v>
      </c>
      <c r="R2906">
        <v>3.46</v>
      </c>
      <c r="S2906">
        <v>3.57</v>
      </c>
      <c r="T2906">
        <v>124711</v>
      </c>
      <c r="U2906">
        <v>3.48</v>
      </c>
      <c r="V2906">
        <v>3.56</v>
      </c>
      <c r="W2906">
        <v>4.32</v>
      </c>
      <c r="X2906" t="s">
        <v>132</v>
      </c>
      <c r="Y2906" t="s">
        <v>547</v>
      </c>
      <c r="Z2906">
        <v>4.21</v>
      </c>
      <c r="AA2906">
        <v>3.53</v>
      </c>
      <c r="AB2906">
        <v>76329</v>
      </c>
      <c r="AC2906">
        <v>48382</v>
      </c>
      <c r="AD2906">
        <v>1.58</v>
      </c>
      <c r="AE2906">
        <v>57</v>
      </c>
      <c r="AF2906">
        <v>566</v>
      </c>
      <c r="AG2906" t="s">
        <v>120</v>
      </c>
      <c r="AH2906">
        <v>0.01</v>
      </c>
      <c r="AI2906" t="s">
        <v>120</v>
      </c>
      <c r="AJ2906">
        <v>8.5299999999999994</v>
      </c>
      <c r="AK2906" t="s">
        <v>12858</v>
      </c>
      <c r="AL2906">
        <v>-1.18</v>
      </c>
      <c r="AM2906">
        <v>1470</v>
      </c>
      <c r="AN2906">
        <v>85</v>
      </c>
      <c r="AO2906">
        <v>1E-3</v>
      </c>
      <c r="AP2906">
        <v>-1</v>
      </c>
      <c r="AQ2906">
        <v>0</v>
      </c>
      <c r="AR2906">
        <v>-6.21</v>
      </c>
      <c r="AS2906">
        <v>2.06</v>
      </c>
      <c r="AT2906">
        <v>-6.21</v>
      </c>
      <c r="AU2906">
        <v>15.67</v>
      </c>
      <c r="AV2906">
        <v>8</v>
      </c>
      <c r="AW2906">
        <v>2.27</v>
      </c>
      <c r="AX2906">
        <v>64.38</v>
      </c>
      <c r="AY2906" t="s">
        <v>120</v>
      </c>
      <c r="AZ2906" t="s">
        <v>120</v>
      </c>
      <c r="BA2906">
        <v>1.26</v>
      </c>
      <c r="BB2906" t="s">
        <v>240</v>
      </c>
      <c r="BF2906">
        <v>-0.86</v>
      </c>
      <c r="BG2906">
        <v>-2.8</v>
      </c>
      <c r="BH2906">
        <v>-3.88</v>
      </c>
      <c r="BI2906">
        <v>0.28999999999999998</v>
      </c>
      <c r="BJ2906">
        <v>20210826</v>
      </c>
      <c r="BK2906">
        <v>19931028</v>
      </c>
      <c r="BL2906">
        <v>8.5299999999999994</v>
      </c>
      <c r="BM2906" t="s">
        <v>120</v>
      </c>
      <c r="BN2906" t="s">
        <v>120</v>
      </c>
      <c r="BO2906">
        <v>309.38</v>
      </c>
      <c r="BP2906">
        <v>3.47</v>
      </c>
      <c r="BQ2906">
        <v>24.51</v>
      </c>
      <c r="BR2906">
        <v>10.09</v>
      </c>
      <c r="BS2906">
        <v>88.82</v>
      </c>
      <c r="BT2906">
        <v>290.36</v>
      </c>
      <c r="BU2906">
        <v>2.59</v>
      </c>
      <c r="BV2906">
        <v>0.02</v>
      </c>
      <c r="BW2906">
        <v>189.36</v>
      </c>
      <c r="BX2906">
        <v>36</v>
      </c>
      <c r="BY2906">
        <v>217.04</v>
      </c>
      <c r="BZ2906">
        <v>0.34</v>
      </c>
      <c r="CA2906" t="s">
        <v>120</v>
      </c>
      <c r="CB2906">
        <v>0.11</v>
      </c>
      <c r="CC2906">
        <v>21.13</v>
      </c>
      <c r="CD2906">
        <v>10.73</v>
      </c>
      <c r="CE2906">
        <v>4.38</v>
      </c>
      <c r="CF2906">
        <v>-0.15</v>
      </c>
      <c r="CG2906">
        <v>4.38</v>
      </c>
      <c r="CH2906">
        <v>3.12</v>
      </c>
      <c r="CI2906">
        <v>3.43</v>
      </c>
      <c r="CJ2906">
        <v>-0.09</v>
      </c>
      <c r="CK2906">
        <v>3.37</v>
      </c>
      <c r="CL2906">
        <v>13.61</v>
      </c>
      <c r="CM2906">
        <v>-4.0599999999999996</v>
      </c>
      <c r="CN2906">
        <v>-6.82</v>
      </c>
      <c r="CO2906">
        <v>44929</v>
      </c>
      <c r="CP2906">
        <v>12230</v>
      </c>
      <c r="CQ2906" t="s">
        <v>11462</v>
      </c>
      <c r="CR2906">
        <v>1436.93</v>
      </c>
      <c r="CS2906">
        <v>44.87</v>
      </c>
      <c r="CT2906">
        <v>1.21</v>
      </c>
      <c r="CU2906">
        <v>-7.3</v>
      </c>
      <c r="CV2906">
        <v>1.4</v>
      </c>
      <c r="CW2906">
        <v>0</v>
      </c>
      <c r="CX2906" t="s">
        <v>3527</v>
      </c>
      <c r="CY2906">
        <v>2.87</v>
      </c>
      <c r="CZ2906">
        <v>0</v>
      </c>
      <c r="DA2906">
        <v>0.01</v>
      </c>
      <c r="DB2906">
        <v>1.59</v>
      </c>
      <c r="DC2906">
        <v>-0.48</v>
      </c>
      <c r="DD2906">
        <v>7.92</v>
      </c>
      <c r="DE2906" t="s">
        <v>12859</v>
      </c>
      <c r="DF2906">
        <v>49.2</v>
      </c>
      <c r="DG2906">
        <v>20.74</v>
      </c>
      <c r="DH2906">
        <v>16.21</v>
      </c>
      <c r="DI2906" t="s">
        <v>120</v>
      </c>
      <c r="DJ2906">
        <v>1057</v>
      </c>
      <c r="DK2906">
        <v>600684</v>
      </c>
      <c r="DL2906" t="s">
        <v>120</v>
      </c>
      <c r="DM2906" t="s">
        <v>120</v>
      </c>
      <c r="DN2906" t="s">
        <v>120</v>
      </c>
    </row>
    <row r="2907" spans="1:118">
      <c r="A2907" t="str">
        <f>"600685"</f>
        <v>600685</v>
      </c>
      <c r="B2907" t="s">
        <v>12860</v>
      </c>
      <c r="C2907">
        <v>-2.4300000000000002</v>
      </c>
      <c r="D2907">
        <v>-0.04</v>
      </c>
      <c r="E2907">
        <v>0.56000000000000005</v>
      </c>
      <c r="F2907">
        <v>1084</v>
      </c>
      <c r="G2907" t="s">
        <v>12861</v>
      </c>
      <c r="H2907">
        <v>25658.54</v>
      </c>
      <c r="I2907">
        <v>35.54</v>
      </c>
      <c r="J2907" t="s">
        <v>120</v>
      </c>
      <c r="K2907" t="s">
        <v>12862</v>
      </c>
      <c r="L2907">
        <v>1.47</v>
      </c>
      <c r="M2907">
        <v>20.9</v>
      </c>
      <c r="N2907">
        <v>0.6</v>
      </c>
      <c r="O2907">
        <v>1.59</v>
      </c>
      <c r="P2907">
        <v>21.76</v>
      </c>
      <c r="Q2907">
        <v>-2.4300000000000002</v>
      </c>
      <c r="R2907">
        <v>20.9</v>
      </c>
      <c r="S2907">
        <v>21.54</v>
      </c>
      <c r="T2907">
        <v>120589</v>
      </c>
      <c r="U2907">
        <v>20.91</v>
      </c>
      <c r="V2907">
        <v>21.42</v>
      </c>
      <c r="W2907" t="s">
        <v>120</v>
      </c>
      <c r="X2907" t="s">
        <v>7408</v>
      </c>
      <c r="Y2907" t="s">
        <v>547</v>
      </c>
      <c r="Z2907">
        <v>4.01</v>
      </c>
      <c r="AA2907">
        <v>21.28</v>
      </c>
      <c r="AB2907">
        <v>66879</v>
      </c>
      <c r="AC2907">
        <v>53710</v>
      </c>
      <c r="AD2907">
        <v>1.25</v>
      </c>
      <c r="AE2907">
        <v>652</v>
      </c>
      <c r="AF2907">
        <v>146</v>
      </c>
      <c r="AG2907" t="s">
        <v>120</v>
      </c>
      <c r="AH2907">
        <v>0</v>
      </c>
      <c r="AI2907" t="s">
        <v>120</v>
      </c>
      <c r="AJ2907">
        <v>8.2100000000000009</v>
      </c>
      <c r="AK2907" t="s">
        <v>12862</v>
      </c>
      <c r="AL2907">
        <v>-1.08</v>
      </c>
      <c r="AM2907">
        <v>3769</v>
      </c>
      <c r="AN2907">
        <v>32</v>
      </c>
      <c r="AO2907">
        <v>4.0000000000000002E-4</v>
      </c>
      <c r="AP2907">
        <v>-3</v>
      </c>
      <c r="AQ2907">
        <v>-1.06</v>
      </c>
      <c r="AR2907">
        <v>-6.66</v>
      </c>
      <c r="AS2907">
        <v>-1.0900000000000001</v>
      </c>
      <c r="AT2907">
        <v>-0.12</v>
      </c>
      <c r="AU2907">
        <v>-20.88</v>
      </c>
      <c r="AV2907">
        <v>0</v>
      </c>
      <c r="AW2907">
        <v>3.55</v>
      </c>
      <c r="AX2907">
        <v>41.4</v>
      </c>
      <c r="AY2907">
        <v>65.19</v>
      </c>
      <c r="AZ2907">
        <v>8.27</v>
      </c>
      <c r="BA2907">
        <v>0.4</v>
      </c>
      <c r="BB2907" t="s">
        <v>125</v>
      </c>
      <c r="BF2907">
        <v>-0.66</v>
      </c>
      <c r="BG2907">
        <v>-2.97</v>
      </c>
      <c r="BH2907">
        <v>-3.95</v>
      </c>
      <c r="BI2907">
        <v>0</v>
      </c>
      <c r="BJ2907">
        <v>20210910</v>
      </c>
      <c r="BK2907">
        <v>19931028</v>
      </c>
      <c r="BL2907">
        <v>14.14</v>
      </c>
      <c r="BM2907" t="s">
        <v>120</v>
      </c>
      <c r="BN2907">
        <v>5.92</v>
      </c>
      <c r="BO2907">
        <v>366.41</v>
      </c>
      <c r="BP2907">
        <v>20.9</v>
      </c>
      <c r="BQ2907">
        <v>139.88999999999999</v>
      </c>
      <c r="BR2907">
        <v>30.59</v>
      </c>
      <c r="BS2907">
        <v>53.47</v>
      </c>
      <c r="BT2907">
        <v>186.79</v>
      </c>
      <c r="BU2907">
        <v>48.97</v>
      </c>
      <c r="BV2907">
        <v>9.3000000000000007</v>
      </c>
      <c r="BW2907">
        <v>162.30000000000001</v>
      </c>
      <c r="BX2907">
        <v>64.52</v>
      </c>
      <c r="BY2907">
        <v>35.39</v>
      </c>
      <c r="BZ2907">
        <v>9.61</v>
      </c>
      <c r="CA2907">
        <v>0.03</v>
      </c>
      <c r="CB2907">
        <v>93.93</v>
      </c>
      <c r="CC2907">
        <v>47.18</v>
      </c>
      <c r="CD2907">
        <v>44.25</v>
      </c>
      <c r="CE2907">
        <v>-1.6</v>
      </c>
      <c r="CF2907">
        <v>-0.37</v>
      </c>
      <c r="CG2907">
        <v>-1.57</v>
      </c>
      <c r="CH2907">
        <v>-1.51</v>
      </c>
      <c r="CI2907">
        <v>-0.95</v>
      </c>
      <c r="CJ2907">
        <v>-0.52</v>
      </c>
      <c r="CK2907">
        <v>-1.35</v>
      </c>
      <c r="CL2907">
        <v>16.440000000000001</v>
      </c>
      <c r="CM2907">
        <v>-10.38</v>
      </c>
      <c r="CN2907">
        <v>-22.52</v>
      </c>
      <c r="CO2907">
        <v>110251</v>
      </c>
      <c r="CP2907">
        <v>3085</v>
      </c>
      <c r="CQ2907" t="s">
        <v>10636</v>
      </c>
      <c r="CR2907">
        <v>-103.06</v>
      </c>
      <c r="CS2907">
        <v>9.8800000000000008</v>
      </c>
      <c r="CT2907">
        <v>2.11</v>
      </c>
      <c r="CU2907">
        <v>-28.47</v>
      </c>
      <c r="CV2907">
        <v>6.26</v>
      </c>
      <c r="CW2907">
        <v>0.77</v>
      </c>
      <c r="CX2907" t="s">
        <v>12863</v>
      </c>
      <c r="CY2907">
        <v>9.9</v>
      </c>
      <c r="CZ2907">
        <v>0</v>
      </c>
      <c r="DA2907">
        <v>6.65</v>
      </c>
      <c r="DB2907">
        <v>1.1599999999999999</v>
      </c>
      <c r="DC2907">
        <v>-0.73</v>
      </c>
      <c r="DD2907">
        <v>38.18</v>
      </c>
      <c r="DE2907" t="s">
        <v>12071</v>
      </c>
      <c r="DF2907">
        <v>6.19</v>
      </c>
      <c r="DG2907">
        <v>-3.39</v>
      </c>
      <c r="DH2907">
        <v>-2.0099999999999998</v>
      </c>
      <c r="DI2907">
        <v>2.46</v>
      </c>
      <c r="DJ2907">
        <v>7618</v>
      </c>
      <c r="DK2907">
        <v>600685</v>
      </c>
      <c r="DL2907" t="s">
        <v>120</v>
      </c>
      <c r="DM2907" t="s">
        <v>120</v>
      </c>
      <c r="DN2907" t="s">
        <v>120</v>
      </c>
    </row>
    <row r="2908" spans="1:118">
      <c r="A2908" t="str">
        <f>"600686"</f>
        <v>600686</v>
      </c>
      <c r="B2908" t="s">
        <v>12864</v>
      </c>
      <c r="C2908">
        <v>-2.5299999999999998</v>
      </c>
      <c r="D2908">
        <v>0</v>
      </c>
      <c r="E2908">
        <v>0.3</v>
      </c>
      <c r="F2908">
        <v>474</v>
      </c>
      <c r="G2908" t="s">
        <v>9599</v>
      </c>
      <c r="H2908">
        <v>5588.32</v>
      </c>
      <c r="I2908">
        <v>7.75</v>
      </c>
      <c r="J2908" t="s">
        <v>120</v>
      </c>
      <c r="K2908" t="s">
        <v>10730</v>
      </c>
      <c r="L2908">
        <v>1.25</v>
      </c>
      <c r="M2908">
        <v>6.55</v>
      </c>
      <c r="N2908">
        <v>1.1499999999999999</v>
      </c>
      <c r="O2908">
        <v>0.74</v>
      </c>
      <c r="P2908">
        <v>6.77</v>
      </c>
      <c r="Q2908">
        <v>-2.83</v>
      </c>
      <c r="R2908">
        <v>6.53</v>
      </c>
      <c r="S2908">
        <v>6.74</v>
      </c>
      <c r="T2908">
        <v>84121</v>
      </c>
      <c r="U2908">
        <v>6.56</v>
      </c>
      <c r="V2908">
        <v>6.72</v>
      </c>
      <c r="W2908" t="s">
        <v>120</v>
      </c>
      <c r="X2908" t="s">
        <v>1068</v>
      </c>
      <c r="Y2908" t="s">
        <v>937</v>
      </c>
      <c r="Z2908">
        <v>3.57</v>
      </c>
      <c r="AA2908">
        <v>6.64</v>
      </c>
      <c r="AB2908">
        <v>49437</v>
      </c>
      <c r="AC2908">
        <v>34684</v>
      </c>
      <c r="AD2908">
        <v>1.43</v>
      </c>
      <c r="AE2908">
        <v>264</v>
      </c>
      <c r="AF2908">
        <v>519</v>
      </c>
      <c r="AG2908" t="s">
        <v>120</v>
      </c>
      <c r="AH2908">
        <v>0</v>
      </c>
      <c r="AI2908" t="s">
        <v>120</v>
      </c>
      <c r="AJ2908">
        <v>6.75</v>
      </c>
      <c r="AK2908" t="s">
        <v>539</v>
      </c>
      <c r="AL2908">
        <v>-1.19</v>
      </c>
      <c r="AM2908">
        <v>1960</v>
      </c>
      <c r="AN2908">
        <v>43</v>
      </c>
      <c r="AO2908">
        <v>5.9999999999999995E-4</v>
      </c>
      <c r="AP2908">
        <v>-1</v>
      </c>
      <c r="AQ2908">
        <v>0</v>
      </c>
      <c r="AR2908">
        <v>-4.5199999999999996</v>
      </c>
      <c r="AS2908">
        <v>-10.15</v>
      </c>
      <c r="AT2908">
        <v>-5.14</v>
      </c>
      <c r="AU2908">
        <v>-23.8</v>
      </c>
      <c r="AV2908">
        <v>6</v>
      </c>
      <c r="AW2908">
        <v>2.23</v>
      </c>
      <c r="AX2908">
        <v>52.7</v>
      </c>
      <c r="AY2908">
        <v>55.79</v>
      </c>
      <c r="AZ2908">
        <v>151.05000000000001</v>
      </c>
      <c r="BA2908">
        <v>0.92</v>
      </c>
      <c r="BB2908" t="s">
        <v>143</v>
      </c>
      <c r="BF2908">
        <v>-1.1399999999999999</v>
      </c>
      <c r="BG2908">
        <v>-2.82</v>
      </c>
      <c r="BH2908">
        <v>-3.25</v>
      </c>
      <c r="BI2908">
        <v>0.31</v>
      </c>
      <c r="BJ2908">
        <v>20210902</v>
      </c>
      <c r="BK2908">
        <v>19931108</v>
      </c>
      <c r="BL2908">
        <v>7.17</v>
      </c>
      <c r="BM2908" t="s">
        <v>120</v>
      </c>
      <c r="BN2908" t="s">
        <v>120</v>
      </c>
      <c r="BO2908">
        <v>236.36</v>
      </c>
      <c r="BP2908">
        <v>6.55</v>
      </c>
      <c r="BQ2908">
        <v>54.16</v>
      </c>
      <c r="BR2908" t="s">
        <v>120</v>
      </c>
      <c r="BS2908">
        <v>77.09</v>
      </c>
      <c r="BT2908">
        <v>175.36</v>
      </c>
      <c r="BU2908">
        <v>17.43</v>
      </c>
      <c r="BV2908">
        <v>6.47</v>
      </c>
      <c r="BW2908">
        <v>133.87</v>
      </c>
      <c r="BX2908">
        <v>47.11</v>
      </c>
      <c r="BY2908">
        <v>24.49</v>
      </c>
      <c r="BZ2908">
        <v>49.78</v>
      </c>
      <c r="CA2908">
        <v>3.81</v>
      </c>
      <c r="CB2908">
        <v>13.94</v>
      </c>
      <c r="CC2908">
        <v>62.2</v>
      </c>
      <c r="CD2908">
        <v>56.25</v>
      </c>
      <c r="CE2908">
        <v>-2.17</v>
      </c>
      <c r="CF2908">
        <v>0.33</v>
      </c>
      <c r="CG2908">
        <v>-2.16</v>
      </c>
      <c r="CH2908">
        <v>-2.19</v>
      </c>
      <c r="CI2908">
        <v>-1.63</v>
      </c>
      <c r="CJ2908">
        <v>-0.17</v>
      </c>
      <c r="CK2908">
        <v>-2.35</v>
      </c>
      <c r="CL2908">
        <v>15.94</v>
      </c>
      <c r="CM2908">
        <v>4.54</v>
      </c>
      <c r="CN2908">
        <v>-0.1</v>
      </c>
      <c r="CO2908">
        <v>29575</v>
      </c>
      <c r="CP2908">
        <v>12778</v>
      </c>
      <c r="CQ2908" t="s">
        <v>7268</v>
      </c>
      <c r="CR2908">
        <v>25.02</v>
      </c>
      <c r="CS2908">
        <v>8.91</v>
      </c>
      <c r="CT2908">
        <v>1.17</v>
      </c>
      <c r="CU2908">
        <v>10.35</v>
      </c>
      <c r="CV2908">
        <v>0.76</v>
      </c>
      <c r="CW2908">
        <v>7.0000000000000007E-2</v>
      </c>
      <c r="CX2908" t="s">
        <v>12865</v>
      </c>
      <c r="CY2908">
        <v>5.61</v>
      </c>
      <c r="CZ2908">
        <v>5.61</v>
      </c>
      <c r="DA2908">
        <v>1.94</v>
      </c>
      <c r="DB2908">
        <v>2.2200000000000002</v>
      </c>
      <c r="DC2908">
        <v>0.63</v>
      </c>
      <c r="DD2908">
        <v>22.91</v>
      </c>
      <c r="DE2908" t="s">
        <v>12866</v>
      </c>
      <c r="DF2908">
        <v>9.57</v>
      </c>
      <c r="DG2908">
        <v>-3.49</v>
      </c>
      <c r="DH2908">
        <v>-2.62</v>
      </c>
      <c r="DI2908">
        <v>2.63</v>
      </c>
      <c r="DJ2908">
        <v>12357</v>
      </c>
      <c r="DK2908">
        <v>600686</v>
      </c>
      <c r="DL2908" t="s">
        <v>120</v>
      </c>
      <c r="DM2908" t="s">
        <v>120</v>
      </c>
      <c r="DN2908" t="s">
        <v>120</v>
      </c>
    </row>
    <row r="2909" spans="1:118">
      <c r="A2909" t="str">
        <f>"600688"</f>
        <v>600688</v>
      </c>
      <c r="B2909" t="s">
        <v>12867</v>
      </c>
      <c r="C2909">
        <v>-7.25</v>
      </c>
      <c r="D2909">
        <v>-0.83</v>
      </c>
      <c r="E2909">
        <v>-2.5499999999999998</v>
      </c>
      <c r="F2909">
        <v>39775</v>
      </c>
      <c r="G2909" t="s">
        <v>12868</v>
      </c>
      <c r="H2909">
        <v>85593.15</v>
      </c>
      <c r="I2909">
        <v>1523.21</v>
      </c>
      <c r="J2909" t="s">
        <v>120</v>
      </c>
      <c r="K2909" t="s">
        <v>12868</v>
      </c>
      <c r="L2909">
        <v>2.38</v>
      </c>
      <c r="M2909">
        <v>4.7300000000000004</v>
      </c>
      <c r="N2909">
        <v>0.88</v>
      </c>
      <c r="O2909">
        <v>0.39</v>
      </c>
      <c r="P2909">
        <v>5.12</v>
      </c>
      <c r="Q2909">
        <v>-7.45</v>
      </c>
      <c r="R2909">
        <v>4.72</v>
      </c>
      <c r="S2909">
        <v>4.97</v>
      </c>
      <c r="T2909">
        <v>1744029</v>
      </c>
      <c r="U2909">
        <v>4.7300000000000004</v>
      </c>
      <c r="V2909">
        <v>5.0999999999999996</v>
      </c>
      <c r="W2909">
        <v>20.57</v>
      </c>
      <c r="X2909" t="s">
        <v>431</v>
      </c>
      <c r="Y2909" t="s">
        <v>1510</v>
      </c>
      <c r="Z2909">
        <v>7.84</v>
      </c>
      <c r="AA2909">
        <v>4.91</v>
      </c>
      <c r="AB2909">
        <v>974503</v>
      </c>
      <c r="AC2909">
        <v>769526</v>
      </c>
      <c r="AD2909">
        <v>1.27</v>
      </c>
      <c r="AE2909">
        <v>9568</v>
      </c>
      <c r="AF2909">
        <v>115</v>
      </c>
      <c r="AG2909" t="s">
        <v>120</v>
      </c>
      <c r="AH2909">
        <v>0.04</v>
      </c>
      <c r="AI2909" t="s">
        <v>120</v>
      </c>
      <c r="AJ2909">
        <v>73.290000000000006</v>
      </c>
      <c r="AK2909" t="s">
        <v>12868</v>
      </c>
      <c r="AL2909">
        <v>-5.91</v>
      </c>
      <c r="AM2909">
        <v>4540</v>
      </c>
      <c r="AN2909">
        <v>384</v>
      </c>
      <c r="AO2909">
        <v>5.0000000000000001E-4</v>
      </c>
      <c r="AP2909">
        <v>-1</v>
      </c>
      <c r="AQ2909">
        <v>8.0500000000000007</v>
      </c>
      <c r="AR2909">
        <v>6.29</v>
      </c>
      <c r="AS2909">
        <v>47.35</v>
      </c>
      <c r="AT2909">
        <v>29.59</v>
      </c>
      <c r="AU2909">
        <v>41.61</v>
      </c>
      <c r="AV2909">
        <v>2</v>
      </c>
      <c r="AW2909">
        <v>2.38</v>
      </c>
      <c r="AX2909">
        <v>100</v>
      </c>
      <c r="AY2909">
        <v>15.38</v>
      </c>
      <c r="AZ2909">
        <v>87.89</v>
      </c>
      <c r="BA2909">
        <v>0.79</v>
      </c>
      <c r="BB2909" t="s">
        <v>168</v>
      </c>
      <c r="BF2909">
        <v>-3.77</v>
      </c>
      <c r="BG2909">
        <v>-4.83</v>
      </c>
      <c r="BH2909">
        <v>-7.62</v>
      </c>
      <c r="BI2909">
        <v>0.21</v>
      </c>
      <c r="BJ2909">
        <v>20210826</v>
      </c>
      <c r="BK2909">
        <v>19931108</v>
      </c>
      <c r="BL2909">
        <v>108.24</v>
      </c>
      <c r="BM2909" t="s">
        <v>120</v>
      </c>
      <c r="BN2909">
        <v>34.950000000000003</v>
      </c>
      <c r="BO2909">
        <v>468.3</v>
      </c>
      <c r="BP2909">
        <v>4.72</v>
      </c>
      <c r="BQ2909">
        <v>294.64</v>
      </c>
      <c r="BR2909">
        <v>1.42</v>
      </c>
      <c r="BS2909">
        <v>36.78</v>
      </c>
      <c r="BT2909">
        <v>187.27</v>
      </c>
      <c r="BU2909">
        <v>115.96</v>
      </c>
      <c r="BV2909">
        <v>4.03</v>
      </c>
      <c r="BW2909">
        <v>170.49</v>
      </c>
      <c r="BX2909">
        <v>31.73</v>
      </c>
      <c r="BY2909">
        <v>74.52</v>
      </c>
      <c r="BZ2909">
        <v>18.61</v>
      </c>
      <c r="CA2909" t="s">
        <v>120</v>
      </c>
      <c r="CB2909">
        <v>6.1</v>
      </c>
      <c r="CC2909">
        <v>371.37</v>
      </c>
      <c r="CD2909">
        <v>288.5</v>
      </c>
      <c r="CE2909">
        <v>15.32</v>
      </c>
      <c r="CF2909">
        <v>6.03</v>
      </c>
      <c r="CG2909">
        <v>15.11</v>
      </c>
      <c r="CH2909">
        <v>12.49</v>
      </c>
      <c r="CI2909">
        <v>12.44</v>
      </c>
      <c r="CJ2909">
        <v>-0.37</v>
      </c>
      <c r="CK2909">
        <v>11.69</v>
      </c>
      <c r="CL2909">
        <v>113.2</v>
      </c>
      <c r="CM2909">
        <v>-23.9</v>
      </c>
      <c r="CN2909">
        <v>-55.47</v>
      </c>
      <c r="CO2909">
        <v>85440</v>
      </c>
      <c r="CP2909">
        <v>85777</v>
      </c>
      <c r="CQ2909" t="s">
        <v>12869</v>
      </c>
      <c r="CR2909">
        <v>172.5</v>
      </c>
      <c r="CS2909">
        <v>4.13</v>
      </c>
      <c r="CT2909">
        <v>1.74</v>
      </c>
      <c r="CU2909">
        <v>-21.43</v>
      </c>
      <c r="CV2909">
        <v>1.38</v>
      </c>
      <c r="CW2909">
        <v>1.96</v>
      </c>
      <c r="CX2909" t="s">
        <v>850</v>
      </c>
      <c r="CY2909">
        <v>2.72</v>
      </c>
      <c r="CZ2909">
        <v>0</v>
      </c>
      <c r="DA2909">
        <v>0.06</v>
      </c>
      <c r="DB2909">
        <v>1.05</v>
      </c>
      <c r="DC2909">
        <v>-0.22</v>
      </c>
      <c r="DD2909">
        <v>62.92</v>
      </c>
      <c r="DE2909" t="s">
        <v>8552</v>
      </c>
      <c r="DF2909">
        <v>22.31</v>
      </c>
      <c r="DG2909">
        <v>4.13</v>
      </c>
      <c r="DH2909">
        <v>3.35</v>
      </c>
      <c r="DI2909">
        <v>0.28000000000000003</v>
      </c>
      <c r="DJ2909">
        <v>8199</v>
      </c>
      <c r="DK2909">
        <v>600688</v>
      </c>
      <c r="DL2909">
        <v>20210907</v>
      </c>
      <c r="DM2909">
        <v>4.54</v>
      </c>
      <c r="DN2909">
        <v>4.1900000000000004</v>
      </c>
    </row>
    <row r="2910" spans="1:118">
      <c r="A2910" t="str">
        <f>"600689"</f>
        <v>600689</v>
      </c>
      <c r="B2910" t="s">
        <v>12870</v>
      </c>
      <c r="C2910">
        <v>0</v>
      </c>
      <c r="D2910">
        <v>0.14000000000000001</v>
      </c>
      <c r="E2910">
        <v>0.56999999999999995</v>
      </c>
      <c r="F2910">
        <v>154</v>
      </c>
      <c r="G2910" t="s">
        <v>10823</v>
      </c>
      <c r="H2910">
        <v>2295.5700000000002</v>
      </c>
      <c r="I2910">
        <v>7.04</v>
      </c>
      <c r="J2910" t="s">
        <v>120</v>
      </c>
      <c r="K2910" t="s">
        <v>6715</v>
      </c>
      <c r="L2910">
        <v>2.13</v>
      </c>
      <c r="M2910">
        <v>7</v>
      </c>
      <c r="N2910">
        <v>1.34</v>
      </c>
      <c r="O2910">
        <v>2.71</v>
      </c>
      <c r="P2910">
        <v>7.19</v>
      </c>
      <c r="Q2910">
        <v>-0.56999999999999995</v>
      </c>
      <c r="R2910">
        <v>6.96</v>
      </c>
      <c r="S2910">
        <v>7.04</v>
      </c>
      <c r="T2910">
        <v>32382</v>
      </c>
      <c r="U2910">
        <v>7</v>
      </c>
      <c r="V2910">
        <v>7</v>
      </c>
      <c r="W2910">
        <v>102.91</v>
      </c>
      <c r="X2910" t="s">
        <v>1766</v>
      </c>
      <c r="Y2910" t="s">
        <v>1510</v>
      </c>
      <c r="Z2910">
        <v>3.29</v>
      </c>
      <c r="AA2910">
        <v>7.09</v>
      </c>
      <c r="AB2910">
        <v>15972</v>
      </c>
      <c r="AC2910">
        <v>16410</v>
      </c>
      <c r="AD2910">
        <v>0.97</v>
      </c>
      <c r="AE2910">
        <v>63</v>
      </c>
      <c r="AF2910">
        <v>123</v>
      </c>
      <c r="AG2910" t="s">
        <v>120</v>
      </c>
      <c r="AH2910">
        <v>0.01</v>
      </c>
      <c r="AI2910" t="s">
        <v>120</v>
      </c>
      <c r="AJ2910">
        <v>1.52</v>
      </c>
      <c r="AK2910" t="s">
        <v>6649</v>
      </c>
      <c r="AL2910">
        <v>1.34</v>
      </c>
      <c r="AM2910">
        <v>1325</v>
      </c>
      <c r="AN2910">
        <v>24</v>
      </c>
      <c r="AO2910">
        <v>1.6000000000000001E-3</v>
      </c>
      <c r="AP2910">
        <v>0</v>
      </c>
      <c r="AQ2910">
        <v>1.3</v>
      </c>
      <c r="AR2910">
        <v>-1.27</v>
      </c>
      <c r="AS2910">
        <v>3.55</v>
      </c>
      <c r="AT2910">
        <v>6.06</v>
      </c>
      <c r="AU2910">
        <v>-0.99</v>
      </c>
      <c r="AV2910">
        <v>1</v>
      </c>
      <c r="AW2910">
        <v>3.24</v>
      </c>
      <c r="AX2910">
        <v>49.78</v>
      </c>
      <c r="AY2910" t="s">
        <v>120</v>
      </c>
      <c r="AZ2910" t="s">
        <v>120</v>
      </c>
      <c r="BA2910">
        <v>0.53</v>
      </c>
      <c r="BB2910" t="s">
        <v>184</v>
      </c>
      <c r="BF2910">
        <v>1.27</v>
      </c>
      <c r="BG2910">
        <v>-0.56999999999999995</v>
      </c>
      <c r="BH2910">
        <v>-2.64</v>
      </c>
      <c r="BI2910">
        <v>0.56999999999999995</v>
      </c>
      <c r="BJ2910">
        <v>20210910</v>
      </c>
      <c r="BK2910">
        <v>19931108</v>
      </c>
      <c r="BL2910">
        <v>2.0099999999999998</v>
      </c>
      <c r="BM2910">
        <v>0.49</v>
      </c>
      <c r="BN2910" t="s">
        <v>120</v>
      </c>
      <c r="BO2910">
        <v>6.85</v>
      </c>
      <c r="BP2910">
        <v>6.99</v>
      </c>
      <c r="BQ2910">
        <v>4.34</v>
      </c>
      <c r="BR2910">
        <v>0</v>
      </c>
      <c r="BS2910">
        <v>36.729999999999997</v>
      </c>
      <c r="BT2910">
        <v>4.7699999999999996</v>
      </c>
      <c r="BU2910">
        <v>0.16</v>
      </c>
      <c r="BV2910">
        <v>0.03</v>
      </c>
      <c r="BW2910">
        <v>2.14</v>
      </c>
      <c r="BX2910">
        <v>1.1399999999999999</v>
      </c>
      <c r="BY2910">
        <v>0.02</v>
      </c>
      <c r="BZ2910">
        <v>0.45</v>
      </c>
      <c r="CA2910">
        <v>0.03</v>
      </c>
      <c r="CB2910">
        <v>2.12</v>
      </c>
      <c r="CC2910">
        <v>3.37</v>
      </c>
      <c r="CD2910">
        <v>3.14</v>
      </c>
      <c r="CE2910">
        <v>0.04</v>
      </c>
      <c r="CF2910">
        <v>0.02</v>
      </c>
      <c r="CG2910">
        <v>0.08</v>
      </c>
      <c r="CH2910">
        <v>7.0000000000000007E-2</v>
      </c>
      <c r="CI2910">
        <v>7.0000000000000007E-2</v>
      </c>
      <c r="CJ2910">
        <v>0</v>
      </c>
      <c r="CK2910">
        <v>0</v>
      </c>
      <c r="CL2910">
        <v>-0.24</v>
      </c>
      <c r="CM2910">
        <v>0</v>
      </c>
      <c r="CN2910">
        <v>-1.76</v>
      </c>
      <c r="CO2910">
        <v>27939</v>
      </c>
      <c r="CP2910">
        <v>5327</v>
      </c>
      <c r="CQ2910" t="s">
        <v>1608</v>
      </c>
      <c r="CR2910">
        <v>269.39</v>
      </c>
      <c r="CS2910">
        <v>-19.600000000000001</v>
      </c>
      <c r="CT2910">
        <v>3.25</v>
      </c>
      <c r="CU2910">
        <v>-6022.86</v>
      </c>
      <c r="CV2910">
        <v>4.18</v>
      </c>
      <c r="CW2910">
        <v>0</v>
      </c>
      <c r="CX2910" t="s">
        <v>919</v>
      </c>
      <c r="CY2910">
        <v>2.16</v>
      </c>
      <c r="CZ2910">
        <v>0</v>
      </c>
      <c r="DA2910">
        <v>1.05</v>
      </c>
      <c r="DB2910">
        <v>-0.12</v>
      </c>
      <c r="DC2910">
        <v>0</v>
      </c>
      <c r="DD2910">
        <v>63.31</v>
      </c>
      <c r="DE2910" t="s">
        <v>6850</v>
      </c>
      <c r="DF2910">
        <v>6.66</v>
      </c>
      <c r="DG2910">
        <v>1.1000000000000001</v>
      </c>
      <c r="DH2910">
        <v>2.0299999999999998</v>
      </c>
      <c r="DI2910" t="s">
        <v>120</v>
      </c>
      <c r="DJ2910">
        <v>820</v>
      </c>
      <c r="DK2910">
        <v>600689</v>
      </c>
      <c r="DL2910" t="s">
        <v>120</v>
      </c>
      <c r="DM2910" t="s">
        <v>120</v>
      </c>
      <c r="DN2910" t="s">
        <v>120</v>
      </c>
    </row>
    <row r="2911" spans="1:118">
      <c r="A2911" t="str">
        <f>"600690"</f>
        <v>600690</v>
      </c>
      <c r="B2911" t="s">
        <v>12871</v>
      </c>
      <c r="C2911">
        <v>-1.19</v>
      </c>
      <c r="D2911">
        <v>0.23</v>
      </c>
      <c r="E2911">
        <v>0.15</v>
      </c>
      <c r="F2911">
        <v>5051</v>
      </c>
      <c r="G2911" t="s">
        <v>12872</v>
      </c>
      <c r="H2911">
        <v>91022.75</v>
      </c>
      <c r="I2911">
        <v>437.03</v>
      </c>
      <c r="J2911" t="s">
        <v>120</v>
      </c>
      <c r="K2911" t="s">
        <v>12873</v>
      </c>
      <c r="L2911">
        <v>0.56000000000000005</v>
      </c>
      <c r="M2911">
        <v>25.71</v>
      </c>
      <c r="N2911">
        <v>0.9</v>
      </c>
      <c r="O2911">
        <v>0.5</v>
      </c>
      <c r="P2911">
        <v>26.15</v>
      </c>
      <c r="Q2911">
        <v>-1.65</v>
      </c>
      <c r="R2911">
        <v>25.59</v>
      </c>
      <c r="S2911">
        <v>26.06</v>
      </c>
      <c r="T2911">
        <v>352995</v>
      </c>
      <c r="U2911">
        <v>25.71</v>
      </c>
      <c r="V2911">
        <v>26.02</v>
      </c>
      <c r="W2911">
        <v>17.62</v>
      </c>
      <c r="X2911" t="s">
        <v>205</v>
      </c>
      <c r="Y2911" t="s">
        <v>638</v>
      </c>
      <c r="Z2911">
        <v>2.15</v>
      </c>
      <c r="AA2911">
        <v>25.79</v>
      </c>
      <c r="AB2911">
        <v>160412</v>
      </c>
      <c r="AC2911">
        <v>192583</v>
      </c>
      <c r="AD2911">
        <v>0.83</v>
      </c>
      <c r="AE2911">
        <v>14</v>
      </c>
      <c r="AF2911">
        <v>56</v>
      </c>
      <c r="AG2911" t="s">
        <v>120</v>
      </c>
      <c r="AH2911">
        <v>0</v>
      </c>
      <c r="AI2911" t="s">
        <v>120</v>
      </c>
      <c r="AJ2911">
        <v>63.09</v>
      </c>
      <c r="AK2911" t="s">
        <v>12874</v>
      </c>
      <c r="AL2911">
        <v>0.15</v>
      </c>
      <c r="AM2911">
        <v>4677</v>
      </c>
      <c r="AN2911">
        <v>75</v>
      </c>
      <c r="AO2911">
        <v>1E-4</v>
      </c>
      <c r="AP2911">
        <v>-4</v>
      </c>
      <c r="AQ2911">
        <v>-2.33</v>
      </c>
      <c r="AR2911">
        <v>-5.86</v>
      </c>
      <c r="AS2911">
        <v>-2.88</v>
      </c>
      <c r="AT2911">
        <v>-0.44</v>
      </c>
      <c r="AU2911">
        <v>-10.86</v>
      </c>
      <c r="AV2911">
        <v>0</v>
      </c>
      <c r="AW2911">
        <v>0.93</v>
      </c>
      <c r="AX2911">
        <v>57.83</v>
      </c>
      <c r="AY2911">
        <v>18.88</v>
      </c>
      <c r="AZ2911">
        <v>27.54</v>
      </c>
      <c r="BA2911">
        <v>1.28</v>
      </c>
      <c r="BB2911" t="s">
        <v>143</v>
      </c>
      <c r="BF2911">
        <v>-0.9</v>
      </c>
      <c r="BG2911">
        <v>-1.34</v>
      </c>
      <c r="BH2911">
        <v>-1.68</v>
      </c>
      <c r="BI2911">
        <v>0.47</v>
      </c>
      <c r="BJ2911">
        <v>20210913</v>
      </c>
      <c r="BK2911">
        <v>19931119</v>
      </c>
      <c r="BL2911">
        <v>93.94</v>
      </c>
      <c r="BM2911" t="s">
        <v>120</v>
      </c>
      <c r="BN2911">
        <v>28.14</v>
      </c>
      <c r="BO2911">
        <v>2062.4699999999998</v>
      </c>
      <c r="BP2911">
        <v>25.7</v>
      </c>
      <c r="BQ2911">
        <v>738.46</v>
      </c>
      <c r="BR2911">
        <v>13.54</v>
      </c>
      <c r="BS2911">
        <v>63.54</v>
      </c>
      <c r="BT2911">
        <v>1161.31</v>
      </c>
      <c r="BU2911">
        <v>206.81</v>
      </c>
      <c r="BV2911">
        <v>98.83</v>
      </c>
      <c r="BW2911">
        <v>1133.92</v>
      </c>
      <c r="BX2911">
        <v>418.44</v>
      </c>
      <c r="BY2911">
        <v>335.08</v>
      </c>
      <c r="BZ2911">
        <v>202.02</v>
      </c>
      <c r="CA2911" t="s">
        <v>120</v>
      </c>
      <c r="CB2911">
        <v>223.1</v>
      </c>
      <c r="CC2911">
        <v>1116.19</v>
      </c>
      <c r="CD2911">
        <v>780.72</v>
      </c>
      <c r="CE2911">
        <v>84.33</v>
      </c>
      <c r="CF2911">
        <v>11.37</v>
      </c>
      <c r="CG2911">
        <v>84.61</v>
      </c>
      <c r="CH2911">
        <v>69.38</v>
      </c>
      <c r="CI2911">
        <v>68.52</v>
      </c>
      <c r="CJ2911">
        <v>-0.31</v>
      </c>
      <c r="CK2911">
        <v>62.7</v>
      </c>
      <c r="CL2911">
        <v>420.47</v>
      </c>
      <c r="CM2911">
        <v>84.24</v>
      </c>
      <c r="CN2911">
        <v>-44.18</v>
      </c>
      <c r="CO2911">
        <v>210151</v>
      </c>
      <c r="CP2911">
        <v>18106</v>
      </c>
      <c r="CQ2911" t="s">
        <v>10097</v>
      </c>
      <c r="CR2911">
        <v>146.41</v>
      </c>
      <c r="CS2911">
        <v>16.600000000000001</v>
      </c>
      <c r="CT2911">
        <v>3.28</v>
      </c>
      <c r="CU2911">
        <v>28.67</v>
      </c>
      <c r="CV2911">
        <v>2.16</v>
      </c>
      <c r="CW2911">
        <v>0.94</v>
      </c>
      <c r="CX2911" t="s">
        <v>10740</v>
      </c>
      <c r="CY2911">
        <v>7.85</v>
      </c>
      <c r="CZ2911">
        <v>7.85</v>
      </c>
      <c r="DA2911">
        <v>2.37</v>
      </c>
      <c r="DB2911">
        <v>4.4800000000000004</v>
      </c>
      <c r="DC2911">
        <v>0.9</v>
      </c>
      <c r="DD2911">
        <v>35.799999999999997</v>
      </c>
      <c r="DE2911" t="s">
        <v>12875</v>
      </c>
      <c r="DF2911">
        <v>30.06</v>
      </c>
      <c r="DG2911">
        <v>7.55</v>
      </c>
      <c r="DH2911">
        <v>6.14</v>
      </c>
      <c r="DI2911">
        <v>37.39</v>
      </c>
      <c r="DJ2911">
        <v>99299</v>
      </c>
      <c r="DK2911">
        <v>600690</v>
      </c>
      <c r="DL2911" t="s">
        <v>120</v>
      </c>
      <c r="DM2911" t="s">
        <v>120</v>
      </c>
      <c r="DN2911" t="s">
        <v>120</v>
      </c>
    </row>
    <row r="2912" spans="1:118">
      <c r="A2912" t="str">
        <f>"600691"</f>
        <v>600691</v>
      </c>
      <c r="B2912" t="s">
        <v>12876</v>
      </c>
      <c r="C2912">
        <v>9.93</v>
      </c>
      <c r="D2912">
        <v>0</v>
      </c>
      <c r="E2912">
        <v>5.21</v>
      </c>
      <c r="F2912">
        <v>2730</v>
      </c>
      <c r="G2912" t="s">
        <v>12877</v>
      </c>
      <c r="H2912">
        <v>150436.68</v>
      </c>
      <c r="I2912">
        <v>1985.66</v>
      </c>
      <c r="J2912">
        <v>8601.86</v>
      </c>
      <c r="K2912" t="s">
        <v>12878</v>
      </c>
      <c r="L2912">
        <v>12.87</v>
      </c>
      <c r="M2912">
        <v>6.75</v>
      </c>
      <c r="N2912">
        <v>1.08</v>
      </c>
      <c r="O2912">
        <v>9.93</v>
      </c>
      <c r="P2912">
        <v>6.75</v>
      </c>
      <c r="Q2912">
        <v>1.95</v>
      </c>
      <c r="R2912">
        <v>6.26</v>
      </c>
      <c r="S2912">
        <v>6.46</v>
      </c>
      <c r="T2912">
        <v>2261290</v>
      </c>
      <c r="U2912" t="s">
        <v>120</v>
      </c>
      <c r="V2912">
        <v>6.14</v>
      </c>
      <c r="W2912">
        <v>23.89</v>
      </c>
      <c r="X2912" t="s">
        <v>690</v>
      </c>
      <c r="Y2912" t="s">
        <v>667</v>
      </c>
      <c r="Z2912">
        <v>7.98</v>
      </c>
      <c r="AA2912">
        <v>6.65</v>
      </c>
      <c r="AB2912">
        <v>1260182</v>
      </c>
      <c r="AC2912">
        <v>1001108</v>
      </c>
      <c r="AD2912">
        <v>1.26</v>
      </c>
      <c r="AE2912">
        <v>127435</v>
      </c>
      <c r="AF2912">
        <v>0</v>
      </c>
      <c r="AG2912" t="s">
        <v>120</v>
      </c>
      <c r="AH2912">
        <v>0.26</v>
      </c>
      <c r="AI2912">
        <v>0.06</v>
      </c>
      <c r="AJ2912">
        <v>17.559999999999999</v>
      </c>
      <c r="AK2912" t="s">
        <v>12879</v>
      </c>
      <c r="AL2912">
        <v>11.28</v>
      </c>
      <c r="AM2912">
        <v>3652</v>
      </c>
      <c r="AN2912">
        <v>619</v>
      </c>
      <c r="AO2912">
        <v>3.5000000000000001E-3</v>
      </c>
      <c r="AP2912">
        <v>2</v>
      </c>
      <c r="AQ2912">
        <v>1.1499999999999999</v>
      </c>
      <c r="AR2912">
        <v>6.63</v>
      </c>
      <c r="AS2912">
        <v>46.42</v>
      </c>
      <c r="AT2912">
        <v>92.31</v>
      </c>
      <c r="AU2912">
        <v>184.81</v>
      </c>
      <c r="AV2912">
        <v>8</v>
      </c>
      <c r="AW2912">
        <v>19.14</v>
      </c>
      <c r="AX2912">
        <v>49.74</v>
      </c>
      <c r="AY2912">
        <v>13.48</v>
      </c>
      <c r="AZ2912">
        <v>113.14</v>
      </c>
      <c r="BA2912">
        <v>1.1100000000000001</v>
      </c>
      <c r="BB2912" t="s">
        <v>184</v>
      </c>
      <c r="BF2912">
        <v>8.35</v>
      </c>
      <c r="BG2912">
        <v>4.49</v>
      </c>
      <c r="BH2912">
        <v>0</v>
      </c>
      <c r="BI2912">
        <v>7.83</v>
      </c>
      <c r="BJ2912">
        <v>20210825</v>
      </c>
      <c r="BK2912">
        <v>19931119</v>
      </c>
      <c r="BL2912">
        <v>23.76</v>
      </c>
      <c r="BM2912" t="s">
        <v>120</v>
      </c>
      <c r="BN2912" t="s">
        <v>120</v>
      </c>
      <c r="BO2912">
        <v>239.74</v>
      </c>
      <c r="BP2912">
        <v>6.75</v>
      </c>
      <c r="BQ2912">
        <v>58.73</v>
      </c>
      <c r="BR2912">
        <v>8.85</v>
      </c>
      <c r="BS2912">
        <v>71.81</v>
      </c>
      <c r="BT2912">
        <v>114.36</v>
      </c>
      <c r="BU2912">
        <v>101.03</v>
      </c>
      <c r="BV2912">
        <v>7.54</v>
      </c>
      <c r="BW2912">
        <v>161.38999999999999</v>
      </c>
      <c r="BX2912">
        <v>54.69</v>
      </c>
      <c r="BY2912">
        <v>15.02</v>
      </c>
      <c r="BZ2912">
        <v>11.14</v>
      </c>
      <c r="CA2912" t="s">
        <v>120</v>
      </c>
      <c r="CB2912">
        <v>43.67</v>
      </c>
      <c r="CC2912">
        <v>94.45</v>
      </c>
      <c r="CD2912">
        <v>82.5</v>
      </c>
      <c r="CE2912">
        <v>4.87</v>
      </c>
      <c r="CF2912">
        <v>0</v>
      </c>
      <c r="CG2912">
        <v>4.97</v>
      </c>
      <c r="CH2912">
        <v>4.05</v>
      </c>
      <c r="CI2912">
        <v>3.36</v>
      </c>
      <c r="CJ2912">
        <v>0.61</v>
      </c>
      <c r="CK2912">
        <v>2.82</v>
      </c>
      <c r="CL2912">
        <v>-9.2100000000000009</v>
      </c>
      <c r="CM2912">
        <v>2.72</v>
      </c>
      <c r="CN2912">
        <v>3.31</v>
      </c>
      <c r="CO2912">
        <v>36078</v>
      </c>
      <c r="CP2912">
        <v>32754</v>
      </c>
      <c r="CQ2912" t="s">
        <v>321</v>
      </c>
      <c r="CR2912">
        <v>154.30000000000001</v>
      </c>
      <c r="CS2912">
        <v>14.76</v>
      </c>
      <c r="CT2912">
        <v>2.73</v>
      </c>
      <c r="CU2912">
        <v>59.06</v>
      </c>
      <c r="CV2912">
        <v>1.7</v>
      </c>
      <c r="CW2912">
        <v>0</v>
      </c>
      <c r="CX2912" t="s">
        <v>3084</v>
      </c>
      <c r="CY2912">
        <v>2.4700000000000002</v>
      </c>
      <c r="CZ2912">
        <v>0</v>
      </c>
      <c r="DA2912">
        <v>1.84</v>
      </c>
      <c r="DB2912">
        <v>-0.39</v>
      </c>
      <c r="DC2912">
        <v>0.11</v>
      </c>
      <c r="DD2912">
        <v>24.5</v>
      </c>
      <c r="DE2912" t="s">
        <v>9474</v>
      </c>
      <c r="DF2912">
        <v>12.65</v>
      </c>
      <c r="DG2912">
        <v>5.16</v>
      </c>
      <c r="DH2912">
        <v>3.55</v>
      </c>
      <c r="DI2912">
        <v>0.86</v>
      </c>
      <c r="DJ2912">
        <v>8103</v>
      </c>
      <c r="DK2912">
        <v>600691</v>
      </c>
      <c r="DL2912">
        <v>20210809</v>
      </c>
      <c r="DM2912">
        <v>3.96</v>
      </c>
      <c r="DN2912">
        <v>70.45</v>
      </c>
    </row>
    <row r="2913" spans="1:118">
      <c r="A2913" t="str">
        <f>"600692"</f>
        <v>600692</v>
      </c>
      <c r="B2913" t="s">
        <v>12880</v>
      </c>
      <c r="C2913">
        <v>1.17</v>
      </c>
      <c r="D2913">
        <v>0.67</v>
      </c>
      <c r="E2913">
        <v>0.17</v>
      </c>
      <c r="F2913">
        <v>1200</v>
      </c>
      <c r="G2913" t="s">
        <v>8694</v>
      </c>
      <c r="H2913">
        <v>2368.96</v>
      </c>
      <c r="I2913">
        <v>3.89</v>
      </c>
      <c r="J2913" t="s">
        <v>120</v>
      </c>
      <c r="K2913" t="s">
        <v>12881</v>
      </c>
      <c r="L2913">
        <v>1.54</v>
      </c>
      <c r="M2913">
        <v>6.04</v>
      </c>
      <c r="N2913">
        <v>1.28</v>
      </c>
      <c r="O2913">
        <v>1.84</v>
      </c>
      <c r="P2913">
        <v>6.08</v>
      </c>
      <c r="Q2913">
        <v>-0.34</v>
      </c>
      <c r="R2913">
        <v>5.95</v>
      </c>
      <c r="S2913">
        <v>5.98</v>
      </c>
      <c r="T2913">
        <v>39323</v>
      </c>
      <c r="U2913">
        <v>6.04</v>
      </c>
      <c r="V2913">
        <v>5.97</v>
      </c>
      <c r="W2913">
        <v>134.57</v>
      </c>
      <c r="X2913" t="s">
        <v>416</v>
      </c>
      <c r="Y2913" t="s">
        <v>1510</v>
      </c>
      <c r="Z2913">
        <v>2.1800000000000002</v>
      </c>
      <c r="AA2913">
        <v>6.02</v>
      </c>
      <c r="AB2913">
        <v>20680</v>
      </c>
      <c r="AC2913">
        <v>18643</v>
      </c>
      <c r="AD2913">
        <v>1.1100000000000001</v>
      </c>
      <c r="AE2913">
        <v>385</v>
      </c>
      <c r="AF2913">
        <v>581</v>
      </c>
      <c r="AG2913" t="s">
        <v>120</v>
      </c>
      <c r="AH2913">
        <v>0</v>
      </c>
      <c r="AI2913" t="s">
        <v>120</v>
      </c>
      <c r="AJ2913">
        <v>2.5499999999999998</v>
      </c>
      <c r="AK2913" t="s">
        <v>2295</v>
      </c>
      <c r="AL2913">
        <v>2.52</v>
      </c>
      <c r="AM2913">
        <v>1242</v>
      </c>
      <c r="AN2913">
        <v>32</v>
      </c>
      <c r="AO2913">
        <v>1.1999999999999999E-3</v>
      </c>
      <c r="AP2913">
        <v>2</v>
      </c>
      <c r="AQ2913">
        <v>0.34</v>
      </c>
      <c r="AR2913">
        <v>-0.49</v>
      </c>
      <c r="AS2913">
        <v>5.97</v>
      </c>
      <c r="AT2913">
        <v>-0.66</v>
      </c>
      <c r="AU2913">
        <v>-13.71</v>
      </c>
      <c r="AV2913">
        <v>0</v>
      </c>
      <c r="AW2913">
        <v>1.66</v>
      </c>
      <c r="AX2913">
        <v>67.489999999999995</v>
      </c>
      <c r="AY2913">
        <v>29.59</v>
      </c>
      <c r="AZ2913">
        <v>35.799999999999997</v>
      </c>
      <c r="BA2913">
        <v>0.69</v>
      </c>
      <c r="BB2913" t="s">
        <v>143</v>
      </c>
      <c r="BF2913">
        <v>0.91</v>
      </c>
      <c r="BG2913">
        <v>1</v>
      </c>
      <c r="BH2913">
        <v>-0.66</v>
      </c>
      <c r="BI2913">
        <v>1.51</v>
      </c>
      <c r="BJ2913">
        <v>20210826</v>
      </c>
      <c r="BK2913">
        <v>19931119</v>
      </c>
      <c r="BL2913">
        <v>3.52</v>
      </c>
      <c r="BM2913" t="s">
        <v>120</v>
      </c>
      <c r="BN2913" t="s">
        <v>120</v>
      </c>
      <c r="BO2913">
        <v>31.23</v>
      </c>
      <c r="BP2913">
        <v>6</v>
      </c>
      <c r="BQ2913">
        <v>8.89</v>
      </c>
      <c r="BR2913">
        <v>0.59</v>
      </c>
      <c r="BS2913">
        <v>69.64</v>
      </c>
      <c r="BT2913">
        <v>25.79</v>
      </c>
      <c r="BU2913">
        <v>0.35</v>
      </c>
      <c r="BV2913">
        <v>0.1</v>
      </c>
      <c r="BW2913">
        <v>18.71</v>
      </c>
      <c r="BX2913">
        <v>7.47</v>
      </c>
      <c r="BY2913">
        <v>14.98</v>
      </c>
      <c r="BZ2913">
        <v>1.71</v>
      </c>
      <c r="CA2913">
        <v>1.99</v>
      </c>
      <c r="CB2913">
        <v>0.61</v>
      </c>
      <c r="CC2913">
        <v>5.13</v>
      </c>
      <c r="CD2913">
        <v>4.67</v>
      </c>
      <c r="CE2913">
        <v>0.14000000000000001</v>
      </c>
      <c r="CF2913">
        <v>0.02</v>
      </c>
      <c r="CG2913">
        <v>0.12</v>
      </c>
      <c r="CH2913">
        <v>0.09</v>
      </c>
      <c r="CI2913">
        <v>0.08</v>
      </c>
      <c r="CJ2913">
        <v>7.0000000000000007E-2</v>
      </c>
      <c r="CK2913">
        <v>0.08</v>
      </c>
      <c r="CL2913">
        <v>3.86</v>
      </c>
      <c r="CM2913">
        <v>1.22</v>
      </c>
      <c r="CN2913">
        <v>1.59</v>
      </c>
      <c r="CO2913">
        <v>26250</v>
      </c>
      <c r="CP2913">
        <v>9045</v>
      </c>
      <c r="CQ2913" t="s">
        <v>1311</v>
      </c>
      <c r="CR2913">
        <v>278.93</v>
      </c>
      <c r="CS2913">
        <v>315.10000000000002</v>
      </c>
      <c r="CT2913">
        <v>2.39</v>
      </c>
      <c r="CU2913">
        <v>17.47</v>
      </c>
      <c r="CV2913">
        <v>4.1399999999999997</v>
      </c>
      <c r="CW2913">
        <v>0</v>
      </c>
      <c r="CX2913" t="s">
        <v>1241</v>
      </c>
      <c r="CY2913">
        <v>2.5299999999999998</v>
      </c>
      <c r="CZ2913">
        <v>0</v>
      </c>
      <c r="DA2913">
        <v>0.17</v>
      </c>
      <c r="DB2913">
        <v>1.1000000000000001</v>
      </c>
      <c r="DC2913">
        <v>0.35</v>
      </c>
      <c r="DD2913">
        <v>28.46</v>
      </c>
      <c r="DE2913" t="s">
        <v>2521</v>
      </c>
      <c r="DF2913">
        <v>9</v>
      </c>
      <c r="DG2913">
        <v>2.74</v>
      </c>
      <c r="DH2913">
        <v>1.54</v>
      </c>
      <c r="DI2913" t="s">
        <v>120</v>
      </c>
      <c r="DJ2913">
        <v>855</v>
      </c>
      <c r="DK2913">
        <v>600692</v>
      </c>
      <c r="DL2913" t="s">
        <v>120</v>
      </c>
      <c r="DM2913" t="s">
        <v>120</v>
      </c>
      <c r="DN2913" t="s">
        <v>120</v>
      </c>
    </row>
    <row r="2914" spans="1:118">
      <c r="A2914" t="str">
        <f>"600693"</f>
        <v>600693</v>
      </c>
      <c r="B2914" t="s">
        <v>12882</v>
      </c>
      <c r="C2914">
        <v>-0.25</v>
      </c>
      <c r="D2914">
        <v>0</v>
      </c>
      <c r="E2914">
        <v>0.25</v>
      </c>
      <c r="F2914">
        <v>128</v>
      </c>
      <c r="G2914" t="s">
        <v>12883</v>
      </c>
      <c r="H2914">
        <v>1262.22</v>
      </c>
      <c r="I2914">
        <v>0.24</v>
      </c>
      <c r="J2914" t="s">
        <v>120</v>
      </c>
      <c r="K2914" t="s">
        <v>12884</v>
      </c>
      <c r="L2914">
        <v>0.34</v>
      </c>
      <c r="M2914">
        <v>4.0599999999999996</v>
      </c>
      <c r="N2914">
        <v>1.1100000000000001</v>
      </c>
      <c r="O2914">
        <v>1.47</v>
      </c>
      <c r="P2914">
        <v>4.13</v>
      </c>
      <c r="Q2914">
        <v>-0.49</v>
      </c>
      <c r="R2914">
        <v>4.05</v>
      </c>
      <c r="S2914">
        <v>4.08</v>
      </c>
      <c r="T2914">
        <v>30829</v>
      </c>
      <c r="U2914">
        <v>4.07</v>
      </c>
      <c r="V2914">
        <v>4.07</v>
      </c>
      <c r="W2914">
        <v>25.95</v>
      </c>
      <c r="X2914" t="s">
        <v>735</v>
      </c>
      <c r="Y2914" t="s">
        <v>937</v>
      </c>
      <c r="Z2914">
        <v>1.97</v>
      </c>
      <c r="AA2914">
        <v>4.09</v>
      </c>
      <c r="AB2914">
        <v>15497</v>
      </c>
      <c r="AC2914">
        <v>15332</v>
      </c>
      <c r="AD2914">
        <v>1.01</v>
      </c>
      <c r="AE2914">
        <v>1746</v>
      </c>
      <c r="AF2914">
        <v>430</v>
      </c>
      <c r="AG2914" t="s">
        <v>120</v>
      </c>
      <c r="AH2914">
        <v>0</v>
      </c>
      <c r="AI2914" t="s">
        <v>120</v>
      </c>
      <c r="AJ2914">
        <v>8.9700000000000006</v>
      </c>
      <c r="AK2914" t="s">
        <v>9380</v>
      </c>
      <c r="AL2914">
        <v>1.1000000000000001</v>
      </c>
      <c r="AM2914">
        <v>581</v>
      </c>
      <c r="AN2914">
        <v>53</v>
      </c>
      <c r="AO2914">
        <v>5.9999999999999995E-4</v>
      </c>
      <c r="AP2914">
        <v>-1</v>
      </c>
      <c r="AQ2914">
        <v>0.25</v>
      </c>
      <c r="AR2914">
        <v>-0.98</v>
      </c>
      <c r="AS2914">
        <v>4.37</v>
      </c>
      <c r="AT2914">
        <v>-3.57</v>
      </c>
      <c r="AU2914">
        <v>-5.8</v>
      </c>
      <c r="AV2914">
        <v>1</v>
      </c>
      <c r="AW2914">
        <v>0.86</v>
      </c>
      <c r="AX2914">
        <v>39.75</v>
      </c>
      <c r="AY2914">
        <v>16.05</v>
      </c>
      <c r="AZ2914">
        <v>17.87</v>
      </c>
      <c r="BA2914">
        <v>0.21</v>
      </c>
      <c r="BB2914" t="s">
        <v>143</v>
      </c>
      <c r="BF2914">
        <v>0.6</v>
      </c>
      <c r="BG2914">
        <v>-0.49</v>
      </c>
      <c r="BH2914">
        <v>-1.69</v>
      </c>
      <c r="BI2914">
        <v>0.25</v>
      </c>
      <c r="BJ2914">
        <v>20210830</v>
      </c>
      <c r="BK2914">
        <v>19931122</v>
      </c>
      <c r="BL2914">
        <v>8.98</v>
      </c>
      <c r="BM2914" t="s">
        <v>120</v>
      </c>
      <c r="BN2914" t="s">
        <v>120</v>
      </c>
      <c r="BO2914">
        <v>140.35</v>
      </c>
      <c r="BP2914">
        <v>4.0599999999999996</v>
      </c>
      <c r="BQ2914">
        <v>34.299999999999997</v>
      </c>
      <c r="BR2914">
        <v>5.75</v>
      </c>
      <c r="BS2914">
        <v>71.459999999999994</v>
      </c>
      <c r="BT2914">
        <v>42.53</v>
      </c>
      <c r="BU2914">
        <v>9.0399999999999991</v>
      </c>
      <c r="BV2914">
        <v>0.05</v>
      </c>
      <c r="BW2914">
        <v>41.83</v>
      </c>
      <c r="BX2914">
        <v>6.56</v>
      </c>
      <c r="BY2914">
        <v>30.13</v>
      </c>
      <c r="BZ2914">
        <v>0.5</v>
      </c>
      <c r="CA2914">
        <v>0.25</v>
      </c>
      <c r="CB2914">
        <v>1.1100000000000001</v>
      </c>
      <c r="CC2914">
        <v>9.8000000000000007</v>
      </c>
      <c r="CD2914">
        <v>4.67</v>
      </c>
      <c r="CE2914">
        <v>1.5</v>
      </c>
      <c r="CF2914">
        <v>0.02</v>
      </c>
      <c r="CG2914">
        <v>1.49</v>
      </c>
      <c r="CH2914">
        <v>1.05</v>
      </c>
      <c r="CI2914">
        <v>0.7</v>
      </c>
      <c r="CJ2914">
        <v>-0.01</v>
      </c>
      <c r="CK2914">
        <v>0.6</v>
      </c>
      <c r="CL2914">
        <v>23.26</v>
      </c>
      <c r="CM2914">
        <v>0.84</v>
      </c>
      <c r="CN2914">
        <v>0.35</v>
      </c>
      <c r="CO2914">
        <v>17313</v>
      </c>
      <c r="CP2914">
        <v>20621</v>
      </c>
      <c r="CQ2914" t="s">
        <v>7268</v>
      </c>
      <c r="CR2914">
        <v>49.09</v>
      </c>
      <c r="CS2914">
        <v>22.57</v>
      </c>
      <c r="CT2914">
        <v>1.06</v>
      </c>
      <c r="CU2914">
        <v>43.44</v>
      </c>
      <c r="CV2914">
        <v>3.72</v>
      </c>
      <c r="CW2914">
        <v>0</v>
      </c>
      <c r="CX2914" t="s">
        <v>535</v>
      </c>
      <c r="CY2914">
        <v>3.82</v>
      </c>
      <c r="CZ2914">
        <v>0</v>
      </c>
      <c r="DA2914">
        <v>0.12</v>
      </c>
      <c r="DB2914">
        <v>2.59</v>
      </c>
      <c r="DC2914">
        <v>0.09</v>
      </c>
      <c r="DD2914">
        <v>24.44</v>
      </c>
      <c r="DE2914" t="s">
        <v>234</v>
      </c>
      <c r="DF2914">
        <v>52.32</v>
      </c>
      <c r="DG2914">
        <v>15.27</v>
      </c>
      <c r="DH2914">
        <v>7.17</v>
      </c>
      <c r="DI2914" t="s">
        <v>120</v>
      </c>
      <c r="DJ2914">
        <v>1548</v>
      </c>
      <c r="DK2914">
        <v>600693</v>
      </c>
      <c r="DL2914" t="s">
        <v>120</v>
      </c>
      <c r="DM2914" t="s">
        <v>120</v>
      </c>
      <c r="DN2914" t="s">
        <v>120</v>
      </c>
    </row>
    <row r="2915" spans="1:118">
      <c r="A2915" t="str">
        <f>"600694"</f>
        <v>600694</v>
      </c>
      <c r="B2915" t="s">
        <v>12885</v>
      </c>
      <c r="C2915">
        <v>-0.84</v>
      </c>
      <c r="D2915">
        <v>0</v>
      </c>
      <c r="E2915">
        <v>-0.34</v>
      </c>
      <c r="F2915">
        <v>22</v>
      </c>
      <c r="G2915" t="s">
        <v>5534</v>
      </c>
      <c r="H2915">
        <v>4640.93</v>
      </c>
      <c r="I2915">
        <v>35.99</v>
      </c>
      <c r="J2915" t="s">
        <v>120</v>
      </c>
      <c r="K2915" t="s">
        <v>12886</v>
      </c>
      <c r="L2915">
        <v>0.78</v>
      </c>
      <c r="M2915">
        <v>20.12</v>
      </c>
      <c r="N2915">
        <v>0.97</v>
      </c>
      <c r="O2915">
        <v>1.92</v>
      </c>
      <c r="P2915">
        <v>20.68</v>
      </c>
      <c r="Q2915">
        <v>-1.08</v>
      </c>
      <c r="R2915">
        <v>20.07</v>
      </c>
      <c r="S2915">
        <v>20.22</v>
      </c>
      <c r="T2915">
        <v>22777</v>
      </c>
      <c r="U2915">
        <v>20.12</v>
      </c>
      <c r="V2915">
        <v>20.29</v>
      </c>
      <c r="W2915">
        <v>5.94</v>
      </c>
      <c r="X2915" t="s">
        <v>735</v>
      </c>
      <c r="Y2915" t="s">
        <v>432</v>
      </c>
      <c r="Z2915">
        <v>3.01</v>
      </c>
      <c r="AA2915">
        <v>20.38</v>
      </c>
      <c r="AB2915">
        <v>12167</v>
      </c>
      <c r="AC2915">
        <v>10610</v>
      </c>
      <c r="AD2915">
        <v>1.1499999999999999</v>
      </c>
      <c r="AE2915">
        <v>4</v>
      </c>
      <c r="AF2915">
        <v>51</v>
      </c>
      <c r="AG2915" t="s">
        <v>120</v>
      </c>
      <c r="AH2915">
        <v>0.01</v>
      </c>
      <c r="AI2915" t="s">
        <v>120</v>
      </c>
      <c r="AJ2915">
        <v>2.94</v>
      </c>
      <c r="AK2915" t="s">
        <v>12886</v>
      </c>
      <c r="AL2915">
        <v>0.51</v>
      </c>
      <c r="AM2915">
        <v>1572</v>
      </c>
      <c r="AN2915">
        <v>14</v>
      </c>
      <c r="AO2915">
        <v>5.0000000000000001E-4</v>
      </c>
      <c r="AP2915">
        <v>-1</v>
      </c>
      <c r="AQ2915">
        <v>0.59</v>
      </c>
      <c r="AR2915">
        <v>-2.76</v>
      </c>
      <c r="AS2915">
        <v>4.41</v>
      </c>
      <c r="AT2915">
        <v>1.36</v>
      </c>
      <c r="AU2915">
        <v>2.13</v>
      </c>
      <c r="AV2915">
        <v>0</v>
      </c>
      <c r="AW2915">
        <v>1.25</v>
      </c>
      <c r="AX2915">
        <v>61.98</v>
      </c>
      <c r="AY2915">
        <v>8.3000000000000007</v>
      </c>
      <c r="AZ2915">
        <v>11.93</v>
      </c>
      <c r="BA2915">
        <v>0.6</v>
      </c>
      <c r="BB2915" t="s">
        <v>143</v>
      </c>
      <c r="BF2915">
        <v>0.42</v>
      </c>
      <c r="BG2915">
        <v>-0.49</v>
      </c>
      <c r="BH2915">
        <v>-2.71</v>
      </c>
      <c r="BI2915">
        <v>0.25</v>
      </c>
      <c r="BJ2915">
        <v>20210825</v>
      </c>
      <c r="BK2915">
        <v>19931122</v>
      </c>
      <c r="BL2915">
        <v>2.94</v>
      </c>
      <c r="BM2915" t="s">
        <v>120</v>
      </c>
      <c r="BN2915" t="s">
        <v>120</v>
      </c>
      <c r="BO2915">
        <v>210.13</v>
      </c>
      <c r="BP2915">
        <v>20.11</v>
      </c>
      <c r="BQ2915">
        <v>89.39</v>
      </c>
      <c r="BR2915">
        <v>3.09</v>
      </c>
      <c r="BS2915">
        <v>55.99</v>
      </c>
      <c r="BT2915">
        <v>108.19</v>
      </c>
      <c r="BU2915">
        <v>41.8</v>
      </c>
      <c r="BV2915">
        <v>7.11</v>
      </c>
      <c r="BW2915">
        <v>63.61</v>
      </c>
      <c r="BX2915">
        <v>40.28</v>
      </c>
      <c r="BY2915">
        <v>39.54</v>
      </c>
      <c r="BZ2915">
        <v>1.82</v>
      </c>
      <c r="CA2915" t="s">
        <v>120</v>
      </c>
      <c r="CB2915">
        <v>11.95</v>
      </c>
      <c r="CC2915">
        <v>43.76</v>
      </c>
      <c r="CD2915">
        <v>25.64</v>
      </c>
      <c r="CE2915">
        <v>7.04</v>
      </c>
      <c r="CF2915">
        <v>0.13</v>
      </c>
      <c r="CG2915">
        <v>7.26</v>
      </c>
      <c r="CH2915">
        <v>5.39</v>
      </c>
      <c r="CI2915">
        <v>4.9800000000000004</v>
      </c>
      <c r="CJ2915">
        <v>-0.17</v>
      </c>
      <c r="CK2915">
        <v>4.2699999999999996</v>
      </c>
      <c r="CL2915">
        <v>66.930000000000007</v>
      </c>
      <c r="CM2915">
        <v>4.41</v>
      </c>
      <c r="CN2915">
        <v>6.18</v>
      </c>
      <c r="CO2915">
        <v>24644</v>
      </c>
      <c r="CP2915">
        <v>7387</v>
      </c>
      <c r="CQ2915" t="s">
        <v>12887</v>
      </c>
      <c r="CR2915">
        <v>78.53</v>
      </c>
      <c r="CS2915">
        <v>10.26</v>
      </c>
      <c r="CT2915">
        <v>0.66</v>
      </c>
      <c r="CU2915">
        <v>13.41</v>
      </c>
      <c r="CV2915">
        <v>1.35</v>
      </c>
      <c r="CW2915">
        <v>2.87</v>
      </c>
      <c r="CX2915" t="s">
        <v>12888</v>
      </c>
      <c r="CY2915">
        <v>30.43</v>
      </c>
      <c r="CZ2915">
        <v>0</v>
      </c>
      <c r="DA2915">
        <v>4.07</v>
      </c>
      <c r="DB2915">
        <v>22.79</v>
      </c>
      <c r="DC2915">
        <v>1.5</v>
      </c>
      <c r="DD2915">
        <v>42.54</v>
      </c>
      <c r="DE2915" t="s">
        <v>5126</v>
      </c>
      <c r="DF2915">
        <v>41.39</v>
      </c>
      <c r="DG2915">
        <v>16.079999999999998</v>
      </c>
      <c r="DH2915">
        <v>11.37</v>
      </c>
      <c r="DI2915" t="s">
        <v>120</v>
      </c>
      <c r="DJ2915">
        <v>12348</v>
      </c>
      <c r="DK2915">
        <v>600694</v>
      </c>
      <c r="DL2915" t="s">
        <v>120</v>
      </c>
      <c r="DM2915" t="s">
        <v>120</v>
      </c>
      <c r="DN2915" t="s">
        <v>120</v>
      </c>
    </row>
    <row r="2916" spans="1:118">
      <c r="A2916" t="str">
        <f>"600696"</f>
        <v>600696</v>
      </c>
      <c r="B2916" t="s">
        <v>12889</v>
      </c>
      <c r="C2916">
        <v>-3.25</v>
      </c>
      <c r="D2916">
        <v>0</v>
      </c>
      <c r="E2916">
        <v>-0.71</v>
      </c>
      <c r="F2916">
        <v>776</v>
      </c>
      <c r="G2916" t="s">
        <v>12890</v>
      </c>
      <c r="H2916">
        <v>11828.21</v>
      </c>
      <c r="I2916">
        <v>138.52000000000001</v>
      </c>
      <c r="J2916" t="s">
        <v>120</v>
      </c>
      <c r="K2916" t="s">
        <v>12891</v>
      </c>
      <c r="L2916">
        <v>1.1599999999999999</v>
      </c>
      <c r="M2916">
        <v>30.06</v>
      </c>
      <c r="N2916">
        <v>1.19</v>
      </c>
      <c r="O2916">
        <v>0.87</v>
      </c>
      <c r="P2916">
        <v>31.34</v>
      </c>
      <c r="Q2916">
        <v>-3.28</v>
      </c>
      <c r="R2916">
        <v>30.05</v>
      </c>
      <c r="S2916">
        <v>30.85</v>
      </c>
      <c r="T2916">
        <v>38679</v>
      </c>
      <c r="U2916">
        <v>30.06</v>
      </c>
      <c r="V2916">
        <v>31.07</v>
      </c>
      <c r="W2916">
        <v>144.33000000000001</v>
      </c>
      <c r="X2916" t="s">
        <v>150</v>
      </c>
      <c r="Y2916" t="s">
        <v>1510</v>
      </c>
      <c r="Z2916">
        <v>4.1500000000000004</v>
      </c>
      <c r="AA2916">
        <v>30.58</v>
      </c>
      <c r="AB2916">
        <v>18164</v>
      </c>
      <c r="AC2916">
        <v>20515</v>
      </c>
      <c r="AD2916">
        <v>0.89</v>
      </c>
      <c r="AE2916">
        <v>26</v>
      </c>
      <c r="AF2916">
        <v>2</v>
      </c>
      <c r="AG2916" t="s">
        <v>120</v>
      </c>
      <c r="AH2916">
        <v>0.04</v>
      </c>
      <c r="AI2916" t="s">
        <v>120</v>
      </c>
      <c r="AJ2916">
        <v>3.34</v>
      </c>
      <c r="AK2916" t="s">
        <v>12891</v>
      </c>
      <c r="AL2916">
        <v>-1.91</v>
      </c>
      <c r="AM2916">
        <v>2441</v>
      </c>
      <c r="AN2916">
        <v>16</v>
      </c>
      <c r="AO2916">
        <v>5.0000000000000001E-4</v>
      </c>
      <c r="AP2916">
        <v>-4</v>
      </c>
      <c r="AQ2916">
        <v>-2.11</v>
      </c>
      <c r="AR2916">
        <v>-6.96</v>
      </c>
      <c r="AS2916">
        <v>-23.3</v>
      </c>
      <c r="AT2916">
        <v>-35.340000000000003</v>
      </c>
      <c r="AU2916">
        <v>156.93</v>
      </c>
      <c r="AV2916">
        <v>48</v>
      </c>
      <c r="AW2916">
        <v>3.22</v>
      </c>
      <c r="AX2916">
        <v>35.869999999999997</v>
      </c>
      <c r="AY2916">
        <v>268.54000000000002</v>
      </c>
      <c r="AZ2916">
        <v>1295.45</v>
      </c>
      <c r="BA2916">
        <v>1.36</v>
      </c>
      <c r="BB2916" t="s">
        <v>125</v>
      </c>
      <c r="BF2916">
        <v>-1.58</v>
      </c>
      <c r="BG2916">
        <v>-2.56</v>
      </c>
      <c r="BH2916">
        <v>-4.08</v>
      </c>
      <c r="BI2916">
        <v>0.03</v>
      </c>
      <c r="BJ2916">
        <v>20210817</v>
      </c>
      <c r="BK2916">
        <v>19931206</v>
      </c>
      <c r="BL2916">
        <v>3.34</v>
      </c>
      <c r="BM2916" t="s">
        <v>120</v>
      </c>
      <c r="BN2916" t="s">
        <v>120</v>
      </c>
      <c r="BO2916">
        <v>10.79</v>
      </c>
      <c r="BP2916">
        <v>30.05</v>
      </c>
      <c r="BQ2916">
        <v>4.53</v>
      </c>
      <c r="BR2916">
        <v>1.26</v>
      </c>
      <c r="BS2916">
        <v>46.42</v>
      </c>
      <c r="BT2916">
        <v>5.71</v>
      </c>
      <c r="BU2916">
        <v>2.29</v>
      </c>
      <c r="BV2916">
        <v>0.26</v>
      </c>
      <c r="BW2916">
        <v>4.8499999999999996</v>
      </c>
      <c r="BX2916">
        <v>1.24</v>
      </c>
      <c r="BY2916">
        <v>2</v>
      </c>
      <c r="BZ2916">
        <v>0.38</v>
      </c>
      <c r="CA2916">
        <v>0</v>
      </c>
      <c r="CB2916">
        <v>1.33</v>
      </c>
      <c r="CC2916">
        <v>2.27</v>
      </c>
      <c r="CD2916">
        <v>0.93</v>
      </c>
      <c r="CE2916">
        <v>0.47</v>
      </c>
      <c r="CF2916">
        <v>-0.02</v>
      </c>
      <c r="CG2916">
        <v>0.47</v>
      </c>
      <c r="CH2916">
        <v>0.38</v>
      </c>
      <c r="CI2916">
        <v>0.35</v>
      </c>
      <c r="CJ2916">
        <v>-1.01</v>
      </c>
      <c r="CK2916">
        <v>0.31</v>
      </c>
      <c r="CL2916">
        <v>-0.02</v>
      </c>
      <c r="CM2916">
        <v>1.66</v>
      </c>
      <c r="CN2916">
        <v>0.9</v>
      </c>
      <c r="CO2916">
        <v>36968</v>
      </c>
      <c r="CP2916">
        <v>3246</v>
      </c>
      <c r="CQ2916" t="s">
        <v>3596</v>
      </c>
      <c r="CR2916">
        <v>738.4</v>
      </c>
      <c r="CS2916">
        <v>890.25</v>
      </c>
      <c r="CT2916">
        <v>22.21</v>
      </c>
      <c r="CU2916">
        <v>60.39</v>
      </c>
      <c r="CV2916">
        <v>44.32</v>
      </c>
      <c r="CW2916">
        <v>0</v>
      </c>
      <c r="CX2916" t="s">
        <v>411</v>
      </c>
      <c r="CY2916">
        <v>1.35</v>
      </c>
      <c r="CZ2916">
        <v>0</v>
      </c>
      <c r="DA2916">
        <v>0.4</v>
      </c>
      <c r="DB2916">
        <v>-0.01</v>
      </c>
      <c r="DC2916">
        <v>0.5</v>
      </c>
      <c r="DD2916">
        <v>41.94</v>
      </c>
      <c r="DE2916" t="s">
        <v>5506</v>
      </c>
      <c r="DF2916">
        <v>59.18</v>
      </c>
      <c r="DG2916">
        <v>20.82</v>
      </c>
      <c r="DH2916">
        <v>15.35</v>
      </c>
      <c r="DI2916" t="s">
        <v>120</v>
      </c>
      <c r="DJ2916">
        <v>435</v>
      </c>
      <c r="DK2916">
        <v>600696</v>
      </c>
      <c r="DL2916" t="s">
        <v>120</v>
      </c>
      <c r="DM2916" t="s">
        <v>120</v>
      </c>
      <c r="DN2916" t="s">
        <v>120</v>
      </c>
    </row>
    <row r="2917" spans="1:118">
      <c r="A2917" t="str">
        <f>"600697"</f>
        <v>600697</v>
      </c>
      <c r="B2917" t="s">
        <v>12892</v>
      </c>
      <c r="C2917">
        <v>-0.78</v>
      </c>
      <c r="D2917">
        <v>-7.0000000000000007E-2</v>
      </c>
      <c r="E2917">
        <v>1.02</v>
      </c>
      <c r="F2917">
        <v>30</v>
      </c>
      <c r="G2917" t="s">
        <v>8420</v>
      </c>
      <c r="H2917">
        <v>1294.46</v>
      </c>
      <c r="I2917">
        <v>17.8</v>
      </c>
      <c r="J2917" t="s">
        <v>120</v>
      </c>
      <c r="K2917" t="s">
        <v>7473</v>
      </c>
      <c r="L2917">
        <v>0.65</v>
      </c>
      <c r="M2917">
        <v>12.67</v>
      </c>
      <c r="N2917">
        <v>1.01</v>
      </c>
      <c r="O2917">
        <v>1.02</v>
      </c>
      <c r="P2917">
        <v>12.9</v>
      </c>
      <c r="Q2917">
        <v>-1.1000000000000001</v>
      </c>
      <c r="R2917">
        <v>12.63</v>
      </c>
      <c r="S2917">
        <v>12.9</v>
      </c>
      <c r="T2917">
        <v>10138</v>
      </c>
      <c r="U2917">
        <v>12.69</v>
      </c>
      <c r="V2917">
        <v>12.77</v>
      </c>
      <c r="W2917">
        <v>58.24</v>
      </c>
      <c r="X2917" t="s">
        <v>735</v>
      </c>
      <c r="Y2917" t="s">
        <v>290</v>
      </c>
      <c r="Z2917">
        <v>2.11</v>
      </c>
      <c r="AA2917">
        <v>12.77</v>
      </c>
      <c r="AB2917">
        <v>5496</v>
      </c>
      <c r="AC2917">
        <v>4642</v>
      </c>
      <c r="AD2917">
        <v>1.18</v>
      </c>
      <c r="AE2917">
        <v>131</v>
      </c>
      <c r="AF2917">
        <v>5</v>
      </c>
      <c r="AG2917" t="s">
        <v>120</v>
      </c>
      <c r="AH2917">
        <v>0.01</v>
      </c>
      <c r="AI2917" t="s">
        <v>120</v>
      </c>
      <c r="AJ2917">
        <v>1.55</v>
      </c>
      <c r="AK2917" t="s">
        <v>4497</v>
      </c>
      <c r="AL2917">
        <v>0.56000000000000005</v>
      </c>
      <c r="AM2917">
        <v>648</v>
      </c>
      <c r="AN2917">
        <v>16</v>
      </c>
      <c r="AO2917">
        <v>1E-3</v>
      </c>
      <c r="AP2917">
        <v>-1</v>
      </c>
      <c r="AQ2917">
        <v>0.95</v>
      </c>
      <c r="AR2917">
        <v>-1.0900000000000001</v>
      </c>
      <c r="AS2917">
        <v>2.5099999999999998</v>
      </c>
      <c r="AT2917">
        <v>-3.87</v>
      </c>
      <c r="AU2917">
        <v>-6.64</v>
      </c>
      <c r="AV2917">
        <v>0</v>
      </c>
      <c r="AW2917">
        <v>0.87</v>
      </c>
      <c r="AX2917">
        <v>73</v>
      </c>
      <c r="AY2917">
        <v>60.56</v>
      </c>
      <c r="AZ2917">
        <v>89.45</v>
      </c>
      <c r="BA2917">
        <v>0.27</v>
      </c>
      <c r="BB2917" t="s">
        <v>184</v>
      </c>
      <c r="BF2917">
        <v>-0.01</v>
      </c>
      <c r="BG2917">
        <v>-1.78</v>
      </c>
      <c r="BH2917">
        <v>-1.78</v>
      </c>
      <c r="BI2917">
        <v>0.32</v>
      </c>
      <c r="BJ2917">
        <v>20210830</v>
      </c>
      <c r="BK2917">
        <v>19931206</v>
      </c>
      <c r="BL2917">
        <v>1.59</v>
      </c>
      <c r="BM2917" t="s">
        <v>120</v>
      </c>
      <c r="BN2917" t="s">
        <v>120</v>
      </c>
      <c r="BO2917">
        <v>221.76</v>
      </c>
      <c r="BP2917">
        <v>12.67</v>
      </c>
      <c r="BQ2917">
        <v>32.729999999999997</v>
      </c>
      <c r="BR2917">
        <v>19.95</v>
      </c>
      <c r="BS2917">
        <v>76.239999999999995</v>
      </c>
      <c r="BT2917">
        <v>49.44</v>
      </c>
      <c r="BU2917">
        <v>124.4</v>
      </c>
      <c r="BV2917">
        <v>20.059999999999999</v>
      </c>
      <c r="BW2917">
        <v>141.27000000000001</v>
      </c>
      <c r="BX2917">
        <v>9.9499999999999993</v>
      </c>
      <c r="BY2917">
        <v>30.92</v>
      </c>
      <c r="BZ2917">
        <v>0.21</v>
      </c>
      <c r="CA2917">
        <v>0.16</v>
      </c>
      <c r="CB2917">
        <v>4.03</v>
      </c>
      <c r="CC2917">
        <v>42.57</v>
      </c>
      <c r="CD2917">
        <v>25.56</v>
      </c>
      <c r="CE2917">
        <v>1.95</v>
      </c>
      <c r="CF2917">
        <v>-0.06</v>
      </c>
      <c r="CG2917">
        <v>1.98</v>
      </c>
      <c r="CH2917">
        <v>1.1599999999999999</v>
      </c>
      <c r="CI2917">
        <v>0.17</v>
      </c>
      <c r="CJ2917">
        <v>-0.1</v>
      </c>
      <c r="CK2917">
        <v>0.01</v>
      </c>
      <c r="CL2917">
        <v>20.29</v>
      </c>
      <c r="CM2917">
        <v>3.5</v>
      </c>
      <c r="CN2917">
        <v>-2.48</v>
      </c>
      <c r="CO2917">
        <v>15435</v>
      </c>
      <c r="CP2917">
        <v>7525</v>
      </c>
      <c r="CQ2917" t="s">
        <v>7855</v>
      </c>
      <c r="CR2917">
        <v>167.38</v>
      </c>
      <c r="CS2917">
        <v>11.41</v>
      </c>
      <c r="CT2917">
        <v>0.75</v>
      </c>
      <c r="CU2917">
        <v>5.76</v>
      </c>
      <c r="CV2917">
        <v>0.47</v>
      </c>
      <c r="CW2917">
        <v>3.13</v>
      </c>
      <c r="CX2917" t="s">
        <v>1147</v>
      </c>
      <c r="CY2917">
        <v>16.8</v>
      </c>
      <c r="CZ2917">
        <v>16.8</v>
      </c>
      <c r="DA2917">
        <v>2.5299999999999998</v>
      </c>
      <c r="DB2917">
        <v>12.76</v>
      </c>
      <c r="DC2917">
        <v>2.2000000000000002</v>
      </c>
      <c r="DD2917">
        <v>14.76</v>
      </c>
      <c r="DE2917" t="s">
        <v>4457</v>
      </c>
      <c r="DF2917">
        <v>39.950000000000003</v>
      </c>
      <c r="DG2917">
        <v>4.57</v>
      </c>
      <c r="DH2917">
        <v>0.41</v>
      </c>
      <c r="DI2917" t="s">
        <v>120</v>
      </c>
      <c r="DJ2917">
        <v>11225</v>
      </c>
      <c r="DK2917">
        <v>600697</v>
      </c>
      <c r="DL2917" t="s">
        <v>120</v>
      </c>
      <c r="DM2917" t="s">
        <v>120</v>
      </c>
      <c r="DN2917" t="s">
        <v>120</v>
      </c>
    </row>
    <row r="2918" spans="1:118">
      <c r="A2918" t="str">
        <f>"600698"</f>
        <v>600698</v>
      </c>
      <c r="B2918" t="s">
        <v>12893</v>
      </c>
      <c r="C2918">
        <v>-3.37</v>
      </c>
      <c r="D2918">
        <v>0.57999999999999996</v>
      </c>
      <c r="E2918">
        <v>-0.56000000000000005</v>
      </c>
      <c r="F2918">
        <v>2252</v>
      </c>
      <c r="G2918" t="s">
        <v>10985</v>
      </c>
      <c r="H2918">
        <v>7444.55</v>
      </c>
      <c r="I2918">
        <v>65.56</v>
      </c>
      <c r="J2918" t="s">
        <v>120</v>
      </c>
      <c r="K2918" t="s">
        <v>2580</v>
      </c>
      <c r="L2918">
        <v>2.89</v>
      </c>
      <c r="M2918">
        <v>3.44</v>
      </c>
      <c r="N2918">
        <v>0.95</v>
      </c>
      <c r="O2918">
        <v>0.56000000000000005</v>
      </c>
      <c r="P2918">
        <v>3.58</v>
      </c>
      <c r="Q2918">
        <v>-4.49</v>
      </c>
      <c r="R2918">
        <v>3.4</v>
      </c>
      <c r="S2918">
        <v>3.54</v>
      </c>
      <c r="T2918">
        <v>213145</v>
      </c>
      <c r="U2918">
        <v>3.44</v>
      </c>
      <c r="V2918">
        <v>3.56</v>
      </c>
      <c r="W2918">
        <v>340.81</v>
      </c>
      <c r="X2918" t="s">
        <v>289</v>
      </c>
      <c r="Y2918" t="s">
        <v>594</v>
      </c>
      <c r="Z2918">
        <v>5.0599999999999996</v>
      </c>
      <c r="AA2918">
        <v>3.49</v>
      </c>
      <c r="AB2918">
        <v>125316</v>
      </c>
      <c r="AC2918">
        <v>87829</v>
      </c>
      <c r="AD2918">
        <v>1.43</v>
      </c>
      <c r="AE2918">
        <v>286</v>
      </c>
      <c r="AF2918">
        <v>398</v>
      </c>
      <c r="AG2918" t="s">
        <v>120</v>
      </c>
      <c r="AH2918">
        <v>0.04</v>
      </c>
      <c r="AI2918" t="s">
        <v>120</v>
      </c>
      <c r="AJ2918">
        <v>7.38</v>
      </c>
      <c r="AK2918" t="s">
        <v>12894</v>
      </c>
      <c r="AL2918">
        <v>-2.0299999999999998</v>
      </c>
      <c r="AM2918">
        <v>2491</v>
      </c>
      <c r="AN2918">
        <v>86</v>
      </c>
      <c r="AO2918">
        <v>1.1999999999999999E-3</v>
      </c>
      <c r="AP2918">
        <v>-1</v>
      </c>
      <c r="AQ2918">
        <v>4.71</v>
      </c>
      <c r="AR2918">
        <v>0.01</v>
      </c>
      <c r="AS2918">
        <v>11.68</v>
      </c>
      <c r="AT2918">
        <v>8.86</v>
      </c>
      <c r="AU2918">
        <v>38.71</v>
      </c>
      <c r="AV2918">
        <v>6</v>
      </c>
      <c r="AW2918">
        <v>4.93</v>
      </c>
      <c r="AX2918">
        <v>40.6</v>
      </c>
      <c r="AY2918">
        <v>335.23</v>
      </c>
      <c r="AZ2918">
        <v>371.41</v>
      </c>
      <c r="BA2918">
        <v>1.1399999999999999</v>
      </c>
      <c r="BB2918" t="s">
        <v>700</v>
      </c>
      <c r="BF2918">
        <v>-1.89</v>
      </c>
      <c r="BG2918">
        <v>-2.82</v>
      </c>
      <c r="BH2918">
        <v>-3.91</v>
      </c>
      <c r="BI2918">
        <v>1.18</v>
      </c>
      <c r="BJ2918">
        <v>20210802</v>
      </c>
      <c r="BK2918">
        <v>19931206</v>
      </c>
      <c r="BL2918">
        <v>10.64</v>
      </c>
      <c r="BM2918">
        <v>2.2999999999999998</v>
      </c>
      <c r="BN2918" t="s">
        <v>120</v>
      </c>
      <c r="BO2918">
        <v>11.66</v>
      </c>
      <c r="BP2918">
        <v>3.43</v>
      </c>
      <c r="BQ2918">
        <v>7.86</v>
      </c>
      <c r="BR2918" t="s">
        <v>120</v>
      </c>
      <c r="BS2918">
        <v>32.61</v>
      </c>
      <c r="BT2918">
        <v>9.6199999999999992</v>
      </c>
      <c r="BU2918">
        <v>1.62</v>
      </c>
      <c r="BV2918">
        <v>0.1</v>
      </c>
      <c r="BW2918">
        <v>3.71</v>
      </c>
      <c r="BX2918">
        <v>3.15</v>
      </c>
      <c r="BY2918">
        <v>1.28</v>
      </c>
      <c r="BZ2918">
        <v>2.72</v>
      </c>
      <c r="CA2918">
        <v>0</v>
      </c>
      <c r="CB2918">
        <v>5.27</v>
      </c>
      <c r="CC2918">
        <v>3.51</v>
      </c>
      <c r="CD2918">
        <v>2.91</v>
      </c>
      <c r="CE2918">
        <v>0.05</v>
      </c>
      <c r="CF2918">
        <v>0</v>
      </c>
      <c r="CG2918">
        <v>0.05</v>
      </c>
      <c r="CH2918">
        <v>0.05</v>
      </c>
      <c r="CI2918">
        <v>0.05</v>
      </c>
      <c r="CJ2918">
        <v>-0.12</v>
      </c>
      <c r="CK2918">
        <v>0.02</v>
      </c>
      <c r="CL2918">
        <v>-8.91</v>
      </c>
      <c r="CM2918">
        <v>-0.06</v>
      </c>
      <c r="CN2918">
        <v>-0.45</v>
      </c>
      <c r="CO2918">
        <v>93119</v>
      </c>
      <c r="CP2918">
        <v>7110</v>
      </c>
      <c r="CQ2918" t="s">
        <v>12895</v>
      </c>
      <c r="CR2918">
        <v>25.79</v>
      </c>
      <c r="CS2918">
        <v>24.76</v>
      </c>
      <c r="CT2918">
        <v>4.66</v>
      </c>
      <c r="CU2918">
        <v>-661.85</v>
      </c>
      <c r="CV2918">
        <v>10.42</v>
      </c>
      <c r="CW2918">
        <v>0</v>
      </c>
      <c r="CX2918" t="s">
        <v>4638</v>
      </c>
      <c r="CY2918">
        <v>0.74</v>
      </c>
      <c r="CZ2918">
        <v>0</v>
      </c>
      <c r="DA2918">
        <v>0.5</v>
      </c>
      <c r="DB2918">
        <v>-0.84</v>
      </c>
      <c r="DC2918">
        <v>-0.01</v>
      </c>
      <c r="DD2918">
        <v>67.39</v>
      </c>
      <c r="DE2918" t="s">
        <v>1405</v>
      </c>
      <c r="DF2918">
        <v>17.25</v>
      </c>
      <c r="DG2918">
        <v>1.53</v>
      </c>
      <c r="DH2918">
        <v>1.53</v>
      </c>
      <c r="DI2918">
        <v>0.14000000000000001</v>
      </c>
      <c r="DJ2918">
        <v>1135</v>
      </c>
      <c r="DK2918">
        <v>600698</v>
      </c>
      <c r="DL2918" t="s">
        <v>120</v>
      </c>
      <c r="DM2918" t="s">
        <v>120</v>
      </c>
      <c r="DN2918" t="s">
        <v>120</v>
      </c>
    </row>
    <row r="2919" spans="1:118">
      <c r="A2919" t="str">
        <f>"600699"</f>
        <v>600699</v>
      </c>
      <c r="B2919" t="s">
        <v>12896</v>
      </c>
      <c r="C2919">
        <v>-3.64</v>
      </c>
      <c r="D2919">
        <v>-0.21</v>
      </c>
      <c r="E2919">
        <v>-0.27</v>
      </c>
      <c r="F2919">
        <v>8306</v>
      </c>
      <c r="G2919" t="s">
        <v>12897</v>
      </c>
      <c r="H2919">
        <v>64668.57</v>
      </c>
      <c r="I2919">
        <v>49.37</v>
      </c>
      <c r="J2919" t="s">
        <v>120</v>
      </c>
      <c r="K2919" t="s">
        <v>12898</v>
      </c>
      <c r="L2919">
        <v>2.59</v>
      </c>
      <c r="M2919">
        <v>18</v>
      </c>
      <c r="N2919">
        <v>1.32</v>
      </c>
      <c r="O2919">
        <v>-0.21</v>
      </c>
      <c r="P2919">
        <v>18.64</v>
      </c>
      <c r="Q2919">
        <v>-3.64</v>
      </c>
      <c r="R2919">
        <v>18</v>
      </c>
      <c r="S2919">
        <v>18.63</v>
      </c>
      <c r="T2919">
        <v>354488</v>
      </c>
      <c r="U2919">
        <v>18.010000000000002</v>
      </c>
      <c r="V2919">
        <v>18.68</v>
      </c>
      <c r="W2919">
        <v>45.84</v>
      </c>
      <c r="X2919" t="s">
        <v>289</v>
      </c>
      <c r="Y2919" t="s">
        <v>585</v>
      </c>
      <c r="Z2919">
        <v>3.43</v>
      </c>
      <c r="AA2919">
        <v>18.239999999999998</v>
      </c>
      <c r="AB2919">
        <v>184138</v>
      </c>
      <c r="AC2919">
        <v>170350</v>
      </c>
      <c r="AD2919">
        <v>1.08</v>
      </c>
      <c r="AE2919">
        <v>6534</v>
      </c>
      <c r="AF2919">
        <v>508</v>
      </c>
      <c r="AG2919" t="s">
        <v>120</v>
      </c>
      <c r="AH2919">
        <v>0</v>
      </c>
      <c r="AI2919" t="s">
        <v>120</v>
      </c>
      <c r="AJ2919">
        <v>13.68</v>
      </c>
      <c r="AK2919" t="s">
        <v>12898</v>
      </c>
      <c r="AL2919">
        <v>-2.2999999999999998</v>
      </c>
      <c r="AM2919">
        <v>4508</v>
      </c>
      <c r="AN2919">
        <v>79</v>
      </c>
      <c r="AO2919">
        <v>5.9999999999999995E-4</v>
      </c>
      <c r="AP2919">
        <v>-4</v>
      </c>
      <c r="AQ2919">
        <v>-1.1599999999999999</v>
      </c>
      <c r="AR2919">
        <v>-5.61</v>
      </c>
      <c r="AS2919">
        <v>-25.37</v>
      </c>
      <c r="AT2919">
        <v>-23.43</v>
      </c>
      <c r="AU2919">
        <v>-28.6</v>
      </c>
      <c r="AV2919">
        <v>5</v>
      </c>
      <c r="AW2919">
        <v>4.1399999999999997</v>
      </c>
      <c r="AX2919">
        <v>62.66</v>
      </c>
      <c r="AY2919">
        <v>17.95</v>
      </c>
      <c r="AZ2919">
        <v>41.47</v>
      </c>
      <c r="BA2919">
        <v>0.78</v>
      </c>
      <c r="BB2919" t="s">
        <v>134</v>
      </c>
      <c r="BF2919">
        <v>-2.34</v>
      </c>
      <c r="BG2919">
        <v>-3.38</v>
      </c>
      <c r="BH2919">
        <v>-3.43</v>
      </c>
      <c r="BI2919">
        <v>0</v>
      </c>
      <c r="BJ2919">
        <v>20210826</v>
      </c>
      <c r="BK2919">
        <v>19931206</v>
      </c>
      <c r="BL2919">
        <v>13.68</v>
      </c>
      <c r="BM2919" t="s">
        <v>120</v>
      </c>
      <c r="BN2919" t="s">
        <v>120</v>
      </c>
      <c r="BO2919">
        <v>535.74</v>
      </c>
      <c r="BP2919">
        <v>18</v>
      </c>
      <c r="BQ2919">
        <v>149.74</v>
      </c>
      <c r="BR2919">
        <v>41.29</v>
      </c>
      <c r="BS2919">
        <v>64.34</v>
      </c>
      <c r="BT2919">
        <v>234.49</v>
      </c>
      <c r="BU2919">
        <v>108.18</v>
      </c>
      <c r="BV2919">
        <v>36.69</v>
      </c>
      <c r="BW2919">
        <v>189.2</v>
      </c>
      <c r="BX2919">
        <v>67.31</v>
      </c>
      <c r="BY2919">
        <v>70.47</v>
      </c>
      <c r="BZ2919">
        <v>66.52</v>
      </c>
      <c r="CA2919" t="s">
        <v>120</v>
      </c>
      <c r="CB2919">
        <v>99.96</v>
      </c>
      <c r="CC2919">
        <v>236.5</v>
      </c>
      <c r="CD2919">
        <v>204.88</v>
      </c>
      <c r="CE2919">
        <v>2.2400000000000002</v>
      </c>
      <c r="CF2919">
        <v>0.38</v>
      </c>
      <c r="CG2919">
        <v>2.23</v>
      </c>
      <c r="CH2919">
        <v>1.46</v>
      </c>
      <c r="CI2919">
        <v>2.69</v>
      </c>
      <c r="CJ2919">
        <v>-0.68</v>
      </c>
      <c r="CK2919">
        <v>3</v>
      </c>
      <c r="CL2919">
        <v>45.45</v>
      </c>
      <c r="CM2919">
        <v>14.74</v>
      </c>
      <c r="CN2919">
        <v>-15.62</v>
      </c>
      <c r="CO2919">
        <v>87189</v>
      </c>
      <c r="CP2919">
        <v>9831</v>
      </c>
      <c r="CQ2919" t="s">
        <v>12899</v>
      </c>
      <c r="CR2919">
        <v>149.83000000000001</v>
      </c>
      <c r="CS2919">
        <v>15.2</v>
      </c>
      <c r="CT2919">
        <v>1.64</v>
      </c>
      <c r="CU2919">
        <v>16.7</v>
      </c>
      <c r="CV2919">
        <v>1.04</v>
      </c>
      <c r="CW2919">
        <v>0.8</v>
      </c>
      <c r="CX2919" t="s">
        <v>492</v>
      </c>
      <c r="CY2919">
        <v>10.95</v>
      </c>
      <c r="CZ2919">
        <v>0</v>
      </c>
      <c r="DA2919">
        <v>7.31</v>
      </c>
      <c r="DB2919">
        <v>3.32</v>
      </c>
      <c r="DC2919">
        <v>1.08</v>
      </c>
      <c r="DD2919">
        <v>27.95</v>
      </c>
      <c r="DE2919" t="s">
        <v>6854</v>
      </c>
      <c r="DF2919">
        <v>13.37</v>
      </c>
      <c r="DG2919">
        <v>0.95</v>
      </c>
      <c r="DH2919">
        <v>1.1399999999999999</v>
      </c>
      <c r="DI2919">
        <v>10.88</v>
      </c>
      <c r="DJ2919">
        <v>53816</v>
      </c>
      <c r="DK2919">
        <v>600699</v>
      </c>
      <c r="DL2919" t="s">
        <v>120</v>
      </c>
      <c r="DM2919" t="s">
        <v>120</v>
      </c>
      <c r="DN2919" t="s">
        <v>120</v>
      </c>
    </row>
    <row r="2920" spans="1:118">
      <c r="A2920" t="str">
        <f>"600702"</f>
        <v>600702</v>
      </c>
      <c r="B2920" t="s">
        <v>12900</v>
      </c>
      <c r="C2920">
        <v>-4.32</v>
      </c>
      <c r="D2920">
        <v>0</v>
      </c>
      <c r="E2920">
        <v>-1.0900000000000001</v>
      </c>
      <c r="F2920">
        <v>1009</v>
      </c>
      <c r="G2920" t="s">
        <v>12901</v>
      </c>
      <c r="H2920">
        <v>238895.61</v>
      </c>
      <c r="I2920">
        <v>853.83</v>
      </c>
      <c r="J2920" t="s">
        <v>120</v>
      </c>
      <c r="K2920" t="s">
        <v>12902</v>
      </c>
      <c r="L2920">
        <v>4.07</v>
      </c>
      <c r="M2920">
        <v>173.15</v>
      </c>
      <c r="N2920">
        <v>1.47</v>
      </c>
      <c r="O2920">
        <v>0.85</v>
      </c>
      <c r="P2920">
        <v>182.5</v>
      </c>
      <c r="Q2920">
        <v>-4.6399999999999997</v>
      </c>
      <c r="R2920">
        <v>172.58</v>
      </c>
      <c r="S2920">
        <v>179</v>
      </c>
      <c r="T2920">
        <v>135550</v>
      </c>
      <c r="U2920">
        <v>173.17</v>
      </c>
      <c r="V2920">
        <v>180.97</v>
      </c>
      <c r="W2920">
        <v>39.549999999999997</v>
      </c>
      <c r="X2920" t="s">
        <v>1165</v>
      </c>
      <c r="Y2920" t="s">
        <v>578</v>
      </c>
      <c r="Z2920">
        <v>5.48</v>
      </c>
      <c r="AA2920">
        <v>176.24</v>
      </c>
      <c r="AB2920">
        <v>73981</v>
      </c>
      <c r="AC2920">
        <v>61569</v>
      </c>
      <c r="AD2920">
        <v>1.2</v>
      </c>
      <c r="AE2920">
        <v>69</v>
      </c>
      <c r="AF2920">
        <v>2</v>
      </c>
      <c r="AG2920" t="s">
        <v>120</v>
      </c>
      <c r="AH2920">
        <v>0.02</v>
      </c>
      <c r="AI2920" t="s">
        <v>120</v>
      </c>
      <c r="AJ2920">
        <v>3.33</v>
      </c>
      <c r="AK2920" t="s">
        <v>12903</v>
      </c>
      <c r="AL2920">
        <v>-2.98</v>
      </c>
      <c r="AM2920">
        <v>4672</v>
      </c>
      <c r="AN2920">
        <v>29</v>
      </c>
      <c r="AO2920">
        <v>8.9999999999999998E-4</v>
      </c>
      <c r="AP2920">
        <v>-4</v>
      </c>
      <c r="AQ2920">
        <v>-3.92</v>
      </c>
      <c r="AR2920">
        <v>-8.8000000000000007</v>
      </c>
      <c r="AS2920">
        <v>-15.91</v>
      </c>
      <c r="AT2920">
        <v>-7.53</v>
      </c>
      <c r="AU2920">
        <v>103.25</v>
      </c>
      <c r="AV2920">
        <v>54</v>
      </c>
      <c r="AW2920">
        <v>5.83</v>
      </c>
      <c r="AX2920">
        <v>69.180000000000007</v>
      </c>
      <c r="AY2920">
        <v>52.76</v>
      </c>
      <c r="AZ2920">
        <v>104.63</v>
      </c>
      <c r="BA2920">
        <v>2.5299999999999998</v>
      </c>
      <c r="BB2920" t="s">
        <v>240</v>
      </c>
      <c r="BF2920">
        <v>-2.61</v>
      </c>
      <c r="BG2920">
        <v>-3.27</v>
      </c>
      <c r="BH2920">
        <v>-5.12</v>
      </c>
      <c r="BI2920">
        <v>0.33</v>
      </c>
      <c r="BJ2920">
        <v>20210824</v>
      </c>
      <c r="BK2920">
        <v>19960524</v>
      </c>
      <c r="BL2920">
        <v>3.36</v>
      </c>
      <c r="BM2920" t="s">
        <v>120</v>
      </c>
      <c r="BN2920" t="s">
        <v>120</v>
      </c>
      <c r="BO2920">
        <v>72.209999999999994</v>
      </c>
      <c r="BP2920">
        <v>173.15</v>
      </c>
      <c r="BQ2920">
        <v>42.39</v>
      </c>
      <c r="BR2920">
        <v>1.92</v>
      </c>
      <c r="BS2920">
        <v>38.64</v>
      </c>
      <c r="BT2920">
        <v>56.58</v>
      </c>
      <c r="BU2920">
        <v>7.95</v>
      </c>
      <c r="BV2920">
        <v>2.73</v>
      </c>
      <c r="BW2920">
        <v>27.17</v>
      </c>
      <c r="BX2920">
        <v>23.92</v>
      </c>
      <c r="BY2920">
        <v>26.95</v>
      </c>
      <c r="BZ2920">
        <v>1.64</v>
      </c>
      <c r="CA2920">
        <v>0.02</v>
      </c>
      <c r="CB2920">
        <v>8.91</v>
      </c>
      <c r="CC2920">
        <v>23.91</v>
      </c>
      <c r="CD2920">
        <v>5.07</v>
      </c>
      <c r="CE2920">
        <v>9.75</v>
      </c>
      <c r="CF2920">
        <v>0</v>
      </c>
      <c r="CG2920">
        <v>9.7799999999999994</v>
      </c>
      <c r="CH2920">
        <v>7.5</v>
      </c>
      <c r="CI2920">
        <v>7.35</v>
      </c>
      <c r="CJ2920">
        <v>-7.82</v>
      </c>
      <c r="CK2920">
        <v>7.28</v>
      </c>
      <c r="CL2920">
        <v>30.28</v>
      </c>
      <c r="CM2920">
        <v>8.7200000000000006</v>
      </c>
      <c r="CN2920">
        <v>10.88</v>
      </c>
      <c r="CO2920">
        <v>133491</v>
      </c>
      <c r="CP2920">
        <v>1741</v>
      </c>
      <c r="CQ2920" t="s">
        <v>12904</v>
      </c>
      <c r="CR2920">
        <v>347.94</v>
      </c>
      <c r="CS2920">
        <v>133.09</v>
      </c>
      <c r="CT2920">
        <v>13.72</v>
      </c>
      <c r="CU2920">
        <v>66.75</v>
      </c>
      <c r="CV2920">
        <v>24.33</v>
      </c>
      <c r="CW2920">
        <v>0.14000000000000001</v>
      </c>
      <c r="CX2920" t="s">
        <v>12905</v>
      </c>
      <c r="CY2920">
        <v>12.62</v>
      </c>
      <c r="CZ2920">
        <v>0</v>
      </c>
      <c r="DA2920">
        <v>2.65</v>
      </c>
      <c r="DB2920">
        <v>9.01</v>
      </c>
      <c r="DC2920">
        <v>2.59</v>
      </c>
      <c r="DD2920">
        <v>58.71</v>
      </c>
      <c r="DE2920" t="s">
        <v>12906</v>
      </c>
      <c r="DF2920">
        <v>78.78</v>
      </c>
      <c r="DG2920">
        <v>40.76</v>
      </c>
      <c r="DH2920">
        <v>30.76</v>
      </c>
      <c r="DI2920">
        <v>0.19</v>
      </c>
      <c r="DJ2920">
        <v>4649</v>
      </c>
      <c r="DK2920">
        <v>600702</v>
      </c>
      <c r="DL2920" t="s">
        <v>120</v>
      </c>
      <c r="DM2920" t="s">
        <v>120</v>
      </c>
      <c r="DN2920" t="s">
        <v>120</v>
      </c>
    </row>
    <row r="2921" spans="1:118">
      <c r="A2921" t="str">
        <f>"600703"</f>
        <v>600703</v>
      </c>
      <c r="B2921" t="s">
        <v>12907</v>
      </c>
      <c r="C2921">
        <v>-2.74</v>
      </c>
      <c r="D2921">
        <v>-0.05</v>
      </c>
      <c r="E2921">
        <v>0.09</v>
      </c>
      <c r="F2921">
        <v>9873</v>
      </c>
      <c r="G2921" t="s">
        <v>12908</v>
      </c>
      <c r="H2921">
        <v>162791.37</v>
      </c>
      <c r="I2921">
        <v>269.16000000000003</v>
      </c>
      <c r="J2921" t="s">
        <v>120</v>
      </c>
      <c r="K2921" t="s">
        <v>12909</v>
      </c>
      <c r="L2921">
        <v>1.22</v>
      </c>
      <c r="M2921">
        <v>32.29</v>
      </c>
      <c r="N2921">
        <v>0.7</v>
      </c>
      <c r="O2921">
        <v>0.45</v>
      </c>
      <c r="P2921">
        <v>33.35</v>
      </c>
      <c r="Q2921">
        <v>-2.74</v>
      </c>
      <c r="R2921">
        <v>32.29</v>
      </c>
      <c r="S2921">
        <v>33.229999999999997</v>
      </c>
      <c r="T2921">
        <v>498029</v>
      </c>
      <c r="U2921">
        <v>32.299999999999997</v>
      </c>
      <c r="V2921">
        <v>33.200000000000003</v>
      </c>
      <c r="W2921">
        <v>81.849999999999994</v>
      </c>
      <c r="X2921" t="s">
        <v>3245</v>
      </c>
      <c r="Y2921" t="s">
        <v>763</v>
      </c>
      <c r="Z2921">
        <v>3.19</v>
      </c>
      <c r="AA2921">
        <v>32.69</v>
      </c>
      <c r="AB2921">
        <v>263058</v>
      </c>
      <c r="AC2921">
        <v>234971</v>
      </c>
      <c r="AD2921">
        <v>1.1200000000000001</v>
      </c>
      <c r="AE2921">
        <v>432</v>
      </c>
      <c r="AF2921">
        <v>2042</v>
      </c>
      <c r="AG2921" t="s">
        <v>120</v>
      </c>
      <c r="AH2921">
        <v>0</v>
      </c>
      <c r="AI2921" t="s">
        <v>120</v>
      </c>
      <c r="AJ2921">
        <v>40.78</v>
      </c>
      <c r="AK2921" t="s">
        <v>12910</v>
      </c>
      <c r="AL2921">
        <v>-1.4</v>
      </c>
      <c r="AM2921">
        <v>4739</v>
      </c>
      <c r="AN2921">
        <v>105</v>
      </c>
      <c r="AO2921">
        <v>2.9999999999999997E-4</v>
      </c>
      <c r="AP2921">
        <v>-4</v>
      </c>
      <c r="AQ2921">
        <v>-1.69</v>
      </c>
      <c r="AR2921">
        <v>-5.5</v>
      </c>
      <c r="AS2921">
        <v>-12.63</v>
      </c>
      <c r="AT2921">
        <v>2.15</v>
      </c>
      <c r="AU2921">
        <v>20.21</v>
      </c>
      <c r="AV2921">
        <v>6</v>
      </c>
      <c r="AW2921">
        <v>2.2200000000000002</v>
      </c>
      <c r="AX2921">
        <v>50.04</v>
      </c>
      <c r="AY2921">
        <v>117.56</v>
      </c>
      <c r="AZ2921">
        <v>146.33000000000001</v>
      </c>
      <c r="BA2921">
        <v>1.4</v>
      </c>
      <c r="BB2921" t="s">
        <v>143</v>
      </c>
      <c r="BF2921">
        <v>-1.54</v>
      </c>
      <c r="BG2921">
        <v>-2.83</v>
      </c>
      <c r="BH2921">
        <v>-3.18</v>
      </c>
      <c r="BI2921">
        <v>0</v>
      </c>
      <c r="BJ2921">
        <v>20210730</v>
      </c>
      <c r="BK2921">
        <v>19960528</v>
      </c>
      <c r="BL2921">
        <v>44.79</v>
      </c>
      <c r="BM2921" t="s">
        <v>120</v>
      </c>
      <c r="BN2921" t="s">
        <v>120</v>
      </c>
      <c r="BO2921">
        <v>438.95</v>
      </c>
      <c r="BP2921">
        <v>32.29</v>
      </c>
      <c r="BQ2921">
        <v>299.64</v>
      </c>
      <c r="BR2921" t="s">
        <v>120</v>
      </c>
      <c r="BS2921">
        <v>31.74</v>
      </c>
      <c r="BT2921">
        <v>166.99</v>
      </c>
      <c r="BU2921">
        <v>129.37</v>
      </c>
      <c r="BV2921">
        <v>40.619999999999997</v>
      </c>
      <c r="BW2921">
        <v>74.930000000000007</v>
      </c>
      <c r="BX2921">
        <v>65.3</v>
      </c>
      <c r="BY2921">
        <v>41.03</v>
      </c>
      <c r="BZ2921">
        <v>29.34</v>
      </c>
      <c r="CA2921" t="s">
        <v>120</v>
      </c>
      <c r="CB2921">
        <v>137.63999999999999</v>
      </c>
      <c r="CC2921">
        <v>61.14</v>
      </c>
      <c r="CD2921">
        <v>47.63</v>
      </c>
      <c r="CE2921">
        <v>10.6</v>
      </c>
      <c r="CF2921">
        <v>0.1</v>
      </c>
      <c r="CG2921">
        <v>10.53</v>
      </c>
      <c r="CH2921">
        <v>8.84</v>
      </c>
      <c r="CI2921">
        <v>8.84</v>
      </c>
      <c r="CJ2921">
        <v>-0.91</v>
      </c>
      <c r="CK2921">
        <v>3.07</v>
      </c>
      <c r="CL2921">
        <v>108.98</v>
      </c>
      <c r="CM2921">
        <v>10.199999999999999</v>
      </c>
      <c r="CN2921">
        <v>-12.13</v>
      </c>
      <c r="CO2921">
        <v>290888</v>
      </c>
      <c r="CP2921">
        <v>7706</v>
      </c>
      <c r="CQ2921" t="s">
        <v>12911</v>
      </c>
      <c r="CR2921">
        <v>39.18</v>
      </c>
      <c r="CS2921">
        <v>71.38</v>
      </c>
      <c r="CT2921">
        <v>4.83</v>
      </c>
      <c r="CU2921">
        <v>141.72999999999999</v>
      </c>
      <c r="CV2921">
        <v>23.66</v>
      </c>
      <c r="CW2921">
        <v>0.45</v>
      </c>
      <c r="CX2921" t="s">
        <v>492</v>
      </c>
      <c r="CY2921">
        <v>6.69</v>
      </c>
      <c r="CZ2921">
        <v>0</v>
      </c>
      <c r="DA2921">
        <v>3.07</v>
      </c>
      <c r="DB2921">
        <v>2.4300000000000002</v>
      </c>
      <c r="DC2921">
        <v>0.23</v>
      </c>
      <c r="DD2921">
        <v>68.260000000000005</v>
      </c>
      <c r="DE2921" t="s">
        <v>2859</v>
      </c>
      <c r="DF2921">
        <v>22.1</v>
      </c>
      <c r="DG2921">
        <v>17.34</v>
      </c>
      <c r="DH2921">
        <v>14.45</v>
      </c>
      <c r="DI2921">
        <v>1.65</v>
      </c>
      <c r="DJ2921">
        <v>13975</v>
      </c>
      <c r="DK2921">
        <v>600703</v>
      </c>
      <c r="DL2921" t="s">
        <v>120</v>
      </c>
      <c r="DM2921" t="s">
        <v>120</v>
      </c>
      <c r="DN2921" t="s">
        <v>120</v>
      </c>
    </row>
    <row r="2922" spans="1:118">
      <c r="A2922" t="str">
        <f>"600704"</f>
        <v>600704</v>
      </c>
      <c r="B2922" t="s">
        <v>12912</v>
      </c>
      <c r="C2922">
        <v>-0.57999999999999996</v>
      </c>
      <c r="D2922">
        <v>0</v>
      </c>
      <c r="E2922">
        <v>0</v>
      </c>
      <c r="F2922">
        <v>17678</v>
      </c>
      <c r="G2922" t="s">
        <v>12913</v>
      </c>
      <c r="H2922">
        <v>109352.78</v>
      </c>
      <c r="I2922">
        <v>650.13</v>
      </c>
      <c r="J2922" t="s">
        <v>120</v>
      </c>
      <c r="K2922" t="s">
        <v>12914</v>
      </c>
      <c r="L2922">
        <v>3.12</v>
      </c>
      <c r="M2922">
        <v>6.81</v>
      </c>
      <c r="N2922">
        <v>0.68</v>
      </c>
      <c r="O2922">
        <v>3.8</v>
      </c>
      <c r="P2922">
        <v>7.11</v>
      </c>
      <c r="Q2922">
        <v>-0.73</v>
      </c>
      <c r="R2922">
        <v>6.8</v>
      </c>
      <c r="S2922">
        <v>6.85</v>
      </c>
      <c r="T2922">
        <v>1579191</v>
      </c>
      <c r="U2922">
        <v>6.82</v>
      </c>
      <c r="V2922">
        <v>6.85</v>
      </c>
      <c r="W2922">
        <v>8.3699999999999992</v>
      </c>
      <c r="X2922" t="s">
        <v>562</v>
      </c>
      <c r="Y2922" t="s">
        <v>585</v>
      </c>
      <c r="Z2922">
        <v>4.53</v>
      </c>
      <c r="AA2922">
        <v>6.92</v>
      </c>
      <c r="AB2922">
        <v>852838</v>
      </c>
      <c r="AC2922">
        <v>726353</v>
      </c>
      <c r="AD2922">
        <v>1.17</v>
      </c>
      <c r="AE2922">
        <v>13372</v>
      </c>
      <c r="AF2922">
        <v>1479</v>
      </c>
      <c r="AG2922" t="s">
        <v>120</v>
      </c>
      <c r="AH2922">
        <v>0.03</v>
      </c>
      <c r="AI2922" t="s">
        <v>120</v>
      </c>
      <c r="AJ2922">
        <v>50.62</v>
      </c>
      <c r="AK2922" t="s">
        <v>12915</v>
      </c>
      <c r="AL2922">
        <v>0.76</v>
      </c>
      <c r="AM2922">
        <v>4603</v>
      </c>
      <c r="AN2922">
        <v>343</v>
      </c>
      <c r="AO2922">
        <v>6.9999999999999999E-4</v>
      </c>
      <c r="AP2922">
        <v>-4</v>
      </c>
      <c r="AQ2922">
        <v>-0.44</v>
      </c>
      <c r="AR2922">
        <v>-3.41</v>
      </c>
      <c r="AS2922">
        <v>8.1</v>
      </c>
      <c r="AT2922">
        <v>-41.54</v>
      </c>
      <c r="AU2922">
        <v>63.31</v>
      </c>
      <c r="AV2922">
        <v>10</v>
      </c>
      <c r="AW2922">
        <v>5.54</v>
      </c>
      <c r="AX2922">
        <v>54.84</v>
      </c>
      <c r="AY2922">
        <v>10.98</v>
      </c>
      <c r="AZ2922">
        <v>12.96</v>
      </c>
      <c r="BA2922">
        <v>0.92</v>
      </c>
      <c r="BB2922" t="s">
        <v>143</v>
      </c>
      <c r="BF2922">
        <v>1.0900000000000001</v>
      </c>
      <c r="BG2922">
        <v>-0.57999999999999996</v>
      </c>
      <c r="BH2922">
        <v>-4.22</v>
      </c>
      <c r="BI2922">
        <v>0.15</v>
      </c>
      <c r="BJ2922">
        <v>20210824</v>
      </c>
      <c r="BK2922">
        <v>19960606</v>
      </c>
      <c r="BL2922">
        <v>51.96</v>
      </c>
      <c r="BM2922" t="s">
        <v>120</v>
      </c>
      <c r="BN2922" t="s">
        <v>120</v>
      </c>
      <c r="BO2922">
        <v>1472.6</v>
      </c>
      <c r="BP2922">
        <v>6.81</v>
      </c>
      <c r="BQ2922">
        <v>279.8</v>
      </c>
      <c r="BR2922">
        <v>75.819999999999993</v>
      </c>
      <c r="BS2922">
        <v>75.849999999999994</v>
      </c>
      <c r="BT2922">
        <v>1081.8599999999999</v>
      </c>
      <c r="BU2922">
        <v>82.08</v>
      </c>
      <c r="BV2922">
        <v>43.9</v>
      </c>
      <c r="BW2922">
        <v>1021.61</v>
      </c>
      <c r="BX2922">
        <v>198.23</v>
      </c>
      <c r="BY2922">
        <v>410.75</v>
      </c>
      <c r="BZ2922">
        <v>135.91</v>
      </c>
      <c r="CA2922">
        <v>2.09</v>
      </c>
      <c r="CB2922">
        <v>72.459999999999994</v>
      </c>
      <c r="CC2922">
        <v>2629.24</v>
      </c>
      <c r="CD2922">
        <v>2558.65</v>
      </c>
      <c r="CE2922">
        <v>39.54</v>
      </c>
      <c r="CF2922">
        <v>4.66</v>
      </c>
      <c r="CG2922">
        <v>39.61</v>
      </c>
      <c r="CH2922">
        <v>30.92</v>
      </c>
      <c r="CI2922">
        <v>21.13</v>
      </c>
      <c r="CJ2922">
        <v>-0.04</v>
      </c>
      <c r="CK2922">
        <v>18.95</v>
      </c>
      <c r="CL2922">
        <v>118.62</v>
      </c>
      <c r="CM2922">
        <v>-124.86</v>
      </c>
      <c r="CN2922">
        <v>18.739999999999998</v>
      </c>
      <c r="CO2922">
        <v>136837</v>
      </c>
      <c r="CP2922">
        <v>20824</v>
      </c>
      <c r="CQ2922" t="s">
        <v>5984</v>
      </c>
      <c r="CR2922">
        <v>30.77</v>
      </c>
      <c r="CS2922">
        <v>47.12</v>
      </c>
      <c r="CT2922">
        <v>1.36</v>
      </c>
      <c r="CU2922">
        <v>-2.83</v>
      </c>
      <c r="CV2922">
        <v>0.13</v>
      </c>
      <c r="CW2922">
        <v>2.84</v>
      </c>
      <c r="CX2922" t="s">
        <v>803</v>
      </c>
      <c r="CY2922">
        <v>5</v>
      </c>
      <c r="CZ2922">
        <v>5</v>
      </c>
      <c r="DA2922">
        <v>1.39</v>
      </c>
      <c r="DB2922">
        <v>2.2799999999999998</v>
      </c>
      <c r="DC2922">
        <v>-2.4</v>
      </c>
      <c r="DD2922">
        <v>19</v>
      </c>
      <c r="DE2922" t="s">
        <v>10129</v>
      </c>
      <c r="DF2922">
        <v>2.69</v>
      </c>
      <c r="DG2922">
        <v>1.5</v>
      </c>
      <c r="DH2922">
        <v>0.8</v>
      </c>
      <c r="DI2922">
        <v>2.31</v>
      </c>
      <c r="DJ2922">
        <v>18549</v>
      </c>
      <c r="DK2922">
        <v>600704</v>
      </c>
      <c r="DL2922">
        <v>20210531</v>
      </c>
      <c r="DM2922">
        <v>7.11</v>
      </c>
      <c r="DN2922">
        <v>-1.41</v>
      </c>
    </row>
    <row r="2923" spans="1:118">
      <c r="A2923" t="str">
        <f>"600705"</f>
        <v>600705</v>
      </c>
      <c r="B2923" t="s">
        <v>12916</v>
      </c>
      <c r="C2923">
        <v>-1.25</v>
      </c>
      <c r="D2923">
        <v>-0.24</v>
      </c>
      <c r="E2923">
        <v>0</v>
      </c>
      <c r="F2923">
        <v>8522</v>
      </c>
      <c r="G2923" t="s">
        <v>12917</v>
      </c>
      <c r="H2923">
        <v>19744.3</v>
      </c>
      <c r="I2923">
        <v>164.57</v>
      </c>
      <c r="J2923" t="s">
        <v>120</v>
      </c>
      <c r="K2923" t="s">
        <v>12918</v>
      </c>
      <c r="L2923">
        <v>0.56000000000000005</v>
      </c>
      <c r="M2923">
        <v>3.96</v>
      </c>
      <c r="N2923">
        <v>0.93</v>
      </c>
      <c r="O2923">
        <v>1.25</v>
      </c>
      <c r="P2923">
        <v>4.0599999999999996</v>
      </c>
      <c r="Q2923">
        <v>-1.5</v>
      </c>
      <c r="R2923">
        <v>3.95</v>
      </c>
      <c r="S2923">
        <v>4.01</v>
      </c>
      <c r="T2923">
        <v>493304</v>
      </c>
      <c r="U2923">
        <v>3.97</v>
      </c>
      <c r="V2923">
        <v>4.01</v>
      </c>
      <c r="W2923">
        <v>10.81</v>
      </c>
      <c r="X2923" t="s">
        <v>721</v>
      </c>
      <c r="Y2923" t="s">
        <v>1686</v>
      </c>
      <c r="Z2923">
        <v>2.74</v>
      </c>
      <c r="AA2923">
        <v>4</v>
      </c>
      <c r="AB2923">
        <v>318997</v>
      </c>
      <c r="AC2923">
        <v>174307</v>
      </c>
      <c r="AD2923">
        <v>1.83</v>
      </c>
      <c r="AE2923">
        <v>3455</v>
      </c>
      <c r="AF2923">
        <v>4701</v>
      </c>
      <c r="AG2923" t="s">
        <v>120</v>
      </c>
      <c r="AH2923">
        <v>0.01</v>
      </c>
      <c r="AI2923" t="s">
        <v>120</v>
      </c>
      <c r="AJ2923">
        <v>88.87</v>
      </c>
      <c r="AK2923" t="s">
        <v>12919</v>
      </c>
      <c r="AL2923">
        <v>0.1</v>
      </c>
      <c r="AM2923">
        <v>3369</v>
      </c>
      <c r="AN2923">
        <v>146</v>
      </c>
      <c r="AO2923">
        <v>2.0000000000000001E-4</v>
      </c>
      <c r="AP2923">
        <v>-1</v>
      </c>
      <c r="AQ2923">
        <v>0</v>
      </c>
      <c r="AR2923">
        <v>-3.65</v>
      </c>
      <c r="AS2923">
        <v>1.02</v>
      </c>
      <c r="AT2923">
        <v>4.82</v>
      </c>
      <c r="AU2923">
        <v>-7.21</v>
      </c>
      <c r="AV2923">
        <v>0</v>
      </c>
      <c r="AW2923">
        <v>1.05</v>
      </c>
      <c r="AX2923">
        <v>52.58</v>
      </c>
      <c r="AY2923">
        <v>10.52</v>
      </c>
      <c r="AZ2923">
        <v>10.92</v>
      </c>
      <c r="BA2923">
        <v>0.26</v>
      </c>
      <c r="BB2923" t="s">
        <v>143</v>
      </c>
      <c r="BF2923">
        <v>-0.19</v>
      </c>
      <c r="BG2923">
        <v>-1.25</v>
      </c>
      <c r="BH2923">
        <v>-2.46</v>
      </c>
      <c r="BI2923">
        <v>0.25</v>
      </c>
      <c r="BJ2923">
        <v>20210827</v>
      </c>
      <c r="BK2923">
        <v>19960516</v>
      </c>
      <c r="BL2923">
        <v>89.2</v>
      </c>
      <c r="BM2923" t="s">
        <v>120</v>
      </c>
      <c r="BN2923" t="s">
        <v>120</v>
      </c>
      <c r="BO2923">
        <v>4766.2700000000004</v>
      </c>
      <c r="BP2923">
        <v>3.96</v>
      </c>
      <c r="BQ2923">
        <v>392.74</v>
      </c>
      <c r="BR2923">
        <v>244.77</v>
      </c>
      <c r="BS2923">
        <v>86.62</v>
      </c>
      <c r="BT2923">
        <v>2606.5700000000002</v>
      </c>
      <c r="BU2923">
        <v>159.94</v>
      </c>
      <c r="BV2923">
        <v>0.81</v>
      </c>
      <c r="BW2923">
        <v>3179.27</v>
      </c>
      <c r="BX2923">
        <v>1403.81</v>
      </c>
      <c r="BY2923">
        <v>7.0000000000000007E-2</v>
      </c>
      <c r="BZ2923">
        <v>3.3</v>
      </c>
      <c r="CA2923">
        <v>6.2</v>
      </c>
      <c r="CB2923">
        <v>60.5</v>
      </c>
      <c r="CC2923">
        <v>47.88</v>
      </c>
      <c r="CD2923">
        <v>24.34</v>
      </c>
      <c r="CE2923">
        <v>36.229999999999997</v>
      </c>
      <c r="CF2923">
        <v>8.3699999999999992</v>
      </c>
      <c r="CG2923">
        <v>36.53</v>
      </c>
      <c r="CH2923">
        <v>27.06</v>
      </c>
      <c r="CI2923">
        <v>16.34</v>
      </c>
      <c r="CJ2923">
        <v>-0.05</v>
      </c>
      <c r="CK2923">
        <v>15.29</v>
      </c>
      <c r="CL2923">
        <v>140.05000000000001</v>
      </c>
      <c r="CM2923">
        <v>640</v>
      </c>
      <c r="CN2923">
        <v>240.15</v>
      </c>
      <c r="CO2923">
        <v>157650</v>
      </c>
      <c r="CP2923">
        <v>29753</v>
      </c>
      <c r="CQ2923" t="s">
        <v>11266</v>
      </c>
      <c r="CR2923">
        <v>8.31</v>
      </c>
      <c r="CS2923">
        <v>-3.18</v>
      </c>
      <c r="CT2923">
        <v>1.05</v>
      </c>
      <c r="CU2923">
        <v>0.55000000000000004</v>
      </c>
      <c r="CV2923">
        <v>7.38</v>
      </c>
      <c r="CW2923">
        <v>2.77</v>
      </c>
      <c r="CX2923" t="s">
        <v>442</v>
      </c>
      <c r="CY2923">
        <v>3.79</v>
      </c>
      <c r="CZ2923">
        <v>3.79</v>
      </c>
      <c r="DA2923">
        <v>0.68</v>
      </c>
      <c r="DB2923">
        <v>1.57</v>
      </c>
      <c r="DC2923">
        <v>7.17</v>
      </c>
      <c r="DD2923">
        <v>8.24</v>
      </c>
      <c r="DE2923" t="s">
        <v>8590</v>
      </c>
      <c r="DF2923">
        <v>49.16</v>
      </c>
      <c r="DG2923">
        <v>75.67</v>
      </c>
      <c r="DH2923">
        <v>34.119999999999997</v>
      </c>
      <c r="DI2923">
        <v>0.08</v>
      </c>
      <c r="DJ2923">
        <v>4885</v>
      </c>
      <c r="DK2923">
        <v>600705</v>
      </c>
      <c r="DL2923" t="s">
        <v>120</v>
      </c>
      <c r="DM2923" t="s">
        <v>120</v>
      </c>
      <c r="DN2923" t="s">
        <v>120</v>
      </c>
    </row>
    <row r="2924" spans="1:118">
      <c r="A2924" t="str">
        <f>"600706"</f>
        <v>600706</v>
      </c>
      <c r="B2924" t="s">
        <v>12920</v>
      </c>
      <c r="C2924">
        <v>-1.97</v>
      </c>
      <c r="D2924">
        <v>-0.56000000000000005</v>
      </c>
      <c r="E2924">
        <v>-1.27</v>
      </c>
      <c r="F2924">
        <v>1391</v>
      </c>
      <c r="G2924" t="s">
        <v>12921</v>
      </c>
      <c r="H2924">
        <v>6815.37</v>
      </c>
      <c r="I2924">
        <v>73.010000000000005</v>
      </c>
      <c r="J2924" t="s">
        <v>120</v>
      </c>
      <c r="K2924" t="s">
        <v>12922</v>
      </c>
      <c r="L2924">
        <v>4.5599999999999996</v>
      </c>
      <c r="M2924">
        <v>6.95</v>
      </c>
      <c r="N2924">
        <v>1.01</v>
      </c>
      <c r="O2924">
        <v>0.28000000000000003</v>
      </c>
      <c r="P2924">
        <v>7.11</v>
      </c>
      <c r="Q2924">
        <v>-2.68</v>
      </c>
      <c r="R2924">
        <v>6.9</v>
      </c>
      <c r="S2924">
        <v>7</v>
      </c>
      <c r="T2924">
        <v>97421</v>
      </c>
      <c r="U2924">
        <v>6.96</v>
      </c>
      <c r="V2924">
        <v>7.09</v>
      </c>
      <c r="W2924" t="s">
        <v>120</v>
      </c>
      <c r="X2924" t="s">
        <v>1317</v>
      </c>
      <c r="Y2924" t="s">
        <v>890</v>
      </c>
      <c r="Z2924">
        <v>2.96</v>
      </c>
      <c r="AA2924">
        <v>7</v>
      </c>
      <c r="AB2924">
        <v>47795</v>
      </c>
      <c r="AC2924">
        <v>49626</v>
      </c>
      <c r="AD2924">
        <v>0.96</v>
      </c>
      <c r="AE2924">
        <v>612</v>
      </c>
      <c r="AF2924">
        <v>97</v>
      </c>
      <c r="AG2924" t="s">
        <v>120</v>
      </c>
      <c r="AH2924">
        <v>0.11</v>
      </c>
      <c r="AI2924" t="s">
        <v>120</v>
      </c>
      <c r="AJ2924">
        <v>2.13</v>
      </c>
      <c r="AK2924" t="s">
        <v>5631</v>
      </c>
      <c r="AL2924">
        <v>-0.63</v>
      </c>
      <c r="AM2924">
        <v>2396</v>
      </c>
      <c r="AN2924">
        <v>41</v>
      </c>
      <c r="AO2924">
        <v>1.9E-3</v>
      </c>
      <c r="AP2924">
        <v>-2</v>
      </c>
      <c r="AQ2924">
        <v>-7.92</v>
      </c>
      <c r="AR2924">
        <v>-2.25</v>
      </c>
      <c r="AS2924">
        <v>6.27</v>
      </c>
      <c r="AT2924">
        <v>0.87</v>
      </c>
      <c r="AU2924">
        <v>-2.8</v>
      </c>
      <c r="AV2924">
        <v>0</v>
      </c>
      <c r="AW2924">
        <v>9.84</v>
      </c>
      <c r="AX2924">
        <v>45.95</v>
      </c>
      <c r="AY2924">
        <v>69.45</v>
      </c>
      <c r="AZ2924" t="s">
        <v>120</v>
      </c>
      <c r="BA2924">
        <v>0.34</v>
      </c>
      <c r="BB2924" t="s">
        <v>240</v>
      </c>
      <c r="BF2924">
        <v>-1.33</v>
      </c>
      <c r="BG2924">
        <v>-0.71</v>
      </c>
      <c r="BH2924">
        <v>-2.25</v>
      </c>
      <c r="BI2924">
        <v>0.72</v>
      </c>
      <c r="BJ2924">
        <v>20210826</v>
      </c>
      <c r="BK2924">
        <v>19960516</v>
      </c>
      <c r="BL2924">
        <v>2.15</v>
      </c>
      <c r="BM2924" t="s">
        <v>120</v>
      </c>
      <c r="BN2924" t="s">
        <v>120</v>
      </c>
      <c r="BO2924">
        <v>32.049999999999997</v>
      </c>
      <c r="BP2924">
        <v>6.95</v>
      </c>
      <c r="BQ2924">
        <v>9.64</v>
      </c>
      <c r="BR2924">
        <v>0.03</v>
      </c>
      <c r="BS2924">
        <v>69.819999999999993</v>
      </c>
      <c r="BT2924">
        <v>12.04</v>
      </c>
      <c r="BU2924">
        <v>13.38</v>
      </c>
      <c r="BV2924">
        <v>1.26</v>
      </c>
      <c r="BW2924">
        <v>11.9</v>
      </c>
      <c r="BX2924">
        <v>3.15</v>
      </c>
      <c r="BY2924">
        <v>0.52</v>
      </c>
      <c r="BZ2924">
        <v>7.47</v>
      </c>
      <c r="CA2924">
        <v>0.03</v>
      </c>
      <c r="CB2924">
        <v>4.13</v>
      </c>
      <c r="CC2924">
        <v>6.05</v>
      </c>
      <c r="CD2924">
        <v>4.51</v>
      </c>
      <c r="CE2924">
        <v>-0.21</v>
      </c>
      <c r="CF2924">
        <v>0</v>
      </c>
      <c r="CG2924">
        <v>-0.22</v>
      </c>
      <c r="CH2924">
        <v>-0.21</v>
      </c>
      <c r="CI2924">
        <v>-0.17</v>
      </c>
      <c r="CJ2924">
        <v>-0.14000000000000001</v>
      </c>
      <c r="CK2924">
        <v>-0.25</v>
      </c>
      <c r="CL2924">
        <v>3.3</v>
      </c>
      <c r="CM2924">
        <v>0.95</v>
      </c>
      <c r="CN2924">
        <v>-1.76</v>
      </c>
      <c r="CO2924">
        <v>16198</v>
      </c>
      <c r="CP2924">
        <v>6111</v>
      </c>
      <c r="CQ2924" t="s">
        <v>6904</v>
      </c>
      <c r="CR2924">
        <v>84.34</v>
      </c>
      <c r="CS2924">
        <v>75.45</v>
      </c>
      <c r="CT2924">
        <v>1.55</v>
      </c>
      <c r="CU2924">
        <v>15.71</v>
      </c>
      <c r="CV2924">
        <v>2.48</v>
      </c>
      <c r="CW2924">
        <v>0</v>
      </c>
      <c r="CX2924" t="s">
        <v>1320</v>
      </c>
      <c r="CY2924">
        <v>4.47</v>
      </c>
      <c r="CZ2924">
        <v>0</v>
      </c>
      <c r="DA2924">
        <v>1.92</v>
      </c>
      <c r="DB2924">
        <v>1.53</v>
      </c>
      <c r="DC2924">
        <v>0.44</v>
      </c>
      <c r="DD2924">
        <v>30.07</v>
      </c>
      <c r="DE2924" t="s">
        <v>12923</v>
      </c>
      <c r="DF2924">
        <v>25.41</v>
      </c>
      <c r="DG2924">
        <v>-3.49</v>
      </c>
      <c r="DH2924">
        <v>-2.88</v>
      </c>
      <c r="DI2924" t="s">
        <v>120</v>
      </c>
      <c r="DJ2924">
        <v>4320</v>
      </c>
      <c r="DK2924">
        <v>600706</v>
      </c>
      <c r="DL2924" t="s">
        <v>120</v>
      </c>
      <c r="DM2924" t="s">
        <v>120</v>
      </c>
      <c r="DN2924" t="s">
        <v>120</v>
      </c>
    </row>
    <row r="2925" spans="1:118">
      <c r="A2925" t="str">
        <f>"600707"</f>
        <v>600707</v>
      </c>
      <c r="B2925" t="s">
        <v>12924</v>
      </c>
      <c r="C2925">
        <v>-2.9</v>
      </c>
      <c r="D2925">
        <v>0.24</v>
      </c>
      <c r="E2925">
        <v>-0.35</v>
      </c>
      <c r="F2925">
        <v>7177</v>
      </c>
      <c r="G2925" t="s">
        <v>8779</v>
      </c>
      <c r="H2925">
        <v>44847.01</v>
      </c>
      <c r="I2925">
        <v>122.52</v>
      </c>
      <c r="J2925" t="s">
        <v>120</v>
      </c>
      <c r="K2925" t="s">
        <v>12925</v>
      </c>
      <c r="L2925">
        <v>2.13</v>
      </c>
      <c r="M2925">
        <v>8.36</v>
      </c>
      <c r="N2925">
        <v>0.66</v>
      </c>
      <c r="O2925">
        <v>1.28</v>
      </c>
      <c r="P2925">
        <v>8.7200000000000006</v>
      </c>
      <c r="Q2925">
        <v>-3.6</v>
      </c>
      <c r="R2925">
        <v>8.3000000000000007</v>
      </c>
      <c r="S2925">
        <v>8.58</v>
      </c>
      <c r="T2925">
        <v>528094</v>
      </c>
      <c r="U2925">
        <v>8.3699999999999992</v>
      </c>
      <c r="V2925">
        <v>8.61</v>
      </c>
      <c r="W2925">
        <v>5.26</v>
      </c>
      <c r="X2925" t="s">
        <v>229</v>
      </c>
      <c r="Y2925" t="s">
        <v>890</v>
      </c>
      <c r="Z2925">
        <v>4.88</v>
      </c>
      <c r="AA2925">
        <v>8.49</v>
      </c>
      <c r="AB2925">
        <v>281708</v>
      </c>
      <c r="AC2925">
        <v>246386</v>
      </c>
      <c r="AD2925">
        <v>1.1399999999999999</v>
      </c>
      <c r="AE2925">
        <v>162</v>
      </c>
      <c r="AF2925">
        <v>526</v>
      </c>
      <c r="AG2925" t="s">
        <v>120</v>
      </c>
      <c r="AH2925">
        <v>0.01</v>
      </c>
      <c r="AI2925" t="s">
        <v>120</v>
      </c>
      <c r="AJ2925">
        <v>24.75</v>
      </c>
      <c r="AK2925" t="s">
        <v>12926</v>
      </c>
      <c r="AL2925">
        <v>-1.56</v>
      </c>
      <c r="AM2925">
        <v>4458</v>
      </c>
      <c r="AN2925">
        <v>118</v>
      </c>
      <c r="AO2925">
        <v>5.0000000000000001E-4</v>
      </c>
      <c r="AP2925">
        <v>-3</v>
      </c>
      <c r="AQ2925">
        <v>-2.16</v>
      </c>
      <c r="AR2925">
        <v>-7.52</v>
      </c>
      <c r="AS2925">
        <v>3.59</v>
      </c>
      <c r="AT2925">
        <v>-17.96</v>
      </c>
      <c r="AU2925">
        <v>25.53</v>
      </c>
      <c r="AV2925">
        <v>18</v>
      </c>
      <c r="AW2925">
        <v>3.8</v>
      </c>
      <c r="AX2925">
        <v>38.700000000000003</v>
      </c>
      <c r="AY2925">
        <v>8.3000000000000007</v>
      </c>
      <c r="AZ2925" t="s">
        <v>120</v>
      </c>
      <c r="BA2925">
        <v>0.83</v>
      </c>
      <c r="BB2925" t="s">
        <v>125</v>
      </c>
      <c r="BF2925">
        <v>-1.37</v>
      </c>
      <c r="BG2925">
        <v>-2.56</v>
      </c>
      <c r="BH2925">
        <v>-4.13</v>
      </c>
      <c r="BI2925">
        <v>0.72</v>
      </c>
      <c r="BJ2925">
        <v>20210830</v>
      </c>
      <c r="BK2925">
        <v>19960520</v>
      </c>
      <c r="BL2925">
        <v>35.880000000000003</v>
      </c>
      <c r="BM2925" t="s">
        <v>120</v>
      </c>
      <c r="BN2925" t="s">
        <v>120</v>
      </c>
      <c r="BO2925">
        <v>429.56</v>
      </c>
      <c r="BP2925">
        <v>8.36</v>
      </c>
      <c r="BQ2925">
        <v>225.28</v>
      </c>
      <c r="BR2925">
        <v>1.17</v>
      </c>
      <c r="BS2925">
        <v>47.28</v>
      </c>
      <c r="BT2925">
        <v>115.41</v>
      </c>
      <c r="BU2925">
        <v>253.37</v>
      </c>
      <c r="BV2925">
        <v>19.59</v>
      </c>
      <c r="BW2925">
        <v>102.68</v>
      </c>
      <c r="BX2925">
        <v>74.92</v>
      </c>
      <c r="BY2925">
        <v>6.9</v>
      </c>
      <c r="BZ2925">
        <v>28.65</v>
      </c>
      <c r="CA2925">
        <v>0.02</v>
      </c>
      <c r="CB2925">
        <v>205</v>
      </c>
      <c r="CC2925">
        <v>89.22</v>
      </c>
      <c r="CD2925">
        <v>50.01</v>
      </c>
      <c r="CE2925">
        <v>33.17</v>
      </c>
      <c r="CF2925">
        <v>0.21</v>
      </c>
      <c r="CG2925">
        <v>33.17</v>
      </c>
      <c r="CH2925">
        <v>28.58</v>
      </c>
      <c r="CI2925">
        <v>28.5</v>
      </c>
      <c r="CJ2925">
        <v>-0.25</v>
      </c>
      <c r="CK2925">
        <v>28.08</v>
      </c>
      <c r="CL2925">
        <v>-17.91</v>
      </c>
      <c r="CM2925">
        <v>46.93</v>
      </c>
      <c r="CN2925">
        <v>3.32</v>
      </c>
      <c r="CO2925">
        <v>108031</v>
      </c>
      <c r="CP2925">
        <v>12853</v>
      </c>
      <c r="CQ2925" t="s">
        <v>11825</v>
      </c>
      <c r="CR2925">
        <v>269.89999999999998</v>
      </c>
      <c r="CS2925">
        <v>126.44</v>
      </c>
      <c r="CT2925">
        <v>1.33</v>
      </c>
      <c r="CU2925">
        <v>6.39</v>
      </c>
      <c r="CV2925">
        <v>3.36</v>
      </c>
      <c r="CW2925">
        <v>0</v>
      </c>
      <c r="CX2925" t="s">
        <v>3050</v>
      </c>
      <c r="CY2925">
        <v>6.28</v>
      </c>
      <c r="CZ2925">
        <v>0</v>
      </c>
      <c r="DA2925">
        <v>5.71</v>
      </c>
      <c r="DB2925">
        <v>-0.5</v>
      </c>
      <c r="DC2925">
        <v>1.31</v>
      </c>
      <c r="DD2925">
        <v>52.44</v>
      </c>
      <c r="DE2925" t="s">
        <v>11053</v>
      </c>
      <c r="DF2925">
        <v>43.95</v>
      </c>
      <c r="DG2925">
        <v>37.17</v>
      </c>
      <c r="DH2925">
        <v>31.95</v>
      </c>
      <c r="DI2925">
        <v>2.08</v>
      </c>
      <c r="DJ2925">
        <v>4058</v>
      </c>
      <c r="DK2925">
        <v>600707</v>
      </c>
      <c r="DL2925" t="s">
        <v>120</v>
      </c>
      <c r="DM2925" t="s">
        <v>120</v>
      </c>
      <c r="DN2925" t="s">
        <v>120</v>
      </c>
    </row>
    <row r="2926" spans="1:118">
      <c r="A2926" t="str">
        <f>"600708"</f>
        <v>600708</v>
      </c>
      <c r="B2926" t="s">
        <v>12927</v>
      </c>
      <c r="C2926">
        <v>-1.67</v>
      </c>
      <c r="D2926">
        <v>-0.41</v>
      </c>
      <c r="E2926">
        <v>0</v>
      </c>
      <c r="F2926">
        <v>798</v>
      </c>
      <c r="G2926" t="s">
        <v>8751</v>
      </c>
      <c r="H2926">
        <v>2727.56</v>
      </c>
      <c r="I2926">
        <v>3.99</v>
      </c>
      <c r="J2926" t="s">
        <v>120</v>
      </c>
      <c r="K2926" t="s">
        <v>12928</v>
      </c>
      <c r="L2926">
        <v>0.51</v>
      </c>
      <c r="M2926">
        <v>2.35</v>
      </c>
      <c r="N2926">
        <v>0.94</v>
      </c>
      <c r="O2926">
        <v>0.84</v>
      </c>
      <c r="P2926">
        <v>2.41</v>
      </c>
      <c r="Q2926">
        <v>-1.67</v>
      </c>
      <c r="R2926">
        <v>2.35</v>
      </c>
      <c r="S2926">
        <v>2.39</v>
      </c>
      <c r="T2926">
        <v>114505</v>
      </c>
      <c r="U2926">
        <v>2.36</v>
      </c>
      <c r="V2926">
        <v>2.39</v>
      </c>
      <c r="W2926">
        <v>58.87</v>
      </c>
      <c r="X2926" t="s">
        <v>132</v>
      </c>
      <c r="Y2926" t="s">
        <v>1510</v>
      </c>
      <c r="Z2926">
        <v>2.5099999999999998</v>
      </c>
      <c r="AA2926">
        <v>2.38</v>
      </c>
      <c r="AB2926">
        <v>73255</v>
      </c>
      <c r="AC2926">
        <v>41250</v>
      </c>
      <c r="AD2926">
        <v>1.78</v>
      </c>
      <c r="AE2926">
        <v>5765</v>
      </c>
      <c r="AF2926">
        <v>152</v>
      </c>
      <c r="AG2926" t="s">
        <v>120</v>
      </c>
      <c r="AH2926">
        <v>0</v>
      </c>
      <c r="AI2926" t="s">
        <v>120</v>
      </c>
      <c r="AJ2926">
        <v>22.25</v>
      </c>
      <c r="AK2926" t="s">
        <v>7815</v>
      </c>
      <c r="AL2926">
        <v>-0.33</v>
      </c>
      <c r="AM2926">
        <v>1442</v>
      </c>
      <c r="AN2926">
        <v>79</v>
      </c>
      <c r="AO2926">
        <v>4.0000000000000002E-4</v>
      </c>
      <c r="AP2926">
        <v>-3</v>
      </c>
      <c r="AQ2926">
        <v>-0.42</v>
      </c>
      <c r="AR2926">
        <v>-3.29</v>
      </c>
      <c r="AS2926">
        <v>3.98</v>
      </c>
      <c r="AT2926">
        <v>-3.3</v>
      </c>
      <c r="AU2926">
        <v>-7.11</v>
      </c>
      <c r="AV2926">
        <v>1</v>
      </c>
      <c r="AW2926">
        <v>1.07</v>
      </c>
      <c r="AX2926">
        <v>47.86</v>
      </c>
      <c r="AY2926">
        <v>20.91</v>
      </c>
      <c r="AZ2926">
        <v>49.85</v>
      </c>
      <c r="BA2926">
        <v>0.53</v>
      </c>
      <c r="BB2926" t="s">
        <v>143</v>
      </c>
      <c r="BF2926">
        <v>-0.33</v>
      </c>
      <c r="BG2926">
        <v>-1.67</v>
      </c>
      <c r="BH2926">
        <v>-2.4900000000000002</v>
      </c>
      <c r="BI2926">
        <v>0</v>
      </c>
      <c r="BJ2926">
        <v>20210830</v>
      </c>
      <c r="BK2926">
        <v>19960606</v>
      </c>
      <c r="BL2926">
        <v>22.29</v>
      </c>
      <c r="BM2926" t="s">
        <v>120</v>
      </c>
      <c r="BN2926" t="s">
        <v>120</v>
      </c>
      <c r="BO2926">
        <v>879.77</v>
      </c>
      <c r="BP2926">
        <v>2.35</v>
      </c>
      <c r="BQ2926">
        <v>138.19</v>
      </c>
      <c r="BR2926">
        <v>7.74</v>
      </c>
      <c r="BS2926">
        <v>83.41</v>
      </c>
      <c r="BT2926">
        <v>833.68</v>
      </c>
      <c r="BU2926">
        <v>12.81</v>
      </c>
      <c r="BV2926">
        <v>4.57</v>
      </c>
      <c r="BW2926">
        <v>558.23</v>
      </c>
      <c r="BX2926">
        <v>108.43</v>
      </c>
      <c r="BY2926">
        <v>562.13</v>
      </c>
      <c r="BZ2926">
        <v>15.6</v>
      </c>
      <c r="CA2926">
        <v>0.13</v>
      </c>
      <c r="CB2926">
        <v>12.83</v>
      </c>
      <c r="CC2926">
        <v>93.1</v>
      </c>
      <c r="CD2926">
        <v>81.62</v>
      </c>
      <c r="CE2926">
        <v>1.97</v>
      </c>
      <c r="CF2926">
        <v>-0.46</v>
      </c>
      <c r="CG2926">
        <v>2.0099999999999998</v>
      </c>
      <c r="CH2926">
        <v>0.43</v>
      </c>
      <c r="CI2926">
        <v>0.44</v>
      </c>
      <c r="CJ2926">
        <v>-0.04</v>
      </c>
      <c r="CK2926">
        <v>0.08</v>
      </c>
      <c r="CL2926">
        <v>66.7</v>
      </c>
      <c r="CM2926">
        <v>16.72</v>
      </c>
      <c r="CN2926">
        <v>13.58</v>
      </c>
      <c r="CO2926">
        <v>40288</v>
      </c>
      <c r="CP2926">
        <v>26475</v>
      </c>
      <c r="CQ2926" t="s">
        <v>144</v>
      </c>
      <c r="CR2926">
        <v>142.99</v>
      </c>
      <c r="CS2926">
        <v>294.08999999999997</v>
      </c>
      <c r="CT2926">
        <v>0.48</v>
      </c>
      <c r="CU2926">
        <v>3.13</v>
      </c>
      <c r="CV2926">
        <v>0.56000000000000005</v>
      </c>
      <c r="CW2926">
        <v>0.84</v>
      </c>
      <c r="CX2926" t="s">
        <v>419</v>
      </c>
      <c r="CY2926">
        <v>4.8899999999999997</v>
      </c>
      <c r="CZ2926">
        <v>4.8899999999999997</v>
      </c>
      <c r="DA2926">
        <v>0.57999999999999996</v>
      </c>
      <c r="DB2926">
        <v>2.99</v>
      </c>
      <c r="DC2926">
        <v>0.75</v>
      </c>
      <c r="DD2926">
        <v>15.71</v>
      </c>
      <c r="DE2926" t="s">
        <v>12929</v>
      </c>
      <c r="DF2926">
        <v>12.33</v>
      </c>
      <c r="DG2926">
        <v>2.12</v>
      </c>
      <c r="DH2926">
        <v>0.48</v>
      </c>
      <c r="DI2926" t="s">
        <v>120</v>
      </c>
      <c r="DJ2926">
        <v>2764</v>
      </c>
      <c r="DK2926">
        <v>600708</v>
      </c>
      <c r="DL2926" t="s">
        <v>120</v>
      </c>
      <c r="DM2926" t="s">
        <v>120</v>
      </c>
      <c r="DN2926" t="s">
        <v>120</v>
      </c>
    </row>
    <row r="2927" spans="1:118">
      <c r="A2927" t="str">
        <f>"600710"</f>
        <v>600710</v>
      </c>
      <c r="B2927" t="s">
        <v>12930</v>
      </c>
      <c r="C2927">
        <v>-2.0099999999999998</v>
      </c>
      <c r="D2927">
        <v>-0.13</v>
      </c>
      <c r="E2927">
        <v>0.8</v>
      </c>
      <c r="F2927">
        <v>4507</v>
      </c>
      <c r="G2927" t="s">
        <v>12931</v>
      </c>
      <c r="H2927">
        <v>27587.91</v>
      </c>
      <c r="I2927">
        <v>173.95</v>
      </c>
      <c r="J2927" t="s">
        <v>120</v>
      </c>
      <c r="K2927" t="s">
        <v>7037</v>
      </c>
      <c r="L2927">
        <v>2.78</v>
      </c>
      <c r="M2927">
        <v>7.33</v>
      </c>
      <c r="N2927">
        <v>1.25</v>
      </c>
      <c r="O2927">
        <v>5.75</v>
      </c>
      <c r="P2927">
        <v>7.91</v>
      </c>
      <c r="Q2927">
        <v>-2.0099999999999998</v>
      </c>
      <c r="R2927">
        <v>7.33</v>
      </c>
      <c r="S2927">
        <v>7.54</v>
      </c>
      <c r="T2927">
        <v>363136</v>
      </c>
      <c r="U2927">
        <v>7.34</v>
      </c>
      <c r="V2927">
        <v>7.48</v>
      </c>
      <c r="W2927">
        <v>12.83</v>
      </c>
      <c r="X2927" t="s">
        <v>593</v>
      </c>
      <c r="Y2927" t="s">
        <v>319</v>
      </c>
      <c r="Z2927">
        <v>7.75</v>
      </c>
      <c r="AA2927">
        <v>7.6</v>
      </c>
      <c r="AB2927">
        <v>194885</v>
      </c>
      <c r="AC2927">
        <v>168251</v>
      </c>
      <c r="AD2927">
        <v>1.1599999999999999</v>
      </c>
      <c r="AE2927">
        <v>1362</v>
      </c>
      <c r="AF2927">
        <v>446</v>
      </c>
      <c r="AG2927" t="s">
        <v>120</v>
      </c>
      <c r="AH2927">
        <v>0.04</v>
      </c>
      <c r="AI2927" t="s">
        <v>120</v>
      </c>
      <c r="AJ2927">
        <v>13.07</v>
      </c>
      <c r="AK2927" t="s">
        <v>7037</v>
      </c>
      <c r="AL2927">
        <v>-0.66</v>
      </c>
      <c r="AM2927">
        <v>3679</v>
      </c>
      <c r="AN2927">
        <v>99</v>
      </c>
      <c r="AO2927">
        <v>8.0000000000000004E-4</v>
      </c>
      <c r="AP2927">
        <v>-1</v>
      </c>
      <c r="AQ2927">
        <v>4.32</v>
      </c>
      <c r="AR2927">
        <v>0.13</v>
      </c>
      <c r="AS2927">
        <v>15.25</v>
      </c>
      <c r="AT2927">
        <v>16.91</v>
      </c>
      <c r="AU2927">
        <v>37.04</v>
      </c>
      <c r="AV2927">
        <v>6</v>
      </c>
      <c r="AW2927">
        <v>6.84</v>
      </c>
      <c r="AX2927">
        <v>40.630000000000003</v>
      </c>
      <c r="AY2927">
        <v>14.55</v>
      </c>
      <c r="AZ2927">
        <v>17.89</v>
      </c>
      <c r="BA2927">
        <v>1.26</v>
      </c>
      <c r="BB2927" t="s">
        <v>184</v>
      </c>
      <c r="BF2927">
        <v>1.57</v>
      </c>
      <c r="BG2927">
        <v>-2.79</v>
      </c>
      <c r="BH2927">
        <v>-7.33</v>
      </c>
      <c r="BI2927">
        <v>0</v>
      </c>
      <c r="BJ2927">
        <v>20210807</v>
      </c>
      <c r="BK2927">
        <v>19960701</v>
      </c>
      <c r="BL2927">
        <v>13.07</v>
      </c>
      <c r="BM2927" t="s">
        <v>120</v>
      </c>
      <c r="BN2927" t="s">
        <v>120</v>
      </c>
      <c r="BO2927">
        <v>500.76</v>
      </c>
      <c r="BP2927">
        <v>7.33</v>
      </c>
      <c r="BQ2927">
        <v>52.33</v>
      </c>
      <c r="BR2927">
        <v>50.44</v>
      </c>
      <c r="BS2927">
        <v>79.48</v>
      </c>
      <c r="BT2927">
        <v>369.58</v>
      </c>
      <c r="BU2927">
        <v>82.35</v>
      </c>
      <c r="BV2927">
        <v>7.43</v>
      </c>
      <c r="BW2927">
        <v>357.13</v>
      </c>
      <c r="BX2927">
        <v>51.77</v>
      </c>
      <c r="BY2927">
        <v>94.88</v>
      </c>
      <c r="BZ2927">
        <v>86.2</v>
      </c>
      <c r="CA2927">
        <v>0.08</v>
      </c>
      <c r="CB2927">
        <v>11.72</v>
      </c>
      <c r="CC2927">
        <v>792.04</v>
      </c>
      <c r="CD2927">
        <v>760.19</v>
      </c>
      <c r="CE2927">
        <v>14.46</v>
      </c>
      <c r="CF2927">
        <v>0.27</v>
      </c>
      <c r="CG2927">
        <v>14.35</v>
      </c>
      <c r="CH2927">
        <v>10.71</v>
      </c>
      <c r="CI2927">
        <v>3.73</v>
      </c>
      <c r="CJ2927">
        <v>-0.15</v>
      </c>
      <c r="CK2927">
        <v>3.5</v>
      </c>
      <c r="CL2927">
        <v>23.63</v>
      </c>
      <c r="CM2927">
        <v>-30.9</v>
      </c>
      <c r="CN2927">
        <v>-7.82</v>
      </c>
      <c r="CO2927">
        <v>42788</v>
      </c>
      <c r="CP2927">
        <v>12409</v>
      </c>
      <c r="CQ2927" t="s">
        <v>2565</v>
      </c>
      <c r="CR2927">
        <v>50.64</v>
      </c>
      <c r="CS2927">
        <v>81.3</v>
      </c>
      <c r="CT2927">
        <v>1.83</v>
      </c>
      <c r="CU2927">
        <v>-3.1</v>
      </c>
      <c r="CV2927">
        <v>0.12</v>
      </c>
      <c r="CW2927">
        <v>3.36</v>
      </c>
      <c r="CX2927" t="s">
        <v>293</v>
      </c>
      <c r="CY2927">
        <v>4</v>
      </c>
      <c r="CZ2927">
        <v>0</v>
      </c>
      <c r="DA2927">
        <v>0.9</v>
      </c>
      <c r="DB2927">
        <v>1.81</v>
      </c>
      <c r="DC2927">
        <v>-2.36</v>
      </c>
      <c r="DD2927">
        <v>10.45</v>
      </c>
      <c r="DE2927" t="s">
        <v>4037</v>
      </c>
      <c r="DF2927">
        <v>4.0199999999999996</v>
      </c>
      <c r="DG2927">
        <v>1.83</v>
      </c>
      <c r="DH2927">
        <v>0.47</v>
      </c>
      <c r="DI2927">
        <v>1.91</v>
      </c>
      <c r="DJ2927">
        <v>23597</v>
      </c>
      <c r="DK2927">
        <v>600710</v>
      </c>
      <c r="DL2927" t="s">
        <v>120</v>
      </c>
      <c r="DM2927" t="s">
        <v>120</v>
      </c>
      <c r="DN2927" t="s">
        <v>120</v>
      </c>
    </row>
    <row r="2928" spans="1:118">
      <c r="A2928" t="str">
        <f>"600711"</f>
        <v>600711</v>
      </c>
      <c r="B2928" t="s">
        <v>12932</v>
      </c>
      <c r="C2928">
        <v>-5.32</v>
      </c>
      <c r="D2928">
        <v>0</v>
      </c>
      <c r="E2928">
        <v>0.28999999999999998</v>
      </c>
      <c r="F2928">
        <v>13947</v>
      </c>
      <c r="G2928" t="s">
        <v>12933</v>
      </c>
      <c r="H2928">
        <v>215966.79</v>
      </c>
      <c r="I2928">
        <v>657.52</v>
      </c>
      <c r="J2928" t="s">
        <v>120</v>
      </c>
      <c r="K2928" t="s">
        <v>12934</v>
      </c>
      <c r="L2928">
        <v>6.44</v>
      </c>
      <c r="M2928">
        <v>13.18</v>
      </c>
      <c r="N2928">
        <v>0.66</v>
      </c>
      <c r="O2928">
        <v>0.93</v>
      </c>
      <c r="P2928">
        <v>14.05</v>
      </c>
      <c r="Q2928">
        <v>-6.61</v>
      </c>
      <c r="R2928">
        <v>13</v>
      </c>
      <c r="S2928">
        <v>13.96</v>
      </c>
      <c r="T2928">
        <v>1607306</v>
      </c>
      <c r="U2928">
        <v>13.18</v>
      </c>
      <c r="V2928">
        <v>13.92</v>
      </c>
      <c r="W2928">
        <v>25.38</v>
      </c>
      <c r="X2928" t="s">
        <v>1390</v>
      </c>
      <c r="Y2928" t="s">
        <v>937</v>
      </c>
      <c r="Z2928">
        <v>7.54</v>
      </c>
      <c r="AA2928">
        <v>13.44</v>
      </c>
      <c r="AB2928">
        <v>877645</v>
      </c>
      <c r="AC2928">
        <v>729661</v>
      </c>
      <c r="AD2928">
        <v>1.2</v>
      </c>
      <c r="AE2928">
        <v>297</v>
      </c>
      <c r="AF2928">
        <v>969</v>
      </c>
      <c r="AG2928" t="s">
        <v>120</v>
      </c>
      <c r="AH2928">
        <v>0.02</v>
      </c>
      <c r="AI2928" t="s">
        <v>120</v>
      </c>
      <c r="AJ2928">
        <v>24.97</v>
      </c>
      <c r="AK2928" t="s">
        <v>12935</v>
      </c>
      <c r="AL2928">
        <v>-3.97</v>
      </c>
      <c r="AM2928">
        <v>4733</v>
      </c>
      <c r="AN2928">
        <v>340</v>
      </c>
      <c r="AO2928">
        <v>1.4E-3</v>
      </c>
      <c r="AP2928">
        <v>-1</v>
      </c>
      <c r="AQ2928">
        <v>3.96</v>
      </c>
      <c r="AR2928">
        <v>-6.59</v>
      </c>
      <c r="AS2928">
        <v>46.61</v>
      </c>
      <c r="AT2928">
        <v>88.01</v>
      </c>
      <c r="AU2928">
        <v>44.04</v>
      </c>
      <c r="AV2928">
        <v>5</v>
      </c>
      <c r="AW2928">
        <v>7.86</v>
      </c>
      <c r="AX2928">
        <v>74.44</v>
      </c>
      <c r="AY2928">
        <v>52.02</v>
      </c>
      <c r="AZ2928">
        <v>647.16</v>
      </c>
      <c r="BA2928">
        <v>1.6</v>
      </c>
      <c r="BB2928" t="s">
        <v>184</v>
      </c>
      <c r="BF2928">
        <v>-3.47</v>
      </c>
      <c r="BG2928">
        <v>-5.59</v>
      </c>
      <c r="BH2928">
        <v>-6.19</v>
      </c>
      <c r="BI2928">
        <v>1.38</v>
      </c>
      <c r="BJ2928">
        <v>20210901</v>
      </c>
      <c r="BK2928">
        <v>19960531</v>
      </c>
      <c r="BL2928">
        <v>27.47</v>
      </c>
      <c r="BM2928" t="s">
        <v>120</v>
      </c>
      <c r="BN2928" t="s">
        <v>120</v>
      </c>
      <c r="BO2928">
        <v>255.81</v>
      </c>
      <c r="BP2928">
        <v>13.17</v>
      </c>
      <c r="BQ2928">
        <v>114.95</v>
      </c>
      <c r="BR2928">
        <v>11.09</v>
      </c>
      <c r="BS2928">
        <v>50.73</v>
      </c>
      <c r="BT2928">
        <v>129.94999999999999</v>
      </c>
      <c r="BU2928">
        <v>54.52</v>
      </c>
      <c r="BV2928">
        <v>37.729999999999997</v>
      </c>
      <c r="BW2928">
        <v>108.86</v>
      </c>
      <c r="BX2928">
        <v>15.07</v>
      </c>
      <c r="BY2928">
        <v>51.9</v>
      </c>
      <c r="BZ2928">
        <v>9.86</v>
      </c>
      <c r="CA2928" t="s">
        <v>120</v>
      </c>
      <c r="CB2928">
        <v>64.7</v>
      </c>
      <c r="CC2928">
        <v>231.38</v>
      </c>
      <c r="CD2928">
        <v>210.46</v>
      </c>
      <c r="CE2928">
        <v>15.16</v>
      </c>
      <c r="CF2928">
        <v>0.37</v>
      </c>
      <c r="CG2928">
        <v>15.16</v>
      </c>
      <c r="CH2928">
        <v>14.66</v>
      </c>
      <c r="CI2928">
        <v>7.13</v>
      </c>
      <c r="CJ2928">
        <v>-0.74</v>
      </c>
      <c r="CK2928">
        <v>6.7</v>
      </c>
      <c r="CL2928">
        <v>21.3</v>
      </c>
      <c r="CM2928">
        <v>15.87</v>
      </c>
      <c r="CN2928">
        <v>1.53</v>
      </c>
      <c r="CO2928">
        <v>162360</v>
      </c>
      <c r="CP2928">
        <v>12595</v>
      </c>
      <c r="CQ2928" t="s">
        <v>2700</v>
      </c>
      <c r="CR2928">
        <v>1812.96</v>
      </c>
      <c r="CS2928">
        <v>4.46</v>
      </c>
      <c r="CT2928">
        <v>3.1</v>
      </c>
      <c r="CU2928">
        <v>22.82</v>
      </c>
      <c r="CV2928">
        <v>1.56</v>
      </c>
      <c r="CW2928">
        <v>7.0000000000000007E-2</v>
      </c>
      <c r="CX2928" t="s">
        <v>1233</v>
      </c>
      <c r="CY2928">
        <v>4.25</v>
      </c>
      <c r="CZ2928">
        <v>4.25</v>
      </c>
      <c r="DA2928">
        <v>2.36</v>
      </c>
      <c r="DB2928">
        <v>0.78</v>
      </c>
      <c r="DC2928">
        <v>0.57999999999999996</v>
      </c>
      <c r="DD2928">
        <v>44.94</v>
      </c>
      <c r="DE2928" t="s">
        <v>2505</v>
      </c>
      <c r="DF2928">
        <v>9.0399999999999991</v>
      </c>
      <c r="DG2928">
        <v>6.55</v>
      </c>
      <c r="DH2928">
        <v>3.08</v>
      </c>
      <c r="DI2928">
        <v>0.21</v>
      </c>
      <c r="DJ2928">
        <v>7107</v>
      </c>
      <c r="DK2928">
        <v>600711</v>
      </c>
      <c r="DL2928" t="s">
        <v>120</v>
      </c>
      <c r="DM2928" t="s">
        <v>120</v>
      </c>
      <c r="DN2928" t="s">
        <v>120</v>
      </c>
    </row>
    <row r="2929" spans="1:118">
      <c r="A2929" t="str">
        <f>"600712"</f>
        <v>600712</v>
      </c>
      <c r="B2929" t="s">
        <v>12936</v>
      </c>
      <c r="C2929">
        <v>-0.25</v>
      </c>
      <c r="D2929">
        <v>0</v>
      </c>
      <c r="E2929">
        <v>0</v>
      </c>
      <c r="F2929">
        <v>480</v>
      </c>
      <c r="G2929" t="s">
        <v>4496</v>
      </c>
      <c r="H2929">
        <v>3320.59</v>
      </c>
      <c r="I2929">
        <v>4.62</v>
      </c>
      <c r="J2929" t="s">
        <v>120</v>
      </c>
      <c r="K2929" t="s">
        <v>12937</v>
      </c>
      <c r="L2929">
        <v>1.53</v>
      </c>
      <c r="M2929">
        <v>3.97</v>
      </c>
      <c r="N2929">
        <v>1.1499999999999999</v>
      </c>
      <c r="O2929">
        <v>2.5099999999999998</v>
      </c>
      <c r="P2929">
        <v>4.08</v>
      </c>
      <c r="Q2929">
        <v>-0.75</v>
      </c>
      <c r="R2929">
        <v>3.95</v>
      </c>
      <c r="S2929">
        <v>3.98</v>
      </c>
      <c r="T2929">
        <v>82560</v>
      </c>
      <c r="U2929">
        <v>3.97</v>
      </c>
      <c r="V2929">
        <v>3.98</v>
      </c>
      <c r="W2929" t="s">
        <v>120</v>
      </c>
      <c r="X2929" t="s">
        <v>735</v>
      </c>
      <c r="Y2929" t="s">
        <v>945</v>
      </c>
      <c r="Z2929">
        <v>3.27</v>
      </c>
      <c r="AA2929">
        <v>4.0199999999999996</v>
      </c>
      <c r="AB2929">
        <v>40219</v>
      </c>
      <c r="AC2929">
        <v>42341</v>
      </c>
      <c r="AD2929">
        <v>0.95</v>
      </c>
      <c r="AE2929">
        <v>574</v>
      </c>
      <c r="AF2929">
        <v>792</v>
      </c>
      <c r="AG2929" t="s">
        <v>120</v>
      </c>
      <c r="AH2929">
        <v>0</v>
      </c>
      <c r="AI2929" t="s">
        <v>120</v>
      </c>
      <c r="AJ2929">
        <v>5.39</v>
      </c>
      <c r="AK2929" t="s">
        <v>7666</v>
      </c>
      <c r="AL2929">
        <v>1.0900000000000001</v>
      </c>
      <c r="AM2929">
        <v>1406</v>
      </c>
      <c r="AN2929">
        <v>59</v>
      </c>
      <c r="AO2929">
        <v>1.1000000000000001E-3</v>
      </c>
      <c r="AP2929">
        <v>-3</v>
      </c>
      <c r="AQ2929">
        <v>-0.25</v>
      </c>
      <c r="AR2929">
        <v>-2.46</v>
      </c>
      <c r="AS2929">
        <v>1.53</v>
      </c>
      <c r="AT2929">
        <v>-7.67</v>
      </c>
      <c r="AU2929">
        <v>-11.58</v>
      </c>
      <c r="AV2929">
        <v>3</v>
      </c>
      <c r="AW2929">
        <v>2.58</v>
      </c>
      <c r="AX2929">
        <v>58.82</v>
      </c>
      <c r="AY2929" t="s">
        <v>120</v>
      </c>
      <c r="AZ2929" t="s">
        <v>120</v>
      </c>
      <c r="BA2929">
        <v>0.45</v>
      </c>
      <c r="BB2929" t="s">
        <v>143</v>
      </c>
      <c r="BF2929">
        <v>1.06</v>
      </c>
      <c r="BG2929">
        <v>-0.25</v>
      </c>
      <c r="BH2929">
        <v>-2.7</v>
      </c>
      <c r="BI2929">
        <v>0.51</v>
      </c>
      <c r="BJ2929">
        <v>20210826</v>
      </c>
      <c r="BK2929">
        <v>19960626</v>
      </c>
      <c r="BL2929">
        <v>5.45</v>
      </c>
      <c r="BM2929" t="s">
        <v>120</v>
      </c>
      <c r="BN2929" t="s">
        <v>120</v>
      </c>
      <c r="BO2929">
        <v>16.59</v>
      </c>
      <c r="BP2929">
        <v>3.96</v>
      </c>
      <c r="BQ2929">
        <v>8.8800000000000008</v>
      </c>
      <c r="BR2929" t="s">
        <v>120</v>
      </c>
      <c r="BS2929">
        <v>46.46</v>
      </c>
      <c r="BT2929">
        <v>3.99</v>
      </c>
      <c r="BU2929">
        <v>9.68</v>
      </c>
      <c r="BV2929">
        <v>0.24</v>
      </c>
      <c r="BW2929">
        <v>7.32</v>
      </c>
      <c r="BX2929">
        <v>2.2000000000000002</v>
      </c>
      <c r="BY2929">
        <v>0.93</v>
      </c>
      <c r="BZ2929">
        <v>0.06</v>
      </c>
      <c r="CA2929" t="s">
        <v>120</v>
      </c>
      <c r="CB2929">
        <v>3.7</v>
      </c>
      <c r="CC2929">
        <v>4.04</v>
      </c>
      <c r="CD2929">
        <v>2.95</v>
      </c>
      <c r="CE2929">
        <v>-0.03</v>
      </c>
      <c r="CF2929">
        <v>0</v>
      </c>
      <c r="CG2929">
        <v>-0.03</v>
      </c>
      <c r="CH2929">
        <v>-0.05</v>
      </c>
      <c r="CI2929">
        <v>-0.05</v>
      </c>
      <c r="CJ2929">
        <v>-0.01</v>
      </c>
      <c r="CK2929">
        <v>-0.06</v>
      </c>
      <c r="CL2929">
        <v>-0.82</v>
      </c>
      <c r="CM2929">
        <v>-0.01</v>
      </c>
      <c r="CN2929">
        <v>-0.55000000000000004</v>
      </c>
      <c r="CO2929">
        <v>43460</v>
      </c>
      <c r="CP2929">
        <v>7372</v>
      </c>
      <c r="CQ2929" t="s">
        <v>2009</v>
      </c>
      <c r="CR2929">
        <v>87.07</v>
      </c>
      <c r="CS2929">
        <v>11.75</v>
      </c>
      <c r="CT2929">
        <v>2.4300000000000002</v>
      </c>
      <c r="CU2929">
        <v>-1507.76</v>
      </c>
      <c r="CV2929">
        <v>5.36</v>
      </c>
      <c r="CW2929">
        <v>0</v>
      </c>
      <c r="CX2929" t="s">
        <v>1312</v>
      </c>
      <c r="CY2929">
        <v>1.63</v>
      </c>
      <c r="CZ2929">
        <v>0</v>
      </c>
      <c r="DA2929">
        <v>0.68</v>
      </c>
      <c r="DB2929">
        <v>-0.15</v>
      </c>
      <c r="DC2929">
        <v>0</v>
      </c>
      <c r="DD2929">
        <v>53.54</v>
      </c>
      <c r="DE2929" t="s">
        <v>11321</v>
      </c>
      <c r="DF2929">
        <v>26.92</v>
      </c>
      <c r="DG2929">
        <v>-0.7</v>
      </c>
      <c r="DH2929">
        <v>-1.21</v>
      </c>
      <c r="DI2929" t="s">
        <v>120</v>
      </c>
      <c r="DJ2929">
        <v>927</v>
      </c>
      <c r="DK2929">
        <v>600712</v>
      </c>
      <c r="DL2929" t="s">
        <v>120</v>
      </c>
      <c r="DM2929" t="s">
        <v>120</v>
      </c>
      <c r="DN2929" t="s">
        <v>120</v>
      </c>
    </row>
    <row r="2930" spans="1:118">
      <c r="A2930" t="str">
        <f>"600713"</f>
        <v>600713</v>
      </c>
      <c r="B2930" t="s">
        <v>12938</v>
      </c>
      <c r="C2930">
        <v>-1.29</v>
      </c>
      <c r="D2930">
        <v>-0.42</v>
      </c>
      <c r="E2930">
        <v>1.29</v>
      </c>
      <c r="F2930">
        <v>3204</v>
      </c>
      <c r="G2930" t="s">
        <v>12939</v>
      </c>
      <c r="H2930">
        <v>5518.82</v>
      </c>
      <c r="I2930">
        <v>25.11</v>
      </c>
      <c r="J2930" t="s">
        <v>120</v>
      </c>
      <c r="K2930" t="s">
        <v>10575</v>
      </c>
      <c r="L2930">
        <v>1.1399999999999999</v>
      </c>
      <c r="M2930">
        <v>4.5999999999999996</v>
      </c>
      <c r="N2930">
        <v>0.82</v>
      </c>
      <c r="O2930">
        <v>1.5</v>
      </c>
      <c r="P2930">
        <v>4.7300000000000004</v>
      </c>
      <c r="Q2930">
        <v>-1.29</v>
      </c>
      <c r="R2930">
        <v>4.5999999999999996</v>
      </c>
      <c r="S2930">
        <v>4.72</v>
      </c>
      <c r="T2930">
        <v>118367</v>
      </c>
      <c r="U2930">
        <v>4.6100000000000003</v>
      </c>
      <c r="V2930">
        <v>4.66</v>
      </c>
      <c r="W2930">
        <v>10.77</v>
      </c>
      <c r="X2930" t="s">
        <v>274</v>
      </c>
      <c r="Y2930" t="s">
        <v>319</v>
      </c>
      <c r="Z2930">
        <v>2.79</v>
      </c>
      <c r="AA2930">
        <v>4.66</v>
      </c>
      <c r="AB2930">
        <v>59303</v>
      </c>
      <c r="AC2930">
        <v>59064</v>
      </c>
      <c r="AD2930">
        <v>1</v>
      </c>
      <c r="AE2930">
        <v>2188</v>
      </c>
      <c r="AF2930">
        <v>156</v>
      </c>
      <c r="AG2930" t="s">
        <v>120</v>
      </c>
      <c r="AH2930">
        <v>0.01</v>
      </c>
      <c r="AI2930" t="s">
        <v>120</v>
      </c>
      <c r="AJ2930">
        <v>10.42</v>
      </c>
      <c r="AK2930" t="s">
        <v>10575</v>
      </c>
      <c r="AL2930">
        <v>0.06</v>
      </c>
      <c r="AM2930">
        <v>2173</v>
      </c>
      <c r="AN2930">
        <v>54</v>
      </c>
      <c r="AO2930">
        <v>5.0000000000000001E-4</v>
      </c>
      <c r="AP2930">
        <v>-1</v>
      </c>
      <c r="AQ2930">
        <v>0.65</v>
      </c>
      <c r="AR2930">
        <v>-2.54</v>
      </c>
      <c r="AS2930">
        <v>7.22</v>
      </c>
      <c r="AT2930">
        <v>-3.57</v>
      </c>
      <c r="AU2930">
        <v>5.99</v>
      </c>
      <c r="AV2930">
        <v>2</v>
      </c>
      <c r="AW2930">
        <v>2.08</v>
      </c>
      <c r="AX2930">
        <v>54.68</v>
      </c>
      <c r="AY2930">
        <v>11.39</v>
      </c>
      <c r="AZ2930">
        <v>12.9</v>
      </c>
      <c r="BA2930">
        <v>0.67</v>
      </c>
      <c r="BB2930" t="s">
        <v>143</v>
      </c>
      <c r="BF2930">
        <v>0.05</v>
      </c>
      <c r="BG2930">
        <v>-2.54</v>
      </c>
      <c r="BH2930">
        <v>-2.75</v>
      </c>
      <c r="BI2930">
        <v>0</v>
      </c>
      <c r="BJ2930">
        <v>20210821</v>
      </c>
      <c r="BK2930">
        <v>19960701</v>
      </c>
      <c r="BL2930">
        <v>10.42</v>
      </c>
      <c r="BM2930" t="s">
        <v>120</v>
      </c>
      <c r="BN2930" t="s">
        <v>120</v>
      </c>
      <c r="BO2930">
        <v>254.51</v>
      </c>
      <c r="BP2930">
        <v>4.5999999999999996</v>
      </c>
      <c r="BQ2930">
        <v>43.21</v>
      </c>
      <c r="BR2930">
        <v>6.32</v>
      </c>
      <c r="BS2930">
        <v>80.540000000000006</v>
      </c>
      <c r="BT2930">
        <v>230.05</v>
      </c>
      <c r="BU2930">
        <v>11.05</v>
      </c>
      <c r="BV2930">
        <v>2.76</v>
      </c>
      <c r="BW2930">
        <v>174.03</v>
      </c>
      <c r="BX2930">
        <v>10.24</v>
      </c>
      <c r="BY2930">
        <v>46.56</v>
      </c>
      <c r="BZ2930">
        <v>113.53</v>
      </c>
      <c r="CA2930" t="s">
        <v>120</v>
      </c>
      <c r="CB2930">
        <v>16.52</v>
      </c>
      <c r="CC2930">
        <v>218.97</v>
      </c>
      <c r="CD2930">
        <v>205.09</v>
      </c>
      <c r="CE2930">
        <v>3.79</v>
      </c>
      <c r="CF2930">
        <v>-0.44</v>
      </c>
      <c r="CG2930">
        <v>3.73</v>
      </c>
      <c r="CH2930">
        <v>2.68</v>
      </c>
      <c r="CI2930">
        <v>2.2200000000000002</v>
      </c>
      <c r="CJ2930">
        <v>-0.06</v>
      </c>
      <c r="CK2930">
        <v>2.2000000000000002</v>
      </c>
      <c r="CL2930">
        <v>13.28</v>
      </c>
      <c r="CM2930">
        <v>-18.09</v>
      </c>
      <c r="CN2930">
        <v>-4.7</v>
      </c>
      <c r="CO2930">
        <v>73681</v>
      </c>
      <c r="CP2930">
        <v>7731</v>
      </c>
      <c r="CQ2930" t="s">
        <v>7355</v>
      </c>
      <c r="CR2930">
        <v>28.76</v>
      </c>
      <c r="CS2930">
        <v>19.84</v>
      </c>
      <c r="CT2930">
        <v>1.1100000000000001</v>
      </c>
      <c r="CU2930">
        <v>-2.65</v>
      </c>
      <c r="CV2930">
        <v>0.22</v>
      </c>
      <c r="CW2930">
        <v>2.36</v>
      </c>
      <c r="CX2930" t="s">
        <v>2097</v>
      </c>
      <c r="CY2930">
        <v>4.1500000000000004</v>
      </c>
      <c r="CZ2930">
        <v>0</v>
      </c>
      <c r="DA2930">
        <v>1.59</v>
      </c>
      <c r="DB2930">
        <v>1.27</v>
      </c>
      <c r="DC2930">
        <v>-1.74</v>
      </c>
      <c r="DD2930">
        <v>16.98</v>
      </c>
      <c r="DE2930" t="s">
        <v>9427</v>
      </c>
      <c r="DF2930">
        <v>6.34</v>
      </c>
      <c r="DG2930">
        <v>1.73</v>
      </c>
      <c r="DH2930">
        <v>1.02</v>
      </c>
      <c r="DI2930">
        <v>0.1</v>
      </c>
      <c r="DJ2930">
        <v>5033</v>
      </c>
      <c r="DK2930">
        <v>600713</v>
      </c>
      <c r="DL2930" t="s">
        <v>120</v>
      </c>
      <c r="DM2930" t="s">
        <v>120</v>
      </c>
      <c r="DN2930" t="s">
        <v>120</v>
      </c>
    </row>
    <row r="2931" spans="1:118">
      <c r="A2931" t="str">
        <f>"600714"</f>
        <v>600714</v>
      </c>
      <c r="B2931" t="s">
        <v>12940</v>
      </c>
      <c r="C2931">
        <v>-1.29</v>
      </c>
      <c r="D2931">
        <v>1.7</v>
      </c>
      <c r="E2931">
        <v>1.36</v>
      </c>
      <c r="F2931">
        <v>941</v>
      </c>
      <c r="G2931" t="s">
        <v>6156</v>
      </c>
      <c r="H2931">
        <v>13029.52</v>
      </c>
      <c r="I2931">
        <v>74.34</v>
      </c>
      <c r="J2931" t="s">
        <v>120</v>
      </c>
      <c r="K2931" t="s">
        <v>2234</v>
      </c>
      <c r="L2931">
        <v>3.3</v>
      </c>
      <c r="M2931">
        <v>13.79</v>
      </c>
      <c r="N2931">
        <v>0.79</v>
      </c>
      <c r="O2931">
        <v>2</v>
      </c>
      <c r="P2931">
        <v>14.25</v>
      </c>
      <c r="Q2931">
        <v>-4.58</v>
      </c>
      <c r="R2931">
        <v>13.33</v>
      </c>
      <c r="S2931">
        <v>14.16</v>
      </c>
      <c r="T2931">
        <v>95085</v>
      </c>
      <c r="U2931">
        <v>13.79</v>
      </c>
      <c r="V2931">
        <v>13.97</v>
      </c>
      <c r="W2931">
        <v>95.15</v>
      </c>
      <c r="X2931" t="s">
        <v>868</v>
      </c>
      <c r="Y2931" t="s">
        <v>691</v>
      </c>
      <c r="Z2931">
        <v>6.59</v>
      </c>
      <c r="AA2931">
        <v>13.7</v>
      </c>
      <c r="AB2931">
        <v>49044</v>
      </c>
      <c r="AC2931">
        <v>46041</v>
      </c>
      <c r="AD2931">
        <v>1.07</v>
      </c>
      <c r="AE2931">
        <v>163</v>
      </c>
      <c r="AF2931">
        <v>10</v>
      </c>
      <c r="AG2931" t="s">
        <v>120</v>
      </c>
      <c r="AH2931">
        <v>0.05</v>
      </c>
      <c r="AI2931" t="s">
        <v>120</v>
      </c>
      <c r="AJ2931">
        <v>2.88</v>
      </c>
      <c r="AK2931" t="s">
        <v>2234</v>
      </c>
      <c r="AL2931">
        <v>0.06</v>
      </c>
      <c r="AM2931">
        <v>3339</v>
      </c>
      <c r="AN2931">
        <v>28</v>
      </c>
      <c r="AO2931">
        <v>1E-3</v>
      </c>
      <c r="AP2931">
        <v>-1</v>
      </c>
      <c r="AQ2931">
        <v>2.27</v>
      </c>
      <c r="AR2931">
        <v>-0.56999999999999995</v>
      </c>
      <c r="AS2931">
        <v>24.46</v>
      </c>
      <c r="AT2931">
        <v>73.67</v>
      </c>
      <c r="AU2931">
        <v>154.9</v>
      </c>
      <c r="AV2931">
        <v>13</v>
      </c>
      <c r="AW2931">
        <v>8.75</v>
      </c>
      <c r="AX2931">
        <v>37.71</v>
      </c>
      <c r="AY2931">
        <v>161.84</v>
      </c>
      <c r="AZ2931">
        <v>1124.49</v>
      </c>
      <c r="BA2931">
        <v>1.08</v>
      </c>
      <c r="BB2931" t="s">
        <v>143</v>
      </c>
      <c r="BF2931">
        <v>-1.91</v>
      </c>
      <c r="BG2931">
        <v>-2.61</v>
      </c>
      <c r="BH2931">
        <v>-3.23</v>
      </c>
      <c r="BI2931">
        <v>3.45</v>
      </c>
      <c r="BJ2931">
        <v>20210827</v>
      </c>
      <c r="BK2931">
        <v>19960606</v>
      </c>
      <c r="BL2931">
        <v>2.88</v>
      </c>
      <c r="BM2931" t="s">
        <v>120</v>
      </c>
      <c r="BN2931" t="s">
        <v>120</v>
      </c>
      <c r="BO2931">
        <v>7.13</v>
      </c>
      <c r="BP2931">
        <v>13.7</v>
      </c>
      <c r="BQ2931">
        <v>6.42</v>
      </c>
      <c r="BR2931" t="s">
        <v>120</v>
      </c>
      <c r="BS2931">
        <v>9.9700000000000006</v>
      </c>
      <c r="BT2931">
        <v>5.0999999999999996</v>
      </c>
      <c r="BU2931">
        <v>1.41</v>
      </c>
      <c r="BV2931">
        <v>0.56000000000000005</v>
      </c>
      <c r="BW2931">
        <v>0.56000000000000005</v>
      </c>
      <c r="BX2931">
        <v>0.46</v>
      </c>
      <c r="BY2931">
        <v>0.56000000000000005</v>
      </c>
      <c r="BZ2931">
        <v>0.27</v>
      </c>
      <c r="CA2931" t="s">
        <v>120</v>
      </c>
      <c r="CB2931">
        <v>3</v>
      </c>
      <c r="CC2931">
        <v>1.4</v>
      </c>
      <c r="CD2931">
        <v>1.01</v>
      </c>
      <c r="CE2931">
        <v>0.25</v>
      </c>
      <c r="CF2931">
        <v>0.03</v>
      </c>
      <c r="CG2931">
        <v>0.25</v>
      </c>
      <c r="CH2931">
        <v>0.21</v>
      </c>
      <c r="CI2931">
        <v>0.21</v>
      </c>
      <c r="CJ2931">
        <v>-0.18</v>
      </c>
      <c r="CK2931">
        <v>0.21</v>
      </c>
      <c r="CL2931">
        <v>0.23</v>
      </c>
      <c r="CM2931">
        <v>0.17</v>
      </c>
      <c r="CN2931">
        <v>-3.17</v>
      </c>
      <c r="CO2931">
        <v>18732</v>
      </c>
      <c r="CP2931">
        <v>5801</v>
      </c>
      <c r="CQ2931" t="s">
        <v>4683</v>
      </c>
      <c r="CR2931">
        <v>5160.95</v>
      </c>
      <c r="CS2931">
        <v>126.41</v>
      </c>
      <c r="CT2931">
        <v>6.19</v>
      </c>
      <c r="CU2931">
        <v>237.32</v>
      </c>
      <c r="CV2931">
        <v>28.31</v>
      </c>
      <c r="CW2931">
        <v>0</v>
      </c>
      <c r="CX2931" t="s">
        <v>679</v>
      </c>
      <c r="CY2931">
        <v>2.23</v>
      </c>
      <c r="CZ2931">
        <v>0</v>
      </c>
      <c r="DA2931">
        <v>1.04</v>
      </c>
      <c r="DB2931">
        <v>0.08</v>
      </c>
      <c r="DC2931">
        <v>0.06</v>
      </c>
      <c r="DD2931">
        <v>90.03</v>
      </c>
      <c r="DE2931" t="s">
        <v>4432</v>
      </c>
      <c r="DF2931">
        <v>28.05</v>
      </c>
      <c r="DG2931">
        <v>17.739999999999998</v>
      </c>
      <c r="DH2931">
        <v>14.88</v>
      </c>
      <c r="DI2931">
        <v>0.02</v>
      </c>
      <c r="DJ2931">
        <v>328</v>
      </c>
      <c r="DK2931">
        <v>600714</v>
      </c>
      <c r="DL2931" t="s">
        <v>120</v>
      </c>
      <c r="DM2931" t="s">
        <v>120</v>
      </c>
      <c r="DN2931" t="s">
        <v>120</v>
      </c>
    </row>
    <row r="2932" spans="1:118">
      <c r="A2932" t="str">
        <f>"600715"</f>
        <v>600715</v>
      </c>
      <c r="B2932" t="s">
        <v>12941</v>
      </c>
      <c r="C2932">
        <v>-0.32</v>
      </c>
      <c r="D2932">
        <v>0</v>
      </c>
      <c r="E2932">
        <v>0</v>
      </c>
      <c r="F2932">
        <v>2503</v>
      </c>
      <c r="G2932" t="s">
        <v>2226</v>
      </c>
      <c r="H2932">
        <v>5956.52</v>
      </c>
      <c r="I2932">
        <v>39.81</v>
      </c>
      <c r="J2932" t="s">
        <v>120</v>
      </c>
      <c r="K2932" t="s">
        <v>12942</v>
      </c>
      <c r="L2932">
        <v>1.03</v>
      </c>
      <c r="M2932">
        <v>3.11</v>
      </c>
      <c r="N2932">
        <v>0.5</v>
      </c>
      <c r="O2932">
        <v>1.92</v>
      </c>
      <c r="P2932">
        <v>3.18</v>
      </c>
      <c r="Q2932">
        <v>-1.28</v>
      </c>
      <c r="R2932">
        <v>3.08</v>
      </c>
      <c r="S2932">
        <v>3.12</v>
      </c>
      <c r="T2932">
        <v>190789</v>
      </c>
      <c r="U2932">
        <v>3.11</v>
      </c>
      <c r="V2932">
        <v>3.12</v>
      </c>
      <c r="W2932" t="s">
        <v>120</v>
      </c>
      <c r="X2932" t="s">
        <v>584</v>
      </c>
      <c r="Y2932" t="s">
        <v>432</v>
      </c>
      <c r="Z2932">
        <v>3.21</v>
      </c>
      <c r="AA2932">
        <v>3.12</v>
      </c>
      <c r="AB2932">
        <v>100479</v>
      </c>
      <c r="AC2932">
        <v>90310</v>
      </c>
      <c r="AD2932">
        <v>1.1100000000000001</v>
      </c>
      <c r="AE2932">
        <v>1885</v>
      </c>
      <c r="AF2932">
        <v>1667</v>
      </c>
      <c r="AG2932" t="s">
        <v>120</v>
      </c>
      <c r="AH2932">
        <v>0.01</v>
      </c>
      <c r="AI2932" t="s">
        <v>120</v>
      </c>
      <c r="AJ2932">
        <v>18.55</v>
      </c>
      <c r="AK2932" t="s">
        <v>12942</v>
      </c>
      <c r="AL2932">
        <v>1.02</v>
      </c>
      <c r="AM2932">
        <v>1963</v>
      </c>
      <c r="AN2932">
        <v>97</v>
      </c>
      <c r="AO2932">
        <v>5.0000000000000001E-4</v>
      </c>
      <c r="AP2932">
        <v>-4</v>
      </c>
      <c r="AQ2932">
        <v>-2.8</v>
      </c>
      <c r="AR2932">
        <v>-8.8000000000000007</v>
      </c>
      <c r="AS2932">
        <v>2.98</v>
      </c>
      <c r="AT2932">
        <v>1.63</v>
      </c>
      <c r="AU2932">
        <v>31.78</v>
      </c>
      <c r="AV2932">
        <v>11</v>
      </c>
      <c r="AW2932">
        <v>1.96</v>
      </c>
      <c r="AX2932">
        <v>52.45</v>
      </c>
      <c r="AY2932" t="s">
        <v>120</v>
      </c>
      <c r="AZ2932" t="s">
        <v>120</v>
      </c>
      <c r="BA2932">
        <v>0.48</v>
      </c>
      <c r="BB2932" t="s">
        <v>143</v>
      </c>
      <c r="BF2932">
        <v>7.0000000000000007E-2</v>
      </c>
      <c r="BG2932">
        <v>-0.32</v>
      </c>
      <c r="BH2932">
        <v>-2.2000000000000002</v>
      </c>
      <c r="BI2932">
        <v>0.97</v>
      </c>
      <c r="BJ2932">
        <v>20210831</v>
      </c>
      <c r="BK2932">
        <v>19960701</v>
      </c>
      <c r="BL2932">
        <v>18.55</v>
      </c>
      <c r="BM2932" t="s">
        <v>120</v>
      </c>
      <c r="BN2932" t="s">
        <v>120</v>
      </c>
      <c r="BO2932">
        <v>80.150000000000006</v>
      </c>
      <c r="BP2932">
        <v>3.1</v>
      </c>
      <c r="BQ2932">
        <v>28.16</v>
      </c>
      <c r="BR2932">
        <v>-0.34</v>
      </c>
      <c r="BS2932">
        <v>65.3</v>
      </c>
      <c r="BT2932">
        <v>34.51</v>
      </c>
      <c r="BU2932">
        <v>1.55</v>
      </c>
      <c r="BV2932">
        <v>1.02</v>
      </c>
      <c r="BW2932">
        <v>34.159999999999997</v>
      </c>
      <c r="BX2932">
        <v>3.29</v>
      </c>
      <c r="BY2932">
        <v>2.33</v>
      </c>
      <c r="BZ2932">
        <v>4.4000000000000004</v>
      </c>
      <c r="CA2932" t="s">
        <v>120</v>
      </c>
      <c r="CB2932">
        <v>48.84</v>
      </c>
      <c r="CC2932">
        <v>4.4400000000000004</v>
      </c>
      <c r="CD2932">
        <v>3.79</v>
      </c>
      <c r="CE2932">
        <v>-1.26</v>
      </c>
      <c r="CF2932">
        <v>0.02</v>
      </c>
      <c r="CG2932">
        <v>-1.1399999999999999</v>
      </c>
      <c r="CH2932">
        <v>-1.1499999999999999</v>
      </c>
      <c r="CI2932">
        <v>-1.1100000000000001</v>
      </c>
      <c r="CJ2932">
        <v>-0.01</v>
      </c>
      <c r="CK2932">
        <v>-1.66</v>
      </c>
      <c r="CL2932">
        <v>-39.020000000000003</v>
      </c>
      <c r="CM2932">
        <v>0.5</v>
      </c>
      <c r="CN2932">
        <v>-0.89</v>
      </c>
      <c r="CO2932">
        <v>33846</v>
      </c>
      <c r="CP2932">
        <v>28746</v>
      </c>
      <c r="CQ2932" t="s">
        <v>5257</v>
      </c>
      <c r="CR2932">
        <v>76.78</v>
      </c>
      <c r="CS2932">
        <v>127.91</v>
      </c>
      <c r="CT2932">
        <v>2.0499999999999998</v>
      </c>
      <c r="CU2932">
        <v>114.98</v>
      </c>
      <c r="CV2932">
        <v>12.98</v>
      </c>
      <c r="CW2932">
        <v>0</v>
      </c>
      <c r="CX2932" t="s">
        <v>2044</v>
      </c>
      <c r="CY2932">
        <v>1.52</v>
      </c>
      <c r="CZ2932">
        <v>0</v>
      </c>
      <c r="DA2932">
        <v>2.63</v>
      </c>
      <c r="DB2932">
        <v>-2.1</v>
      </c>
      <c r="DC2932">
        <v>0.03</v>
      </c>
      <c r="DD2932">
        <v>35.130000000000003</v>
      </c>
      <c r="DE2932" t="s">
        <v>12943</v>
      </c>
      <c r="DF2932">
        <v>14.65</v>
      </c>
      <c r="DG2932">
        <v>-28.4</v>
      </c>
      <c r="DH2932">
        <v>-24.96</v>
      </c>
      <c r="DI2932">
        <v>0.24</v>
      </c>
      <c r="DJ2932">
        <v>1498</v>
      </c>
      <c r="DK2932">
        <v>600715</v>
      </c>
      <c r="DL2932" t="s">
        <v>120</v>
      </c>
      <c r="DM2932" t="s">
        <v>120</v>
      </c>
      <c r="DN2932" t="s">
        <v>120</v>
      </c>
    </row>
    <row r="2933" spans="1:118">
      <c r="A2933" t="str">
        <f>"600716"</f>
        <v>600716</v>
      </c>
      <c r="B2933" t="s">
        <v>12944</v>
      </c>
      <c r="C2933">
        <v>0</v>
      </c>
      <c r="D2933">
        <v>-0.23</v>
      </c>
      <c r="E2933">
        <v>0.48</v>
      </c>
      <c r="F2933">
        <v>795</v>
      </c>
      <c r="G2933" t="s">
        <v>8489</v>
      </c>
      <c r="H2933">
        <v>2098.15</v>
      </c>
      <c r="I2933">
        <v>0.08</v>
      </c>
      <c r="J2933" t="s">
        <v>120</v>
      </c>
      <c r="K2933" t="s">
        <v>4582</v>
      </c>
      <c r="L2933">
        <v>0.54</v>
      </c>
      <c r="M2933">
        <v>4.13</v>
      </c>
      <c r="N2933">
        <v>0.81</v>
      </c>
      <c r="O2933">
        <v>1.94</v>
      </c>
      <c r="P2933">
        <v>4.21</v>
      </c>
      <c r="Q2933">
        <v>-0.24</v>
      </c>
      <c r="R2933">
        <v>4.12</v>
      </c>
      <c r="S2933">
        <v>4.1500000000000004</v>
      </c>
      <c r="T2933">
        <v>50416</v>
      </c>
      <c r="U2933">
        <v>4.1399999999999997</v>
      </c>
      <c r="V2933">
        <v>4.13</v>
      </c>
      <c r="W2933">
        <v>36.18</v>
      </c>
      <c r="X2933" t="s">
        <v>150</v>
      </c>
      <c r="Y2933" t="s">
        <v>319</v>
      </c>
      <c r="Z2933">
        <v>2.1800000000000002</v>
      </c>
      <c r="AA2933">
        <v>4.16</v>
      </c>
      <c r="AB2933">
        <v>20210</v>
      </c>
      <c r="AC2933">
        <v>30206</v>
      </c>
      <c r="AD2933">
        <v>0.67</v>
      </c>
      <c r="AE2933">
        <v>459</v>
      </c>
      <c r="AF2933">
        <v>115</v>
      </c>
      <c r="AG2933" t="s">
        <v>120</v>
      </c>
      <c r="AH2933">
        <v>0</v>
      </c>
      <c r="AI2933" t="s">
        <v>120</v>
      </c>
      <c r="AJ2933">
        <v>9.36</v>
      </c>
      <c r="AK2933" t="s">
        <v>4582</v>
      </c>
      <c r="AL2933">
        <v>1.34</v>
      </c>
      <c r="AM2933">
        <v>1223</v>
      </c>
      <c r="AN2933">
        <v>41</v>
      </c>
      <c r="AO2933">
        <v>4.0000000000000002E-4</v>
      </c>
      <c r="AP2933">
        <v>0</v>
      </c>
      <c r="AQ2933">
        <v>0.98</v>
      </c>
      <c r="AR2933">
        <v>-0.48</v>
      </c>
      <c r="AS2933">
        <v>6.17</v>
      </c>
      <c r="AT2933">
        <v>1.98</v>
      </c>
      <c r="AU2933">
        <v>1.23</v>
      </c>
      <c r="AV2933">
        <v>2</v>
      </c>
      <c r="AW2933">
        <v>1.1200000000000001</v>
      </c>
      <c r="AX2933">
        <v>47.88</v>
      </c>
      <c r="AY2933">
        <v>33.26</v>
      </c>
      <c r="AZ2933">
        <v>67.22</v>
      </c>
      <c r="BA2933">
        <v>0.38</v>
      </c>
      <c r="BB2933" t="s">
        <v>184</v>
      </c>
      <c r="BF2933">
        <v>0.77</v>
      </c>
      <c r="BG2933">
        <v>-0.48</v>
      </c>
      <c r="BH2933">
        <v>-1.9</v>
      </c>
      <c r="BI2933">
        <v>0.24</v>
      </c>
      <c r="BJ2933">
        <v>20210830</v>
      </c>
      <c r="BK2933">
        <v>19960702</v>
      </c>
      <c r="BL2933">
        <v>9.36</v>
      </c>
      <c r="BM2933" t="s">
        <v>120</v>
      </c>
      <c r="BN2933" t="s">
        <v>120</v>
      </c>
      <c r="BO2933">
        <v>79.2</v>
      </c>
      <c r="BP2933">
        <v>4.13</v>
      </c>
      <c r="BQ2933">
        <v>58.67</v>
      </c>
      <c r="BR2933" t="s">
        <v>120</v>
      </c>
      <c r="BS2933">
        <v>25.92</v>
      </c>
      <c r="BT2933">
        <v>54.03</v>
      </c>
      <c r="BU2933">
        <v>0.19</v>
      </c>
      <c r="BV2933">
        <v>0.04</v>
      </c>
      <c r="BW2933">
        <v>11.18</v>
      </c>
      <c r="BX2933">
        <v>10.08</v>
      </c>
      <c r="BY2933">
        <v>30.64</v>
      </c>
      <c r="BZ2933">
        <v>0.27</v>
      </c>
      <c r="CA2933">
        <v>0.02</v>
      </c>
      <c r="CB2933">
        <v>14.8</v>
      </c>
      <c r="CC2933">
        <v>3.72</v>
      </c>
      <c r="CD2933">
        <v>2.68</v>
      </c>
      <c r="CE2933">
        <v>0.56000000000000005</v>
      </c>
      <c r="CF2933">
        <v>0</v>
      </c>
      <c r="CG2933">
        <v>0.56999999999999995</v>
      </c>
      <c r="CH2933">
        <v>0.53</v>
      </c>
      <c r="CI2933">
        <v>0.53</v>
      </c>
      <c r="CJ2933">
        <v>0</v>
      </c>
      <c r="CK2933">
        <v>0.65</v>
      </c>
      <c r="CL2933">
        <v>21.27</v>
      </c>
      <c r="CM2933">
        <v>-2.12</v>
      </c>
      <c r="CN2933">
        <v>-15.76</v>
      </c>
      <c r="CO2933">
        <v>29236</v>
      </c>
      <c r="CP2933">
        <v>15330</v>
      </c>
      <c r="CQ2933" t="s">
        <v>380</v>
      </c>
      <c r="CR2933">
        <v>1107.95</v>
      </c>
      <c r="CS2933">
        <v>146.88</v>
      </c>
      <c r="CT2933">
        <v>0.66</v>
      </c>
      <c r="CU2933">
        <v>-18.239999999999998</v>
      </c>
      <c r="CV2933">
        <v>10.39</v>
      </c>
      <c r="CW2933">
        <v>0.73</v>
      </c>
      <c r="CX2933" t="s">
        <v>1301</v>
      </c>
      <c r="CY2933">
        <v>6.27</v>
      </c>
      <c r="CZ2933">
        <v>0</v>
      </c>
      <c r="DA2933">
        <v>1.58</v>
      </c>
      <c r="DB2933">
        <v>2.27</v>
      </c>
      <c r="DC2933">
        <v>-0.23</v>
      </c>
      <c r="DD2933">
        <v>74.08</v>
      </c>
      <c r="DE2933" t="s">
        <v>2062</v>
      </c>
      <c r="DF2933">
        <v>27.99</v>
      </c>
      <c r="DG2933">
        <v>15.14</v>
      </c>
      <c r="DH2933">
        <v>14.35</v>
      </c>
      <c r="DI2933" t="s">
        <v>120</v>
      </c>
      <c r="DJ2933">
        <v>113</v>
      </c>
      <c r="DK2933">
        <v>600716</v>
      </c>
      <c r="DL2933" t="s">
        <v>120</v>
      </c>
      <c r="DM2933" t="s">
        <v>120</v>
      </c>
      <c r="DN2933" t="s">
        <v>120</v>
      </c>
    </row>
    <row r="2934" spans="1:118">
      <c r="A2934" t="str">
        <f>"600717"</f>
        <v>600717</v>
      </c>
      <c r="B2934" t="s">
        <v>12945</v>
      </c>
      <c r="C2934">
        <v>-1.81</v>
      </c>
      <c r="D2934">
        <v>0</v>
      </c>
      <c r="E2934">
        <v>1.36</v>
      </c>
      <c r="F2934">
        <v>1507</v>
      </c>
      <c r="G2934" t="s">
        <v>12946</v>
      </c>
      <c r="H2934">
        <v>10699.16</v>
      </c>
      <c r="I2934">
        <v>97.8</v>
      </c>
      <c r="J2934" t="s">
        <v>120</v>
      </c>
      <c r="K2934" t="s">
        <v>12947</v>
      </c>
      <c r="L2934">
        <v>0.84</v>
      </c>
      <c r="M2934">
        <v>4.34</v>
      </c>
      <c r="N2934">
        <v>0.65</v>
      </c>
      <c r="O2934">
        <v>2.4900000000000002</v>
      </c>
      <c r="P2934">
        <v>4.53</v>
      </c>
      <c r="Q2934">
        <v>-2.04</v>
      </c>
      <c r="R2934">
        <v>4.33</v>
      </c>
      <c r="S2934">
        <v>4.4800000000000004</v>
      </c>
      <c r="T2934">
        <v>241991</v>
      </c>
      <c r="U2934">
        <v>4.34</v>
      </c>
      <c r="V2934">
        <v>4.42</v>
      </c>
      <c r="W2934">
        <v>13</v>
      </c>
      <c r="X2934" t="s">
        <v>511</v>
      </c>
      <c r="Y2934" t="s">
        <v>997</v>
      </c>
      <c r="Z2934">
        <v>4.5199999999999996</v>
      </c>
      <c r="AA2934">
        <v>4.42</v>
      </c>
      <c r="AB2934">
        <v>125781</v>
      </c>
      <c r="AC2934">
        <v>116210</v>
      </c>
      <c r="AD2934">
        <v>1.08</v>
      </c>
      <c r="AE2934">
        <v>3067</v>
      </c>
      <c r="AF2934">
        <v>1386</v>
      </c>
      <c r="AG2934" t="s">
        <v>120</v>
      </c>
      <c r="AH2934">
        <v>0.02</v>
      </c>
      <c r="AI2934" t="s">
        <v>120</v>
      </c>
      <c r="AJ2934">
        <v>28.94</v>
      </c>
      <c r="AK2934" t="s">
        <v>12947</v>
      </c>
      <c r="AL2934">
        <v>-0.47</v>
      </c>
      <c r="AM2934">
        <v>2756</v>
      </c>
      <c r="AN2934">
        <v>88</v>
      </c>
      <c r="AO2934">
        <v>2.9999999999999997E-4</v>
      </c>
      <c r="AP2934">
        <v>-1</v>
      </c>
      <c r="AQ2934">
        <v>0</v>
      </c>
      <c r="AR2934">
        <v>-4.82</v>
      </c>
      <c r="AS2934">
        <v>14.51</v>
      </c>
      <c r="AT2934">
        <v>10.99</v>
      </c>
      <c r="AU2934">
        <v>10.95</v>
      </c>
      <c r="AV2934">
        <v>0</v>
      </c>
      <c r="AW2934">
        <v>1.94</v>
      </c>
      <c r="AX2934">
        <v>43.19</v>
      </c>
      <c r="AY2934">
        <v>16.13</v>
      </c>
      <c r="AZ2934">
        <v>18.63</v>
      </c>
      <c r="BA2934">
        <v>0.53</v>
      </c>
      <c r="BB2934" t="s">
        <v>143</v>
      </c>
      <c r="BF2934">
        <v>0.03</v>
      </c>
      <c r="BG2934">
        <v>-3.12</v>
      </c>
      <c r="BH2934">
        <v>-4.1900000000000004</v>
      </c>
      <c r="BI2934">
        <v>0.23</v>
      </c>
      <c r="BJ2934">
        <v>20210827</v>
      </c>
      <c r="BK2934">
        <v>19960614</v>
      </c>
      <c r="BL2934">
        <v>28.94</v>
      </c>
      <c r="BM2934" t="s">
        <v>120</v>
      </c>
      <c r="BN2934" t="s">
        <v>120</v>
      </c>
      <c r="BO2934">
        <v>362.93</v>
      </c>
      <c r="BP2934">
        <v>4.33</v>
      </c>
      <c r="BQ2934">
        <v>170.52</v>
      </c>
      <c r="BR2934">
        <v>59.18</v>
      </c>
      <c r="BS2934">
        <v>36.71</v>
      </c>
      <c r="BT2934">
        <v>76.290000000000006</v>
      </c>
      <c r="BU2934">
        <v>165.17</v>
      </c>
      <c r="BV2934">
        <v>52.94</v>
      </c>
      <c r="BW2934">
        <v>72.599999999999994</v>
      </c>
      <c r="BX2934">
        <v>38.909999999999997</v>
      </c>
      <c r="BY2934">
        <v>2.0499999999999998</v>
      </c>
      <c r="BZ2934">
        <v>21.99</v>
      </c>
      <c r="CA2934">
        <v>4.88</v>
      </c>
      <c r="CB2934">
        <v>28.87</v>
      </c>
      <c r="CC2934">
        <v>71.069999999999993</v>
      </c>
      <c r="CD2934">
        <v>55.66</v>
      </c>
      <c r="CE2934">
        <v>8.8800000000000008</v>
      </c>
      <c r="CF2934">
        <v>2.14</v>
      </c>
      <c r="CG2934">
        <v>8.93</v>
      </c>
      <c r="CH2934">
        <v>6.93</v>
      </c>
      <c r="CI2934">
        <v>4.83</v>
      </c>
      <c r="CJ2934">
        <v>-0.08</v>
      </c>
      <c r="CK2934">
        <v>4.75</v>
      </c>
      <c r="CL2934">
        <v>86.03</v>
      </c>
      <c r="CM2934">
        <v>9.94</v>
      </c>
      <c r="CN2934">
        <v>-6.22</v>
      </c>
      <c r="CO2934">
        <v>93517</v>
      </c>
      <c r="CP2934">
        <v>13364</v>
      </c>
      <c r="CQ2934" t="s">
        <v>4325</v>
      </c>
      <c r="CR2934">
        <v>28.2</v>
      </c>
      <c r="CS2934">
        <v>26.83</v>
      </c>
      <c r="CT2934">
        <v>0.74</v>
      </c>
      <c r="CU2934">
        <v>12.64</v>
      </c>
      <c r="CV2934">
        <v>1.77</v>
      </c>
      <c r="CW2934">
        <v>1.62</v>
      </c>
      <c r="CX2934" t="s">
        <v>492</v>
      </c>
      <c r="CY2934">
        <v>5.89</v>
      </c>
      <c r="CZ2934">
        <v>0</v>
      </c>
      <c r="DA2934">
        <v>1</v>
      </c>
      <c r="DB2934">
        <v>2.97</v>
      </c>
      <c r="DC2934">
        <v>0.34</v>
      </c>
      <c r="DD2934">
        <v>46.98</v>
      </c>
      <c r="DE2934" t="s">
        <v>2379</v>
      </c>
      <c r="DF2934">
        <v>21.68</v>
      </c>
      <c r="DG2934">
        <v>12.5</v>
      </c>
      <c r="DH2934">
        <v>6.8</v>
      </c>
      <c r="DI2934">
        <v>0.34</v>
      </c>
      <c r="DJ2934">
        <v>7254</v>
      </c>
      <c r="DK2934">
        <v>600717</v>
      </c>
      <c r="DL2934" t="s">
        <v>120</v>
      </c>
      <c r="DM2934" t="s">
        <v>120</v>
      </c>
      <c r="DN2934" t="s">
        <v>120</v>
      </c>
    </row>
    <row r="2935" spans="1:118">
      <c r="A2935" t="str">
        <f>"600718"</f>
        <v>600718</v>
      </c>
      <c r="B2935" t="s">
        <v>12948</v>
      </c>
      <c r="C2935">
        <v>0</v>
      </c>
      <c r="D2935">
        <v>0.48</v>
      </c>
      <c r="E2935">
        <v>-0.48</v>
      </c>
      <c r="F2935">
        <v>3941</v>
      </c>
      <c r="G2935" t="s">
        <v>12949</v>
      </c>
      <c r="H2935">
        <v>15947.03</v>
      </c>
      <c r="I2935">
        <v>48.08</v>
      </c>
      <c r="J2935" t="s">
        <v>120</v>
      </c>
      <c r="K2935" t="s">
        <v>12950</v>
      </c>
      <c r="L2935">
        <v>1.29</v>
      </c>
      <c r="M2935">
        <v>10.36</v>
      </c>
      <c r="N2935">
        <v>1.41</v>
      </c>
      <c r="O2935">
        <v>0.87</v>
      </c>
      <c r="P2935">
        <v>10.45</v>
      </c>
      <c r="Q2935">
        <v>-2.0299999999999998</v>
      </c>
      <c r="R2935">
        <v>10.15</v>
      </c>
      <c r="S2935">
        <v>10.31</v>
      </c>
      <c r="T2935">
        <v>154814</v>
      </c>
      <c r="U2935">
        <v>10.36</v>
      </c>
      <c r="V2935">
        <v>10.36</v>
      </c>
      <c r="W2935">
        <v>88.31</v>
      </c>
      <c r="X2935" t="s">
        <v>141</v>
      </c>
      <c r="Y2935" t="s">
        <v>432</v>
      </c>
      <c r="Z2935">
        <v>2.9</v>
      </c>
      <c r="AA2935">
        <v>10.3</v>
      </c>
      <c r="AB2935">
        <v>76013</v>
      </c>
      <c r="AC2935">
        <v>78801</v>
      </c>
      <c r="AD2935">
        <v>0.96</v>
      </c>
      <c r="AE2935">
        <v>99</v>
      </c>
      <c r="AF2935">
        <v>1432</v>
      </c>
      <c r="AG2935" t="s">
        <v>120</v>
      </c>
      <c r="AH2935">
        <v>0.01</v>
      </c>
      <c r="AI2935" t="s">
        <v>120</v>
      </c>
      <c r="AJ2935">
        <v>12.03</v>
      </c>
      <c r="AK2935" t="s">
        <v>12951</v>
      </c>
      <c r="AL2935">
        <v>1.34</v>
      </c>
      <c r="AM2935">
        <v>3188</v>
      </c>
      <c r="AN2935">
        <v>49</v>
      </c>
      <c r="AO2935">
        <v>4.0000000000000002E-4</v>
      </c>
      <c r="AP2935">
        <v>0</v>
      </c>
      <c r="AQ2935">
        <v>1.97</v>
      </c>
      <c r="AR2935">
        <v>1.17</v>
      </c>
      <c r="AS2935">
        <v>11.88</v>
      </c>
      <c r="AT2935">
        <v>4.54</v>
      </c>
      <c r="AU2935">
        <v>-0.48</v>
      </c>
      <c r="AV2935">
        <v>0</v>
      </c>
      <c r="AW2935">
        <v>1.86</v>
      </c>
      <c r="AX2935">
        <v>66.989999999999995</v>
      </c>
      <c r="AY2935">
        <v>92.63</v>
      </c>
      <c r="AZ2935">
        <v>98.11</v>
      </c>
      <c r="BA2935">
        <v>0.28999999999999998</v>
      </c>
      <c r="BB2935" t="s">
        <v>184</v>
      </c>
      <c r="BF2935">
        <v>-0.56999999999999995</v>
      </c>
      <c r="BG2935">
        <v>0.48</v>
      </c>
      <c r="BH2935">
        <v>-0.86</v>
      </c>
      <c r="BI2935">
        <v>2.0699999999999998</v>
      </c>
      <c r="BJ2935">
        <v>20210828</v>
      </c>
      <c r="BK2935">
        <v>19960618</v>
      </c>
      <c r="BL2935">
        <v>12.42</v>
      </c>
      <c r="BM2935" t="s">
        <v>120</v>
      </c>
      <c r="BN2935" t="s">
        <v>120</v>
      </c>
      <c r="BO2935">
        <v>168.44</v>
      </c>
      <c r="BP2935">
        <v>10.33</v>
      </c>
      <c r="BQ2935">
        <v>84.28</v>
      </c>
      <c r="BR2935">
        <v>0.42</v>
      </c>
      <c r="BS2935">
        <v>49.72</v>
      </c>
      <c r="BT2935">
        <v>97.96</v>
      </c>
      <c r="BU2935">
        <v>17.010000000000002</v>
      </c>
      <c r="BV2935">
        <v>6.83</v>
      </c>
      <c r="BW2935">
        <v>73.650000000000006</v>
      </c>
      <c r="BX2935">
        <v>19.82</v>
      </c>
      <c r="BY2935">
        <v>52.22</v>
      </c>
      <c r="BZ2935">
        <v>11.75</v>
      </c>
      <c r="CA2935">
        <v>0.3</v>
      </c>
      <c r="CB2935">
        <v>10.46</v>
      </c>
      <c r="CC2935">
        <v>32.11</v>
      </c>
      <c r="CD2935">
        <v>21.77</v>
      </c>
      <c r="CE2935">
        <v>0.59</v>
      </c>
      <c r="CF2935">
        <v>-0.66</v>
      </c>
      <c r="CG2935">
        <v>0.61</v>
      </c>
      <c r="CH2935">
        <v>0.26</v>
      </c>
      <c r="CI2935">
        <v>0.73</v>
      </c>
      <c r="CJ2935">
        <v>0</v>
      </c>
      <c r="CK2935">
        <v>0.11</v>
      </c>
      <c r="CL2935">
        <v>53.66</v>
      </c>
      <c r="CM2935">
        <v>-5.09</v>
      </c>
      <c r="CN2935">
        <v>-6.23</v>
      </c>
      <c r="CO2935">
        <v>74866</v>
      </c>
      <c r="CP2935">
        <v>11117</v>
      </c>
      <c r="CQ2935" t="s">
        <v>11591</v>
      </c>
      <c r="CR2935">
        <v>11.93</v>
      </c>
      <c r="CS2935">
        <v>29.54</v>
      </c>
      <c r="CT2935">
        <v>1.53</v>
      </c>
      <c r="CU2935">
        <v>-25.27</v>
      </c>
      <c r="CV2935">
        <v>4.01</v>
      </c>
      <c r="CW2935">
        <v>0</v>
      </c>
      <c r="CX2935" t="s">
        <v>1064</v>
      </c>
      <c r="CY2935">
        <v>6.78</v>
      </c>
      <c r="CZ2935">
        <v>0</v>
      </c>
      <c r="DA2935">
        <v>0.84</v>
      </c>
      <c r="DB2935">
        <v>4.32</v>
      </c>
      <c r="DC2935">
        <v>-0.41</v>
      </c>
      <c r="DD2935">
        <v>50.04</v>
      </c>
      <c r="DE2935" t="s">
        <v>3901</v>
      </c>
      <c r="DF2935">
        <v>32.19</v>
      </c>
      <c r="DG2935">
        <v>1.83</v>
      </c>
      <c r="DH2935">
        <v>2.27</v>
      </c>
      <c r="DI2935">
        <v>3.76</v>
      </c>
      <c r="DJ2935">
        <v>17071</v>
      </c>
      <c r="DK2935">
        <v>600718</v>
      </c>
      <c r="DL2935" t="s">
        <v>120</v>
      </c>
      <c r="DM2935" t="s">
        <v>120</v>
      </c>
      <c r="DN2935" t="s">
        <v>120</v>
      </c>
    </row>
    <row r="2936" spans="1:118">
      <c r="A2936" t="str">
        <f>"600719"</f>
        <v>600719</v>
      </c>
      <c r="B2936" t="s">
        <v>12952</v>
      </c>
      <c r="C2936">
        <v>-1.53</v>
      </c>
      <c r="D2936">
        <v>0.26</v>
      </c>
      <c r="E2936">
        <v>0</v>
      </c>
      <c r="F2936">
        <v>205</v>
      </c>
      <c r="G2936" t="s">
        <v>12953</v>
      </c>
      <c r="H2936">
        <v>1409.75</v>
      </c>
      <c r="I2936">
        <v>1.69</v>
      </c>
      <c r="J2936" t="s">
        <v>120</v>
      </c>
      <c r="K2936" t="s">
        <v>2508</v>
      </c>
      <c r="L2936">
        <v>0.89</v>
      </c>
      <c r="M2936">
        <v>3.87</v>
      </c>
      <c r="N2936">
        <v>0.74</v>
      </c>
      <c r="O2936">
        <v>1.27</v>
      </c>
      <c r="P2936">
        <v>3.98</v>
      </c>
      <c r="Q2936">
        <v>-2.04</v>
      </c>
      <c r="R2936">
        <v>3.85</v>
      </c>
      <c r="S2936">
        <v>3.93</v>
      </c>
      <c r="T2936">
        <v>36020</v>
      </c>
      <c r="U2936">
        <v>3.87</v>
      </c>
      <c r="V2936">
        <v>3.93</v>
      </c>
      <c r="W2936">
        <v>91.88</v>
      </c>
      <c r="X2936" t="s">
        <v>684</v>
      </c>
      <c r="Y2936" t="s">
        <v>432</v>
      </c>
      <c r="Z2936">
        <v>3.31</v>
      </c>
      <c r="AA2936">
        <v>3.91</v>
      </c>
      <c r="AB2936">
        <v>16755</v>
      </c>
      <c r="AC2936">
        <v>19265</v>
      </c>
      <c r="AD2936">
        <v>0.87</v>
      </c>
      <c r="AE2936">
        <v>21</v>
      </c>
      <c r="AF2936">
        <v>408</v>
      </c>
      <c r="AG2936" t="s">
        <v>120</v>
      </c>
      <c r="AH2936">
        <v>0</v>
      </c>
      <c r="AI2936" t="s">
        <v>120</v>
      </c>
      <c r="AJ2936">
        <v>4.05</v>
      </c>
      <c r="AK2936" t="s">
        <v>2508</v>
      </c>
      <c r="AL2936">
        <v>-0.18</v>
      </c>
      <c r="AM2936">
        <v>1552</v>
      </c>
      <c r="AN2936">
        <v>23</v>
      </c>
      <c r="AO2936">
        <v>5.9999999999999995E-4</v>
      </c>
      <c r="AP2936">
        <v>-1</v>
      </c>
      <c r="AQ2936">
        <v>2.08</v>
      </c>
      <c r="AR2936">
        <v>-2.02</v>
      </c>
      <c r="AS2936">
        <v>11.53</v>
      </c>
      <c r="AT2936">
        <v>8.65</v>
      </c>
      <c r="AU2936">
        <v>-1.82</v>
      </c>
      <c r="AV2936">
        <v>2</v>
      </c>
      <c r="AW2936">
        <v>1.33</v>
      </c>
      <c r="AX2936">
        <v>67.09</v>
      </c>
      <c r="AY2936">
        <v>237.73</v>
      </c>
      <c r="AZ2936">
        <v>164.63</v>
      </c>
      <c r="BA2936">
        <v>0.72</v>
      </c>
      <c r="BB2936" t="s">
        <v>168</v>
      </c>
      <c r="BF2936">
        <v>-0.41</v>
      </c>
      <c r="BG2936">
        <v>-1.53</v>
      </c>
      <c r="BH2936">
        <v>-2.76</v>
      </c>
      <c r="BI2936">
        <v>0.52</v>
      </c>
      <c r="BJ2936">
        <v>20210807</v>
      </c>
      <c r="BK2936">
        <v>19960716</v>
      </c>
      <c r="BL2936">
        <v>4.05</v>
      </c>
      <c r="BM2936" t="s">
        <v>120</v>
      </c>
      <c r="BN2936" t="s">
        <v>120</v>
      </c>
      <c r="BO2936">
        <v>27.05</v>
      </c>
      <c r="BP2936">
        <v>3.86</v>
      </c>
      <c r="BQ2936">
        <v>7.52</v>
      </c>
      <c r="BR2936" t="s">
        <v>120</v>
      </c>
      <c r="BS2936">
        <v>72.19</v>
      </c>
      <c r="BT2936">
        <v>9.59</v>
      </c>
      <c r="BU2936">
        <v>12.16</v>
      </c>
      <c r="BV2936">
        <v>0.01</v>
      </c>
      <c r="BW2936">
        <v>6.86</v>
      </c>
      <c r="BX2936">
        <v>3.82</v>
      </c>
      <c r="BY2936">
        <v>2.3199999999999998</v>
      </c>
      <c r="BZ2936">
        <v>0.16</v>
      </c>
      <c r="CA2936" t="s">
        <v>120</v>
      </c>
      <c r="CB2936">
        <v>1.02</v>
      </c>
      <c r="CC2936">
        <v>4.25</v>
      </c>
      <c r="CD2936">
        <v>3.13</v>
      </c>
      <c r="CE2936">
        <v>0.11</v>
      </c>
      <c r="CF2936">
        <v>0</v>
      </c>
      <c r="CG2936">
        <v>0.11</v>
      </c>
      <c r="CH2936">
        <v>0.09</v>
      </c>
      <c r="CI2936">
        <v>0.09</v>
      </c>
      <c r="CJ2936">
        <v>-0.06</v>
      </c>
      <c r="CK2936">
        <v>7.0000000000000007E-2</v>
      </c>
      <c r="CL2936">
        <v>0.71</v>
      </c>
      <c r="CM2936">
        <v>-1.6</v>
      </c>
      <c r="CN2936">
        <v>-1.4</v>
      </c>
      <c r="CO2936">
        <v>19760</v>
      </c>
      <c r="CP2936">
        <v>13738</v>
      </c>
      <c r="CQ2936" t="s">
        <v>1545</v>
      </c>
      <c r="CR2936">
        <v>-25.85</v>
      </c>
      <c r="CS2936">
        <v>-0.7</v>
      </c>
      <c r="CT2936">
        <v>2.08</v>
      </c>
      <c r="CU2936">
        <v>-9.81</v>
      </c>
      <c r="CV2936">
        <v>3.69</v>
      </c>
      <c r="CW2936">
        <v>0.2</v>
      </c>
      <c r="CX2936" t="s">
        <v>499</v>
      </c>
      <c r="CY2936">
        <v>1.86</v>
      </c>
      <c r="CZ2936">
        <v>0</v>
      </c>
      <c r="DA2936">
        <v>0.25</v>
      </c>
      <c r="DB2936">
        <v>0.18</v>
      </c>
      <c r="DC2936">
        <v>-0.39</v>
      </c>
      <c r="DD2936">
        <v>27.81</v>
      </c>
      <c r="DE2936" t="s">
        <v>11971</v>
      </c>
      <c r="DF2936">
        <v>26.43</v>
      </c>
      <c r="DG2936">
        <v>2.69</v>
      </c>
      <c r="DH2936">
        <v>2.0099999999999998</v>
      </c>
      <c r="DI2936" t="s">
        <v>120</v>
      </c>
      <c r="DJ2936">
        <v>766</v>
      </c>
      <c r="DK2936">
        <v>600719</v>
      </c>
      <c r="DL2936" t="s">
        <v>120</v>
      </c>
      <c r="DM2936" t="s">
        <v>120</v>
      </c>
      <c r="DN2936" t="s">
        <v>120</v>
      </c>
    </row>
    <row r="2937" spans="1:118">
      <c r="A2937" t="str">
        <f>"600720"</f>
        <v>600720</v>
      </c>
      <c r="B2937" t="s">
        <v>12954</v>
      </c>
      <c r="C2937">
        <v>0</v>
      </c>
      <c r="D2937">
        <v>-7.0000000000000007E-2</v>
      </c>
      <c r="E2937">
        <v>0.57999999999999996</v>
      </c>
      <c r="F2937">
        <v>3057</v>
      </c>
      <c r="G2937" t="s">
        <v>12955</v>
      </c>
      <c r="H2937">
        <v>40867.660000000003</v>
      </c>
      <c r="I2937">
        <v>150.26</v>
      </c>
      <c r="J2937" t="s">
        <v>120</v>
      </c>
      <c r="K2937" t="s">
        <v>12956</v>
      </c>
      <c r="L2937">
        <v>4.33</v>
      </c>
      <c r="M2937">
        <v>11.98</v>
      </c>
      <c r="N2937">
        <v>0.51</v>
      </c>
      <c r="O2937">
        <v>4.17</v>
      </c>
      <c r="P2937">
        <v>12.48</v>
      </c>
      <c r="Q2937">
        <v>-0.5</v>
      </c>
      <c r="R2937">
        <v>11.92</v>
      </c>
      <c r="S2937">
        <v>12.05</v>
      </c>
      <c r="T2937">
        <v>335960</v>
      </c>
      <c r="U2937">
        <v>11.99</v>
      </c>
      <c r="V2937">
        <v>11.98</v>
      </c>
      <c r="W2937">
        <v>7.74</v>
      </c>
      <c r="X2937" t="s">
        <v>653</v>
      </c>
      <c r="Y2937" t="s">
        <v>1082</v>
      </c>
      <c r="Z2937">
        <v>4.67</v>
      </c>
      <c r="AA2937">
        <v>12.16</v>
      </c>
      <c r="AB2937">
        <v>181671</v>
      </c>
      <c r="AC2937">
        <v>154289</v>
      </c>
      <c r="AD2937">
        <v>1.18</v>
      </c>
      <c r="AE2937">
        <v>42</v>
      </c>
      <c r="AF2937">
        <v>959</v>
      </c>
      <c r="AG2937" t="s">
        <v>120</v>
      </c>
      <c r="AH2937">
        <v>0.02</v>
      </c>
      <c r="AI2937" t="s">
        <v>120</v>
      </c>
      <c r="AJ2937">
        <v>7.76</v>
      </c>
      <c r="AK2937" t="s">
        <v>12957</v>
      </c>
      <c r="AL2937">
        <v>1.34</v>
      </c>
      <c r="AM2937">
        <v>4043</v>
      </c>
      <c r="AN2937">
        <v>83</v>
      </c>
      <c r="AO2937">
        <v>1.1000000000000001E-3</v>
      </c>
      <c r="AP2937">
        <v>0</v>
      </c>
      <c r="AQ2937">
        <v>-2.6</v>
      </c>
      <c r="AR2937">
        <v>-8.27</v>
      </c>
      <c r="AS2937">
        <v>7.93</v>
      </c>
      <c r="AT2937">
        <v>10.210000000000001</v>
      </c>
      <c r="AU2937">
        <v>-7.13</v>
      </c>
      <c r="AV2937">
        <v>1</v>
      </c>
      <c r="AW2937">
        <v>5.77</v>
      </c>
      <c r="AX2937">
        <v>74.94</v>
      </c>
      <c r="AY2937">
        <v>7.12</v>
      </c>
      <c r="AZ2937">
        <v>6.47</v>
      </c>
      <c r="BA2937">
        <v>1.52</v>
      </c>
      <c r="BB2937" t="s">
        <v>143</v>
      </c>
      <c r="BF2937">
        <v>1.54</v>
      </c>
      <c r="BG2937">
        <v>-0.57999999999999996</v>
      </c>
      <c r="BH2937">
        <v>-4.01</v>
      </c>
      <c r="BI2937">
        <v>0.5</v>
      </c>
      <c r="BJ2937">
        <v>20210821</v>
      </c>
      <c r="BK2937">
        <v>19960716</v>
      </c>
      <c r="BL2937">
        <v>7.76</v>
      </c>
      <c r="BM2937" t="s">
        <v>120</v>
      </c>
      <c r="BN2937" t="s">
        <v>120</v>
      </c>
      <c r="BO2937">
        <v>120.08</v>
      </c>
      <c r="BP2937">
        <v>11.98</v>
      </c>
      <c r="BQ2937">
        <v>78.94</v>
      </c>
      <c r="BR2937">
        <v>7.77</v>
      </c>
      <c r="BS2937">
        <v>27.79</v>
      </c>
      <c r="BT2937">
        <v>32.49</v>
      </c>
      <c r="BU2937">
        <v>68.86</v>
      </c>
      <c r="BV2937">
        <v>9.2100000000000009</v>
      </c>
      <c r="BW2937">
        <v>25.55</v>
      </c>
      <c r="BX2937">
        <v>13.5</v>
      </c>
      <c r="BY2937">
        <v>6.5</v>
      </c>
      <c r="BZ2937">
        <v>5.47</v>
      </c>
      <c r="CA2937" t="s">
        <v>120</v>
      </c>
      <c r="CB2937">
        <v>13.42</v>
      </c>
      <c r="CC2937">
        <v>33.01</v>
      </c>
      <c r="CD2937">
        <v>22.04</v>
      </c>
      <c r="CE2937">
        <v>7.56</v>
      </c>
      <c r="CF2937">
        <v>0.04</v>
      </c>
      <c r="CG2937">
        <v>7.53</v>
      </c>
      <c r="CH2937">
        <v>6.51</v>
      </c>
      <c r="CI2937">
        <v>6.01</v>
      </c>
      <c r="CJ2937">
        <v>0</v>
      </c>
      <c r="CK2937">
        <v>6</v>
      </c>
      <c r="CL2937">
        <v>51.36</v>
      </c>
      <c r="CM2937">
        <v>9.4600000000000009</v>
      </c>
      <c r="CN2937">
        <v>1.58</v>
      </c>
      <c r="CO2937">
        <v>87774</v>
      </c>
      <c r="CP2937">
        <v>6628</v>
      </c>
      <c r="CQ2937" t="s">
        <v>3382</v>
      </c>
      <c r="CR2937">
        <v>-17.920000000000002</v>
      </c>
      <c r="CS2937">
        <v>-2.66</v>
      </c>
      <c r="CT2937">
        <v>1.18</v>
      </c>
      <c r="CU2937">
        <v>9.84</v>
      </c>
      <c r="CV2937">
        <v>2.82</v>
      </c>
      <c r="CW2937">
        <v>5.68</v>
      </c>
      <c r="CX2937" t="s">
        <v>12958</v>
      </c>
      <c r="CY2937">
        <v>10.17</v>
      </c>
      <c r="CZ2937">
        <v>0</v>
      </c>
      <c r="DA2937">
        <v>1.73</v>
      </c>
      <c r="DB2937">
        <v>6.62</v>
      </c>
      <c r="DC2937">
        <v>1.22</v>
      </c>
      <c r="DD2937">
        <v>65.739999999999995</v>
      </c>
      <c r="DE2937" t="s">
        <v>12959</v>
      </c>
      <c r="DF2937">
        <v>33.229999999999997</v>
      </c>
      <c r="DG2937">
        <v>22.91</v>
      </c>
      <c r="DH2937">
        <v>18.21</v>
      </c>
      <c r="DI2937" t="s">
        <v>120</v>
      </c>
      <c r="DJ2937">
        <v>4586</v>
      </c>
      <c r="DK2937">
        <v>600720</v>
      </c>
      <c r="DL2937" t="s">
        <v>120</v>
      </c>
      <c r="DM2937" t="s">
        <v>120</v>
      </c>
      <c r="DN2937" t="s">
        <v>120</v>
      </c>
    </row>
    <row r="2938" spans="1:118">
      <c r="A2938" t="str">
        <f>"600722"</f>
        <v>600722</v>
      </c>
      <c r="B2938" t="s">
        <v>12960</v>
      </c>
      <c r="C2938">
        <v>10.029999999999999</v>
      </c>
      <c r="D2938">
        <v>0</v>
      </c>
      <c r="E2938">
        <v>10.029999999999999</v>
      </c>
      <c r="F2938">
        <v>1502</v>
      </c>
      <c r="G2938" t="s">
        <v>10442</v>
      </c>
      <c r="H2938">
        <v>14067.13</v>
      </c>
      <c r="I2938">
        <v>2050.3200000000002</v>
      </c>
      <c r="J2938">
        <v>14067.8</v>
      </c>
      <c r="K2938" t="s">
        <v>12961</v>
      </c>
      <c r="L2938">
        <v>2.58</v>
      </c>
      <c r="M2938">
        <v>8.01</v>
      </c>
      <c r="N2938">
        <v>0.28000000000000003</v>
      </c>
      <c r="O2938">
        <v>10.029999999999999</v>
      </c>
      <c r="P2938">
        <v>8.01</v>
      </c>
      <c r="Q2938">
        <v>10.029999999999999</v>
      </c>
      <c r="R2938">
        <v>8.01</v>
      </c>
      <c r="S2938">
        <v>8.01</v>
      </c>
      <c r="T2938">
        <v>175620</v>
      </c>
      <c r="U2938" t="s">
        <v>120</v>
      </c>
      <c r="V2938">
        <v>7.28</v>
      </c>
      <c r="W2938">
        <v>148.83000000000001</v>
      </c>
      <c r="X2938" t="s">
        <v>868</v>
      </c>
      <c r="Y2938" t="s">
        <v>602</v>
      </c>
      <c r="Z2938">
        <v>0</v>
      </c>
      <c r="AA2938">
        <v>8.01</v>
      </c>
      <c r="AB2938">
        <v>162071</v>
      </c>
      <c r="AC2938">
        <v>13549</v>
      </c>
      <c r="AD2938">
        <v>11.96</v>
      </c>
      <c r="AE2938">
        <v>175628</v>
      </c>
      <c r="AF2938">
        <v>0</v>
      </c>
      <c r="AG2938" t="s">
        <v>120</v>
      </c>
      <c r="AH2938">
        <v>0.86</v>
      </c>
      <c r="AI2938">
        <v>1</v>
      </c>
      <c r="AJ2938">
        <v>6.8</v>
      </c>
      <c r="AK2938" t="s">
        <v>12961</v>
      </c>
      <c r="AL2938">
        <v>11.37</v>
      </c>
      <c r="AM2938">
        <v>2262</v>
      </c>
      <c r="AN2938">
        <v>78</v>
      </c>
      <c r="AO2938">
        <v>1.1000000000000001E-3</v>
      </c>
      <c r="AP2938">
        <v>2</v>
      </c>
      <c r="AQ2938">
        <v>3.56</v>
      </c>
      <c r="AR2938">
        <v>11.26</v>
      </c>
      <c r="AS2938">
        <v>38.11</v>
      </c>
      <c r="AT2938">
        <v>22.86</v>
      </c>
      <c r="AU2938">
        <v>72.260000000000005</v>
      </c>
      <c r="AV2938">
        <v>17</v>
      </c>
      <c r="AW2938">
        <v>5.87</v>
      </c>
      <c r="AX2938">
        <v>43.96</v>
      </c>
      <c r="AY2938">
        <v>241.97</v>
      </c>
      <c r="AZ2938">
        <v>498.97</v>
      </c>
      <c r="BA2938">
        <v>1.75</v>
      </c>
      <c r="BB2938" t="s">
        <v>184</v>
      </c>
      <c r="BF2938">
        <v>10.029999999999999</v>
      </c>
      <c r="BG2938">
        <v>0</v>
      </c>
      <c r="BH2938">
        <v>0</v>
      </c>
      <c r="BI2938">
        <v>0</v>
      </c>
      <c r="BJ2938">
        <v>20210806</v>
      </c>
      <c r="BK2938">
        <v>19960626</v>
      </c>
      <c r="BL2938">
        <v>6.8</v>
      </c>
      <c r="BM2938" t="s">
        <v>120</v>
      </c>
      <c r="BN2938" t="s">
        <v>120</v>
      </c>
      <c r="BO2938">
        <v>13.04</v>
      </c>
      <c r="BP2938">
        <v>8.01</v>
      </c>
      <c r="BQ2938">
        <v>10.3</v>
      </c>
      <c r="BR2938">
        <v>1.29</v>
      </c>
      <c r="BS2938">
        <v>11.14</v>
      </c>
      <c r="BT2938">
        <v>11.03</v>
      </c>
      <c r="BU2938">
        <v>1.42</v>
      </c>
      <c r="BV2938">
        <v>0.28000000000000003</v>
      </c>
      <c r="BW2938">
        <v>1.45</v>
      </c>
      <c r="BX2938">
        <v>9.11</v>
      </c>
      <c r="BY2938">
        <v>0.05</v>
      </c>
      <c r="BZ2938">
        <v>0.21</v>
      </c>
      <c r="CA2938" t="s">
        <v>120</v>
      </c>
      <c r="CB2938">
        <v>16.45</v>
      </c>
      <c r="CC2938">
        <v>2.73</v>
      </c>
      <c r="CD2938">
        <v>2.2599999999999998</v>
      </c>
      <c r="CE2938">
        <v>0.37</v>
      </c>
      <c r="CF2938">
        <v>0</v>
      </c>
      <c r="CG2938">
        <v>0.37</v>
      </c>
      <c r="CH2938">
        <v>0.35</v>
      </c>
      <c r="CI2938">
        <v>0.18</v>
      </c>
      <c r="CJ2938">
        <v>0.73</v>
      </c>
      <c r="CK2938">
        <v>0.18</v>
      </c>
      <c r="CL2938">
        <v>-13.85</v>
      </c>
      <c r="CM2938">
        <v>0.22</v>
      </c>
      <c r="CN2938">
        <v>0.21</v>
      </c>
      <c r="CO2938">
        <v>70896</v>
      </c>
      <c r="CP2938">
        <v>4218</v>
      </c>
      <c r="CQ2938" t="s">
        <v>715</v>
      </c>
      <c r="CR2938">
        <v>135.76</v>
      </c>
      <c r="CS2938">
        <v>17.399999999999999</v>
      </c>
      <c r="CT2938">
        <v>5.29</v>
      </c>
      <c r="CU2938">
        <v>243.23</v>
      </c>
      <c r="CV2938">
        <v>19.940000000000001</v>
      </c>
      <c r="CW2938">
        <v>0</v>
      </c>
      <c r="CX2938" t="s">
        <v>2559</v>
      </c>
      <c r="CY2938">
        <v>1.51</v>
      </c>
      <c r="CZ2938">
        <v>0</v>
      </c>
      <c r="DA2938">
        <v>2.42</v>
      </c>
      <c r="DB2938">
        <v>-2.04</v>
      </c>
      <c r="DC2938">
        <v>0.03</v>
      </c>
      <c r="DD2938">
        <v>78.959999999999994</v>
      </c>
      <c r="DE2938" t="s">
        <v>10839</v>
      </c>
      <c r="DF2938">
        <v>17.170000000000002</v>
      </c>
      <c r="DG2938">
        <v>13.54</v>
      </c>
      <c r="DH2938">
        <v>6.7</v>
      </c>
      <c r="DI2938">
        <v>0.05</v>
      </c>
      <c r="DJ2938">
        <v>199</v>
      </c>
      <c r="DK2938">
        <v>600722</v>
      </c>
      <c r="DL2938" t="s">
        <v>120</v>
      </c>
      <c r="DM2938" t="s">
        <v>120</v>
      </c>
      <c r="DN2938" t="s">
        <v>120</v>
      </c>
    </row>
    <row r="2939" spans="1:118">
      <c r="A2939" t="str">
        <f>"600723"</f>
        <v>600723</v>
      </c>
      <c r="B2939" t="s">
        <v>12962</v>
      </c>
      <c r="C2939">
        <v>0</v>
      </c>
      <c r="D2939">
        <v>0</v>
      </c>
      <c r="E2939" t="s">
        <v>120</v>
      </c>
      <c r="F2939">
        <v>0</v>
      </c>
      <c r="G2939" t="s">
        <v>7245</v>
      </c>
      <c r="H2939">
        <v>0</v>
      </c>
      <c r="I2939">
        <v>0</v>
      </c>
      <c r="J2939" t="s">
        <v>120</v>
      </c>
      <c r="K2939" t="s">
        <v>1622</v>
      </c>
      <c r="L2939" t="s">
        <v>120</v>
      </c>
      <c r="M2939">
        <v>8.93</v>
      </c>
      <c r="N2939">
        <v>0</v>
      </c>
      <c r="O2939" t="s">
        <v>120</v>
      </c>
      <c r="P2939" t="s">
        <v>120</v>
      </c>
      <c r="Q2939" t="s">
        <v>120</v>
      </c>
      <c r="R2939" t="s">
        <v>120</v>
      </c>
      <c r="S2939" t="s">
        <v>120</v>
      </c>
      <c r="T2939">
        <v>0</v>
      </c>
      <c r="U2939" t="s">
        <v>120</v>
      </c>
      <c r="V2939">
        <v>8.93</v>
      </c>
      <c r="W2939">
        <v>34.159999999999997</v>
      </c>
      <c r="X2939" t="s">
        <v>735</v>
      </c>
      <c r="Y2939" t="s">
        <v>158</v>
      </c>
      <c r="Z2939">
        <v>0</v>
      </c>
      <c r="AA2939">
        <v>8.93</v>
      </c>
      <c r="AB2939">
        <v>0</v>
      </c>
      <c r="AC2939">
        <v>0</v>
      </c>
      <c r="AD2939" t="s">
        <v>120</v>
      </c>
      <c r="AE2939">
        <v>0</v>
      </c>
      <c r="AF2939">
        <v>0</v>
      </c>
      <c r="AG2939" t="s">
        <v>120</v>
      </c>
      <c r="AH2939">
        <v>0</v>
      </c>
      <c r="AI2939" t="s">
        <v>120</v>
      </c>
      <c r="AJ2939">
        <v>6.58</v>
      </c>
      <c r="AK2939" t="s">
        <v>12963</v>
      </c>
      <c r="AL2939">
        <v>1.34</v>
      </c>
      <c r="AM2939">
        <v>1</v>
      </c>
      <c r="AN2939">
        <v>0</v>
      </c>
      <c r="AO2939">
        <v>0</v>
      </c>
      <c r="AP2939">
        <v>0</v>
      </c>
      <c r="AQ2939">
        <v>-1.22</v>
      </c>
      <c r="AR2939">
        <v>-3.05</v>
      </c>
      <c r="AS2939">
        <v>13.04</v>
      </c>
      <c r="AT2939">
        <v>8.51</v>
      </c>
      <c r="AU2939">
        <v>0</v>
      </c>
      <c r="AV2939">
        <v>4</v>
      </c>
      <c r="AW2939" t="s">
        <v>120</v>
      </c>
      <c r="AX2939">
        <v>41.63</v>
      </c>
      <c r="AY2939">
        <v>41.05</v>
      </c>
      <c r="AZ2939" t="s">
        <v>120</v>
      </c>
      <c r="BA2939">
        <v>0.37</v>
      </c>
      <c r="BB2939" t="s">
        <v>143</v>
      </c>
      <c r="BF2939">
        <v>0</v>
      </c>
      <c r="BG2939" t="s">
        <v>120</v>
      </c>
      <c r="BH2939" t="s">
        <v>120</v>
      </c>
      <c r="BI2939" t="s">
        <v>120</v>
      </c>
      <c r="BJ2939">
        <v>20210830</v>
      </c>
      <c r="BK2939">
        <v>19960716</v>
      </c>
      <c r="BL2939">
        <v>6.58</v>
      </c>
      <c r="BM2939" t="s">
        <v>120</v>
      </c>
      <c r="BN2939" t="s">
        <v>120</v>
      </c>
      <c r="BO2939">
        <v>79.239999999999995</v>
      </c>
      <c r="BQ2939">
        <v>40.020000000000003</v>
      </c>
      <c r="BR2939">
        <v>2.34</v>
      </c>
      <c r="BS2939">
        <v>46.55</v>
      </c>
      <c r="BT2939">
        <v>50.32</v>
      </c>
      <c r="BU2939">
        <v>6.71</v>
      </c>
      <c r="BV2939">
        <v>3.32</v>
      </c>
      <c r="BW2939">
        <v>24.55</v>
      </c>
      <c r="BX2939">
        <v>26.97</v>
      </c>
      <c r="BY2939">
        <v>5.86</v>
      </c>
      <c r="BZ2939">
        <v>0.41</v>
      </c>
      <c r="CA2939">
        <v>0.25</v>
      </c>
      <c r="CB2939">
        <v>8.25</v>
      </c>
      <c r="CC2939">
        <v>17.510000000000002</v>
      </c>
      <c r="CD2939">
        <v>10.19</v>
      </c>
      <c r="CE2939">
        <v>1.63</v>
      </c>
      <c r="CF2939">
        <v>0.12</v>
      </c>
      <c r="CG2939">
        <v>1.67</v>
      </c>
      <c r="CH2939">
        <v>1.03</v>
      </c>
      <c r="CI2939">
        <v>0.86</v>
      </c>
      <c r="CJ2939">
        <v>0</v>
      </c>
      <c r="CK2939">
        <v>0.67</v>
      </c>
      <c r="CL2939">
        <v>21.58</v>
      </c>
      <c r="CM2939">
        <v>2.59</v>
      </c>
      <c r="CN2939">
        <v>3.18</v>
      </c>
      <c r="CO2939">
        <v>29505</v>
      </c>
      <c r="CP2939">
        <v>9290</v>
      </c>
      <c r="CQ2939" t="s">
        <v>10562</v>
      </c>
      <c r="CR2939">
        <v>194.39</v>
      </c>
      <c r="CS2939">
        <v>26.32</v>
      </c>
      <c r="CT2939">
        <v>1.47</v>
      </c>
      <c r="CU2939">
        <v>22.66</v>
      </c>
      <c r="CV2939">
        <v>3.36</v>
      </c>
      <c r="CW2939">
        <v>0</v>
      </c>
      <c r="CX2939" t="s">
        <v>986</v>
      </c>
      <c r="CY2939">
        <v>6.08</v>
      </c>
      <c r="CZ2939">
        <v>0</v>
      </c>
      <c r="DA2939">
        <v>1.25</v>
      </c>
      <c r="DB2939">
        <v>3.28</v>
      </c>
      <c r="DC2939">
        <v>0.39</v>
      </c>
      <c r="DD2939">
        <v>50.51</v>
      </c>
      <c r="DE2939" t="s">
        <v>4691</v>
      </c>
      <c r="DF2939">
        <v>41.81</v>
      </c>
      <c r="DG2939">
        <v>9.33</v>
      </c>
      <c r="DH2939">
        <v>4.91</v>
      </c>
      <c r="DI2939" t="s">
        <v>120</v>
      </c>
      <c r="DJ2939">
        <v>5074</v>
      </c>
      <c r="DK2939">
        <v>600723</v>
      </c>
      <c r="DL2939" t="s">
        <v>120</v>
      </c>
      <c r="DM2939" t="s">
        <v>120</v>
      </c>
      <c r="DN2939" t="s">
        <v>120</v>
      </c>
    </row>
    <row r="2940" spans="1:118">
      <c r="A2940" t="str">
        <f>"600724"</f>
        <v>600724</v>
      </c>
      <c r="B2940" t="s">
        <v>12964</v>
      </c>
      <c r="C2940">
        <v>0.54</v>
      </c>
      <c r="D2940">
        <v>-0.26</v>
      </c>
      <c r="E2940">
        <v>-1.07</v>
      </c>
      <c r="F2940">
        <v>543</v>
      </c>
      <c r="G2940" t="s">
        <v>10459</v>
      </c>
      <c r="H2940">
        <v>3209.08</v>
      </c>
      <c r="I2940">
        <v>16.57</v>
      </c>
      <c r="J2940" t="s">
        <v>120</v>
      </c>
      <c r="K2940" t="s">
        <v>12965</v>
      </c>
      <c r="L2940">
        <v>0.57999999999999996</v>
      </c>
      <c r="M2940">
        <v>3.75</v>
      </c>
      <c r="N2940">
        <v>0.62</v>
      </c>
      <c r="O2940">
        <v>3.75</v>
      </c>
      <c r="P2940">
        <v>3.87</v>
      </c>
      <c r="Q2940">
        <v>-1.07</v>
      </c>
      <c r="R2940">
        <v>3.69</v>
      </c>
      <c r="S2940">
        <v>3.69</v>
      </c>
      <c r="T2940">
        <v>84449</v>
      </c>
      <c r="U2940">
        <v>3.76</v>
      </c>
      <c r="V2940">
        <v>3.73</v>
      </c>
      <c r="W2940">
        <v>16.88</v>
      </c>
      <c r="X2940" t="s">
        <v>653</v>
      </c>
      <c r="Y2940" t="s">
        <v>585</v>
      </c>
      <c r="Z2940">
        <v>4.83</v>
      </c>
      <c r="AA2940">
        <v>3.8</v>
      </c>
      <c r="AB2940">
        <v>42156</v>
      </c>
      <c r="AC2940">
        <v>42293</v>
      </c>
      <c r="AD2940">
        <v>1</v>
      </c>
      <c r="AE2940">
        <v>1407</v>
      </c>
      <c r="AF2940">
        <v>59</v>
      </c>
      <c r="AG2940" t="s">
        <v>120</v>
      </c>
      <c r="AH2940">
        <v>0.01</v>
      </c>
      <c r="AI2940" t="s">
        <v>120</v>
      </c>
      <c r="AJ2940">
        <v>14.45</v>
      </c>
      <c r="AK2940" t="s">
        <v>8121</v>
      </c>
      <c r="AL2940">
        <v>1.88</v>
      </c>
      <c r="AM2940">
        <v>1388</v>
      </c>
      <c r="AN2940">
        <v>61</v>
      </c>
      <c r="AO2940">
        <v>4.0000000000000002E-4</v>
      </c>
      <c r="AP2940">
        <v>1</v>
      </c>
      <c r="AQ2940">
        <v>0</v>
      </c>
      <c r="AR2940">
        <v>-1.84</v>
      </c>
      <c r="AS2940">
        <v>9.64</v>
      </c>
      <c r="AT2940">
        <v>9.01</v>
      </c>
      <c r="AU2940">
        <v>11.61</v>
      </c>
      <c r="AV2940">
        <v>3</v>
      </c>
      <c r="AW2940">
        <v>2.54</v>
      </c>
      <c r="AX2940">
        <v>23.03</v>
      </c>
      <c r="AY2940">
        <v>12.66</v>
      </c>
      <c r="AZ2940">
        <v>12.78</v>
      </c>
      <c r="BA2940">
        <v>0.65</v>
      </c>
      <c r="BB2940" t="s">
        <v>143</v>
      </c>
      <c r="BF2940">
        <v>1.88</v>
      </c>
      <c r="BG2940">
        <v>1.63</v>
      </c>
      <c r="BH2940">
        <v>-3.1</v>
      </c>
      <c r="BI2940">
        <v>1.63</v>
      </c>
      <c r="BJ2940">
        <v>20210824</v>
      </c>
      <c r="BK2940">
        <v>19960716</v>
      </c>
      <c r="BL2940">
        <v>14.45</v>
      </c>
      <c r="BM2940" t="s">
        <v>120</v>
      </c>
      <c r="BN2940" t="s">
        <v>120</v>
      </c>
      <c r="BO2940">
        <v>37.659999999999997</v>
      </c>
      <c r="BP2940">
        <v>3.75</v>
      </c>
      <c r="BQ2940">
        <v>27.95</v>
      </c>
      <c r="BR2940">
        <v>4.46</v>
      </c>
      <c r="BS2940">
        <v>13.92</v>
      </c>
      <c r="BT2940">
        <v>18.350000000000001</v>
      </c>
      <c r="BU2940">
        <v>5.24</v>
      </c>
      <c r="BV2940">
        <v>1.24</v>
      </c>
      <c r="BW2940">
        <v>4.9000000000000004</v>
      </c>
      <c r="BX2940">
        <v>4.05</v>
      </c>
      <c r="BY2940">
        <v>1.57</v>
      </c>
      <c r="BZ2940">
        <v>1.04</v>
      </c>
      <c r="CA2940">
        <v>0.56999999999999995</v>
      </c>
      <c r="CB2940">
        <v>2.6</v>
      </c>
      <c r="CC2940">
        <v>9.1199999999999992</v>
      </c>
      <c r="CD2940">
        <v>6.34</v>
      </c>
      <c r="CE2940">
        <v>2.27</v>
      </c>
      <c r="CF2940">
        <v>0.03</v>
      </c>
      <c r="CG2940">
        <v>2.3199999999999998</v>
      </c>
      <c r="CH2940">
        <v>1.78</v>
      </c>
      <c r="CI2940">
        <v>1.61</v>
      </c>
      <c r="CJ2940">
        <v>0.02</v>
      </c>
      <c r="CK2940">
        <v>1.44</v>
      </c>
      <c r="CL2940">
        <v>7.96</v>
      </c>
      <c r="CM2940">
        <v>2.97</v>
      </c>
      <c r="CN2940">
        <v>-11.37</v>
      </c>
      <c r="CO2940">
        <v>29406</v>
      </c>
      <c r="CP2940">
        <v>11317</v>
      </c>
      <c r="CQ2940" t="s">
        <v>11462</v>
      </c>
      <c r="CR2940">
        <v>2.7</v>
      </c>
      <c r="CS2940">
        <v>-14.83</v>
      </c>
      <c r="CT2940">
        <v>1.94</v>
      </c>
      <c r="CU2940">
        <v>18.22</v>
      </c>
      <c r="CV2940">
        <v>5.94</v>
      </c>
      <c r="CW2940">
        <v>5.9</v>
      </c>
      <c r="CX2940" t="s">
        <v>1140</v>
      </c>
      <c r="CY2940">
        <v>1.93</v>
      </c>
      <c r="CZ2940">
        <v>0</v>
      </c>
      <c r="DA2940">
        <v>0.18</v>
      </c>
      <c r="DB2940">
        <v>0.55000000000000004</v>
      </c>
      <c r="DC2940">
        <v>0.21</v>
      </c>
      <c r="DD2940">
        <v>74.23</v>
      </c>
      <c r="DE2940" t="s">
        <v>6729</v>
      </c>
      <c r="DF2940">
        <v>30.47</v>
      </c>
      <c r="DG2940">
        <v>24.92</v>
      </c>
      <c r="DH2940">
        <v>17.600000000000001</v>
      </c>
      <c r="DI2940" t="s">
        <v>120</v>
      </c>
      <c r="DJ2940">
        <v>1516</v>
      </c>
      <c r="DK2940">
        <v>600724</v>
      </c>
      <c r="DL2940" t="s">
        <v>120</v>
      </c>
      <c r="DM2940" t="s">
        <v>120</v>
      </c>
      <c r="DN2940" t="s">
        <v>120</v>
      </c>
    </row>
    <row r="2941" spans="1:118">
      <c r="A2941" t="str">
        <f>"600725"</f>
        <v>600725</v>
      </c>
      <c r="B2941" t="s">
        <v>12966</v>
      </c>
      <c r="C2941">
        <v>-3.47</v>
      </c>
      <c r="D2941">
        <v>-0.21</v>
      </c>
      <c r="E2941">
        <v>4.12</v>
      </c>
      <c r="F2941">
        <v>3166</v>
      </c>
      <c r="G2941" t="s">
        <v>3551</v>
      </c>
      <c r="H2941">
        <v>31435.02</v>
      </c>
      <c r="I2941">
        <v>737.63</v>
      </c>
      <c r="J2941" t="s">
        <v>120</v>
      </c>
      <c r="K2941" t="s">
        <v>9281</v>
      </c>
      <c r="L2941">
        <v>5.43</v>
      </c>
      <c r="M2941">
        <v>4.45</v>
      </c>
      <c r="N2941">
        <v>0.84</v>
      </c>
      <c r="O2941">
        <v>7.16</v>
      </c>
      <c r="P2941">
        <v>4.9400000000000004</v>
      </c>
      <c r="Q2941">
        <v>-4.5599999999999996</v>
      </c>
      <c r="R2941">
        <v>4.4000000000000004</v>
      </c>
      <c r="S2941">
        <v>4.8</v>
      </c>
      <c r="T2941">
        <v>669665</v>
      </c>
      <c r="U2941">
        <v>4.46</v>
      </c>
      <c r="V2941">
        <v>4.6100000000000003</v>
      </c>
      <c r="W2941">
        <v>344.48</v>
      </c>
      <c r="X2941" t="s">
        <v>1754</v>
      </c>
      <c r="Y2941" t="s">
        <v>1006</v>
      </c>
      <c r="Z2941">
        <v>11.71</v>
      </c>
      <c r="AA2941">
        <v>4.6900000000000004</v>
      </c>
      <c r="AB2941">
        <v>349849</v>
      </c>
      <c r="AC2941">
        <v>319816</v>
      </c>
      <c r="AD2941">
        <v>1.0900000000000001</v>
      </c>
      <c r="AE2941">
        <v>1458</v>
      </c>
      <c r="AF2941">
        <v>3305</v>
      </c>
      <c r="AG2941" t="s">
        <v>120</v>
      </c>
      <c r="AH2941">
        <v>0.18</v>
      </c>
      <c r="AI2941" t="s">
        <v>120</v>
      </c>
      <c r="AJ2941">
        <v>12.32</v>
      </c>
      <c r="AK2941" t="s">
        <v>9281</v>
      </c>
      <c r="AL2941">
        <v>-2.13</v>
      </c>
      <c r="AM2941">
        <v>3560</v>
      </c>
      <c r="AN2941">
        <v>188</v>
      </c>
      <c r="AO2941">
        <v>1.5E-3</v>
      </c>
      <c r="AP2941">
        <v>-1</v>
      </c>
      <c r="AQ2941">
        <v>10.02</v>
      </c>
      <c r="AR2941">
        <v>-1.34</v>
      </c>
      <c r="AS2941">
        <v>74.510000000000005</v>
      </c>
      <c r="AT2941">
        <v>69.209999999999994</v>
      </c>
      <c r="AU2941">
        <v>160.22999999999999</v>
      </c>
      <c r="AV2941">
        <v>15</v>
      </c>
      <c r="AW2941">
        <v>7.65</v>
      </c>
      <c r="AX2941">
        <v>71.010000000000005</v>
      </c>
      <c r="AY2941">
        <v>495.22</v>
      </c>
      <c r="AZ2941">
        <v>354.34</v>
      </c>
      <c r="BA2941">
        <v>0.89</v>
      </c>
      <c r="BB2941" t="s">
        <v>184</v>
      </c>
      <c r="BF2941">
        <v>1.83</v>
      </c>
      <c r="BG2941">
        <v>-7.29</v>
      </c>
      <c r="BH2941">
        <v>-9.92</v>
      </c>
      <c r="BI2941">
        <v>1.1399999999999999</v>
      </c>
      <c r="BJ2941">
        <v>20210818</v>
      </c>
      <c r="BK2941">
        <v>19960702</v>
      </c>
      <c r="BL2941">
        <v>12.32</v>
      </c>
      <c r="BM2941" t="s">
        <v>120</v>
      </c>
      <c r="BN2941" t="s">
        <v>120</v>
      </c>
      <c r="BO2941">
        <v>3.88</v>
      </c>
      <c r="BP2941">
        <v>4.45</v>
      </c>
      <c r="BQ2941">
        <v>3.25</v>
      </c>
      <c r="BR2941" t="s">
        <v>120</v>
      </c>
      <c r="BS2941">
        <v>16.16</v>
      </c>
      <c r="BT2941">
        <v>3.87</v>
      </c>
      <c r="BU2941">
        <v>0.01</v>
      </c>
      <c r="BV2941">
        <v>0</v>
      </c>
      <c r="BW2941">
        <v>0.57999999999999996</v>
      </c>
      <c r="BX2941">
        <v>0.27</v>
      </c>
      <c r="BY2941">
        <v>0.18</v>
      </c>
      <c r="BZ2941">
        <v>1.89</v>
      </c>
      <c r="CA2941" t="s">
        <v>120</v>
      </c>
      <c r="CB2941">
        <v>18.010000000000002</v>
      </c>
      <c r="CC2941">
        <v>8.93</v>
      </c>
      <c r="CD2941">
        <v>8.74</v>
      </c>
      <c r="CE2941">
        <v>0.08</v>
      </c>
      <c r="CF2941">
        <v>0</v>
      </c>
      <c r="CG2941">
        <v>0.08</v>
      </c>
      <c r="CH2941">
        <v>0.08</v>
      </c>
      <c r="CI2941">
        <v>0.08</v>
      </c>
      <c r="CJ2941">
        <v>-0.16</v>
      </c>
      <c r="CK2941">
        <v>0.08</v>
      </c>
      <c r="CL2941">
        <v>-28.14</v>
      </c>
      <c r="CM2941">
        <v>-1.1299999999999999</v>
      </c>
      <c r="CN2941">
        <v>-1.1399999999999999</v>
      </c>
      <c r="CO2941">
        <v>26494</v>
      </c>
      <c r="CP2941">
        <v>33034</v>
      </c>
      <c r="CQ2941" t="s">
        <v>12330</v>
      </c>
      <c r="CR2941">
        <v>-36.43</v>
      </c>
      <c r="CS2941">
        <v>66.14</v>
      </c>
      <c r="CT2941">
        <v>16.87</v>
      </c>
      <c r="CU2941">
        <v>-48.32</v>
      </c>
      <c r="CV2941">
        <v>6.14</v>
      </c>
      <c r="CW2941">
        <v>0</v>
      </c>
      <c r="CX2941" t="s">
        <v>2510</v>
      </c>
      <c r="CY2941">
        <v>0.26</v>
      </c>
      <c r="CZ2941">
        <v>0</v>
      </c>
      <c r="DA2941">
        <v>1.46</v>
      </c>
      <c r="DB2941">
        <v>-2.2799999999999998</v>
      </c>
      <c r="DC2941">
        <v>-0.09</v>
      </c>
      <c r="DD2941">
        <v>83.84</v>
      </c>
      <c r="DE2941" t="s">
        <v>2665</v>
      </c>
      <c r="DF2941">
        <v>2.09</v>
      </c>
      <c r="DG2941">
        <v>0.89</v>
      </c>
      <c r="DH2941">
        <v>0.89</v>
      </c>
      <c r="DI2941" t="s">
        <v>120</v>
      </c>
      <c r="DJ2941">
        <v>139</v>
      </c>
      <c r="DK2941">
        <v>600725</v>
      </c>
      <c r="DL2941" t="s">
        <v>120</v>
      </c>
      <c r="DM2941" t="s">
        <v>120</v>
      </c>
      <c r="DN2941" t="s">
        <v>120</v>
      </c>
    </row>
    <row r="2942" spans="1:118">
      <c r="A2942" t="str">
        <f>"600726"</f>
        <v>600726</v>
      </c>
      <c r="B2942" t="s">
        <v>12967</v>
      </c>
      <c r="C2942">
        <v>-0.37</v>
      </c>
      <c r="D2942">
        <v>0</v>
      </c>
      <c r="E2942">
        <v>0</v>
      </c>
      <c r="F2942">
        <v>1128</v>
      </c>
      <c r="G2942" t="s">
        <v>10158</v>
      </c>
      <c r="H2942">
        <v>8112.52</v>
      </c>
      <c r="I2942">
        <v>42.43</v>
      </c>
      <c r="J2942" t="s">
        <v>120</v>
      </c>
      <c r="K2942" t="s">
        <v>12968</v>
      </c>
      <c r="L2942">
        <v>1.99</v>
      </c>
      <c r="M2942">
        <v>2.66</v>
      </c>
      <c r="N2942">
        <v>1.03</v>
      </c>
      <c r="O2942">
        <v>1.1200000000000001</v>
      </c>
      <c r="P2942">
        <v>2.7</v>
      </c>
      <c r="Q2942">
        <v>-3</v>
      </c>
      <c r="R2942">
        <v>2.59</v>
      </c>
      <c r="S2942">
        <v>2.67</v>
      </c>
      <c r="T2942">
        <v>306017</v>
      </c>
      <c r="U2942">
        <v>2.66</v>
      </c>
      <c r="V2942">
        <v>2.67</v>
      </c>
      <c r="W2942" t="s">
        <v>120</v>
      </c>
      <c r="X2942" t="s">
        <v>268</v>
      </c>
      <c r="Y2942" t="s">
        <v>1686</v>
      </c>
      <c r="Z2942">
        <v>4.12</v>
      </c>
      <c r="AA2942">
        <v>2.65</v>
      </c>
      <c r="AB2942">
        <v>148516</v>
      </c>
      <c r="AC2942">
        <v>157501</v>
      </c>
      <c r="AD2942">
        <v>0.94</v>
      </c>
      <c r="AE2942">
        <v>6743</v>
      </c>
      <c r="AF2942">
        <v>2271</v>
      </c>
      <c r="AG2942" t="s">
        <v>120</v>
      </c>
      <c r="AH2942">
        <v>0.02</v>
      </c>
      <c r="AI2942" t="s">
        <v>120</v>
      </c>
      <c r="AJ2942">
        <v>15.35</v>
      </c>
      <c r="AK2942" t="s">
        <v>7814</v>
      </c>
      <c r="AL2942">
        <v>0.97</v>
      </c>
      <c r="AM2942">
        <v>2663</v>
      </c>
      <c r="AN2942">
        <v>115</v>
      </c>
      <c r="AO2942">
        <v>6.9999999999999999E-4</v>
      </c>
      <c r="AP2942">
        <v>-1</v>
      </c>
      <c r="AQ2942">
        <v>3.09</v>
      </c>
      <c r="AR2942">
        <v>1.1399999999999999</v>
      </c>
      <c r="AS2942">
        <v>17.7</v>
      </c>
      <c r="AT2942">
        <v>12.72</v>
      </c>
      <c r="AU2942">
        <v>10.83</v>
      </c>
      <c r="AV2942">
        <v>9</v>
      </c>
      <c r="AW2942">
        <v>4.68</v>
      </c>
      <c r="AX2942">
        <v>33.229999999999997</v>
      </c>
      <c r="AY2942" t="s">
        <v>120</v>
      </c>
      <c r="AZ2942" t="s">
        <v>120</v>
      </c>
      <c r="BA2942">
        <v>0.72</v>
      </c>
      <c r="BB2942" t="s">
        <v>184</v>
      </c>
      <c r="BF2942">
        <v>-0.71</v>
      </c>
      <c r="BG2942">
        <v>-0.37</v>
      </c>
      <c r="BH2942">
        <v>-1.48</v>
      </c>
      <c r="BI2942">
        <v>2.7</v>
      </c>
      <c r="BJ2942">
        <v>20210830</v>
      </c>
      <c r="BK2942">
        <v>19960701</v>
      </c>
      <c r="BL2942">
        <v>19.670000000000002</v>
      </c>
      <c r="BM2942">
        <v>4.32</v>
      </c>
      <c r="BN2942" t="s">
        <v>120</v>
      </c>
      <c r="BO2942">
        <v>215.73</v>
      </c>
      <c r="BP2942">
        <v>2.65</v>
      </c>
      <c r="BQ2942">
        <v>1.26</v>
      </c>
      <c r="BR2942">
        <v>1.79</v>
      </c>
      <c r="BS2942">
        <v>98.59</v>
      </c>
      <c r="BT2942">
        <v>37.409999999999997</v>
      </c>
      <c r="BU2942">
        <v>148.65</v>
      </c>
      <c r="BV2942">
        <v>5.76</v>
      </c>
      <c r="BW2942">
        <v>100.48</v>
      </c>
      <c r="BX2942">
        <v>14.57</v>
      </c>
      <c r="BY2942">
        <v>4.43</v>
      </c>
      <c r="BZ2942">
        <v>14.9</v>
      </c>
      <c r="CA2942" t="s">
        <v>120</v>
      </c>
      <c r="CB2942">
        <v>17.13</v>
      </c>
      <c r="CC2942">
        <v>52.25</v>
      </c>
      <c r="CD2942">
        <v>51.96</v>
      </c>
      <c r="CE2942">
        <v>-5.3</v>
      </c>
      <c r="CF2942">
        <v>-0.64</v>
      </c>
      <c r="CG2942">
        <v>-5.27</v>
      </c>
      <c r="CH2942">
        <v>-5.43</v>
      </c>
      <c r="CI2942">
        <v>-5.23</v>
      </c>
      <c r="CJ2942">
        <v>-0.01</v>
      </c>
      <c r="CK2942">
        <v>-5.41</v>
      </c>
      <c r="CL2942">
        <v>-38.64</v>
      </c>
      <c r="CM2942">
        <v>0.41</v>
      </c>
      <c r="CN2942">
        <v>-0.2</v>
      </c>
      <c r="CO2942">
        <v>174315</v>
      </c>
      <c r="CP2942">
        <v>6228</v>
      </c>
      <c r="CQ2942" t="s">
        <v>12969</v>
      </c>
      <c r="CR2942">
        <v>-202.08</v>
      </c>
      <c r="CS2942">
        <v>-4.2</v>
      </c>
      <c r="CT2942">
        <v>41.59</v>
      </c>
      <c r="CU2942">
        <v>128</v>
      </c>
      <c r="CV2942">
        <v>1</v>
      </c>
      <c r="CW2942">
        <v>0</v>
      </c>
      <c r="CX2942" t="s">
        <v>6723</v>
      </c>
      <c r="CY2942">
        <v>0.06</v>
      </c>
      <c r="CZ2942">
        <v>0</v>
      </c>
      <c r="DA2942">
        <v>0.87</v>
      </c>
      <c r="DB2942">
        <v>-1.96</v>
      </c>
      <c r="DC2942">
        <v>0.02</v>
      </c>
      <c r="DD2942">
        <v>0.57999999999999996</v>
      </c>
      <c r="DE2942" t="s">
        <v>12970</v>
      </c>
      <c r="DF2942">
        <v>0.56000000000000005</v>
      </c>
      <c r="DG2942">
        <v>-10.14</v>
      </c>
      <c r="DH2942">
        <v>-10.01</v>
      </c>
      <c r="DI2942">
        <v>0.05</v>
      </c>
      <c r="DJ2942">
        <v>9682</v>
      </c>
      <c r="DK2942">
        <v>600726</v>
      </c>
      <c r="DL2942" t="s">
        <v>120</v>
      </c>
      <c r="DM2942" t="s">
        <v>120</v>
      </c>
      <c r="DN2942" t="s">
        <v>120</v>
      </c>
    </row>
    <row r="2943" spans="1:118">
      <c r="A2943" t="str">
        <f>"600727"</f>
        <v>600727</v>
      </c>
      <c r="B2943" t="s">
        <v>12971</v>
      </c>
      <c r="C2943">
        <v>5.16</v>
      </c>
      <c r="D2943">
        <v>-0.24</v>
      </c>
      <c r="E2943">
        <v>0.33</v>
      </c>
      <c r="F2943">
        <v>9958</v>
      </c>
      <c r="G2943" t="s">
        <v>9196</v>
      </c>
      <c r="H2943">
        <v>117682.93</v>
      </c>
      <c r="I2943">
        <v>704.94</v>
      </c>
      <c r="J2943" t="s">
        <v>120</v>
      </c>
      <c r="K2943" t="s">
        <v>12972</v>
      </c>
      <c r="L2943">
        <v>17.34</v>
      </c>
      <c r="M2943">
        <v>15.89</v>
      </c>
      <c r="N2943">
        <v>1.33</v>
      </c>
      <c r="O2943">
        <v>6.68</v>
      </c>
      <c r="P2943">
        <v>16.12</v>
      </c>
      <c r="Q2943">
        <v>-3.9</v>
      </c>
      <c r="R2943">
        <v>14.52</v>
      </c>
      <c r="S2943">
        <v>15.16</v>
      </c>
      <c r="T2943">
        <v>762118</v>
      </c>
      <c r="U2943">
        <v>15.89</v>
      </c>
      <c r="V2943">
        <v>15.11</v>
      </c>
      <c r="W2943">
        <v>15.44</v>
      </c>
      <c r="X2943" t="s">
        <v>868</v>
      </c>
      <c r="Y2943" t="s">
        <v>638</v>
      </c>
      <c r="Z2943">
        <v>10.59</v>
      </c>
      <c r="AA2943">
        <v>15.44</v>
      </c>
      <c r="AB2943">
        <v>395105</v>
      </c>
      <c r="AC2943">
        <v>367013</v>
      </c>
      <c r="AD2943">
        <v>1.08</v>
      </c>
      <c r="AE2943">
        <v>91</v>
      </c>
      <c r="AF2943">
        <v>561</v>
      </c>
      <c r="AG2943" t="s">
        <v>120</v>
      </c>
      <c r="AH2943">
        <v>0.14000000000000001</v>
      </c>
      <c r="AI2943" t="s">
        <v>120</v>
      </c>
      <c r="AJ2943">
        <v>4.4000000000000004</v>
      </c>
      <c r="AK2943" t="s">
        <v>12973</v>
      </c>
      <c r="AL2943">
        <v>6.51</v>
      </c>
      <c r="AM2943">
        <v>4605</v>
      </c>
      <c r="AN2943">
        <v>165</v>
      </c>
      <c r="AO2943">
        <v>3.8E-3</v>
      </c>
      <c r="AP2943">
        <v>2</v>
      </c>
      <c r="AQ2943">
        <v>7.39</v>
      </c>
      <c r="AR2943">
        <v>8.83</v>
      </c>
      <c r="AS2943">
        <v>51.33</v>
      </c>
      <c r="AT2943">
        <v>99.38</v>
      </c>
      <c r="AU2943">
        <v>136.81</v>
      </c>
      <c r="AV2943">
        <v>5</v>
      </c>
      <c r="AW2943">
        <v>22.93</v>
      </c>
      <c r="AX2943">
        <v>62.88</v>
      </c>
      <c r="AY2943">
        <v>20.21</v>
      </c>
      <c r="AZ2943">
        <v>34.6</v>
      </c>
      <c r="BA2943">
        <v>1.1499999999999999</v>
      </c>
      <c r="BB2943" t="s">
        <v>751</v>
      </c>
      <c r="BF2943">
        <v>2.19</v>
      </c>
      <c r="BG2943">
        <v>4.82</v>
      </c>
      <c r="BH2943">
        <v>-1.43</v>
      </c>
      <c r="BI2943">
        <v>9.44</v>
      </c>
      <c r="BJ2943">
        <v>20210729</v>
      </c>
      <c r="BK2943">
        <v>19960702</v>
      </c>
      <c r="BL2943">
        <v>5.29</v>
      </c>
      <c r="BM2943" t="s">
        <v>120</v>
      </c>
      <c r="BN2943" t="s">
        <v>120</v>
      </c>
      <c r="BO2943">
        <v>47.98</v>
      </c>
      <c r="BP2943">
        <v>15.88</v>
      </c>
      <c r="BQ2943">
        <v>28.02</v>
      </c>
      <c r="BR2943">
        <v>2.0099999999999998</v>
      </c>
      <c r="BS2943">
        <v>37.42</v>
      </c>
      <c r="BT2943">
        <v>21.23</v>
      </c>
      <c r="BU2943">
        <v>15.82</v>
      </c>
      <c r="BV2943">
        <v>1.39</v>
      </c>
      <c r="BW2943">
        <v>13.73</v>
      </c>
      <c r="BX2943">
        <v>8.56</v>
      </c>
      <c r="BY2943">
        <v>3.51</v>
      </c>
      <c r="BZ2943">
        <v>1.82</v>
      </c>
      <c r="CA2943" t="s">
        <v>120</v>
      </c>
      <c r="CB2943">
        <v>15.58</v>
      </c>
      <c r="CC2943">
        <v>21.23</v>
      </c>
      <c r="CD2943">
        <v>16.28</v>
      </c>
      <c r="CE2943">
        <v>3.9</v>
      </c>
      <c r="CF2943">
        <v>0</v>
      </c>
      <c r="CG2943">
        <v>3.91</v>
      </c>
      <c r="CH2943">
        <v>3.15</v>
      </c>
      <c r="CI2943">
        <v>2.72</v>
      </c>
      <c r="CJ2943">
        <v>0.78</v>
      </c>
      <c r="CK2943">
        <v>2.71</v>
      </c>
      <c r="CL2943">
        <v>4.6900000000000004</v>
      </c>
      <c r="CM2943">
        <v>1.84</v>
      </c>
      <c r="CN2943">
        <v>-1.44</v>
      </c>
      <c r="CO2943">
        <v>36030</v>
      </c>
      <c r="CP2943">
        <v>9225</v>
      </c>
      <c r="CQ2943" t="s">
        <v>276</v>
      </c>
      <c r="CR2943">
        <v>152.61000000000001</v>
      </c>
      <c r="CS2943">
        <v>61.78</v>
      </c>
      <c r="CT2943">
        <v>3</v>
      </c>
      <c r="CU2943">
        <v>45.72</v>
      </c>
      <c r="CV2943">
        <v>3.96</v>
      </c>
      <c r="CW2943">
        <v>1.99</v>
      </c>
      <c r="CX2943" t="s">
        <v>1001</v>
      </c>
      <c r="CY2943">
        <v>5.3</v>
      </c>
      <c r="CZ2943">
        <v>0</v>
      </c>
      <c r="DA2943">
        <v>2.95</v>
      </c>
      <c r="DB2943">
        <v>0.89</v>
      </c>
      <c r="DC2943">
        <v>0.35</v>
      </c>
      <c r="DD2943">
        <v>58.4</v>
      </c>
      <c r="DE2943" t="s">
        <v>12974</v>
      </c>
      <c r="DF2943">
        <v>23.32</v>
      </c>
      <c r="DG2943">
        <v>18.38</v>
      </c>
      <c r="DH2943">
        <v>12.81</v>
      </c>
      <c r="DI2943">
        <v>0.26</v>
      </c>
      <c r="DJ2943">
        <v>1970</v>
      </c>
      <c r="DK2943">
        <v>600727</v>
      </c>
      <c r="DL2943">
        <v>20210823</v>
      </c>
      <c r="DM2943">
        <v>12.71</v>
      </c>
      <c r="DN2943">
        <v>25.02</v>
      </c>
    </row>
    <row r="2944" spans="1:118">
      <c r="A2944" t="str">
        <f>"600728"</f>
        <v>600728</v>
      </c>
      <c r="B2944" t="s">
        <v>12975</v>
      </c>
      <c r="C2944">
        <v>-2.6</v>
      </c>
      <c r="D2944">
        <v>0.12</v>
      </c>
      <c r="E2944">
        <v>0.35</v>
      </c>
      <c r="F2944">
        <v>2466</v>
      </c>
      <c r="G2944" t="s">
        <v>12976</v>
      </c>
      <c r="H2944">
        <v>21133.91</v>
      </c>
      <c r="I2944">
        <v>74.38</v>
      </c>
      <c r="J2944" t="s">
        <v>120</v>
      </c>
      <c r="K2944" t="s">
        <v>12977</v>
      </c>
      <c r="L2944">
        <v>1.46</v>
      </c>
      <c r="M2944">
        <v>8.25</v>
      </c>
      <c r="N2944">
        <v>1.05</v>
      </c>
      <c r="O2944">
        <v>0.71</v>
      </c>
      <c r="P2944">
        <v>8.5299999999999994</v>
      </c>
      <c r="Q2944">
        <v>-2.83</v>
      </c>
      <c r="R2944">
        <v>8.23</v>
      </c>
      <c r="S2944">
        <v>8.5</v>
      </c>
      <c r="T2944">
        <v>252230</v>
      </c>
      <c r="U2944">
        <v>8.25</v>
      </c>
      <c r="V2944">
        <v>8.4700000000000006</v>
      </c>
      <c r="W2944">
        <v>79.430000000000007</v>
      </c>
      <c r="X2944" t="s">
        <v>141</v>
      </c>
      <c r="Y2944" t="s">
        <v>547</v>
      </c>
      <c r="Z2944">
        <v>3.54</v>
      </c>
      <c r="AA2944">
        <v>8.3800000000000008</v>
      </c>
      <c r="AB2944">
        <v>155316</v>
      </c>
      <c r="AC2944">
        <v>96914</v>
      </c>
      <c r="AD2944">
        <v>1.6</v>
      </c>
      <c r="AE2944">
        <v>281</v>
      </c>
      <c r="AF2944">
        <v>1068</v>
      </c>
      <c r="AG2944" t="s">
        <v>120</v>
      </c>
      <c r="AH2944">
        <v>0.01</v>
      </c>
      <c r="AI2944" t="s">
        <v>120</v>
      </c>
      <c r="AJ2944">
        <v>17.3</v>
      </c>
      <c r="AK2944" t="s">
        <v>12978</v>
      </c>
      <c r="AL2944">
        <v>-1.25</v>
      </c>
      <c r="AM2944">
        <v>3518</v>
      </c>
      <c r="AN2944">
        <v>72</v>
      </c>
      <c r="AO2944">
        <v>4.0000000000000002E-4</v>
      </c>
      <c r="AP2944">
        <v>-1</v>
      </c>
      <c r="AQ2944">
        <v>0.59</v>
      </c>
      <c r="AR2944">
        <v>-3.17</v>
      </c>
      <c r="AS2944">
        <v>2.4900000000000002</v>
      </c>
      <c r="AT2944">
        <v>22.15</v>
      </c>
      <c r="AU2944">
        <v>8.93</v>
      </c>
      <c r="AV2944">
        <v>1</v>
      </c>
      <c r="AW2944">
        <v>1.81</v>
      </c>
      <c r="AX2944">
        <v>80.459999999999994</v>
      </c>
      <c r="AY2944">
        <v>85.33</v>
      </c>
      <c r="AZ2944">
        <v>159.58000000000001</v>
      </c>
      <c r="BA2944">
        <v>0.48</v>
      </c>
      <c r="BB2944" t="s">
        <v>184</v>
      </c>
      <c r="BF2944">
        <v>-1.08</v>
      </c>
      <c r="BG2944">
        <v>-2.94</v>
      </c>
      <c r="BH2944">
        <v>-3.28</v>
      </c>
      <c r="BI2944">
        <v>0.24</v>
      </c>
      <c r="BJ2944">
        <v>20210831</v>
      </c>
      <c r="BK2944">
        <v>19960716</v>
      </c>
      <c r="BL2944">
        <v>17.3</v>
      </c>
      <c r="BM2944" t="s">
        <v>120</v>
      </c>
      <c r="BN2944" t="s">
        <v>120</v>
      </c>
      <c r="BO2944">
        <v>98.03</v>
      </c>
      <c r="BP2944">
        <v>8.24</v>
      </c>
      <c r="BQ2944">
        <v>55.8</v>
      </c>
      <c r="BR2944">
        <v>0.38</v>
      </c>
      <c r="BS2944">
        <v>42.69</v>
      </c>
      <c r="BT2944">
        <v>62.94</v>
      </c>
      <c r="BU2944">
        <v>0.33</v>
      </c>
      <c r="BV2944">
        <v>3.66</v>
      </c>
      <c r="BW2944">
        <v>38.74</v>
      </c>
      <c r="BX2944">
        <v>8.84</v>
      </c>
      <c r="BY2944">
        <v>5.79</v>
      </c>
      <c r="BZ2944">
        <v>21.56</v>
      </c>
      <c r="CA2944" t="s">
        <v>120</v>
      </c>
      <c r="CB2944">
        <v>24.13</v>
      </c>
      <c r="CC2944">
        <v>24.01</v>
      </c>
      <c r="CD2944">
        <v>20.329999999999998</v>
      </c>
      <c r="CE2944">
        <v>0.97</v>
      </c>
      <c r="CF2944">
        <v>0.39</v>
      </c>
      <c r="CG2944">
        <v>0.93</v>
      </c>
      <c r="CH2944">
        <v>0.81</v>
      </c>
      <c r="CI2944">
        <v>0.9</v>
      </c>
      <c r="CJ2944">
        <v>-0.22</v>
      </c>
      <c r="CK2944">
        <v>0.75</v>
      </c>
      <c r="CL2944">
        <v>13.12</v>
      </c>
      <c r="CM2944">
        <v>-8.1199999999999992</v>
      </c>
      <c r="CN2944">
        <v>-5.75</v>
      </c>
      <c r="CO2944">
        <v>88334</v>
      </c>
      <c r="CP2944">
        <v>15758</v>
      </c>
      <c r="CQ2944" t="s">
        <v>7574</v>
      </c>
      <c r="CR2944">
        <v>803.79</v>
      </c>
      <c r="CS2944">
        <v>41.19</v>
      </c>
      <c r="CT2944">
        <v>2.6</v>
      </c>
      <c r="CU2944">
        <v>-17.579999999999998</v>
      </c>
      <c r="CV2944">
        <v>5.95</v>
      </c>
      <c r="CW2944">
        <v>0.19</v>
      </c>
      <c r="CX2944" t="s">
        <v>2960</v>
      </c>
      <c r="CY2944">
        <v>3.18</v>
      </c>
      <c r="CZ2944">
        <v>3.18</v>
      </c>
      <c r="DA2944">
        <v>1.39</v>
      </c>
      <c r="DB2944">
        <v>0.76</v>
      </c>
      <c r="DC2944">
        <v>-0.47</v>
      </c>
      <c r="DD2944">
        <v>56.92</v>
      </c>
      <c r="DE2944" t="s">
        <v>8669</v>
      </c>
      <c r="DF2944">
        <v>15.32</v>
      </c>
      <c r="DG2944">
        <v>4.05</v>
      </c>
      <c r="DH2944">
        <v>3.74</v>
      </c>
      <c r="DI2944">
        <v>1.06</v>
      </c>
      <c r="DJ2944">
        <v>2430</v>
      </c>
      <c r="DK2944">
        <v>600728</v>
      </c>
      <c r="DL2944" t="s">
        <v>120</v>
      </c>
      <c r="DM2944" t="s">
        <v>120</v>
      </c>
      <c r="DN2944" t="s">
        <v>120</v>
      </c>
    </row>
    <row r="2945" spans="1:118">
      <c r="A2945" t="str">
        <f>"600729"</f>
        <v>600729</v>
      </c>
      <c r="B2945" t="s">
        <v>12979</v>
      </c>
      <c r="C2945">
        <v>-0.73</v>
      </c>
      <c r="D2945">
        <v>0</v>
      </c>
      <c r="E2945">
        <v>-0.36</v>
      </c>
      <c r="F2945">
        <v>180</v>
      </c>
      <c r="G2945" t="s">
        <v>12980</v>
      </c>
      <c r="H2945">
        <v>2655.95</v>
      </c>
      <c r="I2945">
        <v>47.48</v>
      </c>
      <c r="J2945" t="s">
        <v>120</v>
      </c>
      <c r="K2945" t="s">
        <v>712</v>
      </c>
      <c r="L2945">
        <v>0.27</v>
      </c>
      <c r="M2945">
        <v>24.51</v>
      </c>
      <c r="N2945">
        <v>0.7</v>
      </c>
      <c r="O2945">
        <v>0.81</v>
      </c>
      <c r="P2945">
        <v>24.89</v>
      </c>
      <c r="Q2945">
        <v>-0.81</v>
      </c>
      <c r="R2945">
        <v>24.49</v>
      </c>
      <c r="S2945">
        <v>24.6</v>
      </c>
      <c r="T2945">
        <v>10787</v>
      </c>
      <c r="U2945">
        <v>24.52</v>
      </c>
      <c r="V2945">
        <v>24.69</v>
      </c>
      <c r="W2945">
        <v>8</v>
      </c>
      <c r="X2945" t="s">
        <v>735</v>
      </c>
      <c r="Y2945" t="s">
        <v>883</v>
      </c>
      <c r="Z2945">
        <v>1.62</v>
      </c>
      <c r="AA2945">
        <v>24.62</v>
      </c>
      <c r="AB2945">
        <v>7430</v>
      </c>
      <c r="AC2945">
        <v>3357</v>
      </c>
      <c r="AD2945">
        <v>2.21</v>
      </c>
      <c r="AE2945">
        <v>3</v>
      </c>
      <c r="AF2945">
        <v>2</v>
      </c>
      <c r="AG2945" t="s">
        <v>120</v>
      </c>
      <c r="AH2945">
        <v>0.01</v>
      </c>
      <c r="AI2945" t="s">
        <v>120</v>
      </c>
      <c r="AJ2945">
        <v>4.0599999999999996</v>
      </c>
      <c r="AK2945" t="s">
        <v>12981</v>
      </c>
      <c r="AL2945">
        <v>0.61</v>
      </c>
      <c r="AM2945">
        <v>1288</v>
      </c>
      <c r="AN2945">
        <v>8</v>
      </c>
      <c r="AO2945">
        <v>2.0000000000000001E-4</v>
      </c>
      <c r="AP2945">
        <v>-3</v>
      </c>
      <c r="AQ2945">
        <v>-1.52</v>
      </c>
      <c r="AR2945">
        <v>-3.13</v>
      </c>
      <c r="AS2945">
        <v>-4.1399999999999997</v>
      </c>
      <c r="AT2945">
        <v>-11.9</v>
      </c>
      <c r="AU2945">
        <v>-2.77</v>
      </c>
      <c r="AV2945">
        <v>0</v>
      </c>
      <c r="AW2945">
        <v>0.57999999999999996</v>
      </c>
      <c r="AX2945">
        <v>45.57</v>
      </c>
      <c r="AY2945">
        <v>11.12</v>
      </c>
      <c r="AZ2945">
        <v>9.7100000000000009</v>
      </c>
      <c r="BA2945">
        <v>0.28999999999999998</v>
      </c>
      <c r="BB2945" t="s">
        <v>143</v>
      </c>
      <c r="BF2945">
        <v>-0.28000000000000003</v>
      </c>
      <c r="BG2945">
        <v>-0.37</v>
      </c>
      <c r="BH2945">
        <v>-1.53</v>
      </c>
      <c r="BI2945">
        <v>0.08</v>
      </c>
      <c r="BJ2945">
        <v>20210830</v>
      </c>
      <c r="BK2945">
        <v>19960702</v>
      </c>
      <c r="BL2945">
        <v>4.07</v>
      </c>
      <c r="BM2945" t="s">
        <v>120</v>
      </c>
      <c r="BN2945" t="s">
        <v>120</v>
      </c>
      <c r="BO2945">
        <v>172.83</v>
      </c>
      <c r="BP2945">
        <v>24.51</v>
      </c>
      <c r="BQ2945">
        <v>52.05</v>
      </c>
      <c r="BR2945">
        <v>1.25</v>
      </c>
      <c r="BS2945">
        <v>69.16</v>
      </c>
      <c r="BT2945">
        <v>72.83</v>
      </c>
      <c r="BU2945">
        <v>29.04</v>
      </c>
      <c r="BV2945">
        <v>2.08</v>
      </c>
      <c r="BW2945">
        <v>77.73</v>
      </c>
      <c r="BX2945">
        <v>33.479999999999997</v>
      </c>
      <c r="BY2945">
        <v>24.88</v>
      </c>
      <c r="BZ2945">
        <v>2.93</v>
      </c>
      <c r="CA2945">
        <v>0.25</v>
      </c>
      <c r="CB2945">
        <v>4.03</v>
      </c>
      <c r="CC2945">
        <v>117.83</v>
      </c>
      <c r="CD2945">
        <v>88.82</v>
      </c>
      <c r="CE2945">
        <v>7.11</v>
      </c>
      <c r="CF2945">
        <v>1.4</v>
      </c>
      <c r="CG2945">
        <v>7.3</v>
      </c>
      <c r="CH2945">
        <v>6.4</v>
      </c>
      <c r="CI2945">
        <v>6.23</v>
      </c>
      <c r="CJ2945">
        <v>-0.18</v>
      </c>
      <c r="CK2945">
        <v>5.83</v>
      </c>
      <c r="CL2945">
        <v>44.06</v>
      </c>
      <c r="CM2945">
        <v>11.84</v>
      </c>
      <c r="CN2945">
        <v>5.07</v>
      </c>
      <c r="CO2945">
        <v>16026</v>
      </c>
      <c r="CP2945">
        <v>11558</v>
      </c>
      <c r="CQ2945" t="s">
        <v>12982</v>
      </c>
      <c r="CR2945">
        <v>-17.37</v>
      </c>
      <c r="CS2945">
        <v>11.79</v>
      </c>
      <c r="CT2945">
        <v>1.91</v>
      </c>
      <c r="CU2945">
        <v>8.41</v>
      </c>
      <c r="CV2945">
        <v>0.85</v>
      </c>
      <c r="CW2945">
        <v>14.7</v>
      </c>
      <c r="CX2945" t="s">
        <v>12983</v>
      </c>
      <c r="CY2945">
        <v>12.8</v>
      </c>
      <c r="CZ2945">
        <v>0</v>
      </c>
      <c r="DA2945">
        <v>0.99</v>
      </c>
      <c r="DB2945">
        <v>10.84</v>
      </c>
      <c r="DC2945">
        <v>2.91</v>
      </c>
      <c r="DD2945">
        <v>30.12</v>
      </c>
      <c r="DE2945" t="s">
        <v>5833</v>
      </c>
      <c r="DF2945">
        <v>24.62</v>
      </c>
      <c r="DG2945">
        <v>6.04</v>
      </c>
      <c r="DH2945">
        <v>5.28</v>
      </c>
      <c r="DI2945">
        <v>0.02</v>
      </c>
      <c r="DJ2945">
        <v>18228</v>
      </c>
      <c r="DK2945">
        <v>600729</v>
      </c>
      <c r="DL2945" t="s">
        <v>120</v>
      </c>
      <c r="DM2945" t="s">
        <v>120</v>
      </c>
      <c r="DN2945" t="s">
        <v>120</v>
      </c>
    </row>
    <row r="2946" spans="1:118">
      <c r="A2946" t="str">
        <f>"600730"</f>
        <v>600730</v>
      </c>
      <c r="B2946" t="s">
        <v>12984</v>
      </c>
      <c r="C2946">
        <v>2.39</v>
      </c>
      <c r="D2946">
        <v>-0.65</v>
      </c>
      <c r="E2946">
        <v>-0.34</v>
      </c>
      <c r="F2946">
        <v>8726</v>
      </c>
      <c r="G2946" t="s">
        <v>5655</v>
      </c>
      <c r="H2946">
        <v>22504.11</v>
      </c>
      <c r="I2946">
        <v>80.5</v>
      </c>
      <c r="J2946" t="s">
        <v>120</v>
      </c>
      <c r="K2946" t="s">
        <v>12985</v>
      </c>
      <c r="L2946">
        <v>6.36</v>
      </c>
      <c r="M2946">
        <v>6.01</v>
      </c>
      <c r="N2946">
        <v>1.32</v>
      </c>
      <c r="O2946">
        <v>4.5999999999999996</v>
      </c>
      <c r="P2946">
        <v>6.14</v>
      </c>
      <c r="Q2946">
        <v>-0.51</v>
      </c>
      <c r="R2946">
        <v>5.84</v>
      </c>
      <c r="S2946">
        <v>5.85</v>
      </c>
      <c r="T2946">
        <v>373359</v>
      </c>
      <c r="U2946">
        <v>6.01</v>
      </c>
      <c r="V2946">
        <v>5.87</v>
      </c>
      <c r="W2946">
        <v>99.87</v>
      </c>
      <c r="X2946" t="s">
        <v>166</v>
      </c>
      <c r="Y2946" t="s">
        <v>158</v>
      </c>
      <c r="Z2946">
        <v>5.1100000000000003</v>
      </c>
      <c r="AA2946">
        <v>6.03</v>
      </c>
      <c r="AB2946">
        <v>176346</v>
      </c>
      <c r="AC2946">
        <v>197013</v>
      </c>
      <c r="AD2946">
        <v>0.9</v>
      </c>
      <c r="AE2946">
        <v>1527</v>
      </c>
      <c r="AF2946">
        <v>1027</v>
      </c>
      <c r="AG2946" t="s">
        <v>120</v>
      </c>
      <c r="AH2946">
        <v>0.03</v>
      </c>
      <c r="AI2946" t="s">
        <v>120</v>
      </c>
      <c r="AJ2946">
        <v>5.87</v>
      </c>
      <c r="AK2946" t="s">
        <v>12985</v>
      </c>
      <c r="AL2946">
        <v>3.73</v>
      </c>
      <c r="AM2946">
        <v>3624</v>
      </c>
      <c r="AN2946">
        <v>103</v>
      </c>
      <c r="AO2946">
        <v>1.8E-3</v>
      </c>
      <c r="AP2946">
        <v>2</v>
      </c>
      <c r="AQ2946">
        <v>1.21</v>
      </c>
      <c r="AR2946">
        <v>2.74</v>
      </c>
      <c r="AS2946">
        <v>22.66</v>
      </c>
      <c r="AT2946">
        <v>38.47</v>
      </c>
      <c r="AU2946">
        <v>35.35</v>
      </c>
      <c r="AV2946">
        <v>1</v>
      </c>
      <c r="AW2946">
        <v>7.96</v>
      </c>
      <c r="AX2946">
        <v>79.97</v>
      </c>
      <c r="AY2946">
        <v>88.16</v>
      </c>
      <c r="AZ2946">
        <v>184.95</v>
      </c>
      <c r="BA2946">
        <v>0.24</v>
      </c>
      <c r="BB2946" t="s">
        <v>143</v>
      </c>
      <c r="BF2946">
        <v>2.68</v>
      </c>
      <c r="BG2946">
        <v>2.74</v>
      </c>
      <c r="BH2946">
        <v>-2.12</v>
      </c>
      <c r="BI2946">
        <v>2.91</v>
      </c>
      <c r="BJ2946">
        <v>20210828</v>
      </c>
      <c r="BK2946">
        <v>19960726</v>
      </c>
      <c r="BL2946">
        <v>5.87</v>
      </c>
      <c r="BM2946" t="s">
        <v>120</v>
      </c>
      <c r="BN2946" t="s">
        <v>120</v>
      </c>
      <c r="BO2946">
        <v>23.2</v>
      </c>
      <c r="BP2946">
        <v>6</v>
      </c>
      <c r="BQ2946">
        <v>19.190000000000001</v>
      </c>
      <c r="BR2946">
        <v>0.77</v>
      </c>
      <c r="BS2946">
        <v>13.96</v>
      </c>
      <c r="BT2946">
        <v>13.68</v>
      </c>
      <c r="BU2946">
        <v>0.04</v>
      </c>
      <c r="BV2946">
        <v>0.02</v>
      </c>
      <c r="BW2946">
        <v>0.83</v>
      </c>
      <c r="BX2946">
        <v>4.8099999999999996</v>
      </c>
      <c r="BY2946">
        <v>0.18</v>
      </c>
      <c r="BZ2946">
        <v>0.01</v>
      </c>
      <c r="CA2946">
        <v>0.06</v>
      </c>
      <c r="CB2946">
        <v>0.51</v>
      </c>
      <c r="CC2946">
        <v>0.62</v>
      </c>
      <c r="CD2946">
        <v>0.06</v>
      </c>
      <c r="CE2946">
        <v>0.27</v>
      </c>
      <c r="CF2946">
        <v>0.19</v>
      </c>
      <c r="CG2946">
        <v>0.28000000000000003</v>
      </c>
      <c r="CH2946">
        <v>0.25</v>
      </c>
      <c r="CI2946">
        <v>0.18</v>
      </c>
      <c r="CJ2946">
        <v>0.14000000000000001</v>
      </c>
      <c r="CK2946">
        <v>0.01</v>
      </c>
      <c r="CL2946">
        <v>8.01</v>
      </c>
      <c r="CM2946">
        <v>0.01</v>
      </c>
      <c r="CN2946">
        <v>1.76</v>
      </c>
      <c r="CO2946">
        <v>52896</v>
      </c>
      <c r="CP2946">
        <v>8870</v>
      </c>
      <c r="CQ2946" t="s">
        <v>5037</v>
      </c>
      <c r="CR2946">
        <v>733.02</v>
      </c>
      <c r="CS2946">
        <v>22.2</v>
      </c>
      <c r="CT2946">
        <v>1.84</v>
      </c>
      <c r="CU2946">
        <v>3998.87</v>
      </c>
      <c r="CV2946">
        <v>57.1</v>
      </c>
      <c r="CW2946">
        <v>0.16</v>
      </c>
      <c r="CX2946" t="s">
        <v>2074</v>
      </c>
      <c r="CY2946">
        <v>3.27</v>
      </c>
      <c r="CZ2946">
        <v>0</v>
      </c>
      <c r="DA2946">
        <v>0.09</v>
      </c>
      <c r="DB2946">
        <v>1.37</v>
      </c>
      <c r="DC2946">
        <v>0</v>
      </c>
      <c r="DD2946">
        <v>82.72</v>
      </c>
      <c r="DE2946" t="s">
        <v>4889</v>
      </c>
      <c r="DF2946">
        <v>90.49</v>
      </c>
      <c r="DG2946">
        <v>44.49</v>
      </c>
      <c r="DH2946">
        <v>28.59</v>
      </c>
      <c r="DI2946">
        <v>0.14000000000000001</v>
      </c>
      <c r="DJ2946">
        <v>453</v>
      </c>
      <c r="DK2946">
        <v>600730</v>
      </c>
      <c r="DL2946">
        <v>20210902</v>
      </c>
      <c r="DM2946">
        <v>6.79</v>
      </c>
      <c r="DN2946">
        <v>-11.49</v>
      </c>
    </row>
    <row r="2947" spans="1:118">
      <c r="A2947" t="str">
        <f>"600731"</f>
        <v>600731</v>
      </c>
      <c r="B2947" t="s">
        <v>12986</v>
      </c>
      <c r="C2947">
        <v>1.02</v>
      </c>
      <c r="D2947">
        <v>0.34</v>
      </c>
      <c r="E2947">
        <v>0</v>
      </c>
      <c r="F2947">
        <v>3121</v>
      </c>
      <c r="G2947" t="s">
        <v>3851</v>
      </c>
      <c r="H2947">
        <v>17253.8</v>
      </c>
      <c r="I2947">
        <v>18.39</v>
      </c>
      <c r="J2947" t="s">
        <v>120</v>
      </c>
      <c r="K2947" t="s">
        <v>12987</v>
      </c>
      <c r="L2947">
        <v>4.17</v>
      </c>
      <c r="M2947">
        <v>8.89</v>
      </c>
      <c r="N2947">
        <v>0.89</v>
      </c>
      <c r="O2947">
        <v>4.32</v>
      </c>
      <c r="P2947">
        <v>9.18</v>
      </c>
      <c r="Q2947">
        <v>-0.8</v>
      </c>
      <c r="R2947">
        <v>8.73</v>
      </c>
      <c r="S2947">
        <v>8.8000000000000007</v>
      </c>
      <c r="T2947">
        <v>192360</v>
      </c>
      <c r="U2947">
        <v>8.89</v>
      </c>
      <c r="V2947">
        <v>8.8000000000000007</v>
      </c>
      <c r="W2947">
        <v>15.18</v>
      </c>
      <c r="X2947" t="s">
        <v>690</v>
      </c>
      <c r="Y2947" t="s">
        <v>594</v>
      </c>
      <c r="Z2947">
        <v>5.1100000000000003</v>
      </c>
      <c r="AA2947">
        <v>8.9700000000000006</v>
      </c>
      <c r="AB2947">
        <v>102700</v>
      </c>
      <c r="AC2947">
        <v>89660</v>
      </c>
      <c r="AD2947">
        <v>1.1499999999999999</v>
      </c>
      <c r="AE2947">
        <v>2512</v>
      </c>
      <c r="AF2947">
        <v>406</v>
      </c>
      <c r="AG2947" t="s">
        <v>120</v>
      </c>
      <c r="AH2947">
        <v>0.01</v>
      </c>
      <c r="AI2947" t="s">
        <v>120</v>
      </c>
      <c r="AJ2947">
        <v>4.6100000000000003</v>
      </c>
      <c r="AK2947" t="s">
        <v>12988</v>
      </c>
      <c r="AL2947">
        <v>2.37</v>
      </c>
      <c r="AM2947">
        <v>2941</v>
      </c>
      <c r="AN2947">
        <v>65</v>
      </c>
      <c r="AO2947">
        <v>1.4E-3</v>
      </c>
      <c r="AP2947">
        <v>2</v>
      </c>
      <c r="AQ2947">
        <v>1.38</v>
      </c>
      <c r="AR2947">
        <v>0.11</v>
      </c>
      <c r="AS2947">
        <v>11.13</v>
      </c>
      <c r="AT2947">
        <v>14.86</v>
      </c>
      <c r="AU2947">
        <v>42.15</v>
      </c>
      <c r="AV2947">
        <v>1</v>
      </c>
      <c r="AW2947">
        <v>5.56</v>
      </c>
      <c r="AX2947">
        <v>74.91</v>
      </c>
      <c r="AY2947">
        <v>14.34</v>
      </c>
      <c r="AZ2947">
        <v>14.06</v>
      </c>
      <c r="BA2947">
        <v>0.6</v>
      </c>
      <c r="BB2947" t="s">
        <v>184</v>
      </c>
      <c r="BF2947">
        <v>1.93</v>
      </c>
      <c r="BG2947">
        <v>1.02</v>
      </c>
      <c r="BH2947">
        <v>-3.16</v>
      </c>
      <c r="BI2947">
        <v>1.83</v>
      </c>
      <c r="BJ2947">
        <v>20210831</v>
      </c>
      <c r="BK2947">
        <v>19960802</v>
      </c>
      <c r="BL2947">
        <v>4.62</v>
      </c>
      <c r="BM2947" t="s">
        <v>120</v>
      </c>
      <c r="BN2947" t="s">
        <v>120</v>
      </c>
      <c r="BO2947">
        <v>32.97</v>
      </c>
      <c r="BP2947">
        <v>8.8800000000000008</v>
      </c>
      <c r="BQ2947">
        <v>15.88</v>
      </c>
      <c r="BR2947">
        <v>1.0900000000000001</v>
      </c>
      <c r="BS2947">
        <v>48.53</v>
      </c>
      <c r="BT2947">
        <v>19.239999999999998</v>
      </c>
      <c r="BU2947">
        <v>6.47</v>
      </c>
      <c r="BV2947">
        <v>1.37</v>
      </c>
      <c r="BW2947">
        <v>8.01</v>
      </c>
      <c r="BX2947">
        <v>9.1199999999999992</v>
      </c>
      <c r="BY2947">
        <v>2.76</v>
      </c>
      <c r="BZ2947">
        <v>2.94</v>
      </c>
      <c r="CA2947">
        <v>0.11</v>
      </c>
      <c r="CB2947">
        <v>6.24</v>
      </c>
      <c r="CC2947">
        <v>11.14</v>
      </c>
      <c r="CD2947">
        <v>8.4700000000000006</v>
      </c>
      <c r="CE2947">
        <v>1.49</v>
      </c>
      <c r="CF2947">
        <v>0.02</v>
      </c>
      <c r="CG2947">
        <v>1.52</v>
      </c>
      <c r="CH2947">
        <v>1.36</v>
      </c>
      <c r="CI2947">
        <v>1.35</v>
      </c>
      <c r="CJ2947">
        <v>0.09</v>
      </c>
      <c r="CK2947">
        <v>1.31</v>
      </c>
      <c r="CL2947">
        <v>4.09</v>
      </c>
      <c r="CM2947">
        <v>0.18</v>
      </c>
      <c r="CN2947">
        <v>0.7</v>
      </c>
      <c r="CO2947">
        <v>17359</v>
      </c>
      <c r="CP2947">
        <v>19927</v>
      </c>
      <c r="CQ2947" t="s">
        <v>12989</v>
      </c>
      <c r="CR2947">
        <v>-4.1100000000000003</v>
      </c>
      <c r="CS2947">
        <v>8.3000000000000007</v>
      </c>
      <c r="CT2947">
        <v>2.59</v>
      </c>
      <c r="CU2947">
        <v>224.35</v>
      </c>
      <c r="CV2947">
        <v>3.68</v>
      </c>
      <c r="CW2947">
        <v>0.35</v>
      </c>
      <c r="CX2947" t="s">
        <v>10718</v>
      </c>
      <c r="CY2947">
        <v>3.44</v>
      </c>
      <c r="CZ2947">
        <v>0</v>
      </c>
      <c r="DA2947">
        <v>1.35</v>
      </c>
      <c r="DB2947">
        <v>0.89</v>
      </c>
      <c r="DC2947">
        <v>0.04</v>
      </c>
      <c r="DD2947">
        <v>48.16</v>
      </c>
      <c r="DE2947" t="s">
        <v>1657</v>
      </c>
      <c r="DF2947">
        <v>23.97</v>
      </c>
      <c r="DG2947">
        <v>13.38</v>
      </c>
      <c r="DH2947">
        <v>12.14</v>
      </c>
      <c r="DI2947">
        <v>0.33</v>
      </c>
      <c r="DJ2947">
        <v>1686</v>
      </c>
      <c r="DK2947">
        <v>600731</v>
      </c>
      <c r="DL2947" t="s">
        <v>120</v>
      </c>
      <c r="DM2947" t="s">
        <v>120</v>
      </c>
      <c r="DN2947" t="s">
        <v>120</v>
      </c>
    </row>
    <row r="2948" spans="1:118">
      <c r="A2948" t="str">
        <f>"600732"</f>
        <v>600732</v>
      </c>
      <c r="B2948" t="s">
        <v>12990</v>
      </c>
      <c r="C2948">
        <v>-7.39</v>
      </c>
      <c r="D2948">
        <v>0</v>
      </c>
      <c r="E2948">
        <v>-0.56000000000000005</v>
      </c>
      <c r="F2948">
        <v>2999</v>
      </c>
      <c r="G2948" t="s">
        <v>12991</v>
      </c>
      <c r="H2948">
        <v>43677.26</v>
      </c>
      <c r="I2948">
        <v>116.65</v>
      </c>
      <c r="J2948" t="s">
        <v>120</v>
      </c>
      <c r="K2948" t="s">
        <v>12991</v>
      </c>
      <c r="L2948">
        <v>4.9000000000000004</v>
      </c>
      <c r="M2948">
        <v>13.28</v>
      </c>
      <c r="N2948">
        <v>1.32</v>
      </c>
      <c r="O2948">
        <v>0.14000000000000001</v>
      </c>
      <c r="P2948">
        <v>14.36</v>
      </c>
      <c r="Q2948">
        <v>-7.6</v>
      </c>
      <c r="R2948">
        <v>13.25</v>
      </c>
      <c r="S2948">
        <v>14.26</v>
      </c>
      <c r="T2948">
        <v>319616</v>
      </c>
      <c r="U2948">
        <v>13.29</v>
      </c>
      <c r="V2948">
        <v>14.34</v>
      </c>
      <c r="W2948" t="s">
        <v>120</v>
      </c>
      <c r="X2948" t="s">
        <v>394</v>
      </c>
      <c r="Y2948" t="s">
        <v>1510</v>
      </c>
      <c r="Z2948">
        <v>7.74</v>
      </c>
      <c r="AA2948">
        <v>13.67</v>
      </c>
      <c r="AB2948">
        <v>184861</v>
      </c>
      <c r="AC2948">
        <v>134755</v>
      </c>
      <c r="AD2948">
        <v>1.37</v>
      </c>
      <c r="AE2948">
        <v>600</v>
      </c>
      <c r="AF2948">
        <v>35</v>
      </c>
      <c r="AG2948" t="s">
        <v>120</v>
      </c>
      <c r="AH2948">
        <v>0.01</v>
      </c>
      <c r="AI2948" t="s">
        <v>120</v>
      </c>
      <c r="AJ2948">
        <v>6.53</v>
      </c>
      <c r="AK2948" t="s">
        <v>12992</v>
      </c>
      <c r="AL2948">
        <v>-6.05</v>
      </c>
      <c r="AM2948">
        <v>4119</v>
      </c>
      <c r="AN2948">
        <v>78</v>
      </c>
      <c r="AO2948">
        <v>1.1999999999999999E-3</v>
      </c>
      <c r="AP2948">
        <v>-1</v>
      </c>
      <c r="AQ2948">
        <v>1.49</v>
      </c>
      <c r="AR2948">
        <v>-5.48</v>
      </c>
      <c r="AS2948">
        <v>2.7</v>
      </c>
      <c r="AT2948">
        <v>2.87</v>
      </c>
      <c r="AU2948">
        <v>-16.48</v>
      </c>
      <c r="AV2948">
        <v>10</v>
      </c>
      <c r="AW2948">
        <v>4.9000000000000004</v>
      </c>
      <c r="AX2948">
        <v>32.06</v>
      </c>
      <c r="AY2948">
        <v>45.27</v>
      </c>
      <c r="AZ2948">
        <v>36.25</v>
      </c>
      <c r="BA2948">
        <v>2.27</v>
      </c>
      <c r="BB2948" t="s">
        <v>143</v>
      </c>
      <c r="BF2948">
        <v>-4.7</v>
      </c>
      <c r="BG2948">
        <v>-6.87</v>
      </c>
      <c r="BH2948">
        <v>-7.52</v>
      </c>
      <c r="BI2948">
        <v>0.23</v>
      </c>
      <c r="BJ2948">
        <v>20210828</v>
      </c>
      <c r="BK2948">
        <v>19960816</v>
      </c>
      <c r="BL2948">
        <v>20.36</v>
      </c>
      <c r="BM2948" t="s">
        <v>120</v>
      </c>
      <c r="BN2948" t="s">
        <v>120</v>
      </c>
      <c r="BO2948">
        <v>151.71</v>
      </c>
      <c r="BP2948">
        <v>13.28</v>
      </c>
      <c r="BQ2948">
        <v>51.77</v>
      </c>
      <c r="BR2948">
        <v>4.91</v>
      </c>
      <c r="BS2948">
        <v>62.64</v>
      </c>
      <c r="BT2948">
        <v>53.06</v>
      </c>
      <c r="BU2948">
        <v>77.91</v>
      </c>
      <c r="BV2948">
        <v>2.88</v>
      </c>
      <c r="BW2948">
        <v>70.819999999999993</v>
      </c>
      <c r="BX2948">
        <v>19.91</v>
      </c>
      <c r="BY2948">
        <v>10.1</v>
      </c>
      <c r="BZ2948">
        <v>1.0900000000000001</v>
      </c>
      <c r="CA2948" t="s">
        <v>120</v>
      </c>
      <c r="CB2948">
        <v>15.9</v>
      </c>
      <c r="CC2948">
        <v>68.680000000000007</v>
      </c>
      <c r="CD2948">
        <v>65.12</v>
      </c>
      <c r="CE2948">
        <v>-0.65</v>
      </c>
      <c r="CF2948">
        <v>0.14000000000000001</v>
      </c>
      <c r="CG2948">
        <v>-0.7</v>
      </c>
      <c r="CH2948">
        <v>-0.24</v>
      </c>
      <c r="CI2948">
        <v>-0.24</v>
      </c>
      <c r="CJ2948">
        <v>-1.06</v>
      </c>
      <c r="CK2948">
        <v>-1.26</v>
      </c>
      <c r="CL2948">
        <v>15.23</v>
      </c>
      <c r="CM2948">
        <v>3.06</v>
      </c>
      <c r="CN2948">
        <v>-1.85</v>
      </c>
      <c r="CO2948">
        <v>48554</v>
      </c>
      <c r="CP2948">
        <v>13445</v>
      </c>
      <c r="CQ2948" t="s">
        <v>11526</v>
      </c>
      <c r="CR2948">
        <v>-117.38</v>
      </c>
      <c r="CS2948">
        <v>85.88</v>
      </c>
      <c r="CT2948">
        <v>5.22</v>
      </c>
      <c r="CU2948">
        <v>88.24</v>
      </c>
      <c r="CV2948">
        <v>3.94</v>
      </c>
      <c r="CW2948">
        <v>0.49</v>
      </c>
      <c r="CX2948" t="s">
        <v>1312</v>
      </c>
      <c r="CY2948">
        <v>2.54</v>
      </c>
      <c r="CZ2948">
        <v>0</v>
      </c>
      <c r="DA2948">
        <v>0.78</v>
      </c>
      <c r="DB2948">
        <v>0.75</v>
      </c>
      <c r="DC2948">
        <v>0.15</v>
      </c>
      <c r="DD2948">
        <v>34.119999999999997</v>
      </c>
      <c r="DE2948" t="s">
        <v>12993</v>
      </c>
      <c r="DF2948">
        <v>5.19</v>
      </c>
      <c r="DG2948">
        <v>-0.94</v>
      </c>
      <c r="DH2948">
        <v>-0.35</v>
      </c>
      <c r="DI2948">
        <v>2.59</v>
      </c>
      <c r="DJ2948">
        <v>5778</v>
      </c>
      <c r="DK2948">
        <v>600732</v>
      </c>
      <c r="DL2948" t="s">
        <v>120</v>
      </c>
      <c r="DM2948" t="s">
        <v>120</v>
      </c>
      <c r="DN2948" t="s">
        <v>120</v>
      </c>
    </row>
    <row r="2949" spans="1:118">
      <c r="A2949" t="str">
        <f>"600733"</f>
        <v>600733</v>
      </c>
      <c r="B2949" t="s">
        <v>12994</v>
      </c>
      <c r="C2949">
        <v>-4.5599999999999996</v>
      </c>
      <c r="D2949">
        <v>0.16</v>
      </c>
      <c r="E2949">
        <v>-1.9</v>
      </c>
      <c r="F2949">
        <v>7601</v>
      </c>
      <c r="G2949" t="s">
        <v>12995</v>
      </c>
      <c r="H2949">
        <v>97107.91</v>
      </c>
      <c r="I2949">
        <v>1001.3</v>
      </c>
      <c r="J2949" t="s">
        <v>120</v>
      </c>
      <c r="K2949" t="s">
        <v>12996</v>
      </c>
      <c r="L2949">
        <v>3.45</v>
      </c>
      <c r="M2949">
        <v>12.55</v>
      </c>
      <c r="N2949">
        <v>0.66</v>
      </c>
      <c r="O2949">
        <v>-0.38</v>
      </c>
      <c r="P2949">
        <v>13.1</v>
      </c>
      <c r="Q2949">
        <v>-5.25</v>
      </c>
      <c r="R2949">
        <v>12.46</v>
      </c>
      <c r="S2949">
        <v>12.9</v>
      </c>
      <c r="T2949">
        <v>764442</v>
      </c>
      <c r="U2949">
        <v>12.55</v>
      </c>
      <c r="V2949">
        <v>13.15</v>
      </c>
      <c r="W2949" t="s">
        <v>120</v>
      </c>
      <c r="X2949" t="s">
        <v>1068</v>
      </c>
      <c r="Y2949" t="s">
        <v>158</v>
      </c>
      <c r="Z2949">
        <v>4.87</v>
      </c>
      <c r="AA2949">
        <v>12.7</v>
      </c>
      <c r="AB2949">
        <v>407996</v>
      </c>
      <c r="AC2949">
        <v>356446</v>
      </c>
      <c r="AD2949">
        <v>1.1399999999999999</v>
      </c>
      <c r="AE2949">
        <v>358</v>
      </c>
      <c r="AF2949">
        <v>4105</v>
      </c>
      <c r="AG2949" t="s">
        <v>120</v>
      </c>
      <c r="AH2949">
        <v>0.04</v>
      </c>
      <c r="AI2949" t="s">
        <v>120</v>
      </c>
      <c r="AJ2949">
        <v>22.17</v>
      </c>
      <c r="AK2949" t="s">
        <v>12997</v>
      </c>
      <c r="AL2949">
        <v>-3.22</v>
      </c>
      <c r="AM2949">
        <v>4617</v>
      </c>
      <c r="AN2949">
        <v>166</v>
      </c>
      <c r="AO2949">
        <v>6.9999999999999999E-4</v>
      </c>
      <c r="AP2949">
        <v>-1</v>
      </c>
      <c r="AQ2949">
        <v>0.38</v>
      </c>
      <c r="AR2949">
        <v>-7.38</v>
      </c>
      <c r="AS2949">
        <v>8.09</v>
      </c>
      <c r="AT2949">
        <v>-15.32</v>
      </c>
      <c r="AU2949">
        <v>44.75</v>
      </c>
      <c r="AV2949">
        <v>12</v>
      </c>
      <c r="AW2949">
        <v>4.03</v>
      </c>
      <c r="AX2949">
        <v>44.21</v>
      </c>
      <c r="AY2949" t="s">
        <v>120</v>
      </c>
      <c r="AZ2949" t="s">
        <v>120</v>
      </c>
      <c r="BA2949">
        <v>1.92</v>
      </c>
      <c r="BB2949" t="s">
        <v>143</v>
      </c>
      <c r="BF2949">
        <v>-3.4</v>
      </c>
      <c r="BG2949">
        <v>-2.71</v>
      </c>
      <c r="BH2949">
        <v>-4.2</v>
      </c>
      <c r="BI2949">
        <v>0.72</v>
      </c>
      <c r="BJ2949">
        <v>20210828</v>
      </c>
      <c r="BK2949">
        <v>19960816</v>
      </c>
      <c r="BL2949">
        <v>42.87</v>
      </c>
      <c r="BM2949" t="s">
        <v>120</v>
      </c>
      <c r="BN2949" t="s">
        <v>120</v>
      </c>
      <c r="BO2949">
        <v>440.21</v>
      </c>
      <c r="BP2949">
        <v>12.54</v>
      </c>
      <c r="BQ2949">
        <v>145.61000000000001</v>
      </c>
      <c r="BR2949">
        <v>4.6500000000000004</v>
      </c>
      <c r="BS2949">
        <v>65.87</v>
      </c>
      <c r="BT2949">
        <v>291.41000000000003</v>
      </c>
      <c r="BU2949">
        <v>64.010000000000005</v>
      </c>
      <c r="BV2949">
        <v>36.200000000000003</v>
      </c>
      <c r="BW2949">
        <v>181.13</v>
      </c>
      <c r="BX2949">
        <v>66.42</v>
      </c>
      <c r="BY2949">
        <v>31.71</v>
      </c>
      <c r="BZ2949">
        <v>158.85</v>
      </c>
      <c r="CA2949">
        <v>0.13</v>
      </c>
      <c r="CB2949">
        <v>187.64</v>
      </c>
      <c r="CC2949">
        <v>24.37</v>
      </c>
      <c r="CD2949">
        <v>26.67</v>
      </c>
      <c r="CE2949">
        <v>-17.95</v>
      </c>
      <c r="CF2949">
        <v>0.15</v>
      </c>
      <c r="CG2949">
        <v>-17.95</v>
      </c>
      <c r="CH2949">
        <v>-18.11</v>
      </c>
      <c r="CI2949">
        <v>-18.13</v>
      </c>
      <c r="CJ2949">
        <v>-0.6</v>
      </c>
      <c r="CK2949">
        <v>-20.97</v>
      </c>
      <c r="CL2949">
        <v>-84.85</v>
      </c>
      <c r="CM2949">
        <v>9.75</v>
      </c>
      <c r="CN2949">
        <v>24.45</v>
      </c>
      <c r="CO2949">
        <v>188624</v>
      </c>
      <c r="CP2949">
        <v>10049</v>
      </c>
      <c r="CQ2949" t="s">
        <v>2146</v>
      </c>
      <c r="CR2949">
        <v>2.67</v>
      </c>
      <c r="CS2949">
        <v>-21.69</v>
      </c>
      <c r="CT2949">
        <v>3.7</v>
      </c>
      <c r="CU2949">
        <v>55.2</v>
      </c>
      <c r="CV2949">
        <v>22.08</v>
      </c>
      <c r="CW2949">
        <v>0</v>
      </c>
      <c r="CX2949" t="s">
        <v>12998</v>
      </c>
      <c r="CY2949">
        <v>3.4</v>
      </c>
      <c r="CZ2949">
        <v>0</v>
      </c>
      <c r="DA2949">
        <v>4.38</v>
      </c>
      <c r="DB2949">
        <v>-1.98</v>
      </c>
      <c r="DC2949">
        <v>0.23</v>
      </c>
      <c r="DD2949">
        <v>33.08</v>
      </c>
      <c r="DE2949" t="s">
        <v>12999</v>
      </c>
      <c r="DF2949">
        <v>-9.44</v>
      </c>
      <c r="DG2949">
        <v>-73.650000000000006</v>
      </c>
      <c r="DH2949">
        <v>-74.41</v>
      </c>
      <c r="DI2949">
        <v>4.08</v>
      </c>
      <c r="DJ2949">
        <v>5346</v>
      </c>
      <c r="DK2949">
        <v>600733</v>
      </c>
      <c r="DL2949" t="s">
        <v>120</v>
      </c>
      <c r="DM2949" t="s">
        <v>120</v>
      </c>
      <c r="DN2949" t="s">
        <v>120</v>
      </c>
    </row>
    <row r="2950" spans="1:118">
      <c r="A2950" t="str">
        <f>"600735"</f>
        <v>600735</v>
      </c>
      <c r="B2950" t="s">
        <v>13000</v>
      </c>
      <c r="C2950">
        <v>1.05</v>
      </c>
      <c r="D2950">
        <v>0.15</v>
      </c>
      <c r="E2950">
        <v>-1.05</v>
      </c>
      <c r="F2950">
        <v>3008</v>
      </c>
      <c r="G2950" t="s">
        <v>3425</v>
      </c>
      <c r="H2950">
        <v>11578.94</v>
      </c>
      <c r="I2950">
        <v>62.15</v>
      </c>
      <c r="J2950" t="s">
        <v>120</v>
      </c>
      <c r="K2950" t="s">
        <v>1685</v>
      </c>
      <c r="L2950">
        <v>4.63</v>
      </c>
      <c r="M2950">
        <v>6.71</v>
      </c>
      <c r="N2950">
        <v>1.1599999999999999</v>
      </c>
      <c r="O2950">
        <v>2.11</v>
      </c>
      <c r="P2950">
        <v>6.78</v>
      </c>
      <c r="Q2950">
        <v>-1.66</v>
      </c>
      <c r="R2950">
        <v>6.53</v>
      </c>
      <c r="S2950">
        <v>6.57</v>
      </c>
      <c r="T2950">
        <v>173901</v>
      </c>
      <c r="U2950">
        <v>6.72</v>
      </c>
      <c r="V2950">
        <v>6.64</v>
      </c>
      <c r="W2950">
        <v>39.909999999999997</v>
      </c>
      <c r="X2950" t="s">
        <v>562</v>
      </c>
      <c r="Y2950" t="s">
        <v>638</v>
      </c>
      <c r="Z2950">
        <v>3.77</v>
      </c>
      <c r="AA2950">
        <v>6.66</v>
      </c>
      <c r="AB2950">
        <v>86293</v>
      </c>
      <c r="AC2950">
        <v>87608</v>
      </c>
      <c r="AD2950">
        <v>0.98</v>
      </c>
      <c r="AE2950">
        <v>421</v>
      </c>
      <c r="AF2950">
        <v>1198</v>
      </c>
      <c r="AG2950" t="s">
        <v>120</v>
      </c>
      <c r="AH2950">
        <v>0.05</v>
      </c>
      <c r="AI2950" t="s">
        <v>120</v>
      </c>
      <c r="AJ2950">
        <v>3.76</v>
      </c>
      <c r="AK2950" t="s">
        <v>1685</v>
      </c>
      <c r="AL2950">
        <v>2.4</v>
      </c>
      <c r="AM2950">
        <v>2857</v>
      </c>
      <c r="AN2950">
        <v>61</v>
      </c>
      <c r="AO2950">
        <v>1.6000000000000001E-3</v>
      </c>
      <c r="AP2950">
        <v>1</v>
      </c>
      <c r="AQ2950">
        <v>-0.15</v>
      </c>
      <c r="AR2950">
        <v>8.58</v>
      </c>
      <c r="AS2950">
        <v>21.56</v>
      </c>
      <c r="AT2950">
        <v>11.64</v>
      </c>
      <c r="AU2950">
        <v>35.44</v>
      </c>
      <c r="AV2950">
        <v>11</v>
      </c>
      <c r="AW2950">
        <v>9.3800000000000008</v>
      </c>
      <c r="AX2950">
        <v>49.31</v>
      </c>
      <c r="AY2950">
        <v>46.26</v>
      </c>
      <c r="AZ2950">
        <v>55.81</v>
      </c>
      <c r="BA2950">
        <v>0.59</v>
      </c>
      <c r="BB2950" t="s">
        <v>184</v>
      </c>
      <c r="BF2950">
        <v>0.28000000000000003</v>
      </c>
      <c r="BG2950">
        <v>2.13</v>
      </c>
      <c r="BH2950">
        <v>-1.03</v>
      </c>
      <c r="BI2950">
        <v>2.76</v>
      </c>
      <c r="BJ2950">
        <v>20210830</v>
      </c>
      <c r="BK2950">
        <v>19960726</v>
      </c>
      <c r="BL2950">
        <v>3.76</v>
      </c>
      <c r="BM2950" t="s">
        <v>120</v>
      </c>
      <c r="BN2950" t="s">
        <v>120</v>
      </c>
      <c r="BO2950">
        <v>14.07</v>
      </c>
      <c r="BP2950">
        <v>6.71</v>
      </c>
      <c r="BQ2950">
        <v>9.51</v>
      </c>
      <c r="BR2950">
        <v>0.99</v>
      </c>
      <c r="BS2950">
        <v>25.42</v>
      </c>
      <c r="BT2950">
        <v>9.59</v>
      </c>
      <c r="BU2950">
        <v>0.91</v>
      </c>
      <c r="BV2950">
        <v>0.56999999999999995</v>
      </c>
      <c r="BW2950">
        <v>3.14</v>
      </c>
      <c r="BX2950">
        <v>3.4</v>
      </c>
      <c r="BY2950">
        <v>3.05</v>
      </c>
      <c r="BZ2950">
        <v>1.1599999999999999</v>
      </c>
      <c r="CA2950">
        <v>0</v>
      </c>
      <c r="CB2950">
        <v>1.48</v>
      </c>
      <c r="CC2950">
        <v>6.46</v>
      </c>
      <c r="CD2950">
        <v>5.15</v>
      </c>
      <c r="CE2950">
        <v>0.62</v>
      </c>
      <c r="CF2950">
        <v>0.13</v>
      </c>
      <c r="CG2950">
        <v>0.62</v>
      </c>
      <c r="CH2950">
        <v>0.49</v>
      </c>
      <c r="CI2950">
        <v>0.32</v>
      </c>
      <c r="CJ2950">
        <v>7.0000000000000007E-2</v>
      </c>
      <c r="CK2950">
        <v>0.17</v>
      </c>
      <c r="CL2950">
        <v>3.86</v>
      </c>
      <c r="CM2950">
        <v>0.18</v>
      </c>
      <c r="CN2950">
        <v>0.06</v>
      </c>
      <c r="CO2950">
        <v>39631</v>
      </c>
      <c r="CP2950">
        <v>4679</v>
      </c>
      <c r="CQ2950" t="s">
        <v>10463</v>
      </c>
      <c r="CR2950">
        <v>41.27</v>
      </c>
      <c r="CS2950">
        <v>8.1</v>
      </c>
      <c r="CT2950">
        <v>2.65</v>
      </c>
      <c r="CU2950">
        <v>138.13999999999999</v>
      </c>
      <c r="CV2950">
        <v>3.91</v>
      </c>
      <c r="CW2950">
        <v>0.54</v>
      </c>
      <c r="CX2950" t="s">
        <v>4316</v>
      </c>
      <c r="CY2950">
        <v>2.5299999999999998</v>
      </c>
      <c r="CZ2950">
        <v>0</v>
      </c>
      <c r="DA2950">
        <v>0.39</v>
      </c>
      <c r="DB2950">
        <v>1.03</v>
      </c>
      <c r="DC2950">
        <v>0.05</v>
      </c>
      <c r="DD2950">
        <v>67.55</v>
      </c>
      <c r="DE2950" t="s">
        <v>1841</v>
      </c>
      <c r="DF2950">
        <v>20.190000000000001</v>
      </c>
      <c r="DG2950">
        <v>9.64</v>
      </c>
      <c r="DH2950">
        <v>4.9000000000000004</v>
      </c>
      <c r="DI2950" t="s">
        <v>120</v>
      </c>
      <c r="DJ2950">
        <v>1800</v>
      </c>
      <c r="DK2950">
        <v>600735</v>
      </c>
      <c r="DL2950" t="s">
        <v>120</v>
      </c>
      <c r="DM2950" t="s">
        <v>120</v>
      </c>
      <c r="DN2950" t="s">
        <v>120</v>
      </c>
    </row>
    <row r="2951" spans="1:118">
      <c r="A2951" t="str">
        <f>"600736"</f>
        <v>600736</v>
      </c>
      <c r="B2951" t="s">
        <v>13001</v>
      </c>
      <c r="C2951">
        <v>-1.35</v>
      </c>
      <c r="D2951">
        <v>-0.22</v>
      </c>
      <c r="E2951">
        <v>0</v>
      </c>
      <c r="F2951">
        <v>2039</v>
      </c>
      <c r="G2951" t="s">
        <v>6126</v>
      </c>
      <c r="H2951">
        <v>2874.37</v>
      </c>
      <c r="I2951">
        <v>7.62</v>
      </c>
      <c r="J2951" t="s">
        <v>120</v>
      </c>
      <c r="K2951" t="s">
        <v>13002</v>
      </c>
      <c r="L2951">
        <v>0.56000000000000005</v>
      </c>
      <c r="M2951">
        <v>4.37</v>
      </c>
      <c r="N2951">
        <v>0.78</v>
      </c>
      <c r="O2951">
        <v>0.9</v>
      </c>
      <c r="P2951">
        <v>4.47</v>
      </c>
      <c r="Q2951">
        <v>-1.35</v>
      </c>
      <c r="R2951">
        <v>4.37</v>
      </c>
      <c r="S2951">
        <v>4.43</v>
      </c>
      <c r="T2951">
        <v>64988</v>
      </c>
      <c r="U2951">
        <v>4.38</v>
      </c>
      <c r="V2951">
        <v>4.43</v>
      </c>
      <c r="W2951">
        <v>16.53</v>
      </c>
      <c r="X2951" t="s">
        <v>1384</v>
      </c>
      <c r="Y2951" t="s">
        <v>319</v>
      </c>
      <c r="Z2951">
        <v>2.2599999999999998</v>
      </c>
      <c r="AA2951">
        <v>4.42</v>
      </c>
      <c r="AB2951">
        <v>39669</v>
      </c>
      <c r="AC2951">
        <v>25319</v>
      </c>
      <c r="AD2951">
        <v>1.57</v>
      </c>
      <c r="AE2951">
        <v>1370</v>
      </c>
      <c r="AF2951">
        <v>109</v>
      </c>
      <c r="AG2951" t="s">
        <v>120</v>
      </c>
      <c r="AH2951">
        <v>0</v>
      </c>
      <c r="AI2951" t="s">
        <v>120</v>
      </c>
      <c r="AJ2951">
        <v>11.51</v>
      </c>
      <c r="AK2951" t="s">
        <v>13002</v>
      </c>
      <c r="AL2951">
        <v>-0.01</v>
      </c>
      <c r="AM2951">
        <v>1455</v>
      </c>
      <c r="AN2951">
        <v>45</v>
      </c>
      <c r="AO2951">
        <v>4.0000000000000002E-4</v>
      </c>
      <c r="AP2951">
        <v>-1</v>
      </c>
      <c r="AQ2951">
        <v>0.45</v>
      </c>
      <c r="AR2951">
        <v>-3.11</v>
      </c>
      <c r="AS2951">
        <v>4.54</v>
      </c>
      <c r="AT2951">
        <v>-9.52</v>
      </c>
      <c r="AU2951">
        <v>-6.23</v>
      </c>
      <c r="AV2951">
        <v>0</v>
      </c>
      <c r="AW2951">
        <v>1</v>
      </c>
      <c r="AX2951">
        <v>56.21</v>
      </c>
      <c r="AY2951">
        <v>12.56</v>
      </c>
      <c r="AZ2951">
        <v>16.89</v>
      </c>
      <c r="BA2951">
        <v>0.53</v>
      </c>
      <c r="BB2951" t="s">
        <v>143</v>
      </c>
      <c r="BF2951">
        <v>-0.16</v>
      </c>
      <c r="BG2951">
        <v>-1.35</v>
      </c>
      <c r="BH2951">
        <v>-2.2400000000000002</v>
      </c>
      <c r="BI2951">
        <v>0</v>
      </c>
      <c r="BJ2951">
        <v>20210831</v>
      </c>
      <c r="BK2951">
        <v>19960815</v>
      </c>
      <c r="BL2951">
        <v>11.51</v>
      </c>
      <c r="BM2951" t="s">
        <v>120</v>
      </c>
      <c r="BN2951" t="s">
        <v>120</v>
      </c>
      <c r="BO2951">
        <v>574.78</v>
      </c>
      <c r="BP2951">
        <v>4.37</v>
      </c>
      <c r="BQ2951">
        <v>96.06</v>
      </c>
      <c r="BR2951">
        <v>57.1</v>
      </c>
      <c r="BS2951">
        <v>73.349999999999994</v>
      </c>
      <c r="BT2951">
        <v>442.8</v>
      </c>
      <c r="BU2951">
        <v>37.97</v>
      </c>
      <c r="BV2951">
        <v>11.02</v>
      </c>
      <c r="BW2951">
        <v>267.02999999999997</v>
      </c>
      <c r="BX2951">
        <v>41.05</v>
      </c>
      <c r="BY2951">
        <v>266.83999999999997</v>
      </c>
      <c r="BZ2951">
        <v>4.59</v>
      </c>
      <c r="CA2951">
        <v>0.59</v>
      </c>
      <c r="CB2951">
        <v>15.77</v>
      </c>
      <c r="CC2951">
        <v>18.170000000000002</v>
      </c>
      <c r="CD2951">
        <v>15.45</v>
      </c>
      <c r="CE2951">
        <v>0.85</v>
      </c>
      <c r="CF2951">
        <v>2.38</v>
      </c>
      <c r="CG2951">
        <v>0.84</v>
      </c>
      <c r="CH2951">
        <v>0.53</v>
      </c>
      <c r="CI2951">
        <v>1.52</v>
      </c>
      <c r="CJ2951">
        <v>-0.06</v>
      </c>
      <c r="CK2951">
        <v>-0.17</v>
      </c>
      <c r="CL2951">
        <v>35.17</v>
      </c>
      <c r="CM2951">
        <v>21.45</v>
      </c>
      <c r="CN2951">
        <v>3.67</v>
      </c>
      <c r="CO2951">
        <v>59170</v>
      </c>
      <c r="CP2951">
        <v>10936</v>
      </c>
      <c r="CQ2951" t="s">
        <v>3807</v>
      </c>
      <c r="CR2951">
        <v>216.93</v>
      </c>
      <c r="CS2951">
        <v>25.15</v>
      </c>
      <c r="CT2951">
        <v>0.71</v>
      </c>
      <c r="CU2951">
        <v>2.35</v>
      </c>
      <c r="CV2951">
        <v>2.77</v>
      </c>
      <c r="CW2951">
        <v>0.9</v>
      </c>
      <c r="CX2951" t="s">
        <v>986</v>
      </c>
      <c r="CY2951">
        <v>6.19</v>
      </c>
      <c r="CZ2951">
        <v>6.19</v>
      </c>
      <c r="DA2951">
        <v>1.37</v>
      </c>
      <c r="DB2951">
        <v>3.06</v>
      </c>
      <c r="DC2951">
        <v>1.86</v>
      </c>
      <c r="DD2951">
        <v>16.71</v>
      </c>
      <c r="DE2951" t="s">
        <v>6850</v>
      </c>
      <c r="DF2951">
        <v>14.95</v>
      </c>
      <c r="DG2951">
        <v>4.68</v>
      </c>
      <c r="DH2951">
        <v>8.3699999999999992</v>
      </c>
      <c r="DI2951">
        <v>0.1</v>
      </c>
      <c r="DJ2951">
        <v>1733</v>
      </c>
      <c r="DK2951">
        <v>600736</v>
      </c>
      <c r="DL2951" t="s">
        <v>120</v>
      </c>
      <c r="DM2951" t="s">
        <v>120</v>
      </c>
      <c r="DN2951" t="s">
        <v>120</v>
      </c>
    </row>
    <row r="2952" spans="1:118">
      <c r="A2952" t="str">
        <f>"600737"</f>
        <v>600737</v>
      </c>
      <c r="B2952" t="s">
        <v>13003</v>
      </c>
      <c r="C2952">
        <v>0.4</v>
      </c>
      <c r="D2952">
        <v>0</v>
      </c>
      <c r="E2952">
        <v>2.08</v>
      </c>
      <c r="F2952">
        <v>6574</v>
      </c>
      <c r="G2952" t="s">
        <v>13004</v>
      </c>
      <c r="H2952">
        <v>79072.11</v>
      </c>
      <c r="I2952">
        <v>681.53</v>
      </c>
      <c r="J2952" t="s">
        <v>120</v>
      </c>
      <c r="K2952" t="s">
        <v>13005</v>
      </c>
      <c r="L2952">
        <v>3.6</v>
      </c>
      <c r="M2952">
        <v>10.15</v>
      </c>
      <c r="N2952">
        <v>1.47</v>
      </c>
      <c r="O2952">
        <v>6.33</v>
      </c>
      <c r="P2952">
        <v>10.75</v>
      </c>
      <c r="Q2952">
        <v>0</v>
      </c>
      <c r="R2952">
        <v>10.11</v>
      </c>
      <c r="S2952">
        <v>10.32</v>
      </c>
      <c r="T2952">
        <v>760573</v>
      </c>
      <c r="U2952">
        <v>10.15</v>
      </c>
      <c r="V2952">
        <v>10.11</v>
      </c>
      <c r="W2952">
        <v>24.05</v>
      </c>
      <c r="X2952" t="s">
        <v>847</v>
      </c>
      <c r="Y2952" t="s">
        <v>609</v>
      </c>
      <c r="Z2952">
        <v>6.33</v>
      </c>
      <c r="AA2952">
        <v>10.4</v>
      </c>
      <c r="AB2952">
        <v>394723</v>
      </c>
      <c r="AC2952">
        <v>365850</v>
      </c>
      <c r="AD2952">
        <v>1.08</v>
      </c>
      <c r="AE2952">
        <v>171</v>
      </c>
      <c r="AF2952">
        <v>811</v>
      </c>
      <c r="AG2952" t="s">
        <v>120</v>
      </c>
      <c r="AH2952">
        <v>0.06</v>
      </c>
      <c r="AI2952" t="s">
        <v>120</v>
      </c>
      <c r="AJ2952">
        <v>21.11</v>
      </c>
      <c r="AK2952" t="s">
        <v>13006</v>
      </c>
      <c r="AL2952">
        <v>1.74</v>
      </c>
      <c r="AM2952">
        <v>4370</v>
      </c>
      <c r="AN2952">
        <v>174</v>
      </c>
      <c r="AO2952">
        <v>8.0000000000000004E-4</v>
      </c>
      <c r="AP2952">
        <v>3</v>
      </c>
      <c r="AQ2952">
        <v>2.02</v>
      </c>
      <c r="AR2952">
        <v>3.05</v>
      </c>
      <c r="AS2952">
        <v>9.73</v>
      </c>
      <c r="AT2952">
        <v>3.26</v>
      </c>
      <c r="AU2952">
        <v>5.73</v>
      </c>
      <c r="AV2952">
        <v>2</v>
      </c>
      <c r="AW2952">
        <v>7.22</v>
      </c>
      <c r="AX2952">
        <v>49.27</v>
      </c>
      <c r="AY2952">
        <v>39.19</v>
      </c>
      <c r="AZ2952">
        <v>40.869999999999997</v>
      </c>
      <c r="BA2952">
        <v>0.09</v>
      </c>
      <c r="BB2952" t="s">
        <v>184</v>
      </c>
      <c r="BF2952">
        <v>2.83</v>
      </c>
      <c r="BG2952">
        <v>-1.65</v>
      </c>
      <c r="BH2952">
        <v>-5.58</v>
      </c>
      <c r="BI2952">
        <v>0.4</v>
      </c>
      <c r="BJ2952">
        <v>20210827</v>
      </c>
      <c r="BK2952">
        <v>19960731</v>
      </c>
      <c r="BL2952">
        <v>21.39</v>
      </c>
      <c r="BM2952" t="s">
        <v>120</v>
      </c>
      <c r="BN2952" t="s">
        <v>120</v>
      </c>
      <c r="BO2952">
        <v>197.51</v>
      </c>
      <c r="BP2952">
        <v>10.14</v>
      </c>
      <c r="BQ2952">
        <v>98.18</v>
      </c>
      <c r="BR2952">
        <v>1.8</v>
      </c>
      <c r="BS2952">
        <v>49.38</v>
      </c>
      <c r="BT2952">
        <v>135.16999999999999</v>
      </c>
      <c r="BU2952">
        <v>36.479999999999997</v>
      </c>
      <c r="BV2952">
        <v>8.08</v>
      </c>
      <c r="BW2952">
        <v>81.98</v>
      </c>
      <c r="BX2952">
        <v>26.99</v>
      </c>
      <c r="BY2952">
        <v>72.52</v>
      </c>
      <c r="BZ2952">
        <v>5.91</v>
      </c>
      <c r="CA2952" t="s">
        <v>120</v>
      </c>
      <c r="CB2952">
        <v>46.29</v>
      </c>
      <c r="CC2952">
        <v>111.76</v>
      </c>
      <c r="CD2952">
        <v>98.97</v>
      </c>
      <c r="CE2952">
        <v>6.13</v>
      </c>
      <c r="CF2952">
        <v>0.34</v>
      </c>
      <c r="CG2952">
        <v>6.13</v>
      </c>
      <c r="CH2952">
        <v>4.8499999999999996</v>
      </c>
      <c r="CI2952">
        <v>4.51</v>
      </c>
      <c r="CJ2952">
        <v>0.04</v>
      </c>
      <c r="CK2952">
        <v>4.0999999999999996</v>
      </c>
      <c r="CL2952">
        <v>17.54</v>
      </c>
      <c r="CM2952">
        <v>16.649999999999999</v>
      </c>
      <c r="CN2952">
        <v>17.239999999999998</v>
      </c>
      <c r="CO2952">
        <v>116928</v>
      </c>
      <c r="CP2952">
        <v>9013</v>
      </c>
      <c r="CQ2952" t="s">
        <v>2915</v>
      </c>
      <c r="CR2952">
        <v>5.29</v>
      </c>
      <c r="CS2952">
        <v>28.17</v>
      </c>
      <c r="CT2952">
        <v>2.21</v>
      </c>
      <c r="CU2952">
        <v>13.04</v>
      </c>
      <c r="CV2952">
        <v>1.94</v>
      </c>
      <c r="CW2952">
        <v>0.79</v>
      </c>
      <c r="CX2952" t="s">
        <v>5733</v>
      </c>
      <c r="CY2952">
        <v>4.59</v>
      </c>
      <c r="CZ2952">
        <v>0</v>
      </c>
      <c r="DA2952">
        <v>2.16</v>
      </c>
      <c r="DB2952">
        <v>0.82</v>
      </c>
      <c r="DC2952">
        <v>0.78</v>
      </c>
      <c r="DD2952">
        <v>49.71</v>
      </c>
      <c r="DE2952" t="s">
        <v>2680</v>
      </c>
      <c r="DF2952">
        <v>11.44</v>
      </c>
      <c r="DG2952">
        <v>5.49</v>
      </c>
      <c r="DH2952">
        <v>4.04</v>
      </c>
      <c r="DI2952">
        <v>0.16</v>
      </c>
      <c r="DJ2952">
        <v>6610</v>
      </c>
      <c r="DK2952">
        <v>600737</v>
      </c>
      <c r="DL2952" t="s">
        <v>120</v>
      </c>
      <c r="DM2952" t="s">
        <v>120</v>
      </c>
      <c r="DN2952" t="s">
        <v>120</v>
      </c>
    </row>
    <row r="2953" spans="1:118">
      <c r="A2953" t="str">
        <f>"600738"</f>
        <v>600738</v>
      </c>
      <c r="B2953" t="s">
        <v>13007</v>
      </c>
      <c r="C2953">
        <v>0.71</v>
      </c>
      <c r="D2953">
        <v>0.18</v>
      </c>
      <c r="E2953">
        <v>0.18</v>
      </c>
      <c r="F2953">
        <v>442</v>
      </c>
      <c r="G2953" t="s">
        <v>8504</v>
      </c>
      <c r="H2953">
        <v>3244.22</v>
      </c>
      <c r="I2953">
        <v>0.62</v>
      </c>
      <c r="J2953" t="s">
        <v>120</v>
      </c>
      <c r="K2953" t="s">
        <v>13008</v>
      </c>
      <c r="L2953">
        <v>0.74</v>
      </c>
      <c r="M2953">
        <v>5.64</v>
      </c>
      <c r="N2953">
        <v>1.2</v>
      </c>
      <c r="O2953">
        <v>2.14</v>
      </c>
      <c r="P2953">
        <v>5.72</v>
      </c>
      <c r="Q2953">
        <v>-0.18</v>
      </c>
      <c r="R2953">
        <v>5.59</v>
      </c>
      <c r="S2953">
        <v>5.61</v>
      </c>
      <c r="T2953">
        <v>57363</v>
      </c>
      <c r="U2953">
        <v>5.64</v>
      </c>
      <c r="V2953">
        <v>5.6</v>
      </c>
      <c r="W2953">
        <v>30.26</v>
      </c>
      <c r="X2953" t="s">
        <v>735</v>
      </c>
      <c r="Y2953" t="s">
        <v>1082</v>
      </c>
      <c r="Z2953">
        <v>2.3199999999999998</v>
      </c>
      <c r="AA2953">
        <v>5.66</v>
      </c>
      <c r="AB2953">
        <v>29644</v>
      </c>
      <c r="AC2953">
        <v>27719</v>
      </c>
      <c r="AD2953">
        <v>1.07</v>
      </c>
      <c r="AE2953">
        <v>343</v>
      </c>
      <c r="AF2953">
        <v>396</v>
      </c>
      <c r="AG2953" t="s">
        <v>120</v>
      </c>
      <c r="AH2953">
        <v>0</v>
      </c>
      <c r="AI2953" t="s">
        <v>120</v>
      </c>
      <c r="AJ2953">
        <v>7.73</v>
      </c>
      <c r="AK2953" t="s">
        <v>2733</v>
      </c>
      <c r="AL2953">
        <v>2.06</v>
      </c>
      <c r="AM2953">
        <v>1407</v>
      </c>
      <c r="AN2953">
        <v>41</v>
      </c>
      <c r="AO2953">
        <v>5.0000000000000001E-4</v>
      </c>
      <c r="AP2953">
        <v>1</v>
      </c>
      <c r="AQ2953">
        <v>-1.23</v>
      </c>
      <c r="AR2953">
        <v>-2.75</v>
      </c>
      <c r="AS2953">
        <v>-5.84</v>
      </c>
      <c r="AT2953">
        <v>-12.29</v>
      </c>
      <c r="AU2953">
        <v>-12.15</v>
      </c>
      <c r="AV2953">
        <v>2</v>
      </c>
      <c r="AW2953">
        <v>2.0099999999999998</v>
      </c>
      <c r="AX2953">
        <v>36.92</v>
      </c>
      <c r="AY2953">
        <v>41.99</v>
      </c>
      <c r="AZ2953">
        <v>49.98</v>
      </c>
      <c r="BA2953">
        <v>0.56000000000000005</v>
      </c>
      <c r="BB2953" t="s">
        <v>134</v>
      </c>
      <c r="BF2953">
        <v>0.99</v>
      </c>
      <c r="BG2953">
        <v>0.53</v>
      </c>
      <c r="BH2953">
        <v>-1.4</v>
      </c>
      <c r="BI2953">
        <v>0.89</v>
      </c>
      <c r="BJ2953">
        <v>20210827</v>
      </c>
      <c r="BK2953">
        <v>19960802</v>
      </c>
      <c r="BL2953">
        <v>7.73</v>
      </c>
      <c r="BM2953" t="s">
        <v>120</v>
      </c>
      <c r="BN2953" t="s">
        <v>120</v>
      </c>
      <c r="BO2953">
        <v>34.24</v>
      </c>
      <c r="BP2953">
        <v>5.63</v>
      </c>
      <c r="BQ2953">
        <v>17.57</v>
      </c>
      <c r="BR2953">
        <v>0</v>
      </c>
      <c r="BS2953">
        <v>48.69</v>
      </c>
      <c r="BT2953">
        <v>7.51</v>
      </c>
      <c r="BU2953">
        <v>13.52</v>
      </c>
      <c r="BV2953">
        <v>1.33</v>
      </c>
      <c r="BW2953">
        <v>11.49</v>
      </c>
      <c r="BX2953">
        <v>5.61</v>
      </c>
      <c r="BY2953">
        <v>1.62</v>
      </c>
      <c r="BZ2953">
        <v>0.01</v>
      </c>
      <c r="CA2953">
        <v>0.02</v>
      </c>
      <c r="CB2953">
        <v>3.38</v>
      </c>
      <c r="CC2953">
        <v>3.04</v>
      </c>
      <c r="CD2953">
        <v>0.92</v>
      </c>
      <c r="CE2953">
        <v>1.0900000000000001</v>
      </c>
      <c r="CF2953">
        <v>0.03</v>
      </c>
      <c r="CG2953">
        <v>1.08</v>
      </c>
      <c r="CH2953">
        <v>0.72</v>
      </c>
      <c r="CI2953">
        <v>0.72</v>
      </c>
      <c r="CJ2953">
        <v>0.04</v>
      </c>
      <c r="CK2953">
        <v>0.72</v>
      </c>
      <c r="CL2953">
        <v>5.16</v>
      </c>
      <c r="CM2953">
        <v>0.43</v>
      </c>
      <c r="CN2953">
        <v>-0.4</v>
      </c>
      <c r="CO2953">
        <v>24622</v>
      </c>
      <c r="CP2953">
        <v>11598</v>
      </c>
      <c r="CQ2953" t="s">
        <v>5409</v>
      </c>
      <c r="CR2953">
        <v>29.65</v>
      </c>
      <c r="CS2953">
        <v>2.11</v>
      </c>
      <c r="CT2953">
        <v>2.48</v>
      </c>
      <c r="CU2953">
        <v>100.73</v>
      </c>
      <c r="CV2953">
        <v>14.37</v>
      </c>
      <c r="CW2953">
        <v>0</v>
      </c>
      <c r="CX2953" t="s">
        <v>329</v>
      </c>
      <c r="CY2953">
        <v>2.27</v>
      </c>
      <c r="CZ2953">
        <v>0</v>
      </c>
      <c r="DA2953">
        <v>0.44</v>
      </c>
      <c r="DB2953">
        <v>0.67</v>
      </c>
      <c r="DC2953">
        <v>0.06</v>
      </c>
      <c r="DD2953">
        <v>51.31</v>
      </c>
      <c r="DE2953" t="s">
        <v>1587</v>
      </c>
      <c r="DF2953">
        <v>69.55</v>
      </c>
      <c r="DG2953">
        <v>35.82</v>
      </c>
      <c r="DH2953">
        <v>23.75</v>
      </c>
      <c r="DI2953" t="s">
        <v>120</v>
      </c>
      <c r="DJ2953">
        <v>592</v>
      </c>
      <c r="DK2953">
        <v>600738</v>
      </c>
      <c r="DL2953" t="s">
        <v>120</v>
      </c>
      <c r="DM2953" t="s">
        <v>120</v>
      </c>
      <c r="DN2953" t="s">
        <v>120</v>
      </c>
    </row>
    <row r="2954" spans="1:118">
      <c r="A2954" t="str">
        <f>"600739"</f>
        <v>600739</v>
      </c>
      <c r="B2954" t="s">
        <v>13009</v>
      </c>
      <c r="C2954">
        <v>-5.86</v>
      </c>
      <c r="D2954">
        <v>0.25</v>
      </c>
      <c r="E2954">
        <v>0.94</v>
      </c>
      <c r="F2954">
        <v>4023</v>
      </c>
      <c r="G2954" t="s">
        <v>13010</v>
      </c>
      <c r="H2954">
        <v>75204.89</v>
      </c>
      <c r="I2954">
        <v>574.88</v>
      </c>
      <c r="J2954" t="s">
        <v>120</v>
      </c>
      <c r="K2954" t="s">
        <v>13011</v>
      </c>
      <c r="L2954">
        <v>1.99</v>
      </c>
      <c r="M2954">
        <v>24.08</v>
      </c>
      <c r="N2954">
        <v>1.2</v>
      </c>
      <c r="O2954">
        <v>1.17</v>
      </c>
      <c r="P2954">
        <v>25.88</v>
      </c>
      <c r="Q2954">
        <v>-6.33</v>
      </c>
      <c r="R2954">
        <v>23.96</v>
      </c>
      <c r="S2954">
        <v>25.82</v>
      </c>
      <c r="T2954">
        <v>304390</v>
      </c>
      <c r="U2954">
        <v>24.09</v>
      </c>
      <c r="V2954">
        <v>25.58</v>
      </c>
      <c r="W2954">
        <v>13.7</v>
      </c>
      <c r="X2954" t="s">
        <v>562</v>
      </c>
      <c r="Y2954" t="s">
        <v>432</v>
      </c>
      <c r="Z2954">
        <v>7.51</v>
      </c>
      <c r="AA2954">
        <v>24.71</v>
      </c>
      <c r="AB2954">
        <v>173931</v>
      </c>
      <c r="AC2954">
        <v>130459</v>
      </c>
      <c r="AD2954">
        <v>1.33</v>
      </c>
      <c r="AE2954">
        <v>55</v>
      </c>
      <c r="AF2954">
        <v>23</v>
      </c>
      <c r="AG2954" t="s">
        <v>120</v>
      </c>
      <c r="AH2954">
        <v>0.02</v>
      </c>
      <c r="AI2954" t="s">
        <v>120</v>
      </c>
      <c r="AJ2954">
        <v>15.3</v>
      </c>
      <c r="AK2954" t="s">
        <v>13011</v>
      </c>
      <c r="AL2954">
        <v>-4.5199999999999996</v>
      </c>
      <c r="AM2954">
        <v>4211</v>
      </c>
      <c r="AN2954">
        <v>72</v>
      </c>
      <c r="AO2954">
        <v>5.0000000000000001E-4</v>
      </c>
      <c r="AP2954">
        <v>-1</v>
      </c>
      <c r="AQ2954">
        <v>3.15</v>
      </c>
      <c r="AR2954">
        <v>-6.67</v>
      </c>
      <c r="AS2954">
        <v>8.81</v>
      </c>
      <c r="AT2954">
        <v>19.62</v>
      </c>
      <c r="AU2954">
        <v>-0.08</v>
      </c>
      <c r="AV2954">
        <v>3</v>
      </c>
      <c r="AW2954">
        <v>3.11</v>
      </c>
      <c r="AX2954">
        <v>64.02</v>
      </c>
      <c r="AY2954">
        <v>12.37</v>
      </c>
      <c r="AZ2954">
        <v>14.12</v>
      </c>
      <c r="BA2954">
        <v>0.88</v>
      </c>
      <c r="BB2954" t="s">
        <v>184</v>
      </c>
      <c r="BF2954">
        <v>-3.41</v>
      </c>
      <c r="BG2954">
        <v>-6.74</v>
      </c>
      <c r="BH2954">
        <v>-6.96</v>
      </c>
      <c r="BI2954">
        <v>0.5</v>
      </c>
      <c r="BJ2954">
        <v>20210831</v>
      </c>
      <c r="BK2954">
        <v>19960819</v>
      </c>
      <c r="BL2954">
        <v>15.3</v>
      </c>
      <c r="BM2954" t="s">
        <v>120</v>
      </c>
      <c r="BN2954" t="s">
        <v>120</v>
      </c>
      <c r="BO2954">
        <v>424.9</v>
      </c>
      <c r="BP2954">
        <v>24.08</v>
      </c>
      <c r="BQ2954">
        <v>250.03</v>
      </c>
      <c r="BR2954">
        <v>11.47</v>
      </c>
      <c r="BS2954">
        <v>38.46</v>
      </c>
      <c r="BT2954">
        <v>95.45</v>
      </c>
      <c r="BU2954">
        <v>35.69</v>
      </c>
      <c r="BV2954">
        <v>7.89</v>
      </c>
      <c r="BW2954">
        <v>124.46</v>
      </c>
      <c r="BX2954">
        <v>29.91</v>
      </c>
      <c r="BY2954">
        <v>20.53</v>
      </c>
      <c r="BZ2954">
        <v>16.82</v>
      </c>
      <c r="CA2954" t="s">
        <v>120</v>
      </c>
      <c r="CB2954">
        <v>62.98</v>
      </c>
      <c r="CC2954">
        <v>82.66</v>
      </c>
      <c r="CD2954">
        <v>70.3</v>
      </c>
      <c r="CE2954">
        <v>16.649999999999999</v>
      </c>
      <c r="CF2954">
        <v>11.68</v>
      </c>
      <c r="CG2954">
        <v>16.71</v>
      </c>
      <c r="CH2954">
        <v>15.81</v>
      </c>
      <c r="CI2954">
        <v>13.44</v>
      </c>
      <c r="CJ2954">
        <v>-1.5</v>
      </c>
      <c r="CK2954">
        <v>13.17</v>
      </c>
      <c r="CL2954">
        <v>161.65</v>
      </c>
      <c r="CM2954">
        <v>-0.89</v>
      </c>
      <c r="CN2954">
        <v>8.39</v>
      </c>
      <c r="CO2954">
        <v>69177</v>
      </c>
      <c r="CP2954">
        <v>14158</v>
      </c>
      <c r="CQ2954" t="s">
        <v>13012</v>
      </c>
      <c r="CR2954">
        <v>41.35</v>
      </c>
      <c r="CS2954">
        <v>1.19</v>
      </c>
      <c r="CT2954">
        <v>1.47</v>
      </c>
      <c r="CU2954">
        <v>-411.83</v>
      </c>
      <c r="CV2954">
        <v>4.46</v>
      </c>
      <c r="CW2954">
        <v>0.86</v>
      </c>
      <c r="CX2954" t="s">
        <v>13013</v>
      </c>
      <c r="CY2954">
        <v>16.34</v>
      </c>
      <c r="CZ2954">
        <v>0</v>
      </c>
      <c r="DA2954">
        <v>4.12</v>
      </c>
      <c r="DB2954">
        <v>10.57</v>
      </c>
      <c r="DC2954">
        <v>-0.06</v>
      </c>
      <c r="DD2954">
        <v>58.84</v>
      </c>
      <c r="DE2954" t="s">
        <v>13014</v>
      </c>
      <c r="DF2954">
        <v>14.95</v>
      </c>
      <c r="DG2954">
        <v>20.14</v>
      </c>
      <c r="DH2954">
        <v>16.260000000000002</v>
      </c>
      <c r="DI2954">
        <v>1.1200000000000001</v>
      </c>
      <c r="DJ2954">
        <v>3199</v>
      </c>
      <c r="DK2954">
        <v>600739</v>
      </c>
      <c r="DL2954" t="s">
        <v>120</v>
      </c>
      <c r="DM2954" t="s">
        <v>120</v>
      </c>
      <c r="DN2954" t="s">
        <v>120</v>
      </c>
    </row>
    <row r="2955" spans="1:118">
      <c r="A2955" t="str">
        <f>"600740"</f>
        <v>600740</v>
      </c>
      <c r="B2955" t="s">
        <v>13015</v>
      </c>
      <c r="C2955">
        <v>-5.22</v>
      </c>
      <c r="D2955">
        <v>-0.38</v>
      </c>
      <c r="E2955">
        <v>3.08</v>
      </c>
      <c r="F2955">
        <v>27657</v>
      </c>
      <c r="G2955" t="s">
        <v>13016</v>
      </c>
      <c r="H2955">
        <v>251704.13</v>
      </c>
      <c r="I2955">
        <v>3019.46</v>
      </c>
      <c r="J2955" t="s">
        <v>120</v>
      </c>
      <c r="K2955" t="s">
        <v>13017</v>
      </c>
      <c r="L2955">
        <v>9.27</v>
      </c>
      <c r="M2955">
        <v>10.16</v>
      </c>
      <c r="N2955">
        <v>1.02</v>
      </c>
      <c r="O2955">
        <v>4.01</v>
      </c>
      <c r="P2955">
        <v>11.15</v>
      </c>
      <c r="Q2955">
        <v>-5.41</v>
      </c>
      <c r="R2955">
        <v>10.14</v>
      </c>
      <c r="S2955">
        <v>11.05</v>
      </c>
      <c r="T2955">
        <v>2375874</v>
      </c>
      <c r="U2955">
        <v>10.16</v>
      </c>
      <c r="V2955">
        <v>10.72</v>
      </c>
      <c r="W2955">
        <v>9.4600000000000009</v>
      </c>
      <c r="X2955" t="s">
        <v>1754</v>
      </c>
      <c r="Y2955" t="s">
        <v>667</v>
      </c>
      <c r="Z2955">
        <v>9.42</v>
      </c>
      <c r="AA2955">
        <v>10.59</v>
      </c>
      <c r="AB2955">
        <v>1248704</v>
      </c>
      <c r="AC2955">
        <v>1127170</v>
      </c>
      <c r="AD2955">
        <v>1.1100000000000001</v>
      </c>
      <c r="AE2955">
        <v>911</v>
      </c>
      <c r="AF2955">
        <v>4237</v>
      </c>
      <c r="AG2955" t="s">
        <v>120</v>
      </c>
      <c r="AH2955">
        <v>0.25</v>
      </c>
      <c r="AI2955" t="s">
        <v>120</v>
      </c>
      <c r="AJ2955">
        <v>25.62</v>
      </c>
      <c r="AK2955" t="s">
        <v>13017</v>
      </c>
      <c r="AL2955">
        <v>-3.88</v>
      </c>
      <c r="AM2955">
        <v>4741</v>
      </c>
      <c r="AN2955">
        <v>501</v>
      </c>
      <c r="AO2955">
        <v>2E-3</v>
      </c>
      <c r="AP2955">
        <v>-3</v>
      </c>
      <c r="AQ2955">
        <v>-0.37</v>
      </c>
      <c r="AR2955">
        <v>-11.65</v>
      </c>
      <c r="AS2955">
        <v>90.26</v>
      </c>
      <c r="AT2955">
        <v>90.26</v>
      </c>
      <c r="AU2955">
        <v>132.13</v>
      </c>
      <c r="AV2955">
        <v>10</v>
      </c>
      <c r="AW2955">
        <v>21.54</v>
      </c>
      <c r="AX2955">
        <v>43.05</v>
      </c>
      <c r="AY2955">
        <v>13.57</v>
      </c>
      <c r="AZ2955">
        <v>25.03</v>
      </c>
      <c r="BA2955">
        <v>1.55</v>
      </c>
      <c r="BB2955" t="s">
        <v>143</v>
      </c>
      <c r="BF2955">
        <v>-1.17</v>
      </c>
      <c r="BG2955">
        <v>-8.0500000000000007</v>
      </c>
      <c r="BH2955">
        <v>-8.8800000000000008</v>
      </c>
      <c r="BI2955">
        <v>0.2</v>
      </c>
      <c r="BJ2955">
        <v>20210824</v>
      </c>
      <c r="BK2955">
        <v>19960808</v>
      </c>
      <c r="BL2955">
        <v>25.62</v>
      </c>
      <c r="BM2955" t="s">
        <v>120</v>
      </c>
      <c r="BN2955" t="s">
        <v>120</v>
      </c>
      <c r="BO2955">
        <v>195.84</v>
      </c>
      <c r="BP2955">
        <v>10.15</v>
      </c>
      <c r="BQ2955">
        <v>122.21</v>
      </c>
      <c r="BR2955">
        <v>4.5</v>
      </c>
      <c r="BS2955">
        <v>35.299999999999997</v>
      </c>
      <c r="BT2955">
        <v>23.23</v>
      </c>
      <c r="BU2955">
        <v>37.869999999999997</v>
      </c>
      <c r="BV2955">
        <v>2.94</v>
      </c>
      <c r="BW2955">
        <v>58.24</v>
      </c>
      <c r="BX2955">
        <v>16.97</v>
      </c>
      <c r="BY2955">
        <v>3.35</v>
      </c>
      <c r="BZ2955">
        <v>0.8</v>
      </c>
      <c r="CA2955">
        <v>0.08</v>
      </c>
      <c r="CB2955">
        <v>69.19</v>
      </c>
      <c r="CC2955">
        <v>50.29</v>
      </c>
      <c r="CD2955">
        <v>44.43</v>
      </c>
      <c r="CE2955">
        <v>13.69</v>
      </c>
      <c r="CF2955">
        <v>10.89</v>
      </c>
      <c r="CG2955">
        <v>13.69</v>
      </c>
      <c r="CH2955">
        <v>13.7</v>
      </c>
      <c r="CI2955">
        <v>13.75</v>
      </c>
      <c r="CJ2955">
        <v>-0.56000000000000005</v>
      </c>
      <c r="CK2955">
        <v>13.69</v>
      </c>
      <c r="CL2955">
        <v>22.98</v>
      </c>
      <c r="CM2955">
        <v>5.0199999999999996</v>
      </c>
      <c r="CN2955">
        <v>-10.17</v>
      </c>
      <c r="CO2955">
        <v>84380</v>
      </c>
      <c r="CP2955">
        <v>13072</v>
      </c>
      <c r="CQ2955" t="s">
        <v>13018</v>
      </c>
      <c r="CR2955">
        <v>206.16</v>
      </c>
      <c r="CS2955">
        <v>61.38</v>
      </c>
      <c r="CT2955">
        <v>2.13</v>
      </c>
      <c r="CU2955">
        <v>51.89</v>
      </c>
      <c r="CV2955">
        <v>5.18</v>
      </c>
      <c r="CW2955">
        <v>1.44</v>
      </c>
      <c r="CX2955" t="s">
        <v>13019</v>
      </c>
      <c r="CY2955">
        <v>4.7699999999999996</v>
      </c>
      <c r="CZ2955">
        <v>0</v>
      </c>
      <c r="DA2955">
        <v>2.7</v>
      </c>
      <c r="DB2955">
        <v>0.9</v>
      </c>
      <c r="DC2955">
        <v>0.2</v>
      </c>
      <c r="DD2955">
        <v>62.4</v>
      </c>
      <c r="DE2955" t="s">
        <v>528</v>
      </c>
      <c r="DF2955">
        <v>11.66</v>
      </c>
      <c r="DG2955">
        <v>27.21</v>
      </c>
      <c r="DH2955">
        <v>27.35</v>
      </c>
      <c r="DI2955">
        <v>0.04</v>
      </c>
      <c r="DJ2955">
        <v>6324</v>
      </c>
      <c r="DK2955">
        <v>600740</v>
      </c>
      <c r="DL2955">
        <v>20210826</v>
      </c>
      <c r="DM2955">
        <v>7.25</v>
      </c>
      <c r="DN2955">
        <v>40.14</v>
      </c>
    </row>
    <row r="2956" spans="1:118">
      <c r="A2956" t="str">
        <f>"600741"</f>
        <v>600741</v>
      </c>
      <c r="B2956" t="s">
        <v>13020</v>
      </c>
      <c r="C2956">
        <v>-2.46</v>
      </c>
      <c r="D2956">
        <v>0.31</v>
      </c>
      <c r="E2956">
        <v>-1.27</v>
      </c>
      <c r="F2956">
        <v>2693</v>
      </c>
      <c r="G2956" t="s">
        <v>13021</v>
      </c>
      <c r="H2956">
        <v>32556.66</v>
      </c>
      <c r="I2956">
        <v>89.05</v>
      </c>
      <c r="J2956" t="s">
        <v>120</v>
      </c>
      <c r="K2956" t="s">
        <v>13022</v>
      </c>
      <c r="L2956">
        <v>0.45</v>
      </c>
      <c r="M2956">
        <v>22.97</v>
      </c>
      <c r="N2956">
        <v>0.75</v>
      </c>
      <c r="O2956">
        <v>0.64</v>
      </c>
      <c r="P2956">
        <v>23.7</v>
      </c>
      <c r="Q2956">
        <v>-3.61</v>
      </c>
      <c r="R2956">
        <v>22.7</v>
      </c>
      <c r="S2956">
        <v>23.25</v>
      </c>
      <c r="T2956">
        <v>141318</v>
      </c>
      <c r="U2956">
        <v>22.97</v>
      </c>
      <c r="V2956">
        <v>23.55</v>
      </c>
      <c r="W2956">
        <v>13.26</v>
      </c>
      <c r="X2956" t="s">
        <v>289</v>
      </c>
      <c r="Y2956" t="s">
        <v>1510</v>
      </c>
      <c r="Z2956">
        <v>4.25</v>
      </c>
      <c r="AA2956">
        <v>23.04</v>
      </c>
      <c r="AB2956">
        <v>91622</v>
      </c>
      <c r="AC2956">
        <v>49696</v>
      </c>
      <c r="AD2956">
        <v>1.84</v>
      </c>
      <c r="AE2956">
        <v>13</v>
      </c>
      <c r="AF2956">
        <v>88</v>
      </c>
      <c r="AG2956" t="s">
        <v>120</v>
      </c>
      <c r="AH2956">
        <v>0</v>
      </c>
      <c r="AI2956" t="s">
        <v>120</v>
      </c>
      <c r="AJ2956">
        <v>31.53</v>
      </c>
      <c r="AK2956" t="s">
        <v>13022</v>
      </c>
      <c r="AL2956">
        <v>-1.1200000000000001</v>
      </c>
      <c r="AM2956">
        <v>4112</v>
      </c>
      <c r="AN2956">
        <v>34</v>
      </c>
      <c r="AO2956">
        <v>1E-4</v>
      </c>
      <c r="AP2956">
        <v>-1</v>
      </c>
      <c r="AQ2956">
        <v>0.51</v>
      </c>
      <c r="AR2956">
        <v>-6.13</v>
      </c>
      <c r="AS2956">
        <v>8.81</v>
      </c>
      <c r="AT2956">
        <v>-9.9499999999999993</v>
      </c>
      <c r="AU2956">
        <v>-18.170000000000002</v>
      </c>
      <c r="AV2956">
        <v>1</v>
      </c>
      <c r="AW2956">
        <v>1.08</v>
      </c>
      <c r="AX2956">
        <v>41.68</v>
      </c>
      <c r="AY2956">
        <v>10.88</v>
      </c>
      <c r="AZ2956">
        <v>13.74</v>
      </c>
      <c r="BA2956">
        <v>1.63</v>
      </c>
      <c r="BB2956" t="s">
        <v>143</v>
      </c>
      <c r="BF2956">
        <v>-2.17</v>
      </c>
      <c r="BG2956">
        <v>-1.2</v>
      </c>
      <c r="BH2956">
        <v>-3.08</v>
      </c>
      <c r="BI2956">
        <v>1.19</v>
      </c>
      <c r="BJ2956">
        <v>20210826</v>
      </c>
      <c r="BK2956">
        <v>19960826</v>
      </c>
      <c r="BL2956">
        <v>31.53</v>
      </c>
      <c r="BM2956" t="s">
        <v>120</v>
      </c>
      <c r="BN2956" t="s">
        <v>120</v>
      </c>
      <c r="BO2956">
        <v>1522.44</v>
      </c>
      <c r="BP2956">
        <v>22.96</v>
      </c>
      <c r="BQ2956">
        <v>533.92999999999995</v>
      </c>
      <c r="BR2956">
        <v>60.31</v>
      </c>
      <c r="BS2956">
        <v>60.97</v>
      </c>
      <c r="BT2956">
        <v>930.43</v>
      </c>
      <c r="BU2956">
        <v>239.65</v>
      </c>
      <c r="BV2956">
        <v>39.770000000000003</v>
      </c>
      <c r="BW2956">
        <v>819.98</v>
      </c>
      <c r="BX2956">
        <v>411.88</v>
      </c>
      <c r="BY2956">
        <v>176.64</v>
      </c>
      <c r="BZ2956">
        <v>212.09</v>
      </c>
      <c r="CA2956" t="s">
        <v>120</v>
      </c>
      <c r="CB2956">
        <v>131.62</v>
      </c>
      <c r="CC2956">
        <v>666.11</v>
      </c>
      <c r="CD2956">
        <v>568.89</v>
      </c>
      <c r="CE2956">
        <v>38.14</v>
      </c>
      <c r="CF2956">
        <v>12.99</v>
      </c>
      <c r="CG2956">
        <v>38.409999999999997</v>
      </c>
      <c r="CH2956">
        <v>34.24</v>
      </c>
      <c r="CI2956">
        <v>27.3</v>
      </c>
      <c r="CJ2956">
        <v>-0.57999999999999996</v>
      </c>
      <c r="CK2956">
        <v>21.56</v>
      </c>
      <c r="CL2956">
        <v>308.64</v>
      </c>
      <c r="CM2956">
        <v>72.069999999999993</v>
      </c>
      <c r="CN2956">
        <v>13.12</v>
      </c>
      <c r="CO2956">
        <v>69636</v>
      </c>
      <c r="CP2956">
        <v>18870</v>
      </c>
      <c r="CQ2956" t="s">
        <v>13023</v>
      </c>
      <c r="CR2956">
        <v>108.95</v>
      </c>
      <c r="CS2956">
        <v>24.22</v>
      </c>
      <c r="CT2956">
        <v>1.36</v>
      </c>
      <c r="CU2956">
        <v>10.050000000000001</v>
      </c>
      <c r="CV2956">
        <v>1.0900000000000001</v>
      </c>
      <c r="CW2956">
        <v>3.18</v>
      </c>
      <c r="CX2956" t="s">
        <v>13024</v>
      </c>
      <c r="CY2956">
        <v>16.940000000000001</v>
      </c>
      <c r="CZ2956">
        <v>0</v>
      </c>
      <c r="DA2956">
        <v>4.17</v>
      </c>
      <c r="DB2956">
        <v>9.7899999999999991</v>
      </c>
      <c r="DC2956">
        <v>2.29</v>
      </c>
      <c r="DD2956">
        <v>35.07</v>
      </c>
      <c r="DE2956" t="s">
        <v>4904</v>
      </c>
      <c r="DF2956">
        <v>14.59</v>
      </c>
      <c r="DG2956">
        <v>5.73</v>
      </c>
      <c r="DH2956">
        <v>4.0999999999999996</v>
      </c>
      <c r="DI2956">
        <v>29.4</v>
      </c>
      <c r="DJ2956">
        <v>56583</v>
      </c>
      <c r="DK2956">
        <v>600741</v>
      </c>
      <c r="DL2956" t="s">
        <v>120</v>
      </c>
      <c r="DM2956" t="s">
        <v>120</v>
      </c>
      <c r="DN2956" t="s">
        <v>120</v>
      </c>
    </row>
    <row r="2957" spans="1:118">
      <c r="A2957" t="str">
        <f>"600742"</f>
        <v>600742</v>
      </c>
      <c r="B2957" t="s">
        <v>13025</v>
      </c>
      <c r="C2957">
        <v>-2.2200000000000002</v>
      </c>
      <c r="D2957">
        <v>-0.09</v>
      </c>
      <c r="E2957">
        <v>-0.81</v>
      </c>
      <c r="F2957">
        <v>1550</v>
      </c>
      <c r="G2957" t="s">
        <v>13026</v>
      </c>
      <c r="H2957">
        <v>9929.7099999999991</v>
      </c>
      <c r="I2957">
        <v>118.21</v>
      </c>
      <c r="J2957" t="s">
        <v>120</v>
      </c>
      <c r="K2957" t="s">
        <v>13027</v>
      </c>
      <c r="L2957">
        <v>1.52</v>
      </c>
      <c r="M2957">
        <v>9.67</v>
      </c>
      <c r="N2957">
        <v>0.56000000000000005</v>
      </c>
      <c r="O2957">
        <v>1.01</v>
      </c>
      <c r="P2957">
        <v>9.99</v>
      </c>
      <c r="Q2957">
        <v>-2.4300000000000002</v>
      </c>
      <c r="R2957">
        <v>9.65</v>
      </c>
      <c r="S2957">
        <v>9.81</v>
      </c>
      <c r="T2957">
        <v>101404</v>
      </c>
      <c r="U2957">
        <v>9.68</v>
      </c>
      <c r="V2957">
        <v>9.89</v>
      </c>
      <c r="W2957">
        <v>8.93</v>
      </c>
      <c r="X2957" t="s">
        <v>289</v>
      </c>
      <c r="Y2957" t="s">
        <v>290</v>
      </c>
      <c r="Z2957">
        <v>3.44</v>
      </c>
      <c r="AA2957">
        <v>9.7899999999999991</v>
      </c>
      <c r="AB2957">
        <v>62638</v>
      </c>
      <c r="AC2957">
        <v>38766</v>
      </c>
      <c r="AD2957">
        <v>1.62</v>
      </c>
      <c r="AE2957">
        <v>10</v>
      </c>
      <c r="AF2957">
        <v>150</v>
      </c>
      <c r="AG2957" t="s">
        <v>120</v>
      </c>
      <c r="AH2957">
        <v>0.03</v>
      </c>
      <c r="AI2957" t="s">
        <v>120</v>
      </c>
      <c r="AJ2957">
        <v>6.69</v>
      </c>
      <c r="AK2957" t="s">
        <v>13027</v>
      </c>
      <c r="AL2957">
        <v>-0.88</v>
      </c>
      <c r="AM2957">
        <v>2593</v>
      </c>
      <c r="AN2957">
        <v>39</v>
      </c>
      <c r="AO2957">
        <v>5.9999999999999995E-4</v>
      </c>
      <c r="AP2957">
        <v>-1</v>
      </c>
      <c r="AQ2957">
        <v>1.85</v>
      </c>
      <c r="AR2957">
        <v>-3.01</v>
      </c>
      <c r="AS2957">
        <v>7.45</v>
      </c>
      <c r="AT2957">
        <v>-3.2</v>
      </c>
      <c r="AU2957">
        <v>-0.72</v>
      </c>
      <c r="AV2957">
        <v>0</v>
      </c>
      <c r="AW2957">
        <v>2.4500000000000002</v>
      </c>
      <c r="AX2957">
        <v>61.93</v>
      </c>
      <c r="AY2957">
        <v>8.68</v>
      </c>
      <c r="AZ2957">
        <v>10.72</v>
      </c>
      <c r="BA2957">
        <v>0.86</v>
      </c>
      <c r="BB2957" t="s">
        <v>184</v>
      </c>
      <c r="BF2957">
        <v>-0.99</v>
      </c>
      <c r="BG2957">
        <v>-1.43</v>
      </c>
      <c r="BH2957">
        <v>-3.2</v>
      </c>
      <c r="BI2957">
        <v>0.21</v>
      </c>
      <c r="BJ2957">
        <v>20210816</v>
      </c>
      <c r="BK2957">
        <v>19960826</v>
      </c>
      <c r="BL2957">
        <v>6.69</v>
      </c>
      <c r="BM2957" t="s">
        <v>120</v>
      </c>
      <c r="BN2957" t="s">
        <v>120</v>
      </c>
      <c r="BO2957">
        <v>187.62</v>
      </c>
      <c r="BP2957">
        <v>9.67</v>
      </c>
      <c r="BQ2957">
        <v>64.87</v>
      </c>
      <c r="BR2957">
        <v>14.59</v>
      </c>
      <c r="BS2957">
        <v>57.65</v>
      </c>
      <c r="BT2957">
        <v>116.16</v>
      </c>
      <c r="BU2957">
        <v>31.46</v>
      </c>
      <c r="BV2957">
        <v>4.0199999999999996</v>
      </c>
      <c r="BW2957">
        <v>103.12</v>
      </c>
      <c r="BX2957">
        <v>50.89</v>
      </c>
      <c r="BY2957">
        <v>6.25</v>
      </c>
      <c r="BZ2957">
        <v>36.94</v>
      </c>
      <c r="CA2957">
        <v>0.01</v>
      </c>
      <c r="CB2957">
        <v>5.76</v>
      </c>
      <c r="CC2957">
        <v>100.08</v>
      </c>
      <c r="CD2957">
        <v>90.39</v>
      </c>
      <c r="CE2957">
        <v>6.13</v>
      </c>
      <c r="CF2957">
        <v>1.92</v>
      </c>
      <c r="CG2957">
        <v>6.17</v>
      </c>
      <c r="CH2957">
        <v>5.36</v>
      </c>
      <c r="CI2957">
        <v>3.62</v>
      </c>
      <c r="CJ2957">
        <v>-0.22</v>
      </c>
      <c r="CK2957">
        <v>3.5</v>
      </c>
      <c r="CL2957">
        <v>43.62</v>
      </c>
      <c r="CM2957">
        <v>13.48</v>
      </c>
      <c r="CN2957">
        <v>6.78</v>
      </c>
      <c r="CO2957">
        <v>24284</v>
      </c>
      <c r="CP2957">
        <v>17064</v>
      </c>
      <c r="CQ2957" t="s">
        <v>5496</v>
      </c>
      <c r="CR2957">
        <v>66.66</v>
      </c>
      <c r="CS2957">
        <v>24.12</v>
      </c>
      <c r="CT2957">
        <v>1</v>
      </c>
      <c r="CU2957">
        <v>4.8</v>
      </c>
      <c r="CV2957">
        <v>0.65</v>
      </c>
      <c r="CW2957">
        <v>3.03</v>
      </c>
      <c r="CX2957" t="s">
        <v>8066</v>
      </c>
      <c r="CY2957">
        <v>9.69</v>
      </c>
      <c r="CZ2957">
        <v>0</v>
      </c>
      <c r="DA2957">
        <v>0.86</v>
      </c>
      <c r="DB2957">
        <v>6.52</v>
      </c>
      <c r="DC2957">
        <v>2.0099999999999998</v>
      </c>
      <c r="DD2957">
        <v>34.57</v>
      </c>
      <c r="DE2957" t="s">
        <v>7117</v>
      </c>
      <c r="DF2957">
        <v>9.68</v>
      </c>
      <c r="DG2957">
        <v>6.12</v>
      </c>
      <c r="DH2957">
        <v>3.62</v>
      </c>
      <c r="DI2957">
        <v>1.75</v>
      </c>
      <c r="DJ2957">
        <v>14173</v>
      </c>
      <c r="DK2957">
        <v>600742</v>
      </c>
      <c r="DL2957" t="s">
        <v>120</v>
      </c>
      <c r="DM2957" t="s">
        <v>120</v>
      </c>
      <c r="DN2957" t="s">
        <v>120</v>
      </c>
    </row>
    <row r="2958" spans="1:118">
      <c r="A2958" t="str">
        <f>"600743"</f>
        <v>600743</v>
      </c>
      <c r="B2958" t="s">
        <v>13028</v>
      </c>
      <c r="C2958">
        <v>-0.5</v>
      </c>
      <c r="D2958">
        <v>0</v>
      </c>
      <c r="E2958">
        <v>1</v>
      </c>
      <c r="F2958">
        <v>416</v>
      </c>
      <c r="G2958" t="s">
        <v>8028</v>
      </c>
      <c r="H2958">
        <v>2546.84</v>
      </c>
      <c r="I2958">
        <v>15.59</v>
      </c>
      <c r="J2958" t="s">
        <v>120</v>
      </c>
      <c r="K2958" t="s">
        <v>3671</v>
      </c>
      <c r="L2958">
        <v>0.54</v>
      </c>
      <c r="M2958">
        <v>1.99</v>
      </c>
      <c r="N2958">
        <v>1.04</v>
      </c>
      <c r="O2958">
        <v>2</v>
      </c>
      <c r="P2958">
        <v>2.04</v>
      </c>
      <c r="Q2958">
        <v>-1</v>
      </c>
      <c r="R2958">
        <v>1.98</v>
      </c>
      <c r="S2958">
        <v>2.02</v>
      </c>
      <c r="T2958">
        <v>126372</v>
      </c>
      <c r="U2958">
        <v>1.99</v>
      </c>
      <c r="V2958">
        <v>2</v>
      </c>
      <c r="W2958">
        <v>40.340000000000003</v>
      </c>
      <c r="X2958" t="s">
        <v>150</v>
      </c>
      <c r="Y2958" t="s">
        <v>158</v>
      </c>
      <c r="Z2958">
        <v>3</v>
      </c>
      <c r="AA2958">
        <v>2.02</v>
      </c>
      <c r="AB2958">
        <v>64603</v>
      </c>
      <c r="AC2958">
        <v>61769</v>
      </c>
      <c r="AD2958">
        <v>1.05</v>
      </c>
      <c r="AE2958">
        <v>1783</v>
      </c>
      <c r="AF2958">
        <v>967</v>
      </c>
      <c r="AG2958" t="s">
        <v>120</v>
      </c>
      <c r="AH2958">
        <v>0.01</v>
      </c>
      <c r="AI2958" t="s">
        <v>120</v>
      </c>
      <c r="AJ2958">
        <v>23.46</v>
      </c>
      <c r="AK2958" t="s">
        <v>3671</v>
      </c>
      <c r="AL2958">
        <v>0.84</v>
      </c>
      <c r="AM2958">
        <v>837</v>
      </c>
      <c r="AN2958">
        <v>151</v>
      </c>
      <c r="AO2958">
        <v>5.9999999999999995E-4</v>
      </c>
      <c r="AP2958">
        <v>-1</v>
      </c>
      <c r="AQ2958">
        <v>0.5</v>
      </c>
      <c r="AR2958">
        <v>-1.97</v>
      </c>
      <c r="AS2958">
        <v>6.99</v>
      </c>
      <c r="AT2958">
        <v>-0.5</v>
      </c>
      <c r="AU2958">
        <v>-5.68</v>
      </c>
      <c r="AV2958">
        <v>0</v>
      </c>
      <c r="AW2958">
        <v>1.37</v>
      </c>
      <c r="AX2958">
        <v>39.35</v>
      </c>
      <c r="AY2958">
        <v>15.71</v>
      </c>
      <c r="AZ2958">
        <v>11.33</v>
      </c>
      <c r="BA2958">
        <v>0.42</v>
      </c>
      <c r="BB2958" t="s">
        <v>143</v>
      </c>
      <c r="BF2958">
        <v>0.77</v>
      </c>
      <c r="BG2958">
        <v>-1.49</v>
      </c>
      <c r="BH2958">
        <v>-2.4500000000000002</v>
      </c>
      <c r="BI2958">
        <v>0.51</v>
      </c>
      <c r="BJ2958">
        <v>20210830</v>
      </c>
      <c r="BK2958">
        <v>19960909</v>
      </c>
      <c r="BL2958">
        <v>23.46</v>
      </c>
      <c r="BM2958" t="s">
        <v>120</v>
      </c>
      <c r="BN2958" t="s">
        <v>120</v>
      </c>
      <c r="BO2958">
        <v>620.96</v>
      </c>
      <c r="BP2958">
        <v>1.98</v>
      </c>
      <c r="BQ2958">
        <v>96.13</v>
      </c>
      <c r="BR2958">
        <v>7.91</v>
      </c>
      <c r="BS2958">
        <v>83.25</v>
      </c>
      <c r="BT2958">
        <v>578.88</v>
      </c>
      <c r="BU2958">
        <v>17.23</v>
      </c>
      <c r="BV2958">
        <v>0.4</v>
      </c>
      <c r="BW2958">
        <v>368.98</v>
      </c>
      <c r="BX2958">
        <v>69.45</v>
      </c>
      <c r="BY2958">
        <v>458.49</v>
      </c>
      <c r="BZ2958">
        <v>0.43</v>
      </c>
      <c r="CA2958">
        <v>4.07</v>
      </c>
      <c r="CB2958">
        <v>12.84</v>
      </c>
      <c r="CC2958">
        <v>32.04</v>
      </c>
      <c r="CD2958">
        <v>27.16</v>
      </c>
      <c r="CE2958">
        <v>1.04</v>
      </c>
      <c r="CF2958">
        <v>0.56999999999999995</v>
      </c>
      <c r="CG2958">
        <v>1.69</v>
      </c>
      <c r="CH2958">
        <v>0.76</v>
      </c>
      <c r="CI2958">
        <v>0.57999999999999996</v>
      </c>
      <c r="CJ2958">
        <v>-0.01</v>
      </c>
      <c r="CK2958">
        <v>-0.44</v>
      </c>
      <c r="CL2958">
        <v>43.25</v>
      </c>
      <c r="CM2958">
        <v>14.14</v>
      </c>
      <c r="CN2958">
        <v>-4.0199999999999996</v>
      </c>
      <c r="CO2958">
        <v>42580</v>
      </c>
      <c r="CP2958">
        <v>21684</v>
      </c>
      <c r="CQ2958" t="s">
        <v>1796</v>
      </c>
      <c r="CR2958">
        <v>-66.61</v>
      </c>
      <c r="CS2958">
        <v>143.29</v>
      </c>
      <c r="CT2958">
        <v>0.56000000000000005</v>
      </c>
      <c r="CU2958">
        <v>3.3</v>
      </c>
      <c r="CV2958">
        <v>1.46</v>
      </c>
      <c r="CW2958">
        <v>3</v>
      </c>
      <c r="CX2958" t="s">
        <v>2074</v>
      </c>
      <c r="CY2958">
        <v>3.57</v>
      </c>
      <c r="CZ2958">
        <v>3.57</v>
      </c>
      <c r="DA2958">
        <v>0.55000000000000004</v>
      </c>
      <c r="DB2958">
        <v>1.84</v>
      </c>
      <c r="DC2958">
        <v>0.6</v>
      </c>
      <c r="DD2958">
        <v>15.48</v>
      </c>
      <c r="DE2958" t="s">
        <v>2328</v>
      </c>
      <c r="DF2958">
        <v>15.22</v>
      </c>
      <c r="DG2958">
        <v>3.25</v>
      </c>
      <c r="DH2958">
        <v>1.81</v>
      </c>
      <c r="DI2958" t="s">
        <v>120</v>
      </c>
      <c r="DJ2958">
        <v>847</v>
      </c>
      <c r="DK2958">
        <v>600743</v>
      </c>
      <c r="DL2958" t="s">
        <v>120</v>
      </c>
      <c r="DM2958" t="s">
        <v>120</v>
      </c>
      <c r="DN2958" t="s">
        <v>120</v>
      </c>
    </row>
    <row r="2959" spans="1:118">
      <c r="A2959" t="str">
        <f>"600744"</f>
        <v>600744</v>
      </c>
      <c r="B2959" t="s">
        <v>13029</v>
      </c>
      <c r="C2959">
        <v>-5.87</v>
      </c>
      <c r="D2959">
        <v>0</v>
      </c>
      <c r="E2959">
        <v>-1.2</v>
      </c>
      <c r="F2959">
        <v>5680</v>
      </c>
      <c r="G2959" t="s">
        <v>13030</v>
      </c>
      <c r="H2959">
        <v>47701.98</v>
      </c>
      <c r="I2959">
        <v>92.2</v>
      </c>
      <c r="J2959" t="s">
        <v>120</v>
      </c>
      <c r="K2959" t="s">
        <v>8998</v>
      </c>
      <c r="L2959">
        <v>7.97</v>
      </c>
      <c r="M2959">
        <v>7.05</v>
      </c>
      <c r="N2959">
        <v>0.78</v>
      </c>
      <c r="O2959">
        <v>0</v>
      </c>
      <c r="P2959">
        <v>7.49</v>
      </c>
      <c r="Q2959">
        <v>-5.87</v>
      </c>
      <c r="R2959">
        <v>7.05</v>
      </c>
      <c r="S2959">
        <v>7.4</v>
      </c>
      <c r="T2959">
        <v>659547</v>
      </c>
      <c r="U2959">
        <v>7.06</v>
      </c>
      <c r="V2959">
        <v>7.49</v>
      </c>
      <c r="W2959" t="s">
        <v>120</v>
      </c>
      <c r="X2959" t="s">
        <v>268</v>
      </c>
      <c r="Y2959" t="s">
        <v>594</v>
      </c>
      <c r="Z2959">
        <v>5.87</v>
      </c>
      <c r="AA2959">
        <v>7.23</v>
      </c>
      <c r="AB2959">
        <v>386682</v>
      </c>
      <c r="AC2959">
        <v>272865</v>
      </c>
      <c r="AD2959">
        <v>1.42</v>
      </c>
      <c r="AE2959">
        <v>4211</v>
      </c>
      <c r="AF2959">
        <v>1722</v>
      </c>
      <c r="AG2959" t="s">
        <v>120</v>
      </c>
      <c r="AH2959">
        <v>0.02</v>
      </c>
      <c r="AI2959" t="s">
        <v>120</v>
      </c>
      <c r="AJ2959">
        <v>8.2799999999999994</v>
      </c>
      <c r="AK2959" t="s">
        <v>4075</v>
      </c>
      <c r="AL2959">
        <v>-4.53</v>
      </c>
      <c r="AM2959">
        <v>4622</v>
      </c>
      <c r="AN2959">
        <v>143</v>
      </c>
      <c r="AO2959">
        <v>1.6999999999999999E-3</v>
      </c>
      <c r="AP2959">
        <v>-1</v>
      </c>
      <c r="AQ2959">
        <v>0.4</v>
      </c>
      <c r="AR2959">
        <v>-6.13</v>
      </c>
      <c r="AS2959">
        <v>-1.95</v>
      </c>
      <c r="AT2959">
        <v>-16.37</v>
      </c>
      <c r="AU2959">
        <v>127.42</v>
      </c>
      <c r="AV2959">
        <v>27</v>
      </c>
      <c r="AW2959">
        <v>10.43</v>
      </c>
      <c r="AX2959">
        <v>35.51</v>
      </c>
      <c r="AY2959" t="s">
        <v>120</v>
      </c>
      <c r="AZ2959">
        <v>385.09</v>
      </c>
      <c r="BA2959">
        <v>0.7</v>
      </c>
      <c r="BB2959" t="s">
        <v>125</v>
      </c>
      <c r="BF2959">
        <v>-3.44</v>
      </c>
      <c r="BG2959">
        <v>-4.7300000000000004</v>
      </c>
      <c r="BH2959">
        <v>-5.87</v>
      </c>
      <c r="BI2959">
        <v>0</v>
      </c>
      <c r="BJ2959">
        <v>20210831</v>
      </c>
      <c r="BK2959">
        <v>19960905</v>
      </c>
      <c r="BL2959">
        <v>17.809999999999999</v>
      </c>
      <c r="BM2959" t="s">
        <v>120</v>
      </c>
      <c r="BN2959" t="s">
        <v>120</v>
      </c>
      <c r="BO2959">
        <v>171.19</v>
      </c>
      <c r="BP2959">
        <v>7.05</v>
      </c>
      <c r="BQ2959">
        <v>27.66</v>
      </c>
      <c r="BR2959">
        <v>-0.78</v>
      </c>
      <c r="BS2959">
        <v>84.29</v>
      </c>
      <c r="BT2959">
        <v>41.84</v>
      </c>
      <c r="BU2959">
        <v>102.38</v>
      </c>
      <c r="BV2959">
        <v>7.75</v>
      </c>
      <c r="BW2959">
        <v>80.02</v>
      </c>
      <c r="BX2959">
        <v>2.11</v>
      </c>
      <c r="BY2959">
        <v>6.95</v>
      </c>
      <c r="BZ2959">
        <v>18.3</v>
      </c>
      <c r="CA2959" t="s">
        <v>120</v>
      </c>
      <c r="CB2959">
        <v>48.57</v>
      </c>
      <c r="CC2959">
        <v>40.46</v>
      </c>
      <c r="CD2959">
        <v>39.43</v>
      </c>
      <c r="CE2959">
        <v>-2.4900000000000002</v>
      </c>
      <c r="CF2959">
        <v>0.08</v>
      </c>
      <c r="CG2959">
        <v>-2.4500000000000002</v>
      </c>
      <c r="CH2959">
        <v>-2.67</v>
      </c>
      <c r="CI2959">
        <v>-2.73</v>
      </c>
      <c r="CJ2959">
        <v>-0.44</v>
      </c>
      <c r="CK2959">
        <v>-2.82</v>
      </c>
      <c r="CL2959">
        <v>-39.630000000000003</v>
      </c>
      <c r="CM2959">
        <v>-0.8</v>
      </c>
      <c r="CN2959">
        <v>-11.39</v>
      </c>
      <c r="CO2959">
        <v>195424</v>
      </c>
      <c r="CP2959">
        <v>3237</v>
      </c>
      <c r="CQ2959" t="s">
        <v>13031</v>
      </c>
      <c r="CR2959">
        <v>-65.75</v>
      </c>
      <c r="CS2959">
        <v>21.45</v>
      </c>
      <c r="CT2959">
        <v>4.54</v>
      </c>
      <c r="CU2959">
        <v>-156.82</v>
      </c>
      <c r="CV2959">
        <v>3.1</v>
      </c>
      <c r="CW2959">
        <v>0</v>
      </c>
      <c r="CX2959" t="s">
        <v>795</v>
      </c>
      <c r="CY2959">
        <v>1.55</v>
      </c>
      <c r="CZ2959">
        <v>0</v>
      </c>
      <c r="DA2959">
        <v>2.73</v>
      </c>
      <c r="DB2959">
        <v>-2.2200000000000002</v>
      </c>
      <c r="DC2959">
        <v>-0.04</v>
      </c>
      <c r="DD2959">
        <v>16.16</v>
      </c>
      <c r="DE2959" t="s">
        <v>13032</v>
      </c>
      <c r="DF2959">
        <v>2.5499999999999998</v>
      </c>
      <c r="DG2959">
        <v>-6.15</v>
      </c>
      <c r="DH2959">
        <v>-6.75</v>
      </c>
      <c r="DI2959">
        <v>0.09</v>
      </c>
      <c r="DJ2959">
        <v>5752</v>
      </c>
      <c r="DK2959">
        <v>600744</v>
      </c>
      <c r="DL2959" t="s">
        <v>120</v>
      </c>
      <c r="DM2959" t="s">
        <v>120</v>
      </c>
      <c r="DN2959" t="s">
        <v>120</v>
      </c>
    </row>
    <row r="2960" spans="1:118">
      <c r="A2960" t="str">
        <f>"600745"</f>
        <v>600745</v>
      </c>
      <c r="B2960" t="s">
        <v>13033</v>
      </c>
      <c r="C2960">
        <v>-3.5</v>
      </c>
      <c r="D2960">
        <v>0.02</v>
      </c>
      <c r="E2960">
        <v>-0.03</v>
      </c>
      <c r="F2960">
        <v>1523</v>
      </c>
      <c r="G2960" t="s">
        <v>13034</v>
      </c>
      <c r="H2960">
        <v>120755.07</v>
      </c>
      <c r="I2960">
        <v>394.21</v>
      </c>
      <c r="J2960" t="s">
        <v>120</v>
      </c>
      <c r="K2960" t="s">
        <v>13035</v>
      </c>
      <c r="L2960">
        <v>1.3</v>
      </c>
      <c r="M2960">
        <v>97.57</v>
      </c>
      <c r="N2960">
        <v>0.95</v>
      </c>
      <c r="O2960">
        <v>1.77</v>
      </c>
      <c r="P2960">
        <v>102.9</v>
      </c>
      <c r="Q2960">
        <v>-3.75</v>
      </c>
      <c r="R2960">
        <v>97.32</v>
      </c>
      <c r="S2960">
        <v>101.08</v>
      </c>
      <c r="T2960">
        <v>121667</v>
      </c>
      <c r="U2960">
        <v>97.58</v>
      </c>
      <c r="V2960">
        <v>101.11</v>
      </c>
      <c r="W2960">
        <v>49.28</v>
      </c>
      <c r="X2960" t="s">
        <v>462</v>
      </c>
      <c r="Y2960" t="s">
        <v>763</v>
      </c>
      <c r="Z2960">
        <v>5.52</v>
      </c>
      <c r="AA2960">
        <v>99.25</v>
      </c>
      <c r="AB2960">
        <v>68088</v>
      </c>
      <c r="AC2960">
        <v>53579</v>
      </c>
      <c r="AD2960">
        <v>1.27</v>
      </c>
      <c r="AE2960">
        <v>7</v>
      </c>
      <c r="AF2960">
        <v>72</v>
      </c>
      <c r="AG2960" t="s">
        <v>120</v>
      </c>
      <c r="AH2960">
        <v>0.01</v>
      </c>
      <c r="AI2960" t="s">
        <v>120</v>
      </c>
      <c r="AJ2960">
        <v>9.35</v>
      </c>
      <c r="AK2960" t="s">
        <v>13036</v>
      </c>
      <c r="AL2960">
        <v>-2.16</v>
      </c>
      <c r="AM2960">
        <v>4614</v>
      </c>
      <c r="AN2960">
        <v>26</v>
      </c>
      <c r="AO2960">
        <v>2.9999999999999997E-4</v>
      </c>
      <c r="AP2960">
        <v>-4</v>
      </c>
      <c r="AQ2960">
        <v>-2.52</v>
      </c>
      <c r="AR2960">
        <v>-8.0399999999999991</v>
      </c>
      <c r="AS2960">
        <v>-5.38</v>
      </c>
      <c r="AT2960">
        <v>5.44</v>
      </c>
      <c r="AU2960">
        <v>-1.28</v>
      </c>
      <c r="AV2960">
        <v>4</v>
      </c>
      <c r="AW2960">
        <v>1.81</v>
      </c>
      <c r="AX2960">
        <v>54.13</v>
      </c>
      <c r="AY2960">
        <v>64.680000000000007</v>
      </c>
      <c r="AZ2960">
        <v>52.12</v>
      </c>
      <c r="BA2960">
        <v>0.87</v>
      </c>
      <c r="BB2960" t="s">
        <v>143</v>
      </c>
      <c r="BF2960">
        <v>-1.84</v>
      </c>
      <c r="BG2960">
        <v>-3.47</v>
      </c>
      <c r="BH2960">
        <v>-5.18</v>
      </c>
      <c r="BI2960">
        <v>0.26</v>
      </c>
      <c r="BJ2960">
        <v>20210828</v>
      </c>
      <c r="BK2960">
        <v>19960828</v>
      </c>
      <c r="BL2960">
        <v>12.45</v>
      </c>
      <c r="BM2960" t="s">
        <v>120</v>
      </c>
      <c r="BN2960" t="s">
        <v>120</v>
      </c>
      <c r="BO2960">
        <v>617.41999999999996</v>
      </c>
      <c r="BP2960">
        <v>97.57</v>
      </c>
      <c r="BQ2960">
        <v>304.35000000000002</v>
      </c>
      <c r="BR2960">
        <v>8.92</v>
      </c>
      <c r="BS2960">
        <v>49.26</v>
      </c>
      <c r="BT2960">
        <v>234.79</v>
      </c>
      <c r="BU2960">
        <v>55.78</v>
      </c>
      <c r="BV2960">
        <v>41.68</v>
      </c>
      <c r="BW2960">
        <v>223.53</v>
      </c>
      <c r="BX2960">
        <v>42.32</v>
      </c>
      <c r="BY2960">
        <v>63.14</v>
      </c>
      <c r="BZ2960">
        <v>71.319999999999993</v>
      </c>
      <c r="CA2960" t="s">
        <v>120</v>
      </c>
      <c r="CB2960">
        <v>246.52</v>
      </c>
      <c r="CC2960">
        <v>247.69</v>
      </c>
      <c r="CD2960">
        <v>207.6</v>
      </c>
      <c r="CE2960">
        <v>14.51</v>
      </c>
      <c r="CF2960">
        <v>0.32</v>
      </c>
      <c r="CG2960">
        <v>14.49</v>
      </c>
      <c r="CH2960">
        <v>12.1</v>
      </c>
      <c r="CI2960">
        <v>12.32</v>
      </c>
      <c r="CJ2960">
        <v>-3.54</v>
      </c>
      <c r="CK2960">
        <v>11.82</v>
      </c>
      <c r="CL2960">
        <v>48.97</v>
      </c>
      <c r="CM2960">
        <v>-8.31</v>
      </c>
      <c r="CN2960">
        <v>-26.39</v>
      </c>
      <c r="CO2960">
        <v>169102</v>
      </c>
      <c r="CP2960">
        <v>3985</v>
      </c>
      <c r="CQ2960" t="s">
        <v>13037</v>
      </c>
      <c r="CR2960">
        <v>-27.56</v>
      </c>
      <c r="CS2960">
        <v>2.7</v>
      </c>
      <c r="CT2960">
        <v>3.99</v>
      </c>
      <c r="CU2960">
        <v>-146.28</v>
      </c>
      <c r="CV2960">
        <v>4.9000000000000004</v>
      </c>
      <c r="CW2960">
        <v>0.16</v>
      </c>
      <c r="CX2960" t="s">
        <v>10628</v>
      </c>
      <c r="CY2960">
        <v>24.44</v>
      </c>
      <c r="CZ2960">
        <v>0</v>
      </c>
      <c r="DA2960">
        <v>19.8</v>
      </c>
      <c r="DB2960">
        <v>3.93</v>
      </c>
      <c r="DC2960">
        <v>-0.67</v>
      </c>
      <c r="DD2960">
        <v>49.29</v>
      </c>
      <c r="DE2960" t="s">
        <v>3624</v>
      </c>
      <c r="DF2960">
        <v>16.18</v>
      </c>
      <c r="DG2960">
        <v>5.86</v>
      </c>
      <c r="DH2960">
        <v>4.9800000000000004</v>
      </c>
      <c r="DI2960">
        <v>11.31</v>
      </c>
      <c r="DJ2960">
        <v>25096</v>
      </c>
      <c r="DK2960">
        <v>600745</v>
      </c>
      <c r="DL2960" t="s">
        <v>120</v>
      </c>
      <c r="DM2960" t="s">
        <v>120</v>
      </c>
      <c r="DN2960" t="s">
        <v>120</v>
      </c>
    </row>
    <row r="2961" spans="1:118">
      <c r="A2961" t="str">
        <f>"600746"</f>
        <v>600746</v>
      </c>
      <c r="B2961" t="s">
        <v>13038</v>
      </c>
      <c r="C2961">
        <v>-2.58</v>
      </c>
      <c r="D2961">
        <v>-0.03</v>
      </c>
      <c r="E2961">
        <v>2.15</v>
      </c>
      <c r="F2961">
        <v>1672</v>
      </c>
      <c r="G2961" t="s">
        <v>3427</v>
      </c>
      <c r="H2961">
        <v>48764.1</v>
      </c>
      <c r="I2961">
        <v>1066.51</v>
      </c>
      <c r="J2961" t="s">
        <v>120</v>
      </c>
      <c r="K2961" t="s">
        <v>13039</v>
      </c>
      <c r="L2961">
        <v>6.84</v>
      </c>
      <c r="M2961">
        <v>22.69</v>
      </c>
      <c r="N2961">
        <v>1.01</v>
      </c>
      <c r="O2961">
        <v>3.69</v>
      </c>
      <c r="P2961">
        <v>24.15</v>
      </c>
      <c r="Q2961">
        <v>-2.96</v>
      </c>
      <c r="R2961">
        <v>22.6</v>
      </c>
      <c r="S2961">
        <v>23.79</v>
      </c>
      <c r="T2961">
        <v>208398</v>
      </c>
      <c r="U2961">
        <v>22.7</v>
      </c>
      <c r="V2961">
        <v>23.29</v>
      </c>
      <c r="W2961">
        <v>8.81</v>
      </c>
      <c r="X2961" t="s">
        <v>868</v>
      </c>
      <c r="Y2961" t="s">
        <v>319</v>
      </c>
      <c r="Z2961">
        <v>6.66</v>
      </c>
      <c r="AA2961">
        <v>23.4</v>
      </c>
      <c r="AB2961">
        <v>105189</v>
      </c>
      <c r="AC2961">
        <v>103209</v>
      </c>
      <c r="AD2961">
        <v>1.02</v>
      </c>
      <c r="AE2961">
        <v>176</v>
      </c>
      <c r="AF2961">
        <v>409</v>
      </c>
      <c r="AG2961" t="s">
        <v>120</v>
      </c>
      <c r="AH2961">
        <v>0.35</v>
      </c>
      <c r="AI2961" t="s">
        <v>120</v>
      </c>
      <c r="AJ2961">
        <v>3.05</v>
      </c>
      <c r="AK2961" t="s">
        <v>13040</v>
      </c>
      <c r="AL2961">
        <v>-1.23</v>
      </c>
      <c r="AM2961">
        <v>4156</v>
      </c>
      <c r="AN2961">
        <v>50</v>
      </c>
      <c r="AO2961">
        <v>1.6000000000000001E-3</v>
      </c>
      <c r="AP2961">
        <v>-1</v>
      </c>
      <c r="AQ2961">
        <v>3.93</v>
      </c>
      <c r="AR2961">
        <v>-4.3</v>
      </c>
      <c r="AS2961">
        <v>2.95</v>
      </c>
      <c r="AT2961">
        <v>41.11</v>
      </c>
      <c r="AU2961">
        <v>269.55</v>
      </c>
      <c r="AV2961">
        <v>17</v>
      </c>
      <c r="AW2961">
        <v>16.079999999999998</v>
      </c>
      <c r="AX2961">
        <v>11.1</v>
      </c>
      <c r="AY2961">
        <v>15.75</v>
      </c>
      <c r="AZ2961">
        <v>117.59</v>
      </c>
      <c r="BA2961">
        <v>1.39</v>
      </c>
      <c r="BB2961" t="s">
        <v>143</v>
      </c>
      <c r="BF2961">
        <v>0.47</v>
      </c>
      <c r="BG2961">
        <v>-4.62</v>
      </c>
      <c r="BH2961">
        <v>-6.05</v>
      </c>
      <c r="BI2961">
        <v>0.4</v>
      </c>
      <c r="BJ2961">
        <v>20210817</v>
      </c>
      <c r="BK2961">
        <v>19960918</v>
      </c>
      <c r="BL2961">
        <v>11.68</v>
      </c>
      <c r="BM2961" t="s">
        <v>120</v>
      </c>
      <c r="BN2961" t="s">
        <v>120</v>
      </c>
      <c r="BO2961">
        <v>58.84</v>
      </c>
      <c r="BP2961">
        <v>22.69</v>
      </c>
      <c r="BQ2961">
        <v>52.4</v>
      </c>
      <c r="BR2961" t="s">
        <v>120</v>
      </c>
      <c r="BS2961">
        <v>10.95</v>
      </c>
      <c r="BT2961">
        <v>31.21</v>
      </c>
      <c r="BU2961">
        <v>19.7</v>
      </c>
      <c r="BV2961">
        <v>2.44</v>
      </c>
      <c r="BW2961">
        <v>5.98</v>
      </c>
      <c r="BX2961">
        <v>10.75</v>
      </c>
      <c r="BY2961">
        <v>3.88</v>
      </c>
      <c r="BZ2961">
        <v>1.65</v>
      </c>
      <c r="CA2961" t="s">
        <v>120</v>
      </c>
      <c r="CB2961">
        <v>23.97</v>
      </c>
      <c r="CC2961">
        <v>39.18</v>
      </c>
      <c r="CD2961">
        <v>19.690000000000001</v>
      </c>
      <c r="CE2961">
        <v>17.7</v>
      </c>
      <c r="CF2961">
        <v>0.01</v>
      </c>
      <c r="CG2961">
        <v>17.7</v>
      </c>
      <c r="CH2961">
        <v>15.04</v>
      </c>
      <c r="CI2961">
        <v>15.04</v>
      </c>
      <c r="CJ2961">
        <v>-0.6</v>
      </c>
      <c r="CK2961">
        <v>15.01</v>
      </c>
      <c r="CL2961">
        <v>15.64</v>
      </c>
      <c r="CM2961">
        <v>9.89</v>
      </c>
      <c r="CN2961">
        <v>6.41</v>
      </c>
      <c r="CO2961">
        <v>21623</v>
      </c>
      <c r="CP2961">
        <v>5993</v>
      </c>
      <c r="CQ2961" t="s">
        <v>7004</v>
      </c>
      <c r="CR2961">
        <v>17594.53</v>
      </c>
      <c r="CS2961">
        <v>161.01</v>
      </c>
      <c r="CT2961">
        <v>5.0599999999999996</v>
      </c>
      <c r="CU2961">
        <v>26.79</v>
      </c>
      <c r="CV2961">
        <v>6.76</v>
      </c>
      <c r="CW2961">
        <v>0.73</v>
      </c>
      <c r="CX2961" t="s">
        <v>13041</v>
      </c>
      <c r="CY2961">
        <v>4.49</v>
      </c>
      <c r="CZ2961">
        <v>0</v>
      </c>
      <c r="DA2961">
        <v>2.0499999999999998</v>
      </c>
      <c r="DB2961">
        <v>1.34</v>
      </c>
      <c r="DC2961">
        <v>0.85</v>
      </c>
      <c r="DD2961">
        <v>89.05</v>
      </c>
      <c r="DE2961" t="s">
        <v>13042</v>
      </c>
      <c r="DF2961">
        <v>49.75</v>
      </c>
      <c r="DG2961">
        <v>45.16</v>
      </c>
      <c r="DH2961">
        <v>38.39</v>
      </c>
      <c r="DI2961">
        <v>0.93</v>
      </c>
      <c r="DJ2961">
        <v>1312</v>
      </c>
      <c r="DK2961">
        <v>600746</v>
      </c>
      <c r="DL2961">
        <v>20210712</v>
      </c>
      <c r="DM2961">
        <v>17.559999999999999</v>
      </c>
      <c r="DN2961">
        <v>29.21</v>
      </c>
    </row>
    <row r="2962" spans="1:118">
      <c r="A2962" t="str">
        <f>"600748"</f>
        <v>600748</v>
      </c>
      <c r="B2962" t="s">
        <v>13043</v>
      </c>
      <c r="C2962">
        <v>-1.66</v>
      </c>
      <c r="D2962">
        <v>0</v>
      </c>
      <c r="E2962">
        <v>-0.24</v>
      </c>
      <c r="F2962">
        <v>1677</v>
      </c>
      <c r="G2962" t="s">
        <v>13044</v>
      </c>
      <c r="H2962">
        <v>5140.53</v>
      </c>
      <c r="I2962">
        <v>38.89</v>
      </c>
      <c r="J2962" t="s">
        <v>120</v>
      </c>
      <c r="K2962" t="s">
        <v>13045</v>
      </c>
      <c r="L2962">
        <v>0.66</v>
      </c>
      <c r="M2962">
        <v>4.1399999999999997</v>
      </c>
      <c r="N2962">
        <v>1.06</v>
      </c>
      <c r="O2962">
        <v>1.66</v>
      </c>
      <c r="P2962">
        <v>4.28</v>
      </c>
      <c r="Q2962">
        <v>-1.9</v>
      </c>
      <c r="R2962">
        <v>4.13</v>
      </c>
      <c r="S2962">
        <v>4.2</v>
      </c>
      <c r="T2962">
        <v>122275</v>
      </c>
      <c r="U2962">
        <v>4.1500000000000004</v>
      </c>
      <c r="V2962">
        <v>4.21</v>
      </c>
      <c r="W2962">
        <v>11.1</v>
      </c>
      <c r="X2962" t="s">
        <v>132</v>
      </c>
      <c r="Y2962" t="s">
        <v>1510</v>
      </c>
      <c r="Z2962">
        <v>3.56</v>
      </c>
      <c r="AA2962">
        <v>4.2</v>
      </c>
      <c r="AB2962">
        <v>75102</v>
      </c>
      <c r="AC2962">
        <v>47173</v>
      </c>
      <c r="AD2962">
        <v>1.59</v>
      </c>
      <c r="AE2962">
        <v>1041</v>
      </c>
      <c r="AF2962">
        <v>339</v>
      </c>
      <c r="AG2962" t="s">
        <v>120</v>
      </c>
      <c r="AH2962">
        <v>0.01</v>
      </c>
      <c r="AI2962" t="s">
        <v>120</v>
      </c>
      <c r="AJ2962">
        <v>18.45</v>
      </c>
      <c r="AK2962" t="s">
        <v>13045</v>
      </c>
      <c r="AL2962">
        <v>-0.32</v>
      </c>
      <c r="AM2962">
        <v>1661</v>
      </c>
      <c r="AN2962">
        <v>74</v>
      </c>
      <c r="AO2962">
        <v>4.0000000000000002E-4</v>
      </c>
      <c r="AP2962">
        <v>-1</v>
      </c>
      <c r="AQ2962">
        <v>0.24</v>
      </c>
      <c r="AR2962">
        <v>-3.94</v>
      </c>
      <c r="AS2962">
        <v>1.22</v>
      </c>
      <c r="AT2962">
        <v>-7.67</v>
      </c>
      <c r="AU2962">
        <v>-12.91</v>
      </c>
      <c r="AV2962">
        <v>0</v>
      </c>
      <c r="AW2962">
        <v>1.56</v>
      </c>
      <c r="AX2962">
        <v>42.43</v>
      </c>
      <c r="AY2962">
        <v>10.6</v>
      </c>
      <c r="AZ2962">
        <v>9.49</v>
      </c>
      <c r="BA2962">
        <v>0.51</v>
      </c>
      <c r="BB2962" t="s">
        <v>143</v>
      </c>
      <c r="BF2962">
        <v>-0.14000000000000001</v>
      </c>
      <c r="BG2962">
        <v>-1.43</v>
      </c>
      <c r="BH2962">
        <v>-3.27</v>
      </c>
      <c r="BI2962">
        <v>0.24</v>
      </c>
      <c r="BJ2962">
        <v>20210901</v>
      </c>
      <c r="BK2962">
        <v>19960925</v>
      </c>
      <c r="BL2962">
        <v>18.45</v>
      </c>
      <c r="BM2962" t="s">
        <v>120</v>
      </c>
      <c r="BN2962" t="s">
        <v>120</v>
      </c>
      <c r="BO2962">
        <v>453.85</v>
      </c>
      <c r="BP2962">
        <v>4.1399999999999997</v>
      </c>
      <c r="BQ2962">
        <v>121.77</v>
      </c>
      <c r="BR2962">
        <v>16.32</v>
      </c>
      <c r="BS2962">
        <v>69.569999999999993</v>
      </c>
      <c r="BT2962">
        <v>387.9</v>
      </c>
      <c r="BU2962">
        <v>8.02</v>
      </c>
      <c r="BV2962">
        <v>7.0000000000000007E-2</v>
      </c>
      <c r="BW2962">
        <v>204.82</v>
      </c>
      <c r="BX2962">
        <v>40.090000000000003</v>
      </c>
      <c r="BY2962">
        <v>241.53</v>
      </c>
      <c r="BZ2962">
        <v>7.53</v>
      </c>
      <c r="CA2962">
        <v>0.17</v>
      </c>
      <c r="CB2962">
        <v>26.01</v>
      </c>
      <c r="CC2962">
        <v>40.25</v>
      </c>
      <c r="CD2962">
        <v>23.8</v>
      </c>
      <c r="CE2962">
        <v>7.32</v>
      </c>
      <c r="CF2962">
        <v>0.15</v>
      </c>
      <c r="CG2962">
        <v>7.32</v>
      </c>
      <c r="CH2962">
        <v>5.18</v>
      </c>
      <c r="CI2962">
        <v>3.44</v>
      </c>
      <c r="CJ2962">
        <v>-7.0000000000000007E-2</v>
      </c>
      <c r="CK2962">
        <v>3.22</v>
      </c>
      <c r="CL2962">
        <v>60.69</v>
      </c>
      <c r="CM2962">
        <v>-39.700000000000003</v>
      </c>
      <c r="CN2962">
        <v>-24.49</v>
      </c>
      <c r="CO2962">
        <v>33961</v>
      </c>
      <c r="CP2962">
        <v>23047</v>
      </c>
      <c r="CQ2962" t="s">
        <v>10922</v>
      </c>
      <c r="CR2962">
        <v>-19.84</v>
      </c>
      <c r="CS2962">
        <v>-10.4</v>
      </c>
      <c r="CT2962">
        <v>0.68</v>
      </c>
      <c r="CU2962">
        <v>-1.92</v>
      </c>
      <c r="CV2962">
        <v>1.9</v>
      </c>
      <c r="CW2962">
        <v>3.71</v>
      </c>
      <c r="CX2962" t="s">
        <v>1193</v>
      </c>
      <c r="CY2962">
        <v>6.06</v>
      </c>
      <c r="CZ2962">
        <v>6.06</v>
      </c>
      <c r="DA2962">
        <v>1.41</v>
      </c>
      <c r="DB2962">
        <v>3.29</v>
      </c>
      <c r="DC2962">
        <v>-2.15</v>
      </c>
      <c r="DD2962">
        <v>26.83</v>
      </c>
      <c r="DE2962" t="s">
        <v>2379</v>
      </c>
      <c r="DF2962">
        <v>40.880000000000003</v>
      </c>
      <c r="DG2962">
        <v>18.2</v>
      </c>
      <c r="DH2962">
        <v>8.5500000000000007</v>
      </c>
      <c r="DI2962">
        <v>0.3</v>
      </c>
      <c r="DJ2962">
        <v>7535</v>
      </c>
      <c r="DK2962">
        <v>600748</v>
      </c>
      <c r="DL2962" t="s">
        <v>120</v>
      </c>
      <c r="DM2962" t="s">
        <v>120</v>
      </c>
      <c r="DN2962" t="s">
        <v>120</v>
      </c>
    </row>
    <row r="2963" spans="1:118">
      <c r="A2963" t="str">
        <f>"600749"</f>
        <v>600749</v>
      </c>
      <c r="B2963" t="s">
        <v>13046</v>
      </c>
      <c r="C2963">
        <v>2.74</v>
      </c>
      <c r="D2963">
        <v>-0.26</v>
      </c>
      <c r="E2963">
        <v>0</v>
      </c>
      <c r="F2963">
        <v>1460</v>
      </c>
      <c r="G2963" t="s">
        <v>10619</v>
      </c>
      <c r="H2963">
        <v>12103.87</v>
      </c>
      <c r="I2963">
        <v>34.21</v>
      </c>
      <c r="J2963" t="s">
        <v>120</v>
      </c>
      <c r="K2963" t="s">
        <v>3120</v>
      </c>
      <c r="L2963">
        <v>4.75</v>
      </c>
      <c r="M2963">
        <v>11.23</v>
      </c>
      <c r="N2963">
        <v>0.79</v>
      </c>
      <c r="O2963">
        <v>5.49</v>
      </c>
      <c r="P2963">
        <v>11.53</v>
      </c>
      <c r="Q2963">
        <v>-0.91</v>
      </c>
      <c r="R2963">
        <v>10.83</v>
      </c>
      <c r="S2963">
        <v>10.93</v>
      </c>
      <c r="T2963">
        <v>107858</v>
      </c>
      <c r="U2963">
        <v>11.24</v>
      </c>
      <c r="V2963">
        <v>10.93</v>
      </c>
      <c r="W2963" t="s">
        <v>120</v>
      </c>
      <c r="X2963" t="s">
        <v>489</v>
      </c>
      <c r="Y2963" t="s">
        <v>1886</v>
      </c>
      <c r="Z2963">
        <v>6.4</v>
      </c>
      <c r="AA2963">
        <v>11.22</v>
      </c>
      <c r="AB2963">
        <v>48672</v>
      </c>
      <c r="AC2963">
        <v>59186</v>
      </c>
      <c r="AD2963">
        <v>0.82</v>
      </c>
      <c r="AE2963">
        <v>63</v>
      </c>
      <c r="AF2963">
        <v>40</v>
      </c>
      <c r="AG2963" t="s">
        <v>120</v>
      </c>
      <c r="AH2963">
        <v>0.03</v>
      </c>
      <c r="AI2963" t="s">
        <v>120</v>
      </c>
      <c r="AJ2963">
        <v>2.27</v>
      </c>
      <c r="AK2963" t="s">
        <v>3120</v>
      </c>
      <c r="AL2963">
        <v>4.09</v>
      </c>
      <c r="AM2963">
        <v>3111</v>
      </c>
      <c r="AN2963">
        <v>35</v>
      </c>
      <c r="AO2963">
        <v>1.5E-3</v>
      </c>
      <c r="AP2963">
        <v>2</v>
      </c>
      <c r="AQ2963">
        <v>0.28000000000000003</v>
      </c>
      <c r="AR2963">
        <v>-0.71</v>
      </c>
      <c r="AS2963">
        <v>16.260000000000002</v>
      </c>
      <c r="AT2963">
        <v>9.35</v>
      </c>
      <c r="AU2963">
        <v>27.76</v>
      </c>
      <c r="AV2963">
        <v>1</v>
      </c>
      <c r="AW2963">
        <v>10.95</v>
      </c>
      <c r="AX2963">
        <v>43.41</v>
      </c>
      <c r="AY2963">
        <v>69.349999999999994</v>
      </c>
      <c r="AZ2963">
        <v>523.03</v>
      </c>
      <c r="BA2963">
        <v>0.51</v>
      </c>
      <c r="BB2963" t="s">
        <v>240</v>
      </c>
      <c r="BF2963">
        <v>2.67</v>
      </c>
      <c r="BG2963">
        <v>2.74</v>
      </c>
      <c r="BH2963">
        <v>-2.6</v>
      </c>
      <c r="BI2963">
        <v>3.69</v>
      </c>
      <c r="BJ2963">
        <v>20210805</v>
      </c>
      <c r="BK2963">
        <v>19961015</v>
      </c>
      <c r="BL2963">
        <v>2.27</v>
      </c>
      <c r="BM2963" t="s">
        <v>120</v>
      </c>
      <c r="BN2963" t="s">
        <v>120</v>
      </c>
      <c r="BO2963">
        <v>14.97</v>
      </c>
      <c r="BP2963">
        <v>11.23</v>
      </c>
      <c r="BQ2963">
        <v>10.32</v>
      </c>
      <c r="BR2963">
        <v>0.02</v>
      </c>
      <c r="BS2963">
        <v>30.88</v>
      </c>
      <c r="BT2963">
        <v>6.97</v>
      </c>
      <c r="BU2963">
        <v>2.76</v>
      </c>
      <c r="BV2963">
        <v>4.1399999999999997</v>
      </c>
      <c r="BW2963">
        <v>3.13</v>
      </c>
      <c r="BX2963">
        <v>5.2</v>
      </c>
      <c r="BY2963">
        <v>0.08</v>
      </c>
      <c r="BZ2963">
        <v>0.26</v>
      </c>
      <c r="CA2963" t="s">
        <v>120</v>
      </c>
      <c r="CB2963">
        <v>9.7200000000000006</v>
      </c>
      <c r="CC2963">
        <v>0.85</v>
      </c>
      <c r="CD2963">
        <v>0.48</v>
      </c>
      <c r="CE2963">
        <v>-0.01</v>
      </c>
      <c r="CF2963">
        <v>0.03</v>
      </c>
      <c r="CG2963">
        <v>-0.01</v>
      </c>
      <c r="CH2963">
        <v>-0.02</v>
      </c>
      <c r="CI2963">
        <v>-0.01</v>
      </c>
      <c r="CJ2963">
        <v>0.3</v>
      </c>
      <c r="CK2963">
        <v>-0.06</v>
      </c>
      <c r="CL2963">
        <v>-1.28</v>
      </c>
      <c r="CM2963">
        <v>0.22</v>
      </c>
      <c r="CN2963">
        <v>0.52</v>
      </c>
      <c r="CO2963">
        <v>23312</v>
      </c>
      <c r="CP2963">
        <v>4226</v>
      </c>
      <c r="CQ2963" t="s">
        <v>5640</v>
      </c>
      <c r="CR2963">
        <v>95.4</v>
      </c>
      <c r="CS2963">
        <v>260.93</v>
      </c>
      <c r="CT2963">
        <v>2.4700000000000002</v>
      </c>
      <c r="CU2963">
        <v>115.49</v>
      </c>
      <c r="CV2963">
        <v>29.92</v>
      </c>
      <c r="CW2963">
        <v>0</v>
      </c>
      <c r="CX2963" t="s">
        <v>1312</v>
      </c>
      <c r="CY2963">
        <v>4.55</v>
      </c>
      <c r="CZ2963">
        <v>0</v>
      </c>
      <c r="DA2963">
        <v>4.28</v>
      </c>
      <c r="DB2963">
        <v>-0.56000000000000005</v>
      </c>
      <c r="DC2963">
        <v>0.1</v>
      </c>
      <c r="DD2963">
        <v>68.959999999999994</v>
      </c>
      <c r="DE2963" t="s">
        <v>13047</v>
      </c>
      <c r="DF2963">
        <v>44.19</v>
      </c>
      <c r="DG2963">
        <v>-1.41</v>
      </c>
      <c r="DH2963">
        <v>-1.75</v>
      </c>
      <c r="DI2963" t="s">
        <v>120</v>
      </c>
      <c r="DJ2963">
        <v>561</v>
      </c>
      <c r="DK2963">
        <v>600749</v>
      </c>
      <c r="DL2963" t="s">
        <v>120</v>
      </c>
      <c r="DM2963" t="s">
        <v>120</v>
      </c>
      <c r="DN2963" t="s">
        <v>120</v>
      </c>
    </row>
    <row r="2964" spans="1:118">
      <c r="A2964" t="str">
        <f>"600750"</f>
        <v>600750</v>
      </c>
      <c r="B2964" t="s">
        <v>13048</v>
      </c>
      <c r="C2964">
        <v>0.4</v>
      </c>
      <c r="D2964">
        <v>0</v>
      </c>
      <c r="E2964">
        <v>-0.64</v>
      </c>
      <c r="F2964">
        <v>1891</v>
      </c>
      <c r="G2964" t="s">
        <v>8480</v>
      </c>
      <c r="H2964">
        <v>13357.88</v>
      </c>
      <c r="I2964">
        <v>30.63</v>
      </c>
      <c r="J2964" t="s">
        <v>120</v>
      </c>
      <c r="K2964" t="s">
        <v>13049</v>
      </c>
      <c r="L2964">
        <v>1.68</v>
      </c>
      <c r="M2964">
        <v>12.63</v>
      </c>
      <c r="N2964">
        <v>0.87</v>
      </c>
      <c r="O2964">
        <v>2.15</v>
      </c>
      <c r="P2964">
        <v>12.85</v>
      </c>
      <c r="Q2964">
        <v>-1.03</v>
      </c>
      <c r="R2964">
        <v>12.45</v>
      </c>
      <c r="S2964">
        <v>12.5</v>
      </c>
      <c r="T2964">
        <v>105603</v>
      </c>
      <c r="U2964">
        <v>12.63</v>
      </c>
      <c r="V2964">
        <v>12.58</v>
      </c>
      <c r="W2964">
        <v>12.98</v>
      </c>
      <c r="X2964" t="s">
        <v>771</v>
      </c>
      <c r="Y2964" t="s">
        <v>676</v>
      </c>
      <c r="Z2964">
        <v>3.18</v>
      </c>
      <c r="AA2964">
        <v>12.65</v>
      </c>
      <c r="AB2964">
        <v>56560</v>
      </c>
      <c r="AC2964">
        <v>49043</v>
      </c>
      <c r="AD2964">
        <v>1.1499999999999999</v>
      </c>
      <c r="AE2964">
        <v>20</v>
      </c>
      <c r="AF2964">
        <v>47</v>
      </c>
      <c r="AG2964" t="s">
        <v>120</v>
      </c>
      <c r="AH2964">
        <v>0.01</v>
      </c>
      <c r="AI2964" t="s">
        <v>120</v>
      </c>
      <c r="AJ2964">
        <v>6.3</v>
      </c>
      <c r="AK2964" t="s">
        <v>13049</v>
      </c>
      <c r="AL2964">
        <v>1.74</v>
      </c>
      <c r="AM2964">
        <v>2801</v>
      </c>
      <c r="AN2964">
        <v>38</v>
      </c>
      <c r="AO2964">
        <v>5.9999999999999995E-4</v>
      </c>
      <c r="AP2964">
        <v>2</v>
      </c>
      <c r="AQ2964">
        <v>0.24</v>
      </c>
      <c r="AR2964">
        <v>-1.4</v>
      </c>
      <c r="AS2964">
        <v>8.6</v>
      </c>
      <c r="AT2964">
        <v>7.21</v>
      </c>
      <c r="AU2964">
        <v>22.14</v>
      </c>
      <c r="AV2964">
        <v>1</v>
      </c>
      <c r="AW2964">
        <v>2.94</v>
      </c>
      <c r="AX2964">
        <v>56.97</v>
      </c>
      <c r="AY2964">
        <v>15.53</v>
      </c>
      <c r="AZ2964">
        <v>16.73</v>
      </c>
      <c r="BA2964">
        <v>0.24</v>
      </c>
      <c r="BB2964" t="s">
        <v>143</v>
      </c>
      <c r="BF2964">
        <v>0.55000000000000004</v>
      </c>
      <c r="BG2964">
        <v>1.04</v>
      </c>
      <c r="BH2964">
        <v>-1.71</v>
      </c>
      <c r="BI2964">
        <v>1.45</v>
      </c>
      <c r="BJ2964">
        <v>20210819</v>
      </c>
      <c r="BK2964">
        <v>19960923</v>
      </c>
      <c r="BL2964">
        <v>6.3</v>
      </c>
      <c r="BM2964" t="s">
        <v>120</v>
      </c>
      <c r="BN2964" t="s">
        <v>120</v>
      </c>
      <c r="BO2964">
        <v>51.3</v>
      </c>
      <c r="BP2964">
        <v>12.62</v>
      </c>
      <c r="BQ2964">
        <v>40.130000000000003</v>
      </c>
      <c r="BR2964">
        <v>3.78</v>
      </c>
      <c r="BS2964">
        <v>14.4</v>
      </c>
      <c r="BT2964">
        <v>34.840000000000003</v>
      </c>
      <c r="BU2964">
        <v>9.84</v>
      </c>
      <c r="BV2964">
        <v>3.75</v>
      </c>
      <c r="BW2964">
        <v>6.62</v>
      </c>
      <c r="BX2964">
        <v>8.25</v>
      </c>
      <c r="BY2964">
        <v>2.62</v>
      </c>
      <c r="BZ2964">
        <v>1.73</v>
      </c>
      <c r="CA2964" t="s">
        <v>120</v>
      </c>
      <c r="CB2964">
        <v>4.3499999999999996</v>
      </c>
      <c r="CC2964">
        <v>12.66</v>
      </c>
      <c r="CD2964">
        <v>4.2699999999999996</v>
      </c>
      <c r="CE2964">
        <v>3.71</v>
      </c>
      <c r="CF2964">
        <v>-0.01</v>
      </c>
      <c r="CG2964">
        <v>3.71</v>
      </c>
      <c r="CH2964">
        <v>3.16</v>
      </c>
      <c r="CI2964">
        <v>3.07</v>
      </c>
      <c r="CJ2964">
        <v>0.05</v>
      </c>
      <c r="CK2964">
        <v>2.76</v>
      </c>
      <c r="CL2964">
        <v>26.4</v>
      </c>
      <c r="CM2964">
        <v>2.95</v>
      </c>
      <c r="CN2964">
        <v>-6.83</v>
      </c>
      <c r="CO2964">
        <v>44762</v>
      </c>
      <c r="CP2964">
        <v>8019</v>
      </c>
      <c r="CQ2964" t="s">
        <v>4936</v>
      </c>
      <c r="CR2964">
        <v>13.54</v>
      </c>
      <c r="CS2964">
        <v>9.3000000000000007</v>
      </c>
      <c r="CT2964">
        <v>1.98</v>
      </c>
      <c r="CU2964">
        <v>26.94</v>
      </c>
      <c r="CV2964">
        <v>6.28</v>
      </c>
      <c r="CW2964">
        <v>2.15</v>
      </c>
      <c r="CX2964" t="s">
        <v>3347</v>
      </c>
      <c r="CY2964">
        <v>6.37</v>
      </c>
      <c r="CZ2964">
        <v>0</v>
      </c>
      <c r="DA2964">
        <v>0.69</v>
      </c>
      <c r="DB2964">
        <v>4.1900000000000004</v>
      </c>
      <c r="DC2964">
        <v>0.47</v>
      </c>
      <c r="DD2964">
        <v>78.23</v>
      </c>
      <c r="DE2964" t="s">
        <v>4011</v>
      </c>
      <c r="DF2964">
        <v>66.31</v>
      </c>
      <c r="DG2964">
        <v>29.27</v>
      </c>
      <c r="DH2964">
        <v>24.21</v>
      </c>
      <c r="DI2964">
        <v>0.33</v>
      </c>
      <c r="DJ2964">
        <v>3803</v>
      </c>
      <c r="DK2964">
        <v>600750</v>
      </c>
      <c r="DL2964" t="s">
        <v>120</v>
      </c>
      <c r="DM2964" t="s">
        <v>120</v>
      </c>
      <c r="DN2964" t="s">
        <v>120</v>
      </c>
    </row>
    <row r="2965" spans="1:118">
      <c r="A2965" t="str">
        <f>"600751"</f>
        <v>600751</v>
      </c>
      <c r="B2965" t="s">
        <v>13050</v>
      </c>
      <c r="C2965">
        <v>-4.8600000000000003</v>
      </c>
      <c r="D2965">
        <v>0</v>
      </c>
      <c r="E2965">
        <v>0</v>
      </c>
      <c r="F2965">
        <v>13965</v>
      </c>
      <c r="G2965" t="s">
        <v>13051</v>
      </c>
      <c r="H2965">
        <v>72000.02</v>
      </c>
      <c r="I2965">
        <v>2227.5100000000002</v>
      </c>
      <c r="J2965" t="s">
        <v>120</v>
      </c>
      <c r="K2965" t="s">
        <v>13052</v>
      </c>
      <c r="L2965">
        <v>7.73</v>
      </c>
      <c r="M2965">
        <v>3.52</v>
      </c>
      <c r="N2965">
        <v>2.33</v>
      </c>
      <c r="O2965">
        <v>1.08</v>
      </c>
      <c r="P2965">
        <v>3.74</v>
      </c>
      <c r="Q2965">
        <v>-5.95</v>
      </c>
      <c r="R2965">
        <v>3.48</v>
      </c>
      <c r="S2965">
        <v>3.7</v>
      </c>
      <c r="T2965">
        <v>1989220</v>
      </c>
      <c r="U2965">
        <v>3.52</v>
      </c>
      <c r="V2965">
        <v>3.7</v>
      </c>
      <c r="W2965">
        <v>5.19</v>
      </c>
      <c r="X2965" t="s">
        <v>141</v>
      </c>
      <c r="Y2965" t="s">
        <v>997</v>
      </c>
      <c r="Z2965">
        <v>7.03</v>
      </c>
      <c r="AA2965">
        <v>3.62</v>
      </c>
      <c r="AB2965">
        <v>1034489</v>
      </c>
      <c r="AC2965">
        <v>954731</v>
      </c>
      <c r="AD2965">
        <v>1.08</v>
      </c>
      <c r="AE2965">
        <v>673</v>
      </c>
      <c r="AF2965">
        <v>7227</v>
      </c>
      <c r="AG2965" t="s">
        <v>120</v>
      </c>
      <c r="AH2965">
        <v>0.46</v>
      </c>
      <c r="AI2965" t="s">
        <v>120</v>
      </c>
      <c r="AJ2965">
        <v>25.73</v>
      </c>
      <c r="AK2965" t="s">
        <v>13053</v>
      </c>
      <c r="AL2965">
        <v>-3.52</v>
      </c>
      <c r="AM2965">
        <v>4461</v>
      </c>
      <c r="AN2965">
        <v>446</v>
      </c>
      <c r="AO2965">
        <v>1.6999999999999999E-3</v>
      </c>
      <c r="AP2965">
        <v>-1</v>
      </c>
      <c r="AQ2965">
        <v>10.119999999999999</v>
      </c>
      <c r="AR2965">
        <v>5.71</v>
      </c>
      <c r="AS2965">
        <v>21.38</v>
      </c>
      <c r="AT2965">
        <v>19.73</v>
      </c>
      <c r="AU2965">
        <v>33.33</v>
      </c>
      <c r="AV2965">
        <v>12</v>
      </c>
      <c r="AW2965">
        <v>15.25</v>
      </c>
      <c r="AX2965">
        <v>44.98</v>
      </c>
      <c r="AY2965" t="s">
        <v>120</v>
      </c>
      <c r="AZ2965" t="s">
        <v>120</v>
      </c>
      <c r="BA2965">
        <v>0.66</v>
      </c>
      <c r="BB2965" t="s">
        <v>168</v>
      </c>
      <c r="BF2965">
        <v>-2.1800000000000002</v>
      </c>
      <c r="BG2965">
        <v>-4.8600000000000003</v>
      </c>
      <c r="BH2965">
        <v>-5.88</v>
      </c>
      <c r="BI2965">
        <v>1.1499999999999999</v>
      </c>
      <c r="BJ2965">
        <v>20210831</v>
      </c>
      <c r="BK2965">
        <v>19960909</v>
      </c>
      <c r="BL2965">
        <v>28.99</v>
      </c>
      <c r="BM2965">
        <v>3.26</v>
      </c>
      <c r="BN2965" t="s">
        <v>120</v>
      </c>
      <c r="BO2965">
        <v>1206.56</v>
      </c>
      <c r="BP2965">
        <v>3.51</v>
      </c>
      <c r="BQ2965">
        <v>46.37</v>
      </c>
      <c r="BR2965">
        <v>33.1</v>
      </c>
      <c r="BS2965">
        <v>93.41</v>
      </c>
      <c r="BT2965">
        <v>957.58</v>
      </c>
      <c r="BU2965">
        <v>29.34</v>
      </c>
      <c r="BV2965">
        <v>71.02</v>
      </c>
      <c r="BW2965">
        <v>1071.83</v>
      </c>
      <c r="BX2965">
        <v>87.49</v>
      </c>
      <c r="BY2965">
        <v>312.95</v>
      </c>
      <c r="BZ2965">
        <v>500.68</v>
      </c>
      <c r="CA2965">
        <v>0.02</v>
      </c>
      <c r="CB2965">
        <v>102.06</v>
      </c>
      <c r="CC2965">
        <v>1679.2</v>
      </c>
      <c r="CD2965">
        <v>1548.97</v>
      </c>
      <c r="CE2965">
        <v>21.59</v>
      </c>
      <c r="CF2965">
        <v>0.19</v>
      </c>
      <c r="CG2965">
        <v>21.59</v>
      </c>
      <c r="CH2965">
        <v>14.63</v>
      </c>
      <c r="CI2965">
        <v>9.83</v>
      </c>
      <c r="CJ2965">
        <v>-0.18</v>
      </c>
      <c r="CK2965">
        <v>9.64</v>
      </c>
      <c r="CL2965">
        <v>-82.84</v>
      </c>
      <c r="CM2965">
        <v>-61.84</v>
      </c>
      <c r="CN2965">
        <v>-14.87</v>
      </c>
      <c r="CO2965">
        <v>131949</v>
      </c>
      <c r="CP2965">
        <v>12356</v>
      </c>
      <c r="CQ2965" t="s">
        <v>1135</v>
      </c>
      <c r="CR2965">
        <v>116.82</v>
      </c>
      <c r="CS2965">
        <v>10.48</v>
      </c>
      <c r="CT2965">
        <v>2.2000000000000002</v>
      </c>
      <c r="CU2965">
        <v>-1.65</v>
      </c>
      <c r="CV2965">
        <v>0.06</v>
      </c>
      <c r="CW2965">
        <v>0</v>
      </c>
      <c r="CX2965" t="s">
        <v>10498</v>
      </c>
      <c r="CY2965">
        <v>1.6</v>
      </c>
      <c r="CZ2965">
        <v>0</v>
      </c>
      <c r="DA2965">
        <v>3.52</v>
      </c>
      <c r="DB2965">
        <v>-2.86</v>
      </c>
      <c r="DC2965">
        <v>-2.13</v>
      </c>
      <c r="DD2965">
        <v>3.84</v>
      </c>
      <c r="DE2965" t="s">
        <v>13054</v>
      </c>
      <c r="DF2965">
        <v>7.76</v>
      </c>
      <c r="DG2965">
        <v>1.29</v>
      </c>
      <c r="DH2965">
        <v>0.59</v>
      </c>
      <c r="DI2965" t="s">
        <v>120</v>
      </c>
      <c r="DJ2965">
        <v>36992</v>
      </c>
      <c r="DK2965">
        <v>600751</v>
      </c>
      <c r="DL2965" t="s">
        <v>120</v>
      </c>
      <c r="DM2965" t="s">
        <v>120</v>
      </c>
      <c r="DN2965" t="s">
        <v>120</v>
      </c>
    </row>
    <row r="2966" spans="1:118">
      <c r="A2966" t="str">
        <f>"600753"</f>
        <v>600753</v>
      </c>
      <c r="B2966" t="s">
        <v>13055</v>
      </c>
      <c r="C2966">
        <v>-1.29</v>
      </c>
      <c r="D2966">
        <v>-0.05</v>
      </c>
      <c r="E2966">
        <v>0.03</v>
      </c>
      <c r="F2966">
        <v>628</v>
      </c>
      <c r="G2966" t="s">
        <v>12528</v>
      </c>
      <c r="H2966">
        <v>13250.81</v>
      </c>
      <c r="I2966">
        <v>27.98</v>
      </c>
      <c r="J2966" t="s">
        <v>120</v>
      </c>
      <c r="K2966" t="s">
        <v>13056</v>
      </c>
      <c r="L2966">
        <v>1.97</v>
      </c>
      <c r="M2966">
        <v>31.3</v>
      </c>
      <c r="N2966">
        <v>0.73</v>
      </c>
      <c r="O2966">
        <v>0.91</v>
      </c>
      <c r="P2966">
        <v>32</v>
      </c>
      <c r="Q2966">
        <v>-3.44</v>
      </c>
      <c r="R2966">
        <v>30.62</v>
      </c>
      <c r="S2966">
        <v>31.72</v>
      </c>
      <c r="T2966">
        <v>42281</v>
      </c>
      <c r="U2966">
        <v>31.31</v>
      </c>
      <c r="V2966">
        <v>31.71</v>
      </c>
      <c r="W2966">
        <v>872.88</v>
      </c>
      <c r="X2966" t="s">
        <v>562</v>
      </c>
      <c r="Y2966" t="s">
        <v>937</v>
      </c>
      <c r="Z2966">
        <v>4.3499999999999996</v>
      </c>
      <c r="AA2966">
        <v>31.34</v>
      </c>
      <c r="AB2966">
        <v>23241</v>
      </c>
      <c r="AC2966">
        <v>19040</v>
      </c>
      <c r="AD2966">
        <v>1.22</v>
      </c>
      <c r="AE2966">
        <v>158</v>
      </c>
      <c r="AF2966">
        <v>60</v>
      </c>
      <c r="AG2966" t="s">
        <v>120</v>
      </c>
      <c r="AH2966">
        <v>0.01</v>
      </c>
      <c r="AI2966" t="s">
        <v>120</v>
      </c>
      <c r="AJ2966">
        <v>2.15</v>
      </c>
      <c r="AK2966" t="s">
        <v>8043</v>
      </c>
      <c r="AL2966">
        <v>0.05</v>
      </c>
      <c r="AM2966">
        <v>2696</v>
      </c>
      <c r="AN2966">
        <v>16</v>
      </c>
      <c r="AO2966">
        <v>6.9999999999999999E-4</v>
      </c>
      <c r="AP2966">
        <v>-1</v>
      </c>
      <c r="AQ2966">
        <v>0.67</v>
      </c>
      <c r="AR2966">
        <v>-2.79</v>
      </c>
      <c r="AS2966">
        <v>-16.62</v>
      </c>
      <c r="AT2966">
        <v>-19.329999999999998</v>
      </c>
      <c r="AU2966">
        <v>102.59</v>
      </c>
      <c r="AV2966">
        <v>15</v>
      </c>
      <c r="AW2966">
        <v>3.3</v>
      </c>
      <c r="AX2966">
        <v>55.57</v>
      </c>
      <c r="AY2966">
        <v>458.74</v>
      </c>
      <c r="AZ2966">
        <v>342.48</v>
      </c>
      <c r="BA2966">
        <v>1.21</v>
      </c>
      <c r="BB2966" t="s">
        <v>143</v>
      </c>
      <c r="BF2966">
        <v>-1.17</v>
      </c>
      <c r="BG2966">
        <v>-1.32</v>
      </c>
      <c r="BH2966">
        <v>-2.19</v>
      </c>
      <c r="BI2966">
        <v>2.2200000000000002</v>
      </c>
      <c r="BJ2966">
        <v>20210831</v>
      </c>
      <c r="BK2966">
        <v>19960927</v>
      </c>
      <c r="BL2966">
        <v>2.2999999999999998</v>
      </c>
      <c r="BM2966" t="s">
        <v>120</v>
      </c>
      <c r="BN2966" t="s">
        <v>120</v>
      </c>
      <c r="BO2966">
        <v>4.46</v>
      </c>
      <c r="BP2966">
        <v>31.3</v>
      </c>
      <c r="BQ2966">
        <v>2.27</v>
      </c>
      <c r="BR2966">
        <v>0.36</v>
      </c>
      <c r="BS2966">
        <v>40.96</v>
      </c>
      <c r="BT2966">
        <v>4.34</v>
      </c>
      <c r="BU2966">
        <v>0.01</v>
      </c>
      <c r="BV2966">
        <v>0.01</v>
      </c>
      <c r="BW2966">
        <v>1.83</v>
      </c>
      <c r="BX2966">
        <v>0.73</v>
      </c>
      <c r="BY2966">
        <v>0</v>
      </c>
      <c r="BZ2966">
        <v>1.41</v>
      </c>
      <c r="CA2966" t="s">
        <v>120</v>
      </c>
      <c r="CB2966">
        <v>0.54</v>
      </c>
      <c r="CC2966">
        <v>9.1</v>
      </c>
      <c r="CD2966">
        <v>8.9600000000000009</v>
      </c>
      <c r="CE2966">
        <v>0.09</v>
      </c>
      <c r="CF2966">
        <v>0</v>
      </c>
      <c r="CG2966">
        <v>0.09</v>
      </c>
      <c r="CH2966">
        <v>0.06</v>
      </c>
      <c r="CI2966">
        <v>0.04</v>
      </c>
      <c r="CJ2966">
        <v>-0.41</v>
      </c>
      <c r="CK2966">
        <v>0.02</v>
      </c>
      <c r="CL2966">
        <v>-0.42</v>
      </c>
      <c r="CM2966">
        <v>-0.5</v>
      </c>
      <c r="CN2966">
        <v>-0.3</v>
      </c>
      <c r="CO2966">
        <v>18424</v>
      </c>
      <c r="CP2966">
        <v>6947</v>
      </c>
      <c r="CQ2966" t="s">
        <v>13057</v>
      </c>
      <c r="CR2966">
        <v>-56.69</v>
      </c>
      <c r="CS2966">
        <v>-49.19</v>
      </c>
      <c r="CT2966">
        <v>29.61</v>
      </c>
      <c r="CU2966">
        <v>-145.27000000000001</v>
      </c>
      <c r="CV2966">
        <v>7.92</v>
      </c>
      <c r="CW2966">
        <v>0</v>
      </c>
      <c r="CX2966" t="s">
        <v>499</v>
      </c>
      <c r="CY2966">
        <v>1.06</v>
      </c>
      <c r="CZ2966">
        <v>1.06</v>
      </c>
      <c r="DA2966">
        <v>0.24</v>
      </c>
      <c r="DB2966">
        <v>-0.18</v>
      </c>
      <c r="DC2966">
        <v>-0.22</v>
      </c>
      <c r="DD2966">
        <v>50.97</v>
      </c>
      <c r="DE2966" t="s">
        <v>4611</v>
      </c>
      <c r="DF2966">
        <v>1.52</v>
      </c>
      <c r="DG2966">
        <v>0.97</v>
      </c>
      <c r="DH2966">
        <v>0.45</v>
      </c>
      <c r="DI2966" t="s">
        <v>120</v>
      </c>
      <c r="DJ2966">
        <v>38</v>
      </c>
      <c r="DK2966">
        <v>600753</v>
      </c>
      <c r="DL2966" t="s">
        <v>120</v>
      </c>
      <c r="DM2966" t="s">
        <v>120</v>
      </c>
      <c r="DN2966" t="s">
        <v>120</v>
      </c>
    </row>
    <row r="2967" spans="1:118">
      <c r="A2967" t="str">
        <f>"600754"</f>
        <v>600754</v>
      </c>
      <c r="B2967" t="s">
        <v>13058</v>
      </c>
      <c r="C2967">
        <v>-3.29</v>
      </c>
      <c r="D2967">
        <v>-0.63</v>
      </c>
      <c r="E2967">
        <v>-0.49</v>
      </c>
      <c r="F2967">
        <v>2310</v>
      </c>
      <c r="G2967" t="s">
        <v>13059</v>
      </c>
      <c r="H2967">
        <v>21386.94</v>
      </c>
      <c r="I2967">
        <v>119.97</v>
      </c>
      <c r="J2967" t="s">
        <v>120</v>
      </c>
      <c r="K2967" t="s">
        <v>13060</v>
      </c>
      <c r="L2967">
        <v>0.62</v>
      </c>
      <c r="M2967">
        <v>41.79</v>
      </c>
      <c r="N2967">
        <v>0.8</v>
      </c>
      <c r="O2967">
        <v>1.78</v>
      </c>
      <c r="P2967">
        <v>43.98</v>
      </c>
      <c r="Q2967">
        <v>-3.29</v>
      </c>
      <c r="R2967">
        <v>41.79</v>
      </c>
      <c r="S2967">
        <v>43</v>
      </c>
      <c r="T2967">
        <v>50081</v>
      </c>
      <c r="U2967">
        <v>42.05</v>
      </c>
      <c r="V2967">
        <v>43.21</v>
      </c>
      <c r="W2967">
        <v>4809.95</v>
      </c>
      <c r="X2967" t="s">
        <v>793</v>
      </c>
      <c r="Y2967" t="s">
        <v>1510</v>
      </c>
      <c r="Z2967">
        <v>5.07</v>
      </c>
      <c r="AA2967">
        <v>42.71</v>
      </c>
      <c r="AB2967">
        <v>24380</v>
      </c>
      <c r="AC2967">
        <v>25701</v>
      </c>
      <c r="AD2967">
        <v>0.95</v>
      </c>
      <c r="AE2967">
        <v>176</v>
      </c>
      <c r="AF2967">
        <v>4</v>
      </c>
      <c r="AG2967" t="s">
        <v>120</v>
      </c>
      <c r="AH2967">
        <v>0.01</v>
      </c>
      <c r="AI2967" t="s">
        <v>120</v>
      </c>
      <c r="AJ2967">
        <v>8.02</v>
      </c>
      <c r="AK2967" t="s">
        <v>13061</v>
      </c>
      <c r="AL2967">
        <v>-1.94</v>
      </c>
      <c r="AM2967">
        <v>3498</v>
      </c>
      <c r="AN2967">
        <v>14</v>
      </c>
      <c r="AO2967">
        <v>2.0000000000000001E-4</v>
      </c>
      <c r="AP2967">
        <v>-2</v>
      </c>
      <c r="AQ2967">
        <v>-2.9</v>
      </c>
      <c r="AR2967">
        <v>-6.07</v>
      </c>
      <c r="AS2967">
        <v>-8.19</v>
      </c>
      <c r="AT2967">
        <v>-24.23</v>
      </c>
      <c r="AU2967">
        <v>-18.809999999999999</v>
      </c>
      <c r="AV2967">
        <v>2</v>
      </c>
      <c r="AW2967">
        <v>1.57</v>
      </c>
      <c r="AX2967">
        <v>29.9</v>
      </c>
      <c r="AY2967" t="s">
        <v>120</v>
      </c>
      <c r="AZ2967">
        <v>419.53</v>
      </c>
      <c r="BA2967">
        <v>0.39</v>
      </c>
      <c r="BB2967" t="s">
        <v>143</v>
      </c>
      <c r="BF2967">
        <v>-1.17</v>
      </c>
      <c r="BG2967">
        <v>-2.81</v>
      </c>
      <c r="BH2967">
        <v>-4.9800000000000004</v>
      </c>
      <c r="BI2967">
        <v>0</v>
      </c>
      <c r="BJ2967">
        <v>20210915</v>
      </c>
      <c r="BK2967">
        <v>19961011</v>
      </c>
      <c r="BL2967">
        <v>10.7</v>
      </c>
      <c r="BM2967">
        <v>1.56</v>
      </c>
      <c r="BN2967" t="s">
        <v>120</v>
      </c>
      <c r="BO2967">
        <v>509.02</v>
      </c>
      <c r="BP2967">
        <v>41.79</v>
      </c>
      <c r="BQ2967">
        <v>166.13</v>
      </c>
      <c r="BR2967">
        <v>10.68</v>
      </c>
      <c r="BS2967">
        <v>65.27</v>
      </c>
      <c r="BT2967">
        <v>138.57</v>
      </c>
      <c r="BU2967">
        <v>54.48</v>
      </c>
      <c r="BV2967">
        <v>69.02</v>
      </c>
      <c r="BW2967">
        <v>132.85</v>
      </c>
      <c r="BX2967">
        <v>107.45</v>
      </c>
      <c r="BY2967">
        <v>0.68</v>
      </c>
      <c r="BZ2967">
        <v>12.72</v>
      </c>
      <c r="CA2967">
        <v>7.0000000000000007E-2</v>
      </c>
      <c r="CB2967">
        <v>127.32</v>
      </c>
      <c r="CC2967">
        <v>52.63</v>
      </c>
      <c r="CD2967">
        <v>36.479999999999997</v>
      </c>
      <c r="CE2967">
        <v>2.1</v>
      </c>
      <c r="CF2967">
        <v>1.71</v>
      </c>
      <c r="CG2967">
        <v>2.2599999999999998</v>
      </c>
      <c r="CH2967">
        <v>1.1100000000000001</v>
      </c>
      <c r="CI2967">
        <v>0.05</v>
      </c>
      <c r="CJ2967">
        <v>-1.42</v>
      </c>
      <c r="CK2967">
        <v>-1.33</v>
      </c>
      <c r="CL2967">
        <v>21.56</v>
      </c>
      <c r="CM2967">
        <v>6.5</v>
      </c>
      <c r="CN2967">
        <v>39.47</v>
      </c>
      <c r="CO2967">
        <v>38124</v>
      </c>
      <c r="CP2967">
        <v>12484</v>
      </c>
      <c r="CQ2967" t="s">
        <v>13062</v>
      </c>
      <c r="CR2967">
        <v>-98.37</v>
      </c>
      <c r="CS2967">
        <v>28.67</v>
      </c>
      <c r="CT2967">
        <v>2.69</v>
      </c>
      <c r="CU2967">
        <v>68.819999999999993</v>
      </c>
      <c r="CV2967">
        <v>8.5</v>
      </c>
      <c r="CW2967">
        <v>0.13</v>
      </c>
      <c r="CX2967" t="s">
        <v>1902</v>
      </c>
      <c r="CY2967">
        <v>15.53</v>
      </c>
      <c r="CZ2967">
        <v>0</v>
      </c>
      <c r="DA2967">
        <v>11.9</v>
      </c>
      <c r="DB2967">
        <v>2.02</v>
      </c>
      <c r="DC2967">
        <v>0.61</v>
      </c>
      <c r="DD2967">
        <v>32.64</v>
      </c>
      <c r="DE2967" t="s">
        <v>13063</v>
      </c>
      <c r="DF2967">
        <v>30.68</v>
      </c>
      <c r="DG2967">
        <v>3.99</v>
      </c>
      <c r="DH2967">
        <v>0.09</v>
      </c>
      <c r="DI2967">
        <v>0.12</v>
      </c>
      <c r="DJ2967">
        <v>35072</v>
      </c>
      <c r="DK2967">
        <v>600754</v>
      </c>
      <c r="DL2967" t="s">
        <v>120</v>
      </c>
      <c r="DM2967" t="s">
        <v>120</v>
      </c>
      <c r="DN2967" t="s">
        <v>120</v>
      </c>
    </row>
    <row r="2968" spans="1:118">
      <c r="A2968" t="str">
        <f>"600755"</f>
        <v>600755</v>
      </c>
      <c r="B2968" t="s">
        <v>13064</v>
      </c>
      <c r="C2968">
        <v>-1.85</v>
      </c>
      <c r="D2968">
        <v>-0.21</v>
      </c>
      <c r="E2968">
        <v>0.33</v>
      </c>
      <c r="F2968">
        <v>8567</v>
      </c>
      <c r="G2968" t="s">
        <v>13065</v>
      </c>
      <c r="H2968">
        <v>46506</v>
      </c>
      <c r="I2968">
        <v>404.71</v>
      </c>
      <c r="J2968" t="s">
        <v>120</v>
      </c>
      <c r="K2968" t="s">
        <v>13066</v>
      </c>
      <c r="L2968">
        <v>2.74</v>
      </c>
      <c r="M2968">
        <v>9</v>
      </c>
      <c r="N2968">
        <v>0.72</v>
      </c>
      <c r="O2968">
        <v>1.85</v>
      </c>
      <c r="P2968">
        <v>9.34</v>
      </c>
      <c r="Q2968">
        <v>-2.29</v>
      </c>
      <c r="R2968">
        <v>8.9600000000000009</v>
      </c>
      <c r="S2968">
        <v>9.1999999999999993</v>
      </c>
      <c r="T2968">
        <v>509480</v>
      </c>
      <c r="U2968">
        <v>9.02</v>
      </c>
      <c r="V2968">
        <v>9.17</v>
      </c>
      <c r="W2968">
        <v>3.73</v>
      </c>
      <c r="X2968" t="s">
        <v>562</v>
      </c>
      <c r="Y2968" t="s">
        <v>937</v>
      </c>
      <c r="Z2968">
        <v>4.1399999999999997</v>
      </c>
      <c r="AA2968">
        <v>9.1300000000000008</v>
      </c>
      <c r="AB2968">
        <v>261558</v>
      </c>
      <c r="AC2968">
        <v>247922</v>
      </c>
      <c r="AD2968">
        <v>1.06</v>
      </c>
      <c r="AE2968">
        <v>2556</v>
      </c>
      <c r="AF2968">
        <v>171</v>
      </c>
      <c r="AG2968" t="s">
        <v>120</v>
      </c>
      <c r="AH2968">
        <v>0.04</v>
      </c>
      <c r="AI2968" t="s">
        <v>120</v>
      </c>
      <c r="AJ2968">
        <v>18.61</v>
      </c>
      <c r="AK2968" t="s">
        <v>13067</v>
      </c>
      <c r="AL2968">
        <v>-0.51</v>
      </c>
      <c r="AM2968">
        <v>4234</v>
      </c>
      <c r="AN2968">
        <v>120</v>
      </c>
      <c r="AO2968">
        <v>5.9999999999999995E-4</v>
      </c>
      <c r="AP2968">
        <v>-1</v>
      </c>
      <c r="AQ2968">
        <v>0.88</v>
      </c>
      <c r="AR2968">
        <v>-5.0599999999999996</v>
      </c>
      <c r="AS2968">
        <v>20.81</v>
      </c>
      <c r="AT2968">
        <v>12.08</v>
      </c>
      <c r="AU2968">
        <v>44.7</v>
      </c>
      <c r="AV2968">
        <v>0</v>
      </c>
      <c r="AW2968">
        <v>4.38</v>
      </c>
      <c r="AX2968">
        <v>59.32</v>
      </c>
      <c r="AY2968">
        <v>5.05</v>
      </c>
      <c r="AZ2968">
        <v>6.88</v>
      </c>
      <c r="BA2968">
        <v>1.1499999999999999</v>
      </c>
      <c r="BB2968" t="s">
        <v>143</v>
      </c>
      <c r="BF2968">
        <v>-0.46</v>
      </c>
      <c r="BG2968">
        <v>-2.17</v>
      </c>
      <c r="BH2968">
        <v>-3.64</v>
      </c>
      <c r="BI2968">
        <v>0.45</v>
      </c>
      <c r="BJ2968">
        <v>20210904</v>
      </c>
      <c r="BK2968">
        <v>19961003</v>
      </c>
      <c r="BL2968">
        <v>19.59</v>
      </c>
      <c r="BM2968" t="s">
        <v>120</v>
      </c>
      <c r="BN2968" t="s">
        <v>120</v>
      </c>
      <c r="BO2968">
        <v>1139.28</v>
      </c>
      <c r="BP2968">
        <v>9</v>
      </c>
      <c r="BQ2968">
        <v>274.83999999999997</v>
      </c>
      <c r="BR2968">
        <v>58.04</v>
      </c>
      <c r="BS2968">
        <v>70.78</v>
      </c>
      <c r="BT2968">
        <v>951.27</v>
      </c>
      <c r="BU2968">
        <v>28.63</v>
      </c>
      <c r="BV2968">
        <v>1.37</v>
      </c>
      <c r="BW2968">
        <v>749.71</v>
      </c>
      <c r="BX2968">
        <v>87.87</v>
      </c>
      <c r="BY2968">
        <v>348.28</v>
      </c>
      <c r="BZ2968">
        <v>58.8</v>
      </c>
      <c r="CA2968">
        <v>0.26</v>
      </c>
      <c r="CB2968">
        <v>35.020000000000003</v>
      </c>
      <c r="CC2968">
        <v>2472.64</v>
      </c>
      <c r="CD2968">
        <v>2419.4699999999998</v>
      </c>
      <c r="CE2968">
        <v>35.74</v>
      </c>
      <c r="CF2968">
        <v>20.12</v>
      </c>
      <c r="CG2968">
        <v>36.26</v>
      </c>
      <c r="CH2968">
        <v>25.21</v>
      </c>
      <c r="CI2968">
        <v>23.6</v>
      </c>
      <c r="CJ2968">
        <v>-0.17</v>
      </c>
      <c r="CK2968">
        <v>21.86</v>
      </c>
      <c r="CL2968">
        <v>106.79</v>
      </c>
      <c r="CM2968">
        <v>-30.2</v>
      </c>
      <c r="CN2968">
        <v>-49.2</v>
      </c>
      <c r="CO2968">
        <v>97976</v>
      </c>
      <c r="CP2968">
        <v>11860</v>
      </c>
      <c r="CQ2968" t="s">
        <v>7792</v>
      </c>
      <c r="CR2968">
        <v>66.760000000000005</v>
      </c>
      <c r="CS2968">
        <v>89.3</v>
      </c>
      <c r="CT2968">
        <v>1.04</v>
      </c>
      <c r="CU2968">
        <v>-5.84</v>
      </c>
      <c r="CV2968">
        <v>7.0000000000000007E-2</v>
      </c>
      <c r="CW2968">
        <v>5</v>
      </c>
      <c r="CX2968" t="s">
        <v>1953</v>
      </c>
      <c r="CY2968">
        <v>8.66</v>
      </c>
      <c r="CZ2968">
        <v>8.66</v>
      </c>
      <c r="DA2968">
        <v>1.79</v>
      </c>
      <c r="DB2968">
        <v>5.45</v>
      </c>
      <c r="DC2968">
        <v>-1.54</v>
      </c>
      <c r="DD2968">
        <v>24.12</v>
      </c>
      <c r="DE2968" t="s">
        <v>1632</v>
      </c>
      <c r="DF2968">
        <v>2.15</v>
      </c>
      <c r="DG2968">
        <v>1.45</v>
      </c>
      <c r="DH2968">
        <v>0.95</v>
      </c>
      <c r="DI2968" t="s">
        <v>120</v>
      </c>
      <c r="DJ2968">
        <v>4867</v>
      </c>
      <c r="DK2968">
        <v>600755</v>
      </c>
      <c r="DL2968" t="s">
        <v>120</v>
      </c>
      <c r="DM2968" t="s">
        <v>120</v>
      </c>
      <c r="DN2968" t="s">
        <v>120</v>
      </c>
    </row>
    <row r="2969" spans="1:118">
      <c r="A2969" t="str">
        <f>"600756"</f>
        <v>600756</v>
      </c>
      <c r="B2969" t="s">
        <v>13068</v>
      </c>
      <c r="C2969">
        <v>2.39</v>
      </c>
      <c r="D2969">
        <v>0</v>
      </c>
      <c r="E2969">
        <v>0.22</v>
      </c>
      <c r="F2969">
        <v>1799</v>
      </c>
      <c r="G2969" t="s">
        <v>2396</v>
      </c>
      <c r="H2969">
        <v>14412.27</v>
      </c>
      <c r="I2969">
        <v>18.670000000000002</v>
      </c>
      <c r="J2969" t="s">
        <v>120</v>
      </c>
      <c r="K2969" t="s">
        <v>13069</v>
      </c>
      <c r="L2969">
        <v>3.25</v>
      </c>
      <c r="M2969">
        <v>13.72</v>
      </c>
      <c r="N2969">
        <v>1.99</v>
      </c>
      <c r="O2969">
        <v>3.28</v>
      </c>
      <c r="P2969">
        <v>13.84</v>
      </c>
      <c r="Q2969">
        <v>-0.3</v>
      </c>
      <c r="R2969">
        <v>13.36</v>
      </c>
      <c r="S2969">
        <v>13.43</v>
      </c>
      <c r="T2969">
        <v>105419</v>
      </c>
      <c r="U2969">
        <v>13.73</v>
      </c>
      <c r="V2969">
        <v>13.4</v>
      </c>
      <c r="W2969" t="s">
        <v>120</v>
      </c>
      <c r="X2969" t="s">
        <v>141</v>
      </c>
      <c r="Y2969" t="s">
        <v>638</v>
      </c>
      <c r="Z2969">
        <v>3.58</v>
      </c>
      <c r="AA2969">
        <v>13.67</v>
      </c>
      <c r="AB2969">
        <v>46818</v>
      </c>
      <c r="AC2969">
        <v>58601</v>
      </c>
      <c r="AD2969">
        <v>0.8</v>
      </c>
      <c r="AE2969">
        <v>186</v>
      </c>
      <c r="AF2969">
        <v>414</v>
      </c>
      <c r="AG2969" t="s">
        <v>120</v>
      </c>
      <c r="AH2969">
        <v>0.01</v>
      </c>
      <c r="AI2969" t="s">
        <v>120</v>
      </c>
      <c r="AJ2969">
        <v>3.24</v>
      </c>
      <c r="AK2969" t="s">
        <v>13069</v>
      </c>
      <c r="AL2969">
        <v>3.73</v>
      </c>
      <c r="AM2969">
        <v>2951</v>
      </c>
      <c r="AN2969">
        <v>36</v>
      </c>
      <c r="AO2969">
        <v>1.1000000000000001E-3</v>
      </c>
      <c r="AP2969">
        <v>1</v>
      </c>
      <c r="AQ2969">
        <v>-0.59</v>
      </c>
      <c r="AR2969">
        <v>2.39</v>
      </c>
      <c r="AS2969">
        <v>8.7200000000000006</v>
      </c>
      <c r="AT2969">
        <v>2.0099999999999998</v>
      </c>
      <c r="AU2969">
        <v>-12</v>
      </c>
      <c r="AV2969">
        <v>1</v>
      </c>
      <c r="AW2969">
        <v>4.0199999999999996</v>
      </c>
      <c r="AX2969">
        <v>80.91</v>
      </c>
      <c r="AY2969" t="s">
        <v>120</v>
      </c>
      <c r="AZ2969" t="s">
        <v>120</v>
      </c>
      <c r="BA2969">
        <v>0.47</v>
      </c>
      <c r="BB2969" t="s">
        <v>143</v>
      </c>
      <c r="BF2969">
        <v>2.0299999999999998</v>
      </c>
      <c r="BG2969">
        <v>2.16</v>
      </c>
      <c r="BH2969">
        <v>-0.87</v>
      </c>
      <c r="BI2969">
        <v>2.69</v>
      </c>
      <c r="BJ2969">
        <v>20210830</v>
      </c>
      <c r="BK2969">
        <v>19960923</v>
      </c>
      <c r="BL2969">
        <v>3.24</v>
      </c>
      <c r="BM2969" t="s">
        <v>120</v>
      </c>
      <c r="BN2969" t="s">
        <v>120</v>
      </c>
      <c r="BO2969">
        <v>38.119999999999997</v>
      </c>
      <c r="BP2969">
        <v>13.72</v>
      </c>
      <c r="BQ2969">
        <v>20.85</v>
      </c>
      <c r="BR2969">
        <v>0</v>
      </c>
      <c r="BS2969">
        <v>45.29</v>
      </c>
      <c r="BT2969">
        <v>28.75</v>
      </c>
      <c r="BU2969">
        <v>0.81</v>
      </c>
      <c r="BV2969">
        <v>1.81</v>
      </c>
      <c r="BW2969">
        <v>17.2</v>
      </c>
      <c r="BX2969">
        <v>13.55</v>
      </c>
      <c r="BY2969">
        <v>5.34</v>
      </c>
      <c r="BZ2969">
        <v>3.03</v>
      </c>
      <c r="CA2969" t="s">
        <v>120</v>
      </c>
      <c r="CB2969">
        <v>10.66</v>
      </c>
      <c r="CC2969">
        <v>5.08</v>
      </c>
      <c r="CD2969">
        <v>2.72</v>
      </c>
      <c r="CE2969">
        <v>-0.46</v>
      </c>
      <c r="CF2969">
        <v>0.14000000000000001</v>
      </c>
      <c r="CG2969">
        <v>-0.46</v>
      </c>
      <c r="CH2969">
        <v>-0.49</v>
      </c>
      <c r="CI2969">
        <v>-0.49</v>
      </c>
      <c r="CJ2969">
        <v>0.32</v>
      </c>
      <c r="CK2969">
        <v>-0.51</v>
      </c>
      <c r="CL2969">
        <v>6.11</v>
      </c>
      <c r="CM2969">
        <v>-1.54</v>
      </c>
      <c r="CN2969">
        <v>1.9</v>
      </c>
      <c r="CO2969">
        <v>65867</v>
      </c>
      <c r="CP2969">
        <v>3981</v>
      </c>
      <c r="CQ2969" t="s">
        <v>1311</v>
      </c>
      <c r="CR2969">
        <v>45.1</v>
      </c>
      <c r="CS2969">
        <v>15.44</v>
      </c>
      <c r="CT2969">
        <v>2.13</v>
      </c>
      <c r="CU2969">
        <v>-28.78</v>
      </c>
      <c r="CV2969">
        <v>8.75</v>
      </c>
      <c r="CW2969">
        <v>0</v>
      </c>
      <c r="CX2969" t="s">
        <v>795</v>
      </c>
      <c r="CY2969">
        <v>6.43</v>
      </c>
      <c r="CZ2969">
        <v>0</v>
      </c>
      <c r="DA2969">
        <v>3.29</v>
      </c>
      <c r="DB2969">
        <v>1.88</v>
      </c>
      <c r="DC2969">
        <v>-0.48</v>
      </c>
      <c r="DD2969">
        <v>54.7</v>
      </c>
      <c r="DE2969" t="s">
        <v>1181</v>
      </c>
      <c r="DF2969">
        <v>46.5</v>
      </c>
      <c r="DG2969">
        <v>-9.0299999999999994</v>
      </c>
      <c r="DH2969">
        <v>-9.73</v>
      </c>
      <c r="DI2969">
        <v>1.1399999999999999</v>
      </c>
      <c r="DJ2969">
        <v>1755</v>
      </c>
      <c r="DK2969">
        <v>600756</v>
      </c>
      <c r="DL2969" t="s">
        <v>120</v>
      </c>
      <c r="DM2969" t="s">
        <v>120</v>
      </c>
      <c r="DN2969" t="s">
        <v>120</v>
      </c>
    </row>
    <row r="2970" spans="1:118">
      <c r="A2970" t="str">
        <f>"600757"</f>
        <v>600757</v>
      </c>
      <c r="B2970" t="s">
        <v>13070</v>
      </c>
      <c r="C2970">
        <v>-1.28</v>
      </c>
      <c r="D2970">
        <v>-0.54</v>
      </c>
      <c r="E2970">
        <v>0.36</v>
      </c>
      <c r="F2970">
        <v>4894</v>
      </c>
      <c r="G2970" t="s">
        <v>13071</v>
      </c>
      <c r="H2970">
        <v>4235.78</v>
      </c>
      <c r="I2970">
        <v>29.48</v>
      </c>
      <c r="J2970" t="s">
        <v>120</v>
      </c>
      <c r="K2970" t="s">
        <v>13072</v>
      </c>
      <c r="L2970">
        <v>0.64</v>
      </c>
      <c r="M2970">
        <v>5.42</v>
      </c>
      <c r="N2970">
        <v>0.73</v>
      </c>
      <c r="O2970">
        <v>0.91</v>
      </c>
      <c r="P2970">
        <v>5.54</v>
      </c>
      <c r="Q2970">
        <v>-1.28</v>
      </c>
      <c r="R2970">
        <v>5.42</v>
      </c>
      <c r="S2970">
        <v>5.51</v>
      </c>
      <c r="T2970">
        <v>77260</v>
      </c>
      <c r="U2970">
        <v>5.43</v>
      </c>
      <c r="V2970">
        <v>5.49</v>
      </c>
      <c r="W2970">
        <v>6.85</v>
      </c>
      <c r="X2970" t="s">
        <v>1730</v>
      </c>
      <c r="Y2970" t="s">
        <v>763</v>
      </c>
      <c r="Z2970">
        <v>2.19</v>
      </c>
      <c r="AA2970">
        <v>5.48</v>
      </c>
      <c r="AB2970">
        <v>45629</v>
      </c>
      <c r="AC2970">
        <v>31631</v>
      </c>
      <c r="AD2970">
        <v>1.44</v>
      </c>
      <c r="AE2970">
        <v>2066</v>
      </c>
      <c r="AF2970">
        <v>5</v>
      </c>
      <c r="AG2970" t="s">
        <v>120</v>
      </c>
      <c r="AH2970">
        <v>0.01</v>
      </c>
      <c r="AI2970" t="s">
        <v>120</v>
      </c>
      <c r="AJ2970">
        <v>12.13</v>
      </c>
      <c r="AK2970" t="s">
        <v>13073</v>
      </c>
      <c r="AL2970">
        <v>7.0000000000000007E-2</v>
      </c>
      <c r="AM2970">
        <v>1496</v>
      </c>
      <c r="AN2970">
        <v>52</v>
      </c>
      <c r="AO2970">
        <v>4.0000000000000002E-4</v>
      </c>
      <c r="AP2970">
        <v>-1</v>
      </c>
      <c r="AQ2970">
        <v>0.92</v>
      </c>
      <c r="AR2970">
        <v>-2.52</v>
      </c>
      <c r="AS2970">
        <v>4.63</v>
      </c>
      <c r="AT2970">
        <v>1.69</v>
      </c>
      <c r="AU2970">
        <v>9.7100000000000009</v>
      </c>
      <c r="AV2970">
        <v>0</v>
      </c>
      <c r="AW2970">
        <v>1.46</v>
      </c>
      <c r="AX2970">
        <v>43.53</v>
      </c>
      <c r="AY2970">
        <v>8.1</v>
      </c>
      <c r="AZ2970">
        <v>8.16</v>
      </c>
      <c r="BA2970">
        <v>0.48</v>
      </c>
      <c r="BB2970" t="s">
        <v>184</v>
      </c>
      <c r="BF2970">
        <v>-0.14000000000000001</v>
      </c>
      <c r="BG2970">
        <v>-1.63</v>
      </c>
      <c r="BH2970">
        <v>-2.17</v>
      </c>
      <c r="BI2970">
        <v>0</v>
      </c>
      <c r="BJ2970">
        <v>20210827</v>
      </c>
      <c r="BK2970">
        <v>19961003</v>
      </c>
      <c r="BL2970">
        <v>12.14</v>
      </c>
      <c r="BM2970" t="s">
        <v>120</v>
      </c>
      <c r="BN2970" t="s">
        <v>120</v>
      </c>
      <c r="BO2970">
        <v>113.22</v>
      </c>
      <c r="BP2970">
        <v>5.42</v>
      </c>
      <c r="BQ2970">
        <v>79.400000000000006</v>
      </c>
      <c r="BR2970">
        <v>0.48</v>
      </c>
      <c r="BS2970">
        <v>29.45</v>
      </c>
      <c r="BT2970">
        <v>88.09</v>
      </c>
      <c r="BU2970">
        <v>10.37</v>
      </c>
      <c r="BV2970">
        <v>2.57</v>
      </c>
      <c r="BW2970">
        <v>31.72</v>
      </c>
      <c r="BX2970">
        <v>22.09</v>
      </c>
      <c r="BY2970">
        <v>13.08</v>
      </c>
      <c r="BZ2970">
        <v>8.14</v>
      </c>
      <c r="CA2970">
        <v>0.13</v>
      </c>
      <c r="CB2970">
        <v>18.399999999999999</v>
      </c>
      <c r="CC2970">
        <v>28.55</v>
      </c>
      <c r="CD2970">
        <v>17.75</v>
      </c>
      <c r="CE2970">
        <v>4.99</v>
      </c>
      <c r="CF2970">
        <v>0.56000000000000005</v>
      </c>
      <c r="CG2970">
        <v>4.8099999999999996</v>
      </c>
      <c r="CH2970">
        <v>4.8099999999999996</v>
      </c>
      <c r="CI2970">
        <v>4.8</v>
      </c>
      <c r="CJ2970">
        <v>-7.0000000000000007E-2</v>
      </c>
      <c r="CK2970">
        <v>4.8600000000000003</v>
      </c>
      <c r="CL2970">
        <v>43.67</v>
      </c>
      <c r="CM2970">
        <v>1.76</v>
      </c>
      <c r="CN2970">
        <v>-1.49</v>
      </c>
      <c r="CO2970">
        <v>33304</v>
      </c>
      <c r="CP2970">
        <v>15863</v>
      </c>
      <c r="CQ2970" t="s">
        <v>3450</v>
      </c>
      <c r="CR2970">
        <v>1.37</v>
      </c>
      <c r="CS2970">
        <v>-7.28</v>
      </c>
      <c r="CT2970">
        <v>0.83</v>
      </c>
      <c r="CU2970">
        <v>37.450000000000003</v>
      </c>
      <c r="CV2970">
        <v>2.2999999999999998</v>
      </c>
      <c r="CW2970">
        <v>6.38</v>
      </c>
      <c r="CX2970" t="s">
        <v>3527</v>
      </c>
      <c r="CY2970">
        <v>6.54</v>
      </c>
      <c r="CZ2970">
        <v>0</v>
      </c>
      <c r="DA2970">
        <v>1.52</v>
      </c>
      <c r="DB2970">
        <v>3.6</v>
      </c>
      <c r="DC2970">
        <v>0.14000000000000001</v>
      </c>
      <c r="DD2970">
        <v>70.12</v>
      </c>
      <c r="DE2970" t="s">
        <v>5611</v>
      </c>
      <c r="DF2970">
        <v>37.83</v>
      </c>
      <c r="DG2970">
        <v>17.48</v>
      </c>
      <c r="DH2970">
        <v>16.82</v>
      </c>
      <c r="DI2970">
        <v>0.08</v>
      </c>
      <c r="DJ2970">
        <v>4509</v>
      </c>
      <c r="DK2970">
        <v>600757</v>
      </c>
      <c r="DL2970" t="s">
        <v>120</v>
      </c>
      <c r="DM2970" t="s">
        <v>120</v>
      </c>
      <c r="DN2970" t="s">
        <v>120</v>
      </c>
    </row>
    <row r="2971" spans="1:118">
      <c r="A2971" t="str">
        <f>"600758"</f>
        <v>600758</v>
      </c>
      <c r="B2971" t="s">
        <v>13074</v>
      </c>
      <c r="C2971">
        <v>-5.53</v>
      </c>
      <c r="D2971">
        <v>0</v>
      </c>
      <c r="E2971">
        <v>2.25</v>
      </c>
      <c r="F2971">
        <v>5052</v>
      </c>
      <c r="G2971" t="s">
        <v>8036</v>
      </c>
      <c r="H2971">
        <v>41072.28</v>
      </c>
      <c r="I2971">
        <v>1183.58</v>
      </c>
      <c r="J2971" t="s">
        <v>120</v>
      </c>
      <c r="K2971" t="s">
        <v>13075</v>
      </c>
      <c r="L2971">
        <v>6.54</v>
      </c>
      <c r="M2971">
        <v>4.6100000000000003</v>
      </c>
      <c r="N2971">
        <v>1.35</v>
      </c>
      <c r="O2971">
        <v>2.25</v>
      </c>
      <c r="P2971">
        <v>4.99</v>
      </c>
      <c r="Q2971">
        <v>-5.74</v>
      </c>
      <c r="R2971">
        <v>4.5999999999999996</v>
      </c>
      <c r="S2971">
        <v>4.99</v>
      </c>
      <c r="T2971">
        <v>863639</v>
      </c>
      <c r="U2971">
        <v>4.6100000000000003</v>
      </c>
      <c r="V2971">
        <v>4.88</v>
      </c>
      <c r="W2971" t="s">
        <v>120</v>
      </c>
      <c r="X2971" t="s">
        <v>1081</v>
      </c>
      <c r="Y2971" t="s">
        <v>432</v>
      </c>
      <c r="Z2971">
        <v>7.99</v>
      </c>
      <c r="AA2971">
        <v>4.76</v>
      </c>
      <c r="AB2971">
        <v>432722</v>
      </c>
      <c r="AC2971">
        <v>430916</v>
      </c>
      <c r="AD2971">
        <v>1</v>
      </c>
      <c r="AE2971">
        <v>3812</v>
      </c>
      <c r="AF2971">
        <v>958</v>
      </c>
      <c r="AG2971" t="s">
        <v>120</v>
      </c>
      <c r="AH2971">
        <v>0.47</v>
      </c>
      <c r="AI2971" t="s">
        <v>120</v>
      </c>
      <c r="AJ2971">
        <v>13.21</v>
      </c>
      <c r="AK2971" t="s">
        <v>10504</v>
      </c>
      <c r="AL2971">
        <v>-4.1900000000000004</v>
      </c>
      <c r="AM2971">
        <v>4233</v>
      </c>
      <c r="AN2971">
        <v>204</v>
      </c>
      <c r="AO2971">
        <v>1.5E-3</v>
      </c>
      <c r="AP2971">
        <v>-1</v>
      </c>
      <c r="AQ2971">
        <v>9.91</v>
      </c>
      <c r="AR2971">
        <v>1.32</v>
      </c>
      <c r="AS2971">
        <v>24.26</v>
      </c>
      <c r="AT2971">
        <v>28.06</v>
      </c>
      <c r="AU2971">
        <v>14.11</v>
      </c>
      <c r="AV2971">
        <v>8</v>
      </c>
      <c r="AW2971">
        <v>17.059999999999999</v>
      </c>
      <c r="AX2971">
        <v>38.299999999999997</v>
      </c>
      <c r="AY2971" t="s">
        <v>120</v>
      </c>
      <c r="AZ2971" t="s">
        <v>120</v>
      </c>
      <c r="BA2971">
        <v>0.75</v>
      </c>
      <c r="BB2971" t="s">
        <v>700</v>
      </c>
      <c r="BF2971">
        <v>-2.5499999999999998</v>
      </c>
      <c r="BG2971">
        <v>-7.62</v>
      </c>
      <c r="BH2971">
        <v>-7.62</v>
      </c>
      <c r="BI2971">
        <v>0.22</v>
      </c>
      <c r="BJ2971">
        <v>20210827</v>
      </c>
      <c r="BK2971">
        <v>19961029</v>
      </c>
      <c r="BL2971">
        <v>13.22</v>
      </c>
      <c r="BM2971" t="s">
        <v>120</v>
      </c>
      <c r="BN2971" t="s">
        <v>120</v>
      </c>
      <c r="BO2971">
        <v>144.94999999999999</v>
      </c>
      <c r="BP2971">
        <v>4.5999999999999996</v>
      </c>
      <c r="BQ2971">
        <v>49.71</v>
      </c>
      <c r="BR2971">
        <v>0</v>
      </c>
      <c r="BS2971">
        <v>65.7</v>
      </c>
      <c r="BT2971">
        <v>53.84</v>
      </c>
      <c r="BU2971">
        <v>63.24</v>
      </c>
      <c r="BV2971">
        <v>16.600000000000001</v>
      </c>
      <c r="BW2971">
        <v>78.87</v>
      </c>
      <c r="BX2971">
        <v>23.07</v>
      </c>
      <c r="BY2971">
        <v>2.64</v>
      </c>
      <c r="BZ2971">
        <v>10.5</v>
      </c>
      <c r="CA2971">
        <v>0.12</v>
      </c>
      <c r="CB2971">
        <v>34.19</v>
      </c>
      <c r="CC2971">
        <v>28.17</v>
      </c>
      <c r="CD2971">
        <v>24.21</v>
      </c>
      <c r="CE2971">
        <v>0.06</v>
      </c>
      <c r="CF2971">
        <v>0.1</v>
      </c>
      <c r="CG2971">
        <v>-0.32</v>
      </c>
      <c r="CH2971">
        <v>-0.53</v>
      </c>
      <c r="CI2971">
        <v>-0.53</v>
      </c>
      <c r="CJ2971">
        <v>-0.27</v>
      </c>
      <c r="CK2971">
        <v>-0.28000000000000003</v>
      </c>
      <c r="CL2971">
        <v>-7.0000000000000007E-2</v>
      </c>
      <c r="CM2971">
        <v>0.75</v>
      </c>
      <c r="CN2971">
        <v>-8.6</v>
      </c>
      <c r="CO2971">
        <v>55572</v>
      </c>
      <c r="CP2971">
        <v>9110</v>
      </c>
      <c r="CQ2971" t="s">
        <v>4744</v>
      </c>
      <c r="CR2971">
        <v>72.69</v>
      </c>
      <c r="CS2971">
        <v>-5.4</v>
      </c>
      <c r="CT2971">
        <v>1.23</v>
      </c>
      <c r="CU2971">
        <v>81.3</v>
      </c>
      <c r="CV2971">
        <v>2.16</v>
      </c>
      <c r="CW2971">
        <v>0</v>
      </c>
      <c r="CX2971" t="s">
        <v>1255</v>
      </c>
      <c r="CY2971">
        <v>3.76</v>
      </c>
      <c r="CZ2971">
        <v>0</v>
      </c>
      <c r="DA2971">
        <v>2.59</v>
      </c>
      <c r="DB2971">
        <v>-0.01</v>
      </c>
      <c r="DC2971">
        <v>0.06</v>
      </c>
      <c r="DD2971">
        <v>34.29</v>
      </c>
      <c r="DE2971" t="s">
        <v>13076</v>
      </c>
      <c r="DF2971">
        <v>14.06</v>
      </c>
      <c r="DG2971">
        <v>0.23</v>
      </c>
      <c r="DH2971">
        <v>-1.88</v>
      </c>
      <c r="DI2971">
        <v>0.01</v>
      </c>
      <c r="DJ2971">
        <v>16536</v>
      </c>
      <c r="DK2971">
        <v>600758</v>
      </c>
      <c r="DL2971" t="s">
        <v>120</v>
      </c>
      <c r="DM2971" t="s">
        <v>120</v>
      </c>
      <c r="DN2971" t="s">
        <v>120</v>
      </c>
    </row>
    <row r="2972" spans="1:118">
      <c r="A2972" t="str">
        <f>"600759"</f>
        <v>600759</v>
      </c>
      <c r="B2972" t="s">
        <v>13077</v>
      </c>
      <c r="C2972">
        <v>1.03</v>
      </c>
      <c r="D2972">
        <v>0.26</v>
      </c>
      <c r="E2972">
        <v>3.09</v>
      </c>
      <c r="F2972">
        <v>20341</v>
      </c>
      <c r="G2972" t="s">
        <v>13078</v>
      </c>
      <c r="H2972">
        <v>159786.88</v>
      </c>
      <c r="I2972">
        <v>2820.12</v>
      </c>
      <c r="J2972" t="s">
        <v>120</v>
      </c>
      <c r="K2972" t="s">
        <v>13079</v>
      </c>
      <c r="L2972">
        <v>17.690000000000001</v>
      </c>
      <c r="M2972">
        <v>3.92</v>
      </c>
      <c r="N2972">
        <v>1.56</v>
      </c>
      <c r="O2972">
        <v>7.73</v>
      </c>
      <c r="P2972">
        <v>4.18</v>
      </c>
      <c r="Q2972">
        <v>-1.03</v>
      </c>
      <c r="R2972">
        <v>3.84</v>
      </c>
      <c r="S2972">
        <v>4</v>
      </c>
      <c r="T2972">
        <v>3995451</v>
      </c>
      <c r="U2972">
        <v>3.92</v>
      </c>
      <c r="V2972">
        <v>3.88</v>
      </c>
      <c r="W2972">
        <v>78.13</v>
      </c>
      <c r="X2972" t="s">
        <v>3867</v>
      </c>
      <c r="Y2972" t="s">
        <v>835</v>
      </c>
      <c r="Z2972">
        <v>8.76</v>
      </c>
      <c r="AA2972">
        <v>4</v>
      </c>
      <c r="AB2972">
        <v>2034247</v>
      </c>
      <c r="AC2972">
        <v>1961204</v>
      </c>
      <c r="AD2972">
        <v>1.04</v>
      </c>
      <c r="AE2972">
        <v>9207</v>
      </c>
      <c r="AF2972">
        <v>8660</v>
      </c>
      <c r="AG2972" t="s">
        <v>120</v>
      </c>
      <c r="AH2972">
        <v>0.47</v>
      </c>
      <c r="AI2972" t="s">
        <v>120</v>
      </c>
      <c r="AJ2972">
        <v>22.58</v>
      </c>
      <c r="AK2972" t="s">
        <v>13080</v>
      </c>
      <c r="AL2972">
        <v>2.37</v>
      </c>
      <c r="AM2972">
        <v>4712</v>
      </c>
      <c r="AN2972">
        <v>848</v>
      </c>
      <c r="AO2972">
        <v>3.8E-3</v>
      </c>
      <c r="AP2972">
        <v>4</v>
      </c>
      <c r="AQ2972">
        <v>9.92</v>
      </c>
      <c r="AR2972">
        <v>17.73</v>
      </c>
      <c r="AS2972">
        <v>62.66</v>
      </c>
      <c r="AT2972">
        <v>49.05</v>
      </c>
      <c r="AU2972">
        <v>118.99</v>
      </c>
      <c r="AV2972">
        <v>10</v>
      </c>
      <c r="AW2972">
        <v>26.45</v>
      </c>
      <c r="AX2972">
        <v>66.739999999999995</v>
      </c>
      <c r="AY2972">
        <v>22.33</v>
      </c>
      <c r="AZ2972">
        <v>50.25</v>
      </c>
      <c r="BA2972">
        <v>0.81</v>
      </c>
      <c r="BB2972" t="s">
        <v>184</v>
      </c>
      <c r="BF2972">
        <v>3.07</v>
      </c>
      <c r="BG2972">
        <v>-2</v>
      </c>
      <c r="BH2972">
        <v>-6.22</v>
      </c>
      <c r="BI2972">
        <v>2.08</v>
      </c>
      <c r="BJ2972">
        <v>20210826</v>
      </c>
      <c r="BK2972">
        <v>19961008</v>
      </c>
      <c r="BL2972">
        <v>22.64</v>
      </c>
      <c r="BM2972" t="s">
        <v>120</v>
      </c>
      <c r="BN2972" t="s">
        <v>120</v>
      </c>
      <c r="BO2972">
        <v>142.44999999999999</v>
      </c>
      <c r="BP2972">
        <v>3.91</v>
      </c>
      <c r="BQ2972">
        <v>52.78</v>
      </c>
      <c r="BR2972">
        <v>2.93</v>
      </c>
      <c r="BS2972">
        <v>60.89</v>
      </c>
      <c r="BT2972">
        <v>8.17</v>
      </c>
      <c r="BU2972">
        <v>0.86</v>
      </c>
      <c r="BV2972">
        <v>0.04</v>
      </c>
      <c r="BW2972">
        <v>45.96</v>
      </c>
      <c r="BX2972">
        <v>0.79</v>
      </c>
      <c r="BY2972">
        <v>0.59</v>
      </c>
      <c r="BZ2972">
        <v>3.53</v>
      </c>
      <c r="CA2972">
        <v>0.02</v>
      </c>
      <c r="CB2972">
        <v>26.09</v>
      </c>
      <c r="CC2972">
        <v>11.56</v>
      </c>
      <c r="CD2972">
        <v>4.9000000000000004</v>
      </c>
      <c r="CE2972">
        <v>1.27</v>
      </c>
      <c r="CF2972">
        <v>-0.09</v>
      </c>
      <c r="CG2972">
        <v>1.27</v>
      </c>
      <c r="CH2972">
        <v>0.56000000000000005</v>
      </c>
      <c r="CI2972">
        <v>0.56999999999999995</v>
      </c>
      <c r="CJ2972">
        <v>0.04</v>
      </c>
      <c r="CK2972">
        <v>0.59</v>
      </c>
      <c r="CL2972">
        <v>7.96</v>
      </c>
      <c r="CM2972">
        <v>2.0699999999999998</v>
      </c>
      <c r="CN2972">
        <v>-0.5</v>
      </c>
      <c r="CO2972">
        <v>94612</v>
      </c>
      <c r="CP2972">
        <v>15966</v>
      </c>
      <c r="CQ2972" t="s">
        <v>8119</v>
      </c>
      <c r="CR2972">
        <v>135.11000000000001</v>
      </c>
      <c r="CS2972">
        <v>54.44</v>
      </c>
      <c r="CT2972">
        <v>1.68</v>
      </c>
      <c r="CU2972">
        <v>42.86</v>
      </c>
      <c r="CV2972">
        <v>7.67</v>
      </c>
      <c r="CW2972">
        <v>0</v>
      </c>
      <c r="CX2972" t="s">
        <v>233</v>
      </c>
      <c r="CY2972">
        <v>2.33</v>
      </c>
      <c r="CZ2972">
        <v>0</v>
      </c>
      <c r="DA2972">
        <v>1.1499999999999999</v>
      </c>
      <c r="DB2972">
        <v>0.35</v>
      </c>
      <c r="DC2972">
        <v>0.09</v>
      </c>
      <c r="DD2972">
        <v>37.049999999999997</v>
      </c>
      <c r="DE2972" t="s">
        <v>3972</v>
      </c>
      <c r="DF2972">
        <v>57.61</v>
      </c>
      <c r="DG2972">
        <v>11</v>
      </c>
      <c r="DH2972">
        <v>4.91</v>
      </c>
      <c r="DI2972">
        <v>0.02</v>
      </c>
      <c r="DJ2972">
        <v>808</v>
      </c>
      <c r="DK2972">
        <v>600759</v>
      </c>
      <c r="DL2972">
        <v>20210913</v>
      </c>
      <c r="DM2972">
        <v>3.29</v>
      </c>
      <c r="DN2972">
        <v>19.149999999999999</v>
      </c>
    </row>
    <row r="2973" spans="1:118">
      <c r="A2973" t="str">
        <f>"600760"</f>
        <v>600760</v>
      </c>
      <c r="B2973" t="s">
        <v>13081</v>
      </c>
      <c r="C2973">
        <v>-2.8</v>
      </c>
      <c r="D2973">
        <v>0.01</v>
      </c>
      <c r="E2973">
        <v>-0.67</v>
      </c>
      <c r="F2973">
        <v>1311</v>
      </c>
      <c r="G2973" t="s">
        <v>13082</v>
      </c>
      <c r="H2973">
        <v>95552.91</v>
      </c>
      <c r="I2973">
        <v>454.73</v>
      </c>
      <c r="J2973" t="s">
        <v>120</v>
      </c>
      <c r="K2973" t="s">
        <v>13083</v>
      </c>
      <c r="L2973">
        <v>0.68</v>
      </c>
      <c r="M2973">
        <v>71.239999999999995</v>
      </c>
      <c r="N2973">
        <v>0.65</v>
      </c>
      <c r="O2973">
        <v>0.68</v>
      </c>
      <c r="P2973">
        <v>73.790000000000006</v>
      </c>
      <c r="Q2973">
        <v>-3.12</v>
      </c>
      <c r="R2973">
        <v>71</v>
      </c>
      <c r="S2973">
        <v>72.8</v>
      </c>
      <c r="T2973">
        <v>132320</v>
      </c>
      <c r="U2973">
        <v>71.25</v>
      </c>
      <c r="V2973">
        <v>73.290000000000006</v>
      </c>
      <c r="W2973">
        <v>73.56</v>
      </c>
      <c r="X2973" t="s">
        <v>1621</v>
      </c>
      <c r="Y2973" t="s">
        <v>638</v>
      </c>
      <c r="Z2973">
        <v>3.81</v>
      </c>
      <c r="AA2973">
        <v>72.209999999999994</v>
      </c>
      <c r="AB2973">
        <v>74746</v>
      </c>
      <c r="AC2973">
        <v>57574</v>
      </c>
      <c r="AD2973">
        <v>1.3</v>
      </c>
      <c r="AE2973">
        <v>144</v>
      </c>
      <c r="AF2973">
        <v>44</v>
      </c>
      <c r="AG2973" t="s">
        <v>120</v>
      </c>
      <c r="AH2973">
        <v>0.01</v>
      </c>
      <c r="AI2973" t="s">
        <v>120</v>
      </c>
      <c r="AJ2973">
        <v>19.579999999999998</v>
      </c>
      <c r="AK2973" t="s">
        <v>13084</v>
      </c>
      <c r="AL2973">
        <v>-1.45</v>
      </c>
      <c r="AM2973">
        <v>4504</v>
      </c>
      <c r="AN2973">
        <v>29</v>
      </c>
      <c r="AO2973">
        <v>2.0000000000000001E-4</v>
      </c>
      <c r="AP2973">
        <v>-1</v>
      </c>
      <c r="AQ2973">
        <v>0.53</v>
      </c>
      <c r="AR2973">
        <v>-2.82</v>
      </c>
      <c r="AS2973">
        <v>-5.56</v>
      </c>
      <c r="AT2973">
        <v>20.46</v>
      </c>
      <c r="AU2973">
        <v>27.97</v>
      </c>
      <c r="AV2973">
        <v>5</v>
      </c>
      <c r="AW2973">
        <v>2.4500000000000002</v>
      </c>
      <c r="AX2973">
        <v>27.6</v>
      </c>
      <c r="AY2973">
        <v>90.89</v>
      </c>
      <c r="AZ2973">
        <v>97.07</v>
      </c>
      <c r="BA2973">
        <v>1.92</v>
      </c>
      <c r="BB2973" t="s">
        <v>143</v>
      </c>
      <c r="BF2973">
        <v>-1.47</v>
      </c>
      <c r="BG2973">
        <v>-2.14</v>
      </c>
      <c r="BH2973">
        <v>-3.46</v>
      </c>
      <c r="BI2973">
        <v>0.34</v>
      </c>
      <c r="BJ2973">
        <v>20210910</v>
      </c>
      <c r="BK2973">
        <v>19961011</v>
      </c>
      <c r="BL2973">
        <v>19.61</v>
      </c>
      <c r="BM2973" t="s">
        <v>120</v>
      </c>
      <c r="BN2973" t="s">
        <v>120</v>
      </c>
      <c r="BO2973">
        <v>662.71</v>
      </c>
      <c r="BP2973">
        <v>71.239999999999995</v>
      </c>
      <c r="BQ2973">
        <v>107.76</v>
      </c>
      <c r="BR2973" t="s">
        <v>120</v>
      </c>
      <c r="BS2973">
        <v>83.74</v>
      </c>
      <c r="BT2973">
        <v>599.6</v>
      </c>
      <c r="BU2973">
        <v>36.19</v>
      </c>
      <c r="BV2973">
        <v>9.39</v>
      </c>
      <c r="BW2973">
        <v>538.21</v>
      </c>
      <c r="BX2973">
        <v>408.52</v>
      </c>
      <c r="BY2973">
        <v>52.27</v>
      </c>
      <c r="BZ2973">
        <v>34.229999999999997</v>
      </c>
      <c r="CA2973" t="s">
        <v>120</v>
      </c>
      <c r="CB2973">
        <v>55.44</v>
      </c>
      <c r="CC2973">
        <v>159.18</v>
      </c>
      <c r="CD2973">
        <v>143.57</v>
      </c>
      <c r="CE2973">
        <v>11</v>
      </c>
      <c r="CF2973">
        <v>-0.03</v>
      </c>
      <c r="CG2973">
        <v>10.94</v>
      </c>
      <c r="CH2973">
        <v>9.49</v>
      </c>
      <c r="CI2973">
        <v>9.49</v>
      </c>
      <c r="CJ2973">
        <v>-2.0499999999999998</v>
      </c>
      <c r="CK2973">
        <v>8.85</v>
      </c>
      <c r="CL2973">
        <v>32.22</v>
      </c>
      <c r="CM2973">
        <v>288.95</v>
      </c>
      <c r="CN2973">
        <v>282.20999999999998</v>
      </c>
      <c r="CO2973">
        <v>111484</v>
      </c>
      <c r="CP2973">
        <v>4854</v>
      </c>
      <c r="CQ2973" t="s">
        <v>13085</v>
      </c>
      <c r="CR2973">
        <v>11.87</v>
      </c>
      <c r="CS2973">
        <v>37.380000000000003</v>
      </c>
      <c r="CT2973">
        <v>12.96</v>
      </c>
      <c r="CU2973">
        <v>4.83</v>
      </c>
      <c r="CV2973">
        <v>8.77</v>
      </c>
      <c r="CW2973">
        <v>0.32</v>
      </c>
      <c r="CX2973" t="s">
        <v>3347</v>
      </c>
      <c r="CY2973">
        <v>5.5</v>
      </c>
      <c r="CZ2973">
        <v>0</v>
      </c>
      <c r="DA2973">
        <v>2.83</v>
      </c>
      <c r="DB2973">
        <v>1.64</v>
      </c>
      <c r="DC2973">
        <v>14.74</v>
      </c>
      <c r="DD2973">
        <v>16.260000000000002</v>
      </c>
      <c r="DE2973" t="s">
        <v>7328</v>
      </c>
      <c r="DF2973">
        <v>9.81</v>
      </c>
      <c r="DG2973">
        <v>6.91</v>
      </c>
      <c r="DH2973">
        <v>5.96</v>
      </c>
      <c r="DI2973">
        <v>2.61</v>
      </c>
      <c r="DJ2973">
        <v>14349</v>
      </c>
      <c r="DK2973">
        <v>600760</v>
      </c>
      <c r="DL2973">
        <v>20210824</v>
      </c>
      <c r="DM2973">
        <v>80</v>
      </c>
      <c r="DN2973">
        <v>-10.95</v>
      </c>
    </row>
    <row r="2974" spans="1:118">
      <c r="A2974" t="str">
        <f>"600761"</f>
        <v>600761</v>
      </c>
      <c r="B2974" t="s">
        <v>13086</v>
      </c>
      <c r="C2974">
        <v>-0.82</v>
      </c>
      <c r="D2974">
        <v>-0.08</v>
      </c>
      <c r="E2974">
        <v>-0.18</v>
      </c>
      <c r="F2974">
        <v>371</v>
      </c>
      <c r="G2974" t="s">
        <v>7776</v>
      </c>
      <c r="H2974">
        <v>6054.97</v>
      </c>
      <c r="I2974">
        <v>12.9</v>
      </c>
      <c r="J2974" t="s">
        <v>120</v>
      </c>
      <c r="K2974" t="s">
        <v>13087</v>
      </c>
      <c r="L2974">
        <v>0.75</v>
      </c>
      <c r="M2974">
        <v>10.86</v>
      </c>
      <c r="N2974">
        <v>0.47</v>
      </c>
      <c r="O2974">
        <v>1.37</v>
      </c>
      <c r="P2974">
        <v>11.1</v>
      </c>
      <c r="Q2974">
        <v>-0.91</v>
      </c>
      <c r="R2974">
        <v>10.85</v>
      </c>
      <c r="S2974">
        <v>10.93</v>
      </c>
      <c r="T2974">
        <v>55304</v>
      </c>
      <c r="U2974">
        <v>10.87</v>
      </c>
      <c r="V2974">
        <v>10.95</v>
      </c>
      <c r="W2974">
        <v>10.62</v>
      </c>
      <c r="X2974" t="s">
        <v>593</v>
      </c>
      <c r="Y2974" t="s">
        <v>570</v>
      </c>
      <c r="Z2974">
        <v>2.2799999999999998</v>
      </c>
      <c r="AA2974">
        <v>10.95</v>
      </c>
      <c r="AB2974">
        <v>33042</v>
      </c>
      <c r="AC2974">
        <v>22262</v>
      </c>
      <c r="AD2974">
        <v>1.48</v>
      </c>
      <c r="AE2974">
        <v>672</v>
      </c>
      <c r="AF2974">
        <v>282</v>
      </c>
      <c r="AG2974" t="s">
        <v>120</v>
      </c>
      <c r="AH2974">
        <v>0</v>
      </c>
      <c r="AI2974" t="s">
        <v>120</v>
      </c>
      <c r="AJ2974">
        <v>7.4</v>
      </c>
      <c r="AK2974" t="s">
        <v>13087</v>
      </c>
      <c r="AL2974">
        <v>0.52</v>
      </c>
      <c r="AM2974">
        <v>1852</v>
      </c>
      <c r="AN2974">
        <v>30</v>
      </c>
      <c r="AO2974">
        <v>4.0000000000000002E-4</v>
      </c>
      <c r="AP2974">
        <v>-1</v>
      </c>
      <c r="AQ2974">
        <v>0.27</v>
      </c>
      <c r="AR2974">
        <v>-3.65</v>
      </c>
      <c r="AS2974">
        <v>-0.55000000000000004</v>
      </c>
      <c r="AT2974">
        <v>-1</v>
      </c>
      <c r="AU2974">
        <v>-21.59</v>
      </c>
      <c r="AV2974">
        <v>0</v>
      </c>
      <c r="AW2974">
        <v>1.31</v>
      </c>
      <c r="AX2974">
        <v>57.03</v>
      </c>
      <c r="AY2974">
        <v>11.46</v>
      </c>
      <c r="AZ2974">
        <v>11.07</v>
      </c>
      <c r="BA2974">
        <v>0.9</v>
      </c>
      <c r="BB2974" t="s">
        <v>143</v>
      </c>
      <c r="BF2974">
        <v>-0.01</v>
      </c>
      <c r="BG2974">
        <v>-0.64</v>
      </c>
      <c r="BH2974">
        <v>-2.16</v>
      </c>
      <c r="BI2974">
        <v>0.09</v>
      </c>
      <c r="BJ2974">
        <v>20210821</v>
      </c>
      <c r="BK2974">
        <v>19961009</v>
      </c>
      <c r="BL2974">
        <v>7.4</v>
      </c>
      <c r="BM2974" t="s">
        <v>120</v>
      </c>
      <c r="BN2974" t="s">
        <v>120</v>
      </c>
      <c r="BO2974">
        <v>106.01</v>
      </c>
      <c r="BP2974">
        <v>10.86</v>
      </c>
      <c r="BQ2974">
        <v>55.59</v>
      </c>
      <c r="BR2974">
        <v>5.27</v>
      </c>
      <c r="BS2974">
        <v>42.6</v>
      </c>
      <c r="BT2974">
        <v>77.25</v>
      </c>
      <c r="BU2974">
        <v>17.66</v>
      </c>
      <c r="BV2974">
        <v>2.3199999999999998</v>
      </c>
      <c r="BW2974">
        <v>38.79</v>
      </c>
      <c r="BX2974">
        <v>22.86</v>
      </c>
      <c r="BY2974">
        <v>18.059999999999999</v>
      </c>
      <c r="BZ2974">
        <v>13.82</v>
      </c>
      <c r="CA2974" t="s">
        <v>120</v>
      </c>
      <c r="CB2974">
        <v>3.15</v>
      </c>
      <c r="CC2974">
        <v>79.41</v>
      </c>
      <c r="CD2974">
        <v>66.790000000000006</v>
      </c>
      <c r="CE2974">
        <v>5.31</v>
      </c>
      <c r="CF2974">
        <v>0.21</v>
      </c>
      <c r="CG2974">
        <v>5.39</v>
      </c>
      <c r="CH2974">
        <v>4.58</v>
      </c>
      <c r="CI2974">
        <v>3.78</v>
      </c>
      <c r="CJ2974">
        <v>-0.09</v>
      </c>
      <c r="CK2974">
        <v>3.45</v>
      </c>
      <c r="CL2974">
        <v>37.57</v>
      </c>
      <c r="CM2974">
        <v>-0.43</v>
      </c>
      <c r="CN2974">
        <v>-7.0000000000000007E-2</v>
      </c>
      <c r="CO2974">
        <v>37580</v>
      </c>
      <c r="CP2974">
        <v>11233</v>
      </c>
      <c r="CQ2974" t="s">
        <v>13088</v>
      </c>
      <c r="CR2974">
        <v>-6.11</v>
      </c>
      <c r="CS2974">
        <v>46.19</v>
      </c>
      <c r="CT2974">
        <v>1.45</v>
      </c>
      <c r="CU2974">
        <v>-187.17</v>
      </c>
      <c r="CV2974">
        <v>1.01</v>
      </c>
      <c r="CW2974">
        <v>3.2</v>
      </c>
      <c r="CX2974" t="s">
        <v>1001</v>
      </c>
      <c r="CY2974">
        <v>7.51</v>
      </c>
      <c r="CZ2974">
        <v>0</v>
      </c>
      <c r="DA2974">
        <v>0.43</v>
      </c>
      <c r="DB2974">
        <v>5.08</v>
      </c>
      <c r="DC2974">
        <v>-0.06</v>
      </c>
      <c r="DD2974">
        <v>52.44</v>
      </c>
      <c r="DE2974" t="s">
        <v>2972</v>
      </c>
      <c r="DF2974">
        <v>15.89</v>
      </c>
      <c r="DG2974">
        <v>6.68</v>
      </c>
      <c r="DH2974">
        <v>4.76</v>
      </c>
      <c r="DI2974">
        <v>3.31</v>
      </c>
      <c r="DJ2974">
        <v>7619</v>
      </c>
      <c r="DK2974">
        <v>600761</v>
      </c>
      <c r="DL2974" t="s">
        <v>120</v>
      </c>
      <c r="DM2974" t="s">
        <v>120</v>
      </c>
      <c r="DN2974" t="s">
        <v>120</v>
      </c>
    </row>
    <row r="2975" spans="1:118">
      <c r="A2975" t="str">
        <f>"600763"</f>
        <v>600763</v>
      </c>
      <c r="B2975" t="s">
        <v>13089</v>
      </c>
      <c r="C2975">
        <v>6.5</v>
      </c>
      <c r="D2975">
        <v>-0.27</v>
      </c>
      <c r="E2975">
        <v>-1.1599999999999999</v>
      </c>
      <c r="F2975">
        <v>651</v>
      </c>
      <c r="G2975" t="s">
        <v>13090</v>
      </c>
      <c r="H2975">
        <v>221492.76</v>
      </c>
      <c r="I2975">
        <v>956.6</v>
      </c>
      <c r="J2975" t="s">
        <v>120</v>
      </c>
      <c r="K2975" t="s">
        <v>13091</v>
      </c>
      <c r="L2975">
        <v>2.75</v>
      </c>
      <c r="M2975">
        <v>256.39999999999998</v>
      </c>
      <c r="N2975">
        <v>1.66</v>
      </c>
      <c r="O2975">
        <v>9.7899999999999991</v>
      </c>
      <c r="P2975">
        <v>264.33</v>
      </c>
      <c r="Q2975">
        <v>-2.1800000000000002</v>
      </c>
      <c r="R2975">
        <v>235.5</v>
      </c>
      <c r="S2975">
        <v>237.96</v>
      </c>
      <c r="T2975">
        <v>88073</v>
      </c>
      <c r="U2975">
        <v>256.39999999999998</v>
      </c>
      <c r="V2975">
        <v>240.76</v>
      </c>
      <c r="W2975">
        <v>117.19</v>
      </c>
      <c r="X2975" t="s">
        <v>555</v>
      </c>
      <c r="Y2975" t="s">
        <v>585</v>
      </c>
      <c r="Z2975">
        <v>11.97</v>
      </c>
      <c r="AA2975">
        <v>251.49</v>
      </c>
      <c r="AB2975">
        <v>34312</v>
      </c>
      <c r="AC2975">
        <v>53761</v>
      </c>
      <c r="AD2975">
        <v>0.64</v>
      </c>
      <c r="AE2975">
        <v>6</v>
      </c>
      <c r="AF2975">
        <v>1</v>
      </c>
      <c r="AG2975" t="s">
        <v>120</v>
      </c>
      <c r="AH2975">
        <v>0.02</v>
      </c>
      <c r="AI2975" t="s">
        <v>120</v>
      </c>
      <c r="AJ2975">
        <v>3.21</v>
      </c>
      <c r="AK2975" t="s">
        <v>13091</v>
      </c>
      <c r="AL2975">
        <v>7.84</v>
      </c>
      <c r="AM2975">
        <v>4620</v>
      </c>
      <c r="AN2975">
        <v>19</v>
      </c>
      <c r="AO2975">
        <v>5.9999999999999995E-4</v>
      </c>
      <c r="AP2975">
        <v>1</v>
      </c>
      <c r="AQ2975">
        <v>-1.1299999999999999</v>
      </c>
      <c r="AR2975">
        <v>6.02</v>
      </c>
      <c r="AS2975">
        <v>-15.01</v>
      </c>
      <c r="AT2975">
        <v>-34.75</v>
      </c>
      <c r="AU2975">
        <v>-7.27</v>
      </c>
      <c r="AV2975">
        <v>1</v>
      </c>
      <c r="AW2975">
        <v>4.1500000000000004</v>
      </c>
      <c r="AX2975">
        <v>66.25</v>
      </c>
      <c r="AY2975">
        <v>110.61</v>
      </c>
      <c r="AZ2975">
        <v>156.71</v>
      </c>
      <c r="BA2975">
        <v>2.5</v>
      </c>
      <c r="BB2975" t="s">
        <v>143</v>
      </c>
      <c r="BF2975">
        <v>4.46</v>
      </c>
      <c r="BG2975">
        <v>7.75</v>
      </c>
      <c r="BH2975">
        <v>-3</v>
      </c>
      <c r="BI2975">
        <v>8.8699999999999992</v>
      </c>
      <c r="BJ2975">
        <v>20210810</v>
      </c>
      <c r="BK2975">
        <v>19961030</v>
      </c>
      <c r="BL2975">
        <v>3.21</v>
      </c>
      <c r="BM2975" t="s">
        <v>120</v>
      </c>
      <c r="BN2975" t="s">
        <v>120</v>
      </c>
      <c r="BO2975">
        <v>38.78</v>
      </c>
      <c r="BP2975">
        <v>256.39</v>
      </c>
      <c r="BQ2975">
        <v>25.02</v>
      </c>
      <c r="BR2975">
        <v>2.4300000000000002</v>
      </c>
      <c r="BS2975">
        <v>29.24</v>
      </c>
      <c r="BT2975">
        <v>10.41</v>
      </c>
      <c r="BU2975">
        <v>8.75</v>
      </c>
      <c r="BV2975">
        <v>0.13</v>
      </c>
      <c r="BW2975">
        <v>5.05</v>
      </c>
      <c r="BX2975">
        <v>8.43</v>
      </c>
      <c r="BY2975">
        <v>0.16</v>
      </c>
      <c r="BZ2975">
        <v>1.05</v>
      </c>
      <c r="CA2975">
        <v>0</v>
      </c>
      <c r="CB2975">
        <v>0</v>
      </c>
      <c r="CC2975">
        <v>13.18</v>
      </c>
      <c r="CD2975">
        <v>7.02</v>
      </c>
      <c r="CE2975">
        <v>4.66</v>
      </c>
      <c r="CF2975">
        <v>0.21</v>
      </c>
      <c r="CG2975">
        <v>4.66</v>
      </c>
      <c r="CH2975">
        <v>3.97</v>
      </c>
      <c r="CI2975">
        <v>3.51</v>
      </c>
      <c r="CJ2975">
        <v>15.64</v>
      </c>
      <c r="CK2975">
        <v>3.42</v>
      </c>
      <c r="CL2975">
        <v>21.73</v>
      </c>
      <c r="CM2975">
        <v>3.33</v>
      </c>
      <c r="CN2975">
        <v>1.69</v>
      </c>
      <c r="CO2975">
        <v>42799</v>
      </c>
      <c r="CP2975">
        <v>4963</v>
      </c>
      <c r="CQ2975" t="s">
        <v>13092</v>
      </c>
      <c r="CR2975">
        <v>141.16</v>
      </c>
      <c r="CS2975">
        <v>74.81</v>
      </c>
      <c r="CT2975">
        <v>32.86</v>
      </c>
      <c r="CU2975">
        <v>247.24</v>
      </c>
      <c r="CV2975">
        <v>62.4</v>
      </c>
      <c r="CW2975">
        <v>0</v>
      </c>
      <c r="CX2975" t="s">
        <v>1953</v>
      </c>
      <c r="CY2975">
        <v>7.8</v>
      </c>
      <c r="CZ2975">
        <v>0</v>
      </c>
      <c r="DA2975">
        <v>0</v>
      </c>
      <c r="DB2975">
        <v>6.78</v>
      </c>
      <c r="DC2975">
        <v>1.04</v>
      </c>
      <c r="DD2975">
        <v>64.510000000000005</v>
      </c>
      <c r="DE2975" t="s">
        <v>13093</v>
      </c>
      <c r="DF2975">
        <v>46.75</v>
      </c>
      <c r="DG2975">
        <v>35.369999999999997</v>
      </c>
      <c r="DH2975">
        <v>26.62</v>
      </c>
      <c r="DI2975">
        <v>0.24</v>
      </c>
      <c r="DJ2975">
        <v>4118</v>
      </c>
      <c r="DK2975">
        <v>600763</v>
      </c>
      <c r="DL2975" t="s">
        <v>120</v>
      </c>
      <c r="DM2975" t="s">
        <v>120</v>
      </c>
      <c r="DN2975" t="s">
        <v>120</v>
      </c>
    </row>
    <row r="2976" spans="1:118">
      <c r="A2976" t="str">
        <f>"600764"</f>
        <v>600764</v>
      </c>
      <c r="B2976" t="s">
        <v>13094</v>
      </c>
      <c r="C2976">
        <v>-4.71</v>
      </c>
      <c r="D2976">
        <v>-0.28000000000000003</v>
      </c>
      <c r="E2976">
        <v>-0.31</v>
      </c>
      <c r="F2976">
        <v>406</v>
      </c>
      <c r="G2976" t="s">
        <v>9356</v>
      </c>
      <c r="H2976">
        <v>18776.7</v>
      </c>
      <c r="I2976">
        <v>100.66</v>
      </c>
      <c r="J2976" t="s">
        <v>120</v>
      </c>
      <c r="K2976" t="s">
        <v>13095</v>
      </c>
      <c r="L2976">
        <v>1.35</v>
      </c>
      <c r="M2976">
        <v>27.49</v>
      </c>
      <c r="N2976">
        <v>1.23</v>
      </c>
      <c r="O2976">
        <v>1.21</v>
      </c>
      <c r="P2976">
        <v>29.2</v>
      </c>
      <c r="Q2976">
        <v>-4.99</v>
      </c>
      <c r="R2976">
        <v>27.41</v>
      </c>
      <c r="S2976">
        <v>28.76</v>
      </c>
      <c r="T2976">
        <v>66813</v>
      </c>
      <c r="U2976">
        <v>27.5</v>
      </c>
      <c r="V2976">
        <v>28.85</v>
      </c>
      <c r="W2976">
        <v>35.15</v>
      </c>
      <c r="X2976" t="s">
        <v>462</v>
      </c>
      <c r="Y2976" t="s">
        <v>158</v>
      </c>
      <c r="Z2976">
        <v>6.2</v>
      </c>
      <c r="AA2976">
        <v>28.1</v>
      </c>
      <c r="AB2976">
        <v>43150</v>
      </c>
      <c r="AC2976">
        <v>23663</v>
      </c>
      <c r="AD2976">
        <v>1.82</v>
      </c>
      <c r="AE2976">
        <v>38</v>
      </c>
      <c r="AF2976">
        <v>317</v>
      </c>
      <c r="AG2976" t="s">
        <v>120</v>
      </c>
      <c r="AH2976">
        <v>0.02</v>
      </c>
      <c r="AI2976" t="s">
        <v>120</v>
      </c>
      <c r="AJ2976">
        <v>4.96</v>
      </c>
      <c r="AK2976" t="s">
        <v>13096</v>
      </c>
      <c r="AL2976">
        <v>-3.37</v>
      </c>
      <c r="AM2976">
        <v>3325</v>
      </c>
      <c r="AN2976">
        <v>20</v>
      </c>
      <c r="AO2976">
        <v>4.0000000000000002E-4</v>
      </c>
      <c r="AP2976">
        <v>-1</v>
      </c>
      <c r="AQ2976">
        <v>1.37</v>
      </c>
      <c r="AR2976">
        <v>-5.56</v>
      </c>
      <c r="AS2976">
        <v>-4.88</v>
      </c>
      <c r="AT2976">
        <v>-4.09</v>
      </c>
      <c r="AU2976">
        <v>-23.41</v>
      </c>
      <c r="AV2976">
        <v>1</v>
      </c>
      <c r="AW2976">
        <v>3.64</v>
      </c>
      <c r="AX2976">
        <v>25.82</v>
      </c>
      <c r="AY2976">
        <v>25.52</v>
      </c>
      <c r="AZ2976">
        <v>27.41</v>
      </c>
      <c r="BA2976">
        <v>0.4</v>
      </c>
      <c r="BB2976" t="s">
        <v>143</v>
      </c>
      <c r="BF2976">
        <v>-2.59</v>
      </c>
      <c r="BG2976">
        <v>-4.42</v>
      </c>
      <c r="BH2976">
        <v>-5.86</v>
      </c>
      <c r="BI2976">
        <v>0.28999999999999998</v>
      </c>
      <c r="BJ2976">
        <v>20210827</v>
      </c>
      <c r="BK2976">
        <v>19961104</v>
      </c>
      <c r="BL2976">
        <v>7.11</v>
      </c>
      <c r="BM2976" t="s">
        <v>120</v>
      </c>
      <c r="BN2976" t="s">
        <v>120</v>
      </c>
      <c r="BO2976">
        <v>100.51</v>
      </c>
      <c r="BP2976">
        <v>27.49</v>
      </c>
      <c r="BQ2976">
        <v>71.11</v>
      </c>
      <c r="BR2976" t="s">
        <v>120</v>
      </c>
      <c r="BS2976">
        <v>29.25</v>
      </c>
      <c r="BT2976">
        <v>86.12</v>
      </c>
      <c r="BU2976">
        <v>7.25</v>
      </c>
      <c r="BV2976">
        <v>2.58</v>
      </c>
      <c r="BW2976">
        <v>25.35</v>
      </c>
      <c r="BX2976">
        <v>26.38</v>
      </c>
      <c r="BY2976">
        <v>18.149999999999999</v>
      </c>
      <c r="BZ2976">
        <v>23.58</v>
      </c>
      <c r="CA2976" t="s">
        <v>120</v>
      </c>
      <c r="CB2976">
        <v>30.11</v>
      </c>
      <c r="CC2976">
        <v>19.88</v>
      </c>
      <c r="CD2976">
        <v>13.39</v>
      </c>
      <c r="CE2976">
        <v>3.11</v>
      </c>
      <c r="CF2976">
        <v>0</v>
      </c>
      <c r="CG2976">
        <v>3.1</v>
      </c>
      <c r="CH2976">
        <v>2.78</v>
      </c>
      <c r="CI2976">
        <v>2.78</v>
      </c>
      <c r="CJ2976">
        <v>-1.36</v>
      </c>
      <c r="CK2976">
        <v>2.63</v>
      </c>
      <c r="CL2976">
        <v>33.409999999999997</v>
      </c>
      <c r="CM2976">
        <v>2.96</v>
      </c>
      <c r="CN2976">
        <v>3.21</v>
      </c>
      <c r="CO2976">
        <v>25796</v>
      </c>
      <c r="CP2976">
        <v>7113</v>
      </c>
      <c r="CQ2976" t="s">
        <v>13097</v>
      </c>
      <c r="CR2976">
        <v>24.95</v>
      </c>
      <c r="CS2976">
        <v>13.75</v>
      </c>
      <c r="CT2976">
        <v>2.75</v>
      </c>
      <c r="CU2976">
        <v>65.89</v>
      </c>
      <c r="CV2976">
        <v>9.83</v>
      </c>
      <c r="CW2976">
        <v>1.1000000000000001</v>
      </c>
      <c r="CX2976" t="s">
        <v>13098</v>
      </c>
      <c r="CY2976">
        <v>10.01</v>
      </c>
      <c r="CZ2976">
        <v>0</v>
      </c>
      <c r="DA2976">
        <v>4.24</v>
      </c>
      <c r="DB2976">
        <v>4.7</v>
      </c>
      <c r="DC2976">
        <v>0.42</v>
      </c>
      <c r="DD2976">
        <v>70.75</v>
      </c>
      <c r="DE2976" t="s">
        <v>2916</v>
      </c>
      <c r="DF2976">
        <v>32.619999999999997</v>
      </c>
      <c r="DG2976">
        <v>15.64</v>
      </c>
      <c r="DH2976">
        <v>13.98</v>
      </c>
      <c r="DI2976">
        <v>1.27</v>
      </c>
      <c r="DJ2976">
        <v>4066</v>
      </c>
      <c r="DK2976">
        <v>600764</v>
      </c>
      <c r="DL2976" t="s">
        <v>120</v>
      </c>
      <c r="DM2976" t="s">
        <v>120</v>
      </c>
      <c r="DN2976" t="s">
        <v>120</v>
      </c>
    </row>
    <row r="2977" spans="1:118">
      <c r="A2977" t="str">
        <f>"600765"</f>
        <v>600765</v>
      </c>
      <c r="B2977" t="s">
        <v>13099</v>
      </c>
      <c r="C2977">
        <v>1.79</v>
      </c>
      <c r="D2977">
        <v>0.03</v>
      </c>
      <c r="E2977">
        <v>-0.53</v>
      </c>
      <c r="F2977">
        <v>1437</v>
      </c>
      <c r="G2977" t="s">
        <v>13100</v>
      </c>
      <c r="H2977">
        <v>88287.25</v>
      </c>
      <c r="I2977">
        <v>106.21</v>
      </c>
      <c r="J2977" t="s">
        <v>120</v>
      </c>
      <c r="K2977" t="s">
        <v>13101</v>
      </c>
      <c r="L2977">
        <v>2.93</v>
      </c>
      <c r="M2977">
        <v>34.729999999999997</v>
      </c>
      <c r="N2977">
        <v>1.37</v>
      </c>
      <c r="O2977">
        <v>5.95</v>
      </c>
      <c r="P2977">
        <v>36.15</v>
      </c>
      <c r="Q2977">
        <v>-0.53</v>
      </c>
      <c r="R2977">
        <v>33.94</v>
      </c>
      <c r="S2977">
        <v>33.94</v>
      </c>
      <c r="T2977">
        <v>251280</v>
      </c>
      <c r="U2977">
        <v>34.74</v>
      </c>
      <c r="V2977">
        <v>34.119999999999997</v>
      </c>
      <c r="W2977">
        <v>67.62</v>
      </c>
      <c r="X2977" t="s">
        <v>1621</v>
      </c>
      <c r="Y2977" t="s">
        <v>1021</v>
      </c>
      <c r="Z2977">
        <v>6.48</v>
      </c>
      <c r="AA2977">
        <v>35.130000000000003</v>
      </c>
      <c r="AB2977">
        <v>120180</v>
      </c>
      <c r="AC2977">
        <v>131100</v>
      </c>
      <c r="AD2977">
        <v>0.92</v>
      </c>
      <c r="AE2977">
        <v>424</v>
      </c>
      <c r="AF2977">
        <v>142</v>
      </c>
      <c r="AG2977" t="s">
        <v>120</v>
      </c>
      <c r="AH2977">
        <v>0.01</v>
      </c>
      <c r="AI2977" t="s">
        <v>120</v>
      </c>
      <c r="AJ2977">
        <v>8.57</v>
      </c>
      <c r="AK2977" t="s">
        <v>13102</v>
      </c>
      <c r="AL2977">
        <v>3.13</v>
      </c>
      <c r="AM2977">
        <v>4600</v>
      </c>
      <c r="AN2977">
        <v>55</v>
      </c>
      <c r="AO2977">
        <v>5.9999999999999995E-4</v>
      </c>
      <c r="AP2977">
        <v>2</v>
      </c>
      <c r="AQ2977">
        <v>1.67</v>
      </c>
      <c r="AR2977">
        <v>3.46</v>
      </c>
      <c r="AS2977">
        <v>12.72</v>
      </c>
      <c r="AT2977">
        <v>61.69</v>
      </c>
      <c r="AU2977">
        <v>39.19</v>
      </c>
      <c r="AV2977">
        <v>4</v>
      </c>
      <c r="AW2977">
        <v>4.46</v>
      </c>
      <c r="AX2977">
        <v>53.58</v>
      </c>
      <c r="AY2977">
        <v>72.62</v>
      </c>
      <c r="AZ2977">
        <v>104.37</v>
      </c>
      <c r="BA2977">
        <v>1.17</v>
      </c>
      <c r="BB2977" t="s">
        <v>168</v>
      </c>
      <c r="BF2977">
        <v>2.97</v>
      </c>
      <c r="BG2977">
        <v>2.33</v>
      </c>
      <c r="BH2977">
        <v>-3.93</v>
      </c>
      <c r="BI2977">
        <v>2.33</v>
      </c>
      <c r="BJ2977">
        <v>20210902</v>
      </c>
      <c r="BK2977">
        <v>19961106</v>
      </c>
      <c r="BL2977">
        <v>10.52</v>
      </c>
      <c r="BM2977" t="s">
        <v>120</v>
      </c>
      <c r="BN2977" t="s">
        <v>120</v>
      </c>
      <c r="BO2977">
        <v>187.97</v>
      </c>
      <c r="BP2977">
        <v>34.729999999999997</v>
      </c>
      <c r="BQ2977">
        <v>88.16</v>
      </c>
      <c r="BR2977">
        <v>4.5999999999999996</v>
      </c>
      <c r="BS2977">
        <v>50.65</v>
      </c>
      <c r="BT2977">
        <v>145.38</v>
      </c>
      <c r="BU2977">
        <v>25.67</v>
      </c>
      <c r="BV2977">
        <v>3.06</v>
      </c>
      <c r="BW2977">
        <v>69.3</v>
      </c>
      <c r="BX2977">
        <v>52.27</v>
      </c>
      <c r="BY2977">
        <v>29.3</v>
      </c>
      <c r="BZ2977">
        <v>37.119999999999997</v>
      </c>
      <c r="CA2977" t="s">
        <v>120</v>
      </c>
      <c r="CB2977">
        <v>49.38</v>
      </c>
      <c r="CC2977">
        <v>44.32</v>
      </c>
      <c r="CD2977">
        <v>32.11</v>
      </c>
      <c r="CE2977">
        <v>4.22</v>
      </c>
      <c r="CF2977">
        <v>0.05</v>
      </c>
      <c r="CG2977">
        <v>4.22</v>
      </c>
      <c r="CH2977">
        <v>3.28</v>
      </c>
      <c r="CI2977">
        <v>2.7</v>
      </c>
      <c r="CJ2977">
        <v>0.61</v>
      </c>
      <c r="CK2977">
        <v>2.66</v>
      </c>
      <c r="CL2977">
        <v>26.23</v>
      </c>
      <c r="CM2977">
        <v>6.99</v>
      </c>
      <c r="CN2977">
        <v>21.44</v>
      </c>
      <c r="CO2977">
        <v>56895</v>
      </c>
      <c r="CP2977">
        <v>9904</v>
      </c>
      <c r="CQ2977" t="s">
        <v>13103</v>
      </c>
      <c r="CR2977">
        <v>125.42</v>
      </c>
      <c r="CS2977">
        <v>35.799999999999997</v>
      </c>
      <c r="CT2977">
        <v>4.1399999999999997</v>
      </c>
      <c r="CU2977">
        <v>52.27</v>
      </c>
      <c r="CV2977">
        <v>8.24</v>
      </c>
      <c r="CW2977">
        <v>0.13</v>
      </c>
      <c r="CX2977" t="s">
        <v>293</v>
      </c>
      <c r="CY2977">
        <v>8.3800000000000008</v>
      </c>
      <c r="CZ2977">
        <v>0</v>
      </c>
      <c r="DA2977">
        <v>4.7</v>
      </c>
      <c r="DB2977">
        <v>2.4900000000000002</v>
      </c>
      <c r="DC2977">
        <v>0.66</v>
      </c>
      <c r="DD2977">
        <v>46.9</v>
      </c>
      <c r="DE2977" t="s">
        <v>4082</v>
      </c>
      <c r="DF2977">
        <v>27.55</v>
      </c>
      <c r="DG2977">
        <v>9.52</v>
      </c>
      <c r="DH2977">
        <v>6.09</v>
      </c>
      <c r="DI2977">
        <v>1.38</v>
      </c>
      <c r="DJ2977">
        <v>7165</v>
      </c>
      <c r="DK2977">
        <v>600765</v>
      </c>
      <c r="DL2977">
        <v>20210726</v>
      </c>
      <c r="DM2977">
        <v>26.6</v>
      </c>
      <c r="DN2977">
        <v>30.56</v>
      </c>
    </row>
    <row r="2978" spans="1:118">
      <c r="A2978" t="str">
        <f>"600767"</f>
        <v>600767</v>
      </c>
      <c r="B2978" t="s">
        <v>13104</v>
      </c>
      <c r="C2978">
        <v>-4.4000000000000004</v>
      </c>
      <c r="D2978">
        <v>0.14000000000000001</v>
      </c>
      <c r="E2978">
        <v>-1.47</v>
      </c>
      <c r="F2978">
        <v>627</v>
      </c>
      <c r="G2978" t="s">
        <v>5070</v>
      </c>
      <c r="H2978">
        <v>7968.49</v>
      </c>
      <c r="I2978">
        <v>140.26</v>
      </c>
      <c r="J2978" t="s">
        <v>120</v>
      </c>
      <c r="K2978" t="s">
        <v>5759</v>
      </c>
      <c r="L2978">
        <v>3.23</v>
      </c>
      <c r="M2978">
        <v>7.17</v>
      </c>
      <c r="N2978">
        <v>1.18</v>
      </c>
      <c r="O2978">
        <v>-1.33</v>
      </c>
      <c r="P2978">
        <v>7.4</v>
      </c>
      <c r="Q2978">
        <v>-5.73</v>
      </c>
      <c r="R2978">
        <v>7.07</v>
      </c>
      <c r="S2978">
        <v>7.39</v>
      </c>
      <c r="T2978">
        <v>110003</v>
      </c>
      <c r="U2978">
        <v>7.17</v>
      </c>
      <c r="V2978">
        <v>7.5</v>
      </c>
      <c r="W2978">
        <v>771.99</v>
      </c>
      <c r="X2978" t="s">
        <v>555</v>
      </c>
      <c r="Y2978" t="s">
        <v>578</v>
      </c>
      <c r="Z2978">
        <v>4.4000000000000004</v>
      </c>
      <c r="AA2978">
        <v>7.24</v>
      </c>
      <c r="AB2978">
        <v>67249</v>
      </c>
      <c r="AC2978">
        <v>42754</v>
      </c>
      <c r="AD2978">
        <v>1.57</v>
      </c>
      <c r="AE2978">
        <v>650</v>
      </c>
      <c r="AF2978">
        <v>180</v>
      </c>
      <c r="AG2978" t="s">
        <v>120</v>
      </c>
      <c r="AH2978">
        <v>7.0000000000000007E-2</v>
      </c>
      <c r="AI2978" t="s">
        <v>120</v>
      </c>
      <c r="AJ2978">
        <v>3.41</v>
      </c>
      <c r="AK2978" t="s">
        <v>5487</v>
      </c>
      <c r="AL2978">
        <v>-3.06</v>
      </c>
      <c r="AM2978">
        <v>2231</v>
      </c>
      <c r="AN2978">
        <v>49</v>
      </c>
      <c r="AO2978">
        <v>1.4E-3</v>
      </c>
      <c r="AP2978">
        <v>-1</v>
      </c>
      <c r="AQ2978">
        <v>3.88</v>
      </c>
      <c r="AR2978">
        <v>9.3000000000000007</v>
      </c>
      <c r="AS2978">
        <v>-8.08</v>
      </c>
      <c r="AT2978">
        <v>4.67</v>
      </c>
      <c r="AU2978">
        <v>150.69999999999999</v>
      </c>
      <c r="AV2978">
        <v>31</v>
      </c>
      <c r="AW2978">
        <v>4.26</v>
      </c>
      <c r="AX2978">
        <v>75.64</v>
      </c>
      <c r="AY2978">
        <v>172.55</v>
      </c>
      <c r="AZ2978">
        <v>265.32</v>
      </c>
      <c r="BA2978">
        <v>0</v>
      </c>
      <c r="BB2978" t="s">
        <v>751</v>
      </c>
      <c r="BF2978">
        <v>-3.42</v>
      </c>
      <c r="BG2978">
        <v>-2.98</v>
      </c>
      <c r="BH2978">
        <v>-3.11</v>
      </c>
      <c r="BI2978">
        <v>1.41</v>
      </c>
      <c r="BJ2978">
        <v>20210828</v>
      </c>
      <c r="BK2978">
        <v>19961115</v>
      </c>
      <c r="BL2978">
        <v>3.41</v>
      </c>
      <c r="BM2978" t="s">
        <v>120</v>
      </c>
      <c r="BN2978" t="s">
        <v>120</v>
      </c>
      <c r="BO2978">
        <v>2.98</v>
      </c>
      <c r="BP2978">
        <v>7.16</v>
      </c>
      <c r="BQ2978">
        <v>2.2599999999999998</v>
      </c>
      <c r="BR2978">
        <v>-0.01</v>
      </c>
      <c r="BS2978">
        <v>24.43</v>
      </c>
      <c r="BT2978">
        <v>0.85</v>
      </c>
      <c r="BU2978">
        <v>0.01</v>
      </c>
      <c r="BV2978">
        <v>0.33</v>
      </c>
      <c r="BW2978">
        <v>0.54</v>
      </c>
      <c r="BX2978">
        <v>0.31</v>
      </c>
      <c r="BY2978">
        <v>7.0000000000000007E-2</v>
      </c>
      <c r="BZ2978">
        <v>0.21</v>
      </c>
      <c r="CA2978" t="s">
        <v>120</v>
      </c>
      <c r="CB2978">
        <v>0.35</v>
      </c>
      <c r="CC2978">
        <v>0.13</v>
      </c>
      <c r="CD2978">
        <v>0.11</v>
      </c>
      <c r="CE2978">
        <v>0.03</v>
      </c>
      <c r="CF2978">
        <v>0.01</v>
      </c>
      <c r="CG2978">
        <v>0.01</v>
      </c>
      <c r="CH2978">
        <v>0</v>
      </c>
      <c r="CI2978">
        <v>0.02</v>
      </c>
      <c r="CJ2978">
        <v>-0.33</v>
      </c>
      <c r="CK2978">
        <v>-0.03</v>
      </c>
      <c r="CL2978">
        <v>-1.27</v>
      </c>
      <c r="CM2978">
        <v>-0.05</v>
      </c>
      <c r="CN2978">
        <v>-0.14000000000000001</v>
      </c>
      <c r="CO2978">
        <v>25521</v>
      </c>
      <c r="CP2978">
        <v>10107</v>
      </c>
      <c r="CQ2978" t="s">
        <v>4521</v>
      </c>
      <c r="CR2978">
        <v>144</v>
      </c>
      <c r="CS2978">
        <v>5.25</v>
      </c>
      <c r="CT2978">
        <v>10.83</v>
      </c>
      <c r="CU2978">
        <v>-533.53</v>
      </c>
      <c r="CV2978">
        <v>182.95</v>
      </c>
      <c r="CW2978">
        <v>0</v>
      </c>
      <c r="CX2978" t="s">
        <v>4638</v>
      </c>
      <c r="CY2978">
        <v>0.66</v>
      </c>
      <c r="CZ2978">
        <v>0</v>
      </c>
      <c r="DA2978">
        <v>0.1</v>
      </c>
      <c r="DB2978">
        <v>-0.37</v>
      </c>
      <c r="DC2978">
        <v>-0.01</v>
      </c>
      <c r="DD2978">
        <v>75.8</v>
      </c>
      <c r="DE2978" t="s">
        <v>759</v>
      </c>
      <c r="DF2978">
        <v>18.45</v>
      </c>
      <c r="DG2978">
        <v>24.74</v>
      </c>
      <c r="DH2978">
        <v>11.85</v>
      </c>
      <c r="DI2978" t="s">
        <v>120</v>
      </c>
      <c r="DJ2978">
        <v>46</v>
      </c>
      <c r="DK2978">
        <v>600767</v>
      </c>
      <c r="DL2978">
        <v>20210728</v>
      </c>
      <c r="DM2978">
        <v>6.52</v>
      </c>
      <c r="DN2978">
        <v>9.9700000000000006</v>
      </c>
    </row>
    <row r="2979" spans="1:118">
      <c r="A2979" t="str">
        <f>"600768"</f>
        <v>600768</v>
      </c>
      <c r="B2979" t="s">
        <v>13105</v>
      </c>
      <c r="C2979">
        <v>0</v>
      </c>
      <c r="D2979">
        <v>0.11</v>
      </c>
      <c r="E2979">
        <v>-0.44</v>
      </c>
      <c r="F2979">
        <v>365</v>
      </c>
      <c r="G2979" t="s">
        <v>13106</v>
      </c>
      <c r="H2979">
        <v>2218.64</v>
      </c>
      <c r="I2979">
        <v>2.37</v>
      </c>
      <c r="J2979" t="s">
        <v>120</v>
      </c>
      <c r="K2979" t="s">
        <v>6109</v>
      </c>
      <c r="L2979">
        <v>1.81</v>
      </c>
      <c r="M2979">
        <v>9.16</v>
      </c>
      <c r="N2979">
        <v>0.36</v>
      </c>
      <c r="O2979">
        <v>1.31</v>
      </c>
      <c r="P2979">
        <v>9.2799999999999994</v>
      </c>
      <c r="Q2979">
        <v>-1.31</v>
      </c>
      <c r="R2979">
        <v>9.0399999999999991</v>
      </c>
      <c r="S2979">
        <v>9.1199999999999992</v>
      </c>
      <c r="T2979">
        <v>24214</v>
      </c>
      <c r="U2979">
        <v>9.16</v>
      </c>
      <c r="V2979">
        <v>9.16</v>
      </c>
      <c r="W2979" t="s">
        <v>120</v>
      </c>
      <c r="X2979" t="s">
        <v>1325</v>
      </c>
      <c r="Y2979" t="s">
        <v>585</v>
      </c>
      <c r="Z2979">
        <v>2.62</v>
      </c>
      <c r="AA2979">
        <v>9.16</v>
      </c>
      <c r="AB2979">
        <v>12421</v>
      </c>
      <c r="AC2979">
        <v>11793</v>
      </c>
      <c r="AD2979">
        <v>1.05</v>
      </c>
      <c r="AE2979">
        <v>45</v>
      </c>
      <c r="AF2979">
        <v>104</v>
      </c>
      <c r="AG2979" t="s">
        <v>120</v>
      </c>
      <c r="AH2979">
        <v>0</v>
      </c>
      <c r="AI2979" t="s">
        <v>120</v>
      </c>
      <c r="AJ2979">
        <v>1.34</v>
      </c>
      <c r="AK2979" t="s">
        <v>6109</v>
      </c>
      <c r="AL2979">
        <v>1.34</v>
      </c>
      <c r="AM2979">
        <v>1329</v>
      </c>
      <c r="AN2979">
        <v>18</v>
      </c>
      <c r="AO2979">
        <v>1.4E-3</v>
      </c>
      <c r="AP2979">
        <v>0</v>
      </c>
      <c r="AQ2979">
        <v>0.22</v>
      </c>
      <c r="AR2979">
        <v>-2.87</v>
      </c>
      <c r="AS2979">
        <v>-1.82</v>
      </c>
      <c r="AT2979">
        <v>4.8099999999999996</v>
      </c>
      <c r="AU2979">
        <v>4.57</v>
      </c>
      <c r="AV2979">
        <v>2</v>
      </c>
      <c r="AW2979">
        <v>2.89</v>
      </c>
      <c r="AX2979">
        <v>62.75</v>
      </c>
      <c r="AY2979" t="s">
        <v>120</v>
      </c>
      <c r="AZ2979" t="s">
        <v>120</v>
      </c>
      <c r="BA2979">
        <v>0.5</v>
      </c>
      <c r="BB2979" t="s">
        <v>341</v>
      </c>
      <c r="BF2979">
        <v>0.03</v>
      </c>
      <c r="BG2979">
        <v>0.44</v>
      </c>
      <c r="BH2979">
        <v>-1.29</v>
      </c>
      <c r="BI2979">
        <v>1.33</v>
      </c>
      <c r="BJ2979">
        <v>20210824</v>
      </c>
      <c r="BK2979">
        <v>19961111</v>
      </c>
      <c r="BL2979">
        <v>1.34</v>
      </c>
      <c r="BM2979" t="s">
        <v>120</v>
      </c>
      <c r="BN2979" t="s">
        <v>120</v>
      </c>
      <c r="BO2979">
        <v>3.18</v>
      </c>
      <c r="BP2979">
        <v>9.15</v>
      </c>
      <c r="BQ2979">
        <v>2.1800000000000002</v>
      </c>
      <c r="BR2979" t="s">
        <v>120</v>
      </c>
      <c r="BS2979">
        <v>31.47</v>
      </c>
      <c r="BT2979">
        <v>2.68</v>
      </c>
      <c r="BU2979">
        <v>0.01</v>
      </c>
      <c r="BV2979">
        <v>0</v>
      </c>
      <c r="BW2979">
        <v>1</v>
      </c>
      <c r="BX2979">
        <v>0.68</v>
      </c>
      <c r="BY2979">
        <v>0.11</v>
      </c>
      <c r="BZ2979">
        <v>0.22</v>
      </c>
      <c r="CA2979" t="s">
        <v>120</v>
      </c>
      <c r="CB2979">
        <v>0.15</v>
      </c>
      <c r="CC2979">
        <v>2.2200000000000002</v>
      </c>
      <c r="CD2979">
        <v>1.97</v>
      </c>
      <c r="CE2979">
        <v>0.04</v>
      </c>
      <c r="CF2979">
        <v>-0.13</v>
      </c>
      <c r="CG2979">
        <v>0.04</v>
      </c>
      <c r="CH2979">
        <v>-0.02</v>
      </c>
      <c r="CI2979">
        <v>-0.01</v>
      </c>
      <c r="CJ2979">
        <v>0</v>
      </c>
      <c r="CK2979">
        <v>-0.02</v>
      </c>
      <c r="CL2979">
        <v>0.51</v>
      </c>
      <c r="CM2979">
        <v>0.06</v>
      </c>
      <c r="CN2979">
        <v>-0.37</v>
      </c>
      <c r="CO2979">
        <v>10756</v>
      </c>
      <c r="CP2979">
        <v>7803</v>
      </c>
      <c r="CQ2979" t="s">
        <v>1180</v>
      </c>
      <c r="CR2979">
        <v>-140.22</v>
      </c>
      <c r="CS2979">
        <v>42.87</v>
      </c>
      <c r="CT2979">
        <v>5.62</v>
      </c>
      <c r="CU2979">
        <v>197.29</v>
      </c>
      <c r="CV2979">
        <v>5.52</v>
      </c>
      <c r="CW2979">
        <v>0</v>
      </c>
      <c r="CX2979" t="s">
        <v>7668</v>
      </c>
      <c r="CY2979">
        <v>1.63</v>
      </c>
      <c r="CZ2979">
        <v>0</v>
      </c>
      <c r="DA2979">
        <v>0.12</v>
      </c>
      <c r="DB2979">
        <v>0.38</v>
      </c>
      <c r="DC2979">
        <v>0.05</v>
      </c>
      <c r="DD2979">
        <v>68.53</v>
      </c>
      <c r="DE2979" t="s">
        <v>4557</v>
      </c>
      <c r="DF2979">
        <v>11.45</v>
      </c>
      <c r="DG2979">
        <v>1.71</v>
      </c>
      <c r="DH2979">
        <v>-0.3</v>
      </c>
      <c r="DI2979" t="s">
        <v>120</v>
      </c>
      <c r="DJ2979">
        <v>191</v>
      </c>
      <c r="DK2979">
        <v>600768</v>
      </c>
      <c r="DL2979" t="s">
        <v>120</v>
      </c>
      <c r="DM2979" t="s">
        <v>120</v>
      </c>
      <c r="DN2979" t="s">
        <v>120</v>
      </c>
    </row>
    <row r="2980" spans="1:118">
      <c r="A2980" t="str">
        <f>"600769"</f>
        <v>600769</v>
      </c>
      <c r="B2980" t="s">
        <v>13107</v>
      </c>
      <c r="C2980">
        <v>-0.32</v>
      </c>
      <c r="D2980">
        <v>0</v>
      </c>
      <c r="E2980">
        <v>0.32</v>
      </c>
      <c r="F2980">
        <v>496</v>
      </c>
      <c r="G2980" t="s">
        <v>3637</v>
      </c>
      <c r="H2980">
        <v>4850.79</v>
      </c>
      <c r="I2980">
        <v>3.38</v>
      </c>
      <c r="J2980" t="s">
        <v>120</v>
      </c>
      <c r="K2980" t="s">
        <v>976</v>
      </c>
      <c r="L2980">
        <v>2.0499999999999998</v>
      </c>
      <c r="M2980">
        <v>6.21</v>
      </c>
      <c r="N2980">
        <v>0.87</v>
      </c>
      <c r="O2980">
        <v>4.33</v>
      </c>
      <c r="P2980">
        <v>6.5</v>
      </c>
      <c r="Q2980">
        <v>-0.96</v>
      </c>
      <c r="R2980">
        <v>6.17</v>
      </c>
      <c r="S2980">
        <v>6.25</v>
      </c>
      <c r="T2980">
        <v>76876</v>
      </c>
      <c r="U2980">
        <v>6.22</v>
      </c>
      <c r="V2980">
        <v>6.23</v>
      </c>
      <c r="W2980">
        <v>246.4</v>
      </c>
      <c r="X2980" t="s">
        <v>175</v>
      </c>
      <c r="Y2980" t="s">
        <v>763</v>
      </c>
      <c r="Z2980">
        <v>5.3</v>
      </c>
      <c r="AA2980">
        <v>6.31</v>
      </c>
      <c r="AB2980">
        <v>42318</v>
      </c>
      <c r="AC2980">
        <v>34558</v>
      </c>
      <c r="AD2980">
        <v>1.22</v>
      </c>
      <c r="AE2980">
        <v>103</v>
      </c>
      <c r="AF2980">
        <v>384</v>
      </c>
      <c r="AG2980" t="s">
        <v>120</v>
      </c>
      <c r="AH2980">
        <v>0</v>
      </c>
      <c r="AI2980" t="s">
        <v>120</v>
      </c>
      <c r="AJ2980">
        <v>3.75</v>
      </c>
      <c r="AK2980" t="s">
        <v>976</v>
      </c>
      <c r="AL2980">
        <v>1.02</v>
      </c>
      <c r="AM2980">
        <v>1781</v>
      </c>
      <c r="AN2980">
        <v>43</v>
      </c>
      <c r="AO2980">
        <v>1.1999999999999999E-3</v>
      </c>
      <c r="AP2980">
        <v>-4</v>
      </c>
      <c r="AQ2980">
        <v>-0.16</v>
      </c>
      <c r="AR2980">
        <v>-2.82</v>
      </c>
      <c r="AS2980">
        <v>0.33</v>
      </c>
      <c r="AT2980">
        <v>18.510000000000002</v>
      </c>
      <c r="AU2980">
        <v>18.510000000000002</v>
      </c>
      <c r="AV2980">
        <v>8</v>
      </c>
      <c r="AW2980">
        <v>2.79</v>
      </c>
      <c r="AX2980">
        <v>73.540000000000006</v>
      </c>
      <c r="AY2980">
        <v>301.81</v>
      </c>
      <c r="AZ2980">
        <v>441.76</v>
      </c>
      <c r="BA2980">
        <v>0.57999999999999996</v>
      </c>
      <c r="BB2980" t="s">
        <v>143</v>
      </c>
      <c r="BF2980">
        <v>1.28</v>
      </c>
      <c r="BG2980">
        <v>-0.64</v>
      </c>
      <c r="BH2980">
        <v>-4.46</v>
      </c>
      <c r="BI2980">
        <v>0.65</v>
      </c>
      <c r="BJ2980">
        <v>20210818</v>
      </c>
      <c r="BK2980">
        <v>19961101</v>
      </c>
      <c r="BL2980">
        <v>3.75</v>
      </c>
      <c r="BM2980" t="s">
        <v>120</v>
      </c>
      <c r="BN2980" t="s">
        <v>120</v>
      </c>
      <c r="BO2980">
        <v>1.72</v>
      </c>
      <c r="BP2980">
        <v>6.21</v>
      </c>
      <c r="BQ2980">
        <v>0.65</v>
      </c>
      <c r="BR2980" t="s">
        <v>120</v>
      </c>
      <c r="BS2980">
        <v>62.22</v>
      </c>
      <c r="BT2980">
        <v>0.6</v>
      </c>
      <c r="BU2980">
        <v>0.7</v>
      </c>
      <c r="BV2980">
        <v>0.05</v>
      </c>
      <c r="BW2980">
        <v>1.04</v>
      </c>
      <c r="BX2980">
        <v>0.09</v>
      </c>
      <c r="BY2980">
        <v>0</v>
      </c>
      <c r="BZ2980">
        <v>0.13</v>
      </c>
      <c r="CA2980" t="s">
        <v>120</v>
      </c>
      <c r="CB2980">
        <v>3.67</v>
      </c>
      <c r="CC2980">
        <v>0.28999999999999998</v>
      </c>
      <c r="CD2980">
        <v>0.21</v>
      </c>
      <c r="CE2980">
        <v>0.05</v>
      </c>
      <c r="CF2980">
        <v>0</v>
      </c>
      <c r="CG2980">
        <v>0.05</v>
      </c>
      <c r="CH2980">
        <v>0.05</v>
      </c>
      <c r="CI2980">
        <v>0.05</v>
      </c>
      <c r="CJ2980">
        <v>-0.02</v>
      </c>
      <c r="CK2980">
        <v>0.05</v>
      </c>
      <c r="CL2980">
        <v>-7.18</v>
      </c>
      <c r="CM2980">
        <v>0.09</v>
      </c>
      <c r="CN2980">
        <v>-0.11</v>
      </c>
      <c r="CO2980">
        <v>25630</v>
      </c>
      <c r="CP2980">
        <v>10760</v>
      </c>
      <c r="CQ2980" t="s">
        <v>4615</v>
      </c>
      <c r="CR2980">
        <v>107.86</v>
      </c>
      <c r="CS2980">
        <v>158.6</v>
      </c>
      <c r="CT2980">
        <v>35.75</v>
      </c>
      <c r="CU2980">
        <v>248.41</v>
      </c>
      <c r="CV2980">
        <v>80.87</v>
      </c>
      <c r="CW2980">
        <v>0</v>
      </c>
      <c r="CX2980" t="s">
        <v>4456</v>
      </c>
      <c r="CY2980">
        <v>0.17</v>
      </c>
      <c r="CZ2980">
        <v>0</v>
      </c>
      <c r="DA2980">
        <v>0.98</v>
      </c>
      <c r="DB2980">
        <v>-1.92</v>
      </c>
      <c r="DC2980">
        <v>0.02</v>
      </c>
      <c r="DD2980">
        <v>37.78</v>
      </c>
      <c r="DE2980" t="s">
        <v>4627</v>
      </c>
      <c r="DF2980">
        <v>27.44</v>
      </c>
      <c r="DG2980">
        <v>18.86</v>
      </c>
      <c r="DH2980">
        <v>16.41</v>
      </c>
      <c r="DI2980" t="s">
        <v>120</v>
      </c>
      <c r="DJ2980">
        <v>68</v>
      </c>
      <c r="DK2980">
        <v>600769</v>
      </c>
      <c r="DL2980" t="s">
        <v>120</v>
      </c>
      <c r="DM2980" t="s">
        <v>120</v>
      </c>
      <c r="DN2980" t="s">
        <v>120</v>
      </c>
    </row>
    <row r="2981" spans="1:118">
      <c r="A2981" t="str">
        <f>"600770"</f>
        <v>600770</v>
      </c>
      <c r="B2981" t="s">
        <v>13108</v>
      </c>
      <c r="C2981">
        <v>-0.61</v>
      </c>
      <c r="D2981">
        <v>0.46</v>
      </c>
      <c r="E2981">
        <v>-0.61</v>
      </c>
      <c r="F2981">
        <v>3085</v>
      </c>
      <c r="G2981" t="s">
        <v>13109</v>
      </c>
      <c r="H2981">
        <v>15028.75</v>
      </c>
      <c r="I2981">
        <v>63.83</v>
      </c>
      <c r="J2981" t="s">
        <v>120</v>
      </c>
      <c r="K2981" t="s">
        <v>7460</v>
      </c>
      <c r="L2981">
        <v>1.76</v>
      </c>
      <c r="M2981">
        <v>6.52</v>
      </c>
      <c r="N2981">
        <v>1.21</v>
      </c>
      <c r="O2981">
        <v>1.52</v>
      </c>
      <c r="P2981">
        <v>6.66</v>
      </c>
      <c r="Q2981">
        <v>-1.37</v>
      </c>
      <c r="R2981">
        <v>6.47</v>
      </c>
      <c r="S2981">
        <v>6.52</v>
      </c>
      <c r="T2981">
        <v>229150</v>
      </c>
      <c r="U2981">
        <v>6.52</v>
      </c>
      <c r="V2981">
        <v>6.56</v>
      </c>
      <c r="W2981">
        <v>104.24</v>
      </c>
      <c r="X2981" t="s">
        <v>166</v>
      </c>
      <c r="Y2981" t="s">
        <v>319</v>
      </c>
      <c r="Z2981">
        <v>2.9</v>
      </c>
      <c r="AA2981">
        <v>6.56</v>
      </c>
      <c r="AB2981">
        <v>103294</v>
      </c>
      <c r="AC2981">
        <v>125856</v>
      </c>
      <c r="AD2981">
        <v>0.82</v>
      </c>
      <c r="AE2981">
        <v>1</v>
      </c>
      <c r="AF2981">
        <v>1161</v>
      </c>
      <c r="AG2981" t="s">
        <v>120</v>
      </c>
      <c r="AH2981">
        <v>0.01</v>
      </c>
      <c r="AI2981" t="s">
        <v>120</v>
      </c>
      <c r="AJ2981">
        <v>13</v>
      </c>
      <c r="AK2981" t="s">
        <v>7460</v>
      </c>
      <c r="AL2981">
        <v>0.73</v>
      </c>
      <c r="AM2981">
        <v>3231</v>
      </c>
      <c r="AN2981">
        <v>71</v>
      </c>
      <c r="AO2981">
        <v>5.0000000000000001E-4</v>
      </c>
      <c r="AP2981">
        <v>-1</v>
      </c>
      <c r="AQ2981">
        <v>2.82</v>
      </c>
      <c r="AR2981">
        <v>2.0299999999999998</v>
      </c>
      <c r="AS2981">
        <v>7.41</v>
      </c>
      <c r="AT2981">
        <v>4.1500000000000004</v>
      </c>
      <c r="AU2981">
        <v>6.19</v>
      </c>
      <c r="AV2981">
        <v>1</v>
      </c>
      <c r="AW2981">
        <v>3.16</v>
      </c>
      <c r="AX2981">
        <v>55.86</v>
      </c>
      <c r="AY2981">
        <v>6160.54</v>
      </c>
      <c r="AZ2981">
        <v>50.62</v>
      </c>
      <c r="BA2981">
        <v>0.93</v>
      </c>
      <c r="BB2981" t="s">
        <v>700</v>
      </c>
      <c r="BF2981">
        <v>-0.02</v>
      </c>
      <c r="BG2981">
        <v>0</v>
      </c>
      <c r="BH2981">
        <v>-2.1</v>
      </c>
      <c r="BI2981">
        <v>0.77</v>
      </c>
      <c r="BJ2981">
        <v>20210821</v>
      </c>
      <c r="BK2981">
        <v>19961120</v>
      </c>
      <c r="BL2981">
        <v>13</v>
      </c>
      <c r="BM2981" t="s">
        <v>120</v>
      </c>
      <c r="BN2981" t="s">
        <v>120</v>
      </c>
      <c r="BO2981">
        <v>60.13</v>
      </c>
      <c r="BP2981">
        <v>6.51</v>
      </c>
      <c r="BQ2981">
        <v>36.94</v>
      </c>
      <c r="BR2981">
        <v>13.56</v>
      </c>
      <c r="BS2981">
        <v>16.010000000000002</v>
      </c>
      <c r="BT2981">
        <v>23.13</v>
      </c>
      <c r="BU2981">
        <v>10.48</v>
      </c>
      <c r="BV2981">
        <v>1.5</v>
      </c>
      <c r="BW2981">
        <v>5.68</v>
      </c>
      <c r="BX2981">
        <v>9.02</v>
      </c>
      <c r="BY2981">
        <v>0.62</v>
      </c>
      <c r="BZ2981">
        <v>1.57</v>
      </c>
      <c r="CA2981">
        <v>0</v>
      </c>
      <c r="CB2981">
        <v>22.27</v>
      </c>
      <c r="CC2981">
        <v>2.0499999999999998</v>
      </c>
      <c r="CD2981">
        <v>1.41</v>
      </c>
      <c r="CE2981">
        <v>0.57999999999999996</v>
      </c>
      <c r="CF2981">
        <v>-0.19</v>
      </c>
      <c r="CG2981">
        <v>0.59</v>
      </c>
      <c r="CH2981">
        <v>0.28000000000000003</v>
      </c>
      <c r="CI2981">
        <v>0.41</v>
      </c>
      <c r="CJ2981">
        <v>-0.04</v>
      </c>
      <c r="CK2981">
        <v>-0.15</v>
      </c>
      <c r="CL2981">
        <v>3.81</v>
      </c>
      <c r="CM2981">
        <v>0.13</v>
      </c>
      <c r="CN2981">
        <v>-2.0099999999999998</v>
      </c>
      <c r="CO2981">
        <v>66419</v>
      </c>
      <c r="CP2981">
        <v>10933</v>
      </c>
      <c r="CQ2981" t="s">
        <v>9936</v>
      </c>
      <c r="CR2981">
        <v>-80.430000000000007</v>
      </c>
      <c r="CS2981">
        <v>-6.36</v>
      </c>
      <c r="CT2981">
        <v>2.29</v>
      </c>
      <c r="CU2981">
        <v>667.8</v>
      </c>
      <c r="CV2981">
        <v>41.25</v>
      </c>
      <c r="CW2981">
        <v>0</v>
      </c>
      <c r="CX2981" t="s">
        <v>2074</v>
      </c>
      <c r="CY2981">
        <v>2.84</v>
      </c>
      <c r="CZ2981">
        <v>0</v>
      </c>
      <c r="DA2981">
        <v>1.71</v>
      </c>
      <c r="DB2981">
        <v>0.28999999999999998</v>
      </c>
      <c r="DC2981">
        <v>0.01</v>
      </c>
      <c r="DD2981">
        <v>61.44</v>
      </c>
      <c r="DE2981" t="s">
        <v>3324</v>
      </c>
      <c r="DF2981">
        <v>31.61</v>
      </c>
      <c r="DG2981">
        <v>28.46</v>
      </c>
      <c r="DH2981">
        <v>19.78</v>
      </c>
      <c r="DI2981">
        <v>0.08</v>
      </c>
      <c r="DJ2981">
        <v>574</v>
      </c>
      <c r="DK2981">
        <v>600770</v>
      </c>
      <c r="DL2981">
        <v>20200831</v>
      </c>
      <c r="DM2981">
        <v>6.71</v>
      </c>
      <c r="DN2981">
        <v>-2.83</v>
      </c>
    </row>
    <row r="2982" spans="1:118">
      <c r="A2982" t="str">
        <f>"600771"</f>
        <v>600771</v>
      </c>
      <c r="B2982" t="s">
        <v>13110</v>
      </c>
      <c r="C2982">
        <v>-3.72</v>
      </c>
      <c r="D2982">
        <v>-0.03</v>
      </c>
      <c r="E2982">
        <v>-0.68</v>
      </c>
      <c r="F2982">
        <v>2460</v>
      </c>
      <c r="G2982" t="s">
        <v>13111</v>
      </c>
      <c r="H2982">
        <v>65490</v>
      </c>
      <c r="I2982">
        <v>277.14999999999998</v>
      </c>
      <c r="J2982" t="s">
        <v>120</v>
      </c>
      <c r="K2982" t="s">
        <v>13112</v>
      </c>
      <c r="L2982">
        <v>4.58</v>
      </c>
      <c r="M2982">
        <v>28.25</v>
      </c>
      <c r="N2982">
        <v>1</v>
      </c>
      <c r="O2982">
        <v>1.84</v>
      </c>
      <c r="P2982">
        <v>29.88</v>
      </c>
      <c r="Q2982">
        <v>-3.78</v>
      </c>
      <c r="R2982">
        <v>28.23</v>
      </c>
      <c r="S2982">
        <v>29.14</v>
      </c>
      <c r="T2982">
        <v>225193</v>
      </c>
      <c r="U2982">
        <v>28.26</v>
      </c>
      <c r="V2982">
        <v>29.34</v>
      </c>
      <c r="W2982" t="s">
        <v>120</v>
      </c>
      <c r="X2982" t="s">
        <v>771</v>
      </c>
      <c r="Y2982" t="s">
        <v>667</v>
      </c>
      <c r="Z2982">
        <v>5.62</v>
      </c>
      <c r="AA2982">
        <v>29.08</v>
      </c>
      <c r="AB2982">
        <v>123197</v>
      </c>
      <c r="AC2982">
        <v>101996</v>
      </c>
      <c r="AD2982">
        <v>1.21</v>
      </c>
      <c r="AE2982">
        <v>671</v>
      </c>
      <c r="AF2982">
        <v>167</v>
      </c>
      <c r="AG2982" t="s">
        <v>120</v>
      </c>
      <c r="AH2982">
        <v>0.02</v>
      </c>
      <c r="AI2982" t="s">
        <v>120</v>
      </c>
      <c r="AJ2982">
        <v>4.92</v>
      </c>
      <c r="AK2982" t="s">
        <v>13112</v>
      </c>
      <c r="AL2982">
        <v>-2.37</v>
      </c>
      <c r="AM2982">
        <v>4531</v>
      </c>
      <c r="AN2982">
        <v>50</v>
      </c>
      <c r="AO2982">
        <v>1E-3</v>
      </c>
      <c r="AP2982">
        <v>-4</v>
      </c>
      <c r="AQ2982">
        <v>-2.4</v>
      </c>
      <c r="AR2982">
        <v>-8.35</v>
      </c>
      <c r="AS2982">
        <v>-11.47</v>
      </c>
      <c r="AT2982">
        <v>-7.74</v>
      </c>
      <c r="AU2982">
        <v>89.22</v>
      </c>
      <c r="AV2982">
        <v>15</v>
      </c>
      <c r="AW2982">
        <v>5.57</v>
      </c>
      <c r="AX2982">
        <v>82.12</v>
      </c>
      <c r="AY2982" t="s">
        <v>120</v>
      </c>
      <c r="AZ2982">
        <v>451.06</v>
      </c>
      <c r="BA2982">
        <v>1.46</v>
      </c>
      <c r="BB2982" t="s">
        <v>125</v>
      </c>
      <c r="BF2982">
        <v>-0.88</v>
      </c>
      <c r="BG2982">
        <v>-3.05</v>
      </c>
      <c r="BH2982">
        <v>-5.46</v>
      </c>
      <c r="BI2982">
        <v>7.0000000000000007E-2</v>
      </c>
      <c r="BJ2982">
        <v>20210827</v>
      </c>
      <c r="BK2982">
        <v>19961105</v>
      </c>
      <c r="BL2982">
        <v>4.92</v>
      </c>
      <c r="BM2982" t="s">
        <v>120</v>
      </c>
      <c r="BN2982" t="s">
        <v>120</v>
      </c>
      <c r="BO2982">
        <v>34.53</v>
      </c>
      <c r="BP2982">
        <v>28.25</v>
      </c>
      <c r="BQ2982">
        <v>23.64</v>
      </c>
      <c r="BR2982">
        <v>0.53</v>
      </c>
      <c r="BS2982">
        <v>30.01</v>
      </c>
      <c r="BT2982">
        <v>24.85</v>
      </c>
      <c r="BU2982">
        <v>7.5</v>
      </c>
      <c r="BV2982">
        <v>0.98</v>
      </c>
      <c r="BW2982">
        <v>9.9600000000000009</v>
      </c>
      <c r="BX2982">
        <v>1.75</v>
      </c>
      <c r="BY2982">
        <v>3.36</v>
      </c>
      <c r="BZ2982">
        <v>14.2</v>
      </c>
      <c r="CA2982">
        <v>0.05</v>
      </c>
      <c r="CB2982">
        <v>16.37</v>
      </c>
      <c r="CC2982">
        <v>3.75</v>
      </c>
      <c r="CD2982">
        <v>1.27</v>
      </c>
      <c r="CE2982">
        <v>-0.61</v>
      </c>
      <c r="CF2982">
        <v>-0.03</v>
      </c>
      <c r="CG2982">
        <v>-0.52</v>
      </c>
      <c r="CH2982">
        <v>-0.53</v>
      </c>
      <c r="CI2982">
        <v>-0.48</v>
      </c>
      <c r="CJ2982">
        <v>-1.0900000000000001</v>
      </c>
      <c r="CK2982">
        <v>-0.65</v>
      </c>
      <c r="CL2982">
        <v>2.56</v>
      </c>
      <c r="CM2982">
        <v>0.28999999999999998</v>
      </c>
      <c r="CN2982">
        <v>-0.45</v>
      </c>
      <c r="CO2982">
        <v>76478</v>
      </c>
      <c r="CP2982">
        <v>5283</v>
      </c>
      <c r="CQ2982" t="s">
        <v>13113</v>
      </c>
      <c r="CR2982">
        <v>-210.69</v>
      </c>
      <c r="CS2982">
        <v>-13.22</v>
      </c>
      <c r="CT2982">
        <v>5.88</v>
      </c>
      <c r="CU2982">
        <v>487.03</v>
      </c>
      <c r="CV2982">
        <v>37.03</v>
      </c>
      <c r="CW2982">
        <v>0</v>
      </c>
      <c r="CX2982" t="s">
        <v>4684</v>
      </c>
      <c r="CY2982">
        <v>4.8</v>
      </c>
      <c r="CZ2982">
        <v>0</v>
      </c>
      <c r="DA2982">
        <v>3.33</v>
      </c>
      <c r="DB2982">
        <v>0.52</v>
      </c>
      <c r="DC2982">
        <v>0.06</v>
      </c>
      <c r="DD2982">
        <v>68.459999999999994</v>
      </c>
      <c r="DE2982" t="s">
        <v>7601</v>
      </c>
      <c r="DF2982">
        <v>66.14</v>
      </c>
      <c r="DG2982">
        <v>-16.309999999999999</v>
      </c>
      <c r="DH2982">
        <v>-12.81</v>
      </c>
      <c r="DI2982">
        <v>0.12</v>
      </c>
      <c r="DJ2982">
        <v>1955</v>
      </c>
      <c r="DK2982">
        <v>600771</v>
      </c>
      <c r="DL2982" t="s">
        <v>120</v>
      </c>
      <c r="DM2982" t="s">
        <v>120</v>
      </c>
      <c r="DN2982" t="s">
        <v>120</v>
      </c>
    </row>
    <row r="2983" spans="1:118">
      <c r="A2983" t="str">
        <f>"600773"</f>
        <v>600773</v>
      </c>
      <c r="B2983" t="s">
        <v>13114</v>
      </c>
      <c r="C2983">
        <v>-10</v>
      </c>
      <c r="D2983">
        <v>0</v>
      </c>
      <c r="E2983">
        <v>-1.63</v>
      </c>
      <c r="F2983">
        <v>805</v>
      </c>
      <c r="G2983" t="s">
        <v>13115</v>
      </c>
      <c r="H2983">
        <v>255096.57</v>
      </c>
      <c r="I2983">
        <v>1327.04</v>
      </c>
      <c r="J2983">
        <v>2574.36</v>
      </c>
      <c r="K2983" t="s">
        <v>2673</v>
      </c>
      <c r="L2983">
        <v>9.07</v>
      </c>
      <c r="M2983">
        <v>33.03</v>
      </c>
      <c r="N2983">
        <v>1.1499999999999999</v>
      </c>
      <c r="O2983">
        <v>-0.27</v>
      </c>
      <c r="P2983">
        <v>36.6</v>
      </c>
      <c r="Q2983">
        <v>-10</v>
      </c>
      <c r="R2983">
        <v>33.03</v>
      </c>
      <c r="S2983">
        <v>36.1</v>
      </c>
      <c r="T2983">
        <v>743811</v>
      </c>
      <c r="U2983">
        <v>33.03</v>
      </c>
      <c r="V2983">
        <v>36.700000000000003</v>
      </c>
      <c r="W2983">
        <v>242.13</v>
      </c>
      <c r="X2983" t="s">
        <v>150</v>
      </c>
      <c r="Y2983" t="s">
        <v>1886</v>
      </c>
      <c r="Z2983">
        <v>9.73</v>
      </c>
      <c r="AA2983">
        <v>34.299999999999997</v>
      </c>
      <c r="AB2983">
        <v>401021</v>
      </c>
      <c r="AC2983">
        <v>342790</v>
      </c>
      <c r="AD2983">
        <v>1.17</v>
      </c>
      <c r="AE2983">
        <v>0</v>
      </c>
      <c r="AF2983">
        <v>7794</v>
      </c>
      <c r="AG2983" t="s">
        <v>120</v>
      </c>
      <c r="AH2983">
        <v>0.09</v>
      </c>
      <c r="AI2983">
        <v>0.01</v>
      </c>
      <c r="AJ2983">
        <v>8.1999999999999993</v>
      </c>
      <c r="AK2983" t="s">
        <v>2673</v>
      </c>
      <c r="AL2983">
        <v>-8.66</v>
      </c>
      <c r="AM2983">
        <v>4650</v>
      </c>
      <c r="AN2983">
        <v>160</v>
      </c>
      <c r="AO2983">
        <v>2E-3</v>
      </c>
      <c r="AP2983">
        <v>-1</v>
      </c>
      <c r="AQ2983">
        <v>5.76</v>
      </c>
      <c r="AR2983">
        <v>-1.47</v>
      </c>
      <c r="AS2983">
        <v>28.27</v>
      </c>
      <c r="AT2983">
        <v>134.91999999999999</v>
      </c>
      <c r="AU2983">
        <v>373.89</v>
      </c>
      <c r="AV2983">
        <v>16</v>
      </c>
      <c r="AW2983">
        <v>17.38</v>
      </c>
      <c r="AX2983">
        <v>52.22</v>
      </c>
      <c r="AY2983">
        <v>259.20999999999998</v>
      </c>
      <c r="AZ2983">
        <v>270.45</v>
      </c>
      <c r="BA2983">
        <v>0.56000000000000005</v>
      </c>
      <c r="BB2983" t="s">
        <v>751</v>
      </c>
      <c r="BF2983">
        <v>-6.55</v>
      </c>
      <c r="BG2983">
        <v>-8.5</v>
      </c>
      <c r="BH2983">
        <v>-9.75</v>
      </c>
      <c r="BI2983">
        <v>0</v>
      </c>
      <c r="BJ2983">
        <v>20210831</v>
      </c>
      <c r="BK2983">
        <v>19961108</v>
      </c>
      <c r="BL2983">
        <v>8.1999999999999993</v>
      </c>
      <c r="BM2983" t="s">
        <v>120</v>
      </c>
      <c r="BN2983" t="s">
        <v>120</v>
      </c>
      <c r="BO2983">
        <v>140.26</v>
      </c>
      <c r="BP2983" t="s">
        <v>120</v>
      </c>
      <c r="BQ2983">
        <v>36.39</v>
      </c>
      <c r="BR2983">
        <v>-0.14000000000000001</v>
      </c>
      <c r="BS2983">
        <v>74.150000000000006</v>
      </c>
      <c r="BT2983">
        <v>118.08</v>
      </c>
      <c r="BU2983">
        <v>14.06</v>
      </c>
      <c r="BV2983">
        <v>2.31</v>
      </c>
      <c r="BW2983">
        <v>49.21</v>
      </c>
      <c r="BX2983">
        <v>8.31</v>
      </c>
      <c r="BY2983">
        <v>102.69</v>
      </c>
      <c r="BZ2983">
        <v>0.54</v>
      </c>
      <c r="CA2983">
        <v>0.02</v>
      </c>
      <c r="CB2983">
        <v>16.420000000000002</v>
      </c>
      <c r="CC2983">
        <v>10.42</v>
      </c>
      <c r="CD2983">
        <v>6.96</v>
      </c>
      <c r="CE2983">
        <v>1.02</v>
      </c>
      <c r="CF2983">
        <v>-0.03</v>
      </c>
      <c r="CG2983">
        <v>0.99</v>
      </c>
      <c r="CH2983">
        <v>0.52</v>
      </c>
      <c r="CI2983">
        <v>0.56000000000000005</v>
      </c>
      <c r="CJ2983">
        <v>-3.67</v>
      </c>
      <c r="CK2983">
        <v>0.56999999999999995</v>
      </c>
      <c r="CL2983">
        <v>10.7</v>
      </c>
      <c r="CM2983">
        <v>-1.77</v>
      </c>
      <c r="CN2983">
        <v>-4.63</v>
      </c>
      <c r="CO2983">
        <v>52064</v>
      </c>
      <c r="CP2983">
        <v>8221</v>
      </c>
      <c r="CQ2983" t="s">
        <v>13116</v>
      </c>
      <c r="CR2983">
        <v>9.44</v>
      </c>
      <c r="CS2983">
        <v>69.47</v>
      </c>
      <c r="CT2983">
        <v>7.44</v>
      </c>
      <c r="CU2983">
        <v>-153.11000000000001</v>
      </c>
      <c r="CV2983">
        <v>25.98</v>
      </c>
      <c r="CW2983">
        <v>0.03</v>
      </c>
      <c r="CX2983" t="s">
        <v>679</v>
      </c>
      <c r="CY2983">
        <v>4.4400000000000004</v>
      </c>
      <c r="CZ2983">
        <v>0</v>
      </c>
      <c r="DA2983">
        <v>2</v>
      </c>
      <c r="DB2983">
        <v>1.31</v>
      </c>
      <c r="DC2983">
        <v>-0.22</v>
      </c>
      <c r="DD2983">
        <v>25.95</v>
      </c>
      <c r="DE2983" t="s">
        <v>6427</v>
      </c>
      <c r="DF2983">
        <v>33.22</v>
      </c>
      <c r="DG2983">
        <v>9.77</v>
      </c>
      <c r="DH2983">
        <v>5.36</v>
      </c>
      <c r="DI2983" t="s">
        <v>120</v>
      </c>
      <c r="DJ2983">
        <v>267</v>
      </c>
      <c r="DK2983">
        <v>600773</v>
      </c>
      <c r="DL2983">
        <v>20210323</v>
      </c>
      <c r="DM2983">
        <v>11.61</v>
      </c>
      <c r="DN2983">
        <v>184.58</v>
      </c>
    </row>
    <row r="2984" spans="1:118">
      <c r="A2984" t="str">
        <f>"600774"</f>
        <v>600774</v>
      </c>
      <c r="B2984" t="s">
        <v>13117</v>
      </c>
      <c r="C2984">
        <v>-1.72</v>
      </c>
      <c r="D2984">
        <v>0</v>
      </c>
      <c r="E2984">
        <v>-0.43</v>
      </c>
      <c r="F2984">
        <v>351</v>
      </c>
      <c r="G2984" t="s">
        <v>13118</v>
      </c>
      <c r="H2984">
        <v>2419.63</v>
      </c>
      <c r="I2984">
        <v>25.23</v>
      </c>
      <c r="J2984" t="s">
        <v>120</v>
      </c>
      <c r="K2984" t="s">
        <v>13119</v>
      </c>
      <c r="L2984">
        <v>0.66</v>
      </c>
      <c r="M2984">
        <v>15.96</v>
      </c>
      <c r="N2984">
        <v>0.69</v>
      </c>
      <c r="O2984">
        <v>1.23</v>
      </c>
      <c r="P2984">
        <v>16.440000000000001</v>
      </c>
      <c r="Q2984">
        <v>-2.96</v>
      </c>
      <c r="R2984">
        <v>15.76</v>
      </c>
      <c r="S2984">
        <v>16.170000000000002</v>
      </c>
      <c r="T2984">
        <v>14988</v>
      </c>
      <c r="U2984">
        <v>15.96</v>
      </c>
      <c r="V2984">
        <v>16.239999999999998</v>
      </c>
      <c r="W2984">
        <v>43.12</v>
      </c>
      <c r="X2984" t="s">
        <v>735</v>
      </c>
      <c r="Y2984" t="s">
        <v>763</v>
      </c>
      <c r="Z2984">
        <v>4.1900000000000004</v>
      </c>
      <c r="AA2984">
        <v>16.14</v>
      </c>
      <c r="AB2984">
        <v>7861</v>
      </c>
      <c r="AC2984">
        <v>7127</v>
      </c>
      <c r="AD2984">
        <v>1.1000000000000001</v>
      </c>
      <c r="AE2984">
        <v>7</v>
      </c>
      <c r="AF2984">
        <v>36</v>
      </c>
      <c r="AG2984" t="s">
        <v>120</v>
      </c>
      <c r="AH2984">
        <v>0.03</v>
      </c>
      <c r="AI2984" t="s">
        <v>120</v>
      </c>
      <c r="AJ2984">
        <v>2.27</v>
      </c>
      <c r="AK2984" t="s">
        <v>4694</v>
      </c>
      <c r="AL2984">
        <v>-0.38</v>
      </c>
      <c r="AM2984">
        <v>1187</v>
      </c>
      <c r="AN2984">
        <v>13</v>
      </c>
      <c r="AO2984">
        <v>5.9999999999999995E-4</v>
      </c>
      <c r="AP2984">
        <v>-1</v>
      </c>
      <c r="AQ2984">
        <v>1.06</v>
      </c>
      <c r="AR2984">
        <v>4.38</v>
      </c>
      <c r="AS2984">
        <v>-5.51</v>
      </c>
      <c r="AT2984">
        <v>3.7</v>
      </c>
      <c r="AU2984">
        <v>16.5</v>
      </c>
      <c r="AV2984">
        <v>1</v>
      </c>
      <c r="AW2984">
        <v>2.6</v>
      </c>
      <c r="AX2984">
        <v>25.41</v>
      </c>
      <c r="AY2984">
        <v>27.75</v>
      </c>
      <c r="AZ2984">
        <v>81.03</v>
      </c>
      <c r="BA2984">
        <v>0</v>
      </c>
      <c r="BB2984" t="s">
        <v>143</v>
      </c>
      <c r="BF2984">
        <v>-0.59</v>
      </c>
      <c r="BG2984">
        <v>-1.3</v>
      </c>
      <c r="BH2984">
        <v>-2.92</v>
      </c>
      <c r="BI2984">
        <v>1.27</v>
      </c>
      <c r="BJ2984">
        <v>20210831</v>
      </c>
      <c r="BK2984">
        <v>19961108</v>
      </c>
      <c r="BL2984">
        <v>2.27</v>
      </c>
      <c r="BM2984" t="s">
        <v>120</v>
      </c>
      <c r="BN2984" t="s">
        <v>120</v>
      </c>
      <c r="BO2984">
        <v>29.46</v>
      </c>
      <c r="BP2984">
        <v>15.94</v>
      </c>
      <c r="BQ2984">
        <v>7.04</v>
      </c>
      <c r="BR2984">
        <v>1.73</v>
      </c>
      <c r="BS2984">
        <v>70.23</v>
      </c>
      <c r="BT2984">
        <v>7.29</v>
      </c>
      <c r="BU2984">
        <v>12.72</v>
      </c>
      <c r="BV2984">
        <v>2.16</v>
      </c>
      <c r="BW2984">
        <v>12.58</v>
      </c>
      <c r="BX2984">
        <v>1.24</v>
      </c>
      <c r="BY2984">
        <v>1.45</v>
      </c>
      <c r="BZ2984">
        <v>2.81</v>
      </c>
      <c r="CA2984">
        <v>0.22</v>
      </c>
      <c r="CB2984">
        <v>1.29</v>
      </c>
      <c r="CC2984">
        <v>7.38</v>
      </c>
      <c r="CD2984">
        <v>2.87</v>
      </c>
      <c r="CE2984">
        <v>0.49</v>
      </c>
      <c r="CF2984">
        <v>0.01</v>
      </c>
      <c r="CG2984">
        <v>0.52</v>
      </c>
      <c r="CH2984">
        <v>0.42</v>
      </c>
      <c r="CI2984">
        <v>0.42</v>
      </c>
      <c r="CJ2984">
        <v>-0.28000000000000003</v>
      </c>
      <c r="CK2984">
        <v>0.4</v>
      </c>
      <c r="CL2984">
        <v>2.69</v>
      </c>
      <c r="CM2984">
        <v>1.21</v>
      </c>
      <c r="CN2984">
        <v>-2.06</v>
      </c>
      <c r="CO2984">
        <v>8339</v>
      </c>
      <c r="CP2984">
        <v>6916</v>
      </c>
      <c r="CQ2984" t="s">
        <v>13120</v>
      </c>
      <c r="CR2984">
        <v>192.67</v>
      </c>
      <c r="CS2984">
        <v>723.75</v>
      </c>
      <c r="CT2984">
        <v>5.14</v>
      </c>
      <c r="CU2984">
        <v>29.95</v>
      </c>
      <c r="CV2984">
        <v>4.91</v>
      </c>
      <c r="CW2984">
        <v>0</v>
      </c>
      <c r="CX2984" t="s">
        <v>9061</v>
      </c>
      <c r="CY2984">
        <v>3.1</v>
      </c>
      <c r="CZ2984">
        <v>0</v>
      </c>
      <c r="DA2984">
        <v>0.56999999999999995</v>
      </c>
      <c r="DB2984">
        <v>1.19</v>
      </c>
      <c r="DC2984">
        <v>0.53</v>
      </c>
      <c r="DD2984">
        <v>23.91</v>
      </c>
      <c r="DE2984" t="s">
        <v>9244</v>
      </c>
      <c r="DF2984">
        <v>61.06</v>
      </c>
      <c r="DG2984">
        <v>6.7</v>
      </c>
      <c r="DH2984">
        <v>5.69</v>
      </c>
      <c r="DI2984">
        <v>0.15</v>
      </c>
      <c r="DJ2984">
        <v>2267</v>
      </c>
      <c r="DK2984">
        <v>600774</v>
      </c>
      <c r="DL2984" t="s">
        <v>120</v>
      </c>
      <c r="DM2984" t="s">
        <v>120</v>
      </c>
      <c r="DN2984" t="s">
        <v>120</v>
      </c>
    </row>
    <row r="2985" spans="1:118">
      <c r="A2985" t="str">
        <f>"600775"</f>
        <v>600775</v>
      </c>
      <c r="B2985" t="s">
        <v>13121</v>
      </c>
      <c r="C2985">
        <v>-0.7</v>
      </c>
      <c r="D2985">
        <v>0</v>
      </c>
      <c r="E2985">
        <v>0.7</v>
      </c>
      <c r="F2985">
        <v>398</v>
      </c>
      <c r="G2985" t="s">
        <v>699</v>
      </c>
      <c r="H2985">
        <v>4091.19</v>
      </c>
      <c r="I2985">
        <v>5.92</v>
      </c>
      <c r="J2985" t="s">
        <v>120</v>
      </c>
      <c r="K2985" t="s">
        <v>3019</v>
      </c>
      <c r="L2985">
        <v>0.85</v>
      </c>
      <c r="M2985">
        <v>7.12</v>
      </c>
      <c r="N2985">
        <v>0.75</v>
      </c>
      <c r="O2985">
        <v>1.1200000000000001</v>
      </c>
      <c r="P2985">
        <v>7.25</v>
      </c>
      <c r="Q2985">
        <v>-0.84</v>
      </c>
      <c r="R2985">
        <v>7.11</v>
      </c>
      <c r="S2985">
        <v>7.22</v>
      </c>
      <c r="T2985">
        <v>57128</v>
      </c>
      <c r="U2985">
        <v>7.12</v>
      </c>
      <c r="V2985">
        <v>7.17</v>
      </c>
      <c r="W2985">
        <v>178.04</v>
      </c>
      <c r="X2985" t="s">
        <v>462</v>
      </c>
      <c r="Y2985" t="s">
        <v>319</v>
      </c>
      <c r="Z2985">
        <v>1.95</v>
      </c>
      <c r="AA2985">
        <v>7.16</v>
      </c>
      <c r="AB2985">
        <v>28105</v>
      </c>
      <c r="AC2985">
        <v>29023</v>
      </c>
      <c r="AD2985">
        <v>0.97</v>
      </c>
      <c r="AE2985">
        <v>281</v>
      </c>
      <c r="AF2985">
        <v>596</v>
      </c>
      <c r="AG2985" t="s">
        <v>120</v>
      </c>
      <c r="AH2985">
        <v>0</v>
      </c>
      <c r="AI2985" t="s">
        <v>120</v>
      </c>
      <c r="AJ2985">
        <v>6.72</v>
      </c>
      <c r="AK2985" t="s">
        <v>3019</v>
      </c>
      <c r="AL2985">
        <v>0.65</v>
      </c>
      <c r="AM2985">
        <v>1482</v>
      </c>
      <c r="AN2985">
        <v>39</v>
      </c>
      <c r="AO2985">
        <v>5.9999999999999995E-4</v>
      </c>
      <c r="AP2985">
        <v>-2</v>
      </c>
      <c r="AQ2985">
        <v>-0.28000000000000003</v>
      </c>
      <c r="AR2985">
        <v>0.14000000000000001</v>
      </c>
      <c r="AS2985">
        <v>-3.91</v>
      </c>
      <c r="AT2985">
        <v>-1.03</v>
      </c>
      <c r="AU2985">
        <v>-4.6100000000000003</v>
      </c>
      <c r="AV2985">
        <v>3</v>
      </c>
      <c r="AW2985">
        <v>1.53</v>
      </c>
      <c r="AX2985">
        <v>55.76</v>
      </c>
      <c r="AY2985">
        <v>79.03</v>
      </c>
      <c r="AZ2985">
        <v>84.74</v>
      </c>
      <c r="BA2985">
        <v>0</v>
      </c>
      <c r="BB2985" t="s">
        <v>143</v>
      </c>
      <c r="BF2985">
        <v>-0.12</v>
      </c>
      <c r="BG2985">
        <v>-1.39</v>
      </c>
      <c r="BH2985">
        <v>-1.79</v>
      </c>
      <c r="BI2985">
        <v>0.14000000000000001</v>
      </c>
      <c r="BJ2985">
        <v>20210826</v>
      </c>
      <c r="BK2985">
        <v>19961118</v>
      </c>
      <c r="BL2985">
        <v>9.14</v>
      </c>
      <c r="BM2985" t="s">
        <v>120</v>
      </c>
      <c r="BN2985">
        <v>2.42</v>
      </c>
      <c r="BO2985">
        <v>62.37</v>
      </c>
      <c r="BP2985">
        <v>7.11</v>
      </c>
      <c r="BQ2985">
        <v>35.049999999999997</v>
      </c>
      <c r="BR2985">
        <v>2.57</v>
      </c>
      <c r="BS2985">
        <v>39.68</v>
      </c>
      <c r="BT2985">
        <v>45.11</v>
      </c>
      <c r="BU2985">
        <v>9.31</v>
      </c>
      <c r="BV2985">
        <v>1.53</v>
      </c>
      <c r="BW2985">
        <v>24.42</v>
      </c>
      <c r="BX2985">
        <v>13.35</v>
      </c>
      <c r="BY2985">
        <v>10.35</v>
      </c>
      <c r="BZ2985">
        <v>13.05</v>
      </c>
      <c r="CA2985">
        <v>0.04</v>
      </c>
      <c r="CB2985">
        <v>14.71</v>
      </c>
      <c r="CC2985">
        <v>21.69</v>
      </c>
      <c r="CD2985">
        <v>19.02</v>
      </c>
      <c r="CE2985">
        <v>0.53</v>
      </c>
      <c r="CF2985">
        <v>0.24</v>
      </c>
      <c r="CG2985">
        <v>0.53</v>
      </c>
      <c r="CH2985">
        <v>0.39</v>
      </c>
      <c r="CI2985">
        <v>0.18</v>
      </c>
      <c r="CJ2985">
        <v>-0.05</v>
      </c>
      <c r="CK2985">
        <v>0.06</v>
      </c>
      <c r="CL2985">
        <v>8.51</v>
      </c>
      <c r="CM2985">
        <v>-0.45</v>
      </c>
      <c r="CN2985">
        <v>-0.28000000000000003</v>
      </c>
      <c r="CO2985">
        <v>54557</v>
      </c>
      <c r="CP2985">
        <v>6866</v>
      </c>
      <c r="CQ2985" t="s">
        <v>5518</v>
      </c>
      <c r="CR2985">
        <v>44.07</v>
      </c>
      <c r="CS2985">
        <v>26.56</v>
      </c>
      <c r="CT2985">
        <v>1.86</v>
      </c>
      <c r="CU2985">
        <v>-143.21</v>
      </c>
      <c r="CV2985">
        <v>3</v>
      </c>
      <c r="CW2985">
        <v>0.36</v>
      </c>
      <c r="CX2985" t="s">
        <v>499</v>
      </c>
      <c r="CY2985">
        <v>3.84</v>
      </c>
      <c r="CZ2985">
        <v>0</v>
      </c>
      <c r="DA2985">
        <v>1.61</v>
      </c>
      <c r="DB2985">
        <v>0.93</v>
      </c>
      <c r="DC2985">
        <v>-0.05</v>
      </c>
      <c r="DD2985">
        <v>56.19</v>
      </c>
      <c r="DE2985" t="s">
        <v>2746</v>
      </c>
      <c r="DF2985">
        <v>12.32</v>
      </c>
      <c r="DG2985">
        <v>2.4300000000000002</v>
      </c>
      <c r="DH2985">
        <v>0.84</v>
      </c>
      <c r="DI2985">
        <v>1.03</v>
      </c>
      <c r="DJ2985">
        <v>3247</v>
      </c>
      <c r="DK2985">
        <v>600775</v>
      </c>
      <c r="DL2985" t="s">
        <v>120</v>
      </c>
      <c r="DM2985" t="s">
        <v>120</v>
      </c>
      <c r="DN2985" t="s">
        <v>120</v>
      </c>
    </row>
    <row r="2986" spans="1:118">
      <c r="A2986" t="str">
        <f>"600776"</f>
        <v>600776</v>
      </c>
      <c r="B2986" t="s">
        <v>13122</v>
      </c>
      <c r="C2986">
        <v>-1.48</v>
      </c>
      <c r="D2986">
        <v>-0.08</v>
      </c>
      <c r="E2986">
        <v>0</v>
      </c>
      <c r="F2986">
        <v>1576</v>
      </c>
      <c r="G2986" t="s">
        <v>5008</v>
      </c>
      <c r="H2986">
        <v>7081.69</v>
      </c>
      <c r="I2986">
        <v>18.420000000000002</v>
      </c>
      <c r="J2986" t="s">
        <v>120</v>
      </c>
      <c r="K2986" t="s">
        <v>12509</v>
      </c>
      <c r="L2986">
        <v>0.65</v>
      </c>
      <c r="M2986">
        <v>11.34</v>
      </c>
      <c r="N2986">
        <v>0.83</v>
      </c>
      <c r="O2986">
        <v>0.7</v>
      </c>
      <c r="P2986">
        <v>11.59</v>
      </c>
      <c r="Q2986">
        <v>-1.65</v>
      </c>
      <c r="R2986">
        <v>11.32</v>
      </c>
      <c r="S2986">
        <v>11.51</v>
      </c>
      <c r="T2986">
        <v>61909</v>
      </c>
      <c r="U2986">
        <v>11.35</v>
      </c>
      <c r="V2986">
        <v>11.51</v>
      </c>
      <c r="W2986">
        <v>141.82</v>
      </c>
      <c r="X2986" t="s">
        <v>462</v>
      </c>
      <c r="Y2986" t="s">
        <v>585</v>
      </c>
      <c r="Z2986">
        <v>2.35</v>
      </c>
      <c r="AA2986">
        <v>11.44</v>
      </c>
      <c r="AB2986">
        <v>41277</v>
      </c>
      <c r="AC2986">
        <v>20632</v>
      </c>
      <c r="AD2986">
        <v>2</v>
      </c>
      <c r="AE2986">
        <v>1701</v>
      </c>
      <c r="AF2986">
        <v>51</v>
      </c>
      <c r="AG2986" t="s">
        <v>120</v>
      </c>
      <c r="AH2986">
        <v>0</v>
      </c>
      <c r="AI2986" t="s">
        <v>120</v>
      </c>
      <c r="AJ2986">
        <v>9.56</v>
      </c>
      <c r="AK2986" t="s">
        <v>874</v>
      </c>
      <c r="AL2986">
        <v>-0.13</v>
      </c>
      <c r="AM2986">
        <v>2307</v>
      </c>
      <c r="AN2986">
        <v>27</v>
      </c>
      <c r="AO2986">
        <v>2.9999999999999997E-4</v>
      </c>
      <c r="AP2986">
        <v>-4</v>
      </c>
      <c r="AQ2986">
        <v>-0.26</v>
      </c>
      <c r="AR2986">
        <v>-3.16</v>
      </c>
      <c r="AS2986">
        <v>-4.38</v>
      </c>
      <c r="AT2986">
        <v>-13.3</v>
      </c>
      <c r="AU2986">
        <v>-3.98</v>
      </c>
      <c r="AV2986">
        <v>6</v>
      </c>
      <c r="AW2986">
        <v>1.51</v>
      </c>
      <c r="AX2986">
        <v>32.67</v>
      </c>
      <c r="AY2986">
        <v>122.84</v>
      </c>
      <c r="AZ2986">
        <v>139.62</v>
      </c>
      <c r="BA2986">
        <v>0.51</v>
      </c>
      <c r="BB2986" t="s">
        <v>143</v>
      </c>
      <c r="BF2986">
        <v>-0.62</v>
      </c>
      <c r="BG2986">
        <v>-1.48</v>
      </c>
      <c r="BH2986">
        <v>-2.16</v>
      </c>
      <c r="BI2986">
        <v>0.18</v>
      </c>
      <c r="BJ2986">
        <v>20210830</v>
      </c>
      <c r="BK2986">
        <v>19961126</v>
      </c>
      <c r="BL2986">
        <v>12.56</v>
      </c>
      <c r="BM2986">
        <v>3</v>
      </c>
      <c r="BN2986" t="s">
        <v>120</v>
      </c>
      <c r="BO2986">
        <v>39.369999999999997</v>
      </c>
      <c r="BP2986">
        <v>11.34</v>
      </c>
      <c r="BQ2986">
        <v>32.25</v>
      </c>
      <c r="BR2986">
        <v>0.43</v>
      </c>
      <c r="BS2986">
        <v>16.989999999999998</v>
      </c>
      <c r="BT2986">
        <v>30.72</v>
      </c>
      <c r="BU2986">
        <v>1.54</v>
      </c>
      <c r="BV2986">
        <v>1.58</v>
      </c>
      <c r="BW2986">
        <v>6.61</v>
      </c>
      <c r="BX2986">
        <v>8.8000000000000007</v>
      </c>
      <c r="BY2986">
        <v>8.27</v>
      </c>
      <c r="BZ2986">
        <v>11.12</v>
      </c>
      <c r="CA2986">
        <v>0.09</v>
      </c>
      <c r="CB2986">
        <v>9.35</v>
      </c>
      <c r="CC2986">
        <v>12.91</v>
      </c>
      <c r="CD2986">
        <v>11.45</v>
      </c>
      <c r="CE2986">
        <v>0.56999999999999995</v>
      </c>
      <c r="CF2986">
        <v>0.53</v>
      </c>
      <c r="CG2986">
        <v>0.61</v>
      </c>
      <c r="CH2986">
        <v>0.5</v>
      </c>
      <c r="CI2986">
        <v>0.5</v>
      </c>
      <c r="CJ2986">
        <v>-0.17</v>
      </c>
      <c r="CK2986">
        <v>0.06</v>
      </c>
      <c r="CL2986">
        <v>8.89</v>
      </c>
      <c r="CM2986">
        <v>-1.25</v>
      </c>
      <c r="CN2986">
        <v>3.21</v>
      </c>
      <c r="CO2986">
        <v>143829</v>
      </c>
      <c r="CP2986">
        <v>4939</v>
      </c>
      <c r="CQ2986" t="s">
        <v>7667</v>
      </c>
      <c r="CR2986">
        <v>39.200000000000003</v>
      </c>
      <c r="CS2986">
        <v>14.29</v>
      </c>
      <c r="CT2986">
        <v>4.42</v>
      </c>
      <c r="CU2986">
        <v>-113.54</v>
      </c>
      <c r="CV2986">
        <v>11.03</v>
      </c>
      <c r="CW2986">
        <v>0.35</v>
      </c>
      <c r="CX2986" t="s">
        <v>145</v>
      </c>
      <c r="CY2986">
        <v>2.57</v>
      </c>
      <c r="CZ2986">
        <v>0</v>
      </c>
      <c r="DA2986">
        <v>0.74</v>
      </c>
      <c r="DB2986">
        <v>0.71</v>
      </c>
      <c r="DC2986">
        <v>-0.1</v>
      </c>
      <c r="DD2986">
        <v>81.91</v>
      </c>
      <c r="DE2986" t="s">
        <v>7740</v>
      </c>
      <c r="DF2986">
        <v>11.36</v>
      </c>
      <c r="DG2986">
        <v>4.41</v>
      </c>
      <c r="DH2986">
        <v>3.89</v>
      </c>
      <c r="DI2986">
        <v>0.82</v>
      </c>
      <c r="DJ2986">
        <v>2536</v>
      </c>
      <c r="DK2986">
        <v>600776</v>
      </c>
      <c r="DL2986" t="s">
        <v>120</v>
      </c>
      <c r="DM2986" t="s">
        <v>120</v>
      </c>
      <c r="DN2986" t="s">
        <v>120</v>
      </c>
    </row>
    <row r="2987" spans="1:118">
      <c r="A2987" t="str">
        <f>"600777"</f>
        <v>600777</v>
      </c>
      <c r="B2987" t="s">
        <v>13123</v>
      </c>
      <c r="C2987">
        <v>1.03</v>
      </c>
      <c r="D2987">
        <v>0</v>
      </c>
      <c r="E2987">
        <v>2.0699999999999998</v>
      </c>
      <c r="F2987">
        <v>46415</v>
      </c>
      <c r="G2987" t="s">
        <v>13124</v>
      </c>
      <c r="H2987">
        <v>246900.32</v>
      </c>
      <c r="I2987">
        <v>2820.67</v>
      </c>
      <c r="J2987" t="s">
        <v>120</v>
      </c>
      <c r="K2987" t="s">
        <v>13125</v>
      </c>
      <c r="L2987">
        <v>13.38</v>
      </c>
      <c r="M2987">
        <v>2.93</v>
      </c>
      <c r="N2987">
        <v>1.19</v>
      </c>
      <c r="O2987">
        <v>6.55</v>
      </c>
      <c r="P2987">
        <v>3.09</v>
      </c>
      <c r="Q2987">
        <v>-3.1</v>
      </c>
      <c r="R2987">
        <v>2.81</v>
      </c>
      <c r="S2987">
        <v>2.96</v>
      </c>
      <c r="T2987">
        <v>8337805</v>
      </c>
      <c r="U2987">
        <v>2.93</v>
      </c>
      <c r="V2987">
        <v>2.9</v>
      </c>
      <c r="W2987">
        <v>32.909999999999997</v>
      </c>
      <c r="X2987" t="s">
        <v>3867</v>
      </c>
      <c r="Y2987" t="s">
        <v>638</v>
      </c>
      <c r="Z2987">
        <v>9.66</v>
      </c>
      <c r="AA2987">
        <v>2.96</v>
      </c>
      <c r="AB2987">
        <v>3864530</v>
      </c>
      <c r="AC2987">
        <v>4473275</v>
      </c>
      <c r="AD2987">
        <v>0.86</v>
      </c>
      <c r="AE2987">
        <v>23074</v>
      </c>
      <c r="AF2987">
        <v>25820</v>
      </c>
      <c r="AG2987" t="s">
        <v>120</v>
      </c>
      <c r="AH2987">
        <v>0.2</v>
      </c>
      <c r="AI2987" t="s">
        <v>120</v>
      </c>
      <c r="AJ2987">
        <v>62.32</v>
      </c>
      <c r="AK2987" t="s">
        <v>13126</v>
      </c>
      <c r="AL2987">
        <v>2.38</v>
      </c>
      <c r="AM2987">
        <v>4743</v>
      </c>
      <c r="AN2987">
        <v>1758</v>
      </c>
      <c r="AO2987">
        <v>2.8E-3</v>
      </c>
      <c r="AP2987">
        <v>2</v>
      </c>
      <c r="AQ2987">
        <v>9.85</v>
      </c>
      <c r="AR2987">
        <v>8.52</v>
      </c>
      <c r="AS2987">
        <v>90.26</v>
      </c>
      <c r="AT2987">
        <v>83.13</v>
      </c>
      <c r="AU2987">
        <v>90.26</v>
      </c>
      <c r="AV2987">
        <v>5</v>
      </c>
      <c r="AW2987">
        <v>17.12</v>
      </c>
      <c r="AX2987">
        <v>71.61</v>
      </c>
      <c r="AY2987" t="s">
        <v>120</v>
      </c>
      <c r="AZ2987" t="s">
        <v>120</v>
      </c>
      <c r="BA2987">
        <v>1.21</v>
      </c>
      <c r="BB2987" t="s">
        <v>168</v>
      </c>
      <c r="BF2987">
        <v>2.11</v>
      </c>
      <c r="BG2987">
        <v>-1.01</v>
      </c>
      <c r="BH2987">
        <v>-5.18</v>
      </c>
      <c r="BI2987">
        <v>4.2699999999999996</v>
      </c>
      <c r="BJ2987">
        <v>20210814</v>
      </c>
      <c r="BK2987">
        <v>19961121</v>
      </c>
      <c r="BL2987">
        <v>68</v>
      </c>
      <c r="BM2987" t="s">
        <v>120</v>
      </c>
      <c r="BN2987" t="s">
        <v>120</v>
      </c>
      <c r="BO2987">
        <v>260.77</v>
      </c>
      <c r="BP2987">
        <v>2.92</v>
      </c>
      <c r="BQ2987">
        <v>119.97</v>
      </c>
      <c r="BR2987" t="s">
        <v>120</v>
      </c>
      <c r="BS2987">
        <v>53.99</v>
      </c>
      <c r="BT2987">
        <v>27.85</v>
      </c>
      <c r="BU2987">
        <v>7.32</v>
      </c>
      <c r="BV2987">
        <v>0.11</v>
      </c>
      <c r="BW2987">
        <v>33.130000000000003</v>
      </c>
      <c r="BX2987">
        <v>9.41</v>
      </c>
      <c r="BY2987">
        <v>1.47</v>
      </c>
      <c r="BZ2987">
        <v>13.02</v>
      </c>
      <c r="CA2987">
        <v>0.3</v>
      </c>
      <c r="CB2987">
        <v>66.569999999999993</v>
      </c>
      <c r="CC2987">
        <v>21.1</v>
      </c>
      <c r="CD2987">
        <v>10.96</v>
      </c>
      <c r="CE2987">
        <v>3.78</v>
      </c>
      <c r="CF2987">
        <v>0</v>
      </c>
      <c r="CG2987">
        <v>3.78</v>
      </c>
      <c r="CH2987">
        <v>3.03</v>
      </c>
      <c r="CI2987">
        <v>3.03</v>
      </c>
      <c r="CJ2987">
        <v>0.03</v>
      </c>
      <c r="CK2987">
        <v>3.02</v>
      </c>
      <c r="CL2987">
        <v>-4.8099999999999996</v>
      </c>
      <c r="CM2987">
        <v>13.37</v>
      </c>
      <c r="CN2987">
        <v>1.35</v>
      </c>
      <c r="CO2987">
        <v>131472</v>
      </c>
      <c r="CP2987">
        <v>37041</v>
      </c>
      <c r="CQ2987" t="s">
        <v>4677</v>
      </c>
      <c r="CR2987">
        <v>200.87</v>
      </c>
      <c r="CS2987">
        <v>-14.44</v>
      </c>
      <c r="CT2987">
        <v>1.66</v>
      </c>
      <c r="CU2987">
        <v>14.9</v>
      </c>
      <c r="CV2987">
        <v>9.44</v>
      </c>
      <c r="CW2987">
        <v>0</v>
      </c>
      <c r="CX2987" t="s">
        <v>1248</v>
      </c>
      <c r="CY2987">
        <v>1.76</v>
      </c>
      <c r="CZ2987">
        <v>0</v>
      </c>
      <c r="DA2987">
        <v>0.98</v>
      </c>
      <c r="DB2987">
        <v>-7.0000000000000007E-2</v>
      </c>
      <c r="DC2987">
        <v>0.2</v>
      </c>
      <c r="DD2987">
        <v>46.01</v>
      </c>
      <c r="DE2987" t="s">
        <v>1837</v>
      </c>
      <c r="DF2987">
        <v>48.03</v>
      </c>
      <c r="DG2987">
        <v>17.899999999999999</v>
      </c>
      <c r="DH2987">
        <v>14.35</v>
      </c>
      <c r="DI2987" t="s">
        <v>120</v>
      </c>
      <c r="DJ2987">
        <v>238</v>
      </c>
      <c r="DK2987">
        <v>600777</v>
      </c>
      <c r="DL2987">
        <v>20210907</v>
      </c>
      <c r="DM2987">
        <v>2.2200000000000002</v>
      </c>
      <c r="DN2987">
        <v>31.98</v>
      </c>
    </row>
    <row r="2988" spans="1:118">
      <c r="A2988" t="str">
        <f>"600778"</f>
        <v>600778</v>
      </c>
      <c r="B2988" t="s">
        <v>13127</v>
      </c>
      <c r="C2988">
        <v>-1.69</v>
      </c>
      <c r="D2988">
        <v>0.22</v>
      </c>
      <c r="E2988">
        <v>0.21</v>
      </c>
      <c r="F2988">
        <v>1242</v>
      </c>
      <c r="G2988" t="s">
        <v>10995</v>
      </c>
      <c r="H2988">
        <v>4391.75</v>
      </c>
      <c r="I2988">
        <v>25.26</v>
      </c>
      <c r="J2988" t="s">
        <v>120</v>
      </c>
      <c r="K2988" t="s">
        <v>8602</v>
      </c>
      <c r="L2988">
        <v>3.02</v>
      </c>
      <c r="M2988">
        <v>4.6399999999999997</v>
      </c>
      <c r="N2988">
        <v>0.62</v>
      </c>
      <c r="O2988">
        <v>1.06</v>
      </c>
      <c r="P2988">
        <v>4.7699999999999996</v>
      </c>
      <c r="Q2988">
        <v>-2.97</v>
      </c>
      <c r="R2988">
        <v>4.58</v>
      </c>
      <c r="S2988">
        <v>4.7300000000000004</v>
      </c>
      <c r="T2988">
        <v>93956</v>
      </c>
      <c r="U2988">
        <v>4.6399999999999997</v>
      </c>
      <c r="V2988">
        <v>4.72</v>
      </c>
      <c r="W2988">
        <v>35.770000000000003</v>
      </c>
      <c r="X2988" t="s">
        <v>735</v>
      </c>
      <c r="Y2988" t="s">
        <v>609</v>
      </c>
      <c r="Z2988">
        <v>4.03</v>
      </c>
      <c r="AA2988">
        <v>4.67</v>
      </c>
      <c r="AB2988">
        <v>45739</v>
      </c>
      <c r="AC2988">
        <v>48217</v>
      </c>
      <c r="AD2988">
        <v>0.95</v>
      </c>
      <c r="AE2988">
        <v>125</v>
      </c>
      <c r="AF2988">
        <v>187</v>
      </c>
      <c r="AG2988" t="s">
        <v>120</v>
      </c>
      <c r="AH2988">
        <v>0.03</v>
      </c>
      <c r="AI2988" t="s">
        <v>120</v>
      </c>
      <c r="AJ2988">
        <v>3.11</v>
      </c>
      <c r="AK2988" t="s">
        <v>13128</v>
      </c>
      <c r="AL2988">
        <v>-0.35</v>
      </c>
      <c r="AM2988">
        <v>2105</v>
      </c>
      <c r="AN2988">
        <v>45</v>
      </c>
      <c r="AO2988">
        <v>1.4E-3</v>
      </c>
      <c r="AP2988">
        <v>-4</v>
      </c>
      <c r="AQ2988">
        <v>-1.05</v>
      </c>
      <c r="AR2988">
        <v>-8.3000000000000007</v>
      </c>
      <c r="AS2988">
        <v>13.73</v>
      </c>
      <c r="AT2988">
        <v>14.85</v>
      </c>
      <c r="AU2988">
        <v>16.29</v>
      </c>
      <c r="AV2988">
        <v>3</v>
      </c>
      <c r="AW2988">
        <v>4.71</v>
      </c>
      <c r="AX2988">
        <v>64.03</v>
      </c>
      <c r="AY2988" t="s">
        <v>120</v>
      </c>
      <c r="AZ2988" t="s">
        <v>120</v>
      </c>
      <c r="BA2988">
        <v>0.51</v>
      </c>
      <c r="BB2988" t="s">
        <v>143</v>
      </c>
      <c r="BF2988">
        <v>-0.97</v>
      </c>
      <c r="BG2988">
        <v>-1.9</v>
      </c>
      <c r="BH2988">
        <v>-2.73</v>
      </c>
      <c r="BI2988">
        <v>1.31</v>
      </c>
      <c r="BJ2988">
        <v>20210812</v>
      </c>
      <c r="BK2988">
        <v>19961203</v>
      </c>
      <c r="BL2988">
        <v>3.11</v>
      </c>
      <c r="BM2988" t="s">
        <v>120</v>
      </c>
      <c r="BN2988" t="s">
        <v>120</v>
      </c>
      <c r="BO2988">
        <v>50.01</v>
      </c>
      <c r="BP2988">
        <v>4.63</v>
      </c>
      <c r="BQ2988">
        <v>6.75</v>
      </c>
      <c r="BR2988">
        <v>0.18</v>
      </c>
      <c r="BS2988">
        <v>86.14</v>
      </c>
      <c r="BT2988">
        <v>10.41</v>
      </c>
      <c r="BU2988">
        <v>16.149999999999999</v>
      </c>
      <c r="BV2988">
        <v>2.0099999999999998</v>
      </c>
      <c r="BW2988">
        <v>28.02</v>
      </c>
      <c r="BX2988">
        <v>2.09</v>
      </c>
      <c r="BY2988">
        <v>4.8499999999999996</v>
      </c>
      <c r="BZ2988">
        <v>0.17</v>
      </c>
      <c r="CA2988">
        <v>0.23</v>
      </c>
      <c r="CB2988">
        <v>4.04</v>
      </c>
      <c r="CC2988">
        <v>10.76</v>
      </c>
      <c r="CD2988">
        <v>7.18</v>
      </c>
      <c r="CE2988">
        <v>0.56999999999999995</v>
      </c>
      <c r="CF2988">
        <v>0.02</v>
      </c>
      <c r="CG2988">
        <v>0.21</v>
      </c>
      <c r="CH2988">
        <v>0.23</v>
      </c>
      <c r="CI2988">
        <v>0.2</v>
      </c>
      <c r="CJ2988">
        <v>-0.08</v>
      </c>
      <c r="CK2988">
        <v>0.44</v>
      </c>
      <c r="CL2988">
        <v>-1.83</v>
      </c>
      <c r="CM2988">
        <v>0.38</v>
      </c>
      <c r="CN2988">
        <v>-2.16</v>
      </c>
      <c r="CO2988">
        <v>20017</v>
      </c>
      <c r="CP2988">
        <v>9964</v>
      </c>
      <c r="CQ2988" t="s">
        <v>3282</v>
      </c>
      <c r="CR2988">
        <v>132.71</v>
      </c>
      <c r="CS2988">
        <v>3.34</v>
      </c>
      <c r="CT2988">
        <v>2.14</v>
      </c>
      <c r="CU2988">
        <v>37.630000000000003</v>
      </c>
      <c r="CV2988">
        <v>1.34</v>
      </c>
      <c r="CW2988">
        <v>0</v>
      </c>
      <c r="CX2988" t="s">
        <v>1064</v>
      </c>
      <c r="CY2988">
        <v>2.17</v>
      </c>
      <c r="CZ2988">
        <v>0</v>
      </c>
      <c r="DA2988">
        <v>1.3</v>
      </c>
      <c r="DB2988">
        <v>-0.59</v>
      </c>
      <c r="DC2988">
        <v>0.12</v>
      </c>
      <c r="DD2988">
        <v>13.5</v>
      </c>
      <c r="DE2988" t="s">
        <v>243</v>
      </c>
      <c r="DF2988">
        <v>33.270000000000003</v>
      </c>
      <c r="DG2988">
        <v>5.34</v>
      </c>
      <c r="DH2988">
        <v>1.88</v>
      </c>
      <c r="DI2988" t="s">
        <v>120</v>
      </c>
      <c r="DJ2988">
        <v>3046</v>
      </c>
      <c r="DK2988">
        <v>600778</v>
      </c>
      <c r="DL2988" t="s">
        <v>120</v>
      </c>
      <c r="DM2988" t="s">
        <v>120</v>
      </c>
      <c r="DN2988" t="s">
        <v>120</v>
      </c>
    </row>
    <row r="2989" spans="1:118">
      <c r="A2989" t="str">
        <f>"600779"</f>
        <v>600779</v>
      </c>
      <c r="B2989" t="s">
        <v>13129</v>
      </c>
      <c r="C2989">
        <v>-0.34</v>
      </c>
      <c r="D2989">
        <v>-0.41</v>
      </c>
      <c r="E2989">
        <v>-0.34</v>
      </c>
      <c r="F2989">
        <v>1057</v>
      </c>
      <c r="G2989" t="s">
        <v>13130</v>
      </c>
      <c r="H2989">
        <v>67756.53</v>
      </c>
      <c r="I2989">
        <v>151.16</v>
      </c>
      <c r="J2989" t="s">
        <v>120</v>
      </c>
      <c r="K2989" t="s">
        <v>13131</v>
      </c>
      <c r="L2989">
        <v>1.18</v>
      </c>
      <c r="M2989">
        <v>116.28</v>
      </c>
      <c r="N2989">
        <v>0.95</v>
      </c>
      <c r="O2989">
        <v>2</v>
      </c>
      <c r="P2989">
        <v>119.01</v>
      </c>
      <c r="Q2989">
        <v>-1.44</v>
      </c>
      <c r="R2989">
        <v>115</v>
      </c>
      <c r="S2989">
        <v>116.28</v>
      </c>
      <c r="T2989">
        <v>57772</v>
      </c>
      <c r="U2989">
        <v>116.28</v>
      </c>
      <c r="V2989">
        <v>116.68</v>
      </c>
      <c r="W2989">
        <v>75.260000000000005</v>
      </c>
      <c r="X2989" t="s">
        <v>1165</v>
      </c>
      <c r="Y2989" t="s">
        <v>578</v>
      </c>
      <c r="Z2989">
        <v>3.44</v>
      </c>
      <c r="AA2989">
        <v>117.28</v>
      </c>
      <c r="AB2989">
        <v>25006</v>
      </c>
      <c r="AC2989">
        <v>32766</v>
      </c>
      <c r="AD2989">
        <v>0.76</v>
      </c>
      <c r="AE2989">
        <v>1</v>
      </c>
      <c r="AF2989">
        <v>25</v>
      </c>
      <c r="AG2989" t="s">
        <v>120</v>
      </c>
      <c r="AH2989">
        <v>0.01</v>
      </c>
      <c r="AI2989" t="s">
        <v>120</v>
      </c>
      <c r="AJ2989">
        <v>4.88</v>
      </c>
      <c r="AK2989" t="s">
        <v>13132</v>
      </c>
      <c r="AL2989">
        <v>1</v>
      </c>
      <c r="AM2989">
        <v>4260</v>
      </c>
      <c r="AN2989">
        <v>14</v>
      </c>
      <c r="AO2989">
        <v>2.9999999999999997E-4</v>
      </c>
      <c r="AP2989">
        <v>-4</v>
      </c>
      <c r="AQ2989">
        <v>-4.3499999999999996</v>
      </c>
      <c r="AR2989">
        <v>-6.86</v>
      </c>
      <c r="AS2989">
        <v>-3.74</v>
      </c>
      <c r="AT2989">
        <v>-3.59</v>
      </c>
      <c r="AU2989">
        <v>42.12</v>
      </c>
      <c r="AV2989">
        <v>10</v>
      </c>
      <c r="AW2989">
        <v>3.21</v>
      </c>
      <c r="AX2989">
        <v>36.82</v>
      </c>
      <c r="AY2989">
        <v>56.67</v>
      </c>
      <c r="AZ2989">
        <v>77.92</v>
      </c>
      <c r="BA2989">
        <v>2.54</v>
      </c>
      <c r="BB2989" t="s">
        <v>240</v>
      </c>
      <c r="BF2989">
        <v>0.52</v>
      </c>
      <c r="BG2989">
        <v>0</v>
      </c>
      <c r="BH2989">
        <v>-2.29</v>
      </c>
      <c r="BI2989">
        <v>1.1100000000000001</v>
      </c>
      <c r="BJ2989">
        <v>20210825</v>
      </c>
      <c r="BK2989">
        <v>19961206</v>
      </c>
      <c r="BL2989">
        <v>4.88</v>
      </c>
      <c r="BM2989" t="s">
        <v>120</v>
      </c>
      <c r="BN2989" t="s">
        <v>120</v>
      </c>
      <c r="BO2989">
        <v>47.61</v>
      </c>
      <c r="BP2989">
        <v>116.25</v>
      </c>
      <c r="BQ2989">
        <v>19.260000000000002</v>
      </c>
      <c r="BR2989" t="s">
        <v>120</v>
      </c>
      <c r="BS2989">
        <v>59.54</v>
      </c>
      <c r="BT2989">
        <v>34.26</v>
      </c>
      <c r="BU2989">
        <v>5.08</v>
      </c>
      <c r="BV2989">
        <v>1.17</v>
      </c>
      <c r="BW2989">
        <v>28.2</v>
      </c>
      <c r="BX2989">
        <v>14.43</v>
      </c>
      <c r="BY2989">
        <v>19.21</v>
      </c>
      <c r="BZ2989">
        <v>0.03</v>
      </c>
      <c r="CA2989" t="s">
        <v>120</v>
      </c>
      <c r="CB2989">
        <v>3.96</v>
      </c>
      <c r="CC2989">
        <v>18.37</v>
      </c>
      <c r="CD2989">
        <v>2.84</v>
      </c>
      <c r="CE2989">
        <v>5.42</v>
      </c>
      <c r="CF2989">
        <v>0</v>
      </c>
      <c r="CG2989">
        <v>5.13</v>
      </c>
      <c r="CH2989">
        <v>3.77</v>
      </c>
      <c r="CI2989">
        <v>3.77</v>
      </c>
      <c r="CJ2989">
        <v>-0.4</v>
      </c>
      <c r="CK2989">
        <v>3.9</v>
      </c>
      <c r="CL2989">
        <v>6.41</v>
      </c>
      <c r="CM2989">
        <v>2.78</v>
      </c>
      <c r="CN2989">
        <v>1.1299999999999999</v>
      </c>
      <c r="CO2989">
        <v>65845</v>
      </c>
      <c r="CP2989">
        <v>2731</v>
      </c>
      <c r="CQ2989" t="s">
        <v>13133</v>
      </c>
      <c r="CR2989">
        <v>266.01</v>
      </c>
      <c r="CS2989">
        <v>128.44</v>
      </c>
      <c r="CT2989">
        <v>29.48</v>
      </c>
      <c r="CU2989">
        <v>204.2</v>
      </c>
      <c r="CV2989">
        <v>30.91</v>
      </c>
      <c r="CW2989">
        <v>1.03</v>
      </c>
      <c r="CX2989" t="s">
        <v>1914</v>
      </c>
      <c r="CY2989">
        <v>3.94</v>
      </c>
      <c r="CZ2989">
        <v>0</v>
      </c>
      <c r="DA2989">
        <v>0.81</v>
      </c>
      <c r="DB2989">
        <v>1.31</v>
      </c>
      <c r="DC2989">
        <v>0.56999999999999995</v>
      </c>
      <c r="DD2989">
        <v>40.46</v>
      </c>
      <c r="DE2989" t="s">
        <v>13134</v>
      </c>
      <c r="DF2989">
        <v>84.54</v>
      </c>
      <c r="DG2989">
        <v>29.49</v>
      </c>
      <c r="DH2989">
        <v>20.54</v>
      </c>
      <c r="DI2989">
        <v>0.02</v>
      </c>
      <c r="DJ2989">
        <v>1258</v>
      </c>
      <c r="DK2989">
        <v>600779</v>
      </c>
      <c r="DL2989">
        <v>20210701</v>
      </c>
      <c r="DM2989">
        <v>138.99</v>
      </c>
      <c r="DN2989">
        <v>-15.48</v>
      </c>
    </row>
    <row r="2990" spans="1:118">
      <c r="A2990" t="str">
        <f>"600780"</f>
        <v>600780</v>
      </c>
      <c r="B2990" t="s">
        <v>13135</v>
      </c>
      <c r="C2990">
        <v>-2.0299999999999998</v>
      </c>
      <c r="D2990">
        <v>-0.22</v>
      </c>
      <c r="E2990">
        <v>-0.23</v>
      </c>
      <c r="F2990">
        <v>879</v>
      </c>
      <c r="G2990" t="s">
        <v>214</v>
      </c>
      <c r="H2990">
        <v>6047.32</v>
      </c>
      <c r="I2990">
        <v>29.97</v>
      </c>
      <c r="J2990" t="s">
        <v>120</v>
      </c>
      <c r="K2990" t="s">
        <v>13136</v>
      </c>
      <c r="L2990">
        <v>1.19</v>
      </c>
      <c r="M2990">
        <v>4.34</v>
      </c>
      <c r="N2990">
        <v>0.48</v>
      </c>
      <c r="O2990">
        <v>2.71</v>
      </c>
      <c r="P2990">
        <v>4.55</v>
      </c>
      <c r="Q2990">
        <v>-2.2599999999999998</v>
      </c>
      <c r="R2990">
        <v>4.33</v>
      </c>
      <c r="S2990">
        <v>4.42</v>
      </c>
      <c r="T2990">
        <v>135939</v>
      </c>
      <c r="U2990">
        <v>4.3499999999999996</v>
      </c>
      <c r="V2990">
        <v>4.43</v>
      </c>
      <c r="W2990">
        <v>23.02</v>
      </c>
      <c r="X2990" t="s">
        <v>268</v>
      </c>
      <c r="Y2990" t="s">
        <v>667</v>
      </c>
      <c r="Z2990">
        <v>4.97</v>
      </c>
      <c r="AA2990">
        <v>4.45</v>
      </c>
      <c r="AB2990">
        <v>72133</v>
      </c>
      <c r="AC2990">
        <v>63806</v>
      </c>
      <c r="AD2990">
        <v>1.1299999999999999</v>
      </c>
      <c r="AE2990">
        <v>661</v>
      </c>
      <c r="AF2990">
        <v>702</v>
      </c>
      <c r="AG2990" t="s">
        <v>120</v>
      </c>
      <c r="AH2990">
        <v>0.01</v>
      </c>
      <c r="AI2990" t="s">
        <v>120</v>
      </c>
      <c r="AJ2990">
        <v>11.47</v>
      </c>
      <c r="AK2990" t="s">
        <v>13136</v>
      </c>
      <c r="AL2990">
        <v>-0.69</v>
      </c>
      <c r="AM2990">
        <v>2205</v>
      </c>
      <c r="AN2990">
        <v>62</v>
      </c>
      <c r="AO2990">
        <v>5.0000000000000001E-4</v>
      </c>
      <c r="AP2990">
        <v>-1</v>
      </c>
      <c r="AQ2990">
        <v>3.5</v>
      </c>
      <c r="AR2990">
        <v>-1.59</v>
      </c>
      <c r="AS2990">
        <v>14.21</v>
      </c>
      <c r="AT2990">
        <v>15.12</v>
      </c>
      <c r="AU2990">
        <v>21.57</v>
      </c>
      <c r="AV2990">
        <v>5</v>
      </c>
      <c r="AW2990">
        <v>2.81</v>
      </c>
      <c r="AX2990">
        <v>42.22</v>
      </c>
      <c r="AY2990">
        <v>16.68</v>
      </c>
      <c r="AZ2990">
        <v>16.940000000000001</v>
      </c>
      <c r="BA2990">
        <v>0.85</v>
      </c>
      <c r="BB2990" t="s">
        <v>143</v>
      </c>
      <c r="BF2990">
        <v>0.42</v>
      </c>
      <c r="BG2990">
        <v>-1.81</v>
      </c>
      <c r="BH2990">
        <v>-4.62</v>
      </c>
      <c r="BI2990">
        <v>0.23</v>
      </c>
      <c r="BJ2990">
        <v>20210827</v>
      </c>
      <c r="BK2990">
        <v>19961205</v>
      </c>
      <c r="BL2990">
        <v>11.47</v>
      </c>
      <c r="BM2990" t="s">
        <v>120</v>
      </c>
      <c r="BN2990" t="s">
        <v>120</v>
      </c>
      <c r="BO2990">
        <v>84.59</v>
      </c>
      <c r="BP2990">
        <v>4.34</v>
      </c>
      <c r="BQ2990">
        <v>56.53</v>
      </c>
      <c r="BR2990">
        <v>-0.3</v>
      </c>
      <c r="BS2990">
        <v>33.520000000000003</v>
      </c>
      <c r="BT2990">
        <v>23.42</v>
      </c>
      <c r="BU2990">
        <v>45.29</v>
      </c>
      <c r="BV2990">
        <v>1.28</v>
      </c>
      <c r="BW2990">
        <v>18.440000000000001</v>
      </c>
      <c r="BX2990">
        <v>17.45</v>
      </c>
      <c r="BY2990">
        <v>0.95</v>
      </c>
      <c r="BZ2990">
        <v>1.94</v>
      </c>
      <c r="CA2990" t="s">
        <v>120</v>
      </c>
      <c r="CB2990">
        <v>12.84</v>
      </c>
      <c r="CC2990">
        <v>39.119999999999997</v>
      </c>
      <c r="CD2990">
        <v>35.630000000000003</v>
      </c>
      <c r="CE2990">
        <v>1.8</v>
      </c>
      <c r="CF2990">
        <v>0.64</v>
      </c>
      <c r="CG2990">
        <v>1.79</v>
      </c>
      <c r="CH2990">
        <v>1.07</v>
      </c>
      <c r="CI2990">
        <v>1.08</v>
      </c>
      <c r="CJ2990">
        <v>-0.09</v>
      </c>
      <c r="CK2990">
        <v>1.03</v>
      </c>
      <c r="CL2990">
        <v>29.13</v>
      </c>
      <c r="CM2990">
        <v>4.91</v>
      </c>
      <c r="CN2990">
        <v>3.11</v>
      </c>
      <c r="CO2990">
        <v>49178</v>
      </c>
      <c r="CP2990">
        <v>9843</v>
      </c>
      <c r="CQ2990" t="s">
        <v>2851</v>
      </c>
      <c r="CR2990">
        <v>4.3899999999999997</v>
      </c>
      <c r="CS2990">
        <v>18.23</v>
      </c>
      <c r="CT2990">
        <v>0.88</v>
      </c>
      <c r="CU2990">
        <v>10.130000000000001</v>
      </c>
      <c r="CV2990">
        <v>1.27</v>
      </c>
      <c r="CW2990">
        <v>2.0299999999999998</v>
      </c>
      <c r="CX2990" t="s">
        <v>5468</v>
      </c>
      <c r="CY2990">
        <v>4.93</v>
      </c>
      <c r="CZ2990">
        <v>0</v>
      </c>
      <c r="DA2990">
        <v>1.1200000000000001</v>
      </c>
      <c r="DB2990">
        <v>2.54</v>
      </c>
      <c r="DC2990">
        <v>0.43</v>
      </c>
      <c r="DD2990">
        <v>66.83</v>
      </c>
      <c r="DE2990" t="s">
        <v>8477</v>
      </c>
      <c r="DF2990">
        <v>8.92</v>
      </c>
      <c r="DG2990">
        <v>4.6100000000000003</v>
      </c>
      <c r="DH2990">
        <v>2.76</v>
      </c>
      <c r="DI2990">
        <v>0.01</v>
      </c>
      <c r="DJ2990">
        <v>4702</v>
      </c>
      <c r="DK2990">
        <v>600780</v>
      </c>
      <c r="DL2990" t="s">
        <v>120</v>
      </c>
      <c r="DM2990" t="s">
        <v>120</v>
      </c>
      <c r="DN2990" t="s">
        <v>120</v>
      </c>
    </row>
    <row r="2991" spans="1:118">
      <c r="A2991" t="str">
        <f>"600782"</f>
        <v>600782</v>
      </c>
      <c r="B2991" t="s">
        <v>13137</v>
      </c>
      <c r="C2991">
        <v>0.93</v>
      </c>
      <c r="D2991">
        <v>-0.6</v>
      </c>
      <c r="E2991">
        <v>1.45</v>
      </c>
      <c r="F2991">
        <v>9504</v>
      </c>
      <c r="G2991" t="s">
        <v>7686</v>
      </c>
      <c r="H2991">
        <v>102228.81</v>
      </c>
      <c r="I2991">
        <v>553.41</v>
      </c>
      <c r="J2991" t="s">
        <v>120</v>
      </c>
      <c r="K2991" t="s">
        <v>13138</v>
      </c>
      <c r="L2991">
        <v>3.19</v>
      </c>
      <c r="M2991">
        <v>9.75</v>
      </c>
      <c r="N2991">
        <v>1.04</v>
      </c>
      <c r="O2991">
        <v>7.14</v>
      </c>
      <c r="P2991">
        <v>10.35</v>
      </c>
      <c r="Q2991">
        <v>0.72</v>
      </c>
      <c r="R2991">
        <v>9.73</v>
      </c>
      <c r="S2991">
        <v>9.8000000000000007</v>
      </c>
      <c r="T2991">
        <v>1017795</v>
      </c>
      <c r="U2991">
        <v>9.76</v>
      </c>
      <c r="V2991">
        <v>9.66</v>
      </c>
      <c r="W2991">
        <v>6.46</v>
      </c>
      <c r="X2991" t="s">
        <v>1460</v>
      </c>
      <c r="Y2991" t="s">
        <v>676</v>
      </c>
      <c r="Z2991">
        <v>6.42</v>
      </c>
      <c r="AA2991">
        <v>10.039999999999999</v>
      </c>
      <c r="AB2991">
        <v>464638</v>
      </c>
      <c r="AC2991">
        <v>553157</v>
      </c>
      <c r="AD2991">
        <v>0.84</v>
      </c>
      <c r="AE2991">
        <v>43</v>
      </c>
      <c r="AF2991">
        <v>173</v>
      </c>
      <c r="AG2991" t="s">
        <v>120</v>
      </c>
      <c r="AH2991">
        <v>0.04</v>
      </c>
      <c r="AI2991" t="s">
        <v>120</v>
      </c>
      <c r="AJ2991">
        <v>31.89</v>
      </c>
      <c r="AK2991" t="s">
        <v>13138</v>
      </c>
      <c r="AL2991">
        <v>2.2799999999999998</v>
      </c>
      <c r="AM2991">
        <v>4671</v>
      </c>
      <c r="AN2991">
        <v>218</v>
      </c>
      <c r="AO2991">
        <v>6.9999999999999999E-4</v>
      </c>
      <c r="AP2991">
        <v>2</v>
      </c>
      <c r="AQ2991">
        <v>0.84</v>
      </c>
      <c r="AR2991">
        <v>-5.15</v>
      </c>
      <c r="AS2991">
        <v>28.8</v>
      </c>
      <c r="AT2991">
        <v>84.65</v>
      </c>
      <c r="AU2991">
        <v>127.27</v>
      </c>
      <c r="AV2991">
        <v>5</v>
      </c>
      <c r="AW2991">
        <v>6.86</v>
      </c>
      <c r="AX2991">
        <v>46.56</v>
      </c>
      <c r="AY2991">
        <v>7.68</v>
      </c>
      <c r="AZ2991">
        <v>11.41</v>
      </c>
      <c r="BA2991">
        <v>1.36</v>
      </c>
      <c r="BB2991" t="s">
        <v>143</v>
      </c>
      <c r="BF2991">
        <v>3.98</v>
      </c>
      <c r="BG2991">
        <v>-0.51</v>
      </c>
      <c r="BH2991">
        <v>-5.8</v>
      </c>
      <c r="BI2991">
        <v>0.21</v>
      </c>
      <c r="BJ2991">
        <v>20210821</v>
      </c>
      <c r="BK2991">
        <v>19961225</v>
      </c>
      <c r="BL2991">
        <v>31.89</v>
      </c>
      <c r="BM2991" t="s">
        <v>120</v>
      </c>
      <c r="BN2991" t="s">
        <v>120</v>
      </c>
      <c r="BO2991">
        <v>559.02</v>
      </c>
      <c r="BP2991">
        <v>9.75</v>
      </c>
      <c r="BQ2991">
        <v>249.63</v>
      </c>
      <c r="BR2991">
        <v>6.98</v>
      </c>
      <c r="BS2991">
        <v>54.1</v>
      </c>
      <c r="BT2991">
        <v>300.01</v>
      </c>
      <c r="BU2991">
        <v>117.54</v>
      </c>
      <c r="BV2991">
        <v>8.6</v>
      </c>
      <c r="BW2991">
        <v>294.61</v>
      </c>
      <c r="BX2991">
        <v>23.47</v>
      </c>
      <c r="BY2991">
        <v>79.53</v>
      </c>
      <c r="BZ2991">
        <v>20.52</v>
      </c>
      <c r="CA2991" t="s">
        <v>120</v>
      </c>
      <c r="CB2991">
        <v>56.08</v>
      </c>
      <c r="CC2991">
        <v>546.09</v>
      </c>
      <c r="CD2991">
        <v>510.81</v>
      </c>
      <c r="CE2991">
        <v>28.39</v>
      </c>
      <c r="CF2991">
        <v>1.37</v>
      </c>
      <c r="CG2991">
        <v>28.45</v>
      </c>
      <c r="CH2991">
        <v>24.75</v>
      </c>
      <c r="CI2991">
        <v>24.05</v>
      </c>
      <c r="CJ2991">
        <v>0.09</v>
      </c>
      <c r="CK2991">
        <v>22.73</v>
      </c>
      <c r="CL2991">
        <v>147.18</v>
      </c>
      <c r="CM2991">
        <v>11.86</v>
      </c>
      <c r="CN2991">
        <v>-28.54</v>
      </c>
      <c r="CO2991">
        <v>45512</v>
      </c>
      <c r="CP2991">
        <v>32622</v>
      </c>
      <c r="CQ2991" t="s">
        <v>13139</v>
      </c>
      <c r="CR2991">
        <v>119.88</v>
      </c>
      <c r="CS2991">
        <v>71.31</v>
      </c>
      <c r="CT2991">
        <v>1.25</v>
      </c>
      <c r="CU2991">
        <v>26.21</v>
      </c>
      <c r="CV2991">
        <v>0.56999999999999995</v>
      </c>
      <c r="CW2991">
        <v>3.05</v>
      </c>
      <c r="CX2991" t="s">
        <v>1914</v>
      </c>
      <c r="CY2991">
        <v>7.83</v>
      </c>
      <c r="CZ2991">
        <v>0</v>
      </c>
      <c r="DA2991">
        <v>1.76</v>
      </c>
      <c r="DB2991">
        <v>4.62</v>
      </c>
      <c r="DC2991">
        <v>0.37</v>
      </c>
      <c r="DD2991">
        <v>44.65</v>
      </c>
      <c r="DE2991" t="s">
        <v>13140</v>
      </c>
      <c r="DF2991">
        <v>6.46</v>
      </c>
      <c r="DG2991">
        <v>5.2</v>
      </c>
      <c r="DH2991">
        <v>4.4000000000000004</v>
      </c>
      <c r="DI2991">
        <v>3.38</v>
      </c>
      <c r="DJ2991">
        <v>16755</v>
      </c>
      <c r="DK2991">
        <v>600782</v>
      </c>
      <c r="DL2991">
        <v>20210907</v>
      </c>
      <c r="DM2991">
        <v>9.16</v>
      </c>
      <c r="DN2991">
        <v>6.44</v>
      </c>
    </row>
    <row r="2992" spans="1:118">
      <c r="A2992" t="str">
        <f>"600783"</f>
        <v>600783</v>
      </c>
      <c r="B2992" t="s">
        <v>13141</v>
      </c>
      <c r="C2992">
        <v>0.56000000000000005</v>
      </c>
      <c r="D2992">
        <v>-0.13</v>
      </c>
      <c r="E2992">
        <v>0</v>
      </c>
      <c r="F2992">
        <v>1814</v>
      </c>
      <c r="G2992" t="s">
        <v>423</v>
      </c>
      <c r="H2992">
        <v>26936.959999999999</v>
      </c>
      <c r="I2992">
        <v>37.15</v>
      </c>
      <c r="J2992" t="s">
        <v>120</v>
      </c>
      <c r="K2992" t="s">
        <v>13142</v>
      </c>
      <c r="L2992">
        <v>2.5099999999999998</v>
      </c>
      <c r="M2992">
        <v>14.26</v>
      </c>
      <c r="N2992">
        <v>1.39</v>
      </c>
      <c r="O2992">
        <v>3.39</v>
      </c>
      <c r="P2992">
        <v>14.66</v>
      </c>
      <c r="Q2992">
        <v>-0.35</v>
      </c>
      <c r="R2992">
        <v>14.13</v>
      </c>
      <c r="S2992">
        <v>14.18</v>
      </c>
      <c r="T2992">
        <v>187194</v>
      </c>
      <c r="U2992">
        <v>14.27</v>
      </c>
      <c r="V2992">
        <v>14.18</v>
      </c>
      <c r="W2992">
        <v>26.72</v>
      </c>
      <c r="X2992" t="s">
        <v>721</v>
      </c>
      <c r="Y2992" t="s">
        <v>638</v>
      </c>
      <c r="Z2992">
        <v>3.74</v>
      </c>
      <c r="AA2992">
        <v>14.39</v>
      </c>
      <c r="AB2992">
        <v>99337</v>
      </c>
      <c r="AC2992">
        <v>87857</v>
      </c>
      <c r="AD2992">
        <v>1.1299999999999999</v>
      </c>
      <c r="AE2992">
        <v>110</v>
      </c>
      <c r="AF2992">
        <v>14</v>
      </c>
      <c r="AG2992" t="s">
        <v>120</v>
      </c>
      <c r="AH2992">
        <v>0.01</v>
      </c>
      <c r="AI2992" t="s">
        <v>120</v>
      </c>
      <c r="AJ2992">
        <v>7.44</v>
      </c>
      <c r="AK2992" t="s">
        <v>13142</v>
      </c>
      <c r="AL2992">
        <v>1.91</v>
      </c>
      <c r="AM2992">
        <v>3649</v>
      </c>
      <c r="AN2992">
        <v>51</v>
      </c>
      <c r="AO2992">
        <v>6.9999999999999999E-4</v>
      </c>
      <c r="AP2992">
        <v>2</v>
      </c>
      <c r="AQ2992">
        <v>0.56999999999999995</v>
      </c>
      <c r="AR2992">
        <v>-1.04</v>
      </c>
      <c r="AS2992">
        <v>19.03</v>
      </c>
      <c r="AT2992">
        <v>20.34</v>
      </c>
      <c r="AU2992">
        <v>-2.87</v>
      </c>
      <c r="AV2992">
        <v>2</v>
      </c>
      <c r="AW2992">
        <v>8.26</v>
      </c>
      <c r="AX2992">
        <v>30.43</v>
      </c>
      <c r="AY2992">
        <v>21.12</v>
      </c>
      <c r="AZ2992">
        <v>31.51</v>
      </c>
      <c r="BA2992">
        <v>0.87</v>
      </c>
      <c r="BB2992" t="s">
        <v>143</v>
      </c>
      <c r="BF2992">
        <v>1.48</v>
      </c>
      <c r="BG2992">
        <v>0.56000000000000005</v>
      </c>
      <c r="BH2992">
        <v>-2.73</v>
      </c>
      <c r="BI2992">
        <v>0.92</v>
      </c>
      <c r="BJ2992">
        <v>20210831</v>
      </c>
      <c r="BK2992">
        <v>19961225</v>
      </c>
      <c r="BL2992">
        <v>7.44</v>
      </c>
      <c r="BM2992" t="s">
        <v>120</v>
      </c>
      <c r="BN2992" t="s">
        <v>120</v>
      </c>
      <c r="BO2992">
        <v>69.67</v>
      </c>
      <c r="BP2992">
        <v>14.26</v>
      </c>
      <c r="BQ2992">
        <v>38.31</v>
      </c>
      <c r="BR2992" t="s">
        <v>120</v>
      </c>
      <c r="BS2992">
        <v>45.01</v>
      </c>
      <c r="BT2992">
        <v>23.19</v>
      </c>
      <c r="BU2992">
        <v>0.59</v>
      </c>
      <c r="BV2992">
        <v>0.19</v>
      </c>
      <c r="BW2992">
        <v>4.22</v>
      </c>
      <c r="BX2992">
        <v>4.7</v>
      </c>
      <c r="BY2992">
        <v>0.3</v>
      </c>
      <c r="BZ2992">
        <v>0.25</v>
      </c>
      <c r="CA2992" t="s">
        <v>120</v>
      </c>
      <c r="CB2992">
        <v>9.19</v>
      </c>
      <c r="CC2992">
        <v>0.56999999999999995</v>
      </c>
      <c r="CD2992">
        <v>0.44</v>
      </c>
      <c r="CE2992">
        <v>2.12</v>
      </c>
      <c r="CF2992">
        <v>1.03</v>
      </c>
      <c r="CG2992">
        <v>2.12</v>
      </c>
      <c r="CH2992">
        <v>2.04</v>
      </c>
      <c r="CI2992">
        <v>1.99</v>
      </c>
      <c r="CJ2992">
        <v>0.08</v>
      </c>
      <c r="CK2992">
        <v>1.98</v>
      </c>
      <c r="CL2992">
        <v>19.670000000000002</v>
      </c>
      <c r="CM2992">
        <v>-0.43</v>
      </c>
      <c r="CN2992">
        <v>-2.2400000000000002</v>
      </c>
      <c r="CO2992">
        <v>36344</v>
      </c>
      <c r="CP2992">
        <v>6232</v>
      </c>
      <c r="CQ2992" t="s">
        <v>3553</v>
      </c>
      <c r="CR2992">
        <v>485.47</v>
      </c>
      <c r="CS2992">
        <v>29.86</v>
      </c>
      <c r="CT2992">
        <v>2.77</v>
      </c>
      <c r="CU2992">
        <v>-246.35</v>
      </c>
      <c r="CV2992">
        <v>187.23</v>
      </c>
      <c r="CW2992">
        <v>1.06</v>
      </c>
      <c r="CX2992" t="s">
        <v>1233</v>
      </c>
      <c r="CY2992">
        <v>5.15</v>
      </c>
      <c r="CZ2992">
        <v>0</v>
      </c>
      <c r="DA2992">
        <v>1.24</v>
      </c>
      <c r="DB2992">
        <v>2.64</v>
      </c>
      <c r="DC2992">
        <v>-0.06</v>
      </c>
      <c r="DD2992">
        <v>54.99</v>
      </c>
      <c r="DE2992" t="s">
        <v>2413</v>
      </c>
      <c r="DF2992">
        <v>22.88</v>
      </c>
      <c r="DG2992">
        <v>374.16</v>
      </c>
      <c r="DH2992">
        <v>350.39</v>
      </c>
      <c r="DI2992">
        <v>0.03</v>
      </c>
      <c r="DJ2992">
        <v>421</v>
      </c>
      <c r="DK2992">
        <v>600783</v>
      </c>
      <c r="DL2992" t="s">
        <v>120</v>
      </c>
      <c r="DM2992" t="s">
        <v>120</v>
      </c>
      <c r="DN2992" t="s">
        <v>120</v>
      </c>
    </row>
    <row r="2993" spans="1:118">
      <c r="A2993" t="str">
        <f>"600784"</f>
        <v>600784</v>
      </c>
      <c r="B2993" t="s">
        <v>13143</v>
      </c>
      <c r="C2993">
        <v>-1.76</v>
      </c>
      <c r="D2993">
        <v>0.18</v>
      </c>
      <c r="E2993">
        <v>-0.18</v>
      </c>
      <c r="F2993">
        <v>433</v>
      </c>
      <c r="G2993" t="s">
        <v>5241</v>
      </c>
      <c r="H2993">
        <v>2975.99</v>
      </c>
      <c r="I2993">
        <v>11.6</v>
      </c>
      <c r="J2993" t="s">
        <v>120</v>
      </c>
      <c r="K2993" t="s">
        <v>8132</v>
      </c>
      <c r="L2993">
        <v>0.93</v>
      </c>
      <c r="M2993">
        <v>5.57</v>
      </c>
      <c r="N2993">
        <v>0.84</v>
      </c>
      <c r="O2993">
        <v>1.06</v>
      </c>
      <c r="P2993">
        <v>5.73</v>
      </c>
      <c r="Q2993">
        <v>-1.94</v>
      </c>
      <c r="R2993">
        <v>5.56</v>
      </c>
      <c r="S2993">
        <v>5.66</v>
      </c>
      <c r="T2993">
        <v>52645</v>
      </c>
      <c r="U2993">
        <v>5.57</v>
      </c>
      <c r="V2993">
        <v>5.67</v>
      </c>
      <c r="W2993">
        <v>26.67</v>
      </c>
      <c r="X2993" t="s">
        <v>166</v>
      </c>
      <c r="Y2993" t="s">
        <v>638</v>
      </c>
      <c r="Z2993">
        <v>3</v>
      </c>
      <c r="AA2993">
        <v>5.65</v>
      </c>
      <c r="AB2993">
        <v>30357</v>
      </c>
      <c r="AC2993">
        <v>22288</v>
      </c>
      <c r="AD2993">
        <v>1.36</v>
      </c>
      <c r="AE2993">
        <v>749</v>
      </c>
      <c r="AF2993">
        <v>753</v>
      </c>
      <c r="AG2993" t="s">
        <v>120</v>
      </c>
      <c r="AH2993">
        <v>0</v>
      </c>
      <c r="AI2993" t="s">
        <v>120</v>
      </c>
      <c r="AJ2993">
        <v>5.68</v>
      </c>
      <c r="AK2993" t="s">
        <v>8132</v>
      </c>
      <c r="AL2993">
        <v>-0.42</v>
      </c>
      <c r="AM2993">
        <v>1195</v>
      </c>
      <c r="AN2993">
        <v>44</v>
      </c>
      <c r="AO2993">
        <v>8.0000000000000004E-4</v>
      </c>
      <c r="AP2993">
        <v>-1</v>
      </c>
      <c r="AQ2993">
        <v>1.43</v>
      </c>
      <c r="AR2993">
        <v>-3.13</v>
      </c>
      <c r="AS2993">
        <v>7.32</v>
      </c>
      <c r="AT2993">
        <v>8.58</v>
      </c>
      <c r="AU2993">
        <v>-0.87</v>
      </c>
      <c r="AV2993">
        <v>2</v>
      </c>
      <c r="AW2993">
        <v>1.21</v>
      </c>
      <c r="AX2993">
        <v>76.27</v>
      </c>
      <c r="AY2993">
        <v>17.920000000000002</v>
      </c>
      <c r="AZ2993">
        <v>18.559999999999999</v>
      </c>
      <c r="BA2993">
        <v>0.38</v>
      </c>
      <c r="BB2993" t="s">
        <v>184</v>
      </c>
      <c r="BF2993">
        <v>-0.3</v>
      </c>
      <c r="BG2993">
        <v>-1.59</v>
      </c>
      <c r="BH2993">
        <v>-2.79</v>
      </c>
      <c r="BI2993">
        <v>0.18</v>
      </c>
      <c r="BJ2993">
        <v>20210821</v>
      </c>
      <c r="BK2993">
        <v>19961225</v>
      </c>
      <c r="BL2993">
        <v>5.68</v>
      </c>
      <c r="BM2993" t="s">
        <v>120</v>
      </c>
      <c r="BN2993" t="s">
        <v>120</v>
      </c>
      <c r="BO2993">
        <v>46.21</v>
      </c>
      <c r="BP2993">
        <v>5.56</v>
      </c>
      <c r="BQ2993">
        <v>17.309999999999999</v>
      </c>
      <c r="BR2993">
        <v>0.76</v>
      </c>
      <c r="BS2993">
        <v>60.91</v>
      </c>
      <c r="BT2993">
        <v>16.96</v>
      </c>
      <c r="BU2993">
        <v>13.97</v>
      </c>
      <c r="BV2993">
        <v>2.2799999999999998</v>
      </c>
      <c r="BW2993">
        <v>22.26</v>
      </c>
      <c r="BX2993">
        <v>3.44</v>
      </c>
      <c r="BY2993">
        <v>3.07</v>
      </c>
      <c r="BZ2993">
        <v>5.52</v>
      </c>
      <c r="CA2993" t="s">
        <v>120</v>
      </c>
      <c r="CB2993">
        <v>5.83</v>
      </c>
      <c r="CC2993">
        <v>14.76</v>
      </c>
      <c r="CD2993">
        <v>12.29</v>
      </c>
      <c r="CE2993">
        <v>0.73</v>
      </c>
      <c r="CF2993">
        <v>0.41</v>
      </c>
      <c r="CG2993">
        <v>0.73</v>
      </c>
      <c r="CH2993">
        <v>0.63</v>
      </c>
      <c r="CI2993">
        <v>0.59</v>
      </c>
      <c r="CJ2993">
        <v>-0.1</v>
      </c>
      <c r="CK2993">
        <v>0.54</v>
      </c>
      <c r="CL2993">
        <v>4.57</v>
      </c>
      <c r="CM2993">
        <v>0.87</v>
      </c>
      <c r="CN2993">
        <v>-0.03</v>
      </c>
      <c r="CO2993">
        <v>34862</v>
      </c>
      <c r="CP2993">
        <v>12430</v>
      </c>
      <c r="CQ2993" t="s">
        <v>7556</v>
      </c>
      <c r="CR2993">
        <v>11.71</v>
      </c>
      <c r="CS2993">
        <v>21.83</v>
      </c>
      <c r="CT2993">
        <v>1.83</v>
      </c>
      <c r="CU2993">
        <v>36.409999999999997</v>
      </c>
      <c r="CV2993">
        <v>2.14</v>
      </c>
      <c r="CW2993">
        <v>0.55000000000000004</v>
      </c>
      <c r="CX2993" t="s">
        <v>411</v>
      </c>
      <c r="CY2993">
        <v>3.05</v>
      </c>
      <c r="CZ2993">
        <v>0</v>
      </c>
      <c r="DA2993">
        <v>1.03</v>
      </c>
      <c r="DB2993">
        <v>0.8</v>
      </c>
      <c r="DC2993">
        <v>0.15</v>
      </c>
      <c r="DD2993">
        <v>37.46</v>
      </c>
      <c r="DE2993" t="s">
        <v>4854</v>
      </c>
      <c r="DF2993">
        <v>16.73</v>
      </c>
      <c r="DG2993">
        <v>4.9400000000000004</v>
      </c>
      <c r="DH2993">
        <v>4.0199999999999996</v>
      </c>
      <c r="DI2993">
        <v>0.41</v>
      </c>
      <c r="DJ2993">
        <v>2796</v>
      </c>
      <c r="DK2993">
        <v>600784</v>
      </c>
      <c r="DL2993" t="s">
        <v>120</v>
      </c>
      <c r="DM2993" t="s">
        <v>120</v>
      </c>
      <c r="DN2993" t="s">
        <v>120</v>
      </c>
    </row>
    <row r="2994" spans="1:118">
      <c r="A2994" t="str">
        <f>"600785"</f>
        <v>600785</v>
      </c>
      <c r="B2994" t="s">
        <v>13144</v>
      </c>
      <c r="C2994">
        <v>-4.57</v>
      </c>
      <c r="D2994">
        <v>0.34</v>
      </c>
      <c r="E2994">
        <v>-0.08</v>
      </c>
      <c r="F2994">
        <v>61</v>
      </c>
      <c r="G2994" t="s">
        <v>13145</v>
      </c>
      <c r="H2994">
        <v>1409.2</v>
      </c>
      <c r="I2994">
        <v>1.37</v>
      </c>
      <c r="J2994" t="s">
        <v>120</v>
      </c>
      <c r="K2994" t="s">
        <v>6863</v>
      </c>
      <c r="L2994">
        <v>0.52</v>
      </c>
      <c r="M2994">
        <v>11.91</v>
      </c>
      <c r="N2994">
        <v>0.91</v>
      </c>
      <c r="O2994">
        <v>-0.08</v>
      </c>
      <c r="P2994">
        <v>12.47</v>
      </c>
      <c r="Q2994">
        <v>-5.05</v>
      </c>
      <c r="R2994">
        <v>11.85</v>
      </c>
      <c r="S2994">
        <v>12.47</v>
      </c>
      <c r="T2994">
        <v>11623</v>
      </c>
      <c r="U2994">
        <v>11.91</v>
      </c>
      <c r="V2994">
        <v>12.48</v>
      </c>
      <c r="W2994">
        <v>35.549999999999997</v>
      </c>
      <c r="X2994" t="s">
        <v>735</v>
      </c>
      <c r="Y2994" t="s">
        <v>1110</v>
      </c>
      <c r="Z2994">
        <v>4.97</v>
      </c>
      <c r="AA2994">
        <v>12.12</v>
      </c>
      <c r="AB2994">
        <v>6671</v>
      </c>
      <c r="AC2994">
        <v>4952</v>
      </c>
      <c r="AD2994">
        <v>1.35</v>
      </c>
      <c r="AE2994">
        <v>18</v>
      </c>
      <c r="AF2994">
        <v>10</v>
      </c>
      <c r="AG2994" t="s">
        <v>120</v>
      </c>
      <c r="AH2994">
        <v>0</v>
      </c>
      <c r="AI2994" t="s">
        <v>120</v>
      </c>
      <c r="AJ2994">
        <v>2.2599999999999998</v>
      </c>
      <c r="AK2994" t="s">
        <v>6863</v>
      </c>
      <c r="AL2994">
        <v>-3.22</v>
      </c>
      <c r="AM2994">
        <v>771</v>
      </c>
      <c r="AN2994">
        <v>15</v>
      </c>
      <c r="AO2994">
        <v>6.9999999999999999E-4</v>
      </c>
      <c r="AP2994">
        <v>-5</v>
      </c>
      <c r="AQ2994">
        <v>-2.95</v>
      </c>
      <c r="AR2994">
        <v>-9.36</v>
      </c>
      <c r="AS2994">
        <v>-9.84</v>
      </c>
      <c r="AT2994">
        <v>2.06</v>
      </c>
      <c r="AU2994">
        <v>-5.92</v>
      </c>
      <c r="AV2994">
        <v>0</v>
      </c>
      <c r="AW2994">
        <v>1.96</v>
      </c>
      <c r="AX2994">
        <v>26.24</v>
      </c>
      <c r="AY2994">
        <v>93.81</v>
      </c>
      <c r="AZ2994">
        <v>65.05</v>
      </c>
      <c r="BA2994">
        <v>0.42</v>
      </c>
      <c r="BB2994" t="s">
        <v>134</v>
      </c>
      <c r="BF2994">
        <v>-2.85</v>
      </c>
      <c r="BG2994">
        <v>-4.49</v>
      </c>
      <c r="BH2994">
        <v>-4.49</v>
      </c>
      <c r="BI2994">
        <v>0.51</v>
      </c>
      <c r="BJ2994">
        <v>20210821</v>
      </c>
      <c r="BK2994">
        <v>19970108</v>
      </c>
      <c r="BL2994">
        <v>2.2599999999999998</v>
      </c>
      <c r="BM2994" t="s">
        <v>120</v>
      </c>
      <c r="BN2994" t="s">
        <v>120</v>
      </c>
      <c r="BO2994">
        <v>80.8</v>
      </c>
      <c r="BP2994">
        <v>11.87</v>
      </c>
      <c r="BQ2994">
        <v>19.809999999999999</v>
      </c>
      <c r="BR2994">
        <v>-1.62</v>
      </c>
      <c r="BS2994">
        <v>77.489999999999995</v>
      </c>
      <c r="BT2994">
        <v>15.6</v>
      </c>
      <c r="BU2994">
        <v>19.89</v>
      </c>
      <c r="BV2994">
        <v>6.32</v>
      </c>
      <c r="BW2994">
        <v>33.26</v>
      </c>
      <c r="BX2994">
        <v>5.52</v>
      </c>
      <c r="BY2994">
        <v>5.7</v>
      </c>
      <c r="BZ2994">
        <v>1.49</v>
      </c>
      <c r="CA2994">
        <v>0.5</v>
      </c>
      <c r="CB2994">
        <v>3.11</v>
      </c>
      <c r="CC2994">
        <v>30.39</v>
      </c>
      <c r="CD2994">
        <v>22.25</v>
      </c>
      <c r="CE2994">
        <v>0.39</v>
      </c>
      <c r="CF2994">
        <v>0.01</v>
      </c>
      <c r="CG2994">
        <v>0.43</v>
      </c>
      <c r="CH2994">
        <v>0.24</v>
      </c>
      <c r="CI2994">
        <v>0.38</v>
      </c>
      <c r="CJ2994">
        <v>-0.56999999999999995</v>
      </c>
      <c r="CK2994">
        <v>0.3</v>
      </c>
      <c r="CL2994">
        <v>12.56</v>
      </c>
      <c r="CM2994">
        <v>4.16</v>
      </c>
      <c r="CN2994">
        <v>-2.85</v>
      </c>
      <c r="CO2994">
        <v>8844</v>
      </c>
      <c r="CP2994">
        <v>6695</v>
      </c>
      <c r="CQ2994" t="s">
        <v>1124</v>
      </c>
      <c r="CR2994">
        <v>-25.98</v>
      </c>
      <c r="CS2994">
        <v>3.55</v>
      </c>
      <c r="CT2994">
        <v>1.36</v>
      </c>
      <c r="CU2994">
        <v>6.46</v>
      </c>
      <c r="CV2994">
        <v>0.88</v>
      </c>
      <c r="CW2994">
        <v>0</v>
      </c>
      <c r="CX2994" t="s">
        <v>1193</v>
      </c>
      <c r="CY2994">
        <v>8.7799999999999994</v>
      </c>
      <c r="CZ2994">
        <v>0</v>
      </c>
      <c r="DA2994">
        <v>1.38</v>
      </c>
      <c r="DB2994">
        <v>5.57</v>
      </c>
      <c r="DC2994">
        <v>1.85</v>
      </c>
      <c r="DD2994">
        <v>24.52</v>
      </c>
      <c r="DE2994" t="s">
        <v>8477</v>
      </c>
      <c r="DF2994">
        <v>26.78</v>
      </c>
      <c r="DG2994">
        <v>1.27</v>
      </c>
      <c r="DH2994">
        <v>1.24</v>
      </c>
      <c r="DI2994" t="s">
        <v>120</v>
      </c>
      <c r="DJ2994">
        <v>9380</v>
      </c>
      <c r="DK2994">
        <v>600785</v>
      </c>
      <c r="DL2994" t="s">
        <v>120</v>
      </c>
      <c r="DM2994" t="s">
        <v>120</v>
      </c>
      <c r="DN2994" t="s">
        <v>120</v>
      </c>
    </row>
    <row r="2995" spans="1:118">
      <c r="A2995" t="str">
        <f>"600787"</f>
        <v>600787</v>
      </c>
      <c r="B2995" t="s">
        <v>13146</v>
      </c>
      <c r="C2995">
        <v>-2.0299999999999998</v>
      </c>
      <c r="D2995">
        <v>-0.13</v>
      </c>
      <c r="E2995">
        <v>-0.14000000000000001</v>
      </c>
      <c r="F2995">
        <v>2943</v>
      </c>
      <c r="G2995" t="s">
        <v>13147</v>
      </c>
      <c r="H2995">
        <v>20427.38</v>
      </c>
      <c r="I2995">
        <v>95.94</v>
      </c>
      <c r="J2995" t="s">
        <v>120</v>
      </c>
      <c r="K2995" t="s">
        <v>3497</v>
      </c>
      <c r="L2995">
        <v>1.27</v>
      </c>
      <c r="M2995">
        <v>7.24</v>
      </c>
      <c r="N2995">
        <v>0.78</v>
      </c>
      <c r="O2995">
        <v>3.65</v>
      </c>
      <c r="P2995">
        <v>7.66</v>
      </c>
      <c r="Q2995">
        <v>-2.44</v>
      </c>
      <c r="R2995">
        <v>7.21</v>
      </c>
      <c r="S2995">
        <v>7.38</v>
      </c>
      <c r="T2995">
        <v>276377</v>
      </c>
      <c r="U2995">
        <v>7.24</v>
      </c>
      <c r="V2995">
        <v>7.39</v>
      </c>
      <c r="W2995">
        <v>53.77</v>
      </c>
      <c r="X2995" t="s">
        <v>2775</v>
      </c>
      <c r="Y2995" t="s">
        <v>997</v>
      </c>
      <c r="Z2995">
        <v>6.09</v>
      </c>
      <c r="AA2995">
        <v>7.39</v>
      </c>
      <c r="AB2995">
        <v>168317</v>
      </c>
      <c r="AC2995">
        <v>108060</v>
      </c>
      <c r="AD2995">
        <v>1.56</v>
      </c>
      <c r="AE2995">
        <v>832</v>
      </c>
      <c r="AF2995">
        <v>16</v>
      </c>
      <c r="AG2995" t="s">
        <v>120</v>
      </c>
      <c r="AH2995">
        <v>0.02</v>
      </c>
      <c r="AI2995" t="s">
        <v>120</v>
      </c>
      <c r="AJ2995">
        <v>21.8</v>
      </c>
      <c r="AK2995" t="s">
        <v>13148</v>
      </c>
      <c r="AL2995">
        <v>-0.69</v>
      </c>
      <c r="AM2995">
        <v>3835</v>
      </c>
      <c r="AN2995">
        <v>72</v>
      </c>
      <c r="AO2995">
        <v>2.9999999999999997E-4</v>
      </c>
      <c r="AP2995">
        <v>-1</v>
      </c>
      <c r="AQ2995">
        <v>2.78</v>
      </c>
      <c r="AR2995">
        <v>-3.21</v>
      </c>
      <c r="AS2995">
        <v>24.61</v>
      </c>
      <c r="AT2995">
        <v>42.21</v>
      </c>
      <c r="AU2995">
        <v>59.79</v>
      </c>
      <c r="AV2995">
        <v>3</v>
      </c>
      <c r="AW2995">
        <v>3.32</v>
      </c>
      <c r="AX2995">
        <v>37.89</v>
      </c>
      <c r="AY2995">
        <v>27.43</v>
      </c>
      <c r="AZ2995">
        <v>28.68</v>
      </c>
      <c r="BA2995">
        <v>0.33</v>
      </c>
      <c r="BB2995" t="s">
        <v>184</v>
      </c>
      <c r="BF2995">
        <v>0.02</v>
      </c>
      <c r="BG2995">
        <v>-1.9</v>
      </c>
      <c r="BH2995">
        <v>-5.48</v>
      </c>
      <c r="BI2995">
        <v>0.42</v>
      </c>
      <c r="BJ2995">
        <v>20210827</v>
      </c>
      <c r="BK2995">
        <v>19970121</v>
      </c>
      <c r="BL2995">
        <v>22</v>
      </c>
      <c r="BM2995" t="s">
        <v>120</v>
      </c>
      <c r="BN2995" t="s">
        <v>120</v>
      </c>
      <c r="BO2995">
        <v>245.17</v>
      </c>
      <c r="BP2995">
        <v>7.23</v>
      </c>
      <c r="BQ2995">
        <v>118.71</v>
      </c>
      <c r="BR2995">
        <v>4.99</v>
      </c>
      <c r="BS2995">
        <v>49.54</v>
      </c>
      <c r="BT2995">
        <v>121.87</v>
      </c>
      <c r="BU2995">
        <v>34.950000000000003</v>
      </c>
      <c r="BV2995">
        <v>25.64</v>
      </c>
      <c r="BW2995">
        <v>103.48</v>
      </c>
      <c r="BX2995">
        <v>23.42</v>
      </c>
      <c r="BY2995">
        <v>29.89</v>
      </c>
      <c r="BZ2995">
        <v>16.63</v>
      </c>
      <c r="CA2995">
        <v>0.14000000000000001</v>
      </c>
      <c r="CB2995">
        <v>36.03</v>
      </c>
      <c r="CC2995">
        <v>331.26</v>
      </c>
      <c r="CD2995">
        <v>322.52999999999997</v>
      </c>
      <c r="CE2995">
        <v>2.04</v>
      </c>
      <c r="CF2995">
        <v>0.08</v>
      </c>
      <c r="CG2995">
        <v>2.08</v>
      </c>
      <c r="CH2995">
        <v>1.59</v>
      </c>
      <c r="CI2995">
        <v>1.48</v>
      </c>
      <c r="CJ2995">
        <v>-0.15</v>
      </c>
      <c r="CK2995">
        <v>1.41</v>
      </c>
      <c r="CL2995">
        <v>41.92</v>
      </c>
      <c r="CM2995">
        <v>-11.12</v>
      </c>
      <c r="CN2995">
        <v>6.53</v>
      </c>
      <c r="CO2995">
        <v>52472</v>
      </c>
      <c r="CP2995">
        <v>15883</v>
      </c>
      <c r="CQ2995" t="s">
        <v>13149</v>
      </c>
      <c r="CR2995">
        <v>21.19</v>
      </c>
      <c r="CS2995">
        <v>69</v>
      </c>
      <c r="CT2995">
        <v>1.32</v>
      </c>
      <c r="CU2995">
        <v>-14.32</v>
      </c>
      <c r="CV2995">
        <v>0.48</v>
      </c>
      <c r="CW2995">
        <v>1.06</v>
      </c>
      <c r="CX2995" t="s">
        <v>679</v>
      </c>
      <c r="CY2995">
        <v>5.47</v>
      </c>
      <c r="CZ2995">
        <v>5.47</v>
      </c>
      <c r="DA2995">
        <v>1.64</v>
      </c>
      <c r="DB2995">
        <v>1.91</v>
      </c>
      <c r="DC2995">
        <v>-0.51</v>
      </c>
      <c r="DD2995">
        <v>48.42</v>
      </c>
      <c r="DE2995" t="s">
        <v>4522</v>
      </c>
      <c r="DF2995">
        <v>2.64</v>
      </c>
      <c r="DG2995">
        <v>0.61</v>
      </c>
      <c r="DH2995">
        <v>0.45</v>
      </c>
      <c r="DI2995">
        <v>0.13</v>
      </c>
      <c r="DJ2995">
        <v>4875</v>
      </c>
      <c r="DK2995">
        <v>600787</v>
      </c>
      <c r="DL2995" t="s">
        <v>120</v>
      </c>
      <c r="DM2995" t="s">
        <v>120</v>
      </c>
      <c r="DN2995" t="s">
        <v>120</v>
      </c>
    </row>
    <row r="2996" spans="1:118">
      <c r="A2996" t="str">
        <f>"600789"</f>
        <v>600789</v>
      </c>
      <c r="B2996" t="s">
        <v>13150</v>
      </c>
      <c r="C2996">
        <v>-0.84</v>
      </c>
      <c r="D2996">
        <v>0</v>
      </c>
      <c r="E2996">
        <v>0.14000000000000001</v>
      </c>
      <c r="F2996">
        <v>866</v>
      </c>
      <c r="G2996" t="s">
        <v>13151</v>
      </c>
      <c r="H2996">
        <v>6456.5</v>
      </c>
      <c r="I2996">
        <v>7.52</v>
      </c>
      <c r="J2996" t="s">
        <v>120</v>
      </c>
      <c r="K2996" t="s">
        <v>3611</v>
      </c>
      <c r="L2996">
        <v>1.03</v>
      </c>
      <c r="M2996">
        <v>7.09</v>
      </c>
      <c r="N2996">
        <v>0.97</v>
      </c>
      <c r="O2996">
        <v>0.28000000000000003</v>
      </c>
      <c r="P2996">
        <v>7.17</v>
      </c>
      <c r="Q2996">
        <v>-1.1200000000000001</v>
      </c>
      <c r="R2996">
        <v>7.07</v>
      </c>
      <c r="S2996">
        <v>7.16</v>
      </c>
      <c r="T2996">
        <v>90500</v>
      </c>
      <c r="U2996">
        <v>7.1</v>
      </c>
      <c r="V2996">
        <v>7.15</v>
      </c>
      <c r="W2996">
        <v>44.39</v>
      </c>
      <c r="X2996" t="s">
        <v>569</v>
      </c>
      <c r="Y2996" t="s">
        <v>638</v>
      </c>
      <c r="Z2996">
        <v>1.4</v>
      </c>
      <c r="AA2996">
        <v>7.13</v>
      </c>
      <c r="AB2996">
        <v>57246</v>
      </c>
      <c r="AC2996">
        <v>33254</v>
      </c>
      <c r="AD2996">
        <v>1.72</v>
      </c>
      <c r="AE2996">
        <v>527</v>
      </c>
      <c r="AF2996">
        <v>628</v>
      </c>
      <c r="AG2996" t="s">
        <v>120</v>
      </c>
      <c r="AH2996">
        <v>0</v>
      </c>
      <c r="AI2996" t="s">
        <v>120</v>
      </c>
      <c r="AJ2996">
        <v>8.8000000000000007</v>
      </c>
      <c r="AK2996" t="s">
        <v>3611</v>
      </c>
      <c r="AL2996">
        <v>0.5</v>
      </c>
      <c r="AM2996">
        <v>1803</v>
      </c>
      <c r="AN2996">
        <v>50</v>
      </c>
      <c r="AO2996">
        <v>5.9999999999999995E-4</v>
      </c>
      <c r="AP2996">
        <v>-1</v>
      </c>
      <c r="AQ2996">
        <v>0.14000000000000001</v>
      </c>
      <c r="AR2996">
        <v>-1.4</v>
      </c>
      <c r="AS2996">
        <v>-2.48</v>
      </c>
      <c r="AT2996">
        <v>-1.33</v>
      </c>
      <c r="AU2996">
        <v>-23.88</v>
      </c>
      <c r="AV2996">
        <v>0</v>
      </c>
      <c r="AW2996">
        <v>1.35</v>
      </c>
      <c r="AX2996">
        <v>75.88</v>
      </c>
      <c r="AY2996">
        <v>90.21</v>
      </c>
      <c r="AZ2996">
        <v>27.62</v>
      </c>
      <c r="BA2996">
        <v>0.34</v>
      </c>
      <c r="BB2996" t="s">
        <v>231</v>
      </c>
      <c r="BF2996">
        <v>-0.22</v>
      </c>
      <c r="BG2996">
        <v>-0.98</v>
      </c>
      <c r="BH2996">
        <v>-1.1200000000000001</v>
      </c>
      <c r="BI2996">
        <v>0.28000000000000003</v>
      </c>
      <c r="BJ2996">
        <v>20210826</v>
      </c>
      <c r="BK2996">
        <v>19970226</v>
      </c>
      <c r="BL2996">
        <v>8.8000000000000007</v>
      </c>
      <c r="BM2996" t="s">
        <v>120</v>
      </c>
      <c r="BN2996" t="s">
        <v>120</v>
      </c>
      <c r="BO2996">
        <v>74.150000000000006</v>
      </c>
      <c r="BP2996">
        <v>7.09</v>
      </c>
      <c r="BQ2996">
        <v>32.869999999999997</v>
      </c>
      <c r="BR2996">
        <v>1.47</v>
      </c>
      <c r="BS2996">
        <v>53.68</v>
      </c>
      <c r="BT2996">
        <v>24.92</v>
      </c>
      <c r="BU2996">
        <v>33.78</v>
      </c>
      <c r="BV2996">
        <v>5.03</v>
      </c>
      <c r="BW2996">
        <v>26</v>
      </c>
      <c r="BX2996">
        <v>5.04</v>
      </c>
      <c r="BY2996">
        <v>11.17</v>
      </c>
      <c r="BZ2996">
        <v>4.93</v>
      </c>
      <c r="CA2996" t="s">
        <v>120</v>
      </c>
      <c r="CB2996">
        <v>16.36</v>
      </c>
      <c r="CC2996">
        <v>24.02</v>
      </c>
      <c r="CD2996">
        <v>18.079999999999998</v>
      </c>
      <c r="CE2996">
        <v>0.94</v>
      </c>
      <c r="CF2996">
        <v>0.02</v>
      </c>
      <c r="CG2996">
        <v>0.95</v>
      </c>
      <c r="CH2996">
        <v>0.72</v>
      </c>
      <c r="CI2996">
        <v>0.7</v>
      </c>
      <c r="CJ2996">
        <v>-0.06</v>
      </c>
      <c r="CK2996">
        <v>0.54</v>
      </c>
      <c r="CL2996">
        <v>6.2</v>
      </c>
      <c r="CM2996">
        <v>0.88</v>
      </c>
      <c r="CN2996">
        <v>-0.75</v>
      </c>
      <c r="CO2996">
        <v>145582</v>
      </c>
      <c r="CP2996">
        <v>4588</v>
      </c>
      <c r="CQ2996" t="s">
        <v>1254</v>
      </c>
      <c r="CR2996">
        <v>-69.22</v>
      </c>
      <c r="CS2996">
        <v>20.149999999999999</v>
      </c>
      <c r="CT2996">
        <v>1.9</v>
      </c>
      <c r="CU2996">
        <v>70.92</v>
      </c>
      <c r="CV2996">
        <v>2.6</v>
      </c>
      <c r="CW2996">
        <v>0.77</v>
      </c>
      <c r="CX2996" t="s">
        <v>535</v>
      </c>
      <c r="CY2996">
        <v>3.73</v>
      </c>
      <c r="CZ2996">
        <v>0</v>
      </c>
      <c r="DA2996">
        <v>1.86</v>
      </c>
      <c r="DB2996">
        <v>0.7</v>
      </c>
      <c r="DC2996">
        <v>0.1</v>
      </c>
      <c r="DD2996">
        <v>44.33</v>
      </c>
      <c r="DE2996" t="s">
        <v>13152</v>
      </c>
      <c r="DF2996">
        <v>24.73</v>
      </c>
      <c r="DG2996">
        <v>3.91</v>
      </c>
      <c r="DH2996">
        <v>2.93</v>
      </c>
      <c r="DI2996">
        <v>1.0900000000000001</v>
      </c>
      <c r="DJ2996">
        <v>6170</v>
      </c>
      <c r="DK2996">
        <v>600789</v>
      </c>
      <c r="DL2996" t="s">
        <v>120</v>
      </c>
      <c r="DM2996" t="s">
        <v>120</v>
      </c>
      <c r="DN2996" t="s">
        <v>120</v>
      </c>
    </row>
    <row r="2997" spans="1:118">
      <c r="A2997" t="str">
        <f>"600790"</f>
        <v>600790</v>
      </c>
      <c r="B2997" t="s">
        <v>13153</v>
      </c>
      <c r="C2997">
        <v>0</v>
      </c>
      <c r="D2997">
        <v>0.32</v>
      </c>
      <c r="E2997">
        <v>0</v>
      </c>
      <c r="F2997">
        <v>3100</v>
      </c>
      <c r="G2997" t="s">
        <v>6405</v>
      </c>
      <c r="H2997">
        <v>3207.12</v>
      </c>
      <c r="I2997">
        <v>5.67</v>
      </c>
      <c r="J2997" t="s">
        <v>120</v>
      </c>
      <c r="K2997" t="s">
        <v>5039</v>
      </c>
      <c r="L2997">
        <v>0.69</v>
      </c>
      <c r="M2997">
        <v>3.17</v>
      </c>
      <c r="N2997">
        <v>1.01</v>
      </c>
      <c r="O2997">
        <v>1.26</v>
      </c>
      <c r="P2997">
        <v>3.21</v>
      </c>
      <c r="Q2997">
        <v>-0.32</v>
      </c>
      <c r="R2997">
        <v>3.16</v>
      </c>
      <c r="S2997">
        <v>3.17</v>
      </c>
      <c r="T2997">
        <v>100678</v>
      </c>
      <c r="U2997">
        <v>3.17</v>
      </c>
      <c r="V2997">
        <v>3.17</v>
      </c>
      <c r="W2997">
        <v>10.76</v>
      </c>
      <c r="X2997" t="s">
        <v>4526</v>
      </c>
      <c r="Y2997" t="s">
        <v>585</v>
      </c>
      <c r="Z2997">
        <v>1.58</v>
      </c>
      <c r="AA2997">
        <v>3.19</v>
      </c>
      <c r="AB2997">
        <v>60024</v>
      </c>
      <c r="AC2997">
        <v>40654</v>
      </c>
      <c r="AD2997">
        <v>1.48</v>
      </c>
      <c r="AE2997">
        <v>4136</v>
      </c>
      <c r="AF2997">
        <v>2520</v>
      </c>
      <c r="AG2997" t="s">
        <v>120</v>
      </c>
      <c r="AH2997">
        <v>0</v>
      </c>
      <c r="AI2997" t="s">
        <v>120</v>
      </c>
      <c r="AJ2997">
        <v>14.66</v>
      </c>
      <c r="AK2997" t="s">
        <v>5039</v>
      </c>
      <c r="AL2997">
        <v>1.34</v>
      </c>
      <c r="AM2997">
        <v>1687</v>
      </c>
      <c r="AN2997">
        <v>60</v>
      </c>
      <c r="AO2997">
        <v>4.0000000000000002E-4</v>
      </c>
      <c r="AP2997">
        <v>0</v>
      </c>
      <c r="AQ2997">
        <v>0.32</v>
      </c>
      <c r="AR2997">
        <v>-0.93</v>
      </c>
      <c r="AS2997">
        <v>8.93</v>
      </c>
      <c r="AT2997">
        <v>3.26</v>
      </c>
      <c r="AU2997">
        <v>-3.06</v>
      </c>
      <c r="AV2997">
        <v>0</v>
      </c>
      <c r="AW2997">
        <v>1.1000000000000001</v>
      </c>
      <c r="AX2997">
        <v>62.25</v>
      </c>
      <c r="AY2997">
        <v>12.14</v>
      </c>
      <c r="AZ2997">
        <v>11.69</v>
      </c>
      <c r="BA2997">
        <v>0.37</v>
      </c>
      <c r="BB2997" t="s">
        <v>143</v>
      </c>
      <c r="BF2997">
        <v>0.49</v>
      </c>
      <c r="BG2997">
        <v>0</v>
      </c>
      <c r="BH2997">
        <v>-1.25</v>
      </c>
      <c r="BI2997">
        <v>0.32</v>
      </c>
      <c r="BJ2997">
        <v>20210821</v>
      </c>
      <c r="BK2997">
        <v>19970228</v>
      </c>
      <c r="BL2997">
        <v>14.66</v>
      </c>
      <c r="BM2997" t="s">
        <v>120</v>
      </c>
      <c r="BN2997" t="s">
        <v>120</v>
      </c>
      <c r="BO2997">
        <v>93.92</v>
      </c>
      <c r="BP2997">
        <v>3.16</v>
      </c>
      <c r="BQ2997">
        <v>57.83</v>
      </c>
      <c r="BR2997">
        <v>0.99</v>
      </c>
      <c r="BS2997">
        <v>37.369999999999997</v>
      </c>
      <c r="BT2997">
        <v>19.41</v>
      </c>
      <c r="BU2997">
        <v>1.77</v>
      </c>
      <c r="BV2997">
        <v>0.86</v>
      </c>
      <c r="BW2997">
        <v>32.14</v>
      </c>
      <c r="BX2997">
        <v>5.48</v>
      </c>
      <c r="BY2997">
        <v>0</v>
      </c>
      <c r="BZ2997">
        <v>0.09</v>
      </c>
      <c r="CA2997">
        <v>29.11</v>
      </c>
      <c r="CB2997">
        <v>11.54</v>
      </c>
      <c r="CC2997">
        <v>4.0999999999999996</v>
      </c>
      <c r="CD2997">
        <v>1.83</v>
      </c>
      <c r="CE2997">
        <v>2.61</v>
      </c>
      <c r="CF2997">
        <v>1.1000000000000001</v>
      </c>
      <c r="CG2997">
        <v>2.66</v>
      </c>
      <c r="CH2997">
        <v>2.2200000000000002</v>
      </c>
      <c r="CI2997">
        <v>2.16</v>
      </c>
      <c r="CJ2997">
        <v>0</v>
      </c>
      <c r="CK2997">
        <v>1.98</v>
      </c>
      <c r="CL2997">
        <v>19.22</v>
      </c>
      <c r="CM2997">
        <v>0.85</v>
      </c>
      <c r="CN2997">
        <v>-2.5499999999999998</v>
      </c>
      <c r="CO2997">
        <v>34564</v>
      </c>
      <c r="CP2997">
        <v>26398</v>
      </c>
      <c r="CQ2997" t="s">
        <v>7268</v>
      </c>
      <c r="CR2997">
        <v>-6.38</v>
      </c>
      <c r="CS2997">
        <v>0.98</v>
      </c>
      <c r="CT2997">
        <v>0.8</v>
      </c>
      <c r="CU2997">
        <v>54.42</v>
      </c>
      <c r="CV2997">
        <v>11.33</v>
      </c>
      <c r="CW2997">
        <v>3.15</v>
      </c>
      <c r="CX2997" t="s">
        <v>373</v>
      </c>
      <c r="CY2997">
        <v>3.95</v>
      </c>
      <c r="CZ2997">
        <v>0</v>
      </c>
      <c r="DA2997">
        <v>0.79</v>
      </c>
      <c r="DB2997">
        <v>1.31</v>
      </c>
      <c r="DC2997">
        <v>0.06</v>
      </c>
      <c r="DD2997">
        <v>61.57</v>
      </c>
      <c r="DE2997" t="s">
        <v>4130</v>
      </c>
      <c r="DF2997">
        <v>55.3</v>
      </c>
      <c r="DG2997">
        <v>63.61</v>
      </c>
      <c r="DH2997">
        <v>52.68</v>
      </c>
      <c r="DI2997">
        <v>0.02</v>
      </c>
      <c r="DJ2997">
        <v>1052</v>
      </c>
      <c r="DK2997">
        <v>600790</v>
      </c>
      <c r="DL2997" t="s">
        <v>120</v>
      </c>
      <c r="DM2997" t="s">
        <v>120</v>
      </c>
      <c r="DN2997" t="s">
        <v>120</v>
      </c>
    </row>
    <row r="2998" spans="1:118">
      <c r="A2998" t="str">
        <f>"600791"</f>
        <v>600791</v>
      </c>
      <c r="B2998" t="s">
        <v>13154</v>
      </c>
      <c r="C2998">
        <v>-0.79</v>
      </c>
      <c r="D2998">
        <v>-0.25</v>
      </c>
      <c r="E2998">
        <v>-0.26</v>
      </c>
      <c r="F2998">
        <v>931</v>
      </c>
      <c r="G2998" t="s">
        <v>13155</v>
      </c>
      <c r="H2998">
        <v>2252.69</v>
      </c>
      <c r="I2998">
        <v>18.399999999999999</v>
      </c>
      <c r="J2998" t="s">
        <v>120</v>
      </c>
      <c r="K2998" t="s">
        <v>13156</v>
      </c>
      <c r="L2998">
        <v>1.3</v>
      </c>
      <c r="M2998">
        <v>3.79</v>
      </c>
      <c r="N2998">
        <v>0.9</v>
      </c>
      <c r="O2998">
        <v>1.57</v>
      </c>
      <c r="P2998">
        <v>3.88</v>
      </c>
      <c r="Q2998">
        <v>-1.05</v>
      </c>
      <c r="R2998">
        <v>3.78</v>
      </c>
      <c r="S2998">
        <v>3.81</v>
      </c>
      <c r="T2998">
        <v>58766</v>
      </c>
      <c r="U2998">
        <v>3.79</v>
      </c>
      <c r="V2998">
        <v>3.82</v>
      </c>
      <c r="W2998">
        <v>202.45</v>
      </c>
      <c r="X2998" t="s">
        <v>132</v>
      </c>
      <c r="Y2998" t="s">
        <v>158</v>
      </c>
      <c r="Z2998">
        <v>2.62</v>
      </c>
      <c r="AA2998">
        <v>3.83</v>
      </c>
      <c r="AB2998">
        <v>26819</v>
      </c>
      <c r="AC2998">
        <v>31947</v>
      </c>
      <c r="AD2998">
        <v>0.84</v>
      </c>
      <c r="AE2998">
        <v>180</v>
      </c>
      <c r="AF2998">
        <v>176</v>
      </c>
      <c r="AG2998" t="s">
        <v>120</v>
      </c>
      <c r="AH2998">
        <v>0.02</v>
      </c>
      <c r="AI2998" t="s">
        <v>120</v>
      </c>
      <c r="AJ2998">
        <v>4.5199999999999996</v>
      </c>
      <c r="AK2998" t="s">
        <v>13157</v>
      </c>
      <c r="AL2998">
        <v>0.56000000000000005</v>
      </c>
      <c r="AM2998">
        <v>1319</v>
      </c>
      <c r="AN2998">
        <v>45</v>
      </c>
      <c r="AO2998">
        <v>1E-3</v>
      </c>
      <c r="AP2998">
        <v>-1</v>
      </c>
      <c r="AQ2998">
        <v>0.79</v>
      </c>
      <c r="AR2998">
        <v>1.34</v>
      </c>
      <c r="AS2998">
        <v>15.55</v>
      </c>
      <c r="AT2998">
        <v>7.67</v>
      </c>
      <c r="AU2998">
        <v>-24.66</v>
      </c>
      <c r="AV2998">
        <v>4</v>
      </c>
      <c r="AW2998">
        <v>2.38</v>
      </c>
      <c r="AX2998">
        <v>54.61</v>
      </c>
      <c r="AY2998" t="s">
        <v>120</v>
      </c>
      <c r="AZ2998" t="s">
        <v>120</v>
      </c>
      <c r="BA2998">
        <v>0.48</v>
      </c>
      <c r="BB2998" t="s">
        <v>184</v>
      </c>
      <c r="BF2998">
        <v>0.35</v>
      </c>
      <c r="BG2998">
        <v>-0.52</v>
      </c>
      <c r="BH2998">
        <v>-2.3199999999999998</v>
      </c>
      <c r="BI2998">
        <v>0.26</v>
      </c>
      <c r="BJ2998">
        <v>20210827</v>
      </c>
      <c r="BK2998">
        <v>19970130</v>
      </c>
      <c r="BL2998">
        <v>4.53</v>
      </c>
      <c r="BM2998" t="s">
        <v>120</v>
      </c>
      <c r="BN2998" t="s">
        <v>120</v>
      </c>
      <c r="BO2998">
        <v>188.79</v>
      </c>
      <c r="BP2998">
        <v>3.78</v>
      </c>
      <c r="BQ2998">
        <v>20.440000000000001</v>
      </c>
      <c r="BR2998">
        <v>16.850000000000001</v>
      </c>
      <c r="BS2998">
        <v>80.25</v>
      </c>
      <c r="BT2998">
        <v>181.35</v>
      </c>
      <c r="BU2998">
        <v>0.15</v>
      </c>
      <c r="BV2998">
        <v>0.01</v>
      </c>
      <c r="BW2998">
        <v>90.05</v>
      </c>
      <c r="BX2998">
        <v>14.04</v>
      </c>
      <c r="BY2998">
        <v>160.22</v>
      </c>
      <c r="BZ2998">
        <v>0.02</v>
      </c>
      <c r="CA2998">
        <v>0.06</v>
      </c>
      <c r="CB2998">
        <v>1.77</v>
      </c>
      <c r="CC2998">
        <v>8.5</v>
      </c>
      <c r="CD2998">
        <v>5.65</v>
      </c>
      <c r="CE2998">
        <v>0.7</v>
      </c>
      <c r="CF2998">
        <v>0</v>
      </c>
      <c r="CG2998">
        <v>0.68</v>
      </c>
      <c r="CH2998">
        <v>0.28999999999999998</v>
      </c>
      <c r="CI2998">
        <v>0.04</v>
      </c>
      <c r="CJ2998">
        <v>-0.03</v>
      </c>
      <c r="CK2998">
        <v>0.05</v>
      </c>
      <c r="CL2998">
        <v>7.78</v>
      </c>
      <c r="CM2998">
        <v>11.47</v>
      </c>
      <c r="CN2998">
        <v>2.81</v>
      </c>
      <c r="CO2998">
        <v>21404</v>
      </c>
      <c r="CP2998">
        <v>11555</v>
      </c>
      <c r="CQ2998" t="s">
        <v>4492</v>
      </c>
      <c r="CR2998">
        <v>111.16</v>
      </c>
      <c r="CS2998">
        <v>673.14</v>
      </c>
      <c r="CT2998">
        <v>1.0900000000000001</v>
      </c>
      <c r="CU2998">
        <v>1.5</v>
      </c>
      <c r="CV2998">
        <v>2.02</v>
      </c>
      <c r="CW2998">
        <v>0</v>
      </c>
      <c r="CX2998" t="s">
        <v>178</v>
      </c>
      <c r="CY2998">
        <v>3.46</v>
      </c>
      <c r="CZ2998">
        <v>3.46</v>
      </c>
      <c r="DA2998">
        <v>0.39</v>
      </c>
      <c r="DB2998">
        <v>1.72</v>
      </c>
      <c r="DC2998">
        <v>2.5299999999999998</v>
      </c>
      <c r="DD2998">
        <v>10.83</v>
      </c>
      <c r="DE2998" t="s">
        <v>10752</v>
      </c>
      <c r="DF2998">
        <v>33.5</v>
      </c>
      <c r="DG2998">
        <v>8.19</v>
      </c>
      <c r="DH2998">
        <v>0.5</v>
      </c>
      <c r="DI2998" t="s">
        <v>120</v>
      </c>
      <c r="DJ2998">
        <v>271</v>
      </c>
      <c r="DK2998">
        <v>600791</v>
      </c>
      <c r="DL2998" t="s">
        <v>120</v>
      </c>
      <c r="DM2998" t="s">
        <v>120</v>
      </c>
      <c r="DN2998" t="s">
        <v>120</v>
      </c>
    </row>
    <row r="2999" spans="1:118">
      <c r="A2999" t="str">
        <f>"600792"</f>
        <v>600792</v>
      </c>
      <c r="B2999" t="s">
        <v>13158</v>
      </c>
      <c r="C2999">
        <v>-2.15</v>
      </c>
      <c r="D2999">
        <v>-0.17</v>
      </c>
      <c r="E2999">
        <v>3.23</v>
      </c>
      <c r="F2999">
        <v>3437</v>
      </c>
      <c r="G2999" t="s">
        <v>9115</v>
      </c>
      <c r="H2999">
        <v>29982.98</v>
      </c>
      <c r="I2999">
        <v>298.83</v>
      </c>
      <c r="J2999" t="s">
        <v>120</v>
      </c>
      <c r="K2999" t="s">
        <v>13159</v>
      </c>
      <c r="L2999">
        <v>5.41</v>
      </c>
      <c r="M2999">
        <v>5.45</v>
      </c>
      <c r="N2999">
        <v>0.97</v>
      </c>
      <c r="O2999">
        <v>4.49</v>
      </c>
      <c r="P2999">
        <v>5.82</v>
      </c>
      <c r="Q2999">
        <v>-3.05</v>
      </c>
      <c r="R2999">
        <v>5.4</v>
      </c>
      <c r="S2999">
        <v>5.75</v>
      </c>
      <c r="T2999">
        <v>535611</v>
      </c>
      <c r="U2999">
        <v>5.46</v>
      </c>
      <c r="V2999">
        <v>5.57</v>
      </c>
      <c r="W2999">
        <v>24.28</v>
      </c>
      <c r="X2999" t="s">
        <v>1754</v>
      </c>
      <c r="Y2999" t="s">
        <v>1006</v>
      </c>
      <c r="Z2999">
        <v>7.54</v>
      </c>
      <c r="AA2999">
        <v>5.6</v>
      </c>
      <c r="AB2999">
        <v>300172</v>
      </c>
      <c r="AC2999">
        <v>235439</v>
      </c>
      <c r="AD2999">
        <v>1.27</v>
      </c>
      <c r="AE2999">
        <v>845</v>
      </c>
      <c r="AF2999">
        <v>1069</v>
      </c>
      <c r="AG2999" t="s">
        <v>120</v>
      </c>
      <c r="AH2999">
        <v>0.18</v>
      </c>
      <c r="AI2999" t="s">
        <v>120</v>
      </c>
      <c r="AJ2999">
        <v>9.9</v>
      </c>
      <c r="AK2999" t="s">
        <v>13159</v>
      </c>
      <c r="AL2999">
        <v>-0.81</v>
      </c>
      <c r="AM2999">
        <v>4024</v>
      </c>
      <c r="AN2999">
        <v>133</v>
      </c>
      <c r="AO2999">
        <v>1.2999999999999999E-3</v>
      </c>
      <c r="AP2999">
        <v>-1</v>
      </c>
      <c r="AQ2999">
        <v>4.9000000000000004</v>
      </c>
      <c r="AR2999">
        <v>-0.18</v>
      </c>
      <c r="AS2999">
        <v>26.45</v>
      </c>
      <c r="AT2999">
        <v>28.54</v>
      </c>
      <c r="AU2999">
        <v>31.33</v>
      </c>
      <c r="AV2999">
        <v>12</v>
      </c>
      <c r="AW2999">
        <v>18.34</v>
      </c>
      <c r="AX2999">
        <v>29.5</v>
      </c>
      <c r="AY2999">
        <v>28.21</v>
      </c>
      <c r="AZ2999">
        <v>93.4</v>
      </c>
      <c r="BA2999">
        <v>1.0900000000000001</v>
      </c>
      <c r="BB2999" t="s">
        <v>184</v>
      </c>
      <c r="BF2999">
        <v>0.5</v>
      </c>
      <c r="BG2999">
        <v>-5.22</v>
      </c>
      <c r="BH2999">
        <v>-6.36</v>
      </c>
      <c r="BI2999">
        <v>0.93</v>
      </c>
      <c r="BJ2999">
        <v>20210821</v>
      </c>
      <c r="BK2999">
        <v>19970123</v>
      </c>
      <c r="BL2999">
        <v>9.9</v>
      </c>
      <c r="BM2999" t="s">
        <v>120</v>
      </c>
      <c r="BN2999" t="s">
        <v>120</v>
      </c>
      <c r="BO2999">
        <v>56.41</v>
      </c>
      <c r="BP2999">
        <v>5.45</v>
      </c>
      <c r="BQ2999">
        <v>35.25</v>
      </c>
      <c r="BR2999">
        <v>0.75</v>
      </c>
      <c r="BS2999">
        <v>36.19</v>
      </c>
      <c r="BT2999">
        <v>27.81</v>
      </c>
      <c r="BU2999">
        <v>18.25</v>
      </c>
      <c r="BV2999">
        <v>6.27</v>
      </c>
      <c r="BW2999">
        <v>17.75</v>
      </c>
      <c r="BX2999">
        <v>2.88</v>
      </c>
      <c r="BY2999">
        <v>5.01</v>
      </c>
      <c r="BZ2999">
        <v>8.33</v>
      </c>
      <c r="CA2999">
        <v>0.04</v>
      </c>
      <c r="CB2999">
        <v>22.91</v>
      </c>
      <c r="CC2999">
        <v>27.36</v>
      </c>
      <c r="CD2999">
        <v>24.26</v>
      </c>
      <c r="CE2999">
        <v>1.4</v>
      </c>
      <c r="CF2999">
        <v>0.05</v>
      </c>
      <c r="CG2999">
        <v>1.41</v>
      </c>
      <c r="CH2999">
        <v>1.1499999999999999</v>
      </c>
      <c r="CI2999">
        <v>1.1100000000000001</v>
      </c>
      <c r="CJ2999">
        <v>-0.12</v>
      </c>
      <c r="CK2999">
        <v>1.1000000000000001</v>
      </c>
      <c r="CL2999">
        <v>0.91</v>
      </c>
      <c r="CM2999">
        <v>0.88</v>
      </c>
      <c r="CN2999">
        <v>-1.41</v>
      </c>
      <c r="CO2999">
        <v>40057</v>
      </c>
      <c r="CP2999">
        <v>7290</v>
      </c>
      <c r="CQ2999" t="s">
        <v>1185</v>
      </c>
      <c r="CR2999">
        <v>538.69000000000005</v>
      </c>
      <c r="CS2999">
        <v>24.84</v>
      </c>
      <c r="CT2999">
        <v>1.53</v>
      </c>
      <c r="CU2999">
        <v>61.23</v>
      </c>
      <c r="CV2999">
        <v>1.97</v>
      </c>
      <c r="CW2999">
        <v>0</v>
      </c>
      <c r="CX2999" t="s">
        <v>1147</v>
      </c>
      <c r="CY2999">
        <v>3.56</v>
      </c>
      <c r="CZ2999">
        <v>0</v>
      </c>
      <c r="DA2999">
        <v>2.31</v>
      </c>
      <c r="DB2999">
        <v>0.09</v>
      </c>
      <c r="DC2999">
        <v>0.09</v>
      </c>
      <c r="DD2999">
        <v>62.49</v>
      </c>
      <c r="DE2999" t="s">
        <v>589</v>
      </c>
      <c r="DF2999">
        <v>11.32</v>
      </c>
      <c r="DG2999">
        <v>5.13</v>
      </c>
      <c r="DH2999">
        <v>4.0599999999999996</v>
      </c>
      <c r="DI2999">
        <v>0.05</v>
      </c>
      <c r="DJ2999">
        <v>2161</v>
      </c>
      <c r="DK2999">
        <v>600792</v>
      </c>
      <c r="DL2999" t="s">
        <v>120</v>
      </c>
      <c r="DM2999" t="s">
        <v>120</v>
      </c>
      <c r="DN2999" t="s">
        <v>120</v>
      </c>
    </row>
    <row r="3000" spans="1:118">
      <c r="A3000" t="str">
        <f>"600793"</f>
        <v>600793</v>
      </c>
      <c r="B3000" t="s">
        <v>13160</v>
      </c>
      <c r="C3000">
        <v>0</v>
      </c>
      <c r="D3000">
        <v>-0.06</v>
      </c>
      <c r="E3000">
        <v>0.51</v>
      </c>
      <c r="F3000">
        <v>1952</v>
      </c>
      <c r="G3000" t="s">
        <v>13161</v>
      </c>
      <c r="H3000">
        <v>18922.48</v>
      </c>
      <c r="I3000">
        <v>56.9</v>
      </c>
      <c r="J3000" t="s">
        <v>120</v>
      </c>
      <c r="K3000" t="s">
        <v>3434</v>
      </c>
      <c r="L3000">
        <v>7.51</v>
      </c>
      <c r="M3000">
        <v>13.64</v>
      </c>
      <c r="N3000">
        <v>1.37</v>
      </c>
      <c r="O3000">
        <v>9.24</v>
      </c>
      <c r="P3000">
        <v>14.9</v>
      </c>
      <c r="Q3000">
        <v>-0.66</v>
      </c>
      <c r="R3000">
        <v>13.55</v>
      </c>
      <c r="S3000">
        <v>13.71</v>
      </c>
      <c r="T3000">
        <v>132906</v>
      </c>
      <c r="U3000">
        <v>13.64</v>
      </c>
      <c r="V3000">
        <v>13.64</v>
      </c>
      <c r="W3000">
        <v>52.99</v>
      </c>
      <c r="X3000" t="s">
        <v>814</v>
      </c>
      <c r="Y3000" t="s">
        <v>578</v>
      </c>
      <c r="Z3000">
        <v>9.9</v>
      </c>
      <c r="AA3000">
        <v>14.24</v>
      </c>
      <c r="AB3000">
        <v>63921</v>
      </c>
      <c r="AC3000">
        <v>68985</v>
      </c>
      <c r="AD3000">
        <v>0.93</v>
      </c>
      <c r="AE3000">
        <v>123</v>
      </c>
      <c r="AF3000">
        <v>548</v>
      </c>
      <c r="AG3000" t="s">
        <v>120</v>
      </c>
      <c r="AH3000">
        <v>0.06</v>
      </c>
      <c r="AI3000" t="s">
        <v>120</v>
      </c>
      <c r="AJ3000">
        <v>1.77</v>
      </c>
      <c r="AK3000" t="s">
        <v>3434</v>
      </c>
      <c r="AL3000">
        <v>1.34</v>
      </c>
      <c r="AM3000">
        <v>3308</v>
      </c>
      <c r="AN3000">
        <v>40</v>
      </c>
      <c r="AO3000">
        <v>2.3E-3</v>
      </c>
      <c r="AP3000">
        <v>0</v>
      </c>
      <c r="AQ3000">
        <v>-2.0099999999999998</v>
      </c>
      <c r="AR3000">
        <v>-4.6900000000000004</v>
      </c>
      <c r="AS3000">
        <v>-8.39</v>
      </c>
      <c r="AT3000">
        <v>9.4700000000000006</v>
      </c>
      <c r="AU3000">
        <v>69.23</v>
      </c>
      <c r="AV3000">
        <v>21</v>
      </c>
      <c r="AW3000">
        <v>19.53</v>
      </c>
      <c r="AX3000">
        <v>38.47</v>
      </c>
      <c r="AY3000" t="s">
        <v>120</v>
      </c>
      <c r="AZ3000" t="s">
        <v>120</v>
      </c>
      <c r="BA3000">
        <v>1.04</v>
      </c>
      <c r="BB3000" t="s">
        <v>125</v>
      </c>
      <c r="BF3000">
        <v>4.38</v>
      </c>
      <c r="BG3000">
        <v>-0.51</v>
      </c>
      <c r="BH3000">
        <v>-8.4600000000000009</v>
      </c>
      <c r="BI3000">
        <v>0.66</v>
      </c>
      <c r="BJ3000">
        <v>20210831</v>
      </c>
      <c r="BK3000">
        <v>19970220</v>
      </c>
      <c r="BL3000">
        <v>1.77</v>
      </c>
      <c r="BM3000" t="s">
        <v>120</v>
      </c>
      <c r="BN3000" t="s">
        <v>120</v>
      </c>
      <c r="BO3000">
        <v>32.840000000000003</v>
      </c>
      <c r="BP3000">
        <v>13.63</v>
      </c>
      <c r="BQ3000">
        <v>6.23</v>
      </c>
      <c r="BR3000" t="s">
        <v>120</v>
      </c>
      <c r="BS3000">
        <v>81.040000000000006</v>
      </c>
      <c r="BT3000">
        <v>9.43</v>
      </c>
      <c r="BU3000">
        <v>21.58</v>
      </c>
      <c r="BV3000">
        <v>0.8</v>
      </c>
      <c r="BW3000">
        <v>26.21</v>
      </c>
      <c r="BX3000">
        <v>1.8</v>
      </c>
      <c r="BY3000">
        <v>4.72</v>
      </c>
      <c r="BZ3000">
        <v>1.18</v>
      </c>
      <c r="CA3000" t="s">
        <v>120</v>
      </c>
      <c r="CB3000">
        <v>4.01</v>
      </c>
      <c r="CC3000">
        <v>10.19</v>
      </c>
      <c r="CD3000">
        <v>8.8800000000000008</v>
      </c>
      <c r="CE3000">
        <v>0.25</v>
      </c>
      <c r="CF3000">
        <v>0</v>
      </c>
      <c r="CG3000">
        <v>0.23</v>
      </c>
      <c r="CH3000">
        <v>0.23</v>
      </c>
      <c r="CI3000">
        <v>0.23</v>
      </c>
      <c r="CJ3000">
        <v>0</v>
      </c>
      <c r="CK3000">
        <v>0.2</v>
      </c>
      <c r="CL3000">
        <v>0.4</v>
      </c>
      <c r="CM3000">
        <v>-0.71</v>
      </c>
      <c r="CN3000">
        <v>-1.57</v>
      </c>
      <c r="CO3000">
        <v>21484</v>
      </c>
      <c r="CP3000">
        <v>3168</v>
      </c>
      <c r="CQ3000" t="s">
        <v>1796</v>
      </c>
      <c r="CR3000">
        <v>136.77000000000001</v>
      </c>
      <c r="CS3000">
        <v>79.900000000000006</v>
      </c>
      <c r="CT3000">
        <v>3.87</v>
      </c>
      <c r="CU3000">
        <v>-34.17</v>
      </c>
      <c r="CV3000">
        <v>2.37</v>
      </c>
      <c r="CW3000">
        <v>0</v>
      </c>
      <c r="CX3000" t="s">
        <v>449</v>
      </c>
      <c r="CY3000">
        <v>3.52</v>
      </c>
      <c r="CZ3000">
        <v>0</v>
      </c>
      <c r="DA3000">
        <v>2.27</v>
      </c>
      <c r="DB3000">
        <v>0.23</v>
      </c>
      <c r="DC3000">
        <v>-0.4</v>
      </c>
      <c r="DD3000">
        <v>18.96</v>
      </c>
      <c r="DE3000" t="s">
        <v>1077</v>
      </c>
      <c r="DF3000">
        <v>12.78</v>
      </c>
      <c r="DG3000">
        <v>2.41</v>
      </c>
      <c r="DH3000">
        <v>2.2400000000000002</v>
      </c>
      <c r="DI3000">
        <v>0.03</v>
      </c>
      <c r="DJ3000">
        <v>1321</v>
      </c>
      <c r="DK3000">
        <v>600793</v>
      </c>
      <c r="DL3000">
        <v>20210803</v>
      </c>
      <c r="DM3000">
        <v>11.44</v>
      </c>
      <c r="DN3000">
        <v>19.23</v>
      </c>
    </row>
    <row r="3001" spans="1:118">
      <c r="A3001" t="str">
        <f>"600794"</f>
        <v>600794</v>
      </c>
      <c r="B3001" t="s">
        <v>13162</v>
      </c>
      <c r="C3001">
        <v>-0.88</v>
      </c>
      <c r="D3001">
        <v>0.3</v>
      </c>
      <c r="E3001">
        <v>0</v>
      </c>
      <c r="F3001">
        <v>244</v>
      </c>
      <c r="G3001" t="s">
        <v>13163</v>
      </c>
      <c r="H3001">
        <v>2908.58</v>
      </c>
      <c r="I3001">
        <v>4.28</v>
      </c>
      <c r="J3001" t="s">
        <v>120</v>
      </c>
      <c r="K3001" t="s">
        <v>6912</v>
      </c>
      <c r="L3001">
        <v>0.71</v>
      </c>
      <c r="M3001">
        <v>3.37</v>
      </c>
      <c r="N3001">
        <v>0.63</v>
      </c>
      <c r="O3001">
        <v>0.59</v>
      </c>
      <c r="P3001">
        <v>3.42</v>
      </c>
      <c r="Q3001">
        <v>-1.18</v>
      </c>
      <c r="R3001">
        <v>3.36</v>
      </c>
      <c r="S3001">
        <v>3.4</v>
      </c>
      <c r="T3001">
        <v>85836</v>
      </c>
      <c r="U3001">
        <v>3.37</v>
      </c>
      <c r="V3001">
        <v>3.4</v>
      </c>
      <c r="W3001">
        <v>26.05</v>
      </c>
      <c r="X3001" t="s">
        <v>2775</v>
      </c>
      <c r="Y3001" t="s">
        <v>319</v>
      </c>
      <c r="Z3001">
        <v>1.76</v>
      </c>
      <c r="AA3001">
        <v>3.39</v>
      </c>
      <c r="AB3001">
        <v>51186</v>
      </c>
      <c r="AC3001">
        <v>34650</v>
      </c>
      <c r="AD3001">
        <v>1.48</v>
      </c>
      <c r="AE3001">
        <v>2150</v>
      </c>
      <c r="AF3001">
        <v>214</v>
      </c>
      <c r="AG3001" t="s">
        <v>120</v>
      </c>
      <c r="AH3001">
        <v>0</v>
      </c>
      <c r="AI3001" t="s">
        <v>120</v>
      </c>
      <c r="AJ3001">
        <v>12.12</v>
      </c>
      <c r="AK3001" t="s">
        <v>6912</v>
      </c>
      <c r="AL3001">
        <v>0.46</v>
      </c>
      <c r="AM3001">
        <v>1248</v>
      </c>
      <c r="AN3001">
        <v>69</v>
      </c>
      <c r="AO3001">
        <v>5.9999999999999995E-4</v>
      </c>
      <c r="AP3001">
        <v>-1</v>
      </c>
      <c r="AQ3001">
        <v>0.89</v>
      </c>
      <c r="AR3001">
        <v>-1.75</v>
      </c>
      <c r="AS3001">
        <v>7.32</v>
      </c>
      <c r="AT3001">
        <v>2.12</v>
      </c>
      <c r="AU3001">
        <v>2.59</v>
      </c>
      <c r="AV3001">
        <v>1</v>
      </c>
      <c r="AW3001">
        <v>1.25</v>
      </c>
      <c r="AX3001">
        <v>56.62</v>
      </c>
      <c r="AY3001">
        <v>22.71</v>
      </c>
      <c r="AZ3001">
        <v>19.38</v>
      </c>
      <c r="BA3001">
        <v>0.55000000000000004</v>
      </c>
      <c r="BB3001" t="s">
        <v>184</v>
      </c>
      <c r="BF3001">
        <v>-0.34</v>
      </c>
      <c r="BG3001">
        <v>-0.88</v>
      </c>
      <c r="BH3001">
        <v>-1.46</v>
      </c>
      <c r="BI3001">
        <v>0.3</v>
      </c>
      <c r="BJ3001">
        <v>20210817</v>
      </c>
      <c r="BK3001">
        <v>19970306</v>
      </c>
      <c r="BL3001">
        <v>12.12</v>
      </c>
      <c r="BM3001" t="s">
        <v>120</v>
      </c>
      <c r="BN3001" t="s">
        <v>120</v>
      </c>
      <c r="BO3001">
        <v>34.04</v>
      </c>
      <c r="BP3001">
        <v>3.36</v>
      </c>
      <c r="BQ3001">
        <v>22.27</v>
      </c>
      <c r="BR3001">
        <v>3.18</v>
      </c>
      <c r="BS3001">
        <v>25.22</v>
      </c>
      <c r="BT3001">
        <v>17.77</v>
      </c>
      <c r="BU3001">
        <v>9.27</v>
      </c>
      <c r="BV3001">
        <v>2.0299999999999998</v>
      </c>
      <c r="BW3001">
        <v>4.25</v>
      </c>
      <c r="BX3001">
        <v>10.98</v>
      </c>
      <c r="BY3001">
        <v>0.05</v>
      </c>
      <c r="BZ3001">
        <v>0.26</v>
      </c>
      <c r="CA3001">
        <v>0.08</v>
      </c>
      <c r="CB3001">
        <v>2.67</v>
      </c>
      <c r="CC3001">
        <v>12.11</v>
      </c>
      <c r="CD3001">
        <v>10.61</v>
      </c>
      <c r="CE3001">
        <v>1.24</v>
      </c>
      <c r="CF3001">
        <v>-0.31</v>
      </c>
      <c r="CG3001">
        <v>1.24</v>
      </c>
      <c r="CH3001">
        <v>0.96</v>
      </c>
      <c r="CI3001">
        <v>0.78</v>
      </c>
      <c r="CJ3001">
        <v>-0.03</v>
      </c>
      <c r="CK3001">
        <v>0.54</v>
      </c>
      <c r="CL3001">
        <v>6.55</v>
      </c>
      <c r="CM3001">
        <v>4.8899999999999997</v>
      </c>
      <c r="CN3001">
        <v>2.87</v>
      </c>
      <c r="CO3001">
        <v>77037</v>
      </c>
      <c r="CP3001">
        <v>8909</v>
      </c>
      <c r="CQ3001" t="s">
        <v>11285</v>
      </c>
      <c r="CR3001">
        <v>-28.5</v>
      </c>
      <c r="CS3001">
        <v>66.849999999999994</v>
      </c>
      <c r="CT3001">
        <v>1.83</v>
      </c>
      <c r="CU3001">
        <v>8.36</v>
      </c>
      <c r="CV3001">
        <v>3.37</v>
      </c>
      <c r="CW3001">
        <v>0.44</v>
      </c>
      <c r="CX3001" t="s">
        <v>1064</v>
      </c>
      <c r="CY3001">
        <v>1.84</v>
      </c>
      <c r="CZ3001">
        <v>0</v>
      </c>
      <c r="DA3001">
        <v>0.22</v>
      </c>
      <c r="DB3001">
        <v>0.54</v>
      </c>
      <c r="DC3001">
        <v>0.4</v>
      </c>
      <c r="DD3001">
        <v>65.430000000000007</v>
      </c>
      <c r="DE3001" t="s">
        <v>4021</v>
      </c>
      <c r="DF3001">
        <v>12.4</v>
      </c>
      <c r="DG3001">
        <v>10.25</v>
      </c>
      <c r="DH3001">
        <v>6.47</v>
      </c>
      <c r="DI3001">
        <v>0.05</v>
      </c>
      <c r="DJ3001">
        <v>487</v>
      </c>
      <c r="DK3001">
        <v>600794</v>
      </c>
      <c r="DL3001" t="s">
        <v>120</v>
      </c>
      <c r="DM3001" t="s">
        <v>120</v>
      </c>
      <c r="DN3001" t="s">
        <v>120</v>
      </c>
    </row>
    <row r="3002" spans="1:118">
      <c r="A3002" t="str">
        <f>"600795"</f>
        <v>600795</v>
      </c>
      <c r="B3002" t="s">
        <v>13164</v>
      </c>
      <c r="C3002">
        <v>-0.35</v>
      </c>
      <c r="D3002">
        <v>0.71</v>
      </c>
      <c r="E3002">
        <v>0</v>
      </c>
      <c r="F3002">
        <v>203332</v>
      </c>
      <c r="G3002" t="s">
        <v>13165</v>
      </c>
      <c r="H3002">
        <v>38849.61</v>
      </c>
      <c r="I3002">
        <v>211.28</v>
      </c>
      <c r="J3002" t="s">
        <v>120</v>
      </c>
      <c r="K3002" t="s">
        <v>13166</v>
      </c>
      <c r="L3002">
        <v>0.69</v>
      </c>
      <c r="M3002">
        <v>2.85</v>
      </c>
      <c r="N3002">
        <v>0.8</v>
      </c>
      <c r="O3002">
        <v>2.1</v>
      </c>
      <c r="P3002">
        <v>2.92</v>
      </c>
      <c r="Q3002">
        <v>-1.05</v>
      </c>
      <c r="R3002">
        <v>2.83</v>
      </c>
      <c r="S3002">
        <v>2.86</v>
      </c>
      <c r="T3002">
        <v>1353456</v>
      </c>
      <c r="U3002">
        <v>2.86</v>
      </c>
      <c r="V3002">
        <v>2.86</v>
      </c>
      <c r="W3002">
        <v>11.76</v>
      </c>
      <c r="X3002" t="s">
        <v>268</v>
      </c>
      <c r="Y3002" t="s">
        <v>432</v>
      </c>
      <c r="Z3002">
        <v>3.15</v>
      </c>
      <c r="AA3002">
        <v>2.87</v>
      </c>
      <c r="AB3002">
        <v>705352</v>
      </c>
      <c r="AC3002">
        <v>648104</v>
      </c>
      <c r="AD3002">
        <v>1.0900000000000001</v>
      </c>
      <c r="AE3002">
        <v>90825</v>
      </c>
      <c r="AF3002">
        <v>12705</v>
      </c>
      <c r="AG3002" t="s">
        <v>120</v>
      </c>
      <c r="AH3002">
        <v>0.01</v>
      </c>
      <c r="AI3002" t="s">
        <v>120</v>
      </c>
      <c r="AJ3002">
        <v>196.5</v>
      </c>
      <c r="AK3002" t="s">
        <v>13166</v>
      </c>
      <c r="AL3002">
        <v>0.99</v>
      </c>
      <c r="AM3002">
        <v>4193</v>
      </c>
      <c r="AN3002">
        <v>323</v>
      </c>
      <c r="AO3002">
        <v>2.0000000000000001E-4</v>
      </c>
      <c r="AP3002">
        <v>-1</v>
      </c>
      <c r="AQ3002">
        <v>1.42</v>
      </c>
      <c r="AR3002">
        <v>-2.06</v>
      </c>
      <c r="AS3002">
        <v>14</v>
      </c>
      <c r="AT3002">
        <v>20.77</v>
      </c>
      <c r="AU3002">
        <v>28.96</v>
      </c>
      <c r="AV3002">
        <v>0</v>
      </c>
      <c r="AW3002">
        <v>1.28</v>
      </c>
      <c r="AX3002">
        <v>54</v>
      </c>
      <c r="AY3002">
        <v>12.98</v>
      </c>
      <c r="AZ3002">
        <v>21.34</v>
      </c>
      <c r="BA3002">
        <v>0.42</v>
      </c>
      <c r="BB3002" t="s">
        <v>143</v>
      </c>
      <c r="BF3002">
        <v>0.36</v>
      </c>
      <c r="BG3002">
        <v>-0.35</v>
      </c>
      <c r="BH3002">
        <v>-2.4</v>
      </c>
      <c r="BI3002">
        <v>0.71</v>
      </c>
      <c r="BJ3002">
        <v>20210824</v>
      </c>
      <c r="BK3002">
        <v>19970318</v>
      </c>
      <c r="BL3002">
        <v>196.5</v>
      </c>
      <c r="BM3002" t="s">
        <v>120</v>
      </c>
      <c r="BN3002" t="s">
        <v>120</v>
      </c>
      <c r="BO3002">
        <v>3450.28</v>
      </c>
      <c r="BP3002">
        <v>2.85</v>
      </c>
      <c r="BQ3002">
        <v>533.1</v>
      </c>
      <c r="BR3002">
        <v>663.25</v>
      </c>
      <c r="BS3002">
        <v>65.33</v>
      </c>
      <c r="BT3002">
        <v>430.19</v>
      </c>
      <c r="BU3002">
        <v>2412.44</v>
      </c>
      <c r="BV3002">
        <v>84.44</v>
      </c>
      <c r="BW3002">
        <v>885.85</v>
      </c>
      <c r="BX3002">
        <v>120.98</v>
      </c>
      <c r="BY3002">
        <v>35.44</v>
      </c>
      <c r="BZ3002">
        <v>188.05</v>
      </c>
      <c r="CA3002">
        <v>2.44</v>
      </c>
      <c r="CB3002">
        <v>60.49</v>
      </c>
      <c r="CC3002">
        <v>598.65</v>
      </c>
      <c r="CD3002">
        <v>499.49</v>
      </c>
      <c r="CE3002">
        <v>55</v>
      </c>
      <c r="CF3002">
        <v>9.99</v>
      </c>
      <c r="CG3002">
        <v>55.78</v>
      </c>
      <c r="CH3002">
        <v>42.47</v>
      </c>
      <c r="CI3002">
        <v>23.81</v>
      </c>
      <c r="CJ3002">
        <v>-0.01</v>
      </c>
      <c r="CK3002">
        <v>20.57</v>
      </c>
      <c r="CL3002">
        <v>221.66</v>
      </c>
      <c r="CM3002">
        <v>105.08</v>
      </c>
      <c r="CN3002">
        <v>24.38</v>
      </c>
      <c r="CO3002">
        <v>542807</v>
      </c>
      <c r="CP3002">
        <v>19550</v>
      </c>
      <c r="CQ3002" t="s">
        <v>4176</v>
      </c>
      <c r="CR3002">
        <v>248.74</v>
      </c>
      <c r="CS3002">
        <v>13.86</v>
      </c>
      <c r="CT3002">
        <v>1.1100000000000001</v>
      </c>
      <c r="CU3002">
        <v>5.33</v>
      </c>
      <c r="CV3002">
        <v>0.94</v>
      </c>
      <c r="CW3002">
        <v>1.27</v>
      </c>
      <c r="CX3002" t="s">
        <v>986</v>
      </c>
      <c r="CY3002">
        <v>2.56</v>
      </c>
      <c r="CZ3002">
        <v>2.56</v>
      </c>
      <c r="DA3002">
        <v>0.31</v>
      </c>
      <c r="DB3002">
        <v>1.1299999999999999</v>
      </c>
      <c r="DC3002">
        <v>0.53</v>
      </c>
      <c r="DD3002">
        <v>15.45</v>
      </c>
      <c r="DE3002" t="s">
        <v>2444</v>
      </c>
      <c r="DF3002">
        <v>16.559999999999999</v>
      </c>
      <c r="DG3002">
        <v>9.19</v>
      </c>
      <c r="DH3002">
        <v>3.98</v>
      </c>
      <c r="DI3002">
        <v>0.92</v>
      </c>
      <c r="DJ3002">
        <v>32913</v>
      </c>
      <c r="DK3002">
        <v>600795</v>
      </c>
      <c r="DL3002" t="s">
        <v>120</v>
      </c>
      <c r="DM3002" t="s">
        <v>120</v>
      </c>
      <c r="DN3002" t="s">
        <v>120</v>
      </c>
    </row>
    <row r="3003" spans="1:118">
      <c r="A3003" t="str">
        <f>"600796"</f>
        <v>600796</v>
      </c>
      <c r="B3003" t="s">
        <v>13167</v>
      </c>
      <c r="C3003">
        <v>-1.17</v>
      </c>
      <c r="D3003">
        <v>0.15</v>
      </c>
      <c r="E3003">
        <v>0.28999999999999998</v>
      </c>
      <c r="F3003">
        <v>1216</v>
      </c>
      <c r="G3003" t="s">
        <v>1612</v>
      </c>
      <c r="H3003">
        <v>5464.61</v>
      </c>
      <c r="I3003">
        <v>41.43</v>
      </c>
      <c r="J3003" t="s">
        <v>120</v>
      </c>
      <c r="K3003" t="s">
        <v>9809</v>
      </c>
      <c r="L3003">
        <v>2.65</v>
      </c>
      <c r="M3003">
        <v>6.77</v>
      </c>
      <c r="N3003">
        <v>0.65</v>
      </c>
      <c r="O3003">
        <v>1.9</v>
      </c>
      <c r="P3003">
        <v>6.98</v>
      </c>
      <c r="Q3003">
        <v>-3.07</v>
      </c>
      <c r="R3003">
        <v>6.64</v>
      </c>
      <c r="S3003">
        <v>6.87</v>
      </c>
      <c r="T3003">
        <v>79912</v>
      </c>
      <c r="U3003">
        <v>6.77</v>
      </c>
      <c r="V3003">
        <v>6.85</v>
      </c>
      <c r="W3003">
        <v>148.36000000000001</v>
      </c>
      <c r="X3003" t="s">
        <v>690</v>
      </c>
      <c r="Y3003" t="s">
        <v>585</v>
      </c>
      <c r="Z3003">
        <v>4.96</v>
      </c>
      <c r="AA3003">
        <v>6.84</v>
      </c>
      <c r="AB3003">
        <v>39512</v>
      </c>
      <c r="AC3003">
        <v>40400</v>
      </c>
      <c r="AD3003">
        <v>0.98</v>
      </c>
      <c r="AE3003">
        <v>978</v>
      </c>
      <c r="AF3003">
        <v>32</v>
      </c>
      <c r="AG3003" t="s">
        <v>120</v>
      </c>
      <c r="AH3003">
        <v>0.03</v>
      </c>
      <c r="AI3003" t="s">
        <v>120</v>
      </c>
      <c r="AJ3003">
        <v>3.01</v>
      </c>
      <c r="AK3003" t="s">
        <v>9809</v>
      </c>
      <c r="AL3003">
        <v>0.18</v>
      </c>
      <c r="AM3003">
        <v>2213</v>
      </c>
      <c r="AN3003">
        <v>36</v>
      </c>
      <c r="AO3003">
        <v>1.1999999999999999E-3</v>
      </c>
      <c r="AP3003">
        <v>-1</v>
      </c>
      <c r="AQ3003">
        <v>1.48</v>
      </c>
      <c r="AR3003">
        <v>2.73</v>
      </c>
      <c r="AS3003">
        <v>28.71</v>
      </c>
      <c r="AT3003">
        <v>26.54</v>
      </c>
      <c r="AU3003">
        <v>37.6</v>
      </c>
      <c r="AV3003">
        <v>3</v>
      </c>
      <c r="AW3003">
        <v>3.98</v>
      </c>
      <c r="AX3003">
        <v>66.7</v>
      </c>
      <c r="AY3003">
        <v>129.22</v>
      </c>
      <c r="AZ3003">
        <v>401.95</v>
      </c>
      <c r="BA3003">
        <v>0.28000000000000003</v>
      </c>
      <c r="BB3003" t="s">
        <v>184</v>
      </c>
      <c r="BF3003">
        <v>-0.17</v>
      </c>
      <c r="BG3003">
        <v>-1.46</v>
      </c>
      <c r="BH3003">
        <v>-3.01</v>
      </c>
      <c r="BI3003">
        <v>1.96</v>
      </c>
      <c r="BJ3003">
        <v>20210827</v>
      </c>
      <c r="BK3003">
        <v>19970408</v>
      </c>
      <c r="BL3003">
        <v>3.01</v>
      </c>
      <c r="BM3003" t="s">
        <v>120</v>
      </c>
      <c r="BN3003" t="s">
        <v>120</v>
      </c>
      <c r="BO3003">
        <v>11.55</v>
      </c>
      <c r="BP3003">
        <v>6.76</v>
      </c>
      <c r="BQ3003">
        <v>6.08</v>
      </c>
      <c r="BR3003">
        <v>0.85</v>
      </c>
      <c r="BS3003">
        <v>39.99</v>
      </c>
      <c r="BT3003">
        <v>3.8</v>
      </c>
      <c r="BU3003">
        <v>3.26</v>
      </c>
      <c r="BV3003">
        <v>0.38</v>
      </c>
      <c r="BW3003">
        <v>1.46</v>
      </c>
      <c r="BX3003">
        <v>1.83</v>
      </c>
      <c r="BY3003">
        <v>1.03</v>
      </c>
      <c r="BZ3003">
        <v>0.63</v>
      </c>
      <c r="CA3003">
        <v>0.01</v>
      </c>
      <c r="CB3003">
        <v>0.37</v>
      </c>
      <c r="CC3003">
        <v>2.59</v>
      </c>
      <c r="CD3003">
        <v>2.31</v>
      </c>
      <c r="CE3003">
        <v>0.09</v>
      </c>
      <c r="CF3003">
        <v>0.01</v>
      </c>
      <c r="CG3003">
        <v>0.1</v>
      </c>
      <c r="CH3003">
        <v>0.08</v>
      </c>
      <c r="CI3003">
        <v>7.0000000000000007E-2</v>
      </c>
      <c r="CJ3003">
        <v>-0.08</v>
      </c>
      <c r="CK3003">
        <v>-7.0000000000000007E-2</v>
      </c>
      <c r="CL3003">
        <v>1.8</v>
      </c>
      <c r="CM3003">
        <v>0.5</v>
      </c>
      <c r="CN3003">
        <v>0.14000000000000001</v>
      </c>
      <c r="CO3003">
        <v>28960</v>
      </c>
      <c r="CP3003">
        <v>6941</v>
      </c>
      <c r="CQ3003" t="s">
        <v>5667</v>
      </c>
      <c r="CR3003">
        <v>273.49</v>
      </c>
      <c r="CS3003">
        <v>35.6</v>
      </c>
      <c r="CT3003">
        <v>3.36</v>
      </c>
      <c r="CU3003">
        <v>41.17</v>
      </c>
      <c r="CV3003">
        <v>7.89</v>
      </c>
      <c r="CW3003">
        <v>0</v>
      </c>
      <c r="CX3003" t="s">
        <v>499</v>
      </c>
      <c r="CY3003">
        <v>2.02</v>
      </c>
      <c r="CZ3003">
        <v>0</v>
      </c>
      <c r="DA3003">
        <v>0.12</v>
      </c>
      <c r="DB3003">
        <v>0.6</v>
      </c>
      <c r="DC3003">
        <v>0.16</v>
      </c>
      <c r="DD3003">
        <v>52.64</v>
      </c>
      <c r="DE3003" t="s">
        <v>11971</v>
      </c>
      <c r="DF3003">
        <v>10.52</v>
      </c>
      <c r="DG3003">
        <v>3.63</v>
      </c>
      <c r="DH3003">
        <v>2.66</v>
      </c>
      <c r="DI3003">
        <v>7.0000000000000007E-2</v>
      </c>
      <c r="DJ3003">
        <v>545</v>
      </c>
      <c r="DK3003">
        <v>600796</v>
      </c>
      <c r="DL3003" t="s">
        <v>120</v>
      </c>
      <c r="DM3003" t="s">
        <v>120</v>
      </c>
      <c r="DN3003" t="s">
        <v>120</v>
      </c>
    </row>
    <row r="3004" spans="1:118">
      <c r="A3004" t="str">
        <f>"600797"</f>
        <v>600797</v>
      </c>
      <c r="B3004" t="s">
        <v>13168</v>
      </c>
      <c r="C3004">
        <v>-1.64</v>
      </c>
      <c r="D3004">
        <v>0</v>
      </c>
      <c r="E3004">
        <v>0</v>
      </c>
      <c r="F3004">
        <v>1058</v>
      </c>
      <c r="G3004" t="s">
        <v>13169</v>
      </c>
      <c r="H3004">
        <v>5277.2</v>
      </c>
      <c r="I3004">
        <v>7.02</v>
      </c>
      <c r="J3004" t="s">
        <v>120</v>
      </c>
      <c r="K3004" t="s">
        <v>13170</v>
      </c>
      <c r="L3004">
        <v>0.77</v>
      </c>
      <c r="M3004">
        <v>6.58</v>
      </c>
      <c r="N3004">
        <v>0.83</v>
      </c>
      <c r="O3004">
        <v>0.75</v>
      </c>
      <c r="P3004">
        <v>6.74</v>
      </c>
      <c r="Q3004">
        <v>-1.94</v>
      </c>
      <c r="R3004">
        <v>6.56</v>
      </c>
      <c r="S3004">
        <v>6.69</v>
      </c>
      <c r="T3004">
        <v>79455</v>
      </c>
      <c r="U3004">
        <v>6.58</v>
      </c>
      <c r="V3004">
        <v>6.69</v>
      </c>
      <c r="W3004">
        <v>118.63</v>
      </c>
      <c r="X3004" t="s">
        <v>141</v>
      </c>
      <c r="Y3004" t="s">
        <v>585</v>
      </c>
      <c r="Z3004">
        <v>2.69</v>
      </c>
      <c r="AA3004">
        <v>6.64</v>
      </c>
      <c r="AB3004">
        <v>49153</v>
      </c>
      <c r="AC3004">
        <v>30302</v>
      </c>
      <c r="AD3004">
        <v>1.62</v>
      </c>
      <c r="AE3004">
        <v>567</v>
      </c>
      <c r="AF3004">
        <v>568</v>
      </c>
      <c r="AG3004" t="s">
        <v>120</v>
      </c>
      <c r="AH3004">
        <v>0</v>
      </c>
      <c r="AI3004" t="s">
        <v>120</v>
      </c>
      <c r="AJ3004">
        <v>10.28</v>
      </c>
      <c r="AK3004" t="s">
        <v>13170</v>
      </c>
      <c r="AL3004">
        <v>-0.3</v>
      </c>
      <c r="AM3004">
        <v>2347</v>
      </c>
      <c r="AN3004">
        <v>34</v>
      </c>
      <c r="AO3004">
        <v>2.9999999999999997E-4</v>
      </c>
      <c r="AP3004">
        <v>-1</v>
      </c>
      <c r="AQ3004">
        <v>0</v>
      </c>
      <c r="AR3004">
        <v>-2.95</v>
      </c>
      <c r="AS3004">
        <v>5.1100000000000003</v>
      </c>
      <c r="AT3004">
        <v>-1.5</v>
      </c>
      <c r="AU3004">
        <v>-5.05</v>
      </c>
      <c r="AV3004">
        <v>1</v>
      </c>
      <c r="AW3004">
        <v>0.92</v>
      </c>
      <c r="AX3004">
        <v>84.45</v>
      </c>
      <c r="AY3004" t="s">
        <v>120</v>
      </c>
      <c r="AZ3004">
        <v>112.89</v>
      </c>
      <c r="BA3004">
        <v>0.37</v>
      </c>
      <c r="BB3004" t="s">
        <v>143</v>
      </c>
      <c r="BF3004">
        <v>-0.72</v>
      </c>
      <c r="BG3004">
        <v>-1.64</v>
      </c>
      <c r="BH3004">
        <v>-2.37</v>
      </c>
      <c r="BI3004">
        <v>0.3</v>
      </c>
      <c r="BJ3004">
        <v>20210821</v>
      </c>
      <c r="BK3004">
        <v>19970418</v>
      </c>
      <c r="BL3004">
        <v>10.28</v>
      </c>
      <c r="BM3004" t="s">
        <v>120</v>
      </c>
      <c r="BN3004" t="s">
        <v>120</v>
      </c>
      <c r="BO3004">
        <v>62.48</v>
      </c>
      <c r="BP3004">
        <v>6.57</v>
      </c>
      <c r="BQ3004">
        <v>39.1</v>
      </c>
      <c r="BR3004">
        <v>2.8</v>
      </c>
      <c r="BS3004">
        <v>32.94</v>
      </c>
      <c r="BT3004">
        <v>26.34</v>
      </c>
      <c r="BU3004">
        <v>7.11</v>
      </c>
      <c r="BV3004">
        <v>1.55</v>
      </c>
      <c r="BW3004">
        <v>16.98</v>
      </c>
      <c r="BX3004">
        <v>6</v>
      </c>
      <c r="BY3004">
        <v>4.38</v>
      </c>
      <c r="BZ3004">
        <v>9.5299999999999994</v>
      </c>
      <c r="CA3004" t="s">
        <v>120</v>
      </c>
      <c r="CB3004">
        <v>17.329999999999998</v>
      </c>
      <c r="CC3004">
        <v>16.760000000000002</v>
      </c>
      <c r="CD3004">
        <v>12.5</v>
      </c>
      <c r="CE3004">
        <v>0.39</v>
      </c>
      <c r="CF3004">
        <v>0.25</v>
      </c>
      <c r="CG3004">
        <v>0.37</v>
      </c>
      <c r="CH3004">
        <v>0.26</v>
      </c>
      <c r="CI3004">
        <v>0.28000000000000003</v>
      </c>
      <c r="CJ3004">
        <v>-0.11</v>
      </c>
      <c r="CK3004">
        <v>0.22</v>
      </c>
      <c r="CL3004">
        <v>12.03</v>
      </c>
      <c r="CM3004">
        <v>-3.17</v>
      </c>
      <c r="CN3004">
        <v>-4.2</v>
      </c>
      <c r="CO3004">
        <v>104199</v>
      </c>
      <c r="CP3004">
        <v>8328</v>
      </c>
      <c r="CQ3004" t="s">
        <v>4690</v>
      </c>
      <c r="CR3004">
        <v>-78.88</v>
      </c>
      <c r="CS3004">
        <v>13.47</v>
      </c>
      <c r="CT3004">
        <v>1.73</v>
      </c>
      <c r="CU3004">
        <v>-21.31</v>
      </c>
      <c r="CV3004">
        <v>4.03</v>
      </c>
      <c r="CW3004">
        <v>0.44</v>
      </c>
      <c r="CX3004" t="s">
        <v>2074</v>
      </c>
      <c r="CY3004">
        <v>3.81</v>
      </c>
      <c r="CZ3004">
        <v>0</v>
      </c>
      <c r="DA3004">
        <v>1.69</v>
      </c>
      <c r="DB3004">
        <v>1.17</v>
      </c>
      <c r="DC3004">
        <v>-0.31</v>
      </c>
      <c r="DD3004">
        <v>62.58</v>
      </c>
      <c r="DE3004" t="s">
        <v>4352</v>
      </c>
      <c r="DF3004">
        <v>25.39</v>
      </c>
      <c r="DG3004">
        <v>2.33</v>
      </c>
      <c r="DH3004">
        <v>1.7</v>
      </c>
      <c r="DI3004">
        <v>1.5</v>
      </c>
      <c r="DJ3004">
        <v>4816</v>
      </c>
      <c r="DK3004">
        <v>600797</v>
      </c>
      <c r="DL3004" t="s">
        <v>120</v>
      </c>
      <c r="DM3004" t="s">
        <v>120</v>
      </c>
      <c r="DN3004" t="s">
        <v>120</v>
      </c>
    </row>
    <row r="3005" spans="1:118">
      <c r="A3005" t="str">
        <f>"600798"</f>
        <v>600798</v>
      </c>
      <c r="B3005" t="s">
        <v>13171</v>
      </c>
      <c r="C3005">
        <v>-1.7</v>
      </c>
      <c r="D3005">
        <v>0</v>
      </c>
      <c r="E3005">
        <v>-0.38</v>
      </c>
      <c r="F3005">
        <v>1990</v>
      </c>
      <c r="G3005" t="s">
        <v>571</v>
      </c>
      <c r="H3005">
        <v>16491.25</v>
      </c>
      <c r="I3005">
        <v>47.08</v>
      </c>
      <c r="J3005" t="s">
        <v>120</v>
      </c>
      <c r="K3005" t="s">
        <v>2094</v>
      </c>
      <c r="L3005">
        <v>3.02</v>
      </c>
      <c r="M3005">
        <v>5.19</v>
      </c>
      <c r="N3005">
        <v>0.62</v>
      </c>
      <c r="O3005">
        <v>3.22</v>
      </c>
      <c r="P3005">
        <v>5.45</v>
      </c>
      <c r="Q3005">
        <v>-2.08</v>
      </c>
      <c r="R3005">
        <v>5.17</v>
      </c>
      <c r="S3005">
        <v>5.26</v>
      </c>
      <c r="T3005">
        <v>311473</v>
      </c>
      <c r="U3005">
        <v>5.2</v>
      </c>
      <c r="V3005">
        <v>5.28</v>
      </c>
      <c r="W3005">
        <v>23.81</v>
      </c>
      <c r="X3005" t="s">
        <v>917</v>
      </c>
      <c r="Y3005" t="s">
        <v>585</v>
      </c>
      <c r="Z3005">
        <v>5.3</v>
      </c>
      <c r="AA3005">
        <v>5.29</v>
      </c>
      <c r="AB3005">
        <v>158905</v>
      </c>
      <c r="AC3005">
        <v>152568</v>
      </c>
      <c r="AD3005">
        <v>1.04</v>
      </c>
      <c r="AE3005">
        <v>319</v>
      </c>
      <c r="AF3005">
        <v>1039</v>
      </c>
      <c r="AG3005" t="s">
        <v>120</v>
      </c>
      <c r="AH3005">
        <v>0.01</v>
      </c>
      <c r="AI3005" t="s">
        <v>120</v>
      </c>
      <c r="AJ3005">
        <v>10.31</v>
      </c>
      <c r="AK3005" t="s">
        <v>13172</v>
      </c>
      <c r="AL3005">
        <v>-0.36</v>
      </c>
      <c r="AM3005">
        <v>3444</v>
      </c>
      <c r="AN3005">
        <v>90</v>
      </c>
      <c r="AO3005">
        <v>8.9999999999999998E-4</v>
      </c>
      <c r="AP3005">
        <v>-1</v>
      </c>
      <c r="AQ3005">
        <v>0.76</v>
      </c>
      <c r="AR3005">
        <v>-4.25</v>
      </c>
      <c r="AS3005">
        <v>10.19</v>
      </c>
      <c r="AT3005">
        <v>-6.66</v>
      </c>
      <c r="AU3005">
        <v>1.96</v>
      </c>
      <c r="AV3005">
        <v>14</v>
      </c>
      <c r="AW3005">
        <v>4.68</v>
      </c>
      <c r="AX3005">
        <v>55.18</v>
      </c>
      <c r="AY3005">
        <v>22.62</v>
      </c>
      <c r="AZ3005">
        <v>38.32</v>
      </c>
      <c r="BA3005">
        <v>1.03</v>
      </c>
      <c r="BB3005" t="s">
        <v>184</v>
      </c>
      <c r="BF3005">
        <v>0.28000000000000003</v>
      </c>
      <c r="BG3005">
        <v>-1.33</v>
      </c>
      <c r="BH3005">
        <v>-4.7699999999999996</v>
      </c>
      <c r="BI3005">
        <v>0.39</v>
      </c>
      <c r="BJ3005">
        <v>20210824</v>
      </c>
      <c r="BK3005">
        <v>19970423</v>
      </c>
      <c r="BL3005">
        <v>12.07</v>
      </c>
      <c r="BM3005" t="s">
        <v>120</v>
      </c>
      <c r="BN3005" t="s">
        <v>120</v>
      </c>
      <c r="BO3005">
        <v>70.45</v>
      </c>
      <c r="BP3005">
        <v>5.19</v>
      </c>
      <c r="BQ3005">
        <v>36.89</v>
      </c>
      <c r="BR3005">
        <v>12.06</v>
      </c>
      <c r="BS3005">
        <v>30.52</v>
      </c>
      <c r="BT3005">
        <v>10.98</v>
      </c>
      <c r="BU3005">
        <v>25.69</v>
      </c>
      <c r="BV3005">
        <v>31.34</v>
      </c>
      <c r="BW3005">
        <v>5.49</v>
      </c>
      <c r="BX3005">
        <v>6.03</v>
      </c>
      <c r="BY3005">
        <v>0.61</v>
      </c>
      <c r="BZ3005">
        <v>3.92</v>
      </c>
      <c r="CA3005">
        <v>0</v>
      </c>
      <c r="CB3005">
        <v>11.87</v>
      </c>
      <c r="CC3005">
        <v>10.8</v>
      </c>
      <c r="CD3005">
        <v>7.98</v>
      </c>
      <c r="CE3005">
        <v>2.4900000000000002</v>
      </c>
      <c r="CF3005">
        <v>0</v>
      </c>
      <c r="CG3005">
        <v>2.4900000000000002</v>
      </c>
      <c r="CH3005">
        <v>1.87</v>
      </c>
      <c r="CI3005">
        <v>1.31</v>
      </c>
      <c r="CJ3005">
        <v>-0.09</v>
      </c>
      <c r="CK3005">
        <v>0.95</v>
      </c>
      <c r="CL3005">
        <v>10.41</v>
      </c>
      <c r="CM3005">
        <v>4.8499999999999996</v>
      </c>
      <c r="CN3005">
        <v>-0.68</v>
      </c>
      <c r="CO3005">
        <v>77910</v>
      </c>
      <c r="CP3005">
        <v>8546</v>
      </c>
      <c r="CQ3005" t="s">
        <v>9617</v>
      </c>
      <c r="CR3005">
        <v>719.31</v>
      </c>
      <c r="CS3005">
        <v>21.47</v>
      </c>
      <c r="CT3005">
        <v>1.7</v>
      </c>
      <c r="CU3005">
        <v>12.91</v>
      </c>
      <c r="CV3005">
        <v>5.8</v>
      </c>
      <c r="CW3005">
        <v>1.1399999999999999</v>
      </c>
      <c r="CX3005" t="s">
        <v>611</v>
      </c>
      <c r="CY3005">
        <v>3.06</v>
      </c>
      <c r="CZ3005">
        <v>0</v>
      </c>
      <c r="DA3005">
        <v>0.98</v>
      </c>
      <c r="DB3005">
        <v>0.86</v>
      </c>
      <c r="DC3005">
        <v>0.4</v>
      </c>
      <c r="DD3005">
        <v>52.37</v>
      </c>
      <c r="DE3005" t="s">
        <v>3308</v>
      </c>
      <c r="DF3005">
        <v>26.08</v>
      </c>
      <c r="DG3005">
        <v>23.02</v>
      </c>
      <c r="DH3005">
        <v>12.18</v>
      </c>
      <c r="DI3005">
        <v>0</v>
      </c>
      <c r="DJ3005">
        <v>936</v>
      </c>
      <c r="DK3005">
        <v>600798</v>
      </c>
      <c r="DL3005" t="s">
        <v>120</v>
      </c>
      <c r="DM3005" t="s">
        <v>120</v>
      </c>
      <c r="DN3005" t="s">
        <v>120</v>
      </c>
    </row>
    <row r="3006" spans="1:118">
      <c r="A3006" t="str">
        <f>"600800"</f>
        <v>600800</v>
      </c>
      <c r="B3006" t="s">
        <v>13173</v>
      </c>
      <c r="C3006">
        <v>-0.2</v>
      </c>
      <c r="D3006">
        <v>0.6</v>
      </c>
      <c r="E3006">
        <v>1.6</v>
      </c>
      <c r="F3006">
        <v>3578</v>
      </c>
      <c r="G3006" t="s">
        <v>9110</v>
      </c>
      <c r="H3006">
        <v>13552.68</v>
      </c>
      <c r="I3006">
        <v>36.07</v>
      </c>
      <c r="J3006" t="s">
        <v>120</v>
      </c>
      <c r="K3006" t="s">
        <v>13174</v>
      </c>
      <c r="L3006">
        <v>3.37</v>
      </c>
      <c r="M3006">
        <v>4.99</v>
      </c>
      <c r="N3006">
        <v>1.6</v>
      </c>
      <c r="O3006">
        <v>3.8</v>
      </c>
      <c r="P3006">
        <v>5.19</v>
      </c>
      <c r="Q3006">
        <v>-1.2</v>
      </c>
      <c r="R3006">
        <v>4.9400000000000004</v>
      </c>
      <c r="S3006">
        <v>5.08</v>
      </c>
      <c r="T3006">
        <v>267386</v>
      </c>
      <c r="U3006">
        <v>4.99</v>
      </c>
      <c r="V3006">
        <v>5</v>
      </c>
      <c r="W3006">
        <v>33.950000000000003</v>
      </c>
      <c r="X3006" t="s">
        <v>868</v>
      </c>
      <c r="Y3006" t="s">
        <v>997</v>
      </c>
      <c r="Z3006">
        <v>5</v>
      </c>
      <c r="AA3006">
        <v>5.07</v>
      </c>
      <c r="AB3006">
        <v>135149</v>
      </c>
      <c r="AC3006">
        <v>132237</v>
      </c>
      <c r="AD3006">
        <v>1.02</v>
      </c>
      <c r="AE3006">
        <v>5</v>
      </c>
      <c r="AF3006">
        <v>3187</v>
      </c>
      <c r="AG3006" t="s">
        <v>120</v>
      </c>
      <c r="AH3006">
        <v>0.01</v>
      </c>
      <c r="AI3006" t="s">
        <v>120</v>
      </c>
      <c r="AJ3006">
        <v>7.94</v>
      </c>
      <c r="AK3006" t="s">
        <v>13175</v>
      </c>
      <c r="AL3006">
        <v>1.1399999999999999</v>
      </c>
      <c r="AM3006">
        <v>2657</v>
      </c>
      <c r="AN3006">
        <v>101</v>
      </c>
      <c r="AO3006">
        <v>1.2999999999999999E-3</v>
      </c>
      <c r="AP3006">
        <v>-1</v>
      </c>
      <c r="AQ3006">
        <v>1.83</v>
      </c>
      <c r="AR3006">
        <v>-0.41</v>
      </c>
      <c r="AS3006">
        <v>17.14</v>
      </c>
      <c r="AT3006">
        <v>6.4</v>
      </c>
      <c r="AU3006">
        <v>7.09</v>
      </c>
      <c r="AV3006">
        <v>3</v>
      </c>
      <c r="AW3006">
        <v>5.3</v>
      </c>
      <c r="AX3006">
        <v>42.57</v>
      </c>
      <c r="AY3006">
        <v>15.55</v>
      </c>
      <c r="AZ3006">
        <v>31.87</v>
      </c>
      <c r="BA3006">
        <v>0.53</v>
      </c>
      <c r="BB3006" t="s">
        <v>184</v>
      </c>
      <c r="BF3006">
        <v>1.37</v>
      </c>
      <c r="BG3006">
        <v>-1.77</v>
      </c>
      <c r="BH3006">
        <v>-3.85</v>
      </c>
      <c r="BI3006">
        <v>1.01</v>
      </c>
      <c r="BJ3006">
        <v>20210826</v>
      </c>
      <c r="BK3006">
        <v>19931206</v>
      </c>
      <c r="BL3006">
        <v>11.86</v>
      </c>
      <c r="BM3006" t="s">
        <v>120</v>
      </c>
      <c r="BN3006" t="s">
        <v>120</v>
      </c>
      <c r="BO3006">
        <v>49.25</v>
      </c>
      <c r="BP3006">
        <v>4.9800000000000004</v>
      </c>
      <c r="BQ3006">
        <v>28.6</v>
      </c>
      <c r="BR3006" t="s">
        <v>120</v>
      </c>
      <c r="BS3006">
        <v>41.93</v>
      </c>
      <c r="BT3006">
        <v>21.89</v>
      </c>
      <c r="BU3006">
        <v>22.3</v>
      </c>
      <c r="BV3006">
        <v>2.37</v>
      </c>
      <c r="BW3006">
        <v>20.6</v>
      </c>
      <c r="BX3006">
        <v>7.09</v>
      </c>
      <c r="BY3006">
        <v>10.039999999999999</v>
      </c>
      <c r="BZ3006">
        <v>0.64</v>
      </c>
      <c r="CA3006" t="s">
        <v>120</v>
      </c>
      <c r="CB3006">
        <v>20.51</v>
      </c>
      <c r="CC3006">
        <v>18.75</v>
      </c>
      <c r="CD3006">
        <v>16.05</v>
      </c>
      <c r="CE3006">
        <v>1.3</v>
      </c>
      <c r="CF3006">
        <v>-0.03</v>
      </c>
      <c r="CG3006">
        <v>1.3</v>
      </c>
      <c r="CH3006">
        <v>0.87</v>
      </c>
      <c r="CI3006">
        <v>0.87</v>
      </c>
      <c r="CJ3006">
        <v>-0.01</v>
      </c>
      <c r="CK3006">
        <v>0.86</v>
      </c>
      <c r="CL3006">
        <v>-5.12</v>
      </c>
      <c r="CM3006">
        <v>0.95</v>
      </c>
      <c r="CN3006">
        <v>-2.54</v>
      </c>
      <c r="CO3006">
        <v>47372</v>
      </c>
      <c r="CP3006">
        <v>10657</v>
      </c>
      <c r="CQ3006" t="s">
        <v>1545</v>
      </c>
      <c r="CR3006">
        <v>180.62</v>
      </c>
      <c r="CS3006">
        <v>141.63999999999999</v>
      </c>
      <c r="CT3006">
        <v>2.0699999999999998</v>
      </c>
      <c r="CU3006">
        <v>62.08</v>
      </c>
      <c r="CV3006">
        <v>3.16</v>
      </c>
      <c r="CW3006">
        <v>0</v>
      </c>
      <c r="CX3006" t="s">
        <v>679</v>
      </c>
      <c r="CY3006">
        <v>2.41</v>
      </c>
      <c r="CZ3006">
        <v>0</v>
      </c>
      <c r="DA3006">
        <v>1.73</v>
      </c>
      <c r="DB3006">
        <v>-0.43</v>
      </c>
      <c r="DC3006">
        <v>0.08</v>
      </c>
      <c r="DD3006">
        <v>58.07</v>
      </c>
      <c r="DE3006" t="s">
        <v>4017</v>
      </c>
      <c r="DF3006">
        <v>14.39</v>
      </c>
      <c r="DG3006">
        <v>6.92</v>
      </c>
      <c r="DH3006">
        <v>4.6500000000000004</v>
      </c>
      <c r="DI3006">
        <v>0.5</v>
      </c>
      <c r="DJ3006">
        <v>920</v>
      </c>
      <c r="DK3006">
        <v>600800</v>
      </c>
      <c r="DL3006" t="s">
        <v>120</v>
      </c>
      <c r="DM3006" t="s">
        <v>120</v>
      </c>
      <c r="DN3006" t="s">
        <v>120</v>
      </c>
    </row>
    <row r="3007" spans="1:118">
      <c r="A3007" t="str">
        <f>"600801"</f>
        <v>600801</v>
      </c>
      <c r="B3007" t="s">
        <v>13176</v>
      </c>
      <c r="C3007">
        <v>-2.4</v>
      </c>
      <c r="D3007">
        <v>-0.52</v>
      </c>
      <c r="E3007">
        <v>1.1200000000000001</v>
      </c>
      <c r="F3007">
        <v>2844</v>
      </c>
      <c r="G3007" t="s">
        <v>13177</v>
      </c>
      <c r="H3007">
        <v>82643.61</v>
      </c>
      <c r="I3007">
        <v>365.3</v>
      </c>
      <c r="J3007" t="s">
        <v>120</v>
      </c>
      <c r="K3007" t="s">
        <v>13178</v>
      </c>
      <c r="L3007">
        <v>2.42</v>
      </c>
      <c r="M3007">
        <v>24.4</v>
      </c>
      <c r="N3007">
        <v>0.69</v>
      </c>
      <c r="O3007">
        <v>3.2</v>
      </c>
      <c r="P3007">
        <v>25.8</v>
      </c>
      <c r="Q3007">
        <v>-2.8</v>
      </c>
      <c r="R3007">
        <v>24.3</v>
      </c>
      <c r="S3007">
        <v>25.28</v>
      </c>
      <c r="T3007">
        <v>329535</v>
      </c>
      <c r="U3007">
        <v>24.41</v>
      </c>
      <c r="V3007">
        <v>25</v>
      </c>
      <c r="W3007">
        <v>10.49</v>
      </c>
      <c r="X3007" t="s">
        <v>653</v>
      </c>
      <c r="Y3007" t="s">
        <v>763</v>
      </c>
      <c r="Z3007">
        <v>6</v>
      </c>
      <c r="AA3007">
        <v>25.08</v>
      </c>
      <c r="AB3007">
        <v>169292</v>
      </c>
      <c r="AC3007">
        <v>160243</v>
      </c>
      <c r="AD3007">
        <v>1.06</v>
      </c>
      <c r="AE3007">
        <v>45</v>
      </c>
      <c r="AF3007">
        <v>26</v>
      </c>
      <c r="AG3007" t="s">
        <v>120</v>
      </c>
      <c r="AH3007">
        <v>0.03</v>
      </c>
      <c r="AI3007" t="s">
        <v>120</v>
      </c>
      <c r="AJ3007">
        <v>13.62</v>
      </c>
      <c r="AK3007" t="s">
        <v>13179</v>
      </c>
      <c r="AL3007">
        <v>-1.06</v>
      </c>
      <c r="AM3007">
        <v>4510</v>
      </c>
      <c r="AN3007">
        <v>73</v>
      </c>
      <c r="AO3007">
        <v>5.0000000000000001E-4</v>
      </c>
      <c r="AP3007">
        <v>-3</v>
      </c>
      <c r="AQ3007">
        <v>-3.85</v>
      </c>
      <c r="AR3007">
        <v>-10.56</v>
      </c>
      <c r="AS3007">
        <v>27.68</v>
      </c>
      <c r="AT3007">
        <v>34.43</v>
      </c>
      <c r="AU3007">
        <v>24.81</v>
      </c>
      <c r="AV3007">
        <v>2</v>
      </c>
      <c r="AW3007">
        <v>5.76</v>
      </c>
      <c r="AX3007">
        <v>27.31</v>
      </c>
      <c r="AY3007">
        <v>9.01</v>
      </c>
      <c r="AZ3007">
        <v>9.31</v>
      </c>
      <c r="BA3007">
        <v>1.64</v>
      </c>
      <c r="BB3007" t="s">
        <v>143</v>
      </c>
      <c r="BF3007">
        <v>0.32</v>
      </c>
      <c r="BG3007">
        <v>-3.48</v>
      </c>
      <c r="BH3007">
        <v>-5.43</v>
      </c>
      <c r="BI3007">
        <v>0.41</v>
      </c>
      <c r="BJ3007">
        <v>20210830</v>
      </c>
      <c r="BK3007">
        <v>19940103</v>
      </c>
      <c r="BL3007">
        <v>20.97</v>
      </c>
      <c r="BM3007">
        <v>7.35</v>
      </c>
      <c r="BN3007" t="s">
        <v>120</v>
      </c>
      <c r="BO3007">
        <v>445.33</v>
      </c>
      <c r="BP3007">
        <v>24.4</v>
      </c>
      <c r="BQ3007">
        <v>237.73</v>
      </c>
      <c r="BR3007">
        <v>22.57</v>
      </c>
      <c r="BS3007">
        <v>41.55</v>
      </c>
      <c r="BT3007">
        <v>137.32</v>
      </c>
      <c r="BU3007">
        <v>194.82</v>
      </c>
      <c r="BV3007">
        <v>45.05</v>
      </c>
      <c r="BW3007">
        <v>116.92</v>
      </c>
      <c r="BX3007">
        <v>74.3</v>
      </c>
      <c r="BY3007">
        <v>28.98</v>
      </c>
      <c r="BZ3007">
        <v>10.67</v>
      </c>
      <c r="CA3007" t="s">
        <v>120</v>
      </c>
      <c r="CB3007">
        <v>20.04</v>
      </c>
      <c r="CC3007">
        <v>147.44</v>
      </c>
      <c r="CD3007">
        <v>93.08</v>
      </c>
      <c r="CE3007">
        <v>33.94</v>
      </c>
      <c r="CF3007">
        <v>0.28000000000000003</v>
      </c>
      <c r="CG3007">
        <v>33.770000000000003</v>
      </c>
      <c r="CH3007">
        <v>26.66</v>
      </c>
      <c r="CI3007">
        <v>24.38</v>
      </c>
      <c r="CJ3007">
        <v>-0.6</v>
      </c>
      <c r="CK3007">
        <v>23.96</v>
      </c>
      <c r="CL3007">
        <v>194.8</v>
      </c>
      <c r="CM3007">
        <v>22.92</v>
      </c>
      <c r="CN3007">
        <v>-11.81</v>
      </c>
      <c r="CO3007">
        <v>92942</v>
      </c>
      <c r="CP3007">
        <v>14065</v>
      </c>
      <c r="CQ3007" t="s">
        <v>13180</v>
      </c>
      <c r="CR3007">
        <v>8.27</v>
      </c>
      <c r="CS3007">
        <v>17.350000000000001</v>
      </c>
      <c r="CT3007">
        <v>2.15</v>
      </c>
      <c r="CU3007">
        <v>22.32</v>
      </c>
      <c r="CV3007">
        <v>3.47</v>
      </c>
      <c r="CW3007">
        <v>4.32</v>
      </c>
      <c r="CX3007" t="s">
        <v>6435</v>
      </c>
      <c r="CY3007">
        <v>11.34</v>
      </c>
      <c r="CZ3007">
        <v>0</v>
      </c>
      <c r="DA3007">
        <v>0.96</v>
      </c>
      <c r="DB3007">
        <v>9.2899999999999991</v>
      </c>
      <c r="DC3007">
        <v>1.0900000000000001</v>
      </c>
      <c r="DD3007">
        <v>53.38</v>
      </c>
      <c r="DE3007" t="s">
        <v>3570</v>
      </c>
      <c r="DF3007">
        <v>36.869999999999997</v>
      </c>
      <c r="DG3007">
        <v>23.02</v>
      </c>
      <c r="DH3007">
        <v>16.54</v>
      </c>
      <c r="DI3007">
        <v>0.23</v>
      </c>
      <c r="DJ3007">
        <v>16860</v>
      </c>
      <c r="DK3007">
        <v>600801</v>
      </c>
      <c r="DL3007" t="s">
        <v>120</v>
      </c>
      <c r="DM3007" t="s">
        <v>120</v>
      </c>
      <c r="DN3007" t="s">
        <v>120</v>
      </c>
    </row>
    <row r="3008" spans="1:118">
      <c r="A3008" t="str">
        <f>"600802"</f>
        <v>600802</v>
      </c>
      <c r="B3008" t="s">
        <v>13181</v>
      </c>
      <c r="C3008">
        <v>-0.47</v>
      </c>
      <c r="D3008">
        <v>-0.23</v>
      </c>
      <c r="E3008">
        <v>0</v>
      </c>
      <c r="F3008">
        <v>3242</v>
      </c>
      <c r="G3008" t="s">
        <v>13182</v>
      </c>
      <c r="H3008">
        <v>19662.95</v>
      </c>
      <c r="I3008">
        <v>70.13</v>
      </c>
      <c r="J3008" t="s">
        <v>120</v>
      </c>
      <c r="K3008" t="s">
        <v>9261</v>
      </c>
      <c r="L3008">
        <v>4.97</v>
      </c>
      <c r="M3008">
        <v>8.4600000000000009</v>
      </c>
      <c r="N3008">
        <v>0.54</v>
      </c>
      <c r="O3008">
        <v>3.76</v>
      </c>
      <c r="P3008">
        <v>8.82</v>
      </c>
      <c r="Q3008">
        <v>-0.82</v>
      </c>
      <c r="R3008">
        <v>8.43</v>
      </c>
      <c r="S3008">
        <v>8.5</v>
      </c>
      <c r="T3008">
        <v>227707</v>
      </c>
      <c r="U3008">
        <v>8.4700000000000006</v>
      </c>
      <c r="V3008">
        <v>8.5</v>
      </c>
      <c r="W3008">
        <v>9.0500000000000007</v>
      </c>
      <c r="X3008" t="s">
        <v>653</v>
      </c>
      <c r="Y3008" t="s">
        <v>937</v>
      </c>
      <c r="Z3008">
        <v>4.59</v>
      </c>
      <c r="AA3008">
        <v>8.64</v>
      </c>
      <c r="AB3008">
        <v>110578</v>
      </c>
      <c r="AC3008">
        <v>117129</v>
      </c>
      <c r="AD3008">
        <v>0.94</v>
      </c>
      <c r="AE3008">
        <v>285</v>
      </c>
      <c r="AF3008">
        <v>12</v>
      </c>
      <c r="AG3008" t="s">
        <v>120</v>
      </c>
      <c r="AH3008">
        <v>0.03</v>
      </c>
      <c r="AI3008" t="s">
        <v>120</v>
      </c>
      <c r="AJ3008">
        <v>4.58</v>
      </c>
      <c r="AK3008" t="s">
        <v>9261</v>
      </c>
      <c r="AL3008">
        <v>0.87</v>
      </c>
      <c r="AM3008">
        <v>3646</v>
      </c>
      <c r="AN3008">
        <v>62</v>
      </c>
      <c r="AO3008">
        <v>1.4E-3</v>
      </c>
      <c r="AP3008">
        <v>-3</v>
      </c>
      <c r="AQ3008">
        <v>-1.1599999999999999</v>
      </c>
      <c r="AR3008">
        <v>-2.2999999999999998</v>
      </c>
      <c r="AS3008">
        <v>18.649999999999999</v>
      </c>
      <c r="AT3008">
        <v>22.25</v>
      </c>
      <c r="AU3008">
        <v>4.7</v>
      </c>
      <c r="AV3008">
        <v>1</v>
      </c>
      <c r="AW3008">
        <v>7.3</v>
      </c>
      <c r="AX3008">
        <v>68.05</v>
      </c>
      <c r="AY3008">
        <v>13.38</v>
      </c>
      <c r="AZ3008">
        <v>14.02</v>
      </c>
      <c r="BA3008">
        <v>0.91</v>
      </c>
      <c r="BB3008" t="s">
        <v>143</v>
      </c>
      <c r="BF3008">
        <v>1.59</v>
      </c>
      <c r="BG3008">
        <v>-0.47</v>
      </c>
      <c r="BH3008">
        <v>-4.08</v>
      </c>
      <c r="BI3008">
        <v>0.36</v>
      </c>
      <c r="BJ3008">
        <v>20210824</v>
      </c>
      <c r="BK3008">
        <v>19940103</v>
      </c>
      <c r="BL3008">
        <v>4.58</v>
      </c>
      <c r="BM3008" t="s">
        <v>120</v>
      </c>
      <c r="BN3008" t="s">
        <v>120</v>
      </c>
      <c r="BO3008">
        <v>46.99</v>
      </c>
      <c r="BP3008">
        <v>8.4600000000000009</v>
      </c>
      <c r="BQ3008">
        <v>18.760000000000002</v>
      </c>
      <c r="BR3008">
        <v>1.02</v>
      </c>
      <c r="BS3008">
        <v>57.91</v>
      </c>
      <c r="BT3008">
        <v>8.8800000000000008</v>
      </c>
      <c r="BU3008">
        <v>19.84</v>
      </c>
      <c r="BV3008">
        <v>3.67</v>
      </c>
      <c r="BW3008">
        <v>23.02</v>
      </c>
      <c r="BX3008">
        <v>3.7</v>
      </c>
      <c r="BY3008">
        <v>2.92</v>
      </c>
      <c r="BZ3008">
        <v>0.01</v>
      </c>
      <c r="CA3008">
        <v>0.08</v>
      </c>
      <c r="CB3008">
        <v>1.89</v>
      </c>
      <c r="CC3008">
        <v>14.76</v>
      </c>
      <c r="CD3008">
        <v>10.98</v>
      </c>
      <c r="CE3008">
        <v>2.65</v>
      </c>
      <c r="CF3008">
        <v>0.26</v>
      </c>
      <c r="CG3008">
        <v>2.66</v>
      </c>
      <c r="CH3008">
        <v>2.17</v>
      </c>
      <c r="CI3008">
        <v>2.14</v>
      </c>
      <c r="CJ3008">
        <v>-0.04</v>
      </c>
      <c r="CK3008">
        <v>2.04</v>
      </c>
      <c r="CL3008">
        <v>6.81</v>
      </c>
      <c r="CM3008">
        <v>1.1000000000000001</v>
      </c>
      <c r="CN3008">
        <v>-0.85</v>
      </c>
      <c r="CO3008">
        <v>54654</v>
      </c>
      <c r="CP3008">
        <v>5706</v>
      </c>
      <c r="CQ3008" t="s">
        <v>1174</v>
      </c>
      <c r="CR3008">
        <v>6.58</v>
      </c>
      <c r="CS3008">
        <v>15.95</v>
      </c>
      <c r="CT3008">
        <v>2.0699999999999998</v>
      </c>
      <c r="CU3008">
        <v>35.36</v>
      </c>
      <c r="CV3008">
        <v>2.63</v>
      </c>
      <c r="CW3008">
        <v>0.94</v>
      </c>
      <c r="CX3008" t="s">
        <v>1071</v>
      </c>
      <c r="CY3008">
        <v>4.09</v>
      </c>
      <c r="CZ3008">
        <v>0</v>
      </c>
      <c r="DA3008">
        <v>0.41</v>
      </c>
      <c r="DB3008">
        <v>1.49</v>
      </c>
      <c r="DC3008">
        <v>0.24</v>
      </c>
      <c r="DD3008">
        <v>39.909999999999997</v>
      </c>
      <c r="DE3008" t="s">
        <v>13183</v>
      </c>
      <c r="DF3008">
        <v>25.59</v>
      </c>
      <c r="DG3008">
        <v>17.97</v>
      </c>
      <c r="DH3008">
        <v>14.51</v>
      </c>
      <c r="DI3008" t="s">
        <v>120</v>
      </c>
      <c r="DJ3008">
        <v>1836</v>
      </c>
      <c r="DK3008">
        <v>600802</v>
      </c>
      <c r="DL3008" t="s">
        <v>120</v>
      </c>
      <c r="DM3008" t="s">
        <v>120</v>
      </c>
      <c r="DN3008" t="s">
        <v>120</v>
      </c>
    </row>
    <row r="3009" spans="1:118">
      <c r="A3009" t="str">
        <f>"600803"</f>
        <v>600803</v>
      </c>
      <c r="B3009" t="s">
        <v>13184</v>
      </c>
      <c r="C3009">
        <v>2.37</v>
      </c>
      <c r="D3009">
        <v>0</v>
      </c>
      <c r="E3009">
        <v>3.32</v>
      </c>
      <c r="F3009">
        <v>4935</v>
      </c>
      <c r="G3009" t="s">
        <v>13185</v>
      </c>
      <c r="H3009">
        <v>96222.399999999994</v>
      </c>
      <c r="I3009">
        <v>1007.58</v>
      </c>
      <c r="J3009" t="s">
        <v>120</v>
      </c>
      <c r="K3009" t="s">
        <v>13186</v>
      </c>
      <c r="L3009">
        <v>3.02</v>
      </c>
      <c r="M3009">
        <v>21.58</v>
      </c>
      <c r="N3009">
        <v>1.06</v>
      </c>
      <c r="O3009">
        <v>8.2100000000000009</v>
      </c>
      <c r="P3009">
        <v>22.81</v>
      </c>
      <c r="Q3009">
        <v>1.9</v>
      </c>
      <c r="R3009">
        <v>21.48</v>
      </c>
      <c r="S3009">
        <v>21.78</v>
      </c>
      <c r="T3009">
        <v>433530</v>
      </c>
      <c r="U3009">
        <v>21.58</v>
      </c>
      <c r="V3009">
        <v>21.08</v>
      </c>
      <c r="W3009">
        <v>14.78</v>
      </c>
      <c r="X3009" t="s">
        <v>684</v>
      </c>
      <c r="Y3009" t="s">
        <v>602</v>
      </c>
      <c r="Z3009">
        <v>6.31</v>
      </c>
      <c r="AA3009">
        <v>22.2</v>
      </c>
      <c r="AB3009">
        <v>187158</v>
      </c>
      <c r="AC3009">
        <v>246372</v>
      </c>
      <c r="AD3009">
        <v>0.76</v>
      </c>
      <c r="AE3009">
        <v>274</v>
      </c>
      <c r="AF3009">
        <v>164</v>
      </c>
      <c r="AG3009" t="s">
        <v>120</v>
      </c>
      <c r="AH3009">
        <v>0.06</v>
      </c>
      <c r="AI3009" t="s">
        <v>120</v>
      </c>
      <c r="AJ3009">
        <v>14.33</v>
      </c>
      <c r="AK3009" t="s">
        <v>13187</v>
      </c>
      <c r="AL3009">
        <v>3.72</v>
      </c>
      <c r="AM3009">
        <v>4534</v>
      </c>
      <c r="AN3009">
        <v>96</v>
      </c>
      <c r="AO3009">
        <v>6.9999999999999999E-4</v>
      </c>
      <c r="AP3009">
        <v>2</v>
      </c>
      <c r="AQ3009">
        <v>2.93</v>
      </c>
      <c r="AR3009">
        <v>4.25</v>
      </c>
      <c r="AS3009">
        <v>20.62</v>
      </c>
      <c r="AT3009">
        <v>30.71</v>
      </c>
      <c r="AU3009">
        <v>61.04</v>
      </c>
      <c r="AV3009">
        <v>2</v>
      </c>
      <c r="AW3009">
        <v>5.16</v>
      </c>
      <c r="AX3009">
        <v>29.51</v>
      </c>
      <c r="AY3009">
        <v>17.350000000000001</v>
      </c>
      <c r="AZ3009">
        <v>28.47</v>
      </c>
      <c r="BA3009">
        <v>0.76</v>
      </c>
      <c r="BB3009" t="s">
        <v>184</v>
      </c>
      <c r="BF3009">
        <v>5.29</v>
      </c>
      <c r="BG3009">
        <v>-0.92</v>
      </c>
      <c r="BH3009">
        <v>-5.39</v>
      </c>
      <c r="BI3009">
        <v>0.47</v>
      </c>
      <c r="BJ3009">
        <v>20210824</v>
      </c>
      <c r="BK3009">
        <v>19940103</v>
      </c>
      <c r="BL3009">
        <v>28.46</v>
      </c>
      <c r="BM3009" t="s">
        <v>120</v>
      </c>
      <c r="BN3009" t="s">
        <v>120</v>
      </c>
      <c r="BO3009">
        <v>1129.5899999999999</v>
      </c>
      <c r="BP3009">
        <v>21.57</v>
      </c>
      <c r="BQ3009">
        <v>126.47</v>
      </c>
      <c r="BR3009">
        <v>287.04000000000002</v>
      </c>
      <c r="BS3009">
        <v>63.39</v>
      </c>
      <c r="BT3009">
        <v>324.94</v>
      </c>
      <c r="BU3009">
        <v>517.1</v>
      </c>
      <c r="BV3009">
        <v>79.849999999999994</v>
      </c>
      <c r="BW3009">
        <v>444.81</v>
      </c>
      <c r="BX3009">
        <v>133.25</v>
      </c>
      <c r="BY3009">
        <v>21.68</v>
      </c>
      <c r="BZ3009">
        <v>42.02</v>
      </c>
      <c r="CA3009" t="s">
        <v>120</v>
      </c>
      <c r="CB3009">
        <v>27.22</v>
      </c>
      <c r="CC3009">
        <v>518.36</v>
      </c>
      <c r="CD3009">
        <v>426.4</v>
      </c>
      <c r="CE3009">
        <v>70.36</v>
      </c>
      <c r="CF3009">
        <v>6.04</v>
      </c>
      <c r="CG3009">
        <v>70.31</v>
      </c>
      <c r="CH3009">
        <v>54.79</v>
      </c>
      <c r="CI3009">
        <v>20.78</v>
      </c>
      <c r="CJ3009">
        <v>0.5</v>
      </c>
      <c r="CK3009">
        <v>17.27</v>
      </c>
      <c r="CL3009">
        <v>69.16</v>
      </c>
      <c r="CM3009">
        <v>51.69</v>
      </c>
      <c r="CN3009">
        <v>8.81</v>
      </c>
      <c r="CO3009">
        <v>18847</v>
      </c>
      <c r="CP3009">
        <v>44565</v>
      </c>
      <c r="CQ3009" t="s">
        <v>13188</v>
      </c>
      <c r="CR3009">
        <v>185.57</v>
      </c>
      <c r="CS3009">
        <v>34.83</v>
      </c>
      <c r="CT3009">
        <v>4.8600000000000003</v>
      </c>
      <c r="CU3009">
        <v>11.88</v>
      </c>
      <c r="CV3009">
        <v>1.18</v>
      </c>
      <c r="CW3009">
        <v>0.9</v>
      </c>
      <c r="CX3009" t="s">
        <v>10740</v>
      </c>
      <c r="CY3009">
        <v>4.4400000000000004</v>
      </c>
      <c r="CZ3009">
        <v>0</v>
      </c>
      <c r="DA3009">
        <v>0.96</v>
      </c>
      <c r="DB3009">
        <v>2.4300000000000002</v>
      </c>
      <c r="DC3009">
        <v>1.82</v>
      </c>
      <c r="DD3009">
        <v>11.2</v>
      </c>
      <c r="DE3009" t="s">
        <v>5356</v>
      </c>
      <c r="DF3009">
        <v>17.739999999999998</v>
      </c>
      <c r="DG3009">
        <v>13.57</v>
      </c>
      <c r="DH3009">
        <v>4.01</v>
      </c>
      <c r="DI3009">
        <v>3.25</v>
      </c>
      <c r="DJ3009">
        <v>39282</v>
      </c>
      <c r="DK3009">
        <v>600803</v>
      </c>
      <c r="DL3009" t="s">
        <v>120</v>
      </c>
      <c r="DM3009" t="s">
        <v>120</v>
      </c>
      <c r="DN3009" t="s">
        <v>120</v>
      </c>
    </row>
    <row r="3010" spans="1:118">
      <c r="A3010" t="str">
        <f>"600804"</f>
        <v>600804</v>
      </c>
      <c r="B3010" t="s">
        <v>13189</v>
      </c>
      <c r="C3010">
        <v>-6.75</v>
      </c>
      <c r="D3010">
        <v>0.15</v>
      </c>
      <c r="E3010">
        <v>0.14000000000000001</v>
      </c>
      <c r="F3010">
        <v>21816</v>
      </c>
      <c r="G3010" t="s">
        <v>13190</v>
      </c>
      <c r="H3010">
        <v>58945.96</v>
      </c>
      <c r="I3010">
        <v>257.58</v>
      </c>
      <c r="J3010" t="s">
        <v>120</v>
      </c>
      <c r="K3010" t="s">
        <v>13191</v>
      </c>
      <c r="L3010">
        <v>5.85</v>
      </c>
      <c r="M3010">
        <v>6.77</v>
      </c>
      <c r="N3010">
        <v>0.73</v>
      </c>
      <c r="O3010">
        <v>0.14000000000000001</v>
      </c>
      <c r="P3010">
        <v>7.27</v>
      </c>
      <c r="Q3010">
        <v>-7.02</v>
      </c>
      <c r="R3010">
        <v>6.75</v>
      </c>
      <c r="S3010">
        <v>7.27</v>
      </c>
      <c r="T3010">
        <v>838153</v>
      </c>
      <c r="U3010">
        <v>6.78</v>
      </c>
      <c r="V3010">
        <v>7.26</v>
      </c>
      <c r="W3010">
        <v>4.84</v>
      </c>
      <c r="X3010" t="s">
        <v>3322</v>
      </c>
      <c r="Y3010" t="s">
        <v>578</v>
      </c>
      <c r="Z3010">
        <v>7.16</v>
      </c>
      <c r="AA3010">
        <v>7.03</v>
      </c>
      <c r="AB3010">
        <v>484030</v>
      </c>
      <c r="AC3010">
        <v>354123</v>
      </c>
      <c r="AD3010">
        <v>1.37</v>
      </c>
      <c r="AE3010">
        <v>2021</v>
      </c>
      <c r="AF3010">
        <v>877</v>
      </c>
      <c r="AG3010" t="s">
        <v>120</v>
      </c>
      <c r="AH3010">
        <v>0.03</v>
      </c>
      <c r="AI3010" t="s">
        <v>120</v>
      </c>
      <c r="AJ3010">
        <v>14.32</v>
      </c>
      <c r="AK3010" t="s">
        <v>13191</v>
      </c>
      <c r="AL3010">
        <v>-5.41</v>
      </c>
      <c r="AM3010">
        <v>4448</v>
      </c>
      <c r="AN3010">
        <v>188</v>
      </c>
      <c r="AO3010">
        <v>1.2999999999999999E-3</v>
      </c>
      <c r="AP3010">
        <v>-1</v>
      </c>
      <c r="AQ3010">
        <v>1.82</v>
      </c>
      <c r="AR3010">
        <v>-0.73</v>
      </c>
      <c r="AS3010">
        <v>37.32</v>
      </c>
      <c r="AT3010">
        <v>36.49</v>
      </c>
      <c r="AU3010">
        <v>0.75</v>
      </c>
      <c r="AV3010">
        <v>5</v>
      </c>
      <c r="AW3010">
        <v>6.78</v>
      </c>
      <c r="AX3010">
        <v>86.35</v>
      </c>
      <c r="AY3010">
        <v>13.36</v>
      </c>
      <c r="AZ3010">
        <v>103.07</v>
      </c>
      <c r="BA3010">
        <v>1.03</v>
      </c>
      <c r="BB3010" t="s">
        <v>168</v>
      </c>
      <c r="BF3010">
        <v>-3.13</v>
      </c>
      <c r="BG3010">
        <v>-6.88</v>
      </c>
      <c r="BH3010">
        <v>-6.88</v>
      </c>
      <c r="BI3010">
        <v>0.3</v>
      </c>
      <c r="BJ3010">
        <v>20210827</v>
      </c>
      <c r="BK3010">
        <v>19940103</v>
      </c>
      <c r="BL3010">
        <v>14.32</v>
      </c>
      <c r="BM3010" t="s">
        <v>120</v>
      </c>
      <c r="BN3010" t="s">
        <v>120</v>
      </c>
      <c r="BO3010">
        <v>122.65</v>
      </c>
      <c r="BP3010">
        <v>6.77</v>
      </c>
      <c r="BQ3010">
        <v>19.12</v>
      </c>
      <c r="BR3010">
        <v>0.78</v>
      </c>
      <c r="BS3010">
        <v>83.78</v>
      </c>
      <c r="BT3010">
        <v>35.69</v>
      </c>
      <c r="BU3010">
        <v>21</v>
      </c>
      <c r="BV3010">
        <v>1.1200000000000001</v>
      </c>
      <c r="BW3010">
        <v>74.099999999999994</v>
      </c>
      <c r="BX3010">
        <v>6.5</v>
      </c>
      <c r="BY3010">
        <v>0.15</v>
      </c>
      <c r="BZ3010">
        <v>5.28</v>
      </c>
      <c r="CA3010" t="s">
        <v>120</v>
      </c>
      <c r="CB3010">
        <v>24.3</v>
      </c>
      <c r="CC3010">
        <v>21.43</v>
      </c>
      <c r="CD3010">
        <v>14.07</v>
      </c>
      <c r="CE3010">
        <v>9.6999999999999993</v>
      </c>
      <c r="CF3010">
        <v>0.79</v>
      </c>
      <c r="CG3010">
        <v>9.6199999999999992</v>
      </c>
      <c r="CH3010">
        <v>10</v>
      </c>
      <c r="CI3010">
        <v>10.029999999999999</v>
      </c>
      <c r="CJ3010">
        <v>-0.49</v>
      </c>
      <c r="CK3010">
        <v>0.28000000000000003</v>
      </c>
      <c r="CL3010">
        <v>-16.07</v>
      </c>
      <c r="CM3010">
        <v>3.74</v>
      </c>
      <c r="CN3010">
        <v>3.38</v>
      </c>
      <c r="CO3010">
        <v>130293</v>
      </c>
      <c r="CP3010">
        <v>9493</v>
      </c>
      <c r="CQ3010" t="s">
        <v>5423</v>
      </c>
      <c r="CR3010">
        <v>208.29</v>
      </c>
      <c r="CS3010">
        <v>-24.82</v>
      </c>
      <c r="CT3010">
        <v>5.07</v>
      </c>
      <c r="CU3010">
        <v>25.9</v>
      </c>
      <c r="CV3010">
        <v>4.5199999999999996</v>
      </c>
      <c r="CW3010">
        <v>0</v>
      </c>
      <c r="CX3010" t="s">
        <v>3301</v>
      </c>
      <c r="CY3010">
        <v>1.33</v>
      </c>
      <c r="CZ3010">
        <v>0</v>
      </c>
      <c r="DA3010">
        <v>1.7</v>
      </c>
      <c r="DB3010">
        <v>-1.1200000000000001</v>
      </c>
      <c r="DC3010">
        <v>0.26</v>
      </c>
      <c r="DD3010">
        <v>15.59</v>
      </c>
      <c r="DE3010" t="s">
        <v>13192</v>
      </c>
      <c r="DF3010">
        <v>34.36</v>
      </c>
      <c r="DG3010">
        <v>45.25</v>
      </c>
      <c r="DH3010">
        <v>46.78</v>
      </c>
      <c r="DI3010">
        <v>0.54</v>
      </c>
      <c r="DJ3010">
        <v>5287</v>
      </c>
      <c r="DK3010">
        <v>600804</v>
      </c>
      <c r="DL3010">
        <v>20210901</v>
      </c>
      <c r="DM3010">
        <v>6.59</v>
      </c>
      <c r="DN3010">
        <v>2.73</v>
      </c>
    </row>
    <row r="3011" spans="1:118">
      <c r="A3011" t="str">
        <f>"600805"</f>
        <v>600805</v>
      </c>
      <c r="B3011" t="s">
        <v>13193</v>
      </c>
      <c r="C3011">
        <v>-3.5</v>
      </c>
      <c r="D3011">
        <v>-0.23</v>
      </c>
      <c r="E3011">
        <v>-1.17</v>
      </c>
      <c r="F3011">
        <v>1343</v>
      </c>
      <c r="G3011" t="s">
        <v>7239</v>
      </c>
      <c r="H3011">
        <v>4080.08</v>
      </c>
      <c r="I3011">
        <v>46.02</v>
      </c>
      <c r="J3011" t="s">
        <v>120</v>
      </c>
      <c r="K3011" t="s">
        <v>6521</v>
      </c>
      <c r="L3011">
        <v>1.1399999999999999</v>
      </c>
      <c r="M3011">
        <v>4.13</v>
      </c>
      <c r="N3011">
        <v>0.93</v>
      </c>
      <c r="O3011">
        <v>-0.23</v>
      </c>
      <c r="P3011">
        <v>4.2699999999999996</v>
      </c>
      <c r="Q3011">
        <v>-3.5</v>
      </c>
      <c r="R3011">
        <v>4.13</v>
      </c>
      <c r="S3011">
        <v>4.2300000000000004</v>
      </c>
      <c r="T3011">
        <v>97190</v>
      </c>
      <c r="U3011">
        <v>4.1399999999999997</v>
      </c>
      <c r="V3011">
        <v>4.28</v>
      </c>
      <c r="W3011" t="s">
        <v>120</v>
      </c>
      <c r="X3011" t="s">
        <v>166</v>
      </c>
      <c r="Y3011" t="s">
        <v>319</v>
      </c>
      <c r="Z3011">
        <v>3.27</v>
      </c>
      <c r="AA3011">
        <v>4.2</v>
      </c>
      <c r="AB3011">
        <v>62886</v>
      </c>
      <c r="AC3011">
        <v>34304</v>
      </c>
      <c r="AD3011">
        <v>1.83</v>
      </c>
      <c r="AE3011">
        <v>199</v>
      </c>
      <c r="AF3011">
        <v>126</v>
      </c>
      <c r="AG3011" t="s">
        <v>120</v>
      </c>
      <c r="AH3011">
        <v>0.02</v>
      </c>
      <c r="AI3011" t="s">
        <v>120</v>
      </c>
      <c r="AJ3011">
        <v>8.5</v>
      </c>
      <c r="AK3011" t="s">
        <v>12235</v>
      </c>
      <c r="AL3011">
        <v>-2.16</v>
      </c>
      <c r="AM3011">
        <v>2246</v>
      </c>
      <c r="AN3011">
        <v>43</v>
      </c>
      <c r="AO3011">
        <v>5.0000000000000001E-4</v>
      </c>
      <c r="AP3011">
        <v>-1</v>
      </c>
      <c r="AQ3011">
        <v>5.94</v>
      </c>
      <c r="AR3011">
        <v>0.24</v>
      </c>
      <c r="AS3011">
        <v>12.53</v>
      </c>
      <c r="AT3011">
        <v>8.4</v>
      </c>
      <c r="AU3011">
        <v>-8.2200000000000006</v>
      </c>
      <c r="AV3011">
        <v>4</v>
      </c>
      <c r="AW3011">
        <v>1.68</v>
      </c>
      <c r="AX3011">
        <v>67.930000000000007</v>
      </c>
      <c r="AY3011" t="s">
        <v>120</v>
      </c>
      <c r="AZ3011" t="s">
        <v>120</v>
      </c>
      <c r="BA3011">
        <v>0.67</v>
      </c>
      <c r="BB3011" t="s">
        <v>168</v>
      </c>
      <c r="BF3011">
        <v>-1.92</v>
      </c>
      <c r="BG3011">
        <v>-2.36</v>
      </c>
      <c r="BH3011">
        <v>-3.28</v>
      </c>
      <c r="BI3011">
        <v>0</v>
      </c>
      <c r="BJ3011">
        <v>20210821</v>
      </c>
      <c r="BK3011">
        <v>19940103</v>
      </c>
      <c r="BL3011">
        <v>8.51</v>
      </c>
      <c r="BM3011" t="s">
        <v>120</v>
      </c>
      <c r="BN3011" t="s">
        <v>120</v>
      </c>
      <c r="BO3011">
        <v>92.98</v>
      </c>
      <c r="BP3011">
        <v>4.13</v>
      </c>
      <c r="BQ3011">
        <v>45.82</v>
      </c>
      <c r="BR3011">
        <v>5.38</v>
      </c>
      <c r="BS3011">
        <v>44.94</v>
      </c>
      <c r="BT3011">
        <v>34.369999999999997</v>
      </c>
      <c r="BU3011">
        <v>9.6300000000000008</v>
      </c>
      <c r="BV3011">
        <v>4.92</v>
      </c>
      <c r="BW3011">
        <v>34.869999999999997</v>
      </c>
      <c r="BX3011">
        <v>9.01</v>
      </c>
      <c r="BY3011">
        <v>7.14</v>
      </c>
      <c r="BZ3011">
        <v>4.67</v>
      </c>
      <c r="CA3011" t="s">
        <v>120</v>
      </c>
      <c r="CB3011">
        <v>2.82</v>
      </c>
      <c r="CC3011">
        <v>18.66</v>
      </c>
      <c r="CD3011">
        <v>16.38</v>
      </c>
      <c r="CE3011">
        <v>-3.59</v>
      </c>
      <c r="CF3011">
        <v>-2.67</v>
      </c>
      <c r="CG3011">
        <v>-3.33</v>
      </c>
      <c r="CH3011">
        <v>-3.49</v>
      </c>
      <c r="CI3011">
        <v>-3.53</v>
      </c>
      <c r="CJ3011">
        <v>-0.15</v>
      </c>
      <c r="CK3011">
        <v>-4.07</v>
      </c>
      <c r="CL3011">
        <v>27.54</v>
      </c>
      <c r="CM3011">
        <v>-1.26</v>
      </c>
      <c r="CN3011">
        <v>-3.85</v>
      </c>
      <c r="CO3011">
        <v>42533</v>
      </c>
      <c r="CP3011">
        <v>13590</v>
      </c>
      <c r="CQ3011" t="s">
        <v>4267</v>
      </c>
      <c r="CR3011">
        <v>-1.67</v>
      </c>
      <c r="CS3011">
        <v>82.01</v>
      </c>
      <c r="CT3011">
        <v>0.77</v>
      </c>
      <c r="CU3011">
        <v>-27.8</v>
      </c>
      <c r="CV3011">
        <v>1.88</v>
      </c>
      <c r="CW3011">
        <v>0</v>
      </c>
      <c r="CX3011" t="s">
        <v>13194</v>
      </c>
      <c r="CY3011">
        <v>5.38</v>
      </c>
      <c r="CZ3011">
        <v>0</v>
      </c>
      <c r="DA3011">
        <v>0.33</v>
      </c>
      <c r="DB3011">
        <v>3.24</v>
      </c>
      <c r="DC3011">
        <v>-0.15</v>
      </c>
      <c r="DD3011">
        <v>49.27</v>
      </c>
      <c r="DE3011" t="s">
        <v>13195</v>
      </c>
      <c r="DF3011">
        <v>12.19</v>
      </c>
      <c r="DG3011">
        <v>-19.260000000000002</v>
      </c>
      <c r="DH3011">
        <v>-18.899999999999999</v>
      </c>
      <c r="DI3011">
        <v>0.16</v>
      </c>
      <c r="DJ3011">
        <v>4320</v>
      </c>
      <c r="DK3011">
        <v>600805</v>
      </c>
      <c r="DL3011" t="s">
        <v>120</v>
      </c>
      <c r="DM3011" t="s">
        <v>120</v>
      </c>
      <c r="DN3011" t="s">
        <v>120</v>
      </c>
    </row>
    <row r="3012" spans="1:118">
      <c r="A3012" t="str">
        <f>"600807"</f>
        <v>600807</v>
      </c>
      <c r="B3012" t="s">
        <v>13196</v>
      </c>
      <c r="C3012">
        <v>-2.52</v>
      </c>
      <c r="D3012">
        <v>0.65</v>
      </c>
      <c r="E3012">
        <v>0</v>
      </c>
      <c r="F3012">
        <v>2809</v>
      </c>
      <c r="G3012" t="s">
        <v>13197</v>
      </c>
      <c r="H3012">
        <v>3090.94</v>
      </c>
      <c r="I3012">
        <v>1.18</v>
      </c>
      <c r="J3012" t="s">
        <v>120</v>
      </c>
      <c r="K3012" t="s">
        <v>6959</v>
      </c>
      <c r="L3012">
        <v>1.26</v>
      </c>
      <c r="M3012">
        <v>3.1</v>
      </c>
      <c r="N3012">
        <v>0.7</v>
      </c>
      <c r="O3012">
        <v>0</v>
      </c>
      <c r="P3012">
        <v>3.18</v>
      </c>
      <c r="Q3012">
        <v>-3.46</v>
      </c>
      <c r="R3012">
        <v>3.07</v>
      </c>
      <c r="S3012">
        <v>3.18</v>
      </c>
      <c r="T3012">
        <v>99205</v>
      </c>
      <c r="U3012">
        <v>3.1</v>
      </c>
      <c r="V3012">
        <v>3.18</v>
      </c>
      <c r="W3012" t="s">
        <v>120</v>
      </c>
      <c r="X3012" t="s">
        <v>150</v>
      </c>
      <c r="Y3012" t="s">
        <v>638</v>
      </c>
      <c r="Z3012">
        <v>3.46</v>
      </c>
      <c r="AA3012">
        <v>3.12</v>
      </c>
      <c r="AB3012">
        <v>60492</v>
      </c>
      <c r="AC3012">
        <v>38713</v>
      </c>
      <c r="AD3012">
        <v>1.56</v>
      </c>
      <c r="AE3012">
        <v>269</v>
      </c>
      <c r="AF3012">
        <v>2488</v>
      </c>
      <c r="AG3012" t="s">
        <v>120</v>
      </c>
      <c r="AH3012">
        <v>0</v>
      </c>
      <c r="AI3012" t="s">
        <v>120</v>
      </c>
      <c r="AJ3012">
        <v>7.87</v>
      </c>
      <c r="AK3012" t="s">
        <v>9070</v>
      </c>
      <c r="AL3012">
        <v>-1.17</v>
      </c>
      <c r="AM3012">
        <v>1487</v>
      </c>
      <c r="AN3012">
        <v>67</v>
      </c>
      <c r="AO3012">
        <v>8.0000000000000004E-4</v>
      </c>
      <c r="AP3012">
        <v>-1</v>
      </c>
      <c r="AQ3012">
        <v>0.63</v>
      </c>
      <c r="AR3012">
        <v>-3.73</v>
      </c>
      <c r="AS3012">
        <v>4.38</v>
      </c>
      <c r="AT3012">
        <v>1.98</v>
      </c>
      <c r="AU3012">
        <v>-13.16</v>
      </c>
      <c r="AV3012">
        <v>8</v>
      </c>
      <c r="AW3012">
        <v>1.71</v>
      </c>
      <c r="AX3012">
        <v>65.45</v>
      </c>
      <c r="AY3012" t="s">
        <v>120</v>
      </c>
      <c r="AZ3012" t="s">
        <v>120</v>
      </c>
      <c r="BA3012">
        <v>0.45</v>
      </c>
      <c r="BB3012" t="s">
        <v>143</v>
      </c>
      <c r="BF3012">
        <v>-2.02</v>
      </c>
      <c r="BG3012">
        <v>-2.52</v>
      </c>
      <c r="BH3012">
        <v>-2.52</v>
      </c>
      <c r="BI3012">
        <v>0.98</v>
      </c>
      <c r="BJ3012">
        <v>20210901</v>
      </c>
      <c r="BK3012">
        <v>19940103</v>
      </c>
      <c r="BL3012">
        <v>8.85</v>
      </c>
      <c r="BM3012" t="s">
        <v>120</v>
      </c>
      <c r="BN3012" t="s">
        <v>120</v>
      </c>
      <c r="BO3012">
        <v>48.38</v>
      </c>
      <c r="BP3012">
        <v>3.08</v>
      </c>
      <c r="BQ3012">
        <v>3.22</v>
      </c>
      <c r="BR3012">
        <v>1.66</v>
      </c>
      <c r="BS3012">
        <v>89.92</v>
      </c>
      <c r="BT3012">
        <v>23.83</v>
      </c>
      <c r="BU3012">
        <v>0.99</v>
      </c>
      <c r="BV3012">
        <v>4.28</v>
      </c>
      <c r="BW3012">
        <v>29.36</v>
      </c>
      <c r="BX3012">
        <v>1.98</v>
      </c>
      <c r="BY3012">
        <v>10.029999999999999</v>
      </c>
      <c r="BZ3012">
        <v>4</v>
      </c>
      <c r="CA3012" t="s">
        <v>120</v>
      </c>
      <c r="CB3012">
        <v>11.83</v>
      </c>
      <c r="CC3012">
        <v>4.76</v>
      </c>
      <c r="CD3012">
        <v>3.25</v>
      </c>
      <c r="CE3012">
        <v>-0.95</v>
      </c>
      <c r="CF3012">
        <v>0.36</v>
      </c>
      <c r="CG3012">
        <v>-1.32</v>
      </c>
      <c r="CH3012">
        <v>-1.34</v>
      </c>
      <c r="CI3012">
        <v>-1.38</v>
      </c>
      <c r="CJ3012">
        <v>-0.08</v>
      </c>
      <c r="CK3012">
        <v>0.6</v>
      </c>
      <c r="CL3012">
        <v>-15</v>
      </c>
      <c r="CM3012">
        <v>-1.43</v>
      </c>
      <c r="CN3012">
        <v>-2.1</v>
      </c>
      <c r="CO3012">
        <v>40300</v>
      </c>
      <c r="CP3012">
        <v>14367</v>
      </c>
      <c r="CQ3012" t="s">
        <v>3827</v>
      </c>
      <c r="CR3012">
        <v>-393.22</v>
      </c>
      <c r="CS3012">
        <v>25.05</v>
      </c>
      <c r="CT3012">
        <v>8.52</v>
      </c>
      <c r="CU3012">
        <v>-19.16</v>
      </c>
      <c r="CV3012">
        <v>5.76</v>
      </c>
      <c r="CW3012">
        <v>0</v>
      </c>
      <c r="CX3012" t="s">
        <v>893</v>
      </c>
      <c r="CY3012">
        <v>0.36</v>
      </c>
      <c r="CZ3012">
        <v>0</v>
      </c>
      <c r="DA3012">
        <v>1.34</v>
      </c>
      <c r="DB3012">
        <v>-1.7</v>
      </c>
      <c r="DC3012">
        <v>-0.16</v>
      </c>
      <c r="DD3012">
        <v>6.65</v>
      </c>
      <c r="DE3012" t="s">
        <v>13198</v>
      </c>
      <c r="DF3012">
        <v>31.75</v>
      </c>
      <c r="DG3012">
        <v>-19.920000000000002</v>
      </c>
      <c r="DH3012">
        <v>-28.89</v>
      </c>
      <c r="DI3012">
        <v>0.05</v>
      </c>
      <c r="DJ3012">
        <v>974</v>
      </c>
      <c r="DK3012">
        <v>600807</v>
      </c>
      <c r="DL3012" t="s">
        <v>120</v>
      </c>
      <c r="DM3012" t="s">
        <v>120</v>
      </c>
      <c r="DN3012" t="s">
        <v>120</v>
      </c>
    </row>
    <row r="3013" spans="1:118">
      <c r="A3013" t="str">
        <f>"600808"</f>
        <v>600808</v>
      </c>
      <c r="B3013" t="s">
        <v>13199</v>
      </c>
      <c r="C3013">
        <v>-2.66</v>
      </c>
      <c r="D3013">
        <v>-0.79</v>
      </c>
      <c r="E3013">
        <v>2.66</v>
      </c>
      <c r="F3013">
        <v>33836</v>
      </c>
      <c r="G3013" t="s">
        <v>13200</v>
      </c>
      <c r="H3013">
        <v>55290.07</v>
      </c>
      <c r="I3013">
        <v>348.21</v>
      </c>
      <c r="J3013" t="s">
        <v>120</v>
      </c>
      <c r="K3013" t="s">
        <v>13201</v>
      </c>
      <c r="L3013">
        <v>1.43</v>
      </c>
      <c r="M3013">
        <v>6.23</v>
      </c>
      <c r="N3013">
        <v>0.75</v>
      </c>
      <c r="O3013">
        <v>3.91</v>
      </c>
      <c r="P3013">
        <v>6.65</v>
      </c>
      <c r="Q3013">
        <v>-2.66</v>
      </c>
      <c r="R3013">
        <v>6.23</v>
      </c>
      <c r="S3013">
        <v>6.57</v>
      </c>
      <c r="T3013">
        <v>854258</v>
      </c>
      <c r="U3013">
        <v>6.24</v>
      </c>
      <c r="V3013">
        <v>6.4</v>
      </c>
      <c r="W3013">
        <v>5.17</v>
      </c>
      <c r="X3013" t="s">
        <v>1460</v>
      </c>
      <c r="Y3013" t="s">
        <v>570</v>
      </c>
      <c r="Z3013">
        <v>6.56</v>
      </c>
      <c r="AA3013">
        <v>6.47</v>
      </c>
      <c r="AB3013">
        <v>470528</v>
      </c>
      <c r="AC3013">
        <v>383730</v>
      </c>
      <c r="AD3013">
        <v>1.23</v>
      </c>
      <c r="AE3013">
        <v>3621</v>
      </c>
      <c r="AF3013">
        <v>1</v>
      </c>
      <c r="AG3013" t="s">
        <v>120</v>
      </c>
      <c r="AH3013">
        <v>0.02</v>
      </c>
      <c r="AI3013" t="s">
        <v>120</v>
      </c>
      <c r="AJ3013">
        <v>59.68</v>
      </c>
      <c r="AK3013" t="s">
        <v>13201</v>
      </c>
      <c r="AL3013">
        <v>-1.31</v>
      </c>
      <c r="AM3013">
        <v>4588</v>
      </c>
      <c r="AN3013">
        <v>186</v>
      </c>
      <c r="AO3013">
        <v>2.9999999999999997E-4</v>
      </c>
      <c r="AP3013">
        <v>-1</v>
      </c>
      <c r="AQ3013">
        <v>0.16</v>
      </c>
      <c r="AR3013">
        <v>-5.17</v>
      </c>
      <c r="AS3013">
        <v>26.37</v>
      </c>
      <c r="AT3013">
        <v>76.48</v>
      </c>
      <c r="AU3013">
        <v>146.24</v>
      </c>
      <c r="AV3013">
        <v>3</v>
      </c>
      <c r="AW3013">
        <v>3.71</v>
      </c>
      <c r="AX3013">
        <v>38.590000000000003</v>
      </c>
      <c r="AY3013">
        <v>8.48</v>
      </c>
      <c r="AZ3013">
        <v>24.86</v>
      </c>
      <c r="BA3013">
        <v>0.87</v>
      </c>
      <c r="BB3013" t="s">
        <v>143</v>
      </c>
      <c r="BF3013">
        <v>1.1299999999999999</v>
      </c>
      <c r="BG3013">
        <v>-5.18</v>
      </c>
      <c r="BH3013">
        <v>-6.32</v>
      </c>
      <c r="BI3013">
        <v>0</v>
      </c>
      <c r="BJ3013">
        <v>20210902</v>
      </c>
      <c r="BK3013">
        <v>19940106</v>
      </c>
      <c r="BL3013">
        <v>77.010000000000005</v>
      </c>
      <c r="BM3013" t="s">
        <v>120</v>
      </c>
      <c r="BN3013">
        <v>17.329999999999998</v>
      </c>
      <c r="BO3013">
        <v>929.35</v>
      </c>
      <c r="BP3013">
        <v>6.23</v>
      </c>
      <c r="BQ3013">
        <v>320.64</v>
      </c>
      <c r="BR3013">
        <v>43.84</v>
      </c>
      <c r="BS3013">
        <v>60.78</v>
      </c>
      <c r="BT3013">
        <v>478.02</v>
      </c>
      <c r="BU3013">
        <v>287.39999999999998</v>
      </c>
      <c r="BV3013">
        <v>18.510000000000002</v>
      </c>
      <c r="BW3013">
        <v>517.05999999999995</v>
      </c>
      <c r="BX3013">
        <v>73.62</v>
      </c>
      <c r="BY3013">
        <v>133.13999999999999</v>
      </c>
      <c r="BZ3013">
        <v>12.6</v>
      </c>
      <c r="CA3013" t="s">
        <v>120</v>
      </c>
      <c r="CB3013">
        <v>83.63</v>
      </c>
      <c r="CC3013">
        <v>568.64</v>
      </c>
      <c r="CD3013">
        <v>470.42</v>
      </c>
      <c r="CE3013">
        <v>62.53</v>
      </c>
      <c r="CF3013">
        <v>3.88</v>
      </c>
      <c r="CG3013">
        <v>62.84</v>
      </c>
      <c r="CH3013">
        <v>50.38</v>
      </c>
      <c r="CI3013">
        <v>46.44</v>
      </c>
      <c r="CJ3013">
        <v>-0.17</v>
      </c>
      <c r="CK3013">
        <v>47.52</v>
      </c>
      <c r="CL3013">
        <v>110.17</v>
      </c>
      <c r="CM3013">
        <v>112.81</v>
      </c>
      <c r="CN3013">
        <v>19.559999999999999</v>
      </c>
      <c r="CO3013">
        <v>160960</v>
      </c>
      <c r="CP3013">
        <v>14308</v>
      </c>
      <c r="CQ3013" t="s">
        <v>3105</v>
      </c>
      <c r="CR3013">
        <v>471.65</v>
      </c>
      <c r="CS3013">
        <v>51.92</v>
      </c>
      <c r="CT3013">
        <v>1.5</v>
      </c>
      <c r="CU3013">
        <v>4.25</v>
      </c>
      <c r="CV3013">
        <v>0.84</v>
      </c>
      <c r="CW3013">
        <v>2.0299999999999998</v>
      </c>
      <c r="CX3013" t="s">
        <v>10221</v>
      </c>
      <c r="CY3013">
        <v>4.16</v>
      </c>
      <c r="CZ3013">
        <v>0</v>
      </c>
      <c r="DA3013">
        <v>1.0900000000000001</v>
      </c>
      <c r="DB3013">
        <v>1.43</v>
      </c>
      <c r="DC3013">
        <v>1.46</v>
      </c>
      <c r="DD3013">
        <v>34.5</v>
      </c>
      <c r="DE3013" t="s">
        <v>13202</v>
      </c>
      <c r="DF3013">
        <v>17.27</v>
      </c>
      <c r="DG3013">
        <v>11</v>
      </c>
      <c r="DH3013">
        <v>8.17</v>
      </c>
      <c r="DI3013">
        <v>20.46</v>
      </c>
      <c r="DJ3013">
        <v>22145</v>
      </c>
      <c r="DK3013">
        <v>600808</v>
      </c>
      <c r="DL3013" t="s">
        <v>120</v>
      </c>
      <c r="DM3013" t="s">
        <v>120</v>
      </c>
      <c r="DN3013" t="s">
        <v>120</v>
      </c>
    </row>
    <row r="3014" spans="1:118">
      <c r="A3014" t="str">
        <f>"600809"</f>
        <v>600809</v>
      </c>
      <c r="B3014" t="s">
        <v>13203</v>
      </c>
      <c r="C3014">
        <v>2.5099999999999998</v>
      </c>
      <c r="D3014">
        <v>0.09</v>
      </c>
      <c r="E3014">
        <v>-0.8</v>
      </c>
      <c r="F3014">
        <v>1654</v>
      </c>
      <c r="G3014" t="s">
        <v>13204</v>
      </c>
      <c r="H3014">
        <v>216599.14</v>
      </c>
      <c r="I3014">
        <v>696.14</v>
      </c>
      <c r="J3014" t="s">
        <v>120</v>
      </c>
      <c r="K3014" t="s">
        <v>13205</v>
      </c>
      <c r="L3014">
        <v>0.6</v>
      </c>
      <c r="M3014">
        <v>297.25</v>
      </c>
      <c r="N3014">
        <v>0.85</v>
      </c>
      <c r="O3014">
        <v>3.29</v>
      </c>
      <c r="P3014">
        <v>299.52999999999997</v>
      </c>
      <c r="Q3014">
        <v>-1.08</v>
      </c>
      <c r="R3014">
        <v>286.85000000000002</v>
      </c>
      <c r="S3014">
        <v>287.66000000000003</v>
      </c>
      <c r="T3014">
        <v>73315</v>
      </c>
      <c r="U3014">
        <v>297.25</v>
      </c>
      <c r="V3014">
        <v>289.98</v>
      </c>
      <c r="W3014">
        <v>51.17</v>
      </c>
      <c r="X3014" t="s">
        <v>1165</v>
      </c>
      <c r="Y3014" t="s">
        <v>667</v>
      </c>
      <c r="Z3014">
        <v>4.37</v>
      </c>
      <c r="AA3014">
        <v>295.43</v>
      </c>
      <c r="AB3014">
        <v>30688</v>
      </c>
      <c r="AC3014">
        <v>42627</v>
      </c>
      <c r="AD3014">
        <v>0.72</v>
      </c>
      <c r="AE3014">
        <v>1</v>
      </c>
      <c r="AF3014">
        <v>3</v>
      </c>
      <c r="AG3014" t="s">
        <v>120</v>
      </c>
      <c r="AH3014">
        <v>0.01</v>
      </c>
      <c r="AI3014" t="s">
        <v>120</v>
      </c>
      <c r="AJ3014">
        <v>12.15</v>
      </c>
      <c r="AK3014" t="s">
        <v>13206</v>
      </c>
      <c r="AL3014">
        <v>3.85</v>
      </c>
      <c r="AM3014">
        <v>4454</v>
      </c>
      <c r="AN3014">
        <v>16</v>
      </c>
      <c r="AO3014">
        <v>1E-4</v>
      </c>
      <c r="AP3014">
        <v>1</v>
      </c>
      <c r="AQ3014">
        <v>-3.21</v>
      </c>
      <c r="AR3014">
        <v>1.37</v>
      </c>
      <c r="AS3014">
        <v>-0.62</v>
      </c>
      <c r="AT3014">
        <v>-6.14</v>
      </c>
      <c r="AU3014">
        <v>10.94</v>
      </c>
      <c r="AV3014">
        <v>2</v>
      </c>
      <c r="AW3014">
        <v>1.9</v>
      </c>
      <c r="AX3014">
        <v>31.67</v>
      </c>
      <c r="AY3014">
        <v>70.849999999999994</v>
      </c>
      <c r="AZ3014">
        <v>114.9</v>
      </c>
      <c r="BA3014">
        <v>1.92</v>
      </c>
      <c r="BB3014" t="s">
        <v>143</v>
      </c>
      <c r="BF3014">
        <v>1.88</v>
      </c>
      <c r="BG3014">
        <v>3.33</v>
      </c>
      <c r="BH3014">
        <v>-0.76</v>
      </c>
      <c r="BI3014">
        <v>3.63</v>
      </c>
      <c r="BJ3014">
        <v>20210827</v>
      </c>
      <c r="BK3014">
        <v>19940106</v>
      </c>
      <c r="BL3014">
        <v>12.2</v>
      </c>
      <c r="BM3014" t="s">
        <v>120</v>
      </c>
      <c r="BN3014" t="s">
        <v>120</v>
      </c>
      <c r="BO3014">
        <v>235.35</v>
      </c>
      <c r="BP3014">
        <v>297.24</v>
      </c>
      <c r="BQ3014">
        <v>131.96</v>
      </c>
      <c r="BR3014">
        <v>3.23</v>
      </c>
      <c r="BS3014">
        <v>42.55</v>
      </c>
      <c r="BT3014">
        <v>195.22</v>
      </c>
      <c r="BU3014">
        <v>17.309999999999999</v>
      </c>
      <c r="BV3014">
        <v>3.34</v>
      </c>
      <c r="BW3014">
        <v>99.31</v>
      </c>
      <c r="BX3014">
        <v>68.7</v>
      </c>
      <c r="BY3014">
        <v>64.94</v>
      </c>
      <c r="BZ3014">
        <v>0.02</v>
      </c>
      <c r="CA3014" t="s">
        <v>120</v>
      </c>
      <c r="CB3014">
        <v>2.0299999999999998</v>
      </c>
      <c r="CC3014">
        <v>121.19</v>
      </c>
      <c r="CD3014">
        <v>30.31</v>
      </c>
      <c r="CE3014">
        <v>47.84</v>
      </c>
      <c r="CF3014">
        <v>-0.1</v>
      </c>
      <c r="CG3014">
        <v>47.88</v>
      </c>
      <c r="CH3014">
        <v>35.79</v>
      </c>
      <c r="CI3014">
        <v>35.44</v>
      </c>
      <c r="CJ3014">
        <v>7.27</v>
      </c>
      <c r="CK3014">
        <v>35.4</v>
      </c>
      <c r="CL3014">
        <v>113.09</v>
      </c>
      <c r="CM3014">
        <v>21.59</v>
      </c>
      <c r="CN3014">
        <v>10.210000000000001</v>
      </c>
      <c r="CO3014">
        <v>63475</v>
      </c>
      <c r="CP3014">
        <v>6088</v>
      </c>
      <c r="CQ3014" t="s">
        <v>13207</v>
      </c>
      <c r="CR3014">
        <v>117.54</v>
      </c>
      <c r="CS3014">
        <v>75.510000000000005</v>
      </c>
      <c r="CT3014">
        <v>27.48</v>
      </c>
      <c r="CU3014">
        <v>167.96</v>
      </c>
      <c r="CV3014">
        <v>29.93</v>
      </c>
      <c r="CW3014">
        <v>0.05</v>
      </c>
      <c r="CX3014" t="s">
        <v>13208</v>
      </c>
      <c r="CY3014">
        <v>10.82</v>
      </c>
      <c r="CZ3014">
        <v>0</v>
      </c>
      <c r="DA3014">
        <v>0.17</v>
      </c>
      <c r="DB3014">
        <v>9.27</v>
      </c>
      <c r="DC3014">
        <v>1.77</v>
      </c>
      <c r="DD3014">
        <v>56.07</v>
      </c>
      <c r="DE3014" t="s">
        <v>13209</v>
      </c>
      <c r="DF3014">
        <v>74.989999999999995</v>
      </c>
      <c r="DG3014">
        <v>39.47</v>
      </c>
      <c r="DH3014">
        <v>29.24</v>
      </c>
      <c r="DI3014">
        <v>0.09</v>
      </c>
      <c r="DJ3014">
        <v>12614</v>
      </c>
      <c r="DK3014">
        <v>600809</v>
      </c>
      <c r="DL3014" t="s">
        <v>120</v>
      </c>
      <c r="DM3014" t="s">
        <v>120</v>
      </c>
      <c r="DN3014" t="s">
        <v>120</v>
      </c>
    </row>
    <row r="3015" spans="1:118">
      <c r="A3015" t="str">
        <f>"600810"</f>
        <v>600810</v>
      </c>
      <c r="B3015" t="s">
        <v>13210</v>
      </c>
      <c r="C3015">
        <v>-3.33</v>
      </c>
      <c r="D3015">
        <v>0.18</v>
      </c>
      <c r="E3015">
        <v>-0.71</v>
      </c>
      <c r="F3015">
        <v>1096</v>
      </c>
      <c r="G3015" t="s">
        <v>3748</v>
      </c>
      <c r="H3015">
        <v>33802.6</v>
      </c>
      <c r="I3015">
        <v>532.9</v>
      </c>
      <c r="J3015" t="s">
        <v>120</v>
      </c>
      <c r="K3015" t="s">
        <v>13211</v>
      </c>
      <c r="L3015">
        <v>3.53</v>
      </c>
      <c r="M3015">
        <v>16.260000000000002</v>
      </c>
      <c r="N3015">
        <v>0.89</v>
      </c>
      <c r="O3015">
        <v>1.96</v>
      </c>
      <c r="P3015">
        <v>17.149999999999999</v>
      </c>
      <c r="Q3015">
        <v>-3.69</v>
      </c>
      <c r="R3015">
        <v>16.2</v>
      </c>
      <c r="S3015">
        <v>16.7</v>
      </c>
      <c r="T3015">
        <v>203019</v>
      </c>
      <c r="U3015">
        <v>16.260000000000002</v>
      </c>
      <c r="V3015">
        <v>16.82</v>
      </c>
      <c r="W3015">
        <v>7.67</v>
      </c>
      <c r="X3015" t="s">
        <v>623</v>
      </c>
      <c r="Y3015" t="s">
        <v>645</v>
      </c>
      <c r="Z3015">
        <v>5.65</v>
      </c>
      <c r="AA3015">
        <v>16.649999999999999</v>
      </c>
      <c r="AB3015">
        <v>107309</v>
      </c>
      <c r="AC3015">
        <v>95710</v>
      </c>
      <c r="AD3015">
        <v>1.1200000000000001</v>
      </c>
      <c r="AE3015">
        <v>1</v>
      </c>
      <c r="AF3015">
        <v>218</v>
      </c>
      <c r="AG3015" t="s">
        <v>120</v>
      </c>
      <c r="AH3015">
        <v>0.11</v>
      </c>
      <c r="AI3015" t="s">
        <v>120</v>
      </c>
      <c r="AJ3015">
        <v>5.75</v>
      </c>
      <c r="AK3015" t="s">
        <v>13212</v>
      </c>
      <c r="AL3015">
        <v>-1.99</v>
      </c>
      <c r="AM3015">
        <v>4044</v>
      </c>
      <c r="AN3015">
        <v>50</v>
      </c>
      <c r="AO3015">
        <v>8.9999999999999998E-4</v>
      </c>
      <c r="AP3015">
        <v>-1</v>
      </c>
      <c r="AQ3015">
        <v>2.31</v>
      </c>
      <c r="AR3015">
        <v>-2.7</v>
      </c>
      <c r="AS3015">
        <v>19.38</v>
      </c>
      <c r="AT3015">
        <v>33.61</v>
      </c>
      <c r="AU3015">
        <v>78.88</v>
      </c>
      <c r="AV3015">
        <v>7</v>
      </c>
      <c r="AW3015">
        <v>6.96</v>
      </c>
      <c r="AX3015">
        <v>31.72</v>
      </c>
      <c r="AY3015">
        <v>12.11</v>
      </c>
      <c r="AZ3015">
        <v>41.73</v>
      </c>
      <c r="BA3015">
        <v>1.56</v>
      </c>
      <c r="BB3015" t="s">
        <v>184</v>
      </c>
      <c r="BF3015">
        <v>-1.01</v>
      </c>
      <c r="BG3015">
        <v>-2.63</v>
      </c>
      <c r="BH3015">
        <v>-5.19</v>
      </c>
      <c r="BI3015">
        <v>0.37</v>
      </c>
      <c r="BJ3015">
        <v>20210821</v>
      </c>
      <c r="BK3015">
        <v>19940106</v>
      </c>
      <c r="BL3015">
        <v>9.19</v>
      </c>
      <c r="BM3015" t="s">
        <v>120</v>
      </c>
      <c r="BN3015" t="s">
        <v>120</v>
      </c>
      <c r="BO3015">
        <v>231.17</v>
      </c>
      <c r="BP3015">
        <v>16.25</v>
      </c>
      <c r="BQ3015">
        <v>63.84</v>
      </c>
      <c r="BR3015">
        <v>7.43</v>
      </c>
      <c r="BS3015">
        <v>69.17</v>
      </c>
      <c r="BT3015">
        <v>127.66</v>
      </c>
      <c r="BU3015">
        <v>51.91</v>
      </c>
      <c r="BV3015">
        <v>7.95</v>
      </c>
      <c r="BW3015">
        <v>119.13</v>
      </c>
      <c r="BX3015">
        <v>77.819999999999993</v>
      </c>
      <c r="BY3015">
        <v>9.69</v>
      </c>
      <c r="BZ3015">
        <v>13.82</v>
      </c>
      <c r="CA3015" t="s">
        <v>120</v>
      </c>
      <c r="CB3015">
        <v>20.39</v>
      </c>
      <c r="CC3015">
        <v>62.89</v>
      </c>
      <c r="CD3015">
        <v>43.86</v>
      </c>
      <c r="CE3015">
        <v>11.87</v>
      </c>
      <c r="CF3015">
        <v>0.31</v>
      </c>
      <c r="CG3015">
        <v>11.79</v>
      </c>
      <c r="CH3015">
        <v>10.050000000000001</v>
      </c>
      <c r="CI3015">
        <v>9.75</v>
      </c>
      <c r="CJ3015">
        <v>-0.56000000000000005</v>
      </c>
      <c r="CK3015">
        <v>9.56</v>
      </c>
      <c r="CL3015">
        <v>27.92</v>
      </c>
      <c r="CM3015">
        <v>8.01</v>
      </c>
      <c r="CN3015">
        <v>12.09</v>
      </c>
      <c r="CO3015">
        <v>30151</v>
      </c>
      <c r="CP3015">
        <v>9673</v>
      </c>
      <c r="CQ3015" t="s">
        <v>207</v>
      </c>
      <c r="CR3015">
        <v>1325.45</v>
      </c>
      <c r="CS3015">
        <v>51.96</v>
      </c>
      <c r="CT3015">
        <v>2.41</v>
      </c>
      <c r="CU3015">
        <v>18.670000000000002</v>
      </c>
      <c r="CV3015">
        <v>2.38</v>
      </c>
      <c r="CW3015">
        <v>4.04</v>
      </c>
      <c r="CX3015" t="s">
        <v>1953</v>
      </c>
      <c r="CY3015">
        <v>6.74</v>
      </c>
      <c r="CZ3015">
        <v>6.74</v>
      </c>
      <c r="DA3015">
        <v>2.2200000000000002</v>
      </c>
      <c r="DB3015">
        <v>3.04</v>
      </c>
      <c r="DC3015">
        <v>0.87</v>
      </c>
      <c r="DD3015">
        <v>27.61</v>
      </c>
      <c r="DE3015" t="s">
        <v>13213</v>
      </c>
      <c r="DF3015">
        <v>30.26</v>
      </c>
      <c r="DG3015">
        <v>18.88</v>
      </c>
      <c r="DH3015">
        <v>15.5</v>
      </c>
      <c r="DI3015">
        <v>2.2000000000000002</v>
      </c>
      <c r="DJ3015">
        <v>9454</v>
      </c>
      <c r="DK3015">
        <v>600810</v>
      </c>
      <c r="DL3015">
        <v>20210901</v>
      </c>
      <c r="DM3015">
        <v>15.15</v>
      </c>
      <c r="DN3015">
        <v>7.33</v>
      </c>
    </row>
    <row r="3016" spans="1:118">
      <c r="A3016" t="str">
        <f>"600811"</f>
        <v>600811</v>
      </c>
      <c r="B3016" t="s">
        <v>13214</v>
      </c>
      <c r="C3016">
        <v>-0.61</v>
      </c>
      <c r="D3016">
        <v>0</v>
      </c>
      <c r="E3016">
        <v>0.91</v>
      </c>
      <c r="F3016">
        <v>3682</v>
      </c>
      <c r="G3016" t="s">
        <v>11057</v>
      </c>
      <c r="H3016">
        <v>16045.72</v>
      </c>
      <c r="I3016">
        <v>97.7</v>
      </c>
      <c r="J3016" t="s">
        <v>120</v>
      </c>
      <c r="K3016" t="s">
        <v>13215</v>
      </c>
      <c r="L3016">
        <v>1.31</v>
      </c>
      <c r="M3016">
        <v>3.28</v>
      </c>
      <c r="N3016">
        <v>0.78</v>
      </c>
      <c r="O3016">
        <v>1.52</v>
      </c>
      <c r="P3016">
        <v>3.35</v>
      </c>
      <c r="Q3016">
        <v>-0.91</v>
      </c>
      <c r="R3016">
        <v>3.27</v>
      </c>
      <c r="S3016">
        <v>3.33</v>
      </c>
      <c r="T3016">
        <v>484935</v>
      </c>
      <c r="U3016">
        <v>3.28</v>
      </c>
      <c r="V3016">
        <v>3.3</v>
      </c>
      <c r="W3016">
        <v>24.22</v>
      </c>
      <c r="X3016" t="s">
        <v>447</v>
      </c>
      <c r="Y3016" t="s">
        <v>1686</v>
      </c>
      <c r="Z3016">
        <v>2.42</v>
      </c>
      <c r="AA3016">
        <v>3.31</v>
      </c>
      <c r="AB3016">
        <v>248478</v>
      </c>
      <c r="AC3016">
        <v>236457</v>
      </c>
      <c r="AD3016">
        <v>1.05</v>
      </c>
      <c r="AE3016">
        <v>4812</v>
      </c>
      <c r="AF3016">
        <v>115</v>
      </c>
      <c r="AG3016" t="s">
        <v>120</v>
      </c>
      <c r="AH3016">
        <v>0.01</v>
      </c>
      <c r="AI3016" t="s">
        <v>120</v>
      </c>
      <c r="AJ3016">
        <v>37.15</v>
      </c>
      <c r="AK3016" t="s">
        <v>13215</v>
      </c>
      <c r="AL3016">
        <v>0.74</v>
      </c>
      <c r="AM3016">
        <v>2853</v>
      </c>
      <c r="AN3016">
        <v>170</v>
      </c>
      <c r="AO3016">
        <v>5.0000000000000001E-4</v>
      </c>
      <c r="AP3016">
        <v>-1</v>
      </c>
      <c r="AQ3016">
        <v>0</v>
      </c>
      <c r="AR3016">
        <v>-2.09</v>
      </c>
      <c r="AS3016">
        <v>11.95</v>
      </c>
      <c r="AT3016">
        <v>5.47</v>
      </c>
      <c r="AU3016">
        <v>-10.14</v>
      </c>
      <c r="AV3016">
        <v>1</v>
      </c>
      <c r="AW3016">
        <v>1.86</v>
      </c>
      <c r="AX3016">
        <v>70.34</v>
      </c>
      <c r="AY3016">
        <v>90.28</v>
      </c>
      <c r="AZ3016">
        <v>50.98</v>
      </c>
      <c r="BA3016">
        <v>0.35</v>
      </c>
      <c r="BB3016" t="s">
        <v>184</v>
      </c>
      <c r="BF3016">
        <v>0.27</v>
      </c>
      <c r="BG3016">
        <v>-1.5</v>
      </c>
      <c r="BH3016">
        <v>-2.09</v>
      </c>
      <c r="BI3016">
        <v>0.31</v>
      </c>
      <c r="BJ3016">
        <v>20210831</v>
      </c>
      <c r="BK3016">
        <v>19940106</v>
      </c>
      <c r="BL3016">
        <v>37.15</v>
      </c>
      <c r="BM3016" t="s">
        <v>120</v>
      </c>
      <c r="BN3016" t="s">
        <v>120</v>
      </c>
      <c r="BO3016">
        <v>461.43</v>
      </c>
      <c r="BP3016">
        <v>3.27</v>
      </c>
      <c r="BQ3016">
        <v>213.72</v>
      </c>
      <c r="BR3016" t="s">
        <v>120</v>
      </c>
      <c r="BS3016">
        <v>53.68</v>
      </c>
      <c r="BT3016">
        <v>224.25</v>
      </c>
      <c r="BU3016">
        <v>8.09</v>
      </c>
      <c r="BV3016">
        <v>2.38</v>
      </c>
      <c r="BW3016">
        <v>184.46</v>
      </c>
      <c r="BX3016">
        <v>47.67</v>
      </c>
      <c r="BY3016">
        <v>85.95</v>
      </c>
      <c r="BZ3016">
        <v>2.34</v>
      </c>
      <c r="CA3016">
        <v>0.09</v>
      </c>
      <c r="CB3016">
        <v>88.53</v>
      </c>
      <c r="CC3016">
        <v>68.010000000000005</v>
      </c>
      <c r="CD3016">
        <v>65.87</v>
      </c>
      <c r="CE3016">
        <v>2.65</v>
      </c>
      <c r="CF3016">
        <v>7.41</v>
      </c>
      <c r="CG3016">
        <v>2.64</v>
      </c>
      <c r="CH3016">
        <v>2.59</v>
      </c>
      <c r="CI3016">
        <v>2.52</v>
      </c>
      <c r="CJ3016">
        <v>-0.02</v>
      </c>
      <c r="CK3016">
        <v>2.34</v>
      </c>
      <c r="CL3016">
        <v>57.45</v>
      </c>
      <c r="CM3016">
        <v>3.96</v>
      </c>
      <c r="CN3016">
        <v>-5.3</v>
      </c>
      <c r="CO3016">
        <v>92849</v>
      </c>
      <c r="CP3016">
        <v>28141</v>
      </c>
      <c r="CQ3016" t="s">
        <v>312</v>
      </c>
      <c r="CR3016">
        <v>-29.38</v>
      </c>
      <c r="CS3016">
        <v>1.66</v>
      </c>
      <c r="CT3016">
        <v>0.56999999999999995</v>
      </c>
      <c r="CU3016">
        <v>30.75</v>
      </c>
      <c r="CV3016">
        <v>1.79</v>
      </c>
      <c r="CW3016">
        <v>0</v>
      </c>
      <c r="CX3016" t="s">
        <v>679</v>
      </c>
      <c r="CY3016">
        <v>5.75</v>
      </c>
      <c r="CZ3016">
        <v>0</v>
      </c>
      <c r="DA3016">
        <v>2.38</v>
      </c>
      <c r="DB3016">
        <v>1.55</v>
      </c>
      <c r="DC3016">
        <v>0.11</v>
      </c>
      <c r="DD3016">
        <v>46.32</v>
      </c>
      <c r="DE3016" t="s">
        <v>1283</v>
      </c>
      <c r="DF3016">
        <v>3.15</v>
      </c>
      <c r="DG3016">
        <v>3.9</v>
      </c>
      <c r="DH3016">
        <v>3.7</v>
      </c>
      <c r="DI3016">
        <v>0.01</v>
      </c>
      <c r="DJ3016">
        <v>1071</v>
      </c>
      <c r="DK3016">
        <v>600811</v>
      </c>
      <c r="DL3016" t="s">
        <v>120</v>
      </c>
      <c r="DM3016" t="s">
        <v>120</v>
      </c>
      <c r="DN3016" t="s">
        <v>120</v>
      </c>
    </row>
    <row r="3017" spans="1:118">
      <c r="A3017" t="str">
        <f>"600812"</f>
        <v>600812</v>
      </c>
      <c r="B3017" t="s">
        <v>13216</v>
      </c>
      <c r="C3017">
        <v>-2.68</v>
      </c>
      <c r="D3017">
        <v>0</v>
      </c>
      <c r="E3017">
        <v>-0.82</v>
      </c>
      <c r="F3017">
        <v>482</v>
      </c>
      <c r="G3017" t="s">
        <v>13217</v>
      </c>
      <c r="H3017">
        <v>8188.02</v>
      </c>
      <c r="I3017">
        <v>40.119999999999997</v>
      </c>
      <c r="J3017" t="s">
        <v>120</v>
      </c>
      <c r="K3017" t="s">
        <v>5732</v>
      </c>
      <c r="L3017">
        <v>0.6</v>
      </c>
      <c r="M3017">
        <v>8.34</v>
      </c>
      <c r="N3017">
        <v>1.24</v>
      </c>
      <c r="O3017">
        <v>0.12</v>
      </c>
      <c r="P3017">
        <v>8.58</v>
      </c>
      <c r="Q3017">
        <v>-3.15</v>
      </c>
      <c r="R3017">
        <v>8.3000000000000007</v>
      </c>
      <c r="S3017">
        <v>8.5</v>
      </c>
      <c r="T3017">
        <v>97287</v>
      </c>
      <c r="U3017">
        <v>8.35</v>
      </c>
      <c r="V3017">
        <v>8.57</v>
      </c>
      <c r="W3017">
        <v>7119</v>
      </c>
      <c r="X3017" t="s">
        <v>569</v>
      </c>
      <c r="Y3017" t="s">
        <v>602</v>
      </c>
      <c r="Z3017">
        <v>3.27</v>
      </c>
      <c r="AA3017">
        <v>8.42</v>
      </c>
      <c r="AB3017">
        <v>60734</v>
      </c>
      <c r="AC3017">
        <v>36553</v>
      </c>
      <c r="AD3017">
        <v>1.66</v>
      </c>
      <c r="AE3017">
        <v>1</v>
      </c>
      <c r="AF3017">
        <v>227</v>
      </c>
      <c r="AG3017" t="s">
        <v>120</v>
      </c>
      <c r="AH3017">
        <v>0.01</v>
      </c>
      <c r="AI3017" t="s">
        <v>120</v>
      </c>
      <c r="AJ3017">
        <v>16.309999999999999</v>
      </c>
      <c r="AK3017" t="s">
        <v>13218</v>
      </c>
      <c r="AL3017">
        <v>-1.34</v>
      </c>
      <c r="AM3017">
        <v>2125</v>
      </c>
      <c r="AN3017">
        <v>46</v>
      </c>
      <c r="AO3017">
        <v>2.9999999999999997E-4</v>
      </c>
      <c r="AP3017">
        <v>-3</v>
      </c>
      <c r="AQ3017">
        <v>-1.95</v>
      </c>
      <c r="AR3017">
        <v>-4.6900000000000004</v>
      </c>
      <c r="AS3017">
        <v>-19.11</v>
      </c>
      <c r="AT3017">
        <v>-25.42</v>
      </c>
      <c r="AU3017">
        <v>-18.72</v>
      </c>
      <c r="AV3017">
        <v>2</v>
      </c>
      <c r="AW3017">
        <v>1.26</v>
      </c>
      <c r="AX3017">
        <v>45</v>
      </c>
      <c r="AY3017" t="s">
        <v>120</v>
      </c>
      <c r="AZ3017">
        <v>151.08000000000001</v>
      </c>
      <c r="BA3017">
        <v>0.49</v>
      </c>
      <c r="BB3017" t="s">
        <v>125</v>
      </c>
      <c r="BF3017">
        <v>-1.79</v>
      </c>
      <c r="BG3017">
        <v>-1.88</v>
      </c>
      <c r="BH3017">
        <v>-2.8</v>
      </c>
      <c r="BI3017">
        <v>0.48</v>
      </c>
      <c r="BJ3017">
        <v>20210825</v>
      </c>
      <c r="BK3017">
        <v>19940114</v>
      </c>
      <c r="BL3017">
        <v>17.16</v>
      </c>
      <c r="BM3017" t="s">
        <v>120</v>
      </c>
      <c r="BN3017" t="s">
        <v>120</v>
      </c>
      <c r="BO3017">
        <v>255.4</v>
      </c>
      <c r="BP3017">
        <v>8.34</v>
      </c>
      <c r="BQ3017">
        <v>60.77</v>
      </c>
      <c r="BR3017">
        <v>9.25</v>
      </c>
      <c r="BS3017">
        <v>72.58</v>
      </c>
      <c r="BT3017">
        <v>134.55000000000001</v>
      </c>
      <c r="BU3017">
        <v>66.42</v>
      </c>
      <c r="BV3017">
        <v>12.35</v>
      </c>
      <c r="BW3017">
        <v>139.18</v>
      </c>
      <c r="BX3017">
        <v>57.53</v>
      </c>
      <c r="BY3017">
        <v>24.19</v>
      </c>
      <c r="BZ3017">
        <v>21.84</v>
      </c>
      <c r="CA3017" t="s">
        <v>120</v>
      </c>
      <c r="CB3017">
        <v>38.93</v>
      </c>
      <c r="CC3017">
        <v>55.83</v>
      </c>
      <c r="CD3017">
        <v>36.42</v>
      </c>
      <c r="CE3017">
        <v>0.49</v>
      </c>
      <c r="CF3017">
        <v>0.21</v>
      </c>
      <c r="CG3017">
        <v>0.5</v>
      </c>
      <c r="CH3017">
        <v>0.11</v>
      </c>
      <c r="CI3017">
        <v>0.01</v>
      </c>
      <c r="CJ3017">
        <v>-0.23</v>
      </c>
      <c r="CK3017">
        <v>-0.3</v>
      </c>
      <c r="CL3017">
        <v>1.84</v>
      </c>
      <c r="CM3017">
        <v>2.4300000000000002</v>
      </c>
      <c r="CN3017">
        <v>6.92</v>
      </c>
      <c r="CO3017">
        <v>84915</v>
      </c>
      <c r="CP3017">
        <v>9092</v>
      </c>
      <c r="CQ3017" t="s">
        <v>8797</v>
      </c>
      <c r="CR3017">
        <v>-99.16</v>
      </c>
      <c r="CS3017">
        <v>-5.65</v>
      </c>
      <c r="CT3017">
        <v>2.35</v>
      </c>
      <c r="CU3017">
        <v>58.81</v>
      </c>
      <c r="CV3017">
        <v>2.56</v>
      </c>
      <c r="CW3017">
        <v>0.33</v>
      </c>
      <c r="CX3017" t="s">
        <v>1415</v>
      </c>
      <c r="CY3017">
        <v>3.54</v>
      </c>
      <c r="CZ3017">
        <v>0</v>
      </c>
      <c r="DA3017">
        <v>2.27</v>
      </c>
      <c r="DB3017">
        <v>0.11</v>
      </c>
      <c r="DC3017">
        <v>0.14000000000000001</v>
      </c>
      <c r="DD3017">
        <v>23.79</v>
      </c>
      <c r="DE3017" t="s">
        <v>9394</v>
      </c>
      <c r="DF3017">
        <v>34.76</v>
      </c>
      <c r="DG3017">
        <v>0.87</v>
      </c>
      <c r="DH3017">
        <v>0.02</v>
      </c>
      <c r="DI3017">
        <v>0.65</v>
      </c>
      <c r="DJ3017">
        <v>10909</v>
      </c>
      <c r="DK3017">
        <v>600812</v>
      </c>
      <c r="DL3017" t="s">
        <v>120</v>
      </c>
      <c r="DM3017" t="s">
        <v>120</v>
      </c>
      <c r="DN3017" t="s">
        <v>120</v>
      </c>
    </row>
    <row r="3018" spans="1:118">
      <c r="A3018" t="str">
        <f>"600814"</f>
        <v>600814</v>
      </c>
      <c r="B3018" t="s">
        <v>13219</v>
      </c>
      <c r="C3018">
        <v>-1.36</v>
      </c>
      <c r="D3018">
        <v>0</v>
      </c>
      <c r="E3018">
        <v>0.15</v>
      </c>
      <c r="F3018">
        <v>405</v>
      </c>
      <c r="G3018" t="s">
        <v>13220</v>
      </c>
      <c r="H3018">
        <v>6437.59</v>
      </c>
      <c r="I3018">
        <v>22.44</v>
      </c>
      <c r="J3018" t="s">
        <v>120</v>
      </c>
      <c r="K3018" t="s">
        <v>7327</v>
      </c>
      <c r="L3018">
        <v>1.34</v>
      </c>
      <c r="M3018">
        <v>6.52</v>
      </c>
      <c r="N3018">
        <v>1.62</v>
      </c>
      <c r="O3018">
        <v>4.24</v>
      </c>
      <c r="P3018">
        <v>6.89</v>
      </c>
      <c r="Q3018">
        <v>-1.51</v>
      </c>
      <c r="R3018">
        <v>6.51</v>
      </c>
      <c r="S3018">
        <v>6.62</v>
      </c>
      <c r="T3018">
        <v>95873</v>
      </c>
      <c r="U3018">
        <v>6.53</v>
      </c>
      <c r="V3018">
        <v>6.61</v>
      </c>
      <c r="W3018">
        <v>10.1</v>
      </c>
      <c r="X3018" t="s">
        <v>735</v>
      </c>
      <c r="Y3018" t="s">
        <v>585</v>
      </c>
      <c r="Z3018">
        <v>5.75</v>
      </c>
      <c r="AA3018">
        <v>6.71</v>
      </c>
      <c r="AB3018">
        <v>51393</v>
      </c>
      <c r="AC3018">
        <v>44480</v>
      </c>
      <c r="AD3018">
        <v>1.1599999999999999</v>
      </c>
      <c r="AE3018">
        <v>120</v>
      </c>
      <c r="AF3018">
        <v>267</v>
      </c>
      <c r="AG3018" t="s">
        <v>120</v>
      </c>
      <c r="AH3018">
        <v>0.01</v>
      </c>
      <c r="AI3018" t="s">
        <v>120</v>
      </c>
      <c r="AJ3018">
        <v>7.15</v>
      </c>
      <c r="AK3018" t="s">
        <v>7327</v>
      </c>
      <c r="AL3018">
        <v>-0.02</v>
      </c>
      <c r="AM3018">
        <v>2102</v>
      </c>
      <c r="AN3018">
        <v>46</v>
      </c>
      <c r="AO3018">
        <v>5.9999999999999995E-4</v>
      </c>
      <c r="AP3018">
        <v>-1</v>
      </c>
      <c r="AQ3018">
        <v>1.85</v>
      </c>
      <c r="AR3018">
        <v>-1.81</v>
      </c>
      <c r="AS3018">
        <v>7.77</v>
      </c>
      <c r="AT3018">
        <v>-1.1599999999999999</v>
      </c>
      <c r="AU3018">
        <v>19.05</v>
      </c>
      <c r="AV3018">
        <v>6</v>
      </c>
      <c r="AW3018">
        <v>4.22</v>
      </c>
      <c r="AX3018">
        <v>31.74</v>
      </c>
      <c r="AY3018">
        <v>11.76</v>
      </c>
      <c r="AZ3018">
        <v>17.71</v>
      </c>
      <c r="BA3018">
        <v>0.71</v>
      </c>
      <c r="BB3018" t="s">
        <v>184</v>
      </c>
      <c r="BF3018">
        <v>1.58</v>
      </c>
      <c r="BG3018">
        <v>-1.51</v>
      </c>
      <c r="BH3018">
        <v>-5.37</v>
      </c>
      <c r="BI3018">
        <v>0.15</v>
      </c>
      <c r="BJ3018">
        <v>20210831</v>
      </c>
      <c r="BK3018">
        <v>19940114</v>
      </c>
      <c r="BL3018">
        <v>7.15</v>
      </c>
      <c r="BM3018" t="s">
        <v>120</v>
      </c>
      <c r="BN3018" t="s">
        <v>120</v>
      </c>
      <c r="BO3018">
        <v>84.55</v>
      </c>
      <c r="BP3018">
        <v>6.52</v>
      </c>
      <c r="BQ3018">
        <v>29.16</v>
      </c>
      <c r="BR3018">
        <v>10.11</v>
      </c>
      <c r="BS3018">
        <v>53.55</v>
      </c>
      <c r="BT3018">
        <v>43.88</v>
      </c>
      <c r="BU3018">
        <v>7.13</v>
      </c>
      <c r="BV3018">
        <v>0.18</v>
      </c>
      <c r="BW3018">
        <v>23.39</v>
      </c>
      <c r="BX3018">
        <v>34.26</v>
      </c>
      <c r="BY3018">
        <v>0.39</v>
      </c>
      <c r="BZ3018">
        <v>0.52</v>
      </c>
      <c r="CA3018">
        <v>0.04</v>
      </c>
      <c r="CB3018">
        <v>0.14000000000000001</v>
      </c>
      <c r="CC3018">
        <v>11.19</v>
      </c>
      <c r="CD3018">
        <v>2.13</v>
      </c>
      <c r="CE3018">
        <v>5.04</v>
      </c>
      <c r="CF3018">
        <v>0.25</v>
      </c>
      <c r="CG3018">
        <v>5.13</v>
      </c>
      <c r="CH3018">
        <v>3.85</v>
      </c>
      <c r="CI3018">
        <v>2.31</v>
      </c>
      <c r="CJ3018">
        <v>-0.09</v>
      </c>
      <c r="CK3018">
        <v>1.96</v>
      </c>
      <c r="CL3018">
        <v>20.079999999999998</v>
      </c>
      <c r="CM3018">
        <v>3.08</v>
      </c>
      <c r="CN3018">
        <v>2.56</v>
      </c>
      <c r="CO3018">
        <v>33567</v>
      </c>
      <c r="CP3018">
        <v>6761</v>
      </c>
      <c r="CQ3018" t="s">
        <v>12042</v>
      </c>
      <c r="CR3018">
        <v>140.84</v>
      </c>
      <c r="CS3018">
        <v>62.64</v>
      </c>
      <c r="CT3018">
        <v>1.6</v>
      </c>
      <c r="CU3018">
        <v>15.13</v>
      </c>
      <c r="CV3018">
        <v>4.17</v>
      </c>
      <c r="CW3018">
        <v>1.71</v>
      </c>
      <c r="CX3018" t="s">
        <v>966</v>
      </c>
      <c r="CY3018">
        <v>4.08</v>
      </c>
      <c r="CZ3018">
        <v>0</v>
      </c>
      <c r="DA3018">
        <v>0.02</v>
      </c>
      <c r="DB3018">
        <v>2.81</v>
      </c>
      <c r="DC3018">
        <v>0.43</v>
      </c>
      <c r="DD3018">
        <v>34.49</v>
      </c>
      <c r="DE3018" t="s">
        <v>13221</v>
      </c>
      <c r="DF3018">
        <v>80.94</v>
      </c>
      <c r="DG3018">
        <v>45.05</v>
      </c>
      <c r="DH3018">
        <v>20.63</v>
      </c>
      <c r="DI3018" t="s">
        <v>120</v>
      </c>
      <c r="DJ3018">
        <v>1264</v>
      </c>
      <c r="DK3018">
        <v>600814</v>
      </c>
      <c r="DL3018" t="s">
        <v>120</v>
      </c>
      <c r="DM3018" t="s">
        <v>120</v>
      </c>
      <c r="DN3018" t="s">
        <v>120</v>
      </c>
    </row>
    <row r="3019" spans="1:118">
      <c r="A3019" t="str">
        <f>"600815"</f>
        <v>600815</v>
      </c>
      <c r="B3019" t="s">
        <v>13222</v>
      </c>
      <c r="C3019">
        <v>1.63</v>
      </c>
      <c r="D3019">
        <v>0</v>
      </c>
      <c r="E3019">
        <v>0</v>
      </c>
      <c r="F3019">
        <v>2674</v>
      </c>
      <c r="G3019" t="s">
        <v>13223</v>
      </c>
      <c r="H3019">
        <v>12451.91</v>
      </c>
      <c r="I3019">
        <v>28.64</v>
      </c>
      <c r="J3019" t="s">
        <v>120</v>
      </c>
      <c r="K3019" t="s">
        <v>1151</v>
      </c>
      <c r="L3019">
        <v>2.2200000000000002</v>
      </c>
      <c r="M3019">
        <v>3.12</v>
      </c>
      <c r="N3019">
        <v>1.1599999999999999</v>
      </c>
      <c r="O3019">
        <v>6.19</v>
      </c>
      <c r="P3019">
        <v>3.26</v>
      </c>
      <c r="Q3019">
        <v>-0.65</v>
      </c>
      <c r="R3019">
        <v>3.05</v>
      </c>
      <c r="S3019">
        <v>3.07</v>
      </c>
      <c r="T3019">
        <v>393844</v>
      </c>
      <c r="U3019">
        <v>3.13</v>
      </c>
      <c r="V3019">
        <v>3.07</v>
      </c>
      <c r="W3019">
        <v>402.03</v>
      </c>
      <c r="X3019" t="s">
        <v>593</v>
      </c>
      <c r="Y3019" t="s">
        <v>937</v>
      </c>
      <c r="Z3019">
        <v>6.84</v>
      </c>
      <c r="AA3019">
        <v>3.16</v>
      </c>
      <c r="AB3019">
        <v>194414</v>
      </c>
      <c r="AC3019">
        <v>199430</v>
      </c>
      <c r="AD3019">
        <v>0.97</v>
      </c>
      <c r="AE3019">
        <v>262</v>
      </c>
      <c r="AF3019">
        <v>642</v>
      </c>
      <c r="AG3019" t="s">
        <v>120</v>
      </c>
      <c r="AH3019">
        <v>0.01</v>
      </c>
      <c r="AI3019" t="s">
        <v>120</v>
      </c>
      <c r="AJ3019">
        <v>17.739999999999998</v>
      </c>
      <c r="AK3019" t="s">
        <v>1151</v>
      </c>
      <c r="AL3019">
        <v>2.97</v>
      </c>
      <c r="AM3019">
        <v>2635</v>
      </c>
      <c r="AN3019">
        <v>149</v>
      </c>
      <c r="AO3019">
        <v>8.0000000000000004E-4</v>
      </c>
      <c r="AP3019">
        <v>2</v>
      </c>
      <c r="AQ3019">
        <v>1.99</v>
      </c>
      <c r="AR3019">
        <v>-0.32</v>
      </c>
      <c r="AS3019">
        <v>3.65</v>
      </c>
      <c r="AT3019">
        <v>22.84</v>
      </c>
      <c r="AU3019">
        <v>35.06</v>
      </c>
      <c r="AV3019">
        <v>8</v>
      </c>
      <c r="AW3019">
        <v>5.23</v>
      </c>
      <c r="AX3019">
        <v>42.48</v>
      </c>
      <c r="AY3019">
        <v>398.51</v>
      </c>
      <c r="AZ3019">
        <v>144.85</v>
      </c>
      <c r="BA3019">
        <v>1.1299999999999999</v>
      </c>
      <c r="BB3019" t="s">
        <v>143</v>
      </c>
      <c r="BF3019">
        <v>2.98</v>
      </c>
      <c r="BG3019">
        <v>1.63</v>
      </c>
      <c r="BH3019">
        <v>-4.29</v>
      </c>
      <c r="BI3019">
        <v>2.2999999999999998</v>
      </c>
      <c r="BJ3019">
        <v>20210824</v>
      </c>
      <c r="BK3019">
        <v>19940128</v>
      </c>
      <c r="BL3019">
        <v>17.739999999999998</v>
      </c>
      <c r="BM3019" t="s">
        <v>120</v>
      </c>
      <c r="BN3019" t="s">
        <v>120</v>
      </c>
      <c r="BO3019">
        <v>32.19</v>
      </c>
      <c r="BP3019">
        <v>3.12</v>
      </c>
      <c r="BQ3019">
        <v>13.77</v>
      </c>
      <c r="BR3019">
        <v>1.59</v>
      </c>
      <c r="BS3019">
        <v>52.3</v>
      </c>
      <c r="BT3019">
        <v>24.35</v>
      </c>
      <c r="BU3019">
        <v>3.99</v>
      </c>
      <c r="BV3019">
        <v>1.26</v>
      </c>
      <c r="BW3019">
        <v>9.7100000000000009</v>
      </c>
      <c r="BX3019">
        <v>3.41</v>
      </c>
      <c r="BY3019">
        <v>7.05</v>
      </c>
      <c r="BZ3019">
        <v>7.86</v>
      </c>
      <c r="CA3019">
        <v>0.28000000000000003</v>
      </c>
      <c r="CB3019">
        <v>38.950000000000003</v>
      </c>
      <c r="CC3019">
        <v>8.9</v>
      </c>
      <c r="CD3019">
        <v>8.1199999999999992</v>
      </c>
      <c r="CE3019">
        <v>0.05</v>
      </c>
      <c r="CF3019">
        <v>0.11</v>
      </c>
      <c r="CG3019">
        <v>0.21</v>
      </c>
      <c r="CH3019">
        <v>0.16</v>
      </c>
      <c r="CI3019">
        <v>7.0000000000000007E-2</v>
      </c>
      <c r="CJ3019">
        <v>0.05</v>
      </c>
      <c r="CK3019">
        <v>-0.4</v>
      </c>
      <c r="CL3019">
        <v>-45.7</v>
      </c>
      <c r="CM3019">
        <v>-2.23</v>
      </c>
      <c r="CN3019">
        <v>-0.79</v>
      </c>
      <c r="CO3019">
        <v>34582</v>
      </c>
      <c r="CP3019">
        <v>21794</v>
      </c>
      <c r="CQ3019" t="s">
        <v>9701</v>
      </c>
      <c r="CR3019">
        <v>-77.66</v>
      </c>
      <c r="CS3019">
        <v>1.1399999999999999</v>
      </c>
      <c r="CT3019">
        <v>4.0199999999999996</v>
      </c>
      <c r="CU3019">
        <v>-24.82</v>
      </c>
      <c r="CV3019">
        <v>6.22</v>
      </c>
      <c r="CW3019">
        <v>0</v>
      </c>
      <c r="CX3019" t="s">
        <v>1902</v>
      </c>
      <c r="CY3019">
        <v>0.78</v>
      </c>
      <c r="CZ3019">
        <v>0</v>
      </c>
      <c r="DA3019">
        <v>2.2000000000000002</v>
      </c>
      <c r="DB3019">
        <v>-2.58</v>
      </c>
      <c r="DC3019">
        <v>-0.13</v>
      </c>
      <c r="DD3019">
        <v>42.77</v>
      </c>
      <c r="DE3019" t="s">
        <v>5823</v>
      </c>
      <c r="DF3019">
        <v>8.74</v>
      </c>
      <c r="DG3019">
        <v>0.55000000000000004</v>
      </c>
      <c r="DH3019">
        <v>0.77</v>
      </c>
      <c r="DI3019">
        <v>0.13</v>
      </c>
      <c r="DJ3019">
        <v>905</v>
      </c>
      <c r="DK3019">
        <v>600815</v>
      </c>
      <c r="DL3019">
        <v>20210803</v>
      </c>
      <c r="DM3019">
        <v>2.73</v>
      </c>
      <c r="DN3019">
        <v>14.29</v>
      </c>
    </row>
    <row r="3020" spans="1:118">
      <c r="A3020" t="str">
        <f>"600817"</f>
        <v>600817</v>
      </c>
      <c r="B3020" t="s">
        <v>13224</v>
      </c>
      <c r="C3020">
        <v>-3.46</v>
      </c>
      <c r="D3020">
        <v>0</v>
      </c>
      <c r="E3020">
        <v>0</v>
      </c>
      <c r="F3020">
        <v>103</v>
      </c>
      <c r="G3020" t="s">
        <v>10680</v>
      </c>
      <c r="H3020">
        <v>2270.79</v>
      </c>
      <c r="I3020">
        <v>2.4500000000000002</v>
      </c>
      <c r="J3020" t="s">
        <v>120</v>
      </c>
      <c r="K3020" t="s">
        <v>9035</v>
      </c>
      <c r="L3020">
        <v>0.82</v>
      </c>
      <c r="M3020">
        <v>14.78</v>
      </c>
      <c r="N3020">
        <v>0.98</v>
      </c>
      <c r="O3020">
        <v>0.52</v>
      </c>
      <c r="P3020">
        <v>15.39</v>
      </c>
      <c r="Q3020">
        <v>-3.72</v>
      </c>
      <c r="R3020">
        <v>14.74</v>
      </c>
      <c r="S3020">
        <v>15.31</v>
      </c>
      <c r="T3020">
        <v>15106</v>
      </c>
      <c r="U3020">
        <v>14.79</v>
      </c>
      <c r="V3020">
        <v>15.31</v>
      </c>
      <c r="W3020">
        <v>17.2</v>
      </c>
      <c r="X3020" t="s">
        <v>675</v>
      </c>
      <c r="Y3020" t="s">
        <v>645</v>
      </c>
      <c r="Z3020">
        <v>4.25</v>
      </c>
      <c r="AA3020">
        <v>15.03</v>
      </c>
      <c r="AB3020">
        <v>8162</v>
      </c>
      <c r="AC3020">
        <v>6944</v>
      </c>
      <c r="AD3020">
        <v>1.18</v>
      </c>
      <c r="AE3020">
        <v>1</v>
      </c>
      <c r="AF3020">
        <v>30</v>
      </c>
      <c r="AG3020" t="s">
        <v>120</v>
      </c>
      <c r="AH3020">
        <v>0</v>
      </c>
      <c r="AI3020" t="s">
        <v>120</v>
      </c>
      <c r="AJ3020">
        <v>1.84</v>
      </c>
      <c r="AK3020" t="s">
        <v>8801</v>
      </c>
      <c r="AL3020">
        <v>-2.12</v>
      </c>
      <c r="AM3020">
        <v>1164</v>
      </c>
      <c r="AN3020">
        <v>13</v>
      </c>
      <c r="AO3020">
        <v>6.9999999999999999E-4</v>
      </c>
      <c r="AP3020">
        <v>-1</v>
      </c>
      <c r="AQ3020">
        <v>7.0000000000000007E-2</v>
      </c>
      <c r="AR3020">
        <v>-5.43</v>
      </c>
      <c r="AS3020">
        <v>1.37</v>
      </c>
      <c r="AT3020">
        <v>5.57</v>
      </c>
      <c r="AU3020">
        <v>0.54</v>
      </c>
      <c r="AV3020">
        <v>8</v>
      </c>
      <c r="AW3020">
        <v>1.06</v>
      </c>
      <c r="AX3020">
        <v>26.43</v>
      </c>
      <c r="AY3020">
        <v>23.85</v>
      </c>
      <c r="AZ3020">
        <v>28.07</v>
      </c>
      <c r="BA3020">
        <v>0.76</v>
      </c>
      <c r="BB3020" t="s">
        <v>143</v>
      </c>
      <c r="BF3020">
        <v>-1.81</v>
      </c>
      <c r="BG3020">
        <v>-3.46</v>
      </c>
      <c r="BH3020">
        <v>-3.96</v>
      </c>
      <c r="BI3020">
        <v>0.27</v>
      </c>
      <c r="BJ3020">
        <v>20210826</v>
      </c>
      <c r="BK3020">
        <v>19940128</v>
      </c>
      <c r="BL3020">
        <v>5.39</v>
      </c>
      <c r="BM3020" t="s">
        <v>120</v>
      </c>
      <c r="BN3020" t="s">
        <v>120</v>
      </c>
      <c r="BO3020">
        <v>44.89</v>
      </c>
      <c r="BP3020">
        <v>14.78</v>
      </c>
      <c r="BQ3020">
        <v>20.09</v>
      </c>
      <c r="BR3020">
        <v>1.57</v>
      </c>
      <c r="BS3020">
        <v>51.75</v>
      </c>
      <c r="BT3020">
        <v>33.68</v>
      </c>
      <c r="BU3020">
        <v>4.67</v>
      </c>
      <c r="BV3020">
        <v>1.37</v>
      </c>
      <c r="BW3020">
        <v>19.73</v>
      </c>
      <c r="BX3020">
        <v>15.24</v>
      </c>
      <c r="BY3020">
        <v>2.74</v>
      </c>
      <c r="BZ3020">
        <v>6.75</v>
      </c>
      <c r="CA3020" t="s">
        <v>120</v>
      </c>
      <c r="CB3020">
        <v>9.58</v>
      </c>
      <c r="CC3020">
        <v>18.39</v>
      </c>
      <c r="CD3020">
        <v>13.14</v>
      </c>
      <c r="CE3020">
        <v>3.07</v>
      </c>
      <c r="CF3020">
        <v>0.09</v>
      </c>
      <c r="CG3020">
        <v>3.09</v>
      </c>
      <c r="CH3020">
        <v>2.67</v>
      </c>
      <c r="CI3020">
        <v>2.3199999999999998</v>
      </c>
      <c r="CJ3020">
        <v>-0.53</v>
      </c>
      <c r="CK3020">
        <v>1.59</v>
      </c>
      <c r="CL3020">
        <v>3.5</v>
      </c>
      <c r="CM3020">
        <v>-0.71</v>
      </c>
      <c r="CN3020">
        <v>-1.96</v>
      </c>
      <c r="CO3020">
        <v>7222</v>
      </c>
      <c r="CP3020">
        <v>19743</v>
      </c>
      <c r="CQ3020" t="s">
        <v>13225</v>
      </c>
      <c r="CR3020">
        <v>28.95</v>
      </c>
      <c r="CS3020">
        <v>29.28</v>
      </c>
      <c r="CT3020">
        <v>3.97</v>
      </c>
      <c r="CU3020">
        <v>-112.1</v>
      </c>
      <c r="CV3020">
        <v>4.33</v>
      </c>
      <c r="CW3020">
        <v>0</v>
      </c>
      <c r="CX3020" t="s">
        <v>194</v>
      </c>
      <c r="CY3020">
        <v>3.72</v>
      </c>
      <c r="CZ3020">
        <v>0</v>
      </c>
      <c r="DA3020">
        <v>1.78</v>
      </c>
      <c r="DB3020">
        <v>0.65</v>
      </c>
      <c r="DC3020">
        <v>-0.13</v>
      </c>
      <c r="DD3020">
        <v>44.75</v>
      </c>
      <c r="DE3020" t="s">
        <v>11391</v>
      </c>
      <c r="DF3020">
        <v>28.55</v>
      </c>
      <c r="DG3020">
        <v>16.68</v>
      </c>
      <c r="DH3020">
        <v>12.6</v>
      </c>
      <c r="DI3020">
        <v>0.75</v>
      </c>
      <c r="DJ3020">
        <v>9858</v>
      </c>
      <c r="DK3020">
        <v>600817</v>
      </c>
      <c r="DL3020" t="s">
        <v>120</v>
      </c>
      <c r="DM3020" t="s">
        <v>120</v>
      </c>
      <c r="DN3020" t="s">
        <v>120</v>
      </c>
    </row>
    <row r="3021" spans="1:118">
      <c r="A3021" t="str">
        <f>"600818"</f>
        <v>600818</v>
      </c>
      <c r="B3021" t="s">
        <v>13226</v>
      </c>
      <c r="C3021">
        <v>-2.48</v>
      </c>
      <c r="D3021">
        <v>0</v>
      </c>
      <c r="E3021">
        <v>0.3</v>
      </c>
      <c r="F3021">
        <v>319</v>
      </c>
      <c r="G3021" t="s">
        <v>13227</v>
      </c>
      <c r="H3021">
        <v>3392.68</v>
      </c>
      <c r="I3021">
        <v>12.56</v>
      </c>
      <c r="J3021" t="s">
        <v>120</v>
      </c>
      <c r="K3021" t="s">
        <v>4346</v>
      </c>
      <c r="L3021">
        <v>1.43</v>
      </c>
      <c r="M3021">
        <v>9.85</v>
      </c>
      <c r="N3021">
        <v>0.69</v>
      </c>
      <c r="O3021">
        <v>0.5</v>
      </c>
      <c r="P3021">
        <v>10.15</v>
      </c>
      <c r="Q3021">
        <v>-3.86</v>
      </c>
      <c r="R3021">
        <v>9.7100000000000009</v>
      </c>
      <c r="S3021">
        <v>10.130000000000001</v>
      </c>
      <c r="T3021">
        <v>34094</v>
      </c>
      <c r="U3021">
        <v>9.86</v>
      </c>
      <c r="V3021">
        <v>10.1</v>
      </c>
      <c r="W3021">
        <v>77.36</v>
      </c>
      <c r="X3021" t="s">
        <v>213</v>
      </c>
      <c r="Y3021" t="s">
        <v>1510</v>
      </c>
      <c r="Z3021">
        <v>4.3600000000000003</v>
      </c>
      <c r="AA3021">
        <v>9.9499999999999993</v>
      </c>
      <c r="AB3021">
        <v>18951</v>
      </c>
      <c r="AC3021">
        <v>15143</v>
      </c>
      <c r="AD3021">
        <v>1.25</v>
      </c>
      <c r="AE3021">
        <v>349</v>
      </c>
      <c r="AF3021">
        <v>13</v>
      </c>
      <c r="AG3021" t="s">
        <v>120</v>
      </c>
      <c r="AH3021">
        <v>0.01</v>
      </c>
      <c r="AI3021" t="s">
        <v>120</v>
      </c>
      <c r="AJ3021">
        <v>2.38</v>
      </c>
      <c r="AK3021" t="s">
        <v>7983</v>
      </c>
      <c r="AL3021">
        <v>-1.1299999999999999</v>
      </c>
      <c r="AM3021">
        <v>1552</v>
      </c>
      <c r="AN3021">
        <v>22</v>
      </c>
      <c r="AO3021">
        <v>8.9999999999999998E-4</v>
      </c>
      <c r="AP3021">
        <v>-1</v>
      </c>
      <c r="AQ3021">
        <v>0.3</v>
      </c>
      <c r="AR3021">
        <v>-1.3</v>
      </c>
      <c r="AS3021">
        <v>18.96</v>
      </c>
      <c r="AT3021">
        <v>5.35</v>
      </c>
      <c r="AU3021">
        <v>24.21</v>
      </c>
      <c r="AV3021">
        <v>8</v>
      </c>
      <c r="AW3021">
        <v>2.89</v>
      </c>
      <c r="AX3021">
        <v>36.74</v>
      </c>
      <c r="AY3021">
        <v>32.22</v>
      </c>
      <c r="AZ3021">
        <v>33.770000000000003</v>
      </c>
      <c r="BA3021">
        <v>1.03</v>
      </c>
      <c r="BB3021" t="s">
        <v>184</v>
      </c>
      <c r="BF3021">
        <v>-1.48</v>
      </c>
      <c r="BG3021">
        <v>-2.76</v>
      </c>
      <c r="BH3021">
        <v>-2.96</v>
      </c>
      <c r="BI3021">
        <v>1.44</v>
      </c>
      <c r="BJ3021">
        <v>20210818</v>
      </c>
      <c r="BK3021">
        <v>19940128</v>
      </c>
      <c r="BL3021">
        <v>3.21</v>
      </c>
      <c r="BM3021">
        <v>0.83</v>
      </c>
      <c r="BN3021" t="s">
        <v>120</v>
      </c>
      <c r="BO3021">
        <v>9.3800000000000008</v>
      </c>
      <c r="BP3021">
        <v>9.85</v>
      </c>
      <c r="BQ3021">
        <v>6.66</v>
      </c>
      <c r="BR3021">
        <v>0.11</v>
      </c>
      <c r="BS3021">
        <v>27.9</v>
      </c>
      <c r="BT3021">
        <v>1.92</v>
      </c>
      <c r="BU3021">
        <v>0.7</v>
      </c>
      <c r="BV3021">
        <v>1</v>
      </c>
      <c r="BW3021">
        <v>1.56</v>
      </c>
      <c r="BX3021">
        <v>0.8</v>
      </c>
      <c r="BY3021">
        <v>0.38</v>
      </c>
      <c r="BZ3021">
        <v>0.49</v>
      </c>
      <c r="CA3021">
        <v>0.39</v>
      </c>
      <c r="CB3021">
        <v>0.45</v>
      </c>
      <c r="CC3021">
        <v>3.48</v>
      </c>
      <c r="CD3021">
        <v>3.01</v>
      </c>
      <c r="CE3021">
        <v>0.21</v>
      </c>
      <c r="CF3021">
        <v>0.12</v>
      </c>
      <c r="CG3021">
        <v>0.21</v>
      </c>
      <c r="CH3021">
        <v>0.14000000000000001</v>
      </c>
      <c r="CI3021">
        <v>0.2</v>
      </c>
      <c r="CJ3021">
        <v>-0.25</v>
      </c>
      <c r="CK3021">
        <v>-0.05</v>
      </c>
      <c r="CL3021">
        <v>2.63</v>
      </c>
      <c r="CM3021">
        <v>-0.41</v>
      </c>
      <c r="CN3021">
        <v>-0.66</v>
      </c>
      <c r="CO3021">
        <v>31271</v>
      </c>
      <c r="CP3021">
        <v>6447</v>
      </c>
      <c r="CQ3021" t="s">
        <v>4121</v>
      </c>
      <c r="CR3021">
        <v>29.28</v>
      </c>
      <c r="CS3021">
        <v>5.16</v>
      </c>
      <c r="CT3021">
        <v>4.75</v>
      </c>
      <c r="CU3021">
        <v>-76.47</v>
      </c>
      <c r="CV3021">
        <v>9.09</v>
      </c>
      <c r="CW3021">
        <v>0</v>
      </c>
      <c r="CX3021" t="s">
        <v>1064</v>
      </c>
      <c r="CY3021">
        <v>2.0699999999999998</v>
      </c>
      <c r="CZ3021">
        <v>0</v>
      </c>
      <c r="DA3021">
        <v>0.14000000000000001</v>
      </c>
      <c r="DB3021">
        <v>0.82</v>
      </c>
      <c r="DC3021">
        <v>-0.13</v>
      </c>
      <c r="DD3021">
        <v>70.959999999999994</v>
      </c>
      <c r="DE3021" t="s">
        <v>9800</v>
      </c>
      <c r="DF3021">
        <v>13.55</v>
      </c>
      <c r="DG3021">
        <v>6.06</v>
      </c>
      <c r="DH3021">
        <v>5.88</v>
      </c>
      <c r="DI3021">
        <v>0.15</v>
      </c>
      <c r="DJ3021">
        <v>907</v>
      </c>
      <c r="DK3021">
        <v>600818</v>
      </c>
      <c r="DL3021" t="s">
        <v>120</v>
      </c>
      <c r="DM3021" t="s">
        <v>120</v>
      </c>
      <c r="DN3021" t="s">
        <v>120</v>
      </c>
    </row>
    <row r="3022" spans="1:118">
      <c r="A3022" t="str">
        <f>"600819"</f>
        <v>600819</v>
      </c>
      <c r="B3022" t="s">
        <v>13228</v>
      </c>
      <c r="C3022">
        <v>-0.75</v>
      </c>
      <c r="D3022">
        <v>0</v>
      </c>
      <c r="E3022">
        <v>0</v>
      </c>
      <c r="F3022">
        <v>806</v>
      </c>
      <c r="G3022" t="s">
        <v>12748</v>
      </c>
      <c r="H3022">
        <v>7764.27</v>
      </c>
      <c r="I3022">
        <v>29.99</v>
      </c>
      <c r="J3022" t="s">
        <v>120</v>
      </c>
      <c r="K3022" t="s">
        <v>13229</v>
      </c>
      <c r="L3022">
        <v>1.55</v>
      </c>
      <c r="M3022">
        <v>6.66</v>
      </c>
      <c r="N3022">
        <v>1.19</v>
      </c>
      <c r="O3022">
        <v>2.5299999999999998</v>
      </c>
      <c r="P3022">
        <v>6.88</v>
      </c>
      <c r="Q3022">
        <v>-1.94</v>
      </c>
      <c r="R3022">
        <v>6.58</v>
      </c>
      <c r="S3022">
        <v>6.71</v>
      </c>
      <c r="T3022">
        <v>115586</v>
      </c>
      <c r="U3022">
        <v>6.66</v>
      </c>
      <c r="V3022">
        <v>6.71</v>
      </c>
      <c r="W3022">
        <v>26.3</v>
      </c>
      <c r="X3022" t="s">
        <v>191</v>
      </c>
      <c r="Y3022" t="s">
        <v>1510</v>
      </c>
      <c r="Z3022">
        <v>4.47</v>
      </c>
      <c r="AA3022">
        <v>6.72</v>
      </c>
      <c r="AB3022">
        <v>59868</v>
      </c>
      <c r="AC3022">
        <v>55718</v>
      </c>
      <c r="AD3022">
        <v>1.07</v>
      </c>
      <c r="AE3022">
        <v>484</v>
      </c>
      <c r="AF3022">
        <v>587</v>
      </c>
      <c r="AG3022" t="s">
        <v>120</v>
      </c>
      <c r="AH3022">
        <v>0.02</v>
      </c>
      <c r="AI3022" t="s">
        <v>120</v>
      </c>
      <c r="AJ3022">
        <v>7.47</v>
      </c>
      <c r="AK3022" t="s">
        <v>7914</v>
      </c>
      <c r="AL3022">
        <v>0.6</v>
      </c>
      <c r="AM3022">
        <v>2497</v>
      </c>
      <c r="AN3022">
        <v>46</v>
      </c>
      <c r="AO3022">
        <v>5.9999999999999995E-4</v>
      </c>
      <c r="AP3022">
        <v>-1</v>
      </c>
      <c r="AQ3022">
        <v>3.87</v>
      </c>
      <c r="AR3022">
        <v>1.53</v>
      </c>
      <c r="AS3022">
        <v>9.36</v>
      </c>
      <c r="AT3022">
        <v>23.28</v>
      </c>
      <c r="AU3022">
        <v>10.97</v>
      </c>
      <c r="AV3022">
        <v>2</v>
      </c>
      <c r="AW3022">
        <v>4.82</v>
      </c>
      <c r="AX3022">
        <v>25.67</v>
      </c>
      <c r="AY3022">
        <v>23.68</v>
      </c>
      <c r="AZ3022">
        <v>34.99</v>
      </c>
      <c r="BA3022">
        <v>1.22</v>
      </c>
      <c r="BB3022" t="s">
        <v>143</v>
      </c>
      <c r="BF3022">
        <v>0.11</v>
      </c>
      <c r="BG3022">
        <v>-0.75</v>
      </c>
      <c r="BH3022">
        <v>-3.2</v>
      </c>
      <c r="BI3022">
        <v>1.22</v>
      </c>
      <c r="BJ3022">
        <v>20210827</v>
      </c>
      <c r="BK3022">
        <v>19940128</v>
      </c>
      <c r="BL3022">
        <v>9.35</v>
      </c>
      <c r="BM3022">
        <v>1.88</v>
      </c>
      <c r="BN3022" t="s">
        <v>120</v>
      </c>
      <c r="BO3022">
        <v>70.88</v>
      </c>
      <c r="BP3022">
        <v>6.65</v>
      </c>
      <c r="BQ3022">
        <v>35.07</v>
      </c>
      <c r="BR3022">
        <v>9.48</v>
      </c>
      <c r="BS3022">
        <v>37.14</v>
      </c>
      <c r="BT3022">
        <v>30.11</v>
      </c>
      <c r="BU3022">
        <v>32.46</v>
      </c>
      <c r="BV3022">
        <v>3.79</v>
      </c>
      <c r="BW3022">
        <v>21.68</v>
      </c>
      <c r="BX3022">
        <v>5.63</v>
      </c>
      <c r="BY3022">
        <v>9.4600000000000009</v>
      </c>
      <c r="BZ3022">
        <v>5.44</v>
      </c>
      <c r="CA3022" t="s">
        <v>120</v>
      </c>
      <c r="CB3022">
        <v>11.95</v>
      </c>
      <c r="CC3022">
        <v>21.54</v>
      </c>
      <c r="CD3022">
        <v>17.100000000000001</v>
      </c>
      <c r="CE3022">
        <v>1.48</v>
      </c>
      <c r="CF3022">
        <v>0.03</v>
      </c>
      <c r="CG3022">
        <v>1.46</v>
      </c>
      <c r="CH3022">
        <v>1.34</v>
      </c>
      <c r="CI3022">
        <v>1.18</v>
      </c>
      <c r="CJ3022">
        <v>-0.05</v>
      </c>
      <c r="CK3022">
        <v>0.79</v>
      </c>
      <c r="CL3022">
        <v>8.98</v>
      </c>
      <c r="CM3022">
        <v>3.16</v>
      </c>
      <c r="CN3022">
        <v>-1.7</v>
      </c>
      <c r="CO3022">
        <v>48535</v>
      </c>
      <c r="CP3022">
        <v>8808</v>
      </c>
      <c r="CQ3022" t="s">
        <v>6036</v>
      </c>
      <c r="CR3022">
        <v>262.33999999999997</v>
      </c>
      <c r="CS3022">
        <v>27.99</v>
      </c>
      <c r="CT3022">
        <v>1.78</v>
      </c>
      <c r="CU3022">
        <v>19.690000000000001</v>
      </c>
      <c r="CV3022">
        <v>2.89</v>
      </c>
      <c r="CW3022">
        <v>0.86</v>
      </c>
      <c r="CX3022" t="s">
        <v>986</v>
      </c>
      <c r="CY3022">
        <v>3.75</v>
      </c>
      <c r="CZ3022">
        <v>0</v>
      </c>
      <c r="DA3022">
        <v>1.28</v>
      </c>
      <c r="DB3022">
        <v>0.96</v>
      </c>
      <c r="DC3022">
        <v>0.34</v>
      </c>
      <c r="DD3022">
        <v>49.49</v>
      </c>
      <c r="DE3022" t="s">
        <v>2737</v>
      </c>
      <c r="DF3022">
        <v>20.6</v>
      </c>
      <c r="DG3022">
        <v>6.87</v>
      </c>
      <c r="DH3022">
        <v>5.49</v>
      </c>
      <c r="DI3022">
        <v>0.99</v>
      </c>
      <c r="DJ3022">
        <v>2646</v>
      </c>
      <c r="DK3022">
        <v>600819</v>
      </c>
      <c r="DL3022" t="s">
        <v>120</v>
      </c>
      <c r="DM3022" t="s">
        <v>120</v>
      </c>
      <c r="DN3022" t="s">
        <v>120</v>
      </c>
    </row>
    <row r="3023" spans="1:118">
      <c r="A3023" t="str">
        <f>"600820"</f>
        <v>600820</v>
      </c>
      <c r="B3023" t="s">
        <v>13230</v>
      </c>
      <c r="C3023">
        <v>-0.51</v>
      </c>
      <c r="D3023">
        <v>-0.16</v>
      </c>
      <c r="E3023">
        <v>0.68</v>
      </c>
      <c r="F3023">
        <v>5094</v>
      </c>
      <c r="G3023" t="s">
        <v>13231</v>
      </c>
      <c r="H3023">
        <v>34638.980000000003</v>
      </c>
      <c r="I3023">
        <v>94.78</v>
      </c>
      <c r="J3023" t="s">
        <v>120</v>
      </c>
      <c r="K3023" t="s">
        <v>13232</v>
      </c>
      <c r="L3023">
        <v>1.82</v>
      </c>
      <c r="M3023">
        <v>5.88</v>
      </c>
      <c r="N3023">
        <v>1.62</v>
      </c>
      <c r="O3023">
        <v>5.41</v>
      </c>
      <c r="P3023">
        <v>6.23</v>
      </c>
      <c r="Q3023">
        <v>-1.02</v>
      </c>
      <c r="R3023">
        <v>5.85</v>
      </c>
      <c r="S3023">
        <v>5.95</v>
      </c>
      <c r="T3023">
        <v>571044</v>
      </c>
      <c r="U3023">
        <v>5.89</v>
      </c>
      <c r="V3023">
        <v>5.91</v>
      </c>
      <c r="W3023">
        <v>11.77</v>
      </c>
      <c r="X3023" t="s">
        <v>175</v>
      </c>
      <c r="Y3023" t="s">
        <v>1510</v>
      </c>
      <c r="Z3023">
        <v>6.43</v>
      </c>
      <c r="AA3023">
        <v>6.07</v>
      </c>
      <c r="AB3023">
        <v>279973</v>
      </c>
      <c r="AC3023">
        <v>291071</v>
      </c>
      <c r="AD3023">
        <v>0.96</v>
      </c>
      <c r="AE3023">
        <v>442</v>
      </c>
      <c r="AF3023">
        <v>560</v>
      </c>
      <c r="AG3023" t="s">
        <v>120</v>
      </c>
      <c r="AH3023">
        <v>0.01</v>
      </c>
      <c r="AI3023" t="s">
        <v>120</v>
      </c>
      <c r="AJ3023">
        <v>31.44</v>
      </c>
      <c r="AK3023" t="s">
        <v>13232</v>
      </c>
      <c r="AL3023">
        <v>0.84</v>
      </c>
      <c r="AM3023">
        <v>4077</v>
      </c>
      <c r="AN3023">
        <v>140</v>
      </c>
      <c r="AO3023">
        <v>4.0000000000000002E-4</v>
      </c>
      <c r="AP3023">
        <v>-1</v>
      </c>
      <c r="AQ3023">
        <v>0.17</v>
      </c>
      <c r="AR3023">
        <v>-1.83</v>
      </c>
      <c r="AS3023">
        <v>17.84</v>
      </c>
      <c r="AT3023">
        <v>14.18</v>
      </c>
      <c r="AU3023">
        <v>13.29</v>
      </c>
      <c r="AV3023">
        <v>0</v>
      </c>
      <c r="AW3023">
        <v>3.11</v>
      </c>
      <c r="AX3023">
        <v>58.34</v>
      </c>
      <c r="AY3023">
        <v>7.46</v>
      </c>
      <c r="AZ3023">
        <v>8.1999999999999993</v>
      </c>
      <c r="BA3023">
        <v>0.37</v>
      </c>
      <c r="BB3023" t="s">
        <v>143</v>
      </c>
      <c r="BF3023">
        <v>2.64</v>
      </c>
      <c r="BG3023">
        <v>-1.18</v>
      </c>
      <c r="BH3023">
        <v>-5.62</v>
      </c>
      <c r="BI3023">
        <v>0.51</v>
      </c>
      <c r="BJ3023">
        <v>20210907</v>
      </c>
      <c r="BK3023">
        <v>19940128</v>
      </c>
      <c r="BL3023">
        <v>31.44</v>
      </c>
      <c r="BM3023" t="s">
        <v>120</v>
      </c>
      <c r="BN3023" t="s">
        <v>120</v>
      </c>
      <c r="BO3023">
        <v>1142.02</v>
      </c>
      <c r="BP3023">
        <v>5.88</v>
      </c>
      <c r="BQ3023">
        <v>238.2</v>
      </c>
      <c r="BR3023">
        <v>26.69</v>
      </c>
      <c r="BS3023">
        <v>76.81</v>
      </c>
      <c r="BT3023">
        <v>573.03</v>
      </c>
      <c r="BU3023">
        <v>35.08</v>
      </c>
      <c r="BV3023">
        <v>39.770000000000003</v>
      </c>
      <c r="BW3023">
        <v>605.49</v>
      </c>
      <c r="BX3023">
        <v>126.04</v>
      </c>
      <c r="BY3023">
        <v>7.68</v>
      </c>
      <c r="BZ3023">
        <v>208.92</v>
      </c>
      <c r="CA3023" t="s">
        <v>120</v>
      </c>
      <c r="CB3023">
        <v>64.83</v>
      </c>
      <c r="CC3023">
        <v>250.94</v>
      </c>
      <c r="CD3023">
        <v>225.22</v>
      </c>
      <c r="CE3023">
        <v>10.63</v>
      </c>
      <c r="CF3023">
        <v>8.7200000000000006</v>
      </c>
      <c r="CG3023">
        <v>10.7</v>
      </c>
      <c r="CH3023">
        <v>8.07</v>
      </c>
      <c r="CI3023">
        <v>7.85</v>
      </c>
      <c r="CJ3023">
        <v>-0.03</v>
      </c>
      <c r="CK3023">
        <v>7.44</v>
      </c>
      <c r="CL3023">
        <v>126.42</v>
      </c>
      <c r="CM3023">
        <v>-53.75</v>
      </c>
      <c r="CN3023">
        <v>-43.09</v>
      </c>
      <c r="CO3023">
        <v>129447</v>
      </c>
      <c r="CP3023">
        <v>14171</v>
      </c>
      <c r="CQ3023" t="s">
        <v>8885</v>
      </c>
      <c r="CR3023">
        <v>40.19</v>
      </c>
      <c r="CS3023">
        <v>31.48</v>
      </c>
      <c r="CT3023">
        <v>0.78</v>
      </c>
      <c r="CU3023">
        <v>-3.44</v>
      </c>
      <c r="CV3023">
        <v>0.74</v>
      </c>
      <c r="CW3023">
        <v>3.72</v>
      </c>
      <c r="CX3023" t="s">
        <v>863</v>
      </c>
      <c r="CY3023">
        <v>7.58</v>
      </c>
      <c r="CZ3023">
        <v>0</v>
      </c>
      <c r="DA3023">
        <v>2.06</v>
      </c>
      <c r="DB3023">
        <v>4.0199999999999996</v>
      </c>
      <c r="DC3023">
        <v>-1.71</v>
      </c>
      <c r="DD3023">
        <v>20.86</v>
      </c>
      <c r="DE3023" t="s">
        <v>6470</v>
      </c>
      <c r="DF3023">
        <v>10.25</v>
      </c>
      <c r="DG3023">
        <v>4.24</v>
      </c>
      <c r="DH3023">
        <v>3.13</v>
      </c>
      <c r="DI3023">
        <v>8.08</v>
      </c>
      <c r="DJ3023">
        <v>15056</v>
      </c>
      <c r="DK3023">
        <v>600820</v>
      </c>
      <c r="DL3023" t="s">
        <v>120</v>
      </c>
      <c r="DM3023" t="s">
        <v>120</v>
      </c>
      <c r="DN3023" t="s">
        <v>120</v>
      </c>
    </row>
    <row r="3024" spans="1:118">
      <c r="A3024" t="str">
        <f>"600821"</f>
        <v>600821</v>
      </c>
      <c r="B3024" t="s">
        <v>13233</v>
      </c>
      <c r="C3024">
        <v>-1.04</v>
      </c>
      <c r="D3024">
        <v>0</v>
      </c>
      <c r="E3024">
        <v>3.42</v>
      </c>
      <c r="F3024">
        <v>1388</v>
      </c>
      <c r="G3024" t="s">
        <v>13234</v>
      </c>
      <c r="H3024">
        <v>22985.48</v>
      </c>
      <c r="I3024">
        <v>241.51</v>
      </c>
      <c r="J3024" t="s">
        <v>120</v>
      </c>
      <c r="K3024" t="s">
        <v>13235</v>
      </c>
      <c r="L3024">
        <v>3.47</v>
      </c>
      <c r="M3024">
        <v>6.66</v>
      </c>
      <c r="N3024">
        <v>1.29</v>
      </c>
      <c r="O3024">
        <v>5.05</v>
      </c>
      <c r="P3024">
        <v>7.07</v>
      </c>
      <c r="Q3024">
        <v>-1.49</v>
      </c>
      <c r="R3024">
        <v>6.63</v>
      </c>
      <c r="S3024">
        <v>6.96</v>
      </c>
      <c r="T3024">
        <v>335142</v>
      </c>
      <c r="U3024">
        <v>6.67</v>
      </c>
      <c r="V3024">
        <v>6.73</v>
      </c>
      <c r="W3024">
        <v>23.37</v>
      </c>
      <c r="X3024" t="s">
        <v>356</v>
      </c>
      <c r="Y3024" t="s">
        <v>997</v>
      </c>
      <c r="Z3024">
        <v>6.54</v>
      </c>
      <c r="AA3024">
        <v>6.86</v>
      </c>
      <c r="AB3024">
        <v>167975</v>
      </c>
      <c r="AC3024">
        <v>167166</v>
      </c>
      <c r="AD3024">
        <v>1</v>
      </c>
      <c r="AE3024">
        <v>11</v>
      </c>
      <c r="AF3024">
        <v>532</v>
      </c>
      <c r="AG3024" t="s">
        <v>120</v>
      </c>
      <c r="AH3024">
        <v>0.06</v>
      </c>
      <c r="AI3024" t="s">
        <v>120</v>
      </c>
      <c r="AJ3024">
        <v>9.66</v>
      </c>
      <c r="AK3024" t="s">
        <v>13236</v>
      </c>
      <c r="AL3024">
        <v>0.3</v>
      </c>
      <c r="AM3024">
        <v>3479</v>
      </c>
      <c r="AN3024">
        <v>96</v>
      </c>
      <c r="AO3024">
        <v>1E-3</v>
      </c>
      <c r="AP3024">
        <v>-1</v>
      </c>
      <c r="AQ3024">
        <v>3.86</v>
      </c>
      <c r="AR3024">
        <v>1.37</v>
      </c>
      <c r="AS3024">
        <v>30.84</v>
      </c>
      <c r="AT3024">
        <v>6.22</v>
      </c>
      <c r="AU3024">
        <v>44.15</v>
      </c>
      <c r="AV3024">
        <v>4</v>
      </c>
      <c r="AW3024">
        <v>6.02</v>
      </c>
      <c r="AX3024">
        <v>36.229999999999997</v>
      </c>
      <c r="AY3024">
        <v>36.26</v>
      </c>
      <c r="AZ3024">
        <v>183.43</v>
      </c>
      <c r="BA3024">
        <v>1.1399999999999999</v>
      </c>
      <c r="BB3024" t="s">
        <v>184</v>
      </c>
      <c r="BF3024">
        <v>1.91</v>
      </c>
      <c r="BG3024">
        <v>-4.3099999999999996</v>
      </c>
      <c r="BH3024">
        <v>-5.8</v>
      </c>
      <c r="BI3024">
        <v>0.45</v>
      </c>
      <c r="BJ3024">
        <v>20210827</v>
      </c>
      <c r="BK3024">
        <v>19940128</v>
      </c>
      <c r="BL3024">
        <v>15.36</v>
      </c>
      <c r="BM3024" t="s">
        <v>120</v>
      </c>
      <c r="BN3024" t="s">
        <v>120</v>
      </c>
      <c r="BO3024">
        <v>209.15</v>
      </c>
      <c r="BP3024">
        <v>6.66</v>
      </c>
      <c r="BQ3024">
        <v>46.9</v>
      </c>
      <c r="BR3024">
        <v>2.79</v>
      </c>
      <c r="BS3024">
        <v>76.239999999999995</v>
      </c>
      <c r="BT3024">
        <v>62.63</v>
      </c>
      <c r="BU3024">
        <v>102.76</v>
      </c>
      <c r="BV3024">
        <v>0.4</v>
      </c>
      <c r="BW3024">
        <v>50.75</v>
      </c>
      <c r="BX3024">
        <v>21.33</v>
      </c>
      <c r="BY3024">
        <v>0.05</v>
      </c>
      <c r="BZ3024">
        <v>31.08</v>
      </c>
      <c r="CA3024">
        <v>0.01</v>
      </c>
      <c r="CB3024">
        <v>34.32</v>
      </c>
      <c r="CC3024">
        <v>8.6300000000000008</v>
      </c>
      <c r="CD3024">
        <v>2.95</v>
      </c>
      <c r="CE3024">
        <v>2.41</v>
      </c>
      <c r="CF3024">
        <v>0.04</v>
      </c>
      <c r="CG3024">
        <v>2.56</v>
      </c>
      <c r="CH3024">
        <v>2.2799999999999998</v>
      </c>
      <c r="CI3024">
        <v>2.19</v>
      </c>
      <c r="CJ3024">
        <v>-7.0000000000000007E-2</v>
      </c>
      <c r="CK3024">
        <v>2</v>
      </c>
      <c r="CL3024">
        <v>-3.76</v>
      </c>
      <c r="CM3024">
        <v>2.38</v>
      </c>
      <c r="CN3024">
        <v>11.23</v>
      </c>
      <c r="CO3024">
        <v>36204</v>
      </c>
      <c r="CP3024">
        <v>15376</v>
      </c>
      <c r="CQ3024" t="s">
        <v>8525</v>
      </c>
      <c r="CR3024">
        <v>2319.65</v>
      </c>
      <c r="CS3024">
        <v>30.02</v>
      </c>
      <c r="CT3024">
        <v>2.1800000000000002</v>
      </c>
      <c r="CU3024">
        <v>43.04</v>
      </c>
      <c r="CV3024">
        <v>11.86</v>
      </c>
      <c r="CW3024">
        <v>0</v>
      </c>
      <c r="CX3024" t="s">
        <v>1193</v>
      </c>
      <c r="CY3024">
        <v>3.05</v>
      </c>
      <c r="CZ3024">
        <v>0</v>
      </c>
      <c r="DA3024">
        <v>2.23</v>
      </c>
      <c r="DB3024">
        <v>-0.24</v>
      </c>
      <c r="DC3024">
        <v>0.15</v>
      </c>
      <c r="DD3024">
        <v>22.42</v>
      </c>
      <c r="DE3024" t="s">
        <v>9778</v>
      </c>
      <c r="DF3024">
        <v>65.790000000000006</v>
      </c>
      <c r="DG3024">
        <v>27.87</v>
      </c>
      <c r="DH3024">
        <v>25.37</v>
      </c>
      <c r="DI3024" t="s">
        <v>120</v>
      </c>
      <c r="DJ3024">
        <v>253</v>
      </c>
      <c r="DK3024">
        <v>600821</v>
      </c>
      <c r="DL3024" t="s">
        <v>120</v>
      </c>
      <c r="DM3024" t="s">
        <v>120</v>
      </c>
      <c r="DN3024" t="s">
        <v>120</v>
      </c>
    </row>
    <row r="3025" spans="1:118">
      <c r="A3025" t="str">
        <f>"600822"</f>
        <v>600822</v>
      </c>
      <c r="B3025" t="s">
        <v>13237</v>
      </c>
      <c r="C3025">
        <v>-0.67</v>
      </c>
      <c r="D3025">
        <v>0.23</v>
      </c>
      <c r="E3025">
        <v>0</v>
      </c>
      <c r="F3025">
        <v>251</v>
      </c>
      <c r="G3025" t="s">
        <v>13238</v>
      </c>
      <c r="H3025">
        <v>1111.57</v>
      </c>
      <c r="I3025">
        <v>1.1599999999999999</v>
      </c>
      <c r="J3025" t="s">
        <v>120</v>
      </c>
      <c r="K3025" t="s">
        <v>13239</v>
      </c>
      <c r="L3025">
        <v>0.31</v>
      </c>
      <c r="M3025">
        <v>8.8800000000000008</v>
      </c>
      <c r="N3025">
        <v>0.67</v>
      </c>
      <c r="O3025">
        <v>0.67</v>
      </c>
      <c r="P3025">
        <v>9</v>
      </c>
      <c r="Q3025">
        <v>-1.45</v>
      </c>
      <c r="R3025">
        <v>8.81</v>
      </c>
      <c r="S3025">
        <v>8.94</v>
      </c>
      <c r="T3025">
        <v>12464</v>
      </c>
      <c r="U3025">
        <v>8.8800000000000008</v>
      </c>
      <c r="V3025">
        <v>8.94</v>
      </c>
      <c r="W3025">
        <v>65.37</v>
      </c>
      <c r="X3025" t="s">
        <v>562</v>
      </c>
      <c r="Y3025" t="s">
        <v>1510</v>
      </c>
      <c r="Z3025">
        <v>2.13</v>
      </c>
      <c r="AA3025">
        <v>8.92</v>
      </c>
      <c r="AB3025">
        <v>7521</v>
      </c>
      <c r="AC3025">
        <v>4943</v>
      </c>
      <c r="AD3025">
        <v>1.52</v>
      </c>
      <c r="AE3025">
        <v>131</v>
      </c>
      <c r="AF3025">
        <v>87</v>
      </c>
      <c r="AG3025" t="s">
        <v>120</v>
      </c>
      <c r="AH3025">
        <v>0</v>
      </c>
      <c r="AI3025" t="s">
        <v>120</v>
      </c>
      <c r="AJ3025">
        <v>3.96</v>
      </c>
      <c r="AK3025" t="s">
        <v>2795</v>
      </c>
      <c r="AL3025">
        <v>0.67</v>
      </c>
      <c r="AM3025">
        <v>705</v>
      </c>
      <c r="AN3025">
        <v>18</v>
      </c>
      <c r="AO3025">
        <v>4.0000000000000002E-4</v>
      </c>
      <c r="AP3025">
        <v>-1</v>
      </c>
      <c r="AQ3025">
        <v>0.45</v>
      </c>
      <c r="AR3025">
        <v>-1.77</v>
      </c>
      <c r="AS3025">
        <v>4.84</v>
      </c>
      <c r="AT3025">
        <v>-4.72</v>
      </c>
      <c r="AU3025">
        <v>-16.38</v>
      </c>
      <c r="AV3025">
        <v>3</v>
      </c>
      <c r="AW3025">
        <v>0.79</v>
      </c>
      <c r="AX3025">
        <v>31.77</v>
      </c>
      <c r="AY3025">
        <v>34.26</v>
      </c>
      <c r="AZ3025">
        <v>38.71</v>
      </c>
      <c r="BA3025">
        <v>0.76</v>
      </c>
      <c r="BB3025" t="s">
        <v>143</v>
      </c>
      <c r="BF3025">
        <v>-0.24</v>
      </c>
      <c r="BG3025">
        <v>-0.67</v>
      </c>
      <c r="BH3025">
        <v>-1.33</v>
      </c>
      <c r="BI3025">
        <v>0.79</v>
      </c>
      <c r="BJ3025">
        <v>20210827</v>
      </c>
      <c r="BK3025">
        <v>19940204</v>
      </c>
      <c r="BL3025">
        <v>4.96</v>
      </c>
      <c r="BM3025">
        <v>1</v>
      </c>
      <c r="BN3025" t="s">
        <v>120</v>
      </c>
      <c r="BO3025">
        <v>18.920000000000002</v>
      </c>
      <c r="BP3025">
        <v>8.8699999999999992</v>
      </c>
      <c r="BQ3025">
        <v>8.2100000000000009</v>
      </c>
      <c r="BR3025">
        <v>0.54</v>
      </c>
      <c r="BS3025">
        <v>53.72</v>
      </c>
      <c r="BT3025">
        <v>11.65</v>
      </c>
      <c r="BU3025">
        <v>2.97</v>
      </c>
      <c r="BV3025">
        <v>0.3</v>
      </c>
      <c r="BW3025">
        <v>7.91</v>
      </c>
      <c r="BX3025">
        <v>6.19</v>
      </c>
      <c r="BY3025">
        <v>2.21</v>
      </c>
      <c r="BZ3025">
        <v>0.34</v>
      </c>
      <c r="CA3025">
        <v>0.02</v>
      </c>
      <c r="CB3025">
        <v>17.829999999999998</v>
      </c>
      <c r="CC3025">
        <v>32.590000000000003</v>
      </c>
      <c r="CD3025">
        <v>30.79</v>
      </c>
      <c r="CE3025">
        <v>0.41</v>
      </c>
      <c r="CF3025">
        <v>0.08</v>
      </c>
      <c r="CG3025">
        <v>0.44</v>
      </c>
      <c r="CH3025">
        <v>0.35</v>
      </c>
      <c r="CI3025">
        <v>0.34</v>
      </c>
      <c r="CJ3025">
        <v>-0.06</v>
      </c>
      <c r="CK3025">
        <v>0.28999999999999998</v>
      </c>
      <c r="CL3025">
        <v>-15.34</v>
      </c>
      <c r="CM3025">
        <v>-1.58</v>
      </c>
      <c r="CN3025">
        <v>-0.8</v>
      </c>
      <c r="CO3025">
        <v>39442</v>
      </c>
      <c r="CP3025">
        <v>6526</v>
      </c>
      <c r="CQ3025" t="s">
        <v>4325</v>
      </c>
      <c r="CR3025">
        <v>79.14</v>
      </c>
      <c r="CS3025">
        <v>-2.95</v>
      </c>
      <c r="CT3025">
        <v>5.36</v>
      </c>
      <c r="CU3025">
        <v>-27.79</v>
      </c>
      <c r="CV3025">
        <v>1.35</v>
      </c>
      <c r="CW3025">
        <v>0</v>
      </c>
      <c r="CX3025" t="s">
        <v>2200</v>
      </c>
      <c r="CY3025">
        <v>1.66</v>
      </c>
      <c r="CZ3025">
        <v>0</v>
      </c>
      <c r="DA3025">
        <v>3.59</v>
      </c>
      <c r="DB3025">
        <v>-3.09</v>
      </c>
      <c r="DC3025">
        <v>-0.32</v>
      </c>
      <c r="DD3025">
        <v>43.4</v>
      </c>
      <c r="DE3025" t="s">
        <v>1587</v>
      </c>
      <c r="DF3025">
        <v>5.52</v>
      </c>
      <c r="DG3025">
        <v>1.25</v>
      </c>
      <c r="DH3025">
        <v>1.03</v>
      </c>
      <c r="DI3025" t="s">
        <v>120</v>
      </c>
      <c r="DJ3025">
        <v>992</v>
      </c>
      <c r="DK3025">
        <v>600822</v>
      </c>
      <c r="DL3025" t="s">
        <v>120</v>
      </c>
      <c r="DM3025" t="s">
        <v>120</v>
      </c>
      <c r="DN3025" t="s">
        <v>120</v>
      </c>
    </row>
    <row r="3026" spans="1:118">
      <c r="A3026" t="str">
        <f>"600823"</f>
        <v>600823</v>
      </c>
      <c r="B3026" t="s">
        <v>13240</v>
      </c>
      <c r="C3026">
        <v>-0.27</v>
      </c>
      <c r="D3026">
        <v>0.83</v>
      </c>
      <c r="E3026">
        <v>0.82</v>
      </c>
      <c r="F3026">
        <v>9300</v>
      </c>
      <c r="G3026" t="s">
        <v>8796</v>
      </c>
      <c r="H3026">
        <v>5062.8599999999997</v>
      </c>
      <c r="I3026">
        <v>17.649999999999999</v>
      </c>
      <c r="J3026" t="s">
        <v>120</v>
      </c>
      <c r="K3026" t="s">
        <v>13241</v>
      </c>
      <c r="L3026">
        <v>0.37</v>
      </c>
      <c r="M3026">
        <v>3.66</v>
      </c>
      <c r="N3026">
        <v>0.85</v>
      </c>
      <c r="O3026">
        <v>1.36</v>
      </c>
      <c r="P3026">
        <v>3.72</v>
      </c>
      <c r="Q3026">
        <v>-1.36</v>
      </c>
      <c r="R3026">
        <v>3.62</v>
      </c>
      <c r="S3026">
        <v>3.7</v>
      </c>
      <c r="T3026">
        <v>137931</v>
      </c>
      <c r="U3026">
        <v>3.66</v>
      </c>
      <c r="V3026">
        <v>3.67</v>
      </c>
      <c r="W3026">
        <v>6</v>
      </c>
      <c r="X3026" t="s">
        <v>132</v>
      </c>
      <c r="Y3026" t="s">
        <v>1510</v>
      </c>
      <c r="Z3026">
        <v>2.72</v>
      </c>
      <c r="AA3026">
        <v>3.67</v>
      </c>
      <c r="AB3026">
        <v>74314</v>
      </c>
      <c r="AC3026">
        <v>63617</v>
      </c>
      <c r="AD3026">
        <v>1.17</v>
      </c>
      <c r="AE3026">
        <v>838</v>
      </c>
      <c r="AF3026">
        <v>2493</v>
      </c>
      <c r="AG3026" t="s">
        <v>120</v>
      </c>
      <c r="AH3026">
        <v>0</v>
      </c>
      <c r="AI3026" t="s">
        <v>120</v>
      </c>
      <c r="AJ3026">
        <v>37.51</v>
      </c>
      <c r="AK3026" t="s">
        <v>13241</v>
      </c>
      <c r="AL3026">
        <v>1.07</v>
      </c>
      <c r="AM3026">
        <v>2214</v>
      </c>
      <c r="AN3026">
        <v>62</v>
      </c>
      <c r="AO3026">
        <v>2.0000000000000001E-4</v>
      </c>
      <c r="AP3026">
        <v>-3</v>
      </c>
      <c r="AQ3026">
        <v>-0.27</v>
      </c>
      <c r="AR3026">
        <v>-4.18</v>
      </c>
      <c r="AS3026">
        <v>5.78</v>
      </c>
      <c r="AT3026">
        <v>-6.64</v>
      </c>
      <c r="AU3026">
        <v>-17.57</v>
      </c>
      <c r="AV3026">
        <v>1</v>
      </c>
      <c r="AW3026">
        <v>1.37</v>
      </c>
      <c r="AX3026">
        <v>26.85</v>
      </c>
      <c r="AY3026">
        <v>8.32</v>
      </c>
      <c r="AZ3026">
        <v>8.8800000000000008</v>
      </c>
      <c r="BA3026">
        <v>0.47</v>
      </c>
      <c r="BB3026" t="s">
        <v>143</v>
      </c>
      <c r="BF3026">
        <v>0.02</v>
      </c>
      <c r="BG3026">
        <v>-1.08</v>
      </c>
      <c r="BH3026">
        <v>-1.61</v>
      </c>
      <c r="BI3026">
        <v>1.1000000000000001</v>
      </c>
      <c r="BJ3026">
        <v>20210821</v>
      </c>
      <c r="BK3026">
        <v>19940204</v>
      </c>
      <c r="BL3026">
        <v>37.51</v>
      </c>
      <c r="BM3026" t="s">
        <v>120</v>
      </c>
      <c r="BN3026" t="s">
        <v>120</v>
      </c>
      <c r="BO3026">
        <v>1547.58</v>
      </c>
      <c r="BP3026">
        <v>3.64</v>
      </c>
      <c r="BQ3026">
        <v>273.54000000000002</v>
      </c>
      <c r="BR3026">
        <v>269.82</v>
      </c>
      <c r="BS3026">
        <v>64.89</v>
      </c>
      <c r="BT3026">
        <v>925.14</v>
      </c>
      <c r="BU3026">
        <v>15.87</v>
      </c>
      <c r="BV3026">
        <v>2.67</v>
      </c>
      <c r="BW3026">
        <v>754.87</v>
      </c>
      <c r="BX3026">
        <v>174.06</v>
      </c>
      <c r="BY3026">
        <v>627.35</v>
      </c>
      <c r="BZ3026">
        <v>44.07</v>
      </c>
      <c r="CA3026">
        <v>1.43</v>
      </c>
      <c r="CB3026">
        <v>7.78</v>
      </c>
      <c r="CC3026">
        <v>119.01</v>
      </c>
      <c r="CD3026">
        <v>73.099999999999994</v>
      </c>
      <c r="CE3026">
        <v>29</v>
      </c>
      <c r="CF3026">
        <v>-0.06</v>
      </c>
      <c r="CG3026">
        <v>29.4</v>
      </c>
      <c r="CH3026">
        <v>21.8</v>
      </c>
      <c r="CI3026">
        <v>11.43</v>
      </c>
      <c r="CJ3026">
        <v>-0.01</v>
      </c>
      <c r="CK3026">
        <v>11.16</v>
      </c>
      <c r="CL3026">
        <v>179.03</v>
      </c>
      <c r="CM3026">
        <v>24.8</v>
      </c>
      <c r="CN3026">
        <v>47.88</v>
      </c>
      <c r="CO3026">
        <v>38602</v>
      </c>
      <c r="CP3026">
        <v>26092</v>
      </c>
      <c r="CQ3026" t="s">
        <v>12236</v>
      </c>
      <c r="CR3026">
        <v>10.029999999999999</v>
      </c>
      <c r="CS3026">
        <v>29.98</v>
      </c>
      <c r="CT3026">
        <v>0.5</v>
      </c>
      <c r="CU3026">
        <v>5.54</v>
      </c>
      <c r="CV3026">
        <v>1.1499999999999999</v>
      </c>
      <c r="CW3026">
        <v>4.63</v>
      </c>
      <c r="CX3026" t="s">
        <v>1340</v>
      </c>
      <c r="CY3026">
        <v>7.29</v>
      </c>
      <c r="CZ3026">
        <v>0</v>
      </c>
      <c r="DA3026">
        <v>0.21</v>
      </c>
      <c r="DB3026">
        <v>4.7699999999999996</v>
      </c>
      <c r="DC3026">
        <v>0.66</v>
      </c>
      <c r="DD3026">
        <v>17.68</v>
      </c>
      <c r="DE3026" t="s">
        <v>3761</v>
      </c>
      <c r="DF3026">
        <v>38.57</v>
      </c>
      <c r="DG3026">
        <v>24.37</v>
      </c>
      <c r="DH3026">
        <v>9.61</v>
      </c>
      <c r="DI3026" t="s">
        <v>120</v>
      </c>
      <c r="DJ3026">
        <v>2615</v>
      </c>
      <c r="DK3026">
        <v>600823</v>
      </c>
      <c r="DL3026" t="s">
        <v>120</v>
      </c>
      <c r="DM3026" t="s">
        <v>120</v>
      </c>
      <c r="DN3026" t="s">
        <v>120</v>
      </c>
    </row>
    <row r="3027" spans="1:118">
      <c r="A3027" t="str">
        <f>"600824"</f>
        <v>600824</v>
      </c>
      <c r="B3027" t="s">
        <v>13242</v>
      </c>
      <c r="C3027">
        <v>-1.83</v>
      </c>
      <c r="D3027">
        <v>0.27</v>
      </c>
      <c r="E3027">
        <v>0</v>
      </c>
      <c r="F3027">
        <v>1187</v>
      </c>
      <c r="G3027" t="s">
        <v>4206</v>
      </c>
      <c r="H3027">
        <v>1305.06</v>
      </c>
      <c r="I3027">
        <v>2.1800000000000002</v>
      </c>
      <c r="J3027" t="s">
        <v>120</v>
      </c>
      <c r="K3027" t="s">
        <v>2780</v>
      </c>
      <c r="L3027">
        <v>0.33</v>
      </c>
      <c r="M3027">
        <v>3.76</v>
      </c>
      <c r="N3027">
        <v>0.61</v>
      </c>
      <c r="O3027">
        <v>0.78</v>
      </c>
      <c r="P3027">
        <v>3.86</v>
      </c>
      <c r="Q3027">
        <v>-2.35</v>
      </c>
      <c r="R3027">
        <v>3.74</v>
      </c>
      <c r="S3027">
        <v>3.83</v>
      </c>
      <c r="T3027">
        <v>34293</v>
      </c>
      <c r="U3027">
        <v>3.77</v>
      </c>
      <c r="V3027">
        <v>3.83</v>
      </c>
      <c r="W3027">
        <v>27.83</v>
      </c>
      <c r="X3027" t="s">
        <v>735</v>
      </c>
      <c r="Y3027" t="s">
        <v>1510</v>
      </c>
      <c r="Z3027">
        <v>3.13</v>
      </c>
      <c r="AA3027">
        <v>3.81</v>
      </c>
      <c r="AB3027">
        <v>22071</v>
      </c>
      <c r="AC3027">
        <v>12222</v>
      </c>
      <c r="AD3027">
        <v>1.81</v>
      </c>
      <c r="AE3027">
        <v>133</v>
      </c>
      <c r="AF3027">
        <v>54</v>
      </c>
      <c r="AG3027" t="s">
        <v>120</v>
      </c>
      <c r="AH3027">
        <v>0</v>
      </c>
      <c r="AI3027" t="s">
        <v>120</v>
      </c>
      <c r="AJ3027">
        <v>10.54</v>
      </c>
      <c r="AK3027" t="s">
        <v>2780</v>
      </c>
      <c r="AL3027">
        <v>-0.48</v>
      </c>
      <c r="AM3027">
        <v>833</v>
      </c>
      <c r="AN3027">
        <v>41</v>
      </c>
      <c r="AO3027">
        <v>4.0000000000000002E-4</v>
      </c>
      <c r="AP3027">
        <v>-1</v>
      </c>
      <c r="AQ3027">
        <v>0.26</v>
      </c>
      <c r="AR3027">
        <v>-3.34</v>
      </c>
      <c r="AS3027">
        <v>6.21</v>
      </c>
      <c r="AT3027">
        <v>2.4500000000000002</v>
      </c>
      <c r="AU3027">
        <v>3.87</v>
      </c>
      <c r="AV3027">
        <v>1</v>
      </c>
      <c r="AW3027">
        <v>0.54</v>
      </c>
      <c r="AX3027">
        <v>60.33</v>
      </c>
      <c r="AY3027">
        <v>17.079999999999998</v>
      </c>
      <c r="AZ3027">
        <v>23.01</v>
      </c>
      <c r="BA3027">
        <v>0.56000000000000005</v>
      </c>
      <c r="BB3027" t="s">
        <v>143</v>
      </c>
      <c r="BF3027">
        <v>-0.64</v>
      </c>
      <c r="BG3027">
        <v>-1.83</v>
      </c>
      <c r="BH3027">
        <v>-2.59</v>
      </c>
      <c r="BI3027">
        <v>0.53</v>
      </c>
      <c r="BJ3027">
        <v>20210902</v>
      </c>
      <c r="BK3027">
        <v>19940204</v>
      </c>
      <c r="BL3027">
        <v>10.54</v>
      </c>
      <c r="BM3027" t="s">
        <v>120</v>
      </c>
      <c r="BN3027" t="s">
        <v>120</v>
      </c>
      <c r="BO3027">
        <v>35.58</v>
      </c>
      <c r="BP3027">
        <v>3.76</v>
      </c>
      <c r="BQ3027">
        <v>26.44</v>
      </c>
      <c r="BR3027">
        <v>0.39</v>
      </c>
      <c r="BS3027">
        <v>24.59</v>
      </c>
      <c r="BT3027">
        <v>17.03</v>
      </c>
      <c r="BU3027">
        <v>1.73</v>
      </c>
      <c r="BV3027">
        <v>0.11</v>
      </c>
      <c r="BW3027">
        <v>6.76</v>
      </c>
      <c r="BX3027">
        <v>5.6</v>
      </c>
      <c r="BY3027">
        <v>3.6</v>
      </c>
      <c r="BZ3027">
        <v>0.62</v>
      </c>
      <c r="CA3027">
        <v>0.16</v>
      </c>
      <c r="CB3027">
        <v>1.56</v>
      </c>
      <c r="CC3027">
        <v>6.22</v>
      </c>
      <c r="CD3027">
        <v>3.59</v>
      </c>
      <c r="CE3027">
        <v>0.89</v>
      </c>
      <c r="CF3027">
        <v>0.03</v>
      </c>
      <c r="CG3027">
        <v>0.91</v>
      </c>
      <c r="CH3027">
        <v>0.73</v>
      </c>
      <c r="CI3027">
        <v>0.71</v>
      </c>
      <c r="CJ3027">
        <v>-7.0000000000000007E-2</v>
      </c>
      <c r="CK3027">
        <v>0.52</v>
      </c>
      <c r="CL3027">
        <v>11.52</v>
      </c>
      <c r="CM3027">
        <v>1.38</v>
      </c>
      <c r="CN3027">
        <v>-4.83</v>
      </c>
      <c r="CO3027">
        <v>51960</v>
      </c>
      <c r="CP3027">
        <v>12239</v>
      </c>
      <c r="CQ3027" t="s">
        <v>3374</v>
      </c>
      <c r="CR3027">
        <v>588.88</v>
      </c>
      <c r="CS3027">
        <v>6.08</v>
      </c>
      <c r="CT3027">
        <v>1.5</v>
      </c>
      <c r="CU3027">
        <v>28.69</v>
      </c>
      <c r="CV3027">
        <v>6.37</v>
      </c>
      <c r="CW3027">
        <v>1.31</v>
      </c>
      <c r="CX3027" t="s">
        <v>679</v>
      </c>
      <c r="CY3027">
        <v>2.5099999999999998</v>
      </c>
      <c r="CZ3027">
        <v>0</v>
      </c>
      <c r="DA3027">
        <v>0.15</v>
      </c>
      <c r="DB3027">
        <v>1.0900000000000001</v>
      </c>
      <c r="DC3027">
        <v>0.13</v>
      </c>
      <c r="DD3027">
        <v>74.31</v>
      </c>
      <c r="DE3027" t="s">
        <v>7467</v>
      </c>
      <c r="DF3027">
        <v>42.23</v>
      </c>
      <c r="DG3027">
        <v>14.31</v>
      </c>
      <c r="DH3027">
        <v>11.45</v>
      </c>
      <c r="DI3027">
        <v>0.02</v>
      </c>
      <c r="DJ3027">
        <v>592</v>
      </c>
      <c r="DK3027">
        <v>600824</v>
      </c>
      <c r="DL3027" t="s">
        <v>120</v>
      </c>
      <c r="DM3027" t="s">
        <v>120</v>
      </c>
      <c r="DN3027" t="s">
        <v>120</v>
      </c>
    </row>
    <row r="3028" spans="1:118">
      <c r="A3028" t="str">
        <f>"600825"</f>
        <v>600825</v>
      </c>
      <c r="B3028" t="s">
        <v>13243</v>
      </c>
      <c r="C3028">
        <v>-2.73</v>
      </c>
      <c r="D3028">
        <v>-0.22</v>
      </c>
      <c r="E3028">
        <v>0</v>
      </c>
      <c r="F3028">
        <v>2717</v>
      </c>
      <c r="G3028" t="s">
        <v>6643</v>
      </c>
      <c r="H3028">
        <v>2744.08</v>
      </c>
      <c r="I3028">
        <v>1.8</v>
      </c>
      <c r="J3028" t="s">
        <v>120</v>
      </c>
      <c r="K3028" t="s">
        <v>272</v>
      </c>
      <c r="L3028">
        <v>0.6</v>
      </c>
      <c r="M3028">
        <v>4.28</v>
      </c>
      <c r="N3028">
        <v>0.82</v>
      </c>
      <c r="O3028">
        <v>1.36</v>
      </c>
      <c r="P3028">
        <v>4.46</v>
      </c>
      <c r="Q3028">
        <v>-2.73</v>
      </c>
      <c r="R3028">
        <v>4.28</v>
      </c>
      <c r="S3028">
        <v>4.4000000000000004</v>
      </c>
      <c r="T3028">
        <v>63102</v>
      </c>
      <c r="U3028">
        <v>4.29</v>
      </c>
      <c r="V3028">
        <v>4.4000000000000004</v>
      </c>
      <c r="W3028">
        <v>125.68</v>
      </c>
      <c r="X3028" t="s">
        <v>1730</v>
      </c>
      <c r="Y3028" t="s">
        <v>1510</v>
      </c>
      <c r="Z3028">
        <v>4.09</v>
      </c>
      <c r="AA3028">
        <v>4.3499999999999996</v>
      </c>
      <c r="AB3028">
        <v>35146</v>
      </c>
      <c r="AC3028">
        <v>27956</v>
      </c>
      <c r="AD3028">
        <v>1.26</v>
      </c>
      <c r="AE3028">
        <v>164</v>
      </c>
      <c r="AF3028">
        <v>221</v>
      </c>
      <c r="AG3028" t="s">
        <v>120</v>
      </c>
      <c r="AH3028">
        <v>0</v>
      </c>
      <c r="AI3028" t="s">
        <v>120</v>
      </c>
      <c r="AJ3028">
        <v>10.45</v>
      </c>
      <c r="AK3028" t="s">
        <v>272</v>
      </c>
      <c r="AL3028">
        <v>-1.38</v>
      </c>
      <c r="AM3028">
        <v>1972</v>
      </c>
      <c r="AN3028">
        <v>32</v>
      </c>
      <c r="AO3028">
        <v>2.9999999999999997E-4</v>
      </c>
      <c r="AP3028">
        <v>-1</v>
      </c>
      <c r="AQ3028">
        <v>1.62</v>
      </c>
      <c r="AR3028">
        <v>-4.46</v>
      </c>
      <c r="AS3028">
        <v>6.47</v>
      </c>
      <c r="AT3028">
        <v>-8.5399999999999991</v>
      </c>
      <c r="AU3028">
        <v>-4.04</v>
      </c>
      <c r="AV3028">
        <v>2</v>
      </c>
      <c r="AW3028">
        <v>1.24</v>
      </c>
      <c r="AX3028">
        <v>48.51</v>
      </c>
      <c r="AY3028" t="s">
        <v>120</v>
      </c>
      <c r="AZ3028" t="s">
        <v>120</v>
      </c>
      <c r="BA3028">
        <v>0.61</v>
      </c>
      <c r="BB3028" t="s">
        <v>143</v>
      </c>
      <c r="BF3028">
        <v>-1.17</v>
      </c>
      <c r="BG3028">
        <v>-2.73</v>
      </c>
      <c r="BH3028">
        <v>-4.04</v>
      </c>
      <c r="BI3028">
        <v>0</v>
      </c>
      <c r="BJ3028">
        <v>20210831</v>
      </c>
      <c r="BK3028">
        <v>19940204</v>
      </c>
      <c r="BL3028">
        <v>10.45</v>
      </c>
      <c r="BM3028" t="s">
        <v>120</v>
      </c>
      <c r="BN3028" t="s">
        <v>120</v>
      </c>
      <c r="BO3028">
        <v>37.520000000000003</v>
      </c>
      <c r="BP3028">
        <v>4.28</v>
      </c>
      <c r="BQ3028">
        <v>24.24</v>
      </c>
      <c r="BR3028">
        <v>0.01</v>
      </c>
      <c r="BS3028">
        <v>35.39</v>
      </c>
      <c r="BT3028">
        <v>22.74</v>
      </c>
      <c r="BU3028">
        <v>1.8</v>
      </c>
      <c r="BV3028">
        <v>0.26</v>
      </c>
      <c r="BW3028">
        <v>11.83</v>
      </c>
      <c r="BX3028">
        <v>13.04</v>
      </c>
      <c r="BY3028">
        <v>2.41</v>
      </c>
      <c r="BZ3028">
        <v>0.79</v>
      </c>
      <c r="CA3028">
        <v>0.03</v>
      </c>
      <c r="CB3028">
        <v>5.56</v>
      </c>
      <c r="CC3028">
        <v>6.81</v>
      </c>
      <c r="CD3028">
        <v>4.63</v>
      </c>
      <c r="CE3028">
        <v>0.27</v>
      </c>
      <c r="CF3028">
        <v>0.06</v>
      </c>
      <c r="CG3028">
        <v>0.27</v>
      </c>
      <c r="CH3028">
        <v>0.18</v>
      </c>
      <c r="CI3028">
        <v>0.18</v>
      </c>
      <c r="CJ3028">
        <v>-0.12</v>
      </c>
      <c r="CK3028">
        <v>0.13</v>
      </c>
      <c r="CL3028">
        <v>5.18</v>
      </c>
      <c r="CM3028">
        <v>0.19</v>
      </c>
      <c r="CN3028">
        <v>0.4</v>
      </c>
      <c r="CO3028">
        <v>39344</v>
      </c>
      <c r="CP3028">
        <v>12883</v>
      </c>
      <c r="CQ3028" t="s">
        <v>8491</v>
      </c>
      <c r="CR3028">
        <v>103.86</v>
      </c>
      <c r="CS3028">
        <v>30.58</v>
      </c>
      <c r="CT3028">
        <v>1.85</v>
      </c>
      <c r="CU3028">
        <v>235.89</v>
      </c>
      <c r="CV3028">
        <v>6.56</v>
      </c>
      <c r="CW3028">
        <v>0</v>
      </c>
      <c r="CX3028" t="s">
        <v>5814</v>
      </c>
      <c r="CY3028">
        <v>2.3199999999999998</v>
      </c>
      <c r="CZ3028">
        <v>0</v>
      </c>
      <c r="DA3028">
        <v>0.53</v>
      </c>
      <c r="DB3028">
        <v>0.5</v>
      </c>
      <c r="DC3028">
        <v>0.02</v>
      </c>
      <c r="DD3028">
        <v>64.599999999999994</v>
      </c>
      <c r="DE3028" t="s">
        <v>4352</v>
      </c>
      <c r="DF3028">
        <v>32.08</v>
      </c>
      <c r="DG3028">
        <v>3.91</v>
      </c>
      <c r="DH3028">
        <v>2.61</v>
      </c>
      <c r="DI3028" t="s">
        <v>120</v>
      </c>
      <c r="DJ3028">
        <v>1472</v>
      </c>
      <c r="DK3028">
        <v>600825</v>
      </c>
      <c r="DL3028" t="s">
        <v>120</v>
      </c>
      <c r="DM3028" t="s">
        <v>120</v>
      </c>
      <c r="DN3028" t="s">
        <v>120</v>
      </c>
    </row>
    <row r="3029" spans="1:118">
      <c r="A3029" t="str">
        <f>"600826"</f>
        <v>600826</v>
      </c>
      <c r="B3029" t="s">
        <v>13244</v>
      </c>
      <c r="C3029">
        <v>0.11</v>
      </c>
      <c r="D3029">
        <v>0</v>
      </c>
      <c r="E3029">
        <v>0</v>
      </c>
      <c r="F3029">
        <v>106</v>
      </c>
      <c r="G3029" t="s">
        <v>7485</v>
      </c>
      <c r="H3029">
        <v>1993.52</v>
      </c>
      <c r="I3029">
        <v>0.18</v>
      </c>
      <c r="J3029" t="s">
        <v>120</v>
      </c>
      <c r="K3029" t="s">
        <v>13245</v>
      </c>
      <c r="L3029">
        <v>0.53</v>
      </c>
      <c r="M3029">
        <v>8.76</v>
      </c>
      <c r="N3029">
        <v>1.0900000000000001</v>
      </c>
      <c r="O3029">
        <v>3.43</v>
      </c>
      <c r="P3029">
        <v>9.0500000000000007</v>
      </c>
      <c r="Q3029">
        <v>-0.11</v>
      </c>
      <c r="R3029">
        <v>8.74</v>
      </c>
      <c r="S3029">
        <v>8.75</v>
      </c>
      <c r="T3029">
        <v>22486</v>
      </c>
      <c r="U3029">
        <v>8.76</v>
      </c>
      <c r="V3029">
        <v>8.75</v>
      </c>
      <c r="W3029">
        <v>34.18</v>
      </c>
      <c r="X3029" t="s">
        <v>562</v>
      </c>
      <c r="Y3029" t="s">
        <v>1510</v>
      </c>
      <c r="Z3029">
        <v>3.54</v>
      </c>
      <c r="AA3029">
        <v>8.8699999999999992</v>
      </c>
      <c r="AB3029">
        <v>10077</v>
      </c>
      <c r="AC3029">
        <v>12409</v>
      </c>
      <c r="AD3029">
        <v>0.81</v>
      </c>
      <c r="AE3029">
        <v>73</v>
      </c>
      <c r="AF3029">
        <v>17</v>
      </c>
      <c r="AG3029" t="s">
        <v>120</v>
      </c>
      <c r="AH3029">
        <v>0</v>
      </c>
      <c r="AI3029" t="s">
        <v>120</v>
      </c>
      <c r="AJ3029">
        <v>4.21</v>
      </c>
      <c r="AK3029" t="s">
        <v>13246</v>
      </c>
      <c r="AL3029">
        <v>1.46</v>
      </c>
      <c r="AM3029">
        <v>1055</v>
      </c>
      <c r="AN3029">
        <v>21</v>
      </c>
      <c r="AO3029">
        <v>5.0000000000000001E-4</v>
      </c>
      <c r="AP3029">
        <v>2</v>
      </c>
      <c r="AQ3029">
        <v>0.23</v>
      </c>
      <c r="AR3029">
        <v>-1.35</v>
      </c>
      <c r="AS3029">
        <v>4.16</v>
      </c>
      <c r="AT3029">
        <v>8.9499999999999993</v>
      </c>
      <c r="AU3029">
        <v>4.91</v>
      </c>
      <c r="AV3029">
        <v>0</v>
      </c>
      <c r="AW3029">
        <v>1.1200000000000001</v>
      </c>
      <c r="AX3029">
        <v>37.32</v>
      </c>
      <c r="AY3029">
        <v>20.65</v>
      </c>
      <c r="AZ3029">
        <v>33.89</v>
      </c>
      <c r="BA3029">
        <v>0.77</v>
      </c>
      <c r="BB3029" t="s">
        <v>143</v>
      </c>
      <c r="BF3029">
        <v>1.32</v>
      </c>
      <c r="BG3029">
        <v>0.11</v>
      </c>
      <c r="BH3029">
        <v>-3.2</v>
      </c>
      <c r="BI3029">
        <v>0.23</v>
      </c>
      <c r="BJ3029">
        <v>20210821</v>
      </c>
      <c r="BK3029">
        <v>19940204</v>
      </c>
      <c r="BL3029">
        <v>5.36</v>
      </c>
      <c r="BM3029" t="s">
        <v>120</v>
      </c>
      <c r="BN3029" t="s">
        <v>120</v>
      </c>
      <c r="BO3029">
        <v>50.35</v>
      </c>
      <c r="BP3029">
        <v>8.75</v>
      </c>
      <c r="BQ3029">
        <v>36.450000000000003</v>
      </c>
      <c r="BR3029">
        <v>0.64</v>
      </c>
      <c r="BS3029">
        <v>26.35</v>
      </c>
      <c r="BT3029">
        <v>26.16</v>
      </c>
      <c r="BU3029">
        <v>0.23</v>
      </c>
      <c r="BV3029">
        <v>0.01</v>
      </c>
      <c r="BW3029">
        <v>7.63</v>
      </c>
      <c r="BX3029">
        <v>10.029999999999999</v>
      </c>
      <c r="BY3029">
        <v>0.26</v>
      </c>
      <c r="BZ3029">
        <v>0.93</v>
      </c>
      <c r="CA3029">
        <v>0.67</v>
      </c>
      <c r="CB3029">
        <v>0.45</v>
      </c>
      <c r="CC3029">
        <v>3.45</v>
      </c>
      <c r="CD3029">
        <v>2.3199999999999998</v>
      </c>
      <c r="CE3029">
        <v>0.75</v>
      </c>
      <c r="CF3029">
        <v>0.75</v>
      </c>
      <c r="CG3029">
        <v>0.75</v>
      </c>
      <c r="CH3029">
        <v>0.64</v>
      </c>
      <c r="CI3029">
        <v>0.69</v>
      </c>
      <c r="CJ3029">
        <v>0.01</v>
      </c>
      <c r="CK3029">
        <v>0.71</v>
      </c>
      <c r="CL3029">
        <v>26.57</v>
      </c>
      <c r="CM3029">
        <v>-0.11</v>
      </c>
      <c r="CN3029">
        <v>-0.99</v>
      </c>
      <c r="CO3029">
        <v>18401</v>
      </c>
      <c r="CP3029">
        <v>10868</v>
      </c>
      <c r="CQ3029" t="s">
        <v>3195</v>
      </c>
      <c r="CR3029">
        <v>443</v>
      </c>
      <c r="CS3029">
        <v>-75.739999999999995</v>
      </c>
      <c r="CT3029">
        <v>1.29</v>
      </c>
      <c r="CU3029">
        <v>-429.1</v>
      </c>
      <c r="CV3029">
        <v>13.62</v>
      </c>
      <c r="CW3029">
        <v>1.49</v>
      </c>
      <c r="CX3029" t="s">
        <v>986</v>
      </c>
      <c r="CY3029">
        <v>6.8</v>
      </c>
      <c r="CZ3029">
        <v>0</v>
      </c>
      <c r="DA3029">
        <v>0.08</v>
      </c>
      <c r="DB3029">
        <v>4.96</v>
      </c>
      <c r="DC3029">
        <v>-0.02</v>
      </c>
      <c r="DD3029">
        <v>72.38</v>
      </c>
      <c r="DE3029" t="s">
        <v>7411</v>
      </c>
      <c r="DF3029">
        <v>32.549999999999997</v>
      </c>
      <c r="DG3029">
        <v>21.79</v>
      </c>
      <c r="DH3029">
        <v>19.93</v>
      </c>
      <c r="DI3029" t="s">
        <v>120</v>
      </c>
      <c r="DJ3029">
        <v>499</v>
      </c>
      <c r="DK3029">
        <v>600826</v>
      </c>
      <c r="DL3029" t="s">
        <v>120</v>
      </c>
      <c r="DM3029" t="s">
        <v>120</v>
      </c>
      <c r="DN3029" t="s">
        <v>120</v>
      </c>
    </row>
    <row r="3030" spans="1:118">
      <c r="A3030" t="str">
        <f>"600827"</f>
        <v>600827</v>
      </c>
      <c r="B3030" t="s">
        <v>13247</v>
      </c>
      <c r="C3030">
        <v>-0.71</v>
      </c>
      <c r="D3030">
        <v>0.14000000000000001</v>
      </c>
      <c r="E3030">
        <v>-0.35</v>
      </c>
      <c r="F3030">
        <v>2032</v>
      </c>
      <c r="G3030" t="s">
        <v>13248</v>
      </c>
      <c r="H3030">
        <v>12588.78</v>
      </c>
      <c r="I3030">
        <v>11.51</v>
      </c>
      <c r="J3030" t="s">
        <v>120</v>
      </c>
      <c r="K3030" t="s">
        <v>13249</v>
      </c>
      <c r="L3030">
        <v>0.56000000000000005</v>
      </c>
      <c r="M3030">
        <v>13.99</v>
      </c>
      <c r="N3030">
        <v>0.49</v>
      </c>
      <c r="O3030">
        <v>0.71</v>
      </c>
      <c r="P3030">
        <v>14.19</v>
      </c>
      <c r="Q3030">
        <v>-1.35</v>
      </c>
      <c r="R3030">
        <v>13.9</v>
      </c>
      <c r="S3030">
        <v>14.04</v>
      </c>
      <c r="T3030">
        <v>89585</v>
      </c>
      <c r="U3030">
        <v>14</v>
      </c>
      <c r="V3030">
        <v>14.09</v>
      </c>
      <c r="W3030">
        <v>24.42</v>
      </c>
      <c r="X3030" t="s">
        <v>1872</v>
      </c>
      <c r="Y3030" t="s">
        <v>1510</v>
      </c>
      <c r="Z3030">
        <v>2.06</v>
      </c>
      <c r="AA3030">
        <v>14.05</v>
      </c>
      <c r="AB3030">
        <v>51669</v>
      </c>
      <c r="AC3030">
        <v>37916</v>
      </c>
      <c r="AD3030">
        <v>1.36</v>
      </c>
      <c r="AE3030">
        <v>95</v>
      </c>
      <c r="AF3030">
        <v>22</v>
      </c>
      <c r="AG3030" t="s">
        <v>120</v>
      </c>
      <c r="AH3030">
        <v>0</v>
      </c>
      <c r="AI3030" t="s">
        <v>120</v>
      </c>
      <c r="AJ3030">
        <v>16.04</v>
      </c>
      <c r="AK3030" t="s">
        <v>13250</v>
      </c>
      <c r="AL3030">
        <v>0.63</v>
      </c>
      <c r="AM3030">
        <v>2616</v>
      </c>
      <c r="AN3030">
        <v>34</v>
      </c>
      <c r="AO3030">
        <v>2.0000000000000001E-4</v>
      </c>
      <c r="AP3030">
        <v>-5</v>
      </c>
      <c r="AQ3030">
        <v>-0.28000000000000003</v>
      </c>
      <c r="AR3030">
        <v>-3.12</v>
      </c>
      <c r="AS3030">
        <v>-2.44</v>
      </c>
      <c r="AT3030">
        <v>-29.52</v>
      </c>
      <c r="AU3030">
        <v>-3.18</v>
      </c>
      <c r="AV3030">
        <v>3</v>
      </c>
      <c r="AW3030">
        <v>1.37</v>
      </c>
      <c r="AX3030">
        <v>36.76</v>
      </c>
      <c r="AY3030">
        <v>23.74</v>
      </c>
      <c r="AZ3030">
        <v>31.54</v>
      </c>
      <c r="BA3030">
        <v>0.82</v>
      </c>
      <c r="BB3030" t="s">
        <v>143</v>
      </c>
      <c r="BF3030">
        <v>-0.27</v>
      </c>
      <c r="BG3030">
        <v>-0.36</v>
      </c>
      <c r="BH3030">
        <v>-1.41</v>
      </c>
      <c r="BI3030">
        <v>0.65</v>
      </c>
      <c r="BJ3030">
        <v>20210831</v>
      </c>
      <c r="BK3030">
        <v>19940204</v>
      </c>
      <c r="BL3030">
        <v>17.84</v>
      </c>
      <c r="BM3030">
        <v>1.8</v>
      </c>
      <c r="BN3030" t="s">
        <v>120</v>
      </c>
      <c r="BO3030">
        <v>562.26</v>
      </c>
      <c r="BP3030">
        <v>13.99</v>
      </c>
      <c r="BQ3030">
        <v>176.53</v>
      </c>
      <c r="BR3030">
        <v>30.66</v>
      </c>
      <c r="BS3030">
        <v>63.15</v>
      </c>
      <c r="BT3030">
        <v>207.72</v>
      </c>
      <c r="BU3030">
        <v>144.15</v>
      </c>
      <c r="BV3030">
        <v>39.15</v>
      </c>
      <c r="BW3030">
        <v>216.84</v>
      </c>
      <c r="BX3030">
        <v>157</v>
      </c>
      <c r="BY3030">
        <v>27.12</v>
      </c>
      <c r="BZ3030">
        <v>6.81</v>
      </c>
      <c r="CA3030">
        <v>1.3</v>
      </c>
      <c r="CB3030">
        <v>30.51</v>
      </c>
      <c r="CC3030">
        <v>184.08</v>
      </c>
      <c r="CD3030">
        <v>135.32</v>
      </c>
      <c r="CE3030">
        <v>9.32</v>
      </c>
      <c r="CF3030">
        <v>1.28</v>
      </c>
      <c r="CG3030">
        <v>9.7100000000000009</v>
      </c>
      <c r="CH3030">
        <v>6.51</v>
      </c>
      <c r="CI3030">
        <v>5.1100000000000003</v>
      </c>
      <c r="CJ3030">
        <v>-0.1</v>
      </c>
      <c r="CK3030">
        <v>4.87</v>
      </c>
      <c r="CL3030">
        <v>88.52</v>
      </c>
      <c r="CM3030">
        <v>10.72</v>
      </c>
      <c r="CN3030">
        <v>-3.57</v>
      </c>
      <c r="CO3030">
        <v>86459</v>
      </c>
      <c r="CP3030">
        <v>9665</v>
      </c>
      <c r="CQ3030" t="s">
        <v>11513</v>
      </c>
      <c r="CR3030">
        <v>105.08</v>
      </c>
      <c r="CS3030">
        <v>2.64</v>
      </c>
      <c r="CT3030">
        <v>1.41</v>
      </c>
      <c r="CU3030">
        <v>23.27</v>
      </c>
      <c r="CV3030">
        <v>1.36</v>
      </c>
      <c r="CW3030">
        <v>1.06</v>
      </c>
      <c r="CX3030" t="s">
        <v>293</v>
      </c>
      <c r="CY3030">
        <v>9.89</v>
      </c>
      <c r="CZ3030">
        <v>0</v>
      </c>
      <c r="DA3030">
        <v>1.71</v>
      </c>
      <c r="DB3030">
        <v>4.96</v>
      </c>
      <c r="DC3030">
        <v>0.6</v>
      </c>
      <c r="DD3030">
        <v>31.4</v>
      </c>
      <c r="DE3030" t="s">
        <v>671</v>
      </c>
      <c r="DF3030">
        <v>26.49</v>
      </c>
      <c r="DG3030">
        <v>5.0599999999999996</v>
      </c>
      <c r="DH3030">
        <v>2.78</v>
      </c>
      <c r="DI3030">
        <v>0.12</v>
      </c>
      <c r="DJ3030">
        <v>32409</v>
      </c>
      <c r="DK3030">
        <v>600827</v>
      </c>
      <c r="DL3030" t="s">
        <v>120</v>
      </c>
      <c r="DM3030" t="s">
        <v>120</v>
      </c>
      <c r="DN3030" t="s">
        <v>120</v>
      </c>
    </row>
    <row r="3031" spans="1:118">
      <c r="A3031" t="str">
        <f>"600828"</f>
        <v>600828</v>
      </c>
      <c r="B3031" t="s">
        <v>13251</v>
      </c>
      <c r="C3031">
        <v>1.63</v>
      </c>
      <c r="D3031">
        <v>0.27</v>
      </c>
      <c r="E3031">
        <v>0.27</v>
      </c>
      <c r="F3031">
        <v>944</v>
      </c>
      <c r="G3031" t="s">
        <v>4264</v>
      </c>
      <c r="H3031">
        <v>2073.8000000000002</v>
      </c>
      <c r="I3031">
        <v>3.92</v>
      </c>
      <c r="J3031" t="s">
        <v>120</v>
      </c>
      <c r="K3031" t="s">
        <v>13252</v>
      </c>
      <c r="L3031">
        <v>0.32</v>
      </c>
      <c r="M3031">
        <v>3.75</v>
      </c>
      <c r="N3031">
        <v>1.3</v>
      </c>
      <c r="O3031">
        <v>1.63</v>
      </c>
      <c r="P3031">
        <v>3.75</v>
      </c>
      <c r="Q3031">
        <v>-0.27</v>
      </c>
      <c r="R3031">
        <v>3.68</v>
      </c>
      <c r="S3031">
        <v>3.7</v>
      </c>
      <c r="T3031">
        <v>55650</v>
      </c>
      <c r="U3031">
        <v>3.75</v>
      </c>
      <c r="V3031">
        <v>3.69</v>
      </c>
      <c r="W3031">
        <v>10.24</v>
      </c>
      <c r="X3031" t="s">
        <v>735</v>
      </c>
      <c r="Y3031" t="s">
        <v>578</v>
      </c>
      <c r="Z3031">
        <v>1.9</v>
      </c>
      <c r="AA3031">
        <v>3.73</v>
      </c>
      <c r="AB3031">
        <v>25502</v>
      </c>
      <c r="AC3031">
        <v>30148</v>
      </c>
      <c r="AD3031">
        <v>0.85</v>
      </c>
      <c r="AE3031">
        <v>54</v>
      </c>
      <c r="AF3031">
        <v>1998</v>
      </c>
      <c r="AG3031" t="s">
        <v>120</v>
      </c>
      <c r="AH3031">
        <v>0</v>
      </c>
      <c r="AI3031" t="s">
        <v>120</v>
      </c>
      <c r="AJ3031">
        <v>17.309999999999999</v>
      </c>
      <c r="AK3031" t="s">
        <v>9756</v>
      </c>
      <c r="AL3031">
        <v>2.97</v>
      </c>
      <c r="AM3031">
        <v>1002</v>
      </c>
      <c r="AN3031">
        <v>56</v>
      </c>
      <c r="AO3031">
        <v>2.9999999999999997E-4</v>
      </c>
      <c r="AP3031">
        <v>2</v>
      </c>
      <c r="AQ3031">
        <v>0.54</v>
      </c>
      <c r="AR3031">
        <v>0</v>
      </c>
      <c r="AS3031">
        <v>3.02</v>
      </c>
      <c r="AT3031">
        <v>6.23</v>
      </c>
      <c r="AU3031">
        <v>3.3</v>
      </c>
      <c r="AV3031">
        <v>1</v>
      </c>
      <c r="AW3031">
        <v>2.38</v>
      </c>
      <c r="AX3031">
        <v>13.51</v>
      </c>
      <c r="AY3031">
        <v>22.15</v>
      </c>
      <c r="AZ3031">
        <v>30</v>
      </c>
      <c r="BA3031">
        <v>0.56000000000000005</v>
      </c>
      <c r="BB3031" t="s">
        <v>143</v>
      </c>
      <c r="BF3031">
        <v>0.99</v>
      </c>
      <c r="BG3031">
        <v>1.35</v>
      </c>
      <c r="BH3031">
        <v>0</v>
      </c>
      <c r="BI3031">
        <v>1.9</v>
      </c>
      <c r="BJ3031">
        <v>20210819</v>
      </c>
      <c r="BK3031">
        <v>19940224</v>
      </c>
      <c r="BL3031">
        <v>17.32</v>
      </c>
      <c r="BM3031" t="s">
        <v>120</v>
      </c>
      <c r="BN3031" t="s">
        <v>120</v>
      </c>
      <c r="BO3031">
        <v>212.28</v>
      </c>
      <c r="BP3031">
        <v>3.74</v>
      </c>
      <c r="BQ3031">
        <v>66.73</v>
      </c>
      <c r="BR3031">
        <v>5.58</v>
      </c>
      <c r="BS3031">
        <v>65.94</v>
      </c>
      <c r="BT3031">
        <v>24.55</v>
      </c>
      <c r="BU3031">
        <v>41.92</v>
      </c>
      <c r="BV3031">
        <v>17.670000000000002</v>
      </c>
      <c r="BW3031">
        <v>57.4</v>
      </c>
      <c r="BX3031">
        <v>6.76</v>
      </c>
      <c r="BY3031">
        <v>10.17</v>
      </c>
      <c r="BZ3031">
        <v>0.37</v>
      </c>
      <c r="CA3031">
        <v>0.59</v>
      </c>
      <c r="CB3031">
        <v>-0.54</v>
      </c>
      <c r="CC3031">
        <v>22.14</v>
      </c>
      <c r="CD3031">
        <v>8.57</v>
      </c>
      <c r="CE3031">
        <v>4.38</v>
      </c>
      <c r="CF3031">
        <v>7.0000000000000007E-2</v>
      </c>
      <c r="CG3031">
        <v>4.34</v>
      </c>
      <c r="CH3031">
        <v>3.27</v>
      </c>
      <c r="CI3031">
        <v>3.17</v>
      </c>
      <c r="CJ3031">
        <v>0.06</v>
      </c>
      <c r="CK3031">
        <v>3</v>
      </c>
      <c r="CL3031">
        <v>25.2</v>
      </c>
      <c r="CM3031">
        <v>3.52</v>
      </c>
      <c r="CN3031">
        <v>1.27</v>
      </c>
      <c r="CO3031">
        <v>23879</v>
      </c>
      <c r="CP3031">
        <v>9799</v>
      </c>
      <c r="CQ3031" t="s">
        <v>1702</v>
      </c>
      <c r="CR3031">
        <v>31.3</v>
      </c>
      <c r="CS3031">
        <v>37.92</v>
      </c>
      <c r="CT3031">
        <v>0.97</v>
      </c>
      <c r="CU3031">
        <v>18.46</v>
      </c>
      <c r="CV3031">
        <v>2.93</v>
      </c>
      <c r="CW3031">
        <v>2.71</v>
      </c>
      <c r="CX3031" t="s">
        <v>5225</v>
      </c>
      <c r="CY3031">
        <v>3.85</v>
      </c>
      <c r="CZ3031">
        <v>0</v>
      </c>
      <c r="DA3031">
        <v>-0.03</v>
      </c>
      <c r="DB3031">
        <v>1.46</v>
      </c>
      <c r="DC3031">
        <v>0.2</v>
      </c>
      <c r="DD3031">
        <v>31.44</v>
      </c>
      <c r="DE3031" t="s">
        <v>5314</v>
      </c>
      <c r="DF3031">
        <v>61.28</v>
      </c>
      <c r="DG3031">
        <v>19.8</v>
      </c>
      <c r="DH3031">
        <v>14.32</v>
      </c>
      <c r="DI3031" t="s">
        <v>120</v>
      </c>
      <c r="DJ3031">
        <v>2518</v>
      </c>
      <c r="DK3031">
        <v>600828</v>
      </c>
      <c r="DL3031" t="s">
        <v>120</v>
      </c>
      <c r="DM3031" t="s">
        <v>120</v>
      </c>
      <c r="DN3031" t="s">
        <v>120</v>
      </c>
    </row>
    <row r="3032" spans="1:118">
      <c r="A3032" t="str">
        <f>"600829"</f>
        <v>600829</v>
      </c>
      <c r="B3032" t="s">
        <v>13253</v>
      </c>
      <c r="C3032">
        <v>1.45</v>
      </c>
      <c r="D3032">
        <v>0</v>
      </c>
      <c r="E3032">
        <v>0.32</v>
      </c>
      <c r="F3032">
        <v>1280</v>
      </c>
      <c r="G3032" t="s">
        <v>13254</v>
      </c>
      <c r="H3032">
        <v>2419.42</v>
      </c>
      <c r="I3032">
        <v>3.92</v>
      </c>
      <c r="J3032" t="s">
        <v>120</v>
      </c>
      <c r="K3032" t="s">
        <v>9380</v>
      </c>
      <c r="L3032">
        <v>0.67</v>
      </c>
      <c r="M3032">
        <v>6.29</v>
      </c>
      <c r="N3032">
        <v>1.29</v>
      </c>
      <c r="O3032">
        <v>1.61</v>
      </c>
      <c r="P3032">
        <v>6.3</v>
      </c>
      <c r="Q3032">
        <v>-0.65</v>
      </c>
      <c r="R3032">
        <v>6.16</v>
      </c>
      <c r="S3032">
        <v>6.22</v>
      </c>
      <c r="T3032">
        <v>38750</v>
      </c>
      <c r="U3032">
        <v>6.29</v>
      </c>
      <c r="V3032">
        <v>6.2</v>
      </c>
      <c r="W3032">
        <v>13.37</v>
      </c>
      <c r="X3032" t="s">
        <v>274</v>
      </c>
      <c r="Y3032" t="s">
        <v>1686</v>
      </c>
      <c r="Z3032">
        <v>2.2599999999999998</v>
      </c>
      <c r="AA3032">
        <v>6.24</v>
      </c>
      <c r="AB3032">
        <v>15114</v>
      </c>
      <c r="AC3032">
        <v>23636</v>
      </c>
      <c r="AD3032">
        <v>0.64</v>
      </c>
      <c r="AE3032">
        <v>148</v>
      </c>
      <c r="AF3032">
        <v>487</v>
      </c>
      <c r="AG3032" t="s">
        <v>120</v>
      </c>
      <c r="AH3032">
        <v>0</v>
      </c>
      <c r="AI3032" t="s">
        <v>120</v>
      </c>
      <c r="AJ3032">
        <v>5.8</v>
      </c>
      <c r="AK3032" t="s">
        <v>9380</v>
      </c>
      <c r="AL3032">
        <v>2.8</v>
      </c>
      <c r="AM3032">
        <v>1499</v>
      </c>
      <c r="AN3032">
        <v>26</v>
      </c>
      <c r="AO3032">
        <v>4.0000000000000002E-4</v>
      </c>
      <c r="AP3032">
        <v>2</v>
      </c>
      <c r="AQ3032">
        <v>1.1399999999999999</v>
      </c>
      <c r="AR3032">
        <v>1.78</v>
      </c>
      <c r="AS3032">
        <v>6.07</v>
      </c>
      <c r="AT3032">
        <v>7.15</v>
      </c>
      <c r="AU3032">
        <v>-13.84</v>
      </c>
      <c r="AV3032">
        <v>1</v>
      </c>
      <c r="AW3032">
        <v>2.65</v>
      </c>
      <c r="AX3032">
        <v>25.18</v>
      </c>
      <c r="AY3032">
        <v>17.89</v>
      </c>
      <c r="AZ3032">
        <v>24.75</v>
      </c>
      <c r="BA3032">
        <v>0.75</v>
      </c>
      <c r="BB3032" t="s">
        <v>168</v>
      </c>
      <c r="BF3032">
        <v>0.71</v>
      </c>
      <c r="BG3032">
        <v>1.1299999999999999</v>
      </c>
      <c r="BH3032">
        <v>-0.16</v>
      </c>
      <c r="BI3032">
        <v>2.11</v>
      </c>
      <c r="BJ3032">
        <v>20210807</v>
      </c>
      <c r="BK3032">
        <v>19940224</v>
      </c>
      <c r="BL3032">
        <v>5.8</v>
      </c>
      <c r="BM3032" t="s">
        <v>120</v>
      </c>
      <c r="BN3032" t="s">
        <v>120</v>
      </c>
      <c r="BO3032">
        <v>61.38</v>
      </c>
      <c r="BP3032">
        <v>6.28</v>
      </c>
      <c r="BQ3032">
        <v>20.59</v>
      </c>
      <c r="BR3032">
        <v>-0.01</v>
      </c>
      <c r="BS3032">
        <v>66.459999999999994</v>
      </c>
      <c r="BT3032">
        <v>55.85</v>
      </c>
      <c r="BU3032">
        <v>2.42</v>
      </c>
      <c r="BV3032">
        <v>0.27</v>
      </c>
      <c r="BW3032">
        <v>38.67</v>
      </c>
      <c r="BX3032">
        <v>4.5599999999999996</v>
      </c>
      <c r="BY3032">
        <v>8.86</v>
      </c>
      <c r="BZ3032">
        <v>38.24</v>
      </c>
      <c r="CA3032">
        <v>0.06</v>
      </c>
      <c r="CB3032">
        <v>0</v>
      </c>
      <c r="CC3032">
        <v>46.64</v>
      </c>
      <c r="CD3032">
        <v>41.91</v>
      </c>
      <c r="CE3032">
        <v>1.79</v>
      </c>
      <c r="CF3032">
        <v>0</v>
      </c>
      <c r="CG3032">
        <v>1.79</v>
      </c>
      <c r="CH3032">
        <v>1.36</v>
      </c>
      <c r="CI3032">
        <v>1.36</v>
      </c>
      <c r="CJ3032">
        <v>0.09</v>
      </c>
      <c r="CK3032">
        <v>1.34</v>
      </c>
      <c r="CL3032">
        <v>13.75</v>
      </c>
      <c r="CM3032">
        <v>-0.53</v>
      </c>
      <c r="CN3032">
        <v>0.4</v>
      </c>
      <c r="CO3032">
        <v>20047</v>
      </c>
      <c r="CP3032">
        <v>7283</v>
      </c>
      <c r="CQ3032" t="s">
        <v>3986</v>
      </c>
      <c r="CR3032">
        <v>69.12</v>
      </c>
      <c r="CS3032">
        <v>33.159999999999997</v>
      </c>
      <c r="CT3032">
        <v>1.77</v>
      </c>
      <c r="CU3032">
        <v>-68.88</v>
      </c>
      <c r="CV3032">
        <v>0.78</v>
      </c>
      <c r="CW3032">
        <v>1.94</v>
      </c>
      <c r="CX3032" t="s">
        <v>913</v>
      </c>
      <c r="CY3032">
        <v>3.55</v>
      </c>
      <c r="CZ3032">
        <v>0</v>
      </c>
      <c r="DA3032">
        <v>0</v>
      </c>
      <c r="DB3032">
        <v>2.37</v>
      </c>
      <c r="DC3032">
        <v>-0.09</v>
      </c>
      <c r="DD3032">
        <v>33.549999999999997</v>
      </c>
      <c r="DE3032" t="s">
        <v>6377</v>
      </c>
      <c r="DF3032">
        <v>10.15</v>
      </c>
      <c r="DG3032">
        <v>3.84</v>
      </c>
      <c r="DH3032">
        <v>2.92</v>
      </c>
      <c r="DI3032" t="s">
        <v>120</v>
      </c>
      <c r="DJ3032">
        <v>3241</v>
      </c>
      <c r="DK3032">
        <v>600829</v>
      </c>
      <c r="DL3032" t="s">
        <v>120</v>
      </c>
      <c r="DM3032" t="s">
        <v>120</v>
      </c>
      <c r="DN3032" t="s">
        <v>120</v>
      </c>
    </row>
    <row r="3033" spans="1:118">
      <c r="A3033" t="str">
        <f>"600830"</f>
        <v>600830</v>
      </c>
      <c r="B3033" t="s">
        <v>13255</v>
      </c>
      <c r="C3033">
        <v>-2.33</v>
      </c>
      <c r="D3033">
        <v>0</v>
      </c>
      <c r="E3033">
        <v>-0.19</v>
      </c>
      <c r="F3033">
        <v>2022</v>
      </c>
      <c r="G3033" t="s">
        <v>12173</v>
      </c>
      <c r="H3033">
        <v>2794.5</v>
      </c>
      <c r="I3033">
        <v>26.32</v>
      </c>
      <c r="J3033" t="s">
        <v>120</v>
      </c>
      <c r="K3033" t="s">
        <v>13256</v>
      </c>
      <c r="L3033">
        <v>1.21</v>
      </c>
      <c r="M3033">
        <v>5.04</v>
      </c>
      <c r="N3033">
        <v>0.97</v>
      </c>
      <c r="O3033">
        <v>0.39</v>
      </c>
      <c r="P3033">
        <v>5.18</v>
      </c>
      <c r="Q3033">
        <v>-2.52</v>
      </c>
      <c r="R3033">
        <v>5.03</v>
      </c>
      <c r="S3033">
        <v>5.15</v>
      </c>
      <c r="T3033">
        <v>54867</v>
      </c>
      <c r="U3033">
        <v>5.05</v>
      </c>
      <c r="V3033">
        <v>5.16</v>
      </c>
      <c r="W3033">
        <v>68.400000000000006</v>
      </c>
      <c r="X3033" t="s">
        <v>721</v>
      </c>
      <c r="Y3033" t="s">
        <v>585</v>
      </c>
      <c r="Z3033">
        <v>2.91</v>
      </c>
      <c r="AA3033">
        <v>5.09</v>
      </c>
      <c r="AB3033">
        <v>36234</v>
      </c>
      <c r="AC3033">
        <v>18633</v>
      </c>
      <c r="AD3033">
        <v>1.94</v>
      </c>
      <c r="AE3033">
        <v>825</v>
      </c>
      <c r="AF3033">
        <v>424</v>
      </c>
      <c r="AG3033" t="s">
        <v>120</v>
      </c>
      <c r="AH3033">
        <v>0.02</v>
      </c>
      <c r="AI3033" t="s">
        <v>120</v>
      </c>
      <c r="AJ3033">
        <v>4.54</v>
      </c>
      <c r="AK3033" t="s">
        <v>13256</v>
      </c>
      <c r="AL3033">
        <v>-0.98</v>
      </c>
      <c r="AM3033">
        <v>1436</v>
      </c>
      <c r="AN3033">
        <v>38</v>
      </c>
      <c r="AO3033">
        <v>8.0000000000000004E-4</v>
      </c>
      <c r="AP3033">
        <v>-1</v>
      </c>
      <c r="AQ3033">
        <v>2.79</v>
      </c>
      <c r="AR3033">
        <v>-1.75</v>
      </c>
      <c r="AS3033">
        <v>5.44</v>
      </c>
      <c r="AT3033">
        <v>-0.79</v>
      </c>
      <c r="AU3033">
        <v>-5.44</v>
      </c>
      <c r="AV3033">
        <v>0</v>
      </c>
      <c r="AW3033">
        <v>1.76</v>
      </c>
      <c r="AX3033">
        <v>68.52</v>
      </c>
      <c r="AY3033">
        <v>246.88</v>
      </c>
      <c r="AZ3033" t="s">
        <v>120</v>
      </c>
      <c r="BA3033">
        <v>0.94</v>
      </c>
      <c r="BB3033" t="s">
        <v>184</v>
      </c>
      <c r="BF3033">
        <v>-1.29</v>
      </c>
      <c r="BG3033">
        <v>-2.14</v>
      </c>
      <c r="BH3033">
        <v>-2.7</v>
      </c>
      <c r="BI3033">
        <v>0.2</v>
      </c>
      <c r="BJ3033">
        <v>20210830</v>
      </c>
      <c r="BK3033">
        <v>19940224</v>
      </c>
      <c r="BL3033">
        <v>4.54</v>
      </c>
      <c r="BM3033" t="s">
        <v>120</v>
      </c>
      <c r="BN3033" t="s">
        <v>120</v>
      </c>
      <c r="BO3033">
        <v>34.25</v>
      </c>
      <c r="BP3033">
        <v>5.04</v>
      </c>
      <c r="BQ3033">
        <v>20.97</v>
      </c>
      <c r="BR3033">
        <v>6.25</v>
      </c>
      <c r="BS3033">
        <v>20.52</v>
      </c>
      <c r="BT3033">
        <v>8.91</v>
      </c>
      <c r="BU3033">
        <v>0.63</v>
      </c>
      <c r="BV3033">
        <v>0.39</v>
      </c>
      <c r="BW3033">
        <v>3.82</v>
      </c>
      <c r="BX3033">
        <v>6.76</v>
      </c>
      <c r="BY3033">
        <v>0.01</v>
      </c>
      <c r="BZ3033">
        <v>0.05</v>
      </c>
      <c r="CA3033">
        <v>0.01</v>
      </c>
      <c r="CB3033">
        <v>5.64</v>
      </c>
      <c r="CC3033">
        <v>0.81</v>
      </c>
      <c r="CD3033">
        <v>0.12</v>
      </c>
      <c r="CE3033">
        <v>0.42</v>
      </c>
      <c r="CF3033">
        <v>0.16</v>
      </c>
      <c r="CG3033">
        <v>0.3</v>
      </c>
      <c r="CH3033">
        <v>0.21</v>
      </c>
      <c r="CI3033">
        <v>0.17</v>
      </c>
      <c r="CJ3033">
        <v>-0.12</v>
      </c>
      <c r="CK3033">
        <v>7.0000000000000007E-2</v>
      </c>
      <c r="CL3033">
        <v>9.7799999999999994</v>
      </c>
      <c r="CM3033">
        <v>-5.85</v>
      </c>
      <c r="CN3033">
        <v>-1.78</v>
      </c>
      <c r="CO3033">
        <v>31877</v>
      </c>
      <c r="CP3033">
        <v>9766</v>
      </c>
      <c r="CQ3033" t="s">
        <v>1567</v>
      </c>
      <c r="CR3033">
        <v>210.97</v>
      </c>
      <c r="CS3033">
        <v>56.45</v>
      </c>
      <c r="CT3033">
        <v>1.0900000000000001</v>
      </c>
      <c r="CU3033">
        <v>-3.91</v>
      </c>
      <c r="CV3033">
        <v>28.22</v>
      </c>
      <c r="CW3033">
        <v>0</v>
      </c>
      <c r="CX3033" t="s">
        <v>145</v>
      </c>
      <c r="CY3033">
        <v>4.62</v>
      </c>
      <c r="CZ3033">
        <v>0</v>
      </c>
      <c r="DA3033">
        <v>1.24</v>
      </c>
      <c r="DB3033">
        <v>2.15</v>
      </c>
      <c r="DC3033">
        <v>-1.29</v>
      </c>
      <c r="DD3033">
        <v>61.23</v>
      </c>
      <c r="DE3033" t="s">
        <v>4633</v>
      </c>
      <c r="DF3033">
        <v>85.2</v>
      </c>
      <c r="DG3033">
        <v>51.47</v>
      </c>
      <c r="DH3033">
        <v>20.63</v>
      </c>
      <c r="DI3033" t="s">
        <v>120</v>
      </c>
      <c r="DJ3033">
        <v>297</v>
      </c>
      <c r="DK3033">
        <v>600830</v>
      </c>
      <c r="DL3033" t="s">
        <v>120</v>
      </c>
      <c r="DM3033" t="s">
        <v>120</v>
      </c>
      <c r="DN3033" t="s">
        <v>120</v>
      </c>
    </row>
    <row r="3034" spans="1:118">
      <c r="A3034" t="str">
        <f>"600831"</f>
        <v>600831</v>
      </c>
      <c r="B3034" t="s">
        <v>13257</v>
      </c>
      <c r="C3034">
        <v>-2.08</v>
      </c>
      <c r="D3034">
        <v>-0.17</v>
      </c>
      <c r="E3034">
        <v>0</v>
      </c>
      <c r="F3034">
        <v>2002</v>
      </c>
      <c r="G3034" t="s">
        <v>674</v>
      </c>
      <c r="H3034">
        <v>3860.37</v>
      </c>
      <c r="I3034">
        <v>1.33</v>
      </c>
      <c r="J3034" t="s">
        <v>120</v>
      </c>
      <c r="K3034" t="s">
        <v>8158</v>
      </c>
      <c r="L3034">
        <v>0.95</v>
      </c>
      <c r="M3034">
        <v>5.65</v>
      </c>
      <c r="N3034">
        <v>0.72</v>
      </c>
      <c r="O3034">
        <v>0.52</v>
      </c>
      <c r="P3034">
        <v>5.8</v>
      </c>
      <c r="Q3034">
        <v>-2.08</v>
      </c>
      <c r="R3034">
        <v>5.65</v>
      </c>
      <c r="S3034">
        <v>5.77</v>
      </c>
      <c r="T3034">
        <v>67614</v>
      </c>
      <c r="U3034">
        <v>5.66</v>
      </c>
      <c r="V3034">
        <v>5.77</v>
      </c>
      <c r="W3034">
        <v>52.77</v>
      </c>
      <c r="X3034" t="s">
        <v>584</v>
      </c>
      <c r="Y3034" t="s">
        <v>890</v>
      </c>
      <c r="Z3034">
        <v>2.6</v>
      </c>
      <c r="AA3034">
        <v>5.71</v>
      </c>
      <c r="AB3034">
        <v>43573</v>
      </c>
      <c r="AC3034">
        <v>24041</v>
      </c>
      <c r="AD3034">
        <v>1.81</v>
      </c>
      <c r="AE3034">
        <v>152</v>
      </c>
      <c r="AF3034">
        <v>17</v>
      </c>
      <c r="AG3034" t="s">
        <v>120</v>
      </c>
      <c r="AH3034">
        <v>0</v>
      </c>
      <c r="AI3034" t="s">
        <v>120</v>
      </c>
      <c r="AJ3034">
        <v>7.1</v>
      </c>
      <c r="AK3034" t="s">
        <v>8158</v>
      </c>
      <c r="AL3034">
        <v>-0.74</v>
      </c>
      <c r="AM3034">
        <v>1674</v>
      </c>
      <c r="AN3034">
        <v>40</v>
      </c>
      <c r="AO3034">
        <v>5.9999999999999995E-4</v>
      </c>
      <c r="AP3034">
        <v>-1</v>
      </c>
      <c r="AQ3034">
        <v>1.41</v>
      </c>
      <c r="AR3034">
        <v>-3.08</v>
      </c>
      <c r="AS3034">
        <v>4.25</v>
      </c>
      <c r="AT3034">
        <v>-3.74</v>
      </c>
      <c r="AU3034">
        <v>-15.93</v>
      </c>
      <c r="AV3034">
        <v>0</v>
      </c>
      <c r="AW3034">
        <v>1.34</v>
      </c>
      <c r="AX3034">
        <v>70.78</v>
      </c>
      <c r="AY3034">
        <v>55.26</v>
      </c>
      <c r="AZ3034">
        <v>67.2</v>
      </c>
      <c r="BA3034">
        <v>0.76</v>
      </c>
      <c r="BB3034" t="s">
        <v>143</v>
      </c>
      <c r="BF3034">
        <v>-1.05</v>
      </c>
      <c r="BG3034">
        <v>-2.08</v>
      </c>
      <c r="BH3034">
        <v>-2.59</v>
      </c>
      <c r="BI3034">
        <v>0</v>
      </c>
      <c r="BJ3034">
        <v>20210827</v>
      </c>
      <c r="BK3034">
        <v>19940224</v>
      </c>
      <c r="BL3034">
        <v>7.1</v>
      </c>
      <c r="BM3034" t="s">
        <v>120</v>
      </c>
      <c r="BN3034" t="s">
        <v>120</v>
      </c>
      <c r="BO3034">
        <v>94.11</v>
      </c>
      <c r="BP3034">
        <v>5.65</v>
      </c>
      <c r="BQ3034">
        <v>37.79</v>
      </c>
      <c r="BR3034">
        <v>0.47</v>
      </c>
      <c r="BS3034">
        <v>59.34</v>
      </c>
      <c r="BT3034">
        <v>31.85</v>
      </c>
      <c r="BU3034">
        <v>45.25</v>
      </c>
      <c r="BV3034">
        <v>1.71</v>
      </c>
      <c r="BW3034">
        <v>35.200000000000003</v>
      </c>
      <c r="BX3034">
        <v>7.06</v>
      </c>
      <c r="BY3034">
        <v>1.22</v>
      </c>
      <c r="BZ3034">
        <v>11.61</v>
      </c>
      <c r="CA3034" t="s">
        <v>120</v>
      </c>
      <c r="CB3034">
        <v>17.88</v>
      </c>
      <c r="CC3034">
        <v>13.72</v>
      </c>
      <c r="CD3034">
        <v>9.2899999999999991</v>
      </c>
      <c r="CE3034">
        <v>0.34</v>
      </c>
      <c r="CF3034">
        <v>0.01</v>
      </c>
      <c r="CG3034">
        <v>0.33</v>
      </c>
      <c r="CH3034">
        <v>0.32</v>
      </c>
      <c r="CI3034">
        <v>0.38</v>
      </c>
      <c r="CJ3034">
        <v>-0.12</v>
      </c>
      <c r="CK3034">
        <v>0.33</v>
      </c>
      <c r="CL3034">
        <v>11.34</v>
      </c>
      <c r="CM3034">
        <v>0.43</v>
      </c>
      <c r="CN3034">
        <v>-0.43</v>
      </c>
      <c r="CO3034">
        <v>67208</v>
      </c>
      <c r="CP3034">
        <v>7483</v>
      </c>
      <c r="CQ3034" t="s">
        <v>1282</v>
      </c>
      <c r="CR3034">
        <v>53.08</v>
      </c>
      <c r="CS3034">
        <v>1.4</v>
      </c>
      <c r="CT3034">
        <v>1.07</v>
      </c>
      <c r="CU3034">
        <v>93.07</v>
      </c>
      <c r="CV3034">
        <v>2.93</v>
      </c>
      <c r="CW3034">
        <v>0.52</v>
      </c>
      <c r="CX3034" t="s">
        <v>1248</v>
      </c>
      <c r="CY3034">
        <v>5.3</v>
      </c>
      <c r="CZ3034">
        <v>5.3</v>
      </c>
      <c r="DA3034">
        <v>2.52</v>
      </c>
      <c r="DB3034">
        <v>1.6</v>
      </c>
      <c r="DC3034">
        <v>0.06</v>
      </c>
      <c r="DD3034">
        <v>40.15</v>
      </c>
      <c r="DE3034" t="s">
        <v>3341</v>
      </c>
      <c r="DF3034">
        <v>32.26</v>
      </c>
      <c r="DG3034">
        <v>2.46</v>
      </c>
      <c r="DH3034">
        <v>2.77</v>
      </c>
      <c r="DI3034" t="s">
        <v>120</v>
      </c>
      <c r="DJ3034">
        <v>6701</v>
      </c>
      <c r="DK3034">
        <v>600831</v>
      </c>
      <c r="DL3034" t="s">
        <v>120</v>
      </c>
      <c r="DM3034" t="s">
        <v>120</v>
      </c>
      <c r="DN3034" t="s">
        <v>120</v>
      </c>
    </row>
    <row r="3035" spans="1:118">
      <c r="A3035" t="str">
        <f>"600833"</f>
        <v>600833</v>
      </c>
      <c r="B3035" t="s">
        <v>13258</v>
      </c>
      <c r="C3035">
        <v>0.23</v>
      </c>
      <c r="D3035">
        <v>0.12</v>
      </c>
      <c r="E3035">
        <v>0.12</v>
      </c>
      <c r="F3035">
        <v>8</v>
      </c>
      <c r="G3035" t="s">
        <v>13259</v>
      </c>
      <c r="H3035">
        <v>1094.02</v>
      </c>
      <c r="I3035">
        <v>0</v>
      </c>
      <c r="J3035" t="s">
        <v>120</v>
      </c>
      <c r="K3035" t="s">
        <v>8421</v>
      </c>
      <c r="L3035">
        <v>0.56000000000000005</v>
      </c>
      <c r="M3035">
        <v>8.66</v>
      </c>
      <c r="N3035">
        <v>1.1200000000000001</v>
      </c>
      <c r="O3035">
        <v>1.62</v>
      </c>
      <c r="P3035">
        <v>8.7799999999999994</v>
      </c>
      <c r="Q3035">
        <v>0</v>
      </c>
      <c r="R3035">
        <v>8.64</v>
      </c>
      <c r="S3035">
        <v>8.65</v>
      </c>
      <c r="T3035">
        <v>12585</v>
      </c>
      <c r="U3035">
        <v>8.66</v>
      </c>
      <c r="V3035">
        <v>8.64</v>
      </c>
      <c r="W3035">
        <v>37.22</v>
      </c>
      <c r="X3035" t="s">
        <v>274</v>
      </c>
      <c r="Y3035" t="s">
        <v>1510</v>
      </c>
      <c r="Z3035">
        <v>1.62</v>
      </c>
      <c r="AA3035">
        <v>8.69</v>
      </c>
      <c r="AB3035">
        <v>7808</v>
      </c>
      <c r="AC3035">
        <v>4777</v>
      </c>
      <c r="AD3035">
        <v>1.63</v>
      </c>
      <c r="AE3035">
        <v>496</v>
      </c>
      <c r="AF3035">
        <v>80</v>
      </c>
      <c r="AG3035" t="s">
        <v>120</v>
      </c>
      <c r="AH3035">
        <v>0</v>
      </c>
      <c r="AI3035" t="s">
        <v>120</v>
      </c>
      <c r="AJ3035">
        <v>2.23</v>
      </c>
      <c r="AK3035" t="s">
        <v>8421</v>
      </c>
      <c r="AL3035">
        <v>1.58</v>
      </c>
      <c r="AM3035">
        <v>676</v>
      </c>
      <c r="AN3035">
        <v>19</v>
      </c>
      <c r="AO3035">
        <v>8.0000000000000004E-4</v>
      </c>
      <c r="AP3035">
        <v>2</v>
      </c>
      <c r="AQ3035">
        <v>0.23</v>
      </c>
      <c r="AR3035">
        <v>-0.8</v>
      </c>
      <c r="AS3035">
        <v>2.37</v>
      </c>
      <c r="AT3035">
        <v>-3.62</v>
      </c>
      <c r="AU3035">
        <v>-10.119999999999999</v>
      </c>
      <c r="AV3035">
        <v>0</v>
      </c>
      <c r="AW3035">
        <v>1.02</v>
      </c>
      <c r="AX3035">
        <v>55.05</v>
      </c>
      <c r="AY3035">
        <v>31.48</v>
      </c>
      <c r="AZ3035">
        <v>28.12</v>
      </c>
      <c r="BA3035">
        <v>0.6</v>
      </c>
      <c r="BB3035" t="s">
        <v>143</v>
      </c>
      <c r="BF3035">
        <v>0.61</v>
      </c>
      <c r="BG3035">
        <v>0.12</v>
      </c>
      <c r="BH3035">
        <v>-1.37</v>
      </c>
      <c r="BI3035">
        <v>0.23</v>
      </c>
      <c r="BJ3035">
        <v>20210831</v>
      </c>
      <c r="BK3035">
        <v>19940224</v>
      </c>
      <c r="BL3035">
        <v>2.23</v>
      </c>
      <c r="BM3035" t="s">
        <v>120</v>
      </c>
      <c r="BN3035" t="s">
        <v>120</v>
      </c>
      <c r="BO3035">
        <v>12.44</v>
      </c>
      <c r="BP3035">
        <v>8.65</v>
      </c>
      <c r="BQ3035">
        <v>7.3</v>
      </c>
      <c r="BR3035">
        <v>7.0000000000000007E-2</v>
      </c>
      <c r="BS3035">
        <v>40.78</v>
      </c>
      <c r="BT3035">
        <v>6.48</v>
      </c>
      <c r="BU3035">
        <v>0.7</v>
      </c>
      <c r="BV3035">
        <v>0.47</v>
      </c>
      <c r="BW3035">
        <v>3.92</v>
      </c>
      <c r="BX3035">
        <v>3.1</v>
      </c>
      <c r="BY3035">
        <v>1.97</v>
      </c>
      <c r="BZ3035">
        <v>1.21</v>
      </c>
      <c r="CA3035">
        <v>0.02</v>
      </c>
      <c r="CB3035">
        <v>0.65</v>
      </c>
      <c r="CC3035">
        <v>6.32</v>
      </c>
      <c r="CD3035">
        <v>5.13</v>
      </c>
      <c r="CE3035">
        <v>0.25</v>
      </c>
      <c r="CF3035">
        <v>0.02</v>
      </c>
      <c r="CG3035">
        <v>0.34</v>
      </c>
      <c r="CH3035">
        <v>0.26</v>
      </c>
      <c r="CI3035">
        <v>0.26</v>
      </c>
      <c r="CJ3035">
        <v>0.02</v>
      </c>
      <c r="CK3035">
        <v>0.16</v>
      </c>
      <c r="CL3035">
        <v>2.94</v>
      </c>
      <c r="CM3035">
        <v>0.31</v>
      </c>
      <c r="CN3035">
        <v>-2</v>
      </c>
      <c r="CO3035">
        <v>23966</v>
      </c>
      <c r="CP3035">
        <v>5124</v>
      </c>
      <c r="CQ3035" t="s">
        <v>9617</v>
      </c>
      <c r="CR3035">
        <v>-22</v>
      </c>
      <c r="CS3035">
        <v>-26.36</v>
      </c>
      <c r="CT3035">
        <v>2.65</v>
      </c>
      <c r="CU3035">
        <v>61.75</v>
      </c>
      <c r="CV3035">
        <v>3.06</v>
      </c>
      <c r="CW3035">
        <v>1.1000000000000001</v>
      </c>
      <c r="CX3035" t="s">
        <v>8308</v>
      </c>
      <c r="CY3035">
        <v>3.27</v>
      </c>
      <c r="CZ3035">
        <v>0</v>
      </c>
      <c r="DA3035">
        <v>0.28999999999999998</v>
      </c>
      <c r="DB3035">
        <v>1.32</v>
      </c>
      <c r="DC3035">
        <v>0.14000000000000001</v>
      </c>
      <c r="DD3035">
        <v>58.66</v>
      </c>
      <c r="DE3035" t="s">
        <v>3080</v>
      </c>
      <c r="DF3035">
        <v>18.809999999999999</v>
      </c>
      <c r="DG3035">
        <v>3.91</v>
      </c>
      <c r="DH3035">
        <v>4.1100000000000003</v>
      </c>
      <c r="DI3035" t="s">
        <v>120</v>
      </c>
      <c r="DJ3035">
        <v>772</v>
      </c>
      <c r="DK3035">
        <v>600833</v>
      </c>
      <c r="DL3035" t="s">
        <v>120</v>
      </c>
      <c r="DM3035" t="s">
        <v>120</v>
      </c>
      <c r="DN3035" t="s">
        <v>120</v>
      </c>
    </row>
    <row r="3036" spans="1:118">
      <c r="A3036" t="str">
        <f>"600834"</f>
        <v>600834</v>
      </c>
      <c r="B3036" t="s">
        <v>13260</v>
      </c>
      <c r="C3036">
        <v>-0.27</v>
      </c>
      <c r="D3036">
        <v>0</v>
      </c>
      <c r="E3036">
        <v>-0.36</v>
      </c>
      <c r="F3036">
        <v>221</v>
      </c>
      <c r="G3036" t="s">
        <v>2776</v>
      </c>
      <c r="H3036">
        <v>5018.5200000000004</v>
      </c>
      <c r="I3036">
        <v>52.41</v>
      </c>
      <c r="J3036" t="s">
        <v>120</v>
      </c>
      <c r="K3036" t="s">
        <v>13261</v>
      </c>
      <c r="L3036">
        <v>0.95</v>
      </c>
      <c r="M3036">
        <v>11.02</v>
      </c>
      <c r="N3036">
        <v>0.59</v>
      </c>
      <c r="O3036">
        <v>0.27</v>
      </c>
      <c r="P3036">
        <v>11.08</v>
      </c>
      <c r="Q3036">
        <v>-0.45</v>
      </c>
      <c r="R3036">
        <v>11</v>
      </c>
      <c r="S3036">
        <v>11.01</v>
      </c>
      <c r="T3036">
        <v>45488</v>
      </c>
      <c r="U3036">
        <v>11.03</v>
      </c>
      <c r="V3036">
        <v>11.05</v>
      </c>
      <c r="W3036">
        <v>71.739999999999995</v>
      </c>
      <c r="X3036" t="s">
        <v>5789</v>
      </c>
      <c r="Y3036" t="s">
        <v>1510</v>
      </c>
      <c r="Z3036">
        <v>0.72</v>
      </c>
      <c r="AA3036">
        <v>11.03</v>
      </c>
      <c r="AB3036">
        <v>29537</v>
      </c>
      <c r="AC3036">
        <v>15951</v>
      </c>
      <c r="AD3036">
        <v>1.85</v>
      </c>
      <c r="AE3036">
        <v>625</v>
      </c>
      <c r="AF3036">
        <v>28</v>
      </c>
      <c r="AG3036" t="s">
        <v>120</v>
      </c>
      <c r="AH3036">
        <v>0.02</v>
      </c>
      <c r="AI3036" t="s">
        <v>120</v>
      </c>
      <c r="AJ3036">
        <v>4.7699999999999996</v>
      </c>
      <c r="AK3036" t="s">
        <v>13261</v>
      </c>
      <c r="AL3036">
        <v>1.07</v>
      </c>
      <c r="AM3036">
        <v>1838</v>
      </c>
      <c r="AN3036">
        <v>25</v>
      </c>
      <c r="AO3036">
        <v>5.0000000000000001E-4</v>
      </c>
      <c r="AP3036">
        <v>-2</v>
      </c>
      <c r="AQ3036">
        <v>-0.9</v>
      </c>
      <c r="AR3036">
        <v>-0.64</v>
      </c>
      <c r="AS3036">
        <v>-0.54</v>
      </c>
      <c r="AT3036">
        <v>-14.06</v>
      </c>
      <c r="AU3036">
        <v>17.82</v>
      </c>
      <c r="AV3036">
        <v>6</v>
      </c>
      <c r="AW3036">
        <v>2.29</v>
      </c>
      <c r="AX3036">
        <v>41.57</v>
      </c>
      <c r="AY3036">
        <v>76.8</v>
      </c>
      <c r="AZ3036">
        <v>71.459999999999994</v>
      </c>
      <c r="BA3036">
        <v>0.18</v>
      </c>
      <c r="BB3036" t="s">
        <v>143</v>
      </c>
      <c r="BF3036">
        <v>-0.16</v>
      </c>
      <c r="BG3036">
        <v>0.09</v>
      </c>
      <c r="BH3036">
        <v>-0.54</v>
      </c>
      <c r="BI3036">
        <v>0.18</v>
      </c>
      <c r="BJ3036">
        <v>20210830</v>
      </c>
      <c r="BK3036">
        <v>19940224</v>
      </c>
      <c r="BL3036">
        <v>4.7699999999999996</v>
      </c>
      <c r="BM3036" t="s">
        <v>120</v>
      </c>
      <c r="BN3036" t="s">
        <v>120</v>
      </c>
      <c r="BO3036">
        <v>28.86</v>
      </c>
      <c r="BP3036">
        <v>11.02</v>
      </c>
      <c r="BQ3036">
        <v>15.48</v>
      </c>
      <c r="BR3036">
        <v>0.17</v>
      </c>
      <c r="BS3036">
        <v>45.76</v>
      </c>
      <c r="BT3036">
        <v>3.65</v>
      </c>
      <c r="BU3036">
        <v>0.56999999999999995</v>
      </c>
      <c r="BV3036">
        <v>0</v>
      </c>
      <c r="BW3036">
        <v>7.45</v>
      </c>
      <c r="BX3036">
        <v>1.77</v>
      </c>
      <c r="BY3036">
        <v>0.15</v>
      </c>
      <c r="BZ3036">
        <v>0.17</v>
      </c>
      <c r="CA3036" t="s">
        <v>120</v>
      </c>
      <c r="CB3036">
        <v>0.28000000000000003</v>
      </c>
      <c r="CC3036">
        <v>1.55</v>
      </c>
      <c r="CD3036">
        <v>1.1100000000000001</v>
      </c>
      <c r="CE3036">
        <v>0.51</v>
      </c>
      <c r="CF3036">
        <v>0.27</v>
      </c>
      <c r="CG3036">
        <v>0.51</v>
      </c>
      <c r="CH3036">
        <v>0.38</v>
      </c>
      <c r="CI3036">
        <v>0.37</v>
      </c>
      <c r="CJ3036">
        <v>-0.03</v>
      </c>
      <c r="CK3036">
        <v>0.35</v>
      </c>
      <c r="CL3036">
        <v>8.17</v>
      </c>
      <c r="CM3036">
        <v>0.05</v>
      </c>
      <c r="CN3036">
        <v>0.09</v>
      </c>
      <c r="CO3036">
        <v>47162</v>
      </c>
      <c r="CP3036">
        <v>4208</v>
      </c>
      <c r="CQ3036" t="s">
        <v>13262</v>
      </c>
      <c r="CR3036">
        <v>-12.29</v>
      </c>
      <c r="CS3036">
        <v>6.29</v>
      </c>
      <c r="CT3036">
        <v>3.4</v>
      </c>
      <c r="CU3036">
        <v>1008</v>
      </c>
      <c r="CV3036">
        <v>33.950000000000003</v>
      </c>
      <c r="CW3036">
        <v>0.43</v>
      </c>
      <c r="CX3036" t="s">
        <v>8991</v>
      </c>
      <c r="CY3036">
        <v>3.24</v>
      </c>
      <c r="CZ3036">
        <v>0</v>
      </c>
      <c r="DA3036">
        <v>0.06</v>
      </c>
      <c r="DB3036">
        <v>1.71</v>
      </c>
      <c r="DC3036">
        <v>0.01</v>
      </c>
      <c r="DD3036">
        <v>53.64</v>
      </c>
      <c r="DE3036" t="s">
        <v>8156</v>
      </c>
      <c r="DF3036">
        <v>28.46</v>
      </c>
      <c r="DG3036">
        <v>32.71</v>
      </c>
      <c r="DH3036">
        <v>23.67</v>
      </c>
      <c r="DI3036" t="s">
        <v>120</v>
      </c>
      <c r="DJ3036">
        <v>443</v>
      </c>
      <c r="DK3036">
        <v>600834</v>
      </c>
      <c r="DL3036" t="s">
        <v>120</v>
      </c>
      <c r="DM3036" t="s">
        <v>120</v>
      </c>
      <c r="DN3036" t="s">
        <v>120</v>
      </c>
    </row>
    <row r="3037" spans="1:118">
      <c r="A3037" t="str">
        <f>"600835"</f>
        <v>600835</v>
      </c>
      <c r="B3037" t="s">
        <v>13263</v>
      </c>
      <c r="C3037">
        <v>-1.53</v>
      </c>
      <c r="D3037">
        <v>0.26</v>
      </c>
      <c r="E3037">
        <v>0.32</v>
      </c>
      <c r="F3037">
        <v>1170</v>
      </c>
      <c r="G3037" t="s">
        <v>13264</v>
      </c>
      <c r="H3037">
        <v>6264.47</v>
      </c>
      <c r="I3037">
        <v>23.48</v>
      </c>
      <c r="J3037" t="s">
        <v>120</v>
      </c>
      <c r="K3037" t="s">
        <v>13265</v>
      </c>
      <c r="L3037">
        <v>0.5</v>
      </c>
      <c r="M3037">
        <v>15.47</v>
      </c>
      <c r="N3037">
        <v>0.62</v>
      </c>
      <c r="O3037">
        <v>0.76</v>
      </c>
      <c r="P3037">
        <v>15.83</v>
      </c>
      <c r="Q3037">
        <v>-2.23</v>
      </c>
      <c r="R3037">
        <v>15.36</v>
      </c>
      <c r="S3037">
        <v>15.76</v>
      </c>
      <c r="T3037">
        <v>40256</v>
      </c>
      <c r="U3037">
        <v>15.47</v>
      </c>
      <c r="V3037">
        <v>15.71</v>
      </c>
      <c r="W3037">
        <v>12.59</v>
      </c>
      <c r="X3037" t="s">
        <v>157</v>
      </c>
      <c r="Y3037" t="s">
        <v>1510</v>
      </c>
      <c r="Z3037">
        <v>2.99</v>
      </c>
      <c r="AA3037">
        <v>15.56</v>
      </c>
      <c r="AB3037">
        <v>23252</v>
      </c>
      <c r="AC3037">
        <v>17004</v>
      </c>
      <c r="AD3037">
        <v>1.37</v>
      </c>
      <c r="AE3037">
        <v>1</v>
      </c>
      <c r="AF3037">
        <v>109</v>
      </c>
      <c r="AG3037" t="s">
        <v>120</v>
      </c>
      <c r="AH3037">
        <v>0</v>
      </c>
      <c r="AI3037" t="s">
        <v>120</v>
      </c>
      <c r="AJ3037">
        <v>8.07</v>
      </c>
      <c r="AK3037" t="s">
        <v>13266</v>
      </c>
      <c r="AL3037">
        <v>-0.18</v>
      </c>
      <c r="AM3037">
        <v>2233</v>
      </c>
      <c r="AN3037">
        <v>18</v>
      </c>
      <c r="AO3037">
        <v>2.0000000000000001E-4</v>
      </c>
      <c r="AP3037">
        <v>-1</v>
      </c>
      <c r="AQ3037">
        <v>0.45</v>
      </c>
      <c r="AR3037">
        <v>-5.32</v>
      </c>
      <c r="AS3037">
        <v>-2.64</v>
      </c>
      <c r="AT3037">
        <v>-3.97</v>
      </c>
      <c r="AU3037">
        <v>-18.88</v>
      </c>
      <c r="AV3037">
        <v>2</v>
      </c>
      <c r="AW3037">
        <v>1.28</v>
      </c>
      <c r="AX3037">
        <v>30.84</v>
      </c>
      <c r="AY3037">
        <v>13.79</v>
      </c>
      <c r="AZ3037">
        <v>14.22</v>
      </c>
      <c r="BA3037">
        <v>0.7</v>
      </c>
      <c r="BB3037" t="s">
        <v>240</v>
      </c>
      <c r="BF3037">
        <v>-0.94</v>
      </c>
      <c r="BG3037">
        <v>-1.84</v>
      </c>
      <c r="BH3037">
        <v>-2.27</v>
      </c>
      <c r="BI3037">
        <v>0.72</v>
      </c>
      <c r="BJ3037">
        <v>20210823</v>
      </c>
      <c r="BK3037">
        <v>19940224</v>
      </c>
      <c r="BL3037">
        <v>10.23</v>
      </c>
      <c r="BM3037">
        <v>2.16</v>
      </c>
      <c r="BN3037" t="s">
        <v>120</v>
      </c>
      <c r="BO3037">
        <v>382.23</v>
      </c>
      <c r="BP3037">
        <v>15.45</v>
      </c>
      <c r="BQ3037">
        <v>121.58</v>
      </c>
      <c r="BR3037">
        <v>23.36</v>
      </c>
      <c r="BS3037">
        <v>62.08</v>
      </c>
      <c r="BT3037">
        <v>317.45999999999998</v>
      </c>
      <c r="BU3037">
        <v>16.309999999999999</v>
      </c>
      <c r="BV3037">
        <v>3.44</v>
      </c>
      <c r="BW3037">
        <v>233.72</v>
      </c>
      <c r="BX3037">
        <v>120.37</v>
      </c>
      <c r="BY3037">
        <v>96.08</v>
      </c>
      <c r="BZ3037">
        <v>33.82</v>
      </c>
      <c r="CA3037" t="s">
        <v>120</v>
      </c>
      <c r="CB3037">
        <v>19.420000000000002</v>
      </c>
      <c r="CC3037">
        <v>114.35</v>
      </c>
      <c r="CD3037">
        <v>95.32</v>
      </c>
      <c r="CE3037">
        <v>10.38</v>
      </c>
      <c r="CF3037">
        <v>1.71</v>
      </c>
      <c r="CG3037">
        <v>10.58</v>
      </c>
      <c r="CH3037">
        <v>9.8000000000000007</v>
      </c>
      <c r="CI3037">
        <v>6.28</v>
      </c>
      <c r="CJ3037">
        <v>-0.24</v>
      </c>
      <c r="CK3037">
        <v>5.98</v>
      </c>
      <c r="CL3037">
        <v>78.64</v>
      </c>
      <c r="CM3037">
        <v>1.2</v>
      </c>
      <c r="CN3037">
        <v>-4</v>
      </c>
      <c r="CO3037">
        <v>68534</v>
      </c>
      <c r="CP3037">
        <v>7758</v>
      </c>
      <c r="CQ3037" t="s">
        <v>13267</v>
      </c>
      <c r="CR3037">
        <v>5.87</v>
      </c>
      <c r="CS3037">
        <v>4.17</v>
      </c>
      <c r="CT3037">
        <v>1.3</v>
      </c>
      <c r="CU3037">
        <v>131.93</v>
      </c>
      <c r="CV3037">
        <v>1.38</v>
      </c>
      <c r="CW3037">
        <v>2.48</v>
      </c>
      <c r="CX3037" t="s">
        <v>1656</v>
      </c>
      <c r="CY3037">
        <v>11.89</v>
      </c>
      <c r="CZ3037">
        <v>0</v>
      </c>
      <c r="DA3037">
        <v>1.9</v>
      </c>
      <c r="DB3037">
        <v>7.69</v>
      </c>
      <c r="DC3037">
        <v>0.12</v>
      </c>
      <c r="DD3037">
        <v>31.81</v>
      </c>
      <c r="DE3037" t="s">
        <v>278</v>
      </c>
      <c r="DF3037">
        <v>16.64</v>
      </c>
      <c r="DG3037">
        <v>9.08</v>
      </c>
      <c r="DH3037">
        <v>5.49</v>
      </c>
      <c r="DI3037">
        <v>3.22</v>
      </c>
      <c r="DJ3037">
        <v>4212</v>
      </c>
      <c r="DK3037">
        <v>600835</v>
      </c>
      <c r="DL3037" t="s">
        <v>120</v>
      </c>
      <c r="DM3037" t="s">
        <v>120</v>
      </c>
      <c r="DN3037" t="s">
        <v>120</v>
      </c>
    </row>
    <row r="3038" spans="1:118">
      <c r="A3038" t="str">
        <f>"600836"</f>
        <v>600836</v>
      </c>
      <c r="B3038" t="s">
        <v>13268</v>
      </c>
      <c r="C3038">
        <v>2.11</v>
      </c>
      <c r="D3038">
        <v>0</v>
      </c>
      <c r="E3038">
        <v>1.1299999999999999</v>
      </c>
      <c r="F3038">
        <v>1235</v>
      </c>
      <c r="G3038" t="s">
        <v>2064</v>
      </c>
      <c r="H3038">
        <v>9212.85</v>
      </c>
      <c r="I3038">
        <v>29.37</v>
      </c>
      <c r="J3038" t="s">
        <v>120</v>
      </c>
      <c r="K3038" t="s">
        <v>13269</v>
      </c>
      <c r="L3038">
        <v>1.9</v>
      </c>
      <c r="M3038">
        <v>7.25</v>
      </c>
      <c r="N3038">
        <v>1.08</v>
      </c>
      <c r="O3038">
        <v>4.6500000000000004</v>
      </c>
      <c r="P3038">
        <v>7.43</v>
      </c>
      <c r="Q3038">
        <v>0.56000000000000005</v>
      </c>
      <c r="R3038">
        <v>7.14</v>
      </c>
      <c r="S3038">
        <v>7.18</v>
      </c>
      <c r="T3038">
        <v>126077</v>
      </c>
      <c r="U3038">
        <v>7.26</v>
      </c>
      <c r="V3038">
        <v>7.1</v>
      </c>
      <c r="W3038">
        <v>16.45</v>
      </c>
      <c r="X3038" t="s">
        <v>339</v>
      </c>
      <c r="Y3038" t="s">
        <v>1510</v>
      </c>
      <c r="Z3038">
        <v>4.08</v>
      </c>
      <c r="AA3038">
        <v>7.31</v>
      </c>
      <c r="AB3038">
        <v>64360</v>
      </c>
      <c r="AC3038">
        <v>61717</v>
      </c>
      <c r="AD3038">
        <v>1.04</v>
      </c>
      <c r="AE3038">
        <v>78</v>
      </c>
      <c r="AF3038">
        <v>1393</v>
      </c>
      <c r="AG3038" t="s">
        <v>120</v>
      </c>
      <c r="AH3038">
        <v>0.01</v>
      </c>
      <c r="AI3038" t="s">
        <v>120</v>
      </c>
      <c r="AJ3038">
        <v>6.63</v>
      </c>
      <c r="AK3038" t="s">
        <v>13269</v>
      </c>
      <c r="AL3038">
        <v>3.46</v>
      </c>
      <c r="AM3038">
        <v>2514</v>
      </c>
      <c r="AN3038">
        <v>50</v>
      </c>
      <c r="AO3038">
        <v>8.0000000000000004E-4</v>
      </c>
      <c r="AP3038">
        <v>1</v>
      </c>
      <c r="AQ3038">
        <v>-0.14000000000000001</v>
      </c>
      <c r="AR3038">
        <v>6.62</v>
      </c>
      <c r="AS3038">
        <v>19.84</v>
      </c>
      <c r="AT3038">
        <v>20.23</v>
      </c>
      <c r="AU3038">
        <v>47.36</v>
      </c>
      <c r="AV3038">
        <v>4</v>
      </c>
      <c r="AW3038">
        <v>2.61</v>
      </c>
      <c r="AX3038">
        <v>72.77</v>
      </c>
      <c r="AY3038">
        <v>29.62</v>
      </c>
      <c r="AZ3038">
        <v>20.03</v>
      </c>
      <c r="BA3038">
        <v>0.71</v>
      </c>
      <c r="BB3038" t="s">
        <v>143</v>
      </c>
      <c r="BF3038">
        <v>2.92</v>
      </c>
      <c r="BG3038">
        <v>0.97</v>
      </c>
      <c r="BH3038">
        <v>-2.42</v>
      </c>
      <c r="BI3038">
        <v>1.54</v>
      </c>
      <c r="BJ3038">
        <v>20210827</v>
      </c>
      <c r="BK3038">
        <v>19940224</v>
      </c>
      <c r="BL3038">
        <v>6.63</v>
      </c>
      <c r="BM3038" t="s">
        <v>120</v>
      </c>
      <c r="BN3038" t="s">
        <v>120</v>
      </c>
      <c r="BO3038">
        <v>19.829999999999998</v>
      </c>
      <c r="BP3038">
        <v>7.25</v>
      </c>
      <c r="BQ3038">
        <v>11.57</v>
      </c>
      <c r="BR3038">
        <v>0.41</v>
      </c>
      <c r="BS3038">
        <v>39.57</v>
      </c>
      <c r="BT3038">
        <v>10.32</v>
      </c>
      <c r="BU3038">
        <v>4.1500000000000004</v>
      </c>
      <c r="BV3038">
        <v>0.86</v>
      </c>
      <c r="BW3038">
        <v>6.83</v>
      </c>
      <c r="BX3038">
        <v>6.68</v>
      </c>
      <c r="BY3038">
        <v>1.27</v>
      </c>
      <c r="BZ3038">
        <v>1.81</v>
      </c>
      <c r="CA3038">
        <v>0.02</v>
      </c>
      <c r="CB3038">
        <v>0.96</v>
      </c>
      <c r="CC3038">
        <v>4.34</v>
      </c>
      <c r="CD3038">
        <v>3.35</v>
      </c>
      <c r="CE3038">
        <v>1.83</v>
      </c>
      <c r="CF3038">
        <v>1.78</v>
      </c>
      <c r="CG3038">
        <v>1.84</v>
      </c>
      <c r="CH3038">
        <v>1.47</v>
      </c>
      <c r="CI3038">
        <v>1.46</v>
      </c>
      <c r="CJ3038">
        <v>0.15</v>
      </c>
      <c r="CK3038">
        <v>0.02</v>
      </c>
      <c r="CL3038">
        <v>3.73</v>
      </c>
      <c r="CM3038">
        <v>-0.03</v>
      </c>
      <c r="CN3038">
        <v>3.69</v>
      </c>
      <c r="CO3038">
        <v>39693</v>
      </c>
      <c r="CP3038">
        <v>12150</v>
      </c>
      <c r="CQ3038" t="s">
        <v>6656</v>
      </c>
      <c r="CR3038">
        <v>-34.24</v>
      </c>
      <c r="CS3038">
        <v>-72.95</v>
      </c>
      <c r="CT3038">
        <v>4.1500000000000004</v>
      </c>
      <c r="CU3038">
        <v>-1889.34</v>
      </c>
      <c r="CV3038">
        <v>11.08</v>
      </c>
      <c r="CW3038">
        <v>0</v>
      </c>
      <c r="CX3038" t="s">
        <v>3361</v>
      </c>
      <c r="CY3038">
        <v>1.75</v>
      </c>
      <c r="CZ3038">
        <v>0</v>
      </c>
      <c r="DA3038">
        <v>0.15</v>
      </c>
      <c r="DB3038">
        <v>0.56000000000000005</v>
      </c>
      <c r="DC3038">
        <v>0</v>
      </c>
      <c r="DD3038">
        <v>58.34</v>
      </c>
      <c r="DE3038" t="s">
        <v>13270</v>
      </c>
      <c r="DF3038">
        <v>22.61</v>
      </c>
      <c r="DG3038">
        <v>42.32</v>
      </c>
      <c r="DH3038">
        <v>33.69</v>
      </c>
      <c r="DI3038">
        <v>0.05</v>
      </c>
      <c r="DJ3038">
        <v>1686</v>
      </c>
      <c r="DK3038">
        <v>600836</v>
      </c>
      <c r="DL3038" t="s">
        <v>120</v>
      </c>
      <c r="DM3038" t="s">
        <v>120</v>
      </c>
      <c r="DN3038" t="s">
        <v>120</v>
      </c>
    </row>
    <row r="3039" spans="1:118">
      <c r="A3039" t="str">
        <f>"600837"</f>
        <v>600837</v>
      </c>
      <c r="B3039" t="s">
        <v>13271</v>
      </c>
      <c r="C3039">
        <v>-1.86</v>
      </c>
      <c r="D3039">
        <v>0</v>
      </c>
      <c r="E3039">
        <v>0</v>
      </c>
      <c r="F3039">
        <v>14574</v>
      </c>
      <c r="G3039" t="s">
        <v>13272</v>
      </c>
      <c r="H3039">
        <v>118878.33</v>
      </c>
      <c r="I3039">
        <v>296.89</v>
      </c>
      <c r="J3039" t="s">
        <v>120</v>
      </c>
      <c r="K3039" t="s">
        <v>13273</v>
      </c>
      <c r="L3039">
        <v>1.1399999999999999</v>
      </c>
      <c r="M3039">
        <v>12.12</v>
      </c>
      <c r="N3039">
        <v>0.43</v>
      </c>
      <c r="O3039">
        <v>0.81</v>
      </c>
      <c r="P3039">
        <v>12.45</v>
      </c>
      <c r="Q3039">
        <v>-1.94</v>
      </c>
      <c r="R3039">
        <v>12.11</v>
      </c>
      <c r="S3039">
        <v>12.35</v>
      </c>
      <c r="T3039">
        <v>968145</v>
      </c>
      <c r="U3039">
        <v>12.13</v>
      </c>
      <c r="V3039">
        <v>12.35</v>
      </c>
      <c r="W3039">
        <v>9.69</v>
      </c>
      <c r="X3039" t="s">
        <v>616</v>
      </c>
      <c r="Y3039" t="s">
        <v>1510</v>
      </c>
      <c r="Z3039">
        <v>2.75</v>
      </c>
      <c r="AA3039">
        <v>12.28</v>
      </c>
      <c r="AB3039">
        <v>537097</v>
      </c>
      <c r="AC3039">
        <v>431048</v>
      </c>
      <c r="AD3039">
        <v>1.25</v>
      </c>
      <c r="AE3039">
        <v>4839</v>
      </c>
      <c r="AF3039">
        <v>624</v>
      </c>
      <c r="AG3039" t="s">
        <v>120</v>
      </c>
      <c r="AH3039">
        <v>0</v>
      </c>
      <c r="AI3039" t="s">
        <v>120</v>
      </c>
      <c r="AJ3039">
        <v>84.83</v>
      </c>
      <c r="AK3039" t="s">
        <v>13274</v>
      </c>
      <c r="AL3039">
        <v>-0.52</v>
      </c>
      <c r="AM3039">
        <v>4640</v>
      </c>
      <c r="AN3039">
        <v>209</v>
      </c>
      <c r="AO3039">
        <v>2.0000000000000001E-4</v>
      </c>
      <c r="AP3039">
        <v>-4</v>
      </c>
      <c r="AQ3039">
        <v>-0.24</v>
      </c>
      <c r="AR3039">
        <v>-5.31</v>
      </c>
      <c r="AS3039">
        <v>1.25</v>
      </c>
      <c r="AT3039">
        <v>6.41</v>
      </c>
      <c r="AU3039">
        <v>-3.88</v>
      </c>
      <c r="AV3039">
        <v>0</v>
      </c>
      <c r="AW3039">
        <v>1.17</v>
      </c>
      <c r="AX3039">
        <v>85.39</v>
      </c>
      <c r="AY3039">
        <v>11.9</v>
      </c>
      <c r="AZ3039">
        <v>14.84</v>
      </c>
      <c r="BA3039">
        <v>1.21</v>
      </c>
      <c r="BB3039" t="s">
        <v>143</v>
      </c>
      <c r="BF3039">
        <v>-0.57999999999999996</v>
      </c>
      <c r="BG3039">
        <v>-1.86</v>
      </c>
      <c r="BH3039">
        <v>-2.65</v>
      </c>
      <c r="BI3039">
        <v>0.08</v>
      </c>
      <c r="BJ3039">
        <v>20210831</v>
      </c>
      <c r="BK3039">
        <v>19940224</v>
      </c>
      <c r="BL3039">
        <v>130.63999999999999</v>
      </c>
      <c r="BM3039" t="s">
        <v>120</v>
      </c>
      <c r="BN3039">
        <v>34.1</v>
      </c>
      <c r="BO3039">
        <v>7230.92</v>
      </c>
      <c r="BP3039">
        <v>12.12</v>
      </c>
      <c r="BQ3039">
        <v>1581.79</v>
      </c>
      <c r="BR3039">
        <v>151.15</v>
      </c>
      <c r="BS3039">
        <v>76.03</v>
      </c>
      <c r="BT3039">
        <v>0</v>
      </c>
      <c r="BU3039">
        <v>140.79</v>
      </c>
      <c r="BV3039">
        <v>12.34</v>
      </c>
      <c r="BW3039">
        <v>0</v>
      </c>
      <c r="BX3039">
        <v>1527.11</v>
      </c>
      <c r="BY3039">
        <v>0</v>
      </c>
      <c r="BZ3039">
        <v>0</v>
      </c>
      <c r="CA3039" t="s">
        <v>120</v>
      </c>
      <c r="CB3039">
        <v>749.11</v>
      </c>
      <c r="CC3039">
        <v>234.71</v>
      </c>
      <c r="CD3039">
        <v>0</v>
      </c>
      <c r="CE3039">
        <v>116.34</v>
      </c>
      <c r="CF3039">
        <v>60.9</v>
      </c>
      <c r="CG3039">
        <v>116.61</v>
      </c>
      <c r="CH3039">
        <v>88.89</v>
      </c>
      <c r="CI3039">
        <v>81.7</v>
      </c>
      <c r="CJ3039">
        <v>-0.23</v>
      </c>
      <c r="CK3039">
        <v>78.97</v>
      </c>
      <c r="CL3039">
        <v>460.53</v>
      </c>
      <c r="CM3039">
        <v>347.58</v>
      </c>
      <c r="CN3039">
        <v>269.82</v>
      </c>
      <c r="CO3039">
        <v>315236</v>
      </c>
      <c r="CP3039">
        <v>26153</v>
      </c>
      <c r="CQ3039" t="s">
        <v>13275</v>
      </c>
      <c r="CR3039">
        <v>49</v>
      </c>
      <c r="CS3039">
        <v>31.95</v>
      </c>
      <c r="CT3039">
        <v>1</v>
      </c>
      <c r="CU3039">
        <v>4.5599999999999996</v>
      </c>
      <c r="CV3039">
        <v>6.75</v>
      </c>
      <c r="CW3039">
        <v>2.02</v>
      </c>
      <c r="CX3039" t="s">
        <v>4650</v>
      </c>
      <c r="CY3039">
        <v>12.11</v>
      </c>
      <c r="CZ3039">
        <v>0</v>
      </c>
      <c r="DA3039">
        <v>5.73</v>
      </c>
      <c r="DB3039">
        <v>3.53</v>
      </c>
      <c r="DC3039">
        <v>2.66</v>
      </c>
      <c r="DD3039">
        <v>21.88</v>
      </c>
      <c r="DE3039" t="s">
        <v>278</v>
      </c>
      <c r="DF3039" t="s">
        <v>120</v>
      </c>
      <c r="DG3039">
        <v>49.57</v>
      </c>
      <c r="DH3039">
        <v>34.81</v>
      </c>
      <c r="DI3039" t="s">
        <v>120</v>
      </c>
      <c r="DJ3039">
        <v>11282</v>
      </c>
      <c r="DK3039">
        <v>600837</v>
      </c>
      <c r="DL3039" t="s">
        <v>120</v>
      </c>
      <c r="DM3039" t="s">
        <v>120</v>
      </c>
      <c r="DN3039" t="s">
        <v>120</v>
      </c>
    </row>
    <row r="3040" spans="1:118">
      <c r="A3040" t="str">
        <f>"600838"</f>
        <v>600838</v>
      </c>
      <c r="B3040" t="s">
        <v>13276</v>
      </c>
      <c r="C3040">
        <v>-2.63</v>
      </c>
      <c r="D3040">
        <v>-0.99</v>
      </c>
      <c r="E3040">
        <v>0.16</v>
      </c>
      <c r="F3040">
        <v>2719</v>
      </c>
      <c r="G3040" t="s">
        <v>10422</v>
      </c>
      <c r="H3040">
        <v>2343.5</v>
      </c>
      <c r="I3040">
        <v>2.19</v>
      </c>
      <c r="J3040" t="s">
        <v>120</v>
      </c>
      <c r="K3040" t="s">
        <v>5223</v>
      </c>
      <c r="L3040">
        <v>0.97</v>
      </c>
      <c r="M3040">
        <v>5.92</v>
      </c>
      <c r="N3040">
        <v>1.44</v>
      </c>
      <c r="O3040">
        <v>0.99</v>
      </c>
      <c r="P3040">
        <v>6.14</v>
      </c>
      <c r="Q3040">
        <v>-2.63</v>
      </c>
      <c r="R3040">
        <v>5.92</v>
      </c>
      <c r="S3040">
        <v>6.09</v>
      </c>
      <c r="T3040">
        <v>38741</v>
      </c>
      <c r="U3040">
        <v>5.99</v>
      </c>
      <c r="V3040">
        <v>6.08</v>
      </c>
      <c r="W3040">
        <v>28.29</v>
      </c>
      <c r="X3040" t="s">
        <v>735</v>
      </c>
      <c r="Y3040" t="s">
        <v>1510</v>
      </c>
      <c r="Z3040">
        <v>3.62</v>
      </c>
      <c r="AA3040">
        <v>6.05</v>
      </c>
      <c r="AB3040">
        <v>23095</v>
      </c>
      <c r="AC3040">
        <v>15646</v>
      </c>
      <c r="AD3040">
        <v>1.48</v>
      </c>
      <c r="AE3040">
        <v>302</v>
      </c>
      <c r="AF3040">
        <v>353</v>
      </c>
      <c r="AG3040" t="s">
        <v>120</v>
      </c>
      <c r="AH3040">
        <v>0</v>
      </c>
      <c r="AI3040" t="s">
        <v>120</v>
      </c>
      <c r="AJ3040">
        <v>4.01</v>
      </c>
      <c r="AK3040" t="s">
        <v>5223</v>
      </c>
      <c r="AL3040">
        <v>-1.29</v>
      </c>
      <c r="AM3040">
        <v>1231</v>
      </c>
      <c r="AN3040">
        <v>31</v>
      </c>
      <c r="AO3040">
        <v>8.0000000000000004E-4</v>
      </c>
      <c r="AP3040">
        <v>-1</v>
      </c>
      <c r="AQ3040">
        <v>0.33</v>
      </c>
      <c r="AR3040">
        <v>-3.74</v>
      </c>
      <c r="AS3040">
        <v>6.29</v>
      </c>
      <c r="AT3040">
        <v>-6.62</v>
      </c>
      <c r="AU3040">
        <v>-12.94</v>
      </c>
      <c r="AV3040">
        <v>0</v>
      </c>
      <c r="AW3040">
        <v>1.42</v>
      </c>
      <c r="AX3040">
        <v>68.069999999999993</v>
      </c>
      <c r="AY3040">
        <v>34.43</v>
      </c>
      <c r="AZ3040">
        <v>45.66</v>
      </c>
      <c r="BA3040">
        <v>0.55000000000000004</v>
      </c>
      <c r="BB3040" t="s">
        <v>143</v>
      </c>
      <c r="BF3040">
        <v>-0.51</v>
      </c>
      <c r="BG3040">
        <v>-2.79</v>
      </c>
      <c r="BH3040">
        <v>-3.58</v>
      </c>
      <c r="BI3040">
        <v>0</v>
      </c>
      <c r="BJ3040">
        <v>20210830</v>
      </c>
      <c r="BK3040">
        <v>19940224</v>
      </c>
      <c r="BL3040">
        <v>4.01</v>
      </c>
      <c r="BM3040" t="s">
        <v>120</v>
      </c>
      <c r="BN3040" t="s">
        <v>120</v>
      </c>
      <c r="BO3040">
        <v>15.2</v>
      </c>
      <c r="BP3040">
        <v>5.92</v>
      </c>
      <c r="BQ3040">
        <v>13.69</v>
      </c>
      <c r="BR3040" t="s">
        <v>120</v>
      </c>
      <c r="BS3040">
        <v>9.93</v>
      </c>
      <c r="BT3040">
        <v>2.4</v>
      </c>
      <c r="BU3040">
        <v>0.42</v>
      </c>
      <c r="BV3040">
        <v>0.79</v>
      </c>
      <c r="BW3040">
        <v>0.68</v>
      </c>
      <c r="BX3040">
        <v>1.94</v>
      </c>
      <c r="BY3040">
        <v>0.17</v>
      </c>
      <c r="BZ3040">
        <v>0.17</v>
      </c>
      <c r="CA3040">
        <v>0.04</v>
      </c>
      <c r="CB3040">
        <v>1.84</v>
      </c>
      <c r="CC3040">
        <v>0.54</v>
      </c>
      <c r="CD3040">
        <v>0.4</v>
      </c>
      <c r="CE3040">
        <v>0.42</v>
      </c>
      <c r="CF3040">
        <v>0.54</v>
      </c>
      <c r="CG3040">
        <v>0.42</v>
      </c>
      <c r="CH3040">
        <v>0.42</v>
      </c>
      <c r="CI3040">
        <v>0.42</v>
      </c>
      <c r="CJ3040">
        <v>-0.16</v>
      </c>
      <c r="CK3040">
        <v>0.42</v>
      </c>
      <c r="CL3040">
        <v>5.17</v>
      </c>
      <c r="CM3040">
        <v>-0.1</v>
      </c>
      <c r="CN3040">
        <v>-0.12</v>
      </c>
      <c r="CO3040">
        <v>39370</v>
      </c>
      <c r="CP3040">
        <v>6931</v>
      </c>
      <c r="CQ3040" t="s">
        <v>4236</v>
      </c>
      <c r="CR3040">
        <v>70.88</v>
      </c>
      <c r="CS3040">
        <v>35.04</v>
      </c>
      <c r="CT3040">
        <v>1.73</v>
      </c>
      <c r="CU3040">
        <v>-228.28</v>
      </c>
      <c r="CV3040">
        <v>44.16</v>
      </c>
      <c r="CW3040">
        <v>0.66</v>
      </c>
      <c r="CX3040" t="s">
        <v>11132</v>
      </c>
      <c r="CY3040">
        <v>3.42</v>
      </c>
      <c r="CZ3040">
        <v>0</v>
      </c>
      <c r="DA3040">
        <v>0.46</v>
      </c>
      <c r="DB3040">
        <v>1.29</v>
      </c>
      <c r="DC3040">
        <v>-0.03</v>
      </c>
      <c r="DD3040">
        <v>90.07</v>
      </c>
      <c r="DE3040" t="s">
        <v>4082</v>
      </c>
      <c r="DF3040">
        <v>26.05</v>
      </c>
      <c r="DG3040">
        <v>78.64</v>
      </c>
      <c r="DH3040">
        <v>78.06</v>
      </c>
      <c r="DI3040">
        <v>0</v>
      </c>
      <c r="DJ3040">
        <v>192</v>
      </c>
      <c r="DK3040">
        <v>600838</v>
      </c>
      <c r="DL3040" t="s">
        <v>120</v>
      </c>
      <c r="DM3040" t="s">
        <v>120</v>
      </c>
      <c r="DN3040" t="s">
        <v>120</v>
      </c>
    </row>
    <row r="3041" spans="1:118">
      <c r="A3041" t="str">
        <f>"600839"</f>
        <v>600839</v>
      </c>
      <c r="B3041" t="s">
        <v>13277</v>
      </c>
      <c r="C3041">
        <v>-3.83</v>
      </c>
      <c r="D3041">
        <v>0</v>
      </c>
      <c r="E3041">
        <v>-0.64</v>
      </c>
      <c r="F3041">
        <v>9879</v>
      </c>
      <c r="G3041" t="s">
        <v>13278</v>
      </c>
      <c r="H3041">
        <v>27947.68</v>
      </c>
      <c r="I3041">
        <v>410.96</v>
      </c>
      <c r="J3041" t="s">
        <v>120</v>
      </c>
      <c r="K3041" t="s">
        <v>13279</v>
      </c>
      <c r="L3041">
        <v>1.97</v>
      </c>
      <c r="M3041">
        <v>3.01</v>
      </c>
      <c r="N3041">
        <v>0.91</v>
      </c>
      <c r="O3041">
        <v>0.96</v>
      </c>
      <c r="P3041">
        <v>3.16</v>
      </c>
      <c r="Q3041">
        <v>-3.83</v>
      </c>
      <c r="R3041">
        <v>3.01</v>
      </c>
      <c r="S3041">
        <v>3.11</v>
      </c>
      <c r="T3041">
        <v>907819</v>
      </c>
      <c r="U3041">
        <v>3.02</v>
      </c>
      <c r="V3041">
        <v>3.13</v>
      </c>
      <c r="W3041">
        <v>75.22</v>
      </c>
      <c r="X3041" t="s">
        <v>205</v>
      </c>
      <c r="Y3041" t="s">
        <v>578</v>
      </c>
      <c r="Z3041">
        <v>4.79</v>
      </c>
      <c r="AA3041">
        <v>3.08</v>
      </c>
      <c r="AB3041">
        <v>586617</v>
      </c>
      <c r="AC3041">
        <v>321202</v>
      </c>
      <c r="AD3041">
        <v>1.83</v>
      </c>
      <c r="AE3041">
        <v>12946</v>
      </c>
      <c r="AF3041">
        <v>14341</v>
      </c>
      <c r="AG3041" t="s">
        <v>120</v>
      </c>
      <c r="AH3041">
        <v>0.04</v>
      </c>
      <c r="AI3041" t="s">
        <v>120</v>
      </c>
      <c r="AJ3041">
        <v>46.15</v>
      </c>
      <c r="AK3041" t="s">
        <v>13280</v>
      </c>
      <c r="AL3041">
        <v>-2.4900000000000002</v>
      </c>
      <c r="AM3041">
        <v>3778</v>
      </c>
      <c r="AN3041">
        <v>240</v>
      </c>
      <c r="AO3041">
        <v>5.0000000000000001E-4</v>
      </c>
      <c r="AP3041">
        <v>-1</v>
      </c>
      <c r="AQ3041">
        <v>3.99</v>
      </c>
      <c r="AR3041">
        <v>-3.53</v>
      </c>
      <c r="AS3041">
        <v>5.98</v>
      </c>
      <c r="AT3041">
        <v>3.08</v>
      </c>
      <c r="AU3041">
        <v>4.1500000000000004</v>
      </c>
      <c r="AV3041">
        <v>1</v>
      </c>
      <c r="AW3041">
        <v>2.56</v>
      </c>
      <c r="AX3041">
        <v>76.75</v>
      </c>
      <c r="AY3041">
        <v>36.31</v>
      </c>
      <c r="AZ3041">
        <v>318.49</v>
      </c>
      <c r="BA3041">
        <v>0.61</v>
      </c>
      <c r="BB3041" t="s">
        <v>184</v>
      </c>
      <c r="BF3041">
        <v>-1.64</v>
      </c>
      <c r="BG3041">
        <v>-3.22</v>
      </c>
      <c r="BH3041">
        <v>-4.75</v>
      </c>
      <c r="BI3041">
        <v>0</v>
      </c>
      <c r="BJ3041">
        <v>20210825</v>
      </c>
      <c r="BK3041">
        <v>19940311</v>
      </c>
      <c r="BL3041">
        <v>46.16</v>
      </c>
      <c r="BM3041" t="s">
        <v>120</v>
      </c>
      <c r="BN3041" t="s">
        <v>120</v>
      </c>
      <c r="BO3041">
        <v>804.07</v>
      </c>
      <c r="BP3041">
        <v>3.01</v>
      </c>
      <c r="BQ3041">
        <v>131.02000000000001</v>
      </c>
      <c r="BR3041">
        <v>83.07</v>
      </c>
      <c r="BS3041">
        <v>73.37</v>
      </c>
      <c r="BT3041">
        <v>575.07000000000005</v>
      </c>
      <c r="BU3041">
        <v>78.06</v>
      </c>
      <c r="BV3041">
        <v>42.39</v>
      </c>
      <c r="BW3041">
        <v>559.19000000000005</v>
      </c>
      <c r="BX3041">
        <v>167.11</v>
      </c>
      <c r="BY3041">
        <v>190.32</v>
      </c>
      <c r="BZ3041">
        <v>121.99</v>
      </c>
      <c r="CA3041" t="s">
        <v>120</v>
      </c>
      <c r="CB3041">
        <v>36.58</v>
      </c>
      <c r="CC3041">
        <v>492.19</v>
      </c>
      <c r="CD3041">
        <v>442.91</v>
      </c>
      <c r="CE3041">
        <v>3.94</v>
      </c>
      <c r="CF3041">
        <v>1.79</v>
      </c>
      <c r="CG3041">
        <v>4.0199999999999996</v>
      </c>
      <c r="CH3041">
        <v>2.82</v>
      </c>
      <c r="CI3041">
        <v>0.92</v>
      </c>
      <c r="CJ3041">
        <v>-0.12</v>
      </c>
      <c r="CK3041">
        <v>-0.41</v>
      </c>
      <c r="CL3041">
        <v>45.64</v>
      </c>
      <c r="CM3041">
        <v>-26.41</v>
      </c>
      <c r="CN3041">
        <v>-31.83</v>
      </c>
      <c r="CO3041">
        <v>280099</v>
      </c>
      <c r="CP3041">
        <v>12650</v>
      </c>
      <c r="CQ3041" t="s">
        <v>1247</v>
      </c>
      <c r="CR3041">
        <v>135.5</v>
      </c>
      <c r="CS3041">
        <v>29.43</v>
      </c>
      <c r="CT3041">
        <v>1.06</v>
      </c>
      <c r="CU3041">
        <v>-5.26</v>
      </c>
      <c r="CV3041">
        <v>0.28000000000000003</v>
      </c>
      <c r="CW3041">
        <v>0.32</v>
      </c>
      <c r="CX3041" t="s">
        <v>499</v>
      </c>
      <c r="CY3041">
        <v>2.84</v>
      </c>
      <c r="CZ3041">
        <v>0</v>
      </c>
      <c r="DA3041">
        <v>0.79</v>
      </c>
      <c r="DB3041">
        <v>0.99</v>
      </c>
      <c r="DC3041">
        <v>-0.56999999999999995</v>
      </c>
      <c r="DD3041">
        <v>16.29</v>
      </c>
      <c r="DE3041" t="s">
        <v>759</v>
      </c>
      <c r="DF3041">
        <v>10.01</v>
      </c>
      <c r="DG3041">
        <v>0.8</v>
      </c>
      <c r="DH3041">
        <v>0.19</v>
      </c>
      <c r="DI3041">
        <v>9.3000000000000007</v>
      </c>
      <c r="DJ3041">
        <v>51841</v>
      </c>
      <c r="DK3041">
        <v>600839</v>
      </c>
      <c r="DL3041" t="s">
        <v>120</v>
      </c>
      <c r="DM3041" t="s">
        <v>120</v>
      </c>
      <c r="DN3041" t="s">
        <v>120</v>
      </c>
    </row>
    <row r="3042" spans="1:118">
      <c r="A3042" t="str">
        <f>"600841"</f>
        <v>600841</v>
      </c>
      <c r="B3042" t="s">
        <v>13281</v>
      </c>
      <c r="C3042">
        <v>0.97</v>
      </c>
      <c r="D3042">
        <v>0</v>
      </c>
      <c r="E3042">
        <v>-0.26</v>
      </c>
      <c r="F3042">
        <v>1834</v>
      </c>
      <c r="G3042" t="s">
        <v>13282</v>
      </c>
      <c r="H3042">
        <v>5847.31</v>
      </c>
      <c r="I3042">
        <v>5.34</v>
      </c>
      <c r="J3042" t="s">
        <v>120</v>
      </c>
      <c r="K3042" t="s">
        <v>13283</v>
      </c>
      <c r="L3042">
        <v>0.99</v>
      </c>
      <c r="M3042">
        <v>11.5</v>
      </c>
      <c r="N3042">
        <v>0.66</v>
      </c>
      <c r="O3042">
        <v>2.11</v>
      </c>
      <c r="P3042">
        <v>11.63</v>
      </c>
      <c r="Q3042">
        <v>-2.19</v>
      </c>
      <c r="R3042">
        <v>11.14</v>
      </c>
      <c r="S3042">
        <v>11.36</v>
      </c>
      <c r="T3042">
        <v>51415</v>
      </c>
      <c r="U3042">
        <v>11.5</v>
      </c>
      <c r="V3042">
        <v>11.39</v>
      </c>
      <c r="W3042">
        <v>42.29</v>
      </c>
      <c r="X3042" t="s">
        <v>959</v>
      </c>
      <c r="Y3042" t="s">
        <v>1510</v>
      </c>
      <c r="Z3042">
        <v>4.3</v>
      </c>
      <c r="AA3042">
        <v>11.37</v>
      </c>
      <c r="AB3042">
        <v>29744</v>
      </c>
      <c r="AC3042">
        <v>21671</v>
      </c>
      <c r="AD3042">
        <v>1.37</v>
      </c>
      <c r="AE3042">
        <v>102</v>
      </c>
      <c r="AF3042">
        <v>358</v>
      </c>
      <c r="AG3042" t="s">
        <v>120</v>
      </c>
      <c r="AH3042">
        <v>0</v>
      </c>
      <c r="AI3042" t="s">
        <v>120</v>
      </c>
      <c r="AJ3042">
        <v>5.22</v>
      </c>
      <c r="AK3042" t="s">
        <v>13284</v>
      </c>
      <c r="AL3042">
        <v>2.31</v>
      </c>
      <c r="AM3042">
        <v>1853</v>
      </c>
      <c r="AN3042">
        <v>28</v>
      </c>
      <c r="AO3042">
        <v>5.0000000000000001E-4</v>
      </c>
      <c r="AP3042">
        <v>1</v>
      </c>
      <c r="AQ3042">
        <v>-0.96</v>
      </c>
      <c r="AR3042">
        <v>0.7</v>
      </c>
      <c r="AS3042">
        <v>11.21</v>
      </c>
      <c r="AT3042">
        <v>18.47</v>
      </c>
      <c r="AU3042">
        <v>7.21</v>
      </c>
      <c r="AV3042">
        <v>6</v>
      </c>
      <c r="AW3042">
        <v>4.88</v>
      </c>
      <c r="AX3042">
        <v>7.48</v>
      </c>
      <c r="AY3042">
        <v>56.5</v>
      </c>
      <c r="AZ3042">
        <v>78.94</v>
      </c>
      <c r="BA3042">
        <v>0.98</v>
      </c>
      <c r="BB3042" t="s">
        <v>143</v>
      </c>
      <c r="BF3042">
        <v>-0.15</v>
      </c>
      <c r="BG3042">
        <v>1.23</v>
      </c>
      <c r="BH3042">
        <v>-1.1200000000000001</v>
      </c>
      <c r="BI3042">
        <v>3.23</v>
      </c>
      <c r="BJ3042">
        <v>20210913</v>
      </c>
      <c r="BK3042">
        <v>19940311</v>
      </c>
      <c r="BL3042">
        <v>14.09</v>
      </c>
      <c r="BM3042">
        <v>3.45</v>
      </c>
      <c r="BN3042" t="s">
        <v>120</v>
      </c>
      <c r="BO3042">
        <v>101.28</v>
      </c>
      <c r="BP3042">
        <v>11.49</v>
      </c>
      <c r="BQ3042">
        <v>41.02</v>
      </c>
      <c r="BR3042">
        <v>0.26</v>
      </c>
      <c r="BS3042">
        <v>59.25</v>
      </c>
      <c r="BT3042">
        <v>80.12</v>
      </c>
      <c r="BU3042">
        <v>10.86</v>
      </c>
      <c r="BV3042">
        <v>0.13</v>
      </c>
      <c r="BW3042">
        <v>57.98</v>
      </c>
      <c r="BX3042">
        <v>30.52</v>
      </c>
      <c r="BY3042">
        <v>9.59</v>
      </c>
      <c r="BZ3042">
        <v>5.27</v>
      </c>
      <c r="CA3042" t="s">
        <v>120</v>
      </c>
      <c r="CB3042">
        <v>11.36</v>
      </c>
      <c r="CC3042">
        <v>39.44</v>
      </c>
      <c r="CD3042">
        <v>33.17</v>
      </c>
      <c r="CE3042">
        <v>1.98</v>
      </c>
      <c r="CF3042">
        <v>0.41</v>
      </c>
      <c r="CG3042">
        <v>2.0299999999999998</v>
      </c>
      <c r="CH3042">
        <v>1.94</v>
      </c>
      <c r="CI3042">
        <v>1.92</v>
      </c>
      <c r="CJ3042">
        <v>0.11</v>
      </c>
      <c r="CK3042">
        <v>1.7</v>
      </c>
      <c r="CL3042">
        <v>15.07</v>
      </c>
      <c r="CM3042">
        <v>0.7</v>
      </c>
      <c r="CN3042">
        <v>0.2</v>
      </c>
      <c r="CO3042">
        <v>45584</v>
      </c>
      <c r="CP3042">
        <v>9877</v>
      </c>
      <c r="CQ3042" t="s">
        <v>1059</v>
      </c>
      <c r="CR3042">
        <v>72.86</v>
      </c>
      <c r="CS3042">
        <v>45.31</v>
      </c>
      <c r="CT3042">
        <v>2.4300000000000002</v>
      </c>
      <c r="CU3042">
        <v>233.03</v>
      </c>
      <c r="CV3042">
        <v>4.1100000000000003</v>
      </c>
      <c r="CW3042">
        <v>0.45</v>
      </c>
      <c r="CX3042" t="s">
        <v>3361</v>
      </c>
      <c r="CY3042">
        <v>4.7300000000000004</v>
      </c>
      <c r="CZ3042">
        <v>4.7300000000000004</v>
      </c>
      <c r="DA3042">
        <v>0.81</v>
      </c>
      <c r="DB3042">
        <v>1.07</v>
      </c>
      <c r="DC3042">
        <v>0.05</v>
      </c>
      <c r="DD3042">
        <v>40.5</v>
      </c>
      <c r="DE3042" t="s">
        <v>9778</v>
      </c>
      <c r="DF3042">
        <v>15.89</v>
      </c>
      <c r="DG3042">
        <v>5.03</v>
      </c>
      <c r="DH3042">
        <v>4.8600000000000003</v>
      </c>
      <c r="DI3042">
        <v>1.05</v>
      </c>
      <c r="DJ3042">
        <v>1890</v>
      </c>
      <c r="DK3042">
        <v>600841</v>
      </c>
      <c r="DL3042" t="s">
        <v>120</v>
      </c>
      <c r="DM3042" t="s">
        <v>120</v>
      </c>
      <c r="DN3042" t="s">
        <v>120</v>
      </c>
    </row>
    <row r="3043" spans="1:118">
      <c r="A3043" t="str">
        <f>"600843"</f>
        <v>600843</v>
      </c>
      <c r="B3043" t="s">
        <v>13285</v>
      </c>
      <c r="C3043">
        <v>-0.91</v>
      </c>
      <c r="D3043">
        <v>0</v>
      </c>
      <c r="E3043">
        <v>-0.3</v>
      </c>
      <c r="F3043">
        <v>305</v>
      </c>
      <c r="G3043" t="s">
        <v>6058</v>
      </c>
      <c r="H3043">
        <v>2504.64</v>
      </c>
      <c r="I3043">
        <v>2.4900000000000002</v>
      </c>
      <c r="J3043" t="s">
        <v>120</v>
      </c>
      <c r="K3043" t="s">
        <v>13286</v>
      </c>
      <c r="L3043">
        <v>1.24</v>
      </c>
      <c r="M3043">
        <v>6.51</v>
      </c>
      <c r="N3043">
        <v>0.85</v>
      </c>
      <c r="O3043">
        <v>2.59</v>
      </c>
      <c r="P3043">
        <v>6.74</v>
      </c>
      <c r="Q3043">
        <v>-1.07</v>
      </c>
      <c r="R3043">
        <v>6.5</v>
      </c>
      <c r="S3043">
        <v>6.55</v>
      </c>
      <c r="T3043">
        <v>37926</v>
      </c>
      <c r="U3043">
        <v>6.51</v>
      </c>
      <c r="V3043">
        <v>6.57</v>
      </c>
      <c r="W3043">
        <v>28.85</v>
      </c>
      <c r="X3043" t="s">
        <v>3820</v>
      </c>
      <c r="Y3043" t="s">
        <v>1510</v>
      </c>
      <c r="Z3043">
        <v>3.65</v>
      </c>
      <c r="AA3043">
        <v>6.6</v>
      </c>
      <c r="AB3043">
        <v>20243</v>
      </c>
      <c r="AC3043">
        <v>17683</v>
      </c>
      <c r="AD3043">
        <v>1.1399999999999999</v>
      </c>
      <c r="AE3043">
        <v>459</v>
      </c>
      <c r="AF3043">
        <v>157</v>
      </c>
      <c r="AG3043" t="s">
        <v>120</v>
      </c>
      <c r="AH3043">
        <v>0</v>
      </c>
      <c r="AI3043" t="s">
        <v>120</v>
      </c>
      <c r="AJ3043">
        <v>3.05</v>
      </c>
      <c r="AK3043" t="s">
        <v>13287</v>
      </c>
      <c r="AL3043">
        <v>0.43</v>
      </c>
      <c r="AM3043">
        <v>1923</v>
      </c>
      <c r="AN3043">
        <v>20</v>
      </c>
      <c r="AO3043">
        <v>5.9999999999999995E-4</v>
      </c>
      <c r="AP3043">
        <v>-1</v>
      </c>
      <c r="AQ3043">
        <v>0.31</v>
      </c>
      <c r="AR3043">
        <v>-3.41</v>
      </c>
      <c r="AS3043">
        <v>-6.19</v>
      </c>
      <c r="AT3043">
        <v>3.66</v>
      </c>
      <c r="AU3043">
        <v>5.34</v>
      </c>
      <c r="AV3043">
        <v>1</v>
      </c>
      <c r="AW3043">
        <v>1.9</v>
      </c>
      <c r="AX3043">
        <v>27.94</v>
      </c>
      <c r="AY3043">
        <v>32.44</v>
      </c>
      <c r="AZ3043">
        <v>55.47</v>
      </c>
      <c r="BA3043">
        <v>0.47</v>
      </c>
      <c r="BB3043" t="s">
        <v>143</v>
      </c>
      <c r="BF3043">
        <v>0.52</v>
      </c>
      <c r="BG3043">
        <v>-0.61</v>
      </c>
      <c r="BH3043">
        <v>-3.41</v>
      </c>
      <c r="BI3043">
        <v>0.15</v>
      </c>
      <c r="BJ3043">
        <v>20210913</v>
      </c>
      <c r="BK3043">
        <v>19940311</v>
      </c>
      <c r="BL3043">
        <v>7.13</v>
      </c>
      <c r="BM3043">
        <v>2.44</v>
      </c>
      <c r="BN3043" t="s">
        <v>120</v>
      </c>
      <c r="BO3043">
        <v>47.72</v>
      </c>
      <c r="BP3043">
        <v>6.5</v>
      </c>
      <c r="BQ3043">
        <v>24.1</v>
      </c>
      <c r="BR3043">
        <v>2.37</v>
      </c>
      <c r="BS3043">
        <v>44.52</v>
      </c>
      <c r="BT3043">
        <v>27.46</v>
      </c>
      <c r="BU3043">
        <v>6.92</v>
      </c>
      <c r="BV3043">
        <v>2.27</v>
      </c>
      <c r="BW3043">
        <v>16.239999999999998</v>
      </c>
      <c r="BX3043">
        <v>6.46</v>
      </c>
      <c r="BY3043">
        <v>9.5299999999999994</v>
      </c>
      <c r="BZ3043">
        <v>6.14</v>
      </c>
      <c r="CA3043">
        <v>0.01</v>
      </c>
      <c r="CB3043">
        <v>9.2100000000000009</v>
      </c>
      <c r="CC3043">
        <v>15.05</v>
      </c>
      <c r="CD3043">
        <v>11.02</v>
      </c>
      <c r="CE3043">
        <v>1.1499999999999999</v>
      </c>
      <c r="CF3043">
        <v>0.05</v>
      </c>
      <c r="CG3043">
        <v>1.1499999999999999</v>
      </c>
      <c r="CH3043">
        <v>0.91</v>
      </c>
      <c r="CI3043">
        <v>0.8</v>
      </c>
      <c r="CJ3043">
        <v>-0.06</v>
      </c>
      <c r="CK3043">
        <v>0.64</v>
      </c>
      <c r="CL3043">
        <v>11.07</v>
      </c>
      <c r="CM3043">
        <v>-1.1100000000000001</v>
      </c>
      <c r="CN3043">
        <v>-4.0199999999999996</v>
      </c>
      <c r="CO3043">
        <v>47156</v>
      </c>
      <c r="CP3043">
        <v>9398</v>
      </c>
      <c r="CQ3043" t="s">
        <v>2953</v>
      </c>
      <c r="CR3043">
        <v>292.87</v>
      </c>
      <c r="CS3043">
        <v>3.77</v>
      </c>
      <c r="CT3043">
        <v>1.48</v>
      </c>
      <c r="CU3043">
        <v>-41.96</v>
      </c>
      <c r="CV3043">
        <v>3.09</v>
      </c>
      <c r="CW3043">
        <v>0</v>
      </c>
      <c r="CX3043" t="s">
        <v>373</v>
      </c>
      <c r="CY3043">
        <v>4.3899999999999997</v>
      </c>
      <c r="CZ3043">
        <v>4.3899999999999997</v>
      </c>
      <c r="DA3043">
        <v>1.29</v>
      </c>
      <c r="DB3043">
        <v>1.55</v>
      </c>
      <c r="DC3043">
        <v>-0.16</v>
      </c>
      <c r="DD3043">
        <v>50.51</v>
      </c>
      <c r="DE3043" t="s">
        <v>6440</v>
      </c>
      <c r="DF3043">
        <v>26.74</v>
      </c>
      <c r="DG3043">
        <v>7.65</v>
      </c>
      <c r="DH3043">
        <v>5.35</v>
      </c>
      <c r="DI3043">
        <v>0.55000000000000004</v>
      </c>
      <c r="DJ3043">
        <v>3390</v>
      </c>
      <c r="DK3043">
        <v>600843</v>
      </c>
      <c r="DL3043" t="s">
        <v>120</v>
      </c>
      <c r="DM3043" t="s">
        <v>120</v>
      </c>
      <c r="DN3043" t="s">
        <v>120</v>
      </c>
    </row>
    <row r="3044" spans="1:118">
      <c r="A3044" t="str">
        <f>"600844"</f>
        <v>600844</v>
      </c>
      <c r="B3044" t="s">
        <v>13288</v>
      </c>
      <c r="C3044">
        <v>10.1</v>
      </c>
      <c r="D3044">
        <v>0</v>
      </c>
      <c r="E3044">
        <v>10.1</v>
      </c>
      <c r="F3044">
        <v>2968</v>
      </c>
      <c r="G3044" t="s">
        <v>13289</v>
      </c>
      <c r="H3044">
        <v>38347.29</v>
      </c>
      <c r="I3044">
        <v>1459.24</v>
      </c>
      <c r="J3044">
        <v>2786.25</v>
      </c>
      <c r="K3044" t="s">
        <v>5124</v>
      </c>
      <c r="L3044">
        <v>8.76</v>
      </c>
      <c r="M3044">
        <v>5.34</v>
      </c>
      <c r="N3044">
        <v>2.34</v>
      </c>
      <c r="O3044">
        <v>10.1</v>
      </c>
      <c r="P3044">
        <v>5.34</v>
      </c>
      <c r="Q3044">
        <v>5.36</v>
      </c>
      <c r="R3044">
        <v>5.1100000000000003</v>
      </c>
      <c r="S3044">
        <v>5.34</v>
      </c>
      <c r="T3044">
        <v>720340</v>
      </c>
      <c r="U3044" t="s">
        <v>120</v>
      </c>
      <c r="V3044">
        <v>4.8499999999999996</v>
      </c>
      <c r="W3044" t="s">
        <v>120</v>
      </c>
      <c r="X3044" t="s">
        <v>868</v>
      </c>
      <c r="Y3044" t="s">
        <v>319</v>
      </c>
      <c r="Z3044">
        <v>4.74</v>
      </c>
      <c r="AA3044">
        <v>5.32</v>
      </c>
      <c r="AB3044">
        <v>560683</v>
      </c>
      <c r="AC3044">
        <v>159657</v>
      </c>
      <c r="AD3044">
        <v>3.51</v>
      </c>
      <c r="AE3044">
        <v>52177</v>
      </c>
      <c r="AF3044">
        <v>0</v>
      </c>
      <c r="AG3044" t="s">
        <v>120</v>
      </c>
      <c r="AH3044">
        <v>0.43</v>
      </c>
      <c r="AI3044">
        <v>7.0000000000000007E-2</v>
      </c>
      <c r="AJ3044">
        <v>8.23</v>
      </c>
      <c r="AK3044" t="s">
        <v>13290</v>
      </c>
      <c r="AL3044">
        <v>11.45</v>
      </c>
      <c r="AM3044">
        <v>2427</v>
      </c>
      <c r="AN3044">
        <v>297</v>
      </c>
      <c r="AO3044">
        <v>3.5999999999999999E-3</v>
      </c>
      <c r="AP3044">
        <v>2</v>
      </c>
      <c r="AQ3044">
        <v>9.98</v>
      </c>
      <c r="AR3044">
        <v>19.2</v>
      </c>
      <c r="AS3044">
        <v>28.68</v>
      </c>
      <c r="AT3044">
        <v>14.1</v>
      </c>
      <c r="AU3044">
        <v>29.61</v>
      </c>
      <c r="AV3044">
        <v>23</v>
      </c>
      <c r="AW3044">
        <v>11.21</v>
      </c>
      <c r="AX3044">
        <v>63.22</v>
      </c>
      <c r="AY3044" t="s">
        <v>120</v>
      </c>
      <c r="AZ3044" t="s">
        <v>120</v>
      </c>
      <c r="BA3044">
        <v>0.92</v>
      </c>
      <c r="BB3044" t="s">
        <v>1103</v>
      </c>
      <c r="BF3044">
        <v>9.76</v>
      </c>
      <c r="BG3044">
        <v>0</v>
      </c>
      <c r="BH3044">
        <v>0</v>
      </c>
      <c r="BI3044">
        <v>4.5</v>
      </c>
      <c r="BJ3044">
        <v>20210902</v>
      </c>
      <c r="BK3044">
        <v>19940311</v>
      </c>
      <c r="BL3044">
        <v>10.17</v>
      </c>
      <c r="BM3044">
        <v>1.94</v>
      </c>
      <c r="BN3044" t="s">
        <v>120</v>
      </c>
      <c r="BO3044">
        <v>24.12</v>
      </c>
      <c r="BP3044">
        <v>5.34</v>
      </c>
      <c r="BQ3044">
        <v>13.02</v>
      </c>
      <c r="BR3044">
        <v>4.54</v>
      </c>
      <c r="BS3044">
        <v>27.18</v>
      </c>
      <c r="BT3044">
        <v>3.16</v>
      </c>
      <c r="BU3044">
        <v>14.77</v>
      </c>
      <c r="BV3044">
        <v>1.34</v>
      </c>
      <c r="BW3044">
        <v>6.21</v>
      </c>
      <c r="BX3044">
        <v>0.99</v>
      </c>
      <c r="BY3044">
        <v>1.1499999999999999</v>
      </c>
      <c r="BZ3044">
        <v>0.57999999999999996</v>
      </c>
      <c r="CA3044" t="s">
        <v>120</v>
      </c>
      <c r="CB3044">
        <v>17.62</v>
      </c>
      <c r="CC3044">
        <v>5.3</v>
      </c>
      <c r="CD3044">
        <v>4.51</v>
      </c>
      <c r="CE3044">
        <v>-0.28000000000000003</v>
      </c>
      <c r="CF3044">
        <v>-0.01</v>
      </c>
      <c r="CG3044">
        <v>-0.28999999999999998</v>
      </c>
      <c r="CH3044">
        <v>-0.28999999999999998</v>
      </c>
      <c r="CI3044">
        <v>-0.24</v>
      </c>
      <c r="CJ3044">
        <v>0.49</v>
      </c>
      <c r="CK3044">
        <v>-0.27</v>
      </c>
      <c r="CL3044">
        <v>-15.32</v>
      </c>
      <c r="CM3044">
        <v>0.88</v>
      </c>
      <c r="CN3044">
        <v>0.53</v>
      </c>
      <c r="CO3044">
        <v>66666</v>
      </c>
      <c r="CP3044">
        <v>12547</v>
      </c>
      <c r="CQ3044" t="s">
        <v>5813</v>
      </c>
      <c r="CR3044">
        <v>82.47</v>
      </c>
      <c r="CS3044">
        <v>9.41</v>
      </c>
      <c r="CT3044">
        <v>4.17</v>
      </c>
      <c r="CU3044">
        <v>61.59</v>
      </c>
      <c r="CV3044">
        <v>10.23</v>
      </c>
      <c r="CW3044">
        <v>0</v>
      </c>
      <c r="CX3044" t="s">
        <v>8680</v>
      </c>
      <c r="CY3044">
        <v>1.28</v>
      </c>
      <c r="CZ3044">
        <v>0</v>
      </c>
      <c r="DA3044">
        <v>1.73</v>
      </c>
      <c r="DB3044">
        <v>-1.51</v>
      </c>
      <c r="DC3044">
        <v>0.09</v>
      </c>
      <c r="DD3044">
        <v>54.01</v>
      </c>
      <c r="DE3044" t="s">
        <v>8855</v>
      </c>
      <c r="DF3044">
        <v>14.93</v>
      </c>
      <c r="DG3044">
        <v>-5.31</v>
      </c>
      <c r="DH3044">
        <v>-4.5199999999999996</v>
      </c>
      <c r="DI3044">
        <v>0.22</v>
      </c>
      <c r="DJ3044">
        <v>1202</v>
      </c>
      <c r="DK3044">
        <v>600844</v>
      </c>
      <c r="DL3044" t="s">
        <v>120</v>
      </c>
      <c r="DM3044" t="s">
        <v>120</v>
      </c>
      <c r="DN3044" t="s">
        <v>120</v>
      </c>
    </row>
    <row r="3045" spans="1:118">
      <c r="A3045" t="str">
        <f>"600845"</f>
        <v>600845</v>
      </c>
      <c r="B3045" t="s">
        <v>13291</v>
      </c>
      <c r="C3045">
        <v>-2.41</v>
      </c>
      <c r="D3045">
        <v>-0.39</v>
      </c>
      <c r="E3045">
        <v>0.3</v>
      </c>
      <c r="F3045">
        <v>2496</v>
      </c>
      <c r="G3045" t="s">
        <v>13292</v>
      </c>
      <c r="H3045">
        <v>29211.03</v>
      </c>
      <c r="I3045">
        <v>123.78</v>
      </c>
      <c r="J3045" t="s">
        <v>120</v>
      </c>
      <c r="K3045" t="s">
        <v>13293</v>
      </c>
      <c r="L3045">
        <v>0.39</v>
      </c>
      <c r="M3045">
        <v>67.66</v>
      </c>
      <c r="N3045">
        <v>1.05</v>
      </c>
      <c r="O3045">
        <v>1.9</v>
      </c>
      <c r="P3045">
        <v>70.650000000000006</v>
      </c>
      <c r="Q3045">
        <v>-2.48</v>
      </c>
      <c r="R3045">
        <v>67.61</v>
      </c>
      <c r="S3045">
        <v>69.540000000000006</v>
      </c>
      <c r="T3045">
        <v>42662</v>
      </c>
      <c r="U3045">
        <v>67.69</v>
      </c>
      <c r="V3045">
        <v>69.33</v>
      </c>
      <c r="W3045">
        <v>55.6</v>
      </c>
      <c r="X3045" t="s">
        <v>141</v>
      </c>
      <c r="Y3045" t="s">
        <v>1510</v>
      </c>
      <c r="Z3045">
        <v>4.38</v>
      </c>
      <c r="AA3045">
        <v>68.47</v>
      </c>
      <c r="AB3045">
        <v>22846</v>
      </c>
      <c r="AC3045">
        <v>19816</v>
      </c>
      <c r="AD3045">
        <v>1.1499999999999999</v>
      </c>
      <c r="AE3045">
        <v>8</v>
      </c>
      <c r="AF3045">
        <v>1</v>
      </c>
      <c r="AG3045" t="s">
        <v>120</v>
      </c>
      <c r="AH3045">
        <v>0.01</v>
      </c>
      <c r="AI3045" t="s">
        <v>120</v>
      </c>
      <c r="AJ3045">
        <v>10.92</v>
      </c>
      <c r="AK3045" t="s">
        <v>13294</v>
      </c>
      <c r="AL3045">
        <v>-1.07</v>
      </c>
      <c r="AM3045">
        <v>3788</v>
      </c>
      <c r="AN3045">
        <v>11</v>
      </c>
      <c r="AO3045">
        <v>1E-4</v>
      </c>
      <c r="AP3045">
        <v>-1</v>
      </c>
      <c r="AQ3045">
        <v>0.54</v>
      </c>
      <c r="AR3045">
        <v>-3.26</v>
      </c>
      <c r="AS3045">
        <v>0.4</v>
      </c>
      <c r="AT3045">
        <v>38.42</v>
      </c>
      <c r="AU3045">
        <v>29.2</v>
      </c>
      <c r="AV3045">
        <v>0</v>
      </c>
      <c r="AW3045">
        <v>1.26</v>
      </c>
      <c r="AX3045">
        <v>22.25</v>
      </c>
      <c r="AY3045">
        <v>67.27</v>
      </c>
      <c r="AZ3045">
        <v>81.05</v>
      </c>
      <c r="BA3045">
        <v>0.48</v>
      </c>
      <c r="BB3045" t="s">
        <v>143</v>
      </c>
      <c r="BF3045">
        <v>-1.24</v>
      </c>
      <c r="BG3045">
        <v>-2.7</v>
      </c>
      <c r="BH3045">
        <v>-4.2300000000000004</v>
      </c>
      <c r="BI3045">
        <v>7.0000000000000007E-2</v>
      </c>
      <c r="BJ3045">
        <v>20210913</v>
      </c>
      <c r="BK3045">
        <v>19940311</v>
      </c>
      <c r="BL3045">
        <v>15.21</v>
      </c>
      <c r="BM3045">
        <v>3.87</v>
      </c>
      <c r="BN3045" t="s">
        <v>120</v>
      </c>
      <c r="BO3045">
        <v>139.26</v>
      </c>
      <c r="BP3045">
        <v>67.66</v>
      </c>
      <c r="BQ3045">
        <v>72.86</v>
      </c>
      <c r="BR3045">
        <v>2.54</v>
      </c>
      <c r="BS3045">
        <v>45.86</v>
      </c>
      <c r="BT3045">
        <v>105</v>
      </c>
      <c r="BU3045">
        <v>14.97</v>
      </c>
      <c r="BV3045">
        <v>0.97</v>
      </c>
      <c r="BW3045">
        <v>61.18</v>
      </c>
      <c r="BX3045">
        <v>37.15</v>
      </c>
      <c r="BY3045">
        <v>26.03</v>
      </c>
      <c r="BZ3045">
        <v>18.95</v>
      </c>
      <c r="CA3045" t="s">
        <v>120</v>
      </c>
      <c r="CB3045">
        <v>27.7</v>
      </c>
      <c r="CC3045">
        <v>45.98</v>
      </c>
      <c r="CD3045">
        <v>30.16</v>
      </c>
      <c r="CE3045">
        <v>10.39</v>
      </c>
      <c r="CF3045">
        <v>0.12</v>
      </c>
      <c r="CG3045">
        <v>10.49</v>
      </c>
      <c r="CH3045">
        <v>9.43</v>
      </c>
      <c r="CI3045">
        <v>9.25</v>
      </c>
      <c r="CJ3045">
        <v>-1.67</v>
      </c>
      <c r="CK3045">
        <v>8.82</v>
      </c>
      <c r="CL3045">
        <v>27.88</v>
      </c>
      <c r="CM3045">
        <v>12.17</v>
      </c>
      <c r="CN3045">
        <v>-0.85</v>
      </c>
      <c r="CO3045">
        <v>51132</v>
      </c>
      <c r="CP3045">
        <v>14177</v>
      </c>
      <c r="CQ3045" t="s">
        <v>13295</v>
      </c>
      <c r="CR3045">
        <v>40.44</v>
      </c>
      <c r="CS3045">
        <v>34.65</v>
      </c>
      <c r="CT3045">
        <v>13.95</v>
      </c>
      <c r="CU3045">
        <v>84.51</v>
      </c>
      <c r="CV3045">
        <v>22.38</v>
      </c>
      <c r="CW3045">
        <v>0.99</v>
      </c>
      <c r="CX3045" t="s">
        <v>4650</v>
      </c>
      <c r="CY3045">
        <v>4.8499999999999996</v>
      </c>
      <c r="CZ3045">
        <v>4.8499999999999996</v>
      </c>
      <c r="DA3045">
        <v>1.82</v>
      </c>
      <c r="DB3045">
        <v>1.83</v>
      </c>
      <c r="DC3045">
        <v>0.8</v>
      </c>
      <c r="DD3045">
        <v>52.32</v>
      </c>
      <c r="DE3045" t="s">
        <v>13296</v>
      </c>
      <c r="DF3045">
        <v>34.409999999999997</v>
      </c>
      <c r="DG3045">
        <v>22.61</v>
      </c>
      <c r="DH3045">
        <v>20.12</v>
      </c>
      <c r="DI3045">
        <v>4.28</v>
      </c>
      <c r="DJ3045">
        <v>4206</v>
      </c>
      <c r="DK3045">
        <v>600845</v>
      </c>
      <c r="DL3045" t="s">
        <v>120</v>
      </c>
      <c r="DM3045" t="s">
        <v>120</v>
      </c>
      <c r="DN3045" t="s">
        <v>120</v>
      </c>
    </row>
    <row r="3046" spans="1:118">
      <c r="A3046" t="str">
        <f>"600846"</f>
        <v>600846</v>
      </c>
      <c r="B3046" t="s">
        <v>13297</v>
      </c>
      <c r="C3046">
        <v>-1.84</v>
      </c>
      <c r="D3046">
        <v>0</v>
      </c>
      <c r="E3046">
        <v>0.46</v>
      </c>
      <c r="F3046">
        <v>597</v>
      </c>
      <c r="G3046" t="s">
        <v>8989</v>
      </c>
      <c r="H3046">
        <v>6015.84</v>
      </c>
      <c r="I3046">
        <v>7.09</v>
      </c>
      <c r="J3046" t="s">
        <v>120</v>
      </c>
      <c r="K3046" t="s">
        <v>13298</v>
      </c>
      <c r="L3046">
        <v>1.1100000000000001</v>
      </c>
      <c r="M3046">
        <v>8.5500000000000007</v>
      </c>
      <c r="N3046">
        <v>0.75</v>
      </c>
      <c r="O3046">
        <v>1.61</v>
      </c>
      <c r="P3046">
        <v>8.85</v>
      </c>
      <c r="Q3046">
        <v>-1.95</v>
      </c>
      <c r="R3046">
        <v>8.5399999999999991</v>
      </c>
      <c r="S3046">
        <v>8.75</v>
      </c>
      <c r="T3046">
        <v>69338</v>
      </c>
      <c r="U3046">
        <v>8.5500000000000007</v>
      </c>
      <c r="V3046">
        <v>8.7100000000000009</v>
      </c>
      <c r="W3046">
        <v>8.0299999999999994</v>
      </c>
      <c r="X3046" t="s">
        <v>175</v>
      </c>
      <c r="Y3046" t="s">
        <v>1510</v>
      </c>
      <c r="Z3046">
        <v>3.56</v>
      </c>
      <c r="AA3046">
        <v>8.68</v>
      </c>
      <c r="AB3046">
        <v>38989</v>
      </c>
      <c r="AC3046">
        <v>30349</v>
      </c>
      <c r="AD3046">
        <v>1.28</v>
      </c>
      <c r="AE3046">
        <v>572</v>
      </c>
      <c r="AF3046">
        <v>322</v>
      </c>
      <c r="AG3046" t="s">
        <v>120</v>
      </c>
      <c r="AH3046">
        <v>0</v>
      </c>
      <c r="AI3046" t="s">
        <v>120</v>
      </c>
      <c r="AJ3046">
        <v>6.25</v>
      </c>
      <c r="AK3046" t="s">
        <v>13298</v>
      </c>
      <c r="AL3046">
        <v>-0.49</v>
      </c>
      <c r="AM3046">
        <v>2148</v>
      </c>
      <c r="AN3046">
        <v>32</v>
      </c>
      <c r="AO3046">
        <v>5.0000000000000001E-4</v>
      </c>
      <c r="AP3046">
        <v>-1</v>
      </c>
      <c r="AQ3046">
        <v>0.57999999999999996</v>
      </c>
      <c r="AR3046">
        <v>-3.93</v>
      </c>
      <c r="AS3046">
        <v>3.76</v>
      </c>
      <c r="AT3046">
        <v>0.82</v>
      </c>
      <c r="AU3046">
        <v>7.68</v>
      </c>
      <c r="AV3046">
        <v>1</v>
      </c>
      <c r="AW3046">
        <v>1.76</v>
      </c>
      <c r="AX3046">
        <v>63.02</v>
      </c>
      <c r="AY3046">
        <v>9.1999999999999993</v>
      </c>
      <c r="AZ3046">
        <v>9.1300000000000008</v>
      </c>
      <c r="BA3046">
        <v>0.79</v>
      </c>
      <c r="BB3046" t="s">
        <v>240</v>
      </c>
      <c r="BF3046">
        <v>-0.39</v>
      </c>
      <c r="BG3046">
        <v>-2.29</v>
      </c>
      <c r="BH3046">
        <v>-3.39</v>
      </c>
      <c r="BI3046">
        <v>0.12</v>
      </c>
      <c r="BJ3046">
        <v>20210830</v>
      </c>
      <c r="BK3046">
        <v>19940311</v>
      </c>
      <c r="BL3046">
        <v>6.25</v>
      </c>
      <c r="BM3046" t="s">
        <v>120</v>
      </c>
      <c r="BN3046" t="s">
        <v>120</v>
      </c>
      <c r="BO3046">
        <v>77.73</v>
      </c>
      <c r="BP3046">
        <v>8.5399999999999991</v>
      </c>
      <c r="BQ3046">
        <v>31.69</v>
      </c>
      <c r="BR3046">
        <v>0.61</v>
      </c>
      <c r="BS3046">
        <v>58.45</v>
      </c>
      <c r="BT3046">
        <v>63.22</v>
      </c>
      <c r="BU3046">
        <v>1.24</v>
      </c>
      <c r="BV3046">
        <v>7.68</v>
      </c>
      <c r="BW3046">
        <v>42.53</v>
      </c>
      <c r="BX3046">
        <v>24.2</v>
      </c>
      <c r="BY3046">
        <v>29.71</v>
      </c>
      <c r="BZ3046">
        <v>4.42</v>
      </c>
      <c r="CA3046" t="s">
        <v>120</v>
      </c>
      <c r="CB3046">
        <v>0.49</v>
      </c>
      <c r="CC3046">
        <v>38.83</v>
      </c>
      <c r="CD3046">
        <v>32.130000000000003</v>
      </c>
      <c r="CE3046">
        <v>4.91</v>
      </c>
      <c r="CF3046">
        <v>0.44</v>
      </c>
      <c r="CG3046">
        <v>5.07</v>
      </c>
      <c r="CH3046">
        <v>3.95</v>
      </c>
      <c r="CI3046">
        <v>3.33</v>
      </c>
      <c r="CJ3046">
        <v>-0.16</v>
      </c>
      <c r="CK3046">
        <v>3.21</v>
      </c>
      <c r="CL3046">
        <v>22.78</v>
      </c>
      <c r="CM3046">
        <v>0.86</v>
      </c>
      <c r="CN3046">
        <v>-10.25</v>
      </c>
      <c r="CO3046">
        <v>57895</v>
      </c>
      <c r="CP3046">
        <v>6801</v>
      </c>
      <c r="CQ3046" t="s">
        <v>448</v>
      </c>
      <c r="CR3046">
        <v>-1.3</v>
      </c>
      <c r="CS3046">
        <v>11.1</v>
      </c>
      <c r="CT3046">
        <v>1.69</v>
      </c>
      <c r="CU3046">
        <v>62.06</v>
      </c>
      <c r="CV3046">
        <v>1.38</v>
      </c>
      <c r="CW3046">
        <v>3.67</v>
      </c>
      <c r="CX3046" t="s">
        <v>2391</v>
      </c>
      <c r="CY3046">
        <v>5.07</v>
      </c>
      <c r="CZ3046">
        <v>0</v>
      </c>
      <c r="DA3046">
        <v>0.08</v>
      </c>
      <c r="DB3046">
        <v>3.65</v>
      </c>
      <c r="DC3046">
        <v>0.14000000000000001</v>
      </c>
      <c r="DD3046">
        <v>40.770000000000003</v>
      </c>
      <c r="DE3046" t="s">
        <v>13299</v>
      </c>
      <c r="DF3046">
        <v>17.25</v>
      </c>
      <c r="DG3046">
        <v>12.65</v>
      </c>
      <c r="DH3046">
        <v>8.57</v>
      </c>
      <c r="DI3046">
        <v>0.15</v>
      </c>
      <c r="DJ3046">
        <v>3451</v>
      </c>
      <c r="DK3046">
        <v>600846</v>
      </c>
      <c r="DL3046" t="s">
        <v>120</v>
      </c>
      <c r="DM3046" t="s">
        <v>120</v>
      </c>
      <c r="DN3046" t="s">
        <v>120</v>
      </c>
    </row>
    <row r="3047" spans="1:118">
      <c r="A3047" t="str">
        <f>"600847"</f>
        <v>600847</v>
      </c>
      <c r="B3047" t="s">
        <v>13300</v>
      </c>
      <c r="C3047">
        <v>-0.76</v>
      </c>
      <c r="D3047">
        <v>0.11</v>
      </c>
      <c r="E3047">
        <v>0</v>
      </c>
      <c r="F3047">
        <v>103</v>
      </c>
      <c r="G3047" t="s">
        <v>13301</v>
      </c>
      <c r="H3047">
        <v>837.05</v>
      </c>
      <c r="I3047">
        <v>0.46</v>
      </c>
      <c r="J3047" t="s">
        <v>120</v>
      </c>
      <c r="K3047" t="s">
        <v>6326</v>
      </c>
      <c r="L3047">
        <v>0.6</v>
      </c>
      <c r="M3047">
        <v>9.11</v>
      </c>
      <c r="N3047">
        <v>0.85</v>
      </c>
      <c r="O3047">
        <v>0.65</v>
      </c>
      <c r="P3047">
        <v>9.24</v>
      </c>
      <c r="Q3047">
        <v>-0.98</v>
      </c>
      <c r="R3047">
        <v>9.09</v>
      </c>
      <c r="S3047">
        <v>9.18</v>
      </c>
      <c r="T3047">
        <v>9131</v>
      </c>
      <c r="U3047">
        <v>9.11</v>
      </c>
      <c r="V3047">
        <v>9.18</v>
      </c>
      <c r="W3047" t="s">
        <v>120</v>
      </c>
      <c r="X3047" t="s">
        <v>394</v>
      </c>
      <c r="Y3047" t="s">
        <v>883</v>
      </c>
      <c r="Z3047">
        <v>1.63</v>
      </c>
      <c r="AA3047">
        <v>9.17</v>
      </c>
      <c r="AB3047">
        <v>5293</v>
      </c>
      <c r="AC3047">
        <v>3838</v>
      </c>
      <c r="AD3047">
        <v>1.38</v>
      </c>
      <c r="AE3047">
        <v>232</v>
      </c>
      <c r="AF3047">
        <v>15</v>
      </c>
      <c r="AG3047" t="s">
        <v>120</v>
      </c>
      <c r="AH3047">
        <v>0</v>
      </c>
      <c r="AI3047" t="s">
        <v>120</v>
      </c>
      <c r="AJ3047">
        <v>1.53</v>
      </c>
      <c r="AK3047" t="s">
        <v>6326</v>
      </c>
      <c r="AL3047">
        <v>0.57999999999999996</v>
      </c>
      <c r="AM3047">
        <v>714</v>
      </c>
      <c r="AN3047">
        <v>13</v>
      </c>
      <c r="AO3047">
        <v>8.0000000000000004E-4</v>
      </c>
      <c r="AP3047">
        <v>-1</v>
      </c>
      <c r="AQ3047">
        <v>0.66</v>
      </c>
      <c r="AR3047">
        <v>-0.98</v>
      </c>
      <c r="AS3047">
        <v>-4.3099999999999996</v>
      </c>
      <c r="AT3047">
        <v>-0.54</v>
      </c>
      <c r="AU3047">
        <v>-7.04</v>
      </c>
      <c r="AV3047">
        <v>3</v>
      </c>
      <c r="AW3047">
        <v>0.78</v>
      </c>
      <c r="AX3047">
        <v>76.459999999999994</v>
      </c>
      <c r="AY3047">
        <v>254.6</v>
      </c>
      <c r="AZ3047">
        <v>349.8</v>
      </c>
      <c r="BA3047">
        <v>0.82</v>
      </c>
      <c r="BB3047" t="s">
        <v>168</v>
      </c>
      <c r="BF3047">
        <v>-0.14000000000000001</v>
      </c>
      <c r="BG3047">
        <v>-0.76</v>
      </c>
      <c r="BH3047">
        <v>-1.41</v>
      </c>
      <c r="BI3047">
        <v>0.22</v>
      </c>
      <c r="BJ3047">
        <v>20210818</v>
      </c>
      <c r="BK3047">
        <v>19940324</v>
      </c>
      <c r="BL3047">
        <v>1.53</v>
      </c>
      <c r="BM3047" t="s">
        <v>120</v>
      </c>
      <c r="BN3047" t="s">
        <v>120</v>
      </c>
      <c r="BO3047">
        <v>7.61</v>
      </c>
      <c r="BP3047">
        <v>9.1</v>
      </c>
      <c r="BQ3047">
        <v>6.94</v>
      </c>
      <c r="BR3047" t="s">
        <v>120</v>
      </c>
      <c r="BS3047">
        <v>8.76</v>
      </c>
      <c r="BT3047">
        <v>4.9400000000000004</v>
      </c>
      <c r="BU3047">
        <v>2.4300000000000002</v>
      </c>
      <c r="BV3047">
        <v>0.18</v>
      </c>
      <c r="BW3047">
        <v>0.63</v>
      </c>
      <c r="BX3047">
        <v>0.23</v>
      </c>
      <c r="BY3047">
        <v>1.21</v>
      </c>
      <c r="BZ3047">
        <v>1.34</v>
      </c>
      <c r="CA3047" t="s">
        <v>120</v>
      </c>
      <c r="CB3047">
        <v>8.0399999999999991</v>
      </c>
      <c r="CC3047">
        <v>3.03</v>
      </c>
      <c r="CD3047">
        <v>2.6</v>
      </c>
      <c r="CE3047">
        <v>-0.01</v>
      </c>
      <c r="CF3047">
        <v>0</v>
      </c>
      <c r="CG3047">
        <v>-0.01</v>
      </c>
      <c r="CH3047">
        <v>-0.01</v>
      </c>
      <c r="CI3047">
        <v>-0.01</v>
      </c>
      <c r="CJ3047">
        <v>-7.0000000000000007E-2</v>
      </c>
      <c r="CK3047">
        <v>-0.02</v>
      </c>
      <c r="CL3047">
        <v>-2.63</v>
      </c>
      <c r="CM3047">
        <v>-0.43</v>
      </c>
      <c r="CN3047">
        <v>-0.48</v>
      </c>
      <c r="CO3047">
        <v>8105</v>
      </c>
      <c r="CP3047">
        <v>14461</v>
      </c>
      <c r="CQ3047" t="s">
        <v>11255</v>
      </c>
      <c r="CR3047">
        <v>59.31</v>
      </c>
      <c r="CS3047">
        <v>18.62</v>
      </c>
      <c r="CT3047">
        <v>2.0099999999999998</v>
      </c>
      <c r="CU3047">
        <v>-32.409999999999997</v>
      </c>
      <c r="CV3047">
        <v>4.5999999999999996</v>
      </c>
      <c r="CW3047">
        <v>0</v>
      </c>
      <c r="CX3047" t="s">
        <v>1312</v>
      </c>
      <c r="CY3047">
        <v>4.53</v>
      </c>
      <c r="CZ3047">
        <v>0</v>
      </c>
      <c r="DA3047">
        <v>5.24</v>
      </c>
      <c r="DB3047">
        <v>-1.72</v>
      </c>
      <c r="DC3047">
        <v>-0.28000000000000003</v>
      </c>
      <c r="DD3047">
        <v>91.24</v>
      </c>
      <c r="DE3047" t="s">
        <v>13302</v>
      </c>
      <c r="DF3047">
        <v>14.21</v>
      </c>
      <c r="DG3047">
        <v>-0.33</v>
      </c>
      <c r="DH3047">
        <v>-0.34</v>
      </c>
      <c r="DI3047">
        <v>0.01</v>
      </c>
      <c r="DJ3047">
        <v>499</v>
      </c>
      <c r="DK3047">
        <v>600847</v>
      </c>
      <c r="DL3047" t="s">
        <v>120</v>
      </c>
      <c r="DM3047" t="s">
        <v>120</v>
      </c>
      <c r="DN3047" t="s">
        <v>120</v>
      </c>
    </row>
    <row r="3048" spans="1:118">
      <c r="A3048" t="str">
        <f>"600848"</f>
        <v>600848</v>
      </c>
      <c r="B3048" t="s">
        <v>13303</v>
      </c>
      <c r="C3048">
        <v>-1.32</v>
      </c>
      <c r="D3048">
        <v>-0.98</v>
      </c>
      <c r="E3048">
        <v>0</v>
      </c>
      <c r="F3048">
        <v>8468</v>
      </c>
      <c r="G3048" t="s">
        <v>1332</v>
      </c>
      <c r="H3048">
        <v>7382.36</v>
      </c>
      <c r="I3048">
        <v>42.48</v>
      </c>
      <c r="J3048" t="s">
        <v>120</v>
      </c>
      <c r="K3048" t="s">
        <v>13304</v>
      </c>
      <c r="L3048">
        <v>0.33</v>
      </c>
      <c r="M3048">
        <v>14.97</v>
      </c>
      <c r="N3048">
        <v>0.95</v>
      </c>
      <c r="O3048">
        <v>0.66</v>
      </c>
      <c r="P3048">
        <v>15.27</v>
      </c>
      <c r="Q3048">
        <v>-1.32</v>
      </c>
      <c r="R3048">
        <v>14.97</v>
      </c>
      <c r="S3048">
        <v>15.17</v>
      </c>
      <c r="T3048">
        <v>48809</v>
      </c>
      <c r="U3048">
        <v>14.97</v>
      </c>
      <c r="V3048">
        <v>15.17</v>
      </c>
      <c r="W3048">
        <v>18.88</v>
      </c>
      <c r="X3048" t="s">
        <v>1384</v>
      </c>
      <c r="Y3048" t="s">
        <v>1510</v>
      </c>
      <c r="Z3048">
        <v>1.98</v>
      </c>
      <c r="AA3048">
        <v>15.12</v>
      </c>
      <c r="AB3048">
        <v>29367</v>
      </c>
      <c r="AC3048">
        <v>19442</v>
      </c>
      <c r="AD3048">
        <v>1.51</v>
      </c>
      <c r="AE3048">
        <v>31</v>
      </c>
      <c r="AF3048">
        <v>5955</v>
      </c>
      <c r="AG3048" t="s">
        <v>120</v>
      </c>
      <c r="AH3048">
        <v>0</v>
      </c>
      <c r="AI3048" t="s">
        <v>120</v>
      </c>
      <c r="AJ3048">
        <v>14.58</v>
      </c>
      <c r="AK3048" t="s">
        <v>13305</v>
      </c>
      <c r="AL3048">
        <v>0.03</v>
      </c>
      <c r="AM3048">
        <v>1950</v>
      </c>
      <c r="AN3048">
        <v>25</v>
      </c>
      <c r="AO3048">
        <v>2.0000000000000001E-4</v>
      </c>
      <c r="AP3048">
        <v>-5</v>
      </c>
      <c r="AQ3048">
        <v>-0.85</v>
      </c>
      <c r="AR3048">
        <v>-3.98</v>
      </c>
      <c r="AS3048">
        <v>-3.29</v>
      </c>
      <c r="AT3048">
        <v>-16.64</v>
      </c>
      <c r="AU3048">
        <v>-8.91</v>
      </c>
      <c r="AV3048">
        <v>2</v>
      </c>
      <c r="AW3048">
        <v>0.7</v>
      </c>
      <c r="AX3048">
        <v>27.64</v>
      </c>
      <c r="AY3048">
        <v>23.63</v>
      </c>
      <c r="AZ3048">
        <v>27.06</v>
      </c>
      <c r="BA3048">
        <v>1.1399999999999999</v>
      </c>
      <c r="BB3048" t="s">
        <v>143</v>
      </c>
      <c r="BF3048">
        <v>-0.3</v>
      </c>
      <c r="BG3048">
        <v>-1.32</v>
      </c>
      <c r="BH3048">
        <v>-1.96</v>
      </c>
      <c r="BI3048">
        <v>0</v>
      </c>
      <c r="BJ3048">
        <v>20210827</v>
      </c>
      <c r="BK3048">
        <v>19940324</v>
      </c>
      <c r="BL3048">
        <v>25.22</v>
      </c>
      <c r="BM3048">
        <v>1.29</v>
      </c>
      <c r="BN3048" t="s">
        <v>120</v>
      </c>
      <c r="BO3048">
        <v>457.23</v>
      </c>
      <c r="BP3048">
        <v>14.96</v>
      </c>
      <c r="BQ3048">
        <v>148.43</v>
      </c>
      <c r="BR3048">
        <v>34.39</v>
      </c>
      <c r="BS3048">
        <v>60.02</v>
      </c>
      <c r="BT3048">
        <v>235.44</v>
      </c>
      <c r="BU3048">
        <v>3.54</v>
      </c>
      <c r="BV3048">
        <v>0.06</v>
      </c>
      <c r="BW3048">
        <v>148.34</v>
      </c>
      <c r="BX3048">
        <v>47.25</v>
      </c>
      <c r="BY3048">
        <v>173.35</v>
      </c>
      <c r="BZ3048">
        <v>5.4</v>
      </c>
      <c r="CA3048">
        <v>2.57</v>
      </c>
      <c r="CB3048">
        <v>71.89</v>
      </c>
      <c r="CC3048">
        <v>34.17</v>
      </c>
      <c r="CD3048">
        <v>14.33</v>
      </c>
      <c r="CE3048">
        <v>15.26</v>
      </c>
      <c r="CF3048">
        <v>2.54</v>
      </c>
      <c r="CG3048">
        <v>15.28</v>
      </c>
      <c r="CH3048">
        <v>11.5</v>
      </c>
      <c r="CI3048">
        <v>10</v>
      </c>
      <c r="CJ3048">
        <v>-0.2</v>
      </c>
      <c r="CK3048">
        <v>9.4499999999999993</v>
      </c>
      <c r="CL3048">
        <v>39.51</v>
      </c>
      <c r="CM3048">
        <v>-2</v>
      </c>
      <c r="CN3048">
        <v>17.670000000000002</v>
      </c>
      <c r="CO3048">
        <v>66727</v>
      </c>
      <c r="CP3048">
        <v>12375</v>
      </c>
      <c r="CQ3048" t="s">
        <v>13306</v>
      </c>
      <c r="CR3048">
        <v>25.75</v>
      </c>
      <c r="CS3048">
        <v>61.58</v>
      </c>
      <c r="CT3048">
        <v>2.54</v>
      </c>
      <c r="CU3048">
        <v>-188.5</v>
      </c>
      <c r="CV3048">
        <v>11.05</v>
      </c>
      <c r="CW3048">
        <v>1.65</v>
      </c>
      <c r="CX3048" t="s">
        <v>3527</v>
      </c>
      <c r="CY3048">
        <v>5.88</v>
      </c>
      <c r="CZ3048">
        <v>0</v>
      </c>
      <c r="DA3048">
        <v>2.85</v>
      </c>
      <c r="DB3048">
        <v>1.57</v>
      </c>
      <c r="DC3048">
        <v>-0.08</v>
      </c>
      <c r="DD3048">
        <v>32.46</v>
      </c>
      <c r="DE3048" t="s">
        <v>8920</v>
      </c>
      <c r="DF3048">
        <v>58.05</v>
      </c>
      <c r="DG3048">
        <v>44.65</v>
      </c>
      <c r="DH3048">
        <v>29.26</v>
      </c>
      <c r="DI3048" t="s">
        <v>120</v>
      </c>
      <c r="DJ3048">
        <v>604</v>
      </c>
      <c r="DK3048">
        <v>600848</v>
      </c>
      <c r="DL3048" t="s">
        <v>120</v>
      </c>
      <c r="DM3048" t="s">
        <v>120</v>
      </c>
      <c r="DN3048" t="s">
        <v>120</v>
      </c>
    </row>
    <row r="3049" spans="1:118">
      <c r="A3049" t="str">
        <f>"600850"</f>
        <v>600850</v>
      </c>
      <c r="B3049" t="s">
        <v>13307</v>
      </c>
      <c r="C3049">
        <v>-1.23</v>
      </c>
      <c r="D3049">
        <v>-0.13</v>
      </c>
      <c r="E3049">
        <v>-0.56000000000000005</v>
      </c>
      <c r="F3049">
        <v>354</v>
      </c>
      <c r="G3049" t="s">
        <v>13308</v>
      </c>
      <c r="H3049">
        <v>15160</v>
      </c>
      <c r="I3049">
        <v>17.32</v>
      </c>
      <c r="J3049" t="s">
        <v>120</v>
      </c>
      <c r="K3049" t="s">
        <v>8846</v>
      </c>
      <c r="L3049">
        <v>1.24</v>
      </c>
      <c r="M3049">
        <v>28.21</v>
      </c>
      <c r="N3049">
        <v>1.05</v>
      </c>
      <c r="O3049">
        <v>1.47</v>
      </c>
      <c r="P3049">
        <v>28.98</v>
      </c>
      <c r="Q3049">
        <v>-1.4</v>
      </c>
      <c r="R3049">
        <v>28.16</v>
      </c>
      <c r="S3049">
        <v>28.4</v>
      </c>
      <c r="T3049">
        <v>53065</v>
      </c>
      <c r="U3049">
        <v>28.21</v>
      </c>
      <c r="V3049">
        <v>28.56</v>
      </c>
      <c r="W3049">
        <v>36.26</v>
      </c>
      <c r="X3049" t="s">
        <v>141</v>
      </c>
      <c r="Y3049" t="s">
        <v>1510</v>
      </c>
      <c r="Z3049">
        <v>2.87</v>
      </c>
      <c r="AA3049">
        <v>28.57</v>
      </c>
      <c r="AB3049">
        <v>32575</v>
      </c>
      <c r="AC3049">
        <v>20490</v>
      </c>
      <c r="AD3049">
        <v>1.59</v>
      </c>
      <c r="AE3049">
        <v>12</v>
      </c>
      <c r="AF3049">
        <v>63</v>
      </c>
      <c r="AG3049" t="s">
        <v>120</v>
      </c>
      <c r="AH3049">
        <v>0</v>
      </c>
      <c r="AI3049" t="s">
        <v>120</v>
      </c>
      <c r="AJ3049">
        <v>4.2699999999999996</v>
      </c>
      <c r="AK3049" t="s">
        <v>8846</v>
      </c>
      <c r="AL3049">
        <v>0.12</v>
      </c>
      <c r="AM3049">
        <v>2607</v>
      </c>
      <c r="AN3049">
        <v>20</v>
      </c>
      <c r="AO3049">
        <v>5.0000000000000001E-4</v>
      </c>
      <c r="AP3049">
        <v>-1</v>
      </c>
      <c r="AQ3049">
        <v>1.6</v>
      </c>
      <c r="AR3049">
        <v>2.5</v>
      </c>
      <c r="AS3049">
        <v>12.84</v>
      </c>
      <c r="AT3049">
        <v>0.75</v>
      </c>
      <c r="AU3049">
        <v>5.74</v>
      </c>
      <c r="AV3049">
        <v>0</v>
      </c>
      <c r="AW3049">
        <v>1.98</v>
      </c>
      <c r="AX3049">
        <v>62.85</v>
      </c>
      <c r="AY3049">
        <v>36.869999999999997</v>
      </c>
      <c r="AZ3049">
        <v>38.4</v>
      </c>
      <c r="BA3049">
        <v>0.57999999999999996</v>
      </c>
      <c r="BB3049" t="s">
        <v>168</v>
      </c>
      <c r="BF3049">
        <v>0.03</v>
      </c>
      <c r="BG3049">
        <v>-0.67</v>
      </c>
      <c r="BH3049">
        <v>-2.66</v>
      </c>
      <c r="BI3049">
        <v>0.18</v>
      </c>
      <c r="BJ3049">
        <v>20210824</v>
      </c>
      <c r="BK3049">
        <v>19940324</v>
      </c>
      <c r="BL3049">
        <v>4.2699999999999996</v>
      </c>
      <c r="BM3049" t="s">
        <v>120</v>
      </c>
      <c r="BN3049" t="s">
        <v>120</v>
      </c>
      <c r="BO3049">
        <v>78.88</v>
      </c>
      <c r="BP3049">
        <v>28.2</v>
      </c>
      <c r="BQ3049">
        <v>27.81</v>
      </c>
      <c r="BR3049">
        <v>1.66</v>
      </c>
      <c r="BS3049">
        <v>62.64</v>
      </c>
      <c r="BT3049">
        <v>73.650000000000006</v>
      </c>
      <c r="BU3049">
        <v>0.35</v>
      </c>
      <c r="BV3049">
        <v>0.41</v>
      </c>
      <c r="BW3049">
        <v>46.54</v>
      </c>
      <c r="BX3049">
        <v>15.62</v>
      </c>
      <c r="BY3049">
        <v>34.72</v>
      </c>
      <c r="BZ3049">
        <v>7.54</v>
      </c>
      <c r="CA3049" t="s">
        <v>120</v>
      </c>
      <c r="CB3049">
        <v>0.68</v>
      </c>
      <c r="CC3049">
        <v>41.93</v>
      </c>
      <c r="CD3049">
        <v>35.619999999999997</v>
      </c>
      <c r="CE3049">
        <v>1.71</v>
      </c>
      <c r="CF3049">
        <v>-0.01</v>
      </c>
      <c r="CG3049">
        <v>1.73</v>
      </c>
      <c r="CH3049">
        <v>1.64</v>
      </c>
      <c r="CI3049">
        <v>1.66</v>
      </c>
      <c r="CJ3049">
        <v>-0.35</v>
      </c>
      <c r="CK3049">
        <v>1.6</v>
      </c>
      <c r="CL3049">
        <v>22.37</v>
      </c>
      <c r="CM3049">
        <v>-7.54</v>
      </c>
      <c r="CN3049">
        <v>-9.11</v>
      </c>
      <c r="CO3049">
        <v>20667</v>
      </c>
      <c r="CP3049">
        <v>12980</v>
      </c>
      <c r="CQ3049" t="s">
        <v>13309</v>
      </c>
      <c r="CR3049">
        <v>8.59</v>
      </c>
      <c r="CS3049">
        <v>32.24</v>
      </c>
      <c r="CT3049">
        <v>4.33</v>
      </c>
      <c r="CU3049">
        <v>-15.97</v>
      </c>
      <c r="CV3049">
        <v>2.87</v>
      </c>
      <c r="CW3049">
        <v>0.88</v>
      </c>
      <c r="CX3049" t="s">
        <v>3411</v>
      </c>
      <c r="CY3049">
        <v>6.52</v>
      </c>
      <c r="CZ3049">
        <v>0</v>
      </c>
      <c r="DA3049">
        <v>0.16</v>
      </c>
      <c r="DB3049">
        <v>5.24</v>
      </c>
      <c r="DC3049">
        <v>-1.77</v>
      </c>
      <c r="DD3049">
        <v>35.26</v>
      </c>
      <c r="DE3049" t="s">
        <v>580</v>
      </c>
      <c r="DF3049">
        <v>15.05</v>
      </c>
      <c r="DG3049">
        <v>4.09</v>
      </c>
      <c r="DH3049">
        <v>3.96</v>
      </c>
      <c r="DI3049">
        <v>1.54</v>
      </c>
      <c r="DJ3049">
        <v>2784</v>
      </c>
      <c r="DK3049">
        <v>600850</v>
      </c>
      <c r="DL3049" t="s">
        <v>120</v>
      </c>
      <c r="DM3049" t="s">
        <v>120</v>
      </c>
      <c r="DN3049" t="s">
        <v>120</v>
      </c>
    </row>
    <row r="3050" spans="1:118">
      <c r="A3050" t="str">
        <f>"600851"</f>
        <v>600851</v>
      </c>
      <c r="B3050" t="s">
        <v>13310</v>
      </c>
      <c r="C3050">
        <v>0.79</v>
      </c>
      <c r="D3050">
        <v>0</v>
      </c>
      <c r="E3050">
        <v>-0.3</v>
      </c>
      <c r="F3050">
        <v>399</v>
      </c>
      <c r="G3050" t="s">
        <v>3031</v>
      </c>
      <c r="H3050">
        <v>4145.3500000000004</v>
      </c>
      <c r="I3050">
        <v>7.15</v>
      </c>
      <c r="J3050" t="s">
        <v>120</v>
      </c>
      <c r="K3050" t="s">
        <v>13311</v>
      </c>
      <c r="L3050">
        <v>0.55000000000000004</v>
      </c>
      <c r="M3050">
        <v>10.18</v>
      </c>
      <c r="N3050">
        <v>0.56999999999999995</v>
      </c>
      <c r="O3050">
        <v>2.57</v>
      </c>
      <c r="P3050">
        <v>10.36</v>
      </c>
      <c r="Q3050">
        <v>-0.59</v>
      </c>
      <c r="R3050">
        <v>10.039999999999999</v>
      </c>
      <c r="S3050">
        <v>10.07</v>
      </c>
      <c r="T3050">
        <v>40698</v>
      </c>
      <c r="U3050">
        <v>10.199999999999999</v>
      </c>
      <c r="V3050">
        <v>10.1</v>
      </c>
      <c r="W3050">
        <v>52.51</v>
      </c>
      <c r="X3050" t="s">
        <v>569</v>
      </c>
      <c r="Y3050" t="s">
        <v>1510</v>
      </c>
      <c r="Z3050">
        <v>3.17</v>
      </c>
      <c r="AA3050">
        <v>10.19</v>
      </c>
      <c r="AB3050">
        <v>18759</v>
      </c>
      <c r="AC3050">
        <v>21939</v>
      </c>
      <c r="AD3050">
        <v>0.86</v>
      </c>
      <c r="AE3050">
        <v>70</v>
      </c>
      <c r="AF3050">
        <v>22</v>
      </c>
      <c r="AG3050" t="s">
        <v>120</v>
      </c>
      <c r="AH3050">
        <v>0</v>
      </c>
      <c r="AI3050" t="s">
        <v>120</v>
      </c>
      <c r="AJ3050">
        <v>7.38</v>
      </c>
      <c r="AK3050" t="s">
        <v>13312</v>
      </c>
      <c r="AL3050">
        <v>2.14</v>
      </c>
      <c r="AM3050">
        <v>1462</v>
      </c>
      <c r="AN3050">
        <v>28</v>
      </c>
      <c r="AO3050">
        <v>4.0000000000000002E-4</v>
      </c>
      <c r="AP3050">
        <v>2</v>
      </c>
      <c r="AQ3050">
        <v>0.1</v>
      </c>
      <c r="AR3050">
        <v>-3.87</v>
      </c>
      <c r="AS3050">
        <v>1.7</v>
      </c>
      <c r="AT3050">
        <v>16.61</v>
      </c>
      <c r="AU3050">
        <v>25.84</v>
      </c>
      <c r="AV3050">
        <v>5</v>
      </c>
      <c r="AW3050">
        <v>0.86</v>
      </c>
      <c r="AX3050">
        <v>39.380000000000003</v>
      </c>
      <c r="AY3050">
        <v>84.38</v>
      </c>
      <c r="AZ3050">
        <v>102.11</v>
      </c>
      <c r="BA3050">
        <v>1.22</v>
      </c>
      <c r="BB3050" t="s">
        <v>143</v>
      </c>
      <c r="BF3050">
        <v>0.85</v>
      </c>
      <c r="BG3050">
        <v>1.0900000000000001</v>
      </c>
      <c r="BH3050">
        <v>-1.74</v>
      </c>
      <c r="BI3050">
        <v>1.39</v>
      </c>
      <c r="BJ3050">
        <v>20210823</v>
      </c>
      <c r="BK3050">
        <v>19940404</v>
      </c>
      <c r="BL3050">
        <v>12.07</v>
      </c>
      <c r="BM3050">
        <v>4.6900000000000004</v>
      </c>
      <c r="BN3050" t="s">
        <v>120</v>
      </c>
      <c r="BO3050">
        <v>53.4</v>
      </c>
      <c r="BP3050">
        <v>10.18</v>
      </c>
      <c r="BQ3050">
        <v>40.68</v>
      </c>
      <c r="BR3050">
        <v>1.93</v>
      </c>
      <c r="BS3050">
        <v>20.22</v>
      </c>
      <c r="BT3050">
        <v>9.41</v>
      </c>
      <c r="BU3050">
        <v>3.3</v>
      </c>
      <c r="BV3050">
        <v>0.14000000000000001</v>
      </c>
      <c r="BW3050">
        <v>5.39</v>
      </c>
      <c r="BX3050">
        <v>3.59</v>
      </c>
      <c r="BY3050">
        <v>1.18</v>
      </c>
      <c r="BZ3050">
        <v>1.7</v>
      </c>
      <c r="CA3050">
        <v>0.05</v>
      </c>
      <c r="CB3050">
        <v>4.2</v>
      </c>
      <c r="CC3050">
        <v>7.67</v>
      </c>
      <c r="CD3050">
        <v>3.95</v>
      </c>
      <c r="CE3050">
        <v>1.35</v>
      </c>
      <c r="CF3050">
        <v>1.03</v>
      </c>
      <c r="CG3050">
        <v>1.28</v>
      </c>
      <c r="CH3050">
        <v>1.19</v>
      </c>
      <c r="CI3050">
        <v>1.17</v>
      </c>
      <c r="CJ3050">
        <v>0.08</v>
      </c>
      <c r="CK3050">
        <v>1.06</v>
      </c>
      <c r="CL3050">
        <v>6</v>
      </c>
      <c r="CM3050">
        <v>2.25</v>
      </c>
      <c r="CN3050">
        <v>-0.37</v>
      </c>
      <c r="CO3050">
        <v>64722</v>
      </c>
      <c r="CP3050">
        <v>14588</v>
      </c>
      <c r="CQ3050" t="s">
        <v>13313</v>
      </c>
      <c r="CR3050">
        <v>27.31</v>
      </c>
      <c r="CS3050">
        <v>79.2</v>
      </c>
      <c r="CT3050">
        <v>3.02</v>
      </c>
      <c r="CU3050">
        <v>54.61</v>
      </c>
      <c r="CV3050">
        <v>16.02</v>
      </c>
      <c r="CW3050">
        <v>0.3</v>
      </c>
      <c r="CX3050" t="s">
        <v>4020</v>
      </c>
      <c r="CY3050">
        <v>3.37</v>
      </c>
      <c r="CZ3050">
        <v>0</v>
      </c>
      <c r="DA3050">
        <v>0.35</v>
      </c>
      <c r="DB3050">
        <v>0.5</v>
      </c>
      <c r="DC3050">
        <v>0.19</v>
      </c>
      <c r="DD3050">
        <v>76.17</v>
      </c>
      <c r="DE3050" t="s">
        <v>2276</v>
      </c>
      <c r="DF3050">
        <v>48.5</v>
      </c>
      <c r="DG3050">
        <v>17.649999999999999</v>
      </c>
      <c r="DH3050">
        <v>15.26</v>
      </c>
      <c r="DI3050">
        <v>0.1</v>
      </c>
      <c r="DJ3050">
        <v>1121</v>
      </c>
      <c r="DK3050">
        <v>600851</v>
      </c>
      <c r="DL3050" t="s">
        <v>120</v>
      </c>
      <c r="DM3050" t="s">
        <v>120</v>
      </c>
      <c r="DN3050" t="s">
        <v>120</v>
      </c>
    </row>
    <row r="3051" spans="1:118">
      <c r="A3051" t="str">
        <f>"600853"</f>
        <v>600853</v>
      </c>
      <c r="B3051" t="s">
        <v>13314</v>
      </c>
      <c r="C3051">
        <v>-1.1299999999999999</v>
      </c>
      <c r="D3051">
        <v>-0.37</v>
      </c>
      <c r="E3051">
        <v>0</v>
      </c>
      <c r="F3051">
        <v>1411</v>
      </c>
      <c r="G3051" t="s">
        <v>12599</v>
      </c>
      <c r="H3051">
        <v>2175.9299999999998</v>
      </c>
      <c r="I3051">
        <v>4.12</v>
      </c>
      <c r="J3051" t="s">
        <v>120</v>
      </c>
      <c r="K3051" t="s">
        <v>12755</v>
      </c>
      <c r="L3051">
        <v>0.81</v>
      </c>
      <c r="M3051">
        <v>2.63</v>
      </c>
      <c r="N3051">
        <v>0.85</v>
      </c>
      <c r="O3051">
        <v>1.5</v>
      </c>
      <c r="P3051">
        <v>2.7</v>
      </c>
      <c r="Q3051">
        <v>-1.1299999999999999</v>
      </c>
      <c r="R3051">
        <v>2.63</v>
      </c>
      <c r="S3051">
        <v>2.66</v>
      </c>
      <c r="T3051">
        <v>81556</v>
      </c>
      <c r="U3051">
        <v>2.64</v>
      </c>
      <c r="V3051">
        <v>2.66</v>
      </c>
      <c r="W3051">
        <v>36.72</v>
      </c>
      <c r="X3051" t="s">
        <v>175</v>
      </c>
      <c r="Y3051" t="s">
        <v>1686</v>
      </c>
      <c r="Z3051">
        <v>2.63</v>
      </c>
      <c r="AA3051">
        <v>2.67</v>
      </c>
      <c r="AB3051">
        <v>35567</v>
      </c>
      <c r="AC3051">
        <v>45989</v>
      </c>
      <c r="AD3051">
        <v>0.77</v>
      </c>
      <c r="AE3051">
        <v>1302</v>
      </c>
      <c r="AF3051">
        <v>49</v>
      </c>
      <c r="AG3051" t="s">
        <v>120</v>
      </c>
      <c r="AH3051">
        <v>0</v>
      </c>
      <c r="AI3051" t="s">
        <v>120</v>
      </c>
      <c r="AJ3051">
        <v>10.050000000000001</v>
      </c>
      <c r="AK3051" t="s">
        <v>12755</v>
      </c>
      <c r="AL3051">
        <v>0.22</v>
      </c>
      <c r="AM3051">
        <v>1206</v>
      </c>
      <c r="AN3051">
        <v>68</v>
      </c>
      <c r="AO3051">
        <v>6.9999999999999999E-4</v>
      </c>
      <c r="AP3051">
        <v>-1</v>
      </c>
      <c r="AQ3051">
        <v>1.1399999999999999</v>
      </c>
      <c r="AR3051">
        <v>-1.87</v>
      </c>
      <c r="AS3051">
        <v>9.1300000000000008</v>
      </c>
      <c r="AT3051">
        <v>6.48</v>
      </c>
      <c r="AU3051">
        <v>-2.2400000000000002</v>
      </c>
      <c r="AV3051">
        <v>0</v>
      </c>
      <c r="AW3051">
        <v>1.46</v>
      </c>
      <c r="AX3051">
        <v>55.55</v>
      </c>
      <c r="AY3051">
        <v>11.56</v>
      </c>
      <c r="AZ3051">
        <v>11.91</v>
      </c>
      <c r="BA3051">
        <v>0.61</v>
      </c>
      <c r="BB3051" t="s">
        <v>184</v>
      </c>
      <c r="BF3051">
        <v>0.3</v>
      </c>
      <c r="BG3051">
        <v>-1.1299999999999999</v>
      </c>
      <c r="BH3051">
        <v>-2.59</v>
      </c>
      <c r="BI3051">
        <v>0</v>
      </c>
      <c r="BJ3051">
        <v>20210830</v>
      </c>
      <c r="BK3051">
        <v>19940404</v>
      </c>
      <c r="BL3051">
        <v>10.050000000000001</v>
      </c>
      <c r="BM3051" t="s">
        <v>120</v>
      </c>
      <c r="BN3051" t="s">
        <v>120</v>
      </c>
      <c r="BO3051">
        <v>240.68</v>
      </c>
      <c r="BP3051">
        <v>2.63</v>
      </c>
      <c r="BQ3051">
        <v>24.64</v>
      </c>
      <c r="BR3051">
        <v>10.94</v>
      </c>
      <c r="BS3051">
        <v>85.22</v>
      </c>
      <c r="BT3051">
        <v>163.02000000000001</v>
      </c>
      <c r="BU3051">
        <v>7.54</v>
      </c>
      <c r="BV3051">
        <v>4.5</v>
      </c>
      <c r="BW3051">
        <v>155.44999999999999</v>
      </c>
      <c r="BX3051">
        <v>35.28</v>
      </c>
      <c r="BY3051">
        <v>24.12</v>
      </c>
      <c r="BZ3051">
        <v>36.5</v>
      </c>
      <c r="CA3051" t="s">
        <v>120</v>
      </c>
      <c r="CB3051">
        <v>1.26</v>
      </c>
      <c r="CC3051">
        <v>51.53</v>
      </c>
      <c r="CD3051">
        <v>46.09</v>
      </c>
      <c r="CE3051">
        <v>0.74</v>
      </c>
      <c r="CF3051">
        <v>-0.02</v>
      </c>
      <c r="CG3051">
        <v>0.74</v>
      </c>
      <c r="CH3051">
        <v>0.46</v>
      </c>
      <c r="CI3051">
        <v>0.36</v>
      </c>
      <c r="CJ3051">
        <v>-0.03</v>
      </c>
      <c r="CK3051">
        <v>0.28999999999999998</v>
      </c>
      <c r="CL3051">
        <v>7.51</v>
      </c>
      <c r="CM3051">
        <v>-25.1</v>
      </c>
      <c r="CN3051">
        <v>-11.89</v>
      </c>
      <c r="CO3051">
        <v>50361</v>
      </c>
      <c r="CP3051">
        <v>11084</v>
      </c>
      <c r="CQ3051" t="s">
        <v>3702</v>
      </c>
      <c r="CR3051">
        <v>23.54</v>
      </c>
      <c r="CS3051">
        <v>63.68</v>
      </c>
      <c r="CT3051">
        <v>1.36</v>
      </c>
      <c r="CU3051">
        <v>-1.05</v>
      </c>
      <c r="CV3051">
        <v>0.51</v>
      </c>
      <c r="CW3051">
        <v>0</v>
      </c>
      <c r="CX3051" t="s">
        <v>926</v>
      </c>
      <c r="CY3051">
        <v>1.93</v>
      </c>
      <c r="CZ3051">
        <v>1.93</v>
      </c>
      <c r="DA3051">
        <v>0.13</v>
      </c>
      <c r="DB3051">
        <v>0.75</v>
      </c>
      <c r="DC3051">
        <v>-2.5</v>
      </c>
      <c r="DD3051">
        <v>10.24</v>
      </c>
      <c r="DE3051" t="s">
        <v>536</v>
      </c>
      <c r="DF3051">
        <v>10.57</v>
      </c>
      <c r="DG3051">
        <v>1.43</v>
      </c>
      <c r="DH3051">
        <v>0.7</v>
      </c>
      <c r="DI3051">
        <v>0.82</v>
      </c>
      <c r="DJ3051">
        <v>5786</v>
      </c>
      <c r="DK3051">
        <v>600853</v>
      </c>
      <c r="DL3051" t="s">
        <v>120</v>
      </c>
      <c r="DM3051" t="s">
        <v>120</v>
      </c>
      <c r="DN3051" t="s">
        <v>120</v>
      </c>
    </row>
    <row r="3052" spans="1:118">
      <c r="A3052" t="str">
        <f>"600854"</f>
        <v>600854</v>
      </c>
      <c r="B3052" t="s">
        <v>13315</v>
      </c>
      <c r="C3052">
        <v>-1.08</v>
      </c>
      <c r="D3052">
        <v>0</v>
      </c>
      <c r="E3052">
        <v>-0.27</v>
      </c>
      <c r="F3052">
        <v>417</v>
      </c>
      <c r="G3052" t="s">
        <v>13316</v>
      </c>
      <c r="H3052">
        <v>2271.0100000000002</v>
      </c>
      <c r="I3052">
        <v>1.59</v>
      </c>
      <c r="J3052" t="s">
        <v>120</v>
      </c>
      <c r="K3052" t="s">
        <v>13317</v>
      </c>
      <c r="L3052">
        <v>1.18</v>
      </c>
      <c r="M3052">
        <v>3.67</v>
      </c>
      <c r="N3052">
        <v>1.1499999999999999</v>
      </c>
      <c r="O3052">
        <v>1.08</v>
      </c>
      <c r="P3052">
        <v>3.75</v>
      </c>
      <c r="Q3052">
        <v>-1.62</v>
      </c>
      <c r="R3052">
        <v>3.65</v>
      </c>
      <c r="S3052">
        <v>3.7</v>
      </c>
      <c r="T3052">
        <v>61462</v>
      </c>
      <c r="U3052">
        <v>3.68</v>
      </c>
      <c r="V3052">
        <v>3.71</v>
      </c>
      <c r="W3052">
        <v>270.95999999999998</v>
      </c>
      <c r="X3052" t="s">
        <v>205</v>
      </c>
      <c r="Y3052" t="s">
        <v>319</v>
      </c>
      <c r="Z3052">
        <v>2.7</v>
      </c>
      <c r="AA3052">
        <v>3.7</v>
      </c>
      <c r="AB3052">
        <v>32800</v>
      </c>
      <c r="AC3052">
        <v>28662</v>
      </c>
      <c r="AD3052">
        <v>1.1399999999999999</v>
      </c>
      <c r="AE3052">
        <v>627</v>
      </c>
      <c r="AF3052">
        <v>1511</v>
      </c>
      <c r="AG3052" t="s">
        <v>120</v>
      </c>
      <c r="AH3052">
        <v>0</v>
      </c>
      <c r="AI3052" t="s">
        <v>120</v>
      </c>
      <c r="AJ3052">
        <v>5.19</v>
      </c>
      <c r="AK3052" t="s">
        <v>13317</v>
      </c>
      <c r="AL3052">
        <v>0.27</v>
      </c>
      <c r="AM3052">
        <v>854</v>
      </c>
      <c r="AN3052">
        <v>72</v>
      </c>
      <c r="AO3052">
        <v>1.4E-3</v>
      </c>
      <c r="AP3052">
        <v>-1</v>
      </c>
      <c r="AQ3052">
        <v>1.64</v>
      </c>
      <c r="AR3052">
        <v>-1.61</v>
      </c>
      <c r="AS3052">
        <v>3.67</v>
      </c>
      <c r="AT3052">
        <v>3.38</v>
      </c>
      <c r="AU3052">
        <v>-1.93</v>
      </c>
      <c r="AV3052">
        <v>1</v>
      </c>
      <c r="AW3052">
        <v>1.75</v>
      </c>
      <c r="AX3052">
        <v>67.8</v>
      </c>
      <c r="AY3052" t="s">
        <v>120</v>
      </c>
      <c r="AZ3052">
        <v>48.38</v>
      </c>
      <c r="BA3052">
        <v>0.51</v>
      </c>
      <c r="BB3052" t="s">
        <v>184</v>
      </c>
      <c r="BF3052">
        <v>-0.4</v>
      </c>
      <c r="BG3052">
        <v>-0.81</v>
      </c>
      <c r="BH3052">
        <v>-2.13</v>
      </c>
      <c r="BI3052">
        <v>0.55000000000000004</v>
      </c>
      <c r="BJ3052">
        <v>20210913</v>
      </c>
      <c r="BK3052">
        <v>19940425</v>
      </c>
      <c r="BL3052">
        <v>5.19</v>
      </c>
      <c r="BM3052" t="s">
        <v>120</v>
      </c>
      <c r="BN3052" t="s">
        <v>120</v>
      </c>
      <c r="BO3052">
        <v>23.99</v>
      </c>
      <c r="BP3052">
        <v>3.67</v>
      </c>
      <c r="BQ3052">
        <v>20.68</v>
      </c>
      <c r="BR3052">
        <v>-1.49</v>
      </c>
      <c r="BS3052">
        <v>20.010000000000002</v>
      </c>
      <c r="BT3052">
        <v>12.36</v>
      </c>
      <c r="BU3052">
        <v>1.41</v>
      </c>
      <c r="BV3052">
        <v>0.05</v>
      </c>
      <c r="BW3052">
        <v>4.43</v>
      </c>
      <c r="BX3052">
        <v>6.33</v>
      </c>
      <c r="BY3052">
        <v>3.74</v>
      </c>
      <c r="BZ3052">
        <v>7.0000000000000007E-2</v>
      </c>
      <c r="CA3052" t="s">
        <v>120</v>
      </c>
      <c r="CB3052">
        <v>15.35</v>
      </c>
      <c r="CC3052">
        <v>1.92</v>
      </c>
      <c r="CD3052">
        <v>1.22</v>
      </c>
      <c r="CE3052">
        <v>0.25</v>
      </c>
      <c r="CF3052">
        <v>-0.02</v>
      </c>
      <c r="CG3052">
        <v>0.24</v>
      </c>
      <c r="CH3052">
        <v>0.08</v>
      </c>
      <c r="CI3052">
        <v>0.04</v>
      </c>
      <c r="CJ3052">
        <v>-0.04</v>
      </c>
      <c r="CK3052">
        <v>0.02</v>
      </c>
      <c r="CL3052">
        <v>-5.91</v>
      </c>
      <c r="CM3052">
        <v>1.04</v>
      </c>
      <c r="CN3052">
        <v>0.79</v>
      </c>
      <c r="CO3052">
        <v>26470</v>
      </c>
      <c r="CP3052">
        <v>13305</v>
      </c>
      <c r="CQ3052" t="s">
        <v>6111</v>
      </c>
      <c r="CR3052">
        <v>-92.16</v>
      </c>
      <c r="CS3052">
        <v>40.49</v>
      </c>
      <c r="CT3052">
        <v>0.92</v>
      </c>
      <c r="CU3052">
        <v>18.36</v>
      </c>
      <c r="CV3052">
        <v>9.91</v>
      </c>
      <c r="CW3052">
        <v>1.02</v>
      </c>
      <c r="CX3052" t="s">
        <v>2745</v>
      </c>
      <c r="CY3052">
        <v>3.98</v>
      </c>
      <c r="CZ3052">
        <v>0</v>
      </c>
      <c r="DA3052">
        <v>2.96</v>
      </c>
      <c r="DB3052">
        <v>-1.1399999999999999</v>
      </c>
      <c r="DC3052">
        <v>0.2</v>
      </c>
      <c r="DD3052">
        <v>86.19</v>
      </c>
      <c r="DE3052" t="s">
        <v>2192</v>
      </c>
      <c r="DF3052">
        <v>36.82</v>
      </c>
      <c r="DG3052">
        <v>12.97</v>
      </c>
      <c r="DH3052">
        <v>1.83</v>
      </c>
      <c r="DI3052">
        <v>0</v>
      </c>
      <c r="DJ3052">
        <v>192</v>
      </c>
      <c r="DK3052">
        <v>600854</v>
      </c>
      <c r="DL3052" t="s">
        <v>120</v>
      </c>
      <c r="DM3052" t="s">
        <v>120</v>
      </c>
      <c r="DN3052" t="s">
        <v>120</v>
      </c>
    </row>
    <row r="3053" spans="1:118">
      <c r="A3053" t="str">
        <f>"600855"</f>
        <v>600855</v>
      </c>
      <c r="B3053" t="s">
        <v>13318</v>
      </c>
      <c r="C3053">
        <v>-2.67</v>
      </c>
      <c r="D3053">
        <v>0.08</v>
      </c>
      <c r="E3053">
        <v>0</v>
      </c>
      <c r="F3053">
        <v>313</v>
      </c>
      <c r="G3053" t="s">
        <v>8300</v>
      </c>
      <c r="H3053">
        <v>6707.5</v>
      </c>
      <c r="I3053">
        <v>19.77</v>
      </c>
      <c r="J3053" t="s">
        <v>120</v>
      </c>
      <c r="K3053" t="s">
        <v>13319</v>
      </c>
      <c r="L3053">
        <v>1.51</v>
      </c>
      <c r="M3053">
        <v>12.74</v>
      </c>
      <c r="N3053">
        <v>0.88</v>
      </c>
      <c r="O3053">
        <v>0.46</v>
      </c>
      <c r="P3053">
        <v>13.15</v>
      </c>
      <c r="Q3053">
        <v>-2.83</v>
      </c>
      <c r="R3053">
        <v>12.72</v>
      </c>
      <c r="S3053">
        <v>13.09</v>
      </c>
      <c r="T3053">
        <v>51783</v>
      </c>
      <c r="U3053">
        <v>12.74</v>
      </c>
      <c r="V3053">
        <v>13.09</v>
      </c>
      <c r="W3053">
        <v>36.590000000000003</v>
      </c>
      <c r="X3053" t="s">
        <v>675</v>
      </c>
      <c r="Y3053" t="s">
        <v>158</v>
      </c>
      <c r="Z3053">
        <v>3.28</v>
      </c>
      <c r="AA3053">
        <v>12.95</v>
      </c>
      <c r="AB3053">
        <v>31975</v>
      </c>
      <c r="AC3053">
        <v>19808</v>
      </c>
      <c r="AD3053">
        <v>1.61</v>
      </c>
      <c r="AE3053">
        <v>159</v>
      </c>
      <c r="AF3053">
        <v>68</v>
      </c>
      <c r="AG3053" t="s">
        <v>120</v>
      </c>
      <c r="AH3053">
        <v>0</v>
      </c>
      <c r="AI3053" t="s">
        <v>120</v>
      </c>
      <c r="AJ3053">
        <v>3.43</v>
      </c>
      <c r="AK3053" t="s">
        <v>11625</v>
      </c>
      <c r="AL3053">
        <v>-1.33</v>
      </c>
      <c r="AM3053">
        <v>2562</v>
      </c>
      <c r="AN3053">
        <v>20</v>
      </c>
      <c r="AO3053">
        <v>5.9999999999999995E-4</v>
      </c>
      <c r="AP3053">
        <v>-1</v>
      </c>
      <c r="AQ3053">
        <v>0.61</v>
      </c>
      <c r="AR3053">
        <v>-2.82</v>
      </c>
      <c r="AS3053">
        <v>-0.23</v>
      </c>
      <c r="AT3053">
        <v>-5.57</v>
      </c>
      <c r="AU3053">
        <v>-16.03</v>
      </c>
      <c r="AV3053">
        <v>2</v>
      </c>
      <c r="AW3053">
        <v>1.64</v>
      </c>
      <c r="AX3053">
        <v>70.48</v>
      </c>
      <c r="AY3053">
        <v>49.98</v>
      </c>
      <c r="AZ3053">
        <v>40.08</v>
      </c>
      <c r="BA3053">
        <v>0.99</v>
      </c>
      <c r="BB3053" t="s">
        <v>143</v>
      </c>
      <c r="BF3053">
        <v>-1.05</v>
      </c>
      <c r="BG3053">
        <v>-2.67</v>
      </c>
      <c r="BH3053">
        <v>-3.12</v>
      </c>
      <c r="BI3053">
        <v>0.16</v>
      </c>
      <c r="BJ3053">
        <v>20210817</v>
      </c>
      <c r="BK3053">
        <v>19940425</v>
      </c>
      <c r="BL3053">
        <v>4.49</v>
      </c>
      <c r="BM3053" t="s">
        <v>120</v>
      </c>
      <c r="BN3053" t="s">
        <v>120</v>
      </c>
      <c r="BO3053">
        <v>43.72</v>
      </c>
      <c r="BP3053">
        <v>12.73</v>
      </c>
      <c r="BQ3053">
        <v>17.22</v>
      </c>
      <c r="BR3053">
        <v>1.04</v>
      </c>
      <c r="BS3053">
        <v>58.23</v>
      </c>
      <c r="BT3053">
        <v>36.64</v>
      </c>
      <c r="BU3053">
        <v>2.76</v>
      </c>
      <c r="BV3053">
        <v>1</v>
      </c>
      <c r="BW3053">
        <v>24.09</v>
      </c>
      <c r="BX3053">
        <v>7.62</v>
      </c>
      <c r="BY3053">
        <v>13.29</v>
      </c>
      <c r="BZ3053">
        <v>8.58</v>
      </c>
      <c r="CA3053">
        <v>0.06</v>
      </c>
      <c r="CB3053">
        <v>7.52</v>
      </c>
      <c r="CC3053">
        <v>9.77</v>
      </c>
      <c r="CD3053">
        <v>6.54</v>
      </c>
      <c r="CE3053">
        <v>0.88</v>
      </c>
      <c r="CF3053">
        <v>-0.05</v>
      </c>
      <c r="CG3053">
        <v>0.9</v>
      </c>
      <c r="CH3053">
        <v>0.73</v>
      </c>
      <c r="CI3053">
        <v>0.78</v>
      </c>
      <c r="CJ3053">
        <v>-0.35</v>
      </c>
      <c r="CK3053">
        <v>0.76</v>
      </c>
      <c r="CL3053">
        <v>5.42</v>
      </c>
      <c r="CM3053">
        <v>-4.5599999999999996</v>
      </c>
      <c r="CN3053">
        <v>-3.88</v>
      </c>
      <c r="CO3053">
        <v>61017</v>
      </c>
      <c r="CP3053">
        <v>5188</v>
      </c>
      <c r="CQ3053" t="s">
        <v>13320</v>
      </c>
      <c r="CR3053">
        <v>-27.08</v>
      </c>
      <c r="CS3053">
        <v>17.649999999999999</v>
      </c>
      <c r="CT3053">
        <v>3.32</v>
      </c>
      <c r="CU3053">
        <v>-12.55</v>
      </c>
      <c r="CV3053">
        <v>5.86</v>
      </c>
      <c r="CW3053">
        <v>0.75</v>
      </c>
      <c r="CX3053" t="s">
        <v>242</v>
      </c>
      <c r="CY3053">
        <v>3.83</v>
      </c>
      <c r="CZ3053">
        <v>0</v>
      </c>
      <c r="DA3053">
        <v>1.68</v>
      </c>
      <c r="DB3053">
        <v>1.21</v>
      </c>
      <c r="DC3053">
        <v>-1.02</v>
      </c>
      <c r="DD3053">
        <v>39.380000000000003</v>
      </c>
      <c r="DE3053" t="s">
        <v>10084</v>
      </c>
      <c r="DF3053">
        <v>33.03</v>
      </c>
      <c r="DG3053">
        <v>9.01</v>
      </c>
      <c r="DH3053">
        <v>8.01</v>
      </c>
      <c r="DI3053">
        <v>0.46</v>
      </c>
      <c r="DJ3053">
        <v>2000</v>
      </c>
      <c r="DK3053">
        <v>600855</v>
      </c>
      <c r="DL3053" t="s">
        <v>120</v>
      </c>
      <c r="DM3053" t="s">
        <v>120</v>
      </c>
      <c r="DN3053" t="s">
        <v>120</v>
      </c>
    </row>
    <row r="3054" spans="1:118">
      <c r="A3054" t="str">
        <f>"600857"</f>
        <v>600857</v>
      </c>
      <c r="B3054" t="s">
        <v>13321</v>
      </c>
      <c r="C3054">
        <v>-1.25</v>
      </c>
      <c r="D3054">
        <v>0</v>
      </c>
      <c r="E3054">
        <v>0.94</v>
      </c>
      <c r="F3054">
        <v>88</v>
      </c>
      <c r="G3054" t="s">
        <v>13322</v>
      </c>
      <c r="H3054">
        <v>831.89</v>
      </c>
      <c r="I3054">
        <v>0</v>
      </c>
      <c r="J3054" t="s">
        <v>120</v>
      </c>
      <c r="K3054" t="s">
        <v>6060</v>
      </c>
      <c r="L3054">
        <v>0.39</v>
      </c>
      <c r="M3054">
        <v>9.4499999999999993</v>
      </c>
      <c r="N3054">
        <v>0.63</v>
      </c>
      <c r="O3054">
        <v>1.78</v>
      </c>
      <c r="P3054">
        <v>9.74</v>
      </c>
      <c r="Q3054">
        <v>-1.25</v>
      </c>
      <c r="R3054">
        <v>9.4499999999999993</v>
      </c>
      <c r="S3054">
        <v>9.66</v>
      </c>
      <c r="T3054">
        <v>8667</v>
      </c>
      <c r="U3054">
        <v>9.4600000000000009</v>
      </c>
      <c r="V3054">
        <v>9.57</v>
      </c>
      <c r="W3054">
        <v>38.15</v>
      </c>
      <c r="X3054" t="s">
        <v>735</v>
      </c>
      <c r="Y3054" t="s">
        <v>585</v>
      </c>
      <c r="Z3054">
        <v>3.03</v>
      </c>
      <c r="AA3054">
        <v>9.6</v>
      </c>
      <c r="AB3054">
        <v>4807</v>
      </c>
      <c r="AC3054">
        <v>3860</v>
      </c>
      <c r="AD3054">
        <v>1.25</v>
      </c>
      <c r="AE3054">
        <v>123</v>
      </c>
      <c r="AF3054">
        <v>29</v>
      </c>
      <c r="AG3054" t="s">
        <v>120</v>
      </c>
      <c r="AH3054">
        <v>0</v>
      </c>
      <c r="AI3054" t="s">
        <v>120</v>
      </c>
      <c r="AJ3054">
        <v>2.2400000000000002</v>
      </c>
      <c r="AK3054" t="s">
        <v>6060</v>
      </c>
      <c r="AL3054">
        <v>0.09</v>
      </c>
      <c r="AM3054">
        <v>605</v>
      </c>
      <c r="AN3054">
        <v>14</v>
      </c>
      <c r="AO3054">
        <v>5.9999999999999995E-4</v>
      </c>
      <c r="AP3054">
        <v>-1</v>
      </c>
      <c r="AQ3054">
        <v>0.53</v>
      </c>
      <c r="AR3054">
        <v>-1.86</v>
      </c>
      <c r="AS3054">
        <v>-3.86</v>
      </c>
      <c r="AT3054">
        <v>-26.29</v>
      </c>
      <c r="AU3054">
        <v>6.42</v>
      </c>
      <c r="AV3054">
        <v>1</v>
      </c>
      <c r="AW3054">
        <v>0.57999999999999996</v>
      </c>
      <c r="AX3054">
        <v>66.260000000000005</v>
      </c>
      <c r="AY3054">
        <v>61.65</v>
      </c>
      <c r="AZ3054">
        <v>95.4</v>
      </c>
      <c r="BA3054">
        <v>0.66</v>
      </c>
      <c r="BB3054" t="s">
        <v>143</v>
      </c>
      <c r="BF3054">
        <v>0.3</v>
      </c>
      <c r="BG3054">
        <v>-2.17</v>
      </c>
      <c r="BH3054">
        <v>-2.98</v>
      </c>
      <c r="BI3054">
        <v>0</v>
      </c>
      <c r="BJ3054">
        <v>20210824</v>
      </c>
      <c r="BK3054">
        <v>19940425</v>
      </c>
      <c r="BL3054">
        <v>2.2400000000000002</v>
      </c>
      <c r="BM3054" t="s">
        <v>120</v>
      </c>
      <c r="BN3054" t="s">
        <v>120</v>
      </c>
      <c r="BO3054">
        <v>9.49</v>
      </c>
      <c r="BP3054">
        <v>9.4499999999999993</v>
      </c>
      <c r="BQ3054">
        <v>4.9400000000000004</v>
      </c>
      <c r="BR3054" t="s">
        <v>120</v>
      </c>
      <c r="BS3054">
        <v>47.96</v>
      </c>
      <c r="BT3054">
        <v>2.66</v>
      </c>
      <c r="BU3054">
        <v>1.84</v>
      </c>
      <c r="BV3054">
        <v>0.02</v>
      </c>
      <c r="BW3054">
        <v>0.67</v>
      </c>
      <c r="BX3054">
        <v>1.23</v>
      </c>
      <c r="BY3054">
        <v>0.49</v>
      </c>
      <c r="BZ3054">
        <v>0.02</v>
      </c>
      <c r="CA3054">
        <v>0.03</v>
      </c>
      <c r="CB3054">
        <v>0.65</v>
      </c>
      <c r="CC3054">
        <v>4.51</v>
      </c>
      <c r="CD3054">
        <v>4.09</v>
      </c>
      <c r="CE3054">
        <v>0.32</v>
      </c>
      <c r="CF3054">
        <v>0.18</v>
      </c>
      <c r="CG3054">
        <v>0.32</v>
      </c>
      <c r="CH3054">
        <v>0.28000000000000003</v>
      </c>
      <c r="CI3054">
        <v>0.28000000000000003</v>
      </c>
      <c r="CJ3054">
        <v>-0.12</v>
      </c>
      <c r="CK3054">
        <v>0.27</v>
      </c>
      <c r="CL3054">
        <v>-0.6</v>
      </c>
      <c r="CM3054">
        <v>-0.27</v>
      </c>
      <c r="CN3054">
        <v>-0.9</v>
      </c>
      <c r="CO3054">
        <v>10689</v>
      </c>
      <c r="CP3054">
        <v>13906</v>
      </c>
      <c r="CQ3054" t="s">
        <v>9446</v>
      </c>
      <c r="CR3054">
        <v>79.62</v>
      </c>
      <c r="CS3054">
        <v>28.41</v>
      </c>
      <c r="CT3054">
        <v>4.29</v>
      </c>
      <c r="CU3054">
        <v>-79.56</v>
      </c>
      <c r="CV3054">
        <v>4.7</v>
      </c>
      <c r="CW3054">
        <v>0</v>
      </c>
      <c r="CX3054" t="s">
        <v>850</v>
      </c>
      <c r="CY3054">
        <v>2.2000000000000002</v>
      </c>
      <c r="CZ3054">
        <v>0</v>
      </c>
      <c r="DA3054">
        <v>0.28999999999999998</v>
      </c>
      <c r="DB3054">
        <v>-0.27</v>
      </c>
      <c r="DC3054">
        <v>-0.12</v>
      </c>
      <c r="DD3054">
        <v>52.04</v>
      </c>
      <c r="DE3054" t="s">
        <v>11701</v>
      </c>
      <c r="DF3054">
        <v>9.2100000000000009</v>
      </c>
      <c r="DG3054">
        <v>7.19</v>
      </c>
      <c r="DH3054">
        <v>6.16</v>
      </c>
      <c r="DI3054" t="s">
        <v>120</v>
      </c>
      <c r="DJ3054">
        <v>190</v>
      </c>
      <c r="DK3054">
        <v>600857</v>
      </c>
      <c r="DL3054" t="s">
        <v>120</v>
      </c>
      <c r="DM3054" t="s">
        <v>120</v>
      </c>
      <c r="DN3054" t="s">
        <v>120</v>
      </c>
    </row>
    <row r="3055" spans="1:118">
      <c r="A3055" t="str">
        <f>"600858"</f>
        <v>600858</v>
      </c>
      <c r="B3055" t="s">
        <v>13323</v>
      </c>
      <c r="C3055">
        <v>-3.58</v>
      </c>
      <c r="D3055">
        <v>0</v>
      </c>
      <c r="E3055">
        <v>-0.36</v>
      </c>
      <c r="F3055">
        <v>68</v>
      </c>
      <c r="G3055" t="s">
        <v>10531</v>
      </c>
      <c r="H3055">
        <v>2023.7</v>
      </c>
      <c r="I3055">
        <v>0</v>
      </c>
      <c r="J3055" t="s">
        <v>120</v>
      </c>
      <c r="K3055" t="s">
        <v>13324</v>
      </c>
      <c r="L3055">
        <v>0.71</v>
      </c>
      <c r="M3055">
        <v>5.39</v>
      </c>
      <c r="N3055">
        <v>2.19</v>
      </c>
      <c r="O3055">
        <v>0.54</v>
      </c>
      <c r="P3055">
        <v>5.62</v>
      </c>
      <c r="Q3055">
        <v>-4.29</v>
      </c>
      <c r="R3055">
        <v>5.35</v>
      </c>
      <c r="S3055">
        <v>5.57</v>
      </c>
      <c r="T3055">
        <v>36821</v>
      </c>
      <c r="U3055">
        <v>5.39</v>
      </c>
      <c r="V3055">
        <v>5.59</v>
      </c>
      <c r="W3055">
        <v>22.31</v>
      </c>
      <c r="X3055" t="s">
        <v>735</v>
      </c>
      <c r="Y3055" t="s">
        <v>638</v>
      </c>
      <c r="Z3055">
        <v>4.83</v>
      </c>
      <c r="AA3055">
        <v>5.5</v>
      </c>
      <c r="AB3055">
        <v>22357</v>
      </c>
      <c r="AC3055">
        <v>14464</v>
      </c>
      <c r="AD3055">
        <v>1.55</v>
      </c>
      <c r="AE3055">
        <v>107</v>
      </c>
      <c r="AF3055">
        <v>43</v>
      </c>
      <c r="AG3055" t="s">
        <v>120</v>
      </c>
      <c r="AH3055">
        <v>0</v>
      </c>
      <c r="AI3055" t="s">
        <v>120</v>
      </c>
      <c r="AJ3055">
        <v>5.18</v>
      </c>
      <c r="AK3055" t="s">
        <v>13325</v>
      </c>
      <c r="AL3055">
        <v>-2.23</v>
      </c>
      <c r="AM3055">
        <v>1213</v>
      </c>
      <c r="AN3055">
        <v>30</v>
      </c>
      <c r="AO3055">
        <v>5.9999999999999995E-4</v>
      </c>
      <c r="AP3055">
        <v>-3</v>
      </c>
      <c r="AQ3055">
        <v>-0.71</v>
      </c>
      <c r="AR3055">
        <v>-7.23</v>
      </c>
      <c r="AS3055">
        <v>0.75</v>
      </c>
      <c r="AT3055">
        <v>-10.02</v>
      </c>
      <c r="AU3055">
        <v>-17.71</v>
      </c>
      <c r="AV3055">
        <v>0</v>
      </c>
      <c r="AW3055">
        <v>1.52</v>
      </c>
      <c r="AX3055">
        <v>46.57</v>
      </c>
      <c r="AY3055" t="s">
        <v>120</v>
      </c>
      <c r="AZ3055" t="s">
        <v>120</v>
      </c>
      <c r="BA3055">
        <v>0.53</v>
      </c>
      <c r="BB3055" t="s">
        <v>125</v>
      </c>
      <c r="BF3055">
        <v>-1.68</v>
      </c>
      <c r="BG3055">
        <v>-3.23</v>
      </c>
      <c r="BH3055">
        <v>-4.09</v>
      </c>
      <c r="BI3055">
        <v>0.75</v>
      </c>
      <c r="BJ3055">
        <v>20210825</v>
      </c>
      <c r="BK3055">
        <v>19940506</v>
      </c>
      <c r="BL3055">
        <v>5.2</v>
      </c>
      <c r="BM3055" t="s">
        <v>120</v>
      </c>
      <c r="BN3055" t="s">
        <v>120</v>
      </c>
      <c r="BO3055">
        <v>131.22</v>
      </c>
      <c r="BP3055">
        <v>5.38</v>
      </c>
      <c r="BQ3055">
        <v>24.24</v>
      </c>
      <c r="BR3055">
        <v>0.89</v>
      </c>
      <c r="BS3055">
        <v>80.849999999999994</v>
      </c>
      <c r="BT3055">
        <v>31.65</v>
      </c>
      <c r="BU3055">
        <v>33.82</v>
      </c>
      <c r="BV3055">
        <v>11.07</v>
      </c>
      <c r="BW3055">
        <v>69.569999999999993</v>
      </c>
      <c r="BX3055">
        <v>20.85</v>
      </c>
      <c r="BY3055">
        <v>7.3</v>
      </c>
      <c r="BZ3055">
        <v>0.19</v>
      </c>
      <c r="CA3055">
        <v>0.15</v>
      </c>
      <c r="CB3055">
        <v>9.67</v>
      </c>
      <c r="CC3055">
        <v>30.03</v>
      </c>
      <c r="CD3055">
        <v>17.88</v>
      </c>
      <c r="CE3055">
        <v>1.1299999999999999</v>
      </c>
      <c r="CF3055">
        <v>-0.02</v>
      </c>
      <c r="CG3055">
        <v>1.1200000000000001</v>
      </c>
      <c r="CH3055">
        <v>0.51</v>
      </c>
      <c r="CI3055">
        <v>0.63</v>
      </c>
      <c r="CJ3055">
        <v>-0.2</v>
      </c>
      <c r="CK3055">
        <v>0.38</v>
      </c>
      <c r="CL3055">
        <v>8.36</v>
      </c>
      <c r="CM3055">
        <v>9.4</v>
      </c>
      <c r="CN3055">
        <v>4.03</v>
      </c>
      <c r="CO3055">
        <v>14964</v>
      </c>
      <c r="CP3055">
        <v>16186</v>
      </c>
      <c r="CQ3055" t="s">
        <v>3150</v>
      </c>
      <c r="CR3055">
        <v>132.41</v>
      </c>
      <c r="CS3055">
        <v>19.04</v>
      </c>
      <c r="CT3055">
        <v>1.1599999999999999</v>
      </c>
      <c r="CU3055">
        <v>2.98</v>
      </c>
      <c r="CV3055">
        <v>0.93</v>
      </c>
      <c r="CW3055">
        <v>0</v>
      </c>
      <c r="CX3055" t="s">
        <v>1908</v>
      </c>
      <c r="CY3055">
        <v>4.66</v>
      </c>
      <c r="CZ3055">
        <v>0</v>
      </c>
      <c r="DA3055">
        <v>1.86</v>
      </c>
      <c r="DB3055">
        <v>1.61</v>
      </c>
      <c r="DC3055">
        <v>1.81</v>
      </c>
      <c r="DD3055">
        <v>18.47</v>
      </c>
      <c r="DE3055" t="s">
        <v>3839</v>
      </c>
      <c r="DF3055">
        <v>40.450000000000003</v>
      </c>
      <c r="DG3055">
        <v>3.75</v>
      </c>
      <c r="DH3055">
        <v>2.09</v>
      </c>
      <c r="DI3055" t="s">
        <v>120</v>
      </c>
      <c r="DJ3055">
        <v>10275</v>
      </c>
      <c r="DK3055">
        <v>600858</v>
      </c>
      <c r="DL3055" t="s">
        <v>120</v>
      </c>
      <c r="DM3055" t="s">
        <v>120</v>
      </c>
      <c r="DN3055" t="s">
        <v>120</v>
      </c>
    </row>
    <row r="3056" spans="1:118">
      <c r="A3056" t="str">
        <f>"600859"</f>
        <v>600859</v>
      </c>
      <c r="B3056" t="s">
        <v>13326</v>
      </c>
      <c r="C3056">
        <v>0</v>
      </c>
      <c r="D3056">
        <v>0</v>
      </c>
      <c r="E3056" t="s">
        <v>120</v>
      </c>
      <c r="F3056">
        <v>0</v>
      </c>
      <c r="G3056" t="s">
        <v>13327</v>
      </c>
      <c r="H3056">
        <v>0</v>
      </c>
      <c r="I3056">
        <v>0</v>
      </c>
      <c r="J3056" t="s">
        <v>120</v>
      </c>
      <c r="K3056" t="s">
        <v>13328</v>
      </c>
      <c r="L3056" t="s">
        <v>120</v>
      </c>
      <c r="M3056">
        <v>30.7</v>
      </c>
      <c r="N3056">
        <v>0</v>
      </c>
      <c r="O3056" t="s">
        <v>120</v>
      </c>
      <c r="P3056" t="s">
        <v>120</v>
      </c>
      <c r="Q3056" t="s">
        <v>120</v>
      </c>
      <c r="R3056" t="s">
        <v>120</v>
      </c>
      <c r="S3056" t="s">
        <v>120</v>
      </c>
      <c r="T3056">
        <v>0</v>
      </c>
      <c r="U3056" t="s">
        <v>120</v>
      </c>
      <c r="V3056">
        <v>30.7</v>
      </c>
      <c r="W3056">
        <v>24.8</v>
      </c>
      <c r="X3056" t="s">
        <v>735</v>
      </c>
      <c r="Y3056" t="s">
        <v>158</v>
      </c>
      <c r="Z3056">
        <v>0</v>
      </c>
      <c r="AA3056">
        <v>30.7</v>
      </c>
      <c r="AB3056">
        <v>0</v>
      </c>
      <c r="AC3056">
        <v>0</v>
      </c>
      <c r="AD3056" t="s">
        <v>120</v>
      </c>
      <c r="AE3056">
        <v>0</v>
      </c>
      <c r="AF3056">
        <v>0</v>
      </c>
      <c r="AG3056" t="s">
        <v>120</v>
      </c>
      <c r="AH3056">
        <v>0</v>
      </c>
      <c r="AI3056" t="s">
        <v>120</v>
      </c>
      <c r="AJ3056">
        <v>7.76</v>
      </c>
      <c r="AK3056" t="s">
        <v>13328</v>
      </c>
      <c r="AL3056">
        <v>1.34</v>
      </c>
      <c r="AM3056">
        <v>1</v>
      </c>
      <c r="AN3056">
        <v>0</v>
      </c>
      <c r="AO3056">
        <v>0</v>
      </c>
      <c r="AP3056">
        <v>0</v>
      </c>
      <c r="AQ3056">
        <v>-0.16</v>
      </c>
      <c r="AR3056">
        <v>-1.85</v>
      </c>
      <c r="AS3056">
        <v>15.24</v>
      </c>
      <c r="AT3056">
        <v>9.06</v>
      </c>
      <c r="AU3056">
        <v>-5.33</v>
      </c>
      <c r="AV3056">
        <v>4</v>
      </c>
      <c r="AW3056" t="s">
        <v>120</v>
      </c>
      <c r="AX3056">
        <v>50</v>
      </c>
      <c r="AY3056">
        <v>27.63</v>
      </c>
      <c r="AZ3056">
        <v>61.62</v>
      </c>
      <c r="BA3056">
        <v>0.51</v>
      </c>
      <c r="BB3056" t="s">
        <v>240</v>
      </c>
      <c r="BF3056">
        <v>0</v>
      </c>
      <c r="BG3056" t="s">
        <v>120</v>
      </c>
      <c r="BH3056" t="s">
        <v>120</v>
      </c>
      <c r="BI3056" t="s">
        <v>120</v>
      </c>
      <c r="BJ3056">
        <v>20210830</v>
      </c>
      <c r="BK3056">
        <v>19940506</v>
      </c>
      <c r="BL3056">
        <v>7.76</v>
      </c>
      <c r="BM3056" t="s">
        <v>120</v>
      </c>
      <c r="BN3056" t="s">
        <v>120</v>
      </c>
      <c r="BO3056">
        <v>272.94</v>
      </c>
      <c r="BQ3056">
        <v>108.01</v>
      </c>
      <c r="BR3056">
        <v>5.76</v>
      </c>
      <c r="BS3056">
        <v>58.32</v>
      </c>
      <c r="BT3056">
        <v>83.58</v>
      </c>
      <c r="BU3056">
        <v>60.86</v>
      </c>
      <c r="BV3056">
        <v>8.1999999999999993</v>
      </c>
      <c r="BW3056">
        <v>66.41</v>
      </c>
      <c r="BX3056">
        <v>65.8</v>
      </c>
      <c r="BY3056">
        <v>10.44</v>
      </c>
      <c r="BZ3056">
        <v>1.68</v>
      </c>
      <c r="CA3056">
        <v>0.34</v>
      </c>
      <c r="CB3056">
        <v>49.76</v>
      </c>
      <c r="CC3056">
        <v>46.88</v>
      </c>
      <c r="CD3056">
        <v>27.59</v>
      </c>
      <c r="CE3056">
        <v>6.42</v>
      </c>
      <c r="CF3056">
        <v>-0.09</v>
      </c>
      <c r="CG3056">
        <v>6.46</v>
      </c>
      <c r="CH3056">
        <v>4.78</v>
      </c>
      <c r="CI3056">
        <v>4.8099999999999996</v>
      </c>
      <c r="CJ3056">
        <v>0</v>
      </c>
      <c r="CK3056">
        <v>4.59</v>
      </c>
      <c r="CL3056">
        <v>34.04</v>
      </c>
      <c r="CM3056">
        <v>7.99</v>
      </c>
      <c r="CN3056">
        <v>-6.65</v>
      </c>
      <c r="CO3056">
        <v>74653</v>
      </c>
      <c r="CP3056">
        <v>5199</v>
      </c>
      <c r="CQ3056" t="s">
        <v>13329</v>
      </c>
      <c r="CR3056">
        <v>10121.879999999999</v>
      </c>
      <c r="CS3056">
        <v>36.880000000000003</v>
      </c>
      <c r="CT3056">
        <v>2.21</v>
      </c>
      <c r="CU3056">
        <v>29.81</v>
      </c>
      <c r="CV3056">
        <v>5.08</v>
      </c>
      <c r="CW3056">
        <v>0.49</v>
      </c>
      <c r="CX3056" t="s">
        <v>11335</v>
      </c>
      <c r="CY3056">
        <v>13.91</v>
      </c>
      <c r="CZ3056">
        <v>0</v>
      </c>
      <c r="DA3056">
        <v>6.41</v>
      </c>
      <c r="DB3056">
        <v>4.3899999999999997</v>
      </c>
      <c r="DC3056">
        <v>1.03</v>
      </c>
      <c r="DD3056">
        <v>39.57</v>
      </c>
      <c r="DE3056" t="s">
        <v>13330</v>
      </c>
      <c r="DF3056">
        <v>41.15</v>
      </c>
      <c r="DG3056">
        <v>13.7</v>
      </c>
      <c r="DH3056">
        <v>10.25</v>
      </c>
      <c r="DI3056" t="s">
        <v>120</v>
      </c>
      <c r="DJ3056">
        <v>11634</v>
      </c>
      <c r="DK3056">
        <v>600859</v>
      </c>
      <c r="DL3056" t="s">
        <v>120</v>
      </c>
      <c r="DM3056" t="s">
        <v>120</v>
      </c>
      <c r="DN3056" t="s">
        <v>120</v>
      </c>
    </row>
    <row r="3057" spans="1:118">
      <c r="A3057" t="str">
        <f>"600860"</f>
        <v>600860</v>
      </c>
      <c r="B3057" t="s">
        <v>13331</v>
      </c>
      <c r="C3057">
        <v>-0.43</v>
      </c>
      <c r="D3057">
        <v>-0.13</v>
      </c>
      <c r="E3057">
        <v>-0.71</v>
      </c>
      <c r="F3057">
        <v>817</v>
      </c>
      <c r="G3057" t="s">
        <v>10500</v>
      </c>
      <c r="H3057">
        <v>4266.3599999999997</v>
      </c>
      <c r="I3057">
        <v>1.6</v>
      </c>
      <c r="J3057" t="s">
        <v>120</v>
      </c>
      <c r="K3057" t="s">
        <v>3304</v>
      </c>
      <c r="L3057">
        <v>1.86</v>
      </c>
      <c r="M3057">
        <v>6.99</v>
      </c>
      <c r="N3057">
        <v>1.05</v>
      </c>
      <c r="O3057">
        <v>4.2699999999999996</v>
      </c>
      <c r="P3057">
        <v>7.32</v>
      </c>
      <c r="Q3057">
        <v>-1.28</v>
      </c>
      <c r="R3057">
        <v>6.93</v>
      </c>
      <c r="S3057">
        <v>6.97</v>
      </c>
      <c r="T3057">
        <v>59871</v>
      </c>
      <c r="U3057">
        <v>7.01</v>
      </c>
      <c r="V3057">
        <v>7.02</v>
      </c>
      <c r="W3057" t="s">
        <v>120</v>
      </c>
      <c r="X3057" t="s">
        <v>675</v>
      </c>
      <c r="Y3057" t="s">
        <v>158</v>
      </c>
      <c r="Z3057">
        <v>5.56</v>
      </c>
      <c r="AA3057">
        <v>7.13</v>
      </c>
      <c r="AB3057">
        <v>32451</v>
      </c>
      <c r="AC3057">
        <v>27420</v>
      </c>
      <c r="AD3057">
        <v>1.18</v>
      </c>
      <c r="AE3057">
        <v>223</v>
      </c>
      <c r="AF3057">
        <v>136</v>
      </c>
      <c r="AG3057" t="s">
        <v>120</v>
      </c>
      <c r="AH3057">
        <v>0</v>
      </c>
      <c r="AI3057" t="s">
        <v>120</v>
      </c>
      <c r="AJ3057">
        <v>3.22</v>
      </c>
      <c r="AK3057" t="s">
        <v>13332</v>
      </c>
      <c r="AL3057">
        <v>0.92</v>
      </c>
      <c r="AM3057">
        <v>2274</v>
      </c>
      <c r="AN3057">
        <v>26</v>
      </c>
      <c r="AO3057">
        <v>8.0000000000000004E-4</v>
      </c>
      <c r="AP3057">
        <v>-1</v>
      </c>
      <c r="AQ3057">
        <v>1.45</v>
      </c>
      <c r="AR3057">
        <v>-0.14000000000000001</v>
      </c>
      <c r="AS3057">
        <v>-2.5099999999999998</v>
      </c>
      <c r="AT3057">
        <v>26.86</v>
      </c>
      <c r="AU3057">
        <v>59.59</v>
      </c>
      <c r="AV3057">
        <v>10</v>
      </c>
      <c r="AW3057">
        <v>4.3</v>
      </c>
      <c r="AX3057">
        <v>36.17</v>
      </c>
      <c r="AY3057">
        <v>19</v>
      </c>
      <c r="AZ3057">
        <v>21.76</v>
      </c>
      <c r="BA3057">
        <v>1.19</v>
      </c>
      <c r="BB3057" t="s">
        <v>143</v>
      </c>
      <c r="BF3057">
        <v>1.51</v>
      </c>
      <c r="BG3057">
        <v>0.28999999999999998</v>
      </c>
      <c r="BH3057">
        <v>-4.51</v>
      </c>
      <c r="BI3057">
        <v>0.87</v>
      </c>
      <c r="BJ3057">
        <v>20210914</v>
      </c>
      <c r="BK3057">
        <v>19940506</v>
      </c>
      <c r="BL3057">
        <v>4.8499999999999996</v>
      </c>
      <c r="BM3057" t="s">
        <v>120</v>
      </c>
      <c r="BN3057">
        <v>1</v>
      </c>
      <c r="BO3057">
        <v>15.85</v>
      </c>
      <c r="BP3057">
        <v>6.99</v>
      </c>
      <c r="BQ3057">
        <v>6.98</v>
      </c>
      <c r="BR3057">
        <v>3.03</v>
      </c>
      <c r="BS3057">
        <v>36.86</v>
      </c>
      <c r="BT3057">
        <v>7.49</v>
      </c>
      <c r="BU3057">
        <v>5.86</v>
      </c>
      <c r="BV3057">
        <v>1.2</v>
      </c>
      <c r="BW3057">
        <v>5.32</v>
      </c>
      <c r="BX3057">
        <v>1.1000000000000001</v>
      </c>
      <c r="BY3057">
        <v>3.65</v>
      </c>
      <c r="BZ3057">
        <v>1.75</v>
      </c>
      <c r="CA3057" t="s">
        <v>120</v>
      </c>
      <c r="CB3057">
        <v>8.33</v>
      </c>
      <c r="CC3057">
        <v>5.27</v>
      </c>
      <c r="CD3057">
        <v>4.53</v>
      </c>
      <c r="CE3057">
        <v>0.01</v>
      </c>
      <c r="CF3057">
        <v>0.04</v>
      </c>
      <c r="CG3057">
        <v>0.01</v>
      </c>
      <c r="CH3057">
        <v>-0.01</v>
      </c>
      <c r="CI3057">
        <v>-0.01</v>
      </c>
      <c r="CJ3057">
        <v>-0.03</v>
      </c>
      <c r="CK3057">
        <v>-0.09</v>
      </c>
      <c r="CL3057">
        <v>-6.65</v>
      </c>
      <c r="CM3057">
        <v>-0.42</v>
      </c>
      <c r="CN3057">
        <v>-1.5</v>
      </c>
      <c r="CO3057">
        <v>19109</v>
      </c>
      <c r="CP3057">
        <v>7288</v>
      </c>
      <c r="CQ3057" t="s">
        <v>5131</v>
      </c>
      <c r="CR3057">
        <v>94.55</v>
      </c>
      <c r="CS3057">
        <v>0.52</v>
      </c>
      <c r="CT3057">
        <v>4.8600000000000003</v>
      </c>
      <c r="CU3057">
        <v>-80.63</v>
      </c>
      <c r="CV3057">
        <v>6.44</v>
      </c>
      <c r="CW3057">
        <v>0</v>
      </c>
      <c r="CX3057" t="s">
        <v>1312</v>
      </c>
      <c r="CY3057">
        <v>1.44</v>
      </c>
      <c r="CZ3057">
        <v>0</v>
      </c>
      <c r="DA3057">
        <v>1.72</v>
      </c>
      <c r="DB3057">
        <v>-1.37</v>
      </c>
      <c r="DC3057">
        <v>-0.09</v>
      </c>
      <c r="DD3057">
        <v>44.03</v>
      </c>
      <c r="DE3057" t="s">
        <v>13333</v>
      </c>
      <c r="DF3057">
        <v>13.93</v>
      </c>
      <c r="DG3057">
        <v>0.15</v>
      </c>
      <c r="DH3057">
        <v>-0.25</v>
      </c>
      <c r="DI3057">
        <v>0.1</v>
      </c>
      <c r="DJ3057">
        <v>1385</v>
      </c>
      <c r="DK3057">
        <v>600860</v>
      </c>
      <c r="DL3057" t="s">
        <v>120</v>
      </c>
      <c r="DM3057" t="s">
        <v>120</v>
      </c>
      <c r="DN3057" t="s">
        <v>120</v>
      </c>
    </row>
    <row r="3058" spans="1:118">
      <c r="A3058" t="str">
        <f>"600861"</f>
        <v>600861</v>
      </c>
      <c r="B3058" t="s">
        <v>13334</v>
      </c>
      <c r="C3058">
        <v>0.09</v>
      </c>
      <c r="D3058">
        <v>0</v>
      </c>
      <c r="E3058">
        <v>0.42</v>
      </c>
      <c r="F3058">
        <v>321</v>
      </c>
      <c r="G3058" t="s">
        <v>13335</v>
      </c>
      <c r="H3058">
        <v>10122.94</v>
      </c>
      <c r="I3058">
        <v>14.76</v>
      </c>
      <c r="J3058" t="s">
        <v>120</v>
      </c>
      <c r="K3058" t="s">
        <v>11327</v>
      </c>
      <c r="L3058">
        <v>1.5</v>
      </c>
      <c r="M3058">
        <v>21.32</v>
      </c>
      <c r="N3058">
        <v>0.56000000000000005</v>
      </c>
      <c r="O3058">
        <v>1.5</v>
      </c>
      <c r="P3058">
        <v>21.62</v>
      </c>
      <c r="Q3058">
        <v>-1.41</v>
      </c>
      <c r="R3058">
        <v>21</v>
      </c>
      <c r="S3058">
        <v>21.39</v>
      </c>
      <c r="T3058">
        <v>47402</v>
      </c>
      <c r="U3058">
        <v>21.33</v>
      </c>
      <c r="V3058">
        <v>21.3</v>
      </c>
      <c r="W3058" t="s">
        <v>120</v>
      </c>
      <c r="X3058" t="s">
        <v>735</v>
      </c>
      <c r="Y3058" t="s">
        <v>158</v>
      </c>
      <c r="Z3058">
        <v>2.91</v>
      </c>
      <c r="AA3058">
        <v>21.36</v>
      </c>
      <c r="AB3058">
        <v>25397</v>
      </c>
      <c r="AC3058">
        <v>22005</v>
      </c>
      <c r="AD3058">
        <v>1.1499999999999999</v>
      </c>
      <c r="AE3058">
        <v>111</v>
      </c>
      <c r="AF3058">
        <v>53</v>
      </c>
      <c r="AG3058" t="s">
        <v>120</v>
      </c>
      <c r="AH3058">
        <v>0</v>
      </c>
      <c r="AI3058" t="s">
        <v>120</v>
      </c>
      <c r="AJ3058">
        <v>3.17</v>
      </c>
      <c r="AK3058" t="s">
        <v>11327</v>
      </c>
      <c r="AL3058">
        <v>1.44</v>
      </c>
      <c r="AM3058">
        <v>2272</v>
      </c>
      <c r="AN3058">
        <v>21</v>
      </c>
      <c r="AO3058">
        <v>6.9999999999999999E-4</v>
      </c>
      <c r="AP3058">
        <v>1</v>
      </c>
      <c r="AQ3058">
        <v>-2.2000000000000002</v>
      </c>
      <c r="AR3058">
        <v>-3.87</v>
      </c>
      <c r="AS3058">
        <v>29.52</v>
      </c>
      <c r="AT3058">
        <v>26.3</v>
      </c>
      <c r="AU3058">
        <v>19.37</v>
      </c>
      <c r="AV3058">
        <v>5</v>
      </c>
      <c r="AW3058">
        <v>2.2799999999999998</v>
      </c>
      <c r="AX3058">
        <v>65.77</v>
      </c>
      <c r="AY3058" t="s">
        <v>120</v>
      </c>
      <c r="AZ3058" t="s">
        <v>120</v>
      </c>
      <c r="BA3058">
        <v>0.4</v>
      </c>
      <c r="BB3058" t="s">
        <v>143</v>
      </c>
      <c r="BF3058">
        <v>0.26</v>
      </c>
      <c r="BG3058">
        <v>-0.33</v>
      </c>
      <c r="BH3058">
        <v>-1.39</v>
      </c>
      <c r="BI3058">
        <v>1.52</v>
      </c>
      <c r="BJ3058">
        <v>20210830</v>
      </c>
      <c r="BK3058">
        <v>19940520</v>
      </c>
      <c r="BL3058">
        <v>3.17</v>
      </c>
      <c r="BM3058" t="s">
        <v>120</v>
      </c>
      <c r="BN3058" t="s">
        <v>120</v>
      </c>
      <c r="BO3058">
        <v>31.35</v>
      </c>
      <c r="BP3058">
        <v>21.32</v>
      </c>
      <c r="BQ3058">
        <v>22.42</v>
      </c>
      <c r="BR3058">
        <v>1.1399999999999999</v>
      </c>
      <c r="BS3058">
        <v>24.88</v>
      </c>
      <c r="BT3058">
        <v>8.89</v>
      </c>
      <c r="BU3058">
        <v>13.21</v>
      </c>
      <c r="BV3058">
        <v>0.36</v>
      </c>
      <c r="BW3058">
        <v>7.22</v>
      </c>
      <c r="BX3058">
        <v>3.22</v>
      </c>
      <c r="BY3058">
        <v>5.0199999999999996</v>
      </c>
      <c r="BZ3058">
        <v>0.2</v>
      </c>
      <c r="CA3058">
        <v>0.26</v>
      </c>
      <c r="CB3058">
        <v>7.91</v>
      </c>
      <c r="CC3058">
        <v>3.61</v>
      </c>
      <c r="CD3058">
        <v>1.52</v>
      </c>
      <c r="CE3058">
        <v>-0.19</v>
      </c>
      <c r="CF3058">
        <v>0</v>
      </c>
      <c r="CG3058">
        <v>-0.17</v>
      </c>
      <c r="CH3058">
        <v>-0.18</v>
      </c>
      <c r="CI3058">
        <v>-0.2</v>
      </c>
      <c r="CJ3058">
        <v>0.02</v>
      </c>
      <c r="CK3058">
        <v>-0.23</v>
      </c>
      <c r="CL3058">
        <v>5.0599999999999996</v>
      </c>
      <c r="CM3058">
        <v>0.5</v>
      </c>
      <c r="CN3058">
        <v>-0.59</v>
      </c>
      <c r="CO3058">
        <v>15376</v>
      </c>
      <c r="CP3058">
        <v>13551</v>
      </c>
      <c r="CQ3058" t="s">
        <v>12632</v>
      </c>
      <c r="CR3058">
        <v>78.87</v>
      </c>
      <c r="CS3058">
        <v>11.43</v>
      </c>
      <c r="CT3058">
        <v>3.01</v>
      </c>
      <c r="CU3058">
        <v>135.19</v>
      </c>
      <c r="CV3058">
        <v>18.7</v>
      </c>
      <c r="CW3058">
        <v>0</v>
      </c>
      <c r="CX3058" t="s">
        <v>2852</v>
      </c>
      <c r="CY3058">
        <v>7.08</v>
      </c>
      <c r="CZ3058">
        <v>0</v>
      </c>
      <c r="DA3058">
        <v>2.5</v>
      </c>
      <c r="DB3058">
        <v>1.6</v>
      </c>
      <c r="DC3058">
        <v>0.16</v>
      </c>
      <c r="DD3058">
        <v>71.489999999999995</v>
      </c>
      <c r="DE3058" t="s">
        <v>13336</v>
      </c>
      <c r="DF3058">
        <v>57.94</v>
      </c>
      <c r="DG3058">
        <v>-5.14</v>
      </c>
      <c r="DH3058">
        <v>-5.41</v>
      </c>
      <c r="DI3058" t="s">
        <v>120</v>
      </c>
      <c r="DJ3058">
        <v>1469</v>
      </c>
      <c r="DK3058">
        <v>600861</v>
      </c>
      <c r="DL3058" t="s">
        <v>120</v>
      </c>
      <c r="DM3058" t="s">
        <v>120</v>
      </c>
      <c r="DN3058" t="s">
        <v>120</v>
      </c>
    </row>
    <row r="3059" spans="1:118">
      <c r="A3059" t="str">
        <f>"600862"</f>
        <v>600862</v>
      </c>
      <c r="B3059" t="s">
        <v>13337</v>
      </c>
      <c r="C3059">
        <v>-1.54</v>
      </c>
      <c r="D3059">
        <v>0.03</v>
      </c>
      <c r="E3059">
        <v>0.5</v>
      </c>
      <c r="F3059">
        <v>872</v>
      </c>
      <c r="G3059" t="s">
        <v>13338</v>
      </c>
      <c r="H3059">
        <v>30200.98</v>
      </c>
      <c r="I3059">
        <v>93.59</v>
      </c>
      <c r="J3059" t="s">
        <v>120</v>
      </c>
      <c r="K3059" t="s">
        <v>13339</v>
      </c>
      <c r="L3059">
        <v>0.68</v>
      </c>
      <c r="M3059">
        <v>31.4</v>
      </c>
      <c r="N3059">
        <v>0.59</v>
      </c>
      <c r="O3059">
        <v>0.97</v>
      </c>
      <c r="P3059">
        <v>32.200000000000003</v>
      </c>
      <c r="Q3059">
        <v>-1.69</v>
      </c>
      <c r="R3059">
        <v>31.35</v>
      </c>
      <c r="S3059">
        <v>32.049999999999997</v>
      </c>
      <c r="T3059">
        <v>95284</v>
      </c>
      <c r="U3059">
        <v>31.4</v>
      </c>
      <c r="V3059">
        <v>31.89</v>
      </c>
      <c r="W3059">
        <v>57.02</v>
      </c>
      <c r="X3059" t="s">
        <v>1621</v>
      </c>
      <c r="Y3059" t="s">
        <v>319</v>
      </c>
      <c r="Z3059">
        <v>2.67</v>
      </c>
      <c r="AA3059">
        <v>31.7</v>
      </c>
      <c r="AB3059">
        <v>55357</v>
      </c>
      <c r="AC3059">
        <v>39927</v>
      </c>
      <c r="AD3059">
        <v>1.39</v>
      </c>
      <c r="AE3059">
        <v>171</v>
      </c>
      <c r="AF3059">
        <v>68</v>
      </c>
      <c r="AG3059" t="s">
        <v>120</v>
      </c>
      <c r="AH3059">
        <v>0</v>
      </c>
      <c r="AI3059" t="s">
        <v>120</v>
      </c>
      <c r="AJ3059">
        <v>13.93</v>
      </c>
      <c r="AK3059" t="s">
        <v>13339</v>
      </c>
      <c r="AL3059">
        <v>-0.19</v>
      </c>
      <c r="AM3059">
        <v>3832</v>
      </c>
      <c r="AN3059">
        <v>25</v>
      </c>
      <c r="AO3059">
        <v>2.0000000000000001E-4</v>
      </c>
      <c r="AP3059">
        <v>-1</v>
      </c>
      <c r="AQ3059">
        <v>0.89</v>
      </c>
      <c r="AR3059">
        <v>-1.1299999999999999</v>
      </c>
      <c r="AS3059">
        <v>-17.32</v>
      </c>
      <c r="AT3059">
        <v>0.78</v>
      </c>
      <c r="AU3059">
        <v>4.6500000000000004</v>
      </c>
      <c r="AV3059">
        <v>2</v>
      </c>
      <c r="AW3059">
        <v>1.27</v>
      </c>
      <c r="AX3059">
        <v>53.78</v>
      </c>
      <c r="AY3059">
        <v>90.19</v>
      </c>
      <c r="AZ3059">
        <v>103.1</v>
      </c>
      <c r="BA3059">
        <v>1.03</v>
      </c>
      <c r="BB3059" t="s">
        <v>168</v>
      </c>
      <c r="BF3059">
        <v>-0.61</v>
      </c>
      <c r="BG3059">
        <v>-2.0299999999999998</v>
      </c>
      <c r="BH3059">
        <v>-2.48</v>
      </c>
      <c r="BI3059">
        <v>0.16</v>
      </c>
      <c r="BJ3059">
        <v>20210821</v>
      </c>
      <c r="BK3059">
        <v>19940520</v>
      </c>
      <c r="BL3059">
        <v>13.93</v>
      </c>
      <c r="BM3059" t="s">
        <v>120</v>
      </c>
      <c r="BN3059" t="s">
        <v>120</v>
      </c>
      <c r="BO3059">
        <v>74.09</v>
      </c>
      <c r="BP3059">
        <v>31.39</v>
      </c>
      <c r="BQ3059">
        <v>46.37</v>
      </c>
      <c r="BR3059">
        <v>0.4</v>
      </c>
      <c r="BS3059">
        <v>36.89</v>
      </c>
      <c r="BT3059">
        <v>53.22</v>
      </c>
      <c r="BU3059">
        <v>10.96</v>
      </c>
      <c r="BV3059">
        <v>4.59</v>
      </c>
      <c r="BW3059">
        <v>25.11</v>
      </c>
      <c r="BX3059">
        <v>15.31</v>
      </c>
      <c r="BY3059">
        <v>17.11</v>
      </c>
      <c r="BZ3059">
        <v>16.309999999999999</v>
      </c>
      <c r="CA3059">
        <v>0.48</v>
      </c>
      <c r="CB3059">
        <v>14.5</v>
      </c>
      <c r="CC3059">
        <v>19.34</v>
      </c>
      <c r="CD3059">
        <v>12.96</v>
      </c>
      <c r="CE3059">
        <v>4.5199999999999996</v>
      </c>
      <c r="CF3059">
        <v>0.02</v>
      </c>
      <c r="CG3059">
        <v>4.59</v>
      </c>
      <c r="CH3059">
        <v>3.84</v>
      </c>
      <c r="CI3059">
        <v>3.84</v>
      </c>
      <c r="CJ3059">
        <v>-0.49</v>
      </c>
      <c r="CK3059">
        <v>3.62</v>
      </c>
      <c r="CL3059">
        <v>10.27</v>
      </c>
      <c r="CM3059">
        <v>-0.73</v>
      </c>
      <c r="CN3059">
        <v>-1</v>
      </c>
      <c r="CO3059">
        <v>62629</v>
      </c>
      <c r="CP3059">
        <v>11963</v>
      </c>
      <c r="CQ3059" t="s">
        <v>13340</v>
      </c>
      <c r="CR3059">
        <v>19.149999999999999</v>
      </c>
      <c r="CS3059">
        <v>9.34</v>
      </c>
      <c r="CT3059">
        <v>9.43</v>
      </c>
      <c r="CU3059">
        <v>-598.45000000000005</v>
      </c>
      <c r="CV3059">
        <v>22.62</v>
      </c>
      <c r="CW3059">
        <v>0.28999999999999998</v>
      </c>
      <c r="CX3059" t="s">
        <v>1054</v>
      </c>
      <c r="CY3059">
        <v>3.33</v>
      </c>
      <c r="CZ3059">
        <v>0</v>
      </c>
      <c r="DA3059">
        <v>1.04</v>
      </c>
      <c r="DB3059">
        <v>0.74</v>
      </c>
      <c r="DC3059">
        <v>-0.05</v>
      </c>
      <c r="DD3059">
        <v>62.58</v>
      </c>
      <c r="DE3059" t="s">
        <v>825</v>
      </c>
      <c r="DF3059">
        <v>32.979999999999997</v>
      </c>
      <c r="DG3059">
        <v>23.36</v>
      </c>
      <c r="DH3059">
        <v>19.829999999999998</v>
      </c>
      <c r="DI3059">
        <v>0.51</v>
      </c>
      <c r="DJ3059">
        <v>1692</v>
      </c>
      <c r="DK3059">
        <v>600862</v>
      </c>
      <c r="DL3059" t="s">
        <v>120</v>
      </c>
      <c r="DM3059" t="s">
        <v>120</v>
      </c>
      <c r="DN3059" t="s">
        <v>120</v>
      </c>
    </row>
    <row r="3060" spans="1:118">
      <c r="A3060" t="str">
        <f>"600863"</f>
        <v>600863</v>
      </c>
      <c r="B3060" t="s">
        <v>13341</v>
      </c>
      <c r="C3060">
        <v>-7.22</v>
      </c>
      <c r="D3060">
        <v>-0.88</v>
      </c>
      <c r="E3060">
        <v>0.28000000000000003</v>
      </c>
      <c r="F3060">
        <v>50563</v>
      </c>
      <c r="G3060" t="s">
        <v>13308</v>
      </c>
      <c r="H3060">
        <v>92874.51</v>
      </c>
      <c r="I3060">
        <v>707.99</v>
      </c>
      <c r="J3060" t="s">
        <v>120</v>
      </c>
      <c r="K3060" t="s">
        <v>13342</v>
      </c>
      <c r="L3060">
        <v>4.59</v>
      </c>
      <c r="M3060">
        <v>3.34</v>
      </c>
      <c r="N3060">
        <v>0.74</v>
      </c>
      <c r="O3060">
        <v>1.94</v>
      </c>
      <c r="P3060">
        <v>3.67</v>
      </c>
      <c r="Q3060">
        <v>-7.22</v>
      </c>
      <c r="R3060">
        <v>3.34</v>
      </c>
      <c r="S3060">
        <v>3.61</v>
      </c>
      <c r="T3060">
        <v>2668011</v>
      </c>
      <c r="U3060">
        <v>3.35</v>
      </c>
      <c r="V3060">
        <v>3.6</v>
      </c>
      <c r="W3060">
        <v>21.96</v>
      </c>
      <c r="X3060" t="s">
        <v>268</v>
      </c>
      <c r="Y3060" t="s">
        <v>785</v>
      </c>
      <c r="Z3060">
        <v>9.17</v>
      </c>
      <c r="AA3060">
        <v>3.48</v>
      </c>
      <c r="AB3060">
        <v>1357486</v>
      </c>
      <c r="AC3060">
        <v>1310525</v>
      </c>
      <c r="AD3060">
        <v>1.04</v>
      </c>
      <c r="AE3060">
        <v>7933</v>
      </c>
      <c r="AF3060">
        <v>1096</v>
      </c>
      <c r="AG3060" t="s">
        <v>120</v>
      </c>
      <c r="AH3060">
        <v>0.09</v>
      </c>
      <c r="AI3060" t="s">
        <v>120</v>
      </c>
      <c r="AJ3060">
        <v>58.09</v>
      </c>
      <c r="AK3060" t="s">
        <v>13342</v>
      </c>
      <c r="AL3060">
        <v>-5.88</v>
      </c>
      <c r="AM3060">
        <v>4680</v>
      </c>
      <c r="AN3060">
        <v>570</v>
      </c>
      <c r="AO3060">
        <v>1E-3</v>
      </c>
      <c r="AP3060">
        <v>-2</v>
      </c>
      <c r="AQ3060">
        <v>-5.76</v>
      </c>
      <c r="AR3060">
        <v>-9.98</v>
      </c>
      <c r="AS3060">
        <v>40.93</v>
      </c>
      <c r="AT3060">
        <v>40.69</v>
      </c>
      <c r="AU3060">
        <v>36.659999999999997</v>
      </c>
      <c r="AV3060">
        <v>5</v>
      </c>
      <c r="AW3060">
        <v>11.77</v>
      </c>
      <c r="AX3060">
        <v>39.01</v>
      </c>
      <c r="AY3060">
        <v>40.44</v>
      </c>
      <c r="AZ3060">
        <v>27.55</v>
      </c>
      <c r="BA3060">
        <v>0.34</v>
      </c>
      <c r="BB3060" t="s">
        <v>125</v>
      </c>
      <c r="BF3060">
        <v>-3.3</v>
      </c>
      <c r="BG3060">
        <v>-7.48</v>
      </c>
      <c r="BH3060">
        <v>-8.99</v>
      </c>
      <c r="BI3060">
        <v>0</v>
      </c>
      <c r="BJ3060">
        <v>20210818</v>
      </c>
      <c r="BK3060">
        <v>19940520</v>
      </c>
      <c r="BL3060">
        <v>58.09</v>
      </c>
      <c r="BM3060" t="s">
        <v>120</v>
      </c>
      <c r="BN3060" t="s">
        <v>120</v>
      </c>
      <c r="BO3060">
        <v>422.66</v>
      </c>
      <c r="BP3060">
        <v>3.34</v>
      </c>
      <c r="BQ3060">
        <v>144.11000000000001</v>
      </c>
      <c r="BR3060">
        <v>32.880000000000003</v>
      </c>
      <c r="BS3060">
        <v>58.13</v>
      </c>
      <c r="BT3060">
        <v>49.46</v>
      </c>
      <c r="BU3060">
        <v>278.87</v>
      </c>
      <c r="BV3060">
        <v>43.61</v>
      </c>
      <c r="BW3060">
        <v>102.81</v>
      </c>
      <c r="BX3060">
        <v>5.49</v>
      </c>
      <c r="BY3060">
        <v>4.57</v>
      </c>
      <c r="BZ3060">
        <v>32.14</v>
      </c>
      <c r="CA3060" t="s">
        <v>120</v>
      </c>
      <c r="CB3060">
        <v>1.75</v>
      </c>
      <c r="CC3060">
        <v>81.23</v>
      </c>
      <c r="CD3060">
        <v>72.58</v>
      </c>
      <c r="CE3060">
        <v>3.96</v>
      </c>
      <c r="CF3060">
        <v>1.55</v>
      </c>
      <c r="CG3060">
        <v>3.95</v>
      </c>
      <c r="CH3060">
        <v>2.65</v>
      </c>
      <c r="CI3060">
        <v>4.42</v>
      </c>
      <c r="CJ3060">
        <v>-0.26</v>
      </c>
      <c r="CK3060">
        <v>4.3600000000000003</v>
      </c>
      <c r="CL3060">
        <v>30.14</v>
      </c>
      <c r="CM3060">
        <v>13.76</v>
      </c>
      <c r="CN3060">
        <v>2.4500000000000002</v>
      </c>
      <c r="CO3060">
        <v>168647</v>
      </c>
      <c r="CP3060">
        <v>13436</v>
      </c>
      <c r="CQ3060" t="s">
        <v>1636</v>
      </c>
      <c r="CR3060">
        <v>-35.39</v>
      </c>
      <c r="CS3060">
        <v>11.34</v>
      </c>
      <c r="CT3060">
        <v>1.75</v>
      </c>
      <c r="CU3060">
        <v>14.1</v>
      </c>
      <c r="CV3060">
        <v>2.39</v>
      </c>
      <c r="CW3060">
        <v>3.5</v>
      </c>
      <c r="CX3060" t="s">
        <v>1064</v>
      </c>
      <c r="CY3060">
        <v>1.91</v>
      </c>
      <c r="CZ3060">
        <v>1.91</v>
      </c>
      <c r="DA3060">
        <v>0.03</v>
      </c>
      <c r="DB3060">
        <v>0.52</v>
      </c>
      <c r="DC3060">
        <v>0.24</v>
      </c>
      <c r="DD3060">
        <v>34.090000000000003</v>
      </c>
      <c r="DE3060" t="s">
        <v>9800</v>
      </c>
      <c r="DF3060">
        <v>10.65</v>
      </c>
      <c r="DG3060">
        <v>4.87</v>
      </c>
      <c r="DH3060">
        <v>5.44</v>
      </c>
      <c r="DI3060">
        <v>0.06</v>
      </c>
      <c r="DJ3060">
        <v>6631</v>
      </c>
      <c r="DK3060">
        <v>600863</v>
      </c>
      <c r="DL3060">
        <v>20210906</v>
      </c>
      <c r="DM3060">
        <v>3</v>
      </c>
      <c r="DN3060">
        <v>11.33</v>
      </c>
    </row>
    <row r="3061" spans="1:118">
      <c r="A3061" t="str">
        <f>"600864"</f>
        <v>600864</v>
      </c>
      <c r="B3061" t="s">
        <v>13343</v>
      </c>
      <c r="C3061">
        <v>-4.34</v>
      </c>
      <c r="D3061">
        <v>-0.15</v>
      </c>
      <c r="E3061">
        <v>-0.16</v>
      </c>
      <c r="F3061">
        <v>2773</v>
      </c>
      <c r="G3061" t="s">
        <v>3954</v>
      </c>
      <c r="H3061">
        <v>29209.77</v>
      </c>
      <c r="I3061">
        <v>114.57</v>
      </c>
      <c r="J3061" t="s">
        <v>120</v>
      </c>
      <c r="K3061" t="s">
        <v>13344</v>
      </c>
      <c r="L3061">
        <v>2.23</v>
      </c>
      <c r="M3061">
        <v>6.17</v>
      </c>
      <c r="N3061">
        <v>0.88</v>
      </c>
      <c r="O3061">
        <v>0.47</v>
      </c>
      <c r="P3061">
        <v>6.48</v>
      </c>
      <c r="Q3061">
        <v>-4.8099999999999996</v>
      </c>
      <c r="R3061">
        <v>6.14</v>
      </c>
      <c r="S3061">
        <v>6.44</v>
      </c>
      <c r="T3061">
        <v>463845</v>
      </c>
      <c r="U3061">
        <v>6.18</v>
      </c>
      <c r="V3061">
        <v>6.45</v>
      </c>
      <c r="W3061">
        <v>57.47</v>
      </c>
      <c r="X3061" t="s">
        <v>616</v>
      </c>
      <c r="Y3061" t="s">
        <v>1686</v>
      </c>
      <c r="Z3061">
        <v>5.27</v>
      </c>
      <c r="AA3061">
        <v>6.3</v>
      </c>
      <c r="AB3061">
        <v>259081</v>
      </c>
      <c r="AC3061">
        <v>204764</v>
      </c>
      <c r="AD3061">
        <v>1.27</v>
      </c>
      <c r="AE3061">
        <v>141</v>
      </c>
      <c r="AF3061">
        <v>2560</v>
      </c>
      <c r="AG3061" t="s">
        <v>120</v>
      </c>
      <c r="AH3061">
        <v>0.02</v>
      </c>
      <c r="AI3061" t="s">
        <v>120</v>
      </c>
      <c r="AJ3061">
        <v>20.81</v>
      </c>
      <c r="AK3061" t="s">
        <v>13344</v>
      </c>
      <c r="AL3061">
        <v>-3</v>
      </c>
      <c r="AM3061">
        <v>3932</v>
      </c>
      <c r="AN3061">
        <v>118</v>
      </c>
      <c r="AO3061">
        <v>5.9999999999999995E-4</v>
      </c>
      <c r="AP3061">
        <v>-1</v>
      </c>
      <c r="AQ3061">
        <v>2.06</v>
      </c>
      <c r="AR3061">
        <v>-2.83</v>
      </c>
      <c r="AS3061">
        <v>7.68</v>
      </c>
      <c r="AT3061">
        <v>4.4000000000000004</v>
      </c>
      <c r="AU3061">
        <v>-27.07</v>
      </c>
      <c r="AV3061">
        <v>5</v>
      </c>
      <c r="AW3061">
        <v>5.35</v>
      </c>
      <c r="AX3061">
        <v>41.64</v>
      </c>
      <c r="AY3061">
        <v>57.14</v>
      </c>
      <c r="AZ3061">
        <v>71.19</v>
      </c>
      <c r="BA3061">
        <v>0.46</v>
      </c>
      <c r="BB3061" t="s">
        <v>184</v>
      </c>
      <c r="BF3061">
        <v>-2.37</v>
      </c>
      <c r="BG3061">
        <v>-4.1900000000000004</v>
      </c>
      <c r="BH3061">
        <v>-4.78</v>
      </c>
      <c r="BI3061">
        <v>0.49</v>
      </c>
      <c r="BJ3061">
        <v>20210825</v>
      </c>
      <c r="BK3061">
        <v>19940809</v>
      </c>
      <c r="BL3061">
        <v>20.81</v>
      </c>
      <c r="BM3061" t="s">
        <v>120</v>
      </c>
      <c r="BN3061" t="s">
        <v>120</v>
      </c>
      <c r="BO3061">
        <v>308.36</v>
      </c>
      <c r="BP3061">
        <v>6.17</v>
      </c>
      <c r="BQ3061">
        <v>134.84</v>
      </c>
      <c r="BR3061">
        <v>1.1000000000000001</v>
      </c>
      <c r="BS3061">
        <v>55.91</v>
      </c>
      <c r="BT3061">
        <v>249.45</v>
      </c>
      <c r="BU3061">
        <v>20.28</v>
      </c>
      <c r="BV3061">
        <v>2.33</v>
      </c>
      <c r="BW3061">
        <v>125.19</v>
      </c>
      <c r="BX3061">
        <v>65.98</v>
      </c>
      <c r="BY3061">
        <v>1.22</v>
      </c>
      <c r="BZ3061">
        <v>2.85</v>
      </c>
      <c r="CA3061" t="s">
        <v>120</v>
      </c>
      <c r="CB3061">
        <v>75.23</v>
      </c>
      <c r="CC3061">
        <v>7.79</v>
      </c>
      <c r="CD3061">
        <v>6.11</v>
      </c>
      <c r="CE3061">
        <v>1.1499999999999999</v>
      </c>
      <c r="CF3061">
        <v>-1.37</v>
      </c>
      <c r="CG3061">
        <v>1.19</v>
      </c>
      <c r="CH3061">
        <v>1.07</v>
      </c>
      <c r="CI3061">
        <v>1.1200000000000001</v>
      </c>
      <c r="CJ3061">
        <v>-0.28000000000000003</v>
      </c>
      <c r="CK3061">
        <v>1.03</v>
      </c>
      <c r="CL3061">
        <v>20.079999999999998</v>
      </c>
      <c r="CM3061">
        <v>2.66</v>
      </c>
      <c r="CN3061">
        <v>-12.82</v>
      </c>
      <c r="CO3061">
        <v>71178</v>
      </c>
      <c r="CP3061">
        <v>12172</v>
      </c>
      <c r="CQ3061" t="s">
        <v>2073</v>
      </c>
      <c r="CR3061">
        <v>70.98</v>
      </c>
      <c r="CS3061">
        <v>2.69</v>
      </c>
      <c r="CT3061">
        <v>0.95</v>
      </c>
      <c r="CU3061">
        <v>48.3</v>
      </c>
      <c r="CV3061">
        <v>16.47</v>
      </c>
      <c r="CW3061">
        <v>0.47</v>
      </c>
      <c r="CX3061" t="s">
        <v>1248</v>
      </c>
      <c r="CY3061">
        <v>6.48</v>
      </c>
      <c r="CZ3061">
        <v>0</v>
      </c>
      <c r="DA3061">
        <v>3.62</v>
      </c>
      <c r="DB3061">
        <v>0.97</v>
      </c>
      <c r="DC3061">
        <v>0.13</v>
      </c>
      <c r="DD3061">
        <v>43.73</v>
      </c>
      <c r="DE3061" t="s">
        <v>10357</v>
      </c>
      <c r="DF3061">
        <v>21.56</v>
      </c>
      <c r="DG3061">
        <v>14.77</v>
      </c>
      <c r="DH3061">
        <v>14.33</v>
      </c>
      <c r="DI3061" t="s">
        <v>120</v>
      </c>
      <c r="DJ3061">
        <v>3838</v>
      </c>
      <c r="DK3061">
        <v>600864</v>
      </c>
      <c r="DL3061">
        <v>20210901</v>
      </c>
      <c r="DM3061">
        <v>6.29</v>
      </c>
      <c r="DN3061">
        <v>-1.91</v>
      </c>
    </row>
    <row r="3062" spans="1:118">
      <c r="A3062" t="str">
        <f>"600865"</f>
        <v>600865</v>
      </c>
      <c r="B3062" t="s">
        <v>13345</v>
      </c>
      <c r="C3062">
        <v>-1.54</v>
      </c>
      <c r="D3062">
        <v>0.24</v>
      </c>
      <c r="E3062">
        <v>0</v>
      </c>
      <c r="F3062">
        <v>295</v>
      </c>
      <c r="G3062" t="s">
        <v>4799</v>
      </c>
      <c r="H3062">
        <v>3042.26</v>
      </c>
      <c r="I3062">
        <v>4.55</v>
      </c>
      <c r="J3062" t="s">
        <v>120</v>
      </c>
      <c r="K3062" t="s">
        <v>13346</v>
      </c>
      <c r="L3062">
        <v>0.96</v>
      </c>
      <c r="M3062">
        <v>8.3000000000000007</v>
      </c>
      <c r="N3062">
        <v>1.1200000000000001</v>
      </c>
      <c r="O3062">
        <v>1.9</v>
      </c>
      <c r="P3062">
        <v>8.59</v>
      </c>
      <c r="Q3062">
        <v>-2.02</v>
      </c>
      <c r="R3062">
        <v>8.26</v>
      </c>
      <c r="S3062">
        <v>8.43</v>
      </c>
      <c r="T3062">
        <v>36044</v>
      </c>
      <c r="U3062">
        <v>8.3000000000000007</v>
      </c>
      <c r="V3062">
        <v>8.43</v>
      </c>
      <c r="W3062">
        <v>15.88</v>
      </c>
      <c r="X3062" t="s">
        <v>735</v>
      </c>
      <c r="Y3062" t="s">
        <v>585</v>
      </c>
      <c r="Z3062">
        <v>3.91</v>
      </c>
      <c r="AA3062">
        <v>8.44</v>
      </c>
      <c r="AB3062">
        <v>18859</v>
      </c>
      <c r="AC3062">
        <v>17185</v>
      </c>
      <c r="AD3062">
        <v>1.1000000000000001</v>
      </c>
      <c r="AE3062">
        <v>181</v>
      </c>
      <c r="AF3062">
        <v>122</v>
      </c>
      <c r="AG3062" t="s">
        <v>120</v>
      </c>
      <c r="AH3062">
        <v>0</v>
      </c>
      <c r="AI3062" t="s">
        <v>120</v>
      </c>
      <c r="AJ3062">
        <v>3.76</v>
      </c>
      <c r="AK3062" t="s">
        <v>13346</v>
      </c>
      <c r="AL3062">
        <v>-0.2</v>
      </c>
      <c r="AM3062">
        <v>1252</v>
      </c>
      <c r="AN3062">
        <v>29</v>
      </c>
      <c r="AO3062">
        <v>8.0000000000000004E-4</v>
      </c>
      <c r="AP3062">
        <v>-3</v>
      </c>
      <c r="AQ3062">
        <v>-0.24</v>
      </c>
      <c r="AR3062">
        <v>-4.72</v>
      </c>
      <c r="AS3062">
        <v>1.34</v>
      </c>
      <c r="AT3062">
        <v>1.72</v>
      </c>
      <c r="AU3062">
        <v>16.079999999999998</v>
      </c>
      <c r="AV3062">
        <v>1</v>
      </c>
      <c r="AW3062">
        <v>1.72</v>
      </c>
      <c r="AX3062">
        <v>55.8</v>
      </c>
      <c r="AY3062">
        <v>9.74</v>
      </c>
      <c r="AZ3062">
        <v>10.48</v>
      </c>
      <c r="BA3062">
        <v>0.66</v>
      </c>
      <c r="BB3062" t="s">
        <v>240</v>
      </c>
      <c r="BF3062">
        <v>0.12</v>
      </c>
      <c r="BG3062">
        <v>-1.54</v>
      </c>
      <c r="BH3062">
        <v>-3.38</v>
      </c>
      <c r="BI3062">
        <v>0.48</v>
      </c>
      <c r="BJ3062">
        <v>20210807</v>
      </c>
      <c r="BK3062">
        <v>19940809</v>
      </c>
      <c r="BL3062">
        <v>3.76</v>
      </c>
      <c r="BM3062" t="s">
        <v>120</v>
      </c>
      <c r="BN3062" t="s">
        <v>120</v>
      </c>
      <c r="BO3062">
        <v>26.82</v>
      </c>
      <c r="BP3062">
        <v>8.2799999999999994</v>
      </c>
      <c r="BQ3062">
        <v>22.56</v>
      </c>
      <c r="BR3062">
        <v>0</v>
      </c>
      <c r="BS3062">
        <v>15.87</v>
      </c>
      <c r="BT3062">
        <v>12.73</v>
      </c>
      <c r="BU3062">
        <v>0.84</v>
      </c>
      <c r="BV3062">
        <v>0.53</v>
      </c>
      <c r="BW3062">
        <v>3.29</v>
      </c>
      <c r="BX3062">
        <v>2.2599999999999998</v>
      </c>
      <c r="BY3062">
        <v>0.01</v>
      </c>
      <c r="BZ3062">
        <v>0.3</v>
      </c>
      <c r="CA3062">
        <v>0.32</v>
      </c>
      <c r="CB3062">
        <v>2.33</v>
      </c>
      <c r="CC3062">
        <v>1.27</v>
      </c>
      <c r="CD3062">
        <v>0.2</v>
      </c>
      <c r="CE3062">
        <v>1.25</v>
      </c>
      <c r="CF3062">
        <v>0.62</v>
      </c>
      <c r="CG3062">
        <v>1.24</v>
      </c>
      <c r="CH3062">
        <v>0.98</v>
      </c>
      <c r="CI3062">
        <v>0.98</v>
      </c>
      <c r="CJ3062">
        <v>-0.13</v>
      </c>
      <c r="CK3062">
        <v>0.52</v>
      </c>
      <c r="CL3062">
        <v>14.52</v>
      </c>
      <c r="CM3062">
        <v>0.28000000000000003</v>
      </c>
      <c r="CN3062">
        <v>0.23</v>
      </c>
      <c r="CO3062">
        <v>21327</v>
      </c>
      <c r="CP3062">
        <v>9843</v>
      </c>
      <c r="CQ3062" t="s">
        <v>6121</v>
      </c>
      <c r="CR3062">
        <v>30.47</v>
      </c>
      <c r="CS3062">
        <v>17.059999999999999</v>
      </c>
      <c r="CT3062">
        <v>1.38</v>
      </c>
      <c r="CU3062">
        <v>110.27</v>
      </c>
      <c r="CV3062">
        <v>24.57</v>
      </c>
      <c r="CW3062">
        <v>0</v>
      </c>
      <c r="CX3062" t="s">
        <v>670</v>
      </c>
      <c r="CY3062">
        <v>6</v>
      </c>
      <c r="CZ3062">
        <v>0</v>
      </c>
      <c r="DA3062">
        <v>0.62</v>
      </c>
      <c r="DB3062">
        <v>3.86</v>
      </c>
      <c r="DC3062">
        <v>0.08</v>
      </c>
      <c r="DD3062">
        <v>84.12</v>
      </c>
      <c r="DE3062" t="s">
        <v>4651</v>
      </c>
      <c r="DF3062">
        <v>83.98</v>
      </c>
      <c r="DG3062">
        <v>98</v>
      </c>
      <c r="DH3062">
        <v>77.36</v>
      </c>
      <c r="DI3062" t="s">
        <v>120</v>
      </c>
      <c r="DJ3062">
        <v>161</v>
      </c>
      <c r="DK3062">
        <v>600865</v>
      </c>
      <c r="DL3062" t="s">
        <v>120</v>
      </c>
      <c r="DM3062" t="s">
        <v>120</v>
      </c>
      <c r="DN3062" t="s">
        <v>120</v>
      </c>
    </row>
    <row r="3063" spans="1:118">
      <c r="A3063" t="str">
        <f>"600866"</f>
        <v>600866</v>
      </c>
      <c r="B3063" t="s">
        <v>13347</v>
      </c>
      <c r="C3063">
        <v>-1.23</v>
      </c>
      <c r="D3063">
        <v>0</v>
      </c>
      <c r="E3063">
        <v>0.25</v>
      </c>
      <c r="F3063">
        <v>630</v>
      </c>
      <c r="G3063" t="s">
        <v>2776</v>
      </c>
      <c r="H3063">
        <v>2292.87</v>
      </c>
      <c r="I3063">
        <v>2.23</v>
      </c>
      <c r="J3063" t="s">
        <v>120</v>
      </c>
      <c r="K3063" t="s">
        <v>13348</v>
      </c>
      <c r="L3063">
        <v>0.77</v>
      </c>
      <c r="M3063">
        <v>4</v>
      </c>
      <c r="N3063">
        <v>0.81</v>
      </c>
      <c r="O3063">
        <v>0.99</v>
      </c>
      <c r="P3063">
        <v>4.09</v>
      </c>
      <c r="Q3063">
        <v>-1.23</v>
      </c>
      <c r="R3063">
        <v>4</v>
      </c>
      <c r="S3063">
        <v>4.0599999999999996</v>
      </c>
      <c r="T3063">
        <v>56646</v>
      </c>
      <c r="U3063">
        <v>4.0199999999999996</v>
      </c>
      <c r="V3063">
        <v>4.05</v>
      </c>
      <c r="W3063">
        <v>19.440000000000001</v>
      </c>
      <c r="X3063" t="s">
        <v>847</v>
      </c>
      <c r="Y3063" t="s">
        <v>547</v>
      </c>
      <c r="Z3063">
        <v>2.2200000000000002</v>
      </c>
      <c r="AA3063">
        <v>4.05</v>
      </c>
      <c r="AB3063">
        <v>34081</v>
      </c>
      <c r="AC3063">
        <v>22565</v>
      </c>
      <c r="AD3063">
        <v>1.51</v>
      </c>
      <c r="AE3063">
        <v>1829</v>
      </c>
      <c r="AF3063">
        <v>680</v>
      </c>
      <c r="AG3063" t="s">
        <v>120</v>
      </c>
      <c r="AH3063">
        <v>0</v>
      </c>
      <c r="AI3063" t="s">
        <v>120</v>
      </c>
      <c r="AJ3063">
        <v>7.39</v>
      </c>
      <c r="AK3063" t="s">
        <v>13348</v>
      </c>
      <c r="AL3063">
        <v>0.11</v>
      </c>
      <c r="AM3063">
        <v>1528</v>
      </c>
      <c r="AN3063">
        <v>37</v>
      </c>
      <c r="AO3063">
        <v>5.0000000000000001E-4</v>
      </c>
      <c r="AP3063">
        <v>-1</v>
      </c>
      <c r="AQ3063">
        <v>0.75</v>
      </c>
      <c r="AR3063">
        <v>-2.4300000000000002</v>
      </c>
      <c r="AS3063">
        <v>7.53</v>
      </c>
      <c r="AT3063">
        <v>1.01</v>
      </c>
      <c r="AU3063">
        <v>-19.84</v>
      </c>
      <c r="AV3063">
        <v>0</v>
      </c>
      <c r="AW3063">
        <v>1.04</v>
      </c>
      <c r="AX3063">
        <v>73.989999999999995</v>
      </c>
      <c r="AY3063">
        <v>21.21</v>
      </c>
      <c r="AZ3063">
        <v>20.13</v>
      </c>
      <c r="BA3063">
        <v>0.7</v>
      </c>
      <c r="BB3063" t="s">
        <v>143</v>
      </c>
      <c r="BF3063">
        <v>-0.06</v>
      </c>
      <c r="BG3063">
        <v>-1.48</v>
      </c>
      <c r="BH3063">
        <v>-2.2000000000000002</v>
      </c>
      <c r="BI3063">
        <v>0</v>
      </c>
      <c r="BJ3063">
        <v>20210824</v>
      </c>
      <c r="BK3063">
        <v>19940818</v>
      </c>
      <c r="BL3063">
        <v>7.39</v>
      </c>
      <c r="BM3063" t="s">
        <v>120</v>
      </c>
      <c r="BN3063" t="s">
        <v>120</v>
      </c>
      <c r="BO3063">
        <v>25.45</v>
      </c>
      <c r="BP3063">
        <v>4</v>
      </c>
      <c r="BQ3063">
        <v>17.45</v>
      </c>
      <c r="BR3063" t="s">
        <v>120</v>
      </c>
      <c r="BS3063">
        <v>31.44</v>
      </c>
      <c r="BT3063">
        <v>8.48</v>
      </c>
      <c r="BU3063">
        <v>12.51</v>
      </c>
      <c r="BV3063">
        <v>1.61</v>
      </c>
      <c r="BW3063">
        <v>5.73</v>
      </c>
      <c r="BX3063">
        <v>2.16</v>
      </c>
      <c r="BY3063">
        <v>3.07</v>
      </c>
      <c r="BZ3063">
        <v>1.5</v>
      </c>
      <c r="CA3063" t="s">
        <v>120</v>
      </c>
      <c r="CB3063">
        <v>10.82</v>
      </c>
      <c r="CC3063">
        <v>5.81</v>
      </c>
      <c r="CD3063">
        <v>4.13</v>
      </c>
      <c r="CE3063">
        <v>0.84</v>
      </c>
      <c r="CF3063">
        <v>0.03</v>
      </c>
      <c r="CG3063">
        <v>0.8</v>
      </c>
      <c r="CH3063">
        <v>0.76</v>
      </c>
      <c r="CI3063">
        <v>0.76</v>
      </c>
      <c r="CJ3063">
        <v>-0.05</v>
      </c>
      <c r="CK3063">
        <v>0.71</v>
      </c>
      <c r="CL3063">
        <v>-2.4900000000000002</v>
      </c>
      <c r="CM3063">
        <v>0.06</v>
      </c>
      <c r="CN3063">
        <v>-0.17</v>
      </c>
      <c r="CO3063">
        <v>47613</v>
      </c>
      <c r="CP3063">
        <v>11484</v>
      </c>
      <c r="CQ3063" t="s">
        <v>2229</v>
      </c>
      <c r="CR3063">
        <v>-9.11</v>
      </c>
      <c r="CS3063">
        <v>-0.71</v>
      </c>
      <c r="CT3063">
        <v>1.69</v>
      </c>
      <c r="CU3063">
        <v>491.23</v>
      </c>
      <c r="CV3063">
        <v>5.09</v>
      </c>
      <c r="CW3063">
        <v>0</v>
      </c>
      <c r="CX3063" t="s">
        <v>256</v>
      </c>
      <c r="CY3063">
        <v>2.36</v>
      </c>
      <c r="CZ3063">
        <v>0</v>
      </c>
      <c r="DA3063">
        <v>1.46</v>
      </c>
      <c r="DB3063">
        <v>-0.34</v>
      </c>
      <c r="DC3063">
        <v>0.01</v>
      </c>
      <c r="DD3063">
        <v>68.56</v>
      </c>
      <c r="DE3063" t="s">
        <v>4651</v>
      </c>
      <c r="DF3063">
        <v>28.93</v>
      </c>
      <c r="DG3063">
        <v>14.38</v>
      </c>
      <c r="DH3063">
        <v>13.08</v>
      </c>
      <c r="DI3063">
        <v>0.32</v>
      </c>
      <c r="DJ3063">
        <v>2455</v>
      </c>
      <c r="DK3063">
        <v>600866</v>
      </c>
      <c r="DL3063" t="s">
        <v>120</v>
      </c>
      <c r="DM3063" t="s">
        <v>120</v>
      </c>
      <c r="DN3063" t="s">
        <v>120</v>
      </c>
    </row>
    <row r="3064" spans="1:118">
      <c r="A3064" t="str">
        <f>"600867"</f>
        <v>600867</v>
      </c>
      <c r="B3064" t="s">
        <v>13349</v>
      </c>
      <c r="C3064">
        <v>-0.37</v>
      </c>
      <c r="D3064">
        <v>0.19</v>
      </c>
      <c r="E3064">
        <v>0</v>
      </c>
      <c r="F3064">
        <v>2535</v>
      </c>
      <c r="G3064" t="s">
        <v>13350</v>
      </c>
      <c r="H3064">
        <v>19592.23</v>
      </c>
      <c r="I3064">
        <v>47.27</v>
      </c>
      <c r="J3064" t="s">
        <v>120</v>
      </c>
      <c r="K3064" t="s">
        <v>13351</v>
      </c>
      <c r="L3064">
        <v>0.9</v>
      </c>
      <c r="M3064">
        <v>10.63</v>
      </c>
      <c r="N3064">
        <v>0.83</v>
      </c>
      <c r="O3064">
        <v>1.22</v>
      </c>
      <c r="P3064">
        <v>10.8</v>
      </c>
      <c r="Q3064">
        <v>-0.84</v>
      </c>
      <c r="R3064">
        <v>10.58</v>
      </c>
      <c r="S3064">
        <v>10.67</v>
      </c>
      <c r="T3064">
        <v>183280</v>
      </c>
      <c r="U3064">
        <v>10.63</v>
      </c>
      <c r="V3064">
        <v>10.67</v>
      </c>
      <c r="W3064">
        <v>16.04</v>
      </c>
      <c r="X3064" t="s">
        <v>666</v>
      </c>
      <c r="Y3064" t="s">
        <v>290</v>
      </c>
      <c r="Z3064">
        <v>2.06</v>
      </c>
      <c r="AA3064">
        <v>10.69</v>
      </c>
      <c r="AB3064">
        <v>85631</v>
      </c>
      <c r="AC3064">
        <v>97649</v>
      </c>
      <c r="AD3064">
        <v>0.88</v>
      </c>
      <c r="AE3064">
        <v>115</v>
      </c>
      <c r="AF3064">
        <v>1578</v>
      </c>
      <c r="AG3064" t="s">
        <v>120</v>
      </c>
      <c r="AH3064">
        <v>0</v>
      </c>
      <c r="AI3064" t="s">
        <v>120</v>
      </c>
      <c r="AJ3064">
        <v>20.27</v>
      </c>
      <c r="AK3064" t="s">
        <v>13352</v>
      </c>
      <c r="AL3064">
        <v>0.97</v>
      </c>
      <c r="AM3064">
        <v>3413</v>
      </c>
      <c r="AN3064">
        <v>54</v>
      </c>
      <c r="AO3064">
        <v>2.9999999999999997E-4</v>
      </c>
      <c r="AP3064">
        <v>-2</v>
      </c>
      <c r="AQ3064">
        <v>-2.2000000000000002</v>
      </c>
      <c r="AR3064">
        <v>-2.12</v>
      </c>
      <c r="AS3064">
        <v>-1.02</v>
      </c>
      <c r="AT3064">
        <v>-9.61</v>
      </c>
      <c r="AU3064">
        <v>-19.28</v>
      </c>
      <c r="AV3064">
        <v>0</v>
      </c>
      <c r="AW3064">
        <v>1.48</v>
      </c>
      <c r="AX3064">
        <v>61.01</v>
      </c>
      <c r="AY3064">
        <v>20.43</v>
      </c>
      <c r="AZ3064">
        <v>23.34</v>
      </c>
      <c r="BA3064">
        <v>0.14000000000000001</v>
      </c>
      <c r="BB3064" t="s">
        <v>143</v>
      </c>
      <c r="BF3064">
        <v>0.19</v>
      </c>
      <c r="BG3064">
        <v>-0.37</v>
      </c>
      <c r="BH3064">
        <v>-1.57</v>
      </c>
      <c r="BI3064">
        <v>0.47</v>
      </c>
      <c r="BJ3064">
        <v>20210825</v>
      </c>
      <c r="BK3064">
        <v>19940824</v>
      </c>
      <c r="BL3064">
        <v>20.34</v>
      </c>
      <c r="BM3064" t="s">
        <v>120</v>
      </c>
      <c r="BN3064" t="s">
        <v>120</v>
      </c>
      <c r="BO3064">
        <v>60.2</v>
      </c>
      <c r="BP3064">
        <v>10.62</v>
      </c>
      <c r="BQ3064">
        <v>57.07</v>
      </c>
      <c r="BR3064">
        <v>0.05</v>
      </c>
      <c r="BS3064">
        <v>5.12</v>
      </c>
      <c r="BT3064">
        <v>20.49</v>
      </c>
      <c r="BU3064">
        <v>12.68</v>
      </c>
      <c r="BV3064">
        <v>2.4500000000000002</v>
      </c>
      <c r="BW3064">
        <v>2.73</v>
      </c>
      <c r="BX3064">
        <v>4.1500000000000004</v>
      </c>
      <c r="BY3064">
        <v>4.95</v>
      </c>
      <c r="BZ3064">
        <v>6.11</v>
      </c>
      <c r="CA3064" t="s">
        <v>120</v>
      </c>
      <c r="CB3064">
        <v>10.58</v>
      </c>
      <c r="CC3064">
        <v>16.62</v>
      </c>
      <c r="CD3064">
        <v>2.91</v>
      </c>
      <c r="CE3064">
        <v>7.96</v>
      </c>
      <c r="CF3064">
        <v>0.34</v>
      </c>
      <c r="CG3064">
        <v>7.93</v>
      </c>
      <c r="CH3064">
        <v>6.74</v>
      </c>
      <c r="CI3064">
        <v>6.74</v>
      </c>
      <c r="CJ3064">
        <v>-0.04</v>
      </c>
      <c r="CK3064">
        <v>6.55</v>
      </c>
      <c r="CL3064">
        <v>22</v>
      </c>
      <c r="CM3064">
        <v>5.95</v>
      </c>
      <c r="CN3064">
        <v>0.23</v>
      </c>
      <c r="CO3064">
        <v>105786</v>
      </c>
      <c r="CP3064">
        <v>11730</v>
      </c>
      <c r="CQ3064" t="s">
        <v>3166</v>
      </c>
      <c r="CR3064">
        <v>24.47</v>
      </c>
      <c r="CS3064">
        <v>12.71</v>
      </c>
      <c r="CT3064">
        <v>3.79</v>
      </c>
      <c r="CU3064">
        <v>36.33</v>
      </c>
      <c r="CV3064">
        <v>13.01</v>
      </c>
      <c r="CW3064">
        <v>1.96</v>
      </c>
      <c r="CX3064" t="s">
        <v>2443</v>
      </c>
      <c r="CY3064">
        <v>2.81</v>
      </c>
      <c r="CZ3064">
        <v>0</v>
      </c>
      <c r="DA3064">
        <v>0.52</v>
      </c>
      <c r="DB3064">
        <v>1.08</v>
      </c>
      <c r="DC3064">
        <v>0.28999999999999998</v>
      </c>
      <c r="DD3064">
        <v>94.79</v>
      </c>
      <c r="DE3064" t="s">
        <v>10257</v>
      </c>
      <c r="DF3064">
        <v>82.48</v>
      </c>
      <c r="DG3064">
        <v>47.89</v>
      </c>
      <c r="DH3064">
        <v>40.54</v>
      </c>
      <c r="DI3064">
        <v>0.75</v>
      </c>
      <c r="DJ3064">
        <v>2723</v>
      </c>
      <c r="DK3064">
        <v>600867</v>
      </c>
      <c r="DL3064" t="s">
        <v>120</v>
      </c>
      <c r="DM3064" t="s">
        <v>120</v>
      </c>
      <c r="DN3064" t="s">
        <v>120</v>
      </c>
    </row>
    <row r="3065" spans="1:118">
      <c r="A3065" t="str">
        <f>"600868"</f>
        <v>600868</v>
      </c>
      <c r="B3065" t="s">
        <v>13353</v>
      </c>
      <c r="C3065">
        <v>-1.64</v>
      </c>
      <c r="D3065">
        <v>-0.32</v>
      </c>
      <c r="E3065">
        <v>0.33</v>
      </c>
      <c r="F3065">
        <v>2737</v>
      </c>
      <c r="G3065" t="s">
        <v>10037</v>
      </c>
      <c r="H3065">
        <v>13054.76</v>
      </c>
      <c r="I3065">
        <v>40.99</v>
      </c>
      <c r="J3065" t="s">
        <v>120</v>
      </c>
      <c r="K3065" t="s">
        <v>13354</v>
      </c>
      <c r="L3065">
        <v>2.27</v>
      </c>
      <c r="M3065">
        <v>2.99</v>
      </c>
      <c r="N3065">
        <v>0.64</v>
      </c>
      <c r="O3065">
        <v>1.32</v>
      </c>
      <c r="P3065">
        <v>3.08</v>
      </c>
      <c r="Q3065">
        <v>-1.97</v>
      </c>
      <c r="R3065">
        <v>2.98</v>
      </c>
      <c r="S3065">
        <v>3.05</v>
      </c>
      <c r="T3065">
        <v>430997</v>
      </c>
      <c r="U3065">
        <v>3</v>
      </c>
      <c r="V3065">
        <v>3.04</v>
      </c>
      <c r="W3065" t="s">
        <v>120</v>
      </c>
      <c r="X3065" t="s">
        <v>1287</v>
      </c>
      <c r="Y3065" t="s">
        <v>547</v>
      </c>
      <c r="Z3065">
        <v>3.29</v>
      </c>
      <c r="AA3065">
        <v>3.03</v>
      </c>
      <c r="AB3065">
        <v>243816</v>
      </c>
      <c r="AC3065">
        <v>187181</v>
      </c>
      <c r="AD3065">
        <v>1.3</v>
      </c>
      <c r="AE3065">
        <v>1961</v>
      </c>
      <c r="AF3065">
        <v>10503</v>
      </c>
      <c r="AG3065" t="s">
        <v>120</v>
      </c>
      <c r="AH3065">
        <v>0.01</v>
      </c>
      <c r="AI3065" t="s">
        <v>120</v>
      </c>
      <c r="AJ3065">
        <v>18.98</v>
      </c>
      <c r="AK3065" t="s">
        <v>13354</v>
      </c>
      <c r="AL3065">
        <v>-0.3</v>
      </c>
      <c r="AM3065">
        <v>2567</v>
      </c>
      <c r="AN3065">
        <v>168</v>
      </c>
      <c r="AO3065">
        <v>8.9999999999999998E-4</v>
      </c>
      <c r="AP3065">
        <v>-1</v>
      </c>
      <c r="AQ3065">
        <v>0.66</v>
      </c>
      <c r="AR3065">
        <v>-4.47</v>
      </c>
      <c r="AS3065">
        <v>3.46</v>
      </c>
      <c r="AT3065">
        <v>4.04</v>
      </c>
      <c r="AU3065">
        <v>-3.05</v>
      </c>
      <c r="AV3065">
        <v>2</v>
      </c>
      <c r="AW3065">
        <v>2.62</v>
      </c>
      <c r="AX3065">
        <v>86.77</v>
      </c>
      <c r="AY3065">
        <v>421.58</v>
      </c>
      <c r="AZ3065">
        <v>168.38</v>
      </c>
      <c r="BA3065">
        <v>0.44</v>
      </c>
      <c r="BB3065" t="s">
        <v>143</v>
      </c>
      <c r="BF3065">
        <v>-0.36</v>
      </c>
      <c r="BG3065">
        <v>-1.97</v>
      </c>
      <c r="BH3065">
        <v>-2.92</v>
      </c>
      <c r="BI3065">
        <v>0.34</v>
      </c>
      <c r="BJ3065">
        <v>20210831</v>
      </c>
      <c r="BK3065">
        <v>19940912</v>
      </c>
      <c r="BL3065">
        <v>18.98</v>
      </c>
      <c r="BM3065" t="s">
        <v>120</v>
      </c>
      <c r="BN3065" t="s">
        <v>120</v>
      </c>
      <c r="BO3065">
        <v>27.66</v>
      </c>
      <c r="BP3065">
        <v>2.99</v>
      </c>
      <c r="BQ3065">
        <v>23.37</v>
      </c>
      <c r="BR3065">
        <v>0.9</v>
      </c>
      <c r="BS3065">
        <v>12.25</v>
      </c>
      <c r="BT3065">
        <v>5.37</v>
      </c>
      <c r="BU3065">
        <v>15.08</v>
      </c>
      <c r="BV3065">
        <v>0.75</v>
      </c>
      <c r="BW3065">
        <v>1.83</v>
      </c>
      <c r="BX3065">
        <v>2.85</v>
      </c>
      <c r="BY3065">
        <v>1.32</v>
      </c>
      <c r="BZ3065">
        <v>0.66</v>
      </c>
      <c r="CA3065">
        <v>0</v>
      </c>
      <c r="CB3065">
        <v>4.0999999999999996</v>
      </c>
      <c r="CC3065">
        <v>0.86</v>
      </c>
      <c r="CD3065">
        <v>0.61</v>
      </c>
      <c r="CE3065">
        <v>-0.05</v>
      </c>
      <c r="CF3065">
        <v>0.01</v>
      </c>
      <c r="CG3065">
        <v>-0.05</v>
      </c>
      <c r="CH3065">
        <v>-0.06</v>
      </c>
      <c r="CI3065">
        <v>-0.04</v>
      </c>
      <c r="CJ3065">
        <v>-0.05</v>
      </c>
      <c r="CK3065">
        <v>-0.05</v>
      </c>
      <c r="CL3065">
        <v>-0.39</v>
      </c>
      <c r="CM3065">
        <v>-0.23</v>
      </c>
      <c r="CN3065">
        <v>-0.95</v>
      </c>
      <c r="CO3065">
        <v>262518</v>
      </c>
      <c r="CP3065">
        <v>6274</v>
      </c>
      <c r="CQ3065" t="s">
        <v>13355</v>
      </c>
      <c r="CR3065">
        <v>-127.41</v>
      </c>
      <c r="CS3065">
        <v>-7</v>
      </c>
      <c r="CT3065">
        <v>2.4300000000000002</v>
      </c>
      <c r="CU3065">
        <v>-241.63</v>
      </c>
      <c r="CV3065">
        <v>65.95</v>
      </c>
      <c r="CW3065">
        <v>0.2</v>
      </c>
      <c r="CX3065" t="s">
        <v>9869</v>
      </c>
      <c r="CY3065">
        <v>1.23</v>
      </c>
      <c r="CZ3065">
        <v>0</v>
      </c>
      <c r="DA3065">
        <v>0.22</v>
      </c>
      <c r="DB3065">
        <v>-0.02</v>
      </c>
      <c r="DC3065">
        <v>-0.01</v>
      </c>
      <c r="DD3065">
        <v>84.5</v>
      </c>
      <c r="DE3065" t="s">
        <v>13333</v>
      </c>
      <c r="DF3065">
        <v>28.82</v>
      </c>
      <c r="DG3065">
        <v>-6.02</v>
      </c>
      <c r="DH3065">
        <v>-5.15</v>
      </c>
      <c r="DI3065">
        <v>0.05</v>
      </c>
      <c r="DJ3065">
        <v>375</v>
      </c>
      <c r="DK3065">
        <v>600868</v>
      </c>
      <c r="DL3065" t="s">
        <v>120</v>
      </c>
      <c r="DM3065" t="s">
        <v>120</v>
      </c>
      <c r="DN3065" t="s">
        <v>120</v>
      </c>
    </row>
    <row r="3066" spans="1:118">
      <c r="A3066" t="str">
        <f>"600869"</f>
        <v>600869</v>
      </c>
      <c r="B3066" t="s">
        <v>13356</v>
      </c>
      <c r="C3066">
        <v>-3.57</v>
      </c>
      <c r="D3066">
        <v>-0.14000000000000001</v>
      </c>
      <c r="E3066">
        <v>-0.89</v>
      </c>
      <c r="F3066">
        <v>4110</v>
      </c>
      <c r="G3066" t="s">
        <v>1736</v>
      </c>
      <c r="H3066">
        <v>34486.32</v>
      </c>
      <c r="I3066">
        <v>121.08</v>
      </c>
      <c r="J3066" t="s">
        <v>120</v>
      </c>
      <c r="K3066" t="s">
        <v>13357</v>
      </c>
      <c r="L3066">
        <v>2.36</v>
      </c>
      <c r="M3066">
        <v>6.48</v>
      </c>
      <c r="N3066">
        <v>1.02</v>
      </c>
      <c r="O3066">
        <v>0.3</v>
      </c>
      <c r="P3066">
        <v>6.74</v>
      </c>
      <c r="Q3066">
        <v>-4.17</v>
      </c>
      <c r="R3066">
        <v>6.44</v>
      </c>
      <c r="S3066">
        <v>6.66</v>
      </c>
      <c r="T3066">
        <v>523155</v>
      </c>
      <c r="U3066">
        <v>6.48</v>
      </c>
      <c r="V3066">
        <v>6.72</v>
      </c>
      <c r="W3066">
        <v>23.82</v>
      </c>
      <c r="X3066" t="s">
        <v>394</v>
      </c>
      <c r="Y3066" t="s">
        <v>691</v>
      </c>
      <c r="Z3066">
        <v>4.46</v>
      </c>
      <c r="AA3066">
        <v>6.59</v>
      </c>
      <c r="AB3066">
        <v>301074</v>
      </c>
      <c r="AC3066">
        <v>222081</v>
      </c>
      <c r="AD3066">
        <v>1.36</v>
      </c>
      <c r="AE3066">
        <v>302</v>
      </c>
      <c r="AF3066">
        <v>1444</v>
      </c>
      <c r="AG3066" t="s">
        <v>120</v>
      </c>
      <c r="AH3066">
        <v>0.02</v>
      </c>
      <c r="AI3066" t="s">
        <v>120</v>
      </c>
      <c r="AJ3066">
        <v>22.19</v>
      </c>
      <c r="AK3066" t="s">
        <v>13357</v>
      </c>
      <c r="AL3066">
        <v>-2.23</v>
      </c>
      <c r="AM3066">
        <v>3921</v>
      </c>
      <c r="AN3066">
        <v>133</v>
      </c>
      <c r="AO3066">
        <v>5.9999999999999995E-4</v>
      </c>
      <c r="AP3066">
        <v>-1</v>
      </c>
      <c r="AQ3066">
        <v>2.91</v>
      </c>
      <c r="AR3066">
        <v>-1.97</v>
      </c>
      <c r="AS3066">
        <v>9.09</v>
      </c>
      <c r="AT3066">
        <v>39.36</v>
      </c>
      <c r="AU3066">
        <v>62.41</v>
      </c>
      <c r="AV3066">
        <v>7</v>
      </c>
      <c r="AW3066">
        <v>5.31</v>
      </c>
      <c r="AX3066">
        <v>44.39</v>
      </c>
      <c r="AY3066" t="s">
        <v>120</v>
      </c>
      <c r="AZ3066" t="s">
        <v>120</v>
      </c>
      <c r="BA3066">
        <v>1.01</v>
      </c>
      <c r="BB3066" t="s">
        <v>700</v>
      </c>
      <c r="BF3066">
        <v>-1.9</v>
      </c>
      <c r="BG3066">
        <v>-2.7</v>
      </c>
      <c r="BH3066">
        <v>-3.86</v>
      </c>
      <c r="BI3066">
        <v>0.62</v>
      </c>
      <c r="BJ3066">
        <v>20210813</v>
      </c>
      <c r="BK3066">
        <v>19950206</v>
      </c>
      <c r="BL3066">
        <v>22.19</v>
      </c>
      <c r="BM3066" t="s">
        <v>120</v>
      </c>
      <c r="BN3066" t="s">
        <v>120</v>
      </c>
      <c r="BO3066">
        <v>181.15</v>
      </c>
      <c r="BP3066">
        <v>6.47</v>
      </c>
      <c r="BQ3066">
        <v>35.03</v>
      </c>
      <c r="BR3066">
        <v>1.2</v>
      </c>
      <c r="BS3066">
        <v>80</v>
      </c>
      <c r="BT3066">
        <v>126.74</v>
      </c>
      <c r="BU3066">
        <v>30.63</v>
      </c>
      <c r="BV3066">
        <v>6.19</v>
      </c>
      <c r="BW3066">
        <v>133.43</v>
      </c>
      <c r="BX3066">
        <v>36.19</v>
      </c>
      <c r="BY3066">
        <v>25.62</v>
      </c>
      <c r="BZ3066">
        <v>39.07</v>
      </c>
      <c r="CA3066">
        <v>0.67</v>
      </c>
      <c r="CB3066">
        <v>12.32</v>
      </c>
      <c r="CC3066">
        <v>90.46</v>
      </c>
      <c r="CD3066">
        <v>78.260000000000005</v>
      </c>
      <c r="CE3066">
        <v>3.94</v>
      </c>
      <c r="CF3066">
        <v>0.01</v>
      </c>
      <c r="CG3066">
        <v>3.95</v>
      </c>
      <c r="CH3066">
        <v>3.19</v>
      </c>
      <c r="CI3066">
        <v>3.02</v>
      </c>
      <c r="CJ3066">
        <v>-0.24</v>
      </c>
      <c r="CK3066">
        <v>2.77</v>
      </c>
      <c r="CL3066">
        <v>-1.4</v>
      </c>
      <c r="CM3066">
        <v>1.44</v>
      </c>
      <c r="CN3066">
        <v>-1.73</v>
      </c>
      <c r="CO3066">
        <v>60032</v>
      </c>
      <c r="CP3066">
        <v>16411</v>
      </c>
      <c r="CQ3066" t="s">
        <v>6866</v>
      </c>
      <c r="CR3066">
        <v>129.25</v>
      </c>
      <c r="CS3066">
        <v>14.45</v>
      </c>
      <c r="CT3066">
        <v>4.1100000000000003</v>
      </c>
      <c r="CU3066">
        <v>99.76</v>
      </c>
      <c r="CV3066">
        <v>1.59</v>
      </c>
      <c r="CW3066">
        <v>0</v>
      </c>
      <c r="CX3066" t="s">
        <v>10091</v>
      </c>
      <c r="CY3066">
        <v>1.58</v>
      </c>
      <c r="CZ3066">
        <v>0</v>
      </c>
      <c r="DA3066">
        <v>0.56000000000000005</v>
      </c>
      <c r="DB3066">
        <v>-0.06</v>
      </c>
      <c r="DC3066">
        <v>0.06</v>
      </c>
      <c r="DD3066">
        <v>19.34</v>
      </c>
      <c r="DE3066" t="s">
        <v>9613</v>
      </c>
      <c r="DF3066">
        <v>13.49</v>
      </c>
      <c r="DG3066">
        <v>4.3499999999999996</v>
      </c>
      <c r="DH3066">
        <v>3.34</v>
      </c>
      <c r="DI3066">
        <v>2.29</v>
      </c>
      <c r="DJ3066">
        <v>8387</v>
      </c>
      <c r="DK3066">
        <v>600869</v>
      </c>
      <c r="DL3066" t="s">
        <v>120</v>
      </c>
      <c r="DM3066" t="s">
        <v>120</v>
      </c>
      <c r="DN3066" t="s">
        <v>120</v>
      </c>
    </row>
    <row r="3067" spans="1:118">
      <c r="A3067" t="str">
        <f>"600871"</f>
        <v>600871</v>
      </c>
      <c r="B3067" t="s">
        <v>13358</v>
      </c>
      <c r="C3067">
        <v>-5.54</v>
      </c>
      <c r="D3067">
        <v>-1.1499999999999999</v>
      </c>
      <c r="E3067">
        <v>1.48</v>
      </c>
      <c r="F3067">
        <v>45165</v>
      </c>
      <c r="G3067" t="s">
        <v>4893</v>
      </c>
      <c r="H3067">
        <v>49646.95</v>
      </c>
      <c r="I3067">
        <v>622.27</v>
      </c>
      <c r="J3067" t="s">
        <v>120</v>
      </c>
      <c r="K3067" t="s">
        <v>13359</v>
      </c>
      <c r="L3067">
        <v>1.39</v>
      </c>
      <c r="M3067">
        <v>2.56</v>
      </c>
      <c r="N3067">
        <v>0.81</v>
      </c>
      <c r="O3067">
        <v>1.85</v>
      </c>
      <c r="P3067">
        <v>2.76</v>
      </c>
      <c r="Q3067">
        <v>-5.9</v>
      </c>
      <c r="R3067">
        <v>2.5499999999999998</v>
      </c>
      <c r="S3067">
        <v>2.75</v>
      </c>
      <c r="T3067">
        <v>1882815</v>
      </c>
      <c r="U3067">
        <v>2.57</v>
      </c>
      <c r="V3067">
        <v>2.71</v>
      </c>
      <c r="W3067">
        <v>65.930000000000007</v>
      </c>
      <c r="X3067" t="s">
        <v>3867</v>
      </c>
      <c r="Y3067" t="s">
        <v>158</v>
      </c>
      <c r="Z3067">
        <v>7.75</v>
      </c>
      <c r="AA3067">
        <v>2.64</v>
      </c>
      <c r="AB3067">
        <v>1113831</v>
      </c>
      <c r="AC3067">
        <v>768984</v>
      </c>
      <c r="AD3067">
        <v>1.45</v>
      </c>
      <c r="AE3067">
        <v>3068</v>
      </c>
      <c r="AF3067">
        <v>18</v>
      </c>
      <c r="AG3067" t="s">
        <v>120</v>
      </c>
      <c r="AH3067">
        <v>0.08</v>
      </c>
      <c r="AI3067" t="s">
        <v>120</v>
      </c>
      <c r="AJ3067">
        <v>135.69</v>
      </c>
      <c r="AK3067" t="s">
        <v>13359</v>
      </c>
      <c r="AL3067">
        <v>-4.1900000000000004</v>
      </c>
      <c r="AM3067">
        <v>4423</v>
      </c>
      <c r="AN3067">
        <v>426</v>
      </c>
      <c r="AO3067">
        <v>2.9999999999999997E-4</v>
      </c>
      <c r="AP3067">
        <v>-1</v>
      </c>
      <c r="AQ3067">
        <v>4.2300000000000004</v>
      </c>
      <c r="AR3067">
        <v>0.78</v>
      </c>
      <c r="AS3067">
        <v>26.73</v>
      </c>
      <c r="AT3067">
        <v>28</v>
      </c>
      <c r="AU3067">
        <v>30.62</v>
      </c>
      <c r="AV3067">
        <v>3</v>
      </c>
      <c r="AW3067">
        <v>6.63</v>
      </c>
      <c r="AX3067">
        <v>20.94</v>
      </c>
      <c r="AY3067">
        <v>344.69</v>
      </c>
      <c r="AZ3067">
        <v>651.41999999999996</v>
      </c>
      <c r="BA3067">
        <v>0.48</v>
      </c>
      <c r="BB3067" t="s">
        <v>184</v>
      </c>
      <c r="BF3067">
        <v>-2.7</v>
      </c>
      <c r="BG3067">
        <v>-6.91</v>
      </c>
      <c r="BH3067">
        <v>-7.25</v>
      </c>
      <c r="BI3067">
        <v>0.39</v>
      </c>
      <c r="BJ3067">
        <v>20210826</v>
      </c>
      <c r="BK3067">
        <v>19950411</v>
      </c>
      <c r="BL3067">
        <v>189.84</v>
      </c>
      <c r="BM3067" t="s">
        <v>120</v>
      </c>
      <c r="BN3067">
        <v>54.15</v>
      </c>
      <c r="BO3067">
        <v>639.79999999999995</v>
      </c>
      <c r="BP3067">
        <v>2.56</v>
      </c>
      <c r="BQ3067">
        <v>74.17</v>
      </c>
      <c r="BR3067" t="s">
        <v>120</v>
      </c>
      <c r="BS3067">
        <v>88.41</v>
      </c>
      <c r="BT3067">
        <v>347.27</v>
      </c>
      <c r="BU3067">
        <v>216.52</v>
      </c>
      <c r="BV3067">
        <v>4.53</v>
      </c>
      <c r="BW3067">
        <v>547.79</v>
      </c>
      <c r="BX3067">
        <v>15.02</v>
      </c>
      <c r="BY3067">
        <v>13.15</v>
      </c>
      <c r="BZ3067">
        <v>78.58</v>
      </c>
      <c r="CA3067" t="s">
        <v>120</v>
      </c>
      <c r="CB3067">
        <v>117.18</v>
      </c>
      <c r="CC3067">
        <v>315.7</v>
      </c>
      <c r="CD3067">
        <v>294.98</v>
      </c>
      <c r="CE3067">
        <v>4.3</v>
      </c>
      <c r="CF3067">
        <v>0.19</v>
      </c>
      <c r="CG3067">
        <v>4.51</v>
      </c>
      <c r="CH3067">
        <v>3.69</v>
      </c>
      <c r="CI3067">
        <v>3.69</v>
      </c>
      <c r="CJ3067">
        <v>-0.15</v>
      </c>
      <c r="CK3067">
        <v>3.11</v>
      </c>
      <c r="CL3067">
        <v>-240.68</v>
      </c>
      <c r="CM3067">
        <v>3.59</v>
      </c>
      <c r="CN3067">
        <v>-0.23</v>
      </c>
      <c r="CO3067">
        <v>116013</v>
      </c>
      <c r="CP3067">
        <v>24493</v>
      </c>
      <c r="CQ3067" t="s">
        <v>4771</v>
      </c>
      <c r="CR3067">
        <v>23.56</v>
      </c>
      <c r="CS3067">
        <v>0.44</v>
      </c>
      <c r="CT3067">
        <v>6.55</v>
      </c>
      <c r="CU3067">
        <v>135.43</v>
      </c>
      <c r="CV3067">
        <v>1.54</v>
      </c>
      <c r="CW3067">
        <v>0</v>
      </c>
      <c r="CX3067" t="s">
        <v>499</v>
      </c>
      <c r="CY3067">
        <v>0.39</v>
      </c>
      <c r="CZ3067">
        <v>0</v>
      </c>
      <c r="DA3067">
        <v>0.62</v>
      </c>
      <c r="DB3067">
        <v>-1.27</v>
      </c>
      <c r="DC3067">
        <v>0.02</v>
      </c>
      <c r="DD3067">
        <v>11.59</v>
      </c>
      <c r="DE3067" t="s">
        <v>5005</v>
      </c>
      <c r="DF3067">
        <v>6.56</v>
      </c>
      <c r="DG3067">
        <v>1.36</v>
      </c>
      <c r="DH3067">
        <v>1.17</v>
      </c>
      <c r="DI3067">
        <v>3.49</v>
      </c>
      <c r="DJ3067">
        <v>71736</v>
      </c>
      <c r="DK3067">
        <v>600871</v>
      </c>
      <c r="DL3067" t="s">
        <v>120</v>
      </c>
      <c r="DM3067" t="s">
        <v>120</v>
      </c>
      <c r="DN3067" t="s">
        <v>120</v>
      </c>
    </row>
    <row r="3068" spans="1:118">
      <c r="A3068" t="str">
        <f>"600872"</f>
        <v>600872</v>
      </c>
      <c r="B3068" t="s">
        <v>13360</v>
      </c>
      <c r="C3068">
        <v>-1.1000000000000001</v>
      </c>
      <c r="D3068">
        <v>-0.16</v>
      </c>
      <c r="E3068">
        <v>0.1</v>
      </c>
      <c r="F3068">
        <v>2728</v>
      </c>
      <c r="G3068" t="s">
        <v>13361</v>
      </c>
      <c r="H3068">
        <v>45773.760000000002</v>
      </c>
      <c r="I3068">
        <v>135.76</v>
      </c>
      <c r="J3068" t="s">
        <v>120</v>
      </c>
      <c r="K3068" t="s">
        <v>13362</v>
      </c>
      <c r="L3068">
        <v>1.92</v>
      </c>
      <c r="M3068">
        <v>29.61</v>
      </c>
      <c r="N3068">
        <v>1.01</v>
      </c>
      <c r="O3068">
        <v>1.8</v>
      </c>
      <c r="P3068">
        <v>30.48</v>
      </c>
      <c r="Q3068">
        <v>-1.1399999999999999</v>
      </c>
      <c r="R3068">
        <v>29.6</v>
      </c>
      <c r="S3068">
        <v>29.97</v>
      </c>
      <c r="T3068">
        <v>152908</v>
      </c>
      <c r="U3068">
        <v>29.62</v>
      </c>
      <c r="V3068">
        <v>29.94</v>
      </c>
      <c r="W3068">
        <v>42.15</v>
      </c>
      <c r="X3068" t="s">
        <v>847</v>
      </c>
      <c r="Y3068" t="s">
        <v>547</v>
      </c>
      <c r="Z3068">
        <v>2.94</v>
      </c>
      <c r="AA3068">
        <v>29.94</v>
      </c>
      <c r="AB3068">
        <v>80596</v>
      </c>
      <c r="AC3068">
        <v>72312</v>
      </c>
      <c r="AD3068">
        <v>1.1100000000000001</v>
      </c>
      <c r="AE3068">
        <v>446</v>
      </c>
      <c r="AF3068">
        <v>296</v>
      </c>
      <c r="AG3068" t="s">
        <v>120</v>
      </c>
      <c r="AH3068">
        <v>0.01</v>
      </c>
      <c r="AI3068" t="s">
        <v>120</v>
      </c>
      <c r="AJ3068">
        <v>7.97</v>
      </c>
      <c r="AK3068" t="s">
        <v>13362</v>
      </c>
      <c r="AL3068">
        <v>0.24</v>
      </c>
      <c r="AM3068">
        <v>4275</v>
      </c>
      <c r="AN3068">
        <v>36</v>
      </c>
      <c r="AO3068">
        <v>4.0000000000000002E-4</v>
      </c>
      <c r="AP3068">
        <v>-6</v>
      </c>
      <c r="AQ3068">
        <v>-2.6</v>
      </c>
      <c r="AR3068">
        <v>-5.7</v>
      </c>
      <c r="AS3068">
        <v>-11.98</v>
      </c>
      <c r="AT3068">
        <v>-31.11</v>
      </c>
      <c r="AU3068">
        <v>-55.12</v>
      </c>
      <c r="AV3068">
        <v>3</v>
      </c>
      <c r="AW3068">
        <v>2.99</v>
      </c>
      <c r="AX3068">
        <v>64.27</v>
      </c>
      <c r="AY3068">
        <v>33.369999999999997</v>
      </c>
      <c r="AZ3068">
        <v>26.8</v>
      </c>
      <c r="BA3068">
        <v>1.29</v>
      </c>
      <c r="BB3068" t="s">
        <v>143</v>
      </c>
      <c r="BF3068">
        <v>-0.02</v>
      </c>
      <c r="BG3068">
        <v>-1.2</v>
      </c>
      <c r="BH3068">
        <v>-2.85</v>
      </c>
      <c r="BI3068">
        <v>0.03</v>
      </c>
      <c r="BJ3068">
        <v>20210831</v>
      </c>
      <c r="BK3068">
        <v>19950124</v>
      </c>
      <c r="BL3068">
        <v>7.97</v>
      </c>
      <c r="BM3068" t="s">
        <v>120</v>
      </c>
      <c r="BN3068" t="s">
        <v>120</v>
      </c>
      <c r="BO3068">
        <v>65.39</v>
      </c>
      <c r="BP3068">
        <v>29.61</v>
      </c>
      <c r="BQ3068">
        <v>40.18</v>
      </c>
      <c r="BR3068" t="s">
        <v>120</v>
      </c>
      <c r="BS3068">
        <v>38.56</v>
      </c>
      <c r="BT3068">
        <v>39.229999999999997</v>
      </c>
      <c r="BU3068">
        <v>14.75</v>
      </c>
      <c r="BV3068">
        <v>1.95</v>
      </c>
      <c r="BW3068">
        <v>20.07</v>
      </c>
      <c r="BX3068">
        <v>8.31</v>
      </c>
      <c r="BY3068">
        <v>17.43</v>
      </c>
      <c r="BZ3068">
        <v>0.28999999999999998</v>
      </c>
      <c r="CA3068" t="s">
        <v>120</v>
      </c>
      <c r="CB3068">
        <v>0.91</v>
      </c>
      <c r="CC3068">
        <v>23.16</v>
      </c>
      <c r="CD3068">
        <v>14.43</v>
      </c>
      <c r="CE3068">
        <v>3.6</v>
      </c>
      <c r="CF3068">
        <v>0.1</v>
      </c>
      <c r="CG3068">
        <v>3.6</v>
      </c>
      <c r="CH3068">
        <v>3.02</v>
      </c>
      <c r="CI3068">
        <v>2.8</v>
      </c>
      <c r="CJ3068">
        <v>-0.33</v>
      </c>
      <c r="CK3068">
        <v>2.69</v>
      </c>
      <c r="CL3068">
        <v>30.77</v>
      </c>
      <c r="CM3068">
        <v>3.98</v>
      </c>
      <c r="CN3068">
        <v>5.77</v>
      </c>
      <c r="CO3068">
        <v>97441</v>
      </c>
      <c r="CP3068">
        <v>5255</v>
      </c>
      <c r="CQ3068" t="s">
        <v>13363</v>
      </c>
      <c r="CR3068">
        <v>-38.51</v>
      </c>
      <c r="CS3068">
        <v>-9.34</v>
      </c>
      <c r="CT3068">
        <v>5.87</v>
      </c>
      <c r="CU3068">
        <v>59.29</v>
      </c>
      <c r="CV3068">
        <v>10.19</v>
      </c>
      <c r="CW3068">
        <v>2.27</v>
      </c>
      <c r="CX3068" t="s">
        <v>269</v>
      </c>
      <c r="CY3068">
        <v>5.04</v>
      </c>
      <c r="CZ3068">
        <v>0</v>
      </c>
      <c r="DA3068">
        <v>0.11</v>
      </c>
      <c r="DB3068">
        <v>3.86</v>
      </c>
      <c r="DC3068">
        <v>0.5</v>
      </c>
      <c r="DD3068">
        <v>61.44</v>
      </c>
      <c r="DE3068" t="s">
        <v>9369</v>
      </c>
      <c r="DF3068">
        <v>37.71</v>
      </c>
      <c r="DG3068">
        <v>15.56</v>
      </c>
      <c r="DH3068">
        <v>12.08</v>
      </c>
      <c r="DI3068">
        <v>0.87</v>
      </c>
      <c r="DJ3068">
        <v>5120</v>
      </c>
      <c r="DK3068">
        <v>600872</v>
      </c>
      <c r="DL3068" t="s">
        <v>120</v>
      </c>
      <c r="DM3068" t="s">
        <v>120</v>
      </c>
      <c r="DN3068" t="s">
        <v>120</v>
      </c>
    </row>
    <row r="3069" spans="1:118">
      <c r="A3069" t="str">
        <f>"600873"</f>
        <v>600873</v>
      </c>
      <c r="B3069" t="s">
        <v>13364</v>
      </c>
      <c r="C3069">
        <v>-1.28</v>
      </c>
      <c r="D3069">
        <v>0.28999999999999998</v>
      </c>
      <c r="E3069">
        <v>-0.28000000000000003</v>
      </c>
      <c r="F3069">
        <v>1758</v>
      </c>
      <c r="G3069" t="s">
        <v>13365</v>
      </c>
      <c r="H3069">
        <v>30125.360000000001</v>
      </c>
      <c r="I3069">
        <v>84.47</v>
      </c>
      <c r="J3069" t="s">
        <v>120</v>
      </c>
      <c r="K3069" t="s">
        <v>13366</v>
      </c>
      <c r="L3069">
        <v>1.38</v>
      </c>
      <c r="M3069">
        <v>6.94</v>
      </c>
      <c r="N3069">
        <v>0.93</v>
      </c>
      <c r="O3069">
        <v>2.7</v>
      </c>
      <c r="P3069">
        <v>7.22</v>
      </c>
      <c r="Q3069">
        <v>-1.85</v>
      </c>
      <c r="R3069">
        <v>6.9</v>
      </c>
      <c r="S3069">
        <v>7.01</v>
      </c>
      <c r="T3069">
        <v>426986</v>
      </c>
      <c r="U3069">
        <v>6.95</v>
      </c>
      <c r="V3069">
        <v>7.03</v>
      </c>
      <c r="W3069">
        <v>10.71</v>
      </c>
      <c r="X3069" t="s">
        <v>847</v>
      </c>
      <c r="Y3069" t="s">
        <v>1886</v>
      </c>
      <c r="Z3069">
        <v>4.55</v>
      </c>
      <c r="AA3069">
        <v>7.06</v>
      </c>
      <c r="AB3069">
        <v>227238</v>
      </c>
      <c r="AC3069">
        <v>199748</v>
      </c>
      <c r="AD3069">
        <v>1.1399999999999999</v>
      </c>
      <c r="AE3069">
        <v>179</v>
      </c>
      <c r="AF3069">
        <v>1034</v>
      </c>
      <c r="AG3069" t="s">
        <v>120</v>
      </c>
      <c r="AH3069">
        <v>0.01</v>
      </c>
      <c r="AI3069" t="s">
        <v>120</v>
      </c>
      <c r="AJ3069">
        <v>30.99</v>
      </c>
      <c r="AK3069" t="s">
        <v>13366</v>
      </c>
      <c r="AL3069">
        <v>0.06</v>
      </c>
      <c r="AM3069">
        <v>3887</v>
      </c>
      <c r="AN3069">
        <v>110</v>
      </c>
      <c r="AO3069">
        <v>4.0000000000000002E-4</v>
      </c>
      <c r="AP3069">
        <v>-1</v>
      </c>
      <c r="AQ3069">
        <v>2.1800000000000002</v>
      </c>
      <c r="AR3069">
        <v>-1.97</v>
      </c>
      <c r="AS3069">
        <v>12.48</v>
      </c>
      <c r="AT3069">
        <v>29.48</v>
      </c>
      <c r="AU3069">
        <v>59.18</v>
      </c>
      <c r="AV3069">
        <v>0</v>
      </c>
      <c r="AW3069">
        <v>1.9</v>
      </c>
      <c r="AX3069">
        <v>72.44</v>
      </c>
      <c r="AY3069">
        <v>16.13</v>
      </c>
      <c r="AZ3069">
        <v>22.18</v>
      </c>
      <c r="BA3069">
        <v>0.99</v>
      </c>
      <c r="BB3069" t="s">
        <v>143</v>
      </c>
      <c r="BF3069">
        <v>0.36</v>
      </c>
      <c r="BG3069">
        <v>-1</v>
      </c>
      <c r="BH3069">
        <v>-3.88</v>
      </c>
      <c r="BI3069">
        <v>0.57999999999999996</v>
      </c>
      <c r="BJ3069">
        <v>20210914</v>
      </c>
      <c r="BK3069">
        <v>19950217</v>
      </c>
      <c r="BL3069">
        <v>30.99</v>
      </c>
      <c r="BM3069" t="s">
        <v>120</v>
      </c>
      <c r="BN3069" t="s">
        <v>120</v>
      </c>
      <c r="BO3069">
        <v>198.81</v>
      </c>
      <c r="BP3069">
        <v>6.94</v>
      </c>
      <c r="BQ3069">
        <v>91.84</v>
      </c>
      <c r="BR3069">
        <v>2.4500000000000002</v>
      </c>
      <c r="BS3069">
        <v>52.57</v>
      </c>
      <c r="BT3069">
        <v>65.58</v>
      </c>
      <c r="BU3069">
        <v>105.18</v>
      </c>
      <c r="BV3069">
        <v>11.64</v>
      </c>
      <c r="BW3069">
        <v>59.47</v>
      </c>
      <c r="BX3069">
        <v>21.07</v>
      </c>
      <c r="BY3069">
        <v>28.71</v>
      </c>
      <c r="BZ3069">
        <v>4.6100000000000003</v>
      </c>
      <c r="CA3069" t="s">
        <v>120</v>
      </c>
      <c r="CB3069">
        <v>21.24</v>
      </c>
      <c r="CC3069">
        <v>110.27</v>
      </c>
      <c r="CD3069">
        <v>90.41</v>
      </c>
      <c r="CE3069">
        <v>12.15</v>
      </c>
      <c r="CF3069">
        <v>0.15</v>
      </c>
      <c r="CG3069">
        <v>12.09</v>
      </c>
      <c r="CH3069">
        <v>10.19</v>
      </c>
      <c r="CI3069">
        <v>10.039999999999999</v>
      </c>
      <c r="CJ3069">
        <v>-0.09</v>
      </c>
      <c r="CK3069">
        <v>9.73</v>
      </c>
      <c r="CL3069">
        <v>34.03</v>
      </c>
      <c r="CM3069">
        <v>11.29</v>
      </c>
      <c r="CN3069">
        <v>5.61</v>
      </c>
      <c r="CO3069">
        <v>107000</v>
      </c>
      <c r="CP3069">
        <v>20977</v>
      </c>
      <c r="CQ3069" t="s">
        <v>13367</v>
      </c>
      <c r="CR3069">
        <v>57.96</v>
      </c>
      <c r="CS3069">
        <v>35.51</v>
      </c>
      <c r="CT3069">
        <v>2.34</v>
      </c>
      <c r="CU3069">
        <v>19.05</v>
      </c>
      <c r="CV3069">
        <v>1.95</v>
      </c>
      <c r="CW3069">
        <v>4.25</v>
      </c>
      <c r="CX3069" t="s">
        <v>966</v>
      </c>
      <c r="CY3069">
        <v>2.96</v>
      </c>
      <c r="CZ3069">
        <v>2.96</v>
      </c>
      <c r="DA3069">
        <v>0.69</v>
      </c>
      <c r="DB3069">
        <v>1.1000000000000001</v>
      </c>
      <c r="DC3069">
        <v>0.36</v>
      </c>
      <c r="DD3069">
        <v>46.19</v>
      </c>
      <c r="DE3069" t="s">
        <v>13368</v>
      </c>
      <c r="DF3069">
        <v>18.010000000000002</v>
      </c>
      <c r="DG3069">
        <v>11.02</v>
      </c>
      <c r="DH3069">
        <v>9.11</v>
      </c>
      <c r="DI3069">
        <v>1.27</v>
      </c>
      <c r="DJ3069">
        <v>11644</v>
      </c>
      <c r="DK3069">
        <v>600873</v>
      </c>
      <c r="DL3069" t="s">
        <v>120</v>
      </c>
      <c r="DM3069" t="s">
        <v>120</v>
      </c>
      <c r="DN3069" t="s">
        <v>120</v>
      </c>
    </row>
    <row r="3070" spans="1:118">
      <c r="A3070" t="str">
        <f>"600874"</f>
        <v>600874</v>
      </c>
      <c r="B3070" t="s">
        <v>13369</v>
      </c>
      <c r="C3070">
        <v>-2.1800000000000002</v>
      </c>
      <c r="D3070">
        <v>-0.78</v>
      </c>
      <c r="E3070">
        <v>-0.16</v>
      </c>
      <c r="F3070">
        <v>10115</v>
      </c>
      <c r="G3070" t="s">
        <v>13370</v>
      </c>
      <c r="H3070">
        <v>5204.32</v>
      </c>
      <c r="I3070">
        <v>4.67</v>
      </c>
      <c r="J3070" t="s">
        <v>120</v>
      </c>
      <c r="K3070" t="s">
        <v>12163</v>
      </c>
      <c r="L3070">
        <v>0.75</v>
      </c>
      <c r="M3070">
        <v>6.27</v>
      </c>
      <c r="N3070">
        <v>0.98</v>
      </c>
      <c r="O3070">
        <v>1.0900000000000001</v>
      </c>
      <c r="P3070">
        <v>6.48</v>
      </c>
      <c r="Q3070">
        <v>-2.1800000000000002</v>
      </c>
      <c r="R3070">
        <v>6.27</v>
      </c>
      <c r="S3070">
        <v>6.4</v>
      </c>
      <c r="T3070">
        <v>81646</v>
      </c>
      <c r="U3070">
        <v>6.28</v>
      </c>
      <c r="V3070">
        <v>6.41</v>
      </c>
      <c r="W3070">
        <v>14.69</v>
      </c>
      <c r="X3070" t="s">
        <v>318</v>
      </c>
      <c r="Y3070" t="s">
        <v>997</v>
      </c>
      <c r="Z3070">
        <v>3.28</v>
      </c>
      <c r="AA3070">
        <v>6.37</v>
      </c>
      <c r="AB3070">
        <v>49545</v>
      </c>
      <c r="AC3070">
        <v>32101</v>
      </c>
      <c r="AD3070">
        <v>1.54</v>
      </c>
      <c r="AE3070">
        <v>605</v>
      </c>
      <c r="AF3070">
        <v>2</v>
      </c>
      <c r="AG3070" t="s">
        <v>120</v>
      </c>
      <c r="AH3070">
        <v>0</v>
      </c>
      <c r="AI3070" t="s">
        <v>120</v>
      </c>
      <c r="AJ3070">
        <v>10.87</v>
      </c>
      <c r="AK3070" t="s">
        <v>12163</v>
      </c>
      <c r="AL3070">
        <v>-0.84</v>
      </c>
      <c r="AM3070">
        <v>2326</v>
      </c>
      <c r="AN3070">
        <v>35</v>
      </c>
      <c r="AO3070">
        <v>2.9999999999999997E-4</v>
      </c>
      <c r="AP3070">
        <v>-1</v>
      </c>
      <c r="AQ3070">
        <v>0.16</v>
      </c>
      <c r="AR3070">
        <v>-3.98</v>
      </c>
      <c r="AS3070">
        <v>6.27</v>
      </c>
      <c r="AT3070">
        <v>1.79</v>
      </c>
      <c r="AU3070">
        <v>-5.72</v>
      </c>
      <c r="AV3070">
        <v>1</v>
      </c>
      <c r="AW3070">
        <v>2.2000000000000002</v>
      </c>
      <c r="AX3070">
        <v>34.18</v>
      </c>
      <c r="AY3070">
        <v>14.81</v>
      </c>
      <c r="AZ3070">
        <v>16.05</v>
      </c>
      <c r="BA3070">
        <v>0.63</v>
      </c>
      <c r="BB3070" t="s">
        <v>143</v>
      </c>
      <c r="BF3070">
        <v>-0.56000000000000005</v>
      </c>
      <c r="BG3070">
        <v>-2.0299999999999998</v>
      </c>
      <c r="BH3070">
        <v>-3.24</v>
      </c>
      <c r="BI3070">
        <v>0</v>
      </c>
      <c r="BJ3070">
        <v>20210826</v>
      </c>
      <c r="BK3070">
        <v>19950630</v>
      </c>
      <c r="BL3070">
        <v>14.27</v>
      </c>
      <c r="BM3070" t="s">
        <v>120</v>
      </c>
      <c r="BN3070">
        <v>3.4</v>
      </c>
      <c r="BO3070">
        <v>200.96</v>
      </c>
      <c r="BP3070">
        <v>6.27</v>
      </c>
      <c r="BQ3070">
        <v>67.25</v>
      </c>
      <c r="BR3070">
        <v>9.9600000000000009</v>
      </c>
      <c r="BS3070">
        <v>61.58</v>
      </c>
      <c r="BT3070">
        <v>43.22</v>
      </c>
      <c r="BU3070">
        <v>9.9600000000000009</v>
      </c>
      <c r="BV3070">
        <v>120.8</v>
      </c>
      <c r="BW3070">
        <v>36.29</v>
      </c>
      <c r="BX3070">
        <v>18.63</v>
      </c>
      <c r="BY3070">
        <v>0.22</v>
      </c>
      <c r="BZ3070">
        <v>21.79</v>
      </c>
      <c r="CA3070" t="s">
        <v>120</v>
      </c>
      <c r="CB3070">
        <v>4.3099999999999996</v>
      </c>
      <c r="CC3070">
        <v>19.04</v>
      </c>
      <c r="CD3070">
        <v>12.64</v>
      </c>
      <c r="CE3070">
        <v>4.07</v>
      </c>
      <c r="CF3070">
        <v>0</v>
      </c>
      <c r="CG3070">
        <v>4.07</v>
      </c>
      <c r="CH3070">
        <v>3.37</v>
      </c>
      <c r="CI3070">
        <v>3.04</v>
      </c>
      <c r="CJ3070">
        <v>-0.14000000000000001</v>
      </c>
      <c r="CK3070">
        <v>2.64</v>
      </c>
      <c r="CL3070">
        <v>42.47</v>
      </c>
      <c r="CM3070">
        <v>6.89</v>
      </c>
      <c r="CN3070">
        <v>1.9</v>
      </c>
      <c r="CO3070">
        <v>65406</v>
      </c>
      <c r="CP3070">
        <v>5682</v>
      </c>
      <c r="CQ3070" t="s">
        <v>7355</v>
      </c>
      <c r="CR3070">
        <v>18.5</v>
      </c>
      <c r="CS3070">
        <v>25.15</v>
      </c>
      <c r="CT3070">
        <v>1.33</v>
      </c>
      <c r="CU3070">
        <v>12.98</v>
      </c>
      <c r="CV3070">
        <v>4.7</v>
      </c>
      <c r="CW3070">
        <v>1.87</v>
      </c>
      <c r="CX3070" t="s">
        <v>2097</v>
      </c>
      <c r="CY3070">
        <v>4.71</v>
      </c>
      <c r="CZ3070">
        <v>0</v>
      </c>
      <c r="DA3070">
        <v>0.3</v>
      </c>
      <c r="DB3070">
        <v>2.98</v>
      </c>
      <c r="DC3070">
        <v>0.48</v>
      </c>
      <c r="DD3070">
        <v>33.46</v>
      </c>
      <c r="DE3070" t="s">
        <v>13371</v>
      </c>
      <c r="DF3070">
        <v>33.61</v>
      </c>
      <c r="DG3070">
        <v>21.4</v>
      </c>
      <c r="DH3070">
        <v>15.99</v>
      </c>
      <c r="DI3070">
        <v>0.04</v>
      </c>
      <c r="DJ3070">
        <v>2034</v>
      </c>
      <c r="DK3070">
        <v>600874</v>
      </c>
      <c r="DL3070" t="s">
        <v>120</v>
      </c>
      <c r="DM3070" t="s">
        <v>120</v>
      </c>
      <c r="DN3070" t="s">
        <v>120</v>
      </c>
    </row>
    <row r="3071" spans="1:118">
      <c r="A3071" t="str">
        <f>"600875"</f>
        <v>600875</v>
      </c>
      <c r="B3071" t="s">
        <v>13372</v>
      </c>
      <c r="C3071">
        <v>-6.85</v>
      </c>
      <c r="D3071">
        <v>0.55000000000000004</v>
      </c>
      <c r="E3071">
        <v>-1.03</v>
      </c>
      <c r="F3071">
        <v>8780</v>
      </c>
      <c r="G3071" t="s">
        <v>13373</v>
      </c>
      <c r="H3071">
        <v>134149.16</v>
      </c>
      <c r="I3071">
        <v>987.98</v>
      </c>
      <c r="J3071" t="s">
        <v>120</v>
      </c>
      <c r="K3071" t="s">
        <v>13374</v>
      </c>
      <c r="L3071">
        <v>4</v>
      </c>
      <c r="M3071">
        <v>16.309999999999999</v>
      </c>
      <c r="N3071">
        <v>0.82</v>
      </c>
      <c r="O3071">
        <v>0.06</v>
      </c>
      <c r="P3071">
        <v>17.52</v>
      </c>
      <c r="Q3071">
        <v>-7.48</v>
      </c>
      <c r="R3071">
        <v>16.2</v>
      </c>
      <c r="S3071">
        <v>17.329999999999998</v>
      </c>
      <c r="T3071">
        <v>799334</v>
      </c>
      <c r="U3071">
        <v>16.309999999999999</v>
      </c>
      <c r="V3071">
        <v>17.510000000000002</v>
      </c>
      <c r="W3071">
        <v>18.87</v>
      </c>
      <c r="X3071" t="s">
        <v>394</v>
      </c>
      <c r="Y3071" t="s">
        <v>578</v>
      </c>
      <c r="Z3071">
        <v>7.54</v>
      </c>
      <c r="AA3071">
        <v>16.78</v>
      </c>
      <c r="AB3071">
        <v>448645</v>
      </c>
      <c r="AC3071">
        <v>350689</v>
      </c>
      <c r="AD3071">
        <v>1.28</v>
      </c>
      <c r="AE3071">
        <v>45</v>
      </c>
      <c r="AF3071">
        <v>126</v>
      </c>
      <c r="AG3071" t="s">
        <v>120</v>
      </c>
      <c r="AH3071">
        <v>0.06</v>
      </c>
      <c r="AI3071" t="s">
        <v>120</v>
      </c>
      <c r="AJ3071">
        <v>19.97</v>
      </c>
      <c r="AK3071" t="s">
        <v>13375</v>
      </c>
      <c r="AL3071">
        <v>-5.51</v>
      </c>
      <c r="AM3071">
        <v>4650</v>
      </c>
      <c r="AN3071">
        <v>172</v>
      </c>
      <c r="AO3071">
        <v>8.9999999999999998E-4</v>
      </c>
      <c r="AP3071">
        <v>-1</v>
      </c>
      <c r="AQ3071">
        <v>4.9800000000000004</v>
      </c>
      <c r="AR3071">
        <v>-5.17</v>
      </c>
      <c r="AS3071">
        <v>5.64</v>
      </c>
      <c r="AT3071">
        <v>51.3</v>
      </c>
      <c r="AU3071">
        <v>66.599999999999994</v>
      </c>
      <c r="AV3071">
        <v>6</v>
      </c>
      <c r="AW3071">
        <v>7.81</v>
      </c>
      <c r="AX3071">
        <v>36.81</v>
      </c>
      <c r="AY3071">
        <v>24.21</v>
      </c>
      <c r="AZ3071">
        <v>29.33</v>
      </c>
      <c r="BA3071">
        <v>0.18</v>
      </c>
      <c r="BB3071" t="s">
        <v>184</v>
      </c>
      <c r="BF3071">
        <v>-4.1500000000000004</v>
      </c>
      <c r="BG3071">
        <v>-5.89</v>
      </c>
      <c r="BH3071">
        <v>-6.91</v>
      </c>
      <c r="BI3071">
        <v>0.68</v>
      </c>
      <c r="BJ3071">
        <v>20210913</v>
      </c>
      <c r="BK3071">
        <v>19951010</v>
      </c>
      <c r="BL3071">
        <v>31.19</v>
      </c>
      <c r="BM3071" t="s">
        <v>120</v>
      </c>
      <c r="BN3071">
        <v>3.4</v>
      </c>
      <c r="BO3071">
        <v>995.08</v>
      </c>
      <c r="BP3071">
        <v>16.3</v>
      </c>
      <c r="BQ3071">
        <v>317.08</v>
      </c>
      <c r="BR3071">
        <v>28.44</v>
      </c>
      <c r="BS3071">
        <v>65.28</v>
      </c>
      <c r="BT3071">
        <v>756.39</v>
      </c>
      <c r="BU3071">
        <v>48.62</v>
      </c>
      <c r="BV3071">
        <v>15.15</v>
      </c>
      <c r="BW3071">
        <v>567.32000000000005</v>
      </c>
      <c r="BX3071">
        <v>257.99</v>
      </c>
      <c r="BY3071">
        <v>173.95</v>
      </c>
      <c r="BZ3071">
        <v>80.97</v>
      </c>
      <c r="CA3071" t="s">
        <v>120</v>
      </c>
      <c r="CB3071">
        <v>115.83</v>
      </c>
      <c r="CC3071">
        <v>222.13</v>
      </c>
      <c r="CD3071">
        <v>182.1</v>
      </c>
      <c r="CE3071">
        <v>16.350000000000001</v>
      </c>
      <c r="CF3071">
        <v>1.84</v>
      </c>
      <c r="CG3071">
        <v>16.29</v>
      </c>
      <c r="CH3071">
        <v>14.4</v>
      </c>
      <c r="CI3071">
        <v>13.48</v>
      </c>
      <c r="CJ3071">
        <v>-1.2</v>
      </c>
      <c r="CK3071">
        <v>12.28</v>
      </c>
      <c r="CL3071">
        <v>161.69</v>
      </c>
      <c r="CM3071">
        <v>-46.63</v>
      </c>
      <c r="CN3071">
        <v>-6.53</v>
      </c>
      <c r="CO3071">
        <v>126366</v>
      </c>
      <c r="CP3071">
        <v>8095</v>
      </c>
      <c r="CQ3071" t="s">
        <v>6822</v>
      </c>
      <c r="CR3071">
        <v>41.27</v>
      </c>
      <c r="CS3071">
        <v>28.99</v>
      </c>
      <c r="CT3071">
        <v>1.6</v>
      </c>
      <c r="CU3071">
        <v>-10.91</v>
      </c>
      <c r="CV3071">
        <v>2.29</v>
      </c>
      <c r="CW3071">
        <v>1.03</v>
      </c>
      <c r="CX3071" t="s">
        <v>1462</v>
      </c>
      <c r="CY3071">
        <v>10.16</v>
      </c>
      <c r="CZ3071">
        <v>10.16</v>
      </c>
      <c r="DA3071">
        <v>3.71</v>
      </c>
      <c r="DB3071">
        <v>5.18</v>
      </c>
      <c r="DC3071">
        <v>-1.49</v>
      </c>
      <c r="DD3071">
        <v>31.86</v>
      </c>
      <c r="DE3071" t="s">
        <v>3181</v>
      </c>
      <c r="DF3071">
        <v>18.02</v>
      </c>
      <c r="DG3071">
        <v>7.36</v>
      </c>
      <c r="DH3071">
        <v>6.07</v>
      </c>
      <c r="DI3071">
        <v>10.34</v>
      </c>
      <c r="DJ3071">
        <v>17336</v>
      </c>
      <c r="DK3071">
        <v>600875</v>
      </c>
      <c r="DL3071">
        <v>20210817</v>
      </c>
      <c r="DM3071">
        <v>14.71</v>
      </c>
      <c r="DN3071">
        <v>10.88</v>
      </c>
    </row>
    <row r="3072" spans="1:118">
      <c r="A3072" t="str">
        <f>"600876"</f>
        <v>600876</v>
      </c>
      <c r="B3072" t="s">
        <v>13376</v>
      </c>
      <c r="C3072">
        <v>-4.75</v>
      </c>
      <c r="D3072">
        <v>0</v>
      </c>
      <c r="E3072">
        <v>0.33</v>
      </c>
      <c r="F3072">
        <v>470</v>
      </c>
      <c r="G3072" t="s">
        <v>6643</v>
      </c>
      <c r="H3072">
        <v>15154.34</v>
      </c>
      <c r="I3072">
        <v>52.52</v>
      </c>
      <c r="J3072" t="s">
        <v>120</v>
      </c>
      <c r="K3072" t="s">
        <v>7124</v>
      </c>
      <c r="L3072">
        <v>2.61</v>
      </c>
      <c r="M3072">
        <v>20.27</v>
      </c>
      <c r="N3072">
        <v>0.87</v>
      </c>
      <c r="O3072">
        <v>0.52</v>
      </c>
      <c r="P3072">
        <v>21.39</v>
      </c>
      <c r="Q3072">
        <v>-5.08</v>
      </c>
      <c r="R3072">
        <v>20.2</v>
      </c>
      <c r="S3072">
        <v>21.35</v>
      </c>
      <c r="T3072">
        <v>73482</v>
      </c>
      <c r="U3072">
        <v>20.28</v>
      </c>
      <c r="V3072">
        <v>21.28</v>
      </c>
      <c r="W3072">
        <v>33.04</v>
      </c>
      <c r="X3072" t="s">
        <v>191</v>
      </c>
      <c r="Y3072" t="s">
        <v>645</v>
      </c>
      <c r="Z3072">
        <v>5.59</v>
      </c>
      <c r="AA3072">
        <v>20.62</v>
      </c>
      <c r="AB3072">
        <v>48535</v>
      </c>
      <c r="AC3072">
        <v>24947</v>
      </c>
      <c r="AD3072">
        <v>1.95</v>
      </c>
      <c r="AE3072">
        <v>222</v>
      </c>
      <c r="AF3072">
        <v>271</v>
      </c>
      <c r="AG3072" t="s">
        <v>120</v>
      </c>
      <c r="AH3072">
        <v>0.02</v>
      </c>
      <c r="AI3072" t="s">
        <v>120</v>
      </c>
      <c r="AJ3072">
        <v>2.81</v>
      </c>
      <c r="AK3072" t="s">
        <v>13377</v>
      </c>
      <c r="AL3072">
        <v>-3.4</v>
      </c>
      <c r="AM3072">
        <v>3578</v>
      </c>
      <c r="AN3072">
        <v>21</v>
      </c>
      <c r="AO3072">
        <v>6.9999999999999999E-4</v>
      </c>
      <c r="AP3072">
        <v>-1</v>
      </c>
      <c r="AQ3072">
        <v>0.81</v>
      </c>
      <c r="AR3072">
        <v>-5.15</v>
      </c>
      <c r="AS3072">
        <v>-13.12</v>
      </c>
      <c r="AT3072">
        <v>13.18</v>
      </c>
      <c r="AU3072">
        <v>4.0599999999999996</v>
      </c>
      <c r="AV3072">
        <v>7</v>
      </c>
      <c r="AW3072">
        <v>6.87</v>
      </c>
      <c r="AX3072">
        <v>27.05</v>
      </c>
      <c r="AY3072">
        <v>26.98</v>
      </c>
      <c r="AZ3072">
        <v>41.97</v>
      </c>
      <c r="BA3072">
        <v>0.47</v>
      </c>
      <c r="BB3072" t="s">
        <v>143</v>
      </c>
      <c r="BF3072">
        <v>-3.09</v>
      </c>
      <c r="BG3072">
        <v>-5.0599999999999996</v>
      </c>
      <c r="BH3072">
        <v>-5.24</v>
      </c>
      <c r="BI3072">
        <v>0.35</v>
      </c>
      <c r="BJ3072">
        <v>20210913</v>
      </c>
      <c r="BK3072">
        <v>19951031</v>
      </c>
      <c r="BL3072">
        <v>6.46</v>
      </c>
      <c r="BM3072" t="s">
        <v>120</v>
      </c>
      <c r="BN3072">
        <v>2.5</v>
      </c>
      <c r="BO3072">
        <v>65.150000000000006</v>
      </c>
      <c r="BP3072">
        <v>20.27</v>
      </c>
      <c r="BQ3072">
        <v>18.25</v>
      </c>
      <c r="BR3072">
        <v>1.5</v>
      </c>
      <c r="BS3072">
        <v>69.7</v>
      </c>
      <c r="BT3072">
        <v>23.5</v>
      </c>
      <c r="BU3072">
        <v>30</v>
      </c>
      <c r="BV3072">
        <v>3.94</v>
      </c>
      <c r="BW3072">
        <v>36.31</v>
      </c>
      <c r="BX3072">
        <v>7.05</v>
      </c>
      <c r="BY3072">
        <v>3.51</v>
      </c>
      <c r="BZ3072">
        <v>4.83</v>
      </c>
      <c r="CA3072" t="s">
        <v>120</v>
      </c>
      <c r="CB3072">
        <v>19.82</v>
      </c>
      <c r="CC3072">
        <v>15.95</v>
      </c>
      <c r="CD3072">
        <v>11.02</v>
      </c>
      <c r="CE3072">
        <v>2.63</v>
      </c>
      <c r="CF3072">
        <v>-0.09</v>
      </c>
      <c r="CG3072">
        <v>2.63</v>
      </c>
      <c r="CH3072">
        <v>2.19</v>
      </c>
      <c r="CI3072">
        <v>1.98</v>
      </c>
      <c r="CJ3072">
        <v>-1.01</v>
      </c>
      <c r="CK3072">
        <v>1.86</v>
      </c>
      <c r="CL3072">
        <v>-7.58</v>
      </c>
      <c r="CM3072">
        <v>0.68</v>
      </c>
      <c r="CN3072">
        <v>4.3600000000000003</v>
      </c>
      <c r="CO3072">
        <v>36757</v>
      </c>
      <c r="CP3072">
        <v>2912</v>
      </c>
      <c r="CQ3072" t="s">
        <v>3869</v>
      </c>
      <c r="CR3072">
        <v>1126.73</v>
      </c>
      <c r="CS3072">
        <v>66.52</v>
      </c>
      <c r="CT3072">
        <v>6.09</v>
      </c>
      <c r="CU3072">
        <v>192.12</v>
      </c>
      <c r="CV3072">
        <v>8.2100000000000009</v>
      </c>
      <c r="CW3072">
        <v>0</v>
      </c>
      <c r="CX3072" t="s">
        <v>472</v>
      </c>
      <c r="CY3072">
        <v>3.33</v>
      </c>
      <c r="CZ3072">
        <v>3.33</v>
      </c>
      <c r="DA3072">
        <v>3.07</v>
      </c>
      <c r="DB3072">
        <v>-1.17</v>
      </c>
      <c r="DC3072">
        <v>0.11</v>
      </c>
      <c r="DD3072">
        <v>28.01</v>
      </c>
      <c r="DE3072" t="s">
        <v>13378</v>
      </c>
      <c r="DF3072">
        <v>30.87</v>
      </c>
      <c r="DG3072">
        <v>16.5</v>
      </c>
      <c r="DH3072">
        <v>12.42</v>
      </c>
      <c r="DI3072">
        <v>0.9</v>
      </c>
      <c r="DJ3072">
        <v>2641</v>
      </c>
      <c r="DK3072">
        <v>600876</v>
      </c>
      <c r="DL3072" t="s">
        <v>120</v>
      </c>
      <c r="DM3072" t="s">
        <v>120</v>
      </c>
      <c r="DN3072" t="s">
        <v>120</v>
      </c>
    </row>
    <row r="3073" spans="1:118">
      <c r="A3073" t="str">
        <f>"600877"</f>
        <v>600877</v>
      </c>
      <c r="B3073" t="s">
        <v>13379</v>
      </c>
      <c r="C3073">
        <v>-8.08</v>
      </c>
      <c r="D3073">
        <v>-0.06</v>
      </c>
      <c r="E3073">
        <v>-2.08</v>
      </c>
      <c r="F3073">
        <v>1113</v>
      </c>
      <c r="G3073" t="s">
        <v>12681</v>
      </c>
      <c r="H3073">
        <v>29281.06</v>
      </c>
      <c r="I3073">
        <v>397.99</v>
      </c>
      <c r="J3073" t="s">
        <v>120</v>
      </c>
      <c r="K3073" t="s">
        <v>13380</v>
      </c>
      <c r="L3073">
        <v>2.8</v>
      </c>
      <c r="M3073">
        <v>15.01</v>
      </c>
      <c r="N3073">
        <v>1.18</v>
      </c>
      <c r="O3073">
        <v>-2.08</v>
      </c>
      <c r="P3073">
        <v>15.99</v>
      </c>
      <c r="Q3073">
        <v>-8.39</v>
      </c>
      <c r="R3073">
        <v>14.96</v>
      </c>
      <c r="S3073">
        <v>15.99</v>
      </c>
      <c r="T3073">
        <v>192328</v>
      </c>
      <c r="U3073">
        <v>15.02</v>
      </c>
      <c r="V3073">
        <v>16.329999999999998</v>
      </c>
      <c r="W3073">
        <v>196.18</v>
      </c>
      <c r="X3073" t="s">
        <v>394</v>
      </c>
      <c r="Y3073" t="s">
        <v>883</v>
      </c>
      <c r="Z3073">
        <v>6.31</v>
      </c>
      <c r="AA3073">
        <v>15.22</v>
      </c>
      <c r="AB3073">
        <v>108891</v>
      </c>
      <c r="AC3073">
        <v>83437</v>
      </c>
      <c r="AD3073">
        <v>1.31</v>
      </c>
      <c r="AE3073">
        <v>679</v>
      </c>
      <c r="AF3073">
        <v>229</v>
      </c>
      <c r="AG3073" t="s">
        <v>120</v>
      </c>
      <c r="AH3073">
        <v>0.05</v>
      </c>
      <c r="AI3073" t="s">
        <v>120</v>
      </c>
      <c r="AJ3073">
        <v>6.87</v>
      </c>
      <c r="AK3073" t="s">
        <v>13381</v>
      </c>
      <c r="AL3073">
        <v>-6.74</v>
      </c>
      <c r="AM3073">
        <v>3087</v>
      </c>
      <c r="AN3073">
        <v>62</v>
      </c>
      <c r="AO3073">
        <v>8.9999999999999998E-4</v>
      </c>
      <c r="AP3073">
        <v>-1</v>
      </c>
      <c r="AQ3073">
        <v>1.1100000000000001</v>
      </c>
      <c r="AR3073">
        <v>-3.22</v>
      </c>
      <c r="AS3073">
        <v>14.58</v>
      </c>
      <c r="AT3073">
        <v>-6.19</v>
      </c>
      <c r="AU3073">
        <v>74.33</v>
      </c>
      <c r="AV3073">
        <v>26</v>
      </c>
      <c r="AW3073">
        <v>3.6</v>
      </c>
      <c r="AX3073">
        <v>64.92</v>
      </c>
      <c r="AY3073">
        <v>167.98</v>
      </c>
      <c r="AZ3073">
        <v>166.75</v>
      </c>
      <c r="BA3073">
        <v>0.31</v>
      </c>
      <c r="BB3073" t="s">
        <v>143</v>
      </c>
      <c r="BF3073">
        <v>-6.77</v>
      </c>
      <c r="BG3073">
        <v>-6.13</v>
      </c>
      <c r="BH3073">
        <v>-6.13</v>
      </c>
      <c r="BI3073">
        <v>0.33</v>
      </c>
      <c r="BJ3073">
        <v>20210827</v>
      </c>
      <c r="BK3073">
        <v>19951013</v>
      </c>
      <c r="BL3073">
        <v>8.2200000000000006</v>
      </c>
      <c r="BM3073" t="s">
        <v>120</v>
      </c>
      <c r="BN3073" t="s">
        <v>120</v>
      </c>
      <c r="BO3073">
        <v>15.53</v>
      </c>
      <c r="BP3073">
        <v>15.01</v>
      </c>
      <c r="BQ3073">
        <v>4.0199999999999996</v>
      </c>
      <c r="BR3073">
        <v>5.17</v>
      </c>
      <c r="BS3073">
        <v>40.799999999999997</v>
      </c>
      <c r="BT3073">
        <v>13.85</v>
      </c>
      <c r="BU3073">
        <v>0.41</v>
      </c>
      <c r="BV3073">
        <v>0.49</v>
      </c>
      <c r="BW3073">
        <v>5.91</v>
      </c>
      <c r="BX3073">
        <v>1.69</v>
      </c>
      <c r="BY3073">
        <v>4.68</v>
      </c>
      <c r="BZ3073">
        <v>4.6399999999999997</v>
      </c>
      <c r="CA3073" t="s">
        <v>120</v>
      </c>
      <c r="CB3073">
        <v>0</v>
      </c>
      <c r="CC3073">
        <v>6.41</v>
      </c>
      <c r="CD3073">
        <v>4.62</v>
      </c>
      <c r="CE3073">
        <v>0.75</v>
      </c>
      <c r="CF3073">
        <v>0</v>
      </c>
      <c r="CG3073">
        <v>0.76</v>
      </c>
      <c r="CH3073">
        <v>0.69</v>
      </c>
      <c r="CI3073">
        <v>0.31</v>
      </c>
      <c r="CJ3073">
        <v>-1.32</v>
      </c>
      <c r="CK3073">
        <v>0.08</v>
      </c>
      <c r="CL3073">
        <v>-4.37</v>
      </c>
      <c r="CM3073">
        <v>0.18</v>
      </c>
      <c r="CN3073">
        <v>-1.68</v>
      </c>
      <c r="CO3073">
        <v>44472</v>
      </c>
      <c r="CP3073">
        <v>12001</v>
      </c>
      <c r="CQ3073" t="s">
        <v>13382</v>
      </c>
      <c r="CR3073">
        <v>-1.84</v>
      </c>
      <c r="CS3073">
        <v>1.42</v>
      </c>
      <c r="CT3073">
        <v>30.68</v>
      </c>
      <c r="CU3073">
        <v>696.03</v>
      </c>
      <c r="CV3073">
        <v>19.260000000000002</v>
      </c>
      <c r="CW3073">
        <v>0</v>
      </c>
      <c r="CX3073" t="s">
        <v>5361</v>
      </c>
      <c r="CY3073">
        <v>0.49</v>
      </c>
      <c r="CZ3073">
        <v>0</v>
      </c>
      <c r="DA3073">
        <v>0</v>
      </c>
      <c r="DB3073">
        <v>-0.53</v>
      </c>
      <c r="DC3073">
        <v>0.02</v>
      </c>
      <c r="DD3073">
        <v>25.9</v>
      </c>
      <c r="DE3073" t="s">
        <v>5430</v>
      </c>
      <c r="DF3073">
        <v>27.85</v>
      </c>
      <c r="DG3073">
        <v>11.78</v>
      </c>
      <c r="DH3073">
        <v>4.91</v>
      </c>
      <c r="DI3073">
        <v>0.78</v>
      </c>
      <c r="DJ3073">
        <v>404</v>
      </c>
      <c r="DK3073">
        <v>600877</v>
      </c>
      <c r="DL3073" t="s">
        <v>120</v>
      </c>
      <c r="DM3073" t="s">
        <v>120</v>
      </c>
      <c r="DN3073" t="s">
        <v>120</v>
      </c>
    </row>
    <row r="3074" spans="1:118">
      <c r="A3074" t="str">
        <f>"600879"</f>
        <v>600879</v>
      </c>
      <c r="B3074" t="s">
        <v>13383</v>
      </c>
      <c r="C3074">
        <v>-2.78</v>
      </c>
      <c r="D3074">
        <v>-0.12</v>
      </c>
      <c r="E3074">
        <v>-0.51</v>
      </c>
      <c r="F3074">
        <v>5635</v>
      </c>
      <c r="G3074" t="s">
        <v>13384</v>
      </c>
      <c r="H3074">
        <v>51140.03</v>
      </c>
      <c r="I3074">
        <v>176.83</v>
      </c>
      <c r="J3074" t="s">
        <v>120</v>
      </c>
      <c r="K3074" t="s">
        <v>13385</v>
      </c>
      <c r="L3074">
        <v>2.4</v>
      </c>
      <c r="M3074">
        <v>7.7</v>
      </c>
      <c r="N3074">
        <v>0.8</v>
      </c>
      <c r="O3074">
        <v>0.88</v>
      </c>
      <c r="P3074">
        <v>7.99</v>
      </c>
      <c r="Q3074">
        <v>-3.41</v>
      </c>
      <c r="R3074">
        <v>7.65</v>
      </c>
      <c r="S3074">
        <v>7.88</v>
      </c>
      <c r="T3074">
        <v>653401</v>
      </c>
      <c r="U3074">
        <v>7.7</v>
      </c>
      <c r="V3074">
        <v>7.92</v>
      </c>
      <c r="W3074">
        <v>32.17</v>
      </c>
      <c r="X3074" t="s">
        <v>1621</v>
      </c>
      <c r="Y3074" t="s">
        <v>763</v>
      </c>
      <c r="Z3074">
        <v>4.29</v>
      </c>
      <c r="AA3074">
        <v>7.83</v>
      </c>
      <c r="AB3074">
        <v>358926</v>
      </c>
      <c r="AC3074">
        <v>294475</v>
      </c>
      <c r="AD3074">
        <v>1.22</v>
      </c>
      <c r="AE3074">
        <v>1966</v>
      </c>
      <c r="AF3074">
        <v>1974</v>
      </c>
      <c r="AG3074" t="s">
        <v>120</v>
      </c>
      <c r="AH3074">
        <v>0.01</v>
      </c>
      <c r="AI3074" t="s">
        <v>120</v>
      </c>
      <c r="AJ3074">
        <v>27.19</v>
      </c>
      <c r="AK3074" t="s">
        <v>13385</v>
      </c>
      <c r="AL3074">
        <v>-1.43</v>
      </c>
      <c r="AM3074">
        <v>4194</v>
      </c>
      <c r="AN3074">
        <v>156</v>
      </c>
      <c r="AO3074">
        <v>5.9999999999999995E-4</v>
      </c>
      <c r="AP3074">
        <v>-1</v>
      </c>
      <c r="AQ3074">
        <v>1.02</v>
      </c>
      <c r="AR3074">
        <v>-4.9400000000000004</v>
      </c>
      <c r="AS3074">
        <v>0.39</v>
      </c>
      <c r="AT3074">
        <v>-0.39</v>
      </c>
      <c r="AU3074">
        <v>2.94</v>
      </c>
      <c r="AV3074">
        <v>1</v>
      </c>
      <c r="AW3074">
        <v>3.36</v>
      </c>
      <c r="AX3074">
        <v>71.58</v>
      </c>
      <c r="AY3074">
        <v>36</v>
      </c>
      <c r="AZ3074">
        <v>45.01</v>
      </c>
      <c r="BA3074">
        <v>0.63</v>
      </c>
      <c r="BB3074" t="s">
        <v>143</v>
      </c>
      <c r="BF3074">
        <v>-1.18</v>
      </c>
      <c r="BG3074">
        <v>-2.2799999999999998</v>
      </c>
      <c r="BH3074">
        <v>-3.63</v>
      </c>
      <c r="BI3074">
        <v>0.65</v>
      </c>
      <c r="BJ3074">
        <v>20210827</v>
      </c>
      <c r="BK3074">
        <v>19951115</v>
      </c>
      <c r="BL3074">
        <v>27.19</v>
      </c>
      <c r="BM3074" t="s">
        <v>120</v>
      </c>
      <c r="BN3074" t="s">
        <v>120</v>
      </c>
      <c r="BO3074">
        <v>324.87</v>
      </c>
      <c r="BP3074">
        <v>7.69</v>
      </c>
      <c r="BQ3074">
        <v>130.16999999999999</v>
      </c>
      <c r="BR3074">
        <v>7.22</v>
      </c>
      <c r="BS3074">
        <v>57.71</v>
      </c>
      <c r="BT3074">
        <v>267.81</v>
      </c>
      <c r="BU3074">
        <v>44.88</v>
      </c>
      <c r="BV3074">
        <v>7.62</v>
      </c>
      <c r="BW3074">
        <v>186.06</v>
      </c>
      <c r="BX3074">
        <v>11.36</v>
      </c>
      <c r="BY3074">
        <v>133.76</v>
      </c>
      <c r="BZ3074">
        <v>80.61</v>
      </c>
      <c r="CA3074" t="s">
        <v>120</v>
      </c>
      <c r="CB3074">
        <v>47.76</v>
      </c>
      <c r="CC3074">
        <v>68.540000000000006</v>
      </c>
      <c r="CD3074">
        <v>54.73</v>
      </c>
      <c r="CE3074">
        <v>3.62</v>
      </c>
      <c r="CF3074">
        <v>-0.03</v>
      </c>
      <c r="CG3074">
        <v>3.65</v>
      </c>
      <c r="CH3074">
        <v>3.42</v>
      </c>
      <c r="CI3074">
        <v>3.25</v>
      </c>
      <c r="CJ3074">
        <v>-0.22</v>
      </c>
      <c r="CK3074">
        <v>3.17</v>
      </c>
      <c r="CL3074">
        <v>52.08</v>
      </c>
      <c r="CM3074">
        <v>-10.37</v>
      </c>
      <c r="CN3074">
        <v>-18.760000000000002</v>
      </c>
      <c r="CO3074">
        <v>171890</v>
      </c>
      <c r="CP3074">
        <v>11324</v>
      </c>
      <c r="CQ3074" t="s">
        <v>3150</v>
      </c>
      <c r="CR3074">
        <v>58.2</v>
      </c>
      <c r="CS3074">
        <v>22.95</v>
      </c>
      <c r="CT3074">
        <v>1.61</v>
      </c>
      <c r="CU3074">
        <v>-20.190000000000001</v>
      </c>
      <c r="CV3074">
        <v>3.05</v>
      </c>
      <c r="CW3074">
        <v>0</v>
      </c>
      <c r="CX3074" t="s">
        <v>850</v>
      </c>
      <c r="CY3074">
        <v>4.79</v>
      </c>
      <c r="CZ3074">
        <v>0</v>
      </c>
      <c r="DA3074">
        <v>1.76</v>
      </c>
      <c r="DB3074">
        <v>1.92</v>
      </c>
      <c r="DC3074">
        <v>-0.38</v>
      </c>
      <c r="DD3074">
        <v>40.07</v>
      </c>
      <c r="DE3074" t="s">
        <v>6094</v>
      </c>
      <c r="DF3074">
        <v>20.149999999999999</v>
      </c>
      <c r="DG3074">
        <v>5.28</v>
      </c>
      <c r="DH3074">
        <v>4.75</v>
      </c>
      <c r="DI3074">
        <v>2.67</v>
      </c>
      <c r="DJ3074">
        <v>15497</v>
      </c>
      <c r="DK3074">
        <v>600879</v>
      </c>
      <c r="DL3074" t="s">
        <v>120</v>
      </c>
      <c r="DM3074" t="s">
        <v>120</v>
      </c>
      <c r="DN3074" t="s">
        <v>120</v>
      </c>
    </row>
    <row r="3075" spans="1:118">
      <c r="A3075" t="str">
        <f>"600880"</f>
        <v>600880</v>
      </c>
      <c r="B3075" t="s">
        <v>13386</v>
      </c>
      <c r="C3075">
        <v>-1.6</v>
      </c>
      <c r="D3075">
        <v>0</v>
      </c>
      <c r="E3075">
        <v>0</v>
      </c>
      <c r="F3075">
        <v>476</v>
      </c>
      <c r="G3075" t="s">
        <v>13387</v>
      </c>
      <c r="H3075">
        <v>3348.12</v>
      </c>
      <c r="I3075">
        <v>2.97</v>
      </c>
      <c r="J3075" t="s">
        <v>120</v>
      </c>
      <c r="K3075" t="s">
        <v>4450</v>
      </c>
      <c r="L3075">
        <v>0.82</v>
      </c>
      <c r="M3075">
        <v>3.7</v>
      </c>
      <c r="N3075">
        <v>0.66</v>
      </c>
      <c r="O3075">
        <v>1.6</v>
      </c>
      <c r="P3075">
        <v>3.82</v>
      </c>
      <c r="Q3075">
        <v>-1.86</v>
      </c>
      <c r="R3075">
        <v>3.69</v>
      </c>
      <c r="S3075">
        <v>3.76</v>
      </c>
      <c r="T3075">
        <v>89216</v>
      </c>
      <c r="U3075">
        <v>3.71</v>
      </c>
      <c r="V3075">
        <v>3.76</v>
      </c>
      <c r="W3075">
        <v>57.71</v>
      </c>
      <c r="X3075" t="s">
        <v>339</v>
      </c>
      <c r="Y3075" t="s">
        <v>578</v>
      </c>
      <c r="Z3075">
        <v>3.46</v>
      </c>
      <c r="AA3075">
        <v>3.75</v>
      </c>
      <c r="AB3075">
        <v>52213</v>
      </c>
      <c r="AC3075">
        <v>37003</v>
      </c>
      <c r="AD3075">
        <v>1.41</v>
      </c>
      <c r="AE3075">
        <v>3731</v>
      </c>
      <c r="AF3075">
        <v>48</v>
      </c>
      <c r="AG3075" t="s">
        <v>120</v>
      </c>
      <c r="AH3075">
        <v>0</v>
      </c>
      <c r="AI3075" t="s">
        <v>120</v>
      </c>
      <c r="AJ3075">
        <v>10.93</v>
      </c>
      <c r="AK3075" t="s">
        <v>13388</v>
      </c>
      <c r="AL3075">
        <v>-0.25</v>
      </c>
      <c r="AM3075">
        <v>1533</v>
      </c>
      <c r="AN3075">
        <v>58</v>
      </c>
      <c r="AO3075">
        <v>5.0000000000000001E-4</v>
      </c>
      <c r="AP3075">
        <v>-2</v>
      </c>
      <c r="AQ3075">
        <v>-0.53</v>
      </c>
      <c r="AR3075">
        <v>-1.85</v>
      </c>
      <c r="AS3075">
        <v>9.14</v>
      </c>
      <c r="AT3075">
        <v>-1.33</v>
      </c>
      <c r="AU3075">
        <v>-3.64</v>
      </c>
      <c r="AV3075">
        <v>2</v>
      </c>
      <c r="AW3075">
        <v>1.25</v>
      </c>
      <c r="AX3075">
        <v>65.040000000000006</v>
      </c>
      <c r="AY3075">
        <v>45.5</v>
      </c>
      <c r="AZ3075">
        <v>47.99</v>
      </c>
      <c r="BA3075">
        <v>1.0900000000000001</v>
      </c>
      <c r="BB3075" t="s">
        <v>143</v>
      </c>
      <c r="BF3075">
        <v>-0.19</v>
      </c>
      <c r="BG3075">
        <v>-1.6</v>
      </c>
      <c r="BH3075">
        <v>-3.14</v>
      </c>
      <c r="BI3075">
        <v>0.27</v>
      </c>
      <c r="BJ3075">
        <v>20210830</v>
      </c>
      <c r="BK3075">
        <v>19951115</v>
      </c>
      <c r="BL3075">
        <v>10.93</v>
      </c>
      <c r="BM3075" t="s">
        <v>120</v>
      </c>
      <c r="BN3075" t="s">
        <v>120</v>
      </c>
      <c r="BO3075">
        <v>35.6</v>
      </c>
      <c r="BP3075">
        <v>3.7</v>
      </c>
      <c r="BQ3075">
        <v>29.4</v>
      </c>
      <c r="BR3075">
        <v>1.25</v>
      </c>
      <c r="BS3075">
        <v>13.9</v>
      </c>
      <c r="BT3075">
        <v>10.28</v>
      </c>
      <c r="BU3075">
        <v>2.17</v>
      </c>
      <c r="BV3075">
        <v>0.38</v>
      </c>
      <c r="BW3075">
        <v>3.92</v>
      </c>
      <c r="BX3075">
        <v>6.88</v>
      </c>
      <c r="BY3075">
        <v>0.08</v>
      </c>
      <c r="BZ3075">
        <v>2.23</v>
      </c>
      <c r="CA3075">
        <v>0</v>
      </c>
      <c r="CB3075">
        <v>8.36</v>
      </c>
      <c r="CC3075">
        <v>2.92</v>
      </c>
      <c r="CD3075">
        <v>1.97</v>
      </c>
      <c r="CE3075">
        <v>0.54</v>
      </c>
      <c r="CF3075">
        <v>7.0000000000000007E-2</v>
      </c>
      <c r="CG3075">
        <v>0.54</v>
      </c>
      <c r="CH3075">
        <v>0.38</v>
      </c>
      <c r="CI3075">
        <v>0.35</v>
      </c>
      <c r="CJ3075">
        <v>-0.06</v>
      </c>
      <c r="CK3075">
        <v>0.33</v>
      </c>
      <c r="CL3075">
        <v>6.42</v>
      </c>
      <c r="CM3075">
        <v>-1.24</v>
      </c>
      <c r="CN3075">
        <v>-1.07</v>
      </c>
      <c r="CO3075">
        <v>51612</v>
      </c>
      <c r="CP3075">
        <v>13778</v>
      </c>
      <c r="CQ3075" t="s">
        <v>1895</v>
      </c>
      <c r="CR3075">
        <v>15.47</v>
      </c>
      <c r="CS3075">
        <v>69.69</v>
      </c>
      <c r="CT3075">
        <v>1.38</v>
      </c>
      <c r="CU3075">
        <v>-32.71</v>
      </c>
      <c r="CV3075">
        <v>13.87</v>
      </c>
      <c r="CW3075">
        <v>0.8</v>
      </c>
      <c r="CX3075" t="s">
        <v>2074</v>
      </c>
      <c r="CY3075">
        <v>2.69</v>
      </c>
      <c r="CZ3075">
        <v>0</v>
      </c>
      <c r="DA3075">
        <v>0.76</v>
      </c>
      <c r="DB3075">
        <v>0.59</v>
      </c>
      <c r="DC3075">
        <v>-0.11</v>
      </c>
      <c r="DD3075">
        <v>82.6</v>
      </c>
      <c r="DE3075" t="s">
        <v>2197</v>
      </c>
      <c r="DF3075">
        <v>32.369999999999997</v>
      </c>
      <c r="DG3075">
        <v>18.39</v>
      </c>
      <c r="DH3075">
        <v>12.02</v>
      </c>
      <c r="DI3075">
        <v>0.2</v>
      </c>
      <c r="DJ3075">
        <v>1040</v>
      </c>
      <c r="DK3075">
        <v>600880</v>
      </c>
      <c r="DL3075" t="s">
        <v>120</v>
      </c>
      <c r="DM3075" t="s">
        <v>120</v>
      </c>
      <c r="DN3075" t="s">
        <v>120</v>
      </c>
    </row>
    <row r="3076" spans="1:118">
      <c r="A3076" t="str">
        <f>"600881"</f>
        <v>600881</v>
      </c>
      <c r="B3076" t="s">
        <v>13389</v>
      </c>
      <c r="C3076">
        <v>0.63</v>
      </c>
      <c r="D3076">
        <v>0</v>
      </c>
      <c r="E3076">
        <v>0.31</v>
      </c>
      <c r="F3076">
        <v>13076</v>
      </c>
      <c r="G3076" t="s">
        <v>13390</v>
      </c>
      <c r="H3076">
        <v>10838.61</v>
      </c>
      <c r="I3076">
        <v>45.84</v>
      </c>
      <c r="J3076" t="s">
        <v>120</v>
      </c>
      <c r="K3076" t="s">
        <v>13391</v>
      </c>
      <c r="L3076">
        <v>1.04</v>
      </c>
      <c r="M3076">
        <v>3.2</v>
      </c>
      <c r="N3076">
        <v>1.06</v>
      </c>
      <c r="O3076">
        <v>3.14</v>
      </c>
      <c r="P3076">
        <v>3.28</v>
      </c>
      <c r="Q3076">
        <v>-0.63</v>
      </c>
      <c r="R3076">
        <v>3.16</v>
      </c>
      <c r="S3076">
        <v>3.19</v>
      </c>
      <c r="T3076">
        <v>336834</v>
      </c>
      <c r="U3076">
        <v>3.21</v>
      </c>
      <c r="V3076">
        <v>3.18</v>
      </c>
      <c r="W3076">
        <v>247.27</v>
      </c>
      <c r="X3076" t="s">
        <v>653</v>
      </c>
      <c r="Y3076" t="s">
        <v>290</v>
      </c>
      <c r="Z3076">
        <v>3.77</v>
      </c>
      <c r="AA3076">
        <v>3.22</v>
      </c>
      <c r="AB3076">
        <v>163360</v>
      </c>
      <c r="AC3076">
        <v>173474</v>
      </c>
      <c r="AD3076">
        <v>0.94</v>
      </c>
      <c r="AE3076">
        <v>5809</v>
      </c>
      <c r="AF3076">
        <v>5994</v>
      </c>
      <c r="AG3076" t="s">
        <v>120</v>
      </c>
      <c r="AH3076">
        <v>0.01</v>
      </c>
      <c r="AI3076" t="s">
        <v>120</v>
      </c>
      <c r="AJ3076">
        <v>32.49</v>
      </c>
      <c r="AK3076" t="s">
        <v>13391</v>
      </c>
      <c r="AL3076">
        <v>1.97</v>
      </c>
      <c r="AM3076">
        <v>2115</v>
      </c>
      <c r="AN3076">
        <v>159</v>
      </c>
      <c r="AO3076">
        <v>5.0000000000000001E-4</v>
      </c>
      <c r="AP3076">
        <v>1</v>
      </c>
      <c r="AQ3076">
        <v>-0.63</v>
      </c>
      <c r="AR3076">
        <v>-1.23</v>
      </c>
      <c r="AS3076">
        <v>10.72</v>
      </c>
      <c r="AT3076">
        <v>13.48</v>
      </c>
      <c r="AU3076">
        <v>3.9</v>
      </c>
      <c r="AV3076">
        <v>0</v>
      </c>
      <c r="AW3076">
        <v>1.18</v>
      </c>
      <c r="AX3076">
        <v>87.54</v>
      </c>
      <c r="AY3076">
        <v>292.77999999999997</v>
      </c>
      <c r="AZ3076">
        <v>75.31</v>
      </c>
      <c r="BA3076">
        <v>0.41</v>
      </c>
      <c r="BB3076" t="s">
        <v>143</v>
      </c>
      <c r="BF3076">
        <v>1.19</v>
      </c>
      <c r="BG3076">
        <v>0.31</v>
      </c>
      <c r="BH3076">
        <v>-2.44</v>
      </c>
      <c r="BI3076">
        <v>1.27</v>
      </c>
      <c r="BJ3076">
        <v>20210821</v>
      </c>
      <c r="BK3076">
        <v>19951115</v>
      </c>
      <c r="BL3076">
        <v>32.49</v>
      </c>
      <c r="BM3076" t="s">
        <v>120</v>
      </c>
      <c r="BN3076" t="s">
        <v>120</v>
      </c>
      <c r="BO3076">
        <v>567.15</v>
      </c>
      <c r="BP3076">
        <v>3.2</v>
      </c>
      <c r="BQ3076">
        <v>145.93</v>
      </c>
      <c r="BR3076">
        <v>35.32</v>
      </c>
      <c r="BS3076">
        <v>68.040000000000006</v>
      </c>
      <c r="BT3076">
        <v>295.02</v>
      </c>
      <c r="BU3076">
        <v>107.69</v>
      </c>
      <c r="BV3076">
        <v>24.66</v>
      </c>
      <c r="BW3076">
        <v>355.17</v>
      </c>
      <c r="BX3076">
        <v>50.57</v>
      </c>
      <c r="BY3076">
        <v>108.44</v>
      </c>
      <c r="BZ3076">
        <v>70.91</v>
      </c>
      <c r="CA3076">
        <v>0.91</v>
      </c>
      <c r="CB3076">
        <v>83.64</v>
      </c>
      <c r="CC3076">
        <v>97.57</v>
      </c>
      <c r="CD3076">
        <v>77.709999999999994</v>
      </c>
      <c r="CE3076">
        <v>1.1599999999999999</v>
      </c>
      <c r="CF3076">
        <v>3</v>
      </c>
      <c r="CG3076">
        <v>1.0900000000000001</v>
      </c>
      <c r="CH3076">
        <v>0.28999999999999998</v>
      </c>
      <c r="CI3076">
        <v>0.21</v>
      </c>
      <c r="CJ3076">
        <v>0.02</v>
      </c>
      <c r="CK3076">
        <v>-0.55000000000000004</v>
      </c>
      <c r="CL3076">
        <v>24.52</v>
      </c>
      <c r="CM3076">
        <v>-7.46</v>
      </c>
      <c r="CN3076">
        <v>8.89</v>
      </c>
      <c r="CO3076">
        <v>96429</v>
      </c>
      <c r="CP3076">
        <v>29494</v>
      </c>
      <c r="CQ3076" t="s">
        <v>10206</v>
      </c>
      <c r="CR3076">
        <v>-82.9</v>
      </c>
      <c r="CS3076">
        <v>17.07</v>
      </c>
      <c r="CT3076">
        <v>0.71</v>
      </c>
      <c r="CU3076">
        <v>-13.94</v>
      </c>
      <c r="CV3076">
        <v>1.07</v>
      </c>
      <c r="CW3076">
        <v>0.63</v>
      </c>
      <c r="CX3076" t="s">
        <v>178</v>
      </c>
      <c r="CY3076">
        <v>4.49</v>
      </c>
      <c r="CZ3076">
        <v>0</v>
      </c>
      <c r="DA3076">
        <v>2.57</v>
      </c>
      <c r="DB3076">
        <v>0.75</v>
      </c>
      <c r="DC3076">
        <v>-0.23</v>
      </c>
      <c r="DD3076">
        <v>25.73</v>
      </c>
      <c r="DE3076" t="s">
        <v>5537</v>
      </c>
      <c r="DF3076">
        <v>20.36</v>
      </c>
      <c r="DG3076">
        <v>1.19</v>
      </c>
      <c r="DH3076">
        <v>0.22</v>
      </c>
      <c r="DI3076">
        <v>0.63</v>
      </c>
      <c r="DJ3076">
        <v>18866</v>
      </c>
      <c r="DK3076">
        <v>600881</v>
      </c>
      <c r="DL3076" t="s">
        <v>120</v>
      </c>
      <c r="DM3076" t="s">
        <v>120</v>
      </c>
      <c r="DN3076" t="s">
        <v>120</v>
      </c>
    </row>
    <row r="3077" spans="1:118">
      <c r="A3077" t="str">
        <f>"600882"</f>
        <v>600882</v>
      </c>
      <c r="B3077" t="s">
        <v>13392</v>
      </c>
      <c r="C3077">
        <v>-2.57</v>
      </c>
      <c r="D3077">
        <v>0</v>
      </c>
      <c r="E3077">
        <v>0.26</v>
      </c>
      <c r="F3077">
        <v>190</v>
      </c>
      <c r="G3077" t="s">
        <v>13393</v>
      </c>
      <c r="H3077">
        <v>22776.11</v>
      </c>
      <c r="I3077">
        <v>105.47</v>
      </c>
      <c r="J3077" t="s">
        <v>120</v>
      </c>
      <c r="K3077" t="s">
        <v>13394</v>
      </c>
      <c r="L3077">
        <v>1.07</v>
      </c>
      <c r="M3077">
        <v>51.5</v>
      </c>
      <c r="N3077">
        <v>0.91</v>
      </c>
      <c r="O3077">
        <v>0.26</v>
      </c>
      <c r="P3077">
        <v>53</v>
      </c>
      <c r="Q3077">
        <v>-3.9</v>
      </c>
      <c r="R3077">
        <v>50.8</v>
      </c>
      <c r="S3077">
        <v>53</v>
      </c>
      <c r="T3077">
        <v>43825</v>
      </c>
      <c r="U3077">
        <v>51.51</v>
      </c>
      <c r="V3077">
        <v>52.86</v>
      </c>
      <c r="W3077">
        <v>118.84</v>
      </c>
      <c r="X3077" t="s">
        <v>4454</v>
      </c>
      <c r="Y3077" t="s">
        <v>1510</v>
      </c>
      <c r="Z3077">
        <v>4.16</v>
      </c>
      <c r="AA3077">
        <v>51.97</v>
      </c>
      <c r="AB3077">
        <v>24407</v>
      </c>
      <c r="AC3077">
        <v>19418</v>
      </c>
      <c r="AD3077">
        <v>1.26</v>
      </c>
      <c r="AE3077">
        <v>25</v>
      </c>
      <c r="AF3077">
        <v>146</v>
      </c>
      <c r="AG3077" t="s">
        <v>120</v>
      </c>
      <c r="AH3077">
        <v>0.01</v>
      </c>
      <c r="AI3077" t="s">
        <v>120</v>
      </c>
      <c r="AJ3077">
        <v>4.09</v>
      </c>
      <c r="AK3077" t="s">
        <v>13395</v>
      </c>
      <c r="AL3077">
        <v>-1.23</v>
      </c>
      <c r="AM3077">
        <v>3310</v>
      </c>
      <c r="AN3077">
        <v>13</v>
      </c>
      <c r="AO3077">
        <v>2.9999999999999997E-4</v>
      </c>
      <c r="AP3077">
        <v>-1</v>
      </c>
      <c r="AQ3077">
        <v>4.22</v>
      </c>
      <c r="AR3077">
        <v>-0.65</v>
      </c>
      <c r="AS3077">
        <v>-12.67</v>
      </c>
      <c r="AT3077">
        <v>-21.94</v>
      </c>
      <c r="AU3077">
        <v>-9.81</v>
      </c>
      <c r="AV3077">
        <v>5</v>
      </c>
      <c r="AW3077">
        <v>1.55</v>
      </c>
      <c r="AX3077">
        <v>54.62</v>
      </c>
      <c r="AY3077">
        <v>196.47</v>
      </c>
      <c r="AZ3077">
        <v>460.48</v>
      </c>
      <c r="BA3077">
        <v>1.41</v>
      </c>
      <c r="BB3077" t="s">
        <v>143</v>
      </c>
      <c r="BF3077">
        <v>-1.68</v>
      </c>
      <c r="BG3077">
        <v>-2.83</v>
      </c>
      <c r="BH3077">
        <v>-2.83</v>
      </c>
      <c r="BI3077">
        <v>1.38</v>
      </c>
      <c r="BJ3077">
        <v>20210818</v>
      </c>
      <c r="BK3077">
        <v>19951206</v>
      </c>
      <c r="BL3077">
        <v>5.16</v>
      </c>
      <c r="BM3077" t="s">
        <v>120</v>
      </c>
      <c r="BN3077" t="s">
        <v>120</v>
      </c>
      <c r="BO3077">
        <v>65.790000000000006</v>
      </c>
      <c r="BP3077">
        <v>51.5</v>
      </c>
      <c r="BQ3077">
        <v>46.39</v>
      </c>
      <c r="BR3077">
        <v>3.65</v>
      </c>
      <c r="BS3077">
        <v>23.94</v>
      </c>
      <c r="BT3077">
        <v>41.78</v>
      </c>
      <c r="BU3077">
        <v>7.51</v>
      </c>
      <c r="BV3077">
        <v>1</v>
      </c>
      <c r="BW3077">
        <v>10.029999999999999</v>
      </c>
      <c r="BX3077">
        <v>33.65</v>
      </c>
      <c r="BY3077">
        <v>4.17</v>
      </c>
      <c r="BZ3077">
        <v>1.1299999999999999</v>
      </c>
      <c r="CA3077" t="s">
        <v>120</v>
      </c>
      <c r="CB3077">
        <v>48.75</v>
      </c>
      <c r="CC3077">
        <v>20.67</v>
      </c>
      <c r="CD3077">
        <v>12.47</v>
      </c>
      <c r="CE3077">
        <v>1.46</v>
      </c>
      <c r="CF3077">
        <v>0</v>
      </c>
      <c r="CG3077">
        <v>1.47</v>
      </c>
      <c r="CH3077">
        <v>1.26</v>
      </c>
      <c r="CI3077">
        <v>1.1200000000000001</v>
      </c>
      <c r="CJ3077">
        <v>-1.36</v>
      </c>
      <c r="CK3077">
        <v>1.1100000000000001</v>
      </c>
      <c r="CL3077">
        <v>-7.2</v>
      </c>
      <c r="CM3077">
        <v>0.26</v>
      </c>
      <c r="CN3077">
        <v>28.21</v>
      </c>
      <c r="CO3077">
        <v>24490</v>
      </c>
      <c r="CP3077">
        <v>11513</v>
      </c>
      <c r="CQ3077" t="s">
        <v>13396</v>
      </c>
      <c r="CR3077">
        <v>247.12</v>
      </c>
      <c r="CS3077">
        <v>90.8</v>
      </c>
      <c r="CT3077">
        <v>5.73</v>
      </c>
      <c r="CU3077">
        <v>1037.32</v>
      </c>
      <c r="CV3077">
        <v>12.86</v>
      </c>
      <c r="CW3077">
        <v>0</v>
      </c>
      <c r="CX3077" t="s">
        <v>1233</v>
      </c>
      <c r="CY3077">
        <v>8.99</v>
      </c>
      <c r="CZ3077">
        <v>0</v>
      </c>
      <c r="DA3077">
        <v>9.44</v>
      </c>
      <c r="DB3077">
        <v>-1.39</v>
      </c>
      <c r="DC3077">
        <v>0.05</v>
      </c>
      <c r="DD3077">
        <v>70.510000000000005</v>
      </c>
      <c r="DE3077" t="s">
        <v>3085</v>
      </c>
      <c r="DF3077">
        <v>39.700000000000003</v>
      </c>
      <c r="DG3077">
        <v>7.05</v>
      </c>
      <c r="DH3077">
        <v>5.41</v>
      </c>
      <c r="DI3077">
        <v>0.18</v>
      </c>
      <c r="DJ3077">
        <v>1696</v>
      </c>
      <c r="DK3077">
        <v>600882</v>
      </c>
      <c r="DL3077" t="s">
        <v>120</v>
      </c>
      <c r="DM3077" t="s">
        <v>120</v>
      </c>
      <c r="DN3077" t="s">
        <v>120</v>
      </c>
    </row>
    <row r="3078" spans="1:118">
      <c r="A3078" t="str">
        <f>"600883"</f>
        <v>600883</v>
      </c>
      <c r="B3078" t="s">
        <v>13397</v>
      </c>
      <c r="C3078">
        <v>-1.29</v>
      </c>
      <c r="D3078">
        <v>0</v>
      </c>
      <c r="E3078">
        <v>0.24</v>
      </c>
      <c r="F3078">
        <v>112</v>
      </c>
      <c r="G3078" t="s">
        <v>6804</v>
      </c>
      <c r="H3078">
        <v>1273.92</v>
      </c>
      <c r="I3078">
        <v>6.57</v>
      </c>
      <c r="J3078" t="s">
        <v>120</v>
      </c>
      <c r="K3078" t="s">
        <v>13286</v>
      </c>
      <c r="L3078">
        <v>0.64</v>
      </c>
      <c r="M3078">
        <v>8.4</v>
      </c>
      <c r="N3078">
        <v>0.73</v>
      </c>
      <c r="O3078">
        <v>2.12</v>
      </c>
      <c r="P3078">
        <v>8.69</v>
      </c>
      <c r="Q3078">
        <v>-2.4700000000000002</v>
      </c>
      <c r="R3078">
        <v>8.3000000000000007</v>
      </c>
      <c r="S3078">
        <v>8.5299999999999994</v>
      </c>
      <c r="T3078">
        <v>15001</v>
      </c>
      <c r="U3078">
        <v>8.4</v>
      </c>
      <c r="V3078">
        <v>8.51</v>
      </c>
      <c r="W3078">
        <v>45.09</v>
      </c>
      <c r="X3078" t="s">
        <v>653</v>
      </c>
      <c r="Y3078" t="s">
        <v>1006</v>
      </c>
      <c r="Z3078">
        <v>4.58</v>
      </c>
      <c r="AA3078">
        <v>8.49</v>
      </c>
      <c r="AB3078">
        <v>9689</v>
      </c>
      <c r="AC3078">
        <v>5312</v>
      </c>
      <c r="AD3078">
        <v>1.82</v>
      </c>
      <c r="AE3078">
        <v>249</v>
      </c>
      <c r="AF3078">
        <v>10</v>
      </c>
      <c r="AG3078" t="s">
        <v>120</v>
      </c>
      <c r="AH3078">
        <v>0.01</v>
      </c>
      <c r="AI3078" t="s">
        <v>120</v>
      </c>
      <c r="AJ3078">
        <v>2.36</v>
      </c>
      <c r="AK3078" t="s">
        <v>13286</v>
      </c>
      <c r="AL3078">
        <v>0.05</v>
      </c>
      <c r="AM3078">
        <v>875</v>
      </c>
      <c r="AN3078">
        <v>17</v>
      </c>
      <c r="AO3078">
        <v>6.9999999999999999E-4</v>
      </c>
      <c r="AP3078">
        <v>-1</v>
      </c>
      <c r="AQ3078">
        <v>2.78</v>
      </c>
      <c r="AR3078">
        <v>-1.05</v>
      </c>
      <c r="AS3078">
        <v>10.67</v>
      </c>
      <c r="AT3078">
        <v>0.12</v>
      </c>
      <c r="AU3078">
        <v>9.52</v>
      </c>
      <c r="AV3078">
        <v>1</v>
      </c>
      <c r="AW3078">
        <v>1.18</v>
      </c>
      <c r="AX3078">
        <v>53.81</v>
      </c>
      <c r="AY3078">
        <v>53.06</v>
      </c>
      <c r="AZ3078">
        <v>85.14</v>
      </c>
      <c r="BA3078">
        <v>0.56999999999999995</v>
      </c>
      <c r="BB3078" t="s">
        <v>184</v>
      </c>
      <c r="BF3078">
        <v>-0.21</v>
      </c>
      <c r="BG3078">
        <v>-1.52</v>
      </c>
      <c r="BH3078">
        <v>-3.34</v>
      </c>
      <c r="BI3078">
        <v>1.2</v>
      </c>
      <c r="BJ3078">
        <v>20210827</v>
      </c>
      <c r="BK3078">
        <v>19951208</v>
      </c>
      <c r="BL3078">
        <v>2.36</v>
      </c>
      <c r="BM3078" t="s">
        <v>120</v>
      </c>
      <c r="BN3078" t="s">
        <v>120</v>
      </c>
      <c r="BO3078">
        <v>7.46</v>
      </c>
      <c r="BP3078">
        <v>8.39</v>
      </c>
      <c r="BQ3078">
        <v>7.07</v>
      </c>
      <c r="BR3078" t="s">
        <v>120</v>
      </c>
      <c r="BS3078">
        <v>5.3</v>
      </c>
      <c r="BT3078">
        <v>2.64</v>
      </c>
      <c r="BU3078">
        <v>0.09</v>
      </c>
      <c r="BV3078">
        <v>0.02</v>
      </c>
      <c r="BW3078">
        <v>0.16</v>
      </c>
      <c r="BX3078">
        <v>0.45</v>
      </c>
      <c r="BY3078">
        <v>0.08</v>
      </c>
      <c r="BZ3078">
        <v>0.04</v>
      </c>
      <c r="CA3078" t="s">
        <v>120</v>
      </c>
      <c r="CB3078">
        <v>0.17</v>
      </c>
      <c r="CC3078">
        <v>0.1</v>
      </c>
      <c r="CD3078">
        <v>0.1</v>
      </c>
      <c r="CE3078">
        <v>0.22</v>
      </c>
      <c r="CF3078">
        <v>0.27</v>
      </c>
      <c r="CG3078">
        <v>0.22</v>
      </c>
      <c r="CH3078">
        <v>0.22</v>
      </c>
      <c r="CI3078">
        <v>0.22</v>
      </c>
      <c r="CJ3078">
        <v>-0.11</v>
      </c>
      <c r="CK3078">
        <v>0.16</v>
      </c>
      <c r="CL3078">
        <v>3.06</v>
      </c>
      <c r="CM3078">
        <v>-0.04</v>
      </c>
      <c r="CN3078">
        <v>-0.86</v>
      </c>
      <c r="CO3078">
        <v>11752</v>
      </c>
      <c r="CP3078">
        <v>10809</v>
      </c>
      <c r="CQ3078" t="s">
        <v>9587</v>
      </c>
      <c r="CR3078">
        <v>184.82</v>
      </c>
      <c r="CS3078">
        <v>27.14</v>
      </c>
      <c r="CT3078">
        <v>2.81</v>
      </c>
      <c r="CU3078">
        <v>-442.77</v>
      </c>
      <c r="CV3078">
        <v>199.51</v>
      </c>
      <c r="CW3078">
        <v>0.35</v>
      </c>
      <c r="CX3078" t="s">
        <v>3987</v>
      </c>
      <c r="CY3078">
        <v>2.99</v>
      </c>
      <c r="CZ3078">
        <v>0</v>
      </c>
      <c r="DA3078">
        <v>7.0000000000000007E-2</v>
      </c>
      <c r="DB3078">
        <v>1.3</v>
      </c>
      <c r="DC3078">
        <v>-0.02</v>
      </c>
      <c r="DD3078">
        <v>94.7</v>
      </c>
      <c r="DE3078" t="s">
        <v>7537</v>
      </c>
      <c r="DF3078">
        <v>-0.53</v>
      </c>
      <c r="DG3078">
        <v>219.66</v>
      </c>
      <c r="DH3078">
        <v>221.23</v>
      </c>
      <c r="DI3078" t="s">
        <v>120</v>
      </c>
      <c r="DJ3078">
        <v>90</v>
      </c>
      <c r="DK3078">
        <v>600883</v>
      </c>
      <c r="DL3078" t="s">
        <v>120</v>
      </c>
      <c r="DM3078" t="s">
        <v>120</v>
      </c>
      <c r="DN3078" t="s">
        <v>120</v>
      </c>
    </row>
    <row r="3079" spans="1:118">
      <c r="A3079" t="str">
        <f>"600884"</f>
        <v>600884</v>
      </c>
      <c r="B3079" t="s">
        <v>13398</v>
      </c>
      <c r="C3079">
        <v>-5.24</v>
      </c>
      <c r="D3079">
        <v>0.19</v>
      </c>
      <c r="E3079">
        <v>-0.48</v>
      </c>
      <c r="F3079">
        <v>10228</v>
      </c>
      <c r="G3079" t="s">
        <v>13399</v>
      </c>
      <c r="H3079">
        <v>372519.08</v>
      </c>
      <c r="I3079">
        <v>4102.2700000000004</v>
      </c>
      <c r="J3079" t="s">
        <v>120</v>
      </c>
      <c r="K3079" t="s">
        <v>13400</v>
      </c>
      <c r="L3079">
        <v>5.93</v>
      </c>
      <c r="M3079">
        <v>37.409999999999997</v>
      </c>
      <c r="N3079">
        <v>1.1299999999999999</v>
      </c>
      <c r="O3079">
        <v>-0.23</v>
      </c>
      <c r="P3079">
        <v>39.39</v>
      </c>
      <c r="Q3079">
        <v>-7.52</v>
      </c>
      <c r="R3079">
        <v>36.51</v>
      </c>
      <c r="S3079">
        <v>39.29</v>
      </c>
      <c r="T3079">
        <v>980447</v>
      </c>
      <c r="U3079">
        <v>37.409999999999997</v>
      </c>
      <c r="V3079">
        <v>39.479999999999997</v>
      </c>
      <c r="W3079">
        <v>40.74</v>
      </c>
      <c r="X3079" t="s">
        <v>166</v>
      </c>
      <c r="Y3079" t="s">
        <v>585</v>
      </c>
      <c r="Z3079">
        <v>7.29</v>
      </c>
      <c r="AA3079">
        <v>37.99</v>
      </c>
      <c r="AB3079">
        <v>503898</v>
      </c>
      <c r="AC3079">
        <v>476549</v>
      </c>
      <c r="AD3079">
        <v>1.06</v>
      </c>
      <c r="AE3079">
        <v>169</v>
      </c>
      <c r="AF3079">
        <v>501</v>
      </c>
      <c r="AG3079" t="s">
        <v>120</v>
      </c>
      <c r="AH3079">
        <v>0.1</v>
      </c>
      <c r="AI3079" t="s">
        <v>120</v>
      </c>
      <c r="AJ3079">
        <v>16.55</v>
      </c>
      <c r="AK3079" t="s">
        <v>13400</v>
      </c>
      <c r="AL3079">
        <v>-3.9</v>
      </c>
      <c r="AM3079">
        <v>4735</v>
      </c>
      <c r="AN3079">
        <v>207</v>
      </c>
      <c r="AO3079">
        <v>1.2999999999999999E-3</v>
      </c>
      <c r="AP3079">
        <v>-1</v>
      </c>
      <c r="AQ3079">
        <v>8.76</v>
      </c>
      <c r="AR3079">
        <v>13.36</v>
      </c>
      <c r="AS3079">
        <v>27.29</v>
      </c>
      <c r="AT3079">
        <v>75.05</v>
      </c>
      <c r="AU3079">
        <v>108.53</v>
      </c>
      <c r="AV3079">
        <v>7</v>
      </c>
      <c r="AW3079">
        <v>9.75</v>
      </c>
      <c r="AX3079">
        <v>60.76</v>
      </c>
      <c r="AY3079">
        <v>81.89</v>
      </c>
      <c r="AZ3079">
        <v>473.32</v>
      </c>
      <c r="BA3079">
        <v>1.1399999999999999</v>
      </c>
      <c r="BB3079" t="s">
        <v>184</v>
      </c>
      <c r="BF3079">
        <v>-3.76</v>
      </c>
      <c r="BG3079">
        <v>-4.78</v>
      </c>
      <c r="BH3079">
        <v>-5.03</v>
      </c>
      <c r="BI3079">
        <v>2.4700000000000002</v>
      </c>
      <c r="BJ3079">
        <v>20210825</v>
      </c>
      <c r="BK3079">
        <v>19960130</v>
      </c>
      <c r="BL3079">
        <v>16.55</v>
      </c>
      <c r="BM3079" t="s">
        <v>120</v>
      </c>
      <c r="BN3079" t="s">
        <v>120</v>
      </c>
      <c r="BO3079">
        <v>368.21</v>
      </c>
      <c r="BP3079">
        <v>37.4</v>
      </c>
      <c r="BQ3079">
        <v>128.53</v>
      </c>
      <c r="BR3079">
        <v>16.600000000000001</v>
      </c>
      <c r="BS3079">
        <v>60.58</v>
      </c>
      <c r="BT3079">
        <v>206.19</v>
      </c>
      <c r="BU3079">
        <v>77.88</v>
      </c>
      <c r="BV3079">
        <v>15.29</v>
      </c>
      <c r="BW3079">
        <v>139.24</v>
      </c>
      <c r="BX3079">
        <v>43.54</v>
      </c>
      <c r="BY3079">
        <v>27.89</v>
      </c>
      <c r="BZ3079">
        <v>40.53</v>
      </c>
      <c r="CA3079">
        <v>0.03</v>
      </c>
      <c r="CB3079">
        <v>35.71</v>
      </c>
      <c r="CC3079">
        <v>99.47</v>
      </c>
      <c r="CD3079">
        <v>75.11</v>
      </c>
      <c r="CE3079">
        <v>11.04</v>
      </c>
      <c r="CF3079">
        <v>0.72</v>
      </c>
      <c r="CG3079">
        <v>11.01</v>
      </c>
      <c r="CH3079">
        <v>8.77</v>
      </c>
      <c r="CI3079">
        <v>7.6</v>
      </c>
      <c r="CJ3079">
        <v>-2.0699999999999998</v>
      </c>
      <c r="CK3079">
        <v>7.24</v>
      </c>
      <c r="CL3079">
        <v>75.13</v>
      </c>
      <c r="CM3079">
        <v>-15.52</v>
      </c>
      <c r="CN3079">
        <v>21.54</v>
      </c>
      <c r="CO3079">
        <v>70378</v>
      </c>
      <c r="CP3079">
        <v>14285</v>
      </c>
      <c r="CQ3079" t="s">
        <v>13401</v>
      </c>
      <c r="CR3079">
        <v>659.15</v>
      </c>
      <c r="CS3079">
        <v>209.82</v>
      </c>
      <c r="CT3079">
        <v>4.74</v>
      </c>
      <c r="CU3079">
        <v>-39.880000000000003</v>
      </c>
      <c r="CV3079">
        <v>6.22</v>
      </c>
      <c r="CW3079">
        <v>0.22</v>
      </c>
      <c r="CX3079" t="s">
        <v>1071</v>
      </c>
      <c r="CY3079">
        <v>7.89</v>
      </c>
      <c r="CZ3079">
        <v>7.89</v>
      </c>
      <c r="DA3079">
        <v>2.16</v>
      </c>
      <c r="DB3079">
        <v>4.54</v>
      </c>
      <c r="DC3079">
        <v>-0.94</v>
      </c>
      <c r="DD3079">
        <v>34.909999999999997</v>
      </c>
      <c r="DE3079" t="s">
        <v>627</v>
      </c>
      <c r="DF3079">
        <v>24.49</v>
      </c>
      <c r="DG3079">
        <v>11.1</v>
      </c>
      <c r="DH3079">
        <v>7.64</v>
      </c>
      <c r="DI3079">
        <v>3.53</v>
      </c>
      <c r="DJ3079">
        <v>4760</v>
      </c>
      <c r="DK3079">
        <v>600884</v>
      </c>
      <c r="DL3079">
        <v>20210711</v>
      </c>
      <c r="DM3079">
        <v>28.64</v>
      </c>
      <c r="DN3079">
        <v>30.62</v>
      </c>
    </row>
    <row r="3080" spans="1:118">
      <c r="A3080" t="str">
        <f>"600885"</f>
        <v>600885</v>
      </c>
      <c r="B3080" t="s">
        <v>13402</v>
      </c>
      <c r="C3080">
        <v>-2.52</v>
      </c>
      <c r="D3080">
        <v>-0.56999999999999995</v>
      </c>
      <c r="E3080">
        <v>0</v>
      </c>
      <c r="F3080">
        <v>550</v>
      </c>
      <c r="G3080" t="s">
        <v>13403</v>
      </c>
      <c r="H3080">
        <v>38402.42</v>
      </c>
      <c r="I3080">
        <v>147.03</v>
      </c>
      <c r="J3080" t="s">
        <v>120</v>
      </c>
      <c r="K3080" t="s">
        <v>13404</v>
      </c>
      <c r="L3080">
        <v>0.8</v>
      </c>
      <c r="M3080">
        <v>63.85</v>
      </c>
      <c r="N3080">
        <v>1</v>
      </c>
      <c r="O3080">
        <v>0.24</v>
      </c>
      <c r="P3080">
        <v>65.66</v>
      </c>
      <c r="Q3080">
        <v>-2.76</v>
      </c>
      <c r="R3080">
        <v>63.69</v>
      </c>
      <c r="S3080">
        <v>65.5</v>
      </c>
      <c r="T3080">
        <v>59648</v>
      </c>
      <c r="U3080">
        <v>63.9</v>
      </c>
      <c r="V3080">
        <v>65.5</v>
      </c>
      <c r="W3080">
        <v>45.7</v>
      </c>
      <c r="X3080" t="s">
        <v>394</v>
      </c>
      <c r="Y3080" t="s">
        <v>763</v>
      </c>
      <c r="Z3080">
        <v>3.01</v>
      </c>
      <c r="AA3080">
        <v>64.38</v>
      </c>
      <c r="AB3080">
        <v>34656</v>
      </c>
      <c r="AC3080">
        <v>24992</v>
      </c>
      <c r="AD3080">
        <v>1.39</v>
      </c>
      <c r="AE3080">
        <v>6</v>
      </c>
      <c r="AF3080">
        <v>8</v>
      </c>
      <c r="AG3080" t="s">
        <v>120</v>
      </c>
      <c r="AH3080">
        <v>0</v>
      </c>
      <c r="AI3080" t="s">
        <v>120</v>
      </c>
      <c r="AJ3080">
        <v>7.45</v>
      </c>
      <c r="AK3080" t="s">
        <v>13404</v>
      </c>
      <c r="AL3080">
        <v>-1.18</v>
      </c>
      <c r="AM3080">
        <v>4381</v>
      </c>
      <c r="AN3080">
        <v>14</v>
      </c>
      <c r="AO3080">
        <v>2.0000000000000001E-4</v>
      </c>
      <c r="AP3080">
        <v>-1</v>
      </c>
      <c r="AQ3080">
        <v>4.63</v>
      </c>
      <c r="AR3080">
        <v>4.4400000000000004</v>
      </c>
      <c r="AS3080">
        <v>-2.2200000000000002</v>
      </c>
      <c r="AT3080">
        <v>8.18</v>
      </c>
      <c r="AU3080">
        <v>18.510000000000002</v>
      </c>
      <c r="AV3080">
        <v>1</v>
      </c>
      <c r="AW3080">
        <v>1.23</v>
      </c>
      <c r="AX3080">
        <v>64.94</v>
      </c>
      <c r="AY3080">
        <v>49.02</v>
      </c>
      <c r="AZ3080">
        <v>58.62</v>
      </c>
      <c r="BA3080">
        <v>0.53</v>
      </c>
      <c r="BB3080" t="s">
        <v>751</v>
      </c>
      <c r="BF3080">
        <v>-1.71</v>
      </c>
      <c r="BG3080">
        <v>-2.52</v>
      </c>
      <c r="BH3080">
        <v>-2.76</v>
      </c>
      <c r="BI3080">
        <v>0.25</v>
      </c>
      <c r="BJ3080">
        <v>20210831</v>
      </c>
      <c r="BK3080">
        <v>19960205</v>
      </c>
      <c r="BL3080">
        <v>7.45</v>
      </c>
      <c r="BM3080" t="s">
        <v>120</v>
      </c>
      <c r="BN3080" t="s">
        <v>120</v>
      </c>
      <c r="BO3080">
        <v>115.92</v>
      </c>
      <c r="BP3080">
        <v>63.85</v>
      </c>
      <c r="BQ3080">
        <v>57.81</v>
      </c>
      <c r="BR3080">
        <v>20.09</v>
      </c>
      <c r="BS3080">
        <v>32.799999999999997</v>
      </c>
      <c r="BT3080">
        <v>66.66</v>
      </c>
      <c r="BU3080">
        <v>29.38</v>
      </c>
      <c r="BV3080">
        <v>4.16</v>
      </c>
      <c r="BW3080">
        <v>27.3</v>
      </c>
      <c r="BX3080">
        <v>6.82</v>
      </c>
      <c r="BY3080">
        <v>17.190000000000001</v>
      </c>
      <c r="BZ3080">
        <v>27.85</v>
      </c>
      <c r="CA3080">
        <v>0.01</v>
      </c>
      <c r="CB3080">
        <v>4.45</v>
      </c>
      <c r="CC3080">
        <v>49.47</v>
      </c>
      <c r="CD3080">
        <v>32.33</v>
      </c>
      <c r="CE3080">
        <v>8.51</v>
      </c>
      <c r="CF3080">
        <v>0.44</v>
      </c>
      <c r="CG3080">
        <v>8.5</v>
      </c>
      <c r="CH3080">
        <v>7.16</v>
      </c>
      <c r="CI3080">
        <v>5.2</v>
      </c>
      <c r="CJ3080">
        <v>-1.65</v>
      </c>
      <c r="CK3080">
        <v>4.58</v>
      </c>
      <c r="CL3080">
        <v>38.57</v>
      </c>
      <c r="CM3080">
        <v>3.4</v>
      </c>
      <c r="CN3080">
        <v>-2.06</v>
      </c>
      <c r="CO3080">
        <v>17396</v>
      </c>
      <c r="CP3080">
        <v>27804</v>
      </c>
      <c r="CQ3080" t="s">
        <v>13405</v>
      </c>
      <c r="CR3080">
        <v>45.6</v>
      </c>
      <c r="CS3080">
        <v>43.78</v>
      </c>
      <c r="CT3080">
        <v>8.23</v>
      </c>
      <c r="CU3080">
        <v>139.69</v>
      </c>
      <c r="CV3080">
        <v>9.61</v>
      </c>
      <c r="CW3080">
        <v>0.52</v>
      </c>
      <c r="CX3080" t="s">
        <v>13406</v>
      </c>
      <c r="CY3080">
        <v>7.76</v>
      </c>
      <c r="CZ3080">
        <v>0</v>
      </c>
      <c r="DA3080">
        <v>0.6</v>
      </c>
      <c r="DB3080">
        <v>5.18</v>
      </c>
      <c r="DC3080">
        <v>0.46</v>
      </c>
      <c r="DD3080">
        <v>49.87</v>
      </c>
      <c r="DE3080" t="s">
        <v>5324</v>
      </c>
      <c r="DF3080">
        <v>34.64</v>
      </c>
      <c r="DG3080">
        <v>17.2</v>
      </c>
      <c r="DH3080">
        <v>10.52</v>
      </c>
      <c r="DI3080">
        <v>2.16</v>
      </c>
      <c r="DJ3080">
        <v>14235</v>
      </c>
      <c r="DK3080">
        <v>600885</v>
      </c>
      <c r="DL3080" t="s">
        <v>120</v>
      </c>
      <c r="DM3080" t="s">
        <v>120</v>
      </c>
      <c r="DN3080" t="s">
        <v>120</v>
      </c>
    </row>
    <row r="3081" spans="1:118">
      <c r="A3081" t="str">
        <f>"600886"</f>
        <v>600886</v>
      </c>
      <c r="B3081" t="s">
        <v>13407</v>
      </c>
      <c r="C3081">
        <v>-1.22</v>
      </c>
      <c r="D3081">
        <v>0</v>
      </c>
      <c r="E3081">
        <v>-0.1</v>
      </c>
      <c r="F3081">
        <v>5030</v>
      </c>
      <c r="G3081" t="s">
        <v>13408</v>
      </c>
      <c r="H3081">
        <v>26237.8</v>
      </c>
      <c r="I3081">
        <v>47.53</v>
      </c>
      <c r="J3081" t="s">
        <v>120</v>
      </c>
      <c r="K3081" t="s">
        <v>13409</v>
      </c>
      <c r="L3081">
        <v>0.38</v>
      </c>
      <c r="M3081">
        <v>9.69</v>
      </c>
      <c r="N3081">
        <v>0.77</v>
      </c>
      <c r="O3081">
        <v>1.63</v>
      </c>
      <c r="P3081">
        <v>9.9700000000000006</v>
      </c>
      <c r="Q3081">
        <v>-1.43</v>
      </c>
      <c r="R3081">
        <v>9.67</v>
      </c>
      <c r="S3081">
        <v>9.8000000000000007</v>
      </c>
      <c r="T3081">
        <v>267975</v>
      </c>
      <c r="U3081">
        <v>9.69</v>
      </c>
      <c r="V3081">
        <v>9.81</v>
      </c>
      <c r="W3081">
        <v>14.44</v>
      </c>
      <c r="X3081" t="s">
        <v>1287</v>
      </c>
      <c r="Y3081" t="s">
        <v>158</v>
      </c>
      <c r="Z3081">
        <v>3.06</v>
      </c>
      <c r="AA3081">
        <v>9.7899999999999991</v>
      </c>
      <c r="AB3081">
        <v>124997</v>
      </c>
      <c r="AC3081">
        <v>142978</v>
      </c>
      <c r="AD3081">
        <v>0.87</v>
      </c>
      <c r="AE3081">
        <v>1146</v>
      </c>
      <c r="AF3081">
        <v>469</v>
      </c>
      <c r="AG3081" t="s">
        <v>120</v>
      </c>
      <c r="AH3081">
        <v>0</v>
      </c>
      <c r="AI3081" t="s">
        <v>120</v>
      </c>
      <c r="AJ3081">
        <v>69.66</v>
      </c>
      <c r="AK3081" t="s">
        <v>13409</v>
      </c>
      <c r="AL3081">
        <v>0.12</v>
      </c>
      <c r="AM3081">
        <v>3530</v>
      </c>
      <c r="AN3081">
        <v>76</v>
      </c>
      <c r="AO3081">
        <v>1E-4</v>
      </c>
      <c r="AP3081">
        <v>-3</v>
      </c>
      <c r="AQ3081">
        <v>-1.51</v>
      </c>
      <c r="AR3081">
        <v>-5</v>
      </c>
      <c r="AS3081">
        <v>9</v>
      </c>
      <c r="AT3081">
        <v>3.3</v>
      </c>
      <c r="AU3081">
        <v>15.9</v>
      </c>
      <c r="AV3081">
        <v>0</v>
      </c>
      <c r="AW3081">
        <v>1.08</v>
      </c>
      <c r="AX3081">
        <v>35.67</v>
      </c>
      <c r="AY3081">
        <v>14.31</v>
      </c>
      <c r="AZ3081">
        <v>12.39</v>
      </c>
      <c r="BA3081">
        <v>0.64</v>
      </c>
      <c r="BB3081" t="s">
        <v>143</v>
      </c>
      <c r="BF3081">
        <v>-0.19</v>
      </c>
      <c r="BG3081">
        <v>-1.1200000000000001</v>
      </c>
      <c r="BH3081">
        <v>-2.81</v>
      </c>
      <c r="BI3081">
        <v>0.21</v>
      </c>
      <c r="BJ3081">
        <v>20210902</v>
      </c>
      <c r="BK3081">
        <v>19960118</v>
      </c>
      <c r="BL3081">
        <v>69.66</v>
      </c>
      <c r="BM3081" t="s">
        <v>120</v>
      </c>
      <c r="BN3081" t="s">
        <v>120</v>
      </c>
      <c r="BO3081">
        <v>2325</v>
      </c>
      <c r="BP3081">
        <v>9.68</v>
      </c>
      <c r="BQ3081">
        <v>456.6</v>
      </c>
      <c r="BR3081">
        <v>340.24</v>
      </c>
      <c r="BS3081">
        <v>65.73</v>
      </c>
      <c r="BT3081">
        <v>221.04</v>
      </c>
      <c r="BU3081">
        <v>1315.37</v>
      </c>
      <c r="BV3081">
        <v>42.58</v>
      </c>
      <c r="BW3081">
        <v>360.99</v>
      </c>
      <c r="BX3081">
        <v>95.81</v>
      </c>
      <c r="BY3081">
        <v>11.75</v>
      </c>
      <c r="BZ3081">
        <v>92.45</v>
      </c>
      <c r="CA3081">
        <v>7.0000000000000007E-2</v>
      </c>
      <c r="CB3081">
        <v>77.959999999999994</v>
      </c>
      <c r="CC3081">
        <v>192.89</v>
      </c>
      <c r="CD3081">
        <v>116.63</v>
      </c>
      <c r="CE3081">
        <v>49.34</v>
      </c>
      <c r="CF3081">
        <v>1.69</v>
      </c>
      <c r="CG3081">
        <v>50.36</v>
      </c>
      <c r="CH3081">
        <v>41.87</v>
      </c>
      <c r="CI3081">
        <v>23.37</v>
      </c>
      <c r="CJ3081">
        <v>-0.12</v>
      </c>
      <c r="CK3081">
        <v>22.06</v>
      </c>
      <c r="CL3081">
        <v>247.02</v>
      </c>
      <c r="CM3081">
        <v>65.98</v>
      </c>
      <c r="CN3081">
        <v>-0.49</v>
      </c>
      <c r="CO3081">
        <v>94795</v>
      </c>
      <c r="CP3081">
        <v>26214</v>
      </c>
      <c r="CQ3081" t="s">
        <v>13410</v>
      </c>
      <c r="CR3081">
        <v>-24.02</v>
      </c>
      <c r="CS3081">
        <v>10.41</v>
      </c>
      <c r="CT3081">
        <v>1.61</v>
      </c>
      <c r="CU3081">
        <v>10.23</v>
      </c>
      <c r="CV3081">
        <v>3.5</v>
      </c>
      <c r="CW3081">
        <v>2.85</v>
      </c>
      <c r="CX3081" t="s">
        <v>966</v>
      </c>
      <c r="CY3081">
        <v>6.02</v>
      </c>
      <c r="CZ3081">
        <v>6.02</v>
      </c>
      <c r="DA3081">
        <v>1.1200000000000001</v>
      </c>
      <c r="DB3081">
        <v>3.55</v>
      </c>
      <c r="DC3081">
        <v>0.95</v>
      </c>
      <c r="DD3081">
        <v>19.64</v>
      </c>
      <c r="DE3081" t="s">
        <v>3575</v>
      </c>
      <c r="DF3081">
        <v>39.53</v>
      </c>
      <c r="DG3081">
        <v>25.58</v>
      </c>
      <c r="DH3081">
        <v>12.11</v>
      </c>
      <c r="DI3081">
        <v>0.05</v>
      </c>
      <c r="DJ3081">
        <v>8614</v>
      </c>
      <c r="DK3081">
        <v>600886</v>
      </c>
      <c r="DL3081" t="s">
        <v>120</v>
      </c>
      <c r="DM3081" t="s">
        <v>120</v>
      </c>
      <c r="DN3081" t="s">
        <v>120</v>
      </c>
    </row>
    <row r="3082" spans="1:118">
      <c r="A3082" t="str">
        <f>"600887"</f>
        <v>600887</v>
      </c>
      <c r="B3082" t="s">
        <v>13411</v>
      </c>
      <c r="C3082">
        <v>0.69</v>
      </c>
      <c r="D3082">
        <v>0</v>
      </c>
      <c r="E3082">
        <v>0.52</v>
      </c>
      <c r="F3082">
        <v>9905</v>
      </c>
      <c r="G3082" t="s">
        <v>13412</v>
      </c>
      <c r="H3082">
        <v>199870.15</v>
      </c>
      <c r="I3082">
        <v>1515.42</v>
      </c>
      <c r="J3082" t="s">
        <v>120</v>
      </c>
      <c r="K3082" t="s">
        <v>13413</v>
      </c>
      <c r="L3082">
        <v>0.96</v>
      </c>
      <c r="M3082">
        <v>35.049999999999997</v>
      </c>
      <c r="N3082">
        <v>1.1399999999999999</v>
      </c>
      <c r="O3082">
        <v>1.67</v>
      </c>
      <c r="P3082">
        <v>35.39</v>
      </c>
      <c r="Q3082">
        <v>-1.32</v>
      </c>
      <c r="R3082">
        <v>34.35</v>
      </c>
      <c r="S3082">
        <v>34.99</v>
      </c>
      <c r="T3082">
        <v>570875</v>
      </c>
      <c r="U3082">
        <v>35.049999999999997</v>
      </c>
      <c r="V3082">
        <v>34.81</v>
      </c>
      <c r="W3082">
        <v>20.03</v>
      </c>
      <c r="X3082" t="s">
        <v>4454</v>
      </c>
      <c r="Y3082" t="s">
        <v>785</v>
      </c>
      <c r="Z3082">
        <v>2.99</v>
      </c>
      <c r="AA3082">
        <v>35.01</v>
      </c>
      <c r="AB3082">
        <v>271599</v>
      </c>
      <c r="AC3082">
        <v>299276</v>
      </c>
      <c r="AD3082">
        <v>0.91</v>
      </c>
      <c r="AE3082">
        <v>494</v>
      </c>
      <c r="AF3082">
        <v>589</v>
      </c>
      <c r="AG3082" t="s">
        <v>120</v>
      </c>
      <c r="AH3082">
        <v>0.01</v>
      </c>
      <c r="AI3082" t="s">
        <v>120</v>
      </c>
      <c r="AJ3082">
        <v>59.3</v>
      </c>
      <c r="AK3082" t="s">
        <v>13414</v>
      </c>
      <c r="AL3082">
        <v>2.0299999999999998</v>
      </c>
      <c r="AM3082">
        <v>4734</v>
      </c>
      <c r="AN3082">
        <v>121</v>
      </c>
      <c r="AO3082">
        <v>2.0000000000000001E-4</v>
      </c>
      <c r="AP3082">
        <v>1</v>
      </c>
      <c r="AQ3082">
        <v>-1.86</v>
      </c>
      <c r="AR3082">
        <v>-2.09</v>
      </c>
      <c r="AS3082">
        <v>5</v>
      </c>
      <c r="AT3082">
        <v>-5.62</v>
      </c>
      <c r="AU3082">
        <v>-19.52</v>
      </c>
      <c r="AV3082">
        <v>0</v>
      </c>
      <c r="AW3082">
        <v>1.06</v>
      </c>
      <c r="AX3082">
        <v>88.65</v>
      </c>
      <c r="AY3082">
        <v>24.43</v>
      </c>
      <c r="AZ3082">
        <v>29.91</v>
      </c>
      <c r="BA3082">
        <v>0.95</v>
      </c>
      <c r="BB3082" t="s">
        <v>143</v>
      </c>
      <c r="BF3082">
        <v>0.57999999999999996</v>
      </c>
      <c r="BG3082">
        <v>0.17</v>
      </c>
      <c r="BH3082">
        <v>-0.96</v>
      </c>
      <c r="BI3082">
        <v>2.04</v>
      </c>
      <c r="BJ3082">
        <v>20210831</v>
      </c>
      <c r="BK3082">
        <v>19960312</v>
      </c>
      <c r="BL3082">
        <v>60.82</v>
      </c>
      <c r="BM3082" t="s">
        <v>120</v>
      </c>
      <c r="BN3082" t="s">
        <v>120</v>
      </c>
      <c r="BO3082">
        <v>887.73</v>
      </c>
      <c r="BP3082">
        <v>35.04</v>
      </c>
      <c r="BQ3082">
        <v>322.11</v>
      </c>
      <c r="BR3082">
        <v>8.52</v>
      </c>
      <c r="BS3082">
        <v>62.76</v>
      </c>
      <c r="BT3082">
        <v>384.26</v>
      </c>
      <c r="BU3082">
        <v>263.27999999999997</v>
      </c>
      <c r="BV3082">
        <v>15.79</v>
      </c>
      <c r="BW3082">
        <v>435.32</v>
      </c>
      <c r="BX3082">
        <v>181.96</v>
      </c>
      <c r="BY3082">
        <v>67.92</v>
      </c>
      <c r="BZ3082">
        <v>23.62</v>
      </c>
      <c r="CA3082" t="s">
        <v>120</v>
      </c>
      <c r="CB3082">
        <v>23.76</v>
      </c>
      <c r="CC3082">
        <v>562.94000000000005</v>
      </c>
      <c r="CD3082">
        <v>352.38</v>
      </c>
      <c r="CE3082">
        <v>63.87</v>
      </c>
      <c r="CF3082">
        <v>2.4300000000000002</v>
      </c>
      <c r="CG3082">
        <v>62.95</v>
      </c>
      <c r="CH3082">
        <v>53.2</v>
      </c>
      <c r="CI3082">
        <v>53.22</v>
      </c>
      <c r="CJ3082">
        <v>0.24</v>
      </c>
      <c r="CK3082">
        <v>50.1</v>
      </c>
      <c r="CL3082">
        <v>210.67</v>
      </c>
      <c r="CM3082">
        <v>63.37</v>
      </c>
      <c r="CN3082">
        <v>97.55</v>
      </c>
      <c r="CO3082">
        <v>619662</v>
      </c>
      <c r="CP3082">
        <v>8701</v>
      </c>
      <c r="CQ3082" t="s">
        <v>13415</v>
      </c>
      <c r="CR3082">
        <v>42.48</v>
      </c>
      <c r="CS3082">
        <v>18.899999999999999</v>
      </c>
      <c r="CT3082">
        <v>6.62</v>
      </c>
      <c r="CU3082">
        <v>33.64</v>
      </c>
      <c r="CV3082">
        <v>3.79</v>
      </c>
      <c r="CW3082">
        <v>2.36</v>
      </c>
      <c r="CX3082" t="s">
        <v>465</v>
      </c>
      <c r="CY3082">
        <v>5.3</v>
      </c>
      <c r="CZ3082">
        <v>5.3</v>
      </c>
      <c r="DA3082">
        <v>0.39</v>
      </c>
      <c r="DB3082">
        <v>3.46</v>
      </c>
      <c r="DC3082">
        <v>1.04</v>
      </c>
      <c r="DD3082">
        <v>36.28</v>
      </c>
      <c r="DE3082" t="s">
        <v>5699</v>
      </c>
      <c r="DF3082">
        <v>37.4</v>
      </c>
      <c r="DG3082">
        <v>11.35</v>
      </c>
      <c r="DH3082">
        <v>9.4499999999999993</v>
      </c>
      <c r="DI3082">
        <v>2.54</v>
      </c>
      <c r="DJ3082">
        <v>59159</v>
      </c>
      <c r="DK3082">
        <v>600887</v>
      </c>
      <c r="DL3082" t="s">
        <v>120</v>
      </c>
      <c r="DM3082" t="s">
        <v>120</v>
      </c>
      <c r="DN3082" t="s">
        <v>120</v>
      </c>
    </row>
    <row r="3083" spans="1:118">
      <c r="A3083" t="str">
        <f>"600888"</f>
        <v>600888</v>
      </c>
      <c r="B3083" t="s">
        <v>13416</v>
      </c>
      <c r="C3083">
        <v>-3.02</v>
      </c>
      <c r="D3083">
        <v>-0.08</v>
      </c>
      <c r="E3083">
        <v>0.89</v>
      </c>
      <c r="F3083">
        <v>8578</v>
      </c>
      <c r="G3083" t="s">
        <v>13417</v>
      </c>
      <c r="H3083">
        <v>90187.37</v>
      </c>
      <c r="I3083">
        <v>414.06</v>
      </c>
      <c r="J3083" t="s">
        <v>120</v>
      </c>
      <c r="K3083" t="s">
        <v>13418</v>
      </c>
      <c r="L3083">
        <v>6.46</v>
      </c>
      <c r="M3083">
        <v>10.9</v>
      </c>
      <c r="N3083">
        <v>0.95</v>
      </c>
      <c r="O3083">
        <v>4.9800000000000004</v>
      </c>
      <c r="P3083">
        <v>11.8</v>
      </c>
      <c r="Q3083">
        <v>-3.02</v>
      </c>
      <c r="R3083">
        <v>10.9</v>
      </c>
      <c r="S3083">
        <v>11.34</v>
      </c>
      <c r="T3083">
        <v>801353</v>
      </c>
      <c r="U3083">
        <v>10.91</v>
      </c>
      <c r="V3083">
        <v>11.24</v>
      </c>
      <c r="W3083">
        <v>22.42</v>
      </c>
      <c r="X3083" t="s">
        <v>1325</v>
      </c>
      <c r="Y3083" t="s">
        <v>609</v>
      </c>
      <c r="Z3083">
        <v>8.01</v>
      </c>
      <c r="AA3083">
        <v>11.25</v>
      </c>
      <c r="AB3083">
        <v>443762</v>
      </c>
      <c r="AC3083">
        <v>357591</v>
      </c>
      <c r="AD3083">
        <v>1.24</v>
      </c>
      <c r="AE3083">
        <v>4432</v>
      </c>
      <c r="AF3083">
        <v>126</v>
      </c>
      <c r="AG3083" t="s">
        <v>120</v>
      </c>
      <c r="AH3083">
        <v>0.05</v>
      </c>
      <c r="AI3083" t="s">
        <v>120</v>
      </c>
      <c r="AJ3083">
        <v>12.41</v>
      </c>
      <c r="AK3083" t="s">
        <v>13419</v>
      </c>
      <c r="AL3083">
        <v>-1.68</v>
      </c>
      <c r="AM3083">
        <v>4590</v>
      </c>
      <c r="AN3083">
        <v>175</v>
      </c>
      <c r="AO3083">
        <v>1.4E-3</v>
      </c>
      <c r="AP3083">
        <v>-1</v>
      </c>
      <c r="AQ3083">
        <v>1.08</v>
      </c>
      <c r="AR3083">
        <v>-0.46</v>
      </c>
      <c r="AS3083">
        <v>20.84</v>
      </c>
      <c r="AT3083">
        <v>98.18</v>
      </c>
      <c r="AU3083">
        <v>99.57</v>
      </c>
      <c r="AV3083">
        <v>12</v>
      </c>
      <c r="AW3083">
        <v>10.119999999999999</v>
      </c>
      <c r="AX3083">
        <v>59.73</v>
      </c>
      <c r="AY3083">
        <v>27.64</v>
      </c>
      <c r="AZ3083">
        <v>42.45</v>
      </c>
      <c r="BA3083">
        <v>0.32</v>
      </c>
      <c r="BB3083" t="s">
        <v>143</v>
      </c>
      <c r="BF3083">
        <v>0.13</v>
      </c>
      <c r="BG3083">
        <v>-3.88</v>
      </c>
      <c r="BH3083">
        <v>-7.63</v>
      </c>
      <c r="BI3083">
        <v>0</v>
      </c>
      <c r="BJ3083">
        <v>20210813</v>
      </c>
      <c r="BK3083">
        <v>19960215</v>
      </c>
      <c r="BL3083">
        <v>13.26</v>
      </c>
      <c r="BM3083" t="s">
        <v>120</v>
      </c>
      <c r="BN3083" t="s">
        <v>120</v>
      </c>
      <c r="BO3083">
        <v>130.01</v>
      </c>
      <c r="BP3083">
        <v>10.9</v>
      </c>
      <c r="BQ3083">
        <v>62.05</v>
      </c>
      <c r="BR3083">
        <v>0.99</v>
      </c>
      <c r="BS3083">
        <v>51.51</v>
      </c>
      <c r="BT3083">
        <v>60.45</v>
      </c>
      <c r="BU3083">
        <v>45.95</v>
      </c>
      <c r="BV3083">
        <v>2.74</v>
      </c>
      <c r="BW3083">
        <v>27.48</v>
      </c>
      <c r="BX3083">
        <v>24.69</v>
      </c>
      <c r="BY3083">
        <v>13.01</v>
      </c>
      <c r="BZ3083">
        <v>4.87</v>
      </c>
      <c r="CA3083">
        <v>7.0000000000000007E-2</v>
      </c>
      <c r="CB3083">
        <v>34.799999999999997</v>
      </c>
      <c r="CC3083">
        <v>39.93</v>
      </c>
      <c r="CD3083">
        <v>35.25</v>
      </c>
      <c r="CE3083">
        <v>3.28</v>
      </c>
      <c r="CF3083">
        <v>1.3</v>
      </c>
      <c r="CG3083">
        <v>3.27</v>
      </c>
      <c r="CH3083">
        <v>3.24</v>
      </c>
      <c r="CI3083">
        <v>3.22</v>
      </c>
      <c r="CJ3083">
        <v>-0.34</v>
      </c>
      <c r="CK3083">
        <v>2.94</v>
      </c>
      <c r="CL3083">
        <v>12.69</v>
      </c>
      <c r="CM3083">
        <v>3.4</v>
      </c>
      <c r="CN3083">
        <v>9.5299999999999994</v>
      </c>
      <c r="CO3083">
        <v>65521</v>
      </c>
      <c r="CP3083">
        <v>12087</v>
      </c>
      <c r="CQ3083" t="s">
        <v>11255</v>
      </c>
      <c r="CR3083">
        <v>140.1</v>
      </c>
      <c r="CS3083">
        <v>70.099999999999994</v>
      </c>
      <c r="CT3083">
        <v>2.33</v>
      </c>
      <c r="CU3083">
        <v>42.46</v>
      </c>
      <c r="CV3083">
        <v>3.62</v>
      </c>
      <c r="CW3083">
        <v>0</v>
      </c>
      <c r="CX3083" t="s">
        <v>1054</v>
      </c>
      <c r="CY3083">
        <v>4.68</v>
      </c>
      <c r="CZ3083">
        <v>4.68</v>
      </c>
      <c r="DA3083">
        <v>2.62</v>
      </c>
      <c r="DB3083">
        <v>0.96</v>
      </c>
      <c r="DC3083">
        <v>0.26</v>
      </c>
      <c r="DD3083">
        <v>47.73</v>
      </c>
      <c r="DE3083" t="s">
        <v>5226</v>
      </c>
      <c r="DF3083">
        <v>11.73</v>
      </c>
      <c r="DG3083">
        <v>8.2100000000000009</v>
      </c>
      <c r="DH3083">
        <v>8.07</v>
      </c>
      <c r="DI3083">
        <v>0.15</v>
      </c>
      <c r="DJ3083">
        <v>2678</v>
      </c>
      <c r="DK3083">
        <v>600888</v>
      </c>
      <c r="DL3083">
        <v>20210726</v>
      </c>
      <c r="DM3083">
        <v>7.88</v>
      </c>
      <c r="DN3083">
        <v>38.32</v>
      </c>
    </row>
    <row r="3084" spans="1:118">
      <c r="A3084" t="str">
        <f>"600889"</f>
        <v>600889</v>
      </c>
      <c r="B3084" t="s">
        <v>13420</v>
      </c>
      <c r="C3084">
        <v>-3.26</v>
      </c>
      <c r="D3084">
        <v>-0.12</v>
      </c>
      <c r="E3084">
        <v>1.7</v>
      </c>
      <c r="F3084">
        <v>2493</v>
      </c>
      <c r="G3084" t="s">
        <v>5762</v>
      </c>
      <c r="H3084">
        <v>34688.519999999997</v>
      </c>
      <c r="I3084">
        <v>875.28</v>
      </c>
      <c r="J3084" t="s">
        <v>120</v>
      </c>
      <c r="K3084" t="s">
        <v>8347</v>
      </c>
      <c r="L3084">
        <v>12.49</v>
      </c>
      <c r="M3084">
        <v>7.41</v>
      </c>
      <c r="N3084">
        <v>2.52</v>
      </c>
      <c r="O3084">
        <v>3.13</v>
      </c>
      <c r="P3084">
        <v>7.9</v>
      </c>
      <c r="Q3084">
        <v>-3.79</v>
      </c>
      <c r="R3084">
        <v>7.37</v>
      </c>
      <c r="S3084">
        <v>7.79</v>
      </c>
      <c r="T3084">
        <v>457461</v>
      </c>
      <c r="U3084">
        <v>7.41</v>
      </c>
      <c r="V3084">
        <v>7.66</v>
      </c>
      <c r="W3084">
        <v>11.48</v>
      </c>
      <c r="X3084" t="s">
        <v>623</v>
      </c>
      <c r="Y3084" t="s">
        <v>319</v>
      </c>
      <c r="Z3084">
        <v>6.92</v>
      </c>
      <c r="AA3084">
        <v>7.58</v>
      </c>
      <c r="AB3084">
        <v>252877</v>
      </c>
      <c r="AC3084">
        <v>204584</v>
      </c>
      <c r="AD3084">
        <v>1.24</v>
      </c>
      <c r="AE3084">
        <v>224</v>
      </c>
      <c r="AF3084">
        <v>695</v>
      </c>
      <c r="AG3084" t="s">
        <v>120</v>
      </c>
      <c r="AH3084">
        <v>0.6</v>
      </c>
      <c r="AI3084" t="s">
        <v>120</v>
      </c>
      <c r="AJ3084">
        <v>3.66</v>
      </c>
      <c r="AK3084" t="s">
        <v>8347</v>
      </c>
      <c r="AL3084">
        <v>-1.92</v>
      </c>
      <c r="AM3084">
        <v>3956</v>
      </c>
      <c r="AN3084">
        <v>116</v>
      </c>
      <c r="AO3084">
        <v>3.2000000000000002E-3</v>
      </c>
      <c r="AP3084">
        <v>-1</v>
      </c>
      <c r="AQ3084">
        <v>10.06</v>
      </c>
      <c r="AR3084">
        <v>8.18</v>
      </c>
      <c r="AS3084">
        <v>20.29</v>
      </c>
      <c r="AT3084">
        <v>21.67</v>
      </c>
      <c r="AU3084">
        <v>70.739999999999995</v>
      </c>
      <c r="AV3084">
        <v>10</v>
      </c>
      <c r="AW3084">
        <v>24.39</v>
      </c>
      <c r="AX3084">
        <v>51.2</v>
      </c>
      <c r="AY3084">
        <v>16.46</v>
      </c>
      <c r="AZ3084">
        <v>254.41</v>
      </c>
      <c r="BA3084">
        <v>1</v>
      </c>
      <c r="BB3084" t="s">
        <v>168</v>
      </c>
      <c r="BF3084">
        <v>-1.01</v>
      </c>
      <c r="BG3084">
        <v>-4.88</v>
      </c>
      <c r="BH3084">
        <v>-6.2</v>
      </c>
      <c r="BI3084">
        <v>0.54</v>
      </c>
      <c r="BJ3084">
        <v>20210827</v>
      </c>
      <c r="BK3084">
        <v>19960308</v>
      </c>
      <c r="BL3084">
        <v>3.66</v>
      </c>
      <c r="BM3084" t="s">
        <v>120</v>
      </c>
      <c r="BN3084" t="s">
        <v>120</v>
      </c>
      <c r="BO3084">
        <v>22.89</v>
      </c>
      <c r="BP3084">
        <v>7.4</v>
      </c>
      <c r="BQ3084">
        <v>15.19</v>
      </c>
      <c r="BR3084">
        <v>1.33</v>
      </c>
      <c r="BS3084">
        <v>27.83</v>
      </c>
      <c r="BT3084">
        <v>7.62</v>
      </c>
      <c r="BU3084">
        <v>5.59</v>
      </c>
      <c r="BV3084">
        <v>1.05</v>
      </c>
      <c r="BW3084">
        <v>4.7300000000000004</v>
      </c>
      <c r="BX3084">
        <v>0.71</v>
      </c>
      <c r="BY3084">
        <v>2.0499999999999998</v>
      </c>
      <c r="BZ3084">
        <v>0.25</v>
      </c>
      <c r="CA3084">
        <v>0</v>
      </c>
      <c r="CB3084">
        <v>5.38</v>
      </c>
      <c r="CC3084">
        <v>2.57</v>
      </c>
      <c r="CD3084">
        <v>2.15</v>
      </c>
      <c r="CE3084">
        <v>1.08</v>
      </c>
      <c r="CF3084">
        <v>0.04</v>
      </c>
      <c r="CG3084">
        <v>1.1200000000000001</v>
      </c>
      <c r="CH3084">
        <v>1.1000000000000001</v>
      </c>
      <c r="CI3084">
        <v>1.18</v>
      </c>
      <c r="CJ3084">
        <v>-0.25</v>
      </c>
      <c r="CK3084">
        <v>-0.28999999999999998</v>
      </c>
      <c r="CL3084">
        <v>3.57</v>
      </c>
      <c r="CM3084">
        <v>-0.6</v>
      </c>
      <c r="CN3084">
        <v>-1.0900000000000001</v>
      </c>
      <c r="CO3084">
        <v>32260</v>
      </c>
      <c r="CP3084">
        <v>5815</v>
      </c>
      <c r="CQ3084" t="s">
        <v>223</v>
      </c>
      <c r="CR3084">
        <v>386.17</v>
      </c>
      <c r="CS3084">
        <v>88.29</v>
      </c>
      <c r="CT3084">
        <v>1.79</v>
      </c>
      <c r="CU3084">
        <v>-45.42</v>
      </c>
      <c r="CV3084">
        <v>10.55</v>
      </c>
      <c r="CW3084">
        <v>0.26</v>
      </c>
      <c r="CX3084" t="s">
        <v>966</v>
      </c>
      <c r="CY3084">
        <v>4.1500000000000004</v>
      </c>
      <c r="CZ3084">
        <v>0</v>
      </c>
      <c r="DA3084">
        <v>1.47</v>
      </c>
      <c r="DB3084">
        <v>0.97</v>
      </c>
      <c r="DC3084">
        <v>-0.16</v>
      </c>
      <c r="DD3084">
        <v>66.36</v>
      </c>
      <c r="DE3084" t="s">
        <v>5049</v>
      </c>
      <c r="DF3084">
        <v>16.5</v>
      </c>
      <c r="DG3084">
        <v>42</v>
      </c>
      <c r="DH3084">
        <v>45.94</v>
      </c>
      <c r="DI3084">
        <v>0.1</v>
      </c>
      <c r="DJ3084">
        <v>1356</v>
      </c>
      <c r="DK3084">
        <v>600889</v>
      </c>
      <c r="DL3084">
        <v>20210915</v>
      </c>
      <c r="DM3084">
        <v>7.66</v>
      </c>
      <c r="DN3084">
        <v>-3.26</v>
      </c>
    </row>
    <row r="3085" spans="1:118">
      <c r="A3085" t="str">
        <f>"600892"</f>
        <v>600892</v>
      </c>
      <c r="B3085" t="s">
        <v>13421</v>
      </c>
      <c r="C3085">
        <v>1.1200000000000001</v>
      </c>
      <c r="D3085">
        <v>0</v>
      </c>
      <c r="E3085">
        <v>-0.28000000000000003</v>
      </c>
      <c r="F3085">
        <v>365</v>
      </c>
      <c r="G3085" t="s">
        <v>9374</v>
      </c>
      <c r="H3085">
        <v>1725.52</v>
      </c>
      <c r="I3085">
        <v>22.43</v>
      </c>
      <c r="J3085" t="s">
        <v>120</v>
      </c>
      <c r="K3085" t="s">
        <v>9309</v>
      </c>
      <c r="L3085">
        <v>0.88</v>
      </c>
      <c r="M3085">
        <v>3.61</v>
      </c>
      <c r="N3085">
        <v>1.77</v>
      </c>
      <c r="O3085">
        <v>3.08</v>
      </c>
      <c r="P3085">
        <v>3.68</v>
      </c>
      <c r="Q3085">
        <v>-0.84</v>
      </c>
      <c r="R3085">
        <v>3.54</v>
      </c>
      <c r="S3085">
        <v>3.56</v>
      </c>
      <c r="T3085">
        <v>47653</v>
      </c>
      <c r="U3085">
        <v>3.61</v>
      </c>
      <c r="V3085">
        <v>3.57</v>
      </c>
      <c r="W3085">
        <v>126.44</v>
      </c>
      <c r="X3085" t="s">
        <v>584</v>
      </c>
      <c r="Y3085" t="s">
        <v>123</v>
      </c>
      <c r="Z3085">
        <v>3.92</v>
      </c>
      <c r="AA3085">
        <v>3.62</v>
      </c>
      <c r="AB3085">
        <v>19760</v>
      </c>
      <c r="AC3085">
        <v>27893</v>
      </c>
      <c r="AD3085">
        <v>0.71</v>
      </c>
      <c r="AE3085">
        <v>324</v>
      </c>
      <c r="AF3085">
        <v>170</v>
      </c>
      <c r="AG3085" t="s">
        <v>120</v>
      </c>
      <c r="AH3085">
        <v>0.03</v>
      </c>
      <c r="AI3085" t="s">
        <v>120</v>
      </c>
      <c r="AJ3085">
        <v>5.4</v>
      </c>
      <c r="AK3085" t="s">
        <v>1613</v>
      </c>
      <c r="AL3085">
        <v>2.46</v>
      </c>
      <c r="AM3085">
        <v>643</v>
      </c>
      <c r="AN3085">
        <v>74</v>
      </c>
      <c r="AO3085">
        <v>1.4E-3</v>
      </c>
      <c r="AP3085">
        <v>2</v>
      </c>
      <c r="AQ3085">
        <v>1.42</v>
      </c>
      <c r="AR3085">
        <v>1.1200000000000001</v>
      </c>
      <c r="AS3085">
        <v>1.69</v>
      </c>
      <c r="AT3085">
        <v>-8.61</v>
      </c>
      <c r="AU3085">
        <v>24.05</v>
      </c>
      <c r="AV3085">
        <v>4</v>
      </c>
      <c r="AW3085">
        <v>2.0499999999999998</v>
      </c>
      <c r="AX3085">
        <v>41.49</v>
      </c>
      <c r="AY3085" t="s">
        <v>120</v>
      </c>
      <c r="AZ3085">
        <v>85.55</v>
      </c>
      <c r="BA3085">
        <v>0.73</v>
      </c>
      <c r="BB3085" t="s">
        <v>143</v>
      </c>
      <c r="BF3085">
        <v>1.43</v>
      </c>
      <c r="BG3085">
        <v>1.4</v>
      </c>
      <c r="BH3085">
        <v>-1.9</v>
      </c>
      <c r="BI3085">
        <v>1.98</v>
      </c>
      <c r="BJ3085">
        <v>20210807</v>
      </c>
      <c r="BK3085">
        <v>19960315</v>
      </c>
      <c r="BL3085">
        <v>5.59</v>
      </c>
      <c r="BM3085" t="s">
        <v>120</v>
      </c>
      <c r="BN3085" t="s">
        <v>120</v>
      </c>
      <c r="BO3085">
        <v>5.58</v>
      </c>
      <c r="BP3085">
        <v>3.6</v>
      </c>
      <c r="BQ3085">
        <v>2.75</v>
      </c>
      <c r="BR3085">
        <v>0.27</v>
      </c>
      <c r="BS3085">
        <v>45.75</v>
      </c>
      <c r="BT3085">
        <v>2.2599999999999998</v>
      </c>
      <c r="BU3085">
        <v>0.03</v>
      </c>
      <c r="BV3085">
        <v>0</v>
      </c>
      <c r="BW3085">
        <v>2.04</v>
      </c>
      <c r="BX3085">
        <v>0.81</v>
      </c>
      <c r="BY3085">
        <v>0.39</v>
      </c>
      <c r="BZ3085">
        <v>0.22</v>
      </c>
      <c r="CA3085">
        <v>0</v>
      </c>
      <c r="CB3085">
        <v>11.28</v>
      </c>
      <c r="CC3085">
        <v>1.1100000000000001</v>
      </c>
      <c r="CD3085">
        <v>0.05</v>
      </c>
      <c r="CE3085">
        <v>0.13</v>
      </c>
      <c r="CF3085">
        <v>0</v>
      </c>
      <c r="CG3085">
        <v>0.14000000000000001</v>
      </c>
      <c r="CH3085">
        <v>0.1</v>
      </c>
      <c r="CI3085">
        <v>0.08</v>
      </c>
      <c r="CJ3085">
        <v>0.04</v>
      </c>
      <c r="CK3085">
        <v>0.04</v>
      </c>
      <c r="CL3085">
        <v>-14.2</v>
      </c>
      <c r="CM3085">
        <v>-0.25</v>
      </c>
      <c r="CN3085">
        <v>-0.48</v>
      </c>
      <c r="CO3085">
        <v>9690</v>
      </c>
      <c r="CP3085">
        <v>23952</v>
      </c>
      <c r="CQ3085" t="s">
        <v>7053</v>
      </c>
      <c r="CR3085">
        <v>-77.16</v>
      </c>
      <c r="CS3085">
        <v>-47.29</v>
      </c>
      <c r="CT3085">
        <v>7.33</v>
      </c>
      <c r="CU3085">
        <v>-82.34</v>
      </c>
      <c r="CV3085">
        <v>18.16</v>
      </c>
      <c r="CW3085">
        <v>0</v>
      </c>
      <c r="CX3085" t="s">
        <v>178</v>
      </c>
      <c r="CY3085">
        <v>0.49</v>
      </c>
      <c r="CZ3085">
        <v>0</v>
      </c>
      <c r="DA3085">
        <v>2.02</v>
      </c>
      <c r="DB3085">
        <v>-2.54</v>
      </c>
      <c r="DC3085">
        <v>-0.04</v>
      </c>
      <c r="DD3085">
        <v>49.36</v>
      </c>
      <c r="DE3085" t="s">
        <v>7027</v>
      </c>
      <c r="DF3085">
        <v>95.09</v>
      </c>
      <c r="DG3085">
        <v>11.93</v>
      </c>
      <c r="DH3085">
        <v>7.18</v>
      </c>
      <c r="DI3085">
        <v>0.32</v>
      </c>
      <c r="DJ3085">
        <v>364</v>
      </c>
      <c r="DK3085">
        <v>600892</v>
      </c>
      <c r="DL3085" t="s">
        <v>120</v>
      </c>
      <c r="DM3085" t="s">
        <v>120</v>
      </c>
      <c r="DN3085" t="s">
        <v>120</v>
      </c>
    </row>
    <row r="3086" spans="1:118">
      <c r="A3086" t="str">
        <f>"600893"</f>
        <v>600893</v>
      </c>
      <c r="B3086" t="s">
        <v>13422</v>
      </c>
      <c r="C3086">
        <v>-4.83</v>
      </c>
      <c r="D3086">
        <v>0</v>
      </c>
      <c r="E3086">
        <v>-0.12</v>
      </c>
      <c r="F3086">
        <v>6655</v>
      </c>
      <c r="G3086" t="s">
        <v>13423</v>
      </c>
      <c r="H3086">
        <v>176670.64</v>
      </c>
      <c r="I3086">
        <v>384.99</v>
      </c>
      <c r="J3086" t="s">
        <v>120</v>
      </c>
      <c r="K3086" t="s">
        <v>13424</v>
      </c>
      <c r="L3086">
        <v>1.5</v>
      </c>
      <c r="M3086">
        <v>54.59</v>
      </c>
      <c r="N3086">
        <v>0.83</v>
      </c>
      <c r="O3086">
        <v>0.68</v>
      </c>
      <c r="P3086">
        <v>57.75</v>
      </c>
      <c r="Q3086">
        <v>-4.99</v>
      </c>
      <c r="R3086">
        <v>54.5</v>
      </c>
      <c r="S3086">
        <v>57.29</v>
      </c>
      <c r="T3086">
        <v>315459</v>
      </c>
      <c r="U3086">
        <v>54.59</v>
      </c>
      <c r="V3086">
        <v>57.36</v>
      </c>
      <c r="W3086">
        <v>157.71</v>
      </c>
      <c r="X3086" t="s">
        <v>1621</v>
      </c>
      <c r="Y3086" t="s">
        <v>890</v>
      </c>
      <c r="Z3086">
        <v>5.67</v>
      </c>
      <c r="AA3086">
        <v>56</v>
      </c>
      <c r="AB3086">
        <v>172986</v>
      </c>
      <c r="AC3086">
        <v>142473</v>
      </c>
      <c r="AD3086">
        <v>1.21</v>
      </c>
      <c r="AE3086">
        <v>763</v>
      </c>
      <c r="AF3086">
        <v>455</v>
      </c>
      <c r="AG3086" t="s">
        <v>120</v>
      </c>
      <c r="AH3086">
        <v>0.01</v>
      </c>
      <c r="AI3086" t="s">
        <v>120</v>
      </c>
      <c r="AJ3086">
        <v>21.08</v>
      </c>
      <c r="AK3086" t="s">
        <v>13425</v>
      </c>
      <c r="AL3086">
        <v>-3.49</v>
      </c>
      <c r="AM3086">
        <v>4707</v>
      </c>
      <c r="AN3086">
        <v>67</v>
      </c>
      <c r="AO3086">
        <v>2.9999999999999997E-4</v>
      </c>
      <c r="AP3086">
        <v>-1</v>
      </c>
      <c r="AQ3086">
        <v>0.77</v>
      </c>
      <c r="AR3086">
        <v>-6.88</v>
      </c>
      <c r="AS3086">
        <v>-15.95</v>
      </c>
      <c r="AT3086">
        <v>4.18</v>
      </c>
      <c r="AU3086">
        <v>-7.82</v>
      </c>
      <c r="AV3086">
        <v>5</v>
      </c>
      <c r="AW3086">
        <v>3.04</v>
      </c>
      <c r="AX3086">
        <v>38.96</v>
      </c>
      <c r="AY3086">
        <v>127.54</v>
      </c>
      <c r="AZ3086">
        <v>133.41999999999999</v>
      </c>
      <c r="BA3086">
        <v>1.71</v>
      </c>
      <c r="BB3086" t="s">
        <v>143</v>
      </c>
      <c r="BF3086">
        <v>-2.36</v>
      </c>
      <c r="BG3086">
        <v>-4.71</v>
      </c>
      <c r="BH3086">
        <v>-5.47</v>
      </c>
      <c r="BI3086">
        <v>0.17</v>
      </c>
      <c r="BJ3086">
        <v>20210830</v>
      </c>
      <c r="BK3086">
        <v>19960408</v>
      </c>
      <c r="BL3086">
        <v>26.66</v>
      </c>
      <c r="BM3086" t="s">
        <v>120</v>
      </c>
      <c r="BN3086" t="s">
        <v>120</v>
      </c>
      <c r="BO3086">
        <v>894.03</v>
      </c>
      <c r="BP3086">
        <v>54.58</v>
      </c>
      <c r="BQ3086">
        <v>361.26</v>
      </c>
      <c r="BR3086">
        <v>19.13</v>
      </c>
      <c r="BS3086">
        <v>57.45</v>
      </c>
      <c r="BT3086">
        <v>632.16</v>
      </c>
      <c r="BU3086">
        <v>171.03</v>
      </c>
      <c r="BV3086">
        <v>21.1</v>
      </c>
      <c r="BW3086">
        <v>528.91</v>
      </c>
      <c r="BX3086">
        <v>81.28</v>
      </c>
      <c r="BY3086">
        <v>257.51</v>
      </c>
      <c r="BZ3086">
        <v>137.32</v>
      </c>
      <c r="CA3086" t="s">
        <v>120</v>
      </c>
      <c r="CB3086">
        <v>267.87</v>
      </c>
      <c r="CC3086">
        <v>100.84</v>
      </c>
      <c r="CD3086">
        <v>83.16</v>
      </c>
      <c r="CE3086">
        <v>5.64</v>
      </c>
      <c r="CF3086">
        <v>0.43</v>
      </c>
      <c r="CG3086">
        <v>5.71</v>
      </c>
      <c r="CH3086">
        <v>4.8499999999999996</v>
      </c>
      <c r="CI3086">
        <v>4.6100000000000003</v>
      </c>
      <c r="CJ3086">
        <v>-2.77</v>
      </c>
      <c r="CK3086">
        <v>3.86</v>
      </c>
      <c r="CL3086">
        <v>63.69</v>
      </c>
      <c r="CM3086">
        <v>130.24</v>
      </c>
      <c r="CN3086">
        <v>0.33</v>
      </c>
      <c r="CO3086">
        <v>255251</v>
      </c>
      <c r="CP3086">
        <v>4068</v>
      </c>
      <c r="CQ3086" t="s">
        <v>13426</v>
      </c>
      <c r="CR3086">
        <v>12.94</v>
      </c>
      <c r="CS3086">
        <v>9.68</v>
      </c>
      <c r="CT3086">
        <v>4.03</v>
      </c>
      <c r="CU3086">
        <v>11.17</v>
      </c>
      <c r="CV3086">
        <v>14.43</v>
      </c>
      <c r="CW3086">
        <v>0.23</v>
      </c>
      <c r="CX3086" t="s">
        <v>1193</v>
      </c>
      <c r="CY3086">
        <v>13.55</v>
      </c>
      <c r="CZ3086">
        <v>0</v>
      </c>
      <c r="DA3086">
        <v>10.050000000000001</v>
      </c>
      <c r="DB3086">
        <v>2.39</v>
      </c>
      <c r="DC3086">
        <v>4.8899999999999997</v>
      </c>
      <c r="DD3086">
        <v>40.409999999999997</v>
      </c>
      <c r="DE3086" t="s">
        <v>3329</v>
      </c>
      <c r="DF3086">
        <v>17.53</v>
      </c>
      <c r="DG3086">
        <v>5.59</v>
      </c>
      <c r="DH3086">
        <v>4.58</v>
      </c>
      <c r="DI3086">
        <v>2.98</v>
      </c>
      <c r="DJ3086">
        <v>34977</v>
      </c>
      <c r="DK3086">
        <v>600893</v>
      </c>
      <c r="DL3086" t="s">
        <v>120</v>
      </c>
      <c r="DM3086" t="s">
        <v>120</v>
      </c>
      <c r="DN3086" t="s">
        <v>120</v>
      </c>
    </row>
    <row r="3087" spans="1:118">
      <c r="A3087" t="str">
        <f>"600894"</f>
        <v>600894</v>
      </c>
      <c r="B3087" t="s">
        <v>13427</v>
      </c>
      <c r="C3087">
        <v>-1.8</v>
      </c>
      <c r="D3087">
        <v>0</v>
      </c>
      <c r="E3087">
        <v>0.55000000000000004</v>
      </c>
      <c r="F3087">
        <v>864</v>
      </c>
      <c r="G3087" t="s">
        <v>13428</v>
      </c>
      <c r="H3087">
        <v>3254.26</v>
      </c>
      <c r="I3087">
        <v>25.88</v>
      </c>
      <c r="J3087" t="s">
        <v>120</v>
      </c>
      <c r="K3087" t="s">
        <v>13429</v>
      </c>
      <c r="L3087">
        <v>0.53</v>
      </c>
      <c r="M3087">
        <v>7.1</v>
      </c>
      <c r="N3087">
        <v>0.8</v>
      </c>
      <c r="O3087">
        <v>0.69</v>
      </c>
      <c r="P3087">
        <v>7.28</v>
      </c>
      <c r="Q3087">
        <v>-1.8</v>
      </c>
      <c r="R3087">
        <v>7.1</v>
      </c>
      <c r="S3087">
        <v>7.27</v>
      </c>
      <c r="T3087">
        <v>45240</v>
      </c>
      <c r="U3087">
        <v>7.11</v>
      </c>
      <c r="V3087">
        <v>7.23</v>
      </c>
      <c r="W3087">
        <v>9.5399999999999991</v>
      </c>
      <c r="X3087" t="s">
        <v>157</v>
      </c>
      <c r="Y3087" t="s">
        <v>547</v>
      </c>
      <c r="Z3087">
        <v>2.4900000000000002</v>
      </c>
      <c r="AA3087">
        <v>7.19</v>
      </c>
      <c r="AB3087">
        <v>28015</v>
      </c>
      <c r="AC3087">
        <v>17225</v>
      </c>
      <c r="AD3087">
        <v>1.63</v>
      </c>
      <c r="AE3087">
        <v>520</v>
      </c>
      <c r="AF3087">
        <v>114</v>
      </c>
      <c r="AG3087" t="s">
        <v>120</v>
      </c>
      <c r="AH3087">
        <v>0.01</v>
      </c>
      <c r="AI3087" t="s">
        <v>120</v>
      </c>
      <c r="AJ3087">
        <v>8.6</v>
      </c>
      <c r="AK3087" t="s">
        <v>13429</v>
      </c>
      <c r="AL3087">
        <v>-0.45</v>
      </c>
      <c r="AM3087">
        <v>1579</v>
      </c>
      <c r="AN3087">
        <v>29</v>
      </c>
      <c r="AO3087">
        <v>2.9999999999999997E-4</v>
      </c>
      <c r="AP3087">
        <v>-1</v>
      </c>
      <c r="AQ3087">
        <v>1.54</v>
      </c>
      <c r="AR3087">
        <v>-2.88</v>
      </c>
      <c r="AS3087">
        <v>8.07</v>
      </c>
      <c r="AT3087">
        <v>3.8</v>
      </c>
      <c r="AU3087">
        <v>-7.55</v>
      </c>
      <c r="AV3087">
        <v>0</v>
      </c>
      <c r="AW3087">
        <v>1.21</v>
      </c>
      <c r="AX3087">
        <v>43.44</v>
      </c>
      <c r="AY3087">
        <v>8.6300000000000008</v>
      </c>
      <c r="AZ3087">
        <v>8.73</v>
      </c>
      <c r="BA3087">
        <v>0.62</v>
      </c>
      <c r="BB3087" t="s">
        <v>143</v>
      </c>
      <c r="BF3087">
        <v>-0.51</v>
      </c>
      <c r="BG3087">
        <v>-2.34</v>
      </c>
      <c r="BH3087">
        <v>-2.4700000000000002</v>
      </c>
      <c r="BI3087">
        <v>0</v>
      </c>
      <c r="BJ3087">
        <v>20210830</v>
      </c>
      <c r="BK3087">
        <v>19960328</v>
      </c>
      <c r="BL3087">
        <v>8.6</v>
      </c>
      <c r="BM3087" t="s">
        <v>120</v>
      </c>
      <c r="BN3087" t="s">
        <v>120</v>
      </c>
      <c r="BO3087">
        <v>119.54</v>
      </c>
      <c r="BP3087">
        <v>7.1</v>
      </c>
      <c r="BQ3087">
        <v>80.86</v>
      </c>
      <c r="BR3087">
        <v>1.94</v>
      </c>
      <c r="BS3087">
        <v>30.73</v>
      </c>
      <c r="BT3087">
        <v>69.39</v>
      </c>
      <c r="BU3087">
        <v>10.16</v>
      </c>
      <c r="BV3087">
        <v>1.49</v>
      </c>
      <c r="BW3087">
        <v>36.020000000000003</v>
      </c>
      <c r="BX3087">
        <v>34.68</v>
      </c>
      <c r="BY3087">
        <v>12.5</v>
      </c>
      <c r="BZ3087">
        <v>18.75</v>
      </c>
      <c r="CA3087" t="s">
        <v>120</v>
      </c>
      <c r="CB3087">
        <v>24.73</v>
      </c>
      <c r="CC3087">
        <v>36.090000000000003</v>
      </c>
      <c r="CD3087">
        <v>31.76</v>
      </c>
      <c r="CE3087">
        <v>3.3</v>
      </c>
      <c r="CF3087">
        <v>3.29</v>
      </c>
      <c r="CG3087">
        <v>3.31</v>
      </c>
      <c r="CH3087">
        <v>3.23</v>
      </c>
      <c r="CI3087">
        <v>3.2</v>
      </c>
      <c r="CJ3087">
        <v>-0.13</v>
      </c>
      <c r="CK3087">
        <v>3.21</v>
      </c>
      <c r="CL3087">
        <v>42.95</v>
      </c>
      <c r="CM3087">
        <v>-1.48</v>
      </c>
      <c r="CN3087">
        <v>1.1200000000000001</v>
      </c>
      <c r="CO3087">
        <v>31191</v>
      </c>
      <c r="CP3087">
        <v>11977</v>
      </c>
      <c r="CQ3087" t="s">
        <v>4760</v>
      </c>
      <c r="CR3087">
        <v>2.66</v>
      </c>
      <c r="CS3087">
        <v>22.02</v>
      </c>
      <c r="CT3087">
        <v>0.76</v>
      </c>
      <c r="CU3087">
        <v>-41.22</v>
      </c>
      <c r="CV3087">
        <v>1.69</v>
      </c>
      <c r="CW3087">
        <v>5.53</v>
      </c>
      <c r="CX3087" t="s">
        <v>13430</v>
      </c>
      <c r="CY3087">
        <v>9.4</v>
      </c>
      <c r="CZ3087">
        <v>0</v>
      </c>
      <c r="DA3087">
        <v>2.88</v>
      </c>
      <c r="DB3087">
        <v>4.99</v>
      </c>
      <c r="DC3087">
        <v>-0.17</v>
      </c>
      <c r="DD3087">
        <v>67.650000000000006</v>
      </c>
      <c r="DE3087" t="s">
        <v>2871</v>
      </c>
      <c r="DF3087">
        <v>12</v>
      </c>
      <c r="DG3087">
        <v>9.14</v>
      </c>
      <c r="DH3087">
        <v>8.8699999999999992</v>
      </c>
      <c r="DI3087">
        <v>1.18</v>
      </c>
      <c r="DJ3087">
        <v>4358</v>
      </c>
      <c r="DK3087">
        <v>600894</v>
      </c>
      <c r="DL3087" t="s">
        <v>120</v>
      </c>
      <c r="DM3087" t="s">
        <v>120</v>
      </c>
      <c r="DN3087" t="s">
        <v>120</v>
      </c>
    </row>
    <row r="3088" spans="1:118">
      <c r="A3088" t="str">
        <f>"600895"</f>
        <v>600895</v>
      </c>
      <c r="B3088" t="s">
        <v>13431</v>
      </c>
      <c r="C3088">
        <v>-0.98</v>
      </c>
      <c r="D3088">
        <v>0</v>
      </c>
      <c r="E3088">
        <v>0.98</v>
      </c>
      <c r="F3088">
        <v>801</v>
      </c>
      <c r="G3088" t="s">
        <v>7994</v>
      </c>
      <c r="H3088">
        <v>17335.97</v>
      </c>
      <c r="I3088">
        <v>232.19</v>
      </c>
      <c r="J3088" t="s">
        <v>120</v>
      </c>
      <c r="K3088" t="s">
        <v>13432</v>
      </c>
      <c r="L3088">
        <v>0.64</v>
      </c>
      <c r="M3088">
        <v>17.21</v>
      </c>
      <c r="N3088">
        <v>0.87</v>
      </c>
      <c r="O3088">
        <v>2.0099999999999998</v>
      </c>
      <c r="P3088">
        <v>17.73</v>
      </c>
      <c r="Q3088">
        <v>-1.04</v>
      </c>
      <c r="R3088">
        <v>17.2</v>
      </c>
      <c r="S3088">
        <v>17.55</v>
      </c>
      <c r="T3088">
        <v>99326</v>
      </c>
      <c r="U3088">
        <v>17.21</v>
      </c>
      <c r="V3088">
        <v>17.38</v>
      </c>
      <c r="W3088">
        <v>7.83</v>
      </c>
      <c r="X3088" t="s">
        <v>1384</v>
      </c>
      <c r="Y3088" t="s">
        <v>1510</v>
      </c>
      <c r="Z3088">
        <v>3.05</v>
      </c>
      <c r="AA3088">
        <v>17.45</v>
      </c>
      <c r="AB3088">
        <v>59960</v>
      </c>
      <c r="AC3088">
        <v>39366</v>
      </c>
      <c r="AD3088">
        <v>1.52</v>
      </c>
      <c r="AE3088">
        <v>300</v>
      </c>
      <c r="AF3088">
        <v>87</v>
      </c>
      <c r="AG3088" t="s">
        <v>120</v>
      </c>
      <c r="AH3088">
        <v>0.02</v>
      </c>
      <c r="AI3088" t="s">
        <v>120</v>
      </c>
      <c r="AJ3088">
        <v>15.49</v>
      </c>
      <c r="AK3088" t="s">
        <v>13432</v>
      </c>
      <c r="AL3088">
        <v>0.37</v>
      </c>
      <c r="AM3088">
        <v>3276</v>
      </c>
      <c r="AN3088">
        <v>30</v>
      </c>
      <c r="AO3088">
        <v>2.0000000000000001E-4</v>
      </c>
      <c r="AP3088">
        <v>-6</v>
      </c>
      <c r="AQ3088">
        <v>-0.4</v>
      </c>
      <c r="AR3088">
        <v>-3.32</v>
      </c>
      <c r="AS3088">
        <v>2.44</v>
      </c>
      <c r="AT3088">
        <v>-6.36</v>
      </c>
      <c r="AU3088">
        <v>3.18</v>
      </c>
      <c r="AV3088">
        <v>2</v>
      </c>
      <c r="AW3088">
        <v>1.3</v>
      </c>
      <c r="AX3088">
        <v>49.25</v>
      </c>
      <c r="AY3088">
        <v>10.32</v>
      </c>
      <c r="AZ3088">
        <v>14.77</v>
      </c>
      <c r="BA3088">
        <v>0.83</v>
      </c>
      <c r="BB3088" t="s">
        <v>143</v>
      </c>
      <c r="BF3088">
        <v>0.42</v>
      </c>
      <c r="BG3088">
        <v>-1.94</v>
      </c>
      <c r="BH3088">
        <v>-2.93</v>
      </c>
      <c r="BI3088">
        <v>0.06</v>
      </c>
      <c r="BJ3088">
        <v>20210831</v>
      </c>
      <c r="BK3088">
        <v>19960422</v>
      </c>
      <c r="BL3088">
        <v>15.49</v>
      </c>
      <c r="BM3088" t="s">
        <v>120</v>
      </c>
      <c r="BN3088" t="s">
        <v>120</v>
      </c>
      <c r="BO3088">
        <v>358.38</v>
      </c>
      <c r="BP3088">
        <v>17.2</v>
      </c>
      <c r="BQ3088">
        <v>118.99</v>
      </c>
      <c r="BR3088">
        <v>36.68</v>
      </c>
      <c r="BS3088">
        <v>56.56</v>
      </c>
      <c r="BT3088">
        <v>121.02</v>
      </c>
      <c r="BU3088">
        <v>0.68</v>
      </c>
      <c r="BV3088">
        <v>0.04</v>
      </c>
      <c r="BW3088">
        <v>103.44</v>
      </c>
      <c r="BX3088">
        <v>22.15</v>
      </c>
      <c r="BY3088">
        <v>89.31</v>
      </c>
      <c r="BZ3088">
        <v>0.54</v>
      </c>
      <c r="CA3088">
        <v>0.45</v>
      </c>
      <c r="CB3088">
        <v>26.36</v>
      </c>
      <c r="CC3088">
        <v>14.75</v>
      </c>
      <c r="CD3088">
        <v>4.63</v>
      </c>
      <c r="CE3088">
        <v>22.25</v>
      </c>
      <c r="CF3088">
        <v>16.899999999999999</v>
      </c>
      <c r="CG3088">
        <v>22.08</v>
      </c>
      <c r="CH3088">
        <v>16.64</v>
      </c>
      <c r="CI3088">
        <v>17.02</v>
      </c>
      <c r="CJ3088">
        <v>-0.17</v>
      </c>
      <c r="CK3088">
        <v>17.04</v>
      </c>
      <c r="CL3088">
        <v>72.84</v>
      </c>
      <c r="CM3088">
        <v>-11.97</v>
      </c>
      <c r="CN3088">
        <v>-0.37</v>
      </c>
      <c r="CO3088">
        <v>119222</v>
      </c>
      <c r="CP3088">
        <v>6397</v>
      </c>
      <c r="CQ3088" t="s">
        <v>9582</v>
      </c>
      <c r="CR3088">
        <v>85.91</v>
      </c>
      <c r="CS3088">
        <v>313.62</v>
      </c>
      <c r="CT3088">
        <v>2.2400000000000002</v>
      </c>
      <c r="CU3088">
        <v>-22.27</v>
      </c>
      <c r="CV3088">
        <v>18.07</v>
      </c>
      <c r="CW3088">
        <v>2.0699999999999998</v>
      </c>
      <c r="CX3088" t="s">
        <v>11914</v>
      </c>
      <c r="CY3088">
        <v>7.68</v>
      </c>
      <c r="CZ3088">
        <v>0</v>
      </c>
      <c r="DA3088">
        <v>1.7</v>
      </c>
      <c r="DB3088">
        <v>4.7</v>
      </c>
      <c r="DC3088">
        <v>-0.77</v>
      </c>
      <c r="DD3088">
        <v>33.200000000000003</v>
      </c>
      <c r="DE3088" t="s">
        <v>13433</v>
      </c>
      <c r="DF3088">
        <v>68.61</v>
      </c>
      <c r="DG3088">
        <v>150.86000000000001</v>
      </c>
      <c r="DH3088">
        <v>115.4</v>
      </c>
      <c r="DI3088" t="s">
        <v>120</v>
      </c>
      <c r="DJ3088">
        <v>174</v>
      </c>
      <c r="DK3088">
        <v>600895</v>
      </c>
      <c r="DL3088" t="s">
        <v>120</v>
      </c>
      <c r="DM3088" t="s">
        <v>120</v>
      </c>
      <c r="DN3088" t="s">
        <v>120</v>
      </c>
    </row>
    <row r="3089" spans="1:118">
      <c r="A3089" t="str">
        <f>"600897"</f>
        <v>600897</v>
      </c>
      <c r="B3089" t="s">
        <v>13434</v>
      </c>
      <c r="C3089">
        <v>0.68</v>
      </c>
      <c r="D3089">
        <v>0.06</v>
      </c>
      <c r="E3089">
        <v>0.62</v>
      </c>
      <c r="F3089">
        <v>92</v>
      </c>
      <c r="G3089" t="s">
        <v>5437</v>
      </c>
      <c r="H3089">
        <v>1954.71</v>
      </c>
      <c r="I3089">
        <v>5.54</v>
      </c>
      <c r="J3089" t="s">
        <v>120</v>
      </c>
      <c r="K3089" t="s">
        <v>13435</v>
      </c>
      <c r="L3089">
        <v>0.4</v>
      </c>
      <c r="M3089">
        <v>16.309999999999999</v>
      </c>
      <c r="N3089">
        <v>0.85</v>
      </c>
      <c r="O3089">
        <v>2.72</v>
      </c>
      <c r="P3089">
        <v>16.64</v>
      </c>
      <c r="Q3089">
        <v>0.12</v>
      </c>
      <c r="R3089">
        <v>16.22</v>
      </c>
      <c r="S3089">
        <v>16.3</v>
      </c>
      <c r="T3089">
        <v>11873</v>
      </c>
      <c r="U3089">
        <v>16.32</v>
      </c>
      <c r="V3089">
        <v>16.2</v>
      </c>
      <c r="W3089">
        <v>16.809999999999999</v>
      </c>
      <c r="X3089" t="s">
        <v>518</v>
      </c>
      <c r="Y3089" t="s">
        <v>937</v>
      </c>
      <c r="Z3089">
        <v>2.59</v>
      </c>
      <c r="AA3089">
        <v>16.46</v>
      </c>
      <c r="AB3089">
        <v>4498</v>
      </c>
      <c r="AC3089">
        <v>7375</v>
      </c>
      <c r="AD3089">
        <v>0.61</v>
      </c>
      <c r="AE3089">
        <v>1</v>
      </c>
      <c r="AF3089">
        <v>9</v>
      </c>
      <c r="AG3089" t="s">
        <v>120</v>
      </c>
      <c r="AH3089">
        <v>0</v>
      </c>
      <c r="AI3089" t="s">
        <v>120</v>
      </c>
      <c r="AJ3089">
        <v>2.98</v>
      </c>
      <c r="AK3089" t="s">
        <v>13435</v>
      </c>
      <c r="AL3089">
        <v>2.02</v>
      </c>
      <c r="AM3089">
        <v>1177</v>
      </c>
      <c r="AN3089">
        <v>10</v>
      </c>
      <c r="AO3089">
        <v>2.9999999999999997E-4</v>
      </c>
      <c r="AP3089">
        <v>2</v>
      </c>
      <c r="AQ3089">
        <v>0.56000000000000005</v>
      </c>
      <c r="AR3089">
        <v>-0.49</v>
      </c>
      <c r="AS3089">
        <v>5.9</v>
      </c>
      <c r="AT3089">
        <v>-1.31</v>
      </c>
      <c r="AU3089">
        <v>-0.83</v>
      </c>
      <c r="AV3089">
        <v>0</v>
      </c>
      <c r="AW3089">
        <v>1.25</v>
      </c>
      <c r="AX3089">
        <v>32</v>
      </c>
      <c r="AY3089">
        <v>15.99</v>
      </c>
      <c r="AZ3089">
        <v>28.15</v>
      </c>
      <c r="BA3089">
        <v>0.41</v>
      </c>
      <c r="BB3089" t="s">
        <v>240</v>
      </c>
      <c r="BF3089">
        <v>1.62</v>
      </c>
      <c r="BG3089">
        <v>0.06</v>
      </c>
      <c r="BH3089">
        <v>-1.98</v>
      </c>
      <c r="BI3089">
        <v>0.55000000000000004</v>
      </c>
      <c r="BJ3089">
        <v>20210831</v>
      </c>
      <c r="BK3089">
        <v>19960531</v>
      </c>
      <c r="BL3089">
        <v>2.98</v>
      </c>
      <c r="BM3089" t="s">
        <v>120</v>
      </c>
      <c r="BN3089" t="s">
        <v>120</v>
      </c>
      <c r="BO3089">
        <v>48.77</v>
      </c>
      <c r="BP3089">
        <v>16.309999999999999</v>
      </c>
      <c r="BQ3089">
        <v>38.43</v>
      </c>
      <c r="BR3089">
        <v>2.54</v>
      </c>
      <c r="BS3089">
        <v>16.010000000000002</v>
      </c>
      <c r="BT3089">
        <v>17.170000000000002</v>
      </c>
      <c r="BU3089">
        <v>25.49</v>
      </c>
      <c r="BV3089">
        <v>1.23</v>
      </c>
      <c r="BW3089">
        <v>7.4</v>
      </c>
      <c r="BX3089">
        <v>3.33</v>
      </c>
      <c r="BY3089">
        <v>0.01</v>
      </c>
      <c r="BZ3089">
        <v>2.62</v>
      </c>
      <c r="CA3089">
        <v>0.17</v>
      </c>
      <c r="CB3089">
        <v>1.81</v>
      </c>
      <c r="CC3089">
        <v>7.43</v>
      </c>
      <c r="CD3089">
        <v>5.18</v>
      </c>
      <c r="CE3089">
        <v>2.0699999999999998</v>
      </c>
      <c r="CF3089">
        <v>0.23</v>
      </c>
      <c r="CG3089">
        <v>2.13</v>
      </c>
      <c r="CH3089">
        <v>1.6</v>
      </c>
      <c r="CI3089">
        <v>1.44</v>
      </c>
      <c r="CJ3089">
        <v>0.11</v>
      </c>
      <c r="CK3089">
        <v>1.23</v>
      </c>
      <c r="CL3089">
        <v>28.74</v>
      </c>
      <c r="CM3089">
        <v>1.73</v>
      </c>
      <c r="CN3089">
        <v>0.49</v>
      </c>
      <c r="CO3089">
        <v>17088</v>
      </c>
      <c r="CP3089">
        <v>5578</v>
      </c>
      <c r="CQ3089" t="s">
        <v>2565</v>
      </c>
      <c r="CR3089">
        <v>915.93</v>
      </c>
      <c r="CS3089">
        <v>54.6</v>
      </c>
      <c r="CT3089">
        <v>1.26</v>
      </c>
      <c r="CU3089">
        <v>28.1</v>
      </c>
      <c r="CV3089">
        <v>6.54</v>
      </c>
      <c r="CW3089">
        <v>1.07</v>
      </c>
      <c r="CX3089" t="s">
        <v>13436</v>
      </c>
      <c r="CY3089">
        <v>12.9</v>
      </c>
      <c r="CZ3089">
        <v>0</v>
      </c>
      <c r="DA3089">
        <v>0.61</v>
      </c>
      <c r="DB3089">
        <v>9.65</v>
      </c>
      <c r="DC3089">
        <v>0.57999999999999996</v>
      </c>
      <c r="DD3089">
        <v>78.78</v>
      </c>
      <c r="DE3089" t="s">
        <v>2098</v>
      </c>
      <c r="DF3089">
        <v>30.26</v>
      </c>
      <c r="DG3089">
        <v>27.85</v>
      </c>
      <c r="DH3089">
        <v>19.45</v>
      </c>
      <c r="DI3089" t="s">
        <v>120</v>
      </c>
      <c r="DJ3089">
        <v>3276</v>
      </c>
      <c r="DK3089">
        <v>600897</v>
      </c>
      <c r="DL3089" t="s">
        <v>120</v>
      </c>
      <c r="DM3089" t="s">
        <v>120</v>
      </c>
      <c r="DN3089" t="s">
        <v>120</v>
      </c>
    </row>
    <row r="3090" spans="1:118">
      <c r="A3090" t="str">
        <f>"600900"</f>
        <v>600900</v>
      </c>
      <c r="B3090" t="s">
        <v>13437</v>
      </c>
      <c r="C3090">
        <v>0.25</v>
      </c>
      <c r="D3090">
        <v>-0.14000000000000001</v>
      </c>
      <c r="E3090">
        <v>0</v>
      </c>
      <c r="F3090">
        <v>8077</v>
      </c>
      <c r="G3090" t="s">
        <v>13438</v>
      </c>
      <c r="H3090">
        <v>77253.320000000007</v>
      </c>
      <c r="I3090">
        <v>136.22</v>
      </c>
      <c r="J3090" t="s">
        <v>120</v>
      </c>
      <c r="K3090" t="s">
        <v>13439</v>
      </c>
      <c r="L3090">
        <v>0.17</v>
      </c>
      <c r="M3090">
        <v>19.760000000000002</v>
      </c>
      <c r="N3090">
        <v>0.92</v>
      </c>
      <c r="O3090">
        <v>2.59</v>
      </c>
      <c r="P3090">
        <v>20.22</v>
      </c>
      <c r="Q3090">
        <v>-0.41</v>
      </c>
      <c r="R3090">
        <v>19.63</v>
      </c>
      <c r="S3090">
        <v>19.71</v>
      </c>
      <c r="T3090">
        <v>389124</v>
      </c>
      <c r="U3090">
        <v>19.760000000000002</v>
      </c>
      <c r="V3090">
        <v>19.71</v>
      </c>
      <c r="W3090">
        <v>26.18</v>
      </c>
      <c r="X3090" t="s">
        <v>1287</v>
      </c>
      <c r="Y3090" t="s">
        <v>158</v>
      </c>
      <c r="Z3090">
        <v>2.99</v>
      </c>
      <c r="AA3090">
        <v>19.850000000000001</v>
      </c>
      <c r="AB3090">
        <v>166345</v>
      </c>
      <c r="AC3090">
        <v>222779</v>
      </c>
      <c r="AD3090">
        <v>0.75</v>
      </c>
      <c r="AE3090">
        <v>350</v>
      </c>
      <c r="AF3090">
        <v>128</v>
      </c>
      <c r="AG3090" t="s">
        <v>120</v>
      </c>
      <c r="AH3090">
        <v>0</v>
      </c>
      <c r="AI3090" t="s">
        <v>120</v>
      </c>
      <c r="AJ3090">
        <v>227.42</v>
      </c>
      <c r="AK3090" t="s">
        <v>13439</v>
      </c>
      <c r="AL3090">
        <v>1.6</v>
      </c>
      <c r="AM3090">
        <v>4345</v>
      </c>
      <c r="AN3090">
        <v>90</v>
      </c>
      <c r="AO3090">
        <v>0</v>
      </c>
      <c r="AP3090">
        <v>1</v>
      </c>
      <c r="AQ3090">
        <v>-1.89</v>
      </c>
      <c r="AR3090">
        <v>-3.04</v>
      </c>
      <c r="AS3090">
        <v>-0.8</v>
      </c>
      <c r="AT3090">
        <v>0.3</v>
      </c>
      <c r="AU3090">
        <v>7.04</v>
      </c>
      <c r="AV3090">
        <v>0</v>
      </c>
      <c r="AW3090">
        <v>0.42</v>
      </c>
      <c r="AX3090">
        <v>40.700000000000003</v>
      </c>
      <c r="AY3090">
        <v>16.62</v>
      </c>
      <c r="AZ3090">
        <v>17.04</v>
      </c>
      <c r="BA3090">
        <v>0.39</v>
      </c>
      <c r="BB3090" t="s">
        <v>240</v>
      </c>
      <c r="BF3090">
        <v>0.73</v>
      </c>
      <c r="BG3090">
        <v>0.25</v>
      </c>
      <c r="BH3090">
        <v>-2.27</v>
      </c>
      <c r="BI3090">
        <v>0.66</v>
      </c>
      <c r="BJ3090">
        <v>20210902</v>
      </c>
      <c r="BK3090">
        <v>20031118</v>
      </c>
      <c r="BL3090">
        <v>227.42</v>
      </c>
      <c r="BM3090" t="s">
        <v>120</v>
      </c>
      <c r="BN3090" t="s">
        <v>120</v>
      </c>
      <c r="BO3090">
        <v>3320.84</v>
      </c>
      <c r="BP3090">
        <v>19.75</v>
      </c>
      <c r="BQ3090">
        <v>1649.13</v>
      </c>
      <c r="BR3090">
        <v>27.5</v>
      </c>
      <c r="BS3090">
        <v>49.51</v>
      </c>
      <c r="BT3090">
        <v>154.47999999999999</v>
      </c>
      <c r="BU3090">
        <v>2255.7399999999998</v>
      </c>
      <c r="BV3090">
        <v>204.11</v>
      </c>
      <c r="BW3090">
        <v>846.38</v>
      </c>
      <c r="BX3090">
        <v>77.739999999999995</v>
      </c>
      <c r="BY3090">
        <v>3.26</v>
      </c>
      <c r="BZ3090">
        <v>45.07</v>
      </c>
      <c r="CA3090">
        <v>0.19</v>
      </c>
      <c r="CB3090">
        <v>569.04999999999995</v>
      </c>
      <c r="CC3090">
        <v>199.01</v>
      </c>
      <c r="CD3090">
        <v>102.41</v>
      </c>
      <c r="CE3090">
        <v>102.46</v>
      </c>
      <c r="CF3090">
        <v>38.1</v>
      </c>
      <c r="CG3090">
        <v>101.96</v>
      </c>
      <c r="CH3090">
        <v>86.8</v>
      </c>
      <c r="CI3090">
        <v>85.82</v>
      </c>
      <c r="CJ3090">
        <v>0.05</v>
      </c>
      <c r="CK3090">
        <v>71.25</v>
      </c>
      <c r="CL3090">
        <v>604.78</v>
      </c>
      <c r="CM3090">
        <v>95.44</v>
      </c>
      <c r="CN3090">
        <v>-14</v>
      </c>
      <c r="CO3090">
        <v>220161</v>
      </c>
      <c r="CP3090">
        <v>42044</v>
      </c>
      <c r="CQ3090" t="s">
        <v>13440</v>
      </c>
      <c r="CR3090">
        <v>8.6</v>
      </c>
      <c r="CS3090">
        <v>-0.06</v>
      </c>
      <c r="CT3090">
        <v>2.72</v>
      </c>
      <c r="CU3090">
        <v>47.09</v>
      </c>
      <c r="CV3090">
        <v>22.58</v>
      </c>
      <c r="CW3090">
        <v>3.55</v>
      </c>
      <c r="CX3090" t="s">
        <v>13441</v>
      </c>
      <c r="CY3090">
        <v>7.25</v>
      </c>
      <c r="CZ3090">
        <v>0</v>
      </c>
      <c r="DA3090">
        <v>2.5</v>
      </c>
      <c r="DB3090">
        <v>2.66</v>
      </c>
      <c r="DC3090">
        <v>0.42</v>
      </c>
      <c r="DD3090">
        <v>49.66</v>
      </c>
      <c r="DE3090" t="s">
        <v>5226</v>
      </c>
      <c r="DF3090">
        <v>48.54</v>
      </c>
      <c r="DG3090">
        <v>51.49</v>
      </c>
      <c r="DH3090">
        <v>43.12</v>
      </c>
      <c r="DI3090">
        <v>0.1</v>
      </c>
      <c r="DJ3090">
        <v>7282</v>
      </c>
      <c r="DK3090">
        <v>600900</v>
      </c>
      <c r="DL3090" t="s">
        <v>120</v>
      </c>
      <c r="DM3090" t="s">
        <v>120</v>
      </c>
      <c r="DN3090" t="s">
        <v>120</v>
      </c>
    </row>
    <row r="3091" spans="1:118">
      <c r="A3091" t="str">
        <f>"600901"</f>
        <v>600901</v>
      </c>
      <c r="B3091" t="s">
        <v>13442</v>
      </c>
      <c r="C3091">
        <v>-0.92</v>
      </c>
      <c r="D3091">
        <v>0</v>
      </c>
      <c r="E3091">
        <v>0.18</v>
      </c>
      <c r="F3091">
        <v>245</v>
      </c>
      <c r="G3091" t="s">
        <v>1280</v>
      </c>
      <c r="H3091">
        <v>5579.28</v>
      </c>
      <c r="I3091">
        <v>40.54</v>
      </c>
      <c r="J3091" t="s">
        <v>120</v>
      </c>
      <c r="K3091" t="s">
        <v>13443</v>
      </c>
      <c r="L3091">
        <v>0.35</v>
      </c>
      <c r="M3091">
        <v>5.36</v>
      </c>
      <c r="N3091">
        <v>0.61</v>
      </c>
      <c r="O3091">
        <v>0.74</v>
      </c>
      <c r="P3091">
        <v>5.45</v>
      </c>
      <c r="Q3091">
        <v>-1.1100000000000001</v>
      </c>
      <c r="R3091">
        <v>5.35</v>
      </c>
      <c r="S3091">
        <v>5.42</v>
      </c>
      <c r="T3091">
        <v>103210</v>
      </c>
      <c r="U3091">
        <v>5.37</v>
      </c>
      <c r="V3091">
        <v>5.41</v>
      </c>
      <c r="W3091">
        <v>7.53</v>
      </c>
      <c r="X3091" t="s">
        <v>721</v>
      </c>
      <c r="Y3091" t="s">
        <v>319</v>
      </c>
      <c r="Z3091">
        <v>1.85</v>
      </c>
      <c r="AA3091">
        <v>5.41</v>
      </c>
      <c r="AB3091">
        <v>56883</v>
      </c>
      <c r="AC3091">
        <v>46327</v>
      </c>
      <c r="AD3091">
        <v>1.23</v>
      </c>
      <c r="AE3091">
        <v>498</v>
      </c>
      <c r="AF3091">
        <v>92</v>
      </c>
      <c r="AG3091" t="s">
        <v>120</v>
      </c>
      <c r="AH3091">
        <v>0.01</v>
      </c>
      <c r="AI3091" t="s">
        <v>120</v>
      </c>
      <c r="AJ3091">
        <v>29.57</v>
      </c>
      <c r="AK3091" t="s">
        <v>13444</v>
      </c>
      <c r="AL3091">
        <v>0.42</v>
      </c>
      <c r="AM3091">
        <v>2380</v>
      </c>
      <c r="AN3091">
        <v>43</v>
      </c>
      <c r="AO3091">
        <v>1E-4</v>
      </c>
      <c r="AP3091">
        <v>-1</v>
      </c>
      <c r="AQ3091">
        <v>0.56000000000000005</v>
      </c>
      <c r="AR3091">
        <v>-2.54</v>
      </c>
      <c r="AS3091">
        <v>2.88</v>
      </c>
      <c r="AT3091">
        <v>3.08</v>
      </c>
      <c r="AU3091">
        <v>2.88</v>
      </c>
      <c r="AV3091">
        <v>0</v>
      </c>
      <c r="AW3091">
        <v>1.02</v>
      </c>
      <c r="AX3091">
        <v>33.78</v>
      </c>
      <c r="AY3091">
        <v>8.08</v>
      </c>
      <c r="AZ3091">
        <v>8.61</v>
      </c>
      <c r="BA3091">
        <v>0.22</v>
      </c>
      <c r="BB3091" t="s">
        <v>143</v>
      </c>
      <c r="BF3091">
        <v>-0.08</v>
      </c>
      <c r="BG3091">
        <v>-1.1100000000000001</v>
      </c>
      <c r="BH3091">
        <v>-1.65</v>
      </c>
      <c r="BI3091">
        <v>0.19</v>
      </c>
      <c r="BJ3091">
        <v>20210831</v>
      </c>
      <c r="BK3091">
        <v>20180301</v>
      </c>
      <c r="BL3091">
        <v>29.87</v>
      </c>
      <c r="BM3091" t="s">
        <v>120</v>
      </c>
      <c r="BN3091" t="s">
        <v>120</v>
      </c>
      <c r="BO3091">
        <v>937.78</v>
      </c>
      <c r="BP3091">
        <v>5.36</v>
      </c>
      <c r="BQ3091">
        <v>131.93</v>
      </c>
      <c r="BR3091" t="s">
        <v>120</v>
      </c>
      <c r="BS3091">
        <v>85.93</v>
      </c>
      <c r="BT3091">
        <v>0</v>
      </c>
      <c r="BU3091">
        <v>4.3099999999999996</v>
      </c>
      <c r="BV3091">
        <v>0.34</v>
      </c>
      <c r="BW3091">
        <v>0</v>
      </c>
      <c r="BX3091">
        <v>12.82</v>
      </c>
      <c r="BY3091">
        <v>0</v>
      </c>
      <c r="BZ3091">
        <v>0</v>
      </c>
      <c r="CA3091" t="s">
        <v>120</v>
      </c>
      <c r="CB3091">
        <v>42.83</v>
      </c>
      <c r="CC3091">
        <v>20.29</v>
      </c>
      <c r="CD3091">
        <v>0</v>
      </c>
      <c r="CE3091">
        <v>14.17</v>
      </c>
      <c r="CF3091">
        <v>0</v>
      </c>
      <c r="CG3091">
        <v>14.18</v>
      </c>
      <c r="CH3091">
        <v>10.63</v>
      </c>
      <c r="CI3091">
        <v>10.63</v>
      </c>
      <c r="CJ3091">
        <v>-0.05</v>
      </c>
      <c r="CK3091">
        <v>10.55</v>
      </c>
      <c r="CL3091">
        <v>40.35</v>
      </c>
      <c r="CM3091">
        <v>25.15</v>
      </c>
      <c r="CN3091">
        <v>1.61</v>
      </c>
      <c r="CO3091">
        <v>71797</v>
      </c>
      <c r="CP3091">
        <v>14050</v>
      </c>
      <c r="CQ3091" t="s">
        <v>1866</v>
      </c>
      <c r="CR3091">
        <v>13.1</v>
      </c>
      <c r="CS3091">
        <v>8.98</v>
      </c>
      <c r="CT3091">
        <v>1.21</v>
      </c>
      <c r="CU3091">
        <v>6.37</v>
      </c>
      <c r="CV3091">
        <v>7.89</v>
      </c>
      <c r="CW3091">
        <v>5.55</v>
      </c>
      <c r="CX3091" t="s">
        <v>472</v>
      </c>
      <c r="CY3091">
        <v>4.42</v>
      </c>
      <c r="CZ3091">
        <v>4.42</v>
      </c>
      <c r="DA3091">
        <v>1.43</v>
      </c>
      <c r="DB3091">
        <v>1.35</v>
      </c>
      <c r="DC3091">
        <v>0.84</v>
      </c>
      <c r="DD3091">
        <v>14.07</v>
      </c>
      <c r="DE3091" t="s">
        <v>13445</v>
      </c>
      <c r="DF3091" t="s">
        <v>120</v>
      </c>
      <c r="DG3091">
        <v>69.87</v>
      </c>
      <c r="DH3091">
        <v>52.41</v>
      </c>
      <c r="DI3091" t="s">
        <v>120</v>
      </c>
      <c r="DJ3091">
        <v>356</v>
      </c>
      <c r="DK3091">
        <v>600901</v>
      </c>
      <c r="DL3091" t="s">
        <v>120</v>
      </c>
      <c r="DM3091" t="s">
        <v>120</v>
      </c>
      <c r="DN3091" t="s">
        <v>120</v>
      </c>
    </row>
    <row r="3092" spans="1:118">
      <c r="A3092" t="str">
        <f>"600903"</f>
        <v>600903</v>
      </c>
      <c r="B3092" t="s">
        <v>13446</v>
      </c>
      <c r="C3092">
        <v>1.59</v>
      </c>
      <c r="D3092">
        <v>0.17</v>
      </c>
      <c r="E3092">
        <v>1.95</v>
      </c>
      <c r="F3092">
        <v>1939</v>
      </c>
      <c r="G3092" t="s">
        <v>5669</v>
      </c>
      <c r="H3092">
        <v>29673.93</v>
      </c>
      <c r="I3092">
        <v>172.83</v>
      </c>
      <c r="J3092" t="s">
        <v>120</v>
      </c>
      <c r="K3092" t="s">
        <v>13447</v>
      </c>
      <c r="L3092">
        <v>2.23</v>
      </c>
      <c r="M3092">
        <v>11.49</v>
      </c>
      <c r="N3092">
        <v>0.98</v>
      </c>
      <c r="O3092">
        <v>5.75</v>
      </c>
      <c r="P3092">
        <v>11.96</v>
      </c>
      <c r="Q3092">
        <v>0.88</v>
      </c>
      <c r="R3092">
        <v>11.41</v>
      </c>
      <c r="S3092">
        <v>11.53</v>
      </c>
      <c r="T3092">
        <v>254381</v>
      </c>
      <c r="U3092">
        <v>11.49</v>
      </c>
      <c r="V3092">
        <v>11.31</v>
      </c>
      <c r="W3092">
        <v>51.21</v>
      </c>
      <c r="X3092" t="s">
        <v>684</v>
      </c>
      <c r="Y3092" t="s">
        <v>1021</v>
      </c>
      <c r="Z3092">
        <v>4.8600000000000003</v>
      </c>
      <c r="AA3092">
        <v>11.67</v>
      </c>
      <c r="AB3092">
        <v>134962</v>
      </c>
      <c r="AC3092">
        <v>119419</v>
      </c>
      <c r="AD3092">
        <v>1.1299999999999999</v>
      </c>
      <c r="AE3092">
        <v>114</v>
      </c>
      <c r="AF3092">
        <v>376</v>
      </c>
      <c r="AG3092" t="s">
        <v>120</v>
      </c>
      <c r="AH3092">
        <v>7.0000000000000007E-2</v>
      </c>
      <c r="AI3092" t="s">
        <v>120</v>
      </c>
      <c r="AJ3092">
        <v>11.38</v>
      </c>
      <c r="AK3092" t="s">
        <v>13447</v>
      </c>
      <c r="AL3092">
        <v>2.94</v>
      </c>
      <c r="AM3092">
        <v>3788</v>
      </c>
      <c r="AN3092">
        <v>67</v>
      </c>
      <c r="AO3092">
        <v>5.9999999999999995E-4</v>
      </c>
      <c r="AP3092">
        <v>2</v>
      </c>
      <c r="AQ3092">
        <v>1.25</v>
      </c>
      <c r="AR3092">
        <v>0.61</v>
      </c>
      <c r="AS3092">
        <v>23.95</v>
      </c>
      <c r="AT3092">
        <v>22.37</v>
      </c>
      <c r="AU3092">
        <v>-9.14</v>
      </c>
      <c r="AV3092">
        <v>2</v>
      </c>
      <c r="AW3092">
        <v>11.43</v>
      </c>
      <c r="AX3092">
        <v>19.559999999999999</v>
      </c>
      <c r="AY3092">
        <v>57.24</v>
      </c>
      <c r="AZ3092">
        <v>62.38</v>
      </c>
      <c r="BA3092">
        <v>0.66</v>
      </c>
      <c r="BB3092" t="s">
        <v>143</v>
      </c>
      <c r="BF3092">
        <v>3.14</v>
      </c>
      <c r="BG3092">
        <v>-0.35</v>
      </c>
      <c r="BH3092">
        <v>-3.93</v>
      </c>
      <c r="BI3092">
        <v>0.7</v>
      </c>
      <c r="BJ3092">
        <v>20210824</v>
      </c>
      <c r="BK3092">
        <v>20171107</v>
      </c>
      <c r="BL3092">
        <v>11.38</v>
      </c>
      <c r="BM3092" t="s">
        <v>120</v>
      </c>
      <c r="BN3092" t="s">
        <v>120</v>
      </c>
      <c r="BO3092">
        <v>89.42</v>
      </c>
      <c r="BP3092">
        <v>11.48</v>
      </c>
      <c r="BQ3092">
        <v>28.17</v>
      </c>
      <c r="BR3092">
        <v>7.51</v>
      </c>
      <c r="BS3092">
        <v>60.1</v>
      </c>
      <c r="BT3092">
        <v>20.45</v>
      </c>
      <c r="BU3092">
        <v>45.01</v>
      </c>
      <c r="BV3092">
        <v>4.78</v>
      </c>
      <c r="BW3092">
        <v>42.49</v>
      </c>
      <c r="BX3092">
        <v>5.42</v>
      </c>
      <c r="BY3092">
        <v>3.69</v>
      </c>
      <c r="BZ3092">
        <v>8.69</v>
      </c>
      <c r="CA3092">
        <v>0.01</v>
      </c>
      <c r="CB3092">
        <v>1.88</v>
      </c>
      <c r="CC3092">
        <v>25.08</v>
      </c>
      <c r="CD3092">
        <v>20.79</v>
      </c>
      <c r="CE3092">
        <v>1.65</v>
      </c>
      <c r="CF3092">
        <v>0.22</v>
      </c>
      <c r="CG3092">
        <v>1.69</v>
      </c>
      <c r="CH3092">
        <v>1.47</v>
      </c>
      <c r="CI3092">
        <v>1.28</v>
      </c>
      <c r="CJ3092">
        <v>0.18</v>
      </c>
      <c r="CK3092">
        <v>1.07</v>
      </c>
      <c r="CL3092">
        <v>11.93</v>
      </c>
      <c r="CM3092">
        <v>2.39</v>
      </c>
      <c r="CN3092">
        <v>-0.1</v>
      </c>
      <c r="CO3092">
        <v>55964</v>
      </c>
      <c r="CP3092">
        <v>3978</v>
      </c>
      <c r="CQ3092" t="s">
        <v>215</v>
      </c>
      <c r="CR3092">
        <v>16.96</v>
      </c>
      <c r="CS3092">
        <v>30.3</v>
      </c>
      <c r="CT3092">
        <v>4.6399999999999997</v>
      </c>
      <c r="CU3092">
        <v>54.73</v>
      </c>
      <c r="CV3092">
        <v>5.21</v>
      </c>
      <c r="CW3092">
        <v>0.49</v>
      </c>
      <c r="CX3092" t="s">
        <v>1147</v>
      </c>
      <c r="CY3092">
        <v>2.4700000000000002</v>
      </c>
      <c r="CZ3092">
        <v>0</v>
      </c>
      <c r="DA3092">
        <v>0.17</v>
      </c>
      <c r="DB3092">
        <v>1.05</v>
      </c>
      <c r="DC3092">
        <v>0.21</v>
      </c>
      <c r="DD3092">
        <v>31.5</v>
      </c>
      <c r="DE3092" t="s">
        <v>13371</v>
      </c>
      <c r="DF3092">
        <v>17.11</v>
      </c>
      <c r="DG3092">
        <v>6.59</v>
      </c>
      <c r="DH3092">
        <v>5.09</v>
      </c>
      <c r="DI3092">
        <v>0</v>
      </c>
      <c r="DJ3092">
        <v>3639</v>
      </c>
      <c r="DK3092">
        <v>600903</v>
      </c>
      <c r="DL3092" t="s">
        <v>120</v>
      </c>
      <c r="DM3092" t="s">
        <v>120</v>
      </c>
      <c r="DN3092" t="s">
        <v>120</v>
      </c>
    </row>
    <row r="3093" spans="1:118">
      <c r="A3093" t="str">
        <f>"600905"</f>
        <v>600905</v>
      </c>
      <c r="B3093" t="s">
        <v>13448</v>
      </c>
      <c r="C3093">
        <v>-2.27</v>
      </c>
      <c r="D3093">
        <v>0.17</v>
      </c>
      <c r="E3093">
        <v>-0.32</v>
      </c>
      <c r="F3093">
        <v>19539</v>
      </c>
      <c r="G3093" t="s">
        <v>13449</v>
      </c>
      <c r="H3093">
        <v>226545.1</v>
      </c>
      <c r="I3093">
        <v>1567.11</v>
      </c>
      <c r="J3093" t="s">
        <v>120</v>
      </c>
      <c r="K3093" t="s">
        <v>13449</v>
      </c>
      <c r="L3093">
        <v>5.38</v>
      </c>
      <c r="M3093">
        <v>6.02</v>
      </c>
      <c r="N3093">
        <v>0.64</v>
      </c>
      <c r="O3093">
        <v>-0.16</v>
      </c>
      <c r="P3093">
        <v>6.15</v>
      </c>
      <c r="Q3093">
        <v>-2.6</v>
      </c>
      <c r="R3093">
        <v>6</v>
      </c>
      <c r="S3093">
        <v>6.14</v>
      </c>
      <c r="T3093">
        <v>3740886</v>
      </c>
      <c r="U3093">
        <v>6.02</v>
      </c>
      <c r="V3093">
        <v>6.16</v>
      </c>
      <c r="W3093">
        <v>26.26</v>
      </c>
      <c r="X3093" t="s">
        <v>356</v>
      </c>
      <c r="Y3093" t="s">
        <v>158</v>
      </c>
      <c r="Z3093">
        <v>2.44</v>
      </c>
      <c r="AA3093">
        <v>6.06</v>
      </c>
      <c r="AB3093">
        <v>2036851</v>
      </c>
      <c r="AC3093">
        <v>1704035</v>
      </c>
      <c r="AD3093">
        <v>1.2</v>
      </c>
      <c r="AE3093">
        <v>34620</v>
      </c>
      <c r="AF3093">
        <v>14409</v>
      </c>
      <c r="AG3093" t="s">
        <v>120</v>
      </c>
      <c r="AH3093">
        <v>0.04</v>
      </c>
      <c r="AI3093" t="s">
        <v>120</v>
      </c>
      <c r="AJ3093">
        <v>69.489999999999995</v>
      </c>
      <c r="AK3093" t="s">
        <v>13450</v>
      </c>
      <c r="AL3093">
        <v>-0.93</v>
      </c>
      <c r="AM3093">
        <v>4744</v>
      </c>
      <c r="AN3093">
        <v>789</v>
      </c>
      <c r="AO3093">
        <v>1.1000000000000001E-3</v>
      </c>
      <c r="AP3093">
        <v>-1</v>
      </c>
      <c r="AQ3093">
        <v>3.01</v>
      </c>
      <c r="AR3093">
        <v>-2.27</v>
      </c>
      <c r="AS3093">
        <v>3.26</v>
      </c>
      <c r="AT3093">
        <v>-17.760000000000002</v>
      </c>
      <c r="AU3093">
        <v>127.17</v>
      </c>
      <c r="AV3093">
        <v>7</v>
      </c>
      <c r="AW3093">
        <v>5.38</v>
      </c>
      <c r="AX3093">
        <v>24.32</v>
      </c>
      <c r="AY3093">
        <v>36.78</v>
      </c>
      <c r="AZ3093">
        <v>49.04</v>
      </c>
      <c r="BA3093">
        <v>0.06</v>
      </c>
      <c r="BB3093" t="s">
        <v>143</v>
      </c>
      <c r="BF3093">
        <v>-1.69</v>
      </c>
      <c r="BG3093">
        <v>-1.95</v>
      </c>
      <c r="BH3093">
        <v>-2.11</v>
      </c>
      <c r="BI3093">
        <v>0.33</v>
      </c>
      <c r="BJ3093">
        <v>20210827</v>
      </c>
      <c r="BK3093">
        <v>20210610</v>
      </c>
      <c r="BL3093">
        <v>285.70999999999998</v>
      </c>
      <c r="BM3093" t="s">
        <v>120</v>
      </c>
      <c r="BN3093" t="s">
        <v>120</v>
      </c>
      <c r="BO3093">
        <v>1850.85</v>
      </c>
      <c r="BP3093">
        <v>6.01</v>
      </c>
      <c r="BQ3093">
        <v>675.25</v>
      </c>
      <c r="BR3093">
        <v>54.3</v>
      </c>
      <c r="BS3093">
        <v>60.58</v>
      </c>
      <c r="BT3093">
        <v>408.69</v>
      </c>
      <c r="BU3093">
        <v>806.73</v>
      </c>
      <c r="BV3093">
        <v>18.71</v>
      </c>
      <c r="BW3093">
        <v>242.91</v>
      </c>
      <c r="BX3093">
        <v>213.15</v>
      </c>
      <c r="BY3093">
        <v>0.9</v>
      </c>
      <c r="BZ3093">
        <v>160.44</v>
      </c>
      <c r="CA3093">
        <v>0</v>
      </c>
      <c r="CB3093">
        <v>232.27</v>
      </c>
      <c r="CC3093">
        <v>78.849999999999994</v>
      </c>
      <c r="CD3093">
        <v>28.23</v>
      </c>
      <c r="CE3093">
        <v>39.49</v>
      </c>
      <c r="CF3093">
        <v>5.93</v>
      </c>
      <c r="CG3093">
        <v>38.659999999999997</v>
      </c>
      <c r="CH3093">
        <v>35.020000000000003</v>
      </c>
      <c r="CI3093">
        <v>32.74</v>
      </c>
      <c r="CJ3093">
        <v>-0.14000000000000001</v>
      </c>
      <c r="CK3093">
        <v>32.94</v>
      </c>
      <c r="CL3093">
        <v>152.76</v>
      </c>
      <c r="CM3093">
        <v>38.799999999999997</v>
      </c>
      <c r="CN3093">
        <v>194.44</v>
      </c>
      <c r="CO3093">
        <v>1757585</v>
      </c>
      <c r="CP3093">
        <v>3954</v>
      </c>
      <c r="CQ3093" t="s">
        <v>4162</v>
      </c>
      <c r="CR3093">
        <v>0</v>
      </c>
      <c r="CS3093">
        <v>0</v>
      </c>
      <c r="CT3093">
        <v>2.5499999999999998</v>
      </c>
      <c r="CU3093">
        <v>44.33</v>
      </c>
      <c r="CV3093">
        <v>21.81</v>
      </c>
      <c r="CW3093">
        <v>0.62</v>
      </c>
      <c r="CX3093" t="s">
        <v>1091</v>
      </c>
      <c r="CY3093">
        <v>2.36</v>
      </c>
      <c r="CZ3093">
        <v>0</v>
      </c>
      <c r="DA3093">
        <v>0.81</v>
      </c>
      <c r="DB3093">
        <v>0.53</v>
      </c>
      <c r="DC3093">
        <v>0.14000000000000001</v>
      </c>
      <c r="DD3093">
        <v>36.479999999999997</v>
      </c>
      <c r="DE3093" t="s">
        <v>2803</v>
      </c>
      <c r="DF3093">
        <v>64.2</v>
      </c>
      <c r="DG3093">
        <v>50.08</v>
      </c>
      <c r="DH3093">
        <v>41.53</v>
      </c>
      <c r="DI3093">
        <v>0.01</v>
      </c>
      <c r="DJ3093">
        <v>3222</v>
      </c>
      <c r="DK3093">
        <v>600905</v>
      </c>
      <c r="DL3093" t="s">
        <v>120</v>
      </c>
      <c r="DM3093" t="s">
        <v>120</v>
      </c>
      <c r="DN3093" t="s">
        <v>120</v>
      </c>
    </row>
    <row r="3094" spans="1:118">
      <c r="A3094" t="str">
        <f>"600906"</f>
        <v>600906</v>
      </c>
      <c r="B3094" t="s">
        <v>13451</v>
      </c>
      <c r="C3094">
        <v>-1.74</v>
      </c>
      <c r="D3094">
        <v>-0.06</v>
      </c>
      <c r="E3094">
        <v>-0.57999999999999996</v>
      </c>
      <c r="F3094">
        <v>5944</v>
      </c>
      <c r="G3094" t="s">
        <v>5849</v>
      </c>
      <c r="H3094">
        <v>42259.44</v>
      </c>
      <c r="I3094">
        <v>360.86</v>
      </c>
      <c r="J3094" t="s">
        <v>120</v>
      </c>
      <c r="K3094" t="s">
        <v>5849</v>
      </c>
      <c r="L3094">
        <v>6.18</v>
      </c>
      <c r="M3094">
        <v>13.54</v>
      </c>
      <c r="N3094">
        <v>0.55000000000000004</v>
      </c>
      <c r="O3094">
        <v>0.51</v>
      </c>
      <c r="P3094">
        <v>13.85</v>
      </c>
      <c r="Q3094">
        <v>-1.74</v>
      </c>
      <c r="R3094">
        <v>13.54</v>
      </c>
      <c r="S3094">
        <v>13.7</v>
      </c>
      <c r="T3094">
        <v>309063</v>
      </c>
      <c r="U3094">
        <v>13.54</v>
      </c>
      <c r="V3094">
        <v>13.78</v>
      </c>
      <c r="W3094">
        <v>51.03</v>
      </c>
      <c r="X3094" t="s">
        <v>616</v>
      </c>
      <c r="Y3094" t="s">
        <v>602</v>
      </c>
      <c r="Z3094">
        <v>2.25</v>
      </c>
      <c r="AA3094">
        <v>13.67</v>
      </c>
      <c r="AB3094">
        <v>174628</v>
      </c>
      <c r="AC3094">
        <v>134435</v>
      </c>
      <c r="AD3094">
        <v>1.3</v>
      </c>
      <c r="AE3094">
        <v>451</v>
      </c>
      <c r="AF3094">
        <v>242</v>
      </c>
      <c r="AG3094" t="s">
        <v>120</v>
      </c>
      <c r="AH3094">
        <v>0.05</v>
      </c>
      <c r="AI3094" t="s">
        <v>120</v>
      </c>
      <c r="AJ3094">
        <v>5</v>
      </c>
      <c r="AK3094" t="s">
        <v>13452</v>
      </c>
      <c r="AL3094">
        <v>-0.4</v>
      </c>
      <c r="AM3094">
        <v>4017</v>
      </c>
      <c r="AN3094">
        <v>77</v>
      </c>
      <c r="AO3094">
        <v>1.5E-3</v>
      </c>
      <c r="AP3094">
        <v>-1</v>
      </c>
      <c r="AQ3094">
        <v>1.55</v>
      </c>
      <c r="AR3094">
        <v>-1.95</v>
      </c>
      <c r="AS3094">
        <v>-7.45</v>
      </c>
      <c r="AT3094">
        <v>-20.45</v>
      </c>
      <c r="AU3094">
        <v>267.94</v>
      </c>
      <c r="AV3094">
        <v>3</v>
      </c>
      <c r="AW3094">
        <v>6.18</v>
      </c>
      <c r="AX3094">
        <v>15.41</v>
      </c>
      <c r="AY3094">
        <v>59.34</v>
      </c>
      <c r="AZ3094">
        <v>84.07</v>
      </c>
      <c r="BA3094">
        <v>1.06</v>
      </c>
      <c r="BB3094" t="s">
        <v>143</v>
      </c>
      <c r="BF3094">
        <v>-0.77</v>
      </c>
      <c r="BG3094">
        <v>-1.17</v>
      </c>
      <c r="BH3094">
        <v>-2.2400000000000002</v>
      </c>
      <c r="BI3094">
        <v>0</v>
      </c>
      <c r="BJ3094">
        <v>20210831</v>
      </c>
      <c r="BK3094">
        <v>20210507</v>
      </c>
      <c r="BL3094">
        <v>32.450000000000003</v>
      </c>
      <c r="BM3094" t="s">
        <v>120</v>
      </c>
      <c r="BN3094" t="s">
        <v>120</v>
      </c>
      <c r="BO3094">
        <v>427.86</v>
      </c>
      <c r="BP3094">
        <v>13.53</v>
      </c>
      <c r="BQ3094">
        <v>109.09</v>
      </c>
      <c r="BR3094">
        <v>0.04</v>
      </c>
      <c r="BS3094">
        <v>74.489999999999995</v>
      </c>
      <c r="BT3094">
        <v>0</v>
      </c>
      <c r="BU3094">
        <v>1.62</v>
      </c>
      <c r="BV3094">
        <v>0.92</v>
      </c>
      <c r="BW3094">
        <v>0</v>
      </c>
      <c r="BX3094">
        <v>97.32</v>
      </c>
      <c r="BY3094">
        <v>0</v>
      </c>
      <c r="BZ3094">
        <v>0</v>
      </c>
      <c r="CA3094" t="s">
        <v>120</v>
      </c>
      <c r="CB3094">
        <v>47.29</v>
      </c>
      <c r="CC3094">
        <v>12.23</v>
      </c>
      <c r="CD3094">
        <v>0</v>
      </c>
      <c r="CE3094">
        <v>6.26</v>
      </c>
      <c r="CF3094">
        <v>4.42</v>
      </c>
      <c r="CG3094">
        <v>6.1</v>
      </c>
      <c r="CH3094">
        <v>4.3099999999999996</v>
      </c>
      <c r="CI3094">
        <v>4.3099999999999996</v>
      </c>
      <c r="CJ3094">
        <v>-0.24</v>
      </c>
      <c r="CK3094">
        <v>4.42</v>
      </c>
      <c r="CL3094">
        <v>9.43</v>
      </c>
      <c r="CM3094">
        <v>-11.85</v>
      </c>
      <c r="CN3094">
        <v>-7.37</v>
      </c>
      <c r="CO3094">
        <v>159494</v>
      </c>
      <c r="CP3094">
        <v>3135</v>
      </c>
      <c r="CQ3094" t="s">
        <v>11462</v>
      </c>
      <c r="CR3094">
        <v>0</v>
      </c>
      <c r="CS3094">
        <v>0</v>
      </c>
      <c r="CT3094">
        <v>4.03</v>
      </c>
      <c r="CU3094">
        <v>-37.08</v>
      </c>
      <c r="CV3094">
        <v>35.93</v>
      </c>
      <c r="CW3094">
        <v>0.57999999999999996</v>
      </c>
      <c r="CX3094" t="s">
        <v>373</v>
      </c>
      <c r="CY3094">
        <v>3.36</v>
      </c>
      <c r="CZ3094">
        <v>0</v>
      </c>
      <c r="DA3094">
        <v>1.46</v>
      </c>
      <c r="DB3094">
        <v>0.28999999999999998</v>
      </c>
      <c r="DC3094">
        <v>-0.37</v>
      </c>
      <c r="DD3094">
        <v>25.5</v>
      </c>
      <c r="DE3094" t="s">
        <v>450</v>
      </c>
      <c r="DF3094" t="s">
        <v>120</v>
      </c>
      <c r="DG3094">
        <v>51.15</v>
      </c>
      <c r="DH3094">
        <v>35.21</v>
      </c>
      <c r="DI3094" t="s">
        <v>120</v>
      </c>
      <c r="DJ3094">
        <v>2118</v>
      </c>
      <c r="DK3094">
        <v>600906</v>
      </c>
      <c r="DL3094" t="s">
        <v>120</v>
      </c>
      <c r="DM3094" t="s">
        <v>120</v>
      </c>
      <c r="DN3094" t="s">
        <v>120</v>
      </c>
    </row>
    <row r="3095" spans="1:118">
      <c r="A3095" t="str">
        <f>"600908"</f>
        <v>600908</v>
      </c>
      <c r="B3095" t="s">
        <v>13453</v>
      </c>
      <c r="C3095">
        <v>-1.1299999999999999</v>
      </c>
      <c r="D3095">
        <v>-0.15</v>
      </c>
      <c r="E3095">
        <v>0.48</v>
      </c>
      <c r="F3095">
        <v>990</v>
      </c>
      <c r="G3095" t="s">
        <v>13454</v>
      </c>
      <c r="H3095">
        <v>16181.89</v>
      </c>
      <c r="I3095">
        <v>36.01</v>
      </c>
      <c r="J3095" t="s">
        <v>120</v>
      </c>
      <c r="K3095" t="s">
        <v>13455</v>
      </c>
      <c r="L3095">
        <v>1.5</v>
      </c>
      <c r="M3095">
        <v>6.13</v>
      </c>
      <c r="N3095">
        <v>0.73</v>
      </c>
      <c r="O3095">
        <v>1.45</v>
      </c>
      <c r="P3095">
        <v>6.29</v>
      </c>
      <c r="Q3095">
        <v>-1.45</v>
      </c>
      <c r="R3095">
        <v>6.11</v>
      </c>
      <c r="S3095">
        <v>6.23</v>
      </c>
      <c r="T3095">
        <v>260802</v>
      </c>
      <c r="U3095">
        <v>6.14</v>
      </c>
      <c r="V3095">
        <v>6.2</v>
      </c>
      <c r="W3095">
        <v>7.29</v>
      </c>
      <c r="X3095" t="s">
        <v>122</v>
      </c>
      <c r="Y3095" t="s">
        <v>319</v>
      </c>
      <c r="Z3095">
        <v>2.9</v>
      </c>
      <c r="AA3095">
        <v>6.2</v>
      </c>
      <c r="AB3095">
        <v>166992</v>
      </c>
      <c r="AC3095">
        <v>93810</v>
      </c>
      <c r="AD3095">
        <v>1.78</v>
      </c>
      <c r="AE3095">
        <v>91</v>
      </c>
      <c r="AF3095">
        <v>599</v>
      </c>
      <c r="AG3095" t="s">
        <v>120</v>
      </c>
      <c r="AH3095">
        <v>0</v>
      </c>
      <c r="AI3095" t="s">
        <v>120</v>
      </c>
      <c r="AJ3095">
        <v>17.37</v>
      </c>
      <c r="AK3095" t="s">
        <v>13456</v>
      </c>
      <c r="AL3095">
        <v>0.21</v>
      </c>
      <c r="AM3095">
        <v>3509</v>
      </c>
      <c r="AN3095">
        <v>74</v>
      </c>
      <c r="AO3095">
        <v>4.0000000000000002E-4</v>
      </c>
      <c r="AP3095">
        <v>-4</v>
      </c>
      <c r="AQ3095">
        <v>-1.43</v>
      </c>
      <c r="AR3095">
        <v>-4.22</v>
      </c>
      <c r="AS3095">
        <v>8.3000000000000007</v>
      </c>
      <c r="AT3095">
        <v>9.66</v>
      </c>
      <c r="AU3095">
        <v>3.89</v>
      </c>
      <c r="AV3095">
        <v>1</v>
      </c>
      <c r="AW3095">
        <v>1.84</v>
      </c>
      <c r="AX3095">
        <v>76.28</v>
      </c>
      <c r="AY3095">
        <v>8.14</v>
      </c>
      <c r="AZ3095">
        <v>8.8000000000000007</v>
      </c>
      <c r="BA3095">
        <v>0.43</v>
      </c>
      <c r="BB3095" t="s">
        <v>143</v>
      </c>
      <c r="BF3095">
        <v>0.08</v>
      </c>
      <c r="BG3095">
        <v>-1.61</v>
      </c>
      <c r="BH3095">
        <v>-2.54</v>
      </c>
      <c r="BI3095">
        <v>0.33</v>
      </c>
      <c r="BJ3095">
        <v>20210830</v>
      </c>
      <c r="BK3095">
        <v>20160923</v>
      </c>
      <c r="BL3095">
        <v>18.62</v>
      </c>
      <c r="BM3095" t="s">
        <v>120</v>
      </c>
      <c r="BN3095" t="s">
        <v>120</v>
      </c>
      <c r="BO3095">
        <v>1974.91</v>
      </c>
      <c r="BP3095">
        <v>6.13</v>
      </c>
      <c r="BQ3095">
        <v>153.68</v>
      </c>
      <c r="BR3095">
        <v>1.1499999999999999</v>
      </c>
      <c r="BS3095">
        <v>92.16</v>
      </c>
      <c r="BT3095">
        <v>0</v>
      </c>
      <c r="BU3095">
        <v>8.65</v>
      </c>
      <c r="BV3095">
        <v>2.2000000000000002</v>
      </c>
      <c r="BW3095">
        <v>0</v>
      </c>
      <c r="BX3095">
        <v>145.91</v>
      </c>
      <c r="BY3095">
        <v>0</v>
      </c>
      <c r="BZ3095">
        <v>0</v>
      </c>
      <c r="CA3095" t="s">
        <v>120</v>
      </c>
      <c r="CB3095">
        <v>10.85</v>
      </c>
      <c r="CC3095">
        <v>21.89</v>
      </c>
      <c r="CD3095">
        <v>0</v>
      </c>
      <c r="CE3095">
        <v>9.02</v>
      </c>
      <c r="CF3095">
        <v>2.66</v>
      </c>
      <c r="CG3095">
        <v>9</v>
      </c>
      <c r="CH3095">
        <v>8.07</v>
      </c>
      <c r="CI3095">
        <v>7.83</v>
      </c>
      <c r="CJ3095">
        <v>-7.0000000000000007E-2</v>
      </c>
      <c r="CK3095">
        <v>7.83</v>
      </c>
      <c r="CL3095">
        <v>19.399999999999999</v>
      </c>
      <c r="CM3095">
        <v>9.61</v>
      </c>
      <c r="CN3095">
        <v>-0.03</v>
      </c>
      <c r="CO3095">
        <v>62000</v>
      </c>
      <c r="CP3095">
        <v>22904</v>
      </c>
      <c r="CQ3095" t="s">
        <v>13457</v>
      </c>
      <c r="CR3095">
        <v>15.81</v>
      </c>
      <c r="CS3095">
        <v>11.48</v>
      </c>
      <c r="CT3095">
        <v>0.89</v>
      </c>
      <c r="CU3095">
        <v>11.87</v>
      </c>
      <c r="CV3095">
        <v>5.21</v>
      </c>
      <c r="CW3095">
        <v>2.9</v>
      </c>
      <c r="CX3095" t="s">
        <v>1327</v>
      </c>
      <c r="CY3095">
        <v>6.89</v>
      </c>
      <c r="CZ3095">
        <v>6.89</v>
      </c>
      <c r="DA3095">
        <v>0.57999999999999996</v>
      </c>
      <c r="DB3095">
        <v>1.04</v>
      </c>
      <c r="DC3095">
        <v>0.52</v>
      </c>
      <c r="DD3095">
        <v>7.78</v>
      </c>
      <c r="DE3095" t="s">
        <v>3213</v>
      </c>
      <c r="DF3095" t="s">
        <v>120</v>
      </c>
      <c r="DG3095">
        <v>41.21</v>
      </c>
      <c r="DH3095">
        <v>35.770000000000003</v>
      </c>
      <c r="DI3095" t="s">
        <v>120</v>
      </c>
      <c r="DJ3095">
        <v>1535</v>
      </c>
      <c r="DK3095">
        <v>600908</v>
      </c>
      <c r="DL3095" t="s">
        <v>120</v>
      </c>
      <c r="DM3095" t="s">
        <v>120</v>
      </c>
      <c r="DN3095" t="s">
        <v>120</v>
      </c>
    </row>
    <row r="3096" spans="1:118">
      <c r="A3096" t="str">
        <f>"600909"</f>
        <v>600909</v>
      </c>
      <c r="B3096" t="s">
        <v>13458</v>
      </c>
      <c r="C3096">
        <v>-1.58</v>
      </c>
      <c r="D3096">
        <v>0</v>
      </c>
      <c r="E3096">
        <v>0.53</v>
      </c>
      <c r="F3096">
        <v>7569</v>
      </c>
      <c r="G3096" t="s">
        <v>13459</v>
      </c>
      <c r="H3096">
        <v>26074.71</v>
      </c>
      <c r="I3096">
        <v>91.62</v>
      </c>
      <c r="J3096" t="s">
        <v>120</v>
      </c>
      <c r="K3096" t="s">
        <v>13460</v>
      </c>
      <c r="L3096">
        <v>0.98</v>
      </c>
      <c r="M3096">
        <v>5.61</v>
      </c>
      <c r="N3096">
        <v>0.86</v>
      </c>
      <c r="O3096">
        <v>1.05</v>
      </c>
      <c r="P3096">
        <v>5.76</v>
      </c>
      <c r="Q3096">
        <v>-2.2799999999999998</v>
      </c>
      <c r="R3096">
        <v>5.57</v>
      </c>
      <c r="S3096">
        <v>5.73</v>
      </c>
      <c r="T3096">
        <v>460311</v>
      </c>
      <c r="U3096">
        <v>5.61</v>
      </c>
      <c r="V3096">
        <v>5.7</v>
      </c>
      <c r="W3096">
        <v>21.46</v>
      </c>
      <c r="X3096" t="s">
        <v>616</v>
      </c>
      <c r="Y3096" t="s">
        <v>570</v>
      </c>
      <c r="Z3096">
        <v>3.33</v>
      </c>
      <c r="AA3096">
        <v>5.66</v>
      </c>
      <c r="AB3096">
        <v>260535</v>
      </c>
      <c r="AC3096">
        <v>199776</v>
      </c>
      <c r="AD3096">
        <v>1.3</v>
      </c>
      <c r="AE3096">
        <v>128</v>
      </c>
      <c r="AF3096">
        <v>3390</v>
      </c>
      <c r="AG3096" t="s">
        <v>120</v>
      </c>
      <c r="AH3096">
        <v>0.01</v>
      </c>
      <c r="AI3096" t="s">
        <v>120</v>
      </c>
      <c r="AJ3096">
        <v>46.98</v>
      </c>
      <c r="AK3096" t="s">
        <v>13460</v>
      </c>
      <c r="AL3096">
        <v>-0.24</v>
      </c>
      <c r="AM3096">
        <v>3736</v>
      </c>
      <c r="AN3096">
        <v>123</v>
      </c>
      <c r="AO3096">
        <v>2.9999999999999997E-4</v>
      </c>
      <c r="AP3096">
        <v>-1</v>
      </c>
      <c r="AQ3096">
        <v>1.97</v>
      </c>
      <c r="AR3096">
        <v>-2.2599999999999998</v>
      </c>
      <c r="AS3096">
        <v>5.65</v>
      </c>
      <c r="AT3096">
        <v>0.18</v>
      </c>
      <c r="AU3096">
        <v>-18.82</v>
      </c>
      <c r="AV3096">
        <v>0</v>
      </c>
      <c r="AW3096">
        <v>1.94</v>
      </c>
      <c r="AX3096">
        <v>50.46</v>
      </c>
      <c r="AY3096">
        <v>21.54</v>
      </c>
      <c r="AZ3096">
        <v>21.12</v>
      </c>
      <c r="BA3096">
        <v>0.76</v>
      </c>
      <c r="BB3096" t="s">
        <v>143</v>
      </c>
      <c r="BF3096">
        <v>-0.62</v>
      </c>
      <c r="BG3096">
        <v>-2.09</v>
      </c>
      <c r="BH3096">
        <v>-2.6</v>
      </c>
      <c r="BI3096">
        <v>0.72</v>
      </c>
      <c r="BJ3096">
        <v>20210831</v>
      </c>
      <c r="BK3096">
        <v>20161206</v>
      </c>
      <c r="BL3096">
        <v>46.98</v>
      </c>
      <c r="BM3096" t="s">
        <v>120</v>
      </c>
      <c r="BN3096" t="s">
        <v>120</v>
      </c>
      <c r="BO3096">
        <v>659.65</v>
      </c>
      <c r="BP3096">
        <v>5.6</v>
      </c>
      <c r="BQ3096">
        <v>186.65</v>
      </c>
      <c r="BR3096">
        <v>6.82</v>
      </c>
      <c r="BS3096">
        <v>70.67</v>
      </c>
      <c r="BT3096">
        <v>0</v>
      </c>
      <c r="BU3096">
        <v>6.02</v>
      </c>
      <c r="BV3096">
        <v>0.94</v>
      </c>
      <c r="BW3096">
        <v>0</v>
      </c>
      <c r="BX3096">
        <v>153.36000000000001</v>
      </c>
      <c r="BY3096">
        <v>0</v>
      </c>
      <c r="BZ3096">
        <v>0</v>
      </c>
      <c r="CA3096" t="s">
        <v>120</v>
      </c>
      <c r="CB3096">
        <v>79.78</v>
      </c>
      <c r="CC3096">
        <v>15</v>
      </c>
      <c r="CD3096">
        <v>0</v>
      </c>
      <c r="CE3096">
        <v>8.0299999999999994</v>
      </c>
      <c r="CF3096">
        <v>2.56</v>
      </c>
      <c r="CG3096">
        <v>8.02</v>
      </c>
      <c r="CH3096">
        <v>5.83</v>
      </c>
      <c r="CI3096">
        <v>6.14</v>
      </c>
      <c r="CJ3096">
        <v>-0.09</v>
      </c>
      <c r="CK3096">
        <v>6.07</v>
      </c>
      <c r="CL3096">
        <v>33.15</v>
      </c>
      <c r="CM3096">
        <v>-22.68</v>
      </c>
      <c r="CN3096">
        <v>22.65</v>
      </c>
      <c r="CO3096">
        <v>154459</v>
      </c>
      <c r="CP3096">
        <v>15346</v>
      </c>
      <c r="CQ3096" t="s">
        <v>10035</v>
      </c>
      <c r="CR3096">
        <v>-3.9</v>
      </c>
      <c r="CS3096">
        <v>-9.84</v>
      </c>
      <c r="CT3096">
        <v>1.44</v>
      </c>
      <c r="CU3096">
        <v>-11.62</v>
      </c>
      <c r="CV3096">
        <v>17.57</v>
      </c>
      <c r="CW3096">
        <v>1.62</v>
      </c>
      <c r="CX3096" t="s">
        <v>1193</v>
      </c>
      <c r="CY3096">
        <v>3.88</v>
      </c>
      <c r="CZ3096">
        <v>3.88</v>
      </c>
      <c r="DA3096">
        <v>1.7</v>
      </c>
      <c r="DB3096">
        <v>0.71</v>
      </c>
      <c r="DC3096">
        <v>-0.48</v>
      </c>
      <c r="DD3096">
        <v>28.3</v>
      </c>
      <c r="DE3096" t="s">
        <v>8609</v>
      </c>
      <c r="DF3096" t="s">
        <v>120</v>
      </c>
      <c r="DG3096">
        <v>53.56</v>
      </c>
      <c r="DH3096">
        <v>40.93</v>
      </c>
      <c r="DI3096" t="s">
        <v>120</v>
      </c>
      <c r="DJ3096">
        <v>3066</v>
      </c>
      <c r="DK3096">
        <v>600909</v>
      </c>
      <c r="DL3096" t="s">
        <v>120</v>
      </c>
      <c r="DM3096" t="s">
        <v>120</v>
      </c>
      <c r="DN3096" t="s">
        <v>120</v>
      </c>
    </row>
    <row r="3097" spans="1:118">
      <c r="A3097" t="str">
        <f>"600916"</f>
        <v>600916</v>
      </c>
      <c r="B3097" t="s">
        <v>13461</v>
      </c>
      <c r="C3097">
        <v>-3.08</v>
      </c>
      <c r="D3097">
        <v>0</v>
      </c>
      <c r="E3097">
        <v>-0.45</v>
      </c>
      <c r="F3097">
        <v>764</v>
      </c>
      <c r="G3097" t="s">
        <v>6700</v>
      </c>
      <c r="H3097">
        <v>18231.099999999999</v>
      </c>
      <c r="I3097">
        <v>41.08</v>
      </c>
      <c r="J3097" t="s">
        <v>120</v>
      </c>
      <c r="K3097" t="s">
        <v>6700</v>
      </c>
      <c r="L3097">
        <v>6.62</v>
      </c>
      <c r="M3097">
        <v>15.09</v>
      </c>
      <c r="N3097">
        <v>0.48</v>
      </c>
      <c r="O3097">
        <v>0.57999999999999996</v>
      </c>
      <c r="P3097">
        <v>15.66</v>
      </c>
      <c r="Q3097">
        <v>-3.66</v>
      </c>
      <c r="R3097">
        <v>15</v>
      </c>
      <c r="S3097">
        <v>15.5</v>
      </c>
      <c r="T3097">
        <v>119162</v>
      </c>
      <c r="U3097">
        <v>15.1</v>
      </c>
      <c r="V3097">
        <v>15.57</v>
      </c>
      <c r="W3097">
        <v>31.51</v>
      </c>
      <c r="X3097" t="s">
        <v>855</v>
      </c>
      <c r="Y3097" t="s">
        <v>158</v>
      </c>
      <c r="Z3097">
        <v>4.24</v>
      </c>
      <c r="AA3097">
        <v>15.3</v>
      </c>
      <c r="AB3097">
        <v>70740</v>
      </c>
      <c r="AC3097">
        <v>48422</v>
      </c>
      <c r="AD3097">
        <v>1.46</v>
      </c>
      <c r="AE3097">
        <v>298</v>
      </c>
      <c r="AF3097">
        <v>431</v>
      </c>
      <c r="AG3097" t="s">
        <v>120</v>
      </c>
      <c r="AH3097">
        <v>0.01</v>
      </c>
      <c r="AI3097" t="s">
        <v>120</v>
      </c>
      <c r="AJ3097">
        <v>1.8</v>
      </c>
      <c r="AK3097" t="s">
        <v>13462</v>
      </c>
      <c r="AL3097">
        <v>-1.74</v>
      </c>
      <c r="AM3097">
        <v>3521</v>
      </c>
      <c r="AN3097">
        <v>34</v>
      </c>
      <c r="AO3097">
        <v>1.9E-3</v>
      </c>
      <c r="AP3097">
        <v>-1</v>
      </c>
      <c r="AQ3097">
        <v>1.04</v>
      </c>
      <c r="AR3097">
        <v>-7.2</v>
      </c>
      <c r="AS3097">
        <v>4.57</v>
      </c>
      <c r="AT3097">
        <v>-4.1900000000000004</v>
      </c>
      <c r="AU3097">
        <v>212.42</v>
      </c>
      <c r="AV3097">
        <v>7</v>
      </c>
      <c r="AW3097">
        <v>6.62</v>
      </c>
      <c r="AX3097">
        <v>10.71</v>
      </c>
      <c r="AY3097">
        <v>34.299999999999997</v>
      </c>
      <c r="AZ3097">
        <v>52.3</v>
      </c>
      <c r="BA3097">
        <v>0.77</v>
      </c>
      <c r="BB3097" t="s">
        <v>125</v>
      </c>
      <c r="BF3097">
        <v>-1.74</v>
      </c>
      <c r="BG3097">
        <v>-2.65</v>
      </c>
      <c r="BH3097">
        <v>-3.64</v>
      </c>
      <c r="BI3097">
        <v>0.6</v>
      </c>
      <c r="BJ3097">
        <v>20210807</v>
      </c>
      <c r="BK3097">
        <v>20210205</v>
      </c>
      <c r="BL3097">
        <v>16.8</v>
      </c>
      <c r="BM3097" t="s">
        <v>120</v>
      </c>
      <c r="BN3097" t="s">
        <v>120</v>
      </c>
      <c r="BO3097">
        <v>108.72</v>
      </c>
      <c r="BP3097">
        <v>15.09</v>
      </c>
      <c r="BQ3097">
        <v>61.64</v>
      </c>
      <c r="BR3097">
        <v>0.82</v>
      </c>
      <c r="BS3097">
        <v>42.55</v>
      </c>
      <c r="BT3097">
        <v>105.66</v>
      </c>
      <c r="BU3097">
        <v>0.89</v>
      </c>
      <c r="BV3097">
        <v>0.15</v>
      </c>
      <c r="BW3097">
        <v>45.76</v>
      </c>
      <c r="BX3097">
        <v>51.03</v>
      </c>
      <c r="BY3097">
        <v>40.520000000000003</v>
      </c>
      <c r="BZ3097">
        <v>6.36</v>
      </c>
      <c r="CA3097" t="s">
        <v>120</v>
      </c>
      <c r="CB3097">
        <v>23.97</v>
      </c>
      <c r="CC3097">
        <v>266</v>
      </c>
      <c r="CD3097">
        <v>257.97000000000003</v>
      </c>
      <c r="CE3097">
        <v>5.0999999999999996</v>
      </c>
      <c r="CF3097">
        <v>0.49</v>
      </c>
      <c r="CG3097">
        <v>5.1100000000000003</v>
      </c>
      <c r="CH3097">
        <v>4.0599999999999996</v>
      </c>
      <c r="CI3097">
        <v>4.0199999999999996</v>
      </c>
      <c r="CJ3097">
        <v>-0.48</v>
      </c>
      <c r="CK3097">
        <v>4.0199999999999996</v>
      </c>
      <c r="CL3097">
        <v>19.07</v>
      </c>
      <c r="CM3097">
        <v>11.3</v>
      </c>
      <c r="CN3097">
        <v>16.829999999999998</v>
      </c>
      <c r="CO3097">
        <v>95305</v>
      </c>
      <c r="CP3097">
        <v>1889</v>
      </c>
      <c r="CQ3097" t="s">
        <v>13463</v>
      </c>
      <c r="CR3097">
        <v>187.86</v>
      </c>
      <c r="CS3097">
        <v>72.13</v>
      </c>
      <c r="CT3097">
        <v>4.1100000000000003</v>
      </c>
      <c r="CU3097">
        <v>22.43</v>
      </c>
      <c r="CV3097">
        <v>0.95</v>
      </c>
      <c r="CW3097">
        <v>1.03</v>
      </c>
      <c r="CX3097" t="s">
        <v>863</v>
      </c>
      <c r="CY3097">
        <v>3.67</v>
      </c>
      <c r="CZ3097">
        <v>0</v>
      </c>
      <c r="DA3097">
        <v>1.43</v>
      </c>
      <c r="DB3097">
        <v>1.1399999999999999</v>
      </c>
      <c r="DC3097">
        <v>0.67</v>
      </c>
      <c r="DD3097">
        <v>56.69</v>
      </c>
      <c r="DE3097" t="s">
        <v>4574</v>
      </c>
      <c r="DF3097">
        <v>3.02</v>
      </c>
      <c r="DG3097">
        <v>1.92</v>
      </c>
      <c r="DH3097">
        <v>1.51</v>
      </c>
      <c r="DI3097">
        <v>0.02</v>
      </c>
      <c r="DJ3097">
        <v>1204</v>
      </c>
      <c r="DK3097">
        <v>600916</v>
      </c>
      <c r="DL3097" t="s">
        <v>120</v>
      </c>
      <c r="DM3097" t="s">
        <v>120</v>
      </c>
      <c r="DN3097" t="s">
        <v>120</v>
      </c>
    </row>
    <row r="3098" spans="1:118">
      <c r="A3098" t="str">
        <f>"600917"</f>
        <v>600917</v>
      </c>
      <c r="B3098" t="s">
        <v>13464</v>
      </c>
      <c r="C3098">
        <v>0.8</v>
      </c>
      <c r="D3098">
        <v>0</v>
      </c>
      <c r="E3098">
        <v>0.9</v>
      </c>
      <c r="F3098">
        <v>1852</v>
      </c>
      <c r="G3098" t="s">
        <v>13465</v>
      </c>
      <c r="H3098">
        <v>21921.68</v>
      </c>
      <c r="I3098">
        <v>32.630000000000003</v>
      </c>
      <c r="J3098" t="s">
        <v>120</v>
      </c>
      <c r="K3098" t="s">
        <v>13466</v>
      </c>
      <c r="L3098">
        <v>1.38</v>
      </c>
      <c r="M3098">
        <v>10.029999999999999</v>
      </c>
      <c r="N3098">
        <v>0.93</v>
      </c>
      <c r="O3098">
        <v>5.13</v>
      </c>
      <c r="P3098">
        <v>10.46</v>
      </c>
      <c r="Q3098">
        <v>0.5</v>
      </c>
      <c r="R3098">
        <v>10</v>
      </c>
      <c r="S3098">
        <v>10.039999999999999</v>
      </c>
      <c r="T3098">
        <v>214208</v>
      </c>
      <c r="U3098">
        <v>10.029999999999999</v>
      </c>
      <c r="V3098">
        <v>9.9499999999999993</v>
      </c>
      <c r="W3098">
        <v>35.18</v>
      </c>
      <c r="X3098" t="s">
        <v>684</v>
      </c>
      <c r="Y3098" t="s">
        <v>883</v>
      </c>
      <c r="Z3098">
        <v>4.62</v>
      </c>
      <c r="AA3098">
        <v>10.23</v>
      </c>
      <c r="AB3098">
        <v>109458</v>
      </c>
      <c r="AC3098">
        <v>104750</v>
      </c>
      <c r="AD3098">
        <v>1.04</v>
      </c>
      <c r="AE3098">
        <v>805</v>
      </c>
      <c r="AF3098">
        <v>1178</v>
      </c>
      <c r="AG3098" t="s">
        <v>120</v>
      </c>
      <c r="AH3098">
        <v>0.02</v>
      </c>
      <c r="AI3098" t="s">
        <v>120</v>
      </c>
      <c r="AJ3098">
        <v>15.56</v>
      </c>
      <c r="AK3098" t="s">
        <v>13467</v>
      </c>
      <c r="AL3098">
        <v>2.15</v>
      </c>
      <c r="AM3098">
        <v>3467</v>
      </c>
      <c r="AN3098">
        <v>62</v>
      </c>
      <c r="AO3098">
        <v>4.0000000000000002E-4</v>
      </c>
      <c r="AP3098">
        <v>2</v>
      </c>
      <c r="AQ3098">
        <v>0.4</v>
      </c>
      <c r="AR3098">
        <v>-2.2400000000000002</v>
      </c>
      <c r="AS3098">
        <v>27.12</v>
      </c>
      <c r="AT3098">
        <v>18.84</v>
      </c>
      <c r="AU3098">
        <v>48.04</v>
      </c>
      <c r="AV3098">
        <v>8</v>
      </c>
      <c r="AW3098">
        <v>13.76</v>
      </c>
      <c r="AX3098">
        <v>9.91</v>
      </c>
      <c r="AY3098">
        <v>34.380000000000003</v>
      </c>
      <c r="AZ3098">
        <v>41.55</v>
      </c>
      <c r="BA3098">
        <v>1.22</v>
      </c>
      <c r="BB3098" t="s">
        <v>143</v>
      </c>
      <c r="BF3098">
        <v>2.85</v>
      </c>
      <c r="BG3098">
        <v>-0.1</v>
      </c>
      <c r="BH3098">
        <v>-4.1100000000000003</v>
      </c>
      <c r="BI3098">
        <v>0.3</v>
      </c>
      <c r="BJ3098">
        <v>20210910</v>
      </c>
      <c r="BK3098">
        <v>20140930</v>
      </c>
      <c r="BL3098">
        <v>15.71</v>
      </c>
      <c r="BM3098" t="s">
        <v>120</v>
      </c>
      <c r="BN3098" t="s">
        <v>120</v>
      </c>
      <c r="BO3098">
        <v>91.84</v>
      </c>
      <c r="BP3098">
        <v>10.02</v>
      </c>
      <c r="BQ3098">
        <v>45.3</v>
      </c>
      <c r="BR3098">
        <v>3.61</v>
      </c>
      <c r="BS3098">
        <v>46.74</v>
      </c>
      <c r="BT3098">
        <v>21.42</v>
      </c>
      <c r="BU3098">
        <v>44.18</v>
      </c>
      <c r="BV3098">
        <v>3.47</v>
      </c>
      <c r="BW3098">
        <v>27.3</v>
      </c>
      <c r="BX3098">
        <v>14.01</v>
      </c>
      <c r="BY3098">
        <v>0.85</v>
      </c>
      <c r="BZ3098">
        <v>1.86</v>
      </c>
      <c r="CA3098">
        <v>0</v>
      </c>
      <c r="CB3098">
        <v>10.36</v>
      </c>
      <c r="CC3098">
        <v>37.53</v>
      </c>
      <c r="CD3098">
        <v>33.380000000000003</v>
      </c>
      <c r="CE3098">
        <v>2.5099999999999998</v>
      </c>
      <c r="CF3098">
        <v>0.4</v>
      </c>
      <c r="CG3098">
        <v>2.61</v>
      </c>
      <c r="CH3098">
        <v>2.27</v>
      </c>
      <c r="CI3098">
        <v>2.2400000000000002</v>
      </c>
      <c r="CJ3098">
        <v>0.08</v>
      </c>
      <c r="CK3098">
        <v>1.95</v>
      </c>
      <c r="CL3098">
        <v>16.11</v>
      </c>
      <c r="CM3098">
        <v>3.39</v>
      </c>
      <c r="CN3098">
        <v>-1.83</v>
      </c>
      <c r="CO3098">
        <v>35805</v>
      </c>
      <c r="CP3098">
        <v>4349</v>
      </c>
      <c r="CQ3098" t="s">
        <v>425</v>
      </c>
      <c r="CR3098">
        <v>53.86</v>
      </c>
      <c r="CS3098">
        <v>20.52</v>
      </c>
      <c r="CT3098">
        <v>3.48</v>
      </c>
      <c r="CU3098">
        <v>46.43</v>
      </c>
      <c r="CV3098">
        <v>4.2</v>
      </c>
      <c r="CW3098">
        <v>0.85</v>
      </c>
      <c r="CX3098" t="s">
        <v>300</v>
      </c>
      <c r="CY3098">
        <v>2.88</v>
      </c>
      <c r="CZ3098">
        <v>0</v>
      </c>
      <c r="DA3098">
        <v>0.66</v>
      </c>
      <c r="DB3098">
        <v>1.03</v>
      </c>
      <c r="DC3098">
        <v>0.22</v>
      </c>
      <c r="DD3098">
        <v>49.33</v>
      </c>
      <c r="DE3098" t="s">
        <v>7241</v>
      </c>
      <c r="DF3098">
        <v>11.07</v>
      </c>
      <c r="DG3098">
        <v>6.69</v>
      </c>
      <c r="DH3098">
        <v>5.97</v>
      </c>
      <c r="DI3098">
        <v>0.01</v>
      </c>
      <c r="DJ3098">
        <v>4001</v>
      </c>
      <c r="DK3098">
        <v>600917</v>
      </c>
      <c r="DL3098" t="s">
        <v>120</v>
      </c>
      <c r="DM3098" t="s">
        <v>120</v>
      </c>
      <c r="DN3098" t="s">
        <v>120</v>
      </c>
    </row>
    <row r="3099" spans="1:118">
      <c r="A3099" t="str">
        <f>"600918"</f>
        <v>600918</v>
      </c>
      <c r="B3099" t="s">
        <v>13468</v>
      </c>
      <c r="C3099">
        <v>-1.81</v>
      </c>
      <c r="D3099">
        <v>0.1</v>
      </c>
      <c r="E3099">
        <v>0</v>
      </c>
      <c r="F3099">
        <v>9019</v>
      </c>
      <c r="G3099" t="s">
        <v>13469</v>
      </c>
      <c r="H3099">
        <v>54684.6</v>
      </c>
      <c r="I3099">
        <v>162.44</v>
      </c>
      <c r="J3099" t="s">
        <v>120</v>
      </c>
      <c r="K3099" t="s">
        <v>13470</v>
      </c>
      <c r="L3099">
        <v>2.0299999999999998</v>
      </c>
      <c r="M3099">
        <v>10.29</v>
      </c>
      <c r="N3099">
        <v>0.67</v>
      </c>
      <c r="O3099">
        <v>0.38</v>
      </c>
      <c r="P3099">
        <v>10.52</v>
      </c>
      <c r="Q3099">
        <v>-2.96</v>
      </c>
      <c r="R3099">
        <v>10.17</v>
      </c>
      <c r="S3099">
        <v>10.48</v>
      </c>
      <c r="T3099">
        <v>528465</v>
      </c>
      <c r="U3099">
        <v>10.29</v>
      </c>
      <c r="V3099">
        <v>10.48</v>
      </c>
      <c r="W3099">
        <v>21.08</v>
      </c>
      <c r="X3099" t="s">
        <v>616</v>
      </c>
      <c r="Y3099" t="s">
        <v>638</v>
      </c>
      <c r="Z3099">
        <v>3.34</v>
      </c>
      <c r="AA3099">
        <v>10.35</v>
      </c>
      <c r="AB3099">
        <v>286450</v>
      </c>
      <c r="AC3099">
        <v>242015</v>
      </c>
      <c r="AD3099">
        <v>1.18</v>
      </c>
      <c r="AE3099">
        <v>655</v>
      </c>
      <c r="AF3099">
        <v>334</v>
      </c>
      <c r="AG3099" t="s">
        <v>120</v>
      </c>
      <c r="AH3099">
        <v>0.01</v>
      </c>
      <c r="AI3099" t="s">
        <v>120</v>
      </c>
      <c r="AJ3099">
        <v>26.09</v>
      </c>
      <c r="AK3099" t="s">
        <v>13471</v>
      </c>
      <c r="AL3099">
        <v>-0.47</v>
      </c>
      <c r="AM3099">
        <v>4463</v>
      </c>
      <c r="AN3099">
        <v>118</v>
      </c>
      <c r="AO3099">
        <v>5.0000000000000001E-4</v>
      </c>
      <c r="AP3099">
        <v>-1</v>
      </c>
      <c r="AQ3099">
        <v>0.87</v>
      </c>
      <c r="AR3099">
        <v>-4.8899999999999997</v>
      </c>
      <c r="AS3099">
        <v>3.21</v>
      </c>
      <c r="AT3099">
        <v>-2.84</v>
      </c>
      <c r="AU3099">
        <v>-44.05</v>
      </c>
      <c r="AV3099">
        <v>4</v>
      </c>
      <c r="AW3099">
        <v>2.2000000000000002</v>
      </c>
      <c r="AX3099">
        <v>34.520000000000003</v>
      </c>
      <c r="AY3099">
        <v>25.68</v>
      </c>
      <c r="AZ3099">
        <v>28.92</v>
      </c>
      <c r="BA3099">
        <v>1.57</v>
      </c>
      <c r="BB3099" t="s">
        <v>143</v>
      </c>
      <c r="BF3099">
        <v>-1.26</v>
      </c>
      <c r="BG3099">
        <v>-1.81</v>
      </c>
      <c r="BH3099">
        <v>-2.19</v>
      </c>
      <c r="BI3099">
        <v>1.18</v>
      </c>
      <c r="BJ3099">
        <v>20210901</v>
      </c>
      <c r="BK3099">
        <v>20200603</v>
      </c>
      <c r="BL3099">
        <v>69.69</v>
      </c>
      <c r="BM3099" t="s">
        <v>120</v>
      </c>
      <c r="BN3099" t="s">
        <v>120</v>
      </c>
      <c r="BO3099">
        <v>1838.26</v>
      </c>
      <c r="BP3099">
        <v>10.28</v>
      </c>
      <c r="BQ3099">
        <v>348.89</v>
      </c>
      <c r="BR3099">
        <v>11.9</v>
      </c>
      <c r="BS3099">
        <v>80.37</v>
      </c>
      <c r="BT3099">
        <v>0</v>
      </c>
      <c r="BU3099">
        <v>8.8000000000000007</v>
      </c>
      <c r="BV3099">
        <v>1.74</v>
      </c>
      <c r="BW3099">
        <v>0</v>
      </c>
      <c r="BX3099">
        <v>416.16</v>
      </c>
      <c r="BY3099">
        <v>0</v>
      </c>
      <c r="BZ3099">
        <v>0</v>
      </c>
      <c r="CA3099" t="s">
        <v>120</v>
      </c>
      <c r="CB3099">
        <v>130.85</v>
      </c>
      <c r="CC3099">
        <v>57.61</v>
      </c>
      <c r="CD3099">
        <v>0</v>
      </c>
      <c r="CE3099">
        <v>21.71</v>
      </c>
      <c r="CF3099">
        <v>9.35</v>
      </c>
      <c r="CG3099">
        <v>21.72</v>
      </c>
      <c r="CH3099">
        <v>17.46</v>
      </c>
      <c r="CI3099">
        <v>17.010000000000002</v>
      </c>
      <c r="CJ3099">
        <v>-0.19</v>
      </c>
      <c r="CK3099">
        <v>16.46</v>
      </c>
      <c r="CL3099">
        <v>78.38</v>
      </c>
      <c r="CM3099">
        <v>12.93</v>
      </c>
      <c r="CN3099">
        <v>46.81</v>
      </c>
      <c r="CO3099">
        <v>152424</v>
      </c>
      <c r="CP3099">
        <v>15783</v>
      </c>
      <c r="CQ3099" t="s">
        <v>13472</v>
      </c>
      <c r="CR3099">
        <v>22.99</v>
      </c>
      <c r="CS3099">
        <v>19.96</v>
      </c>
      <c r="CT3099">
        <v>2.06</v>
      </c>
      <c r="CU3099">
        <v>55.47</v>
      </c>
      <c r="CV3099">
        <v>12.45</v>
      </c>
      <c r="CW3099">
        <v>1.04</v>
      </c>
      <c r="CX3099" t="s">
        <v>626</v>
      </c>
      <c r="CY3099">
        <v>5.01</v>
      </c>
      <c r="CZ3099">
        <v>0</v>
      </c>
      <c r="DA3099">
        <v>1.88</v>
      </c>
      <c r="DB3099">
        <v>1.1200000000000001</v>
      </c>
      <c r="DC3099">
        <v>0.19</v>
      </c>
      <c r="DD3099">
        <v>18.98</v>
      </c>
      <c r="DE3099" t="s">
        <v>1206</v>
      </c>
      <c r="DF3099" t="s">
        <v>120</v>
      </c>
      <c r="DG3099">
        <v>37.69</v>
      </c>
      <c r="DH3099">
        <v>29.53</v>
      </c>
      <c r="DI3099" t="s">
        <v>120</v>
      </c>
      <c r="DJ3099">
        <v>7758</v>
      </c>
      <c r="DK3099">
        <v>600918</v>
      </c>
      <c r="DL3099" t="s">
        <v>120</v>
      </c>
      <c r="DM3099" t="s">
        <v>120</v>
      </c>
      <c r="DN3099" t="s">
        <v>120</v>
      </c>
    </row>
    <row r="3100" spans="1:118">
      <c r="A3100" t="str">
        <f>"600919"</f>
        <v>600919</v>
      </c>
      <c r="B3100" t="s">
        <v>13473</v>
      </c>
      <c r="C3100">
        <v>-1.28</v>
      </c>
      <c r="D3100">
        <v>0</v>
      </c>
      <c r="E3100">
        <v>0</v>
      </c>
      <c r="F3100">
        <v>17929</v>
      </c>
      <c r="G3100" t="s">
        <v>13474</v>
      </c>
      <c r="H3100">
        <v>79181.149999999994</v>
      </c>
      <c r="I3100">
        <v>242.45</v>
      </c>
      <c r="J3100" t="s">
        <v>120</v>
      </c>
      <c r="K3100" t="s">
        <v>13475</v>
      </c>
      <c r="L3100">
        <v>0.87</v>
      </c>
      <c r="M3100">
        <v>6.18</v>
      </c>
      <c r="N3100">
        <v>0.8</v>
      </c>
      <c r="O3100">
        <v>0.64</v>
      </c>
      <c r="P3100">
        <v>6.3</v>
      </c>
      <c r="Q3100">
        <v>-1.44</v>
      </c>
      <c r="R3100">
        <v>6.17</v>
      </c>
      <c r="S3100">
        <v>6.26</v>
      </c>
      <c r="T3100">
        <v>1272050</v>
      </c>
      <c r="U3100">
        <v>6.18</v>
      </c>
      <c r="V3100">
        <v>6.26</v>
      </c>
      <c r="W3100">
        <v>4.47</v>
      </c>
      <c r="X3100" t="s">
        <v>122</v>
      </c>
      <c r="Y3100" t="s">
        <v>319</v>
      </c>
      <c r="Z3100">
        <v>2.08</v>
      </c>
      <c r="AA3100">
        <v>6.22</v>
      </c>
      <c r="AB3100">
        <v>700959</v>
      </c>
      <c r="AC3100">
        <v>571091</v>
      </c>
      <c r="AD3100">
        <v>1.23</v>
      </c>
      <c r="AE3100">
        <v>6791</v>
      </c>
      <c r="AF3100">
        <v>3201</v>
      </c>
      <c r="AG3100" t="s">
        <v>120</v>
      </c>
      <c r="AH3100">
        <v>0</v>
      </c>
      <c r="AI3100" t="s">
        <v>120</v>
      </c>
      <c r="AJ3100">
        <v>146.80000000000001</v>
      </c>
      <c r="AK3100" t="s">
        <v>13476</v>
      </c>
      <c r="AL3100">
        <v>7.0000000000000007E-2</v>
      </c>
      <c r="AM3100">
        <v>4551</v>
      </c>
      <c r="AN3100">
        <v>280</v>
      </c>
      <c r="AO3100">
        <v>2.0000000000000001E-4</v>
      </c>
      <c r="AP3100">
        <v>-3</v>
      </c>
      <c r="AQ3100">
        <v>-1.57</v>
      </c>
      <c r="AR3100">
        <v>-5.94</v>
      </c>
      <c r="AS3100">
        <v>-8.31</v>
      </c>
      <c r="AT3100">
        <v>-14.29</v>
      </c>
      <c r="AU3100">
        <v>20.14</v>
      </c>
      <c r="AV3100">
        <v>0</v>
      </c>
      <c r="AW3100">
        <v>1.1399999999999999</v>
      </c>
      <c r="AX3100">
        <v>75.510000000000005</v>
      </c>
      <c r="AY3100">
        <v>5.4</v>
      </c>
      <c r="AZ3100">
        <v>6.14</v>
      </c>
      <c r="BA3100">
        <v>1.1399999999999999</v>
      </c>
      <c r="BB3100" t="s">
        <v>240</v>
      </c>
      <c r="BF3100">
        <v>-0.56000000000000005</v>
      </c>
      <c r="BG3100">
        <v>-1.28</v>
      </c>
      <c r="BH3100">
        <v>-1.9</v>
      </c>
      <c r="BI3100">
        <v>0.16</v>
      </c>
      <c r="BJ3100">
        <v>20210915</v>
      </c>
      <c r="BK3100">
        <v>20160802</v>
      </c>
      <c r="BL3100">
        <v>147.69999999999999</v>
      </c>
      <c r="BM3100" t="s">
        <v>120</v>
      </c>
      <c r="BN3100" t="s">
        <v>120</v>
      </c>
      <c r="BO3100">
        <v>25532.95</v>
      </c>
      <c r="BP3100">
        <v>6.17</v>
      </c>
      <c r="BQ3100">
        <v>1833.17</v>
      </c>
      <c r="BR3100">
        <v>46.51</v>
      </c>
      <c r="BS3100">
        <v>92.64</v>
      </c>
      <c r="BT3100">
        <v>0</v>
      </c>
      <c r="BU3100">
        <v>56.27</v>
      </c>
      <c r="BV3100">
        <v>5.93</v>
      </c>
      <c r="BW3100">
        <v>0</v>
      </c>
      <c r="BX3100">
        <v>2032.97</v>
      </c>
      <c r="BY3100">
        <v>0</v>
      </c>
      <c r="BZ3100">
        <v>0</v>
      </c>
      <c r="CA3100" t="s">
        <v>120</v>
      </c>
      <c r="CB3100">
        <v>276.99</v>
      </c>
      <c r="CC3100">
        <v>307.37</v>
      </c>
      <c r="CD3100">
        <v>0</v>
      </c>
      <c r="CE3100">
        <v>133.41</v>
      </c>
      <c r="CF3100">
        <v>42.86</v>
      </c>
      <c r="CG3100">
        <v>133.07</v>
      </c>
      <c r="CH3100">
        <v>105.09</v>
      </c>
      <c r="CI3100">
        <v>101.99</v>
      </c>
      <c r="CJ3100">
        <v>-0.08</v>
      </c>
      <c r="CK3100">
        <v>100.36</v>
      </c>
      <c r="CL3100">
        <v>409.62</v>
      </c>
      <c r="CM3100">
        <v>536.57000000000005</v>
      </c>
      <c r="CN3100">
        <v>-25.02</v>
      </c>
      <c r="CO3100">
        <v>139121</v>
      </c>
      <c r="CP3100">
        <v>80160</v>
      </c>
      <c r="CQ3100" t="s">
        <v>13477</v>
      </c>
      <c r="CR3100">
        <v>25.2</v>
      </c>
      <c r="CS3100">
        <v>22.67</v>
      </c>
      <c r="CT3100">
        <v>0.64</v>
      </c>
      <c r="CU3100">
        <v>1.7</v>
      </c>
      <c r="CV3100">
        <v>2.97</v>
      </c>
      <c r="CW3100">
        <v>5.05</v>
      </c>
      <c r="CX3100" t="s">
        <v>2039</v>
      </c>
      <c r="CY3100">
        <v>9.7100000000000009</v>
      </c>
      <c r="CZ3100">
        <v>9.7100000000000009</v>
      </c>
      <c r="DA3100">
        <v>1.88</v>
      </c>
      <c r="DB3100">
        <v>2.77</v>
      </c>
      <c r="DC3100">
        <v>3.63</v>
      </c>
      <c r="DD3100">
        <v>7.18</v>
      </c>
      <c r="DE3100" t="s">
        <v>8818</v>
      </c>
      <c r="DF3100" t="s">
        <v>120</v>
      </c>
      <c r="DG3100">
        <v>43.4</v>
      </c>
      <c r="DH3100">
        <v>33.18</v>
      </c>
      <c r="DI3100" t="s">
        <v>120</v>
      </c>
      <c r="DJ3100">
        <v>15363</v>
      </c>
      <c r="DK3100">
        <v>600919</v>
      </c>
      <c r="DL3100" t="s">
        <v>120</v>
      </c>
      <c r="DM3100" t="s">
        <v>120</v>
      </c>
      <c r="DN3100" t="s">
        <v>120</v>
      </c>
    </row>
    <row r="3101" spans="1:118">
      <c r="A3101" t="str">
        <f>"600926"</f>
        <v>600926</v>
      </c>
      <c r="B3101" t="s">
        <v>13478</v>
      </c>
      <c r="C3101">
        <v>-0.2</v>
      </c>
      <c r="D3101">
        <v>7.0000000000000007E-2</v>
      </c>
      <c r="E3101">
        <v>7.0000000000000007E-2</v>
      </c>
      <c r="F3101">
        <v>2664</v>
      </c>
      <c r="G3101" t="s">
        <v>13479</v>
      </c>
      <c r="H3101">
        <v>16976.62</v>
      </c>
      <c r="I3101">
        <v>60.65</v>
      </c>
      <c r="J3101" t="s">
        <v>120</v>
      </c>
      <c r="K3101" t="s">
        <v>13480</v>
      </c>
      <c r="L3101">
        <v>0.23</v>
      </c>
      <c r="M3101">
        <v>14.61</v>
      </c>
      <c r="N3101">
        <v>0.6</v>
      </c>
      <c r="O3101">
        <v>1.78</v>
      </c>
      <c r="P3101">
        <v>14.9</v>
      </c>
      <c r="Q3101">
        <v>-0.89</v>
      </c>
      <c r="R3101">
        <v>14.51</v>
      </c>
      <c r="S3101">
        <v>14.65</v>
      </c>
      <c r="T3101">
        <v>115988</v>
      </c>
      <c r="U3101">
        <v>14.61</v>
      </c>
      <c r="V3101">
        <v>14.64</v>
      </c>
      <c r="W3101">
        <v>8.65</v>
      </c>
      <c r="X3101" t="s">
        <v>122</v>
      </c>
      <c r="Y3101" t="s">
        <v>585</v>
      </c>
      <c r="Z3101">
        <v>2.66</v>
      </c>
      <c r="AA3101">
        <v>14.64</v>
      </c>
      <c r="AB3101">
        <v>63215</v>
      </c>
      <c r="AC3101">
        <v>52773</v>
      </c>
      <c r="AD3101">
        <v>1.2</v>
      </c>
      <c r="AE3101">
        <v>8</v>
      </c>
      <c r="AF3101">
        <v>79</v>
      </c>
      <c r="AG3101" t="s">
        <v>120</v>
      </c>
      <c r="AH3101">
        <v>0</v>
      </c>
      <c r="AI3101" t="s">
        <v>120</v>
      </c>
      <c r="AJ3101">
        <v>50.41</v>
      </c>
      <c r="AK3101" t="s">
        <v>13481</v>
      </c>
      <c r="AL3101">
        <v>1.1399999999999999</v>
      </c>
      <c r="AM3101">
        <v>3640</v>
      </c>
      <c r="AN3101">
        <v>32</v>
      </c>
      <c r="AO3101">
        <v>1E-4</v>
      </c>
      <c r="AP3101">
        <v>-4</v>
      </c>
      <c r="AQ3101">
        <v>-2.2000000000000002</v>
      </c>
      <c r="AR3101">
        <v>-3.87</v>
      </c>
      <c r="AS3101">
        <v>8.2200000000000006</v>
      </c>
      <c r="AT3101">
        <v>-2.92</v>
      </c>
      <c r="AU3101">
        <v>0.27</v>
      </c>
      <c r="AV3101">
        <v>0</v>
      </c>
      <c r="AW3101">
        <v>0.41</v>
      </c>
      <c r="AX3101">
        <v>47.4</v>
      </c>
      <c r="AY3101">
        <v>10.75</v>
      </c>
      <c r="AZ3101">
        <v>12.17</v>
      </c>
      <c r="BA3101">
        <v>1.57</v>
      </c>
      <c r="BB3101" t="s">
        <v>143</v>
      </c>
      <c r="BF3101">
        <v>-0.02</v>
      </c>
      <c r="BG3101">
        <v>-0.27</v>
      </c>
      <c r="BH3101">
        <v>-1.95</v>
      </c>
      <c r="BI3101">
        <v>0.69</v>
      </c>
      <c r="BJ3101">
        <v>20210831</v>
      </c>
      <c r="BK3101">
        <v>20161027</v>
      </c>
      <c r="BL3101">
        <v>59.3</v>
      </c>
      <c r="BM3101" t="s">
        <v>120</v>
      </c>
      <c r="BN3101" t="s">
        <v>120</v>
      </c>
      <c r="BO3101">
        <v>12865.99</v>
      </c>
      <c r="BP3101">
        <v>14.6</v>
      </c>
      <c r="BQ3101">
        <v>852.67</v>
      </c>
      <c r="BR3101" t="s">
        <v>120</v>
      </c>
      <c r="BS3101">
        <v>93.37</v>
      </c>
      <c r="BT3101">
        <v>0</v>
      </c>
      <c r="BU3101">
        <v>15.31</v>
      </c>
      <c r="BV3101">
        <v>11.27</v>
      </c>
      <c r="BW3101">
        <v>0</v>
      </c>
      <c r="BX3101">
        <v>967.04</v>
      </c>
      <c r="BY3101">
        <v>0</v>
      </c>
      <c r="BZ3101">
        <v>0</v>
      </c>
      <c r="CA3101" t="s">
        <v>120</v>
      </c>
      <c r="CB3101">
        <v>152.06</v>
      </c>
      <c r="CC3101">
        <v>148.76</v>
      </c>
      <c r="CD3101">
        <v>0</v>
      </c>
      <c r="CE3101">
        <v>57.75</v>
      </c>
      <c r="CF3101">
        <v>17.850000000000001</v>
      </c>
      <c r="CG3101">
        <v>57.82</v>
      </c>
      <c r="CH3101">
        <v>50.07</v>
      </c>
      <c r="CI3101">
        <v>50.07</v>
      </c>
      <c r="CJ3101">
        <v>-0.03</v>
      </c>
      <c r="CK3101">
        <v>49.69</v>
      </c>
      <c r="CL3101">
        <v>253.35</v>
      </c>
      <c r="CM3101">
        <v>-169.95</v>
      </c>
      <c r="CN3101">
        <v>-240.07</v>
      </c>
      <c r="CO3101">
        <v>58157</v>
      </c>
      <c r="CP3101">
        <v>48329</v>
      </c>
      <c r="CQ3101" t="s">
        <v>13482</v>
      </c>
      <c r="CR3101">
        <v>23.07</v>
      </c>
      <c r="CS3101">
        <v>15.73</v>
      </c>
      <c r="CT3101">
        <v>1.27</v>
      </c>
      <c r="CU3101">
        <v>-5.0999999999999996</v>
      </c>
      <c r="CV3101">
        <v>5.82</v>
      </c>
      <c r="CW3101">
        <v>2.39</v>
      </c>
      <c r="CX3101" t="s">
        <v>127</v>
      </c>
      <c r="CY3101">
        <v>11.52</v>
      </c>
      <c r="CZ3101">
        <v>11.52</v>
      </c>
      <c r="DA3101">
        <v>2.56</v>
      </c>
      <c r="DB3101">
        <v>4.2699999999999996</v>
      </c>
      <c r="DC3101">
        <v>-2.87</v>
      </c>
      <c r="DD3101">
        <v>6.63</v>
      </c>
      <c r="DE3101" t="s">
        <v>1915</v>
      </c>
      <c r="DF3101" t="s">
        <v>120</v>
      </c>
      <c r="DG3101">
        <v>38.82</v>
      </c>
      <c r="DH3101">
        <v>33.659999999999997</v>
      </c>
      <c r="DI3101" t="s">
        <v>120</v>
      </c>
      <c r="DJ3101">
        <v>9615</v>
      </c>
      <c r="DK3101">
        <v>600926</v>
      </c>
      <c r="DL3101" t="s">
        <v>120</v>
      </c>
      <c r="DM3101" t="s">
        <v>120</v>
      </c>
      <c r="DN3101" t="s">
        <v>120</v>
      </c>
    </row>
    <row r="3102" spans="1:118">
      <c r="A3102" t="str">
        <f>"600928"</f>
        <v>600928</v>
      </c>
      <c r="B3102" t="s">
        <v>13483</v>
      </c>
      <c r="C3102">
        <v>-0.66</v>
      </c>
      <c r="D3102">
        <v>-0.21</v>
      </c>
      <c r="E3102">
        <v>0.44</v>
      </c>
      <c r="F3102">
        <v>1810</v>
      </c>
      <c r="G3102" t="s">
        <v>13484</v>
      </c>
      <c r="H3102">
        <v>3435.09</v>
      </c>
      <c r="I3102">
        <v>22.7</v>
      </c>
      <c r="J3102" t="s">
        <v>120</v>
      </c>
      <c r="K3102" t="s">
        <v>13484</v>
      </c>
      <c r="L3102">
        <v>0.66</v>
      </c>
      <c r="M3102">
        <v>4.49</v>
      </c>
      <c r="N3102">
        <v>0.62</v>
      </c>
      <c r="O3102">
        <v>0.88</v>
      </c>
      <c r="P3102">
        <v>4.5599999999999996</v>
      </c>
      <c r="Q3102">
        <v>-0.66</v>
      </c>
      <c r="R3102">
        <v>4.49</v>
      </c>
      <c r="S3102">
        <v>4.54</v>
      </c>
      <c r="T3102">
        <v>76028</v>
      </c>
      <c r="U3102">
        <v>4.5</v>
      </c>
      <c r="V3102">
        <v>4.5199999999999996</v>
      </c>
      <c r="W3102">
        <v>7.04</v>
      </c>
      <c r="X3102" t="s">
        <v>122</v>
      </c>
      <c r="Y3102" t="s">
        <v>890</v>
      </c>
      <c r="Z3102">
        <v>1.55</v>
      </c>
      <c r="AA3102">
        <v>4.5199999999999996</v>
      </c>
      <c r="AB3102">
        <v>44760</v>
      </c>
      <c r="AC3102">
        <v>31268</v>
      </c>
      <c r="AD3102">
        <v>1.43</v>
      </c>
      <c r="AE3102">
        <v>2602</v>
      </c>
      <c r="AF3102">
        <v>1317</v>
      </c>
      <c r="AG3102" t="s">
        <v>120</v>
      </c>
      <c r="AH3102">
        <v>0</v>
      </c>
      <c r="AI3102" t="s">
        <v>120</v>
      </c>
      <c r="AJ3102">
        <v>11.56</v>
      </c>
      <c r="AK3102" t="s">
        <v>13485</v>
      </c>
      <c r="AL3102">
        <v>0.68</v>
      </c>
      <c r="AM3102">
        <v>2198</v>
      </c>
      <c r="AN3102">
        <v>35</v>
      </c>
      <c r="AO3102">
        <v>2.9999999999999997E-4</v>
      </c>
      <c r="AP3102">
        <v>-3</v>
      </c>
      <c r="AQ3102">
        <v>-0.22</v>
      </c>
      <c r="AR3102">
        <v>-2.82</v>
      </c>
      <c r="AS3102">
        <v>2.74</v>
      </c>
      <c r="AT3102">
        <v>-4.67</v>
      </c>
      <c r="AU3102">
        <v>-16.39</v>
      </c>
      <c r="AV3102">
        <v>1</v>
      </c>
      <c r="AW3102">
        <v>0.66</v>
      </c>
      <c r="AX3102">
        <v>26</v>
      </c>
      <c r="AY3102">
        <v>7.11</v>
      </c>
      <c r="AZ3102">
        <v>7.29</v>
      </c>
      <c r="BA3102">
        <v>0.46</v>
      </c>
      <c r="BB3102" t="s">
        <v>143</v>
      </c>
      <c r="BF3102">
        <v>-0.04</v>
      </c>
      <c r="BG3102">
        <v>-1.1000000000000001</v>
      </c>
      <c r="BH3102">
        <v>-1.54</v>
      </c>
      <c r="BI3102">
        <v>0</v>
      </c>
      <c r="BJ3102">
        <v>20210828</v>
      </c>
      <c r="BK3102">
        <v>20190301</v>
      </c>
      <c r="BL3102">
        <v>44.44</v>
      </c>
      <c r="BM3102" t="s">
        <v>120</v>
      </c>
      <c r="BN3102" t="s">
        <v>120</v>
      </c>
      <c r="BO3102">
        <v>3213.13</v>
      </c>
      <c r="BP3102">
        <v>4.49</v>
      </c>
      <c r="BQ3102">
        <v>260.98</v>
      </c>
      <c r="BR3102">
        <v>0.6</v>
      </c>
      <c r="BS3102">
        <v>91.86</v>
      </c>
      <c r="BT3102">
        <v>0</v>
      </c>
      <c r="BU3102">
        <v>3.46</v>
      </c>
      <c r="BV3102">
        <v>0.8</v>
      </c>
      <c r="BW3102">
        <v>0</v>
      </c>
      <c r="BX3102">
        <v>264.12</v>
      </c>
      <c r="BY3102">
        <v>0</v>
      </c>
      <c r="BZ3102">
        <v>0</v>
      </c>
      <c r="CA3102" t="s">
        <v>120</v>
      </c>
      <c r="CB3102">
        <v>36.909999999999997</v>
      </c>
      <c r="CC3102">
        <v>35.549999999999997</v>
      </c>
      <c r="CD3102">
        <v>0</v>
      </c>
      <c r="CE3102">
        <v>15.96</v>
      </c>
      <c r="CF3102">
        <v>1.79</v>
      </c>
      <c r="CG3102">
        <v>15.93</v>
      </c>
      <c r="CH3102">
        <v>14.19</v>
      </c>
      <c r="CI3102">
        <v>14.18</v>
      </c>
      <c r="CJ3102">
        <v>-0.03</v>
      </c>
      <c r="CK3102">
        <v>14.2</v>
      </c>
      <c r="CL3102">
        <v>117.05</v>
      </c>
      <c r="CM3102">
        <v>-27.21</v>
      </c>
      <c r="CN3102">
        <v>-45.73</v>
      </c>
      <c r="CO3102">
        <v>74357</v>
      </c>
      <c r="CP3102">
        <v>15542</v>
      </c>
      <c r="CQ3102" t="s">
        <v>1333</v>
      </c>
      <c r="CR3102">
        <v>5.21</v>
      </c>
      <c r="CS3102">
        <v>5.65</v>
      </c>
      <c r="CT3102">
        <v>0.76</v>
      </c>
      <c r="CU3102">
        <v>-7.33</v>
      </c>
      <c r="CV3102">
        <v>5.61</v>
      </c>
      <c r="CW3102">
        <v>4.2</v>
      </c>
      <c r="CX3102" t="s">
        <v>966</v>
      </c>
      <c r="CY3102">
        <v>5.87</v>
      </c>
      <c r="CZ3102">
        <v>5.87</v>
      </c>
      <c r="DA3102">
        <v>0.83</v>
      </c>
      <c r="DB3102">
        <v>2.63</v>
      </c>
      <c r="DC3102">
        <v>-0.61</v>
      </c>
      <c r="DD3102">
        <v>8.1199999999999992</v>
      </c>
      <c r="DE3102" t="s">
        <v>11024</v>
      </c>
      <c r="DF3102" t="s">
        <v>120</v>
      </c>
      <c r="DG3102">
        <v>44.88</v>
      </c>
      <c r="DH3102">
        <v>39.880000000000003</v>
      </c>
      <c r="DI3102" t="s">
        <v>120</v>
      </c>
      <c r="DJ3102">
        <v>3381</v>
      </c>
      <c r="DK3102">
        <v>600928</v>
      </c>
      <c r="DL3102" t="s">
        <v>120</v>
      </c>
      <c r="DM3102" t="s">
        <v>120</v>
      </c>
      <c r="DN3102" t="s">
        <v>120</v>
      </c>
    </row>
    <row r="3103" spans="1:118">
      <c r="A3103" t="str">
        <f>"600929"</f>
        <v>600929</v>
      </c>
      <c r="B3103" t="s">
        <v>13486</v>
      </c>
      <c r="C3103">
        <v>-1.55</v>
      </c>
      <c r="D3103">
        <v>0</v>
      </c>
      <c r="E3103">
        <v>0.36</v>
      </c>
      <c r="F3103">
        <v>667</v>
      </c>
      <c r="G3103" t="s">
        <v>13487</v>
      </c>
      <c r="H3103">
        <v>12261.29</v>
      </c>
      <c r="I3103">
        <v>28.73</v>
      </c>
      <c r="J3103" t="s">
        <v>120</v>
      </c>
      <c r="K3103" t="s">
        <v>13488</v>
      </c>
      <c r="L3103">
        <v>1.59</v>
      </c>
      <c r="M3103">
        <v>8.24</v>
      </c>
      <c r="N3103">
        <v>0.99</v>
      </c>
      <c r="O3103">
        <v>2.75</v>
      </c>
      <c r="P3103">
        <v>8.6</v>
      </c>
      <c r="Q3103">
        <v>-2.27</v>
      </c>
      <c r="R3103">
        <v>8.18</v>
      </c>
      <c r="S3103">
        <v>8.4</v>
      </c>
      <c r="T3103">
        <v>146045</v>
      </c>
      <c r="U3103">
        <v>8.25</v>
      </c>
      <c r="V3103">
        <v>8.3699999999999992</v>
      </c>
      <c r="W3103">
        <v>55.72</v>
      </c>
      <c r="X3103" t="s">
        <v>847</v>
      </c>
      <c r="Y3103" t="s">
        <v>594</v>
      </c>
      <c r="Z3103">
        <v>5.0199999999999996</v>
      </c>
      <c r="AA3103">
        <v>8.4</v>
      </c>
      <c r="AB3103">
        <v>75306</v>
      </c>
      <c r="AC3103">
        <v>70739</v>
      </c>
      <c r="AD3103">
        <v>1.06</v>
      </c>
      <c r="AE3103">
        <v>286</v>
      </c>
      <c r="AF3103">
        <v>257</v>
      </c>
      <c r="AG3103" t="s">
        <v>120</v>
      </c>
      <c r="AH3103">
        <v>0.01</v>
      </c>
      <c r="AI3103" t="s">
        <v>120</v>
      </c>
      <c r="AJ3103">
        <v>9.18</v>
      </c>
      <c r="AK3103" t="s">
        <v>9811</v>
      </c>
      <c r="AL3103">
        <v>-0.21</v>
      </c>
      <c r="AM3103">
        <v>2427</v>
      </c>
      <c r="AN3103">
        <v>60</v>
      </c>
      <c r="AO3103">
        <v>6.9999999999999999E-4</v>
      </c>
      <c r="AP3103">
        <v>-1</v>
      </c>
      <c r="AQ3103">
        <v>1.33</v>
      </c>
      <c r="AR3103">
        <v>-3.41</v>
      </c>
      <c r="AS3103">
        <v>11.05</v>
      </c>
      <c r="AT3103">
        <v>26.19</v>
      </c>
      <c r="AU3103">
        <v>50.37</v>
      </c>
      <c r="AV3103">
        <v>1</v>
      </c>
      <c r="AW3103">
        <v>4.45</v>
      </c>
      <c r="AX3103">
        <v>35.19</v>
      </c>
      <c r="AY3103">
        <v>52.57</v>
      </c>
      <c r="AZ3103">
        <v>53.66</v>
      </c>
      <c r="BA3103">
        <v>0.68</v>
      </c>
      <c r="BB3103" t="s">
        <v>184</v>
      </c>
      <c r="BF3103">
        <v>0.31</v>
      </c>
      <c r="BG3103">
        <v>-1.9</v>
      </c>
      <c r="BH3103">
        <v>-4.1900000000000004</v>
      </c>
      <c r="BI3103">
        <v>0.73</v>
      </c>
      <c r="BJ3103">
        <v>20210830</v>
      </c>
      <c r="BK3103">
        <v>20180326</v>
      </c>
      <c r="BL3103">
        <v>9.32</v>
      </c>
      <c r="BM3103" t="s">
        <v>120</v>
      </c>
      <c r="BN3103" t="s">
        <v>120</v>
      </c>
      <c r="BO3103">
        <v>45.85</v>
      </c>
      <c r="BP3103">
        <v>8.24</v>
      </c>
      <c r="BQ3103">
        <v>27.18</v>
      </c>
      <c r="BR3103">
        <v>1.44</v>
      </c>
      <c r="BS3103">
        <v>37.58</v>
      </c>
      <c r="BT3103">
        <v>13.13</v>
      </c>
      <c r="BU3103">
        <v>17.89</v>
      </c>
      <c r="BV3103">
        <v>5.77</v>
      </c>
      <c r="BW3103">
        <v>9.9700000000000006</v>
      </c>
      <c r="BX3103">
        <v>3.9</v>
      </c>
      <c r="BY3103">
        <v>2.31</v>
      </c>
      <c r="BZ3103">
        <v>1.82</v>
      </c>
      <c r="CA3103">
        <v>0</v>
      </c>
      <c r="CB3103">
        <v>6.14</v>
      </c>
      <c r="CC3103">
        <v>11.21</v>
      </c>
      <c r="CD3103">
        <v>7.44</v>
      </c>
      <c r="CE3103">
        <v>0.86</v>
      </c>
      <c r="CF3103">
        <v>0.02</v>
      </c>
      <c r="CG3103">
        <v>0.86</v>
      </c>
      <c r="CH3103">
        <v>0.74</v>
      </c>
      <c r="CI3103">
        <v>0.69</v>
      </c>
      <c r="CJ3103">
        <v>-0.13</v>
      </c>
      <c r="CK3103">
        <v>0.61</v>
      </c>
      <c r="CL3103">
        <v>9.9700000000000006</v>
      </c>
      <c r="CM3103">
        <v>1.1000000000000001</v>
      </c>
      <c r="CN3103">
        <v>-1.32</v>
      </c>
      <c r="CO3103">
        <v>31606</v>
      </c>
      <c r="CP3103">
        <v>10377</v>
      </c>
      <c r="CQ3103" t="s">
        <v>3116</v>
      </c>
      <c r="CR3103">
        <v>4.58</v>
      </c>
      <c r="CS3103">
        <v>16.38</v>
      </c>
      <c r="CT3103">
        <v>2.95</v>
      </c>
      <c r="CU3103">
        <v>69.53</v>
      </c>
      <c r="CV3103">
        <v>6.85</v>
      </c>
      <c r="CW3103">
        <v>0.94</v>
      </c>
      <c r="CX3103" t="s">
        <v>535</v>
      </c>
      <c r="CY3103">
        <v>2.8</v>
      </c>
      <c r="CZ3103">
        <v>2.8</v>
      </c>
      <c r="DA3103">
        <v>0.66</v>
      </c>
      <c r="DB3103">
        <v>1.07</v>
      </c>
      <c r="DC3103">
        <v>0.12</v>
      </c>
      <c r="DD3103">
        <v>59.28</v>
      </c>
      <c r="DE3103" t="s">
        <v>3064</v>
      </c>
      <c r="DF3103">
        <v>33.67</v>
      </c>
      <c r="DG3103">
        <v>7.69</v>
      </c>
      <c r="DH3103">
        <v>6.14</v>
      </c>
      <c r="DI3103">
        <v>0.46</v>
      </c>
      <c r="DJ3103">
        <v>4287</v>
      </c>
      <c r="DK3103">
        <v>600929</v>
      </c>
      <c r="DL3103" t="s">
        <v>120</v>
      </c>
      <c r="DM3103" t="s">
        <v>120</v>
      </c>
      <c r="DN3103" t="s">
        <v>120</v>
      </c>
    </row>
    <row r="3104" spans="1:118">
      <c r="A3104" t="str">
        <f>"600933"</f>
        <v>600933</v>
      </c>
      <c r="B3104" t="s">
        <v>13489</v>
      </c>
      <c r="C3104">
        <v>-2.42</v>
      </c>
      <c r="D3104">
        <v>-7.0000000000000007E-2</v>
      </c>
      <c r="E3104">
        <v>0</v>
      </c>
      <c r="F3104">
        <v>229</v>
      </c>
      <c r="G3104" t="s">
        <v>13428</v>
      </c>
      <c r="H3104">
        <v>3964.61</v>
      </c>
      <c r="I3104">
        <v>1.99</v>
      </c>
      <c r="J3104" t="s">
        <v>120</v>
      </c>
      <c r="K3104" t="s">
        <v>13490</v>
      </c>
      <c r="L3104">
        <v>0.38</v>
      </c>
      <c r="M3104">
        <v>12.11</v>
      </c>
      <c r="N3104">
        <v>1.55</v>
      </c>
      <c r="O3104">
        <v>1.45</v>
      </c>
      <c r="P3104">
        <v>12.59</v>
      </c>
      <c r="Q3104">
        <v>-2.5</v>
      </c>
      <c r="R3104">
        <v>12.1</v>
      </c>
      <c r="S3104">
        <v>12.41</v>
      </c>
      <c r="T3104">
        <v>32261</v>
      </c>
      <c r="U3104">
        <v>12.12</v>
      </c>
      <c r="V3104">
        <v>12.41</v>
      </c>
      <c r="W3104">
        <v>26.3</v>
      </c>
      <c r="X3104" t="s">
        <v>289</v>
      </c>
      <c r="Y3104" t="s">
        <v>585</v>
      </c>
      <c r="Z3104">
        <v>3.95</v>
      </c>
      <c r="AA3104">
        <v>12.29</v>
      </c>
      <c r="AB3104">
        <v>21447</v>
      </c>
      <c r="AC3104">
        <v>10814</v>
      </c>
      <c r="AD3104">
        <v>1.98</v>
      </c>
      <c r="AE3104">
        <v>75</v>
      </c>
      <c r="AF3104">
        <v>44</v>
      </c>
      <c r="AG3104" t="s">
        <v>120</v>
      </c>
      <c r="AH3104">
        <v>0</v>
      </c>
      <c r="AI3104" t="s">
        <v>120</v>
      </c>
      <c r="AJ3104">
        <v>8.57</v>
      </c>
      <c r="AK3104" t="s">
        <v>13491</v>
      </c>
      <c r="AL3104">
        <v>-1.07</v>
      </c>
      <c r="AM3104">
        <v>1934</v>
      </c>
      <c r="AN3104">
        <v>17</v>
      </c>
      <c r="AO3104">
        <v>2.0000000000000001E-4</v>
      </c>
      <c r="AP3104">
        <v>-3</v>
      </c>
      <c r="AQ3104">
        <v>-1.59</v>
      </c>
      <c r="AR3104">
        <v>-6.13</v>
      </c>
      <c r="AS3104">
        <v>-10.57</v>
      </c>
      <c r="AT3104">
        <v>-12.37</v>
      </c>
      <c r="AU3104">
        <v>-21.1</v>
      </c>
      <c r="AV3104">
        <v>3</v>
      </c>
      <c r="AW3104">
        <v>1.47</v>
      </c>
      <c r="AX3104">
        <v>25.43</v>
      </c>
      <c r="AY3104">
        <v>22.19</v>
      </c>
      <c r="AZ3104">
        <v>25.09</v>
      </c>
      <c r="BA3104">
        <v>1.1399999999999999</v>
      </c>
      <c r="BB3104" t="s">
        <v>134</v>
      </c>
      <c r="BF3104">
        <v>-0.97</v>
      </c>
      <c r="BG3104">
        <v>-2.42</v>
      </c>
      <c r="BH3104">
        <v>-3.81</v>
      </c>
      <c r="BI3104">
        <v>0.08</v>
      </c>
      <c r="BJ3104">
        <v>20210819</v>
      </c>
      <c r="BK3104">
        <v>20171117</v>
      </c>
      <c r="BL3104">
        <v>8.61</v>
      </c>
      <c r="BM3104" t="s">
        <v>120</v>
      </c>
      <c r="BN3104" t="s">
        <v>120</v>
      </c>
      <c r="BO3104">
        <v>59.19</v>
      </c>
      <c r="BP3104">
        <v>12.11</v>
      </c>
      <c r="BQ3104">
        <v>43.88</v>
      </c>
      <c r="BR3104">
        <v>0.73</v>
      </c>
      <c r="BS3104">
        <v>24.62</v>
      </c>
      <c r="BT3104">
        <v>33.6</v>
      </c>
      <c r="BU3104">
        <v>16.8</v>
      </c>
      <c r="BV3104">
        <v>3.28</v>
      </c>
      <c r="BW3104">
        <v>8.5299999999999994</v>
      </c>
      <c r="BX3104">
        <v>16.41</v>
      </c>
      <c r="BY3104">
        <v>6.42</v>
      </c>
      <c r="BZ3104">
        <v>7.23</v>
      </c>
      <c r="CA3104" t="s">
        <v>120</v>
      </c>
      <c r="CB3104">
        <v>19.100000000000001</v>
      </c>
      <c r="CC3104">
        <v>15.72</v>
      </c>
      <c r="CD3104">
        <v>11.2</v>
      </c>
      <c r="CE3104">
        <v>2.33</v>
      </c>
      <c r="CF3104">
        <v>0.15</v>
      </c>
      <c r="CG3104">
        <v>2.38</v>
      </c>
      <c r="CH3104">
        <v>2.0499999999999998</v>
      </c>
      <c r="CI3104">
        <v>1.98</v>
      </c>
      <c r="CJ3104">
        <v>-0.3</v>
      </c>
      <c r="CK3104">
        <v>1.5</v>
      </c>
      <c r="CL3104">
        <v>13.77</v>
      </c>
      <c r="CM3104">
        <v>1.75</v>
      </c>
      <c r="CN3104">
        <v>-2.74</v>
      </c>
      <c r="CO3104">
        <v>16380</v>
      </c>
      <c r="CP3104">
        <v>13368</v>
      </c>
      <c r="CQ3104" t="s">
        <v>8739</v>
      </c>
      <c r="CR3104">
        <v>38.97</v>
      </c>
      <c r="CS3104">
        <v>52.7</v>
      </c>
      <c r="CT3104">
        <v>2.38</v>
      </c>
      <c r="CU3104">
        <v>59.55</v>
      </c>
      <c r="CV3104">
        <v>6.63</v>
      </c>
      <c r="CW3104">
        <v>2.0099999999999998</v>
      </c>
      <c r="CX3104" t="s">
        <v>694</v>
      </c>
      <c r="CY3104">
        <v>5.0999999999999996</v>
      </c>
      <c r="CZ3104">
        <v>0</v>
      </c>
      <c r="DA3104">
        <v>2.2200000000000002</v>
      </c>
      <c r="DB3104">
        <v>1.6</v>
      </c>
      <c r="DC3104">
        <v>0.2</v>
      </c>
      <c r="DD3104">
        <v>74.14</v>
      </c>
      <c r="DE3104" t="s">
        <v>4825</v>
      </c>
      <c r="DF3104">
        <v>28.72</v>
      </c>
      <c r="DG3104">
        <v>14.83</v>
      </c>
      <c r="DH3104">
        <v>12.62</v>
      </c>
      <c r="DI3104">
        <v>0.85</v>
      </c>
      <c r="DJ3104">
        <v>5060</v>
      </c>
      <c r="DK3104">
        <v>600933</v>
      </c>
      <c r="DL3104" t="s">
        <v>120</v>
      </c>
      <c r="DM3104" t="s">
        <v>120</v>
      </c>
      <c r="DN3104" t="s">
        <v>120</v>
      </c>
    </row>
    <row r="3105" spans="1:118">
      <c r="A3105" t="str">
        <f>"600936"</f>
        <v>600936</v>
      </c>
      <c r="B3105" t="s">
        <v>13492</v>
      </c>
      <c r="C3105">
        <v>-2.48</v>
      </c>
      <c r="D3105">
        <v>-1.07</v>
      </c>
      <c r="E3105">
        <v>-0.35</v>
      </c>
      <c r="F3105">
        <v>4769</v>
      </c>
      <c r="G3105" t="s">
        <v>13493</v>
      </c>
      <c r="H3105">
        <v>1319.25</v>
      </c>
      <c r="I3105">
        <v>1.55</v>
      </c>
      <c r="J3105" t="s">
        <v>120</v>
      </c>
      <c r="K3105" t="s">
        <v>8524</v>
      </c>
      <c r="L3105">
        <v>0.28000000000000003</v>
      </c>
      <c r="M3105">
        <v>2.75</v>
      </c>
      <c r="N3105">
        <v>0.74</v>
      </c>
      <c r="O3105">
        <v>0.71</v>
      </c>
      <c r="P3105">
        <v>2.84</v>
      </c>
      <c r="Q3105">
        <v>-2.48</v>
      </c>
      <c r="R3105">
        <v>2.75</v>
      </c>
      <c r="S3105">
        <v>2.81</v>
      </c>
      <c r="T3105">
        <v>47044</v>
      </c>
      <c r="U3105">
        <v>2.75</v>
      </c>
      <c r="V3105">
        <v>2.82</v>
      </c>
      <c r="W3105" t="s">
        <v>120</v>
      </c>
      <c r="X3105" t="s">
        <v>584</v>
      </c>
      <c r="Y3105" t="s">
        <v>945</v>
      </c>
      <c r="Z3105">
        <v>3.19</v>
      </c>
      <c r="AA3105">
        <v>2.8</v>
      </c>
      <c r="AB3105">
        <v>25232</v>
      </c>
      <c r="AC3105">
        <v>21812</v>
      </c>
      <c r="AD3105">
        <v>1.1599999999999999</v>
      </c>
      <c r="AE3105">
        <v>375</v>
      </c>
      <c r="AF3105">
        <v>919</v>
      </c>
      <c r="AG3105" t="s">
        <v>120</v>
      </c>
      <c r="AH3105">
        <v>0</v>
      </c>
      <c r="AI3105" t="s">
        <v>120</v>
      </c>
      <c r="AJ3105">
        <v>16.71</v>
      </c>
      <c r="AK3105" t="s">
        <v>8524</v>
      </c>
      <c r="AL3105">
        <v>-1.1399999999999999</v>
      </c>
      <c r="AM3105">
        <v>797</v>
      </c>
      <c r="AN3105">
        <v>59</v>
      </c>
      <c r="AO3105">
        <v>4.0000000000000002E-4</v>
      </c>
      <c r="AP3105">
        <v>-1</v>
      </c>
      <c r="AQ3105">
        <v>1.08</v>
      </c>
      <c r="AR3105">
        <v>-3.51</v>
      </c>
      <c r="AS3105">
        <v>3.39</v>
      </c>
      <c r="AT3105">
        <v>-6.78</v>
      </c>
      <c r="AU3105">
        <v>-17.420000000000002</v>
      </c>
      <c r="AV3105">
        <v>0</v>
      </c>
      <c r="AW3105">
        <v>0.46</v>
      </c>
      <c r="AX3105">
        <v>60.63</v>
      </c>
      <c r="AY3105" t="s">
        <v>120</v>
      </c>
      <c r="AZ3105" t="s">
        <v>120</v>
      </c>
      <c r="BA3105">
        <v>0.39</v>
      </c>
      <c r="BB3105" t="s">
        <v>184</v>
      </c>
      <c r="BF3105">
        <v>-0.56000000000000005</v>
      </c>
      <c r="BG3105">
        <v>-2.14</v>
      </c>
      <c r="BH3105">
        <v>-3.17</v>
      </c>
      <c r="BI3105">
        <v>0</v>
      </c>
      <c r="BJ3105">
        <v>20210827</v>
      </c>
      <c r="BK3105">
        <v>20160815</v>
      </c>
      <c r="BL3105">
        <v>16.71</v>
      </c>
      <c r="BM3105" t="s">
        <v>120</v>
      </c>
      <c r="BN3105" t="s">
        <v>120</v>
      </c>
      <c r="BO3105">
        <v>106.63</v>
      </c>
      <c r="BP3105">
        <v>2.74</v>
      </c>
      <c r="BQ3105">
        <v>34.65</v>
      </c>
      <c r="BR3105" t="s">
        <v>120</v>
      </c>
      <c r="BS3105">
        <v>67.510000000000005</v>
      </c>
      <c r="BT3105">
        <v>30.16</v>
      </c>
      <c r="BU3105">
        <v>51.01</v>
      </c>
      <c r="BV3105">
        <v>2.9</v>
      </c>
      <c r="BW3105">
        <v>31.9</v>
      </c>
      <c r="BX3105">
        <v>11.43</v>
      </c>
      <c r="BY3105">
        <v>4.0999999999999996</v>
      </c>
      <c r="BZ3105">
        <v>6.39</v>
      </c>
      <c r="CA3105">
        <v>0.02</v>
      </c>
      <c r="CB3105">
        <v>10.86</v>
      </c>
      <c r="CC3105">
        <v>8.0500000000000007</v>
      </c>
      <c r="CD3105">
        <v>7.14</v>
      </c>
      <c r="CE3105">
        <v>-1.57</v>
      </c>
      <c r="CF3105">
        <v>0.41</v>
      </c>
      <c r="CG3105">
        <v>-1.53</v>
      </c>
      <c r="CH3105">
        <v>-1.53</v>
      </c>
      <c r="CI3105">
        <v>-1.53</v>
      </c>
      <c r="CJ3105">
        <v>-7.0000000000000007E-2</v>
      </c>
      <c r="CK3105">
        <v>-1.67</v>
      </c>
      <c r="CL3105">
        <v>4.72</v>
      </c>
      <c r="CM3105">
        <v>-0.03</v>
      </c>
      <c r="CN3105">
        <v>1.63</v>
      </c>
      <c r="CO3105">
        <v>48702</v>
      </c>
      <c r="CP3105">
        <v>20803</v>
      </c>
      <c r="CQ3105" t="s">
        <v>2791</v>
      </c>
      <c r="CR3105">
        <v>-170.69</v>
      </c>
      <c r="CS3105">
        <v>1.2</v>
      </c>
      <c r="CT3105">
        <v>1.33</v>
      </c>
      <c r="CU3105">
        <v>-1328.67</v>
      </c>
      <c r="CV3105">
        <v>5.71</v>
      </c>
      <c r="CW3105">
        <v>0</v>
      </c>
      <c r="CX3105" t="s">
        <v>2242</v>
      </c>
      <c r="CY3105">
        <v>2.0699999999999998</v>
      </c>
      <c r="CZ3105">
        <v>0</v>
      </c>
      <c r="DA3105">
        <v>0.65</v>
      </c>
      <c r="DB3105">
        <v>0.28000000000000003</v>
      </c>
      <c r="DC3105">
        <v>0</v>
      </c>
      <c r="DD3105">
        <v>32.49</v>
      </c>
      <c r="DE3105" t="s">
        <v>13494</v>
      </c>
      <c r="DF3105">
        <v>11.28</v>
      </c>
      <c r="DG3105">
        <v>-19.47</v>
      </c>
      <c r="DH3105">
        <v>-18.98</v>
      </c>
      <c r="DI3105">
        <v>0.36</v>
      </c>
      <c r="DJ3105">
        <v>4623</v>
      </c>
      <c r="DK3105">
        <v>600936</v>
      </c>
      <c r="DL3105" t="s">
        <v>120</v>
      </c>
      <c r="DM3105" t="s">
        <v>120</v>
      </c>
      <c r="DN3105" t="s">
        <v>120</v>
      </c>
    </row>
    <row r="3106" spans="1:118">
      <c r="A3106" t="str">
        <f>"600939"</f>
        <v>600939</v>
      </c>
      <c r="B3106" t="s">
        <v>13495</v>
      </c>
      <c r="C3106">
        <v>-1.0900000000000001</v>
      </c>
      <c r="D3106">
        <v>0</v>
      </c>
      <c r="E3106">
        <v>0.27</v>
      </c>
      <c r="F3106">
        <v>198</v>
      </c>
      <c r="G3106" t="s">
        <v>13496</v>
      </c>
      <c r="H3106">
        <v>1520.47</v>
      </c>
      <c r="I3106">
        <v>8.89</v>
      </c>
      <c r="J3106" t="s">
        <v>120</v>
      </c>
      <c r="K3106" t="s">
        <v>13497</v>
      </c>
      <c r="L3106">
        <v>0.23</v>
      </c>
      <c r="M3106">
        <v>3.64</v>
      </c>
      <c r="N3106">
        <v>0.65</v>
      </c>
      <c r="O3106">
        <v>1.63</v>
      </c>
      <c r="P3106">
        <v>3.74</v>
      </c>
      <c r="Q3106">
        <v>-1.36</v>
      </c>
      <c r="R3106">
        <v>3.63</v>
      </c>
      <c r="S3106">
        <v>3.69</v>
      </c>
      <c r="T3106">
        <v>41344</v>
      </c>
      <c r="U3106">
        <v>3.65</v>
      </c>
      <c r="V3106">
        <v>3.68</v>
      </c>
      <c r="W3106">
        <v>16.600000000000001</v>
      </c>
      <c r="X3106" t="s">
        <v>175</v>
      </c>
      <c r="Y3106" t="s">
        <v>883</v>
      </c>
      <c r="Z3106">
        <v>2.99</v>
      </c>
      <c r="AA3106">
        <v>3.68</v>
      </c>
      <c r="AB3106">
        <v>21845</v>
      </c>
      <c r="AC3106">
        <v>19499</v>
      </c>
      <c r="AD3106">
        <v>1.1200000000000001</v>
      </c>
      <c r="AE3106">
        <v>764</v>
      </c>
      <c r="AF3106">
        <v>689</v>
      </c>
      <c r="AG3106" t="s">
        <v>120</v>
      </c>
      <c r="AH3106">
        <v>0.01</v>
      </c>
      <c r="AI3106" t="s">
        <v>120</v>
      </c>
      <c r="AJ3106">
        <v>18.149999999999999</v>
      </c>
      <c r="AK3106" t="s">
        <v>13497</v>
      </c>
      <c r="AL3106">
        <v>0.26</v>
      </c>
      <c r="AM3106">
        <v>1182</v>
      </c>
      <c r="AN3106">
        <v>35</v>
      </c>
      <c r="AO3106">
        <v>2.0000000000000001E-4</v>
      </c>
      <c r="AP3106">
        <v>-1</v>
      </c>
      <c r="AQ3106">
        <v>1.38</v>
      </c>
      <c r="AR3106">
        <v>-3.19</v>
      </c>
      <c r="AS3106">
        <v>8.33</v>
      </c>
      <c r="AT3106">
        <v>3.27</v>
      </c>
      <c r="AU3106">
        <v>-0.41</v>
      </c>
      <c r="AV3106">
        <v>0</v>
      </c>
      <c r="AW3106">
        <v>1.1399999999999999</v>
      </c>
      <c r="AX3106">
        <v>19.93</v>
      </c>
      <c r="AY3106">
        <v>16.309999999999999</v>
      </c>
      <c r="AZ3106">
        <v>25.04</v>
      </c>
      <c r="BA3106">
        <v>0.42</v>
      </c>
      <c r="BB3106" t="s">
        <v>143</v>
      </c>
      <c r="BF3106">
        <v>-0.06</v>
      </c>
      <c r="BG3106">
        <v>-1.36</v>
      </c>
      <c r="BH3106">
        <v>-2.67</v>
      </c>
      <c r="BI3106">
        <v>0.28000000000000003</v>
      </c>
      <c r="BJ3106">
        <v>20210828</v>
      </c>
      <c r="BK3106">
        <v>20170221</v>
      </c>
      <c r="BL3106">
        <v>18.149999999999999</v>
      </c>
      <c r="BM3106" t="s">
        <v>120</v>
      </c>
      <c r="BN3106" t="s">
        <v>120</v>
      </c>
      <c r="BO3106">
        <v>746.76</v>
      </c>
      <c r="BP3106">
        <v>3.64</v>
      </c>
      <c r="BQ3106">
        <v>102.87</v>
      </c>
      <c r="BR3106">
        <v>4</v>
      </c>
      <c r="BS3106">
        <v>85.69</v>
      </c>
      <c r="BT3106">
        <v>604.51</v>
      </c>
      <c r="BU3106">
        <v>13.51</v>
      </c>
      <c r="BV3106">
        <v>69.31</v>
      </c>
      <c r="BW3106">
        <v>551.91</v>
      </c>
      <c r="BX3106">
        <v>42.89</v>
      </c>
      <c r="BY3106">
        <v>114.41</v>
      </c>
      <c r="BZ3106">
        <v>146.91</v>
      </c>
      <c r="CA3106">
        <v>0</v>
      </c>
      <c r="CB3106">
        <v>12.14</v>
      </c>
      <c r="CC3106">
        <v>292.86</v>
      </c>
      <c r="CD3106">
        <v>280.01</v>
      </c>
      <c r="CE3106">
        <v>2.5299999999999998</v>
      </c>
      <c r="CF3106">
        <v>-0.33</v>
      </c>
      <c r="CG3106">
        <v>2.4700000000000002</v>
      </c>
      <c r="CH3106">
        <v>2.0299999999999998</v>
      </c>
      <c r="CI3106">
        <v>1.99</v>
      </c>
      <c r="CJ3106">
        <v>-0.04</v>
      </c>
      <c r="CK3106">
        <v>1.61</v>
      </c>
      <c r="CL3106">
        <v>23.36</v>
      </c>
      <c r="CM3106">
        <v>-21.42</v>
      </c>
      <c r="CN3106">
        <v>-24.68</v>
      </c>
      <c r="CO3106">
        <v>35458</v>
      </c>
      <c r="CP3106">
        <v>10197</v>
      </c>
      <c r="CQ3106" t="s">
        <v>11609</v>
      </c>
      <c r="CR3106">
        <v>254.37</v>
      </c>
      <c r="CS3106">
        <v>17.91</v>
      </c>
      <c r="CT3106">
        <v>0.92</v>
      </c>
      <c r="CU3106">
        <v>-3.08</v>
      </c>
      <c r="CV3106">
        <v>0.23</v>
      </c>
      <c r="CW3106">
        <v>1.22</v>
      </c>
      <c r="CX3106" t="s">
        <v>679</v>
      </c>
      <c r="CY3106">
        <v>3.96</v>
      </c>
      <c r="CZ3106">
        <v>3.96</v>
      </c>
      <c r="DA3106">
        <v>0.67</v>
      </c>
      <c r="DB3106">
        <v>1.29</v>
      </c>
      <c r="DC3106">
        <v>-1.18</v>
      </c>
      <c r="DD3106">
        <v>13.78</v>
      </c>
      <c r="DE3106" t="s">
        <v>5720</v>
      </c>
      <c r="DF3106">
        <v>4.3899999999999997</v>
      </c>
      <c r="DG3106">
        <v>0.86</v>
      </c>
      <c r="DH3106">
        <v>0.68</v>
      </c>
      <c r="DI3106">
        <v>0.32</v>
      </c>
      <c r="DJ3106">
        <v>15774</v>
      </c>
      <c r="DK3106">
        <v>600939</v>
      </c>
      <c r="DL3106" t="s">
        <v>120</v>
      </c>
      <c r="DM3106" t="s">
        <v>120</v>
      </c>
      <c r="DN3106" t="s">
        <v>120</v>
      </c>
    </row>
    <row r="3107" spans="1:118">
      <c r="A3107" t="str">
        <f>"600956"</f>
        <v>600956</v>
      </c>
      <c r="B3107" t="s">
        <v>13498</v>
      </c>
      <c r="C3107">
        <v>2.76</v>
      </c>
      <c r="D3107">
        <v>0</v>
      </c>
      <c r="E3107">
        <v>-1.78</v>
      </c>
      <c r="F3107">
        <v>3533</v>
      </c>
      <c r="G3107" t="s">
        <v>13499</v>
      </c>
      <c r="H3107">
        <v>65127.74</v>
      </c>
      <c r="I3107">
        <v>326.88</v>
      </c>
      <c r="J3107" t="s">
        <v>120</v>
      </c>
      <c r="K3107" t="s">
        <v>13499</v>
      </c>
      <c r="L3107">
        <v>28.81</v>
      </c>
      <c r="M3107">
        <v>16.739999999999998</v>
      </c>
      <c r="N3107">
        <v>1.32</v>
      </c>
      <c r="O3107">
        <v>7</v>
      </c>
      <c r="P3107">
        <v>17.43</v>
      </c>
      <c r="Q3107">
        <v>-2.76</v>
      </c>
      <c r="R3107">
        <v>15.84</v>
      </c>
      <c r="S3107">
        <v>16</v>
      </c>
      <c r="T3107">
        <v>388201</v>
      </c>
      <c r="U3107">
        <v>16.75</v>
      </c>
      <c r="V3107">
        <v>16.29</v>
      </c>
      <c r="W3107">
        <v>20.350000000000001</v>
      </c>
      <c r="X3107" t="s">
        <v>684</v>
      </c>
      <c r="Y3107" t="s">
        <v>602</v>
      </c>
      <c r="Z3107">
        <v>9.76</v>
      </c>
      <c r="AA3107">
        <v>16.78</v>
      </c>
      <c r="AB3107">
        <v>184979</v>
      </c>
      <c r="AC3107">
        <v>203222</v>
      </c>
      <c r="AD3107">
        <v>0.91</v>
      </c>
      <c r="AE3107">
        <v>661</v>
      </c>
      <c r="AF3107">
        <v>425</v>
      </c>
      <c r="AG3107" t="s">
        <v>120</v>
      </c>
      <c r="AH3107">
        <v>0.15</v>
      </c>
      <c r="AI3107" t="s">
        <v>120</v>
      </c>
      <c r="AJ3107">
        <v>1.35</v>
      </c>
      <c r="AK3107" t="s">
        <v>13500</v>
      </c>
      <c r="AL3107">
        <v>4.1100000000000003</v>
      </c>
      <c r="AM3107">
        <v>4488</v>
      </c>
      <c r="AN3107">
        <v>86</v>
      </c>
      <c r="AO3107">
        <v>6.4000000000000003E-3</v>
      </c>
      <c r="AP3107">
        <v>2</v>
      </c>
      <c r="AQ3107">
        <v>9.6199999999999992</v>
      </c>
      <c r="AR3107">
        <v>8.98</v>
      </c>
      <c r="AS3107">
        <v>27.89</v>
      </c>
      <c r="AT3107">
        <v>37.11</v>
      </c>
      <c r="AU3107">
        <v>68.680000000000007</v>
      </c>
      <c r="AV3107">
        <v>21</v>
      </c>
      <c r="AW3107">
        <v>28.81</v>
      </c>
      <c r="AX3107">
        <v>6.7</v>
      </c>
      <c r="AY3107">
        <v>29.21</v>
      </c>
      <c r="AZ3107">
        <v>41.52</v>
      </c>
      <c r="BA3107">
        <v>1.01</v>
      </c>
      <c r="BB3107" t="s">
        <v>184</v>
      </c>
      <c r="BF3107">
        <v>2.99</v>
      </c>
      <c r="BG3107">
        <v>4.62</v>
      </c>
      <c r="BH3107">
        <v>-3.96</v>
      </c>
      <c r="BI3107">
        <v>5.68</v>
      </c>
      <c r="BJ3107">
        <v>20210826</v>
      </c>
      <c r="BK3107">
        <v>20200629</v>
      </c>
      <c r="BL3107">
        <v>38.5</v>
      </c>
      <c r="BM3107" t="s">
        <v>120</v>
      </c>
      <c r="BN3107">
        <v>18.39</v>
      </c>
      <c r="BO3107">
        <v>631.92999999999995</v>
      </c>
      <c r="BP3107">
        <v>16.739999999999998</v>
      </c>
      <c r="BQ3107">
        <v>145.79</v>
      </c>
      <c r="BR3107">
        <v>41.6</v>
      </c>
      <c r="BS3107">
        <v>70.349999999999994</v>
      </c>
      <c r="BT3107">
        <v>111.17</v>
      </c>
      <c r="BU3107">
        <v>312</v>
      </c>
      <c r="BV3107">
        <v>21.78</v>
      </c>
      <c r="BW3107">
        <v>155.44</v>
      </c>
      <c r="BX3107">
        <v>30.56</v>
      </c>
      <c r="BY3107">
        <v>0.55000000000000004</v>
      </c>
      <c r="BZ3107">
        <v>61.31</v>
      </c>
      <c r="CA3107" t="s">
        <v>120</v>
      </c>
      <c r="CB3107">
        <v>23.99</v>
      </c>
      <c r="CC3107">
        <v>84.04</v>
      </c>
      <c r="CD3107">
        <v>54.94</v>
      </c>
      <c r="CE3107">
        <v>22.72</v>
      </c>
      <c r="CF3107">
        <v>1.45</v>
      </c>
      <c r="CG3107">
        <v>22.77</v>
      </c>
      <c r="CH3107">
        <v>19.71</v>
      </c>
      <c r="CI3107">
        <v>15.84</v>
      </c>
      <c r="CJ3107">
        <v>0.45</v>
      </c>
      <c r="CK3107">
        <v>15.8</v>
      </c>
      <c r="CL3107">
        <v>57.56</v>
      </c>
      <c r="CM3107">
        <v>22.65</v>
      </c>
      <c r="CN3107">
        <v>11.63</v>
      </c>
      <c r="CO3107">
        <v>49471</v>
      </c>
      <c r="CP3107">
        <v>2724</v>
      </c>
      <c r="CQ3107" t="s">
        <v>12563</v>
      </c>
      <c r="CR3107">
        <v>67.150000000000006</v>
      </c>
      <c r="CS3107">
        <v>27.6</v>
      </c>
      <c r="CT3107">
        <v>5.0999999999999996</v>
      </c>
      <c r="CU3107">
        <v>28.46</v>
      </c>
      <c r="CV3107">
        <v>7.67</v>
      </c>
      <c r="CW3107">
        <v>0.83</v>
      </c>
      <c r="CX3107" t="s">
        <v>3527</v>
      </c>
      <c r="CY3107">
        <v>3.28</v>
      </c>
      <c r="CZ3107">
        <v>3.28</v>
      </c>
      <c r="DA3107">
        <v>0.62</v>
      </c>
      <c r="DB3107">
        <v>1.5</v>
      </c>
      <c r="DC3107">
        <v>0.59</v>
      </c>
      <c r="DD3107">
        <v>23.07</v>
      </c>
      <c r="DE3107" t="s">
        <v>8203</v>
      </c>
      <c r="DF3107">
        <v>34.630000000000003</v>
      </c>
      <c r="DG3107">
        <v>27.03</v>
      </c>
      <c r="DH3107">
        <v>18.84</v>
      </c>
      <c r="DI3107">
        <v>0.16</v>
      </c>
      <c r="DJ3107">
        <v>2387</v>
      </c>
      <c r="DK3107">
        <v>600956</v>
      </c>
      <c r="DL3107">
        <v>20210816</v>
      </c>
      <c r="DM3107">
        <v>14.34</v>
      </c>
      <c r="DN3107">
        <v>16.739999999999998</v>
      </c>
    </row>
    <row r="3108" spans="1:118">
      <c r="A3108" t="str">
        <f>"600958"</f>
        <v>600958</v>
      </c>
      <c r="B3108" t="s">
        <v>13501</v>
      </c>
      <c r="C3108">
        <v>-3.32</v>
      </c>
      <c r="D3108">
        <v>-0.65</v>
      </c>
      <c r="E3108">
        <v>-0.35</v>
      </c>
      <c r="F3108">
        <v>29286</v>
      </c>
      <c r="G3108" t="s">
        <v>13502</v>
      </c>
      <c r="H3108">
        <v>307694.64</v>
      </c>
      <c r="I3108">
        <v>984.63</v>
      </c>
      <c r="J3108" t="s">
        <v>120</v>
      </c>
      <c r="K3108" t="s">
        <v>13503</v>
      </c>
      <c r="L3108">
        <v>3.2</v>
      </c>
      <c r="M3108">
        <v>16.62</v>
      </c>
      <c r="N3108">
        <v>0.8</v>
      </c>
      <c r="O3108">
        <v>0.64</v>
      </c>
      <c r="P3108">
        <v>17.3</v>
      </c>
      <c r="Q3108">
        <v>-5.47</v>
      </c>
      <c r="R3108">
        <v>16.25</v>
      </c>
      <c r="S3108">
        <v>17.13</v>
      </c>
      <c r="T3108">
        <v>1833510</v>
      </c>
      <c r="U3108">
        <v>16.649999999999999</v>
      </c>
      <c r="V3108">
        <v>17.190000000000001</v>
      </c>
      <c r="W3108">
        <v>21.52</v>
      </c>
      <c r="X3108" t="s">
        <v>616</v>
      </c>
      <c r="Y3108" t="s">
        <v>1510</v>
      </c>
      <c r="Z3108">
        <v>6.11</v>
      </c>
      <c r="AA3108">
        <v>16.78</v>
      </c>
      <c r="AB3108">
        <v>911147</v>
      </c>
      <c r="AC3108">
        <v>922363</v>
      </c>
      <c r="AD3108">
        <v>0.99</v>
      </c>
      <c r="AE3108">
        <v>6930</v>
      </c>
      <c r="AF3108">
        <v>7</v>
      </c>
      <c r="AG3108" t="s">
        <v>120</v>
      </c>
      <c r="AH3108">
        <v>0.01</v>
      </c>
      <c r="AI3108" t="s">
        <v>120</v>
      </c>
      <c r="AJ3108">
        <v>57.37</v>
      </c>
      <c r="AK3108" t="s">
        <v>13504</v>
      </c>
      <c r="AL3108">
        <v>-1.97</v>
      </c>
      <c r="AM3108">
        <v>4743</v>
      </c>
      <c r="AN3108">
        <v>387</v>
      </c>
      <c r="AO3108">
        <v>6.9999999999999999E-4</v>
      </c>
      <c r="AP3108">
        <v>-3</v>
      </c>
      <c r="AQ3108">
        <v>-0.17</v>
      </c>
      <c r="AR3108">
        <v>-6.41</v>
      </c>
      <c r="AS3108">
        <v>2.4700000000000002</v>
      </c>
      <c r="AT3108">
        <v>74.58</v>
      </c>
      <c r="AU3108">
        <v>46.04</v>
      </c>
      <c r="AV3108">
        <v>6</v>
      </c>
      <c r="AW3108">
        <v>4.37</v>
      </c>
      <c r="AX3108">
        <v>70.38</v>
      </c>
      <c r="AY3108">
        <v>30.85</v>
      </c>
      <c r="AZ3108">
        <v>44.15</v>
      </c>
      <c r="BA3108">
        <v>2.4900000000000002</v>
      </c>
      <c r="BB3108" t="s">
        <v>143</v>
      </c>
      <c r="BF3108">
        <v>-2.38</v>
      </c>
      <c r="BG3108">
        <v>-2.98</v>
      </c>
      <c r="BH3108">
        <v>-3.93</v>
      </c>
      <c r="BI3108">
        <v>2.2799999999999998</v>
      </c>
      <c r="BJ3108">
        <v>20210831</v>
      </c>
      <c r="BK3108">
        <v>20150323</v>
      </c>
      <c r="BL3108">
        <v>69.94</v>
      </c>
      <c r="BM3108" t="s">
        <v>120</v>
      </c>
      <c r="BN3108">
        <v>10.27</v>
      </c>
      <c r="BO3108">
        <v>3112.83</v>
      </c>
      <c r="BP3108">
        <v>16.62</v>
      </c>
      <c r="BQ3108">
        <v>610.48</v>
      </c>
      <c r="BR3108">
        <v>0.23</v>
      </c>
      <c r="BS3108">
        <v>80.38</v>
      </c>
      <c r="BT3108">
        <v>0</v>
      </c>
      <c r="BU3108">
        <v>20.47</v>
      </c>
      <c r="BV3108">
        <v>2.09</v>
      </c>
      <c r="BW3108">
        <v>0</v>
      </c>
      <c r="BX3108">
        <v>744.49</v>
      </c>
      <c r="BY3108">
        <v>0</v>
      </c>
      <c r="BZ3108">
        <v>0</v>
      </c>
      <c r="CA3108" t="s">
        <v>120</v>
      </c>
      <c r="CB3108">
        <v>283.11</v>
      </c>
      <c r="CC3108">
        <v>132.77000000000001</v>
      </c>
      <c r="CD3108">
        <v>0</v>
      </c>
      <c r="CE3108">
        <v>30.36</v>
      </c>
      <c r="CF3108">
        <v>25.76</v>
      </c>
      <c r="CG3108">
        <v>31.29</v>
      </c>
      <c r="CH3108">
        <v>26.98</v>
      </c>
      <c r="CI3108">
        <v>27</v>
      </c>
      <c r="CJ3108">
        <v>-0.56999999999999995</v>
      </c>
      <c r="CK3108">
        <v>26.29</v>
      </c>
      <c r="CL3108">
        <v>80.599999999999994</v>
      </c>
      <c r="CM3108">
        <v>61.95</v>
      </c>
      <c r="CN3108">
        <v>94.85</v>
      </c>
      <c r="CO3108">
        <v>156850</v>
      </c>
      <c r="CP3108">
        <v>26771</v>
      </c>
      <c r="CQ3108" t="s">
        <v>13505</v>
      </c>
      <c r="CR3108">
        <v>76.95</v>
      </c>
      <c r="CS3108">
        <v>37.94</v>
      </c>
      <c r="CT3108">
        <v>2.0699999999999998</v>
      </c>
      <c r="CU3108">
        <v>18.760000000000002</v>
      </c>
      <c r="CV3108">
        <v>8.75</v>
      </c>
      <c r="CW3108">
        <v>1.24</v>
      </c>
      <c r="CX3108" t="s">
        <v>709</v>
      </c>
      <c r="CY3108">
        <v>8.01</v>
      </c>
      <c r="CZ3108">
        <v>8.01</v>
      </c>
      <c r="DA3108">
        <v>4.05</v>
      </c>
      <c r="DB3108">
        <v>1.1499999999999999</v>
      </c>
      <c r="DC3108">
        <v>0.89</v>
      </c>
      <c r="DD3108">
        <v>19.61</v>
      </c>
      <c r="DE3108" t="s">
        <v>3697</v>
      </c>
      <c r="DF3108" t="s">
        <v>120</v>
      </c>
      <c r="DG3108">
        <v>22.87</v>
      </c>
      <c r="DH3108">
        <v>20.34</v>
      </c>
      <c r="DI3108" t="s">
        <v>120</v>
      </c>
      <c r="DJ3108">
        <v>6339</v>
      </c>
      <c r="DK3108">
        <v>600958</v>
      </c>
      <c r="DL3108">
        <v>20210804</v>
      </c>
      <c r="DM3108">
        <v>12.85</v>
      </c>
      <c r="DN3108">
        <v>29.34</v>
      </c>
    </row>
    <row r="3109" spans="1:118">
      <c r="A3109" t="str">
        <f>"600959"</f>
        <v>600959</v>
      </c>
      <c r="B3109" t="s">
        <v>13506</v>
      </c>
      <c r="C3109">
        <v>-0.96</v>
      </c>
      <c r="D3109">
        <v>0</v>
      </c>
      <c r="E3109">
        <v>0.32</v>
      </c>
      <c r="F3109">
        <v>5979</v>
      </c>
      <c r="G3109" t="s">
        <v>13507</v>
      </c>
      <c r="H3109">
        <v>8781.0499999999993</v>
      </c>
      <c r="I3109">
        <v>24.71</v>
      </c>
      <c r="J3109" t="s">
        <v>120</v>
      </c>
      <c r="K3109" t="s">
        <v>13508</v>
      </c>
      <c r="L3109">
        <v>0.62</v>
      </c>
      <c r="M3109">
        <v>3.08</v>
      </c>
      <c r="N3109">
        <v>1</v>
      </c>
      <c r="O3109">
        <v>1.29</v>
      </c>
      <c r="P3109">
        <v>3.15</v>
      </c>
      <c r="Q3109">
        <v>-0.96</v>
      </c>
      <c r="R3109">
        <v>3.08</v>
      </c>
      <c r="S3109">
        <v>3.12</v>
      </c>
      <c r="T3109">
        <v>281682</v>
      </c>
      <c r="U3109">
        <v>3.09</v>
      </c>
      <c r="V3109">
        <v>3.11</v>
      </c>
      <c r="W3109">
        <v>60.04</v>
      </c>
      <c r="X3109" t="s">
        <v>584</v>
      </c>
      <c r="Y3109" t="s">
        <v>319</v>
      </c>
      <c r="Z3109">
        <v>2.25</v>
      </c>
      <c r="AA3109">
        <v>3.12</v>
      </c>
      <c r="AB3109">
        <v>180366</v>
      </c>
      <c r="AC3109">
        <v>101316</v>
      </c>
      <c r="AD3109">
        <v>1.78</v>
      </c>
      <c r="AE3109">
        <v>10620</v>
      </c>
      <c r="AF3109">
        <v>1912</v>
      </c>
      <c r="AG3109" t="s">
        <v>120</v>
      </c>
      <c r="AH3109">
        <v>0</v>
      </c>
      <c r="AI3109" t="s">
        <v>120</v>
      </c>
      <c r="AJ3109">
        <v>45.27</v>
      </c>
      <c r="AK3109" t="s">
        <v>13509</v>
      </c>
      <c r="AL3109">
        <v>0.38</v>
      </c>
      <c r="AM3109">
        <v>2561</v>
      </c>
      <c r="AN3109">
        <v>110</v>
      </c>
      <c r="AO3109">
        <v>2.0000000000000001E-4</v>
      </c>
      <c r="AP3109">
        <v>-1</v>
      </c>
      <c r="AQ3109">
        <v>0.65</v>
      </c>
      <c r="AR3109">
        <v>-2.21</v>
      </c>
      <c r="AS3109">
        <v>5.48</v>
      </c>
      <c r="AT3109">
        <v>0.65</v>
      </c>
      <c r="AU3109">
        <v>-6.09</v>
      </c>
      <c r="AV3109">
        <v>0</v>
      </c>
      <c r="AW3109">
        <v>1.56</v>
      </c>
      <c r="AX3109">
        <v>36.18</v>
      </c>
      <c r="AY3109">
        <v>113.11</v>
      </c>
      <c r="AZ3109">
        <v>92.24</v>
      </c>
      <c r="BA3109">
        <v>0.38</v>
      </c>
      <c r="BB3109" t="s">
        <v>143</v>
      </c>
      <c r="BF3109">
        <v>0.24</v>
      </c>
      <c r="BG3109">
        <v>-1.28</v>
      </c>
      <c r="BH3109">
        <v>-2.2200000000000002</v>
      </c>
      <c r="BI3109">
        <v>0</v>
      </c>
      <c r="BJ3109">
        <v>20210831</v>
      </c>
      <c r="BK3109">
        <v>20150428</v>
      </c>
      <c r="BL3109">
        <v>50.01</v>
      </c>
      <c r="BM3109" t="s">
        <v>120</v>
      </c>
      <c r="BN3109" t="s">
        <v>120</v>
      </c>
      <c r="BO3109">
        <v>348.5</v>
      </c>
      <c r="BP3109">
        <v>3.08</v>
      </c>
      <c r="BQ3109">
        <v>216.11</v>
      </c>
      <c r="BR3109">
        <v>7.45</v>
      </c>
      <c r="BS3109">
        <v>35.85</v>
      </c>
      <c r="BT3109">
        <v>100.64</v>
      </c>
      <c r="BU3109">
        <v>189.26</v>
      </c>
      <c r="BV3109">
        <v>5.5</v>
      </c>
      <c r="BW3109">
        <v>114.19</v>
      </c>
      <c r="BX3109">
        <v>36.130000000000003</v>
      </c>
      <c r="BY3109">
        <v>11.83</v>
      </c>
      <c r="BZ3109">
        <v>10.31</v>
      </c>
      <c r="CA3109">
        <v>6.16</v>
      </c>
      <c r="CB3109">
        <v>131.41</v>
      </c>
      <c r="CC3109">
        <v>36.700000000000003</v>
      </c>
      <c r="CD3109">
        <v>27.58</v>
      </c>
      <c r="CE3109">
        <v>0</v>
      </c>
      <c r="CF3109">
        <v>0.78</v>
      </c>
      <c r="CG3109">
        <v>1.61</v>
      </c>
      <c r="CH3109">
        <v>1.6</v>
      </c>
      <c r="CI3109">
        <v>1.28</v>
      </c>
      <c r="CJ3109">
        <v>-0.03</v>
      </c>
      <c r="CK3109">
        <v>-1</v>
      </c>
      <c r="CL3109">
        <v>26.82</v>
      </c>
      <c r="CM3109">
        <v>5.84</v>
      </c>
      <c r="CN3109">
        <v>2.2000000000000002</v>
      </c>
      <c r="CO3109">
        <v>116383</v>
      </c>
      <c r="CP3109">
        <v>15547</v>
      </c>
      <c r="CQ3109" t="s">
        <v>199</v>
      </c>
      <c r="CR3109">
        <v>-19.52</v>
      </c>
      <c r="CS3109">
        <v>4.8499999999999996</v>
      </c>
      <c r="CT3109">
        <v>0.71</v>
      </c>
      <c r="CU3109">
        <v>26.35</v>
      </c>
      <c r="CV3109">
        <v>4.2</v>
      </c>
      <c r="CW3109">
        <v>0.96</v>
      </c>
      <c r="CX3109" t="s">
        <v>702</v>
      </c>
      <c r="CY3109">
        <v>4.32</v>
      </c>
      <c r="CZ3109">
        <v>0</v>
      </c>
      <c r="DA3109">
        <v>2.63</v>
      </c>
      <c r="DB3109">
        <v>0.54</v>
      </c>
      <c r="DC3109">
        <v>0.12</v>
      </c>
      <c r="DD3109">
        <v>62.01</v>
      </c>
      <c r="DE3109" t="s">
        <v>4476</v>
      </c>
      <c r="DF3109">
        <v>24.85</v>
      </c>
      <c r="DG3109">
        <v>0.01</v>
      </c>
      <c r="DH3109">
        <v>3.5</v>
      </c>
      <c r="DI3109">
        <v>0.09</v>
      </c>
      <c r="DJ3109">
        <v>18338</v>
      </c>
      <c r="DK3109">
        <v>600959</v>
      </c>
      <c r="DL3109" t="s">
        <v>120</v>
      </c>
      <c r="DM3109" t="s">
        <v>120</v>
      </c>
      <c r="DN3109" t="s">
        <v>120</v>
      </c>
    </row>
    <row r="3110" spans="1:118">
      <c r="A3110" t="str">
        <f>"600960"</f>
        <v>600960</v>
      </c>
      <c r="B3110" t="s">
        <v>13510</v>
      </c>
      <c r="C3110">
        <v>-1.18</v>
      </c>
      <c r="D3110">
        <v>0</v>
      </c>
      <c r="E3110">
        <v>0.95</v>
      </c>
      <c r="F3110">
        <v>3477</v>
      </c>
      <c r="G3110" t="s">
        <v>530</v>
      </c>
      <c r="H3110">
        <v>9200.4599999999991</v>
      </c>
      <c r="I3110">
        <v>92.48</v>
      </c>
      <c r="J3110" t="s">
        <v>120</v>
      </c>
      <c r="K3110" t="s">
        <v>13174</v>
      </c>
      <c r="L3110">
        <v>2.29</v>
      </c>
      <c r="M3110">
        <v>4.17</v>
      </c>
      <c r="N3110">
        <v>0.95</v>
      </c>
      <c r="O3110">
        <v>2.13</v>
      </c>
      <c r="P3110">
        <v>4.3099999999999996</v>
      </c>
      <c r="Q3110">
        <v>-1.9</v>
      </c>
      <c r="R3110">
        <v>4.1399999999999997</v>
      </c>
      <c r="S3110">
        <v>4.26</v>
      </c>
      <c r="T3110">
        <v>217610</v>
      </c>
      <c r="U3110">
        <v>4.18</v>
      </c>
      <c r="V3110">
        <v>4.22</v>
      </c>
      <c r="W3110">
        <v>137.97999999999999</v>
      </c>
      <c r="X3110" t="s">
        <v>289</v>
      </c>
      <c r="Y3110" t="s">
        <v>638</v>
      </c>
      <c r="Z3110">
        <v>4.03</v>
      </c>
      <c r="AA3110">
        <v>4.2300000000000004</v>
      </c>
      <c r="AB3110">
        <v>110965</v>
      </c>
      <c r="AC3110">
        <v>106645</v>
      </c>
      <c r="AD3110">
        <v>1.04</v>
      </c>
      <c r="AE3110">
        <v>1527</v>
      </c>
      <c r="AF3110">
        <v>682</v>
      </c>
      <c r="AG3110" t="s">
        <v>120</v>
      </c>
      <c r="AH3110">
        <v>0.04</v>
      </c>
      <c r="AI3110" t="s">
        <v>120</v>
      </c>
      <c r="AJ3110">
        <v>9.51</v>
      </c>
      <c r="AK3110" t="s">
        <v>13174</v>
      </c>
      <c r="AL3110">
        <v>0.16</v>
      </c>
      <c r="AM3110">
        <v>1992</v>
      </c>
      <c r="AN3110">
        <v>109</v>
      </c>
      <c r="AO3110">
        <v>1.1000000000000001E-3</v>
      </c>
      <c r="AP3110">
        <v>-1</v>
      </c>
      <c r="AQ3110">
        <v>1.93</v>
      </c>
      <c r="AR3110">
        <v>-1.42</v>
      </c>
      <c r="AS3110">
        <v>10.9</v>
      </c>
      <c r="AT3110">
        <v>-2.8</v>
      </c>
      <c r="AU3110">
        <v>-9.94</v>
      </c>
      <c r="AV3110">
        <v>11</v>
      </c>
      <c r="AW3110">
        <v>4.1399999999999997</v>
      </c>
      <c r="AX3110">
        <v>55.24</v>
      </c>
      <c r="AY3110">
        <v>38.17</v>
      </c>
      <c r="AZ3110">
        <v>57.31</v>
      </c>
      <c r="BA3110">
        <v>0.98</v>
      </c>
      <c r="BB3110" t="s">
        <v>240</v>
      </c>
      <c r="BF3110">
        <v>0.19</v>
      </c>
      <c r="BG3110">
        <v>-2.11</v>
      </c>
      <c r="BH3110">
        <v>-3.25</v>
      </c>
      <c r="BI3110">
        <v>0.72</v>
      </c>
      <c r="BJ3110">
        <v>20210831</v>
      </c>
      <c r="BK3110">
        <v>20040407</v>
      </c>
      <c r="BL3110">
        <v>9.51</v>
      </c>
      <c r="BM3110" t="s">
        <v>120</v>
      </c>
      <c r="BN3110" t="s">
        <v>120</v>
      </c>
      <c r="BO3110">
        <v>94.59</v>
      </c>
      <c r="BP3110">
        <v>4.17</v>
      </c>
      <c r="BQ3110">
        <v>54.97</v>
      </c>
      <c r="BR3110">
        <v>2.44</v>
      </c>
      <c r="BS3110">
        <v>39.31</v>
      </c>
      <c r="BT3110">
        <v>44.12</v>
      </c>
      <c r="BU3110">
        <v>20.32</v>
      </c>
      <c r="BV3110">
        <v>2.99</v>
      </c>
      <c r="BW3110">
        <v>29.22</v>
      </c>
      <c r="BX3110">
        <v>16.059999999999999</v>
      </c>
      <c r="BY3110">
        <v>9.3000000000000007</v>
      </c>
      <c r="BZ3110">
        <v>9.41</v>
      </c>
      <c r="CA3110" t="s">
        <v>120</v>
      </c>
      <c r="CB3110">
        <v>26.59</v>
      </c>
      <c r="CC3110">
        <v>24.82</v>
      </c>
      <c r="CD3110">
        <v>22.31</v>
      </c>
      <c r="CE3110">
        <v>0.28000000000000003</v>
      </c>
      <c r="CF3110">
        <v>0.38</v>
      </c>
      <c r="CG3110">
        <v>0.28999999999999998</v>
      </c>
      <c r="CH3110">
        <v>0.16</v>
      </c>
      <c r="CI3110">
        <v>0.14000000000000001</v>
      </c>
      <c r="CJ3110">
        <v>-0.05</v>
      </c>
      <c r="CK3110">
        <v>0.05</v>
      </c>
      <c r="CL3110">
        <v>10.25</v>
      </c>
      <c r="CM3110">
        <v>0.87</v>
      </c>
      <c r="CN3110">
        <v>-5.93</v>
      </c>
      <c r="CO3110">
        <v>48981</v>
      </c>
      <c r="CP3110">
        <v>10720</v>
      </c>
      <c r="CQ3110" t="s">
        <v>3511</v>
      </c>
      <c r="CR3110">
        <v>169.22</v>
      </c>
      <c r="CS3110">
        <v>16.96</v>
      </c>
      <c r="CT3110">
        <v>0.72</v>
      </c>
      <c r="CU3110">
        <v>45.44</v>
      </c>
      <c r="CV3110">
        <v>1.6</v>
      </c>
      <c r="CW3110">
        <v>0.24</v>
      </c>
      <c r="CX3110" t="s">
        <v>1481</v>
      </c>
      <c r="CY3110">
        <v>5.78</v>
      </c>
      <c r="CZ3110">
        <v>0</v>
      </c>
      <c r="DA3110">
        <v>2.8</v>
      </c>
      <c r="DB3110">
        <v>1.08</v>
      </c>
      <c r="DC3110">
        <v>0.09</v>
      </c>
      <c r="DD3110">
        <v>58.11</v>
      </c>
      <c r="DE3110" t="s">
        <v>7692</v>
      </c>
      <c r="DF3110">
        <v>10.09</v>
      </c>
      <c r="DG3110">
        <v>1.1200000000000001</v>
      </c>
      <c r="DH3110">
        <v>0.57999999999999996</v>
      </c>
      <c r="DI3110">
        <v>0.56999999999999995</v>
      </c>
      <c r="DJ3110">
        <v>5296</v>
      </c>
      <c r="DK3110">
        <v>600960</v>
      </c>
      <c r="DL3110" t="s">
        <v>120</v>
      </c>
      <c r="DM3110" t="s">
        <v>120</v>
      </c>
      <c r="DN3110" t="s">
        <v>120</v>
      </c>
    </row>
    <row r="3111" spans="1:118">
      <c r="A3111" t="str">
        <f>"600961"</f>
        <v>600961</v>
      </c>
      <c r="B3111" t="s">
        <v>13511</v>
      </c>
      <c r="C3111">
        <v>-6.31</v>
      </c>
      <c r="D3111">
        <v>0</v>
      </c>
      <c r="E3111">
        <v>1.5</v>
      </c>
      <c r="F3111">
        <v>1774</v>
      </c>
      <c r="G3111" t="s">
        <v>6188</v>
      </c>
      <c r="H3111">
        <v>33906.89</v>
      </c>
      <c r="I3111">
        <v>252.59</v>
      </c>
      <c r="J3111" t="s">
        <v>120</v>
      </c>
      <c r="K3111" t="s">
        <v>6096</v>
      </c>
      <c r="L3111">
        <v>5.4</v>
      </c>
      <c r="M3111">
        <v>11.28</v>
      </c>
      <c r="N3111">
        <v>0.71</v>
      </c>
      <c r="O3111">
        <v>3.07</v>
      </c>
      <c r="P3111">
        <v>12.41</v>
      </c>
      <c r="Q3111">
        <v>-7.81</v>
      </c>
      <c r="R3111">
        <v>11.1</v>
      </c>
      <c r="S3111">
        <v>12.22</v>
      </c>
      <c r="T3111">
        <v>284776</v>
      </c>
      <c r="U3111">
        <v>11.28</v>
      </c>
      <c r="V3111">
        <v>12.04</v>
      </c>
      <c r="W3111">
        <v>24.47</v>
      </c>
      <c r="X3111" t="s">
        <v>439</v>
      </c>
      <c r="Y3111" t="s">
        <v>594</v>
      </c>
      <c r="Z3111">
        <v>10.88</v>
      </c>
      <c r="AA3111">
        <v>11.91</v>
      </c>
      <c r="AB3111">
        <v>146220</v>
      </c>
      <c r="AC3111">
        <v>138556</v>
      </c>
      <c r="AD3111">
        <v>1.06</v>
      </c>
      <c r="AE3111">
        <v>17</v>
      </c>
      <c r="AF3111">
        <v>328</v>
      </c>
      <c r="AG3111" t="s">
        <v>120</v>
      </c>
      <c r="AH3111">
        <v>7.0000000000000007E-2</v>
      </c>
      <c r="AI3111" t="s">
        <v>120</v>
      </c>
      <c r="AJ3111">
        <v>5.27</v>
      </c>
      <c r="AK3111" t="s">
        <v>6096</v>
      </c>
      <c r="AL3111">
        <v>-4.97</v>
      </c>
      <c r="AM3111">
        <v>3965</v>
      </c>
      <c r="AN3111">
        <v>72</v>
      </c>
      <c r="AO3111">
        <v>1.4E-3</v>
      </c>
      <c r="AP3111">
        <v>-1</v>
      </c>
      <c r="AQ3111">
        <v>0.33</v>
      </c>
      <c r="AR3111">
        <v>-12.42</v>
      </c>
      <c r="AS3111">
        <v>30.55</v>
      </c>
      <c r="AT3111">
        <v>83.11</v>
      </c>
      <c r="AU3111">
        <v>54.94</v>
      </c>
      <c r="AV3111">
        <v>9</v>
      </c>
      <c r="AW3111">
        <v>9.4700000000000006</v>
      </c>
      <c r="AX3111">
        <v>57.04</v>
      </c>
      <c r="AY3111">
        <v>34.06</v>
      </c>
      <c r="AZ3111">
        <v>39.979999999999997</v>
      </c>
      <c r="BA3111">
        <v>0.71</v>
      </c>
      <c r="BB3111" t="s">
        <v>143</v>
      </c>
      <c r="BF3111">
        <v>-1.1100000000000001</v>
      </c>
      <c r="BG3111">
        <v>-7.69</v>
      </c>
      <c r="BH3111">
        <v>-9.11</v>
      </c>
      <c r="BI3111">
        <v>1.62</v>
      </c>
      <c r="BJ3111">
        <v>20210817</v>
      </c>
      <c r="BK3111">
        <v>20040830</v>
      </c>
      <c r="BL3111">
        <v>5.27</v>
      </c>
      <c r="BM3111" t="s">
        <v>120</v>
      </c>
      <c r="BN3111" t="s">
        <v>120</v>
      </c>
      <c r="BO3111">
        <v>57.95</v>
      </c>
      <c r="BP3111">
        <v>11.27</v>
      </c>
      <c r="BQ3111">
        <v>2.34</v>
      </c>
      <c r="BR3111">
        <v>6.27</v>
      </c>
      <c r="BS3111">
        <v>85.15</v>
      </c>
      <c r="BT3111">
        <v>22.52</v>
      </c>
      <c r="BU3111">
        <v>30.92</v>
      </c>
      <c r="BV3111">
        <v>1.36</v>
      </c>
      <c r="BW3111">
        <v>29.88</v>
      </c>
      <c r="BX3111">
        <v>3.67</v>
      </c>
      <c r="BY3111">
        <v>10.31</v>
      </c>
      <c r="BZ3111">
        <v>2</v>
      </c>
      <c r="CA3111" t="s">
        <v>120</v>
      </c>
      <c r="CB3111">
        <v>8.67</v>
      </c>
      <c r="CC3111">
        <v>86.43</v>
      </c>
      <c r="CD3111">
        <v>82.71</v>
      </c>
      <c r="CE3111">
        <v>1.95</v>
      </c>
      <c r="CF3111">
        <v>0.14000000000000001</v>
      </c>
      <c r="CG3111">
        <v>2</v>
      </c>
      <c r="CH3111">
        <v>1.64</v>
      </c>
      <c r="CI3111">
        <v>1.22</v>
      </c>
      <c r="CJ3111">
        <v>-0.76</v>
      </c>
      <c r="CK3111">
        <v>0.78</v>
      </c>
      <c r="CL3111">
        <v>-27.63</v>
      </c>
      <c r="CM3111">
        <v>0.87</v>
      </c>
      <c r="CN3111">
        <v>1.37</v>
      </c>
      <c r="CO3111">
        <v>36480</v>
      </c>
      <c r="CP3111">
        <v>8247</v>
      </c>
      <c r="CQ3111" t="s">
        <v>6309</v>
      </c>
      <c r="CR3111">
        <v>29.32</v>
      </c>
      <c r="CS3111">
        <v>18.73</v>
      </c>
      <c r="CT3111">
        <v>-4.7</v>
      </c>
      <c r="CU3111">
        <v>68.28</v>
      </c>
      <c r="CV3111">
        <v>0.69</v>
      </c>
      <c r="CW3111">
        <v>0</v>
      </c>
      <c r="CX3111" t="s">
        <v>1091</v>
      </c>
      <c r="CY3111">
        <v>-2.4</v>
      </c>
      <c r="CZ3111">
        <v>-2.4</v>
      </c>
      <c r="DA3111">
        <v>1.64</v>
      </c>
      <c r="DB3111">
        <v>-5.24</v>
      </c>
      <c r="DC3111">
        <v>0.17</v>
      </c>
      <c r="DD3111">
        <v>4.04</v>
      </c>
      <c r="DE3111" t="s">
        <v>13512</v>
      </c>
      <c r="DF3111">
        <v>4.3</v>
      </c>
      <c r="DG3111">
        <v>2.2599999999999998</v>
      </c>
      <c r="DH3111">
        <v>1.41</v>
      </c>
      <c r="DI3111">
        <v>0.32</v>
      </c>
      <c r="DJ3111">
        <v>2564</v>
      </c>
      <c r="DK3111">
        <v>600961</v>
      </c>
      <c r="DL3111">
        <v>20210825</v>
      </c>
      <c r="DM3111">
        <v>11</v>
      </c>
      <c r="DN3111">
        <v>2.5499999999999998</v>
      </c>
    </row>
    <row r="3112" spans="1:118">
      <c r="A3112" t="str">
        <f>"600962"</f>
        <v>600962</v>
      </c>
      <c r="B3112" t="s">
        <v>13513</v>
      </c>
      <c r="C3112">
        <v>1.45</v>
      </c>
      <c r="D3112">
        <v>0</v>
      </c>
      <c r="E3112">
        <v>0.34</v>
      </c>
      <c r="F3112">
        <v>731</v>
      </c>
      <c r="G3112" t="s">
        <v>1848</v>
      </c>
      <c r="H3112">
        <v>6593.39</v>
      </c>
      <c r="I3112">
        <v>3.59</v>
      </c>
      <c r="J3112" t="s">
        <v>120</v>
      </c>
      <c r="K3112" t="s">
        <v>12737</v>
      </c>
      <c r="L3112">
        <v>2.83</v>
      </c>
      <c r="M3112">
        <v>9.08</v>
      </c>
      <c r="N3112">
        <v>1.6</v>
      </c>
      <c r="O3112">
        <v>5.03</v>
      </c>
      <c r="P3112">
        <v>9.4</v>
      </c>
      <c r="Q3112">
        <v>0</v>
      </c>
      <c r="R3112">
        <v>8.9499999999999993</v>
      </c>
      <c r="S3112">
        <v>8.98</v>
      </c>
      <c r="T3112">
        <v>72010</v>
      </c>
      <c r="U3112">
        <v>9.08</v>
      </c>
      <c r="V3112">
        <v>8.9499999999999993</v>
      </c>
      <c r="W3112">
        <v>208.31</v>
      </c>
      <c r="X3112" t="s">
        <v>2180</v>
      </c>
      <c r="Y3112" t="s">
        <v>158</v>
      </c>
      <c r="Z3112">
        <v>5.03</v>
      </c>
      <c r="AA3112">
        <v>9.16</v>
      </c>
      <c r="AB3112">
        <v>32004</v>
      </c>
      <c r="AC3112">
        <v>40006</v>
      </c>
      <c r="AD3112">
        <v>0.8</v>
      </c>
      <c r="AE3112">
        <v>202</v>
      </c>
      <c r="AF3112">
        <v>112</v>
      </c>
      <c r="AG3112" t="s">
        <v>120</v>
      </c>
      <c r="AH3112">
        <v>0</v>
      </c>
      <c r="AI3112" t="s">
        <v>120</v>
      </c>
      <c r="AJ3112">
        <v>2.54</v>
      </c>
      <c r="AK3112" t="s">
        <v>9278</v>
      </c>
      <c r="AL3112">
        <v>2.8</v>
      </c>
      <c r="AM3112">
        <v>2296</v>
      </c>
      <c r="AN3112">
        <v>31</v>
      </c>
      <c r="AO3112">
        <v>1.1999999999999999E-3</v>
      </c>
      <c r="AP3112">
        <v>9</v>
      </c>
      <c r="AQ3112">
        <v>2.4</v>
      </c>
      <c r="AR3112">
        <v>4.5999999999999996</v>
      </c>
      <c r="AS3112">
        <v>25.76</v>
      </c>
      <c r="AT3112">
        <v>13.49</v>
      </c>
      <c r="AU3112">
        <v>-1.2</v>
      </c>
      <c r="AV3112">
        <v>2</v>
      </c>
      <c r="AW3112">
        <v>5.25</v>
      </c>
      <c r="AX3112">
        <v>52.31</v>
      </c>
      <c r="AY3112" t="s">
        <v>120</v>
      </c>
      <c r="AZ3112" t="s">
        <v>120</v>
      </c>
      <c r="BA3112">
        <v>0.95</v>
      </c>
      <c r="BB3112" t="s">
        <v>184</v>
      </c>
      <c r="BF3112">
        <v>2.2999999999999998</v>
      </c>
      <c r="BG3112">
        <v>1.1100000000000001</v>
      </c>
      <c r="BH3112">
        <v>-3.4</v>
      </c>
      <c r="BI3112">
        <v>1.45</v>
      </c>
      <c r="BJ3112">
        <v>20210827</v>
      </c>
      <c r="BK3112">
        <v>20040622</v>
      </c>
      <c r="BL3112">
        <v>2.62</v>
      </c>
      <c r="BM3112" t="s">
        <v>120</v>
      </c>
      <c r="BN3112" t="s">
        <v>120</v>
      </c>
      <c r="BO3112">
        <v>18.43</v>
      </c>
      <c r="BP3112">
        <v>9.07</v>
      </c>
      <c r="BQ3112">
        <v>7.13</v>
      </c>
      <c r="BR3112">
        <v>1.32</v>
      </c>
      <c r="BS3112">
        <v>54.14</v>
      </c>
      <c r="BT3112">
        <v>10.19</v>
      </c>
      <c r="BU3112">
        <v>6.59</v>
      </c>
      <c r="BV3112">
        <v>0.92</v>
      </c>
      <c r="BW3112">
        <v>9.24</v>
      </c>
      <c r="BX3112">
        <v>0.75</v>
      </c>
      <c r="BY3112">
        <v>4.71</v>
      </c>
      <c r="BZ3112">
        <v>3.64</v>
      </c>
      <c r="CA3112" t="s">
        <v>120</v>
      </c>
      <c r="CB3112">
        <v>5.27</v>
      </c>
      <c r="CC3112">
        <v>6.71</v>
      </c>
      <c r="CD3112">
        <v>5.89</v>
      </c>
      <c r="CE3112">
        <v>0.02</v>
      </c>
      <c r="CF3112">
        <v>0</v>
      </c>
      <c r="CG3112">
        <v>0.06</v>
      </c>
      <c r="CH3112">
        <v>0.09</v>
      </c>
      <c r="CI3112">
        <v>0.06</v>
      </c>
      <c r="CJ3112">
        <v>0.13</v>
      </c>
      <c r="CK3112">
        <v>0.02</v>
      </c>
      <c r="CL3112">
        <v>-1.06</v>
      </c>
      <c r="CM3112">
        <v>4.75</v>
      </c>
      <c r="CN3112">
        <v>-1.3</v>
      </c>
      <c r="CO3112">
        <v>16033</v>
      </c>
      <c r="CP3112">
        <v>8555</v>
      </c>
      <c r="CQ3112" t="s">
        <v>8771</v>
      </c>
      <c r="CR3112">
        <v>62.25</v>
      </c>
      <c r="CS3112">
        <v>15.92</v>
      </c>
      <c r="CT3112">
        <v>3.34</v>
      </c>
      <c r="CU3112">
        <v>5.01</v>
      </c>
      <c r="CV3112">
        <v>3.55</v>
      </c>
      <c r="CW3112">
        <v>0</v>
      </c>
      <c r="CX3112" t="s">
        <v>1241</v>
      </c>
      <c r="CY3112">
        <v>2.72</v>
      </c>
      <c r="CZ3112">
        <v>0</v>
      </c>
      <c r="DA3112">
        <v>2.0099999999999998</v>
      </c>
      <c r="DB3112">
        <v>-0.4</v>
      </c>
      <c r="DC3112">
        <v>1.81</v>
      </c>
      <c r="DD3112">
        <v>38.700000000000003</v>
      </c>
      <c r="DE3112" t="s">
        <v>4633</v>
      </c>
      <c r="DF3112">
        <v>12.14</v>
      </c>
      <c r="DG3112">
        <v>0.28999999999999998</v>
      </c>
      <c r="DH3112">
        <v>0.85</v>
      </c>
      <c r="DI3112">
        <v>0.03</v>
      </c>
      <c r="DJ3112">
        <v>1474</v>
      </c>
      <c r="DK3112">
        <v>600962</v>
      </c>
      <c r="DL3112" t="s">
        <v>120</v>
      </c>
      <c r="DM3112" t="s">
        <v>120</v>
      </c>
      <c r="DN3112" t="s">
        <v>120</v>
      </c>
    </row>
    <row r="3113" spans="1:118">
      <c r="A3113" t="str">
        <f>"600963"</f>
        <v>600963</v>
      </c>
      <c r="B3113" t="s">
        <v>13514</v>
      </c>
      <c r="C3113">
        <v>-0.74</v>
      </c>
      <c r="D3113">
        <v>0</v>
      </c>
      <c r="E3113">
        <v>0.12</v>
      </c>
      <c r="F3113">
        <v>3956</v>
      </c>
      <c r="G3113" t="s">
        <v>13515</v>
      </c>
      <c r="H3113">
        <v>38259.019999999997</v>
      </c>
      <c r="I3113">
        <v>70</v>
      </c>
      <c r="J3113" t="s">
        <v>120</v>
      </c>
      <c r="K3113" t="s">
        <v>13516</v>
      </c>
      <c r="L3113">
        <v>2.64</v>
      </c>
      <c r="M3113">
        <v>8.1</v>
      </c>
      <c r="N3113">
        <v>0.79</v>
      </c>
      <c r="O3113">
        <v>2.21</v>
      </c>
      <c r="P3113">
        <v>8.34</v>
      </c>
      <c r="Q3113">
        <v>-0.98</v>
      </c>
      <c r="R3113">
        <v>8.08</v>
      </c>
      <c r="S3113">
        <v>8.17</v>
      </c>
      <c r="T3113">
        <v>466555</v>
      </c>
      <c r="U3113">
        <v>8.1</v>
      </c>
      <c r="V3113">
        <v>8.16</v>
      </c>
      <c r="W3113">
        <v>23.56</v>
      </c>
      <c r="X3113" t="s">
        <v>814</v>
      </c>
      <c r="Y3113" t="s">
        <v>594</v>
      </c>
      <c r="Z3113">
        <v>3.19</v>
      </c>
      <c r="AA3113">
        <v>8.1999999999999993</v>
      </c>
      <c r="AB3113">
        <v>248387</v>
      </c>
      <c r="AC3113">
        <v>218168</v>
      </c>
      <c r="AD3113">
        <v>1.1399999999999999</v>
      </c>
      <c r="AE3113">
        <v>2831</v>
      </c>
      <c r="AF3113">
        <v>3761</v>
      </c>
      <c r="AG3113" t="s">
        <v>120</v>
      </c>
      <c r="AH3113">
        <v>0.01</v>
      </c>
      <c r="AI3113" t="s">
        <v>120</v>
      </c>
      <c r="AJ3113">
        <v>17.7</v>
      </c>
      <c r="AK3113" t="s">
        <v>13517</v>
      </c>
      <c r="AL3113">
        <v>0.61</v>
      </c>
      <c r="AM3113">
        <v>4000</v>
      </c>
      <c r="AN3113">
        <v>117</v>
      </c>
      <c r="AO3113">
        <v>6.9999999999999999E-4</v>
      </c>
      <c r="AP3113">
        <v>-3</v>
      </c>
      <c r="AQ3113">
        <v>-1.45</v>
      </c>
      <c r="AR3113">
        <v>-5.6</v>
      </c>
      <c r="AS3113">
        <v>-9.6</v>
      </c>
      <c r="AT3113">
        <v>-25.13</v>
      </c>
      <c r="AU3113">
        <v>96.65</v>
      </c>
      <c r="AV3113">
        <v>13</v>
      </c>
      <c r="AW3113">
        <v>4.9800000000000004</v>
      </c>
      <c r="AX3113">
        <v>51.88</v>
      </c>
      <c r="AY3113">
        <v>25.22</v>
      </c>
      <c r="AZ3113">
        <v>35.549999999999997</v>
      </c>
      <c r="BA3113">
        <v>1.47</v>
      </c>
      <c r="BB3113" t="s">
        <v>134</v>
      </c>
      <c r="BF3113">
        <v>0.49</v>
      </c>
      <c r="BG3113">
        <v>-0.86</v>
      </c>
      <c r="BH3113">
        <v>-2.88</v>
      </c>
      <c r="BI3113">
        <v>0.25</v>
      </c>
      <c r="BJ3113">
        <v>20210827</v>
      </c>
      <c r="BK3113">
        <v>20040525</v>
      </c>
      <c r="BL3113">
        <v>18.05</v>
      </c>
      <c r="BM3113" t="s">
        <v>120</v>
      </c>
      <c r="BN3113" t="s">
        <v>120</v>
      </c>
      <c r="BO3113">
        <v>163.62</v>
      </c>
      <c r="BP3113">
        <v>8.09</v>
      </c>
      <c r="BQ3113">
        <v>87.51</v>
      </c>
      <c r="BR3113">
        <v>0.33</v>
      </c>
      <c r="BS3113">
        <v>46.31</v>
      </c>
      <c r="BT3113">
        <v>102.68</v>
      </c>
      <c r="BU3113">
        <v>37.96</v>
      </c>
      <c r="BV3113">
        <v>11.52</v>
      </c>
      <c r="BW3113">
        <v>53.85</v>
      </c>
      <c r="BX3113">
        <v>9.0500000000000007</v>
      </c>
      <c r="BY3113">
        <v>53.38</v>
      </c>
      <c r="BZ3113">
        <v>7.56</v>
      </c>
      <c r="CA3113" t="s">
        <v>120</v>
      </c>
      <c r="CB3113">
        <v>55.52</v>
      </c>
      <c r="CC3113">
        <v>39.1</v>
      </c>
      <c r="CD3113">
        <v>31.14</v>
      </c>
      <c r="CE3113">
        <v>3.66</v>
      </c>
      <c r="CF3113">
        <v>-0.02</v>
      </c>
      <c r="CG3113">
        <v>3.75</v>
      </c>
      <c r="CH3113">
        <v>3.13</v>
      </c>
      <c r="CI3113">
        <v>3.1</v>
      </c>
      <c r="CJ3113">
        <v>-0.06</v>
      </c>
      <c r="CK3113">
        <v>2.88</v>
      </c>
      <c r="CL3113">
        <v>12.92</v>
      </c>
      <c r="CM3113">
        <v>0.64</v>
      </c>
      <c r="CN3113">
        <v>-3.22</v>
      </c>
      <c r="CO3113">
        <v>79725</v>
      </c>
      <c r="CP3113">
        <v>11747</v>
      </c>
      <c r="CQ3113" t="s">
        <v>3195</v>
      </c>
      <c r="CR3113">
        <v>120.87</v>
      </c>
      <c r="CS3113">
        <v>28.38</v>
      </c>
      <c r="CT3113">
        <v>1.67</v>
      </c>
      <c r="CU3113">
        <v>228.98</v>
      </c>
      <c r="CV3113">
        <v>3.74</v>
      </c>
      <c r="CW3113">
        <v>0.85</v>
      </c>
      <c r="CX3113" t="s">
        <v>242</v>
      </c>
      <c r="CY3113">
        <v>4.8499999999999996</v>
      </c>
      <c r="CZ3113">
        <v>0</v>
      </c>
      <c r="DA3113">
        <v>3.08</v>
      </c>
      <c r="DB3113">
        <v>0.72</v>
      </c>
      <c r="DC3113">
        <v>0.04</v>
      </c>
      <c r="DD3113">
        <v>53.49</v>
      </c>
      <c r="DE3113" t="s">
        <v>1130</v>
      </c>
      <c r="DF3113">
        <v>20.36</v>
      </c>
      <c r="DG3113">
        <v>9.35</v>
      </c>
      <c r="DH3113">
        <v>7.93</v>
      </c>
      <c r="DI3113">
        <v>1.24</v>
      </c>
      <c r="DJ3113">
        <v>3964</v>
      </c>
      <c r="DK3113">
        <v>600963</v>
      </c>
      <c r="DL3113" t="s">
        <v>120</v>
      </c>
      <c r="DM3113" t="s">
        <v>120</v>
      </c>
      <c r="DN3113" t="s">
        <v>120</v>
      </c>
    </row>
    <row r="3114" spans="1:118">
      <c r="A3114" t="str">
        <f>"600965"</f>
        <v>600965</v>
      </c>
      <c r="B3114" t="s">
        <v>13518</v>
      </c>
      <c r="C3114">
        <v>-0.96</v>
      </c>
      <c r="D3114">
        <v>0</v>
      </c>
      <c r="E3114">
        <v>0.64</v>
      </c>
      <c r="F3114">
        <v>892</v>
      </c>
      <c r="G3114" t="s">
        <v>3369</v>
      </c>
      <c r="H3114">
        <v>4243.28</v>
      </c>
      <c r="I3114">
        <v>0.38</v>
      </c>
      <c r="J3114" t="s">
        <v>120</v>
      </c>
      <c r="K3114" t="s">
        <v>13519</v>
      </c>
      <c r="L3114">
        <v>0.83</v>
      </c>
      <c r="M3114">
        <v>6.19</v>
      </c>
      <c r="N3114">
        <v>1.1599999999999999</v>
      </c>
      <c r="O3114">
        <v>2.08</v>
      </c>
      <c r="P3114">
        <v>6.38</v>
      </c>
      <c r="Q3114">
        <v>-0.96</v>
      </c>
      <c r="R3114">
        <v>6.19</v>
      </c>
      <c r="S3114">
        <v>6.29</v>
      </c>
      <c r="T3114">
        <v>67736</v>
      </c>
      <c r="U3114">
        <v>6.2</v>
      </c>
      <c r="V3114">
        <v>6.25</v>
      </c>
      <c r="W3114">
        <v>25.58</v>
      </c>
      <c r="X3114" t="s">
        <v>447</v>
      </c>
      <c r="Y3114" t="s">
        <v>602</v>
      </c>
      <c r="Z3114">
        <v>3.04</v>
      </c>
      <c r="AA3114">
        <v>6.26</v>
      </c>
      <c r="AB3114">
        <v>32231</v>
      </c>
      <c r="AC3114">
        <v>35505</v>
      </c>
      <c r="AD3114">
        <v>0.91</v>
      </c>
      <c r="AE3114">
        <v>54</v>
      </c>
      <c r="AF3114">
        <v>34</v>
      </c>
      <c r="AG3114" t="s">
        <v>120</v>
      </c>
      <c r="AH3114">
        <v>0</v>
      </c>
      <c r="AI3114" t="s">
        <v>120</v>
      </c>
      <c r="AJ3114">
        <v>8.19</v>
      </c>
      <c r="AK3114" t="s">
        <v>13519</v>
      </c>
      <c r="AL3114">
        <v>0.38</v>
      </c>
      <c r="AM3114">
        <v>2007</v>
      </c>
      <c r="AN3114">
        <v>34</v>
      </c>
      <c r="AO3114">
        <v>4.0000000000000002E-4</v>
      </c>
      <c r="AP3114">
        <v>-1</v>
      </c>
      <c r="AQ3114">
        <v>0.64</v>
      </c>
      <c r="AR3114">
        <v>-2.83</v>
      </c>
      <c r="AS3114">
        <v>1.1399999999999999</v>
      </c>
      <c r="AT3114">
        <v>8.41</v>
      </c>
      <c r="AU3114">
        <v>11.13</v>
      </c>
      <c r="AV3114">
        <v>3</v>
      </c>
      <c r="AW3114">
        <v>2.2000000000000002</v>
      </c>
      <c r="AX3114">
        <v>37.67</v>
      </c>
      <c r="AY3114">
        <v>29.26</v>
      </c>
      <c r="AZ3114">
        <v>42.37</v>
      </c>
      <c r="BA3114">
        <v>0.62</v>
      </c>
      <c r="BB3114" t="s">
        <v>143</v>
      </c>
      <c r="BF3114">
        <v>0.23</v>
      </c>
      <c r="BG3114">
        <v>-1.59</v>
      </c>
      <c r="BH3114">
        <v>-2.98</v>
      </c>
      <c r="BI3114">
        <v>0</v>
      </c>
      <c r="BJ3114">
        <v>20210729</v>
      </c>
      <c r="BK3114">
        <v>20040713</v>
      </c>
      <c r="BL3114">
        <v>8.19</v>
      </c>
      <c r="BM3114" t="s">
        <v>120</v>
      </c>
      <c r="BN3114" t="s">
        <v>120</v>
      </c>
      <c r="BO3114">
        <v>26.8</v>
      </c>
      <c r="BP3114">
        <v>6.19</v>
      </c>
      <c r="BQ3114">
        <v>20.59</v>
      </c>
      <c r="BR3114">
        <v>0.45</v>
      </c>
      <c r="BS3114">
        <v>21.51</v>
      </c>
      <c r="BT3114">
        <v>19.64</v>
      </c>
      <c r="BU3114">
        <v>3.92</v>
      </c>
      <c r="BV3114">
        <v>0.28999999999999998</v>
      </c>
      <c r="BW3114">
        <v>5.17</v>
      </c>
      <c r="BX3114">
        <v>6.23</v>
      </c>
      <c r="BY3114">
        <v>5.04</v>
      </c>
      <c r="BZ3114">
        <v>1.78</v>
      </c>
      <c r="CA3114">
        <v>0.28000000000000003</v>
      </c>
      <c r="CB3114">
        <v>2.98</v>
      </c>
      <c r="CC3114">
        <v>6.36</v>
      </c>
      <c r="CD3114">
        <v>4.0599999999999996</v>
      </c>
      <c r="CE3114">
        <v>1.1499999999999999</v>
      </c>
      <c r="CF3114">
        <v>0.01</v>
      </c>
      <c r="CG3114">
        <v>1.18</v>
      </c>
      <c r="CH3114">
        <v>1</v>
      </c>
      <c r="CI3114">
        <v>0.99</v>
      </c>
      <c r="CJ3114">
        <v>-0.06</v>
      </c>
      <c r="CK3114">
        <v>0.94</v>
      </c>
      <c r="CL3114">
        <v>8.0500000000000007</v>
      </c>
      <c r="CM3114">
        <v>1.23</v>
      </c>
      <c r="CN3114">
        <v>0.85</v>
      </c>
      <c r="CO3114">
        <v>22937</v>
      </c>
      <c r="CP3114">
        <v>13446</v>
      </c>
      <c r="CQ3114" t="s">
        <v>9104</v>
      </c>
      <c r="CR3114">
        <v>120.43</v>
      </c>
      <c r="CS3114">
        <v>39.22</v>
      </c>
      <c r="CT3114">
        <v>2.46</v>
      </c>
      <c r="CU3114">
        <v>41.31</v>
      </c>
      <c r="CV3114">
        <v>7.97</v>
      </c>
      <c r="CW3114">
        <v>1.6</v>
      </c>
      <c r="CX3114" t="s">
        <v>1908</v>
      </c>
      <c r="CY3114">
        <v>2.5099999999999998</v>
      </c>
      <c r="CZ3114">
        <v>0</v>
      </c>
      <c r="DA3114">
        <v>0.36</v>
      </c>
      <c r="DB3114">
        <v>0.98</v>
      </c>
      <c r="DC3114">
        <v>0.15</v>
      </c>
      <c r="DD3114">
        <v>76.819999999999993</v>
      </c>
      <c r="DE3114" t="s">
        <v>8264</v>
      </c>
      <c r="DF3114">
        <v>36.119999999999997</v>
      </c>
      <c r="DG3114">
        <v>18.07</v>
      </c>
      <c r="DH3114">
        <v>15.58</v>
      </c>
      <c r="DI3114">
        <v>0.15</v>
      </c>
      <c r="DJ3114">
        <v>2427</v>
      </c>
      <c r="DK3114">
        <v>600965</v>
      </c>
      <c r="DL3114" t="s">
        <v>120</v>
      </c>
      <c r="DM3114" t="s">
        <v>120</v>
      </c>
      <c r="DN3114" t="s">
        <v>120</v>
      </c>
    </row>
    <row r="3115" spans="1:118">
      <c r="A3115" t="str">
        <f>"600966"</f>
        <v>600966</v>
      </c>
      <c r="B3115" t="s">
        <v>13520</v>
      </c>
      <c r="C3115">
        <v>0.48</v>
      </c>
      <c r="D3115">
        <v>-0.31</v>
      </c>
      <c r="E3115">
        <v>-0.56000000000000005</v>
      </c>
      <c r="F3115">
        <v>10091</v>
      </c>
      <c r="G3115" t="s">
        <v>13521</v>
      </c>
      <c r="H3115">
        <v>60772.36</v>
      </c>
      <c r="I3115">
        <v>248.24</v>
      </c>
      <c r="J3115" t="s">
        <v>120</v>
      </c>
      <c r="K3115" t="s">
        <v>13522</v>
      </c>
      <c r="L3115">
        <v>3.6</v>
      </c>
      <c r="M3115">
        <v>12.48</v>
      </c>
      <c r="N3115">
        <v>0.72</v>
      </c>
      <c r="O3115">
        <v>4.3499999999999996</v>
      </c>
      <c r="P3115">
        <v>12.96</v>
      </c>
      <c r="Q3115">
        <v>-0.64</v>
      </c>
      <c r="R3115">
        <v>12.34</v>
      </c>
      <c r="S3115">
        <v>12.35</v>
      </c>
      <c r="T3115">
        <v>481049</v>
      </c>
      <c r="U3115">
        <v>12.49</v>
      </c>
      <c r="V3115">
        <v>12.42</v>
      </c>
      <c r="W3115">
        <v>5.51</v>
      </c>
      <c r="X3115" t="s">
        <v>814</v>
      </c>
      <c r="Y3115" t="s">
        <v>638</v>
      </c>
      <c r="Z3115">
        <v>4.99</v>
      </c>
      <c r="AA3115">
        <v>12.63</v>
      </c>
      <c r="AB3115">
        <v>227896</v>
      </c>
      <c r="AC3115">
        <v>253153</v>
      </c>
      <c r="AD3115">
        <v>0.9</v>
      </c>
      <c r="AE3115">
        <v>1868</v>
      </c>
      <c r="AF3115">
        <v>124</v>
      </c>
      <c r="AG3115" t="s">
        <v>120</v>
      </c>
      <c r="AH3115">
        <v>0.03</v>
      </c>
      <c r="AI3115" t="s">
        <v>120</v>
      </c>
      <c r="AJ3115">
        <v>13.37</v>
      </c>
      <c r="AK3115" t="s">
        <v>13522</v>
      </c>
      <c r="AL3115">
        <v>1.83</v>
      </c>
      <c r="AM3115">
        <v>4327</v>
      </c>
      <c r="AN3115">
        <v>111</v>
      </c>
      <c r="AO3115">
        <v>8.0000000000000004E-4</v>
      </c>
      <c r="AP3115">
        <v>2</v>
      </c>
      <c r="AQ3115">
        <v>1.39</v>
      </c>
      <c r="AR3115">
        <v>-3.1</v>
      </c>
      <c r="AS3115">
        <v>10.050000000000001</v>
      </c>
      <c r="AT3115">
        <v>-8.5299999999999994</v>
      </c>
      <c r="AU3115">
        <v>-16.260000000000002</v>
      </c>
      <c r="AV3115">
        <v>1</v>
      </c>
      <c r="AW3115">
        <v>7.03</v>
      </c>
      <c r="AX3115">
        <v>51.16</v>
      </c>
      <c r="AY3115">
        <v>7.98</v>
      </c>
      <c r="AZ3115">
        <v>19.91</v>
      </c>
      <c r="BA3115">
        <v>1.37</v>
      </c>
      <c r="BB3115" t="s">
        <v>143</v>
      </c>
      <c r="BF3115">
        <v>1.72</v>
      </c>
      <c r="BG3115">
        <v>1.05</v>
      </c>
      <c r="BH3115">
        <v>-3.7</v>
      </c>
      <c r="BI3115">
        <v>1.1299999999999999</v>
      </c>
      <c r="BJ3115">
        <v>20210821</v>
      </c>
      <c r="BK3115">
        <v>20040608</v>
      </c>
      <c r="BL3115">
        <v>13.37</v>
      </c>
      <c r="BM3115" t="s">
        <v>120</v>
      </c>
      <c r="BN3115" t="s">
        <v>120</v>
      </c>
      <c r="BO3115">
        <v>201.67</v>
      </c>
      <c r="BP3115">
        <v>12.48</v>
      </c>
      <c r="BQ3115">
        <v>71.55</v>
      </c>
      <c r="BR3115" t="s">
        <v>120</v>
      </c>
      <c r="BS3115">
        <v>64.52</v>
      </c>
      <c r="BT3115">
        <v>75.97</v>
      </c>
      <c r="BU3115">
        <v>105.29</v>
      </c>
      <c r="BV3115">
        <v>2.2400000000000002</v>
      </c>
      <c r="BW3115">
        <v>106.16</v>
      </c>
      <c r="BX3115">
        <v>27.27</v>
      </c>
      <c r="BY3115">
        <v>28.21</v>
      </c>
      <c r="BZ3115">
        <v>2.29</v>
      </c>
      <c r="CA3115" t="s">
        <v>120</v>
      </c>
      <c r="CB3115">
        <v>13.33</v>
      </c>
      <c r="CC3115">
        <v>80.040000000000006</v>
      </c>
      <c r="CD3115">
        <v>52.81</v>
      </c>
      <c r="CE3115">
        <v>20.239999999999998</v>
      </c>
      <c r="CF3115">
        <v>0.08</v>
      </c>
      <c r="CG3115">
        <v>20.059999999999999</v>
      </c>
      <c r="CH3115">
        <v>15.14</v>
      </c>
      <c r="CI3115">
        <v>15.14</v>
      </c>
      <c r="CJ3115">
        <v>0.06</v>
      </c>
      <c r="CK3115">
        <v>15.22</v>
      </c>
      <c r="CL3115">
        <v>45.32</v>
      </c>
      <c r="CM3115">
        <v>25.73</v>
      </c>
      <c r="CN3115">
        <v>-1.55</v>
      </c>
      <c r="CO3115">
        <v>60969</v>
      </c>
      <c r="CP3115">
        <v>11218</v>
      </c>
      <c r="CQ3115" t="s">
        <v>5296</v>
      </c>
      <c r="CR3115">
        <v>466.63</v>
      </c>
      <c r="CS3115">
        <v>39.590000000000003</v>
      </c>
      <c r="CT3115">
        <v>2.33</v>
      </c>
      <c r="CU3115">
        <v>6.48</v>
      </c>
      <c r="CV3115">
        <v>2.08</v>
      </c>
      <c r="CW3115">
        <v>1.01</v>
      </c>
      <c r="CX3115" t="s">
        <v>878</v>
      </c>
      <c r="CY3115">
        <v>5.35</v>
      </c>
      <c r="CZ3115">
        <v>0</v>
      </c>
      <c r="DA3115">
        <v>1</v>
      </c>
      <c r="DB3115">
        <v>3.39</v>
      </c>
      <c r="DC3115">
        <v>1.93</v>
      </c>
      <c r="DD3115">
        <v>35.479999999999997</v>
      </c>
      <c r="DE3115" t="s">
        <v>13523</v>
      </c>
      <c r="DF3115">
        <v>34.020000000000003</v>
      </c>
      <c r="DG3115">
        <v>25.29</v>
      </c>
      <c r="DH3115">
        <v>18.920000000000002</v>
      </c>
      <c r="DI3115">
        <v>2.83</v>
      </c>
      <c r="DJ3115">
        <v>4629</v>
      </c>
      <c r="DK3115">
        <v>600966</v>
      </c>
      <c r="DL3115" t="s">
        <v>120</v>
      </c>
      <c r="DM3115" t="s">
        <v>120</v>
      </c>
      <c r="DN3115" t="s">
        <v>120</v>
      </c>
    </row>
    <row r="3116" spans="1:118">
      <c r="A3116" t="str">
        <f>"600967"</f>
        <v>600967</v>
      </c>
      <c r="B3116" t="s">
        <v>13524</v>
      </c>
      <c r="C3116">
        <v>-2.33</v>
      </c>
      <c r="D3116">
        <v>-0.09</v>
      </c>
      <c r="E3116">
        <v>-0.74</v>
      </c>
      <c r="F3116">
        <v>1944</v>
      </c>
      <c r="G3116" t="s">
        <v>13525</v>
      </c>
      <c r="H3116">
        <v>27931.11</v>
      </c>
      <c r="I3116">
        <v>167.52</v>
      </c>
      <c r="J3116" t="s">
        <v>120</v>
      </c>
      <c r="K3116" t="s">
        <v>13526</v>
      </c>
      <c r="L3116">
        <v>1.55</v>
      </c>
      <c r="M3116">
        <v>10.5</v>
      </c>
      <c r="N3116">
        <v>0.9</v>
      </c>
      <c r="O3116">
        <v>1.58</v>
      </c>
      <c r="P3116">
        <v>10.92</v>
      </c>
      <c r="Q3116">
        <v>-2.5099999999999998</v>
      </c>
      <c r="R3116">
        <v>10.48</v>
      </c>
      <c r="S3116">
        <v>10.67</v>
      </c>
      <c r="T3116">
        <v>261843</v>
      </c>
      <c r="U3116">
        <v>10.51</v>
      </c>
      <c r="V3116">
        <v>10.75</v>
      </c>
      <c r="W3116">
        <v>23.57</v>
      </c>
      <c r="X3116" t="s">
        <v>157</v>
      </c>
      <c r="Y3116" t="s">
        <v>785</v>
      </c>
      <c r="Z3116">
        <v>4.09</v>
      </c>
      <c r="AA3116">
        <v>10.67</v>
      </c>
      <c r="AB3116">
        <v>153564</v>
      </c>
      <c r="AC3116">
        <v>108279</v>
      </c>
      <c r="AD3116">
        <v>1.42</v>
      </c>
      <c r="AE3116">
        <v>364</v>
      </c>
      <c r="AF3116">
        <v>227</v>
      </c>
      <c r="AG3116" t="s">
        <v>120</v>
      </c>
      <c r="AH3116">
        <v>0.02</v>
      </c>
      <c r="AI3116" t="s">
        <v>120</v>
      </c>
      <c r="AJ3116">
        <v>16.899999999999999</v>
      </c>
      <c r="AK3116" t="s">
        <v>13527</v>
      </c>
      <c r="AL3116">
        <v>-0.98</v>
      </c>
      <c r="AM3116">
        <v>3665</v>
      </c>
      <c r="AN3116">
        <v>71</v>
      </c>
      <c r="AO3116">
        <v>4.0000000000000002E-4</v>
      </c>
      <c r="AP3116">
        <v>-1</v>
      </c>
      <c r="AQ3116">
        <v>3.56</v>
      </c>
      <c r="AR3116">
        <v>-0.85</v>
      </c>
      <c r="AS3116">
        <v>0.97</v>
      </c>
      <c r="AT3116">
        <v>3.68</v>
      </c>
      <c r="AU3116">
        <v>-13.06</v>
      </c>
      <c r="AV3116">
        <v>2</v>
      </c>
      <c r="AW3116">
        <v>3.65</v>
      </c>
      <c r="AX3116">
        <v>42.15</v>
      </c>
      <c r="AY3116">
        <v>27.85</v>
      </c>
      <c r="AZ3116">
        <v>27.92</v>
      </c>
      <c r="BA3116">
        <v>0.43</v>
      </c>
      <c r="BB3116" t="s">
        <v>168</v>
      </c>
      <c r="BF3116">
        <v>-0.77</v>
      </c>
      <c r="BG3116">
        <v>-1.59</v>
      </c>
      <c r="BH3116">
        <v>-3.85</v>
      </c>
      <c r="BI3116">
        <v>0.19</v>
      </c>
      <c r="BJ3116">
        <v>20210824</v>
      </c>
      <c r="BK3116">
        <v>20040518</v>
      </c>
      <c r="BL3116">
        <v>17.04</v>
      </c>
      <c r="BM3116" t="s">
        <v>120</v>
      </c>
      <c r="BN3116" t="s">
        <v>120</v>
      </c>
      <c r="BO3116">
        <v>261.75</v>
      </c>
      <c r="BP3116">
        <v>10.5</v>
      </c>
      <c r="BQ3116">
        <v>101.26</v>
      </c>
      <c r="BR3116">
        <v>0.47</v>
      </c>
      <c r="BS3116">
        <v>61.13</v>
      </c>
      <c r="BT3116">
        <v>216.83</v>
      </c>
      <c r="BU3116">
        <v>19.04</v>
      </c>
      <c r="BV3116">
        <v>22.17</v>
      </c>
      <c r="BW3116">
        <v>156.47999999999999</v>
      </c>
      <c r="BX3116">
        <v>120.79</v>
      </c>
      <c r="BY3116">
        <v>46.8</v>
      </c>
      <c r="BZ3116">
        <v>7.5</v>
      </c>
      <c r="CA3116" t="s">
        <v>120</v>
      </c>
      <c r="CB3116">
        <v>43.68</v>
      </c>
      <c r="CC3116">
        <v>55.24</v>
      </c>
      <c r="CD3116">
        <v>49.68</v>
      </c>
      <c r="CE3116">
        <v>4.38</v>
      </c>
      <c r="CF3116">
        <v>0.16</v>
      </c>
      <c r="CG3116">
        <v>4.3899999999999997</v>
      </c>
      <c r="CH3116">
        <v>3.81</v>
      </c>
      <c r="CI3116">
        <v>3.8</v>
      </c>
      <c r="CJ3116">
        <v>-0.25</v>
      </c>
      <c r="CK3116">
        <v>3.48</v>
      </c>
      <c r="CL3116">
        <v>37.380000000000003</v>
      </c>
      <c r="CM3116">
        <v>-27.85</v>
      </c>
      <c r="CN3116">
        <v>-24.08</v>
      </c>
      <c r="CO3116">
        <v>63258</v>
      </c>
      <c r="CP3116">
        <v>11355</v>
      </c>
      <c r="CQ3116" t="s">
        <v>13528</v>
      </c>
      <c r="CR3116">
        <v>0.44</v>
      </c>
      <c r="CS3116">
        <v>3.62</v>
      </c>
      <c r="CT3116">
        <v>1.77</v>
      </c>
      <c r="CU3116">
        <v>-6.43</v>
      </c>
      <c r="CV3116">
        <v>3.24</v>
      </c>
      <c r="CW3116">
        <v>0.77</v>
      </c>
      <c r="CX3116" t="s">
        <v>3361</v>
      </c>
      <c r="CY3116">
        <v>5.95</v>
      </c>
      <c r="CZ3116">
        <v>5.95</v>
      </c>
      <c r="DA3116">
        <v>2.56</v>
      </c>
      <c r="DB3116">
        <v>2.19</v>
      </c>
      <c r="DC3116">
        <v>-1.63</v>
      </c>
      <c r="DD3116">
        <v>38.69</v>
      </c>
      <c r="DE3116" t="s">
        <v>6886</v>
      </c>
      <c r="DF3116">
        <v>10.06</v>
      </c>
      <c r="DG3116">
        <v>7.92</v>
      </c>
      <c r="DH3116">
        <v>6.87</v>
      </c>
      <c r="DI3116">
        <v>1.0900000000000001</v>
      </c>
      <c r="DJ3116">
        <v>7194</v>
      </c>
      <c r="DK3116">
        <v>600967</v>
      </c>
      <c r="DL3116" t="s">
        <v>120</v>
      </c>
      <c r="DM3116" t="s">
        <v>120</v>
      </c>
      <c r="DN3116" t="s">
        <v>120</v>
      </c>
    </row>
    <row r="3117" spans="1:118">
      <c r="A3117" t="str">
        <f>"600968"</f>
        <v>600968</v>
      </c>
      <c r="B3117" t="s">
        <v>13529</v>
      </c>
      <c r="C3117">
        <v>-2.93</v>
      </c>
      <c r="D3117">
        <v>-0.59</v>
      </c>
      <c r="E3117">
        <v>2.64</v>
      </c>
      <c r="F3117">
        <v>35739</v>
      </c>
      <c r="G3117" t="s">
        <v>13530</v>
      </c>
      <c r="H3117">
        <v>146318.19</v>
      </c>
      <c r="I3117">
        <v>2875.11</v>
      </c>
      <c r="J3117" t="s">
        <v>120</v>
      </c>
      <c r="K3117" t="s">
        <v>13530</v>
      </c>
      <c r="L3117">
        <v>22.79</v>
      </c>
      <c r="M3117">
        <v>3.31</v>
      </c>
      <c r="N3117">
        <v>2.04</v>
      </c>
      <c r="O3117">
        <v>4.1100000000000003</v>
      </c>
      <c r="P3117">
        <v>3.55</v>
      </c>
      <c r="Q3117">
        <v>-2.93</v>
      </c>
      <c r="R3117">
        <v>3.31</v>
      </c>
      <c r="S3117">
        <v>3.5</v>
      </c>
      <c r="T3117">
        <v>4249755</v>
      </c>
      <c r="U3117">
        <v>3.32</v>
      </c>
      <c r="V3117">
        <v>3.41</v>
      </c>
      <c r="W3117">
        <v>23.94</v>
      </c>
      <c r="X3117" t="s">
        <v>3867</v>
      </c>
      <c r="Y3117" t="s">
        <v>158</v>
      </c>
      <c r="Z3117">
        <v>7.04</v>
      </c>
      <c r="AA3117">
        <v>3.44</v>
      </c>
      <c r="AB3117">
        <v>2226464</v>
      </c>
      <c r="AC3117">
        <v>2023291</v>
      </c>
      <c r="AD3117">
        <v>1.1000000000000001</v>
      </c>
      <c r="AE3117">
        <v>10451</v>
      </c>
      <c r="AF3117">
        <v>1661</v>
      </c>
      <c r="AG3117" t="s">
        <v>120</v>
      </c>
      <c r="AH3117">
        <v>0.44</v>
      </c>
      <c r="AI3117" t="s">
        <v>120</v>
      </c>
      <c r="AJ3117">
        <v>18.649999999999999</v>
      </c>
      <c r="AK3117" t="s">
        <v>12058</v>
      </c>
      <c r="AL3117">
        <v>-1.59</v>
      </c>
      <c r="AM3117">
        <v>4628</v>
      </c>
      <c r="AN3117">
        <v>918</v>
      </c>
      <c r="AO3117">
        <v>4.8999999999999998E-3</v>
      </c>
      <c r="AP3117">
        <v>-1</v>
      </c>
      <c r="AQ3117">
        <v>10</v>
      </c>
      <c r="AR3117">
        <v>5.42</v>
      </c>
      <c r="AS3117">
        <v>28.29</v>
      </c>
      <c r="AT3117">
        <v>23.28</v>
      </c>
      <c r="AU3117">
        <v>41.16</v>
      </c>
      <c r="AV3117">
        <v>2</v>
      </c>
      <c r="AW3117">
        <v>22.79</v>
      </c>
      <c r="AX3117">
        <v>18.350000000000001</v>
      </c>
      <c r="AY3117">
        <v>20.73</v>
      </c>
      <c r="AZ3117">
        <v>22.78</v>
      </c>
      <c r="BA3117">
        <v>0.48</v>
      </c>
      <c r="BB3117" t="s">
        <v>168</v>
      </c>
      <c r="BF3117">
        <v>0.97</v>
      </c>
      <c r="BG3117">
        <v>-5.43</v>
      </c>
      <c r="BH3117">
        <v>-6.76</v>
      </c>
      <c r="BI3117">
        <v>0</v>
      </c>
      <c r="BJ3117">
        <v>20210824</v>
      </c>
      <c r="BK3117">
        <v>20190626</v>
      </c>
      <c r="BL3117">
        <v>101.65</v>
      </c>
      <c r="BM3117" t="s">
        <v>120</v>
      </c>
      <c r="BN3117" t="s">
        <v>120</v>
      </c>
      <c r="BO3117">
        <v>315.08999999999997</v>
      </c>
      <c r="BP3117">
        <v>3.31</v>
      </c>
      <c r="BQ3117">
        <v>197.51</v>
      </c>
      <c r="BR3117">
        <v>7.16</v>
      </c>
      <c r="BS3117">
        <v>35.049999999999997</v>
      </c>
      <c r="BT3117">
        <v>162.5</v>
      </c>
      <c r="BU3117">
        <v>95.18</v>
      </c>
      <c r="BV3117">
        <v>18.649999999999999</v>
      </c>
      <c r="BW3117">
        <v>101.96</v>
      </c>
      <c r="BX3117">
        <v>26.28</v>
      </c>
      <c r="BY3117">
        <v>8.09</v>
      </c>
      <c r="BZ3117">
        <v>81.28</v>
      </c>
      <c r="CA3117">
        <v>0.17</v>
      </c>
      <c r="CB3117">
        <v>17.37</v>
      </c>
      <c r="CC3117">
        <v>155.69999999999999</v>
      </c>
      <c r="CD3117">
        <v>137.24</v>
      </c>
      <c r="CE3117">
        <v>9.4499999999999993</v>
      </c>
      <c r="CF3117">
        <v>1.44</v>
      </c>
      <c r="CG3117">
        <v>9.52</v>
      </c>
      <c r="CH3117">
        <v>7.56</v>
      </c>
      <c r="CI3117">
        <v>7.03</v>
      </c>
      <c r="CJ3117">
        <v>-0.1</v>
      </c>
      <c r="CK3117">
        <v>5.95</v>
      </c>
      <c r="CL3117">
        <v>65.39</v>
      </c>
      <c r="CM3117">
        <v>2.5499999999999998</v>
      </c>
      <c r="CN3117">
        <v>-7.28</v>
      </c>
      <c r="CO3117">
        <v>146841</v>
      </c>
      <c r="CP3117">
        <v>12702</v>
      </c>
      <c r="CQ3117" t="s">
        <v>4744</v>
      </c>
      <c r="CR3117">
        <v>27.2</v>
      </c>
      <c r="CS3117">
        <v>15.88</v>
      </c>
      <c r="CT3117">
        <v>1.7</v>
      </c>
      <c r="CU3117">
        <v>131.72</v>
      </c>
      <c r="CV3117">
        <v>2.16</v>
      </c>
      <c r="CW3117">
        <v>1.32</v>
      </c>
      <c r="CX3117" t="s">
        <v>2669</v>
      </c>
      <c r="CY3117">
        <v>1.94</v>
      </c>
      <c r="CZ3117">
        <v>0</v>
      </c>
      <c r="DA3117">
        <v>0.17</v>
      </c>
      <c r="DB3117">
        <v>0.64</v>
      </c>
      <c r="DC3117">
        <v>0.03</v>
      </c>
      <c r="DD3117">
        <v>62.68</v>
      </c>
      <c r="DE3117" t="s">
        <v>3308</v>
      </c>
      <c r="DF3117">
        <v>11.86</v>
      </c>
      <c r="DG3117">
        <v>6.07</v>
      </c>
      <c r="DH3117">
        <v>4.51</v>
      </c>
      <c r="DI3117">
        <v>4.1100000000000003</v>
      </c>
      <c r="DJ3117">
        <v>15117</v>
      </c>
      <c r="DK3117">
        <v>600968</v>
      </c>
      <c r="DL3117">
        <v>20210915</v>
      </c>
      <c r="DM3117">
        <v>3.41</v>
      </c>
      <c r="DN3117">
        <v>-2.93</v>
      </c>
    </row>
    <row r="3118" spans="1:118">
      <c r="A3118" t="str">
        <f>"600969"</f>
        <v>600969</v>
      </c>
      <c r="B3118" t="s">
        <v>13531</v>
      </c>
      <c r="C3118">
        <v>-1.24</v>
      </c>
      <c r="D3118">
        <v>0</v>
      </c>
      <c r="E3118">
        <v>0.41</v>
      </c>
      <c r="F3118">
        <v>460</v>
      </c>
      <c r="G3118" t="s">
        <v>13532</v>
      </c>
      <c r="H3118">
        <v>3208.45</v>
      </c>
      <c r="I3118">
        <v>9.9600000000000009</v>
      </c>
      <c r="J3118" t="s">
        <v>120</v>
      </c>
      <c r="K3118" t="s">
        <v>1434</v>
      </c>
      <c r="L3118">
        <v>1.2</v>
      </c>
      <c r="M3118">
        <v>7.15</v>
      </c>
      <c r="N3118">
        <v>0.83</v>
      </c>
      <c r="O3118">
        <v>1.8</v>
      </c>
      <c r="P3118">
        <v>7.37</v>
      </c>
      <c r="Q3118">
        <v>-1.52</v>
      </c>
      <c r="R3118">
        <v>7.13</v>
      </c>
      <c r="S3118">
        <v>7.27</v>
      </c>
      <c r="T3118">
        <v>44227</v>
      </c>
      <c r="U3118">
        <v>7.16</v>
      </c>
      <c r="V3118">
        <v>7.24</v>
      </c>
      <c r="W3118">
        <v>46.93</v>
      </c>
      <c r="X3118" t="s">
        <v>1287</v>
      </c>
      <c r="Y3118" t="s">
        <v>594</v>
      </c>
      <c r="Z3118">
        <v>3.31</v>
      </c>
      <c r="AA3118">
        <v>7.25</v>
      </c>
      <c r="AB3118">
        <v>23672</v>
      </c>
      <c r="AC3118">
        <v>20555</v>
      </c>
      <c r="AD3118">
        <v>1.1499999999999999</v>
      </c>
      <c r="AE3118">
        <v>338</v>
      </c>
      <c r="AF3118">
        <v>67</v>
      </c>
      <c r="AG3118" t="s">
        <v>120</v>
      </c>
      <c r="AH3118">
        <v>0.01</v>
      </c>
      <c r="AI3118" t="s">
        <v>120</v>
      </c>
      <c r="AJ3118">
        <v>3.7</v>
      </c>
      <c r="AK3118" t="s">
        <v>1434</v>
      </c>
      <c r="AL3118">
        <v>0.1</v>
      </c>
      <c r="AM3118">
        <v>1968</v>
      </c>
      <c r="AN3118">
        <v>22</v>
      </c>
      <c r="AO3118">
        <v>5.9999999999999995E-4</v>
      </c>
      <c r="AP3118">
        <v>-1</v>
      </c>
      <c r="AQ3118">
        <v>2.7</v>
      </c>
      <c r="AR3118">
        <v>-1.23</v>
      </c>
      <c r="AS3118">
        <v>8.17</v>
      </c>
      <c r="AT3118">
        <v>6.87</v>
      </c>
      <c r="AU3118">
        <v>-2.88</v>
      </c>
      <c r="AV3118">
        <v>1</v>
      </c>
      <c r="AW3118">
        <v>2.0099999999999998</v>
      </c>
      <c r="AX3118">
        <v>59.58</v>
      </c>
      <c r="AY3118">
        <v>135.91999999999999</v>
      </c>
      <c r="AZ3118">
        <v>86.97</v>
      </c>
      <c r="BA3118">
        <v>0.66</v>
      </c>
      <c r="BB3118" t="s">
        <v>184</v>
      </c>
      <c r="BF3118">
        <v>0.2</v>
      </c>
      <c r="BG3118">
        <v>-1.65</v>
      </c>
      <c r="BH3118">
        <v>-2.99</v>
      </c>
      <c r="BI3118">
        <v>0.28000000000000003</v>
      </c>
      <c r="BJ3118">
        <v>20210827</v>
      </c>
      <c r="BK3118">
        <v>20040408</v>
      </c>
      <c r="BL3118">
        <v>3.7</v>
      </c>
      <c r="BM3118" t="s">
        <v>120</v>
      </c>
      <c r="BN3118" t="s">
        <v>120</v>
      </c>
      <c r="BO3118">
        <v>153.26</v>
      </c>
      <c r="BP3118">
        <v>7.15</v>
      </c>
      <c r="BQ3118">
        <v>35.89</v>
      </c>
      <c r="BR3118">
        <v>3.05</v>
      </c>
      <c r="BS3118">
        <v>74.59</v>
      </c>
      <c r="BT3118">
        <v>33.99</v>
      </c>
      <c r="BU3118">
        <v>76.53</v>
      </c>
      <c r="BV3118">
        <v>4.9000000000000004</v>
      </c>
      <c r="BW3118">
        <v>37.04</v>
      </c>
      <c r="BX3118">
        <v>22.51</v>
      </c>
      <c r="BY3118">
        <v>0.71</v>
      </c>
      <c r="BZ3118">
        <v>2.4300000000000002</v>
      </c>
      <c r="CA3118" t="s">
        <v>120</v>
      </c>
      <c r="CB3118">
        <v>25.37</v>
      </c>
      <c r="CC3118">
        <v>16.55</v>
      </c>
      <c r="CD3118">
        <v>13.92</v>
      </c>
      <c r="CE3118">
        <v>0.89</v>
      </c>
      <c r="CF3118">
        <v>-0.21</v>
      </c>
      <c r="CG3118">
        <v>0.9</v>
      </c>
      <c r="CH3118">
        <v>0.56999999999999995</v>
      </c>
      <c r="CI3118">
        <v>0.28000000000000003</v>
      </c>
      <c r="CJ3118">
        <v>-0.09</v>
      </c>
      <c r="CK3118">
        <v>0.2</v>
      </c>
      <c r="CL3118">
        <v>5.94</v>
      </c>
      <c r="CM3118">
        <v>5.99</v>
      </c>
      <c r="CN3118">
        <v>8.25</v>
      </c>
      <c r="CO3118">
        <v>19747</v>
      </c>
      <c r="CP3118">
        <v>11165</v>
      </c>
      <c r="CQ3118" t="s">
        <v>823</v>
      </c>
      <c r="CR3118">
        <v>-28.24</v>
      </c>
      <c r="CS3118">
        <v>13.03</v>
      </c>
      <c r="CT3118">
        <v>0.74</v>
      </c>
      <c r="CU3118">
        <v>4.41</v>
      </c>
      <c r="CV3118">
        <v>1.6</v>
      </c>
      <c r="CW3118">
        <v>0.38</v>
      </c>
      <c r="CX3118" t="s">
        <v>7130</v>
      </c>
      <c r="CY3118">
        <v>9.6999999999999993</v>
      </c>
      <c r="CZ3118">
        <v>0</v>
      </c>
      <c r="DA3118">
        <v>6.86</v>
      </c>
      <c r="DB3118">
        <v>1.61</v>
      </c>
      <c r="DC3118">
        <v>1.62</v>
      </c>
      <c r="DD3118">
        <v>23.42</v>
      </c>
      <c r="DE3118" t="s">
        <v>6140</v>
      </c>
      <c r="DF3118">
        <v>15.91</v>
      </c>
      <c r="DG3118">
        <v>5.35</v>
      </c>
      <c r="DH3118">
        <v>1.7</v>
      </c>
      <c r="DI3118">
        <v>0.01</v>
      </c>
      <c r="DJ3118">
        <v>2913</v>
      </c>
      <c r="DK3118">
        <v>600969</v>
      </c>
      <c r="DL3118" t="s">
        <v>120</v>
      </c>
      <c r="DM3118" t="s">
        <v>120</v>
      </c>
      <c r="DN3118" t="s">
        <v>120</v>
      </c>
    </row>
    <row r="3119" spans="1:118">
      <c r="A3119" t="str">
        <f>"600970"</f>
        <v>600970</v>
      </c>
      <c r="B3119" t="s">
        <v>13533</v>
      </c>
      <c r="C3119">
        <v>-3.73</v>
      </c>
      <c r="D3119">
        <v>0</v>
      </c>
      <c r="E3119">
        <v>0.15</v>
      </c>
      <c r="F3119">
        <v>5055</v>
      </c>
      <c r="G3119" t="s">
        <v>13534</v>
      </c>
      <c r="H3119">
        <v>40632.730000000003</v>
      </c>
      <c r="I3119">
        <v>201.73</v>
      </c>
      <c r="J3119" t="s">
        <v>120</v>
      </c>
      <c r="K3119" t="s">
        <v>13535</v>
      </c>
      <c r="L3119">
        <v>1.77</v>
      </c>
      <c r="M3119">
        <v>12.92</v>
      </c>
      <c r="N3119">
        <v>0.8</v>
      </c>
      <c r="O3119">
        <v>1.79</v>
      </c>
      <c r="P3119">
        <v>13.66</v>
      </c>
      <c r="Q3119">
        <v>-3.87</v>
      </c>
      <c r="R3119">
        <v>12.9</v>
      </c>
      <c r="S3119">
        <v>13.44</v>
      </c>
      <c r="T3119">
        <v>307597</v>
      </c>
      <c r="U3119">
        <v>12.93</v>
      </c>
      <c r="V3119">
        <v>13.42</v>
      </c>
      <c r="W3119">
        <v>16.010000000000002</v>
      </c>
      <c r="X3119" t="s">
        <v>175</v>
      </c>
      <c r="Y3119" t="s">
        <v>319</v>
      </c>
      <c r="Z3119">
        <v>5.66</v>
      </c>
      <c r="AA3119">
        <v>13.21</v>
      </c>
      <c r="AB3119">
        <v>159073</v>
      </c>
      <c r="AC3119">
        <v>148524</v>
      </c>
      <c r="AD3119">
        <v>1.07</v>
      </c>
      <c r="AE3119">
        <v>1102</v>
      </c>
      <c r="AF3119">
        <v>219</v>
      </c>
      <c r="AG3119" t="s">
        <v>120</v>
      </c>
      <c r="AH3119">
        <v>0.01</v>
      </c>
      <c r="AI3119" t="s">
        <v>120</v>
      </c>
      <c r="AJ3119">
        <v>17.38</v>
      </c>
      <c r="AK3119" t="s">
        <v>13535</v>
      </c>
      <c r="AL3119">
        <v>-2.38</v>
      </c>
      <c r="AM3119">
        <v>4016</v>
      </c>
      <c r="AN3119">
        <v>77</v>
      </c>
      <c r="AO3119">
        <v>4.0000000000000002E-4</v>
      </c>
      <c r="AP3119">
        <v>-3</v>
      </c>
      <c r="AQ3119">
        <v>-0.37</v>
      </c>
      <c r="AR3119">
        <v>-8.0399999999999991</v>
      </c>
      <c r="AS3119">
        <v>26.17</v>
      </c>
      <c r="AT3119">
        <v>42.92</v>
      </c>
      <c r="AU3119">
        <v>94.28</v>
      </c>
      <c r="AV3119">
        <v>5</v>
      </c>
      <c r="AW3119">
        <v>2.95</v>
      </c>
      <c r="AX3119">
        <v>59.92</v>
      </c>
      <c r="AY3119">
        <v>18.2</v>
      </c>
      <c r="AZ3119">
        <v>20.58</v>
      </c>
      <c r="BA3119">
        <v>1.18</v>
      </c>
      <c r="BB3119" t="s">
        <v>240</v>
      </c>
      <c r="BF3119">
        <v>-1.57</v>
      </c>
      <c r="BG3119">
        <v>-3.87</v>
      </c>
      <c r="BH3119">
        <v>-5.42</v>
      </c>
      <c r="BI3119">
        <v>0.16</v>
      </c>
      <c r="BJ3119">
        <v>20210821</v>
      </c>
      <c r="BK3119">
        <v>20050412</v>
      </c>
      <c r="BL3119">
        <v>17.38</v>
      </c>
      <c r="BM3119" t="s">
        <v>120</v>
      </c>
      <c r="BN3119" t="s">
        <v>120</v>
      </c>
      <c r="BO3119">
        <v>330.5</v>
      </c>
      <c r="BP3119">
        <v>12.92</v>
      </c>
      <c r="BQ3119">
        <v>110.52</v>
      </c>
      <c r="BR3119">
        <v>4.58</v>
      </c>
      <c r="BS3119">
        <v>65.17</v>
      </c>
      <c r="BT3119">
        <v>225.91</v>
      </c>
      <c r="BU3119">
        <v>22.13</v>
      </c>
      <c r="BV3119">
        <v>6.43</v>
      </c>
      <c r="BW3119">
        <v>189.75</v>
      </c>
      <c r="BX3119">
        <v>62.89</v>
      </c>
      <c r="BY3119">
        <v>25.14</v>
      </c>
      <c r="BZ3119">
        <v>35.549999999999997</v>
      </c>
      <c r="CA3119" t="s">
        <v>120</v>
      </c>
      <c r="CB3119">
        <v>11.32</v>
      </c>
      <c r="CC3119">
        <v>118.97</v>
      </c>
      <c r="CD3119">
        <v>100.47</v>
      </c>
      <c r="CE3119">
        <v>8.25</v>
      </c>
      <c r="CF3119">
        <v>0.26</v>
      </c>
      <c r="CG3119">
        <v>8.35</v>
      </c>
      <c r="CH3119">
        <v>7.09</v>
      </c>
      <c r="CI3119">
        <v>7.01</v>
      </c>
      <c r="CJ3119">
        <v>-0.5</v>
      </c>
      <c r="CK3119">
        <v>6.47</v>
      </c>
      <c r="CL3119">
        <v>75.75</v>
      </c>
      <c r="CM3119">
        <v>-4.21</v>
      </c>
      <c r="CN3119">
        <v>-10.84</v>
      </c>
      <c r="CO3119">
        <v>51371</v>
      </c>
      <c r="CP3119">
        <v>20269</v>
      </c>
      <c r="CQ3119" t="s">
        <v>13536</v>
      </c>
      <c r="CR3119">
        <v>26.76</v>
      </c>
      <c r="CS3119">
        <v>28.3</v>
      </c>
      <c r="CT3119">
        <v>2.0299999999999998</v>
      </c>
      <c r="CU3119">
        <v>-53.28</v>
      </c>
      <c r="CV3119">
        <v>1.89</v>
      </c>
      <c r="CW3119">
        <v>1.71</v>
      </c>
      <c r="CX3119" t="s">
        <v>3527</v>
      </c>
      <c r="CY3119">
        <v>6.36</v>
      </c>
      <c r="CZ3119">
        <v>0</v>
      </c>
      <c r="DA3119">
        <v>0.65</v>
      </c>
      <c r="DB3119">
        <v>4.3600000000000003</v>
      </c>
      <c r="DC3119">
        <v>-0.24</v>
      </c>
      <c r="DD3119">
        <v>33.44</v>
      </c>
      <c r="DE3119" t="s">
        <v>13537</v>
      </c>
      <c r="DF3119">
        <v>15.55</v>
      </c>
      <c r="DG3119">
        <v>6.93</v>
      </c>
      <c r="DH3119">
        <v>5.89</v>
      </c>
      <c r="DI3119">
        <v>3.16</v>
      </c>
      <c r="DJ3119">
        <v>9251</v>
      </c>
      <c r="DK3119">
        <v>600970</v>
      </c>
      <c r="DL3119" t="s">
        <v>120</v>
      </c>
      <c r="DM3119" t="s">
        <v>120</v>
      </c>
      <c r="DN3119" t="s">
        <v>120</v>
      </c>
    </row>
    <row r="3120" spans="1:118">
      <c r="A3120" t="str">
        <f>"600971"</f>
        <v>600971</v>
      </c>
      <c r="B3120" t="s">
        <v>13538</v>
      </c>
      <c r="C3120">
        <v>-0.56999999999999995</v>
      </c>
      <c r="D3120">
        <v>-0.22</v>
      </c>
      <c r="E3120">
        <v>2.04</v>
      </c>
      <c r="F3120">
        <v>3221</v>
      </c>
      <c r="G3120" t="s">
        <v>10190</v>
      </c>
      <c r="H3120">
        <v>36739.339999999997</v>
      </c>
      <c r="I3120">
        <v>347.31</v>
      </c>
      <c r="J3120" t="s">
        <v>120</v>
      </c>
      <c r="K3120" t="s">
        <v>11784</v>
      </c>
      <c r="L3120">
        <v>3.39</v>
      </c>
      <c r="M3120">
        <v>8.77</v>
      </c>
      <c r="N3120">
        <v>0.91</v>
      </c>
      <c r="O3120">
        <v>4.88</v>
      </c>
      <c r="P3120">
        <v>9.25</v>
      </c>
      <c r="Q3120">
        <v>-0.56999999999999995</v>
      </c>
      <c r="R3120">
        <v>8.77</v>
      </c>
      <c r="S3120">
        <v>9</v>
      </c>
      <c r="T3120">
        <v>407365</v>
      </c>
      <c r="U3120">
        <v>8.77</v>
      </c>
      <c r="V3120">
        <v>8.82</v>
      </c>
      <c r="W3120">
        <v>10.65</v>
      </c>
      <c r="X3120" t="s">
        <v>1081</v>
      </c>
      <c r="Y3120" t="s">
        <v>570</v>
      </c>
      <c r="Z3120">
        <v>5.44</v>
      </c>
      <c r="AA3120">
        <v>9.02</v>
      </c>
      <c r="AB3120">
        <v>201680</v>
      </c>
      <c r="AC3120">
        <v>205685</v>
      </c>
      <c r="AD3120">
        <v>0.98</v>
      </c>
      <c r="AE3120">
        <v>2350</v>
      </c>
      <c r="AF3120">
        <v>329</v>
      </c>
      <c r="AG3120" t="s">
        <v>120</v>
      </c>
      <c r="AH3120">
        <v>7.0000000000000007E-2</v>
      </c>
      <c r="AI3120" t="s">
        <v>120</v>
      </c>
      <c r="AJ3120">
        <v>12</v>
      </c>
      <c r="AK3120" t="s">
        <v>11784</v>
      </c>
      <c r="AL3120">
        <v>0.78</v>
      </c>
      <c r="AM3120">
        <v>4219</v>
      </c>
      <c r="AN3120">
        <v>97</v>
      </c>
      <c r="AO3120">
        <v>8.0000000000000004E-4</v>
      </c>
      <c r="AP3120">
        <v>-1</v>
      </c>
      <c r="AQ3120">
        <v>2.92</v>
      </c>
      <c r="AR3120">
        <v>-0.45</v>
      </c>
      <c r="AS3120">
        <v>28.79</v>
      </c>
      <c r="AT3120">
        <v>30.12</v>
      </c>
      <c r="AU3120">
        <v>47.15</v>
      </c>
      <c r="AV3120">
        <v>6</v>
      </c>
      <c r="AW3120">
        <v>7.54</v>
      </c>
      <c r="AX3120">
        <v>45.04</v>
      </c>
      <c r="AY3120">
        <v>12.07</v>
      </c>
      <c r="AZ3120">
        <v>13.7</v>
      </c>
      <c r="BA3120">
        <v>1.02</v>
      </c>
      <c r="BB3120" t="s">
        <v>184</v>
      </c>
      <c r="BF3120">
        <v>2.25</v>
      </c>
      <c r="BG3120">
        <v>-2.56</v>
      </c>
      <c r="BH3120">
        <v>-5.19</v>
      </c>
      <c r="BI3120">
        <v>0</v>
      </c>
      <c r="BJ3120">
        <v>20210821</v>
      </c>
      <c r="BK3120">
        <v>20040817</v>
      </c>
      <c r="BL3120">
        <v>12</v>
      </c>
      <c r="BM3120" t="s">
        <v>120</v>
      </c>
      <c r="BN3120" t="s">
        <v>120</v>
      </c>
      <c r="BO3120">
        <v>160.11000000000001</v>
      </c>
      <c r="BP3120">
        <v>8.76</v>
      </c>
      <c r="BQ3120">
        <v>92.55</v>
      </c>
      <c r="BR3120">
        <v>1.01</v>
      </c>
      <c r="BS3120">
        <v>41.57</v>
      </c>
      <c r="BT3120">
        <v>76.94</v>
      </c>
      <c r="BU3120">
        <v>33.14</v>
      </c>
      <c r="BV3120">
        <v>24.1</v>
      </c>
      <c r="BW3120">
        <v>53.29</v>
      </c>
      <c r="BX3120">
        <v>52.77</v>
      </c>
      <c r="BY3120">
        <v>3.43</v>
      </c>
      <c r="BZ3120">
        <v>1.79</v>
      </c>
      <c r="CA3120">
        <v>0</v>
      </c>
      <c r="CB3120">
        <v>16.579999999999998</v>
      </c>
      <c r="CC3120">
        <v>30.5</v>
      </c>
      <c r="CD3120">
        <v>18.13</v>
      </c>
      <c r="CE3120">
        <v>5.97</v>
      </c>
      <c r="CF3120">
        <v>0.34</v>
      </c>
      <c r="CG3120">
        <v>6.06</v>
      </c>
      <c r="CH3120">
        <v>4.95</v>
      </c>
      <c r="CI3120">
        <v>4.9400000000000004</v>
      </c>
      <c r="CJ3120">
        <v>-0.05</v>
      </c>
      <c r="CK3120">
        <v>4.8499999999999996</v>
      </c>
      <c r="CL3120">
        <v>46.91</v>
      </c>
      <c r="CM3120">
        <v>6.84</v>
      </c>
      <c r="CN3120">
        <v>-1.88</v>
      </c>
      <c r="CO3120">
        <v>41318</v>
      </c>
      <c r="CP3120">
        <v>13081</v>
      </c>
      <c r="CQ3120" t="s">
        <v>12535</v>
      </c>
      <c r="CR3120">
        <v>26.72</v>
      </c>
      <c r="CS3120">
        <v>27.74</v>
      </c>
      <c r="CT3120">
        <v>1.1399999999999999</v>
      </c>
      <c r="CU3120">
        <v>15.39</v>
      </c>
      <c r="CV3120">
        <v>3.45</v>
      </c>
      <c r="CW3120">
        <v>3.74</v>
      </c>
      <c r="CX3120" t="s">
        <v>13539</v>
      </c>
      <c r="CY3120">
        <v>7.71</v>
      </c>
      <c r="CZ3120">
        <v>0</v>
      </c>
      <c r="DA3120">
        <v>1.38</v>
      </c>
      <c r="DB3120">
        <v>3.91</v>
      </c>
      <c r="DC3120">
        <v>0.56999999999999995</v>
      </c>
      <c r="DD3120">
        <v>57.8</v>
      </c>
      <c r="DE3120" t="s">
        <v>695</v>
      </c>
      <c r="DF3120">
        <v>40.549999999999997</v>
      </c>
      <c r="DG3120">
        <v>19.579999999999998</v>
      </c>
      <c r="DH3120">
        <v>16.2</v>
      </c>
      <c r="DI3120">
        <v>1.31</v>
      </c>
      <c r="DJ3120">
        <v>14319</v>
      </c>
      <c r="DK3120">
        <v>600971</v>
      </c>
      <c r="DL3120" t="s">
        <v>120</v>
      </c>
      <c r="DM3120" t="s">
        <v>120</v>
      </c>
      <c r="DN3120" t="s">
        <v>120</v>
      </c>
    </row>
    <row r="3121" spans="1:118">
      <c r="A3121" t="str">
        <f>"600973"</f>
        <v>600973</v>
      </c>
      <c r="B3121" t="s">
        <v>13540</v>
      </c>
      <c r="C3121">
        <v>-1.65</v>
      </c>
      <c r="D3121">
        <v>0</v>
      </c>
      <c r="E3121">
        <v>-0.21</v>
      </c>
      <c r="F3121">
        <v>2307</v>
      </c>
      <c r="G3121" t="s">
        <v>13541</v>
      </c>
      <c r="H3121">
        <v>15064.49</v>
      </c>
      <c r="I3121">
        <v>15.05</v>
      </c>
      <c r="J3121" t="s">
        <v>120</v>
      </c>
      <c r="K3121" t="s">
        <v>13542</v>
      </c>
      <c r="L3121">
        <v>2.4700000000000002</v>
      </c>
      <c r="M3121">
        <v>4.7699999999999996</v>
      </c>
      <c r="N3121">
        <v>1.34</v>
      </c>
      <c r="O3121">
        <v>3.3</v>
      </c>
      <c r="P3121">
        <v>5.01</v>
      </c>
      <c r="Q3121">
        <v>-2.06</v>
      </c>
      <c r="R3121">
        <v>4.75</v>
      </c>
      <c r="S3121">
        <v>4.84</v>
      </c>
      <c r="T3121">
        <v>309135</v>
      </c>
      <c r="U3121">
        <v>4.78</v>
      </c>
      <c r="V3121">
        <v>4.8499999999999996</v>
      </c>
      <c r="W3121">
        <v>16.920000000000002</v>
      </c>
      <c r="X3121" t="s">
        <v>394</v>
      </c>
      <c r="Y3121" t="s">
        <v>319</v>
      </c>
      <c r="Z3121">
        <v>5.36</v>
      </c>
      <c r="AA3121">
        <v>4.87</v>
      </c>
      <c r="AB3121">
        <v>158191</v>
      </c>
      <c r="AC3121">
        <v>150944</v>
      </c>
      <c r="AD3121">
        <v>1.05</v>
      </c>
      <c r="AE3121">
        <v>213</v>
      </c>
      <c r="AF3121">
        <v>210</v>
      </c>
      <c r="AG3121" t="s">
        <v>120</v>
      </c>
      <c r="AH3121">
        <v>0</v>
      </c>
      <c r="AI3121" t="s">
        <v>120</v>
      </c>
      <c r="AJ3121">
        <v>12.52</v>
      </c>
      <c r="AK3121" t="s">
        <v>4625</v>
      </c>
      <c r="AL3121">
        <v>-0.31</v>
      </c>
      <c r="AM3121">
        <v>3021</v>
      </c>
      <c r="AN3121">
        <v>102</v>
      </c>
      <c r="AO3121">
        <v>8.0000000000000004E-4</v>
      </c>
      <c r="AP3121">
        <v>-1</v>
      </c>
      <c r="AQ3121">
        <v>4.53</v>
      </c>
      <c r="AR3121">
        <v>-1.03</v>
      </c>
      <c r="AS3121">
        <v>7.43</v>
      </c>
      <c r="AT3121">
        <v>15.49</v>
      </c>
      <c r="AU3121">
        <v>10.88</v>
      </c>
      <c r="AV3121">
        <v>0</v>
      </c>
      <c r="AW3121">
        <v>4.04</v>
      </c>
      <c r="AX3121">
        <v>55.8</v>
      </c>
      <c r="AY3121">
        <v>23.77</v>
      </c>
      <c r="AZ3121">
        <v>30.44</v>
      </c>
      <c r="BA3121">
        <v>0.62</v>
      </c>
      <c r="BB3121" t="s">
        <v>184</v>
      </c>
      <c r="BF3121">
        <v>0.48</v>
      </c>
      <c r="BG3121">
        <v>-1.45</v>
      </c>
      <c r="BH3121">
        <v>-4.79</v>
      </c>
      <c r="BI3121">
        <v>0.42</v>
      </c>
      <c r="BJ3121">
        <v>20210831</v>
      </c>
      <c r="BK3121">
        <v>20040802</v>
      </c>
      <c r="BL3121">
        <v>13.71</v>
      </c>
      <c r="BM3121" t="s">
        <v>120</v>
      </c>
      <c r="BN3121" t="s">
        <v>120</v>
      </c>
      <c r="BO3121">
        <v>231.05</v>
      </c>
      <c r="BP3121">
        <v>4.7699999999999996</v>
      </c>
      <c r="BQ3121">
        <v>45.35</v>
      </c>
      <c r="BR3121">
        <v>9.7200000000000006</v>
      </c>
      <c r="BS3121">
        <v>76.16</v>
      </c>
      <c r="BT3121">
        <v>161.86000000000001</v>
      </c>
      <c r="BU3121">
        <v>48.11</v>
      </c>
      <c r="BV3121">
        <v>8.84</v>
      </c>
      <c r="BW3121">
        <v>150.22</v>
      </c>
      <c r="BX3121">
        <v>31.26</v>
      </c>
      <c r="BY3121">
        <v>34.450000000000003</v>
      </c>
      <c r="BZ3121">
        <v>49.03</v>
      </c>
      <c r="CA3121" t="s">
        <v>120</v>
      </c>
      <c r="CB3121">
        <v>14.47</v>
      </c>
      <c r="CC3121">
        <v>205.88</v>
      </c>
      <c r="CD3121">
        <v>192.4</v>
      </c>
      <c r="CE3121">
        <v>3.01</v>
      </c>
      <c r="CF3121">
        <v>0</v>
      </c>
      <c r="CG3121">
        <v>3.03</v>
      </c>
      <c r="CH3121">
        <v>2.33</v>
      </c>
      <c r="CI3121">
        <v>1.93</v>
      </c>
      <c r="CJ3121">
        <v>-0.08</v>
      </c>
      <c r="CK3121">
        <v>1.89</v>
      </c>
      <c r="CL3121">
        <v>15.25</v>
      </c>
      <c r="CM3121">
        <v>-11.29</v>
      </c>
      <c r="CN3121">
        <v>-1.98</v>
      </c>
      <c r="CO3121">
        <v>35696</v>
      </c>
      <c r="CP3121">
        <v>21436</v>
      </c>
      <c r="CQ3121" t="s">
        <v>8565</v>
      </c>
      <c r="CR3121">
        <v>46.47</v>
      </c>
      <c r="CS3121">
        <v>29.15</v>
      </c>
      <c r="CT3121">
        <v>1.44</v>
      </c>
      <c r="CU3121">
        <v>-5.79</v>
      </c>
      <c r="CV3121">
        <v>0.32</v>
      </c>
      <c r="CW3121">
        <v>0.99</v>
      </c>
      <c r="CX3121" t="s">
        <v>300</v>
      </c>
      <c r="CY3121">
        <v>3.31</v>
      </c>
      <c r="CZ3121">
        <v>0</v>
      </c>
      <c r="DA3121">
        <v>1.06</v>
      </c>
      <c r="DB3121">
        <v>1.1100000000000001</v>
      </c>
      <c r="DC3121">
        <v>-0.82</v>
      </c>
      <c r="DD3121">
        <v>19.63</v>
      </c>
      <c r="DE3121" t="s">
        <v>10507</v>
      </c>
      <c r="DF3121">
        <v>6.55</v>
      </c>
      <c r="DG3121">
        <v>1.46</v>
      </c>
      <c r="DH3121">
        <v>0.94</v>
      </c>
      <c r="DI3121">
        <v>2.91</v>
      </c>
      <c r="DJ3121">
        <v>6010</v>
      </c>
      <c r="DK3121">
        <v>600973</v>
      </c>
      <c r="DL3121" t="s">
        <v>120</v>
      </c>
      <c r="DM3121" t="s">
        <v>120</v>
      </c>
      <c r="DN3121" t="s">
        <v>120</v>
      </c>
    </row>
    <row r="3122" spans="1:118">
      <c r="A3122" t="str">
        <f>"600975"</f>
        <v>600975</v>
      </c>
      <c r="B3122" t="s">
        <v>13543</v>
      </c>
      <c r="C3122">
        <v>2.89</v>
      </c>
      <c r="D3122">
        <v>0</v>
      </c>
      <c r="E3122">
        <v>-0.48</v>
      </c>
      <c r="F3122">
        <v>4458</v>
      </c>
      <c r="G3122" t="s">
        <v>13544</v>
      </c>
      <c r="H3122">
        <v>19395.52</v>
      </c>
      <c r="I3122">
        <v>14.51</v>
      </c>
      <c r="J3122" t="s">
        <v>120</v>
      </c>
      <c r="K3122" t="s">
        <v>8409</v>
      </c>
      <c r="L3122">
        <v>4.66</v>
      </c>
      <c r="M3122">
        <v>6.41</v>
      </c>
      <c r="N3122">
        <v>3.2</v>
      </c>
      <c r="O3122">
        <v>3.85</v>
      </c>
      <c r="P3122">
        <v>6.47</v>
      </c>
      <c r="Q3122">
        <v>-0.8</v>
      </c>
      <c r="R3122">
        <v>6.18</v>
      </c>
      <c r="S3122">
        <v>6.2</v>
      </c>
      <c r="T3122">
        <v>304175</v>
      </c>
      <c r="U3122">
        <v>6.42</v>
      </c>
      <c r="V3122">
        <v>6.23</v>
      </c>
      <c r="W3122">
        <v>28.29</v>
      </c>
      <c r="X3122" t="s">
        <v>447</v>
      </c>
      <c r="Y3122" t="s">
        <v>594</v>
      </c>
      <c r="Z3122">
        <v>4.6500000000000004</v>
      </c>
      <c r="AA3122">
        <v>6.38</v>
      </c>
      <c r="AB3122">
        <v>122713</v>
      </c>
      <c r="AC3122">
        <v>181462</v>
      </c>
      <c r="AD3122">
        <v>0.68</v>
      </c>
      <c r="AE3122">
        <v>781</v>
      </c>
      <c r="AF3122">
        <v>1641</v>
      </c>
      <c r="AG3122" t="s">
        <v>120</v>
      </c>
      <c r="AH3122">
        <v>0.01</v>
      </c>
      <c r="AI3122" t="s">
        <v>120</v>
      </c>
      <c r="AJ3122">
        <v>6.53</v>
      </c>
      <c r="AK3122" t="s">
        <v>8409</v>
      </c>
      <c r="AL3122">
        <v>4.2300000000000004</v>
      </c>
      <c r="AM3122">
        <v>3351</v>
      </c>
      <c r="AN3122">
        <v>91</v>
      </c>
      <c r="AO3122">
        <v>1.4E-3</v>
      </c>
      <c r="AP3122">
        <v>2</v>
      </c>
      <c r="AQ3122">
        <v>0.32</v>
      </c>
      <c r="AR3122">
        <v>1.74</v>
      </c>
      <c r="AS3122">
        <v>4.4000000000000004</v>
      </c>
      <c r="AT3122">
        <v>5.43</v>
      </c>
      <c r="AU3122">
        <v>-19.78</v>
      </c>
      <c r="AV3122">
        <v>2</v>
      </c>
      <c r="AW3122">
        <v>6.97</v>
      </c>
      <c r="AX3122">
        <v>66.89</v>
      </c>
      <c r="AY3122">
        <v>19.61</v>
      </c>
      <c r="AZ3122">
        <v>14.38</v>
      </c>
      <c r="BA3122">
        <v>0.36</v>
      </c>
      <c r="BB3122" t="s">
        <v>143</v>
      </c>
      <c r="BF3122">
        <v>2.35</v>
      </c>
      <c r="BG3122">
        <v>3.39</v>
      </c>
      <c r="BH3122">
        <v>-0.93</v>
      </c>
      <c r="BI3122">
        <v>3.72</v>
      </c>
      <c r="BJ3122">
        <v>20210831</v>
      </c>
      <c r="BK3122">
        <v>20040609</v>
      </c>
      <c r="BL3122">
        <v>6.53</v>
      </c>
      <c r="BM3122" t="s">
        <v>120</v>
      </c>
      <c r="BN3122" t="s">
        <v>120</v>
      </c>
      <c r="BO3122">
        <v>36.83</v>
      </c>
      <c r="BP3122">
        <v>6.41</v>
      </c>
      <c r="BQ3122">
        <v>14.58</v>
      </c>
      <c r="BR3122">
        <v>1</v>
      </c>
      <c r="BS3122">
        <v>57.68</v>
      </c>
      <c r="BT3122">
        <v>13.64</v>
      </c>
      <c r="BU3122">
        <v>4.9800000000000004</v>
      </c>
      <c r="BV3122">
        <v>0.88</v>
      </c>
      <c r="BW3122">
        <v>10.75</v>
      </c>
      <c r="BX3122">
        <v>2.4500000000000002</v>
      </c>
      <c r="BY3122">
        <v>9.6999999999999993</v>
      </c>
      <c r="BZ3122">
        <v>0.27</v>
      </c>
      <c r="CA3122" t="s">
        <v>120</v>
      </c>
      <c r="CB3122">
        <v>2.52</v>
      </c>
      <c r="CC3122">
        <v>9.68</v>
      </c>
      <c r="CD3122">
        <v>7.93</v>
      </c>
      <c r="CE3122">
        <v>0.82</v>
      </c>
      <c r="CF3122">
        <v>-0.02</v>
      </c>
      <c r="CG3122">
        <v>0.81</v>
      </c>
      <c r="CH3122">
        <v>0.8</v>
      </c>
      <c r="CI3122">
        <v>0.74</v>
      </c>
      <c r="CJ3122">
        <v>0.18</v>
      </c>
      <c r="CK3122">
        <v>0.72</v>
      </c>
      <c r="CL3122">
        <v>4.42</v>
      </c>
      <c r="CM3122">
        <v>-2.42</v>
      </c>
      <c r="CN3122">
        <v>-0.23</v>
      </c>
      <c r="CO3122">
        <v>92237</v>
      </c>
      <c r="CP3122">
        <v>4733</v>
      </c>
      <c r="CQ3122" t="s">
        <v>5738</v>
      </c>
      <c r="CR3122">
        <v>-50.49</v>
      </c>
      <c r="CS3122">
        <v>4.71</v>
      </c>
      <c r="CT3122">
        <v>2.87</v>
      </c>
      <c r="CU3122">
        <v>-17.29</v>
      </c>
      <c r="CV3122">
        <v>4.32</v>
      </c>
      <c r="CW3122">
        <v>0.8</v>
      </c>
      <c r="CX3122" t="s">
        <v>1147</v>
      </c>
      <c r="CY3122">
        <v>2.23</v>
      </c>
      <c r="CZ3122">
        <v>0</v>
      </c>
      <c r="DA3122">
        <v>0.39</v>
      </c>
      <c r="DB3122">
        <v>0.68</v>
      </c>
      <c r="DC3122">
        <v>-0.37</v>
      </c>
      <c r="DD3122">
        <v>39.590000000000003</v>
      </c>
      <c r="DE3122" t="s">
        <v>1813</v>
      </c>
      <c r="DF3122">
        <v>18.079999999999998</v>
      </c>
      <c r="DG3122">
        <v>8.48</v>
      </c>
      <c r="DH3122">
        <v>7.63</v>
      </c>
      <c r="DI3122">
        <v>0.05</v>
      </c>
      <c r="DJ3122">
        <v>1551</v>
      </c>
      <c r="DK3122">
        <v>600975</v>
      </c>
      <c r="DL3122" t="s">
        <v>120</v>
      </c>
      <c r="DM3122" t="s">
        <v>120</v>
      </c>
      <c r="DN3122" t="s">
        <v>120</v>
      </c>
    </row>
    <row r="3123" spans="1:118">
      <c r="A3123" t="str">
        <f>"600976"</f>
        <v>600976</v>
      </c>
      <c r="B3123" t="s">
        <v>13545</v>
      </c>
      <c r="C3123">
        <v>-1.93</v>
      </c>
      <c r="D3123">
        <v>-0.25</v>
      </c>
      <c r="E3123">
        <v>-0.38</v>
      </c>
      <c r="F3123">
        <v>199</v>
      </c>
      <c r="G3123" t="s">
        <v>7424</v>
      </c>
      <c r="H3123">
        <v>10506.43</v>
      </c>
      <c r="I3123">
        <v>2.54</v>
      </c>
      <c r="J3123" t="s">
        <v>120</v>
      </c>
      <c r="K3123" t="s">
        <v>13546</v>
      </c>
      <c r="L3123">
        <v>1.67</v>
      </c>
      <c r="M3123">
        <v>41.74</v>
      </c>
      <c r="N3123">
        <v>1.08</v>
      </c>
      <c r="O3123">
        <v>0.8</v>
      </c>
      <c r="P3123">
        <v>42.9</v>
      </c>
      <c r="Q3123">
        <v>-4.6500000000000004</v>
      </c>
      <c r="R3123">
        <v>40.58</v>
      </c>
      <c r="S3123">
        <v>42.4</v>
      </c>
      <c r="T3123">
        <v>25358</v>
      </c>
      <c r="U3123">
        <v>41.74</v>
      </c>
      <c r="V3123">
        <v>42.56</v>
      </c>
      <c r="W3123">
        <v>19.149999999999999</v>
      </c>
      <c r="X3123" t="s">
        <v>771</v>
      </c>
      <c r="Y3123" t="s">
        <v>763</v>
      </c>
      <c r="Z3123">
        <v>5.45</v>
      </c>
      <c r="AA3123">
        <v>41.43</v>
      </c>
      <c r="AB3123">
        <v>13321</v>
      </c>
      <c r="AC3123">
        <v>12037</v>
      </c>
      <c r="AD3123">
        <v>1.1100000000000001</v>
      </c>
      <c r="AE3123">
        <v>7</v>
      </c>
      <c r="AF3123">
        <v>9</v>
      </c>
      <c r="AG3123" t="s">
        <v>120</v>
      </c>
      <c r="AH3123">
        <v>0</v>
      </c>
      <c r="AI3123" t="s">
        <v>120</v>
      </c>
      <c r="AJ3123">
        <v>1.52</v>
      </c>
      <c r="AK3123" t="s">
        <v>13547</v>
      </c>
      <c r="AL3123">
        <v>-0.57999999999999996</v>
      </c>
      <c r="AM3123">
        <v>2443</v>
      </c>
      <c r="AN3123">
        <v>10</v>
      </c>
      <c r="AO3123">
        <v>6.9999999999999999E-4</v>
      </c>
      <c r="AP3123">
        <v>-2</v>
      </c>
      <c r="AQ3123">
        <v>-2.54</v>
      </c>
      <c r="AR3123">
        <v>-3.24</v>
      </c>
      <c r="AS3123">
        <v>-16.78</v>
      </c>
      <c r="AT3123">
        <v>-5.31</v>
      </c>
      <c r="AU3123">
        <v>66.8</v>
      </c>
      <c r="AV3123">
        <v>5</v>
      </c>
      <c r="AW3123">
        <v>2.23</v>
      </c>
      <c r="AX3123">
        <v>74.150000000000006</v>
      </c>
      <c r="AY3123">
        <v>25.33</v>
      </c>
      <c r="AZ3123">
        <v>44.18</v>
      </c>
      <c r="BA3123">
        <v>1.6</v>
      </c>
      <c r="BB3123" t="s">
        <v>125</v>
      </c>
      <c r="BF3123">
        <v>-2.65</v>
      </c>
      <c r="BG3123">
        <v>-1.56</v>
      </c>
      <c r="BH3123">
        <v>-2.7</v>
      </c>
      <c r="BI3123">
        <v>2.86</v>
      </c>
      <c r="BJ3123">
        <v>20210720</v>
      </c>
      <c r="BK3123">
        <v>20040419</v>
      </c>
      <c r="BL3123">
        <v>1.53</v>
      </c>
      <c r="BM3123" t="s">
        <v>120</v>
      </c>
      <c r="BN3123" t="s">
        <v>120</v>
      </c>
      <c r="BO3123">
        <v>25.85</v>
      </c>
      <c r="BP3123">
        <v>41.72</v>
      </c>
      <c r="BQ3123">
        <v>13.93</v>
      </c>
      <c r="BR3123">
        <v>7.0000000000000007E-2</v>
      </c>
      <c r="BS3123">
        <v>45.87</v>
      </c>
      <c r="BT3123">
        <v>17.079999999999998</v>
      </c>
      <c r="BU3123">
        <v>3.56</v>
      </c>
      <c r="BV3123">
        <v>0.21</v>
      </c>
      <c r="BW3123">
        <v>11.54</v>
      </c>
      <c r="BX3123">
        <v>1.8</v>
      </c>
      <c r="BY3123">
        <v>1.1100000000000001</v>
      </c>
      <c r="BZ3123">
        <v>5.56</v>
      </c>
      <c r="CA3123" t="s">
        <v>120</v>
      </c>
      <c r="CB3123">
        <v>2.89</v>
      </c>
      <c r="CC3123">
        <v>17.93</v>
      </c>
      <c r="CD3123">
        <v>10.44</v>
      </c>
      <c r="CE3123">
        <v>1.87</v>
      </c>
      <c r="CF3123">
        <v>0.62</v>
      </c>
      <c r="CG3123">
        <v>1.87</v>
      </c>
      <c r="CH3123">
        <v>1.67</v>
      </c>
      <c r="CI3123">
        <v>1.67</v>
      </c>
      <c r="CJ3123">
        <v>-0.82</v>
      </c>
      <c r="CK3123">
        <v>1.59</v>
      </c>
      <c r="CL3123">
        <v>8.2799999999999994</v>
      </c>
      <c r="CM3123">
        <v>0.78</v>
      </c>
      <c r="CN3123">
        <v>0.85</v>
      </c>
      <c r="CO3123">
        <v>11076</v>
      </c>
      <c r="CP3123">
        <v>10270</v>
      </c>
      <c r="CQ3123" t="s">
        <v>13548</v>
      </c>
      <c r="CR3123">
        <v>192.24</v>
      </c>
      <c r="CS3123">
        <v>74.5</v>
      </c>
      <c r="CT3123">
        <v>4.5999999999999996</v>
      </c>
      <c r="CU3123">
        <v>82.54</v>
      </c>
      <c r="CV3123">
        <v>3.57</v>
      </c>
      <c r="CW3123">
        <v>0.86</v>
      </c>
      <c r="CX3123" t="s">
        <v>11914</v>
      </c>
      <c r="CY3123">
        <v>9.08</v>
      </c>
      <c r="CZ3123">
        <v>0</v>
      </c>
      <c r="DA3123">
        <v>1.89</v>
      </c>
      <c r="DB3123">
        <v>5.4</v>
      </c>
      <c r="DC3123">
        <v>0.51</v>
      </c>
      <c r="DD3123">
        <v>53.88</v>
      </c>
      <c r="DE3123" t="s">
        <v>2335</v>
      </c>
      <c r="DF3123">
        <v>41.74</v>
      </c>
      <c r="DG3123">
        <v>10.44</v>
      </c>
      <c r="DH3123">
        <v>9.32</v>
      </c>
      <c r="DI3123">
        <v>0.16</v>
      </c>
      <c r="DJ3123">
        <v>1801</v>
      </c>
      <c r="DK3123">
        <v>600976</v>
      </c>
      <c r="DL3123" t="s">
        <v>120</v>
      </c>
      <c r="DM3123" t="s">
        <v>120</v>
      </c>
      <c r="DN3123" t="s">
        <v>120</v>
      </c>
    </row>
    <row r="3124" spans="1:118">
      <c r="A3124" t="str">
        <f>"600977"</f>
        <v>600977</v>
      </c>
      <c r="B3124" t="s">
        <v>13549</v>
      </c>
      <c r="C3124">
        <v>1.29</v>
      </c>
      <c r="D3124">
        <v>-7.0000000000000007E-2</v>
      </c>
      <c r="E3124">
        <v>0.23</v>
      </c>
      <c r="F3124">
        <v>4041</v>
      </c>
      <c r="G3124" t="s">
        <v>13550</v>
      </c>
      <c r="H3124">
        <v>33285.230000000003</v>
      </c>
      <c r="I3124">
        <v>216.78</v>
      </c>
      <c r="J3124" t="s">
        <v>120</v>
      </c>
      <c r="K3124" t="s">
        <v>13551</v>
      </c>
      <c r="L3124">
        <v>1.34</v>
      </c>
      <c r="M3124">
        <v>13.31</v>
      </c>
      <c r="N3124">
        <v>1.25</v>
      </c>
      <c r="O3124">
        <v>2.21</v>
      </c>
      <c r="P3124">
        <v>13.43</v>
      </c>
      <c r="Q3124">
        <v>0</v>
      </c>
      <c r="R3124">
        <v>13.14</v>
      </c>
      <c r="S3124">
        <v>13.17</v>
      </c>
      <c r="T3124">
        <v>250525</v>
      </c>
      <c r="U3124">
        <v>13.32</v>
      </c>
      <c r="V3124">
        <v>13.14</v>
      </c>
      <c r="W3124">
        <v>40.71</v>
      </c>
      <c r="X3124" t="s">
        <v>584</v>
      </c>
      <c r="Y3124" t="s">
        <v>158</v>
      </c>
      <c r="Z3124">
        <v>2.21</v>
      </c>
      <c r="AA3124">
        <v>13.29</v>
      </c>
      <c r="AB3124">
        <v>132160</v>
      </c>
      <c r="AC3124">
        <v>118365</v>
      </c>
      <c r="AD3124">
        <v>1.1200000000000001</v>
      </c>
      <c r="AE3124">
        <v>1474</v>
      </c>
      <c r="AF3124">
        <v>1129</v>
      </c>
      <c r="AG3124" t="s">
        <v>120</v>
      </c>
      <c r="AH3124">
        <v>0.03</v>
      </c>
      <c r="AI3124" t="s">
        <v>120</v>
      </c>
      <c r="AJ3124">
        <v>18.670000000000002</v>
      </c>
      <c r="AK3124" t="s">
        <v>13551</v>
      </c>
      <c r="AL3124">
        <v>2.64</v>
      </c>
      <c r="AM3124">
        <v>3875</v>
      </c>
      <c r="AN3124">
        <v>65</v>
      </c>
      <c r="AO3124">
        <v>2.9999999999999997E-4</v>
      </c>
      <c r="AP3124">
        <v>2</v>
      </c>
      <c r="AQ3124">
        <v>5.8</v>
      </c>
      <c r="AR3124">
        <v>5.72</v>
      </c>
      <c r="AS3124">
        <v>15.43</v>
      </c>
      <c r="AT3124">
        <v>7.95</v>
      </c>
      <c r="AU3124">
        <v>6.82</v>
      </c>
      <c r="AV3124">
        <v>0</v>
      </c>
      <c r="AW3124">
        <v>4.1100000000000003</v>
      </c>
      <c r="AX3124">
        <v>32.64</v>
      </c>
      <c r="AY3124">
        <v>97.64</v>
      </c>
      <c r="AZ3124" t="s">
        <v>120</v>
      </c>
      <c r="BA3124">
        <v>0.08</v>
      </c>
      <c r="BB3124" t="s">
        <v>184</v>
      </c>
      <c r="BF3124">
        <v>1.1100000000000001</v>
      </c>
      <c r="BG3124">
        <v>1.06</v>
      </c>
      <c r="BH3124">
        <v>-0.89</v>
      </c>
      <c r="BI3124">
        <v>1.29</v>
      </c>
      <c r="BJ3124">
        <v>20210830</v>
      </c>
      <c r="BK3124">
        <v>20160809</v>
      </c>
      <c r="BL3124">
        <v>18.670000000000002</v>
      </c>
      <c r="BM3124" t="s">
        <v>120</v>
      </c>
      <c r="BN3124" t="s">
        <v>120</v>
      </c>
      <c r="BO3124">
        <v>205.96</v>
      </c>
      <c r="BP3124">
        <v>13.31</v>
      </c>
      <c r="BQ3124">
        <v>111.67</v>
      </c>
      <c r="BR3124">
        <v>6.19</v>
      </c>
      <c r="BS3124">
        <v>42.78</v>
      </c>
      <c r="BT3124">
        <v>131.16999999999999</v>
      </c>
      <c r="BU3124">
        <v>17.91</v>
      </c>
      <c r="BV3124">
        <v>8.32</v>
      </c>
      <c r="BW3124">
        <v>60.29</v>
      </c>
      <c r="BX3124">
        <v>73.02</v>
      </c>
      <c r="BY3124">
        <v>20.14</v>
      </c>
      <c r="BZ3124">
        <v>22.95</v>
      </c>
      <c r="CA3124">
        <v>1.6</v>
      </c>
      <c r="CB3124">
        <v>43.92</v>
      </c>
      <c r="CC3124">
        <v>30.12</v>
      </c>
      <c r="CD3124">
        <v>23.37</v>
      </c>
      <c r="CE3124">
        <v>4.16</v>
      </c>
      <c r="CF3124">
        <v>0.44</v>
      </c>
      <c r="CG3124">
        <v>4.25</v>
      </c>
      <c r="CH3124">
        <v>3.17</v>
      </c>
      <c r="CI3124">
        <v>3.05</v>
      </c>
      <c r="CJ3124">
        <v>0.17</v>
      </c>
      <c r="CK3124">
        <v>2.6</v>
      </c>
      <c r="CL3124">
        <v>42.83</v>
      </c>
      <c r="CM3124">
        <v>13.24</v>
      </c>
      <c r="CN3124">
        <v>8.9700000000000006</v>
      </c>
      <c r="CO3124">
        <v>89844</v>
      </c>
      <c r="CP3124">
        <v>6782</v>
      </c>
      <c r="CQ3124" t="s">
        <v>13552</v>
      </c>
      <c r="CR3124">
        <v>160.77000000000001</v>
      </c>
      <c r="CS3124">
        <v>553.23</v>
      </c>
      <c r="CT3124">
        <v>2.23</v>
      </c>
      <c r="CU3124">
        <v>18.77</v>
      </c>
      <c r="CV3124">
        <v>8.25</v>
      </c>
      <c r="CW3124">
        <v>0</v>
      </c>
      <c r="CX3124" t="s">
        <v>1091</v>
      </c>
      <c r="CY3124">
        <v>5.98</v>
      </c>
      <c r="CZ3124">
        <v>0</v>
      </c>
      <c r="DA3124">
        <v>2.35</v>
      </c>
      <c r="DB3124">
        <v>2.29</v>
      </c>
      <c r="DC3124">
        <v>0.71</v>
      </c>
      <c r="DD3124">
        <v>54.22</v>
      </c>
      <c r="DE3124" t="s">
        <v>13553</v>
      </c>
      <c r="DF3124">
        <v>22.43</v>
      </c>
      <c r="DG3124">
        <v>13.8</v>
      </c>
      <c r="DH3124">
        <v>10.130000000000001</v>
      </c>
      <c r="DI3124">
        <v>0.24</v>
      </c>
      <c r="DJ3124">
        <v>3660</v>
      </c>
      <c r="DK3124">
        <v>600977</v>
      </c>
      <c r="DL3124" t="s">
        <v>120</v>
      </c>
      <c r="DM3124" t="s">
        <v>120</v>
      </c>
      <c r="DN3124" t="s">
        <v>120</v>
      </c>
    </row>
    <row r="3125" spans="1:118">
      <c r="A3125" t="str">
        <f>"600979"</f>
        <v>600979</v>
      </c>
      <c r="B3125" t="s">
        <v>13554</v>
      </c>
      <c r="C3125">
        <v>-1.78</v>
      </c>
      <c r="D3125">
        <v>0</v>
      </c>
      <c r="E3125">
        <v>-0.3</v>
      </c>
      <c r="F3125">
        <v>2350</v>
      </c>
      <c r="G3125" t="s">
        <v>4383</v>
      </c>
      <c r="H3125">
        <v>7717.16</v>
      </c>
      <c r="I3125">
        <v>14.93</v>
      </c>
      <c r="J3125" t="s">
        <v>120</v>
      </c>
      <c r="K3125" t="s">
        <v>13555</v>
      </c>
      <c r="L3125">
        <v>1.86</v>
      </c>
      <c r="M3125">
        <v>3.32</v>
      </c>
      <c r="N3125">
        <v>0.77</v>
      </c>
      <c r="O3125">
        <v>1.48</v>
      </c>
      <c r="P3125">
        <v>3.43</v>
      </c>
      <c r="Q3125">
        <v>-2.37</v>
      </c>
      <c r="R3125">
        <v>3.3</v>
      </c>
      <c r="S3125">
        <v>3.37</v>
      </c>
      <c r="T3125">
        <v>228705</v>
      </c>
      <c r="U3125">
        <v>3.32</v>
      </c>
      <c r="V3125">
        <v>3.38</v>
      </c>
      <c r="W3125">
        <v>19.53</v>
      </c>
      <c r="X3125" t="s">
        <v>1287</v>
      </c>
      <c r="Y3125" t="s">
        <v>578</v>
      </c>
      <c r="Z3125">
        <v>3.85</v>
      </c>
      <c r="AA3125">
        <v>3.37</v>
      </c>
      <c r="AB3125">
        <v>126817</v>
      </c>
      <c r="AC3125">
        <v>101888</v>
      </c>
      <c r="AD3125">
        <v>1.24</v>
      </c>
      <c r="AE3125">
        <v>1396</v>
      </c>
      <c r="AF3125">
        <v>4161</v>
      </c>
      <c r="AG3125" t="s">
        <v>120</v>
      </c>
      <c r="AH3125">
        <v>0.01</v>
      </c>
      <c r="AI3125" t="s">
        <v>120</v>
      </c>
      <c r="AJ3125">
        <v>12.32</v>
      </c>
      <c r="AK3125" t="s">
        <v>13555</v>
      </c>
      <c r="AL3125">
        <v>-0.43</v>
      </c>
      <c r="AM3125">
        <v>2591</v>
      </c>
      <c r="AN3125">
        <v>88</v>
      </c>
      <c r="AO3125">
        <v>6.9999999999999999E-4</v>
      </c>
      <c r="AP3125">
        <v>-1</v>
      </c>
      <c r="AQ3125">
        <v>2.74</v>
      </c>
      <c r="AR3125">
        <v>-2.64</v>
      </c>
      <c r="AS3125">
        <v>11.03</v>
      </c>
      <c r="AT3125">
        <v>12.16</v>
      </c>
      <c r="AU3125">
        <v>0.6</v>
      </c>
      <c r="AV3125">
        <v>2</v>
      </c>
      <c r="AW3125">
        <v>2.95</v>
      </c>
      <c r="AX3125">
        <v>62.82</v>
      </c>
      <c r="AY3125">
        <v>20.010000000000002</v>
      </c>
      <c r="AZ3125">
        <v>22.05</v>
      </c>
      <c r="BA3125">
        <v>0.61</v>
      </c>
      <c r="BB3125" t="s">
        <v>184</v>
      </c>
      <c r="BF3125">
        <v>-0.17</v>
      </c>
      <c r="BG3125">
        <v>-1.48</v>
      </c>
      <c r="BH3125">
        <v>-3.21</v>
      </c>
      <c r="BI3125">
        <v>0.61</v>
      </c>
      <c r="BJ3125">
        <v>20210830</v>
      </c>
      <c r="BK3125">
        <v>20040906</v>
      </c>
      <c r="BL3125">
        <v>12.32</v>
      </c>
      <c r="BM3125" t="s">
        <v>120</v>
      </c>
      <c r="BN3125" t="s">
        <v>120</v>
      </c>
      <c r="BO3125">
        <v>94.31</v>
      </c>
      <c r="BP3125">
        <v>3.31</v>
      </c>
      <c r="BQ3125">
        <v>40.22</v>
      </c>
      <c r="BR3125">
        <v>2.37</v>
      </c>
      <c r="BS3125">
        <v>54.84</v>
      </c>
      <c r="BT3125">
        <v>14.9</v>
      </c>
      <c r="BU3125">
        <v>58.08</v>
      </c>
      <c r="BV3125">
        <v>2.56</v>
      </c>
      <c r="BW3125">
        <v>19.260000000000002</v>
      </c>
      <c r="BX3125">
        <v>5.55</v>
      </c>
      <c r="BY3125">
        <v>2.35</v>
      </c>
      <c r="BZ3125">
        <v>3.49</v>
      </c>
      <c r="CA3125" t="s">
        <v>120</v>
      </c>
      <c r="CB3125">
        <v>15</v>
      </c>
      <c r="CC3125">
        <v>10.85</v>
      </c>
      <c r="CD3125">
        <v>7.39</v>
      </c>
      <c r="CE3125">
        <v>1.22</v>
      </c>
      <c r="CF3125">
        <v>-0.06</v>
      </c>
      <c r="CG3125">
        <v>1.23</v>
      </c>
      <c r="CH3125">
        <v>1.02</v>
      </c>
      <c r="CI3125">
        <v>1.05</v>
      </c>
      <c r="CJ3125">
        <v>-0.06</v>
      </c>
      <c r="CK3125">
        <v>0.96</v>
      </c>
      <c r="CL3125">
        <v>11.1</v>
      </c>
      <c r="CM3125">
        <v>1.99</v>
      </c>
      <c r="CN3125">
        <v>-0.24</v>
      </c>
      <c r="CO3125">
        <v>47386</v>
      </c>
      <c r="CP3125">
        <v>16335</v>
      </c>
      <c r="CQ3125" t="s">
        <v>13556</v>
      </c>
      <c r="CR3125">
        <v>22.62</v>
      </c>
      <c r="CS3125">
        <v>5.15</v>
      </c>
      <c r="CT3125">
        <v>1.02</v>
      </c>
      <c r="CU3125">
        <v>20.52</v>
      </c>
      <c r="CV3125">
        <v>3.77</v>
      </c>
      <c r="CW3125">
        <v>1.48</v>
      </c>
      <c r="CX3125" t="s">
        <v>973</v>
      </c>
      <c r="CY3125">
        <v>3.26</v>
      </c>
      <c r="CZ3125">
        <v>0</v>
      </c>
      <c r="DA3125">
        <v>1.22</v>
      </c>
      <c r="DB3125">
        <v>0.9</v>
      </c>
      <c r="DC3125">
        <v>0.16</v>
      </c>
      <c r="DD3125">
        <v>42.65</v>
      </c>
      <c r="DE3125" t="s">
        <v>3597</v>
      </c>
      <c r="DF3125">
        <v>31.85</v>
      </c>
      <c r="DG3125">
        <v>11.29</v>
      </c>
      <c r="DH3125">
        <v>9.65</v>
      </c>
      <c r="DI3125">
        <v>0.01</v>
      </c>
      <c r="DJ3125">
        <v>2512</v>
      </c>
      <c r="DK3125">
        <v>600979</v>
      </c>
      <c r="DL3125" t="s">
        <v>120</v>
      </c>
      <c r="DM3125" t="s">
        <v>120</v>
      </c>
      <c r="DN3125" t="s">
        <v>120</v>
      </c>
    </row>
    <row r="3126" spans="1:118">
      <c r="A3126" t="str">
        <f>"600980"</f>
        <v>600980</v>
      </c>
      <c r="B3126" t="s">
        <v>13557</v>
      </c>
      <c r="C3126">
        <v>-5.43</v>
      </c>
      <c r="D3126">
        <v>0.22</v>
      </c>
      <c r="E3126">
        <v>0.46</v>
      </c>
      <c r="F3126">
        <v>678</v>
      </c>
      <c r="G3126" t="s">
        <v>11741</v>
      </c>
      <c r="H3126">
        <v>19893.72</v>
      </c>
      <c r="I3126">
        <v>76.64</v>
      </c>
      <c r="J3126" t="s">
        <v>120</v>
      </c>
      <c r="K3126" t="s">
        <v>10998</v>
      </c>
      <c r="L3126">
        <v>6.84</v>
      </c>
      <c r="M3126">
        <v>18.45</v>
      </c>
      <c r="N3126">
        <v>0.89</v>
      </c>
      <c r="O3126">
        <v>1.79</v>
      </c>
      <c r="P3126">
        <v>19.86</v>
      </c>
      <c r="Q3126">
        <v>-5.95</v>
      </c>
      <c r="R3126">
        <v>18.350000000000001</v>
      </c>
      <c r="S3126">
        <v>19.600000000000001</v>
      </c>
      <c r="T3126">
        <v>104177</v>
      </c>
      <c r="U3126">
        <v>18.46</v>
      </c>
      <c r="V3126">
        <v>19.510000000000002</v>
      </c>
      <c r="W3126">
        <v>49.84</v>
      </c>
      <c r="X3126" t="s">
        <v>229</v>
      </c>
      <c r="Y3126" t="s">
        <v>158</v>
      </c>
      <c r="Z3126">
        <v>7.74</v>
      </c>
      <c r="AA3126">
        <v>19.100000000000001</v>
      </c>
      <c r="AB3126">
        <v>63764</v>
      </c>
      <c r="AC3126">
        <v>40413</v>
      </c>
      <c r="AD3126">
        <v>1.58</v>
      </c>
      <c r="AE3126">
        <v>1054</v>
      </c>
      <c r="AF3126">
        <v>112</v>
      </c>
      <c r="AG3126" t="s">
        <v>120</v>
      </c>
      <c r="AH3126">
        <v>0.04</v>
      </c>
      <c r="AI3126" t="s">
        <v>120</v>
      </c>
      <c r="AJ3126">
        <v>1.52</v>
      </c>
      <c r="AK3126" t="s">
        <v>13558</v>
      </c>
      <c r="AL3126">
        <v>-4.09</v>
      </c>
      <c r="AM3126">
        <v>3339</v>
      </c>
      <c r="AN3126">
        <v>31</v>
      </c>
      <c r="AO3126">
        <v>2E-3</v>
      </c>
      <c r="AP3126">
        <v>-2</v>
      </c>
      <c r="AQ3126">
        <v>-2.16</v>
      </c>
      <c r="AR3126">
        <v>-5.73</v>
      </c>
      <c r="AS3126">
        <v>6.71</v>
      </c>
      <c r="AT3126">
        <v>22.19</v>
      </c>
      <c r="AU3126">
        <v>34.81</v>
      </c>
      <c r="AV3126">
        <v>8</v>
      </c>
      <c r="AW3126">
        <v>11.41</v>
      </c>
      <c r="AX3126">
        <v>52.53</v>
      </c>
      <c r="AY3126">
        <v>55.75</v>
      </c>
      <c r="AZ3126">
        <v>70.86</v>
      </c>
      <c r="BA3126">
        <v>0.89</v>
      </c>
      <c r="BB3126" t="s">
        <v>143</v>
      </c>
      <c r="BF3126">
        <v>-2.12</v>
      </c>
      <c r="BG3126">
        <v>-5.87</v>
      </c>
      <c r="BH3126">
        <v>-7.1</v>
      </c>
      <c r="BI3126">
        <v>0.54</v>
      </c>
      <c r="BJ3126">
        <v>20210915</v>
      </c>
      <c r="BK3126">
        <v>20040512</v>
      </c>
      <c r="BL3126">
        <v>1.74</v>
      </c>
      <c r="BM3126" t="s">
        <v>120</v>
      </c>
      <c r="BN3126" t="s">
        <v>120</v>
      </c>
      <c r="BO3126">
        <v>11.73</v>
      </c>
      <c r="BP3126">
        <v>18.45</v>
      </c>
      <c r="BQ3126">
        <v>8.84</v>
      </c>
      <c r="BR3126">
        <v>7.0000000000000007E-2</v>
      </c>
      <c r="BS3126">
        <v>24.1</v>
      </c>
      <c r="BT3126">
        <v>8.98</v>
      </c>
      <c r="BU3126">
        <v>1.48</v>
      </c>
      <c r="BV3126">
        <v>0.89</v>
      </c>
      <c r="BW3126">
        <v>2.54</v>
      </c>
      <c r="BX3126">
        <v>1.21</v>
      </c>
      <c r="BY3126">
        <v>2.23</v>
      </c>
      <c r="BZ3126">
        <v>1.57</v>
      </c>
      <c r="CA3126" t="s">
        <v>120</v>
      </c>
      <c r="CB3126">
        <v>4.4800000000000004</v>
      </c>
      <c r="CC3126">
        <v>3.27</v>
      </c>
      <c r="CD3126">
        <v>2.38</v>
      </c>
      <c r="CE3126">
        <v>0.4</v>
      </c>
      <c r="CF3126">
        <v>0</v>
      </c>
      <c r="CG3126">
        <v>0.4</v>
      </c>
      <c r="CH3126">
        <v>0.32</v>
      </c>
      <c r="CI3126">
        <v>0.32</v>
      </c>
      <c r="CJ3126">
        <v>-1.06</v>
      </c>
      <c r="CK3126">
        <v>0.3</v>
      </c>
      <c r="CL3126">
        <v>2.33</v>
      </c>
      <c r="CM3126">
        <v>0.16</v>
      </c>
      <c r="CN3126">
        <v>-0.82</v>
      </c>
      <c r="CO3126">
        <v>26682</v>
      </c>
      <c r="CP3126">
        <v>3423</v>
      </c>
      <c r="CQ3126" t="s">
        <v>2404</v>
      </c>
      <c r="CR3126">
        <v>67.569999999999993</v>
      </c>
      <c r="CS3126">
        <v>28.66</v>
      </c>
      <c r="CT3126">
        <v>3.63</v>
      </c>
      <c r="CU3126">
        <v>199</v>
      </c>
      <c r="CV3126">
        <v>9.81</v>
      </c>
      <c r="CW3126">
        <v>0.16</v>
      </c>
      <c r="CX3126" t="s">
        <v>442</v>
      </c>
      <c r="CY3126">
        <v>5.08</v>
      </c>
      <c r="CZ3126">
        <v>0</v>
      </c>
      <c r="DA3126">
        <v>2.58</v>
      </c>
      <c r="DB3126">
        <v>1.34</v>
      </c>
      <c r="DC3126">
        <v>0.09</v>
      </c>
      <c r="DD3126">
        <v>75.349999999999994</v>
      </c>
      <c r="DE3126" t="s">
        <v>1141</v>
      </c>
      <c r="DF3126">
        <v>27.14</v>
      </c>
      <c r="DG3126">
        <v>12.14</v>
      </c>
      <c r="DH3126">
        <v>9.84</v>
      </c>
      <c r="DI3126">
        <v>0.17</v>
      </c>
      <c r="DJ3126">
        <v>612</v>
      </c>
      <c r="DK3126">
        <v>600980</v>
      </c>
      <c r="DL3126">
        <v>20210824</v>
      </c>
      <c r="DM3126">
        <v>19.23</v>
      </c>
      <c r="DN3126">
        <v>-4.0599999999999996</v>
      </c>
    </row>
    <row r="3127" spans="1:118">
      <c r="A3127" t="str">
        <f>"600981"</f>
        <v>600981</v>
      </c>
      <c r="B3127" t="s">
        <v>13559</v>
      </c>
      <c r="C3127">
        <v>-1.37</v>
      </c>
      <c r="D3127">
        <v>0</v>
      </c>
      <c r="E3127">
        <v>0.34</v>
      </c>
      <c r="F3127">
        <v>428</v>
      </c>
      <c r="G3127" t="s">
        <v>13560</v>
      </c>
      <c r="H3127">
        <v>2749.1</v>
      </c>
      <c r="I3127">
        <v>0</v>
      </c>
      <c r="J3127" t="s">
        <v>120</v>
      </c>
      <c r="K3127" t="s">
        <v>13561</v>
      </c>
      <c r="L3127">
        <v>0.42</v>
      </c>
      <c r="M3127">
        <v>2.88</v>
      </c>
      <c r="N3127">
        <v>0.9</v>
      </c>
      <c r="O3127">
        <v>1.03</v>
      </c>
      <c r="P3127">
        <v>2.95</v>
      </c>
      <c r="Q3127">
        <v>-1.71</v>
      </c>
      <c r="R3127">
        <v>2.87</v>
      </c>
      <c r="S3127">
        <v>2.93</v>
      </c>
      <c r="T3127">
        <v>94620</v>
      </c>
      <c r="U3127">
        <v>2.89</v>
      </c>
      <c r="V3127">
        <v>2.92</v>
      </c>
      <c r="W3127">
        <v>25.7</v>
      </c>
      <c r="X3127" t="s">
        <v>562</v>
      </c>
      <c r="Y3127" t="s">
        <v>319</v>
      </c>
      <c r="Z3127">
        <v>2.74</v>
      </c>
      <c r="AA3127">
        <v>2.91</v>
      </c>
      <c r="AB3127">
        <v>63090</v>
      </c>
      <c r="AC3127">
        <v>31530</v>
      </c>
      <c r="AD3127">
        <v>2</v>
      </c>
      <c r="AE3127">
        <v>1639</v>
      </c>
      <c r="AF3127">
        <v>801</v>
      </c>
      <c r="AG3127" t="s">
        <v>120</v>
      </c>
      <c r="AH3127">
        <v>0</v>
      </c>
      <c r="AI3127" t="s">
        <v>120</v>
      </c>
      <c r="AJ3127">
        <v>22.42</v>
      </c>
      <c r="AK3127" t="s">
        <v>13561</v>
      </c>
      <c r="AL3127">
        <v>-0.03</v>
      </c>
      <c r="AM3127">
        <v>1407</v>
      </c>
      <c r="AN3127">
        <v>67</v>
      </c>
      <c r="AO3127">
        <v>2.9999999999999997E-4</v>
      </c>
      <c r="AP3127">
        <v>-1</v>
      </c>
      <c r="AQ3127">
        <v>1.39</v>
      </c>
      <c r="AR3127">
        <v>-1.71</v>
      </c>
      <c r="AS3127">
        <v>11.2</v>
      </c>
      <c r="AT3127">
        <v>-5.1100000000000003</v>
      </c>
      <c r="AU3127">
        <v>-4.79</v>
      </c>
      <c r="AV3127">
        <v>0</v>
      </c>
      <c r="AW3127">
        <v>1.56</v>
      </c>
      <c r="AX3127">
        <v>27.08</v>
      </c>
      <c r="AY3127">
        <v>25.44</v>
      </c>
      <c r="AZ3127">
        <v>27.53</v>
      </c>
      <c r="BA3127">
        <v>0.77</v>
      </c>
      <c r="BB3127" t="s">
        <v>168</v>
      </c>
      <c r="BF3127">
        <v>-0.5</v>
      </c>
      <c r="BG3127">
        <v>-1.71</v>
      </c>
      <c r="BH3127">
        <v>-2.37</v>
      </c>
      <c r="BI3127">
        <v>0.35</v>
      </c>
      <c r="BJ3127">
        <v>20210824</v>
      </c>
      <c r="BK3127">
        <v>20040630</v>
      </c>
      <c r="BL3127">
        <v>22.42</v>
      </c>
      <c r="BM3127" t="s">
        <v>120</v>
      </c>
      <c r="BN3127" t="s">
        <v>120</v>
      </c>
      <c r="BO3127">
        <v>266.31</v>
      </c>
      <c r="BP3127">
        <v>2.88</v>
      </c>
      <c r="BQ3127">
        <v>55.29</v>
      </c>
      <c r="BR3127">
        <v>12.66</v>
      </c>
      <c r="BS3127">
        <v>74.48</v>
      </c>
      <c r="BT3127">
        <v>205.85</v>
      </c>
      <c r="BU3127">
        <v>14.66</v>
      </c>
      <c r="BV3127">
        <v>6.44</v>
      </c>
      <c r="BW3127">
        <v>174.69</v>
      </c>
      <c r="BX3127">
        <v>36.4</v>
      </c>
      <c r="BY3127">
        <v>30.58</v>
      </c>
      <c r="BZ3127">
        <v>31.62</v>
      </c>
      <c r="CA3127">
        <v>0.77</v>
      </c>
      <c r="CB3127">
        <v>7.07</v>
      </c>
      <c r="CC3127">
        <v>263.23</v>
      </c>
      <c r="CD3127">
        <v>255.35</v>
      </c>
      <c r="CE3127">
        <v>2.2599999999999998</v>
      </c>
      <c r="CF3127">
        <v>1.23</v>
      </c>
      <c r="CG3127">
        <v>2.35</v>
      </c>
      <c r="CH3127">
        <v>1.66</v>
      </c>
      <c r="CI3127">
        <v>1.26</v>
      </c>
      <c r="CJ3127">
        <v>-0.04</v>
      </c>
      <c r="CK3127">
        <v>-0.16</v>
      </c>
      <c r="CL3127">
        <v>20.94</v>
      </c>
      <c r="CM3127">
        <v>2.69</v>
      </c>
      <c r="CN3127">
        <v>-10.65</v>
      </c>
      <c r="CO3127">
        <v>40105</v>
      </c>
      <c r="CP3127">
        <v>15139</v>
      </c>
      <c r="CQ3127" t="s">
        <v>425</v>
      </c>
      <c r="CR3127">
        <v>18.399999999999999</v>
      </c>
      <c r="CS3127">
        <v>71.72</v>
      </c>
      <c r="CT3127">
        <v>1.17</v>
      </c>
      <c r="CU3127">
        <v>24.04</v>
      </c>
      <c r="CV3127">
        <v>0.25</v>
      </c>
      <c r="CW3127">
        <v>1.2</v>
      </c>
      <c r="CX3127" t="s">
        <v>1064</v>
      </c>
      <c r="CY3127">
        <v>2.4700000000000002</v>
      </c>
      <c r="CZ3127">
        <v>0</v>
      </c>
      <c r="DA3127">
        <v>0.32</v>
      </c>
      <c r="DB3127">
        <v>0.93</v>
      </c>
      <c r="DC3127">
        <v>0.12</v>
      </c>
      <c r="DD3127">
        <v>20.76</v>
      </c>
      <c r="DE3127" t="s">
        <v>5116</v>
      </c>
      <c r="DF3127">
        <v>3</v>
      </c>
      <c r="DG3127">
        <v>0.86</v>
      </c>
      <c r="DH3127">
        <v>0.48</v>
      </c>
      <c r="DI3127">
        <v>0.2</v>
      </c>
      <c r="DJ3127">
        <v>3993</v>
      </c>
      <c r="DK3127">
        <v>600981</v>
      </c>
      <c r="DL3127" t="s">
        <v>120</v>
      </c>
      <c r="DM3127" t="s">
        <v>120</v>
      </c>
      <c r="DN3127" t="s">
        <v>120</v>
      </c>
    </row>
    <row r="3128" spans="1:118">
      <c r="A3128" t="str">
        <f>"600982"</f>
        <v>600982</v>
      </c>
      <c r="B3128" t="s">
        <v>13562</v>
      </c>
      <c r="C3128">
        <v>-3.57</v>
      </c>
      <c r="D3128">
        <v>0.5</v>
      </c>
      <c r="E3128">
        <v>-0.95</v>
      </c>
      <c r="F3128">
        <v>5805</v>
      </c>
      <c r="G3128" t="s">
        <v>8258</v>
      </c>
      <c r="H3128">
        <v>16667.46</v>
      </c>
      <c r="I3128">
        <v>77.88</v>
      </c>
      <c r="J3128" t="s">
        <v>120</v>
      </c>
      <c r="K3128" t="s">
        <v>13563</v>
      </c>
      <c r="L3128">
        <v>5.4</v>
      </c>
      <c r="M3128">
        <v>4.05</v>
      </c>
      <c r="N3128">
        <v>0.42</v>
      </c>
      <c r="O3128">
        <v>0.71</v>
      </c>
      <c r="P3128">
        <v>4.2300000000000004</v>
      </c>
      <c r="Q3128">
        <v>-4.05</v>
      </c>
      <c r="R3128">
        <v>4.03</v>
      </c>
      <c r="S3128">
        <v>4.16</v>
      </c>
      <c r="T3128">
        <v>403678</v>
      </c>
      <c r="U3128">
        <v>4.05</v>
      </c>
      <c r="V3128">
        <v>4.2</v>
      </c>
      <c r="W3128">
        <v>24.34</v>
      </c>
      <c r="X3128" t="s">
        <v>684</v>
      </c>
      <c r="Y3128" t="s">
        <v>585</v>
      </c>
      <c r="Z3128">
        <v>4.76</v>
      </c>
      <c r="AA3128">
        <v>4.13</v>
      </c>
      <c r="AB3128">
        <v>261861</v>
      </c>
      <c r="AC3128">
        <v>141817</v>
      </c>
      <c r="AD3128">
        <v>1.85</v>
      </c>
      <c r="AE3128">
        <v>160</v>
      </c>
      <c r="AF3128">
        <v>4271</v>
      </c>
      <c r="AG3128" t="s">
        <v>120</v>
      </c>
      <c r="AH3128">
        <v>0.04</v>
      </c>
      <c r="AI3128" t="s">
        <v>120</v>
      </c>
      <c r="AJ3128">
        <v>7.47</v>
      </c>
      <c r="AK3128" t="s">
        <v>5433</v>
      </c>
      <c r="AL3128">
        <v>-2.23</v>
      </c>
      <c r="AM3128">
        <v>3281</v>
      </c>
      <c r="AN3128">
        <v>123</v>
      </c>
      <c r="AO3128">
        <v>1.6000000000000001E-3</v>
      </c>
      <c r="AP3128">
        <v>-1</v>
      </c>
      <c r="AQ3128">
        <v>2.94</v>
      </c>
      <c r="AR3128">
        <v>-5.6</v>
      </c>
      <c r="AS3128">
        <v>11.88</v>
      </c>
      <c r="AT3128">
        <v>13.13</v>
      </c>
      <c r="AU3128">
        <v>12.03</v>
      </c>
      <c r="AV3128">
        <v>8</v>
      </c>
      <c r="AW3128">
        <v>7.8</v>
      </c>
      <c r="AX3128">
        <v>46.33</v>
      </c>
      <c r="AY3128">
        <v>17.940000000000001</v>
      </c>
      <c r="AZ3128">
        <v>18.579999999999998</v>
      </c>
      <c r="BA3128">
        <v>0.64</v>
      </c>
      <c r="BB3128" t="s">
        <v>143</v>
      </c>
      <c r="BF3128">
        <v>-1.69</v>
      </c>
      <c r="BG3128">
        <v>-2.64</v>
      </c>
      <c r="BH3128">
        <v>-4.26</v>
      </c>
      <c r="BI3128">
        <v>0.5</v>
      </c>
      <c r="BJ3128">
        <v>20210824</v>
      </c>
      <c r="BK3128">
        <v>20040706</v>
      </c>
      <c r="BL3128">
        <v>11.18</v>
      </c>
      <c r="BM3128" t="s">
        <v>120</v>
      </c>
      <c r="BN3128" t="s">
        <v>120</v>
      </c>
      <c r="BO3128">
        <v>78.67</v>
      </c>
      <c r="BP3128">
        <v>4.04</v>
      </c>
      <c r="BQ3128">
        <v>34.78</v>
      </c>
      <c r="BR3128">
        <v>4.8899999999999997</v>
      </c>
      <c r="BS3128">
        <v>49.56</v>
      </c>
      <c r="BT3128">
        <v>26.77</v>
      </c>
      <c r="BU3128">
        <v>20.329999999999998</v>
      </c>
      <c r="BV3128">
        <v>2.4</v>
      </c>
      <c r="BW3128">
        <v>27.83</v>
      </c>
      <c r="BX3128">
        <v>7.76</v>
      </c>
      <c r="BY3128">
        <v>1.56</v>
      </c>
      <c r="BZ3128">
        <v>1.93</v>
      </c>
      <c r="CA3128" t="s">
        <v>120</v>
      </c>
      <c r="CB3128">
        <v>14.27</v>
      </c>
      <c r="CC3128">
        <v>21.11</v>
      </c>
      <c r="CD3128">
        <v>18.02</v>
      </c>
      <c r="CE3128">
        <v>1.29</v>
      </c>
      <c r="CF3128">
        <v>0.78</v>
      </c>
      <c r="CG3128">
        <v>1.32</v>
      </c>
      <c r="CH3128">
        <v>1.1399999999999999</v>
      </c>
      <c r="CI3128">
        <v>0.93</v>
      </c>
      <c r="CJ3128">
        <v>-0.15</v>
      </c>
      <c r="CK3128">
        <v>1.4</v>
      </c>
      <c r="CL3128">
        <v>8.76</v>
      </c>
      <c r="CM3128">
        <v>2.44</v>
      </c>
      <c r="CN3128">
        <v>0.87</v>
      </c>
      <c r="CO3128">
        <v>47948</v>
      </c>
      <c r="CP3128">
        <v>10800</v>
      </c>
      <c r="CQ3128" t="s">
        <v>1675</v>
      </c>
      <c r="CR3128">
        <v>10.76</v>
      </c>
      <c r="CS3128">
        <v>70.53</v>
      </c>
      <c r="CT3128">
        <v>1.3</v>
      </c>
      <c r="CU3128">
        <v>18.52</v>
      </c>
      <c r="CV3128">
        <v>2.14</v>
      </c>
      <c r="CW3128">
        <v>3.21</v>
      </c>
      <c r="CX3128" t="s">
        <v>329</v>
      </c>
      <c r="CY3128">
        <v>3.11</v>
      </c>
      <c r="CZ3128">
        <v>0</v>
      </c>
      <c r="DA3128">
        <v>1.28</v>
      </c>
      <c r="DB3128">
        <v>0.78</v>
      </c>
      <c r="DC3128">
        <v>0.22</v>
      </c>
      <c r="DD3128">
        <v>44.22</v>
      </c>
      <c r="DE3128" t="s">
        <v>1846</v>
      </c>
      <c r="DF3128">
        <v>14.64</v>
      </c>
      <c r="DG3128">
        <v>6.13</v>
      </c>
      <c r="DH3128">
        <v>4.41</v>
      </c>
      <c r="DI3128">
        <v>0.13</v>
      </c>
      <c r="DJ3128">
        <v>1135</v>
      </c>
      <c r="DK3128">
        <v>600982</v>
      </c>
      <c r="DL3128" t="s">
        <v>120</v>
      </c>
      <c r="DM3128" t="s">
        <v>120</v>
      </c>
      <c r="DN3128" t="s">
        <v>120</v>
      </c>
    </row>
    <row r="3129" spans="1:118">
      <c r="A3129" t="str">
        <f>"600983"</f>
        <v>600983</v>
      </c>
      <c r="B3129" t="s">
        <v>13564</v>
      </c>
      <c r="C3129">
        <v>-0.83</v>
      </c>
      <c r="D3129">
        <v>-0.23</v>
      </c>
      <c r="E3129">
        <v>-0.24</v>
      </c>
      <c r="F3129">
        <v>413</v>
      </c>
      <c r="G3129" t="s">
        <v>10377</v>
      </c>
      <c r="H3129">
        <v>2103.46</v>
      </c>
      <c r="I3129">
        <v>10.08</v>
      </c>
      <c r="J3129" t="s">
        <v>120</v>
      </c>
      <c r="K3129" t="s">
        <v>13565</v>
      </c>
      <c r="L3129">
        <v>0.33</v>
      </c>
      <c r="M3129">
        <v>8.35</v>
      </c>
      <c r="N3129">
        <v>0.56000000000000005</v>
      </c>
      <c r="O3129">
        <v>1.9</v>
      </c>
      <c r="P3129">
        <v>8.58</v>
      </c>
      <c r="Q3129">
        <v>-0.95</v>
      </c>
      <c r="R3129">
        <v>8.34</v>
      </c>
      <c r="S3129">
        <v>8.4</v>
      </c>
      <c r="T3129">
        <v>24946</v>
      </c>
      <c r="U3129">
        <v>8.36</v>
      </c>
      <c r="V3129">
        <v>8.42</v>
      </c>
      <c r="W3129" t="s">
        <v>120</v>
      </c>
      <c r="X3129" t="s">
        <v>205</v>
      </c>
      <c r="Y3129" t="s">
        <v>570</v>
      </c>
      <c r="Z3129">
        <v>2.85</v>
      </c>
      <c r="AA3129">
        <v>8.43</v>
      </c>
      <c r="AB3129">
        <v>14313</v>
      </c>
      <c r="AC3129">
        <v>10633</v>
      </c>
      <c r="AD3129">
        <v>1.35</v>
      </c>
      <c r="AE3129">
        <v>107</v>
      </c>
      <c r="AF3129">
        <v>9</v>
      </c>
      <c r="AG3129" t="s">
        <v>120</v>
      </c>
      <c r="AH3129">
        <v>0.01</v>
      </c>
      <c r="AI3129" t="s">
        <v>120</v>
      </c>
      <c r="AJ3129">
        <v>7.66</v>
      </c>
      <c r="AK3129" t="s">
        <v>13565</v>
      </c>
      <c r="AL3129">
        <v>0.51</v>
      </c>
      <c r="AM3129">
        <v>1015</v>
      </c>
      <c r="AN3129">
        <v>25</v>
      </c>
      <c r="AO3129">
        <v>2.9999999999999997E-4</v>
      </c>
      <c r="AP3129">
        <v>-4</v>
      </c>
      <c r="AQ3129">
        <v>-0.24</v>
      </c>
      <c r="AR3129">
        <v>-1.19</v>
      </c>
      <c r="AS3129">
        <v>-7.94</v>
      </c>
      <c r="AT3129">
        <v>-26.11</v>
      </c>
      <c r="AU3129">
        <v>27.68</v>
      </c>
      <c r="AV3129">
        <v>7</v>
      </c>
      <c r="AW3129">
        <v>1.24</v>
      </c>
      <c r="AX3129">
        <v>26.26</v>
      </c>
      <c r="AY3129" t="s">
        <v>120</v>
      </c>
      <c r="AZ3129" t="s">
        <v>120</v>
      </c>
      <c r="BA3129">
        <v>0.23</v>
      </c>
      <c r="BB3129" t="s">
        <v>143</v>
      </c>
      <c r="BF3129">
        <v>0.14000000000000001</v>
      </c>
      <c r="BG3129">
        <v>-0.6</v>
      </c>
      <c r="BH3129">
        <v>-2.68</v>
      </c>
      <c r="BI3129">
        <v>0.12</v>
      </c>
      <c r="BJ3129">
        <v>20210821</v>
      </c>
      <c r="BK3129">
        <v>20040727</v>
      </c>
      <c r="BL3129">
        <v>7.66</v>
      </c>
      <c r="BM3129" t="s">
        <v>120</v>
      </c>
      <c r="BN3129" t="s">
        <v>120</v>
      </c>
      <c r="BO3129">
        <v>67</v>
      </c>
      <c r="BP3129">
        <v>8.35</v>
      </c>
      <c r="BQ3129">
        <v>34.22</v>
      </c>
      <c r="BR3129" t="s">
        <v>120</v>
      </c>
      <c r="BS3129">
        <v>48.92</v>
      </c>
      <c r="BT3129">
        <v>45.09</v>
      </c>
      <c r="BU3129">
        <v>13.11</v>
      </c>
      <c r="BV3129">
        <v>2.91</v>
      </c>
      <c r="BW3129">
        <v>31.8</v>
      </c>
      <c r="BX3129">
        <v>7.25</v>
      </c>
      <c r="BY3129">
        <v>7.12</v>
      </c>
      <c r="BZ3129">
        <v>13.93</v>
      </c>
      <c r="CA3129" t="s">
        <v>120</v>
      </c>
      <c r="CB3129">
        <v>12.23</v>
      </c>
      <c r="CC3129">
        <v>25.43</v>
      </c>
      <c r="CD3129">
        <v>22.66</v>
      </c>
      <c r="CE3129">
        <v>-1.92</v>
      </c>
      <c r="CF3129">
        <v>1.53</v>
      </c>
      <c r="CG3129">
        <v>-1.77</v>
      </c>
      <c r="CH3129">
        <v>-1.29</v>
      </c>
      <c r="CI3129">
        <v>-1.29</v>
      </c>
      <c r="CJ3129">
        <v>-7.0000000000000007E-2</v>
      </c>
      <c r="CK3129">
        <v>-1.88</v>
      </c>
      <c r="CL3129">
        <v>11.55</v>
      </c>
      <c r="CM3129">
        <v>0.04</v>
      </c>
      <c r="CN3129">
        <v>1.71</v>
      </c>
      <c r="CO3129">
        <v>20388</v>
      </c>
      <c r="CP3129">
        <v>9873</v>
      </c>
      <c r="CQ3129" t="s">
        <v>8037</v>
      </c>
      <c r="CR3129">
        <v>-11.38</v>
      </c>
      <c r="CS3129">
        <v>17.940000000000001</v>
      </c>
      <c r="CT3129">
        <v>1.87</v>
      </c>
      <c r="CU3129">
        <v>1477.15</v>
      </c>
      <c r="CV3129">
        <v>2.52</v>
      </c>
      <c r="CW3129">
        <v>0.59</v>
      </c>
      <c r="CX3129" t="s">
        <v>1513</v>
      </c>
      <c r="CY3129">
        <v>4.46</v>
      </c>
      <c r="CZ3129">
        <v>0</v>
      </c>
      <c r="DA3129">
        <v>1.6</v>
      </c>
      <c r="DB3129">
        <v>1.51</v>
      </c>
      <c r="DC3129">
        <v>0.01</v>
      </c>
      <c r="DD3129">
        <v>51.08</v>
      </c>
      <c r="DE3129" t="s">
        <v>13566</v>
      </c>
      <c r="DF3129">
        <v>10.9</v>
      </c>
      <c r="DG3129">
        <v>-7.56</v>
      </c>
      <c r="DH3129">
        <v>-5.08</v>
      </c>
      <c r="DI3129">
        <v>0.72</v>
      </c>
      <c r="DJ3129">
        <v>5186</v>
      </c>
      <c r="DK3129">
        <v>600983</v>
      </c>
      <c r="DL3129" t="s">
        <v>120</v>
      </c>
      <c r="DM3129" t="s">
        <v>120</v>
      </c>
      <c r="DN3129" t="s">
        <v>120</v>
      </c>
    </row>
    <row r="3130" spans="1:118">
      <c r="A3130" t="str">
        <f>"600984"</f>
        <v>600984</v>
      </c>
      <c r="B3130" t="s">
        <v>13567</v>
      </c>
      <c r="C3130">
        <v>-3.27</v>
      </c>
      <c r="D3130">
        <v>0</v>
      </c>
      <c r="E3130">
        <v>0</v>
      </c>
      <c r="F3130">
        <v>860</v>
      </c>
      <c r="G3130" t="s">
        <v>13568</v>
      </c>
      <c r="H3130">
        <v>8613.07</v>
      </c>
      <c r="I3130">
        <v>29.72</v>
      </c>
      <c r="J3130" t="s">
        <v>120</v>
      </c>
      <c r="K3130" t="s">
        <v>13569</v>
      </c>
      <c r="L3130">
        <v>0.96</v>
      </c>
      <c r="M3130">
        <v>10.34</v>
      </c>
      <c r="N3130">
        <v>0.8</v>
      </c>
      <c r="O3130">
        <v>0.19</v>
      </c>
      <c r="P3130">
        <v>10.71</v>
      </c>
      <c r="Q3130">
        <v>-3.65</v>
      </c>
      <c r="R3130">
        <v>10.3</v>
      </c>
      <c r="S3130">
        <v>10.69</v>
      </c>
      <c r="T3130">
        <v>82265</v>
      </c>
      <c r="U3130">
        <v>10.35</v>
      </c>
      <c r="V3130">
        <v>10.69</v>
      </c>
      <c r="W3130">
        <v>19.579999999999998</v>
      </c>
      <c r="X3130" t="s">
        <v>593</v>
      </c>
      <c r="Y3130" t="s">
        <v>890</v>
      </c>
      <c r="Z3130">
        <v>3.84</v>
      </c>
      <c r="AA3130">
        <v>10.47</v>
      </c>
      <c r="AB3130">
        <v>55348</v>
      </c>
      <c r="AC3130">
        <v>26917</v>
      </c>
      <c r="AD3130">
        <v>2.06</v>
      </c>
      <c r="AE3130">
        <v>1559</v>
      </c>
      <c r="AF3130">
        <v>323</v>
      </c>
      <c r="AG3130" t="s">
        <v>120</v>
      </c>
      <c r="AH3130">
        <v>0</v>
      </c>
      <c r="AI3130" t="s">
        <v>120</v>
      </c>
      <c r="AJ3130">
        <v>8.59</v>
      </c>
      <c r="AK3130" t="s">
        <v>13570</v>
      </c>
      <c r="AL3130">
        <v>-1.93</v>
      </c>
      <c r="AM3130">
        <v>2215</v>
      </c>
      <c r="AN3130">
        <v>37</v>
      </c>
      <c r="AO3130">
        <v>4.0000000000000002E-4</v>
      </c>
      <c r="AP3130">
        <v>-1</v>
      </c>
      <c r="AQ3130">
        <v>2</v>
      </c>
      <c r="AR3130">
        <v>-3.99</v>
      </c>
      <c r="AS3130">
        <v>-7.51</v>
      </c>
      <c r="AT3130">
        <v>-3.63</v>
      </c>
      <c r="AU3130">
        <v>-16.27</v>
      </c>
      <c r="AV3130">
        <v>5</v>
      </c>
      <c r="AW3130">
        <v>1.43</v>
      </c>
      <c r="AX3130">
        <v>59.5</v>
      </c>
      <c r="AY3130">
        <v>15.97</v>
      </c>
      <c r="AZ3130">
        <v>18.68</v>
      </c>
      <c r="BA3130">
        <v>0.8</v>
      </c>
      <c r="BB3130" t="s">
        <v>143</v>
      </c>
      <c r="BF3130">
        <v>-2.06</v>
      </c>
      <c r="BG3130">
        <v>-3.27</v>
      </c>
      <c r="BH3130">
        <v>-3.45</v>
      </c>
      <c r="BI3130">
        <v>0.39</v>
      </c>
      <c r="BJ3130">
        <v>20210910</v>
      </c>
      <c r="BK3130">
        <v>20040707</v>
      </c>
      <c r="BL3130">
        <v>9.67</v>
      </c>
      <c r="BM3130" t="s">
        <v>120</v>
      </c>
      <c r="BN3130" t="s">
        <v>120</v>
      </c>
      <c r="BO3130">
        <v>163.52000000000001</v>
      </c>
      <c r="BP3130">
        <v>10.34</v>
      </c>
      <c r="BQ3130">
        <v>60.72</v>
      </c>
      <c r="BR3130">
        <v>0.04</v>
      </c>
      <c r="BS3130">
        <v>62.84</v>
      </c>
      <c r="BT3130">
        <v>77.84</v>
      </c>
      <c r="BU3130">
        <v>55.85</v>
      </c>
      <c r="BV3130">
        <v>2.4</v>
      </c>
      <c r="BW3130">
        <v>66.400000000000006</v>
      </c>
      <c r="BX3130">
        <v>19.16</v>
      </c>
      <c r="BY3130">
        <v>4.53</v>
      </c>
      <c r="BZ3130">
        <v>43.95</v>
      </c>
      <c r="CA3130">
        <v>0.02</v>
      </c>
      <c r="CB3130">
        <v>39.15</v>
      </c>
      <c r="CC3130">
        <v>22.54</v>
      </c>
      <c r="CD3130">
        <v>14.66</v>
      </c>
      <c r="CE3130">
        <v>3.05</v>
      </c>
      <c r="CF3130">
        <v>0</v>
      </c>
      <c r="CG3130">
        <v>3.05</v>
      </c>
      <c r="CH3130">
        <v>2.5499999999999998</v>
      </c>
      <c r="CI3130">
        <v>2.5499999999999998</v>
      </c>
      <c r="CJ3130">
        <v>-0.35</v>
      </c>
      <c r="CK3130">
        <v>2.5099999999999998</v>
      </c>
      <c r="CL3130">
        <v>11.57</v>
      </c>
      <c r="CM3130">
        <v>-1.68</v>
      </c>
      <c r="CN3130">
        <v>-0.52</v>
      </c>
      <c r="CO3130">
        <v>44956</v>
      </c>
      <c r="CP3130">
        <v>12798</v>
      </c>
      <c r="CQ3130" t="s">
        <v>13571</v>
      </c>
      <c r="CR3130">
        <v>58.13</v>
      </c>
      <c r="CS3130">
        <v>46.82</v>
      </c>
      <c r="CT3130">
        <v>1.65</v>
      </c>
      <c r="CU3130">
        <v>-59.34</v>
      </c>
      <c r="CV3130">
        <v>4.4400000000000004</v>
      </c>
      <c r="CW3130">
        <v>0.94</v>
      </c>
      <c r="CX3130" t="s">
        <v>170</v>
      </c>
      <c r="CY3130">
        <v>6.28</v>
      </c>
      <c r="CZ3130">
        <v>0</v>
      </c>
      <c r="DA3130">
        <v>4.05</v>
      </c>
      <c r="DB3130">
        <v>1.2</v>
      </c>
      <c r="DC3130">
        <v>-0.17</v>
      </c>
      <c r="DD3130">
        <v>37.14</v>
      </c>
      <c r="DE3130" t="s">
        <v>4391</v>
      </c>
      <c r="DF3130">
        <v>34.96</v>
      </c>
      <c r="DG3130">
        <v>13.55</v>
      </c>
      <c r="DH3130">
        <v>11.33</v>
      </c>
      <c r="DI3130">
        <v>0.56000000000000005</v>
      </c>
      <c r="DJ3130">
        <v>3572</v>
      </c>
      <c r="DK3130">
        <v>600984</v>
      </c>
      <c r="DL3130" t="s">
        <v>120</v>
      </c>
      <c r="DM3130" t="s">
        <v>120</v>
      </c>
      <c r="DN3130" t="s">
        <v>120</v>
      </c>
    </row>
    <row r="3131" spans="1:118">
      <c r="A3131" t="str">
        <f>"600985"</f>
        <v>600985</v>
      </c>
      <c r="B3131" t="s">
        <v>13572</v>
      </c>
      <c r="C3131">
        <v>1.22</v>
      </c>
      <c r="D3131">
        <v>-0.11</v>
      </c>
      <c r="E3131">
        <v>3.42</v>
      </c>
      <c r="F3131">
        <v>3603</v>
      </c>
      <c r="G3131" t="s">
        <v>13573</v>
      </c>
      <c r="H3131">
        <v>72561.41</v>
      </c>
      <c r="I3131">
        <v>824.68</v>
      </c>
      <c r="J3131" t="s">
        <v>120</v>
      </c>
      <c r="K3131" t="s">
        <v>13574</v>
      </c>
      <c r="L3131">
        <v>4.45</v>
      </c>
      <c r="M3131">
        <v>16.559999999999999</v>
      </c>
      <c r="N3131">
        <v>0.85</v>
      </c>
      <c r="O3131">
        <v>6.17</v>
      </c>
      <c r="P3131">
        <v>17.37</v>
      </c>
      <c r="Q3131">
        <v>0.86</v>
      </c>
      <c r="R3131">
        <v>16.5</v>
      </c>
      <c r="S3131">
        <v>16.920000000000002</v>
      </c>
      <c r="T3131">
        <v>426863</v>
      </c>
      <c r="U3131">
        <v>16.57</v>
      </c>
      <c r="V3131">
        <v>16.36</v>
      </c>
      <c r="W3131">
        <v>8.16</v>
      </c>
      <c r="X3131" t="s">
        <v>1081</v>
      </c>
      <c r="Y3131" t="s">
        <v>570</v>
      </c>
      <c r="Z3131">
        <v>5.32</v>
      </c>
      <c r="AA3131">
        <v>17</v>
      </c>
      <c r="AB3131">
        <v>181889</v>
      </c>
      <c r="AC3131">
        <v>244974</v>
      </c>
      <c r="AD3131">
        <v>0.74</v>
      </c>
      <c r="AE3131">
        <v>631</v>
      </c>
      <c r="AF3131">
        <v>251</v>
      </c>
      <c r="AG3131" t="s">
        <v>120</v>
      </c>
      <c r="AH3131">
        <v>0.06</v>
      </c>
      <c r="AI3131" t="s">
        <v>120</v>
      </c>
      <c r="AJ3131">
        <v>9.59</v>
      </c>
      <c r="AK3131" t="s">
        <v>13575</v>
      </c>
      <c r="AL3131">
        <v>2.57</v>
      </c>
      <c r="AM3131">
        <v>4546</v>
      </c>
      <c r="AN3131">
        <v>94</v>
      </c>
      <c r="AO3131">
        <v>1E-3</v>
      </c>
      <c r="AP3131">
        <v>2</v>
      </c>
      <c r="AQ3131">
        <v>0.18</v>
      </c>
      <c r="AR3131">
        <v>-4.6100000000000003</v>
      </c>
      <c r="AS3131">
        <v>34.090000000000003</v>
      </c>
      <c r="AT3131">
        <v>34.299999999999997</v>
      </c>
      <c r="AU3131">
        <v>57.12</v>
      </c>
      <c r="AV3131">
        <v>2</v>
      </c>
      <c r="AW3131">
        <v>5.01</v>
      </c>
      <c r="AX3131">
        <v>34.33</v>
      </c>
      <c r="AY3131">
        <v>9.51</v>
      </c>
      <c r="AZ3131">
        <v>11.7</v>
      </c>
      <c r="BA3131">
        <v>1.52</v>
      </c>
      <c r="BB3131" t="s">
        <v>143</v>
      </c>
      <c r="BF3131">
        <v>3.9</v>
      </c>
      <c r="BG3131">
        <v>-2.13</v>
      </c>
      <c r="BH3131">
        <v>-4.66</v>
      </c>
      <c r="BI3131">
        <v>0.36</v>
      </c>
      <c r="BJ3131">
        <v>20210826</v>
      </c>
      <c r="BK3131">
        <v>20040428</v>
      </c>
      <c r="BL3131">
        <v>24.81</v>
      </c>
      <c r="BM3131" t="s">
        <v>120</v>
      </c>
      <c r="BN3131" t="s">
        <v>120</v>
      </c>
      <c r="BO3131">
        <v>690.16</v>
      </c>
      <c r="BP3131">
        <v>16.559999999999999</v>
      </c>
      <c r="BQ3131">
        <v>252.99</v>
      </c>
      <c r="BR3131">
        <v>43.03</v>
      </c>
      <c r="BS3131">
        <v>57.11</v>
      </c>
      <c r="BT3131">
        <v>148.56</v>
      </c>
      <c r="BU3131">
        <v>307.75</v>
      </c>
      <c r="BV3131">
        <v>98.3</v>
      </c>
      <c r="BW3131">
        <v>273.58999999999997</v>
      </c>
      <c r="BX3131">
        <v>33.549999999999997</v>
      </c>
      <c r="BY3131">
        <v>17.899999999999999</v>
      </c>
      <c r="BZ3131">
        <v>19.649999999999999</v>
      </c>
      <c r="CA3131" t="s">
        <v>120</v>
      </c>
      <c r="CB3131">
        <v>82.89</v>
      </c>
      <c r="CC3131">
        <v>279.44</v>
      </c>
      <c r="CD3131">
        <v>218.92</v>
      </c>
      <c r="CE3131">
        <v>32.22</v>
      </c>
      <c r="CF3131">
        <v>0.48</v>
      </c>
      <c r="CG3131">
        <v>31.55</v>
      </c>
      <c r="CH3131">
        <v>27.25</v>
      </c>
      <c r="CI3131">
        <v>25.18</v>
      </c>
      <c r="CJ3131">
        <v>0.2</v>
      </c>
      <c r="CK3131">
        <v>24.9</v>
      </c>
      <c r="CL3131">
        <v>124</v>
      </c>
      <c r="CM3131">
        <v>35.479999999999997</v>
      </c>
      <c r="CN3131">
        <v>4.82</v>
      </c>
      <c r="CO3131">
        <v>32595</v>
      </c>
      <c r="CP3131">
        <v>26129</v>
      </c>
      <c r="CQ3131" t="s">
        <v>13576</v>
      </c>
      <c r="CR3131">
        <v>46.41</v>
      </c>
      <c r="CS3131">
        <v>10.39</v>
      </c>
      <c r="CT3131">
        <v>1.62</v>
      </c>
      <c r="CU3131">
        <v>11.58</v>
      </c>
      <c r="CV3131">
        <v>1.47</v>
      </c>
      <c r="CW3131">
        <v>3.66</v>
      </c>
      <c r="CX3131" t="s">
        <v>878</v>
      </c>
      <c r="CY3131">
        <v>10.210000000000001</v>
      </c>
      <c r="CZ3131">
        <v>10.210000000000001</v>
      </c>
      <c r="DA3131">
        <v>3.34</v>
      </c>
      <c r="DB3131">
        <v>5</v>
      </c>
      <c r="DC3131">
        <v>1.43</v>
      </c>
      <c r="DD3131">
        <v>36.659999999999997</v>
      </c>
      <c r="DE3131" t="s">
        <v>3906</v>
      </c>
      <c r="DF3131">
        <v>21.66</v>
      </c>
      <c r="DG3131">
        <v>11.53</v>
      </c>
      <c r="DH3131">
        <v>9.01</v>
      </c>
      <c r="DI3131">
        <v>7.43</v>
      </c>
      <c r="DJ3131">
        <v>52564</v>
      </c>
      <c r="DK3131">
        <v>600985</v>
      </c>
      <c r="DL3131">
        <v>20210902</v>
      </c>
      <c r="DM3131">
        <v>15.74</v>
      </c>
      <c r="DN3131">
        <v>5.21</v>
      </c>
    </row>
    <row r="3132" spans="1:118">
      <c r="A3132" t="str">
        <f>"600986"</f>
        <v>600986</v>
      </c>
      <c r="B3132" t="s">
        <v>13577</v>
      </c>
      <c r="C3132">
        <v>-2.37</v>
      </c>
      <c r="D3132">
        <v>0</v>
      </c>
      <c r="E3132">
        <v>2.8</v>
      </c>
      <c r="F3132">
        <v>4940</v>
      </c>
      <c r="G3132" t="s">
        <v>13578</v>
      </c>
      <c r="H3132">
        <v>16635.68</v>
      </c>
      <c r="I3132">
        <v>298.32</v>
      </c>
      <c r="J3132" t="s">
        <v>120</v>
      </c>
      <c r="K3132" t="s">
        <v>13579</v>
      </c>
      <c r="L3132">
        <v>2.69</v>
      </c>
      <c r="M3132">
        <v>4.54</v>
      </c>
      <c r="N3132">
        <v>1.53</v>
      </c>
      <c r="O3132">
        <v>3.44</v>
      </c>
      <c r="P3132">
        <v>4.8099999999999996</v>
      </c>
      <c r="Q3132">
        <v>-2.37</v>
      </c>
      <c r="R3132">
        <v>4.54</v>
      </c>
      <c r="S3132">
        <v>4.78</v>
      </c>
      <c r="T3132">
        <v>356328</v>
      </c>
      <c r="U3132">
        <v>4.54</v>
      </c>
      <c r="V3132">
        <v>4.6500000000000004</v>
      </c>
      <c r="W3132">
        <v>22.53</v>
      </c>
      <c r="X3132" t="s">
        <v>1531</v>
      </c>
      <c r="Y3132" t="s">
        <v>638</v>
      </c>
      <c r="Z3132">
        <v>5.81</v>
      </c>
      <c r="AA3132">
        <v>4.67</v>
      </c>
      <c r="AB3132">
        <v>193993</v>
      </c>
      <c r="AC3132">
        <v>162335</v>
      </c>
      <c r="AD3132">
        <v>1.2</v>
      </c>
      <c r="AE3132">
        <v>1900</v>
      </c>
      <c r="AF3132">
        <v>1634</v>
      </c>
      <c r="AG3132" t="s">
        <v>120</v>
      </c>
      <c r="AH3132">
        <v>0.05</v>
      </c>
      <c r="AI3132" t="s">
        <v>120</v>
      </c>
      <c r="AJ3132">
        <v>13.22</v>
      </c>
      <c r="AK3132" t="s">
        <v>13580</v>
      </c>
      <c r="AL3132">
        <v>-1.02</v>
      </c>
      <c r="AM3132">
        <v>3115</v>
      </c>
      <c r="AN3132">
        <v>114</v>
      </c>
      <c r="AO3132">
        <v>8.9999999999999998E-4</v>
      </c>
      <c r="AP3132">
        <v>-1</v>
      </c>
      <c r="AQ3132">
        <v>3.33</v>
      </c>
      <c r="AR3132">
        <v>-2.16</v>
      </c>
      <c r="AS3132">
        <v>11.27</v>
      </c>
      <c r="AT3132">
        <v>5.58</v>
      </c>
      <c r="AU3132">
        <v>5.83</v>
      </c>
      <c r="AV3132">
        <v>1</v>
      </c>
      <c r="AW3132">
        <v>3.09</v>
      </c>
      <c r="AX3132">
        <v>87.24</v>
      </c>
      <c r="AY3132">
        <v>35.76</v>
      </c>
      <c r="AZ3132">
        <v>65.180000000000007</v>
      </c>
      <c r="BA3132">
        <v>0.87</v>
      </c>
      <c r="BB3132" t="s">
        <v>184</v>
      </c>
      <c r="BF3132">
        <v>0.4</v>
      </c>
      <c r="BG3132">
        <v>-5.0199999999999996</v>
      </c>
      <c r="BH3132">
        <v>-5.61</v>
      </c>
      <c r="BI3132">
        <v>0</v>
      </c>
      <c r="BJ3132">
        <v>20210825</v>
      </c>
      <c r="BK3132">
        <v>20040426</v>
      </c>
      <c r="BL3132">
        <v>13.23</v>
      </c>
      <c r="BM3132" t="s">
        <v>120</v>
      </c>
      <c r="BN3132" t="s">
        <v>120</v>
      </c>
      <c r="BO3132">
        <v>80.430000000000007</v>
      </c>
      <c r="BP3132">
        <v>4.53</v>
      </c>
      <c r="BQ3132">
        <v>37.76</v>
      </c>
      <c r="BR3132">
        <v>0.83</v>
      </c>
      <c r="BS3132">
        <v>52.02</v>
      </c>
      <c r="BT3132">
        <v>66.86</v>
      </c>
      <c r="BU3132">
        <v>0.09</v>
      </c>
      <c r="BV3132">
        <v>0.05</v>
      </c>
      <c r="BW3132">
        <v>41.65</v>
      </c>
      <c r="BX3132">
        <v>10.68</v>
      </c>
      <c r="BY3132">
        <v>0</v>
      </c>
      <c r="BZ3132">
        <v>41.56</v>
      </c>
      <c r="CA3132" t="s">
        <v>120</v>
      </c>
      <c r="CB3132">
        <v>32.85</v>
      </c>
      <c r="CC3132">
        <v>67.819999999999993</v>
      </c>
      <c r="CD3132">
        <v>63.78</v>
      </c>
      <c r="CE3132">
        <v>1.65</v>
      </c>
      <c r="CF3132">
        <v>0.65</v>
      </c>
      <c r="CG3132">
        <v>1.65</v>
      </c>
      <c r="CH3132">
        <v>1.35</v>
      </c>
      <c r="CI3132">
        <v>1.33</v>
      </c>
      <c r="CJ3132">
        <v>-0.11</v>
      </c>
      <c r="CK3132">
        <v>0.84</v>
      </c>
      <c r="CL3132">
        <v>-9.5399999999999991</v>
      </c>
      <c r="CM3132">
        <v>1.3</v>
      </c>
      <c r="CN3132">
        <v>2.1</v>
      </c>
      <c r="CO3132">
        <v>65521</v>
      </c>
      <c r="CP3132">
        <v>17612</v>
      </c>
      <c r="CQ3132" t="s">
        <v>4683</v>
      </c>
      <c r="CR3132">
        <v>139.52000000000001</v>
      </c>
      <c r="CS3132">
        <v>49.4</v>
      </c>
      <c r="CT3132">
        <v>1.59</v>
      </c>
      <c r="CU3132">
        <v>46.02</v>
      </c>
      <c r="CV3132">
        <v>0.89</v>
      </c>
      <c r="CW3132">
        <v>0</v>
      </c>
      <c r="CX3132" t="s">
        <v>411</v>
      </c>
      <c r="CY3132">
        <v>2.85</v>
      </c>
      <c r="CZ3132">
        <v>2.85</v>
      </c>
      <c r="DA3132">
        <v>2.48</v>
      </c>
      <c r="DB3132">
        <v>-0.72</v>
      </c>
      <c r="DC3132">
        <v>0.1</v>
      </c>
      <c r="DD3132">
        <v>46.95</v>
      </c>
      <c r="DE3132" t="s">
        <v>1556</v>
      </c>
      <c r="DF3132">
        <v>5.96</v>
      </c>
      <c r="DG3132">
        <v>2.44</v>
      </c>
      <c r="DH3132">
        <v>1.97</v>
      </c>
      <c r="DI3132">
        <v>0.4</v>
      </c>
      <c r="DJ3132">
        <v>1460</v>
      </c>
      <c r="DK3132">
        <v>600986</v>
      </c>
      <c r="DL3132" t="s">
        <v>120</v>
      </c>
      <c r="DM3132" t="s">
        <v>120</v>
      </c>
      <c r="DN3132" t="s">
        <v>120</v>
      </c>
    </row>
    <row r="3133" spans="1:118">
      <c r="A3133" t="str">
        <f>"600987"</f>
        <v>600987</v>
      </c>
      <c r="B3133" t="s">
        <v>13581</v>
      </c>
      <c r="C3133">
        <v>-1.1299999999999999</v>
      </c>
      <c r="D3133">
        <v>-0.37</v>
      </c>
      <c r="E3133">
        <v>0</v>
      </c>
      <c r="F3133">
        <v>756</v>
      </c>
      <c r="G3133" t="s">
        <v>3434</v>
      </c>
      <c r="H3133">
        <v>3155.96</v>
      </c>
      <c r="I3133">
        <v>8.57</v>
      </c>
      <c r="J3133" t="s">
        <v>120</v>
      </c>
      <c r="K3133" t="s">
        <v>10638</v>
      </c>
      <c r="L3133">
        <v>0.65</v>
      </c>
      <c r="M3133">
        <v>5.23</v>
      </c>
      <c r="N3133">
        <v>1.1299999999999999</v>
      </c>
      <c r="O3133">
        <v>0.76</v>
      </c>
      <c r="P3133">
        <v>5.33</v>
      </c>
      <c r="Q3133">
        <v>-1.1299999999999999</v>
      </c>
      <c r="R3133">
        <v>5.23</v>
      </c>
      <c r="S3133">
        <v>5.29</v>
      </c>
      <c r="T3133">
        <v>59866</v>
      </c>
      <c r="U3133">
        <v>5.25</v>
      </c>
      <c r="V3133">
        <v>5.29</v>
      </c>
      <c r="W3133">
        <v>10.53</v>
      </c>
      <c r="X3133" t="s">
        <v>1766</v>
      </c>
      <c r="Y3133" t="s">
        <v>585</v>
      </c>
      <c r="Z3133">
        <v>1.89</v>
      </c>
      <c r="AA3133">
        <v>5.27</v>
      </c>
      <c r="AB3133">
        <v>39226</v>
      </c>
      <c r="AC3133">
        <v>20640</v>
      </c>
      <c r="AD3133">
        <v>1.9</v>
      </c>
      <c r="AE3133">
        <v>15046</v>
      </c>
      <c r="AF3133">
        <v>153</v>
      </c>
      <c r="AG3133" t="s">
        <v>120</v>
      </c>
      <c r="AH3133">
        <v>0</v>
      </c>
      <c r="AI3133" t="s">
        <v>120</v>
      </c>
      <c r="AJ3133">
        <v>9.2100000000000009</v>
      </c>
      <c r="AK3133" t="s">
        <v>13582</v>
      </c>
      <c r="AL3133">
        <v>0.21</v>
      </c>
      <c r="AM3133">
        <v>1262</v>
      </c>
      <c r="AN3133">
        <v>47</v>
      </c>
      <c r="AO3133">
        <v>5.0000000000000001E-4</v>
      </c>
      <c r="AP3133">
        <v>-1</v>
      </c>
      <c r="AQ3133">
        <v>0.19</v>
      </c>
      <c r="AR3133">
        <v>-2.42</v>
      </c>
      <c r="AS3133">
        <v>11.75</v>
      </c>
      <c r="AT3133">
        <v>-1.51</v>
      </c>
      <c r="AU3133">
        <v>-5.42</v>
      </c>
      <c r="AV3133">
        <v>0</v>
      </c>
      <c r="AW3133">
        <v>1.3</v>
      </c>
      <c r="AX3133">
        <v>42.69</v>
      </c>
      <c r="AY3133">
        <v>9.1300000000000008</v>
      </c>
      <c r="AZ3133">
        <v>9.51</v>
      </c>
      <c r="BA3133">
        <v>0.69</v>
      </c>
      <c r="BB3133" t="s">
        <v>143</v>
      </c>
      <c r="BF3133">
        <v>-0.35</v>
      </c>
      <c r="BG3133">
        <v>-1.1299999999999999</v>
      </c>
      <c r="BH3133">
        <v>-1.88</v>
      </c>
      <c r="BI3133">
        <v>0</v>
      </c>
      <c r="BJ3133">
        <v>20210813</v>
      </c>
      <c r="BK3133">
        <v>20040809</v>
      </c>
      <c r="BL3133">
        <v>10.81</v>
      </c>
      <c r="BM3133" t="s">
        <v>120</v>
      </c>
      <c r="BN3133" t="s">
        <v>120</v>
      </c>
      <c r="BO3133">
        <v>74.13</v>
      </c>
      <c r="BP3133">
        <v>5.23</v>
      </c>
      <c r="BQ3133">
        <v>52.33</v>
      </c>
      <c r="BR3133">
        <v>5.79</v>
      </c>
      <c r="BS3133">
        <v>21.59</v>
      </c>
      <c r="BT3133">
        <v>51.7</v>
      </c>
      <c r="BU3133">
        <v>19.95</v>
      </c>
      <c r="BV3133">
        <v>1.1200000000000001</v>
      </c>
      <c r="BW3133">
        <v>14.21</v>
      </c>
      <c r="BX3133">
        <v>18.079999999999998</v>
      </c>
      <c r="BY3133">
        <v>12.9</v>
      </c>
      <c r="BZ3133">
        <v>2.72</v>
      </c>
      <c r="CA3133" t="s">
        <v>120</v>
      </c>
      <c r="CB3133">
        <v>0.56000000000000005</v>
      </c>
      <c r="CC3133">
        <v>45.47</v>
      </c>
      <c r="CD3133">
        <v>40.14</v>
      </c>
      <c r="CE3133">
        <v>3.57</v>
      </c>
      <c r="CF3133">
        <v>0.25</v>
      </c>
      <c r="CG3133">
        <v>3.58</v>
      </c>
      <c r="CH3133">
        <v>3.03</v>
      </c>
      <c r="CI3133">
        <v>2.68</v>
      </c>
      <c r="CJ3133">
        <v>-0.06</v>
      </c>
      <c r="CK3133">
        <v>2.38</v>
      </c>
      <c r="CL3133">
        <v>36.65</v>
      </c>
      <c r="CM3133">
        <v>3.09</v>
      </c>
      <c r="CN3133">
        <v>-0.17</v>
      </c>
      <c r="CO3133">
        <v>23787</v>
      </c>
      <c r="CP3133">
        <v>19398</v>
      </c>
      <c r="CQ3133" t="s">
        <v>6269</v>
      </c>
      <c r="CR3133">
        <v>10.34</v>
      </c>
      <c r="CS3133">
        <v>98.33</v>
      </c>
      <c r="CT3133">
        <v>1.08</v>
      </c>
      <c r="CU3133">
        <v>18.32</v>
      </c>
      <c r="CV3133">
        <v>1.24</v>
      </c>
      <c r="CW3133">
        <v>3.78</v>
      </c>
      <c r="CX3133" t="s">
        <v>863</v>
      </c>
      <c r="CY3133">
        <v>4.84</v>
      </c>
      <c r="CZ3133">
        <v>0</v>
      </c>
      <c r="DA3133">
        <v>0.05</v>
      </c>
      <c r="DB3133">
        <v>3.39</v>
      </c>
      <c r="DC3133">
        <v>0.28999999999999998</v>
      </c>
      <c r="DD3133">
        <v>70.59</v>
      </c>
      <c r="DE3133" t="s">
        <v>2624</v>
      </c>
      <c r="DF3133">
        <v>11.7</v>
      </c>
      <c r="DG3133">
        <v>7.85</v>
      </c>
      <c r="DH3133">
        <v>5.9</v>
      </c>
      <c r="DI3133">
        <v>0.82</v>
      </c>
      <c r="DJ3133">
        <v>9076</v>
      </c>
      <c r="DK3133">
        <v>600987</v>
      </c>
      <c r="DL3133" t="s">
        <v>120</v>
      </c>
      <c r="DM3133" t="s">
        <v>120</v>
      </c>
      <c r="DN3133" t="s">
        <v>120</v>
      </c>
    </row>
    <row r="3134" spans="1:118">
      <c r="A3134" t="str">
        <f>"600988"</f>
        <v>600988</v>
      </c>
      <c r="B3134" t="s">
        <v>13583</v>
      </c>
      <c r="C3134">
        <v>-1.87</v>
      </c>
      <c r="D3134">
        <v>-0.05</v>
      </c>
      <c r="E3134">
        <v>-2.86</v>
      </c>
      <c r="F3134">
        <v>5082</v>
      </c>
      <c r="G3134" t="s">
        <v>13584</v>
      </c>
      <c r="H3134">
        <v>110481.12</v>
      </c>
      <c r="I3134">
        <v>2009.66</v>
      </c>
      <c r="J3134" t="s">
        <v>120</v>
      </c>
      <c r="K3134" t="s">
        <v>13585</v>
      </c>
      <c r="L3134">
        <v>4.22</v>
      </c>
      <c r="M3134">
        <v>16.82</v>
      </c>
      <c r="N3134">
        <v>0.63</v>
      </c>
      <c r="O3134">
        <v>3.33</v>
      </c>
      <c r="P3134">
        <v>17.71</v>
      </c>
      <c r="Q3134">
        <v>-3.15</v>
      </c>
      <c r="R3134">
        <v>16.600000000000001</v>
      </c>
      <c r="S3134">
        <v>16.649999999999999</v>
      </c>
      <c r="T3134">
        <v>647146</v>
      </c>
      <c r="U3134">
        <v>16.829999999999998</v>
      </c>
      <c r="V3134">
        <v>17.14</v>
      </c>
      <c r="W3134">
        <v>34.909999999999997</v>
      </c>
      <c r="X3134" t="s">
        <v>855</v>
      </c>
      <c r="Y3134" t="s">
        <v>785</v>
      </c>
      <c r="Z3134">
        <v>6.48</v>
      </c>
      <c r="AA3134">
        <v>17.07</v>
      </c>
      <c r="AB3134">
        <v>324620</v>
      </c>
      <c r="AC3134">
        <v>322526</v>
      </c>
      <c r="AD3134">
        <v>1.01</v>
      </c>
      <c r="AE3134">
        <v>244</v>
      </c>
      <c r="AF3134">
        <v>407</v>
      </c>
      <c r="AG3134" t="s">
        <v>120</v>
      </c>
      <c r="AH3134">
        <v>0.1</v>
      </c>
      <c r="AI3134" t="s">
        <v>120</v>
      </c>
      <c r="AJ3134">
        <v>15.35</v>
      </c>
      <c r="AK3134" t="s">
        <v>13586</v>
      </c>
      <c r="AL3134">
        <v>-0.52</v>
      </c>
      <c r="AM3134">
        <v>4631</v>
      </c>
      <c r="AN3134">
        <v>140</v>
      </c>
      <c r="AO3134">
        <v>8.9999999999999998E-4</v>
      </c>
      <c r="AP3134">
        <v>-1</v>
      </c>
      <c r="AQ3134">
        <v>2.63</v>
      </c>
      <c r="AR3134">
        <v>-5.14</v>
      </c>
      <c r="AS3134">
        <v>12.74</v>
      </c>
      <c r="AT3134">
        <v>8.94</v>
      </c>
      <c r="AU3134">
        <v>-6.09</v>
      </c>
      <c r="AV3134">
        <v>1</v>
      </c>
      <c r="AW3134">
        <v>5.62</v>
      </c>
      <c r="AX3134">
        <v>69.17</v>
      </c>
      <c r="AY3134">
        <v>29.62</v>
      </c>
      <c r="AZ3134">
        <v>36.380000000000003</v>
      </c>
      <c r="BA3134">
        <v>0.78</v>
      </c>
      <c r="BB3134" t="s">
        <v>184</v>
      </c>
      <c r="BF3134">
        <v>-0.4</v>
      </c>
      <c r="BG3134">
        <v>1.02</v>
      </c>
      <c r="BH3134">
        <v>-5.03</v>
      </c>
      <c r="BI3134">
        <v>1.33</v>
      </c>
      <c r="BJ3134">
        <v>20210731</v>
      </c>
      <c r="BK3134">
        <v>20040414</v>
      </c>
      <c r="BL3134">
        <v>16.64</v>
      </c>
      <c r="BM3134" t="s">
        <v>120</v>
      </c>
      <c r="BN3134" t="s">
        <v>120</v>
      </c>
      <c r="BO3134">
        <v>68.97</v>
      </c>
      <c r="BP3134">
        <v>16.82</v>
      </c>
      <c r="BQ3134">
        <v>38.119999999999997</v>
      </c>
      <c r="BR3134">
        <v>3.77</v>
      </c>
      <c r="BS3134">
        <v>39.270000000000003</v>
      </c>
      <c r="BT3134">
        <v>28.75</v>
      </c>
      <c r="BU3134">
        <v>21.86</v>
      </c>
      <c r="BV3134">
        <v>8.5500000000000007</v>
      </c>
      <c r="BW3134">
        <v>9.57</v>
      </c>
      <c r="BX3134">
        <v>12.43</v>
      </c>
      <c r="BY3134">
        <v>11.66</v>
      </c>
      <c r="BZ3134">
        <v>0.17</v>
      </c>
      <c r="CA3134" t="s">
        <v>120</v>
      </c>
      <c r="CB3134">
        <v>6.27</v>
      </c>
      <c r="CC3134">
        <v>16.73</v>
      </c>
      <c r="CD3134">
        <v>10.29</v>
      </c>
      <c r="CE3134">
        <v>5.17</v>
      </c>
      <c r="CF3134">
        <v>-0.16</v>
      </c>
      <c r="CG3134">
        <v>5.18</v>
      </c>
      <c r="CH3134">
        <v>4.24</v>
      </c>
      <c r="CI3134">
        <v>4.01</v>
      </c>
      <c r="CJ3134">
        <v>-0.32</v>
      </c>
      <c r="CK3134">
        <v>4.16</v>
      </c>
      <c r="CL3134">
        <v>25.3</v>
      </c>
      <c r="CM3134">
        <v>3.61</v>
      </c>
      <c r="CN3134">
        <v>0.57999999999999996</v>
      </c>
      <c r="CO3134">
        <v>143409</v>
      </c>
      <c r="CP3134">
        <v>8025</v>
      </c>
      <c r="CQ3134" t="s">
        <v>4192</v>
      </c>
      <c r="CR3134">
        <v>80.569999999999993</v>
      </c>
      <c r="CS3134">
        <v>-36.79</v>
      </c>
      <c r="CT3134">
        <v>7.34</v>
      </c>
      <c r="CU3134">
        <v>77.58</v>
      </c>
      <c r="CV3134">
        <v>16.73</v>
      </c>
      <c r="CW3134">
        <v>0</v>
      </c>
      <c r="CX3134" t="s">
        <v>863</v>
      </c>
      <c r="CY3134">
        <v>2.29</v>
      </c>
      <c r="CZ3134">
        <v>0</v>
      </c>
      <c r="DA3134">
        <v>0.38</v>
      </c>
      <c r="DB3134">
        <v>1.52</v>
      </c>
      <c r="DC3134">
        <v>0.22</v>
      </c>
      <c r="DD3134">
        <v>55.27</v>
      </c>
      <c r="DE3134" t="s">
        <v>5441</v>
      </c>
      <c r="DF3134">
        <v>38.479999999999997</v>
      </c>
      <c r="DG3134">
        <v>30.92</v>
      </c>
      <c r="DH3134">
        <v>23.97</v>
      </c>
      <c r="DI3134">
        <v>0.17</v>
      </c>
      <c r="DJ3134">
        <v>3863</v>
      </c>
      <c r="DK3134">
        <v>600988</v>
      </c>
      <c r="DL3134" t="s">
        <v>120</v>
      </c>
      <c r="DM3134" t="s">
        <v>120</v>
      </c>
      <c r="DN3134" t="s">
        <v>120</v>
      </c>
    </row>
    <row r="3135" spans="1:118">
      <c r="A3135" t="str">
        <f>"600989"</f>
        <v>600989</v>
      </c>
      <c r="B3135" t="s">
        <v>13587</v>
      </c>
      <c r="C3135">
        <v>3.91</v>
      </c>
      <c r="D3135">
        <v>0.05</v>
      </c>
      <c r="E3135">
        <v>3.13</v>
      </c>
      <c r="F3135">
        <v>15559</v>
      </c>
      <c r="G3135" t="s">
        <v>13588</v>
      </c>
      <c r="H3135">
        <v>480046.38</v>
      </c>
      <c r="I3135">
        <v>8597.33</v>
      </c>
      <c r="J3135" t="s">
        <v>120</v>
      </c>
      <c r="K3135" t="s">
        <v>13588</v>
      </c>
      <c r="L3135">
        <v>12.61</v>
      </c>
      <c r="M3135">
        <v>18.600000000000001</v>
      </c>
      <c r="N3135">
        <v>2.71</v>
      </c>
      <c r="O3135">
        <v>10</v>
      </c>
      <c r="P3135">
        <v>19.690000000000001</v>
      </c>
      <c r="Q3135">
        <v>2.0699999999999998</v>
      </c>
      <c r="R3135">
        <v>18.27</v>
      </c>
      <c r="S3135">
        <v>18.46</v>
      </c>
      <c r="T3135">
        <v>2514699</v>
      </c>
      <c r="U3135">
        <v>18.600000000000001</v>
      </c>
      <c r="V3135">
        <v>17.899999999999999</v>
      </c>
      <c r="W3135">
        <v>18.27</v>
      </c>
      <c r="X3135" t="s">
        <v>868</v>
      </c>
      <c r="Y3135" t="s">
        <v>1110</v>
      </c>
      <c r="Z3135">
        <v>7.93</v>
      </c>
      <c r="AA3135">
        <v>19.09</v>
      </c>
      <c r="AB3135">
        <v>1223310</v>
      </c>
      <c r="AC3135">
        <v>1291389</v>
      </c>
      <c r="AD3135">
        <v>0.95</v>
      </c>
      <c r="AE3135">
        <v>1849</v>
      </c>
      <c r="AF3135">
        <v>3916</v>
      </c>
      <c r="AG3135" t="s">
        <v>120</v>
      </c>
      <c r="AH3135">
        <v>0.23</v>
      </c>
      <c r="AI3135" t="s">
        <v>120</v>
      </c>
      <c r="AJ3135">
        <v>19.940000000000001</v>
      </c>
      <c r="AK3135" t="s">
        <v>13589</v>
      </c>
      <c r="AL3135">
        <v>5.25</v>
      </c>
      <c r="AM3135">
        <v>4739</v>
      </c>
      <c r="AN3135">
        <v>531</v>
      </c>
      <c r="AO3135">
        <v>2.7000000000000001E-3</v>
      </c>
      <c r="AP3135">
        <v>2</v>
      </c>
      <c r="AQ3135">
        <v>6.74</v>
      </c>
      <c r="AR3135">
        <v>5.5</v>
      </c>
      <c r="AS3135">
        <v>13.83</v>
      </c>
      <c r="AT3135">
        <v>30.62</v>
      </c>
      <c r="AU3135">
        <v>62.87</v>
      </c>
      <c r="AV3135">
        <v>1</v>
      </c>
      <c r="AW3135">
        <v>12.61</v>
      </c>
      <c r="AX3135">
        <v>27.19</v>
      </c>
      <c r="AY3135">
        <v>20.96</v>
      </c>
      <c r="AZ3135">
        <v>28.4</v>
      </c>
      <c r="BA3135">
        <v>1.31</v>
      </c>
      <c r="BB3135" t="s">
        <v>700</v>
      </c>
      <c r="BF3135">
        <v>6.65</v>
      </c>
      <c r="BG3135">
        <v>0.76</v>
      </c>
      <c r="BH3135">
        <v>-5.54</v>
      </c>
      <c r="BI3135">
        <v>1.81</v>
      </c>
      <c r="BJ3135">
        <v>20210810</v>
      </c>
      <c r="BK3135">
        <v>20190516</v>
      </c>
      <c r="BL3135">
        <v>73.33</v>
      </c>
      <c r="BM3135" t="s">
        <v>120</v>
      </c>
      <c r="BN3135" t="s">
        <v>120</v>
      </c>
      <c r="BO3135">
        <v>407.76</v>
      </c>
      <c r="BP3135">
        <v>18.59</v>
      </c>
      <c r="BQ3135">
        <v>274.37</v>
      </c>
      <c r="BR3135" t="s">
        <v>120</v>
      </c>
      <c r="BS3135">
        <v>32.71</v>
      </c>
      <c r="BT3135">
        <v>42.54</v>
      </c>
      <c r="BU3135">
        <v>236.31</v>
      </c>
      <c r="BV3135">
        <v>43.53</v>
      </c>
      <c r="BW3135">
        <v>66.03</v>
      </c>
      <c r="BX3135">
        <v>22.85</v>
      </c>
      <c r="BY3135">
        <v>10.56</v>
      </c>
      <c r="BZ3135">
        <v>0.06</v>
      </c>
      <c r="CA3135">
        <v>0.63</v>
      </c>
      <c r="CB3135">
        <v>72.680000000000007</v>
      </c>
      <c r="CC3135">
        <v>104.67</v>
      </c>
      <c r="CD3135">
        <v>50.67</v>
      </c>
      <c r="CE3135">
        <v>44.94</v>
      </c>
      <c r="CF3135">
        <v>0</v>
      </c>
      <c r="CG3135">
        <v>43.42</v>
      </c>
      <c r="CH3135">
        <v>37.33</v>
      </c>
      <c r="CI3135">
        <v>37.33</v>
      </c>
      <c r="CJ3135">
        <v>0.7</v>
      </c>
      <c r="CK3135">
        <v>38.700000000000003</v>
      </c>
      <c r="CL3135">
        <v>114.81</v>
      </c>
      <c r="CM3135">
        <v>35.17</v>
      </c>
      <c r="CN3135">
        <v>-8.08</v>
      </c>
      <c r="CO3135">
        <v>133746</v>
      </c>
      <c r="CP3135">
        <v>14911</v>
      </c>
      <c r="CQ3135" t="s">
        <v>13590</v>
      </c>
      <c r="CR3135">
        <v>78.459999999999994</v>
      </c>
      <c r="CS3135">
        <v>39.18</v>
      </c>
      <c r="CT3135">
        <v>4.97</v>
      </c>
      <c r="CU3135">
        <v>38.78</v>
      </c>
      <c r="CV3135">
        <v>13.03</v>
      </c>
      <c r="CW3135">
        <v>1.56</v>
      </c>
      <c r="CX3135" t="s">
        <v>1001</v>
      </c>
      <c r="CY3135">
        <v>3.74</v>
      </c>
      <c r="CZ3135">
        <v>0</v>
      </c>
      <c r="DA3135">
        <v>0.99</v>
      </c>
      <c r="DB3135">
        <v>1.57</v>
      </c>
      <c r="DC3135">
        <v>0.48</v>
      </c>
      <c r="DD3135">
        <v>67.290000000000006</v>
      </c>
      <c r="DE3135" t="s">
        <v>11942</v>
      </c>
      <c r="DF3135">
        <v>51.59</v>
      </c>
      <c r="DG3135">
        <v>42.93</v>
      </c>
      <c r="DH3135">
        <v>35.67</v>
      </c>
      <c r="DI3135">
        <v>0.64</v>
      </c>
      <c r="DJ3135">
        <v>13397</v>
      </c>
      <c r="DK3135">
        <v>600989</v>
      </c>
      <c r="DL3135" t="s">
        <v>120</v>
      </c>
      <c r="DM3135" t="s">
        <v>120</v>
      </c>
      <c r="DN3135" t="s">
        <v>120</v>
      </c>
    </row>
    <row r="3136" spans="1:118">
      <c r="A3136" t="str">
        <f>"600990"</f>
        <v>600990</v>
      </c>
      <c r="B3136" t="s">
        <v>13591</v>
      </c>
      <c r="C3136">
        <v>-2.36</v>
      </c>
      <c r="D3136">
        <v>-0.02</v>
      </c>
      <c r="E3136">
        <v>-0.03</v>
      </c>
      <c r="F3136">
        <v>358</v>
      </c>
      <c r="G3136" t="s">
        <v>13592</v>
      </c>
      <c r="H3136">
        <v>8803.11</v>
      </c>
      <c r="I3136">
        <v>16.760000000000002</v>
      </c>
      <c r="J3136" t="s">
        <v>120</v>
      </c>
      <c r="K3136" t="s">
        <v>13593</v>
      </c>
      <c r="L3136">
        <v>1.47</v>
      </c>
      <c r="M3136">
        <v>37.19</v>
      </c>
      <c r="N3136">
        <v>1.92</v>
      </c>
      <c r="O3136">
        <v>0.28999999999999998</v>
      </c>
      <c r="P3136">
        <v>38.200000000000003</v>
      </c>
      <c r="Q3136">
        <v>-3.05</v>
      </c>
      <c r="R3136">
        <v>36.93</v>
      </c>
      <c r="S3136">
        <v>38.08</v>
      </c>
      <c r="T3136">
        <v>23449</v>
      </c>
      <c r="U3136">
        <v>37.19</v>
      </c>
      <c r="V3136">
        <v>38.090000000000003</v>
      </c>
      <c r="W3136" t="s">
        <v>120</v>
      </c>
      <c r="X3136" t="s">
        <v>462</v>
      </c>
      <c r="Y3136" t="s">
        <v>570</v>
      </c>
      <c r="Z3136">
        <v>3.33</v>
      </c>
      <c r="AA3136">
        <v>37.54</v>
      </c>
      <c r="AB3136">
        <v>14470</v>
      </c>
      <c r="AC3136">
        <v>8979</v>
      </c>
      <c r="AD3136">
        <v>1.61</v>
      </c>
      <c r="AE3136">
        <v>100</v>
      </c>
      <c r="AF3136">
        <v>69</v>
      </c>
      <c r="AG3136" t="s">
        <v>120</v>
      </c>
      <c r="AH3136">
        <v>0.01</v>
      </c>
      <c r="AI3136" t="s">
        <v>120</v>
      </c>
      <c r="AJ3136">
        <v>1.59</v>
      </c>
      <c r="AK3136" t="s">
        <v>13593</v>
      </c>
      <c r="AL3136">
        <v>-1.02</v>
      </c>
      <c r="AM3136">
        <v>2440</v>
      </c>
      <c r="AN3136">
        <v>10</v>
      </c>
      <c r="AO3136">
        <v>5.9999999999999995E-4</v>
      </c>
      <c r="AP3136">
        <v>-4</v>
      </c>
      <c r="AQ3136">
        <v>-3.35</v>
      </c>
      <c r="AR3136">
        <v>-7.99</v>
      </c>
      <c r="AS3136">
        <v>-2</v>
      </c>
      <c r="AT3136">
        <v>-8.5500000000000007</v>
      </c>
      <c r="AU3136">
        <v>-19.41</v>
      </c>
      <c r="AV3136">
        <v>0</v>
      </c>
      <c r="AW3136">
        <v>2.79</v>
      </c>
      <c r="AX3136">
        <v>52.81</v>
      </c>
      <c r="AY3136">
        <v>44.16</v>
      </c>
      <c r="AZ3136">
        <v>35.61</v>
      </c>
      <c r="BA3136">
        <v>0.54</v>
      </c>
      <c r="BB3136" t="s">
        <v>143</v>
      </c>
      <c r="BF3136">
        <v>-1.44</v>
      </c>
      <c r="BG3136">
        <v>-2.34</v>
      </c>
      <c r="BH3136">
        <v>-2.64</v>
      </c>
      <c r="BI3136">
        <v>0.7</v>
      </c>
      <c r="BJ3136">
        <v>20210824</v>
      </c>
      <c r="BK3136">
        <v>20040510</v>
      </c>
      <c r="BL3136">
        <v>1.59</v>
      </c>
      <c r="BM3136" t="s">
        <v>120</v>
      </c>
      <c r="BN3136" t="s">
        <v>120</v>
      </c>
      <c r="BO3136">
        <v>75.86</v>
      </c>
      <c r="BP3136">
        <v>37.18</v>
      </c>
      <c r="BQ3136">
        <v>24.59</v>
      </c>
      <c r="BR3136">
        <v>0.25</v>
      </c>
      <c r="BS3136">
        <v>67.25</v>
      </c>
      <c r="BT3136">
        <v>51.91</v>
      </c>
      <c r="BU3136">
        <v>8.14</v>
      </c>
      <c r="BV3136">
        <v>2.62</v>
      </c>
      <c r="BW3136">
        <v>40.25</v>
      </c>
      <c r="BX3136">
        <v>3.49</v>
      </c>
      <c r="BY3136">
        <v>18.91</v>
      </c>
      <c r="BZ3136">
        <v>21.06</v>
      </c>
      <c r="CA3136" t="s">
        <v>120</v>
      </c>
      <c r="CB3136">
        <v>9.11</v>
      </c>
      <c r="CC3136">
        <v>6.94</v>
      </c>
      <c r="CD3136">
        <v>5.58</v>
      </c>
      <c r="CE3136">
        <v>-0.64</v>
      </c>
      <c r="CF3136">
        <v>0</v>
      </c>
      <c r="CG3136">
        <v>-0.62</v>
      </c>
      <c r="CH3136">
        <v>-0.56000000000000005</v>
      </c>
      <c r="CI3136">
        <v>-0.56999999999999995</v>
      </c>
      <c r="CJ3136">
        <v>-0.9</v>
      </c>
      <c r="CK3136">
        <v>-0.91</v>
      </c>
      <c r="CL3136">
        <v>12.34</v>
      </c>
      <c r="CM3136">
        <v>-8.89</v>
      </c>
      <c r="CN3136">
        <v>-8.6199999999999992</v>
      </c>
      <c r="CO3136">
        <v>16699</v>
      </c>
      <c r="CP3136">
        <v>5034</v>
      </c>
      <c r="CQ3136" t="s">
        <v>5053</v>
      </c>
      <c r="CR3136">
        <v>-137.28</v>
      </c>
      <c r="CS3136">
        <v>-1.29</v>
      </c>
      <c r="CT3136">
        <v>2.41</v>
      </c>
      <c r="CU3136">
        <v>-6.66</v>
      </c>
      <c r="CV3136">
        <v>8.5299999999999994</v>
      </c>
      <c r="CW3136">
        <v>0.87</v>
      </c>
      <c r="CX3136" t="s">
        <v>8697</v>
      </c>
      <c r="CY3136">
        <v>15.45</v>
      </c>
      <c r="CZ3136">
        <v>0</v>
      </c>
      <c r="DA3136">
        <v>5.72</v>
      </c>
      <c r="DB3136">
        <v>7.75</v>
      </c>
      <c r="DC3136">
        <v>-5.58</v>
      </c>
      <c r="DD3136">
        <v>32.42</v>
      </c>
      <c r="DE3136" t="s">
        <v>13594</v>
      </c>
      <c r="DF3136">
        <v>19.62</v>
      </c>
      <c r="DG3136">
        <v>-9.2799999999999994</v>
      </c>
      <c r="DH3136">
        <v>-8.2100000000000009</v>
      </c>
      <c r="DI3136">
        <v>0.16</v>
      </c>
      <c r="DJ3136">
        <v>3323</v>
      </c>
      <c r="DK3136">
        <v>600990</v>
      </c>
      <c r="DL3136" t="s">
        <v>120</v>
      </c>
      <c r="DM3136" t="s">
        <v>120</v>
      </c>
      <c r="DN3136" t="s">
        <v>120</v>
      </c>
    </row>
    <row r="3137" spans="1:118">
      <c r="A3137" t="str">
        <f>"600992"</f>
        <v>600992</v>
      </c>
      <c r="B3137" t="s">
        <v>13595</v>
      </c>
      <c r="C3137">
        <v>-2.91</v>
      </c>
      <c r="D3137">
        <v>0</v>
      </c>
      <c r="E3137">
        <v>-0.7</v>
      </c>
      <c r="F3137">
        <v>705</v>
      </c>
      <c r="G3137" t="s">
        <v>9803</v>
      </c>
      <c r="H3137">
        <v>4830.03</v>
      </c>
      <c r="I3137">
        <v>29.86</v>
      </c>
      <c r="J3137" t="s">
        <v>120</v>
      </c>
      <c r="K3137" t="s">
        <v>13596</v>
      </c>
      <c r="L3137">
        <v>2.31</v>
      </c>
      <c r="M3137">
        <v>8.34</v>
      </c>
      <c r="N3137">
        <v>0.9</v>
      </c>
      <c r="O3137">
        <v>1.75</v>
      </c>
      <c r="P3137">
        <v>8.74</v>
      </c>
      <c r="Q3137">
        <v>-3.03</v>
      </c>
      <c r="R3137">
        <v>8.33</v>
      </c>
      <c r="S3137">
        <v>8.5299999999999994</v>
      </c>
      <c r="T3137">
        <v>56642</v>
      </c>
      <c r="U3137">
        <v>8.34</v>
      </c>
      <c r="V3137">
        <v>8.59</v>
      </c>
      <c r="W3137">
        <v>72.31</v>
      </c>
      <c r="X3137" t="s">
        <v>1925</v>
      </c>
      <c r="Y3137" t="s">
        <v>1021</v>
      </c>
      <c r="Z3137">
        <v>4.7699999999999996</v>
      </c>
      <c r="AA3137">
        <v>8.5299999999999994</v>
      </c>
      <c r="AB3137">
        <v>34020</v>
      </c>
      <c r="AC3137">
        <v>22622</v>
      </c>
      <c r="AD3137">
        <v>1.5</v>
      </c>
      <c r="AE3137">
        <v>661</v>
      </c>
      <c r="AF3137">
        <v>120</v>
      </c>
      <c r="AG3137" t="s">
        <v>120</v>
      </c>
      <c r="AH3137">
        <v>0.02</v>
      </c>
      <c r="AI3137" t="s">
        <v>120</v>
      </c>
      <c r="AJ3137">
        <v>2.4500000000000002</v>
      </c>
      <c r="AK3137" t="s">
        <v>13596</v>
      </c>
      <c r="AL3137">
        <v>-1.57</v>
      </c>
      <c r="AM3137">
        <v>1715</v>
      </c>
      <c r="AN3137">
        <v>33</v>
      </c>
      <c r="AO3137">
        <v>1.2999999999999999E-3</v>
      </c>
      <c r="AP3137">
        <v>-2</v>
      </c>
      <c r="AQ3137">
        <v>-4.87</v>
      </c>
      <c r="AR3137">
        <v>-6.39</v>
      </c>
      <c r="AS3137">
        <v>-12.11</v>
      </c>
      <c r="AT3137">
        <v>-6.33</v>
      </c>
      <c r="AU3137">
        <v>18.25</v>
      </c>
      <c r="AV3137">
        <v>8</v>
      </c>
      <c r="AW3137">
        <v>3.02</v>
      </c>
      <c r="AX3137">
        <v>76.540000000000006</v>
      </c>
      <c r="AY3137">
        <v>66.430000000000007</v>
      </c>
      <c r="AZ3137">
        <v>69.739999999999995</v>
      </c>
      <c r="BA3137">
        <v>1.48</v>
      </c>
      <c r="BB3137" t="s">
        <v>1723</v>
      </c>
      <c r="BF3137">
        <v>-0.73</v>
      </c>
      <c r="BG3137">
        <v>-2.23</v>
      </c>
      <c r="BH3137">
        <v>-4.58</v>
      </c>
      <c r="BI3137">
        <v>0.12</v>
      </c>
      <c r="BJ3137">
        <v>20210828</v>
      </c>
      <c r="BK3137">
        <v>20040514</v>
      </c>
      <c r="BL3137">
        <v>2.4500000000000002</v>
      </c>
      <c r="BM3137" t="s">
        <v>120</v>
      </c>
      <c r="BN3137" t="s">
        <v>120</v>
      </c>
      <c r="BO3137">
        <v>32.53</v>
      </c>
      <c r="BP3137">
        <v>8.33</v>
      </c>
      <c r="BQ3137">
        <v>14.46</v>
      </c>
      <c r="BR3137" t="s">
        <v>120</v>
      </c>
      <c r="BS3137">
        <v>55.56</v>
      </c>
      <c r="BT3137">
        <v>22.23</v>
      </c>
      <c r="BU3137">
        <v>1.73</v>
      </c>
      <c r="BV3137">
        <v>1.55</v>
      </c>
      <c r="BW3137">
        <v>14.67</v>
      </c>
      <c r="BX3137">
        <v>6.79</v>
      </c>
      <c r="BY3137">
        <v>4.43</v>
      </c>
      <c r="BZ3137">
        <v>4.4400000000000004</v>
      </c>
      <c r="CA3137" t="s">
        <v>120</v>
      </c>
      <c r="CB3137">
        <v>8.4</v>
      </c>
      <c r="CC3137">
        <v>10.96</v>
      </c>
      <c r="CD3137">
        <v>9.51</v>
      </c>
      <c r="CE3137">
        <v>0.17</v>
      </c>
      <c r="CF3137">
        <v>0.04</v>
      </c>
      <c r="CG3137">
        <v>0.17</v>
      </c>
      <c r="CH3137">
        <v>0.14000000000000001</v>
      </c>
      <c r="CI3137">
        <v>0.14000000000000001</v>
      </c>
      <c r="CJ3137">
        <v>-0.25</v>
      </c>
      <c r="CK3137">
        <v>0.11</v>
      </c>
      <c r="CL3137">
        <v>2.8</v>
      </c>
      <c r="CM3137">
        <v>-0.17</v>
      </c>
      <c r="CN3137">
        <v>-0.99</v>
      </c>
      <c r="CO3137">
        <v>25118</v>
      </c>
      <c r="CP3137">
        <v>7469</v>
      </c>
      <c r="CQ3137" t="s">
        <v>185</v>
      </c>
      <c r="CR3137">
        <v>11.91</v>
      </c>
      <c r="CS3137">
        <v>16.170000000000002</v>
      </c>
      <c r="CT3137">
        <v>1.41</v>
      </c>
      <c r="CU3137">
        <v>-118.31</v>
      </c>
      <c r="CV3137">
        <v>1.86</v>
      </c>
      <c r="CW3137">
        <v>0.43</v>
      </c>
      <c r="CX3137" t="s">
        <v>9937</v>
      </c>
      <c r="CY3137">
        <v>5.9</v>
      </c>
      <c r="CZ3137">
        <v>0</v>
      </c>
      <c r="DA3137">
        <v>3.43</v>
      </c>
      <c r="DB3137">
        <v>1.1399999999999999</v>
      </c>
      <c r="DC3137">
        <v>-7.0000000000000007E-2</v>
      </c>
      <c r="DD3137">
        <v>44.44</v>
      </c>
      <c r="DE3137" t="s">
        <v>13597</v>
      </c>
      <c r="DF3137">
        <v>13.28</v>
      </c>
      <c r="DG3137">
        <v>1.52</v>
      </c>
      <c r="DH3137">
        <v>1.29</v>
      </c>
      <c r="DI3137">
        <v>0.3</v>
      </c>
      <c r="DJ3137">
        <v>3748</v>
      </c>
      <c r="DK3137">
        <v>600992</v>
      </c>
      <c r="DL3137">
        <v>20210609</v>
      </c>
      <c r="DM3137">
        <v>8.59</v>
      </c>
      <c r="DN3137">
        <v>-2.48</v>
      </c>
    </row>
    <row r="3138" spans="1:118">
      <c r="A3138" t="str">
        <f>"600993"</f>
        <v>600993</v>
      </c>
      <c r="B3138" t="s">
        <v>13598</v>
      </c>
      <c r="C3138">
        <v>0.24</v>
      </c>
      <c r="D3138">
        <v>0</v>
      </c>
      <c r="E3138">
        <v>0</v>
      </c>
      <c r="F3138">
        <v>1918</v>
      </c>
      <c r="G3138" t="s">
        <v>13599</v>
      </c>
      <c r="H3138">
        <v>25517.82</v>
      </c>
      <c r="I3138">
        <v>64.22</v>
      </c>
      <c r="J3138" t="s">
        <v>120</v>
      </c>
      <c r="K3138" t="s">
        <v>13600</v>
      </c>
      <c r="L3138">
        <v>2.02</v>
      </c>
      <c r="M3138">
        <v>29.26</v>
      </c>
      <c r="N3138">
        <v>0.51</v>
      </c>
      <c r="O3138">
        <v>2.23</v>
      </c>
      <c r="P3138">
        <v>29.84</v>
      </c>
      <c r="Q3138">
        <v>-0.99</v>
      </c>
      <c r="R3138">
        <v>28.9</v>
      </c>
      <c r="S3138">
        <v>29.19</v>
      </c>
      <c r="T3138">
        <v>86987</v>
      </c>
      <c r="U3138">
        <v>29.27</v>
      </c>
      <c r="V3138">
        <v>29.19</v>
      </c>
      <c r="W3138">
        <v>24.75</v>
      </c>
      <c r="X3138" t="s">
        <v>771</v>
      </c>
      <c r="Y3138" t="s">
        <v>763</v>
      </c>
      <c r="Z3138">
        <v>3.22</v>
      </c>
      <c r="AA3138">
        <v>29.34</v>
      </c>
      <c r="AB3138">
        <v>49069</v>
      </c>
      <c r="AC3138">
        <v>37918</v>
      </c>
      <c r="AD3138">
        <v>1.29</v>
      </c>
      <c r="AE3138">
        <v>48</v>
      </c>
      <c r="AF3138">
        <v>27</v>
      </c>
      <c r="AG3138" t="s">
        <v>120</v>
      </c>
      <c r="AH3138">
        <v>0.01</v>
      </c>
      <c r="AI3138" t="s">
        <v>120</v>
      </c>
      <c r="AJ3138">
        <v>4.3</v>
      </c>
      <c r="AK3138" t="s">
        <v>13601</v>
      </c>
      <c r="AL3138">
        <v>1.58</v>
      </c>
      <c r="AM3138">
        <v>3711</v>
      </c>
      <c r="AN3138">
        <v>23</v>
      </c>
      <c r="AO3138">
        <v>5.0000000000000001E-4</v>
      </c>
      <c r="AP3138">
        <v>1</v>
      </c>
      <c r="AQ3138">
        <v>-2.08</v>
      </c>
      <c r="AR3138">
        <v>-4.66</v>
      </c>
      <c r="AS3138">
        <v>4.6900000000000004</v>
      </c>
      <c r="AT3138">
        <v>19.87</v>
      </c>
      <c r="AU3138">
        <v>47.48</v>
      </c>
      <c r="AV3138">
        <v>2</v>
      </c>
      <c r="AW3138">
        <v>3.12</v>
      </c>
      <c r="AX3138">
        <v>64.58</v>
      </c>
      <c r="AY3138">
        <v>28.69</v>
      </c>
      <c r="AZ3138">
        <v>30.03</v>
      </c>
      <c r="BA3138">
        <v>1.27</v>
      </c>
      <c r="BB3138" t="s">
        <v>240</v>
      </c>
      <c r="BF3138">
        <v>0.5</v>
      </c>
      <c r="BG3138">
        <v>0.24</v>
      </c>
      <c r="BH3138">
        <v>-1.94</v>
      </c>
      <c r="BI3138">
        <v>1.25</v>
      </c>
      <c r="BJ3138">
        <v>20210821</v>
      </c>
      <c r="BK3138">
        <v>20040517</v>
      </c>
      <c r="BL3138">
        <v>4.3099999999999996</v>
      </c>
      <c r="BM3138" t="s">
        <v>120</v>
      </c>
      <c r="BN3138" t="s">
        <v>120</v>
      </c>
      <c r="BO3138">
        <v>40.6</v>
      </c>
      <c r="BP3138">
        <v>29.26</v>
      </c>
      <c r="BQ3138">
        <v>29.66</v>
      </c>
      <c r="BR3138">
        <v>1.74</v>
      </c>
      <c r="BS3138">
        <v>22.66</v>
      </c>
      <c r="BT3138">
        <v>33.159999999999997</v>
      </c>
      <c r="BU3138">
        <v>3.1</v>
      </c>
      <c r="BV3138">
        <v>0.33</v>
      </c>
      <c r="BW3138">
        <v>8</v>
      </c>
      <c r="BX3138">
        <v>19.100000000000001</v>
      </c>
      <c r="BY3138">
        <v>2.77</v>
      </c>
      <c r="BZ3138">
        <v>1.85</v>
      </c>
      <c r="CA3138" t="s">
        <v>120</v>
      </c>
      <c r="CB3138">
        <v>1.0900000000000001</v>
      </c>
      <c r="CC3138">
        <v>16.68</v>
      </c>
      <c r="CD3138">
        <v>10.130000000000001</v>
      </c>
      <c r="CE3138">
        <v>2.97</v>
      </c>
      <c r="CF3138">
        <v>0.19</v>
      </c>
      <c r="CG3138">
        <v>2.96</v>
      </c>
      <c r="CH3138">
        <v>2.6</v>
      </c>
      <c r="CI3138">
        <v>2.5499999999999998</v>
      </c>
      <c r="CJ3138">
        <v>7.0000000000000007E-2</v>
      </c>
      <c r="CK3138">
        <v>2.33</v>
      </c>
      <c r="CL3138">
        <v>21.29</v>
      </c>
      <c r="CM3138">
        <v>-0.99</v>
      </c>
      <c r="CN3138">
        <v>-1.5</v>
      </c>
      <c r="CO3138">
        <v>50164</v>
      </c>
      <c r="CP3138">
        <v>5549</v>
      </c>
      <c r="CQ3138" t="s">
        <v>13472</v>
      </c>
      <c r="CR3138">
        <v>8.3000000000000007</v>
      </c>
      <c r="CS3138">
        <v>70.069999999999993</v>
      </c>
      <c r="CT3138">
        <v>4.25</v>
      </c>
      <c r="CU3138">
        <v>-126.89</v>
      </c>
      <c r="CV3138">
        <v>7.56</v>
      </c>
      <c r="CW3138">
        <v>1.03</v>
      </c>
      <c r="CX3138" t="s">
        <v>597</v>
      </c>
      <c r="CY3138">
        <v>6.88</v>
      </c>
      <c r="CZ3138">
        <v>0</v>
      </c>
      <c r="DA3138">
        <v>0.25</v>
      </c>
      <c r="DB3138">
        <v>4.9400000000000004</v>
      </c>
      <c r="DC3138">
        <v>-0.23</v>
      </c>
      <c r="DD3138">
        <v>73.06</v>
      </c>
      <c r="DE3138" t="s">
        <v>1632</v>
      </c>
      <c r="DF3138">
        <v>39.31</v>
      </c>
      <c r="DG3138">
        <v>17.8</v>
      </c>
      <c r="DH3138">
        <v>15.27</v>
      </c>
      <c r="DI3138">
        <v>0.36</v>
      </c>
      <c r="DJ3138">
        <v>3091</v>
      </c>
      <c r="DK3138">
        <v>600993</v>
      </c>
      <c r="DL3138" t="s">
        <v>120</v>
      </c>
      <c r="DM3138" t="s">
        <v>120</v>
      </c>
      <c r="DN3138" t="s">
        <v>120</v>
      </c>
    </row>
    <row r="3139" spans="1:118">
      <c r="A3139" t="str">
        <f>"600995"</f>
        <v>600995</v>
      </c>
      <c r="B3139" t="s">
        <v>13602</v>
      </c>
      <c r="C3139">
        <v>-1.22</v>
      </c>
      <c r="D3139">
        <v>0</v>
      </c>
      <c r="E3139">
        <v>0.27</v>
      </c>
      <c r="F3139">
        <v>469</v>
      </c>
      <c r="G3139" t="s">
        <v>13603</v>
      </c>
      <c r="H3139">
        <v>5107.43</v>
      </c>
      <c r="I3139">
        <v>21.59</v>
      </c>
      <c r="J3139" t="s">
        <v>120</v>
      </c>
      <c r="K3139" t="s">
        <v>734</v>
      </c>
      <c r="L3139">
        <v>1.44</v>
      </c>
      <c r="M3139">
        <v>7.31</v>
      </c>
      <c r="N3139">
        <v>0.73</v>
      </c>
      <c r="O3139">
        <v>2.0299999999999998</v>
      </c>
      <c r="P3139">
        <v>7.55</v>
      </c>
      <c r="Q3139">
        <v>-1.76</v>
      </c>
      <c r="R3139">
        <v>7.27</v>
      </c>
      <c r="S3139">
        <v>7.42</v>
      </c>
      <c r="T3139">
        <v>68975</v>
      </c>
      <c r="U3139">
        <v>7.31</v>
      </c>
      <c r="V3139">
        <v>7.4</v>
      </c>
      <c r="W3139">
        <v>14.25</v>
      </c>
      <c r="X3139" t="s">
        <v>1287</v>
      </c>
      <c r="Y3139" t="s">
        <v>1006</v>
      </c>
      <c r="Z3139">
        <v>3.78</v>
      </c>
      <c r="AA3139">
        <v>7.4</v>
      </c>
      <c r="AB3139">
        <v>39110</v>
      </c>
      <c r="AC3139">
        <v>29865</v>
      </c>
      <c r="AD3139">
        <v>1.31</v>
      </c>
      <c r="AE3139">
        <v>294</v>
      </c>
      <c r="AF3139">
        <v>88</v>
      </c>
      <c r="AG3139" t="s">
        <v>120</v>
      </c>
      <c r="AH3139">
        <v>0.01</v>
      </c>
      <c r="AI3139" t="s">
        <v>120</v>
      </c>
      <c r="AJ3139">
        <v>4.79</v>
      </c>
      <c r="AK3139" t="s">
        <v>734</v>
      </c>
      <c r="AL3139">
        <v>0.13</v>
      </c>
      <c r="AM3139">
        <v>1840</v>
      </c>
      <c r="AN3139">
        <v>37</v>
      </c>
      <c r="AO3139">
        <v>8.0000000000000004E-4</v>
      </c>
      <c r="AP3139">
        <v>-1</v>
      </c>
      <c r="AQ3139">
        <v>1.93</v>
      </c>
      <c r="AR3139">
        <v>-2.27</v>
      </c>
      <c r="AS3139">
        <v>6.25</v>
      </c>
      <c r="AT3139">
        <v>3.1</v>
      </c>
      <c r="AU3139">
        <v>-9.31</v>
      </c>
      <c r="AV3139">
        <v>1</v>
      </c>
      <c r="AW3139">
        <v>2.08</v>
      </c>
      <c r="AX3139">
        <v>69.34</v>
      </c>
      <c r="AY3139">
        <v>93.24</v>
      </c>
      <c r="AZ3139">
        <v>31.98</v>
      </c>
      <c r="BA3139">
        <v>0.45</v>
      </c>
      <c r="BB3139" t="s">
        <v>143</v>
      </c>
      <c r="BF3139">
        <v>0.06</v>
      </c>
      <c r="BG3139">
        <v>-1.48</v>
      </c>
      <c r="BH3139">
        <v>-3.18</v>
      </c>
      <c r="BI3139">
        <v>0.55000000000000004</v>
      </c>
      <c r="BJ3139">
        <v>20210831</v>
      </c>
      <c r="BK3139">
        <v>20040615</v>
      </c>
      <c r="BL3139">
        <v>4.79</v>
      </c>
      <c r="BM3139" t="s">
        <v>120</v>
      </c>
      <c r="BN3139" t="s">
        <v>120</v>
      </c>
      <c r="BO3139">
        <v>29.66</v>
      </c>
      <c r="BP3139">
        <v>7.3</v>
      </c>
      <c r="BQ3139">
        <v>22.44</v>
      </c>
      <c r="BR3139" t="s">
        <v>120</v>
      </c>
      <c r="BS3139">
        <v>24.32</v>
      </c>
      <c r="BT3139">
        <v>5.47</v>
      </c>
      <c r="BU3139">
        <v>19.55</v>
      </c>
      <c r="BV3139">
        <v>0.68</v>
      </c>
      <c r="BW3139">
        <v>5.74</v>
      </c>
      <c r="BX3139">
        <v>1.86</v>
      </c>
      <c r="BY3139">
        <v>0.17</v>
      </c>
      <c r="BZ3139">
        <v>1.98</v>
      </c>
      <c r="CA3139">
        <v>0.02</v>
      </c>
      <c r="CB3139">
        <v>1.19</v>
      </c>
      <c r="CC3139">
        <v>10.47</v>
      </c>
      <c r="CD3139">
        <v>8.65</v>
      </c>
      <c r="CE3139">
        <v>1.44</v>
      </c>
      <c r="CF3139">
        <v>0.22</v>
      </c>
      <c r="CG3139">
        <v>1.43</v>
      </c>
      <c r="CH3139">
        <v>1.23</v>
      </c>
      <c r="CI3139">
        <v>1.23</v>
      </c>
      <c r="CJ3139">
        <v>-0.09</v>
      </c>
      <c r="CK3139">
        <v>1.19</v>
      </c>
      <c r="CL3139">
        <v>13.97</v>
      </c>
      <c r="CM3139">
        <v>2.7</v>
      </c>
      <c r="CN3139">
        <v>0.31</v>
      </c>
      <c r="CO3139">
        <v>39961</v>
      </c>
      <c r="CP3139">
        <v>8303</v>
      </c>
      <c r="CQ3139" t="s">
        <v>1035</v>
      </c>
      <c r="CR3139">
        <v>-37.22</v>
      </c>
      <c r="CS3139">
        <v>9.7899999999999991</v>
      </c>
      <c r="CT3139">
        <v>1.56</v>
      </c>
      <c r="CU3139">
        <v>12.98</v>
      </c>
      <c r="CV3139">
        <v>3.34</v>
      </c>
      <c r="CW3139">
        <v>0.95</v>
      </c>
      <c r="CX3139" t="s">
        <v>670</v>
      </c>
      <c r="CY3139">
        <v>4.6900000000000004</v>
      </c>
      <c r="CZ3139">
        <v>0</v>
      </c>
      <c r="DA3139">
        <v>0.25</v>
      </c>
      <c r="DB3139">
        <v>2.92</v>
      </c>
      <c r="DC3139">
        <v>0.56000000000000005</v>
      </c>
      <c r="DD3139">
        <v>75.680000000000007</v>
      </c>
      <c r="DE3139" t="s">
        <v>13604</v>
      </c>
      <c r="DF3139">
        <v>17.39</v>
      </c>
      <c r="DG3139">
        <v>13.77</v>
      </c>
      <c r="DH3139">
        <v>11.72</v>
      </c>
      <c r="DI3139" t="s">
        <v>120</v>
      </c>
      <c r="DJ3139">
        <v>2277</v>
      </c>
      <c r="DK3139">
        <v>600995</v>
      </c>
      <c r="DL3139" t="s">
        <v>120</v>
      </c>
      <c r="DM3139" t="s">
        <v>120</v>
      </c>
      <c r="DN3139" t="s">
        <v>120</v>
      </c>
    </row>
    <row r="3140" spans="1:118">
      <c r="A3140" t="str">
        <f>"600996"</f>
        <v>600996</v>
      </c>
      <c r="B3140" t="s">
        <v>13605</v>
      </c>
      <c r="C3140">
        <v>-3.4</v>
      </c>
      <c r="D3140">
        <v>-0.61</v>
      </c>
      <c r="E3140">
        <v>0.6</v>
      </c>
      <c r="F3140">
        <v>985</v>
      </c>
      <c r="G3140" t="s">
        <v>173</v>
      </c>
      <c r="H3140">
        <v>3952.92</v>
      </c>
      <c r="I3140">
        <v>6.84</v>
      </c>
      <c r="J3140" t="s">
        <v>120</v>
      </c>
      <c r="K3140" t="s">
        <v>10897</v>
      </c>
      <c r="L3140">
        <v>0.77</v>
      </c>
      <c r="M3140">
        <v>4.83</v>
      </c>
      <c r="N3140">
        <v>0.97</v>
      </c>
      <c r="O3140">
        <v>1</v>
      </c>
      <c r="P3140">
        <v>5.05</v>
      </c>
      <c r="Q3140">
        <v>-3.6</v>
      </c>
      <c r="R3140">
        <v>4.82</v>
      </c>
      <c r="S3140">
        <v>5.03</v>
      </c>
      <c r="T3140">
        <v>80773</v>
      </c>
      <c r="U3140">
        <v>4.84</v>
      </c>
      <c r="V3140">
        <v>5</v>
      </c>
      <c r="W3140" t="s">
        <v>120</v>
      </c>
      <c r="X3140" t="s">
        <v>584</v>
      </c>
      <c r="Y3140" t="s">
        <v>1021</v>
      </c>
      <c r="Z3140">
        <v>4.5999999999999996</v>
      </c>
      <c r="AA3140">
        <v>4.8899999999999997</v>
      </c>
      <c r="AB3140">
        <v>50810</v>
      </c>
      <c r="AC3140">
        <v>29963</v>
      </c>
      <c r="AD3140">
        <v>1.7</v>
      </c>
      <c r="AE3140">
        <v>366</v>
      </c>
      <c r="AF3140">
        <v>60</v>
      </c>
      <c r="AG3140" t="s">
        <v>120</v>
      </c>
      <c r="AH3140">
        <v>0</v>
      </c>
      <c r="AI3140" t="s">
        <v>120</v>
      </c>
      <c r="AJ3140">
        <v>10.52</v>
      </c>
      <c r="AK3140" t="s">
        <v>10897</v>
      </c>
      <c r="AL3140">
        <v>-2.06</v>
      </c>
      <c r="AM3140">
        <v>1950</v>
      </c>
      <c r="AN3140">
        <v>41</v>
      </c>
      <c r="AO3140">
        <v>4.0000000000000002E-4</v>
      </c>
      <c r="AP3140">
        <v>-1</v>
      </c>
      <c r="AQ3140">
        <v>3.52</v>
      </c>
      <c r="AR3140">
        <v>-2.82</v>
      </c>
      <c r="AS3140">
        <v>4.55</v>
      </c>
      <c r="AT3140">
        <v>-3.4</v>
      </c>
      <c r="AU3140">
        <v>-11.53</v>
      </c>
      <c r="AV3140">
        <v>3</v>
      </c>
      <c r="AW3140">
        <v>2.2999999999999998</v>
      </c>
      <c r="AX3140">
        <v>33.42</v>
      </c>
      <c r="AY3140" t="s">
        <v>120</v>
      </c>
      <c r="AZ3140" t="s">
        <v>120</v>
      </c>
      <c r="BA3140">
        <v>0.94</v>
      </c>
      <c r="BB3140" t="s">
        <v>184</v>
      </c>
      <c r="BF3140">
        <v>-2.12</v>
      </c>
      <c r="BG3140">
        <v>-3.98</v>
      </c>
      <c r="BH3140">
        <v>-4.3600000000000003</v>
      </c>
      <c r="BI3140">
        <v>0.21</v>
      </c>
      <c r="BJ3140">
        <v>20210830</v>
      </c>
      <c r="BK3140">
        <v>20161226</v>
      </c>
      <c r="BL3140">
        <v>10.52</v>
      </c>
      <c r="BM3140" t="s">
        <v>120</v>
      </c>
      <c r="BN3140" t="s">
        <v>120</v>
      </c>
      <c r="BO3140">
        <v>165.42</v>
      </c>
      <c r="BP3140">
        <v>4.83</v>
      </c>
      <c r="BQ3140">
        <v>41.94</v>
      </c>
      <c r="BR3140">
        <v>0.82</v>
      </c>
      <c r="BS3140">
        <v>74.150000000000006</v>
      </c>
      <c r="BT3140">
        <v>53.53</v>
      </c>
      <c r="BU3140">
        <v>67.33</v>
      </c>
      <c r="BV3140">
        <v>0.87</v>
      </c>
      <c r="BW3140">
        <v>81.25</v>
      </c>
      <c r="BX3140">
        <v>9.51</v>
      </c>
      <c r="BY3140">
        <v>1.75</v>
      </c>
      <c r="BZ3140">
        <v>23.54</v>
      </c>
      <c r="CA3140" t="s">
        <v>120</v>
      </c>
      <c r="CB3140">
        <v>16.690000000000001</v>
      </c>
      <c r="CC3140">
        <v>11.52</v>
      </c>
      <c r="CD3140">
        <v>10.94</v>
      </c>
      <c r="CE3140">
        <v>-3.69</v>
      </c>
      <c r="CF3140">
        <v>-0.02</v>
      </c>
      <c r="CG3140">
        <v>-3.6</v>
      </c>
      <c r="CH3140">
        <v>-3.63</v>
      </c>
      <c r="CI3140">
        <v>-3.62</v>
      </c>
      <c r="CJ3140">
        <v>-0.17</v>
      </c>
      <c r="CK3140">
        <v>-3.78</v>
      </c>
      <c r="CL3140">
        <v>10.93</v>
      </c>
      <c r="CM3140">
        <v>-1.4</v>
      </c>
      <c r="CN3140">
        <v>3.79</v>
      </c>
      <c r="CO3140">
        <v>45371</v>
      </c>
      <c r="CP3140">
        <v>7748</v>
      </c>
      <c r="CQ3140" t="s">
        <v>2596</v>
      </c>
      <c r="CR3140">
        <v>-993.14</v>
      </c>
      <c r="CS3140">
        <v>-27.78</v>
      </c>
      <c r="CT3140">
        <v>1.26</v>
      </c>
      <c r="CU3140">
        <v>-36.28</v>
      </c>
      <c r="CV3140">
        <v>4.41</v>
      </c>
      <c r="CW3140">
        <v>0</v>
      </c>
      <c r="CX3140" t="s">
        <v>13606</v>
      </c>
      <c r="CY3140">
        <v>3.85</v>
      </c>
      <c r="CZ3140">
        <v>3.85</v>
      </c>
      <c r="DA3140">
        <v>1.59</v>
      </c>
      <c r="DB3140">
        <v>1.04</v>
      </c>
      <c r="DC3140">
        <v>-0.13</v>
      </c>
      <c r="DD3140">
        <v>25.35</v>
      </c>
      <c r="DE3140" t="s">
        <v>13607</v>
      </c>
      <c r="DF3140">
        <v>5.01</v>
      </c>
      <c r="DG3140">
        <v>-32.04</v>
      </c>
      <c r="DH3140">
        <v>-31.41</v>
      </c>
      <c r="DI3140">
        <v>0.14000000000000001</v>
      </c>
      <c r="DJ3140">
        <v>6190</v>
      </c>
      <c r="DK3140">
        <v>600996</v>
      </c>
      <c r="DL3140" t="s">
        <v>120</v>
      </c>
      <c r="DM3140" t="s">
        <v>120</v>
      </c>
      <c r="DN3140" t="s">
        <v>120</v>
      </c>
    </row>
    <row r="3141" spans="1:118">
      <c r="A3141" t="str">
        <f>"600997"</f>
        <v>600997</v>
      </c>
      <c r="B3141" t="s">
        <v>13608</v>
      </c>
      <c r="C3141">
        <v>0.27</v>
      </c>
      <c r="D3141">
        <v>-0.17</v>
      </c>
      <c r="E3141">
        <v>2.77</v>
      </c>
      <c r="F3141">
        <v>4403</v>
      </c>
      <c r="G3141" t="s">
        <v>13609</v>
      </c>
      <c r="H3141">
        <v>60024.7</v>
      </c>
      <c r="I3141">
        <v>797.41</v>
      </c>
      <c r="J3141" t="s">
        <v>120</v>
      </c>
      <c r="K3141" t="s">
        <v>13610</v>
      </c>
      <c r="L3141">
        <v>3.29</v>
      </c>
      <c r="M3141">
        <v>11.21</v>
      </c>
      <c r="N3141">
        <v>0.7</v>
      </c>
      <c r="O3141">
        <v>5.19</v>
      </c>
      <c r="P3141">
        <v>11.76</v>
      </c>
      <c r="Q3141">
        <v>0.09</v>
      </c>
      <c r="R3141">
        <v>11.19</v>
      </c>
      <c r="S3141">
        <v>11.49</v>
      </c>
      <c r="T3141">
        <v>522984</v>
      </c>
      <c r="U3141">
        <v>11.21</v>
      </c>
      <c r="V3141">
        <v>11.18</v>
      </c>
      <c r="W3141">
        <v>7.88</v>
      </c>
      <c r="X3141" t="s">
        <v>1081</v>
      </c>
      <c r="Y3141" t="s">
        <v>602</v>
      </c>
      <c r="Z3141">
        <v>5.0999999999999996</v>
      </c>
      <c r="AA3141">
        <v>11.48</v>
      </c>
      <c r="AB3141">
        <v>260953</v>
      </c>
      <c r="AC3141">
        <v>262031</v>
      </c>
      <c r="AD3141">
        <v>1</v>
      </c>
      <c r="AE3141">
        <v>1238</v>
      </c>
      <c r="AF3141">
        <v>117</v>
      </c>
      <c r="AG3141" t="s">
        <v>120</v>
      </c>
      <c r="AH3141">
        <v>0.14000000000000001</v>
      </c>
      <c r="AI3141" t="s">
        <v>120</v>
      </c>
      <c r="AJ3141">
        <v>15.88</v>
      </c>
      <c r="AK3141" t="s">
        <v>13610</v>
      </c>
      <c r="AL3141">
        <v>1.61</v>
      </c>
      <c r="AM3141">
        <v>4466</v>
      </c>
      <c r="AN3141">
        <v>117</v>
      </c>
      <c r="AO3141">
        <v>6.9999999999999999E-4</v>
      </c>
      <c r="AP3141">
        <v>1</v>
      </c>
      <c r="AQ3141">
        <v>-0.45</v>
      </c>
      <c r="AR3141">
        <v>-5.8</v>
      </c>
      <c r="AS3141">
        <v>35.22</v>
      </c>
      <c r="AT3141">
        <v>43.16</v>
      </c>
      <c r="AU3141">
        <v>105.31</v>
      </c>
      <c r="AV3141">
        <v>9</v>
      </c>
      <c r="AW3141">
        <v>10.41</v>
      </c>
      <c r="AX3141">
        <v>31.64</v>
      </c>
      <c r="AY3141">
        <v>10.75</v>
      </c>
      <c r="AZ3141">
        <v>16.46</v>
      </c>
      <c r="BA3141">
        <v>1.28</v>
      </c>
      <c r="BB3141" t="s">
        <v>143</v>
      </c>
      <c r="BF3141">
        <v>2.66</v>
      </c>
      <c r="BG3141">
        <v>-2.44</v>
      </c>
      <c r="BH3141">
        <v>-4.68</v>
      </c>
      <c r="BI3141">
        <v>0.18</v>
      </c>
      <c r="BJ3141">
        <v>20210830</v>
      </c>
      <c r="BK3141">
        <v>20040602</v>
      </c>
      <c r="BL3141">
        <v>15.88</v>
      </c>
      <c r="BM3141" t="s">
        <v>120</v>
      </c>
      <c r="BN3141" t="s">
        <v>120</v>
      </c>
      <c r="BO3141">
        <v>283.66000000000003</v>
      </c>
      <c r="BP3141">
        <v>11.2</v>
      </c>
      <c r="BQ3141">
        <v>128.41999999999999</v>
      </c>
      <c r="BR3141">
        <v>22.41</v>
      </c>
      <c r="BS3141">
        <v>46.83</v>
      </c>
      <c r="BT3141">
        <v>145.16</v>
      </c>
      <c r="BU3141">
        <v>102.78</v>
      </c>
      <c r="BV3141">
        <v>7.73</v>
      </c>
      <c r="BW3141">
        <v>84.38</v>
      </c>
      <c r="BX3141">
        <v>75.540000000000006</v>
      </c>
      <c r="BY3141">
        <v>8.7200000000000006</v>
      </c>
      <c r="BZ3141">
        <v>16.8</v>
      </c>
      <c r="CA3141" t="s">
        <v>120</v>
      </c>
      <c r="CB3141">
        <v>25.67</v>
      </c>
      <c r="CC3141">
        <v>109.48</v>
      </c>
      <c r="CD3141">
        <v>83.45</v>
      </c>
      <c r="CE3141">
        <v>18.11</v>
      </c>
      <c r="CF3141">
        <v>0.38</v>
      </c>
      <c r="CG3141">
        <v>18.03</v>
      </c>
      <c r="CH3141">
        <v>13.7</v>
      </c>
      <c r="CI3141">
        <v>11.29</v>
      </c>
      <c r="CJ3141">
        <v>0.03</v>
      </c>
      <c r="CK3141">
        <v>11.26</v>
      </c>
      <c r="CL3141">
        <v>68.78</v>
      </c>
      <c r="CM3141">
        <v>15.45</v>
      </c>
      <c r="CN3141">
        <v>3.22</v>
      </c>
      <c r="CO3141">
        <v>55095</v>
      </c>
      <c r="CP3141">
        <v>9118</v>
      </c>
      <c r="CQ3141" t="s">
        <v>7731</v>
      </c>
      <c r="CR3141">
        <v>103.1</v>
      </c>
      <c r="CS3141">
        <v>21.17</v>
      </c>
      <c r="CT3141">
        <v>1.39</v>
      </c>
      <c r="CU3141">
        <v>11.52</v>
      </c>
      <c r="CV3141">
        <v>1.63</v>
      </c>
      <c r="CW3141">
        <v>2.5</v>
      </c>
      <c r="CX3141" t="s">
        <v>4948</v>
      </c>
      <c r="CY3141">
        <v>8.09</v>
      </c>
      <c r="CZ3141">
        <v>0</v>
      </c>
      <c r="DA3141">
        <v>1.62</v>
      </c>
      <c r="DB3141">
        <v>4.33</v>
      </c>
      <c r="DC3141">
        <v>0.97</v>
      </c>
      <c r="DD3141">
        <v>45.27</v>
      </c>
      <c r="DE3141" t="s">
        <v>13611</v>
      </c>
      <c r="DF3141">
        <v>23.77</v>
      </c>
      <c r="DG3141">
        <v>16.54</v>
      </c>
      <c r="DH3141">
        <v>10.31</v>
      </c>
      <c r="DI3141">
        <v>0.9</v>
      </c>
      <c r="DJ3141">
        <v>12483</v>
      </c>
      <c r="DK3141">
        <v>600997</v>
      </c>
      <c r="DL3141" t="s">
        <v>120</v>
      </c>
      <c r="DM3141" t="s">
        <v>120</v>
      </c>
      <c r="DN3141" t="s">
        <v>120</v>
      </c>
    </row>
    <row r="3142" spans="1:118">
      <c r="A3142" t="str">
        <f>"600998"</f>
        <v>600998</v>
      </c>
      <c r="B3142" t="s">
        <v>13612</v>
      </c>
      <c r="C3142">
        <v>-2</v>
      </c>
      <c r="D3142">
        <v>-0.24</v>
      </c>
      <c r="E3142">
        <v>-0.62</v>
      </c>
      <c r="F3142">
        <v>3498</v>
      </c>
      <c r="G3142" t="s">
        <v>12087</v>
      </c>
      <c r="H3142">
        <v>11180.64</v>
      </c>
      <c r="I3142">
        <v>28.44</v>
      </c>
      <c r="J3142" t="s">
        <v>120</v>
      </c>
      <c r="K3142" t="s">
        <v>13613</v>
      </c>
      <c r="L3142">
        <v>0.38</v>
      </c>
      <c r="M3142">
        <v>15.68</v>
      </c>
      <c r="N3142">
        <v>0.77</v>
      </c>
      <c r="O3142">
        <v>0</v>
      </c>
      <c r="P3142">
        <v>16</v>
      </c>
      <c r="Q3142">
        <v>-2</v>
      </c>
      <c r="R3142">
        <v>15.68</v>
      </c>
      <c r="S3142">
        <v>15.9</v>
      </c>
      <c r="T3142">
        <v>70732</v>
      </c>
      <c r="U3142">
        <v>15.71</v>
      </c>
      <c r="V3142">
        <v>16</v>
      </c>
      <c r="W3142">
        <v>6.76</v>
      </c>
      <c r="X3142" t="s">
        <v>274</v>
      </c>
      <c r="Y3142" t="s">
        <v>763</v>
      </c>
      <c r="Z3142">
        <v>2</v>
      </c>
      <c r="AA3142">
        <v>15.81</v>
      </c>
      <c r="AB3142">
        <v>39007</v>
      </c>
      <c r="AC3142">
        <v>31725</v>
      </c>
      <c r="AD3142">
        <v>1.23</v>
      </c>
      <c r="AE3142">
        <v>718</v>
      </c>
      <c r="AF3142">
        <v>20</v>
      </c>
      <c r="AG3142" t="s">
        <v>120</v>
      </c>
      <c r="AH3142">
        <v>0</v>
      </c>
      <c r="AI3142" t="s">
        <v>120</v>
      </c>
      <c r="AJ3142">
        <v>18.739999999999998</v>
      </c>
      <c r="AK3142" t="s">
        <v>13613</v>
      </c>
      <c r="AL3142">
        <v>-0.66</v>
      </c>
      <c r="AM3142">
        <v>2857</v>
      </c>
      <c r="AN3142">
        <v>25</v>
      </c>
      <c r="AO3142">
        <v>1E-4</v>
      </c>
      <c r="AP3142">
        <v>-1</v>
      </c>
      <c r="AQ3142">
        <v>0.38</v>
      </c>
      <c r="AR3142">
        <v>-3.02</v>
      </c>
      <c r="AS3142">
        <v>7.84</v>
      </c>
      <c r="AT3142">
        <v>3.98</v>
      </c>
      <c r="AU3142">
        <v>-11.21</v>
      </c>
      <c r="AV3142">
        <v>0</v>
      </c>
      <c r="AW3142">
        <v>1.06</v>
      </c>
      <c r="AX3142">
        <v>35.71</v>
      </c>
      <c r="AY3142">
        <v>7.52</v>
      </c>
      <c r="AZ3142">
        <v>9.75</v>
      </c>
      <c r="BA3142">
        <v>0.31</v>
      </c>
      <c r="BB3142" t="s">
        <v>125</v>
      </c>
      <c r="BF3142">
        <v>-1.21</v>
      </c>
      <c r="BG3142">
        <v>-1.38</v>
      </c>
      <c r="BH3142">
        <v>-2</v>
      </c>
      <c r="BI3142">
        <v>0</v>
      </c>
      <c r="BJ3142">
        <v>20210825</v>
      </c>
      <c r="BK3142">
        <v>20101102</v>
      </c>
      <c r="BL3142">
        <v>18.739999999999998</v>
      </c>
      <c r="BM3142" t="s">
        <v>120</v>
      </c>
      <c r="BN3142" t="s">
        <v>120</v>
      </c>
      <c r="BO3142">
        <v>843.02</v>
      </c>
      <c r="BP3142">
        <v>15.68</v>
      </c>
      <c r="BQ3142">
        <v>231.18</v>
      </c>
      <c r="BR3142">
        <v>38.869999999999997</v>
      </c>
      <c r="BS3142">
        <v>67.97</v>
      </c>
      <c r="BT3142">
        <v>671.36</v>
      </c>
      <c r="BU3142">
        <v>59.29</v>
      </c>
      <c r="BV3142">
        <v>22.42</v>
      </c>
      <c r="BW3142">
        <v>540.61</v>
      </c>
      <c r="BX3142">
        <v>124.21</v>
      </c>
      <c r="BY3142">
        <v>138.31</v>
      </c>
      <c r="BZ3142">
        <v>318.62</v>
      </c>
      <c r="CA3142" t="s">
        <v>120</v>
      </c>
      <c r="CB3142">
        <v>81.39</v>
      </c>
      <c r="CC3142">
        <v>619.80999999999995</v>
      </c>
      <c r="CD3142">
        <v>567.76</v>
      </c>
      <c r="CE3142">
        <v>31.46</v>
      </c>
      <c r="CF3142">
        <v>0.56000000000000005</v>
      </c>
      <c r="CG3142">
        <v>29.94</v>
      </c>
      <c r="CH3142">
        <v>22.92</v>
      </c>
      <c r="CI3142">
        <v>21.72</v>
      </c>
      <c r="CJ3142">
        <v>-0.32</v>
      </c>
      <c r="CK3142">
        <v>9.7899999999999991</v>
      </c>
      <c r="CL3142">
        <v>106</v>
      </c>
      <c r="CM3142">
        <v>-12.52</v>
      </c>
      <c r="CN3142">
        <v>-21.6</v>
      </c>
      <c r="CO3142">
        <v>30743</v>
      </c>
      <c r="CP3142">
        <v>21764</v>
      </c>
      <c r="CQ3142" t="s">
        <v>13614</v>
      </c>
      <c r="CR3142">
        <v>72.55</v>
      </c>
      <c r="CS3142">
        <v>20.7</v>
      </c>
      <c r="CT3142">
        <v>1.42</v>
      </c>
      <c r="CU3142">
        <v>-23.46</v>
      </c>
      <c r="CV3142">
        <v>0.47</v>
      </c>
      <c r="CW3142">
        <v>3.05</v>
      </c>
      <c r="CX3142" t="s">
        <v>9730</v>
      </c>
      <c r="CY3142">
        <v>11.04</v>
      </c>
      <c r="CZ3142">
        <v>11.04</v>
      </c>
      <c r="DA3142">
        <v>4.34</v>
      </c>
      <c r="DB3142">
        <v>5.66</v>
      </c>
      <c r="DC3142">
        <v>-0.67</v>
      </c>
      <c r="DD3142">
        <v>27.42</v>
      </c>
      <c r="DE3142" t="s">
        <v>13615</v>
      </c>
      <c r="DF3142">
        <v>8.4</v>
      </c>
      <c r="DG3142">
        <v>5.08</v>
      </c>
      <c r="DH3142">
        <v>3.5</v>
      </c>
      <c r="DI3142">
        <v>0.63</v>
      </c>
      <c r="DJ3142">
        <v>28213</v>
      </c>
      <c r="DK3142">
        <v>600998</v>
      </c>
      <c r="DL3142" t="s">
        <v>120</v>
      </c>
      <c r="DM3142" t="s">
        <v>120</v>
      </c>
      <c r="DN3142" t="s">
        <v>120</v>
      </c>
    </row>
    <row r="3143" spans="1:118">
      <c r="A3143" t="str">
        <f>"600999"</f>
        <v>600999</v>
      </c>
      <c r="B3143" t="s">
        <v>13616</v>
      </c>
      <c r="C3143">
        <v>-2.27</v>
      </c>
      <c r="D3143">
        <v>0.05</v>
      </c>
      <c r="E3143">
        <v>0.26</v>
      </c>
      <c r="F3143">
        <v>2936</v>
      </c>
      <c r="G3143" t="s">
        <v>13617</v>
      </c>
      <c r="H3143">
        <v>78730.53</v>
      </c>
      <c r="I3143">
        <v>153.30000000000001</v>
      </c>
      <c r="J3143" t="s">
        <v>120</v>
      </c>
      <c r="K3143" t="s">
        <v>13618</v>
      </c>
      <c r="L3143">
        <v>0.56999999999999995</v>
      </c>
      <c r="M3143">
        <v>18.54</v>
      </c>
      <c r="N3143">
        <v>0.68</v>
      </c>
      <c r="O3143">
        <v>0.47</v>
      </c>
      <c r="P3143">
        <v>19.059999999999999</v>
      </c>
      <c r="Q3143">
        <v>-2.58</v>
      </c>
      <c r="R3143">
        <v>18.48</v>
      </c>
      <c r="S3143">
        <v>19.02</v>
      </c>
      <c r="T3143">
        <v>420505</v>
      </c>
      <c r="U3143">
        <v>18.54</v>
      </c>
      <c r="V3143">
        <v>18.97</v>
      </c>
      <c r="W3143">
        <v>14.03</v>
      </c>
      <c r="X3143" t="s">
        <v>616</v>
      </c>
      <c r="Y3143" t="s">
        <v>123</v>
      </c>
      <c r="Z3143">
        <v>3.06</v>
      </c>
      <c r="AA3143">
        <v>18.72</v>
      </c>
      <c r="AB3143">
        <v>215266</v>
      </c>
      <c r="AC3143">
        <v>205239</v>
      </c>
      <c r="AD3143">
        <v>1.05</v>
      </c>
      <c r="AE3143">
        <v>2209</v>
      </c>
      <c r="AF3143">
        <v>65</v>
      </c>
      <c r="AG3143" t="s">
        <v>120</v>
      </c>
      <c r="AH3143">
        <v>0</v>
      </c>
      <c r="AI3143" t="s">
        <v>120</v>
      </c>
      <c r="AJ3143">
        <v>74.22</v>
      </c>
      <c r="AK3143" t="s">
        <v>13618</v>
      </c>
      <c r="AL3143">
        <v>-0.92</v>
      </c>
      <c r="AM3143">
        <v>4532</v>
      </c>
      <c r="AN3143">
        <v>93</v>
      </c>
      <c r="AO3143">
        <v>1E-4</v>
      </c>
      <c r="AP3143">
        <v>-4</v>
      </c>
      <c r="AQ3143">
        <v>-0.68</v>
      </c>
      <c r="AR3143">
        <v>-6.6</v>
      </c>
      <c r="AS3143">
        <v>2.09</v>
      </c>
      <c r="AT3143">
        <v>0.42</v>
      </c>
      <c r="AU3143">
        <v>-19.05</v>
      </c>
      <c r="AV3143">
        <v>2</v>
      </c>
      <c r="AW3143">
        <v>1.39</v>
      </c>
      <c r="AX3143">
        <v>40.64</v>
      </c>
      <c r="AY3143">
        <v>15.13</v>
      </c>
      <c r="AZ3143">
        <v>17.38</v>
      </c>
      <c r="BA3143">
        <v>1.28</v>
      </c>
      <c r="BB3143" t="s">
        <v>143</v>
      </c>
      <c r="BF3143">
        <v>-1.3</v>
      </c>
      <c r="BG3143">
        <v>-2.52</v>
      </c>
      <c r="BH3143">
        <v>-2.73</v>
      </c>
      <c r="BI3143">
        <v>0.32</v>
      </c>
      <c r="BJ3143">
        <v>20210830</v>
      </c>
      <c r="BK3143">
        <v>20091117</v>
      </c>
      <c r="BL3143">
        <v>86.97</v>
      </c>
      <c r="BM3143" t="s">
        <v>120</v>
      </c>
      <c r="BN3143">
        <v>12.75</v>
      </c>
      <c r="BO3143">
        <v>5863.73</v>
      </c>
      <c r="BP3143">
        <v>18.53</v>
      </c>
      <c r="BQ3143">
        <v>1070.1400000000001</v>
      </c>
      <c r="BR3143">
        <v>0.89</v>
      </c>
      <c r="BS3143">
        <v>81.73</v>
      </c>
      <c r="BT3143">
        <v>0</v>
      </c>
      <c r="BU3143">
        <v>14.47</v>
      </c>
      <c r="BV3143">
        <v>4.25</v>
      </c>
      <c r="BW3143">
        <v>0</v>
      </c>
      <c r="BX3143">
        <v>990.28</v>
      </c>
      <c r="BY3143">
        <v>0</v>
      </c>
      <c r="BZ3143">
        <v>0</v>
      </c>
      <c r="CA3143" t="s">
        <v>120</v>
      </c>
      <c r="CB3143">
        <v>403.61</v>
      </c>
      <c r="CC3143">
        <v>143.41999999999999</v>
      </c>
      <c r="CD3143">
        <v>0</v>
      </c>
      <c r="CE3143">
        <v>68.28</v>
      </c>
      <c r="CF3143">
        <v>51.46</v>
      </c>
      <c r="CG3143">
        <v>68.13</v>
      </c>
      <c r="CH3143">
        <v>57.52</v>
      </c>
      <c r="CI3143">
        <v>57.45</v>
      </c>
      <c r="CJ3143">
        <v>-0.43</v>
      </c>
      <c r="CK3143">
        <v>56.56</v>
      </c>
      <c r="CL3143">
        <v>244.17</v>
      </c>
      <c r="CM3143">
        <v>-298.62</v>
      </c>
      <c r="CN3143">
        <v>112.52</v>
      </c>
      <c r="CO3143">
        <v>191512</v>
      </c>
      <c r="CP3143">
        <v>15750</v>
      </c>
      <c r="CQ3143" t="s">
        <v>13619</v>
      </c>
      <c r="CR3143">
        <v>32.57</v>
      </c>
      <c r="CS3143">
        <v>24.72</v>
      </c>
      <c r="CT3143">
        <v>1.75</v>
      </c>
      <c r="CU3143">
        <v>-5.4</v>
      </c>
      <c r="CV3143">
        <v>11.24</v>
      </c>
      <c r="CW3143">
        <v>2.2999999999999998</v>
      </c>
      <c r="CX3143" t="s">
        <v>1656</v>
      </c>
      <c r="CY3143">
        <v>10.58</v>
      </c>
      <c r="CZ3143">
        <v>10.58</v>
      </c>
      <c r="DA3143">
        <v>4.6399999999999997</v>
      </c>
      <c r="DB3143">
        <v>2.81</v>
      </c>
      <c r="DC3143">
        <v>-3.43</v>
      </c>
      <c r="DD3143">
        <v>18.25</v>
      </c>
      <c r="DE3143" t="s">
        <v>1216</v>
      </c>
      <c r="DF3143" t="s">
        <v>120</v>
      </c>
      <c r="DG3143">
        <v>47.61</v>
      </c>
      <c r="DH3143">
        <v>40.06</v>
      </c>
      <c r="DI3143" t="s">
        <v>120</v>
      </c>
      <c r="DJ3143">
        <v>10169</v>
      </c>
      <c r="DK3143">
        <v>600999</v>
      </c>
      <c r="DL3143" t="s">
        <v>120</v>
      </c>
      <c r="DM3143" t="s">
        <v>120</v>
      </c>
      <c r="DN3143" t="s">
        <v>120</v>
      </c>
    </row>
    <row r="3144" spans="1:118">
      <c r="A3144" t="str">
        <f>"601000"</f>
        <v>601000</v>
      </c>
      <c r="B3144" t="s">
        <v>13620</v>
      </c>
      <c r="C3144">
        <v>-1.42</v>
      </c>
      <c r="D3144">
        <v>0</v>
      </c>
      <c r="E3144">
        <v>0.35</v>
      </c>
      <c r="F3144">
        <v>21760</v>
      </c>
      <c r="G3144" t="s">
        <v>13621</v>
      </c>
      <c r="H3144">
        <v>18693.740000000002</v>
      </c>
      <c r="I3144">
        <v>196.85</v>
      </c>
      <c r="J3144" t="s">
        <v>120</v>
      </c>
      <c r="K3144" t="s">
        <v>13622</v>
      </c>
      <c r="L3144">
        <v>1.1200000000000001</v>
      </c>
      <c r="M3144">
        <v>2.78</v>
      </c>
      <c r="N3144">
        <v>0.47</v>
      </c>
      <c r="O3144">
        <v>1.77</v>
      </c>
      <c r="P3144">
        <v>2.87</v>
      </c>
      <c r="Q3144">
        <v>-1.77</v>
      </c>
      <c r="R3144">
        <v>2.77</v>
      </c>
      <c r="S3144">
        <v>2.83</v>
      </c>
      <c r="T3144">
        <v>662935</v>
      </c>
      <c r="U3144">
        <v>2.79</v>
      </c>
      <c r="V3144">
        <v>2.82</v>
      </c>
      <c r="W3144">
        <v>8.73</v>
      </c>
      <c r="X3144" t="s">
        <v>511</v>
      </c>
      <c r="Y3144" t="s">
        <v>602</v>
      </c>
      <c r="Z3144">
        <v>3.55</v>
      </c>
      <c r="AA3144">
        <v>2.82</v>
      </c>
      <c r="AB3144">
        <v>383111</v>
      </c>
      <c r="AC3144">
        <v>279823</v>
      </c>
      <c r="AD3144">
        <v>1.37</v>
      </c>
      <c r="AE3144">
        <v>2250</v>
      </c>
      <c r="AF3144">
        <v>3728</v>
      </c>
      <c r="AG3144" t="s">
        <v>120</v>
      </c>
      <c r="AH3144">
        <v>0.02</v>
      </c>
      <c r="AI3144" t="s">
        <v>120</v>
      </c>
      <c r="AJ3144">
        <v>59.26</v>
      </c>
      <c r="AK3144" t="s">
        <v>13622</v>
      </c>
      <c r="AL3144">
        <v>-7.0000000000000007E-2</v>
      </c>
      <c r="AM3144">
        <v>3214</v>
      </c>
      <c r="AN3144">
        <v>206</v>
      </c>
      <c r="AO3144">
        <v>2.9999999999999997E-4</v>
      </c>
      <c r="AP3144">
        <v>-1</v>
      </c>
      <c r="AQ3144">
        <v>0.36</v>
      </c>
      <c r="AR3144">
        <v>-5.44</v>
      </c>
      <c r="AS3144">
        <v>13.47</v>
      </c>
      <c r="AT3144">
        <v>14.88</v>
      </c>
      <c r="AU3144">
        <v>21.93</v>
      </c>
      <c r="AV3144">
        <v>1</v>
      </c>
      <c r="AW3144">
        <v>2.38</v>
      </c>
      <c r="AX3144">
        <v>47.01</v>
      </c>
      <c r="AY3144">
        <v>8.8800000000000008</v>
      </c>
      <c r="AZ3144">
        <v>9.07</v>
      </c>
      <c r="BA3144">
        <v>0.67</v>
      </c>
      <c r="BB3144" t="s">
        <v>143</v>
      </c>
      <c r="BF3144">
        <v>-0.01</v>
      </c>
      <c r="BG3144">
        <v>-1.77</v>
      </c>
      <c r="BH3144">
        <v>-3.14</v>
      </c>
      <c r="BI3144">
        <v>0.36</v>
      </c>
      <c r="BJ3144">
        <v>20210826</v>
      </c>
      <c r="BK3144">
        <v>20100705</v>
      </c>
      <c r="BL3144">
        <v>59.26</v>
      </c>
      <c r="BM3144" t="s">
        <v>120</v>
      </c>
      <c r="BN3144" t="s">
        <v>120</v>
      </c>
      <c r="BO3144">
        <v>240.28</v>
      </c>
      <c r="BP3144">
        <v>2.78</v>
      </c>
      <c r="BQ3144">
        <v>182.11</v>
      </c>
      <c r="BR3144">
        <v>12.57</v>
      </c>
      <c r="BS3144">
        <v>18.98</v>
      </c>
      <c r="BT3144">
        <v>67.22</v>
      </c>
      <c r="BU3144">
        <v>117.34</v>
      </c>
      <c r="BV3144">
        <v>18.170000000000002</v>
      </c>
      <c r="BW3144">
        <v>37.1</v>
      </c>
      <c r="BX3144">
        <v>42.05</v>
      </c>
      <c r="BY3144">
        <v>2.9</v>
      </c>
      <c r="BZ3144">
        <v>3.62</v>
      </c>
      <c r="CA3144">
        <v>0.03</v>
      </c>
      <c r="CB3144">
        <v>36.81</v>
      </c>
      <c r="CC3144">
        <v>32.08</v>
      </c>
      <c r="CD3144">
        <v>19.32</v>
      </c>
      <c r="CE3144">
        <v>12.35</v>
      </c>
      <c r="CF3144">
        <v>2.59</v>
      </c>
      <c r="CG3144">
        <v>12.47</v>
      </c>
      <c r="CH3144">
        <v>9.92</v>
      </c>
      <c r="CI3144">
        <v>9.43</v>
      </c>
      <c r="CJ3144">
        <v>-0.04</v>
      </c>
      <c r="CK3144">
        <v>9.2200000000000006</v>
      </c>
      <c r="CL3144">
        <v>73.12</v>
      </c>
      <c r="CM3144">
        <v>7.56</v>
      </c>
      <c r="CN3144">
        <v>-8.7799999999999994</v>
      </c>
      <c r="CO3144">
        <v>100622</v>
      </c>
      <c r="CP3144">
        <v>27684</v>
      </c>
      <c r="CQ3144" t="s">
        <v>13623</v>
      </c>
      <c r="CR3144">
        <v>4.2699999999999996</v>
      </c>
      <c r="CS3144">
        <v>-17.8</v>
      </c>
      <c r="CT3144">
        <v>0.9</v>
      </c>
      <c r="CU3144">
        <v>21.8</v>
      </c>
      <c r="CV3144">
        <v>5.14</v>
      </c>
      <c r="CW3144">
        <v>7.09</v>
      </c>
      <c r="CX3144" t="s">
        <v>4104</v>
      </c>
      <c r="CY3144">
        <v>3.07</v>
      </c>
      <c r="CZ3144">
        <v>0</v>
      </c>
      <c r="DA3144">
        <v>0.62</v>
      </c>
      <c r="DB3144">
        <v>1.23</v>
      </c>
      <c r="DC3144">
        <v>0.13</v>
      </c>
      <c r="DD3144">
        <v>75.790000000000006</v>
      </c>
      <c r="DE3144" t="s">
        <v>153</v>
      </c>
      <c r="DF3144">
        <v>39.770000000000003</v>
      </c>
      <c r="DG3144">
        <v>38.5</v>
      </c>
      <c r="DH3144">
        <v>29.4</v>
      </c>
      <c r="DI3144">
        <v>0.25</v>
      </c>
      <c r="DJ3144">
        <v>3853</v>
      </c>
      <c r="DK3144">
        <v>601000</v>
      </c>
      <c r="DL3144" t="s">
        <v>120</v>
      </c>
      <c r="DM3144" t="s">
        <v>120</v>
      </c>
      <c r="DN3144" t="s">
        <v>120</v>
      </c>
    </row>
    <row r="3145" spans="1:118">
      <c r="A3145" t="str">
        <f>"601001"</f>
        <v>601001</v>
      </c>
      <c r="B3145" t="s">
        <v>13624</v>
      </c>
      <c r="C3145">
        <v>0.41</v>
      </c>
      <c r="D3145">
        <v>-0.06</v>
      </c>
      <c r="E3145">
        <v>4.3600000000000003</v>
      </c>
      <c r="F3145">
        <v>4988</v>
      </c>
      <c r="G3145" t="s">
        <v>13625</v>
      </c>
      <c r="H3145">
        <v>89996.05</v>
      </c>
      <c r="I3145">
        <v>991.76</v>
      </c>
      <c r="J3145" t="s">
        <v>120</v>
      </c>
      <c r="K3145" t="s">
        <v>13626</v>
      </c>
      <c r="L3145">
        <v>3.54</v>
      </c>
      <c r="M3145">
        <v>14.74</v>
      </c>
      <c r="N3145">
        <v>0.83</v>
      </c>
      <c r="O3145">
        <v>7.63</v>
      </c>
      <c r="P3145">
        <v>15.8</v>
      </c>
      <c r="Q3145">
        <v>-1.02</v>
      </c>
      <c r="R3145">
        <v>14.53</v>
      </c>
      <c r="S3145">
        <v>15.32</v>
      </c>
      <c r="T3145">
        <v>592065</v>
      </c>
      <c r="U3145">
        <v>14.75</v>
      </c>
      <c r="V3145">
        <v>14.68</v>
      </c>
      <c r="W3145">
        <v>9.06</v>
      </c>
      <c r="X3145" t="s">
        <v>1081</v>
      </c>
      <c r="Y3145" t="s">
        <v>667</v>
      </c>
      <c r="Z3145">
        <v>8.65</v>
      </c>
      <c r="AA3145">
        <v>15.2</v>
      </c>
      <c r="AB3145">
        <v>284944</v>
      </c>
      <c r="AC3145">
        <v>307121</v>
      </c>
      <c r="AD3145">
        <v>0.93</v>
      </c>
      <c r="AE3145">
        <v>27</v>
      </c>
      <c r="AF3145">
        <v>2224</v>
      </c>
      <c r="AG3145" t="s">
        <v>120</v>
      </c>
      <c r="AH3145">
        <v>0.09</v>
      </c>
      <c r="AI3145" t="s">
        <v>120</v>
      </c>
      <c r="AJ3145">
        <v>16.739999999999998</v>
      </c>
      <c r="AK3145" t="s">
        <v>13626</v>
      </c>
      <c r="AL3145">
        <v>1.75</v>
      </c>
      <c r="AM3145">
        <v>4637</v>
      </c>
      <c r="AN3145">
        <v>128</v>
      </c>
      <c r="AO3145">
        <v>8.0000000000000004E-4</v>
      </c>
      <c r="AP3145">
        <v>2</v>
      </c>
      <c r="AQ3145">
        <v>3.31</v>
      </c>
      <c r="AR3145">
        <v>-3.08</v>
      </c>
      <c r="AS3145">
        <v>81.31</v>
      </c>
      <c r="AT3145">
        <v>88.01</v>
      </c>
      <c r="AU3145">
        <v>133.97</v>
      </c>
      <c r="AV3145">
        <v>8</v>
      </c>
      <c r="AW3145">
        <v>8.31</v>
      </c>
      <c r="AX3145">
        <v>42.54</v>
      </c>
      <c r="AY3145">
        <v>13.67</v>
      </c>
      <c r="AZ3145">
        <v>28.06</v>
      </c>
      <c r="BA3145">
        <v>1.34</v>
      </c>
      <c r="BB3145" t="s">
        <v>143</v>
      </c>
      <c r="BF3145">
        <v>3.54</v>
      </c>
      <c r="BG3145">
        <v>-3.79</v>
      </c>
      <c r="BH3145">
        <v>-6.71</v>
      </c>
      <c r="BI3145">
        <v>1.45</v>
      </c>
      <c r="BJ3145">
        <v>20210827</v>
      </c>
      <c r="BK3145">
        <v>20060623</v>
      </c>
      <c r="BL3145">
        <v>16.739999999999998</v>
      </c>
      <c r="BM3145" t="s">
        <v>120</v>
      </c>
      <c r="BN3145" t="s">
        <v>120</v>
      </c>
      <c r="BO3145">
        <v>360.02</v>
      </c>
      <c r="BP3145">
        <v>14.74</v>
      </c>
      <c r="BQ3145">
        <v>88.94</v>
      </c>
      <c r="BR3145">
        <v>59.32</v>
      </c>
      <c r="BS3145">
        <v>58.82</v>
      </c>
      <c r="BT3145">
        <v>162.53</v>
      </c>
      <c r="BU3145">
        <v>101.18</v>
      </c>
      <c r="BV3145">
        <v>37.909999999999997</v>
      </c>
      <c r="BW3145">
        <v>142.25</v>
      </c>
      <c r="BX3145">
        <v>129.87</v>
      </c>
      <c r="BY3145">
        <v>5.1100000000000003</v>
      </c>
      <c r="BZ3145">
        <v>8.39</v>
      </c>
      <c r="CA3145" t="s">
        <v>120</v>
      </c>
      <c r="CB3145">
        <v>2.98</v>
      </c>
      <c r="CC3145">
        <v>71.459999999999994</v>
      </c>
      <c r="CD3145">
        <v>41.62</v>
      </c>
      <c r="CE3145">
        <v>24.14</v>
      </c>
      <c r="CF3145">
        <v>2.68</v>
      </c>
      <c r="CG3145">
        <v>24.04</v>
      </c>
      <c r="CH3145">
        <v>18.64</v>
      </c>
      <c r="CI3145">
        <v>13.62</v>
      </c>
      <c r="CJ3145">
        <v>0.06</v>
      </c>
      <c r="CK3145">
        <v>11.56</v>
      </c>
      <c r="CL3145">
        <v>47.69</v>
      </c>
      <c r="CM3145">
        <v>37.549999999999997</v>
      </c>
      <c r="CN3145">
        <v>36.21</v>
      </c>
      <c r="CO3145">
        <v>70759</v>
      </c>
      <c r="CP3145">
        <v>10063</v>
      </c>
      <c r="CQ3145" t="s">
        <v>7416</v>
      </c>
      <c r="CR3145">
        <v>209.28</v>
      </c>
      <c r="CS3145">
        <v>38.33</v>
      </c>
      <c r="CT3145">
        <v>2.77</v>
      </c>
      <c r="CU3145">
        <v>6.57</v>
      </c>
      <c r="CV3145">
        <v>3.45</v>
      </c>
      <c r="CW3145">
        <v>0</v>
      </c>
      <c r="CX3145" t="s">
        <v>2792</v>
      </c>
      <c r="CY3145">
        <v>5.31</v>
      </c>
      <c r="CZ3145">
        <v>0</v>
      </c>
      <c r="DA3145">
        <v>0.18</v>
      </c>
      <c r="DB3145">
        <v>2.85</v>
      </c>
      <c r="DC3145">
        <v>2.2400000000000002</v>
      </c>
      <c r="DD3145">
        <v>24.7</v>
      </c>
      <c r="DE3145" t="s">
        <v>13627</v>
      </c>
      <c r="DF3145">
        <v>41.75</v>
      </c>
      <c r="DG3145">
        <v>33.78</v>
      </c>
      <c r="DH3145">
        <v>19.059999999999999</v>
      </c>
      <c r="DI3145" t="s">
        <v>120</v>
      </c>
      <c r="DJ3145">
        <v>5341</v>
      </c>
      <c r="DK3145">
        <v>601001</v>
      </c>
      <c r="DL3145">
        <v>20210913</v>
      </c>
      <c r="DM3145">
        <v>15.21</v>
      </c>
      <c r="DN3145">
        <v>-3.09</v>
      </c>
    </row>
    <row r="3146" spans="1:118">
      <c r="A3146" t="str">
        <f>"601002"</f>
        <v>601002</v>
      </c>
      <c r="B3146" t="s">
        <v>13628</v>
      </c>
      <c r="C3146">
        <v>3.96</v>
      </c>
      <c r="D3146">
        <v>0.17</v>
      </c>
      <c r="E3146">
        <v>0</v>
      </c>
      <c r="F3146">
        <v>3787</v>
      </c>
      <c r="G3146" t="s">
        <v>13629</v>
      </c>
      <c r="H3146">
        <v>34745.72</v>
      </c>
      <c r="I3146">
        <v>14.85</v>
      </c>
      <c r="J3146" t="s">
        <v>120</v>
      </c>
      <c r="K3146" t="s">
        <v>7859</v>
      </c>
      <c r="L3146">
        <v>6.96</v>
      </c>
      <c r="M3146">
        <v>5.78</v>
      </c>
      <c r="N3146">
        <v>2.2400000000000002</v>
      </c>
      <c r="O3146">
        <v>10.07</v>
      </c>
      <c r="P3146">
        <v>6.12</v>
      </c>
      <c r="Q3146">
        <v>-0.36</v>
      </c>
      <c r="R3146">
        <v>5.54</v>
      </c>
      <c r="S3146">
        <v>5.56</v>
      </c>
      <c r="T3146">
        <v>591449</v>
      </c>
      <c r="U3146">
        <v>5.79</v>
      </c>
      <c r="V3146">
        <v>5.56</v>
      </c>
      <c r="W3146">
        <v>18.14</v>
      </c>
      <c r="X3146" t="s">
        <v>959</v>
      </c>
      <c r="Y3146" t="s">
        <v>585</v>
      </c>
      <c r="Z3146">
        <v>10.43</v>
      </c>
      <c r="AA3146">
        <v>5.87</v>
      </c>
      <c r="AB3146">
        <v>276223</v>
      </c>
      <c r="AC3146">
        <v>315226</v>
      </c>
      <c r="AD3146">
        <v>0.88</v>
      </c>
      <c r="AE3146">
        <v>1903</v>
      </c>
      <c r="AF3146">
        <v>969</v>
      </c>
      <c r="AG3146" t="s">
        <v>120</v>
      </c>
      <c r="AH3146">
        <v>0.01</v>
      </c>
      <c r="AI3146" t="s">
        <v>120</v>
      </c>
      <c r="AJ3146">
        <v>8.5</v>
      </c>
      <c r="AK3146" t="s">
        <v>3170</v>
      </c>
      <c r="AL3146">
        <v>5.3</v>
      </c>
      <c r="AM3146">
        <v>3725</v>
      </c>
      <c r="AN3146">
        <v>159</v>
      </c>
      <c r="AO3146">
        <v>1.9E-3</v>
      </c>
      <c r="AP3146">
        <v>2</v>
      </c>
      <c r="AQ3146">
        <v>0.91</v>
      </c>
      <c r="AR3146">
        <v>1.94</v>
      </c>
      <c r="AS3146">
        <v>18.2</v>
      </c>
      <c r="AT3146">
        <v>18.440000000000001</v>
      </c>
      <c r="AU3146">
        <v>14.69</v>
      </c>
      <c r="AV3146">
        <v>0</v>
      </c>
      <c r="AW3146">
        <v>11.34</v>
      </c>
      <c r="AX3146">
        <v>54.39</v>
      </c>
      <c r="AY3146">
        <v>8.8699999999999992</v>
      </c>
      <c r="AZ3146">
        <v>10.62</v>
      </c>
      <c r="BA3146">
        <v>0.81</v>
      </c>
      <c r="BB3146" t="s">
        <v>143</v>
      </c>
      <c r="BF3146">
        <v>5.66</v>
      </c>
      <c r="BG3146">
        <v>3.96</v>
      </c>
      <c r="BH3146">
        <v>-5.56</v>
      </c>
      <c r="BI3146">
        <v>4.33</v>
      </c>
      <c r="BJ3146">
        <v>20210902</v>
      </c>
      <c r="BK3146">
        <v>20070126</v>
      </c>
      <c r="BL3146">
        <v>9.59</v>
      </c>
      <c r="BM3146" t="s">
        <v>120</v>
      </c>
      <c r="BN3146" t="s">
        <v>120</v>
      </c>
      <c r="BO3146">
        <v>54.19</v>
      </c>
      <c r="BP3146">
        <v>5.78</v>
      </c>
      <c r="BQ3146">
        <v>40.619999999999997</v>
      </c>
      <c r="BR3146">
        <v>0.19</v>
      </c>
      <c r="BS3146">
        <v>24.7</v>
      </c>
      <c r="BT3146">
        <v>36.26</v>
      </c>
      <c r="BU3146">
        <v>8.7200000000000006</v>
      </c>
      <c r="BV3146">
        <v>1.1499999999999999</v>
      </c>
      <c r="BW3146">
        <v>13.01</v>
      </c>
      <c r="BX3146">
        <v>4.22</v>
      </c>
      <c r="BY3146">
        <v>16.79</v>
      </c>
      <c r="BZ3146">
        <v>7.14</v>
      </c>
      <c r="CA3146">
        <v>0.02</v>
      </c>
      <c r="CB3146">
        <v>16.690000000000001</v>
      </c>
      <c r="CC3146">
        <v>14.01</v>
      </c>
      <c r="CD3146">
        <v>10.55</v>
      </c>
      <c r="CE3146">
        <v>2.02</v>
      </c>
      <c r="CF3146">
        <v>0.17</v>
      </c>
      <c r="CG3146">
        <v>2</v>
      </c>
      <c r="CH3146">
        <v>1.53</v>
      </c>
      <c r="CI3146">
        <v>1.53</v>
      </c>
      <c r="CJ3146">
        <v>0.22</v>
      </c>
      <c r="CK3146">
        <v>1.45</v>
      </c>
      <c r="CL3146">
        <v>11.89</v>
      </c>
      <c r="CM3146">
        <v>0.4</v>
      </c>
      <c r="CN3146">
        <v>3.81</v>
      </c>
      <c r="CO3146">
        <v>65195</v>
      </c>
      <c r="CP3146">
        <v>8003</v>
      </c>
      <c r="CQ3146" t="s">
        <v>1096</v>
      </c>
      <c r="CR3146">
        <v>182.02</v>
      </c>
      <c r="CS3146">
        <v>38.54</v>
      </c>
      <c r="CT3146">
        <v>1.37</v>
      </c>
      <c r="CU3146">
        <v>140.32</v>
      </c>
      <c r="CV3146">
        <v>3.96</v>
      </c>
      <c r="CW3146">
        <v>0.9</v>
      </c>
      <c r="CX3146" t="s">
        <v>1091</v>
      </c>
      <c r="CY3146">
        <v>4.2300000000000004</v>
      </c>
      <c r="CZ3146">
        <v>0</v>
      </c>
      <c r="DA3146">
        <v>1.74</v>
      </c>
      <c r="DB3146">
        <v>1.24</v>
      </c>
      <c r="DC3146">
        <v>0.04</v>
      </c>
      <c r="DD3146">
        <v>74.95</v>
      </c>
      <c r="DE3146" t="s">
        <v>2098</v>
      </c>
      <c r="DF3146">
        <v>24.72</v>
      </c>
      <c r="DG3146">
        <v>14.39</v>
      </c>
      <c r="DH3146">
        <v>10.91</v>
      </c>
      <c r="DI3146">
        <v>0.54</v>
      </c>
      <c r="DJ3146">
        <v>2787</v>
      </c>
      <c r="DK3146">
        <v>601002</v>
      </c>
      <c r="DL3146" t="s">
        <v>120</v>
      </c>
      <c r="DM3146" t="s">
        <v>120</v>
      </c>
      <c r="DN3146" t="s">
        <v>120</v>
      </c>
    </row>
    <row r="3147" spans="1:118">
      <c r="A3147" t="str">
        <f>"601003"</f>
        <v>601003</v>
      </c>
      <c r="B3147" t="s">
        <v>13630</v>
      </c>
      <c r="C3147">
        <v>-0.25</v>
      </c>
      <c r="D3147">
        <v>0</v>
      </c>
      <c r="E3147">
        <v>1.39</v>
      </c>
      <c r="F3147">
        <v>3648</v>
      </c>
      <c r="G3147" t="s">
        <v>11882</v>
      </c>
      <c r="H3147">
        <v>15877.86</v>
      </c>
      <c r="I3147">
        <v>119.84</v>
      </c>
      <c r="J3147" t="s">
        <v>120</v>
      </c>
      <c r="K3147" t="s">
        <v>11447</v>
      </c>
      <c r="L3147">
        <v>0.78</v>
      </c>
      <c r="M3147">
        <v>7.87</v>
      </c>
      <c r="N3147">
        <v>0.77</v>
      </c>
      <c r="O3147">
        <v>3.55</v>
      </c>
      <c r="P3147">
        <v>8.17</v>
      </c>
      <c r="Q3147">
        <v>-1.1399999999999999</v>
      </c>
      <c r="R3147">
        <v>7.8</v>
      </c>
      <c r="S3147">
        <v>8</v>
      </c>
      <c r="T3147">
        <v>198712</v>
      </c>
      <c r="U3147">
        <v>7.88</v>
      </c>
      <c r="V3147">
        <v>7.89</v>
      </c>
      <c r="W3147">
        <v>5.34</v>
      </c>
      <c r="X3147" t="s">
        <v>1460</v>
      </c>
      <c r="Y3147" t="s">
        <v>945</v>
      </c>
      <c r="Z3147">
        <v>4.6900000000000004</v>
      </c>
      <c r="AA3147">
        <v>7.99</v>
      </c>
      <c r="AB3147">
        <v>103507</v>
      </c>
      <c r="AC3147">
        <v>95205</v>
      </c>
      <c r="AD3147">
        <v>1.0900000000000001</v>
      </c>
      <c r="AE3147">
        <v>48</v>
      </c>
      <c r="AF3147">
        <v>998</v>
      </c>
      <c r="AG3147" t="s">
        <v>120</v>
      </c>
      <c r="AH3147">
        <v>0.03</v>
      </c>
      <c r="AI3147" t="s">
        <v>120</v>
      </c>
      <c r="AJ3147">
        <v>25.63</v>
      </c>
      <c r="AK3147" t="s">
        <v>11447</v>
      </c>
      <c r="AL3147">
        <v>1.0900000000000001</v>
      </c>
      <c r="AM3147">
        <v>3467</v>
      </c>
      <c r="AN3147">
        <v>57</v>
      </c>
      <c r="AO3147">
        <v>2.0000000000000001E-4</v>
      </c>
      <c r="AP3147">
        <v>-1</v>
      </c>
      <c r="AQ3147">
        <v>0.13</v>
      </c>
      <c r="AR3147">
        <v>-3.43</v>
      </c>
      <c r="AS3147">
        <v>17.809999999999999</v>
      </c>
      <c r="AT3147">
        <v>36.159999999999997</v>
      </c>
      <c r="AU3147">
        <v>59.32</v>
      </c>
      <c r="AV3147">
        <v>0</v>
      </c>
      <c r="AW3147">
        <v>4.43</v>
      </c>
      <c r="AX3147">
        <v>17.489999999999998</v>
      </c>
      <c r="AY3147">
        <v>7.16</v>
      </c>
      <c r="AZ3147">
        <v>11.77</v>
      </c>
      <c r="BA3147">
        <v>0.33</v>
      </c>
      <c r="BB3147" t="s">
        <v>143</v>
      </c>
      <c r="BF3147">
        <v>1.27</v>
      </c>
      <c r="BG3147">
        <v>-1.63</v>
      </c>
      <c r="BH3147">
        <v>-3.67</v>
      </c>
      <c r="BI3147">
        <v>0.9</v>
      </c>
      <c r="BJ3147">
        <v>20210826</v>
      </c>
      <c r="BK3147">
        <v>20070227</v>
      </c>
      <c r="BL3147">
        <v>25.63</v>
      </c>
      <c r="BM3147" t="s">
        <v>120</v>
      </c>
      <c r="BN3147" t="s">
        <v>120</v>
      </c>
      <c r="BO3147">
        <v>701.99</v>
      </c>
      <c r="BP3147">
        <v>7.87</v>
      </c>
      <c r="BQ3147">
        <v>130.26</v>
      </c>
      <c r="BR3147">
        <v>139.15</v>
      </c>
      <c r="BS3147">
        <v>61.62</v>
      </c>
      <c r="BT3147">
        <v>272.32</v>
      </c>
      <c r="BU3147">
        <v>289.29000000000002</v>
      </c>
      <c r="BV3147">
        <v>12.71</v>
      </c>
      <c r="BW3147">
        <v>262.49</v>
      </c>
      <c r="BX3147">
        <v>39.020000000000003</v>
      </c>
      <c r="BY3147">
        <v>148.84</v>
      </c>
      <c r="BZ3147">
        <v>10.24</v>
      </c>
      <c r="CA3147" t="s">
        <v>120</v>
      </c>
      <c r="CB3147">
        <v>1.06</v>
      </c>
      <c r="CC3147">
        <v>405.44</v>
      </c>
      <c r="CD3147">
        <v>351.6</v>
      </c>
      <c r="CE3147">
        <v>29.27</v>
      </c>
      <c r="CF3147">
        <v>0</v>
      </c>
      <c r="CG3147">
        <v>29.35</v>
      </c>
      <c r="CH3147">
        <v>26.94</v>
      </c>
      <c r="CI3147">
        <v>18.88</v>
      </c>
      <c r="CJ3147">
        <v>-0.02</v>
      </c>
      <c r="CK3147">
        <v>18.77</v>
      </c>
      <c r="CL3147">
        <v>82.52</v>
      </c>
      <c r="CM3147">
        <v>7.71</v>
      </c>
      <c r="CN3147">
        <v>-0.48</v>
      </c>
      <c r="CO3147">
        <v>44140</v>
      </c>
      <c r="CP3147">
        <v>10158</v>
      </c>
      <c r="CQ3147" t="s">
        <v>2492</v>
      </c>
      <c r="CR3147">
        <v>141.78</v>
      </c>
      <c r="CS3147">
        <v>76.25</v>
      </c>
      <c r="CT3147">
        <v>1.55</v>
      </c>
      <c r="CU3147">
        <v>26.15</v>
      </c>
      <c r="CV3147">
        <v>0.5</v>
      </c>
      <c r="CW3147">
        <v>3.17</v>
      </c>
      <c r="CX3147" t="s">
        <v>10740</v>
      </c>
      <c r="CY3147">
        <v>5.08</v>
      </c>
      <c r="CZ3147">
        <v>0</v>
      </c>
      <c r="DA3147">
        <v>0.04</v>
      </c>
      <c r="DB3147">
        <v>3.22</v>
      </c>
      <c r="DC3147">
        <v>0.3</v>
      </c>
      <c r="DD3147">
        <v>18.559999999999999</v>
      </c>
      <c r="DE3147" t="s">
        <v>13631</v>
      </c>
      <c r="DF3147">
        <v>13.28</v>
      </c>
      <c r="DG3147">
        <v>7.22</v>
      </c>
      <c r="DH3147">
        <v>4.66</v>
      </c>
      <c r="DI3147">
        <v>15.11</v>
      </c>
      <c r="DJ3147">
        <v>15828</v>
      </c>
      <c r="DK3147">
        <v>601003</v>
      </c>
      <c r="DL3147" t="s">
        <v>120</v>
      </c>
      <c r="DM3147" t="s">
        <v>120</v>
      </c>
      <c r="DN3147" t="s">
        <v>120</v>
      </c>
    </row>
    <row r="3148" spans="1:118">
      <c r="A3148" t="str">
        <f>"601005"</f>
        <v>601005</v>
      </c>
      <c r="B3148" t="s">
        <v>13632</v>
      </c>
      <c r="C3148">
        <v>-1.97</v>
      </c>
      <c r="D3148">
        <v>-0.65</v>
      </c>
      <c r="E3148">
        <v>2.2999999999999998</v>
      </c>
      <c r="F3148">
        <v>57671</v>
      </c>
      <c r="G3148" t="s">
        <v>13633</v>
      </c>
      <c r="H3148">
        <v>109912.21</v>
      </c>
      <c r="I3148">
        <v>795.13</v>
      </c>
      <c r="J3148" t="s">
        <v>120</v>
      </c>
      <c r="K3148" t="s">
        <v>13634</v>
      </c>
      <c r="L3148">
        <v>4.2300000000000004</v>
      </c>
      <c r="M3148">
        <v>2.99</v>
      </c>
      <c r="N3148">
        <v>0.96</v>
      </c>
      <c r="O3148">
        <v>4.59</v>
      </c>
      <c r="P3148">
        <v>3.19</v>
      </c>
      <c r="Q3148">
        <v>-1.97</v>
      </c>
      <c r="R3148">
        <v>2.99</v>
      </c>
      <c r="S3148">
        <v>3.12</v>
      </c>
      <c r="T3148">
        <v>3545838</v>
      </c>
      <c r="U3148">
        <v>3</v>
      </c>
      <c r="V3148">
        <v>3.05</v>
      </c>
      <c r="W3148">
        <v>4.9400000000000004</v>
      </c>
      <c r="X3148" t="s">
        <v>1460</v>
      </c>
      <c r="Y3148" t="s">
        <v>883</v>
      </c>
      <c r="Z3148">
        <v>6.56</v>
      </c>
      <c r="AA3148">
        <v>3.1</v>
      </c>
      <c r="AB3148">
        <v>1676289</v>
      </c>
      <c r="AC3148">
        <v>1869549</v>
      </c>
      <c r="AD3148">
        <v>0.9</v>
      </c>
      <c r="AE3148">
        <v>2487</v>
      </c>
      <c r="AF3148">
        <v>2179</v>
      </c>
      <c r="AG3148" t="s">
        <v>120</v>
      </c>
      <c r="AH3148">
        <v>0.04</v>
      </c>
      <c r="AI3148" t="s">
        <v>120</v>
      </c>
      <c r="AJ3148">
        <v>83.8</v>
      </c>
      <c r="AK3148" t="s">
        <v>13634</v>
      </c>
      <c r="AL3148">
        <v>-0.62</v>
      </c>
      <c r="AM3148">
        <v>4577</v>
      </c>
      <c r="AN3148">
        <v>775</v>
      </c>
      <c r="AO3148">
        <v>8.9999999999999998E-4</v>
      </c>
      <c r="AP3148">
        <v>-1</v>
      </c>
      <c r="AQ3148">
        <v>0.66</v>
      </c>
      <c r="AR3148">
        <v>-7.43</v>
      </c>
      <c r="AS3148">
        <v>13.26</v>
      </c>
      <c r="AT3148">
        <v>15.44</v>
      </c>
      <c r="AU3148">
        <v>102.03</v>
      </c>
      <c r="AV3148">
        <v>7</v>
      </c>
      <c r="AW3148">
        <v>5.64</v>
      </c>
      <c r="AX3148">
        <v>74.98</v>
      </c>
      <c r="AY3148">
        <v>8.4600000000000009</v>
      </c>
      <c r="AZ3148">
        <v>42.6</v>
      </c>
      <c r="BA3148">
        <v>1.21</v>
      </c>
      <c r="BB3148" t="s">
        <v>143</v>
      </c>
      <c r="BF3148">
        <v>1.63</v>
      </c>
      <c r="BG3148">
        <v>-4.17</v>
      </c>
      <c r="BH3148">
        <v>-6.27</v>
      </c>
      <c r="BI3148">
        <v>0</v>
      </c>
      <c r="BJ3148">
        <v>20210902</v>
      </c>
      <c r="BK3148">
        <v>20070228</v>
      </c>
      <c r="BL3148">
        <v>89.19</v>
      </c>
      <c r="BM3148" t="s">
        <v>120</v>
      </c>
      <c r="BN3148">
        <v>5.38</v>
      </c>
      <c r="BO3148">
        <v>451.51</v>
      </c>
      <c r="BP3148">
        <v>2.99</v>
      </c>
      <c r="BQ3148">
        <v>227.43</v>
      </c>
      <c r="BR3148" t="s">
        <v>120</v>
      </c>
      <c r="BS3148">
        <v>49.63</v>
      </c>
      <c r="BT3148">
        <v>167.6</v>
      </c>
      <c r="BU3148">
        <v>167.89</v>
      </c>
      <c r="BV3148">
        <v>24.08</v>
      </c>
      <c r="BW3148">
        <v>152.32</v>
      </c>
      <c r="BX3148">
        <v>52.69</v>
      </c>
      <c r="BY3148">
        <v>67.62</v>
      </c>
      <c r="BZ3148">
        <v>0.09</v>
      </c>
      <c r="CA3148" t="s">
        <v>120</v>
      </c>
      <c r="CB3148">
        <v>192.82</v>
      </c>
      <c r="CC3148">
        <v>226.7</v>
      </c>
      <c r="CD3148">
        <v>191.85</v>
      </c>
      <c r="CE3148">
        <v>28.64</v>
      </c>
      <c r="CF3148">
        <v>0</v>
      </c>
      <c r="CG3148">
        <v>26.97</v>
      </c>
      <c r="CH3148">
        <v>26.97</v>
      </c>
      <c r="CI3148">
        <v>26.97</v>
      </c>
      <c r="CJ3148">
        <v>-0.06</v>
      </c>
      <c r="CK3148">
        <v>28.34</v>
      </c>
      <c r="CL3148">
        <v>-60.28</v>
      </c>
      <c r="CM3148">
        <v>15.46</v>
      </c>
      <c r="CN3148">
        <v>0.36</v>
      </c>
      <c r="CO3148">
        <v>178573</v>
      </c>
      <c r="CP3148">
        <v>35187</v>
      </c>
      <c r="CQ3148" t="s">
        <v>3068</v>
      </c>
      <c r="CR3148">
        <v>2122.44</v>
      </c>
      <c r="CS3148">
        <v>107.46</v>
      </c>
      <c r="CT3148">
        <v>1.17</v>
      </c>
      <c r="CU3148">
        <v>17.239999999999998</v>
      </c>
      <c r="CV3148">
        <v>1.18</v>
      </c>
      <c r="CW3148">
        <v>0</v>
      </c>
      <c r="CX3148" t="s">
        <v>1340</v>
      </c>
      <c r="CY3148">
        <v>2.5499999999999998</v>
      </c>
      <c r="CZ3148">
        <v>0</v>
      </c>
      <c r="DA3148">
        <v>2.16</v>
      </c>
      <c r="DB3148">
        <v>-0.68</v>
      </c>
      <c r="DC3148">
        <v>0.17</v>
      </c>
      <c r="DD3148">
        <v>50.37</v>
      </c>
      <c r="DE3148" t="s">
        <v>13635</v>
      </c>
      <c r="DF3148">
        <v>15.37</v>
      </c>
      <c r="DG3148">
        <v>12.63</v>
      </c>
      <c r="DH3148">
        <v>11.9</v>
      </c>
      <c r="DI3148">
        <v>0.76</v>
      </c>
      <c r="DJ3148">
        <v>6601</v>
      </c>
      <c r="DK3148">
        <v>601005</v>
      </c>
      <c r="DL3148" t="s">
        <v>120</v>
      </c>
      <c r="DM3148" t="s">
        <v>120</v>
      </c>
      <c r="DN3148" t="s">
        <v>120</v>
      </c>
    </row>
    <row r="3149" spans="1:118">
      <c r="A3149" t="str">
        <f>"601006"</f>
        <v>601006</v>
      </c>
      <c r="B3149" t="s">
        <v>13636</v>
      </c>
      <c r="C3149">
        <v>-0.8</v>
      </c>
      <c r="D3149">
        <v>0</v>
      </c>
      <c r="E3149">
        <v>0</v>
      </c>
      <c r="F3149">
        <v>1141</v>
      </c>
      <c r="G3149" t="s">
        <v>13637</v>
      </c>
      <c r="H3149">
        <v>29710.85</v>
      </c>
      <c r="I3149">
        <v>195.69</v>
      </c>
      <c r="J3149" t="s">
        <v>120</v>
      </c>
      <c r="K3149" t="s">
        <v>13638</v>
      </c>
      <c r="L3149">
        <v>0.32</v>
      </c>
      <c r="M3149">
        <v>6.22</v>
      </c>
      <c r="N3149">
        <v>0.72</v>
      </c>
      <c r="O3149">
        <v>1.1200000000000001</v>
      </c>
      <c r="P3149">
        <v>6.34</v>
      </c>
      <c r="Q3149">
        <v>-0.96</v>
      </c>
      <c r="R3149">
        <v>6.21</v>
      </c>
      <c r="S3149">
        <v>6.27</v>
      </c>
      <c r="T3149">
        <v>473013</v>
      </c>
      <c r="U3149">
        <v>6.23</v>
      </c>
      <c r="V3149">
        <v>6.27</v>
      </c>
      <c r="W3149">
        <v>6.2</v>
      </c>
      <c r="X3149" t="s">
        <v>1109</v>
      </c>
      <c r="Y3149" t="s">
        <v>667</v>
      </c>
      <c r="Z3149">
        <v>2.0699999999999998</v>
      </c>
      <c r="AA3149">
        <v>6.28</v>
      </c>
      <c r="AB3149">
        <v>248687</v>
      </c>
      <c r="AC3149">
        <v>224326</v>
      </c>
      <c r="AD3149">
        <v>1.1100000000000001</v>
      </c>
      <c r="AE3149">
        <v>6326</v>
      </c>
      <c r="AF3149">
        <v>2019</v>
      </c>
      <c r="AG3149" t="s">
        <v>120</v>
      </c>
      <c r="AH3149">
        <v>0.01</v>
      </c>
      <c r="AI3149" t="s">
        <v>120</v>
      </c>
      <c r="AJ3149">
        <v>148.66999999999999</v>
      </c>
      <c r="AK3149" t="s">
        <v>13638</v>
      </c>
      <c r="AL3149">
        <v>0.55000000000000004</v>
      </c>
      <c r="AM3149">
        <v>3812</v>
      </c>
      <c r="AN3149">
        <v>124</v>
      </c>
      <c r="AO3149">
        <v>1E-4</v>
      </c>
      <c r="AP3149">
        <v>-3</v>
      </c>
      <c r="AQ3149">
        <v>-0.63</v>
      </c>
      <c r="AR3149">
        <v>-3.41</v>
      </c>
      <c r="AS3149">
        <v>4.3600000000000003</v>
      </c>
      <c r="AT3149">
        <v>2.81</v>
      </c>
      <c r="AU3149">
        <v>4.01</v>
      </c>
      <c r="AV3149">
        <v>0</v>
      </c>
      <c r="AW3149">
        <v>0.85</v>
      </c>
      <c r="AX3149">
        <v>37.26</v>
      </c>
      <c r="AY3149">
        <v>7.25</v>
      </c>
      <c r="AZ3149">
        <v>8.56</v>
      </c>
      <c r="BA3149">
        <v>0.31</v>
      </c>
      <c r="BB3149" t="s">
        <v>143</v>
      </c>
      <c r="BF3149">
        <v>0.18</v>
      </c>
      <c r="BG3149">
        <v>-0.8</v>
      </c>
      <c r="BH3149">
        <v>-1.89</v>
      </c>
      <c r="BI3149">
        <v>0.16</v>
      </c>
      <c r="BJ3149">
        <v>20210827</v>
      </c>
      <c r="BK3149">
        <v>20060801</v>
      </c>
      <c r="BL3149">
        <v>148.66999999999999</v>
      </c>
      <c r="BM3149" t="s">
        <v>120</v>
      </c>
      <c r="BN3149" t="s">
        <v>120</v>
      </c>
      <c r="BO3149">
        <v>1952.12</v>
      </c>
      <c r="BP3149">
        <v>6.22</v>
      </c>
      <c r="BQ3149">
        <v>1208.04</v>
      </c>
      <c r="BR3149">
        <v>101.74</v>
      </c>
      <c r="BS3149">
        <v>32.909999999999997</v>
      </c>
      <c r="BT3149">
        <v>714.72</v>
      </c>
      <c r="BU3149">
        <v>819.59</v>
      </c>
      <c r="BV3149">
        <v>94.63</v>
      </c>
      <c r="BW3149">
        <v>205.13</v>
      </c>
      <c r="BX3149">
        <v>561.39</v>
      </c>
      <c r="BY3149">
        <v>16.25</v>
      </c>
      <c r="BZ3149">
        <v>72.23</v>
      </c>
      <c r="CA3149">
        <v>0.14000000000000001</v>
      </c>
      <c r="CB3149">
        <v>233.43</v>
      </c>
      <c r="CC3149">
        <v>386.12</v>
      </c>
      <c r="CD3149">
        <v>285.52999999999997</v>
      </c>
      <c r="CE3149">
        <v>110.09</v>
      </c>
      <c r="CF3149">
        <v>16.53</v>
      </c>
      <c r="CG3149">
        <v>109.71</v>
      </c>
      <c r="CH3149">
        <v>83.33</v>
      </c>
      <c r="CI3149">
        <v>74.63</v>
      </c>
      <c r="CJ3149">
        <v>-0.05</v>
      </c>
      <c r="CK3149">
        <v>74.81</v>
      </c>
      <c r="CL3149">
        <v>618.44000000000005</v>
      </c>
      <c r="CM3149">
        <v>96.62</v>
      </c>
      <c r="CN3149">
        <v>40.51</v>
      </c>
      <c r="CO3149">
        <v>203425</v>
      </c>
      <c r="CP3149">
        <v>27231</v>
      </c>
      <c r="CQ3149" t="s">
        <v>13639</v>
      </c>
      <c r="CR3149">
        <v>35.86</v>
      </c>
      <c r="CS3149">
        <v>14.9</v>
      </c>
      <c r="CT3149">
        <v>0.79</v>
      </c>
      <c r="CU3149">
        <v>9.57</v>
      </c>
      <c r="CV3149">
        <v>2.39</v>
      </c>
      <c r="CW3149">
        <v>7.66</v>
      </c>
      <c r="CX3149" t="s">
        <v>550</v>
      </c>
      <c r="CY3149">
        <v>7.9</v>
      </c>
      <c r="CZ3149">
        <v>7.9</v>
      </c>
      <c r="DA3149">
        <v>1.57</v>
      </c>
      <c r="DB3149">
        <v>4.16</v>
      </c>
      <c r="DC3149">
        <v>0.65</v>
      </c>
      <c r="DD3149">
        <v>61.88</v>
      </c>
      <c r="DE3149" t="s">
        <v>9543</v>
      </c>
      <c r="DF3149">
        <v>26.05</v>
      </c>
      <c r="DG3149">
        <v>28.51</v>
      </c>
      <c r="DH3149">
        <v>19.329999999999998</v>
      </c>
      <c r="DI3149">
        <v>0</v>
      </c>
      <c r="DJ3149">
        <v>96108</v>
      </c>
      <c r="DK3149">
        <v>601006</v>
      </c>
      <c r="DL3149" t="s">
        <v>120</v>
      </c>
      <c r="DM3149" t="s">
        <v>120</v>
      </c>
      <c r="DN3149" t="s">
        <v>120</v>
      </c>
    </row>
    <row r="3150" spans="1:118">
      <c r="A3150" t="str">
        <f>"601007"</f>
        <v>601007</v>
      </c>
      <c r="B3150" t="s">
        <v>13640</v>
      </c>
      <c r="C3150">
        <v>-1.17</v>
      </c>
      <c r="D3150">
        <v>-0.33</v>
      </c>
      <c r="E3150">
        <v>-0.17</v>
      </c>
      <c r="F3150">
        <v>318</v>
      </c>
      <c r="G3150" t="s">
        <v>13641</v>
      </c>
      <c r="H3150">
        <v>1596.72</v>
      </c>
      <c r="I3150">
        <v>0.83</v>
      </c>
      <c r="J3150" t="s">
        <v>120</v>
      </c>
      <c r="K3150" t="s">
        <v>13642</v>
      </c>
      <c r="L3150">
        <v>0.68</v>
      </c>
      <c r="M3150">
        <v>5.9</v>
      </c>
      <c r="N3150">
        <v>0.66</v>
      </c>
      <c r="O3150">
        <v>1.68</v>
      </c>
      <c r="P3150">
        <v>6.07</v>
      </c>
      <c r="Q3150">
        <v>-1.17</v>
      </c>
      <c r="R3150">
        <v>5.9</v>
      </c>
      <c r="S3150">
        <v>5.96</v>
      </c>
      <c r="T3150">
        <v>26680</v>
      </c>
      <c r="U3150">
        <v>5.91</v>
      </c>
      <c r="V3150">
        <v>5.97</v>
      </c>
      <c r="W3150">
        <v>68.84</v>
      </c>
      <c r="X3150" t="s">
        <v>793</v>
      </c>
      <c r="Y3150" t="s">
        <v>319</v>
      </c>
      <c r="Z3150">
        <v>2.85</v>
      </c>
      <c r="AA3150">
        <v>5.98</v>
      </c>
      <c r="AB3150">
        <v>15592</v>
      </c>
      <c r="AC3150">
        <v>11088</v>
      </c>
      <c r="AD3150">
        <v>1.41</v>
      </c>
      <c r="AE3150">
        <v>540</v>
      </c>
      <c r="AF3150">
        <v>19</v>
      </c>
      <c r="AG3150" t="s">
        <v>120</v>
      </c>
      <c r="AH3150">
        <v>0</v>
      </c>
      <c r="AI3150" t="s">
        <v>120</v>
      </c>
      <c r="AJ3150">
        <v>3.9</v>
      </c>
      <c r="AK3150" t="s">
        <v>13642</v>
      </c>
      <c r="AL3150">
        <v>0.17</v>
      </c>
      <c r="AM3150">
        <v>928</v>
      </c>
      <c r="AN3150">
        <v>29</v>
      </c>
      <c r="AO3150">
        <v>6.9999999999999999E-4</v>
      </c>
      <c r="AP3150">
        <v>-1</v>
      </c>
      <c r="AQ3150">
        <v>1.36</v>
      </c>
      <c r="AR3150">
        <v>-2.64</v>
      </c>
      <c r="AS3150">
        <v>7.66</v>
      </c>
      <c r="AT3150">
        <v>-6.91</v>
      </c>
      <c r="AU3150">
        <v>-2.29</v>
      </c>
      <c r="AV3150">
        <v>2</v>
      </c>
      <c r="AW3150">
        <v>1.21</v>
      </c>
      <c r="AX3150">
        <v>56.5</v>
      </c>
      <c r="AY3150">
        <v>38.93</v>
      </c>
      <c r="AZ3150">
        <v>53.65</v>
      </c>
      <c r="BA3150">
        <v>0.42</v>
      </c>
      <c r="BB3150" t="s">
        <v>143</v>
      </c>
      <c r="BF3150">
        <v>0.25</v>
      </c>
      <c r="BG3150">
        <v>-1.01</v>
      </c>
      <c r="BH3150">
        <v>-2.8</v>
      </c>
      <c r="BI3150">
        <v>0</v>
      </c>
      <c r="BJ3150">
        <v>20210831</v>
      </c>
      <c r="BK3150">
        <v>20070406</v>
      </c>
      <c r="BL3150">
        <v>3.9</v>
      </c>
      <c r="BM3150" t="s">
        <v>120</v>
      </c>
      <c r="BN3150" t="s">
        <v>120</v>
      </c>
      <c r="BO3150">
        <v>37.729999999999997</v>
      </c>
      <c r="BP3150">
        <v>5.9</v>
      </c>
      <c r="BQ3150">
        <v>15.33</v>
      </c>
      <c r="BR3150">
        <v>7.66</v>
      </c>
      <c r="BS3150">
        <v>39.07</v>
      </c>
      <c r="BT3150">
        <v>16.670000000000002</v>
      </c>
      <c r="BU3150">
        <v>11.18</v>
      </c>
      <c r="BV3150">
        <v>3.5</v>
      </c>
      <c r="BW3150">
        <v>11.3</v>
      </c>
      <c r="BX3150">
        <v>5.32</v>
      </c>
      <c r="BY3150">
        <v>5.65</v>
      </c>
      <c r="BZ3150">
        <v>0.48</v>
      </c>
      <c r="CA3150" t="s">
        <v>120</v>
      </c>
      <c r="CB3150">
        <v>4.04</v>
      </c>
      <c r="CC3150">
        <v>6.17</v>
      </c>
      <c r="CD3150">
        <v>4.1500000000000004</v>
      </c>
      <c r="CE3150">
        <v>0.69</v>
      </c>
      <c r="CF3150">
        <v>0.03</v>
      </c>
      <c r="CG3150">
        <v>0.7</v>
      </c>
      <c r="CH3150">
        <v>0.42</v>
      </c>
      <c r="CI3150">
        <v>0.17</v>
      </c>
      <c r="CJ3150">
        <v>-7.0000000000000007E-2</v>
      </c>
      <c r="CK3150">
        <v>0.03</v>
      </c>
      <c r="CL3150">
        <v>7.16</v>
      </c>
      <c r="CM3150">
        <v>0.45</v>
      </c>
      <c r="CN3150">
        <v>1.56</v>
      </c>
      <c r="CO3150">
        <v>16515</v>
      </c>
      <c r="CP3150">
        <v>13341</v>
      </c>
      <c r="CQ3150" t="s">
        <v>10359</v>
      </c>
      <c r="CR3150">
        <v>5250.11</v>
      </c>
      <c r="CS3150">
        <v>25.5</v>
      </c>
      <c r="CT3150">
        <v>1.5</v>
      </c>
      <c r="CU3150">
        <v>50.86</v>
      </c>
      <c r="CV3150">
        <v>3.73</v>
      </c>
      <c r="CW3150">
        <v>0.64</v>
      </c>
      <c r="CX3150" t="s">
        <v>2831</v>
      </c>
      <c r="CY3150">
        <v>3.93</v>
      </c>
      <c r="CZ3150">
        <v>0</v>
      </c>
      <c r="DA3150">
        <v>1.04</v>
      </c>
      <c r="DB3150">
        <v>1.84</v>
      </c>
      <c r="DC3150">
        <v>0.12</v>
      </c>
      <c r="DD3150">
        <v>40.64</v>
      </c>
      <c r="DE3150" t="s">
        <v>2493</v>
      </c>
      <c r="DF3150">
        <v>32.729999999999997</v>
      </c>
      <c r="DG3150">
        <v>11.1</v>
      </c>
      <c r="DH3150">
        <v>2.71</v>
      </c>
      <c r="DI3150" t="s">
        <v>120</v>
      </c>
      <c r="DJ3150">
        <v>1536</v>
      </c>
      <c r="DK3150">
        <v>601007</v>
      </c>
      <c r="DL3150" t="s">
        <v>120</v>
      </c>
      <c r="DM3150" t="s">
        <v>120</v>
      </c>
      <c r="DN3150" t="s">
        <v>120</v>
      </c>
    </row>
    <row r="3151" spans="1:118">
      <c r="A3151" t="str">
        <f>"601008"</f>
        <v>601008</v>
      </c>
      <c r="B3151" t="s">
        <v>13643</v>
      </c>
      <c r="C3151">
        <v>-2.02</v>
      </c>
      <c r="D3151">
        <v>0</v>
      </c>
      <c r="E3151">
        <v>-0.25</v>
      </c>
      <c r="F3151">
        <v>725</v>
      </c>
      <c r="G3151" t="s">
        <v>8475</v>
      </c>
      <c r="H3151">
        <v>6582.57</v>
      </c>
      <c r="I3151">
        <v>8.7899999999999991</v>
      </c>
      <c r="J3151" t="s">
        <v>120</v>
      </c>
      <c r="K3151" t="s">
        <v>13644</v>
      </c>
      <c r="L3151">
        <v>1.33</v>
      </c>
      <c r="M3151">
        <v>3.89</v>
      </c>
      <c r="N3151">
        <v>0.76</v>
      </c>
      <c r="O3151">
        <v>2.27</v>
      </c>
      <c r="P3151">
        <v>4.0599999999999996</v>
      </c>
      <c r="Q3151">
        <v>-2.02</v>
      </c>
      <c r="R3151">
        <v>3.89</v>
      </c>
      <c r="S3151">
        <v>3.96</v>
      </c>
      <c r="T3151">
        <v>166168</v>
      </c>
      <c r="U3151">
        <v>3.9</v>
      </c>
      <c r="V3151">
        <v>3.97</v>
      </c>
      <c r="W3151">
        <v>47.73</v>
      </c>
      <c r="X3151" t="s">
        <v>511</v>
      </c>
      <c r="Y3151" t="s">
        <v>319</v>
      </c>
      <c r="Z3151">
        <v>4.28</v>
      </c>
      <c r="AA3151">
        <v>3.96</v>
      </c>
      <c r="AB3151">
        <v>80469</v>
      </c>
      <c r="AC3151">
        <v>85699</v>
      </c>
      <c r="AD3151">
        <v>0.94</v>
      </c>
      <c r="AE3151">
        <v>893</v>
      </c>
      <c r="AF3151">
        <v>726</v>
      </c>
      <c r="AG3151" t="s">
        <v>120</v>
      </c>
      <c r="AH3151">
        <v>0</v>
      </c>
      <c r="AI3151" t="s">
        <v>120</v>
      </c>
      <c r="AJ3151">
        <v>12.52</v>
      </c>
      <c r="AK3151" t="s">
        <v>13644</v>
      </c>
      <c r="AL3151">
        <v>-0.67</v>
      </c>
      <c r="AM3151">
        <v>2101</v>
      </c>
      <c r="AN3151">
        <v>79</v>
      </c>
      <c r="AO3151">
        <v>5.9999999999999995E-4</v>
      </c>
      <c r="AP3151">
        <v>-1</v>
      </c>
      <c r="AQ3151">
        <v>0.51</v>
      </c>
      <c r="AR3151">
        <v>-4.66</v>
      </c>
      <c r="AS3151">
        <v>10.19</v>
      </c>
      <c r="AT3151">
        <v>5.14</v>
      </c>
      <c r="AU3151">
        <v>-8.69</v>
      </c>
      <c r="AV3151">
        <v>4</v>
      </c>
      <c r="AW3151">
        <v>2.19</v>
      </c>
      <c r="AX3151">
        <v>60.5</v>
      </c>
      <c r="AY3151">
        <v>60.77</v>
      </c>
      <c r="AZ3151">
        <v>134.12</v>
      </c>
      <c r="BA3151">
        <v>0.69</v>
      </c>
      <c r="BB3151" t="s">
        <v>143</v>
      </c>
      <c r="BF3151">
        <v>-0.22</v>
      </c>
      <c r="BG3151">
        <v>-1.77</v>
      </c>
      <c r="BH3151">
        <v>-4.1900000000000004</v>
      </c>
      <c r="BI3151">
        <v>0</v>
      </c>
      <c r="BJ3151">
        <v>20210820</v>
      </c>
      <c r="BK3151">
        <v>20070426</v>
      </c>
      <c r="BL3151">
        <v>12.52</v>
      </c>
      <c r="BM3151" t="s">
        <v>120</v>
      </c>
      <c r="BN3151" t="s">
        <v>120</v>
      </c>
      <c r="BO3151">
        <v>87</v>
      </c>
      <c r="BP3151">
        <v>3.89</v>
      </c>
      <c r="BQ3151">
        <v>40.04</v>
      </c>
      <c r="BR3151">
        <v>11.73</v>
      </c>
      <c r="BS3151">
        <v>40.5</v>
      </c>
      <c r="BT3151">
        <v>13.75</v>
      </c>
      <c r="BU3151">
        <v>45.31</v>
      </c>
      <c r="BV3151">
        <v>0.01</v>
      </c>
      <c r="BW3151">
        <v>32.06</v>
      </c>
      <c r="BX3151">
        <v>8.4</v>
      </c>
      <c r="BY3151">
        <v>0.13</v>
      </c>
      <c r="BZ3151">
        <v>2.13</v>
      </c>
      <c r="CA3151" t="s">
        <v>120</v>
      </c>
      <c r="CB3151">
        <v>21.49</v>
      </c>
      <c r="CC3151">
        <v>9.48</v>
      </c>
      <c r="CD3151">
        <v>7.41</v>
      </c>
      <c r="CE3151">
        <v>0.88</v>
      </c>
      <c r="CF3151">
        <v>0.25</v>
      </c>
      <c r="CG3151">
        <v>1.18</v>
      </c>
      <c r="CH3151">
        <v>0.85</v>
      </c>
      <c r="CI3151">
        <v>0.51</v>
      </c>
      <c r="CJ3151">
        <v>-0.08</v>
      </c>
      <c r="CK3151">
        <v>0.03</v>
      </c>
      <c r="CL3151">
        <v>4.78</v>
      </c>
      <c r="CM3151">
        <v>-6</v>
      </c>
      <c r="CN3151">
        <v>-5.54</v>
      </c>
      <c r="CO3151">
        <v>81034</v>
      </c>
      <c r="CP3151">
        <v>9344</v>
      </c>
      <c r="CQ3151" t="s">
        <v>2316</v>
      </c>
      <c r="CR3151">
        <v>711.7</v>
      </c>
      <c r="CS3151">
        <v>31.94</v>
      </c>
      <c r="CT3151">
        <v>1.2</v>
      </c>
      <c r="CU3151">
        <v>-8.1199999999999992</v>
      </c>
      <c r="CV3151">
        <v>5.13</v>
      </c>
      <c r="CW3151">
        <v>0.44</v>
      </c>
      <c r="CX3151" t="s">
        <v>1248</v>
      </c>
      <c r="CY3151">
        <v>3.23</v>
      </c>
      <c r="CZ3151">
        <v>3.23</v>
      </c>
      <c r="DA3151">
        <v>1.72</v>
      </c>
      <c r="DB3151">
        <v>0.38</v>
      </c>
      <c r="DC3151">
        <v>-0.48</v>
      </c>
      <c r="DD3151">
        <v>46.02</v>
      </c>
      <c r="DE3151" t="s">
        <v>13645</v>
      </c>
      <c r="DF3151">
        <v>21.86</v>
      </c>
      <c r="DG3151">
        <v>9.23</v>
      </c>
      <c r="DH3151">
        <v>5.38</v>
      </c>
      <c r="DI3151" t="s">
        <v>120</v>
      </c>
      <c r="DJ3151">
        <v>3198</v>
      </c>
      <c r="DK3151">
        <v>601008</v>
      </c>
      <c r="DL3151" t="s">
        <v>120</v>
      </c>
      <c r="DM3151" t="s">
        <v>120</v>
      </c>
      <c r="DN3151" t="s">
        <v>120</v>
      </c>
    </row>
    <row r="3152" spans="1:118">
      <c r="A3152" t="str">
        <f>"601009"</f>
        <v>601009</v>
      </c>
      <c r="B3152" t="s">
        <v>13646</v>
      </c>
      <c r="C3152">
        <v>-0.43</v>
      </c>
      <c r="D3152">
        <v>-0.21</v>
      </c>
      <c r="E3152">
        <v>-0.32</v>
      </c>
      <c r="F3152">
        <v>9213</v>
      </c>
      <c r="G3152" t="s">
        <v>13647</v>
      </c>
      <c r="H3152">
        <v>26800.79</v>
      </c>
      <c r="I3152">
        <v>149.22</v>
      </c>
      <c r="J3152" t="s">
        <v>120</v>
      </c>
      <c r="K3152" t="s">
        <v>13648</v>
      </c>
      <c r="L3152">
        <v>0.34</v>
      </c>
      <c r="M3152">
        <v>9.27</v>
      </c>
      <c r="N3152">
        <v>0.77</v>
      </c>
      <c r="O3152">
        <v>1.18</v>
      </c>
      <c r="P3152">
        <v>9.42</v>
      </c>
      <c r="Q3152">
        <v>-0.43</v>
      </c>
      <c r="R3152">
        <v>9.27</v>
      </c>
      <c r="S3152">
        <v>9.2799999999999994</v>
      </c>
      <c r="T3152">
        <v>286996</v>
      </c>
      <c r="U3152">
        <v>9.2799999999999994</v>
      </c>
      <c r="V3152">
        <v>9.31</v>
      </c>
      <c r="W3152">
        <v>5.49</v>
      </c>
      <c r="X3152" t="s">
        <v>122</v>
      </c>
      <c r="Y3152" t="s">
        <v>319</v>
      </c>
      <c r="Z3152">
        <v>1.61</v>
      </c>
      <c r="AA3152">
        <v>9.34</v>
      </c>
      <c r="AB3152">
        <v>139602</v>
      </c>
      <c r="AC3152">
        <v>147394</v>
      </c>
      <c r="AD3152">
        <v>0.95</v>
      </c>
      <c r="AE3152">
        <v>322</v>
      </c>
      <c r="AF3152">
        <v>360</v>
      </c>
      <c r="AG3152" t="s">
        <v>120</v>
      </c>
      <c r="AH3152">
        <v>0</v>
      </c>
      <c r="AI3152" t="s">
        <v>120</v>
      </c>
      <c r="AJ3152">
        <v>84.82</v>
      </c>
      <c r="AK3152" t="s">
        <v>13649</v>
      </c>
      <c r="AL3152">
        <v>0.91</v>
      </c>
      <c r="AM3152">
        <v>4122</v>
      </c>
      <c r="AN3152">
        <v>70</v>
      </c>
      <c r="AO3152">
        <v>1E-4</v>
      </c>
      <c r="AP3152">
        <v>-3</v>
      </c>
      <c r="AQ3152">
        <v>-1.59</v>
      </c>
      <c r="AR3152">
        <v>-5.0199999999999996</v>
      </c>
      <c r="AS3152">
        <v>2.89</v>
      </c>
      <c r="AT3152">
        <v>-9.1999999999999993</v>
      </c>
      <c r="AU3152">
        <v>20.59</v>
      </c>
      <c r="AV3152">
        <v>1</v>
      </c>
      <c r="AW3152">
        <v>0.56999999999999995</v>
      </c>
      <c r="AX3152">
        <v>49.92</v>
      </c>
      <c r="AY3152">
        <v>6.5</v>
      </c>
      <c r="AZ3152">
        <v>7.11</v>
      </c>
      <c r="BA3152">
        <v>1.43</v>
      </c>
      <c r="BB3152" t="s">
        <v>143</v>
      </c>
      <c r="BF3152">
        <v>0.3</v>
      </c>
      <c r="BG3152">
        <v>-0.11</v>
      </c>
      <c r="BH3152">
        <v>-1.59</v>
      </c>
      <c r="BI3152">
        <v>0</v>
      </c>
      <c r="BJ3152">
        <v>20210819</v>
      </c>
      <c r="BK3152">
        <v>20070719</v>
      </c>
      <c r="BL3152">
        <v>100.07</v>
      </c>
      <c r="BM3152" t="s">
        <v>120</v>
      </c>
      <c r="BN3152" t="s">
        <v>120</v>
      </c>
      <c r="BO3152">
        <v>16639.78</v>
      </c>
      <c r="BP3152">
        <v>9.27</v>
      </c>
      <c r="BQ3152">
        <v>1136.1199999999999</v>
      </c>
      <c r="BR3152">
        <v>12.06</v>
      </c>
      <c r="BS3152">
        <v>93.1</v>
      </c>
      <c r="BT3152">
        <v>0</v>
      </c>
      <c r="BU3152">
        <v>30.96</v>
      </c>
      <c r="BV3152">
        <v>0</v>
      </c>
      <c r="BW3152">
        <v>0</v>
      </c>
      <c r="BX3152">
        <v>1202.44</v>
      </c>
      <c r="BY3152">
        <v>0</v>
      </c>
      <c r="BZ3152">
        <v>0</v>
      </c>
      <c r="CA3152" t="s">
        <v>120</v>
      </c>
      <c r="CB3152">
        <v>232.87</v>
      </c>
      <c r="CC3152">
        <v>202.37</v>
      </c>
      <c r="CD3152">
        <v>0</v>
      </c>
      <c r="CE3152">
        <v>103.7</v>
      </c>
      <c r="CF3152">
        <v>25.46</v>
      </c>
      <c r="CG3152">
        <v>103.73</v>
      </c>
      <c r="CH3152">
        <v>85.16</v>
      </c>
      <c r="CI3152">
        <v>84.54</v>
      </c>
      <c r="CJ3152">
        <v>-0.04</v>
      </c>
      <c r="CK3152">
        <v>83.86</v>
      </c>
      <c r="CL3152">
        <v>440.61</v>
      </c>
      <c r="CM3152">
        <v>528.96</v>
      </c>
      <c r="CN3152">
        <v>-37.42</v>
      </c>
      <c r="CO3152">
        <v>94781</v>
      </c>
      <c r="CP3152">
        <v>52707</v>
      </c>
      <c r="CQ3152" t="s">
        <v>4441</v>
      </c>
      <c r="CR3152">
        <v>17.07</v>
      </c>
      <c r="CS3152">
        <v>14.09</v>
      </c>
      <c r="CT3152">
        <v>0.89</v>
      </c>
      <c r="CU3152">
        <v>1.75</v>
      </c>
      <c r="CV3152">
        <v>4.58</v>
      </c>
      <c r="CW3152">
        <v>4.22</v>
      </c>
      <c r="CX3152" t="s">
        <v>1362</v>
      </c>
      <c r="CY3152">
        <v>10.36</v>
      </c>
      <c r="CZ3152">
        <v>10.36</v>
      </c>
      <c r="DA3152">
        <v>2.33</v>
      </c>
      <c r="DB3152">
        <v>4.4000000000000004</v>
      </c>
      <c r="DC3152">
        <v>5.29</v>
      </c>
      <c r="DD3152">
        <v>6.83</v>
      </c>
      <c r="DE3152" t="s">
        <v>4803</v>
      </c>
      <c r="DF3152" t="s">
        <v>120</v>
      </c>
      <c r="DG3152">
        <v>51.24</v>
      </c>
      <c r="DH3152">
        <v>41.77</v>
      </c>
      <c r="DI3152" t="s">
        <v>120</v>
      </c>
      <c r="DJ3152">
        <v>12323</v>
      </c>
      <c r="DK3152">
        <v>601009</v>
      </c>
      <c r="DL3152" t="s">
        <v>120</v>
      </c>
      <c r="DM3152" t="s">
        <v>120</v>
      </c>
      <c r="DN3152" t="s">
        <v>120</v>
      </c>
    </row>
    <row r="3153" spans="1:118">
      <c r="A3153" t="str">
        <f>"601010"</f>
        <v>601010</v>
      </c>
      <c r="B3153" t="s">
        <v>13650</v>
      </c>
      <c r="C3153">
        <v>-0.6</v>
      </c>
      <c r="D3153">
        <v>0.3</v>
      </c>
      <c r="E3153">
        <v>0.3</v>
      </c>
      <c r="F3153">
        <v>533</v>
      </c>
      <c r="G3153" t="s">
        <v>9207</v>
      </c>
      <c r="H3153">
        <v>4825.47</v>
      </c>
      <c r="I3153">
        <v>29.35</v>
      </c>
      <c r="J3153" t="s">
        <v>120</v>
      </c>
      <c r="K3153" t="s">
        <v>3001</v>
      </c>
      <c r="L3153">
        <v>0.79</v>
      </c>
      <c r="M3153">
        <v>3.29</v>
      </c>
      <c r="N3153">
        <v>0.98</v>
      </c>
      <c r="O3153">
        <v>1.81</v>
      </c>
      <c r="P3153">
        <v>3.37</v>
      </c>
      <c r="Q3153">
        <v>-0.91</v>
      </c>
      <c r="R3153">
        <v>3.28</v>
      </c>
      <c r="S3153">
        <v>3.32</v>
      </c>
      <c r="T3153">
        <v>145423</v>
      </c>
      <c r="U3153">
        <v>3.29</v>
      </c>
      <c r="V3153">
        <v>3.31</v>
      </c>
      <c r="W3153">
        <v>13.17</v>
      </c>
      <c r="X3153" t="s">
        <v>1872</v>
      </c>
      <c r="Y3153" t="s">
        <v>319</v>
      </c>
      <c r="Z3153">
        <v>2.72</v>
      </c>
      <c r="AA3153">
        <v>3.32</v>
      </c>
      <c r="AB3153">
        <v>78764</v>
      </c>
      <c r="AC3153">
        <v>66659</v>
      </c>
      <c r="AD3153">
        <v>1.18</v>
      </c>
      <c r="AE3153">
        <v>1388</v>
      </c>
      <c r="AF3153">
        <v>2102</v>
      </c>
      <c r="AG3153" t="s">
        <v>120</v>
      </c>
      <c r="AH3153">
        <v>0.01</v>
      </c>
      <c r="AI3153" t="s">
        <v>120</v>
      </c>
      <c r="AJ3153">
        <v>18.48</v>
      </c>
      <c r="AK3153" t="s">
        <v>3001</v>
      </c>
      <c r="AL3153">
        <v>0.74</v>
      </c>
      <c r="AM3153">
        <v>1848</v>
      </c>
      <c r="AN3153">
        <v>79</v>
      </c>
      <c r="AO3153">
        <v>4.0000000000000002E-4</v>
      </c>
      <c r="AP3153">
        <v>-1</v>
      </c>
      <c r="AQ3153">
        <v>0.3</v>
      </c>
      <c r="AR3153">
        <v>-1.79</v>
      </c>
      <c r="AS3153">
        <v>14.24</v>
      </c>
      <c r="AT3153">
        <v>3.13</v>
      </c>
      <c r="AU3153">
        <v>17.29</v>
      </c>
      <c r="AV3153">
        <v>0</v>
      </c>
      <c r="AW3153">
        <v>1.66</v>
      </c>
      <c r="AX3153">
        <v>47.53</v>
      </c>
      <c r="AY3153">
        <v>15.83</v>
      </c>
      <c r="AZ3153">
        <v>22.8</v>
      </c>
      <c r="BA3153">
        <v>0.71</v>
      </c>
      <c r="BB3153" t="s">
        <v>184</v>
      </c>
      <c r="BF3153">
        <v>0.25</v>
      </c>
      <c r="BG3153">
        <v>-0.9</v>
      </c>
      <c r="BH3153">
        <v>-2.37</v>
      </c>
      <c r="BI3153">
        <v>0.3</v>
      </c>
      <c r="BJ3153">
        <v>20210831</v>
      </c>
      <c r="BK3153">
        <v>20110603</v>
      </c>
      <c r="BL3153">
        <v>18.48</v>
      </c>
      <c r="BM3153" t="s">
        <v>120</v>
      </c>
      <c r="BN3153" t="s">
        <v>120</v>
      </c>
      <c r="BO3153">
        <v>70.930000000000007</v>
      </c>
      <c r="BP3153">
        <v>3.28</v>
      </c>
      <c r="BQ3153">
        <v>48.37</v>
      </c>
      <c r="BR3153">
        <v>-0.11</v>
      </c>
      <c r="BS3153">
        <v>31.97</v>
      </c>
      <c r="BT3153">
        <v>21.81</v>
      </c>
      <c r="BU3153">
        <v>30.27</v>
      </c>
      <c r="BV3153">
        <v>6.11</v>
      </c>
      <c r="BW3153">
        <v>20.07</v>
      </c>
      <c r="BX3153">
        <v>5.52</v>
      </c>
      <c r="BY3153">
        <v>6.75</v>
      </c>
      <c r="BZ3153">
        <v>0.23</v>
      </c>
      <c r="CA3153">
        <v>0.35</v>
      </c>
      <c r="CB3153">
        <v>8.44</v>
      </c>
      <c r="CC3153">
        <v>13.26</v>
      </c>
      <c r="CD3153">
        <v>6.9</v>
      </c>
      <c r="CE3153">
        <v>2.95</v>
      </c>
      <c r="CF3153">
        <v>0.13</v>
      </c>
      <c r="CG3153">
        <v>2.89</v>
      </c>
      <c r="CH3153">
        <v>2.31</v>
      </c>
      <c r="CI3153">
        <v>2.31</v>
      </c>
      <c r="CJ3153">
        <v>-0.02</v>
      </c>
      <c r="CK3153">
        <v>1.51</v>
      </c>
      <c r="CL3153">
        <v>16.559999999999999</v>
      </c>
      <c r="CM3153">
        <v>1.22</v>
      </c>
      <c r="CN3153">
        <v>1.49</v>
      </c>
      <c r="CO3153">
        <v>104822</v>
      </c>
      <c r="CP3153">
        <v>8379</v>
      </c>
      <c r="CQ3153" t="s">
        <v>1319</v>
      </c>
      <c r="CR3153">
        <v>105.03</v>
      </c>
      <c r="CS3153">
        <v>22.35</v>
      </c>
      <c r="CT3153">
        <v>1.26</v>
      </c>
      <c r="CU3153">
        <v>49.77</v>
      </c>
      <c r="CV3153">
        <v>4.58</v>
      </c>
      <c r="CW3153">
        <v>4.38</v>
      </c>
      <c r="CX3153" t="s">
        <v>1085</v>
      </c>
      <c r="CY3153">
        <v>2.62</v>
      </c>
      <c r="CZ3153">
        <v>0</v>
      </c>
      <c r="DA3153">
        <v>0.46</v>
      </c>
      <c r="DB3153">
        <v>0.9</v>
      </c>
      <c r="DC3153">
        <v>7.0000000000000007E-2</v>
      </c>
      <c r="DD3153">
        <v>68.19</v>
      </c>
      <c r="DE3153" t="s">
        <v>649</v>
      </c>
      <c r="DF3153">
        <v>48</v>
      </c>
      <c r="DG3153">
        <v>22.26</v>
      </c>
      <c r="DH3153">
        <v>17.399999999999999</v>
      </c>
      <c r="DI3153" t="s">
        <v>120</v>
      </c>
      <c r="DJ3153">
        <v>3438</v>
      </c>
      <c r="DK3153">
        <v>601010</v>
      </c>
      <c r="DL3153" t="s">
        <v>120</v>
      </c>
      <c r="DM3153" t="s">
        <v>120</v>
      </c>
      <c r="DN3153" t="s">
        <v>120</v>
      </c>
    </row>
    <row r="3154" spans="1:118">
      <c r="A3154" t="str">
        <f>"601011"</f>
        <v>601011</v>
      </c>
      <c r="B3154" t="s">
        <v>13651</v>
      </c>
      <c r="C3154">
        <v>-0.81</v>
      </c>
      <c r="D3154">
        <v>0.16</v>
      </c>
      <c r="E3154">
        <v>3.39</v>
      </c>
      <c r="F3154">
        <v>6052</v>
      </c>
      <c r="G3154" t="s">
        <v>5848</v>
      </c>
      <c r="H3154">
        <v>82149.09</v>
      </c>
      <c r="I3154">
        <v>1332.1</v>
      </c>
      <c r="J3154" t="s">
        <v>120</v>
      </c>
      <c r="K3154" t="s">
        <v>6074</v>
      </c>
      <c r="L3154">
        <v>8.1</v>
      </c>
      <c r="M3154">
        <v>6.14</v>
      </c>
      <c r="N3154">
        <v>1.27</v>
      </c>
      <c r="O3154">
        <v>5.17</v>
      </c>
      <c r="P3154">
        <v>6.51</v>
      </c>
      <c r="Q3154">
        <v>-1.1299999999999999</v>
      </c>
      <c r="R3154">
        <v>6.12</v>
      </c>
      <c r="S3154">
        <v>6.4</v>
      </c>
      <c r="T3154">
        <v>1300160</v>
      </c>
      <c r="U3154">
        <v>6.14</v>
      </c>
      <c r="V3154">
        <v>6.19</v>
      </c>
      <c r="W3154">
        <v>61.19</v>
      </c>
      <c r="X3154" t="s">
        <v>1754</v>
      </c>
      <c r="Y3154" t="s">
        <v>1686</v>
      </c>
      <c r="Z3154">
        <v>6.3</v>
      </c>
      <c r="AA3154">
        <v>6.32</v>
      </c>
      <c r="AB3154">
        <v>670115</v>
      </c>
      <c r="AC3154">
        <v>630045</v>
      </c>
      <c r="AD3154">
        <v>1.06</v>
      </c>
      <c r="AE3154">
        <v>3236</v>
      </c>
      <c r="AF3154">
        <v>876</v>
      </c>
      <c r="AG3154" t="s">
        <v>120</v>
      </c>
      <c r="AH3154">
        <v>0.21</v>
      </c>
      <c r="AI3154" t="s">
        <v>120</v>
      </c>
      <c r="AJ3154">
        <v>16.05</v>
      </c>
      <c r="AK3154" t="s">
        <v>6074</v>
      </c>
      <c r="AL3154">
        <v>0.54</v>
      </c>
      <c r="AM3154">
        <v>4600</v>
      </c>
      <c r="AN3154">
        <v>283</v>
      </c>
      <c r="AO3154">
        <v>1.8E-3</v>
      </c>
      <c r="AP3154">
        <v>-1</v>
      </c>
      <c r="AQ3154">
        <v>6.36</v>
      </c>
      <c r="AR3154">
        <v>2.34</v>
      </c>
      <c r="AS3154">
        <v>21.1</v>
      </c>
      <c r="AT3154">
        <v>46.89</v>
      </c>
      <c r="AU3154">
        <v>46.54</v>
      </c>
      <c r="AV3154">
        <v>5</v>
      </c>
      <c r="AW3154">
        <v>12.89</v>
      </c>
      <c r="AX3154">
        <v>62.83</v>
      </c>
      <c r="AY3154">
        <v>80.59</v>
      </c>
      <c r="AZ3154">
        <v>185.49</v>
      </c>
      <c r="BA3154">
        <v>0.84</v>
      </c>
      <c r="BB3154" t="s">
        <v>168</v>
      </c>
      <c r="BF3154">
        <v>2.0699999999999998</v>
      </c>
      <c r="BG3154">
        <v>-4.0599999999999996</v>
      </c>
      <c r="BH3154">
        <v>-5.68</v>
      </c>
      <c r="BI3154">
        <v>0.33</v>
      </c>
      <c r="BJ3154">
        <v>20210824</v>
      </c>
      <c r="BK3154">
        <v>20110309</v>
      </c>
      <c r="BL3154">
        <v>16.05</v>
      </c>
      <c r="BM3154" t="s">
        <v>120</v>
      </c>
      <c r="BN3154" t="s">
        <v>120</v>
      </c>
      <c r="BO3154">
        <v>117.25</v>
      </c>
      <c r="BP3154">
        <v>6.13</v>
      </c>
      <c r="BQ3154">
        <v>62.18</v>
      </c>
      <c r="BR3154">
        <v>6.51</v>
      </c>
      <c r="BS3154">
        <v>41.41</v>
      </c>
      <c r="BT3154">
        <v>17.97</v>
      </c>
      <c r="BU3154">
        <v>18.13</v>
      </c>
      <c r="BV3154">
        <v>17.36</v>
      </c>
      <c r="BW3154">
        <v>31.55</v>
      </c>
      <c r="BX3154">
        <v>2.39</v>
      </c>
      <c r="BY3154">
        <v>11.64</v>
      </c>
      <c r="BZ3154">
        <v>0.28000000000000003</v>
      </c>
      <c r="CA3154" t="s">
        <v>120</v>
      </c>
      <c r="CB3154">
        <v>32.020000000000003</v>
      </c>
      <c r="CC3154">
        <v>15.83</v>
      </c>
      <c r="CD3154">
        <v>13.23</v>
      </c>
      <c r="CE3154">
        <v>0.96</v>
      </c>
      <c r="CF3154">
        <v>-0.01</v>
      </c>
      <c r="CG3154">
        <v>0.96</v>
      </c>
      <c r="CH3154">
        <v>0.7</v>
      </c>
      <c r="CI3154">
        <v>0.81</v>
      </c>
      <c r="CJ3154">
        <v>-0.05</v>
      </c>
      <c r="CK3154">
        <v>0.77</v>
      </c>
      <c r="CL3154">
        <v>12.2</v>
      </c>
      <c r="CM3154">
        <v>1.48</v>
      </c>
      <c r="CN3154">
        <v>1.05</v>
      </c>
      <c r="CO3154">
        <v>94537</v>
      </c>
      <c r="CP3154">
        <v>10666</v>
      </c>
      <c r="CQ3154" t="s">
        <v>2543</v>
      </c>
      <c r="CR3154">
        <v>645.26</v>
      </c>
      <c r="CS3154">
        <v>36.1</v>
      </c>
      <c r="CT3154">
        <v>1.58</v>
      </c>
      <c r="CU3154">
        <v>66.760000000000005</v>
      </c>
      <c r="CV3154">
        <v>6.23</v>
      </c>
      <c r="CW3154">
        <v>0.81</v>
      </c>
      <c r="CX3154" t="s">
        <v>1248</v>
      </c>
      <c r="CY3154">
        <v>3.87</v>
      </c>
      <c r="CZ3154">
        <v>0</v>
      </c>
      <c r="DA3154">
        <v>2</v>
      </c>
      <c r="DB3154">
        <v>0.76</v>
      </c>
      <c r="DC3154">
        <v>0.09</v>
      </c>
      <c r="DD3154">
        <v>53.03</v>
      </c>
      <c r="DE3154" t="s">
        <v>4937</v>
      </c>
      <c r="DF3154">
        <v>16.39</v>
      </c>
      <c r="DG3154">
        <v>6.09</v>
      </c>
      <c r="DH3154">
        <v>5.09</v>
      </c>
      <c r="DI3154">
        <v>7.0000000000000007E-2</v>
      </c>
      <c r="DJ3154">
        <v>2450</v>
      </c>
      <c r="DK3154">
        <v>601011</v>
      </c>
      <c r="DL3154" t="s">
        <v>120</v>
      </c>
      <c r="DM3154" t="s">
        <v>120</v>
      </c>
      <c r="DN3154" t="s">
        <v>120</v>
      </c>
    </row>
    <row r="3155" spans="1:118">
      <c r="A3155" t="str">
        <f>"601012"</f>
        <v>601012</v>
      </c>
      <c r="B3155" t="s">
        <v>13652</v>
      </c>
      <c r="C3155">
        <v>-3.67</v>
      </c>
      <c r="D3155">
        <v>-0.04</v>
      </c>
      <c r="E3155">
        <v>1.07</v>
      </c>
      <c r="F3155">
        <v>15891</v>
      </c>
      <c r="G3155" t="s">
        <v>13653</v>
      </c>
      <c r="H3155">
        <v>657377.78</v>
      </c>
      <c r="I3155">
        <v>6408.38</v>
      </c>
      <c r="J3155" t="s">
        <v>120</v>
      </c>
      <c r="K3155" t="s">
        <v>13654</v>
      </c>
      <c r="L3155">
        <v>1.48</v>
      </c>
      <c r="M3155">
        <v>81.010000000000005</v>
      </c>
      <c r="N3155">
        <v>0.93</v>
      </c>
      <c r="O3155">
        <v>1.08</v>
      </c>
      <c r="P3155">
        <v>85.01</v>
      </c>
      <c r="Q3155">
        <v>-3.67</v>
      </c>
      <c r="R3155">
        <v>81.010000000000005</v>
      </c>
      <c r="S3155">
        <v>85</v>
      </c>
      <c r="T3155">
        <v>802577</v>
      </c>
      <c r="U3155">
        <v>81.010000000000005</v>
      </c>
      <c r="V3155">
        <v>84.1</v>
      </c>
      <c r="W3155">
        <v>43.91</v>
      </c>
      <c r="X3155" t="s">
        <v>394</v>
      </c>
      <c r="Y3155" t="s">
        <v>890</v>
      </c>
      <c r="Z3155">
        <v>4.76</v>
      </c>
      <c r="AA3155">
        <v>81.91</v>
      </c>
      <c r="AB3155">
        <v>424939</v>
      </c>
      <c r="AC3155">
        <v>377638</v>
      </c>
      <c r="AD3155">
        <v>1.1299999999999999</v>
      </c>
      <c r="AE3155">
        <v>16971</v>
      </c>
      <c r="AF3155">
        <v>833</v>
      </c>
      <c r="AG3155" t="s">
        <v>120</v>
      </c>
      <c r="AH3155">
        <v>0.02</v>
      </c>
      <c r="AI3155" t="s">
        <v>120</v>
      </c>
      <c r="AJ3155">
        <v>54.13</v>
      </c>
      <c r="AK3155" t="s">
        <v>13655</v>
      </c>
      <c r="AL3155">
        <v>-2.33</v>
      </c>
      <c r="AM3155">
        <v>4745</v>
      </c>
      <c r="AN3155">
        <v>169</v>
      </c>
      <c r="AO3155">
        <v>2.9999999999999997E-4</v>
      </c>
      <c r="AP3155">
        <v>-1</v>
      </c>
      <c r="AQ3155">
        <v>2.67</v>
      </c>
      <c r="AR3155">
        <v>-0.48</v>
      </c>
      <c r="AS3155">
        <v>0.78</v>
      </c>
      <c r="AT3155">
        <v>-3.73</v>
      </c>
      <c r="AU3155">
        <v>23.35</v>
      </c>
      <c r="AV3155">
        <v>2</v>
      </c>
      <c r="AW3155">
        <v>2.0299999999999998</v>
      </c>
      <c r="AX3155">
        <v>72.930000000000007</v>
      </c>
      <c r="AY3155">
        <v>48.28</v>
      </c>
      <c r="AZ3155">
        <v>53.23</v>
      </c>
      <c r="BA3155">
        <v>1.39</v>
      </c>
      <c r="BB3155" t="s">
        <v>143</v>
      </c>
      <c r="BF3155">
        <v>-2.61</v>
      </c>
      <c r="BG3155">
        <v>-4.6900000000000004</v>
      </c>
      <c r="BH3155">
        <v>-4.71</v>
      </c>
      <c r="BI3155">
        <v>0</v>
      </c>
      <c r="BJ3155">
        <v>20210831</v>
      </c>
      <c r="BK3155">
        <v>20120411</v>
      </c>
      <c r="BL3155">
        <v>54.13</v>
      </c>
      <c r="BM3155" t="s">
        <v>120</v>
      </c>
      <c r="BN3155" t="s">
        <v>120</v>
      </c>
      <c r="BO3155">
        <v>971.31</v>
      </c>
      <c r="BP3155">
        <v>81</v>
      </c>
      <c r="BQ3155">
        <v>434.11</v>
      </c>
      <c r="BR3155">
        <v>1.25</v>
      </c>
      <c r="BS3155">
        <v>55.18</v>
      </c>
      <c r="BT3155">
        <v>587.22</v>
      </c>
      <c r="BU3155">
        <v>243.82</v>
      </c>
      <c r="BV3155">
        <v>5.69</v>
      </c>
      <c r="BW3155">
        <v>463.76</v>
      </c>
      <c r="BX3155">
        <v>215.73</v>
      </c>
      <c r="BY3155">
        <v>175.12</v>
      </c>
      <c r="BZ3155">
        <v>92.77</v>
      </c>
      <c r="CA3155" t="s">
        <v>120</v>
      </c>
      <c r="CB3155">
        <v>138.43</v>
      </c>
      <c r="CC3155">
        <v>350.98</v>
      </c>
      <c r="CD3155">
        <v>271.20999999999998</v>
      </c>
      <c r="CE3155">
        <v>58.61</v>
      </c>
      <c r="CF3155">
        <v>3.85</v>
      </c>
      <c r="CG3155">
        <v>57.8</v>
      </c>
      <c r="CH3155">
        <v>49.92</v>
      </c>
      <c r="CI3155">
        <v>49.93</v>
      </c>
      <c r="CJ3155">
        <v>-3.09</v>
      </c>
      <c r="CK3155">
        <v>49.05</v>
      </c>
      <c r="CL3155">
        <v>233.8</v>
      </c>
      <c r="CM3155">
        <v>8.4700000000000006</v>
      </c>
      <c r="CN3155">
        <v>-59.74</v>
      </c>
      <c r="CO3155">
        <v>530017</v>
      </c>
      <c r="CP3155">
        <v>7448</v>
      </c>
      <c r="CQ3155" t="s">
        <v>13656</v>
      </c>
      <c r="CR3155">
        <v>21.3</v>
      </c>
      <c r="CS3155">
        <v>74.260000000000005</v>
      </c>
      <c r="CT3155">
        <v>10.1</v>
      </c>
      <c r="CU3155">
        <v>517.44000000000005</v>
      </c>
      <c r="CV3155">
        <v>12.49</v>
      </c>
      <c r="CW3155">
        <v>0.21</v>
      </c>
      <c r="CX3155" t="s">
        <v>2877</v>
      </c>
      <c r="CY3155">
        <v>8.02</v>
      </c>
      <c r="CZ3155">
        <v>0</v>
      </c>
      <c r="DA3155">
        <v>2.56</v>
      </c>
      <c r="DB3155">
        <v>4.32</v>
      </c>
      <c r="DC3155">
        <v>0.16</v>
      </c>
      <c r="DD3155">
        <v>44.69</v>
      </c>
      <c r="DE3155" t="s">
        <v>13657</v>
      </c>
      <c r="DF3155">
        <v>22.73</v>
      </c>
      <c r="DG3155">
        <v>16.7</v>
      </c>
      <c r="DH3155">
        <v>14.23</v>
      </c>
      <c r="DI3155">
        <v>3.54</v>
      </c>
      <c r="DJ3155">
        <v>46631</v>
      </c>
      <c r="DK3155">
        <v>601012</v>
      </c>
      <c r="DL3155">
        <v>20210830</v>
      </c>
      <c r="DM3155">
        <v>95.28</v>
      </c>
      <c r="DN3155">
        <v>-14.98</v>
      </c>
    </row>
    <row r="3156" spans="1:118">
      <c r="A3156" t="str">
        <f>"601015"</f>
        <v>601015</v>
      </c>
      <c r="B3156" t="s">
        <v>13658</v>
      </c>
      <c r="C3156">
        <v>1.99</v>
      </c>
      <c r="D3156">
        <v>0.1</v>
      </c>
      <c r="E3156">
        <v>3.68</v>
      </c>
      <c r="F3156">
        <v>13369</v>
      </c>
      <c r="G3156" t="s">
        <v>13659</v>
      </c>
      <c r="H3156">
        <v>172800.48</v>
      </c>
      <c r="I3156">
        <v>2293.44</v>
      </c>
      <c r="J3156" t="s">
        <v>120</v>
      </c>
      <c r="K3156" t="s">
        <v>13660</v>
      </c>
      <c r="L3156">
        <v>8.1199999999999992</v>
      </c>
      <c r="M3156">
        <v>10.25</v>
      </c>
      <c r="N3156">
        <v>1.02</v>
      </c>
      <c r="O3156">
        <v>6.77</v>
      </c>
      <c r="P3156">
        <v>10.73</v>
      </c>
      <c r="Q3156">
        <v>1.19</v>
      </c>
      <c r="R3156">
        <v>10.17</v>
      </c>
      <c r="S3156">
        <v>10.42</v>
      </c>
      <c r="T3156">
        <v>1659136</v>
      </c>
      <c r="U3156">
        <v>10.26</v>
      </c>
      <c r="V3156">
        <v>10.050000000000001</v>
      </c>
      <c r="W3156">
        <v>12.5</v>
      </c>
      <c r="X3156" t="s">
        <v>1754</v>
      </c>
      <c r="Y3156" t="s">
        <v>890</v>
      </c>
      <c r="Z3156">
        <v>5.57</v>
      </c>
      <c r="AA3156">
        <v>10.42</v>
      </c>
      <c r="AB3156">
        <v>804687</v>
      </c>
      <c r="AC3156">
        <v>854449</v>
      </c>
      <c r="AD3156">
        <v>0.94</v>
      </c>
      <c r="AE3156">
        <v>2203</v>
      </c>
      <c r="AF3156">
        <v>654</v>
      </c>
      <c r="AG3156" t="s">
        <v>120</v>
      </c>
      <c r="AH3156">
        <v>0.32</v>
      </c>
      <c r="AI3156" t="s">
        <v>120</v>
      </c>
      <c r="AJ3156">
        <v>20.420000000000002</v>
      </c>
      <c r="AK3156" t="s">
        <v>13660</v>
      </c>
      <c r="AL3156">
        <v>3.33</v>
      </c>
      <c r="AM3156">
        <v>4719</v>
      </c>
      <c r="AN3156">
        <v>352</v>
      </c>
      <c r="AO3156">
        <v>1.6999999999999999E-3</v>
      </c>
      <c r="AP3156">
        <v>2</v>
      </c>
      <c r="AQ3156">
        <v>2.76</v>
      </c>
      <c r="AR3156">
        <v>-1.91</v>
      </c>
      <c r="AS3156">
        <v>9.6300000000000008</v>
      </c>
      <c r="AT3156">
        <v>14.1</v>
      </c>
      <c r="AU3156">
        <v>156.30000000000001</v>
      </c>
      <c r="AV3156">
        <v>28</v>
      </c>
      <c r="AW3156">
        <v>24.27</v>
      </c>
      <c r="AX3156">
        <v>33.47</v>
      </c>
      <c r="AY3156">
        <v>16.920000000000002</v>
      </c>
      <c r="AZ3156">
        <v>73.8</v>
      </c>
      <c r="BA3156">
        <v>1.35</v>
      </c>
      <c r="BB3156" t="s">
        <v>143</v>
      </c>
      <c r="BF3156">
        <v>3.63</v>
      </c>
      <c r="BG3156">
        <v>-1.63</v>
      </c>
      <c r="BH3156">
        <v>-4.47</v>
      </c>
      <c r="BI3156">
        <v>0.79</v>
      </c>
      <c r="BJ3156">
        <v>20210819</v>
      </c>
      <c r="BK3156">
        <v>20141105</v>
      </c>
      <c r="BL3156">
        <v>20.420000000000002</v>
      </c>
      <c r="BM3156" t="s">
        <v>120</v>
      </c>
      <c r="BN3156" t="s">
        <v>120</v>
      </c>
      <c r="BO3156">
        <v>185.17</v>
      </c>
      <c r="BP3156">
        <v>10.25</v>
      </c>
      <c r="BQ3156">
        <v>64.66</v>
      </c>
      <c r="BR3156">
        <v>21.77</v>
      </c>
      <c r="BS3156">
        <v>53.33</v>
      </c>
      <c r="BT3156">
        <v>58.01</v>
      </c>
      <c r="BU3156">
        <v>68.739999999999995</v>
      </c>
      <c r="BV3156">
        <v>6.88</v>
      </c>
      <c r="BW3156">
        <v>80.17</v>
      </c>
      <c r="BX3156">
        <v>22.51</v>
      </c>
      <c r="BY3156">
        <v>11.27</v>
      </c>
      <c r="BZ3156">
        <v>5.7</v>
      </c>
      <c r="CA3156" t="s">
        <v>120</v>
      </c>
      <c r="CB3156">
        <v>24.81</v>
      </c>
      <c r="CC3156">
        <v>91.27</v>
      </c>
      <c r="CD3156">
        <v>77.94</v>
      </c>
      <c r="CE3156">
        <v>12.04</v>
      </c>
      <c r="CF3156">
        <v>1.68</v>
      </c>
      <c r="CG3156">
        <v>12.04</v>
      </c>
      <c r="CH3156">
        <v>10.86</v>
      </c>
      <c r="CI3156">
        <v>8.3800000000000008</v>
      </c>
      <c r="CJ3156">
        <v>0.2</v>
      </c>
      <c r="CK3156">
        <v>8.34</v>
      </c>
      <c r="CL3156">
        <v>21.59</v>
      </c>
      <c r="CM3156">
        <v>-1.53</v>
      </c>
      <c r="CN3156">
        <v>1.75</v>
      </c>
      <c r="CO3156">
        <v>108316</v>
      </c>
      <c r="CP3156">
        <v>6312</v>
      </c>
      <c r="CQ3156" t="s">
        <v>1737</v>
      </c>
      <c r="CR3156">
        <v>962.86</v>
      </c>
      <c r="CS3156">
        <v>165.19</v>
      </c>
      <c r="CT3156">
        <v>2.58</v>
      </c>
      <c r="CU3156">
        <v>-136.94</v>
      </c>
      <c r="CV3156">
        <v>2.29</v>
      </c>
      <c r="CW3156">
        <v>0.4</v>
      </c>
      <c r="CX3156" t="s">
        <v>1001</v>
      </c>
      <c r="CY3156">
        <v>3.97</v>
      </c>
      <c r="CZ3156">
        <v>3.97</v>
      </c>
      <c r="DA3156">
        <v>1.21</v>
      </c>
      <c r="DB3156">
        <v>1.06</v>
      </c>
      <c r="DC3156">
        <v>-7.0000000000000007E-2</v>
      </c>
      <c r="DD3156">
        <v>34.92</v>
      </c>
      <c r="DE3156" t="s">
        <v>11117</v>
      </c>
      <c r="DF3156">
        <v>14.61</v>
      </c>
      <c r="DG3156">
        <v>13.2</v>
      </c>
      <c r="DH3156">
        <v>9.18</v>
      </c>
      <c r="DI3156" t="s">
        <v>120</v>
      </c>
      <c r="DJ3156">
        <v>7123</v>
      </c>
      <c r="DK3156">
        <v>601015</v>
      </c>
      <c r="DL3156" t="s">
        <v>120</v>
      </c>
      <c r="DM3156" t="s">
        <v>120</v>
      </c>
      <c r="DN3156" t="s">
        <v>120</v>
      </c>
    </row>
    <row r="3157" spans="1:118">
      <c r="A3157" t="str">
        <f>"601016"</f>
        <v>601016</v>
      </c>
      <c r="B3157" t="s">
        <v>13661</v>
      </c>
      <c r="C3157">
        <v>2.64</v>
      </c>
      <c r="D3157">
        <v>0.86</v>
      </c>
      <c r="E3157">
        <v>3.51</v>
      </c>
      <c r="F3157">
        <v>58214</v>
      </c>
      <c r="G3157" t="s">
        <v>13662</v>
      </c>
      <c r="H3157">
        <v>299669.37</v>
      </c>
      <c r="I3157">
        <v>6055.21</v>
      </c>
      <c r="J3157" t="s">
        <v>120</v>
      </c>
      <c r="K3157" t="s">
        <v>13662</v>
      </c>
      <c r="L3157">
        <v>11.42</v>
      </c>
      <c r="M3157">
        <v>5.84</v>
      </c>
      <c r="N3157">
        <v>1.74</v>
      </c>
      <c r="O3157">
        <v>6.33</v>
      </c>
      <c r="P3157">
        <v>6.05</v>
      </c>
      <c r="Q3157">
        <v>-0.53</v>
      </c>
      <c r="R3157">
        <v>5.66</v>
      </c>
      <c r="S3157">
        <v>5.89</v>
      </c>
      <c r="T3157">
        <v>5118232</v>
      </c>
      <c r="U3157">
        <v>5.85</v>
      </c>
      <c r="V3157">
        <v>5.69</v>
      </c>
      <c r="W3157">
        <v>24.95</v>
      </c>
      <c r="X3157" t="s">
        <v>356</v>
      </c>
      <c r="Y3157" t="s">
        <v>158</v>
      </c>
      <c r="Z3157">
        <v>6.85</v>
      </c>
      <c r="AA3157">
        <v>5.85</v>
      </c>
      <c r="AB3157">
        <v>2477351</v>
      </c>
      <c r="AC3157">
        <v>2640881</v>
      </c>
      <c r="AD3157">
        <v>0.94</v>
      </c>
      <c r="AE3157">
        <v>635</v>
      </c>
      <c r="AF3157">
        <v>6480</v>
      </c>
      <c r="AG3157" t="s">
        <v>120</v>
      </c>
      <c r="AH3157">
        <v>0.23</v>
      </c>
      <c r="AI3157" t="s">
        <v>120</v>
      </c>
      <c r="AJ3157">
        <v>44.8</v>
      </c>
      <c r="AK3157" t="s">
        <v>3567</v>
      </c>
      <c r="AL3157">
        <v>3.98</v>
      </c>
      <c r="AM3157">
        <v>4744</v>
      </c>
      <c r="AN3157">
        <v>1079</v>
      </c>
      <c r="AO3157">
        <v>2.3999999999999998E-3</v>
      </c>
      <c r="AP3157">
        <v>2</v>
      </c>
      <c r="AQ3157">
        <v>10.06</v>
      </c>
      <c r="AR3157">
        <v>10.61</v>
      </c>
      <c r="AS3157">
        <v>36.770000000000003</v>
      </c>
      <c r="AT3157">
        <v>47.85</v>
      </c>
      <c r="AU3157">
        <v>72.47</v>
      </c>
      <c r="AV3157">
        <v>10</v>
      </c>
      <c r="AW3157">
        <v>11.42</v>
      </c>
      <c r="AX3157">
        <v>89.38</v>
      </c>
      <c r="AY3157">
        <v>34.22</v>
      </c>
      <c r="AZ3157">
        <v>46.16</v>
      </c>
      <c r="BA3157">
        <v>0.78</v>
      </c>
      <c r="BB3157" t="s">
        <v>168</v>
      </c>
      <c r="BF3157">
        <v>2.9</v>
      </c>
      <c r="BG3157">
        <v>-0.85</v>
      </c>
      <c r="BH3157">
        <v>-3.47</v>
      </c>
      <c r="BI3157">
        <v>3.18</v>
      </c>
      <c r="BJ3157">
        <v>20210827</v>
      </c>
      <c r="BK3157">
        <v>20140929</v>
      </c>
      <c r="BL3157">
        <v>50.13</v>
      </c>
      <c r="BM3157" t="s">
        <v>120</v>
      </c>
      <c r="BN3157" t="s">
        <v>120</v>
      </c>
      <c r="BO3157">
        <v>394.65</v>
      </c>
      <c r="BP3157">
        <v>5.84</v>
      </c>
      <c r="BQ3157">
        <v>104.91</v>
      </c>
      <c r="BR3157">
        <v>7.29</v>
      </c>
      <c r="BS3157">
        <v>71.569999999999993</v>
      </c>
      <c r="BT3157">
        <v>94.26</v>
      </c>
      <c r="BU3157">
        <v>176.21</v>
      </c>
      <c r="BV3157">
        <v>2.25</v>
      </c>
      <c r="BW3157">
        <v>58.07</v>
      </c>
      <c r="BX3157">
        <v>42.09</v>
      </c>
      <c r="BY3157">
        <v>1.36</v>
      </c>
      <c r="BZ3157">
        <v>44.74</v>
      </c>
      <c r="CA3157">
        <v>0.03</v>
      </c>
      <c r="CB3157">
        <v>24.23</v>
      </c>
      <c r="CC3157">
        <v>17.95</v>
      </c>
      <c r="CD3157">
        <v>7.04</v>
      </c>
      <c r="CE3157">
        <v>7.31</v>
      </c>
      <c r="CF3157">
        <v>0</v>
      </c>
      <c r="CG3157">
        <v>7.35</v>
      </c>
      <c r="CH3157">
        <v>6.32</v>
      </c>
      <c r="CI3157">
        <v>5.87</v>
      </c>
      <c r="CJ3157">
        <v>0.15</v>
      </c>
      <c r="CK3157">
        <v>5.76</v>
      </c>
      <c r="CL3157">
        <v>25.88</v>
      </c>
      <c r="CM3157">
        <v>8.15</v>
      </c>
      <c r="CN3157">
        <v>20.97</v>
      </c>
      <c r="CO3157">
        <v>197871</v>
      </c>
      <c r="CP3157">
        <v>22643</v>
      </c>
      <c r="CQ3157" t="s">
        <v>8345</v>
      </c>
      <c r="CR3157">
        <v>58.09</v>
      </c>
      <c r="CS3157">
        <v>32.380000000000003</v>
      </c>
      <c r="CT3157">
        <v>2.87</v>
      </c>
      <c r="CU3157">
        <v>35.92</v>
      </c>
      <c r="CV3157">
        <v>16.309999999999999</v>
      </c>
      <c r="CW3157">
        <v>0.77</v>
      </c>
      <c r="CX3157" t="s">
        <v>4897</v>
      </c>
      <c r="CY3157">
        <v>2.0299999999999998</v>
      </c>
      <c r="CZ3157">
        <v>2.0299999999999998</v>
      </c>
      <c r="DA3157">
        <v>0.48</v>
      </c>
      <c r="DB3157">
        <v>0.52</v>
      </c>
      <c r="DC3157">
        <v>0.16</v>
      </c>
      <c r="DD3157">
        <v>26.58</v>
      </c>
      <c r="DE3157" t="s">
        <v>7117</v>
      </c>
      <c r="DF3157">
        <v>60.8</v>
      </c>
      <c r="DG3157">
        <v>40.71</v>
      </c>
      <c r="DH3157">
        <v>32.69</v>
      </c>
      <c r="DI3157">
        <v>0.06</v>
      </c>
      <c r="DJ3157">
        <v>929</v>
      </c>
      <c r="DK3157">
        <v>601016</v>
      </c>
      <c r="DL3157">
        <v>20210915</v>
      </c>
      <c r="DM3157">
        <v>5.69</v>
      </c>
      <c r="DN3157">
        <v>2.64</v>
      </c>
    </row>
    <row r="3158" spans="1:118">
      <c r="A3158" t="str">
        <f>"601018"</f>
        <v>601018</v>
      </c>
      <c r="B3158" t="s">
        <v>13663</v>
      </c>
      <c r="C3158">
        <v>-0.97</v>
      </c>
      <c r="D3158">
        <v>-0.23</v>
      </c>
      <c r="E3158">
        <v>0</v>
      </c>
      <c r="F3158">
        <v>10376</v>
      </c>
      <c r="G3158" t="s">
        <v>13664</v>
      </c>
      <c r="H3158">
        <v>9117.35</v>
      </c>
      <c r="I3158">
        <v>55.76</v>
      </c>
      <c r="J3158" t="s">
        <v>120</v>
      </c>
      <c r="K3158" t="s">
        <v>13665</v>
      </c>
      <c r="L3158">
        <v>0.17</v>
      </c>
      <c r="M3158">
        <v>4.09</v>
      </c>
      <c r="N3158">
        <v>0.62</v>
      </c>
      <c r="O3158">
        <v>1.94</v>
      </c>
      <c r="P3158">
        <v>4.21</v>
      </c>
      <c r="Q3158">
        <v>-0.97</v>
      </c>
      <c r="R3158">
        <v>4.09</v>
      </c>
      <c r="S3158">
        <v>4.13</v>
      </c>
      <c r="T3158">
        <v>220026</v>
      </c>
      <c r="U3158">
        <v>4.0999999999999996</v>
      </c>
      <c r="V3158">
        <v>4.13</v>
      </c>
      <c r="W3158">
        <v>14.37</v>
      </c>
      <c r="X3158" t="s">
        <v>511</v>
      </c>
      <c r="Y3158" t="s">
        <v>585</v>
      </c>
      <c r="Z3158">
        <v>2.91</v>
      </c>
      <c r="AA3158">
        <v>4.1399999999999997</v>
      </c>
      <c r="AB3158">
        <v>112137</v>
      </c>
      <c r="AC3158">
        <v>107889</v>
      </c>
      <c r="AD3158">
        <v>1.04</v>
      </c>
      <c r="AE3158">
        <v>2608</v>
      </c>
      <c r="AF3158">
        <v>212</v>
      </c>
      <c r="AG3158" t="s">
        <v>120</v>
      </c>
      <c r="AH3158">
        <v>0.01</v>
      </c>
      <c r="AI3158" t="s">
        <v>120</v>
      </c>
      <c r="AJ3158">
        <v>131.72999999999999</v>
      </c>
      <c r="AK3158" t="s">
        <v>13666</v>
      </c>
      <c r="AL3158">
        <v>0.38</v>
      </c>
      <c r="AM3158">
        <v>2929</v>
      </c>
      <c r="AN3158">
        <v>75</v>
      </c>
      <c r="AO3158">
        <v>1E-4</v>
      </c>
      <c r="AP3158">
        <v>-3</v>
      </c>
      <c r="AQ3158">
        <v>-0.72</v>
      </c>
      <c r="AR3158">
        <v>-3.3</v>
      </c>
      <c r="AS3158">
        <v>11.44</v>
      </c>
      <c r="AT3158">
        <v>1.79</v>
      </c>
      <c r="AU3158">
        <v>6.57</v>
      </c>
      <c r="AV3158">
        <v>1</v>
      </c>
      <c r="AW3158">
        <v>0.97</v>
      </c>
      <c r="AX3158">
        <v>14.41</v>
      </c>
      <c r="AY3158">
        <v>16.25</v>
      </c>
      <c r="AZ3158">
        <v>19.03</v>
      </c>
      <c r="BA3158">
        <v>0.48</v>
      </c>
      <c r="BB3158" t="s">
        <v>143</v>
      </c>
      <c r="BF3158">
        <v>0.33</v>
      </c>
      <c r="BG3158">
        <v>-0.97</v>
      </c>
      <c r="BH3158">
        <v>-2.85</v>
      </c>
      <c r="BI3158">
        <v>0</v>
      </c>
      <c r="BJ3158">
        <v>20210830</v>
      </c>
      <c r="BK3158">
        <v>20100928</v>
      </c>
      <c r="BL3158">
        <v>158.07</v>
      </c>
      <c r="BM3158" t="s">
        <v>120</v>
      </c>
      <c r="BN3158" t="s">
        <v>120</v>
      </c>
      <c r="BO3158">
        <v>945.3</v>
      </c>
      <c r="BP3158">
        <v>4.09</v>
      </c>
      <c r="BQ3158">
        <v>525.91999999999996</v>
      </c>
      <c r="BR3158">
        <v>41.03</v>
      </c>
      <c r="BS3158">
        <v>40.020000000000003</v>
      </c>
      <c r="BT3158">
        <v>229.23</v>
      </c>
      <c r="BU3158">
        <v>385.75</v>
      </c>
      <c r="BV3158">
        <v>84.74</v>
      </c>
      <c r="BW3158">
        <v>218.66</v>
      </c>
      <c r="BX3158">
        <v>122.44</v>
      </c>
      <c r="BY3158">
        <v>10.55</v>
      </c>
      <c r="BZ3158">
        <v>31.05</v>
      </c>
      <c r="CA3158">
        <v>0.5</v>
      </c>
      <c r="CB3158">
        <v>159.22</v>
      </c>
      <c r="CC3158">
        <v>108.64</v>
      </c>
      <c r="CD3158">
        <v>70.180000000000007</v>
      </c>
      <c r="CE3158">
        <v>31.43</v>
      </c>
      <c r="CF3158">
        <v>5.82</v>
      </c>
      <c r="CG3158">
        <v>31.73</v>
      </c>
      <c r="CH3158">
        <v>24.86</v>
      </c>
      <c r="CI3158">
        <v>22.5</v>
      </c>
      <c r="CJ3158">
        <v>-0.04</v>
      </c>
      <c r="CK3158">
        <v>19.75</v>
      </c>
      <c r="CL3158">
        <v>172.76</v>
      </c>
      <c r="CM3158">
        <v>37.17</v>
      </c>
      <c r="CN3158">
        <v>23.82</v>
      </c>
      <c r="CO3158">
        <v>162706</v>
      </c>
      <c r="CP3158">
        <v>13999</v>
      </c>
      <c r="CQ3158" t="s">
        <v>1461</v>
      </c>
      <c r="CR3158">
        <v>35.36</v>
      </c>
      <c r="CS3158">
        <v>22.11</v>
      </c>
      <c r="CT3158">
        <v>1.23</v>
      </c>
      <c r="CU3158">
        <v>17.39</v>
      </c>
      <c r="CV3158">
        <v>5.95</v>
      </c>
      <c r="CW3158">
        <v>1.99</v>
      </c>
      <c r="CX3158" t="s">
        <v>300</v>
      </c>
      <c r="CY3158">
        <v>3.33</v>
      </c>
      <c r="CZ3158">
        <v>3.33</v>
      </c>
      <c r="DA3158">
        <v>1.01</v>
      </c>
      <c r="DB3158">
        <v>1.0900000000000001</v>
      </c>
      <c r="DC3158">
        <v>0.24</v>
      </c>
      <c r="DD3158">
        <v>55.63</v>
      </c>
      <c r="DE3158" t="s">
        <v>5343</v>
      </c>
      <c r="DF3158">
        <v>35.4</v>
      </c>
      <c r="DG3158">
        <v>28.93</v>
      </c>
      <c r="DH3158">
        <v>20.71</v>
      </c>
      <c r="DI3158">
        <v>0.37</v>
      </c>
      <c r="DJ3158">
        <v>17790</v>
      </c>
      <c r="DK3158">
        <v>601018</v>
      </c>
      <c r="DL3158" t="s">
        <v>120</v>
      </c>
      <c r="DM3158" t="s">
        <v>120</v>
      </c>
      <c r="DN3158" t="s">
        <v>120</v>
      </c>
    </row>
    <row r="3159" spans="1:118">
      <c r="A3159" t="str">
        <f>"601019"</f>
        <v>601019</v>
      </c>
      <c r="B3159" t="s">
        <v>13667</v>
      </c>
      <c r="C3159">
        <v>-1.24</v>
      </c>
      <c r="D3159">
        <v>-0.92</v>
      </c>
      <c r="E3159">
        <v>1.55</v>
      </c>
      <c r="F3159">
        <v>11580</v>
      </c>
      <c r="G3159" t="s">
        <v>538</v>
      </c>
      <c r="H3159">
        <v>5891.91</v>
      </c>
      <c r="I3159">
        <v>36.14</v>
      </c>
      <c r="J3159" t="s">
        <v>120</v>
      </c>
      <c r="K3159" t="s">
        <v>13668</v>
      </c>
      <c r="L3159">
        <v>0.44</v>
      </c>
      <c r="M3159">
        <v>6.39</v>
      </c>
      <c r="N3159">
        <v>0.84</v>
      </c>
      <c r="O3159">
        <v>2.16</v>
      </c>
      <c r="P3159">
        <v>6.61</v>
      </c>
      <c r="Q3159">
        <v>-1.24</v>
      </c>
      <c r="R3159">
        <v>6.39</v>
      </c>
      <c r="S3159">
        <v>6.57</v>
      </c>
      <c r="T3159">
        <v>90832</v>
      </c>
      <c r="U3159">
        <v>6.39</v>
      </c>
      <c r="V3159">
        <v>6.47</v>
      </c>
      <c r="W3159">
        <v>8.26</v>
      </c>
      <c r="X3159" t="s">
        <v>1730</v>
      </c>
      <c r="Y3159" t="s">
        <v>638</v>
      </c>
      <c r="Z3159">
        <v>3.4</v>
      </c>
      <c r="AA3159">
        <v>6.49</v>
      </c>
      <c r="AB3159">
        <v>43800</v>
      </c>
      <c r="AC3159">
        <v>47032</v>
      </c>
      <c r="AD3159">
        <v>0.93</v>
      </c>
      <c r="AE3159">
        <v>734</v>
      </c>
      <c r="AF3159">
        <v>8826</v>
      </c>
      <c r="AG3159" t="s">
        <v>120</v>
      </c>
      <c r="AH3159">
        <v>0.01</v>
      </c>
      <c r="AI3159" t="s">
        <v>120</v>
      </c>
      <c r="AJ3159">
        <v>20.87</v>
      </c>
      <c r="AK3159" t="s">
        <v>13668</v>
      </c>
      <c r="AL3159">
        <v>0.11</v>
      </c>
      <c r="AM3159">
        <v>3490</v>
      </c>
      <c r="AN3159">
        <v>26</v>
      </c>
      <c r="AO3159">
        <v>1E-4</v>
      </c>
      <c r="AP3159">
        <v>-1</v>
      </c>
      <c r="AQ3159">
        <v>1.0900000000000001</v>
      </c>
      <c r="AR3159">
        <v>-3.04</v>
      </c>
      <c r="AS3159">
        <v>20.8</v>
      </c>
      <c r="AT3159">
        <v>10.17</v>
      </c>
      <c r="AU3159">
        <v>19.89</v>
      </c>
      <c r="AV3159">
        <v>0</v>
      </c>
      <c r="AW3159">
        <v>2.0099999999999998</v>
      </c>
      <c r="AX3159">
        <v>21.62</v>
      </c>
      <c r="AY3159">
        <v>7.69</v>
      </c>
      <c r="AZ3159">
        <v>9.6300000000000008</v>
      </c>
      <c r="BA3159">
        <v>0.78</v>
      </c>
      <c r="BB3159" t="s">
        <v>143</v>
      </c>
      <c r="BF3159">
        <v>0.26</v>
      </c>
      <c r="BG3159">
        <v>-2.74</v>
      </c>
      <c r="BH3159">
        <v>-3.33</v>
      </c>
      <c r="BI3159">
        <v>0</v>
      </c>
      <c r="BJ3159">
        <v>20210830</v>
      </c>
      <c r="BK3159">
        <v>20171122</v>
      </c>
      <c r="BL3159">
        <v>20.87</v>
      </c>
      <c r="BM3159" t="s">
        <v>120</v>
      </c>
      <c r="BN3159" t="s">
        <v>120</v>
      </c>
      <c r="BO3159">
        <v>179.01</v>
      </c>
      <c r="BP3159">
        <v>6.38</v>
      </c>
      <c r="BQ3159">
        <v>116.53</v>
      </c>
      <c r="BR3159">
        <v>-7.0000000000000007E-2</v>
      </c>
      <c r="BS3159">
        <v>34.94</v>
      </c>
      <c r="BT3159">
        <v>125.34</v>
      </c>
      <c r="BU3159">
        <v>21.73</v>
      </c>
      <c r="BV3159">
        <v>7.28</v>
      </c>
      <c r="BW3159">
        <v>48.85</v>
      </c>
      <c r="BX3159">
        <v>63.14</v>
      </c>
      <c r="BY3159">
        <v>17.84</v>
      </c>
      <c r="BZ3159">
        <v>18</v>
      </c>
      <c r="CA3159">
        <v>0.16</v>
      </c>
      <c r="CB3159">
        <v>21.86</v>
      </c>
      <c r="CC3159">
        <v>46.88</v>
      </c>
      <c r="CD3159">
        <v>28.29</v>
      </c>
      <c r="CE3159">
        <v>8.08</v>
      </c>
      <c r="CF3159">
        <v>7.0000000000000007E-2</v>
      </c>
      <c r="CG3159">
        <v>8.11</v>
      </c>
      <c r="CH3159">
        <v>8.07</v>
      </c>
      <c r="CI3159">
        <v>8.07</v>
      </c>
      <c r="CJ3159">
        <v>-0.08</v>
      </c>
      <c r="CK3159">
        <v>7.5</v>
      </c>
      <c r="CL3159">
        <v>68.39</v>
      </c>
      <c r="CM3159">
        <v>6.19</v>
      </c>
      <c r="CN3159">
        <v>-3.7</v>
      </c>
      <c r="CO3159">
        <v>47560</v>
      </c>
      <c r="CP3159">
        <v>9488</v>
      </c>
      <c r="CQ3159" t="s">
        <v>1023</v>
      </c>
      <c r="CR3159">
        <v>78.55</v>
      </c>
      <c r="CS3159">
        <v>22.96</v>
      </c>
      <c r="CT3159">
        <v>1.1399999999999999</v>
      </c>
      <c r="CU3159">
        <v>21.56</v>
      </c>
      <c r="CV3159">
        <v>2.84</v>
      </c>
      <c r="CW3159">
        <v>4.95</v>
      </c>
      <c r="CX3159" t="s">
        <v>1980</v>
      </c>
      <c r="CY3159">
        <v>5.58</v>
      </c>
      <c r="CZ3159">
        <v>0</v>
      </c>
      <c r="DA3159">
        <v>1.05</v>
      </c>
      <c r="DB3159">
        <v>3.28</v>
      </c>
      <c r="DC3159">
        <v>0.3</v>
      </c>
      <c r="DD3159">
        <v>65.099999999999994</v>
      </c>
      <c r="DE3159" t="s">
        <v>11385</v>
      </c>
      <c r="DF3159">
        <v>39.67</v>
      </c>
      <c r="DG3159">
        <v>17.239999999999998</v>
      </c>
      <c r="DH3159">
        <v>17.21</v>
      </c>
      <c r="DI3159" t="s">
        <v>120</v>
      </c>
      <c r="DJ3159">
        <v>10165</v>
      </c>
      <c r="DK3159">
        <v>601019</v>
      </c>
      <c r="DL3159" t="s">
        <v>120</v>
      </c>
      <c r="DM3159" t="s">
        <v>120</v>
      </c>
      <c r="DN3159" t="s">
        <v>120</v>
      </c>
    </row>
    <row r="3160" spans="1:118">
      <c r="A3160" t="str">
        <f>"601021"</f>
        <v>601021</v>
      </c>
      <c r="B3160" t="s">
        <v>13669</v>
      </c>
      <c r="C3160">
        <v>-1.46</v>
      </c>
      <c r="D3160">
        <v>-0.63</v>
      </c>
      <c r="E3160">
        <v>-0.45</v>
      </c>
      <c r="F3160">
        <v>1267</v>
      </c>
      <c r="G3160" t="s">
        <v>13670</v>
      </c>
      <c r="H3160">
        <v>19349.05</v>
      </c>
      <c r="I3160">
        <v>116.51</v>
      </c>
      <c r="J3160" t="s">
        <v>120</v>
      </c>
      <c r="K3160" t="s">
        <v>13671</v>
      </c>
      <c r="L3160">
        <v>0.39</v>
      </c>
      <c r="M3160">
        <v>54.15</v>
      </c>
      <c r="N3160">
        <v>0.86</v>
      </c>
      <c r="O3160">
        <v>0.55000000000000004</v>
      </c>
      <c r="P3160">
        <v>55.25</v>
      </c>
      <c r="Q3160">
        <v>-2.64</v>
      </c>
      <c r="R3160">
        <v>53.5</v>
      </c>
      <c r="S3160">
        <v>54.7</v>
      </c>
      <c r="T3160">
        <v>35599</v>
      </c>
      <c r="U3160">
        <v>54.5</v>
      </c>
      <c r="V3160">
        <v>54.95</v>
      </c>
      <c r="W3160">
        <v>2384.2600000000002</v>
      </c>
      <c r="X3160" t="s">
        <v>540</v>
      </c>
      <c r="Y3160" t="s">
        <v>1510</v>
      </c>
      <c r="Z3160">
        <v>3.18</v>
      </c>
      <c r="AA3160">
        <v>54.35</v>
      </c>
      <c r="AB3160">
        <v>20183</v>
      </c>
      <c r="AC3160">
        <v>15416</v>
      </c>
      <c r="AD3160">
        <v>1.31</v>
      </c>
      <c r="AE3160">
        <v>268</v>
      </c>
      <c r="AF3160">
        <v>1</v>
      </c>
      <c r="AG3160" t="s">
        <v>120</v>
      </c>
      <c r="AH3160">
        <v>0.01</v>
      </c>
      <c r="AI3160" t="s">
        <v>120</v>
      </c>
      <c r="AJ3160">
        <v>9.16</v>
      </c>
      <c r="AK3160" t="s">
        <v>13671</v>
      </c>
      <c r="AL3160">
        <v>-0.11</v>
      </c>
      <c r="AM3160">
        <v>2809</v>
      </c>
      <c r="AN3160">
        <v>13</v>
      </c>
      <c r="AO3160">
        <v>1E-4</v>
      </c>
      <c r="AP3160">
        <v>-1</v>
      </c>
      <c r="AQ3160">
        <v>1.1000000000000001</v>
      </c>
      <c r="AR3160">
        <v>-2.52</v>
      </c>
      <c r="AS3160">
        <v>4.8600000000000003</v>
      </c>
      <c r="AT3160">
        <v>-4.8499999999999996</v>
      </c>
      <c r="AU3160">
        <v>-2.31</v>
      </c>
      <c r="AV3160">
        <v>1</v>
      </c>
      <c r="AW3160">
        <v>1.05</v>
      </c>
      <c r="AX3160">
        <v>37.1</v>
      </c>
      <c r="AY3160" t="s">
        <v>120</v>
      </c>
      <c r="AZ3160" t="s">
        <v>120</v>
      </c>
      <c r="BA3160">
        <v>0.28000000000000003</v>
      </c>
      <c r="BB3160" t="s">
        <v>240</v>
      </c>
      <c r="BF3160">
        <v>-1.0900000000000001</v>
      </c>
      <c r="BG3160">
        <v>-1.01</v>
      </c>
      <c r="BH3160">
        <v>-1.99</v>
      </c>
      <c r="BI3160">
        <v>1.21</v>
      </c>
      <c r="BJ3160">
        <v>20210831</v>
      </c>
      <c r="BK3160">
        <v>20150121</v>
      </c>
      <c r="BL3160">
        <v>9.16</v>
      </c>
      <c r="BM3160" t="s">
        <v>120</v>
      </c>
      <c r="BN3160" t="s">
        <v>120</v>
      </c>
      <c r="BO3160">
        <v>392.95</v>
      </c>
      <c r="BP3160">
        <v>54.15</v>
      </c>
      <c r="BQ3160">
        <v>136.36000000000001</v>
      </c>
      <c r="BR3160">
        <v>-0.01</v>
      </c>
      <c r="BS3160">
        <v>65.3</v>
      </c>
      <c r="BT3160">
        <v>112.39</v>
      </c>
      <c r="BU3160">
        <v>148.35</v>
      </c>
      <c r="BV3160">
        <v>7.78</v>
      </c>
      <c r="BW3160">
        <v>114.29</v>
      </c>
      <c r="BX3160">
        <v>96.69</v>
      </c>
      <c r="BY3160">
        <v>2.29</v>
      </c>
      <c r="BZ3160">
        <v>0.9</v>
      </c>
      <c r="CA3160" t="s">
        <v>120</v>
      </c>
      <c r="CB3160">
        <v>48.84</v>
      </c>
      <c r="CC3160">
        <v>54.54</v>
      </c>
      <c r="CD3160">
        <v>56.77</v>
      </c>
      <c r="CE3160">
        <v>0.01</v>
      </c>
      <c r="CF3160">
        <v>-0.03</v>
      </c>
      <c r="CG3160">
        <v>0.06</v>
      </c>
      <c r="CH3160">
        <v>0.09</v>
      </c>
      <c r="CI3160">
        <v>0.1</v>
      </c>
      <c r="CJ3160">
        <v>-0.8</v>
      </c>
      <c r="CK3160">
        <v>-0.62</v>
      </c>
      <c r="CL3160">
        <v>74.16</v>
      </c>
      <c r="CM3160">
        <v>8.43</v>
      </c>
      <c r="CN3160">
        <v>4.95</v>
      </c>
      <c r="CO3160">
        <v>23030</v>
      </c>
      <c r="CP3160">
        <v>14764</v>
      </c>
      <c r="CQ3160" t="s">
        <v>13672</v>
      </c>
      <c r="CR3160">
        <v>102.55</v>
      </c>
      <c r="CS3160">
        <v>34.82</v>
      </c>
      <c r="CT3160">
        <v>3.64</v>
      </c>
      <c r="CU3160">
        <v>58.86</v>
      </c>
      <c r="CV3160">
        <v>9.1</v>
      </c>
      <c r="CW3160">
        <v>0</v>
      </c>
      <c r="CX3160" t="s">
        <v>178</v>
      </c>
      <c r="CY3160">
        <v>14.88</v>
      </c>
      <c r="CZ3160">
        <v>0</v>
      </c>
      <c r="DA3160">
        <v>5.33</v>
      </c>
      <c r="DB3160">
        <v>8.09</v>
      </c>
      <c r="DC3160">
        <v>0.92</v>
      </c>
      <c r="DD3160">
        <v>34.700000000000003</v>
      </c>
      <c r="DE3160" t="s">
        <v>3033</v>
      </c>
      <c r="DF3160">
        <v>-4.09</v>
      </c>
      <c r="DG3160">
        <v>0.01</v>
      </c>
      <c r="DH3160">
        <v>0.19</v>
      </c>
      <c r="DI3160">
        <v>0.6</v>
      </c>
      <c r="DJ3160">
        <v>8470</v>
      </c>
      <c r="DK3160">
        <v>601021</v>
      </c>
      <c r="DL3160" t="s">
        <v>120</v>
      </c>
      <c r="DM3160" t="s">
        <v>120</v>
      </c>
      <c r="DN3160" t="s">
        <v>120</v>
      </c>
    </row>
    <row r="3161" spans="1:118">
      <c r="A3161" t="str">
        <f>"601028"</f>
        <v>601028</v>
      </c>
      <c r="B3161" t="s">
        <v>13673</v>
      </c>
      <c r="C3161">
        <v>1.88</v>
      </c>
      <c r="D3161">
        <v>1.53</v>
      </c>
      <c r="E3161">
        <v>-1.1399999999999999</v>
      </c>
      <c r="F3161">
        <v>1221</v>
      </c>
      <c r="G3161" t="s">
        <v>13674</v>
      </c>
      <c r="H3161">
        <v>13611.97</v>
      </c>
      <c r="I3161">
        <v>133.21</v>
      </c>
      <c r="J3161" t="s">
        <v>120</v>
      </c>
      <c r="K3161" t="s">
        <v>13675</v>
      </c>
      <c r="L3161">
        <v>0.98</v>
      </c>
      <c r="M3161">
        <v>17.920000000000002</v>
      </c>
      <c r="N3161">
        <v>1.62</v>
      </c>
      <c r="O3161">
        <v>2.33</v>
      </c>
      <c r="P3161">
        <v>18</v>
      </c>
      <c r="Q3161">
        <v>-3.07</v>
      </c>
      <c r="R3161">
        <v>17.05</v>
      </c>
      <c r="S3161">
        <v>17.39</v>
      </c>
      <c r="T3161">
        <v>76723</v>
      </c>
      <c r="U3161">
        <v>17.920000000000002</v>
      </c>
      <c r="V3161">
        <v>17.59</v>
      </c>
      <c r="W3161">
        <v>34.450000000000003</v>
      </c>
      <c r="X3161" t="s">
        <v>562</v>
      </c>
      <c r="Y3161" t="s">
        <v>319</v>
      </c>
      <c r="Z3161">
        <v>5.4</v>
      </c>
      <c r="AA3161">
        <v>17.739999999999998</v>
      </c>
      <c r="AB3161">
        <v>32919</v>
      </c>
      <c r="AC3161">
        <v>43804</v>
      </c>
      <c r="AD3161">
        <v>0.75</v>
      </c>
      <c r="AE3161">
        <v>2</v>
      </c>
      <c r="AF3161">
        <v>22</v>
      </c>
      <c r="AG3161" t="s">
        <v>120</v>
      </c>
      <c r="AH3161">
        <v>0.02</v>
      </c>
      <c r="AI3161" t="s">
        <v>120</v>
      </c>
      <c r="AJ3161">
        <v>7.83</v>
      </c>
      <c r="AK3161" t="s">
        <v>13675</v>
      </c>
      <c r="AL3161">
        <v>3.22</v>
      </c>
      <c r="AM3161">
        <v>2068</v>
      </c>
      <c r="AN3161">
        <v>37</v>
      </c>
      <c r="AO3161">
        <v>5.0000000000000001E-4</v>
      </c>
      <c r="AP3161">
        <v>1</v>
      </c>
      <c r="AQ3161">
        <v>-0.34</v>
      </c>
      <c r="AR3161">
        <v>8.02</v>
      </c>
      <c r="AS3161">
        <v>2.99</v>
      </c>
      <c r="AT3161">
        <v>-1.86</v>
      </c>
      <c r="AU3161">
        <v>47.13</v>
      </c>
      <c r="AV3161">
        <v>0</v>
      </c>
      <c r="AW3161">
        <v>1.96</v>
      </c>
      <c r="AX3161">
        <v>50</v>
      </c>
      <c r="AY3161">
        <v>52.22</v>
      </c>
      <c r="AZ3161">
        <v>117.49</v>
      </c>
      <c r="BA3161">
        <v>0</v>
      </c>
      <c r="BB3161" t="s">
        <v>143</v>
      </c>
      <c r="BF3161">
        <v>0.86</v>
      </c>
      <c r="BG3161">
        <v>3.05</v>
      </c>
      <c r="BH3161">
        <v>-0.44</v>
      </c>
      <c r="BI3161">
        <v>5.0999999999999996</v>
      </c>
      <c r="BJ3161">
        <v>20210821</v>
      </c>
      <c r="BK3161">
        <v>20111107</v>
      </c>
      <c r="BL3161">
        <v>7.83</v>
      </c>
      <c r="BM3161" t="s">
        <v>120</v>
      </c>
      <c r="BN3161" t="s">
        <v>120</v>
      </c>
      <c r="BO3161">
        <v>33.450000000000003</v>
      </c>
      <c r="BP3161">
        <v>17.899999999999999</v>
      </c>
      <c r="BQ3161">
        <v>23.9</v>
      </c>
      <c r="BR3161">
        <v>1.1599999999999999</v>
      </c>
      <c r="BS3161">
        <v>25.08</v>
      </c>
      <c r="BT3161">
        <v>33.35</v>
      </c>
      <c r="BU3161">
        <v>0.03</v>
      </c>
      <c r="BV3161">
        <v>0</v>
      </c>
      <c r="BW3161">
        <v>8.39</v>
      </c>
      <c r="BX3161">
        <v>11.82</v>
      </c>
      <c r="BY3161">
        <v>2.88</v>
      </c>
      <c r="BZ3161">
        <v>7.53</v>
      </c>
      <c r="CA3161" t="s">
        <v>120</v>
      </c>
      <c r="CB3161">
        <v>9.0399999999999991</v>
      </c>
      <c r="CC3161">
        <v>55.85</v>
      </c>
      <c r="CD3161">
        <v>52.87</v>
      </c>
      <c r="CE3161">
        <v>2.0299999999999998</v>
      </c>
      <c r="CF3161">
        <v>-0.04</v>
      </c>
      <c r="CG3161">
        <v>2.0499999999999998</v>
      </c>
      <c r="CH3161">
        <v>2</v>
      </c>
      <c r="CI3161">
        <v>2.04</v>
      </c>
      <c r="CJ3161">
        <v>0.33</v>
      </c>
      <c r="CK3161">
        <v>2.04</v>
      </c>
      <c r="CL3161">
        <v>5.68</v>
      </c>
      <c r="CM3161">
        <v>1.1000000000000001</v>
      </c>
      <c r="CN3161">
        <v>0.79</v>
      </c>
      <c r="CO3161">
        <v>14073</v>
      </c>
      <c r="CP3161">
        <v>27818</v>
      </c>
      <c r="CQ3161" t="s">
        <v>13676</v>
      </c>
      <c r="CR3161">
        <v>256.41000000000003</v>
      </c>
      <c r="CS3161">
        <v>29.47</v>
      </c>
      <c r="CT3161">
        <v>5.87</v>
      </c>
      <c r="CU3161">
        <v>127.94</v>
      </c>
      <c r="CV3161">
        <v>2.5099999999999998</v>
      </c>
      <c r="CW3161">
        <v>0</v>
      </c>
      <c r="CX3161" t="s">
        <v>670</v>
      </c>
      <c r="CY3161">
        <v>3.05</v>
      </c>
      <c r="CZ3161">
        <v>0</v>
      </c>
      <c r="DA3161">
        <v>1.1499999999999999</v>
      </c>
      <c r="DB3161">
        <v>0.73</v>
      </c>
      <c r="DC3161">
        <v>0.14000000000000001</v>
      </c>
      <c r="DD3161">
        <v>71.45</v>
      </c>
      <c r="DE3161" t="s">
        <v>1657</v>
      </c>
      <c r="DF3161">
        <v>5.33</v>
      </c>
      <c r="DG3161">
        <v>3.63</v>
      </c>
      <c r="DH3161">
        <v>3.65</v>
      </c>
      <c r="DI3161" t="s">
        <v>120</v>
      </c>
      <c r="DJ3161">
        <v>79</v>
      </c>
      <c r="DK3161">
        <v>601028</v>
      </c>
      <c r="DL3161" t="s">
        <v>120</v>
      </c>
      <c r="DM3161" t="s">
        <v>120</v>
      </c>
      <c r="DN3161" t="s">
        <v>120</v>
      </c>
    </row>
    <row r="3162" spans="1:118">
      <c r="A3162" t="str">
        <f>"601038"</f>
        <v>601038</v>
      </c>
      <c r="B3162" t="s">
        <v>13677</v>
      </c>
      <c r="C3162">
        <v>-0.22</v>
      </c>
      <c r="D3162">
        <v>-0.06</v>
      </c>
      <c r="E3162">
        <v>-0.15</v>
      </c>
      <c r="F3162">
        <v>1258</v>
      </c>
      <c r="G3162" t="s">
        <v>7245</v>
      </c>
      <c r="H3162">
        <v>14347.23</v>
      </c>
      <c r="I3162">
        <v>25.8</v>
      </c>
      <c r="J3162" t="s">
        <v>120</v>
      </c>
      <c r="K3162" t="s">
        <v>8570</v>
      </c>
      <c r="L3162">
        <v>1.79</v>
      </c>
      <c r="M3162">
        <v>13.36</v>
      </c>
      <c r="N3162">
        <v>0.84</v>
      </c>
      <c r="O3162">
        <v>2.84</v>
      </c>
      <c r="P3162">
        <v>13.77</v>
      </c>
      <c r="Q3162">
        <v>-0.3</v>
      </c>
      <c r="R3162">
        <v>13.35</v>
      </c>
      <c r="S3162">
        <v>13.37</v>
      </c>
      <c r="T3162">
        <v>106214</v>
      </c>
      <c r="U3162">
        <v>13.37</v>
      </c>
      <c r="V3162">
        <v>13.39</v>
      </c>
      <c r="W3162">
        <v>14.68</v>
      </c>
      <c r="X3162" t="s">
        <v>2079</v>
      </c>
      <c r="Y3162" t="s">
        <v>645</v>
      </c>
      <c r="Z3162">
        <v>3.14</v>
      </c>
      <c r="AA3162">
        <v>13.51</v>
      </c>
      <c r="AB3162">
        <v>60637</v>
      </c>
      <c r="AC3162">
        <v>45577</v>
      </c>
      <c r="AD3162">
        <v>1.33</v>
      </c>
      <c r="AE3162">
        <v>241</v>
      </c>
      <c r="AF3162">
        <v>130</v>
      </c>
      <c r="AG3162" t="s">
        <v>120</v>
      </c>
      <c r="AH3162">
        <v>0.01</v>
      </c>
      <c r="AI3162" t="s">
        <v>120</v>
      </c>
      <c r="AJ3162">
        <v>5.94</v>
      </c>
      <c r="AK3162" t="s">
        <v>13678</v>
      </c>
      <c r="AL3162">
        <v>1.1200000000000001</v>
      </c>
      <c r="AM3162">
        <v>2910</v>
      </c>
      <c r="AN3162">
        <v>36</v>
      </c>
      <c r="AO3162">
        <v>5.9999999999999995E-4</v>
      </c>
      <c r="AP3162">
        <v>-1</v>
      </c>
      <c r="AQ3162">
        <v>0.6</v>
      </c>
      <c r="AR3162">
        <v>-1.83</v>
      </c>
      <c r="AS3162">
        <v>-10.69</v>
      </c>
      <c r="AT3162">
        <v>-19.78</v>
      </c>
      <c r="AU3162">
        <v>10.46</v>
      </c>
      <c r="AV3162">
        <v>12</v>
      </c>
      <c r="AW3162">
        <v>5.8</v>
      </c>
      <c r="AX3162">
        <v>25.04</v>
      </c>
      <c r="AY3162">
        <v>32.14</v>
      </c>
      <c r="AZ3162">
        <v>53.71</v>
      </c>
      <c r="BA3162">
        <v>1.66</v>
      </c>
      <c r="BB3162" t="s">
        <v>143</v>
      </c>
      <c r="BF3162">
        <v>0.88</v>
      </c>
      <c r="BG3162">
        <v>-7.0000000000000007E-2</v>
      </c>
      <c r="BH3162">
        <v>-2.98</v>
      </c>
      <c r="BI3162">
        <v>7.0000000000000007E-2</v>
      </c>
      <c r="BJ3162">
        <v>20210826</v>
      </c>
      <c r="BK3162">
        <v>20120808</v>
      </c>
      <c r="BL3162">
        <v>11.24</v>
      </c>
      <c r="BM3162" t="s">
        <v>120</v>
      </c>
      <c r="BN3162">
        <v>3.92</v>
      </c>
      <c r="BO3162">
        <v>123.87</v>
      </c>
      <c r="BP3162">
        <v>13.36</v>
      </c>
      <c r="BQ3162">
        <v>54.76</v>
      </c>
      <c r="BR3162">
        <v>6.34</v>
      </c>
      <c r="BS3162">
        <v>50.68</v>
      </c>
      <c r="BT3162">
        <v>76.150000000000006</v>
      </c>
      <c r="BU3162">
        <v>25.6</v>
      </c>
      <c r="BV3162">
        <v>7.55</v>
      </c>
      <c r="BW3162">
        <v>58.16</v>
      </c>
      <c r="BX3162">
        <v>20.39</v>
      </c>
      <c r="BY3162">
        <v>9.52</v>
      </c>
      <c r="BZ3162">
        <v>10.87</v>
      </c>
      <c r="CA3162">
        <v>0.03</v>
      </c>
      <c r="CB3162">
        <v>26.56</v>
      </c>
      <c r="CC3162">
        <v>55.75</v>
      </c>
      <c r="CD3162">
        <v>45.91</v>
      </c>
      <c r="CE3162">
        <v>5.25</v>
      </c>
      <c r="CF3162">
        <v>5.61</v>
      </c>
      <c r="CG3162">
        <v>5.31</v>
      </c>
      <c r="CH3162">
        <v>5.14</v>
      </c>
      <c r="CI3162">
        <v>5.1100000000000003</v>
      </c>
      <c r="CJ3162">
        <v>-0.03</v>
      </c>
      <c r="CK3162">
        <v>4.8499999999999996</v>
      </c>
      <c r="CL3162">
        <v>12.22</v>
      </c>
      <c r="CM3162">
        <v>6.74</v>
      </c>
      <c r="CN3162">
        <v>3.71</v>
      </c>
      <c r="CO3162">
        <v>40277</v>
      </c>
      <c r="CP3162">
        <v>4549</v>
      </c>
      <c r="CQ3162" t="s">
        <v>1972</v>
      </c>
      <c r="CR3162">
        <v>58.15</v>
      </c>
      <c r="CS3162">
        <v>36.83</v>
      </c>
      <c r="CT3162">
        <v>2.74</v>
      </c>
      <c r="CU3162">
        <v>22.26</v>
      </c>
      <c r="CV3162">
        <v>2.69</v>
      </c>
      <c r="CW3162">
        <v>0.56000000000000005</v>
      </c>
      <c r="CX3162" t="s">
        <v>1631</v>
      </c>
      <c r="CY3162">
        <v>4.87</v>
      </c>
      <c r="CZ3162">
        <v>0</v>
      </c>
      <c r="DA3162">
        <v>2.36</v>
      </c>
      <c r="DB3162">
        <v>1.0900000000000001</v>
      </c>
      <c r="DC3162">
        <v>0.6</v>
      </c>
      <c r="DD3162">
        <v>44.21</v>
      </c>
      <c r="DE3162" t="s">
        <v>1470</v>
      </c>
      <c r="DF3162">
        <v>17.649999999999999</v>
      </c>
      <c r="DG3162">
        <v>9.42</v>
      </c>
      <c r="DH3162">
        <v>9.17</v>
      </c>
      <c r="DI3162">
        <v>1.88</v>
      </c>
      <c r="DJ3162">
        <v>7506</v>
      </c>
      <c r="DK3162">
        <v>601038</v>
      </c>
      <c r="DL3162" t="s">
        <v>120</v>
      </c>
      <c r="DM3162" t="s">
        <v>120</v>
      </c>
      <c r="DN3162" t="s">
        <v>120</v>
      </c>
    </row>
    <row r="3163" spans="1:118">
      <c r="A3163" t="str">
        <f>"601058"</f>
        <v>601058</v>
      </c>
      <c r="B3163" t="s">
        <v>13679</v>
      </c>
      <c r="C3163">
        <v>0.2</v>
      </c>
      <c r="D3163">
        <v>-0.09</v>
      </c>
      <c r="E3163">
        <v>0.81</v>
      </c>
      <c r="F3163">
        <v>1614</v>
      </c>
      <c r="G3163" t="s">
        <v>13680</v>
      </c>
      <c r="H3163">
        <v>27856.38</v>
      </c>
      <c r="I3163">
        <v>104.98</v>
      </c>
      <c r="J3163" t="s">
        <v>120</v>
      </c>
      <c r="K3163" t="s">
        <v>13681</v>
      </c>
      <c r="L3163">
        <v>1.08</v>
      </c>
      <c r="M3163">
        <v>9.9</v>
      </c>
      <c r="N3163">
        <v>0.7</v>
      </c>
      <c r="O3163">
        <v>4.76</v>
      </c>
      <c r="P3163">
        <v>10.35</v>
      </c>
      <c r="Q3163">
        <v>-0.1</v>
      </c>
      <c r="R3163">
        <v>9.8699999999999992</v>
      </c>
      <c r="S3163">
        <v>9.9600000000000009</v>
      </c>
      <c r="T3163">
        <v>276225</v>
      </c>
      <c r="U3163">
        <v>9.91</v>
      </c>
      <c r="V3163">
        <v>9.8800000000000008</v>
      </c>
      <c r="W3163">
        <v>21.56</v>
      </c>
      <c r="X3163" t="s">
        <v>289</v>
      </c>
      <c r="Y3163" t="s">
        <v>638</v>
      </c>
      <c r="Z3163">
        <v>4.8600000000000003</v>
      </c>
      <c r="AA3163">
        <v>10.08</v>
      </c>
      <c r="AB3163">
        <v>136003</v>
      </c>
      <c r="AC3163">
        <v>140222</v>
      </c>
      <c r="AD3163">
        <v>0.97</v>
      </c>
      <c r="AE3163">
        <v>2390</v>
      </c>
      <c r="AF3163">
        <v>133</v>
      </c>
      <c r="AG3163" t="s">
        <v>120</v>
      </c>
      <c r="AH3163">
        <v>0.01</v>
      </c>
      <c r="AI3163" t="s">
        <v>120</v>
      </c>
      <c r="AJ3163">
        <v>25.59</v>
      </c>
      <c r="AK3163" t="s">
        <v>13682</v>
      </c>
      <c r="AL3163">
        <v>1.55</v>
      </c>
      <c r="AM3163">
        <v>3560</v>
      </c>
      <c r="AN3163">
        <v>78</v>
      </c>
      <c r="AO3163">
        <v>2.9999999999999997E-4</v>
      </c>
      <c r="AP3163">
        <v>1</v>
      </c>
      <c r="AQ3163">
        <v>-2.1800000000000002</v>
      </c>
      <c r="AR3163">
        <v>-3.23</v>
      </c>
      <c r="AS3163">
        <v>8.7899999999999991</v>
      </c>
      <c r="AT3163">
        <v>-4.9000000000000004</v>
      </c>
      <c r="AU3163">
        <v>68.08</v>
      </c>
      <c r="AV3163">
        <v>10</v>
      </c>
      <c r="AW3163">
        <v>1.52</v>
      </c>
      <c r="AX3163">
        <v>59.35</v>
      </c>
      <c r="AY3163">
        <v>19.399999999999999</v>
      </c>
      <c r="AZ3163">
        <v>20.29</v>
      </c>
      <c r="BA3163">
        <v>0.89</v>
      </c>
      <c r="BB3163" t="s">
        <v>240</v>
      </c>
      <c r="BF3163">
        <v>2.0699999999999998</v>
      </c>
      <c r="BG3163">
        <v>-0.6</v>
      </c>
      <c r="BH3163">
        <v>-4.3499999999999996</v>
      </c>
      <c r="BI3163">
        <v>0.3</v>
      </c>
      <c r="BJ3163">
        <v>20210908</v>
      </c>
      <c r="BK3163">
        <v>20110630</v>
      </c>
      <c r="BL3163">
        <v>30.63</v>
      </c>
      <c r="BM3163" t="s">
        <v>120</v>
      </c>
      <c r="BN3163" t="s">
        <v>120</v>
      </c>
      <c r="BO3163">
        <v>242.15</v>
      </c>
      <c r="BP3163">
        <v>9.9</v>
      </c>
      <c r="BQ3163">
        <v>99.4</v>
      </c>
      <c r="BR3163" t="s">
        <v>120</v>
      </c>
      <c r="BS3163">
        <v>58.95</v>
      </c>
      <c r="BT3163">
        <v>121.71</v>
      </c>
      <c r="BU3163">
        <v>76</v>
      </c>
      <c r="BV3163">
        <v>5.55</v>
      </c>
      <c r="BW3163">
        <v>107.17</v>
      </c>
      <c r="BX3163">
        <v>49.91</v>
      </c>
      <c r="BY3163">
        <v>37.049999999999997</v>
      </c>
      <c r="BZ3163">
        <v>23.84</v>
      </c>
      <c r="CA3163" t="s">
        <v>120</v>
      </c>
      <c r="CB3163">
        <v>25.66</v>
      </c>
      <c r="CC3163">
        <v>86.52</v>
      </c>
      <c r="CD3163">
        <v>67.69</v>
      </c>
      <c r="CE3163">
        <v>7.58</v>
      </c>
      <c r="CF3163">
        <v>0.1</v>
      </c>
      <c r="CG3163">
        <v>7.56</v>
      </c>
      <c r="CH3163">
        <v>7.11</v>
      </c>
      <c r="CI3163">
        <v>7.03</v>
      </c>
      <c r="CJ3163">
        <v>0.02</v>
      </c>
      <c r="CK3163">
        <v>6.76</v>
      </c>
      <c r="CL3163">
        <v>42.44</v>
      </c>
      <c r="CM3163">
        <v>3.21</v>
      </c>
      <c r="CN3163">
        <v>10.55</v>
      </c>
      <c r="CO3163">
        <v>44072</v>
      </c>
      <c r="CP3163">
        <v>41254</v>
      </c>
      <c r="CQ3163" t="s">
        <v>13683</v>
      </c>
      <c r="CR3163">
        <v>10.77</v>
      </c>
      <c r="CS3163">
        <v>27.28</v>
      </c>
      <c r="CT3163">
        <v>3.05</v>
      </c>
      <c r="CU3163">
        <v>94.36</v>
      </c>
      <c r="CV3163">
        <v>3.51</v>
      </c>
      <c r="CW3163">
        <v>1.52</v>
      </c>
      <c r="CX3163" t="s">
        <v>863</v>
      </c>
      <c r="CY3163">
        <v>3.24</v>
      </c>
      <c r="CZ3163">
        <v>3.24</v>
      </c>
      <c r="DA3163">
        <v>0.84</v>
      </c>
      <c r="DB3163">
        <v>1.39</v>
      </c>
      <c r="DC3163">
        <v>0.1</v>
      </c>
      <c r="DD3163">
        <v>41.05</v>
      </c>
      <c r="DE3163" t="s">
        <v>5021</v>
      </c>
      <c r="DF3163">
        <v>21.76</v>
      </c>
      <c r="DG3163">
        <v>8.76</v>
      </c>
      <c r="DH3163">
        <v>8.1300000000000008</v>
      </c>
      <c r="DI3163">
        <v>2.0699999999999998</v>
      </c>
      <c r="DJ3163">
        <v>12779</v>
      </c>
      <c r="DK3163">
        <v>601058</v>
      </c>
      <c r="DL3163" t="s">
        <v>120</v>
      </c>
      <c r="DM3163" t="s">
        <v>120</v>
      </c>
      <c r="DN3163" t="s">
        <v>120</v>
      </c>
    </row>
    <row r="3164" spans="1:118">
      <c r="A3164" t="str">
        <f>"601066"</f>
        <v>601066</v>
      </c>
      <c r="B3164" t="s">
        <v>13684</v>
      </c>
      <c r="C3164">
        <v>-1.99</v>
      </c>
      <c r="D3164">
        <v>0.26</v>
      </c>
      <c r="E3164">
        <v>0.1</v>
      </c>
      <c r="F3164">
        <v>22233</v>
      </c>
      <c r="G3164" t="s">
        <v>13685</v>
      </c>
      <c r="H3164">
        <v>105741.5</v>
      </c>
      <c r="I3164">
        <v>214.8</v>
      </c>
      <c r="J3164" t="s">
        <v>120</v>
      </c>
      <c r="K3164" t="s">
        <v>13686</v>
      </c>
      <c r="L3164">
        <v>0.9</v>
      </c>
      <c r="M3164">
        <v>30.48</v>
      </c>
      <c r="N3164">
        <v>0.75</v>
      </c>
      <c r="O3164">
        <v>0.9</v>
      </c>
      <c r="P3164">
        <v>31.38</v>
      </c>
      <c r="Q3164">
        <v>-2.35</v>
      </c>
      <c r="R3164">
        <v>30.37</v>
      </c>
      <c r="S3164">
        <v>31.13</v>
      </c>
      <c r="T3164">
        <v>342763</v>
      </c>
      <c r="U3164">
        <v>30.49</v>
      </c>
      <c r="V3164">
        <v>31.1</v>
      </c>
      <c r="W3164">
        <v>26.1</v>
      </c>
      <c r="X3164" t="s">
        <v>616</v>
      </c>
      <c r="Y3164" t="s">
        <v>158</v>
      </c>
      <c r="Z3164">
        <v>3.25</v>
      </c>
      <c r="AA3164">
        <v>30.85</v>
      </c>
      <c r="AB3164">
        <v>178047</v>
      </c>
      <c r="AC3164">
        <v>164716</v>
      </c>
      <c r="AD3164">
        <v>1.08</v>
      </c>
      <c r="AE3164">
        <v>64</v>
      </c>
      <c r="AF3164">
        <v>106</v>
      </c>
      <c r="AG3164" t="s">
        <v>120</v>
      </c>
      <c r="AH3164">
        <v>0</v>
      </c>
      <c r="AI3164" t="s">
        <v>120</v>
      </c>
      <c r="AJ3164">
        <v>38.11</v>
      </c>
      <c r="AK3164" t="s">
        <v>13687</v>
      </c>
      <c r="AL3164">
        <v>-0.65</v>
      </c>
      <c r="AM3164">
        <v>4597</v>
      </c>
      <c r="AN3164">
        <v>75</v>
      </c>
      <c r="AO3164">
        <v>2.0000000000000001E-4</v>
      </c>
      <c r="AP3164">
        <v>-4</v>
      </c>
      <c r="AQ3164">
        <v>-0.03</v>
      </c>
      <c r="AR3164">
        <v>-4.45</v>
      </c>
      <c r="AS3164">
        <v>3.85</v>
      </c>
      <c r="AT3164">
        <v>-4.1399999999999997</v>
      </c>
      <c r="AU3164">
        <v>-26.78</v>
      </c>
      <c r="AV3164">
        <v>4</v>
      </c>
      <c r="AW3164">
        <v>2.4</v>
      </c>
      <c r="AX3164">
        <v>21.94</v>
      </c>
      <c r="AY3164">
        <v>25.5</v>
      </c>
      <c r="AZ3164">
        <v>25.37</v>
      </c>
      <c r="BA3164">
        <v>1.6</v>
      </c>
      <c r="BB3164" t="s">
        <v>143</v>
      </c>
      <c r="BF3164">
        <v>-0.8</v>
      </c>
      <c r="BG3164">
        <v>-2.09</v>
      </c>
      <c r="BH3164">
        <v>-2.87</v>
      </c>
      <c r="BI3164">
        <v>0.36</v>
      </c>
      <c r="BJ3164">
        <v>20210831</v>
      </c>
      <c r="BK3164">
        <v>20180620</v>
      </c>
      <c r="BL3164">
        <v>77.569999999999993</v>
      </c>
      <c r="BM3164" t="s">
        <v>120</v>
      </c>
      <c r="BN3164">
        <v>12.61</v>
      </c>
      <c r="BO3164">
        <v>4040.24</v>
      </c>
      <c r="BP3164">
        <v>30.48</v>
      </c>
      <c r="BQ3164">
        <v>740.75</v>
      </c>
      <c r="BR3164">
        <v>1.98</v>
      </c>
      <c r="BS3164">
        <v>81.62</v>
      </c>
      <c r="BT3164">
        <v>0</v>
      </c>
      <c r="BU3164">
        <v>5.64</v>
      </c>
      <c r="BV3164">
        <v>3.58</v>
      </c>
      <c r="BW3164">
        <v>0</v>
      </c>
      <c r="BX3164">
        <v>964.5</v>
      </c>
      <c r="BY3164">
        <v>0</v>
      </c>
      <c r="BZ3164">
        <v>0</v>
      </c>
      <c r="CA3164" t="s">
        <v>120</v>
      </c>
      <c r="CB3164">
        <v>124.48</v>
      </c>
      <c r="CC3164">
        <v>123.26</v>
      </c>
      <c r="CD3164">
        <v>0</v>
      </c>
      <c r="CE3164">
        <v>56.57</v>
      </c>
      <c r="CF3164">
        <v>32.75</v>
      </c>
      <c r="CG3164">
        <v>56.6</v>
      </c>
      <c r="CH3164">
        <v>44.93</v>
      </c>
      <c r="CI3164">
        <v>45.29</v>
      </c>
      <c r="CJ3164">
        <v>-0.62</v>
      </c>
      <c r="CK3164">
        <v>45.24</v>
      </c>
      <c r="CL3164">
        <v>234.36</v>
      </c>
      <c r="CM3164">
        <v>128.34</v>
      </c>
      <c r="CN3164">
        <v>175.9</v>
      </c>
      <c r="CO3164">
        <v>201162</v>
      </c>
      <c r="CP3164">
        <v>7085</v>
      </c>
      <c r="CQ3164" t="s">
        <v>13688</v>
      </c>
      <c r="CR3164">
        <v>-1.08</v>
      </c>
      <c r="CS3164">
        <v>24.51</v>
      </c>
      <c r="CT3164">
        <v>3.19</v>
      </c>
      <c r="CU3164">
        <v>18.420000000000002</v>
      </c>
      <c r="CV3164">
        <v>19.18</v>
      </c>
      <c r="CW3164">
        <v>1.21</v>
      </c>
      <c r="CX3164" t="s">
        <v>1581</v>
      </c>
      <c r="CY3164">
        <v>9.5500000000000007</v>
      </c>
      <c r="CZ3164">
        <v>9.5500000000000007</v>
      </c>
      <c r="DA3164">
        <v>1.6</v>
      </c>
      <c r="DB3164">
        <v>3.02</v>
      </c>
      <c r="DC3164">
        <v>1.65</v>
      </c>
      <c r="DD3164">
        <v>18.329999999999998</v>
      </c>
      <c r="DE3164" t="s">
        <v>6461</v>
      </c>
      <c r="DF3164" t="s">
        <v>120</v>
      </c>
      <c r="DG3164">
        <v>45.89</v>
      </c>
      <c r="DH3164">
        <v>36.74</v>
      </c>
      <c r="DI3164" t="s">
        <v>120</v>
      </c>
      <c r="DJ3164">
        <v>10273</v>
      </c>
      <c r="DK3164">
        <v>601066</v>
      </c>
      <c r="DL3164">
        <v>20210826</v>
      </c>
      <c r="DM3164">
        <v>28.37</v>
      </c>
      <c r="DN3164">
        <v>7.44</v>
      </c>
    </row>
    <row r="3165" spans="1:118">
      <c r="A3165" t="str">
        <f>"601068"</f>
        <v>601068</v>
      </c>
      <c r="B3165" t="s">
        <v>13689</v>
      </c>
      <c r="C3165">
        <v>2.88</v>
      </c>
      <c r="D3165">
        <v>0.33</v>
      </c>
      <c r="E3165">
        <v>1.19</v>
      </c>
      <c r="F3165">
        <v>12773</v>
      </c>
      <c r="G3165" t="s">
        <v>1412</v>
      </c>
      <c r="H3165">
        <v>71118.63</v>
      </c>
      <c r="I3165">
        <v>1824.37</v>
      </c>
      <c r="J3165" t="s">
        <v>120</v>
      </c>
      <c r="K3165" t="s">
        <v>9874</v>
      </c>
      <c r="L3165">
        <v>4.53</v>
      </c>
      <c r="M3165">
        <v>6.07</v>
      </c>
      <c r="N3165">
        <v>2.2200000000000002</v>
      </c>
      <c r="O3165">
        <v>10</v>
      </c>
      <c r="P3165">
        <v>6.49</v>
      </c>
      <c r="Q3165">
        <v>-0.34</v>
      </c>
      <c r="R3165">
        <v>5.88</v>
      </c>
      <c r="S3165">
        <v>5.97</v>
      </c>
      <c r="T3165">
        <v>1158905</v>
      </c>
      <c r="U3165">
        <v>6.08</v>
      </c>
      <c r="V3165">
        <v>5.9</v>
      </c>
      <c r="W3165">
        <v>2668.32</v>
      </c>
      <c r="X3165" t="s">
        <v>175</v>
      </c>
      <c r="Y3165" t="s">
        <v>158</v>
      </c>
      <c r="Z3165">
        <v>10.34</v>
      </c>
      <c r="AA3165">
        <v>6.14</v>
      </c>
      <c r="AB3165">
        <v>564575</v>
      </c>
      <c r="AC3165">
        <v>594330</v>
      </c>
      <c r="AD3165">
        <v>0.95</v>
      </c>
      <c r="AE3165">
        <v>7726</v>
      </c>
      <c r="AF3165">
        <v>594</v>
      </c>
      <c r="AG3165" t="s">
        <v>120</v>
      </c>
      <c r="AH3165">
        <v>1.03</v>
      </c>
      <c r="AI3165" t="s">
        <v>120</v>
      </c>
      <c r="AJ3165">
        <v>25.6</v>
      </c>
      <c r="AK3165" t="s">
        <v>9874</v>
      </c>
      <c r="AL3165">
        <v>4.2300000000000004</v>
      </c>
      <c r="AM3165">
        <v>4480</v>
      </c>
      <c r="AN3165">
        <v>259</v>
      </c>
      <c r="AO3165">
        <v>1E-3</v>
      </c>
      <c r="AP3165">
        <v>4</v>
      </c>
      <c r="AQ3165">
        <v>10.07</v>
      </c>
      <c r="AR3165">
        <v>24.63</v>
      </c>
      <c r="AS3165">
        <v>47.33</v>
      </c>
      <c r="AT3165">
        <v>75.430000000000007</v>
      </c>
      <c r="AU3165">
        <v>70.510000000000005</v>
      </c>
      <c r="AV3165">
        <v>8</v>
      </c>
      <c r="AW3165">
        <v>39.159999999999997</v>
      </c>
      <c r="AX3165">
        <v>11.56</v>
      </c>
      <c r="AY3165" t="s">
        <v>120</v>
      </c>
      <c r="AZ3165" t="s">
        <v>120</v>
      </c>
      <c r="BA3165">
        <v>1.04</v>
      </c>
      <c r="BB3165" t="s">
        <v>184</v>
      </c>
      <c r="BF3165">
        <v>4.01</v>
      </c>
      <c r="BG3165">
        <v>1.68</v>
      </c>
      <c r="BH3165">
        <v>-6.47</v>
      </c>
      <c r="BI3165">
        <v>3.23</v>
      </c>
      <c r="BJ3165">
        <v>20210913</v>
      </c>
      <c r="BK3165">
        <v>20180831</v>
      </c>
      <c r="BL3165">
        <v>29.59</v>
      </c>
      <c r="BM3165" t="s">
        <v>120</v>
      </c>
      <c r="BN3165">
        <v>3.99</v>
      </c>
      <c r="BO3165">
        <v>553.29</v>
      </c>
      <c r="BP3165">
        <v>6.07</v>
      </c>
      <c r="BQ3165">
        <v>87.12</v>
      </c>
      <c r="BR3165">
        <v>88.99</v>
      </c>
      <c r="BS3165">
        <v>68.17</v>
      </c>
      <c r="BT3165">
        <v>366.86</v>
      </c>
      <c r="BU3165">
        <v>22.57</v>
      </c>
      <c r="BV3165">
        <v>12.05</v>
      </c>
      <c r="BW3165">
        <v>276.61</v>
      </c>
      <c r="BX3165">
        <v>58.58</v>
      </c>
      <c r="BY3165">
        <v>33.35</v>
      </c>
      <c r="BZ3165">
        <v>144.93</v>
      </c>
      <c r="CA3165">
        <v>0.01</v>
      </c>
      <c r="CB3165">
        <v>8.76</v>
      </c>
      <c r="CC3165">
        <v>103.34</v>
      </c>
      <c r="CD3165">
        <v>92.21</v>
      </c>
      <c r="CE3165">
        <v>0.86</v>
      </c>
      <c r="CF3165">
        <v>-0.22</v>
      </c>
      <c r="CG3165">
        <v>0.8</v>
      </c>
      <c r="CH3165">
        <v>0.51</v>
      </c>
      <c r="CI3165">
        <v>0.03</v>
      </c>
      <c r="CJ3165">
        <v>0.17</v>
      </c>
      <c r="CK3165">
        <v>-0.17</v>
      </c>
      <c r="CL3165">
        <v>18.55</v>
      </c>
      <c r="CM3165">
        <v>-6.14</v>
      </c>
      <c r="CN3165">
        <v>-11.92</v>
      </c>
      <c r="CO3165">
        <v>37420</v>
      </c>
      <c r="CP3165">
        <v>7908</v>
      </c>
      <c r="CQ3165" t="s">
        <v>11906</v>
      </c>
      <c r="CR3165">
        <v>102.35</v>
      </c>
      <c r="CS3165">
        <v>3.89</v>
      </c>
      <c r="CT3165">
        <v>2.89</v>
      </c>
      <c r="CU3165">
        <v>-29.27</v>
      </c>
      <c r="CV3165">
        <v>1.74</v>
      </c>
      <c r="CW3165">
        <v>0</v>
      </c>
      <c r="CX3165" t="s">
        <v>1312</v>
      </c>
      <c r="CY3165">
        <v>2.1</v>
      </c>
      <c r="CZ3165">
        <v>2.1</v>
      </c>
      <c r="DA3165">
        <v>0.3</v>
      </c>
      <c r="DB3165">
        <v>0.63</v>
      </c>
      <c r="DC3165">
        <v>-0.21</v>
      </c>
      <c r="DD3165">
        <v>15.75</v>
      </c>
      <c r="DE3165" t="s">
        <v>1696</v>
      </c>
      <c r="DF3165">
        <v>10.76</v>
      </c>
      <c r="DG3165">
        <v>0.83</v>
      </c>
      <c r="DH3165">
        <v>0.03</v>
      </c>
      <c r="DI3165">
        <v>1.82</v>
      </c>
      <c r="DJ3165">
        <v>14633</v>
      </c>
      <c r="DK3165">
        <v>601068</v>
      </c>
      <c r="DL3165">
        <v>20210916</v>
      </c>
      <c r="DM3165">
        <v>5.9</v>
      </c>
      <c r="DN3165">
        <v>2.88</v>
      </c>
    </row>
    <row r="3166" spans="1:118">
      <c r="A3166" t="str">
        <f>"601069"</f>
        <v>601069</v>
      </c>
      <c r="B3166" t="s">
        <v>13690</v>
      </c>
      <c r="C3166">
        <v>-1.2</v>
      </c>
      <c r="D3166">
        <v>0.08</v>
      </c>
      <c r="E3166">
        <v>-0.24</v>
      </c>
      <c r="F3166">
        <v>484</v>
      </c>
      <c r="G3166" t="s">
        <v>7272</v>
      </c>
      <c r="H3166">
        <v>9337.6299999999992</v>
      </c>
      <c r="I3166">
        <v>23.63</v>
      </c>
      <c r="J3166" t="s">
        <v>120</v>
      </c>
      <c r="K3166" t="s">
        <v>13691</v>
      </c>
      <c r="L3166">
        <v>1.17</v>
      </c>
      <c r="M3166">
        <v>12.38</v>
      </c>
      <c r="N3166">
        <v>0.68</v>
      </c>
      <c r="O3166">
        <v>2.5499999999999998</v>
      </c>
      <c r="P3166">
        <v>12.85</v>
      </c>
      <c r="Q3166">
        <v>-1.44</v>
      </c>
      <c r="R3166">
        <v>12.35</v>
      </c>
      <c r="S3166">
        <v>12.5</v>
      </c>
      <c r="T3166">
        <v>74111</v>
      </c>
      <c r="U3166">
        <v>12.38</v>
      </c>
      <c r="V3166">
        <v>12.53</v>
      </c>
      <c r="W3166" t="s">
        <v>120</v>
      </c>
      <c r="X3166" t="s">
        <v>855</v>
      </c>
      <c r="Y3166" t="s">
        <v>609</v>
      </c>
      <c r="Z3166">
        <v>3.99</v>
      </c>
      <c r="AA3166">
        <v>12.6</v>
      </c>
      <c r="AB3166">
        <v>38612</v>
      </c>
      <c r="AC3166">
        <v>35499</v>
      </c>
      <c r="AD3166">
        <v>1.0900000000000001</v>
      </c>
      <c r="AE3166">
        <v>113</v>
      </c>
      <c r="AF3166">
        <v>96</v>
      </c>
      <c r="AG3166" t="s">
        <v>120</v>
      </c>
      <c r="AH3166">
        <v>0.01</v>
      </c>
      <c r="AI3166" t="s">
        <v>120</v>
      </c>
      <c r="AJ3166">
        <v>6.36</v>
      </c>
      <c r="AK3166" t="s">
        <v>13691</v>
      </c>
      <c r="AL3166">
        <v>0.15</v>
      </c>
      <c r="AM3166">
        <v>2217</v>
      </c>
      <c r="AN3166">
        <v>33</v>
      </c>
      <c r="AO3166">
        <v>5.0000000000000001E-4</v>
      </c>
      <c r="AP3166">
        <v>-1</v>
      </c>
      <c r="AQ3166">
        <v>0.48</v>
      </c>
      <c r="AR3166">
        <v>-3.35</v>
      </c>
      <c r="AS3166">
        <v>5.72</v>
      </c>
      <c r="AT3166">
        <v>-1.36</v>
      </c>
      <c r="AU3166">
        <v>-7.98</v>
      </c>
      <c r="AV3166">
        <v>0</v>
      </c>
      <c r="AW3166">
        <v>3.49</v>
      </c>
      <c r="AX3166">
        <v>33.369999999999997</v>
      </c>
      <c r="AY3166">
        <v>386.71</v>
      </c>
      <c r="AZ3166">
        <v>102.84</v>
      </c>
      <c r="BA3166">
        <v>0.38</v>
      </c>
      <c r="BB3166" t="s">
        <v>184</v>
      </c>
      <c r="BF3166">
        <v>0.55000000000000004</v>
      </c>
      <c r="BG3166">
        <v>-0.96</v>
      </c>
      <c r="BH3166">
        <v>-3.66</v>
      </c>
      <c r="BI3166">
        <v>0.24</v>
      </c>
      <c r="BJ3166">
        <v>20210827</v>
      </c>
      <c r="BK3166">
        <v>20150122</v>
      </c>
      <c r="BL3166">
        <v>6.36</v>
      </c>
      <c r="BM3166" t="s">
        <v>120</v>
      </c>
      <c r="BN3166" t="s">
        <v>120</v>
      </c>
      <c r="BO3166">
        <v>29.08</v>
      </c>
      <c r="BP3166">
        <v>12.37</v>
      </c>
      <c r="BQ3166">
        <v>17</v>
      </c>
      <c r="BR3166" t="s">
        <v>120</v>
      </c>
      <c r="BS3166">
        <v>41.56</v>
      </c>
      <c r="BT3166">
        <v>10.95</v>
      </c>
      <c r="BU3166">
        <v>10.7</v>
      </c>
      <c r="BV3166">
        <v>1.73</v>
      </c>
      <c r="BW3166">
        <v>10.53</v>
      </c>
      <c r="BX3166">
        <v>2.0299999999999998</v>
      </c>
      <c r="BY3166">
        <v>7.44</v>
      </c>
      <c r="BZ3166">
        <v>0.12</v>
      </c>
      <c r="CA3166">
        <v>0</v>
      </c>
      <c r="CB3166">
        <v>5.08</v>
      </c>
      <c r="CC3166">
        <v>24.96</v>
      </c>
      <c r="CD3166">
        <v>24.12</v>
      </c>
      <c r="CE3166">
        <v>-0.5</v>
      </c>
      <c r="CF3166">
        <v>7.0000000000000007E-2</v>
      </c>
      <c r="CG3166">
        <v>-0.5</v>
      </c>
      <c r="CH3166">
        <v>-0.5</v>
      </c>
      <c r="CI3166">
        <v>-0.5</v>
      </c>
      <c r="CJ3166">
        <v>-0.15</v>
      </c>
      <c r="CK3166">
        <v>-0.56999999999999995</v>
      </c>
      <c r="CL3166">
        <v>4.6900000000000004</v>
      </c>
      <c r="CM3166">
        <v>-5.19</v>
      </c>
      <c r="CN3166">
        <v>-3.18</v>
      </c>
      <c r="CO3166">
        <v>53148</v>
      </c>
      <c r="CP3166">
        <v>3993</v>
      </c>
      <c r="CQ3166" t="s">
        <v>255</v>
      </c>
      <c r="CR3166">
        <v>-808.62</v>
      </c>
      <c r="CS3166">
        <v>0.56000000000000005</v>
      </c>
      <c r="CT3166">
        <v>4.63</v>
      </c>
      <c r="CU3166">
        <v>-15.17</v>
      </c>
      <c r="CV3166">
        <v>3.15</v>
      </c>
      <c r="CW3166">
        <v>0.3</v>
      </c>
      <c r="CX3166" t="s">
        <v>13692</v>
      </c>
      <c r="CY3166">
        <v>2.67</v>
      </c>
      <c r="CZ3166">
        <v>0</v>
      </c>
      <c r="DA3166">
        <v>0.8</v>
      </c>
      <c r="DB3166">
        <v>0.74</v>
      </c>
      <c r="DC3166">
        <v>-0.82</v>
      </c>
      <c r="DD3166">
        <v>58.44</v>
      </c>
      <c r="DE3166" t="s">
        <v>13693</v>
      </c>
      <c r="DF3166">
        <v>3.37</v>
      </c>
      <c r="DG3166">
        <v>-1.99</v>
      </c>
      <c r="DH3166">
        <v>-2</v>
      </c>
      <c r="DI3166">
        <v>0.06</v>
      </c>
      <c r="DJ3166">
        <v>1640</v>
      </c>
      <c r="DK3166">
        <v>601069</v>
      </c>
      <c r="DL3166" t="s">
        <v>120</v>
      </c>
      <c r="DM3166" t="s">
        <v>120</v>
      </c>
      <c r="DN3166" t="s">
        <v>120</v>
      </c>
    </row>
    <row r="3167" spans="1:118">
      <c r="A3167" t="str">
        <f>"601077"</f>
        <v>601077</v>
      </c>
      <c r="B3167" t="s">
        <v>13694</v>
      </c>
      <c r="C3167">
        <v>-1.01</v>
      </c>
      <c r="D3167">
        <v>-0.24</v>
      </c>
      <c r="E3167">
        <v>0</v>
      </c>
      <c r="F3167">
        <v>17105</v>
      </c>
      <c r="G3167" t="s">
        <v>13695</v>
      </c>
      <c r="H3167">
        <v>16617.72</v>
      </c>
      <c r="I3167">
        <v>130.06</v>
      </c>
      <c r="J3167" t="s">
        <v>120</v>
      </c>
      <c r="K3167" t="s">
        <v>13695</v>
      </c>
      <c r="L3167">
        <v>0.71</v>
      </c>
      <c r="M3167">
        <v>3.93</v>
      </c>
      <c r="N3167">
        <v>0.76</v>
      </c>
      <c r="O3167">
        <v>0.5</v>
      </c>
      <c r="P3167">
        <v>3.99</v>
      </c>
      <c r="Q3167">
        <v>-1.01</v>
      </c>
      <c r="R3167">
        <v>3.93</v>
      </c>
      <c r="S3167">
        <v>3.97</v>
      </c>
      <c r="T3167">
        <v>419222</v>
      </c>
      <c r="U3167">
        <v>3.94</v>
      </c>
      <c r="V3167">
        <v>3.97</v>
      </c>
      <c r="W3167">
        <v>3.89</v>
      </c>
      <c r="X3167" t="s">
        <v>122</v>
      </c>
      <c r="Y3167" t="s">
        <v>883</v>
      </c>
      <c r="Z3167">
        <v>1.51</v>
      </c>
      <c r="AA3167">
        <v>3.96</v>
      </c>
      <c r="AB3167">
        <v>205564</v>
      </c>
      <c r="AC3167">
        <v>213658</v>
      </c>
      <c r="AD3167">
        <v>0.96</v>
      </c>
      <c r="AE3167">
        <v>17246</v>
      </c>
      <c r="AF3167">
        <v>508</v>
      </c>
      <c r="AG3167" t="s">
        <v>120</v>
      </c>
      <c r="AH3167">
        <v>0.01</v>
      </c>
      <c r="AI3167" t="s">
        <v>120</v>
      </c>
      <c r="AJ3167">
        <v>58.74</v>
      </c>
      <c r="AK3167" t="s">
        <v>13696</v>
      </c>
      <c r="AL3167">
        <v>0.34</v>
      </c>
      <c r="AM3167">
        <v>3377</v>
      </c>
      <c r="AN3167">
        <v>124</v>
      </c>
      <c r="AO3167">
        <v>2.0000000000000001E-4</v>
      </c>
      <c r="AP3167">
        <v>-1</v>
      </c>
      <c r="AQ3167">
        <v>0</v>
      </c>
      <c r="AR3167">
        <v>-2.48</v>
      </c>
      <c r="AS3167">
        <v>2.62</v>
      </c>
      <c r="AT3167">
        <v>-2.67</v>
      </c>
      <c r="AU3167">
        <v>-8.14</v>
      </c>
      <c r="AV3167">
        <v>0</v>
      </c>
      <c r="AW3167">
        <v>0.71</v>
      </c>
      <c r="AX3167">
        <v>66.430000000000007</v>
      </c>
      <c r="AY3167">
        <v>5.04</v>
      </c>
      <c r="AZ3167">
        <v>5.37</v>
      </c>
      <c r="BA3167">
        <v>0.48</v>
      </c>
      <c r="BB3167" t="s">
        <v>143</v>
      </c>
      <c r="BF3167">
        <v>-0.15</v>
      </c>
      <c r="BG3167">
        <v>-1.01</v>
      </c>
      <c r="BH3167">
        <v>-1.5</v>
      </c>
      <c r="BI3167">
        <v>0</v>
      </c>
      <c r="BJ3167">
        <v>20210826</v>
      </c>
      <c r="BK3167">
        <v>20191029</v>
      </c>
      <c r="BL3167">
        <v>113.57</v>
      </c>
      <c r="BM3167" t="s">
        <v>120</v>
      </c>
      <c r="BN3167">
        <v>25.13</v>
      </c>
      <c r="BO3167">
        <v>12237.79</v>
      </c>
      <c r="BP3167">
        <v>3.93</v>
      </c>
      <c r="BQ3167">
        <v>965.5</v>
      </c>
      <c r="BR3167">
        <v>14.88</v>
      </c>
      <c r="BS3167">
        <v>91.99</v>
      </c>
      <c r="BT3167">
        <v>0</v>
      </c>
      <c r="BU3167">
        <v>47.41</v>
      </c>
      <c r="BV3167">
        <v>5.47</v>
      </c>
      <c r="BW3167">
        <v>0</v>
      </c>
      <c r="BX3167">
        <v>850.3</v>
      </c>
      <c r="BY3167">
        <v>0</v>
      </c>
      <c r="BZ3167">
        <v>0</v>
      </c>
      <c r="CA3167" t="s">
        <v>120</v>
      </c>
      <c r="CB3167">
        <v>203.38</v>
      </c>
      <c r="CC3167">
        <v>151.72</v>
      </c>
      <c r="CD3167">
        <v>0</v>
      </c>
      <c r="CE3167">
        <v>70.150000000000006</v>
      </c>
      <c r="CF3167">
        <v>4.5199999999999996</v>
      </c>
      <c r="CG3167">
        <v>70.14</v>
      </c>
      <c r="CH3167">
        <v>58.18</v>
      </c>
      <c r="CI3167">
        <v>57.33</v>
      </c>
      <c r="CJ3167">
        <v>-0.04</v>
      </c>
      <c r="CK3167">
        <v>56.31</v>
      </c>
      <c r="CL3167">
        <v>375.38</v>
      </c>
      <c r="CM3167">
        <v>98.09</v>
      </c>
      <c r="CN3167">
        <v>73.34</v>
      </c>
      <c r="CO3167">
        <v>262138</v>
      </c>
      <c r="CP3167">
        <v>22410</v>
      </c>
      <c r="CQ3167" t="s">
        <v>6656</v>
      </c>
      <c r="CR3167">
        <v>10.62</v>
      </c>
      <c r="CS3167">
        <v>8.9499999999999993</v>
      </c>
      <c r="CT3167">
        <v>0.46</v>
      </c>
      <c r="CU3167">
        <v>4.55</v>
      </c>
      <c r="CV3167">
        <v>2.94</v>
      </c>
      <c r="CW3167">
        <v>5.59</v>
      </c>
      <c r="CX3167" t="s">
        <v>550</v>
      </c>
      <c r="CY3167">
        <v>8.5</v>
      </c>
      <c r="CZ3167">
        <v>8.5</v>
      </c>
      <c r="DA3167">
        <v>1.79</v>
      </c>
      <c r="DB3167">
        <v>3.31</v>
      </c>
      <c r="DC3167">
        <v>0.86</v>
      </c>
      <c r="DD3167">
        <v>7.89</v>
      </c>
      <c r="DE3167" t="s">
        <v>9850</v>
      </c>
      <c r="DF3167" t="s">
        <v>120</v>
      </c>
      <c r="DG3167">
        <v>46.24</v>
      </c>
      <c r="DH3167">
        <v>37.79</v>
      </c>
      <c r="DI3167" t="s">
        <v>120</v>
      </c>
      <c r="DJ3167">
        <v>15004</v>
      </c>
      <c r="DK3167">
        <v>601077</v>
      </c>
      <c r="DL3167" t="s">
        <v>120</v>
      </c>
      <c r="DM3167" t="s">
        <v>120</v>
      </c>
      <c r="DN3167" t="s">
        <v>120</v>
      </c>
    </row>
    <row r="3168" spans="1:118">
      <c r="A3168" t="str">
        <f>"601086"</f>
        <v>601086</v>
      </c>
      <c r="B3168" t="s">
        <v>13697</v>
      </c>
      <c r="C3168">
        <v>2.54</v>
      </c>
      <c r="D3168">
        <v>0</v>
      </c>
      <c r="E3168">
        <v>-0.23</v>
      </c>
      <c r="F3168">
        <v>1105</v>
      </c>
      <c r="G3168" t="s">
        <v>7365</v>
      </c>
      <c r="H3168">
        <v>4639.74</v>
      </c>
      <c r="I3168">
        <v>4.0999999999999996</v>
      </c>
      <c r="J3168" t="s">
        <v>120</v>
      </c>
      <c r="K3168" t="s">
        <v>13698</v>
      </c>
      <c r="L3168">
        <v>1.56</v>
      </c>
      <c r="M3168">
        <v>4.4400000000000004</v>
      </c>
      <c r="N3168">
        <v>2.31</v>
      </c>
      <c r="O3168">
        <v>5.08</v>
      </c>
      <c r="P3168">
        <v>4.55</v>
      </c>
      <c r="Q3168">
        <v>-0.23</v>
      </c>
      <c r="R3168">
        <v>4.32</v>
      </c>
      <c r="S3168">
        <v>4.32</v>
      </c>
      <c r="T3168">
        <v>104131</v>
      </c>
      <c r="U3168">
        <v>4.4400000000000004</v>
      </c>
      <c r="V3168">
        <v>4.33</v>
      </c>
      <c r="W3168">
        <v>29.17</v>
      </c>
      <c r="X3168" t="s">
        <v>735</v>
      </c>
      <c r="Y3168" t="s">
        <v>1082</v>
      </c>
      <c r="Z3168">
        <v>5.31</v>
      </c>
      <c r="AA3168">
        <v>4.46</v>
      </c>
      <c r="AB3168">
        <v>44974</v>
      </c>
      <c r="AC3168">
        <v>59157</v>
      </c>
      <c r="AD3168">
        <v>0.76</v>
      </c>
      <c r="AE3168">
        <v>1979</v>
      </c>
      <c r="AF3168">
        <v>477</v>
      </c>
      <c r="AG3168" t="s">
        <v>120</v>
      </c>
      <c r="AH3168">
        <v>0.01</v>
      </c>
      <c r="AI3168" t="s">
        <v>120</v>
      </c>
      <c r="AJ3168">
        <v>6.66</v>
      </c>
      <c r="AK3168" t="s">
        <v>13698</v>
      </c>
      <c r="AL3168">
        <v>3.88</v>
      </c>
      <c r="AM3168">
        <v>1843</v>
      </c>
      <c r="AN3168">
        <v>57</v>
      </c>
      <c r="AO3168">
        <v>8.0000000000000004E-4</v>
      </c>
      <c r="AP3168">
        <v>2</v>
      </c>
      <c r="AQ3168">
        <v>0.93</v>
      </c>
      <c r="AR3168">
        <v>1.6</v>
      </c>
      <c r="AS3168">
        <v>15.33</v>
      </c>
      <c r="AT3168">
        <v>13.55</v>
      </c>
      <c r="AU3168">
        <v>7.5</v>
      </c>
      <c r="AV3168">
        <v>1</v>
      </c>
      <c r="AW3168">
        <v>6.37</v>
      </c>
      <c r="AX3168">
        <v>24.53</v>
      </c>
      <c r="AY3168">
        <v>21.9</v>
      </c>
      <c r="AZ3168">
        <v>28.6</v>
      </c>
      <c r="BA3168">
        <v>0.35</v>
      </c>
      <c r="BB3168" t="s">
        <v>143</v>
      </c>
      <c r="BF3168">
        <v>2.9</v>
      </c>
      <c r="BG3168">
        <v>2.78</v>
      </c>
      <c r="BH3168">
        <v>-2.42</v>
      </c>
      <c r="BI3168">
        <v>2.78</v>
      </c>
      <c r="BJ3168">
        <v>20210915</v>
      </c>
      <c r="BK3168">
        <v>20170929</v>
      </c>
      <c r="BL3168">
        <v>6.66</v>
      </c>
      <c r="BM3168" t="s">
        <v>120</v>
      </c>
      <c r="BN3168" t="s">
        <v>120</v>
      </c>
      <c r="BO3168">
        <v>29.91</v>
      </c>
      <c r="BP3168">
        <v>4.43</v>
      </c>
      <c r="BQ3168">
        <v>18.309999999999999</v>
      </c>
      <c r="BR3168" t="s">
        <v>120</v>
      </c>
      <c r="BS3168">
        <v>38.770000000000003</v>
      </c>
      <c r="BT3168">
        <v>9.14</v>
      </c>
      <c r="BU3168">
        <v>6.3</v>
      </c>
      <c r="BV3168">
        <v>0.08</v>
      </c>
      <c r="BW3168">
        <v>6.85</v>
      </c>
      <c r="BX3168">
        <v>6.79</v>
      </c>
      <c r="BY3168">
        <v>0.88</v>
      </c>
      <c r="BZ3168">
        <v>0.04</v>
      </c>
      <c r="CA3168">
        <v>0.05</v>
      </c>
      <c r="CB3168">
        <v>3.55</v>
      </c>
      <c r="CC3168">
        <v>5.21</v>
      </c>
      <c r="CD3168">
        <v>2.95</v>
      </c>
      <c r="CE3168">
        <v>0.7</v>
      </c>
      <c r="CF3168">
        <v>0</v>
      </c>
      <c r="CG3168">
        <v>0.71</v>
      </c>
      <c r="CH3168">
        <v>0.51</v>
      </c>
      <c r="CI3168">
        <v>0.51</v>
      </c>
      <c r="CJ3168">
        <v>0.11</v>
      </c>
      <c r="CK3168">
        <v>0.5</v>
      </c>
      <c r="CL3168">
        <v>4.5199999999999996</v>
      </c>
      <c r="CM3168">
        <v>1.0900000000000001</v>
      </c>
      <c r="CN3168">
        <v>0.94</v>
      </c>
      <c r="CO3168">
        <v>26416</v>
      </c>
      <c r="CP3168">
        <v>6186</v>
      </c>
      <c r="CQ3168" t="s">
        <v>10886</v>
      </c>
      <c r="CR3168">
        <v>155.55000000000001</v>
      </c>
      <c r="CS3168">
        <v>29.8</v>
      </c>
      <c r="CT3168">
        <v>1.61</v>
      </c>
      <c r="CU3168">
        <v>27.04</v>
      </c>
      <c r="CV3168">
        <v>5.67</v>
      </c>
      <c r="CW3168">
        <v>14.32</v>
      </c>
      <c r="CX3168" t="s">
        <v>535</v>
      </c>
      <c r="CY3168">
        <v>2.75</v>
      </c>
      <c r="CZ3168">
        <v>0</v>
      </c>
      <c r="DA3168">
        <v>0.53</v>
      </c>
      <c r="DB3168">
        <v>0.68</v>
      </c>
      <c r="DC3168">
        <v>0.16</v>
      </c>
      <c r="DD3168">
        <v>61.23</v>
      </c>
      <c r="DE3168" t="s">
        <v>1500</v>
      </c>
      <c r="DF3168">
        <v>43.43</v>
      </c>
      <c r="DG3168">
        <v>13.41</v>
      </c>
      <c r="DH3168">
        <v>9.7200000000000006</v>
      </c>
      <c r="DI3168" t="s">
        <v>120</v>
      </c>
      <c r="DJ3168">
        <v>1071</v>
      </c>
      <c r="DK3168">
        <v>601086</v>
      </c>
      <c r="DL3168" t="s">
        <v>120</v>
      </c>
      <c r="DM3168" t="s">
        <v>120</v>
      </c>
      <c r="DN3168" t="s">
        <v>120</v>
      </c>
    </row>
    <row r="3169" spans="1:118">
      <c r="A3169" t="str">
        <f>"601088"</f>
        <v>601088</v>
      </c>
      <c r="B3169" t="s">
        <v>13699</v>
      </c>
      <c r="C3169">
        <v>1.27</v>
      </c>
      <c r="D3169">
        <v>0.92</v>
      </c>
      <c r="E3169">
        <v>2.27</v>
      </c>
      <c r="F3169">
        <v>16141</v>
      </c>
      <c r="G3169" t="s">
        <v>13700</v>
      </c>
      <c r="H3169">
        <v>199787.39</v>
      </c>
      <c r="I3169">
        <v>1397.79</v>
      </c>
      <c r="J3169" t="s">
        <v>120</v>
      </c>
      <c r="K3169" t="s">
        <v>13701</v>
      </c>
      <c r="L3169">
        <v>0.51</v>
      </c>
      <c r="M3169">
        <v>23.16</v>
      </c>
      <c r="N3169">
        <v>0.76</v>
      </c>
      <c r="O3169">
        <v>6.91</v>
      </c>
      <c r="P3169">
        <v>24.45</v>
      </c>
      <c r="Q3169">
        <v>-0.22</v>
      </c>
      <c r="R3169">
        <v>22.82</v>
      </c>
      <c r="S3169">
        <v>23.39</v>
      </c>
      <c r="T3169">
        <v>848390</v>
      </c>
      <c r="U3169">
        <v>23.16</v>
      </c>
      <c r="V3169">
        <v>22.87</v>
      </c>
      <c r="W3169">
        <v>8.84</v>
      </c>
      <c r="X3169" t="s">
        <v>1081</v>
      </c>
      <c r="Y3169" t="s">
        <v>158</v>
      </c>
      <c r="Z3169">
        <v>7.13</v>
      </c>
      <c r="AA3169">
        <v>23.55</v>
      </c>
      <c r="AB3169">
        <v>402465</v>
      </c>
      <c r="AC3169">
        <v>445925</v>
      </c>
      <c r="AD3169">
        <v>0.9</v>
      </c>
      <c r="AE3169">
        <v>25</v>
      </c>
      <c r="AF3169">
        <v>1248</v>
      </c>
      <c r="AG3169" t="s">
        <v>120</v>
      </c>
      <c r="AH3169">
        <v>0.02</v>
      </c>
      <c r="AI3169" t="s">
        <v>120</v>
      </c>
      <c r="AJ3169">
        <v>164.91</v>
      </c>
      <c r="AK3169" t="s">
        <v>13701</v>
      </c>
      <c r="AL3169">
        <v>2.61</v>
      </c>
      <c r="AM3169">
        <v>4713</v>
      </c>
      <c r="AN3169">
        <v>180</v>
      </c>
      <c r="AO3169">
        <v>1E-4</v>
      </c>
      <c r="AP3169">
        <v>1</v>
      </c>
      <c r="AQ3169">
        <v>-1.25</v>
      </c>
      <c r="AR3169">
        <v>-3.3</v>
      </c>
      <c r="AS3169">
        <v>33.18</v>
      </c>
      <c r="AT3169">
        <v>27.54</v>
      </c>
      <c r="AU3169">
        <v>42.96</v>
      </c>
      <c r="AV3169">
        <v>2</v>
      </c>
      <c r="AW3169">
        <v>3.17</v>
      </c>
      <c r="AX3169">
        <v>16.239999999999998</v>
      </c>
      <c r="AY3169">
        <v>10.199999999999999</v>
      </c>
      <c r="AZ3169">
        <v>11.6</v>
      </c>
      <c r="BA3169">
        <v>0.84</v>
      </c>
      <c r="BB3169" t="s">
        <v>143</v>
      </c>
      <c r="BF3169">
        <v>2.97</v>
      </c>
      <c r="BG3169">
        <v>-0.98</v>
      </c>
      <c r="BH3169">
        <v>-5.28</v>
      </c>
      <c r="BI3169">
        <v>1.49</v>
      </c>
      <c r="BJ3169">
        <v>20210830</v>
      </c>
      <c r="BK3169">
        <v>20071009</v>
      </c>
      <c r="BL3169">
        <v>198.69</v>
      </c>
      <c r="BM3169" t="s">
        <v>120</v>
      </c>
      <c r="BN3169">
        <v>33.770000000000003</v>
      </c>
      <c r="BO3169">
        <v>5993.34</v>
      </c>
      <c r="BP3169">
        <v>23.14</v>
      </c>
      <c r="BQ3169">
        <v>3511.65</v>
      </c>
      <c r="BR3169">
        <v>701.14</v>
      </c>
      <c r="BS3169">
        <v>29.71</v>
      </c>
      <c r="BT3169">
        <v>2080.89</v>
      </c>
      <c r="BU3169">
        <v>2169.2800000000002</v>
      </c>
      <c r="BV3169">
        <v>450.83</v>
      </c>
      <c r="BW3169">
        <v>1092.5</v>
      </c>
      <c r="BX3169">
        <v>1612.59</v>
      </c>
      <c r="BY3169">
        <v>149.75</v>
      </c>
      <c r="BZ3169">
        <v>102.21</v>
      </c>
      <c r="CA3169" t="s">
        <v>120</v>
      </c>
      <c r="CB3169">
        <v>746.07</v>
      </c>
      <c r="CC3169">
        <v>1439.79</v>
      </c>
      <c r="CD3169">
        <v>967.13</v>
      </c>
      <c r="CE3169">
        <v>374.7</v>
      </c>
      <c r="CF3169">
        <v>7.08</v>
      </c>
      <c r="CG3169">
        <v>373.95</v>
      </c>
      <c r="CH3169">
        <v>310.22000000000003</v>
      </c>
      <c r="CI3169">
        <v>260.26</v>
      </c>
      <c r="CJ3169">
        <v>0.28999999999999998</v>
      </c>
      <c r="CK3169">
        <v>255.62</v>
      </c>
      <c r="CL3169">
        <v>2362.7800000000002</v>
      </c>
      <c r="CM3169">
        <v>402.19</v>
      </c>
      <c r="CN3169">
        <v>443.12</v>
      </c>
      <c r="CO3169">
        <v>192493</v>
      </c>
      <c r="CP3169">
        <v>13914</v>
      </c>
      <c r="CQ3169" t="s">
        <v>13702</v>
      </c>
      <c r="CR3169">
        <v>25.99</v>
      </c>
      <c r="CS3169">
        <v>37.1</v>
      </c>
      <c r="CT3169">
        <v>1.31</v>
      </c>
      <c r="CU3169">
        <v>11.44</v>
      </c>
      <c r="CV3169">
        <v>3.2</v>
      </c>
      <c r="CW3169">
        <v>7.91</v>
      </c>
      <c r="CX3169" t="s">
        <v>13703</v>
      </c>
      <c r="CY3169">
        <v>17.670000000000002</v>
      </c>
      <c r="CZ3169">
        <v>17.670000000000002</v>
      </c>
      <c r="DA3169">
        <v>3.76</v>
      </c>
      <c r="DB3169">
        <v>11.89</v>
      </c>
      <c r="DC3169">
        <v>2.02</v>
      </c>
      <c r="DD3169">
        <v>58.59</v>
      </c>
      <c r="DE3169" t="s">
        <v>8824</v>
      </c>
      <c r="DF3169">
        <v>32.83</v>
      </c>
      <c r="DG3169">
        <v>26.02</v>
      </c>
      <c r="DH3169">
        <v>18.079999999999998</v>
      </c>
      <c r="DI3169">
        <v>4.71</v>
      </c>
      <c r="DJ3169">
        <v>76182</v>
      </c>
      <c r="DK3169">
        <v>601088</v>
      </c>
      <c r="DL3169" t="s">
        <v>120</v>
      </c>
      <c r="DM3169" t="s">
        <v>120</v>
      </c>
      <c r="DN3169" t="s">
        <v>120</v>
      </c>
    </row>
    <row r="3170" spans="1:118">
      <c r="A3170" t="str">
        <f>"601098"</f>
        <v>601098</v>
      </c>
      <c r="B3170" t="s">
        <v>13704</v>
      </c>
      <c r="C3170">
        <v>-3.19</v>
      </c>
      <c r="D3170">
        <v>-0.32</v>
      </c>
      <c r="E3170">
        <v>-0.64</v>
      </c>
      <c r="F3170">
        <v>3542</v>
      </c>
      <c r="G3170" t="s">
        <v>13705</v>
      </c>
      <c r="H3170">
        <v>8425.77</v>
      </c>
      <c r="I3170">
        <v>8.58</v>
      </c>
      <c r="J3170" t="s">
        <v>120</v>
      </c>
      <c r="K3170" t="s">
        <v>13706</v>
      </c>
      <c r="L3170">
        <v>0.51</v>
      </c>
      <c r="M3170">
        <v>9.09</v>
      </c>
      <c r="N3170">
        <v>0.77</v>
      </c>
      <c r="O3170">
        <v>-0.21</v>
      </c>
      <c r="P3170">
        <v>9.3699999999999992</v>
      </c>
      <c r="Q3170">
        <v>-3.19</v>
      </c>
      <c r="R3170">
        <v>9.09</v>
      </c>
      <c r="S3170">
        <v>9.33</v>
      </c>
      <c r="T3170">
        <v>91332</v>
      </c>
      <c r="U3170">
        <v>9.1199999999999992</v>
      </c>
      <c r="V3170">
        <v>9.39</v>
      </c>
      <c r="W3170">
        <v>10.69</v>
      </c>
      <c r="X3170" t="s">
        <v>1730</v>
      </c>
      <c r="Y3170" t="s">
        <v>594</v>
      </c>
      <c r="Z3170">
        <v>2.98</v>
      </c>
      <c r="AA3170">
        <v>9.23</v>
      </c>
      <c r="AB3170">
        <v>58170</v>
      </c>
      <c r="AC3170">
        <v>33162</v>
      </c>
      <c r="AD3170">
        <v>1.75</v>
      </c>
      <c r="AE3170">
        <v>906</v>
      </c>
      <c r="AF3170">
        <v>52</v>
      </c>
      <c r="AG3170" t="s">
        <v>120</v>
      </c>
      <c r="AH3170">
        <v>0</v>
      </c>
      <c r="AI3170" t="s">
        <v>120</v>
      </c>
      <c r="AJ3170">
        <v>17.96</v>
      </c>
      <c r="AK3170" t="s">
        <v>13706</v>
      </c>
      <c r="AL3170">
        <v>-1.85</v>
      </c>
      <c r="AM3170">
        <v>3391</v>
      </c>
      <c r="AN3170">
        <v>27</v>
      </c>
      <c r="AO3170">
        <v>1E-4</v>
      </c>
      <c r="AP3170">
        <v>-1</v>
      </c>
      <c r="AQ3170">
        <v>3.3</v>
      </c>
      <c r="AR3170">
        <v>-1.0900000000000001</v>
      </c>
      <c r="AS3170">
        <v>10.99</v>
      </c>
      <c r="AT3170">
        <v>1.91</v>
      </c>
      <c r="AU3170">
        <v>2.14</v>
      </c>
      <c r="AV3170">
        <v>0</v>
      </c>
      <c r="AW3170">
        <v>1.44</v>
      </c>
      <c r="AX3170">
        <v>35.31</v>
      </c>
      <c r="AY3170">
        <v>10.79</v>
      </c>
      <c r="AZ3170">
        <v>11.74</v>
      </c>
      <c r="BA3170">
        <v>0.22</v>
      </c>
      <c r="BB3170" t="s">
        <v>168</v>
      </c>
      <c r="BF3170">
        <v>-1.75</v>
      </c>
      <c r="BG3170">
        <v>-2.57</v>
      </c>
      <c r="BH3170">
        <v>-2.99</v>
      </c>
      <c r="BI3170">
        <v>0</v>
      </c>
      <c r="BJ3170">
        <v>20210830</v>
      </c>
      <c r="BK3170">
        <v>20101028</v>
      </c>
      <c r="BL3170">
        <v>17.96</v>
      </c>
      <c r="BM3170" t="s">
        <v>120</v>
      </c>
      <c r="BN3170" t="s">
        <v>120</v>
      </c>
      <c r="BO3170">
        <v>231.7</v>
      </c>
      <c r="BP3170">
        <v>9.09</v>
      </c>
      <c r="BQ3170">
        <v>136.30000000000001</v>
      </c>
      <c r="BR3170">
        <v>8.41</v>
      </c>
      <c r="BS3170">
        <v>37.549999999999997</v>
      </c>
      <c r="BT3170">
        <v>199.36</v>
      </c>
      <c r="BU3170">
        <v>13.77</v>
      </c>
      <c r="BV3170">
        <v>9.6999999999999993</v>
      </c>
      <c r="BW3170">
        <v>81.86</v>
      </c>
      <c r="BX3170">
        <v>117.23</v>
      </c>
      <c r="BY3170">
        <v>15.87</v>
      </c>
      <c r="BZ3170">
        <v>16.22</v>
      </c>
      <c r="CA3170">
        <v>7.0000000000000007E-2</v>
      </c>
      <c r="CB3170">
        <v>44.23</v>
      </c>
      <c r="CC3170">
        <v>55.16</v>
      </c>
      <c r="CD3170">
        <v>31.8</v>
      </c>
      <c r="CE3170">
        <v>8.2100000000000009</v>
      </c>
      <c r="CF3170">
        <v>0.31</v>
      </c>
      <c r="CG3170">
        <v>8.1999999999999993</v>
      </c>
      <c r="CH3170">
        <v>8.07</v>
      </c>
      <c r="CI3170">
        <v>7.64</v>
      </c>
      <c r="CJ3170">
        <v>-0.3</v>
      </c>
      <c r="CK3170">
        <v>7.51</v>
      </c>
      <c r="CL3170">
        <v>61.21</v>
      </c>
      <c r="CM3170">
        <v>-6.12</v>
      </c>
      <c r="CN3170">
        <v>-4.3600000000000003</v>
      </c>
      <c r="CO3170">
        <v>32685</v>
      </c>
      <c r="CP3170">
        <v>19401</v>
      </c>
      <c r="CQ3170" t="s">
        <v>3456</v>
      </c>
      <c r="CR3170">
        <v>19.8</v>
      </c>
      <c r="CS3170">
        <v>33.54</v>
      </c>
      <c r="CT3170">
        <v>1.2</v>
      </c>
      <c r="CU3170">
        <v>-26.69</v>
      </c>
      <c r="CV3170">
        <v>2.96</v>
      </c>
      <c r="CW3170">
        <v>6.71</v>
      </c>
      <c r="CX3170" t="s">
        <v>1462</v>
      </c>
      <c r="CY3170">
        <v>7.59</v>
      </c>
      <c r="CZ3170">
        <v>0</v>
      </c>
      <c r="DA3170">
        <v>2.46</v>
      </c>
      <c r="DB3170">
        <v>3.41</v>
      </c>
      <c r="DC3170">
        <v>-0.34</v>
      </c>
      <c r="DD3170">
        <v>58.82</v>
      </c>
      <c r="DE3170" t="s">
        <v>2955</v>
      </c>
      <c r="DF3170">
        <v>42.36</v>
      </c>
      <c r="DG3170">
        <v>14.88</v>
      </c>
      <c r="DH3170">
        <v>13.84</v>
      </c>
      <c r="DI3170">
        <v>0.22</v>
      </c>
      <c r="DJ3170">
        <v>13264</v>
      </c>
      <c r="DK3170">
        <v>601098</v>
      </c>
      <c r="DL3170" t="s">
        <v>120</v>
      </c>
      <c r="DM3170" t="s">
        <v>120</v>
      </c>
      <c r="DN3170" t="s">
        <v>120</v>
      </c>
    </row>
    <row r="3171" spans="1:118">
      <c r="A3171" t="str">
        <f>"601099"</f>
        <v>601099</v>
      </c>
      <c r="B3171" t="s">
        <v>13707</v>
      </c>
      <c r="C3171">
        <v>-0.28000000000000003</v>
      </c>
      <c r="D3171">
        <v>0.28999999999999998</v>
      </c>
      <c r="E3171">
        <v>0.28000000000000003</v>
      </c>
      <c r="F3171">
        <v>22425</v>
      </c>
      <c r="G3171" t="s">
        <v>13708</v>
      </c>
      <c r="H3171">
        <v>75501.679999999993</v>
      </c>
      <c r="I3171">
        <v>521.66</v>
      </c>
      <c r="J3171" t="s">
        <v>120</v>
      </c>
      <c r="K3171" t="s">
        <v>13709</v>
      </c>
      <c r="L3171">
        <v>3.12</v>
      </c>
      <c r="M3171">
        <v>3.51</v>
      </c>
      <c r="N3171">
        <v>1.03</v>
      </c>
      <c r="O3171">
        <v>2.56</v>
      </c>
      <c r="P3171">
        <v>3.61</v>
      </c>
      <c r="Q3171">
        <v>-1.1399999999999999</v>
      </c>
      <c r="R3171">
        <v>3.48</v>
      </c>
      <c r="S3171">
        <v>3.53</v>
      </c>
      <c r="T3171">
        <v>2127948</v>
      </c>
      <c r="U3171">
        <v>3.51</v>
      </c>
      <c r="V3171">
        <v>3.52</v>
      </c>
      <c r="W3171">
        <v>86.95</v>
      </c>
      <c r="X3171" t="s">
        <v>616</v>
      </c>
      <c r="Y3171" t="s">
        <v>1006</v>
      </c>
      <c r="Z3171">
        <v>3.69</v>
      </c>
      <c r="AA3171">
        <v>3.55</v>
      </c>
      <c r="AB3171">
        <v>1017030</v>
      </c>
      <c r="AC3171">
        <v>1110918</v>
      </c>
      <c r="AD3171">
        <v>0.92</v>
      </c>
      <c r="AE3171">
        <v>19228</v>
      </c>
      <c r="AF3171">
        <v>11963</v>
      </c>
      <c r="AG3171" t="s">
        <v>120</v>
      </c>
      <c r="AH3171">
        <v>0.02</v>
      </c>
      <c r="AI3171" t="s">
        <v>120</v>
      </c>
      <c r="AJ3171">
        <v>68.16</v>
      </c>
      <c r="AK3171" t="s">
        <v>13709</v>
      </c>
      <c r="AL3171">
        <v>1.06</v>
      </c>
      <c r="AM3171">
        <v>4473</v>
      </c>
      <c r="AN3171">
        <v>476</v>
      </c>
      <c r="AO3171">
        <v>6.9999999999999999E-4</v>
      </c>
      <c r="AP3171">
        <v>-1</v>
      </c>
      <c r="AQ3171">
        <v>1.44</v>
      </c>
      <c r="AR3171">
        <v>-1.1200000000000001</v>
      </c>
      <c r="AS3171">
        <v>9.01</v>
      </c>
      <c r="AT3171">
        <v>2.63</v>
      </c>
      <c r="AU3171">
        <v>-13.98</v>
      </c>
      <c r="AV3171">
        <v>0</v>
      </c>
      <c r="AW3171">
        <v>3.5</v>
      </c>
      <c r="AX3171">
        <v>89.08</v>
      </c>
      <c r="AY3171" t="s">
        <v>120</v>
      </c>
      <c r="AZ3171" t="s">
        <v>120</v>
      </c>
      <c r="BA3171">
        <v>0.79</v>
      </c>
      <c r="BB3171" t="s">
        <v>184</v>
      </c>
      <c r="BF3171">
        <v>0.8</v>
      </c>
      <c r="BG3171">
        <v>-0.56999999999999995</v>
      </c>
      <c r="BH3171">
        <v>-2.77</v>
      </c>
      <c r="BI3171">
        <v>0.86</v>
      </c>
      <c r="BJ3171">
        <v>20210831</v>
      </c>
      <c r="BK3171">
        <v>20071228</v>
      </c>
      <c r="BL3171">
        <v>68.16</v>
      </c>
      <c r="BM3171" t="s">
        <v>120</v>
      </c>
      <c r="BN3171" t="s">
        <v>120</v>
      </c>
      <c r="BO3171">
        <v>248.87</v>
      </c>
      <c r="BP3171">
        <v>3.5</v>
      </c>
      <c r="BQ3171">
        <v>97.25</v>
      </c>
      <c r="BR3171">
        <v>0.49</v>
      </c>
      <c r="BS3171">
        <v>60.73</v>
      </c>
      <c r="BT3171">
        <v>0</v>
      </c>
      <c r="BU3171">
        <v>2.31</v>
      </c>
      <c r="BV3171">
        <v>0.43</v>
      </c>
      <c r="BW3171">
        <v>0</v>
      </c>
      <c r="BX3171">
        <v>81.319999999999993</v>
      </c>
      <c r="BY3171">
        <v>0</v>
      </c>
      <c r="BZ3171">
        <v>0</v>
      </c>
      <c r="CA3171" t="s">
        <v>120</v>
      </c>
      <c r="CB3171">
        <v>27.98</v>
      </c>
      <c r="CC3171">
        <v>6.72</v>
      </c>
      <c r="CD3171">
        <v>0</v>
      </c>
      <c r="CE3171">
        <v>1.75</v>
      </c>
      <c r="CF3171">
        <v>3.56</v>
      </c>
      <c r="CG3171">
        <v>1.74</v>
      </c>
      <c r="CH3171">
        <v>1.39</v>
      </c>
      <c r="CI3171">
        <v>1.38</v>
      </c>
      <c r="CJ3171">
        <v>-0.01</v>
      </c>
      <c r="CK3171">
        <v>1.37</v>
      </c>
      <c r="CL3171">
        <v>-9.36</v>
      </c>
      <c r="CM3171">
        <v>28.7</v>
      </c>
      <c r="CN3171">
        <v>21.69</v>
      </c>
      <c r="CO3171">
        <v>339191</v>
      </c>
      <c r="CP3171">
        <v>17902</v>
      </c>
      <c r="CQ3171" t="s">
        <v>5571</v>
      </c>
      <c r="CR3171">
        <v>159.94999999999999</v>
      </c>
      <c r="CS3171">
        <v>35.700000000000003</v>
      </c>
      <c r="CT3171">
        <v>2.46</v>
      </c>
      <c r="CU3171">
        <v>8.34</v>
      </c>
      <c r="CV3171">
        <v>35.61</v>
      </c>
      <c r="CW3171">
        <v>0</v>
      </c>
      <c r="CX3171" t="s">
        <v>499</v>
      </c>
      <c r="CY3171">
        <v>1.43</v>
      </c>
      <c r="CZ3171">
        <v>0</v>
      </c>
      <c r="DA3171">
        <v>0.41</v>
      </c>
      <c r="DB3171">
        <v>-0.14000000000000001</v>
      </c>
      <c r="DC3171">
        <v>0.42</v>
      </c>
      <c r="DD3171">
        <v>39.08</v>
      </c>
      <c r="DE3171" t="s">
        <v>2092</v>
      </c>
      <c r="DF3171" t="s">
        <v>120</v>
      </c>
      <c r="DG3171">
        <v>26.02</v>
      </c>
      <c r="DH3171">
        <v>20.48</v>
      </c>
      <c r="DI3171" t="s">
        <v>120</v>
      </c>
      <c r="DJ3171">
        <v>1711</v>
      </c>
      <c r="DK3171">
        <v>601099</v>
      </c>
      <c r="DL3171" t="s">
        <v>120</v>
      </c>
      <c r="DM3171" t="s">
        <v>120</v>
      </c>
      <c r="DN3171" t="s">
        <v>120</v>
      </c>
    </row>
    <row r="3172" spans="1:118">
      <c r="A3172" t="str">
        <f>"601100"</f>
        <v>601100</v>
      </c>
      <c r="B3172" t="s">
        <v>13710</v>
      </c>
      <c r="C3172">
        <v>-2.67</v>
      </c>
      <c r="D3172">
        <v>0.15</v>
      </c>
      <c r="E3172">
        <v>-1.1599999999999999</v>
      </c>
      <c r="F3172">
        <v>1296</v>
      </c>
      <c r="G3172" t="s">
        <v>13711</v>
      </c>
      <c r="H3172">
        <v>56338.06</v>
      </c>
      <c r="I3172">
        <v>153.47</v>
      </c>
      <c r="J3172" t="s">
        <v>120</v>
      </c>
      <c r="K3172" t="s">
        <v>13712</v>
      </c>
      <c r="L3172">
        <v>0.49</v>
      </c>
      <c r="M3172">
        <v>88.38</v>
      </c>
      <c r="N3172">
        <v>1</v>
      </c>
      <c r="O3172">
        <v>0.2</v>
      </c>
      <c r="P3172">
        <v>90.98</v>
      </c>
      <c r="Q3172">
        <v>-4.54</v>
      </c>
      <c r="R3172">
        <v>86.68</v>
      </c>
      <c r="S3172">
        <v>89.75</v>
      </c>
      <c r="T3172">
        <v>63576</v>
      </c>
      <c r="U3172">
        <v>88.49</v>
      </c>
      <c r="V3172">
        <v>90.8</v>
      </c>
      <c r="W3172">
        <v>40.94</v>
      </c>
      <c r="X3172" t="s">
        <v>593</v>
      </c>
      <c r="Y3172" t="s">
        <v>319</v>
      </c>
      <c r="Z3172">
        <v>4.74</v>
      </c>
      <c r="AA3172">
        <v>88.62</v>
      </c>
      <c r="AB3172">
        <v>33896</v>
      </c>
      <c r="AC3172">
        <v>29680</v>
      </c>
      <c r="AD3172">
        <v>1.1399999999999999</v>
      </c>
      <c r="AE3172">
        <v>8</v>
      </c>
      <c r="AF3172">
        <v>42</v>
      </c>
      <c r="AG3172" t="s">
        <v>120</v>
      </c>
      <c r="AH3172">
        <v>0</v>
      </c>
      <c r="AI3172" t="s">
        <v>120</v>
      </c>
      <c r="AJ3172">
        <v>13.05</v>
      </c>
      <c r="AK3172" t="s">
        <v>13712</v>
      </c>
      <c r="AL3172">
        <v>-1.32</v>
      </c>
      <c r="AM3172">
        <v>4356</v>
      </c>
      <c r="AN3172">
        <v>15</v>
      </c>
      <c r="AO3172">
        <v>1E-4</v>
      </c>
      <c r="AP3172">
        <v>-1</v>
      </c>
      <c r="AQ3172">
        <v>1</v>
      </c>
      <c r="AR3172">
        <v>-3.68</v>
      </c>
      <c r="AS3172">
        <v>-13.52</v>
      </c>
      <c r="AT3172">
        <v>19.27</v>
      </c>
      <c r="AU3172">
        <v>-21.37</v>
      </c>
      <c r="AV3172">
        <v>2</v>
      </c>
      <c r="AW3172">
        <v>1.57</v>
      </c>
      <c r="AX3172">
        <v>31.07</v>
      </c>
      <c r="AY3172">
        <v>44.28</v>
      </c>
      <c r="AZ3172">
        <v>52.59</v>
      </c>
      <c r="BA3172">
        <v>1.67</v>
      </c>
      <c r="BB3172" t="s">
        <v>143</v>
      </c>
      <c r="BF3172">
        <v>-2.41</v>
      </c>
      <c r="BG3172">
        <v>-1.53</v>
      </c>
      <c r="BH3172">
        <v>-2.86</v>
      </c>
      <c r="BI3172">
        <v>1.96</v>
      </c>
      <c r="BJ3172">
        <v>20210824</v>
      </c>
      <c r="BK3172">
        <v>20111028</v>
      </c>
      <c r="BL3172">
        <v>13.05</v>
      </c>
      <c r="BM3172" t="s">
        <v>120</v>
      </c>
      <c r="BN3172" t="s">
        <v>120</v>
      </c>
      <c r="BO3172">
        <v>117.25</v>
      </c>
      <c r="BP3172">
        <v>88.38</v>
      </c>
      <c r="BQ3172">
        <v>79.23</v>
      </c>
      <c r="BR3172">
        <v>0.41</v>
      </c>
      <c r="BS3172">
        <v>32.08</v>
      </c>
      <c r="BT3172">
        <v>86.9</v>
      </c>
      <c r="BU3172">
        <v>24.74</v>
      </c>
      <c r="BV3172">
        <v>2.72</v>
      </c>
      <c r="BW3172">
        <v>29.17</v>
      </c>
      <c r="BX3172">
        <v>36.89</v>
      </c>
      <c r="BY3172">
        <v>12.46</v>
      </c>
      <c r="BZ3172">
        <v>11.21</v>
      </c>
      <c r="CA3172">
        <v>0.01</v>
      </c>
      <c r="CB3172">
        <v>14.11</v>
      </c>
      <c r="CC3172">
        <v>52.27</v>
      </c>
      <c r="CD3172">
        <v>30.83</v>
      </c>
      <c r="CE3172">
        <v>16.71</v>
      </c>
      <c r="CF3172">
        <v>0.05</v>
      </c>
      <c r="CG3172">
        <v>16.809999999999999</v>
      </c>
      <c r="CH3172">
        <v>14.12</v>
      </c>
      <c r="CI3172">
        <v>14.09</v>
      </c>
      <c r="CJ3172">
        <v>-2.42</v>
      </c>
      <c r="CK3172">
        <v>13.78</v>
      </c>
      <c r="CL3172">
        <v>47.39</v>
      </c>
      <c r="CM3172">
        <v>11.85</v>
      </c>
      <c r="CN3172">
        <v>11.05</v>
      </c>
      <c r="CO3172">
        <v>67337</v>
      </c>
      <c r="CP3172">
        <v>6024</v>
      </c>
      <c r="CQ3172" t="s">
        <v>13713</v>
      </c>
      <c r="CR3172">
        <v>42.87</v>
      </c>
      <c r="CS3172">
        <v>51.25</v>
      </c>
      <c r="CT3172">
        <v>14.56</v>
      </c>
      <c r="CU3172">
        <v>97.36</v>
      </c>
      <c r="CV3172">
        <v>22.07</v>
      </c>
      <c r="CW3172">
        <v>0.66</v>
      </c>
      <c r="CX3172" t="s">
        <v>11033</v>
      </c>
      <c r="CY3172">
        <v>6.07</v>
      </c>
      <c r="CZ3172">
        <v>0</v>
      </c>
      <c r="DA3172">
        <v>1.08</v>
      </c>
      <c r="DB3172">
        <v>3.63</v>
      </c>
      <c r="DC3172">
        <v>0.91</v>
      </c>
      <c r="DD3172">
        <v>67.569999999999993</v>
      </c>
      <c r="DE3172" t="s">
        <v>13714</v>
      </c>
      <c r="DF3172">
        <v>41.02</v>
      </c>
      <c r="DG3172">
        <v>31.97</v>
      </c>
      <c r="DH3172">
        <v>26.96</v>
      </c>
      <c r="DI3172">
        <v>2.4300000000000002</v>
      </c>
      <c r="DJ3172">
        <v>5373</v>
      </c>
      <c r="DK3172">
        <v>601100</v>
      </c>
      <c r="DL3172" t="s">
        <v>120</v>
      </c>
      <c r="DM3172" t="s">
        <v>120</v>
      </c>
      <c r="DN3172" t="s">
        <v>120</v>
      </c>
    </row>
    <row r="3173" spans="1:118">
      <c r="A3173" t="str">
        <f>"601101"</f>
        <v>601101</v>
      </c>
      <c r="B3173" t="s">
        <v>13715</v>
      </c>
      <c r="C3173">
        <v>1.91</v>
      </c>
      <c r="D3173">
        <v>-0.15</v>
      </c>
      <c r="E3173">
        <v>4.29</v>
      </c>
      <c r="F3173">
        <v>5818</v>
      </c>
      <c r="G3173" t="s">
        <v>13716</v>
      </c>
      <c r="H3173">
        <v>95606.09</v>
      </c>
      <c r="I3173">
        <v>1666.24</v>
      </c>
      <c r="J3173" t="s">
        <v>120</v>
      </c>
      <c r="K3173" t="s">
        <v>13717</v>
      </c>
      <c r="L3173">
        <v>6.05</v>
      </c>
      <c r="M3173">
        <v>12.82</v>
      </c>
      <c r="N3173">
        <v>0.91</v>
      </c>
      <c r="O3173">
        <v>8.59</v>
      </c>
      <c r="P3173">
        <v>13.66</v>
      </c>
      <c r="Q3173">
        <v>0.64</v>
      </c>
      <c r="R3173">
        <v>12.66</v>
      </c>
      <c r="S3173">
        <v>13.12</v>
      </c>
      <c r="T3173">
        <v>726389</v>
      </c>
      <c r="U3173">
        <v>12.83</v>
      </c>
      <c r="V3173">
        <v>12.58</v>
      </c>
      <c r="W3173">
        <v>12.19</v>
      </c>
      <c r="X3173" t="s">
        <v>1081</v>
      </c>
      <c r="Y3173" t="s">
        <v>158</v>
      </c>
      <c r="Z3173">
        <v>7.95</v>
      </c>
      <c r="AA3173">
        <v>13.16</v>
      </c>
      <c r="AB3173">
        <v>377306</v>
      </c>
      <c r="AC3173">
        <v>349083</v>
      </c>
      <c r="AD3173">
        <v>1.08</v>
      </c>
      <c r="AE3173">
        <v>492</v>
      </c>
      <c r="AF3173">
        <v>183</v>
      </c>
      <c r="AG3173" t="s">
        <v>120</v>
      </c>
      <c r="AH3173">
        <v>0.28999999999999998</v>
      </c>
      <c r="AI3173" t="s">
        <v>120</v>
      </c>
      <c r="AJ3173">
        <v>12</v>
      </c>
      <c r="AK3173" t="s">
        <v>13717</v>
      </c>
      <c r="AL3173">
        <v>3.25</v>
      </c>
      <c r="AM3173">
        <v>4687</v>
      </c>
      <c r="AN3173">
        <v>155</v>
      </c>
      <c r="AO3173">
        <v>1.2999999999999999E-3</v>
      </c>
      <c r="AP3173">
        <v>1</v>
      </c>
      <c r="AQ3173">
        <v>-3.6</v>
      </c>
      <c r="AR3173">
        <v>3.72</v>
      </c>
      <c r="AS3173">
        <v>81.59</v>
      </c>
      <c r="AT3173">
        <v>144.19</v>
      </c>
      <c r="AU3173">
        <v>173.93</v>
      </c>
      <c r="AV3173">
        <v>11</v>
      </c>
      <c r="AW3173">
        <v>16.5</v>
      </c>
      <c r="AX3173">
        <v>36.69</v>
      </c>
      <c r="AY3173">
        <v>25.81</v>
      </c>
      <c r="AZ3173">
        <v>315.18</v>
      </c>
      <c r="BA3173">
        <v>0.69</v>
      </c>
      <c r="BB3173" t="s">
        <v>125</v>
      </c>
      <c r="BF3173">
        <v>4.63</v>
      </c>
      <c r="BG3173">
        <v>-2.29</v>
      </c>
      <c r="BH3173">
        <v>-6.15</v>
      </c>
      <c r="BI3173">
        <v>1.26</v>
      </c>
      <c r="BJ3173">
        <v>20210824</v>
      </c>
      <c r="BK3173">
        <v>20100331</v>
      </c>
      <c r="BL3173">
        <v>12</v>
      </c>
      <c r="BM3173" t="s">
        <v>120</v>
      </c>
      <c r="BN3173" t="s">
        <v>120</v>
      </c>
      <c r="BO3173">
        <v>257.3</v>
      </c>
      <c r="BP3173">
        <v>12.82</v>
      </c>
      <c r="BQ3173">
        <v>83.08</v>
      </c>
      <c r="BR3173">
        <v>37.76</v>
      </c>
      <c r="BS3173">
        <v>53.04</v>
      </c>
      <c r="BT3173">
        <v>40.020000000000003</v>
      </c>
      <c r="BU3173">
        <v>76.69</v>
      </c>
      <c r="BV3173">
        <v>102.96</v>
      </c>
      <c r="BW3173">
        <v>48.92</v>
      </c>
      <c r="BX3173">
        <v>33.119999999999997</v>
      </c>
      <c r="BY3173">
        <v>1.75</v>
      </c>
      <c r="BZ3173">
        <v>1.74</v>
      </c>
      <c r="CA3173" t="s">
        <v>120</v>
      </c>
      <c r="CB3173">
        <v>33.22</v>
      </c>
      <c r="CC3173">
        <v>31.26</v>
      </c>
      <c r="CD3173">
        <v>12.52</v>
      </c>
      <c r="CE3173">
        <v>11.18</v>
      </c>
      <c r="CF3173">
        <v>-0.17</v>
      </c>
      <c r="CG3173">
        <v>11.02</v>
      </c>
      <c r="CH3173">
        <v>8.7100000000000009</v>
      </c>
      <c r="CI3173">
        <v>6.31</v>
      </c>
      <c r="CJ3173">
        <v>0.24</v>
      </c>
      <c r="CK3173">
        <v>6.21</v>
      </c>
      <c r="CL3173">
        <v>25.09</v>
      </c>
      <c r="CM3173">
        <v>15.99</v>
      </c>
      <c r="CN3173">
        <v>18.12</v>
      </c>
      <c r="CO3173">
        <v>43118</v>
      </c>
      <c r="CP3173">
        <v>10212</v>
      </c>
      <c r="CQ3173" t="s">
        <v>4071</v>
      </c>
      <c r="CR3173">
        <v>570.16999999999996</v>
      </c>
      <c r="CS3173">
        <v>52.67</v>
      </c>
      <c r="CT3173">
        <v>1.85</v>
      </c>
      <c r="CU3173">
        <v>9.6199999999999992</v>
      </c>
      <c r="CV3173">
        <v>4.92</v>
      </c>
      <c r="CW3173">
        <v>0.24</v>
      </c>
      <c r="CX3173" t="s">
        <v>2391</v>
      </c>
      <c r="CY3173">
        <v>6.92</v>
      </c>
      <c r="CZ3173">
        <v>0</v>
      </c>
      <c r="DA3173">
        <v>2.77</v>
      </c>
      <c r="DB3173">
        <v>2.09</v>
      </c>
      <c r="DC3173">
        <v>1.33</v>
      </c>
      <c r="DD3173">
        <v>32.29</v>
      </c>
      <c r="DE3173" t="s">
        <v>13718</v>
      </c>
      <c r="DF3173">
        <v>59.94</v>
      </c>
      <c r="DG3173">
        <v>35.76</v>
      </c>
      <c r="DH3173">
        <v>20.190000000000001</v>
      </c>
      <c r="DI3173" t="s">
        <v>120</v>
      </c>
      <c r="DJ3173">
        <v>5437</v>
      </c>
      <c r="DK3173">
        <v>601101</v>
      </c>
      <c r="DL3173">
        <v>20210721</v>
      </c>
      <c r="DM3173">
        <v>6.14</v>
      </c>
      <c r="DN3173">
        <v>108.79</v>
      </c>
    </row>
    <row r="3174" spans="1:118">
      <c r="A3174" t="str">
        <f>"601106"</f>
        <v>601106</v>
      </c>
      <c r="B3174" t="s">
        <v>13719</v>
      </c>
      <c r="C3174">
        <v>-3.55</v>
      </c>
      <c r="D3174">
        <v>-0.23</v>
      </c>
      <c r="E3174">
        <v>0</v>
      </c>
      <c r="F3174">
        <v>8462</v>
      </c>
      <c r="G3174" t="s">
        <v>13720</v>
      </c>
      <c r="H3174">
        <v>41566.300000000003</v>
      </c>
      <c r="I3174">
        <v>183.2</v>
      </c>
      <c r="J3174" t="s">
        <v>120</v>
      </c>
      <c r="K3174" t="s">
        <v>13721</v>
      </c>
      <c r="L3174">
        <v>1.46</v>
      </c>
      <c r="M3174">
        <v>4.08</v>
      </c>
      <c r="N3174">
        <v>0.62</v>
      </c>
      <c r="O3174">
        <v>0.95</v>
      </c>
      <c r="P3174">
        <v>4.2699999999999996</v>
      </c>
      <c r="Q3174">
        <v>-4.0199999999999996</v>
      </c>
      <c r="R3174">
        <v>4.0599999999999996</v>
      </c>
      <c r="S3174">
        <v>4.2300000000000004</v>
      </c>
      <c r="T3174">
        <v>1001878</v>
      </c>
      <c r="U3174">
        <v>4.09</v>
      </c>
      <c r="V3174">
        <v>4.2300000000000004</v>
      </c>
      <c r="W3174">
        <v>242.07</v>
      </c>
      <c r="X3174" t="s">
        <v>593</v>
      </c>
      <c r="Y3174" t="s">
        <v>1686</v>
      </c>
      <c r="Z3174">
        <v>4.96</v>
      </c>
      <c r="AA3174">
        <v>4.1500000000000004</v>
      </c>
      <c r="AB3174">
        <v>542428</v>
      </c>
      <c r="AC3174">
        <v>459450</v>
      </c>
      <c r="AD3174">
        <v>1.18</v>
      </c>
      <c r="AE3174">
        <v>4382</v>
      </c>
      <c r="AF3174">
        <v>3480</v>
      </c>
      <c r="AG3174" t="s">
        <v>120</v>
      </c>
      <c r="AH3174">
        <v>0.02</v>
      </c>
      <c r="AI3174" t="s">
        <v>120</v>
      </c>
      <c r="AJ3174">
        <v>68.58</v>
      </c>
      <c r="AK3174" t="s">
        <v>13721</v>
      </c>
      <c r="AL3174">
        <v>-2.2000000000000002</v>
      </c>
      <c r="AM3174">
        <v>4348</v>
      </c>
      <c r="AN3174">
        <v>230</v>
      </c>
      <c r="AO3174">
        <v>2.9999999999999997E-4</v>
      </c>
      <c r="AP3174">
        <v>-1</v>
      </c>
      <c r="AQ3174">
        <v>0.71</v>
      </c>
      <c r="AR3174">
        <v>-6.85</v>
      </c>
      <c r="AS3174">
        <v>24.77</v>
      </c>
      <c r="AT3174">
        <v>44.68</v>
      </c>
      <c r="AU3174">
        <v>36.450000000000003</v>
      </c>
      <c r="AV3174">
        <v>6</v>
      </c>
      <c r="AW3174">
        <v>4.04</v>
      </c>
      <c r="AX3174">
        <v>36.119999999999997</v>
      </c>
      <c r="AY3174">
        <v>213.29</v>
      </c>
      <c r="AZ3174">
        <v>222.34</v>
      </c>
      <c r="BA3174">
        <v>1.37</v>
      </c>
      <c r="BB3174" t="s">
        <v>143</v>
      </c>
      <c r="BF3174">
        <v>-1.92</v>
      </c>
      <c r="BG3174">
        <v>-3.55</v>
      </c>
      <c r="BH3174">
        <v>-4.45</v>
      </c>
      <c r="BI3174">
        <v>0.49</v>
      </c>
      <c r="BJ3174">
        <v>20210827</v>
      </c>
      <c r="BK3174">
        <v>20100209</v>
      </c>
      <c r="BL3174">
        <v>68.58</v>
      </c>
      <c r="BM3174" t="s">
        <v>120</v>
      </c>
      <c r="BN3174" t="s">
        <v>120</v>
      </c>
      <c r="BO3174">
        <v>380.06</v>
      </c>
      <c r="BP3174">
        <v>4.08</v>
      </c>
      <c r="BQ3174">
        <v>111.97</v>
      </c>
      <c r="BR3174">
        <v>1.21</v>
      </c>
      <c r="BS3174">
        <v>70.22</v>
      </c>
      <c r="BT3174">
        <v>270.26</v>
      </c>
      <c r="BU3174">
        <v>62.76</v>
      </c>
      <c r="BV3174">
        <v>14.5</v>
      </c>
      <c r="BW3174">
        <v>185.49</v>
      </c>
      <c r="BX3174">
        <v>39.17</v>
      </c>
      <c r="BY3174">
        <v>42.95</v>
      </c>
      <c r="BZ3174">
        <v>53.03</v>
      </c>
      <c r="CA3174" t="s">
        <v>120</v>
      </c>
      <c r="CB3174">
        <v>96.18</v>
      </c>
      <c r="CC3174">
        <v>104.93</v>
      </c>
      <c r="CD3174">
        <v>94.01</v>
      </c>
      <c r="CE3174">
        <v>0.86</v>
      </c>
      <c r="CF3174">
        <v>-0.12</v>
      </c>
      <c r="CG3174">
        <v>0.89</v>
      </c>
      <c r="CH3174">
        <v>0.57999999999999996</v>
      </c>
      <c r="CI3174">
        <v>0.57999999999999996</v>
      </c>
      <c r="CJ3174">
        <v>-0.15</v>
      </c>
      <c r="CK3174">
        <v>0.43</v>
      </c>
      <c r="CL3174">
        <v>-54.34</v>
      </c>
      <c r="CM3174">
        <v>-18.440000000000001</v>
      </c>
      <c r="CN3174">
        <v>13.59</v>
      </c>
      <c r="CO3174">
        <v>278922</v>
      </c>
      <c r="CP3174">
        <v>8881</v>
      </c>
      <c r="CQ3174" t="s">
        <v>13722</v>
      </c>
      <c r="CR3174">
        <v>10.59</v>
      </c>
      <c r="CS3174">
        <v>22.08</v>
      </c>
      <c r="CT3174">
        <v>2.5</v>
      </c>
      <c r="CU3174">
        <v>-15.18</v>
      </c>
      <c r="CV3174">
        <v>2.67</v>
      </c>
      <c r="CW3174">
        <v>0</v>
      </c>
      <c r="CX3174" t="s">
        <v>2587</v>
      </c>
      <c r="CY3174">
        <v>1.63</v>
      </c>
      <c r="CZ3174">
        <v>0</v>
      </c>
      <c r="DA3174">
        <v>1.4</v>
      </c>
      <c r="DB3174">
        <v>-0.79</v>
      </c>
      <c r="DC3174">
        <v>-0.27</v>
      </c>
      <c r="DD3174">
        <v>29.46</v>
      </c>
      <c r="DE3174" t="s">
        <v>2746</v>
      </c>
      <c r="DF3174">
        <v>10.41</v>
      </c>
      <c r="DG3174">
        <v>0.82</v>
      </c>
      <c r="DH3174">
        <v>0.55000000000000004</v>
      </c>
      <c r="DI3174">
        <v>2.71</v>
      </c>
      <c r="DJ3174">
        <v>7981</v>
      </c>
      <c r="DK3174">
        <v>601106</v>
      </c>
      <c r="DL3174">
        <v>20210907</v>
      </c>
      <c r="DM3174">
        <v>4.1500000000000004</v>
      </c>
      <c r="DN3174">
        <v>-1.69</v>
      </c>
    </row>
    <row r="3175" spans="1:118">
      <c r="A3175" t="str">
        <f>"601107"</f>
        <v>601107</v>
      </c>
      <c r="B3175" t="s">
        <v>13723</v>
      </c>
      <c r="C3175">
        <v>0.28999999999999998</v>
      </c>
      <c r="D3175">
        <v>0.88</v>
      </c>
      <c r="E3175">
        <v>-0.28999999999999998</v>
      </c>
      <c r="F3175">
        <v>15246</v>
      </c>
      <c r="G3175" t="s">
        <v>13724</v>
      </c>
      <c r="H3175">
        <v>3614.09</v>
      </c>
      <c r="I3175">
        <v>7</v>
      </c>
      <c r="J3175" t="s">
        <v>120</v>
      </c>
      <c r="K3175" t="s">
        <v>13725</v>
      </c>
      <c r="L3175">
        <v>0.48</v>
      </c>
      <c r="M3175">
        <v>3.45</v>
      </c>
      <c r="N3175">
        <v>0.98</v>
      </c>
      <c r="O3175">
        <v>2.0299999999999998</v>
      </c>
      <c r="P3175">
        <v>3.51</v>
      </c>
      <c r="Q3175">
        <v>-0.87</v>
      </c>
      <c r="R3175">
        <v>3.41</v>
      </c>
      <c r="S3175">
        <v>3.43</v>
      </c>
      <c r="T3175">
        <v>104324</v>
      </c>
      <c r="U3175">
        <v>3.46</v>
      </c>
      <c r="V3175">
        <v>3.44</v>
      </c>
      <c r="W3175">
        <v>7.85</v>
      </c>
      <c r="X3175" t="s">
        <v>800</v>
      </c>
      <c r="Y3175" t="s">
        <v>578</v>
      </c>
      <c r="Z3175">
        <v>2.91</v>
      </c>
      <c r="AA3175">
        <v>3.46</v>
      </c>
      <c r="AB3175">
        <v>51037</v>
      </c>
      <c r="AC3175">
        <v>53287</v>
      </c>
      <c r="AD3175">
        <v>0.96</v>
      </c>
      <c r="AE3175">
        <v>3951</v>
      </c>
      <c r="AF3175">
        <v>856</v>
      </c>
      <c r="AG3175" t="s">
        <v>120</v>
      </c>
      <c r="AH3175">
        <v>0</v>
      </c>
      <c r="AI3175" t="s">
        <v>120</v>
      </c>
      <c r="AJ3175">
        <v>21.63</v>
      </c>
      <c r="AK3175" t="s">
        <v>13725</v>
      </c>
      <c r="AL3175">
        <v>1.63</v>
      </c>
      <c r="AM3175">
        <v>1894</v>
      </c>
      <c r="AN3175">
        <v>55</v>
      </c>
      <c r="AO3175">
        <v>2.9999999999999997E-4</v>
      </c>
      <c r="AP3175">
        <v>2</v>
      </c>
      <c r="AQ3175">
        <v>0.28999999999999998</v>
      </c>
      <c r="AR3175">
        <v>-2.2599999999999998</v>
      </c>
      <c r="AS3175">
        <v>12.01</v>
      </c>
      <c r="AT3175">
        <v>10.93</v>
      </c>
      <c r="AU3175">
        <v>11.29</v>
      </c>
      <c r="AV3175">
        <v>0</v>
      </c>
      <c r="AW3175">
        <v>2.2599999999999998</v>
      </c>
      <c r="AX3175">
        <v>21.38</v>
      </c>
      <c r="AY3175">
        <v>6.95</v>
      </c>
      <c r="AZ3175">
        <v>15.6</v>
      </c>
      <c r="BA3175">
        <v>0.37</v>
      </c>
      <c r="BB3175" t="s">
        <v>143</v>
      </c>
      <c r="BF3175">
        <v>0.71</v>
      </c>
      <c r="BG3175">
        <v>0.57999999999999996</v>
      </c>
      <c r="BH3175">
        <v>-1.71</v>
      </c>
      <c r="BI3175">
        <v>1.17</v>
      </c>
      <c r="BJ3175">
        <v>20210827</v>
      </c>
      <c r="BK3175">
        <v>20090727</v>
      </c>
      <c r="BL3175">
        <v>30.58</v>
      </c>
      <c r="BM3175" t="s">
        <v>120</v>
      </c>
      <c r="BN3175">
        <v>8.9499999999999993</v>
      </c>
      <c r="BO3175">
        <v>411.97</v>
      </c>
      <c r="BP3175">
        <v>3.45</v>
      </c>
      <c r="BQ3175">
        <v>159.75</v>
      </c>
      <c r="BR3175">
        <v>10.28</v>
      </c>
      <c r="BS3175">
        <v>58.73</v>
      </c>
      <c r="BT3175">
        <v>89.78</v>
      </c>
      <c r="BU3175">
        <v>5.52</v>
      </c>
      <c r="BV3175">
        <v>279.01</v>
      </c>
      <c r="BW3175">
        <v>53.22</v>
      </c>
      <c r="BX3175">
        <v>34.31</v>
      </c>
      <c r="BY3175">
        <v>24.79</v>
      </c>
      <c r="BZ3175">
        <v>3.09</v>
      </c>
      <c r="CA3175" t="s">
        <v>120</v>
      </c>
      <c r="CB3175">
        <v>18.5</v>
      </c>
      <c r="CC3175">
        <v>38.74</v>
      </c>
      <c r="CD3175">
        <v>24.91</v>
      </c>
      <c r="CE3175">
        <v>9.1199999999999992</v>
      </c>
      <c r="CF3175">
        <v>0.17</v>
      </c>
      <c r="CG3175">
        <v>9.07</v>
      </c>
      <c r="CH3175">
        <v>7.28</v>
      </c>
      <c r="CI3175">
        <v>6.72</v>
      </c>
      <c r="CJ3175">
        <v>0.01</v>
      </c>
      <c r="CK3175">
        <v>6.62</v>
      </c>
      <c r="CL3175">
        <v>47.82</v>
      </c>
      <c r="CM3175">
        <v>8.5299999999999994</v>
      </c>
      <c r="CN3175">
        <v>2.21</v>
      </c>
      <c r="CO3175">
        <v>50277</v>
      </c>
      <c r="CP3175">
        <v>9196</v>
      </c>
      <c r="CQ3175" t="s">
        <v>13726</v>
      </c>
      <c r="CR3175">
        <v>503.71</v>
      </c>
      <c r="CS3175">
        <v>118.54</v>
      </c>
      <c r="CT3175">
        <v>0.66</v>
      </c>
      <c r="CU3175">
        <v>12.37</v>
      </c>
      <c r="CV3175">
        <v>2.72</v>
      </c>
      <c r="CW3175">
        <v>2.33</v>
      </c>
      <c r="CX3175" t="s">
        <v>3361</v>
      </c>
      <c r="CY3175">
        <v>5.22</v>
      </c>
      <c r="CZ3175">
        <v>0</v>
      </c>
      <c r="DA3175">
        <v>0.61</v>
      </c>
      <c r="DB3175">
        <v>1.56</v>
      </c>
      <c r="DC3175">
        <v>0.28000000000000003</v>
      </c>
      <c r="DD3175">
        <v>38.78</v>
      </c>
      <c r="DE3175" t="s">
        <v>2365</v>
      </c>
      <c r="DF3175">
        <v>35.700000000000003</v>
      </c>
      <c r="DG3175">
        <v>23.54</v>
      </c>
      <c r="DH3175">
        <v>17.350000000000001</v>
      </c>
      <c r="DI3175" t="s">
        <v>120</v>
      </c>
      <c r="DJ3175">
        <v>4368</v>
      </c>
      <c r="DK3175">
        <v>601107</v>
      </c>
      <c r="DL3175" t="s">
        <v>120</v>
      </c>
      <c r="DM3175" t="s">
        <v>120</v>
      </c>
      <c r="DN3175" t="s">
        <v>120</v>
      </c>
    </row>
    <row r="3176" spans="1:118">
      <c r="A3176" t="str">
        <f>"601108"</f>
        <v>601108</v>
      </c>
      <c r="B3176" t="s">
        <v>13727</v>
      </c>
      <c r="C3176">
        <v>-1.51</v>
      </c>
      <c r="D3176">
        <v>0.09</v>
      </c>
      <c r="E3176">
        <v>0.53</v>
      </c>
      <c r="F3176">
        <v>8145</v>
      </c>
      <c r="G3176" t="s">
        <v>13728</v>
      </c>
      <c r="H3176">
        <v>47805.45</v>
      </c>
      <c r="I3176">
        <v>402.98</v>
      </c>
      <c r="J3176" t="s">
        <v>120</v>
      </c>
      <c r="K3176" t="s">
        <v>13729</v>
      </c>
      <c r="L3176">
        <v>1.19</v>
      </c>
      <c r="M3176">
        <v>11.08</v>
      </c>
      <c r="N3176">
        <v>0.48</v>
      </c>
      <c r="O3176">
        <v>0.62</v>
      </c>
      <c r="P3176">
        <v>11.32</v>
      </c>
      <c r="Q3176">
        <v>-1.96</v>
      </c>
      <c r="R3176">
        <v>11.03</v>
      </c>
      <c r="S3176">
        <v>11.31</v>
      </c>
      <c r="T3176">
        <v>428386</v>
      </c>
      <c r="U3176">
        <v>11.09</v>
      </c>
      <c r="V3176">
        <v>11.25</v>
      </c>
      <c r="W3176">
        <v>19.02</v>
      </c>
      <c r="X3176" t="s">
        <v>616</v>
      </c>
      <c r="Y3176" t="s">
        <v>585</v>
      </c>
      <c r="Z3176">
        <v>2.58</v>
      </c>
      <c r="AA3176">
        <v>11.16</v>
      </c>
      <c r="AB3176">
        <v>228515</v>
      </c>
      <c r="AC3176">
        <v>199871</v>
      </c>
      <c r="AD3176">
        <v>1.1399999999999999</v>
      </c>
      <c r="AE3176">
        <v>2094</v>
      </c>
      <c r="AF3176">
        <v>727</v>
      </c>
      <c r="AG3176" t="s">
        <v>120</v>
      </c>
      <c r="AH3176">
        <v>0.01</v>
      </c>
      <c r="AI3176" t="s">
        <v>120</v>
      </c>
      <c r="AJ3176">
        <v>35.89</v>
      </c>
      <c r="AK3176" t="s">
        <v>13729</v>
      </c>
      <c r="AL3176">
        <v>-0.17</v>
      </c>
      <c r="AM3176">
        <v>4069</v>
      </c>
      <c r="AN3176">
        <v>105</v>
      </c>
      <c r="AO3176">
        <v>2.9999999999999997E-4</v>
      </c>
      <c r="AP3176">
        <v>-1</v>
      </c>
      <c r="AQ3176">
        <v>0.54</v>
      </c>
      <c r="AR3176">
        <v>-3.23</v>
      </c>
      <c r="AS3176">
        <v>5.32</v>
      </c>
      <c r="AT3176">
        <v>6.44</v>
      </c>
      <c r="AU3176">
        <v>-11.01</v>
      </c>
      <c r="AV3176">
        <v>1</v>
      </c>
      <c r="AW3176">
        <v>1.76</v>
      </c>
      <c r="AX3176">
        <v>67.75</v>
      </c>
      <c r="AY3176">
        <v>16.04</v>
      </c>
      <c r="AZ3176">
        <v>17.62</v>
      </c>
      <c r="BA3176">
        <v>0.97</v>
      </c>
      <c r="BB3176" t="s">
        <v>143</v>
      </c>
      <c r="BF3176">
        <v>-0.81</v>
      </c>
      <c r="BG3176">
        <v>-2.0299999999999998</v>
      </c>
      <c r="BH3176">
        <v>-2.12</v>
      </c>
      <c r="BI3176">
        <v>0.45</v>
      </c>
      <c r="BJ3176">
        <v>20210831</v>
      </c>
      <c r="BK3176">
        <v>20171024</v>
      </c>
      <c r="BL3176">
        <v>35.89</v>
      </c>
      <c r="BM3176" t="s">
        <v>120</v>
      </c>
      <c r="BN3176" t="s">
        <v>120</v>
      </c>
      <c r="BO3176">
        <v>975.1</v>
      </c>
      <c r="BP3176">
        <v>11.08</v>
      </c>
      <c r="BQ3176">
        <v>232.55</v>
      </c>
      <c r="BR3176">
        <v>0.09</v>
      </c>
      <c r="BS3176">
        <v>76.14</v>
      </c>
      <c r="BT3176">
        <v>0</v>
      </c>
      <c r="BU3176">
        <v>3</v>
      </c>
      <c r="BV3176">
        <v>3.65</v>
      </c>
      <c r="BW3176">
        <v>0</v>
      </c>
      <c r="BX3176">
        <v>190.58</v>
      </c>
      <c r="BY3176">
        <v>0</v>
      </c>
      <c r="BZ3176">
        <v>0</v>
      </c>
      <c r="CA3176" t="s">
        <v>120</v>
      </c>
      <c r="CB3176">
        <v>82.66</v>
      </c>
      <c r="CC3176">
        <v>31.87</v>
      </c>
      <c r="CD3176">
        <v>0</v>
      </c>
      <c r="CE3176">
        <v>12.06</v>
      </c>
      <c r="CF3176">
        <v>18.79</v>
      </c>
      <c r="CG3176">
        <v>12.05</v>
      </c>
      <c r="CH3176">
        <v>10.46</v>
      </c>
      <c r="CI3176">
        <v>10.45</v>
      </c>
      <c r="CJ3176">
        <v>-0.17</v>
      </c>
      <c r="CK3176">
        <v>10.31</v>
      </c>
      <c r="CL3176">
        <v>65.959999999999994</v>
      </c>
      <c r="CM3176">
        <v>27.93</v>
      </c>
      <c r="CN3176">
        <v>-1.87</v>
      </c>
      <c r="CO3176">
        <v>158061</v>
      </c>
      <c r="CP3176">
        <v>15383</v>
      </c>
      <c r="CQ3176" t="s">
        <v>13730</v>
      </c>
      <c r="CR3176">
        <v>27.43</v>
      </c>
      <c r="CS3176">
        <v>10.51</v>
      </c>
      <c r="CT3176">
        <v>1.75</v>
      </c>
      <c r="CU3176">
        <v>14.24</v>
      </c>
      <c r="CV3176">
        <v>12.48</v>
      </c>
      <c r="CW3176">
        <v>1.78</v>
      </c>
      <c r="CX3176" t="s">
        <v>293</v>
      </c>
      <c r="CY3176">
        <v>6.34</v>
      </c>
      <c r="CZ3176">
        <v>6.34</v>
      </c>
      <c r="DA3176">
        <v>2.2999999999999998</v>
      </c>
      <c r="DB3176">
        <v>1.84</v>
      </c>
      <c r="DC3176">
        <v>0.78</v>
      </c>
      <c r="DD3176">
        <v>23.85</v>
      </c>
      <c r="DE3176" t="s">
        <v>3283</v>
      </c>
      <c r="DF3176" t="s">
        <v>120</v>
      </c>
      <c r="DG3176">
        <v>37.840000000000003</v>
      </c>
      <c r="DH3176">
        <v>32.799999999999997</v>
      </c>
      <c r="DI3176" t="s">
        <v>120</v>
      </c>
      <c r="DJ3176">
        <v>3255</v>
      </c>
      <c r="DK3176">
        <v>601108</v>
      </c>
      <c r="DL3176" t="s">
        <v>120</v>
      </c>
      <c r="DM3176" t="s">
        <v>120</v>
      </c>
      <c r="DN3176" t="s">
        <v>120</v>
      </c>
    </row>
    <row r="3177" spans="1:118">
      <c r="A3177" t="str">
        <f>"601111"</f>
        <v>601111</v>
      </c>
      <c r="B3177" t="s">
        <v>13731</v>
      </c>
      <c r="C3177">
        <v>-1.23</v>
      </c>
      <c r="D3177">
        <v>-0.27</v>
      </c>
      <c r="E3177">
        <v>0.82</v>
      </c>
      <c r="F3177">
        <v>5990</v>
      </c>
      <c r="G3177" t="s">
        <v>13732</v>
      </c>
      <c r="H3177">
        <v>19885.62</v>
      </c>
      <c r="I3177">
        <v>366.4</v>
      </c>
      <c r="J3177" t="s">
        <v>120</v>
      </c>
      <c r="K3177" t="s">
        <v>13733</v>
      </c>
      <c r="L3177">
        <v>0.27</v>
      </c>
      <c r="M3177">
        <v>7.22</v>
      </c>
      <c r="N3177">
        <v>0.5</v>
      </c>
      <c r="O3177">
        <v>2.74</v>
      </c>
      <c r="P3177">
        <v>7.51</v>
      </c>
      <c r="Q3177">
        <v>-1.5</v>
      </c>
      <c r="R3177">
        <v>7.2</v>
      </c>
      <c r="S3177">
        <v>7.37</v>
      </c>
      <c r="T3177">
        <v>271236</v>
      </c>
      <c r="U3177">
        <v>7.23</v>
      </c>
      <c r="V3177">
        <v>7.31</v>
      </c>
      <c r="W3177" t="s">
        <v>120</v>
      </c>
      <c r="X3177" t="s">
        <v>540</v>
      </c>
      <c r="Y3177" t="s">
        <v>158</v>
      </c>
      <c r="Z3177">
        <v>4.24</v>
      </c>
      <c r="AA3177">
        <v>7.33</v>
      </c>
      <c r="AB3177">
        <v>154175</v>
      </c>
      <c r="AC3177">
        <v>117061</v>
      </c>
      <c r="AD3177">
        <v>1.32</v>
      </c>
      <c r="AE3177">
        <v>9</v>
      </c>
      <c r="AF3177">
        <v>123</v>
      </c>
      <c r="AG3177" t="s">
        <v>120</v>
      </c>
      <c r="AH3177">
        <v>0.02</v>
      </c>
      <c r="AI3177" t="s">
        <v>120</v>
      </c>
      <c r="AJ3177">
        <v>99.62</v>
      </c>
      <c r="AK3177" t="s">
        <v>13733</v>
      </c>
      <c r="AL3177">
        <v>0.11</v>
      </c>
      <c r="AM3177">
        <v>3657</v>
      </c>
      <c r="AN3177">
        <v>74</v>
      </c>
      <c r="AO3177">
        <v>1E-4</v>
      </c>
      <c r="AP3177">
        <v>-5</v>
      </c>
      <c r="AQ3177">
        <v>-0.14000000000000001</v>
      </c>
      <c r="AR3177">
        <v>-6</v>
      </c>
      <c r="AS3177">
        <v>1.69</v>
      </c>
      <c r="AT3177">
        <v>-11.95</v>
      </c>
      <c r="AU3177">
        <v>-3.6</v>
      </c>
      <c r="AV3177">
        <v>0</v>
      </c>
      <c r="AW3177">
        <v>1.01</v>
      </c>
      <c r="AX3177">
        <v>26.88</v>
      </c>
      <c r="AY3177" t="s">
        <v>120</v>
      </c>
      <c r="AZ3177" t="s">
        <v>120</v>
      </c>
      <c r="BA3177">
        <v>0.34</v>
      </c>
      <c r="BB3177" t="s">
        <v>240</v>
      </c>
      <c r="BF3177">
        <v>0.28999999999999998</v>
      </c>
      <c r="BG3177">
        <v>-2.04</v>
      </c>
      <c r="BH3177">
        <v>-3.86</v>
      </c>
      <c r="BI3177">
        <v>0.28000000000000003</v>
      </c>
      <c r="BJ3177">
        <v>20210830</v>
      </c>
      <c r="BK3177">
        <v>20060818</v>
      </c>
      <c r="BL3177">
        <v>145.25</v>
      </c>
      <c r="BM3177" t="s">
        <v>120</v>
      </c>
      <c r="BN3177">
        <v>45.63</v>
      </c>
      <c r="BO3177">
        <v>2880.28</v>
      </c>
      <c r="BP3177">
        <v>7.22</v>
      </c>
      <c r="BQ3177">
        <v>714.71</v>
      </c>
      <c r="BR3177">
        <v>57.92</v>
      </c>
      <c r="BS3177">
        <v>73.180000000000007</v>
      </c>
      <c r="BT3177">
        <v>234.98</v>
      </c>
      <c r="BU3177">
        <v>869.8</v>
      </c>
      <c r="BV3177">
        <v>35.65</v>
      </c>
      <c r="BW3177">
        <v>856.56</v>
      </c>
      <c r="BX3177">
        <v>90.94</v>
      </c>
      <c r="BY3177">
        <v>23.25</v>
      </c>
      <c r="BZ3177">
        <v>37.39</v>
      </c>
      <c r="CA3177" t="s">
        <v>120</v>
      </c>
      <c r="CB3177">
        <v>262.70999999999998</v>
      </c>
      <c r="CC3177">
        <v>376.64</v>
      </c>
      <c r="CD3177">
        <v>416.54</v>
      </c>
      <c r="CE3177">
        <v>-94.54</v>
      </c>
      <c r="CF3177">
        <v>-12.73</v>
      </c>
      <c r="CG3177">
        <v>-94.11</v>
      </c>
      <c r="CH3177">
        <v>-76.75</v>
      </c>
      <c r="CI3177">
        <v>-67.86</v>
      </c>
      <c r="CJ3177">
        <v>-0.09</v>
      </c>
      <c r="CK3177">
        <v>-69.2</v>
      </c>
      <c r="CL3177">
        <v>191.94</v>
      </c>
      <c r="CM3177">
        <v>73.319999999999993</v>
      </c>
      <c r="CN3177">
        <v>26.4</v>
      </c>
      <c r="CO3177">
        <v>150734</v>
      </c>
      <c r="CP3177">
        <v>17762</v>
      </c>
      <c r="CQ3177" t="s">
        <v>13734</v>
      </c>
      <c r="CR3177">
        <v>28.12</v>
      </c>
      <c r="CS3177">
        <v>27.05</v>
      </c>
      <c r="CT3177">
        <v>1.47</v>
      </c>
      <c r="CU3177">
        <v>14.3</v>
      </c>
      <c r="CV3177">
        <v>2.78</v>
      </c>
      <c r="CW3177">
        <v>0</v>
      </c>
      <c r="CX3177" t="s">
        <v>7214</v>
      </c>
      <c r="CY3177">
        <v>4.92</v>
      </c>
      <c r="CZ3177">
        <v>0</v>
      </c>
      <c r="DA3177">
        <v>1.81</v>
      </c>
      <c r="DB3177">
        <v>1.32</v>
      </c>
      <c r="DC3177">
        <v>0.5</v>
      </c>
      <c r="DD3177">
        <v>24.81</v>
      </c>
      <c r="DE3177" t="s">
        <v>13735</v>
      </c>
      <c r="DF3177">
        <v>-10.59</v>
      </c>
      <c r="DG3177">
        <v>-25.1</v>
      </c>
      <c r="DH3177">
        <v>-18.02</v>
      </c>
      <c r="DI3177">
        <v>0.61</v>
      </c>
      <c r="DJ3177">
        <v>89373</v>
      </c>
      <c r="DK3177">
        <v>601111</v>
      </c>
      <c r="DL3177" t="s">
        <v>120</v>
      </c>
      <c r="DM3177" t="s">
        <v>120</v>
      </c>
      <c r="DN3177" t="s">
        <v>120</v>
      </c>
    </row>
    <row r="3178" spans="1:118">
      <c r="A3178" t="str">
        <f>"601116"</f>
        <v>601116</v>
      </c>
      <c r="B3178" t="s">
        <v>13736</v>
      </c>
      <c r="C3178">
        <v>-0.24</v>
      </c>
      <c r="D3178">
        <v>0.12</v>
      </c>
      <c r="E3178">
        <v>0.85</v>
      </c>
      <c r="F3178">
        <v>109</v>
      </c>
      <c r="G3178" t="s">
        <v>13737</v>
      </c>
      <c r="H3178">
        <v>1467.18</v>
      </c>
      <c r="I3178">
        <v>0</v>
      </c>
      <c r="J3178" t="s">
        <v>120</v>
      </c>
      <c r="K3178" t="s">
        <v>3244</v>
      </c>
      <c r="L3178">
        <v>0.32</v>
      </c>
      <c r="M3178">
        <v>8.17</v>
      </c>
      <c r="N3178">
        <v>0.97</v>
      </c>
      <c r="O3178">
        <v>2.08</v>
      </c>
      <c r="P3178">
        <v>8.36</v>
      </c>
      <c r="Q3178">
        <v>-0.37</v>
      </c>
      <c r="R3178">
        <v>8.16</v>
      </c>
      <c r="S3178">
        <v>8.26</v>
      </c>
      <c r="T3178">
        <v>17781</v>
      </c>
      <c r="U3178">
        <v>8.17</v>
      </c>
      <c r="V3178">
        <v>8.19</v>
      </c>
      <c r="W3178">
        <v>51.48</v>
      </c>
      <c r="X3178" t="s">
        <v>1872</v>
      </c>
      <c r="Y3178" t="s">
        <v>585</v>
      </c>
      <c r="Z3178">
        <v>2.44</v>
      </c>
      <c r="AA3178">
        <v>8.25</v>
      </c>
      <c r="AB3178">
        <v>9829</v>
      </c>
      <c r="AC3178">
        <v>7952</v>
      </c>
      <c r="AD3178">
        <v>1.24</v>
      </c>
      <c r="AE3178">
        <v>418</v>
      </c>
      <c r="AF3178">
        <v>480</v>
      </c>
      <c r="AG3178" t="s">
        <v>120</v>
      </c>
      <c r="AH3178">
        <v>0</v>
      </c>
      <c r="AI3178" t="s">
        <v>120</v>
      </c>
      <c r="AJ3178">
        <v>5.48</v>
      </c>
      <c r="AK3178" t="s">
        <v>3244</v>
      </c>
      <c r="AL3178">
        <v>1.1000000000000001</v>
      </c>
      <c r="AM3178">
        <v>1036</v>
      </c>
      <c r="AN3178">
        <v>17</v>
      </c>
      <c r="AO3178">
        <v>2.9999999999999997E-4</v>
      </c>
      <c r="AP3178">
        <v>-3</v>
      </c>
      <c r="AQ3178">
        <v>-0.49</v>
      </c>
      <c r="AR3178">
        <v>-2.16</v>
      </c>
      <c r="AS3178">
        <v>4.08</v>
      </c>
      <c r="AT3178">
        <v>-11.39</v>
      </c>
      <c r="AU3178">
        <v>-20.3</v>
      </c>
      <c r="AV3178">
        <v>0</v>
      </c>
      <c r="AW3178">
        <v>0.82</v>
      </c>
      <c r="AX3178">
        <v>39.58</v>
      </c>
      <c r="AY3178">
        <v>55.17</v>
      </c>
      <c r="AZ3178">
        <v>36.659999999999997</v>
      </c>
      <c r="BA3178">
        <v>1.05</v>
      </c>
      <c r="BB3178" t="s">
        <v>143</v>
      </c>
      <c r="BF3178">
        <v>0.75</v>
      </c>
      <c r="BG3178">
        <v>-1.0900000000000001</v>
      </c>
      <c r="BH3178">
        <v>-2.27</v>
      </c>
      <c r="BI3178">
        <v>0.12</v>
      </c>
      <c r="BJ3178">
        <v>20210827</v>
      </c>
      <c r="BK3178">
        <v>20110302</v>
      </c>
      <c r="BL3178">
        <v>5.48</v>
      </c>
      <c r="BM3178" t="s">
        <v>120</v>
      </c>
      <c r="BN3178" t="s">
        <v>120</v>
      </c>
      <c r="BO3178">
        <v>48.37</v>
      </c>
      <c r="BP3178">
        <v>8.16</v>
      </c>
      <c r="BQ3178">
        <v>30.75</v>
      </c>
      <c r="BR3178" t="s">
        <v>120</v>
      </c>
      <c r="BS3178">
        <v>36.43</v>
      </c>
      <c r="BT3178">
        <v>31.06</v>
      </c>
      <c r="BU3178">
        <v>9.7200000000000006</v>
      </c>
      <c r="BV3178">
        <v>0.94</v>
      </c>
      <c r="BW3178">
        <v>13.16</v>
      </c>
      <c r="BX3178">
        <v>27.09</v>
      </c>
      <c r="BY3178">
        <v>2.96</v>
      </c>
      <c r="BZ3178">
        <v>0.1</v>
      </c>
      <c r="CA3178">
        <v>0.09</v>
      </c>
      <c r="CB3178">
        <v>19.89</v>
      </c>
      <c r="CC3178">
        <v>20</v>
      </c>
      <c r="CD3178">
        <v>15.05</v>
      </c>
      <c r="CE3178">
        <v>0.6</v>
      </c>
      <c r="CF3178">
        <v>0.01</v>
      </c>
      <c r="CG3178">
        <v>0.6</v>
      </c>
      <c r="CH3178">
        <v>0.43</v>
      </c>
      <c r="CI3178">
        <v>0.43</v>
      </c>
      <c r="CJ3178">
        <v>-0.02</v>
      </c>
      <c r="CK3178">
        <v>0.28000000000000003</v>
      </c>
      <c r="CL3178">
        <v>3.92</v>
      </c>
      <c r="CM3178">
        <v>0.8</v>
      </c>
      <c r="CN3178">
        <v>-0.67</v>
      </c>
      <c r="CO3178">
        <v>25724</v>
      </c>
      <c r="CP3178">
        <v>8426</v>
      </c>
      <c r="CQ3178" t="s">
        <v>9963</v>
      </c>
      <c r="CR3178">
        <v>-48.57</v>
      </c>
      <c r="CS3178">
        <v>-14.7</v>
      </c>
      <c r="CT3178">
        <v>1.46</v>
      </c>
      <c r="CU3178">
        <v>55.67</v>
      </c>
      <c r="CV3178">
        <v>2.2400000000000002</v>
      </c>
      <c r="CW3178">
        <v>2.44</v>
      </c>
      <c r="CX3178" t="s">
        <v>3295</v>
      </c>
      <c r="CY3178">
        <v>5.61</v>
      </c>
      <c r="CZ3178">
        <v>0</v>
      </c>
      <c r="DA3178">
        <v>3.63</v>
      </c>
      <c r="DB3178">
        <v>0.72</v>
      </c>
      <c r="DC3178">
        <v>0.15</v>
      </c>
      <c r="DD3178">
        <v>63.57</v>
      </c>
      <c r="DE3178" t="s">
        <v>2092</v>
      </c>
      <c r="DF3178">
        <v>24.78</v>
      </c>
      <c r="DG3178">
        <v>2.98</v>
      </c>
      <c r="DH3178">
        <v>2.17</v>
      </c>
      <c r="DI3178" t="s">
        <v>120</v>
      </c>
      <c r="DJ3178">
        <v>4658</v>
      </c>
      <c r="DK3178">
        <v>601116</v>
      </c>
      <c r="DL3178" t="s">
        <v>120</v>
      </c>
      <c r="DM3178" t="s">
        <v>120</v>
      </c>
      <c r="DN3178" t="s">
        <v>120</v>
      </c>
    </row>
    <row r="3179" spans="1:118">
      <c r="A3179" t="str">
        <f>"601117"</f>
        <v>601117</v>
      </c>
      <c r="B3179" t="s">
        <v>13738</v>
      </c>
      <c r="C3179">
        <v>-3.42</v>
      </c>
      <c r="D3179">
        <v>0.16</v>
      </c>
      <c r="E3179">
        <v>1.4</v>
      </c>
      <c r="F3179">
        <v>17981</v>
      </c>
      <c r="G3179" t="s">
        <v>13739</v>
      </c>
      <c r="H3179">
        <v>163377.60999999999</v>
      </c>
      <c r="I3179">
        <v>932.68</v>
      </c>
      <c r="J3179" t="s">
        <v>120</v>
      </c>
      <c r="K3179" t="s">
        <v>13740</v>
      </c>
      <c r="L3179">
        <v>2.59</v>
      </c>
      <c r="M3179">
        <v>12.43</v>
      </c>
      <c r="N3179">
        <v>0.86</v>
      </c>
      <c r="O3179">
        <v>3.03</v>
      </c>
      <c r="P3179">
        <v>13.26</v>
      </c>
      <c r="Q3179">
        <v>-4.66</v>
      </c>
      <c r="R3179">
        <v>12.27</v>
      </c>
      <c r="S3179">
        <v>13.05</v>
      </c>
      <c r="T3179">
        <v>1279000</v>
      </c>
      <c r="U3179">
        <v>12.44</v>
      </c>
      <c r="V3179">
        <v>12.87</v>
      </c>
      <c r="W3179">
        <v>19.649999999999999</v>
      </c>
      <c r="X3179" t="s">
        <v>175</v>
      </c>
      <c r="Y3179" t="s">
        <v>158</v>
      </c>
      <c r="Z3179">
        <v>7.69</v>
      </c>
      <c r="AA3179">
        <v>12.77</v>
      </c>
      <c r="AB3179">
        <v>675431</v>
      </c>
      <c r="AC3179">
        <v>603569</v>
      </c>
      <c r="AD3179">
        <v>1.1200000000000001</v>
      </c>
      <c r="AE3179">
        <v>940</v>
      </c>
      <c r="AF3179">
        <v>889</v>
      </c>
      <c r="AG3179" t="s">
        <v>120</v>
      </c>
      <c r="AH3179">
        <v>0.03</v>
      </c>
      <c r="AI3179" t="s">
        <v>120</v>
      </c>
      <c r="AJ3179">
        <v>49.33</v>
      </c>
      <c r="AK3179" t="s">
        <v>13741</v>
      </c>
      <c r="AL3179">
        <v>-2.08</v>
      </c>
      <c r="AM3179">
        <v>4729</v>
      </c>
      <c r="AN3179">
        <v>270</v>
      </c>
      <c r="AO3179">
        <v>5.0000000000000001E-4</v>
      </c>
      <c r="AP3179">
        <v>-5</v>
      </c>
      <c r="AQ3179">
        <v>-0.31</v>
      </c>
      <c r="AR3179">
        <v>-7.58</v>
      </c>
      <c r="AS3179">
        <v>23.07</v>
      </c>
      <c r="AT3179">
        <v>53.08</v>
      </c>
      <c r="AU3179">
        <v>120.12</v>
      </c>
      <c r="AV3179">
        <v>8</v>
      </c>
      <c r="AW3179">
        <v>5.72</v>
      </c>
      <c r="AX3179">
        <v>36.61</v>
      </c>
      <c r="AY3179">
        <v>18.97</v>
      </c>
      <c r="AZ3179">
        <v>21.49</v>
      </c>
      <c r="BA3179">
        <v>1.33</v>
      </c>
      <c r="BB3179" t="s">
        <v>143</v>
      </c>
      <c r="BF3179">
        <v>-0.75</v>
      </c>
      <c r="BG3179">
        <v>-4.75</v>
      </c>
      <c r="BH3179">
        <v>-6.26</v>
      </c>
      <c r="BI3179">
        <v>1.3</v>
      </c>
      <c r="BJ3179">
        <v>20210907</v>
      </c>
      <c r="BK3179">
        <v>20100107</v>
      </c>
      <c r="BL3179">
        <v>61.09</v>
      </c>
      <c r="BM3179" t="s">
        <v>120</v>
      </c>
      <c r="BN3179" t="s">
        <v>120</v>
      </c>
      <c r="BO3179">
        <v>1472.01</v>
      </c>
      <c r="BP3179">
        <v>12.43</v>
      </c>
      <c r="BQ3179">
        <v>386.19</v>
      </c>
      <c r="BR3179">
        <v>37.58</v>
      </c>
      <c r="BS3179">
        <v>71.209999999999994</v>
      </c>
      <c r="BT3179">
        <v>1161.19</v>
      </c>
      <c r="BU3179">
        <v>110.28</v>
      </c>
      <c r="BV3179">
        <v>28.21</v>
      </c>
      <c r="BW3179">
        <v>966.02</v>
      </c>
      <c r="BX3179">
        <v>368.19</v>
      </c>
      <c r="BY3179">
        <v>46.07</v>
      </c>
      <c r="BZ3179">
        <v>206.67</v>
      </c>
      <c r="CA3179">
        <v>0.54</v>
      </c>
      <c r="CB3179">
        <v>58.72</v>
      </c>
      <c r="CC3179">
        <v>559.15</v>
      </c>
      <c r="CD3179">
        <v>503.2</v>
      </c>
      <c r="CE3179">
        <v>25.02</v>
      </c>
      <c r="CF3179">
        <v>0.78</v>
      </c>
      <c r="CG3179">
        <v>25.65</v>
      </c>
      <c r="CH3179">
        <v>20.7</v>
      </c>
      <c r="CI3179">
        <v>19.32</v>
      </c>
      <c r="CJ3179">
        <v>-0.44</v>
      </c>
      <c r="CK3179">
        <v>17.8</v>
      </c>
      <c r="CL3179">
        <v>238.89</v>
      </c>
      <c r="CM3179">
        <v>-4.3499999999999996</v>
      </c>
      <c r="CN3179">
        <v>-21.63</v>
      </c>
      <c r="CO3179">
        <v>85076</v>
      </c>
      <c r="CP3179">
        <v>26293</v>
      </c>
      <c r="CQ3179" t="s">
        <v>13742</v>
      </c>
      <c r="CR3179">
        <v>33.700000000000003</v>
      </c>
      <c r="CS3179">
        <v>53.08</v>
      </c>
      <c r="CT3179">
        <v>1.72</v>
      </c>
      <c r="CU3179">
        <v>-174.55</v>
      </c>
      <c r="CV3179">
        <v>1.36</v>
      </c>
      <c r="CW3179">
        <v>1.4</v>
      </c>
      <c r="CX3179" t="s">
        <v>709</v>
      </c>
      <c r="CY3179">
        <v>7.22</v>
      </c>
      <c r="CZ3179">
        <v>7.22</v>
      </c>
      <c r="DA3179">
        <v>0.96</v>
      </c>
      <c r="DB3179">
        <v>3.91</v>
      </c>
      <c r="DC3179">
        <v>-7.0000000000000007E-2</v>
      </c>
      <c r="DD3179">
        <v>26.24</v>
      </c>
      <c r="DE3179" t="s">
        <v>6258</v>
      </c>
      <c r="DF3179">
        <v>10</v>
      </c>
      <c r="DG3179">
        <v>4.4800000000000004</v>
      </c>
      <c r="DH3179">
        <v>3.46</v>
      </c>
      <c r="DI3179">
        <v>15.2</v>
      </c>
      <c r="DJ3179">
        <v>44173</v>
      </c>
      <c r="DK3179">
        <v>601117</v>
      </c>
      <c r="DL3179">
        <v>20210909</v>
      </c>
      <c r="DM3179">
        <v>15.07</v>
      </c>
      <c r="DN3179">
        <v>-17.52</v>
      </c>
    </row>
    <row r="3180" spans="1:118">
      <c r="A3180" t="str">
        <f>"601118"</f>
        <v>601118</v>
      </c>
      <c r="B3180" t="s">
        <v>13743</v>
      </c>
      <c r="C3180">
        <v>-0.38</v>
      </c>
      <c r="D3180">
        <v>0.38</v>
      </c>
      <c r="E3180">
        <v>0.56999999999999995</v>
      </c>
      <c r="F3180">
        <v>3806</v>
      </c>
      <c r="G3180" t="s">
        <v>13744</v>
      </c>
      <c r="H3180">
        <v>30022.51</v>
      </c>
      <c r="I3180">
        <v>119.65</v>
      </c>
      <c r="J3180" t="s">
        <v>120</v>
      </c>
      <c r="K3180" t="s">
        <v>13745</v>
      </c>
      <c r="L3180">
        <v>1.32</v>
      </c>
      <c r="M3180">
        <v>5.27</v>
      </c>
      <c r="N3180">
        <v>0.96</v>
      </c>
      <c r="O3180">
        <v>2.08</v>
      </c>
      <c r="P3180">
        <v>5.4</v>
      </c>
      <c r="Q3180">
        <v>-1.32</v>
      </c>
      <c r="R3180">
        <v>5.22</v>
      </c>
      <c r="S3180">
        <v>5.32</v>
      </c>
      <c r="T3180">
        <v>564927</v>
      </c>
      <c r="U3180">
        <v>5.27</v>
      </c>
      <c r="V3180">
        <v>5.29</v>
      </c>
      <c r="W3180" t="s">
        <v>120</v>
      </c>
      <c r="X3180" t="s">
        <v>2306</v>
      </c>
      <c r="Y3180" t="s">
        <v>835</v>
      </c>
      <c r="Z3180">
        <v>3.4</v>
      </c>
      <c r="AA3180">
        <v>5.31</v>
      </c>
      <c r="AB3180">
        <v>290312</v>
      </c>
      <c r="AC3180">
        <v>274615</v>
      </c>
      <c r="AD3180">
        <v>1.06</v>
      </c>
      <c r="AE3180">
        <v>202</v>
      </c>
      <c r="AF3180">
        <v>2401</v>
      </c>
      <c r="AG3180" t="s">
        <v>120</v>
      </c>
      <c r="AH3180">
        <v>0.01</v>
      </c>
      <c r="AI3180" t="s">
        <v>120</v>
      </c>
      <c r="AJ3180">
        <v>42.79</v>
      </c>
      <c r="AK3180" t="s">
        <v>13745</v>
      </c>
      <c r="AL3180">
        <v>0.97</v>
      </c>
      <c r="AM3180">
        <v>3540</v>
      </c>
      <c r="AN3180">
        <v>160</v>
      </c>
      <c r="AO3180">
        <v>4.0000000000000002E-4</v>
      </c>
      <c r="AP3180">
        <v>-1</v>
      </c>
      <c r="AQ3180">
        <v>1.1499999999999999</v>
      </c>
      <c r="AR3180">
        <v>-0.37</v>
      </c>
      <c r="AS3180">
        <v>9.34</v>
      </c>
      <c r="AT3180">
        <v>2.13</v>
      </c>
      <c r="AU3180">
        <v>9.4600000000000009</v>
      </c>
      <c r="AV3180">
        <v>1</v>
      </c>
      <c r="AW3180">
        <v>3.7</v>
      </c>
      <c r="AX3180">
        <v>35.65</v>
      </c>
      <c r="AY3180">
        <v>142.79</v>
      </c>
      <c r="AZ3180">
        <v>318.32</v>
      </c>
      <c r="BA3180">
        <v>0.56999999999999995</v>
      </c>
      <c r="BB3180" t="s">
        <v>184</v>
      </c>
      <c r="BF3180">
        <v>0.46</v>
      </c>
      <c r="BG3180">
        <v>-0.94</v>
      </c>
      <c r="BH3180">
        <v>-2.41</v>
      </c>
      <c r="BI3180">
        <v>0.96</v>
      </c>
      <c r="BJ3180">
        <v>20210901</v>
      </c>
      <c r="BK3180">
        <v>20110107</v>
      </c>
      <c r="BL3180">
        <v>42.79</v>
      </c>
      <c r="BM3180" t="s">
        <v>120</v>
      </c>
      <c r="BN3180" t="s">
        <v>120</v>
      </c>
      <c r="BO3180">
        <v>193.67</v>
      </c>
      <c r="BP3180">
        <v>5.26</v>
      </c>
      <c r="BQ3180">
        <v>93.53</v>
      </c>
      <c r="BR3180">
        <v>3.62</v>
      </c>
      <c r="BS3180">
        <v>49.84</v>
      </c>
      <c r="BT3180">
        <v>65.23</v>
      </c>
      <c r="BU3180">
        <v>20.3</v>
      </c>
      <c r="BV3180">
        <v>3.42</v>
      </c>
      <c r="BW3180">
        <v>41.77</v>
      </c>
      <c r="BX3180">
        <v>29.79</v>
      </c>
      <c r="BY3180">
        <v>20.420000000000002</v>
      </c>
      <c r="BZ3180">
        <v>4.84</v>
      </c>
      <c r="CA3180">
        <v>0.88</v>
      </c>
      <c r="CB3180">
        <v>50.5</v>
      </c>
      <c r="CC3180">
        <v>65.09</v>
      </c>
      <c r="CD3180">
        <v>60.49</v>
      </c>
      <c r="CE3180">
        <v>-1.18</v>
      </c>
      <c r="CF3180">
        <v>1.21</v>
      </c>
      <c r="CG3180">
        <v>-1.1200000000000001</v>
      </c>
      <c r="CH3180">
        <v>-1.19</v>
      </c>
      <c r="CI3180">
        <v>-1.1599999999999999</v>
      </c>
      <c r="CJ3180">
        <v>-0.02</v>
      </c>
      <c r="CK3180">
        <v>-2.25</v>
      </c>
      <c r="CL3180">
        <v>-3.96</v>
      </c>
      <c r="CM3180">
        <v>-5.76</v>
      </c>
      <c r="CN3180">
        <v>-4.0199999999999996</v>
      </c>
      <c r="CO3180">
        <v>109749</v>
      </c>
      <c r="CP3180">
        <v>13899</v>
      </c>
      <c r="CQ3180" t="s">
        <v>11544</v>
      </c>
      <c r="CR3180">
        <v>43.02</v>
      </c>
      <c r="CS3180">
        <v>10.52</v>
      </c>
      <c r="CT3180">
        <v>2.41</v>
      </c>
      <c r="CU3180">
        <v>-39.18</v>
      </c>
      <c r="CV3180">
        <v>3.46</v>
      </c>
      <c r="CW3180">
        <v>0.11</v>
      </c>
      <c r="CX3180" t="s">
        <v>906</v>
      </c>
      <c r="CY3180">
        <v>2.19</v>
      </c>
      <c r="CZ3180">
        <v>0</v>
      </c>
      <c r="DA3180">
        <v>1.18</v>
      </c>
      <c r="DB3180">
        <v>-0.09</v>
      </c>
      <c r="DC3180">
        <v>-0.13</v>
      </c>
      <c r="DD3180">
        <v>48.29</v>
      </c>
      <c r="DE3180" t="s">
        <v>13746</v>
      </c>
      <c r="DF3180">
        <v>7.07</v>
      </c>
      <c r="DG3180">
        <v>-1.81</v>
      </c>
      <c r="DH3180">
        <v>-1.78</v>
      </c>
      <c r="DI3180">
        <v>0.14000000000000001</v>
      </c>
      <c r="DJ3180">
        <v>17626</v>
      </c>
      <c r="DK3180">
        <v>601118</v>
      </c>
      <c r="DL3180" t="s">
        <v>120</v>
      </c>
      <c r="DM3180" t="s">
        <v>120</v>
      </c>
      <c r="DN3180" t="s">
        <v>120</v>
      </c>
    </row>
    <row r="3181" spans="1:118">
      <c r="A3181" t="str">
        <f>"601126"</f>
        <v>601126</v>
      </c>
      <c r="B3181" t="s">
        <v>13747</v>
      </c>
      <c r="C3181">
        <v>10</v>
      </c>
      <c r="D3181">
        <v>0</v>
      </c>
      <c r="E3181">
        <v>0</v>
      </c>
      <c r="F3181">
        <v>1674</v>
      </c>
      <c r="G3181" t="s">
        <v>12080</v>
      </c>
      <c r="H3181">
        <v>157840.87</v>
      </c>
      <c r="I3181">
        <v>1027.54</v>
      </c>
      <c r="J3181">
        <v>10781.51</v>
      </c>
      <c r="K3181" t="s">
        <v>13748</v>
      </c>
      <c r="L3181">
        <v>10.76</v>
      </c>
      <c r="M3181">
        <v>18.809999999999999</v>
      </c>
      <c r="N3181">
        <v>1.43</v>
      </c>
      <c r="O3181">
        <v>10</v>
      </c>
      <c r="P3181">
        <v>18.809999999999999</v>
      </c>
      <c r="Q3181">
        <v>-1.46</v>
      </c>
      <c r="R3181">
        <v>16.850000000000001</v>
      </c>
      <c r="S3181">
        <v>17.100000000000001</v>
      </c>
      <c r="T3181">
        <v>874810</v>
      </c>
      <c r="U3181" t="s">
        <v>120</v>
      </c>
      <c r="V3181">
        <v>17.100000000000001</v>
      </c>
      <c r="W3181">
        <v>30.52</v>
      </c>
      <c r="X3181" t="s">
        <v>394</v>
      </c>
      <c r="Y3181" t="s">
        <v>158</v>
      </c>
      <c r="Z3181">
        <v>11.46</v>
      </c>
      <c r="AA3181">
        <v>18.04</v>
      </c>
      <c r="AB3181">
        <v>458937</v>
      </c>
      <c r="AC3181">
        <v>415873</v>
      </c>
      <c r="AD3181">
        <v>1.1000000000000001</v>
      </c>
      <c r="AE3181">
        <v>57318</v>
      </c>
      <c r="AF3181">
        <v>0</v>
      </c>
      <c r="AG3181" t="s">
        <v>120</v>
      </c>
      <c r="AH3181">
        <v>0.14000000000000001</v>
      </c>
      <c r="AI3181">
        <v>7.0000000000000007E-2</v>
      </c>
      <c r="AJ3181">
        <v>8.1300000000000008</v>
      </c>
      <c r="AK3181" t="s">
        <v>13748</v>
      </c>
      <c r="AL3181">
        <v>11.34</v>
      </c>
      <c r="AM3181">
        <v>4486</v>
      </c>
      <c r="AN3181">
        <v>195</v>
      </c>
      <c r="AO3181">
        <v>2.3999999999999998E-3</v>
      </c>
      <c r="AP3181">
        <v>2</v>
      </c>
      <c r="AQ3181">
        <v>3.64</v>
      </c>
      <c r="AR3181">
        <v>10.39</v>
      </c>
      <c r="AS3181">
        <v>33.590000000000003</v>
      </c>
      <c r="AT3181">
        <v>121.81</v>
      </c>
      <c r="AU3181">
        <v>214.54</v>
      </c>
      <c r="AV3181">
        <v>14</v>
      </c>
      <c r="AW3181">
        <v>20.09</v>
      </c>
      <c r="AX3181">
        <v>53.55</v>
      </c>
      <c r="AY3181">
        <v>25.87</v>
      </c>
      <c r="AZ3181">
        <v>40.43</v>
      </c>
      <c r="BA3181">
        <v>1.74</v>
      </c>
      <c r="BB3181" t="s">
        <v>184</v>
      </c>
      <c r="BF3181">
        <v>5.51</v>
      </c>
      <c r="BG3181">
        <v>10</v>
      </c>
      <c r="BH3181">
        <v>0</v>
      </c>
      <c r="BI3181">
        <v>11.63</v>
      </c>
      <c r="BJ3181">
        <v>20210831</v>
      </c>
      <c r="BK3181">
        <v>20101231</v>
      </c>
      <c r="BL3181">
        <v>8.1300000000000008</v>
      </c>
      <c r="BM3181" t="s">
        <v>120</v>
      </c>
      <c r="BN3181" t="s">
        <v>120</v>
      </c>
      <c r="BO3181">
        <v>62.76</v>
      </c>
      <c r="BP3181">
        <v>18.809999999999999</v>
      </c>
      <c r="BQ3181">
        <v>36.450000000000003</v>
      </c>
      <c r="BR3181">
        <v>0.02</v>
      </c>
      <c r="BS3181">
        <v>41.88</v>
      </c>
      <c r="BT3181">
        <v>53.89</v>
      </c>
      <c r="BU3181">
        <v>3.93</v>
      </c>
      <c r="BV3181">
        <v>1.52</v>
      </c>
      <c r="BW3181">
        <v>25.95</v>
      </c>
      <c r="BX3181">
        <v>14.53</v>
      </c>
      <c r="BY3181">
        <v>11.34</v>
      </c>
      <c r="BZ3181">
        <v>10.84</v>
      </c>
      <c r="CA3181" t="s">
        <v>120</v>
      </c>
      <c r="CB3181">
        <v>13.36</v>
      </c>
      <c r="CC3181">
        <v>19.64</v>
      </c>
      <c r="CD3181">
        <v>12.2</v>
      </c>
      <c r="CE3181">
        <v>3.06</v>
      </c>
      <c r="CF3181">
        <v>0</v>
      </c>
      <c r="CG3181">
        <v>3.18</v>
      </c>
      <c r="CH3181">
        <v>2.5</v>
      </c>
      <c r="CI3181">
        <v>2.5099999999999998</v>
      </c>
      <c r="CJ3181">
        <v>1.71</v>
      </c>
      <c r="CK3181">
        <v>2.27</v>
      </c>
      <c r="CL3181">
        <v>11.98</v>
      </c>
      <c r="CM3181">
        <v>0.64</v>
      </c>
      <c r="CN3181">
        <v>-7.47</v>
      </c>
      <c r="CO3181">
        <v>27659</v>
      </c>
      <c r="CP3181">
        <v>15744</v>
      </c>
      <c r="CQ3181" t="s">
        <v>13749</v>
      </c>
      <c r="CR3181">
        <v>339.31</v>
      </c>
      <c r="CS3181">
        <v>40.130000000000003</v>
      </c>
      <c r="CT3181">
        <v>4.2</v>
      </c>
      <c r="CU3181">
        <v>240.87</v>
      </c>
      <c r="CV3181">
        <v>7.79</v>
      </c>
      <c r="CW3181">
        <v>5.73</v>
      </c>
      <c r="CX3181" t="s">
        <v>4152</v>
      </c>
      <c r="CY3181">
        <v>4.4800000000000004</v>
      </c>
      <c r="CZ3181">
        <v>0</v>
      </c>
      <c r="DA3181">
        <v>1.64</v>
      </c>
      <c r="DB3181">
        <v>1.47</v>
      </c>
      <c r="DC3181">
        <v>0.08</v>
      </c>
      <c r="DD3181">
        <v>58.09</v>
      </c>
      <c r="DE3181" t="s">
        <v>12474</v>
      </c>
      <c r="DF3181">
        <v>37.85</v>
      </c>
      <c r="DG3181">
        <v>15.58</v>
      </c>
      <c r="DH3181">
        <v>12.76</v>
      </c>
      <c r="DI3181">
        <v>1.89</v>
      </c>
      <c r="DJ3181">
        <v>3144</v>
      </c>
      <c r="DK3181">
        <v>601126</v>
      </c>
      <c r="DL3181">
        <v>20210802</v>
      </c>
      <c r="DM3181">
        <v>10.24</v>
      </c>
      <c r="DN3181">
        <v>83.69</v>
      </c>
    </row>
    <row r="3182" spans="1:118">
      <c r="A3182" t="str">
        <f>"601127"</f>
        <v>601127</v>
      </c>
      <c r="B3182" t="s">
        <v>13750</v>
      </c>
      <c r="C3182">
        <v>-1.0900000000000001</v>
      </c>
      <c r="D3182">
        <v>0</v>
      </c>
      <c r="E3182">
        <v>-1.38</v>
      </c>
      <c r="F3182">
        <v>3861</v>
      </c>
      <c r="G3182" t="s">
        <v>13751</v>
      </c>
      <c r="H3182">
        <v>118030.68</v>
      </c>
      <c r="I3182">
        <v>465.61</v>
      </c>
      <c r="J3182" t="s">
        <v>120</v>
      </c>
      <c r="K3182" t="s">
        <v>13752</v>
      </c>
      <c r="L3182">
        <v>1.54</v>
      </c>
      <c r="M3182">
        <v>79.11</v>
      </c>
      <c r="N3182">
        <v>0.85</v>
      </c>
      <c r="O3182">
        <v>0.65</v>
      </c>
      <c r="P3182">
        <v>80.5</v>
      </c>
      <c r="Q3182">
        <v>-4.84</v>
      </c>
      <c r="R3182">
        <v>76.11</v>
      </c>
      <c r="S3182">
        <v>78.88</v>
      </c>
      <c r="T3182">
        <v>149831</v>
      </c>
      <c r="U3182">
        <v>79.12</v>
      </c>
      <c r="V3182">
        <v>79.98</v>
      </c>
      <c r="W3182" t="s">
        <v>120</v>
      </c>
      <c r="X3182" t="s">
        <v>1068</v>
      </c>
      <c r="Y3182" t="s">
        <v>883</v>
      </c>
      <c r="Z3182">
        <v>5.49</v>
      </c>
      <c r="AA3182">
        <v>78.78</v>
      </c>
      <c r="AB3182">
        <v>73497</v>
      </c>
      <c r="AC3182">
        <v>76334</v>
      </c>
      <c r="AD3182">
        <v>0.96</v>
      </c>
      <c r="AE3182">
        <v>164</v>
      </c>
      <c r="AF3182">
        <v>81</v>
      </c>
      <c r="AG3182" t="s">
        <v>120</v>
      </c>
      <c r="AH3182">
        <v>0.01</v>
      </c>
      <c r="AI3182" t="s">
        <v>120</v>
      </c>
      <c r="AJ3182">
        <v>9.74</v>
      </c>
      <c r="AK3182" t="s">
        <v>13753</v>
      </c>
      <c r="AL3182">
        <v>0.26</v>
      </c>
      <c r="AM3182">
        <v>4434</v>
      </c>
      <c r="AN3182">
        <v>34</v>
      </c>
      <c r="AO3182">
        <v>2.9999999999999997E-4</v>
      </c>
      <c r="AP3182">
        <v>-1</v>
      </c>
      <c r="AQ3182">
        <v>0.53</v>
      </c>
      <c r="AR3182">
        <v>4.5</v>
      </c>
      <c r="AS3182">
        <v>41.54</v>
      </c>
      <c r="AT3182">
        <v>-0.14000000000000001</v>
      </c>
      <c r="AU3182">
        <v>363.18</v>
      </c>
      <c r="AV3182">
        <v>39</v>
      </c>
      <c r="AW3182">
        <v>2.84</v>
      </c>
      <c r="AX3182">
        <v>38.85</v>
      </c>
      <c r="AY3182" t="s">
        <v>120</v>
      </c>
      <c r="AZ3182" t="s">
        <v>120</v>
      </c>
      <c r="BA3182">
        <v>2.4</v>
      </c>
      <c r="BB3182" t="s">
        <v>168</v>
      </c>
      <c r="BF3182">
        <v>-1.51</v>
      </c>
      <c r="BG3182">
        <v>0.28999999999999998</v>
      </c>
      <c r="BH3182">
        <v>-1.73</v>
      </c>
      <c r="BI3182">
        <v>3.94</v>
      </c>
      <c r="BJ3182">
        <v>20210902</v>
      </c>
      <c r="BK3182">
        <v>20160615</v>
      </c>
      <c r="BL3182">
        <v>13.58</v>
      </c>
      <c r="BM3182" t="s">
        <v>120</v>
      </c>
      <c r="BN3182" t="s">
        <v>120</v>
      </c>
      <c r="BO3182">
        <v>283.91000000000003</v>
      </c>
      <c r="BP3182">
        <v>79.11</v>
      </c>
      <c r="BQ3182">
        <v>77.959999999999994</v>
      </c>
      <c r="BR3182">
        <v>3.5</v>
      </c>
      <c r="BS3182">
        <v>71.31</v>
      </c>
      <c r="BT3182">
        <v>114.95</v>
      </c>
      <c r="BU3182">
        <v>74.16</v>
      </c>
      <c r="BV3182">
        <v>39.56</v>
      </c>
      <c r="BW3182">
        <v>161.12</v>
      </c>
      <c r="BX3182">
        <v>56.04</v>
      </c>
      <c r="BY3182">
        <v>23.87</v>
      </c>
      <c r="BZ3182">
        <v>5.23</v>
      </c>
      <c r="CA3182">
        <v>2.6</v>
      </c>
      <c r="CB3182">
        <v>65.819999999999993</v>
      </c>
      <c r="CC3182">
        <v>73.84</v>
      </c>
      <c r="CD3182">
        <v>71.63</v>
      </c>
      <c r="CE3182">
        <v>-6.79</v>
      </c>
      <c r="CF3182">
        <v>-0.51</v>
      </c>
      <c r="CG3182">
        <v>-6.76</v>
      </c>
      <c r="CH3182">
        <v>-7.1</v>
      </c>
      <c r="CI3182">
        <v>-4.8099999999999996</v>
      </c>
      <c r="CJ3182">
        <v>-0.87</v>
      </c>
      <c r="CK3182">
        <v>-11.26</v>
      </c>
      <c r="CL3182">
        <v>-3.26</v>
      </c>
      <c r="CM3182">
        <v>-1.64</v>
      </c>
      <c r="CN3182">
        <v>19.420000000000002</v>
      </c>
      <c r="CO3182">
        <v>99805</v>
      </c>
      <c r="CP3182">
        <v>5286</v>
      </c>
      <c r="CQ3182" t="s">
        <v>13754</v>
      </c>
      <c r="CR3182">
        <v>-12.04</v>
      </c>
      <c r="CS3182">
        <v>30.01</v>
      </c>
      <c r="CT3182">
        <v>13.9</v>
      </c>
      <c r="CU3182">
        <v>-655.83</v>
      </c>
      <c r="CV3182">
        <v>14.55</v>
      </c>
      <c r="CW3182">
        <v>0</v>
      </c>
      <c r="CX3182" t="s">
        <v>2991</v>
      </c>
      <c r="CY3182">
        <v>5.69</v>
      </c>
      <c r="CZ3182">
        <v>5.69</v>
      </c>
      <c r="DA3182">
        <v>4.8499999999999996</v>
      </c>
      <c r="DB3182">
        <v>-0.24</v>
      </c>
      <c r="DC3182">
        <v>-0.12</v>
      </c>
      <c r="DD3182">
        <v>27.46</v>
      </c>
      <c r="DE3182" t="s">
        <v>13755</v>
      </c>
      <c r="DF3182">
        <v>3</v>
      </c>
      <c r="DG3182">
        <v>-9.19</v>
      </c>
      <c r="DH3182">
        <v>-6.52</v>
      </c>
      <c r="DI3182">
        <v>3.69</v>
      </c>
      <c r="DJ3182">
        <v>13238</v>
      </c>
      <c r="DK3182">
        <v>601127</v>
      </c>
      <c r="DL3182">
        <v>20210823</v>
      </c>
      <c r="DM3182">
        <v>62.22</v>
      </c>
      <c r="DN3182">
        <v>27.15</v>
      </c>
    </row>
    <row r="3183" spans="1:118">
      <c r="A3183" t="str">
        <f>"601128"</f>
        <v>601128</v>
      </c>
      <c r="B3183" t="s">
        <v>13756</v>
      </c>
      <c r="C3183">
        <v>-2.5099999999999998</v>
      </c>
      <c r="D3183">
        <v>0</v>
      </c>
      <c r="E3183">
        <v>0.16</v>
      </c>
      <c r="F3183">
        <v>2185</v>
      </c>
      <c r="G3183" t="s">
        <v>13757</v>
      </c>
      <c r="H3183">
        <v>24253.06</v>
      </c>
      <c r="I3183">
        <v>11.29</v>
      </c>
      <c r="J3183" t="s">
        <v>120</v>
      </c>
      <c r="K3183" t="s">
        <v>13758</v>
      </c>
      <c r="L3183">
        <v>1.47</v>
      </c>
      <c r="M3183">
        <v>6.21</v>
      </c>
      <c r="N3183">
        <v>1.1599999999999999</v>
      </c>
      <c r="O3183">
        <v>1.57</v>
      </c>
      <c r="P3183">
        <v>6.47</v>
      </c>
      <c r="Q3183">
        <v>-2.67</v>
      </c>
      <c r="R3183">
        <v>6.2</v>
      </c>
      <c r="S3183">
        <v>6.38</v>
      </c>
      <c r="T3183">
        <v>382685</v>
      </c>
      <c r="U3183">
        <v>6.22</v>
      </c>
      <c r="V3183">
        <v>6.37</v>
      </c>
      <c r="W3183">
        <v>8.5</v>
      </c>
      <c r="X3183" t="s">
        <v>122</v>
      </c>
      <c r="Y3183" t="s">
        <v>319</v>
      </c>
      <c r="Z3183">
        <v>4.24</v>
      </c>
      <c r="AA3183">
        <v>6.34</v>
      </c>
      <c r="AB3183">
        <v>192247</v>
      </c>
      <c r="AC3183">
        <v>190438</v>
      </c>
      <c r="AD3183">
        <v>1.01</v>
      </c>
      <c r="AE3183">
        <v>125</v>
      </c>
      <c r="AF3183">
        <v>854</v>
      </c>
      <c r="AG3183" t="s">
        <v>120</v>
      </c>
      <c r="AH3183">
        <v>0</v>
      </c>
      <c r="AI3183" t="s">
        <v>120</v>
      </c>
      <c r="AJ3183">
        <v>26.04</v>
      </c>
      <c r="AK3183" t="s">
        <v>13759</v>
      </c>
      <c r="AL3183">
        <v>-1.17</v>
      </c>
      <c r="AM3183">
        <v>4074</v>
      </c>
      <c r="AN3183">
        <v>94</v>
      </c>
      <c r="AO3183">
        <v>4.0000000000000002E-4</v>
      </c>
      <c r="AP3183">
        <v>-1</v>
      </c>
      <c r="AQ3183">
        <v>0.16</v>
      </c>
      <c r="AR3183">
        <v>-4.0199999999999996</v>
      </c>
      <c r="AS3183">
        <v>-0.8</v>
      </c>
      <c r="AT3183">
        <v>-1.27</v>
      </c>
      <c r="AU3183">
        <v>-13.51</v>
      </c>
      <c r="AV3183">
        <v>0</v>
      </c>
      <c r="AW3183">
        <v>1.62</v>
      </c>
      <c r="AX3183">
        <v>86.01</v>
      </c>
      <c r="AY3183">
        <v>9.01</v>
      </c>
      <c r="AZ3183">
        <v>9.68</v>
      </c>
      <c r="BA3183">
        <v>0.45</v>
      </c>
      <c r="BB3183" t="s">
        <v>143</v>
      </c>
      <c r="BF3183">
        <v>-0.51</v>
      </c>
      <c r="BG3183">
        <v>-2.66</v>
      </c>
      <c r="BH3183">
        <v>-4.0199999999999996</v>
      </c>
      <c r="BI3183">
        <v>0.16</v>
      </c>
      <c r="BJ3183">
        <v>20210817</v>
      </c>
      <c r="BK3183">
        <v>20160930</v>
      </c>
      <c r="BL3183">
        <v>27.41</v>
      </c>
      <c r="BM3183" t="s">
        <v>120</v>
      </c>
      <c r="BN3183" t="s">
        <v>120</v>
      </c>
      <c r="BO3183">
        <v>2314.52</v>
      </c>
      <c r="BP3183">
        <v>6.21</v>
      </c>
      <c r="BQ3183">
        <v>184.3</v>
      </c>
      <c r="BR3183">
        <v>12.27</v>
      </c>
      <c r="BS3183">
        <v>91.51</v>
      </c>
      <c r="BT3183">
        <v>0</v>
      </c>
      <c r="BU3183">
        <v>11.64</v>
      </c>
      <c r="BV3183">
        <v>1.62</v>
      </c>
      <c r="BW3183">
        <v>0</v>
      </c>
      <c r="BX3183">
        <v>169.56</v>
      </c>
      <c r="BY3183">
        <v>0</v>
      </c>
      <c r="BZ3183">
        <v>0</v>
      </c>
      <c r="CA3183" t="s">
        <v>120</v>
      </c>
      <c r="CB3183">
        <v>32.43</v>
      </c>
      <c r="CC3183">
        <v>36.799999999999997</v>
      </c>
      <c r="CD3183">
        <v>0</v>
      </c>
      <c r="CE3183">
        <v>12.83</v>
      </c>
      <c r="CF3183">
        <v>3.18</v>
      </c>
      <c r="CG3183">
        <v>12.78</v>
      </c>
      <c r="CH3183">
        <v>10.95</v>
      </c>
      <c r="CI3183">
        <v>10.01</v>
      </c>
      <c r="CJ3183">
        <v>-0.16</v>
      </c>
      <c r="CK3183">
        <v>10.039999999999999</v>
      </c>
      <c r="CL3183">
        <v>32.81</v>
      </c>
      <c r="CM3183">
        <v>30.15</v>
      </c>
      <c r="CN3183">
        <v>4.28</v>
      </c>
      <c r="CO3183">
        <v>64681</v>
      </c>
      <c r="CP3183">
        <v>36447</v>
      </c>
      <c r="CQ3183" t="s">
        <v>13760</v>
      </c>
      <c r="CR3183">
        <v>15.52</v>
      </c>
      <c r="CS3183">
        <v>7.7</v>
      </c>
      <c r="CT3183">
        <v>0.92</v>
      </c>
      <c r="CU3183">
        <v>5.65</v>
      </c>
      <c r="CV3183">
        <v>4.63</v>
      </c>
      <c r="CW3183">
        <v>3.14</v>
      </c>
      <c r="CX3183" t="s">
        <v>709</v>
      </c>
      <c r="CY3183">
        <v>6.72</v>
      </c>
      <c r="CZ3183">
        <v>6.72</v>
      </c>
      <c r="DA3183">
        <v>1.18</v>
      </c>
      <c r="DB3183">
        <v>1.2</v>
      </c>
      <c r="DC3183">
        <v>1.1000000000000001</v>
      </c>
      <c r="DD3183">
        <v>7.96</v>
      </c>
      <c r="DE3183" t="s">
        <v>11024</v>
      </c>
      <c r="DF3183" t="s">
        <v>120</v>
      </c>
      <c r="DG3183">
        <v>34.869999999999997</v>
      </c>
      <c r="DH3183">
        <v>27.2</v>
      </c>
      <c r="DI3183" t="s">
        <v>120</v>
      </c>
      <c r="DJ3183">
        <v>6864</v>
      </c>
      <c r="DK3183">
        <v>601128</v>
      </c>
      <c r="DL3183" t="s">
        <v>120</v>
      </c>
      <c r="DM3183" t="s">
        <v>120</v>
      </c>
      <c r="DN3183" t="s">
        <v>120</v>
      </c>
    </row>
    <row r="3184" spans="1:118">
      <c r="A3184" t="str">
        <f>"601137"</f>
        <v>601137</v>
      </c>
      <c r="B3184" t="s">
        <v>13761</v>
      </c>
      <c r="C3184">
        <v>-0.56000000000000005</v>
      </c>
      <c r="D3184">
        <v>0</v>
      </c>
      <c r="E3184">
        <v>0.42</v>
      </c>
      <c r="F3184">
        <v>511</v>
      </c>
      <c r="G3184" t="s">
        <v>13762</v>
      </c>
      <c r="H3184">
        <v>24733.18</v>
      </c>
      <c r="I3184">
        <v>41.07</v>
      </c>
      <c r="J3184" t="s">
        <v>120</v>
      </c>
      <c r="K3184" t="s">
        <v>13763</v>
      </c>
      <c r="L3184">
        <v>2.36</v>
      </c>
      <c r="M3184">
        <v>14.22</v>
      </c>
      <c r="N3184">
        <v>1.04</v>
      </c>
      <c r="O3184">
        <v>4.55</v>
      </c>
      <c r="P3184">
        <v>14.95</v>
      </c>
      <c r="Q3184">
        <v>-0.56000000000000005</v>
      </c>
      <c r="R3184">
        <v>14.22</v>
      </c>
      <c r="S3184">
        <v>14.36</v>
      </c>
      <c r="T3184">
        <v>169977</v>
      </c>
      <c r="U3184">
        <v>14.23</v>
      </c>
      <c r="V3184">
        <v>14.3</v>
      </c>
      <c r="W3184">
        <v>34.49</v>
      </c>
      <c r="X3184" t="s">
        <v>1398</v>
      </c>
      <c r="Y3184" t="s">
        <v>585</v>
      </c>
      <c r="Z3184">
        <v>5.0999999999999996</v>
      </c>
      <c r="AA3184">
        <v>14.55</v>
      </c>
      <c r="AB3184">
        <v>86849</v>
      </c>
      <c r="AC3184">
        <v>83128</v>
      </c>
      <c r="AD3184">
        <v>1.04</v>
      </c>
      <c r="AE3184">
        <v>1943</v>
      </c>
      <c r="AF3184">
        <v>14</v>
      </c>
      <c r="AG3184" t="s">
        <v>120</v>
      </c>
      <c r="AH3184">
        <v>0.01</v>
      </c>
      <c r="AI3184" t="s">
        <v>120</v>
      </c>
      <c r="AJ3184">
        <v>7.2</v>
      </c>
      <c r="AK3184" t="s">
        <v>13764</v>
      </c>
      <c r="AL3184">
        <v>0.78</v>
      </c>
      <c r="AM3184">
        <v>3418</v>
      </c>
      <c r="AN3184">
        <v>50</v>
      </c>
      <c r="AO3184">
        <v>6.9999999999999999E-4</v>
      </c>
      <c r="AP3184">
        <v>-3</v>
      </c>
      <c r="AQ3184">
        <v>-0.35</v>
      </c>
      <c r="AR3184">
        <v>-5.46</v>
      </c>
      <c r="AS3184">
        <v>-1.86</v>
      </c>
      <c r="AT3184">
        <v>19</v>
      </c>
      <c r="AU3184">
        <v>25.73</v>
      </c>
      <c r="AV3184">
        <v>1</v>
      </c>
      <c r="AW3184">
        <v>5.1100000000000003</v>
      </c>
      <c r="AX3184">
        <v>42.13</v>
      </c>
      <c r="AY3184">
        <v>33.24</v>
      </c>
      <c r="AZ3184">
        <v>26.34</v>
      </c>
      <c r="BA3184">
        <v>1.1499999999999999</v>
      </c>
      <c r="BB3184" t="s">
        <v>143</v>
      </c>
      <c r="BF3184">
        <v>1.75</v>
      </c>
      <c r="BG3184">
        <v>-0.97</v>
      </c>
      <c r="BH3184">
        <v>-4.88</v>
      </c>
      <c r="BI3184">
        <v>0</v>
      </c>
      <c r="BJ3184">
        <v>20210915</v>
      </c>
      <c r="BK3184">
        <v>20110127</v>
      </c>
      <c r="BL3184">
        <v>7.9</v>
      </c>
      <c r="BM3184" t="s">
        <v>120</v>
      </c>
      <c r="BN3184" t="s">
        <v>120</v>
      </c>
      <c r="BO3184">
        <v>106.01</v>
      </c>
      <c r="BP3184">
        <v>14.22</v>
      </c>
      <c r="BQ3184">
        <v>52.71</v>
      </c>
      <c r="BR3184" t="s">
        <v>120</v>
      </c>
      <c r="BS3184">
        <v>50.28</v>
      </c>
      <c r="BT3184">
        <v>53.13</v>
      </c>
      <c r="BU3184">
        <v>25.49</v>
      </c>
      <c r="BV3184">
        <v>2.79</v>
      </c>
      <c r="BW3184">
        <v>44.99</v>
      </c>
      <c r="BX3184">
        <v>7.21</v>
      </c>
      <c r="BY3184">
        <v>26.78</v>
      </c>
      <c r="BZ3184">
        <v>12.8</v>
      </c>
      <c r="CA3184" t="s">
        <v>120</v>
      </c>
      <c r="CB3184">
        <v>26.24</v>
      </c>
      <c r="CC3184">
        <v>49.72</v>
      </c>
      <c r="CD3184">
        <v>42.73</v>
      </c>
      <c r="CE3184">
        <v>1.58</v>
      </c>
      <c r="CF3184">
        <v>0.01</v>
      </c>
      <c r="CG3184">
        <v>1.94</v>
      </c>
      <c r="CH3184">
        <v>1.63</v>
      </c>
      <c r="CI3184">
        <v>1.63</v>
      </c>
      <c r="CJ3184">
        <v>-0.08</v>
      </c>
      <c r="CK3184">
        <v>1.23</v>
      </c>
      <c r="CL3184">
        <v>18.46</v>
      </c>
      <c r="CM3184">
        <v>-4.53</v>
      </c>
      <c r="CN3184">
        <v>-0.22</v>
      </c>
      <c r="CO3184">
        <v>24782</v>
      </c>
      <c r="CP3184">
        <v>13431</v>
      </c>
      <c r="CQ3184" t="s">
        <v>10446</v>
      </c>
      <c r="CR3184">
        <v>-35.35</v>
      </c>
      <c r="CS3184">
        <v>29.28</v>
      </c>
      <c r="CT3184">
        <v>2.13</v>
      </c>
      <c r="CU3184">
        <v>-24.82</v>
      </c>
      <c r="CV3184">
        <v>2.2599999999999998</v>
      </c>
      <c r="CW3184">
        <v>1.19</v>
      </c>
      <c r="CX3184" t="s">
        <v>2097</v>
      </c>
      <c r="CY3184">
        <v>6.67</v>
      </c>
      <c r="CZ3184">
        <v>0</v>
      </c>
      <c r="DA3184">
        <v>3.32</v>
      </c>
      <c r="DB3184">
        <v>2.34</v>
      </c>
      <c r="DC3184">
        <v>-0.56999999999999995</v>
      </c>
      <c r="DD3184">
        <v>49.72</v>
      </c>
      <c r="DE3184" t="s">
        <v>1938</v>
      </c>
      <c r="DF3184">
        <v>14.05</v>
      </c>
      <c r="DG3184">
        <v>3.18</v>
      </c>
      <c r="DH3184">
        <v>3.28</v>
      </c>
      <c r="DI3184">
        <v>1.36</v>
      </c>
      <c r="DJ3184">
        <v>5034</v>
      </c>
      <c r="DK3184">
        <v>601137</v>
      </c>
      <c r="DL3184" t="s">
        <v>120</v>
      </c>
      <c r="DM3184" t="s">
        <v>120</v>
      </c>
      <c r="DN3184" t="s">
        <v>120</v>
      </c>
    </row>
    <row r="3185" spans="1:118">
      <c r="A3185" t="str">
        <f>"601138"</f>
        <v>601138</v>
      </c>
      <c r="B3185" t="s">
        <v>13765</v>
      </c>
      <c r="C3185">
        <v>-0.42</v>
      </c>
      <c r="D3185">
        <v>0.17</v>
      </c>
      <c r="E3185">
        <v>0</v>
      </c>
      <c r="F3185">
        <v>7309</v>
      </c>
      <c r="G3185" t="s">
        <v>13766</v>
      </c>
      <c r="H3185">
        <v>29920.15</v>
      </c>
      <c r="I3185">
        <v>214.64</v>
      </c>
      <c r="J3185" t="s">
        <v>120</v>
      </c>
      <c r="K3185" t="s">
        <v>13766</v>
      </c>
      <c r="L3185">
        <v>0.83</v>
      </c>
      <c r="M3185">
        <v>11.75</v>
      </c>
      <c r="N3185">
        <v>0.98</v>
      </c>
      <c r="O3185">
        <v>1.69</v>
      </c>
      <c r="P3185">
        <v>12</v>
      </c>
      <c r="Q3185">
        <v>-0.85</v>
      </c>
      <c r="R3185">
        <v>11.7</v>
      </c>
      <c r="S3185">
        <v>11.8</v>
      </c>
      <c r="T3185">
        <v>253172</v>
      </c>
      <c r="U3185">
        <v>11.75</v>
      </c>
      <c r="V3185">
        <v>11.8</v>
      </c>
      <c r="W3185">
        <v>17.350000000000001</v>
      </c>
      <c r="X3185" t="s">
        <v>462</v>
      </c>
      <c r="Y3185" t="s">
        <v>123</v>
      </c>
      <c r="Z3185">
        <v>2.54</v>
      </c>
      <c r="AA3185">
        <v>11.82</v>
      </c>
      <c r="AB3185">
        <v>142162</v>
      </c>
      <c r="AC3185">
        <v>111010</v>
      </c>
      <c r="AD3185">
        <v>1.28</v>
      </c>
      <c r="AE3185">
        <v>155</v>
      </c>
      <c r="AF3185">
        <v>1713</v>
      </c>
      <c r="AG3185" t="s">
        <v>120</v>
      </c>
      <c r="AH3185">
        <v>0.01</v>
      </c>
      <c r="AI3185" t="s">
        <v>120</v>
      </c>
      <c r="AJ3185">
        <v>30.39</v>
      </c>
      <c r="AK3185" t="s">
        <v>13767</v>
      </c>
      <c r="AL3185">
        <v>0.92</v>
      </c>
      <c r="AM3185">
        <v>4389</v>
      </c>
      <c r="AN3185">
        <v>58</v>
      </c>
      <c r="AO3185">
        <v>2.0000000000000001E-4</v>
      </c>
      <c r="AP3185">
        <v>-4</v>
      </c>
      <c r="AQ3185">
        <v>-1.17</v>
      </c>
      <c r="AR3185">
        <v>-3.45</v>
      </c>
      <c r="AS3185">
        <v>-0.84</v>
      </c>
      <c r="AT3185">
        <v>-5.39</v>
      </c>
      <c r="AU3185">
        <v>-12.57</v>
      </c>
      <c r="AV3185">
        <v>0</v>
      </c>
      <c r="AW3185">
        <v>0.83</v>
      </c>
      <c r="AX3185">
        <v>15.3</v>
      </c>
      <c r="AY3185">
        <v>12.26</v>
      </c>
      <c r="AZ3185">
        <v>13.45</v>
      </c>
      <c r="BA3185">
        <v>0.94</v>
      </c>
      <c r="BB3185" t="s">
        <v>240</v>
      </c>
      <c r="BF3185">
        <v>0.15</v>
      </c>
      <c r="BG3185">
        <v>-0.42</v>
      </c>
      <c r="BH3185">
        <v>-2.08</v>
      </c>
      <c r="BI3185">
        <v>0.43</v>
      </c>
      <c r="BJ3185">
        <v>20210811</v>
      </c>
      <c r="BK3185">
        <v>20180608</v>
      </c>
      <c r="BL3185">
        <v>198.67</v>
      </c>
      <c r="BM3185" t="s">
        <v>120</v>
      </c>
      <c r="BN3185" t="s">
        <v>120</v>
      </c>
      <c r="BO3185">
        <v>2311</v>
      </c>
      <c r="BP3185">
        <v>11.73</v>
      </c>
      <c r="BQ3185">
        <v>1056.83</v>
      </c>
      <c r="BR3185">
        <v>2.91</v>
      </c>
      <c r="BS3185">
        <v>54.14</v>
      </c>
      <c r="BT3185">
        <v>2150.37</v>
      </c>
      <c r="BU3185">
        <v>82.49</v>
      </c>
      <c r="BV3185">
        <v>4.01</v>
      </c>
      <c r="BW3185">
        <v>1190.44</v>
      </c>
      <c r="BX3185">
        <v>873.4</v>
      </c>
      <c r="BY3185">
        <v>532.85</v>
      </c>
      <c r="BZ3185">
        <v>709.34</v>
      </c>
      <c r="CA3185" t="s">
        <v>120</v>
      </c>
      <c r="CB3185">
        <v>280.95999999999998</v>
      </c>
      <c r="CC3185">
        <v>1960.3</v>
      </c>
      <c r="CD3185">
        <v>1807.44</v>
      </c>
      <c r="CE3185">
        <v>75.19</v>
      </c>
      <c r="CF3185">
        <v>8.4499999999999993</v>
      </c>
      <c r="CG3185">
        <v>75.39</v>
      </c>
      <c r="CH3185">
        <v>67.260000000000005</v>
      </c>
      <c r="CI3185">
        <v>67.27</v>
      </c>
      <c r="CJ3185">
        <v>-0.05</v>
      </c>
      <c r="CK3185">
        <v>60.67</v>
      </c>
      <c r="CL3185">
        <v>568.34</v>
      </c>
      <c r="CM3185">
        <v>76.31</v>
      </c>
      <c r="CN3185">
        <v>71.510000000000005</v>
      </c>
      <c r="CO3185">
        <v>216649</v>
      </c>
      <c r="CP3185">
        <v>14026</v>
      </c>
      <c r="CQ3185" t="s">
        <v>12338</v>
      </c>
      <c r="CR3185">
        <v>33.44</v>
      </c>
      <c r="CS3185">
        <v>10.97</v>
      </c>
      <c r="CT3185">
        <v>2.21</v>
      </c>
      <c r="CU3185">
        <v>30.59</v>
      </c>
      <c r="CV3185">
        <v>1.19</v>
      </c>
      <c r="CW3185">
        <v>2.12</v>
      </c>
      <c r="CX3185" t="s">
        <v>1574</v>
      </c>
      <c r="CY3185">
        <v>5.32</v>
      </c>
      <c r="CZ3185">
        <v>5.32</v>
      </c>
      <c r="DA3185">
        <v>1.41</v>
      </c>
      <c r="DB3185">
        <v>2.86</v>
      </c>
      <c r="DC3185">
        <v>0.38</v>
      </c>
      <c r="DD3185">
        <v>45.73</v>
      </c>
      <c r="DE3185" t="s">
        <v>987</v>
      </c>
      <c r="DF3185">
        <v>7.8</v>
      </c>
      <c r="DG3185">
        <v>3.84</v>
      </c>
      <c r="DH3185">
        <v>3.43</v>
      </c>
      <c r="DI3185">
        <v>52.33</v>
      </c>
      <c r="DJ3185">
        <v>196159</v>
      </c>
      <c r="DK3185">
        <v>601138</v>
      </c>
      <c r="DL3185" t="s">
        <v>120</v>
      </c>
      <c r="DM3185" t="s">
        <v>120</v>
      </c>
      <c r="DN3185" t="s">
        <v>120</v>
      </c>
    </row>
    <row r="3186" spans="1:118">
      <c r="A3186" t="str">
        <f>"601139"</f>
        <v>601139</v>
      </c>
      <c r="B3186" t="s">
        <v>13768</v>
      </c>
      <c r="C3186">
        <v>0.17</v>
      </c>
      <c r="D3186">
        <v>0.85</v>
      </c>
      <c r="E3186">
        <v>0.67</v>
      </c>
      <c r="F3186">
        <v>7690</v>
      </c>
      <c r="G3186" t="s">
        <v>13769</v>
      </c>
      <c r="H3186">
        <v>60734.51</v>
      </c>
      <c r="I3186">
        <v>303.07</v>
      </c>
      <c r="J3186" t="s">
        <v>120</v>
      </c>
      <c r="K3186" t="s">
        <v>13770</v>
      </c>
      <c r="L3186">
        <v>1.75</v>
      </c>
      <c r="M3186">
        <v>11.9</v>
      </c>
      <c r="N3186">
        <v>0.76</v>
      </c>
      <c r="O3186">
        <v>3.96</v>
      </c>
      <c r="P3186">
        <v>12.35</v>
      </c>
      <c r="Q3186">
        <v>-0.93</v>
      </c>
      <c r="R3186">
        <v>11.77</v>
      </c>
      <c r="S3186">
        <v>11.96</v>
      </c>
      <c r="T3186">
        <v>502221</v>
      </c>
      <c r="U3186">
        <v>11.9</v>
      </c>
      <c r="V3186">
        <v>11.88</v>
      </c>
      <c r="W3186">
        <v>20.09</v>
      </c>
      <c r="X3186" t="s">
        <v>684</v>
      </c>
      <c r="Y3186" t="s">
        <v>123</v>
      </c>
      <c r="Z3186">
        <v>4.88</v>
      </c>
      <c r="AA3186">
        <v>12.09</v>
      </c>
      <c r="AB3186">
        <v>242206</v>
      </c>
      <c r="AC3186">
        <v>260015</v>
      </c>
      <c r="AD3186">
        <v>0.93</v>
      </c>
      <c r="AE3186">
        <v>40</v>
      </c>
      <c r="AF3186">
        <v>5001</v>
      </c>
      <c r="AG3186" t="s">
        <v>120</v>
      </c>
      <c r="AH3186">
        <v>0.05</v>
      </c>
      <c r="AI3186" t="s">
        <v>120</v>
      </c>
      <c r="AJ3186">
        <v>28.77</v>
      </c>
      <c r="AK3186" t="s">
        <v>13771</v>
      </c>
      <c r="AL3186">
        <v>1.51</v>
      </c>
      <c r="AM3186">
        <v>4321</v>
      </c>
      <c r="AN3186">
        <v>116</v>
      </c>
      <c r="AO3186">
        <v>4.0000000000000002E-4</v>
      </c>
      <c r="AP3186">
        <v>1</v>
      </c>
      <c r="AQ3186">
        <v>-1.41</v>
      </c>
      <c r="AR3186">
        <v>-3.09</v>
      </c>
      <c r="AS3186">
        <v>20.2</v>
      </c>
      <c r="AT3186">
        <v>80.3</v>
      </c>
      <c r="AU3186">
        <v>69.27</v>
      </c>
      <c r="AV3186">
        <v>7</v>
      </c>
      <c r="AW3186">
        <v>10.45</v>
      </c>
      <c r="AX3186">
        <v>16.7</v>
      </c>
      <c r="AY3186">
        <v>22.55</v>
      </c>
      <c r="AZ3186">
        <v>25.86</v>
      </c>
      <c r="BA3186">
        <v>1.33</v>
      </c>
      <c r="BB3186" t="s">
        <v>143</v>
      </c>
      <c r="BF3186">
        <v>1.79</v>
      </c>
      <c r="BG3186">
        <v>-0.5</v>
      </c>
      <c r="BH3186">
        <v>-3.64</v>
      </c>
      <c r="BI3186">
        <v>1.1000000000000001</v>
      </c>
      <c r="BJ3186">
        <v>20210826</v>
      </c>
      <c r="BK3186">
        <v>20091225</v>
      </c>
      <c r="BL3186">
        <v>28.77</v>
      </c>
      <c r="BM3186" t="s">
        <v>120</v>
      </c>
      <c r="BN3186" t="s">
        <v>120</v>
      </c>
      <c r="BO3186">
        <v>258.08</v>
      </c>
      <c r="BP3186">
        <v>11.88</v>
      </c>
      <c r="BQ3186">
        <v>120.11</v>
      </c>
      <c r="BR3186">
        <v>5.5</v>
      </c>
      <c r="BS3186">
        <v>51.33</v>
      </c>
      <c r="BT3186">
        <v>55.37</v>
      </c>
      <c r="BU3186">
        <v>123.43</v>
      </c>
      <c r="BV3186">
        <v>12.67</v>
      </c>
      <c r="BW3186">
        <v>105.24</v>
      </c>
      <c r="BX3186">
        <v>28.95</v>
      </c>
      <c r="BY3186">
        <v>5.41</v>
      </c>
      <c r="BZ3186">
        <v>9.35</v>
      </c>
      <c r="CA3186" t="s">
        <v>120</v>
      </c>
      <c r="CB3186">
        <v>19.260000000000002</v>
      </c>
      <c r="CC3186">
        <v>96.36</v>
      </c>
      <c r="CD3186">
        <v>76.17</v>
      </c>
      <c r="CE3186">
        <v>10.92</v>
      </c>
      <c r="CF3186">
        <v>1.46</v>
      </c>
      <c r="CG3186">
        <v>10.91</v>
      </c>
      <c r="CH3186">
        <v>9.0399999999999991</v>
      </c>
      <c r="CI3186">
        <v>8.52</v>
      </c>
      <c r="CJ3186">
        <v>0.02</v>
      </c>
      <c r="CK3186">
        <v>8.42</v>
      </c>
      <c r="CL3186">
        <v>52.93</v>
      </c>
      <c r="CM3186">
        <v>7.43</v>
      </c>
      <c r="CN3186">
        <v>-9.9499999999999993</v>
      </c>
      <c r="CO3186">
        <v>29788</v>
      </c>
      <c r="CP3186">
        <v>16129</v>
      </c>
      <c r="CQ3186" t="s">
        <v>13772</v>
      </c>
      <c r="CR3186">
        <v>29.46</v>
      </c>
      <c r="CS3186">
        <v>51.2</v>
      </c>
      <c r="CT3186">
        <v>2.85</v>
      </c>
      <c r="CU3186">
        <v>46.07</v>
      </c>
      <c r="CV3186">
        <v>3.55</v>
      </c>
      <c r="CW3186">
        <v>1.77</v>
      </c>
      <c r="CX3186" t="s">
        <v>1340</v>
      </c>
      <c r="CY3186">
        <v>4.18</v>
      </c>
      <c r="CZ3186">
        <v>4.18</v>
      </c>
      <c r="DA3186">
        <v>0.67</v>
      </c>
      <c r="DB3186">
        <v>1.84</v>
      </c>
      <c r="DC3186">
        <v>0.26</v>
      </c>
      <c r="DD3186">
        <v>46.54</v>
      </c>
      <c r="DE3186" t="s">
        <v>6478</v>
      </c>
      <c r="DF3186">
        <v>20.95</v>
      </c>
      <c r="DG3186">
        <v>11.34</v>
      </c>
      <c r="DH3186">
        <v>8.84</v>
      </c>
      <c r="DI3186">
        <v>0.85</v>
      </c>
      <c r="DJ3186">
        <v>7821</v>
      </c>
      <c r="DK3186">
        <v>601139</v>
      </c>
      <c r="DL3186">
        <v>20210805</v>
      </c>
      <c r="DM3186">
        <v>9.59</v>
      </c>
      <c r="DN3186">
        <v>24.09</v>
      </c>
    </row>
    <row r="3187" spans="1:118">
      <c r="A3187" t="str">
        <f>"601155"</f>
        <v>601155</v>
      </c>
      <c r="B3187" t="s">
        <v>13773</v>
      </c>
      <c r="C3187">
        <v>-4.66</v>
      </c>
      <c r="D3187">
        <v>-0.24</v>
      </c>
      <c r="E3187">
        <v>-0.94</v>
      </c>
      <c r="F3187">
        <v>1722</v>
      </c>
      <c r="G3187" t="s">
        <v>13774</v>
      </c>
      <c r="H3187">
        <v>36994.730000000003</v>
      </c>
      <c r="I3187">
        <v>234.21</v>
      </c>
      <c r="J3187" t="s">
        <v>120</v>
      </c>
      <c r="K3187" t="s">
        <v>13775</v>
      </c>
      <c r="L3187">
        <v>0.5</v>
      </c>
      <c r="M3187">
        <v>32.35</v>
      </c>
      <c r="N3187">
        <v>1.44</v>
      </c>
      <c r="O3187">
        <v>-0.28999999999999998</v>
      </c>
      <c r="P3187">
        <v>33.83</v>
      </c>
      <c r="Q3187">
        <v>-4.9800000000000004</v>
      </c>
      <c r="R3187">
        <v>32.24</v>
      </c>
      <c r="S3187">
        <v>33.61</v>
      </c>
      <c r="T3187">
        <v>112322</v>
      </c>
      <c r="U3187">
        <v>32.369999999999997</v>
      </c>
      <c r="V3187">
        <v>33.93</v>
      </c>
      <c r="W3187">
        <v>8.49</v>
      </c>
      <c r="X3187" t="s">
        <v>150</v>
      </c>
      <c r="Y3187" t="s">
        <v>319</v>
      </c>
      <c r="Z3187">
        <v>4.6900000000000004</v>
      </c>
      <c r="AA3187">
        <v>32.94</v>
      </c>
      <c r="AB3187">
        <v>59581</v>
      </c>
      <c r="AC3187">
        <v>52741</v>
      </c>
      <c r="AD3187">
        <v>1.1299999999999999</v>
      </c>
      <c r="AE3187">
        <v>499</v>
      </c>
      <c r="AF3187">
        <v>26</v>
      </c>
      <c r="AG3187" t="s">
        <v>120</v>
      </c>
      <c r="AH3187">
        <v>0.01</v>
      </c>
      <c r="AI3187" t="s">
        <v>120</v>
      </c>
      <c r="AJ3187">
        <v>22.54</v>
      </c>
      <c r="AK3187" t="s">
        <v>13776</v>
      </c>
      <c r="AL3187">
        <v>-3.31</v>
      </c>
      <c r="AM3187">
        <v>3963</v>
      </c>
      <c r="AN3187">
        <v>28</v>
      </c>
      <c r="AO3187">
        <v>1E-4</v>
      </c>
      <c r="AP3187">
        <v>-3</v>
      </c>
      <c r="AQ3187">
        <v>-5.67</v>
      </c>
      <c r="AR3187">
        <v>-14.31</v>
      </c>
      <c r="AS3187">
        <v>-9.56</v>
      </c>
      <c r="AT3187">
        <v>-21.31</v>
      </c>
      <c r="AU3187">
        <v>-1.31</v>
      </c>
      <c r="AV3187">
        <v>1</v>
      </c>
      <c r="AW3187">
        <v>1.52</v>
      </c>
      <c r="AX3187">
        <v>32.67</v>
      </c>
      <c r="AY3187">
        <v>4.6900000000000004</v>
      </c>
      <c r="AZ3187">
        <v>5.03</v>
      </c>
      <c r="BA3187">
        <v>1.62</v>
      </c>
      <c r="BB3187" t="s">
        <v>143</v>
      </c>
      <c r="BF3187">
        <v>-2.93</v>
      </c>
      <c r="BG3187">
        <v>-3.75</v>
      </c>
      <c r="BH3187">
        <v>-4.37</v>
      </c>
      <c r="BI3187">
        <v>0.34</v>
      </c>
      <c r="BJ3187">
        <v>20210828</v>
      </c>
      <c r="BK3187">
        <v>20151204</v>
      </c>
      <c r="BL3187">
        <v>22.61</v>
      </c>
      <c r="BM3187" t="s">
        <v>120</v>
      </c>
      <c r="BN3187" t="s">
        <v>120</v>
      </c>
      <c r="BO3187">
        <v>5714.24</v>
      </c>
      <c r="BP3187">
        <v>32.35</v>
      </c>
      <c r="BQ3187">
        <v>507</v>
      </c>
      <c r="BR3187">
        <v>367.08</v>
      </c>
      <c r="BS3187">
        <v>84.7</v>
      </c>
      <c r="BT3187">
        <v>4393.37</v>
      </c>
      <c r="BU3187">
        <v>16</v>
      </c>
      <c r="BV3187">
        <v>10.25</v>
      </c>
      <c r="BW3187">
        <v>3967.49</v>
      </c>
      <c r="BX3187">
        <v>551.54</v>
      </c>
      <c r="BY3187">
        <v>2839.11</v>
      </c>
      <c r="BZ3187">
        <v>4.3</v>
      </c>
      <c r="CA3187">
        <v>7.19</v>
      </c>
      <c r="CB3187">
        <v>24.89</v>
      </c>
      <c r="CC3187">
        <v>791.05</v>
      </c>
      <c r="CD3187">
        <v>635.91999999999996</v>
      </c>
      <c r="CE3187">
        <v>67.760000000000005</v>
      </c>
      <c r="CF3187">
        <v>4.91</v>
      </c>
      <c r="CG3187">
        <v>68.77</v>
      </c>
      <c r="CH3187">
        <v>47.93</v>
      </c>
      <c r="CI3187">
        <v>43.06</v>
      </c>
      <c r="CJ3187">
        <v>-1.58</v>
      </c>
      <c r="CK3187">
        <v>37.96</v>
      </c>
      <c r="CL3187">
        <v>436.41</v>
      </c>
      <c r="CM3187">
        <v>-75.72</v>
      </c>
      <c r="CN3187">
        <v>-67.95</v>
      </c>
      <c r="CO3187">
        <v>53540</v>
      </c>
      <c r="CP3187">
        <v>13795</v>
      </c>
      <c r="CQ3187" t="s">
        <v>13777</v>
      </c>
      <c r="CR3187">
        <v>34.4</v>
      </c>
      <c r="CS3187">
        <v>109.63</v>
      </c>
      <c r="CT3187">
        <v>1.44</v>
      </c>
      <c r="CU3187">
        <v>-9.66</v>
      </c>
      <c r="CV3187">
        <v>0.92</v>
      </c>
      <c r="CW3187">
        <v>6.04</v>
      </c>
      <c r="CX3187" t="s">
        <v>13778</v>
      </c>
      <c r="CY3187">
        <v>22.43</v>
      </c>
      <c r="CZ3187">
        <v>0</v>
      </c>
      <c r="DA3187">
        <v>1.1000000000000001</v>
      </c>
      <c r="DB3187">
        <v>19.3</v>
      </c>
      <c r="DC3187">
        <v>-3.35</v>
      </c>
      <c r="DD3187">
        <v>8.8699999999999992</v>
      </c>
      <c r="DE3187" t="s">
        <v>11104</v>
      </c>
      <c r="DF3187">
        <v>19.61</v>
      </c>
      <c r="DG3187">
        <v>8.57</v>
      </c>
      <c r="DH3187">
        <v>5.44</v>
      </c>
      <c r="DI3187">
        <v>0.15</v>
      </c>
      <c r="DJ3187">
        <v>29405</v>
      </c>
      <c r="DK3187">
        <v>601155</v>
      </c>
      <c r="DL3187" t="s">
        <v>120</v>
      </c>
      <c r="DM3187" t="s">
        <v>120</v>
      </c>
      <c r="DN3187" t="s">
        <v>120</v>
      </c>
    </row>
    <row r="3188" spans="1:118">
      <c r="A3188" t="str">
        <f>"601156"</f>
        <v>601156</v>
      </c>
      <c r="B3188" t="s">
        <v>13779</v>
      </c>
      <c r="C3188">
        <v>-3.12</v>
      </c>
      <c r="D3188">
        <v>0.04</v>
      </c>
      <c r="E3188">
        <v>-0.39</v>
      </c>
      <c r="F3188">
        <v>1289</v>
      </c>
      <c r="G3188" t="s">
        <v>13780</v>
      </c>
      <c r="H3188">
        <v>33166.67</v>
      </c>
      <c r="I3188">
        <v>511.07</v>
      </c>
      <c r="J3188" t="s">
        <v>120</v>
      </c>
      <c r="K3188" t="s">
        <v>13780</v>
      </c>
      <c r="L3188">
        <v>9.17</v>
      </c>
      <c r="M3188">
        <v>22.36</v>
      </c>
      <c r="N3188">
        <v>0.81</v>
      </c>
      <c r="O3188">
        <v>1.95</v>
      </c>
      <c r="P3188">
        <v>23.53</v>
      </c>
      <c r="Q3188">
        <v>-3.73</v>
      </c>
      <c r="R3188">
        <v>22.22</v>
      </c>
      <c r="S3188">
        <v>22.99</v>
      </c>
      <c r="T3188">
        <v>145602</v>
      </c>
      <c r="U3188">
        <v>22.36</v>
      </c>
      <c r="V3188">
        <v>23.08</v>
      </c>
      <c r="W3188">
        <v>11.67</v>
      </c>
      <c r="X3188" t="s">
        <v>540</v>
      </c>
      <c r="Y3188" t="s">
        <v>1510</v>
      </c>
      <c r="Z3188">
        <v>5.68</v>
      </c>
      <c r="AA3188">
        <v>22.78</v>
      </c>
      <c r="AB3188">
        <v>89544</v>
      </c>
      <c r="AC3188">
        <v>56058</v>
      </c>
      <c r="AD3188">
        <v>1.6</v>
      </c>
      <c r="AE3188">
        <v>340</v>
      </c>
      <c r="AF3188">
        <v>53</v>
      </c>
      <c r="AG3188" t="s">
        <v>120</v>
      </c>
      <c r="AH3188">
        <v>0.14000000000000001</v>
      </c>
      <c r="AI3188" t="s">
        <v>120</v>
      </c>
      <c r="AJ3188">
        <v>1.59</v>
      </c>
      <c r="AK3188" t="s">
        <v>13781</v>
      </c>
      <c r="AL3188">
        <v>-1.78</v>
      </c>
      <c r="AM3188">
        <v>3791</v>
      </c>
      <c r="AN3188">
        <v>38</v>
      </c>
      <c r="AO3188">
        <v>2.3999999999999998E-3</v>
      </c>
      <c r="AP3188">
        <v>-1</v>
      </c>
      <c r="AQ3188">
        <v>4.67</v>
      </c>
      <c r="AR3188">
        <v>-1.1100000000000001</v>
      </c>
      <c r="AS3188">
        <v>10.09</v>
      </c>
      <c r="AT3188">
        <v>-10.6</v>
      </c>
      <c r="AU3188">
        <v>41.78</v>
      </c>
      <c r="AV3188">
        <v>2</v>
      </c>
      <c r="AW3188">
        <v>9.17</v>
      </c>
      <c r="AX3188">
        <v>10</v>
      </c>
      <c r="AY3188">
        <v>14.05</v>
      </c>
      <c r="AZ3188">
        <v>15.47</v>
      </c>
      <c r="BA3188">
        <v>0.97</v>
      </c>
      <c r="BB3188" t="s">
        <v>1103</v>
      </c>
      <c r="BF3188">
        <v>-1.3</v>
      </c>
      <c r="BG3188">
        <v>-2.74</v>
      </c>
      <c r="BH3188">
        <v>-4.97</v>
      </c>
      <c r="BI3188">
        <v>0.63</v>
      </c>
      <c r="BJ3188">
        <v>20210828</v>
      </c>
      <c r="BK3188">
        <v>20210609</v>
      </c>
      <c r="BL3188">
        <v>15.88</v>
      </c>
      <c r="BM3188" t="s">
        <v>120</v>
      </c>
      <c r="BN3188" t="s">
        <v>120</v>
      </c>
      <c r="BO3188">
        <v>156.80000000000001</v>
      </c>
      <c r="BP3188">
        <v>22.35</v>
      </c>
      <c r="BQ3188">
        <v>88.63</v>
      </c>
      <c r="BR3188">
        <v>6.52</v>
      </c>
      <c r="BS3188">
        <v>39.31</v>
      </c>
      <c r="BT3188">
        <v>91.98</v>
      </c>
      <c r="BU3188">
        <v>34.03</v>
      </c>
      <c r="BV3188">
        <v>3.41</v>
      </c>
      <c r="BW3188">
        <v>39.229999999999997</v>
      </c>
      <c r="BX3188">
        <v>70.23</v>
      </c>
      <c r="BY3188">
        <v>0.28999999999999998</v>
      </c>
      <c r="BZ3188">
        <v>17.78</v>
      </c>
      <c r="CA3188">
        <v>7.0000000000000007E-2</v>
      </c>
      <c r="CB3188">
        <v>36.630000000000003</v>
      </c>
      <c r="CC3188">
        <v>101.27</v>
      </c>
      <c r="CD3188">
        <v>75.489999999999995</v>
      </c>
      <c r="CE3188">
        <v>23.28</v>
      </c>
      <c r="CF3188">
        <v>0</v>
      </c>
      <c r="CG3188">
        <v>23.3</v>
      </c>
      <c r="CH3188">
        <v>17.45</v>
      </c>
      <c r="CI3188">
        <v>15.21</v>
      </c>
      <c r="CJ3188">
        <v>-0.72</v>
      </c>
      <c r="CK3188">
        <v>14.93</v>
      </c>
      <c r="CL3188">
        <v>35.9</v>
      </c>
      <c r="CM3188">
        <v>26.42</v>
      </c>
      <c r="CN3188">
        <v>45.59</v>
      </c>
      <c r="CO3188">
        <v>82372</v>
      </c>
      <c r="CP3188">
        <v>1927</v>
      </c>
      <c r="CQ3188" t="s">
        <v>223</v>
      </c>
      <c r="CR3188">
        <v>0</v>
      </c>
      <c r="CS3188">
        <v>0</v>
      </c>
      <c r="CT3188">
        <v>4</v>
      </c>
      <c r="CU3188">
        <v>13.44</v>
      </c>
      <c r="CV3188">
        <v>3.51</v>
      </c>
      <c r="CW3188">
        <v>0</v>
      </c>
      <c r="CX3188" t="s">
        <v>3039</v>
      </c>
      <c r="CY3188">
        <v>5.58</v>
      </c>
      <c r="CZ3188">
        <v>0</v>
      </c>
      <c r="DA3188">
        <v>2.31</v>
      </c>
      <c r="DB3188">
        <v>2.2599999999999998</v>
      </c>
      <c r="DC3188">
        <v>1.66</v>
      </c>
      <c r="DD3188">
        <v>56.53</v>
      </c>
      <c r="DE3188" t="s">
        <v>13782</v>
      </c>
      <c r="DF3188">
        <v>25.46</v>
      </c>
      <c r="DG3188">
        <v>22.99</v>
      </c>
      <c r="DH3188">
        <v>15.02</v>
      </c>
      <c r="DI3188">
        <v>0.06</v>
      </c>
      <c r="DJ3188">
        <v>6949</v>
      </c>
      <c r="DK3188">
        <v>601156</v>
      </c>
      <c r="DL3188" t="s">
        <v>120</v>
      </c>
      <c r="DM3188" t="s">
        <v>120</v>
      </c>
      <c r="DN3188" t="s">
        <v>120</v>
      </c>
    </row>
    <row r="3189" spans="1:118">
      <c r="A3189" t="str">
        <f>"601158"</f>
        <v>601158</v>
      </c>
      <c r="B3189" t="s">
        <v>13783</v>
      </c>
      <c r="C3189">
        <v>-2.78</v>
      </c>
      <c r="D3189">
        <v>0.54</v>
      </c>
      <c r="E3189">
        <v>0</v>
      </c>
      <c r="F3189">
        <v>6503</v>
      </c>
      <c r="G3189" t="s">
        <v>3851</v>
      </c>
      <c r="H3189">
        <v>8704.09</v>
      </c>
      <c r="I3189">
        <v>17.86</v>
      </c>
      <c r="J3189" t="s">
        <v>120</v>
      </c>
      <c r="K3189" t="s">
        <v>13784</v>
      </c>
      <c r="L3189">
        <v>0.32</v>
      </c>
      <c r="M3189">
        <v>5.6</v>
      </c>
      <c r="N3189">
        <v>1.2</v>
      </c>
      <c r="O3189">
        <v>1.56</v>
      </c>
      <c r="P3189">
        <v>5.85</v>
      </c>
      <c r="Q3189">
        <v>-3.3</v>
      </c>
      <c r="R3189">
        <v>5.57</v>
      </c>
      <c r="S3189">
        <v>5.76</v>
      </c>
      <c r="T3189">
        <v>153103</v>
      </c>
      <c r="U3189">
        <v>5.6</v>
      </c>
      <c r="V3189">
        <v>5.76</v>
      </c>
      <c r="W3189">
        <v>12.74</v>
      </c>
      <c r="X3189" t="s">
        <v>1271</v>
      </c>
      <c r="Y3189" t="s">
        <v>883</v>
      </c>
      <c r="Z3189">
        <v>4.8600000000000003</v>
      </c>
      <c r="AA3189">
        <v>5.69</v>
      </c>
      <c r="AB3189">
        <v>88733</v>
      </c>
      <c r="AC3189">
        <v>64370</v>
      </c>
      <c r="AD3189">
        <v>1.38</v>
      </c>
      <c r="AE3189">
        <v>45</v>
      </c>
      <c r="AF3189">
        <v>292</v>
      </c>
      <c r="AG3189" t="s">
        <v>120</v>
      </c>
      <c r="AH3189">
        <v>0.01</v>
      </c>
      <c r="AI3189" t="s">
        <v>120</v>
      </c>
      <c r="AJ3189">
        <v>48</v>
      </c>
      <c r="AK3189" t="s">
        <v>13784</v>
      </c>
      <c r="AL3189">
        <v>-1.43</v>
      </c>
      <c r="AM3189">
        <v>2250</v>
      </c>
      <c r="AN3189">
        <v>68</v>
      </c>
      <c r="AO3189">
        <v>1E-4</v>
      </c>
      <c r="AP3189">
        <v>-1</v>
      </c>
      <c r="AQ3189">
        <v>0.7</v>
      </c>
      <c r="AR3189">
        <v>-5.56</v>
      </c>
      <c r="AS3189">
        <v>0.36</v>
      </c>
      <c r="AT3189">
        <v>6.87</v>
      </c>
      <c r="AU3189">
        <v>15.11</v>
      </c>
      <c r="AV3189">
        <v>2</v>
      </c>
      <c r="AW3189">
        <v>2.79</v>
      </c>
      <c r="AX3189">
        <v>11.44</v>
      </c>
      <c r="AY3189">
        <v>13.48</v>
      </c>
      <c r="AZ3189">
        <v>15.59</v>
      </c>
      <c r="BA3189">
        <v>0.34</v>
      </c>
      <c r="BB3189" t="s">
        <v>240</v>
      </c>
      <c r="BF3189">
        <v>-1.3</v>
      </c>
      <c r="BG3189">
        <v>-2.78</v>
      </c>
      <c r="BH3189">
        <v>-4.2699999999999996</v>
      </c>
      <c r="BI3189">
        <v>0.54</v>
      </c>
      <c r="BJ3189">
        <v>20210814</v>
      </c>
      <c r="BK3189">
        <v>20100329</v>
      </c>
      <c r="BL3189">
        <v>48</v>
      </c>
      <c r="BM3189" t="s">
        <v>120</v>
      </c>
      <c r="BN3189" t="s">
        <v>120</v>
      </c>
      <c r="BO3189">
        <v>273.55</v>
      </c>
      <c r="BP3189">
        <v>5.59</v>
      </c>
      <c r="BQ3189">
        <v>155.09</v>
      </c>
      <c r="BR3189">
        <v>0.69</v>
      </c>
      <c r="BS3189">
        <v>43.05</v>
      </c>
      <c r="BT3189">
        <v>61.41</v>
      </c>
      <c r="BU3189">
        <v>131.13999999999999</v>
      </c>
      <c r="BV3189">
        <v>23.19</v>
      </c>
      <c r="BW3189">
        <v>55.01</v>
      </c>
      <c r="BX3189">
        <v>32.43</v>
      </c>
      <c r="BY3189">
        <v>6.6</v>
      </c>
      <c r="BZ3189">
        <v>2.86</v>
      </c>
      <c r="CA3189">
        <v>0.04</v>
      </c>
      <c r="CB3189">
        <v>48.79</v>
      </c>
      <c r="CC3189">
        <v>31.78</v>
      </c>
      <c r="CD3189">
        <v>17.809999999999999</v>
      </c>
      <c r="CE3189">
        <v>12.45</v>
      </c>
      <c r="CF3189">
        <v>1.29</v>
      </c>
      <c r="CG3189">
        <v>12.82</v>
      </c>
      <c r="CH3189">
        <v>10.55</v>
      </c>
      <c r="CI3189">
        <v>10.55</v>
      </c>
      <c r="CJ3189">
        <v>-0.16</v>
      </c>
      <c r="CK3189">
        <v>7.74</v>
      </c>
      <c r="CL3189">
        <v>37.369999999999997</v>
      </c>
      <c r="CM3189">
        <v>8.33</v>
      </c>
      <c r="CN3189">
        <v>4.43</v>
      </c>
      <c r="CO3189">
        <v>46568</v>
      </c>
      <c r="CP3189">
        <v>11790</v>
      </c>
      <c r="CQ3189" t="s">
        <v>723</v>
      </c>
      <c r="CR3189">
        <v>35.659999999999997</v>
      </c>
      <c r="CS3189">
        <v>22.49</v>
      </c>
      <c r="CT3189">
        <v>1.73</v>
      </c>
      <c r="CU3189">
        <v>32.25</v>
      </c>
      <c r="CV3189">
        <v>8.4600000000000009</v>
      </c>
      <c r="CW3189">
        <v>4.43</v>
      </c>
      <c r="CX3189" t="s">
        <v>3361</v>
      </c>
      <c r="CY3189">
        <v>3.23</v>
      </c>
      <c r="CZ3189">
        <v>0</v>
      </c>
      <c r="DA3189">
        <v>1.02</v>
      </c>
      <c r="DB3189">
        <v>0.78</v>
      </c>
      <c r="DC3189">
        <v>0.17</v>
      </c>
      <c r="DD3189">
        <v>56.7</v>
      </c>
      <c r="DE3189" t="s">
        <v>1948</v>
      </c>
      <c r="DF3189">
        <v>43.98</v>
      </c>
      <c r="DG3189">
        <v>39.17</v>
      </c>
      <c r="DH3189">
        <v>33.18</v>
      </c>
      <c r="DI3189">
        <v>0.01</v>
      </c>
      <c r="DJ3189">
        <v>6009</v>
      </c>
      <c r="DK3189">
        <v>601158</v>
      </c>
      <c r="DL3189" t="s">
        <v>120</v>
      </c>
      <c r="DM3189" t="s">
        <v>120</v>
      </c>
      <c r="DN3189" t="s">
        <v>120</v>
      </c>
    </row>
    <row r="3190" spans="1:118">
      <c r="A3190" t="str">
        <f>"601162"</f>
        <v>601162</v>
      </c>
      <c r="B3190" t="s">
        <v>13785</v>
      </c>
      <c r="C3190">
        <v>-2.39</v>
      </c>
      <c r="D3190">
        <v>0.22</v>
      </c>
      <c r="E3190">
        <v>0</v>
      </c>
      <c r="F3190">
        <v>14459</v>
      </c>
      <c r="G3190" t="s">
        <v>13786</v>
      </c>
      <c r="H3190">
        <v>50389.25</v>
      </c>
      <c r="I3190">
        <v>94.02</v>
      </c>
      <c r="J3190" t="s">
        <v>120</v>
      </c>
      <c r="K3190" t="s">
        <v>13787</v>
      </c>
      <c r="L3190">
        <v>2.89</v>
      </c>
      <c r="M3190">
        <v>4.49</v>
      </c>
      <c r="N3190">
        <v>0.56000000000000005</v>
      </c>
      <c r="O3190">
        <v>0.43</v>
      </c>
      <c r="P3190">
        <v>4.62</v>
      </c>
      <c r="Q3190">
        <v>-2.83</v>
      </c>
      <c r="R3190">
        <v>4.47</v>
      </c>
      <c r="S3190">
        <v>4.5999999999999996</v>
      </c>
      <c r="T3190">
        <v>1108272</v>
      </c>
      <c r="U3190">
        <v>4.49</v>
      </c>
      <c r="V3190">
        <v>4.5999999999999996</v>
      </c>
      <c r="W3190">
        <v>58.99</v>
      </c>
      <c r="X3190" t="s">
        <v>616</v>
      </c>
      <c r="Y3190" t="s">
        <v>763</v>
      </c>
      <c r="Z3190">
        <v>3.26</v>
      </c>
      <c r="AA3190">
        <v>4.55</v>
      </c>
      <c r="AB3190">
        <v>631992</v>
      </c>
      <c r="AC3190">
        <v>476280</v>
      </c>
      <c r="AD3190">
        <v>1.33</v>
      </c>
      <c r="AE3190">
        <v>4646</v>
      </c>
      <c r="AF3190">
        <v>5826</v>
      </c>
      <c r="AG3190" t="s">
        <v>120</v>
      </c>
      <c r="AH3190">
        <v>0.01</v>
      </c>
      <c r="AI3190" t="s">
        <v>120</v>
      </c>
      <c r="AJ3190">
        <v>38.380000000000003</v>
      </c>
      <c r="AK3190" t="s">
        <v>13788</v>
      </c>
      <c r="AL3190">
        <v>-1.05</v>
      </c>
      <c r="AM3190">
        <v>4294</v>
      </c>
      <c r="AN3190">
        <v>258</v>
      </c>
      <c r="AO3190">
        <v>6.9999999999999999E-4</v>
      </c>
      <c r="AP3190">
        <v>-1</v>
      </c>
      <c r="AQ3190">
        <v>1.1000000000000001</v>
      </c>
      <c r="AR3190">
        <v>-4.0599999999999996</v>
      </c>
      <c r="AS3190">
        <v>1.82</v>
      </c>
      <c r="AT3190">
        <v>-6.84</v>
      </c>
      <c r="AU3190">
        <v>-26.39</v>
      </c>
      <c r="AV3190">
        <v>0</v>
      </c>
      <c r="AW3190">
        <v>3.06</v>
      </c>
      <c r="AX3190">
        <v>41.76</v>
      </c>
      <c r="AY3190">
        <v>104.99</v>
      </c>
      <c r="AZ3190">
        <v>87.63</v>
      </c>
      <c r="BA3190">
        <v>0.71</v>
      </c>
      <c r="BB3190" t="s">
        <v>143</v>
      </c>
      <c r="BF3190">
        <v>-1.1599999999999999</v>
      </c>
      <c r="BG3190">
        <v>-2.39</v>
      </c>
      <c r="BH3190">
        <v>-2.81</v>
      </c>
      <c r="BI3190">
        <v>0.45</v>
      </c>
      <c r="BJ3190">
        <v>20210831</v>
      </c>
      <c r="BK3190">
        <v>20181019</v>
      </c>
      <c r="BL3190">
        <v>86.66</v>
      </c>
      <c r="BM3190" t="s">
        <v>120</v>
      </c>
      <c r="BN3190" t="s">
        <v>120</v>
      </c>
      <c r="BO3190">
        <v>943.14</v>
      </c>
      <c r="BP3190">
        <v>4.4800000000000004</v>
      </c>
      <c r="BQ3190">
        <v>258.82</v>
      </c>
      <c r="BR3190">
        <v>44.85</v>
      </c>
      <c r="BS3190">
        <v>67.8</v>
      </c>
      <c r="BT3190">
        <v>0</v>
      </c>
      <c r="BU3190">
        <v>7.14</v>
      </c>
      <c r="BV3190">
        <v>3.74</v>
      </c>
      <c r="BW3190">
        <v>0</v>
      </c>
      <c r="BX3190">
        <v>176.9</v>
      </c>
      <c r="BY3190">
        <v>0</v>
      </c>
      <c r="BZ3190">
        <v>0</v>
      </c>
      <c r="CA3190" t="s">
        <v>120</v>
      </c>
      <c r="CB3190">
        <v>140.41999999999999</v>
      </c>
      <c r="CC3190">
        <v>16.27</v>
      </c>
      <c r="CD3190">
        <v>0</v>
      </c>
      <c r="CE3190">
        <v>4.43</v>
      </c>
      <c r="CF3190">
        <v>6.58</v>
      </c>
      <c r="CG3190">
        <v>4.92</v>
      </c>
      <c r="CH3190">
        <v>3.96</v>
      </c>
      <c r="CI3190">
        <v>3.3</v>
      </c>
      <c r="CJ3190">
        <v>-0.11</v>
      </c>
      <c r="CK3190">
        <v>2.87</v>
      </c>
      <c r="CL3190">
        <v>26.07</v>
      </c>
      <c r="CM3190">
        <v>-0.39</v>
      </c>
      <c r="CN3190">
        <v>39.44</v>
      </c>
      <c r="CO3190">
        <v>199589</v>
      </c>
      <c r="CP3190">
        <v>18133</v>
      </c>
      <c r="CQ3190" t="s">
        <v>5202</v>
      </c>
      <c r="CR3190">
        <v>-18.57</v>
      </c>
      <c r="CS3190">
        <v>-21.05</v>
      </c>
      <c r="CT3190">
        <v>1.5</v>
      </c>
      <c r="CU3190">
        <v>-988.52</v>
      </c>
      <c r="CV3190">
        <v>23.91</v>
      </c>
      <c r="CW3190">
        <v>0.11</v>
      </c>
      <c r="CX3190" t="s">
        <v>145</v>
      </c>
      <c r="CY3190">
        <v>2.99</v>
      </c>
      <c r="CZ3190">
        <v>0</v>
      </c>
      <c r="DA3190">
        <v>1.62</v>
      </c>
      <c r="DB3190">
        <v>0.3</v>
      </c>
      <c r="DC3190">
        <v>0</v>
      </c>
      <c r="DD3190">
        <v>27.44</v>
      </c>
      <c r="DE3190" t="s">
        <v>13645</v>
      </c>
      <c r="DF3190" t="s">
        <v>120</v>
      </c>
      <c r="DG3190">
        <v>27.23</v>
      </c>
      <c r="DH3190">
        <v>20.27</v>
      </c>
      <c r="DI3190" t="s">
        <v>120</v>
      </c>
      <c r="DJ3190">
        <v>3208</v>
      </c>
      <c r="DK3190">
        <v>601162</v>
      </c>
      <c r="DL3190" t="s">
        <v>120</v>
      </c>
      <c r="DM3190" t="s">
        <v>120</v>
      </c>
      <c r="DN3190" t="s">
        <v>120</v>
      </c>
    </row>
    <row r="3191" spans="1:118">
      <c r="A3191" t="str">
        <f>"601163"</f>
        <v>601163</v>
      </c>
      <c r="B3191" t="s">
        <v>13789</v>
      </c>
      <c r="C3191">
        <v>0.28999999999999998</v>
      </c>
      <c r="D3191">
        <v>-0.13</v>
      </c>
      <c r="E3191">
        <v>7.0000000000000007E-2</v>
      </c>
      <c r="F3191">
        <v>617</v>
      </c>
      <c r="G3191" t="s">
        <v>10662</v>
      </c>
      <c r="H3191">
        <v>9001.85</v>
      </c>
      <c r="I3191">
        <v>12.29</v>
      </c>
      <c r="J3191" t="s">
        <v>120</v>
      </c>
      <c r="K3191" t="s">
        <v>13790</v>
      </c>
      <c r="L3191">
        <v>0.8</v>
      </c>
      <c r="M3191">
        <v>13.84</v>
      </c>
      <c r="N3191">
        <v>1.99</v>
      </c>
      <c r="O3191">
        <v>3.33</v>
      </c>
      <c r="P3191">
        <v>14.26</v>
      </c>
      <c r="Q3191">
        <v>7.0000000000000007E-2</v>
      </c>
      <c r="R3191">
        <v>13.81</v>
      </c>
      <c r="S3191">
        <v>13.81</v>
      </c>
      <c r="T3191">
        <v>64126</v>
      </c>
      <c r="U3191">
        <v>13.85</v>
      </c>
      <c r="V3191">
        <v>13.8</v>
      </c>
      <c r="W3191">
        <v>15.94</v>
      </c>
      <c r="X3191" t="s">
        <v>289</v>
      </c>
      <c r="Y3191" t="s">
        <v>638</v>
      </c>
      <c r="Z3191">
        <v>3.26</v>
      </c>
      <c r="AA3191">
        <v>14.04</v>
      </c>
      <c r="AB3191">
        <v>32538</v>
      </c>
      <c r="AC3191">
        <v>31588</v>
      </c>
      <c r="AD3191">
        <v>1.03</v>
      </c>
      <c r="AE3191">
        <v>510</v>
      </c>
      <c r="AF3191">
        <v>117</v>
      </c>
      <c r="AG3191" t="s">
        <v>120</v>
      </c>
      <c r="AH3191">
        <v>0</v>
      </c>
      <c r="AI3191" t="s">
        <v>120</v>
      </c>
      <c r="AJ3191">
        <v>8</v>
      </c>
      <c r="AK3191" t="s">
        <v>13790</v>
      </c>
      <c r="AL3191">
        <v>1.63</v>
      </c>
      <c r="AM3191">
        <v>1983</v>
      </c>
      <c r="AN3191">
        <v>32</v>
      </c>
      <c r="AO3191">
        <v>4.0000000000000002E-4</v>
      </c>
      <c r="AP3191">
        <v>2</v>
      </c>
      <c r="AQ3191">
        <v>0.28999999999999998</v>
      </c>
      <c r="AR3191">
        <v>-1.56</v>
      </c>
      <c r="AS3191">
        <v>-2.2599999999999998</v>
      </c>
      <c r="AT3191">
        <v>-6.3</v>
      </c>
      <c r="AU3191">
        <v>-11.67</v>
      </c>
      <c r="AV3191">
        <v>1</v>
      </c>
      <c r="AW3191">
        <v>2.67</v>
      </c>
      <c r="AX3191">
        <v>30.01</v>
      </c>
      <c r="AY3191">
        <v>11.61</v>
      </c>
      <c r="AZ3191">
        <v>10.42</v>
      </c>
      <c r="BA3191">
        <v>0.89</v>
      </c>
      <c r="BB3191" t="s">
        <v>143</v>
      </c>
      <c r="BF3191">
        <v>1.72</v>
      </c>
      <c r="BG3191">
        <v>0.22</v>
      </c>
      <c r="BH3191">
        <v>-2.95</v>
      </c>
      <c r="BI3191">
        <v>0.22</v>
      </c>
      <c r="BJ3191">
        <v>20210826</v>
      </c>
      <c r="BK3191">
        <v>20160909</v>
      </c>
      <c r="BL3191">
        <v>8</v>
      </c>
      <c r="BM3191" t="s">
        <v>120</v>
      </c>
      <c r="BN3191" t="s">
        <v>120</v>
      </c>
      <c r="BO3191">
        <v>165.45</v>
      </c>
      <c r="BP3191">
        <v>13.84</v>
      </c>
      <c r="BQ3191">
        <v>108.9</v>
      </c>
      <c r="BR3191">
        <v>0.01</v>
      </c>
      <c r="BS3191">
        <v>34.17</v>
      </c>
      <c r="BT3191">
        <v>106.41</v>
      </c>
      <c r="BU3191">
        <v>47.73</v>
      </c>
      <c r="BV3191">
        <v>4.37</v>
      </c>
      <c r="BW3191">
        <v>50.11</v>
      </c>
      <c r="BX3191">
        <v>12.57</v>
      </c>
      <c r="BY3191">
        <v>12.58</v>
      </c>
      <c r="BZ3191">
        <v>7.98</v>
      </c>
      <c r="CA3191" t="s">
        <v>120</v>
      </c>
      <c r="CB3191">
        <v>52.25</v>
      </c>
      <c r="CC3191">
        <v>45.39</v>
      </c>
      <c r="CD3191">
        <v>36.880000000000003</v>
      </c>
      <c r="CE3191">
        <v>4.12</v>
      </c>
      <c r="CF3191">
        <v>1.1299999999999999</v>
      </c>
      <c r="CG3191">
        <v>4.1100000000000003</v>
      </c>
      <c r="CH3191">
        <v>3.47</v>
      </c>
      <c r="CI3191">
        <v>3.47</v>
      </c>
      <c r="CJ3191">
        <v>0.04</v>
      </c>
      <c r="CK3191">
        <v>2.4300000000000002</v>
      </c>
      <c r="CL3191">
        <v>38</v>
      </c>
      <c r="CM3191">
        <v>-0.69</v>
      </c>
      <c r="CN3191">
        <v>-7.63</v>
      </c>
      <c r="CO3191">
        <v>54674</v>
      </c>
      <c r="CP3191">
        <v>4391</v>
      </c>
      <c r="CQ3191" t="s">
        <v>1972</v>
      </c>
      <c r="CR3191">
        <v>-23.9</v>
      </c>
      <c r="CS3191">
        <v>17.559999999999999</v>
      </c>
      <c r="CT3191">
        <v>1.02</v>
      </c>
      <c r="CU3191">
        <v>-161.26</v>
      </c>
      <c r="CV3191">
        <v>2.44</v>
      </c>
      <c r="CW3191">
        <v>2.9</v>
      </c>
      <c r="CX3191" t="s">
        <v>1462</v>
      </c>
      <c r="CY3191">
        <v>13.61</v>
      </c>
      <c r="CZ3191">
        <v>0</v>
      </c>
      <c r="DA3191">
        <v>6.53</v>
      </c>
      <c r="DB3191">
        <v>4.75</v>
      </c>
      <c r="DC3191">
        <v>-0.09</v>
      </c>
      <c r="DD3191">
        <v>65.819999999999993</v>
      </c>
      <c r="DE3191" t="s">
        <v>1369</v>
      </c>
      <c r="DF3191">
        <v>18.739999999999998</v>
      </c>
      <c r="DG3191">
        <v>9.09</v>
      </c>
      <c r="DH3191">
        <v>7.65</v>
      </c>
      <c r="DI3191">
        <v>2.21</v>
      </c>
      <c r="DJ3191">
        <v>5687</v>
      </c>
      <c r="DK3191">
        <v>601163</v>
      </c>
      <c r="DL3191" t="s">
        <v>120</v>
      </c>
      <c r="DM3191" t="s">
        <v>120</v>
      </c>
      <c r="DN3191" t="s">
        <v>120</v>
      </c>
    </row>
    <row r="3192" spans="1:118">
      <c r="A3192" t="str">
        <f>"601166"</f>
        <v>601166</v>
      </c>
      <c r="B3192" t="s">
        <v>13791</v>
      </c>
      <c r="C3192">
        <v>-1.33</v>
      </c>
      <c r="D3192">
        <v>-0.04</v>
      </c>
      <c r="E3192">
        <v>-0.53</v>
      </c>
      <c r="F3192">
        <v>19919</v>
      </c>
      <c r="G3192" t="s">
        <v>13792</v>
      </c>
      <c r="H3192">
        <v>169964.65</v>
      </c>
      <c r="I3192">
        <v>1022.06</v>
      </c>
      <c r="J3192" t="s">
        <v>120</v>
      </c>
      <c r="K3192" t="s">
        <v>13793</v>
      </c>
      <c r="L3192">
        <v>0.46</v>
      </c>
      <c r="M3192">
        <v>18.600000000000001</v>
      </c>
      <c r="N3192">
        <v>0.61</v>
      </c>
      <c r="O3192">
        <v>0.64</v>
      </c>
      <c r="P3192">
        <v>18.97</v>
      </c>
      <c r="Q3192">
        <v>-1.43</v>
      </c>
      <c r="R3192">
        <v>18.579999999999998</v>
      </c>
      <c r="S3192">
        <v>18.75</v>
      </c>
      <c r="T3192">
        <v>907176</v>
      </c>
      <c r="U3192">
        <v>18.61</v>
      </c>
      <c r="V3192">
        <v>18.850000000000001</v>
      </c>
      <c r="W3192">
        <v>4.82</v>
      </c>
      <c r="X3192" t="s">
        <v>122</v>
      </c>
      <c r="Y3192" t="s">
        <v>937</v>
      </c>
      <c r="Z3192">
        <v>2.0699999999999998</v>
      </c>
      <c r="AA3192">
        <v>18.739999999999998</v>
      </c>
      <c r="AB3192">
        <v>480391</v>
      </c>
      <c r="AC3192">
        <v>426785</v>
      </c>
      <c r="AD3192">
        <v>1.1299999999999999</v>
      </c>
      <c r="AE3192">
        <v>5075</v>
      </c>
      <c r="AF3192">
        <v>985</v>
      </c>
      <c r="AG3192" t="s">
        <v>120</v>
      </c>
      <c r="AH3192">
        <v>0</v>
      </c>
      <c r="AI3192" t="s">
        <v>120</v>
      </c>
      <c r="AJ3192">
        <v>196.15</v>
      </c>
      <c r="AK3192" t="s">
        <v>13794</v>
      </c>
      <c r="AL3192">
        <v>0.02</v>
      </c>
      <c r="AM3192">
        <v>4709</v>
      </c>
      <c r="AN3192">
        <v>193</v>
      </c>
      <c r="AO3192">
        <v>1E-4</v>
      </c>
      <c r="AP3192">
        <v>-3</v>
      </c>
      <c r="AQ3192">
        <v>-1.62</v>
      </c>
      <c r="AR3192">
        <v>-7.42</v>
      </c>
      <c r="AS3192">
        <v>0.27</v>
      </c>
      <c r="AT3192">
        <v>-5.28</v>
      </c>
      <c r="AU3192">
        <v>-7.32</v>
      </c>
      <c r="AV3192">
        <v>0</v>
      </c>
      <c r="AW3192">
        <v>0.71</v>
      </c>
      <c r="AX3192">
        <v>61.93</v>
      </c>
      <c r="AY3192">
        <v>5.28</v>
      </c>
      <c r="AZ3192">
        <v>5.88</v>
      </c>
      <c r="BA3192">
        <v>1.42</v>
      </c>
      <c r="BB3192" t="s">
        <v>143</v>
      </c>
      <c r="BF3192">
        <v>-0.61</v>
      </c>
      <c r="BG3192">
        <v>-0.8</v>
      </c>
      <c r="BH3192">
        <v>-1.95</v>
      </c>
      <c r="BI3192">
        <v>0.11</v>
      </c>
      <c r="BJ3192">
        <v>20210827</v>
      </c>
      <c r="BK3192">
        <v>20070205</v>
      </c>
      <c r="BL3192">
        <v>207.74</v>
      </c>
      <c r="BM3192" t="s">
        <v>120</v>
      </c>
      <c r="BN3192" t="s">
        <v>120</v>
      </c>
      <c r="BO3192">
        <v>81091.83</v>
      </c>
      <c r="BP3192">
        <v>18.600000000000001</v>
      </c>
      <c r="BQ3192">
        <v>6379.56</v>
      </c>
      <c r="BR3192">
        <v>95.74</v>
      </c>
      <c r="BS3192">
        <v>92.01</v>
      </c>
      <c r="BT3192">
        <v>0</v>
      </c>
      <c r="BU3192">
        <v>258.66000000000003</v>
      </c>
      <c r="BV3192">
        <v>7.29</v>
      </c>
      <c r="BW3192">
        <v>0</v>
      </c>
      <c r="BX3192">
        <v>5292.06</v>
      </c>
      <c r="BY3192">
        <v>0</v>
      </c>
      <c r="BZ3192">
        <v>0</v>
      </c>
      <c r="CA3192" t="s">
        <v>120</v>
      </c>
      <c r="CB3192">
        <v>749.14</v>
      </c>
      <c r="CC3192">
        <v>1089.55</v>
      </c>
      <c r="CD3192">
        <v>0</v>
      </c>
      <c r="CE3192">
        <v>463.34</v>
      </c>
      <c r="CF3192">
        <v>89.39</v>
      </c>
      <c r="CG3192">
        <v>463.97</v>
      </c>
      <c r="CH3192">
        <v>406.38</v>
      </c>
      <c r="CI3192">
        <v>401.12</v>
      </c>
      <c r="CJ3192">
        <v>-0.25</v>
      </c>
      <c r="CK3192">
        <v>400.01</v>
      </c>
      <c r="CL3192">
        <v>3569.32</v>
      </c>
      <c r="CM3192">
        <v>-2183.4</v>
      </c>
      <c r="CN3192">
        <v>536.04</v>
      </c>
      <c r="CO3192">
        <v>332285</v>
      </c>
      <c r="CP3192">
        <v>38716</v>
      </c>
      <c r="CQ3192" t="s">
        <v>13795</v>
      </c>
      <c r="CR3192">
        <v>23.08</v>
      </c>
      <c r="CS3192">
        <v>8.94</v>
      </c>
      <c r="CT3192">
        <v>0.7</v>
      </c>
      <c r="CU3192">
        <v>-1.77</v>
      </c>
      <c r="CV3192">
        <v>3.55</v>
      </c>
      <c r="CW3192">
        <v>4.25</v>
      </c>
      <c r="CX3192" t="s">
        <v>13796</v>
      </c>
      <c r="CY3192">
        <v>26.58</v>
      </c>
      <c r="CZ3192">
        <v>26.58</v>
      </c>
      <c r="DA3192">
        <v>3.61</v>
      </c>
      <c r="DB3192">
        <v>17.18</v>
      </c>
      <c r="DC3192">
        <v>-10.51</v>
      </c>
      <c r="DD3192">
        <v>7.87</v>
      </c>
      <c r="DE3192" t="s">
        <v>7237</v>
      </c>
      <c r="DF3192" t="s">
        <v>120</v>
      </c>
      <c r="DG3192">
        <v>42.53</v>
      </c>
      <c r="DH3192">
        <v>36.82</v>
      </c>
      <c r="DI3192" t="s">
        <v>120</v>
      </c>
      <c r="DJ3192">
        <v>59630</v>
      </c>
      <c r="DK3192">
        <v>601166</v>
      </c>
      <c r="DL3192" t="s">
        <v>120</v>
      </c>
      <c r="DM3192" t="s">
        <v>120</v>
      </c>
      <c r="DN3192" t="s">
        <v>120</v>
      </c>
    </row>
    <row r="3193" spans="1:118">
      <c r="A3193" t="str">
        <f>"601168"</f>
        <v>601168</v>
      </c>
      <c r="B3193" t="s">
        <v>13797</v>
      </c>
      <c r="C3193">
        <v>-6.5</v>
      </c>
      <c r="D3193">
        <v>0</v>
      </c>
      <c r="E3193">
        <v>0.94</v>
      </c>
      <c r="F3193">
        <v>11326</v>
      </c>
      <c r="G3193" t="s">
        <v>13798</v>
      </c>
      <c r="H3193">
        <v>238024.6</v>
      </c>
      <c r="I3193">
        <v>685.7</v>
      </c>
      <c r="J3193" t="s">
        <v>120</v>
      </c>
      <c r="K3193" t="s">
        <v>13799</v>
      </c>
      <c r="L3193">
        <v>5.65</v>
      </c>
      <c r="M3193">
        <v>16.97</v>
      </c>
      <c r="N3193">
        <v>0.92</v>
      </c>
      <c r="O3193">
        <v>2.31</v>
      </c>
      <c r="P3193">
        <v>18.57</v>
      </c>
      <c r="Q3193">
        <v>-7</v>
      </c>
      <c r="R3193">
        <v>16.88</v>
      </c>
      <c r="S3193">
        <v>18.32</v>
      </c>
      <c r="T3193">
        <v>1346709</v>
      </c>
      <c r="U3193">
        <v>16.98</v>
      </c>
      <c r="V3193">
        <v>18.149999999999999</v>
      </c>
      <c r="W3193">
        <v>14.33</v>
      </c>
      <c r="X3193" t="s">
        <v>1398</v>
      </c>
      <c r="Y3193" t="s">
        <v>691</v>
      </c>
      <c r="Z3193">
        <v>9.31</v>
      </c>
      <c r="AA3193">
        <v>17.670000000000002</v>
      </c>
      <c r="AB3193">
        <v>729632</v>
      </c>
      <c r="AC3193">
        <v>617077</v>
      </c>
      <c r="AD3193">
        <v>1.18</v>
      </c>
      <c r="AE3193">
        <v>3447</v>
      </c>
      <c r="AF3193">
        <v>771</v>
      </c>
      <c r="AG3193" t="s">
        <v>120</v>
      </c>
      <c r="AH3193">
        <v>0.02</v>
      </c>
      <c r="AI3193" t="s">
        <v>120</v>
      </c>
      <c r="AJ3193">
        <v>23.83</v>
      </c>
      <c r="AK3193" t="s">
        <v>13799</v>
      </c>
      <c r="AL3193">
        <v>-5.16</v>
      </c>
      <c r="AM3193">
        <v>4736</v>
      </c>
      <c r="AN3193">
        <v>284</v>
      </c>
      <c r="AO3193">
        <v>1.1999999999999999E-3</v>
      </c>
      <c r="AP3193">
        <v>-1</v>
      </c>
      <c r="AQ3193">
        <v>1.74</v>
      </c>
      <c r="AR3193">
        <v>-12.07</v>
      </c>
      <c r="AS3193">
        <v>17.440000000000001</v>
      </c>
      <c r="AT3193">
        <v>42.13</v>
      </c>
      <c r="AU3193">
        <v>38.42</v>
      </c>
      <c r="AV3193">
        <v>6</v>
      </c>
      <c r="AW3193">
        <v>8.07</v>
      </c>
      <c r="AX3193">
        <v>70</v>
      </c>
      <c r="AY3193">
        <v>21.67</v>
      </c>
      <c r="AZ3193">
        <v>47.64</v>
      </c>
      <c r="BA3193">
        <v>1.27</v>
      </c>
      <c r="BB3193" t="s">
        <v>143</v>
      </c>
      <c r="BF3193">
        <v>-2.62</v>
      </c>
      <c r="BG3193">
        <v>-7.37</v>
      </c>
      <c r="BH3193">
        <v>-8.6199999999999992</v>
      </c>
      <c r="BI3193">
        <v>0.53</v>
      </c>
      <c r="BJ3193">
        <v>20210717</v>
      </c>
      <c r="BK3193">
        <v>20070712</v>
      </c>
      <c r="BL3193">
        <v>23.83</v>
      </c>
      <c r="BM3193" t="s">
        <v>120</v>
      </c>
      <c r="BN3193" t="s">
        <v>120</v>
      </c>
      <c r="BO3193">
        <v>513.67999999999995</v>
      </c>
      <c r="BP3193">
        <v>16.97</v>
      </c>
      <c r="BQ3193">
        <v>118.55</v>
      </c>
      <c r="BR3193">
        <v>53.83</v>
      </c>
      <c r="BS3193">
        <v>66.44</v>
      </c>
      <c r="BT3193">
        <v>161.99</v>
      </c>
      <c r="BU3193">
        <v>207.31</v>
      </c>
      <c r="BV3193">
        <v>56.94</v>
      </c>
      <c r="BW3193">
        <v>190.53</v>
      </c>
      <c r="BX3193">
        <v>84.91</v>
      </c>
      <c r="BY3193">
        <v>37.17</v>
      </c>
      <c r="BZ3193">
        <v>4.5599999999999996</v>
      </c>
      <c r="CA3193" t="s">
        <v>120</v>
      </c>
      <c r="CB3193">
        <v>55.83</v>
      </c>
      <c r="CC3193">
        <v>191.19</v>
      </c>
      <c r="CD3193">
        <v>154.97999999999999</v>
      </c>
      <c r="CE3193">
        <v>23.46</v>
      </c>
      <c r="CF3193">
        <v>-1.43</v>
      </c>
      <c r="CG3193">
        <v>24.29</v>
      </c>
      <c r="CH3193">
        <v>21.24</v>
      </c>
      <c r="CI3193">
        <v>14.11</v>
      </c>
      <c r="CJ3193">
        <v>-1.18</v>
      </c>
      <c r="CK3193">
        <v>13.63</v>
      </c>
      <c r="CL3193">
        <v>31.47</v>
      </c>
      <c r="CM3193">
        <v>45.37</v>
      </c>
      <c r="CN3193">
        <v>23.32</v>
      </c>
      <c r="CO3193">
        <v>158977</v>
      </c>
      <c r="CP3193">
        <v>10493</v>
      </c>
      <c r="CQ3193" t="s">
        <v>9918</v>
      </c>
      <c r="CR3193">
        <v>336.4</v>
      </c>
      <c r="CS3193">
        <v>41.81</v>
      </c>
      <c r="CT3193">
        <v>3.41</v>
      </c>
      <c r="CU3193">
        <v>8.91</v>
      </c>
      <c r="CV3193">
        <v>2.12</v>
      </c>
      <c r="CW3193">
        <v>0.66</v>
      </c>
      <c r="CX3193" t="s">
        <v>597</v>
      </c>
      <c r="CY3193">
        <v>4.9800000000000004</v>
      </c>
      <c r="CZ3193">
        <v>0</v>
      </c>
      <c r="DA3193">
        <v>2.34</v>
      </c>
      <c r="DB3193">
        <v>1.32</v>
      </c>
      <c r="DC3193">
        <v>1.9</v>
      </c>
      <c r="DD3193">
        <v>23.08</v>
      </c>
      <c r="DE3193" t="s">
        <v>2878</v>
      </c>
      <c r="DF3193">
        <v>18.940000000000001</v>
      </c>
      <c r="DG3193">
        <v>12.27</v>
      </c>
      <c r="DH3193">
        <v>7.38</v>
      </c>
      <c r="DI3193">
        <v>0.38</v>
      </c>
      <c r="DJ3193">
        <v>5484</v>
      </c>
      <c r="DK3193">
        <v>601168</v>
      </c>
      <c r="DL3193">
        <v>20210913</v>
      </c>
      <c r="DM3193">
        <v>19.3</v>
      </c>
      <c r="DN3193">
        <v>-12.07</v>
      </c>
    </row>
    <row r="3194" spans="1:118">
      <c r="A3194" t="str">
        <f>"601169"</f>
        <v>601169</v>
      </c>
      <c r="B3194" t="s">
        <v>13800</v>
      </c>
      <c r="C3194">
        <v>0.23</v>
      </c>
      <c r="D3194">
        <v>0.45</v>
      </c>
      <c r="E3194">
        <v>0.23</v>
      </c>
      <c r="F3194">
        <v>21450</v>
      </c>
      <c r="G3194" t="s">
        <v>13801</v>
      </c>
      <c r="H3194">
        <v>43322.92</v>
      </c>
      <c r="I3194">
        <v>135.91</v>
      </c>
      <c r="J3194" t="s">
        <v>120</v>
      </c>
      <c r="K3194" t="s">
        <v>13802</v>
      </c>
      <c r="L3194">
        <v>0.46</v>
      </c>
      <c r="M3194">
        <v>4.4400000000000004</v>
      </c>
      <c r="N3194">
        <v>0.9</v>
      </c>
      <c r="O3194">
        <v>0.9</v>
      </c>
      <c r="P3194">
        <v>4.47</v>
      </c>
      <c r="Q3194">
        <v>-0.23</v>
      </c>
      <c r="R3194">
        <v>4.42</v>
      </c>
      <c r="S3194">
        <v>4.4400000000000004</v>
      </c>
      <c r="T3194">
        <v>974714</v>
      </c>
      <c r="U3194">
        <v>4.4400000000000004</v>
      </c>
      <c r="V3194">
        <v>4.43</v>
      </c>
      <c r="W3194">
        <v>3.73</v>
      </c>
      <c r="X3194" t="s">
        <v>122</v>
      </c>
      <c r="Y3194" t="s">
        <v>158</v>
      </c>
      <c r="Z3194">
        <v>1.1299999999999999</v>
      </c>
      <c r="AA3194">
        <v>4.4400000000000004</v>
      </c>
      <c r="AB3194">
        <v>489664</v>
      </c>
      <c r="AC3194">
        <v>485050</v>
      </c>
      <c r="AD3194">
        <v>1.01</v>
      </c>
      <c r="AE3194">
        <v>623</v>
      </c>
      <c r="AF3194">
        <v>10701</v>
      </c>
      <c r="AG3194" t="s">
        <v>120</v>
      </c>
      <c r="AH3194">
        <v>0</v>
      </c>
      <c r="AI3194" t="s">
        <v>120</v>
      </c>
      <c r="AJ3194">
        <v>211.43</v>
      </c>
      <c r="AK3194" t="s">
        <v>13802</v>
      </c>
      <c r="AL3194">
        <v>1.57</v>
      </c>
      <c r="AM3194">
        <v>3824</v>
      </c>
      <c r="AN3194">
        <v>255</v>
      </c>
      <c r="AO3194">
        <v>1E-4</v>
      </c>
      <c r="AP3194">
        <v>1</v>
      </c>
      <c r="AQ3194">
        <v>-0.45</v>
      </c>
      <c r="AR3194">
        <v>-1.99</v>
      </c>
      <c r="AS3194">
        <v>1.84</v>
      </c>
      <c r="AT3194">
        <v>-3.27</v>
      </c>
      <c r="AU3194">
        <v>-2.2000000000000002</v>
      </c>
      <c r="AV3194">
        <v>0</v>
      </c>
      <c r="AW3194">
        <v>0.66</v>
      </c>
      <c r="AX3194">
        <v>69.75</v>
      </c>
      <c r="AY3194">
        <v>4.1500000000000004</v>
      </c>
      <c r="AZ3194">
        <v>4.3600000000000003</v>
      </c>
      <c r="BA3194">
        <v>0.4</v>
      </c>
      <c r="BB3194" t="s">
        <v>143</v>
      </c>
      <c r="BF3194">
        <v>0.33</v>
      </c>
      <c r="BG3194">
        <v>0</v>
      </c>
      <c r="BH3194">
        <v>-0.67</v>
      </c>
      <c r="BI3194">
        <v>0.45</v>
      </c>
      <c r="BJ3194">
        <v>20210902</v>
      </c>
      <c r="BK3194">
        <v>20070919</v>
      </c>
      <c r="BL3194">
        <v>211.43</v>
      </c>
      <c r="BM3194" t="s">
        <v>120</v>
      </c>
      <c r="BN3194" t="s">
        <v>120</v>
      </c>
      <c r="BO3194">
        <v>30590.46</v>
      </c>
      <c r="BP3194">
        <v>4.43</v>
      </c>
      <c r="BQ3194">
        <v>2250.7399999999998</v>
      </c>
      <c r="BR3194">
        <v>19.54</v>
      </c>
      <c r="BS3194">
        <v>92.58</v>
      </c>
      <c r="BT3194">
        <v>0</v>
      </c>
      <c r="BU3194">
        <v>182.11</v>
      </c>
      <c r="BV3194">
        <v>6.08</v>
      </c>
      <c r="BW3194">
        <v>0</v>
      </c>
      <c r="BX3194">
        <v>2041.88</v>
      </c>
      <c r="BY3194">
        <v>0</v>
      </c>
      <c r="BZ3194">
        <v>0</v>
      </c>
      <c r="CA3194" t="s">
        <v>120</v>
      </c>
      <c r="CB3194">
        <v>438.85</v>
      </c>
      <c r="CC3194">
        <v>333.72</v>
      </c>
      <c r="CD3194">
        <v>0</v>
      </c>
      <c r="CE3194">
        <v>143.6</v>
      </c>
      <c r="CF3194">
        <v>39.68</v>
      </c>
      <c r="CG3194">
        <v>142.61000000000001</v>
      </c>
      <c r="CH3194">
        <v>126.85</v>
      </c>
      <c r="CI3194">
        <v>125.83</v>
      </c>
      <c r="CJ3194">
        <v>0.01</v>
      </c>
      <c r="CK3194">
        <v>126.71</v>
      </c>
      <c r="CL3194">
        <v>880.14</v>
      </c>
      <c r="CM3194">
        <v>-3.89</v>
      </c>
      <c r="CN3194">
        <v>173.67</v>
      </c>
      <c r="CO3194">
        <v>217950</v>
      </c>
      <c r="CP3194">
        <v>67663</v>
      </c>
      <c r="CQ3194" t="s">
        <v>13803</v>
      </c>
      <c r="CR3194">
        <v>9.2799999999999994</v>
      </c>
      <c r="CS3194">
        <v>0.56000000000000005</v>
      </c>
      <c r="CT3194">
        <v>0.45</v>
      </c>
      <c r="CU3194">
        <v>-241.32</v>
      </c>
      <c r="CV3194">
        <v>2.81</v>
      </c>
      <c r="CW3194">
        <v>6.77</v>
      </c>
      <c r="CX3194" t="s">
        <v>1881</v>
      </c>
      <c r="CY3194">
        <v>9.8000000000000007</v>
      </c>
      <c r="CZ3194">
        <v>9.8000000000000007</v>
      </c>
      <c r="DA3194">
        <v>2.08</v>
      </c>
      <c r="DB3194">
        <v>4.16</v>
      </c>
      <c r="DC3194">
        <v>-0.02</v>
      </c>
      <c r="DD3194">
        <v>7.36</v>
      </c>
      <c r="DE3194" t="s">
        <v>7117</v>
      </c>
      <c r="DF3194" t="s">
        <v>120</v>
      </c>
      <c r="DG3194">
        <v>43.03</v>
      </c>
      <c r="DH3194">
        <v>37.71</v>
      </c>
      <c r="DI3194" t="s">
        <v>120</v>
      </c>
      <c r="DJ3194">
        <v>15490</v>
      </c>
      <c r="DK3194">
        <v>601169</v>
      </c>
      <c r="DL3194" t="s">
        <v>120</v>
      </c>
      <c r="DM3194" t="s">
        <v>120</v>
      </c>
      <c r="DN3194" t="s">
        <v>120</v>
      </c>
    </row>
    <row r="3195" spans="1:118">
      <c r="A3195" t="str">
        <f>"601177"</f>
        <v>601177</v>
      </c>
      <c r="B3195" t="s">
        <v>13804</v>
      </c>
      <c r="C3195">
        <v>0.53</v>
      </c>
      <c r="D3195">
        <v>-0.1</v>
      </c>
      <c r="E3195">
        <v>-0.21</v>
      </c>
      <c r="F3195">
        <v>674</v>
      </c>
      <c r="G3195" t="s">
        <v>13805</v>
      </c>
      <c r="H3195">
        <v>8571.09</v>
      </c>
      <c r="I3195">
        <v>8.4600000000000009</v>
      </c>
      <c r="J3195" t="s">
        <v>120</v>
      </c>
      <c r="K3195" t="s">
        <v>8311</v>
      </c>
      <c r="L3195">
        <v>2.25</v>
      </c>
      <c r="M3195">
        <v>9.4700000000000006</v>
      </c>
      <c r="N3195">
        <v>1.08</v>
      </c>
      <c r="O3195">
        <v>1.91</v>
      </c>
      <c r="P3195">
        <v>9.6</v>
      </c>
      <c r="Q3195">
        <v>-0.64</v>
      </c>
      <c r="R3195">
        <v>9.36</v>
      </c>
      <c r="S3195">
        <v>9.4</v>
      </c>
      <c r="T3195">
        <v>90001</v>
      </c>
      <c r="U3195">
        <v>9.48</v>
      </c>
      <c r="V3195">
        <v>9.42</v>
      </c>
      <c r="W3195">
        <v>17.809999999999999</v>
      </c>
      <c r="X3195" t="s">
        <v>959</v>
      </c>
      <c r="Y3195" t="s">
        <v>585</v>
      </c>
      <c r="Z3195">
        <v>2.5499999999999998</v>
      </c>
      <c r="AA3195">
        <v>9.52</v>
      </c>
      <c r="AB3195">
        <v>38228</v>
      </c>
      <c r="AC3195">
        <v>51773</v>
      </c>
      <c r="AD3195">
        <v>0.74</v>
      </c>
      <c r="AE3195">
        <v>508</v>
      </c>
      <c r="AF3195">
        <v>269</v>
      </c>
      <c r="AG3195" t="s">
        <v>120</v>
      </c>
      <c r="AH3195">
        <v>0</v>
      </c>
      <c r="AI3195" t="s">
        <v>120</v>
      </c>
      <c r="AJ3195">
        <v>4</v>
      </c>
      <c r="AK3195" t="s">
        <v>8311</v>
      </c>
      <c r="AL3195">
        <v>1.87</v>
      </c>
      <c r="AM3195">
        <v>2407</v>
      </c>
      <c r="AN3195">
        <v>37</v>
      </c>
      <c r="AO3195">
        <v>8.9999999999999998E-4</v>
      </c>
      <c r="AP3195">
        <v>2</v>
      </c>
      <c r="AQ3195">
        <v>2.39</v>
      </c>
      <c r="AR3195">
        <v>0</v>
      </c>
      <c r="AS3195">
        <v>12.2</v>
      </c>
      <c r="AT3195">
        <v>16.329999999999998</v>
      </c>
      <c r="AU3195">
        <v>17.78</v>
      </c>
      <c r="AV3195">
        <v>1</v>
      </c>
      <c r="AW3195">
        <v>4.59</v>
      </c>
      <c r="AX3195">
        <v>48.99</v>
      </c>
      <c r="AY3195">
        <v>26.18</v>
      </c>
      <c r="AZ3195">
        <v>44.91</v>
      </c>
      <c r="BA3195">
        <v>0.59</v>
      </c>
      <c r="BB3195" t="s">
        <v>143</v>
      </c>
      <c r="BF3195">
        <v>1.1000000000000001</v>
      </c>
      <c r="BG3195">
        <v>0.74</v>
      </c>
      <c r="BH3195">
        <v>-1.35</v>
      </c>
      <c r="BI3195">
        <v>1.18</v>
      </c>
      <c r="BJ3195">
        <v>20210818</v>
      </c>
      <c r="BK3195">
        <v>20101011</v>
      </c>
      <c r="BL3195">
        <v>4</v>
      </c>
      <c r="BM3195" t="s">
        <v>120</v>
      </c>
      <c r="BN3195" t="s">
        <v>120</v>
      </c>
      <c r="BO3195">
        <v>41.71</v>
      </c>
      <c r="BP3195">
        <v>9.4700000000000006</v>
      </c>
      <c r="BQ3195">
        <v>18.48</v>
      </c>
      <c r="BR3195">
        <v>0.57999999999999996</v>
      </c>
      <c r="BS3195">
        <v>54.32</v>
      </c>
      <c r="BT3195">
        <v>17.940000000000001</v>
      </c>
      <c r="BU3195">
        <v>9.7100000000000009</v>
      </c>
      <c r="BV3195">
        <v>1.62</v>
      </c>
      <c r="BW3195">
        <v>16.38</v>
      </c>
      <c r="BX3195">
        <v>3.94</v>
      </c>
      <c r="BY3195">
        <v>7.44</v>
      </c>
      <c r="BZ3195">
        <v>3.38</v>
      </c>
      <c r="CA3195">
        <v>0.01</v>
      </c>
      <c r="CB3195">
        <v>8.61</v>
      </c>
      <c r="CC3195">
        <v>12.44</v>
      </c>
      <c r="CD3195">
        <v>9.6</v>
      </c>
      <c r="CE3195">
        <v>1.24</v>
      </c>
      <c r="CF3195">
        <v>0.89</v>
      </c>
      <c r="CG3195">
        <v>1.23</v>
      </c>
      <c r="CH3195">
        <v>1.19</v>
      </c>
      <c r="CI3195">
        <v>1.06</v>
      </c>
      <c r="CJ3195">
        <v>0.05</v>
      </c>
      <c r="CK3195">
        <v>0.53</v>
      </c>
      <c r="CL3195">
        <v>4.7699999999999996</v>
      </c>
      <c r="CM3195">
        <v>0.61</v>
      </c>
      <c r="CN3195">
        <v>-0.44</v>
      </c>
      <c r="CO3195">
        <v>16275</v>
      </c>
      <c r="CP3195">
        <v>12042</v>
      </c>
      <c r="CQ3195" t="s">
        <v>8817</v>
      </c>
      <c r="CR3195">
        <v>129.72</v>
      </c>
      <c r="CS3195">
        <v>33.56</v>
      </c>
      <c r="CT3195">
        <v>2.0499999999999998</v>
      </c>
      <c r="CU3195">
        <v>62.11</v>
      </c>
      <c r="CV3195">
        <v>3.05</v>
      </c>
      <c r="CW3195">
        <v>0.21</v>
      </c>
      <c r="CX3195" t="s">
        <v>871</v>
      </c>
      <c r="CY3195">
        <v>4.62</v>
      </c>
      <c r="CZ3195">
        <v>0</v>
      </c>
      <c r="DA3195">
        <v>2.15</v>
      </c>
      <c r="DB3195">
        <v>1.19</v>
      </c>
      <c r="DC3195">
        <v>0.15</v>
      </c>
      <c r="DD3195">
        <v>44.3</v>
      </c>
      <c r="DE3195" t="s">
        <v>4781</v>
      </c>
      <c r="DF3195">
        <v>22.83</v>
      </c>
      <c r="DG3195">
        <v>9.94</v>
      </c>
      <c r="DH3195">
        <v>8.5500000000000007</v>
      </c>
      <c r="DI3195">
        <v>0.52</v>
      </c>
      <c r="DJ3195">
        <v>2958</v>
      </c>
      <c r="DK3195">
        <v>601177</v>
      </c>
      <c r="DL3195" t="s">
        <v>120</v>
      </c>
      <c r="DM3195" t="s">
        <v>120</v>
      </c>
      <c r="DN3195" t="s">
        <v>120</v>
      </c>
    </row>
    <row r="3196" spans="1:118">
      <c r="A3196" t="str">
        <f>"601179"</f>
        <v>601179</v>
      </c>
      <c r="B3196" t="s">
        <v>13806</v>
      </c>
      <c r="C3196">
        <v>-7.38</v>
      </c>
      <c r="D3196">
        <v>0.16</v>
      </c>
      <c r="E3196">
        <v>0.9</v>
      </c>
      <c r="F3196">
        <v>13405</v>
      </c>
      <c r="G3196" t="s">
        <v>13807</v>
      </c>
      <c r="H3196">
        <v>114896.85</v>
      </c>
      <c r="I3196">
        <v>1950.97</v>
      </c>
      <c r="J3196" t="s">
        <v>120</v>
      </c>
      <c r="K3196" t="s">
        <v>13808</v>
      </c>
      <c r="L3196">
        <v>3.53</v>
      </c>
      <c r="M3196">
        <v>6.15</v>
      </c>
      <c r="N3196">
        <v>0.81</v>
      </c>
      <c r="O3196">
        <v>0.9</v>
      </c>
      <c r="P3196">
        <v>6.7</v>
      </c>
      <c r="Q3196">
        <v>-8.1300000000000008</v>
      </c>
      <c r="R3196">
        <v>6.1</v>
      </c>
      <c r="S3196">
        <v>6.7</v>
      </c>
      <c r="T3196">
        <v>1809398</v>
      </c>
      <c r="U3196">
        <v>6.15</v>
      </c>
      <c r="V3196">
        <v>6.64</v>
      </c>
      <c r="W3196">
        <v>64.78</v>
      </c>
      <c r="X3196" t="s">
        <v>394</v>
      </c>
      <c r="Y3196" t="s">
        <v>890</v>
      </c>
      <c r="Z3196">
        <v>9.0399999999999991</v>
      </c>
      <c r="AA3196">
        <v>6.35</v>
      </c>
      <c r="AB3196">
        <v>1015492</v>
      </c>
      <c r="AC3196">
        <v>793906</v>
      </c>
      <c r="AD3196">
        <v>1.28</v>
      </c>
      <c r="AE3196">
        <v>5946</v>
      </c>
      <c r="AF3196">
        <v>5674</v>
      </c>
      <c r="AG3196" t="s">
        <v>120</v>
      </c>
      <c r="AH3196">
        <v>0.17</v>
      </c>
      <c r="AI3196" t="s">
        <v>120</v>
      </c>
      <c r="AJ3196">
        <v>51.26</v>
      </c>
      <c r="AK3196" t="s">
        <v>13808</v>
      </c>
      <c r="AL3196">
        <v>-6.04</v>
      </c>
      <c r="AM3196">
        <v>4708</v>
      </c>
      <c r="AN3196">
        <v>384</v>
      </c>
      <c r="AO3196">
        <v>6.9999999999999999E-4</v>
      </c>
      <c r="AP3196">
        <v>-1</v>
      </c>
      <c r="AQ3196">
        <v>6.58</v>
      </c>
      <c r="AR3196">
        <v>-5.82</v>
      </c>
      <c r="AS3196">
        <v>20.12</v>
      </c>
      <c r="AT3196">
        <v>50.37</v>
      </c>
      <c r="AU3196">
        <v>34.28</v>
      </c>
      <c r="AV3196">
        <v>4</v>
      </c>
      <c r="AW3196">
        <v>10.37</v>
      </c>
      <c r="AX3196">
        <v>34.06</v>
      </c>
      <c r="AY3196">
        <v>92.5</v>
      </c>
      <c r="AZ3196">
        <v>140.47</v>
      </c>
      <c r="BA3196">
        <v>0.21</v>
      </c>
      <c r="BB3196" t="s">
        <v>184</v>
      </c>
      <c r="BF3196">
        <v>-4.37</v>
      </c>
      <c r="BG3196">
        <v>-8.2100000000000009</v>
      </c>
      <c r="BH3196">
        <v>-8.2100000000000009</v>
      </c>
      <c r="BI3196">
        <v>0.82</v>
      </c>
      <c r="BJ3196">
        <v>20210827</v>
      </c>
      <c r="BK3196">
        <v>20100128</v>
      </c>
      <c r="BL3196">
        <v>51.26</v>
      </c>
      <c r="BM3196" t="s">
        <v>120</v>
      </c>
      <c r="BN3196" t="s">
        <v>120</v>
      </c>
      <c r="BO3196">
        <v>389.16</v>
      </c>
      <c r="BP3196">
        <v>6.14</v>
      </c>
      <c r="BQ3196">
        <v>199.15</v>
      </c>
      <c r="BR3196">
        <v>10.37</v>
      </c>
      <c r="BS3196">
        <v>46.16</v>
      </c>
      <c r="BT3196">
        <v>294.98</v>
      </c>
      <c r="BU3196">
        <v>41.7</v>
      </c>
      <c r="BV3196">
        <v>16.29</v>
      </c>
      <c r="BW3196">
        <v>163.85</v>
      </c>
      <c r="BX3196">
        <v>34.950000000000003</v>
      </c>
      <c r="BY3196">
        <v>44.35</v>
      </c>
      <c r="BZ3196">
        <v>85.38</v>
      </c>
      <c r="CA3196" t="s">
        <v>120</v>
      </c>
      <c r="CB3196">
        <v>115.54</v>
      </c>
      <c r="CC3196">
        <v>75.75</v>
      </c>
      <c r="CD3196">
        <v>63.44</v>
      </c>
      <c r="CE3196">
        <v>2.97</v>
      </c>
      <c r="CF3196">
        <v>0.41</v>
      </c>
      <c r="CG3196">
        <v>3.1</v>
      </c>
      <c r="CH3196">
        <v>2.56</v>
      </c>
      <c r="CI3196">
        <v>2.4300000000000002</v>
      </c>
      <c r="CJ3196">
        <v>-0.49</v>
      </c>
      <c r="CK3196">
        <v>1.82</v>
      </c>
      <c r="CL3196">
        <v>26.58</v>
      </c>
      <c r="CM3196">
        <v>3.72</v>
      </c>
      <c r="CN3196">
        <v>-3.42</v>
      </c>
      <c r="CO3196">
        <v>159407</v>
      </c>
      <c r="CP3196">
        <v>10951</v>
      </c>
      <c r="CQ3196" t="s">
        <v>6248</v>
      </c>
      <c r="CR3196">
        <v>106.82</v>
      </c>
      <c r="CS3196">
        <v>25.63</v>
      </c>
      <c r="CT3196">
        <v>1.58</v>
      </c>
      <c r="CU3196">
        <v>84.64</v>
      </c>
      <c r="CV3196">
        <v>4.16</v>
      </c>
      <c r="CW3196">
        <v>0.45</v>
      </c>
      <c r="CX3196" t="s">
        <v>1248</v>
      </c>
      <c r="CY3196">
        <v>3.89</v>
      </c>
      <c r="CZ3196">
        <v>0</v>
      </c>
      <c r="DA3196">
        <v>2.25</v>
      </c>
      <c r="DB3196">
        <v>0.52</v>
      </c>
      <c r="DC3196">
        <v>7.0000000000000007E-2</v>
      </c>
      <c r="DD3196">
        <v>51.18</v>
      </c>
      <c r="DE3196" t="s">
        <v>1703</v>
      </c>
      <c r="DF3196">
        <v>16.25</v>
      </c>
      <c r="DG3196">
        <v>3.92</v>
      </c>
      <c r="DH3196">
        <v>3.21</v>
      </c>
      <c r="DI3196">
        <v>2.73</v>
      </c>
      <c r="DJ3196">
        <v>12220</v>
      </c>
      <c r="DK3196">
        <v>601179</v>
      </c>
      <c r="DL3196">
        <v>20210912</v>
      </c>
      <c r="DM3196">
        <v>6.7</v>
      </c>
      <c r="DN3196">
        <v>-8.2100000000000009</v>
      </c>
    </row>
    <row r="3197" spans="1:118">
      <c r="A3197" t="str">
        <f>"601186"</f>
        <v>601186</v>
      </c>
      <c r="B3197" t="s">
        <v>13809</v>
      </c>
      <c r="C3197">
        <v>-0.7</v>
      </c>
      <c r="D3197">
        <v>0.23</v>
      </c>
      <c r="E3197">
        <v>-0.12</v>
      </c>
      <c r="F3197">
        <v>7510</v>
      </c>
      <c r="G3197" t="s">
        <v>13810</v>
      </c>
      <c r="H3197">
        <v>83856.38</v>
      </c>
      <c r="I3197">
        <v>294.89</v>
      </c>
      <c r="J3197" t="s">
        <v>120</v>
      </c>
      <c r="K3197" t="s">
        <v>13811</v>
      </c>
      <c r="L3197">
        <v>0.85</v>
      </c>
      <c r="M3197">
        <v>8.5399999999999991</v>
      </c>
      <c r="N3197">
        <v>0.48</v>
      </c>
      <c r="O3197">
        <v>1.1599999999999999</v>
      </c>
      <c r="P3197">
        <v>8.6999999999999993</v>
      </c>
      <c r="Q3197">
        <v>-1.05</v>
      </c>
      <c r="R3197">
        <v>8.51</v>
      </c>
      <c r="S3197">
        <v>8.59</v>
      </c>
      <c r="T3197">
        <v>976145</v>
      </c>
      <c r="U3197">
        <v>8.5399999999999991</v>
      </c>
      <c r="V3197">
        <v>8.6</v>
      </c>
      <c r="W3197">
        <v>4.71</v>
      </c>
      <c r="X3197" t="s">
        <v>175</v>
      </c>
      <c r="Y3197" t="s">
        <v>158</v>
      </c>
      <c r="Z3197">
        <v>2.21</v>
      </c>
      <c r="AA3197">
        <v>8.59</v>
      </c>
      <c r="AB3197">
        <v>496583</v>
      </c>
      <c r="AC3197">
        <v>479562</v>
      </c>
      <c r="AD3197">
        <v>1.04</v>
      </c>
      <c r="AE3197">
        <v>644</v>
      </c>
      <c r="AF3197">
        <v>2246</v>
      </c>
      <c r="AG3197" t="s">
        <v>120</v>
      </c>
      <c r="AH3197">
        <v>0.01</v>
      </c>
      <c r="AI3197" t="s">
        <v>120</v>
      </c>
      <c r="AJ3197">
        <v>115.03</v>
      </c>
      <c r="AK3197" t="s">
        <v>13811</v>
      </c>
      <c r="AL3197">
        <v>0.65</v>
      </c>
      <c r="AM3197">
        <v>4548</v>
      </c>
      <c r="AN3197">
        <v>215</v>
      </c>
      <c r="AO3197">
        <v>2.0000000000000001E-4</v>
      </c>
      <c r="AP3197">
        <v>-5</v>
      </c>
      <c r="AQ3197">
        <v>-0.81</v>
      </c>
      <c r="AR3197">
        <v>-5.85</v>
      </c>
      <c r="AS3197">
        <v>17.149999999999999</v>
      </c>
      <c r="AT3197">
        <v>17.149999999999999</v>
      </c>
      <c r="AU3197">
        <v>11.35</v>
      </c>
      <c r="AV3197">
        <v>0</v>
      </c>
      <c r="AW3197">
        <v>2.14</v>
      </c>
      <c r="AX3197">
        <v>39.65</v>
      </c>
      <c r="AY3197">
        <v>4.5999999999999996</v>
      </c>
      <c r="AZ3197">
        <v>5.22</v>
      </c>
      <c r="BA3197">
        <v>0.76</v>
      </c>
      <c r="BB3197" t="s">
        <v>143</v>
      </c>
      <c r="BF3197">
        <v>-0.11</v>
      </c>
      <c r="BG3197">
        <v>-0.57999999999999996</v>
      </c>
      <c r="BH3197">
        <v>-1.84</v>
      </c>
      <c r="BI3197">
        <v>0.35</v>
      </c>
      <c r="BJ3197">
        <v>20210831</v>
      </c>
      <c r="BK3197">
        <v>20080310</v>
      </c>
      <c r="BL3197">
        <v>135.80000000000001</v>
      </c>
      <c r="BM3197" t="s">
        <v>120</v>
      </c>
      <c r="BN3197">
        <v>20.76</v>
      </c>
      <c r="BO3197">
        <v>13355.39</v>
      </c>
      <c r="BP3197">
        <v>8.5299999999999994</v>
      </c>
      <c r="BQ3197">
        <v>2572.0100000000002</v>
      </c>
      <c r="BR3197">
        <v>685.36</v>
      </c>
      <c r="BS3197">
        <v>75.61</v>
      </c>
      <c r="BT3197">
        <v>9136.7900000000009</v>
      </c>
      <c r="BU3197">
        <v>573.54</v>
      </c>
      <c r="BV3197">
        <v>800.87</v>
      </c>
      <c r="BW3197">
        <v>8238.5499999999993</v>
      </c>
      <c r="BX3197">
        <v>1397.05</v>
      </c>
      <c r="BY3197">
        <v>2638.43</v>
      </c>
      <c r="BZ3197">
        <v>1644.57</v>
      </c>
      <c r="CA3197">
        <v>1.74</v>
      </c>
      <c r="CB3197">
        <v>448.06</v>
      </c>
      <c r="CC3197">
        <v>4885.1499999999996</v>
      </c>
      <c r="CD3197">
        <v>4474.25</v>
      </c>
      <c r="CE3197">
        <v>166.74</v>
      </c>
      <c r="CF3197">
        <v>-0.16</v>
      </c>
      <c r="CG3197">
        <v>168.93</v>
      </c>
      <c r="CH3197">
        <v>140.99</v>
      </c>
      <c r="CI3197">
        <v>123.07</v>
      </c>
      <c r="CJ3197">
        <v>-0.06</v>
      </c>
      <c r="CK3197">
        <v>112.67</v>
      </c>
      <c r="CL3197">
        <v>1311.05</v>
      </c>
      <c r="CM3197">
        <v>-561.86</v>
      </c>
      <c r="CN3197">
        <v>-470.22</v>
      </c>
      <c r="CO3197">
        <v>315026</v>
      </c>
      <c r="CP3197">
        <v>14477</v>
      </c>
      <c r="CQ3197" t="s">
        <v>6200</v>
      </c>
      <c r="CR3197">
        <v>32.11</v>
      </c>
      <c r="CS3197">
        <v>31.75</v>
      </c>
      <c r="CT3197">
        <v>0.6</v>
      </c>
      <c r="CU3197">
        <v>-2.06</v>
      </c>
      <c r="CV3197">
        <v>0.24</v>
      </c>
      <c r="CW3197">
        <v>2.67</v>
      </c>
      <c r="CX3197" t="s">
        <v>3050</v>
      </c>
      <c r="CY3197">
        <v>14.3</v>
      </c>
      <c r="CZ3197">
        <v>14.3</v>
      </c>
      <c r="DA3197">
        <v>3.3</v>
      </c>
      <c r="DB3197">
        <v>9.65</v>
      </c>
      <c r="DC3197">
        <v>-4.1399999999999997</v>
      </c>
      <c r="DD3197">
        <v>19.260000000000002</v>
      </c>
      <c r="DE3197" t="s">
        <v>1943</v>
      </c>
      <c r="DF3197">
        <v>8.41</v>
      </c>
      <c r="DG3197">
        <v>3.41</v>
      </c>
      <c r="DH3197">
        <v>2.52</v>
      </c>
      <c r="DI3197">
        <v>85.98</v>
      </c>
      <c r="DJ3197">
        <v>286242</v>
      </c>
      <c r="DK3197">
        <v>601186</v>
      </c>
      <c r="DL3197" t="s">
        <v>120</v>
      </c>
      <c r="DM3197" t="s">
        <v>120</v>
      </c>
      <c r="DN3197" t="s">
        <v>120</v>
      </c>
    </row>
    <row r="3198" spans="1:118">
      <c r="A3198" t="str">
        <f>"601187"</f>
        <v>601187</v>
      </c>
      <c r="B3198" t="s">
        <v>13812</v>
      </c>
      <c r="C3198">
        <v>-0.36</v>
      </c>
      <c r="D3198">
        <v>-0.23</v>
      </c>
      <c r="E3198">
        <v>-0.12</v>
      </c>
      <c r="F3198">
        <v>924</v>
      </c>
      <c r="G3198" t="s">
        <v>10023</v>
      </c>
      <c r="H3198">
        <v>5401.35</v>
      </c>
      <c r="I3198">
        <v>8.11</v>
      </c>
      <c r="J3198" t="s">
        <v>120</v>
      </c>
      <c r="K3198" t="s">
        <v>10023</v>
      </c>
      <c r="L3198">
        <v>2.44</v>
      </c>
      <c r="M3198">
        <v>8.34</v>
      </c>
      <c r="N3198">
        <v>0.5</v>
      </c>
      <c r="O3198">
        <v>0.96</v>
      </c>
      <c r="P3198">
        <v>8.4499999999999993</v>
      </c>
      <c r="Q3198">
        <v>-0.48</v>
      </c>
      <c r="R3198">
        <v>8.33</v>
      </c>
      <c r="S3198">
        <v>8.36</v>
      </c>
      <c r="T3198">
        <v>64442</v>
      </c>
      <c r="U3198">
        <v>8.35</v>
      </c>
      <c r="V3198">
        <v>8.3699999999999992</v>
      </c>
      <c r="W3198">
        <v>10.28</v>
      </c>
      <c r="X3198" t="s">
        <v>122</v>
      </c>
      <c r="Y3198" t="s">
        <v>937</v>
      </c>
      <c r="Z3198">
        <v>1.43</v>
      </c>
      <c r="AA3198">
        <v>8.3800000000000008</v>
      </c>
      <c r="AB3198">
        <v>37932</v>
      </c>
      <c r="AC3198">
        <v>26510</v>
      </c>
      <c r="AD3198">
        <v>1.43</v>
      </c>
      <c r="AE3198">
        <v>608</v>
      </c>
      <c r="AF3198">
        <v>32</v>
      </c>
      <c r="AG3198" t="s">
        <v>120</v>
      </c>
      <c r="AH3198">
        <v>0</v>
      </c>
      <c r="AI3198" t="s">
        <v>120</v>
      </c>
      <c r="AJ3198">
        <v>2.64</v>
      </c>
      <c r="AK3198" t="s">
        <v>13813</v>
      </c>
      <c r="AL3198">
        <v>0.99</v>
      </c>
      <c r="AM3198">
        <v>2258</v>
      </c>
      <c r="AN3198">
        <v>29</v>
      </c>
      <c r="AO3198">
        <v>1.1000000000000001E-3</v>
      </c>
      <c r="AP3198">
        <v>-5</v>
      </c>
      <c r="AQ3198">
        <v>-0.59</v>
      </c>
      <c r="AR3198">
        <v>-3.24</v>
      </c>
      <c r="AS3198">
        <v>-1.53</v>
      </c>
      <c r="AT3198">
        <v>-8.25</v>
      </c>
      <c r="AU3198">
        <v>-35.94</v>
      </c>
      <c r="AV3198">
        <v>9</v>
      </c>
      <c r="AW3198">
        <v>2.44</v>
      </c>
      <c r="AX3198">
        <v>10</v>
      </c>
      <c r="AY3198">
        <v>11.37</v>
      </c>
      <c r="AZ3198">
        <v>12.12</v>
      </c>
      <c r="BA3198">
        <v>1.1599999999999999</v>
      </c>
      <c r="BB3198" t="s">
        <v>143</v>
      </c>
      <c r="BF3198">
        <v>0.14000000000000001</v>
      </c>
      <c r="BG3198">
        <v>-0.24</v>
      </c>
      <c r="BH3198">
        <v>-1.3</v>
      </c>
      <c r="BI3198">
        <v>0.12</v>
      </c>
      <c r="BJ3198">
        <v>20210828</v>
      </c>
      <c r="BK3198">
        <v>20201027</v>
      </c>
      <c r="BL3198">
        <v>26.39</v>
      </c>
      <c r="BM3198" t="s">
        <v>120</v>
      </c>
      <c r="BN3198" t="s">
        <v>120</v>
      </c>
      <c r="BO3198">
        <v>3074.19</v>
      </c>
      <c r="BP3198">
        <v>8.34</v>
      </c>
      <c r="BQ3198">
        <v>215.05</v>
      </c>
      <c r="BR3198">
        <v>4.8</v>
      </c>
      <c r="BS3198">
        <v>92.85</v>
      </c>
      <c r="BT3198">
        <v>0</v>
      </c>
      <c r="BU3198">
        <v>3.3</v>
      </c>
      <c r="BV3198">
        <v>4.75</v>
      </c>
      <c r="BW3198">
        <v>0</v>
      </c>
      <c r="BX3198">
        <v>461.87</v>
      </c>
      <c r="BY3198">
        <v>0</v>
      </c>
      <c r="BZ3198">
        <v>0</v>
      </c>
      <c r="CA3198" t="s">
        <v>120</v>
      </c>
      <c r="CB3198">
        <v>67.86</v>
      </c>
      <c r="CC3198">
        <v>24.16</v>
      </c>
      <c r="CD3198">
        <v>0</v>
      </c>
      <c r="CE3198">
        <v>11.56</v>
      </c>
      <c r="CF3198">
        <v>1.38</v>
      </c>
      <c r="CG3198">
        <v>11.6</v>
      </c>
      <c r="CH3198">
        <v>10.87</v>
      </c>
      <c r="CI3198">
        <v>10.71</v>
      </c>
      <c r="CJ3198">
        <v>-0.03</v>
      </c>
      <c r="CK3198">
        <v>10.67</v>
      </c>
      <c r="CL3198">
        <v>53.49</v>
      </c>
      <c r="CM3198">
        <v>-207.89</v>
      </c>
      <c r="CN3198">
        <v>-151.12</v>
      </c>
      <c r="CO3198">
        <v>74390</v>
      </c>
      <c r="CP3198">
        <v>3548</v>
      </c>
      <c r="CQ3198" t="s">
        <v>4110</v>
      </c>
      <c r="CR3198">
        <v>12.61</v>
      </c>
      <c r="CS3198">
        <v>-10.89</v>
      </c>
      <c r="CT3198">
        <v>1.1599999999999999</v>
      </c>
      <c r="CU3198">
        <v>-1.06</v>
      </c>
      <c r="CV3198">
        <v>9.11</v>
      </c>
      <c r="CW3198">
        <v>2.15</v>
      </c>
      <c r="CX3198" t="s">
        <v>803</v>
      </c>
      <c r="CY3198">
        <v>7.2</v>
      </c>
      <c r="CZ3198">
        <v>7.2</v>
      </c>
      <c r="DA3198">
        <v>2.57</v>
      </c>
      <c r="DB3198">
        <v>2.0299999999999998</v>
      </c>
      <c r="DC3198">
        <v>-7.88</v>
      </c>
      <c r="DD3198">
        <v>7</v>
      </c>
      <c r="DE3198" t="s">
        <v>137</v>
      </c>
      <c r="DF3198" t="s">
        <v>120</v>
      </c>
      <c r="DG3198">
        <v>47.86</v>
      </c>
      <c r="DH3198">
        <v>44.31</v>
      </c>
      <c r="DI3198" t="s">
        <v>120</v>
      </c>
      <c r="DJ3198">
        <v>2895</v>
      </c>
      <c r="DK3198">
        <v>601187</v>
      </c>
      <c r="DL3198" t="s">
        <v>120</v>
      </c>
      <c r="DM3198" t="s">
        <v>120</v>
      </c>
      <c r="DN3198" t="s">
        <v>120</v>
      </c>
    </row>
    <row r="3199" spans="1:118">
      <c r="A3199" t="str">
        <f>"601188"</f>
        <v>601188</v>
      </c>
      <c r="B3199" t="s">
        <v>13814</v>
      </c>
      <c r="C3199">
        <v>0</v>
      </c>
      <c r="D3199">
        <v>1.18</v>
      </c>
      <c r="E3199">
        <v>-0.57999999999999996</v>
      </c>
      <c r="F3199">
        <v>2850</v>
      </c>
      <c r="G3199" t="s">
        <v>6245</v>
      </c>
      <c r="H3199">
        <v>816.46</v>
      </c>
      <c r="I3199">
        <v>0</v>
      </c>
      <c r="J3199" t="s">
        <v>120</v>
      </c>
      <c r="K3199" t="s">
        <v>5433</v>
      </c>
      <c r="L3199">
        <v>0.18</v>
      </c>
      <c r="M3199">
        <v>3.44</v>
      </c>
      <c r="N3199">
        <v>0.67</v>
      </c>
      <c r="O3199">
        <v>0.87</v>
      </c>
      <c r="P3199">
        <v>3.47</v>
      </c>
      <c r="Q3199">
        <v>-1.45</v>
      </c>
      <c r="R3199">
        <v>3.39</v>
      </c>
      <c r="S3199">
        <v>3.42</v>
      </c>
      <c r="T3199">
        <v>23828</v>
      </c>
      <c r="U3199">
        <v>3.44</v>
      </c>
      <c r="V3199">
        <v>3.44</v>
      </c>
      <c r="W3199">
        <v>19.48</v>
      </c>
      <c r="X3199" t="s">
        <v>800</v>
      </c>
      <c r="Y3199" t="s">
        <v>1686</v>
      </c>
      <c r="Z3199">
        <v>2.33</v>
      </c>
      <c r="AA3199">
        <v>3.43</v>
      </c>
      <c r="AB3199">
        <v>14519</v>
      </c>
      <c r="AC3199">
        <v>9309</v>
      </c>
      <c r="AD3199">
        <v>1.56</v>
      </c>
      <c r="AE3199">
        <v>6</v>
      </c>
      <c r="AF3199">
        <v>1179</v>
      </c>
      <c r="AG3199" t="s">
        <v>120</v>
      </c>
      <c r="AH3199">
        <v>0</v>
      </c>
      <c r="AI3199" t="s">
        <v>120</v>
      </c>
      <c r="AJ3199">
        <v>13.16</v>
      </c>
      <c r="AK3199" t="s">
        <v>5433</v>
      </c>
      <c r="AL3199">
        <v>1.34</v>
      </c>
      <c r="AM3199">
        <v>683</v>
      </c>
      <c r="AN3199">
        <v>35</v>
      </c>
      <c r="AO3199">
        <v>2.9999999999999997E-4</v>
      </c>
      <c r="AP3199">
        <v>0</v>
      </c>
      <c r="AQ3199">
        <v>-0.28999999999999998</v>
      </c>
      <c r="AR3199">
        <v>-1.44</v>
      </c>
      <c r="AS3199">
        <v>4.88</v>
      </c>
      <c r="AT3199">
        <v>13.53</v>
      </c>
      <c r="AU3199">
        <v>29.13</v>
      </c>
      <c r="AV3199">
        <v>0</v>
      </c>
      <c r="AW3199">
        <v>0.6</v>
      </c>
      <c r="AX3199">
        <v>30.19</v>
      </c>
      <c r="AY3199">
        <v>16.62</v>
      </c>
      <c r="AZ3199">
        <v>22.66</v>
      </c>
      <c r="BA3199">
        <v>0.01</v>
      </c>
      <c r="BB3199" t="s">
        <v>143</v>
      </c>
      <c r="BF3199">
        <v>-0.39</v>
      </c>
      <c r="BG3199">
        <v>0.57999999999999996</v>
      </c>
      <c r="BH3199">
        <v>-0.86</v>
      </c>
      <c r="BI3199">
        <v>1.47</v>
      </c>
      <c r="BJ3199">
        <v>20210826</v>
      </c>
      <c r="BK3199">
        <v>20100319</v>
      </c>
      <c r="BL3199">
        <v>13.16</v>
      </c>
      <c r="BM3199" t="s">
        <v>120</v>
      </c>
      <c r="BN3199" t="s">
        <v>120</v>
      </c>
      <c r="BO3199">
        <v>51.33</v>
      </c>
      <c r="BP3199">
        <v>3.42</v>
      </c>
      <c r="BQ3199">
        <v>45.52</v>
      </c>
      <c r="BR3199">
        <v>1.92</v>
      </c>
      <c r="BS3199">
        <v>7.57</v>
      </c>
      <c r="BT3199">
        <v>22.98</v>
      </c>
      <c r="BU3199">
        <v>11.88</v>
      </c>
      <c r="BV3199">
        <v>0.04</v>
      </c>
      <c r="BW3199">
        <v>3.85</v>
      </c>
      <c r="BX3199">
        <v>6.77</v>
      </c>
      <c r="BY3199">
        <v>4.92</v>
      </c>
      <c r="BZ3199">
        <v>0.06</v>
      </c>
      <c r="CA3199">
        <v>0.3</v>
      </c>
      <c r="CB3199">
        <v>12.2</v>
      </c>
      <c r="CC3199">
        <v>2.66</v>
      </c>
      <c r="CD3199">
        <v>1.34</v>
      </c>
      <c r="CE3199">
        <v>1.55</v>
      </c>
      <c r="CF3199">
        <v>0.55000000000000004</v>
      </c>
      <c r="CG3199">
        <v>1.54</v>
      </c>
      <c r="CH3199">
        <v>1.23</v>
      </c>
      <c r="CI3199">
        <v>1.1599999999999999</v>
      </c>
      <c r="CJ3199">
        <v>0</v>
      </c>
      <c r="CK3199">
        <v>1.33</v>
      </c>
      <c r="CL3199">
        <v>17.79</v>
      </c>
      <c r="CM3199">
        <v>1.5</v>
      </c>
      <c r="CN3199">
        <v>0.98</v>
      </c>
      <c r="CO3199">
        <v>41369</v>
      </c>
      <c r="CP3199">
        <v>9601</v>
      </c>
      <c r="CQ3199" t="s">
        <v>2796</v>
      </c>
      <c r="CR3199">
        <v>167</v>
      </c>
      <c r="CS3199">
        <v>56.73</v>
      </c>
      <c r="CT3199">
        <v>0.99</v>
      </c>
      <c r="CU3199">
        <v>30.25</v>
      </c>
      <c r="CV3199">
        <v>17</v>
      </c>
      <c r="CW3199">
        <v>1.34</v>
      </c>
      <c r="CX3199" t="s">
        <v>329</v>
      </c>
      <c r="CY3199">
        <v>3.46</v>
      </c>
      <c r="CZ3199">
        <v>0</v>
      </c>
      <c r="DA3199">
        <v>0.93</v>
      </c>
      <c r="DB3199">
        <v>1.35</v>
      </c>
      <c r="DC3199">
        <v>0.11</v>
      </c>
      <c r="DD3199">
        <v>88.68</v>
      </c>
      <c r="DE3199" t="s">
        <v>10708</v>
      </c>
      <c r="DF3199">
        <v>49.78</v>
      </c>
      <c r="DG3199">
        <v>58.35</v>
      </c>
      <c r="DH3199">
        <v>43.63</v>
      </c>
      <c r="DI3199" t="s">
        <v>120</v>
      </c>
      <c r="DJ3199">
        <v>608</v>
      </c>
      <c r="DK3199">
        <v>601188</v>
      </c>
      <c r="DL3199" t="s">
        <v>120</v>
      </c>
      <c r="DM3199" t="s">
        <v>120</v>
      </c>
      <c r="DN3199" t="s">
        <v>120</v>
      </c>
    </row>
    <row r="3200" spans="1:118">
      <c r="A3200" t="str">
        <f>"601198"</f>
        <v>601198</v>
      </c>
      <c r="B3200" t="s">
        <v>13815</v>
      </c>
      <c r="C3200">
        <v>-1.88</v>
      </c>
      <c r="D3200">
        <v>-0.34</v>
      </c>
      <c r="E3200">
        <v>0.43</v>
      </c>
      <c r="F3200">
        <v>7281</v>
      </c>
      <c r="G3200" t="s">
        <v>453</v>
      </c>
      <c r="H3200">
        <v>43102.02</v>
      </c>
      <c r="I3200">
        <v>97.48</v>
      </c>
      <c r="J3200" t="s">
        <v>120</v>
      </c>
      <c r="K3200" t="s">
        <v>13816</v>
      </c>
      <c r="L3200">
        <v>1.34</v>
      </c>
      <c r="M3200">
        <v>11.46</v>
      </c>
      <c r="N3200">
        <v>1.07</v>
      </c>
      <c r="O3200">
        <v>2.23</v>
      </c>
      <c r="P3200">
        <v>11.94</v>
      </c>
      <c r="Q3200">
        <v>-1.88</v>
      </c>
      <c r="R3200">
        <v>11.46</v>
      </c>
      <c r="S3200">
        <v>11.73</v>
      </c>
      <c r="T3200">
        <v>368682</v>
      </c>
      <c r="U3200">
        <v>11.49</v>
      </c>
      <c r="V3200">
        <v>11.68</v>
      </c>
      <c r="W3200">
        <v>21.63</v>
      </c>
      <c r="X3200" t="s">
        <v>616</v>
      </c>
      <c r="Y3200" t="s">
        <v>158</v>
      </c>
      <c r="Z3200">
        <v>4.1100000000000003</v>
      </c>
      <c r="AA3200">
        <v>11.69</v>
      </c>
      <c r="AB3200">
        <v>177842</v>
      </c>
      <c r="AC3200">
        <v>190840</v>
      </c>
      <c r="AD3200">
        <v>0.93</v>
      </c>
      <c r="AE3200">
        <v>2098</v>
      </c>
      <c r="AF3200">
        <v>18</v>
      </c>
      <c r="AG3200" t="s">
        <v>120</v>
      </c>
      <c r="AH3200">
        <v>0.01</v>
      </c>
      <c r="AI3200" t="s">
        <v>120</v>
      </c>
      <c r="AJ3200">
        <v>27.58</v>
      </c>
      <c r="AK3200" t="s">
        <v>13816</v>
      </c>
      <c r="AL3200">
        <v>-0.54</v>
      </c>
      <c r="AM3200">
        <v>3997</v>
      </c>
      <c r="AN3200">
        <v>92</v>
      </c>
      <c r="AO3200">
        <v>2.9999999999999997E-4</v>
      </c>
      <c r="AP3200">
        <v>-1</v>
      </c>
      <c r="AQ3200">
        <v>0.09</v>
      </c>
      <c r="AR3200">
        <v>-4.34</v>
      </c>
      <c r="AS3200">
        <v>3.15</v>
      </c>
      <c r="AT3200">
        <v>7.91</v>
      </c>
      <c r="AU3200">
        <v>-12.85</v>
      </c>
      <c r="AV3200">
        <v>1</v>
      </c>
      <c r="AW3200">
        <v>2.83</v>
      </c>
      <c r="AX3200">
        <v>47.26</v>
      </c>
      <c r="AY3200">
        <v>21.7</v>
      </c>
      <c r="AZ3200">
        <v>20.92</v>
      </c>
      <c r="BA3200">
        <v>0.63</v>
      </c>
      <c r="BB3200" t="s">
        <v>240</v>
      </c>
      <c r="BF3200">
        <v>0.09</v>
      </c>
      <c r="BG3200">
        <v>-2.2999999999999998</v>
      </c>
      <c r="BH3200">
        <v>-4.0199999999999996</v>
      </c>
      <c r="BI3200">
        <v>0</v>
      </c>
      <c r="BJ3200">
        <v>20210831</v>
      </c>
      <c r="BK3200">
        <v>20150226</v>
      </c>
      <c r="BL3200">
        <v>27.58</v>
      </c>
      <c r="BM3200" t="s">
        <v>120</v>
      </c>
      <c r="BN3200" t="s">
        <v>120</v>
      </c>
      <c r="BO3200">
        <v>909.86</v>
      </c>
      <c r="BP3200">
        <v>11.46</v>
      </c>
      <c r="BQ3200">
        <v>214.13</v>
      </c>
      <c r="BR3200">
        <v>0.35</v>
      </c>
      <c r="BS3200">
        <v>76.430000000000007</v>
      </c>
      <c r="BT3200">
        <v>0</v>
      </c>
      <c r="BU3200">
        <v>1.53</v>
      </c>
      <c r="BV3200">
        <v>0.31</v>
      </c>
      <c r="BW3200">
        <v>0</v>
      </c>
      <c r="BX3200">
        <v>143.18</v>
      </c>
      <c r="BY3200">
        <v>0</v>
      </c>
      <c r="BZ3200">
        <v>0</v>
      </c>
      <c r="CA3200" t="s">
        <v>120</v>
      </c>
      <c r="CB3200">
        <v>97.62</v>
      </c>
      <c r="CC3200">
        <v>25.79</v>
      </c>
      <c r="CD3200">
        <v>0</v>
      </c>
      <c r="CE3200">
        <v>8.68</v>
      </c>
      <c r="CF3200">
        <v>5.01</v>
      </c>
      <c r="CG3200">
        <v>8.69</v>
      </c>
      <c r="CH3200">
        <v>7.31</v>
      </c>
      <c r="CI3200">
        <v>7.31</v>
      </c>
      <c r="CJ3200">
        <v>-0.22</v>
      </c>
      <c r="CK3200">
        <v>7.26</v>
      </c>
      <c r="CL3200">
        <v>44.85</v>
      </c>
      <c r="CM3200">
        <v>36.39</v>
      </c>
      <c r="CN3200">
        <v>9.68</v>
      </c>
      <c r="CO3200">
        <v>91483</v>
      </c>
      <c r="CP3200">
        <v>14247</v>
      </c>
      <c r="CQ3200" t="s">
        <v>1053</v>
      </c>
      <c r="CR3200">
        <v>-7.06</v>
      </c>
      <c r="CS3200">
        <v>2.14</v>
      </c>
      <c r="CT3200">
        <v>1.48</v>
      </c>
      <c r="CU3200">
        <v>8.69</v>
      </c>
      <c r="CV3200">
        <v>12.25</v>
      </c>
      <c r="CW3200">
        <v>1.46</v>
      </c>
      <c r="CX3200" t="s">
        <v>670</v>
      </c>
      <c r="CY3200">
        <v>7.76</v>
      </c>
      <c r="CZ3200">
        <v>0</v>
      </c>
      <c r="DA3200">
        <v>3.54</v>
      </c>
      <c r="DB3200">
        <v>1.63</v>
      </c>
      <c r="DC3200">
        <v>1.32</v>
      </c>
      <c r="DD3200">
        <v>23.53</v>
      </c>
      <c r="DE3200" t="s">
        <v>5338</v>
      </c>
      <c r="DF3200" t="s">
        <v>120</v>
      </c>
      <c r="DG3200">
        <v>33.65</v>
      </c>
      <c r="DH3200">
        <v>28.32</v>
      </c>
      <c r="DI3200" t="s">
        <v>120</v>
      </c>
      <c r="DJ3200">
        <v>3015</v>
      </c>
      <c r="DK3200">
        <v>601198</v>
      </c>
      <c r="DL3200" t="s">
        <v>120</v>
      </c>
      <c r="DM3200" t="s">
        <v>120</v>
      </c>
      <c r="DN3200" t="s">
        <v>120</v>
      </c>
    </row>
    <row r="3201" spans="1:118">
      <c r="A3201" t="str">
        <f>"601199"</f>
        <v>601199</v>
      </c>
      <c r="B3201" t="s">
        <v>13817</v>
      </c>
      <c r="C3201">
        <v>-1.23</v>
      </c>
      <c r="D3201">
        <v>-0.24</v>
      </c>
      <c r="E3201">
        <v>0.98</v>
      </c>
      <c r="F3201">
        <v>462</v>
      </c>
      <c r="G3201" t="s">
        <v>9978</v>
      </c>
      <c r="H3201">
        <v>3306.01</v>
      </c>
      <c r="I3201">
        <v>34.24</v>
      </c>
      <c r="J3201" t="s">
        <v>120</v>
      </c>
      <c r="K3201" t="s">
        <v>3306</v>
      </c>
      <c r="L3201">
        <v>0.87</v>
      </c>
      <c r="M3201">
        <v>4.0199999999999996</v>
      </c>
      <c r="N3201">
        <v>0.77</v>
      </c>
      <c r="O3201">
        <v>1.97</v>
      </c>
      <c r="P3201">
        <v>4.1500000000000004</v>
      </c>
      <c r="Q3201">
        <v>-1.97</v>
      </c>
      <c r="R3201">
        <v>3.99</v>
      </c>
      <c r="S3201">
        <v>4.1100000000000003</v>
      </c>
      <c r="T3201">
        <v>81208</v>
      </c>
      <c r="U3201">
        <v>4.0199999999999996</v>
      </c>
      <c r="V3201">
        <v>4.07</v>
      </c>
      <c r="W3201">
        <v>17.420000000000002</v>
      </c>
      <c r="X3201" t="s">
        <v>1271</v>
      </c>
      <c r="Y3201" t="s">
        <v>319</v>
      </c>
      <c r="Z3201">
        <v>3.93</v>
      </c>
      <c r="AA3201">
        <v>4.07</v>
      </c>
      <c r="AB3201">
        <v>47367</v>
      </c>
      <c r="AC3201">
        <v>33841</v>
      </c>
      <c r="AD3201">
        <v>1.4</v>
      </c>
      <c r="AE3201">
        <v>76</v>
      </c>
      <c r="AF3201">
        <v>94</v>
      </c>
      <c r="AG3201" t="s">
        <v>120</v>
      </c>
      <c r="AH3201">
        <v>0.02</v>
      </c>
      <c r="AI3201" t="s">
        <v>120</v>
      </c>
      <c r="AJ3201">
        <v>9.35</v>
      </c>
      <c r="AK3201" t="s">
        <v>3306</v>
      </c>
      <c r="AL3201">
        <v>0.12</v>
      </c>
      <c r="AM3201">
        <v>1995</v>
      </c>
      <c r="AN3201">
        <v>41</v>
      </c>
      <c r="AO3201">
        <v>4.0000000000000002E-4</v>
      </c>
      <c r="AP3201">
        <v>-1</v>
      </c>
      <c r="AQ3201">
        <v>1.5</v>
      </c>
      <c r="AR3201">
        <v>-2.66</v>
      </c>
      <c r="AS3201">
        <v>8.07</v>
      </c>
      <c r="AT3201">
        <v>8.94</v>
      </c>
      <c r="AU3201">
        <v>5.23</v>
      </c>
      <c r="AV3201">
        <v>1</v>
      </c>
      <c r="AW3201">
        <v>2.12</v>
      </c>
      <c r="AX3201">
        <v>40.869999999999997</v>
      </c>
      <c r="AY3201">
        <v>14.62</v>
      </c>
      <c r="AZ3201">
        <v>15.6</v>
      </c>
      <c r="BA3201">
        <v>0.39</v>
      </c>
      <c r="BB3201" t="s">
        <v>143</v>
      </c>
      <c r="BF3201">
        <v>0.03</v>
      </c>
      <c r="BG3201">
        <v>-2.19</v>
      </c>
      <c r="BH3201">
        <v>-3.13</v>
      </c>
      <c r="BI3201">
        <v>0.75</v>
      </c>
      <c r="BJ3201">
        <v>20210827</v>
      </c>
      <c r="BK3201">
        <v>20110317</v>
      </c>
      <c r="BL3201">
        <v>9.35</v>
      </c>
      <c r="BM3201" t="s">
        <v>120</v>
      </c>
      <c r="BN3201" t="s">
        <v>120</v>
      </c>
      <c r="BO3201">
        <v>54.94</v>
      </c>
      <c r="BP3201">
        <v>4.01</v>
      </c>
      <c r="BQ3201">
        <v>31.1</v>
      </c>
      <c r="BR3201" t="s">
        <v>120</v>
      </c>
      <c r="BS3201">
        <v>43.4</v>
      </c>
      <c r="BT3201">
        <v>23.46</v>
      </c>
      <c r="BU3201">
        <v>21.57</v>
      </c>
      <c r="BV3201">
        <v>1.67</v>
      </c>
      <c r="BW3201">
        <v>11.68</v>
      </c>
      <c r="BX3201">
        <v>19.850000000000001</v>
      </c>
      <c r="BY3201">
        <v>0.21</v>
      </c>
      <c r="BZ3201">
        <v>0.46</v>
      </c>
      <c r="CA3201" t="s">
        <v>120</v>
      </c>
      <c r="CB3201">
        <v>3.92</v>
      </c>
      <c r="CC3201">
        <v>5.19</v>
      </c>
      <c r="CD3201">
        <v>2.62</v>
      </c>
      <c r="CE3201">
        <v>1.47</v>
      </c>
      <c r="CF3201">
        <v>-0.02</v>
      </c>
      <c r="CG3201">
        <v>1.46</v>
      </c>
      <c r="CH3201">
        <v>1.08</v>
      </c>
      <c r="CI3201">
        <v>1.08</v>
      </c>
      <c r="CJ3201">
        <v>-0.05</v>
      </c>
      <c r="CK3201">
        <v>1.03</v>
      </c>
      <c r="CL3201">
        <v>15.17</v>
      </c>
      <c r="CM3201">
        <v>2.33</v>
      </c>
      <c r="CN3201">
        <v>0.85</v>
      </c>
      <c r="CO3201">
        <v>35886</v>
      </c>
      <c r="CP3201">
        <v>10651</v>
      </c>
      <c r="CQ3201" t="s">
        <v>5115</v>
      </c>
      <c r="CR3201">
        <v>17.91</v>
      </c>
      <c r="CS3201">
        <v>31.39</v>
      </c>
      <c r="CT3201">
        <v>1.21</v>
      </c>
      <c r="CU3201">
        <v>16.11</v>
      </c>
      <c r="CV3201">
        <v>7.24</v>
      </c>
      <c r="CW3201">
        <v>1.97</v>
      </c>
      <c r="CX3201" t="s">
        <v>850</v>
      </c>
      <c r="CY3201">
        <v>3.33</v>
      </c>
      <c r="CZ3201">
        <v>0</v>
      </c>
      <c r="DA3201">
        <v>0.42</v>
      </c>
      <c r="DB3201">
        <v>1.62</v>
      </c>
      <c r="DC3201">
        <v>0.25</v>
      </c>
      <c r="DD3201">
        <v>56.6</v>
      </c>
      <c r="DE3201" t="s">
        <v>2135</v>
      </c>
      <c r="DF3201">
        <v>49.64</v>
      </c>
      <c r="DG3201">
        <v>28.3</v>
      </c>
      <c r="DH3201">
        <v>20.78</v>
      </c>
      <c r="DI3201">
        <v>0.03</v>
      </c>
      <c r="DJ3201">
        <v>961</v>
      </c>
      <c r="DK3201">
        <v>601199</v>
      </c>
      <c r="DL3201" t="s">
        <v>120</v>
      </c>
      <c r="DM3201" t="s">
        <v>120</v>
      </c>
      <c r="DN3201" t="s">
        <v>120</v>
      </c>
    </row>
    <row r="3202" spans="1:118">
      <c r="A3202" t="str">
        <f>"601200"</f>
        <v>601200</v>
      </c>
      <c r="B3202" t="s">
        <v>13818</v>
      </c>
      <c r="C3202">
        <v>-1.8</v>
      </c>
      <c r="D3202">
        <v>-0.24</v>
      </c>
      <c r="E3202">
        <v>-0.16</v>
      </c>
      <c r="F3202">
        <v>2431</v>
      </c>
      <c r="G3202" t="s">
        <v>11896</v>
      </c>
      <c r="H3202">
        <v>17354.86</v>
      </c>
      <c r="I3202">
        <v>85.37</v>
      </c>
      <c r="J3202" t="s">
        <v>120</v>
      </c>
      <c r="K3202" t="s">
        <v>13819</v>
      </c>
      <c r="L3202">
        <v>1.26</v>
      </c>
      <c r="M3202">
        <v>12.03</v>
      </c>
      <c r="N3202">
        <v>1.08</v>
      </c>
      <c r="O3202">
        <v>2.2000000000000002</v>
      </c>
      <c r="P3202">
        <v>12.52</v>
      </c>
      <c r="Q3202">
        <v>-1.8</v>
      </c>
      <c r="R3202">
        <v>12.03</v>
      </c>
      <c r="S3202">
        <v>12.23</v>
      </c>
      <c r="T3202">
        <v>141022</v>
      </c>
      <c r="U3202">
        <v>12.05</v>
      </c>
      <c r="V3202">
        <v>12.25</v>
      </c>
      <c r="W3202">
        <v>16.28</v>
      </c>
      <c r="X3202" t="s">
        <v>318</v>
      </c>
      <c r="Y3202" t="s">
        <v>1510</v>
      </c>
      <c r="Z3202">
        <v>4</v>
      </c>
      <c r="AA3202">
        <v>12.31</v>
      </c>
      <c r="AB3202">
        <v>81322</v>
      </c>
      <c r="AC3202">
        <v>59700</v>
      </c>
      <c r="AD3202">
        <v>1.36</v>
      </c>
      <c r="AE3202">
        <v>765</v>
      </c>
      <c r="AF3202">
        <v>72</v>
      </c>
      <c r="AG3202" t="s">
        <v>120</v>
      </c>
      <c r="AH3202">
        <v>0.01</v>
      </c>
      <c r="AI3202" t="s">
        <v>120</v>
      </c>
      <c r="AJ3202">
        <v>11.22</v>
      </c>
      <c r="AK3202" t="s">
        <v>13819</v>
      </c>
      <c r="AL3202">
        <v>-0.45</v>
      </c>
      <c r="AM3202">
        <v>3178</v>
      </c>
      <c r="AN3202">
        <v>44</v>
      </c>
      <c r="AO3202">
        <v>4.0000000000000002E-4</v>
      </c>
      <c r="AP3202">
        <v>-1</v>
      </c>
      <c r="AQ3202">
        <v>2.25</v>
      </c>
      <c r="AR3202">
        <v>-1.55</v>
      </c>
      <c r="AS3202">
        <v>7.9</v>
      </c>
      <c r="AT3202">
        <v>1.73</v>
      </c>
      <c r="AU3202">
        <v>11.24</v>
      </c>
      <c r="AV3202">
        <v>0</v>
      </c>
      <c r="AW3202">
        <v>2.85</v>
      </c>
      <c r="AX3202">
        <v>44.09</v>
      </c>
      <c r="AY3202">
        <v>19.350000000000001</v>
      </c>
      <c r="AZ3202">
        <v>21.97</v>
      </c>
      <c r="BA3202">
        <v>0.48</v>
      </c>
      <c r="BB3202" t="s">
        <v>184</v>
      </c>
      <c r="BF3202">
        <v>0.46</v>
      </c>
      <c r="BG3202">
        <v>-1.64</v>
      </c>
      <c r="BH3202">
        <v>-3.91</v>
      </c>
      <c r="BI3202">
        <v>0</v>
      </c>
      <c r="BJ3202">
        <v>20210831</v>
      </c>
      <c r="BK3202">
        <v>20170331</v>
      </c>
      <c r="BL3202">
        <v>11.22</v>
      </c>
      <c r="BM3202" t="s">
        <v>120</v>
      </c>
      <c r="BN3202" t="s">
        <v>120</v>
      </c>
      <c r="BO3202">
        <v>289.5</v>
      </c>
      <c r="BP3202">
        <v>12.03</v>
      </c>
      <c r="BQ3202">
        <v>95.71</v>
      </c>
      <c r="BR3202">
        <v>19.78</v>
      </c>
      <c r="BS3202">
        <v>60.11</v>
      </c>
      <c r="BT3202">
        <v>54.99</v>
      </c>
      <c r="BU3202">
        <v>6.44</v>
      </c>
      <c r="BV3202">
        <v>107.1</v>
      </c>
      <c r="BW3202">
        <v>98.84</v>
      </c>
      <c r="BX3202">
        <v>8.31</v>
      </c>
      <c r="BY3202">
        <v>7.7</v>
      </c>
      <c r="BZ3202">
        <v>22.26</v>
      </c>
      <c r="CA3202">
        <v>0.01</v>
      </c>
      <c r="CB3202">
        <v>41.05</v>
      </c>
      <c r="CC3202">
        <v>38.340000000000003</v>
      </c>
      <c r="CD3202">
        <v>29.28</v>
      </c>
      <c r="CE3202">
        <v>6.05</v>
      </c>
      <c r="CF3202">
        <v>0.02</v>
      </c>
      <c r="CG3202">
        <v>6.07</v>
      </c>
      <c r="CH3202">
        <v>5.3</v>
      </c>
      <c r="CI3202">
        <v>4.1500000000000004</v>
      </c>
      <c r="CJ3202">
        <v>-0.22</v>
      </c>
      <c r="CK3202">
        <v>4.09</v>
      </c>
      <c r="CL3202">
        <v>40.619999999999997</v>
      </c>
      <c r="CM3202">
        <v>4.3</v>
      </c>
      <c r="CN3202">
        <v>-1.52</v>
      </c>
      <c r="CO3202">
        <v>86332</v>
      </c>
      <c r="CP3202">
        <v>5730</v>
      </c>
      <c r="CQ3202" t="s">
        <v>1933</v>
      </c>
      <c r="CR3202">
        <v>25.66</v>
      </c>
      <c r="CS3202">
        <v>100.5</v>
      </c>
      <c r="CT3202">
        <v>1.41</v>
      </c>
      <c r="CU3202">
        <v>31.4</v>
      </c>
      <c r="CV3202">
        <v>3.52</v>
      </c>
      <c r="CW3202">
        <v>0.69</v>
      </c>
      <c r="CX3202" t="s">
        <v>709</v>
      </c>
      <c r="CY3202">
        <v>8.5299999999999994</v>
      </c>
      <c r="CZ3202">
        <v>0</v>
      </c>
      <c r="DA3202">
        <v>3.66</v>
      </c>
      <c r="DB3202">
        <v>3.62</v>
      </c>
      <c r="DC3202">
        <v>0.38</v>
      </c>
      <c r="DD3202">
        <v>33.06</v>
      </c>
      <c r="DE3202" t="s">
        <v>1227</v>
      </c>
      <c r="DF3202">
        <v>23.63</v>
      </c>
      <c r="DG3202">
        <v>15.77</v>
      </c>
      <c r="DH3202">
        <v>10.81</v>
      </c>
      <c r="DI3202">
        <v>0.4</v>
      </c>
      <c r="DJ3202">
        <v>2836</v>
      </c>
      <c r="DK3202">
        <v>601200</v>
      </c>
      <c r="DL3202" t="s">
        <v>120</v>
      </c>
      <c r="DM3202" t="s">
        <v>120</v>
      </c>
      <c r="DN3202" t="s">
        <v>120</v>
      </c>
    </row>
    <row r="3203" spans="1:118">
      <c r="A3203" t="str">
        <f>"601208"</f>
        <v>601208</v>
      </c>
      <c r="B3203" t="s">
        <v>13820</v>
      </c>
      <c r="C3203">
        <v>-3.42</v>
      </c>
      <c r="D3203">
        <v>0</v>
      </c>
      <c r="E3203">
        <v>-0.06</v>
      </c>
      <c r="F3203">
        <v>1071</v>
      </c>
      <c r="G3203" t="s">
        <v>13821</v>
      </c>
      <c r="H3203">
        <v>22888.07</v>
      </c>
      <c r="I3203">
        <v>36.43</v>
      </c>
      <c r="J3203" t="s">
        <v>120</v>
      </c>
      <c r="K3203" t="s">
        <v>13822</v>
      </c>
      <c r="L3203">
        <v>1.63</v>
      </c>
      <c r="M3203">
        <v>17.25</v>
      </c>
      <c r="N3203">
        <v>1.51</v>
      </c>
      <c r="O3203">
        <v>2.91</v>
      </c>
      <c r="P3203">
        <v>18.38</v>
      </c>
      <c r="Q3203">
        <v>-5.04</v>
      </c>
      <c r="R3203">
        <v>16.96</v>
      </c>
      <c r="S3203">
        <v>17.850000000000001</v>
      </c>
      <c r="T3203">
        <v>130531</v>
      </c>
      <c r="U3203">
        <v>17.29</v>
      </c>
      <c r="V3203">
        <v>17.86</v>
      </c>
      <c r="W3203">
        <v>42.97</v>
      </c>
      <c r="X3203" t="s">
        <v>868</v>
      </c>
      <c r="Y3203" t="s">
        <v>578</v>
      </c>
      <c r="Z3203">
        <v>7.95</v>
      </c>
      <c r="AA3203">
        <v>17.53</v>
      </c>
      <c r="AB3203">
        <v>71570</v>
      </c>
      <c r="AC3203">
        <v>58961</v>
      </c>
      <c r="AD3203">
        <v>1.21</v>
      </c>
      <c r="AE3203">
        <v>638</v>
      </c>
      <c r="AF3203">
        <v>122</v>
      </c>
      <c r="AG3203" t="s">
        <v>120</v>
      </c>
      <c r="AH3203">
        <v>0</v>
      </c>
      <c r="AI3203" t="s">
        <v>120</v>
      </c>
      <c r="AJ3203">
        <v>8.0299999999999994</v>
      </c>
      <c r="AK3203" t="s">
        <v>13823</v>
      </c>
      <c r="AL3203">
        <v>-2.0699999999999998</v>
      </c>
      <c r="AM3203">
        <v>3308</v>
      </c>
      <c r="AN3203">
        <v>39</v>
      </c>
      <c r="AO3203">
        <v>5.0000000000000001E-4</v>
      </c>
      <c r="AP3203">
        <v>-2</v>
      </c>
      <c r="AQ3203">
        <v>-2.0299999999999998</v>
      </c>
      <c r="AR3203">
        <v>-3.58</v>
      </c>
      <c r="AS3203">
        <v>6.75</v>
      </c>
      <c r="AT3203">
        <v>53.28</v>
      </c>
      <c r="AU3203">
        <v>116.88</v>
      </c>
      <c r="AV3203">
        <v>0</v>
      </c>
      <c r="AW3203">
        <v>2.1800000000000002</v>
      </c>
      <c r="AX3203">
        <v>66.569999999999993</v>
      </c>
      <c r="AY3203">
        <v>56.58</v>
      </c>
      <c r="AZ3203">
        <v>91.41</v>
      </c>
      <c r="BA3203">
        <v>0.82</v>
      </c>
      <c r="BB3203" t="s">
        <v>143</v>
      </c>
      <c r="BF3203">
        <v>-1.82</v>
      </c>
      <c r="BG3203">
        <v>-3.36</v>
      </c>
      <c r="BH3203">
        <v>-6.15</v>
      </c>
      <c r="BI3203">
        <v>1.71</v>
      </c>
      <c r="BJ3203">
        <v>20210818</v>
      </c>
      <c r="BK3203">
        <v>20110520</v>
      </c>
      <c r="BL3203">
        <v>8.98</v>
      </c>
      <c r="BM3203" t="s">
        <v>120</v>
      </c>
      <c r="BN3203" t="s">
        <v>120</v>
      </c>
      <c r="BO3203">
        <v>52.85</v>
      </c>
      <c r="BP3203">
        <v>17.25</v>
      </c>
      <c r="BQ3203">
        <v>34.74</v>
      </c>
      <c r="BR3203">
        <v>0.46</v>
      </c>
      <c r="BS3203">
        <v>33.409999999999997</v>
      </c>
      <c r="BT3203">
        <v>23.08</v>
      </c>
      <c r="BU3203">
        <v>18.25</v>
      </c>
      <c r="BV3203">
        <v>2.21</v>
      </c>
      <c r="BW3203">
        <v>10.74</v>
      </c>
      <c r="BX3203">
        <v>9.73</v>
      </c>
      <c r="BY3203">
        <v>2.72</v>
      </c>
      <c r="BZ3203">
        <v>5.5</v>
      </c>
      <c r="CA3203">
        <v>0.1</v>
      </c>
      <c r="CB3203">
        <v>19.88</v>
      </c>
      <c r="CC3203">
        <v>15.89</v>
      </c>
      <c r="CD3203">
        <v>11.91</v>
      </c>
      <c r="CE3203">
        <v>2.06</v>
      </c>
      <c r="CF3203">
        <v>-0.02</v>
      </c>
      <c r="CG3203">
        <v>2.04</v>
      </c>
      <c r="CH3203">
        <v>1.81</v>
      </c>
      <c r="CI3203">
        <v>1.8</v>
      </c>
      <c r="CJ3203">
        <v>-0.61</v>
      </c>
      <c r="CK3203">
        <v>1.72</v>
      </c>
      <c r="CL3203">
        <v>7.99</v>
      </c>
      <c r="CM3203">
        <v>0.14000000000000001</v>
      </c>
      <c r="CN3203">
        <v>6.9</v>
      </c>
      <c r="CO3203">
        <v>25392</v>
      </c>
      <c r="CP3203">
        <v>23546</v>
      </c>
      <c r="CQ3203" t="s">
        <v>13824</v>
      </c>
      <c r="CR3203">
        <v>149.4</v>
      </c>
      <c r="CS3203">
        <v>81.64</v>
      </c>
      <c r="CT3203">
        <v>4.46</v>
      </c>
      <c r="CU3203">
        <v>1145.28</v>
      </c>
      <c r="CV3203">
        <v>9.75</v>
      </c>
      <c r="CW3203">
        <v>0.43</v>
      </c>
      <c r="CX3203" t="s">
        <v>1637</v>
      </c>
      <c r="CY3203">
        <v>3.87</v>
      </c>
      <c r="CZ3203">
        <v>0</v>
      </c>
      <c r="DA3203">
        <v>2.21</v>
      </c>
      <c r="DB3203">
        <v>0.89</v>
      </c>
      <c r="DC3203">
        <v>0.02</v>
      </c>
      <c r="DD3203">
        <v>65.73</v>
      </c>
      <c r="DE3203" t="s">
        <v>2413</v>
      </c>
      <c r="DF3203">
        <v>25.06</v>
      </c>
      <c r="DG3203">
        <v>12.97</v>
      </c>
      <c r="DH3203">
        <v>11.35</v>
      </c>
      <c r="DI3203">
        <v>0.76</v>
      </c>
      <c r="DJ3203">
        <v>2048</v>
      </c>
      <c r="DK3203">
        <v>601208</v>
      </c>
      <c r="DL3203">
        <v>20210810</v>
      </c>
      <c r="DM3203">
        <v>15.7</v>
      </c>
      <c r="DN3203">
        <v>9.8699999999999992</v>
      </c>
    </row>
    <row r="3204" spans="1:118">
      <c r="A3204" t="str">
        <f>"601211"</f>
        <v>601211</v>
      </c>
      <c r="B3204" t="s">
        <v>13825</v>
      </c>
      <c r="C3204">
        <v>-1.2</v>
      </c>
      <c r="D3204">
        <v>-0.21</v>
      </c>
      <c r="E3204">
        <v>0.49</v>
      </c>
      <c r="F3204">
        <v>9507</v>
      </c>
      <c r="G3204" t="s">
        <v>13826</v>
      </c>
      <c r="H3204">
        <v>106571.56</v>
      </c>
      <c r="I3204">
        <v>1319.91</v>
      </c>
      <c r="J3204" t="s">
        <v>120</v>
      </c>
      <c r="K3204" t="s">
        <v>13827</v>
      </c>
      <c r="L3204">
        <v>0.78</v>
      </c>
      <c r="M3204">
        <v>18.14</v>
      </c>
      <c r="N3204">
        <v>0.73</v>
      </c>
      <c r="O3204">
        <v>1.58</v>
      </c>
      <c r="P3204">
        <v>18.649999999999999</v>
      </c>
      <c r="Q3204">
        <v>-1.36</v>
      </c>
      <c r="R3204">
        <v>18.11</v>
      </c>
      <c r="S3204">
        <v>18.45</v>
      </c>
      <c r="T3204">
        <v>580575</v>
      </c>
      <c r="U3204">
        <v>18.149999999999999</v>
      </c>
      <c r="V3204">
        <v>18.36</v>
      </c>
      <c r="W3204">
        <v>10.08</v>
      </c>
      <c r="X3204" t="s">
        <v>616</v>
      </c>
      <c r="Y3204" t="s">
        <v>1510</v>
      </c>
      <c r="Z3204">
        <v>2.94</v>
      </c>
      <c r="AA3204">
        <v>18.36</v>
      </c>
      <c r="AB3204">
        <v>300743</v>
      </c>
      <c r="AC3204">
        <v>279832</v>
      </c>
      <c r="AD3204">
        <v>1.07</v>
      </c>
      <c r="AE3204">
        <v>114</v>
      </c>
      <c r="AF3204">
        <v>27</v>
      </c>
      <c r="AG3204" t="s">
        <v>120</v>
      </c>
      <c r="AH3204">
        <v>0.02</v>
      </c>
      <c r="AI3204" t="s">
        <v>120</v>
      </c>
      <c r="AJ3204">
        <v>74.38</v>
      </c>
      <c r="AK3204" t="s">
        <v>13828</v>
      </c>
      <c r="AL3204">
        <v>0.15</v>
      </c>
      <c r="AM3204">
        <v>4477</v>
      </c>
      <c r="AN3204">
        <v>130</v>
      </c>
      <c r="AO3204">
        <v>2.0000000000000001E-4</v>
      </c>
      <c r="AP3204">
        <v>-3</v>
      </c>
      <c r="AQ3204">
        <v>-0.16</v>
      </c>
      <c r="AR3204">
        <v>-4.72</v>
      </c>
      <c r="AS3204">
        <v>6.83</v>
      </c>
      <c r="AT3204">
        <v>10.54</v>
      </c>
      <c r="AU3204">
        <v>6.89</v>
      </c>
      <c r="AV3204">
        <v>0</v>
      </c>
      <c r="AW3204">
        <v>1.37</v>
      </c>
      <c r="AX3204">
        <v>56.48</v>
      </c>
      <c r="AY3204">
        <v>11.95</v>
      </c>
      <c r="AZ3204">
        <v>14.71</v>
      </c>
      <c r="BA3204">
        <v>1.1399999999999999</v>
      </c>
      <c r="BB3204" t="s">
        <v>240</v>
      </c>
      <c r="BF3204">
        <v>-0.02</v>
      </c>
      <c r="BG3204">
        <v>-1.68</v>
      </c>
      <c r="BH3204">
        <v>-2.73</v>
      </c>
      <c r="BI3204">
        <v>0.17</v>
      </c>
      <c r="BJ3204">
        <v>20210913</v>
      </c>
      <c r="BK3204">
        <v>20150626</v>
      </c>
      <c r="BL3204">
        <v>89.08</v>
      </c>
      <c r="BM3204" t="s">
        <v>120</v>
      </c>
      <c r="BN3204">
        <v>13.92</v>
      </c>
      <c r="BO3204">
        <v>7338.46</v>
      </c>
      <c r="BP3204">
        <v>18.14</v>
      </c>
      <c r="BQ3204">
        <v>1399.27</v>
      </c>
      <c r="BR3204">
        <v>36.29</v>
      </c>
      <c r="BS3204">
        <v>80.44</v>
      </c>
      <c r="BT3204">
        <v>0</v>
      </c>
      <c r="BU3204">
        <v>34.75</v>
      </c>
      <c r="BV3204">
        <v>13.3</v>
      </c>
      <c r="BW3204">
        <v>0</v>
      </c>
      <c r="BX3204">
        <v>1540</v>
      </c>
      <c r="BY3204">
        <v>0</v>
      </c>
      <c r="BZ3204">
        <v>0</v>
      </c>
      <c r="CA3204" t="s">
        <v>120</v>
      </c>
      <c r="CB3204">
        <v>457.25</v>
      </c>
      <c r="CC3204">
        <v>219.18</v>
      </c>
      <c r="CD3204">
        <v>0</v>
      </c>
      <c r="CE3204">
        <v>102.47</v>
      </c>
      <c r="CF3204">
        <v>62.68</v>
      </c>
      <c r="CG3204">
        <v>102.07</v>
      </c>
      <c r="CH3204">
        <v>82.46</v>
      </c>
      <c r="CI3204">
        <v>80.13</v>
      </c>
      <c r="CJ3204">
        <v>-0.22</v>
      </c>
      <c r="CK3204">
        <v>64.66</v>
      </c>
      <c r="CL3204">
        <v>495.7</v>
      </c>
      <c r="CM3204">
        <v>-188.59</v>
      </c>
      <c r="CN3204">
        <v>-76.97</v>
      </c>
      <c r="CO3204">
        <v>189964</v>
      </c>
      <c r="CP3204">
        <v>22346</v>
      </c>
      <c r="CQ3204" t="s">
        <v>13829</v>
      </c>
      <c r="CR3204">
        <v>46.93</v>
      </c>
      <c r="CS3204">
        <v>38.619999999999997</v>
      </c>
      <c r="CT3204">
        <v>1.25</v>
      </c>
      <c r="CU3204">
        <v>-8.57</v>
      </c>
      <c r="CV3204">
        <v>7.37</v>
      </c>
      <c r="CW3204">
        <v>3.05</v>
      </c>
      <c r="CX3204" t="s">
        <v>6180</v>
      </c>
      <c r="CY3204">
        <v>14.46</v>
      </c>
      <c r="CZ3204">
        <v>14.46</v>
      </c>
      <c r="DA3204">
        <v>5.13</v>
      </c>
      <c r="DB3204">
        <v>5.56</v>
      </c>
      <c r="DC3204">
        <v>-2.12</v>
      </c>
      <c r="DD3204">
        <v>19.07</v>
      </c>
      <c r="DE3204" t="s">
        <v>6718</v>
      </c>
      <c r="DF3204" t="s">
        <v>120</v>
      </c>
      <c r="DG3204">
        <v>46.75</v>
      </c>
      <c r="DH3204">
        <v>36.56</v>
      </c>
      <c r="DI3204" t="s">
        <v>120</v>
      </c>
      <c r="DJ3204">
        <v>15198</v>
      </c>
      <c r="DK3204">
        <v>601211</v>
      </c>
      <c r="DL3204" t="s">
        <v>120</v>
      </c>
      <c r="DM3204" t="s">
        <v>120</v>
      </c>
      <c r="DN3204" t="s">
        <v>120</v>
      </c>
    </row>
    <row r="3205" spans="1:118">
      <c r="A3205" t="str">
        <f>"601212"</f>
        <v>601212</v>
      </c>
      <c r="B3205" t="s">
        <v>13830</v>
      </c>
      <c r="C3205">
        <v>-3.1</v>
      </c>
      <c r="D3205">
        <v>0.28999999999999998</v>
      </c>
      <c r="E3205">
        <v>0.56000000000000005</v>
      </c>
      <c r="F3205">
        <v>6913</v>
      </c>
      <c r="G3205" t="s">
        <v>13831</v>
      </c>
      <c r="H3205">
        <v>52845.1</v>
      </c>
      <c r="I3205">
        <v>437.64</v>
      </c>
      <c r="J3205" t="s">
        <v>120</v>
      </c>
      <c r="K3205" t="s">
        <v>13832</v>
      </c>
      <c r="L3205">
        <v>2.02</v>
      </c>
      <c r="M3205">
        <v>3.44</v>
      </c>
      <c r="N3205">
        <v>0.75</v>
      </c>
      <c r="O3205">
        <v>2.25</v>
      </c>
      <c r="P3205">
        <v>3.63</v>
      </c>
      <c r="Q3205">
        <v>-3.38</v>
      </c>
      <c r="R3205">
        <v>3.43</v>
      </c>
      <c r="S3205">
        <v>3.57</v>
      </c>
      <c r="T3205">
        <v>1498686</v>
      </c>
      <c r="U3205">
        <v>3.44</v>
      </c>
      <c r="V3205">
        <v>3.55</v>
      </c>
      <c r="W3205" t="s">
        <v>120</v>
      </c>
      <c r="X3205" t="s">
        <v>1398</v>
      </c>
      <c r="Y3205" t="s">
        <v>1082</v>
      </c>
      <c r="Z3205">
        <v>5.63</v>
      </c>
      <c r="AA3205">
        <v>3.53</v>
      </c>
      <c r="AB3205">
        <v>845382</v>
      </c>
      <c r="AC3205">
        <v>653304</v>
      </c>
      <c r="AD3205">
        <v>1.29</v>
      </c>
      <c r="AE3205">
        <v>7628</v>
      </c>
      <c r="AF3205">
        <v>2314</v>
      </c>
      <c r="AG3205" t="s">
        <v>120</v>
      </c>
      <c r="AH3205">
        <v>0.06</v>
      </c>
      <c r="AI3205" t="s">
        <v>120</v>
      </c>
      <c r="AJ3205">
        <v>74.05</v>
      </c>
      <c r="AK3205" t="s">
        <v>13832</v>
      </c>
      <c r="AL3205">
        <v>-1.75</v>
      </c>
      <c r="AM3205">
        <v>4335</v>
      </c>
      <c r="AN3205">
        <v>346</v>
      </c>
      <c r="AO3205">
        <v>5.0000000000000001E-4</v>
      </c>
      <c r="AP3205">
        <v>-1</v>
      </c>
      <c r="AQ3205">
        <v>2.0099999999999998</v>
      </c>
      <c r="AR3205">
        <v>-6.78</v>
      </c>
      <c r="AS3205">
        <v>19.440000000000001</v>
      </c>
      <c r="AT3205">
        <v>31.45</v>
      </c>
      <c r="AU3205">
        <v>16.329999999999998</v>
      </c>
      <c r="AV3205">
        <v>3</v>
      </c>
      <c r="AW3205">
        <v>7.2</v>
      </c>
      <c r="AX3205">
        <v>28.11</v>
      </c>
      <c r="AY3205">
        <v>57.05</v>
      </c>
      <c r="AZ3205">
        <v>360.26</v>
      </c>
      <c r="BA3205">
        <v>0.53</v>
      </c>
      <c r="BB3205" t="s">
        <v>184</v>
      </c>
      <c r="BF3205">
        <v>-0.67</v>
      </c>
      <c r="BG3205">
        <v>-3.64</v>
      </c>
      <c r="BH3205">
        <v>-5.23</v>
      </c>
      <c r="BI3205">
        <v>0.28999999999999998</v>
      </c>
      <c r="BJ3205">
        <v>20210831</v>
      </c>
      <c r="BK3205">
        <v>20170215</v>
      </c>
      <c r="BL3205">
        <v>74.05</v>
      </c>
      <c r="BM3205" t="s">
        <v>120</v>
      </c>
      <c r="BN3205" t="s">
        <v>120</v>
      </c>
      <c r="BO3205">
        <v>474.47</v>
      </c>
      <c r="BP3205">
        <v>3.43</v>
      </c>
      <c r="BQ3205">
        <v>152.76</v>
      </c>
      <c r="BR3205">
        <v>23.27</v>
      </c>
      <c r="BS3205">
        <v>62.9</v>
      </c>
      <c r="BT3205">
        <v>249.81</v>
      </c>
      <c r="BU3205">
        <v>86.25</v>
      </c>
      <c r="BV3205">
        <v>63.16</v>
      </c>
      <c r="BW3205">
        <v>193.76</v>
      </c>
      <c r="BX3205">
        <v>46.66</v>
      </c>
      <c r="BY3205">
        <v>124.32</v>
      </c>
      <c r="BZ3205">
        <v>11.77</v>
      </c>
      <c r="CA3205" t="s">
        <v>120</v>
      </c>
      <c r="CB3205">
        <v>39.22</v>
      </c>
      <c r="CC3205">
        <v>329.97</v>
      </c>
      <c r="CD3205">
        <v>315.26</v>
      </c>
      <c r="CE3205">
        <v>5.77</v>
      </c>
      <c r="CF3205">
        <v>2.4700000000000002</v>
      </c>
      <c r="CG3205">
        <v>5.69</v>
      </c>
      <c r="CH3205">
        <v>1.8</v>
      </c>
      <c r="CI3205">
        <v>-0.68</v>
      </c>
      <c r="CJ3205">
        <v>-0.11</v>
      </c>
      <c r="CK3205">
        <v>-0.99</v>
      </c>
      <c r="CL3205">
        <v>48.8</v>
      </c>
      <c r="CM3205">
        <v>1.66</v>
      </c>
      <c r="CN3205">
        <v>12.09</v>
      </c>
      <c r="CO3205">
        <v>156694</v>
      </c>
      <c r="CP3205">
        <v>13282</v>
      </c>
      <c r="CQ3205" t="s">
        <v>215</v>
      </c>
      <c r="CR3205">
        <v>85.14</v>
      </c>
      <c r="CS3205">
        <v>29.66</v>
      </c>
      <c r="CT3205">
        <v>1.67</v>
      </c>
      <c r="CU3205">
        <v>153.63999999999999</v>
      </c>
      <c r="CV3205">
        <v>0.77</v>
      </c>
      <c r="CW3205">
        <v>0.08</v>
      </c>
      <c r="CX3205" t="s">
        <v>1312</v>
      </c>
      <c r="CY3205">
        <v>2.06</v>
      </c>
      <c r="CZ3205">
        <v>0</v>
      </c>
      <c r="DA3205">
        <v>0.53</v>
      </c>
      <c r="DB3205">
        <v>0.66</v>
      </c>
      <c r="DC3205">
        <v>0.02</v>
      </c>
      <c r="DD3205">
        <v>32.200000000000003</v>
      </c>
      <c r="DE3205" t="s">
        <v>962</v>
      </c>
      <c r="DF3205">
        <v>4.46</v>
      </c>
      <c r="DG3205">
        <v>1.75</v>
      </c>
      <c r="DH3205">
        <v>-0.21</v>
      </c>
      <c r="DI3205">
        <v>0.18</v>
      </c>
      <c r="DJ3205">
        <v>14297</v>
      </c>
      <c r="DK3205">
        <v>601212</v>
      </c>
      <c r="DL3205" t="s">
        <v>120</v>
      </c>
      <c r="DM3205" t="s">
        <v>120</v>
      </c>
      <c r="DN3205" t="s">
        <v>120</v>
      </c>
    </row>
    <row r="3206" spans="1:118">
      <c r="A3206" t="str">
        <f>"601216"</f>
        <v>601216</v>
      </c>
      <c r="B3206" t="s">
        <v>13833</v>
      </c>
      <c r="C3206">
        <v>-1.56</v>
      </c>
      <c r="D3206">
        <v>0</v>
      </c>
      <c r="E3206">
        <v>3.29</v>
      </c>
      <c r="F3206">
        <v>33299</v>
      </c>
      <c r="G3206" t="s">
        <v>13834</v>
      </c>
      <c r="H3206">
        <v>209043.48</v>
      </c>
      <c r="I3206">
        <v>2289.35</v>
      </c>
      <c r="J3206" t="s">
        <v>120</v>
      </c>
      <c r="K3206" t="s">
        <v>13835</v>
      </c>
      <c r="L3206">
        <v>3.78</v>
      </c>
      <c r="M3206">
        <v>6.29</v>
      </c>
      <c r="N3206">
        <v>0.82</v>
      </c>
      <c r="O3206">
        <v>5.63</v>
      </c>
      <c r="P3206">
        <v>6.75</v>
      </c>
      <c r="Q3206">
        <v>-1.88</v>
      </c>
      <c r="R3206">
        <v>6.27</v>
      </c>
      <c r="S3206">
        <v>6.6</v>
      </c>
      <c r="T3206">
        <v>3193666</v>
      </c>
      <c r="U3206">
        <v>6.29</v>
      </c>
      <c r="V3206">
        <v>6.39</v>
      </c>
      <c r="W3206">
        <v>11.88</v>
      </c>
      <c r="X3206" t="s">
        <v>868</v>
      </c>
      <c r="Y3206" t="s">
        <v>785</v>
      </c>
      <c r="Z3206">
        <v>7.51</v>
      </c>
      <c r="AA3206">
        <v>6.55</v>
      </c>
      <c r="AB3206">
        <v>1642098</v>
      </c>
      <c r="AC3206">
        <v>1551568</v>
      </c>
      <c r="AD3206">
        <v>1.06</v>
      </c>
      <c r="AE3206">
        <v>10321</v>
      </c>
      <c r="AF3206">
        <v>430</v>
      </c>
      <c r="AG3206" t="s">
        <v>120</v>
      </c>
      <c r="AH3206">
        <v>0.11</v>
      </c>
      <c r="AI3206" t="s">
        <v>120</v>
      </c>
      <c r="AJ3206">
        <v>84.38</v>
      </c>
      <c r="AK3206" t="s">
        <v>13835</v>
      </c>
      <c r="AL3206">
        <v>-0.22</v>
      </c>
      <c r="AM3206">
        <v>4722</v>
      </c>
      <c r="AN3206">
        <v>676</v>
      </c>
      <c r="AO3206">
        <v>8.0000000000000004E-4</v>
      </c>
      <c r="AP3206">
        <v>-1</v>
      </c>
      <c r="AQ3206">
        <v>2.4</v>
      </c>
      <c r="AR3206">
        <v>-3.53</v>
      </c>
      <c r="AS3206">
        <v>25.8</v>
      </c>
      <c r="AT3206">
        <v>18.46</v>
      </c>
      <c r="AU3206">
        <v>35.270000000000003</v>
      </c>
      <c r="AV3206">
        <v>10</v>
      </c>
      <c r="AW3206">
        <v>10.08</v>
      </c>
      <c r="AX3206">
        <v>37.56</v>
      </c>
      <c r="AY3206">
        <v>9.42</v>
      </c>
      <c r="AZ3206">
        <v>11.2</v>
      </c>
      <c r="BA3206">
        <v>1.24</v>
      </c>
      <c r="BB3206" t="s">
        <v>143</v>
      </c>
      <c r="BF3206">
        <v>2.4300000000000002</v>
      </c>
      <c r="BG3206">
        <v>-4.7</v>
      </c>
      <c r="BH3206">
        <v>-6.81</v>
      </c>
      <c r="BI3206">
        <v>0.32</v>
      </c>
      <c r="BJ3206">
        <v>20210827</v>
      </c>
      <c r="BK3206">
        <v>20110222</v>
      </c>
      <c r="BL3206">
        <v>84.38</v>
      </c>
      <c r="BM3206" t="s">
        <v>120</v>
      </c>
      <c r="BN3206" t="s">
        <v>120</v>
      </c>
      <c r="BO3206">
        <v>341.43</v>
      </c>
      <c r="BP3206">
        <v>6.28</v>
      </c>
      <c r="BQ3206">
        <v>204.79</v>
      </c>
      <c r="BR3206">
        <v>4.7300000000000004</v>
      </c>
      <c r="BS3206">
        <v>38.630000000000003</v>
      </c>
      <c r="BT3206">
        <v>84.13</v>
      </c>
      <c r="BU3206">
        <v>115.05</v>
      </c>
      <c r="BV3206">
        <v>6.99</v>
      </c>
      <c r="BW3206">
        <v>83.16</v>
      </c>
      <c r="BX3206">
        <v>25</v>
      </c>
      <c r="BY3206">
        <v>6.3</v>
      </c>
      <c r="BZ3206">
        <v>6.97</v>
      </c>
      <c r="CA3206" t="s">
        <v>120</v>
      </c>
      <c r="CB3206">
        <v>4</v>
      </c>
      <c r="CC3206">
        <v>86.73</v>
      </c>
      <c r="CD3206">
        <v>55.77</v>
      </c>
      <c r="CE3206">
        <v>26.47</v>
      </c>
      <c r="CF3206">
        <v>2.25</v>
      </c>
      <c r="CG3206">
        <v>26.39</v>
      </c>
      <c r="CH3206">
        <v>22.52</v>
      </c>
      <c r="CI3206">
        <v>22.34</v>
      </c>
      <c r="CJ3206">
        <v>-0.1</v>
      </c>
      <c r="CK3206">
        <v>21.51</v>
      </c>
      <c r="CL3206">
        <v>105.64</v>
      </c>
      <c r="CM3206">
        <v>25.01</v>
      </c>
      <c r="CN3206">
        <v>-16.39</v>
      </c>
      <c r="CO3206">
        <v>342659</v>
      </c>
      <c r="CP3206">
        <v>9250</v>
      </c>
      <c r="CQ3206" t="s">
        <v>5913</v>
      </c>
      <c r="CR3206">
        <v>68.62</v>
      </c>
      <c r="CS3206">
        <v>20.64</v>
      </c>
      <c r="CT3206">
        <v>2.59</v>
      </c>
      <c r="CU3206">
        <v>21.22</v>
      </c>
      <c r="CV3206">
        <v>6.12</v>
      </c>
      <c r="CW3206">
        <v>4.6900000000000004</v>
      </c>
      <c r="CX3206" t="s">
        <v>7199</v>
      </c>
      <c r="CY3206">
        <v>2.4300000000000002</v>
      </c>
      <c r="CZ3206">
        <v>0</v>
      </c>
      <c r="DA3206">
        <v>0.05</v>
      </c>
      <c r="DB3206">
        <v>1.25</v>
      </c>
      <c r="DC3206">
        <v>0.3</v>
      </c>
      <c r="DD3206">
        <v>59.98</v>
      </c>
      <c r="DE3206" t="s">
        <v>5576</v>
      </c>
      <c r="DF3206">
        <v>35.700000000000003</v>
      </c>
      <c r="DG3206">
        <v>30.52</v>
      </c>
      <c r="DH3206">
        <v>25.76</v>
      </c>
      <c r="DI3206">
        <v>0.68</v>
      </c>
      <c r="DJ3206">
        <v>5509</v>
      </c>
      <c r="DK3206">
        <v>601216</v>
      </c>
      <c r="DL3206" t="s">
        <v>120</v>
      </c>
      <c r="DM3206" t="s">
        <v>120</v>
      </c>
      <c r="DN3206" t="s">
        <v>120</v>
      </c>
    </row>
    <row r="3207" spans="1:118">
      <c r="A3207" t="str">
        <f>"601218"</f>
        <v>601218</v>
      </c>
      <c r="B3207" t="s">
        <v>13836</v>
      </c>
      <c r="C3207">
        <v>-3.25</v>
      </c>
      <c r="D3207">
        <v>0</v>
      </c>
      <c r="E3207">
        <v>-0.22</v>
      </c>
      <c r="F3207">
        <v>2129</v>
      </c>
      <c r="G3207" t="s">
        <v>13837</v>
      </c>
      <c r="H3207">
        <v>13175.44</v>
      </c>
      <c r="I3207">
        <v>122.59</v>
      </c>
      <c r="J3207" t="s">
        <v>120</v>
      </c>
      <c r="K3207" t="s">
        <v>13008</v>
      </c>
      <c r="L3207">
        <v>2.97</v>
      </c>
      <c r="M3207">
        <v>4.46</v>
      </c>
      <c r="N3207">
        <v>1.19</v>
      </c>
      <c r="O3207">
        <v>0.65</v>
      </c>
      <c r="P3207">
        <v>4.6399999999999997</v>
      </c>
      <c r="Q3207">
        <v>-3.69</v>
      </c>
      <c r="R3207">
        <v>4.4400000000000004</v>
      </c>
      <c r="S3207">
        <v>4.5999999999999996</v>
      </c>
      <c r="T3207">
        <v>290629</v>
      </c>
      <c r="U3207">
        <v>4.47</v>
      </c>
      <c r="V3207">
        <v>4.6100000000000003</v>
      </c>
      <c r="W3207">
        <v>26.42</v>
      </c>
      <c r="X3207" t="s">
        <v>959</v>
      </c>
      <c r="Y3207" t="s">
        <v>319</v>
      </c>
      <c r="Z3207">
        <v>4.34</v>
      </c>
      <c r="AA3207">
        <v>4.53</v>
      </c>
      <c r="AB3207">
        <v>156722</v>
      </c>
      <c r="AC3207">
        <v>133907</v>
      </c>
      <c r="AD3207">
        <v>1.17</v>
      </c>
      <c r="AE3207">
        <v>1065</v>
      </c>
      <c r="AF3207">
        <v>310</v>
      </c>
      <c r="AG3207" t="s">
        <v>120</v>
      </c>
      <c r="AH3207">
        <v>0.04</v>
      </c>
      <c r="AI3207" t="s">
        <v>120</v>
      </c>
      <c r="AJ3207">
        <v>9.77</v>
      </c>
      <c r="AK3207" t="s">
        <v>13008</v>
      </c>
      <c r="AL3207">
        <v>-1.91</v>
      </c>
      <c r="AM3207">
        <v>2959</v>
      </c>
      <c r="AN3207">
        <v>98</v>
      </c>
      <c r="AO3207">
        <v>1E-3</v>
      </c>
      <c r="AP3207">
        <v>-1</v>
      </c>
      <c r="AQ3207">
        <v>7.71</v>
      </c>
      <c r="AR3207">
        <v>1.59</v>
      </c>
      <c r="AS3207">
        <v>17.37</v>
      </c>
      <c r="AT3207">
        <v>21.19</v>
      </c>
      <c r="AU3207">
        <v>22.53</v>
      </c>
      <c r="AV3207">
        <v>4</v>
      </c>
      <c r="AW3207">
        <v>4.57</v>
      </c>
      <c r="AX3207">
        <v>65.05</v>
      </c>
      <c r="AY3207">
        <v>21.27</v>
      </c>
      <c r="AZ3207">
        <v>19.27</v>
      </c>
      <c r="BA3207">
        <v>0.45</v>
      </c>
      <c r="BB3207" t="s">
        <v>168</v>
      </c>
      <c r="BF3207">
        <v>-1.66</v>
      </c>
      <c r="BG3207">
        <v>-3.04</v>
      </c>
      <c r="BH3207">
        <v>-3.88</v>
      </c>
      <c r="BI3207">
        <v>0.45</v>
      </c>
      <c r="BJ3207">
        <v>20210821</v>
      </c>
      <c r="BK3207">
        <v>20110506</v>
      </c>
      <c r="BL3207">
        <v>9.77</v>
      </c>
      <c r="BM3207" t="s">
        <v>120</v>
      </c>
      <c r="BN3207" t="s">
        <v>120</v>
      </c>
      <c r="BO3207">
        <v>39.26</v>
      </c>
      <c r="BP3207">
        <v>4.46</v>
      </c>
      <c r="BQ3207">
        <v>26.1</v>
      </c>
      <c r="BR3207">
        <v>0.02</v>
      </c>
      <c r="BS3207">
        <v>33.46</v>
      </c>
      <c r="BT3207">
        <v>19.7</v>
      </c>
      <c r="BU3207">
        <v>14.03</v>
      </c>
      <c r="BV3207">
        <v>1.69</v>
      </c>
      <c r="BW3207">
        <v>9.07</v>
      </c>
      <c r="BX3207">
        <v>5.1100000000000003</v>
      </c>
      <c r="BY3207">
        <v>4.74</v>
      </c>
      <c r="BZ3207">
        <v>7.45</v>
      </c>
      <c r="CA3207" t="s">
        <v>120</v>
      </c>
      <c r="CB3207">
        <v>5.63</v>
      </c>
      <c r="CC3207">
        <v>7.98</v>
      </c>
      <c r="CD3207">
        <v>5.9</v>
      </c>
      <c r="CE3207">
        <v>0.59</v>
      </c>
      <c r="CF3207">
        <v>0.05</v>
      </c>
      <c r="CG3207">
        <v>0.81</v>
      </c>
      <c r="CH3207">
        <v>0.82</v>
      </c>
      <c r="CI3207">
        <v>0.82</v>
      </c>
      <c r="CJ3207">
        <v>-0.15</v>
      </c>
      <c r="CK3207">
        <v>0.69</v>
      </c>
      <c r="CL3207">
        <v>9.2899999999999991</v>
      </c>
      <c r="CM3207">
        <v>-0.1</v>
      </c>
      <c r="CN3207">
        <v>-2.5</v>
      </c>
      <c r="CO3207">
        <v>55570</v>
      </c>
      <c r="CP3207">
        <v>11440</v>
      </c>
      <c r="CQ3207" t="s">
        <v>1895</v>
      </c>
      <c r="CR3207">
        <v>-20.99</v>
      </c>
      <c r="CS3207">
        <v>-5.09</v>
      </c>
      <c r="CT3207">
        <v>1.67</v>
      </c>
      <c r="CU3207">
        <v>-417.93</v>
      </c>
      <c r="CV3207">
        <v>5.46</v>
      </c>
      <c r="CW3207">
        <v>4.33</v>
      </c>
      <c r="CX3207" t="s">
        <v>535</v>
      </c>
      <c r="CY3207">
        <v>2.67</v>
      </c>
      <c r="CZ3207">
        <v>0</v>
      </c>
      <c r="DA3207">
        <v>0.57999999999999996</v>
      </c>
      <c r="DB3207">
        <v>0.95</v>
      </c>
      <c r="DC3207">
        <v>-0.01</v>
      </c>
      <c r="DD3207">
        <v>66.489999999999995</v>
      </c>
      <c r="DE3207" t="s">
        <v>851</v>
      </c>
      <c r="DF3207">
        <v>26.07</v>
      </c>
      <c r="DG3207">
        <v>7.36</v>
      </c>
      <c r="DH3207">
        <v>10.34</v>
      </c>
      <c r="DI3207">
        <v>0.35</v>
      </c>
      <c r="DJ3207">
        <v>847</v>
      </c>
      <c r="DK3207">
        <v>601218</v>
      </c>
      <c r="DL3207" t="s">
        <v>120</v>
      </c>
      <c r="DM3207" t="s">
        <v>120</v>
      </c>
      <c r="DN3207" t="s">
        <v>120</v>
      </c>
    </row>
    <row r="3208" spans="1:118">
      <c r="A3208" t="str">
        <f>"601222"</f>
        <v>601222</v>
      </c>
      <c r="B3208" t="s">
        <v>13838</v>
      </c>
      <c r="C3208">
        <v>-8.86</v>
      </c>
      <c r="D3208">
        <v>0</v>
      </c>
      <c r="E3208">
        <v>-2.04</v>
      </c>
      <c r="F3208">
        <v>24557</v>
      </c>
      <c r="G3208" t="s">
        <v>13839</v>
      </c>
      <c r="H3208">
        <v>142740.68</v>
      </c>
      <c r="I3208">
        <v>1542.38</v>
      </c>
      <c r="J3208" t="s">
        <v>120</v>
      </c>
      <c r="K3208" t="s">
        <v>13840</v>
      </c>
      <c r="L3208">
        <v>6.26</v>
      </c>
      <c r="M3208">
        <v>11.63</v>
      </c>
      <c r="N3208">
        <v>1.04</v>
      </c>
      <c r="O3208">
        <v>-2.04</v>
      </c>
      <c r="P3208">
        <v>12.5</v>
      </c>
      <c r="Q3208">
        <v>-9.01</v>
      </c>
      <c r="R3208">
        <v>11.61</v>
      </c>
      <c r="S3208">
        <v>12.5</v>
      </c>
      <c r="T3208">
        <v>1181324</v>
      </c>
      <c r="U3208">
        <v>11.64</v>
      </c>
      <c r="V3208">
        <v>12.76</v>
      </c>
      <c r="W3208">
        <v>20.170000000000002</v>
      </c>
      <c r="X3208" t="s">
        <v>2717</v>
      </c>
      <c r="Y3208" t="s">
        <v>319</v>
      </c>
      <c r="Z3208">
        <v>6.97</v>
      </c>
      <c r="AA3208">
        <v>12.08</v>
      </c>
      <c r="AB3208">
        <v>642326</v>
      </c>
      <c r="AC3208">
        <v>538998</v>
      </c>
      <c r="AD3208">
        <v>1.19</v>
      </c>
      <c r="AE3208">
        <v>2308</v>
      </c>
      <c r="AF3208">
        <v>2862</v>
      </c>
      <c r="AG3208" t="s">
        <v>120</v>
      </c>
      <c r="AH3208">
        <v>0.11</v>
      </c>
      <c r="AI3208" t="s">
        <v>120</v>
      </c>
      <c r="AJ3208">
        <v>18.88</v>
      </c>
      <c r="AK3208" t="s">
        <v>13840</v>
      </c>
      <c r="AL3208">
        <v>-7.51</v>
      </c>
      <c r="AM3208">
        <v>4690</v>
      </c>
      <c r="AN3208">
        <v>252</v>
      </c>
      <c r="AO3208">
        <v>1.2999999999999999E-3</v>
      </c>
      <c r="AP3208">
        <v>-1</v>
      </c>
      <c r="AQ3208">
        <v>2.57</v>
      </c>
      <c r="AR3208">
        <v>-1.19</v>
      </c>
      <c r="AS3208">
        <v>11.72</v>
      </c>
      <c r="AT3208">
        <v>39.4</v>
      </c>
      <c r="AU3208">
        <v>48.86</v>
      </c>
      <c r="AV3208">
        <v>7</v>
      </c>
      <c r="AW3208">
        <v>10.8</v>
      </c>
      <c r="AX3208">
        <v>57.9</v>
      </c>
      <c r="AY3208">
        <v>24.29</v>
      </c>
      <c r="AZ3208">
        <v>24.17</v>
      </c>
      <c r="BA3208">
        <v>0.92</v>
      </c>
      <c r="BB3208" t="s">
        <v>143</v>
      </c>
      <c r="BF3208">
        <v>-5.3</v>
      </c>
      <c r="BG3208">
        <v>-6.96</v>
      </c>
      <c r="BH3208">
        <v>-6.96</v>
      </c>
      <c r="BI3208">
        <v>0.17</v>
      </c>
      <c r="BJ3208">
        <v>20210910</v>
      </c>
      <c r="BK3208">
        <v>20110808</v>
      </c>
      <c r="BL3208">
        <v>18.88</v>
      </c>
      <c r="BM3208" t="s">
        <v>120</v>
      </c>
      <c r="BN3208" t="s">
        <v>120</v>
      </c>
      <c r="BO3208">
        <v>205.57</v>
      </c>
      <c r="BP3208">
        <v>11.63</v>
      </c>
      <c r="BQ3208">
        <v>114.41</v>
      </c>
      <c r="BR3208">
        <v>0.23</v>
      </c>
      <c r="BS3208">
        <v>44.23</v>
      </c>
      <c r="BT3208">
        <v>101.57</v>
      </c>
      <c r="BU3208">
        <v>86.6</v>
      </c>
      <c r="BV3208">
        <v>1.1399999999999999</v>
      </c>
      <c r="BW3208">
        <v>31.37</v>
      </c>
      <c r="BX3208">
        <v>29.13</v>
      </c>
      <c r="BY3208">
        <v>5.58</v>
      </c>
      <c r="BZ3208">
        <v>44.74</v>
      </c>
      <c r="CA3208" t="s">
        <v>120</v>
      </c>
      <c r="CB3208">
        <v>46.85</v>
      </c>
      <c r="CC3208">
        <v>27.09</v>
      </c>
      <c r="CD3208">
        <v>17.059999999999999</v>
      </c>
      <c r="CE3208">
        <v>6.3</v>
      </c>
      <c r="CF3208">
        <v>0.28999999999999998</v>
      </c>
      <c r="CG3208">
        <v>6.31</v>
      </c>
      <c r="CH3208">
        <v>5.45</v>
      </c>
      <c r="CI3208">
        <v>5.44</v>
      </c>
      <c r="CJ3208">
        <v>-1.1299999999999999</v>
      </c>
      <c r="CK3208">
        <v>5.21</v>
      </c>
      <c r="CL3208">
        <v>44.93</v>
      </c>
      <c r="CM3208">
        <v>0.87</v>
      </c>
      <c r="CN3208">
        <v>3.29</v>
      </c>
      <c r="CO3208">
        <v>65355</v>
      </c>
      <c r="CP3208">
        <v>16730</v>
      </c>
      <c r="CQ3208" t="s">
        <v>13841</v>
      </c>
      <c r="CR3208">
        <v>-0.96</v>
      </c>
      <c r="CS3208">
        <v>-8.1999999999999993</v>
      </c>
      <c r="CT3208">
        <v>1.88</v>
      </c>
      <c r="CU3208">
        <v>251.83</v>
      </c>
      <c r="CV3208">
        <v>8.11</v>
      </c>
      <c r="CW3208">
        <v>0.75</v>
      </c>
      <c r="CX3208" t="s">
        <v>966</v>
      </c>
      <c r="CY3208">
        <v>6.17</v>
      </c>
      <c r="CZ3208">
        <v>6.17</v>
      </c>
      <c r="DA3208">
        <v>2.48</v>
      </c>
      <c r="DB3208">
        <v>2.38</v>
      </c>
      <c r="DC3208">
        <v>0.05</v>
      </c>
      <c r="DD3208">
        <v>55.66</v>
      </c>
      <c r="DE3208" t="s">
        <v>1375</v>
      </c>
      <c r="DF3208">
        <v>37.049999999999997</v>
      </c>
      <c r="DG3208">
        <v>23.24</v>
      </c>
      <c r="DH3208">
        <v>20.09</v>
      </c>
      <c r="DI3208">
        <v>0.67</v>
      </c>
      <c r="DJ3208">
        <v>3303</v>
      </c>
      <c r="DK3208">
        <v>601222</v>
      </c>
      <c r="DL3208" t="s">
        <v>120</v>
      </c>
      <c r="DM3208" t="s">
        <v>120</v>
      </c>
      <c r="DN3208" t="s">
        <v>120</v>
      </c>
    </row>
    <row r="3209" spans="1:118">
      <c r="A3209" t="str">
        <f>"601225"</f>
        <v>601225</v>
      </c>
      <c r="B3209" t="s">
        <v>13842</v>
      </c>
      <c r="C3209">
        <v>1.91</v>
      </c>
      <c r="D3209">
        <v>0.19</v>
      </c>
      <c r="E3209">
        <v>3.37</v>
      </c>
      <c r="F3209">
        <v>15681</v>
      </c>
      <c r="G3209" t="s">
        <v>13843</v>
      </c>
      <c r="H3209">
        <v>245530.08</v>
      </c>
      <c r="I3209">
        <v>1224.8699999999999</v>
      </c>
      <c r="J3209" t="s">
        <v>120</v>
      </c>
      <c r="K3209" t="s">
        <v>13844</v>
      </c>
      <c r="L3209">
        <v>1.55</v>
      </c>
      <c r="M3209">
        <v>16.03</v>
      </c>
      <c r="N3209">
        <v>0.96</v>
      </c>
      <c r="O3209">
        <v>6.99</v>
      </c>
      <c r="P3209">
        <v>16.829999999999998</v>
      </c>
      <c r="Q3209">
        <v>1.08</v>
      </c>
      <c r="R3209">
        <v>15.9</v>
      </c>
      <c r="S3209">
        <v>16.260000000000002</v>
      </c>
      <c r="T3209">
        <v>1503110</v>
      </c>
      <c r="U3209">
        <v>16.03</v>
      </c>
      <c r="V3209">
        <v>15.73</v>
      </c>
      <c r="W3209">
        <v>9.3800000000000008</v>
      </c>
      <c r="X3209" t="s">
        <v>1081</v>
      </c>
      <c r="Y3209" t="s">
        <v>890</v>
      </c>
      <c r="Z3209">
        <v>5.91</v>
      </c>
      <c r="AA3209">
        <v>16.329999999999998</v>
      </c>
      <c r="AB3209">
        <v>705631</v>
      </c>
      <c r="AC3209">
        <v>797479</v>
      </c>
      <c r="AD3209">
        <v>0.88</v>
      </c>
      <c r="AE3209">
        <v>46</v>
      </c>
      <c r="AF3209">
        <v>364</v>
      </c>
      <c r="AG3209" t="s">
        <v>120</v>
      </c>
      <c r="AH3209">
        <v>0.02</v>
      </c>
      <c r="AI3209" t="s">
        <v>120</v>
      </c>
      <c r="AJ3209">
        <v>96.95</v>
      </c>
      <c r="AK3209" t="s">
        <v>13844</v>
      </c>
      <c r="AL3209">
        <v>3.25</v>
      </c>
      <c r="AM3209">
        <v>4721</v>
      </c>
      <c r="AN3209">
        <v>318</v>
      </c>
      <c r="AO3209">
        <v>2.9999999999999997E-4</v>
      </c>
      <c r="AP3209">
        <v>2</v>
      </c>
      <c r="AQ3209">
        <v>0.19</v>
      </c>
      <c r="AR3209">
        <v>-0.99</v>
      </c>
      <c r="AS3209">
        <v>49.54</v>
      </c>
      <c r="AT3209">
        <v>41.99</v>
      </c>
      <c r="AU3209">
        <v>87.7</v>
      </c>
      <c r="AV3209">
        <v>3</v>
      </c>
      <c r="AW3209">
        <v>4.45</v>
      </c>
      <c r="AX3209">
        <v>34.880000000000003</v>
      </c>
      <c r="AY3209">
        <v>8.39</v>
      </c>
      <c r="AZ3209">
        <v>10.25</v>
      </c>
      <c r="BA3209">
        <v>1.1100000000000001</v>
      </c>
      <c r="BB3209" t="s">
        <v>143</v>
      </c>
      <c r="BF3209">
        <v>3.84</v>
      </c>
      <c r="BG3209">
        <v>-1.41</v>
      </c>
      <c r="BH3209">
        <v>-4.75</v>
      </c>
      <c r="BI3209">
        <v>0.82</v>
      </c>
      <c r="BJ3209">
        <v>20210831</v>
      </c>
      <c r="BK3209">
        <v>20140128</v>
      </c>
      <c r="BL3209">
        <v>96.95</v>
      </c>
      <c r="BM3209" t="s">
        <v>120</v>
      </c>
      <c r="BN3209" t="s">
        <v>120</v>
      </c>
      <c r="BO3209">
        <v>1622.2</v>
      </c>
      <c r="BP3209">
        <v>16.02</v>
      </c>
      <c r="BQ3209">
        <v>719.52</v>
      </c>
      <c r="BR3209">
        <v>243.98</v>
      </c>
      <c r="BS3209">
        <v>40.61</v>
      </c>
      <c r="BT3209">
        <v>675.84</v>
      </c>
      <c r="BU3209">
        <v>446.22</v>
      </c>
      <c r="BV3209">
        <v>206.46</v>
      </c>
      <c r="BW3209">
        <v>455.17</v>
      </c>
      <c r="BX3209">
        <v>342.38</v>
      </c>
      <c r="BY3209">
        <v>50.95</v>
      </c>
      <c r="BZ3209">
        <v>68.55</v>
      </c>
      <c r="CA3209" t="s">
        <v>120</v>
      </c>
      <c r="CB3209">
        <v>74.14</v>
      </c>
      <c r="CC3209">
        <v>726.69</v>
      </c>
      <c r="CD3209">
        <v>508.42</v>
      </c>
      <c r="CE3209">
        <v>162.08000000000001</v>
      </c>
      <c r="CF3209">
        <v>10.88</v>
      </c>
      <c r="CG3209">
        <v>160.44</v>
      </c>
      <c r="CH3209">
        <v>131.97999999999999</v>
      </c>
      <c r="CI3209">
        <v>82.86</v>
      </c>
      <c r="CJ3209">
        <v>0.3</v>
      </c>
      <c r="CK3209">
        <v>78.59</v>
      </c>
      <c r="CL3209">
        <v>476.78</v>
      </c>
      <c r="CM3209">
        <v>144.69999999999999</v>
      </c>
      <c r="CN3209">
        <v>100.75</v>
      </c>
      <c r="CO3209">
        <v>92541</v>
      </c>
      <c r="CP3209">
        <v>36537</v>
      </c>
      <c r="CQ3209" t="s">
        <v>13845</v>
      </c>
      <c r="CR3209">
        <v>66.099999999999994</v>
      </c>
      <c r="CS3209">
        <v>87.24</v>
      </c>
      <c r="CT3209">
        <v>2.23</v>
      </c>
      <c r="CU3209">
        <v>10.74</v>
      </c>
      <c r="CV3209">
        <v>2.14</v>
      </c>
      <c r="CW3209">
        <v>5.09</v>
      </c>
      <c r="CX3209" t="s">
        <v>13846</v>
      </c>
      <c r="CY3209">
        <v>7.2</v>
      </c>
      <c r="CZ3209">
        <v>7.2</v>
      </c>
      <c r="DA3209">
        <v>0.76</v>
      </c>
      <c r="DB3209">
        <v>4.92</v>
      </c>
      <c r="DC3209">
        <v>1.49</v>
      </c>
      <c r="DD3209">
        <v>44.35</v>
      </c>
      <c r="DE3209" t="s">
        <v>13847</v>
      </c>
      <c r="DF3209">
        <v>30.04</v>
      </c>
      <c r="DG3209">
        <v>22.3</v>
      </c>
      <c r="DH3209">
        <v>11.4</v>
      </c>
      <c r="DI3209">
        <v>0.19</v>
      </c>
      <c r="DJ3209">
        <v>36344</v>
      </c>
      <c r="DK3209">
        <v>601225</v>
      </c>
      <c r="DL3209">
        <v>20210906</v>
      </c>
      <c r="DM3209">
        <v>14.86</v>
      </c>
      <c r="DN3209">
        <v>7.87</v>
      </c>
    </row>
    <row r="3210" spans="1:118">
      <c r="A3210" t="str">
        <f>"601226"</f>
        <v>601226</v>
      </c>
      <c r="B3210" t="s">
        <v>13848</v>
      </c>
      <c r="C3210">
        <v>-3.18</v>
      </c>
      <c r="D3210">
        <v>-0.18</v>
      </c>
      <c r="E3210">
        <v>0.19</v>
      </c>
      <c r="F3210">
        <v>1369</v>
      </c>
      <c r="G3210" t="s">
        <v>9467</v>
      </c>
      <c r="H3210">
        <v>6207.33</v>
      </c>
      <c r="I3210">
        <v>3.21</v>
      </c>
      <c r="J3210" t="s">
        <v>120</v>
      </c>
      <c r="K3210" t="s">
        <v>5201</v>
      </c>
      <c r="L3210">
        <v>1.02</v>
      </c>
      <c r="M3210">
        <v>5.17</v>
      </c>
      <c r="N3210">
        <v>0.69</v>
      </c>
      <c r="O3210">
        <v>0.75</v>
      </c>
      <c r="P3210">
        <v>5.38</v>
      </c>
      <c r="Q3210">
        <v>-3.37</v>
      </c>
      <c r="R3210">
        <v>5.16</v>
      </c>
      <c r="S3210">
        <v>5.35</v>
      </c>
      <c r="T3210">
        <v>118191</v>
      </c>
      <c r="U3210">
        <v>5.18</v>
      </c>
      <c r="V3210">
        <v>5.34</v>
      </c>
      <c r="W3210">
        <v>42.04</v>
      </c>
      <c r="X3210" t="s">
        <v>675</v>
      </c>
      <c r="Y3210" t="s">
        <v>158</v>
      </c>
      <c r="Z3210">
        <v>4.12</v>
      </c>
      <c r="AA3210">
        <v>5.25</v>
      </c>
      <c r="AB3210">
        <v>70716</v>
      </c>
      <c r="AC3210">
        <v>47475</v>
      </c>
      <c r="AD3210">
        <v>1.49</v>
      </c>
      <c r="AE3210">
        <v>775</v>
      </c>
      <c r="AF3210">
        <v>238</v>
      </c>
      <c r="AG3210" t="s">
        <v>120</v>
      </c>
      <c r="AH3210">
        <v>0</v>
      </c>
      <c r="AI3210" t="s">
        <v>120</v>
      </c>
      <c r="AJ3210">
        <v>11.55</v>
      </c>
      <c r="AK3210" t="s">
        <v>4360</v>
      </c>
      <c r="AL3210">
        <v>-1.84</v>
      </c>
      <c r="AM3210">
        <v>2788</v>
      </c>
      <c r="AN3210">
        <v>42</v>
      </c>
      <c r="AO3210">
        <v>4.0000000000000002E-4</v>
      </c>
      <c r="AP3210">
        <v>-1</v>
      </c>
      <c r="AQ3210">
        <v>1.91</v>
      </c>
      <c r="AR3210">
        <v>-5.31</v>
      </c>
      <c r="AS3210">
        <v>15.66</v>
      </c>
      <c r="AT3210">
        <v>33.79</v>
      </c>
      <c r="AU3210">
        <v>22.97</v>
      </c>
      <c r="AV3210">
        <v>2</v>
      </c>
      <c r="AW3210">
        <v>2.78</v>
      </c>
      <c r="AX3210">
        <v>36.49</v>
      </c>
      <c r="AY3210">
        <v>32.299999999999997</v>
      </c>
      <c r="AZ3210">
        <v>64.44</v>
      </c>
      <c r="BA3210">
        <v>0.79</v>
      </c>
      <c r="BB3210" t="s">
        <v>143</v>
      </c>
      <c r="BF3210">
        <v>-1.65</v>
      </c>
      <c r="BG3210">
        <v>-3.36</v>
      </c>
      <c r="BH3210">
        <v>-3.9</v>
      </c>
      <c r="BI3210">
        <v>0.19</v>
      </c>
      <c r="BJ3210">
        <v>20210827</v>
      </c>
      <c r="BK3210">
        <v>20141211</v>
      </c>
      <c r="BL3210">
        <v>11.67</v>
      </c>
      <c r="BM3210" t="s">
        <v>120</v>
      </c>
      <c r="BN3210" t="s">
        <v>120</v>
      </c>
      <c r="BO3210">
        <v>93</v>
      </c>
      <c r="BP3210">
        <v>5.17</v>
      </c>
      <c r="BQ3210">
        <v>37.71</v>
      </c>
      <c r="BR3210">
        <v>0.32</v>
      </c>
      <c r="BS3210">
        <v>59.1</v>
      </c>
      <c r="BT3210">
        <v>68.92</v>
      </c>
      <c r="BU3210">
        <v>8.0399999999999991</v>
      </c>
      <c r="BV3210">
        <v>2.68</v>
      </c>
      <c r="BW3210">
        <v>48.35</v>
      </c>
      <c r="BX3210">
        <v>16.34</v>
      </c>
      <c r="BY3210">
        <v>9.09</v>
      </c>
      <c r="BZ3210">
        <v>16.510000000000002</v>
      </c>
      <c r="CA3210" t="s">
        <v>120</v>
      </c>
      <c r="CB3210">
        <v>12.4</v>
      </c>
      <c r="CC3210">
        <v>32.520000000000003</v>
      </c>
      <c r="CD3210">
        <v>29.31</v>
      </c>
      <c r="CE3210">
        <v>0.79</v>
      </c>
      <c r="CF3210">
        <v>7.0000000000000007E-2</v>
      </c>
      <c r="CG3210">
        <v>0.79</v>
      </c>
      <c r="CH3210">
        <v>0.73</v>
      </c>
      <c r="CI3210">
        <v>0.72</v>
      </c>
      <c r="CJ3210">
        <v>-0.17</v>
      </c>
      <c r="CK3210">
        <v>0.62</v>
      </c>
      <c r="CL3210">
        <v>12.24</v>
      </c>
      <c r="CM3210">
        <v>-3</v>
      </c>
      <c r="CN3210">
        <v>-3.05</v>
      </c>
      <c r="CO3210">
        <v>34768</v>
      </c>
      <c r="CP3210">
        <v>12249</v>
      </c>
      <c r="CQ3210" t="s">
        <v>380</v>
      </c>
      <c r="CR3210">
        <v>393.19</v>
      </c>
      <c r="CS3210">
        <v>-1.19</v>
      </c>
      <c r="CT3210">
        <v>1.6</v>
      </c>
      <c r="CU3210">
        <v>-20.12</v>
      </c>
      <c r="CV3210">
        <v>1.86</v>
      </c>
      <c r="CW3210">
        <v>0.48</v>
      </c>
      <c r="CX3210" t="s">
        <v>1064</v>
      </c>
      <c r="CY3210">
        <v>3.23</v>
      </c>
      <c r="CZ3210">
        <v>0</v>
      </c>
      <c r="DA3210">
        <v>1.06</v>
      </c>
      <c r="DB3210">
        <v>1.05</v>
      </c>
      <c r="DC3210">
        <v>-0.26</v>
      </c>
      <c r="DD3210">
        <v>40.549999999999997</v>
      </c>
      <c r="DE3210" t="s">
        <v>5446</v>
      </c>
      <c r="DF3210">
        <v>9.8800000000000008</v>
      </c>
      <c r="DG3210">
        <v>2.42</v>
      </c>
      <c r="DH3210">
        <v>2.21</v>
      </c>
      <c r="DI3210">
        <v>0.82</v>
      </c>
      <c r="DJ3210">
        <v>2050</v>
      </c>
      <c r="DK3210">
        <v>601226</v>
      </c>
      <c r="DL3210" t="s">
        <v>120</v>
      </c>
      <c r="DM3210" t="s">
        <v>120</v>
      </c>
      <c r="DN3210" t="s">
        <v>120</v>
      </c>
    </row>
    <row r="3211" spans="1:118">
      <c r="A3211" t="str">
        <f>"601228"</f>
        <v>601228</v>
      </c>
      <c r="B3211" t="s">
        <v>13849</v>
      </c>
      <c r="C3211">
        <v>-1.48</v>
      </c>
      <c r="D3211">
        <v>0</v>
      </c>
      <c r="E3211">
        <v>-0.3</v>
      </c>
      <c r="F3211">
        <v>2674</v>
      </c>
      <c r="G3211" t="s">
        <v>13850</v>
      </c>
      <c r="H3211">
        <v>5119.8100000000004</v>
      </c>
      <c r="I3211">
        <v>31.75</v>
      </c>
      <c r="J3211" t="s">
        <v>120</v>
      </c>
      <c r="K3211" t="s">
        <v>13851</v>
      </c>
      <c r="L3211">
        <v>0.25</v>
      </c>
      <c r="M3211">
        <v>3.33</v>
      </c>
      <c r="N3211">
        <v>0.66</v>
      </c>
      <c r="O3211">
        <v>1.48</v>
      </c>
      <c r="P3211">
        <v>3.43</v>
      </c>
      <c r="Q3211">
        <v>-1.78</v>
      </c>
      <c r="R3211">
        <v>3.32</v>
      </c>
      <c r="S3211">
        <v>3.37</v>
      </c>
      <c r="T3211">
        <v>151820</v>
      </c>
      <c r="U3211">
        <v>3.33</v>
      </c>
      <c r="V3211">
        <v>3.38</v>
      </c>
      <c r="W3211">
        <v>19.2</v>
      </c>
      <c r="X3211" t="s">
        <v>511</v>
      </c>
      <c r="Y3211" t="s">
        <v>547</v>
      </c>
      <c r="Z3211">
        <v>3.25</v>
      </c>
      <c r="AA3211">
        <v>3.37</v>
      </c>
      <c r="AB3211">
        <v>81737</v>
      </c>
      <c r="AC3211">
        <v>70083</v>
      </c>
      <c r="AD3211">
        <v>1.17</v>
      </c>
      <c r="AE3211">
        <v>3778</v>
      </c>
      <c r="AF3211">
        <v>831</v>
      </c>
      <c r="AG3211" t="s">
        <v>120</v>
      </c>
      <c r="AH3211">
        <v>0.01</v>
      </c>
      <c r="AI3211" t="s">
        <v>120</v>
      </c>
      <c r="AJ3211">
        <v>61.93</v>
      </c>
      <c r="AK3211" t="s">
        <v>13851</v>
      </c>
      <c r="AL3211">
        <v>-0.14000000000000001</v>
      </c>
      <c r="AM3211">
        <v>2094</v>
      </c>
      <c r="AN3211">
        <v>73</v>
      </c>
      <c r="AO3211">
        <v>1E-4</v>
      </c>
      <c r="AP3211">
        <v>-1</v>
      </c>
      <c r="AQ3211">
        <v>1.81</v>
      </c>
      <c r="AR3211">
        <v>-2.92</v>
      </c>
      <c r="AS3211">
        <v>8.1199999999999992</v>
      </c>
      <c r="AT3211">
        <v>4.3899999999999997</v>
      </c>
      <c r="AU3211">
        <v>0.39</v>
      </c>
      <c r="AV3211">
        <v>1</v>
      </c>
      <c r="AW3211">
        <v>1.5</v>
      </c>
      <c r="AX3211">
        <v>16.350000000000001</v>
      </c>
      <c r="AY3211">
        <v>23.51</v>
      </c>
      <c r="AZ3211">
        <v>23.98</v>
      </c>
      <c r="BA3211">
        <v>0.39</v>
      </c>
      <c r="BB3211" t="s">
        <v>184</v>
      </c>
      <c r="BF3211">
        <v>-0.23</v>
      </c>
      <c r="BG3211">
        <v>-1.19</v>
      </c>
      <c r="BH3211">
        <v>-2.92</v>
      </c>
      <c r="BI3211">
        <v>0.3</v>
      </c>
      <c r="BJ3211">
        <v>20210913</v>
      </c>
      <c r="BK3211">
        <v>20170329</v>
      </c>
      <c r="BL3211">
        <v>61.93</v>
      </c>
      <c r="BM3211" t="s">
        <v>120</v>
      </c>
      <c r="BN3211" t="s">
        <v>120</v>
      </c>
      <c r="BO3211">
        <v>376.32</v>
      </c>
      <c r="BP3211">
        <v>3.32</v>
      </c>
      <c r="BQ3211">
        <v>140.76</v>
      </c>
      <c r="BR3211">
        <v>28.86</v>
      </c>
      <c r="BS3211">
        <v>54.93</v>
      </c>
      <c r="BT3211">
        <v>66.45</v>
      </c>
      <c r="BU3211">
        <v>135.46</v>
      </c>
      <c r="BV3211">
        <v>48.24</v>
      </c>
      <c r="BW3211">
        <v>84.82</v>
      </c>
      <c r="BX3211">
        <v>37.75</v>
      </c>
      <c r="BY3211">
        <v>7.12</v>
      </c>
      <c r="BZ3211">
        <v>8.86</v>
      </c>
      <c r="CA3211">
        <v>0.16</v>
      </c>
      <c r="CB3211">
        <v>18.03</v>
      </c>
      <c r="CC3211">
        <v>60.06</v>
      </c>
      <c r="CD3211">
        <v>45.95</v>
      </c>
      <c r="CE3211">
        <v>8.17</v>
      </c>
      <c r="CF3211">
        <v>1.22</v>
      </c>
      <c r="CG3211">
        <v>8.24</v>
      </c>
      <c r="CH3211">
        <v>6.34</v>
      </c>
      <c r="CI3211">
        <v>5.37</v>
      </c>
      <c r="CJ3211">
        <v>-0.05</v>
      </c>
      <c r="CK3211">
        <v>5.0999999999999996</v>
      </c>
      <c r="CL3211">
        <v>53.8</v>
      </c>
      <c r="CM3211">
        <v>7.14</v>
      </c>
      <c r="CN3211">
        <v>5.54</v>
      </c>
      <c r="CO3211">
        <v>78530</v>
      </c>
      <c r="CP3211">
        <v>12898</v>
      </c>
      <c r="CQ3211" t="s">
        <v>160</v>
      </c>
      <c r="CR3211">
        <v>3.38</v>
      </c>
      <c r="CS3211">
        <v>12.38</v>
      </c>
      <c r="CT3211">
        <v>1.47</v>
      </c>
      <c r="CU3211">
        <v>28.87</v>
      </c>
      <c r="CV3211">
        <v>3.43</v>
      </c>
      <c r="CW3211">
        <v>1.27</v>
      </c>
      <c r="CX3211" t="s">
        <v>329</v>
      </c>
      <c r="CY3211">
        <v>2.27</v>
      </c>
      <c r="CZ3211">
        <v>0</v>
      </c>
      <c r="DA3211">
        <v>0.28999999999999998</v>
      </c>
      <c r="DB3211">
        <v>0.87</v>
      </c>
      <c r="DC3211">
        <v>0.12</v>
      </c>
      <c r="DD3211">
        <v>37.4</v>
      </c>
      <c r="DE3211" t="s">
        <v>10966</v>
      </c>
      <c r="DF3211">
        <v>23.5</v>
      </c>
      <c r="DG3211">
        <v>13.6</v>
      </c>
      <c r="DH3211">
        <v>8.94</v>
      </c>
      <c r="DI3211">
        <v>0.09</v>
      </c>
      <c r="DJ3211">
        <v>8808</v>
      </c>
      <c r="DK3211">
        <v>601228</v>
      </c>
      <c r="DL3211" t="s">
        <v>120</v>
      </c>
      <c r="DM3211" t="s">
        <v>120</v>
      </c>
      <c r="DN3211" t="s">
        <v>120</v>
      </c>
    </row>
    <row r="3212" spans="1:118">
      <c r="A3212" t="str">
        <f>"601229"</f>
        <v>601229</v>
      </c>
      <c r="B3212" t="s">
        <v>13852</v>
      </c>
      <c r="C3212">
        <v>-0.41</v>
      </c>
      <c r="D3212">
        <v>0.14000000000000001</v>
      </c>
      <c r="E3212">
        <v>0.27</v>
      </c>
      <c r="F3212">
        <v>5081</v>
      </c>
      <c r="G3212" t="s">
        <v>13853</v>
      </c>
      <c r="H3212">
        <v>18849.349999999999</v>
      </c>
      <c r="I3212">
        <v>67.27</v>
      </c>
      <c r="J3212" t="s">
        <v>120</v>
      </c>
      <c r="K3212" t="s">
        <v>13854</v>
      </c>
      <c r="L3212">
        <v>0.19</v>
      </c>
      <c r="M3212">
        <v>7.35</v>
      </c>
      <c r="N3212">
        <v>1.0900000000000001</v>
      </c>
      <c r="O3212">
        <v>0.81</v>
      </c>
      <c r="P3212">
        <v>7.44</v>
      </c>
      <c r="Q3212">
        <v>-0.68</v>
      </c>
      <c r="R3212">
        <v>7.33</v>
      </c>
      <c r="S3212">
        <v>7.4</v>
      </c>
      <c r="T3212">
        <v>255558</v>
      </c>
      <c r="U3212">
        <v>7.35</v>
      </c>
      <c r="V3212">
        <v>7.38</v>
      </c>
      <c r="W3212">
        <v>4.25</v>
      </c>
      <c r="X3212" t="s">
        <v>122</v>
      </c>
      <c r="Y3212" t="s">
        <v>1510</v>
      </c>
      <c r="Z3212">
        <v>1.49</v>
      </c>
      <c r="AA3212">
        <v>7.38</v>
      </c>
      <c r="AB3212">
        <v>139598</v>
      </c>
      <c r="AC3212">
        <v>115960</v>
      </c>
      <c r="AD3212">
        <v>1.2</v>
      </c>
      <c r="AE3212">
        <v>604</v>
      </c>
      <c r="AF3212">
        <v>612</v>
      </c>
      <c r="AG3212" t="s">
        <v>120</v>
      </c>
      <c r="AH3212">
        <v>0</v>
      </c>
      <c r="AI3212" t="s">
        <v>120</v>
      </c>
      <c r="AJ3212">
        <v>137.04</v>
      </c>
      <c r="AK3212" t="s">
        <v>13855</v>
      </c>
      <c r="AL3212">
        <v>0.94</v>
      </c>
      <c r="AM3212">
        <v>3460</v>
      </c>
      <c r="AN3212">
        <v>74</v>
      </c>
      <c r="AO3212">
        <v>1E-4</v>
      </c>
      <c r="AP3212">
        <v>-4</v>
      </c>
      <c r="AQ3212">
        <v>-0.4</v>
      </c>
      <c r="AR3212">
        <v>-2.25</v>
      </c>
      <c r="AS3212">
        <v>1.24</v>
      </c>
      <c r="AT3212">
        <v>-6.13</v>
      </c>
      <c r="AU3212">
        <v>-1.21</v>
      </c>
      <c r="AV3212">
        <v>0</v>
      </c>
      <c r="AW3212">
        <v>0.31</v>
      </c>
      <c r="AX3212">
        <v>58.19</v>
      </c>
      <c r="AY3212">
        <v>4.76</v>
      </c>
      <c r="AZ3212">
        <v>5.0199999999999996</v>
      </c>
      <c r="BA3212">
        <v>0.46</v>
      </c>
      <c r="BB3212" t="s">
        <v>2725</v>
      </c>
      <c r="BF3212">
        <v>-0.06</v>
      </c>
      <c r="BG3212">
        <v>-0.68</v>
      </c>
      <c r="BH3212">
        <v>-1.21</v>
      </c>
      <c r="BI3212">
        <v>0.27</v>
      </c>
      <c r="BJ3212">
        <v>20210821</v>
      </c>
      <c r="BK3212">
        <v>20161116</v>
      </c>
      <c r="BL3212">
        <v>142.07</v>
      </c>
      <c r="BM3212" t="s">
        <v>120</v>
      </c>
      <c r="BN3212" t="s">
        <v>120</v>
      </c>
      <c r="BO3212">
        <v>26283.63</v>
      </c>
      <c r="BP3212">
        <v>7.34</v>
      </c>
      <c r="BQ3212">
        <v>1962.62</v>
      </c>
      <c r="BR3212">
        <v>5.46</v>
      </c>
      <c r="BS3212">
        <v>92.51</v>
      </c>
      <c r="BT3212">
        <v>0</v>
      </c>
      <c r="BU3212">
        <v>57.72</v>
      </c>
      <c r="BV3212">
        <v>8.5</v>
      </c>
      <c r="BW3212">
        <v>0</v>
      </c>
      <c r="BX3212">
        <v>1831.64</v>
      </c>
      <c r="BY3212">
        <v>0</v>
      </c>
      <c r="BZ3212">
        <v>0</v>
      </c>
      <c r="CA3212" t="s">
        <v>120</v>
      </c>
      <c r="CB3212">
        <v>220.53</v>
      </c>
      <c r="CC3212">
        <v>277.05</v>
      </c>
      <c r="CD3212">
        <v>0</v>
      </c>
      <c r="CE3212">
        <v>135.26</v>
      </c>
      <c r="CF3212">
        <v>33.85</v>
      </c>
      <c r="CG3212">
        <v>135.35</v>
      </c>
      <c r="CH3212">
        <v>122.97</v>
      </c>
      <c r="CI3212">
        <v>122.78</v>
      </c>
      <c r="CJ3212">
        <v>-0.03</v>
      </c>
      <c r="CK3212">
        <v>122.53</v>
      </c>
      <c r="CL3212">
        <v>543.83000000000004</v>
      </c>
      <c r="CM3212">
        <v>350.99</v>
      </c>
      <c r="CN3212">
        <v>278.51</v>
      </c>
      <c r="CO3212">
        <v>122421</v>
      </c>
      <c r="CP3212">
        <v>67527</v>
      </c>
      <c r="CQ3212" t="s">
        <v>13856</v>
      </c>
      <c r="CR3212">
        <v>10.3</v>
      </c>
      <c r="CS3212">
        <v>9.02</v>
      </c>
      <c r="CT3212">
        <v>0.59</v>
      </c>
      <c r="CU3212">
        <v>2.97</v>
      </c>
      <c r="CV3212">
        <v>3.77</v>
      </c>
      <c r="CW3212">
        <v>5.42</v>
      </c>
      <c r="CX3212" t="s">
        <v>10202</v>
      </c>
      <c r="CY3212">
        <v>12.41</v>
      </c>
      <c r="CZ3212">
        <v>12.41</v>
      </c>
      <c r="DA3212">
        <v>1.55</v>
      </c>
      <c r="DB3212">
        <v>3.83</v>
      </c>
      <c r="DC3212">
        <v>2.4700000000000002</v>
      </c>
      <c r="DD3212">
        <v>7.47</v>
      </c>
      <c r="DE3212" t="s">
        <v>2129</v>
      </c>
      <c r="DF3212" t="s">
        <v>120</v>
      </c>
      <c r="DG3212">
        <v>48.82</v>
      </c>
      <c r="DH3212">
        <v>44.32</v>
      </c>
      <c r="DI3212" t="s">
        <v>120</v>
      </c>
      <c r="DJ3212">
        <v>13365</v>
      </c>
      <c r="DK3212">
        <v>601229</v>
      </c>
      <c r="DL3212" t="s">
        <v>120</v>
      </c>
      <c r="DM3212" t="s">
        <v>120</v>
      </c>
      <c r="DN3212" t="s">
        <v>120</v>
      </c>
    </row>
    <row r="3213" spans="1:118">
      <c r="A3213" t="str">
        <f>"601231"</f>
        <v>601231</v>
      </c>
      <c r="B3213" t="s">
        <v>13857</v>
      </c>
      <c r="C3213">
        <v>-0.49</v>
      </c>
      <c r="D3213">
        <v>0</v>
      </c>
      <c r="E3213">
        <v>7.0000000000000007E-2</v>
      </c>
      <c r="F3213">
        <v>3316</v>
      </c>
      <c r="G3213" t="s">
        <v>13858</v>
      </c>
      <c r="H3213">
        <v>15601.44</v>
      </c>
      <c r="I3213">
        <v>25.65</v>
      </c>
      <c r="J3213" t="s">
        <v>120</v>
      </c>
      <c r="K3213" t="s">
        <v>13859</v>
      </c>
      <c r="L3213">
        <v>0.5</v>
      </c>
      <c r="M3213">
        <v>14.25</v>
      </c>
      <c r="N3213">
        <v>0.81</v>
      </c>
      <c r="O3213">
        <v>1.61</v>
      </c>
      <c r="P3213">
        <v>14.55</v>
      </c>
      <c r="Q3213">
        <v>-0.49</v>
      </c>
      <c r="R3213">
        <v>14.25</v>
      </c>
      <c r="S3213">
        <v>14.33</v>
      </c>
      <c r="T3213">
        <v>108675</v>
      </c>
      <c r="U3213">
        <v>14.25</v>
      </c>
      <c r="V3213">
        <v>14.32</v>
      </c>
      <c r="W3213">
        <v>28.57</v>
      </c>
      <c r="X3213" t="s">
        <v>229</v>
      </c>
      <c r="Y3213" t="s">
        <v>1510</v>
      </c>
      <c r="Z3213">
        <v>2.09</v>
      </c>
      <c r="AA3213">
        <v>14.36</v>
      </c>
      <c r="AB3213">
        <v>58076</v>
      </c>
      <c r="AC3213">
        <v>50599</v>
      </c>
      <c r="AD3213">
        <v>1.1499999999999999</v>
      </c>
      <c r="AE3213">
        <v>238</v>
      </c>
      <c r="AF3213">
        <v>878</v>
      </c>
      <c r="AG3213" t="s">
        <v>120</v>
      </c>
      <c r="AH3213">
        <v>0</v>
      </c>
      <c r="AI3213" t="s">
        <v>120</v>
      </c>
      <c r="AJ3213">
        <v>21.84</v>
      </c>
      <c r="AK3213" t="s">
        <v>13860</v>
      </c>
      <c r="AL3213">
        <v>0.85</v>
      </c>
      <c r="AM3213">
        <v>2849</v>
      </c>
      <c r="AN3213">
        <v>38</v>
      </c>
      <c r="AO3213">
        <v>2.0000000000000001E-4</v>
      </c>
      <c r="AP3213">
        <v>-6</v>
      </c>
      <c r="AQ3213">
        <v>-2.19</v>
      </c>
      <c r="AR3213">
        <v>-2.74</v>
      </c>
      <c r="AS3213">
        <v>3.11</v>
      </c>
      <c r="AT3213">
        <v>-15.33</v>
      </c>
      <c r="AU3213">
        <v>-24.36</v>
      </c>
      <c r="AV3213">
        <v>0</v>
      </c>
      <c r="AW3213">
        <v>2.2599999999999998</v>
      </c>
      <c r="AX3213">
        <v>21.81</v>
      </c>
      <c r="AY3213">
        <v>17.73</v>
      </c>
      <c r="AZ3213">
        <v>18.190000000000001</v>
      </c>
      <c r="BA3213">
        <v>0.6</v>
      </c>
      <c r="BB3213" t="s">
        <v>143</v>
      </c>
      <c r="BF3213">
        <v>0.25</v>
      </c>
      <c r="BG3213">
        <v>-0.56000000000000005</v>
      </c>
      <c r="BH3213">
        <v>-2.06</v>
      </c>
      <c r="BI3213">
        <v>0</v>
      </c>
      <c r="BJ3213">
        <v>20210826</v>
      </c>
      <c r="BK3213">
        <v>20120220</v>
      </c>
      <c r="BL3213">
        <v>22.1</v>
      </c>
      <c r="BM3213" t="s">
        <v>120</v>
      </c>
      <c r="BN3213" t="s">
        <v>120</v>
      </c>
      <c r="BO3213">
        <v>319</v>
      </c>
      <c r="BP3213">
        <v>14.24</v>
      </c>
      <c r="BQ3213">
        <v>119.57</v>
      </c>
      <c r="BR3213">
        <v>0.02</v>
      </c>
      <c r="BS3213">
        <v>62.51</v>
      </c>
      <c r="BT3213">
        <v>250.35</v>
      </c>
      <c r="BU3213">
        <v>28.04</v>
      </c>
      <c r="BV3213">
        <v>4.84</v>
      </c>
      <c r="BW3213">
        <v>143.57</v>
      </c>
      <c r="BX3213">
        <v>69.290000000000006</v>
      </c>
      <c r="BY3213">
        <v>88.74</v>
      </c>
      <c r="BZ3213">
        <v>82.7</v>
      </c>
      <c r="CA3213" t="s">
        <v>120</v>
      </c>
      <c r="CB3213">
        <v>22.07</v>
      </c>
      <c r="CC3213">
        <v>222.73</v>
      </c>
      <c r="CD3213">
        <v>201.89</v>
      </c>
      <c r="CE3213">
        <v>6.23</v>
      </c>
      <c r="CF3213">
        <v>0.53</v>
      </c>
      <c r="CG3213">
        <v>6.35</v>
      </c>
      <c r="CH3213">
        <v>5.51</v>
      </c>
      <c r="CI3213">
        <v>5.51</v>
      </c>
      <c r="CJ3213">
        <v>-7.0000000000000007E-2</v>
      </c>
      <c r="CK3213">
        <v>4.63</v>
      </c>
      <c r="CL3213">
        <v>67.95</v>
      </c>
      <c r="CM3213">
        <v>-6.03</v>
      </c>
      <c r="CN3213">
        <v>6.6</v>
      </c>
      <c r="CO3213">
        <v>62197</v>
      </c>
      <c r="CP3213">
        <v>7747</v>
      </c>
      <c r="CQ3213" t="s">
        <v>13120</v>
      </c>
      <c r="CR3213">
        <v>8.99</v>
      </c>
      <c r="CS3213">
        <v>30.89</v>
      </c>
      <c r="CT3213">
        <v>2.73</v>
      </c>
      <c r="CU3213">
        <v>-52.24</v>
      </c>
      <c r="CV3213">
        <v>1.41</v>
      </c>
      <c r="CW3213">
        <v>3.47</v>
      </c>
      <c r="CX3213" t="s">
        <v>863</v>
      </c>
      <c r="CY3213">
        <v>5.23</v>
      </c>
      <c r="CZ3213">
        <v>5.23</v>
      </c>
      <c r="DA3213">
        <v>1</v>
      </c>
      <c r="DB3213">
        <v>3.08</v>
      </c>
      <c r="DC3213">
        <v>-0.27</v>
      </c>
      <c r="DD3213">
        <v>37.479999999999997</v>
      </c>
      <c r="DE3213" t="s">
        <v>5715</v>
      </c>
      <c r="DF3213">
        <v>9.36</v>
      </c>
      <c r="DG3213">
        <v>2.8</v>
      </c>
      <c r="DH3213">
        <v>2.4700000000000002</v>
      </c>
      <c r="DI3213">
        <v>6.8</v>
      </c>
      <c r="DJ3213">
        <v>18546</v>
      </c>
      <c r="DK3213">
        <v>601231</v>
      </c>
      <c r="DL3213" t="s">
        <v>120</v>
      </c>
      <c r="DM3213" t="s">
        <v>120</v>
      </c>
      <c r="DN3213" t="s">
        <v>120</v>
      </c>
    </row>
    <row r="3214" spans="1:118">
      <c r="A3214" t="str">
        <f>"601233"</f>
        <v>601233</v>
      </c>
      <c r="B3214" t="s">
        <v>13861</v>
      </c>
      <c r="C3214">
        <v>-0.88</v>
      </c>
      <c r="D3214">
        <v>0.15</v>
      </c>
      <c r="E3214">
        <v>0.7</v>
      </c>
      <c r="F3214">
        <v>4922</v>
      </c>
      <c r="G3214" t="s">
        <v>13862</v>
      </c>
      <c r="H3214">
        <v>141101.41</v>
      </c>
      <c r="I3214">
        <v>447.06</v>
      </c>
      <c r="J3214" t="s">
        <v>120</v>
      </c>
      <c r="K3214" t="s">
        <v>13863</v>
      </c>
      <c r="L3214">
        <v>2.25</v>
      </c>
      <c r="M3214">
        <v>26.88</v>
      </c>
      <c r="N3214">
        <v>1.1200000000000001</v>
      </c>
      <c r="O3214">
        <v>3.5</v>
      </c>
      <c r="P3214">
        <v>28.07</v>
      </c>
      <c r="Q3214">
        <v>-1.4</v>
      </c>
      <c r="R3214">
        <v>26.74</v>
      </c>
      <c r="S3214">
        <v>27.31</v>
      </c>
      <c r="T3214">
        <v>514543</v>
      </c>
      <c r="U3214">
        <v>26.88</v>
      </c>
      <c r="V3214">
        <v>27.12</v>
      </c>
      <c r="W3214">
        <v>7.44</v>
      </c>
      <c r="X3214" t="s">
        <v>623</v>
      </c>
      <c r="Y3214" t="s">
        <v>585</v>
      </c>
      <c r="Z3214">
        <v>4.9000000000000004</v>
      </c>
      <c r="AA3214">
        <v>27.42</v>
      </c>
      <c r="AB3214">
        <v>240953</v>
      </c>
      <c r="AC3214">
        <v>273590</v>
      </c>
      <c r="AD3214">
        <v>0.88</v>
      </c>
      <c r="AE3214">
        <v>5</v>
      </c>
      <c r="AF3214">
        <v>132</v>
      </c>
      <c r="AG3214" t="s">
        <v>120</v>
      </c>
      <c r="AH3214">
        <v>0.01</v>
      </c>
      <c r="AI3214" t="s">
        <v>120</v>
      </c>
      <c r="AJ3214">
        <v>22.88</v>
      </c>
      <c r="AK3214" t="s">
        <v>13863</v>
      </c>
      <c r="AL3214">
        <v>0.46</v>
      </c>
      <c r="AM3214">
        <v>4632</v>
      </c>
      <c r="AN3214">
        <v>111</v>
      </c>
      <c r="AO3214">
        <v>5.0000000000000001E-4</v>
      </c>
      <c r="AP3214">
        <v>-1</v>
      </c>
      <c r="AQ3214">
        <v>7.0000000000000007E-2</v>
      </c>
      <c r="AR3214">
        <v>-1.58</v>
      </c>
      <c r="AS3214">
        <v>5.33</v>
      </c>
      <c r="AT3214">
        <v>27.51</v>
      </c>
      <c r="AU3214">
        <v>31.38</v>
      </c>
      <c r="AV3214">
        <v>6</v>
      </c>
      <c r="AW3214">
        <v>3.45</v>
      </c>
      <c r="AX3214">
        <v>65.17</v>
      </c>
      <c r="AY3214">
        <v>10.39</v>
      </c>
      <c r="AZ3214">
        <v>21.79</v>
      </c>
      <c r="BA3214">
        <v>1.02</v>
      </c>
      <c r="BB3214" t="s">
        <v>143</v>
      </c>
      <c r="BF3214">
        <v>1.1200000000000001</v>
      </c>
      <c r="BG3214">
        <v>-1.57</v>
      </c>
      <c r="BH3214">
        <v>-4.24</v>
      </c>
      <c r="BI3214">
        <v>0.52</v>
      </c>
      <c r="BJ3214">
        <v>20210818</v>
      </c>
      <c r="BK3214">
        <v>20110518</v>
      </c>
      <c r="BL3214">
        <v>22.88</v>
      </c>
      <c r="BM3214" t="s">
        <v>120</v>
      </c>
      <c r="BN3214" t="s">
        <v>120</v>
      </c>
      <c r="BO3214">
        <v>571.1</v>
      </c>
      <c r="BP3214">
        <v>26.87</v>
      </c>
      <c r="BQ3214">
        <v>309.67</v>
      </c>
      <c r="BR3214">
        <v>1.1399999999999999</v>
      </c>
      <c r="BS3214">
        <v>45.58</v>
      </c>
      <c r="BT3214">
        <v>156.58000000000001</v>
      </c>
      <c r="BU3214">
        <v>190.19</v>
      </c>
      <c r="BV3214">
        <v>18</v>
      </c>
      <c r="BW3214">
        <v>195.14</v>
      </c>
      <c r="BX3214">
        <v>101.78</v>
      </c>
      <c r="BY3214">
        <v>33.94</v>
      </c>
      <c r="BZ3214">
        <v>1.3</v>
      </c>
      <c r="CA3214">
        <v>0</v>
      </c>
      <c r="CB3214">
        <v>118.91</v>
      </c>
      <c r="CC3214">
        <v>301.86</v>
      </c>
      <c r="CD3214">
        <v>263.36</v>
      </c>
      <c r="CE3214">
        <v>46.51</v>
      </c>
      <c r="CF3214">
        <v>22.66</v>
      </c>
      <c r="CG3214">
        <v>46.54</v>
      </c>
      <c r="CH3214">
        <v>41.42</v>
      </c>
      <c r="CI3214">
        <v>41.34</v>
      </c>
      <c r="CJ3214">
        <v>-0.24</v>
      </c>
      <c r="CK3214">
        <v>41.36</v>
      </c>
      <c r="CL3214">
        <v>157.78</v>
      </c>
      <c r="CM3214">
        <v>-2.0099999999999998</v>
      </c>
      <c r="CN3214">
        <v>28.29</v>
      </c>
      <c r="CO3214">
        <v>70634</v>
      </c>
      <c r="CP3214">
        <v>21106</v>
      </c>
      <c r="CQ3214" t="s">
        <v>13864</v>
      </c>
      <c r="CR3214">
        <v>309.57</v>
      </c>
      <c r="CS3214">
        <v>41.43</v>
      </c>
      <c r="CT3214">
        <v>1.99</v>
      </c>
      <c r="CU3214">
        <v>-305.52999999999997</v>
      </c>
      <c r="CV3214">
        <v>2.04</v>
      </c>
      <c r="CW3214">
        <v>0.48</v>
      </c>
      <c r="CX3214" t="s">
        <v>6134</v>
      </c>
      <c r="CY3214">
        <v>13.54</v>
      </c>
      <c r="CZ3214">
        <v>0</v>
      </c>
      <c r="DA3214">
        <v>5.2</v>
      </c>
      <c r="DB3214">
        <v>6.9</v>
      </c>
      <c r="DC3214">
        <v>-0.09</v>
      </c>
      <c r="DD3214">
        <v>54.22</v>
      </c>
      <c r="DE3214" t="s">
        <v>13865</v>
      </c>
      <c r="DF3214">
        <v>12.75</v>
      </c>
      <c r="DG3214">
        <v>15.41</v>
      </c>
      <c r="DH3214">
        <v>13.69</v>
      </c>
      <c r="DI3214">
        <v>7.45</v>
      </c>
      <c r="DJ3214">
        <v>19371</v>
      </c>
      <c r="DK3214">
        <v>601233</v>
      </c>
      <c r="DL3214" t="s">
        <v>120</v>
      </c>
      <c r="DM3214" t="s">
        <v>120</v>
      </c>
      <c r="DN3214" t="s">
        <v>120</v>
      </c>
    </row>
    <row r="3215" spans="1:118">
      <c r="A3215" t="str">
        <f>"601236"</f>
        <v>601236</v>
      </c>
      <c r="B3215" t="s">
        <v>13866</v>
      </c>
      <c r="C3215">
        <v>-1.29</v>
      </c>
      <c r="D3215">
        <v>0</v>
      </c>
      <c r="E3215">
        <v>-0.24</v>
      </c>
      <c r="F3215">
        <v>2276</v>
      </c>
      <c r="G3215" t="s">
        <v>13867</v>
      </c>
      <c r="H3215">
        <v>16143.29</v>
      </c>
      <c r="I3215">
        <v>21.24</v>
      </c>
      <c r="J3215" t="s">
        <v>120</v>
      </c>
      <c r="K3215" t="s">
        <v>13868</v>
      </c>
      <c r="L3215">
        <v>0.51</v>
      </c>
      <c r="M3215">
        <v>12.22</v>
      </c>
      <c r="N3215">
        <v>0.62</v>
      </c>
      <c r="O3215">
        <v>0.65</v>
      </c>
      <c r="P3215">
        <v>12.46</v>
      </c>
      <c r="Q3215">
        <v>-1.62</v>
      </c>
      <c r="R3215">
        <v>12.18</v>
      </c>
      <c r="S3215">
        <v>12.35</v>
      </c>
      <c r="T3215">
        <v>131146</v>
      </c>
      <c r="U3215">
        <v>12.23</v>
      </c>
      <c r="V3215">
        <v>12.38</v>
      </c>
      <c r="W3215">
        <v>38.590000000000003</v>
      </c>
      <c r="X3215" t="s">
        <v>616</v>
      </c>
      <c r="Y3215" t="s">
        <v>1006</v>
      </c>
      <c r="Z3215">
        <v>2.2599999999999998</v>
      </c>
      <c r="AA3215">
        <v>12.31</v>
      </c>
      <c r="AB3215">
        <v>72532</v>
      </c>
      <c r="AC3215">
        <v>58614</v>
      </c>
      <c r="AD3215">
        <v>1.24</v>
      </c>
      <c r="AE3215">
        <v>421</v>
      </c>
      <c r="AF3215">
        <v>142</v>
      </c>
      <c r="AG3215" t="s">
        <v>120</v>
      </c>
      <c r="AH3215">
        <v>0</v>
      </c>
      <c r="AI3215" t="s">
        <v>120</v>
      </c>
      <c r="AJ3215">
        <v>25.58</v>
      </c>
      <c r="AK3215" t="s">
        <v>13869</v>
      </c>
      <c r="AL3215">
        <v>0.05</v>
      </c>
      <c r="AM3215">
        <v>3187</v>
      </c>
      <c r="AN3215">
        <v>41</v>
      </c>
      <c r="AO3215">
        <v>2.0000000000000001E-4</v>
      </c>
      <c r="AP3215">
        <v>-1</v>
      </c>
      <c r="AQ3215">
        <v>0.65</v>
      </c>
      <c r="AR3215">
        <v>-2.48</v>
      </c>
      <c r="AS3215">
        <v>-10.220000000000001</v>
      </c>
      <c r="AT3215">
        <v>2.7</v>
      </c>
      <c r="AU3215">
        <v>-23.01</v>
      </c>
      <c r="AV3215">
        <v>3</v>
      </c>
      <c r="AW3215">
        <v>0.93</v>
      </c>
      <c r="AX3215">
        <v>29.94</v>
      </c>
      <c r="AY3215">
        <v>42.32</v>
      </c>
      <c r="AZ3215">
        <v>41.32</v>
      </c>
      <c r="BA3215">
        <v>1.35</v>
      </c>
      <c r="BB3215" t="s">
        <v>143</v>
      </c>
      <c r="BF3215">
        <v>-0.56999999999999995</v>
      </c>
      <c r="BG3215">
        <v>-1.05</v>
      </c>
      <c r="BH3215">
        <v>-1.93</v>
      </c>
      <c r="BI3215">
        <v>0.33</v>
      </c>
      <c r="BJ3215">
        <v>20210827</v>
      </c>
      <c r="BK3215">
        <v>20190705</v>
      </c>
      <c r="BL3215">
        <v>47.17</v>
      </c>
      <c r="BM3215" t="s">
        <v>120</v>
      </c>
      <c r="BN3215" t="s">
        <v>120</v>
      </c>
      <c r="BO3215">
        <v>346.58</v>
      </c>
      <c r="BP3215">
        <v>12.22</v>
      </c>
      <c r="BQ3215">
        <v>146.08000000000001</v>
      </c>
      <c r="BR3215">
        <v>2.85</v>
      </c>
      <c r="BS3215">
        <v>57.03</v>
      </c>
      <c r="BT3215">
        <v>0</v>
      </c>
      <c r="BU3215">
        <v>0.91</v>
      </c>
      <c r="BV3215">
        <v>1.1399999999999999</v>
      </c>
      <c r="BW3215">
        <v>0</v>
      </c>
      <c r="BX3215">
        <v>88.91</v>
      </c>
      <c r="BY3215">
        <v>0</v>
      </c>
      <c r="BZ3215">
        <v>0</v>
      </c>
      <c r="CA3215" t="s">
        <v>120</v>
      </c>
      <c r="CB3215">
        <v>55.32</v>
      </c>
      <c r="CC3215">
        <v>41.84</v>
      </c>
      <c r="CD3215">
        <v>0</v>
      </c>
      <c r="CE3215">
        <v>9.77</v>
      </c>
      <c r="CF3215">
        <v>15.94</v>
      </c>
      <c r="CG3215">
        <v>9.9499999999999993</v>
      </c>
      <c r="CH3215">
        <v>7.52</v>
      </c>
      <c r="CI3215">
        <v>7.47</v>
      </c>
      <c r="CJ3215">
        <v>-0.16</v>
      </c>
      <c r="CK3215">
        <v>7.32</v>
      </c>
      <c r="CL3215">
        <v>30.74</v>
      </c>
      <c r="CM3215">
        <v>59.95</v>
      </c>
      <c r="CN3215">
        <v>33.61</v>
      </c>
      <c r="CO3215">
        <v>84950</v>
      </c>
      <c r="CP3215">
        <v>16624</v>
      </c>
      <c r="CQ3215" t="s">
        <v>3252</v>
      </c>
      <c r="CR3215">
        <v>-4.28</v>
      </c>
      <c r="CS3215">
        <v>70.37</v>
      </c>
      <c r="CT3215">
        <v>3.04</v>
      </c>
      <c r="CU3215">
        <v>9.61</v>
      </c>
      <c r="CV3215">
        <v>13.78</v>
      </c>
      <c r="CW3215">
        <v>0.96</v>
      </c>
      <c r="CX3215" t="s">
        <v>2097</v>
      </c>
      <c r="CY3215">
        <v>4.0199999999999996</v>
      </c>
      <c r="CZ3215">
        <v>4.0199999999999996</v>
      </c>
      <c r="DA3215">
        <v>1.17</v>
      </c>
      <c r="DB3215">
        <v>0.65</v>
      </c>
      <c r="DC3215">
        <v>1.27</v>
      </c>
      <c r="DD3215">
        <v>42.15</v>
      </c>
      <c r="DE3215" t="s">
        <v>4904</v>
      </c>
      <c r="DF3215" t="s">
        <v>120</v>
      </c>
      <c r="DG3215">
        <v>23.35</v>
      </c>
      <c r="DH3215">
        <v>17.850000000000001</v>
      </c>
      <c r="DI3215" t="s">
        <v>120</v>
      </c>
      <c r="DJ3215">
        <v>1442</v>
      </c>
      <c r="DK3215">
        <v>601236</v>
      </c>
      <c r="DL3215" t="s">
        <v>120</v>
      </c>
      <c r="DM3215" t="s">
        <v>120</v>
      </c>
      <c r="DN3215" t="s">
        <v>120</v>
      </c>
    </row>
    <row r="3216" spans="1:118">
      <c r="A3216" t="str">
        <f>"601238"</f>
        <v>601238</v>
      </c>
      <c r="B3216" t="s">
        <v>13870</v>
      </c>
      <c r="C3216">
        <v>-5.67</v>
      </c>
      <c r="D3216">
        <v>0.41</v>
      </c>
      <c r="E3216">
        <v>-0.71</v>
      </c>
      <c r="F3216">
        <v>5832</v>
      </c>
      <c r="G3216" t="s">
        <v>13871</v>
      </c>
      <c r="H3216">
        <v>102985.15</v>
      </c>
      <c r="I3216">
        <v>188.03</v>
      </c>
      <c r="J3216" t="s">
        <v>120</v>
      </c>
      <c r="K3216" t="s">
        <v>13872</v>
      </c>
      <c r="L3216">
        <v>0.82</v>
      </c>
      <c r="M3216">
        <v>17.309999999999999</v>
      </c>
      <c r="N3216">
        <v>1.25</v>
      </c>
      <c r="O3216">
        <v>-0.71</v>
      </c>
      <c r="P3216">
        <v>18.22</v>
      </c>
      <c r="Q3216">
        <v>-6.32</v>
      </c>
      <c r="R3216">
        <v>17.190000000000001</v>
      </c>
      <c r="S3216">
        <v>18.22</v>
      </c>
      <c r="T3216">
        <v>585444</v>
      </c>
      <c r="U3216">
        <v>17.309999999999999</v>
      </c>
      <c r="V3216">
        <v>18.350000000000001</v>
      </c>
      <c r="W3216">
        <v>20.67</v>
      </c>
      <c r="X3216" t="s">
        <v>1068</v>
      </c>
      <c r="Y3216" t="s">
        <v>547</v>
      </c>
      <c r="Z3216">
        <v>5.61</v>
      </c>
      <c r="AA3216">
        <v>17.59</v>
      </c>
      <c r="AB3216">
        <v>313008</v>
      </c>
      <c r="AC3216">
        <v>272436</v>
      </c>
      <c r="AD3216">
        <v>1.1499999999999999</v>
      </c>
      <c r="AE3216">
        <v>90</v>
      </c>
      <c r="AF3216">
        <v>877</v>
      </c>
      <c r="AG3216" t="s">
        <v>120</v>
      </c>
      <c r="AH3216">
        <v>0.01</v>
      </c>
      <c r="AI3216" t="s">
        <v>120</v>
      </c>
      <c r="AJ3216">
        <v>71.55</v>
      </c>
      <c r="AK3216" t="s">
        <v>13873</v>
      </c>
      <c r="AL3216">
        <v>-4.32</v>
      </c>
      <c r="AM3216">
        <v>4658</v>
      </c>
      <c r="AN3216">
        <v>126</v>
      </c>
      <c r="AO3216">
        <v>2.0000000000000001E-4</v>
      </c>
      <c r="AP3216">
        <v>-2</v>
      </c>
      <c r="AQ3216">
        <v>-1.02</v>
      </c>
      <c r="AR3216">
        <v>-6.07</v>
      </c>
      <c r="AS3216">
        <v>10.96</v>
      </c>
      <c r="AT3216">
        <v>33.770000000000003</v>
      </c>
      <c r="AU3216">
        <v>31.74</v>
      </c>
      <c r="AV3216">
        <v>6</v>
      </c>
      <c r="AW3216">
        <v>3.01</v>
      </c>
      <c r="AX3216">
        <v>26.84</v>
      </c>
      <c r="AY3216">
        <v>23.8</v>
      </c>
      <c r="AZ3216">
        <v>31.85</v>
      </c>
      <c r="BA3216">
        <v>1.38</v>
      </c>
      <c r="BB3216" t="s">
        <v>143</v>
      </c>
      <c r="BF3216">
        <v>-4.1399999999999997</v>
      </c>
      <c r="BG3216">
        <v>-4.99</v>
      </c>
      <c r="BH3216">
        <v>-4.99</v>
      </c>
      <c r="BI3216">
        <v>0.7</v>
      </c>
      <c r="BJ3216">
        <v>20210913</v>
      </c>
      <c r="BK3216">
        <v>20120329</v>
      </c>
      <c r="BL3216">
        <v>103.56</v>
      </c>
      <c r="BM3216" t="s">
        <v>120</v>
      </c>
      <c r="BN3216">
        <v>30.99</v>
      </c>
      <c r="BO3216">
        <v>1412.12</v>
      </c>
      <c r="BP3216">
        <v>17.3</v>
      </c>
      <c r="BQ3216">
        <v>876.8</v>
      </c>
      <c r="BR3216">
        <v>23.34</v>
      </c>
      <c r="BS3216">
        <v>36.26</v>
      </c>
      <c r="BT3216">
        <v>513.09</v>
      </c>
      <c r="BU3216">
        <v>184.71</v>
      </c>
      <c r="BV3216">
        <v>151</v>
      </c>
      <c r="BW3216">
        <v>382.78</v>
      </c>
      <c r="BX3216">
        <v>223.98</v>
      </c>
      <c r="BY3216">
        <v>57.75</v>
      </c>
      <c r="BZ3216">
        <v>48.35</v>
      </c>
      <c r="CA3216" t="s">
        <v>120</v>
      </c>
      <c r="CB3216">
        <v>233.16</v>
      </c>
      <c r="CC3216">
        <v>343.18</v>
      </c>
      <c r="CD3216">
        <v>320.67</v>
      </c>
      <c r="CE3216">
        <v>42.16</v>
      </c>
      <c r="CF3216">
        <v>65.03</v>
      </c>
      <c r="CG3216">
        <v>42.22</v>
      </c>
      <c r="CH3216">
        <v>43.53</v>
      </c>
      <c r="CI3216">
        <v>43.37</v>
      </c>
      <c r="CJ3216">
        <v>-1.04</v>
      </c>
      <c r="CK3216">
        <v>40.450000000000003</v>
      </c>
      <c r="CL3216">
        <v>476.34</v>
      </c>
      <c r="CM3216">
        <v>-75.709999999999994</v>
      </c>
      <c r="CN3216">
        <v>-58.1</v>
      </c>
      <c r="CO3216">
        <v>89092</v>
      </c>
      <c r="CP3216">
        <v>21864</v>
      </c>
      <c r="CQ3216" t="s">
        <v>13874</v>
      </c>
      <c r="CR3216">
        <v>87.07</v>
      </c>
      <c r="CS3216">
        <v>34.9</v>
      </c>
      <c r="CT3216">
        <v>2.0499999999999998</v>
      </c>
      <c r="CU3216">
        <v>-23.68</v>
      </c>
      <c r="CV3216">
        <v>5.22</v>
      </c>
      <c r="CW3216">
        <v>1.0900000000000001</v>
      </c>
      <c r="CX3216" t="s">
        <v>1327</v>
      </c>
      <c r="CY3216">
        <v>8.4499999999999993</v>
      </c>
      <c r="CZ3216">
        <v>8.4499999999999993</v>
      </c>
      <c r="DA3216">
        <v>2.25</v>
      </c>
      <c r="DB3216">
        <v>4.5999999999999996</v>
      </c>
      <c r="DC3216">
        <v>-0.73</v>
      </c>
      <c r="DD3216">
        <v>62.09</v>
      </c>
      <c r="DE3216" t="s">
        <v>435</v>
      </c>
      <c r="DF3216">
        <v>6.56</v>
      </c>
      <c r="DG3216">
        <v>12.28</v>
      </c>
      <c r="DH3216">
        <v>12.64</v>
      </c>
      <c r="DI3216">
        <v>5.23</v>
      </c>
      <c r="DJ3216">
        <v>93745</v>
      </c>
      <c r="DK3216">
        <v>601238</v>
      </c>
      <c r="DL3216">
        <v>20210812</v>
      </c>
      <c r="DM3216">
        <v>15.41</v>
      </c>
      <c r="DN3216">
        <v>12.33</v>
      </c>
    </row>
    <row r="3217" spans="1:118">
      <c r="A3217" t="str">
        <f>"601258"</f>
        <v>601258</v>
      </c>
      <c r="B3217" t="s">
        <v>13875</v>
      </c>
      <c r="C3217">
        <v>-1.52</v>
      </c>
      <c r="D3217">
        <v>0</v>
      </c>
      <c r="E3217">
        <v>0</v>
      </c>
      <c r="F3217">
        <v>19069</v>
      </c>
      <c r="G3217" t="s">
        <v>13876</v>
      </c>
      <c r="H3217">
        <v>38228.980000000003</v>
      </c>
      <c r="I3217">
        <v>69.459999999999994</v>
      </c>
      <c r="J3217" t="s">
        <v>120</v>
      </c>
      <c r="K3217" t="s">
        <v>13877</v>
      </c>
      <c r="L3217">
        <v>1.9</v>
      </c>
      <c r="M3217">
        <v>1.94</v>
      </c>
      <c r="N3217">
        <v>0.73</v>
      </c>
      <c r="O3217">
        <v>2.54</v>
      </c>
      <c r="P3217">
        <v>2.02</v>
      </c>
      <c r="Q3217">
        <v>-2.0299999999999998</v>
      </c>
      <c r="R3217">
        <v>1.93</v>
      </c>
      <c r="S3217">
        <v>1.97</v>
      </c>
      <c r="T3217">
        <v>1941868</v>
      </c>
      <c r="U3217">
        <v>1.94</v>
      </c>
      <c r="V3217">
        <v>1.97</v>
      </c>
      <c r="W3217">
        <v>17.03</v>
      </c>
      <c r="X3217" t="s">
        <v>253</v>
      </c>
      <c r="Y3217" t="s">
        <v>602</v>
      </c>
      <c r="Z3217">
        <v>4.57</v>
      </c>
      <c r="AA3217">
        <v>1.97</v>
      </c>
      <c r="AB3217">
        <v>1065779</v>
      </c>
      <c r="AC3217">
        <v>876089</v>
      </c>
      <c r="AD3217">
        <v>1.22</v>
      </c>
      <c r="AE3217">
        <v>38297</v>
      </c>
      <c r="AF3217">
        <v>4611</v>
      </c>
      <c r="AG3217" t="s">
        <v>120</v>
      </c>
      <c r="AH3217">
        <v>0.01</v>
      </c>
      <c r="AI3217" t="s">
        <v>120</v>
      </c>
      <c r="AJ3217">
        <v>102.27</v>
      </c>
      <c r="AK3217" t="s">
        <v>13877</v>
      </c>
      <c r="AL3217">
        <v>-0.18</v>
      </c>
      <c r="AM3217">
        <v>4215</v>
      </c>
      <c r="AN3217">
        <v>461</v>
      </c>
      <c r="AO3217">
        <v>5.0000000000000001E-4</v>
      </c>
      <c r="AP3217">
        <v>-1</v>
      </c>
      <c r="AQ3217">
        <v>1.03</v>
      </c>
      <c r="AR3217">
        <v>-4.43</v>
      </c>
      <c r="AS3217">
        <v>23.57</v>
      </c>
      <c r="AT3217">
        <v>22.78</v>
      </c>
      <c r="AU3217">
        <v>92.08</v>
      </c>
      <c r="AV3217">
        <v>16</v>
      </c>
      <c r="AW3217">
        <v>2.88</v>
      </c>
      <c r="AX3217">
        <v>65.959999999999994</v>
      </c>
      <c r="AY3217">
        <v>18.010000000000002</v>
      </c>
      <c r="AZ3217">
        <v>34.72</v>
      </c>
      <c r="BA3217">
        <v>0.5</v>
      </c>
      <c r="BB3217" t="s">
        <v>143</v>
      </c>
      <c r="BF3217">
        <v>-7.0000000000000007E-2</v>
      </c>
      <c r="BG3217">
        <v>-1.52</v>
      </c>
      <c r="BH3217">
        <v>-3.96</v>
      </c>
      <c r="BI3217">
        <v>0.52</v>
      </c>
      <c r="BJ3217">
        <v>20210825</v>
      </c>
      <c r="BK3217">
        <v>20110428</v>
      </c>
      <c r="BL3217">
        <v>102.27</v>
      </c>
      <c r="BM3217" t="s">
        <v>120</v>
      </c>
      <c r="BN3217" t="s">
        <v>120</v>
      </c>
      <c r="BO3217">
        <v>230.65</v>
      </c>
      <c r="BP3217">
        <v>1.93</v>
      </c>
      <c r="BQ3217">
        <v>115.02</v>
      </c>
      <c r="BR3217">
        <v>0.68</v>
      </c>
      <c r="BS3217">
        <v>49.84</v>
      </c>
      <c r="BT3217">
        <v>96.42</v>
      </c>
      <c r="BU3217">
        <v>63.47</v>
      </c>
      <c r="BV3217">
        <v>37.11</v>
      </c>
      <c r="BW3217">
        <v>55.71</v>
      </c>
      <c r="BX3217">
        <v>9.7100000000000009</v>
      </c>
      <c r="BY3217">
        <v>28.72</v>
      </c>
      <c r="BZ3217">
        <v>3.45</v>
      </c>
      <c r="CA3217">
        <v>1.2</v>
      </c>
      <c r="CB3217">
        <v>41.28</v>
      </c>
      <c r="CC3217">
        <v>146.63999999999999</v>
      </c>
      <c r="CD3217">
        <v>136.22999999999999</v>
      </c>
      <c r="CE3217">
        <v>6.39</v>
      </c>
      <c r="CF3217">
        <v>7.42</v>
      </c>
      <c r="CG3217">
        <v>6.4</v>
      </c>
      <c r="CH3217">
        <v>5.8</v>
      </c>
      <c r="CI3217">
        <v>5.83</v>
      </c>
      <c r="CJ3217">
        <v>-0.03</v>
      </c>
      <c r="CK3217">
        <v>-1.1599999999999999</v>
      </c>
      <c r="CL3217">
        <v>-32.229999999999997</v>
      </c>
      <c r="CM3217">
        <v>-3.57</v>
      </c>
      <c r="CN3217">
        <v>0.54</v>
      </c>
      <c r="CO3217">
        <v>227465</v>
      </c>
      <c r="CP3217">
        <v>29658</v>
      </c>
      <c r="CQ3217" t="s">
        <v>498</v>
      </c>
      <c r="CR3217">
        <v>1213.4000000000001</v>
      </c>
      <c r="CS3217">
        <v>33.96</v>
      </c>
      <c r="CT3217">
        <v>1.73</v>
      </c>
      <c r="CU3217">
        <v>-55.61</v>
      </c>
      <c r="CV3217">
        <v>1.35</v>
      </c>
      <c r="CW3217">
        <v>0</v>
      </c>
      <c r="CX3217" t="s">
        <v>1064</v>
      </c>
      <c r="CY3217">
        <v>1.1200000000000001</v>
      </c>
      <c r="CZ3217">
        <v>0</v>
      </c>
      <c r="DA3217">
        <v>0.4</v>
      </c>
      <c r="DB3217">
        <v>-0.32</v>
      </c>
      <c r="DC3217">
        <v>-0.03</v>
      </c>
      <c r="DD3217">
        <v>49.87</v>
      </c>
      <c r="DE3217" t="s">
        <v>1813</v>
      </c>
      <c r="DF3217">
        <v>7.1</v>
      </c>
      <c r="DG3217">
        <v>4.3600000000000003</v>
      </c>
      <c r="DH3217">
        <v>3.97</v>
      </c>
      <c r="DI3217" t="s">
        <v>120</v>
      </c>
      <c r="DJ3217">
        <v>12801</v>
      </c>
      <c r="DK3217">
        <v>601258</v>
      </c>
      <c r="DL3217">
        <v>20210914</v>
      </c>
      <c r="DM3217">
        <v>2.0299999999999998</v>
      </c>
      <c r="DN3217">
        <v>-4.43</v>
      </c>
    </row>
    <row r="3218" spans="1:118">
      <c r="A3218" t="str">
        <f>"601279"</f>
        <v>601279</v>
      </c>
      <c r="B3218" t="s">
        <v>13878</v>
      </c>
      <c r="C3218">
        <v>-1.17</v>
      </c>
      <c r="D3218">
        <v>0</v>
      </c>
      <c r="E3218">
        <v>-0.39</v>
      </c>
      <c r="F3218">
        <v>834</v>
      </c>
      <c r="G3218" t="s">
        <v>13879</v>
      </c>
      <c r="H3218">
        <v>3961.52</v>
      </c>
      <c r="I3218">
        <v>9.19</v>
      </c>
      <c r="J3218" t="s">
        <v>120</v>
      </c>
      <c r="K3218" t="s">
        <v>13879</v>
      </c>
      <c r="L3218">
        <v>3.46</v>
      </c>
      <c r="M3218">
        <v>7.6</v>
      </c>
      <c r="N3218">
        <v>0.89</v>
      </c>
      <c r="O3218">
        <v>0.78</v>
      </c>
      <c r="P3218">
        <v>7.75</v>
      </c>
      <c r="Q3218">
        <v>-1.17</v>
      </c>
      <c r="R3218">
        <v>7.6</v>
      </c>
      <c r="S3218">
        <v>7.66</v>
      </c>
      <c r="T3218">
        <v>51675</v>
      </c>
      <c r="U3218">
        <v>7.61</v>
      </c>
      <c r="V3218">
        <v>7.69</v>
      </c>
      <c r="W3218">
        <v>120.65</v>
      </c>
      <c r="X3218" t="s">
        <v>289</v>
      </c>
      <c r="Y3218" t="s">
        <v>290</v>
      </c>
      <c r="Z3218">
        <v>1.95</v>
      </c>
      <c r="AA3218">
        <v>7.67</v>
      </c>
      <c r="AB3218">
        <v>32508</v>
      </c>
      <c r="AC3218">
        <v>19167</v>
      </c>
      <c r="AD3218">
        <v>1.7</v>
      </c>
      <c r="AE3218">
        <v>1479</v>
      </c>
      <c r="AF3218">
        <v>380</v>
      </c>
      <c r="AG3218" t="s">
        <v>120</v>
      </c>
      <c r="AH3218">
        <v>0.01</v>
      </c>
      <c r="AI3218" t="s">
        <v>120</v>
      </c>
      <c r="AJ3218">
        <v>1.49</v>
      </c>
      <c r="AK3218" t="s">
        <v>13880</v>
      </c>
      <c r="AL3218">
        <v>0.17</v>
      </c>
      <c r="AM3218">
        <v>1886</v>
      </c>
      <c r="AN3218">
        <v>27</v>
      </c>
      <c r="AO3218">
        <v>1.8E-3</v>
      </c>
      <c r="AP3218">
        <v>-7</v>
      </c>
      <c r="AQ3218">
        <v>-1.1599999999999999</v>
      </c>
      <c r="AR3218">
        <v>-3.43</v>
      </c>
      <c r="AS3218">
        <v>-4.88</v>
      </c>
      <c r="AT3218">
        <v>-37.549999999999997</v>
      </c>
      <c r="AU3218">
        <v>267.14999999999998</v>
      </c>
      <c r="AV3218">
        <v>7</v>
      </c>
      <c r="AW3218">
        <v>3.46</v>
      </c>
      <c r="AX3218">
        <v>10</v>
      </c>
      <c r="AY3218">
        <v>61.5</v>
      </c>
      <c r="AZ3218">
        <v>69.55</v>
      </c>
      <c r="BA3218">
        <v>1.3</v>
      </c>
      <c r="BB3218" t="s">
        <v>134</v>
      </c>
      <c r="BF3218">
        <v>-0.31</v>
      </c>
      <c r="BG3218">
        <v>-0.78</v>
      </c>
      <c r="BH3218">
        <v>-1.94</v>
      </c>
      <c r="BI3218">
        <v>0</v>
      </c>
      <c r="BJ3218">
        <v>20210910</v>
      </c>
      <c r="BK3218">
        <v>20210415</v>
      </c>
      <c r="BL3218">
        <v>14.94</v>
      </c>
      <c r="BM3218" t="s">
        <v>120</v>
      </c>
      <c r="BN3218" t="s">
        <v>120</v>
      </c>
      <c r="BO3218">
        <v>68.38</v>
      </c>
      <c r="BP3218">
        <v>7.6</v>
      </c>
      <c r="BQ3218">
        <v>35.43</v>
      </c>
      <c r="BR3218">
        <v>4.3600000000000003</v>
      </c>
      <c r="BS3218">
        <v>41.81</v>
      </c>
      <c r="BT3218">
        <v>33.64</v>
      </c>
      <c r="BU3218">
        <v>20.81</v>
      </c>
      <c r="BV3218">
        <v>3.43</v>
      </c>
      <c r="BW3218">
        <v>22.91</v>
      </c>
      <c r="BX3218">
        <v>9.7799999999999994</v>
      </c>
      <c r="BY3218">
        <v>10.92</v>
      </c>
      <c r="BZ3218">
        <v>6.6</v>
      </c>
      <c r="CA3218" t="s">
        <v>120</v>
      </c>
      <c r="CB3218">
        <v>7.63</v>
      </c>
      <c r="CC3218">
        <v>22.45</v>
      </c>
      <c r="CD3218">
        <v>19.22</v>
      </c>
      <c r="CE3218">
        <v>0.86</v>
      </c>
      <c r="CF3218">
        <v>0.1</v>
      </c>
      <c r="CG3218">
        <v>0.86</v>
      </c>
      <c r="CH3218">
        <v>0.69</v>
      </c>
      <c r="CI3218">
        <v>0.47</v>
      </c>
      <c r="CJ3218">
        <v>-0.09</v>
      </c>
      <c r="CK3218">
        <v>0.35</v>
      </c>
      <c r="CL3218">
        <v>12.56</v>
      </c>
      <c r="CM3218">
        <v>2.96</v>
      </c>
      <c r="CN3218">
        <v>-1.28</v>
      </c>
      <c r="CO3218">
        <v>66136</v>
      </c>
      <c r="CP3218">
        <v>2259</v>
      </c>
      <c r="CQ3218" t="s">
        <v>905</v>
      </c>
      <c r="CR3218">
        <v>85.09</v>
      </c>
      <c r="CS3218">
        <v>10.5</v>
      </c>
      <c r="CT3218">
        <v>3.2</v>
      </c>
      <c r="CU3218">
        <v>38.4</v>
      </c>
      <c r="CV3218">
        <v>5.0599999999999996</v>
      </c>
      <c r="CW3218">
        <v>0</v>
      </c>
      <c r="CX3218" t="s">
        <v>2074</v>
      </c>
      <c r="CY3218">
        <v>2.37</v>
      </c>
      <c r="CZ3218">
        <v>0</v>
      </c>
      <c r="DA3218">
        <v>0.51</v>
      </c>
      <c r="DB3218">
        <v>0.84</v>
      </c>
      <c r="DC3218">
        <v>0.2</v>
      </c>
      <c r="DD3218">
        <v>51.82</v>
      </c>
      <c r="DE3218" t="s">
        <v>8227</v>
      </c>
      <c r="DF3218">
        <v>14.39</v>
      </c>
      <c r="DG3218">
        <v>3.81</v>
      </c>
      <c r="DH3218">
        <v>2.1</v>
      </c>
      <c r="DI3218">
        <v>0.89</v>
      </c>
      <c r="DJ3218">
        <v>4470</v>
      </c>
      <c r="DK3218">
        <v>601279</v>
      </c>
      <c r="DL3218" t="s">
        <v>120</v>
      </c>
      <c r="DM3218" t="s">
        <v>120</v>
      </c>
      <c r="DN3218" t="s">
        <v>120</v>
      </c>
    </row>
    <row r="3219" spans="1:118">
      <c r="A3219" t="str">
        <f>"601288"</f>
        <v>601288</v>
      </c>
      <c r="B3219" t="s">
        <v>13881</v>
      </c>
      <c r="C3219">
        <v>-0.34</v>
      </c>
      <c r="D3219">
        <v>-0.33</v>
      </c>
      <c r="E3219">
        <v>0</v>
      </c>
      <c r="F3219">
        <v>173071</v>
      </c>
      <c r="G3219" t="s">
        <v>13882</v>
      </c>
      <c r="H3219">
        <v>78511.87</v>
      </c>
      <c r="I3219">
        <v>959.71</v>
      </c>
      <c r="J3219" t="s">
        <v>120</v>
      </c>
      <c r="K3219" t="s">
        <v>13883</v>
      </c>
      <c r="L3219">
        <v>0.09</v>
      </c>
      <c r="M3219">
        <v>2.97</v>
      </c>
      <c r="N3219">
        <v>1.08</v>
      </c>
      <c r="O3219">
        <v>0.67</v>
      </c>
      <c r="P3219">
        <v>3</v>
      </c>
      <c r="Q3219">
        <v>-0.34</v>
      </c>
      <c r="R3219">
        <v>2.97</v>
      </c>
      <c r="S3219">
        <v>2.98</v>
      </c>
      <c r="T3219">
        <v>2632774</v>
      </c>
      <c r="U3219">
        <v>2.98</v>
      </c>
      <c r="V3219">
        <v>2.98</v>
      </c>
      <c r="W3219">
        <v>4.25</v>
      </c>
      <c r="X3219" t="s">
        <v>122</v>
      </c>
      <c r="Y3219" t="s">
        <v>158</v>
      </c>
      <c r="Z3219">
        <v>1.01</v>
      </c>
      <c r="AA3219">
        <v>2.98</v>
      </c>
      <c r="AB3219">
        <v>1189805</v>
      </c>
      <c r="AC3219">
        <v>1442969</v>
      </c>
      <c r="AD3219">
        <v>0.82</v>
      </c>
      <c r="AE3219">
        <v>109151</v>
      </c>
      <c r="AF3219">
        <v>2922</v>
      </c>
      <c r="AG3219" t="s">
        <v>120</v>
      </c>
      <c r="AH3219">
        <v>0.01</v>
      </c>
      <c r="AI3219" t="s">
        <v>120</v>
      </c>
      <c r="AJ3219">
        <v>2992.85</v>
      </c>
      <c r="AK3219" t="s">
        <v>13884</v>
      </c>
      <c r="AL3219">
        <v>1.01</v>
      </c>
      <c r="AM3219">
        <v>4347</v>
      </c>
      <c r="AN3219">
        <v>606</v>
      </c>
      <c r="AO3219">
        <v>0</v>
      </c>
      <c r="AP3219">
        <v>-4</v>
      </c>
      <c r="AQ3219">
        <v>-0.33</v>
      </c>
      <c r="AR3219">
        <v>-1.98</v>
      </c>
      <c r="AS3219">
        <v>1.02</v>
      </c>
      <c r="AT3219">
        <v>-2.94</v>
      </c>
      <c r="AU3219">
        <v>0.51</v>
      </c>
      <c r="AV3219">
        <v>0</v>
      </c>
      <c r="AW3219">
        <v>0.82</v>
      </c>
      <c r="AX3219">
        <v>10.06</v>
      </c>
      <c r="AY3219">
        <v>4.55</v>
      </c>
      <c r="AZ3219">
        <v>4.83</v>
      </c>
      <c r="BA3219">
        <v>0.18</v>
      </c>
      <c r="BB3219" t="s">
        <v>4676</v>
      </c>
      <c r="BF3219">
        <v>7.0000000000000007E-2</v>
      </c>
      <c r="BG3219">
        <v>-0.34</v>
      </c>
      <c r="BH3219">
        <v>-1</v>
      </c>
      <c r="BI3219">
        <v>0</v>
      </c>
      <c r="BJ3219">
        <v>20210913</v>
      </c>
      <c r="BK3219">
        <v>20100715</v>
      </c>
      <c r="BL3219">
        <v>3499.83</v>
      </c>
      <c r="BM3219" t="s">
        <v>120</v>
      </c>
      <c r="BN3219">
        <v>307.39</v>
      </c>
      <c r="BO3219">
        <v>286523.63</v>
      </c>
      <c r="BP3219">
        <v>2.97</v>
      </c>
      <c r="BQ3219">
        <v>22558.45</v>
      </c>
      <c r="BR3219" t="s">
        <v>120</v>
      </c>
      <c r="BS3219">
        <v>92.13</v>
      </c>
      <c r="BT3219">
        <v>0</v>
      </c>
      <c r="BU3219">
        <v>1412.38</v>
      </c>
      <c r="BV3219">
        <v>235.75</v>
      </c>
      <c r="BW3219">
        <v>0</v>
      </c>
      <c r="BX3219">
        <v>27695.77</v>
      </c>
      <c r="BY3219">
        <v>0</v>
      </c>
      <c r="BZ3219">
        <v>0</v>
      </c>
      <c r="CA3219" t="s">
        <v>120</v>
      </c>
      <c r="CB3219">
        <v>1735.56</v>
      </c>
      <c r="CC3219">
        <v>3655.37</v>
      </c>
      <c r="CD3219">
        <v>0</v>
      </c>
      <c r="CE3219">
        <v>1532.05</v>
      </c>
      <c r="CF3219">
        <v>110.09</v>
      </c>
      <c r="CG3219">
        <v>1535.38</v>
      </c>
      <c r="CH3219">
        <v>1228.33</v>
      </c>
      <c r="CI3219">
        <v>1222.78</v>
      </c>
      <c r="CJ3219">
        <v>-0.01</v>
      </c>
      <c r="CK3219">
        <v>1219.83</v>
      </c>
      <c r="CL3219">
        <v>8404.0400000000009</v>
      </c>
      <c r="CM3219">
        <v>1611.65</v>
      </c>
      <c r="CN3219">
        <v>40.46</v>
      </c>
      <c r="CO3219">
        <v>446112</v>
      </c>
      <c r="CP3219">
        <v>72001</v>
      </c>
      <c r="CQ3219" t="s">
        <v>13885</v>
      </c>
      <c r="CR3219">
        <v>12.35</v>
      </c>
      <c r="CS3219">
        <v>7.77</v>
      </c>
      <c r="CT3219">
        <v>0.54</v>
      </c>
      <c r="CU3219">
        <v>6.45</v>
      </c>
      <c r="CV3219">
        <v>2.84</v>
      </c>
      <c r="CW3219">
        <v>6.21</v>
      </c>
      <c r="CX3219" t="s">
        <v>1574</v>
      </c>
      <c r="CY3219">
        <v>5.53</v>
      </c>
      <c r="CZ3219">
        <v>5.53</v>
      </c>
      <c r="DA3219">
        <v>0.5</v>
      </c>
      <c r="DB3219">
        <v>2.4</v>
      </c>
      <c r="DC3219">
        <v>0.46</v>
      </c>
      <c r="DD3219">
        <v>7.87</v>
      </c>
      <c r="DE3219" t="s">
        <v>13886</v>
      </c>
      <c r="DF3219" t="s">
        <v>120</v>
      </c>
      <c r="DG3219">
        <v>41.91</v>
      </c>
      <c r="DH3219">
        <v>33.450000000000003</v>
      </c>
      <c r="DI3219" t="s">
        <v>120</v>
      </c>
      <c r="DJ3219">
        <v>454081</v>
      </c>
      <c r="DK3219">
        <v>601288</v>
      </c>
      <c r="DL3219" t="s">
        <v>120</v>
      </c>
      <c r="DM3219" t="s">
        <v>120</v>
      </c>
      <c r="DN3219" t="s">
        <v>120</v>
      </c>
    </row>
    <row r="3220" spans="1:118">
      <c r="A3220" t="str">
        <f>"601298"</f>
        <v>601298</v>
      </c>
      <c r="B3220" t="s">
        <v>13887</v>
      </c>
      <c r="C3220">
        <v>0</v>
      </c>
      <c r="D3220">
        <v>1.71</v>
      </c>
      <c r="E3220">
        <v>0.84</v>
      </c>
      <c r="F3220">
        <v>8055</v>
      </c>
      <c r="G3220" t="s">
        <v>11885</v>
      </c>
      <c r="H3220">
        <v>6240.18</v>
      </c>
      <c r="I3220">
        <v>29.23</v>
      </c>
      <c r="J3220" t="s">
        <v>120</v>
      </c>
      <c r="K3220" t="s">
        <v>13888</v>
      </c>
      <c r="L3220">
        <v>0.56999999999999995</v>
      </c>
      <c r="M3220">
        <v>5.94</v>
      </c>
      <c r="N3220">
        <v>0.67</v>
      </c>
      <c r="O3220">
        <v>1.01</v>
      </c>
      <c r="P3220">
        <v>6</v>
      </c>
      <c r="Q3220">
        <v>-2.19</v>
      </c>
      <c r="R3220">
        <v>5.81</v>
      </c>
      <c r="S3220">
        <v>5.99</v>
      </c>
      <c r="T3220">
        <v>105707</v>
      </c>
      <c r="U3220">
        <v>5.94</v>
      </c>
      <c r="V3220">
        <v>5.94</v>
      </c>
      <c r="W3220">
        <v>8.9</v>
      </c>
      <c r="X3220" t="s">
        <v>511</v>
      </c>
      <c r="Y3220" t="s">
        <v>638</v>
      </c>
      <c r="Z3220">
        <v>3.2</v>
      </c>
      <c r="AA3220">
        <v>5.9</v>
      </c>
      <c r="AB3220">
        <v>64146</v>
      </c>
      <c r="AC3220">
        <v>41561</v>
      </c>
      <c r="AD3220">
        <v>1.54</v>
      </c>
      <c r="AE3220">
        <v>13</v>
      </c>
      <c r="AF3220">
        <v>1931</v>
      </c>
      <c r="AG3220" t="s">
        <v>120</v>
      </c>
      <c r="AH3220">
        <v>0.01</v>
      </c>
      <c r="AI3220" t="s">
        <v>120</v>
      </c>
      <c r="AJ3220">
        <v>18.7</v>
      </c>
      <c r="AK3220" t="s">
        <v>13889</v>
      </c>
      <c r="AL3220">
        <v>1.34</v>
      </c>
      <c r="AM3220">
        <v>2377</v>
      </c>
      <c r="AN3220">
        <v>44</v>
      </c>
      <c r="AO3220">
        <v>2.0000000000000001E-4</v>
      </c>
      <c r="AP3220">
        <v>0</v>
      </c>
      <c r="AQ3220">
        <v>-0.67</v>
      </c>
      <c r="AR3220">
        <v>-2.79</v>
      </c>
      <c r="AS3220">
        <v>6.68</v>
      </c>
      <c r="AT3220">
        <v>0.72</v>
      </c>
      <c r="AU3220">
        <v>-3.69</v>
      </c>
      <c r="AV3220">
        <v>0</v>
      </c>
      <c r="AW3220">
        <v>1.6</v>
      </c>
      <c r="AX3220">
        <v>12.28</v>
      </c>
      <c r="AY3220">
        <v>9.65</v>
      </c>
      <c r="AZ3220">
        <v>10.039999999999999</v>
      </c>
      <c r="BA3220">
        <v>0.63</v>
      </c>
      <c r="BB3220" t="s">
        <v>143</v>
      </c>
      <c r="BF3220">
        <v>-0.62</v>
      </c>
      <c r="BG3220">
        <v>-0.83</v>
      </c>
      <c r="BH3220">
        <v>-1</v>
      </c>
      <c r="BI3220">
        <v>2.2400000000000002</v>
      </c>
      <c r="BJ3220">
        <v>20210827</v>
      </c>
      <c r="BK3220">
        <v>20190121</v>
      </c>
      <c r="BL3220">
        <v>64.91</v>
      </c>
      <c r="BM3220" t="s">
        <v>120</v>
      </c>
      <c r="BN3220">
        <v>10.99</v>
      </c>
      <c r="BO3220">
        <v>571.53</v>
      </c>
      <c r="BP3220">
        <v>5.93</v>
      </c>
      <c r="BQ3220">
        <v>334.36</v>
      </c>
      <c r="BR3220">
        <v>40.049999999999997</v>
      </c>
      <c r="BS3220">
        <v>34.49</v>
      </c>
      <c r="BT3220">
        <v>182.96</v>
      </c>
      <c r="BU3220">
        <v>159.07</v>
      </c>
      <c r="BV3220">
        <v>29.15</v>
      </c>
      <c r="BW3220">
        <v>143.13999999999999</v>
      </c>
      <c r="BX3220">
        <v>66.58</v>
      </c>
      <c r="BY3220">
        <v>0.79</v>
      </c>
      <c r="BZ3220">
        <v>28.18</v>
      </c>
      <c r="CA3220">
        <v>0.55000000000000004</v>
      </c>
      <c r="CB3220">
        <v>122.88</v>
      </c>
      <c r="CC3220">
        <v>79.33</v>
      </c>
      <c r="CD3220">
        <v>51.19</v>
      </c>
      <c r="CE3220">
        <v>31.61</v>
      </c>
      <c r="CF3220">
        <v>7.14</v>
      </c>
      <c r="CG3220">
        <v>31.62</v>
      </c>
      <c r="CH3220">
        <v>25.26</v>
      </c>
      <c r="CI3220">
        <v>21.66</v>
      </c>
      <c r="CJ3220">
        <v>0</v>
      </c>
      <c r="CK3220">
        <v>20.9</v>
      </c>
      <c r="CL3220">
        <v>123.31</v>
      </c>
      <c r="CM3220">
        <v>4.68</v>
      </c>
      <c r="CN3220">
        <v>-15.83</v>
      </c>
      <c r="CO3220">
        <v>60454</v>
      </c>
      <c r="CP3220">
        <v>10957</v>
      </c>
      <c r="CQ3220" t="s">
        <v>3772</v>
      </c>
      <c r="CR3220">
        <v>7.61</v>
      </c>
      <c r="CS3220">
        <v>30.65</v>
      </c>
      <c r="CT3220">
        <v>1.1499999999999999</v>
      </c>
      <c r="CU3220">
        <v>82.35</v>
      </c>
      <c r="CV3220">
        <v>4.8600000000000003</v>
      </c>
      <c r="CW3220">
        <v>4.41</v>
      </c>
      <c r="CX3220" t="s">
        <v>2443</v>
      </c>
      <c r="CY3220">
        <v>5.15</v>
      </c>
      <c r="CZ3220">
        <v>0</v>
      </c>
      <c r="DA3220">
        <v>1.89</v>
      </c>
      <c r="DB3220">
        <v>1.9</v>
      </c>
      <c r="DC3220">
        <v>7.0000000000000007E-2</v>
      </c>
      <c r="DD3220">
        <v>58.5</v>
      </c>
      <c r="DE3220" t="s">
        <v>2052</v>
      </c>
      <c r="DF3220">
        <v>35.47</v>
      </c>
      <c r="DG3220">
        <v>39.85</v>
      </c>
      <c r="DH3220">
        <v>27.3</v>
      </c>
      <c r="DI3220">
        <v>0.12</v>
      </c>
      <c r="DJ3220">
        <v>8981</v>
      </c>
      <c r="DK3220">
        <v>601298</v>
      </c>
      <c r="DL3220" t="s">
        <v>120</v>
      </c>
      <c r="DM3220" t="s">
        <v>120</v>
      </c>
      <c r="DN3220" t="s">
        <v>120</v>
      </c>
    </row>
    <row r="3221" spans="1:118">
      <c r="A3221" t="str">
        <f>"601311"</f>
        <v>601311</v>
      </c>
      <c r="B3221" t="s">
        <v>13890</v>
      </c>
      <c r="C3221">
        <v>-5.84</v>
      </c>
      <c r="D3221">
        <v>0</v>
      </c>
      <c r="E3221">
        <v>-0.43</v>
      </c>
      <c r="F3221">
        <v>3550</v>
      </c>
      <c r="G3221" t="s">
        <v>13891</v>
      </c>
      <c r="H3221">
        <v>58929.22</v>
      </c>
      <c r="I3221">
        <v>100.03</v>
      </c>
      <c r="J3221" t="s">
        <v>120</v>
      </c>
      <c r="K3221" t="s">
        <v>13892</v>
      </c>
      <c r="L3221">
        <v>3.7</v>
      </c>
      <c r="M3221">
        <v>13.21</v>
      </c>
      <c r="N3221">
        <v>1.52</v>
      </c>
      <c r="O3221">
        <v>1.21</v>
      </c>
      <c r="P3221">
        <v>14.2</v>
      </c>
      <c r="Q3221">
        <v>-5.92</v>
      </c>
      <c r="R3221">
        <v>13.2</v>
      </c>
      <c r="S3221">
        <v>13.97</v>
      </c>
      <c r="T3221">
        <v>433919</v>
      </c>
      <c r="U3221">
        <v>13.22</v>
      </c>
      <c r="V3221">
        <v>14.03</v>
      </c>
      <c r="W3221">
        <v>15.33</v>
      </c>
      <c r="X3221" t="s">
        <v>394</v>
      </c>
      <c r="Y3221" t="s">
        <v>763</v>
      </c>
      <c r="Z3221">
        <v>7.13</v>
      </c>
      <c r="AA3221">
        <v>13.58</v>
      </c>
      <c r="AB3221">
        <v>258891</v>
      </c>
      <c r="AC3221">
        <v>175028</v>
      </c>
      <c r="AD3221">
        <v>1.48</v>
      </c>
      <c r="AE3221">
        <v>491</v>
      </c>
      <c r="AF3221">
        <v>270</v>
      </c>
      <c r="AG3221" t="s">
        <v>120</v>
      </c>
      <c r="AH3221">
        <v>0.01</v>
      </c>
      <c r="AI3221" t="s">
        <v>120</v>
      </c>
      <c r="AJ3221">
        <v>11.73</v>
      </c>
      <c r="AK3221" t="s">
        <v>13892</v>
      </c>
      <c r="AL3221">
        <v>-4.5</v>
      </c>
      <c r="AM3221">
        <v>4391</v>
      </c>
      <c r="AN3221">
        <v>99</v>
      </c>
      <c r="AO3221">
        <v>8.0000000000000004E-4</v>
      </c>
      <c r="AP3221">
        <v>-2</v>
      </c>
      <c r="AQ3221">
        <v>-0.85</v>
      </c>
      <c r="AR3221">
        <v>-4.96</v>
      </c>
      <c r="AS3221">
        <v>2.0099999999999998</v>
      </c>
      <c r="AT3221">
        <v>19.329999999999998</v>
      </c>
      <c r="AU3221">
        <v>44.37</v>
      </c>
      <c r="AV3221">
        <v>2</v>
      </c>
      <c r="AW3221">
        <v>6.36</v>
      </c>
      <c r="AX3221">
        <v>58.15</v>
      </c>
      <c r="AY3221">
        <v>16.670000000000002</v>
      </c>
      <c r="AZ3221">
        <v>22.67</v>
      </c>
      <c r="BA3221">
        <v>0.74</v>
      </c>
      <c r="BB3221" t="s">
        <v>143</v>
      </c>
      <c r="BF3221">
        <v>-3.2</v>
      </c>
      <c r="BG3221">
        <v>-5.44</v>
      </c>
      <c r="BH3221">
        <v>-6.97</v>
      </c>
      <c r="BI3221">
        <v>0.08</v>
      </c>
      <c r="BJ3221">
        <v>20210904</v>
      </c>
      <c r="BK3221">
        <v>20110602</v>
      </c>
      <c r="BL3221">
        <v>11.73</v>
      </c>
      <c r="BM3221" t="s">
        <v>120</v>
      </c>
      <c r="BN3221" t="s">
        <v>120</v>
      </c>
      <c r="BO3221">
        <v>129.4</v>
      </c>
      <c r="BP3221">
        <v>13.21</v>
      </c>
      <c r="BQ3221">
        <v>78.989999999999995</v>
      </c>
      <c r="BR3221">
        <v>3.37</v>
      </c>
      <c r="BS3221">
        <v>36.35</v>
      </c>
      <c r="BT3221">
        <v>64.34</v>
      </c>
      <c r="BU3221">
        <v>31.75</v>
      </c>
      <c r="BV3221">
        <v>4.63</v>
      </c>
      <c r="BW3221">
        <v>31.12</v>
      </c>
      <c r="BX3221">
        <v>10.8</v>
      </c>
      <c r="BY3221">
        <v>17.739999999999998</v>
      </c>
      <c r="BZ3221">
        <v>14.97</v>
      </c>
      <c r="CA3221" t="s">
        <v>120</v>
      </c>
      <c r="CB3221">
        <v>12.27</v>
      </c>
      <c r="CC3221">
        <v>62.46</v>
      </c>
      <c r="CD3221">
        <v>50.24</v>
      </c>
      <c r="CE3221">
        <v>6.32</v>
      </c>
      <c r="CF3221">
        <v>0.31</v>
      </c>
      <c r="CG3221">
        <v>6.29</v>
      </c>
      <c r="CH3221">
        <v>5.16</v>
      </c>
      <c r="CI3221">
        <v>5.05</v>
      </c>
      <c r="CJ3221">
        <v>-0.82</v>
      </c>
      <c r="CK3221">
        <v>4.6100000000000003</v>
      </c>
      <c r="CL3221">
        <v>48.42</v>
      </c>
      <c r="CM3221">
        <v>1.5</v>
      </c>
      <c r="CN3221">
        <v>4.09</v>
      </c>
      <c r="CO3221">
        <v>59412</v>
      </c>
      <c r="CP3221">
        <v>11483</v>
      </c>
      <c r="CQ3221" t="s">
        <v>7687</v>
      </c>
      <c r="CR3221">
        <v>106.91</v>
      </c>
      <c r="CS3221">
        <v>53.6</v>
      </c>
      <c r="CT3221">
        <v>1.9</v>
      </c>
      <c r="CU3221">
        <v>103.19</v>
      </c>
      <c r="CV3221">
        <v>2.48</v>
      </c>
      <c r="CW3221">
        <v>1.36</v>
      </c>
      <c r="CX3221" t="s">
        <v>1520</v>
      </c>
      <c r="CY3221">
        <v>6.95</v>
      </c>
      <c r="CZ3221">
        <v>6.95</v>
      </c>
      <c r="DA3221">
        <v>1.05</v>
      </c>
      <c r="DB3221">
        <v>4.13</v>
      </c>
      <c r="DC3221">
        <v>0.13</v>
      </c>
      <c r="DD3221">
        <v>61.05</v>
      </c>
      <c r="DE3221" t="s">
        <v>13893</v>
      </c>
      <c r="DF3221">
        <v>19.559999999999999</v>
      </c>
      <c r="DG3221">
        <v>10.119999999999999</v>
      </c>
      <c r="DH3221">
        <v>8.09</v>
      </c>
      <c r="DI3221">
        <v>0.64</v>
      </c>
      <c r="DJ3221">
        <v>6907</v>
      </c>
      <c r="DK3221">
        <v>601311</v>
      </c>
      <c r="DL3221" t="s">
        <v>120</v>
      </c>
      <c r="DM3221" t="s">
        <v>120</v>
      </c>
      <c r="DN3221" t="s">
        <v>120</v>
      </c>
    </row>
    <row r="3222" spans="1:118">
      <c r="A3222" t="str">
        <f>"601318"</f>
        <v>601318</v>
      </c>
      <c r="B3222" t="s">
        <v>13894</v>
      </c>
      <c r="C3222">
        <v>0.08</v>
      </c>
      <c r="D3222">
        <v>-0.19</v>
      </c>
      <c r="E3222">
        <v>-0.3</v>
      </c>
      <c r="F3222">
        <v>15422</v>
      </c>
      <c r="G3222" t="s">
        <v>13895</v>
      </c>
      <c r="H3222">
        <v>293050.18</v>
      </c>
      <c r="I3222">
        <v>1491.44</v>
      </c>
      <c r="J3222" t="s">
        <v>120</v>
      </c>
      <c r="K3222" t="s">
        <v>13896</v>
      </c>
      <c r="L3222">
        <v>0.55000000000000004</v>
      </c>
      <c r="M3222">
        <v>49.51</v>
      </c>
      <c r="N3222">
        <v>0.74</v>
      </c>
      <c r="O3222">
        <v>1.03</v>
      </c>
      <c r="P3222">
        <v>49.98</v>
      </c>
      <c r="Q3222">
        <v>-0.53</v>
      </c>
      <c r="R3222">
        <v>49.21</v>
      </c>
      <c r="S3222">
        <v>49.32</v>
      </c>
      <c r="T3222">
        <v>591156</v>
      </c>
      <c r="U3222">
        <v>49.53</v>
      </c>
      <c r="V3222">
        <v>49.47</v>
      </c>
      <c r="W3222">
        <v>7.8</v>
      </c>
      <c r="X3222" t="s">
        <v>378</v>
      </c>
      <c r="Y3222" t="s">
        <v>123</v>
      </c>
      <c r="Z3222">
        <v>1.56</v>
      </c>
      <c r="AA3222">
        <v>49.57</v>
      </c>
      <c r="AB3222">
        <v>286704</v>
      </c>
      <c r="AC3222">
        <v>304452</v>
      </c>
      <c r="AD3222">
        <v>0.94</v>
      </c>
      <c r="AE3222">
        <v>364</v>
      </c>
      <c r="AF3222">
        <v>7</v>
      </c>
      <c r="AG3222" t="s">
        <v>120</v>
      </c>
      <c r="AH3222">
        <v>0</v>
      </c>
      <c r="AI3222" t="s">
        <v>120</v>
      </c>
      <c r="AJ3222">
        <v>108.33</v>
      </c>
      <c r="AK3222" t="s">
        <v>13896</v>
      </c>
      <c r="AL3222">
        <v>1.42</v>
      </c>
      <c r="AM3222">
        <v>4736</v>
      </c>
      <c r="AN3222">
        <v>125</v>
      </c>
      <c r="AO3222">
        <v>1E-4</v>
      </c>
      <c r="AP3222">
        <v>1</v>
      </c>
      <c r="AQ3222">
        <v>-0.78</v>
      </c>
      <c r="AR3222">
        <v>-3.14</v>
      </c>
      <c r="AS3222">
        <v>-7.82</v>
      </c>
      <c r="AT3222">
        <v>-24.94</v>
      </c>
      <c r="AU3222">
        <v>-42.14</v>
      </c>
      <c r="AV3222">
        <v>0</v>
      </c>
      <c r="AW3222">
        <v>0.6</v>
      </c>
      <c r="AX3222">
        <v>91.11</v>
      </c>
      <c r="AY3222">
        <v>6.83</v>
      </c>
      <c r="AZ3222">
        <v>6.32</v>
      </c>
      <c r="BA3222">
        <v>1.19</v>
      </c>
      <c r="BB3222" t="s">
        <v>134</v>
      </c>
      <c r="BF3222">
        <v>0.21</v>
      </c>
      <c r="BG3222">
        <v>0.39</v>
      </c>
      <c r="BH3222">
        <v>-0.94</v>
      </c>
      <c r="BI3222">
        <v>0.61</v>
      </c>
      <c r="BJ3222">
        <v>20210910</v>
      </c>
      <c r="BK3222">
        <v>20070301</v>
      </c>
      <c r="BL3222">
        <v>182.8</v>
      </c>
      <c r="BM3222" t="s">
        <v>120</v>
      </c>
      <c r="BN3222">
        <v>74.48</v>
      </c>
      <c r="BO3222">
        <v>98876.69</v>
      </c>
      <c r="BP3222">
        <v>49.51</v>
      </c>
      <c r="BQ3222">
        <v>7918.36</v>
      </c>
      <c r="BR3222">
        <v>2370.7800000000002</v>
      </c>
      <c r="BS3222">
        <v>89.59</v>
      </c>
      <c r="BT3222">
        <v>0</v>
      </c>
      <c r="BU3222">
        <v>410.37</v>
      </c>
      <c r="BV3222">
        <v>291.89999999999998</v>
      </c>
      <c r="BW3222">
        <v>0</v>
      </c>
      <c r="BX3222">
        <v>5513.19</v>
      </c>
      <c r="BY3222">
        <v>0</v>
      </c>
      <c r="BZ3222">
        <v>0</v>
      </c>
      <c r="CA3222" t="s">
        <v>120</v>
      </c>
      <c r="CB3222">
        <v>1297.8699999999999</v>
      </c>
      <c r="CC3222">
        <v>6356.49</v>
      </c>
      <c r="CD3222">
        <v>0</v>
      </c>
      <c r="CE3222">
        <v>788.92</v>
      </c>
      <c r="CF3222">
        <v>474.42</v>
      </c>
      <c r="CG3222">
        <v>788.21</v>
      </c>
      <c r="CH3222">
        <v>679.63</v>
      </c>
      <c r="CI3222">
        <v>580.04999999999995</v>
      </c>
      <c r="CJ3222">
        <v>0.04</v>
      </c>
      <c r="CK3222">
        <v>580.69000000000005</v>
      </c>
      <c r="CL3222">
        <v>5536.23</v>
      </c>
      <c r="CM3222">
        <v>194.66</v>
      </c>
      <c r="CN3222">
        <v>301.08</v>
      </c>
      <c r="CO3222">
        <v>1189398</v>
      </c>
      <c r="CP3222">
        <v>8298</v>
      </c>
      <c r="CQ3222" t="s">
        <v>13897</v>
      </c>
      <c r="CR3222">
        <v>-15.55</v>
      </c>
      <c r="CS3222">
        <v>0.9</v>
      </c>
      <c r="CT3222">
        <v>1.1399999999999999</v>
      </c>
      <c r="CU3222">
        <v>46.49</v>
      </c>
      <c r="CV3222">
        <v>1.42</v>
      </c>
      <c r="CW3222">
        <v>4.5999999999999996</v>
      </c>
      <c r="CX3222" t="s">
        <v>13898</v>
      </c>
      <c r="CY3222">
        <v>43.32</v>
      </c>
      <c r="CZ3222">
        <v>43.32</v>
      </c>
      <c r="DA3222">
        <v>7.1</v>
      </c>
      <c r="DB3222">
        <v>30.29</v>
      </c>
      <c r="DC3222">
        <v>1.06</v>
      </c>
      <c r="DD3222">
        <v>8.01</v>
      </c>
      <c r="DE3222" t="s">
        <v>3490</v>
      </c>
      <c r="DF3222" t="s">
        <v>120</v>
      </c>
      <c r="DG3222">
        <v>12.41</v>
      </c>
      <c r="DH3222">
        <v>9.1300000000000008</v>
      </c>
      <c r="DI3222" t="s">
        <v>120</v>
      </c>
      <c r="DJ3222">
        <v>362035</v>
      </c>
      <c r="DK3222">
        <v>601318</v>
      </c>
      <c r="DL3222" t="s">
        <v>120</v>
      </c>
      <c r="DM3222" t="s">
        <v>120</v>
      </c>
      <c r="DN3222" t="s">
        <v>120</v>
      </c>
    </row>
    <row r="3223" spans="1:118">
      <c r="A3223" t="str">
        <f>"601319"</f>
        <v>601319</v>
      </c>
      <c r="B3223" t="s">
        <v>13899</v>
      </c>
      <c r="C3223">
        <v>-0.39</v>
      </c>
      <c r="D3223">
        <v>-0.18</v>
      </c>
      <c r="E3223">
        <v>0.19</v>
      </c>
      <c r="F3223">
        <v>2957</v>
      </c>
      <c r="G3223" t="s">
        <v>13900</v>
      </c>
      <c r="H3223">
        <v>24393.77</v>
      </c>
      <c r="I3223">
        <v>167.08</v>
      </c>
      <c r="J3223" t="s">
        <v>120</v>
      </c>
      <c r="K3223" t="s">
        <v>13901</v>
      </c>
      <c r="L3223">
        <v>0.84</v>
      </c>
      <c r="M3223">
        <v>5.17</v>
      </c>
      <c r="N3223">
        <v>0.69</v>
      </c>
      <c r="O3223">
        <v>1.1599999999999999</v>
      </c>
      <c r="P3223">
        <v>5.25</v>
      </c>
      <c r="Q3223">
        <v>-0.96</v>
      </c>
      <c r="R3223">
        <v>5.14</v>
      </c>
      <c r="S3223">
        <v>5.2</v>
      </c>
      <c r="T3223">
        <v>469822</v>
      </c>
      <c r="U3223">
        <v>5.17</v>
      </c>
      <c r="V3223">
        <v>5.19</v>
      </c>
      <c r="W3223">
        <v>6.77</v>
      </c>
      <c r="X3223" t="s">
        <v>378</v>
      </c>
      <c r="Y3223" t="s">
        <v>158</v>
      </c>
      <c r="Z3223">
        <v>2.12</v>
      </c>
      <c r="AA3223">
        <v>5.19</v>
      </c>
      <c r="AB3223">
        <v>244722</v>
      </c>
      <c r="AC3223">
        <v>225100</v>
      </c>
      <c r="AD3223">
        <v>1.0900000000000001</v>
      </c>
      <c r="AE3223">
        <v>2456</v>
      </c>
      <c r="AF3223">
        <v>404</v>
      </c>
      <c r="AG3223" t="s">
        <v>120</v>
      </c>
      <c r="AH3223">
        <v>0.01</v>
      </c>
      <c r="AI3223" t="s">
        <v>120</v>
      </c>
      <c r="AJ3223">
        <v>56.02</v>
      </c>
      <c r="AK3223" t="s">
        <v>13902</v>
      </c>
      <c r="AL3223">
        <v>0.96</v>
      </c>
      <c r="AM3223">
        <v>4045</v>
      </c>
      <c r="AN3223">
        <v>116</v>
      </c>
      <c r="AO3223">
        <v>2.0000000000000001E-4</v>
      </c>
      <c r="AP3223">
        <v>-4</v>
      </c>
      <c r="AQ3223">
        <v>-0.19</v>
      </c>
      <c r="AR3223">
        <v>-3</v>
      </c>
      <c r="AS3223">
        <v>0.39</v>
      </c>
      <c r="AT3223">
        <v>-11.16</v>
      </c>
      <c r="AU3223">
        <v>-19.84</v>
      </c>
      <c r="AV3223">
        <v>0</v>
      </c>
      <c r="AW3223">
        <v>2.06</v>
      </c>
      <c r="AX3223">
        <v>6.42</v>
      </c>
      <c r="AY3223">
        <v>9.43</v>
      </c>
      <c r="AZ3223">
        <v>11.44</v>
      </c>
      <c r="BA3223">
        <v>0.94</v>
      </c>
      <c r="BB3223" t="s">
        <v>143</v>
      </c>
      <c r="BF3223">
        <v>0.04</v>
      </c>
      <c r="BG3223">
        <v>-0.57999999999999996</v>
      </c>
      <c r="BH3223">
        <v>-1.52</v>
      </c>
      <c r="BI3223">
        <v>0.57999999999999996</v>
      </c>
      <c r="BJ3223">
        <v>20210823</v>
      </c>
      <c r="BK3223">
        <v>20181116</v>
      </c>
      <c r="BL3223">
        <v>442.24</v>
      </c>
      <c r="BM3223" t="s">
        <v>120</v>
      </c>
      <c r="BN3223">
        <v>87.26</v>
      </c>
      <c r="BO3223">
        <v>13411.83</v>
      </c>
      <c r="BP3223">
        <v>5.16</v>
      </c>
      <c r="BQ3223">
        <v>2117.46</v>
      </c>
      <c r="BR3223">
        <v>743.23</v>
      </c>
      <c r="BS3223">
        <v>78.67</v>
      </c>
      <c r="BT3223">
        <v>0</v>
      </c>
      <c r="BU3223">
        <v>327.33999999999997</v>
      </c>
      <c r="BV3223">
        <v>77.540000000000006</v>
      </c>
      <c r="BW3223">
        <v>0</v>
      </c>
      <c r="BX3223">
        <v>223.21</v>
      </c>
      <c r="BY3223">
        <v>0</v>
      </c>
      <c r="BZ3223">
        <v>0</v>
      </c>
      <c r="CA3223" t="s">
        <v>120</v>
      </c>
      <c r="CB3223">
        <v>76.03</v>
      </c>
      <c r="CC3223">
        <v>3137.25</v>
      </c>
      <c r="CD3223">
        <v>0</v>
      </c>
      <c r="CE3223">
        <v>276.60000000000002</v>
      </c>
      <c r="CF3223">
        <v>358.95</v>
      </c>
      <c r="CG3223">
        <v>277.27</v>
      </c>
      <c r="CH3223">
        <v>232.81</v>
      </c>
      <c r="CI3223">
        <v>168.84</v>
      </c>
      <c r="CJ3223">
        <v>-0.02</v>
      </c>
      <c r="CK3223">
        <v>167.2</v>
      </c>
      <c r="CL3223">
        <v>1166.31</v>
      </c>
      <c r="CM3223">
        <v>483.55</v>
      </c>
      <c r="CN3223">
        <v>-284.60000000000002</v>
      </c>
      <c r="CO3223">
        <v>247593</v>
      </c>
      <c r="CP3223">
        <v>9200</v>
      </c>
      <c r="CQ3223" t="s">
        <v>5747</v>
      </c>
      <c r="CR3223">
        <v>33.979999999999997</v>
      </c>
      <c r="CS3223">
        <v>1.1100000000000001</v>
      </c>
      <c r="CT3223">
        <v>1.08</v>
      </c>
      <c r="CU3223">
        <v>4.7300000000000004</v>
      </c>
      <c r="CV3223">
        <v>0.73</v>
      </c>
      <c r="CW3223">
        <v>2.64</v>
      </c>
      <c r="CX3223" t="s">
        <v>2429</v>
      </c>
      <c r="CY3223">
        <v>4.79</v>
      </c>
      <c r="CZ3223">
        <v>4.79</v>
      </c>
      <c r="DA3223">
        <v>0.17</v>
      </c>
      <c r="DB3223">
        <v>2.64</v>
      </c>
      <c r="DC3223">
        <v>1.0900000000000001</v>
      </c>
      <c r="DD3223">
        <v>15.79</v>
      </c>
      <c r="DE3223" t="s">
        <v>9267</v>
      </c>
      <c r="DF3223" t="s">
        <v>120</v>
      </c>
      <c r="DG3223">
        <v>8.82</v>
      </c>
      <c r="DH3223">
        <v>5.38</v>
      </c>
      <c r="DI3223" t="s">
        <v>120</v>
      </c>
      <c r="DJ3223">
        <v>193494</v>
      </c>
      <c r="DK3223">
        <v>601319</v>
      </c>
      <c r="DL3223" t="s">
        <v>120</v>
      </c>
      <c r="DM3223" t="s">
        <v>120</v>
      </c>
      <c r="DN3223" t="s">
        <v>120</v>
      </c>
    </row>
    <row r="3224" spans="1:118">
      <c r="A3224" t="str">
        <f>"601326"</f>
        <v>601326</v>
      </c>
      <c r="B3224" t="s">
        <v>13903</v>
      </c>
      <c r="C3224">
        <v>0.35</v>
      </c>
      <c r="D3224">
        <v>-0.34</v>
      </c>
      <c r="E3224">
        <v>0.35</v>
      </c>
      <c r="F3224">
        <v>9702</v>
      </c>
      <c r="G3224" t="s">
        <v>13904</v>
      </c>
      <c r="H3224">
        <v>6670.74</v>
      </c>
      <c r="I3224">
        <v>36.770000000000003</v>
      </c>
      <c r="J3224" t="s">
        <v>120</v>
      </c>
      <c r="K3224" t="s">
        <v>13905</v>
      </c>
      <c r="L3224">
        <v>0.49</v>
      </c>
      <c r="M3224">
        <v>2.85</v>
      </c>
      <c r="N3224">
        <v>0.74</v>
      </c>
      <c r="O3224">
        <v>3.52</v>
      </c>
      <c r="P3224">
        <v>2.94</v>
      </c>
      <c r="Q3224">
        <v>-0.35</v>
      </c>
      <c r="R3224">
        <v>2.83</v>
      </c>
      <c r="S3224">
        <v>2.85</v>
      </c>
      <c r="T3224">
        <v>231190</v>
      </c>
      <c r="U3224">
        <v>2.86</v>
      </c>
      <c r="V3224">
        <v>2.84</v>
      </c>
      <c r="W3224">
        <v>11.39</v>
      </c>
      <c r="X3224" t="s">
        <v>511</v>
      </c>
      <c r="Y3224" t="s">
        <v>602</v>
      </c>
      <c r="Z3224">
        <v>3.87</v>
      </c>
      <c r="AA3224">
        <v>2.89</v>
      </c>
      <c r="AB3224">
        <v>130731</v>
      </c>
      <c r="AC3224">
        <v>100459</v>
      </c>
      <c r="AD3224">
        <v>1.3</v>
      </c>
      <c r="AE3224">
        <v>833</v>
      </c>
      <c r="AF3224">
        <v>392</v>
      </c>
      <c r="AG3224" t="s">
        <v>120</v>
      </c>
      <c r="AH3224">
        <v>0.01</v>
      </c>
      <c r="AI3224" t="s">
        <v>120</v>
      </c>
      <c r="AJ3224">
        <v>47.58</v>
      </c>
      <c r="AK3224" t="s">
        <v>13905</v>
      </c>
      <c r="AL3224">
        <v>1.7</v>
      </c>
      <c r="AM3224">
        <v>2118</v>
      </c>
      <c r="AN3224">
        <v>109</v>
      </c>
      <c r="AO3224">
        <v>2.0000000000000001E-4</v>
      </c>
      <c r="AP3224">
        <v>2</v>
      </c>
      <c r="AQ3224">
        <v>1.79</v>
      </c>
      <c r="AR3224">
        <v>-1.05</v>
      </c>
      <c r="AS3224">
        <v>13.1</v>
      </c>
      <c r="AT3224">
        <v>8.1199999999999992</v>
      </c>
      <c r="AU3224">
        <v>3.41</v>
      </c>
      <c r="AV3224">
        <v>0</v>
      </c>
      <c r="AW3224">
        <v>2.09</v>
      </c>
      <c r="AX3224">
        <v>23.2</v>
      </c>
      <c r="AY3224">
        <v>14.19</v>
      </c>
      <c r="AZ3224">
        <v>15.95</v>
      </c>
      <c r="BA3224">
        <v>0.53</v>
      </c>
      <c r="BB3224" t="s">
        <v>341</v>
      </c>
      <c r="BF3224">
        <v>1.6</v>
      </c>
      <c r="BG3224">
        <v>0</v>
      </c>
      <c r="BH3224">
        <v>-3.06</v>
      </c>
      <c r="BI3224">
        <v>0.71</v>
      </c>
      <c r="BJ3224">
        <v>20210830</v>
      </c>
      <c r="BK3224">
        <v>20170816</v>
      </c>
      <c r="BL3224">
        <v>55.87</v>
      </c>
      <c r="BM3224" t="s">
        <v>120</v>
      </c>
      <c r="BN3224">
        <v>8.3000000000000007</v>
      </c>
      <c r="BO3224">
        <v>273.14</v>
      </c>
      <c r="BP3224">
        <v>2.85</v>
      </c>
      <c r="BQ3224">
        <v>156.47999999999999</v>
      </c>
      <c r="BR3224">
        <v>8.57</v>
      </c>
      <c r="BS3224">
        <v>39.57</v>
      </c>
      <c r="BT3224">
        <v>49.43</v>
      </c>
      <c r="BU3224">
        <v>129.13999999999999</v>
      </c>
      <c r="BV3224">
        <v>30.14</v>
      </c>
      <c r="BW3224">
        <v>41.92</v>
      </c>
      <c r="BX3224">
        <v>43.22</v>
      </c>
      <c r="BY3224">
        <v>1.84</v>
      </c>
      <c r="BZ3224">
        <v>0.7</v>
      </c>
      <c r="CA3224" t="s">
        <v>120</v>
      </c>
      <c r="CB3224">
        <v>52.08</v>
      </c>
      <c r="CC3224">
        <v>32.479999999999997</v>
      </c>
      <c r="CD3224">
        <v>19.66</v>
      </c>
      <c r="CE3224">
        <v>8.4600000000000009</v>
      </c>
      <c r="CF3224">
        <v>1.1000000000000001</v>
      </c>
      <c r="CG3224">
        <v>8.51</v>
      </c>
      <c r="CH3224">
        <v>6.71</v>
      </c>
      <c r="CI3224">
        <v>6.99</v>
      </c>
      <c r="CJ3224">
        <v>0.01</v>
      </c>
      <c r="CK3224">
        <v>6.72</v>
      </c>
      <c r="CL3224">
        <v>29.26</v>
      </c>
      <c r="CM3224">
        <v>12.67</v>
      </c>
      <c r="CN3224">
        <v>-2.1800000000000002</v>
      </c>
      <c r="CO3224">
        <v>67843</v>
      </c>
      <c r="CP3224">
        <v>16267</v>
      </c>
      <c r="CQ3224" t="s">
        <v>13262</v>
      </c>
      <c r="CR3224">
        <v>21.38</v>
      </c>
      <c r="CS3224">
        <v>8.42</v>
      </c>
      <c r="CT3224">
        <v>1.02</v>
      </c>
      <c r="CU3224">
        <v>12.57</v>
      </c>
      <c r="CV3224">
        <v>4.9000000000000004</v>
      </c>
      <c r="CW3224">
        <v>2.25</v>
      </c>
      <c r="CX3224" t="s">
        <v>986</v>
      </c>
      <c r="CY3224">
        <v>2.8</v>
      </c>
      <c r="CZ3224">
        <v>0</v>
      </c>
      <c r="DA3224">
        <v>0.93</v>
      </c>
      <c r="DB3224">
        <v>0.52</v>
      </c>
      <c r="DC3224">
        <v>0.23</v>
      </c>
      <c r="DD3224">
        <v>57.29</v>
      </c>
      <c r="DE3224" t="s">
        <v>2444</v>
      </c>
      <c r="DF3224">
        <v>39.46</v>
      </c>
      <c r="DG3224">
        <v>26.05</v>
      </c>
      <c r="DH3224">
        <v>21.52</v>
      </c>
      <c r="DI3224">
        <v>0.04</v>
      </c>
      <c r="DJ3224">
        <v>11235</v>
      </c>
      <c r="DK3224">
        <v>601326</v>
      </c>
      <c r="DL3224" t="s">
        <v>120</v>
      </c>
      <c r="DM3224" t="s">
        <v>120</v>
      </c>
      <c r="DN3224" t="s">
        <v>120</v>
      </c>
    </row>
    <row r="3225" spans="1:118">
      <c r="A3225" t="str">
        <f>"601328"</f>
        <v>601328</v>
      </c>
      <c r="B3225" t="s">
        <v>13906</v>
      </c>
      <c r="C3225">
        <v>-0.66</v>
      </c>
      <c r="D3225">
        <v>-0.21</v>
      </c>
      <c r="E3225">
        <v>0</v>
      </c>
      <c r="F3225">
        <v>57787</v>
      </c>
      <c r="G3225" t="s">
        <v>13907</v>
      </c>
      <c r="H3225">
        <v>39765.39</v>
      </c>
      <c r="I3225">
        <v>246.07</v>
      </c>
      <c r="J3225" t="s">
        <v>120</v>
      </c>
      <c r="K3225" t="s">
        <v>13908</v>
      </c>
      <c r="L3225">
        <v>0.22</v>
      </c>
      <c r="M3225">
        <v>4.51</v>
      </c>
      <c r="N3225">
        <v>0.73</v>
      </c>
      <c r="O3225">
        <v>0.44</v>
      </c>
      <c r="P3225">
        <v>4.5599999999999996</v>
      </c>
      <c r="Q3225">
        <v>-0.66</v>
      </c>
      <c r="R3225">
        <v>4.51</v>
      </c>
      <c r="S3225">
        <v>4.54</v>
      </c>
      <c r="T3225">
        <v>876647</v>
      </c>
      <c r="U3225">
        <v>4.5199999999999996</v>
      </c>
      <c r="V3225">
        <v>4.54</v>
      </c>
      <c r="W3225">
        <v>3.99</v>
      </c>
      <c r="X3225" t="s">
        <v>122</v>
      </c>
      <c r="Y3225" t="s">
        <v>1510</v>
      </c>
      <c r="Z3225">
        <v>1.1000000000000001</v>
      </c>
      <c r="AA3225">
        <v>4.54</v>
      </c>
      <c r="AB3225">
        <v>395192</v>
      </c>
      <c r="AC3225">
        <v>481455</v>
      </c>
      <c r="AD3225">
        <v>0.82</v>
      </c>
      <c r="AE3225">
        <v>18379</v>
      </c>
      <c r="AF3225">
        <v>108</v>
      </c>
      <c r="AG3225" t="s">
        <v>120</v>
      </c>
      <c r="AH3225">
        <v>0</v>
      </c>
      <c r="AI3225" t="s">
        <v>120</v>
      </c>
      <c r="AJ3225">
        <v>392.51</v>
      </c>
      <c r="AK3225" t="s">
        <v>13908</v>
      </c>
      <c r="AL3225">
        <v>0.68</v>
      </c>
      <c r="AM3225">
        <v>3928</v>
      </c>
      <c r="AN3225">
        <v>223</v>
      </c>
      <c r="AO3225">
        <v>1E-4</v>
      </c>
      <c r="AP3225">
        <v>-1</v>
      </c>
      <c r="AQ3225">
        <v>0</v>
      </c>
      <c r="AR3225">
        <v>-2.17</v>
      </c>
      <c r="AS3225">
        <v>2.97</v>
      </c>
      <c r="AT3225">
        <v>-1.1599999999999999</v>
      </c>
      <c r="AU3225">
        <v>8.34</v>
      </c>
      <c r="AV3225">
        <v>0</v>
      </c>
      <c r="AW3225">
        <v>0.38</v>
      </c>
      <c r="AX3225">
        <v>58.51</v>
      </c>
      <c r="AY3225">
        <v>4.0199999999999996</v>
      </c>
      <c r="AZ3225">
        <v>4.3099999999999996</v>
      </c>
      <c r="BA3225">
        <v>0.34</v>
      </c>
      <c r="BB3225" t="s">
        <v>143</v>
      </c>
      <c r="BF3225">
        <v>-0.09</v>
      </c>
      <c r="BG3225">
        <v>-0.66</v>
      </c>
      <c r="BH3225">
        <v>-1.1000000000000001</v>
      </c>
      <c r="BI3225">
        <v>0</v>
      </c>
      <c r="BJ3225">
        <v>20210830</v>
      </c>
      <c r="BK3225">
        <v>20070515</v>
      </c>
      <c r="BL3225">
        <v>742.63</v>
      </c>
      <c r="BM3225" t="s">
        <v>120</v>
      </c>
      <c r="BN3225">
        <v>350.12</v>
      </c>
      <c r="BO3225">
        <v>114139.59</v>
      </c>
      <c r="BP3225">
        <v>4.51</v>
      </c>
      <c r="BQ3225">
        <v>9236.08</v>
      </c>
      <c r="BR3225">
        <v>123.07</v>
      </c>
      <c r="BS3225">
        <v>91.8</v>
      </c>
      <c r="BT3225">
        <v>0</v>
      </c>
      <c r="BU3225">
        <v>1643.91</v>
      </c>
      <c r="BV3225">
        <v>36.5</v>
      </c>
      <c r="BW3225">
        <v>0</v>
      </c>
      <c r="BX3225">
        <v>9902.4599999999991</v>
      </c>
      <c r="BY3225">
        <v>0</v>
      </c>
      <c r="BZ3225">
        <v>0</v>
      </c>
      <c r="CA3225" t="s">
        <v>120</v>
      </c>
      <c r="CB3225">
        <v>1114.28</v>
      </c>
      <c r="CC3225">
        <v>1338.95</v>
      </c>
      <c r="CD3225">
        <v>0</v>
      </c>
      <c r="CE3225">
        <v>465.05</v>
      </c>
      <c r="CF3225">
        <v>82.5</v>
      </c>
      <c r="CG3225">
        <v>465.88</v>
      </c>
      <c r="CH3225">
        <v>428.73</v>
      </c>
      <c r="CI3225">
        <v>420.19</v>
      </c>
      <c r="CJ3225">
        <v>-0.03</v>
      </c>
      <c r="CK3225">
        <v>417.46</v>
      </c>
      <c r="CL3225">
        <v>2173.5700000000002</v>
      </c>
      <c r="CM3225">
        <v>-1127.43</v>
      </c>
      <c r="CN3225">
        <v>-256.56</v>
      </c>
      <c r="CO3225">
        <v>399954</v>
      </c>
      <c r="CP3225">
        <v>57425</v>
      </c>
      <c r="CQ3225" t="s">
        <v>6697</v>
      </c>
      <c r="CR3225">
        <v>15.1</v>
      </c>
      <c r="CS3225">
        <v>5.61</v>
      </c>
      <c r="CT3225">
        <v>0.45</v>
      </c>
      <c r="CU3225">
        <v>-2.97</v>
      </c>
      <c r="CV3225">
        <v>2.5</v>
      </c>
      <c r="CW3225">
        <v>6.98</v>
      </c>
      <c r="CX3225" t="s">
        <v>263</v>
      </c>
      <c r="CY3225">
        <v>10.08</v>
      </c>
      <c r="CZ3225">
        <v>10.08</v>
      </c>
      <c r="DA3225">
        <v>1.5</v>
      </c>
      <c r="DB3225">
        <v>2.93</v>
      </c>
      <c r="DC3225">
        <v>-1.52</v>
      </c>
      <c r="DD3225">
        <v>8.09</v>
      </c>
      <c r="DE3225" t="s">
        <v>13909</v>
      </c>
      <c r="DF3225" t="s">
        <v>120</v>
      </c>
      <c r="DG3225">
        <v>34.729999999999997</v>
      </c>
      <c r="DH3225">
        <v>31.38</v>
      </c>
      <c r="DI3225" t="s">
        <v>120</v>
      </c>
      <c r="DJ3225">
        <v>89890</v>
      </c>
      <c r="DK3225">
        <v>601328</v>
      </c>
      <c r="DL3225" t="s">
        <v>120</v>
      </c>
      <c r="DM3225" t="s">
        <v>120</v>
      </c>
      <c r="DN3225" t="s">
        <v>120</v>
      </c>
    </row>
    <row r="3226" spans="1:118">
      <c r="A3226" t="str">
        <f>"601330"</f>
        <v>601330</v>
      </c>
      <c r="B3226" t="s">
        <v>13910</v>
      </c>
      <c r="C3226">
        <v>-2.37</v>
      </c>
      <c r="D3226">
        <v>0.11</v>
      </c>
      <c r="E3226">
        <v>0</v>
      </c>
      <c r="F3226">
        <v>1730</v>
      </c>
      <c r="G3226" t="s">
        <v>13911</v>
      </c>
      <c r="H3226">
        <v>15456.23</v>
      </c>
      <c r="I3226">
        <v>50.16</v>
      </c>
      <c r="J3226" t="s">
        <v>120</v>
      </c>
      <c r="K3226" t="s">
        <v>13912</v>
      </c>
      <c r="L3226">
        <v>1.79</v>
      </c>
      <c r="M3226">
        <v>9.49</v>
      </c>
      <c r="N3226">
        <v>0.68</v>
      </c>
      <c r="O3226">
        <v>1.34</v>
      </c>
      <c r="P3226">
        <v>9.85</v>
      </c>
      <c r="Q3226">
        <v>-3.09</v>
      </c>
      <c r="R3226">
        <v>9.42</v>
      </c>
      <c r="S3226">
        <v>9.7200000000000006</v>
      </c>
      <c r="T3226">
        <v>160762</v>
      </c>
      <c r="U3226">
        <v>9.5</v>
      </c>
      <c r="V3226">
        <v>9.7200000000000006</v>
      </c>
      <c r="W3226">
        <v>17.48</v>
      </c>
      <c r="X3226" t="s">
        <v>318</v>
      </c>
      <c r="Y3226" t="s">
        <v>123</v>
      </c>
      <c r="Z3226">
        <v>4.42</v>
      </c>
      <c r="AA3226">
        <v>9.61</v>
      </c>
      <c r="AB3226">
        <v>87627</v>
      </c>
      <c r="AC3226">
        <v>73135</v>
      </c>
      <c r="AD3226">
        <v>1.2</v>
      </c>
      <c r="AE3226">
        <v>82</v>
      </c>
      <c r="AF3226">
        <v>331</v>
      </c>
      <c r="AG3226" t="s">
        <v>120</v>
      </c>
      <c r="AH3226">
        <v>0.02</v>
      </c>
      <c r="AI3226" t="s">
        <v>120</v>
      </c>
      <c r="AJ3226">
        <v>8.9600000000000009</v>
      </c>
      <c r="AK3226" t="s">
        <v>13913</v>
      </c>
      <c r="AL3226">
        <v>-1.02</v>
      </c>
      <c r="AM3226">
        <v>3216</v>
      </c>
      <c r="AN3226">
        <v>50</v>
      </c>
      <c r="AO3226">
        <v>5.9999999999999995E-4</v>
      </c>
      <c r="AP3226">
        <v>-3</v>
      </c>
      <c r="AQ3226">
        <v>-0.31</v>
      </c>
      <c r="AR3226">
        <v>-5.58</v>
      </c>
      <c r="AS3226">
        <v>6.87</v>
      </c>
      <c r="AT3226">
        <v>9.7100000000000009</v>
      </c>
      <c r="AU3226">
        <v>12.57</v>
      </c>
      <c r="AV3226">
        <v>3</v>
      </c>
      <c r="AW3226">
        <v>5.07</v>
      </c>
      <c r="AX3226">
        <v>32.049999999999997</v>
      </c>
      <c r="AY3226">
        <v>21.4</v>
      </c>
      <c r="AZ3226">
        <v>26.91</v>
      </c>
      <c r="BA3226">
        <v>0.79</v>
      </c>
      <c r="BB3226" t="s">
        <v>143</v>
      </c>
      <c r="BF3226">
        <v>-1.0900000000000001</v>
      </c>
      <c r="BG3226">
        <v>-2.37</v>
      </c>
      <c r="BH3226">
        <v>-3.65</v>
      </c>
      <c r="BI3226">
        <v>0.74</v>
      </c>
      <c r="BJ3226">
        <v>20210831</v>
      </c>
      <c r="BK3226">
        <v>20180611</v>
      </c>
      <c r="BL3226">
        <v>13.93</v>
      </c>
      <c r="BM3226" t="s">
        <v>120</v>
      </c>
      <c r="BN3226">
        <v>4.04</v>
      </c>
      <c r="BO3226">
        <v>182.44</v>
      </c>
      <c r="BP3226">
        <v>9.49</v>
      </c>
      <c r="BQ3226">
        <v>55.93</v>
      </c>
      <c r="BR3226" t="s">
        <v>120</v>
      </c>
      <c r="BS3226">
        <v>69.349999999999994</v>
      </c>
      <c r="BT3226">
        <v>29.5</v>
      </c>
      <c r="BU3226">
        <v>0.5</v>
      </c>
      <c r="BV3226">
        <v>81.08</v>
      </c>
      <c r="BW3226">
        <v>49.21</v>
      </c>
      <c r="BX3226">
        <v>10.25</v>
      </c>
      <c r="BY3226">
        <v>0.36</v>
      </c>
      <c r="BZ3226">
        <v>11.27</v>
      </c>
      <c r="CA3226" t="s">
        <v>120</v>
      </c>
      <c r="CB3226">
        <v>24.12</v>
      </c>
      <c r="CC3226">
        <v>12.52</v>
      </c>
      <c r="CD3226">
        <v>5.0199999999999996</v>
      </c>
      <c r="CE3226">
        <v>4.54</v>
      </c>
      <c r="CF3226">
        <v>0.05</v>
      </c>
      <c r="CG3226">
        <v>4.55</v>
      </c>
      <c r="CH3226">
        <v>4</v>
      </c>
      <c r="CI3226">
        <v>3.78</v>
      </c>
      <c r="CJ3226">
        <v>-0.23</v>
      </c>
      <c r="CK3226">
        <v>3.73</v>
      </c>
      <c r="CL3226">
        <v>16.690000000000001</v>
      </c>
      <c r="CM3226">
        <v>1.74</v>
      </c>
      <c r="CN3226">
        <v>-5.84</v>
      </c>
      <c r="CO3226">
        <v>44984</v>
      </c>
      <c r="CP3226">
        <v>7048</v>
      </c>
      <c r="CQ3226" t="s">
        <v>4802</v>
      </c>
      <c r="CR3226">
        <v>52.08</v>
      </c>
      <c r="CS3226">
        <v>23.78</v>
      </c>
      <c r="CT3226">
        <v>2.37</v>
      </c>
      <c r="CU3226">
        <v>76.03</v>
      </c>
      <c r="CV3226">
        <v>10.57</v>
      </c>
      <c r="CW3226">
        <v>2.06</v>
      </c>
      <c r="CX3226" t="s">
        <v>1233</v>
      </c>
      <c r="CY3226">
        <v>4.01</v>
      </c>
      <c r="CZ3226">
        <v>4.01</v>
      </c>
      <c r="DA3226">
        <v>1.73</v>
      </c>
      <c r="DB3226">
        <v>1.2</v>
      </c>
      <c r="DC3226">
        <v>0.12</v>
      </c>
      <c r="DD3226">
        <v>30.65</v>
      </c>
      <c r="DE3226" t="s">
        <v>1638</v>
      </c>
      <c r="DF3226">
        <v>59.91</v>
      </c>
      <c r="DG3226">
        <v>36.28</v>
      </c>
      <c r="DH3226">
        <v>30.22</v>
      </c>
      <c r="DI3226">
        <v>0.02</v>
      </c>
      <c r="DJ3226">
        <v>2636</v>
      </c>
      <c r="DK3226">
        <v>601330</v>
      </c>
      <c r="DL3226" t="s">
        <v>120</v>
      </c>
      <c r="DM3226" t="s">
        <v>120</v>
      </c>
      <c r="DN3226" t="s">
        <v>120</v>
      </c>
    </row>
    <row r="3227" spans="1:118">
      <c r="A3227" t="str">
        <f>"601333"</f>
        <v>601333</v>
      </c>
      <c r="B3227" t="s">
        <v>13914</v>
      </c>
      <c r="C3227">
        <v>-0.42</v>
      </c>
      <c r="D3227">
        <v>-0.83</v>
      </c>
      <c r="E3227">
        <v>0.84</v>
      </c>
      <c r="F3227">
        <v>20509</v>
      </c>
      <c r="G3227" t="s">
        <v>13915</v>
      </c>
      <c r="H3227">
        <v>16335.01</v>
      </c>
      <c r="I3227">
        <v>62.47</v>
      </c>
      <c r="J3227" t="s">
        <v>120</v>
      </c>
      <c r="K3227" t="s">
        <v>13916</v>
      </c>
      <c r="L3227">
        <v>1.19</v>
      </c>
      <c r="M3227">
        <v>2.37</v>
      </c>
      <c r="N3227">
        <v>1.27</v>
      </c>
      <c r="O3227">
        <v>4.62</v>
      </c>
      <c r="P3227">
        <v>2.4900000000000002</v>
      </c>
      <c r="Q3227">
        <v>-0.42</v>
      </c>
      <c r="R3227">
        <v>2.37</v>
      </c>
      <c r="S3227">
        <v>2.4</v>
      </c>
      <c r="T3227">
        <v>671366</v>
      </c>
      <c r="U3227">
        <v>2.38</v>
      </c>
      <c r="V3227">
        <v>2.38</v>
      </c>
      <c r="W3227">
        <v>1963.28</v>
      </c>
      <c r="X3227" t="s">
        <v>1109</v>
      </c>
      <c r="Y3227" t="s">
        <v>123</v>
      </c>
      <c r="Z3227">
        <v>5.04</v>
      </c>
      <c r="AA3227">
        <v>2.4300000000000002</v>
      </c>
      <c r="AB3227">
        <v>325785</v>
      </c>
      <c r="AC3227">
        <v>345581</v>
      </c>
      <c r="AD3227">
        <v>0.94</v>
      </c>
      <c r="AE3227">
        <v>6246</v>
      </c>
      <c r="AF3227">
        <v>2515</v>
      </c>
      <c r="AG3227" t="s">
        <v>120</v>
      </c>
      <c r="AH3227">
        <v>0.01</v>
      </c>
      <c r="AI3227" t="s">
        <v>120</v>
      </c>
      <c r="AJ3227">
        <v>56.52</v>
      </c>
      <c r="AK3227" t="s">
        <v>13916</v>
      </c>
      <c r="AL3227">
        <v>0.92</v>
      </c>
      <c r="AM3227">
        <v>3392</v>
      </c>
      <c r="AN3227">
        <v>198</v>
      </c>
      <c r="AO3227">
        <v>4.0000000000000002E-4</v>
      </c>
      <c r="AP3227">
        <v>-1</v>
      </c>
      <c r="AQ3227">
        <v>1.28</v>
      </c>
      <c r="AR3227">
        <v>-2.46</v>
      </c>
      <c r="AS3227">
        <v>15.61</v>
      </c>
      <c r="AT3227">
        <v>10.74</v>
      </c>
      <c r="AU3227">
        <v>6.76</v>
      </c>
      <c r="AV3227">
        <v>0</v>
      </c>
      <c r="AW3227">
        <v>2.2999999999999998</v>
      </c>
      <c r="AX3227">
        <v>51.62</v>
      </c>
      <c r="AY3227">
        <v>279.2</v>
      </c>
      <c r="AZ3227" t="s">
        <v>120</v>
      </c>
      <c r="BA3227">
        <v>0.38</v>
      </c>
      <c r="BB3227" t="s">
        <v>143</v>
      </c>
      <c r="BF3227">
        <v>2.23</v>
      </c>
      <c r="BG3227">
        <v>-1.25</v>
      </c>
      <c r="BH3227">
        <v>-4.82</v>
      </c>
      <c r="BI3227">
        <v>0</v>
      </c>
      <c r="BJ3227">
        <v>20210831</v>
      </c>
      <c r="BK3227">
        <v>20061222</v>
      </c>
      <c r="BL3227">
        <v>70.84</v>
      </c>
      <c r="BM3227" t="s">
        <v>120</v>
      </c>
      <c r="BN3227">
        <v>14.31</v>
      </c>
      <c r="BO3227">
        <v>366.79</v>
      </c>
      <c r="BP3227">
        <v>2.37</v>
      </c>
      <c r="BQ3227">
        <v>281.97000000000003</v>
      </c>
      <c r="BR3227" t="s">
        <v>120</v>
      </c>
      <c r="BS3227">
        <v>23.13</v>
      </c>
      <c r="BT3227">
        <v>68.64</v>
      </c>
      <c r="BU3227">
        <v>224.73</v>
      </c>
      <c r="BV3227">
        <v>18.05</v>
      </c>
      <c r="BW3227">
        <v>70.41</v>
      </c>
      <c r="BX3227">
        <v>16.34</v>
      </c>
      <c r="BY3227">
        <v>2.83</v>
      </c>
      <c r="BZ3227">
        <v>44.15</v>
      </c>
      <c r="CA3227" t="s">
        <v>120</v>
      </c>
      <c r="CB3227">
        <v>115.63</v>
      </c>
      <c r="CC3227">
        <v>96.68</v>
      </c>
      <c r="CD3227">
        <v>95.58</v>
      </c>
      <c r="CE3227">
        <v>0.43</v>
      </c>
      <c r="CF3227">
        <v>0.26</v>
      </c>
      <c r="CG3227">
        <v>0.32</v>
      </c>
      <c r="CH3227">
        <v>0.04</v>
      </c>
      <c r="CI3227">
        <v>0.04</v>
      </c>
      <c r="CJ3227">
        <v>-0.01</v>
      </c>
      <c r="CK3227">
        <v>7.0000000000000007E-2</v>
      </c>
      <c r="CL3227">
        <v>62.84</v>
      </c>
      <c r="CM3227">
        <v>3.11</v>
      </c>
      <c r="CN3227">
        <v>0.89</v>
      </c>
      <c r="CO3227">
        <v>198641</v>
      </c>
      <c r="CP3227">
        <v>14688</v>
      </c>
      <c r="CQ3227" t="s">
        <v>978</v>
      </c>
      <c r="CR3227">
        <v>100.7</v>
      </c>
      <c r="CS3227">
        <v>29.65</v>
      </c>
      <c r="CT3227">
        <v>0.6</v>
      </c>
      <c r="CU3227">
        <v>54.04</v>
      </c>
      <c r="CV3227">
        <v>1.74</v>
      </c>
      <c r="CW3227">
        <v>0</v>
      </c>
      <c r="CX3227" t="s">
        <v>1415</v>
      </c>
      <c r="CY3227">
        <v>3.98</v>
      </c>
      <c r="CZ3227">
        <v>0</v>
      </c>
      <c r="DA3227">
        <v>1.63</v>
      </c>
      <c r="DB3227">
        <v>0.89</v>
      </c>
      <c r="DC3227">
        <v>0.04</v>
      </c>
      <c r="DD3227">
        <v>76.87</v>
      </c>
      <c r="DE3227" t="s">
        <v>9394</v>
      </c>
      <c r="DF3227">
        <v>1.1399999999999999</v>
      </c>
      <c r="DG3227">
        <v>0.44</v>
      </c>
      <c r="DH3227">
        <v>0.04</v>
      </c>
      <c r="DI3227" t="s">
        <v>120</v>
      </c>
      <c r="DJ3227">
        <v>40543</v>
      </c>
      <c r="DK3227">
        <v>601333</v>
      </c>
      <c r="DL3227" t="s">
        <v>120</v>
      </c>
      <c r="DM3227" t="s">
        <v>120</v>
      </c>
      <c r="DN3227" t="s">
        <v>120</v>
      </c>
    </row>
    <row r="3228" spans="1:118">
      <c r="A3228" t="str">
        <f>"601336"</f>
        <v>601336</v>
      </c>
      <c r="B3228" t="s">
        <v>13917</v>
      </c>
      <c r="C3228">
        <v>-0.28999999999999998</v>
      </c>
      <c r="D3228">
        <v>-0.04</v>
      </c>
      <c r="E3228">
        <v>-0.17</v>
      </c>
      <c r="F3228">
        <v>1321</v>
      </c>
      <c r="G3228" t="s">
        <v>13918</v>
      </c>
      <c r="H3228">
        <v>35267.85</v>
      </c>
      <c r="I3228">
        <v>89.01</v>
      </c>
      <c r="J3228" t="s">
        <v>120</v>
      </c>
      <c r="K3228" t="s">
        <v>13919</v>
      </c>
      <c r="L3228">
        <v>0.41</v>
      </c>
      <c r="M3228">
        <v>41.16</v>
      </c>
      <c r="N3228">
        <v>0.61</v>
      </c>
      <c r="O3228">
        <v>0.99</v>
      </c>
      <c r="P3228">
        <v>41.69</v>
      </c>
      <c r="Q3228">
        <v>-0.51</v>
      </c>
      <c r="R3228">
        <v>41.07</v>
      </c>
      <c r="S3228">
        <v>41.21</v>
      </c>
      <c r="T3228">
        <v>85285</v>
      </c>
      <c r="U3228">
        <v>41.17</v>
      </c>
      <c r="V3228">
        <v>41.28</v>
      </c>
      <c r="W3228">
        <v>6.09</v>
      </c>
      <c r="X3228" t="s">
        <v>378</v>
      </c>
      <c r="Y3228" t="s">
        <v>158</v>
      </c>
      <c r="Z3228">
        <v>1.5</v>
      </c>
      <c r="AA3228">
        <v>41.35</v>
      </c>
      <c r="AB3228">
        <v>44064</v>
      </c>
      <c r="AC3228">
        <v>41221</v>
      </c>
      <c r="AD3228">
        <v>1.07</v>
      </c>
      <c r="AE3228">
        <v>224</v>
      </c>
      <c r="AF3228">
        <v>149</v>
      </c>
      <c r="AG3228" t="s">
        <v>120</v>
      </c>
      <c r="AH3228">
        <v>0</v>
      </c>
      <c r="AI3228" t="s">
        <v>120</v>
      </c>
      <c r="AJ3228">
        <v>20.85</v>
      </c>
      <c r="AK3228" t="s">
        <v>13919</v>
      </c>
      <c r="AL3228">
        <v>1.05</v>
      </c>
      <c r="AM3228">
        <v>3877</v>
      </c>
      <c r="AN3228">
        <v>22</v>
      </c>
      <c r="AO3228">
        <v>1E-4</v>
      </c>
      <c r="AP3228">
        <v>-4</v>
      </c>
      <c r="AQ3228">
        <v>-1.22</v>
      </c>
      <c r="AR3228">
        <v>-4.01</v>
      </c>
      <c r="AS3228">
        <v>1.45</v>
      </c>
      <c r="AT3228">
        <v>-8.41</v>
      </c>
      <c r="AU3228">
        <v>-27.25</v>
      </c>
      <c r="AV3228">
        <v>1</v>
      </c>
      <c r="AW3228">
        <v>1.21</v>
      </c>
      <c r="AX3228">
        <v>33.69</v>
      </c>
      <c r="AY3228">
        <v>7.75</v>
      </c>
      <c r="AZ3228">
        <v>9.01</v>
      </c>
      <c r="BA3228">
        <v>1.24</v>
      </c>
      <c r="BB3228" t="s">
        <v>2725</v>
      </c>
      <c r="BF3228">
        <v>0.18</v>
      </c>
      <c r="BG3228">
        <v>-0.12</v>
      </c>
      <c r="BH3228">
        <v>-1.27</v>
      </c>
      <c r="BI3228">
        <v>0.22</v>
      </c>
      <c r="BJ3228">
        <v>20210827</v>
      </c>
      <c r="BK3228">
        <v>20111216</v>
      </c>
      <c r="BL3228">
        <v>31.2</v>
      </c>
      <c r="BM3228" t="s">
        <v>120</v>
      </c>
      <c r="BN3228">
        <v>10.34</v>
      </c>
      <c r="BO3228">
        <v>10221.75</v>
      </c>
      <c r="BP3228">
        <v>41.16</v>
      </c>
      <c r="BQ3228">
        <v>1064.57</v>
      </c>
      <c r="BR3228">
        <v>0.15</v>
      </c>
      <c r="BS3228">
        <v>89.58</v>
      </c>
      <c r="BT3228">
        <v>0</v>
      </c>
      <c r="BU3228">
        <v>124.13</v>
      </c>
      <c r="BV3228">
        <v>36.47</v>
      </c>
      <c r="BW3228">
        <v>0</v>
      </c>
      <c r="BX3228">
        <v>169</v>
      </c>
      <c r="BY3228">
        <v>0</v>
      </c>
      <c r="BZ3228">
        <v>0</v>
      </c>
      <c r="CA3228" t="s">
        <v>120</v>
      </c>
      <c r="CB3228">
        <v>239.05</v>
      </c>
      <c r="CC3228">
        <v>1320.75</v>
      </c>
      <c r="CD3228">
        <v>0</v>
      </c>
      <c r="CE3228">
        <v>121.01</v>
      </c>
      <c r="CF3228">
        <v>326.04000000000002</v>
      </c>
      <c r="CG3228">
        <v>120.86</v>
      </c>
      <c r="CH3228">
        <v>105.48</v>
      </c>
      <c r="CI3228">
        <v>105.46</v>
      </c>
      <c r="CJ3228">
        <v>-0.12</v>
      </c>
      <c r="CK3228">
        <v>105.37</v>
      </c>
      <c r="CL3228">
        <v>74.14</v>
      </c>
      <c r="CM3228">
        <v>420.68</v>
      </c>
      <c r="CN3228">
        <v>39.49</v>
      </c>
      <c r="CO3228">
        <v>111233</v>
      </c>
      <c r="CP3228">
        <v>6316</v>
      </c>
      <c r="CQ3228" t="s">
        <v>13920</v>
      </c>
      <c r="CR3228">
        <v>28.33</v>
      </c>
      <c r="CS3228">
        <v>11.31</v>
      </c>
      <c r="CT3228">
        <v>1.21</v>
      </c>
      <c r="CU3228">
        <v>3.05</v>
      </c>
      <c r="CV3228">
        <v>0.97</v>
      </c>
      <c r="CW3228">
        <v>3.37</v>
      </c>
      <c r="CX3228" t="s">
        <v>4709</v>
      </c>
      <c r="CY3228">
        <v>34.119999999999997</v>
      </c>
      <c r="CZ3228">
        <v>34.119999999999997</v>
      </c>
      <c r="DA3228">
        <v>7.66</v>
      </c>
      <c r="DB3228">
        <v>2.38</v>
      </c>
      <c r="DC3228">
        <v>13.49</v>
      </c>
      <c r="DD3228">
        <v>10.41</v>
      </c>
      <c r="DE3228" t="s">
        <v>1541</v>
      </c>
      <c r="DF3228" t="s">
        <v>120</v>
      </c>
      <c r="DG3228">
        <v>9.16</v>
      </c>
      <c r="DH3228">
        <v>7.98</v>
      </c>
      <c r="DI3228" t="s">
        <v>120</v>
      </c>
      <c r="DJ3228">
        <v>35438</v>
      </c>
      <c r="DK3228">
        <v>601336</v>
      </c>
      <c r="DL3228" t="s">
        <v>120</v>
      </c>
      <c r="DM3228" t="s">
        <v>120</v>
      </c>
      <c r="DN3228" t="s">
        <v>120</v>
      </c>
    </row>
    <row r="3229" spans="1:118">
      <c r="A3229" t="str">
        <f>"601339"</f>
        <v>601339</v>
      </c>
      <c r="B3229" t="s">
        <v>13921</v>
      </c>
      <c r="C3229">
        <v>3.83</v>
      </c>
      <c r="D3229">
        <v>0</v>
      </c>
      <c r="E3229">
        <v>0.33</v>
      </c>
      <c r="F3229">
        <v>3655</v>
      </c>
      <c r="G3229" t="s">
        <v>969</v>
      </c>
      <c r="H3229">
        <v>17645.29</v>
      </c>
      <c r="I3229">
        <v>13.21</v>
      </c>
      <c r="J3229" t="s">
        <v>120</v>
      </c>
      <c r="K3229" t="s">
        <v>13922</v>
      </c>
      <c r="L3229">
        <v>1.87</v>
      </c>
      <c r="M3229">
        <v>6.24</v>
      </c>
      <c r="N3229">
        <v>1.71</v>
      </c>
      <c r="O3229">
        <v>8.82</v>
      </c>
      <c r="P3229">
        <v>6.54</v>
      </c>
      <c r="Q3229">
        <v>-0.5</v>
      </c>
      <c r="R3229">
        <v>5.98</v>
      </c>
      <c r="S3229">
        <v>6.03</v>
      </c>
      <c r="T3229">
        <v>280286</v>
      </c>
      <c r="U3229">
        <v>6.24</v>
      </c>
      <c r="V3229">
        <v>6.01</v>
      </c>
      <c r="W3229">
        <v>8.5</v>
      </c>
      <c r="X3229" t="s">
        <v>1766</v>
      </c>
      <c r="Y3229" t="s">
        <v>585</v>
      </c>
      <c r="Z3229">
        <v>9.32</v>
      </c>
      <c r="AA3229">
        <v>6.3</v>
      </c>
      <c r="AB3229">
        <v>113600</v>
      </c>
      <c r="AC3229">
        <v>166686</v>
      </c>
      <c r="AD3229">
        <v>0.68</v>
      </c>
      <c r="AE3229">
        <v>254</v>
      </c>
      <c r="AF3229">
        <v>204</v>
      </c>
      <c r="AG3229" t="s">
        <v>120</v>
      </c>
      <c r="AH3229">
        <v>0.01</v>
      </c>
      <c r="AI3229" t="s">
        <v>120</v>
      </c>
      <c r="AJ3229">
        <v>15</v>
      </c>
      <c r="AK3229" t="s">
        <v>13922</v>
      </c>
      <c r="AL3229">
        <v>5.17</v>
      </c>
      <c r="AM3229">
        <v>3601</v>
      </c>
      <c r="AN3229">
        <v>78</v>
      </c>
      <c r="AO3229">
        <v>5.0000000000000001E-4</v>
      </c>
      <c r="AP3229">
        <v>2</v>
      </c>
      <c r="AQ3229">
        <v>0.5</v>
      </c>
      <c r="AR3229">
        <v>-0.32</v>
      </c>
      <c r="AS3229">
        <v>4.88</v>
      </c>
      <c r="AT3229">
        <v>23.56</v>
      </c>
      <c r="AU3229">
        <v>64.209999999999994</v>
      </c>
      <c r="AV3229">
        <v>6</v>
      </c>
      <c r="AW3229">
        <v>7.26</v>
      </c>
      <c r="AX3229">
        <v>25.73</v>
      </c>
      <c r="AY3229">
        <v>11.55</v>
      </c>
      <c r="AZ3229">
        <v>24.63</v>
      </c>
      <c r="BA3229">
        <v>0.56000000000000005</v>
      </c>
      <c r="BB3229" t="s">
        <v>143</v>
      </c>
      <c r="BF3229">
        <v>4.75</v>
      </c>
      <c r="BG3229">
        <v>3.48</v>
      </c>
      <c r="BH3229">
        <v>-4.59</v>
      </c>
      <c r="BI3229">
        <v>4.3499999999999996</v>
      </c>
      <c r="BJ3229">
        <v>20210729</v>
      </c>
      <c r="BK3229">
        <v>20120612</v>
      </c>
      <c r="BL3229">
        <v>15</v>
      </c>
      <c r="BM3229" t="s">
        <v>120</v>
      </c>
      <c r="BN3229" t="s">
        <v>120</v>
      </c>
      <c r="BO3229">
        <v>138.38999999999999</v>
      </c>
      <c r="BP3229">
        <v>6.23</v>
      </c>
      <c r="BQ3229">
        <v>82.83</v>
      </c>
      <c r="BR3229" t="s">
        <v>120</v>
      </c>
      <c r="BS3229">
        <v>40.15</v>
      </c>
      <c r="BT3229">
        <v>60.44</v>
      </c>
      <c r="BU3229">
        <v>38.67</v>
      </c>
      <c r="BV3229">
        <v>6.7</v>
      </c>
      <c r="BW3229">
        <v>48.31</v>
      </c>
      <c r="BX3229">
        <v>12.99</v>
      </c>
      <c r="BY3229">
        <v>35.31</v>
      </c>
      <c r="BZ3229">
        <v>6.38</v>
      </c>
      <c r="CA3229" t="s">
        <v>120</v>
      </c>
      <c r="CB3229">
        <v>25.02</v>
      </c>
      <c r="CC3229">
        <v>39.200000000000003</v>
      </c>
      <c r="CD3229">
        <v>31.03</v>
      </c>
      <c r="CE3229">
        <v>5.64</v>
      </c>
      <c r="CF3229">
        <v>0.88</v>
      </c>
      <c r="CG3229">
        <v>5.65</v>
      </c>
      <c r="CH3229">
        <v>5.5</v>
      </c>
      <c r="CI3229">
        <v>5.5</v>
      </c>
      <c r="CJ3229">
        <v>0.23</v>
      </c>
      <c r="CK3229">
        <v>5.28</v>
      </c>
      <c r="CL3229">
        <v>40.07</v>
      </c>
      <c r="CM3229">
        <v>7.23</v>
      </c>
      <c r="CN3229">
        <v>6.12</v>
      </c>
      <c r="CO3229">
        <v>28250</v>
      </c>
      <c r="CP3229">
        <v>13661</v>
      </c>
      <c r="CQ3229" t="s">
        <v>836</v>
      </c>
      <c r="CR3229">
        <v>303.97000000000003</v>
      </c>
      <c r="CS3229">
        <v>48.98</v>
      </c>
      <c r="CT3229">
        <v>1.1299999999999999</v>
      </c>
      <c r="CU3229">
        <v>12.95</v>
      </c>
      <c r="CV3229">
        <v>2.39</v>
      </c>
      <c r="CW3229">
        <v>3.27</v>
      </c>
      <c r="CX3229" t="s">
        <v>709</v>
      </c>
      <c r="CY3229">
        <v>5.52</v>
      </c>
      <c r="CZ3229">
        <v>0</v>
      </c>
      <c r="DA3229">
        <v>1.67</v>
      </c>
      <c r="DB3229">
        <v>2.67</v>
      </c>
      <c r="DC3229">
        <v>0.48</v>
      </c>
      <c r="DD3229">
        <v>59.85</v>
      </c>
      <c r="DE3229" t="s">
        <v>4053</v>
      </c>
      <c r="DF3229">
        <v>20.85</v>
      </c>
      <c r="DG3229">
        <v>14.39</v>
      </c>
      <c r="DH3229">
        <v>14.04</v>
      </c>
      <c r="DI3229">
        <v>0.77</v>
      </c>
      <c r="DJ3229">
        <v>16588</v>
      </c>
      <c r="DK3229">
        <v>601339</v>
      </c>
      <c r="DL3229" t="s">
        <v>120</v>
      </c>
      <c r="DM3229" t="s">
        <v>120</v>
      </c>
      <c r="DN3229" t="s">
        <v>120</v>
      </c>
    </row>
    <row r="3230" spans="1:118">
      <c r="A3230" t="str">
        <f>"601360"</f>
        <v>601360</v>
      </c>
      <c r="B3230" t="s">
        <v>13923</v>
      </c>
      <c r="C3230">
        <v>0.88</v>
      </c>
      <c r="D3230">
        <v>0</v>
      </c>
      <c r="E3230">
        <v>0.48</v>
      </c>
      <c r="F3230">
        <v>11818</v>
      </c>
      <c r="G3230" t="s">
        <v>13924</v>
      </c>
      <c r="H3230">
        <v>64792.18</v>
      </c>
      <c r="I3230">
        <v>410</v>
      </c>
      <c r="J3230" t="s">
        <v>120</v>
      </c>
      <c r="K3230" t="s">
        <v>12804</v>
      </c>
      <c r="L3230">
        <v>0.72</v>
      </c>
      <c r="M3230">
        <v>12.55</v>
      </c>
      <c r="N3230">
        <v>1.06</v>
      </c>
      <c r="O3230">
        <v>2.4900000000000002</v>
      </c>
      <c r="P3230">
        <v>12.75</v>
      </c>
      <c r="Q3230">
        <v>0.08</v>
      </c>
      <c r="R3230">
        <v>12.45</v>
      </c>
      <c r="S3230">
        <v>12.5</v>
      </c>
      <c r="T3230">
        <v>514672</v>
      </c>
      <c r="U3230">
        <v>12.56</v>
      </c>
      <c r="V3230">
        <v>12.44</v>
      </c>
      <c r="W3230">
        <v>78.38</v>
      </c>
      <c r="X3230" t="s">
        <v>1531</v>
      </c>
      <c r="Y3230" t="s">
        <v>997</v>
      </c>
      <c r="Z3230">
        <v>2.41</v>
      </c>
      <c r="AA3230">
        <v>12.59</v>
      </c>
      <c r="AB3230">
        <v>276370</v>
      </c>
      <c r="AC3230">
        <v>238302</v>
      </c>
      <c r="AD3230">
        <v>1.1599999999999999</v>
      </c>
      <c r="AE3230">
        <v>3064</v>
      </c>
      <c r="AF3230">
        <v>1570</v>
      </c>
      <c r="AG3230" t="s">
        <v>120</v>
      </c>
      <c r="AH3230">
        <v>0.01</v>
      </c>
      <c r="AI3230" t="s">
        <v>120</v>
      </c>
      <c r="AJ3230">
        <v>71.45</v>
      </c>
      <c r="AK3230" t="s">
        <v>12804</v>
      </c>
      <c r="AL3230">
        <v>2.23</v>
      </c>
      <c r="AM3230">
        <v>4314</v>
      </c>
      <c r="AN3230">
        <v>119</v>
      </c>
      <c r="AO3230">
        <v>2.0000000000000001E-4</v>
      </c>
      <c r="AP3230">
        <v>1</v>
      </c>
      <c r="AQ3230">
        <v>-0.4</v>
      </c>
      <c r="AR3230">
        <v>0.08</v>
      </c>
      <c r="AS3230">
        <v>4.41</v>
      </c>
      <c r="AT3230">
        <v>4.1500000000000004</v>
      </c>
      <c r="AU3230">
        <v>-20.11</v>
      </c>
      <c r="AV3230">
        <v>2</v>
      </c>
      <c r="AW3230">
        <v>1.98</v>
      </c>
      <c r="AX3230">
        <v>36.43</v>
      </c>
      <c r="AY3230">
        <v>37.57</v>
      </c>
      <c r="AZ3230">
        <v>30.52</v>
      </c>
      <c r="BA3230">
        <v>0.77</v>
      </c>
      <c r="BB3230" t="s">
        <v>143</v>
      </c>
      <c r="BF3230">
        <v>1.2</v>
      </c>
      <c r="BG3230">
        <v>0.4</v>
      </c>
      <c r="BH3230">
        <v>-1.57</v>
      </c>
      <c r="BI3230">
        <v>0.8</v>
      </c>
      <c r="BJ3230">
        <v>20210831</v>
      </c>
      <c r="BK3230">
        <v>20120116</v>
      </c>
      <c r="BL3230">
        <v>71.45</v>
      </c>
      <c r="BM3230" t="s">
        <v>120</v>
      </c>
      <c r="BN3230" t="s">
        <v>120</v>
      </c>
      <c r="BO3230">
        <v>435.74</v>
      </c>
      <c r="BP3230">
        <v>12.55</v>
      </c>
      <c r="BQ3230">
        <v>365.57</v>
      </c>
      <c r="BR3230" t="s">
        <v>120</v>
      </c>
      <c r="BS3230">
        <v>16.100000000000001</v>
      </c>
      <c r="BT3230">
        <v>289.22000000000003</v>
      </c>
      <c r="BU3230">
        <v>4.0199999999999996</v>
      </c>
      <c r="BV3230">
        <v>6.9</v>
      </c>
      <c r="BW3230">
        <v>67.64</v>
      </c>
      <c r="BX3230">
        <v>237.27</v>
      </c>
      <c r="BY3230">
        <v>4.13</v>
      </c>
      <c r="BZ3230">
        <v>19.98</v>
      </c>
      <c r="CA3230" t="s">
        <v>120</v>
      </c>
      <c r="CB3230">
        <v>103.57</v>
      </c>
      <c r="CC3230">
        <v>56.19</v>
      </c>
      <c r="CD3230">
        <v>23.1</v>
      </c>
      <c r="CE3230">
        <v>6.79</v>
      </c>
      <c r="CF3230">
        <v>1.35</v>
      </c>
      <c r="CG3230">
        <v>7.2</v>
      </c>
      <c r="CH3230">
        <v>5.52</v>
      </c>
      <c r="CI3230">
        <v>5.72</v>
      </c>
      <c r="CJ3230">
        <v>0.11</v>
      </c>
      <c r="CK3230">
        <v>4.97</v>
      </c>
      <c r="CL3230">
        <v>165.36</v>
      </c>
      <c r="CM3230">
        <v>-1.42</v>
      </c>
      <c r="CN3230">
        <v>-5.43</v>
      </c>
      <c r="CO3230">
        <v>196113</v>
      </c>
      <c r="CP3230">
        <v>13272</v>
      </c>
      <c r="CQ3230" t="s">
        <v>2466</v>
      </c>
      <c r="CR3230">
        <v>-48.87</v>
      </c>
      <c r="CS3230">
        <v>13.03</v>
      </c>
      <c r="CT3230">
        <v>2.4500000000000002</v>
      </c>
      <c r="CU3230">
        <v>-630.6</v>
      </c>
      <c r="CV3230">
        <v>15.96</v>
      </c>
      <c r="CW3230">
        <v>0</v>
      </c>
      <c r="CX3230" t="s">
        <v>535</v>
      </c>
      <c r="CY3230">
        <v>5.12</v>
      </c>
      <c r="CZ3230">
        <v>0</v>
      </c>
      <c r="DA3230">
        <v>1.45</v>
      </c>
      <c r="DB3230">
        <v>2.31</v>
      </c>
      <c r="DC3230">
        <v>-0.02</v>
      </c>
      <c r="DD3230">
        <v>83.9</v>
      </c>
      <c r="DE3230" t="s">
        <v>7740</v>
      </c>
      <c r="DF3230">
        <v>58.9</v>
      </c>
      <c r="DG3230">
        <v>12.09</v>
      </c>
      <c r="DH3230">
        <v>10.18</v>
      </c>
      <c r="DI3230">
        <v>17.45</v>
      </c>
      <c r="DJ3230">
        <v>6639</v>
      </c>
      <c r="DK3230">
        <v>601360</v>
      </c>
      <c r="DL3230" t="s">
        <v>120</v>
      </c>
      <c r="DM3230" t="s">
        <v>120</v>
      </c>
      <c r="DN3230" t="s">
        <v>120</v>
      </c>
    </row>
    <row r="3231" spans="1:118">
      <c r="A3231" t="str">
        <f>"601366"</f>
        <v>601366</v>
      </c>
      <c r="B3231" t="s">
        <v>13925</v>
      </c>
      <c r="C3231">
        <v>-0.32</v>
      </c>
      <c r="D3231">
        <v>-0.15</v>
      </c>
      <c r="E3231">
        <v>-0.32</v>
      </c>
      <c r="F3231">
        <v>534</v>
      </c>
      <c r="G3231" t="s">
        <v>13926</v>
      </c>
      <c r="H3231">
        <v>1175.54</v>
      </c>
      <c r="I3231">
        <v>4.04</v>
      </c>
      <c r="J3231" t="s">
        <v>120</v>
      </c>
      <c r="K3231" t="s">
        <v>9786</v>
      </c>
      <c r="L3231">
        <v>0.22</v>
      </c>
      <c r="M3231">
        <v>6.31</v>
      </c>
      <c r="N3231">
        <v>0.86</v>
      </c>
      <c r="O3231">
        <v>0.16</v>
      </c>
      <c r="P3231">
        <v>6.34</v>
      </c>
      <c r="Q3231">
        <v>-1.1100000000000001</v>
      </c>
      <c r="R3231">
        <v>6.26</v>
      </c>
      <c r="S3231">
        <v>6.31</v>
      </c>
      <c r="T3231">
        <v>18645</v>
      </c>
      <c r="U3231">
        <v>6.31</v>
      </c>
      <c r="V3231">
        <v>6.33</v>
      </c>
      <c r="W3231">
        <v>107.29</v>
      </c>
      <c r="X3231" t="s">
        <v>735</v>
      </c>
      <c r="Y3231" t="s">
        <v>638</v>
      </c>
      <c r="Z3231">
        <v>1.26</v>
      </c>
      <c r="AA3231">
        <v>6.3</v>
      </c>
      <c r="AB3231">
        <v>10668</v>
      </c>
      <c r="AC3231">
        <v>7977</v>
      </c>
      <c r="AD3231">
        <v>1.34</v>
      </c>
      <c r="AE3231">
        <v>59</v>
      </c>
      <c r="AF3231">
        <v>79</v>
      </c>
      <c r="AG3231" t="s">
        <v>120</v>
      </c>
      <c r="AH3231">
        <v>0</v>
      </c>
      <c r="AI3231" t="s">
        <v>120</v>
      </c>
      <c r="AJ3231">
        <v>8.34</v>
      </c>
      <c r="AK3231" t="s">
        <v>12855</v>
      </c>
      <c r="AL3231">
        <v>1.03</v>
      </c>
      <c r="AM3231">
        <v>731</v>
      </c>
      <c r="AN3231">
        <v>26</v>
      </c>
      <c r="AO3231">
        <v>2.9999999999999997E-4</v>
      </c>
      <c r="AP3231">
        <v>-1</v>
      </c>
      <c r="AQ3231">
        <v>0.16</v>
      </c>
      <c r="AR3231">
        <v>-0.63</v>
      </c>
      <c r="AS3231">
        <v>-1.71</v>
      </c>
      <c r="AT3231">
        <v>-2.4700000000000002</v>
      </c>
      <c r="AU3231">
        <v>-9.34</v>
      </c>
      <c r="AV3231">
        <v>0</v>
      </c>
      <c r="AW3231">
        <v>0.39</v>
      </c>
      <c r="AX3231">
        <v>55.5</v>
      </c>
      <c r="AY3231">
        <v>30.7</v>
      </c>
      <c r="AZ3231">
        <v>38.119999999999997</v>
      </c>
      <c r="BA3231">
        <v>0.06</v>
      </c>
      <c r="BB3231" t="s">
        <v>4676</v>
      </c>
      <c r="BF3231">
        <v>-0.4</v>
      </c>
      <c r="BG3231">
        <v>0</v>
      </c>
      <c r="BH3231">
        <v>-0.47</v>
      </c>
      <c r="BI3231">
        <v>0.8</v>
      </c>
      <c r="BJ3231">
        <v>20210830</v>
      </c>
      <c r="BK3231">
        <v>20170412</v>
      </c>
      <c r="BL3231">
        <v>8.61</v>
      </c>
      <c r="BM3231" t="s">
        <v>120</v>
      </c>
      <c r="BN3231" t="s">
        <v>120</v>
      </c>
      <c r="BO3231">
        <v>146.93</v>
      </c>
      <c r="BP3231">
        <v>6.28</v>
      </c>
      <c r="BQ3231">
        <v>45.26</v>
      </c>
      <c r="BR3231">
        <v>0.05</v>
      </c>
      <c r="BS3231">
        <v>69.16</v>
      </c>
      <c r="BT3231">
        <v>38.5</v>
      </c>
      <c r="BU3231">
        <v>53.11</v>
      </c>
      <c r="BV3231">
        <v>12</v>
      </c>
      <c r="BW3231">
        <v>64.569999999999993</v>
      </c>
      <c r="BX3231">
        <v>7.65</v>
      </c>
      <c r="BY3231">
        <v>16.59</v>
      </c>
      <c r="BZ3231">
        <v>2.63</v>
      </c>
      <c r="CA3231">
        <v>0.73</v>
      </c>
      <c r="CB3231">
        <v>17.059999999999999</v>
      </c>
      <c r="CC3231">
        <v>43.78</v>
      </c>
      <c r="CD3231">
        <v>31.06</v>
      </c>
      <c r="CE3231">
        <v>0.56000000000000005</v>
      </c>
      <c r="CF3231">
        <v>0</v>
      </c>
      <c r="CG3231">
        <v>0.61</v>
      </c>
      <c r="CH3231">
        <v>0.25</v>
      </c>
      <c r="CI3231">
        <v>0.25</v>
      </c>
      <c r="CJ3231">
        <v>-0.02</v>
      </c>
      <c r="CK3231">
        <v>0.16</v>
      </c>
      <c r="CL3231">
        <v>13.22</v>
      </c>
      <c r="CM3231">
        <v>1.98</v>
      </c>
      <c r="CN3231">
        <v>-1.29</v>
      </c>
      <c r="CO3231">
        <v>29603</v>
      </c>
      <c r="CP3231">
        <v>16133</v>
      </c>
      <c r="CQ3231" t="s">
        <v>13927</v>
      </c>
      <c r="CR3231">
        <v>374.32</v>
      </c>
      <c r="CS3231">
        <v>-1.1599999999999999</v>
      </c>
      <c r="CT3231">
        <v>1.26</v>
      </c>
      <c r="CU3231">
        <v>27.4</v>
      </c>
      <c r="CV3231">
        <v>1.24</v>
      </c>
      <c r="CW3231">
        <v>0</v>
      </c>
      <c r="CX3231" t="s">
        <v>2074</v>
      </c>
      <c r="CY3231">
        <v>4.99</v>
      </c>
      <c r="CZ3231">
        <v>4.99</v>
      </c>
      <c r="DA3231">
        <v>1.98</v>
      </c>
      <c r="DB3231">
        <v>1.54</v>
      </c>
      <c r="DC3231">
        <v>0.23</v>
      </c>
      <c r="DD3231">
        <v>30.81</v>
      </c>
      <c r="DE3231" t="s">
        <v>9583</v>
      </c>
      <c r="DF3231">
        <v>29.05</v>
      </c>
      <c r="DG3231">
        <v>1.28</v>
      </c>
      <c r="DH3231">
        <v>0.57999999999999996</v>
      </c>
      <c r="DI3231" t="s">
        <v>120</v>
      </c>
      <c r="DJ3231">
        <v>7733</v>
      </c>
      <c r="DK3231">
        <v>601366</v>
      </c>
      <c r="DL3231" t="s">
        <v>120</v>
      </c>
      <c r="DM3231" t="s">
        <v>120</v>
      </c>
      <c r="DN3231" t="s">
        <v>120</v>
      </c>
    </row>
    <row r="3232" spans="1:118">
      <c r="A3232" t="str">
        <f>"601368"</f>
        <v>601368</v>
      </c>
      <c r="B3232" t="s">
        <v>13928</v>
      </c>
      <c r="C3232">
        <v>-2.12</v>
      </c>
      <c r="D3232">
        <v>-0.96</v>
      </c>
      <c r="E3232">
        <v>0</v>
      </c>
      <c r="F3232">
        <v>4516</v>
      </c>
      <c r="G3232" t="s">
        <v>6628</v>
      </c>
      <c r="H3232">
        <v>1813.61</v>
      </c>
      <c r="I3232">
        <v>0.36</v>
      </c>
      <c r="J3232" t="s">
        <v>120</v>
      </c>
      <c r="K3232" t="s">
        <v>4762</v>
      </c>
      <c r="L3232">
        <v>0.41</v>
      </c>
      <c r="M3232">
        <v>5.09</v>
      </c>
      <c r="N3232">
        <v>0.97</v>
      </c>
      <c r="O3232">
        <v>1.54</v>
      </c>
      <c r="P3232">
        <v>5.28</v>
      </c>
      <c r="Q3232">
        <v>-2.12</v>
      </c>
      <c r="R3232">
        <v>5.09</v>
      </c>
      <c r="S3232">
        <v>5.2</v>
      </c>
      <c r="T3232">
        <v>34843</v>
      </c>
      <c r="U3232">
        <v>5.09</v>
      </c>
      <c r="V3232">
        <v>5.2</v>
      </c>
      <c r="W3232">
        <v>27.74</v>
      </c>
      <c r="X3232" t="s">
        <v>1271</v>
      </c>
      <c r="Y3232" t="s">
        <v>945</v>
      </c>
      <c r="Z3232">
        <v>3.65</v>
      </c>
      <c r="AA3232">
        <v>5.21</v>
      </c>
      <c r="AB3232">
        <v>19451</v>
      </c>
      <c r="AC3232">
        <v>15392</v>
      </c>
      <c r="AD3232">
        <v>1.26</v>
      </c>
      <c r="AE3232">
        <v>193</v>
      </c>
      <c r="AF3232">
        <v>3236</v>
      </c>
      <c r="AG3232" t="s">
        <v>120</v>
      </c>
      <c r="AH3232">
        <v>0</v>
      </c>
      <c r="AI3232" t="s">
        <v>120</v>
      </c>
      <c r="AJ3232">
        <v>8.6</v>
      </c>
      <c r="AK3232" t="s">
        <v>8263</v>
      </c>
      <c r="AL3232">
        <v>-0.77</v>
      </c>
      <c r="AM3232">
        <v>1075</v>
      </c>
      <c r="AN3232">
        <v>32</v>
      </c>
      <c r="AO3232">
        <v>4.0000000000000002E-4</v>
      </c>
      <c r="AP3232">
        <v>-1</v>
      </c>
      <c r="AQ3232">
        <v>0.97</v>
      </c>
      <c r="AR3232">
        <v>-3.42</v>
      </c>
      <c r="AS3232">
        <v>2.83</v>
      </c>
      <c r="AT3232">
        <v>2.64</v>
      </c>
      <c r="AU3232">
        <v>-3.4</v>
      </c>
      <c r="AV3232">
        <v>0</v>
      </c>
      <c r="AW3232">
        <v>1.04</v>
      </c>
      <c r="AX3232">
        <v>37.979999999999997</v>
      </c>
      <c r="AY3232">
        <v>21.56</v>
      </c>
      <c r="AZ3232">
        <v>18.53</v>
      </c>
      <c r="BA3232">
        <v>0.46</v>
      </c>
      <c r="BB3232" t="s">
        <v>143</v>
      </c>
      <c r="BF3232">
        <v>0.1</v>
      </c>
      <c r="BG3232">
        <v>-2.12</v>
      </c>
      <c r="BH3232">
        <v>-3.6</v>
      </c>
      <c r="BI3232">
        <v>0</v>
      </c>
      <c r="BJ3232">
        <v>20210826</v>
      </c>
      <c r="BK3232">
        <v>20150612</v>
      </c>
      <c r="BL3232">
        <v>8.83</v>
      </c>
      <c r="BM3232" t="s">
        <v>120</v>
      </c>
      <c r="BN3232" t="s">
        <v>120</v>
      </c>
      <c r="BO3232">
        <v>161.53</v>
      </c>
      <c r="BP3232">
        <v>5.08</v>
      </c>
      <c r="BQ3232">
        <v>43.65</v>
      </c>
      <c r="BR3232" t="s">
        <v>120</v>
      </c>
      <c r="BS3232">
        <v>72.97</v>
      </c>
      <c r="BT3232">
        <v>20.49</v>
      </c>
      <c r="BU3232">
        <v>90.19</v>
      </c>
      <c r="BV3232">
        <v>9.2799999999999994</v>
      </c>
      <c r="BW3232">
        <v>35.56</v>
      </c>
      <c r="BX3232">
        <v>14.54</v>
      </c>
      <c r="BY3232">
        <v>0.65</v>
      </c>
      <c r="BZ3232">
        <v>2.02</v>
      </c>
      <c r="CA3232">
        <v>0.56000000000000005</v>
      </c>
      <c r="CB3232">
        <v>15.24</v>
      </c>
      <c r="CC3232">
        <v>8.0500000000000007</v>
      </c>
      <c r="CD3232">
        <v>5.14</v>
      </c>
      <c r="CE3232">
        <v>1.03</v>
      </c>
      <c r="CF3232">
        <v>0</v>
      </c>
      <c r="CG3232">
        <v>1.04</v>
      </c>
      <c r="CH3232">
        <v>0.81</v>
      </c>
      <c r="CI3232">
        <v>0.81</v>
      </c>
      <c r="CJ3232">
        <v>-0.11</v>
      </c>
      <c r="CK3232">
        <v>0.73</v>
      </c>
      <c r="CL3232">
        <v>16.63</v>
      </c>
      <c r="CM3232">
        <v>3.26</v>
      </c>
      <c r="CN3232">
        <v>-0.41</v>
      </c>
      <c r="CO3232">
        <v>31887</v>
      </c>
      <c r="CP3232">
        <v>10516</v>
      </c>
      <c r="CQ3232" t="s">
        <v>2603</v>
      </c>
      <c r="CR3232">
        <v>-30.05</v>
      </c>
      <c r="CS3232">
        <v>18</v>
      </c>
      <c r="CT3232">
        <v>1.03</v>
      </c>
      <c r="CU3232">
        <v>13.78</v>
      </c>
      <c r="CV3232">
        <v>5.58</v>
      </c>
      <c r="CW3232">
        <v>1.75</v>
      </c>
      <c r="CX3232" t="s">
        <v>11509</v>
      </c>
      <c r="CY3232">
        <v>4.9400000000000004</v>
      </c>
      <c r="CZ3232">
        <v>0</v>
      </c>
      <c r="DA3232">
        <v>1.73</v>
      </c>
      <c r="DB3232">
        <v>1.88</v>
      </c>
      <c r="DC3232">
        <v>0.37</v>
      </c>
      <c r="DD3232">
        <v>27.03</v>
      </c>
      <c r="DE3232" t="s">
        <v>1456</v>
      </c>
      <c r="DF3232">
        <v>36.08</v>
      </c>
      <c r="DG3232">
        <v>12.77</v>
      </c>
      <c r="DH3232">
        <v>10.07</v>
      </c>
      <c r="DI3232">
        <v>0</v>
      </c>
      <c r="DJ3232">
        <v>1676</v>
      </c>
      <c r="DK3232">
        <v>601368</v>
      </c>
      <c r="DL3232" t="s">
        <v>120</v>
      </c>
      <c r="DM3232" t="s">
        <v>120</v>
      </c>
      <c r="DN3232" t="s">
        <v>120</v>
      </c>
    </row>
    <row r="3233" spans="1:118">
      <c r="A3233" t="str">
        <f>"601369"</f>
        <v>601369</v>
      </c>
      <c r="B3233" t="s">
        <v>13929</v>
      </c>
      <c r="C3233">
        <v>-7.41</v>
      </c>
      <c r="D3233">
        <v>-7.0000000000000007E-2</v>
      </c>
      <c r="E3233">
        <v>-0.22</v>
      </c>
      <c r="F3233">
        <v>1623</v>
      </c>
      <c r="G3233" t="s">
        <v>8016</v>
      </c>
      <c r="H3233">
        <v>52736.03</v>
      </c>
      <c r="I3233">
        <v>170.82</v>
      </c>
      <c r="J3233" t="s">
        <v>120</v>
      </c>
      <c r="K3233" t="s">
        <v>13930</v>
      </c>
      <c r="L3233">
        <v>2.46</v>
      </c>
      <c r="M3233">
        <v>12.62</v>
      </c>
      <c r="N3233">
        <v>1.35</v>
      </c>
      <c r="O3233">
        <v>-7.0000000000000007E-2</v>
      </c>
      <c r="P3233">
        <v>13.62</v>
      </c>
      <c r="Q3233">
        <v>-8.66</v>
      </c>
      <c r="R3233">
        <v>12.45</v>
      </c>
      <c r="S3233">
        <v>13.6</v>
      </c>
      <c r="T3233">
        <v>405560</v>
      </c>
      <c r="U3233">
        <v>12.62</v>
      </c>
      <c r="V3233">
        <v>13.63</v>
      </c>
      <c r="W3233">
        <v>20.64</v>
      </c>
      <c r="X3233" t="s">
        <v>959</v>
      </c>
      <c r="Y3233" t="s">
        <v>890</v>
      </c>
      <c r="Z3233">
        <v>8.58</v>
      </c>
      <c r="AA3233">
        <v>13</v>
      </c>
      <c r="AB3233">
        <v>251145</v>
      </c>
      <c r="AC3233">
        <v>154415</v>
      </c>
      <c r="AD3233">
        <v>1.63</v>
      </c>
      <c r="AE3233">
        <v>268</v>
      </c>
      <c r="AF3233">
        <v>592</v>
      </c>
      <c r="AG3233" t="s">
        <v>120</v>
      </c>
      <c r="AH3233">
        <v>0.02</v>
      </c>
      <c r="AI3233" t="s">
        <v>120</v>
      </c>
      <c r="AJ3233">
        <v>16.510000000000002</v>
      </c>
      <c r="AK3233" t="s">
        <v>13931</v>
      </c>
      <c r="AL3233">
        <v>-6.07</v>
      </c>
      <c r="AM3233">
        <v>4089</v>
      </c>
      <c r="AN3233">
        <v>99</v>
      </c>
      <c r="AO3233">
        <v>5.9999999999999995E-4</v>
      </c>
      <c r="AP3233">
        <v>-1</v>
      </c>
      <c r="AQ3233">
        <v>5.74</v>
      </c>
      <c r="AR3233">
        <v>1.45</v>
      </c>
      <c r="AS3233">
        <v>11.68</v>
      </c>
      <c r="AT3233">
        <v>56.77</v>
      </c>
      <c r="AU3233">
        <v>82.9</v>
      </c>
      <c r="AV3233">
        <v>6</v>
      </c>
      <c r="AW3233">
        <v>6.9</v>
      </c>
      <c r="AX3233">
        <v>35.04</v>
      </c>
      <c r="AY3233">
        <v>27.83</v>
      </c>
      <c r="AZ3233">
        <v>33.369999999999997</v>
      </c>
      <c r="BA3233">
        <v>1.66</v>
      </c>
      <c r="BB3233" t="s">
        <v>700</v>
      </c>
      <c r="BF3233">
        <v>-4.5999999999999996</v>
      </c>
      <c r="BG3233">
        <v>-7.21</v>
      </c>
      <c r="BH3233">
        <v>-7.34</v>
      </c>
      <c r="BI3233">
        <v>1.37</v>
      </c>
      <c r="BJ3233">
        <v>20210827</v>
      </c>
      <c r="BK3233">
        <v>20100428</v>
      </c>
      <c r="BL3233">
        <v>16.77</v>
      </c>
      <c r="BM3233" t="s">
        <v>120</v>
      </c>
      <c r="BN3233" t="s">
        <v>120</v>
      </c>
      <c r="BO3233">
        <v>252.84</v>
      </c>
      <c r="BP3233">
        <v>12.61</v>
      </c>
      <c r="BQ3233">
        <v>70.599999999999994</v>
      </c>
      <c r="BR3233">
        <v>4.38</v>
      </c>
      <c r="BS3233">
        <v>70.34</v>
      </c>
      <c r="BT3233">
        <v>213.33</v>
      </c>
      <c r="BU3233">
        <v>20.13</v>
      </c>
      <c r="BV3233">
        <v>1.76</v>
      </c>
      <c r="BW3233">
        <v>164.64</v>
      </c>
      <c r="BX3233">
        <v>81.67</v>
      </c>
      <c r="BY3233">
        <v>27.57</v>
      </c>
      <c r="BZ3233">
        <v>29.65</v>
      </c>
      <c r="CA3233" t="s">
        <v>120</v>
      </c>
      <c r="CB3233">
        <v>20.57</v>
      </c>
      <c r="CC3233">
        <v>54.41</v>
      </c>
      <c r="CD3233">
        <v>43.7</v>
      </c>
      <c r="CE3233">
        <v>6.89</v>
      </c>
      <c r="CF3233">
        <v>0.7</v>
      </c>
      <c r="CG3233">
        <v>6.9</v>
      </c>
      <c r="CH3233">
        <v>5.62</v>
      </c>
      <c r="CI3233">
        <v>5.13</v>
      </c>
      <c r="CJ3233">
        <v>-1.01</v>
      </c>
      <c r="CK3233">
        <v>4.21</v>
      </c>
      <c r="CL3233">
        <v>21.14</v>
      </c>
      <c r="CM3233">
        <v>6.21</v>
      </c>
      <c r="CN3233">
        <v>17.96</v>
      </c>
      <c r="CO3233">
        <v>31663</v>
      </c>
      <c r="CP3233">
        <v>18558</v>
      </c>
      <c r="CQ3233" t="s">
        <v>13932</v>
      </c>
      <c r="CR3233">
        <v>36.25</v>
      </c>
      <c r="CS3233">
        <v>38.68</v>
      </c>
      <c r="CT3233">
        <v>3</v>
      </c>
      <c r="CU3233">
        <v>34.08</v>
      </c>
      <c r="CV3233">
        <v>3.89</v>
      </c>
      <c r="CW3233">
        <v>2.06</v>
      </c>
      <c r="CX3233" t="s">
        <v>2752</v>
      </c>
      <c r="CY3233">
        <v>4.21</v>
      </c>
      <c r="CZ3233">
        <v>4.21</v>
      </c>
      <c r="DA3233">
        <v>1.23</v>
      </c>
      <c r="DB3233">
        <v>1.26</v>
      </c>
      <c r="DC3233">
        <v>0.37</v>
      </c>
      <c r="DD3233">
        <v>27.92</v>
      </c>
      <c r="DE3233" t="s">
        <v>4627</v>
      </c>
      <c r="DF3233">
        <v>19.68</v>
      </c>
      <c r="DG3233">
        <v>12.67</v>
      </c>
      <c r="DH3233">
        <v>9.42</v>
      </c>
      <c r="DI3233">
        <v>1.82</v>
      </c>
      <c r="DJ3233">
        <v>3154</v>
      </c>
      <c r="DK3233">
        <v>601369</v>
      </c>
      <c r="DL3233">
        <v>20210806</v>
      </c>
      <c r="DM3233">
        <v>11.2</v>
      </c>
      <c r="DN3233">
        <v>12.68</v>
      </c>
    </row>
    <row r="3234" spans="1:118">
      <c r="A3234" t="str">
        <f>"601375"</f>
        <v>601375</v>
      </c>
      <c r="B3234" t="s">
        <v>13933</v>
      </c>
      <c r="C3234">
        <v>-4.6100000000000003</v>
      </c>
      <c r="D3234">
        <v>0</v>
      </c>
      <c r="E3234">
        <v>-1.29</v>
      </c>
      <c r="F3234">
        <v>26399</v>
      </c>
      <c r="G3234" t="s">
        <v>13934</v>
      </c>
      <c r="H3234">
        <v>147261.99</v>
      </c>
      <c r="I3234">
        <v>4199.6400000000003</v>
      </c>
      <c r="J3234" t="s">
        <v>120</v>
      </c>
      <c r="K3234" t="s">
        <v>13935</v>
      </c>
      <c r="L3234">
        <v>8.11</v>
      </c>
      <c r="M3234">
        <v>5.17</v>
      </c>
      <c r="N3234">
        <v>1.33</v>
      </c>
      <c r="O3234">
        <v>-0.18</v>
      </c>
      <c r="P3234">
        <v>5.41</v>
      </c>
      <c r="Q3234">
        <v>-5.17</v>
      </c>
      <c r="R3234">
        <v>5.14</v>
      </c>
      <c r="S3234">
        <v>5.35</v>
      </c>
      <c r="T3234">
        <v>2795273</v>
      </c>
      <c r="U3234">
        <v>5.17</v>
      </c>
      <c r="V3234">
        <v>5.42</v>
      </c>
      <c r="W3234">
        <v>52.42</v>
      </c>
      <c r="X3234" t="s">
        <v>616</v>
      </c>
      <c r="Y3234" t="s">
        <v>645</v>
      </c>
      <c r="Z3234">
        <v>4.9800000000000004</v>
      </c>
      <c r="AA3234">
        <v>5.27</v>
      </c>
      <c r="AB3234">
        <v>1539987</v>
      </c>
      <c r="AC3234">
        <v>1255286</v>
      </c>
      <c r="AD3234">
        <v>1.23</v>
      </c>
      <c r="AE3234">
        <v>3391</v>
      </c>
      <c r="AF3234">
        <v>5781</v>
      </c>
      <c r="AG3234" t="s">
        <v>120</v>
      </c>
      <c r="AH3234">
        <v>0.34</v>
      </c>
      <c r="AI3234" t="s">
        <v>120</v>
      </c>
      <c r="AJ3234">
        <v>34.479999999999997</v>
      </c>
      <c r="AK3234" t="s">
        <v>13935</v>
      </c>
      <c r="AL3234">
        <v>-3.27</v>
      </c>
      <c r="AM3234">
        <v>4714</v>
      </c>
      <c r="AN3234">
        <v>593</v>
      </c>
      <c r="AO3234">
        <v>1.6999999999999999E-3</v>
      </c>
      <c r="AP3234">
        <v>-1</v>
      </c>
      <c r="AQ3234">
        <v>5.86</v>
      </c>
      <c r="AR3234">
        <v>-1.34</v>
      </c>
      <c r="AS3234">
        <v>4.4400000000000004</v>
      </c>
      <c r="AT3234">
        <v>8.32</v>
      </c>
      <c r="AU3234">
        <v>-26.17</v>
      </c>
      <c r="AV3234">
        <v>3</v>
      </c>
      <c r="AW3234">
        <v>12.23</v>
      </c>
      <c r="AX3234">
        <v>66.3</v>
      </c>
      <c r="AY3234">
        <v>83.21</v>
      </c>
      <c r="AZ3234">
        <v>241.26</v>
      </c>
      <c r="BA3234">
        <v>0.93</v>
      </c>
      <c r="BB3234" t="s">
        <v>700</v>
      </c>
      <c r="BF3234">
        <v>-2.8</v>
      </c>
      <c r="BG3234">
        <v>-3.36</v>
      </c>
      <c r="BH3234">
        <v>-4.4400000000000004</v>
      </c>
      <c r="BI3234">
        <v>0.57999999999999996</v>
      </c>
      <c r="BJ3234">
        <v>20210830</v>
      </c>
      <c r="BK3234">
        <v>20170103</v>
      </c>
      <c r="BL3234">
        <v>46.43</v>
      </c>
      <c r="BM3234" t="s">
        <v>120</v>
      </c>
      <c r="BN3234">
        <v>11.95</v>
      </c>
      <c r="BO3234">
        <v>542.73</v>
      </c>
      <c r="BP3234">
        <v>5.16</v>
      </c>
      <c r="BQ3234">
        <v>135.13</v>
      </c>
      <c r="BR3234">
        <v>8</v>
      </c>
      <c r="BS3234">
        <v>73.63</v>
      </c>
      <c r="BT3234">
        <v>0</v>
      </c>
      <c r="BU3234">
        <v>1.78</v>
      </c>
      <c r="BV3234">
        <v>1.81</v>
      </c>
      <c r="BW3234">
        <v>0</v>
      </c>
      <c r="BX3234">
        <v>122.22</v>
      </c>
      <c r="BY3234">
        <v>0</v>
      </c>
      <c r="BZ3234">
        <v>0</v>
      </c>
      <c r="CA3234" t="s">
        <v>120</v>
      </c>
      <c r="CB3234">
        <v>63.23</v>
      </c>
      <c r="CC3234">
        <v>23.36</v>
      </c>
      <c r="CD3234">
        <v>0</v>
      </c>
      <c r="CE3234">
        <v>3.05</v>
      </c>
      <c r="CF3234">
        <v>3.12</v>
      </c>
      <c r="CG3234">
        <v>3.07</v>
      </c>
      <c r="CH3234">
        <v>2.3199999999999998</v>
      </c>
      <c r="CI3234">
        <v>2.29</v>
      </c>
      <c r="CJ3234">
        <v>-0.25</v>
      </c>
      <c r="CK3234">
        <v>2.21</v>
      </c>
      <c r="CL3234">
        <v>2.52</v>
      </c>
      <c r="CM3234">
        <v>-12.83</v>
      </c>
      <c r="CN3234">
        <v>14.09</v>
      </c>
      <c r="CO3234">
        <v>158626</v>
      </c>
      <c r="CP3234">
        <v>14410</v>
      </c>
      <c r="CQ3234" t="s">
        <v>8081</v>
      </c>
      <c r="CR3234">
        <v>642.16</v>
      </c>
      <c r="CS3234">
        <v>86.89</v>
      </c>
      <c r="CT3234">
        <v>1.78</v>
      </c>
      <c r="CU3234">
        <v>-18.71</v>
      </c>
      <c r="CV3234">
        <v>10.28</v>
      </c>
      <c r="CW3234">
        <v>0.63</v>
      </c>
      <c r="CX3234" t="s">
        <v>1248</v>
      </c>
      <c r="CY3234">
        <v>2.91</v>
      </c>
      <c r="CZ3234">
        <v>2.91</v>
      </c>
      <c r="DA3234">
        <v>1.36</v>
      </c>
      <c r="DB3234">
        <v>0.05</v>
      </c>
      <c r="DC3234">
        <v>-0.28000000000000003</v>
      </c>
      <c r="DD3234">
        <v>24.9</v>
      </c>
      <c r="DE3234" t="s">
        <v>6122</v>
      </c>
      <c r="DF3234" t="s">
        <v>120</v>
      </c>
      <c r="DG3234">
        <v>13.07</v>
      </c>
      <c r="DH3234">
        <v>9.8000000000000007</v>
      </c>
      <c r="DI3234" t="s">
        <v>120</v>
      </c>
      <c r="DJ3234">
        <v>2796</v>
      </c>
      <c r="DK3234">
        <v>601375</v>
      </c>
      <c r="DL3234">
        <v>20210819</v>
      </c>
      <c r="DM3234">
        <v>5.08</v>
      </c>
      <c r="DN3234">
        <v>1.77</v>
      </c>
    </row>
    <row r="3235" spans="1:118">
      <c r="A3235" t="str">
        <f>"601377"</f>
        <v>601377</v>
      </c>
      <c r="B3235" t="s">
        <v>13936</v>
      </c>
      <c r="C3235">
        <v>-3.56</v>
      </c>
      <c r="D3235">
        <v>-0.18</v>
      </c>
      <c r="E3235">
        <v>0.27</v>
      </c>
      <c r="F3235">
        <v>20734</v>
      </c>
      <c r="G3235" t="s">
        <v>13937</v>
      </c>
      <c r="H3235">
        <v>177776.88</v>
      </c>
      <c r="I3235">
        <v>780.67</v>
      </c>
      <c r="J3235" t="s">
        <v>120</v>
      </c>
      <c r="K3235" t="s">
        <v>13938</v>
      </c>
      <c r="L3235">
        <v>2.46</v>
      </c>
      <c r="M3235">
        <v>10.58</v>
      </c>
      <c r="N3235">
        <v>0.87</v>
      </c>
      <c r="O3235">
        <v>1.37</v>
      </c>
      <c r="P3235">
        <v>11.12</v>
      </c>
      <c r="Q3235">
        <v>-3.92</v>
      </c>
      <c r="R3235">
        <v>10.54</v>
      </c>
      <c r="S3235">
        <v>11</v>
      </c>
      <c r="T3235">
        <v>1647075</v>
      </c>
      <c r="U3235">
        <v>10.59</v>
      </c>
      <c r="V3235">
        <v>10.97</v>
      </c>
      <c r="W3235">
        <v>14.52</v>
      </c>
      <c r="X3235" t="s">
        <v>616</v>
      </c>
      <c r="Y3235" t="s">
        <v>937</v>
      </c>
      <c r="Z3235">
        <v>5.29</v>
      </c>
      <c r="AA3235">
        <v>10.79</v>
      </c>
      <c r="AB3235">
        <v>866785</v>
      </c>
      <c r="AC3235">
        <v>780290</v>
      </c>
      <c r="AD3235">
        <v>1.1100000000000001</v>
      </c>
      <c r="AE3235">
        <v>955</v>
      </c>
      <c r="AF3235">
        <v>47</v>
      </c>
      <c r="AG3235" t="s">
        <v>120</v>
      </c>
      <c r="AH3235">
        <v>0.01</v>
      </c>
      <c r="AI3235" t="s">
        <v>120</v>
      </c>
      <c r="AJ3235">
        <v>66.97</v>
      </c>
      <c r="AK3235" t="s">
        <v>13938</v>
      </c>
      <c r="AL3235">
        <v>-2.21</v>
      </c>
      <c r="AM3235">
        <v>4739</v>
      </c>
      <c r="AN3235">
        <v>348</v>
      </c>
      <c r="AO3235">
        <v>5.0000000000000001E-4</v>
      </c>
      <c r="AP3235">
        <v>-1</v>
      </c>
      <c r="AQ3235">
        <v>0</v>
      </c>
      <c r="AR3235">
        <v>-7.11</v>
      </c>
      <c r="AS3235">
        <v>-2.13</v>
      </c>
      <c r="AT3235">
        <v>10.55</v>
      </c>
      <c r="AU3235">
        <v>24.47</v>
      </c>
      <c r="AV3235">
        <v>1</v>
      </c>
      <c r="AW3235">
        <v>3.46</v>
      </c>
      <c r="AX3235">
        <v>71.08</v>
      </c>
      <c r="AY3235">
        <v>15.23</v>
      </c>
      <c r="AZ3235">
        <v>18.350000000000001</v>
      </c>
      <c r="BA3235">
        <v>1.73</v>
      </c>
      <c r="BB3235" t="s">
        <v>240</v>
      </c>
      <c r="BF3235">
        <v>-1.61</v>
      </c>
      <c r="BG3235">
        <v>-3.82</v>
      </c>
      <c r="BH3235">
        <v>-4.8600000000000003</v>
      </c>
      <c r="BI3235">
        <v>0.38</v>
      </c>
      <c r="BJ3235">
        <v>20210831</v>
      </c>
      <c r="BK3235">
        <v>20101013</v>
      </c>
      <c r="BL3235">
        <v>66.97</v>
      </c>
      <c r="BM3235" t="s">
        <v>120</v>
      </c>
      <c r="BN3235" t="s">
        <v>120</v>
      </c>
      <c r="BO3235">
        <v>2041.6</v>
      </c>
      <c r="BP3235">
        <v>10.58</v>
      </c>
      <c r="BQ3235">
        <v>388.45</v>
      </c>
      <c r="BR3235">
        <v>37.76</v>
      </c>
      <c r="BS3235">
        <v>79.12</v>
      </c>
      <c r="BT3235">
        <v>0</v>
      </c>
      <c r="BU3235">
        <v>6.36</v>
      </c>
      <c r="BV3235">
        <v>2.2400000000000002</v>
      </c>
      <c r="BW3235">
        <v>0</v>
      </c>
      <c r="BX3235">
        <v>594.29999999999995</v>
      </c>
      <c r="BY3235">
        <v>0</v>
      </c>
      <c r="BZ3235">
        <v>0</v>
      </c>
      <c r="CA3235" t="s">
        <v>120</v>
      </c>
      <c r="CB3235">
        <v>143.77000000000001</v>
      </c>
      <c r="CC3235">
        <v>101.49</v>
      </c>
      <c r="CD3235">
        <v>0</v>
      </c>
      <c r="CE3235">
        <v>41.06</v>
      </c>
      <c r="CF3235">
        <v>21.17</v>
      </c>
      <c r="CG3235">
        <v>41.05</v>
      </c>
      <c r="CH3235">
        <v>31.35</v>
      </c>
      <c r="CI3235">
        <v>24.39</v>
      </c>
      <c r="CJ3235">
        <v>-0.39</v>
      </c>
      <c r="CK3235">
        <v>23.43</v>
      </c>
      <c r="CL3235">
        <v>103.18</v>
      </c>
      <c r="CM3235">
        <v>81.400000000000006</v>
      </c>
      <c r="CN3235">
        <v>103.42</v>
      </c>
      <c r="CO3235">
        <v>290188</v>
      </c>
      <c r="CP3235">
        <v>16404</v>
      </c>
      <c r="CQ3235" t="s">
        <v>13939</v>
      </c>
      <c r="CR3235">
        <v>50.64</v>
      </c>
      <c r="CS3235">
        <v>22.43</v>
      </c>
      <c r="CT3235">
        <v>1.82</v>
      </c>
      <c r="CU3235">
        <v>8.6999999999999993</v>
      </c>
      <c r="CV3235">
        <v>6.98</v>
      </c>
      <c r="CW3235">
        <v>1.64</v>
      </c>
      <c r="CX3235" t="s">
        <v>13940</v>
      </c>
      <c r="CY3235">
        <v>5.8</v>
      </c>
      <c r="CZ3235">
        <v>0</v>
      </c>
      <c r="DA3235">
        <v>2.15</v>
      </c>
      <c r="DB3235">
        <v>1.54</v>
      </c>
      <c r="DC3235">
        <v>1.22</v>
      </c>
      <c r="DD3235">
        <v>19.03</v>
      </c>
      <c r="DE3235" t="s">
        <v>12734</v>
      </c>
      <c r="DF3235" t="s">
        <v>120</v>
      </c>
      <c r="DG3235">
        <v>40.46</v>
      </c>
      <c r="DH3235">
        <v>24.04</v>
      </c>
      <c r="DI3235" t="s">
        <v>120</v>
      </c>
      <c r="DJ3235">
        <v>8906</v>
      </c>
      <c r="DK3235">
        <v>601377</v>
      </c>
      <c r="DL3235">
        <v>20210818</v>
      </c>
      <c r="DM3235">
        <v>10.76</v>
      </c>
      <c r="DN3235">
        <v>0</v>
      </c>
    </row>
    <row r="3236" spans="1:118">
      <c r="A3236" t="str">
        <f>"601388"</f>
        <v>601388</v>
      </c>
      <c r="B3236" t="s">
        <v>13941</v>
      </c>
      <c r="C3236">
        <v>-3.03</v>
      </c>
      <c r="D3236">
        <v>-0.15</v>
      </c>
      <c r="E3236">
        <v>1.82</v>
      </c>
      <c r="F3236">
        <v>8980</v>
      </c>
      <c r="G3236" t="s">
        <v>13942</v>
      </c>
      <c r="H3236">
        <v>85732.04</v>
      </c>
      <c r="I3236">
        <v>687.52</v>
      </c>
      <c r="J3236" t="s">
        <v>120</v>
      </c>
      <c r="K3236" t="s">
        <v>13943</v>
      </c>
      <c r="L3236">
        <v>6.41</v>
      </c>
      <c r="M3236">
        <v>6.4</v>
      </c>
      <c r="N3236">
        <v>0.63</v>
      </c>
      <c r="O3236">
        <v>5.45</v>
      </c>
      <c r="P3236">
        <v>6.96</v>
      </c>
      <c r="Q3236">
        <v>-4.09</v>
      </c>
      <c r="R3236">
        <v>6.33</v>
      </c>
      <c r="S3236">
        <v>6.72</v>
      </c>
      <c r="T3236">
        <v>1289136</v>
      </c>
      <c r="U3236">
        <v>6.41</v>
      </c>
      <c r="V3236">
        <v>6.6</v>
      </c>
      <c r="W3236">
        <v>16.53</v>
      </c>
      <c r="X3236" t="s">
        <v>1325</v>
      </c>
      <c r="Y3236" t="s">
        <v>319</v>
      </c>
      <c r="Z3236">
        <v>9.5500000000000007</v>
      </c>
      <c r="AA3236">
        <v>6.65</v>
      </c>
      <c r="AB3236">
        <v>599058</v>
      </c>
      <c r="AC3236">
        <v>690078</v>
      </c>
      <c r="AD3236">
        <v>0.87</v>
      </c>
      <c r="AE3236">
        <v>3557</v>
      </c>
      <c r="AF3236">
        <v>3299</v>
      </c>
      <c r="AG3236" t="s">
        <v>120</v>
      </c>
      <c r="AH3236">
        <v>0.09</v>
      </c>
      <c r="AI3236" t="s">
        <v>120</v>
      </c>
      <c r="AJ3236">
        <v>20.11</v>
      </c>
      <c r="AK3236" t="s">
        <v>12491</v>
      </c>
      <c r="AL3236">
        <v>-1.69</v>
      </c>
      <c r="AM3236">
        <v>4600</v>
      </c>
      <c r="AN3236">
        <v>280</v>
      </c>
      <c r="AO3236">
        <v>1.4E-3</v>
      </c>
      <c r="AP3236">
        <v>-3</v>
      </c>
      <c r="AQ3236">
        <v>-2.37</v>
      </c>
      <c r="AR3236">
        <v>-12.57</v>
      </c>
      <c r="AS3236">
        <v>57.63</v>
      </c>
      <c r="AT3236">
        <v>93.36</v>
      </c>
      <c r="AU3236">
        <v>116.58</v>
      </c>
      <c r="AV3236">
        <v>13</v>
      </c>
      <c r="AW3236">
        <v>11.06</v>
      </c>
      <c r="AX3236">
        <v>52.95</v>
      </c>
      <c r="AY3236">
        <v>18.46</v>
      </c>
      <c r="AZ3236">
        <v>31.47</v>
      </c>
      <c r="BA3236">
        <v>1.26</v>
      </c>
      <c r="BB3236" t="s">
        <v>143</v>
      </c>
      <c r="BF3236">
        <v>0.76</v>
      </c>
      <c r="BG3236">
        <v>-4.76</v>
      </c>
      <c r="BH3236">
        <v>-8.0500000000000007</v>
      </c>
      <c r="BI3236">
        <v>1.1100000000000001</v>
      </c>
      <c r="BJ3236">
        <v>20210906</v>
      </c>
      <c r="BK3236">
        <v>20120423</v>
      </c>
      <c r="BL3236">
        <v>22.02</v>
      </c>
      <c r="BM3236" t="s">
        <v>120</v>
      </c>
      <c r="BN3236" t="s">
        <v>120</v>
      </c>
      <c r="BO3236">
        <v>55.33</v>
      </c>
      <c r="BP3236">
        <v>6.4</v>
      </c>
      <c r="BQ3236">
        <v>35.200000000000003</v>
      </c>
      <c r="BR3236" t="s">
        <v>120</v>
      </c>
      <c r="BS3236">
        <v>36.380000000000003</v>
      </c>
      <c r="BT3236">
        <v>38.96</v>
      </c>
      <c r="BU3236">
        <v>10.86</v>
      </c>
      <c r="BV3236">
        <v>3.06</v>
      </c>
      <c r="BW3236">
        <v>17.45</v>
      </c>
      <c r="BX3236">
        <v>7.96</v>
      </c>
      <c r="BY3236">
        <v>16.95</v>
      </c>
      <c r="BZ3236">
        <v>8.34</v>
      </c>
      <c r="CA3236" t="s">
        <v>120</v>
      </c>
      <c r="CB3236">
        <v>1.86</v>
      </c>
      <c r="CC3236">
        <v>39.51</v>
      </c>
      <c r="CD3236">
        <v>31.8</v>
      </c>
      <c r="CE3236">
        <v>5.38</v>
      </c>
      <c r="CF3236">
        <v>0.03</v>
      </c>
      <c r="CG3236">
        <v>5.47</v>
      </c>
      <c r="CH3236">
        <v>4.26</v>
      </c>
      <c r="CI3236">
        <v>4.26</v>
      </c>
      <c r="CJ3236">
        <v>-0.2</v>
      </c>
      <c r="CK3236">
        <v>4.3</v>
      </c>
      <c r="CL3236">
        <v>12.63</v>
      </c>
      <c r="CM3236">
        <v>1.88</v>
      </c>
      <c r="CN3236">
        <v>1.27</v>
      </c>
      <c r="CO3236">
        <v>85277</v>
      </c>
      <c r="CP3236">
        <v>13669</v>
      </c>
      <c r="CQ3236" t="s">
        <v>3574</v>
      </c>
      <c r="CR3236">
        <v>322.77999999999997</v>
      </c>
      <c r="CS3236">
        <v>64.23</v>
      </c>
      <c r="CT3236">
        <v>4</v>
      </c>
      <c r="CU3236">
        <v>74.77</v>
      </c>
      <c r="CV3236">
        <v>3.57</v>
      </c>
      <c r="CW3236">
        <v>0.98</v>
      </c>
      <c r="CX3236" t="s">
        <v>13944</v>
      </c>
      <c r="CY3236">
        <v>1.6</v>
      </c>
      <c r="CZ3236">
        <v>0</v>
      </c>
      <c r="DA3236">
        <v>0.08</v>
      </c>
      <c r="DB3236">
        <v>0.56999999999999995</v>
      </c>
      <c r="DC3236">
        <v>0.09</v>
      </c>
      <c r="DD3236">
        <v>63.62</v>
      </c>
      <c r="DE3236" t="s">
        <v>8270</v>
      </c>
      <c r="DF3236">
        <v>19.53</v>
      </c>
      <c r="DG3236">
        <v>13.61</v>
      </c>
      <c r="DH3236">
        <v>10.79</v>
      </c>
      <c r="DI3236">
        <v>0.01</v>
      </c>
      <c r="DJ3236">
        <v>1746</v>
      </c>
      <c r="DK3236">
        <v>601388</v>
      </c>
      <c r="DL3236">
        <v>20210825</v>
      </c>
      <c r="DM3236">
        <v>4.92</v>
      </c>
      <c r="DN3236">
        <v>30.08</v>
      </c>
    </row>
    <row r="3237" spans="1:118">
      <c r="A3237" t="str">
        <f>"601390"</f>
        <v>601390</v>
      </c>
      <c r="B3237" t="s">
        <v>13945</v>
      </c>
      <c r="C3237">
        <v>-0.97</v>
      </c>
      <c r="D3237">
        <v>-0.15</v>
      </c>
      <c r="E3237">
        <v>0.65</v>
      </c>
      <c r="F3237">
        <v>41021</v>
      </c>
      <c r="G3237" t="s">
        <v>13946</v>
      </c>
      <c r="H3237">
        <v>91736.54</v>
      </c>
      <c r="I3237">
        <v>329.09</v>
      </c>
      <c r="J3237" t="s">
        <v>120</v>
      </c>
      <c r="K3237" t="s">
        <v>13947</v>
      </c>
      <c r="L3237">
        <v>0.73</v>
      </c>
      <c r="M3237">
        <v>6.11</v>
      </c>
      <c r="N3237">
        <v>0.52</v>
      </c>
      <c r="O3237">
        <v>1.94</v>
      </c>
      <c r="P3237">
        <v>6.29</v>
      </c>
      <c r="Q3237">
        <v>-1.46</v>
      </c>
      <c r="R3237">
        <v>6.08</v>
      </c>
      <c r="S3237">
        <v>6.21</v>
      </c>
      <c r="T3237">
        <v>1487743</v>
      </c>
      <c r="U3237">
        <v>6.12</v>
      </c>
      <c r="V3237">
        <v>6.17</v>
      </c>
      <c r="W3237">
        <v>5.73</v>
      </c>
      <c r="X3237" t="s">
        <v>175</v>
      </c>
      <c r="Y3237" t="s">
        <v>158</v>
      </c>
      <c r="Z3237">
        <v>3.4</v>
      </c>
      <c r="AA3237">
        <v>6.17</v>
      </c>
      <c r="AB3237">
        <v>745022</v>
      </c>
      <c r="AC3237">
        <v>742721</v>
      </c>
      <c r="AD3237">
        <v>1</v>
      </c>
      <c r="AE3237">
        <v>1752</v>
      </c>
      <c r="AF3237">
        <v>10629</v>
      </c>
      <c r="AG3237" t="s">
        <v>120</v>
      </c>
      <c r="AH3237">
        <v>0.01</v>
      </c>
      <c r="AI3237" t="s">
        <v>120</v>
      </c>
      <c r="AJ3237">
        <v>203.64</v>
      </c>
      <c r="AK3237" t="s">
        <v>13947</v>
      </c>
      <c r="AL3237">
        <v>0.37</v>
      </c>
      <c r="AM3237">
        <v>4550</v>
      </c>
      <c r="AN3237">
        <v>327</v>
      </c>
      <c r="AO3237">
        <v>2.0000000000000001E-4</v>
      </c>
      <c r="AP3237">
        <v>-1</v>
      </c>
      <c r="AQ3237">
        <v>0</v>
      </c>
      <c r="AR3237">
        <v>-6.86</v>
      </c>
      <c r="AS3237">
        <v>14.63</v>
      </c>
      <c r="AT3237">
        <v>19.57</v>
      </c>
      <c r="AU3237">
        <v>20.04</v>
      </c>
      <c r="AV3237">
        <v>0</v>
      </c>
      <c r="AW3237">
        <v>1.67</v>
      </c>
      <c r="AX3237">
        <v>43.85</v>
      </c>
      <c r="AY3237">
        <v>5.7</v>
      </c>
      <c r="AZ3237">
        <v>6.02</v>
      </c>
      <c r="BA3237">
        <v>0.69</v>
      </c>
      <c r="BB3237" t="s">
        <v>143</v>
      </c>
      <c r="BF3237">
        <v>-0.06</v>
      </c>
      <c r="BG3237">
        <v>-1.61</v>
      </c>
      <c r="BH3237">
        <v>-2.86</v>
      </c>
      <c r="BI3237">
        <v>0.49</v>
      </c>
      <c r="BJ3237">
        <v>20210910</v>
      </c>
      <c r="BK3237">
        <v>20071203</v>
      </c>
      <c r="BL3237">
        <v>245.71</v>
      </c>
      <c r="BM3237" t="s">
        <v>120</v>
      </c>
      <c r="BN3237">
        <v>42.07</v>
      </c>
      <c r="BO3237">
        <v>12972.35</v>
      </c>
      <c r="BP3237">
        <v>6.11</v>
      </c>
      <c r="BQ3237">
        <v>2677</v>
      </c>
      <c r="BR3237" t="s">
        <v>120</v>
      </c>
      <c r="BS3237">
        <v>79.36</v>
      </c>
      <c r="BT3237">
        <v>8022.31</v>
      </c>
      <c r="BU3237">
        <v>641.98</v>
      </c>
      <c r="BV3237">
        <v>890.08</v>
      </c>
      <c r="BW3237">
        <v>7783.37</v>
      </c>
      <c r="BX3237">
        <v>1505.72</v>
      </c>
      <c r="BY3237">
        <v>2158.96</v>
      </c>
      <c r="BZ3237">
        <v>1360.66</v>
      </c>
      <c r="CA3237">
        <v>4.26</v>
      </c>
      <c r="CB3237">
        <v>553.05999999999995</v>
      </c>
      <c r="CC3237">
        <v>4966.0600000000004</v>
      </c>
      <c r="CD3237">
        <v>4525.6400000000003</v>
      </c>
      <c r="CE3237">
        <v>178.5</v>
      </c>
      <c r="CF3237">
        <v>9.2100000000000009</v>
      </c>
      <c r="CG3237">
        <v>177.25</v>
      </c>
      <c r="CH3237">
        <v>143.51</v>
      </c>
      <c r="CI3237">
        <v>130.96</v>
      </c>
      <c r="CJ3237">
        <v>-0.06</v>
      </c>
      <c r="CK3237">
        <v>118.05</v>
      </c>
      <c r="CL3237">
        <v>1218.47</v>
      </c>
      <c r="CM3237">
        <v>-588.79</v>
      </c>
      <c r="CN3237">
        <v>-205.55</v>
      </c>
      <c r="CO3237">
        <v>565665</v>
      </c>
      <c r="CP3237">
        <v>15785</v>
      </c>
      <c r="CQ3237" t="s">
        <v>587</v>
      </c>
      <c r="CR3237">
        <v>11.96</v>
      </c>
      <c r="CS3237">
        <v>19.68</v>
      </c>
      <c r="CT3237">
        <v>0.7</v>
      </c>
      <c r="CU3237">
        <v>-2.5499999999999998</v>
      </c>
      <c r="CV3237">
        <v>0.3</v>
      </c>
      <c r="CW3237">
        <v>2.92</v>
      </c>
      <c r="CX3237" t="s">
        <v>1520</v>
      </c>
      <c r="CY3237">
        <v>8.76</v>
      </c>
      <c r="CZ3237">
        <v>8.76</v>
      </c>
      <c r="DA3237">
        <v>2.25</v>
      </c>
      <c r="DB3237">
        <v>4.96</v>
      </c>
      <c r="DC3237">
        <v>-2.4</v>
      </c>
      <c r="DD3237">
        <v>20.64</v>
      </c>
      <c r="DE3237" t="s">
        <v>4482</v>
      </c>
      <c r="DF3237">
        <v>8.8699999999999992</v>
      </c>
      <c r="DG3237">
        <v>3.59</v>
      </c>
      <c r="DH3237">
        <v>2.64</v>
      </c>
      <c r="DI3237">
        <v>73.44</v>
      </c>
      <c r="DJ3237">
        <v>288729</v>
      </c>
      <c r="DK3237">
        <v>601390</v>
      </c>
      <c r="DL3237" t="s">
        <v>120</v>
      </c>
      <c r="DM3237" t="s">
        <v>120</v>
      </c>
      <c r="DN3237" t="s">
        <v>120</v>
      </c>
    </row>
    <row r="3238" spans="1:118">
      <c r="A3238" t="str">
        <f>"601398"</f>
        <v>601398</v>
      </c>
      <c r="B3238" t="s">
        <v>13948</v>
      </c>
      <c r="C3238">
        <v>0</v>
      </c>
      <c r="D3238">
        <v>-0.63</v>
      </c>
      <c r="E3238">
        <v>0</v>
      </c>
      <c r="F3238">
        <v>117883</v>
      </c>
      <c r="G3238" t="s">
        <v>13949</v>
      </c>
      <c r="H3238">
        <v>78770.19</v>
      </c>
      <c r="I3238">
        <v>544.99</v>
      </c>
      <c r="J3238" t="s">
        <v>120</v>
      </c>
      <c r="K3238" t="s">
        <v>13950</v>
      </c>
      <c r="L3238">
        <v>0.06</v>
      </c>
      <c r="M3238">
        <v>4.68</v>
      </c>
      <c r="N3238">
        <v>0.9</v>
      </c>
      <c r="O3238">
        <v>0.64</v>
      </c>
      <c r="P3238">
        <v>4.71</v>
      </c>
      <c r="Q3238">
        <v>-0.21</v>
      </c>
      <c r="R3238">
        <v>4.67</v>
      </c>
      <c r="S3238">
        <v>4.68</v>
      </c>
      <c r="T3238">
        <v>1678220</v>
      </c>
      <c r="U3238">
        <v>4.6900000000000004</v>
      </c>
      <c r="V3238">
        <v>4.68</v>
      </c>
      <c r="W3238">
        <v>5.0999999999999996</v>
      </c>
      <c r="X3238" t="s">
        <v>122</v>
      </c>
      <c r="Y3238" t="s">
        <v>158</v>
      </c>
      <c r="Z3238">
        <v>0.85</v>
      </c>
      <c r="AA3238">
        <v>4.6900000000000004</v>
      </c>
      <c r="AB3238">
        <v>715482</v>
      </c>
      <c r="AC3238">
        <v>962738</v>
      </c>
      <c r="AD3238">
        <v>0.74</v>
      </c>
      <c r="AE3238">
        <v>60574</v>
      </c>
      <c r="AF3238">
        <v>601</v>
      </c>
      <c r="AG3238" t="s">
        <v>120</v>
      </c>
      <c r="AH3238">
        <v>0</v>
      </c>
      <c r="AI3238" t="s">
        <v>120</v>
      </c>
      <c r="AJ3238">
        <v>2696.12</v>
      </c>
      <c r="AK3238" t="s">
        <v>13950</v>
      </c>
      <c r="AL3238">
        <v>1.34</v>
      </c>
      <c r="AM3238">
        <v>4524</v>
      </c>
      <c r="AN3238">
        <v>371</v>
      </c>
      <c r="AO3238">
        <v>0</v>
      </c>
      <c r="AP3238">
        <v>0</v>
      </c>
      <c r="AQ3238">
        <v>-0.64</v>
      </c>
      <c r="AR3238">
        <v>-1.89</v>
      </c>
      <c r="AS3238">
        <v>0.86</v>
      </c>
      <c r="AT3238">
        <v>-5.15</v>
      </c>
      <c r="AU3238">
        <v>-0.93</v>
      </c>
      <c r="AV3238">
        <v>0</v>
      </c>
      <c r="AW3238">
        <v>0.5</v>
      </c>
      <c r="AX3238">
        <v>12.57</v>
      </c>
      <c r="AY3238">
        <v>5.05</v>
      </c>
      <c r="AZ3238">
        <v>5.28</v>
      </c>
      <c r="BA3238">
        <v>0.18</v>
      </c>
      <c r="BB3238" t="s">
        <v>143</v>
      </c>
      <c r="BF3238">
        <v>0.28999999999999998</v>
      </c>
      <c r="BG3238">
        <v>0</v>
      </c>
      <c r="BH3238">
        <v>-0.64</v>
      </c>
      <c r="BI3238">
        <v>0.21</v>
      </c>
      <c r="BJ3238">
        <v>20210830</v>
      </c>
      <c r="BK3238">
        <v>20061027</v>
      </c>
      <c r="BL3238">
        <v>3564.06</v>
      </c>
      <c r="BM3238" t="s">
        <v>120</v>
      </c>
      <c r="BN3238">
        <v>867.94</v>
      </c>
      <c r="BO3238">
        <v>351362.81</v>
      </c>
      <c r="BP3238">
        <v>4.68</v>
      </c>
      <c r="BQ3238">
        <v>30298.9</v>
      </c>
      <c r="BR3238">
        <v>169.17</v>
      </c>
      <c r="BS3238">
        <v>91.33</v>
      </c>
      <c r="BT3238">
        <v>0</v>
      </c>
      <c r="BU3238">
        <v>2489.84</v>
      </c>
      <c r="BV3238">
        <v>0</v>
      </c>
      <c r="BW3238">
        <v>0</v>
      </c>
      <c r="BX3238">
        <v>40919.120000000003</v>
      </c>
      <c r="BY3238">
        <v>0</v>
      </c>
      <c r="BZ3238">
        <v>0</v>
      </c>
      <c r="CA3238" t="s">
        <v>120</v>
      </c>
      <c r="CB3238">
        <v>1485.34</v>
      </c>
      <c r="CC3238">
        <v>4677.93</v>
      </c>
      <c r="CD3238">
        <v>0</v>
      </c>
      <c r="CE3238">
        <v>2075.9899999999998</v>
      </c>
      <c r="CF3238">
        <v>178.9</v>
      </c>
      <c r="CG3238">
        <v>2080.6999999999998</v>
      </c>
      <c r="CH3238">
        <v>1645.09</v>
      </c>
      <c r="CI3238">
        <v>1634.73</v>
      </c>
      <c r="CJ3238">
        <v>0</v>
      </c>
      <c r="CK3238">
        <v>1626.38</v>
      </c>
      <c r="CL3238">
        <v>15784.42</v>
      </c>
      <c r="CM3238">
        <v>3775.46</v>
      </c>
      <c r="CN3238">
        <v>2012.42</v>
      </c>
      <c r="CO3238">
        <v>691002</v>
      </c>
      <c r="CP3238">
        <v>49053</v>
      </c>
      <c r="CQ3238" t="s">
        <v>13951</v>
      </c>
      <c r="CR3238">
        <v>9.8699999999999992</v>
      </c>
      <c r="CS3238">
        <v>4.3099999999999996</v>
      </c>
      <c r="CT3238">
        <v>0.61</v>
      </c>
      <c r="CU3238">
        <v>4.42</v>
      </c>
      <c r="CV3238">
        <v>3.57</v>
      </c>
      <c r="CW3238">
        <v>5.68</v>
      </c>
      <c r="CX3238" t="s">
        <v>1631</v>
      </c>
      <c r="CY3238">
        <v>7.67</v>
      </c>
      <c r="CZ3238">
        <v>7.67</v>
      </c>
      <c r="DA3238">
        <v>0.42</v>
      </c>
      <c r="DB3238">
        <v>4.43</v>
      </c>
      <c r="DC3238">
        <v>1.06</v>
      </c>
      <c r="DD3238">
        <v>8.6199999999999992</v>
      </c>
      <c r="DE3238" t="s">
        <v>4153</v>
      </c>
      <c r="DF3238" t="s">
        <v>120</v>
      </c>
      <c r="DG3238">
        <v>44.38</v>
      </c>
      <c r="DH3238">
        <v>34.950000000000003</v>
      </c>
      <c r="DI3238" t="s">
        <v>120</v>
      </c>
      <c r="DJ3238">
        <v>430335</v>
      </c>
      <c r="DK3238">
        <v>601398</v>
      </c>
      <c r="DL3238" t="s">
        <v>120</v>
      </c>
      <c r="DM3238" t="s">
        <v>120</v>
      </c>
      <c r="DN3238" t="s">
        <v>120</v>
      </c>
    </row>
    <row r="3239" spans="1:118">
      <c r="A3239" t="str">
        <f>"601399"</f>
        <v>601399</v>
      </c>
      <c r="B3239" t="s">
        <v>13952</v>
      </c>
      <c r="C3239">
        <v>-0.25</v>
      </c>
      <c r="D3239">
        <v>0</v>
      </c>
      <c r="E3239">
        <v>0</v>
      </c>
      <c r="F3239">
        <v>2992</v>
      </c>
      <c r="G3239" t="s">
        <v>13953</v>
      </c>
      <c r="H3239">
        <v>12053.41</v>
      </c>
      <c r="I3239">
        <v>26.06</v>
      </c>
      <c r="J3239" t="s">
        <v>120</v>
      </c>
      <c r="K3239" t="s">
        <v>13954</v>
      </c>
      <c r="L3239">
        <v>1.28</v>
      </c>
      <c r="M3239">
        <v>3.92</v>
      </c>
      <c r="N3239">
        <v>0.81</v>
      </c>
      <c r="O3239">
        <v>2.29</v>
      </c>
      <c r="P3239">
        <v>4.0199999999999996</v>
      </c>
      <c r="Q3239">
        <v>-1.02</v>
      </c>
      <c r="R3239">
        <v>3.89</v>
      </c>
      <c r="S3239">
        <v>3.93</v>
      </c>
      <c r="T3239">
        <v>304504</v>
      </c>
      <c r="U3239">
        <v>3.93</v>
      </c>
      <c r="V3239">
        <v>3.93</v>
      </c>
      <c r="W3239">
        <v>114.43</v>
      </c>
      <c r="X3239" t="s">
        <v>593</v>
      </c>
      <c r="Y3239" t="s">
        <v>578</v>
      </c>
      <c r="Z3239">
        <v>3.31</v>
      </c>
      <c r="AA3239">
        <v>3.96</v>
      </c>
      <c r="AB3239">
        <v>154075</v>
      </c>
      <c r="AC3239">
        <v>150429</v>
      </c>
      <c r="AD3239">
        <v>1.02</v>
      </c>
      <c r="AE3239">
        <v>379</v>
      </c>
      <c r="AF3239">
        <v>3044</v>
      </c>
      <c r="AG3239" t="s">
        <v>120</v>
      </c>
      <c r="AH3239">
        <v>0</v>
      </c>
      <c r="AI3239" t="s">
        <v>120</v>
      </c>
      <c r="AJ3239">
        <v>23.77</v>
      </c>
      <c r="AK3239" t="s">
        <v>13955</v>
      </c>
      <c r="AL3239">
        <v>1.0900000000000001</v>
      </c>
      <c r="AM3239">
        <v>2331</v>
      </c>
      <c r="AN3239">
        <v>131</v>
      </c>
      <c r="AO3239">
        <v>5.0000000000000001E-4</v>
      </c>
      <c r="AP3239">
        <v>-1</v>
      </c>
      <c r="AQ3239">
        <v>1.29</v>
      </c>
      <c r="AR3239">
        <v>-3.44</v>
      </c>
      <c r="AS3239">
        <v>6.52</v>
      </c>
      <c r="AT3239">
        <v>16.66</v>
      </c>
      <c r="AU3239">
        <v>-1.75</v>
      </c>
      <c r="AV3239">
        <v>6</v>
      </c>
      <c r="AW3239">
        <v>1.58</v>
      </c>
      <c r="AX3239">
        <v>26.51</v>
      </c>
      <c r="AY3239">
        <v>77.22</v>
      </c>
      <c r="AZ3239">
        <v>84.71</v>
      </c>
      <c r="BA3239">
        <v>0.72</v>
      </c>
      <c r="BB3239" t="s">
        <v>143</v>
      </c>
      <c r="BF3239">
        <v>0.72</v>
      </c>
      <c r="BG3239">
        <v>-0.25</v>
      </c>
      <c r="BH3239">
        <v>-2.4900000000000002</v>
      </c>
      <c r="BI3239">
        <v>0.77</v>
      </c>
      <c r="BJ3239">
        <v>20210818</v>
      </c>
      <c r="BK3239">
        <v>20200608</v>
      </c>
      <c r="BL3239">
        <v>72.680000000000007</v>
      </c>
      <c r="BM3239" t="s">
        <v>120</v>
      </c>
      <c r="BN3239" t="s">
        <v>120</v>
      </c>
      <c r="BO3239">
        <v>268.38</v>
      </c>
      <c r="BP3239">
        <v>3.92</v>
      </c>
      <c r="BQ3239">
        <v>127.49</v>
      </c>
      <c r="BR3239">
        <v>5.59</v>
      </c>
      <c r="BS3239">
        <v>50.41</v>
      </c>
      <c r="BT3239">
        <v>187.28</v>
      </c>
      <c r="BU3239">
        <v>35.19</v>
      </c>
      <c r="BV3239">
        <v>30.94</v>
      </c>
      <c r="BW3239">
        <v>95.94</v>
      </c>
      <c r="BX3239">
        <v>67.84</v>
      </c>
      <c r="BY3239">
        <v>31.59</v>
      </c>
      <c r="BZ3239">
        <v>47.68</v>
      </c>
      <c r="CA3239" t="s">
        <v>120</v>
      </c>
      <c r="CB3239">
        <v>149.47999999999999</v>
      </c>
      <c r="CC3239">
        <v>45.3</v>
      </c>
      <c r="CD3239">
        <v>39.840000000000003</v>
      </c>
      <c r="CE3239">
        <v>0.93</v>
      </c>
      <c r="CF3239">
        <v>0.16</v>
      </c>
      <c r="CG3239">
        <v>1.59</v>
      </c>
      <c r="CH3239">
        <v>1.31</v>
      </c>
      <c r="CI3239">
        <v>1.24</v>
      </c>
      <c r="CJ3239">
        <v>-0.01</v>
      </c>
      <c r="CK3239">
        <v>0.31</v>
      </c>
      <c r="CL3239">
        <v>-97.57</v>
      </c>
      <c r="CM3239">
        <v>-0.15</v>
      </c>
      <c r="CN3239">
        <v>-8.74</v>
      </c>
      <c r="CO3239">
        <v>53009</v>
      </c>
      <c r="CP3239">
        <v>36355</v>
      </c>
      <c r="CQ3239" t="s">
        <v>13956</v>
      </c>
      <c r="CR3239">
        <v>35.65</v>
      </c>
      <c r="CS3239">
        <v>23.32</v>
      </c>
      <c r="CT3239">
        <v>2.23</v>
      </c>
      <c r="CU3239">
        <v>-1878.27</v>
      </c>
      <c r="CV3239">
        <v>6.29</v>
      </c>
      <c r="CW3239">
        <v>0</v>
      </c>
      <c r="CX3239" t="s">
        <v>5814</v>
      </c>
      <c r="CY3239">
        <v>1.75</v>
      </c>
      <c r="CZ3239">
        <v>0</v>
      </c>
      <c r="DA3239">
        <v>2.06</v>
      </c>
      <c r="DB3239">
        <v>-1.34</v>
      </c>
      <c r="DC3239">
        <v>0</v>
      </c>
      <c r="DD3239">
        <v>47.51</v>
      </c>
      <c r="DE3239" t="s">
        <v>13597</v>
      </c>
      <c r="DF3239">
        <v>12.05</v>
      </c>
      <c r="DG3239">
        <v>2.06</v>
      </c>
      <c r="DH3239">
        <v>2.75</v>
      </c>
      <c r="DI3239">
        <v>0.92</v>
      </c>
      <c r="DJ3239">
        <v>8696</v>
      </c>
      <c r="DK3239">
        <v>601399</v>
      </c>
      <c r="DL3239" t="s">
        <v>120</v>
      </c>
      <c r="DM3239" t="s">
        <v>120</v>
      </c>
      <c r="DN3239" t="s">
        <v>120</v>
      </c>
    </row>
    <row r="3240" spans="1:118">
      <c r="A3240" t="str">
        <f>"601456"</f>
        <v>601456</v>
      </c>
      <c r="B3240" t="s">
        <v>13957</v>
      </c>
      <c r="C3240">
        <v>-1.85</v>
      </c>
      <c r="D3240">
        <v>-7.0000000000000007E-2</v>
      </c>
      <c r="E3240">
        <v>0.37</v>
      </c>
      <c r="F3240">
        <v>2996</v>
      </c>
      <c r="G3240" t="s">
        <v>991</v>
      </c>
      <c r="H3240">
        <v>30087.91</v>
      </c>
      <c r="I3240">
        <v>137.43</v>
      </c>
      <c r="J3240" t="s">
        <v>120</v>
      </c>
      <c r="K3240" t="s">
        <v>991</v>
      </c>
      <c r="L3240">
        <v>4.1900000000000004</v>
      </c>
      <c r="M3240">
        <v>13.28</v>
      </c>
      <c r="N3240">
        <v>0.54</v>
      </c>
      <c r="O3240">
        <v>0.44</v>
      </c>
      <c r="P3240">
        <v>13.59</v>
      </c>
      <c r="Q3240">
        <v>-2.2200000000000002</v>
      </c>
      <c r="R3240">
        <v>13.23</v>
      </c>
      <c r="S3240">
        <v>13.58</v>
      </c>
      <c r="T3240">
        <v>224439</v>
      </c>
      <c r="U3240">
        <v>13.29</v>
      </c>
      <c r="V3240">
        <v>13.53</v>
      </c>
      <c r="W3240">
        <v>41.66</v>
      </c>
      <c r="X3240" t="s">
        <v>616</v>
      </c>
      <c r="Y3240" t="s">
        <v>319</v>
      </c>
      <c r="Z3240">
        <v>2.66</v>
      </c>
      <c r="AA3240">
        <v>13.41</v>
      </c>
      <c r="AB3240">
        <v>132038</v>
      </c>
      <c r="AC3240">
        <v>92401</v>
      </c>
      <c r="AD3240">
        <v>1.43</v>
      </c>
      <c r="AE3240">
        <v>1453</v>
      </c>
      <c r="AF3240">
        <v>748</v>
      </c>
      <c r="AG3240" t="s">
        <v>120</v>
      </c>
      <c r="AH3240">
        <v>0.02</v>
      </c>
      <c r="AI3240" t="s">
        <v>120</v>
      </c>
      <c r="AJ3240">
        <v>5.35</v>
      </c>
      <c r="AK3240" t="s">
        <v>13958</v>
      </c>
      <c r="AL3240">
        <v>-0.5</v>
      </c>
      <c r="AM3240">
        <v>4055</v>
      </c>
      <c r="AN3240">
        <v>55</v>
      </c>
      <c r="AO3240">
        <v>1E-3</v>
      </c>
      <c r="AP3240">
        <v>-5</v>
      </c>
      <c r="AQ3240">
        <v>-0.73</v>
      </c>
      <c r="AR3240">
        <v>-6.61</v>
      </c>
      <c r="AS3240">
        <v>-5.41</v>
      </c>
      <c r="AT3240">
        <v>-9.17</v>
      </c>
      <c r="AU3240">
        <v>-37.39</v>
      </c>
      <c r="AV3240">
        <v>7</v>
      </c>
      <c r="AW3240">
        <v>4.1900000000000004</v>
      </c>
      <c r="AX3240">
        <v>27.66</v>
      </c>
      <c r="AY3240">
        <v>49.84</v>
      </c>
      <c r="AZ3240">
        <v>54.73</v>
      </c>
      <c r="BA3240">
        <v>1.29</v>
      </c>
      <c r="BB3240" t="s">
        <v>240</v>
      </c>
      <c r="BF3240">
        <v>-0.92</v>
      </c>
      <c r="BG3240">
        <v>-2.21</v>
      </c>
      <c r="BH3240">
        <v>-2.2799999999999998</v>
      </c>
      <c r="BI3240">
        <v>0.38</v>
      </c>
      <c r="BJ3240">
        <v>20210913</v>
      </c>
      <c r="BK3240">
        <v>20200731</v>
      </c>
      <c r="BL3240">
        <v>23.78</v>
      </c>
      <c r="BM3240" t="s">
        <v>120</v>
      </c>
      <c r="BN3240">
        <v>4.43</v>
      </c>
      <c r="BO3240">
        <v>595.99</v>
      </c>
      <c r="BP3240">
        <v>13.28</v>
      </c>
      <c r="BQ3240">
        <v>106.34</v>
      </c>
      <c r="BR3240" t="s">
        <v>120</v>
      </c>
      <c r="BS3240">
        <v>82.16</v>
      </c>
      <c r="BT3240">
        <v>0</v>
      </c>
      <c r="BU3240">
        <v>0.91</v>
      </c>
      <c r="BV3240">
        <v>0.45</v>
      </c>
      <c r="BW3240">
        <v>0</v>
      </c>
      <c r="BX3240">
        <v>114.48</v>
      </c>
      <c r="BY3240">
        <v>0</v>
      </c>
      <c r="BZ3240">
        <v>0</v>
      </c>
      <c r="CA3240" t="s">
        <v>120</v>
      </c>
      <c r="CB3240">
        <v>36.450000000000003</v>
      </c>
      <c r="CC3240">
        <v>11.3</v>
      </c>
      <c r="CD3240">
        <v>0</v>
      </c>
      <c r="CE3240">
        <v>5.08</v>
      </c>
      <c r="CF3240">
        <v>3.99</v>
      </c>
      <c r="CG3240">
        <v>5.09</v>
      </c>
      <c r="CH3240">
        <v>3.79</v>
      </c>
      <c r="CI3240">
        <v>3.79</v>
      </c>
      <c r="CJ3240">
        <v>-0.25</v>
      </c>
      <c r="CK3240">
        <v>3.72</v>
      </c>
      <c r="CL3240">
        <v>25.2</v>
      </c>
      <c r="CM3240">
        <v>-17.100000000000001</v>
      </c>
      <c r="CN3240">
        <v>-21.52</v>
      </c>
      <c r="CO3240">
        <v>106531</v>
      </c>
      <c r="CP3240">
        <v>5025</v>
      </c>
      <c r="CQ3240" t="s">
        <v>4824</v>
      </c>
      <c r="CR3240">
        <v>17.98</v>
      </c>
      <c r="CS3240">
        <v>37.42</v>
      </c>
      <c r="CT3240">
        <v>2.97</v>
      </c>
      <c r="CU3240">
        <v>-18.47</v>
      </c>
      <c r="CV3240">
        <v>27.95</v>
      </c>
      <c r="CW3240">
        <v>0.89</v>
      </c>
      <c r="CX3240" t="s">
        <v>1091</v>
      </c>
      <c r="CY3240">
        <v>4.47</v>
      </c>
      <c r="CZ3240">
        <v>0</v>
      </c>
      <c r="DA3240">
        <v>1.53</v>
      </c>
      <c r="DB3240">
        <v>1.06</v>
      </c>
      <c r="DC3240">
        <v>-0.72</v>
      </c>
      <c r="DD3240">
        <v>17.84</v>
      </c>
      <c r="DE3240" t="s">
        <v>3308</v>
      </c>
      <c r="DF3240" t="s">
        <v>120</v>
      </c>
      <c r="DG3240">
        <v>44.91</v>
      </c>
      <c r="DH3240">
        <v>33.54</v>
      </c>
      <c r="DI3240" t="s">
        <v>120</v>
      </c>
      <c r="DJ3240">
        <v>1887</v>
      </c>
      <c r="DK3240">
        <v>601456</v>
      </c>
      <c r="DL3240" t="s">
        <v>120</v>
      </c>
      <c r="DM3240" t="s">
        <v>120</v>
      </c>
      <c r="DN3240" t="s">
        <v>120</v>
      </c>
    </row>
    <row r="3241" spans="1:118">
      <c r="A3241" t="str">
        <f>"601500"</f>
        <v>601500</v>
      </c>
      <c r="B3241" t="s">
        <v>13959</v>
      </c>
      <c r="C3241">
        <v>-0.37</v>
      </c>
      <c r="D3241">
        <v>0</v>
      </c>
      <c r="E3241">
        <v>-0.18</v>
      </c>
      <c r="F3241">
        <v>781</v>
      </c>
      <c r="G3241" t="s">
        <v>13960</v>
      </c>
      <c r="H3241">
        <v>5553.48</v>
      </c>
      <c r="I3241">
        <v>0.27</v>
      </c>
      <c r="J3241" t="s">
        <v>120</v>
      </c>
      <c r="K3241" t="s">
        <v>3909</v>
      </c>
      <c r="L3241">
        <v>1.1599999999999999</v>
      </c>
      <c r="M3241">
        <v>5.44</v>
      </c>
      <c r="N3241">
        <v>1.27</v>
      </c>
      <c r="O3241">
        <v>2.0099999999999998</v>
      </c>
      <c r="P3241">
        <v>5.57</v>
      </c>
      <c r="Q3241">
        <v>-0.73</v>
      </c>
      <c r="R3241">
        <v>5.42</v>
      </c>
      <c r="S3241">
        <v>5.45</v>
      </c>
      <c r="T3241">
        <v>100856</v>
      </c>
      <c r="U3241">
        <v>5.45</v>
      </c>
      <c r="V3241">
        <v>5.46</v>
      </c>
      <c r="W3241">
        <v>89.33</v>
      </c>
      <c r="X3241" t="s">
        <v>289</v>
      </c>
      <c r="Y3241" t="s">
        <v>319</v>
      </c>
      <c r="Z3241">
        <v>2.75</v>
      </c>
      <c r="AA3241">
        <v>5.51</v>
      </c>
      <c r="AB3241">
        <v>49217</v>
      </c>
      <c r="AC3241">
        <v>51639</v>
      </c>
      <c r="AD3241">
        <v>0.95</v>
      </c>
      <c r="AE3241">
        <v>26</v>
      </c>
      <c r="AF3241">
        <v>97</v>
      </c>
      <c r="AG3241" t="s">
        <v>120</v>
      </c>
      <c r="AH3241">
        <v>0</v>
      </c>
      <c r="AI3241" t="s">
        <v>120</v>
      </c>
      <c r="AJ3241">
        <v>8.7200000000000006</v>
      </c>
      <c r="AK3241" t="s">
        <v>13961</v>
      </c>
      <c r="AL3241">
        <v>0.98</v>
      </c>
      <c r="AM3241">
        <v>1991</v>
      </c>
      <c r="AN3241">
        <v>51</v>
      </c>
      <c r="AO3241">
        <v>5.9999999999999995E-4</v>
      </c>
      <c r="AP3241">
        <v>-1</v>
      </c>
      <c r="AQ3241">
        <v>0.55000000000000004</v>
      </c>
      <c r="AR3241">
        <v>-1.98</v>
      </c>
      <c r="AS3241">
        <v>-2.16</v>
      </c>
      <c r="AT3241">
        <v>-2.69</v>
      </c>
      <c r="AU3241">
        <v>-5.72</v>
      </c>
      <c r="AV3241">
        <v>0</v>
      </c>
      <c r="AW3241">
        <v>3.03</v>
      </c>
      <c r="AX3241">
        <v>30.93</v>
      </c>
      <c r="AY3241">
        <v>63.84</v>
      </c>
      <c r="AZ3241">
        <v>64.48</v>
      </c>
      <c r="BA3241">
        <v>0.66</v>
      </c>
      <c r="BB3241" t="s">
        <v>168</v>
      </c>
      <c r="BF3241">
        <v>0.85</v>
      </c>
      <c r="BG3241">
        <v>-0.18</v>
      </c>
      <c r="BH3241">
        <v>-2.33</v>
      </c>
      <c r="BI3241">
        <v>0.37</v>
      </c>
      <c r="BJ3241">
        <v>20210901</v>
      </c>
      <c r="BK3241">
        <v>20160919</v>
      </c>
      <c r="BL3241">
        <v>10.75</v>
      </c>
      <c r="BM3241" t="s">
        <v>120</v>
      </c>
      <c r="BN3241" t="s">
        <v>120</v>
      </c>
      <c r="BO3241">
        <v>86.41</v>
      </c>
      <c r="BP3241">
        <v>5.44</v>
      </c>
      <c r="BQ3241">
        <v>43.71</v>
      </c>
      <c r="BR3241" t="s">
        <v>120</v>
      </c>
      <c r="BS3241">
        <v>49.42</v>
      </c>
      <c r="BT3241">
        <v>36.36</v>
      </c>
      <c r="BU3241">
        <v>28.63</v>
      </c>
      <c r="BV3241">
        <v>4.3899999999999997</v>
      </c>
      <c r="BW3241">
        <v>29.62</v>
      </c>
      <c r="BX3241">
        <v>12.02</v>
      </c>
      <c r="BY3241">
        <v>15.3</v>
      </c>
      <c r="BZ3241">
        <v>6.88</v>
      </c>
      <c r="CA3241" t="s">
        <v>120</v>
      </c>
      <c r="CB3241">
        <v>22.05</v>
      </c>
      <c r="CC3241">
        <v>21.6</v>
      </c>
      <c r="CD3241">
        <v>19.14</v>
      </c>
      <c r="CE3241">
        <v>0.31</v>
      </c>
      <c r="CF3241">
        <v>0.13</v>
      </c>
      <c r="CG3241">
        <v>0.31</v>
      </c>
      <c r="CH3241">
        <v>0.33</v>
      </c>
      <c r="CI3241">
        <v>0.33</v>
      </c>
      <c r="CJ3241">
        <v>-0.02</v>
      </c>
      <c r="CK3241">
        <v>0.11</v>
      </c>
      <c r="CL3241">
        <v>10.29</v>
      </c>
      <c r="CM3241">
        <v>0.06</v>
      </c>
      <c r="CN3241">
        <v>8.3800000000000008</v>
      </c>
      <c r="CO3241">
        <v>37340</v>
      </c>
      <c r="CP3241">
        <v>8903</v>
      </c>
      <c r="CQ3241" t="s">
        <v>6195</v>
      </c>
      <c r="CR3241">
        <v>2.86</v>
      </c>
      <c r="CS3241">
        <v>56.68</v>
      </c>
      <c r="CT3241">
        <v>1.34</v>
      </c>
      <c r="CU3241">
        <v>911.82</v>
      </c>
      <c r="CV3241">
        <v>2.71</v>
      </c>
      <c r="CW3241">
        <v>2.08</v>
      </c>
      <c r="CX3241" t="s">
        <v>2074</v>
      </c>
      <c r="CY3241">
        <v>4.07</v>
      </c>
      <c r="CZ3241">
        <v>0</v>
      </c>
      <c r="DA3241">
        <v>2.0499999999999998</v>
      </c>
      <c r="DB3241">
        <v>0.96</v>
      </c>
      <c r="DC3241">
        <v>0.01</v>
      </c>
      <c r="DD3241">
        <v>50.58</v>
      </c>
      <c r="DE3241" t="s">
        <v>521</v>
      </c>
      <c r="DF3241">
        <v>11.4</v>
      </c>
      <c r="DG3241">
        <v>1.42</v>
      </c>
      <c r="DH3241">
        <v>1.51</v>
      </c>
      <c r="DI3241">
        <v>0.64</v>
      </c>
      <c r="DJ3241">
        <v>4172</v>
      </c>
      <c r="DK3241">
        <v>601500</v>
      </c>
      <c r="DL3241" t="s">
        <v>120</v>
      </c>
      <c r="DM3241" t="s">
        <v>120</v>
      </c>
      <c r="DN3241" t="s">
        <v>120</v>
      </c>
    </row>
    <row r="3242" spans="1:118">
      <c r="A3242" t="str">
        <f>"601512"</f>
        <v>601512</v>
      </c>
      <c r="B3242" t="s">
        <v>13962</v>
      </c>
      <c r="C3242">
        <v>1.08</v>
      </c>
      <c r="D3242">
        <v>0.21</v>
      </c>
      <c r="E3242">
        <v>0.22</v>
      </c>
      <c r="F3242">
        <v>404</v>
      </c>
      <c r="G3242" t="s">
        <v>7756</v>
      </c>
      <c r="H3242">
        <v>2307.71</v>
      </c>
      <c r="I3242">
        <v>3.33</v>
      </c>
      <c r="J3242" t="s">
        <v>120</v>
      </c>
      <c r="K3242" t="s">
        <v>13963</v>
      </c>
      <c r="L3242">
        <v>0.31</v>
      </c>
      <c r="M3242">
        <v>9.34</v>
      </c>
      <c r="N3242">
        <v>1.08</v>
      </c>
      <c r="O3242">
        <v>2.27</v>
      </c>
      <c r="P3242">
        <v>9.4499999999999993</v>
      </c>
      <c r="Q3242">
        <v>-0.22</v>
      </c>
      <c r="R3242">
        <v>9.2200000000000006</v>
      </c>
      <c r="S3242">
        <v>9.26</v>
      </c>
      <c r="T3242">
        <v>24677</v>
      </c>
      <c r="U3242">
        <v>9.34</v>
      </c>
      <c r="V3242">
        <v>9.24</v>
      </c>
      <c r="W3242">
        <v>7.63</v>
      </c>
      <c r="X3242" t="s">
        <v>1384</v>
      </c>
      <c r="Y3242" t="s">
        <v>319</v>
      </c>
      <c r="Z3242">
        <v>2.4900000000000002</v>
      </c>
      <c r="AA3242">
        <v>9.35</v>
      </c>
      <c r="AB3242">
        <v>13187</v>
      </c>
      <c r="AC3242">
        <v>11490</v>
      </c>
      <c r="AD3242">
        <v>1.1499999999999999</v>
      </c>
      <c r="AE3242">
        <v>203</v>
      </c>
      <c r="AF3242">
        <v>98</v>
      </c>
      <c r="AG3242" t="s">
        <v>120</v>
      </c>
      <c r="AH3242">
        <v>0</v>
      </c>
      <c r="AI3242" t="s">
        <v>120</v>
      </c>
      <c r="AJ3242">
        <v>7.97</v>
      </c>
      <c r="AK3242" t="s">
        <v>13964</v>
      </c>
      <c r="AL3242">
        <v>2.4300000000000002</v>
      </c>
      <c r="AM3242">
        <v>1496</v>
      </c>
      <c r="AN3242">
        <v>16</v>
      </c>
      <c r="AO3242">
        <v>2.0000000000000001E-4</v>
      </c>
      <c r="AP3242">
        <v>1</v>
      </c>
      <c r="AQ3242">
        <v>0</v>
      </c>
      <c r="AR3242">
        <v>-1.1599999999999999</v>
      </c>
      <c r="AS3242">
        <v>5.89</v>
      </c>
      <c r="AT3242">
        <v>-6.51</v>
      </c>
      <c r="AU3242">
        <v>-3.5</v>
      </c>
      <c r="AV3242">
        <v>0</v>
      </c>
      <c r="AW3242">
        <v>0.87</v>
      </c>
      <c r="AX3242">
        <v>19</v>
      </c>
      <c r="AY3242">
        <v>9.74</v>
      </c>
      <c r="AZ3242">
        <v>10.59</v>
      </c>
      <c r="BA3242">
        <v>0.53</v>
      </c>
      <c r="BB3242" t="s">
        <v>143</v>
      </c>
      <c r="BF3242">
        <v>1.21</v>
      </c>
      <c r="BG3242">
        <v>0.86</v>
      </c>
      <c r="BH3242">
        <v>-1.1599999999999999</v>
      </c>
      <c r="BI3242">
        <v>1.3</v>
      </c>
      <c r="BJ3242">
        <v>20210824</v>
      </c>
      <c r="BK3242">
        <v>20191220</v>
      </c>
      <c r="BL3242">
        <v>14.99</v>
      </c>
      <c r="BM3242" t="s">
        <v>120</v>
      </c>
      <c r="BN3242" t="s">
        <v>120</v>
      </c>
      <c r="BO3242">
        <v>273.06</v>
      </c>
      <c r="BP3242">
        <v>9.32</v>
      </c>
      <c r="BQ3242">
        <v>115.74</v>
      </c>
      <c r="BR3242">
        <v>40.86</v>
      </c>
      <c r="BS3242">
        <v>42.65</v>
      </c>
      <c r="BT3242">
        <v>152.19</v>
      </c>
      <c r="BU3242">
        <v>15.3</v>
      </c>
      <c r="BV3242">
        <v>1.95</v>
      </c>
      <c r="BW3242">
        <v>68.39</v>
      </c>
      <c r="BX3242">
        <v>41.53</v>
      </c>
      <c r="BY3242">
        <v>97.97</v>
      </c>
      <c r="BZ3242">
        <v>4.62</v>
      </c>
      <c r="CA3242">
        <v>0.85</v>
      </c>
      <c r="CB3242">
        <v>12.34</v>
      </c>
      <c r="CC3242">
        <v>20.63</v>
      </c>
      <c r="CD3242">
        <v>6.97</v>
      </c>
      <c r="CE3242">
        <v>14.12</v>
      </c>
      <c r="CF3242">
        <v>1.37</v>
      </c>
      <c r="CG3242">
        <v>14.14</v>
      </c>
      <c r="CH3242">
        <v>11.06</v>
      </c>
      <c r="CI3242">
        <v>9.17</v>
      </c>
      <c r="CJ3242">
        <v>0.1</v>
      </c>
      <c r="CK3242">
        <v>9.09</v>
      </c>
      <c r="CL3242">
        <v>82.8</v>
      </c>
      <c r="CM3242">
        <v>8.9600000000000009</v>
      </c>
      <c r="CN3242">
        <v>2.23</v>
      </c>
      <c r="CO3242">
        <v>27024</v>
      </c>
      <c r="CP3242">
        <v>10538</v>
      </c>
      <c r="CQ3242" t="s">
        <v>12138</v>
      </c>
      <c r="CR3242">
        <v>14.29</v>
      </c>
      <c r="CS3242">
        <v>13.85</v>
      </c>
      <c r="CT3242">
        <v>1.21</v>
      </c>
      <c r="CU3242">
        <v>15.63</v>
      </c>
      <c r="CV3242">
        <v>6.79</v>
      </c>
      <c r="CW3242">
        <v>2.84</v>
      </c>
      <c r="CX3242" t="s">
        <v>1656</v>
      </c>
      <c r="CY3242">
        <v>7.72</v>
      </c>
      <c r="CZ3242">
        <v>0</v>
      </c>
      <c r="DA3242">
        <v>0.82</v>
      </c>
      <c r="DB3242">
        <v>5.52</v>
      </c>
      <c r="DC3242">
        <v>0.6</v>
      </c>
      <c r="DD3242">
        <v>42.38</v>
      </c>
      <c r="DE3242" t="s">
        <v>13221</v>
      </c>
      <c r="DF3242">
        <v>66.2</v>
      </c>
      <c r="DG3242">
        <v>68.44</v>
      </c>
      <c r="DH3242">
        <v>44.44</v>
      </c>
      <c r="DI3242">
        <v>0.06</v>
      </c>
      <c r="DJ3242">
        <v>1843</v>
      </c>
      <c r="DK3242">
        <v>601512</v>
      </c>
      <c r="DL3242" t="s">
        <v>120</v>
      </c>
      <c r="DM3242" t="s">
        <v>120</v>
      </c>
      <c r="DN3242" t="s">
        <v>120</v>
      </c>
    </row>
    <row r="3243" spans="1:118">
      <c r="A3243" t="str">
        <f>"601515"</f>
        <v>601515</v>
      </c>
      <c r="B3243" t="s">
        <v>13965</v>
      </c>
      <c r="C3243">
        <v>-1</v>
      </c>
      <c r="D3243">
        <v>0</v>
      </c>
      <c r="E3243">
        <v>-0.12</v>
      </c>
      <c r="F3243">
        <v>881</v>
      </c>
      <c r="G3243" t="s">
        <v>5463</v>
      </c>
      <c r="H3243">
        <v>15041.39</v>
      </c>
      <c r="I3243">
        <v>26.67</v>
      </c>
      <c r="J3243" t="s">
        <v>120</v>
      </c>
      <c r="K3243" t="s">
        <v>13966</v>
      </c>
      <c r="L3243">
        <v>1.4</v>
      </c>
      <c r="M3243">
        <v>7.94</v>
      </c>
      <c r="N3243">
        <v>0.8</v>
      </c>
      <c r="O3243">
        <v>3.12</v>
      </c>
      <c r="P3243">
        <v>8.27</v>
      </c>
      <c r="Q3243">
        <v>-1.62</v>
      </c>
      <c r="R3243">
        <v>7.89</v>
      </c>
      <c r="S3243">
        <v>8.01</v>
      </c>
      <c r="T3243">
        <v>186618</v>
      </c>
      <c r="U3243">
        <v>7.95</v>
      </c>
      <c r="V3243">
        <v>8.02</v>
      </c>
      <c r="W3243">
        <v>11.29</v>
      </c>
      <c r="X3243" t="s">
        <v>339</v>
      </c>
      <c r="Y3243" t="s">
        <v>547</v>
      </c>
      <c r="Z3243">
        <v>4.74</v>
      </c>
      <c r="AA3243">
        <v>8.06</v>
      </c>
      <c r="AB3243">
        <v>85883</v>
      </c>
      <c r="AC3243">
        <v>100735</v>
      </c>
      <c r="AD3243">
        <v>0.85</v>
      </c>
      <c r="AE3243">
        <v>68</v>
      </c>
      <c r="AF3243">
        <v>143</v>
      </c>
      <c r="AG3243" t="s">
        <v>120</v>
      </c>
      <c r="AH3243">
        <v>0.01</v>
      </c>
      <c r="AI3243" t="s">
        <v>120</v>
      </c>
      <c r="AJ3243">
        <v>13.34</v>
      </c>
      <c r="AK3243" t="s">
        <v>13966</v>
      </c>
      <c r="AL3243">
        <v>0.35</v>
      </c>
      <c r="AM3243">
        <v>3332</v>
      </c>
      <c r="AN3243">
        <v>56</v>
      </c>
      <c r="AO3243">
        <v>4.0000000000000002E-4</v>
      </c>
      <c r="AP3243">
        <v>-3</v>
      </c>
      <c r="AQ3243">
        <v>-0.37</v>
      </c>
      <c r="AR3243">
        <v>-3.75</v>
      </c>
      <c r="AS3243">
        <v>31.89</v>
      </c>
      <c r="AT3243">
        <v>19.579999999999998</v>
      </c>
      <c r="AU3243">
        <v>48.97</v>
      </c>
      <c r="AV3243">
        <v>3</v>
      </c>
      <c r="AW3243">
        <v>4.9800000000000004</v>
      </c>
      <c r="AX3243">
        <v>28.09</v>
      </c>
      <c r="AY3243">
        <v>14.09</v>
      </c>
      <c r="AZ3243">
        <v>19.55</v>
      </c>
      <c r="BA3243">
        <v>0.84</v>
      </c>
      <c r="BB3243" t="s">
        <v>143</v>
      </c>
      <c r="BF3243">
        <v>0.5</v>
      </c>
      <c r="BG3243">
        <v>-0.87</v>
      </c>
      <c r="BH3243">
        <v>-3.99</v>
      </c>
      <c r="BI3243">
        <v>0.63</v>
      </c>
      <c r="BJ3243">
        <v>20210831</v>
      </c>
      <c r="BK3243">
        <v>20120216</v>
      </c>
      <c r="BL3243">
        <v>13.34</v>
      </c>
      <c r="BM3243" t="s">
        <v>120</v>
      </c>
      <c r="BN3243" t="s">
        <v>120</v>
      </c>
      <c r="BO3243">
        <v>65.3</v>
      </c>
      <c r="BP3243">
        <v>7.94</v>
      </c>
      <c r="BQ3243">
        <v>44.83</v>
      </c>
      <c r="BR3243" t="s">
        <v>120</v>
      </c>
      <c r="BS3243">
        <v>31.34</v>
      </c>
      <c r="BT3243">
        <v>27.92</v>
      </c>
      <c r="BU3243">
        <v>14.1</v>
      </c>
      <c r="BV3243">
        <v>4.68</v>
      </c>
      <c r="BW3243">
        <v>13.05</v>
      </c>
      <c r="BX3243">
        <v>8.35</v>
      </c>
      <c r="BY3243">
        <v>7.98</v>
      </c>
      <c r="BZ3243">
        <v>6.4</v>
      </c>
      <c r="CA3243">
        <v>0</v>
      </c>
      <c r="CB3243">
        <v>0</v>
      </c>
      <c r="CC3243">
        <v>18.62</v>
      </c>
      <c r="CD3243">
        <v>12.37</v>
      </c>
      <c r="CE3243">
        <v>5.8</v>
      </c>
      <c r="CF3243">
        <v>2.92</v>
      </c>
      <c r="CG3243">
        <v>5.79</v>
      </c>
      <c r="CH3243">
        <v>4.66</v>
      </c>
      <c r="CI3243">
        <v>4.6900000000000004</v>
      </c>
      <c r="CJ3243">
        <v>-0.08</v>
      </c>
      <c r="CK3243">
        <v>4.6100000000000003</v>
      </c>
      <c r="CL3243">
        <v>25.5</v>
      </c>
      <c r="CM3243">
        <v>1.68</v>
      </c>
      <c r="CN3243">
        <v>-3.41</v>
      </c>
      <c r="CO3243">
        <v>29222</v>
      </c>
      <c r="CP3243">
        <v>12827</v>
      </c>
      <c r="CQ3243" t="s">
        <v>13927</v>
      </c>
      <c r="CR3243">
        <v>82.5</v>
      </c>
      <c r="CS3243">
        <v>24.29</v>
      </c>
      <c r="CT3243">
        <v>2.39</v>
      </c>
      <c r="CU3243">
        <v>63.18</v>
      </c>
      <c r="CV3243">
        <v>5.69</v>
      </c>
      <c r="CW3243">
        <v>3.74</v>
      </c>
      <c r="CX3243" t="s">
        <v>269</v>
      </c>
      <c r="CY3243">
        <v>3.32</v>
      </c>
      <c r="CZ3243">
        <v>3.32</v>
      </c>
      <c r="DA3243">
        <v>0</v>
      </c>
      <c r="DB3243">
        <v>1.91</v>
      </c>
      <c r="DC3243">
        <v>0.13</v>
      </c>
      <c r="DD3243">
        <v>68.66</v>
      </c>
      <c r="DE3243" t="s">
        <v>13967</v>
      </c>
      <c r="DF3243">
        <v>33.57</v>
      </c>
      <c r="DG3243">
        <v>31.15</v>
      </c>
      <c r="DH3243">
        <v>25.2</v>
      </c>
      <c r="DI3243">
        <v>0.78</v>
      </c>
      <c r="DJ3243">
        <v>3811</v>
      </c>
      <c r="DK3243">
        <v>601515</v>
      </c>
      <c r="DL3243" t="s">
        <v>120</v>
      </c>
      <c r="DM3243" t="s">
        <v>120</v>
      </c>
      <c r="DN3243" t="s">
        <v>120</v>
      </c>
    </row>
    <row r="3244" spans="1:118">
      <c r="A3244" t="str">
        <f>"601518"</f>
        <v>601518</v>
      </c>
      <c r="B3244" t="s">
        <v>13968</v>
      </c>
      <c r="C3244">
        <v>-2.2000000000000002</v>
      </c>
      <c r="D3244">
        <v>0.38</v>
      </c>
      <c r="E3244">
        <v>-0.37</v>
      </c>
      <c r="F3244">
        <v>1120</v>
      </c>
      <c r="G3244" t="s">
        <v>8325</v>
      </c>
      <c r="H3244">
        <v>3170.51</v>
      </c>
      <c r="I3244">
        <v>3.18</v>
      </c>
      <c r="J3244" t="s">
        <v>120</v>
      </c>
      <c r="K3244" t="s">
        <v>13969</v>
      </c>
      <c r="L3244">
        <v>0.86</v>
      </c>
      <c r="M3244">
        <v>2.67</v>
      </c>
      <c r="N3244">
        <v>0.85</v>
      </c>
      <c r="O3244">
        <v>2.2000000000000002</v>
      </c>
      <c r="P3244">
        <v>2.79</v>
      </c>
      <c r="Q3244">
        <v>-2.56</v>
      </c>
      <c r="R3244">
        <v>2.66</v>
      </c>
      <c r="S3244">
        <v>2.72</v>
      </c>
      <c r="T3244">
        <v>116368</v>
      </c>
      <c r="U3244">
        <v>2.67</v>
      </c>
      <c r="V3244">
        <v>2.73</v>
      </c>
      <c r="W3244">
        <v>10.41</v>
      </c>
      <c r="X3244" t="s">
        <v>800</v>
      </c>
      <c r="Y3244" t="s">
        <v>290</v>
      </c>
      <c r="Z3244">
        <v>4.76</v>
      </c>
      <c r="AA3244">
        <v>2.72</v>
      </c>
      <c r="AB3244">
        <v>63607</v>
      </c>
      <c r="AC3244">
        <v>52761</v>
      </c>
      <c r="AD3244">
        <v>1.21</v>
      </c>
      <c r="AE3244">
        <v>812</v>
      </c>
      <c r="AF3244">
        <v>13</v>
      </c>
      <c r="AG3244" t="s">
        <v>120</v>
      </c>
      <c r="AH3244">
        <v>0</v>
      </c>
      <c r="AI3244" t="s">
        <v>120</v>
      </c>
      <c r="AJ3244">
        <v>13.5</v>
      </c>
      <c r="AK3244" t="s">
        <v>13969</v>
      </c>
      <c r="AL3244">
        <v>-0.85</v>
      </c>
      <c r="AM3244">
        <v>2089</v>
      </c>
      <c r="AN3244">
        <v>56</v>
      </c>
      <c r="AO3244">
        <v>4.0000000000000002E-4</v>
      </c>
      <c r="AP3244">
        <v>-1</v>
      </c>
      <c r="AQ3244">
        <v>3.02</v>
      </c>
      <c r="AR3244">
        <v>-2.91</v>
      </c>
      <c r="AS3244">
        <v>19.190000000000001</v>
      </c>
      <c r="AT3244">
        <v>15.58</v>
      </c>
      <c r="AU3244">
        <v>16.59</v>
      </c>
      <c r="AV3244">
        <v>0</v>
      </c>
      <c r="AW3244">
        <v>2.73</v>
      </c>
      <c r="AX3244">
        <v>31.6</v>
      </c>
      <c r="AY3244">
        <v>10.74</v>
      </c>
      <c r="AZ3244">
        <v>37.159999999999997</v>
      </c>
      <c r="BA3244">
        <v>0.48</v>
      </c>
      <c r="BB3244" t="s">
        <v>184</v>
      </c>
      <c r="BF3244">
        <v>-0.2</v>
      </c>
      <c r="BG3244">
        <v>-1.84</v>
      </c>
      <c r="BH3244">
        <v>-4.3</v>
      </c>
      <c r="BI3244">
        <v>0.38</v>
      </c>
      <c r="BJ3244">
        <v>20210821</v>
      </c>
      <c r="BK3244">
        <v>20100319</v>
      </c>
      <c r="BL3244">
        <v>13.5</v>
      </c>
      <c r="BM3244" t="s">
        <v>120</v>
      </c>
      <c r="BN3244" t="s">
        <v>120</v>
      </c>
      <c r="BO3244">
        <v>66.55</v>
      </c>
      <c r="BP3244">
        <v>2.66</v>
      </c>
      <c r="BQ3244">
        <v>39.299999999999997</v>
      </c>
      <c r="BR3244">
        <v>3.06</v>
      </c>
      <c r="BS3244">
        <v>36.35</v>
      </c>
      <c r="BT3244">
        <v>13.91</v>
      </c>
      <c r="BU3244">
        <v>51.7</v>
      </c>
      <c r="BV3244">
        <v>0.19</v>
      </c>
      <c r="BW3244">
        <v>10.11</v>
      </c>
      <c r="BX3244">
        <v>9.26</v>
      </c>
      <c r="BY3244">
        <v>2.8</v>
      </c>
      <c r="BZ3244">
        <v>1.35</v>
      </c>
      <c r="CA3244" t="s">
        <v>120</v>
      </c>
      <c r="CB3244">
        <v>6.26</v>
      </c>
      <c r="CC3244">
        <v>5.04</v>
      </c>
      <c r="CD3244">
        <v>1.94</v>
      </c>
      <c r="CE3244">
        <v>2.36</v>
      </c>
      <c r="CF3244">
        <v>0</v>
      </c>
      <c r="CG3244">
        <v>2.34</v>
      </c>
      <c r="CH3244">
        <v>1.82</v>
      </c>
      <c r="CI3244">
        <v>1.73</v>
      </c>
      <c r="CJ3244">
        <v>-0.06</v>
      </c>
      <c r="CK3244">
        <v>1.74</v>
      </c>
      <c r="CL3244">
        <v>17.100000000000001</v>
      </c>
      <c r="CM3244">
        <v>2.73</v>
      </c>
      <c r="CN3244">
        <v>0.56999999999999995</v>
      </c>
      <c r="CO3244">
        <v>49786</v>
      </c>
      <c r="CP3244">
        <v>8571</v>
      </c>
      <c r="CQ3244" t="s">
        <v>13970</v>
      </c>
      <c r="CR3244">
        <v>344.6</v>
      </c>
      <c r="CS3244">
        <v>202.32</v>
      </c>
      <c r="CT3244">
        <v>0.92</v>
      </c>
      <c r="CU3244">
        <v>13.19</v>
      </c>
      <c r="CV3244">
        <v>7.15</v>
      </c>
      <c r="CW3244">
        <v>0</v>
      </c>
      <c r="CX3244" t="s">
        <v>986</v>
      </c>
      <c r="CY3244">
        <v>2.91</v>
      </c>
      <c r="CZ3244">
        <v>0</v>
      </c>
      <c r="DA3244">
        <v>0.46</v>
      </c>
      <c r="DB3244">
        <v>1.27</v>
      </c>
      <c r="DC3244">
        <v>0.2</v>
      </c>
      <c r="DD3244">
        <v>59.05</v>
      </c>
      <c r="DE3244" t="s">
        <v>831</v>
      </c>
      <c r="DF3244">
        <v>61.48</v>
      </c>
      <c r="DG3244">
        <v>46.78</v>
      </c>
      <c r="DH3244">
        <v>34.36</v>
      </c>
      <c r="DI3244" t="s">
        <v>120</v>
      </c>
      <c r="DJ3244">
        <v>1062</v>
      </c>
      <c r="DK3244">
        <v>601518</v>
      </c>
      <c r="DL3244" t="s">
        <v>120</v>
      </c>
      <c r="DM3244" t="s">
        <v>120</v>
      </c>
      <c r="DN3244" t="s">
        <v>120</v>
      </c>
    </row>
    <row r="3245" spans="1:118">
      <c r="A3245" t="str">
        <f>"601519"</f>
        <v>601519</v>
      </c>
      <c r="B3245" t="s">
        <v>13971</v>
      </c>
      <c r="C3245">
        <v>-2.21</v>
      </c>
      <c r="D3245">
        <v>-0.24</v>
      </c>
      <c r="E3245">
        <v>0.12</v>
      </c>
      <c r="F3245">
        <v>5706</v>
      </c>
      <c r="G3245" t="s">
        <v>12713</v>
      </c>
      <c r="H3245">
        <v>18471.3</v>
      </c>
      <c r="I3245">
        <v>26.88</v>
      </c>
      <c r="J3245" t="s">
        <v>120</v>
      </c>
      <c r="K3245" t="s">
        <v>13972</v>
      </c>
      <c r="L3245">
        <v>1.1499999999999999</v>
      </c>
      <c r="M3245">
        <v>7.98</v>
      </c>
      <c r="N3245">
        <v>0.75</v>
      </c>
      <c r="O3245">
        <v>0.61</v>
      </c>
      <c r="P3245">
        <v>8.2100000000000009</v>
      </c>
      <c r="Q3245">
        <v>-2.4500000000000002</v>
      </c>
      <c r="R3245">
        <v>7.96</v>
      </c>
      <c r="S3245">
        <v>8.17</v>
      </c>
      <c r="T3245">
        <v>229069</v>
      </c>
      <c r="U3245">
        <v>7.99</v>
      </c>
      <c r="V3245">
        <v>8.16</v>
      </c>
      <c r="W3245" t="s">
        <v>120</v>
      </c>
      <c r="X3245" t="s">
        <v>141</v>
      </c>
      <c r="Y3245" t="s">
        <v>1510</v>
      </c>
      <c r="Z3245">
        <v>3.06</v>
      </c>
      <c r="AA3245">
        <v>8.06</v>
      </c>
      <c r="AB3245">
        <v>137231</v>
      </c>
      <c r="AC3245">
        <v>91838</v>
      </c>
      <c r="AD3245">
        <v>1.49</v>
      </c>
      <c r="AE3245">
        <v>1834</v>
      </c>
      <c r="AF3245">
        <v>157</v>
      </c>
      <c r="AG3245" t="s">
        <v>120</v>
      </c>
      <c r="AH3245">
        <v>0</v>
      </c>
      <c r="AI3245" t="s">
        <v>120</v>
      </c>
      <c r="AJ3245">
        <v>19.88</v>
      </c>
      <c r="AK3245" t="s">
        <v>13973</v>
      </c>
      <c r="AL3245">
        <v>-0.86</v>
      </c>
      <c r="AM3245">
        <v>3509</v>
      </c>
      <c r="AN3245">
        <v>65</v>
      </c>
      <c r="AO3245">
        <v>2.9999999999999997E-4</v>
      </c>
      <c r="AP3245">
        <v>-1</v>
      </c>
      <c r="AQ3245">
        <v>0.49</v>
      </c>
      <c r="AR3245">
        <v>-4.55</v>
      </c>
      <c r="AS3245">
        <v>-3.39</v>
      </c>
      <c r="AT3245">
        <v>-6.88</v>
      </c>
      <c r="AU3245">
        <v>-23.12</v>
      </c>
      <c r="AV3245">
        <v>2</v>
      </c>
      <c r="AW3245">
        <v>2.73</v>
      </c>
      <c r="AX3245">
        <v>41.32</v>
      </c>
      <c r="AY3245">
        <v>183.87</v>
      </c>
      <c r="AZ3245">
        <v>228.34</v>
      </c>
      <c r="BA3245">
        <v>1.0900000000000001</v>
      </c>
      <c r="BB3245" t="s">
        <v>143</v>
      </c>
      <c r="BF3245">
        <v>-1.18</v>
      </c>
      <c r="BG3245">
        <v>-2.33</v>
      </c>
      <c r="BH3245">
        <v>-2.8</v>
      </c>
      <c r="BI3245">
        <v>0.25</v>
      </c>
      <c r="BJ3245">
        <v>20210827</v>
      </c>
      <c r="BK3245">
        <v>20110128</v>
      </c>
      <c r="BL3245">
        <v>20.28</v>
      </c>
      <c r="BM3245" t="s">
        <v>120</v>
      </c>
      <c r="BN3245" t="s">
        <v>120</v>
      </c>
      <c r="BO3245">
        <v>21.8</v>
      </c>
      <c r="BP3245">
        <v>7.98</v>
      </c>
      <c r="BQ3245">
        <v>15.18</v>
      </c>
      <c r="BR3245" t="s">
        <v>120</v>
      </c>
      <c r="BS3245">
        <v>30.36</v>
      </c>
      <c r="BT3245">
        <v>16.010000000000002</v>
      </c>
      <c r="BU3245">
        <v>0.25</v>
      </c>
      <c r="BV3245">
        <v>0.09</v>
      </c>
      <c r="BW3245">
        <v>5.72</v>
      </c>
      <c r="BX3245">
        <v>12.01</v>
      </c>
      <c r="BY3245">
        <v>0</v>
      </c>
      <c r="BZ3245">
        <v>0.65</v>
      </c>
      <c r="CA3245">
        <v>0.01</v>
      </c>
      <c r="CB3245">
        <v>12.85</v>
      </c>
      <c r="CC3245">
        <v>3.39</v>
      </c>
      <c r="CD3245">
        <v>1.31</v>
      </c>
      <c r="CE3245">
        <v>0.02</v>
      </c>
      <c r="CF3245">
        <v>0.02</v>
      </c>
      <c r="CG3245">
        <v>0.01</v>
      </c>
      <c r="CH3245">
        <v>-0.05</v>
      </c>
      <c r="CI3245">
        <v>-0.05</v>
      </c>
      <c r="CJ3245">
        <v>-0.18</v>
      </c>
      <c r="CK3245">
        <v>-0.09</v>
      </c>
      <c r="CL3245">
        <v>-16.8</v>
      </c>
      <c r="CM3245">
        <v>-0.19</v>
      </c>
      <c r="CN3245">
        <v>0.98</v>
      </c>
      <c r="CO3245">
        <v>156236</v>
      </c>
      <c r="CP3245">
        <v>5364</v>
      </c>
      <c r="CQ3245" t="s">
        <v>5115</v>
      </c>
      <c r="CR3245">
        <v>78.099999999999994</v>
      </c>
      <c r="CS3245">
        <v>27.89</v>
      </c>
      <c r="CT3245">
        <v>10.66</v>
      </c>
      <c r="CU3245">
        <v>-851.58</v>
      </c>
      <c r="CV3245">
        <v>47.74</v>
      </c>
      <c r="CW3245">
        <v>0</v>
      </c>
      <c r="CX3245" t="s">
        <v>9869</v>
      </c>
      <c r="CY3245">
        <v>0.75</v>
      </c>
      <c r="CZ3245">
        <v>0</v>
      </c>
      <c r="DA3245">
        <v>0.63</v>
      </c>
      <c r="DB3245">
        <v>-0.83</v>
      </c>
      <c r="DC3245">
        <v>-0.01</v>
      </c>
      <c r="DD3245">
        <v>69.64</v>
      </c>
      <c r="DE3245" t="s">
        <v>7173</v>
      </c>
      <c r="DF3245">
        <v>61.33</v>
      </c>
      <c r="DG3245">
        <v>0.47</v>
      </c>
      <c r="DH3245">
        <v>-1.45</v>
      </c>
      <c r="DI3245">
        <v>0.75</v>
      </c>
      <c r="DJ3245">
        <v>980</v>
      </c>
      <c r="DK3245">
        <v>601519</v>
      </c>
      <c r="DL3245" t="s">
        <v>120</v>
      </c>
      <c r="DM3245" t="s">
        <v>120</v>
      </c>
      <c r="DN3245" t="s">
        <v>120</v>
      </c>
    </row>
    <row r="3246" spans="1:118">
      <c r="A3246" t="str">
        <f>"601528"</f>
        <v>601528</v>
      </c>
      <c r="B3246" t="s">
        <v>13974</v>
      </c>
      <c r="C3246">
        <v>-2.5099999999999998</v>
      </c>
      <c r="D3246">
        <v>0</v>
      </c>
      <c r="E3246">
        <v>0.28000000000000003</v>
      </c>
      <c r="F3246">
        <v>2816</v>
      </c>
      <c r="G3246" t="s">
        <v>362</v>
      </c>
      <c r="H3246">
        <v>18241.47</v>
      </c>
      <c r="I3246">
        <v>123.54</v>
      </c>
      <c r="J3246" t="s">
        <v>120</v>
      </c>
      <c r="K3246" t="s">
        <v>362</v>
      </c>
      <c r="L3246">
        <v>11.34</v>
      </c>
      <c r="M3246">
        <v>10.48</v>
      </c>
      <c r="N3246">
        <v>0.5</v>
      </c>
      <c r="O3246">
        <v>1.02</v>
      </c>
      <c r="P3246">
        <v>10.86</v>
      </c>
      <c r="Q3246">
        <v>-2.79</v>
      </c>
      <c r="R3246">
        <v>10.45</v>
      </c>
      <c r="S3246">
        <v>10.78</v>
      </c>
      <c r="T3246">
        <v>171117</v>
      </c>
      <c r="U3246">
        <v>10.49</v>
      </c>
      <c r="V3246">
        <v>10.75</v>
      </c>
      <c r="W3246">
        <v>15.23</v>
      </c>
      <c r="X3246" t="s">
        <v>122</v>
      </c>
      <c r="Y3246" t="s">
        <v>585</v>
      </c>
      <c r="Z3246">
        <v>3.81</v>
      </c>
      <c r="AA3246">
        <v>10.66</v>
      </c>
      <c r="AB3246">
        <v>100388</v>
      </c>
      <c r="AC3246">
        <v>70729</v>
      </c>
      <c r="AD3246">
        <v>1.42</v>
      </c>
      <c r="AE3246">
        <v>365</v>
      </c>
      <c r="AF3246">
        <v>474</v>
      </c>
      <c r="AG3246" t="s">
        <v>120</v>
      </c>
      <c r="AH3246">
        <v>0.08</v>
      </c>
      <c r="AI3246" t="s">
        <v>120</v>
      </c>
      <c r="AJ3246">
        <v>1.51</v>
      </c>
      <c r="AK3246" t="s">
        <v>13975</v>
      </c>
      <c r="AL3246">
        <v>-1.17</v>
      </c>
      <c r="AM3246">
        <v>3437</v>
      </c>
      <c r="AN3246">
        <v>50</v>
      </c>
      <c r="AO3246">
        <v>3.3E-3</v>
      </c>
      <c r="AP3246">
        <v>-4</v>
      </c>
      <c r="AQ3246">
        <v>-1.29</v>
      </c>
      <c r="AR3246">
        <v>-7.43</v>
      </c>
      <c r="AS3246">
        <v>-12.67</v>
      </c>
      <c r="AT3246">
        <v>29.06</v>
      </c>
      <c r="AU3246">
        <v>29.06</v>
      </c>
      <c r="AV3246">
        <v>2</v>
      </c>
      <c r="AW3246">
        <v>11.34</v>
      </c>
      <c r="AX3246">
        <v>10</v>
      </c>
      <c r="AY3246">
        <v>13.95</v>
      </c>
      <c r="AZ3246">
        <v>14.69</v>
      </c>
      <c r="BA3246">
        <v>0</v>
      </c>
      <c r="BB3246" t="s">
        <v>125</v>
      </c>
      <c r="BF3246">
        <v>-0.84</v>
      </c>
      <c r="BG3246">
        <v>-2.78</v>
      </c>
      <c r="BH3246">
        <v>-3.5</v>
      </c>
      <c r="BI3246">
        <v>0.28999999999999998</v>
      </c>
      <c r="BJ3246">
        <v>20210825</v>
      </c>
      <c r="BK3246">
        <v>20210625</v>
      </c>
      <c r="BL3246">
        <v>15.09</v>
      </c>
      <c r="BM3246" t="s">
        <v>120</v>
      </c>
      <c r="BN3246" t="s">
        <v>120</v>
      </c>
      <c r="BO3246">
        <v>1361.53</v>
      </c>
      <c r="BP3246">
        <v>10.48</v>
      </c>
      <c r="BQ3246">
        <v>127.79</v>
      </c>
      <c r="BR3246">
        <v>2.2799999999999998</v>
      </c>
      <c r="BS3246">
        <v>90.45</v>
      </c>
      <c r="BT3246">
        <v>0</v>
      </c>
      <c r="BU3246">
        <v>5.82</v>
      </c>
      <c r="BV3246">
        <v>1.33</v>
      </c>
      <c r="BW3246">
        <v>0</v>
      </c>
      <c r="BX3246">
        <v>153.63999999999999</v>
      </c>
      <c r="BY3246">
        <v>0</v>
      </c>
      <c r="BZ3246">
        <v>0</v>
      </c>
      <c r="CA3246" t="s">
        <v>120</v>
      </c>
      <c r="CB3246">
        <v>13.36</v>
      </c>
      <c r="CC3246">
        <v>15.42</v>
      </c>
      <c r="CD3246">
        <v>0</v>
      </c>
      <c r="CE3246">
        <v>5.67</v>
      </c>
      <c r="CF3246">
        <v>1.21</v>
      </c>
      <c r="CG3246">
        <v>5.75</v>
      </c>
      <c r="CH3246">
        <v>5.28</v>
      </c>
      <c r="CI3246">
        <v>5.19</v>
      </c>
      <c r="CJ3246">
        <v>-0.27</v>
      </c>
      <c r="CK3246">
        <v>5.13</v>
      </c>
      <c r="CL3246">
        <v>40.520000000000003</v>
      </c>
      <c r="CM3246">
        <v>-67.36</v>
      </c>
      <c r="CN3246">
        <v>-35.61</v>
      </c>
      <c r="CO3246">
        <v>131464</v>
      </c>
      <c r="CP3246">
        <v>1148</v>
      </c>
      <c r="CQ3246" t="s">
        <v>13976</v>
      </c>
      <c r="CR3246">
        <v>0</v>
      </c>
      <c r="CS3246">
        <v>0</v>
      </c>
      <c r="CT3246">
        <v>1.24</v>
      </c>
      <c r="CU3246">
        <v>-2.35</v>
      </c>
      <c r="CV3246">
        <v>10.26</v>
      </c>
      <c r="CW3246">
        <v>0</v>
      </c>
      <c r="CX3246" t="s">
        <v>2429</v>
      </c>
      <c r="CY3246">
        <v>8.4700000000000006</v>
      </c>
      <c r="CZ3246">
        <v>0</v>
      </c>
      <c r="DA3246">
        <v>0.88</v>
      </c>
      <c r="DB3246">
        <v>2.68</v>
      </c>
      <c r="DC3246">
        <v>-4.46</v>
      </c>
      <c r="DD3246">
        <v>9.39</v>
      </c>
      <c r="DE3246" t="s">
        <v>5424</v>
      </c>
      <c r="DF3246" t="s">
        <v>120</v>
      </c>
      <c r="DG3246">
        <v>36.74</v>
      </c>
      <c r="DH3246">
        <v>33.67</v>
      </c>
      <c r="DI3246" t="s">
        <v>120</v>
      </c>
      <c r="DJ3246">
        <v>2360</v>
      </c>
      <c r="DK3246">
        <v>601528</v>
      </c>
      <c r="DL3246" t="s">
        <v>120</v>
      </c>
      <c r="DM3246" t="s">
        <v>120</v>
      </c>
      <c r="DN3246" t="s">
        <v>120</v>
      </c>
    </row>
    <row r="3247" spans="1:118">
      <c r="A3247" t="str">
        <f>"601555"</f>
        <v>601555</v>
      </c>
      <c r="B3247" t="s">
        <v>13977</v>
      </c>
      <c r="C3247">
        <v>-1.83</v>
      </c>
      <c r="D3247">
        <v>-0.2</v>
      </c>
      <c r="E3247">
        <v>-0.2</v>
      </c>
      <c r="F3247">
        <v>5365</v>
      </c>
      <c r="G3247" t="s">
        <v>13978</v>
      </c>
      <c r="H3247">
        <v>80431.11</v>
      </c>
      <c r="I3247">
        <v>359.85</v>
      </c>
      <c r="J3247" t="s">
        <v>120</v>
      </c>
      <c r="K3247" t="s">
        <v>13979</v>
      </c>
      <c r="L3247">
        <v>2.11</v>
      </c>
      <c r="M3247">
        <v>9.68</v>
      </c>
      <c r="N3247">
        <v>0.77</v>
      </c>
      <c r="O3247">
        <v>1.93</v>
      </c>
      <c r="P3247">
        <v>10.050000000000001</v>
      </c>
      <c r="Q3247">
        <v>-2.23</v>
      </c>
      <c r="R3247">
        <v>9.64</v>
      </c>
      <c r="S3247">
        <v>9.84</v>
      </c>
      <c r="T3247">
        <v>818387</v>
      </c>
      <c r="U3247">
        <v>9.69</v>
      </c>
      <c r="V3247">
        <v>9.86</v>
      </c>
      <c r="W3247">
        <v>14.05</v>
      </c>
      <c r="X3247" t="s">
        <v>616</v>
      </c>
      <c r="Y3247" t="s">
        <v>319</v>
      </c>
      <c r="Z3247">
        <v>4.16</v>
      </c>
      <c r="AA3247">
        <v>9.83</v>
      </c>
      <c r="AB3247">
        <v>418158</v>
      </c>
      <c r="AC3247">
        <v>400229</v>
      </c>
      <c r="AD3247">
        <v>1.04</v>
      </c>
      <c r="AE3247">
        <v>1944</v>
      </c>
      <c r="AF3247">
        <v>1325</v>
      </c>
      <c r="AG3247" t="s">
        <v>120</v>
      </c>
      <c r="AH3247">
        <v>0.01</v>
      </c>
      <c r="AI3247" t="s">
        <v>120</v>
      </c>
      <c r="AJ3247">
        <v>38.81</v>
      </c>
      <c r="AK3247" t="s">
        <v>13979</v>
      </c>
      <c r="AL3247">
        <v>-0.48</v>
      </c>
      <c r="AM3247">
        <v>4615</v>
      </c>
      <c r="AN3247">
        <v>177</v>
      </c>
      <c r="AO3247">
        <v>5.0000000000000001E-4</v>
      </c>
      <c r="AP3247">
        <v>-1</v>
      </c>
      <c r="AQ3247">
        <v>3.03</v>
      </c>
      <c r="AR3247">
        <v>-4.7300000000000004</v>
      </c>
      <c r="AS3247">
        <v>-5.09</v>
      </c>
      <c r="AT3247">
        <v>17.57</v>
      </c>
      <c r="AU3247">
        <v>-0.24</v>
      </c>
      <c r="AV3247">
        <v>1</v>
      </c>
      <c r="AW3247">
        <v>2.91</v>
      </c>
      <c r="AX3247">
        <v>72.42</v>
      </c>
      <c r="AY3247">
        <v>19.010000000000002</v>
      </c>
      <c r="AZ3247">
        <v>22.41</v>
      </c>
      <c r="BA3247">
        <v>0.88</v>
      </c>
      <c r="BB3247" t="s">
        <v>143</v>
      </c>
      <c r="BF3247">
        <v>-0.32</v>
      </c>
      <c r="BG3247">
        <v>-1.63</v>
      </c>
      <c r="BH3247">
        <v>-3.68</v>
      </c>
      <c r="BI3247">
        <v>0.41</v>
      </c>
      <c r="BJ3247">
        <v>20210814</v>
      </c>
      <c r="BK3247">
        <v>20111212</v>
      </c>
      <c r="BL3247">
        <v>38.81</v>
      </c>
      <c r="BM3247" t="s">
        <v>120</v>
      </c>
      <c r="BN3247" t="s">
        <v>120</v>
      </c>
      <c r="BO3247">
        <v>1128.32</v>
      </c>
      <c r="BP3247">
        <v>9.68</v>
      </c>
      <c r="BQ3247">
        <v>281.64999999999998</v>
      </c>
      <c r="BR3247">
        <v>3.37</v>
      </c>
      <c r="BS3247">
        <v>74.739999999999995</v>
      </c>
      <c r="BT3247">
        <v>0</v>
      </c>
      <c r="BU3247">
        <v>15.57</v>
      </c>
      <c r="BV3247">
        <v>2.19</v>
      </c>
      <c r="BW3247">
        <v>0</v>
      </c>
      <c r="BX3247">
        <v>251.32</v>
      </c>
      <c r="BY3247">
        <v>0</v>
      </c>
      <c r="BZ3247">
        <v>0</v>
      </c>
      <c r="CA3247" t="s">
        <v>120</v>
      </c>
      <c r="CB3247">
        <v>167.39</v>
      </c>
      <c r="CC3247">
        <v>40.71</v>
      </c>
      <c r="CD3247">
        <v>0</v>
      </c>
      <c r="CE3247">
        <v>17.32</v>
      </c>
      <c r="CF3247">
        <v>11.98</v>
      </c>
      <c r="CG3247">
        <v>17.309999999999999</v>
      </c>
      <c r="CH3247">
        <v>13.45</v>
      </c>
      <c r="CI3247">
        <v>13.36</v>
      </c>
      <c r="CJ3247">
        <v>-0.18</v>
      </c>
      <c r="CK3247">
        <v>13.17</v>
      </c>
      <c r="CL3247">
        <v>44.95</v>
      </c>
      <c r="CM3247">
        <v>10.73</v>
      </c>
      <c r="CN3247">
        <v>26.34</v>
      </c>
      <c r="CO3247">
        <v>107878</v>
      </c>
      <c r="CP3247">
        <v>26051</v>
      </c>
      <c r="CQ3247" t="s">
        <v>4413</v>
      </c>
      <c r="CR3247">
        <v>29.68</v>
      </c>
      <c r="CS3247">
        <v>13.43</v>
      </c>
      <c r="CT3247">
        <v>1.33</v>
      </c>
      <c r="CU3247">
        <v>35</v>
      </c>
      <c r="CV3247">
        <v>9.23</v>
      </c>
      <c r="CW3247">
        <v>1.58</v>
      </c>
      <c r="CX3247" t="s">
        <v>269</v>
      </c>
      <c r="CY3247">
        <v>7.26</v>
      </c>
      <c r="CZ3247">
        <v>0</v>
      </c>
      <c r="DA3247">
        <v>4.3099999999999996</v>
      </c>
      <c r="DB3247">
        <v>1.1599999999999999</v>
      </c>
      <c r="DC3247">
        <v>0.28000000000000003</v>
      </c>
      <c r="DD3247">
        <v>24.96</v>
      </c>
      <c r="DE3247" t="s">
        <v>1827</v>
      </c>
      <c r="DF3247" t="s">
        <v>120</v>
      </c>
      <c r="DG3247">
        <v>42.53</v>
      </c>
      <c r="DH3247">
        <v>32.82</v>
      </c>
      <c r="DI3247" t="s">
        <v>120</v>
      </c>
      <c r="DJ3247">
        <v>3722</v>
      </c>
      <c r="DK3247">
        <v>601555</v>
      </c>
      <c r="DL3247" t="s">
        <v>120</v>
      </c>
      <c r="DM3247" t="s">
        <v>120</v>
      </c>
      <c r="DN3247" t="s">
        <v>120</v>
      </c>
    </row>
    <row r="3248" spans="1:118">
      <c r="A3248" t="str">
        <f>"601566"</f>
        <v>601566</v>
      </c>
      <c r="B3248" t="s">
        <v>13980</v>
      </c>
      <c r="C3248">
        <v>7.0000000000000007E-2</v>
      </c>
      <c r="D3248">
        <v>0</v>
      </c>
      <c r="E3248">
        <v>0.27</v>
      </c>
      <c r="F3248">
        <v>168</v>
      </c>
      <c r="G3248" t="s">
        <v>958</v>
      </c>
      <c r="H3248">
        <v>1705.26</v>
      </c>
      <c r="I3248">
        <v>1.19</v>
      </c>
      <c r="J3248" t="s">
        <v>120</v>
      </c>
      <c r="K3248" t="s">
        <v>13981</v>
      </c>
      <c r="L3248">
        <v>0.2</v>
      </c>
      <c r="M3248">
        <v>14.79</v>
      </c>
      <c r="N3248">
        <v>0.54</v>
      </c>
      <c r="O3248">
        <v>1.76</v>
      </c>
      <c r="P3248">
        <v>15.04</v>
      </c>
      <c r="Q3248">
        <v>-0.88</v>
      </c>
      <c r="R3248">
        <v>14.65</v>
      </c>
      <c r="S3248">
        <v>14.82</v>
      </c>
      <c r="T3248">
        <v>11489</v>
      </c>
      <c r="U3248">
        <v>14.79</v>
      </c>
      <c r="V3248">
        <v>14.78</v>
      </c>
      <c r="W3248">
        <v>34.71</v>
      </c>
      <c r="X3248" t="s">
        <v>2806</v>
      </c>
      <c r="Y3248" t="s">
        <v>937</v>
      </c>
      <c r="Z3248">
        <v>2.64</v>
      </c>
      <c r="AA3248">
        <v>14.84</v>
      </c>
      <c r="AB3248">
        <v>6531</v>
      </c>
      <c r="AC3248">
        <v>4958</v>
      </c>
      <c r="AD3248">
        <v>1.32</v>
      </c>
      <c r="AE3248">
        <v>117</v>
      </c>
      <c r="AF3248">
        <v>55</v>
      </c>
      <c r="AG3248" t="s">
        <v>120</v>
      </c>
      <c r="AH3248">
        <v>0</v>
      </c>
      <c r="AI3248" t="s">
        <v>120</v>
      </c>
      <c r="AJ3248">
        <v>5.75</v>
      </c>
      <c r="AK3248" t="s">
        <v>13981</v>
      </c>
      <c r="AL3248">
        <v>1.41</v>
      </c>
      <c r="AM3248">
        <v>1136</v>
      </c>
      <c r="AN3248">
        <v>10</v>
      </c>
      <c r="AO3248">
        <v>2.0000000000000001E-4</v>
      </c>
      <c r="AP3248">
        <v>1</v>
      </c>
      <c r="AQ3248">
        <v>-3.34</v>
      </c>
      <c r="AR3248">
        <v>-6.28</v>
      </c>
      <c r="AS3248">
        <v>2.0699999999999998</v>
      </c>
      <c r="AT3248">
        <v>2</v>
      </c>
      <c r="AU3248">
        <v>35.69</v>
      </c>
      <c r="AV3248">
        <v>6</v>
      </c>
      <c r="AW3248">
        <v>0.72</v>
      </c>
      <c r="AX3248">
        <v>27.82</v>
      </c>
      <c r="AY3248">
        <v>29.71</v>
      </c>
      <c r="AZ3248">
        <v>23.02</v>
      </c>
      <c r="BA3248">
        <v>1.05</v>
      </c>
      <c r="BB3248" t="s">
        <v>240</v>
      </c>
      <c r="BF3248">
        <v>0.43</v>
      </c>
      <c r="BG3248">
        <v>-0.2</v>
      </c>
      <c r="BH3248">
        <v>-1.66</v>
      </c>
      <c r="BI3248">
        <v>0.96</v>
      </c>
      <c r="BJ3248">
        <v>20210825</v>
      </c>
      <c r="BK3248">
        <v>20110530</v>
      </c>
      <c r="BL3248">
        <v>5.75</v>
      </c>
      <c r="BM3248" t="s">
        <v>120</v>
      </c>
      <c r="BN3248" t="s">
        <v>120</v>
      </c>
      <c r="BO3248">
        <v>59.36</v>
      </c>
      <c r="BP3248">
        <v>14.78</v>
      </c>
      <c r="BQ3248">
        <v>40.14</v>
      </c>
      <c r="BR3248">
        <v>-0.09</v>
      </c>
      <c r="BS3248">
        <v>32.520000000000003</v>
      </c>
      <c r="BT3248">
        <v>22.86</v>
      </c>
      <c r="BU3248">
        <v>3.3</v>
      </c>
      <c r="BV3248">
        <v>1.36</v>
      </c>
      <c r="BW3248">
        <v>15.77</v>
      </c>
      <c r="BX3248">
        <v>2.33</v>
      </c>
      <c r="BY3248">
        <v>7.62</v>
      </c>
      <c r="BZ3248">
        <v>1.68</v>
      </c>
      <c r="CA3248">
        <v>0.44</v>
      </c>
      <c r="CB3248">
        <v>25.76</v>
      </c>
      <c r="CC3248">
        <v>13.96</v>
      </c>
      <c r="CD3248">
        <v>5.39</v>
      </c>
      <c r="CE3248">
        <v>1.47</v>
      </c>
      <c r="CF3248">
        <v>0.18</v>
      </c>
      <c r="CG3248">
        <v>1.48</v>
      </c>
      <c r="CH3248">
        <v>1.2</v>
      </c>
      <c r="CI3248">
        <v>1.22</v>
      </c>
      <c r="CJ3248">
        <v>0.01</v>
      </c>
      <c r="CK3248">
        <v>0.74</v>
      </c>
      <c r="CL3248">
        <v>5.65</v>
      </c>
      <c r="CM3248">
        <v>0.4</v>
      </c>
      <c r="CN3248">
        <v>-1.91</v>
      </c>
      <c r="CO3248">
        <v>13636</v>
      </c>
      <c r="CP3248">
        <v>11724</v>
      </c>
      <c r="CQ3248" t="s">
        <v>773</v>
      </c>
      <c r="CR3248">
        <v>-40.409999999999997</v>
      </c>
      <c r="CS3248">
        <v>24.43</v>
      </c>
      <c r="CT3248">
        <v>2.12</v>
      </c>
      <c r="CU3248">
        <v>210.81</v>
      </c>
      <c r="CV3248">
        <v>6.09</v>
      </c>
      <c r="CW3248">
        <v>3.38</v>
      </c>
      <c r="CX3248" t="s">
        <v>2097</v>
      </c>
      <c r="CY3248">
        <v>6.99</v>
      </c>
      <c r="CZ3248">
        <v>0</v>
      </c>
      <c r="DA3248">
        <v>4.4800000000000004</v>
      </c>
      <c r="DB3248">
        <v>0.98</v>
      </c>
      <c r="DC3248">
        <v>7.0000000000000007E-2</v>
      </c>
      <c r="DD3248">
        <v>67.62</v>
      </c>
      <c r="DE3248" t="s">
        <v>4017</v>
      </c>
      <c r="DF3248">
        <v>61.37</v>
      </c>
      <c r="DG3248">
        <v>10.52</v>
      </c>
      <c r="DH3248">
        <v>8.77</v>
      </c>
      <c r="DI3248">
        <v>0.24</v>
      </c>
      <c r="DJ3248">
        <v>6856</v>
      </c>
      <c r="DK3248">
        <v>601566</v>
      </c>
      <c r="DL3248" t="s">
        <v>120</v>
      </c>
      <c r="DM3248" t="s">
        <v>120</v>
      </c>
      <c r="DN3248" t="s">
        <v>120</v>
      </c>
    </row>
    <row r="3249" spans="1:118">
      <c r="A3249" t="str">
        <f>"601567"</f>
        <v>601567</v>
      </c>
      <c r="B3249" t="s">
        <v>13982</v>
      </c>
      <c r="C3249">
        <v>-4.05</v>
      </c>
      <c r="D3249">
        <v>7.0000000000000007E-2</v>
      </c>
      <c r="E3249">
        <v>-0.42</v>
      </c>
      <c r="F3249">
        <v>2307</v>
      </c>
      <c r="G3249" t="s">
        <v>9882</v>
      </c>
      <c r="H3249">
        <v>22526.69</v>
      </c>
      <c r="I3249">
        <v>31.51</v>
      </c>
      <c r="J3249" t="s">
        <v>120</v>
      </c>
      <c r="K3249" t="s">
        <v>13983</v>
      </c>
      <c r="L3249">
        <v>1.17</v>
      </c>
      <c r="M3249">
        <v>13.74</v>
      </c>
      <c r="N3249">
        <v>0.95</v>
      </c>
      <c r="O3249">
        <v>0</v>
      </c>
      <c r="P3249">
        <v>14.32</v>
      </c>
      <c r="Q3249">
        <v>-5.24</v>
      </c>
      <c r="R3249">
        <v>13.57</v>
      </c>
      <c r="S3249">
        <v>14.26</v>
      </c>
      <c r="T3249">
        <v>162769</v>
      </c>
      <c r="U3249">
        <v>13.74</v>
      </c>
      <c r="V3249">
        <v>14.32</v>
      </c>
      <c r="W3249">
        <v>19.05</v>
      </c>
      <c r="X3249" t="s">
        <v>2717</v>
      </c>
      <c r="Y3249" t="s">
        <v>585</v>
      </c>
      <c r="Z3249">
        <v>5.24</v>
      </c>
      <c r="AA3249">
        <v>13.84</v>
      </c>
      <c r="AB3249">
        <v>104861</v>
      </c>
      <c r="AC3249">
        <v>57908</v>
      </c>
      <c r="AD3249">
        <v>1.81</v>
      </c>
      <c r="AE3249">
        <v>393</v>
      </c>
      <c r="AF3249">
        <v>150</v>
      </c>
      <c r="AG3249" t="s">
        <v>120</v>
      </c>
      <c r="AH3249">
        <v>0</v>
      </c>
      <c r="AI3249" t="s">
        <v>120</v>
      </c>
      <c r="AJ3249">
        <v>13.87</v>
      </c>
      <c r="AK3249" t="s">
        <v>13983</v>
      </c>
      <c r="AL3249">
        <v>-2.71</v>
      </c>
      <c r="AM3249">
        <v>3536</v>
      </c>
      <c r="AN3249">
        <v>46</v>
      </c>
      <c r="AO3249">
        <v>2.9999999999999997E-4</v>
      </c>
      <c r="AP3249">
        <v>-2</v>
      </c>
      <c r="AQ3249">
        <v>-1.45</v>
      </c>
      <c r="AR3249">
        <v>-4.66</v>
      </c>
      <c r="AS3249">
        <v>-7.66</v>
      </c>
      <c r="AT3249">
        <v>-29.94</v>
      </c>
      <c r="AU3249">
        <v>118.09</v>
      </c>
      <c r="AV3249">
        <v>11</v>
      </c>
      <c r="AW3249">
        <v>2.63</v>
      </c>
      <c r="AX3249">
        <v>44.7</v>
      </c>
      <c r="AY3249">
        <v>20.72</v>
      </c>
      <c r="AZ3249">
        <v>20.77</v>
      </c>
      <c r="BA3249">
        <v>2.2400000000000002</v>
      </c>
      <c r="BB3249" t="s">
        <v>134</v>
      </c>
      <c r="BF3249">
        <v>-3.35</v>
      </c>
      <c r="BG3249">
        <v>-3.65</v>
      </c>
      <c r="BH3249">
        <v>-4.05</v>
      </c>
      <c r="BI3249">
        <v>1.25</v>
      </c>
      <c r="BJ3249">
        <v>20210824</v>
      </c>
      <c r="BK3249">
        <v>20110615</v>
      </c>
      <c r="BL3249">
        <v>13.87</v>
      </c>
      <c r="BM3249" t="s">
        <v>120</v>
      </c>
      <c r="BN3249" t="s">
        <v>120</v>
      </c>
      <c r="BO3249">
        <v>137.83000000000001</v>
      </c>
      <c r="BP3249">
        <v>13.73</v>
      </c>
      <c r="BQ3249">
        <v>84.91</v>
      </c>
      <c r="BR3249">
        <v>0.42</v>
      </c>
      <c r="BS3249">
        <v>38.090000000000003</v>
      </c>
      <c r="BT3249">
        <v>74.67</v>
      </c>
      <c r="BU3249">
        <v>13.46</v>
      </c>
      <c r="BV3249">
        <v>3.8</v>
      </c>
      <c r="BW3249">
        <v>43.18</v>
      </c>
      <c r="BX3249">
        <v>23.53</v>
      </c>
      <c r="BY3249">
        <v>8.4700000000000006</v>
      </c>
      <c r="BZ3249">
        <v>22.92</v>
      </c>
      <c r="CA3249">
        <v>0.01</v>
      </c>
      <c r="CB3249">
        <v>29.19</v>
      </c>
      <c r="CC3249">
        <v>33.450000000000003</v>
      </c>
      <c r="CD3249">
        <v>24.2</v>
      </c>
      <c r="CE3249">
        <v>5.8</v>
      </c>
      <c r="CF3249">
        <v>1.01</v>
      </c>
      <c r="CG3249">
        <v>5.88</v>
      </c>
      <c r="CH3249">
        <v>5.0199999999999996</v>
      </c>
      <c r="CI3249">
        <v>5</v>
      </c>
      <c r="CJ3249">
        <v>-0.57999999999999996</v>
      </c>
      <c r="CK3249">
        <v>4.03</v>
      </c>
      <c r="CL3249">
        <v>38.14</v>
      </c>
      <c r="CM3249">
        <v>-4.04</v>
      </c>
      <c r="CN3249">
        <v>-1.38</v>
      </c>
      <c r="CO3249">
        <v>31209</v>
      </c>
      <c r="CP3249">
        <v>19857</v>
      </c>
      <c r="CQ3249" t="s">
        <v>13984</v>
      </c>
      <c r="CR3249">
        <v>0.45</v>
      </c>
      <c r="CS3249">
        <v>-4.13</v>
      </c>
      <c r="CT3249">
        <v>2.2400000000000002</v>
      </c>
      <c r="CU3249">
        <v>-47.16</v>
      </c>
      <c r="CV3249">
        <v>5.7</v>
      </c>
      <c r="CW3249">
        <v>2.44</v>
      </c>
      <c r="CX3249" t="s">
        <v>472</v>
      </c>
      <c r="CY3249">
        <v>6.12</v>
      </c>
      <c r="CZ3249">
        <v>0</v>
      </c>
      <c r="DA3249">
        <v>2.1</v>
      </c>
      <c r="DB3249">
        <v>2.75</v>
      </c>
      <c r="DC3249">
        <v>-0.28999999999999998</v>
      </c>
      <c r="DD3249">
        <v>61.6</v>
      </c>
      <c r="DE3249" t="s">
        <v>11066</v>
      </c>
      <c r="DF3249">
        <v>27.66</v>
      </c>
      <c r="DG3249">
        <v>17.32</v>
      </c>
      <c r="DH3249">
        <v>14.95</v>
      </c>
      <c r="DI3249">
        <v>1.46</v>
      </c>
      <c r="DJ3249">
        <v>5840</v>
      </c>
      <c r="DK3249">
        <v>601567</v>
      </c>
      <c r="DL3249" t="s">
        <v>120</v>
      </c>
      <c r="DM3249" t="s">
        <v>120</v>
      </c>
      <c r="DN3249" t="s">
        <v>120</v>
      </c>
    </row>
    <row r="3250" spans="1:118">
      <c r="A3250" t="str">
        <f>"601568"</f>
        <v>601568</v>
      </c>
      <c r="B3250" t="s">
        <v>13985</v>
      </c>
      <c r="C3250">
        <v>-0.19</v>
      </c>
      <c r="D3250">
        <v>-0.09</v>
      </c>
      <c r="E3250">
        <v>2.89</v>
      </c>
      <c r="F3250">
        <v>3944</v>
      </c>
      <c r="G3250" t="s">
        <v>12174</v>
      </c>
      <c r="H3250">
        <v>65573.36</v>
      </c>
      <c r="I3250">
        <v>1452.48</v>
      </c>
      <c r="J3250" t="s">
        <v>120</v>
      </c>
      <c r="K3250" t="s">
        <v>12174</v>
      </c>
      <c r="L3250">
        <v>17.07</v>
      </c>
      <c r="M3250">
        <v>10.36</v>
      </c>
      <c r="N3250">
        <v>1.3</v>
      </c>
      <c r="O3250">
        <v>5.78</v>
      </c>
      <c r="P3250">
        <v>10.98</v>
      </c>
      <c r="Q3250">
        <v>-0.57999999999999996</v>
      </c>
      <c r="R3250">
        <v>10.32</v>
      </c>
      <c r="S3250">
        <v>10.68</v>
      </c>
      <c r="T3250">
        <v>616364</v>
      </c>
      <c r="U3250">
        <v>10.36</v>
      </c>
      <c r="V3250">
        <v>10.38</v>
      </c>
      <c r="W3250">
        <v>16.02</v>
      </c>
      <c r="X3250" t="s">
        <v>868</v>
      </c>
      <c r="Y3250" t="s">
        <v>890</v>
      </c>
      <c r="Z3250">
        <v>6.36</v>
      </c>
      <c r="AA3250">
        <v>10.64</v>
      </c>
      <c r="AB3250">
        <v>310915</v>
      </c>
      <c r="AC3250">
        <v>305449</v>
      </c>
      <c r="AD3250">
        <v>1.02</v>
      </c>
      <c r="AE3250">
        <v>777</v>
      </c>
      <c r="AF3250">
        <v>541</v>
      </c>
      <c r="AG3250" t="s">
        <v>120</v>
      </c>
      <c r="AH3250">
        <v>0.38</v>
      </c>
      <c r="AI3250" t="s">
        <v>120</v>
      </c>
      <c r="AJ3250">
        <v>3.61</v>
      </c>
      <c r="AK3250" t="s">
        <v>13986</v>
      </c>
      <c r="AL3250">
        <v>1.1499999999999999</v>
      </c>
      <c r="AM3250">
        <v>4044</v>
      </c>
      <c r="AN3250">
        <v>152</v>
      </c>
      <c r="AO3250">
        <v>4.1999999999999997E-3</v>
      </c>
      <c r="AP3250">
        <v>-1</v>
      </c>
      <c r="AQ3250">
        <v>2.4700000000000002</v>
      </c>
      <c r="AR3250">
        <v>1.57</v>
      </c>
      <c r="AS3250">
        <v>18.53</v>
      </c>
      <c r="AT3250">
        <v>21.03</v>
      </c>
      <c r="AU3250">
        <v>15.89</v>
      </c>
      <c r="AV3250">
        <v>0</v>
      </c>
      <c r="AW3250">
        <v>17.07</v>
      </c>
      <c r="AX3250">
        <v>10</v>
      </c>
      <c r="AY3250">
        <v>17.62</v>
      </c>
      <c r="AZ3250">
        <v>22.26</v>
      </c>
      <c r="BA3250">
        <v>0.65</v>
      </c>
      <c r="BB3250" t="s">
        <v>168</v>
      </c>
      <c r="BF3250">
        <v>2.4900000000000002</v>
      </c>
      <c r="BG3250">
        <v>-3</v>
      </c>
      <c r="BH3250">
        <v>-5.65</v>
      </c>
      <c r="BI3250">
        <v>0.39</v>
      </c>
      <c r="BJ3250">
        <v>20210819</v>
      </c>
      <c r="BK3250">
        <v>20201020</v>
      </c>
      <c r="BL3250">
        <v>36.11</v>
      </c>
      <c r="BM3250" t="s">
        <v>120</v>
      </c>
      <c r="BN3250" t="s">
        <v>120</v>
      </c>
      <c r="BO3250">
        <v>167.37</v>
      </c>
      <c r="BP3250">
        <v>10.35</v>
      </c>
      <c r="BQ3250">
        <v>127.89</v>
      </c>
      <c r="BR3250" t="s">
        <v>120</v>
      </c>
      <c r="BS3250">
        <v>23.59</v>
      </c>
      <c r="BT3250">
        <v>89.28</v>
      </c>
      <c r="BU3250">
        <v>72.22</v>
      </c>
      <c r="BV3250">
        <v>2.13</v>
      </c>
      <c r="BW3250">
        <v>38.83</v>
      </c>
      <c r="BX3250">
        <v>46.98</v>
      </c>
      <c r="BY3250">
        <v>4.8099999999999996</v>
      </c>
      <c r="BZ3250">
        <v>0.77</v>
      </c>
      <c r="CA3250" t="s">
        <v>120</v>
      </c>
      <c r="CB3250">
        <v>41.86</v>
      </c>
      <c r="CC3250">
        <v>60.32</v>
      </c>
      <c r="CD3250">
        <v>43.5</v>
      </c>
      <c r="CE3250">
        <v>13.76</v>
      </c>
      <c r="CF3250">
        <v>0</v>
      </c>
      <c r="CG3250">
        <v>13.88</v>
      </c>
      <c r="CH3250">
        <v>11.68</v>
      </c>
      <c r="CI3250">
        <v>11.68</v>
      </c>
      <c r="CJ3250">
        <v>-0.02</v>
      </c>
      <c r="CK3250">
        <v>11.55</v>
      </c>
      <c r="CL3250">
        <v>43.61</v>
      </c>
      <c r="CM3250">
        <v>14.08</v>
      </c>
      <c r="CN3250">
        <v>1.96</v>
      </c>
      <c r="CO3250">
        <v>94184</v>
      </c>
      <c r="CP3250">
        <v>3834</v>
      </c>
      <c r="CQ3250" t="s">
        <v>1185</v>
      </c>
      <c r="CR3250">
        <v>61.05</v>
      </c>
      <c r="CS3250">
        <v>32.54</v>
      </c>
      <c r="CT3250">
        <v>2.93</v>
      </c>
      <c r="CU3250">
        <v>26.57</v>
      </c>
      <c r="CV3250">
        <v>6.2</v>
      </c>
      <c r="CW3250">
        <v>2.41</v>
      </c>
      <c r="CX3250" t="s">
        <v>966</v>
      </c>
      <c r="CY3250">
        <v>3.54</v>
      </c>
      <c r="CZ3250">
        <v>0</v>
      </c>
      <c r="DA3250">
        <v>1.1599999999999999</v>
      </c>
      <c r="DB3250">
        <v>1.21</v>
      </c>
      <c r="DC3250">
        <v>0.39</v>
      </c>
      <c r="DD3250">
        <v>76.41</v>
      </c>
      <c r="DE3250" t="s">
        <v>13987</v>
      </c>
      <c r="DF3250">
        <v>27.88</v>
      </c>
      <c r="DG3250">
        <v>22.81</v>
      </c>
      <c r="DH3250">
        <v>19.36</v>
      </c>
      <c r="DI3250">
        <v>0.51</v>
      </c>
      <c r="DJ3250">
        <v>4163</v>
      </c>
      <c r="DK3250">
        <v>601568</v>
      </c>
      <c r="DL3250" t="s">
        <v>120</v>
      </c>
      <c r="DM3250" t="s">
        <v>120</v>
      </c>
      <c r="DN3250" t="s">
        <v>120</v>
      </c>
    </row>
    <row r="3251" spans="1:118">
      <c r="A3251" t="str">
        <f>"601577"</f>
        <v>601577</v>
      </c>
      <c r="B3251" t="s">
        <v>13988</v>
      </c>
      <c r="C3251">
        <v>-1.5</v>
      </c>
      <c r="D3251">
        <v>-0.56999999999999995</v>
      </c>
      <c r="E3251">
        <v>0.69</v>
      </c>
      <c r="F3251">
        <v>6870</v>
      </c>
      <c r="G3251" t="s">
        <v>13989</v>
      </c>
      <c r="H3251">
        <v>23043.279999999999</v>
      </c>
      <c r="I3251">
        <v>71.680000000000007</v>
      </c>
      <c r="J3251" t="s">
        <v>120</v>
      </c>
      <c r="K3251" t="s">
        <v>13989</v>
      </c>
      <c r="L3251">
        <v>2.64</v>
      </c>
      <c r="M3251">
        <v>8.5299999999999994</v>
      </c>
      <c r="N3251">
        <v>1.07</v>
      </c>
      <c r="O3251">
        <v>3</v>
      </c>
      <c r="P3251">
        <v>8.92</v>
      </c>
      <c r="Q3251">
        <v>-1.5</v>
      </c>
      <c r="R3251">
        <v>8.5299999999999994</v>
      </c>
      <c r="S3251">
        <v>8.7200000000000006</v>
      </c>
      <c r="T3251">
        <v>262722</v>
      </c>
      <c r="U3251">
        <v>8.57</v>
      </c>
      <c r="V3251">
        <v>8.66</v>
      </c>
      <c r="W3251">
        <v>4.93</v>
      </c>
      <c r="X3251" t="s">
        <v>122</v>
      </c>
      <c r="Y3251" t="s">
        <v>594</v>
      </c>
      <c r="Z3251">
        <v>4.5</v>
      </c>
      <c r="AA3251">
        <v>8.77</v>
      </c>
      <c r="AB3251">
        <v>114992</v>
      </c>
      <c r="AC3251">
        <v>147730</v>
      </c>
      <c r="AD3251">
        <v>0.78</v>
      </c>
      <c r="AE3251">
        <v>344</v>
      </c>
      <c r="AF3251">
        <v>5</v>
      </c>
      <c r="AG3251" t="s">
        <v>120</v>
      </c>
      <c r="AH3251">
        <v>0.01</v>
      </c>
      <c r="AI3251" t="s">
        <v>120</v>
      </c>
      <c r="AJ3251">
        <v>9.9499999999999993</v>
      </c>
      <c r="AK3251" t="s">
        <v>13990</v>
      </c>
      <c r="AL3251">
        <v>-0.16</v>
      </c>
      <c r="AM3251">
        <v>3650</v>
      </c>
      <c r="AN3251">
        <v>72</v>
      </c>
      <c r="AO3251">
        <v>6.9999999999999999E-4</v>
      </c>
      <c r="AP3251">
        <v>-1</v>
      </c>
      <c r="AQ3251">
        <v>1.41</v>
      </c>
      <c r="AR3251">
        <v>-3.28</v>
      </c>
      <c r="AS3251">
        <v>-2.85</v>
      </c>
      <c r="AT3251">
        <v>-2.62</v>
      </c>
      <c r="AU3251">
        <v>-7.28</v>
      </c>
      <c r="AV3251">
        <v>0</v>
      </c>
      <c r="AW3251">
        <v>2.64</v>
      </c>
      <c r="AX3251">
        <v>24.75</v>
      </c>
      <c r="AY3251">
        <v>5.86</v>
      </c>
      <c r="AZ3251">
        <v>6.52</v>
      </c>
      <c r="BA3251">
        <v>0.69</v>
      </c>
      <c r="BB3251" t="s">
        <v>143</v>
      </c>
      <c r="BF3251">
        <v>1.28</v>
      </c>
      <c r="BG3251">
        <v>-2.1800000000000002</v>
      </c>
      <c r="BH3251">
        <v>-4.37</v>
      </c>
      <c r="BI3251">
        <v>0</v>
      </c>
      <c r="BJ3251">
        <v>20210818</v>
      </c>
      <c r="BK3251">
        <v>20180926</v>
      </c>
      <c r="BL3251">
        <v>40.22</v>
      </c>
      <c r="BM3251" t="s">
        <v>120</v>
      </c>
      <c r="BN3251" t="s">
        <v>120</v>
      </c>
      <c r="BO3251">
        <v>7592.2</v>
      </c>
      <c r="BP3251">
        <v>8.5299999999999994</v>
      </c>
      <c r="BQ3251">
        <v>524.04999999999995</v>
      </c>
      <c r="BR3251">
        <v>14.67</v>
      </c>
      <c r="BS3251">
        <v>92.9</v>
      </c>
      <c r="BT3251">
        <v>0</v>
      </c>
      <c r="BU3251">
        <v>17.38</v>
      </c>
      <c r="BV3251">
        <v>5.25</v>
      </c>
      <c r="BW3251">
        <v>0</v>
      </c>
      <c r="BX3251">
        <v>589.24</v>
      </c>
      <c r="BY3251">
        <v>0</v>
      </c>
      <c r="BZ3251">
        <v>0</v>
      </c>
      <c r="CA3251" t="s">
        <v>120</v>
      </c>
      <c r="CB3251">
        <v>111.78</v>
      </c>
      <c r="CC3251">
        <v>103.58</v>
      </c>
      <c r="CD3251">
        <v>0</v>
      </c>
      <c r="CE3251">
        <v>44.35</v>
      </c>
      <c r="CF3251">
        <v>11.75</v>
      </c>
      <c r="CG3251">
        <v>44.17</v>
      </c>
      <c r="CH3251">
        <v>35.89</v>
      </c>
      <c r="CI3251">
        <v>34.81</v>
      </c>
      <c r="CJ3251">
        <v>-0.13</v>
      </c>
      <c r="CK3251">
        <v>31.82</v>
      </c>
      <c r="CL3251">
        <v>208.9</v>
      </c>
      <c r="CM3251">
        <v>82.43</v>
      </c>
      <c r="CN3251">
        <v>-36.57</v>
      </c>
      <c r="CO3251">
        <v>47254</v>
      </c>
      <c r="CP3251">
        <v>21063</v>
      </c>
      <c r="CQ3251" t="s">
        <v>13991</v>
      </c>
      <c r="CR3251">
        <v>21.18</v>
      </c>
      <c r="CS3251">
        <v>17.329999999999998</v>
      </c>
      <c r="CT3251">
        <v>0.74</v>
      </c>
      <c r="CU3251">
        <v>4.16</v>
      </c>
      <c r="CV3251">
        <v>3.31</v>
      </c>
      <c r="CW3251">
        <v>3.7</v>
      </c>
      <c r="CX3251" t="s">
        <v>3686</v>
      </c>
      <c r="CY3251">
        <v>11.54</v>
      </c>
      <c r="CZ3251">
        <v>11.54</v>
      </c>
      <c r="DA3251">
        <v>2.78</v>
      </c>
      <c r="DB3251">
        <v>5.19</v>
      </c>
      <c r="DC3251">
        <v>2.0499999999999998</v>
      </c>
      <c r="DD3251">
        <v>6.9</v>
      </c>
      <c r="DE3251" t="s">
        <v>4135</v>
      </c>
      <c r="DF3251" t="s">
        <v>120</v>
      </c>
      <c r="DG3251">
        <v>42.82</v>
      </c>
      <c r="DH3251">
        <v>33.6</v>
      </c>
      <c r="DI3251" t="s">
        <v>120</v>
      </c>
      <c r="DJ3251">
        <v>7618</v>
      </c>
      <c r="DK3251">
        <v>601577</v>
      </c>
      <c r="DL3251" t="s">
        <v>120</v>
      </c>
      <c r="DM3251" t="s">
        <v>120</v>
      </c>
      <c r="DN3251" t="s">
        <v>120</v>
      </c>
    </row>
    <row r="3252" spans="1:118">
      <c r="A3252" t="str">
        <f>"601579"</f>
        <v>601579</v>
      </c>
      <c r="B3252" t="s">
        <v>13992</v>
      </c>
      <c r="C3252">
        <v>9.9600000000000009</v>
      </c>
      <c r="D3252">
        <v>0</v>
      </c>
      <c r="E3252">
        <v>-0.09</v>
      </c>
      <c r="F3252">
        <v>879</v>
      </c>
      <c r="G3252" t="s">
        <v>6161</v>
      </c>
      <c r="H3252">
        <v>34321.19</v>
      </c>
      <c r="I3252">
        <v>10.57</v>
      </c>
      <c r="J3252">
        <v>2167.27</v>
      </c>
      <c r="K3252" t="s">
        <v>13993</v>
      </c>
      <c r="L3252">
        <v>5.75</v>
      </c>
      <c r="M3252">
        <v>12.25</v>
      </c>
      <c r="N3252">
        <v>3.54</v>
      </c>
      <c r="O3252">
        <v>9.9600000000000009</v>
      </c>
      <c r="P3252">
        <v>12.25</v>
      </c>
      <c r="Q3252">
        <v>-0.81</v>
      </c>
      <c r="R3252">
        <v>11.05</v>
      </c>
      <c r="S3252">
        <v>11.13</v>
      </c>
      <c r="T3252">
        <v>285824</v>
      </c>
      <c r="U3252" t="s">
        <v>120</v>
      </c>
      <c r="V3252">
        <v>11.14</v>
      </c>
      <c r="W3252">
        <v>34.549999999999997</v>
      </c>
      <c r="X3252" t="s">
        <v>2247</v>
      </c>
      <c r="Y3252" t="s">
        <v>585</v>
      </c>
      <c r="Z3252">
        <v>10.77</v>
      </c>
      <c r="AA3252">
        <v>12.01</v>
      </c>
      <c r="AB3252">
        <v>182518</v>
      </c>
      <c r="AC3252">
        <v>103306</v>
      </c>
      <c r="AD3252">
        <v>1.77</v>
      </c>
      <c r="AE3252">
        <v>17692</v>
      </c>
      <c r="AF3252">
        <v>0</v>
      </c>
      <c r="AG3252" t="s">
        <v>120</v>
      </c>
      <c r="AH3252">
        <v>0</v>
      </c>
      <c r="AI3252">
        <v>0.06</v>
      </c>
      <c r="AJ3252">
        <v>4.97</v>
      </c>
      <c r="AK3252" t="s">
        <v>13993</v>
      </c>
      <c r="AL3252">
        <v>11.31</v>
      </c>
      <c r="AM3252">
        <v>2999</v>
      </c>
      <c r="AN3252">
        <v>95</v>
      </c>
      <c r="AO3252">
        <v>1.9E-3</v>
      </c>
      <c r="AP3252">
        <v>2</v>
      </c>
      <c r="AQ3252">
        <v>0.27</v>
      </c>
      <c r="AR3252">
        <v>8.6999999999999993</v>
      </c>
      <c r="AS3252">
        <v>6.71</v>
      </c>
      <c r="AT3252">
        <v>4.26</v>
      </c>
      <c r="AU3252">
        <v>-11.17</v>
      </c>
      <c r="AV3252">
        <v>9</v>
      </c>
      <c r="AW3252">
        <v>14.19</v>
      </c>
      <c r="AX3252">
        <v>40.49</v>
      </c>
      <c r="AY3252">
        <v>16.84</v>
      </c>
      <c r="AZ3252">
        <v>19.170000000000002</v>
      </c>
      <c r="BA3252">
        <v>1.39</v>
      </c>
      <c r="BB3252" t="s">
        <v>143</v>
      </c>
      <c r="BF3252">
        <v>7.79</v>
      </c>
      <c r="BG3252">
        <v>10.06</v>
      </c>
      <c r="BH3252">
        <v>0</v>
      </c>
      <c r="BI3252">
        <v>10.86</v>
      </c>
      <c r="BJ3252">
        <v>20210821</v>
      </c>
      <c r="BK3252">
        <v>20140825</v>
      </c>
      <c r="BL3252">
        <v>4.97</v>
      </c>
      <c r="BM3252" t="s">
        <v>120</v>
      </c>
      <c r="BN3252" t="s">
        <v>120</v>
      </c>
      <c r="BO3252">
        <v>43.24</v>
      </c>
      <c r="BP3252">
        <v>12.25</v>
      </c>
      <c r="BQ3252">
        <v>34.33</v>
      </c>
      <c r="BR3252">
        <v>0.25</v>
      </c>
      <c r="BS3252">
        <v>20.04</v>
      </c>
      <c r="BT3252">
        <v>17.32</v>
      </c>
      <c r="BU3252">
        <v>16.03</v>
      </c>
      <c r="BV3252">
        <v>4.63</v>
      </c>
      <c r="BW3252">
        <v>6.76</v>
      </c>
      <c r="BX3252">
        <v>2.82</v>
      </c>
      <c r="BY3252">
        <v>12.3</v>
      </c>
      <c r="BZ3252">
        <v>1.71</v>
      </c>
      <c r="CA3252" t="s">
        <v>120</v>
      </c>
      <c r="CB3252">
        <v>17.09</v>
      </c>
      <c r="CC3252">
        <v>5.72</v>
      </c>
      <c r="CD3252">
        <v>3.08</v>
      </c>
      <c r="CE3252">
        <v>1.21</v>
      </c>
      <c r="CF3252">
        <v>0</v>
      </c>
      <c r="CG3252">
        <v>1.21</v>
      </c>
      <c r="CH3252">
        <v>0.89</v>
      </c>
      <c r="CI3252">
        <v>0.88</v>
      </c>
      <c r="CJ3252">
        <v>1.1100000000000001</v>
      </c>
      <c r="CK3252">
        <v>0.86</v>
      </c>
      <c r="CL3252">
        <v>12.18</v>
      </c>
      <c r="CM3252">
        <v>-0.62</v>
      </c>
      <c r="CN3252">
        <v>-1.79</v>
      </c>
      <c r="CO3252">
        <v>40708</v>
      </c>
      <c r="CP3252">
        <v>4946</v>
      </c>
      <c r="CQ3252" t="s">
        <v>1023</v>
      </c>
      <c r="CR3252">
        <v>83.39</v>
      </c>
      <c r="CS3252">
        <v>26.25</v>
      </c>
      <c r="CT3252">
        <v>1.77</v>
      </c>
      <c r="CU3252">
        <v>-98.82</v>
      </c>
      <c r="CV3252">
        <v>10.66</v>
      </c>
      <c r="CW3252">
        <v>0.43</v>
      </c>
      <c r="CX3252" t="s">
        <v>242</v>
      </c>
      <c r="CY3252">
        <v>6.9</v>
      </c>
      <c r="CZ3252">
        <v>0</v>
      </c>
      <c r="DA3252">
        <v>3.44</v>
      </c>
      <c r="DB3252">
        <v>2.4500000000000002</v>
      </c>
      <c r="DC3252">
        <v>-0.12</v>
      </c>
      <c r="DD3252">
        <v>79.39</v>
      </c>
      <c r="DE3252" t="s">
        <v>703</v>
      </c>
      <c r="DF3252">
        <v>46.12</v>
      </c>
      <c r="DG3252">
        <v>21.19</v>
      </c>
      <c r="DH3252">
        <v>15.43</v>
      </c>
      <c r="DI3252">
        <v>0.08</v>
      </c>
      <c r="DJ3252">
        <v>1430</v>
      </c>
      <c r="DK3252">
        <v>601579</v>
      </c>
      <c r="DL3252" t="s">
        <v>120</v>
      </c>
      <c r="DM3252" t="s">
        <v>120</v>
      </c>
      <c r="DN3252" t="s">
        <v>120</v>
      </c>
    </row>
    <row r="3253" spans="1:118">
      <c r="A3253" t="str">
        <f>"601588"</f>
        <v>601588</v>
      </c>
      <c r="B3253" t="s">
        <v>13994</v>
      </c>
      <c r="C3253">
        <v>-1.23</v>
      </c>
      <c r="D3253">
        <v>0.42</v>
      </c>
      <c r="E3253">
        <v>0.41</v>
      </c>
      <c r="F3253">
        <v>1308</v>
      </c>
      <c r="G3253" t="s">
        <v>13995</v>
      </c>
      <c r="H3253">
        <v>4646.16</v>
      </c>
      <c r="I3253">
        <v>55.27</v>
      </c>
      <c r="J3253" t="s">
        <v>120</v>
      </c>
      <c r="K3253" t="s">
        <v>13996</v>
      </c>
      <c r="L3253">
        <v>0.71</v>
      </c>
      <c r="M3253">
        <v>2.41</v>
      </c>
      <c r="N3253">
        <v>1.03</v>
      </c>
      <c r="O3253">
        <v>1.64</v>
      </c>
      <c r="P3253">
        <v>2.48</v>
      </c>
      <c r="Q3253">
        <v>-1.64</v>
      </c>
      <c r="R3253">
        <v>2.4</v>
      </c>
      <c r="S3253">
        <v>2.4500000000000002</v>
      </c>
      <c r="T3253">
        <v>190062</v>
      </c>
      <c r="U3253">
        <v>2.41</v>
      </c>
      <c r="V3253">
        <v>2.44</v>
      </c>
      <c r="W3253">
        <v>15.33</v>
      </c>
      <c r="X3253" t="s">
        <v>150</v>
      </c>
      <c r="Y3253" t="s">
        <v>158</v>
      </c>
      <c r="Z3253">
        <v>3.28</v>
      </c>
      <c r="AA3253">
        <v>2.44</v>
      </c>
      <c r="AB3253">
        <v>117277</v>
      </c>
      <c r="AC3253">
        <v>72785</v>
      </c>
      <c r="AD3253">
        <v>1.61</v>
      </c>
      <c r="AE3253">
        <v>8052</v>
      </c>
      <c r="AF3253">
        <v>1631</v>
      </c>
      <c r="AG3253" t="s">
        <v>120</v>
      </c>
      <c r="AH3253">
        <v>0.02</v>
      </c>
      <c r="AI3253" t="s">
        <v>120</v>
      </c>
      <c r="AJ3253">
        <v>26.6</v>
      </c>
      <c r="AK3253" t="s">
        <v>13996</v>
      </c>
      <c r="AL3253">
        <v>0.11</v>
      </c>
      <c r="AM3253">
        <v>1632</v>
      </c>
      <c r="AN3253">
        <v>116</v>
      </c>
      <c r="AO3253">
        <v>4.0000000000000002E-4</v>
      </c>
      <c r="AP3253">
        <v>-1</v>
      </c>
      <c r="AQ3253">
        <v>0.41</v>
      </c>
      <c r="AR3253">
        <v>-2.0299999999999998</v>
      </c>
      <c r="AS3253">
        <v>6.63</v>
      </c>
      <c r="AT3253">
        <v>1.26</v>
      </c>
      <c r="AU3253">
        <v>7.11</v>
      </c>
      <c r="AV3253">
        <v>1</v>
      </c>
      <c r="AW3253">
        <v>1.38</v>
      </c>
      <c r="AX3253">
        <v>51.64</v>
      </c>
      <c r="AY3253">
        <v>22.94</v>
      </c>
      <c r="AZ3253">
        <v>30.32</v>
      </c>
      <c r="BA3253">
        <v>0.67</v>
      </c>
      <c r="BB3253" t="s">
        <v>143</v>
      </c>
      <c r="BF3253">
        <v>0.19</v>
      </c>
      <c r="BG3253">
        <v>-1.63</v>
      </c>
      <c r="BH3253">
        <v>-2.82</v>
      </c>
      <c r="BI3253">
        <v>0.42</v>
      </c>
      <c r="BJ3253">
        <v>20210819</v>
      </c>
      <c r="BK3253">
        <v>20061016</v>
      </c>
      <c r="BL3253">
        <v>33.67</v>
      </c>
      <c r="BM3253" t="s">
        <v>120</v>
      </c>
      <c r="BN3253">
        <v>7.07</v>
      </c>
      <c r="BO3253">
        <v>821.66</v>
      </c>
      <c r="BP3253">
        <v>2.4</v>
      </c>
      <c r="BQ3253">
        <v>171.08</v>
      </c>
      <c r="BR3253">
        <v>22.48</v>
      </c>
      <c r="BS3253">
        <v>76.44</v>
      </c>
      <c r="BT3253">
        <v>696.3</v>
      </c>
      <c r="BU3253">
        <v>19.71</v>
      </c>
      <c r="BV3253">
        <v>0.09</v>
      </c>
      <c r="BW3253">
        <v>386.88</v>
      </c>
      <c r="BX3253">
        <v>134.51</v>
      </c>
      <c r="BY3253">
        <v>515.41999999999996</v>
      </c>
      <c r="BZ3253">
        <v>1.28</v>
      </c>
      <c r="CA3253">
        <v>0.74</v>
      </c>
      <c r="CB3253">
        <v>37.04</v>
      </c>
      <c r="CC3253">
        <v>102.45</v>
      </c>
      <c r="CD3253">
        <v>74.47</v>
      </c>
      <c r="CE3253">
        <v>5.46</v>
      </c>
      <c r="CF3253">
        <v>1.1499999999999999</v>
      </c>
      <c r="CG3253">
        <v>5.5</v>
      </c>
      <c r="CH3253">
        <v>2.29</v>
      </c>
      <c r="CI3253">
        <v>2.65</v>
      </c>
      <c r="CJ3253">
        <v>-0.03</v>
      </c>
      <c r="CK3253">
        <v>2.42</v>
      </c>
      <c r="CL3253">
        <v>63.89</v>
      </c>
      <c r="CM3253">
        <v>38.76</v>
      </c>
      <c r="CN3253">
        <v>3.78</v>
      </c>
      <c r="CO3253">
        <v>146517</v>
      </c>
      <c r="CP3253">
        <v>9376</v>
      </c>
      <c r="CQ3253" t="s">
        <v>1743</v>
      </c>
      <c r="CR3253">
        <v>49.12</v>
      </c>
      <c r="CS3253">
        <v>205.93</v>
      </c>
      <c r="CT3253">
        <v>0.56000000000000005</v>
      </c>
      <c r="CU3253">
        <v>2.09</v>
      </c>
      <c r="CV3253">
        <v>0.79</v>
      </c>
      <c r="CW3253">
        <v>1.23</v>
      </c>
      <c r="CX3253" t="s">
        <v>1064</v>
      </c>
      <c r="CY3253">
        <v>4.3099999999999996</v>
      </c>
      <c r="CZ3253">
        <v>4.3099999999999996</v>
      </c>
      <c r="DA3253">
        <v>1.1000000000000001</v>
      </c>
      <c r="DB3253">
        <v>1.9</v>
      </c>
      <c r="DC3253">
        <v>1.1499999999999999</v>
      </c>
      <c r="DD3253">
        <v>20.82</v>
      </c>
      <c r="DE3253" t="s">
        <v>774</v>
      </c>
      <c r="DF3253">
        <v>27.31</v>
      </c>
      <c r="DG3253">
        <v>5.33</v>
      </c>
      <c r="DH3253">
        <v>2.58</v>
      </c>
      <c r="DI3253" t="s">
        <v>120</v>
      </c>
      <c r="DJ3253">
        <v>5725</v>
      </c>
      <c r="DK3253">
        <v>601588</v>
      </c>
      <c r="DL3253" t="s">
        <v>120</v>
      </c>
      <c r="DM3253" t="s">
        <v>120</v>
      </c>
      <c r="DN3253" t="s">
        <v>120</v>
      </c>
    </row>
    <row r="3254" spans="1:118">
      <c r="A3254" t="str">
        <f>"601595"</f>
        <v>601595</v>
      </c>
      <c r="B3254" t="s">
        <v>13997</v>
      </c>
      <c r="C3254">
        <v>-0.9</v>
      </c>
      <c r="D3254">
        <v>-0.08</v>
      </c>
      <c r="E3254">
        <v>0.09</v>
      </c>
      <c r="F3254">
        <v>858</v>
      </c>
      <c r="G3254" t="s">
        <v>1932</v>
      </c>
      <c r="H3254">
        <v>4040.43</v>
      </c>
      <c r="I3254">
        <v>11.89</v>
      </c>
      <c r="J3254" t="s">
        <v>120</v>
      </c>
      <c r="K3254" t="s">
        <v>13998</v>
      </c>
      <c r="L3254">
        <v>0.82</v>
      </c>
      <c r="M3254">
        <v>11</v>
      </c>
      <c r="N3254">
        <v>0.87</v>
      </c>
      <c r="O3254">
        <v>1.26</v>
      </c>
      <c r="P3254">
        <v>11.24</v>
      </c>
      <c r="Q3254">
        <v>-1.89</v>
      </c>
      <c r="R3254">
        <v>10.89</v>
      </c>
      <c r="S3254">
        <v>11.11</v>
      </c>
      <c r="T3254">
        <v>36536</v>
      </c>
      <c r="U3254">
        <v>11.01</v>
      </c>
      <c r="V3254">
        <v>11.1</v>
      </c>
      <c r="W3254">
        <v>73.94</v>
      </c>
      <c r="X3254" t="s">
        <v>584</v>
      </c>
      <c r="Y3254" t="s">
        <v>1510</v>
      </c>
      <c r="Z3254">
        <v>3.15</v>
      </c>
      <c r="AA3254">
        <v>11.06</v>
      </c>
      <c r="AB3254">
        <v>20158</v>
      </c>
      <c r="AC3254">
        <v>16378</v>
      </c>
      <c r="AD3254">
        <v>1.23</v>
      </c>
      <c r="AE3254">
        <v>229</v>
      </c>
      <c r="AF3254">
        <v>75</v>
      </c>
      <c r="AG3254" t="s">
        <v>120</v>
      </c>
      <c r="AH3254">
        <v>0.01</v>
      </c>
      <c r="AI3254" t="s">
        <v>120</v>
      </c>
      <c r="AJ3254">
        <v>4.4800000000000004</v>
      </c>
      <c r="AK3254" t="s">
        <v>13998</v>
      </c>
      <c r="AL3254">
        <v>0.44</v>
      </c>
      <c r="AM3254">
        <v>2000</v>
      </c>
      <c r="AN3254">
        <v>18</v>
      </c>
      <c r="AO3254">
        <v>4.0000000000000002E-4</v>
      </c>
      <c r="AP3254">
        <v>-1</v>
      </c>
      <c r="AQ3254">
        <v>4.03</v>
      </c>
      <c r="AR3254">
        <v>1.2</v>
      </c>
      <c r="AS3254">
        <v>12.48</v>
      </c>
      <c r="AT3254">
        <v>-9.84</v>
      </c>
      <c r="AU3254">
        <v>0.82</v>
      </c>
      <c r="AV3254">
        <v>0</v>
      </c>
      <c r="AW3254">
        <v>2.65</v>
      </c>
      <c r="AX3254">
        <v>30.78</v>
      </c>
      <c r="AY3254" t="s">
        <v>120</v>
      </c>
      <c r="AZ3254" t="s">
        <v>120</v>
      </c>
      <c r="BA3254">
        <v>0.53</v>
      </c>
      <c r="BB3254" t="s">
        <v>184</v>
      </c>
      <c r="BF3254">
        <v>-0.37</v>
      </c>
      <c r="BG3254">
        <v>-0.99</v>
      </c>
      <c r="BH3254">
        <v>-2.14</v>
      </c>
      <c r="BI3254">
        <v>1.01</v>
      </c>
      <c r="BJ3254">
        <v>20210830</v>
      </c>
      <c r="BK3254">
        <v>20160817</v>
      </c>
      <c r="BL3254">
        <v>4.4800000000000004</v>
      </c>
      <c r="BM3254" t="s">
        <v>120</v>
      </c>
      <c r="BN3254" t="s">
        <v>120</v>
      </c>
      <c r="BO3254">
        <v>39.26</v>
      </c>
      <c r="BP3254">
        <v>11</v>
      </c>
      <c r="BQ3254">
        <v>19.23</v>
      </c>
      <c r="BR3254">
        <v>-0.09</v>
      </c>
      <c r="BS3254">
        <v>51.24</v>
      </c>
      <c r="BT3254">
        <v>17.37</v>
      </c>
      <c r="BU3254">
        <v>1.35</v>
      </c>
      <c r="BV3254">
        <v>0.45</v>
      </c>
      <c r="BW3254">
        <v>5.96</v>
      </c>
      <c r="BX3254">
        <v>14.54</v>
      </c>
      <c r="BY3254">
        <v>7.0000000000000007E-2</v>
      </c>
      <c r="BZ3254">
        <v>1.33</v>
      </c>
      <c r="CA3254">
        <v>0.08</v>
      </c>
      <c r="CB3254">
        <v>7.55</v>
      </c>
      <c r="CC3254">
        <v>3.91</v>
      </c>
      <c r="CD3254">
        <v>3.1</v>
      </c>
      <c r="CE3254">
        <v>0.38</v>
      </c>
      <c r="CF3254">
        <v>0</v>
      </c>
      <c r="CG3254">
        <v>0.37</v>
      </c>
      <c r="CH3254">
        <v>0.27</v>
      </c>
      <c r="CI3254">
        <v>0.33</v>
      </c>
      <c r="CJ3254">
        <v>-0.1</v>
      </c>
      <c r="CK3254">
        <v>0.27</v>
      </c>
      <c r="CL3254">
        <v>3.58</v>
      </c>
      <c r="CM3254">
        <v>1.38</v>
      </c>
      <c r="CN3254">
        <v>0.05</v>
      </c>
      <c r="CO3254">
        <v>28041</v>
      </c>
      <c r="CP3254">
        <v>4920</v>
      </c>
      <c r="CQ3254" t="s">
        <v>6806</v>
      </c>
      <c r="CR3254">
        <v>113.92</v>
      </c>
      <c r="CS3254">
        <v>583.80999999999995</v>
      </c>
      <c r="CT3254">
        <v>2.56</v>
      </c>
      <c r="CU3254">
        <v>35.76</v>
      </c>
      <c r="CV3254">
        <v>12.62</v>
      </c>
      <c r="CW3254">
        <v>0</v>
      </c>
      <c r="CX3254" t="s">
        <v>679</v>
      </c>
      <c r="CY3254">
        <v>4.29</v>
      </c>
      <c r="CZ3254">
        <v>0</v>
      </c>
      <c r="DA3254">
        <v>1.68</v>
      </c>
      <c r="DB3254">
        <v>0.8</v>
      </c>
      <c r="DC3254">
        <v>0.31</v>
      </c>
      <c r="DD3254">
        <v>48.99</v>
      </c>
      <c r="DE3254" t="s">
        <v>13999</v>
      </c>
      <c r="DF3254">
        <v>20.56</v>
      </c>
      <c r="DG3254">
        <v>9.75</v>
      </c>
      <c r="DH3254">
        <v>8.5299999999999994</v>
      </c>
      <c r="DI3254" t="s">
        <v>120</v>
      </c>
      <c r="DJ3254">
        <v>1076</v>
      </c>
      <c r="DK3254">
        <v>601595</v>
      </c>
      <c r="DL3254" t="s">
        <v>120</v>
      </c>
      <c r="DM3254" t="s">
        <v>120</v>
      </c>
      <c r="DN3254" t="s">
        <v>120</v>
      </c>
    </row>
    <row r="3255" spans="1:118">
      <c r="A3255" t="str">
        <f>"601598"</f>
        <v>601598</v>
      </c>
      <c r="B3255" t="s">
        <v>14000</v>
      </c>
      <c r="C3255">
        <v>-2.36</v>
      </c>
      <c r="D3255">
        <v>0.35</v>
      </c>
      <c r="E3255">
        <v>0</v>
      </c>
      <c r="F3255">
        <v>4510</v>
      </c>
      <c r="G3255" t="s">
        <v>14001</v>
      </c>
      <c r="H3255">
        <v>30721.17</v>
      </c>
      <c r="I3255">
        <v>156.22999999999999</v>
      </c>
      <c r="J3255" t="s">
        <v>120</v>
      </c>
      <c r="K3255" t="s">
        <v>14002</v>
      </c>
      <c r="L3255">
        <v>3.88</v>
      </c>
      <c r="M3255">
        <v>5.78</v>
      </c>
      <c r="N3255">
        <v>0.73</v>
      </c>
      <c r="O3255">
        <v>1.18</v>
      </c>
      <c r="P3255">
        <v>5.99</v>
      </c>
      <c r="Q3255">
        <v>-3.21</v>
      </c>
      <c r="R3255">
        <v>5.73</v>
      </c>
      <c r="S3255">
        <v>5.92</v>
      </c>
      <c r="T3255">
        <v>524813</v>
      </c>
      <c r="U3255">
        <v>5.78</v>
      </c>
      <c r="V3255">
        <v>5.92</v>
      </c>
      <c r="W3255">
        <v>9.89</v>
      </c>
      <c r="X3255" t="s">
        <v>2775</v>
      </c>
      <c r="Y3255" t="s">
        <v>158</v>
      </c>
      <c r="Z3255">
        <v>4.3899999999999997</v>
      </c>
      <c r="AA3255">
        <v>5.85</v>
      </c>
      <c r="AB3255">
        <v>272030</v>
      </c>
      <c r="AC3255">
        <v>252783</v>
      </c>
      <c r="AD3255">
        <v>1.08</v>
      </c>
      <c r="AE3255">
        <v>262</v>
      </c>
      <c r="AF3255">
        <v>2648</v>
      </c>
      <c r="AG3255" t="s">
        <v>120</v>
      </c>
      <c r="AH3255">
        <v>0.02</v>
      </c>
      <c r="AI3255" t="s">
        <v>120</v>
      </c>
      <c r="AJ3255">
        <v>13.52</v>
      </c>
      <c r="AK3255" t="s">
        <v>14003</v>
      </c>
      <c r="AL3255">
        <v>-1.02</v>
      </c>
      <c r="AM3255">
        <v>4055</v>
      </c>
      <c r="AN3255">
        <v>129</v>
      </c>
      <c r="AO3255">
        <v>1E-3</v>
      </c>
      <c r="AP3255">
        <v>-1</v>
      </c>
      <c r="AQ3255">
        <v>2.96</v>
      </c>
      <c r="AR3255">
        <v>-5.4</v>
      </c>
      <c r="AS3255">
        <v>27.32</v>
      </c>
      <c r="AT3255">
        <v>13.78</v>
      </c>
      <c r="AU3255">
        <v>35.049999999999997</v>
      </c>
      <c r="AV3255">
        <v>2</v>
      </c>
      <c r="AW3255">
        <v>4.4400000000000004</v>
      </c>
      <c r="AX3255">
        <v>22.51</v>
      </c>
      <c r="AY3255">
        <v>11.84</v>
      </c>
      <c r="AZ3255">
        <v>15.91</v>
      </c>
      <c r="BA3255">
        <v>0.98</v>
      </c>
      <c r="BB3255" t="s">
        <v>184</v>
      </c>
      <c r="BF3255">
        <v>-1.1200000000000001</v>
      </c>
      <c r="BG3255">
        <v>-2.36</v>
      </c>
      <c r="BH3255">
        <v>-3.51</v>
      </c>
      <c r="BI3255">
        <v>0.87</v>
      </c>
      <c r="BJ3255">
        <v>20210830</v>
      </c>
      <c r="BK3255">
        <v>20190118</v>
      </c>
      <c r="BL3255">
        <v>74.010000000000005</v>
      </c>
      <c r="BM3255" t="s">
        <v>120</v>
      </c>
      <c r="BN3255">
        <v>21.45</v>
      </c>
      <c r="BO3255">
        <v>726.79</v>
      </c>
      <c r="BP3255">
        <v>5.77</v>
      </c>
      <c r="BQ3255">
        <v>316.69</v>
      </c>
      <c r="BR3255">
        <v>18.809999999999999</v>
      </c>
      <c r="BS3255">
        <v>53.84</v>
      </c>
      <c r="BT3255">
        <v>342.95</v>
      </c>
      <c r="BU3255">
        <v>129.25</v>
      </c>
      <c r="BV3255">
        <v>61.9</v>
      </c>
      <c r="BW3255">
        <v>259.8</v>
      </c>
      <c r="BX3255">
        <v>127.2</v>
      </c>
      <c r="BY3255">
        <v>0.72</v>
      </c>
      <c r="BZ3255">
        <v>143.38</v>
      </c>
      <c r="CA3255" t="s">
        <v>120</v>
      </c>
      <c r="CB3255">
        <v>60.72</v>
      </c>
      <c r="CC3255">
        <v>616.77</v>
      </c>
      <c r="CD3255">
        <v>588.54</v>
      </c>
      <c r="CE3255">
        <v>27</v>
      </c>
      <c r="CF3255">
        <v>11.57</v>
      </c>
      <c r="CG3255">
        <v>27.03</v>
      </c>
      <c r="CH3255">
        <v>22.52</v>
      </c>
      <c r="CI3255">
        <v>21.63</v>
      </c>
      <c r="CJ3255">
        <v>-0.14000000000000001</v>
      </c>
      <c r="CK3255">
        <v>18.36</v>
      </c>
      <c r="CL3255">
        <v>172.08</v>
      </c>
      <c r="CM3255">
        <v>2.63</v>
      </c>
      <c r="CN3255">
        <v>13.99</v>
      </c>
      <c r="CO3255">
        <v>51913</v>
      </c>
      <c r="CP3255">
        <v>22790</v>
      </c>
      <c r="CQ3255" t="s">
        <v>11255</v>
      </c>
      <c r="CR3255">
        <v>77.930000000000007</v>
      </c>
      <c r="CS3255">
        <v>55.38</v>
      </c>
      <c r="CT3255">
        <v>1.35</v>
      </c>
      <c r="CU3255">
        <v>162.38999999999999</v>
      </c>
      <c r="CV3255">
        <v>0.69</v>
      </c>
      <c r="CW3255">
        <v>2.0299999999999998</v>
      </c>
      <c r="CX3255" t="s">
        <v>293</v>
      </c>
      <c r="CY3255">
        <v>4.28</v>
      </c>
      <c r="CZ3255">
        <v>0</v>
      </c>
      <c r="DA3255">
        <v>0.82</v>
      </c>
      <c r="DB3255">
        <v>2.33</v>
      </c>
      <c r="DC3255">
        <v>0.04</v>
      </c>
      <c r="DD3255">
        <v>43.57</v>
      </c>
      <c r="DE3255" t="s">
        <v>14004</v>
      </c>
      <c r="DF3255">
        <v>4.58</v>
      </c>
      <c r="DG3255">
        <v>4.38</v>
      </c>
      <c r="DH3255">
        <v>3.51</v>
      </c>
      <c r="DI3255">
        <v>0.66</v>
      </c>
      <c r="DJ3255">
        <v>34628</v>
      </c>
      <c r="DK3255">
        <v>601598</v>
      </c>
      <c r="DL3255" t="s">
        <v>120</v>
      </c>
      <c r="DM3255" t="s">
        <v>120</v>
      </c>
      <c r="DN3255" t="s">
        <v>120</v>
      </c>
    </row>
    <row r="3256" spans="1:118">
      <c r="A3256" t="str">
        <f>"601599"</f>
        <v>601599</v>
      </c>
      <c r="B3256" t="s">
        <v>14005</v>
      </c>
      <c r="C3256">
        <v>-1.85</v>
      </c>
      <c r="D3256">
        <v>0</v>
      </c>
      <c r="E3256">
        <v>0</v>
      </c>
      <c r="F3256">
        <v>616</v>
      </c>
      <c r="G3256" t="s">
        <v>14006</v>
      </c>
      <c r="H3256">
        <v>2356.64</v>
      </c>
      <c r="I3256">
        <v>1.85</v>
      </c>
      <c r="J3256" t="s">
        <v>120</v>
      </c>
      <c r="K3256" t="s">
        <v>12476</v>
      </c>
      <c r="L3256">
        <v>0.82</v>
      </c>
      <c r="M3256">
        <v>3.18</v>
      </c>
      <c r="N3256">
        <v>0.64</v>
      </c>
      <c r="O3256">
        <v>1.85</v>
      </c>
      <c r="P3256">
        <v>3.3</v>
      </c>
      <c r="Q3256">
        <v>-1.85</v>
      </c>
      <c r="R3256">
        <v>3.18</v>
      </c>
      <c r="S3256">
        <v>3.24</v>
      </c>
      <c r="T3256">
        <v>72911</v>
      </c>
      <c r="U3256">
        <v>3.19</v>
      </c>
      <c r="V3256">
        <v>3.24</v>
      </c>
      <c r="W3256">
        <v>44.26</v>
      </c>
      <c r="X3256" t="s">
        <v>1766</v>
      </c>
      <c r="Y3256" t="s">
        <v>319</v>
      </c>
      <c r="Z3256">
        <v>3.7</v>
      </c>
      <c r="AA3256">
        <v>3.23</v>
      </c>
      <c r="AB3256">
        <v>44559</v>
      </c>
      <c r="AC3256">
        <v>28352</v>
      </c>
      <c r="AD3256">
        <v>1.57</v>
      </c>
      <c r="AE3256">
        <v>1453</v>
      </c>
      <c r="AF3256">
        <v>910</v>
      </c>
      <c r="AG3256" t="s">
        <v>120</v>
      </c>
      <c r="AH3256">
        <v>0</v>
      </c>
      <c r="AI3256" t="s">
        <v>120</v>
      </c>
      <c r="AJ3256">
        <v>8.93</v>
      </c>
      <c r="AK3256" t="s">
        <v>798</v>
      </c>
      <c r="AL3256">
        <v>-0.51</v>
      </c>
      <c r="AM3256">
        <v>1303</v>
      </c>
      <c r="AN3256">
        <v>56</v>
      </c>
      <c r="AO3256">
        <v>5.9999999999999995E-4</v>
      </c>
      <c r="AP3256">
        <v>-1</v>
      </c>
      <c r="AQ3256">
        <v>1.25</v>
      </c>
      <c r="AR3256">
        <v>-2.16</v>
      </c>
      <c r="AS3256">
        <v>3.59</v>
      </c>
      <c r="AT3256">
        <v>-4.79</v>
      </c>
      <c r="AU3256">
        <v>14.39</v>
      </c>
      <c r="AV3256">
        <v>2</v>
      </c>
      <c r="AW3256">
        <v>0.94</v>
      </c>
      <c r="AX3256">
        <v>66.680000000000007</v>
      </c>
      <c r="AY3256">
        <v>88.31</v>
      </c>
      <c r="AZ3256" t="s">
        <v>120</v>
      </c>
      <c r="BA3256">
        <v>0.25</v>
      </c>
      <c r="BB3256" t="s">
        <v>184</v>
      </c>
      <c r="BF3256">
        <v>-0.24</v>
      </c>
      <c r="BG3256">
        <v>-1.85</v>
      </c>
      <c r="BH3256">
        <v>-3.64</v>
      </c>
      <c r="BI3256">
        <v>0</v>
      </c>
      <c r="BJ3256">
        <v>20210825</v>
      </c>
      <c r="BK3256">
        <v>20110527</v>
      </c>
      <c r="BL3256">
        <v>11.61</v>
      </c>
      <c r="BM3256" t="s">
        <v>120</v>
      </c>
      <c r="BN3256" t="s">
        <v>120</v>
      </c>
      <c r="BO3256">
        <v>43.98</v>
      </c>
      <c r="BP3256">
        <v>3.18</v>
      </c>
      <c r="BQ3256">
        <v>11.68</v>
      </c>
      <c r="BR3256">
        <v>0.21</v>
      </c>
      <c r="BS3256">
        <v>72.97</v>
      </c>
      <c r="BT3256">
        <v>31.13</v>
      </c>
      <c r="BU3256">
        <v>7.79</v>
      </c>
      <c r="BV3256">
        <v>0.81</v>
      </c>
      <c r="BW3256">
        <v>25.7</v>
      </c>
      <c r="BX3256">
        <v>8.4499999999999993</v>
      </c>
      <c r="BY3256">
        <v>11.71</v>
      </c>
      <c r="BZ3256">
        <v>8.33</v>
      </c>
      <c r="CA3256" t="s">
        <v>120</v>
      </c>
      <c r="CB3256">
        <v>12.91</v>
      </c>
      <c r="CC3256">
        <v>13.45</v>
      </c>
      <c r="CD3256">
        <v>11.08</v>
      </c>
      <c r="CE3256">
        <v>0.73</v>
      </c>
      <c r="CF3256">
        <v>0.09</v>
      </c>
      <c r="CG3256">
        <v>0.74</v>
      </c>
      <c r="CH3256">
        <v>0.45</v>
      </c>
      <c r="CI3256">
        <v>0.42</v>
      </c>
      <c r="CJ3256">
        <v>-0.06</v>
      </c>
      <c r="CK3256">
        <v>0.27</v>
      </c>
      <c r="CL3256">
        <v>-13.4</v>
      </c>
      <c r="CM3256">
        <v>-0.65</v>
      </c>
      <c r="CN3256">
        <v>2.97</v>
      </c>
      <c r="CO3256">
        <v>27764</v>
      </c>
      <c r="CP3256">
        <v>27871</v>
      </c>
      <c r="CQ3256" t="s">
        <v>3765</v>
      </c>
      <c r="CR3256">
        <v>104.08</v>
      </c>
      <c r="CS3256">
        <v>126.99</v>
      </c>
      <c r="CT3256">
        <v>3.16</v>
      </c>
      <c r="CU3256">
        <v>-56.53</v>
      </c>
      <c r="CV3256">
        <v>2.74</v>
      </c>
      <c r="CW3256">
        <v>0</v>
      </c>
      <c r="CX3256" t="s">
        <v>1248</v>
      </c>
      <c r="CY3256">
        <v>1.01</v>
      </c>
      <c r="CZ3256">
        <v>0</v>
      </c>
      <c r="DA3256">
        <v>1.1100000000000001</v>
      </c>
      <c r="DB3256">
        <v>-1.1599999999999999</v>
      </c>
      <c r="DC3256">
        <v>-0.06</v>
      </c>
      <c r="DD3256">
        <v>26.55</v>
      </c>
      <c r="DE3256" t="s">
        <v>2386</v>
      </c>
      <c r="DF3256">
        <v>17.559999999999999</v>
      </c>
      <c r="DG3256">
        <v>5.47</v>
      </c>
      <c r="DH3256">
        <v>3.1</v>
      </c>
      <c r="DI3256">
        <v>0.15</v>
      </c>
      <c r="DJ3256">
        <v>3013</v>
      </c>
      <c r="DK3256">
        <v>601599</v>
      </c>
      <c r="DL3256" t="s">
        <v>120</v>
      </c>
      <c r="DM3256" t="s">
        <v>120</v>
      </c>
      <c r="DN3256" t="s">
        <v>120</v>
      </c>
    </row>
    <row r="3257" spans="1:118">
      <c r="A3257" t="str">
        <f>"601600"</f>
        <v>601600</v>
      </c>
      <c r="B3257" t="s">
        <v>14007</v>
      </c>
      <c r="C3257">
        <v>2.35</v>
      </c>
      <c r="D3257">
        <v>0.42</v>
      </c>
      <c r="E3257">
        <v>2.99</v>
      </c>
      <c r="F3257">
        <v>67406</v>
      </c>
      <c r="G3257" t="s">
        <v>14008</v>
      </c>
      <c r="H3257">
        <v>520857.33</v>
      </c>
      <c r="I3257">
        <v>7333.34</v>
      </c>
      <c r="J3257" t="s">
        <v>120</v>
      </c>
      <c r="K3257" t="s">
        <v>14009</v>
      </c>
      <c r="L3257">
        <v>4.1399999999999997</v>
      </c>
      <c r="M3257">
        <v>9.57</v>
      </c>
      <c r="N3257">
        <v>0.79</v>
      </c>
      <c r="O3257">
        <v>6.31</v>
      </c>
      <c r="P3257">
        <v>9.94</v>
      </c>
      <c r="Q3257">
        <v>-0.32</v>
      </c>
      <c r="R3257">
        <v>9.32</v>
      </c>
      <c r="S3257">
        <v>9.6300000000000008</v>
      </c>
      <c r="T3257">
        <v>5415588</v>
      </c>
      <c r="U3257">
        <v>9.58</v>
      </c>
      <c r="V3257">
        <v>9.35</v>
      </c>
      <c r="W3257">
        <v>26.49</v>
      </c>
      <c r="X3257" t="s">
        <v>1325</v>
      </c>
      <c r="Y3257" t="s">
        <v>158</v>
      </c>
      <c r="Z3257">
        <v>6.63</v>
      </c>
      <c r="AA3257">
        <v>9.6199999999999992</v>
      </c>
      <c r="AB3257">
        <v>2576107</v>
      </c>
      <c r="AC3257">
        <v>2839481</v>
      </c>
      <c r="AD3257">
        <v>0.91</v>
      </c>
      <c r="AE3257">
        <v>1576</v>
      </c>
      <c r="AF3257">
        <v>1317</v>
      </c>
      <c r="AG3257" t="s">
        <v>120</v>
      </c>
      <c r="AH3257">
        <v>0.1</v>
      </c>
      <c r="AI3257" t="s">
        <v>120</v>
      </c>
      <c r="AJ3257">
        <v>130.79</v>
      </c>
      <c r="AK3257" t="s">
        <v>14009</v>
      </c>
      <c r="AL3257">
        <v>3.7</v>
      </c>
      <c r="AM3257">
        <v>4744</v>
      </c>
      <c r="AN3257">
        <v>1142</v>
      </c>
      <c r="AO3257">
        <v>8.9999999999999998E-4</v>
      </c>
      <c r="AP3257">
        <v>1</v>
      </c>
      <c r="AQ3257">
        <v>-3.21</v>
      </c>
      <c r="AR3257">
        <v>-6.45</v>
      </c>
      <c r="AS3257">
        <v>62.75</v>
      </c>
      <c r="AT3257">
        <v>84.75</v>
      </c>
      <c r="AU3257">
        <v>163.63999999999999</v>
      </c>
      <c r="AV3257">
        <v>7</v>
      </c>
      <c r="AW3257">
        <v>6.95</v>
      </c>
      <c r="AX3257">
        <v>59.56</v>
      </c>
      <c r="AY3257">
        <v>42.1</v>
      </c>
      <c r="AZ3257">
        <v>214.79</v>
      </c>
      <c r="BA3257">
        <v>1.54</v>
      </c>
      <c r="BB3257" t="s">
        <v>143</v>
      </c>
      <c r="BF3257">
        <v>2.86</v>
      </c>
      <c r="BG3257">
        <v>-0.62</v>
      </c>
      <c r="BH3257">
        <v>-3.72</v>
      </c>
      <c r="BI3257">
        <v>2.68</v>
      </c>
      <c r="BJ3257">
        <v>20210825</v>
      </c>
      <c r="BK3257">
        <v>20070430</v>
      </c>
      <c r="BL3257">
        <v>170.23</v>
      </c>
      <c r="BM3257" t="s">
        <v>120</v>
      </c>
      <c r="BN3257">
        <v>39.44</v>
      </c>
      <c r="BO3257">
        <v>1941.12</v>
      </c>
      <c r="BP3257">
        <v>9.57</v>
      </c>
      <c r="BQ3257">
        <v>574.79999999999995</v>
      </c>
      <c r="BR3257">
        <v>184.71</v>
      </c>
      <c r="BS3257">
        <v>60.87</v>
      </c>
      <c r="BT3257">
        <v>502.97</v>
      </c>
      <c r="BU3257">
        <v>948.95</v>
      </c>
      <c r="BV3257">
        <v>157.5</v>
      </c>
      <c r="BW3257">
        <v>588.41999999999996</v>
      </c>
      <c r="BX3257">
        <v>75.739999999999995</v>
      </c>
      <c r="BY3257">
        <v>195.08</v>
      </c>
      <c r="BZ3257">
        <v>58.2</v>
      </c>
      <c r="CA3257">
        <v>0.14000000000000001</v>
      </c>
      <c r="CB3257">
        <v>281.64999999999998</v>
      </c>
      <c r="CC3257">
        <v>1207.3599999999999</v>
      </c>
      <c r="CD3257">
        <v>1068.97</v>
      </c>
      <c r="CE3257">
        <v>67.180000000000007</v>
      </c>
      <c r="CF3257">
        <v>-0.31</v>
      </c>
      <c r="CG3257">
        <v>60.31</v>
      </c>
      <c r="CH3257">
        <v>47.92</v>
      </c>
      <c r="CI3257">
        <v>30.75</v>
      </c>
      <c r="CJ3257">
        <v>0.22</v>
      </c>
      <c r="CK3257">
        <v>43.37</v>
      </c>
      <c r="CL3257">
        <v>56.56</v>
      </c>
      <c r="CM3257">
        <v>95.22</v>
      </c>
      <c r="CN3257">
        <v>-24.88</v>
      </c>
      <c r="CO3257">
        <v>392018</v>
      </c>
      <c r="CP3257">
        <v>19871</v>
      </c>
      <c r="CQ3257" t="s">
        <v>14010</v>
      </c>
      <c r="CR3257">
        <v>8511</v>
      </c>
      <c r="CS3257">
        <v>43.55</v>
      </c>
      <c r="CT3257">
        <v>3.07</v>
      </c>
      <c r="CU3257">
        <v>17.11</v>
      </c>
      <c r="CV3257">
        <v>1.35</v>
      </c>
      <c r="CW3257">
        <v>0</v>
      </c>
      <c r="CX3257" t="s">
        <v>1193</v>
      </c>
      <c r="CY3257">
        <v>3.11</v>
      </c>
      <c r="CZ3257">
        <v>3.11</v>
      </c>
      <c r="DA3257">
        <v>1.65</v>
      </c>
      <c r="DB3257">
        <v>0.33</v>
      </c>
      <c r="DC3257">
        <v>0.56000000000000005</v>
      </c>
      <c r="DD3257">
        <v>29.61</v>
      </c>
      <c r="DE3257" t="s">
        <v>14011</v>
      </c>
      <c r="DF3257">
        <v>11.46</v>
      </c>
      <c r="DG3257">
        <v>5.56</v>
      </c>
      <c r="DH3257">
        <v>2.5499999999999998</v>
      </c>
      <c r="DI3257">
        <v>6.59</v>
      </c>
      <c r="DJ3257">
        <v>63007</v>
      </c>
      <c r="DK3257">
        <v>601600</v>
      </c>
      <c r="DL3257">
        <v>20210830</v>
      </c>
      <c r="DM3257">
        <v>7.67</v>
      </c>
      <c r="DN3257">
        <v>24.77</v>
      </c>
    </row>
    <row r="3258" spans="1:118">
      <c r="A3258" t="str">
        <f>"601601"</f>
        <v>601601</v>
      </c>
      <c r="B3258" t="s">
        <v>14012</v>
      </c>
      <c r="C3258">
        <v>-0.68</v>
      </c>
      <c r="D3258">
        <v>-0.06</v>
      </c>
      <c r="E3258">
        <v>-0.32</v>
      </c>
      <c r="F3258">
        <v>6420</v>
      </c>
      <c r="G3258" t="s">
        <v>14013</v>
      </c>
      <c r="H3258">
        <v>76620.160000000003</v>
      </c>
      <c r="I3258">
        <v>162.85</v>
      </c>
      <c r="J3258" t="s">
        <v>120</v>
      </c>
      <c r="K3258" t="s">
        <v>14014</v>
      </c>
      <c r="L3258">
        <v>0.4</v>
      </c>
      <c r="M3258">
        <v>27.69</v>
      </c>
      <c r="N3258">
        <v>0.62</v>
      </c>
      <c r="O3258">
        <v>0.72</v>
      </c>
      <c r="P3258">
        <v>28.08</v>
      </c>
      <c r="Q3258">
        <v>-0.93</v>
      </c>
      <c r="R3258">
        <v>27.62</v>
      </c>
      <c r="S3258">
        <v>27.79</v>
      </c>
      <c r="T3258">
        <v>275553</v>
      </c>
      <c r="U3258">
        <v>27.7</v>
      </c>
      <c r="V3258">
        <v>27.88</v>
      </c>
      <c r="W3258">
        <v>7.7</v>
      </c>
      <c r="X3258" t="s">
        <v>378</v>
      </c>
      <c r="Y3258" t="s">
        <v>1510</v>
      </c>
      <c r="Z3258">
        <v>1.65</v>
      </c>
      <c r="AA3258">
        <v>27.81</v>
      </c>
      <c r="AB3258">
        <v>112830</v>
      </c>
      <c r="AC3258">
        <v>162723</v>
      </c>
      <c r="AD3258">
        <v>0.69</v>
      </c>
      <c r="AE3258">
        <v>94</v>
      </c>
      <c r="AF3258">
        <v>2</v>
      </c>
      <c r="AG3258" t="s">
        <v>120</v>
      </c>
      <c r="AH3258">
        <v>0</v>
      </c>
      <c r="AI3258" t="s">
        <v>120</v>
      </c>
      <c r="AJ3258">
        <v>68.45</v>
      </c>
      <c r="AK3258" t="s">
        <v>14014</v>
      </c>
      <c r="AL3258">
        <v>0.66</v>
      </c>
      <c r="AM3258">
        <v>4520</v>
      </c>
      <c r="AN3258">
        <v>61</v>
      </c>
      <c r="AO3258">
        <v>1E-4</v>
      </c>
      <c r="AP3258">
        <v>-1</v>
      </c>
      <c r="AQ3258">
        <v>0.65</v>
      </c>
      <c r="AR3258">
        <v>-2.8</v>
      </c>
      <c r="AS3258">
        <v>1.84</v>
      </c>
      <c r="AT3258">
        <v>-5.88</v>
      </c>
      <c r="AU3258">
        <v>-25.36</v>
      </c>
      <c r="AV3258">
        <v>0</v>
      </c>
      <c r="AW3258">
        <v>0.78</v>
      </c>
      <c r="AX3258">
        <v>51.51</v>
      </c>
      <c r="AY3258">
        <v>9.6999999999999993</v>
      </c>
      <c r="AZ3258">
        <v>10.91</v>
      </c>
      <c r="BA3258">
        <v>1.43</v>
      </c>
      <c r="BB3258" t="s">
        <v>143</v>
      </c>
      <c r="BF3258">
        <v>-0.27</v>
      </c>
      <c r="BG3258">
        <v>-0.36</v>
      </c>
      <c r="BH3258">
        <v>-1.39</v>
      </c>
      <c r="BI3258">
        <v>0.25</v>
      </c>
      <c r="BJ3258">
        <v>20210901</v>
      </c>
      <c r="BK3258">
        <v>20071225</v>
      </c>
      <c r="BL3258">
        <v>96.2</v>
      </c>
      <c r="BM3258" t="s">
        <v>120</v>
      </c>
      <c r="BN3258">
        <v>27.75</v>
      </c>
      <c r="BO3258">
        <v>18968.689999999999</v>
      </c>
      <c r="BP3258">
        <v>27.69</v>
      </c>
      <c r="BQ3258">
        <v>2185.34</v>
      </c>
      <c r="BR3258">
        <v>53.35</v>
      </c>
      <c r="BS3258">
        <v>88.2</v>
      </c>
      <c r="BT3258">
        <v>0</v>
      </c>
      <c r="BU3258">
        <v>158.78</v>
      </c>
      <c r="BV3258">
        <v>51</v>
      </c>
      <c r="BW3258">
        <v>0</v>
      </c>
      <c r="BX3258">
        <v>249.88</v>
      </c>
      <c r="BY3258">
        <v>0</v>
      </c>
      <c r="BZ3258">
        <v>0</v>
      </c>
      <c r="CA3258" t="s">
        <v>120</v>
      </c>
      <c r="CB3258">
        <v>796.57</v>
      </c>
      <c r="CC3258">
        <v>2525.12</v>
      </c>
      <c r="CD3258">
        <v>0</v>
      </c>
      <c r="CE3258">
        <v>213.58</v>
      </c>
      <c r="CF3258">
        <v>504.53</v>
      </c>
      <c r="CG3258">
        <v>214</v>
      </c>
      <c r="CH3258">
        <v>177.95</v>
      </c>
      <c r="CI3258">
        <v>173.04</v>
      </c>
      <c r="CJ3258">
        <v>-0.19</v>
      </c>
      <c r="CK3258">
        <v>171.84</v>
      </c>
      <c r="CL3258">
        <v>862.56</v>
      </c>
      <c r="CM3258">
        <v>591.04</v>
      </c>
      <c r="CN3258">
        <v>55.35</v>
      </c>
      <c r="CO3258">
        <v>174704</v>
      </c>
      <c r="CP3258">
        <v>20183</v>
      </c>
      <c r="CQ3258" t="s">
        <v>14015</v>
      </c>
      <c r="CR3258">
        <v>21.53</v>
      </c>
      <c r="CS3258">
        <v>7.23</v>
      </c>
      <c r="CT3258">
        <v>1.22</v>
      </c>
      <c r="CU3258">
        <v>4.51</v>
      </c>
      <c r="CV3258">
        <v>1.05</v>
      </c>
      <c r="CW3258">
        <v>4.66</v>
      </c>
      <c r="CX3258" t="s">
        <v>12245</v>
      </c>
      <c r="CY3258">
        <v>22.72</v>
      </c>
      <c r="CZ3258">
        <v>22.72</v>
      </c>
      <c r="DA3258">
        <v>8.2799999999999994</v>
      </c>
      <c r="DB3258">
        <v>8.9700000000000006</v>
      </c>
      <c r="DC3258">
        <v>6.14</v>
      </c>
      <c r="DD3258">
        <v>11.52</v>
      </c>
      <c r="DE3258" t="s">
        <v>13221</v>
      </c>
      <c r="DF3258" t="s">
        <v>120</v>
      </c>
      <c r="DG3258">
        <v>8.4600000000000009</v>
      </c>
      <c r="DH3258">
        <v>6.85</v>
      </c>
      <c r="DI3258" t="s">
        <v>120</v>
      </c>
      <c r="DJ3258">
        <v>110940</v>
      </c>
      <c r="DK3258">
        <v>601601</v>
      </c>
      <c r="DL3258" t="s">
        <v>120</v>
      </c>
      <c r="DM3258" t="s">
        <v>120</v>
      </c>
      <c r="DN3258" t="s">
        <v>120</v>
      </c>
    </row>
    <row r="3259" spans="1:118">
      <c r="A3259" t="str">
        <f>"601606"</f>
        <v>601606</v>
      </c>
      <c r="B3259" t="s">
        <v>14016</v>
      </c>
      <c r="C3259">
        <v>-4.72</v>
      </c>
      <c r="D3259">
        <v>0.09</v>
      </c>
      <c r="E3259">
        <v>0.08</v>
      </c>
      <c r="F3259">
        <v>1538</v>
      </c>
      <c r="G3259" t="s">
        <v>4623</v>
      </c>
      <c r="H3259">
        <v>18962.32</v>
      </c>
      <c r="I3259">
        <v>28.15</v>
      </c>
      <c r="J3259" t="s">
        <v>120</v>
      </c>
      <c r="K3259" t="s">
        <v>14017</v>
      </c>
      <c r="L3259">
        <v>2.2200000000000002</v>
      </c>
      <c r="M3259">
        <v>11.5</v>
      </c>
      <c r="N3259">
        <v>1.1100000000000001</v>
      </c>
      <c r="O3259">
        <v>0.75</v>
      </c>
      <c r="P3259">
        <v>12.16</v>
      </c>
      <c r="Q3259">
        <v>-4.8899999999999997</v>
      </c>
      <c r="R3259">
        <v>11.48</v>
      </c>
      <c r="S3259">
        <v>12.08</v>
      </c>
      <c r="T3259">
        <v>160624</v>
      </c>
      <c r="U3259">
        <v>11.51</v>
      </c>
      <c r="V3259">
        <v>12.07</v>
      </c>
      <c r="W3259" t="s">
        <v>120</v>
      </c>
      <c r="X3259" t="s">
        <v>675</v>
      </c>
      <c r="Y3259" t="s">
        <v>570</v>
      </c>
      <c r="Z3259">
        <v>5.63</v>
      </c>
      <c r="AA3259">
        <v>11.81</v>
      </c>
      <c r="AB3259">
        <v>92718</v>
      </c>
      <c r="AC3259">
        <v>67906</v>
      </c>
      <c r="AD3259">
        <v>1.37</v>
      </c>
      <c r="AE3259">
        <v>254</v>
      </c>
      <c r="AF3259">
        <v>910</v>
      </c>
      <c r="AG3259" t="s">
        <v>120</v>
      </c>
      <c r="AH3259">
        <v>0.01</v>
      </c>
      <c r="AI3259" t="s">
        <v>120</v>
      </c>
      <c r="AJ3259">
        <v>7.24</v>
      </c>
      <c r="AK3259" t="s">
        <v>14017</v>
      </c>
      <c r="AL3259">
        <v>-3.38</v>
      </c>
      <c r="AM3259">
        <v>3813</v>
      </c>
      <c r="AN3259">
        <v>42</v>
      </c>
      <c r="AO3259">
        <v>5.9999999999999995E-4</v>
      </c>
      <c r="AP3259">
        <v>-5</v>
      </c>
      <c r="AQ3259">
        <v>-0.9</v>
      </c>
      <c r="AR3259">
        <v>-5.82</v>
      </c>
      <c r="AS3259">
        <v>-17.57</v>
      </c>
      <c r="AT3259">
        <v>8.48</v>
      </c>
      <c r="AU3259">
        <v>-3.61</v>
      </c>
      <c r="AV3259">
        <v>3</v>
      </c>
      <c r="AW3259">
        <v>5.4</v>
      </c>
      <c r="AX3259">
        <v>41.11</v>
      </c>
      <c r="AY3259">
        <v>89.2</v>
      </c>
      <c r="AZ3259">
        <v>74.5</v>
      </c>
      <c r="BA3259">
        <v>0</v>
      </c>
      <c r="BB3259" t="s">
        <v>134</v>
      </c>
      <c r="BF3259">
        <v>-2.19</v>
      </c>
      <c r="BG3259">
        <v>-4.8</v>
      </c>
      <c r="BH3259">
        <v>-5.43</v>
      </c>
      <c r="BI3259">
        <v>0.17</v>
      </c>
      <c r="BJ3259">
        <v>20210825</v>
      </c>
      <c r="BK3259">
        <v>20180806</v>
      </c>
      <c r="BL3259">
        <v>7.24</v>
      </c>
      <c r="BM3259" t="s">
        <v>120</v>
      </c>
      <c r="BN3259" t="s">
        <v>120</v>
      </c>
      <c r="BO3259">
        <v>38.28</v>
      </c>
      <c r="BP3259">
        <v>11.5</v>
      </c>
      <c r="BQ3259">
        <v>24.03</v>
      </c>
      <c r="BR3259">
        <v>0.15</v>
      </c>
      <c r="BS3259">
        <v>36.82</v>
      </c>
      <c r="BT3259">
        <v>22.73</v>
      </c>
      <c r="BU3259">
        <v>9.2899999999999991</v>
      </c>
      <c r="BV3259">
        <v>2.48</v>
      </c>
      <c r="BW3259">
        <v>9.1999999999999993</v>
      </c>
      <c r="BX3259">
        <v>4.17</v>
      </c>
      <c r="BY3259">
        <v>6.42</v>
      </c>
      <c r="BZ3259">
        <v>9.8800000000000008</v>
      </c>
      <c r="CA3259" t="s">
        <v>120</v>
      </c>
      <c r="CB3259">
        <v>6.67</v>
      </c>
      <c r="CC3259">
        <v>5.0199999999999996</v>
      </c>
      <c r="CD3259">
        <v>3.55</v>
      </c>
      <c r="CE3259">
        <v>-0.12</v>
      </c>
      <c r="CF3259">
        <v>0</v>
      </c>
      <c r="CG3259">
        <v>-0.12</v>
      </c>
      <c r="CH3259">
        <v>-7.0000000000000007E-2</v>
      </c>
      <c r="CI3259">
        <v>-0.06</v>
      </c>
      <c r="CJ3259">
        <v>-0.56999999999999995</v>
      </c>
      <c r="CK3259">
        <v>-0.14000000000000001</v>
      </c>
      <c r="CL3259">
        <v>9.0399999999999991</v>
      </c>
      <c r="CM3259">
        <v>-1.83</v>
      </c>
      <c r="CN3259">
        <v>-2.17</v>
      </c>
      <c r="CO3259">
        <v>64644</v>
      </c>
      <c r="CP3259">
        <v>4606</v>
      </c>
      <c r="CQ3259" t="s">
        <v>14018</v>
      </c>
      <c r="CR3259">
        <v>-150.55000000000001</v>
      </c>
      <c r="CS3259">
        <v>-7.65</v>
      </c>
      <c r="CT3259">
        <v>3.47</v>
      </c>
      <c r="CU3259">
        <v>-45.62</v>
      </c>
      <c r="CV3259">
        <v>16.59</v>
      </c>
      <c r="CW3259">
        <v>0.41</v>
      </c>
      <c r="CX3259" t="s">
        <v>1312</v>
      </c>
      <c r="CY3259">
        <v>3.32</v>
      </c>
      <c r="CZ3259">
        <v>0</v>
      </c>
      <c r="DA3259">
        <v>0.92</v>
      </c>
      <c r="DB3259">
        <v>1.25</v>
      </c>
      <c r="DC3259">
        <v>-0.25</v>
      </c>
      <c r="DD3259">
        <v>62.78</v>
      </c>
      <c r="DE3259" t="s">
        <v>14019</v>
      </c>
      <c r="DF3259">
        <v>29.4</v>
      </c>
      <c r="DG3259">
        <v>-2.34</v>
      </c>
      <c r="DH3259">
        <v>-1.29</v>
      </c>
      <c r="DI3259">
        <v>0.53</v>
      </c>
      <c r="DJ3259">
        <v>3843</v>
      </c>
      <c r="DK3259">
        <v>601606</v>
      </c>
      <c r="DL3259" t="s">
        <v>120</v>
      </c>
      <c r="DM3259" t="s">
        <v>120</v>
      </c>
      <c r="DN3259" t="s">
        <v>120</v>
      </c>
    </row>
    <row r="3260" spans="1:118">
      <c r="A3260" t="str">
        <f>"601607"</f>
        <v>601607</v>
      </c>
      <c r="B3260" t="s">
        <v>14020</v>
      </c>
      <c r="C3260">
        <v>-1.22</v>
      </c>
      <c r="D3260">
        <v>-0.19</v>
      </c>
      <c r="E3260">
        <v>0.35</v>
      </c>
      <c r="F3260">
        <v>2871</v>
      </c>
      <c r="G3260" t="s">
        <v>14021</v>
      </c>
      <c r="H3260">
        <v>27718.69</v>
      </c>
      <c r="I3260">
        <v>133.12</v>
      </c>
      <c r="J3260" t="s">
        <v>120</v>
      </c>
      <c r="K3260" t="s">
        <v>14022</v>
      </c>
      <c r="L3260">
        <v>0.73</v>
      </c>
      <c r="M3260">
        <v>19.5</v>
      </c>
      <c r="N3260">
        <v>0.88</v>
      </c>
      <c r="O3260">
        <v>1.22</v>
      </c>
      <c r="P3260">
        <v>19.98</v>
      </c>
      <c r="Q3260">
        <v>-1.22</v>
      </c>
      <c r="R3260">
        <v>19.5</v>
      </c>
      <c r="S3260">
        <v>19.809999999999999</v>
      </c>
      <c r="T3260">
        <v>140682</v>
      </c>
      <c r="U3260">
        <v>19.510000000000002</v>
      </c>
      <c r="V3260">
        <v>19.739999999999998</v>
      </c>
      <c r="W3260">
        <v>7.77</v>
      </c>
      <c r="X3260" t="s">
        <v>274</v>
      </c>
      <c r="Y3260" t="s">
        <v>1510</v>
      </c>
      <c r="Z3260">
        <v>2.4300000000000002</v>
      </c>
      <c r="AA3260">
        <v>19.7</v>
      </c>
      <c r="AB3260">
        <v>72673</v>
      </c>
      <c r="AC3260">
        <v>68009</v>
      </c>
      <c r="AD3260">
        <v>1.07</v>
      </c>
      <c r="AE3260">
        <v>1417</v>
      </c>
      <c r="AF3260">
        <v>21</v>
      </c>
      <c r="AG3260" t="s">
        <v>120</v>
      </c>
      <c r="AH3260">
        <v>0.01</v>
      </c>
      <c r="AI3260" t="s">
        <v>120</v>
      </c>
      <c r="AJ3260">
        <v>19.23</v>
      </c>
      <c r="AK3260" t="s">
        <v>14023</v>
      </c>
      <c r="AL3260">
        <v>0.13</v>
      </c>
      <c r="AM3260">
        <v>4071</v>
      </c>
      <c r="AN3260">
        <v>35</v>
      </c>
      <c r="AO3260">
        <v>2.0000000000000001E-4</v>
      </c>
      <c r="AP3260">
        <v>-5</v>
      </c>
      <c r="AQ3260">
        <v>-1.35</v>
      </c>
      <c r="AR3260">
        <v>-3.27</v>
      </c>
      <c r="AS3260">
        <v>2.36</v>
      </c>
      <c r="AT3260">
        <v>-4.37</v>
      </c>
      <c r="AU3260">
        <v>4.17</v>
      </c>
      <c r="AV3260">
        <v>0</v>
      </c>
      <c r="AW3260">
        <v>1.43</v>
      </c>
      <c r="AX3260">
        <v>51.18</v>
      </c>
      <c r="AY3260">
        <v>9.98</v>
      </c>
      <c r="AZ3260">
        <v>12.48</v>
      </c>
      <c r="BA3260">
        <v>0.53</v>
      </c>
      <c r="BB3260" t="s">
        <v>143</v>
      </c>
      <c r="BF3260">
        <v>-0.19</v>
      </c>
      <c r="BG3260">
        <v>-1.56</v>
      </c>
      <c r="BH3260">
        <v>-2.4</v>
      </c>
      <c r="BI3260">
        <v>0</v>
      </c>
      <c r="BJ3260">
        <v>20210831</v>
      </c>
      <c r="BK3260">
        <v>19940324</v>
      </c>
      <c r="BL3260">
        <v>28.42</v>
      </c>
      <c r="BM3260" t="s">
        <v>120</v>
      </c>
      <c r="BN3260">
        <v>9.19</v>
      </c>
      <c r="BO3260">
        <v>1584.22</v>
      </c>
      <c r="BP3260">
        <v>19.5</v>
      </c>
      <c r="BQ3260">
        <v>477.16</v>
      </c>
      <c r="BR3260">
        <v>95.74</v>
      </c>
      <c r="BS3260">
        <v>63.84</v>
      </c>
      <c r="BT3260">
        <v>1139.25</v>
      </c>
      <c r="BU3260">
        <v>102.75</v>
      </c>
      <c r="BV3260">
        <v>49.99</v>
      </c>
      <c r="BW3260">
        <v>923.32</v>
      </c>
      <c r="BX3260">
        <v>229.08</v>
      </c>
      <c r="BY3260">
        <v>234.57</v>
      </c>
      <c r="BZ3260">
        <v>584.74</v>
      </c>
      <c r="CA3260" t="s">
        <v>120</v>
      </c>
      <c r="CB3260">
        <v>160.05000000000001</v>
      </c>
      <c r="CC3260">
        <v>1052.3699999999999</v>
      </c>
      <c r="CD3260">
        <v>908.1</v>
      </c>
      <c r="CE3260">
        <v>52.3</v>
      </c>
      <c r="CF3260">
        <v>16.71</v>
      </c>
      <c r="CG3260">
        <v>52.18</v>
      </c>
      <c r="CH3260">
        <v>41.65</v>
      </c>
      <c r="CI3260">
        <v>35.68</v>
      </c>
      <c r="CJ3260">
        <v>-0.24</v>
      </c>
      <c r="CK3260">
        <v>25.51</v>
      </c>
      <c r="CL3260">
        <v>272.58</v>
      </c>
      <c r="CM3260">
        <v>21.71</v>
      </c>
      <c r="CN3260">
        <v>7.74</v>
      </c>
      <c r="CO3260">
        <v>97408</v>
      </c>
      <c r="CP3260">
        <v>10103</v>
      </c>
      <c r="CQ3260" t="s">
        <v>5386</v>
      </c>
      <c r="CR3260">
        <v>46.05</v>
      </c>
      <c r="CS3260">
        <v>20.73</v>
      </c>
      <c r="CT3260">
        <v>1.1599999999999999</v>
      </c>
      <c r="CU3260">
        <v>25.53</v>
      </c>
      <c r="CV3260">
        <v>0.53</v>
      </c>
      <c r="CW3260">
        <v>2.4300000000000002</v>
      </c>
      <c r="CX3260" t="s">
        <v>1526</v>
      </c>
      <c r="CY3260">
        <v>16.79</v>
      </c>
      <c r="CZ3260">
        <v>0</v>
      </c>
      <c r="DA3260">
        <v>5.63</v>
      </c>
      <c r="DB3260">
        <v>9.59</v>
      </c>
      <c r="DC3260">
        <v>0.76</v>
      </c>
      <c r="DD3260">
        <v>30.12</v>
      </c>
      <c r="DE3260" t="s">
        <v>920</v>
      </c>
      <c r="DF3260">
        <v>13.71</v>
      </c>
      <c r="DG3260">
        <v>4.97</v>
      </c>
      <c r="DH3260">
        <v>3.39</v>
      </c>
      <c r="DI3260">
        <v>8.8000000000000007</v>
      </c>
      <c r="DJ3260">
        <v>48136</v>
      </c>
      <c r="DK3260">
        <v>601607</v>
      </c>
      <c r="DL3260" t="s">
        <v>120</v>
      </c>
      <c r="DM3260" t="s">
        <v>120</v>
      </c>
      <c r="DN3260" t="s">
        <v>120</v>
      </c>
    </row>
    <row r="3261" spans="1:118">
      <c r="A3261" t="str">
        <f>"601608"</f>
        <v>601608</v>
      </c>
      <c r="B3261" t="s">
        <v>14024</v>
      </c>
      <c r="C3261">
        <v>-5.99</v>
      </c>
      <c r="D3261">
        <v>-0.57999999999999996</v>
      </c>
      <c r="E3261">
        <v>-0.56000000000000005</v>
      </c>
      <c r="F3261">
        <v>19384</v>
      </c>
      <c r="G3261" t="s">
        <v>14025</v>
      </c>
      <c r="H3261">
        <v>59297.81</v>
      </c>
      <c r="I3261">
        <v>141.03</v>
      </c>
      <c r="J3261" t="s">
        <v>120</v>
      </c>
      <c r="K3261" t="s">
        <v>14026</v>
      </c>
      <c r="L3261">
        <v>2.66</v>
      </c>
      <c r="M3261">
        <v>5.0199999999999996</v>
      </c>
      <c r="N3261">
        <v>0.62</v>
      </c>
      <c r="O3261">
        <v>0.75</v>
      </c>
      <c r="P3261">
        <v>5.38</v>
      </c>
      <c r="Q3261">
        <v>-6.37</v>
      </c>
      <c r="R3261">
        <v>5</v>
      </c>
      <c r="S3261">
        <v>5.31</v>
      </c>
      <c r="T3261">
        <v>1152784</v>
      </c>
      <c r="U3261">
        <v>5.03</v>
      </c>
      <c r="V3261">
        <v>5.34</v>
      </c>
      <c r="W3261">
        <v>62.64</v>
      </c>
      <c r="X3261" t="s">
        <v>675</v>
      </c>
      <c r="Y3261" t="s">
        <v>645</v>
      </c>
      <c r="Z3261">
        <v>7.12</v>
      </c>
      <c r="AA3261">
        <v>5.14</v>
      </c>
      <c r="AB3261">
        <v>629471</v>
      </c>
      <c r="AC3261">
        <v>523313</v>
      </c>
      <c r="AD3261">
        <v>1.2</v>
      </c>
      <c r="AE3261">
        <v>7192</v>
      </c>
      <c r="AF3261">
        <v>168</v>
      </c>
      <c r="AG3261" t="s">
        <v>120</v>
      </c>
      <c r="AH3261">
        <v>0.02</v>
      </c>
      <c r="AI3261" t="s">
        <v>120</v>
      </c>
      <c r="AJ3261">
        <v>43.39</v>
      </c>
      <c r="AK3261" t="s">
        <v>14026</v>
      </c>
      <c r="AL3261">
        <v>-4.6500000000000004</v>
      </c>
      <c r="AM3261">
        <v>4476</v>
      </c>
      <c r="AN3261">
        <v>258</v>
      </c>
      <c r="AO3261">
        <v>5.9999999999999995E-4</v>
      </c>
      <c r="AP3261">
        <v>-4</v>
      </c>
      <c r="AQ3261">
        <v>-0.93</v>
      </c>
      <c r="AR3261">
        <v>-8.23</v>
      </c>
      <c r="AS3261">
        <v>36.049999999999997</v>
      </c>
      <c r="AT3261">
        <v>49.14</v>
      </c>
      <c r="AU3261">
        <v>27.22</v>
      </c>
      <c r="AV3261">
        <v>7</v>
      </c>
      <c r="AW3261">
        <v>8.1199999999999992</v>
      </c>
      <c r="AX3261">
        <v>32.729999999999997</v>
      </c>
      <c r="AY3261">
        <v>115.83</v>
      </c>
      <c r="AZ3261">
        <v>118.76</v>
      </c>
      <c r="BA3261">
        <v>1.27</v>
      </c>
      <c r="BB3261" t="s">
        <v>143</v>
      </c>
      <c r="BF3261">
        <v>-3.67</v>
      </c>
      <c r="BG3261">
        <v>-5.46</v>
      </c>
      <c r="BH3261">
        <v>-6.69</v>
      </c>
      <c r="BI3261">
        <v>0.4</v>
      </c>
      <c r="BJ3261">
        <v>20210825</v>
      </c>
      <c r="BK3261">
        <v>20120706</v>
      </c>
      <c r="BL3261">
        <v>43.39</v>
      </c>
      <c r="BM3261" t="s">
        <v>120</v>
      </c>
      <c r="BN3261" t="s">
        <v>120</v>
      </c>
      <c r="BO3261">
        <v>197.28</v>
      </c>
      <c r="BP3261">
        <v>5.0199999999999996</v>
      </c>
      <c r="BQ3261">
        <v>73.98</v>
      </c>
      <c r="BR3261">
        <v>3.29</v>
      </c>
      <c r="BS3261">
        <v>60.83</v>
      </c>
      <c r="BT3261">
        <v>114.94</v>
      </c>
      <c r="BU3261">
        <v>39.020000000000003</v>
      </c>
      <c r="BV3261">
        <v>9.91</v>
      </c>
      <c r="BW3261">
        <v>103.83</v>
      </c>
      <c r="BX3261">
        <v>15.97</v>
      </c>
      <c r="BY3261">
        <v>51.67</v>
      </c>
      <c r="BZ3261">
        <v>28.94</v>
      </c>
      <c r="CA3261" t="s">
        <v>120</v>
      </c>
      <c r="CB3261">
        <v>19.79</v>
      </c>
      <c r="CC3261">
        <v>37.67</v>
      </c>
      <c r="CD3261">
        <v>29.2</v>
      </c>
      <c r="CE3261">
        <v>1.67</v>
      </c>
      <c r="CF3261">
        <v>0.17</v>
      </c>
      <c r="CG3261">
        <v>1.85</v>
      </c>
      <c r="CH3261">
        <v>1.77</v>
      </c>
      <c r="CI3261">
        <v>1.74</v>
      </c>
      <c r="CJ3261">
        <v>-0.32</v>
      </c>
      <c r="CK3261">
        <v>1.2</v>
      </c>
      <c r="CL3261">
        <v>3.14</v>
      </c>
      <c r="CM3261">
        <v>0.69</v>
      </c>
      <c r="CN3261">
        <v>-7.95</v>
      </c>
      <c r="CO3261">
        <v>105376</v>
      </c>
      <c r="CP3261">
        <v>13476</v>
      </c>
      <c r="CQ3261" t="s">
        <v>11334</v>
      </c>
      <c r="CR3261">
        <v>2.92</v>
      </c>
      <c r="CS3261">
        <v>40.19</v>
      </c>
      <c r="CT3261">
        <v>2.94</v>
      </c>
      <c r="CU3261">
        <v>315.37</v>
      </c>
      <c r="CV3261">
        <v>5.78</v>
      </c>
      <c r="CW3261">
        <v>0.27</v>
      </c>
      <c r="CX3261" t="s">
        <v>145</v>
      </c>
      <c r="CY3261">
        <v>1.7</v>
      </c>
      <c r="CZ3261">
        <v>0</v>
      </c>
      <c r="DA3261">
        <v>0.46</v>
      </c>
      <c r="DB3261">
        <v>7.0000000000000007E-2</v>
      </c>
      <c r="DC3261">
        <v>0.02</v>
      </c>
      <c r="DD3261">
        <v>37.5</v>
      </c>
      <c r="DE3261" t="s">
        <v>2151</v>
      </c>
      <c r="DF3261">
        <v>22.48</v>
      </c>
      <c r="DG3261">
        <v>4.4400000000000004</v>
      </c>
      <c r="DH3261">
        <v>4.62</v>
      </c>
      <c r="DI3261">
        <v>2.57</v>
      </c>
      <c r="DJ3261">
        <v>6461</v>
      </c>
      <c r="DK3261">
        <v>601608</v>
      </c>
      <c r="DL3261">
        <v>20210902</v>
      </c>
      <c r="DM3261">
        <v>5.32</v>
      </c>
      <c r="DN3261">
        <v>-5.64</v>
      </c>
    </row>
    <row r="3262" spans="1:118">
      <c r="A3262" t="str">
        <f>"601609"</f>
        <v>601609</v>
      </c>
      <c r="B3262" t="s">
        <v>14027</v>
      </c>
      <c r="C3262">
        <v>-3.82</v>
      </c>
      <c r="D3262">
        <v>0</v>
      </c>
      <c r="E3262">
        <v>0.62</v>
      </c>
      <c r="F3262">
        <v>3580</v>
      </c>
      <c r="G3262" t="s">
        <v>14028</v>
      </c>
      <c r="H3262">
        <v>38214.86</v>
      </c>
      <c r="I3262">
        <v>142.01</v>
      </c>
      <c r="J3262" t="s">
        <v>120</v>
      </c>
      <c r="K3262" t="s">
        <v>1699</v>
      </c>
      <c r="L3262">
        <v>6.71</v>
      </c>
      <c r="M3262">
        <v>9.31</v>
      </c>
      <c r="N3262">
        <v>0.69</v>
      </c>
      <c r="O3262">
        <v>1.24</v>
      </c>
      <c r="P3262">
        <v>9.8000000000000007</v>
      </c>
      <c r="Q3262">
        <v>-3.93</v>
      </c>
      <c r="R3262">
        <v>9.3000000000000007</v>
      </c>
      <c r="S3262">
        <v>9.74</v>
      </c>
      <c r="T3262">
        <v>400953</v>
      </c>
      <c r="U3262">
        <v>9.32</v>
      </c>
      <c r="V3262">
        <v>9.68</v>
      </c>
      <c r="W3262">
        <v>18.48</v>
      </c>
      <c r="X3262" t="s">
        <v>1398</v>
      </c>
      <c r="Y3262" t="s">
        <v>585</v>
      </c>
      <c r="Z3262">
        <v>5.17</v>
      </c>
      <c r="AA3262">
        <v>9.5299999999999994</v>
      </c>
      <c r="AB3262">
        <v>240045</v>
      </c>
      <c r="AC3262">
        <v>160908</v>
      </c>
      <c r="AD3262">
        <v>1.49</v>
      </c>
      <c r="AE3262">
        <v>481</v>
      </c>
      <c r="AF3262">
        <v>698</v>
      </c>
      <c r="AG3262" t="s">
        <v>120</v>
      </c>
      <c r="AH3262">
        <v>0.03</v>
      </c>
      <c r="AI3262" t="s">
        <v>120</v>
      </c>
      <c r="AJ3262">
        <v>5.97</v>
      </c>
      <c r="AK3262" t="s">
        <v>14029</v>
      </c>
      <c r="AL3262">
        <v>-2.48</v>
      </c>
      <c r="AM3262">
        <v>4098</v>
      </c>
      <c r="AN3262">
        <v>98</v>
      </c>
      <c r="AO3262">
        <v>1.6000000000000001E-3</v>
      </c>
      <c r="AP3262">
        <v>-1</v>
      </c>
      <c r="AQ3262">
        <v>0.31</v>
      </c>
      <c r="AR3262">
        <v>-9.08</v>
      </c>
      <c r="AS3262">
        <v>4.26</v>
      </c>
      <c r="AT3262">
        <v>7.13</v>
      </c>
      <c r="AU3262">
        <v>-7.3</v>
      </c>
      <c r="AV3262">
        <v>2</v>
      </c>
      <c r="AW3262">
        <v>7.02</v>
      </c>
      <c r="AX3262">
        <v>38.6</v>
      </c>
      <c r="AY3262">
        <v>22.47</v>
      </c>
      <c r="AZ3262">
        <v>27.98</v>
      </c>
      <c r="BA3262">
        <v>0.83</v>
      </c>
      <c r="BB3262" t="s">
        <v>143</v>
      </c>
      <c r="BF3262">
        <v>-1.54</v>
      </c>
      <c r="BG3262">
        <v>-4.41</v>
      </c>
      <c r="BH3262">
        <v>-5</v>
      </c>
      <c r="BI3262">
        <v>0.11</v>
      </c>
      <c r="BJ3262">
        <v>20210826</v>
      </c>
      <c r="BK3262">
        <v>20200422</v>
      </c>
      <c r="BL3262">
        <v>14.8</v>
      </c>
      <c r="BM3262" t="s">
        <v>120</v>
      </c>
      <c r="BN3262" t="s">
        <v>120</v>
      </c>
      <c r="BO3262">
        <v>186.15</v>
      </c>
      <c r="BP3262">
        <v>9.31</v>
      </c>
      <c r="BQ3262">
        <v>71.3</v>
      </c>
      <c r="BR3262">
        <v>1.37</v>
      </c>
      <c r="BS3262">
        <v>60.96</v>
      </c>
      <c r="BT3262">
        <v>132.38</v>
      </c>
      <c r="BU3262">
        <v>31.66</v>
      </c>
      <c r="BV3262">
        <v>5.17</v>
      </c>
      <c r="BW3262">
        <v>76.489999999999995</v>
      </c>
      <c r="BX3262">
        <v>12.21</v>
      </c>
      <c r="BY3262">
        <v>44.52</v>
      </c>
      <c r="BZ3262">
        <v>49.66</v>
      </c>
      <c r="CA3262" t="s">
        <v>120</v>
      </c>
      <c r="CB3262">
        <v>18.79</v>
      </c>
      <c r="CC3262">
        <v>374.35</v>
      </c>
      <c r="CD3262">
        <v>361.31</v>
      </c>
      <c r="CE3262">
        <v>5.09</v>
      </c>
      <c r="CF3262">
        <v>-0.72</v>
      </c>
      <c r="CG3262">
        <v>5.04</v>
      </c>
      <c r="CH3262">
        <v>3.7</v>
      </c>
      <c r="CI3262">
        <v>3.73</v>
      </c>
      <c r="CJ3262">
        <v>-0.37</v>
      </c>
      <c r="CK3262">
        <v>3.43</v>
      </c>
      <c r="CL3262">
        <v>30.54</v>
      </c>
      <c r="CM3262">
        <v>-33.24</v>
      </c>
      <c r="CN3262">
        <v>2.94</v>
      </c>
      <c r="CO3262">
        <v>76130</v>
      </c>
      <c r="CP3262">
        <v>7506</v>
      </c>
      <c r="CQ3262" t="s">
        <v>1498</v>
      </c>
      <c r="CR3262">
        <v>50.75</v>
      </c>
      <c r="CS3262">
        <v>101.27</v>
      </c>
      <c r="CT3262">
        <v>2</v>
      </c>
      <c r="CU3262">
        <v>-4.1500000000000004</v>
      </c>
      <c r="CV3262">
        <v>0.37</v>
      </c>
      <c r="CW3262">
        <v>1.1000000000000001</v>
      </c>
      <c r="CX3262" t="s">
        <v>863</v>
      </c>
      <c r="CY3262">
        <v>4.66</v>
      </c>
      <c r="CZ3262">
        <v>4.66</v>
      </c>
      <c r="DA3262">
        <v>1.27</v>
      </c>
      <c r="DB3262">
        <v>2.06</v>
      </c>
      <c r="DC3262">
        <v>-2.25</v>
      </c>
      <c r="DD3262">
        <v>38.299999999999997</v>
      </c>
      <c r="DE3262" t="s">
        <v>6218</v>
      </c>
      <c r="DF3262">
        <v>3.48</v>
      </c>
      <c r="DG3262">
        <v>1.36</v>
      </c>
      <c r="DH3262">
        <v>1</v>
      </c>
      <c r="DI3262">
        <v>1.45</v>
      </c>
      <c r="DJ3262">
        <v>6977</v>
      </c>
      <c r="DK3262">
        <v>601609</v>
      </c>
      <c r="DL3262" t="s">
        <v>120</v>
      </c>
      <c r="DM3262" t="s">
        <v>120</v>
      </c>
      <c r="DN3262" t="s">
        <v>120</v>
      </c>
    </row>
    <row r="3263" spans="1:118">
      <c r="A3263" t="str">
        <f>"601611"</f>
        <v>601611</v>
      </c>
      <c r="B3263" t="s">
        <v>14030</v>
      </c>
      <c r="C3263">
        <v>-5.73</v>
      </c>
      <c r="D3263">
        <v>-0.09</v>
      </c>
      <c r="E3263">
        <v>-0.97</v>
      </c>
      <c r="F3263">
        <v>5356</v>
      </c>
      <c r="G3263" t="s">
        <v>14031</v>
      </c>
      <c r="H3263">
        <v>65951.83</v>
      </c>
      <c r="I3263">
        <v>280.23</v>
      </c>
      <c r="J3263" t="s">
        <v>120</v>
      </c>
      <c r="K3263" t="s">
        <v>14032</v>
      </c>
      <c r="L3263">
        <v>2.5299999999999998</v>
      </c>
      <c r="M3263">
        <v>9.6999999999999993</v>
      </c>
      <c r="N3263">
        <v>0.8</v>
      </c>
      <c r="O3263">
        <v>1.36</v>
      </c>
      <c r="P3263">
        <v>10.43</v>
      </c>
      <c r="Q3263">
        <v>-7.68</v>
      </c>
      <c r="R3263">
        <v>9.5</v>
      </c>
      <c r="S3263">
        <v>10.19</v>
      </c>
      <c r="T3263">
        <v>663849</v>
      </c>
      <c r="U3263">
        <v>9.7100000000000009</v>
      </c>
      <c r="V3263">
        <v>10.29</v>
      </c>
      <c r="W3263">
        <v>23.05</v>
      </c>
      <c r="X3263" t="s">
        <v>175</v>
      </c>
      <c r="Y3263" t="s">
        <v>1510</v>
      </c>
      <c r="Z3263">
        <v>9.0399999999999991</v>
      </c>
      <c r="AA3263">
        <v>9.93</v>
      </c>
      <c r="AB3263">
        <v>390976</v>
      </c>
      <c r="AC3263">
        <v>272873</v>
      </c>
      <c r="AD3263">
        <v>1.43</v>
      </c>
      <c r="AE3263">
        <v>1815</v>
      </c>
      <c r="AF3263">
        <v>881</v>
      </c>
      <c r="AG3263" t="s">
        <v>120</v>
      </c>
      <c r="AH3263">
        <v>0.04</v>
      </c>
      <c r="AI3263" t="s">
        <v>120</v>
      </c>
      <c r="AJ3263">
        <v>26.25</v>
      </c>
      <c r="AK3263" t="s">
        <v>14033</v>
      </c>
      <c r="AL3263">
        <v>-4.3899999999999997</v>
      </c>
      <c r="AM3263">
        <v>4506</v>
      </c>
      <c r="AN3263">
        <v>147</v>
      </c>
      <c r="AO3263">
        <v>5.9999999999999995E-4</v>
      </c>
      <c r="AP3263">
        <v>-1</v>
      </c>
      <c r="AQ3263">
        <v>1.18</v>
      </c>
      <c r="AR3263">
        <v>-9.6</v>
      </c>
      <c r="AS3263">
        <v>24.68</v>
      </c>
      <c r="AT3263">
        <v>32.97</v>
      </c>
      <c r="AU3263">
        <v>34.44</v>
      </c>
      <c r="AV3263">
        <v>5</v>
      </c>
      <c r="AW3263">
        <v>9.56</v>
      </c>
      <c r="AX3263">
        <v>26.21</v>
      </c>
      <c r="AY3263">
        <v>18.190000000000001</v>
      </c>
      <c r="AZ3263">
        <v>20.04</v>
      </c>
      <c r="BA3263">
        <v>0.7</v>
      </c>
      <c r="BB3263" t="s">
        <v>184</v>
      </c>
      <c r="BF3263">
        <v>-3.45</v>
      </c>
      <c r="BG3263">
        <v>-4.8099999999999996</v>
      </c>
      <c r="BH3263">
        <v>-7</v>
      </c>
      <c r="BI3263">
        <v>2.11</v>
      </c>
      <c r="BJ3263">
        <v>20210830</v>
      </c>
      <c r="BK3263">
        <v>20160606</v>
      </c>
      <c r="BL3263">
        <v>26.49</v>
      </c>
      <c r="BM3263" t="s">
        <v>120</v>
      </c>
      <c r="BN3263" t="s">
        <v>120</v>
      </c>
      <c r="BO3263">
        <v>1619.16</v>
      </c>
      <c r="BP3263">
        <v>9.6999999999999993</v>
      </c>
      <c r="BQ3263">
        <v>174.71</v>
      </c>
      <c r="BR3263">
        <v>91.15</v>
      </c>
      <c r="BS3263">
        <v>83.58</v>
      </c>
      <c r="BT3263">
        <v>1042.81</v>
      </c>
      <c r="BU3263">
        <v>38.74</v>
      </c>
      <c r="BV3263">
        <v>51.98</v>
      </c>
      <c r="BW3263">
        <v>981.9</v>
      </c>
      <c r="BX3263">
        <v>115.12</v>
      </c>
      <c r="BY3263">
        <v>78.849999999999994</v>
      </c>
      <c r="BZ3263">
        <v>296.08999999999997</v>
      </c>
      <c r="CA3263" t="s">
        <v>120</v>
      </c>
      <c r="CB3263">
        <v>16.61</v>
      </c>
      <c r="CC3263">
        <v>425.44</v>
      </c>
      <c r="CD3263">
        <v>390.78</v>
      </c>
      <c r="CE3263">
        <v>9.9600000000000009</v>
      </c>
      <c r="CF3263">
        <v>0.96</v>
      </c>
      <c r="CG3263">
        <v>10.08</v>
      </c>
      <c r="CH3263">
        <v>8.06</v>
      </c>
      <c r="CI3263">
        <v>5.57</v>
      </c>
      <c r="CJ3263">
        <v>-0.59</v>
      </c>
      <c r="CK3263">
        <v>5.2</v>
      </c>
      <c r="CL3263">
        <v>67.2</v>
      </c>
      <c r="CM3263">
        <v>-35.03</v>
      </c>
      <c r="CN3263">
        <v>-37.81</v>
      </c>
      <c r="CO3263">
        <v>108798</v>
      </c>
      <c r="CP3263">
        <v>6380</v>
      </c>
      <c r="CQ3263" t="s">
        <v>5092</v>
      </c>
      <c r="CR3263">
        <v>33</v>
      </c>
      <c r="CS3263">
        <v>29.11</v>
      </c>
      <c r="CT3263">
        <v>2.16</v>
      </c>
      <c r="CU3263">
        <v>-7.33</v>
      </c>
      <c r="CV3263">
        <v>0.6</v>
      </c>
      <c r="CW3263">
        <v>0.63</v>
      </c>
      <c r="CX3263" t="s">
        <v>242</v>
      </c>
      <c r="CY3263">
        <v>4.49</v>
      </c>
      <c r="CZ3263">
        <v>4.49</v>
      </c>
      <c r="DA3263">
        <v>0.63</v>
      </c>
      <c r="DB3263">
        <v>2.54</v>
      </c>
      <c r="DC3263">
        <v>-1.32</v>
      </c>
      <c r="DD3263">
        <v>10.79</v>
      </c>
      <c r="DE3263" t="s">
        <v>1369</v>
      </c>
      <c r="DF3263">
        <v>8.15</v>
      </c>
      <c r="DG3263">
        <v>2.34</v>
      </c>
      <c r="DH3263">
        <v>1.31</v>
      </c>
      <c r="DI3263">
        <v>4.93</v>
      </c>
      <c r="DJ3263">
        <v>37216</v>
      </c>
      <c r="DK3263">
        <v>601611</v>
      </c>
      <c r="DL3263" t="s">
        <v>120</v>
      </c>
      <c r="DM3263" t="s">
        <v>120</v>
      </c>
      <c r="DN3263" t="s">
        <v>120</v>
      </c>
    </row>
    <row r="3264" spans="1:118">
      <c r="A3264" t="str">
        <f>"601615"</f>
        <v>601615</v>
      </c>
      <c r="B3264" t="s">
        <v>14034</v>
      </c>
      <c r="C3264">
        <v>0.45</v>
      </c>
      <c r="D3264">
        <v>0.04</v>
      </c>
      <c r="E3264">
        <v>-1.39</v>
      </c>
      <c r="F3264">
        <v>10299</v>
      </c>
      <c r="G3264" t="s">
        <v>14035</v>
      </c>
      <c r="H3264">
        <v>312188.48</v>
      </c>
      <c r="I3264">
        <v>2671.3</v>
      </c>
      <c r="J3264" t="s">
        <v>120</v>
      </c>
      <c r="K3264" t="s">
        <v>14036</v>
      </c>
      <c r="L3264">
        <v>8.4700000000000006</v>
      </c>
      <c r="M3264">
        <v>24.64</v>
      </c>
      <c r="N3264">
        <v>1.63</v>
      </c>
      <c r="O3264">
        <v>4.6900000000000004</v>
      </c>
      <c r="P3264">
        <v>25.68</v>
      </c>
      <c r="Q3264">
        <v>-2.08</v>
      </c>
      <c r="R3264">
        <v>24.02</v>
      </c>
      <c r="S3264">
        <v>24.19</v>
      </c>
      <c r="T3264">
        <v>1252201</v>
      </c>
      <c r="U3264">
        <v>24.64</v>
      </c>
      <c r="V3264">
        <v>24.53</v>
      </c>
      <c r="W3264">
        <v>23.08</v>
      </c>
      <c r="X3264" t="s">
        <v>959</v>
      </c>
      <c r="Y3264" t="s">
        <v>547</v>
      </c>
      <c r="Z3264">
        <v>6.77</v>
      </c>
      <c r="AA3264">
        <v>24.93</v>
      </c>
      <c r="AB3264">
        <v>608574</v>
      </c>
      <c r="AC3264">
        <v>643627</v>
      </c>
      <c r="AD3264">
        <v>0.95</v>
      </c>
      <c r="AE3264">
        <v>1101</v>
      </c>
      <c r="AF3264">
        <v>309</v>
      </c>
      <c r="AG3264" t="s">
        <v>120</v>
      </c>
      <c r="AH3264">
        <v>0.08</v>
      </c>
      <c r="AI3264" t="s">
        <v>120</v>
      </c>
      <c r="AJ3264">
        <v>14.78</v>
      </c>
      <c r="AK3264" t="s">
        <v>14037</v>
      </c>
      <c r="AL3264">
        <v>1.79</v>
      </c>
      <c r="AM3264">
        <v>4736</v>
      </c>
      <c r="AN3264">
        <v>264</v>
      </c>
      <c r="AO3264">
        <v>1.8E-3</v>
      </c>
      <c r="AP3264">
        <v>2</v>
      </c>
      <c r="AQ3264">
        <v>10</v>
      </c>
      <c r="AR3264">
        <v>9.41</v>
      </c>
      <c r="AS3264">
        <v>33.549999999999997</v>
      </c>
      <c r="AT3264">
        <v>49.79</v>
      </c>
      <c r="AU3264">
        <v>30.55</v>
      </c>
      <c r="AV3264">
        <v>4</v>
      </c>
      <c r="AW3264">
        <v>9.48</v>
      </c>
      <c r="AX3264">
        <v>67.69</v>
      </c>
      <c r="AY3264">
        <v>25.39</v>
      </c>
      <c r="AZ3264">
        <v>34.83</v>
      </c>
      <c r="BA3264">
        <v>0.91</v>
      </c>
      <c r="BB3264" t="s">
        <v>751</v>
      </c>
      <c r="BF3264">
        <v>1.64</v>
      </c>
      <c r="BG3264">
        <v>1.86</v>
      </c>
      <c r="BH3264">
        <v>-4.05</v>
      </c>
      <c r="BI3264">
        <v>2.58</v>
      </c>
      <c r="BJ3264">
        <v>20210820</v>
      </c>
      <c r="BK3264">
        <v>20190123</v>
      </c>
      <c r="BL3264">
        <v>19.510000000000002</v>
      </c>
      <c r="BM3264" t="s">
        <v>120</v>
      </c>
      <c r="BN3264" t="s">
        <v>120</v>
      </c>
      <c r="BO3264">
        <v>562.07000000000005</v>
      </c>
      <c r="BP3264">
        <v>24.63</v>
      </c>
      <c r="BQ3264">
        <v>163.69</v>
      </c>
      <c r="BR3264">
        <v>2.72</v>
      </c>
      <c r="BS3264">
        <v>70.39</v>
      </c>
      <c r="BT3264">
        <v>338.91</v>
      </c>
      <c r="BU3264">
        <v>96.24</v>
      </c>
      <c r="BV3264">
        <v>11.32</v>
      </c>
      <c r="BW3264">
        <v>301.83</v>
      </c>
      <c r="BX3264">
        <v>140.34</v>
      </c>
      <c r="BY3264">
        <v>100.08</v>
      </c>
      <c r="BZ3264">
        <v>44.37</v>
      </c>
      <c r="CA3264" t="s">
        <v>120</v>
      </c>
      <c r="CB3264">
        <v>107.46</v>
      </c>
      <c r="CC3264">
        <v>111.45</v>
      </c>
      <c r="CD3264">
        <v>87.87</v>
      </c>
      <c r="CE3264">
        <v>12</v>
      </c>
      <c r="CF3264">
        <v>0.54</v>
      </c>
      <c r="CG3264">
        <v>11.88</v>
      </c>
      <c r="CH3264">
        <v>10.15</v>
      </c>
      <c r="CI3264">
        <v>10.41</v>
      </c>
      <c r="CJ3264">
        <v>0.11</v>
      </c>
      <c r="CK3264">
        <v>10.23</v>
      </c>
      <c r="CL3264">
        <v>35.18</v>
      </c>
      <c r="CM3264">
        <v>1.65</v>
      </c>
      <c r="CN3264">
        <v>-20.78</v>
      </c>
      <c r="CO3264">
        <v>99695</v>
      </c>
      <c r="CP3264">
        <v>13246</v>
      </c>
      <c r="CQ3264" t="s">
        <v>14038</v>
      </c>
      <c r="CR3264">
        <v>96.26</v>
      </c>
      <c r="CS3264">
        <v>33.94</v>
      </c>
      <c r="CT3264">
        <v>2.94</v>
      </c>
      <c r="CU3264">
        <v>290.82</v>
      </c>
      <c r="CV3264">
        <v>4.3099999999999996</v>
      </c>
      <c r="CW3264">
        <v>0.43</v>
      </c>
      <c r="CX3264" t="s">
        <v>1581</v>
      </c>
      <c r="CY3264">
        <v>8.39</v>
      </c>
      <c r="CZ3264">
        <v>8.39</v>
      </c>
      <c r="DA3264">
        <v>5.51</v>
      </c>
      <c r="DB3264">
        <v>1.8</v>
      </c>
      <c r="DC3264">
        <v>0.08</v>
      </c>
      <c r="DD3264">
        <v>29.12</v>
      </c>
      <c r="DE3264" t="s">
        <v>987</v>
      </c>
      <c r="DF3264">
        <v>21.16</v>
      </c>
      <c r="DG3264">
        <v>10.77</v>
      </c>
      <c r="DH3264">
        <v>9.34</v>
      </c>
      <c r="DI3264">
        <v>3.12</v>
      </c>
      <c r="DJ3264">
        <v>10163</v>
      </c>
      <c r="DK3264">
        <v>601615</v>
      </c>
      <c r="DL3264" t="s">
        <v>120</v>
      </c>
      <c r="DM3264" t="s">
        <v>120</v>
      </c>
      <c r="DN3264" t="s">
        <v>120</v>
      </c>
    </row>
    <row r="3265" spans="1:118">
      <c r="A3265" t="str">
        <f>"601616"</f>
        <v>601616</v>
      </c>
      <c r="B3265" t="s">
        <v>14039</v>
      </c>
      <c r="C3265">
        <v>-3.31</v>
      </c>
      <c r="D3265">
        <v>-0.27</v>
      </c>
      <c r="E3265">
        <v>0.28000000000000003</v>
      </c>
      <c r="F3265">
        <v>971</v>
      </c>
      <c r="G3265" t="s">
        <v>7123</v>
      </c>
      <c r="H3265">
        <v>6449.3</v>
      </c>
      <c r="I3265">
        <v>31.29</v>
      </c>
      <c r="J3265" t="s">
        <v>120</v>
      </c>
      <c r="K3265" t="s">
        <v>14040</v>
      </c>
      <c r="L3265">
        <v>1.94</v>
      </c>
      <c r="M3265">
        <v>3.5</v>
      </c>
      <c r="N3265">
        <v>1</v>
      </c>
      <c r="O3265">
        <v>0.83</v>
      </c>
      <c r="P3265">
        <v>3.65</v>
      </c>
      <c r="Q3265">
        <v>-3.87</v>
      </c>
      <c r="R3265">
        <v>3.48</v>
      </c>
      <c r="S3265">
        <v>3.63</v>
      </c>
      <c r="T3265">
        <v>181050</v>
      </c>
      <c r="U3265">
        <v>3.51</v>
      </c>
      <c r="V3265">
        <v>3.62</v>
      </c>
      <c r="W3265">
        <v>44.8</v>
      </c>
      <c r="X3265" t="s">
        <v>394</v>
      </c>
      <c r="Y3265" t="s">
        <v>1510</v>
      </c>
      <c r="Z3265">
        <v>4.7</v>
      </c>
      <c r="AA3265">
        <v>3.56</v>
      </c>
      <c r="AB3265">
        <v>107461</v>
      </c>
      <c r="AC3265">
        <v>73589</v>
      </c>
      <c r="AD3265">
        <v>1.46</v>
      </c>
      <c r="AE3265">
        <v>2486</v>
      </c>
      <c r="AF3265">
        <v>1039</v>
      </c>
      <c r="AG3265" t="s">
        <v>120</v>
      </c>
      <c r="AH3265">
        <v>0.01</v>
      </c>
      <c r="AI3265" t="s">
        <v>120</v>
      </c>
      <c r="AJ3265">
        <v>9.36</v>
      </c>
      <c r="AK3265" t="s">
        <v>14040</v>
      </c>
      <c r="AL3265">
        <v>-1.97</v>
      </c>
      <c r="AM3265">
        <v>2333</v>
      </c>
      <c r="AN3265">
        <v>78</v>
      </c>
      <c r="AO3265">
        <v>8.0000000000000004E-4</v>
      </c>
      <c r="AP3265">
        <v>-1</v>
      </c>
      <c r="AQ3265">
        <v>4.93</v>
      </c>
      <c r="AR3265">
        <v>-1.68</v>
      </c>
      <c r="AS3265">
        <v>8.35</v>
      </c>
      <c r="AT3265">
        <v>9.74</v>
      </c>
      <c r="AU3265">
        <v>10.78</v>
      </c>
      <c r="AV3265">
        <v>0</v>
      </c>
      <c r="AW3265">
        <v>2.6</v>
      </c>
      <c r="AX3265">
        <v>74.5</v>
      </c>
      <c r="AY3265">
        <v>46.82</v>
      </c>
      <c r="AZ3265">
        <v>44.75</v>
      </c>
      <c r="BA3265">
        <v>0.54</v>
      </c>
      <c r="BB3265" t="s">
        <v>168</v>
      </c>
      <c r="BF3265">
        <v>-1.6</v>
      </c>
      <c r="BG3265">
        <v>-3.58</v>
      </c>
      <c r="BH3265">
        <v>-4.1100000000000003</v>
      </c>
      <c r="BI3265">
        <v>0.56999999999999995</v>
      </c>
      <c r="BJ3265">
        <v>20210817</v>
      </c>
      <c r="BK3265">
        <v>20110201</v>
      </c>
      <c r="BL3265">
        <v>9.36</v>
      </c>
      <c r="BM3265" t="s">
        <v>120</v>
      </c>
      <c r="BN3265" t="s">
        <v>120</v>
      </c>
      <c r="BO3265">
        <v>29.96</v>
      </c>
      <c r="BP3265">
        <v>3.5</v>
      </c>
      <c r="BQ3265">
        <v>24.04</v>
      </c>
      <c r="BR3265">
        <v>1.21</v>
      </c>
      <c r="BS3265">
        <v>15.75</v>
      </c>
      <c r="BT3265">
        <v>16.25</v>
      </c>
      <c r="BU3265">
        <v>2.9</v>
      </c>
      <c r="BV3265">
        <v>2.2400000000000002</v>
      </c>
      <c r="BW3265">
        <v>3.96</v>
      </c>
      <c r="BX3265">
        <v>7.66</v>
      </c>
      <c r="BY3265">
        <v>1.73</v>
      </c>
      <c r="BZ3265">
        <v>4.2699999999999996</v>
      </c>
      <c r="CA3265">
        <v>0.05</v>
      </c>
      <c r="CB3265">
        <v>13.52</v>
      </c>
      <c r="CC3265">
        <v>4.7300000000000004</v>
      </c>
      <c r="CD3265">
        <v>3.25</v>
      </c>
      <c r="CE3265">
        <v>0.56000000000000005</v>
      </c>
      <c r="CF3265">
        <v>0.04</v>
      </c>
      <c r="CG3265">
        <v>0.56000000000000005</v>
      </c>
      <c r="CH3265">
        <v>0.5</v>
      </c>
      <c r="CI3265">
        <v>0.37</v>
      </c>
      <c r="CJ3265">
        <v>-0.12</v>
      </c>
      <c r="CK3265">
        <v>0.33</v>
      </c>
      <c r="CL3265">
        <v>2.65</v>
      </c>
      <c r="CM3265">
        <v>0.5</v>
      </c>
      <c r="CN3265">
        <v>-1.32</v>
      </c>
      <c r="CO3265">
        <v>50649</v>
      </c>
      <c r="CP3265">
        <v>13761</v>
      </c>
      <c r="CQ3265" t="s">
        <v>5525</v>
      </c>
      <c r="CR3265">
        <v>-8.4</v>
      </c>
      <c r="CS3265">
        <v>-17.34</v>
      </c>
      <c r="CT3265">
        <v>1.36</v>
      </c>
      <c r="CU3265">
        <v>65.459999999999994</v>
      </c>
      <c r="CV3265">
        <v>6.92</v>
      </c>
      <c r="CW3265">
        <v>2.54</v>
      </c>
      <c r="CX3265" t="s">
        <v>145</v>
      </c>
      <c r="CY3265">
        <v>2.57</v>
      </c>
      <c r="CZ3265">
        <v>0</v>
      </c>
      <c r="DA3265">
        <v>1.45</v>
      </c>
      <c r="DB3265">
        <v>0.28000000000000003</v>
      </c>
      <c r="DC3265">
        <v>0.05</v>
      </c>
      <c r="DD3265">
        <v>80.209999999999994</v>
      </c>
      <c r="DE3265" t="s">
        <v>4579</v>
      </c>
      <c r="DF3265">
        <v>31.25</v>
      </c>
      <c r="DG3265">
        <v>11.75</v>
      </c>
      <c r="DH3265">
        <v>7.72</v>
      </c>
      <c r="DI3265">
        <v>0.19</v>
      </c>
      <c r="DJ3265">
        <v>973</v>
      </c>
      <c r="DK3265">
        <v>601616</v>
      </c>
      <c r="DL3265" t="s">
        <v>120</v>
      </c>
      <c r="DM3265" t="s">
        <v>120</v>
      </c>
      <c r="DN3265" t="s">
        <v>120</v>
      </c>
    </row>
    <row r="3266" spans="1:118">
      <c r="A3266" t="str">
        <f>"601618"</f>
        <v>601618</v>
      </c>
      <c r="B3266" t="s">
        <v>14041</v>
      </c>
      <c r="C3266">
        <v>-3.02</v>
      </c>
      <c r="D3266">
        <v>-0.18</v>
      </c>
      <c r="E3266">
        <v>1.1299999999999999</v>
      </c>
      <c r="F3266">
        <v>66759</v>
      </c>
      <c r="G3266" t="s">
        <v>14042</v>
      </c>
      <c r="H3266">
        <v>179254.87</v>
      </c>
      <c r="I3266">
        <v>1203.05</v>
      </c>
      <c r="J3266" t="s">
        <v>120</v>
      </c>
      <c r="K3266" t="s">
        <v>14043</v>
      </c>
      <c r="L3266">
        <v>1.91</v>
      </c>
      <c r="M3266">
        <v>5.13</v>
      </c>
      <c r="N3266">
        <v>0.59</v>
      </c>
      <c r="O3266">
        <v>2.08</v>
      </c>
      <c r="P3266">
        <v>5.4</v>
      </c>
      <c r="Q3266">
        <v>-3.02</v>
      </c>
      <c r="R3266">
        <v>5.13</v>
      </c>
      <c r="S3266">
        <v>5.35</v>
      </c>
      <c r="T3266">
        <v>3418217</v>
      </c>
      <c r="U3266">
        <v>5.13</v>
      </c>
      <c r="V3266">
        <v>5.29</v>
      </c>
      <c r="W3266">
        <v>10.77</v>
      </c>
      <c r="X3266" t="s">
        <v>175</v>
      </c>
      <c r="Y3266" t="s">
        <v>158</v>
      </c>
      <c r="Z3266">
        <v>5.0999999999999996</v>
      </c>
      <c r="AA3266">
        <v>5.24</v>
      </c>
      <c r="AB3266">
        <v>1522644</v>
      </c>
      <c r="AC3266">
        <v>1895573</v>
      </c>
      <c r="AD3266">
        <v>0.8</v>
      </c>
      <c r="AE3266">
        <v>12011</v>
      </c>
      <c r="AF3266">
        <v>12271</v>
      </c>
      <c r="AG3266" t="s">
        <v>120</v>
      </c>
      <c r="AH3266">
        <v>0.03</v>
      </c>
      <c r="AI3266" t="s">
        <v>120</v>
      </c>
      <c r="AJ3266">
        <v>178.53</v>
      </c>
      <c r="AK3266" t="s">
        <v>14043</v>
      </c>
      <c r="AL3266">
        <v>-1.68</v>
      </c>
      <c r="AM3266">
        <v>4720</v>
      </c>
      <c r="AN3266">
        <v>724</v>
      </c>
      <c r="AO3266">
        <v>4.0000000000000002E-4</v>
      </c>
      <c r="AP3266">
        <v>-3</v>
      </c>
      <c r="AQ3266">
        <v>-1.31</v>
      </c>
      <c r="AR3266">
        <v>-13.05</v>
      </c>
      <c r="AS3266">
        <v>32.9</v>
      </c>
      <c r="AT3266">
        <v>74.2</v>
      </c>
      <c r="AU3266">
        <v>93.22</v>
      </c>
      <c r="AV3266">
        <v>7</v>
      </c>
      <c r="AW3266">
        <v>5.31</v>
      </c>
      <c r="AX3266">
        <v>36.04</v>
      </c>
      <c r="AY3266">
        <v>11.91</v>
      </c>
      <c r="AZ3266">
        <v>13.94</v>
      </c>
      <c r="BA3266">
        <v>1.1200000000000001</v>
      </c>
      <c r="BB3266" t="s">
        <v>143</v>
      </c>
      <c r="BF3266">
        <v>-0.87</v>
      </c>
      <c r="BG3266">
        <v>-4.1100000000000003</v>
      </c>
      <c r="BH3266">
        <v>-5</v>
      </c>
      <c r="BI3266">
        <v>0</v>
      </c>
      <c r="BJ3266">
        <v>20210831</v>
      </c>
      <c r="BK3266">
        <v>20090921</v>
      </c>
      <c r="BL3266">
        <v>207.24</v>
      </c>
      <c r="BM3266" t="s">
        <v>120</v>
      </c>
      <c r="BN3266">
        <v>28.71</v>
      </c>
      <c r="BO3266">
        <v>5575.89</v>
      </c>
      <c r="BP3266">
        <v>5.12</v>
      </c>
      <c r="BQ3266">
        <v>1012.03</v>
      </c>
      <c r="BR3266">
        <v>431.48</v>
      </c>
      <c r="BS3266">
        <v>74.11</v>
      </c>
      <c r="BT3266">
        <v>4308.33</v>
      </c>
      <c r="BU3266">
        <v>236.92</v>
      </c>
      <c r="BV3266">
        <v>178.58</v>
      </c>
      <c r="BW3266">
        <v>3778.44</v>
      </c>
      <c r="BX3266">
        <v>513.38</v>
      </c>
      <c r="BY3266">
        <v>626.21</v>
      </c>
      <c r="BZ3266">
        <v>776.02</v>
      </c>
      <c r="CA3266">
        <v>3.6</v>
      </c>
      <c r="CB3266">
        <v>224.97</v>
      </c>
      <c r="CC3266">
        <v>2510.0300000000002</v>
      </c>
      <c r="CD3266">
        <v>2265.5700000000002</v>
      </c>
      <c r="CE3266">
        <v>78.89</v>
      </c>
      <c r="CF3266">
        <v>-6.9</v>
      </c>
      <c r="CG3266">
        <v>80.31</v>
      </c>
      <c r="CH3266">
        <v>65.91</v>
      </c>
      <c r="CI3266">
        <v>49.37</v>
      </c>
      <c r="CJ3266">
        <v>-0.16</v>
      </c>
      <c r="CK3266">
        <v>42.59</v>
      </c>
      <c r="CL3266">
        <v>356.55</v>
      </c>
      <c r="CM3266">
        <v>-85.65</v>
      </c>
      <c r="CN3266">
        <v>-14.8</v>
      </c>
      <c r="CO3266">
        <v>389593</v>
      </c>
      <c r="CP3266">
        <v>16514</v>
      </c>
      <c r="CQ3266" t="s">
        <v>3494</v>
      </c>
      <c r="CR3266">
        <v>37.46</v>
      </c>
      <c r="CS3266">
        <v>39.01</v>
      </c>
      <c r="CT3266">
        <v>1.32</v>
      </c>
      <c r="CU3266">
        <v>-12.41</v>
      </c>
      <c r="CV3266">
        <v>0.42</v>
      </c>
      <c r="CW3266">
        <v>1.42</v>
      </c>
      <c r="CX3266" t="s">
        <v>2097</v>
      </c>
      <c r="CY3266">
        <v>3.89</v>
      </c>
      <c r="CZ3266">
        <v>3.89</v>
      </c>
      <c r="DA3266">
        <v>1.0900000000000001</v>
      </c>
      <c r="DB3266">
        <v>1.72</v>
      </c>
      <c r="DC3266">
        <v>-0.41</v>
      </c>
      <c r="DD3266">
        <v>18.149999999999999</v>
      </c>
      <c r="DE3266" t="s">
        <v>1206</v>
      </c>
      <c r="DF3266">
        <v>9.74</v>
      </c>
      <c r="DG3266">
        <v>3.14</v>
      </c>
      <c r="DH3266">
        <v>1.97</v>
      </c>
      <c r="DI3266">
        <v>60.08</v>
      </c>
      <c r="DJ3266">
        <v>97894</v>
      </c>
      <c r="DK3266">
        <v>601618</v>
      </c>
      <c r="DL3266" t="s">
        <v>120</v>
      </c>
      <c r="DM3266" t="s">
        <v>120</v>
      </c>
      <c r="DN3266" t="s">
        <v>120</v>
      </c>
    </row>
    <row r="3267" spans="1:118">
      <c r="A3267" t="str">
        <f>"601619"</f>
        <v>601619</v>
      </c>
      <c r="B3267" t="s">
        <v>14044</v>
      </c>
      <c r="C3267">
        <v>-2.88</v>
      </c>
      <c r="D3267">
        <v>-0.19</v>
      </c>
      <c r="E3267">
        <v>0</v>
      </c>
      <c r="F3267">
        <v>3903</v>
      </c>
      <c r="G3267" t="s">
        <v>1220</v>
      </c>
      <c r="H3267">
        <v>39352.6</v>
      </c>
      <c r="I3267">
        <v>542.04999999999995</v>
      </c>
      <c r="J3267" t="s">
        <v>120</v>
      </c>
      <c r="K3267" t="s">
        <v>5168</v>
      </c>
      <c r="L3267">
        <v>3.34</v>
      </c>
      <c r="M3267">
        <v>5.05</v>
      </c>
      <c r="N3267">
        <v>0.77</v>
      </c>
      <c r="O3267">
        <v>1.35</v>
      </c>
      <c r="P3267">
        <v>5.27</v>
      </c>
      <c r="Q3267">
        <v>-3.46</v>
      </c>
      <c r="R3267">
        <v>5.0199999999999996</v>
      </c>
      <c r="S3267">
        <v>5.2</v>
      </c>
      <c r="T3267">
        <v>765368</v>
      </c>
      <c r="U3267">
        <v>5.0599999999999996</v>
      </c>
      <c r="V3267">
        <v>5.2</v>
      </c>
      <c r="W3267">
        <v>23.53</v>
      </c>
      <c r="X3267" t="s">
        <v>356</v>
      </c>
      <c r="Y3267" t="s">
        <v>1110</v>
      </c>
      <c r="Z3267">
        <v>4.8099999999999996</v>
      </c>
      <c r="AA3267">
        <v>5.14</v>
      </c>
      <c r="AB3267">
        <v>449196</v>
      </c>
      <c r="AC3267">
        <v>316172</v>
      </c>
      <c r="AD3267">
        <v>1.42</v>
      </c>
      <c r="AE3267">
        <v>2026</v>
      </c>
      <c r="AF3267">
        <v>2267</v>
      </c>
      <c r="AG3267" t="s">
        <v>120</v>
      </c>
      <c r="AH3267">
        <v>0.1</v>
      </c>
      <c r="AI3267" t="s">
        <v>120</v>
      </c>
      <c r="AJ3267">
        <v>22.93</v>
      </c>
      <c r="AK3267" t="s">
        <v>14045</v>
      </c>
      <c r="AL3267">
        <v>-1.54</v>
      </c>
      <c r="AM3267">
        <v>4301</v>
      </c>
      <c r="AN3267">
        <v>178</v>
      </c>
      <c r="AO3267">
        <v>8.0000000000000004E-4</v>
      </c>
      <c r="AP3267">
        <v>-1</v>
      </c>
      <c r="AQ3267">
        <v>7</v>
      </c>
      <c r="AR3267">
        <v>0.6</v>
      </c>
      <c r="AS3267">
        <v>16.899999999999999</v>
      </c>
      <c r="AT3267">
        <v>25.31</v>
      </c>
      <c r="AU3267">
        <v>50.98</v>
      </c>
      <c r="AV3267">
        <v>12</v>
      </c>
      <c r="AW3267">
        <v>7</v>
      </c>
      <c r="AX3267">
        <v>46.27</v>
      </c>
      <c r="AY3267">
        <v>36.869999999999997</v>
      </c>
      <c r="AZ3267">
        <v>62</v>
      </c>
      <c r="BA3267">
        <v>0.7</v>
      </c>
      <c r="BB3267" t="s">
        <v>143</v>
      </c>
      <c r="BF3267">
        <v>-1.1200000000000001</v>
      </c>
      <c r="BG3267">
        <v>-2.88</v>
      </c>
      <c r="BH3267">
        <v>-4.17</v>
      </c>
      <c r="BI3267">
        <v>0.6</v>
      </c>
      <c r="BJ3267">
        <v>20210821</v>
      </c>
      <c r="BK3267">
        <v>20170720</v>
      </c>
      <c r="BL3267">
        <v>23.62</v>
      </c>
      <c r="BM3267" t="s">
        <v>120</v>
      </c>
      <c r="BN3267" t="s">
        <v>120</v>
      </c>
      <c r="BO3267">
        <v>126.31</v>
      </c>
      <c r="BP3267">
        <v>5.05</v>
      </c>
      <c r="BQ3267">
        <v>44.71</v>
      </c>
      <c r="BR3267">
        <v>0</v>
      </c>
      <c r="BS3267">
        <v>64.599999999999994</v>
      </c>
      <c r="BT3267">
        <v>31.95</v>
      </c>
      <c r="BU3267">
        <v>66.41</v>
      </c>
      <c r="BV3267">
        <v>0.93</v>
      </c>
      <c r="BW3267">
        <v>17.989999999999998</v>
      </c>
      <c r="BX3267">
        <v>1.81</v>
      </c>
      <c r="BY3267">
        <v>0</v>
      </c>
      <c r="BZ3267">
        <v>19.72</v>
      </c>
      <c r="CA3267">
        <v>0.98</v>
      </c>
      <c r="CB3267">
        <v>11.34</v>
      </c>
      <c r="CC3267">
        <v>7.12</v>
      </c>
      <c r="CD3267">
        <v>2.75</v>
      </c>
      <c r="CE3267">
        <v>2.75</v>
      </c>
      <c r="CF3267">
        <v>0.5</v>
      </c>
      <c r="CG3267">
        <v>2.75</v>
      </c>
      <c r="CH3267">
        <v>2.5299999999999998</v>
      </c>
      <c r="CI3267">
        <v>2.5299999999999998</v>
      </c>
      <c r="CJ3267">
        <v>-0.15</v>
      </c>
      <c r="CK3267">
        <v>2.5299999999999998</v>
      </c>
      <c r="CL3267">
        <v>9.1300000000000008</v>
      </c>
      <c r="CM3267">
        <v>2.67</v>
      </c>
      <c r="CN3267">
        <v>-1.23</v>
      </c>
      <c r="CO3267">
        <v>83613</v>
      </c>
      <c r="CP3267">
        <v>13068</v>
      </c>
      <c r="CQ3267" t="s">
        <v>723</v>
      </c>
      <c r="CR3267">
        <v>113.97</v>
      </c>
      <c r="CS3267">
        <v>35.159999999999997</v>
      </c>
      <c r="CT3267">
        <v>2.73</v>
      </c>
      <c r="CU3267">
        <v>44.65</v>
      </c>
      <c r="CV3267">
        <v>16.75</v>
      </c>
      <c r="CW3267">
        <v>0.97</v>
      </c>
      <c r="CX3267" t="s">
        <v>850</v>
      </c>
      <c r="CY3267">
        <v>1.85</v>
      </c>
      <c r="CZ3267">
        <v>1.85</v>
      </c>
      <c r="DA3267">
        <v>0.48</v>
      </c>
      <c r="DB3267">
        <v>0.39</v>
      </c>
      <c r="DC3267">
        <v>0.11</v>
      </c>
      <c r="DD3267">
        <v>35.4</v>
      </c>
      <c r="DE3267" t="s">
        <v>9589</v>
      </c>
      <c r="DF3267">
        <v>61.39</v>
      </c>
      <c r="DG3267">
        <v>38.61</v>
      </c>
      <c r="DH3267">
        <v>35.590000000000003</v>
      </c>
      <c r="DI3267" t="s">
        <v>120</v>
      </c>
      <c r="DJ3267">
        <v>99</v>
      </c>
      <c r="DK3267">
        <v>601619</v>
      </c>
      <c r="DL3267">
        <v>20210825</v>
      </c>
      <c r="DM3267">
        <v>4.7300000000000004</v>
      </c>
      <c r="DN3267">
        <v>6.77</v>
      </c>
    </row>
    <row r="3268" spans="1:118">
      <c r="A3268" t="str">
        <f>"601628"</f>
        <v>601628</v>
      </c>
      <c r="B3268" t="s">
        <v>14046</v>
      </c>
      <c r="C3268">
        <v>0.1</v>
      </c>
      <c r="D3268">
        <v>-0.28000000000000003</v>
      </c>
      <c r="E3268">
        <v>-0.06</v>
      </c>
      <c r="F3268">
        <v>3497</v>
      </c>
      <c r="G3268" t="s">
        <v>14047</v>
      </c>
      <c r="H3268">
        <v>45006.82</v>
      </c>
      <c r="I3268">
        <v>156.16</v>
      </c>
      <c r="J3268" t="s">
        <v>120</v>
      </c>
      <c r="K3268" t="s">
        <v>14048</v>
      </c>
      <c r="L3268">
        <v>7.0000000000000007E-2</v>
      </c>
      <c r="M3268">
        <v>30.85</v>
      </c>
      <c r="N3268">
        <v>0.84</v>
      </c>
      <c r="O3268">
        <v>1.2</v>
      </c>
      <c r="P3268">
        <v>31.19</v>
      </c>
      <c r="Q3268">
        <v>-1.98</v>
      </c>
      <c r="R3268">
        <v>30.21</v>
      </c>
      <c r="S3268">
        <v>30.8</v>
      </c>
      <c r="T3268">
        <v>146516</v>
      </c>
      <c r="U3268">
        <v>30.88</v>
      </c>
      <c r="V3268">
        <v>30.82</v>
      </c>
      <c r="W3268">
        <v>10.64</v>
      </c>
      <c r="X3268" t="s">
        <v>378</v>
      </c>
      <c r="Y3268" t="s">
        <v>158</v>
      </c>
      <c r="Z3268">
        <v>3.18</v>
      </c>
      <c r="AA3268">
        <v>30.72</v>
      </c>
      <c r="AB3268">
        <v>74840</v>
      </c>
      <c r="AC3268">
        <v>71676</v>
      </c>
      <c r="AD3268">
        <v>1.04</v>
      </c>
      <c r="AE3268">
        <v>26</v>
      </c>
      <c r="AF3268">
        <v>10</v>
      </c>
      <c r="AG3268" t="s">
        <v>120</v>
      </c>
      <c r="AH3268">
        <v>0</v>
      </c>
      <c r="AI3268" t="s">
        <v>120</v>
      </c>
      <c r="AJ3268">
        <v>208.24</v>
      </c>
      <c r="AK3268" t="s">
        <v>14048</v>
      </c>
      <c r="AL3268">
        <v>1.44</v>
      </c>
      <c r="AM3268">
        <v>4073</v>
      </c>
      <c r="AN3268">
        <v>36</v>
      </c>
      <c r="AO3268">
        <v>0</v>
      </c>
      <c r="AP3268">
        <v>1</v>
      </c>
      <c r="AQ3268">
        <v>-0.28999999999999998</v>
      </c>
      <c r="AR3268">
        <v>-3.84</v>
      </c>
      <c r="AS3268">
        <v>5.83</v>
      </c>
      <c r="AT3268">
        <v>-7.52</v>
      </c>
      <c r="AU3268">
        <v>-18.28</v>
      </c>
      <c r="AV3268">
        <v>1</v>
      </c>
      <c r="AW3268">
        <v>0.98</v>
      </c>
      <c r="AX3268">
        <v>7.2</v>
      </c>
      <c r="AY3268">
        <v>14.35</v>
      </c>
      <c r="AZ3268">
        <v>17.329999999999998</v>
      </c>
      <c r="BA3268">
        <v>1.22</v>
      </c>
      <c r="BB3268" t="s">
        <v>143</v>
      </c>
      <c r="BF3268">
        <v>-0.33</v>
      </c>
      <c r="BG3268">
        <v>0.16</v>
      </c>
      <c r="BH3268">
        <v>-1.0900000000000001</v>
      </c>
      <c r="BI3268">
        <v>2.12</v>
      </c>
      <c r="BJ3268">
        <v>20210826</v>
      </c>
      <c r="BK3268">
        <v>20070109</v>
      </c>
      <c r="BL3268">
        <v>282.64999999999998</v>
      </c>
      <c r="BM3268" t="s">
        <v>120</v>
      </c>
      <c r="BN3268">
        <v>74.41</v>
      </c>
      <c r="BO3268">
        <v>46527.93</v>
      </c>
      <c r="BP3268">
        <v>30.85</v>
      </c>
      <c r="BQ3268">
        <v>4714.49</v>
      </c>
      <c r="BR3268">
        <v>72.14</v>
      </c>
      <c r="BS3268">
        <v>89.71</v>
      </c>
      <c r="BT3268">
        <v>0</v>
      </c>
      <c r="BU3268">
        <v>418.67</v>
      </c>
      <c r="BV3268">
        <v>82.01</v>
      </c>
      <c r="BW3268">
        <v>0</v>
      </c>
      <c r="BX3268">
        <v>820.4</v>
      </c>
      <c r="BY3268">
        <v>0</v>
      </c>
      <c r="BZ3268">
        <v>0</v>
      </c>
      <c r="CA3268" t="s">
        <v>120</v>
      </c>
      <c r="CB3268">
        <v>543.48</v>
      </c>
      <c r="CC3268">
        <v>5526.01</v>
      </c>
      <c r="CD3268">
        <v>0</v>
      </c>
      <c r="CE3268">
        <v>463.04</v>
      </c>
      <c r="CF3268">
        <v>1272.1600000000001</v>
      </c>
      <c r="CG3268">
        <v>461.03</v>
      </c>
      <c r="CH3268">
        <v>417.31</v>
      </c>
      <c r="CI3268">
        <v>409.75</v>
      </c>
      <c r="CJ3268">
        <v>0.03</v>
      </c>
      <c r="CK3268">
        <v>410.8</v>
      </c>
      <c r="CL3268">
        <v>2016.81</v>
      </c>
      <c r="CM3268">
        <v>1983.27</v>
      </c>
      <c r="CN3268">
        <v>251.88</v>
      </c>
      <c r="CO3268">
        <v>191287</v>
      </c>
      <c r="CP3268">
        <v>7842</v>
      </c>
      <c r="CQ3268" t="s">
        <v>14049</v>
      </c>
      <c r="CR3268">
        <v>34.19</v>
      </c>
      <c r="CS3268">
        <v>7.57</v>
      </c>
      <c r="CT3268">
        <v>1.85</v>
      </c>
      <c r="CU3268">
        <v>4.4000000000000004</v>
      </c>
      <c r="CV3268">
        <v>1.58</v>
      </c>
      <c r="CW3268">
        <v>2.08</v>
      </c>
      <c r="CX3268" t="s">
        <v>14050</v>
      </c>
      <c r="CY3268">
        <v>16.68</v>
      </c>
      <c r="CZ3268">
        <v>16.68</v>
      </c>
      <c r="DA3268">
        <v>1.92</v>
      </c>
      <c r="DB3268">
        <v>7.14</v>
      </c>
      <c r="DC3268">
        <v>7.02</v>
      </c>
      <c r="DD3268">
        <v>10.130000000000001</v>
      </c>
      <c r="DE3268" t="s">
        <v>466</v>
      </c>
      <c r="DF3268" t="s">
        <v>120</v>
      </c>
      <c r="DG3268">
        <v>8.3800000000000008</v>
      </c>
      <c r="DH3268">
        <v>7.41</v>
      </c>
      <c r="DI3268" t="s">
        <v>120</v>
      </c>
      <c r="DJ3268">
        <v>103154</v>
      </c>
      <c r="DK3268">
        <v>601628</v>
      </c>
      <c r="DL3268" t="s">
        <v>120</v>
      </c>
      <c r="DM3268" t="s">
        <v>120</v>
      </c>
      <c r="DN3268" t="s">
        <v>120</v>
      </c>
    </row>
    <row r="3269" spans="1:118">
      <c r="A3269" t="str">
        <f>"601633"</f>
        <v>601633</v>
      </c>
      <c r="B3269" t="s">
        <v>14051</v>
      </c>
      <c r="C3269">
        <v>-9.26</v>
      </c>
      <c r="D3269">
        <v>-2.2200000000000002</v>
      </c>
      <c r="E3269">
        <v>0.21</v>
      </c>
      <c r="F3269">
        <v>71778</v>
      </c>
      <c r="G3269" t="s">
        <v>14052</v>
      </c>
      <c r="H3269">
        <v>246955.72</v>
      </c>
      <c r="I3269">
        <v>202.34</v>
      </c>
      <c r="J3269" t="s">
        <v>120</v>
      </c>
      <c r="K3269" t="s">
        <v>14053</v>
      </c>
      <c r="L3269">
        <v>0.71</v>
      </c>
      <c r="M3269">
        <v>55.35</v>
      </c>
      <c r="N3269">
        <v>1.87</v>
      </c>
      <c r="O3269">
        <v>0.49</v>
      </c>
      <c r="P3269">
        <v>61.3</v>
      </c>
      <c r="Q3269">
        <v>-9.26</v>
      </c>
      <c r="R3269">
        <v>55.35</v>
      </c>
      <c r="S3269">
        <v>61.13</v>
      </c>
      <c r="T3269">
        <v>430124</v>
      </c>
      <c r="U3269">
        <v>55.36</v>
      </c>
      <c r="V3269">
        <v>61</v>
      </c>
      <c r="W3269">
        <v>72.44</v>
      </c>
      <c r="X3269" t="s">
        <v>1068</v>
      </c>
      <c r="Y3269" t="s">
        <v>602</v>
      </c>
      <c r="Z3269">
        <v>9.75</v>
      </c>
      <c r="AA3269">
        <v>57.42</v>
      </c>
      <c r="AB3269">
        <v>229658</v>
      </c>
      <c r="AC3269">
        <v>200466</v>
      </c>
      <c r="AD3269">
        <v>1.1499999999999999</v>
      </c>
      <c r="AE3269">
        <v>1749</v>
      </c>
      <c r="AF3269">
        <v>1</v>
      </c>
      <c r="AG3269" t="s">
        <v>120</v>
      </c>
      <c r="AH3269">
        <v>0</v>
      </c>
      <c r="AI3269" t="s">
        <v>120</v>
      </c>
      <c r="AJ3269">
        <v>60.79</v>
      </c>
      <c r="AK3269" t="s">
        <v>14054</v>
      </c>
      <c r="AL3269">
        <v>-7.92</v>
      </c>
      <c r="AM3269">
        <v>4649</v>
      </c>
      <c r="AN3269">
        <v>93</v>
      </c>
      <c r="AO3269">
        <v>2.0000000000000001E-4</v>
      </c>
      <c r="AP3269">
        <v>-2</v>
      </c>
      <c r="AQ3269">
        <v>-2.87</v>
      </c>
      <c r="AR3269">
        <v>-8.23</v>
      </c>
      <c r="AS3269">
        <v>-3.26</v>
      </c>
      <c r="AT3269">
        <v>23.41</v>
      </c>
      <c r="AU3269">
        <v>47.49</v>
      </c>
      <c r="AV3269">
        <v>9</v>
      </c>
      <c r="AW3269">
        <v>4.46</v>
      </c>
      <c r="AX3269">
        <v>15.71</v>
      </c>
      <c r="AY3269">
        <v>72.739999999999995</v>
      </c>
      <c r="AZ3269">
        <v>105.06</v>
      </c>
      <c r="BA3269">
        <v>0.98</v>
      </c>
      <c r="BB3269" t="s">
        <v>168</v>
      </c>
      <c r="BF3269">
        <v>-5.88</v>
      </c>
      <c r="BG3269">
        <v>-9.4600000000000009</v>
      </c>
      <c r="BH3269">
        <v>-9.7100000000000009</v>
      </c>
      <c r="BI3269">
        <v>0</v>
      </c>
      <c r="BJ3269">
        <v>20210913</v>
      </c>
      <c r="BK3269">
        <v>20110928</v>
      </c>
      <c r="BL3269">
        <v>92.36</v>
      </c>
      <c r="BM3269" t="s">
        <v>120</v>
      </c>
      <c r="BN3269">
        <v>31</v>
      </c>
      <c r="BO3269">
        <v>1571.78</v>
      </c>
      <c r="BP3269">
        <v>55.35</v>
      </c>
      <c r="BQ3269">
        <v>594.32000000000005</v>
      </c>
      <c r="BR3269" t="s">
        <v>120</v>
      </c>
      <c r="BS3269">
        <v>62.19</v>
      </c>
      <c r="BT3269">
        <v>1009.11</v>
      </c>
      <c r="BU3269">
        <v>272.22000000000003</v>
      </c>
      <c r="BV3269">
        <v>59.23</v>
      </c>
      <c r="BW3269">
        <v>766.09</v>
      </c>
      <c r="BX3269">
        <v>222.72</v>
      </c>
      <c r="BY3269">
        <v>96.31</v>
      </c>
      <c r="BZ3269">
        <v>32.200000000000003</v>
      </c>
      <c r="CA3269" t="s">
        <v>120</v>
      </c>
      <c r="CB3269">
        <v>24.79</v>
      </c>
      <c r="CC3269">
        <v>619.28</v>
      </c>
      <c r="CD3269">
        <v>518.64</v>
      </c>
      <c r="CE3269">
        <v>38.590000000000003</v>
      </c>
      <c r="CF3269">
        <v>6.51</v>
      </c>
      <c r="CG3269">
        <v>39.36</v>
      </c>
      <c r="CH3269">
        <v>35.29</v>
      </c>
      <c r="CI3269">
        <v>35.29</v>
      </c>
      <c r="CJ3269">
        <v>-5.65</v>
      </c>
      <c r="CK3269">
        <v>28.42</v>
      </c>
      <c r="CL3269">
        <v>419.54</v>
      </c>
      <c r="CM3269">
        <v>151.1</v>
      </c>
      <c r="CN3269">
        <v>75.239999999999995</v>
      </c>
      <c r="CO3269">
        <v>135402</v>
      </c>
      <c r="CP3269">
        <v>7118</v>
      </c>
      <c r="CQ3269" t="s">
        <v>14055</v>
      </c>
      <c r="CR3269">
        <v>207.87</v>
      </c>
      <c r="CS3269">
        <v>72.36</v>
      </c>
      <c r="CT3269">
        <v>8.6199999999999992</v>
      </c>
      <c r="CU3269">
        <v>33.83</v>
      </c>
      <c r="CV3269">
        <v>8.25</v>
      </c>
      <c r="CW3269">
        <v>0.49</v>
      </c>
      <c r="CX3269" t="s">
        <v>1980</v>
      </c>
      <c r="CY3269">
        <v>6.42</v>
      </c>
      <c r="CZ3269">
        <v>6.42</v>
      </c>
      <c r="DA3269">
        <v>0.27</v>
      </c>
      <c r="DB3269">
        <v>4.54</v>
      </c>
      <c r="DC3269">
        <v>1.64</v>
      </c>
      <c r="DD3269">
        <v>37.81</v>
      </c>
      <c r="DE3269" t="s">
        <v>9850</v>
      </c>
      <c r="DF3269">
        <v>16.25</v>
      </c>
      <c r="DG3269">
        <v>6.23</v>
      </c>
      <c r="DH3269">
        <v>5.7</v>
      </c>
      <c r="DI3269">
        <v>18.579999999999998</v>
      </c>
      <c r="DJ3269">
        <v>63174</v>
      </c>
      <c r="DK3269">
        <v>601633</v>
      </c>
      <c r="DL3269">
        <v>20210707</v>
      </c>
      <c r="DM3269">
        <v>46.66</v>
      </c>
      <c r="DN3269">
        <v>18.62</v>
      </c>
    </row>
    <row r="3270" spans="1:118">
      <c r="A3270" t="str">
        <f>"601636"</f>
        <v>601636</v>
      </c>
      <c r="B3270" t="s">
        <v>14056</v>
      </c>
      <c r="C3270">
        <v>-9.99</v>
      </c>
      <c r="D3270">
        <v>0</v>
      </c>
      <c r="E3270">
        <v>-1.41</v>
      </c>
      <c r="F3270">
        <v>3534</v>
      </c>
      <c r="G3270" t="s">
        <v>14057</v>
      </c>
      <c r="H3270">
        <v>300994.07</v>
      </c>
      <c r="I3270">
        <v>830.79</v>
      </c>
      <c r="J3270">
        <v>694.21</v>
      </c>
      <c r="K3270" t="s">
        <v>14058</v>
      </c>
      <c r="L3270">
        <v>5.33</v>
      </c>
      <c r="M3270">
        <v>20.46</v>
      </c>
      <c r="N3270">
        <v>1.9</v>
      </c>
      <c r="O3270">
        <v>-1.1399999999999999</v>
      </c>
      <c r="P3270">
        <v>22.47</v>
      </c>
      <c r="Q3270">
        <v>-9.99</v>
      </c>
      <c r="R3270">
        <v>20.46</v>
      </c>
      <c r="S3270">
        <v>22.41</v>
      </c>
      <c r="T3270">
        <v>1432157</v>
      </c>
      <c r="U3270">
        <v>20.46</v>
      </c>
      <c r="V3270">
        <v>22.73</v>
      </c>
      <c r="W3270">
        <v>12.53</v>
      </c>
      <c r="X3270" t="s">
        <v>191</v>
      </c>
      <c r="Y3270" t="s">
        <v>594</v>
      </c>
      <c r="Z3270">
        <v>8.84</v>
      </c>
      <c r="AA3270">
        <v>21.02</v>
      </c>
      <c r="AB3270">
        <v>761881</v>
      </c>
      <c r="AC3270">
        <v>670276</v>
      </c>
      <c r="AD3270">
        <v>1.1399999999999999</v>
      </c>
      <c r="AE3270">
        <v>0</v>
      </c>
      <c r="AF3270">
        <v>3393</v>
      </c>
      <c r="AG3270" t="s">
        <v>120</v>
      </c>
      <c r="AH3270">
        <v>0.02</v>
      </c>
      <c r="AI3270">
        <v>0</v>
      </c>
      <c r="AJ3270">
        <v>26.86</v>
      </c>
      <c r="AK3270" t="s">
        <v>14058</v>
      </c>
      <c r="AL3270">
        <v>-8.64</v>
      </c>
      <c r="AM3270">
        <v>4702</v>
      </c>
      <c r="AN3270">
        <v>305</v>
      </c>
      <c r="AO3270">
        <v>1.1000000000000001E-3</v>
      </c>
      <c r="AP3270">
        <v>-1</v>
      </c>
      <c r="AQ3270">
        <v>0.93</v>
      </c>
      <c r="AR3270">
        <v>-11.05</v>
      </c>
      <c r="AS3270">
        <v>-8.83</v>
      </c>
      <c r="AT3270">
        <v>10.59</v>
      </c>
      <c r="AU3270">
        <v>64.34</v>
      </c>
      <c r="AV3270">
        <v>8</v>
      </c>
      <c r="AW3270">
        <v>8.94</v>
      </c>
      <c r="AX3270">
        <v>59.66</v>
      </c>
      <c r="AY3270">
        <v>17.38</v>
      </c>
      <c r="AZ3270">
        <v>33.450000000000003</v>
      </c>
      <c r="BA3270">
        <v>1.4</v>
      </c>
      <c r="BB3270" t="s">
        <v>143</v>
      </c>
      <c r="BF3270">
        <v>-7.54</v>
      </c>
      <c r="BG3270">
        <v>-8.6999999999999993</v>
      </c>
      <c r="BH3270">
        <v>-8.9499999999999993</v>
      </c>
      <c r="BI3270">
        <v>0</v>
      </c>
      <c r="BJ3270">
        <v>20210826</v>
      </c>
      <c r="BK3270">
        <v>20110812</v>
      </c>
      <c r="BL3270">
        <v>26.86</v>
      </c>
      <c r="BM3270" t="s">
        <v>120</v>
      </c>
      <c r="BN3270" t="s">
        <v>120</v>
      </c>
      <c r="BO3270">
        <v>169.92</v>
      </c>
      <c r="BP3270" t="s">
        <v>120</v>
      </c>
      <c r="BQ3270">
        <v>110.46</v>
      </c>
      <c r="BR3270">
        <v>0.59</v>
      </c>
      <c r="BS3270">
        <v>34.64</v>
      </c>
      <c r="BT3270">
        <v>54.97</v>
      </c>
      <c r="BU3270">
        <v>83.05</v>
      </c>
      <c r="BV3270">
        <v>12.33</v>
      </c>
      <c r="BW3270">
        <v>36.799999999999997</v>
      </c>
      <c r="BX3270">
        <v>26.58</v>
      </c>
      <c r="BY3270">
        <v>13.29</v>
      </c>
      <c r="BZ3270">
        <v>1.7</v>
      </c>
      <c r="CA3270" t="s">
        <v>120</v>
      </c>
      <c r="CB3270">
        <v>21.92</v>
      </c>
      <c r="CC3270">
        <v>67.8</v>
      </c>
      <c r="CD3270">
        <v>31.81</v>
      </c>
      <c r="CE3270">
        <v>24.89</v>
      </c>
      <c r="CF3270">
        <v>0.01</v>
      </c>
      <c r="CG3270">
        <v>24.89</v>
      </c>
      <c r="CH3270">
        <v>21.86</v>
      </c>
      <c r="CI3270">
        <v>21.93</v>
      </c>
      <c r="CJ3270">
        <v>-2.27</v>
      </c>
      <c r="CK3270">
        <v>21.46</v>
      </c>
      <c r="CL3270">
        <v>54.51</v>
      </c>
      <c r="CM3270">
        <v>23.8</v>
      </c>
      <c r="CN3270">
        <v>17.350000000000001</v>
      </c>
      <c r="CO3270">
        <v>83263</v>
      </c>
      <c r="CP3270">
        <v>19247</v>
      </c>
      <c r="CQ3270" t="s">
        <v>14059</v>
      </c>
      <c r="CR3270">
        <v>333.32</v>
      </c>
      <c r="CS3270">
        <v>78.87</v>
      </c>
      <c r="CT3270">
        <v>5.09</v>
      </c>
      <c r="CU3270">
        <v>23.09</v>
      </c>
      <c r="CV3270">
        <v>8.11</v>
      </c>
      <c r="CW3270">
        <v>1.52</v>
      </c>
      <c r="CX3270" t="s">
        <v>8985</v>
      </c>
      <c r="CY3270">
        <v>4.0199999999999996</v>
      </c>
      <c r="CZ3270">
        <v>4.0199999999999996</v>
      </c>
      <c r="DA3270">
        <v>0.82</v>
      </c>
      <c r="DB3270">
        <v>2.0299999999999998</v>
      </c>
      <c r="DC3270">
        <v>0.89</v>
      </c>
      <c r="DD3270">
        <v>65.010000000000005</v>
      </c>
      <c r="DE3270" t="s">
        <v>14060</v>
      </c>
      <c r="DF3270">
        <v>53.08</v>
      </c>
      <c r="DG3270">
        <v>36.71</v>
      </c>
      <c r="DH3270">
        <v>32.340000000000003</v>
      </c>
      <c r="DI3270">
        <v>3.39</v>
      </c>
      <c r="DJ3270">
        <v>8392</v>
      </c>
      <c r="DK3270">
        <v>601636</v>
      </c>
      <c r="DL3270" t="s">
        <v>120</v>
      </c>
      <c r="DM3270" t="s">
        <v>120</v>
      </c>
      <c r="DN3270" t="s">
        <v>120</v>
      </c>
    </row>
    <row r="3271" spans="1:118">
      <c r="A3271" t="str">
        <f>"601658"</f>
        <v>601658</v>
      </c>
      <c r="B3271" t="s">
        <v>14061</v>
      </c>
      <c r="C3271">
        <v>-0.38</v>
      </c>
      <c r="D3271">
        <v>0.19</v>
      </c>
      <c r="E3271">
        <v>0.38</v>
      </c>
      <c r="F3271">
        <v>20216</v>
      </c>
      <c r="G3271" t="s">
        <v>14062</v>
      </c>
      <c r="H3271">
        <v>110695.64</v>
      </c>
      <c r="I3271">
        <v>330.22</v>
      </c>
      <c r="J3271" t="s">
        <v>120</v>
      </c>
      <c r="K3271" t="s">
        <v>14063</v>
      </c>
      <c r="L3271">
        <v>1.85</v>
      </c>
      <c r="M3271">
        <v>5.23</v>
      </c>
      <c r="N3271">
        <v>1.05</v>
      </c>
      <c r="O3271">
        <v>4.57</v>
      </c>
      <c r="P3271">
        <v>5.49</v>
      </c>
      <c r="Q3271">
        <v>-1.1399999999999999</v>
      </c>
      <c r="R3271">
        <v>5.19</v>
      </c>
      <c r="S3271">
        <v>5.27</v>
      </c>
      <c r="T3271">
        <v>2089500</v>
      </c>
      <c r="U3271">
        <v>5.23</v>
      </c>
      <c r="V3271">
        <v>5.25</v>
      </c>
      <c r="W3271">
        <v>5.89</v>
      </c>
      <c r="X3271" t="s">
        <v>122</v>
      </c>
      <c r="Y3271" t="s">
        <v>158</v>
      </c>
      <c r="Z3271">
        <v>5.71</v>
      </c>
      <c r="AA3271">
        <v>5.3</v>
      </c>
      <c r="AB3271">
        <v>1138915</v>
      </c>
      <c r="AC3271">
        <v>950585</v>
      </c>
      <c r="AD3271">
        <v>1.2</v>
      </c>
      <c r="AE3271">
        <v>7079</v>
      </c>
      <c r="AF3271">
        <v>5454</v>
      </c>
      <c r="AG3271" t="s">
        <v>120</v>
      </c>
      <c r="AH3271">
        <v>0.01</v>
      </c>
      <c r="AI3271" t="s">
        <v>120</v>
      </c>
      <c r="AJ3271">
        <v>112.74</v>
      </c>
      <c r="AK3271" t="s">
        <v>14064</v>
      </c>
      <c r="AL3271">
        <v>0.96</v>
      </c>
      <c r="AM3271">
        <v>4586</v>
      </c>
      <c r="AN3271">
        <v>456</v>
      </c>
      <c r="AO3271">
        <v>4.0000000000000002E-4</v>
      </c>
      <c r="AP3271">
        <v>-3</v>
      </c>
      <c r="AQ3271">
        <v>-0.94</v>
      </c>
      <c r="AR3271">
        <v>-4.91</v>
      </c>
      <c r="AS3271">
        <v>1.55</v>
      </c>
      <c r="AT3271">
        <v>8.92</v>
      </c>
      <c r="AU3271">
        <v>14.4</v>
      </c>
      <c r="AV3271">
        <v>0</v>
      </c>
      <c r="AW3271">
        <v>2.0099999999999998</v>
      </c>
      <c r="AX3271">
        <v>14.3</v>
      </c>
      <c r="AY3271">
        <v>6.78</v>
      </c>
      <c r="AZ3271">
        <v>7.55</v>
      </c>
      <c r="BA3271">
        <v>0.62</v>
      </c>
      <c r="BB3271" t="s">
        <v>240</v>
      </c>
      <c r="BF3271">
        <v>0.91</v>
      </c>
      <c r="BG3271">
        <v>-0.76</v>
      </c>
      <c r="BH3271">
        <v>-4.74</v>
      </c>
      <c r="BI3271">
        <v>0.77</v>
      </c>
      <c r="BJ3271">
        <v>20210910</v>
      </c>
      <c r="BK3271">
        <v>20191210</v>
      </c>
      <c r="BL3271">
        <v>923.84</v>
      </c>
      <c r="BM3271" t="s">
        <v>120</v>
      </c>
      <c r="BN3271">
        <v>198.56</v>
      </c>
      <c r="BO3271">
        <v>122170.51</v>
      </c>
      <c r="BP3271">
        <v>5.22</v>
      </c>
      <c r="BQ3271">
        <v>7490.55</v>
      </c>
      <c r="BR3271">
        <v>13.3</v>
      </c>
      <c r="BS3271">
        <v>93.86</v>
      </c>
      <c r="BT3271">
        <v>0</v>
      </c>
      <c r="BU3271">
        <v>492.85</v>
      </c>
      <c r="BV3271">
        <v>41.22</v>
      </c>
      <c r="BW3271">
        <v>0</v>
      </c>
      <c r="BX3271">
        <v>12995.16</v>
      </c>
      <c r="BY3271">
        <v>0</v>
      </c>
      <c r="BZ3271">
        <v>0</v>
      </c>
      <c r="CA3271" t="s">
        <v>120</v>
      </c>
      <c r="CB3271">
        <v>1254.8599999999999</v>
      </c>
      <c r="CC3271">
        <v>1576.53</v>
      </c>
      <c r="CD3271">
        <v>0</v>
      </c>
      <c r="CE3271">
        <v>456.84</v>
      </c>
      <c r="CF3271">
        <v>65.010000000000005</v>
      </c>
      <c r="CG3271">
        <v>457.51</v>
      </c>
      <c r="CH3271">
        <v>412.44</v>
      </c>
      <c r="CI3271">
        <v>410.1</v>
      </c>
      <c r="CJ3271">
        <v>-0.02</v>
      </c>
      <c r="CK3271">
        <v>408.95</v>
      </c>
      <c r="CL3271">
        <v>1970.07</v>
      </c>
      <c r="CM3271">
        <v>1680.77</v>
      </c>
      <c r="CN3271">
        <v>1451.8</v>
      </c>
      <c r="CO3271">
        <v>256466</v>
      </c>
      <c r="CP3271">
        <v>40435</v>
      </c>
      <c r="CQ3271" t="s">
        <v>14065</v>
      </c>
      <c r="CR3271">
        <v>21.84</v>
      </c>
      <c r="CS3271">
        <v>7.73</v>
      </c>
      <c r="CT3271">
        <v>0.82</v>
      </c>
      <c r="CU3271">
        <v>2.87</v>
      </c>
      <c r="CV3271">
        <v>3.06</v>
      </c>
      <c r="CW3271">
        <v>3.97</v>
      </c>
      <c r="CX3271" t="s">
        <v>3527</v>
      </c>
      <c r="CY3271">
        <v>6.4</v>
      </c>
      <c r="CZ3271">
        <v>6.4</v>
      </c>
      <c r="DA3271">
        <v>1.36</v>
      </c>
      <c r="DB3271">
        <v>2.13</v>
      </c>
      <c r="DC3271">
        <v>1.82</v>
      </c>
      <c r="DD3271">
        <v>6.13</v>
      </c>
      <c r="DE3271" t="s">
        <v>13604</v>
      </c>
      <c r="DF3271" t="s">
        <v>120</v>
      </c>
      <c r="DG3271">
        <v>28.98</v>
      </c>
      <c r="DH3271">
        <v>26.01</v>
      </c>
      <c r="DI3271" t="s">
        <v>120</v>
      </c>
      <c r="DJ3271">
        <v>190880</v>
      </c>
      <c r="DK3271">
        <v>601658</v>
      </c>
      <c r="DL3271" t="s">
        <v>120</v>
      </c>
      <c r="DM3271" t="s">
        <v>120</v>
      </c>
      <c r="DN3271" t="s">
        <v>120</v>
      </c>
    </row>
    <row r="3272" spans="1:118">
      <c r="A3272" t="str">
        <f>"601665"</f>
        <v>601665</v>
      </c>
      <c r="B3272" t="s">
        <v>14066</v>
      </c>
      <c r="C3272">
        <v>-1.17</v>
      </c>
      <c r="D3272">
        <v>0</v>
      </c>
      <c r="E3272">
        <v>0</v>
      </c>
      <c r="F3272">
        <v>5935</v>
      </c>
      <c r="G3272" t="s">
        <v>10120</v>
      </c>
      <c r="H3272">
        <v>10755.51</v>
      </c>
      <c r="I3272">
        <v>32.54</v>
      </c>
      <c r="J3272" t="s">
        <v>120</v>
      </c>
      <c r="K3272" t="s">
        <v>10120</v>
      </c>
      <c r="L3272">
        <v>3.94</v>
      </c>
      <c r="M3272">
        <v>5.9</v>
      </c>
      <c r="N3272">
        <v>0.45</v>
      </c>
      <c r="O3272">
        <v>0.84</v>
      </c>
      <c r="P3272">
        <v>6.02</v>
      </c>
      <c r="Q3272">
        <v>-1.17</v>
      </c>
      <c r="R3272">
        <v>5.9</v>
      </c>
      <c r="S3272">
        <v>5.97</v>
      </c>
      <c r="T3272">
        <v>180478</v>
      </c>
      <c r="U3272">
        <v>5.91</v>
      </c>
      <c r="V3272">
        <v>5.97</v>
      </c>
      <c r="W3272">
        <v>9.18</v>
      </c>
      <c r="X3272" t="s">
        <v>122</v>
      </c>
      <c r="Y3272" t="s">
        <v>638</v>
      </c>
      <c r="Z3272">
        <v>2.0099999999999998</v>
      </c>
      <c r="AA3272">
        <v>5.96</v>
      </c>
      <c r="AB3272">
        <v>108606</v>
      </c>
      <c r="AC3272">
        <v>71872</v>
      </c>
      <c r="AD3272">
        <v>1.51</v>
      </c>
      <c r="AE3272">
        <v>1030</v>
      </c>
      <c r="AF3272">
        <v>1772</v>
      </c>
      <c r="AG3272" t="s">
        <v>120</v>
      </c>
      <c r="AH3272">
        <v>0.01</v>
      </c>
      <c r="AI3272" t="s">
        <v>120</v>
      </c>
      <c r="AJ3272">
        <v>4.58</v>
      </c>
      <c r="AK3272" t="s">
        <v>14067</v>
      </c>
      <c r="AL3272">
        <v>0.17</v>
      </c>
      <c r="AM3272">
        <v>2651</v>
      </c>
      <c r="AN3272">
        <v>68</v>
      </c>
      <c r="AO3272">
        <v>1.5E-3</v>
      </c>
      <c r="AP3272">
        <v>-1</v>
      </c>
      <c r="AQ3272">
        <v>0</v>
      </c>
      <c r="AR3272">
        <v>-4.07</v>
      </c>
      <c r="AS3272">
        <v>-13.11</v>
      </c>
      <c r="AT3272">
        <v>-46.94</v>
      </c>
      <c r="AU3272">
        <v>13.9</v>
      </c>
      <c r="AV3272">
        <v>5</v>
      </c>
      <c r="AW3272">
        <v>3.94</v>
      </c>
      <c r="AX3272">
        <v>10</v>
      </c>
      <c r="AY3272">
        <v>10.220000000000001</v>
      </c>
      <c r="AZ3272">
        <v>10.86</v>
      </c>
      <c r="BA3272">
        <v>1.56</v>
      </c>
      <c r="BB3272" t="s">
        <v>143</v>
      </c>
      <c r="BF3272">
        <v>-0.18</v>
      </c>
      <c r="BG3272">
        <v>-1.17</v>
      </c>
      <c r="BH3272">
        <v>-1.99</v>
      </c>
      <c r="BI3272">
        <v>0</v>
      </c>
      <c r="BJ3272">
        <v>20210828</v>
      </c>
      <c r="BK3272">
        <v>20210618</v>
      </c>
      <c r="BL3272">
        <v>45.81</v>
      </c>
      <c r="BM3272" t="s">
        <v>120</v>
      </c>
      <c r="BN3272" t="s">
        <v>120</v>
      </c>
      <c r="BO3272">
        <v>4029.54</v>
      </c>
      <c r="BP3272">
        <v>5.9</v>
      </c>
      <c r="BQ3272">
        <v>336.29</v>
      </c>
      <c r="BR3272">
        <v>2.29</v>
      </c>
      <c r="BS3272">
        <v>91.6</v>
      </c>
      <c r="BT3272">
        <v>0</v>
      </c>
      <c r="BU3272">
        <v>6.88</v>
      </c>
      <c r="BV3272">
        <v>0.33</v>
      </c>
      <c r="BW3272">
        <v>0</v>
      </c>
      <c r="BX3272">
        <v>344.95</v>
      </c>
      <c r="BY3272">
        <v>0</v>
      </c>
      <c r="BZ3272">
        <v>0</v>
      </c>
      <c r="CA3272" t="s">
        <v>120</v>
      </c>
      <c r="CB3272">
        <v>83.07</v>
      </c>
      <c r="CC3272">
        <v>46.02</v>
      </c>
      <c r="CD3272">
        <v>0</v>
      </c>
      <c r="CE3272">
        <v>16.34</v>
      </c>
      <c r="CF3272">
        <v>4.47</v>
      </c>
      <c r="CG3272">
        <v>16.46</v>
      </c>
      <c r="CH3272">
        <v>14.9</v>
      </c>
      <c r="CI3272">
        <v>14.72</v>
      </c>
      <c r="CJ3272">
        <v>-7.0000000000000007E-2</v>
      </c>
      <c r="CK3272">
        <v>14.53</v>
      </c>
      <c r="CL3272">
        <v>67.81</v>
      </c>
      <c r="CM3272">
        <v>27.85</v>
      </c>
      <c r="CN3272">
        <v>-60.18</v>
      </c>
      <c r="CO3272">
        <v>193953</v>
      </c>
      <c r="CP3272">
        <v>2362</v>
      </c>
      <c r="CQ3272" t="s">
        <v>14068</v>
      </c>
      <c r="CR3272">
        <v>0</v>
      </c>
      <c r="CS3272">
        <v>0</v>
      </c>
      <c r="CT3272">
        <v>1.04</v>
      </c>
      <c r="CU3272">
        <v>9.6999999999999993</v>
      </c>
      <c r="CV3272">
        <v>5.87</v>
      </c>
      <c r="CW3272">
        <v>3.02</v>
      </c>
      <c r="CX3272" t="s">
        <v>472</v>
      </c>
      <c r="CY3272">
        <v>5.7</v>
      </c>
      <c r="CZ3272">
        <v>5.7</v>
      </c>
      <c r="DA3272">
        <v>1.81</v>
      </c>
      <c r="DB3272">
        <v>1.48</v>
      </c>
      <c r="DC3272">
        <v>0.61</v>
      </c>
      <c r="DD3272">
        <v>8.35</v>
      </c>
      <c r="DE3272" t="s">
        <v>3118</v>
      </c>
      <c r="DF3272" t="s">
        <v>120</v>
      </c>
      <c r="DG3272">
        <v>35.51</v>
      </c>
      <c r="DH3272">
        <v>32</v>
      </c>
      <c r="DI3272" t="s">
        <v>120</v>
      </c>
      <c r="DJ3272">
        <v>4152</v>
      </c>
      <c r="DK3272">
        <v>601665</v>
      </c>
      <c r="DL3272" t="s">
        <v>120</v>
      </c>
      <c r="DM3272" t="s">
        <v>120</v>
      </c>
      <c r="DN3272" t="s">
        <v>120</v>
      </c>
    </row>
    <row r="3273" spans="1:118">
      <c r="A3273" t="str">
        <f>"601666"</f>
        <v>601666</v>
      </c>
      <c r="B3273" t="s">
        <v>14069</v>
      </c>
      <c r="C3273">
        <v>1.52</v>
      </c>
      <c r="D3273">
        <v>0.62</v>
      </c>
      <c r="E3273">
        <v>3.39</v>
      </c>
      <c r="F3273">
        <v>16700</v>
      </c>
      <c r="G3273" t="s">
        <v>14070</v>
      </c>
      <c r="H3273">
        <v>78538.240000000005</v>
      </c>
      <c r="I3273">
        <v>554.35</v>
      </c>
      <c r="J3273" t="s">
        <v>120</v>
      </c>
      <c r="K3273" t="s">
        <v>14071</v>
      </c>
      <c r="L3273">
        <v>2.98</v>
      </c>
      <c r="M3273">
        <v>11.38</v>
      </c>
      <c r="N3273">
        <v>0.87</v>
      </c>
      <c r="O3273">
        <v>5.08</v>
      </c>
      <c r="P3273">
        <v>11.78</v>
      </c>
      <c r="Q3273">
        <v>-2.85</v>
      </c>
      <c r="R3273">
        <v>10.89</v>
      </c>
      <c r="S3273">
        <v>11.59</v>
      </c>
      <c r="T3273">
        <v>693465</v>
      </c>
      <c r="U3273">
        <v>11.38</v>
      </c>
      <c r="V3273">
        <v>11.21</v>
      </c>
      <c r="W3273">
        <v>12.63</v>
      </c>
      <c r="X3273" t="s">
        <v>1081</v>
      </c>
      <c r="Y3273" t="s">
        <v>645</v>
      </c>
      <c r="Z3273">
        <v>7.94</v>
      </c>
      <c r="AA3273">
        <v>11.33</v>
      </c>
      <c r="AB3273">
        <v>376886</v>
      </c>
      <c r="AC3273">
        <v>316579</v>
      </c>
      <c r="AD3273">
        <v>1.19</v>
      </c>
      <c r="AE3273">
        <v>2</v>
      </c>
      <c r="AF3273">
        <v>235</v>
      </c>
      <c r="AG3273" t="s">
        <v>120</v>
      </c>
      <c r="AH3273">
        <v>0.05</v>
      </c>
      <c r="AI3273" t="s">
        <v>120</v>
      </c>
      <c r="AJ3273">
        <v>23.28</v>
      </c>
      <c r="AK3273" t="s">
        <v>14072</v>
      </c>
      <c r="AL3273">
        <v>2.86</v>
      </c>
      <c r="AM3273">
        <v>4541</v>
      </c>
      <c r="AN3273">
        <v>153</v>
      </c>
      <c r="AO3273">
        <v>6.9999999999999999E-4</v>
      </c>
      <c r="AP3273">
        <v>1</v>
      </c>
      <c r="AQ3273">
        <v>-3.69</v>
      </c>
      <c r="AR3273">
        <v>-5.63</v>
      </c>
      <c r="AS3273">
        <v>39.29</v>
      </c>
      <c r="AT3273">
        <v>50.92</v>
      </c>
      <c r="AU3273">
        <v>104.31</v>
      </c>
      <c r="AV3273">
        <v>3</v>
      </c>
      <c r="AW3273">
        <v>6.95</v>
      </c>
      <c r="AX3273">
        <v>42.5</v>
      </c>
      <c r="AY3273">
        <v>15.15</v>
      </c>
      <c r="AZ3273">
        <v>18.98</v>
      </c>
      <c r="BA3273">
        <v>1.27</v>
      </c>
      <c r="BB3273" t="s">
        <v>143</v>
      </c>
      <c r="BF3273">
        <v>1.03</v>
      </c>
      <c r="BG3273">
        <v>-1.81</v>
      </c>
      <c r="BH3273">
        <v>-3.4</v>
      </c>
      <c r="BI3273">
        <v>4.5</v>
      </c>
      <c r="BJ3273">
        <v>20210914</v>
      </c>
      <c r="BK3273">
        <v>20061123</v>
      </c>
      <c r="BL3273">
        <v>23.49</v>
      </c>
      <c r="BM3273" t="s">
        <v>120</v>
      </c>
      <c r="BN3273" t="s">
        <v>120</v>
      </c>
      <c r="BO3273">
        <v>554.41</v>
      </c>
      <c r="BP3273">
        <v>11.35</v>
      </c>
      <c r="BQ3273">
        <v>152.87</v>
      </c>
      <c r="BR3273">
        <v>22.83</v>
      </c>
      <c r="BS3273">
        <v>68.31</v>
      </c>
      <c r="BT3273">
        <v>142.88</v>
      </c>
      <c r="BU3273">
        <v>334.55</v>
      </c>
      <c r="BV3273">
        <v>11.14</v>
      </c>
      <c r="BW3273">
        <v>264.5</v>
      </c>
      <c r="BX3273">
        <v>93.47</v>
      </c>
      <c r="BY3273">
        <v>10.27</v>
      </c>
      <c r="BZ3273">
        <v>20.02</v>
      </c>
      <c r="CA3273">
        <v>0</v>
      </c>
      <c r="CB3273">
        <v>31.14</v>
      </c>
      <c r="CC3273">
        <v>126.51</v>
      </c>
      <c r="CD3273">
        <v>90.94</v>
      </c>
      <c r="CE3273">
        <v>15.88</v>
      </c>
      <c r="CF3273">
        <v>0.51</v>
      </c>
      <c r="CG3273">
        <v>15.85</v>
      </c>
      <c r="CH3273">
        <v>12.03</v>
      </c>
      <c r="CI3273">
        <v>10.58</v>
      </c>
      <c r="CJ3273">
        <v>0.17</v>
      </c>
      <c r="CK3273">
        <v>10.43</v>
      </c>
      <c r="CL3273">
        <v>75.09</v>
      </c>
      <c r="CM3273">
        <v>49.49</v>
      </c>
      <c r="CN3273">
        <v>14.65</v>
      </c>
      <c r="CO3273">
        <v>62544</v>
      </c>
      <c r="CP3273">
        <v>15960</v>
      </c>
      <c r="CQ3273" t="s">
        <v>14073</v>
      </c>
      <c r="CR3273">
        <v>49.56</v>
      </c>
      <c r="CS3273">
        <v>10.26</v>
      </c>
      <c r="CT3273">
        <v>1.75</v>
      </c>
      <c r="CU3273">
        <v>5.4</v>
      </c>
      <c r="CV3273">
        <v>2.11</v>
      </c>
      <c r="CW3273">
        <v>3.17</v>
      </c>
      <c r="CX3273" t="s">
        <v>1631</v>
      </c>
      <c r="CY3273">
        <v>6.51</v>
      </c>
      <c r="CZ3273">
        <v>0</v>
      </c>
      <c r="DA3273">
        <v>1.33</v>
      </c>
      <c r="DB3273">
        <v>3.2</v>
      </c>
      <c r="DC3273">
        <v>2.11</v>
      </c>
      <c r="DD3273">
        <v>27.57</v>
      </c>
      <c r="DE3273" t="s">
        <v>3797</v>
      </c>
      <c r="DF3273">
        <v>28.12</v>
      </c>
      <c r="DG3273">
        <v>12.55</v>
      </c>
      <c r="DH3273">
        <v>8.36</v>
      </c>
      <c r="DI3273">
        <v>1.81</v>
      </c>
      <c r="DJ3273">
        <v>74266</v>
      </c>
      <c r="DK3273">
        <v>601666</v>
      </c>
      <c r="DL3273">
        <v>20210907</v>
      </c>
      <c r="DM3273">
        <v>10.43</v>
      </c>
      <c r="DN3273">
        <v>9.11</v>
      </c>
    </row>
    <row r="3274" spans="1:118">
      <c r="A3274" t="str">
        <f>"601668"</f>
        <v>601668</v>
      </c>
      <c r="B3274" t="s">
        <v>14074</v>
      </c>
      <c r="C3274">
        <v>-1.98</v>
      </c>
      <c r="D3274">
        <v>-0.19</v>
      </c>
      <c r="E3274">
        <v>0.4</v>
      </c>
      <c r="F3274">
        <v>81627</v>
      </c>
      <c r="G3274" t="s">
        <v>14075</v>
      </c>
      <c r="H3274">
        <v>164946.12</v>
      </c>
      <c r="I3274">
        <v>1135.1199999999999</v>
      </c>
      <c r="J3274" t="s">
        <v>120</v>
      </c>
      <c r="K3274" t="s">
        <v>14076</v>
      </c>
      <c r="L3274">
        <v>0.81</v>
      </c>
      <c r="M3274">
        <v>4.95</v>
      </c>
      <c r="N3274">
        <v>0.7</v>
      </c>
      <c r="O3274">
        <v>0.99</v>
      </c>
      <c r="P3274">
        <v>5.0999999999999996</v>
      </c>
      <c r="Q3274">
        <v>-1.98</v>
      </c>
      <c r="R3274">
        <v>4.95</v>
      </c>
      <c r="S3274">
        <v>5.07</v>
      </c>
      <c r="T3274">
        <v>3292220</v>
      </c>
      <c r="U3274">
        <v>4.96</v>
      </c>
      <c r="V3274">
        <v>5.05</v>
      </c>
      <c r="W3274">
        <v>4.05</v>
      </c>
      <c r="X3274" t="s">
        <v>175</v>
      </c>
      <c r="Y3274" t="s">
        <v>158</v>
      </c>
      <c r="Z3274">
        <v>2.97</v>
      </c>
      <c r="AA3274">
        <v>5.01</v>
      </c>
      <c r="AB3274">
        <v>1843038</v>
      </c>
      <c r="AC3274">
        <v>1449182</v>
      </c>
      <c r="AD3274">
        <v>1.27</v>
      </c>
      <c r="AE3274">
        <v>57015</v>
      </c>
      <c r="AF3274">
        <v>866</v>
      </c>
      <c r="AG3274" t="s">
        <v>120</v>
      </c>
      <c r="AH3274">
        <v>0.01</v>
      </c>
      <c r="AI3274" t="s">
        <v>120</v>
      </c>
      <c r="AJ3274">
        <v>406.45</v>
      </c>
      <c r="AK3274" t="s">
        <v>14077</v>
      </c>
      <c r="AL3274">
        <v>-0.64</v>
      </c>
      <c r="AM3274">
        <v>4732</v>
      </c>
      <c r="AN3274">
        <v>696</v>
      </c>
      <c r="AO3274">
        <v>2.0000000000000001E-4</v>
      </c>
      <c r="AP3274">
        <v>-3</v>
      </c>
      <c r="AQ3274">
        <v>-0.79</v>
      </c>
      <c r="AR3274">
        <v>-6.43</v>
      </c>
      <c r="AS3274">
        <v>5.32</v>
      </c>
      <c r="AT3274">
        <v>6.33</v>
      </c>
      <c r="AU3274">
        <v>4.0999999999999996</v>
      </c>
      <c r="AV3274">
        <v>0</v>
      </c>
      <c r="AW3274">
        <v>1.94</v>
      </c>
      <c r="AX3274">
        <v>40.56</v>
      </c>
      <c r="AY3274">
        <v>4.17</v>
      </c>
      <c r="AZ3274">
        <v>4.71</v>
      </c>
      <c r="BA3274">
        <v>0.72</v>
      </c>
      <c r="BB3274" t="s">
        <v>143</v>
      </c>
      <c r="BF3274">
        <v>-0.79</v>
      </c>
      <c r="BG3274">
        <v>-2.37</v>
      </c>
      <c r="BH3274">
        <v>-2.94</v>
      </c>
      <c r="BI3274">
        <v>0</v>
      </c>
      <c r="BJ3274">
        <v>20210910</v>
      </c>
      <c r="BK3274">
        <v>20090729</v>
      </c>
      <c r="BL3274">
        <v>419.48</v>
      </c>
      <c r="BM3274" t="s">
        <v>120</v>
      </c>
      <c r="BN3274" t="s">
        <v>120</v>
      </c>
      <c r="BO3274">
        <v>23512.32</v>
      </c>
      <c r="BP3274">
        <v>4.95</v>
      </c>
      <c r="BQ3274">
        <v>3161.32</v>
      </c>
      <c r="BR3274">
        <v>2848.98</v>
      </c>
      <c r="BS3274">
        <v>74.44</v>
      </c>
      <c r="BT3274">
        <v>16963.95</v>
      </c>
      <c r="BU3274">
        <v>402.03</v>
      </c>
      <c r="BV3274">
        <v>258.95</v>
      </c>
      <c r="BW3274">
        <v>12878.77</v>
      </c>
      <c r="BX3274">
        <v>2939.64</v>
      </c>
      <c r="BY3274">
        <v>7007.58</v>
      </c>
      <c r="BZ3274">
        <v>1843.83</v>
      </c>
      <c r="CA3274">
        <v>7.23</v>
      </c>
      <c r="CB3274">
        <v>107</v>
      </c>
      <c r="CC3274">
        <v>9367.16</v>
      </c>
      <c r="CD3274">
        <v>8381.52</v>
      </c>
      <c r="CE3274">
        <v>516.16</v>
      </c>
      <c r="CF3274">
        <v>17.850000000000001</v>
      </c>
      <c r="CG3274">
        <v>517.26</v>
      </c>
      <c r="CH3274">
        <v>400.82</v>
      </c>
      <c r="CI3274">
        <v>256.43</v>
      </c>
      <c r="CJ3274">
        <v>-0.1</v>
      </c>
      <c r="CK3274">
        <v>245.38</v>
      </c>
      <c r="CL3274">
        <v>2475.3200000000002</v>
      </c>
      <c r="CM3274">
        <v>-497.44</v>
      </c>
      <c r="CN3274">
        <v>40.909999999999997</v>
      </c>
      <c r="CO3274">
        <v>559226</v>
      </c>
      <c r="CP3274">
        <v>30424</v>
      </c>
      <c r="CQ3274" t="s">
        <v>14078</v>
      </c>
      <c r="CR3274">
        <v>29.25</v>
      </c>
      <c r="CS3274">
        <v>28.64</v>
      </c>
      <c r="CT3274">
        <v>0.68</v>
      </c>
      <c r="CU3274">
        <v>-4.17</v>
      </c>
      <c r="CV3274">
        <v>0.22</v>
      </c>
      <c r="CW3274">
        <v>4.25</v>
      </c>
      <c r="CX3274" t="s">
        <v>8995</v>
      </c>
      <c r="CY3274">
        <v>7.3</v>
      </c>
      <c r="CZ3274">
        <v>7.3</v>
      </c>
      <c r="DA3274">
        <v>0.26</v>
      </c>
      <c r="DB3274">
        <v>5.9</v>
      </c>
      <c r="DC3274">
        <v>-1.19</v>
      </c>
      <c r="DD3274">
        <v>13.45</v>
      </c>
      <c r="DE3274" t="s">
        <v>14079</v>
      </c>
      <c r="DF3274">
        <v>10.52</v>
      </c>
      <c r="DG3274">
        <v>5.51</v>
      </c>
      <c r="DH3274">
        <v>2.74</v>
      </c>
      <c r="DI3274">
        <v>138.58000000000001</v>
      </c>
      <c r="DJ3274">
        <v>356864</v>
      </c>
      <c r="DK3274">
        <v>601668</v>
      </c>
      <c r="DL3274" t="s">
        <v>120</v>
      </c>
      <c r="DM3274" t="s">
        <v>120</v>
      </c>
      <c r="DN3274" t="s">
        <v>120</v>
      </c>
    </row>
    <row r="3275" spans="1:118">
      <c r="A3275" t="str">
        <f>"601669"</f>
        <v>601669</v>
      </c>
      <c r="B3275" t="s">
        <v>14080</v>
      </c>
      <c r="C3275">
        <v>-2.56</v>
      </c>
      <c r="D3275">
        <v>0.13</v>
      </c>
      <c r="E3275">
        <v>-0.12</v>
      </c>
      <c r="F3275">
        <v>81194</v>
      </c>
      <c r="G3275" t="s">
        <v>14081</v>
      </c>
      <c r="H3275">
        <v>339947.72</v>
      </c>
      <c r="I3275">
        <v>3665.4</v>
      </c>
      <c r="J3275" t="s">
        <v>120</v>
      </c>
      <c r="K3275" t="s">
        <v>14082</v>
      </c>
      <c r="L3275">
        <v>3.78</v>
      </c>
      <c r="M3275">
        <v>7.98</v>
      </c>
      <c r="N3275">
        <v>0.69</v>
      </c>
      <c r="O3275">
        <v>1.22</v>
      </c>
      <c r="P3275">
        <v>8.2899999999999991</v>
      </c>
      <c r="Q3275">
        <v>-3.66</v>
      </c>
      <c r="R3275">
        <v>7.89</v>
      </c>
      <c r="S3275">
        <v>8.18</v>
      </c>
      <c r="T3275">
        <v>4211712</v>
      </c>
      <c r="U3275">
        <v>7.98</v>
      </c>
      <c r="V3275">
        <v>8.19</v>
      </c>
      <c r="W3275">
        <v>13.51</v>
      </c>
      <c r="X3275" t="s">
        <v>175</v>
      </c>
      <c r="Y3275" t="s">
        <v>158</v>
      </c>
      <c r="Z3275">
        <v>4.88</v>
      </c>
      <c r="AA3275">
        <v>8.07</v>
      </c>
      <c r="AB3275">
        <v>2000155</v>
      </c>
      <c r="AC3275">
        <v>2211557</v>
      </c>
      <c r="AD3275">
        <v>0.9</v>
      </c>
      <c r="AE3275">
        <v>4540</v>
      </c>
      <c r="AF3275">
        <v>5778</v>
      </c>
      <c r="AG3275" t="s">
        <v>120</v>
      </c>
      <c r="AH3275">
        <v>7.0000000000000007E-2</v>
      </c>
      <c r="AI3275" t="s">
        <v>120</v>
      </c>
      <c r="AJ3275">
        <v>111.44</v>
      </c>
      <c r="AK3275" t="s">
        <v>14083</v>
      </c>
      <c r="AL3275">
        <v>-1.22</v>
      </c>
      <c r="AM3275">
        <v>4744</v>
      </c>
      <c r="AN3275">
        <v>888</v>
      </c>
      <c r="AO3275">
        <v>8.0000000000000004E-4</v>
      </c>
      <c r="AP3275">
        <v>-4</v>
      </c>
      <c r="AQ3275">
        <v>-3.76</v>
      </c>
      <c r="AR3275">
        <v>-9.2200000000000006</v>
      </c>
      <c r="AS3275">
        <v>31.9</v>
      </c>
      <c r="AT3275">
        <v>114.1</v>
      </c>
      <c r="AU3275">
        <v>110.71</v>
      </c>
      <c r="AV3275">
        <v>5</v>
      </c>
      <c r="AW3275">
        <v>6.61</v>
      </c>
      <c r="AX3275">
        <v>41.66</v>
      </c>
      <c r="AY3275">
        <v>14.53</v>
      </c>
      <c r="AZ3275">
        <v>15.69</v>
      </c>
      <c r="BA3275">
        <v>0.62</v>
      </c>
      <c r="BB3275" t="s">
        <v>143</v>
      </c>
      <c r="BF3275">
        <v>-1.45</v>
      </c>
      <c r="BG3275">
        <v>-2.44</v>
      </c>
      <c r="BH3275">
        <v>-3.74</v>
      </c>
      <c r="BI3275">
        <v>1.1399999999999999</v>
      </c>
      <c r="BJ3275">
        <v>20210826</v>
      </c>
      <c r="BK3275">
        <v>20111018</v>
      </c>
      <c r="BL3275">
        <v>152.99</v>
      </c>
      <c r="BM3275" t="s">
        <v>120</v>
      </c>
      <c r="BN3275" t="s">
        <v>120</v>
      </c>
      <c r="BO3275">
        <v>9819.9500000000007</v>
      </c>
      <c r="BP3275">
        <v>7.97</v>
      </c>
      <c r="BQ3275">
        <v>1215.04</v>
      </c>
      <c r="BR3275">
        <v>1131.0999999999999</v>
      </c>
      <c r="BS3275">
        <v>76.11</v>
      </c>
      <c r="BT3275">
        <v>4880.8100000000004</v>
      </c>
      <c r="BU3275">
        <v>1046.95</v>
      </c>
      <c r="BV3275">
        <v>2182.83</v>
      </c>
      <c r="BW3275">
        <v>4352.25</v>
      </c>
      <c r="BX3275">
        <v>903.42</v>
      </c>
      <c r="BY3275">
        <v>1389.2</v>
      </c>
      <c r="BZ3275">
        <v>758.36</v>
      </c>
      <c r="CA3275">
        <v>2.94</v>
      </c>
      <c r="CB3275">
        <v>291.47000000000003</v>
      </c>
      <c r="CC3275">
        <v>2030.51</v>
      </c>
      <c r="CD3275">
        <v>1766.91</v>
      </c>
      <c r="CE3275">
        <v>80.36</v>
      </c>
      <c r="CF3275">
        <v>1.42</v>
      </c>
      <c r="CG3275">
        <v>81.13</v>
      </c>
      <c r="CH3275">
        <v>66.34</v>
      </c>
      <c r="CI3275">
        <v>45.18</v>
      </c>
      <c r="CJ3275">
        <v>-0.21</v>
      </c>
      <c r="CK3275">
        <v>43.23</v>
      </c>
      <c r="CL3275">
        <v>507.1</v>
      </c>
      <c r="CM3275">
        <v>-201.68</v>
      </c>
      <c r="CN3275">
        <v>83.21</v>
      </c>
      <c r="CO3275">
        <v>283022</v>
      </c>
      <c r="CP3275">
        <v>22519</v>
      </c>
      <c r="CQ3275" t="s">
        <v>13991</v>
      </c>
      <c r="CR3275">
        <v>16.45</v>
      </c>
      <c r="CS3275">
        <v>26.4</v>
      </c>
      <c r="CT3275">
        <v>1.28</v>
      </c>
      <c r="CU3275">
        <v>-6.05</v>
      </c>
      <c r="CV3275">
        <v>0.6</v>
      </c>
      <c r="CW3275">
        <v>1.1200000000000001</v>
      </c>
      <c r="CX3275" t="s">
        <v>293</v>
      </c>
      <c r="CY3275">
        <v>6.24</v>
      </c>
      <c r="CZ3275">
        <v>6.24</v>
      </c>
      <c r="DA3275">
        <v>1.91</v>
      </c>
      <c r="DB3275">
        <v>3.31</v>
      </c>
      <c r="DC3275">
        <v>-1.32</v>
      </c>
      <c r="DD3275">
        <v>12.37</v>
      </c>
      <c r="DE3275" t="s">
        <v>9024</v>
      </c>
      <c r="DF3275">
        <v>12.98</v>
      </c>
      <c r="DG3275">
        <v>3.96</v>
      </c>
      <c r="DH3275">
        <v>2.23</v>
      </c>
      <c r="DI3275">
        <v>58.63</v>
      </c>
      <c r="DJ3275">
        <v>132125</v>
      </c>
      <c r="DK3275">
        <v>601669</v>
      </c>
      <c r="DL3275">
        <v>20210803</v>
      </c>
      <c r="DM3275">
        <v>5.36</v>
      </c>
      <c r="DN3275">
        <v>48.88</v>
      </c>
    </row>
    <row r="3276" spans="1:118">
      <c r="A3276" t="str">
        <f>"601677"</f>
        <v>601677</v>
      </c>
      <c r="B3276" t="s">
        <v>14084</v>
      </c>
      <c r="C3276">
        <v>-3.46</v>
      </c>
      <c r="D3276">
        <v>0.13</v>
      </c>
      <c r="E3276">
        <v>0</v>
      </c>
      <c r="F3276">
        <v>699</v>
      </c>
      <c r="G3276" t="s">
        <v>14085</v>
      </c>
      <c r="H3276">
        <v>42458.54</v>
      </c>
      <c r="I3276">
        <v>141.34</v>
      </c>
      <c r="J3276" t="s">
        <v>120</v>
      </c>
      <c r="K3276" t="s">
        <v>14086</v>
      </c>
      <c r="L3276">
        <v>1.59</v>
      </c>
      <c r="M3276">
        <v>38.26</v>
      </c>
      <c r="N3276">
        <v>0.74</v>
      </c>
      <c r="O3276">
        <v>2.83</v>
      </c>
      <c r="P3276">
        <v>40.75</v>
      </c>
      <c r="Q3276">
        <v>-4.37</v>
      </c>
      <c r="R3276">
        <v>37.9</v>
      </c>
      <c r="S3276">
        <v>39.630000000000003</v>
      </c>
      <c r="T3276">
        <v>108170</v>
      </c>
      <c r="U3276">
        <v>38.26</v>
      </c>
      <c r="V3276">
        <v>39.630000000000003</v>
      </c>
      <c r="W3276">
        <v>15.47</v>
      </c>
      <c r="X3276" t="s">
        <v>1325</v>
      </c>
      <c r="Y3276" t="s">
        <v>645</v>
      </c>
      <c r="Z3276">
        <v>7.19</v>
      </c>
      <c r="AA3276">
        <v>39.25</v>
      </c>
      <c r="AB3276">
        <v>55288</v>
      </c>
      <c r="AC3276">
        <v>52882</v>
      </c>
      <c r="AD3276">
        <v>1.05</v>
      </c>
      <c r="AE3276">
        <v>2</v>
      </c>
      <c r="AF3276">
        <v>2</v>
      </c>
      <c r="AG3276" t="s">
        <v>120</v>
      </c>
      <c r="AH3276">
        <v>0.01</v>
      </c>
      <c r="AI3276" t="s">
        <v>120</v>
      </c>
      <c r="AJ3276">
        <v>6.82</v>
      </c>
      <c r="AK3276" t="s">
        <v>14087</v>
      </c>
      <c r="AL3276">
        <v>-2.11</v>
      </c>
      <c r="AM3276">
        <v>3898</v>
      </c>
      <c r="AN3276">
        <v>28</v>
      </c>
      <c r="AO3276">
        <v>4.0000000000000002E-4</v>
      </c>
      <c r="AP3276">
        <v>-2</v>
      </c>
      <c r="AQ3276">
        <v>-1.86</v>
      </c>
      <c r="AR3276">
        <v>-4.18</v>
      </c>
      <c r="AS3276">
        <v>14.55</v>
      </c>
      <c r="AT3276">
        <v>89.97</v>
      </c>
      <c r="AU3276">
        <v>174.46</v>
      </c>
      <c r="AV3276">
        <v>4</v>
      </c>
      <c r="AW3276">
        <v>1.99</v>
      </c>
      <c r="AX3276">
        <v>79.540000000000006</v>
      </c>
      <c r="AY3276">
        <v>17.3</v>
      </c>
      <c r="AZ3276">
        <v>25.28</v>
      </c>
      <c r="BA3276">
        <v>0.82</v>
      </c>
      <c r="BB3276" t="s">
        <v>184</v>
      </c>
      <c r="BF3276">
        <v>-0.95</v>
      </c>
      <c r="BG3276">
        <v>-3.46</v>
      </c>
      <c r="BH3276">
        <v>-6.11</v>
      </c>
      <c r="BI3276">
        <v>0.95</v>
      </c>
      <c r="BJ3276">
        <v>20210824</v>
      </c>
      <c r="BK3276">
        <v>20110919</v>
      </c>
      <c r="BL3276">
        <v>6.83</v>
      </c>
      <c r="BM3276" t="s">
        <v>120</v>
      </c>
      <c r="BN3276" t="s">
        <v>120</v>
      </c>
      <c r="BO3276">
        <v>149.24</v>
      </c>
      <c r="BP3276">
        <v>38.229999999999997</v>
      </c>
      <c r="BQ3276">
        <v>95.81</v>
      </c>
      <c r="BR3276">
        <v>3.74</v>
      </c>
      <c r="BS3276">
        <v>33.299999999999997</v>
      </c>
      <c r="BT3276">
        <v>98.98</v>
      </c>
      <c r="BU3276">
        <v>30.82</v>
      </c>
      <c r="BV3276">
        <v>3.59</v>
      </c>
      <c r="BW3276">
        <v>36.659999999999997</v>
      </c>
      <c r="BX3276">
        <v>21.77</v>
      </c>
      <c r="BY3276">
        <v>32.46</v>
      </c>
      <c r="BZ3276">
        <v>11.96</v>
      </c>
      <c r="CA3276" t="s">
        <v>120</v>
      </c>
      <c r="CB3276">
        <v>43.46</v>
      </c>
      <c r="CC3276">
        <v>107.59</v>
      </c>
      <c r="CD3276">
        <v>92.07</v>
      </c>
      <c r="CE3276">
        <v>11.04</v>
      </c>
      <c r="CF3276">
        <v>0.21</v>
      </c>
      <c r="CG3276">
        <v>11.03</v>
      </c>
      <c r="CH3276">
        <v>8.61</v>
      </c>
      <c r="CI3276">
        <v>8.44</v>
      </c>
      <c r="CJ3276">
        <v>-1.37</v>
      </c>
      <c r="CK3276">
        <v>7.24</v>
      </c>
      <c r="CL3276">
        <v>42.58</v>
      </c>
      <c r="CM3276">
        <v>8.2100000000000009</v>
      </c>
      <c r="CN3276">
        <v>0.99</v>
      </c>
      <c r="CO3276">
        <v>20870</v>
      </c>
      <c r="CP3276">
        <v>26013</v>
      </c>
      <c r="CQ3276" t="s">
        <v>14088</v>
      </c>
      <c r="CR3276">
        <v>140.75</v>
      </c>
      <c r="CS3276">
        <v>50.4</v>
      </c>
      <c r="CT3276">
        <v>2.78</v>
      </c>
      <c r="CU3276">
        <v>31.8</v>
      </c>
      <c r="CV3276">
        <v>2.4300000000000002</v>
      </c>
      <c r="CW3276">
        <v>0.5</v>
      </c>
      <c r="CX3276" t="s">
        <v>11537</v>
      </c>
      <c r="CY3276">
        <v>13.79</v>
      </c>
      <c r="CZ3276">
        <v>13.79</v>
      </c>
      <c r="DA3276">
        <v>6.37</v>
      </c>
      <c r="DB3276">
        <v>6.24</v>
      </c>
      <c r="DC3276">
        <v>1.2</v>
      </c>
      <c r="DD3276">
        <v>64.2</v>
      </c>
      <c r="DE3276" t="s">
        <v>7328</v>
      </c>
      <c r="DF3276">
        <v>14.42</v>
      </c>
      <c r="DG3276">
        <v>10.26</v>
      </c>
      <c r="DH3276">
        <v>7.85</v>
      </c>
      <c r="DI3276">
        <v>4.59</v>
      </c>
      <c r="DJ3276">
        <v>5301</v>
      </c>
      <c r="DK3276">
        <v>601677</v>
      </c>
      <c r="DL3276" t="s">
        <v>120</v>
      </c>
      <c r="DM3276" t="s">
        <v>120</v>
      </c>
      <c r="DN3276" t="s">
        <v>120</v>
      </c>
    </row>
    <row r="3277" spans="1:118">
      <c r="A3277" t="str">
        <f>"601678"</f>
        <v>601678</v>
      </c>
      <c r="B3277" t="s">
        <v>14089</v>
      </c>
      <c r="C3277">
        <v>0</v>
      </c>
      <c r="D3277">
        <v>-7.0000000000000007E-2</v>
      </c>
      <c r="E3277">
        <v>3.34</v>
      </c>
      <c r="F3277">
        <v>28476</v>
      </c>
      <c r="G3277" t="s">
        <v>14090</v>
      </c>
      <c r="H3277">
        <v>520718.37</v>
      </c>
      <c r="I3277">
        <v>8582.08</v>
      </c>
      <c r="J3277" t="s">
        <v>120</v>
      </c>
      <c r="K3277" t="s">
        <v>14091</v>
      </c>
      <c r="L3277">
        <v>20.56</v>
      </c>
      <c r="M3277">
        <v>12.27</v>
      </c>
      <c r="N3277">
        <v>1.64</v>
      </c>
      <c r="O3277">
        <v>10.02</v>
      </c>
      <c r="P3277">
        <v>13.5</v>
      </c>
      <c r="Q3277">
        <v>-0.16</v>
      </c>
      <c r="R3277">
        <v>12.25</v>
      </c>
      <c r="S3277">
        <v>12.68</v>
      </c>
      <c r="T3277">
        <v>4009032</v>
      </c>
      <c r="U3277">
        <v>12.28</v>
      </c>
      <c r="V3277">
        <v>12.27</v>
      </c>
      <c r="W3277">
        <v>12.23</v>
      </c>
      <c r="X3277" t="s">
        <v>868</v>
      </c>
      <c r="Y3277" t="s">
        <v>638</v>
      </c>
      <c r="Z3277">
        <v>10.19</v>
      </c>
      <c r="AA3277">
        <v>12.99</v>
      </c>
      <c r="AB3277">
        <v>2079408</v>
      </c>
      <c r="AC3277">
        <v>1929624</v>
      </c>
      <c r="AD3277">
        <v>1.08</v>
      </c>
      <c r="AE3277">
        <v>2483</v>
      </c>
      <c r="AF3277">
        <v>5985</v>
      </c>
      <c r="AG3277" t="s">
        <v>120</v>
      </c>
      <c r="AH3277">
        <v>0.41</v>
      </c>
      <c r="AI3277" t="s">
        <v>120</v>
      </c>
      <c r="AJ3277">
        <v>19.5</v>
      </c>
      <c r="AK3277" t="s">
        <v>14091</v>
      </c>
      <c r="AL3277">
        <v>1.34</v>
      </c>
      <c r="AM3277">
        <v>4738</v>
      </c>
      <c r="AN3277">
        <v>846</v>
      </c>
      <c r="AO3277">
        <v>4.3E-3</v>
      </c>
      <c r="AP3277">
        <v>0</v>
      </c>
      <c r="AQ3277">
        <v>8.39</v>
      </c>
      <c r="AR3277">
        <v>-0.56999999999999995</v>
      </c>
      <c r="AS3277">
        <v>16.3</v>
      </c>
      <c r="AT3277">
        <v>85.07</v>
      </c>
      <c r="AU3277">
        <v>138.25</v>
      </c>
      <c r="AV3277">
        <v>5</v>
      </c>
      <c r="AW3277">
        <v>24.24</v>
      </c>
      <c r="AX3277">
        <v>84.81</v>
      </c>
      <c r="AY3277">
        <v>16.3</v>
      </c>
      <c r="AZ3277">
        <v>47.18</v>
      </c>
      <c r="BA3277">
        <v>1.37</v>
      </c>
      <c r="BB3277" t="s">
        <v>184</v>
      </c>
      <c r="BF3277">
        <v>5.86</v>
      </c>
      <c r="BG3277">
        <v>-3.23</v>
      </c>
      <c r="BH3277">
        <v>-9.11</v>
      </c>
      <c r="BI3277">
        <v>0.16</v>
      </c>
      <c r="BJ3277">
        <v>20210826</v>
      </c>
      <c r="BK3277">
        <v>20100223</v>
      </c>
      <c r="BL3277">
        <v>19.5</v>
      </c>
      <c r="BM3277" t="s">
        <v>120</v>
      </c>
      <c r="BN3277" t="s">
        <v>120</v>
      </c>
      <c r="BO3277">
        <v>156.81</v>
      </c>
      <c r="BP3277">
        <v>12.27</v>
      </c>
      <c r="BQ3277">
        <v>94.61</v>
      </c>
      <c r="BR3277">
        <v>0.8</v>
      </c>
      <c r="BS3277">
        <v>39.15</v>
      </c>
      <c r="BT3277">
        <v>53.45</v>
      </c>
      <c r="BU3277">
        <v>45.04</v>
      </c>
      <c r="BV3277">
        <v>7.97</v>
      </c>
      <c r="BW3277">
        <v>45.2</v>
      </c>
      <c r="BX3277">
        <v>24.37</v>
      </c>
      <c r="BY3277">
        <v>5.01</v>
      </c>
      <c r="BZ3277">
        <v>1.74</v>
      </c>
      <c r="CA3277" t="s">
        <v>120</v>
      </c>
      <c r="CB3277">
        <v>25.53</v>
      </c>
      <c r="CC3277">
        <v>43.19</v>
      </c>
      <c r="CD3277">
        <v>27.11</v>
      </c>
      <c r="CE3277">
        <v>12.92</v>
      </c>
      <c r="CF3277">
        <v>0.43</v>
      </c>
      <c r="CG3277">
        <v>12.95</v>
      </c>
      <c r="CH3277">
        <v>9.8000000000000007</v>
      </c>
      <c r="CI3277">
        <v>9.7799999999999994</v>
      </c>
      <c r="CJ3277">
        <v>0</v>
      </c>
      <c r="CK3277">
        <v>9.64</v>
      </c>
      <c r="CL3277">
        <v>43.42</v>
      </c>
      <c r="CM3277">
        <v>12.36</v>
      </c>
      <c r="CN3277">
        <v>-1.83</v>
      </c>
      <c r="CO3277">
        <v>40527</v>
      </c>
      <c r="CP3277">
        <v>40813</v>
      </c>
      <c r="CQ3277" t="s">
        <v>14092</v>
      </c>
      <c r="CR3277">
        <v>5513.93</v>
      </c>
      <c r="CS3277">
        <v>58.75</v>
      </c>
      <c r="CT3277">
        <v>2.56</v>
      </c>
      <c r="CU3277">
        <v>19.36</v>
      </c>
      <c r="CV3277">
        <v>5.54</v>
      </c>
      <c r="CW3277">
        <v>0.79</v>
      </c>
      <c r="CX3277" t="s">
        <v>1426</v>
      </c>
      <c r="CY3277">
        <v>4.8</v>
      </c>
      <c r="CZ3277">
        <v>4.8</v>
      </c>
      <c r="DA3277">
        <v>1.31</v>
      </c>
      <c r="DB3277">
        <v>2.23</v>
      </c>
      <c r="DC3277">
        <v>0.63</v>
      </c>
      <c r="DD3277">
        <v>60.34</v>
      </c>
      <c r="DE3277" t="s">
        <v>14093</v>
      </c>
      <c r="DF3277">
        <v>37.229999999999997</v>
      </c>
      <c r="DG3277">
        <v>29.91</v>
      </c>
      <c r="DH3277">
        <v>22.65</v>
      </c>
      <c r="DI3277">
        <v>7.0000000000000007E-2</v>
      </c>
      <c r="DJ3277">
        <v>3346</v>
      </c>
      <c r="DK3277">
        <v>601678</v>
      </c>
      <c r="DL3277">
        <v>20210915</v>
      </c>
      <c r="DM3277">
        <v>12.06</v>
      </c>
      <c r="DN3277">
        <v>1.74</v>
      </c>
    </row>
    <row r="3278" spans="1:118">
      <c r="A3278" t="str">
        <f>"601686"</f>
        <v>601686</v>
      </c>
      <c r="B3278" t="s">
        <v>14094</v>
      </c>
      <c r="C3278">
        <v>1.92</v>
      </c>
      <c r="D3278">
        <v>0.09</v>
      </c>
      <c r="E3278">
        <v>0.38</v>
      </c>
      <c r="F3278">
        <v>696</v>
      </c>
      <c r="G3278" t="s">
        <v>8216</v>
      </c>
      <c r="H3278">
        <v>6697.53</v>
      </c>
      <c r="I3278">
        <v>6.16</v>
      </c>
      <c r="J3278" t="s">
        <v>120</v>
      </c>
      <c r="K3278" t="s">
        <v>8216</v>
      </c>
      <c r="L3278">
        <v>4.42</v>
      </c>
      <c r="M3278">
        <v>10.6</v>
      </c>
      <c r="N3278">
        <v>1.81</v>
      </c>
      <c r="O3278">
        <v>4.5199999999999996</v>
      </c>
      <c r="P3278">
        <v>10.87</v>
      </c>
      <c r="Q3278">
        <v>0.38</v>
      </c>
      <c r="R3278">
        <v>10.44</v>
      </c>
      <c r="S3278">
        <v>10.44</v>
      </c>
      <c r="T3278">
        <v>62703</v>
      </c>
      <c r="U3278">
        <v>10.6</v>
      </c>
      <c r="V3278">
        <v>10.4</v>
      </c>
      <c r="W3278">
        <v>12.79</v>
      </c>
      <c r="X3278" t="s">
        <v>1925</v>
      </c>
      <c r="Y3278" t="s">
        <v>997</v>
      </c>
      <c r="Z3278">
        <v>4.13</v>
      </c>
      <c r="AA3278">
        <v>10.68</v>
      </c>
      <c r="AB3278">
        <v>28073</v>
      </c>
      <c r="AC3278">
        <v>34630</v>
      </c>
      <c r="AD3278">
        <v>0.81</v>
      </c>
      <c r="AE3278">
        <v>522</v>
      </c>
      <c r="AF3278">
        <v>593</v>
      </c>
      <c r="AG3278" t="s">
        <v>120</v>
      </c>
      <c r="AH3278">
        <v>0</v>
      </c>
      <c r="AI3278" t="s">
        <v>120</v>
      </c>
      <c r="AJ3278">
        <v>1.42</v>
      </c>
      <c r="AK3278" t="s">
        <v>14095</v>
      </c>
      <c r="AL3278">
        <v>3.27</v>
      </c>
      <c r="AM3278">
        <v>1975</v>
      </c>
      <c r="AN3278">
        <v>32</v>
      </c>
      <c r="AO3278">
        <v>2.2000000000000001E-3</v>
      </c>
      <c r="AP3278">
        <v>2</v>
      </c>
      <c r="AQ3278">
        <v>0.48</v>
      </c>
      <c r="AR3278">
        <v>0</v>
      </c>
      <c r="AS3278">
        <v>3.12</v>
      </c>
      <c r="AT3278">
        <v>-6.36</v>
      </c>
      <c r="AU3278">
        <v>-11.14</v>
      </c>
      <c r="AV3278">
        <v>1</v>
      </c>
      <c r="AW3278">
        <v>4.42</v>
      </c>
      <c r="AX3278">
        <v>9.8699999999999992</v>
      </c>
      <c r="AY3278">
        <v>17.16</v>
      </c>
      <c r="AZ3278">
        <v>13.09</v>
      </c>
      <c r="BA3278">
        <v>0.72</v>
      </c>
      <c r="BB3278" t="s">
        <v>143</v>
      </c>
      <c r="BF3278">
        <v>2.7</v>
      </c>
      <c r="BG3278">
        <v>1.53</v>
      </c>
      <c r="BH3278">
        <v>-2.48</v>
      </c>
      <c r="BI3278">
        <v>1.53</v>
      </c>
      <c r="BJ3278">
        <v>20210825</v>
      </c>
      <c r="BK3278">
        <v>20201204</v>
      </c>
      <c r="BL3278">
        <v>14.39</v>
      </c>
      <c r="BM3278" t="s">
        <v>120</v>
      </c>
      <c r="BN3278" t="s">
        <v>120</v>
      </c>
      <c r="BO3278">
        <v>143.09</v>
      </c>
      <c r="BP3278">
        <v>10.59</v>
      </c>
      <c r="BQ3278">
        <v>62.3</v>
      </c>
      <c r="BR3278">
        <v>8.1199999999999992</v>
      </c>
      <c r="BS3278">
        <v>50.78</v>
      </c>
      <c r="BT3278">
        <v>96.61</v>
      </c>
      <c r="BU3278">
        <v>26.38</v>
      </c>
      <c r="BV3278">
        <v>7.01</v>
      </c>
      <c r="BW3278">
        <v>68.84</v>
      </c>
      <c r="BX3278">
        <v>32.92</v>
      </c>
      <c r="BY3278">
        <v>38.85</v>
      </c>
      <c r="BZ3278">
        <v>8.52</v>
      </c>
      <c r="CA3278" t="s">
        <v>120</v>
      </c>
      <c r="CB3278">
        <v>19.739999999999998</v>
      </c>
      <c r="CC3278">
        <v>290.02</v>
      </c>
      <c r="CD3278">
        <v>277.7</v>
      </c>
      <c r="CE3278">
        <v>8.17</v>
      </c>
      <c r="CF3278">
        <v>-0.19</v>
      </c>
      <c r="CG3278">
        <v>8.17</v>
      </c>
      <c r="CH3278">
        <v>6.1</v>
      </c>
      <c r="CI3278">
        <v>5.96</v>
      </c>
      <c r="CJ3278">
        <v>0.2</v>
      </c>
      <c r="CK3278">
        <v>6.04</v>
      </c>
      <c r="CL3278">
        <v>27.35</v>
      </c>
      <c r="CM3278">
        <v>-3.27</v>
      </c>
      <c r="CN3278">
        <v>-3.95</v>
      </c>
      <c r="CO3278">
        <v>47176</v>
      </c>
      <c r="CP3278">
        <v>3010</v>
      </c>
      <c r="CQ3278" t="s">
        <v>3982</v>
      </c>
      <c r="CR3278">
        <v>-31.29</v>
      </c>
      <c r="CS3278">
        <v>38.06</v>
      </c>
      <c r="CT3278">
        <v>2.4500000000000002</v>
      </c>
      <c r="CU3278">
        <v>-46.69</v>
      </c>
      <c r="CV3278">
        <v>0.53</v>
      </c>
      <c r="CW3278">
        <v>0</v>
      </c>
      <c r="CX3278" t="s">
        <v>1327</v>
      </c>
      <c r="CY3278">
        <v>4.33</v>
      </c>
      <c r="CZ3278">
        <v>0</v>
      </c>
      <c r="DA3278">
        <v>1.37</v>
      </c>
      <c r="DB3278">
        <v>1.9</v>
      </c>
      <c r="DC3278">
        <v>-0.23</v>
      </c>
      <c r="DD3278">
        <v>43.54</v>
      </c>
      <c r="DE3278" t="s">
        <v>14096</v>
      </c>
      <c r="DF3278">
        <v>4.25</v>
      </c>
      <c r="DG3278">
        <v>2.82</v>
      </c>
      <c r="DH3278">
        <v>2.06</v>
      </c>
      <c r="DI3278">
        <v>0.03</v>
      </c>
      <c r="DJ3278">
        <v>11640</v>
      </c>
      <c r="DK3278">
        <v>601686</v>
      </c>
      <c r="DL3278" t="s">
        <v>120</v>
      </c>
      <c r="DM3278" t="s">
        <v>120</v>
      </c>
      <c r="DN3278" t="s">
        <v>120</v>
      </c>
    </row>
    <row r="3279" spans="1:118">
      <c r="A3279" t="str">
        <f>"601688"</f>
        <v>601688</v>
      </c>
      <c r="B3279" t="s">
        <v>14097</v>
      </c>
      <c r="C3279">
        <v>-2.27</v>
      </c>
      <c r="D3279">
        <v>0</v>
      </c>
      <c r="E3279">
        <v>1.1100000000000001</v>
      </c>
      <c r="F3279">
        <v>13838</v>
      </c>
      <c r="G3279" t="s">
        <v>14098</v>
      </c>
      <c r="H3279">
        <v>280316.26</v>
      </c>
      <c r="I3279">
        <v>1278.47</v>
      </c>
      <c r="J3279" t="s">
        <v>120</v>
      </c>
      <c r="K3279" t="s">
        <v>14099</v>
      </c>
      <c r="L3279">
        <v>2.14</v>
      </c>
      <c r="M3279">
        <v>17.68</v>
      </c>
      <c r="N3279">
        <v>0.87</v>
      </c>
      <c r="O3279">
        <v>1.1100000000000001</v>
      </c>
      <c r="P3279">
        <v>18.29</v>
      </c>
      <c r="Q3279">
        <v>-2.82</v>
      </c>
      <c r="R3279">
        <v>17.579999999999998</v>
      </c>
      <c r="S3279">
        <v>18.29</v>
      </c>
      <c r="T3279">
        <v>1567450</v>
      </c>
      <c r="U3279">
        <v>17.68</v>
      </c>
      <c r="V3279">
        <v>18.09</v>
      </c>
      <c r="W3279">
        <v>10.33</v>
      </c>
      <c r="X3279" t="s">
        <v>616</v>
      </c>
      <c r="Y3279" t="s">
        <v>319</v>
      </c>
      <c r="Z3279">
        <v>3.92</v>
      </c>
      <c r="AA3279">
        <v>17.88</v>
      </c>
      <c r="AB3279">
        <v>760015</v>
      </c>
      <c r="AC3279">
        <v>807435</v>
      </c>
      <c r="AD3279">
        <v>0.94</v>
      </c>
      <c r="AE3279">
        <v>4339</v>
      </c>
      <c r="AF3279">
        <v>483</v>
      </c>
      <c r="AG3279" t="s">
        <v>120</v>
      </c>
      <c r="AH3279">
        <v>0.01</v>
      </c>
      <c r="AI3279" t="s">
        <v>120</v>
      </c>
      <c r="AJ3279">
        <v>73.12</v>
      </c>
      <c r="AK3279" t="s">
        <v>14100</v>
      </c>
      <c r="AL3279">
        <v>-0.92</v>
      </c>
      <c r="AM3279">
        <v>4736</v>
      </c>
      <c r="AN3279">
        <v>331</v>
      </c>
      <c r="AO3279">
        <v>5.0000000000000001E-4</v>
      </c>
      <c r="AP3279">
        <v>-3</v>
      </c>
      <c r="AQ3279">
        <v>-2.5299999999999998</v>
      </c>
      <c r="AR3279">
        <v>-7.67</v>
      </c>
      <c r="AS3279">
        <v>9.61</v>
      </c>
      <c r="AT3279">
        <v>14.73</v>
      </c>
      <c r="AU3279">
        <v>0.4</v>
      </c>
      <c r="AV3279">
        <v>0</v>
      </c>
      <c r="AW3279">
        <v>3.02</v>
      </c>
      <c r="AX3279">
        <v>70.540000000000006</v>
      </c>
      <c r="AY3279">
        <v>13.47</v>
      </c>
      <c r="AZ3279">
        <v>15.17</v>
      </c>
      <c r="BA3279">
        <v>1.32</v>
      </c>
      <c r="BB3279" t="s">
        <v>143</v>
      </c>
      <c r="BF3279">
        <v>-1.1399999999999999</v>
      </c>
      <c r="BG3279">
        <v>-3.34</v>
      </c>
      <c r="BH3279">
        <v>-3.34</v>
      </c>
      <c r="BI3279">
        <v>0.56999999999999995</v>
      </c>
      <c r="BJ3279">
        <v>20210830</v>
      </c>
      <c r="BK3279">
        <v>20100226</v>
      </c>
      <c r="BL3279">
        <v>90.77</v>
      </c>
      <c r="BM3279" t="s">
        <v>120</v>
      </c>
      <c r="BN3279">
        <v>17.190000000000001</v>
      </c>
      <c r="BO3279">
        <v>7901.11</v>
      </c>
      <c r="BP3279">
        <v>17.670000000000002</v>
      </c>
      <c r="BQ3279">
        <v>1328.27</v>
      </c>
      <c r="BR3279">
        <v>33.64</v>
      </c>
      <c r="BS3279">
        <v>82.76</v>
      </c>
      <c r="BT3279">
        <v>0</v>
      </c>
      <c r="BU3279">
        <v>37.630000000000003</v>
      </c>
      <c r="BV3279">
        <v>53.95</v>
      </c>
      <c r="BW3279">
        <v>0</v>
      </c>
      <c r="BX3279">
        <v>1855.21</v>
      </c>
      <c r="BY3279">
        <v>0</v>
      </c>
      <c r="BZ3279">
        <v>0</v>
      </c>
      <c r="CA3279" t="s">
        <v>120</v>
      </c>
      <c r="CB3279">
        <v>704.01</v>
      </c>
      <c r="CC3279">
        <v>182.33</v>
      </c>
      <c r="CD3279">
        <v>0</v>
      </c>
      <c r="CE3279">
        <v>100.43</v>
      </c>
      <c r="CF3279">
        <v>64.33</v>
      </c>
      <c r="CG3279">
        <v>100.37</v>
      </c>
      <c r="CH3279">
        <v>78.87</v>
      </c>
      <c r="CI3279">
        <v>77.7</v>
      </c>
      <c r="CJ3279">
        <v>-0.41</v>
      </c>
      <c r="CK3279">
        <v>77.2</v>
      </c>
      <c r="CL3279">
        <v>331.03</v>
      </c>
      <c r="CM3279">
        <v>-158.44</v>
      </c>
      <c r="CN3279">
        <v>195.98</v>
      </c>
      <c r="CO3279">
        <v>346778</v>
      </c>
      <c r="CP3279">
        <v>14966</v>
      </c>
      <c r="CQ3279" t="s">
        <v>14101</v>
      </c>
      <c r="CR3279">
        <v>21.32</v>
      </c>
      <c r="CS3279">
        <v>17.32</v>
      </c>
      <c r="CT3279">
        <v>1.21</v>
      </c>
      <c r="CU3279">
        <v>-10.130000000000001</v>
      </c>
      <c r="CV3279">
        <v>8.8000000000000007</v>
      </c>
      <c r="CW3279">
        <v>2.2000000000000002</v>
      </c>
      <c r="CX3279" t="s">
        <v>10202</v>
      </c>
      <c r="CY3279">
        <v>14.63</v>
      </c>
      <c r="CZ3279">
        <v>0</v>
      </c>
      <c r="DA3279">
        <v>7.76</v>
      </c>
      <c r="DB3279">
        <v>3.65</v>
      </c>
      <c r="DC3279">
        <v>-1.75</v>
      </c>
      <c r="DD3279">
        <v>16.809999999999999</v>
      </c>
      <c r="DE3279" t="s">
        <v>1048</v>
      </c>
      <c r="DF3279" t="s">
        <v>120</v>
      </c>
      <c r="DG3279">
        <v>55.08</v>
      </c>
      <c r="DH3279">
        <v>42.62</v>
      </c>
      <c r="DI3279" t="s">
        <v>120</v>
      </c>
      <c r="DJ3279">
        <v>11610</v>
      </c>
      <c r="DK3279">
        <v>601688</v>
      </c>
      <c r="DL3279" t="s">
        <v>120</v>
      </c>
      <c r="DM3279" t="s">
        <v>120</v>
      </c>
      <c r="DN3279" t="s">
        <v>120</v>
      </c>
    </row>
    <row r="3280" spans="1:118">
      <c r="A3280" t="str">
        <f>"601689"</f>
        <v>601689</v>
      </c>
      <c r="B3280" t="s">
        <v>14102</v>
      </c>
      <c r="C3280">
        <v>-4.0199999999999996</v>
      </c>
      <c r="D3280">
        <v>-0.42</v>
      </c>
      <c r="E3280">
        <v>-0.56000000000000005</v>
      </c>
      <c r="F3280">
        <v>1975</v>
      </c>
      <c r="G3280" t="s">
        <v>14103</v>
      </c>
      <c r="H3280">
        <v>25432.9</v>
      </c>
      <c r="I3280">
        <v>76.87</v>
      </c>
      <c r="J3280" t="s">
        <v>120</v>
      </c>
      <c r="K3280" t="s">
        <v>14104</v>
      </c>
      <c r="L3280">
        <v>0.66</v>
      </c>
      <c r="M3280">
        <v>34.35</v>
      </c>
      <c r="N3280">
        <v>0.75</v>
      </c>
      <c r="O3280">
        <v>0</v>
      </c>
      <c r="P3280">
        <v>35.79</v>
      </c>
      <c r="Q3280">
        <v>-4.3899999999999997</v>
      </c>
      <c r="R3280">
        <v>34.22</v>
      </c>
      <c r="S3280">
        <v>35.590000000000003</v>
      </c>
      <c r="T3280">
        <v>73135</v>
      </c>
      <c r="U3280">
        <v>34.36</v>
      </c>
      <c r="V3280">
        <v>35.79</v>
      </c>
      <c r="W3280">
        <v>41.17</v>
      </c>
      <c r="X3280" t="s">
        <v>289</v>
      </c>
      <c r="Y3280" t="s">
        <v>585</v>
      </c>
      <c r="Z3280">
        <v>4.3899999999999997</v>
      </c>
      <c r="AA3280">
        <v>34.78</v>
      </c>
      <c r="AB3280">
        <v>40894</v>
      </c>
      <c r="AC3280">
        <v>32241</v>
      </c>
      <c r="AD3280">
        <v>1.27</v>
      </c>
      <c r="AE3280">
        <v>40</v>
      </c>
      <c r="AF3280">
        <v>93</v>
      </c>
      <c r="AG3280" t="s">
        <v>120</v>
      </c>
      <c r="AH3280">
        <v>0.01</v>
      </c>
      <c r="AI3280" t="s">
        <v>120</v>
      </c>
      <c r="AJ3280">
        <v>11.02</v>
      </c>
      <c r="AK3280" t="s">
        <v>14104</v>
      </c>
      <c r="AL3280">
        <v>-2.68</v>
      </c>
      <c r="AM3280">
        <v>3720</v>
      </c>
      <c r="AN3280">
        <v>20</v>
      </c>
      <c r="AO3280">
        <v>2.0000000000000001E-4</v>
      </c>
      <c r="AP3280">
        <v>-5</v>
      </c>
      <c r="AQ3280">
        <v>-0.75</v>
      </c>
      <c r="AR3280">
        <v>-7.09</v>
      </c>
      <c r="AS3280">
        <v>-9.5299999999999994</v>
      </c>
      <c r="AT3280">
        <v>-14.48</v>
      </c>
      <c r="AU3280">
        <v>-10.210000000000001</v>
      </c>
      <c r="AV3280">
        <v>2</v>
      </c>
      <c r="AW3280">
        <v>1.82</v>
      </c>
      <c r="AX3280">
        <v>36.4</v>
      </c>
      <c r="AY3280">
        <v>45.24</v>
      </c>
      <c r="AZ3280">
        <v>62.79</v>
      </c>
      <c r="BA3280">
        <v>0.93</v>
      </c>
      <c r="BB3280" t="s">
        <v>240</v>
      </c>
      <c r="BF3280">
        <v>-2.84</v>
      </c>
      <c r="BG3280">
        <v>-3.48</v>
      </c>
      <c r="BH3280">
        <v>-4.0199999999999996</v>
      </c>
      <c r="BI3280">
        <v>0.38</v>
      </c>
      <c r="BJ3280">
        <v>20210820</v>
      </c>
      <c r="BK3280">
        <v>20150319</v>
      </c>
      <c r="BL3280">
        <v>11.02</v>
      </c>
      <c r="BM3280" t="s">
        <v>120</v>
      </c>
      <c r="BN3280" t="s">
        <v>120</v>
      </c>
      <c r="BO3280">
        <v>156.16</v>
      </c>
      <c r="BP3280">
        <v>34.35</v>
      </c>
      <c r="BQ3280">
        <v>100.37</v>
      </c>
      <c r="BR3280">
        <v>0.35</v>
      </c>
      <c r="BS3280">
        <v>35.5</v>
      </c>
      <c r="BT3280">
        <v>75.790000000000006</v>
      </c>
      <c r="BU3280">
        <v>46.13</v>
      </c>
      <c r="BV3280">
        <v>8.64</v>
      </c>
      <c r="BW3280">
        <v>52.56</v>
      </c>
      <c r="BX3280">
        <v>18.22</v>
      </c>
      <c r="BY3280">
        <v>16.11</v>
      </c>
      <c r="BZ3280">
        <v>22.11</v>
      </c>
      <c r="CA3280" t="s">
        <v>120</v>
      </c>
      <c r="CB3280">
        <v>53.41</v>
      </c>
      <c r="CC3280">
        <v>49.17</v>
      </c>
      <c r="CD3280">
        <v>38.909999999999997</v>
      </c>
      <c r="CE3280">
        <v>5.38</v>
      </c>
      <c r="CF3280">
        <v>0.13</v>
      </c>
      <c r="CG3280">
        <v>5.44</v>
      </c>
      <c r="CH3280">
        <v>4.63</v>
      </c>
      <c r="CI3280">
        <v>4.5999999999999996</v>
      </c>
      <c r="CJ3280">
        <v>-1.44</v>
      </c>
      <c r="CK3280">
        <v>4.45</v>
      </c>
      <c r="CL3280">
        <v>31.39</v>
      </c>
      <c r="CM3280">
        <v>7.45</v>
      </c>
      <c r="CN3280">
        <v>10.32</v>
      </c>
      <c r="CO3280">
        <v>32899</v>
      </c>
      <c r="CP3280">
        <v>12194</v>
      </c>
      <c r="CQ3280" t="s">
        <v>14105</v>
      </c>
      <c r="CR3280">
        <v>112.84</v>
      </c>
      <c r="CS3280">
        <v>91.91</v>
      </c>
      <c r="CT3280">
        <v>3.77</v>
      </c>
      <c r="CU3280">
        <v>50.79</v>
      </c>
      <c r="CV3280">
        <v>7.7</v>
      </c>
      <c r="CW3280">
        <v>0.48</v>
      </c>
      <c r="CX3280" t="s">
        <v>1327</v>
      </c>
      <c r="CY3280">
        <v>9.11</v>
      </c>
      <c r="CZ3280">
        <v>0</v>
      </c>
      <c r="DA3280">
        <v>4.8499999999999996</v>
      </c>
      <c r="DB3280">
        <v>2.85</v>
      </c>
      <c r="DC3280">
        <v>0.68</v>
      </c>
      <c r="DD3280">
        <v>64.28</v>
      </c>
      <c r="DE3280" t="s">
        <v>6891</v>
      </c>
      <c r="DF3280">
        <v>20.87</v>
      </c>
      <c r="DG3280">
        <v>10.94</v>
      </c>
      <c r="DH3280">
        <v>9.35</v>
      </c>
      <c r="DI3280">
        <v>2.34</v>
      </c>
      <c r="DJ3280">
        <v>9118</v>
      </c>
      <c r="DK3280">
        <v>601689</v>
      </c>
      <c r="DL3280" t="s">
        <v>120</v>
      </c>
      <c r="DM3280" t="s">
        <v>120</v>
      </c>
      <c r="DN3280" t="s">
        <v>120</v>
      </c>
    </row>
    <row r="3281" spans="1:118">
      <c r="A3281" t="str">
        <f>"601696"</f>
        <v>601696</v>
      </c>
      <c r="B3281" t="s">
        <v>14106</v>
      </c>
      <c r="C3281">
        <v>2.8</v>
      </c>
      <c r="D3281">
        <v>-0.05</v>
      </c>
      <c r="E3281">
        <v>1.17</v>
      </c>
      <c r="F3281">
        <v>8736</v>
      </c>
      <c r="G3281" t="s">
        <v>14107</v>
      </c>
      <c r="H3281">
        <v>110156.87</v>
      </c>
      <c r="I3281">
        <v>480.8</v>
      </c>
      <c r="J3281" t="s">
        <v>120</v>
      </c>
      <c r="K3281" t="s">
        <v>14108</v>
      </c>
      <c r="L3281">
        <v>4.71</v>
      </c>
      <c r="M3281">
        <v>15.81</v>
      </c>
      <c r="N3281">
        <v>2.5099999999999998</v>
      </c>
      <c r="O3281">
        <v>7.87</v>
      </c>
      <c r="P3281">
        <v>16.59</v>
      </c>
      <c r="Q3281">
        <v>1.17</v>
      </c>
      <c r="R3281">
        <v>15.56</v>
      </c>
      <c r="S3281">
        <v>15.56</v>
      </c>
      <c r="T3281">
        <v>684227</v>
      </c>
      <c r="U3281">
        <v>15.82</v>
      </c>
      <c r="V3281">
        <v>15.38</v>
      </c>
      <c r="W3281">
        <v>35.69</v>
      </c>
      <c r="X3281" t="s">
        <v>616</v>
      </c>
      <c r="Y3281" t="s">
        <v>1510</v>
      </c>
      <c r="Z3281">
        <v>6.7</v>
      </c>
      <c r="AA3281">
        <v>16.100000000000001</v>
      </c>
      <c r="AB3281">
        <v>295253</v>
      </c>
      <c r="AC3281">
        <v>388974</v>
      </c>
      <c r="AD3281">
        <v>0.76</v>
      </c>
      <c r="AE3281">
        <v>2043</v>
      </c>
      <c r="AF3281">
        <v>561</v>
      </c>
      <c r="AG3281" t="s">
        <v>120</v>
      </c>
      <c r="AH3281">
        <v>0.03</v>
      </c>
      <c r="AI3281" t="s">
        <v>120</v>
      </c>
      <c r="AJ3281">
        <v>14.52</v>
      </c>
      <c r="AK3281" t="s">
        <v>14109</v>
      </c>
      <c r="AL3281">
        <v>4.1399999999999997</v>
      </c>
      <c r="AM3281">
        <v>4531</v>
      </c>
      <c r="AN3281">
        <v>151</v>
      </c>
      <c r="AO3281">
        <v>1E-3</v>
      </c>
      <c r="AP3281">
        <v>1</v>
      </c>
      <c r="AQ3281">
        <v>-0.26</v>
      </c>
      <c r="AR3281">
        <v>-0.75</v>
      </c>
      <c r="AS3281">
        <v>3.54</v>
      </c>
      <c r="AT3281">
        <v>-13.15</v>
      </c>
      <c r="AU3281">
        <v>-42.68</v>
      </c>
      <c r="AV3281">
        <v>3</v>
      </c>
      <c r="AW3281">
        <v>6.47</v>
      </c>
      <c r="AX3281">
        <v>38.07</v>
      </c>
      <c r="AY3281">
        <v>46.03</v>
      </c>
      <c r="AZ3281">
        <v>48.37</v>
      </c>
      <c r="BA3281">
        <v>1.8</v>
      </c>
      <c r="BB3281" t="s">
        <v>143</v>
      </c>
      <c r="BF3281">
        <v>4.68</v>
      </c>
      <c r="BG3281">
        <v>1.61</v>
      </c>
      <c r="BH3281">
        <v>-4.7</v>
      </c>
      <c r="BI3281">
        <v>1.61</v>
      </c>
      <c r="BJ3281">
        <v>20210831</v>
      </c>
      <c r="BK3281">
        <v>20200226</v>
      </c>
      <c r="BL3281">
        <v>27.78</v>
      </c>
      <c r="BM3281" t="s">
        <v>120</v>
      </c>
      <c r="BN3281" t="s">
        <v>120</v>
      </c>
      <c r="BO3281">
        <v>598.86</v>
      </c>
      <c r="BP3281">
        <v>15.81</v>
      </c>
      <c r="BQ3281">
        <v>153.47</v>
      </c>
      <c r="BR3281">
        <v>7.0000000000000007E-2</v>
      </c>
      <c r="BS3281">
        <v>74.36</v>
      </c>
      <c r="BT3281">
        <v>0</v>
      </c>
      <c r="BU3281">
        <v>0.82</v>
      </c>
      <c r="BV3281">
        <v>1.2</v>
      </c>
      <c r="BW3281">
        <v>0</v>
      </c>
      <c r="BX3281">
        <v>241.06</v>
      </c>
      <c r="BY3281">
        <v>0</v>
      </c>
      <c r="BZ3281">
        <v>0</v>
      </c>
      <c r="CA3281" t="s">
        <v>120</v>
      </c>
      <c r="CB3281">
        <v>73.41</v>
      </c>
      <c r="CC3281">
        <v>16.059999999999999</v>
      </c>
      <c r="CD3281">
        <v>0</v>
      </c>
      <c r="CE3281">
        <v>7.75</v>
      </c>
      <c r="CF3281">
        <v>1.3</v>
      </c>
      <c r="CG3281">
        <v>7.75</v>
      </c>
      <c r="CH3281">
        <v>6.16</v>
      </c>
      <c r="CI3281">
        <v>6.15</v>
      </c>
      <c r="CJ3281">
        <v>0.43</v>
      </c>
      <c r="CK3281">
        <v>5.25</v>
      </c>
      <c r="CL3281">
        <v>20.309999999999999</v>
      </c>
      <c r="CM3281">
        <v>50.56</v>
      </c>
      <c r="CN3281">
        <v>44.57</v>
      </c>
      <c r="CO3281">
        <v>116915</v>
      </c>
      <c r="CP3281">
        <v>9045</v>
      </c>
      <c r="CQ3281" t="s">
        <v>433</v>
      </c>
      <c r="CR3281">
        <v>7.88</v>
      </c>
      <c r="CS3281">
        <v>-2.98</v>
      </c>
      <c r="CT3281">
        <v>2.86</v>
      </c>
      <c r="CU3281">
        <v>8.69</v>
      </c>
      <c r="CV3281">
        <v>27.34</v>
      </c>
      <c r="CW3281">
        <v>0.62</v>
      </c>
      <c r="CX3281" t="s">
        <v>3361</v>
      </c>
      <c r="CY3281">
        <v>5.52</v>
      </c>
      <c r="CZ3281">
        <v>0</v>
      </c>
      <c r="DA3281">
        <v>2.64</v>
      </c>
      <c r="DB3281">
        <v>0.73</v>
      </c>
      <c r="DC3281">
        <v>1.82</v>
      </c>
      <c r="DD3281">
        <v>25.63</v>
      </c>
      <c r="DE3281" t="s">
        <v>2935</v>
      </c>
      <c r="DF3281" t="s">
        <v>120</v>
      </c>
      <c r="DG3281">
        <v>48.25</v>
      </c>
      <c r="DH3281">
        <v>38.299999999999997</v>
      </c>
      <c r="DI3281" t="s">
        <v>120</v>
      </c>
      <c r="DJ3281">
        <v>2868</v>
      </c>
      <c r="DK3281">
        <v>601696</v>
      </c>
      <c r="DL3281" t="s">
        <v>120</v>
      </c>
      <c r="DM3281" t="s">
        <v>120</v>
      </c>
      <c r="DN3281" t="s">
        <v>120</v>
      </c>
    </row>
    <row r="3282" spans="1:118">
      <c r="A3282" t="str">
        <f>"601698"</f>
        <v>601698</v>
      </c>
      <c r="B3282" t="s">
        <v>14110</v>
      </c>
      <c r="C3282">
        <v>-3.4</v>
      </c>
      <c r="D3282">
        <v>-0.12</v>
      </c>
      <c r="E3282">
        <v>-0.38</v>
      </c>
      <c r="F3282">
        <v>2354</v>
      </c>
      <c r="G3282" t="s">
        <v>14111</v>
      </c>
      <c r="H3282">
        <v>41014.589999999997</v>
      </c>
      <c r="I3282">
        <v>103.81</v>
      </c>
      <c r="J3282" t="s">
        <v>120</v>
      </c>
      <c r="K3282" t="s">
        <v>14111</v>
      </c>
      <c r="L3282">
        <v>6.38</v>
      </c>
      <c r="M3282">
        <v>15.32</v>
      </c>
      <c r="N3282">
        <v>0.71</v>
      </c>
      <c r="O3282">
        <v>2.9</v>
      </c>
      <c r="P3282">
        <v>16.32</v>
      </c>
      <c r="Q3282">
        <v>-3.53</v>
      </c>
      <c r="R3282">
        <v>15.3</v>
      </c>
      <c r="S3282">
        <v>15.8</v>
      </c>
      <c r="T3282">
        <v>260007</v>
      </c>
      <c r="U3282">
        <v>15.32</v>
      </c>
      <c r="V3282">
        <v>15.86</v>
      </c>
      <c r="W3282">
        <v>120.12</v>
      </c>
      <c r="X3282" t="s">
        <v>3322</v>
      </c>
      <c r="Y3282" t="s">
        <v>158</v>
      </c>
      <c r="Z3282">
        <v>6.43</v>
      </c>
      <c r="AA3282">
        <v>15.77</v>
      </c>
      <c r="AB3282">
        <v>154813</v>
      </c>
      <c r="AC3282">
        <v>105194</v>
      </c>
      <c r="AD3282">
        <v>1.47</v>
      </c>
      <c r="AE3282">
        <v>371</v>
      </c>
      <c r="AF3282">
        <v>24</v>
      </c>
      <c r="AG3282" t="s">
        <v>120</v>
      </c>
      <c r="AH3282">
        <v>0.02</v>
      </c>
      <c r="AI3282" t="s">
        <v>120</v>
      </c>
      <c r="AJ3282">
        <v>4.08</v>
      </c>
      <c r="AK3282" t="s">
        <v>14112</v>
      </c>
      <c r="AL3282">
        <v>-2.06</v>
      </c>
      <c r="AM3282">
        <v>4126</v>
      </c>
      <c r="AN3282">
        <v>63</v>
      </c>
      <c r="AO3282">
        <v>1.5E-3</v>
      </c>
      <c r="AP3282">
        <v>-5</v>
      </c>
      <c r="AQ3282">
        <v>-2.34</v>
      </c>
      <c r="AR3282">
        <v>-9.08</v>
      </c>
      <c r="AS3282">
        <v>9.9700000000000006</v>
      </c>
      <c r="AT3282">
        <v>-5.14</v>
      </c>
      <c r="AU3282">
        <v>-15.43</v>
      </c>
      <c r="AV3282">
        <v>2</v>
      </c>
      <c r="AW3282">
        <v>6.38</v>
      </c>
      <c r="AX3282">
        <v>10.19</v>
      </c>
      <c r="AY3282">
        <v>114.76</v>
      </c>
      <c r="AZ3282">
        <v>129.79</v>
      </c>
      <c r="BA3282">
        <v>1.07</v>
      </c>
      <c r="BB3282" t="s">
        <v>240</v>
      </c>
      <c r="BF3282">
        <v>-0.54</v>
      </c>
      <c r="BG3282">
        <v>-3.04</v>
      </c>
      <c r="BH3282">
        <v>-6.13</v>
      </c>
      <c r="BI3282">
        <v>0.13</v>
      </c>
      <c r="BJ3282">
        <v>20210827</v>
      </c>
      <c r="BK3282">
        <v>20190628</v>
      </c>
      <c r="BL3282">
        <v>40</v>
      </c>
      <c r="BM3282" t="s">
        <v>120</v>
      </c>
      <c r="BN3282" t="s">
        <v>120</v>
      </c>
      <c r="BO3282">
        <v>183.72</v>
      </c>
      <c r="BP3282">
        <v>15.31</v>
      </c>
      <c r="BQ3282">
        <v>117.24</v>
      </c>
      <c r="BR3282">
        <v>38.07</v>
      </c>
      <c r="BS3282">
        <v>15.46</v>
      </c>
      <c r="BT3282">
        <v>63.86</v>
      </c>
      <c r="BU3282">
        <v>73.19</v>
      </c>
      <c r="BV3282">
        <v>13.32</v>
      </c>
      <c r="BW3282">
        <v>16.72</v>
      </c>
      <c r="BX3282">
        <v>39.950000000000003</v>
      </c>
      <c r="BY3282">
        <v>0.09</v>
      </c>
      <c r="BZ3282">
        <v>7.45</v>
      </c>
      <c r="CA3282" t="s">
        <v>120</v>
      </c>
      <c r="CB3282">
        <v>58.75</v>
      </c>
      <c r="CC3282">
        <v>12.37</v>
      </c>
      <c r="CD3282">
        <v>7.83</v>
      </c>
      <c r="CE3282">
        <v>3.56</v>
      </c>
      <c r="CF3282">
        <v>-0.1</v>
      </c>
      <c r="CG3282">
        <v>3.6</v>
      </c>
      <c r="CH3282">
        <v>3.22</v>
      </c>
      <c r="CI3282">
        <v>2.5499999999999998</v>
      </c>
      <c r="CJ3282">
        <v>-0.54</v>
      </c>
      <c r="CK3282">
        <v>2.31</v>
      </c>
      <c r="CL3282">
        <v>16.62</v>
      </c>
      <c r="CM3282">
        <v>3.11</v>
      </c>
      <c r="CN3282">
        <v>-0.25</v>
      </c>
      <c r="CO3282">
        <v>96783</v>
      </c>
      <c r="CP3282">
        <v>4212</v>
      </c>
      <c r="CQ3282" t="s">
        <v>10636</v>
      </c>
      <c r="CR3282">
        <v>33.5</v>
      </c>
      <c r="CS3282">
        <v>-1.89</v>
      </c>
      <c r="CT3282">
        <v>5.23</v>
      </c>
      <c r="CU3282">
        <v>196.96</v>
      </c>
      <c r="CV3282">
        <v>49.54</v>
      </c>
      <c r="CW3282">
        <v>0.16</v>
      </c>
      <c r="CX3282" t="s">
        <v>1334</v>
      </c>
      <c r="CY3282">
        <v>2.93</v>
      </c>
      <c r="CZ3282">
        <v>0</v>
      </c>
      <c r="DA3282">
        <v>1.47</v>
      </c>
      <c r="DB3282">
        <v>0.42</v>
      </c>
      <c r="DC3282">
        <v>0.08</v>
      </c>
      <c r="DD3282">
        <v>63.81</v>
      </c>
      <c r="DE3282" t="s">
        <v>1909</v>
      </c>
      <c r="DF3282">
        <v>36.700000000000003</v>
      </c>
      <c r="DG3282">
        <v>28.8</v>
      </c>
      <c r="DH3282">
        <v>20.62</v>
      </c>
      <c r="DI3282">
        <v>0.26</v>
      </c>
      <c r="DJ3282">
        <v>556</v>
      </c>
      <c r="DK3282">
        <v>601698</v>
      </c>
      <c r="DL3282" t="s">
        <v>120</v>
      </c>
      <c r="DM3282" t="s">
        <v>120</v>
      </c>
      <c r="DN3282" t="s">
        <v>120</v>
      </c>
    </row>
    <row r="3283" spans="1:118">
      <c r="A3283" t="str">
        <f>"601699"</f>
        <v>601699</v>
      </c>
      <c r="B3283" t="s">
        <v>14113</v>
      </c>
      <c r="C3283">
        <v>0.45</v>
      </c>
      <c r="D3283">
        <v>-0.27</v>
      </c>
      <c r="E3283">
        <v>3.17</v>
      </c>
      <c r="F3283">
        <v>11035</v>
      </c>
      <c r="G3283" t="s">
        <v>14114</v>
      </c>
      <c r="H3283">
        <v>158899.66</v>
      </c>
      <c r="I3283">
        <v>1213.8699999999999</v>
      </c>
      <c r="J3283" t="s">
        <v>120</v>
      </c>
      <c r="K3283" t="s">
        <v>14115</v>
      </c>
      <c r="L3283">
        <v>2.89</v>
      </c>
      <c r="M3283">
        <v>17.760000000000002</v>
      </c>
      <c r="N3283">
        <v>0.95</v>
      </c>
      <c r="O3283">
        <v>8.14</v>
      </c>
      <c r="P3283">
        <v>19.12</v>
      </c>
      <c r="Q3283">
        <v>-0.45</v>
      </c>
      <c r="R3283">
        <v>17.600000000000001</v>
      </c>
      <c r="S3283">
        <v>18.239999999999998</v>
      </c>
      <c r="T3283">
        <v>865946</v>
      </c>
      <c r="U3283">
        <v>17.760000000000002</v>
      </c>
      <c r="V3283">
        <v>17.68</v>
      </c>
      <c r="W3283">
        <v>7.98</v>
      </c>
      <c r="X3283" t="s">
        <v>1081</v>
      </c>
      <c r="Y3283" t="s">
        <v>667</v>
      </c>
      <c r="Z3283">
        <v>8.6</v>
      </c>
      <c r="AA3283">
        <v>18.350000000000001</v>
      </c>
      <c r="AB3283">
        <v>424294</v>
      </c>
      <c r="AC3283">
        <v>441652</v>
      </c>
      <c r="AD3283">
        <v>0.96</v>
      </c>
      <c r="AE3283">
        <v>5</v>
      </c>
      <c r="AF3283">
        <v>610</v>
      </c>
      <c r="AG3283" t="s">
        <v>120</v>
      </c>
      <c r="AH3283">
        <v>0.06</v>
      </c>
      <c r="AI3283" t="s">
        <v>120</v>
      </c>
      <c r="AJ3283">
        <v>29.91</v>
      </c>
      <c r="AK3283" t="s">
        <v>14115</v>
      </c>
      <c r="AL3283">
        <v>1.8</v>
      </c>
      <c r="AM3283">
        <v>4735</v>
      </c>
      <c r="AN3283">
        <v>183</v>
      </c>
      <c r="AO3283">
        <v>5.9999999999999995E-4</v>
      </c>
      <c r="AP3283">
        <v>1</v>
      </c>
      <c r="AQ3283">
        <v>-2</v>
      </c>
      <c r="AR3283">
        <v>-8.6</v>
      </c>
      <c r="AS3283">
        <v>36.090000000000003</v>
      </c>
      <c r="AT3283">
        <v>39.229999999999997</v>
      </c>
      <c r="AU3283">
        <v>181.64</v>
      </c>
      <c r="AV3283">
        <v>7</v>
      </c>
      <c r="AW3283">
        <v>7.75</v>
      </c>
      <c r="AX3283">
        <v>37.33</v>
      </c>
      <c r="AY3283">
        <v>12.96</v>
      </c>
      <c r="AZ3283">
        <v>27.39</v>
      </c>
      <c r="BA3283">
        <v>1.55</v>
      </c>
      <c r="BB3283" t="s">
        <v>125</v>
      </c>
      <c r="BF3283">
        <v>3.79</v>
      </c>
      <c r="BG3283">
        <v>-2.63</v>
      </c>
      <c r="BH3283">
        <v>-7.11</v>
      </c>
      <c r="BI3283">
        <v>0.91</v>
      </c>
      <c r="BJ3283">
        <v>20210826</v>
      </c>
      <c r="BK3283">
        <v>20060922</v>
      </c>
      <c r="BL3283">
        <v>29.91</v>
      </c>
      <c r="BM3283" t="s">
        <v>120</v>
      </c>
      <c r="BN3283" t="s">
        <v>120</v>
      </c>
      <c r="BO3283">
        <v>880.85</v>
      </c>
      <c r="BP3283">
        <v>17.75</v>
      </c>
      <c r="BQ3283">
        <v>304.14</v>
      </c>
      <c r="BR3283">
        <v>-11.3</v>
      </c>
      <c r="BS3283">
        <v>66.75</v>
      </c>
      <c r="BT3283">
        <v>332.08</v>
      </c>
      <c r="BU3283">
        <v>325.39999999999998</v>
      </c>
      <c r="BV3283">
        <v>122.5</v>
      </c>
      <c r="BW3283">
        <v>420.4</v>
      </c>
      <c r="BX3283">
        <v>158.28</v>
      </c>
      <c r="BY3283">
        <v>7.65</v>
      </c>
      <c r="BZ3283">
        <v>59.62</v>
      </c>
      <c r="CA3283" t="s">
        <v>120</v>
      </c>
      <c r="CB3283">
        <v>16.96</v>
      </c>
      <c r="CC3283">
        <v>177.37</v>
      </c>
      <c r="CD3283">
        <v>99.35</v>
      </c>
      <c r="CE3283">
        <v>44.37</v>
      </c>
      <c r="CF3283">
        <v>0.84</v>
      </c>
      <c r="CG3283">
        <v>44.18</v>
      </c>
      <c r="CH3283">
        <v>35.89</v>
      </c>
      <c r="CI3283">
        <v>33.270000000000003</v>
      </c>
      <c r="CJ3283">
        <v>0.08</v>
      </c>
      <c r="CK3283">
        <v>33.07</v>
      </c>
      <c r="CL3283">
        <v>180.23</v>
      </c>
      <c r="CM3283">
        <v>26.77</v>
      </c>
      <c r="CN3283">
        <v>-10.84</v>
      </c>
      <c r="CO3283">
        <v>64151</v>
      </c>
      <c r="CP3283">
        <v>17409</v>
      </c>
      <c r="CQ3283" t="s">
        <v>11482</v>
      </c>
      <c r="CR3283">
        <v>182.64</v>
      </c>
      <c r="CS3283">
        <v>50.34</v>
      </c>
      <c r="CT3283">
        <v>1.75</v>
      </c>
      <c r="CU3283">
        <v>19.84</v>
      </c>
      <c r="CV3283">
        <v>3</v>
      </c>
      <c r="CW3283">
        <v>1.1000000000000001</v>
      </c>
      <c r="CX3283" t="s">
        <v>14116</v>
      </c>
      <c r="CY3283">
        <v>10.17</v>
      </c>
      <c r="CZ3283">
        <v>0</v>
      </c>
      <c r="DA3283">
        <v>0.56999999999999995</v>
      </c>
      <c r="DB3283">
        <v>6.02</v>
      </c>
      <c r="DC3283">
        <v>0.9</v>
      </c>
      <c r="DD3283">
        <v>34.53</v>
      </c>
      <c r="DE3283" t="s">
        <v>6735</v>
      </c>
      <c r="DF3283">
        <v>43.99</v>
      </c>
      <c r="DG3283">
        <v>25.02</v>
      </c>
      <c r="DH3283">
        <v>18.760000000000002</v>
      </c>
      <c r="DI3283">
        <v>3.21</v>
      </c>
      <c r="DJ3283">
        <v>36234</v>
      </c>
      <c r="DK3283">
        <v>601699</v>
      </c>
      <c r="DL3283">
        <v>20210426</v>
      </c>
      <c r="DM3283">
        <v>8.0500000000000007</v>
      </c>
      <c r="DN3283">
        <v>123.03</v>
      </c>
    </row>
    <row r="3284" spans="1:118">
      <c r="A3284" t="str">
        <f>"601700"</f>
        <v>601700</v>
      </c>
      <c r="B3284" t="s">
        <v>14117</v>
      </c>
      <c r="C3284">
        <v>-3.08</v>
      </c>
      <c r="D3284">
        <v>0</v>
      </c>
      <c r="E3284">
        <v>0</v>
      </c>
      <c r="F3284">
        <v>1878</v>
      </c>
      <c r="G3284" t="s">
        <v>14118</v>
      </c>
      <c r="H3284">
        <v>10311.27</v>
      </c>
      <c r="I3284">
        <v>23.67</v>
      </c>
      <c r="J3284" t="s">
        <v>120</v>
      </c>
      <c r="K3284" t="s">
        <v>14119</v>
      </c>
      <c r="L3284">
        <v>1.89</v>
      </c>
      <c r="M3284">
        <v>4.72</v>
      </c>
      <c r="N3284">
        <v>0.74</v>
      </c>
      <c r="O3284">
        <v>1.44</v>
      </c>
      <c r="P3284">
        <v>4.9400000000000004</v>
      </c>
      <c r="Q3284">
        <v>-3.29</v>
      </c>
      <c r="R3284">
        <v>4.71</v>
      </c>
      <c r="S3284">
        <v>4.87</v>
      </c>
      <c r="T3284">
        <v>213788</v>
      </c>
      <c r="U3284">
        <v>4.72</v>
      </c>
      <c r="V3284">
        <v>4.87</v>
      </c>
      <c r="W3284">
        <v>50.11</v>
      </c>
      <c r="X3284" t="s">
        <v>394</v>
      </c>
      <c r="Y3284" t="s">
        <v>319</v>
      </c>
      <c r="Z3284">
        <v>4.72</v>
      </c>
      <c r="AA3284">
        <v>4.82</v>
      </c>
      <c r="AB3284">
        <v>131337</v>
      </c>
      <c r="AC3284">
        <v>82451</v>
      </c>
      <c r="AD3284">
        <v>1.59</v>
      </c>
      <c r="AE3284">
        <v>475</v>
      </c>
      <c r="AF3284">
        <v>577</v>
      </c>
      <c r="AG3284" t="s">
        <v>120</v>
      </c>
      <c r="AH3284">
        <v>0.01</v>
      </c>
      <c r="AI3284" t="s">
        <v>120</v>
      </c>
      <c r="AJ3284">
        <v>11.33</v>
      </c>
      <c r="AK3284" t="s">
        <v>14119</v>
      </c>
      <c r="AL3284">
        <v>-1.74</v>
      </c>
      <c r="AM3284">
        <v>2407</v>
      </c>
      <c r="AN3284">
        <v>89</v>
      </c>
      <c r="AO3284">
        <v>8.0000000000000004E-4</v>
      </c>
      <c r="AP3284">
        <v>-1</v>
      </c>
      <c r="AQ3284">
        <v>2.1</v>
      </c>
      <c r="AR3284">
        <v>-3.86</v>
      </c>
      <c r="AS3284">
        <v>6.3</v>
      </c>
      <c r="AT3284">
        <v>10.02</v>
      </c>
      <c r="AU3284">
        <v>1.07</v>
      </c>
      <c r="AV3284">
        <v>0</v>
      </c>
      <c r="AW3284">
        <v>3.99</v>
      </c>
      <c r="AX3284">
        <v>47.31</v>
      </c>
      <c r="AY3284">
        <v>33.700000000000003</v>
      </c>
      <c r="AZ3284">
        <v>25.25</v>
      </c>
      <c r="BA3284">
        <v>0.44</v>
      </c>
      <c r="BB3284" t="s">
        <v>184</v>
      </c>
      <c r="BF3284">
        <v>-0.96</v>
      </c>
      <c r="BG3284">
        <v>-3.08</v>
      </c>
      <c r="BH3284">
        <v>-4.45</v>
      </c>
      <c r="BI3284">
        <v>0.21</v>
      </c>
      <c r="BJ3284">
        <v>20210831</v>
      </c>
      <c r="BK3284">
        <v>20110118</v>
      </c>
      <c r="BL3284">
        <v>11.33</v>
      </c>
      <c r="BM3284" t="s">
        <v>120</v>
      </c>
      <c r="BN3284" t="s">
        <v>120</v>
      </c>
      <c r="BO3284">
        <v>53.09</v>
      </c>
      <c r="BP3284">
        <v>4.71</v>
      </c>
      <c r="BQ3284">
        <v>25.41</v>
      </c>
      <c r="BR3284">
        <v>0.22</v>
      </c>
      <c r="BS3284">
        <v>51.71</v>
      </c>
      <c r="BT3284">
        <v>43.4</v>
      </c>
      <c r="BU3284">
        <v>4.9800000000000004</v>
      </c>
      <c r="BV3284">
        <v>1.41</v>
      </c>
      <c r="BW3284">
        <v>26.72</v>
      </c>
      <c r="BX3284">
        <v>8.83</v>
      </c>
      <c r="BY3284">
        <v>9.75</v>
      </c>
      <c r="BZ3284">
        <v>9.09</v>
      </c>
      <c r="CA3284" t="s">
        <v>120</v>
      </c>
      <c r="CB3284">
        <v>12.24</v>
      </c>
      <c r="CC3284">
        <v>13.1</v>
      </c>
      <c r="CD3284">
        <v>11.18</v>
      </c>
      <c r="CE3284">
        <v>0.7</v>
      </c>
      <c r="CF3284">
        <v>-0.01</v>
      </c>
      <c r="CG3284">
        <v>0.7</v>
      </c>
      <c r="CH3284">
        <v>0.55000000000000004</v>
      </c>
      <c r="CI3284">
        <v>0.53</v>
      </c>
      <c r="CJ3284">
        <v>-0.15</v>
      </c>
      <c r="CK3284">
        <v>0.52</v>
      </c>
      <c r="CL3284">
        <v>0.68</v>
      </c>
      <c r="CM3284">
        <v>-1.1100000000000001</v>
      </c>
      <c r="CN3284">
        <v>-0.92</v>
      </c>
      <c r="CO3284">
        <v>74609</v>
      </c>
      <c r="CP3284">
        <v>7186</v>
      </c>
      <c r="CQ3284" t="s">
        <v>14120</v>
      </c>
      <c r="CR3284">
        <v>-50.66</v>
      </c>
      <c r="CS3284">
        <v>2.27</v>
      </c>
      <c r="CT3284">
        <v>2.1</v>
      </c>
      <c r="CU3284">
        <v>-48.24</v>
      </c>
      <c r="CV3284">
        <v>4.08</v>
      </c>
      <c r="CW3284">
        <v>2.0499999999999998</v>
      </c>
      <c r="CX3284" t="s">
        <v>1248</v>
      </c>
      <c r="CY3284">
        <v>2.2400000000000002</v>
      </c>
      <c r="CZ3284">
        <v>0</v>
      </c>
      <c r="DA3284">
        <v>1.08</v>
      </c>
      <c r="DB3284">
        <v>0.06</v>
      </c>
      <c r="DC3284">
        <v>-0.1</v>
      </c>
      <c r="DD3284">
        <v>47.87</v>
      </c>
      <c r="DE3284" t="s">
        <v>7908</v>
      </c>
      <c r="DF3284">
        <v>14.66</v>
      </c>
      <c r="DG3284">
        <v>5.33</v>
      </c>
      <c r="DH3284">
        <v>4.07</v>
      </c>
      <c r="DI3284">
        <v>7.0000000000000007E-2</v>
      </c>
      <c r="DJ3284">
        <v>1055</v>
      </c>
      <c r="DK3284">
        <v>601700</v>
      </c>
      <c r="DL3284" t="s">
        <v>120</v>
      </c>
      <c r="DM3284" t="s">
        <v>120</v>
      </c>
      <c r="DN3284" t="s">
        <v>120</v>
      </c>
    </row>
    <row r="3285" spans="1:118">
      <c r="A3285" t="str">
        <f>"601702"</f>
        <v>601702</v>
      </c>
      <c r="B3285" t="s">
        <v>14121</v>
      </c>
      <c r="C3285">
        <v>-1.7</v>
      </c>
      <c r="D3285">
        <v>-7.0000000000000007E-2</v>
      </c>
      <c r="E3285">
        <v>2</v>
      </c>
      <c r="F3285">
        <v>2358</v>
      </c>
      <c r="G3285" t="s">
        <v>2407</v>
      </c>
      <c r="H3285">
        <v>43591.29</v>
      </c>
      <c r="I3285">
        <v>110.87</v>
      </c>
      <c r="J3285" t="s">
        <v>120</v>
      </c>
      <c r="K3285" t="s">
        <v>2407</v>
      </c>
      <c r="L3285">
        <v>11.44</v>
      </c>
      <c r="M3285">
        <v>13.29</v>
      </c>
      <c r="N3285">
        <v>0.75</v>
      </c>
      <c r="O3285">
        <v>4.7300000000000004</v>
      </c>
      <c r="P3285">
        <v>14.16</v>
      </c>
      <c r="Q3285">
        <v>-1.85</v>
      </c>
      <c r="R3285">
        <v>13.27</v>
      </c>
      <c r="S3285">
        <v>13.79</v>
      </c>
      <c r="T3285">
        <v>317816</v>
      </c>
      <c r="U3285">
        <v>13.3</v>
      </c>
      <c r="V3285">
        <v>13.52</v>
      </c>
      <c r="W3285">
        <v>27.67</v>
      </c>
      <c r="X3285" t="s">
        <v>1325</v>
      </c>
      <c r="Y3285" t="s">
        <v>1510</v>
      </c>
      <c r="Z3285">
        <v>6.58</v>
      </c>
      <c r="AA3285">
        <v>13.72</v>
      </c>
      <c r="AB3285">
        <v>167386</v>
      </c>
      <c r="AC3285">
        <v>150430</v>
      </c>
      <c r="AD3285">
        <v>1.1100000000000001</v>
      </c>
      <c r="AE3285">
        <v>74</v>
      </c>
      <c r="AF3285">
        <v>146</v>
      </c>
      <c r="AG3285" t="s">
        <v>120</v>
      </c>
      <c r="AH3285">
        <v>0.03</v>
      </c>
      <c r="AI3285" t="s">
        <v>120</v>
      </c>
      <c r="AJ3285">
        <v>2.78</v>
      </c>
      <c r="AK3285" t="s">
        <v>14122</v>
      </c>
      <c r="AL3285">
        <v>-0.36</v>
      </c>
      <c r="AM3285">
        <v>4315</v>
      </c>
      <c r="AN3285">
        <v>74</v>
      </c>
      <c r="AO3285">
        <v>2.7000000000000001E-3</v>
      </c>
      <c r="AP3285">
        <v>-3</v>
      </c>
      <c r="AQ3285">
        <v>-1.39</v>
      </c>
      <c r="AR3285">
        <v>-10.57</v>
      </c>
      <c r="AS3285">
        <v>59.74</v>
      </c>
      <c r="AT3285">
        <v>89.31</v>
      </c>
      <c r="AU3285">
        <v>60.08</v>
      </c>
      <c r="AV3285">
        <v>16</v>
      </c>
      <c r="AW3285">
        <v>11.44</v>
      </c>
      <c r="AX3285">
        <v>27.83</v>
      </c>
      <c r="AY3285">
        <v>33.520000000000003</v>
      </c>
      <c r="AZ3285">
        <v>54.11</v>
      </c>
      <c r="BA3285">
        <v>1.03</v>
      </c>
      <c r="BB3285" t="s">
        <v>143</v>
      </c>
      <c r="BF3285">
        <v>1.45</v>
      </c>
      <c r="BG3285">
        <v>-3.63</v>
      </c>
      <c r="BH3285">
        <v>-6.14</v>
      </c>
      <c r="BI3285">
        <v>0.15</v>
      </c>
      <c r="BJ3285">
        <v>20210906</v>
      </c>
      <c r="BK3285">
        <v>20200907</v>
      </c>
      <c r="BL3285">
        <v>9.99</v>
      </c>
      <c r="BM3285" t="s">
        <v>120</v>
      </c>
      <c r="BN3285" t="s">
        <v>120</v>
      </c>
      <c r="BO3285">
        <v>55.3</v>
      </c>
      <c r="BP3285">
        <v>13.29</v>
      </c>
      <c r="BQ3285">
        <v>28.7</v>
      </c>
      <c r="BR3285">
        <v>0</v>
      </c>
      <c r="BS3285">
        <v>48.09</v>
      </c>
      <c r="BT3285">
        <v>34.35</v>
      </c>
      <c r="BU3285">
        <v>16.79</v>
      </c>
      <c r="BV3285">
        <v>1.82</v>
      </c>
      <c r="BW3285">
        <v>22.97</v>
      </c>
      <c r="BX3285">
        <v>2</v>
      </c>
      <c r="BY3285">
        <v>14.82</v>
      </c>
      <c r="BZ3285">
        <v>11.07</v>
      </c>
      <c r="CA3285" t="s">
        <v>120</v>
      </c>
      <c r="CB3285">
        <v>8.1999999999999993</v>
      </c>
      <c r="CC3285">
        <v>31.08</v>
      </c>
      <c r="CD3285">
        <v>25.31</v>
      </c>
      <c r="CE3285">
        <v>2.84</v>
      </c>
      <c r="CF3285">
        <v>0.01</v>
      </c>
      <c r="CG3285">
        <v>2.84</v>
      </c>
      <c r="CH3285">
        <v>2.4</v>
      </c>
      <c r="CI3285">
        <v>2.4</v>
      </c>
      <c r="CJ3285">
        <v>-0.23</v>
      </c>
      <c r="CK3285">
        <v>2.31</v>
      </c>
      <c r="CL3285">
        <v>9.02</v>
      </c>
      <c r="CM3285">
        <v>-0.22</v>
      </c>
      <c r="CN3285">
        <v>0.99</v>
      </c>
      <c r="CO3285">
        <v>54943</v>
      </c>
      <c r="CP3285">
        <v>5059</v>
      </c>
      <c r="CQ3285" t="s">
        <v>4601</v>
      </c>
      <c r="CR3285">
        <v>177.13</v>
      </c>
      <c r="CS3285">
        <v>82.72</v>
      </c>
      <c r="CT3285">
        <v>4.62</v>
      </c>
      <c r="CU3285">
        <v>-605.65</v>
      </c>
      <c r="CV3285">
        <v>4.2699999999999996</v>
      </c>
      <c r="CW3285">
        <v>0.28000000000000003</v>
      </c>
      <c r="CX3285" t="s">
        <v>626</v>
      </c>
      <c r="CY3285">
        <v>2.87</v>
      </c>
      <c r="CZ3285">
        <v>0</v>
      </c>
      <c r="DA3285">
        <v>0.82</v>
      </c>
      <c r="DB3285">
        <v>0.9</v>
      </c>
      <c r="DC3285">
        <v>-0.02</v>
      </c>
      <c r="DD3285">
        <v>51.91</v>
      </c>
      <c r="DE3285" t="s">
        <v>2631</v>
      </c>
      <c r="DF3285">
        <v>18.579999999999998</v>
      </c>
      <c r="DG3285">
        <v>9.15</v>
      </c>
      <c r="DH3285">
        <v>7.72</v>
      </c>
      <c r="DI3285">
        <v>1.67</v>
      </c>
      <c r="DJ3285">
        <v>1762</v>
      </c>
      <c r="DK3285">
        <v>601702</v>
      </c>
      <c r="DL3285">
        <v>20210729</v>
      </c>
      <c r="DM3285">
        <v>7.38</v>
      </c>
      <c r="DN3285">
        <v>80.08</v>
      </c>
    </row>
    <row r="3286" spans="1:118">
      <c r="A3286" t="str">
        <f>"601717"</f>
        <v>601717</v>
      </c>
      <c r="B3286" t="s">
        <v>14123</v>
      </c>
      <c r="C3286">
        <v>0.46</v>
      </c>
      <c r="D3286">
        <v>-7.0000000000000007E-2</v>
      </c>
      <c r="E3286">
        <v>-0.31</v>
      </c>
      <c r="F3286">
        <v>3761</v>
      </c>
      <c r="G3286" t="s">
        <v>1772</v>
      </c>
      <c r="H3286">
        <v>61361</v>
      </c>
      <c r="I3286">
        <v>298.89</v>
      </c>
      <c r="J3286" t="s">
        <v>120</v>
      </c>
      <c r="K3286" t="s">
        <v>14124</v>
      </c>
      <c r="L3286">
        <v>3.15</v>
      </c>
      <c r="M3286">
        <v>13</v>
      </c>
      <c r="N3286">
        <v>1.39</v>
      </c>
      <c r="O3286">
        <v>6.11</v>
      </c>
      <c r="P3286">
        <v>13.73</v>
      </c>
      <c r="Q3286">
        <v>-2.78</v>
      </c>
      <c r="R3286">
        <v>12.58</v>
      </c>
      <c r="S3286">
        <v>12.9</v>
      </c>
      <c r="T3286">
        <v>468964</v>
      </c>
      <c r="U3286">
        <v>13.01</v>
      </c>
      <c r="V3286">
        <v>12.94</v>
      </c>
      <c r="W3286">
        <v>9.6</v>
      </c>
      <c r="X3286" t="s">
        <v>289</v>
      </c>
      <c r="Y3286" t="s">
        <v>645</v>
      </c>
      <c r="Z3286">
        <v>8.89</v>
      </c>
      <c r="AA3286">
        <v>13.08</v>
      </c>
      <c r="AB3286">
        <v>248907</v>
      </c>
      <c r="AC3286">
        <v>220057</v>
      </c>
      <c r="AD3286">
        <v>1.1299999999999999</v>
      </c>
      <c r="AE3286">
        <v>112</v>
      </c>
      <c r="AF3286">
        <v>801</v>
      </c>
      <c r="AG3286" t="s">
        <v>120</v>
      </c>
      <c r="AH3286">
        <v>0.03</v>
      </c>
      <c r="AI3286" t="s">
        <v>120</v>
      </c>
      <c r="AJ3286">
        <v>14.89</v>
      </c>
      <c r="AK3286" t="s">
        <v>14125</v>
      </c>
      <c r="AL3286">
        <v>1.81</v>
      </c>
      <c r="AM3286">
        <v>4221</v>
      </c>
      <c r="AN3286">
        <v>111</v>
      </c>
      <c r="AO3286">
        <v>6.9999999999999999E-4</v>
      </c>
      <c r="AP3286">
        <v>2</v>
      </c>
      <c r="AQ3286">
        <v>1.01</v>
      </c>
      <c r="AR3286">
        <v>-3.71</v>
      </c>
      <c r="AS3286">
        <v>13.63</v>
      </c>
      <c r="AT3286">
        <v>22.53</v>
      </c>
      <c r="AU3286">
        <v>21.27</v>
      </c>
      <c r="AV3286">
        <v>12</v>
      </c>
      <c r="AW3286">
        <v>5.22</v>
      </c>
      <c r="AX3286">
        <v>58.7</v>
      </c>
      <c r="AY3286">
        <v>17.579999999999998</v>
      </c>
      <c r="AZ3286">
        <v>18.53</v>
      </c>
      <c r="BA3286">
        <v>1.23</v>
      </c>
      <c r="BB3286" t="s">
        <v>143</v>
      </c>
      <c r="BF3286">
        <v>1.1200000000000001</v>
      </c>
      <c r="BG3286">
        <v>0.78</v>
      </c>
      <c r="BH3286">
        <v>-5.32</v>
      </c>
      <c r="BI3286">
        <v>3.34</v>
      </c>
      <c r="BJ3286">
        <v>20210827</v>
      </c>
      <c r="BK3286">
        <v>20100803</v>
      </c>
      <c r="BL3286">
        <v>17.75</v>
      </c>
      <c r="BM3286" t="s">
        <v>120</v>
      </c>
      <c r="BN3286">
        <v>2.4300000000000002</v>
      </c>
      <c r="BO3286">
        <v>346.3</v>
      </c>
      <c r="BP3286">
        <v>13</v>
      </c>
      <c r="BQ3286">
        <v>138.53</v>
      </c>
      <c r="BR3286">
        <v>9.9700000000000006</v>
      </c>
      <c r="BS3286">
        <v>57.12</v>
      </c>
      <c r="BT3286">
        <v>233.68</v>
      </c>
      <c r="BU3286">
        <v>37.979999999999997</v>
      </c>
      <c r="BV3286">
        <v>13.62</v>
      </c>
      <c r="BW3286">
        <v>127.75</v>
      </c>
      <c r="BX3286">
        <v>34.61</v>
      </c>
      <c r="BY3286">
        <v>52.44</v>
      </c>
      <c r="BZ3286">
        <v>68.22</v>
      </c>
      <c r="CA3286">
        <v>0.31</v>
      </c>
      <c r="CB3286">
        <v>44.38</v>
      </c>
      <c r="CC3286">
        <v>150.71</v>
      </c>
      <c r="CD3286">
        <v>113.77</v>
      </c>
      <c r="CE3286">
        <v>16.809999999999999</v>
      </c>
      <c r="CF3286">
        <v>1.26</v>
      </c>
      <c r="CG3286">
        <v>16.71</v>
      </c>
      <c r="CH3286">
        <v>12.86</v>
      </c>
      <c r="CI3286">
        <v>12.02</v>
      </c>
      <c r="CJ3286">
        <v>0.06</v>
      </c>
      <c r="CK3286">
        <v>10.88</v>
      </c>
      <c r="CL3286">
        <v>70.06</v>
      </c>
      <c r="CM3286">
        <v>2.2000000000000002</v>
      </c>
      <c r="CN3286">
        <v>-0.52</v>
      </c>
      <c r="CO3286">
        <v>48668</v>
      </c>
      <c r="CP3286">
        <v>18471</v>
      </c>
      <c r="CQ3286" t="s">
        <v>14126</v>
      </c>
      <c r="CR3286">
        <v>5.91</v>
      </c>
      <c r="CS3286">
        <v>22.41</v>
      </c>
      <c r="CT3286">
        <v>1.67</v>
      </c>
      <c r="CU3286">
        <v>104.93</v>
      </c>
      <c r="CV3286">
        <v>1.53</v>
      </c>
      <c r="CW3286">
        <v>1.62</v>
      </c>
      <c r="CX3286" t="s">
        <v>2797</v>
      </c>
      <c r="CY3286">
        <v>7.81</v>
      </c>
      <c r="CZ3286">
        <v>0</v>
      </c>
      <c r="DA3286">
        <v>2.5</v>
      </c>
      <c r="DB3286">
        <v>3.95</v>
      </c>
      <c r="DC3286">
        <v>0.12</v>
      </c>
      <c r="DD3286">
        <v>40</v>
      </c>
      <c r="DE3286" t="s">
        <v>818</v>
      </c>
      <c r="DF3286">
        <v>24.51</v>
      </c>
      <c r="DG3286">
        <v>11.15</v>
      </c>
      <c r="DH3286">
        <v>7.98</v>
      </c>
      <c r="DI3286">
        <v>6.82</v>
      </c>
      <c r="DJ3286">
        <v>17415</v>
      </c>
      <c r="DK3286">
        <v>601717</v>
      </c>
      <c r="DL3286" t="s">
        <v>120</v>
      </c>
      <c r="DM3286" t="s">
        <v>120</v>
      </c>
      <c r="DN3286" t="s">
        <v>120</v>
      </c>
    </row>
    <row r="3287" spans="1:118">
      <c r="A3287" t="str">
        <f>"601718"</f>
        <v>601718</v>
      </c>
      <c r="B3287" t="s">
        <v>14127</v>
      </c>
      <c r="C3287">
        <v>-1.89</v>
      </c>
      <c r="D3287">
        <v>0.32</v>
      </c>
      <c r="E3287">
        <v>0</v>
      </c>
      <c r="F3287">
        <v>5160</v>
      </c>
      <c r="G3287" t="s">
        <v>14128</v>
      </c>
      <c r="H3287">
        <v>12350.16</v>
      </c>
      <c r="I3287">
        <v>97.54</v>
      </c>
      <c r="J3287" t="s">
        <v>120</v>
      </c>
      <c r="K3287" t="s">
        <v>14129</v>
      </c>
      <c r="L3287">
        <v>0.89</v>
      </c>
      <c r="M3287">
        <v>3.11</v>
      </c>
      <c r="N3287">
        <v>0.69</v>
      </c>
      <c r="O3287">
        <v>1.58</v>
      </c>
      <c r="P3287">
        <v>3.22</v>
      </c>
      <c r="Q3287">
        <v>-2.21</v>
      </c>
      <c r="R3287">
        <v>3.1</v>
      </c>
      <c r="S3287">
        <v>3.17</v>
      </c>
      <c r="T3287">
        <v>391266</v>
      </c>
      <c r="U3287">
        <v>3.11</v>
      </c>
      <c r="V3287">
        <v>3.17</v>
      </c>
      <c r="W3287">
        <v>217.02</v>
      </c>
      <c r="X3287" t="s">
        <v>2806</v>
      </c>
      <c r="Y3287" t="s">
        <v>158</v>
      </c>
      <c r="Z3287">
        <v>3.79</v>
      </c>
      <c r="AA3287">
        <v>3.16</v>
      </c>
      <c r="AB3287">
        <v>228656</v>
      </c>
      <c r="AC3287">
        <v>162610</v>
      </c>
      <c r="AD3287">
        <v>1.41</v>
      </c>
      <c r="AE3287">
        <v>5204</v>
      </c>
      <c r="AF3287">
        <v>9410</v>
      </c>
      <c r="AG3287" t="s">
        <v>120</v>
      </c>
      <c r="AH3287">
        <v>0.01</v>
      </c>
      <c r="AI3287" t="s">
        <v>120</v>
      </c>
      <c r="AJ3287">
        <v>43.92</v>
      </c>
      <c r="AK3287" t="s">
        <v>14129</v>
      </c>
      <c r="AL3287">
        <v>-0.55000000000000004</v>
      </c>
      <c r="AM3287">
        <v>3239</v>
      </c>
      <c r="AN3287">
        <v>121</v>
      </c>
      <c r="AO3287">
        <v>2.9999999999999997E-4</v>
      </c>
      <c r="AP3287">
        <v>-1</v>
      </c>
      <c r="AQ3287">
        <v>1.28</v>
      </c>
      <c r="AR3287">
        <v>-4.8899999999999997</v>
      </c>
      <c r="AS3287">
        <v>13.5</v>
      </c>
      <c r="AT3287">
        <v>6.51</v>
      </c>
      <c r="AU3287">
        <v>2.64</v>
      </c>
      <c r="AV3287">
        <v>1</v>
      </c>
      <c r="AW3287">
        <v>1.78</v>
      </c>
      <c r="AX3287">
        <v>50.05</v>
      </c>
      <c r="AY3287" t="s">
        <v>120</v>
      </c>
      <c r="AZ3287" t="s">
        <v>120</v>
      </c>
      <c r="BA3287">
        <v>0.72</v>
      </c>
      <c r="BB3287" t="s">
        <v>143</v>
      </c>
      <c r="BF3287">
        <v>-0.43</v>
      </c>
      <c r="BG3287">
        <v>-1.89</v>
      </c>
      <c r="BH3287">
        <v>-3.42</v>
      </c>
      <c r="BI3287">
        <v>0.32</v>
      </c>
      <c r="BJ3287">
        <v>20210831</v>
      </c>
      <c r="BK3287">
        <v>20100816</v>
      </c>
      <c r="BL3287">
        <v>43.92</v>
      </c>
      <c r="BM3287" t="s">
        <v>120</v>
      </c>
      <c r="BN3287" t="s">
        <v>120</v>
      </c>
      <c r="BO3287">
        <v>291.95</v>
      </c>
      <c r="BP3287">
        <v>3.1</v>
      </c>
      <c r="BQ3287">
        <v>171.12</v>
      </c>
      <c r="BR3287">
        <v>1.1299999999999999</v>
      </c>
      <c r="BS3287">
        <v>41</v>
      </c>
      <c r="BT3287">
        <v>178.1</v>
      </c>
      <c r="BU3287">
        <v>37.31</v>
      </c>
      <c r="BV3287">
        <v>24.85</v>
      </c>
      <c r="BW3287">
        <v>62.86</v>
      </c>
      <c r="BX3287">
        <v>66.510000000000005</v>
      </c>
      <c r="BY3287">
        <v>37.53</v>
      </c>
      <c r="BZ3287">
        <v>25.33</v>
      </c>
      <c r="CA3287">
        <v>0.13</v>
      </c>
      <c r="CB3287">
        <v>80.41</v>
      </c>
      <c r="CC3287">
        <v>72.989999999999995</v>
      </c>
      <c r="CD3287">
        <v>65.989999999999995</v>
      </c>
      <c r="CE3287">
        <v>0.57999999999999996</v>
      </c>
      <c r="CF3287">
        <v>7.0000000000000007E-2</v>
      </c>
      <c r="CG3287">
        <v>0.73</v>
      </c>
      <c r="CH3287">
        <v>0.3</v>
      </c>
      <c r="CI3287">
        <v>0.31</v>
      </c>
      <c r="CJ3287">
        <v>-0.06</v>
      </c>
      <c r="CK3287">
        <v>-0.21</v>
      </c>
      <c r="CL3287">
        <v>44</v>
      </c>
      <c r="CM3287">
        <v>1.52</v>
      </c>
      <c r="CN3287">
        <v>-1.22</v>
      </c>
      <c r="CO3287">
        <v>130707</v>
      </c>
      <c r="CP3287">
        <v>16817</v>
      </c>
      <c r="CQ3287" t="s">
        <v>9190</v>
      </c>
      <c r="CR3287">
        <v>199.34</v>
      </c>
      <c r="CS3287">
        <v>1.87</v>
      </c>
      <c r="CT3287">
        <v>0.8</v>
      </c>
      <c r="CU3287">
        <v>89.87</v>
      </c>
      <c r="CV3287">
        <v>1.87</v>
      </c>
      <c r="CW3287">
        <v>0</v>
      </c>
      <c r="CX3287" t="s">
        <v>178</v>
      </c>
      <c r="CY3287">
        <v>3.9</v>
      </c>
      <c r="CZ3287">
        <v>0</v>
      </c>
      <c r="DA3287">
        <v>1.83</v>
      </c>
      <c r="DB3287">
        <v>1</v>
      </c>
      <c r="DC3287">
        <v>0.03</v>
      </c>
      <c r="DD3287">
        <v>58.61</v>
      </c>
      <c r="DE3287" t="s">
        <v>2511</v>
      </c>
      <c r="DF3287">
        <v>9.58</v>
      </c>
      <c r="DG3287">
        <v>0.8</v>
      </c>
      <c r="DH3287">
        <v>0.43</v>
      </c>
      <c r="DI3287">
        <v>1.69</v>
      </c>
      <c r="DJ3287">
        <v>20714</v>
      </c>
      <c r="DK3287">
        <v>601718</v>
      </c>
      <c r="DL3287" t="s">
        <v>120</v>
      </c>
      <c r="DM3287" t="s">
        <v>120</v>
      </c>
      <c r="DN3287" t="s">
        <v>120</v>
      </c>
    </row>
    <row r="3288" spans="1:118">
      <c r="A3288" t="str">
        <f>"601727"</f>
        <v>601727</v>
      </c>
      <c r="B3288" t="s">
        <v>14130</v>
      </c>
      <c r="C3288">
        <v>-2.2400000000000002</v>
      </c>
      <c r="D3288">
        <v>0.21</v>
      </c>
      <c r="E3288">
        <v>0</v>
      </c>
      <c r="F3288">
        <v>9762</v>
      </c>
      <c r="G3288" t="s">
        <v>14131</v>
      </c>
      <c r="H3288">
        <v>42873.46</v>
      </c>
      <c r="I3288">
        <v>192.03</v>
      </c>
      <c r="J3288" t="s">
        <v>120</v>
      </c>
      <c r="K3288" t="s">
        <v>14132</v>
      </c>
      <c r="L3288">
        <v>0.7</v>
      </c>
      <c r="M3288">
        <v>4.79</v>
      </c>
      <c r="N3288">
        <v>0.86</v>
      </c>
      <c r="O3288">
        <v>1.84</v>
      </c>
      <c r="P3288">
        <v>4.99</v>
      </c>
      <c r="Q3288">
        <v>-2.65</v>
      </c>
      <c r="R3288">
        <v>4.7699999999999996</v>
      </c>
      <c r="S3288">
        <v>4.9000000000000004</v>
      </c>
      <c r="T3288">
        <v>879896</v>
      </c>
      <c r="U3288">
        <v>4.8</v>
      </c>
      <c r="V3288">
        <v>4.9000000000000004</v>
      </c>
      <c r="W3288" t="s">
        <v>120</v>
      </c>
      <c r="X3288" t="s">
        <v>394</v>
      </c>
      <c r="Y3288" t="s">
        <v>1510</v>
      </c>
      <c r="Z3288">
        <v>4.49</v>
      </c>
      <c r="AA3288">
        <v>4.87</v>
      </c>
      <c r="AB3288">
        <v>476758</v>
      </c>
      <c r="AC3288">
        <v>403138</v>
      </c>
      <c r="AD3288">
        <v>1.18</v>
      </c>
      <c r="AE3288">
        <v>49</v>
      </c>
      <c r="AF3288">
        <v>6241</v>
      </c>
      <c r="AG3288" t="s">
        <v>120</v>
      </c>
      <c r="AH3288">
        <v>0.01</v>
      </c>
      <c r="AI3288" t="s">
        <v>120</v>
      </c>
      <c r="AJ3288">
        <v>126.55</v>
      </c>
      <c r="AK3288" t="s">
        <v>14133</v>
      </c>
      <c r="AL3288">
        <v>-0.9</v>
      </c>
      <c r="AM3288">
        <v>4127</v>
      </c>
      <c r="AN3288">
        <v>213</v>
      </c>
      <c r="AO3288">
        <v>2.0000000000000001E-4</v>
      </c>
      <c r="AP3288">
        <v>-1</v>
      </c>
      <c r="AQ3288">
        <v>6.75</v>
      </c>
      <c r="AR3288">
        <v>0.63</v>
      </c>
      <c r="AS3288">
        <v>9.61</v>
      </c>
      <c r="AT3288">
        <v>13.55</v>
      </c>
      <c r="AU3288">
        <v>-10.1</v>
      </c>
      <c r="AV3288">
        <v>2</v>
      </c>
      <c r="AW3288">
        <v>2</v>
      </c>
      <c r="AX3288">
        <v>34.44</v>
      </c>
      <c r="AY3288" t="s">
        <v>120</v>
      </c>
      <c r="AZ3288">
        <v>20.48</v>
      </c>
      <c r="BA3288">
        <v>0.62</v>
      </c>
      <c r="BB3288" t="s">
        <v>143</v>
      </c>
      <c r="BF3288">
        <v>-0.56000000000000005</v>
      </c>
      <c r="BG3288">
        <v>-2.2400000000000002</v>
      </c>
      <c r="BH3288">
        <v>-4.01</v>
      </c>
      <c r="BI3288">
        <v>0.42</v>
      </c>
      <c r="BJ3288">
        <v>20210830</v>
      </c>
      <c r="BK3288">
        <v>20081205</v>
      </c>
      <c r="BL3288">
        <v>157.06</v>
      </c>
      <c r="BM3288" t="s">
        <v>120</v>
      </c>
      <c r="BN3288">
        <v>29.24</v>
      </c>
      <c r="BO3288">
        <v>3118.09</v>
      </c>
      <c r="BP3288">
        <v>4.79</v>
      </c>
      <c r="BQ3288">
        <v>635.94000000000005</v>
      </c>
      <c r="BR3288">
        <v>407.02</v>
      </c>
      <c r="BS3288">
        <v>66.55</v>
      </c>
      <c r="BT3288">
        <v>2216.7399999999998</v>
      </c>
      <c r="BU3288">
        <v>186.24</v>
      </c>
      <c r="BV3288">
        <v>87.18</v>
      </c>
      <c r="BW3288">
        <v>1743.3</v>
      </c>
      <c r="BX3288">
        <v>288.91000000000003</v>
      </c>
      <c r="BY3288">
        <v>343.44</v>
      </c>
      <c r="BZ3288">
        <v>374.48</v>
      </c>
      <c r="CA3288">
        <v>5.82</v>
      </c>
      <c r="CB3288">
        <v>221.39</v>
      </c>
      <c r="CC3288">
        <v>622.09</v>
      </c>
      <c r="CD3288">
        <v>519.29</v>
      </c>
      <c r="CE3288">
        <v>-46.52</v>
      </c>
      <c r="CF3288">
        <v>13.04</v>
      </c>
      <c r="CG3288">
        <v>-45.25</v>
      </c>
      <c r="CH3288">
        <v>-49.38</v>
      </c>
      <c r="CI3288">
        <v>-49.71</v>
      </c>
      <c r="CJ3288">
        <v>-0.11</v>
      </c>
      <c r="CK3288">
        <v>-56.09</v>
      </c>
      <c r="CL3288">
        <v>202.49</v>
      </c>
      <c r="CM3288">
        <v>-186.35</v>
      </c>
      <c r="CN3288">
        <v>-120.21</v>
      </c>
      <c r="CO3288">
        <v>320363</v>
      </c>
      <c r="CP3288">
        <v>13740</v>
      </c>
      <c r="CQ3288" t="s">
        <v>4553</v>
      </c>
      <c r="CR3288">
        <v>-426.59</v>
      </c>
      <c r="CS3288">
        <v>17.78</v>
      </c>
      <c r="CT3288">
        <v>1.18</v>
      </c>
      <c r="CU3288">
        <v>-4.04</v>
      </c>
      <c r="CV3288">
        <v>1.21</v>
      </c>
      <c r="CW3288">
        <v>1.46</v>
      </c>
      <c r="CX3288" t="s">
        <v>14134</v>
      </c>
      <c r="CY3288">
        <v>4.05</v>
      </c>
      <c r="CZ3288">
        <v>0</v>
      </c>
      <c r="DA3288">
        <v>1.41</v>
      </c>
      <c r="DB3288">
        <v>1.29</v>
      </c>
      <c r="DC3288">
        <v>-1.19</v>
      </c>
      <c r="DD3288">
        <v>20.399999999999999</v>
      </c>
      <c r="DE3288" t="s">
        <v>14135</v>
      </c>
      <c r="DF3288">
        <v>16.52</v>
      </c>
      <c r="DG3288">
        <v>-7.48</v>
      </c>
      <c r="DH3288">
        <v>-7.99</v>
      </c>
      <c r="DI3288">
        <v>21.44</v>
      </c>
      <c r="DJ3288">
        <v>39312</v>
      </c>
      <c r="DK3288">
        <v>601727</v>
      </c>
      <c r="DL3288" t="s">
        <v>120</v>
      </c>
      <c r="DM3288" t="s">
        <v>120</v>
      </c>
      <c r="DN3288" t="s">
        <v>120</v>
      </c>
    </row>
    <row r="3289" spans="1:118">
      <c r="A3289" t="str">
        <f>"601728"</f>
        <v>601728</v>
      </c>
      <c r="B3289" t="s">
        <v>14136</v>
      </c>
      <c r="C3289">
        <v>0</v>
      </c>
      <c r="D3289">
        <v>0</v>
      </c>
      <c r="E3289">
        <v>0</v>
      </c>
      <c r="F3289">
        <v>85145</v>
      </c>
      <c r="G3289" t="s">
        <v>14137</v>
      </c>
      <c r="H3289">
        <v>197972.3</v>
      </c>
      <c r="I3289">
        <v>2049.1</v>
      </c>
      <c r="J3289" t="s">
        <v>120</v>
      </c>
      <c r="K3289" t="s">
        <v>14137</v>
      </c>
      <c r="L3289">
        <v>7.55</v>
      </c>
      <c r="M3289">
        <v>4.53</v>
      </c>
      <c r="N3289">
        <v>1.1399999999999999</v>
      </c>
      <c r="O3289">
        <v>0.22</v>
      </c>
      <c r="P3289">
        <v>4.54</v>
      </c>
      <c r="Q3289">
        <v>0</v>
      </c>
      <c r="R3289">
        <v>4.53</v>
      </c>
      <c r="S3289">
        <v>4.53</v>
      </c>
      <c r="T3289">
        <v>4368258</v>
      </c>
      <c r="U3289">
        <v>4.54</v>
      </c>
      <c r="V3289">
        <v>4.53</v>
      </c>
      <c r="W3289">
        <v>11.66</v>
      </c>
      <c r="X3289" t="s">
        <v>3322</v>
      </c>
      <c r="Y3289" t="s">
        <v>158</v>
      </c>
      <c r="Z3289">
        <v>0.22</v>
      </c>
      <c r="AA3289">
        <v>4.53</v>
      </c>
      <c r="AB3289">
        <v>3103370</v>
      </c>
      <c r="AC3289">
        <v>1264888</v>
      </c>
      <c r="AD3289">
        <v>2.4500000000000002</v>
      </c>
      <c r="AE3289">
        <v>6053728</v>
      </c>
      <c r="AF3289">
        <v>1218483</v>
      </c>
      <c r="AG3289" t="s">
        <v>120</v>
      </c>
      <c r="AH3289">
        <v>0.08</v>
      </c>
      <c r="AI3289" t="s">
        <v>120</v>
      </c>
      <c r="AJ3289">
        <v>57.86</v>
      </c>
      <c r="AK3289" t="s">
        <v>14138</v>
      </c>
      <c r="AL3289">
        <v>1.34</v>
      </c>
      <c r="AM3289">
        <v>4745</v>
      </c>
      <c r="AN3289">
        <v>921</v>
      </c>
      <c r="AO3289">
        <v>1.6000000000000001E-3</v>
      </c>
      <c r="AP3289">
        <v>0</v>
      </c>
      <c r="AQ3289">
        <v>0</v>
      </c>
      <c r="AR3289">
        <v>-0.22</v>
      </c>
      <c r="AS3289">
        <v>0</v>
      </c>
      <c r="AT3289">
        <v>0</v>
      </c>
      <c r="AU3289">
        <v>0</v>
      </c>
      <c r="AV3289">
        <v>0</v>
      </c>
      <c r="AW3289">
        <v>7.55</v>
      </c>
      <c r="AX3289">
        <v>7.47</v>
      </c>
      <c r="AY3289">
        <v>16.78</v>
      </c>
      <c r="AZ3289">
        <v>19.84</v>
      </c>
      <c r="BA3289">
        <v>0</v>
      </c>
      <c r="BB3289" t="s">
        <v>143</v>
      </c>
      <c r="BF3289">
        <v>0.05</v>
      </c>
      <c r="BG3289">
        <v>0</v>
      </c>
      <c r="BH3289">
        <v>-0.22</v>
      </c>
      <c r="BI3289">
        <v>0</v>
      </c>
      <c r="BJ3289">
        <v>20210819</v>
      </c>
      <c r="BK3289">
        <v>20210820</v>
      </c>
      <c r="BL3289">
        <v>913.29</v>
      </c>
      <c r="BM3289" t="s">
        <v>120</v>
      </c>
      <c r="BN3289">
        <v>138.77000000000001</v>
      </c>
      <c r="BO3289">
        <v>7064.85</v>
      </c>
      <c r="BP3289">
        <v>4.53</v>
      </c>
      <c r="BQ3289">
        <v>3731.67</v>
      </c>
      <c r="BR3289">
        <v>25.14</v>
      </c>
      <c r="BS3289">
        <v>46.82</v>
      </c>
      <c r="BT3289">
        <v>948.34</v>
      </c>
      <c r="BU3289">
        <v>4009.54</v>
      </c>
      <c r="BV3289">
        <v>375.43</v>
      </c>
      <c r="BW3289">
        <v>2626.18</v>
      </c>
      <c r="BX3289">
        <v>372.37</v>
      </c>
      <c r="BY3289">
        <v>47.27</v>
      </c>
      <c r="BZ3289">
        <v>319.68</v>
      </c>
      <c r="CA3289">
        <v>2.11</v>
      </c>
      <c r="CB3289">
        <v>307.14</v>
      </c>
      <c r="CC3289">
        <v>2175.4699999999998</v>
      </c>
      <c r="CD3289">
        <v>1499.68</v>
      </c>
      <c r="CE3289">
        <v>251.91</v>
      </c>
      <c r="CF3289">
        <v>32.43</v>
      </c>
      <c r="CG3289">
        <v>234.15</v>
      </c>
      <c r="CH3289">
        <v>178.66</v>
      </c>
      <c r="CI3289">
        <v>177.43</v>
      </c>
      <c r="CJ3289">
        <v>0</v>
      </c>
      <c r="CK3289">
        <v>164</v>
      </c>
      <c r="CL3289">
        <v>1823.2</v>
      </c>
      <c r="CM3289">
        <v>683.82</v>
      </c>
      <c r="CN3289">
        <v>115.14</v>
      </c>
      <c r="CO3289">
        <v>3031684</v>
      </c>
      <c r="CP3289">
        <v>1909</v>
      </c>
      <c r="CQ3289" t="s">
        <v>14139</v>
      </c>
      <c r="CR3289">
        <v>0</v>
      </c>
      <c r="CS3289">
        <v>0</v>
      </c>
      <c r="CT3289">
        <v>0.99</v>
      </c>
      <c r="CU3289">
        <v>6.05</v>
      </c>
      <c r="CV3289">
        <v>1.9</v>
      </c>
      <c r="CW3289">
        <v>0</v>
      </c>
      <c r="CX3289" t="s">
        <v>13944</v>
      </c>
      <c r="CY3289">
        <v>4.5999999999999996</v>
      </c>
      <c r="CZ3289">
        <v>4.5999999999999996</v>
      </c>
      <c r="DA3289">
        <v>0.34</v>
      </c>
      <c r="DB3289">
        <v>2</v>
      </c>
      <c r="DC3289">
        <v>0.75</v>
      </c>
      <c r="DD3289">
        <v>52.82</v>
      </c>
      <c r="DE3289" t="s">
        <v>5314</v>
      </c>
      <c r="DF3289">
        <v>31.06</v>
      </c>
      <c r="DG3289">
        <v>11.58</v>
      </c>
      <c r="DH3289">
        <v>8.16</v>
      </c>
      <c r="DI3289">
        <v>17.61</v>
      </c>
      <c r="DJ3289">
        <v>281192</v>
      </c>
      <c r="DK3289">
        <v>601728</v>
      </c>
      <c r="DL3289">
        <v>20210822</v>
      </c>
      <c r="DM3289">
        <v>6.11</v>
      </c>
      <c r="DN3289">
        <v>-25.86</v>
      </c>
    </row>
    <row r="3290" spans="1:118">
      <c r="A3290" t="str">
        <f>"601766"</f>
        <v>601766</v>
      </c>
      <c r="B3290" t="s">
        <v>14140</v>
      </c>
      <c r="C3290">
        <v>0.15</v>
      </c>
      <c r="D3290">
        <v>0</v>
      </c>
      <c r="E3290">
        <v>0.15</v>
      </c>
      <c r="F3290">
        <v>45261</v>
      </c>
      <c r="G3290" t="s">
        <v>14141</v>
      </c>
      <c r="H3290">
        <v>82617.179999999993</v>
      </c>
      <c r="I3290">
        <v>294</v>
      </c>
      <c r="J3290" t="s">
        <v>120</v>
      </c>
      <c r="K3290" t="s">
        <v>14142</v>
      </c>
      <c r="L3290">
        <v>0.52</v>
      </c>
      <c r="M3290">
        <v>6.48</v>
      </c>
      <c r="N3290">
        <v>0.6</v>
      </c>
      <c r="O3290">
        <v>2.3199999999999998</v>
      </c>
      <c r="P3290">
        <v>6.62</v>
      </c>
      <c r="Q3290">
        <v>-0.62</v>
      </c>
      <c r="R3290">
        <v>6.43</v>
      </c>
      <c r="S3290">
        <v>6.48</v>
      </c>
      <c r="T3290">
        <v>1268357</v>
      </c>
      <c r="U3290">
        <v>6.49</v>
      </c>
      <c r="V3290">
        <v>6.47</v>
      </c>
      <c r="W3290">
        <v>23.31</v>
      </c>
      <c r="X3290" t="s">
        <v>157</v>
      </c>
      <c r="Y3290" t="s">
        <v>158</v>
      </c>
      <c r="Z3290">
        <v>2.94</v>
      </c>
      <c r="AA3290">
        <v>6.51</v>
      </c>
      <c r="AB3290">
        <v>654673</v>
      </c>
      <c r="AC3290">
        <v>613683</v>
      </c>
      <c r="AD3290">
        <v>1.07</v>
      </c>
      <c r="AE3290">
        <v>5833</v>
      </c>
      <c r="AF3290">
        <v>4400</v>
      </c>
      <c r="AG3290" t="s">
        <v>120</v>
      </c>
      <c r="AH3290">
        <v>0</v>
      </c>
      <c r="AI3290" t="s">
        <v>120</v>
      </c>
      <c r="AJ3290">
        <v>243.28</v>
      </c>
      <c r="AK3290" t="s">
        <v>14142</v>
      </c>
      <c r="AL3290">
        <v>1.5</v>
      </c>
      <c r="AM3290">
        <v>4443</v>
      </c>
      <c r="AN3290">
        <v>285</v>
      </c>
      <c r="AO3290">
        <v>1E-4</v>
      </c>
      <c r="AP3290">
        <v>1</v>
      </c>
      <c r="AQ3290">
        <v>-1.07</v>
      </c>
      <c r="AR3290">
        <v>-3</v>
      </c>
      <c r="AS3290">
        <v>9.2799999999999994</v>
      </c>
      <c r="AT3290">
        <v>8.18</v>
      </c>
      <c r="AU3290">
        <v>26.31</v>
      </c>
      <c r="AV3290">
        <v>4</v>
      </c>
      <c r="AW3290">
        <v>1.3</v>
      </c>
      <c r="AX3290">
        <v>40.159999999999997</v>
      </c>
      <c r="AY3290">
        <v>15.97</v>
      </c>
      <c r="AZ3290">
        <v>16.39</v>
      </c>
      <c r="BA3290">
        <v>0.79</v>
      </c>
      <c r="BB3290" t="s">
        <v>143</v>
      </c>
      <c r="BF3290">
        <v>0.68</v>
      </c>
      <c r="BG3290">
        <v>0</v>
      </c>
      <c r="BH3290">
        <v>-2.11</v>
      </c>
      <c r="BI3290">
        <v>0.78</v>
      </c>
      <c r="BJ3290">
        <v>20210910</v>
      </c>
      <c r="BK3290">
        <v>20080818</v>
      </c>
      <c r="BL3290">
        <v>286.99</v>
      </c>
      <c r="BM3290" t="s">
        <v>120</v>
      </c>
      <c r="BN3290">
        <v>43.71</v>
      </c>
      <c r="BO3290">
        <v>4373.2</v>
      </c>
      <c r="BP3290">
        <v>6.48</v>
      </c>
      <c r="BQ3290">
        <v>1418.61</v>
      </c>
      <c r="BR3290">
        <v>269.36</v>
      </c>
      <c r="BS3290">
        <v>61.4</v>
      </c>
      <c r="BT3290">
        <v>2899.33</v>
      </c>
      <c r="BU3290">
        <v>574.59</v>
      </c>
      <c r="BV3290">
        <v>159.97</v>
      </c>
      <c r="BW3290">
        <v>2397.12</v>
      </c>
      <c r="BX3290">
        <v>354.95</v>
      </c>
      <c r="BY3290">
        <v>748.2</v>
      </c>
      <c r="BZ3290">
        <v>962.16</v>
      </c>
      <c r="CA3290">
        <v>1.32</v>
      </c>
      <c r="CB3290">
        <v>411.25</v>
      </c>
      <c r="CC3290">
        <v>954.64</v>
      </c>
      <c r="CD3290">
        <v>753.92</v>
      </c>
      <c r="CE3290">
        <v>56.47</v>
      </c>
      <c r="CF3290">
        <v>1.4</v>
      </c>
      <c r="CG3290">
        <v>59.07</v>
      </c>
      <c r="CH3290">
        <v>48.58</v>
      </c>
      <c r="CI3290">
        <v>39.89</v>
      </c>
      <c r="CJ3290">
        <v>0.01</v>
      </c>
      <c r="CK3290">
        <v>28</v>
      </c>
      <c r="CL3290">
        <v>685.74</v>
      </c>
      <c r="CM3290">
        <v>-115.71</v>
      </c>
      <c r="CN3290">
        <v>-82.77</v>
      </c>
      <c r="CO3290">
        <v>763885</v>
      </c>
      <c r="CP3290">
        <v>12789</v>
      </c>
      <c r="CQ3290" t="s">
        <v>9368</v>
      </c>
      <c r="CR3290">
        <v>8.02</v>
      </c>
      <c r="CS3290">
        <v>6.78</v>
      </c>
      <c r="CT3290">
        <v>1.31</v>
      </c>
      <c r="CU3290">
        <v>-16.07</v>
      </c>
      <c r="CV3290">
        <v>1.95</v>
      </c>
      <c r="CW3290">
        <v>2.78</v>
      </c>
      <c r="CX3290" t="s">
        <v>300</v>
      </c>
      <c r="CY3290">
        <v>4.9400000000000004</v>
      </c>
      <c r="CZ3290">
        <v>0</v>
      </c>
      <c r="DA3290">
        <v>1.43</v>
      </c>
      <c r="DB3290">
        <v>2.39</v>
      </c>
      <c r="DC3290">
        <v>-0.4</v>
      </c>
      <c r="DD3290">
        <v>32.44</v>
      </c>
      <c r="DE3290" t="s">
        <v>3586</v>
      </c>
      <c r="DF3290">
        <v>21.03</v>
      </c>
      <c r="DG3290">
        <v>5.92</v>
      </c>
      <c r="DH3290">
        <v>4.18</v>
      </c>
      <c r="DI3290">
        <v>50.87</v>
      </c>
      <c r="DJ3290">
        <v>164177</v>
      </c>
      <c r="DK3290">
        <v>601766</v>
      </c>
      <c r="DL3290">
        <v>20210902</v>
      </c>
      <c r="DM3290">
        <v>6.99</v>
      </c>
      <c r="DN3290">
        <v>-7.3</v>
      </c>
    </row>
    <row r="3291" spans="1:118">
      <c r="A3291" t="str">
        <f>"601777"</f>
        <v>601777</v>
      </c>
      <c r="B3291" t="s">
        <v>14143</v>
      </c>
      <c r="C3291">
        <v>-1.68</v>
      </c>
      <c r="D3291">
        <v>0</v>
      </c>
      <c r="E3291">
        <v>0.42</v>
      </c>
      <c r="F3291">
        <v>2286</v>
      </c>
      <c r="G3291" t="s">
        <v>14144</v>
      </c>
      <c r="H3291">
        <v>23795.57</v>
      </c>
      <c r="I3291">
        <v>165.64</v>
      </c>
      <c r="J3291" t="s">
        <v>120</v>
      </c>
      <c r="K3291" t="s">
        <v>14145</v>
      </c>
      <c r="L3291">
        <v>1.47</v>
      </c>
      <c r="M3291">
        <v>7.03</v>
      </c>
      <c r="N3291">
        <v>1.1499999999999999</v>
      </c>
      <c r="O3291">
        <v>4.0599999999999996</v>
      </c>
      <c r="P3291">
        <v>7.44</v>
      </c>
      <c r="Q3291">
        <v>-1.68</v>
      </c>
      <c r="R3291">
        <v>7.03</v>
      </c>
      <c r="S3291">
        <v>7.18</v>
      </c>
      <c r="T3291">
        <v>330574</v>
      </c>
      <c r="U3291">
        <v>7.04</v>
      </c>
      <c r="V3291">
        <v>7.15</v>
      </c>
      <c r="W3291">
        <v>422.94</v>
      </c>
      <c r="X3291" t="s">
        <v>2427</v>
      </c>
      <c r="Y3291" t="s">
        <v>883</v>
      </c>
      <c r="Z3291">
        <v>5.73</v>
      </c>
      <c r="AA3291">
        <v>7.2</v>
      </c>
      <c r="AB3291">
        <v>170860</v>
      </c>
      <c r="AC3291">
        <v>159714</v>
      </c>
      <c r="AD3291">
        <v>1.07</v>
      </c>
      <c r="AE3291">
        <v>2650</v>
      </c>
      <c r="AF3291">
        <v>209</v>
      </c>
      <c r="AG3291" t="s">
        <v>120</v>
      </c>
      <c r="AH3291">
        <v>0.02</v>
      </c>
      <c r="AI3291" t="s">
        <v>120</v>
      </c>
      <c r="AJ3291">
        <v>22.5</v>
      </c>
      <c r="AK3291" t="s">
        <v>14146</v>
      </c>
      <c r="AL3291">
        <v>-0.33</v>
      </c>
      <c r="AM3291">
        <v>3320</v>
      </c>
      <c r="AN3291">
        <v>100</v>
      </c>
      <c r="AO3291">
        <v>4.0000000000000002E-4</v>
      </c>
      <c r="AP3291">
        <v>-1</v>
      </c>
      <c r="AQ3291">
        <v>2.29</v>
      </c>
      <c r="AR3291">
        <v>-3.04</v>
      </c>
      <c r="AS3291">
        <v>23.55</v>
      </c>
      <c r="AT3291">
        <v>32.14</v>
      </c>
      <c r="AU3291">
        <v>48.62</v>
      </c>
      <c r="AV3291">
        <v>16</v>
      </c>
      <c r="AW3291">
        <v>2.66</v>
      </c>
      <c r="AX3291">
        <v>27.62</v>
      </c>
      <c r="AY3291">
        <v>11.96</v>
      </c>
      <c r="AZ3291">
        <v>553.75</v>
      </c>
      <c r="BA3291">
        <v>0.91</v>
      </c>
      <c r="BB3291" t="s">
        <v>143</v>
      </c>
      <c r="BF3291">
        <v>0.68</v>
      </c>
      <c r="BG3291">
        <v>-2.09</v>
      </c>
      <c r="BH3291">
        <v>-5.51</v>
      </c>
      <c r="BI3291">
        <v>0</v>
      </c>
      <c r="BJ3291">
        <v>20210814</v>
      </c>
      <c r="BK3291">
        <v>20101125</v>
      </c>
      <c r="BL3291">
        <v>45</v>
      </c>
      <c r="BM3291" t="s">
        <v>120</v>
      </c>
      <c r="BN3291" t="s">
        <v>120</v>
      </c>
      <c r="BO3291">
        <v>177.51</v>
      </c>
      <c r="BP3291">
        <v>7.03</v>
      </c>
      <c r="BQ3291">
        <v>101.03</v>
      </c>
      <c r="BR3291">
        <v>11.29</v>
      </c>
      <c r="BS3291">
        <v>36.729999999999997</v>
      </c>
      <c r="BT3291">
        <v>71.92</v>
      </c>
      <c r="BU3291">
        <v>20.190000000000001</v>
      </c>
      <c r="BV3291">
        <v>5.4</v>
      </c>
      <c r="BW3291">
        <v>24.95</v>
      </c>
      <c r="BX3291">
        <v>28.67</v>
      </c>
      <c r="BY3291">
        <v>27.62</v>
      </c>
      <c r="BZ3291">
        <v>6.15</v>
      </c>
      <c r="CA3291">
        <v>0.19</v>
      </c>
      <c r="CB3291">
        <v>85.42</v>
      </c>
      <c r="CC3291">
        <v>17.36</v>
      </c>
      <c r="CD3291">
        <v>14.85</v>
      </c>
      <c r="CE3291">
        <v>0.44</v>
      </c>
      <c r="CF3291">
        <v>2.1</v>
      </c>
      <c r="CG3291">
        <v>0.45</v>
      </c>
      <c r="CH3291">
        <v>0.28999999999999998</v>
      </c>
      <c r="CI3291">
        <v>0.37</v>
      </c>
      <c r="CJ3291">
        <v>-0.12</v>
      </c>
      <c r="CK3291">
        <v>0.25</v>
      </c>
      <c r="CL3291">
        <v>-30.23</v>
      </c>
      <c r="CM3291">
        <v>7.98</v>
      </c>
      <c r="CN3291">
        <v>3.38</v>
      </c>
      <c r="CO3291">
        <v>50665</v>
      </c>
      <c r="CP3291">
        <v>24528</v>
      </c>
      <c r="CQ3291" t="s">
        <v>14147</v>
      </c>
      <c r="CR3291">
        <v>101.44</v>
      </c>
      <c r="CS3291">
        <v>9.59</v>
      </c>
      <c r="CT3291">
        <v>3.13</v>
      </c>
      <c r="CU3291">
        <v>39.659999999999997</v>
      </c>
      <c r="CV3291">
        <v>18.23</v>
      </c>
      <c r="CW3291">
        <v>0</v>
      </c>
      <c r="CX3291" t="s">
        <v>178</v>
      </c>
      <c r="CY3291">
        <v>2.25</v>
      </c>
      <c r="CZ3291">
        <v>0</v>
      </c>
      <c r="DA3291">
        <v>1.9</v>
      </c>
      <c r="DB3291">
        <v>-0.67</v>
      </c>
      <c r="DC3291">
        <v>0.18</v>
      </c>
      <c r="DD3291">
        <v>56.92</v>
      </c>
      <c r="DE3291" t="s">
        <v>4668</v>
      </c>
      <c r="DF3291">
        <v>14.45</v>
      </c>
      <c r="DG3291">
        <v>2.56</v>
      </c>
      <c r="DH3291">
        <v>2.15</v>
      </c>
      <c r="DI3291">
        <v>0.31</v>
      </c>
      <c r="DJ3291">
        <v>5544</v>
      </c>
      <c r="DK3291">
        <v>601777</v>
      </c>
      <c r="DL3291" t="s">
        <v>120</v>
      </c>
      <c r="DM3291" t="s">
        <v>120</v>
      </c>
      <c r="DN3291" t="s">
        <v>120</v>
      </c>
    </row>
    <row r="3292" spans="1:118">
      <c r="A3292" t="str">
        <f>"601778"</f>
        <v>601778</v>
      </c>
      <c r="B3292" t="s">
        <v>14148</v>
      </c>
      <c r="C3292">
        <v>-9.9499999999999993</v>
      </c>
      <c r="D3292">
        <v>0</v>
      </c>
      <c r="E3292">
        <v>1.24</v>
      </c>
      <c r="F3292">
        <v>18516</v>
      </c>
      <c r="G3292" t="s">
        <v>14149</v>
      </c>
      <c r="H3292">
        <v>114554.63</v>
      </c>
      <c r="I3292">
        <v>1526.93</v>
      </c>
      <c r="J3292">
        <v>786.27</v>
      </c>
      <c r="K3292" t="s">
        <v>14150</v>
      </c>
      <c r="L3292">
        <v>7.22</v>
      </c>
      <c r="M3292">
        <v>8.69</v>
      </c>
      <c r="N3292">
        <v>1.08</v>
      </c>
      <c r="O3292">
        <v>1.35</v>
      </c>
      <c r="P3292">
        <v>9.7799999999999994</v>
      </c>
      <c r="Q3292">
        <v>-9.9499999999999993</v>
      </c>
      <c r="R3292">
        <v>8.69</v>
      </c>
      <c r="S3292">
        <v>9.77</v>
      </c>
      <c r="T3292">
        <v>1257537</v>
      </c>
      <c r="U3292">
        <v>8.69</v>
      </c>
      <c r="V3292">
        <v>9.65</v>
      </c>
      <c r="W3292">
        <v>70.56</v>
      </c>
      <c r="X3292" t="s">
        <v>356</v>
      </c>
      <c r="Y3292" t="s">
        <v>676</v>
      </c>
      <c r="Z3292">
        <v>11.3</v>
      </c>
      <c r="AA3292">
        <v>9.11</v>
      </c>
      <c r="AB3292">
        <v>653760</v>
      </c>
      <c r="AC3292">
        <v>603777</v>
      </c>
      <c r="AD3292">
        <v>1.08</v>
      </c>
      <c r="AE3292">
        <v>0</v>
      </c>
      <c r="AF3292">
        <v>9048</v>
      </c>
      <c r="AG3292" t="s">
        <v>120</v>
      </c>
      <c r="AH3292">
        <v>0.17</v>
      </c>
      <c r="AI3292">
        <v>0.01</v>
      </c>
      <c r="AJ3292">
        <v>17.41</v>
      </c>
      <c r="AK3292" t="s">
        <v>14151</v>
      </c>
      <c r="AL3292">
        <v>-8.6</v>
      </c>
      <c r="AM3292">
        <v>4695</v>
      </c>
      <c r="AN3292">
        <v>268</v>
      </c>
      <c r="AO3292">
        <v>1.5E-3</v>
      </c>
      <c r="AP3292">
        <v>-1</v>
      </c>
      <c r="AQ3292">
        <v>10.029999999999999</v>
      </c>
      <c r="AR3292">
        <v>-0.23</v>
      </c>
      <c r="AS3292">
        <v>12.71</v>
      </c>
      <c r="AT3292">
        <v>56.29</v>
      </c>
      <c r="AU3292">
        <v>19.7</v>
      </c>
      <c r="AV3292">
        <v>5</v>
      </c>
      <c r="AW3292">
        <v>13.75</v>
      </c>
      <c r="AX3292">
        <v>33.06</v>
      </c>
      <c r="AY3292">
        <v>62.2</v>
      </c>
      <c r="AZ3292">
        <v>56.09</v>
      </c>
      <c r="BA3292">
        <v>0.47</v>
      </c>
      <c r="BB3292" t="s">
        <v>143</v>
      </c>
      <c r="BF3292">
        <v>-5.6</v>
      </c>
      <c r="BG3292">
        <v>-11.05</v>
      </c>
      <c r="BH3292">
        <v>-11.15</v>
      </c>
      <c r="BI3292">
        <v>0</v>
      </c>
      <c r="BJ3292">
        <v>20210821</v>
      </c>
      <c r="BK3292">
        <v>20200519</v>
      </c>
      <c r="BL3292">
        <v>27.66</v>
      </c>
      <c r="BM3292" t="s">
        <v>120</v>
      </c>
      <c r="BN3292" t="s">
        <v>120</v>
      </c>
      <c r="BO3292">
        <v>321.38</v>
      </c>
      <c r="BP3292" t="s">
        <v>120</v>
      </c>
      <c r="BQ3292">
        <v>116.71</v>
      </c>
      <c r="BR3292">
        <v>0.89</v>
      </c>
      <c r="BS3292">
        <v>63.41</v>
      </c>
      <c r="BT3292">
        <v>136.6</v>
      </c>
      <c r="BU3292">
        <v>149.79</v>
      </c>
      <c r="BV3292">
        <v>1.75</v>
      </c>
      <c r="BW3292">
        <v>84.15</v>
      </c>
      <c r="BX3292">
        <v>54.24</v>
      </c>
      <c r="BY3292">
        <v>1.43</v>
      </c>
      <c r="BZ3292">
        <v>43.91</v>
      </c>
      <c r="CA3292">
        <v>0.04</v>
      </c>
      <c r="CB3292">
        <v>55.47</v>
      </c>
      <c r="CC3292">
        <v>17.809999999999999</v>
      </c>
      <c r="CD3292">
        <v>10.43</v>
      </c>
      <c r="CE3292">
        <v>2.48</v>
      </c>
      <c r="CF3292">
        <v>0.36</v>
      </c>
      <c r="CG3292">
        <v>2.09</v>
      </c>
      <c r="CH3292">
        <v>1.77</v>
      </c>
      <c r="CI3292">
        <v>1.7</v>
      </c>
      <c r="CJ3292">
        <v>-0.96</v>
      </c>
      <c r="CK3292">
        <v>1.03</v>
      </c>
      <c r="CL3292">
        <v>27.9</v>
      </c>
      <c r="CM3292">
        <v>3.93</v>
      </c>
      <c r="CN3292">
        <v>30.03</v>
      </c>
      <c r="CO3292">
        <v>97125</v>
      </c>
      <c r="CP3292">
        <v>9414</v>
      </c>
      <c r="CQ3292" t="s">
        <v>5342</v>
      </c>
      <c r="CR3292">
        <v>-21.55</v>
      </c>
      <c r="CS3292">
        <v>2.62</v>
      </c>
      <c r="CT3292">
        <v>2.16</v>
      </c>
      <c r="CU3292">
        <v>61.18</v>
      </c>
      <c r="CV3292">
        <v>13.5</v>
      </c>
      <c r="CW3292">
        <v>0.18</v>
      </c>
      <c r="CX3292" t="s">
        <v>1064</v>
      </c>
      <c r="CY3292">
        <v>4.03</v>
      </c>
      <c r="CZ3292">
        <v>4.03</v>
      </c>
      <c r="DA3292">
        <v>2.0099999999999998</v>
      </c>
      <c r="DB3292">
        <v>1.01</v>
      </c>
      <c r="DC3292">
        <v>0.14000000000000001</v>
      </c>
      <c r="DD3292">
        <v>36.32</v>
      </c>
      <c r="DE3292" t="s">
        <v>536</v>
      </c>
      <c r="DF3292">
        <v>41.44</v>
      </c>
      <c r="DG3292">
        <v>13.95</v>
      </c>
      <c r="DH3292">
        <v>9.56</v>
      </c>
      <c r="DI3292">
        <v>0.03</v>
      </c>
      <c r="DJ3292">
        <v>1180</v>
      </c>
      <c r="DK3292">
        <v>601778</v>
      </c>
      <c r="DL3292" t="s">
        <v>120</v>
      </c>
      <c r="DM3292" t="s">
        <v>120</v>
      </c>
      <c r="DN3292" t="s">
        <v>120</v>
      </c>
    </row>
    <row r="3293" spans="1:118">
      <c r="A3293" t="str">
        <f>"601788"</f>
        <v>601788</v>
      </c>
      <c r="B3293" t="s">
        <v>14152</v>
      </c>
      <c r="C3293">
        <v>-1.22</v>
      </c>
      <c r="D3293">
        <v>0.19</v>
      </c>
      <c r="E3293">
        <v>0.12</v>
      </c>
      <c r="F3293">
        <v>5171</v>
      </c>
      <c r="G3293" t="s">
        <v>14153</v>
      </c>
      <c r="H3293">
        <v>63475.05</v>
      </c>
      <c r="I3293">
        <v>148.62</v>
      </c>
      <c r="J3293" t="s">
        <v>120</v>
      </c>
      <c r="K3293" t="s">
        <v>14154</v>
      </c>
      <c r="L3293">
        <v>1</v>
      </c>
      <c r="M3293">
        <v>16.22</v>
      </c>
      <c r="N3293">
        <v>0.68</v>
      </c>
      <c r="O3293">
        <v>0.73</v>
      </c>
      <c r="P3293">
        <v>16.54</v>
      </c>
      <c r="Q3293">
        <v>-1.58</v>
      </c>
      <c r="R3293">
        <v>16.16</v>
      </c>
      <c r="S3293">
        <v>16.440000000000001</v>
      </c>
      <c r="T3293">
        <v>389028</v>
      </c>
      <c r="U3293">
        <v>16.22</v>
      </c>
      <c r="V3293">
        <v>16.420000000000002</v>
      </c>
      <c r="W3293">
        <v>16.53</v>
      </c>
      <c r="X3293" t="s">
        <v>616</v>
      </c>
      <c r="Y3293" t="s">
        <v>1510</v>
      </c>
      <c r="Z3293">
        <v>2.31</v>
      </c>
      <c r="AA3293">
        <v>16.32</v>
      </c>
      <c r="AB3293">
        <v>210258</v>
      </c>
      <c r="AC3293">
        <v>178770</v>
      </c>
      <c r="AD3293">
        <v>1.18</v>
      </c>
      <c r="AE3293">
        <v>36</v>
      </c>
      <c r="AF3293">
        <v>442</v>
      </c>
      <c r="AG3293" t="s">
        <v>120</v>
      </c>
      <c r="AH3293">
        <v>0.01</v>
      </c>
      <c r="AI3293" t="s">
        <v>120</v>
      </c>
      <c r="AJ3293">
        <v>39.07</v>
      </c>
      <c r="AK3293" t="s">
        <v>14154</v>
      </c>
      <c r="AL3293">
        <v>0.13</v>
      </c>
      <c r="AM3293">
        <v>4351</v>
      </c>
      <c r="AN3293">
        <v>89</v>
      </c>
      <c r="AO3293">
        <v>2.0000000000000001E-4</v>
      </c>
      <c r="AP3293">
        <v>-4</v>
      </c>
      <c r="AQ3293">
        <v>-0.12</v>
      </c>
      <c r="AR3293">
        <v>-4.87</v>
      </c>
      <c r="AS3293">
        <v>2.92</v>
      </c>
      <c r="AT3293">
        <v>-3.58</v>
      </c>
      <c r="AU3293">
        <v>-11.67</v>
      </c>
      <c r="AV3293">
        <v>3</v>
      </c>
      <c r="AW3293">
        <v>2.1800000000000002</v>
      </c>
      <c r="AX3293">
        <v>45.74</v>
      </c>
      <c r="AY3293">
        <v>30.97</v>
      </c>
      <c r="AZ3293">
        <v>32.44</v>
      </c>
      <c r="BA3293">
        <v>1.46</v>
      </c>
      <c r="BB3293" t="s">
        <v>240</v>
      </c>
      <c r="BF3293">
        <v>-0.63</v>
      </c>
      <c r="BG3293">
        <v>-1.34</v>
      </c>
      <c r="BH3293">
        <v>-1.93</v>
      </c>
      <c r="BI3293">
        <v>0.37</v>
      </c>
      <c r="BJ3293">
        <v>20210831</v>
      </c>
      <c r="BK3293">
        <v>20090818</v>
      </c>
      <c r="BL3293">
        <v>46.11</v>
      </c>
      <c r="BM3293" t="s">
        <v>120</v>
      </c>
      <c r="BN3293">
        <v>7.04</v>
      </c>
      <c r="BO3293">
        <v>2461.0100000000002</v>
      </c>
      <c r="BP3293">
        <v>16.21</v>
      </c>
      <c r="BQ3293">
        <v>565.91999999999996</v>
      </c>
      <c r="BR3293">
        <v>7.88</v>
      </c>
      <c r="BS3293">
        <v>76.680000000000007</v>
      </c>
      <c r="BT3293">
        <v>0</v>
      </c>
      <c r="BU3293">
        <v>8.4600000000000009</v>
      </c>
      <c r="BV3293">
        <v>2.12</v>
      </c>
      <c r="BW3293">
        <v>0</v>
      </c>
      <c r="BX3293">
        <v>799.24</v>
      </c>
      <c r="BY3293">
        <v>0</v>
      </c>
      <c r="BZ3293">
        <v>0</v>
      </c>
      <c r="CA3293" t="s">
        <v>120</v>
      </c>
      <c r="CB3293">
        <v>241.99</v>
      </c>
      <c r="CC3293">
        <v>79.989999999999995</v>
      </c>
      <c r="CD3293">
        <v>0</v>
      </c>
      <c r="CE3293">
        <v>29.8</v>
      </c>
      <c r="CF3293">
        <v>12.08</v>
      </c>
      <c r="CG3293">
        <v>29.81</v>
      </c>
      <c r="CH3293">
        <v>23.04</v>
      </c>
      <c r="CI3293">
        <v>22.62</v>
      </c>
      <c r="CJ3293">
        <v>-0.2</v>
      </c>
      <c r="CK3293">
        <v>20.76</v>
      </c>
      <c r="CL3293">
        <v>115.39</v>
      </c>
      <c r="CM3293">
        <v>-36.159999999999997</v>
      </c>
      <c r="CN3293">
        <v>101.44</v>
      </c>
      <c r="CO3293">
        <v>230222</v>
      </c>
      <c r="CP3293">
        <v>7761</v>
      </c>
      <c r="CQ3293" t="s">
        <v>11898</v>
      </c>
      <c r="CR3293">
        <v>5.13</v>
      </c>
      <c r="CS3293">
        <v>26.66</v>
      </c>
      <c r="CT3293">
        <v>1.45</v>
      </c>
      <c r="CU3293">
        <v>-20.68</v>
      </c>
      <c r="CV3293">
        <v>9.35</v>
      </c>
      <c r="CW3293">
        <v>0.96</v>
      </c>
      <c r="CX3293" t="s">
        <v>780</v>
      </c>
      <c r="CY3293">
        <v>11.19</v>
      </c>
      <c r="CZ3293">
        <v>11.19</v>
      </c>
      <c r="DA3293">
        <v>5.25</v>
      </c>
      <c r="DB3293">
        <v>2.5</v>
      </c>
      <c r="DC3293">
        <v>-0.78</v>
      </c>
      <c r="DD3293">
        <v>23</v>
      </c>
      <c r="DE3293" t="s">
        <v>2417</v>
      </c>
      <c r="DF3293" t="s">
        <v>120</v>
      </c>
      <c r="DG3293">
        <v>37.26</v>
      </c>
      <c r="DH3293">
        <v>28.28</v>
      </c>
      <c r="DI3293" t="s">
        <v>120</v>
      </c>
      <c r="DJ3293">
        <v>9162</v>
      </c>
      <c r="DK3293">
        <v>601788</v>
      </c>
      <c r="DL3293" t="s">
        <v>120</v>
      </c>
      <c r="DM3293" t="s">
        <v>120</v>
      </c>
      <c r="DN3293" t="s">
        <v>120</v>
      </c>
    </row>
    <row r="3294" spans="1:118">
      <c r="A3294" t="str">
        <f>"601789"</f>
        <v>601789</v>
      </c>
      <c r="B3294" t="s">
        <v>14155</v>
      </c>
      <c r="C3294">
        <v>-0.74</v>
      </c>
      <c r="D3294">
        <v>-0.24</v>
      </c>
      <c r="E3294">
        <v>0</v>
      </c>
      <c r="F3294">
        <v>2279</v>
      </c>
      <c r="G3294" t="s">
        <v>4354</v>
      </c>
      <c r="H3294">
        <v>6467.35</v>
      </c>
      <c r="I3294">
        <v>4.92</v>
      </c>
      <c r="J3294" t="s">
        <v>120</v>
      </c>
      <c r="K3294" t="s">
        <v>148</v>
      </c>
      <c r="L3294">
        <v>1.63</v>
      </c>
      <c r="M3294">
        <v>4</v>
      </c>
      <c r="N3294">
        <v>0.92</v>
      </c>
      <c r="O3294">
        <v>2.23</v>
      </c>
      <c r="P3294">
        <v>4.12</v>
      </c>
      <c r="Q3294">
        <v>-0.74</v>
      </c>
      <c r="R3294">
        <v>4</v>
      </c>
      <c r="S3294">
        <v>4.03</v>
      </c>
      <c r="T3294">
        <v>159588</v>
      </c>
      <c r="U3294">
        <v>4.01</v>
      </c>
      <c r="V3294">
        <v>4.03</v>
      </c>
      <c r="W3294">
        <v>8.5299999999999994</v>
      </c>
      <c r="X3294" t="s">
        <v>175</v>
      </c>
      <c r="Y3294" t="s">
        <v>585</v>
      </c>
      <c r="Z3294">
        <v>2.98</v>
      </c>
      <c r="AA3294">
        <v>4.05</v>
      </c>
      <c r="AB3294">
        <v>81998</v>
      </c>
      <c r="AC3294">
        <v>77590</v>
      </c>
      <c r="AD3294">
        <v>1.06</v>
      </c>
      <c r="AE3294">
        <v>3072</v>
      </c>
      <c r="AF3294">
        <v>612</v>
      </c>
      <c r="AG3294" t="s">
        <v>120</v>
      </c>
      <c r="AH3294">
        <v>0</v>
      </c>
      <c r="AI3294" t="s">
        <v>120</v>
      </c>
      <c r="AJ3294">
        <v>9.76</v>
      </c>
      <c r="AK3294" t="s">
        <v>148</v>
      </c>
      <c r="AL3294">
        <v>0.6</v>
      </c>
      <c r="AM3294">
        <v>2960</v>
      </c>
      <c r="AN3294">
        <v>54</v>
      </c>
      <c r="AO3294">
        <v>5.9999999999999995E-4</v>
      </c>
      <c r="AP3294">
        <v>-1</v>
      </c>
      <c r="AQ3294">
        <v>0.25</v>
      </c>
      <c r="AR3294">
        <v>-1.72</v>
      </c>
      <c r="AS3294">
        <v>14.28</v>
      </c>
      <c r="AT3294">
        <v>5.54</v>
      </c>
      <c r="AU3294">
        <v>2.83</v>
      </c>
      <c r="AV3294">
        <v>0</v>
      </c>
      <c r="AW3294">
        <v>2.69</v>
      </c>
      <c r="AX3294">
        <v>60.87</v>
      </c>
      <c r="AY3294">
        <v>10.11</v>
      </c>
      <c r="AZ3294">
        <v>14.07</v>
      </c>
      <c r="BA3294">
        <v>0.57999999999999996</v>
      </c>
      <c r="BB3294" t="s">
        <v>143</v>
      </c>
      <c r="BF3294">
        <v>0.56000000000000005</v>
      </c>
      <c r="BG3294">
        <v>-0.74</v>
      </c>
      <c r="BH3294">
        <v>-2.91</v>
      </c>
      <c r="BI3294">
        <v>0</v>
      </c>
      <c r="BJ3294">
        <v>20210824</v>
      </c>
      <c r="BK3294">
        <v>20110816</v>
      </c>
      <c r="BL3294">
        <v>9.76</v>
      </c>
      <c r="BM3294" t="s">
        <v>120</v>
      </c>
      <c r="BN3294" t="s">
        <v>120</v>
      </c>
      <c r="BO3294">
        <v>197.98</v>
      </c>
      <c r="BP3294">
        <v>4</v>
      </c>
      <c r="BQ3294">
        <v>36.79</v>
      </c>
      <c r="BR3294">
        <v>4.1900000000000004</v>
      </c>
      <c r="BS3294">
        <v>79.3</v>
      </c>
      <c r="BT3294">
        <v>169.53</v>
      </c>
      <c r="BU3294">
        <v>12.09</v>
      </c>
      <c r="BV3294">
        <v>2.83</v>
      </c>
      <c r="BW3294">
        <v>146.77000000000001</v>
      </c>
      <c r="BX3294">
        <v>28.47</v>
      </c>
      <c r="BY3294">
        <v>6.9</v>
      </c>
      <c r="BZ3294">
        <v>37.880000000000003</v>
      </c>
      <c r="CA3294" t="s">
        <v>120</v>
      </c>
      <c r="CB3294">
        <v>5.17</v>
      </c>
      <c r="CC3294">
        <v>105.09</v>
      </c>
      <c r="CD3294">
        <v>97.61</v>
      </c>
      <c r="CE3294">
        <v>2.94</v>
      </c>
      <c r="CF3294">
        <v>-0.12</v>
      </c>
      <c r="CG3294">
        <v>2.95</v>
      </c>
      <c r="CH3294">
        <v>2.44</v>
      </c>
      <c r="CI3294">
        <v>2.29</v>
      </c>
      <c r="CJ3294">
        <v>-0.03</v>
      </c>
      <c r="CK3294">
        <v>1.18</v>
      </c>
      <c r="CL3294">
        <v>15.76</v>
      </c>
      <c r="CM3294">
        <v>-7.56</v>
      </c>
      <c r="CN3294">
        <v>2.4900000000000002</v>
      </c>
      <c r="CO3294">
        <v>44641</v>
      </c>
      <c r="CP3294">
        <v>13309</v>
      </c>
      <c r="CQ3294" t="s">
        <v>1545</v>
      </c>
      <c r="CR3294">
        <v>91.92</v>
      </c>
      <c r="CS3294">
        <v>14.87</v>
      </c>
      <c r="CT3294">
        <v>1.23</v>
      </c>
      <c r="CU3294">
        <v>-5.17</v>
      </c>
      <c r="CV3294">
        <v>0.37</v>
      </c>
      <c r="CW3294">
        <v>2.48</v>
      </c>
      <c r="CX3294" t="s">
        <v>3361</v>
      </c>
      <c r="CY3294">
        <v>3.26</v>
      </c>
      <c r="CZ3294">
        <v>3.26</v>
      </c>
      <c r="DA3294">
        <v>0.53</v>
      </c>
      <c r="DB3294">
        <v>1.61</v>
      </c>
      <c r="DC3294">
        <v>-0.77</v>
      </c>
      <c r="DD3294">
        <v>18.579999999999998</v>
      </c>
      <c r="DE3294" t="s">
        <v>10741</v>
      </c>
      <c r="DF3294">
        <v>7.12</v>
      </c>
      <c r="DG3294">
        <v>2.8</v>
      </c>
      <c r="DH3294">
        <v>2.1800000000000002</v>
      </c>
      <c r="DI3294">
        <v>2.04</v>
      </c>
      <c r="DJ3294">
        <v>5548</v>
      </c>
      <c r="DK3294">
        <v>601789</v>
      </c>
      <c r="DL3294" t="s">
        <v>120</v>
      </c>
      <c r="DM3294" t="s">
        <v>120</v>
      </c>
      <c r="DN3294" t="s">
        <v>120</v>
      </c>
    </row>
    <row r="3295" spans="1:118">
      <c r="A3295" t="str">
        <f>"601798"</f>
        <v>601798</v>
      </c>
      <c r="B3295" t="s">
        <v>14156</v>
      </c>
      <c r="C3295">
        <v>-1.1499999999999999</v>
      </c>
      <c r="D3295">
        <v>-0.16</v>
      </c>
      <c r="E3295">
        <v>0.16</v>
      </c>
      <c r="F3295">
        <v>254</v>
      </c>
      <c r="G3295" t="s">
        <v>14157</v>
      </c>
      <c r="H3295">
        <v>2055.42</v>
      </c>
      <c r="I3295">
        <v>0.85</v>
      </c>
      <c r="J3295" t="s">
        <v>120</v>
      </c>
      <c r="K3295" t="s">
        <v>2579</v>
      </c>
      <c r="L3295">
        <v>0.95</v>
      </c>
      <c r="M3295">
        <v>6</v>
      </c>
      <c r="N3295">
        <v>0.98</v>
      </c>
      <c r="O3295">
        <v>2.8</v>
      </c>
      <c r="P3295">
        <v>6.24</v>
      </c>
      <c r="Q3295">
        <v>-1.1499999999999999</v>
      </c>
      <c r="R3295">
        <v>6</v>
      </c>
      <c r="S3295">
        <v>6.08</v>
      </c>
      <c r="T3295">
        <v>33652</v>
      </c>
      <c r="U3295">
        <v>6.01</v>
      </c>
      <c r="V3295">
        <v>6.07</v>
      </c>
      <c r="W3295" t="s">
        <v>120</v>
      </c>
      <c r="X3295" t="s">
        <v>2196</v>
      </c>
      <c r="Y3295" t="s">
        <v>1082</v>
      </c>
      <c r="Z3295">
        <v>3.95</v>
      </c>
      <c r="AA3295">
        <v>6.11</v>
      </c>
      <c r="AB3295">
        <v>16864</v>
      </c>
      <c r="AC3295">
        <v>16788</v>
      </c>
      <c r="AD3295">
        <v>1</v>
      </c>
      <c r="AE3295">
        <v>614</v>
      </c>
      <c r="AF3295">
        <v>111</v>
      </c>
      <c r="AG3295" t="s">
        <v>120</v>
      </c>
      <c r="AH3295">
        <v>0</v>
      </c>
      <c r="AI3295" t="s">
        <v>120</v>
      </c>
      <c r="AJ3295">
        <v>3.55</v>
      </c>
      <c r="AK3295" t="s">
        <v>2579</v>
      </c>
      <c r="AL3295">
        <v>0.19</v>
      </c>
      <c r="AM3295">
        <v>1215</v>
      </c>
      <c r="AN3295">
        <v>28</v>
      </c>
      <c r="AO3295">
        <v>8.0000000000000004E-4</v>
      </c>
      <c r="AP3295">
        <v>-1</v>
      </c>
      <c r="AQ3295">
        <v>4.12</v>
      </c>
      <c r="AR3295">
        <v>0.17</v>
      </c>
      <c r="AS3295">
        <v>8.89</v>
      </c>
      <c r="AT3295">
        <v>3.1</v>
      </c>
      <c r="AU3295">
        <v>3.1</v>
      </c>
      <c r="AV3295">
        <v>8</v>
      </c>
      <c r="AW3295">
        <v>2.4700000000000002</v>
      </c>
      <c r="AX3295">
        <v>38.49</v>
      </c>
      <c r="AY3295" t="s">
        <v>120</v>
      </c>
      <c r="AZ3295">
        <v>116.32</v>
      </c>
      <c r="BA3295">
        <v>0.89</v>
      </c>
      <c r="BB3295" t="s">
        <v>168</v>
      </c>
      <c r="BF3295">
        <v>0.62</v>
      </c>
      <c r="BG3295">
        <v>-1.32</v>
      </c>
      <c r="BH3295">
        <v>-3.85</v>
      </c>
      <c r="BI3295">
        <v>0</v>
      </c>
      <c r="BJ3295">
        <v>20210825</v>
      </c>
      <c r="BK3295">
        <v>20110622</v>
      </c>
      <c r="BL3295">
        <v>3.55</v>
      </c>
      <c r="BM3295" t="s">
        <v>120</v>
      </c>
      <c r="BN3295" t="s">
        <v>120</v>
      </c>
      <c r="BO3295">
        <v>30.56</v>
      </c>
      <c r="BP3295">
        <v>6</v>
      </c>
      <c r="BQ3295">
        <v>17.22</v>
      </c>
      <c r="BR3295">
        <v>0.11</v>
      </c>
      <c r="BS3295">
        <v>43.31</v>
      </c>
      <c r="BT3295">
        <v>19.64</v>
      </c>
      <c r="BU3295">
        <v>6.73</v>
      </c>
      <c r="BV3295">
        <v>1.04</v>
      </c>
      <c r="BW3295">
        <v>11.79</v>
      </c>
      <c r="BX3295">
        <v>3.32</v>
      </c>
      <c r="BY3295">
        <v>4.7300000000000004</v>
      </c>
      <c r="BZ3295">
        <v>8</v>
      </c>
      <c r="CA3295" t="s">
        <v>120</v>
      </c>
      <c r="CB3295">
        <v>10.09</v>
      </c>
      <c r="CC3295">
        <v>2.68</v>
      </c>
      <c r="CD3295">
        <v>2.37</v>
      </c>
      <c r="CE3295">
        <v>-0.47</v>
      </c>
      <c r="CF3295">
        <v>0.13</v>
      </c>
      <c r="CG3295">
        <v>-0.75</v>
      </c>
      <c r="CH3295">
        <v>-0.74</v>
      </c>
      <c r="CI3295">
        <v>-0.72</v>
      </c>
      <c r="CJ3295">
        <v>-7.0000000000000007E-2</v>
      </c>
      <c r="CK3295">
        <v>-0.54</v>
      </c>
      <c r="CL3295">
        <v>2.98</v>
      </c>
      <c r="CM3295">
        <v>0.43</v>
      </c>
      <c r="CN3295">
        <v>0.33</v>
      </c>
      <c r="CO3295">
        <v>16049</v>
      </c>
      <c r="CP3295">
        <v>8504</v>
      </c>
      <c r="CQ3295" t="s">
        <v>1895</v>
      </c>
      <c r="CR3295">
        <v>-913.9</v>
      </c>
      <c r="CS3295">
        <v>-37.07</v>
      </c>
      <c r="CT3295">
        <v>1.24</v>
      </c>
      <c r="CU3295">
        <v>49.99</v>
      </c>
      <c r="CV3295">
        <v>7.94</v>
      </c>
      <c r="CW3295">
        <v>0</v>
      </c>
      <c r="CX3295" t="s">
        <v>4368</v>
      </c>
      <c r="CY3295">
        <v>4.8600000000000003</v>
      </c>
      <c r="CZ3295">
        <v>0</v>
      </c>
      <c r="DA3295">
        <v>2.85</v>
      </c>
      <c r="DB3295">
        <v>0.84</v>
      </c>
      <c r="DC3295">
        <v>0.12</v>
      </c>
      <c r="DD3295">
        <v>56.34</v>
      </c>
      <c r="DE3295" t="s">
        <v>14158</v>
      </c>
      <c r="DF3295">
        <v>11.66</v>
      </c>
      <c r="DG3295">
        <v>-17.670000000000002</v>
      </c>
      <c r="DH3295">
        <v>-26.71</v>
      </c>
      <c r="DI3295">
        <v>0.22</v>
      </c>
      <c r="DJ3295">
        <v>1344</v>
      </c>
      <c r="DK3295">
        <v>601798</v>
      </c>
      <c r="DL3295" t="s">
        <v>120</v>
      </c>
      <c r="DM3295" t="s">
        <v>120</v>
      </c>
      <c r="DN3295" t="s">
        <v>120</v>
      </c>
    </row>
    <row r="3296" spans="1:118">
      <c r="A3296" t="str">
        <f>"601799"</f>
        <v>601799</v>
      </c>
      <c r="B3296" t="s">
        <v>14159</v>
      </c>
      <c r="C3296">
        <v>-1.54</v>
      </c>
      <c r="D3296">
        <v>0.04</v>
      </c>
      <c r="E3296">
        <v>-0.42</v>
      </c>
      <c r="F3296">
        <v>73</v>
      </c>
      <c r="G3296" t="s">
        <v>14160</v>
      </c>
      <c r="H3296">
        <v>15754.44</v>
      </c>
      <c r="I3296">
        <v>35.76</v>
      </c>
      <c r="J3296" t="s">
        <v>120</v>
      </c>
      <c r="K3296" t="s">
        <v>14161</v>
      </c>
      <c r="L3296">
        <v>0.28999999999999998</v>
      </c>
      <c r="M3296">
        <v>186.09</v>
      </c>
      <c r="N3296">
        <v>0.61</v>
      </c>
      <c r="O3296">
        <v>0.26</v>
      </c>
      <c r="P3296">
        <v>189.5</v>
      </c>
      <c r="Q3296">
        <v>-2.5</v>
      </c>
      <c r="R3296">
        <v>184.27</v>
      </c>
      <c r="S3296">
        <v>188.2</v>
      </c>
      <c r="T3296">
        <v>8406</v>
      </c>
      <c r="U3296">
        <v>186.24</v>
      </c>
      <c r="V3296">
        <v>189</v>
      </c>
      <c r="W3296">
        <v>46.67</v>
      </c>
      <c r="X3296" t="s">
        <v>289</v>
      </c>
      <c r="Y3296" t="s">
        <v>319</v>
      </c>
      <c r="Z3296">
        <v>2.77</v>
      </c>
      <c r="AA3296">
        <v>187.42</v>
      </c>
      <c r="AB3296">
        <v>4085</v>
      </c>
      <c r="AC3296">
        <v>4321</v>
      </c>
      <c r="AD3296">
        <v>0.95</v>
      </c>
      <c r="AE3296">
        <v>1</v>
      </c>
      <c r="AF3296">
        <v>1</v>
      </c>
      <c r="AG3296" t="s">
        <v>120</v>
      </c>
      <c r="AH3296">
        <v>0</v>
      </c>
      <c r="AI3296" t="s">
        <v>120</v>
      </c>
      <c r="AJ3296">
        <v>2.86</v>
      </c>
      <c r="AK3296" t="s">
        <v>14161</v>
      </c>
      <c r="AL3296">
        <v>-0.2</v>
      </c>
      <c r="AM3296">
        <v>2191</v>
      </c>
      <c r="AN3296">
        <v>4</v>
      </c>
      <c r="AO3296">
        <v>1E-4</v>
      </c>
      <c r="AP3296">
        <v>-1</v>
      </c>
      <c r="AQ3296">
        <v>1.95</v>
      </c>
      <c r="AR3296">
        <v>-0.11</v>
      </c>
      <c r="AS3296">
        <v>-0.85</v>
      </c>
      <c r="AT3296">
        <v>-17.12</v>
      </c>
      <c r="AU3296">
        <v>-6.58</v>
      </c>
      <c r="AV3296">
        <v>2</v>
      </c>
      <c r="AW3296">
        <v>0.64</v>
      </c>
      <c r="AX3296">
        <v>45.7</v>
      </c>
      <c r="AY3296">
        <v>40.35</v>
      </c>
      <c r="AZ3296">
        <v>46.56</v>
      </c>
      <c r="BA3296">
        <v>1.1399999999999999</v>
      </c>
      <c r="BB3296" t="s">
        <v>143</v>
      </c>
      <c r="BF3296">
        <v>-0.84</v>
      </c>
      <c r="BG3296">
        <v>-1.1200000000000001</v>
      </c>
      <c r="BH3296">
        <v>-1.8</v>
      </c>
      <c r="BI3296">
        <v>0.99</v>
      </c>
      <c r="BJ3296">
        <v>20210828</v>
      </c>
      <c r="BK3296">
        <v>20110201</v>
      </c>
      <c r="BL3296">
        <v>2.86</v>
      </c>
      <c r="BM3296" t="s">
        <v>120</v>
      </c>
      <c r="BN3296" t="s">
        <v>120</v>
      </c>
      <c r="BO3296">
        <v>113.55</v>
      </c>
      <c r="BP3296">
        <v>186.03</v>
      </c>
      <c r="BQ3296">
        <v>62.16</v>
      </c>
      <c r="BR3296" t="s">
        <v>120</v>
      </c>
      <c r="BS3296">
        <v>45.26</v>
      </c>
      <c r="BT3296">
        <v>81.59</v>
      </c>
      <c r="BU3296">
        <v>18.899999999999999</v>
      </c>
      <c r="BV3296">
        <v>4.04</v>
      </c>
      <c r="BW3296">
        <v>34.94</v>
      </c>
      <c r="BX3296">
        <v>26.27</v>
      </c>
      <c r="BY3296">
        <v>15.22</v>
      </c>
      <c r="BZ3296">
        <v>11.83</v>
      </c>
      <c r="CA3296" t="s">
        <v>120</v>
      </c>
      <c r="CB3296">
        <v>27.63</v>
      </c>
      <c r="CC3296">
        <v>39.51</v>
      </c>
      <c r="CD3296">
        <v>29.32</v>
      </c>
      <c r="CE3296">
        <v>6.49</v>
      </c>
      <c r="CF3296">
        <v>0</v>
      </c>
      <c r="CG3296">
        <v>6.48</v>
      </c>
      <c r="CH3296">
        <v>5.7</v>
      </c>
      <c r="CI3296">
        <v>5.7</v>
      </c>
      <c r="CJ3296">
        <v>-2.91</v>
      </c>
      <c r="CK3296">
        <v>5.21</v>
      </c>
      <c r="CL3296">
        <v>28.63</v>
      </c>
      <c r="CM3296">
        <v>1.67</v>
      </c>
      <c r="CN3296">
        <v>4.54</v>
      </c>
      <c r="CO3296">
        <v>8507</v>
      </c>
      <c r="CP3296">
        <v>15348</v>
      </c>
      <c r="CQ3296" t="s">
        <v>14162</v>
      </c>
      <c r="CR3296">
        <v>45.63</v>
      </c>
      <c r="CS3296">
        <v>37.270000000000003</v>
      </c>
      <c r="CT3296">
        <v>8.48</v>
      </c>
      <c r="CU3296">
        <v>318.32</v>
      </c>
      <c r="CV3296">
        <v>13.45</v>
      </c>
      <c r="CW3296">
        <v>0.66</v>
      </c>
      <c r="CX3296" t="s">
        <v>14163</v>
      </c>
      <c r="CY3296">
        <v>21.95</v>
      </c>
      <c r="CZ3296">
        <v>21.95</v>
      </c>
      <c r="DA3296">
        <v>9.67</v>
      </c>
      <c r="DB3296">
        <v>10.02</v>
      </c>
      <c r="DC3296">
        <v>0.57999999999999996</v>
      </c>
      <c r="DD3296">
        <v>54.74</v>
      </c>
      <c r="DE3296" t="s">
        <v>352</v>
      </c>
      <c r="DF3296">
        <v>25.8</v>
      </c>
      <c r="DG3296">
        <v>16.41</v>
      </c>
      <c r="DH3296">
        <v>14.41</v>
      </c>
      <c r="DI3296">
        <v>1.65</v>
      </c>
      <c r="DJ3296">
        <v>7815</v>
      </c>
      <c r="DK3296">
        <v>601799</v>
      </c>
      <c r="DL3296" t="s">
        <v>120</v>
      </c>
      <c r="DM3296" t="s">
        <v>120</v>
      </c>
      <c r="DN3296" t="s">
        <v>120</v>
      </c>
    </row>
    <row r="3297" spans="1:118">
      <c r="A3297" t="str">
        <f>"601800"</f>
        <v>601800</v>
      </c>
      <c r="B3297" t="s">
        <v>14164</v>
      </c>
      <c r="C3297">
        <v>-0.22</v>
      </c>
      <c r="D3297">
        <v>0.22</v>
      </c>
      <c r="E3297">
        <v>0.33</v>
      </c>
      <c r="F3297">
        <v>16205</v>
      </c>
      <c r="G3297" t="s">
        <v>14165</v>
      </c>
      <c r="H3297">
        <v>109927.77</v>
      </c>
      <c r="I3297">
        <v>530.88</v>
      </c>
      <c r="J3297" t="s">
        <v>120</v>
      </c>
      <c r="K3297" t="s">
        <v>14166</v>
      </c>
      <c r="L3297">
        <v>1.03</v>
      </c>
      <c r="M3297">
        <v>9.0500000000000007</v>
      </c>
      <c r="N3297">
        <v>0.57999999999999996</v>
      </c>
      <c r="O3297">
        <v>2.54</v>
      </c>
      <c r="P3297">
        <v>9.3000000000000007</v>
      </c>
      <c r="Q3297">
        <v>-0.77</v>
      </c>
      <c r="R3297">
        <v>9</v>
      </c>
      <c r="S3297">
        <v>9.1</v>
      </c>
      <c r="T3297">
        <v>1206725</v>
      </c>
      <c r="U3297">
        <v>9.06</v>
      </c>
      <c r="V3297">
        <v>9.07</v>
      </c>
      <c r="W3297">
        <v>7.49</v>
      </c>
      <c r="X3297" t="s">
        <v>175</v>
      </c>
      <c r="Y3297" t="s">
        <v>158</v>
      </c>
      <c r="Z3297">
        <v>3.31</v>
      </c>
      <c r="AA3297">
        <v>9.11</v>
      </c>
      <c r="AB3297">
        <v>596146</v>
      </c>
      <c r="AC3297">
        <v>610579</v>
      </c>
      <c r="AD3297">
        <v>0.98</v>
      </c>
      <c r="AE3297">
        <v>1040</v>
      </c>
      <c r="AF3297">
        <v>1718</v>
      </c>
      <c r="AG3297" t="s">
        <v>120</v>
      </c>
      <c r="AH3297">
        <v>0.02</v>
      </c>
      <c r="AI3297" t="s">
        <v>120</v>
      </c>
      <c r="AJ3297">
        <v>117.47</v>
      </c>
      <c r="AK3297" t="s">
        <v>14166</v>
      </c>
      <c r="AL3297">
        <v>1.1200000000000001</v>
      </c>
      <c r="AM3297">
        <v>4637</v>
      </c>
      <c r="AN3297">
        <v>260</v>
      </c>
      <c r="AO3297">
        <v>2.0000000000000001E-4</v>
      </c>
      <c r="AP3297">
        <v>-3</v>
      </c>
      <c r="AQ3297">
        <v>-2.99</v>
      </c>
      <c r="AR3297">
        <v>-6.8</v>
      </c>
      <c r="AS3297">
        <v>30.78</v>
      </c>
      <c r="AT3297">
        <v>39.03</v>
      </c>
      <c r="AU3297">
        <v>27.84</v>
      </c>
      <c r="AV3297">
        <v>2</v>
      </c>
      <c r="AW3297">
        <v>5.09</v>
      </c>
      <c r="AX3297">
        <v>20.2</v>
      </c>
      <c r="AY3297">
        <v>7.03</v>
      </c>
      <c r="AZ3297">
        <v>9.0500000000000007</v>
      </c>
      <c r="BA3297">
        <v>0.77</v>
      </c>
      <c r="BB3297" t="s">
        <v>341</v>
      </c>
      <c r="BF3297">
        <v>0.44</v>
      </c>
      <c r="BG3297">
        <v>-0.55000000000000004</v>
      </c>
      <c r="BH3297">
        <v>-2.69</v>
      </c>
      <c r="BI3297">
        <v>0.56000000000000005</v>
      </c>
      <c r="BJ3297">
        <v>20210831</v>
      </c>
      <c r="BK3297">
        <v>20120309</v>
      </c>
      <c r="BL3297">
        <v>161.66</v>
      </c>
      <c r="BM3297" t="s">
        <v>120</v>
      </c>
      <c r="BN3297">
        <v>44.18</v>
      </c>
      <c r="BO3297">
        <v>14389.73</v>
      </c>
      <c r="BP3297">
        <v>9.0500000000000007</v>
      </c>
      <c r="BQ3297">
        <v>2527.87</v>
      </c>
      <c r="BR3297">
        <v>1170.49</v>
      </c>
      <c r="BS3297">
        <v>74.3</v>
      </c>
      <c r="BT3297">
        <v>6488.56</v>
      </c>
      <c r="BU3297">
        <v>492.6</v>
      </c>
      <c r="BV3297">
        <v>2386.98</v>
      </c>
      <c r="BW3297">
        <v>6589.17</v>
      </c>
      <c r="BX3297">
        <v>1311.95</v>
      </c>
      <c r="BY3297">
        <v>763.84</v>
      </c>
      <c r="BZ3297">
        <v>1132.48</v>
      </c>
      <c r="CA3297" t="s">
        <v>120</v>
      </c>
      <c r="CB3297">
        <v>308.39</v>
      </c>
      <c r="CC3297">
        <v>3406.27</v>
      </c>
      <c r="CD3297">
        <v>3024.81</v>
      </c>
      <c r="CE3297">
        <v>150.02000000000001</v>
      </c>
      <c r="CF3297">
        <v>4.5</v>
      </c>
      <c r="CG3297">
        <v>151.44</v>
      </c>
      <c r="CH3297">
        <v>123.08</v>
      </c>
      <c r="CI3297">
        <v>97.71</v>
      </c>
      <c r="CJ3297">
        <v>-0.02</v>
      </c>
      <c r="CK3297">
        <v>88.03</v>
      </c>
      <c r="CL3297">
        <v>1432.56</v>
      </c>
      <c r="CM3297">
        <v>-646.1</v>
      </c>
      <c r="CN3297">
        <v>39.42</v>
      </c>
      <c r="CO3297">
        <v>173923</v>
      </c>
      <c r="CP3297">
        <v>13642</v>
      </c>
      <c r="CQ3297" t="s">
        <v>7154</v>
      </c>
      <c r="CR3297">
        <v>90.75</v>
      </c>
      <c r="CS3297">
        <v>38.21</v>
      </c>
      <c r="CT3297">
        <v>0.67</v>
      </c>
      <c r="CU3297">
        <v>-2.2599999999999998</v>
      </c>
      <c r="CV3297">
        <v>0.43</v>
      </c>
      <c r="CW3297">
        <v>1.99</v>
      </c>
      <c r="CX3297" t="s">
        <v>1426</v>
      </c>
      <c r="CY3297">
        <v>13.54</v>
      </c>
      <c r="CZ3297">
        <v>13.54</v>
      </c>
      <c r="DA3297">
        <v>1.91</v>
      </c>
      <c r="DB3297">
        <v>8.86</v>
      </c>
      <c r="DC3297">
        <v>-4</v>
      </c>
      <c r="DD3297">
        <v>17.57</v>
      </c>
      <c r="DE3297" t="s">
        <v>1148</v>
      </c>
      <c r="DF3297">
        <v>11.2</v>
      </c>
      <c r="DG3297">
        <v>4.4000000000000004</v>
      </c>
      <c r="DH3297">
        <v>2.87</v>
      </c>
      <c r="DI3297">
        <v>89.58</v>
      </c>
      <c r="DJ3297">
        <v>133294</v>
      </c>
      <c r="DK3297">
        <v>601800</v>
      </c>
      <c r="DL3297">
        <v>20210906</v>
      </c>
      <c r="DM3297">
        <v>9.11</v>
      </c>
      <c r="DN3297">
        <v>-0.66</v>
      </c>
    </row>
    <row r="3298" spans="1:118">
      <c r="A3298" t="str">
        <f>"601801"</f>
        <v>601801</v>
      </c>
      <c r="B3298" t="s">
        <v>14167</v>
      </c>
      <c r="C3298">
        <v>-0.84</v>
      </c>
      <c r="D3298">
        <v>0</v>
      </c>
      <c r="E3298">
        <v>0.21</v>
      </c>
      <c r="F3298">
        <v>338</v>
      </c>
      <c r="G3298" t="s">
        <v>5922</v>
      </c>
      <c r="H3298">
        <v>2923.56</v>
      </c>
      <c r="I3298">
        <v>1.2</v>
      </c>
      <c r="J3298" t="s">
        <v>120</v>
      </c>
      <c r="K3298" t="s">
        <v>14168</v>
      </c>
      <c r="L3298">
        <v>0.31</v>
      </c>
      <c r="M3298">
        <v>4.74</v>
      </c>
      <c r="N3298">
        <v>0.69</v>
      </c>
      <c r="O3298">
        <v>1.46</v>
      </c>
      <c r="P3298">
        <v>4.8499999999999996</v>
      </c>
      <c r="Q3298">
        <v>-0.84</v>
      </c>
      <c r="R3298">
        <v>4.74</v>
      </c>
      <c r="S3298">
        <v>4.79</v>
      </c>
      <c r="T3298">
        <v>60914</v>
      </c>
      <c r="U3298">
        <v>4.75</v>
      </c>
      <c r="V3298">
        <v>4.78</v>
      </c>
      <c r="W3298">
        <v>8.44</v>
      </c>
      <c r="X3298" t="s">
        <v>1730</v>
      </c>
      <c r="Y3298" t="s">
        <v>570</v>
      </c>
      <c r="Z3298">
        <v>2.2999999999999998</v>
      </c>
      <c r="AA3298">
        <v>4.8</v>
      </c>
      <c r="AB3298">
        <v>32612</v>
      </c>
      <c r="AC3298">
        <v>28302</v>
      </c>
      <c r="AD3298">
        <v>1.1499999999999999</v>
      </c>
      <c r="AE3298">
        <v>184</v>
      </c>
      <c r="AF3298">
        <v>1402</v>
      </c>
      <c r="AG3298" t="s">
        <v>120</v>
      </c>
      <c r="AH3298">
        <v>0</v>
      </c>
      <c r="AI3298" t="s">
        <v>120</v>
      </c>
      <c r="AJ3298">
        <v>19.89</v>
      </c>
      <c r="AK3298" t="s">
        <v>14168</v>
      </c>
      <c r="AL3298">
        <v>0.51</v>
      </c>
      <c r="AM3298">
        <v>2383</v>
      </c>
      <c r="AN3298">
        <v>26</v>
      </c>
      <c r="AO3298">
        <v>1E-4</v>
      </c>
      <c r="AP3298">
        <v>-1</v>
      </c>
      <c r="AQ3298">
        <v>0</v>
      </c>
      <c r="AR3298">
        <v>-2.4700000000000002</v>
      </c>
      <c r="AS3298">
        <v>7</v>
      </c>
      <c r="AT3298">
        <v>-0.84</v>
      </c>
      <c r="AU3298">
        <v>3.27</v>
      </c>
      <c r="AV3298">
        <v>0</v>
      </c>
      <c r="AW3298">
        <v>1.32</v>
      </c>
      <c r="AX3298">
        <v>23.21</v>
      </c>
      <c r="AY3298">
        <v>13.44</v>
      </c>
      <c r="AZ3298">
        <v>15.49</v>
      </c>
      <c r="BA3298">
        <v>0.33</v>
      </c>
      <c r="BB3298" t="s">
        <v>143</v>
      </c>
      <c r="BF3298">
        <v>0.41</v>
      </c>
      <c r="BG3298">
        <v>-1.04</v>
      </c>
      <c r="BH3298">
        <v>-2.27</v>
      </c>
      <c r="BI3298">
        <v>0</v>
      </c>
      <c r="BJ3298">
        <v>20210826</v>
      </c>
      <c r="BK3298">
        <v>20100118</v>
      </c>
      <c r="BL3298">
        <v>19.89</v>
      </c>
      <c r="BM3298" t="s">
        <v>120</v>
      </c>
      <c r="BN3298" t="s">
        <v>120</v>
      </c>
      <c r="BO3298">
        <v>165.07</v>
      </c>
      <c r="BP3298">
        <v>4.74</v>
      </c>
      <c r="BQ3298">
        <v>108.54</v>
      </c>
      <c r="BR3298">
        <v>1.06</v>
      </c>
      <c r="BS3298">
        <v>33.6</v>
      </c>
      <c r="BT3298">
        <v>114.88</v>
      </c>
      <c r="BU3298">
        <v>5.32</v>
      </c>
      <c r="BV3298">
        <v>2.44</v>
      </c>
      <c r="BW3298">
        <v>42.17</v>
      </c>
      <c r="BX3298">
        <v>66.959999999999994</v>
      </c>
      <c r="BY3298">
        <v>17.850000000000001</v>
      </c>
      <c r="BZ3298">
        <v>6.66</v>
      </c>
      <c r="CA3298">
        <v>0.19</v>
      </c>
      <c r="CB3298">
        <v>24.46</v>
      </c>
      <c r="CC3298">
        <v>48.28</v>
      </c>
      <c r="CD3298">
        <v>38.53</v>
      </c>
      <c r="CE3298">
        <v>5.89</v>
      </c>
      <c r="CF3298">
        <v>0.33</v>
      </c>
      <c r="CG3298">
        <v>5.84</v>
      </c>
      <c r="CH3298">
        <v>5.72</v>
      </c>
      <c r="CI3298">
        <v>5.59</v>
      </c>
      <c r="CJ3298">
        <v>-0.04</v>
      </c>
      <c r="CK3298">
        <v>5.14</v>
      </c>
      <c r="CL3298">
        <v>52.11</v>
      </c>
      <c r="CM3298">
        <v>4.5999999999999996</v>
      </c>
      <c r="CN3298">
        <v>-12.2</v>
      </c>
      <c r="CO3298">
        <v>25842</v>
      </c>
      <c r="CP3298">
        <v>17862</v>
      </c>
      <c r="CQ3298" t="s">
        <v>3494</v>
      </c>
      <c r="CR3298">
        <v>20.16</v>
      </c>
      <c r="CS3298">
        <v>28.79</v>
      </c>
      <c r="CT3298">
        <v>0.87</v>
      </c>
      <c r="CU3298">
        <v>20.51</v>
      </c>
      <c r="CV3298">
        <v>1.95</v>
      </c>
      <c r="CW3298">
        <v>3.35</v>
      </c>
      <c r="CX3298" t="s">
        <v>1054</v>
      </c>
      <c r="CY3298">
        <v>5.46</v>
      </c>
      <c r="CZ3298">
        <v>0</v>
      </c>
      <c r="DA3298">
        <v>1.23</v>
      </c>
      <c r="DB3298">
        <v>2.62</v>
      </c>
      <c r="DC3298">
        <v>0.23</v>
      </c>
      <c r="DD3298">
        <v>65.75</v>
      </c>
      <c r="DE3298" t="s">
        <v>9427</v>
      </c>
      <c r="DF3298">
        <v>20.2</v>
      </c>
      <c r="DG3298">
        <v>12.19</v>
      </c>
      <c r="DH3298">
        <v>11.57</v>
      </c>
      <c r="DI3298">
        <v>0.09</v>
      </c>
      <c r="DJ3298">
        <v>6307</v>
      </c>
      <c r="DK3298">
        <v>601801</v>
      </c>
      <c r="DL3298" t="s">
        <v>120</v>
      </c>
      <c r="DM3298" t="s">
        <v>120</v>
      </c>
      <c r="DN3298" t="s">
        <v>120</v>
      </c>
    </row>
    <row r="3299" spans="1:118">
      <c r="A3299" t="str">
        <f>"601808"</f>
        <v>601808</v>
      </c>
      <c r="B3299" t="s">
        <v>14169</v>
      </c>
      <c r="C3299">
        <v>-0.45</v>
      </c>
      <c r="D3299">
        <v>-0.5</v>
      </c>
      <c r="E3299">
        <v>1.48</v>
      </c>
      <c r="F3299">
        <v>1592</v>
      </c>
      <c r="G3299" t="s">
        <v>14170</v>
      </c>
      <c r="H3299">
        <v>35892.79</v>
      </c>
      <c r="I3299">
        <v>241.74</v>
      </c>
      <c r="J3299" t="s">
        <v>120</v>
      </c>
      <c r="K3299" t="s">
        <v>14171</v>
      </c>
      <c r="L3299">
        <v>0.76</v>
      </c>
      <c r="M3299">
        <v>15.5</v>
      </c>
      <c r="N3299">
        <v>1.05</v>
      </c>
      <c r="O3299">
        <v>5.97</v>
      </c>
      <c r="P3299">
        <v>16.5</v>
      </c>
      <c r="Q3299">
        <v>-0.45</v>
      </c>
      <c r="R3299">
        <v>15.5</v>
      </c>
      <c r="S3299">
        <v>15.8</v>
      </c>
      <c r="T3299">
        <v>224979</v>
      </c>
      <c r="U3299">
        <v>15.51</v>
      </c>
      <c r="V3299">
        <v>15.57</v>
      </c>
      <c r="W3299">
        <v>46.14</v>
      </c>
      <c r="X3299" t="s">
        <v>3867</v>
      </c>
      <c r="Y3299" t="s">
        <v>997</v>
      </c>
      <c r="Z3299">
        <v>6.42</v>
      </c>
      <c r="AA3299">
        <v>15.95</v>
      </c>
      <c r="AB3299">
        <v>105684</v>
      </c>
      <c r="AC3299">
        <v>119295</v>
      </c>
      <c r="AD3299">
        <v>0.89</v>
      </c>
      <c r="AE3299">
        <v>476</v>
      </c>
      <c r="AF3299">
        <v>1</v>
      </c>
      <c r="AG3299" t="s">
        <v>120</v>
      </c>
      <c r="AH3299">
        <v>0.03</v>
      </c>
      <c r="AI3299" t="s">
        <v>120</v>
      </c>
      <c r="AJ3299">
        <v>29.6</v>
      </c>
      <c r="AK3299" t="s">
        <v>14171</v>
      </c>
      <c r="AL3299">
        <v>0.89</v>
      </c>
      <c r="AM3299">
        <v>3874</v>
      </c>
      <c r="AN3299">
        <v>58</v>
      </c>
      <c r="AO3299">
        <v>2.0000000000000001E-4</v>
      </c>
      <c r="AP3299">
        <v>-1</v>
      </c>
      <c r="AQ3299">
        <v>1.5</v>
      </c>
      <c r="AR3299">
        <v>-0.96</v>
      </c>
      <c r="AS3299">
        <v>25.5</v>
      </c>
      <c r="AT3299">
        <v>5.44</v>
      </c>
      <c r="AU3299">
        <v>23.01</v>
      </c>
      <c r="AV3299">
        <v>2</v>
      </c>
      <c r="AW3299">
        <v>4.09</v>
      </c>
      <c r="AX3299">
        <v>18.57</v>
      </c>
      <c r="AY3299">
        <v>41.49</v>
      </c>
      <c r="AZ3299">
        <v>27.48</v>
      </c>
      <c r="BA3299">
        <v>1.06</v>
      </c>
      <c r="BB3299" t="s">
        <v>184</v>
      </c>
      <c r="BF3299">
        <v>2.4700000000000002</v>
      </c>
      <c r="BG3299">
        <v>-1.9</v>
      </c>
      <c r="BH3299">
        <v>-6.06</v>
      </c>
      <c r="BI3299">
        <v>0</v>
      </c>
      <c r="BJ3299">
        <v>20210910</v>
      </c>
      <c r="BK3299">
        <v>20070928</v>
      </c>
      <c r="BL3299">
        <v>47.72</v>
      </c>
      <c r="BM3299" t="s">
        <v>120</v>
      </c>
      <c r="BN3299">
        <v>18.11</v>
      </c>
      <c r="BO3299">
        <v>747.9</v>
      </c>
      <c r="BP3299">
        <v>15.5</v>
      </c>
      <c r="BQ3299">
        <v>385.05</v>
      </c>
      <c r="BR3299">
        <v>1.84</v>
      </c>
      <c r="BS3299">
        <v>48.27</v>
      </c>
      <c r="BT3299">
        <v>248.62</v>
      </c>
      <c r="BU3299">
        <v>410.11</v>
      </c>
      <c r="BV3299">
        <v>3.57</v>
      </c>
      <c r="BW3299">
        <v>171.9</v>
      </c>
      <c r="BX3299">
        <v>51.36</v>
      </c>
      <c r="BY3299">
        <v>27.67</v>
      </c>
      <c r="BZ3299">
        <v>138.71</v>
      </c>
      <c r="CA3299" t="s">
        <v>120</v>
      </c>
      <c r="CB3299">
        <v>123.66</v>
      </c>
      <c r="CC3299">
        <v>127.35</v>
      </c>
      <c r="CD3299">
        <v>107.97</v>
      </c>
      <c r="CE3299">
        <v>11.31</v>
      </c>
      <c r="CF3299">
        <v>1.75</v>
      </c>
      <c r="CG3299">
        <v>11.25</v>
      </c>
      <c r="CH3299">
        <v>8.09</v>
      </c>
      <c r="CI3299">
        <v>8.01</v>
      </c>
      <c r="CJ3299">
        <v>-7.0000000000000007E-2</v>
      </c>
      <c r="CK3299">
        <v>7.23</v>
      </c>
      <c r="CL3299">
        <v>191.1</v>
      </c>
      <c r="CM3299">
        <v>-18.87</v>
      </c>
      <c r="CN3299">
        <v>-14.18</v>
      </c>
      <c r="CO3299">
        <v>64134</v>
      </c>
      <c r="CP3299">
        <v>8570</v>
      </c>
      <c r="CQ3299" t="s">
        <v>13018</v>
      </c>
      <c r="CR3299">
        <v>-53.25</v>
      </c>
      <c r="CS3299">
        <v>-12.24</v>
      </c>
      <c r="CT3299">
        <v>1.92</v>
      </c>
      <c r="CU3299">
        <v>-39.19</v>
      </c>
      <c r="CV3299">
        <v>5.81</v>
      </c>
      <c r="CW3299">
        <v>1.0900000000000001</v>
      </c>
      <c r="CX3299" t="s">
        <v>1193</v>
      </c>
      <c r="CY3299">
        <v>8.07</v>
      </c>
      <c r="CZ3299">
        <v>0</v>
      </c>
      <c r="DA3299">
        <v>2.59</v>
      </c>
      <c r="DB3299">
        <v>4</v>
      </c>
      <c r="DC3299">
        <v>-0.4</v>
      </c>
      <c r="DD3299">
        <v>51.48</v>
      </c>
      <c r="DE3299" t="s">
        <v>5073</v>
      </c>
      <c r="DF3299">
        <v>15.22</v>
      </c>
      <c r="DG3299">
        <v>8.8800000000000008</v>
      </c>
      <c r="DH3299">
        <v>6.29</v>
      </c>
      <c r="DI3299">
        <v>3.84</v>
      </c>
      <c r="DJ3299">
        <v>14602</v>
      </c>
      <c r="DK3299">
        <v>601808</v>
      </c>
      <c r="DL3299" t="s">
        <v>120</v>
      </c>
      <c r="DM3299" t="s">
        <v>120</v>
      </c>
      <c r="DN3299" t="s">
        <v>120</v>
      </c>
    </row>
    <row r="3300" spans="1:118">
      <c r="A3300" t="str">
        <f>"601811"</f>
        <v>601811</v>
      </c>
      <c r="B3300" t="s">
        <v>14172</v>
      </c>
      <c r="C3300">
        <v>0.66</v>
      </c>
      <c r="D3300">
        <v>-0.1</v>
      </c>
      <c r="E3300">
        <v>0</v>
      </c>
      <c r="F3300">
        <v>262</v>
      </c>
      <c r="G3300" t="s">
        <v>14173</v>
      </c>
      <c r="H3300">
        <v>2066.29</v>
      </c>
      <c r="I3300">
        <v>3.76</v>
      </c>
      <c r="J3300" t="s">
        <v>120</v>
      </c>
      <c r="K3300" t="s">
        <v>1715</v>
      </c>
      <c r="L3300">
        <v>0.28000000000000003</v>
      </c>
      <c r="M3300">
        <v>9.11</v>
      </c>
      <c r="N3300">
        <v>1.3</v>
      </c>
      <c r="O3300">
        <v>2.4300000000000002</v>
      </c>
      <c r="P3300">
        <v>9.27</v>
      </c>
      <c r="Q3300">
        <v>0</v>
      </c>
      <c r="R3300">
        <v>9.0500000000000007</v>
      </c>
      <c r="S3300">
        <v>9.0500000000000007</v>
      </c>
      <c r="T3300">
        <v>22474</v>
      </c>
      <c r="U3300">
        <v>9.1199999999999992</v>
      </c>
      <c r="V3300">
        <v>9.0500000000000007</v>
      </c>
      <c r="W3300">
        <v>9.32</v>
      </c>
      <c r="X3300" t="s">
        <v>1730</v>
      </c>
      <c r="Y3300" t="s">
        <v>578</v>
      </c>
      <c r="Z3300">
        <v>2.4300000000000002</v>
      </c>
      <c r="AA3300">
        <v>9.19</v>
      </c>
      <c r="AB3300">
        <v>10065</v>
      </c>
      <c r="AC3300">
        <v>12409</v>
      </c>
      <c r="AD3300">
        <v>0.81</v>
      </c>
      <c r="AE3300">
        <v>69</v>
      </c>
      <c r="AF3300">
        <v>19</v>
      </c>
      <c r="AG3300" t="s">
        <v>120</v>
      </c>
      <c r="AH3300">
        <v>0</v>
      </c>
      <c r="AI3300" t="s">
        <v>120</v>
      </c>
      <c r="AJ3300">
        <v>7.92</v>
      </c>
      <c r="AK3300" t="s">
        <v>1715</v>
      </c>
      <c r="AL3300">
        <v>2.0099999999999998</v>
      </c>
      <c r="AM3300">
        <v>1490</v>
      </c>
      <c r="AN3300">
        <v>15</v>
      </c>
      <c r="AO3300">
        <v>2.0000000000000001E-4</v>
      </c>
      <c r="AP3300">
        <v>2</v>
      </c>
      <c r="AQ3300">
        <v>1.34</v>
      </c>
      <c r="AR3300">
        <v>-0.22</v>
      </c>
      <c r="AS3300">
        <v>10.29</v>
      </c>
      <c r="AT3300">
        <v>2.94</v>
      </c>
      <c r="AU3300">
        <v>3.76</v>
      </c>
      <c r="AV3300">
        <v>1</v>
      </c>
      <c r="AW3300">
        <v>1.1299999999999999</v>
      </c>
      <c r="AX3300">
        <v>25.14</v>
      </c>
      <c r="AY3300">
        <v>8.69</v>
      </c>
      <c r="AZ3300">
        <v>8.84</v>
      </c>
      <c r="BA3300">
        <v>0.67</v>
      </c>
      <c r="BB3300" t="s">
        <v>143</v>
      </c>
      <c r="BF3300">
        <v>1.59</v>
      </c>
      <c r="BG3300">
        <v>0.66</v>
      </c>
      <c r="BH3300">
        <v>-1.73</v>
      </c>
      <c r="BI3300">
        <v>0.66</v>
      </c>
      <c r="BJ3300">
        <v>20210827</v>
      </c>
      <c r="BK3300">
        <v>20160808</v>
      </c>
      <c r="BL3300">
        <v>12.34</v>
      </c>
      <c r="BM3300" t="s">
        <v>120</v>
      </c>
      <c r="BN3300">
        <v>4.42</v>
      </c>
      <c r="BO3300">
        <v>172.06</v>
      </c>
      <c r="BP3300">
        <v>9.11</v>
      </c>
      <c r="BQ3300">
        <v>105.11</v>
      </c>
      <c r="BR3300">
        <v>-1.1200000000000001</v>
      </c>
      <c r="BS3300">
        <v>39.56</v>
      </c>
      <c r="BT3300">
        <v>98.67</v>
      </c>
      <c r="BU3300">
        <v>20.16</v>
      </c>
      <c r="BV3300">
        <v>3.53</v>
      </c>
      <c r="BW3300">
        <v>64.540000000000006</v>
      </c>
      <c r="BX3300">
        <v>52.66</v>
      </c>
      <c r="BY3300">
        <v>22.24</v>
      </c>
      <c r="BZ3300">
        <v>18.12</v>
      </c>
      <c r="CA3300" t="s">
        <v>120</v>
      </c>
      <c r="CB3300">
        <v>25.73</v>
      </c>
      <c r="CC3300">
        <v>46.62</v>
      </c>
      <c r="CD3300">
        <v>27.53</v>
      </c>
      <c r="CE3300">
        <v>6.04</v>
      </c>
      <c r="CF3300">
        <v>0.71</v>
      </c>
      <c r="CG3300">
        <v>5.9</v>
      </c>
      <c r="CH3300">
        <v>6</v>
      </c>
      <c r="CI3300">
        <v>6.03</v>
      </c>
      <c r="CJ3300">
        <v>0.06</v>
      </c>
      <c r="CK3300">
        <v>6.17</v>
      </c>
      <c r="CL3300">
        <v>46.36</v>
      </c>
      <c r="CM3300">
        <v>4.71</v>
      </c>
      <c r="CN3300">
        <v>-8.6300000000000008</v>
      </c>
      <c r="CO3300">
        <v>22871</v>
      </c>
      <c r="CP3300">
        <v>8705</v>
      </c>
      <c r="CQ3300" t="s">
        <v>3259</v>
      </c>
      <c r="CR3300">
        <v>3.9</v>
      </c>
      <c r="CS3300">
        <v>29.26</v>
      </c>
      <c r="CT3300">
        <v>1.07</v>
      </c>
      <c r="CU3300">
        <v>23.86</v>
      </c>
      <c r="CV3300">
        <v>2.41</v>
      </c>
      <c r="CW3300">
        <v>3.43</v>
      </c>
      <c r="CX3300" t="s">
        <v>3347</v>
      </c>
      <c r="CY3300">
        <v>8.52</v>
      </c>
      <c r="CZ3300">
        <v>0</v>
      </c>
      <c r="DA3300">
        <v>2.08</v>
      </c>
      <c r="DB3300">
        <v>3.76</v>
      </c>
      <c r="DC3300">
        <v>0.38</v>
      </c>
      <c r="DD3300">
        <v>61.09</v>
      </c>
      <c r="DE3300" t="s">
        <v>6729</v>
      </c>
      <c r="DF3300">
        <v>40.94</v>
      </c>
      <c r="DG3300">
        <v>12.95</v>
      </c>
      <c r="DH3300">
        <v>12.93</v>
      </c>
      <c r="DI3300">
        <v>0.01</v>
      </c>
      <c r="DJ3300">
        <v>7633</v>
      </c>
      <c r="DK3300">
        <v>601811</v>
      </c>
      <c r="DL3300" t="s">
        <v>120</v>
      </c>
      <c r="DM3300" t="s">
        <v>120</v>
      </c>
      <c r="DN3300" t="s">
        <v>120</v>
      </c>
    </row>
    <row r="3301" spans="1:118">
      <c r="A3301" t="str">
        <f>"601816"</f>
        <v>601816</v>
      </c>
      <c r="B3301" t="s">
        <v>14174</v>
      </c>
      <c r="C3301">
        <v>-0.41</v>
      </c>
      <c r="D3301">
        <v>-0.4</v>
      </c>
      <c r="E3301">
        <v>-0.21</v>
      </c>
      <c r="F3301">
        <v>31685</v>
      </c>
      <c r="G3301" t="s">
        <v>14175</v>
      </c>
      <c r="H3301">
        <v>22320.19</v>
      </c>
      <c r="I3301">
        <v>66.91</v>
      </c>
      <c r="J3301" t="s">
        <v>120</v>
      </c>
      <c r="K3301" t="s">
        <v>14176</v>
      </c>
      <c r="L3301">
        <v>0.17</v>
      </c>
      <c r="M3301">
        <v>4.8</v>
      </c>
      <c r="N3301">
        <v>0.64</v>
      </c>
      <c r="O3301">
        <v>0.62</v>
      </c>
      <c r="P3301">
        <v>4.8499999999999996</v>
      </c>
      <c r="Q3301">
        <v>-1.04</v>
      </c>
      <c r="R3301">
        <v>4.7699999999999996</v>
      </c>
      <c r="S3301">
        <v>4.8099999999999996</v>
      </c>
      <c r="T3301">
        <v>465065</v>
      </c>
      <c r="U3301">
        <v>4.8099999999999996</v>
      </c>
      <c r="V3301">
        <v>4.82</v>
      </c>
      <c r="W3301">
        <v>42.97</v>
      </c>
      <c r="X3301" t="s">
        <v>1109</v>
      </c>
      <c r="Y3301" t="s">
        <v>158</v>
      </c>
      <c r="Z3301">
        <v>1.66</v>
      </c>
      <c r="AA3301">
        <v>4.8</v>
      </c>
      <c r="AB3301">
        <v>239141</v>
      </c>
      <c r="AC3301">
        <v>225924</v>
      </c>
      <c r="AD3301">
        <v>1.06</v>
      </c>
      <c r="AE3301">
        <v>5686</v>
      </c>
      <c r="AF3301">
        <v>461</v>
      </c>
      <c r="AG3301" t="s">
        <v>120</v>
      </c>
      <c r="AH3301">
        <v>0</v>
      </c>
      <c r="AI3301" t="s">
        <v>120</v>
      </c>
      <c r="AJ3301">
        <v>273.29000000000002</v>
      </c>
      <c r="AK3301" t="s">
        <v>14177</v>
      </c>
      <c r="AL3301">
        <v>0.93</v>
      </c>
      <c r="AM3301">
        <v>3677</v>
      </c>
      <c r="AN3301">
        <v>126</v>
      </c>
      <c r="AO3301">
        <v>0</v>
      </c>
      <c r="AP3301">
        <v>-1</v>
      </c>
      <c r="AQ3301">
        <v>0.84</v>
      </c>
      <c r="AR3301">
        <v>-2.83</v>
      </c>
      <c r="AS3301">
        <v>7.38</v>
      </c>
      <c r="AT3301">
        <v>-10.06</v>
      </c>
      <c r="AU3301">
        <v>-14.7</v>
      </c>
      <c r="AV3301">
        <v>0</v>
      </c>
      <c r="AW3301">
        <v>0.24</v>
      </c>
      <c r="AX3301">
        <v>39.44</v>
      </c>
      <c r="AY3301">
        <v>43.5</v>
      </c>
      <c r="AZ3301">
        <v>73.31</v>
      </c>
      <c r="BA3301">
        <v>0.54</v>
      </c>
      <c r="BB3301" t="s">
        <v>143</v>
      </c>
      <c r="BF3301">
        <v>-0.43</v>
      </c>
      <c r="BG3301">
        <v>-0.21</v>
      </c>
      <c r="BH3301">
        <v>-1.03</v>
      </c>
      <c r="BI3301">
        <v>0.63</v>
      </c>
      <c r="BJ3301">
        <v>20210831</v>
      </c>
      <c r="BK3301">
        <v>20200116</v>
      </c>
      <c r="BL3301">
        <v>491.06</v>
      </c>
      <c r="BM3301" t="s">
        <v>120</v>
      </c>
      <c r="BN3301" t="s">
        <v>120</v>
      </c>
      <c r="BO3301">
        <v>3027.96</v>
      </c>
      <c r="BP3301">
        <v>4.8</v>
      </c>
      <c r="BQ3301">
        <v>1849.34</v>
      </c>
      <c r="BR3301">
        <v>245.69</v>
      </c>
      <c r="BS3301">
        <v>30.81</v>
      </c>
      <c r="BT3301">
        <v>146.32</v>
      </c>
      <c r="BU3301">
        <v>2279.91</v>
      </c>
      <c r="BV3301">
        <v>586.78</v>
      </c>
      <c r="BW3301">
        <v>152.56</v>
      </c>
      <c r="BX3301">
        <v>123.41</v>
      </c>
      <c r="BY3301">
        <v>0</v>
      </c>
      <c r="BZ3301">
        <v>13.44</v>
      </c>
      <c r="CA3301" t="s">
        <v>120</v>
      </c>
      <c r="CB3301">
        <v>1225.96</v>
      </c>
      <c r="CC3301">
        <v>150.97999999999999</v>
      </c>
      <c r="CD3301">
        <v>93.82</v>
      </c>
      <c r="CE3301">
        <v>35.47</v>
      </c>
      <c r="CF3301">
        <v>0</v>
      </c>
      <c r="CG3301">
        <v>35.44</v>
      </c>
      <c r="CH3301">
        <v>24.47</v>
      </c>
      <c r="CI3301">
        <v>27.43</v>
      </c>
      <c r="CJ3301">
        <v>-0.02</v>
      </c>
      <c r="CK3301">
        <v>27.45</v>
      </c>
      <c r="CL3301">
        <v>83.91</v>
      </c>
      <c r="CM3301">
        <v>75.040000000000006</v>
      </c>
      <c r="CN3301">
        <v>43.92</v>
      </c>
      <c r="CO3301">
        <v>328111</v>
      </c>
      <c r="CP3301">
        <v>59025</v>
      </c>
      <c r="CQ3301" t="s">
        <v>12982</v>
      </c>
      <c r="CR3301">
        <v>417.28</v>
      </c>
      <c r="CS3301">
        <v>50.3</v>
      </c>
      <c r="CT3301">
        <v>1.27</v>
      </c>
      <c r="CU3301">
        <v>31.41</v>
      </c>
      <c r="CV3301">
        <v>15.61</v>
      </c>
      <c r="CW3301">
        <v>0.68</v>
      </c>
      <c r="CX3301" t="s">
        <v>3340</v>
      </c>
      <c r="CY3301">
        <v>3.77</v>
      </c>
      <c r="CZ3301">
        <v>0</v>
      </c>
      <c r="DA3301">
        <v>2.5</v>
      </c>
      <c r="DB3301">
        <v>0.17</v>
      </c>
      <c r="DC3301">
        <v>0.15</v>
      </c>
      <c r="DD3301">
        <v>61.08</v>
      </c>
      <c r="DE3301" t="s">
        <v>680</v>
      </c>
      <c r="DF3301">
        <v>37.86</v>
      </c>
      <c r="DG3301">
        <v>23.49</v>
      </c>
      <c r="DH3301">
        <v>18.170000000000002</v>
      </c>
      <c r="DI3301">
        <v>0.03</v>
      </c>
      <c r="DJ3301">
        <v>57</v>
      </c>
      <c r="DK3301">
        <v>601816</v>
      </c>
      <c r="DL3301" t="s">
        <v>120</v>
      </c>
      <c r="DM3301" t="s">
        <v>120</v>
      </c>
      <c r="DN3301" t="s">
        <v>120</v>
      </c>
    </row>
    <row r="3302" spans="1:118">
      <c r="A3302" t="str">
        <f>"601818"</f>
        <v>601818</v>
      </c>
      <c r="B3302" t="s">
        <v>14178</v>
      </c>
      <c r="C3302">
        <v>-0.87</v>
      </c>
      <c r="D3302">
        <v>-0.28000000000000003</v>
      </c>
      <c r="E3302">
        <v>0</v>
      </c>
      <c r="F3302">
        <v>33998</v>
      </c>
      <c r="G3302" t="s">
        <v>14179</v>
      </c>
      <c r="H3302">
        <v>48059.55</v>
      </c>
      <c r="I3302">
        <v>204.31</v>
      </c>
      <c r="J3302" t="s">
        <v>120</v>
      </c>
      <c r="K3302" t="s">
        <v>14180</v>
      </c>
      <c r="L3302">
        <v>0.34</v>
      </c>
      <c r="M3302">
        <v>3.42</v>
      </c>
      <c r="N3302">
        <v>1.21</v>
      </c>
      <c r="O3302">
        <v>0.57999999999999996</v>
      </c>
      <c r="P3302">
        <v>3.47</v>
      </c>
      <c r="Q3302">
        <v>-0.87</v>
      </c>
      <c r="R3302">
        <v>3.42</v>
      </c>
      <c r="S3302">
        <v>3.45</v>
      </c>
      <c r="T3302">
        <v>1395620</v>
      </c>
      <c r="U3302">
        <v>3.43</v>
      </c>
      <c r="V3302">
        <v>3.45</v>
      </c>
      <c r="W3302">
        <v>4.12</v>
      </c>
      <c r="X3302" t="s">
        <v>122</v>
      </c>
      <c r="Y3302" t="s">
        <v>158</v>
      </c>
      <c r="Z3302">
        <v>1.45</v>
      </c>
      <c r="AA3302">
        <v>3.44</v>
      </c>
      <c r="AB3302">
        <v>643306</v>
      </c>
      <c r="AC3302">
        <v>752314</v>
      </c>
      <c r="AD3302">
        <v>0.86</v>
      </c>
      <c r="AE3302">
        <v>36535</v>
      </c>
      <c r="AF3302">
        <v>7868</v>
      </c>
      <c r="AG3302" t="s">
        <v>120</v>
      </c>
      <c r="AH3302">
        <v>0</v>
      </c>
      <c r="AI3302" t="s">
        <v>120</v>
      </c>
      <c r="AJ3302">
        <v>413.53</v>
      </c>
      <c r="AK3302" t="s">
        <v>14180</v>
      </c>
      <c r="AL3302">
        <v>0.47</v>
      </c>
      <c r="AM3302">
        <v>4036</v>
      </c>
      <c r="AN3302">
        <v>346</v>
      </c>
      <c r="AO3302">
        <v>1E-4</v>
      </c>
      <c r="AP3302">
        <v>-3</v>
      </c>
      <c r="AQ3302">
        <v>-0.86</v>
      </c>
      <c r="AR3302">
        <v>-3.93</v>
      </c>
      <c r="AS3302">
        <v>0.89</v>
      </c>
      <c r="AT3302">
        <v>-4.47</v>
      </c>
      <c r="AU3302">
        <v>-9.52</v>
      </c>
      <c r="AV3302">
        <v>0</v>
      </c>
      <c r="AW3302">
        <v>0.85</v>
      </c>
      <c r="AX3302">
        <v>39.71</v>
      </c>
      <c r="AY3302">
        <v>4.45</v>
      </c>
      <c r="AZ3302">
        <v>4.93</v>
      </c>
      <c r="BA3302">
        <v>0.51</v>
      </c>
      <c r="BB3302" t="s">
        <v>143</v>
      </c>
      <c r="BF3302">
        <v>-0.19</v>
      </c>
      <c r="BG3302">
        <v>-0.87</v>
      </c>
      <c r="BH3302">
        <v>-1.44</v>
      </c>
      <c r="BI3302">
        <v>0</v>
      </c>
      <c r="BJ3302">
        <v>20210913</v>
      </c>
      <c r="BK3302">
        <v>20100818</v>
      </c>
      <c r="BL3302">
        <v>540.32000000000005</v>
      </c>
      <c r="BM3302" t="s">
        <v>120</v>
      </c>
      <c r="BN3302">
        <v>126.79</v>
      </c>
      <c r="BO3302">
        <v>57727.96</v>
      </c>
      <c r="BP3302">
        <v>3.42</v>
      </c>
      <c r="BQ3302">
        <v>4625.3900000000003</v>
      </c>
      <c r="BR3302" t="s">
        <v>120</v>
      </c>
      <c r="BS3302">
        <v>91.99</v>
      </c>
      <c r="BT3302">
        <v>0</v>
      </c>
      <c r="BU3302">
        <v>234.41</v>
      </c>
      <c r="BV3302">
        <v>22.72</v>
      </c>
      <c r="BW3302">
        <v>0</v>
      </c>
      <c r="BX3302">
        <v>4114.09</v>
      </c>
      <c r="BY3302">
        <v>0</v>
      </c>
      <c r="BZ3302">
        <v>0</v>
      </c>
      <c r="CA3302" t="s">
        <v>120</v>
      </c>
      <c r="CB3302">
        <v>584.34</v>
      </c>
      <c r="CC3302">
        <v>770.38</v>
      </c>
      <c r="CD3302">
        <v>0</v>
      </c>
      <c r="CE3302">
        <v>271.57</v>
      </c>
      <c r="CF3302">
        <v>37.43</v>
      </c>
      <c r="CG3302">
        <v>271.86</v>
      </c>
      <c r="CH3302">
        <v>225.06</v>
      </c>
      <c r="CI3302">
        <v>224.36</v>
      </c>
      <c r="CJ3302">
        <v>-0.03</v>
      </c>
      <c r="CK3302">
        <v>223.57</v>
      </c>
      <c r="CL3302">
        <v>1450.02</v>
      </c>
      <c r="CM3302">
        <v>-1432.09</v>
      </c>
      <c r="CN3302">
        <v>-78.02</v>
      </c>
      <c r="CO3302">
        <v>224500</v>
      </c>
      <c r="CP3302">
        <v>73145</v>
      </c>
      <c r="CQ3302" t="s">
        <v>14181</v>
      </c>
      <c r="CR3302">
        <v>22.18</v>
      </c>
      <c r="CS3302">
        <v>6.83</v>
      </c>
      <c r="CT3302">
        <v>0.52</v>
      </c>
      <c r="CU3302">
        <v>-1.29</v>
      </c>
      <c r="CV3302">
        <v>2.4</v>
      </c>
      <c r="CW3302">
        <v>6.09</v>
      </c>
      <c r="CX3302" t="s">
        <v>709</v>
      </c>
      <c r="CY3302">
        <v>6.62</v>
      </c>
      <c r="CZ3302">
        <v>6.62</v>
      </c>
      <c r="DA3302">
        <v>1.08</v>
      </c>
      <c r="DB3302">
        <v>2.68</v>
      </c>
      <c r="DC3302">
        <v>-2.65</v>
      </c>
      <c r="DD3302">
        <v>8.01</v>
      </c>
      <c r="DE3302" t="s">
        <v>2803</v>
      </c>
      <c r="DF3302" t="s">
        <v>120</v>
      </c>
      <c r="DG3302">
        <v>35.25</v>
      </c>
      <c r="DH3302">
        <v>29.12</v>
      </c>
      <c r="DI3302" t="s">
        <v>120</v>
      </c>
      <c r="DJ3302">
        <v>45562</v>
      </c>
      <c r="DK3302">
        <v>601818</v>
      </c>
      <c r="DL3302" t="s">
        <v>120</v>
      </c>
      <c r="DM3302" t="s">
        <v>120</v>
      </c>
      <c r="DN3302" t="s">
        <v>120</v>
      </c>
    </row>
    <row r="3303" spans="1:118">
      <c r="A3303" t="str">
        <f>"601825"</f>
        <v>601825</v>
      </c>
      <c r="B3303" t="s">
        <v>14182</v>
      </c>
      <c r="C3303">
        <v>-1.1599999999999999</v>
      </c>
      <c r="D3303">
        <v>-0.12</v>
      </c>
      <c r="E3303">
        <v>-0.13</v>
      </c>
      <c r="F3303">
        <v>5025</v>
      </c>
      <c r="G3303" t="s">
        <v>4229</v>
      </c>
      <c r="H3303">
        <v>32338.18</v>
      </c>
      <c r="I3303">
        <v>121.21</v>
      </c>
      <c r="J3303" t="s">
        <v>120</v>
      </c>
      <c r="K3303" t="s">
        <v>4229</v>
      </c>
      <c r="L3303">
        <v>4.3499999999999996</v>
      </c>
      <c r="M3303">
        <v>7.66</v>
      </c>
      <c r="N3303">
        <v>0.6</v>
      </c>
      <c r="O3303">
        <v>0.39</v>
      </c>
      <c r="P3303">
        <v>7.78</v>
      </c>
      <c r="Q3303">
        <v>-1.1599999999999999</v>
      </c>
      <c r="R3303">
        <v>7.66</v>
      </c>
      <c r="S3303">
        <v>7.74</v>
      </c>
      <c r="T3303">
        <v>419314</v>
      </c>
      <c r="U3303">
        <v>7.67</v>
      </c>
      <c r="V3303">
        <v>7.75</v>
      </c>
      <c r="W3303">
        <v>7.22</v>
      </c>
      <c r="X3303" t="s">
        <v>122</v>
      </c>
      <c r="Y3303" t="s">
        <v>1510</v>
      </c>
      <c r="Z3303">
        <v>1.55</v>
      </c>
      <c r="AA3303">
        <v>7.71</v>
      </c>
      <c r="AB3303">
        <v>285001</v>
      </c>
      <c r="AC3303">
        <v>134313</v>
      </c>
      <c r="AD3303">
        <v>2.12</v>
      </c>
      <c r="AE3303">
        <v>11127</v>
      </c>
      <c r="AF3303">
        <v>2878</v>
      </c>
      <c r="AG3303" t="s">
        <v>120</v>
      </c>
      <c r="AH3303">
        <v>0.02</v>
      </c>
      <c r="AI3303" t="s">
        <v>120</v>
      </c>
      <c r="AJ3303">
        <v>9.64</v>
      </c>
      <c r="AK3303" t="s">
        <v>14183</v>
      </c>
      <c r="AL3303">
        <v>0.18</v>
      </c>
      <c r="AM3303">
        <v>4075</v>
      </c>
      <c r="AN3303">
        <v>103</v>
      </c>
      <c r="AO3303">
        <v>1.1000000000000001E-3</v>
      </c>
      <c r="AP3303">
        <v>-4</v>
      </c>
      <c r="AQ3303">
        <v>-0.26</v>
      </c>
      <c r="AR3303">
        <v>-3.77</v>
      </c>
      <c r="AS3303">
        <v>-28.41</v>
      </c>
      <c r="AT3303">
        <v>-13.93</v>
      </c>
      <c r="AU3303">
        <v>-13.93</v>
      </c>
      <c r="AV3303">
        <v>0</v>
      </c>
      <c r="AW3303">
        <v>4.3499999999999996</v>
      </c>
      <c r="AX3303">
        <v>10</v>
      </c>
      <c r="AY3303">
        <v>8.35</v>
      </c>
      <c r="AZ3303">
        <v>9.16</v>
      </c>
      <c r="BA3303">
        <v>0</v>
      </c>
      <c r="BB3303" t="s">
        <v>143</v>
      </c>
      <c r="BF3303">
        <v>-0.49</v>
      </c>
      <c r="BG3303">
        <v>-1.03</v>
      </c>
      <c r="BH3303">
        <v>-1.54</v>
      </c>
      <c r="BI3303">
        <v>0</v>
      </c>
      <c r="BJ3303">
        <v>20210818</v>
      </c>
      <c r="BK3303">
        <v>20210819</v>
      </c>
      <c r="BL3303">
        <v>96.44</v>
      </c>
      <c r="BM3303" t="s">
        <v>120</v>
      </c>
      <c r="BN3303" t="s">
        <v>120</v>
      </c>
      <c r="BO3303">
        <v>10995.82</v>
      </c>
      <c r="BP3303">
        <v>7.66</v>
      </c>
      <c r="BQ3303">
        <v>824.51</v>
      </c>
      <c r="BR3303">
        <v>33.61</v>
      </c>
      <c r="BS3303">
        <v>92.2</v>
      </c>
      <c r="BT3303">
        <v>0</v>
      </c>
      <c r="BU3303">
        <v>45.59</v>
      </c>
      <c r="BV3303">
        <v>0</v>
      </c>
      <c r="BW3303">
        <v>0</v>
      </c>
      <c r="BX3303">
        <v>898.5</v>
      </c>
      <c r="BY3303">
        <v>0</v>
      </c>
      <c r="BZ3303">
        <v>0</v>
      </c>
      <c r="CA3303" t="s">
        <v>120</v>
      </c>
      <c r="CB3303">
        <v>89.48</v>
      </c>
      <c r="CC3303">
        <v>120.21</v>
      </c>
      <c r="CD3303">
        <v>0</v>
      </c>
      <c r="CE3303">
        <v>63.96</v>
      </c>
      <c r="CF3303">
        <v>6.97</v>
      </c>
      <c r="CG3303">
        <v>64.150000000000006</v>
      </c>
      <c r="CH3303">
        <v>52.97</v>
      </c>
      <c r="CI3303">
        <v>51.18</v>
      </c>
      <c r="CJ3303">
        <v>-0.09</v>
      </c>
      <c r="CK3303">
        <v>50.03</v>
      </c>
      <c r="CL3303">
        <v>277.86</v>
      </c>
      <c r="CM3303">
        <v>113.61</v>
      </c>
      <c r="CN3303">
        <v>5.17</v>
      </c>
      <c r="CO3303">
        <v>892841</v>
      </c>
      <c r="CP3303">
        <v>1080</v>
      </c>
      <c r="CQ3303" t="s">
        <v>14184</v>
      </c>
      <c r="CR3303">
        <v>0</v>
      </c>
      <c r="CS3303">
        <v>0</v>
      </c>
      <c r="CT3303">
        <v>0.81</v>
      </c>
      <c r="CU3303">
        <v>6.5</v>
      </c>
      <c r="CV3303">
        <v>6.15</v>
      </c>
      <c r="CW3303">
        <v>0</v>
      </c>
      <c r="CX3303" t="s">
        <v>14185</v>
      </c>
      <c r="CY3303">
        <v>9.43</v>
      </c>
      <c r="CZ3303">
        <v>9.43</v>
      </c>
      <c r="DA3303">
        <v>0.93</v>
      </c>
      <c r="DB3303">
        <v>2.88</v>
      </c>
      <c r="DC3303">
        <v>1.18</v>
      </c>
      <c r="DD3303">
        <v>7.5</v>
      </c>
      <c r="DE3303" t="s">
        <v>2505</v>
      </c>
      <c r="DF3303" t="s">
        <v>120</v>
      </c>
      <c r="DG3303">
        <v>53.21</v>
      </c>
      <c r="DH3303">
        <v>42.58</v>
      </c>
      <c r="DI3303" t="s">
        <v>120</v>
      </c>
      <c r="DJ3303">
        <v>8645</v>
      </c>
      <c r="DK3303">
        <v>601825</v>
      </c>
      <c r="DL3303" t="s">
        <v>120</v>
      </c>
      <c r="DM3303" t="s">
        <v>120</v>
      </c>
      <c r="DN3303" t="s">
        <v>120</v>
      </c>
    </row>
    <row r="3304" spans="1:118">
      <c r="A3304" t="str">
        <f>"601827"</f>
        <v>601827</v>
      </c>
      <c r="B3304" t="s">
        <v>14186</v>
      </c>
      <c r="C3304">
        <v>-2.16</v>
      </c>
      <c r="D3304">
        <v>-0.1</v>
      </c>
      <c r="E3304">
        <v>0.32</v>
      </c>
      <c r="F3304">
        <v>967</v>
      </c>
      <c r="G3304" t="s">
        <v>14187</v>
      </c>
      <c r="H3304">
        <v>11159.91</v>
      </c>
      <c r="I3304">
        <v>18.53</v>
      </c>
      <c r="J3304" t="s">
        <v>120</v>
      </c>
      <c r="K3304" t="s">
        <v>14188</v>
      </c>
      <c r="L3304">
        <v>1.52</v>
      </c>
      <c r="M3304">
        <v>9.08</v>
      </c>
      <c r="N3304">
        <v>0.7</v>
      </c>
      <c r="O3304">
        <v>1.08</v>
      </c>
      <c r="P3304">
        <v>9.3800000000000008</v>
      </c>
      <c r="Q3304">
        <v>-2.37</v>
      </c>
      <c r="R3304">
        <v>9.06</v>
      </c>
      <c r="S3304">
        <v>9.31</v>
      </c>
      <c r="T3304">
        <v>121312</v>
      </c>
      <c r="U3304">
        <v>9.09</v>
      </c>
      <c r="V3304">
        <v>9.2799999999999994</v>
      </c>
      <c r="W3304">
        <v>10.050000000000001</v>
      </c>
      <c r="X3304" t="s">
        <v>318</v>
      </c>
      <c r="Y3304" t="s">
        <v>883</v>
      </c>
      <c r="Z3304">
        <v>3.45</v>
      </c>
      <c r="AA3304">
        <v>9.1999999999999993</v>
      </c>
      <c r="AB3304">
        <v>72690</v>
      </c>
      <c r="AC3304">
        <v>48622</v>
      </c>
      <c r="AD3304">
        <v>1.5</v>
      </c>
      <c r="AE3304">
        <v>156</v>
      </c>
      <c r="AF3304">
        <v>478</v>
      </c>
      <c r="AG3304" t="s">
        <v>120</v>
      </c>
      <c r="AH3304">
        <v>0</v>
      </c>
      <c r="AI3304" t="s">
        <v>120</v>
      </c>
      <c r="AJ3304">
        <v>8</v>
      </c>
      <c r="AK3304" t="s">
        <v>14189</v>
      </c>
      <c r="AL3304">
        <v>-0.81</v>
      </c>
      <c r="AM3304">
        <v>2833</v>
      </c>
      <c r="AN3304">
        <v>43</v>
      </c>
      <c r="AO3304">
        <v>5.0000000000000001E-4</v>
      </c>
      <c r="AP3304">
        <v>-3</v>
      </c>
      <c r="AQ3304">
        <v>-0.22</v>
      </c>
      <c r="AR3304">
        <v>-4.83</v>
      </c>
      <c r="AS3304">
        <v>3.18</v>
      </c>
      <c r="AT3304">
        <v>-2.0499999999999998</v>
      </c>
      <c r="AU3304">
        <v>11.69</v>
      </c>
      <c r="AV3304">
        <v>0</v>
      </c>
      <c r="AW3304">
        <v>2.67</v>
      </c>
      <c r="AX3304">
        <v>27.09</v>
      </c>
      <c r="AY3304">
        <v>13.65</v>
      </c>
      <c r="AZ3304">
        <v>21.6</v>
      </c>
      <c r="BA3304">
        <v>0.45</v>
      </c>
      <c r="BB3304" t="s">
        <v>143</v>
      </c>
      <c r="BF3304">
        <v>-0.87</v>
      </c>
      <c r="BG3304">
        <v>-2.4700000000000002</v>
      </c>
      <c r="BH3304">
        <v>-3.2</v>
      </c>
      <c r="BI3304">
        <v>0.22</v>
      </c>
      <c r="BJ3304">
        <v>20210816</v>
      </c>
      <c r="BK3304">
        <v>20200605</v>
      </c>
      <c r="BL3304">
        <v>16.78</v>
      </c>
      <c r="BM3304" t="s">
        <v>120</v>
      </c>
      <c r="BN3304" t="s">
        <v>120</v>
      </c>
      <c r="BO3304">
        <v>206.47</v>
      </c>
      <c r="BP3304">
        <v>9.08</v>
      </c>
      <c r="BQ3304">
        <v>83.22</v>
      </c>
      <c r="BR3304">
        <v>4.97</v>
      </c>
      <c r="BS3304">
        <v>57.29</v>
      </c>
      <c r="BT3304">
        <v>52.86</v>
      </c>
      <c r="BU3304">
        <v>4.6399999999999997</v>
      </c>
      <c r="BV3304">
        <v>113.7</v>
      </c>
      <c r="BW3304">
        <v>45.65</v>
      </c>
      <c r="BX3304">
        <v>18.36</v>
      </c>
      <c r="BY3304">
        <v>7.83</v>
      </c>
      <c r="BZ3304">
        <v>16.14</v>
      </c>
      <c r="CA3304" t="s">
        <v>120</v>
      </c>
      <c r="CB3304">
        <v>39.979999999999997</v>
      </c>
      <c r="CC3304">
        <v>30.98</v>
      </c>
      <c r="CD3304">
        <v>18.54</v>
      </c>
      <c r="CE3304">
        <v>8.7799999999999994</v>
      </c>
      <c r="CF3304">
        <v>0.39</v>
      </c>
      <c r="CG3304">
        <v>8.8000000000000007</v>
      </c>
      <c r="CH3304">
        <v>7.95</v>
      </c>
      <c r="CI3304">
        <v>7.58</v>
      </c>
      <c r="CJ3304">
        <v>-0.2</v>
      </c>
      <c r="CK3304">
        <v>7.51</v>
      </c>
      <c r="CL3304">
        <v>25.43</v>
      </c>
      <c r="CM3304">
        <v>9.2200000000000006</v>
      </c>
      <c r="CN3304">
        <v>-5.89</v>
      </c>
      <c r="CO3304">
        <v>59475</v>
      </c>
      <c r="CP3304">
        <v>7643</v>
      </c>
      <c r="CQ3304" t="s">
        <v>5975</v>
      </c>
      <c r="CR3304">
        <v>124.19</v>
      </c>
      <c r="CS3304">
        <v>30.32</v>
      </c>
      <c r="CT3304">
        <v>1.83</v>
      </c>
      <c r="CU3304">
        <v>16.52</v>
      </c>
      <c r="CV3304">
        <v>4.92</v>
      </c>
      <c r="CW3304">
        <v>1.62</v>
      </c>
      <c r="CX3304" t="s">
        <v>1520</v>
      </c>
      <c r="CY3304">
        <v>4.96</v>
      </c>
      <c r="CZ3304">
        <v>0</v>
      </c>
      <c r="DA3304">
        <v>2.38</v>
      </c>
      <c r="DB3304">
        <v>1.52</v>
      </c>
      <c r="DC3304">
        <v>0.55000000000000004</v>
      </c>
      <c r="DD3304">
        <v>40.31</v>
      </c>
      <c r="DE3304" t="s">
        <v>14190</v>
      </c>
      <c r="DF3304">
        <v>40.17</v>
      </c>
      <c r="DG3304">
        <v>28.33</v>
      </c>
      <c r="DH3304">
        <v>24.47</v>
      </c>
      <c r="DI3304">
        <v>0.18</v>
      </c>
      <c r="DJ3304">
        <v>2802</v>
      </c>
      <c r="DK3304">
        <v>601827</v>
      </c>
      <c r="DL3304" t="s">
        <v>120</v>
      </c>
      <c r="DM3304" t="s">
        <v>120</v>
      </c>
      <c r="DN3304" t="s">
        <v>120</v>
      </c>
    </row>
    <row r="3305" spans="1:118">
      <c r="A3305" t="str">
        <f>"601828"</f>
        <v>601828</v>
      </c>
      <c r="B3305" t="s">
        <v>14191</v>
      </c>
      <c r="C3305">
        <v>-4.55</v>
      </c>
      <c r="D3305">
        <v>0</v>
      </c>
      <c r="E3305">
        <v>-0.62</v>
      </c>
      <c r="F3305">
        <v>999</v>
      </c>
      <c r="G3305" t="s">
        <v>14192</v>
      </c>
      <c r="H3305">
        <v>14339.37</v>
      </c>
      <c r="I3305">
        <v>35.75</v>
      </c>
      <c r="J3305" t="s">
        <v>120</v>
      </c>
      <c r="K3305" t="s">
        <v>14193</v>
      </c>
      <c r="L3305">
        <v>0.48</v>
      </c>
      <c r="M3305">
        <v>9.23</v>
      </c>
      <c r="N3305">
        <v>1.07</v>
      </c>
      <c r="O3305">
        <v>0.21</v>
      </c>
      <c r="P3305">
        <v>9.69</v>
      </c>
      <c r="Q3305">
        <v>-4.96</v>
      </c>
      <c r="R3305">
        <v>9.19</v>
      </c>
      <c r="S3305">
        <v>9.61</v>
      </c>
      <c r="T3305">
        <v>152380</v>
      </c>
      <c r="U3305">
        <v>9.24</v>
      </c>
      <c r="V3305">
        <v>9.67</v>
      </c>
      <c r="W3305">
        <v>10.41</v>
      </c>
      <c r="X3305" t="s">
        <v>221</v>
      </c>
      <c r="Y3305" t="s">
        <v>1510</v>
      </c>
      <c r="Z3305">
        <v>5.17</v>
      </c>
      <c r="AA3305">
        <v>9.41</v>
      </c>
      <c r="AB3305">
        <v>96699</v>
      </c>
      <c r="AC3305">
        <v>55681</v>
      </c>
      <c r="AD3305">
        <v>1.74</v>
      </c>
      <c r="AE3305">
        <v>288</v>
      </c>
      <c r="AF3305">
        <v>86</v>
      </c>
      <c r="AG3305" t="s">
        <v>120</v>
      </c>
      <c r="AH3305">
        <v>0.01</v>
      </c>
      <c r="AI3305" t="s">
        <v>120</v>
      </c>
      <c r="AJ3305">
        <v>31.64</v>
      </c>
      <c r="AK3305" t="s">
        <v>14193</v>
      </c>
      <c r="AL3305">
        <v>-3.21</v>
      </c>
      <c r="AM3305">
        <v>3394</v>
      </c>
      <c r="AN3305">
        <v>45</v>
      </c>
      <c r="AO3305">
        <v>1E-4</v>
      </c>
      <c r="AP3305">
        <v>-5</v>
      </c>
      <c r="AQ3305">
        <v>-2.0299999999999998</v>
      </c>
      <c r="AR3305">
        <v>-9.07</v>
      </c>
      <c r="AS3305">
        <v>-6.58</v>
      </c>
      <c r="AT3305">
        <v>-16.32</v>
      </c>
      <c r="AU3305">
        <v>8.7200000000000006</v>
      </c>
      <c r="AV3305">
        <v>0</v>
      </c>
      <c r="AW3305">
        <v>3.67</v>
      </c>
      <c r="AX3305">
        <v>13.13</v>
      </c>
      <c r="AY3305">
        <v>15.99</v>
      </c>
      <c r="AZ3305">
        <v>21.82</v>
      </c>
      <c r="BA3305">
        <v>0.53</v>
      </c>
      <c r="BB3305" t="s">
        <v>143</v>
      </c>
      <c r="BF3305">
        <v>-2.69</v>
      </c>
      <c r="BG3305">
        <v>-3.95</v>
      </c>
      <c r="BH3305">
        <v>-4.75</v>
      </c>
      <c r="BI3305">
        <v>0.44</v>
      </c>
      <c r="BJ3305">
        <v>20210826</v>
      </c>
      <c r="BK3305">
        <v>20180117</v>
      </c>
      <c r="BL3305">
        <v>39.049999999999997</v>
      </c>
      <c r="BM3305" t="s">
        <v>120</v>
      </c>
      <c r="BN3305">
        <v>7.41</v>
      </c>
      <c r="BO3305">
        <v>1349.08</v>
      </c>
      <c r="BP3305">
        <v>9.23</v>
      </c>
      <c r="BQ3305">
        <v>506.78</v>
      </c>
      <c r="BR3305">
        <v>37.01</v>
      </c>
      <c r="BS3305">
        <v>59.69</v>
      </c>
      <c r="BT3305">
        <v>171.89</v>
      </c>
      <c r="BU3305">
        <v>26.46</v>
      </c>
      <c r="BV3305">
        <v>3.49</v>
      </c>
      <c r="BW3305">
        <v>351.06</v>
      </c>
      <c r="BX3305">
        <v>66.05</v>
      </c>
      <c r="BY3305">
        <v>3.55</v>
      </c>
      <c r="BZ3305">
        <v>22.32</v>
      </c>
      <c r="CA3305">
        <v>13.8</v>
      </c>
      <c r="CB3305">
        <v>36.56</v>
      </c>
      <c r="CC3305">
        <v>75.03</v>
      </c>
      <c r="CD3305">
        <v>27.32</v>
      </c>
      <c r="CE3305">
        <v>25.2</v>
      </c>
      <c r="CF3305">
        <v>7.79</v>
      </c>
      <c r="CG3305">
        <v>25.19</v>
      </c>
      <c r="CH3305">
        <v>18.670000000000002</v>
      </c>
      <c r="CI3305">
        <v>17.32</v>
      </c>
      <c r="CJ3305">
        <v>-0.44</v>
      </c>
      <c r="CK3305">
        <v>9.32</v>
      </c>
      <c r="CL3305">
        <v>381.84</v>
      </c>
      <c r="CM3305">
        <v>20.84</v>
      </c>
      <c r="CN3305">
        <v>-14.86</v>
      </c>
      <c r="CO3305">
        <v>43608</v>
      </c>
      <c r="CP3305">
        <v>9528</v>
      </c>
      <c r="CQ3305" t="s">
        <v>14194</v>
      </c>
      <c r="CR3305">
        <v>57.26</v>
      </c>
      <c r="CS3305">
        <v>24.54</v>
      </c>
      <c r="CT3305">
        <v>0.71</v>
      </c>
      <c r="CU3305">
        <v>17.3</v>
      </c>
      <c r="CV3305">
        <v>4.8</v>
      </c>
      <c r="CW3305">
        <v>0</v>
      </c>
      <c r="CX3305" t="s">
        <v>194</v>
      </c>
      <c r="CY3305">
        <v>12.98</v>
      </c>
      <c r="CZ3305">
        <v>0</v>
      </c>
      <c r="DA3305">
        <v>0.94</v>
      </c>
      <c r="DB3305">
        <v>9.7799999999999994</v>
      </c>
      <c r="DC3305">
        <v>0.53</v>
      </c>
      <c r="DD3305">
        <v>37.57</v>
      </c>
      <c r="DE3305" t="s">
        <v>367</v>
      </c>
      <c r="DF3305">
        <v>63.59</v>
      </c>
      <c r="DG3305">
        <v>33.590000000000003</v>
      </c>
      <c r="DH3305">
        <v>23.08</v>
      </c>
      <c r="DI3305">
        <v>0.27</v>
      </c>
      <c r="DJ3305">
        <v>25201</v>
      </c>
      <c r="DK3305">
        <v>601828</v>
      </c>
      <c r="DL3305" t="s">
        <v>120</v>
      </c>
      <c r="DM3305" t="s">
        <v>120</v>
      </c>
      <c r="DN3305" t="s">
        <v>120</v>
      </c>
    </row>
    <row r="3306" spans="1:118">
      <c r="A3306" t="str">
        <f>"601838"</f>
        <v>601838</v>
      </c>
      <c r="B3306" t="s">
        <v>14195</v>
      </c>
      <c r="C3306">
        <v>-1.37</v>
      </c>
      <c r="D3306">
        <v>-0.32</v>
      </c>
      <c r="E3306">
        <v>-0.08</v>
      </c>
      <c r="F3306">
        <v>1734</v>
      </c>
      <c r="G3306" t="s">
        <v>14196</v>
      </c>
      <c r="H3306">
        <v>24443.45</v>
      </c>
      <c r="I3306">
        <v>131.83000000000001</v>
      </c>
      <c r="J3306" t="s">
        <v>120</v>
      </c>
      <c r="K3306" t="s">
        <v>14197</v>
      </c>
      <c r="L3306">
        <v>0.55000000000000004</v>
      </c>
      <c r="M3306">
        <v>12.23</v>
      </c>
      <c r="N3306">
        <v>0.62</v>
      </c>
      <c r="O3306">
        <v>0.65</v>
      </c>
      <c r="P3306">
        <v>12.48</v>
      </c>
      <c r="Q3306">
        <v>-1.85</v>
      </c>
      <c r="R3306">
        <v>12.17</v>
      </c>
      <c r="S3306">
        <v>12.39</v>
      </c>
      <c r="T3306">
        <v>198294</v>
      </c>
      <c r="U3306">
        <v>12.24</v>
      </c>
      <c r="V3306">
        <v>12.4</v>
      </c>
      <c r="W3306">
        <v>6.52</v>
      </c>
      <c r="X3306" t="s">
        <v>122</v>
      </c>
      <c r="Y3306" t="s">
        <v>578</v>
      </c>
      <c r="Z3306">
        <v>2.5</v>
      </c>
      <c r="AA3306">
        <v>12.33</v>
      </c>
      <c r="AB3306">
        <v>118557</v>
      </c>
      <c r="AC3306">
        <v>79737</v>
      </c>
      <c r="AD3306">
        <v>1.49</v>
      </c>
      <c r="AE3306">
        <v>56</v>
      </c>
      <c r="AF3306">
        <v>1936</v>
      </c>
      <c r="AG3306" t="s">
        <v>120</v>
      </c>
      <c r="AH3306">
        <v>0.01</v>
      </c>
      <c r="AI3306" t="s">
        <v>120</v>
      </c>
      <c r="AJ3306">
        <v>36</v>
      </c>
      <c r="AK3306" t="s">
        <v>14198</v>
      </c>
      <c r="AL3306">
        <v>-0.03</v>
      </c>
      <c r="AM3306">
        <v>3459</v>
      </c>
      <c r="AN3306">
        <v>57</v>
      </c>
      <c r="AO3306">
        <v>2.0000000000000001E-4</v>
      </c>
      <c r="AP3306">
        <v>-3</v>
      </c>
      <c r="AQ3306">
        <v>-3.28</v>
      </c>
      <c r="AR3306">
        <v>-5.34</v>
      </c>
      <c r="AS3306">
        <v>11.18</v>
      </c>
      <c r="AT3306">
        <v>-6</v>
      </c>
      <c r="AU3306">
        <v>19.78</v>
      </c>
      <c r="AV3306">
        <v>0</v>
      </c>
      <c r="AW3306">
        <v>1.05</v>
      </c>
      <c r="AX3306">
        <v>52.17</v>
      </c>
      <c r="AY3306">
        <v>6.72</v>
      </c>
      <c r="AZ3306">
        <v>7.43</v>
      </c>
      <c r="BA3306">
        <v>1.05</v>
      </c>
      <c r="BB3306" t="s">
        <v>143</v>
      </c>
      <c r="BF3306">
        <v>-0.59</v>
      </c>
      <c r="BG3306">
        <v>-1.29</v>
      </c>
      <c r="BH3306">
        <v>-2</v>
      </c>
      <c r="BI3306">
        <v>0.49</v>
      </c>
      <c r="BJ3306">
        <v>20210827</v>
      </c>
      <c r="BK3306">
        <v>20180131</v>
      </c>
      <c r="BL3306">
        <v>36.119999999999997</v>
      </c>
      <c r="BM3306" t="s">
        <v>120</v>
      </c>
      <c r="BN3306" t="s">
        <v>120</v>
      </c>
      <c r="BO3306">
        <v>7361.83</v>
      </c>
      <c r="BP3306">
        <v>12.23</v>
      </c>
      <c r="BQ3306">
        <v>476.94</v>
      </c>
      <c r="BR3306">
        <v>0.84</v>
      </c>
      <c r="BS3306">
        <v>93.51</v>
      </c>
      <c r="BT3306">
        <v>0</v>
      </c>
      <c r="BU3306">
        <v>12.99</v>
      </c>
      <c r="BV3306">
        <v>0.26</v>
      </c>
      <c r="BW3306">
        <v>0</v>
      </c>
      <c r="BX3306">
        <v>647.75</v>
      </c>
      <c r="BY3306">
        <v>0</v>
      </c>
      <c r="BZ3306">
        <v>0</v>
      </c>
      <c r="CA3306" t="s">
        <v>120</v>
      </c>
      <c r="CB3306">
        <v>61.56</v>
      </c>
      <c r="CC3306">
        <v>85.41</v>
      </c>
      <c r="CD3306">
        <v>0</v>
      </c>
      <c r="CE3306">
        <v>37.68</v>
      </c>
      <c r="CF3306">
        <v>11.5</v>
      </c>
      <c r="CG3306">
        <v>37.549999999999997</v>
      </c>
      <c r="CH3306">
        <v>33.909999999999997</v>
      </c>
      <c r="CI3306">
        <v>33.89</v>
      </c>
      <c r="CJ3306">
        <v>-0.17</v>
      </c>
      <c r="CK3306">
        <v>33.78</v>
      </c>
      <c r="CL3306">
        <v>194.49</v>
      </c>
      <c r="CM3306">
        <v>213.96</v>
      </c>
      <c r="CN3306">
        <v>49.98</v>
      </c>
      <c r="CO3306">
        <v>48984</v>
      </c>
      <c r="CP3306">
        <v>38470</v>
      </c>
      <c r="CQ3306" t="s">
        <v>14199</v>
      </c>
      <c r="CR3306">
        <v>23.11</v>
      </c>
      <c r="CS3306">
        <v>25.34</v>
      </c>
      <c r="CT3306">
        <v>1.06</v>
      </c>
      <c r="CU3306">
        <v>2.06</v>
      </c>
      <c r="CV3306">
        <v>5.17</v>
      </c>
      <c r="CW3306">
        <v>3.71</v>
      </c>
      <c r="CX3306" t="s">
        <v>3686</v>
      </c>
      <c r="CY3306">
        <v>11.54</v>
      </c>
      <c r="CZ3306">
        <v>11.54</v>
      </c>
      <c r="DA3306">
        <v>1.7</v>
      </c>
      <c r="DB3306">
        <v>5.38</v>
      </c>
      <c r="DC3306">
        <v>5.92</v>
      </c>
      <c r="DD3306">
        <v>6.48</v>
      </c>
      <c r="DE3306" t="s">
        <v>14200</v>
      </c>
      <c r="DF3306" t="s">
        <v>120</v>
      </c>
      <c r="DG3306">
        <v>44.12</v>
      </c>
      <c r="DH3306">
        <v>39.68</v>
      </c>
      <c r="DI3306" t="s">
        <v>120</v>
      </c>
      <c r="DJ3306">
        <v>6461</v>
      </c>
      <c r="DK3306">
        <v>601838</v>
      </c>
      <c r="DL3306" t="s">
        <v>120</v>
      </c>
      <c r="DM3306" t="s">
        <v>120</v>
      </c>
      <c r="DN3306" t="s">
        <v>120</v>
      </c>
    </row>
    <row r="3307" spans="1:118">
      <c r="A3307" t="str">
        <f>"601857"</f>
        <v>601857</v>
      </c>
      <c r="B3307" t="s">
        <v>14201</v>
      </c>
      <c r="C3307">
        <v>-0.67</v>
      </c>
      <c r="D3307">
        <v>0</v>
      </c>
      <c r="E3307">
        <v>2.67</v>
      </c>
      <c r="F3307">
        <v>83202</v>
      </c>
      <c r="G3307" t="s">
        <v>14202</v>
      </c>
      <c r="H3307">
        <v>326372.57</v>
      </c>
      <c r="I3307">
        <v>4849.72</v>
      </c>
      <c r="J3307" t="s">
        <v>120</v>
      </c>
      <c r="K3307" t="s">
        <v>14203</v>
      </c>
      <c r="L3307">
        <v>0.33</v>
      </c>
      <c r="M3307">
        <v>5.95</v>
      </c>
      <c r="N3307">
        <v>1.28</v>
      </c>
      <c r="O3307">
        <v>3.34</v>
      </c>
      <c r="P3307">
        <v>6.19</v>
      </c>
      <c r="Q3307">
        <v>-2.17</v>
      </c>
      <c r="R3307">
        <v>5.86</v>
      </c>
      <c r="S3307">
        <v>6.15</v>
      </c>
      <c r="T3307">
        <v>5418313</v>
      </c>
      <c r="U3307">
        <v>5.95</v>
      </c>
      <c r="V3307">
        <v>5.99</v>
      </c>
      <c r="W3307">
        <v>10.27</v>
      </c>
      <c r="X3307" t="s">
        <v>3867</v>
      </c>
      <c r="Y3307" t="s">
        <v>158</v>
      </c>
      <c r="Z3307">
        <v>5.51</v>
      </c>
      <c r="AA3307">
        <v>6.02</v>
      </c>
      <c r="AB3307">
        <v>2834304</v>
      </c>
      <c r="AC3307">
        <v>2584008</v>
      </c>
      <c r="AD3307">
        <v>1.1000000000000001</v>
      </c>
      <c r="AE3307">
        <v>12382</v>
      </c>
      <c r="AF3307">
        <v>15757</v>
      </c>
      <c r="AG3307" t="s">
        <v>120</v>
      </c>
      <c r="AH3307">
        <v>0.05</v>
      </c>
      <c r="AI3307" t="s">
        <v>120</v>
      </c>
      <c r="AJ3307">
        <v>1619.22</v>
      </c>
      <c r="AK3307" t="s">
        <v>14203</v>
      </c>
      <c r="AL3307">
        <v>0.68</v>
      </c>
      <c r="AM3307">
        <v>4745</v>
      </c>
      <c r="AN3307">
        <v>1142</v>
      </c>
      <c r="AO3307">
        <v>1E-4</v>
      </c>
      <c r="AP3307">
        <v>-1</v>
      </c>
      <c r="AQ3307">
        <v>4.9000000000000004</v>
      </c>
      <c r="AR3307">
        <v>8.18</v>
      </c>
      <c r="AS3307">
        <v>34.01</v>
      </c>
      <c r="AT3307">
        <v>12.21</v>
      </c>
      <c r="AU3307">
        <v>46.46</v>
      </c>
      <c r="AV3307">
        <v>0</v>
      </c>
      <c r="AW3307">
        <v>3.6</v>
      </c>
      <c r="AX3307">
        <v>9.2899999999999991</v>
      </c>
      <c r="AY3307">
        <v>10.75</v>
      </c>
      <c r="AZ3307">
        <v>57.69</v>
      </c>
      <c r="BA3307">
        <v>0.28000000000000003</v>
      </c>
      <c r="BB3307" t="s">
        <v>184</v>
      </c>
      <c r="BF3307">
        <v>0.56000000000000005</v>
      </c>
      <c r="BG3307">
        <v>-3.25</v>
      </c>
      <c r="BH3307">
        <v>-3.88</v>
      </c>
      <c r="BI3307">
        <v>1.54</v>
      </c>
      <c r="BJ3307">
        <v>20210910</v>
      </c>
      <c r="BK3307">
        <v>20071105</v>
      </c>
      <c r="BL3307">
        <v>1830.21</v>
      </c>
      <c r="BM3307" t="s">
        <v>120</v>
      </c>
      <c r="BN3307">
        <v>210.99</v>
      </c>
      <c r="BO3307">
        <v>25321.24</v>
      </c>
      <c r="BP3307">
        <v>5.94</v>
      </c>
      <c r="BQ3307">
        <v>12517.27</v>
      </c>
      <c r="BR3307">
        <v>1411.88</v>
      </c>
      <c r="BS3307">
        <v>44.99</v>
      </c>
      <c r="BT3307">
        <v>5470.85</v>
      </c>
      <c r="BU3307">
        <v>4017.35</v>
      </c>
      <c r="BV3307">
        <v>860.87</v>
      </c>
      <c r="BW3307">
        <v>6026.41</v>
      </c>
      <c r="BX3307">
        <v>1880.33</v>
      </c>
      <c r="BY3307">
        <v>1685.62</v>
      </c>
      <c r="BZ3307">
        <v>732.8</v>
      </c>
      <c r="CA3307" t="s">
        <v>120</v>
      </c>
      <c r="CB3307">
        <v>1277.25</v>
      </c>
      <c r="CC3307">
        <v>11965.81</v>
      </c>
      <c r="CD3307">
        <v>9576.4</v>
      </c>
      <c r="CE3307">
        <v>889.76</v>
      </c>
      <c r="CF3307">
        <v>262.13</v>
      </c>
      <c r="CG3307">
        <v>870.15</v>
      </c>
      <c r="CH3307">
        <v>678.16</v>
      </c>
      <c r="CI3307">
        <v>530.36</v>
      </c>
      <c r="CJ3307">
        <v>-0.04</v>
      </c>
      <c r="CK3307">
        <v>452.31</v>
      </c>
      <c r="CL3307">
        <v>7599.75</v>
      </c>
      <c r="CM3307">
        <v>1160.3399999999999</v>
      </c>
      <c r="CN3307">
        <v>366.78</v>
      </c>
      <c r="CO3307">
        <v>631882</v>
      </c>
      <c r="CP3307">
        <v>23801</v>
      </c>
      <c r="CQ3307" t="s">
        <v>10927</v>
      </c>
      <c r="CR3307">
        <v>276.87</v>
      </c>
      <c r="CS3307">
        <v>28.8</v>
      </c>
      <c r="CT3307">
        <v>0.87</v>
      </c>
      <c r="CU3307">
        <v>9.3800000000000008</v>
      </c>
      <c r="CV3307">
        <v>0.91</v>
      </c>
      <c r="CW3307">
        <v>3.64</v>
      </c>
      <c r="CX3307" t="s">
        <v>293</v>
      </c>
      <c r="CY3307">
        <v>6.84</v>
      </c>
      <c r="CZ3307">
        <v>0</v>
      </c>
      <c r="DA3307">
        <v>0.7</v>
      </c>
      <c r="DB3307">
        <v>4.1500000000000004</v>
      </c>
      <c r="DC3307">
        <v>0.63</v>
      </c>
      <c r="DD3307">
        <v>49.43</v>
      </c>
      <c r="DE3307" t="s">
        <v>3564</v>
      </c>
      <c r="DF3307">
        <v>19.97</v>
      </c>
      <c r="DG3307">
        <v>7.44</v>
      </c>
      <c r="DH3307">
        <v>4.43</v>
      </c>
      <c r="DI3307">
        <v>82.88</v>
      </c>
      <c r="DJ3307">
        <v>423243</v>
      </c>
      <c r="DK3307">
        <v>601857</v>
      </c>
      <c r="DL3307">
        <v>20210914</v>
      </c>
      <c r="DM3307">
        <v>5.72</v>
      </c>
      <c r="DN3307">
        <v>4.0199999999999996</v>
      </c>
    </row>
    <row r="3308" spans="1:118">
      <c r="A3308" t="str">
        <f>"601858"</f>
        <v>601858</v>
      </c>
      <c r="B3308" t="s">
        <v>14204</v>
      </c>
      <c r="C3308">
        <v>-2.3199999999999998</v>
      </c>
      <c r="D3308">
        <v>0.11</v>
      </c>
      <c r="E3308">
        <v>0</v>
      </c>
      <c r="F3308">
        <v>322</v>
      </c>
      <c r="G3308" t="s">
        <v>7622</v>
      </c>
      <c r="H3308">
        <v>2821.17</v>
      </c>
      <c r="I3308">
        <v>1</v>
      </c>
      <c r="J3308" t="s">
        <v>120</v>
      </c>
      <c r="K3308" t="s">
        <v>10910</v>
      </c>
      <c r="L3308">
        <v>0.4</v>
      </c>
      <c r="M3308">
        <v>8.85</v>
      </c>
      <c r="N3308">
        <v>0.98</v>
      </c>
      <c r="O3308">
        <v>0.33</v>
      </c>
      <c r="P3308">
        <v>9.09</v>
      </c>
      <c r="Q3308">
        <v>-2.87</v>
      </c>
      <c r="R3308">
        <v>8.8000000000000007</v>
      </c>
      <c r="S3308">
        <v>9.06</v>
      </c>
      <c r="T3308">
        <v>31550</v>
      </c>
      <c r="U3308">
        <v>8.85</v>
      </c>
      <c r="V3308">
        <v>9.06</v>
      </c>
      <c r="W3308">
        <v>15.98</v>
      </c>
      <c r="X3308" t="s">
        <v>1730</v>
      </c>
      <c r="Y3308" t="s">
        <v>158</v>
      </c>
      <c r="Z3308">
        <v>3.2</v>
      </c>
      <c r="AA3308">
        <v>8.94</v>
      </c>
      <c r="AB3308">
        <v>16965</v>
      </c>
      <c r="AC3308">
        <v>14585</v>
      </c>
      <c r="AD3308">
        <v>1.1599999999999999</v>
      </c>
      <c r="AE3308">
        <v>45</v>
      </c>
      <c r="AF3308">
        <v>196</v>
      </c>
      <c r="AG3308" t="s">
        <v>120</v>
      </c>
      <c r="AH3308">
        <v>0</v>
      </c>
      <c r="AI3308" t="s">
        <v>120</v>
      </c>
      <c r="AJ3308">
        <v>7.91</v>
      </c>
      <c r="AK3308" t="s">
        <v>10910</v>
      </c>
      <c r="AL3308">
        <v>-0.97</v>
      </c>
      <c r="AM3308">
        <v>1636</v>
      </c>
      <c r="AN3308">
        <v>19</v>
      </c>
      <c r="AO3308">
        <v>2.0000000000000001E-4</v>
      </c>
      <c r="AP3308">
        <v>-1</v>
      </c>
      <c r="AQ3308">
        <v>1.23</v>
      </c>
      <c r="AR3308">
        <v>-2.5299999999999998</v>
      </c>
      <c r="AS3308">
        <v>10.76</v>
      </c>
      <c r="AT3308">
        <v>-0.63</v>
      </c>
      <c r="AU3308">
        <v>-3.87</v>
      </c>
      <c r="AV3308">
        <v>2</v>
      </c>
      <c r="AW3308">
        <v>1.56</v>
      </c>
      <c r="AX3308">
        <v>25.6</v>
      </c>
      <c r="AY3308">
        <v>13</v>
      </c>
      <c r="AZ3308">
        <v>15.39</v>
      </c>
      <c r="BA3308">
        <v>0.42</v>
      </c>
      <c r="BB3308" t="s">
        <v>143</v>
      </c>
      <c r="BF3308">
        <v>-1.3</v>
      </c>
      <c r="BG3308">
        <v>-2.3199999999999998</v>
      </c>
      <c r="BH3308">
        <v>-2.64</v>
      </c>
      <c r="BI3308">
        <v>0.56999999999999995</v>
      </c>
      <c r="BJ3308">
        <v>20210830</v>
      </c>
      <c r="BK3308">
        <v>20170118</v>
      </c>
      <c r="BL3308">
        <v>7.91</v>
      </c>
      <c r="BM3308" t="s">
        <v>120</v>
      </c>
      <c r="BN3308" t="s">
        <v>120</v>
      </c>
      <c r="BO3308">
        <v>59.25</v>
      </c>
      <c r="BP3308">
        <v>8.84</v>
      </c>
      <c r="BQ3308">
        <v>42.62</v>
      </c>
      <c r="BR3308">
        <v>0.33</v>
      </c>
      <c r="BS3308">
        <v>27.51</v>
      </c>
      <c r="BT3308">
        <v>31.75</v>
      </c>
      <c r="BU3308">
        <v>2.2799999999999998</v>
      </c>
      <c r="BV3308">
        <v>0.96</v>
      </c>
      <c r="BW3308">
        <v>14.87</v>
      </c>
      <c r="BX3308">
        <v>8.3800000000000008</v>
      </c>
      <c r="BY3308">
        <v>6.8</v>
      </c>
      <c r="BZ3308">
        <v>1.55</v>
      </c>
      <c r="CA3308" t="s">
        <v>120</v>
      </c>
      <c r="CB3308">
        <v>7.84</v>
      </c>
      <c r="CC3308">
        <v>11.7</v>
      </c>
      <c r="CD3308">
        <v>7.88</v>
      </c>
      <c r="CE3308">
        <v>2.16</v>
      </c>
      <c r="CF3308">
        <v>0.02</v>
      </c>
      <c r="CG3308">
        <v>2.16</v>
      </c>
      <c r="CH3308">
        <v>2.17</v>
      </c>
      <c r="CI3308">
        <v>2.19</v>
      </c>
      <c r="CJ3308">
        <v>-0.21</v>
      </c>
      <c r="CK3308">
        <v>2.16</v>
      </c>
      <c r="CL3308">
        <v>24.01</v>
      </c>
      <c r="CM3308">
        <v>-0.12</v>
      </c>
      <c r="CN3308">
        <v>-14.08</v>
      </c>
      <c r="CO3308">
        <v>23359</v>
      </c>
      <c r="CP3308">
        <v>8663</v>
      </c>
      <c r="CQ3308" t="s">
        <v>9498</v>
      </c>
      <c r="CR3308">
        <v>64.37</v>
      </c>
      <c r="CS3308">
        <v>19.489999999999998</v>
      </c>
      <c r="CT3308">
        <v>1.64</v>
      </c>
      <c r="CU3308">
        <v>-573.61</v>
      </c>
      <c r="CV3308">
        <v>5.98</v>
      </c>
      <c r="CW3308">
        <v>2.8</v>
      </c>
      <c r="CX3308" t="s">
        <v>1054</v>
      </c>
      <c r="CY3308">
        <v>5.39</v>
      </c>
      <c r="CZ3308">
        <v>0</v>
      </c>
      <c r="DA3308">
        <v>0.99</v>
      </c>
      <c r="DB3308">
        <v>3.04</v>
      </c>
      <c r="DC3308">
        <v>-0.02</v>
      </c>
      <c r="DD3308">
        <v>71.930000000000007</v>
      </c>
      <c r="DE3308" t="s">
        <v>3095</v>
      </c>
      <c r="DF3308">
        <v>32.630000000000003</v>
      </c>
      <c r="DG3308">
        <v>18.43</v>
      </c>
      <c r="DH3308">
        <v>18.71</v>
      </c>
      <c r="DI3308">
        <v>0.02</v>
      </c>
      <c r="DJ3308">
        <v>1410</v>
      </c>
      <c r="DK3308">
        <v>601858</v>
      </c>
      <c r="DL3308" t="s">
        <v>120</v>
      </c>
      <c r="DM3308" t="s">
        <v>120</v>
      </c>
      <c r="DN3308" t="s">
        <v>120</v>
      </c>
    </row>
    <row r="3309" spans="1:118">
      <c r="A3309" t="str">
        <f>"601860"</f>
        <v>601860</v>
      </c>
      <c r="B3309" t="s">
        <v>14205</v>
      </c>
      <c r="C3309">
        <v>-1.18</v>
      </c>
      <c r="D3309">
        <v>0</v>
      </c>
      <c r="E3309">
        <v>0</v>
      </c>
      <c r="F3309">
        <v>1816</v>
      </c>
      <c r="G3309" t="s">
        <v>8186</v>
      </c>
      <c r="H3309">
        <v>5020.49</v>
      </c>
      <c r="I3309">
        <v>27.53</v>
      </c>
      <c r="J3309" t="s">
        <v>120</v>
      </c>
      <c r="K3309" t="s">
        <v>8186</v>
      </c>
      <c r="L3309">
        <v>0.85</v>
      </c>
      <c r="M3309">
        <v>3.35</v>
      </c>
      <c r="N3309">
        <v>0.63</v>
      </c>
      <c r="O3309">
        <v>0.59</v>
      </c>
      <c r="P3309">
        <v>3.41</v>
      </c>
      <c r="Q3309">
        <v>-1.47</v>
      </c>
      <c r="R3309">
        <v>3.34</v>
      </c>
      <c r="S3309">
        <v>3.39</v>
      </c>
      <c r="T3309">
        <v>148654</v>
      </c>
      <c r="U3309">
        <v>3.36</v>
      </c>
      <c r="V3309">
        <v>3.39</v>
      </c>
      <c r="W3309">
        <v>8.19</v>
      </c>
      <c r="X3309" t="s">
        <v>122</v>
      </c>
      <c r="Y3309" t="s">
        <v>319</v>
      </c>
      <c r="Z3309">
        <v>2.06</v>
      </c>
      <c r="AA3309">
        <v>3.38</v>
      </c>
      <c r="AB3309">
        <v>80133</v>
      </c>
      <c r="AC3309">
        <v>68521</v>
      </c>
      <c r="AD3309">
        <v>1.17</v>
      </c>
      <c r="AE3309">
        <v>1764</v>
      </c>
      <c r="AF3309">
        <v>2049</v>
      </c>
      <c r="AG3309" t="s">
        <v>120</v>
      </c>
      <c r="AH3309">
        <v>0</v>
      </c>
      <c r="AI3309" t="s">
        <v>120</v>
      </c>
      <c r="AJ3309">
        <v>17.55</v>
      </c>
      <c r="AK3309" t="s">
        <v>14206</v>
      </c>
      <c r="AL3309">
        <v>0.16</v>
      </c>
      <c r="AM3309">
        <v>2476</v>
      </c>
      <c r="AN3309">
        <v>60</v>
      </c>
      <c r="AO3309">
        <v>2.9999999999999997E-4</v>
      </c>
      <c r="AP3309">
        <v>-1</v>
      </c>
      <c r="AQ3309">
        <v>0.89</v>
      </c>
      <c r="AR3309">
        <v>-3.74</v>
      </c>
      <c r="AS3309">
        <v>2.13</v>
      </c>
      <c r="AT3309">
        <v>-8.9700000000000006</v>
      </c>
      <c r="AU3309">
        <v>-18.489999999999998</v>
      </c>
      <c r="AV3309">
        <v>1</v>
      </c>
      <c r="AW3309">
        <v>0.85</v>
      </c>
      <c r="AX3309">
        <v>47.94</v>
      </c>
      <c r="AY3309">
        <v>8.49</v>
      </c>
      <c r="AZ3309">
        <v>8.61</v>
      </c>
      <c r="BA3309">
        <v>0.62</v>
      </c>
      <c r="BB3309" t="s">
        <v>143</v>
      </c>
      <c r="BF3309">
        <v>-0.37</v>
      </c>
      <c r="BG3309">
        <v>-1.18</v>
      </c>
      <c r="BH3309">
        <v>-1.76</v>
      </c>
      <c r="BI3309">
        <v>0.3</v>
      </c>
      <c r="BJ3309">
        <v>20210902</v>
      </c>
      <c r="BK3309">
        <v>20190103</v>
      </c>
      <c r="BL3309">
        <v>36.61</v>
      </c>
      <c r="BM3309" t="s">
        <v>120</v>
      </c>
      <c r="BN3309" t="s">
        <v>120</v>
      </c>
      <c r="BO3309">
        <v>2279.56</v>
      </c>
      <c r="BP3309">
        <v>3.35</v>
      </c>
      <c r="BQ3309">
        <v>153.08000000000001</v>
      </c>
      <c r="BR3309" t="s">
        <v>120</v>
      </c>
      <c r="BS3309">
        <v>93.28</v>
      </c>
      <c r="BT3309">
        <v>0</v>
      </c>
      <c r="BU3309">
        <v>13.22</v>
      </c>
      <c r="BV3309">
        <v>1.19</v>
      </c>
      <c r="BW3309">
        <v>0</v>
      </c>
      <c r="BX3309">
        <v>142.5</v>
      </c>
      <c r="BY3309">
        <v>0</v>
      </c>
      <c r="BZ3309">
        <v>0</v>
      </c>
      <c r="CA3309" t="s">
        <v>120</v>
      </c>
      <c r="CB3309">
        <v>29.77</v>
      </c>
      <c r="CC3309">
        <v>21.11</v>
      </c>
      <c r="CD3309">
        <v>0</v>
      </c>
      <c r="CE3309">
        <v>8.4499999999999993</v>
      </c>
      <c r="CF3309">
        <v>1.1599999999999999</v>
      </c>
      <c r="CG3309">
        <v>8.52</v>
      </c>
      <c r="CH3309">
        <v>7.49</v>
      </c>
      <c r="CI3309">
        <v>7.49</v>
      </c>
      <c r="CJ3309">
        <v>-0.04</v>
      </c>
      <c r="CK3309">
        <v>7.35</v>
      </c>
      <c r="CL3309">
        <v>20.260000000000002</v>
      </c>
      <c r="CM3309">
        <v>-73.73</v>
      </c>
      <c r="CN3309">
        <v>14.62</v>
      </c>
      <c r="CO3309">
        <v>75975</v>
      </c>
      <c r="CP3309">
        <v>23098</v>
      </c>
      <c r="CQ3309" t="s">
        <v>686</v>
      </c>
      <c r="CR3309">
        <v>2.72</v>
      </c>
      <c r="CS3309">
        <v>-14.4</v>
      </c>
      <c r="CT3309">
        <v>0.82</v>
      </c>
      <c r="CU3309">
        <v>-1.66</v>
      </c>
      <c r="CV3309">
        <v>5.81</v>
      </c>
      <c r="CW3309">
        <v>2.95</v>
      </c>
      <c r="CX3309" t="s">
        <v>492</v>
      </c>
      <c r="CY3309">
        <v>4.0599999999999996</v>
      </c>
      <c r="CZ3309">
        <v>4.0599999999999996</v>
      </c>
      <c r="DA3309">
        <v>0.81</v>
      </c>
      <c r="DB3309">
        <v>0.55000000000000004</v>
      </c>
      <c r="DC3309">
        <v>-2.0099999999999998</v>
      </c>
      <c r="DD3309">
        <v>6.72</v>
      </c>
      <c r="DE3309" t="s">
        <v>4482</v>
      </c>
      <c r="DF3309" t="s">
        <v>120</v>
      </c>
      <c r="DG3309">
        <v>40.020000000000003</v>
      </c>
      <c r="DH3309">
        <v>35.479999999999997</v>
      </c>
      <c r="DI3309" t="s">
        <v>120</v>
      </c>
      <c r="DJ3309">
        <v>2265</v>
      </c>
      <c r="DK3309">
        <v>601860</v>
      </c>
      <c r="DL3309" t="s">
        <v>120</v>
      </c>
      <c r="DM3309" t="s">
        <v>120</v>
      </c>
      <c r="DN3309" t="s">
        <v>120</v>
      </c>
    </row>
    <row r="3310" spans="1:118">
      <c r="A3310" t="str">
        <f>"601865"</f>
        <v>601865</v>
      </c>
      <c r="B3310" t="s">
        <v>14207</v>
      </c>
      <c r="C3310">
        <v>-8.23</v>
      </c>
      <c r="D3310">
        <v>-0.65</v>
      </c>
      <c r="E3310">
        <v>-0.12</v>
      </c>
      <c r="F3310">
        <v>3683</v>
      </c>
      <c r="G3310" t="s">
        <v>14208</v>
      </c>
      <c r="H3310">
        <v>116920.84</v>
      </c>
      <c r="I3310">
        <v>514.29999999999995</v>
      </c>
      <c r="J3310" t="s">
        <v>120</v>
      </c>
      <c r="K3310" t="s">
        <v>14208</v>
      </c>
      <c r="L3310">
        <v>4.57</v>
      </c>
      <c r="M3310">
        <v>46.6</v>
      </c>
      <c r="N3310">
        <v>0.89</v>
      </c>
      <c r="O3310">
        <v>-0.12</v>
      </c>
      <c r="P3310">
        <v>50.72</v>
      </c>
      <c r="Q3310">
        <v>-8.39</v>
      </c>
      <c r="R3310">
        <v>46.52</v>
      </c>
      <c r="S3310">
        <v>50.72</v>
      </c>
      <c r="T3310">
        <v>243834</v>
      </c>
      <c r="U3310">
        <v>46.66</v>
      </c>
      <c r="V3310">
        <v>50.78</v>
      </c>
      <c r="W3310">
        <v>39.67</v>
      </c>
      <c r="X3310" t="s">
        <v>191</v>
      </c>
      <c r="Y3310" t="s">
        <v>585</v>
      </c>
      <c r="Z3310">
        <v>8.27</v>
      </c>
      <c r="AA3310">
        <v>47.95</v>
      </c>
      <c r="AB3310">
        <v>135305</v>
      </c>
      <c r="AC3310">
        <v>108529</v>
      </c>
      <c r="AD3310">
        <v>1.25</v>
      </c>
      <c r="AE3310">
        <v>124</v>
      </c>
      <c r="AF3310">
        <v>5</v>
      </c>
      <c r="AG3310" t="s">
        <v>120</v>
      </c>
      <c r="AH3310">
        <v>0.02</v>
      </c>
      <c r="AI3310" t="s">
        <v>120</v>
      </c>
      <c r="AJ3310">
        <v>5.33</v>
      </c>
      <c r="AK3310" t="s">
        <v>14209</v>
      </c>
      <c r="AL3310">
        <v>-6.89</v>
      </c>
      <c r="AM3310">
        <v>4714</v>
      </c>
      <c r="AN3310">
        <v>52</v>
      </c>
      <c r="AO3310">
        <v>1E-3</v>
      </c>
      <c r="AP3310">
        <v>-1</v>
      </c>
      <c r="AQ3310">
        <v>1.87</v>
      </c>
      <c r="AR3310">
        <v>-5.49</v>
      </c>
      <c r="AS3310">
        <v>2.41</v>
      </c>
      <c r="AT3310">
        <v>21.04</v>
      </c>
      <c r="AU3310">
        <v>17.23</v>
      </c>
      <c r="AV3310">
        <v>15</v>
      </c>
      <c r="AW3310">
        <v>4.57</v>
      </c>
      <c r="AX3310">
        <v>31.44</v>
      </c>
      <c r="AY3310">
        <v>44.88</v>
      </c>
      <c r="AZ3310">
        <v>66.930000000000007</v>
      </c>
      <c r="BA3310">
        <v>2.58</v>
      </c>
      <c r="BB3310" t="s">
        <v>143</v>
      </c>
      <c r="BF3310">
        <v>-5.57</v>
      </c>
      <c r="BG3310">
        <v>-8.1199999999999992</v>
      </c>
      <c r="BH3310">
        <v>-8.1199999999999992</v>
      </c>
      <c r="BI3310">
        <v>0.17</v>
      </c>
      <c r="BJ3310">
        <v>20210913</v>
      </c>
      <c r="BK3310">
        <v>20190215</v>
      </c>
      <c r="BL3310">
        <v>21.47</v>
      </c>
      <c r="BM3310" t="s">
        <v>120</v>
      </c>
      <c r="BN3310">
        <v>4.5</v>
      </c>
      <c r="BO3310">
        <v>172.01</v>
      </c>
      <c r="BP3310">
        <v>46.6</v>
      </c>
      <c r="BQ3310">
        <v>109.09</v>
      </c>
      <c r="BR3310" t="s">
        <v>120</v>
      </c>
      <c r="BS3310">
        <v>36.58</v>
      </c>
      <c r="BT3310">
        <v>80.959999999999994</v>
      </c>
      <c r="BU3310">
        <v>45.57</v>
      </c>
      <c r="BV3310">
        <v>5.18</v>
      </c>
      <c r="BW3310">
        <v>46.76</v>
      </c>
      <c r="BX3310">
        <v>28.87</v>
      </c>
      <c r="BY3310">
        <v>11.23</v>
      </c>
      <c r="BZ3310">
        <v>11.1</v>
      </c>
      <c r="CA3310" t="s">
        <v>120</v>
      </c>
      <c r="CB3310">
        <v>48.13</v>
      </c>
      <c r="CC3310">
        <v>40.28</v>
      </c>
      <c r="CD3310">
        <v>20.93</v>
      </c>
      <c r="CE3310">
        <v>14.43</v>
      </c>
      <c r="CF3310">
        <v>0.22</v>
      </c>
      <c r="CG3310">
        <v>14.46</v>
      </c>
      <c r="CH3310">
        <v>12.61</v>
      </c>
      <c r="CI3310">
        <v>12.61</v>
      </c>
      <c r="CJ3310">
        <v>-4.18</v>
      </c>
      <c r="CK3310">
        <v>12.37</v>
      </c>
      <c r="CL3310">
        <v>53.89</v>
      </c>
      <c r="CM3310">
        <v>3.97</v>
      </c>
      <c r="CN3310">
        <v>10.5</v>
      </c>
      <c r="CO3310">
        <v>65868</v>
      </c>
      <c r="CP3310">
        <v>8099</v>
      </c>
      <c r="CQ3310" t="s">
        <v>14210</v>
      </c>
      <c r="CR3310">
        <v>173.66</v>
      </c>
      <c r="CS3310">
        <v>61.37</v>
      </c>
      <c r="CT3310">
        <v>9.17</v>
      </c>
      <c r="CU3310">
        <v>251.91</v>
      </c>
      <c r="CV3310">
        <v>24.84</v>
      </c>
      <c r="CW3310">
        <v>0.23</v>
      </c>
      <c r="CX3310" t="s">
        <v>597</v>
      </c>
      <c r="CY3310">
        <v>5.08</v>
      </c>
      <c r="CZ3310">
        <v>0</v>
      </c>
      <c r="DA3310">
        <v>2.2400000000000002</v>
      </c>
      <c r="DB3310">
        <v>2.5099999999999998</v>
      </c>
      <c r="DC3310">
        <v>0.18</v>
      </c>
      <c r="DD3310">
        <v>63.42</v>
      </c>
      <c r="DE3310" t="s">
        <v>14211</v>
      </c>
      <c r="DF3310">
        <v>48.04</v>
      </c>
      <c r="DG3310">
        <v>35.83</v>
      </c>
      <c r="DH3310">
        <v>31.31</v>
      </c>
      <c r="DI3310">
        <v>2</v>
      </c>
      <c r="DJ3310">
        <v>3440</v>
      </c>
      <c r="DK3310">
        <v>601865</v>
      </c>
      <c r="DL3310" t="s">
        <v>120</v>
      </c>
      <c r="DM3310" t="s">
        <v>120</v>
      </c>
      <c r="DN3310" t="s">
        <v>120</v>
      </c>
    </row>
    <row r="3311" spans="1:118">
      <c r="A3311" t="str">
        <f>"601866"</f>
        <v>601866</v>
      </c>
      <c r="B3311" t="s">
        <v>14212</v>
      </c>
      <c r="C3311">
        <v>-3.47</v>
      </c>
      <c r="D3311">
        <v>0</v>
      </c>
      <c r="E3311">
        <v>0</v>
      </c>
      <c r="F3311">
        <v>17443</v>
      </c>
      <c r="G3311" t="s">
        <v>14213</v>
      </c>
      <c r="H3311">
        <v>93160.98</v>
      </c>
      <c r="I3311">
        <v>347.21</v>
      </c>
      <c r="J3311" t="s">
        <v>120</v>
      </c>
      <c r="K3311" t="s">
        <v>14214</v>
      </c>
      <c r="L3311">
        <v>2.41</v>
      </c>
      <c r="M3311">
        <v>4.7300000000000004</v>
      </c>
      <c r="N3311">
        <v>0.88</v>
      </c>
      <c r="O3311">
        <v>4.29</v>
      </c>
      <c r="P3311">
        <v>5.1100000000000003</v>
      </c>
      <c r="Q3311">
        <v>-4.08</v>
      </c>
      <c r="R3311">
        <v>4.7</v>
      </c>
      <c r="S3311">
        <v>4.9000000000000004</v>
      </c>
      <c r="T3311">
        <v>1913619</v>
      </c>
      <c r="U3311">
        <v>4.7300000000000004</v>
      </c>
      <c r="V3311">
        <v>4.9000000000000004</v>
      </c>
      <c r="W3311">
        <v>11.34</v>
      </c>
      <c r="X3311" t="s">
        <v>917</v>
      </c>
      <c r="Y3311" t="s">
        <v>1510</v>
      </c>
      <c r="Z3311">
        <v>8.3699999999999992</v>
      </c>
      <c r="AA3311">
        <v>4.87</v>
      </c>
      <c r="AB3311">
        <v>966628</v>
      </c>
      <c r="AC3311">
        <v>946991</v>
      </c>
      <c r="AD3311">
        <v>1.02</v>
      </c>
      <c r="AE3311">
        <v>6840</v>
      </c>
      <c r="AF3311">
        <v>2136</v>
      </c>
      <c r="AG3311" t="s">
        <v>120</v>
      </c>
      <c r="AH3311">
        <v>0.02</v>
      </c>
      <c r="AI3311" t="s">
        <v>120</v>
      </c>
      <c r="AJ3311">
        <v>79.319999999999993</v>
      </c>
      <c r="AK3311" t="s">
        <v>14214</v>
      </c>
      <c r="AL3311">
        <v>-2.13</v>
      </c>
      <c r="AM3311">
        <v>4600</v>
      </c>
      <c r="AN3311">
        <v>416</v>
      </c>
      <c r="AO3311">
        <v>5.0000000000000001E-4</v>
      </c>
      <c r="AP3311">
        <v>-1</v>
      </c>
      <c r="AQ3311">
        <v>0.62</v>
      </c>
      <c r="AR3311">
        <v>-5.0199999999999996</v>
      </c>
      <c r="AS3311">
        <v>39.119999999999997</v>
      </c>
      <c r="AT3311">
        <v>28.05</v>
      </c>
      <c r="AU3311">
        <v>62.32</v>
      </c>
      <c r="AV3311">
        <v>10</v>
      </c>
      <c r="AW3311">
        <v>5.43</v>
      </c>
      <c r="AX3311">
        <v>44.4</v>
      </c>
      <c r="AY3311">
        <v>15.38</v>
      </c>
      <c r="AZ3311">
        <v>26.7</v>
      </c>
      <c r="BA3311">
        <v>0.61</v>
      </c>
      <c r="BB3311" t="s">
        <v>125</v>
      </c>
      <c r="BF3311">
        <v>-0.65</v>
      </c>
      <c r="BG3311">
        <v>-3.47</v>
      </c>
      <c r="BH3311">
        <v>-7.44</v>
      </c>
      <c r="BI3311">
        <v>0.64</v>
      </c>
      <c r="BJ3311">
        <v>20210902</v>
      </c>
      <c r="BK3311">
        <v>20071212</v>
      </c>
      <c r="BL3311">
        <v>116.08</v>
      </c>
      <c r="BM3311" t="s">
        <v>120</v>
      </c>
      <c r="BN3311">
        <v>36.76</v>
      </c>
      <c r="BO3311">
        <v>1206.3</v>
      </c>
      <c r="BP3311">
        <v>4.72</v>
      </c>
      <c r="BQ3311">
        <v>260.05</v>
      </c>
      <c r="BR3311" t="s">
        <v>120</v>
      </c>
      <c r="BS3311">
        <v>78.44</v>
      </c>
      <c r="BT3311">
        <v>227.03</v>
      </c>
      <c r="BU3311">
        <v>358.79</v>
      </c>
      <c r="BV3311">
        <v>1.19</v>
      </c>
      <c r="BW3311">
        <v>467.39</v>
      </c>
      <c r="BX3311">
        <v>108.44</v>
      </c>
      <c r="BY3311">
        <v>11.12</v>
      </c>
      <c r="BZ3311">
        <v>35.21</v>
      </c>
      <c r="CA3311">
        <v>0.86</v>
      </c>
      <c r="CB3311">
        <v>-1.1000000000000001</v>
      </c>
      <c r="CC3311">
        <v>143.57</v>
      </c>
      <c r="CD3311">
        <v>107.86</v>
      </c>
      <c r="CE3311">
        <v>30.15</v>
      </c>
      <c r="CF3311">
        <v>11.19</v>
      </c>
      <c r="CG3311">
        <v>29.85</v>
      </c>
      <c r="CH3311">
        <v>24.21</v>
      </c>
      <c r="CI3311">
        <v>24.21</v>
      </c>
      <c r="CJ3311">
        <v>-0.17</v>
      </c>
      <c r="CK3311">
        <v>26.54</v>
      </c>
      <c r="CL3311">
        <v>93.17</v>
      </c>
      <c r="CM3311">
        <v>39.4</v>
      </c>
      <c r="CN3311">
        <v>-12.78</v>
      </c>
      <c r="CO3311">
        <v>317769</v>
      </c>
      <c r="CP3311">
        <v>11082</v>
      </c>
      <c r="CQ3311" t="s">
        <v>4367</v>
      </c>
      <c r="CR3311">
        <v>183.73</v>
      </c>
      <c r="CS3311">
        <v>83.67</v>
      </c>
      <c r="CT3311">
        <v>2.75</v>
      </c>
      <c r="CU3311">
        <v>13.94</v>
      </c>
      <c r="CV3311">
        <v>3.82</v>
      </c>
      <c r="CW3311">
        <v>1.1399999999999999</v>
      </c>
      <c r="CX3311" t="s">
        <v>492</v>
      </c>
      <c r="CY3311">
        <v>1.72</v>
      </c>
      <c r="CZ3311">
        <v>1.72</v>
      </c>
      <c r="DA3311">
        <v>-0.01</v>
      </c>
      <c r="DB3311">
        <v>0.8</v>
      </c>
      <c r="DC3311">
        <v>0.34</v>
      </c>
      <c r="DD3311">
        <v>21.56</v>
      </c>
      <c r="DE3311" t="s">
        <v>10222</v>
      </c>
      <c r="DF3311">
        <v>24.87</v>
      </c>
      <c r="DG3311">
        <v>21</v>
      </c>
      <c r="DH3311">
        <v>16.86</v>
      </c>
      <c r="DI3311">
        <v>7.0000000000000007E-2</v>
      </c>
      <c r="DJ3311">
        <v>7964</v>
      </c>
      <c r="DK3311">
        <v>601866</v>
      </c>
      <c r="DL3311" t="s">
        <v>120</v>
      </c>
      <c r="DM3311" t="s">
        <v>120</v>
      </c>
      <c r="DN3311" t="s">
        <v>120</v>
      </c>
    </row>
    <row r="3312" spans="1:118">
      <c r="A3312" t="str">
        <f>"601869"</f>
        <v>601869</v>
      </c>
      <c r="B3312" t="s">
        <v>14215</v>
      </c>
      <c r="C3312">
        <v>-0.94</v>
      </c>
      <c r="D3312">
        <v>0.49</v>
      </c>
      <c r="E3312">
        <v>0.28999999999999998</v>
      </c>
      <c r="F3312">
        <v>1620</v>
      </c>
      <c r="G3312" t="s">
        <v>14216</v>
      </c>
      <c r="H3312">
        <v>11361.78</v>
      </c>
      <c r="I3312">
        <v>20.78</v>
      </c>
      <c r="J3312" t="s">
        <v>120</v>
      </c>
      <c r="K3312" t="s">
        <v>4737</v>
      </c>
      <c r="L3312">
        <v>0.91</v>
      </c>
      <c r="M3312">
        <v>30.63</v>
      </c>
      <c r="N3312">
        <v>0.41</v>
      </c>
      <c r="O3312">
        <v>2.17</v>
      </c>
      <c r="P3312">
        <v>31.59</v>
      </c>
      <c r="Q3312">
        <v>-2.78</v>
      </c>
      <c r="R3312">
        <v>30.06</v>
      </c>
      <c r="S3312">
        <v>31.01</v>
      </c>
      <c r="T3312">
        <v>37003</v>
      </c>
      <c r="U3312">
        <v>30.63</v>
      </c>
      <c r="V3312">
        <v>30.92</v>
      </c>
      <c r="W3312">
        <v>24.22</v>
      </c>
      <c r="X3312" t="s">
        <v>462</v>
      </c>
      <c r="Y3312" t="s">
        <v>763</v>
      </c>
      <c r="Z3312">
        <v>4.95</v>
      </c>
      <c r="AA3312">
        <v>30.71</v>
      </c>
      <c r="AB3312">
        <v>19912</v>
      </c>
      <c r="AC3312">
        <v>17091</v>
      </c>
      <c r="AD3312">
        <v>1.17</v>
      </c>
      <c r="AE3312">
        <v>2</v>
      </c>
      <c r="AF3312">
        <v>70</v>
      </c>
      <c r="AG3312" t="s">
        <v>120</v>
      </c>
      <c r="AH3312">
        <v>0.01</v>
      </c>
      <c r="AI3312" t="s">
        <v>120</v>
      </c>
      <c r="AJ3312">
        <v>4.0599999999999996</v>
      </c>
      <c r="AK3312" t="s">
        <v>4737</v>
      </c>
      <c r="AL3312">
        <v>0.41</v>
      </c>
      <c r="AM3312">
        <v>3109</v>
      </c>
      <c r="AN3312">
        <v>12</v>
      </c>
      <c r="AO3312">
        <v>2.9999999999999997E-4</v>
      </c>
      <c r="AP3312">
        <v>-3</v>
      </c>
      <c r="AQ3312">
        <v>-1.37</v>
      </c>
      <c r="AR3312">
        <v>-6.79</v>
      </c>
      <c r="AS3312">
        <v>19.79</v>
      </c>
      <c r="AT3312">
        <v>25.2</v>
      </c>
      <c r="AU3312">
        <v>14.19</v>
      </c>
      <c r="AV3312">
        <v>1</v>
      </c>
      <c r="AW3312">
        <v>3.47</v>
      </c>
      <c r="AX3312">
        <v>26.23</v>
      </c>
      <c r="AY3312">
        <v>30.82</v>
      </c>
      <c r="AZ3312">
        <v>43.1</v>
      </c>
      <c r="BA3312">
        <v>0.82</v>
      </c>
      <c r="BB3312" t="s">
        <v>341</v>
      </c>
      <c r="BF3312">
        <v>-0.69</v>
      </c>
      <c r="BG3312">
        <v>-1.23</v>
      </c>
      <c r="BH3312">
        <v>-3.04</v>
      </c>
      <c r="BI3312">
        <v>1.9</v>
      </c>
      <c r="BJ3312">
        <v>20210913</v>
      </c>
      <c r="BK3312">
        <v>20180720</v>
      </c>
      <c r="BL3312">
        <v>7.58</v>
      </c>
      <c r="BM3312" t="s">
        <v>120</v>
      </c>
      <c r="BN3312">
        <v>3.52</v>
      </c>
      <c r="BO3312">
        <v>188.4</v>
      </c>
      <c r="BP3312">
        <v>30.6</v>
      </c>
      <c r="BQ3312">
        <v>93.57</v>
      </c>
      <c r="BR3312">
        <v>5.45</v>
      </c>
      <c r="BS3312">
        <v>47.45</v>
      </c>
      <c r="BT3312">
        <v>122.69</v>
      </c>
      <c r="BU3312">
        <v>37.75</v>
      </c>
      <c r="BV3312">
        <v>3.23</v>
      </c>
      <c r="BW3312">
        <v>58.99</v>
      </c>
      <c r="BX3312">
        <v>24.27</v>
      </c>
      <c r="BY3312">
        <v>24.97</v>
      </c>
      <c r="BZ3312">
        <v>47.7</v>
      </c>
      <c r="CA3312" t="s">
        <v>120</v>
      </c>
      <c r="CB3312">
        <v>33.64</v>
      </c>
      <c r="CC3312">
        <v>43.52</v>
      </c>
      <c r="CD3312">
        <v>33.4</v>
      </c>
      <c r="CE3312">
        <v>4.8899999999999997</v>
      </c>
      <c r="CF3312">
        <v>0.33</v>
      </c>
      <c r="CG3312">
        <v>5.17</v>
      </c>
      <c r="CH3312">
        <v>4.8600000000000003</v>
      </c>
      <c r="CI3312">
        <v>4.79</v>
      </c>
      <c r="CJ3312">
        <v>-0.28999999999999998</v>
      </c>
      <c r="CK3312">
        <v>1.61</v>
      </c>
      <c r="CL3312">
        <v>46.32</v>
      </c>
      <c r="CM3312">
        <v>-0.99</v>
      </c>
      <c r="CN3312">
        <v>9.98</v>
      </c>
      <c r="CO3312">
        <v>24867</v>
      </c>
      <c r="CP3312">
        <v>4286</v>
      </c>
      <c r="CQ3312" t="s">
        <v>4445</v>
      </c>
      <c r="CR3312">
        <v>82.48</v>
      </c>
      <c r="CS3312">
        <v>27.74</v>
      </c>
      <c r="CT3312">
        <v>2.48</v>
      </c>
      <c r="CU3312">
        <v>-235.35</v>
      </c>
      <c r="CV3312">
        <v>5.33</v>
      </c>
      <c r="CW3312">
        <v>0.7</v>
      </c>
      <c r="CX3312" t="s">
        <v>4650</v>
      </c>
      <c r="CY3312">
        <v>12.35</v>
      </c>
      <c r="CZ3312">
        <v>0</v>
      </c>
      <c r="DA3312">
        <v>4.4400000000000004</v>
      </c>
      <c r="DB3312">
        <v>6.11</v>
      </c>
      <c r="DC3312">
        <v>-0.13</v>
      </c>
      <c r="DD3312">
        <v>49.66</v>
      </c>
      <c r="DE3312" t="s">
        <v>3575</v>
      </c>
      <c r="DF3312">
        <v>23.24</v>
      </c>
      <c r="DG3312">
        <v>11.24</v>
      </c>
      <c r="DH3312">
        <v>11.01</v>
      </c>
      <c r="DI3312">
        <v>2.0099999999999998</v>
      </c>
      <c r="DJ3312">
        <v>2879</v>
      </c>
      <c r="DK3312">
        <v>601869</v>
      </c>
      <c r="DL3312" t="s">
        <v>120</v>
      </c>
      <c r="DM3312" t="s">
        <v>120</v>
      </c>
      <c r="DN3312" t="s">
        <v>120</v>
      </c>
    </row>
    <row r="3313" spans="1:118">
      <c r="A3313" t="str">
        <f>"601872"</f>
        <v>601872</v>
      </c>
      <c r="B3313" t="s">
        <v>14217</v>
      </c>
      <c r="C3313">
        <v>-0.54</v>
      </c>
      <c r="D3313">
        <v>-0.17</v>
      </c>
      <c r="E3313">
        <v>1.27</v>
      </c>
      <c r="F3313">
        <v>10866</v>
      </c>
      <c r="G3313" t="s">
        <v>14218</v>
      </c>
      <c r="H3313">
        <v>75877.61</v>
      </c>
      <c r="I3313">
        <v>468.44</v>
      </c>
      <c r="J3313" t="s">
        <v>120</v>
      </c>
      <c r="K3313" t="s">
        <v>14219</v>
      </c>
      <c r="L3313">
        <v>2</v>
      </c>
      <c r="M3313">
        <v>5.49</v>
      </c>
      <c r="N3313">
        <v>1.17</v>
      </c>
      <c r="O3313">
        <v>5.8</v>
      </c>
      <c r="P3313">
        <v>5.84</v>
      </c>
      <c r="Q3313">
        <v>-0.91</v>
      </c>
      <c r="R3313">
        <v>5.47</v>
      </c>
      <c r="S3313">
        <v>5.59</v>
      </c>
      <c r="T3313">
        <v>1341893</v>
      </c>
      <c r="U3313">
        <v>5.49</v>
      </c>
      <c r="V3313">
        <v>5.52</v>
      </c>
      <c r="W3313">
        <v>23.38</v>
      </c>
      <c r="X3313" t="s">
        <v>917</v>
      </c>
      <c r="Y3313" t="s">
        <v>1510</v>
      </c>
      <c r="Z3313">
        <v>6.7</v>
      </c>
      <c r="AA3313">
        <v>5.65</v>
      </c>
      <c r="AB3313">
        <v>586005</v>
      </c>
      <c r="AC3313">
        <v>755888</v>
      </c>
      <c r="AD3313">
        <v>0.78</v>
      </c>
      <c r="AE3313">
        <v>4800</v>
      </c>
      <c r="AF3313">
        <v>913</v>
      </c>
      <c r="AG3313" t="s">
        <v>120</v>
      </c>
      <c r="AH3313">
        <v>0.03</v>
      </c>
      <c r="AI3313" t="s">
        <v>120</v>
      </c>
      <c r="AJ3313">
        <v>67.239999999999995</v>
      </c>
      <c r="AK3313" t="s">
        <v>14220</v>
      </c>
      <c r="AL3313">
        <v>0.8</v>
      </c>
      <c r="AM3313">
        <v>4309</v>
      </c>
      <c r="AN3313">
        <v>311</v>
      </c>
      <c r="AO3313">
        <v>5.0000000000000001E-4</v>
      </c>
      <c r="AP3313">
        <v>-1</v>
      </c>
      <c r="AQ3313">
        <v>1.47</v>
      </c>
      <c r="AR3313">
        <v>1.1000000000000001</v>
      </c>
      <c r="AS3313">
        <v>37.94</v>
      </c>
      <c r="AT3313">
        <v>18.57</v>
      </c>
      <c r="AU3313">
        <v>19.22</v>
      </c>
      <c r="AV3313">
        <v>0</v>
      </c>
      <c r="AW3313">
        <v>5.24</v>
      </c>
      <c r="AX3313">
        <v>31.62</v>
      </c>
      <c r="AY3313">
        <v>65.55</v>
      </c>
      <c r="AZ3313">
        <v>16.079999999999998</v>
      </c>
      <c r="BA3313">
        <v>0.64</v>
      </c>
      <c r="BB3313" t="s">
        <v>184</v>
      </c>
      <c r="BF3313">
        <v>2.44</v>
      </c>
      <c r="BG3313">
        <v>-1.79</v>
      </c>
      <c r="BH3313">
        <v>-5.99</v>
      </c>
      <c r="BI3313">
        <v>0.37</v>
      </c>
      <c r="BJ3313">
        <v>20210826</v>
      </c>
      <c r="BK3313">
        <v>20061201</v>
      </c>
      <c r="BL3313">
        <v>80.930000000000007</v>
      </c>
      <c r="BM3313" t="s">
        <v>120</v>
      </c>
      <c r="BN3313" t="s">
        <v>120</v>
      </c>
      <c r="BO3313">
        <v>578.28</v>
      </c>
      <c r="BP3313">
        <v>5.48</v>
      </c>
      <c r="BQ3313">
        <v>255.52</v>
      </c>
      <c r="BR3313">
        <v>4.5999999999999996</v>
      </c>
      <c r="BS3313">
        <v>55.02</v>
      </c>
      <c r="BT3313">
        <v>149.88</v>
      </c>
      <c r="BU3313">
        <v>365.03</v>
      </c>
      <c r="BV3313">
        <v>4.3899999999999997</v>
      </c>
      <c r="BW3313">
        <v>140.32</v>
      </c>
      <c r="BX3313">
        <v>86.37</v>
      </c>
      <c r="BY3313">
        <v>12.43</v>
      </c>
      <c r="BZ3313">
        <v>10.06</v>
      </c>
      <c r="CA3313">
        <v>0.05</v>
      </c>
      <c r="CB3313">
        <v>138.24</v>
      </c>
      <c r="CC3313">
        <v>80.81</v>
      </c>
      <c r="CD3313">
        <v>68.34</v>
      </c>
      <c r="CE3313">
        <v>10.31</v>
      </c>
      <c r="CF3313">
        <v>3.24</v>
      </c>
      <c r="CG3313">
        <v>10.31</v>
      </c>
      <c r="CH3313">
        <v>9.77</v>
      </c>
      <c r="CI3313">
        <v>9.5</v>
      </c>
      <c r="CJ3313">
        <v>-0.03</v>
      </c>
      <c r="CK3313">
        <v>9</v>
      </c>
      <c r="CL3313">
        <v>50.16</v>
      </c>
      <c r="CM3313">
        <v>16.68</v>
      </c>
      <c r="CN3313">
        <v>-6.8</v>
      </c>
      <c r="CO3313">
        <v>153715</v>
      </c>
      <c r="CP3313">
        <v>16650</v>
      </c>
      <c r="CQ3313" t="s">
        <v>1963</v>
      </c>
      <c r="CR3313">
        <v>-68.81</v>
      </c>
      <c r="CS3313">
        <v>-21.96</v>
      </c>
      <c r="CT3313">
        <v>1.74</v>
      </c>
      <c r="CU3313">
        <v>26.64</v>
      </c>
      <c r="CV3313">
        <v>5.5</v>
      </c>
      <c r="CW3313">
        <v>1.87</v>
      </c>
      <c r="CX3313" t="s">
        <v>300</v>
      </c>
      <c r="CY3313">
        <v>3.16</v>
      </c>
      <c r="CZ3313">
        <v>3.16</v>
      </c>
      <c r="DA3313">
        <v>1.71</v>
      </c>
      <c r="DB3313">
        <v>0.62</v>
      </c>
      <c r="DC3313">
        <v>0.21</v>
      </c>
      <c r="DD3313">
        <v>44.19</v>
      </c>
      <c r="DE3313" t="s">
        <v>9024</v>
      </c>
      <c r="DF3313">
        <v>15.43</v>
      </c>
      <c r="DG3313">
        <v>12.76</v>
      </c>
      <c r="DH3313">
        <v>11.76</v>
      </c>
      <c r="DI3313">
        <v>0</v>
      </c>
      <c r="DJ3313">
        <v>3562</v>
      </c>
      <c r="DK3313">
        <v>601872</v>
      </c>
      <c r="DL3313" t="s">
        <v>120</v>
      </c>
      <c r="DM3313" t="s">
        <v>120</v>
      </c>
      <c r="DN3313" t="s">
        <v>120</v>
      </c>
    </row>
    <row r="3314" spans="1:118">
      <c r="A3314" t="str">
        <f>"601877"</f>
        <v>601877</v>
      </c>
      <c r="B3314" t="s">
        <v>14221</v>
      </c>
      <c r="C3314">
        <v>-9.99</v>
      </c>
      <c r="D3314">
        <v>0.02</v>
      </c>
      <c r="E3314">
        <v>-1.18</v>
      </c>
      <c r="F3314">
        <v>3687</v>
      </c>
      <c r="G3314" t="s">
        <v>14222</v>
      </c>
      <c r="H3314">
        <v>276472.65000000002</v>
      </c>
      <c r="I3314">
        <v>1897.53</v>
      </c>
      <c r="J3314" t="s">
        <v>120</v>
      </c>
      <c r="K3314" t="s">
        <v>14223</v>
      </c>
      <c r="L3314">
        <v>2.38</v>
      </c>
      <c r="M3314">
        <v>51.92</v>
      </c>
      <c r="N3314">
        <v>1.1399999999999999</v>
      </c>
      <c r="O3314">
        <v>-0.87</v>
      </c>
      <c r="P3314">
        <v>57.18</v>
      </c>
      <c r="Q3314">
        <v>-10</v>
      </c>
      <c r="R3314">
        <v>51.91</v>
      </c>
      <c r="S3314">
        <v>57</v>
      </c>
      <c r="T3314">
        <v>511647</v>
      </c>
      <c r="U3314">
        <v>51.92</v>
      </c>
      <c r="V3314">
        <v>57.68</v>
      </c>
      <c r="W3314">
        <v>30.26</v>
      </c>
      <c r="X3314" t="s">
        <v>394</v>
      </c>
      <c r="Y3314" t="s">
        <v>585</v>
      </c>
      <c r="Z3314">
        <v>9.14</v>
      </c>
      <c r="AA3314">
        <v>54.04</v>
      </c>
      <c r="AB3314">
        <v>263264</v>
      </c>
      <c r="AC3314">
        <v>248383</v>
      </c>
      <c r="AD3314">
        <v>1.06</v>
      </c>
      <c r="AE3314">
        <v>1002</v>
      </c>
      <c r="AF3314">
        <v>3746</v>
      </c>
      <c r="AG3314" t="s">
        <v>120</v>
      </c>
      <c r="AH3314">
        <v>0.03</v>
      </c>
      <c r="AI3314" t="s">
        <v>120</v>
      </c>
      <c r="AJ3314">
        <v>21.5</v>
      </c>
      <c r="AK3314" t="s">
        <v>14223</v>
      </c>
      <c r="AL3314">
        <v>-8.64</v>
      </c>
      <c r="AM3314">
        <v>4728</v>
      </c>
      <c r="AN3314">
        <v>108</v>
      </c>
      <c r="AO3314">
        <v>5.0000000000000001E-4</v>
      </c>
      <c r="AP3314">
        <v>-1</v>
      </c>
      <c r="AQ3314">
        <v>5.54</v>
      </c>
      <c r="AR3314">
        <v>0.23</v>
      </c>
      <c r="AS3314">
        <v>2.61</v>
      </c>
      <c r="AT3314">
        <v>61.94</v>
      </c>
      <c r="AU3314">
        <v>34.299999999999997</v>
      </c>
      <c r="AV3314">
        <v>3</v>
      </c>
      <c r="AW3314">
        <v>5.0599999999999996</v>
      </c>
      <c r="AX3314">
        <v>47</v>
      </c>
      <c r="AY3314">
        <v>19.190000000000001</v>
      </c>
      <c r="AZ3314">
        <v>19.29</v>
      </c>
      <c r="BA3314">
        <v>1.32</v>
      </c>
      <c r="BB3314" t="s">
        <v>168</v>
      </c>
      <c r="BF3314">
        <v>-6.32</v>
      </c>
      <c r="BG3314">
        <v>-8.91</v>
      </c>
      <c r="BH3314">
        <v>-9.1999999999999993</v>
      </c>
      <c r="BI3314">
        <v>0.02</v>
      </c>
      <c r="BJ3314">
        <v>20210827</v>
      </c>
      <c r="BK3314">
        <v>20100121</v>
      </c>
      <c r="BL3314">
        <v>21.5</v>
      </c>
      <c r="BM3314" t="s">
        <v>120</v>
      </c>
      <c r="BN3314" t="s">
        <v>120</v>
      </c>
      <c r="BO3314">
        <v>798.79</v>
      </c>
      <c r="BP3314">
        <v>51.91</v>
      </c>
      <c r="BQ3314">
        <v>306.79000000000002</v>
      </c>
      <c r="BR3314">
        <v>15.19</v>
      </c>
      <c r="BS3314">
        <v>59.69</v>
      </c>
      <c r="BT3314">
        <v>348.98</v>
      </c>
      <c r="BU3314">
        <v>280.64</v>
      </c>
      <c r="BV3314">
        <v>5.85</v>
      </c>
      <c r="BW3314">
        <v>284.55</v>
      </c>
      <c r="BX3314">
        <v>76.94</v>
      </c>
      <c r="BY3314">
        <v>62.91</v>
      </c>
      <c r="BZ3314">
        <v>113.68</v>
      </c>
      <c r="CA3314">
        <v>0.12</v>
      </c>
      <c r="CB3314">
        <v>114.1</v>
      </c>
      <c r="CC3314">
        <v>162.4</v>
      </c>
      <c r="CD3314">
        <v>116.69</v>
      </c>
      <c r="CE3314">
        <v>23.7</v>
      </c>
      <c r="CF3314">
        <v>3.74</v>
      </c>
      <c r="CG3314">
        <v>23.75</v>
      </c>
      <c r="CH3314">
        <v>19.84</v>
      </c>
      <c r="CI3314">
        <v>18.440000000000001</v>
      </c>
      <c r="CJ3314">
        <v>-5.76</v>
      </c>
      <c r="CK3314">
        <v>16.760000000000002</v>
      </c>
      <c r="CL3314">
        <v>161.94</v>
      </c>
      <c r="CM3314">
        <v>6.05</v>
      </c>
      <c r="CN3314">
        <v>16.670000000000002</v>
      </c>
      <c r="CO3314">
        <v>51776</v>
      </c>
      <c r="CP3314">
        <v>19516</v>
      </c>
      <c r="CQ3314" t="s">
        <v>14224</v>
      </c>
      <c r="CR3314">
        <v>1.86</v>
      </c>
      <c r="CS3314">
        <v>11.16</v>
      </c>
      <c r="CT3314">
        <v>3.64</v>
      </c>
      <c r="CU3314">
        <v>184.51</v>
      </c>
      <c r="CV3314">
        <v>6.87</v>
      </c>
      <c r="CW3314">
        <v>0.87</v>
      </c>
      <c r="CX3314" t="s">
        <v>10202</v>
      </c>
      <c r="CY3314">
        <v>14.27</v>
      </c>
      <c r="CZ3314">
        <v>0</v>
      </c>
      <c r="DA3314">
        <v>5.31</v>
      </c>
      <c r="DB3314">
        <v>7.53</v>
      </c>
      <c r="DC3314">
        <v>0.28000000000000003</v>
      </c>
      <c r="DD3314">
        <v>38.409999999999997</v>
      </c>
      <c r="DE3314" t="s">
        <v>1856</v>
      </c>
      <c r="DF3314">
        <v>28.15</v>
      </c>
      <c r="DG3314">
        <v>14.59</v>
      </c>
      <c r="DH3314">
        <v>11.36</v>
      </c>
      <c r="DI3314">
        <v>5.77</v>
      </c>
      <c r="DJ3314">
        <v>28127</v>
      </c>
      <c r="DK3314">
        <v>601877</v>
      </c>
      <c r="DL3314" t="s">
        <v>120</v>
      </c>
      <c r="DM3314" t="s">
        <v>120</v>
      </c>
      <c r="DN3314" t="s">
        <v>120</v>
      </c>
    </row>
    <row r="3315" spans="1:118">
      <c r="A3315" t="str">
        <f>"601878"</f>
        <v>601878</v>
      </c>
      <c r="B3315" t="s">
        <v>14225</v>
      </c>
      <c r="C3315">
        <v>-2.5499999999999998</v>
      </c>
      <c r="D3315">
        <v>-7.0000000000000007E-2</v>
      </c>
      <c r="E3315">
        <v>0.39</v>
      </c>
      <c r="F3315">
        <v>9510</v>
      </c>
      <c r="G3315" t="s">
        <v>14226</v>
      </c>
      <c r="H3315">
        <v>69978.880000000005</v>
      </c>
      <c r="I3315">
        <v>280.54000000000002</v>
      </c>
      <c r="J3315" t="s">
        <v>120</v>
      </c>
      <c r="K3315" t="s">
        <v>14227</v>
      </c>
      <c r="L3315">
        <v>1.51</v>
      </c>
      <c r="M3315">
        <v>12.62</v>
      </c>
      <c r="N3315">
        <v>0.74</v>
      </c>
      <c r="O3315">
        <v>0.77</v>
      </c>
      <c r="P3315">
        <v>13.05</v>
      </c>
      <c r="Q3315">
        <v>-2.7</v>
      </c>
      <c r="R3315">
        <v>12.6</v>
      </c>
      <c r="S3315">
        <v>13</v>
      </c>
      <c r="T3315">
        <v>545387</v>
      </c>
      <c r="U3315">
        <v>12.63</v>
      </c>
      <c r="V3315">
        <v>12.95</v>
      </c>
      <c r="W3315">
        <v>27.86</v>
      </c>
      <c r="X3315" t="s">
        <v>616</v>
      </c>
      <c r="Y3315" t="s">
        <v>585</v>
      </c>
      <c r="Z3315">
        <v>3.47</v>
      </c>
      <c r="AA3315">
        <v>12.83</v>
      </c>
      <c r="AB3315">
        <v>285279</v>
      </c>
      <c r="AC3315">
        <v>260108</v>
      </c>
      <c r="AD3315">
        <v>1.1000000000000001</v>
      </c>
      <c r="AE3315">
        <v>1782</v>
      </c>
      <c r="AF3315">
        <v>911</v>
      </c>
      <c r="AG3315" t="s">
        <v>120</v>
      </c>
      <c r="AH3315">
        <v>0.01</v>
      </c>
      <c r="AI3315" t="s">
        <v>120</v>
      </c>
      <c r="AJ3315">
        <v>36.14</v>
      </c>
      <c r="AK3315" t="s">
        <v>14228</v>
      </c>
      <c r="AL3315">
        <v>-1.2</v>
      </c>
      <c r="AM3315">
        <v>4440</v>
      </c>
      <c r="AN3315">
        <v>123</v>
      </c>
      <c r="AO3315">
        <v>2.9999999999999997E-4</v>
      </c>
      <c r="AP3315">
        <v>-1</v>
      </c>
      <c r="AQ3315">
        <v>1.01</v>
      </c>
      <c r="AR3315">
        <v>-4.47</v>
      </c>
      <c r="AS3315">
        <v>4.82</v>
      </c>
      <c r="AT3315">
        <v>0.16</v>
      </c>
      <c r="AU3315">
        <v>-17.52</v>
      </c>
      <c r="AV3315">
        <v>3</v>
      </c>
      <c r="AW3315">
        <v>3.66</v>
      </c>
      <c r="AX3315">
        <v>38.4</v>
      </c>
      <c r="AY3315">
        <v>27.14</v>
      </c>
      <c r="AZ3315">
        <v>30.86</v>
      </c>
      <c r="BA3315">
        <v>1.39</v>
      </c>
      <c r="BB3315" t="s">
        <v>143</v>
      </c>
      <c r="BF3315">
        <v>-0.92</v>
      </c>
      <c r="BG3315">
        <v>-2.92</v>
      </c>
      <c r="BH3315">
        <v>-3.3</v>
      </c>
      <c r="BI3315">
        <v>0.16</v>
      </c>
      <c r="BJ3315">
        <v>20210831</v>
      </c>
      <c r="BK3315">
        <v>20170626</v>
      </c>
      <c r="BL3315">
        <v>38.78</v>
      </c>
      <c r="BM3315" t="s">
        <v>120</v>
      </c>
      <c r="BN3315" t="s">
        <v>120</v>
      </c>
      <c r="BO3315">
        <v>1103.5899999999999</v>
      </c>
      <c r="BP3315">
        <v>12.62</v>
      </c>
      <c r="BQ3315">
        <v>230.27</v>
      </c>
      <c r="BR3315" t="s">
        <v>120</v>
      </c>
      <c r="BS3315">
        <v>79.13</v>
      </c>
      <c r="BT3315">
        <v>0</v>
      </c>
      <c r="BU3315">
        <v>8.75</v>
      </c>
      <c r="BV3315">
        <v>1.91</v>
      </c>
      <c r="BW3315">
        <v>0</v>
      </c>
      <c r="BX3315">
        <v>290.60000000000002</v>
      </c>
      <c r="BY3315">
        <v>0</v>
      </c>
      <c r="BZ3315">
        <v>0</v>
      </c>
      <c r="CA3315" t="s">
        <v>120</v>
      </c>
      <c r="CB3315">
        <v>98.74</v>
      </c>
      <c r="CC3315">
        <v>71.290000000000006</v>
      </c>
      <c r="CD3315">
        <v>0</v>
      </c>
      <c r="CE3315">
        <v>11.44</v>
      </c>
      <c r="CF3315">
        <v>6.46</v>
      </c>
      <c r="CG3315">
        <v>11.72</v>
      </c>
      <c r="CH3315">
        <v>8.7799999999999994</v>
      </c>
      <c r="CI3315">
        <v>8.7799999999999994</v>
      </c>
      <c r="CJ3315">
        <v>-0.33</v>
      </c>
      <c r="CK3315">
        <v>8.44</v>
      </c>
      <c r="CL3315">
        <v>62.3</v>
      </c>
      <c r="CM3315">
        <v>13.36</v>
      </c>
      <c r="CN3315">
        <v>45.48</v>
      </c>
      <c r="CO3315">
        <v>179197</v>
      </c>
      <c r="CP3315">
        <v>8311</v>
      </c>
      <c r="CQ3315" t="s">
        <v>1597</v>
      </c>
      <c r="CR3315">
        <v>34.159999999999997</v>
      </c>
      <c r="CS3315">
        <v>58.84</v>
      </c>
      <c r="CT3315">
        <v>2.13</v>
      </c>
      <c r="CU3315">
        <v>36.65</v>
      </c>
      <c r="CV3315">
        <v>6.87</v>
      </c>
      <c r="CW3315">
        <v>1</v>
      </c>
      <c r="CX3315" t="s">
        <v>626</v>
      </c>
      <c r="CY3315">
        <v>5.94</v>
      </c>
      <c r="CZ3315">
        <v>0</v>
      </c>
      <c r="DA3315">
        <v>2.5499999999999998</v>
      </c>
      <c r="DB3315">
        <v>1.61</v>
      </c>
      <c r="DC3315">
        <v>0.34</v>
      </c>
      <c r="DD3315">
        <v>20.87</v>
      </c>
      <c r="DE3315" t="s">
        <v>1125</v>
      </c>
      <c r="DF3315" t="s">
        <v>120</v>
      </c>
      <c r="DG3315">
        <v>16.04</v>
      </c>
      <c r="DH3315">
        <v>12.32</v>
      </c>
      <c r="DI3315" t="s">
        <v>120</v>
      </c>
      <c r="DJ3315">
        <v>3606</v>
      </c>
      <c r="DK3315">
        <v>601878</v>
      </c>
      <c r="DL3315" t="s">
        <v>120</v>
      </c>
      <c r="DM3315" t="s">
        <v>120</v>
      </c>
      <c r="DN3315" t="s">
        <v>120</v>
      </c>
    </row>
    <row r="3316" spans="1:118">
      <c r="A3316" t="str">
        <f>"601880"</f>
        <v>601880</v>
      </c>
      <c r="B3316" t="s">
        <v>14229</v>
      </c>
      <c r="C3316">
        <v>-0.53</v>
      </c>
      <c r="D3316">
        <v>0</v>
      </c>
      <c r="E3316">
        <v>0</v>
      </c>
      <c r="F3316">
        <v>24436</v>
      </c>
      <c r="G3316" t="s">
        <v>14230</v>
      </c>
      <c r="H3316">
        <v>26696.21</v>
      </c>
      <c r="I3316">
        <v>131.11000000000001</v>
      </c>
      <c r="J3316" t="s">
        <v>120</v>
      </c>
      <c r="K3316" t="s">
        <v>14231</v>
      </c>
      <c r="L3316">
        <v>0.81</v>
      </c>
      <c r="M3316">
        <v>1.87</v>
      </c>
      <c r="N3316">
        <v>0.8</v>
      </c>
      <c r="O3316">
        <v>2.13</v>
      </c>
      <c r="P3316">
        <v>1.92</v>
      </c>
      <c r="Q3316">
        <v>-1.06</v>
      </c>
      <c r="R3316">
        <v>1.86</v>
      </c>
      <c r="S3316">
        <v>1.88</v>
      </c>
      <c r="T3316">
        <v>1410746</v>
      </c>
      <c r="U3316">
        <v>1.88</v>
      </c>
      <c r="V3316">
        <v>1.88</v>
      </c>
      <c r="W3316">
        <v>23.36</v>
      </c>
      <c r="X3316" t="s">
        <v>511</v>
      </c>
      <c r="Y3316" t="s">
        <v>432</v>
      </c>
      <c r="Z3316">
        <v>3.19</v>
      </c>
      <c r="AA3316">
        <v>1.89</v>
      </c>
      <c r="AB3316">
        <v>753701</v>
      </c>
      <c r="AC3316">
        <v>657045</v>
      </c>
      <c r="AD3316">
        <v>1.1499999999999999</v>
      </c>
      <c r="AE3316">
        <v>7266</v>
      </c>
      <c r="AF3316">
        <v>18628</v>
      </c>
      <c r="AG3316" t="s">
        <v>120</v>
      </c>
      <c r="AH3316">
        <v>0.01</v>
      </c>
      <c r="AI3316" t="s">
        <v>120</v>
      </c>
      <c r="AJ3316">
        <v>174.65</v>
      </c>
      <c r="AK3316" t="s">
        <v>14231</v>
      </c>
      <c r="AL3316">
        <v>0.81</v>
      </c>
      <c r="AM3316">
        <v>3605</v>
      </c>
      <c r="AN3316">
        <v>391</v>
      </c>
      <c r="AO3316">
        <v>2.0000000000000001E-4</v>
      </c>
      <c r="AP3316">
        <v>-1</v>
      </c>
      <c r="AQ3316">
        <v>1.08</v>
      </c>
      <c r="AR3316">
        <v>-1.06</v>
      </c>
      <c r="AS3316">
        <v>11.97</v>
      </c>
      <c r="AT3316">
        <v>10.65</v>
      </c>
      <c r="AU3316">
        <v>-1.58</v>
      </c>
      <c r="AV3316">
        <v>0</v>
      </c>
      <c r="AW3316">
        <v>2.73</v>
      </c>
      <c r="AX3316">
        <v>29.61</v>
      </c>
      <c r="AY3316">
        <v>60.69</v>
      </c>
      <c r="AZ3316">
        <v>52.34</v>
      </c>
      <c r="BA3316">
        <v>0.43</v>
      </c>
      <c r="BB3316" t="s">
        <v>143</v>
      </c>
      <c r="BF3316">
        <v>0.66</v>
      </c>
      <c r="BG3316">
        <v>-0.53</v>
      </c>
      <c r="BH3316">
        <v>-2.6</v>
      </c>
      <c r="BI3316">
        <v>0.54</v>
      </c>
      <c r="BJ3316">
        <v>20210827</v>
      </c>
      <c r="BK3316">
        <v>20101206</v>
      </c>
      <c r="BL3316">
        <v>226.23</v>
      </c>
      <c r="BM3316" t="s">
        <v>120</v>
      </c>
      <c r="BN3316">
        <v>51.59</v>
      </c>
      <c r="BO3316">
        <v>536.04</v>
      </c>
      <c r="BP3316">
        <v>1.87</v>
      </c>
      <c r="BQ3316">
        <v>354.22</v>
      </c>
      <c r="BR3316">
        <v>32.86</v>
      </c>
      <c r="BS3316">
        <v>27.79</v>
      </c>
      <c r="BT3316">
        <v>102.21</v>
      </c>
      <c r="BU3316">
        <v>263.33</v>
      </c>
      <c r="BV3316">
        <v>30.15</v>
      </c>
      <c r="BW3316">
        <v>35.659999999999997</v>
      </c>
      <c r="BX3316">
        <v>60.53</v>
      </c>
      <c r="BY3316">
        <v>1.1200000000000001</v>
      </c>
      <c r="BZ3316">
        <v>27.31</v>
      </c>
      <c r="CA3316">
        <v>0.03</v>
      </c>
      <c r="CB3316">
        <v>81.55</v>
      </c>
      <c r="CC3316">
        <v>58.29</v>
      </c>
      <c r="CD3316">
        <v>39.29</v>
      </c>
      <c r="CE3316">
        <v>13.78</v>
      </c>
      <c r="CF3316">
        <v>1.6</v>
      </c>
      <c r="CG3316">
        <v>13.56</v>
      </c>
      <c r="CH3316">
        <v>9.91</v>
      </c>
      <c r="CI3316">
        <v>9.06</v>
      </c>
      <c r="CJ3316">
        <v>-0.01</v>
      </c>
      <c r="CK3316">
        <v>7.06</v>
      </c>
      <c r="CL3316">
        <v>32.93</v>
      </c>
      <c r="CM3316">
        <v>9.27</v>
      </c>
      <c r="CN3316">
        <v>-13.71</v>
      </c>
      <c r="CO3316">
        <v>281133</v>
      </c>
      <c r="CP3316">
        <v>18393</v>
      </c>
      <c r="CQ3316" t="s">
        <v>3648</v>
      </c>
      <c r="CR3316">
        <v>-10.99</v>
      </c>
      <c r="CS3316">
        <v>4.17</v>
      </c>
      <c r="CT3316">
        <v>1.19</v>
      </c>
      <c r="CU3316">
        <v>45.65</v>
      </c>
      <c r="CV3316">
        <v>7.26</v>
      </c>
      <c r="CW3316">
        <v>1.6</v>
      </c>
      <c r="CX3316" t="s">
        <v>145</v>
      </c>
      <c r="CY3316">
        <v>1.57</v>
      </c>
      <c r="CZ3316">
        <v>0</v>
      </c>
      <c r="DA3316">
        <v>0.36</v>
      </c>
      <c r="DB3316">
        <v>0.15</v>
      </c>
      <c r="DC3316">
        <v>0.04</v>
      </c>
      <c r="DD3316">
        <v>66.08</v>
      </c>
      <c r="DE3316" t="s">
        <v>5546</v>
      </c>
      <c r="DF3316">
        <v>32.590000000000003</v>
      </c>
      <c r="DG3316">
        <v>23.64</v>
      </c>
      <c r="DH3316">
        <v>15.54</v>
      </c>
      <c r="DI3316">
        <v>0.03</v>
      </c>
      <c r="DJ3316">
        <v>6152</v>
      </c>
      <c r="DK3316">
        <v>601880</v>
      </c>
      <c r="DL3316" t="s">
        <v>120</v>
      </c>
      <c r="DM3316" t="s">
        <v>120</v>
      </c>
      <c r="DN3316" t="s">
        <v>120</v>
      </c>
    </row>
    <row r="3317" spans="1:118">
      <c r="A3317" t="str">
        <f>"601881"</f>
        <v>601881</v>
      </c>
      <c r="B3317" t="s">
        <v>14232</v>
      </c>
      <c r="C3317">
        <v>-1.73</v>
      </c>
      <c r="D3317">
        <v>-0.08</v>
      </c>
      <c r="E3317">
        <v>-0.09</v>
      </c>
      <c r="F3317">
        <v>5184</v>
      </c>
      <c r="G3317" t="s">
        <v>14233</v>
      </c>
      <c r="H3317">
        <v>32115.25</v>
      </c>
      <c r="I3317">
        <v>119.35</v>
      </c>
      <c r="J3317" t="s">
        <v>120</v>
      </c>
      <c r="K3317" t="s">
        <v>14234</v>
      </c>
      <c r="L3317">
        <v>0.46</v>
      </c>
      <c r="M3317">
        <v>10.82</v>
      </c>
      <c r="N3317">
        <v>0.55000000000000004</v>
      </c>
      <c r="O3317">
        <v>0.45</v>
      </c>
      <c r="P3317">
        <v>11.06</v>
      </c>
      <c r="Q3317">
        <v>-1.82</v>
      </c>
      <c r="R3317">
        <v>10.81</v>
      </c>
      <c r="S3317">
        <v>11</v>
      </c>
      <c r="T3317">
        <v>293900</v>
      </c>
      <c r="U3317">
        <v>10.83</v>
      </c>
      <c r="V3317">
        <v>11.01</v>
      </c>
      <c r="W3317">
        <v>12.89</v>
      </c>
      <c r="X3317" t="s">
        <v>616</v>
      </c>
      <c r="Y3317" t="s">
        <v>158</v>
      </c>
      <c r="Z3317">
        <v>2.27</v>
      </c>
      <c r="AA3317">
        <v>10.93</v>
      </c>
      <c r="AB3317">
        <v>157892</v>
      </c>
      <c r="AC3317">
        <v>136008</v>
      </c>
      <c r="AD3317">
        <v>1.1599999999999999</v>
      </c>
      <c r="AE3317">
        <v>628</v>
      </c>
      <c r="AF3317">
        <v>2970</v>
      </c>
      <c r="AG3317" t="s">
        <v>120</v>
      </c>
      <c r="AH3317">
        <v>0.01</v>
      </c>
      <c r="AI3317" t="s">
        <v>120</v>
      </c>
      <c r="AJ3317">
        <v>64.459999999999994</v>
      </c>
      <c r="AK3317" t="s">
        <v>14234</v>
      </c>
      <c r="AL3317">
        <v>-0.38</v>
      </c>
      <c r="AM3317">
        <v>3863</v>
      </c>
      <c r="AN3317">
        <v>76</v>
      </c>
      <c r="AO3317">
        <v>1E-4</v>
      </c>
      <c r="AP3317">
        <v>-1</v>
      </c>
      <c r="AQ3317">
        <v>0.46</v>
      </c>
      <c r="AR3317">
        <v>-4.32</v>
      </c>
      <c r="AS3317">
        <v>4.74</v>
      </c>
      <c r="AT3317">
        <v>4.95</v>
      </c>
      <c r="AU3317">
        <v>-11.96</v>
      </c>
      <c r="AV3317">
        <v>0</v>
      </c>
      <c r="AW3317">
        <v>2.29</v>
      </c>
      <c r="AX3317">
        <v>19.940000000000001</v>
      </c>
      <c r="AY3317">
        <v>14.05</v>
      </c>
      <c r="AZ3317">
        <v>15.41</v>
      </c>
      <c r="BA3317">
        <v>1.04</v>
      </c>
      <c r="BB3317" t="s">
        <v>143</v>
      </c>
      <c r="BF3317">
        <v>-0.75</v>
      </c>
      <c r="BG3317">
        <v>-1.64</v>
      </c>
      <c r="BH3317">
        <v>-2.17</v>
      </c>
      <c r="BI3317">
        <v>0.09</v>
      </c>
      <c r="BJ3317">
        <v>20210831</v>
      </c>
      <c r="BK3317">
        <v>20170123</v>
      </c>
      <c r="BL3317">
        <v>101.37</v>
      </c>
      <c r="BM3317" t="s">
        <v>120</v>
      </c>
      <c r="BN3317">
        <v>36.909999999999997</v>
      </c>
      <c r="BO3317">
        <v>4871.96</v>
      </c>
      <c r="BP3317">
        <v>10.82</v>
      </c>
      <c r="BQ3317">
        <v>927.2</v>
      </c>
      <c r="BR3317">
        <v>7.65</v>
      </c>
      <c r="BS3317">
        <v>80.81</v>
      </c>
      <c r="BT3317">
        <v>0</v>
      </c>
      <c r="BU3317">
        <v>3.23</v>
      </c>
      <c r="BV3317">
        <v>5.56</v>
      </c>
      <c r="BW3317">
        <v>0</v>
      </c>
      <c r="BX3317">
        <v>1001.23</v>
      </c>
      <c r="BY3317">
        <v>0</v>
      </c>
      <c r="BZ3317">
        <v>0</v>
      </c>
      <c r="CA3317" t="s">
        <v>120</v>
      </c>
      <c r="CB3317">
        <v>252.27</v>
      </c>
      <c r="CC3317">
        <v>151.4</v>
      </c>
      <c r="CD3317">
        <v>0</v>
      </c>
      <c r="CE3317">
        <v>54.25</v>
      </c>
      <c r="CF3317">
        <v>27.02</v>
      </c>
      <c r="CG3317">
        <v>53.49</v>
      </c>
      <c r="CH3317">
        <v>42.86</v>
      </c>
      <c r="CI3317">
        <v>42.55</v>
      </c>
      <c r="CJ3317">
        <v>-0.19</v>
      </c>
      <c r="CK3317">
        <v>42.97</v>
      </c>
      <c r="CL3317">
        <v>236.27</v>
      </c>
      <c r="CM3317">
        <v>282.76</v>
      </c>
      <c r="CN3317">
        <v>159.63</v>
      </c>
      <c r="CO3317">
        <v>105747</v>
      </c>
      <c r="CP3317">
        <v>12158</v>
      </c>
      <c r="CQ3317" t="s">
        <v>14235</v>
      </c>
      <c r="CR3317">
        <v>19.77</v>
      </c>
      <c r="CS3317">
        <v>35.01</v>
      </c>
      <c r="CT3317">
        <v>1.41</v>
      </c>
      <c r="CU3317">
        <v>3.88</v>
      </c>
      <c r="CV3317">
        <v>7.24</v>
      </c>
      <c r="CW3317">
        <v>2</v>
      </c>
      <c r="CX3317" t="s">
        <v>3527</v>
      </c>
      <c r="CY3317">
        <v>7.68</v>
      </c>
      <c r="CZ3317">
        <v>7.68</v>
      </c>
      <c r="DA3317">
        <v>2.4900000000000002</v>
      </c>
      <c r="DB3317">
        <v>2.33</v>
      </c>
      <c r="DC3317">
        <v>2.79</v>
      </c>
      <c r="DD3317">
        <v>19.03</v>
      </c>
      <c r="DE3317" t="s">
        <v>4776</v>
      </c>
      <c r="DF3317" t="s">
        <v>120</v>
      </c>
      <c r="DG3317">
        <v>35.83</v>
      </c>
      <c r="DH3317">
        <v>28.1</v>
      </c>
      <c r="DI3317" t="s">
        <v>120</v>
      </c>
      <c r="DJ3317">
        <v>9165</v>
      </c>
      <c r="DK3317">
        <v>601881</v>
      </c>
      <c r="DL3317" t="s">
        <v>120</v>
      </c>
      <c r="DM3317" t="s">
        <v>120</v>
      </c>
      <c r="DN3317" t="s">
        <v>120</v>
      </c>
    </row>
    <row r="3318" spans="1:118">
      <c r="A3318" t="str">
        <f>"601882"</f>
        <v>601882</v>
      </c>
      <c r="B3318" t="s">
        <v>14236</v>
      </c>
      <c r="C3318">
        <v>-9.8699999999999992</v>
      </c>
      <c r="D3318">
        <v>-0.1</v>
      </c>
      <c r="E3318">
        <v>-1.76</v>
      </c>
      <c r="F3318">
        <v>1515</v>
      </c>
      <c r="G3318" t="s">
        <v>9085</v>
      </c>
      <c r="H3318">
        <v>36609.949999999997</v>
      </c>
      <c r="I3318">
        <v>230.93</v>
      </c>
      <c r="J3318" t="s">
        <v>120</v>
      </c>
      <c r="K3318" t="s">
        <v>14237</v>
      </c>
      <c r="L3318">
        <v>2.36</v>
      </c>
      <c r="M3318">
        <v>28.21</v>
      </c>
      <c r="N3318">
        <v>0.94</v>
      </c>
      <c r="O3318">
        <v>-0.13</v>
      </c>
      <c r="P3318">
        <v>31.26</v>
      </c>
      <c r="Q3318">
        <v>-10</v>
      </c>
      <c r="R3318">
        <v>28.17</v>
      </c>
      <c r="S3318">
        <v>30.75</v>
      </c>
      <c r="T3318">
        <v>123254</v>
      </c>
      <c r="U3318">
        <v>28.22</v>
      </c>
      <c r="V3318">
        <v>31.3</v>
      </c>
      <c r="W3318">
        <v>46.36</v>
      </c>
      <c r="X3318" t="s">
        <v>2161</v>
      </c>
      <c r="Y3318" t="s">
        <v>585</v>
      </c>
      <c r="Z3318">
        <v>9.8699999999999992</v>
      </c>
      <c r="AA3318">
        <v>29.7</v>
      </c>
      <c r="AB3318">
        <v>69839</v>
      </c>
      <c r="AC3318">
        <v>53415</v>
      </c>
      <c r="AD3318">
        <v>1.31</v>
      </c>
      <c r="AE3318">
        <v>1046</v>
      </c>
      <c r="AF3318">
        <v>18</v>
      </c>
      <c r="AG3318" t="s">
        <v>120</v>
      </c>
      <c r="AH3318">
        <v>0.06</v>
      </c>
      <c r="AI3318" t="s">
        <v>120</v>
      </c>
      <c r="AJ3318">
        <v>5.22</v>
      </c>
      <c r="AK3318" t="s">
        <v>14237</v>
      </c>
      <c r="AL3318">
        <v>-8.5299999999999994</v>
      </c>
      <c r="AM3318">
        <v>4180</v>
      </c>
      <c r="AN3318">
        <v>29</v>
      </c>
      <c r="AO3318">
        <v>5.9999999999999995E-4</v>
      </c>
      <c r="AP3318">
        <v>-2</v>
      </c>
      <c r="AQ3318">
        <v>-3.19</v>
      </c>
      <c r="AR3318">
        <v>-10.19</v>
      </c>
      <c r="AS3318">
        <v>25.38</v>
      </c>
      <c r="AT3318">
        <v>84.5</v>
      </c>
      <c r="AU3318">
        <v>138.22</v>
      </c>
      <c r="AV3318">
        <v>11</v>
      </c>
      <c r="AW3318">
        <v>9.7899999999999991</v>
      </c>
      <c r="AX3318">
        <v>24.13</v>
      </c>
      <c r="AY3318">
        <v>67.11</v>
      </c>
      <c r="AZ3318">
        <v>118.21</v>
      </c>
      <c r="BA3318">
        <v>1.0900000000000001</v>
      </c>
      <c r="BB3318" t="s">
        <v>143</v>
      </c>
      <c r="BF3318">
        <v>-5.0999999999999996</v>
      </c>
      <c r="BG3318">
        <v>-8.26</v>
      </c>
      <c r="BH3318">
        <v>-9.76</v>
      </c>
      <c r="BI3318">
        <v>0.14000000000000001</v>
      </c>
      <c r="BJ3318">
        <v>20210812</v>
      </c>
      <c r="BK3318">
        <v>20161107</v>
      </c>
      <c r="BL3318">
        <v>5.22</v>
      </c>
      <c r="BM3318" t="s">
        <v>120</v>
      </c>
      <c r="BN3318" t="s">
        <v>120</v>
      </c>
      <c r="BO3318">
        <v>34.39</v>
      </c>
      <c r="BP3318">
        <v>28.21</v>
      </c>
      <c r="BQ3318">
        <v>14.34</v>
      </c>
      <c r="BR3318" t="s">
        <v>120</v>
      </c>
      <c r="BS3318">
        <v>58.31</v>
      </c>
      <c r="BT3318">
        <v>27.98</v>
      </c>
      <c r="BU3318">
        <v>5.16</v>
      </c>
      <c r="BV3318">
        <v>0.71</v>
      </c>
      <c r="BW3318">
        <v>18.95</v>
      </c>
      <c r="BX3318">
        <v>6.63</v>
      </c>
      <c r="BY3318">
        <v>9.7899999999999991</v>
      </c>
      <c r="BZ3318">
        <v>1.92</v>
      </c>
      <c r="CA3318" t="s">
        <v>120</v>
      </c>
      <c r="CB3318">
        <v>2.9</v>
      </c>
      <c r="CC3318">
        <v>12.68</v>
      </c>
      <c r="CD3318">
        <v>9.6</v>
      </c>
      <c r="CE3318">
        <v>1.69</v>
      </c>
      <c r="CF3318">
        <v>0.04</v>
      </c>
      <c r="CG3318">
        <v>1.79</v>
      </c>
      <c r="CH3318">
        <v>1.59</v>
      </c>
      <c r="CI3318">
        <v>1.59</v>
      </c>
      <c r="CJ3318">
        <v>-3.09</v>
      </c>
      <c r="CK3318">
        <v>1.42</v>
      </c>
      <c r="CL3318">
        <v>5.41</v>
      </c>
      <c r="CM3318">
        <v>1.03</v>
      </c>
      <c r="CN3318">
        <v>-0.3</v>
      </c>
      <c r="CO3318">
        <v>13770</v>
      </c>
      <c r="CP3318">
        <v>9146</v>
      </c>
      <c r="CQ3318" t="s">
        <v>12001</v>
      </c>
      <c r="CR3318">
        <v>196.51</v>
      </c>
      <c r="CS3318">
        <v>87.73</v>
      </c>
      <c r="CT3318">
        <v>10.27</v>
      </c>
      <c r="CU3318">
        <v>143.53</v>
      </c>
      <c r="CV3318">
        <v>11.61</v>
      </c>
      <c r="CW3318">
        <v>0.76</v>
      </c>
      <c r="CX3318" t="s">
        <v>7759</v>
      </c>
      <c r="CY3318">
        <v>2.75</v>
      </c>
      <c r="CZ3318">
        <v>0</v>
      </c>
      <c r="DA3318">
        <v>0.56000000000000005</v>
      </c>
      <c r="DB3318">
        <v>1.04</v>
      </c>
      <c r="DC3318">
        <v>0.2</v>
      </c>
      <c r="DD3318">
        <v>41.69</v>
      </c>
      <c r="DE3318" t="s">
        <v>14238</v>
      </c>
      <c r="DF3318">
        <v>24.3</v>
      </c>
      <c r="DG3318">
        <v>13.33</v>
      </c>
      <c r="DH3318">
        <v>12.52</v>
      </c>
      <c r="DI3318">
        <v>0.48</v>
      </c>
      <c r="DJ3318">
        <v>1473</v>
      </c>
      <c r="DK3318">
        <v>601882</v>
      </c>
      <c r="DL3318">
        <v>20210823</v>
      </c>
      <c r="DM3318">
        <v>27.23</v>
      </c>
      <c r="DN3318">
        <v>3.6</v>
      </c>
    </row>
    <row r="3319" spans="1:118">
      <c r="A3319" t="str">
        <f>"601886"</f>
        <v>601886</v>
      </c>
      <c r="B3319" t="s">
        <v>14239</v>
      </c>
      <c r="C3319">
        <v>-1.41</v>
      </c>
      <c r="D3319">
        <v>0.13</v>
      </c>
      <c r="E3319">
        <v>0.64</v>
      </c>
      <c r="F3319">
        <v>983</v>
      </c>
      <c r="G3319" t="s">
        <v>5211</v>
      </c>
      <c r="H3319">
        <v>12235.43</v>
      </c>
      <c r="I3319">
        <v>80.150000000000006</v>
      </c>
      <c r="J3319" t="s">
        <v>120</v>
      </c>
      <c r="K3319" t="s">
        <v>14240</v>
      </c>
      <c r="L3319">
        <v>1.35</v>
      </c>
      <c r="M3319">
        <v>7.69</v>
      </c>
      <c r="N3319">
        <v>1.02</v>
      </c>
      <c r="O3319">
        <v>3.08</v>
      </c>
      <c r="P3319">
        <v>8.0399999999999991</v>
      </c>
      <c r="Q3319">
        <v>-1.79</v>
      </c>
      <c r="R3319">
        <v>7.66</v>
      </c>
      <c r="S3319">
        <v>7.85</v>
      </c>
      <c r="T3319">
        <v>156186</v>
      </c>
      <c r="U3319">
        <v>7.69</v>
      </c>
      <c r="V3319">
        <v>7.8</v>
      </c>
      <c r="W3319">
        <v>11.75</v>
      </c>
      <c r="X3319" t="s">
        <v>3122</v>
      </c>
      <c r="Y3319" t="s">
        <v>158</v>
      </c>
      <c r="Z3319">
        <v>4.87</v>
      </c>
      <c r="AA3319">
        <v>7.83</v>
      </c>
      <c r="AB3319">
        <v>84600</v>
      </c>
      <c r="AC3319">
        <v>71586</v>
      </c>
      <c r="AD3319">
        <v>1.18</v>
      </c>
      <c r="AE3319">
        <v>684</v>
      </c>
      <c r="AF3319">
        <v>469</v>
      </c>
      <c r="AG3319" t="s">
        <v>120</v>
      </c>
      <c r="AH3319">
        <v>0.03</v>
      </c>
      <c r="AI3319" t="s">
        <v>120</v>
      </c>
      <c r="AJ3319">
        <v>11.54</v>
      </c>
      <c r="AK3319" t="s">
        <v>14240</v>
      </c>
      <c r="AL3319">
        <v>-7.0000000000000007E-2</v>
      </c>
      <c r="AM3319">
        <v>2859</v>
      </c>
      <c r="AN3319">
        <v>55</v>
      </c>
      <c r="AO3319">
        <v>5.0000000000000001E-4</v>
      </c>
      <c r="AP3319">
        <v>-1</v>
      </c>
      <c r="AQ3319">
        <v>3.72</v>
      </c>
      <c r="AR3319">
        <v>-1.41</v>
      </c>
      <c r="AS3319">
        <v>11.45</v>
      </c>
      <c r="AT3319">
        <v>0</v>
      </c>
      <c r="AU3319">
        <v>42.15</v>
      </c>
      <c r="AV3319">
        <v>1</v>
      </c>
      <c r="AW3319">
        <v>3.97</v>
      </c>
      <c r="AX3319">
        <v>34.049999999999997</v>
      </c>
      <c r="AY3319">
        <v>8.02</v>
      </c>
      <c r="AZ3319">
        <v>9.49</v>
      </c>
      <c r="BA3319">
        <v>1.55</v>
      </c>
      <c r="BB3319" t="s">
        <v>184</v>
      </c>
      <c r="BF3319">
        <v>0.43</v>
      </c>
      <c r="BG3319">
        <v>-2.04</v>
      </c>
      <c r="BH3319">
        <v>-4.3499999999999996</v>
      </c>
      <c r="BI3319">
        <v>0.39</v>
      </c>
      <c r="BJ3319">
        <v>20210827</v>
      </c>
      <c r="BK3319">
        <v>20110818</v>
      </c>
      <c r="BL3319">
        <v>11.54</v>
      </c>
      <c r="BM3319" t="s">
        <v>120</v>
      </c>
      <c r="BN3319" t="s">
        <v>120</v>
      </c>
      <c r="BO3319">
        <v>288.92</v>
      </c>
      <c r="BP3319">
        <v>7.68</v>
      </c>
      <c r="BQ3319">
        <v>86.83</v>
      </c>
      <c r="BR3319">
        <v>13.32</v>
      </c>
      <c r="BS3319">
        <v>65.34</v>
      </c>
      <c r="BT3319">
        <v>224.88</v>
      </c>
      <c r="BU3319">
        <v>12.04</v>
      </c>
      <c r="BV3319">
        <v>6.13</v>
      </c>
      <c r="BW3319">
        <v>178.67</v>
      </c>
      <c r="BX3319">
        <v>31.64</v>
      </c>
      <c r="BY3319">
        <v>9.91</v>
      </c>
      <c r="BZ3319">
        <v>107.26</v>
      </c>
      <c r="CA3319" t="s">
        <v>120</v>
      </c>
      <c r="CB3319">
        <v>38.36</v>
      </c>
      <c r="CC3319">
        <v>86.96</v>
      </c>
      <c r="CD3319">
        <v>72.349999999999994</v>
      </c>
      <c r="CE3319">
        <v>4.7</v>
      </c>
      <c r="CF3319">
        <v>1.02</v>
      </c>
      <c r="CG3319">
        <v>4.7</v>
      </c>
      <c r="CH3319">
        <v>4.13</v>
      </c>
      <c r="CI3319">
        <v>3.78</v>
      </c>
      <c r="CJ3319">
        <v>-0.11</v>
      </c>
      <c r="CK3319">
        <v>2.67</v>
      </c>
      <c r="CL3319">
        <v>32.74</v>
      </c>
      <c r="CM3319">
        <v>-17.46</v>
      </c>
      <c r="CN3319">
        <v>-29.3</v>
      </c>
      <c r="CO3319">
        <v>30266</v>
      </c>
      <c r="CP3319">
        <v>12984</v>
      </c>
      <c r="CQ3319" t="s">
        <v>6252</v>
      </c>
      <c r="CR3319">
        <v>85.01</v>
      </c>
      <c r="CS3319">
        <v>29.14</v>
      </c>
      <c r="CT3319">
        <v>1.02</v>
      </c>
      <c r="CU3319">
        <v>-5.08</v>
      </c>
      <c r="CV3319">
        <v>1.02</v>
      </c>
      <c r="CW3319">
        <v>5.03</v>
      </c>
      <c r="CX3319" t="s">
        <v>2443</v>
      </c>
      <c r="CY3319">
        <v>7.52</v>
      </c>
      <c r="CZ3319">
        <v>0</v>
      </c>
      <c r="DA3319">
        <v>3.32</v>
      </c>
      <c r="DB3319">
        <v>2.84</v>
      </c>
      <c r="DC3319">
        <v>-1.51</v>
      </c>
      <c r="DD3319">
        <v>30.05</v>
      </c>
      <c r="DE3319" t="s">
        <v>9334</v>
      </c>
      <c r="DF3319">
        <v>16.8</v>
      </c>
      <c r="DG3319">
        <v>5.41</v>
      </c>
      <c r="DH3319">
        <v>4.34</v>
      </c>
      <c r="DI3319">
        <v>2.2000000000000002</v>
      </c>
      <c r="DJ3319">
        <v>8686</v>
      </c>
      <c r="DK3319">
        <v>601886</v>
      </c>
      <c r="DL3319" t="s">
        <v>120</v>
      </c>
      <c r="DM3319" t="s">
        <v>120</v>
      </c>
      <c r="DN3319" t="s">
        <v>120</v>
      </c>
    </row>
    <row r="3320" spans="1:118">
      <c r="A3320" t="str">
        <f>"601888"</f>
        <v>601888</v>
      </c>
      <c r="B3320" t="s">
        <v>14241</v>
      </c>
      <c r="C3320">
        <v>2.72</v>
      </c>
      <c r="D3320">
        <v>0.78</v>
      </c>
      <c r="E3320">
        <v>-0.84</v>
      </c>
      <c r="F3320">
        <v>4315</v>
      </c>
      <c r="G3320" t="s">
        <v>14242</v>
      </c>
      <c r="H3320">
        <v>305128.40999999997</v>
      </c>
      <c r="I3320">
        <v>1791.56</v>
      </c>
      <c r="J3320" t="s">
        <v>120</v>
      </c>
      <c r="K3320" t="s">
        <v>14243</v>
      </c>
      <c r="L3320">
        <v>0.66</v>
      </c>
      <c r="M3320">
        <v>241.36</v>
      </c>
      <c r="N3320">
        <v>1.1299999999999999</v>
      </c>
      <c r="O3320">
        <v>2.9</v>
      </c>
      <c r="P3320">
        <v>241.79</v>
      </c>
      <c r="Q3320">
        <v>-2.76</v>
      </c>
      <c r="R3320">
        <v>228.48</v>
      </c>
      <c r="S3320">
        <v>233</v>
      </c>
      <c r="T3320">
        <v>128936</v>
      </c>
      <c r="U3320">
        <v>241.36</v>
      </c>
      <c r="V3320">
        <v>234.97</v>
      </c>
      <c r="W3320">
        <v>43.97</v>
      </c>
      <c r="X3320" t="s">
        <v>1317</v>
      </c>
      <c r="Y3320" t="s">
        <v>158</v>
      </c>
      <c r="Z3320">
        <v>5.66</v>
      </c>
      <c r="AA3320">
        <v>236.65</v>
      </c>
      <c r="AB3320">
        <v>62764</v>
      </c>
      <c r="AC3320">
        <v>66172</v>
      </c>
      <c r="AD3320">
        <v>0.95</v>
      </c>
      <c r="AE3320">
        <v>1</v>
      </c>
      <c r="AF3320">
        <v>0</v>
      </c>
      <c r="AG3320" t="s">
        <v>120</v>
      </c>
      <c r="AH3320">
        <v>0.01</v>
      </c>
      <c r="AI3320" t="s">
        <v>120</v>
      </c>
      <c r="AJ3320">
        <v>19.52</v>
      </c>
      <c r="AK3320" t="s">
        <v>14243</v>
      </c>
      <c r="AL3320">
        <v>4.0599999999999996</v>
      </c>
      <c r="AM3320">
        <v>4705</v>
      </c>
      <c r="AN3320">
        <v>27</v>
      </c>
      <c r="AO3320">
        <v>1E-4</v>
      </c>
      <c r="AP3320">
        <v>1</v>
      </c>
      <c r="AQ3320">
        <v>-4.8099999999999996</v>
      </c>
      <c r="AR3320">
        <v>-3.93</v>
      </c>
      <c r="AS3320">
        <v>2.2400000000000002</v>
      </c>
      <c r="AT3320">
        <v>-17.96</v>
      </c>
      <c r="AU3320">
        <v>-14.24</v>
      </c>
      <c r="AV3320">
        <v>0</v>
      </c>
      <c r="AW3320">
        <v>1.41</v>
      </c>
      <c r="AX3320">
        <v>46.7</v>
      </c>
      <c r="AY3320">
        <v>43.41</v>
      </c>
      <c r="AZ3320">
        <v>74.72</v>
      </c>
      <c r="BA3320">
        <v>1.57</v>
      </c>
      <c r="BB3320" t="s">
        <v>143</v>
      </c>
      <c r="BF3320">
        <v>0.72</v>
      </c>
      <c r="BG3320">
        <v>3.59</v>
      </c>
      <c r="BH3320">
        <v>-0.18</v>
      </c>
      <c r="BI3320">
        <v>5.64</v>
      </c>
      <c r="BJ3320">
        <v>20210830</v>
      </c>
      <c r="BK3320">
        <v>20091015</v>
      </c>
      <c r="BL3320">
        <v>19.52</v>
      </c>
      <c r="BM3320" t="s">
        <v>120</v>
      </c>
      <c r="BN3320" t="s">
        <v>120</v>
      </c>
      <c r="BO3320">
        <v>492.42</v>
      </c>
      <c r="BP3320">
        <v>241.22</v>
      </c>
      <c r="BQ3320">
        <v>256.26</v>
      </c>
      <c r="BR3320">
        <v>46.71</v>
      </c>
      <c r="BS3320">
        <v>38.47</v>
      </c>
      <c r="BT3320">
        <v>338.41</v>
      </c>
      <c r="BU3320">
        <v>15.3</v>
      </c>
      <c r="BV3320">
        <v>23.96</v>
      </c>
      <c r="BW3320">
        <v>158.01</v>
      </c>
      <c r="BX3320">
        <v>126.76</v>
      </c>
      <c r="BY3320">
        <v>189.95</v>
      </c>
      <c r="BZ3320">
        <v>5.19</v>
      </c>
      <c r="CA3320">
        <v>7.0000000000000007E-2</v>
      </c>
      <c r="CB3320">
        <v>19.82</v>
      </c>
      <c r="CC3320">
        <v>355.26</v>
      </c>
      <c r="CD3320">
        <v>219.08</v>
      </c>
      <c r="CE3320">
        <v>85.14</v>
      </c>
      <c r="CF3320">
        <v>0.33</v>
      </c>
      <c r="CG3320">
        <v>85.21</v>
      </c>
      <c r="CH3320">
        <v>65.05</v>
      </c>
      <c r="CI3320">
        <v>53.59</v>
      </c>
      <c r="CJ3320">
        <v>6.39</v>
      </c>
      <c r="CK3320">
        <v>52.65</v>
      </c>
      <c r="CL3320">
        <v>210.54</v>
      </c>
      <c r="CM3320">
        <v>7.51</v>
      </c>
      <c r="CN3320">
        <v>-23.09</v>
      </c>
      <c r="CO3320">
        <v>138750</v>
      </c>
      <c r="CP3320">
        <v>6572</v>
      </c>
      <c r="CQ3320" t="s">
        <v>14244</v>
      </c>
      <c r="CR3320">
        <v>475.92</v>
      </c>
      <c r="CS3320">
        <v>83.98</v>
      </c>
      <c r="CT3320">
        <v>18.39</v>
      </c>
      <c r="CU3320">
        <v>627.16</v>
      </c>
      <c r="CV3320">
        <v>13.26</v>
      </c>
      <c r="CW3320">
        <v>0.43</v>
      </c>
      <c r="CX3320" t="s">
        <v>14245</v>
      </c>
      <c r="CY3320">
        <v>13.13</v>
      </c>
      <c r="CZ3320">
        <v>0</v>
      </c>
      <c r="DA3320">
        <v>1.02</v>
      </c>
      <c r="DB3320">
        <v>10.78</v>
      </c>
      <c r="DC3320">
        <v>0.38</v>
      </c>
      <c r="DD3320">
        <v>52.04</v>
      </c>
      <c r="DE3320" t="s">
        <v>14246</v>
      </c>
      <c r="DF3320">
        <v>38.33</v>
      </c>
      <c r="DG3320">
        <v>23.97</v>
      </c>
      <c r="DH3320">
        <v>15.08</v>
      </c>
      <c r="DI3320" t="s">
        <v>120</v>
      </c>
      <c r="DJ3320">
        <v>14217</v>
      </c>
      <c r="DK3320">
        <v>601888</v>
      </c>
      <c r="DL3320" t="s">
        <v>120</v>
      </c>
      <c r="DM3320" t="s">
        <v>120</v>
      </c>
      <c r="DN3320" t="s">
        <v>120</v>
      </c>
    </row>
    <row r="3321" spans="1:118">
      <c r="A3321" t="str">
        <f>"601890"</f>
        <v>601890</v>
      </c>
      <c r="B3321" t="s">
        <v>14247</v>
      </c>
      <c r="C3321">
        <v>-0.84</v>
      </c>
      <c r="D3321">
        <v>-0.23</v>
      </c>
      <c r="E3321">
        <v>-0.48</v>
      </c>
      <c r="F3321">
        <v>7197</v>
      </c>
      <c r="G3321" t="s">
        <v>14248</v>
      </c>
      <c r="H3321">
        <v>57472.21</v>
      </c>
      <c r="I3321">
        <v>303.64999999999998</v>
      </c>
      <c r="J3321" t="s">
        <v>120</v>
      </c>
      <c r="K3321" t="s">
        <v>4365</v>
      </c>
      <c r="L3321">
        <v>7.1</v>
      </c>
      <c r="M3321">
        <v>8.25</v>
      </c>
      <c r="N3321">
        <v>0.72</v>
      </c>
      <c r="O3321">
        <v>5.05</v>
      </c>
      <c r="P3321">
        <v>8.74</v>
      </c>
      <c r="Q3321">
        <v>-1.32</v>
      </c>
      <c r="R3321">
        <v>8.2100000000000009</v>
      </c>
      <c r="S3321">
        <v>8.2799999999999994</v>
      </c>
      <c r="T3321">
        <v>680753</v>
      </c>
      <c r="U3321">
        <v>8.26</v>
      </c>
      <c r="V3321">
        <v>8.32</v>
      </c>
      <c r="W3321">
        <v>57.26</v>
      </c>
      <c r="X3321" t="s">
        <v>7408</v>
      </c>
      <c r="Y3321" t="s">
        <v>319</v>
      </c>
      <c r="Z3321">
        <v>6.37</v>
      </c>
      <c r="AA3321">
        <v>8.44</v>
      </c>
      <c r="AB3321">
        <v>361505</v>
      </c>
      <c r="AC3321">
        <v>319248</v>
      </c>
      <c r="AD3321">
        <v>1.1299999999999999</v>
      </c>
      <c r="AE3321">
        <v>681</v>
      </c>
      <c r="AF3321">
        <v>1828</v>
      </c>
      <c r="AG3321" t="s">
        <v>120</v>
      </c>
      <c r="AH3321">
        <v>0.06</v>
      </c>
      <c r="AI3321" t="s">
        <v>120</v>
      </c>
      <c r="AJ3321">
        <v>9.59</v>
      </c>
      <c r="AK3321" t="s">
        <v>4365</v>
      </c>
      <c r="AL3321">
        <v>0.5</v>
      </c>
      <c r="AM3321">
        <v>4391</v>
      </c>
      <c r="AN3321">
        <v>155</v>
      </c>
      <c r="AO3321">
        <v>1.6000000000000001E-3</v>
      </c>
      <c r="AP3321">
        <v>-1</v>
      </c>
      <c r="AQ3321">
        <v>0.12</v>
      </c>
      <c r="AR3321">
        <v>-7.51</v>
      </c>
      <c r="AS3321">
        <v>34.36</v>
      </c>
      <c r="AT3321">
        <v>32</v>
      </c>
      <c r="AU3321">
        <v>27.71</v>
      </c>
      <c r="AV3321">
        <v>3</v>
      </c>
      <c r="AW3321">
        <v>11.22</v>
      </c>
      <c r="AX3321">
        <v>63.24</v>
      </c>
      <c r="AY3321">
        <v>69.08</v>
      </c>
      <c r="AZ3321">
        <v>91.58</v>
      </c>
      <c r="BA3321">
        <v>1.3</v>
      </c>
      <c r="BB3321" t="s">
        <v>143</v>
      </c>
      <c r="BF3321">
        <v>1.47</v>
      </c>
      <c r="BG3321">
        <v>-0.36</v>
      </c>
      <c r="BH3321">
        <v>-5.61</v>
      </c>
      <c r="BI3321">
        <v>0.49</v>
      </c>
      <c r="BJ3321">
        <v>20210831</v>
      </c>
      <c r="BK3321">
        <v>20101228</v>
      </c>
      <c r="BL3321">
        <v>9.59</v>
      </c>
      <c r="BM3321" t="s">
        <v>120</v>
      </c>
      <c r="BN3321" t="s">
        <v>120</v>
      </c>
      <c r="BO3321">
        <v>40.71</v>
      </c>
      <c r="BP3321">
        <v>8.25</v>
      </c>
      <c r="BQ3321">
        <v>30.94</v>
      </c>
      <c r="BR3321">
        <v>0.95</v>
      </c>
      <c r="BS3321">
        <v>21.66</v>
      </c>
      <c r="BT3321">
        <v>31.42</v>
      </c>
      <c r="BU3321">
        <v>5.8</v>
      </c>
      <c r="BV3321">
        <v>1.66</v>
      </c>
      <c r="BW3321">
        <v>7.74</v>
      </c>
      <c r="BX3321">
        <v>15.32</v>
      </c>
      <c r="BY3321">
        <v>6.37</v>
      </c>
      <c r="BZ3321">
        <v>2.97</v>
      </c>
      <c r="CA3321">
        <v>0.01</v>
      </c>
      <c r="CB3321">
        <v>13.85</v>
      </c>
      <c r="CC3321">
        <v>7.53</v>
      </c>
      <c r="CD3321">
        <v>5.93</v>
      </c>
      <c r="CE3321">
        <v>0.82</v>
      </c>
      <c r="CF3321">
        <v>0.2</v>
      </c>
      <c r="CG3321">
        <v>0.81</v>
      </c>
      <c r="CH3321">
        <v>0.69</v>
      </c>
      <c r="CI3321">
        <v>0.69</v>
      </c>
      <c r="CJ3321">
        <v>-7.0000000000000007E-2</v>
      </c>
      <c r="CK3321">
        <v>0.56999999999999995</v>
      </c>
      <c r="CL3321">
        <v>6.59</v>
      </c>
      <c r="CM3321">
        <v>0.61</v>
      </c>
      <c r="CN3321">
        <v>1.35</v>
      </c>
      <c r="CO3321">
        <v>117402</v>
      </c>
      <c r="CP3321">
        <v>5168</v>
      </c>
      <c r="CQ3321" t="s">
        <v>2741</v>
      </c>
      <c r="CR3321">
        <v>69.72</v>
      </c>
      <c r="CS3321">
        <v>36.21</v>
      </c>
      <c r="CT3321">
        <v>2.56</v>
      </c>
      <c r="CU3321">
        <v>129.85</v>
      </c>
      <c r="CV3321">
        <v>10.52</v>
      </c>
      <c r="CW3321">
        <v>0.36</v>
      </c>
      <c r="CX3321" t="s">
        <v>2027</v>
      </c>
      <c r="CY3321">
        <v>3.23</v>
      </c>
      <c r="CZ3321">
        <v>0</v>
      </c>
      <c r="DA3321">
        <v>1.44</v>
      </c>
      <c r="DB3321">
        <v>0.69</v>
      </c>
      <c r="DC3321">
        <v>0.06</v>
      </c>
      <c r="DD3321">
        <v>76.010000000000005</v>
      </c>
      <c r="DE3321" t="s">
        <v>11374</v>
      </c>
      <c r="DF3321">
        <v>21.21</v>
      </c>
      <c r="DG3321">
        <v>10.83</v>
      </c>
      <c r="DH3321">
        <v>9.18</v>
      </c>
      <c r="DI3321">
        <v>0.25</v>
      </c>
      <c r="DJ3321">
        <v>1582</v>
      </c>
      <c r="DK3321">
        <v>601890</v>
      </c>
      <c r="DL3321">
        <v>20210909</v>
      </c>
      <c r="DM3321">
        <v>8.07</v>
      </c>
      <c r="DN3321">
        <v>2.23</v>
      </c>
    </row>
    <row r="3322" spans="1:118">
      <c r="A3322" t="str">
        <f>"601898"</f>
        <v>601898</v>
      </c>
      <c r="B3322" t="s">
        <v>14249</v>
      </c>
      <c r="C3322">
        <v>3.19</v>
      </c>
      <c r="D3322">
        <v>0</v>
      </c>
      <c r="E3322">
        <v>7.45</v>
      </c>
      <c r="F3322">
        <v>17111</v>
      </c>
      <c r="G3322" t="s">
        <v>13384</v>
      </c>
      <c r="H3322">
        <v>139769.15</v>
      </c>
      <c r="I3322">
        <v>2295.62</v>
      </c>
      <c r="J3322" t="s">
        <v>120</v>
      </c>
      <c r="K3322" t="s">
        <v>14250</v>
      </c>
      <c r="L3322">
        <v>1.52</v>
      </c>
      <c r="M3322">
        <v>9.69</v>
      </c>
      <c r="N3322">
        <v>1.36</v>
      </c>
      <c r="O3322">
        <v>10.01</v>
      </c>
      <c r="P3322">
        <v>10.33</v>
      </c>
      <c r="Q3322">
        <v>2.88</v>
      </c>
      <c r="R3322">
        <v>9.66</v>
      </c>
      <c r="S3322">
        <v>10.09</v>
      </c>
      <c r="T3322">
        <v>1392006</v>
      </c>
      <c r="U3322">
        <v>9.69</v>
      </c>
      <c r="V3322">
        <v>9.39</v>
      </c>
      <c r="W3322">
        <v>8.4700000000000006</v>
      </c>
      <c r="X3322" t="s">
        <v>1081</v>
      </c>
      <c r="Y3322" t="s">
        <v>158</v>
      </c>
      <c r="Z3322">
        <v>7.14</v>
      </c>
      <c r="AA3322">
        <v>10.039999999999999</v>
      </c>
      <c r="AB3322">
        <v>884742</v>
      </c>
      <c r="AC3322">
        <v>507264</v>
      </c>
      <c r="AD3322">
        <v>1.74</v>
      </c>
      <c r="AE3322">
        <v>2275</v>
      </c>
      <c r="AF3322">
        <v>4026</v>
      </c>
      <c r="AG3322" t="s">
        <v>120</v>
      </c>
      <c r="AH3322">
        <v>0.15</v>
      </c>
      <c r="AI3322" t="s">
        <v>120</v>
      </c>
      <c r="AJ3322">
        <v>91.52</v>
      </c>
      <c r="AK3322" t="s">
        <v>14250</v>
      </c>
      <c r="AL3322">
        <v>4.54</v>
      </c>
      <c r="AM3322">
        <v>4584</v>
      </c>
      <c r="AN3322">
        <v>304</v>
      </c>
      <c r="AO3322">
        <v>2.9999999999999997E-4</v>
      </c>
      <c r="AP3322">
        <v>2</v>
      </c>
      <c r="AQ3322">
        <v>2.4</v>
      </c>
      <c r="AR3322">
        <v>1.78</v>
      </c>
      <c r="AS3322">
        <v>40.229999999999997</v>
      </c>
      <c r="AT3322">
        <v>22.97</v>
      </c>
      <c r="AU3322">
        <v>124.51</v>
      </c>
      <c r="AV3322">
        <v>3</v>
      </c>
      <c r="AW3322">
        <v>9</v>
      </c>
      <c r="AX3322">
        <v>16.899999999999999</v>
      </c>
      <c r="AY3322">
        <v>11.14</v>
      </c>
      <c r="AZ3322">
        <v>21.09</v>
      </c>
      <c r="BA3322">
        <v>0.9</v>
      </c>
      <c r="BB3322" t="s">
        <v>184</v>
      </c>
      <c r="BF3322">
        <v>6.93</v>
      </c>
      <c r="BG3322">
        <v>-3.96</v>
      </c>
      <c r="BH3322">
        <v>-6.2</v>
      </c>
      <c r="BI3322">
        <v>0.31</v>
      </c>
      <c r="BJ3322">
        <v>20210901</v>
      </c>
      <c r="BK3322">
        <v>20080201</v>
      </c>
      <c r="BL3322">
        <v>132.59</v>
      </c>
      <c r="BM3322" t="s">
        <v>120</v>
      </c>
      <c r="BN3322">
        <v>41.07</v>
      </c>
      <c r="BO3322">
        <v>3013.4</v>
      </c>
      <c r="BP3322">
        <v>9.68</v>
      </c>
      <c r="BQ3322">
        <v>1076.27</v>
      </c>
      <c r="BR3322">
        <v>254.48</v>
      </c>
      <c r="BS3322">
        <v>55.84</v>
      </c>
      <c r="BT3322">
        <v>832.4</v>
      </c>
      <c r="BU3322">
        <v>1098.9100000000001</v>
      </c>
      <c r="BV3322">
        <v>498.37</v>
      </c>
      <c r="BW3322">
        <v>744.21</v>
      </c>
      <c r="BX3322">
        <v>527.16999999999996</v>
      </c>
      <c r="BY3322">
        <v>73.56</v>
      </c>
      <c r="BZ3322">
        <v>82.44</v>
      </c>
      <c r="CA3322" t="s">
        <v>120</v>
      </c>
      <c r="CB3322">
        <v>387.98</v>
      </c>
      <c r="CC3322">
        <v>987.2</v>
      </c>
      <c r="CD3322">
        <v>748.05</v>
      </c>
      <c r="CE3322">
        <v>132.15</v>
      </c>
      <c r="CF3322">
        <v>17.510000000000002</v>
      </c>
      <c r="CG3322">
        <v>132.13</v>
      </c>
      <c r="CH3322">
        <v>102.65</v>
      </c>
      <c r="CI3322">
        <v>75.86</v>
      </c>
      <c r="CJ3322">
        <v>0.3</v>
      </c>
      <c r="CK3322">
        <v>75.39</v>
      </c>
      <c r="CL3322">
        <v>462.78</v>
      </c>
      <c r="CM3322">
        <v>204.1</v>
      </c>
      <c r="CN3322">
        <v>46.25</v>
      </c>
      <c r="CO3322">
        <v>126593</v>
      </c>
      <c r="CP3322">
        <v>12219</v>
      </c>
      <c r="CQ3322" t="s">
        <v>14251</v>
      </c>
      <c r="CR3322">
        <v>228.46</v>
      </c>
      <c r="CS3322">
        <v>60.8</v>
      </c>
      <c r="CT3322">
        <v>1.19</v>
      </c>
      <c r="CU3322">
        <v>6.29</v>
      </c>
      <c r="CV3322">
        <v>1.3</v>
      </c>
      <c r="CW3322">
        <v>1.42</v>
      </c>
      <c r="CX3322" t="s">
        <v>1881</v>
      </c>
      <c r="CY3322">
        <v>8.1199999999999992</v>
      </c>
      <c r="CZ3322">
        <v>0</v>
      </c>
      <c r="DA3322">
        <v>2.93</v>
      </c>
      <c r="DB3322">
        <v>3.49</v>
      </c>
      <c r="DC3322">
        <v>1.54</v>
      </c>
      <c r="DD3322">
        <v>35.72</v>
      </c>
      <c r="DE3322" t="s">
        <v>6037</v>
      </c>
      <c r="DF3322">
        <v>24.22</v>
      </c>
      <c r="DG3322">
        <v>13.39</v>
      </c>
      <c r="DH3322">
        <v>7.68</v>
      </c>
      <c r="DI3322">
        <v>2.15</v>
      </c>
      <c r="DJ3322">
        <v>41593</v>
      </c>
      <c r="DK3322">
        <v>601898</v>
      </c>
      <c r="DL3322" t="s">
        <v>120</v>
      </c>
      <c r="DM3322" t="s">
        <v>120</v>
      </c>
      <c r="DN3322" t="s">
        <v>120</v>
      </c>
    </row>
    <row r="3323" spans="1:118">
      <c r="A3323" t="str">
        <f>"601899"</f>
        <v>601899</v>
      </c>
      <c r="B3323" t="s">
        <v>14252</v>
      </c>
      <c r="C3323">
        <v>-3.56</v>
      </c>
      <c r="D3323">
        <v>0</v>
      </c>
      <c r="E3323">
        <v>1.56</v>
      </c>
      <c r="F3323">
        <v>103470</v>
      </c>
      <c r="G3323" t="s">
        <v>14253</v>
      </c>
      <c r="H3323">
        <v>444811</v>
      </c>
      <c r="I3323">
        <v>3601.6</v>
      </c>
      <c r="J3323" t="s">
        <v>120</v>
      </c>
      <c r="K3323" t="s">
        <v>14254</v>
      </c>
      <c r="L3323">
        <v>1.91</v>
      </c>
      <c r="M3323">
        <v>11.11</v>
      </c>
      <c r="N3323">
        <v>0.57999999999999996</v>
      </c>
      <c r="O3323">
        <v>2.69</v>
      </c>
      <c r="P3323">
        <v>11.83</v>
      </c>
      <c r="Q3323">
        <v>-3.65</v>
      </c>
      <c r="R3323">
        <v>11.1</v>
      </c>
      <c r="S3323">
        <v>11.7</v>
      </c>
      <c r="T3323">
        <v>3905041</v>
      </c>
      <c r="U3323">
        <v>11.12</v>
      </c>
      <c r="V3323">
        <v>11.52</v>
      </c>
      <c r="W3323">
        <v>22</v>
      </c>
      <c r="X3323" t="s">
        <v>855</v>
      </c>
      <c r="Y3323" t="s">
        <v>937</v>
      </c>
      <c r="Z3323">
        <v>6.34</v>
      </c>
      <c r="AA3323">
        <v>11.39</v>
      </c>
      <c r="AB3323">
        <v>1921767</v>
      </c>
      <c r="AC3323">
        <v>1983274</v>
      </c>
      <c r="AD3323">
        <v>0.97</v>
      </c>
      <c r="AE3323">
        <v>3532</v>
      </c>
      <c r="AF3323">
        <v>3880</v>
      </c>
      <c r="AG3323" t="s">
        <v>120</v>
      </c>
      <c r="AH3323">
        <v>0.02</v>
      </c>
      <c r="AI3323" t="s">
        <v>120</v>
      </c>
      <c r="AJ3323">
        <v>204.95</v>
      </c>
      <c r="AK3323" t="s">
        <v>14255</v>
      </c>
      <c r="AL3323">
        <v>-2.2200000000000002</v>
      </c>
      <c r="AM3323">
        <v>4745</v>
      </c>
      <c r="AN3323">
        <v>823</v>
      </c>
      <c r="AO3323">
        <v>4.0000000000000002E-4</v>
      </c>
      <c r="AP3323">
        <v>-3</v>
      </c>
      <c r="AQ3323">
        <v>-1.71</v>
      </c>
      <c r="AR3323">
        <v>-10.34</v>
      </c>
      <c r="AS3323">
        <v>7.44</v>
      </c>
      <c r="AT3323">
        <v>15.61</v>
      </c>
      <c r="AU3323">
        <v>21.16</v>
      </c>
      <c r="AV3323">
        <v>2</v>
      </c>
      <c r="AW3323">
        <v>2.71</v>
      </c>
      <c r="AX3323">
        <v>69.989999999999995</v>
      </c>
      <c r="AY3323">
        <v>28.25</v>
      </c>
      <c r="AZ3323">
        <v>46.6</v>
      </c>
      <c r="BA3323">
        <v>0.93</v>
      </c>
      <c r="BB3323" t="s">
        <v>143</v>
      </c>
      <c r="BF3323">
        <v>-1.1200000000000001</v>
      </c>
      <c r="BG3323">
        <v>-5.04</v>
      </c>
      <c r="BH3323">
        <v>-6.09</v>
      </c>
      <c r="BI3323">
        <v>0.09</v>
      </c>
      <c r="BJ3323">
        <v>20210903</v>
      </c>
      <c r="BK3323">
        <v>20080425</v>
      </c>
      <c r="BL3323">
        <v>263.27999999999997</v>
      </c>
      <c r="BM3323" t="s">
        <v>120</v>
      </c>
      <c r="BN3323">
        <v>57.37</v>
      </c>
      <c r="BO3323">
        <v>1986.62</v>
      </c>
      <c r="BP3323">
        <v>11.11</v>
      </c>
      <c r="BQ3323">
        <v>668.87</v>
      </c>
      <c r="BR3323">
        <v>215.33</v>
      </c>
      <c r="BS3323">
        <v>55.49</v>
      </c>
      <c r="BT3323">
        <v>456.47</v>
      </c>
      <c r="BU3323">
        <v>481.17</v>
      </c>
      <c r="BV3323">
        <v>482.71</v>
      </c>
      <c r="BW3323">
        <v>519.41</v>
      </c>
      <c r="BX3323">
        <v>175.08</v>
      </c>
      <c r="BY3323">
        <v>165.79</v>
      </c>
      <c r="BZ3323">
        <v>15.26</v>
      </c>
      <c r="CA3323" t="s">
        <v>120</v>
      </c>
      <c r="CB3323">
        <v>250.98</v>
      </c>
      <c r="CC3323">
        <v>1098.6300000000001</v>
      </c>
      <c r="CD3323">
        <v>939.57</v>
      </c>
      <c r="CE3323">
        <v>116.33</v>
      </c>
      <c r="CF3323">
        <v>5.87</v>
      </c>
      <c r="CG3323">
        <v>114.7</v>
      </c>
      <c r="CH3323">
        <v>89.11</v>
      </c>
      <c r="CI3323">
        <v>66.489999999999995</v>
      </c>
      <c r="CJ3323">
        <v>-0.41</v>
      </c>
      <c r="CK3323">
        <v>61.13</v>
      </c>
      <c r="CL3323">
        <v>312.38</v>
      </c>
      <c r="CM3323">
        <v>120.25</v>
      </c>
      <c r="CN3323">
        <v>50.06</v>
      </c>
      <c r="CO3323">
        <v>821018</v>
      </c>
      <c r="CP3323">
        <v>17553</v>
      </c>
      <c r="CQ3323" t="s">
        <v>5714</v>
      </c>
      <c r="CR3323">
        <v>174.6</v>
      </c>
      <c r="CS3323">
        <v>32.14</v>
      </c>
      <c r="CT3323">
        <v>4.6900000000000004</v>
      </c>
      <c r="CU3323">
        <v>24.32</v>
      </c>
      <c r="CV3323">
        <v>2.66</v>
      </c>
      <c r="CW3323">
        <v>1.04</v>
      </c>
      <c r="CX3323" t="s">
        <v>670</v>
      </c>
      <c r="CY3323">
        <v>2.37</v>
      </c>
      <c r="CZ3323">
        <v>2.37</v>
      </c>
      <c r="DA3323">
        <v>0.95</v>
      </c>
      <c r="DB3323">
        <v>1.19</v>
      </c>
      <c r="DC3323">
        <v>0.46</v>
      </c>
      <c r="DD3323">
        <v>33.67</v>
      </c>
      <c r="DE3323" t="s">
        <v>14256</v>
      </c>
      <c r="DF3323">
        <v>14.48</v>
      </c>
      <c r="DG3323">
        <v>10.59</v>
      </c>
      <c r="DH3323">
        <v>6.05</v>
      </c>
      <c r="DI3323">
        <v>3.17</v>
      </c>
      <c r="DJ3323">
        <v>36860</v>
      </c>
      <c r="DK3323">
        <v>601899</v>
      </c>
      <c r="DL3323" t="s">
        <v>120</v>
      </c>
      <c r="DM3323" t="s">
        <v>120</v>
      </c>
      <c r="DN3323" t="s">
        <v>120</v>
      </c>
    </row>
    <row r="3324" spans="1:118">
      <c r="A3324" t="str">
        <f>"601900"</f>
        <v>601900</v>
      </c>
      <c r="B3324" t="s">
        <v>14257</v>
      </c>
      <c r="C3324">
        <v>-2.25</v>
      </c>
      <c r="D3324">
        <v>-0.93</v>
      </c>
      <c r="E3324">
        <v>0.26</v>
      </c>
      <c r="F3324">
        <v>3743</v>
      </c>
      <c r="G3324" t="s">
        <v>5788</v>
      </c>
      <c r="H3324">
        <v>2456.2600000000002</v>
      </c>
      <c r="I3324">
        <v>1.97</v>
      </c>
      <c r="J3324" t="s">
        <v>120</v>
      </c>
      <c r="K3324" t="s">
        <v>14258</v>
      </c>
      <c r="L3324">
        <v>0.37</v>
      </c>
      <c r="M3324">
        <v>7.38</v>
      </c>
      <c r="N3324">
        <v>1.1599999999999999</v>
      </c>
      <c r="O3324">
        <v>0.79</v>
      </c>
      <c r="P3324">
        <v>7.61</v>
      </c>
      <c r="Q3324">
        <v>-2.25</v>
      </c>
      <c r="R3324">
        <v>7.38</v>
      </c>
      <c r="S3324">
        <v>7.57</v>
      </c>
      <c r="T3324">
        <v>32724</v>
      </c>
      <c r="U3324">
        <v>7.41</v>
      </c>
      <c r="V3324">
        <v>7.55</v>
      </c>
      <c r="W3324">
        <v>12.05</v>
      </c>
      <c r="X3324" t="s">
        <v>1730</v>
      </c>
      <c r="Y3324" t="s">
        <v>547</v>
      </c>
      <c r="Z3324">
        <v>3.05</v>
      </c>
      <c r="AA3324">
        <v>7.51</v>
      </c>
      <c r="AB3324">
        <v>17981</v>
      </c>
      <c r="AC3324">
        <v>14743</v>
      </c>
      <c r="AD3324">
        <v>1.22</v>
      </c>
      <c r="AE3324">
        <v>490</v>
      </c>
      <c r="AF3324">
        <v>3</v>
      </c>
      <c r="AG3324" t="s">
        <v>120</v>
      </c>
      <c r="AH3324">
        <v>0</v>
      </c>
      <c r="AI3324" t="s">
        <v>120</v>
      </c>
      <c r="AJ3324">
        <v>8.9600000000000009</v>
      </c>
      <c r="AK3324" t="s">
        <v>14258</v>
      </c>
      <c r="AL3324">
        <v>-0.91</v>
      </c>
      <c r="AM3324">
        <v>1179</v>
      </c>
      <c r="AN3324">
        <v>28</v>
      </c>
      <c r="AO3324">
        <v>2.9999999999999997E-4</v>
      </c>
      <c r="AP3324">
        <v>-3</v>
      </c>
      <c r="AQ3324">
        <v>-0.13</v>
      </c>
      <c r="AR3324">
        <v>-3.53</v>
      </c>
      <c r="AS3324">
        <v>5.43</v>
      </c>
      <c r="AT3324">
        <v>-1.6</v>
      </c>
      <c r="AU3324">
        <v>-7.4</v>
      </c>
      <c r="AV3324">
        <v>0</v>
      </c>
      <c r="AW3324">
        <v>1.23</v>
      </c>
      <c r="AX3324">
        <v>29.64</v>
      </c>
      <c r="AY3324">
        <v>8.07</v>
      </c>
      <c r="AZ3324">
        <v>8.89</v>
      </c>
      <c r="BA3324">
        <v>0.6</v>
      </c>
      <c r="BB3324" t="s">
        <v>143</v>
      </c>
      <c r="BF3324">
        <v>-0.57999999999999996</v>
      </c>
      <c r="BG3324">
        <v>-2.5099999999999998</v>
      </c>
      <c r="BH3324">
        <v>-3.02</v>
      </c>
      <c r="BI3324">
        <v>0</v>
      </c>
      <c r="BJ3324">
        <v>20210824</v>
      </c>
      <c r="BK3324">
        <v>20160215</v>
      </c>
      <c r="BL3324">
        <v>8.9600000000000009</v>
      </c>
      <c r="BM3324" t="s">
        <v>120</v>
      </c>
      <c r="BN3324" t="s">
        <v>120</v>
      </c>
      <c r="BO3324">
        <v>119.78</v>
      </c>
      <c r="BP3324">
        <v>7.38</v>
      </c>
      <c r="BQ3324">
        <v>65.760000000000005</v>
      </c>
      <c r="BR3324">
        <v>1.88</v>
      </c>
      <c r="BS3324">
        <v>43.53</v>
      </c>
      <c r="BT3324">
        <v>53.3</v>
      </c>
      <c r="BU3324">
        <v>9.25</v>
      </c>
      <c r="BV3324">
        <v>29.64</v>
      </c>
      <c r="BW3324">
        <v>42.65</v>
      </c>
      <c r="BX3324">
        <v>17.93</v>
      </c>
      <c r="BY3324">
        <v>11.86</v>
      </c>
      <c r="BZ3324">
        <v>13.96</v>
      </c>
      <c r="CA3324">
        <v>0.01</v>
      </c>
      <c r="CB3324">
        <v>18.170000000000002</v>
      </c>
      <c r="CC3324">
        <v>32.25</v>
      </c>
      <c r="CD3324">
        <v>22.43</v>
      </c>
      <c r="CE3324">
        <v>2.82</v>
      </c>
      <c r="CF3324">
        <v>0.18</v>
      </c>
      <c r="CG3324">
        <v>2.8</v>
      </c>
      <c r="CH3324">
        <v>2.78</v>
      </c>
      <c r="CI3324">
        <v>2.74</v>
      </c>
      <c r="CJ3324">
        <v>-0.17</v>
      </c>
      <c r="CK3324">
        <v>2.59</v>
      </c>
      <c r="CL3324">
        <v>36.14</v>
      </c>
      <c r="CM3324">
        <v>3.7</v>
      </c>
      <c r="CN3324">
        <v>-1.81</v>
      </c>
      <c r="CO3324">
        <v>27824</v>
      </c>
      <c r="CP3324">
        <v>9542</v>
      </c>
      <c r="CQ3324" t="s">
        <v>5540</v>
      </c>
      <c r="CR3324">
        <v>39.32</v>
      </c>
      <c r="CS3324">
        <v>27.95</v>
      </c>
      <c r="CT3324">
        <v>1.01</v>
      </c>
      <c r="CU3324">
        <v>17.850000000000001</v>
      </c>
      <c r="CV3324">
        <v>2.0499999999999998</v>
      </c>
      <c r="CW3324">
        <v>4.1100000000000003</v>
      </c>
      <c r="CX3324" t="s">
        <v>2752</v>
      </c>
      <c r="CY3324">
        <v>7.34</v>
      </c>
      <c r="CZ3324">
        <v>0</v>
      </c>
      <c r="DA3324">
        <v>2.0299999999999998</v>
      </c>
      <c r="DB3324">
        <v>4.03</v>
      </c>
      <c r="DC3324">
        <v>0.41</v>
      </c>
      <c r="DD3324">
        <v>54.9</v>
      </c>
      <c r="DE3324" t="s">
        <v>14259</v>
      </c>
      <c r="DF3324">
        <v>30.45</v>
      </c>
      <c r="DG3324">
        <v>8.76</v>
      </c>
      <c r="DH3324">
        <v>8.51</v>
      </c>
      <c r="DI3324">
        <v>0.02</v>
      </c>
      <c r="DJ3324">
        <v>5836</v>
      </c>
      <c r="DK3324">
        <v>601900</v>
      </c>
      <c r="DL3324" t="s">
        <v>120</v>
      </c>
      <c r="DM3324" t="s">
        <v>120</v>
      </c>
      <c r="DN3324" t="s">
        <v>120</v>
      </c>
    </row>
    <row r="3325" spans="1:118">
      <c r="A3325" t="str">
        <f>"601901"</f>
        <v>601901</v>
      </c>
      <c r="B3325" t="s">
        <v>14260</v>
      </c>
      <c r="C3325">
        <v>-1.18</v>
      </c>
      <c r="D3325">
        <v>0</v>
      </c>
      <c r="E3325">
        <v>-0.24</v>
      </c>
      <c r="F3325">
        <v>5078</v>
      </c>
      <c r="G3325" t="s">
        <v>14261</v>
      </c>
      <c r="H3325">
        <v>40649.620000000003</v>
      </c>
      <c r="I3325">
        <v>117.51</v>
      </c>
      <c r="J3325" t="s">
        <v>120</v>
      </c>
      <c r="K3325" t="s">
        <v>14262</v>
      </c>
      <c r="L3325">
        <v>0.57999999999999996</v>
      </c>
      <c r="M3325">
        <v>8.3800000000000008</v>
      </c>
      <c r="N3325">
        <v>0.56999999999999995</v>
      </c>
      <c r="O3325">
        <v>0.47</v>
      </c>
      <c r="P3325">
        <v>8.52</v>
      </c>
      <c r="Q3325">
        <v>-1.3</v>
      </c>
      <c r="R3325">
        <v>8.3699999999999992</v>
      </c>
      <c r="S3325">
        <v>8.4600000000000009</v>
      </c>
      <c r="T3325">
        <v>481576</v>
      </c>
      <c r="U3325">
        <v>8.3800000000000008</v>
      </c>
      <c r="V3325">
        <v>8.48</v>
      </c>
      <c r="W3325">
        <v>26.52</v>
      </c>
      <c r="X3325" t="s">
        <v>616</v>
      </c>
      <c r="Y3325" t="s">
        <v>594</v>
      </c>
      <c r="Z3325">
        <v>1.77</v>
      </c>
      <c r="AA3325">
        <v>8.44</v>
      </c>
      <c r="AB3325">
        <v>251855</v>
      </c>
      <c r="AC3325">
        <v>229721</v>
      </c>
      <c r="AD3325">
        <v>1.1000000000000001</v>
      </c>
      <c r="AE3325">
        <v>7092</v>
      </c>
      <c r="AF3325">
        <v>1180</v>
      </c>
      <c r="AG3325" t="s">
        <v>120</v>
      </c>
      <c r="AH3325">
        <v>0</v>
      </c>
      <c r="AI3325" t="s">
        <v>120</v>
      </c>
      <c r="AJ3325">
        <v>82.32</v>
      </c>
      <c r="AK3325" t="s">
        <v>14262</v>
      </c>
      <c r="AL3325">
        <v>0.16</v>
      </c>
      <c r="AM3325">
        <v>4162</v>
      </c>
      <c r="AN3325">
        <v>116</v>
      </c>
      <c r="AO3325">
        <v>1E-4</v>
      </c>
      <c r="AP3325">
        <v>-1</v>
      </c>
      <c r="AQ3325">
        <v>0.24</v>
      </c>
      <c r="AR3325">
        <v>-4.33</v>
      </c>
      <c r="AS3325">
        <v>-2.44</v>
      </c>
      <c r="AT3325">
        <v>-9.99</v>
      </c>
      <c r="AU3325">
        <v>-19.12</v>
      </c>
      <c r="AV3325">
        <v>3</v>
      </c>
      <c r="AW3325">
        <v>1.18</v>
      </c>
      <c r="AX3325">
        <v>49.43</v>
      </c>
      <c r="AY3325">
        <v>39.770000000000003</v>
      </c>
      <c r="AZ3325">
        <v>63.67</v>
      </c>
      <c r="BA3325">
        <v>0.77</v>
      </c>
      <c r="BB3325" t="s">
        <v>240</v>
      </c>
      <c r="BF3325">
        <v>-0.46</v>
      </c>
      <c r="BG3325">
        <v>-0.95</v>
      </c>
      <c r="BH3325">
        <v>-1.64</v>
      </c>
      <c r="BI3325">
        <v>0.12</v>
      </c>
      <c r="BJ3325">
        <v>20210831</v>
      </c>
      <c r="BK3325">
        <v>20110810</v>
      </c>
      <c r="BL3325">
        <v>82.32</v>
      </c>
      <c r="BM3325" t="s">
        <v>120</v>
      </c>
      <c r="BN3325" t="s">
        <v>120</v>
      </c>
      <c r="BO3325">
        <v>1430.49</v>
      </c>
      <c r="BP3325">
        <v>8.3699999999999992</v>
      </c>
      <c r="BQ3325">
        <v>407.08</v>
      </c>
      <c r="BR3325">
        <v>7.82</v>
      </c>
      <c r="BS3325">
        <v>71</v>
      </c>
      <c r="BT3325">
        <v>0</v>
      </c>
      <c r="BU3325">
        <v>4.8899999999999997</v>
      </c>
      <c r="BV3325">
        <v>2.68</v>
      </c>
      <c r="BW3325">
        <v>0</v>
      </c>
      <c r="BX3325">
        <v>402.82</v>
      </c>
      <c r="BY3325">
        <v>0</v>
      </c>
      <c r="BZ3325">
        <v>0</v>
      </c>
      <c r="CA3325" t="s">
        <v>120</v>
      </c>
      <c r="CB3325">
        <v>163.97</v>
      </c>
      <c r="CC3325">
        <v>40.799999999999997</v>
      </c>
      <c r="CD3325">
        <v>0</v>
      </c>
      <c r="CE3325">
        <v>16.98</v>
      </c>
      <c r="CF3325">
        <v>6.99</v>
      </c>
      <c r="CG3325">
        <v>16.82</v>
      </c>
      <c r="CH3325">
        <v>13.4</v>
      </c>
      <c r="CI3325">
        <v>13.01</v>
      </c>
      <c r="CJ3325">
        <v>-0.1</v>
      </c>
      <c r="CK3325">
        <v>13.05</v>
      </c>
      <c r="CL3325">
        <v>106.02</v>
      </c>
      <c r="CM3325">
        <v>54.86</v>
      </c>
      <c r="CN3325">
        <v>44.08</v>
      </c>
      <c r="CO3325">
        <v>205725</v>
      </c>
      <c r="CP3325">
        <v>19780</v>
      </c>
      <c r="CQ3325" t="s">
        <v>14263</v>
      </c>
      <c r="CR3325">
        <v>102.7</v>
      </c>
      <c r="CS3325">
        <v>20.25</v>
      </c>
      <c r="CT3325">
        <v>1.69</v>
      </c>
      <c r="CU3325">
        <v>12.58</v>
      </c>
      <c r="CV3325">
        <v>16.91</v>
      </c>
      <c r="CW3325">
        <v>0.12</v>
      </c>
      <c r="CX3325" t="s">
        <v>1091</v>
      </c>
      <c r="CY3325">
        <v>4.95</v>
      </c>
      <c r="CZ3325">
        <v>4.95</v>
      </c>
      <c r="DA3325">
        <v>1.99</v>
      </c>
      <c r="DB3325">
        <v>1.29</v>
      </c>
      <c r="DC3325">
        <v>0.67</v>
      </c>
      <c r="DD3325">
        <v>28.46</v>
      </c>
      <c r="DE3325" t="s">
        <v>1369</v>
      </c>
      <c r="DF3325" t="s">
        <v>120</v>
      </c>
      <c r="DG3325">
        <v>41.63</v>
      </c>
      <c r="DH3325">
        <v>31.88</v>
      </c>
      <c r="DI3325" t="s">
        <v>120</v>
      </c>
      <c r="DJ3325">
        <v>6912</v>
      </c>
      <c r="DK3325">
        <v>601901</v>
      </c>
      <c r="DL3325" t="s">
        <v>120</v>
      </c>
      <c r="DM3325" t="s">
        <v>120</v>
      </c>
      <c r="DN3325" t="s">
        <v>120</v>
      </c>
    </row>
    <row r="3326" spans="1:118">
      <c r="A3326" t="str">
        <f>"601908"</f>
        <v>601908</v>
      </c>
      <c r="B3326" t="s">
        <v>14264</v>
      </c>
      <c r="C3326">
        <v>-7.37</v>
      </c>
      <c r="D3326">
        <v>-0.16</v>
      </c>
      <c r="E3326">
        <v>-1.18</v>
      </c>
      <c r="F3326">
        <v>18780</v>
      </c>
      <c r="G3326" t="s">
        <v>5673</v>
      </c>
      <c r="H3326">
        <v>158464.57</v>
      </c>
      <c r="I3326">
        <v>1084.08</v>
      </c>
      <c r="J3326" t="s">
        <v>120</v>
      </c>
      <c r="K3326" t="s">
        <v>14265</v>
      </c>
      <c r="L3326">
        <v>5.39</v>
      </c>
      <c r="M3326">
        <v>11.82</v>
      </c>
      <c r="N3326">
        <v>1.41</v>
      </c>
      <c r="O3326">
        <v>-0.86</v>
      </c>
      <c r="P3326">
        <v>12.65</v>
      </c>
      <c r="Q3326">
        <v>-7.99</v>
      </c>
      <c r="R3326">
        <v>11.74</v>
      </c>
      <c r="S3326">
        <v>12.61</v>
      </c>
      <c r="T3326">
        <v>1301081</v>
      </c>
      <c r="U3326">
        <v>11.83</v>
      </c>
      <c r="V3326">
        <v>12.76</v>
      </c>
      <c r="W3326">
        <v>31.37</v>
      </c>
      <c r="X3326" t="s">
        <v>356</v>
      </c>
      <c r="Y3326" t="s">
        <v>158</v>
      </c>
      <c r="Z3326">
        <v>7.13</v>
      </c>
      <c r="AA3326">
        <v>12.18</v>
      </c>
      <c r="AB3326">
        <v>764154</v>
      </c>
      <c r="AC3326">
        <v>536927</v>
      </c>
      <c r="AD3326">
        <v>1.42</v>
      </c>
      <c r="AE3326">
        <v>856</v>
      </c>
      <c r="AF3326">
        <v>303</v>
      </c>
      <c r="AG3326" t="s">
        <v>120</v>
      </c>
      <c r="AH3326">
        <v>0.06</v>
      </c>
      <c r="AI3326" t="s">
        <v>120</v>
      </c>
      <c r="AJ3326">
        <v>24.15</v>
      </c>
      <c r="AK3326" t="s">
        <v>14265</v>
      </c>
      <c r="AL3326">
        <v>-6.02</v>
      </c>
      <c r="AM3326">
        <v>4715</v>
      </c>
      <c r="AN3326">
        <v>276</v>
      </c>
      <c r="AO3326">
        <v>1.1000000000000001E-3</v>
      </c>
      <c r="AP3326">
        <v>-1</v>
      </c>
      <c r="AQ3326">
        <v>5.8</v>
      </c>
      <c r="AR3326">
        <v>-1.83</v>
      </c>
      <c r="AS3326">
        <v>19.39</v>
      </c>
      <c r="AT3326">
        <v>23</v>
      </c>
      <c r="AU3326">
        <v>14.87</v>
      </c>
      <c r="AV3326">
        <v>10</v>
      </c>
      <c r="AW3326">
        <v>9.8000000000000007</v>
      </c>
      <c r="AX3326">
        <v>55</v>
      </c>
      <c r="AY3326">
        <v>46.26</v>
      </c>
      <c r="AZ3326">
        <v>70</v>
      </c>
      <c r="BA3326">
        <v>1.7</v>
      </c>
      <c r="BB3326" t="s">
        <v>143</v>
      </c>
      <c r="BF3326">
        <v>-4.55</v>
      </c>
      <c r="BG3326">
        <v>-6.26</v>
      </c>
      <c r="BH3326">
        <v>-6.56</v>
      </c>
      <c r="BI3326">
        <v>0.68</v>
      </c>
      <c r="BJ3326">
        <v>20210826</v>
      </c>
      <c r="BK3326">
        <v>20110908</v>
      </c>
      <c r="BL3326">
        <v>24.15</v>
      </c>
      <c r="BM3326" t="s">
        <v>120</v>
      </c>
      <c r="BN3326" t="s">
        <v>120</v>
      </c>
      <c r="BO3326">
        <v>217.11</v>
      </c>
      <c r="BP3326">
        <v>11.82</v>
      </c>
      <c r="BQ3326">
        <v>105.25</v>
      </c>
      <c r="BR3326">
        <v>1.44</v>
      </c>
      <c r="BS3326">
        <v>50.86</v>
      </c>
      <c r="BT3326">
        <v>109.29</v>
      </c>
      <c r="BU3326">
        <v>88.72</v>
      </c>
      <c r="BV3326">
        <v>2.29</v>
      </c>
      <c r="BW3326">
        <v>57.84</v>
      </c>
      <c r="BX3326">
        <v>30.85</v>
      </c>
      <c r="BY3326">
        <v>12.54</v>
      </c>
      <c r="BZ3326">
        <v>25.56</v>
      </c>
      <c r="CA3326" t="s">
        <v>120</v>
      </c>
      <c r="CB3326">
        <v>49.61</v>
      </c>
      <c r="CC3326">
        <v>23.51</v>
      </c>
      <c r="CD3326">
        <v>13.3</v>
      </c>
      <c r="CE3326">
        <v>5.76</v>
      </c>
      <c r="CF3326">
        <v>0.13</v>
      </c>
      <c r="CG3326">
        <v>5.75</v>
      </c>
      <c r="CH3326">
        <v>4.83</v>
      </c>
      <c r="CI3326">
        <v>4.55</v>
      </c>
      <c r="CJ3326">
        <v>-0.94</v>
      </c>
      <c r="CK3326">
        <v>4.29</v>
      </c>
      <c r="CL3326">
        <v>29.99</v>
      </c>
      <c r="CM3326">
        <v>2.04</v>
      </c>
      <c r="CN3326">
        <v>24.14</v>
      </c>
      <c r="CO3326">
        <v>107139</v>
      </c>
      <c r="CP3326">
        <v>12396</v>
      </c>
      <c r="CQ3326" t="s">
        <v>14266</v>
      </c>
      <c r="CR3326">
        <v>98.69</v>
      </c>
      <c r="CS3326">
        <v>36.659999999999997</v>
      </c>
      <c r="CT3326">
        <v>2.71</v>
      </c>
      <c r="CU3326">
        <v>139.80000000000001</v>
      </c>
      <c r="CV3326">
        <v>12.14</v>
      </c>
      <c r="CW3326">
        <v>0</v>
      </c>
      <c r="CX3326" t="s">
        <v>442</v>
      </c>
      <c r="CY3326">
        <v>4.3600000000000003</v>
      </c>
      <c r="CZ3326">
        <v>0</v>
      </c>
      <c r="DA3326">
        <v>2.0499999999999998</v>
      </c>
      <c r="DB3326">
        <v>1.24</v>
      </c>
      <c r="DC3326">
        <v>0.08</v>
      </c>
      <c r="DD3326">
        <v>48.48</v>
      </c>
      <c r="DE3326" t="s">
        <v>2237</v>
      </c>
      <c r="DF3326">
        <v>43.41</v>
      </c>
      <c r="DG3326">
        <v>24.52</v>
      </c>
      <c r="DH3326">
        <v>19.350000000000001</v>
      </c>
      <c r="DI3326">
        <v>1.19</v>
      </c>
      <c r="DJ3326">
        <v>2944</v>
      </c>
      <c r="DK3326">
        <v>601908</v>
      </c>
      <c r="DL3326" t="s">
        <v>120</v>
      </c>
      <c r="DM3326" t="s">
        <v>120</v>
      </c>
      <c r="DN3326" t="s">
        <v>120</v>
      </c>
    </row>
    <row r="3327" spans="1:118">
      <c r="A3327" t="str">
        <f>"601916"</f>
        <v>601916</v>
      </c>
      <c r="B3327" t="s">
        <v>14267</v>
      </c>
      <c r="C3327">
        <v>-0.28000000000000003</v>
      </c>
      <c r="D3327">
        <v>0</v>
      </c>
      <c r="E3327">
        <v>0</v>
      </c>
      <c r="F3327">
        <v>12463</v>
      </c>
      <c r="G3327" t="s">
        <v>14268</v>
      </c>
      <c r="H3327">
        <v>8467.36</v>
      </c>
      <c r="I3327">
        <v>98.18</v>
      </c>
      <c r="J3327" t="s">
        <v>120</v>
      </c>
      <c r="K3327" t="s">
        <v>14268</v>
      </c>
      <c r="L3327">
        <v>0.34</v>
      </c>
      <c r="M3327">
        <v>3.55</v>
      </c>
      <c r="N3327">
        <v>0.56000000000000005</v>
      </c>
      <c r="O3327">
        <v>0.56000000000000005</v>
      </c>
      <c r="P3327">
        <v>3.58</v>
      </c>
      <c r="Q3327">
        <v>-0.28000000000000003</v>
      </c>
      <c r="R3327">
        <v>3.55</v>
      </c>
      <c r="S3327">
        <v>3.56</v>
      </c>
      <c r="T3327">
        <v>237752</v>
      </c>
      <c r="U3327">
        <v>3.56</v>
      </c>
      <c r="V3327">
        <v>3.56</v>
      </c>
      <c r="W3327">
        <v>5.51</v>
      </c>
      <c r="X3327" t="s">
        <v>122</v>
      </c>
      <c r="Y3327" t="s">
        <v>585</v>
      </c>
      <c r="Z3327">
        <v>0.84</v>
      </c>
      <c r="AA3327">
        <v>3.56</v>
      </c>
      <c r="AB3327">
        <v>126069</v>
      </c>
      <c r="AC3327">
        <v>111683</v>
      </c>
      <c r="AD3327">
        <v>1.1299999999999999</v>
      </c>
      <c r="AE3327">
        <v>10328</v>
      </c>
      <c r="AF3327">
        <v>9667</v>
      </c>
      <c r="AG3327" t="s">
        <v>120</v>
      </c>
      <c r="AH3327">
        <v>0</v>
      </c>
      <c r="AI3327" t="s">
        <v>120</v>
      </c>
      <c r="AJ3327">
        <v>70.11</v>
      </c>
      <c r="AK3327" t="s">
        <v>14269</v>
      </c>
      <c r="AL3327">
        <v>1.06</v>
      </c>
      <c r="AM3327">
        <v>2321</v>
      </c>
      <c r="AN3327">
        <v>102</v>
      </c>
      <c r="AO3327">
        <v>1E-4</v>
      </c>
      <c r="AP3327">
        <v>-4</v>
      </c>
      <c r="AQ3327">
        <v>-0.28000000000000003</v>
      </c>
      <c r="AR3327">
        <v>-1.66</v>
      </c>
      <c r="AS3327">
        <v>-1.67</v>
      </c>
      <c r="AT3327">
        <v>-7.29</v>
      </c>
      <c r="AU3327">
        <v>-9.42</v>
      </c>
      <c r="AV3327">
        <v>0</v>
      </c>
      <c r="AW3327">
        <v>0.34</v>
      </c>
      <c r="AX3327">
        <v>41.94</v>
      </c>
      <c r="AY3327">
        <v>6.11</v>
      </c>
      <c r="AZ3327">
        <v>6.15</v>
      </c>
      <c r="BA3327">
        <v>0.23</v>
      </c>
      <c r="BB3327" t="s">
        <v>143</v>
      </c>
      <c r="BF3327">
        <v>0.04</v>
      </c>
      <c r="BG3327">
        <v>-0.28000000000000003</v>
      </c>
      <c r="BH3327">
        <v>-0.84</v>
      </c>
      <c r="BI3327">
        <v>0</v>
      </c>
      <c r="BJ3327">
        <v>20210831</v>
      </c>
      <c r="BK3327">
        <v>20191126</v>
      </c>
      <c r="BL3327">
        <v>212.69</v>
      </c>
      <c r="BM3327" t="s">
        <v>120</v>
      </c>
      <c r="BN3327">
        <v>45.54</v>
      </c>
      <c r="BO3327">
        <v>21543.97</v>
      </c>
      <c r="BP3327">
        <v>3.55</v>
      </c>
      <c r="BQ3327">
        <v>1330.24</v>
      </c>
      <c r="BR3327" t="s">
        <v>120</v>
      </c>
      <c r="BS3327">
        <v>93.83</v>
      </c>
      <c r="BT3327">
        <v>0</v>
      </c>
      <c r="BU3327">
        <v>133.21</v>
      </c>
      <c r="BV3327">
        <v>20.399999999999999</v>
      </c>
      <c r="BW3327">
        <v>0</v>
      </c>
      <c r="BX3327">
        <v>1692.71</v>
      </c>
      <c r="BY3327">
        <v>0</v>
      </c>
      <c r="BZ3327">
        <v>0</v>
      </c>
      <c r="CA3327" t="s">
        <v>120</v>
      </c>
      <c r="CB3327">
        <v>320.18</v>
      </c>
      <c r="CC3327">
        <v>259.02999999999997</v>
      </c>
      <c r="CD3327">
        <v>0</v>
      </c>
      <c r="CE3327">
        <v>81.16</v>
      </c>
      <c r="CF3327">
        <v>20.190000000000001</v>
      </c>
      <c r="CG3327">
        <v>81.510000000000005</v>
      </c>
      <c r="CH3327">
        <v>69.88</v>
      </c>
      <c r="CI3327">
        <v>68.510000000000005</v>
      </c>
      <c r="CJ3327">
        <v>-0.01</v>
      </c>
      <c r="CK3327">
        <v>68.05</v>
      </c>
      <c r="CL3327">
        <v>323.95999999999998</v>
      </c>
      <c r="CM3327">
        <v>-255</v>
      </c>
      <c r="CN3327">
        <v>90.31</v>
      </c>
      <c r="CO3327">
        <v>285005</v>
      </c>
      <c r="CP3327">
        <v>24598</v>
      </c>
      <c r="CQ3327" t="s">
        <v>10024</v>
      </c>
      <c r="CR3327">
        <v>1.1200000000000001</v>
      </c>
      <c r="CS3327">
        <v>3.02</v>
      </c>
      <c r="CT3327">
        <v>0.64</v>
      </c>
      <c r="CU3327">
        <v>-2.96</v>
      </c>
      <c r="CV3327">
        <v>2.91</v>
      </c>
      <c r="CW3327">
        <v>4.5199999999999996</v>
      </c>
      <c r="CX3327" t="s">
        <v>1054</v>
      </c>
      <c r="CY3327">
        <v>5.55</v>
      </c>
      <c r="CZ3327">
        <v>5.55</v>
      </c>
      <c r="DA3327">
        <v>1.51</v>
      </c>
      <c r="DB3327">
        <v>1.52</v>
      </c>
      <c r="DC3327">
        <v>-1.2</v>
      </c>
      <c r="DD3327">
        <v>6.17</v>
      </c>
      <c r="DE3327" t="s">
        <v>9427</v>
      </c>
      <c r="DF3327" t="s">
        <v>120</v>
      </c>
      <c r="DG3327">
        <v>31.33</v>
      </c>
      <c r="DH3327">
        <v>26.45</v>
      </c>
      <c r="DI3327" t="s">
        <v>120</v>
      </c>
      <c r="DJ3327">
        <v>16272</v>
      </c>
      <c r="DK3327">
        <v>601916</v>
      </c>
      <c r="DL3327" t="s">
        <v>120</v>
      </c>
      <c r="DM3327" t="s">
        <v>120</v>
      </c>
      <c r="DN3327" t="s">
        <v>120</v>
      </c>
    </row>
    <row r="3328" spans="1:118">
      <c r="A3328" t="str">
        <f>"601918"</f>
        <v>601918</v>
      </c>
      <c r="B3328" t="s">
        <v>14270</v>
      </c>
      <c r="C3328">
        <v>-1.1599999999999999</v>
      </c>
      <c r="D3328">
        <v>-0.14000000000000001</v>
      </c>
      <c r="E3328">
        <v>3.33</v>
      </c>
      <c r="F3328">
        <v>9811</v>
      </c>
      <c r="G3328" t="s">
        <v>14271</v>
      </c>
      <c r="H3328">
        <v>118219.88</v>
      </c>
      <c r="I3328">
        <v>1181.78</v>
      </c>
      <c r="J3328" t="s">
        <v>120</v>
      </c>
      <c r="K3328" t="s">
        <v>14272</v>
      </c>
      <c r="L3328">
        <v>6.47</v>
      </c>
      <c r="M3328">
        <v>6.83</v>
      </c>
      <c r="N3328">
        <v>0.89</v>
      </c>
      <c r="O3328">
        <v>5.07</v>
      </c>
      <c r="P3328">
        <v>7.26</v>
      </c>
      <c r="Q3328">
        <v>-1.45</v>
      </c>
      <c r="R3328">
        <v>6.81</v>
      </c>
      <c r="S3328">
        <v>7.14</v>
      </c>
      <c r="T3328">
        <v>1675911</v>
      </c>
      <c r="U3328">
        <v>6.84</v>
      </c>
      <c r="V3328">
        <v>6.91</v>
      </c>
      <c r="W3328">
        <v>7.66</v>
      </c>
      <c r="X3328" t="s">
        <v>1081</v>
      </c>
      <c r="Y3328" t="s">
        <v>570</v>
      </c>
      <c r="Z3328">
        <v>6.51</v>
      </c>
      <c r="AA3328">
        <v>7.05</v>
      </c>
      <c r="AB3328">
        <v>870372</v>
      </c>
      <c r="AC3328">
        <v>805539</v>
      </c>
      <c r="AD3328">
        <v>1.08</v>
      </c>
      <c r="AE3328">
        <v>924</v>
      </c>
      <c r="AF3328">
        <v>6610</v>
      </c>
      <c r="AG3328" t="s">
        <v>120</v>
      </c>
      <c r="AH3328">
        <v>0.12</v>
      </c>
      <c r="AI3328" t="s">
        <v>120</v>
      </c>
      <c r="AJ3328">
        <v>25.91</v>
      </c>
      <c r="AK3328" t="s">
        <v>14272</v>
      </c>
      <c r="AL3328">
        <v>0.19</v>
      </c>
      <c r="AM3328">
        <v>4676</v>
      </c>
      <c r="AN3328">
        <v>358</v>
      </c>
      <c r="AO3328">
        <v>1.4E-3</v>
      </c>
      <c r="AP3328">
        <v>-1</v>
      </c>
      <c r="AQ3328">
        <v>1.92</v>
      </c>
      <c r="AR3328">
        <v>1.33</v>
      </c>
      <c r="AS3328">
        <v>41.4</v>
      </c>
      <c r="AT3328">
        <v>37.56</v>
      </c>
      <c r="AU3328">
        <v>120.68</v>
      </c>
      <c r="AV3328">
        <v>4</v>
      </c>
      <c r="AW3328">
        <v>11.78</v>
      </c>
      <c r="AX3328">
        <v>54.92</v>
      </c>
      <c r="AY3328">
        <v>9.39</v>
      </c>
      <c r="AZ3328">
        <v>21.13</v>
      </c>
      <c r="BA3328">
        <v>1.32</v>
      </c>
      <c r="BB3328" t="s">
        <v>184</v>
      </c>
      <c r="BF3328">
        <v>2.08</v>
      </c>
      <c r="BG3328">
        <v>-4.34</v>
      </c>
      <c r="BH3328">
        <v>-5.92</v>
      </c>
      <c r="BI3328">
        <v>0.28999999999999998</v>
      </c>
      <c r="BJ3328">
        <v>20210830</v>
      </c>
      <c r="BK3328">
        <v>20071219</v>
      </c>
      <c r="BL3328">
        <v>25.91</v>
      </c>
      <c r="BM3328" t="s">
        <v>120</v>
      </c>
      <c r="BN3328" t="s">
        <v>120</v>
      </c>
      <c r="BO3328">
        <v>303.32</v>
      </c>
      <c r="BP3328">
        <v>6.83</v>
      </c>
      <c r="BQ3328">
        <v>81.239999999999995</v>
      </c>
      <c r="BR3328">
        <v>8.15</v>
      </c>
      <c r="BS3328">
        <v>70.53</v>
      </c>
      <c r="BT3328">
        <v>19.760000000000002</v>
      </c>
      <c r="BU3328">
        <v>167.51</v>
      </c>
      <c r="BV3328">
        <v>15.68</v>
      </c>
      <c r="BW3328">
        <v>99.79</v>
      </c>
      <c r="BX3328">
        <v>9.91</v>
      </c>
      <c r="BY3328">
        <v>1.88</v>
      </c>
      <c r="BZ3328">
        <v>4.67</v>
      </c>
      <c r="CA3328">
        <v>0</v>
      </c>
      <c r="CB3328">
        <v>21.49</v>
      </c>
      <c r="CC3328">
        <v>52.13</v>
      </c>
      <c r="CD3328">
        <v>27.82</v>
      </c>
      <c r="CE3328">
        <v>15.22</v>
      </c>
      <c r="CF3328">
        <v>0.03</v>
      </c>
      <c r="CG3328">
        <v>15.27</v>
      </c>
      <c r="CH3328">
        <v>12.16</v>
      </c>
      <c r="CI3328">
        <v>11.55</v>
      </c>
      <c r="CJ3328">
        <v>-0.08</v>
      </c>
      <c r="CK3328">
        <v>11.69</v>
      </c>
      <c r="CL3328">
        <v>17.87</v>
      </c>
      <c r="CM3328">
        <v>18.96</v>
      </c>
      <c r="CN3328">
        <v>5.22</v>
      </c>
      <c r="CO3328">
        <v>129305</v>
      </c>
      <c r="CP3328">
        <v>11002</v>
      </c>
      <c r="CQ3328" t="s">
        <v>2073</v>
      </c>
      <c r="CR3328">
        <v>1123.46</v>
      </c>
      <c r="CS3328">
        <v>42.44</v>
      </c>
      <c r="CT3328">
        <v>2.1800000000000002</v>
      </c>
      <c r="CU3328">
        <v>9.33</v>
      </c>
      <c r="CV3328">
        <v>3.39</v>
      </c>
      <c r="CW3328">
        <v>0.51</v>
      </c>
      <c r="CX3328" t="s">
        <v>1520</v>
      </c>
      <c r="CY3328">
        <v>3.14</v>
      </c>
      <c r="CZ3328">
        <v>0</v>
      </c>
      <c r="DA3328">
        <v>0.83</v>
      </c>
      <c r="DB3328">
        <v>0.69</v>
      </c>
      <c r="DC3328">
        <v>0.73</v>
      </c>
      <c r="DD3328">
        <v>26.78</v>
      </c>
      <c r="DE3328" t="s">
        <v>14273</v>
      </c>
      <c r="DF3328">
        <v>46.62</v>
      </c>
      <c r="DG3328">
        <v>29.2</v>
      </c>
      <c r="DH3328">
        <v>22.15</v>
      </c>
      <c r="DI3328" t="s">
        <v>120</v>
      </c>
      <c r="DJ3328">
        <v>15666</v>
      </c>
      <c r="DK3328">
        <v>601918</v>
      </c>
      <c r="DL3328" t="s">
        <v>120</v>
      </c>
      <c r="DM3328" t="s">
        <v>120</v>
      </c>
      <c r="DN3328" t="s">
        <v>120</v>
      </c>
    </row>
    <row r="3329" spans="1:118">
      <c r="A3329" t="str">
        <f>"601919"</f>
        <v>601919</v>
      </c>
      <c r="B3329" t="s">
        <v>14274</v>
      </c>
      <c r="C3329">
        <v>-5.54</v>
      </c>
      <c r="D3329">
        <v>-0.14000000000000001</v>
      </c>
      <c r="E3329">
        <v>0.88</v>
      </c>
      <c r="F3329">
        <v>188359</v>
      </c>
      <c r="G3329" t="s">
        <v>14275</v>
      </c>
      <c r="H3329">
        <v>726259.69</v>
      </c>
      <c r="I3329">
        <v>4258.1499999999996</v>
      </c>
      <c r="J3329" t="s">
        <v>120</v>
      </c>
      <c r="K3329" t="s">
        <v>14276</v>
      </c>
      <c r="L3329">
        <v>3.04</v>
      </c>
      <c r="M3329">
        <v>20.45</v>
      </c>
      <c r="N3329">
        <v>0.91</v>
      </c>
      <c r="O3329">
        <v>1.99</v>
      </c>
      <c r="P3329">
        <v>22.08</v>
      </c>
      <c r="Q3329">
        <v>-5.77</v>
      </c>
      <c r="R3329">
        <v>20.399999999999999</v>
      </c>
      <c r="S3329">
        <v>21.84</v>
      </c>
      <c r="T3329">
        <v>3440904</v>
      </c>
      <c r="U3329">
        <v>20.46</v>
      </c>
      <c r="V3329">
        <v>21.65</v>
      </c>
      <c r="W3329">
        <v>4.41</v>
      </c>
      <c r="X3329" t="s">
        <v>917</v>
      </c>
      <c r="Y3329" t="s">
        <v>997</v>
      </c>
      <c r="Z3329">
        <v>7.76</v>
      </c>
      <c r="AA3329">
        <v>21.11</v>
      </c>
      <c r="AB3329">
        <v>1906358</v>
      </c>
      <c r="AC3329">
        <v>1534546</v>
      </c>
      <c r="AD3329">
        <v>1.24</v>
      </c>
      <c r="AE3329">
        <v>2635</v>
      </c>
      <c r="AF3329">
        <v>824</v>
      </c>
      <c r="AG3329" t="s">
        <v>120</v>
      </c>
      <c r="AH3329">
        <v>0.04</v>
      </c>
      <c r="AI3329" t="s">
        <v>120</v>
      </c>
      <c r="AJ3329">
        <v>113.3</v>
      </c>
      <c r="AK3329" t="s">
        <v>14277</v>
      </c>
      <c r="AL3329">
        <v>-4.2</v>
      </c>
      <c r="AM3329">
        <v>4746</v>
      </c>
      <c r="AN3329">
        <v>725</v>
      </c>
      <c r="AO3329">
        <v>5.9999999999999995E-4</v>
      </c>
      <c r="AP3329">
        <v>-3</v>
      </c>
      <c r="AQ3329">
        <v>-1.9</v>
      </c>
      <c r="AR3329">
        <v>-11.43</v>
      </c>
      <c r="AS3329">
        <v>-1.63</v>
      </c>
      <c r="AT3329">
        <v>-0.39</v>
      </c>
      <c r="AU3329">
        <v>117.73</v>
      </c>
      <c r="AV3329">
        <v>12</v>
      </c>
      <c r="AW3329">
        <v>6.37</v>
      </c>
      <c r="AX3329">
        <v>42.7</v>
      </c>
      <c r="AY3329">
        <v>7.56</v>
      </c>
      <c r="AZ3329">
        <v>34.92</v>
      </c>
      <c r="BA3329">
        <v>1.62</v>
      </c>
      <c r="BB3329" t="s">
        <v>143</v>
      </c>
      <c r="BF3329">
        <v>-2.5099999999999998</v>
      </c>
      <c r="BG3329">
        <v>-6.36</v>
      </c>
      <c r="BH3329">
        <v>-7.38</v>
      </c>
      <c r="BI3329">
        <v>0.25</v>
      </c>
      <c r="BJ3329">
        <v>20210913</v>
      </c>
      <c r="BK3329">
        <v>20070626</v>
      </c>
      <c r="BL3329">
        <v>160.13</v>
      </c>
      <c r="BM3329" t="s">
        <v>120</v>
      </c>
      <c r="BN3329">
        <v>33.549999999999997</v>
      </c>
      <c r="BO3329">
        <v>3239.53</v>
      </c>
      <c r="BP3329">
        <v>20.45</v>
      </c>
      <c r="BQ3329">
        <v>807.11</v>
      </c>
      <c r="BR3329">
        <v>391.51</v>
      </c>
      <c r="BS3329">
        <v>63</v>
      </c>
      <c r="BT3329">
        <v>1250.93</v>
      </c>
      <c r="BU3329">
        <v>969.59</v>
      </c>
      <c r="BV3329">
        <v>67.599999999999994</v>
      </c>
      <c r="BW3329">
        <v>848.56</v>
      </c>
      <c r="BX3329">
        <v>1021.42</v>
      </c>
      <c r="BY3329">
        <v>43.45</v>
      </c>
      <c r="BZ3329">
        <v>111.4</v>
      </c>
      <c r="CA3329">
        <v>1.04</v>
      </c>
      <c r="CB3329">
        <v>347.26</v>
      </c>
      <c r="CC3329">
        <v>1392.64</v>
      </c>
      <c r="CD3329">
        <v>860.1</v>
      </c>
      <c r="CE3329">
        <v>478</v>
      </c>
      <c r="CF3329">
        <v>13.7</v>
      </c>
      <c r="CG3329">
        <v>477.68</v>
      </c>
      <c r="CH3329">
        <v>428.7</v>
      </c>
      <c r="CI3329">
        <v>370.98</v>
      </c>
      <c r="CJ3329">
        <v>-1.2</v>
      </c>
      <c r="CK3329">
        <v>370.2</v>
      </c>
      <c r="CL3329">
        <v>362.1</v>
      </c>
      <c r="CM3329">
        <v>638.88</v>
      </c>
      <c r="CN3329">
        <v>498</v>
      </c>
      <c r="CO3329">
        <v>452180</v>
      </c>
      <c r="CP3329">
        <v>11954</v>
      </c>
      <c r="CQ3329" t="s">
        <v>14278</v>
      </c>
      <c r="CR3329">
        <v>3162.31</v>
      </c>
      <c r="CS3329">
        <v>88.06</v>
      </c>
      <c r="CT3329">
        <v>4.0599999999999996</v>
      </c>
      <c r="CU3329">
        <v>5.13</v>
      </c>
      <c r="CV3329">
        <v>2.35</v>
      </c>
      <c r="CW3329">
        <v>0</v>
      </c>
      <c r="CX3329" t="s">
        <v>14279</v>
      </c>
      <c r="CY3329">
        <v>5.04</v>
      </c>
      <c r="CZ3329">
        <v>5.04</v>
      </c>
      <c r="DA3329">
        <v>2.17</v>
      </c>
      <c r="DB3329">
        <v>2.2599999999999998</v>
      </c>
      <c r="DC3329">
        <v>3.99</v>
      </c>
      <c r="DD3329">
        <v>24.91</v>
      </c>
      <c r="DE3329" t="s">
        <v>14280</v>
      </c>
      <c r="DF3329">
        <v>38.24</v>
      </c>
      <c r="DG3329">
        <v>34.32</v>
      </c>
      <c r="DH3329">
        <v>26.64</v>
      </c>
      <c r="DI3329">
        <v>4.2</v>
      </c>
      <c r="DJ3329">
        <v>29379</v>
      </c>
      <c r="DK3329">
        <v>601919</v>
      </c>
      <c r="DL3329">
        <v>20210722</v>
      </c>
      <c r="DM3329">
        <v>21.42</v>
      </c>
      <c r="DN3329">
        <v>-4.53</v>
      </c>
    </row>
    <row r="3330" spans="1:118">
      <c r="A3330" t="str">
        <f>"601921"</f>
        <v>601921</v>
      </c>
      <c r="B3330" t="s">
        <v>14281</v>
      </c>
      <c r="C3330">
        <v>-2.41</v>
      </c>
      <c r="D3330">
        <v>0</v>
      </c>
      <c r="E3330">
        <v>-0.5</v>
      </c>
      <c r="F3330">
        <v>1372</v>
      </c>
      <c r="G3330" t="s">
        <v>7666</v>
      </c>
      <c r="H3330">
        <v>7619.56</v>
      </c>
      <c r="I3330">
        <v>41.86</v>
      </c>
      <c r="J3330" t="s">
        <v>120</v>
      </c>
      <c r="K3330" t="s">
        <v>7666</v>
      </c>
      <c r="L3330">
        <v>3.48</v>
      </c>
      <c r="M3330">
        <v>9.73</v>
      </c>
      <c r="N3330">
        <v>1.0900000000000001</v>
      </c>
      <c r="O3330">
        <v>0.1</v>
      </c>
      <c r="P3330">
        <v>9.98</v>
      </c>
      <c r="Q3330">
        <v>-2.5099999999999998</v>
      </c>
      <c r="R3330">
        <v>9.7200000000000006</v>
      </c>
      <c r="S3330">
        <v>9.92</v>
      </c>
      <c r="T3330">
        <v>77393</v>
      </c>
      <c r="U3330">
        <v>9.73</v>
      </c>
      <c r="V3330">
        <v>9.9700000000000006</v>
      </c>
      <c r="W3330">
        <v>18.489999999999998</v>
      </c>
      <c r="X3330" t="s">
        <v>1730</v>
      </c>
      <c r="Y3330" t="s">
        <v>585</v>
      </c>
      <c r="Z3330">
        <v>2.61</v>
      </c>
      <c r="AA3330">
        <v>9.85</v>
      </c>
      <c r="AB3330">
        <v>56689</v>
      </c>
      <c r="AC3330">
        <v>20704</v>
      </c>
      <c r="AD3330">
        <v>2.74</v>
      </c>
      <c r="AE3330">
        <v>1122</v>
      </c>
      <c r="AF3330">
        <v>58</v>
      </c>
      <c r="AG3330" t="s">
        <v>120</v>
      </c>
      <c r="AH3330">
        <v>0.02</v>
      </c>
      <c r="AI3330" t="s">
        <v>120</v>
      </c>
      <c r="AJ3330">
        <v>2.2200000000000002</v>
      </c>
      <c r="AK3330" t="s">
        <v>14282</v>
      </c>
      <c r="AL3330">
        <v>-1.06</v>
      </c>
      <c r="AM3330">
        <v>2089</v>
      </c>
      <c r="AN3330">
        <v>37</v>
      </c>
      <c r="AO3330">
        <v>1.6999999999999999E-3</v>
      </c>
      <c r="AP3330">
        <v>-2</v>
      </c>
      <c r="AQ3330">
        <v>-0.7</v>
      </c>
      <c r="AR3330">
        <v>-2.7</v>
      </c>
      <c r="AS3330">
        <v>-9.49</v>
      </c>
      <c r="AT3330">
        <v>-5.35</v>
      </c>
      <c r="AU3330">
        <v>-5.35</v>
      </c>
      <c r="AV3330">
        <v>1</v>
      </c>
      <c r="AW3330">
        <v>3.48</v>
      </c>
      <c r="AX3330">
        <v>10</v>
      </c>
      <c r="AY3330">
        <v>16.72</v>
      </c>
      <c r="AZ3330">
        <v>19.29</v>
      </c>
      <c r="BA3330">
        <v>0</v>
      </c>
      <c r="BB3330" t="s">
        <v>125</v>
      </c>
      <c r="BF3330">
        <v>-1.25</v>
      </c>
      <c r="BG3330">
        <v>-1.92</v>
      </c>
      <c r="BH3330">
        <v>-2.5099999999999998</v>
      </c>
      <c r="BI3330">
        <v>0.1</v>
      </c>
      <c r="BJ3330">
        <v>20210722</v>
      </c>
      <c r="BK3330">
        <v>20210723</v>
      </c>
      <c r="BL3330">
        <v>22.22</v>
      </c>
      <c r="BM3330" t="s">
        <v>120</v>
      </c>
      <c r="BN3330" t="s">
        <v>120</v>
      </c>
      <c r="BO3330">
        <v>174.33</v>
      </c>
      <c r="BP3330">
        <v>9.7200000000000006</v>
      </c>
      <c r="BQ3330">
        <v>90.65</v>
      </c>
      <c r="BR3330">
        <v>0.46</v>
      </c>
      <c r="BS3330">
        <v>47.73</v>
      </c>
      <c r="BT3330">
        <v>125.22</v>
      </c>
      <c r="BU3330">
        <v>25.65</v>
      </c>
      <c r="BV3330">
        <v>9.1</v>
      </c>
      <c r="BW3330">
        <v>77.06</v>
      </c>
      <c r="BX3330">
        <v>64.88</v>
      </c>
      <c r="BY3330">
        <v>32.270000000000003</v>
      </c>
      <c r="BZ3330">
        <v>9.2799999999999994</v>
      </c>
      <c r="CA3330">
        <v>0.34</v>
      </c>
      <c r="CB3330">
        <v>30.08</v>
      </c>
      <c r="CC3330">
        <v>49.63</v>
      </c>
      <c r="CD3330">
        <v>35.53</v>
      </c>
      <c r="CE3330">
        <v>5.96</v>
      </c>
      <c r="CF3330">
        <v>0.06</v>
      </c>
      <c r="CG3330">
        <v>5.97</v>
      </c>
      <c r="CH3330">
        <v>5.84</v>
      </c>
      <c r="CI3330">
        <v>5.85</v>
      </c>
      <c r="CJ3330">
        <v>-0.24</v>
      </c>
      <c r="CK3330">
        <v>5.64</v>
      </c>
      <c r="CL3330">
        <v>38.99</v>
      </c>
      <c r="CM3330">
        <v>10.24</v>
      </c>
      <c r="CN3330">
        <v>-5.01</v>
      </c>
      <c r="CO3330">
        <v>212784</v>
      </c>
      <c r="CP3330">
        <v>1044</v>
      </c>
      <c r="CQ3330" t="s">
        <v>14283</v>
      </c>
      <c r="CR3330">
        <v>0</v>
      </c>
      <c r="CS3330">
        <v>0</v>
      </c>
      <c r="CT3330">
        <v>1.92</v>
      </c>
      <c r="CU3330">
        <v>21.11</v>
      </c>
      <c r="CV3330">
        <v>4.3600000000000003</v>
      </c>
      <c r="CW3330">
        <v>0</v>
      </c>
      <c r="CX3330" t="s">
        <v>2884</v>
      </c>
      <c r="CY3330">
        <v>5.07</v>
      </c>
      <c r="CZ3330">
        <v>5.07</v>
      </c>
      <c r="DA3330">
        <v>1.35</v>
      </c>
      <c r="DB3330">
        <v>1.75</v>
      </c>
      <c r="DC3330">
        <v>0.46</v>
      </c>
      <c r="DD3330">
        <v>52</v>
      </c>
      <c r="DE3330" t="s">
        <v>9622</v>
      </c>
      <c r="DF3330">
        <v>28.4</v>
      </c>
      <c r="DG3330">
        <v>12.01</v>
      </c>
      <c r="DH3330">
        <v>11.78</v>
      </c>
      <c r="DI3330">
        <v>0.03</v>
      </c>
      <c r="DJ3330">
        <v>7072</v>
      </c>
      <c r="DK3330">
        <v>601921</v>
      </c>
      <c r="DL3330" t="s">
        <v>120</v>
      </c>
      <c r="DM3330" t="s">
        <v>120</v>
      </c>
      <c r="DN3330" t="s">
        <v>120</v>
      </c>
    </row>
    <row r="3331" spans="1:118">
      <c r="A3331" t="str">
        <f>"601928"</f>
        <v>601928</v>
      </c>
      <c r="B3331" t="s">
        <v>14284</v>
      </c>
      <c r="C3331">
        <v>-1.76</v>
      </c>
      <c r="D3331">
        <v>-0.26</v>
      </c>
      <c r="E3331">
        <v>0</v>
      </c>
      <c r="F3331">
        <v>3151</v>
      </c>
      <c r="G3331" t="s">
        <v>14285</v>
      </c>
      <c r="H3331">
        <v>14508.06</v>
      </c>
      <c r="I3331">
        <v>40.049999999999997</v>
      </c>
      <c r="J3331" t="s">
        <v>120</v>
      </c>
      <c r="K3331" t="s">
        <v>14286</v>
      </c>
      <c r="L3331">
        <v>0.77</v>
      </c>
      <c r="M3331">
        <v>7.26</v>
      </c>
      <c r="N3331">
        <v>0.97</v>
      </c>
      <c r="O3331">
        <v>2.57</v>
      </c>
      <c r="P3331">
        <v>7.58</v>
      </c>
      <c r="Q3331">
        <v>-1.76</v>
      </c>
      <c r="R3331">
        <v>7.26</v>
      </c>
      <c r="S3331">
        <v>7.39</v>
      </c>
      <c r="T3331">
        <v>195596</v>
      </c>
      <c r="U3331">
        <v>7.28</v>
      </c>
      <c r="V3331">
        <v>7.39</v>
      </c>
      <c r="W3331">
        <v>6.53</v>
      </c>
      <c r="X3331" t="s">
        <v>1730</v>
      </c>
      <c r="Y3331" t="s">
        <v>319</v>
      </c>
      <c r="Z3331">
        <v>4.33</v>
      </c>
      <c r="AA3331">
        <v>7.42</v>
      </c>
      <c r="AB3331">
        <v>88825</v>
      </c>
      <c r="AC3331">
        <v>106771</v>
      </c>
      <c r="AD3331">
        <v>0.83</v>
      </c>
      <c r="AE3331">
        <v>1091</v>
      </c>
      <c r="AF3331">
        <v>177</v>
      </c>
      <c r="AG3331" t="s">
        <v>120</v>
      </c>
      <c r="AH3331">
        <v>0.01</v>
      </c>
      <c r="AI3331" t="s">
        <v>120</v>
      </c>
      <c r="AJ3331">
        <v>25.45</v>
      </c>
      <c r="AK3331" t="s">
        <v>14286</v>
      </c>
      <c r="AL3331">
        <v>-0.42</v>
      </c>
      <c r="AM3331">
        <v>3830</v>
      </c>
      <c r="AN3331">
        <v>51</v>
      </c>
      <c r="AO3331">
        <v>2.0000000000000001E-4</v>
      </c>
      <c r="AP3331">
        <v>-1</v>
      </c>
      <c r="AQ3331">
        <v>0.54</v>
      </c>
      <c r="AR3331">
        <v>-4.6100000000000003</v>
      </c>
      <c r="AS3331">
        <v>10.17</v>
      </c>
      <c r="AT3331">
        <v>3.86</v>
      </c>
      <c r="AU3331">
        <v>22.43</v>
      </c>
      <c r="AV3331">
        <v>0</v>
      </c>
      <c r="AW3331">
        <v>2.83</v>
      </c>
      <c r="AX3331">
        <v>27.2</v>
      </c>
      <c r="AY3331">
        <v>8.65</v>
      </c>
      <c r="AZ3331">
        <v>11.79</v>
      </c>
      <c r="BA3331">
        <v>0</v>
      </c>
      <c r="BB3331" t="s">
        <v>143</v>
      </c>
      <c r="BF3331">
        <v>0.37</v>
      </c>
      <c r="BG3331">
        <v>-1.76</v>
      </c>
      <c r="BH3331">
        <v>-4.22</v>
      </c>
      <c r="BI3331">
        <v>0</v>
      </c>
      <c r="BJ3331">
        <v>20210831</v>
      </c>
      <c r="BK3331">
        <v>20111130</v>
      </c>
      <c r="BL3331">
        <v>25.45</v>
      </c>
      <c r="BM3331" t="s">
        <v>120</v>
      </c>
      <c r="BN3331" t="s">
        <v>120</v>
      </c>
      <c r="BO3331">
        <v>273.20999999999998</v>
      </c>
      <c r="BP3331">
        <v>7.26</v>
      </c>
      <c r="BQ3331">
        <v>150.91999999999999</v>
      </c>
      <c r="BR3331" t="s">
        <v>120</v>
      </c>
      <c r="BS3331">
        <v>44.76</v>
      </c>
      <c r="BT3331">
        <v>126.46</v>
      </c>
      <c r="BU3331">
        <v>41.12</v>
      </c>
      <c r="BV3331">
        <v>8.08</v>
      </c>
      <c r="BW3331">
        <v>103.12</v>
      </c>
      <c r="BX3331">
        <v>58.48</v>
      </c>
      <c r="BY3331">
        <v>19.899999999999999</v>
      </c>
      <c r="BZ3331">
        <v>11.14</v>
      </c>
      <c r="CA3331">
        <v>0.87</v>
      </c>
      <c r="CB3331">
        <v>28.73</v>
      </c>
      <c r="CC3331">
        <v>61.86</v>
      </c>
      <c r="CD3331">
        <v>36.79</v>
      </c>
      <c r="CE3331">
        <v>14.34</v>
      </c>
      <c r="CF3331">
        <v>3.17</v>
      </c>
      <c r="CG3331">
        <v>14.37</v>
      </c>
      <c r="CH3331">
        <v>14.3</v>
      </c>
      <c r="CI3331">
        <v>14.14</v>
      </c>
      <c r="CJ3331">
        <v>-0.13</v>
      </c>
      <c r="CK3331">
        <v>10.55</v>
      </c>
      <c r="CL3331">
        <v>75.849999999999994</v>
      </c>
      <c r="CM3331">
        <v>14.22</v>
      </c>
      <c r="CN3331">
        <v>-10.220000000000001</v>
      </c>
      <c r="CO3331">
        <v>46217</v>
      </c>
      <c r="CP3331">
        <v>14975</v>
      </c>
      <c r="CQ3331" t="s">
        <v>14287</v>
      </c>
      <c r="CR3331">
        <v>69.39</v>
      </c>
      <c r="CS3331">
        <v>13.97</v>
      </c>
      <c r="CT3331">
        <v>1.22</v>
      </c>
      <c r="CU3331">
        <v>12.99</v>
      </c>
      <c r="CV3331">
        <v>2.99</v>
      </c>
      <c r="CW3331">
        <v>5.41</v>
      </c>
      <c r="CX3331" t="s">
        <v>14288</v>
      </c>
      <c r="CY3331">
        <v>5.93</v>
      </c>
      <c r="CZ3331">
        <v>0</v>
      </c>
      <c r="DA3331">
        <v>1.1299999999999999</v>
      </c>
      <c r="DB3331">
        <v>2.98</v>
      </c>
      <c r="DC3331">
        <v>0.56000000000000005</v>
      </c>
      <c r="DD3331">
        <v>55.24</v>
      </c>
      <c r="DE3331" t="s">
        <v>2375</v>
      </c>
      <c r="DF3331">
        <v>40.53</v>
      </c>
      <c r="DG3331">
        <v>23.18</v>
      </c>
      <c r="DH3331">
        <v>22.85</v>
      </c>
      <c r="DI3331">
        <v>0.15</v>
      </c>
      <c r="DJ3331">
        <v>7228</v>
      </c>
      <c r="DK3331">
        <v>601928</v>
      </c>
      <c r="DL3331" t="s">
        <v>120</v>
      </c>
      <c r="DM3331" t="s">
        <v>120</v>
      </c>
      <c r="DN3331" t="s">
        <v>120</v>
      </c>
    </row>
    <row r="3332" spans="1:118">
      <c r="A3332" t="str">
        <f>"601929"</f>
        <v>601929</v>
      </c>
      <c r="B3332" t="s">
        <v>14289</v>
      </c>
      <c r="C3332">
        <v>-0.49</v>
      </c>
      <c r="D3332">
        <v>0</v>
      </c>
      <c r="E3332">
        <v>0.98</v>
      </c>
      <c r="F3332">
        <v>5695</v>
      </c>
      <c r="G3332" t="s">
        <v>5513</v>
      </c>
      <c r="H3332">
        <v>6979.96</v>
      </c>
      <c r="I3332">
        <v>30.59</v>
      </c>
      <c r="J3332" t="s">
        <v>120</v>
      </c>
      <c r="K3332" t="s">
        <v>14290</v>
      </c>
      <c r="L3332">
        <v>1.0900000000000001</v>
      </c>
      <c r="M3332">
        <v>2.04</v>
      </c>
      <c r="N3332">
        <v>0.72</v>
      </c>
      <c r="O3332">
        <v>1.95</v>
      </c>
      <c r="P3332">
        <v>2.09</v>
      </c>
      <c r="Q3332">
        <v>-1.46</v>
      </c>
      <c r="R3332">
        <v>2.02</v>
      </c>
      <c r="S3332">
        <v>2.0699999999999998</v>
      </c>
      <c r="T3332">
        <v>340468</v>
      </c>
      <c r="U3332">
        <v>2.0499999999999998</v>
      </c>
      <c r="V3332">
        <v>2.0499999999999998</v>
      </c>
      <c r="W3332">
        <v>63.4</v>
      </c>
      <c r="X3332" t="s">
        <v>584</v>
      </c>
      <c r="Y3332" t="s">
        <v>290</v>
      </c>
      <c r="Z3332">
        <v>3.41</v>
      </c>
      <c r="AA3332">
        <v>2.0499999999999998</v>
      </c>
      <c r="AB3332">
        <v>188343</v>
      </c>
      <c r="AC3332">
        <v>152125</v>
      </c>
      <c r="AD3332">
        <v>1.24</v>
      </c>
      <c r="AE3332">
        <v>336</v>
      </c>
      <c r="AF3332">
        <v>7399</v>
      </c>
      <c r="AG3332" t="s">
        <v>120</v>
      </c>
      <c r="AH3332">
        <v>0.01</v>
      </c>
      <c r="AI3332" t="s">
        <v>120</v>
      </c>
      <c r="AJ3332">
        <v>31.11</v>
      </c>
      <c r="AK3332" t="s">
        <v>14290</v>
      </c>
      <c r="AL3332">
        <v>0.86</v>
      </c>
      <c r="AM3332">
        <v>2965</v>
      </c>
      <c r="AN3332">
        <v>115</v>
      </c>
      <c r="AO3332">
        <v>4.0000000000000002E-4</v>
      </c>
      <c r="AP3332">
        <v>-1</v>
      </c>
      <c r="AQ3332">
        <v>2.5</v>
      </c>
      <c r="AR3332">
        <v>-1.45</v>
      </c>
      <c r="AS3332">
        <v>15.91</v>
      </c>
      <c r="AT3332">
        <v>8.6300000000000008</v>
      </c>
      <c r="AU3332">
        <v>2.11</v>
      </c>
      <c r="AV3332">
        <v>0</v>
      </c>
      <c r="AW3332">
        <v>1.67</v>
      </c>
      <c r="AX3332">
        <v>65.36</v>
      </c>
      <c r="AY3332">
        <v>90.57</v>
      </c>
      <c r="AZ3332">
        <v>98.39</v>
      </c>
      <c r="BA3332">
        <v>0.64</v>
      </c>
      <c r="BB3332" t="s">
        <v>184</v>
      </c>
      <c r="BF3332">
        <v>0.01</v>
      </c>
      <c r="BG3332">
        <v>-1.45</v>
      </c>
      <c r="BH3332">
        <v>-2.39</v>
      </c>
      <c r="BI3332">
        <v>0.99</v>
      </c>
      <c r="BJ3332">
        <v>20210825</v>
      </c>
      <c r="BK3332">
        <v>20120223</v>
      </c>
      <c r="BL3332">
        <v>31.11</v>
      </c>
      <c r="BM3332" t="s">
        <v>120</v>
      </c>
      <c r="BN3332" t="s">
        <v>120</v>
      </c>
      <c r="BO3332">
        <v>144.72</v>
      </c>
      <c r="BP3332">
        <v>2.04</v>
      </c>
      <c r="BQ3332">
        <v>69.91</v>
      </c>
      <c r="BR3332">
        <v>0.6</v>
      </c>
      <c r="BS3332">
        <v>51.28</v>
      </c>
      <c r="BT3332">
        <v>23.37</v>
      </c>
      <c r="BU3332">
        <v>73.92</v>
      </c>
      <c r="BV3332">
        <v>1.83</v>
      </c>
      <c r="BW3332">
        <v>25.84</v>
      </c>
      <c r="BX3332">
        <v>4.9400000000000004</v>
      </c>
      <c r="BY3332">
        <v>10.49</v>
      </c>
      <c r="BZ3332">
        <v>3.85</v>
      </c>
      <c r="CA3332" t="s">
        <v>120</v>
      </c>
      <c r="CB3332">
        <v>9</v>
      </c>
      <c r="CC3332">
        <v>8.8800000000000008</v>
      </c>
      <c r="CD3332">
        <v>5.56</v>
      </c>
      <c r="CE3332">
        <v>0.36</v>
      </c>
      <c r="CF3332">
        <v>0.34</v>
      </c>
      <c r="CG3332">
        <v>0.52</v>
      </c>
      <c r="CH3332">
        <v>0.51</v>
      </c>
      <c r="CI3332">
        <v>0.5</v>
      </c>
      <c r="CJ3332">
        <v>-0.01</v>
      </c>
      <c r="CK3332">
        <v>0.22</v>
      </c>
      <c r="CL3332">
        <v>14.11</v>
      </c>
      <c r="CM3332">
        <v>-0.14000000000000001</v>
      </c>
      <c r="CN3332">
        <v>-0.55000000000000004</v>
      </c>
      <c r="CO3332">
        <v>77256</v>
      </c>
      <c r="CP3332">
        <v>26319</v>
      </c>
      <c r="CQ3332" t="s">
        <v>1920</v>
      </c>
      <c r="CR3332">
        <v>12.59</v>
      </c>
      <c r="CS3332">
        <v>-0.37</v>
      </c>
      <c r="CT3332">
        <v>0.95</v>
      </c>
      <c r="CU3332">
        <v>-463.13</v>
      </c>
      <c r="CV3332">
        <v>7.15</v>
      </c>
      <c r="CW3332">
        <v>0.1</v>
      </c>
      <c r="CX3332" t="s">
        <v>499</v>
      </c>
      <c r="CY3332">
        <v>2.14</v>
      </c>
      <c r="CZ3332">
        <v>2.14</v>
      </c>
      <c r="DA3332">
        <v>0.28999999999999998</v>
      </c>
      <c r="DB3332">
        <v>0.45</v>
      </c>
      <c r="DC3332">
        <v>0</v>
      </c>
      <c r="DD3332">
        <v>48.31</v>
      </c>
      <c r="DE3332" t="s">
        <v>2010</v>
      </c>
      <c r="DF3332">
        <v>37.36</v>
      </c>
      <c r="DG3332">
        <v>4.03</v>
      </c>
      <c r="DH3332">
        <v>5.64</v>
      </c>
      <c r="DI3332">
        <v>0.35</v>
      </c>
      <c r="DJ3332">
        <v>6842</v>
      </c>
      <c r="DK3332">
        <v>601929</v>
      </c>
      <c r="DL3332" t="s">
        <v>120</v>
      </c>
      <c r="DM3332" t="s">
        <v>120</v>
      </c>
      <c r="DN3332" t="s">
        <v>120</v>
      </c>
    </row>
    <row r="3333" spans="1:118">
      <c r="A3333" t="str">
        <f>"601933"</f>
        <v>601933</v>
      </c>
      <c r="B3333" t="s">
        <v>14291</v>
      </c>
      <c r="C3333">
        <v>0.51</v>
      </c>
      <c r="D3333">
        <v>0</v>
      </c>
      <c r="E3333">
        <v>0.25</v>
      </c>
      <c r="F3333">
        <v>10499</v>
      </c>
      <c r="G3333" t="s">
        <v>14292</v>
      </c>
      <c r="H3333">
        <v>16377.22</v>
      </c>
      <c r="I3333">
        <v>39.479999999999997</v>
      </c>
      <c r="J3333" t="s">
        <v>120</v>
      </c>
      <c r="K3333" t="s">
        <v>14293</v>
      </c>
      <c r="L3333">
        <v>0.43</v>
      </c>
      <c r="M3333">
        <v>3.97</v>
      </c>
      <c r="N3333">
        <v>0.84</v>
      </c>
      <c r="O3333">
        <v>2.2799999999999998</v>
      </c>
      <c r="P3333">
        <v>4.04</v>
      </c>
      <c r="Q3333">
        <v>0</v>
      </c>
      <c r="R3333">
        <v>3.95</v>
      </c>
      <c r="S3333">
        <v>3.96</v>
      </c>
      <c r="T3333">
        <v>410467</v>
      </c>
      <c r="U3333">
        <v>3.97</v>
      </c>
      <c r="V3333">
        <v>3.95</v>
      </c>
      <c r="W3333" t="s">
        <v>120</v>
      </c>
      <c r="X3333" t="s">
        <v>1872</v>
      </c>
      <c r="Y3333" t="s">
        <v>937</v>
      </c>
      <c r="Z3333">
        <v>2.2799999999999998</v>
      </c>
      <c r="AA3333">
        <v>3.99</v>
      </c>
      <c r="AB3333">
        <v>197761</v>
      </c>
      <c r="AC3333">
        <v>212706</v>
      </c>
      <c r="AD3333">
        <v>0.93</v>
      </c>
      <c r="AE3333">
        <v>5453</v>
      </c>
      <c r="AF3333">
        <v>4143</v>
      </c>
      <c r="AG3333" t="s">
        <v>120</v>
      </c>
      <c r="AH3333">
        <v>0</v>
      </c>
      <c r="AI3333" t="s">
        <v>120</v>
      </c>
      <c r="AJ3333">
        <v>94.68</v>
      </c>
      <c r="AK3333" t="s">
        <v>14294</v>
      </c>
      <c r="AL3333">
        <v>1.85</v>
      </c>
      <c r="AM3333">
        <v>3401</v>
      </c>
      <c r="AN3333">
        <v>121</v>
      </c>
      <c r="AO3333">
        <v>1E-4</v>
      </c>
      <c r="AP3333">
        <v>1</v>
      </c>
      <c r="AQ3333">
        <v>-1</v>
      </c>
      <c r="AR3333">
        <v>-2.7</v>
      </c>
      <c r="AS3333">
        <v>-2.46</v>
      </c>
      <c r="AT3333">
        <v>-16.760000000000002</v>
      </c>
      <c r="AU3333">
        <v>-44.55</v>
      </c>
      <c r="AV3333">
        <v>0</v>
      </c>
      <c r="AW3333">
        <v>1.0900000000000001</v>
      </c>
      <c r="AX3333">
        <v>39.42</v>
      </c>
      <c r="AY3333" t="s">
        <v>120</v>
      </c>
      <c r="AZ3333">
        <v>20.95</v>
      </c>
      <c r="BA3333">
        <v>1.07</v>
      </c>
      <c r="BB3333" t="s">
        <v>143</v>
      </c>
      <c r="BF3333">
        <v>1.01</v>
      </c>
      <c r="BG3333">
        <v>0.25</v>
      </c>
      <c r="BH3333">
        <v>-1.73</v>
      </c>
      <c r="BI3333">
        <v>0.51</v>
      </c>
      <c r="BJ3333">
        <v>20210910</v>
      </c>
      <c r="BK3333">
        <v>20101215</v>
      </c>
      <c r="BL3333">
        <v>95.16</v>
      </c>
      <c r="BM3333" t="s">
        <v>120</v>
      </c>
      <c r="BN3333" t="s">
        <v>120</v>
      </c>
      <c r="BO3333">
        <v>740.94</v>
      </c>
      <c r="BP3333">
        <v>3.96</v>
      </c>
      <c r="BQ3333">
        <v>134.88999999999999</v>
      </c>
      <c r="BR3333">
        <v>6.73</v>
      </c>
      <c r="BS3333">
        <v>80.89</v>
      </c>
      <c r="BT3333">
        <v>287.18</v>
      </c>
      <c r="BU3333">
        <v>50.4</v>
      </c>
      <c r="BV3333">
        <v>14.88</v>
      </c>
      <c r="BW3333">
        <v>341.6</v>
      </c>
      <c r="BX3333">
        <v>128.52000000000001</v>
      </c>
      <c r="BY3333">
        <v>68.650000000000006</v>
      </c>
      <c r="BZ3333">
        <v>6.07</v>
      </c>
      <c r="CA3333">
        <v>1.39</v>
      </c>
      <c r="CB3333">
        <v>70.28</v>
      </c>
      <c r="CC3333">
        <v>468.27</v>
      </c>
      <c r="CD3333">
        <v>380.15</v>
      </c>
      <c r="CE3333">
        <v>-15.15</v>
      </c>
      <c r="CF3333">
        <v>2.04</v>
      </c>
      <c r="CG3333">
        <v>-14.64</v>
      </c>
      <c r="CH3333">
        <v>-13.43</v>
      </c>
      <c r="CI3333">
        <v>-10.83</v>
      </c>
      <c r="CJ3333">
        <v>0.02</v>
      </c>
      <c r="CK3333">
        <v>-9.25</v>
      </c>
      <c r="CL3333">
        <v>-8.8800000000000008</v>
      </c>
      <c r="CM3333">
        <v>38.04</v>
      </c>
      <c r="CN3333">
        <v>15.27</v>
      </c>
      <c r="CO3333">
        <v>251683</v>
      </c>
      <c r="CP3333">
        <v>14905</v>
      </c>
      <c r="CQ3333" t="s">
        <v>2706</v>
      </c>
      <c r="CR3333">
        <v>-158.41</v>
      </c>
      <c r="CS3333">
        <v>-7.3</v>
      </c>
      <c r="CT3333">
        <v>2.8</v>
      </c>
      <c r="CU3333">
        <v>9.93</v>
      </c>
      <c r="CV3333">
        <v>0.81</v>
      </c>
      <c r="CW3333">
        <v>0.5</v>
      </c>
      <c r="CX3333" t="s">
        <v>1643</v>
      </c>
      <c r="CY3333">
        <v>1.42</v>
      </c>
      <c r="CZ3333">
        <v>0</v>
      </c>
      <c r="DA3333">
        <v>0.74</v>
      </c>
      <c r="DB3333">
        <v>-0.09</v>
      </c>
      <c r="DC3333">
        <v>0.4</v>
      </c>
      <c r="DD3333">
        <v>18.21</v>
      </c>
      <c r="DE3333" t="s">
        <v>14295</v>
      </c>
      <c r="DF3333">
        <v>18.82</v>
      </c>
      <c r="DG3333">
        <v>-3.24</v>
      </c>
      <c r="DH3333">
        <v>-2.31</v>
      </c>
      <c r="DI3333">
        <v>1.01</v>
      </c>
      <c r="DJ3333">
        <v>120748</v>
      </c>
      <c r="DK3333">
        <v>601933</v>
      </c>
      <c r="DL3333" t="s">
        <v>120</v>
      </c>
      <c r="DM3333" t="s">
        <v>120</v>
      </c>
      <c r="DN3333" t="s">
        <v>120</v>
      </c>
    </row>
    <row r="3334" spans="1:118">
      <c r="A3334" t="str">
        <f>"601939"</f>
        <v>601939</v>
      </c>
      <c r="B3334" t="s">
        <v>14296</v>
      </c>
      <c r="C3334">
        <v>-1.1399999999999999</v>
      </c>
      <c r="D3334">
        <v>-0.81</v>
      </c>
      <c r="E3334">
        <v>0.33</v>
      </c>
      <c r="F3334">
        <v>143227</v>
      </c>
      <c r="G3334" t="s">
        <v>14297</v>
      </c>
      <c r="H3334">
        <v>60444.36</v>
      </c>
      <c r="I3334">
        <v>122.37</v>
      </c>
      <c r="J3334" t="s">
        <v>120</v>
      </c>
      <c r="K3334" t="s">
        <v>14298</v>
      </c>
      <c r="L3334">
        <v>1.03</v>
      </c>
      <c r="M3334">
        <v>6.05</v>
      </c>
      <c r="N3334">
        <v>0.72</v>
      </c>
      <c r="O3334">
        <v>1.1399999999999999</v>
      </c>
      <c r="P3334">
        <v>6.19</v>
      </c>
      <c r="Q3334">
        <v>-1.1399999999999999</v>
      </c>
      <c r="R3334">
        <v>6.05</v>
      </c>
      <c r="S3334">
        <v>6.14</v>
      </c>
      <c r="T3334">
        <v>986547</v>
      </c>
      <c r="U3334">
        <v>6.07</v>
      </c>
      <c r="V3334">
        <v>6.12</v>
      </c>
      <c r="W3334">
        <v>4.93</v>
      </c>
      <c r="X3334" t="s">
        <v>122</v>
      </c>
      <c r="Y3334" t="s">
        <v>158</v>
      </c>
      <c r="Z3334">
        <v>2.29</v>
      </c>
      <c r="AA3334">
        <v>6.13</v>
      </c>
      <c r="AB3334">
        <v>531780</v>
      </c>
      <c r="AC3334">
        <v>454767</v>
      </c>
      <c r="AD3334">
        <v>1.17</v>
      </c>
      <c r="AE3334">
        <v>26114</v>
      </c>
      <c r="AF3334">
        <v>10</v>
      </c>
      <c r="AG3334" t="s">
        <v>120</v>
      </c>
      <c r="AH3334">
        <v>0</v>
      </c>
      <c r="AI3334" t="s">
        <v>120</v>
      </c>
      <c r="AJ3334">
        <v>95.94</v>
      </c>
      <c r="AK3334" t="s">
        <v>14298</v>
      </c>
      <c r="AL3334">
        <v>0.2</v>
      </c>
      <c r="AM3334">
        <v>4221</v>
      </c>
      <c r="AN3334">
        <v>234</v>
      </c>
      <c r="AO3334">
        <v>2.0000000000000001E-4</v>
      </c>
      <c r="AP3334">
        <v>-3</v>
      </c>
      <c r="AQ3334">
        <v>-0.49</v>
      </c>
      <c r="AR3334">
        <v>-3.82</v>
      </c>
      <c r="AS3334">
        <v>2.02</v>
      </c>
      <c r="AT3334">
        <v>-4.63</v>
      </c>
      <c r="AU3334">
        <v>1.61</v>
      </c>
      <c r="AV3334">
        <v>0</v>
      </c>
      <c r="AW3334">
        <v>1.1100000000000001</v>
      </c>
      <c r="AX3334">
        <v>92.78</v>
      </c>
      <c r="AY3334">
        <v>5.34</v>
      </c>
      <c r="AZ3334">
        <v>5.64</v>
      </c>
      <c r="BA3334">
        <v>0.42</v>
      </c>
      <c r="BB3334" t="s">
        <v>143</v>
      </c>
      <c r="BF3334">
        <v>0.11</v>
      </c>
      <c r="BG3334">
        <v>-1.47</v>
      </c>
      <c r="BH3334">
        <v>-2.2599999999999998</v>
      </c>
      <c r="BI3334">
        <v>0</v>
      </c>
      <c r="BJ3334">
        <v>20210902</v>
      </c>
      <c r="BK3334">
        <v>20070925</v>
      </c>
      <c r="BL3334">
        <v>2500.11</v>
      </c>
      <c r="BM3334" t="s">
        <v>120</v>
      </c>
      <c r="BN3334">
        <v>2404.17</v>
      </c>
      <c r="BO3334">
        <v>298331.88</v>
      </c>
      <c r="BP3334">
        <v>6.05</v>
      </c>
      <c r="BQ3334">
        <v>24369.72</v>
      </c>
      <c r="BR3334">
        <v>253.69</v>
      </c>
      <c r="BS3334">
        <v>91.75</v>
      </c>
      <c r="BT3334">
        <v>0</v>
      </c>
      <c r="BU3334">
        <v>1661.38</v>
      </c>
      <c r="BV3334">
        <v>51</v>
      </c>
      <c r="BW3334">
        <v>0</v>
      </c>
      <c r="BX3334">
        <v>32499.72</v>
      </c>
      <c r="BY3334">
        <v>0</v>
      </c>
      <c r="BZ3334">
        <v>0</v>
      </c>
      <c r="CA3334" t="s">
        <v>120</v>
      </c>
      <c r="CB3334">
        <v>1349.24</v>
      </c>
      <c r="CC3334">
        <v>4163.32</v>
      </c>
      <c r="CD3334">
        <v>0</v>
      </c>
      <c r="CE3334">
        <v>1842.66</v>
      </c>
      <c r="CF3334">
        <v>116.87</v>
      </c>
      <c r="CG3334">
        <v>1844.63</v>
      </c>
      <c r="CH3334">
        <v>1541.06</v>
      </c>
      <c r="CI3334">
        <v>1533</v>
      </c>
      <c r="CJ3334">
        <v>-7.0000000000000007E-2</v>
      </c>
      <c r="CK3334">
        <v>1530.5</v>
      </c>
      <c r="CL3334">
        <v>13114.34</v>
      </c>
      <c r="CM3334">
        <v>1721.59</v>
      </c>
      <c r="CN3334">
        <v>218.5</v>
      </c>
      <c r="CO3334">
        <v>378681</v>
      </c>
      <c r="CP3334">
        <v>23505</v>
      </c>
      <c r="CQ3334" t="s">
        <v>2751</v>
      </c>
      <c r="CR3334">
        <v>11.39</v>
      </c>
      <c r="CS3334">
        <v>7</v>
      </c>
      <c r="CT3334">
        <v>0.65</v>
      </c>
      <c r="CU3334">
        <v>8.7899999999999991</v>
      </c>
      <c r="CV3334">
        <v>3.63</v>
      </c>
      <c r="CW3334">
        <v>5.33</v>
      </c>
      <c r="CX3334" t="s">
        <v>1656</v>
      </c>
      <c r="CY3334">
        <v>9.35</v>
      </c>
      <c r="CZ3334">
        <v>9.35</v>
      </c>
      <c r="DA3334">
        <v>0.54</v>
      </c>
      <c r="DB3334">
        <v>5.25</v>
      </c>
      <c r="DC3334">
        <v>0.69</v>
      </c>
      <c r="DD3334">
        <v>8.17</v>
      </c>
      <c r="DE3334" t="s">
        <v>7237</v>
      </c>
      <c r="DF3334" t="s">
        <v>120</v>
      </c>
      <c r="DG3334">
        <v>44.26</v>
      </c>
      <c r="DH3334">
        <v>36.82</v>
      </c>
      <c r="DI3334" t="s">
        <v>120</v>
      </c>
      <c r="DJ3334">
        <v>345755</v>
      </c>
      <c r="DK3334">
        <v>601939</v>
      </c>
      <c r="DL3334" t="s">
        <v>120</v>
      </c>
      <c r="DM3334" t="s">
        <v>120</v>
      </c>
      <c r="DN3334" t="s">
        <v>120</v>
      </c>
    </row>
    <row r="3335" spans="1:118">
      <c r="A3335" t="str">
        <f>"601949"</f>
        <v>601949</v>
      </c>
      <c r="B3335" t="s">
        <v>14299</v>
      </c>
      <c r="C3335">
        <v>-3.73</v>
      </c>
      <c r="D3335">
        <v>-0.34</v>
      </c>
      <c r="E3335">
        <v>0</v>
      </c>
      <c r="F3335">
        <v>3053</v>
      </c>
      <c r="G3335" t="s">
        <v>3397</v>
      </c>
      <c r="H3335">
        <v>6262.22</v>
      </c>
      <c r="I3335">
        <v>24.25</v>
      </c>
      <c r="J3335" t="s">
        <v>120</v>
      </c>
      <c r="K3335" t="s">
        <v>14300</v>
      </c>
      <c r="L3335">
        <v>0.59</v>
      </c>
      <c r="M3335">
        <v>5.68</v>
      </c>
      <c r="N3335">
        <v>0.87</v>
      </c>
      <c r="O3335">
        <v>0.68</v>
      </c>
      <c r="P3335">
        <v>5.94</v>
      </c>
      <c r="Q3335">
        <v>-3.9</v>
      </c>
      <c r="R3335">
        <v>5.67</v>
      </c>
      <c r="S3335">
        <v>5.9</v>
      </c>
      <c r="T3335">
        <v>108139</v>
      </c>
      <c r="U3335">
        <v>5.69</v>
      </c>
      <c r="V3335">
        <v>5.9</v>
      </c>
      <c r="W3335">
        <v>20.27</v>
      </c>
      <c r="X3335" t="s">
        <v>1730</v>
      </c>
      <c r="Y3335" t="s">
        <v>158</v>
      </c>
      <c r="Z3335">
        <v>4.58</v>
      </c>
      <c r="AA3335">
        <v>5.79</v>
      </c>
      <c r="AB3335">
        <v>59135</v>
      </c>
      <c r="AC3335">
        <v>49004</v>
      </c>
      <c r="AD3335">
        <v>1.21</v>
      </c>
      <c r="AE3335">
        <v>1333</v>
      </c>
      <c r="AF3335">
        <v>208</v>
      </c>
      <c r="AG3335" t="s">
        <v>120</v>
      </c>
      <c r="AH3335">
        <v>0.01</v>
      </c>
      <c r="AI3335" t="s">
        <v>120</v>
      </c>
      <c r="AJ3335">
        <v>18.23</v>
      </c>
      <c r="AK3335" t="s">
        <v>14300</v>
      </c>
      <c r="AL3335">
        <v>-2.39</v>
      </c>
      <c r="AM3335">
        <v>2254</v>
      </c>
      <c r="AN3335">
        <v>48</v>
      </c>
      <c r="AO3335">
        <v>2.9999999999999997E-4</v>
      </c>
      <c r="AP3335">
        <v>-1</v>
      </c>
      <c r="AQ3335">
        <v>1.37</v>
      </c>
      <c r="AR3335">
        <v>-6.27</v>
      </c>
      <c r="AS3335">
        <v>5.58</v>
      </c>
      <c r="AT3335">
        <v>-8.8000000000000007</v>
      </c>
      <c r="AU3335">
        <v>2.75</v>
      </c>
      <c r="AV3335">
        <v>4</v>
      </c>
      <c r="AW3335">
        <v>2.48</v>
      </c>
      <c r="AX3335">
        <v>23.95</v>
      </c>
      <c r="AY3335">
        <v>13.79</v>
      </c>
      <c r="AZ3335">
        <v>14.51</v>
      </c>
      <c r="BA3335">
        <v>0.73</v>
      </c>
      <c r="BB3335" t="s">
        <v>143</v>
      </c>
      <c r="BF3335">
        <v>-1.85</v>
      </c>
      <c r="BG3335">
        <v>-3.73</v>
      </c>
      <c r="BH3335">
        <v>-4.38</v>
      </c>
      <c r="BI3335">
        <v>0.18</v>
      </c>
      <c r="BJ3335">
        <v>20210831</v>
      </c>
      <c r="BK3335">
        <v>20170821</v>
      </c>
      <c r="BL3335">
        <v>18.23</v>
      </c>
      <c r="BM3335" t="s">
        <v>120</v>
      </c>
      <c r="BN3335" t="s">
        <v>120</v>
      </c>
      <c r="BO3335">
        <v>142.59</v>
      </c>
      <c r="BP3335">
        <v>5.68</v>
      </c>
      <c r="BQ3335">
        <v>72.25</v>
      </c>
      <c r="BR3335" t="s">
        <v>120</v>
      </c>
      <c r="BS3335">
        <v>49.33</v>
      </c>
      <c r="BT3335">
        <v>96.75</v>
      </c>
      <c r="BU3335">
        <v>9.36</v>
      </c>
      <c r="BV3335">
        <v>6.56</v>
      </c>
      <c r="BW3335">
        <v>42.62</v>
      </c>
      <c r="BX3335">
        <v>14.26</v>
      </c>
      <c r="BY3335">
        <v>31.53</v>
      </c>
      <c r="BZ3335">
        <v>9.2799999999999994</v>
      </c>
      <c r="CA3335">
        <v>0.26</v>
      </c>
      <c r="CB3335">
        <v>11.69</v>
      </c>
      <c r="CC3335">
        <v>25.65</v>
      </c>
      <c r="CD3335">
        <v>17.78</v>
      </c>
      <c r="CE3335">
        <v>2.71</v>
      </c>
      <c r="CF3335">
        <v>0.51</v>
      </c>
      <c r="CG3335">
        <v>2.72</v>
      </c>
      <c r="CH3335">
        <v>2.62</v>
      </c>
      <c r="CI3335">
        <v>2.5499999999999998</v>
      </c>
      <c r="CJ3335">
        <v>-0.22</v>
      </c>
      <c r="CK3335">
        <v>1.88</v>
      </c>
      <c r="CL3335">
        <v>41.95</v>
      </c>
      <c r="CM3335">
        <v>0.14000000000000001</v>
      </c>
      <c r="CN3335">
        <v>-2.61</v>
      </c>
      <c r="CO3335">
        <v>48495</v>
      </c>
      <c r="CP3335">
        <v>9002</v>
      </c>
      <c r="CQ3335" t="s">
        <v>4025</v>
      </c>
      <c r="CR3335">
        <v>17.829999999999998</v>
      </c>
      <c r="CS3335">
        <v>17.43</v>
      </c>
      <c r="CT3335">
        <v>1.43</v>
      </c>
      <c r="CU3335">
        <v>735.56</v>
      </c>
      <c r="CV3335">
        <v>4.04</v>
      </c>
      <c r="CW3335">
        <v>2.0699999999999998</v>
      </c>
      <c r="CX3335" t="s">
        <v>300</v>
      </c>
      <c r="CY3335">
        <v>3.96</v>
      </c>
      <c r="CZ3335">
        <v>0</v>
      </c>
      <c r="DA3335">
        <v>0.64</v>
      </c>
      <c r="DB3335">
        <v>2.2999999999999998</v>
      </c>
      <c r="DC3335">
        <v>0.01</v>
      </c>
      <c r="DD3335">
        <v>50.67</v>
      </c>
      <c r="DE3335" t="s">
        <v>1556</v>
      </c>
      <c r="DF3335">
        <v>30.67</v>
      </c>
      <c r="DG3335">
        <v>10.58</v>
      </c>
      <c r="DH3335">
        <v>9.9499999999999993</v>
      </c>
      <c r="DI3335">
        <v>0.24</v>
      </c>
      <c r="DJ3335">
        <v>4336</v>
      </c>
      <c r="DK3335">
        <v>601949</v>
      </c>
      <c r="DL3335" t="s">
        <v>120</v>
      </c>
      <c r="DM3335" t="s">
        <v>120</v>
      </c>
      <c r="DN3335" t="s">
        <v>120</v>
      </c>
    </row>
    <row r="3336" spans="1:118">
      <c r="A3336" t="str">
        <f>"601952"</f>
        <v>601952</v>
      </c>
      <c r="B3336" t="s">
        <v>14301</v>
      </c>
      <c r="C3336">
        <v>3.27</v>
      </c>
      <c r="D3336">
        <v>0.09</v>
      </c>
      <c r="E3336">
        <v>0.48</v>
      </c>
      <c r="F3336">
        <v>3908</v>
      </c>
      <c r="G3336" t="s">
        <v>14302</v>
      </c>
      <c r="H3336">
        <v>28970.080000000002</v>
      </c>
      <c r="I3336">
        <v>70.959999999999994</v>
      </c>
      <c r="J3336" t="s">
        <v>120</v>
      </c>
      <c r="K3336" t="s">
        <v>14303</v>
      </c>
      <c r="L3336">
        <v>1.97</v>
      </c>
      <c r="M3336">
        <v>10.74</v>
      </c>
      <c r="N3336">
        <v>1.65</v>
      </c>
      <c r="O3336">
        <v>4.13</v>
      </c>
      <c r="P3336">
        <v>10.83</v>
      </c>
      <c r="Q3336">
        <v>-0.1</v>
      </c>
      <c r="R3336">
        <v>10.39</v>
      </c>
      <c r="S3336">
        <v>10.45</v>
      </c>
      <c r="T3336">
        <v>271576</v>
      </c>
      <c r="U3336">
        <v>10.74</v>
      </c>
      <c r="V3336">
        <v>10.4</v>
      </c>
      <c r="W3336">
        <v>22.5</v>
      </c>
      <c r="X3336" t="s">
        <v>1700</v>
      </c>
      <c r="Y3336" t="s">
        <v>319</v>
      </c>
      <c r="Z3336">
        <v>4.2300000000000004</v>
      </c>
      <c r="AA3336">
        <v>10.67</v>
      </c>
      <c r="AB3336">
        <v>116358</v>
      </c>
      <c r="AC3336">
        <v>155218</v>
      </c>
      <c r="AD3336">
        <v>0.75</v>
      </c>
      <c r="AE3336">
        <v>616</v>
      </c>
      <c r="AF3336">
        <v>1608</v>
      </c>
      <c r="AG3336" t="s">
        <v>120</v>
      </c>
      <c r="AH3336">
        <v>0.02</v>
      </c>
      <c r="AI3336" t="s">
        <v>120</v>
      </c>
      <c r="AJ3336">
        <v>13.78</v>
      </c>
      <c r="AK3336" t="s">
        <v>14303</v>
      </c>
      <c r="AL3336">
        <v>4.6100000000000003</v>
      </c>
      <c r="AM3336">
        <v>3600</v>
      </c>
      <c r="AN3336">
        <v>75</v>
      </c>
      <c r="AO3336">
        <v>5.0000000000000001E-4</v>
      </c>
      <c r="AP3336">
        <v>1</v>
      </c>
      <c r="AQ3336">
        <v>0</v>
      </c>
      <c r="AR3336">
        <v>0.75</v>
      </c>
      <c r="AS3336">
        <v>2.09</v>
      </c>
      <c r="AT3336">
        <v>0</v>
      </c>
      <c r="AU3336">
        <v>-22.46</v>
      </c>
      <c r="AV3336">
        <v>2</v>
      </c>
      <c r="AW3336">
        <v>6.13</v>
      </c>
      <c r="AX3336">
        <v>32.159999999999997</v>
      </c>
      <c r="AY3336">
        <v>21.25</v>
      </c>
      <c r="AZ3336">
        <v>21.4</v>
      </c>
      <c r="BA3336">
        <v>0.32</v>
      </c>
      <c r="BB3336" t="s">
        <v>143</v>
      </c>
      <c r="BF3336">
        <v>2.57</v>
      </c>
      <c r="BG3336">
        <v>2.78</v>
      </c>
      <c r="BH3336">
        <v>-0.83</v>
      </c>
      <c r="BI3336">
        <v>3.37</v>
      </c>
      <c r="BJ3336">
        <v>20210821</v>
      </c>
      <c r="BK3336">
        <v>20170515</v>
      </c>
      <c r="BL3336">
        <v>13.78</v>
      </c>
      <c r="BM3336" t="s">
        <v>120</v>
      </c>
      <c r="BN3336" t="s">
        <v>120</v>
      </c>
      <c r="BO3336">
        <v>140.68</v>
      </c>
      <c r="BP3336">
        <v>10.73</v>
      </c>
      <c r="BQ3336">
        <v>53.58</v>
      </c>
      <c r="BR3336">
        <v>4.1900000000000004</v>
      </c>
      <c r="BS3336">
        <v>58.93</v>
      </c>
      <c r="BT3336">
        <v>70.69</v>
      </c>
      <c r="BU3336">
        <v>15.02</v>
      </c>
      <c r="BV3336">
        <v>1.93</v>
      </c>
      <c r="BW3336">
        <v>23.78</v>
      </c>
      <c r="BX3336">
        <v>11.06</v>
      </c>
      <c r="BY3336">
        <v>33.71</v>
      </c>
      <c r="BZ3336">
        <v>4.8899999999999997</v>
      </c>
      <c r="CA3336">
        <v>0.9</v>
      </c>
      <c r="CB3336">
        <v>19.96</v>
      </c>
      <c r="CC3336">
        <v>45.44</v>
      </c>
      <c r="CD3336">
        <v>38.4</v>
      </c>
      <c r="CE3336">
        <v>3.78</v>
      </c>
      <c r="CF3336">
        <v>0.26</v>
      </c>
      <c r="CG3336">
        <v>3.79</v>
      </c>
      <c r="CH3336">
        <v>3.56</v>
      </c>
      <c r="CI3336">
        <v>3.29</v>
      </c>
      <c r="CJ3336">
        <v>0.34</v>
      </c>
      <c r="CK3336">
        <v>2.86</v>
      </c>
      <c r="CL3336">
        <v>17.07</v>
      </c>
      <c r="CM3336">
        <v>-2.39</v>
      </c>
      <c r="CN3336">
        <v>1.54</v>
      </c>
      <c r="CO3336">
        <v>70465</v>
      </c>
      <c r="CP3336">
        <v>6288</v>
      </c>
      <c r="CQ3336" t="s">
        <v>2461</v>
      </c>
      <c r="CR3336">
        <v>1.46</v>
      </c>
      <c r="CS3336">
        <v>11.75</v>
      </c>
      <c r="CT3336">
        <v>2.76</v>
      </c>
      <c r="CU3336">
        <v>-61.81</v>
      </c>
      <c r="CV3336">
        <v>3.26</v>
      </c>
      <c r="CW3336">
        <v>2.02</v>
      </c>
      <c r="CX3336" t="s">
        <v>626</v>
      </c>
      <c r="CY3336">
        <v>3.89</v>
      </c>
      <c r="CZ3336">
        <v>0</v>
      </c>
      <c r="DA3336">
        <v>1.45</v>
      </c>
      <c r="DB3336">
        <v>1.24</v>
      </c>
      <c r="DC3336">
        <v>-0.17</v>
      </c>
      <c r="DD3336">
        <v>38.08</v>
      </c>
      <c r="DE3336" t="s">
        <v>2620</v>
      </c>
      <c r="DF3336">
        <v>15.49</v>
      </c>
      <c r="DG3336">
        <v>8.32</v>
      </c>
      <c r="DH3336">
        <v>7.24</v>
      </c>
      <c r="DI3336">
        <v>0.26</v>
      </c>
      <c r="DJ3336">
        <v>10332</v>
      </c>
      <c r="DK3336">
        <v>601952</v>
      </c>
      <c r="DL3336" t="s">
        <v>120</v>
      </c>
      <c r="DM3336" t="s">
        <v>120</v>
      </c>
      <c r="DN3336" t="s">
        <v>120</v>
      </c>
    </row>
    <row r="3337" spans="1:118">
      <c r="A3337" t="str">
        <f>"601956"</f>
        <v>601956</v>
      </c>
      <c r="B3337" t="s">
        <v>14304</v>
      </c>
      <c r="C3337">
        <v>-0.28999999999999998</v>
      </c>
      <c r="D3337">
        <v>-0.13</v>
      </c>
      <c r="E3337">
        <v>0</v>
      </c>
      <c r="F3337">
        <v>420</v>
      </c>
      <c r="G3337" t="s">
        <v>7434</v>
      </c>
      <c r="H3337">
        <v>2707.48</v>
      </c>
      <c r="I3337">
        <v>14.17</v>
      </c>
      <c r="J3337" t="s">
        <v>120</v>
      </c>
      <c r="K3337" t="s">
        <v>7434</v>
      </c>
      <c r="L3337">
        <v>1.89</v>
      </c>
      <c r="M3337">
        <v>6.89</v>
      </c>
      <c r="N3337">
        <v>1.17</v>
      </c>
      <c r="O3337">
        <v>1.59</v>
      </c>
      <c r="P3337">
        <v>7.02</v>
      </c>
      <c r="Q3337">
        <v>-0.43</v>
      </c>
      <c r="R3337">
        <v>6.88</v>
      </c>
      <c r="S3337">
        <v>6.91</v>
      </c>
      <c r="T3337">
        <v>39027</v>
      </c>
      <c r="U3337">
        <v>6.89</v>
      </c>
      <c r="V3337">
        <v>6.91</v>
      </c>
      <c r="W3337">
        <v>77.22</v>
      </c>
      <c r="X3337" t="s">
        <v>959</v>
      </c>
      <c r="Y3337" t="s">
        <v>763</v>
      </c>
      <c r="Z3337">
        <v>2.0299999999999998</v>
      </c>
      <c r="AA3337">
        <v>6.94</v>
      </c>
      <c r="AB3337">
        <v>20014</v>
      </c>
      <c r="AC3337">
        <v>19013</v>
      </c>
      <c r="AD3337">
        <v>1.05</v>
      </c>
      <c r="AE3337">
        <v>296</v>
      </c>
      <c r="AF3337">
        <v>108</v>
      </c>
      <c r="AG3337" t="s">
        <v>120</v>
      </c>
      <c r="AH3337">
        <v>0.01</v>
      </c>
      <c r="AI3337" t="s">
        <v>120</v>
      </c>
      <c r="AJ3337">
        <v>2.0699999999999998</v>
      </c>
      <c r="AK3337" t="s">
        <v>3372</v>
      </c>
      <c r="AL3337">
        <v>1.05</v>
      </c>
      <c r="AM3337">
        <v>1013</v>
      </c>
      <c r="AN3337">
        <v>39</v>
      </c>
      <c r="AO3337">
        <v>1.9E-3</v>
      </c>
      <c r="AP3337">
        <v>-3</v>
      </c>
      <c r="AQ3337">
        <v>-0.14000000000000001</v>
      </c>
      <c r="AR3337">
        <v>-1.98</v>
      </c>
      <c r="AS3337">
        <v>-2.68</v>
      </c>
      <c r="AT3337">
        <v>-13.22</v>
      </c>
      <c r="AU3337">
        <v>-30.19</v>
      </c>
      <c r="AV3337">
        <v>2</v>
      </c>
      <c r="AW3337">
        <v>1.89</v>
      </c>
      <c r="AX3337">
        <v>40.479999999999997</v>
      </c>
      <c r="AY3337">
        <v>34.840000000000003</v>
      </c>
      <c r="AZ3337">
        <v>32.14</v>
      </c>
      <c r="BA3337">
        <v>0.78</v>
      </c>
      <c r="BB3337" t="s">
        <v>125</v>
      </c>
      <c r="BF3337">
        <v>0.4</v>
      </c>
      <c r="BG3337">
        <v>-0.28999999999999998</v>
      </c>
      <c r="BH3337">
        <v>-1.85</v>
      </c>
      <c r="BI3337">
        <v>0.15</v>
      </c>
      <c r="BJ3337">
        <v>20210831</v>
      </c>
      <c r="BK3337">
        <v>20201225</v>
      </c>
      <c r="BL3337">
        <v>5.1100000000000003</v>
      </c>
      <c r="BM3337" t="s">
        <v>120</v>
      </c>
      <c r="BN3337" t="s">
        <v>120</v>
      </c>
      <c r="BO3337">
        <v>71.19</v>
      </c>
      <c r="BP3337">
        <v>6.88</v>
      </c>
      <c r="BQ3337">
        <v>16.7</v>
      </c>
      <c r="BR3337" t="s">
        <v>120</v>
      </c>
      <c r="BS3337">
        <v>76.540000000000006</v>
      </c>
      <c r="BT3337">
        <v>52.96</v>
      </c>
      <c r="BU3337">
        <v>14.13</v>
      </c>
      <c r="BV3337">
        <v>1.41</v>
      </c>
      <c r="BW3337">
        <v>48.01</v>
      </c>
      <c r="BX3337">
        <v>13.17</v>
      </c>
      <c r="BY3337">
        <v>7.24</v>
      </c>
      <c r="BZ3337">
        <v>17.7</v>
      </c>
      <c r="CA3337" t="s">
        <v>120</v>
      </c>
      <c r="CB3337">
        <v>5.77</v>
      </c>
      <c r="CC3337">
        <v>31.9</v>
      </c>
      <c r="CD3337">
        <v>28.31</v>
      </c>
      <c r="CE3337">
        <v>0.31</v>
      </c>
      <c r="CF3337">
        <v>-0.13</v>
      </c>
      <c r="CG3337">
        <v>0.3</v>
      </c>
      <c r="CH3337">
        <v>0.24</v>
      </c>
      <c r="CI3337">
        <v>0.23</v>
      </c>
      <c r="CJ3337">
        <v>-0.02</v>
      </c>
      <c r="CK3337">
        <v>7.0000000000000007E-2</v>
      </c>
      <c r="CL3337">
        <v>5.8</v>
      </c>
      <c r="CM3337">
        <v>5.97</v>
      </c>
      <c r="CN3337">
        <v>2.5299999999999998</v>
      </c>
      <c r="CO3337">
        <v>36787</v>
      </c>
      <c r="CP3337">
        <v>5627</v>
      </c>
      <c r="CQ3337" t="s">
        <v>14305</v>
      </c>
      <c r="CR3337">
        <v>0</v>
      </c>
      <c r="CS3337">
        <v>0</v>
      </c>
      <c r="CT3337">
        <v>2.11</v>
      </c>
      <c r="CU3337">
        <v>5.9</v>
      </c>
      <c r="CV3337">
        <v>1.1000000000000001</v>
      </c>
      <c r="CW3337">
        <v>1.45</v>
      </c>
      <c r="CX3337" t="s">
        <v>1036</v>
      </c>
      <c r="CY3337">
        <v>3.27</v>
      </c>
      <c r="CZ3337">
        <v>0</v>
      </c>
      <c r="DA3337">
        <v>1.1299999999999999</v>
      </c>
      <c r="DB3337">
        <v>1.1299999999999999</v>
      </c>
      <c r="DC3337">
        <v>1.17</v>
      </c>
      <c r="DD3337">
        <v>23.46</v>
      </c>
      <c r="DE3337" t="s">
        <v>7979</v>
      </c>
      <c r="DF3337">
        <v>11.26</v>
      </c>
      <c r="DG3337">
        <v>0.97</v>
      </c>
      <c r="DH3337">
        <v>0.71</v>
      </c>
      <c r="DI3337">
        <v>1.35</v>
      </c>
      <c r="DJ3337">
        <v>7115</v>
      </c>
      <c r="DK3337">
        <v>601956</v>
      </c>
      <c r="DL3337" t="s">
        <v>120</v>
      </c>
      <c r="DM3337" t="s">
        <v>120</v>
      </c>
      <c r="DN3337" t="s">
        <v>120</v>
      </c>
    </row>
    <row r="3338" spans="1:118">
      <c r="A3338" t="str">
        <f>"601958"</f>
        <v>601958</v>
      </c>
      <c r="B3338" t="s">
        <v>14306</v>
      </c>
      <c r="C3338">
        <v>-1.01</v>
      </c>
      <c r="D3338">
        <v>-1.79</v>
      </c>
      <c r="E3338">
        <v>1.1100000000000001</v>
      </c>
      <c r="F3338">
        <v>26743</v>
      </c>
      <c r="G3338" t="s">
        <v>14307</v>
      </c>
      <c r="H3338">
        <v>111204.73</v>
      </c>
      <c r="I3338">
        <v>1735.13</v>
      </c>
      <c r="J3338" t="s">
        <v>120</v>
      </c>
      <c r="K3338" t="s">
        <v>14308</v>
      </c>
      <c r="L3338">
        <v>3.41</v>
      </c>
      <c r="M3338">
        <v>9.8000000000000007</v>
      </c>
      <c r="N3338">
        <v>1.47</v>
      </c>
      <c r="O3338">
        <v>6.26</v>
      </c>
      <c r="P3338">
        <v>10.52</v>
      </c>
      <c r="Q3338">
        <v>-1.01</v>
      </c>
      <c r="R3338">
        <v>9.8000000000000007</v>
      </c>
      <c r="S3338">
        <v>10.01</v>
      </c>
      <c r="T3338">
        <v>1100510</v>
      </c>
      <c r="U3338">
        <v>9.84</v>
      </c>
      <c r="V3338">
        <v>9.9</v>
      </c>
      <c r="W3338">
        <v>65.489999999999995</v>
      </c>
      <c r="X3338" t="s">
        <v>1390</v>
      </c>
      <c r="Y3338" t="s">
        <v>890</v>
      </c>
      <c r="Z3338">
        <v>7.27</v>
      </c>
      <c r="AA3338">
        <v>10.1</v>
      </c>
      <c r="AB3338">
        <v>518683</v>
      </c>
      <c r="AC3338">
        <v>581827</v>
      </c>
      <c r="AD3338">
        <v>0.89</v>
      </c>
      <c r="AE3338">
        <v>830</v>
      </c>
      <c r="AF3338">
        <v>1</v>
      </c>
      <c r="AG3338" t="s">
        <v>120</v>
      </c>
      <c r="AH3338">
        <v>0.21</v>
      </c>
      <c r="AI3338" t="s">
        <v>120</v>
      </c>
      <c r="AJ3338">
        <v>32.270000000000003</v>
      </c>
      <c r="AK3338" t="s">
        <v>14308</v>
      </c>
      <c r="AL3338">
        <v>0.33</v>
      </c>
      <c r="AM3338">
        <v>4668</v>
      </c>
      <c r="AN3338">
        <v>236</v>
      </c>
      <c r="AO3338">
        <v>6.9999999999999999E-4</v>
      </c>
      <c r="AP3338">
        <v>-1</v>
      </c>
      <c r="AQ3338">
        <v>10</v>
      </c>
      <c r="AR3338">
        <v>3.27</v>
      </c>
      <c r="AS3338">
        <v>29.81</v>
      </c>
      <c r="AT3338">
        <v>50.31</v>
      </c>
      <c r="AU3338">
        <v>64.430000000000007</v>
      </c>
      <c r="AV3338">
        <v>2</v>
      </c>
      <c r="AW3338">
        <v>13.63</v>
      </c>
      <c r="AX3338">
        <v>25.02</v>
      </c>
      <c r="AY3338">
        <v>107.59</v>
      </c>
      <c r="AZ3338">
        <v>175.5</v>
      </c>
      <c r="BA3338">
        <v>0.91</v>
      </c>
      <c r="BB3338" t="s">
        <v>168</v>
      </c>
      <c r="BF3338">
        <v>2.0699999999999998</v>
      </c>
      <c r="BG3338">
        <v>-2.1</v>
      </c>
      <c r="BH3338">
        <v>-6.84</v>
      </c>
      <c r="BI3338">
        <v>0</v>
      </c>
      <c r="BJ3338">
        <v>20210824</v>
      </c>
      <c r="BK3338">
        <v>20080417</v>
      </c>
      <c r="BL3338">
        <v>32.270000000000003</v>
      </c>
      <c r="BM3338" t="s">
        <v>120</v>
      </c>
      <c r="BN3338" t="s">
        <v>120</v>
      </c>
      <c r="BO3338">
        <v>142.5</v>
      </c>
      <c r="BP3338">
        <v>9.8000000000000007</v>
      </c>
      <c r="BQ3338">
        <v>117.35</v>
      </c>
      <c r="BR3338">
        <v>4.6399999999999997</v>
      </c>
      <c r="BS3338">
        <v>14.39</v>
      </c>
      <c r="BT3338">
        <v>42.13</v>
      </c>
      <c r="BU3338">
        <v>46.95</v>
      </c>
      <c r="BV3338">
        <v>20.52</v>
      </c>
      <c r="BW3338">
        <v>13.84</v>
      </c>
      <c r="BX3338">
        <v>17.399999999999999</v>
      </c>
      <c r="BY3338">
        <v>4.9800000000000004</v>
      </c>
      <c r="BZ3338">
        <v>5.39</v>
      </c>
      <c r="CA3338">
        <v>0.04</v>
      </c>
      <c r="CB3338">
        <v>67.53</v>
      </c>
      <c r="CC3338">
        <v>37.72</v>
      </c>
      <c r="CD3338">
        <v>30.26</v>
      </c>
      <c r="CE3338">
        <v>3.4</v>
      </c>
      <c r="CF3338">
        <v>-0.11</v>
      </c>
      <c r="CG3338">
        <v>3.43</v>
      </c>
      <c r="CH3338">
        <v>2.78</v>
      </c>
      <c r="CI3338">
        <v>2.41</v>
      </c>
      <c r="CJ3338">
        <v>-0.1</v>
      </c>
      <c r="CK3338">
        <v>2.2799999999999998</v>
      </c>
      <c r="CL3338">
        <v>8.7100000000000009</v>
      </c>
      <c r="CM3338">
        <v>-0.65</v>
      </c>
      <c r="CN3338">
        <v>-8.69</v>
      </c>
      <c r="CO3338">
        <v>85256</v>
      </c>
      <c r="CP3338">
        <v>9467</v>
      </c>
      <c r="CQ3338" t="s">
        <v>14309</v>
      </c>
      <c r="CR3338">
        <v>90.77</v>
      </c>
      <c r="CS3338">
        <v>-7.11</v>
      </c>
      <c r="CT3338">
        <v>2.69</v>
      </c>
      <c r="CU3338">
        <v>-484.79</v>
      </c>
      <c r="CV3338">
        <v>8.3800000000000008</v>
      </c>
      <c r="CW3338">
        <v>2.5299999999999998</v>
      </c>
      <c r="CX3338" t="s">
        <v>535</v>
      </c>
      <c r="CY3338">
        <v>3.64</v>
      </c>
      <c r="CZ3338">
        <v>0</v>
      </c>
      <c r="DA3338">
        <v>2.09</v>
      </c>
      <c r="DB3338">
        <v>0.27</v>
      </c>
      <c r="DC3338">
        <v>-0.02</v>
      </c>
      <c r="DD3338">
        <v>82.35</v>
      </c>
      <c r="DE3338" t="s">
        <v>1890</v>
      </c>
      <c r="DF3338">
        <v>19.77</v>
      </c>
      <c r="DG3338">
        <v>9.01</v>
      </c>
      <c r="DH3338">
        <v>6.4</v>
      </c>
      <c r="DI3338">
        <v>0.88</v>
      </c>
      <c r="DJ3338">
        <v>5216</v>
      </c>
      <c r="DK3338">
        <v>601958</v>
      </c>
      <c r="DL3338">
        <v>20210826</v>
      </c>
      <c r="DM3338">
        <v>9.02</v>
      </c>
      <c r="DN3338">
        <v>8.65</v>
      </c>
    </row>
    <row r="3339" spans="1:118">
      <c r="A3339" t="str">
        <f>"601963"</f>
        <v>601963</v>
      </c>
      <c r="B3339" t="s">
        <v>14310</v>
      </c>
      <c r="C3339">
        <v>-0.45</v>
      </c>
      <c r="D3339">
        <v>-0.1</v>
      </c>
      <c r="E3339">
        <v>0.22</v>
      </c>
      <c r="F3339">
        <v>702</v>
      </c>
      <c r="G3339" t="s">
        <v>5139</v>
      </c>
      <c r="H3339">
        <v>6118.28</v>
      </c>
      <c r="I3339">
        <v>35.24</v>
      </c>
      <c r="J3339" t="s">
        <v>120</v>
      </c>
      <c r="K3339" t="s">
        <v>5139</v>
      </c>
      <c r="L3339">
        <v>1.96</v>
      </c>
      <c r="M3339">
        <v>8.93</v>
      </c>
      <c r="N3339">
        <v>0.51</v>
      </c>
      <c r="O3339">
        <v>0.56000000000000005</v>
      </c>
      <c r="P3339">
        <v>9.02</v>
      </c>
      <c r="Q3339">
        <v>-0.56000000000000005</v>
      </c>
      <c r="R3339">
        <v>8.92</v>
      </c>
      <c r="S3339">
        <v>8.99</v>
      </c>
      <c r="T3339">
        <v>68176</v>
      </c>
      <c r="U3339">
        <v>8.94</v>
      </c>
      <c r="V3339">
        <v>8.9700000000000006</v>
      </c>
      <c r="W3339">
        <v>5.83</v>
      </c>
      <c r="X3339" t="s">
        <v>122</v>
      </c>
      <c r="Y3339" t="s">
        <v>883</v>
      </c>
      <c r="Z3339">
        <v>1.1100000000000001</v>
      </c>
      <c r="AA3339">
        <v>8.9700000000000006</v>
      </c>
      <c r="AB3339">
        <v>42882</v>
      </c>
      <c r="AC3339">
        <v>25294</v>
      </c>
      <c r="AD3339">
        <v>1.7</v>
      </c>
      <c r="AE3339">
        <v>653</v>
      </c>
      <c r="AF3339">
        <v>745</v>
      </c>
      <c r="AG3339" t="s">
        <v>120</v>
      </c>
      <c r="AH3339">
        <v>0.01</v>
      </c>
      <c r="AI3339" t="s">
        <v>120</v>
      </c>
      <c r="AJ3339">
        <v>3.47</v>
      </c>
      <c r="AK3339" t="s">
        <v>14311</v>
      </c>
      <c r="AL3339">
        <v>0.9</v>
      </c>
      <c r="AM3339">
        <v>1948</v>
      </c>
      <c r="AN3339">
        <v>35</v>
      </c>
      <c r="AO3339">
        <v>1E-3</v>
      </c>
      <c r="AP3339">
        <v>-4</v>
      </c>
      <c r="AQ3339">
        <v>-0.77</v>
      </c>
      <c r="AR3339">
        <v>-3.25</v>
      </c>
      <c r="AS3339">
        <v>-2.83</v>
      </c>
      <c r="AT3339">
        <v>-16.75</v>
      </c>
      <c r="AU3339">
        <v>-14.6</v>
      </c>
      <c r="AV3339">
        <v>0</v>
      </c>
      <c r="AW3339">
        <v>1.96</v>
      </c>
      <c r="AX3339">
        <v>18.329999999999998</v>
      </c>
      <c r="AY3339">
        <v>6.87</v>
      </c>
      <c r="AZ3339">
        <v>7.05</v>
      </c>
      <c r="BA3339">
        <v>0.91</v>
      </c>
      <c r="BB3339" t="s">
        <v>143</v>
      </c>
      <c r="BF3339">
        <v>0.05</v>
      </c>
      <c r="BG3339">
        <v>-0.67</v>
      </c>
      <c r="BH3339">
        <v>-1</v>
      </c>
      <c r="BI3339">
        <v>0.11</v>
      </c>
      <c r="BJ3339">
        <v>20210831</v>
      </c>
      <c r="BK3339">
        <v>20210205</v>
      </c>
      <c r="BL3339">
        <v>34.75</v>
      </c>
      <c r="BM3339" t="s">
        <v>120</v>
      </c>
      <c r="BN3339">
        <v>15.79</v>
      </c>
      <c r="BO3339">
        <v>6065.53</v>
      </c>
      <c r="BP3339">
        <v>8.93</v>
      </c>
      <c r="BQ3339">
        <v>451.36</v>
      </c>
      <c r="BR3339" t="s">
        <v>120</v>
      </c>
      <c r="BS3339">
        <v>92.56</v>
      </c>
      <c r="BT3339">
        <v>0</v>
      </c>
      <c r="BU3339">
        <v>31.56</v>
      </c>
      <c r="BV3339">
        <v>3.81</v>
      </c>
      <c r="BW3339">
        <v>0</v>
      </c>
      <c r="BX3339">
        <v>431.14</v>
      </c>
      <c r="BY3339">
        <v>0</v>
      </c>
      <c r="BZ3339">
        <v>0</v>
      </c>
      <c r="CA3339" t="s">
        <v>120</v>
      </c>
      <c r="CB3339">
        <v>80.38</v>
      </c>
      <c r="CC3339">
        <v>72.739999999999995</v>
      </c>
      <c r="CD3339">
        <v>0</v>
      </c>
      <c r="CE3339">
        <v>34.61</v>
      </c>
      <c r="CF3339">
        <v>9.41</v>
      </c>
      <c r="CG3339">
        <v>34.61</v>
      </c>
      <c r="CH3339">
        <v>27.54</v>
      </c>
      <c r="CI3339">
        <v>26.59</v>
      </c>
      <c r="CJ3339">
        <v>-0.04</v>
      </c>
      <c r="CK3339">
        <v>26.14</v>
      </c>
      <c r="CL3339">
        <v>178.8</v>
      </c>
      <c r="CM3339">
        <v>-210.4</v>
      </c>
      <c r="CN3339">
        <v>30.3</v>
      </c>
      <c r="CO3339">
        <v>97972</v>
      </c>
      <c r="CP3339">
        <v>3546</v>
      </c>
      <c r="CQ3339" t="s">
        <v>13726</v>
      </c>
      <c r="CR3339">
        <v>4.47</v>
      </c>
      <c r="CS3339">
        <v>11.26</v>
      </c>
      <c r="CT3339">
        <v>0.77</v>
      </c>
      <c r="CU3339">
        <v>-1.47</v>
      </c>
      <c r="CV3339">
        <v>4.2699999999999996</v>
      </c>
      <c r="CW3339">
        <v>4.16</v>
      </c>
      <c r="CX3339" t="s">
        <v>3050</v>
      </c>
      <c r="CY3339">
        <v>11.58</v>
      </c>
      <c r="CZ3339">
        <v>11.58</v>
      </c>
      <c r="DA3339">
        <v>2.31</v>
      </c>
      <c r="DB3339">
        <v>5.15</v>
      </c>
      <c r="DC3339">
        <v>-6.06</v>
      </c>
      <c r="DD3339">
        <v>7.44</v>
      </c>
      <c r="DE3339" t="s">
        <v>11066</v>
      </c>
      <c r="DF3339" t="s">
        <v>120</v>
      </c>
      <c r="DG3339">
        <v>47.58</v>
      </c>
      <c r="DH3339">
        <v>36.56</v>
      </c>
      <c r="DI3339" t="s">
        <v>120</v>
      </c>
      <c r="DJ3339">
        <v>4560</v>
      </c>
      <c r="DK3339">
        <v>601963</v>
      </c>
      <c r="DL3339" t="s">
        <v>120</v>
      </c>
      <c r="DM3339" t="s">
        <v>120</v>
      </c>
      <c r="DN3339" t="s">
        <v>120</v>
      </c>
    </row>
    <row r="3340" spans="1:118">
      <c r="A3340" t="str">
        <f>"601965"</f>
        <v>601965</v>
      </c>
      <c r="B3340" t="s">
        <v>14312</v>
      </c>
      <c r="C3340">
        <v>-5.51</v>
      </c>
      <c r="D3340">
        <v>-0.12</v>
      </c>
      <c r="E3340">
        <v>0</v>
      </c>
      <c r="F3340">
        <v>8234</v>
      </c>
      <c r="G3340" t="s">
        <v>8133</v>
      </c>
      <c r="H3340">
        <v>21083.95</v>
      </c>
      <c r="I3340">
        <v>228.31</v>
      </c>
      <c r="J3340" t="s">
        <v>120</v>
      </c>
      <c r="K3340" t="s">
        <v>14313</v>
      </c>
      <c r="L3340">
        <v>1.43</v>
      </c>
      <c r="M3340">
        <v>14.93</v>
      </c>
      <c r="N3340">
        <v>1.65</v>
      </c>
      <c r="O3340">
        <v>0.56999999999999995</v>
      </c>
      <c r="P3340">
        <v>15.89</v>
      </c>
      <c r="Q3340">
        <v>-5.89</v>
      </c>
      <c r="R3340">
        <v>14.87</v>
      </c>
      <c r="S3340">
        <v>15.8</v>
      </c>
      <c r="T3340">
        <v>138339</v>
      </c>
      <c r="U3340">
        <v>14.95</v>
      </c>
      <c r="V3340">
        <v>15.8</v>
      </c>
      <c r="W3340">
        <v>28.17</v>
      </c>
      <c r="X3340" t="s">
        <v>253</v>
      </c>
      <c r="Y3340" t="s">
        <v>883</v>
      </c>
      <c r="Z3340">
        <v>6.46</v>
      </c>
      <c r="AA3340">
        <v>15.24</v>
      </c>
      <c r="AB3340">
        <v>75505</v>
      </c>
      <c r="AC3340">
        <v>62834</v>
      </c>
      <c r="AD3340">
        <v>1.2</v>
      </c>
      <c r="AE3340">
        <v>172</v>
      </c>
      <c r="AF3340">
        <v>711</v>
      </c>
      <c r="AG3340" t="s">
        <v>120</v>
      </c>
      <c r="AH3340">
        <v>0.04</v>
      </c>
      <c r="AI3340" t="s">
        <v>120</v>
      </c>
      <c r="AJ3340">
        <v>9.67</v>
      </c>
      <c r="AK3340" t="s">
        <v>12746</v>
      </c>
      <c r="AL3340">
        <v>-4.16</v>
      </c>
      <c r="AM3340">
        <v>3290</v>
      </c>
      <c r="AN3340">
        <v>42</v>
      </c>
      <c r="AO3340">
        <v>4.0000000000000002E-4</v>
      </c>
      <c r="AP3340">
        <v>-6</v>
      </c>
      <c r="AQ3340">
        <v>-0.82</v>
      </c>
      <c r="AR3340">
        <v>-7.15</v>
      </c>
      <c r="AS3340">
        <v>-19.989999999999998</v>
      </c>
      <c r="AT3340">
        <v>-14.05</v>
      </c>
      <c r="AU3340">
        <v>2.89</v>
      </c>
      <c r="AV3340">
        <v>3</v>
      </c>
      <c r="AW3340">
        <v>4.16</v>
      </c>
      <c r="AX3340">
        <v>33.58</v>
      </c>
      <c r="AY3340">
        <v>25.14</v>
      </c>
      <c r="AZ3340">
        <v>28</v>
      </c>
      <c r="BA3340">
        <v>1.21</v>
      </c>
      <c r="BB3340" t="s">
        <v>168</v>
      </c>
      <c r="BF3340">
        <v>-3.54</v>
      </c>
      <c r="BG3340">
        <v>-5.51</v>
      </c>
      <c r="BH3340">
        <v>-6.04</v>
      </c>
      <c r="BI3340">
        <v>0.4</v>
      </c>
      <c r="BJ3340">
        <v>20210830</v>
      </c>
      <c r="BK3340">
        <v>20120611</v>
      </c>
      <c r="BL3340">
        <v>9.9</v>
      </c>
      <c r="BM3340" t="s">
        <v>120</v>
      </c>
      <c r="BN3340" t="s">
        <v>120</v>
      </c>
      <c r="BO3340">
        <v>72.77</v>
      </c>
      <c r="BP3340">
        <v>14.93</v>
      </c>
      <c r="BQ3340">
        <v>50.33</v>
      </c>
      <c r="BR3340">
        <v>2.1800000000000002</v>
      </c>
      <c r="BS3340">
        <v>27.84</v>
      </c>
      <c r="BT3340">
        <v>31.25</v>
      </c>
      <c r="BU3340">
        <v>27.63</v>
      </c>
      <c r="BV3340">
        <v>3.84</v>
      </c>
      <c r="BW3340">
        <v>17.7</v>
      </c>
      <c r="BX3340">
        <v>13.28</v>
      </c>
      <c r="BY3340">
        <v>5.87</v>
      </c>
      <c r="BZ3340">
        <v>7.36</v>
      </c>
      <c r="CA3340">
        <v>0.01</v>
      </c>
      <c r="CB3340">
        <v>15.9</v>
      </c>
      <c r="CC3340">
        <v>18.010000000000002</v>
      </c>
      <c r="CD3340">
        <v>12.79</v>
      </c>
      <c r="CE3340">
        <v>3.38</v>
      </c>
      <c r="CF3340">
        <v>0</v>
      </c>
      <c r="CG3340">
        <v>3.35</v>
      </c>
      <c r="CH3340">
        <v>2.73</v>
      </c>
      <c r="CI3340">
        <v>2.62</v>
      </c>
      <c r="CJ3340">
        <v>-0.87</v>
      </c>
      <c r="CK3340">
        <v>2.41</v>
      </c>
      <c r="CL3340">
        <v>22.51</v>
      </c>
      <c r="CM3340">
        <v>-0.34</v>
      </c>
      <c r="CN3340">
        <v>-1.73</v>
      </c>
      <c r="CO3340">
        <v>20279</v>
      </c>
      <c r="CP3340">
        <v>16388</v>
      </c>
      <c r="CQ3340" t="s">
        <v>14314</v>
      </c>
      <c r="CR3340">
        <v>32</v>
      </c>
      <c r="CS3340">
        <v>16.87</v>
      </c>
      <c r="CT3340">
        <v>2.94</v>
      </c>
      <c r="CU3340">
        <v>-435.6</v>
      </c>
      <c r="CV3340">
        <v>8.1999999999999993</v>
      </c>
      <c r="CW3340">
        <v>1.9</v>
      </c>
      <c r="CX3340" t="s">
        <v>1233</v>
      </c>
      <c r="CY3340">
        <v>5.09</v>
      </c>
      <c r="CZ3340">
        <v>0</v>
      </c>
      <c r="DA3340">
        <v>1.61</v>
      </c>
      <c r="DB3340">
        <v>2.27</v>
      </c>
      <c r="DC3340">
        <v>-0.03</v>
      </c>
      <c r="DD3340">
        <v>69.16</v>
      </c>
      <c r="DE3340" t="s">
        <v>8143</v>
      </c>
      <c r="DF3340">
        <v>29</v>
      </c>
      <c r="DG3340">
        <v>18.75</v>
      </c>
      <c r="DH3340">
        <v>14.56</v>
      </c>
      <c r="DI3340">
        <v>0.74</v>
      </c>
      <c r="DJ3340">
        <v>1652</v>
      </c>
      <c r="DK3340">
        <v>601965</v>
      </c>
      <c r="DL3340" t="s">
        <v>120</v>
      </c>
      <c r="DM3340" t="s">
        <v>120</v>
      </c>
      <c r="DN3340" t="s">
        <v>120</v>
      </c>
    </row>
    <row r="3341" spans="1:118">
      <c r="A3341" t="str">
        <f>"601966"</f>
        <v>601966</v>
      </c>
      <c r="B3341" t="s">
        <v>14315</v>
      </c>
      <c r="C3341">
        <v>-3.6</v>
      </c>
      <c r="D3341">
        <v>-0.25</v>
      </c>
      <c r="E3341">
        <v>0.25</v>
      </c>
      <c r="F3341">
        <v>1046</v>
      </c>
      <c r="G3341" t="s">
        <v>14316</v>
      </c>
      <c r="H3341">
        <v>27576.39</v>
      </c>
      <c r="I3341">
        <v>130.56</v>
      </c>
      <c r="J3341" t="s">
        <v>120</v>
      </c>
      <c r="K3341" t="s">
        <v>14317</v>
      </c>
      <c r="L3341">
        <v>0.66</v>
      </c>
      <c r="M3341">
        <v>30.25</v>
      </c>
      <c r="N3341">
        <v>1.36</v>
      </c>
      <c r="O3341">
        <v>2.17</v>
      </c>
      <c r="P3341">
        <v>32.06</v>
      </c>
      <c r="Q3341">
        <v>-3.73</v>
      </c>
      <c r="R3341">
        <v>30.21</v>
      </c>
      <c r="S3341">
        <v>31.46</v>
      </c>
      <c r="T3341">
        <v>89387</v>
      </c>
      <c r="U3341">
        <v>30.28</v>
      </c>
      <c r="V3341">
        <v>31.38</v>
      </c>
      <c r="W3341">
        <v>26.84</v>
      </c>
      <c r="X3341" t="s">
        <v>289</v>
      </c>
      <c r="Y3341" t="s">
        <v>638</v>
      </c>
      <c r="Z3341">
        <v>5.9</v>
      </c>
      <c r="AA3341">
        <v>30.85</v>
      </c>
      <c r="AB3341">
        <v>41375</v>
      </c>
      <c r="AC3341">
        <v>48012</v>
      </c>
      <c r="AD3341">
        <v>0.86</v>
      </c>
      <c r="AE3341">
        <v>239</v>
      </c>
      <c r="AF3341">
        <v>10</v>
      </c>
      <c r="AG3341" t="s">
        <v>120</v>
      </c>
      <c r="AH3341">
        <v>0.01</v>
      </c>
      <c r="AI3341" t="s">
        <v>120</v>
      </c>
      <c r="AJ3341">
        <v>13.56</v>
      </c>
      <c r="AK3341" t="s">
        <v>14318</v>
      </c>
      <c r="AL3341">
        <v>-2.2599999999999998</v>
      </c>
      <c r="AM3341">
        <v>3704</v>
      </c>
      <c r="AN3341">
        <v>24</v>
      </c>
      <c r="AO3341">
        <v>2.0000000000000001E-4</v>
      </c>
      <c r="AP3341">
        <v>-4</v>
      </c>
      <c r="AQ3341">
        <v>-2.58</v>
      </c>
      <c r="AR3341">
        <v>-9.5399999999999991</v>
      </c>
      <c r="AS3341">
        <v>-16.39</v>
      </c>
      <c r="AT3341">
        <v>-37.06</v>
      </c>
      <c r="AU3341">
        <v>-12.78</v>
      </c>
      <c r="AV3341">
        <v>1</v>
      </c>
      <c r="AW3341">
        <v>1.64</v>
      </c>
      <c r="AX3341">
        <v>39.64</v>
      </c>
      <c r="AY3341">
        <v>20.55</v>
      </c>
      <c r="AZ3341">
        <v>19.41</v>
      </c>
      <c r="BA3341">
        <v>1.65</v>
      </c>
      <c r="BB3341" t="s">
        <v>134</v>
      </c>
      <c r="BF3341">
        <v>-1.69</v>
      </c>
      <c r="BG3341">
        <v>-3.85</v>
      </c>
      <c r="BH3341">
        <v>-5.65</v>
      </c>
      <c r="BI3341">
        <v>0.13</v>
      </c>
      <c r="BJ3341">
        <v>20210827</v>
      </c>
      <c r="BK3341">
        <v>20160706</v>
      </c>
      <c r="BL3341">
        <v>13.74</v>
      </c>
      <c r="BM3341" t="s">
        <v>120</v>
      </c>
      <c r="BN3341" t="s">
        <v>120</v>
      </c>
      <c r="BO3341">
        <v>313.67</v>
      </c>
      <c r="BP3341">
        <v>30.25</v>
      </c>
      <c r="BQ3341">
        <v>166.29</v>
      </c>
      <c r="BR3341">
        <v>0.06</v>
      </c>
      <c r="BS3341">
        <v>46.97</v>
      </c>
      <c r="BT3341">
        <v>118.09</v>
      </c>
      <c r="BU3341">
        <v>116.8</v>
      </c>
      <c r="BV3341">
        <v>9.4600000000000009</v>
      </c>
      <c r="BW3341">
        <v>135.61000000000001</v>
      </c>
      <c r="BX3341">
        <v>24.4</v>
      </c>
      <c r="BY3341">
        <v>37.76</v>
      </c>
      <c r="BZ3341">
        <v>36.51</v>
      </c>
      <c r="CA3341" t="s">
        <v>120</v>
      </c>
      <c r="CB3341">
        <v>68.66</v>
      </c>
      <c r="CC3341">
        <v>100.38</v>
      </c>
      <c r="CD3341">
        <v>78.86</v>
      </c>
      <c r="CE3341">
        <v>7.94</v>
      </c>
      <c r="CF3341">
        <v>-0.45</v>
      </c>
      <c r="CG3341">
        <v>7.97</v>
      </c>
      <c r="CH3341">
        <v>7.74</v>
      </c>
      <c r="CI3341">
        <v>7.74</v>
      </c>
      <c r="CJ3341">
        <v>-1.1299999999999999</v>
      </c>
      <c r="CK3341">
        <v>6.81</v>
      </c>
      <c r="CL3341">
        <v>83.21</v>
      </c>
      <c r="CM3341">
        <v>-0.76</v>
      </c>
      <c r="CN3341">
        <v>-16.829999999999998</v>
      </c>
      <c r="CO3341">
        <v>39859</v>
      </c>
      <c r="CP3341">
        <v>13661</v>
      </c>
      <c r="CQ3341" t="s">
        <v>14319</v>
      </c>
      <c r="CR3341">
        <v>-13.67</v>
      </c>
      <c r="CS3341">
        <v>21.77</v>
      </c>
      <c r="CT3341">
        <v>2.5</v>
      </c>
      <c r="CU3341">
        <v>-549.71</v>
      </c>
      <c r="CV3341">
        <v>4.1399999999999997</v>
      </c>
      <c r="CW3341">
        <v>1.56</v>
      </c>
      <c r="CX3341" t="s">
        <v>1881</v>
      </c>
      <c r="CY3341">
        <v>12.11</v>
      </c>
      <c r="CZ3341">
        <v>0</v>
      </c>
      <c r="DA3341">
        <v>5</v>
      </c>
      <c r="DB3341">
        <v>6.06</v>
      </c>
      <c r="DC3341">
        <v>-0.06</v>
      </c>
      <c r="DD3341">
        <v>53.02</v>
      </c>
      <c r="DE3341" t="s">
        <v>473</v>
      </c>
      <c r="DF3341">
        <v>21.44</v>
      </c>
      <c r="DG3341">
        <v>7.91</v>
      </c>
      <c r="DH3341">
        <v>7.71</v>
      </c>
      <c r="DI3341">
        <v>4.58</v>
      </c>
      <c r="DJ3341">
        <v>17475</v>
      </c>
      <c r="DK3341">
        <v>601966</v>
      </c>
      <c r="DL3341" t="s">
        <v>120</v>
      </c>
      <c r="DM3341" t="s">
        <v>120</v>
      </c>
      <c r="DN3341" t="s">
        <v>120</v>
      </c>
    </row>
    <row r="3342" spans="1:118">
      <c r="A3342" t="str">
        <f>"601968"</f>
        <v>601968</v>
      </c>
      <c r="B3342" t="s">
        <v>14320</v>
      </c>
      <c r="C3342">
        <v>-4.13</v>
      </c>
      <c r="D3342">
        <v>-0.1</v>
      </c>
      <c r="E3342">
        <v>-0.41</v>
      </c>
      <c r="F3342">
        <v>251</v>
      </c>
      <c r="G3342" t="s">
        <v>14321</v>
      </c>
      <c r="H3342">
        <v>6644.27</v>
      </c>
      <c r="I3342">
        <v>6.46</v>
      </c>
      <c r="J3342" t="s">
        <v>120</v>
      </c>
      <c r="K3342" t="s">
        <v>14322</v>
      </c>
      <c r="L3342">
        <v>0.84</v>
      </c>
      <c r="M3342">
        <v>9.2799999999999994</v>
      </c>
      <c r="N3342">
        <v>1.77</v>
      </c>
      <c r="O3342">
        <v>1.65</v>
      </c>
      <c r="P3342">
        <v>9.84</v>
      </c>
      <c r="Q3342">
        <v>-4.4400000000000004</v>
      </c>
      <c r="R3342">
        <v>9.25</v>
      </c>
      <c r="S3342">
        <v>9.64</v>
      </c>
      <c r="T3342">
        <v>70158</v>
      </c>
      <c r="U3342">
        <v>9.2899999999999991</v>
      </c>
      <c r="V3342">
        <v>9.68</v>
      </c>
      <c r="W3342">
        <v>34.47</v>
      </c>
      <c r="X3342" t="s">
        <v>339</v>
      </c>
      <c r="Y3342" t="s">
        <v>1510</v>
      </c>
      <c r="Z3342">
        <v>6.1</v>
      </c>
      <c r="AA3342">
        <v>9.4700000000000006</v>
      </c>
      <c r="AB3342">
        <v>38481</v>
      </c>
      <c r="AC3342">
        <v>31677</v>
      </c>
      <c r="AD3342">
        <v>1.21</v>
      </c>
      <c r="AE3342">
        <v>131</v>
      </c>
      <c r="AF3342">
        <v>500</v>
      </c>
      <c r="AG3342" t="s">
        <v>120</v>
      </c>
      <c r="AH3342">
        <v>0</v>
      </c>
      <c r="AI3342" t="s">
        <v>120</v>
      </c>
      <c r="AJ3342">
        <v>8.3800000000000008</v>
      </c>
      <c r="AK3342" t="s">
        <v>14323</v>
      </c>
      <c r="AL3342">
        <v>-2.79</v>
      </c>
      <c r="AM3342">
        <v>2070</v>
      </c>
      <c r="AN3342">
        <v>34</v>
      </c>
      <c r="AO3342">
        <v>4.0000000000000002E-4</v>
      </c>
      <c r="AP3342">
        <v>-4</v>
      </c>
      <c r="AQ3342">
        <v>-3.68</v>
      </c>
      <c r="AR3342">
        <v>-8.1999999999999993</v>
      </c>
      <c r="AS3342">
        <v>-10.51</v>
      </c>
      <c r="AT3342">
        <v>2.66</v>
      </c>
      <c r="AU3342">
        <v>15.58</v>
      </c>
      <c r="AV3342">
        <v>0</v>
      </c>
      <c r="AW3342">
        <v>2.0699999999999998</v>
      </c>
      <c r="AX3342">
        <v>29.87</v>
      </c>
      <c r="AY3342">
        <v>48.87</v>
      </c>
      <c r="AZ3342">
        <v>69.11</v>
      </c>
      <c r="BA3342">
        <v>1.0900000000000001</v>
      </c>
      <c r="BB3342" t="s">
        <v>143</v>
      </c>
      <c r="BF3342">
        <v>-2.17</v>
      </c>
      <c r="BG3342">
        <v>-3.73</v>
      </c>
      <c r="BH3342">
        <v>-5.69</v>
      </c>
      <c r="BI3342">
        <v>0.32</v>
      </c>
      <c r="BJ3342">
        <v>20210830</v>
      </c>
      <c r="BK3342">
        <v>20150611</v>
      </c>
      <c r="BL3342">
        <v>11.33</v>
      </c>
      <c r="BM3342" t="s">
        <v>120</v>
      </c>
      <c r="BN3342" t="s">
        <v>120</v>
      </c>
      <c r="BO3342">
        <v>73.069999999999993</v>
      </c>
      <c r="BP3342">
        <v>9.2799999999999994</v>
      </c>
      <c r="BQ3342">
        <v>34.86</v>
      </c>
      <c r="BR3342">
        <v>2.2400000000000002</v>
      </c>
      <c r="BS3342">
        <v>49.23</v>
      </c>
      <c r="BT3342">
        <v>34.85</v>
      </c>
      <c r="BU3342">
        <v>26.61</v>
      </c>
      <c r="BV3342">
        <v>1.95</v>
      </c>
      <c r="BW3342">
        <v>31.48</v>
      </c>
      <c r="BX3342">
        <v>7.73</v>
      </c>
      <c r="BY3342">
        <v>7.47</v>
      </c>
      <c r="BZ3342">
        <v>14.89</v>
      </c>
      <c r="CA3342" t="s">
        <v>120</v>
      </c>
      <c r="CB3342">
        <v>16.72</v>
      </c>
      <c r="CC3342">
        <v>31.89</v>
      </c>
      <c r="CD3342">
        <v>28.17</v>
      </c>
      <c r="CE3342">
        <v>1.94</v>
      </c>
      <c r="CF3342">
        <v>0</v>
      </c>
      <c r="CG3342">
        <v>1.95</v>
      </c>
      <c r="CH3342">
        <v>1.66</v>
      </c>
      <c r="CI3342">
        <v>1.52</v>
      </c>
      <c r="CJ3342">
        <v>-0.4</v>
      </c>
      <c r="CK3342">
        <v>1.48</v>
      </c>
      <c r="CL3342">
        <v>6.65</v>
      </c>
      <c r="CM3342">
        <v>4.34</v>
      </c>
      <c r="CN3342">
        <v>0.71</v>
      </c>
      <c r="CO3342">
        <v>34430</v>
      </c>
      <c r="CP3342">
        <v>9827</v>
      </c>
      <c r="CQ3342" t="s">
        <v>14324</v>
      </c>
      <c r="CR3342">
        <v>75.75</v>
      </c>
      <c r="CS3342">
        <v>26.48</v>
      </c>
      <c r="CT3342">
        <v>3.02</v>
      </c>
      <c r="CU3342">
        <v>24.22</v>
      </c>
      <c r="CV3342">
        <v>3.3</v>
      </c>
      <c r="CW3342">
        <v>0.73</v>
      </c>
      <c r="CX3342" t="s">
        <v>1091</v>
      </c>
      <c r="CY3342">
        <v>3.08</v>
      </c>
      <c r="CZ3342">
        <v>0</v>
      </c>
      <c r="DA3342">
        <v>1.48</v>
      </c>
      <c r="DB3342">
        <v>0.59</v>
      </c>
      <c r="DC3342">
        <v>0.38</v>
      </c>
      <c r="DD3342">
        <v>47.7</v>
      </c>
      <c r="DE3342" t="s">
        <v>3118</v>
      </c>
      <c r="DF3342">
        <v>11.64</v>
      </c>
      <c r="DG3342">
        <v>6.08</v>
      </c>
      <c r="DH3342">
        <v>4.78</v>
      </c>
      <c r="DI3342">
        <v>0.25</v>
      </c>
      <c r="DJ3342">
        <v>1297</v>
      </c>
      <c r="DK3342">
        <v>601968</v>
      </c>
      <c r="DL3342" t="s">
        <v>120</v>
      </c>
      <c r="DM3342" t="s">
        <v>120</v>
      </c>
      <c r="DN3342" t="s">
        <v>120</v>
      </c>
    </row>
    <row r="3343" spans="1:118">
      <c r="A3343" t="str">
        <f>"601969"</f>
        <v>601969</v>
      </c>
      <c r="B3343" t="s">
        <v>14325</v>
      </c>
      <c r="C3343">
        <v>-9.99</v>
      </c>
      <c r="D3343">
        <v>0</v>
      </c>
      <c r="E3343">
        <v>-0.69</v>
      </c>
      <c r="F3343">
        <v>4675</v>
      </c>
      <c r="G3343" t="s">
        <v>14326</v>
      </c>
      <c r="H3343">
        <v>110867.73</v>
      </c>
      <c r="I3343">
        <v>442.21</v>
      </c>
      <c r="J3343">
        <v>1394.69</v>
      </c>
      <c r="K3343" t="s">
        <v>14327</v>
      </c>
      <c r="L3343">
        <v>2.61</v>
      </c>
      <c r="M3343">
        <v>20.81</v>
      </c>
      <c r="N3343">
        <v>1.04</v>
      </c>
      <c r="O3343">
        <v>0.13</v>
      </c>
      <c r="P3343">
        <v>23.15</v>
      </c>
      <c r="Q3343">
        <v>-9.99</v>
      </c>
      <c r="R3343">
        <v>20.81</v>
      </c>
      <c r="S3343">
        <v>22.96</v>
      </c>
      <c r="T3343">
        <v>510310</v>
      </c>
      <c r="U3343">
        <v>20.81</v>
      </c>
      <c r="V3343">
        <v>23.12</v>
      </c>
      <c r="W3343">
        <v>36.380000000000003</v>
      </c>
      <c r="X3343" t="s">
        <v>1460</v>
      </c>
      <c r="Y3343" t="s">
        <v>835</v>
      </c>
      <c r="Z3343">
        <v>10.119999999999999</v>
      </c>
      <c r="AA3343">
        <v>21.73</v>
      </c>
      <c r="AB3343">
        <v>251443</v>
      </c>
      <c r="AC3343">
        <v>258867</v>
      </c>
      <c r="AD3343">
        <v>0.97</v>
      </c>
      <c r="AE3343">
        <v>0</v>
      </c>
      <c r="AF3343">
        <v>6702</v>
      </c>
      <c r="AG3343" t="s">
        <v>120</v>
      </c>
      <c r="AH3343">
        <v>7.0000000000000007E-2</v>
      </c>
      <c r="AI3343">
        <v>0.01</v>
      </c>
      <c r="AJ3343">
        <v>19.55</v>
      </c>
      <c r="AK3343" t="s">
        <v>14328</v>
      </c>
      <c r="AL3343">
        <v>-8.65</v>
      </c>
      <c r="AM3343">
        <v>4681</v>
      </c>
      <c r="AN3343">
        <v>109</v>
      </c>
      <c r="AO3343">
        <v>5.9999999999999995E-4</v>
      </c>
      <c r="AP3343">
        <v>-4</v>
      </c>
      <c r="AQ3343">
        <v>-2.2799999999999998</v>
      </c>
      <c r="AR3343">
        <v>-16.190000000000001</v>
      </c>
      <c r="AS3343">
        <v>6.01</v>
      </c>
      <c r="AT3343">
        <v>99.52</v>
      </c>
      <c r="AU3343">
        <v>247.99</v>
      </c>
      <c r="AV3343">
        <v>15</v>
      </c>
      <c r="AW3343">
        <v>17.39</v>
      </c>
      <c r="AX3343">
        <v>14.51</v>
      </c>
      <c r="AY3343">
        <v>66.59</v>
      </c>
      <c r="AZ3343">
        <v>327.96</v>
      </c>
      <c r="BA3343">
        <v>1.1299999999999999</v>
      </c>
      <c r="BB3343" t="s">
        <v>240</v>
      </c>
      <c r="BF3343">
        <v>-6.03</v>
      </c>
      <c r="BG3343">
        <v>-9.36</v>
      </c>
      <c r="BH3343">
        <v>-10.11</v>
      </c>
      <c r="BI3343">
        <v>0</v>
      </c>
      <c r="BJ3343">
        <v>20210901</v>
      </c>
      <c r="BK3343">
        <v>20141209</v>
      </c>
      <c r="BL3343">
        <v>20.22</v>
      </c>
      <c r="BM3343" t="s">
        <v>120</v>
      </c>
      <c r="BN3343" t="s">
        <v>120</v>
      </c>
      <c r="BO3343">
        <v>96.55</v>
      </c>
      <c r="BP3343" t="s">
        <v>120</v>
      </c>
      <c r="BQ3343">
        <v>45.65</v>
      </c>
      <c r="BR3343">
        <v>9.83</v>
      </c>
      <c r="BS3343">
        <v>42.53</v>
      </c>
      <c r="BT3343">
        <v>39.4</v>
      </c>
      <c r="BU3343">
        <v>20.84</v>
      </c>
      <c r="BV3343">
        <v>5.88</v>
      </c>
      <c r="BW3343">
        <v>26.89</v>
      </c>
      <c r="BX3343">
        <v>16.350000000000001</v>
      </c>
      <c r="BY3343">
        <v>3.55</v>
      </c>
      <c r="BZ3343">
        <v>3.13</v>
      </c>
      <c r="CA3343">
        <v>0</v>
      </c>
      <c r="CB3343">
        <v>31.18</v>
      </c>
      <c r="CC3343">
        <v>20.45</v>
      </c>
      <c r="CD3343">
        <v>10.43</v>
      </c>
      <c r="CE3343">
        <v>7.69</v>
      </c>
      <c r="CF3343">
        <v>0.32</v>
      </c>
      <c r="CG3343">
        <v>7.67</v>
      </c>
      <c r="CH3343">
        <v>6.28</v>
      </c>
      <c r="CI3343">
        <v>5.78</v>
      </c>
      <c r="CJ3343">
        <v>-2.31</v>
      </c>
      <c r="CK3343">
        <v>4.09</v>
      </c>
      <c r="CL3343">
        <v>-8.8000000000000007</v>
      </c>
      <c r="CM3343">
        <v>2.73</v>
      </c>
      <c r="CN3343">
        <v>-2.97</v>
      </c>
      <c r="CO3343">
        <v>36871</v>
      </c>
      <c r="CP3343">
        <v>7957</v>
      </c>
      <c r="CQ3343" t="s">
        <v>14329</v>
      </c>
      <c r="CR3343">
        <v>2976.15</v>
      </c>
      <c r="CS3343">
        <v>61.02</v>
      </c>
      <c r="CT3343">
        <v>8.91</v>
      </c>
      <c r="CU3343">
        <v>154.13</v>
      </c>
      <c r="CV3343">
        <v>20.57</v>
      </c>
      <c r="CW3343">
        <v>0</v>
      </c>
      <c r="CX3343" t="s">
        <v>1340</v>
      </c>
      <c r="CY3343">
        <v>2.34</v>
      </c>
      <c r="CZ3343">
        <v>2.34</v>
      </c>
      <c r="DA3343">
        <v>1.54</v>
      </c>
      <c r="DB3343">
        <v>-0.44</v>
      </c>
      <c r="DC3343">
        <v>0.14000000000000001</v>
      </c>
      <c r="DD3343">
        <v>47.29</v>
      </c>
      <c r="DE3343" t="s">
        <v>14330</v>
      </c>
      <c r="DF3343">
        <v>49</v>
      </c>
      <c r="DG3343">
        <v>37.61</v>
      </c>
      <c r="DH3343">
        <v>28.27</v>
      </c>
      <c r="DI3343">
        <v>0.25</v>
      </c>
      <c r="DJ3343">
        <v>3328</v>
      </c>
      <c r="DK3343">
        <v>601969</v>
      </c>
      <c r="DL3343">
        <v>20210601</v>
      </c>
      <c r="DM3343">
        <v>9.5399999999999991</v>
      </c>
      <c r="DN3343">
        <v>118.13</v>
      </c>
    </row>
    <row r="3344" spans="1:118">
      <c r="A3344" t="str">
        <f>"601975"</f>
        <v>601975</v>
      </c>
      <c r="B3344" t="s">
        <v>14331</v>
      </c>
      <c r="C3344">
        <v>-2.64</v>
      </c>
      <c r="D3344">
        <v>0</v>
      </c>
      <c r="E3344">
        <v>0</v>
      </c>
      <c r="F3344">
        <v>6116</v>
      </c>
      <c r="G3344" t="s">
        <v>10333</v>
      </c>
      <c r="H3344">
        <v>18850.75</v>
      </c>
      <c r="I3344">
        <v>99.9</v>
      </c>
      <c r="J3344" t="s">
        <v>120</v>
      </c>
      <c r="K3344" t="s">
        <v>14332</v>
      </c>
      <c r="L3344">
        <v>2.4</v>
      </c>
      <c r="M3344">
        <v>2.21</v>
      </c>
      <c r="N3344">
        <v>0.69</v>
      </c>
      <c r="O3344">
        <v>1.32</v>
      </c>
      <c r="P3344">
        <v>2.2999999999999998</v>
      </c>
      <c r="Q3344">
        <v>-3.08</v>
      </c>
      <c r="R3344">
        <v>2.2000000000000002</v>
      </c>
      <c r="S3344">
        <v>2.27</v>
      </c>
      <c r="T3344">
        <v>839396</v>
      </c>
      <c r="U3344">
        <v>2.21</v>
      </c>
      <c r="V3344">
        <v>2.27</v>
      </c>
      <c r="W3344">
        <v>25.76</v>
      </c>
      <c r="X3344" t="s">
        <v>917</v>
      </c>
      <c r="Y3344" t="s">
        <v>319</v>
      </c>
      <c r="Z3344">
        <v>4.41</v>
      </c>
      <c r="AA3344">
        <v>2.25</v>
      </c>
      <c r="AB3344">
        <v>513673</v>
      </c>
      <c r="AC3344">
        <v>325723</v>
      </c>
      <c r="AD3344">
        <v>1.58</v>
      </c>
      <c r="AE3344">
        <v>23649</v>
      </c>
      <c r="AF3344">
        <v>2883</v>
      </c>
      <c r="AG3344" t="s">
        <v>120</v>
      </c>
      <c r="AH3344">
        <v>0.01</v>
      </c>
      <c r="AI3344" t="s">
        <v>120</v>
      </c>
      <c r="AJ3344">
        <v>34.950000000000003</v>
      </c>
      <c r="AK3344" t="s">
        <v>14333</v>
      </c>
      <c r="AL3344">
        <v>-1.3</v>
      </c>
      <c r="AM3344">
        <v>3102</v>
      </c>
      <c r="AN3344">
        <v>271</v>
      </c>
      <c r="AO3344">
        <v>8.0000000000000004E-4</v>
      </c>
      <c r="AP3344">
        <v>-1</v>
      </c>
      <c r="AQ3344">
        <v>1.34</v>
      </c>
      <c r="AR3344">
        <v>-4.74</v>
      </c>
      <c r="AS3344">
        <v>15.71</v>
      </c>
      <c r="AT3344">
        <v>2.79</v>
      </c>
      <c r="AU3344">
        <v>-11.95</v>
      </c>
      <c r="AV3344">
        <v>0</v>
      </c>
      <c r="AW3344">
        <v>2.7</v>
      </c>
      <c r="AX3344">
        <v>64.03</v>
      </c>
      <c r="AY3344">
        <v>25.54</v>
      </c>
      <c r="AZ3344">
        <v>7.92</v>
      </c>
      <c r="BA3344">
        <v>0.54</v>
      </c>
      <c r="BB3344" t="s">
        <v>184</v>
      </c>
      <c r="BF3344">
        <v>-1.07</v>
      </c>
      <c r="BG3344">
        <v>-2.64</v>
      </c>
      <c r="BH3344">
        <v>-3.91</v>
      </c>
      <c r="BI3344">
        <v>0.45</v>
      </c>
      <c r="BJ3344">
        <v>20210817</v>
      </c>
      <c r="BK3344">
        <v>20190108</v>
      </c>
      <c r="BL3344">
        <v>48.53</v>
      </c>
      <c r="BM3344" t="s">
        <v>120</v>
      </c>
      <c r="BN3344" t="s">
        <v>120</v>
      </c>
      <c r="BO3344">
        <v>88.05</v>
      </c>
      <c r="BP3344">
        <v>2.2000000000000002</v>
      </c>
      <c r="BQ3344">
        <v>57.17</v>
      </c>
      <c r="BR3344">
        <v>1.28</v>
      </c>
      <c r="BS3344">
        <v>33.619999999999997</v>
      </c>
      <c r="BT3344">
        <v>24.18</v>
      </c>
      <c r="BU3344">
        <v>57.29</v>
      </c>
      <c r="BV3344">
        <v>0.05</v>
      </c>
      <c r="BW3344">
        <v>13.39</v>
      </c>
      <c r="BX3344">
        <v>14.38</v>
      </c>
      <c r="BY3344">
        <v>2.66</v>
      </c>
      <c r="BZ3344">
        <v>1.74</v>
      </c>
      <c r="CA3344">
        <v>0</v>
      </c>
      <c r="CB3344">
        <v>40.53</v>
      </c>
      <c r="CC3344">
        <v>18.87</v>
      </c>
      <c r="CD3344">
        <v>14.96</v>
      </c>
      <c r="CE3344">
        <v>2.72</v>
      </c>
      <c r="CF3344">
        <v>0</v>
      </c>
      <c r="CG3344">
        <v>2.72</v>
      </c>
      <c r="CH3344">
        <v>2.13</v>
      </c>
      <c r="CI3344">
        <v>2.08</v>
      </c>
      <c r="CJ3344">
        <v>-0.06</v>
      </c>
      <c r="CK3344">
        <v>2.0699999999999998</v>
      </c>
      <c r="CL3344">
        <v>-31.71</v>
      </c>
      <c r="CM3344">
        <v>4.54</v>
      </c>
      <c r="CN3344">
        <v>-1.6</v>
      </c>
      <c r="CO3344">
        <v>134394</v>
      </c>
      <c r="CP3344">
        <v>23122</v>
      </c>
      <c r="CQ3344" t="s">
        <v>4025</v>
      </c>
      <c r="CR3344">
        <v>-82.17</v>
      </c>
      <c r="CS3344">
        <v>-14.46</v>
      </c>
      <c r="CT3344">
        <v>1.88</v>
      </c>
      <c r="CU3344">
        <v>23.63</v>
      </c>
      <c r="CV3344">
        <v>5.68</v>
      </c>
      <c r="CW3344">
        <v>0</v>
      </c>
      <c r="CX3344" t="s">
        <v>145</v>
      </c>
      <c r="CY3344">
        <v>1.18</v>
      </c>
      <c r="CZ3344">
        <v>0</v>
      </c>
      <c r="DA3344">
        <v>0.84</v>
      </c>
      <c r="DB3344">
        <v>-0.65</v>
      </c>
      <c r="DC3344">
        <v>0.09</v>
      </c>
      <c r="DD3344">
        <v>64.930000000000007</v>
      </c>
      <c r="DE3344" t="s">
        <v>1141</v>
      </c>
      <c r="DF3344">
        <v>20.75</v>
      </c>
      <c r="DG3344">
        <v>14.39</v>
      </c>
      <c r="DH3344">
        <v>11.03</v>
      </c>
      <c r="DI3344" t="s">
        <v>120</v>
      </c>
      <c r="DJ3344">
        <v>2228</v>
      </c>
      <c r="DK3344">
        <v>601975</v>
      </c>
      <c r="DL3344" t="s">
        <v>120</v>
      </c>
      <c r="DM3344" t="s">
        <v>120</v>
      </c>
      <c r="DN3344" t="s">
        <v>120</v>
      </c>
    </row>
    <row r="3345" spans="1:118">
      <c r="A3345" t="str">
        <f>"601985"</f>
        <v>601985</v>
      </c>
      <c r="B3345" t="s">
        <v>14334</v>
      </c>
      <c r="C3345">
        <v>-1.19</v>
      </c>
      <c r="D3345">
        <v>-0.44</v>
      </c>
      <c r="E3345">
        <v>2.39</v>
      </c>
      <c r="F3345">
        <v>31697</v>
      </c>
      <c r="G3345" t="s">
        <v>14335</v>
      </c>
      <c r="H3345">
        <v>153581.5</v>
      </c>
      <c r="I3345">
        <v>1620.81</v>
      </c>
      <c r="J3345" t="s">
        <v>120</v>
      </c>
      <c r="K3345" t="s">
        <v>14336</v>
      </c>
      <c r="L3345">
        <v>1.34</v>
      </c>
      <c r="M3345">
        <v>6.62</v>
      </c>
      <c r="N3345">
        <v>0.54</v>
      </c>
      <c r="O3345">
        <v>4.4800000000000004</v>
      </c>
      <c r="P3345">
        <v>7</v>
      </c>
      <c r="Q3345">
        <v>-2.39</v>
      </c>
      <c r="R3345">
        <v>6.54</v>
      </c>
      <c r="S3345">
        <v>6.86</v>
      </c>
      <c r="T3345">
        <v>2276019</v>
      </c>
      <c r="U3345">
        <v>6.62</v>
      </c>
      <c r="V3345">
        <v>6.7</v>
      </c>
      <c r="W3345">
        <v>12.91</v>
      </c>
      <c r="X3345" t="s">
        <v>356</v>
      </c>
      <c r="Y3345" t="s">
        <v>158</v>
      </c>
      <c r="Z3345">
        <v>6.87</v>
      </c>
      <c r="AA3345">
        <v>6.75</v>
      </c>
      <c r="AB3345">
        <v>1170535</v>
      </c>
      <c r="AC3345">
        <v>1105484</v>
      </c>
      <c r="AD3345">
        <v>1.06</v>
      </c>
      <c r="AE3345">
        <v>2482</v>
      </c>
      <c r="AF3345">
        <v>1536</v>
      </c>
      <c r="AG3345" t="s">
        <v>120</v>
      </c>
      <c r="AH3345">
        <v>0.04</v>
      </c>
      <c r="AI3345" t="s">
        <v>120</v>
      </c>
      <c r="AJ3345">
        <v>170.08</v>
      </c>
      <c r="AK3345" t="s">
        <v>14337</v>
      </c>
      <c r="AL3345">
        <v>0.15</v>
      </c>
      <c r="AM3345">
        <v>4718</v>
      </c>
      <c r="AN3345">
        <v>482</v>
      </c>
      <c r="AO3345">
        <v>2.9999999999999997E-4</v>
      </c>
      <c r="AP3345">
        <v>-3</v>
      </c>
      <c r="AQ3345">
        <v>-1.18</v>
      </c>
      <c r="AR3345">
        <v>-8.31</v>
      </c>
      <c r="AS3345">
        <v>29.8</v>
      </c>
      <c r="AT3345">
        <v>32.130000000000003</v>
      </c>
      <c r="AU3345">
        <v>38.200000000000003</v>
      </c>
      <c r="AV3345">
        <v>1</v>
      </c>
      <c r="AW3345">
        <v>3.68</v>
      </c>
      <c r="AX3345">
        <v>35.46</v>
      </c>
      <c r="AY3345">
        <v>15.78</v>
      </c>
      <c r="AZ3345">
        <v>19.510000000000002</v>
      </c>
      <c r="BA3345">
        <v>0.92</v>
      </c>
      <c r="BB3345" t="s">
        <v>143</v>
      </c>
      <c r="BF3345">
        <v>0.71</v>
      </c>
      <c r="BG3345">
        <v>-3.5</v>
      </c>
      <c r="BH3345">
        <v>-5.43</v>
      </c>
      <c r="BI3345">
        <v>1.22</v>
      </c>
      <c r="BJ3345">
        <v>20210827</v>
      </c>
      <c r="BK3345">
        <v>20150610</v>
      </c>
      <c r="BL3345">
        <v>174.56</v>
      </c>
      <c r="BM3345" t="s">
        <v>120</v>
      </c>
      <c r="BN3345" t="s">
        <v>120</v>
      </c>
      <c r="BO3345">
        <v>3966.94</v>
      </c>
      <c r="BP3345">
        <v>6.61</v>
      </c>
      <c r="BQ3345">
        <v>725.03</v>
      </c>
      <c r="BR3345">
        <v>449.33</v>
      </c>
      <c r="BS3345">
        <v>70.400000000000006</v>
      </c>
      <c r="BT3345">
        <v>590.69000000000005</v>
      </c>
      <c r="BU3345">
        <v>2528.4299999999998</v>
      </c>
      <c r="BV3345">
        <v>9.67</v>
      </c>
      <c r="BW3345">
        <v>677.58</v>
      </c>
      <c r="BX3345">
        <v>172.33</v>
      </c>
      <c r="BY3345">
        <v>211.18</v>
      </c>
      <c r="BZ3345">
        <v>136.47</v>
      </c>
      <c r="CA3345">
        <v>0.01</v>
      </c>
      <c r="CB3345">
        <v>177.53</v>
      </c>
      <c r="CC3345">
        <v>297.73</v>
      </c>
      <c r="CD3345">
        <v>160.16</v>
      </c>
      <c r="CE3345">
        <v>94.42</v>
      </c>
      <c r="CF3345">
        <v>0.67</v>
      </c>
      <c r="CG3345">
        <v>93.93</v>
      </c>
      <c r="CH3345">
        <v>78.52</v>
      </c>
      <c r="CI3345">
        <v>44.74</v>
      </c>
      <c r="CJ3345">
        <v>-0.08</v>
      </c>
      <c r="CK3345">
        <v>44.01</v>
      </c>
      <c r="CL3345">
        <v>232.68</v>
      </c>
      <c r="CM3345">
        <v>165.69</v>
      </c>
      <c r="CN3345">
        <v>20.63</v>
      </c>
      <c r="CO3345">
        <v>392989</v>
      </c>
      <c r="CP3345">
        <v>15751</v>
      </c>
      <c r="CQ3345" t="s">
        <v>11502</v>
      </c>
      <c r="CR3345">
        <v>46.23</v>
      </c>
      <c r="CS3345">
        <v>24.64</v>
      </c>
      <c r="CT3345">
        <v>1.85</v>
      </c>
      <c r="CU3345">
        <v>6.97</v>
      </c>
      <c r="CV3345">
        <v>3.88</v>
      </c>
      <c r="CW3345">
        <v>1.94</v>
      </c>
      <c r="CX3345" t="s">
        <v>863</v>
      </c>
      <c r="CY3345">
        <v>3.57</v>
      </c>
      <c r="CZ3345">
        <v>3.57</v>
      </c>
      <c r="DA3345">
        <v>1.02</v>
      </c>
      <c r="DB3345">
        <v>1.33</v>
      </c>
      <c r="DC3345">
        <v>0.95</v>
      </c>
      <c r="DD3345">
        <v>18.28</v>
      </c>
      <c r="DE3345" t="s">
        <v>8718</v>
      </c>
      <c r="DF3345">
        <v>46.21</v>
      </c>
      <c r="DG3345">
        <v>31.71</v>
      </c>
      <c r="DH3345">
        <v>15.03</v>
      </c>
      <c r="DI3345">
        <v>4.62</v>
      </c>
      <c r="DJ3345">
        <v>14506</v>
      </c>
      <c r="DK3345">
        <v>601985</v>
      </c>
      <c r="DL3345">
        <v>20210908</v>
      </c>
      <c r="DM3345">
        <v>6.48</v>
      </c>
      <c r="DN3345">
        <v>2.16</v>
      </c>
    </row>
    <row r="3346" spans="1:118">
      <c r="A3346" t="str">
        <f>"601988"</f>
        <v>601988</v>
      </c>
      <c r="B3346" t="s">
        <v>14338</v>
      </c>
      <c r="C3346">
        <v>-0.33</v>
      </c>
      <c r="D3346">
        <v>0</v>
      </c>
      <c r="E3346">
        <v>0</v>
      </c>
      <c r="F3346">
        <v>85104</v>
      </c>
      <c r="G3346" t="s">
        <v>14339</v>
      </c>
      <c r="H3346">
        <v>65204.9</v>
      </c>
      <c r="I3346">
        <v>872.19</v>
      </c>
      <c r="J3346" t="s">
        <v>120</v>
      </c>
      <c r="K3346" t="s">
        <v>14340</v>
      </c>
      <c r="L3346">
        <v>0.1</v>
      </c>
      <c r="M3346">
        <v>3.05</v>
      </c>
      <c r="N3346">
        <v>1.1200000000000001</v>
      </c>
      <c r="O3346">
        <v>0.33</v>
      </c>
      <c r="P3346">
        <v>3.07</v>
      </c>
      <c r="Q3346">
        <v>-0.65</v>
      </c>
      <c r="R3346">
        <v>3.04</v>
      </c>
      <c r="S3346">
        <v>3.06</v>
      </c>
      <c r="T3346">
        <v>2132247</v>
      </c>
      <c r="U3346">
        <v>3.06</v>
      </c>
      <c r="V3346">
        <v>3.06</v>
      </c>
      <c r="W3346">
        <v>3.98</v>
      </c>
      <c r="X3346" t="s">
        <v>122</v>
      </c>
      <c r="Y3346" t="s">
        <v>158</v>
      </c>
      <c r="Z3346">
        <v>0.98</v>
      </c>
      <c r="AA3346">
        <v>3.06</v>
      </c>
      <c r="AB3346">
        <v>1115725</v>
      </c>
      <c r="AC3346">
        <v>1016522</v>
      </c>
      <c r="AD3346">
        <v>1.1000000000000001</v>
      </c>
      <c r="AE3346">
        <v>46102</v>
      </c>
      <c r="AF3346">
        <v>8859</v>
      </c>
      <c r="AG3346" t="s">
        <v>120</v>
      </c>
      <c r="AH3346">
        <v>0.01</v>
      </c>
      <c r="AI3346" t="s">
        <v>120</v>
      </c>
      <c r="AJ3346">
        <v>2107.66</v>
      </c>
      <c r="AK3346" t="s">
        <v>14340</v>
      </c>
      <c r="AL3346">
        <v>1.02</v>
      </c>
      <c r="AM3346">
        <v>4358</v>
      </c>
      <c r="AN3346">
        <v>489</v>
      </c>
      <c r="AO3346">
        <v>0</v>
      </c>
      <c r="AP3346">
        <v>-1</v>
      </c>
      <c r="AQ3346">
        <v>0</v>
      </c>
      <c r="AR3346">
        <v>-1.61</v>
      </c>
      <c r="AS3346">
        <v>0.99</v>
      </c>
      <c r="AT3346">
        <v>-0.66</v>
      </c>
      <c r="AU3346">
        <v>2.2400000000000002</v>
      </c>
      <c r="AV3346">
        <v>0</v>
      </c>
      <c r="AW3346">
        <v>1.04</v>
      </c>
      <c r="AX3346">
        <v>9.7200000000000006</v>
      </c>
      <c r="AY3346">
        <v>4.4000000000000004</v>
      </c>
      <c r="AZ3346">
        <v>4.67</v>
      </c>
      <c r="BA3346">
        <v>0.2</v>
      </c>
      <c r="BB3346" t="s">
        <v>4676</v>
      </c>
      <c r="BF3346">
        <v>-0.06</v>
      </c>
      <c r="BG3346">
        <v>-0.33</v>
      </c>
      <c r="BH3346">
        <v>-0.65</v>
      </c>
      <c r="BI3346">
        <v>0.33</v>
      </c>
      <c r="BJ3346">
        <v>20210902</v>
      </c>
      <c r="BK3346">
        <v>20060705</v>
      </c>
      <c r="BL3346">
        <v>2943.88</v>
      </c>
      <c r="BM3346" t="s">
        <v>120</v>
      </c>
      <c r="BN3346">
        <v>836.22</v>
      </c>
      <c r="BO3346">
        <v>263173.28000000003</v>
      </c>
      <c r="BP3346">
        <v>3.05</v>
      </c>
      <c r="BQ3346">
        <v>21053.47</v>
      </c>
      <c r="BR3346" t="s">
        <v>120</v>
      </c>
      <c r="BS3346">
        <v>92</v>
      </c>
      <c r="BT3346">
        <v>0</v>
      </c>
      <c r="BU3346">
        <v>2459.98</v>
      </c>
      <c r="BV3346">
        <v>214.25</v>
      </c>
      <c r="BW3346">
        <v>0</v>
      </c>
      <c r="BX3346">
        <v>29796.080000000002</v>
      </c>
      <c r="BY3346">
        <v>0</v>
      </c>
      <c r="BZ3346">
        <v>0</v>
      </c>
      <c r="CA3346" t="s">
        <v>120</v>
      </c>
      <c r="CB3346">
        <v>1361.78</v>
      </c>
      <c r="CC3346">
        <v>3029.88</v>
      </c>
      <c r="CD3346">
        <v>0</v>
      </c>
      <c r="CE3346">
        <v>1479.43</v>
      </c>
      <c r="CF3346">
        <v>134.34</v>
      </c>
      <c r="CG3346">
        <v>1483.02</v>
      </c>
      <c r="CH3346">
        <v>1185.47</v>
      </c>
      <c r="CI3346">
        <v>1128.1300000000001</v>
      </c>
      <c r="CJ3346">
        <v>-0.01</v>
      </c>
      <c r="CK3346">
        <v>1120.3800000000001</v>
      </c>
      <c r="CL3346">
        <v>9105.65</v>
      </c>
      <c r="CM3346">
        <v>6885.76</v>
      </c>
      <c r="CN3346">
        <v>5025.8500000000004</v>
      </c>
      <c r="CO3346">
        <v>744370</v>
      </c>
      <c r="CP3346">
        <v>27532</v>
      </c>
      <c r="CQ3346" t="s">
        <v>661</v>
      </c>
      <c r="CR3346">
        <v>11.79</v>
      </c>
      <c r="CS3346">
        <v>6.05</v>
      </c>
      <c r="CT3346">
        <v>0.5</v>
      </c>
      <c r="CU3346">
        <v>1.3</v>
      </c>
      <c r="CV3346">
        <v>2.96</v>
      </c>
      <c r="CW3346">
        <v>6.44</v>
      </c>
      <c r="CX3346" t="s">
        <v>472</v>
      </c>
      <c r="CY3346">
        <v>6.13</v>
      </c>
      <c r="CZ3346">
        <v>6.13</v>
      </c>
      <c r="DA3346">
        <v>0.46</v>
      </c>
      <c r="DB3346">
        <v>3.09</v>
      </c>
      <c r="DC3346">
        <v>2.34</v>
      </c>
      <c r="DD3346">
        <v>8</v>
      </c>
      <c r="DE3346" t="s">
        <v>14341</v>
      </c>
      <c r="DF3346" t="s">
        <v>120</v>
      </c>
      <c r="DG3346">
        <v>48.83</v>
      </c>
      <c r="DH3346">
        <v>37.229999999999997</v>
      </c>
      <c r="DI3346" t="s">
        <v>120</v>
      </c>
      <c r="DJ3346">
        <v>305594</v>
      </c>
      <c r="DK3346">
        <v>601988</v>
      </c>
      <c r="DL3346" t="s">
        <v>120</v>
      </c>
      <c r="DM3346" t="s">
        <v>120</v>
      </c>
      <c r="DN3346" t="s">
        <v>120</v>
      </c>
    </row>
    <row r="3347" spans="1:118">
      <c r="A3347" t="str">
        <f>"601989"</f>
        <v>601989</v>
      </c>
      <c r="B3347" t="s">
        <v>14342</v>
      </c>
      <c r="C3347">
        <v>-2.59</v>
      </c>
      <c r="D3347">
        <v>0.22</v>
      </c>
      <c r="E3347">
        <v>0.22</v>
      </c>
      <c r="F3347">
        <v>12312</v>
      </c>
      <c r="G3347" t="s">
        <v>14343</v>
      </c>
      <c r="H3347">
        <v>104697.25</v>
      </c>
      <c r="I3347">
        <v>601.42999999999995</v>
      </c>
      <c r="J3347" t="s">
        <v>120</v>
      </c>
      <c r="K3347" t="s">
        <v>14344</v>
      </c>
      <c r="L3347">
        <v>1.03</v>
      </c>
      <c r="M3347">
        <v>4.5199999999999996</v>
      </c>
      <c r="N3347">
        <v>0.77</v>
      </c>
      <c r="O3347">
        <v>2.16</v>
      </c>
      <c r="P3347">
        <v>4.74</v>
      </c>
      <c r="Q3347">
        <v>-3.02</v>
      </c>
      <c r="R3347">
        <v>4.5</v>
      </c>
      <c r="S3347">
        <v>4.6500000000000004</v>
      </c>
      <c r="T3347">
        <v>2270051</v>
      </c>
      <c r="U3347">
        <v>4.53</v>
      </c>
      <c r="V3347">
        <v>4.6399999999999997</v>
      </c>
      <c r="W3347">
        <v>325.98</v>
      </c>
      <c r="X3347" t="s">
        <v>7408</v>
      </c>
      <c r="Y3347" t="s">
        <v>158</v>
      </c>
      <c r="Z3347">
        <v>5.17</v>
      </c>
      <c r="AA3347">
        <v>4.6100000000000003</v>
      </c>
      <c r="AB3347">
        <v>1134504</v>
      </c>
      <c r="AC3347">
        <v>1135546</v>
      </c>
      <c r="AD3347">
        <v>1</v>
      </c>
      <c r="AE3347">
        <v>366</v>
      </c>
      <c r="AF3347">
        <v>8374</v>
      </c>
      <c r="AG3347" t="s">
        <v>120</v>
      </c>
      <c r="AH3347">
        <v>0.01</v>
      </c>
      <c r="AI3347" t="s">
        <v>120</v>
      </c>
      <c r="AJ3347">
        <v>220.84</v>
      </c>
      <c r="AK3347" t="s">
        <v>14345</v>
      </c>
      <c r="AL3347">
        <v>-1.24</v>
      </c>
      <c r="AM3347">
        <v>4675</v>
      </c>
      <c r="AN3347">
        <v>486</v>
      </c>
      <c r="AO3347">
        <v>2.0000000000000001E-4</v>
      </c>
      <c r="AP3347">
        <v>-1</v>
      </c>
      <c r="AQ3347">
        <v>0</v>
      </c>
      <c r="AR3347">
        <v>-6.8</v>
      </c>
      <c r="AS3347">
        <v>13</v>
      </c>
      <c r="AT3347">
        <v>10.52</v>
      </c>
      <c r="AU3347">
        <v>7.88</v>
      </c>
      <c r="AV3347">
        <v>0</v>
      </c>
      <c r="AW3347">
        <v>2.12</v>
      </c>
      <c r="AX3347">
        <v>47.06</v>
      </c>
      <c r="AY3347" t="s">
        <v>120</v>
      </c>
      <c r="AZ3347" t="s">
        <v>120</v>
      </c>
      <c r="BA3347">
        <v>0.88</v>
      </c>
      <c r="BB3347" t="s">
        <v>143</v>
      </c>
      <c r="BF3347">
        <v>-0.6</v>
      </c>
      <c r="BG3347">
        <v>-2.8</v>
      </c>
      <c r="BH3347">
        <v>-4.6399999999999997</v>
      </c>
      <c r="BI3347">
        <v>0.44</v>
      </c>
      <c r="BJ3347">
        <v>20210901</v>
      </c>
      <c r="BK3347">
        <v>20091216</v>
      </c>
      <c r="BL3347">
        <v>228.02</v>
      </c>
      <c r="BM3347" t="s">
        <v>120</v>
      </c>
      <c r="BN3347" t="s">
        <v>120</v>
      </c>
      <c r="BO3347">
        <v>1747.57</v>
      </c>
      <c r="BP3347">
        <v>4.5199999999999996</v>
      </c>
      <c r="BQ3347">
        <v>852.44</v>
      </c>
      <c r="BR3347">
        <v>9.1199999999999992</v>
      </c>
      <c r="BS3347">
        <v>50.7</v>
      </c>
      <c r="BT3347">
        <v>1169.3</v>
      </c>
      <c r="BU3347">
        <v>301.12</v>
      </c>
      <c r="BV3347">
        <v>46.75</v>
      </c>
      <c r="BW3347">
        <v>730.35</v>
      </c>
      <c r="BX3347">
        <v>585.51</v>
      </c>
      <c r="BY3347">
        <v>290.63</v>
      </c>
      <c r="BZ3347">
        <v>80.86</v>
      </c>
      <c r="CA3347" t="s">
        <v>120</v>
      </c>
      <c r="CB3347">
        <v>447.69</v>
      </c>
      <c r="CC3347">
        <v>162.03</v>
      </c>
      <c r="CD3347">
        <v>149.63</v>
      </c>
      <c r="CE3347">
        <v>2.12</v>
      </c>
      <c r="CF3347">
        <v>1.33</v>
      </c>
      <c r="CG3347">
        <v>2.15</v>
      </c>
      <c r="CH3347">
        <v>1.55</v>
      </c>
      <c r="CI3347">
        <v>1.58</v>
      </c>
      <c r="CJ3347">
        <v>-0.12</v>
      </c>
      <c r="CK3347">
        <v>-0.04</v>
      </c>
      <c r="CL3347">
        <v>136.04</v>
      </c>
      <c r="CM3347">
        <v>-25.26</v>
      </c>
      <c r="CN3347">
        <v>-103.5</v>
      </c>
      <c r="CO3347">
        <v>648507</v>
      </c>
      <c r="CP3347">
        <v>16546</v>
      </c>
      <c r="CQ3347" t="s">
        <v>1380</v>
      </c>
      <c r="CR3347">
        <v>227.72</v>
      </c>
      <c r="CS3347">
        <v>-6.96</v>
      </c>
      <c r="CT3347">
        <v>1.21</v>
      </c>
      <c r="CU3347">
        <v>-40.81</v>
      </c>
      <c r="CV3347">
        <v>6.36</v>
      </c>
      <c r="CW3347">
        <v>0</v>
      </c>
      <c r="CX3347" t="s">
        <v>178</v>
      </c>
      <c r="CY3347">
        <v>3.74</v>
      </c>
      <c r="CZ3347">
        <v>0</v>
      </c>
      <c r="DA3347">
        <v>1.96</v>
      </c>
      <c r="DB3347">
        <v>0.6</v>
      </c>
      <c r="DC3347">
        <v>-0.11</v>
      </c>
      <c r="DD3347">
        <v>48.78</v>
      </c>
      <c r="DE3347" t="s">
        <v>4500</v>
      </c>
      <c r="DF3347">
        <v>7.65</v>
      </c>
      <c r="DG3347">
        <v>1.31</v>
      </c>
      <c r="DH3347">
        <v>0.98</v>
      </c>
      <c r="DI3347">
        <v>3.41</v>
      </c>
      <c r="DJ3347">
        <v>33141</v>
      </c>
      <c r="DK3347">
        <v>601989</v>
      </c>
      <c r="DL3347" t="s">
        <v>120</v>
      </c>
      <c r="DM3347" t="s">
        <v>120</v>
      </c>
      <c r="DN3347" t="s">
        <v>120</v>
      </c>
    </row>
    <row r="3348" spans="1:118">
      <c r="A3348" t="str">
        <f>"601990"</f>
        <v>601990</v>
      </c>
      <c r="B3348" t="s">
        <v>14346</v>
      </c>
      <c r="C3348">
        <v>-0.78</v>
      </c>
      <c r="D3348">
        <v>-0.09</v>
      </c>
      <c r="E3348">
        <v>-0.19</v>
      </c>
      <c r="F3348">
        <v>4430</v>
      </c>
      <c r="G3348" t="s">
        <v>14347</v>
      </c>
      <c r="H3348">
        <v>30289.57</v>
      </c>
      <c r="I3348">
        <v>47.87</v>
      </c>
      <c r="J3348" t="s">
        <v>120</v>
      </c>
      <c r="K3348" t="s">
        <v>14348</v>
      </c>
      <c r="L3348">
        <v>0.81</v>
      </c>
      <c r="M3348">
        <v>10.220000000000001</v>
      </c>
      <c r="N3348">
        <v>0.64</v>
      </c>
      <c r="O3348">
        <v>0.78</v>
      </c>
      <c r="P3348">
        <v>10.38</v>
      </c>
      <c r="Q3348">
        <v>-1.26</v>
      </c>
      <c r="R3348">
        <v>10.17</v>
      </c>
      <c r="S3348">
        <v>10.28</v>
      </c>
      <c r="T3348">
        <v>294754</v>
      </c>
      <c r="U3348">
        <v>10.23</v>
      </c>
      <c r="V3348">
        <v>10.3</v>
      </c>
      <c r="W3348">
        <v>27.92</v>
      </c>
      <c r="X3348" t="s">
        <v>616</v>
      </c>
      <c r="Y3348" t="s">
        <v>319</v>
      </c>
      <c r="Z3348">
        <v>2.04</v>
      </c>
      <c r="AA3348">
        <v>10.28</v>
      </c>
      <c r="AB3348">
        <v>151793</v>
      </c>
      <c r="AC3348">
        <v>142961</v>
      </c>
      <c r="AD3348">
        <v>1.06</v>
      </c>
      <c r="AE3348">
        <v>1255</v>
      </c>
      <c r="AF3348">
        <v>1743</v>
      </c>
      <c r="AG3348" t="s">
        <v>120</v>
      </c>
      <c r="AH3348">
        <v>0</v>
      </c>
      <c r="AI3348" t="s">
        <v>120</v>
      </c>
      <c r="AJ3348">
        <v>36.200000000000003</v>
      </c>
      <c r="AK3348" t="s">
        <v>14349</v>
      </c>
      <c r="AL3348">
        <v>0.56999999999999995</v>
      </c>
      <c r="AM3348">
        <v>3870</v>
      </c>
      <c r="AN3348">
        <v>76</v>
      </c>
      <c r="AO3348">
        <v>2.0000000000000001E-4</v>
      </c>
      <c r="AP3348">
        <v>-1</v>
      </c>
      <c r="AQ3348">
        <v>0.28999999999999998</v>
      </c>
      <c r="AR3348">
        <v>-3.49</v>
      </c>
      <c r="AS3348">
        <v>-9.32</v>
      </c>
      <c r="AT3348">
        <v>-2.02</v>
      </c>
      <c r="AU3348">
        <v>-15.82</v>
      </c>
      <c r="AV3348">
        <v>1</v>
      </c>
      <c r="AW3348">
        <v>1.5</v>
      </c>
      <c r="AX3348">
        <v>53.26</v>
      </c>
      <c r="AY3348">
        <v>39.57</v>
      </c>
      <c r="AZ3348">
        <v>46.9</v>
      </c>
      <c r="BA3348">
        <v>1.61</v>
      </c>
      <c r="BB3348" t="s">
        <v>2725</v>
      </c>
      <c r="BF3348">
        <v>-0.23</v>
      </c>
      <c r="BG3348">
        <v>-0.57999999999999996</v>
      </c>
      <c r="BH3348">
        <v>-1.54</v>
      </c>
      <c r="BI3348">
        <v>0.49</v>
      </c>
      <c r="BJ3348">
        <v>20210827</v>
      </c>
      <c r="BK3348">
        <v>20180613</v>
      </c>
      <c r="BL3348">
        <v>36.86</v>
      </c>
      <c r="BM3348" t="s">
        <v>120</v>
      </c>
      <c r="BN3348" t="s">
        <v>120</v>
      </c>
      <c r="BO3348">
        <v>514.26</v>
      </c>
      <c r="BP3348">
        <v>10.220000000000001</v>
      </c>
      <c r="BQ3348">
        <v>160.43</v>
      </c>
      <c r="BR3348">
        <v>1.19</v>
      </c>
      <c r="BS3348">
        <v>68.569999999999993</v>
      </c>
      <c r="BT3348">
        <v>0</v>
      </c>
      <c r="BU3348">
        <v>8.8699999999999992</v>
      </c>
      <c r="BV3348">
        <v>0.33</v>
      </c>
      <c r="BW3348">
        <v>0</v>
      </c>
      <c r="BX3348">
        <v>107.18</v>
      </c>
      <c r="BY3348">
        <v>0</v>
      </c>
      <c r="BZ3348">
        <v>0</v>
      </c>
      <c r="CA3348" t="s">
        <v>120</v>
      </c>
      <c r="CB3348">
        <v>80.87</v>
      </c>
      <c r="CC3348">
        <v>14.79</v>
      </c>
      <c r="CD3348">
        <v>0</v>
      </c>
      <c r="CE3348">
        <v>8.75</v>
      </c>
      <c r="CF3348">
        <v>1.68</v>
      </c>
      <c r="CG3348">
        <v>8.75</v>
      </c>
      <c r="CH3348">
        <v>6.77</v>
      </c>
      <c r="CI3348">
        <v>6.75</v>
      </c>
      <c r="CJ3348">
        <v>-0.08</v>
      </c>
      <c r="CK3348">
        <v>6.7</v>
      </c>
      <c r="CL3348">
        <v>21.49</v>
      </c>
      <c r="CM3348">
        <v>-9.52</v>
      </c>
      <c r="CN3348">
        <v>-6.44</v>
      </c>
      <c r="CO3348">
        <v>190696</v>
      </c>
      <c r="CP3348">
        <v>10296</v>
      </c>
      <c r="CQ3348" t="s">
        <v>3068</v>
      </c>
      <c r="CR3348">
        <v>28.57</v>
      </c>
      <c r="CS3348">
        <v>12.09</v>
      </c>
      <c r="CT3348">
        <v>2.35</v>
      </c>
      <c r="CU3348">
        <v>-39.590000000000003</v>
      </c>
      <c r="CV3348">
        <v>25.47</v>
      </c>
      <c r="CW3348">
        <v>1.26</v>
      </c>
      <c r="CX3348" t="s">
        <v>242</v>
      </c>
      <c r="CY3348">
        <v>4.3499999999999996</v>
      </c>
      <c r="CZ3348">
        <v>0</v>
      </c>
      <c r="DA3348">
        <v>2.19</v>
      </c>
      <c r="DB3348">
        <v>0.57999999999999996</v>
      </c>
      <c r="DC3348">
        <v>-0.26</v>
      </c>
      <c r="DD3348">
        <v>31.2</v>
      </c>
      <c r="DE3348" t="s">
        <v>2365</v>
      </c>
      <c r="DF3348" t="s">
        <v>120</v>
      </c>
      <c r="DG3348">
        <v>59.18</v>
      </c>
      <c r="DH3348">
        <v>45.61</v>
      </c>
      <c r="DI3348" t="s">
        <v>120</v>
      </c>
      <c r="DJ3348">
        <v>2001</v>
      </c>
      <c r="DK3348">
        <v>601990</v>
      </c>
      <c r="DL3348" t="s">
        <v>120</v>
      </c>
      <c r="DM3348" t="s">
        <v>120</v>
      </c>
      <c r="DN3348" t="s">
        <v>120</v>
      </c>
    </row>
    <row r="3349" spans="1:118">
      <c r="A3349" t="str">
        <f>"601991"</f>
        <v>601991</v>
      </c>
      <c r="B3349" t="s">
        <v>14350</v>
      </c>
      <c r="C3349">
        <v>-3.72</v>
      </c>
      <c r="D3349">
        <v>-0.34</v>
      </c>
      <c r="E3349">
        <v>-0.34</v>
      </c>
      <c r="F3349">
        <v>26481</v>
      </c>
      <c r="G3349" t="s">
        <v>14351</v>
      </c>
      <c r="H3349">
        <v>22010.02</v>
      </c>
      <c r="I3349">
        <v>82.63</v>
      </c>
      <c r="J3349" t="s">
        <v>120</v>
      </c>
      <c r="K3349" t="s">
        <v>14352</v>
      </c>
      <c r="L3349">
        <v>0.61</v>
      </c>
      <c r="M3349">
        <v>2.85</v>
      </c>
      <c r="N3349">
        <v>0.93</v>
      </c>
      <c r="O3349">
        <v>1.35</v>
      </c>
      <c r="P3349">
        <v>3</v>
      </c>
      <c r="Q3349">
        <v>-3.72</v>
      </c>
      <c r="R3349">
        <v>2.85</v>
      </c>
      <c r="S3349">
        <v>2.95</v>
      </c>
      <c r="T3349">
        <v>753462</v>
      </c>
      <c r="U3349">
        <v>2.86</v>
      </c>
      <c r="V3349">
        <v>2.96</v>
      </c>
      <c r="W3349">
        <v>16.12</v>
      </c>
      <c r="X3349" t="s">
        <v>268</v>
      </c>
      <c r="Y3349" t="s">
        <v>158</v>
      </c>
      <c r="Z3349">
        <v>5.07</v>
      </c>
      <c r="AA3349">
        <v>2.92</v>
      </c>
      <c r="AB3349">
        <v>410076</v>
      </c>
      <c r="AC3349">
        <v>343386</v>
      </c>
      <c r="AD3349">
        <v>1.19</v>
      </c>
      <c r="AE3349">
        <v>5972</v>
      </c>
      <c r="AF3349">
        <v>8048</v>
      </c>
      <c r="AG3349" t="s">
        <v>120</v>
      </c>
      <c r="AH3349">
        <v>0.01</v>
      </c>
      <c r="AI3349" t="s">
        <v>120</v>
      </c>
      <c r="AJ3349">
        <v>123.96</v>
      </c>
      <c r="AK3349" t="s">
        <v>14352</v>
      </c>
      <c r="AL3349">
        <v>-2.37</v>
      </c>
      <c r="AM3349">
        <v>3593</v>
      </c>
      <c r="AN3349">
        <v>210</v>
      </c>
      <c r="AO3349">
        <v>2.0000000000000001E-4</v>
      </c>
      <c r="AP3349">
        <v>-1</v>
      </c>
      <c r="AQ3349">
        <v>1.02</v>
      </c>
      <c r="AR3349">
        <v>-6.87</v>
      </c>
      <c r="AS3349">
        <v>7.18</v>
      </c>
      <c r="AT3349">
        <v>12.69</v>
      </c>
      <c r="AU3349">
        <v>23.97</v>
      </c>
      <c r="AV3349">
        <v>2</v>
      </c>
      <c r="AW3349">
        <v>3.68</v>
      </c>
      <c r="AX3349">
        <v>16.510000000000002</v>
      </c>
      <c r="AY3349">
        <v>18.899999999999999</v>
      </c>
      <c r="AZ3349">
        <v>18.02</v>
      </c>
      <c r="BA3349">
        <v>0.66</v>
      </c>
      <c r="BB3349" t="s">
        <v>143</v>
      </c>
      <c r="BF3349">
        <v>-1.31</v>
      </c>
      <c r="BG3349">
        <v>-3.39</v>
      </c>
      <c r="BH3349">
        <v>-5</v>
      </c>
      <c r="BI3349">
        <v>0</v>
      </c>
      <c r="BJ3349">
        <v>20210831</v>
      </c>
      <c r="BK3349">
        <v>20061220</v>
      </c>
      <c r="BL3349">
        <v>185.07</v>
      </c>
      <c r="BM3349" t="s">
        <v>120</v>
      </c>
      <c r="BN3349">
        <v>61.11</v>
      </c>
      <c r="BO3349">
        <v>2807.45</v>
      </c>
      <c r="BP3349">
        <v>2.85</v>
      </c>
      <c r="BQ3349">
        <v>724.78</v>
      </c>
      <c r="BR3349">
        <v>187.2</v>
      </c>
      <c r="BS3349">
        <v>67.52</v>
      </c>
      <c r="BT3349">
        <v>374.66</v>
      </c>
      <c r="BU3349">
        <v>1879.33</v>
      </c>
      <c r="BV3349">
        <v>40.98</v>
      </c>
      <c r="BW3349">
        <v>761.79</v>
      </c>
      <c r="BX3349">
        <v>98.56</v>
      </c>
      <c r="BY3349">
        <v>39.770000000000003</v>
      </c>
      <c r="BZ3349">
        <v>176.33</v>
      </c>
      <c r="CA3349">
        <v>0</v>
      </c>
      <c r="CB3349">
        <v>62.73</v>
      </c>
      <c r="CC3349">
        <v>503.94</v>
      </c>
      <c r="CD3349">
        <v>430.5</v>
      </c>
      <c r="CE3349">
        <v>30.54</v>
      </c>
      <c r="CF3349">
        <v>9.89</v>
      </c>
      <c r="CG3349">
        <v>30.59</v>
      </c>
      <c r="CH3349">
        <v>22.67</v>
      </c>
      <c r="CI3349">
        <v>16.36</v>
      </c>
      <c r="CJ3349">
        <v>-0.11</v>
      </c>
      <c r="CK3349">
        <v>21.02</v>
      </c>
      <c r="CL3349">
        <v>-3.55</v>
      </c>
      <c r="CM3349">
        <v>107.35</v>
      </c>
      <c r="CN3349">
        <v>18.100000000000001</v>
      </c>
      <c r="CO3349">
        <v>190028</v>
      </c>
      <c r="CP3349">
        <v>10770</v>
      </c>
      <c r="CQ3349" t="s">
        <v>10911</v>
      </c>
      <c r="CR3349">
        <v>-7.97</v>
      </c>
      <c r="CS3349">
        <v>13.3</v>
      </c>
      <c r="CT3349">
        <v>1.29</v>
      </c>
      <c r="CU3349">
        <v>4.91</v>
      </c>
      <c r="CV3349">
        <v>1.05</v>
      </c>
      <c r="CW3349">
        <v>3.07</v>
      </c>
      <c r="CX3349" t="s">
        <v>1248</v>
      </c>
      <c r="CY3349">
        <v>2.21</v>
      </c>
      <c r="CZ3349">
        <v>2.21</v>
      </c>
      <c r="DA3349">
        <v>0.34</v>
      </c>
      <c r="DB3349">
        <v>-0.02</v>
      </c>
      <c r="DC3349">
        <v>0.57999999999999996</v>
      </c>
      <c r="DD3349">
        <v>25.82</v>
      </c>
      <c r="DE3349" t="s">
        <v>6253</v>
      </c>
      <c r="DF3349">
        <v>14.57</v>
      </c>
      <c r="DG3349">
        <v>6.06</v>
      </c>
      <c r="DH3349">
        <v>3.25</v>
      </c>
      <c r="DI3349">
        <v>0.01</v>
      </c>
      <c r="DJ3349">
        <v>33340</v>
      </c>
      <c r="DK3349">
        <v>601991</v>
      </c>
      <c r="DL3349" t="s">
        <v>120</v>
      </c>
      <c r="DM3349" t="s">
        <v>120</v>
      </c>
      <c r="DN3349" t="s">
        <v>120</v>
      </c>
    </row>
    <row r="3350" spans="1:118">
      <c r="A3350" t="str">
        <f>"601992"</f>
        <v>601992</v>
      </c>
      <c r="B3350" t="s">
        <v>14353</v>
      </c>
      <c r="C3350">
        <v>0</v>
      </c>
      <c r="D3350">
        <v>0.34</v>
      </c>
      <c r="E3350">
        <v>0.34</v>
      </c>
      <c r="F3350">
        <v>13864</v>
      </c>
      <c r="G3350" t="s">
        <v>14354</v>
      </c>
      <c r="H3350">
        <v>13961.85</v>
      </c>
      <c r="I3350">
        <v>92.23</v>
      </c>
      <c r="J3350" t="s">
        <v>120</v>
      </c>
      <c r="K3350" t="s">
        <v>14355</v>
      </c>
      <c r="L3350">
        <v>0.56000000000000005</v>
      </c>
      <c r="M3350">
        <v>2.97</v>
      </c>
      <c r="N3350">
        <v>0.55000000000000004</v>
      </c>
      <c r="O3350">
        <v>2.02</v>
      </c>
      <c r="P3350">
        <v>3.03</v>
      </c>
      <c r="Q3350">
        <v>-0.67</v>
      </c>
      <c r="R3350">
        <v>2.95</v>
      </c>
      <c r="S3350">
        <v>2.98</v>
      </c>
      <c r="T3350">
        <v>466519</v>
      </c>
      <c r="U3350">
        <v>2.97</v>
      </c>
      <c r="V3350">
        <v>2.97</v>
      </c>
      <c r="W3350">
        <v>8.2899999999999991</v>
      </c>
      <c r="X3350" t="s">
        <v>653</v>
      </c>
      <c r="Y3350" t="s">
        <v>158</v>
      </c>
      <c r="Z3350">
        <v>2.69</v>
      </c>
      <c r="AA3350">
        <v>2.99</v>
      </c>
      <c r="AB3350">
        <v>240387</v>
      </c>
      <c r="AC3350">
        <v>226132</v>
      </c>
      <c r="AD3350">
        <v>1.06</v>
      </c>
      <c r="AE3350">
        <v>653</v>
      </c>
      <c r="AF3350">
        <v>6986</v>
      </c>
      <c r="AG3350" t="s">
        <v>120</v>
      </c>
      <c r="AH3350">
        <v>0.01</v>
      </c>
      <c r="AI3350" t="s">
        <v>120</v>
      </c>
      <c r="AJ3350">
        <v>83.34</v>
      </c>
      <c r="AK3350" t="s">
        <v>14356</v>
      </c>
      <c r="AL3350">
        <v>1.34</v>
      </c>
      <c r="AM3350">
        <v>3016</v>
      </c>
      <c r="AN3350">
        <v>155</v>
      </c>
      <c r="AO3350">
        <v>2.0000000000000001E-4</v>
      </c>
      <c r="AP3350">
        <v>0</v>
      </c>
      <c r="AQ3350">
        <v>0.34</v>
      </c>
      <c r="AR3350">
        <v>-3.25</v>
      </c>
      <c r="AS3350">
        <v>11.65</v>
      </c>
      <c r="AT3350">
        <v>12.93</v>
      </c>
      <c r="AU3350">
        <v>2.06</v>
      </c>
      <c r="AV3350">
        <v>0</v>
      </c>
      <c r="AW3350">
        <v>1.32</v>
      </c>
      <c r="AX3350">
        <v>42.41</v>
      </c>
      <c r="AY3350">
        <v>9.81</v>
      </c>
      <c r="AZ3350">
        <v>11.15</v>
      </c>
      <c r="BA3350">
        <v>0.5</v>
      </c>
      <c r="BB3350" t="s">
        <v>143</v>
      </c>
      <c r="BF3350">
        <v>0.77</v>
      </c>
      <c r="BG3350">
        <v>-0.34</v>
      </c>
      <c r="BH3350">
        <v>-1.98</v>
      </c>
      <c r="BI3350">
        <v>0.68</v>
      </c>
      <c r="BJ3350">
        <v>20210825</v>
      </c>
      <c r="BK3350">
        <v>20110301</v>
      </c>
      <c r="BL3350">
        <v>106.78</v>
      </c>
      <c r="BM3350" t="s">
        <v>120</v>
      </c>
      <c r="BN3350">
        <v>23.39</v>
      </c>
      <c r="BO3350">
        <v>2786.63</v>
      </c>
      <c r="BP3350">
        <v>2.96</v>
      </c>
      <c r="BQ3350">
        <v>620.48</v>
      </c>
      <c r="BR3350">
        <v>314.08999999999997</v>
      </c>
      <c r="BS3350">
        <v>66.459999999999994</v>
      </c>
      <c r="BT3350">
        <v>1702.52</v>
      </c>
      <c r="BU3350">
        <v>425.66</v>
      </c>
      <c r="BV3350">
        <v>158.74</v>
      </c>
      <c r="BW3350">
        <v>1184.3399999999999</v>
      </c>
      <c r="BX3350">
        <v>215.04</v>
      </c>
      <c r="BY3350">
        <v>1169.3800000000001</v>
      </c>
      <c r="BZ3350">
        <v>89.36</v>
      </c>
      <c r="CA3350">
        <v>3.24</v>
      </c>
      <c r="CB3350">
        <v>58.32</v>
      </c>
      <c r="CC3350">
        <v>577.14</v>
      </c>
      <c r="CD3350">
        <v>476.18</v>
      </c>
      <c r="CE3350">
        <v>40.42</v>
      </c>
      <c r="CF3350">
        <v>3.53</v>
      </c>
      <c r="CG3350">
        <v>44.15</v>
      </c>
      <c r="CH3350">
        <v>32.200000000000003</v>
      </c>
      <c r="CI3350">
        <v>19.12</v>
      </c>
      <c r="CJ3350">
        <v>0</v>
      </c>
      <c r="CK3350">
        <v>14.75</v>
      </c>
      <c r="CL3350">
        <v>276.51</v>
      </c>
      <c r="CM3350">
        <v>105.75</v>
      </c>
      <c r="CN3350">
        <v>-84.4</v>
      </c>
      <c r="CO3350">
        <v>130659</v>
      </c>
      <c r="CP3350">
        <v>27069</v>
      </c>
      <c r="CQ3350" t="s">
        <v>3025</v>
      </c>
      <c r="CR3350">
        <v>25.48</v>
      </c>
      <c r="CS3350">
        <v>41.01</v>
      </c>
      <c r="CT3350">
        <v>0.67</v>
      </c>
      <c r="CU3350">
        <v>3</v>
      </c>
      <c r="CV3350">
        <v>0.55000000000000004</v>
      </c>
      <c r="CW3350">
        <v>2.02</v>
      </c>
      <c r="CX3350" t="s">
        <v>300</v>
      </c>
      <c r="CY3350">
        <v>4.45</v>
      </c>
      <c r="CZ3350">
        <v>4.45</v>
      </c>
      <c r="DA3350">
        <v>0.55000000000000004</v>
      </c>
      <c r="DB3350">
        <v>2.59</v>
      </c>
      <c r="DC3350">
        <v>0.99</v>
      </c>
      <c r="DD3350">
        <v>22.27</v>
      </c>
      <c r="DE3350" t="s">
        <v>5456</v>
      </c>
      <c r="DF3350">
        <v>17.489999999999998</v>
      </c>
      <c r="DG3350">
        <v>7</v>
      </c>
      <c r="DH3350">
        <v>3.31</v>
      </c>
      <c r="DI3350">
        <v>1.8</v>
      </c>
      <c r="DJ3350">
        <v>47405</v>
      </c>
      <c r="DK3350">
        <v>601992</v>
      </c>
      <c r="DL3350" t="s">
        <v>120</v>
      </c>
      <c r="DM3350" t="s">
        <v>120</v>
      </c>
      <c r="DN3350" t="s">
        <v>120</v>
      </c>
    </row>
    <row r="3351" spans="1:118">
      <c r="A3351" t="str">
        <f>"601995"</f>
        <v>601995</v>
      </c>
      <c r="B3351" t="s">
        <v>14357</v>
      </c>
      <c r="C3351">
        <v>-1.27</v>
      </c>
      <c r="D3351">
        <v>0</v>
      </c>
      <c r="E3351">
        <v>0.42</v>
      </c>
      <c r="F3351">
        <v>2029</v>
      </c>
      <c r="G3351" t="s">
        <v>14358</v>
      </c>
      <c r="H3351">
        <v>85382.91</v>
      </c>
      <c r="I3351">
        <v>483.93</v>
      </c>
      <c r="J3351" t="s">
        <v>120</v>
      </c>
      <c r="K3351" t="s">
        <v>14358</v>
      </c>
      <c r="L3351">
        <v>4.71</v>
      </c>
      <c r="M3351">
        <v>56.04</v>
      </c>
      <c r="N3351">
        <v>0.6</v>
      </c>
      <c r="O3351">
        <v>1.39</v>
      </c>
      <c r="P3351">
        <v>57.55</v>
      </c>
      <c r="Q3351">
        <v>-2.0299999999999998</v>
      </c>
      <c r="R3351">
        <v>55.61</v>
      </c>
      <c r="S3351">
        <v>57</v>
      </c>
      <c r="T3351">
        <v>151223</v>
      </c>
      <c r="U3351">
        <v>56.05</v>
      </c>
      <c r="V3351">
        <v>56.76</v>
      </c>
      <c r="W3351">
        <v>27.01</v>
      </c>
      <c r="X3351" t="s">
        <v>616</v>
      </c>
      <c r="Y3351" t="s">
        <v>158</v>
      </c>
      <c r="Z3351">
        <v>3.42</v>
      </c>
      <c r="AA3351">
        <v>56.46</v>
      </c>
      <c r="AB3351">
        <v>81810</v>
      </c>
      <c r="AC3351">
        <v>69413</v>
      </c>
      <c r="AD3351">
        <v>1.18</v>
      </c>
      <c r="AE3351">
        <v>662</v>
      </c>
      <c r="AF3351">
        <v>10</v>
      </c>
      <c r="AG3351" t="s">
        <v>120</v>
      </c>
      <c r="AH3351">
        <v>0.03</v>
      </c>
      <c r="AI3351" t="s">
        <v>120</v>
      </c>
      <c r="AJ3351">
        <v>3.21</v>
      </c>
      <c r="AK3351" t="s">
        <v>14359</v>
      </c>
      <c r="AL3351">
        <v>0.08</v>
      </c>
      <c r="AM3351">
        <v>4542</v>
      </c>
      <c r="AN3351">
        <v>33</v>
      </c>
      <c r="AO3351">
        <v>1E-3</v>
      </c>
      <c r="AP3351">
        <v>-3</v>
      </c>
      <c r="AQ3351">
        <v>-1.65</v>
      </c>
      <c r="AR3351">
        <v>-6.68</v>
      </c>
      <c r="AS3351">
        <v>3.97</v>
      </c>
      <c r="AT3351">
        <v>-5.39</v>
      </c>
      <c r="AU3351">
        <v>-25.37</v>
      </c>
      <c r="AV3351">
        <v>5</v>
      </c>
      <c r="AW3351">
        <v>4.71</v>
      </c>
      <c r="AX3351">
        <v>10.98</v>
      </c>
      <c r="AY3351">
        <v>29.9</v>
      </c>
      <c r="AZ3351">
        <v>38.020000000000003</v>
      </c>
      <c r="BA3351">
        <v>2.14</v>
      </c>
      <c r="BB3351" t="s">
        <v>143</v>
      </c>
      <c r="BF3351">
        <v>-0.53</v>
      </c>
      <c r="BG3351">
        <v>-1.68</v>
      </c>
      <c r="BH3351">
        <v>-2.62</v>
      </c>
      <c r="BI3351">
        <v>0.77</v>
      </c>
      <c r="BJ3351">
        <v>20210830</v>
      </c>
      <c r="BK3351">
        <v>20201102</v>
      </c>
      <c r="BL3351">
        <v>48.27</v>
      </c>
      <c r="BM3351" t="s">
        <v>120</v>
      </c>
      <c r="BN3351">
        <v>19.04</v>
      </c>
      <c r="BO3351">
        <v>6180.77</v>
      </c>
      <c r="BP3351">
        <v>56.04</v>
      </c>
      <c r="BQ3351">
        <v>787.98</v>
      </c>
      <c r="BR3351">
        <v>1.89</v>
      </c>
      <c r="BS3351">
        <v>87.22</v>
      </c>
      <c r="BT3351">
        <v>0</v>
      </c>
      <c r="BU3351">
        <v>5.8</v>
      </c>
      <c r="BV3351">
        <v>13.88</v>
      </c>
      <c r="BW3351">
        <v>0</v>
      </c>
      <c r="BX3351">
        <v>1195.81</v>
      </c>
      <c r="BY3351">
        <v>0</v>
      </c>
      <c r="BZ3351">
        <v>0</v>
      </c>
      <c r="CA3351" t="s">
        <v>120</v>
      </c>
      <c r="CB3351">
        <v>395.33</v>
      </c>
      <c r="CC3351">
        <v>144.61000000000001</v>
      </c>
      <c r="CD3351">
        <v>0</v>
      </c>
      <c r="CE3351">
        <v>61.32</v>
      </c>
      <c r="CF3351">
        <v>-29.25</v>
      </c>
      <c r="CG3351">
        <v>61.19</v>
      </c>
      <c r="CH3351">
        <v>50.16</v>
      </c>
      <c r="CI3351">
        <v>50.07</v>
      </c>
      <c r="CJ3351">
        <v>-0.72</v>
      </c>
      <c r="CK3351">
        <v>49.52</v>
      </c>
      <c r="CL3351">
        <v>214.81</v>
      </c>
      <c r="CM3351">
        <v>-55.31</v>
      </c>
      <c r="CN3351">
        <v>275.82</v>
      </c>
      <c r="CO3351">
        <v>143162</v>
      </c>
      <c r="CP3351">
        <v>2242</v>
      </c>
      <c r="CQ3351" t="s">
        <v>248</v>
      </c>
      <c r="CR3351">
        <v>64.069999999999993</v>
      </c>
      <c r="CS3351">
        <v>37.82</v>
      </c>
      <c r="CT3351">
        <v>3.85</v>
      </c>
      <c r="CU3351">
        <v>-48.91</v>
      </c>
      <c r="CV3351">
        <v>18.71</v>
      </c>
      <c r="CW3351">
        <v>0.32</v>
      </c>
      <c r="CX3351" t="s">
        <v>10628</v>
      </c>
      <c r="CY3351">
        <v>14.56</v>
      </c>
      <c r="CZ3351">
        <v>14.56</v>
      </c>
      <c r="DA3351">
        <v>8.19</v>
      </c>
      <c r="DB3351">
        <v>4.45</v>
      </c>
      <c r="DC3351">
        <v>-1.1499999999999999</v>
      </c>
      <c r="DD3351">
        <v>12.75</v>
      </c>
      <c r="DE3351" t="s">
        <v>14360</v>
      </c>
      <c r="DF3351" t="s">
        <v>120</v>
      </c>
      <c r="DG3351">
        <v>42.4</v>
      </c>
      <c r="DH3351">
        <v>34.619999999999997</v>
      </c>
      <c r="DI3351" t="s">
        <v>120</v>
      </c>
      <c r="DJ3351">
        <v>9372</v>
      </c>
      <c r="DK3351">
        <v>601995</v>
      </c>
      <c r="DL3351" t="s">
        <v>120</v>
      </c>
      <c r="DM3351" t="s">
        <v>120</v>
      </c>
      <c r="DN3351" t="s">
        <v>120</v>
      </c>
    </row>
    <row r="3352" spans="1:118">
      <c r="A3352" t="str">
        <f>"601996"</f>
        <v>601996</v>
      </c>
      <c r="B3352" t="s">
        <v>14361</v>
      </c>
      <c r="C3352">
        <v>-3.34</v>
      </c>
      <c r="D3352">
        <v>0</v>
      </c>
      <c r="E3352">
        <v>0</v>
      </c>
      <c r="F3352">
        <v>2507</v>
      </c>
      <c r="G3352" t="s">
        <v>9192</v>
      </c>
      <c r="H3352">
        <v>6836.08</v>
      </c>
      <c r="I3352">
        <v>15.69</v>
      </c>
      <c r="J3352" t="s">
        <v>120</v>
      </c>
      <c r="K3352" t="s">
        <v>14362</v>
      </c>
      <c r="L3352">
        <v>1.68</v>
      </c>
      <c r="M3352">
        <v>3.47</v>
      </c>
      <c r="N3352">
        <v>0.87</v>
      </c>
      <c r="O3352">
        <v>0.56000000000000005</v>
      </c>
      <c r="P3352">
        <v>3.61</v>
      </c>
      <c r="Q3352">
        <v>-3.62</v>
      </c>
      <c r="R3352">
        <v>3.46</v>
      </c>
      <c r="S3352">
        <v>3.59</v>
      </c>
      <c r="T3352">
        <v>192845</v>
      </c>
      <c r="U3352">
        <v>3.48</v>
      </c>
      <c r="V3352">
        <v>3.59</v>
      </c>
      <c r="W3352">
        <v>28.21</v>
      </c>
      <c r="X3352" t="s">
        <v>2409</v>
      </c>
      <c r="Y3352" t="s">
        <v>945</v>
      </c>
      <c r="Z3352">
        <v>4.18</v>
      </c>
      <c r="AA3352">
        <v>3.54</v>
      </c>
      <c r="AB3352">
        <v>126866</v>
      </c>
      <c r="AC3352">
        <v>65979</v>
      </c>
      <c r="AD3352">
        <v>1.92</v>
      </c>
      <c r="AE3352">
        <v>685</v>
      </c>
      <c r="AF3352">
        <v>501</v>
      </c>
      <c r="AG3352" t="s">
        <v>120</v>
      </c>
      <c r="AH3352">
        <v>0.01</v>
      </c>
      <c r="AI3352" t="s">
        <v>120</v>
      </c>
      <c r="AJ3352">
        <v>11.46</v>
      </c>
      <c r="AK3352" t="s">
        <v>14362</v>
      </c>
      <c r="AL3352">
        <v>-2</v>
      </c>
      <c r="AM3352">
        <v>2231</v>
      </c>
      <c r="AN3352">
        <v>86</v>
      </c>
      <c r="AO3352">
        <v>8.0000000000000004E-4</v>
      </c>
      <c r="AP3352">
        <v>-1</v>
      </c>
      <c r="AQ3352">
        <v>2.87</v>
      </c>
      <c r="AR3352">
        <v>-2.5299999999999998</v>
      </c>
      <c r="AS3352">
        <v>8.44</v>
      </c>
      <c r="AT3352">
        <v>4.5199999999999996</v>
      </c>
      <c r="AU3352">
        <v>19.649999999999999</v>
      </c>
      <c r="AV3352">
        <v>3</v>
      </c>
      <c r="AW3352">
        <v>3.14</v>
      </c>
      <c r="AX3352">
        <v>53.57</v>
      </c>
      <c r="AY3352">
        <v>19.18</v>
      </c>
      <c r="AZ3352">
        <v>23.85</v>
      </c>
      <c r="BA3352">
        <v>0.91</v>
      </c>
      <c r="BB3352" t="s">
        <v>184</v>
      </c>
      <c r="BF3352">
        <v>-1.26</v>
      </c>
      <c r="BG3352">
        <v>-3.34</v>
      </c>
      <c r="BH3352">
        <v>-3.88</v>
      </c>
      <c r="BI3352">
        <v>0.28999999999999998</v>
      </c>
      <c r="BJ3352">
        <v>20210910</v>
      </c>
      <c r="BK3352">
        <v>20110929</v>
      </c>
      <c r="BL3352">
        <v>11.46</v>
      </c>
      <c r="BM3352" t="s">
        <v>120</v>
      </c>
      <c r="BN3352" t="s">
        <v>120</v>
      </c>
      <c r="BO3352">
        <v>35.85</v>
      </c>
      <c r="BP3352">
        <v>3.47</v>
      </c>
      <c r="BQ3352">
        <v>27.98</v>
      </c>
      <c r="BR3352">
        <v>0.05</v>
      </c>
      <c r="BS3352">
        <v>21.82</v>
      </c>
      <c r="BT3352">
        <v>19.309999999999999</v>
      </c>
      <c r="BU3352">
        <v>10.07</v>
      </c>
      <c r="BV3352">
        <v>2.29</v>
      </c>
      <c r="BW3352">
        <v>6.33</v>
      </c>
      <c r="BX3352">
        <v>8.7200000000000006</v>
      </c>
      <c r="BY3352">
        <v>6.07</v>
      </c>
      <c r="BZ3352">
        <v>2.2999999999999998</v>
      </c>
      <c r="CA3352" t="s">
        <v>120</v>
      </c>
      <c r="CB3352">
        <v>7.53</v>
      </c>
      <c r="CC3352">
        <v>9.02</v>
      </c>
      <c r="CD3352">
        <v>6.83</v>
      </c>
      <c r="CE3352">
        <v>0.69</v>
      </c>
      <c r="CF3352">
        <v>0</v>
      </c>
      <c r="CG3352">
        <v>0.69</v>
      </c>
      <c r="CH3352">
        <v>0.7</v>
      </c>
      <c r="CI3352">
        <v>0.7</v>
      </c>
      <c r="CJ3352">
        <v>-0.12</v>
      </c>
      <c r="CK3352">
        <v>0.72</v>
      </c>
      <c r="CL3352">
        <v>7.85</v>
      </c>
      <c r="CM3352">
        <v>1.91</v>
      </c>
      <c r="CN3352">
        <v>6.17</v>
      </c>
      <c r="CO3352">
        <v>32061</v>
      </c>
      <c r="CP3352">
        <v>19141</v>
      </c>
      <c r="CQ3352" t="s">
        <v>2067</v>
      </c>
      <c r="CR3352">
        <v>147.05000000000001</v>
      </c>
      <c r="CS3352">
        <v>50.16</v>
      </c>
      <c r="CT3352">
        <v>1.42</v>
      </c>
      <c r="CU3352">
        <v>20.81</v>
      </c>
      <c r="CV3352">
        <v>4.41</v>
      </c>
      <c r="CW3352">
        <v>2.75</v>
      </c>
      <c r="CX3352" t="s">
        <v>1064</v>
      </c>
      <c r="CY3352">
        <v>2.44</v>
      </c>
      <c r="CZ3352">
        <v>0</v>
      </c>
      <c r="DA3352">
        <v>0.66</v>
      </c>
      <c r="DB3352">
        <v>0.69</v>
      </c>
      <c r="DC3352">
        <v>0.17</v>
      </c>
      <c r="DD3352">
        <v>78.040000000000006</v>
      </c>
      <c r="DE3352" t="s">
        <v>1837</v>
      </c>
      <c r="DF3352">
        <v>24.32</v>
      </c>
      <c r="DG3352">
        <v>7.69</v>
      </c>
      <c r="DH3352">
        <v>7.81</v>
      </c>
      <c r="DI3352">
        <v>0.14000000000000001</v>
      </c>
      <c r="DJ3352">
        <v>1110</v>
      </c>
      <c r="DK3352">
        <v>601996</v>
      </c>
      <c r="DL3352" t="s">
        <v>120</v>
      </c>
      <c r="DM3352" t="s">
        <v>120</v>
      </c>
      <c r="DN3352" t="s">
        <v>120</v>
      </c>
    </row>
    <row r="3353" spans="1:118">
      <c r="A3353" t="str">
        <f>"601997"</f>
        <v>601997</v>
      </c>
      <c r="B3353" t="s">
        <v>14363</v>
      </c>
      <c r="C3353">
        <v>-0.59</v>
      </c>
      <c r="D3353">
        <v>0.3</v>
      </c>
      <c r="E3353">
        <v>-0.15</v>
      </c>
      <c r="F3353">
        <v>4751</v>
      </c>
      <c r="G3353" t="s">
        <v>14364</v>
      </c>
      <c r="H3353">
        <v>11044.92</v>
      </c>
      <c r="I3353">
        <v>96.02</v>
      </c>
      <c r="J3353" t="s">
        <v>120</v>
      </c>
      <c r="K3353" t="s">
        <v>14365</v>
      </c>
      <c r="L3353">
        <v>0.52</v>
      </c>
      <c r="M3353">
        <v>6.77</v>
      </c>
      <c r="N3353">
        <v>0.81</v>
      </c>
      <c r="O3353">
        <v>0.44</v>
      </c>
      <c r="P3353">
        <v>6.84</v>
      </c>
      <c r="Q3353">
        <v>-1.17</v>
      </c>
      <c r="R3353">
        <v>6.73</v>
      </c>
      <c r="S3353">
        <v>6.8</v>
      </c>
      <c r="T3353">
        <v>162536</v>
      </c>
      <c r="U3353">
        <v>6.77</v>
      </c>
      <c r="V3353">
        <v>6.81</v>
      </c>
      <c r="W3353">
        <v>4.24</v>
      </c>
      <c r="X3353" t="s">
        <v>122</v>
      </c>
      <c r="Y3353" t="s">
        <v>1021</v>
      </c>
      <c r="Z3353">
        <v>1.62</v>
      </c>
      <c r="AA3353">
        <v>6.8</v>
      </c>
      <c r="AB3353">
        <v>98497</v>
      </c>
      <c r="AC3353">
        <v>64039</v>
      </c>
      <c r="AD3353">
        <v>1.54</v>
      </c>
      <c r="AE3353">
        <v>134</v>
      </c>
      <c r="AF3353">
        <v>644</v>
      </c>
      <c r="AG3353" t="s">
        <v>120</v>
      </c>
      <c r="AH3353">
        <v>0.01</v>
      </c>
      <c r="AI3353" t="s">
        <v>120</v>
      </c>
      <c r="AJ3353">
        <v>31.22</v>
      </c>
      <c r="AK3353" t="s">
        <v>14355</v>
      </c>
      <c r="AL3353">
        <v>0.76</v>
      </c>
      <c r="AM3353">
        <v>2739</v>
      </c>
      <c r="AN3353">
        <v>59</v>
      </c>
      <c r="AO3353">
        <v>2.0000000000000001E-4</v>
      </c>
      <c r="AP3353">
        <v>-4</v>
      </c>
      <c r="AQ3353">
        <v>-0.28999999999999998</v>
      </c>
      <c r="AR3353">
        <v>-2.73</v>
      </c>
      <c r="AS3353">
        <v>-0.15</v>
      </c>
      <c r="AT3353">
        <v>-7.13</v>
      </c>
      <c r="AU3353">
        <v>-11.5</v>
      </c>
      <c r="AV3353">
        <v>0</v>
      </c>
      <c r="AW3353">
        <v>0.71</v>
      </c>
      <c r="AX3353">
        <v>62.74</v>
      </c>
      <c r="AY3353">
        <v>4.1399999999999997</v>
      </c>
      <c r="AZ3353">
        <v>4.2</v>
      </c>
      <c r="BA3353">
        <v>0.51</v>
      </c>
      <c r="BB3353" t="s">
        <v>143</v>
      </c>
      <c r="BF3353">
        <v>-0.22</v>
      </c>
      <c r="BG3353">
        <v>-0.44</v>
      </c>
      <c r="BH3353">
        <v>-1.02</v>
      </c>
      <c r="BI3353">
        <v>0.59</v>
      </c>
      <c r="BJ3353">
        <v>20210828</v>
      </c>
      <c r="BK3353">
        <v>20160816</v>
      </c>
      <c r="BL3353">
        <v>36.56</v>
      </c>
      <c r="BM3353" t="s">
        <v>120</v>
      </c>
      <c r="BN3353" t="s">
        <v>120</v>
      </c>
      <c r="BO3353">
        <v>5968.17</v>
      </c>
      <c r="BP3353">
        <v>6.75</v>
      </c>
      <c r="BQ3353">
        <v>493.73</v>
      </c>
      <c r="BR3353">
        <v>15.97</v>
      </c>
      <c r="BS3353">
        <v>91.46</v>
      </c>
      <c r="BT3353">
        <v>0</v>
      </c>
      <c r="BU3353">
        <v>39.07</v>
      </c>
      <c r="BV3353">
        <v>2.16</v>
      </c>
      <c r="BW3353">
        <v>0</v>
      </c>
      <c r="BX3353">
        <v>555.57000000000005</v>
      </c>
      <c r="BY3353">
        <v>0</v>
      </c>
      <c r="BZ3353">
        <v>0</v>
      </c>
      <c r="CA3353" t="s">
        <v>120</v>
      </c>
      <c r="CB3353">
        <v>79.989999999999995</v>
      </c>
      <c r="CC3353">
        <v>72.7</v>
      </c>
      <c r="CD3353">
        <v>0</v>
      </c>
      <c r="CE3353">
        <v>32.869999999999997</v>
      </c>
      <c r="CF3353">
        <v>4.1399999999999997</v>
      </c>
      <c r="CG3353">
        <v>32.869999999999997</v>
      </c>
      <c r="CH3353">
        <v>30.11</v>
      </c>
      <c r="CI3353">
        <v>29.22</v>
      </c>
      <c r="CJ3353">
        <v>-0.04</v>
      </c>
      <c r="CK3353">
        <v>29.2</v>
      </c>
      <c r="CL3353">
        <v>225.93</v>
      </c>
      <c r="CM3353">
        <v>-182.25</v>
      </c>
      <c r="CN3353">
        <v>-20.440000000000001</v>
      </c>
      <c r="CO3353">
        <v>78319</v>
      </c>
      <c r="CP3353">
        <v>29288</v>
      </c>
      <c r="CQ3353" t="s">
        <v>14366</v>
      </c>
      <c r="CR3353">
        <v>3.23</v>
      </c>
      <c r="CS3353">
        <v>-9.43</v>
      </c>
      <c r="CT3353">
        <v>0.51</v>
      </c>
      <c r="CU3353">
        <v>-1.36</v>
      </c>
      <c r="CV3353">
        <v>3.4</v>
      </c>
      <c r="CW3353">
        <v>4.41</v>
      </c>
      <c r="CX3353" t="s">
        <v>2847</v>
      </c>
      <c r="CY3353">
        <v>13.19</v>
      </c>
      <c r="CZ3353">
        <v>13.19</v>
      </c>
      <c r="DA3353">
        <v>2.19</v>
      </c>
      <c r="DB3353">
        <v>6.18</v>
      </c>
      <c r="DC3353">
        <v>-4.9800000000000004</v>
      </c>
      <c r="DD3353">
        <v>8.27</v>
      </c>
      <c r="DE3353" t="s">
        <v>8115</v>
      </c>
      <c r="DF3353" t="s">
        <v>120</v>
      </c>
      <c r="DG3353">
        <v>45.21</v>
      </c>
      <c r="DH3353">
        <v>40.19</v>
      </c>
      <c r="DI3353" t="s">
        <v>120</v>
      </c>
      <c r="DJ3353">
        <v>6473</v>
      </c>
      <c r="DK3353">
        <v>601997</v>
      </c>
      <c r="DL3353" t="s">
        <v>120</v>
      </c>
      <c r="DM3353" t="s">
        <v>120</v>
      </c>
      <c r="DN3353" t="s">
        <v>120</v>
      </c>
    </row>
    <row r="3354" spans="1:118">
      <c r="A3354" t="str">
        <f>"601998"</f>
        <v>601998</v>
      </c>
      <c r="B3354" t="s">
        <v>14367</v>
      </c>
      <c r="C3354">
        <v>0</v>
      </c>
      <c r="D3354">
        <v>-0.42</v>
      </c>
      <c r="E3354">
        <v>0.21</v>
      </c>
      <c r="F3354">
        <v>122763</v>
      </c>
      <c r="G3354" t="s">
        <v>14368</v>
      </c>
      <c r="H3354">
        <v>17627.95</v>
      </c>
      <c r="I3354">
        <v>99.01</v>
      </c>
      <c r="J3354" t="s">
        <v>120</v>
      </c>
      <c r="K3354" t="s">
        <v>14369</v>
      </c>
      <c r="L3354">
        <v>0.11</v>
      </c>
      <c r="M3354">
        <v>4.68</v>
      </c>
      <c r="N3354">
        <v>1.22</v>
      </c>
      <c r="O3354">
        <v>0.85</v>
      </c>
      <c r="P3354">
        <v>4.72</v>
      </c>
      <c r="Q3354">
        <v>0</v>
      </c>
      <c r="R3354">
        <v>4.68</v>
      </c>
      <c r="S3354">
        <v>4.6900000000000004</v>
      </c>
      <c r="T3354">
        <v>375748</v>
      </c>
      <c r="U3354">
        <v>4.7</v>
      </c>
      <c r="V3354">
        <v>4.68</v>
      </c>
      <c r="W3354">
        <v>3.94</v>
      </c>
      <c r="X3354" t="s">
        <v>122</v>
      </c>
      <c r="Y3354" t="s">
        <v>158</v>
      </c>
      <c r="Z3354">
        <v>0.85</v>
      </c>
      <c r="AA3354">
        <v>4.6900000000000004</v>
      </c>
      <c r="AB3354">
        <v>169411</v>
      </c>
      <c r="AC3354">
        <v>206337</v>
      </c>
      <c r="AD3354">
        <v>0.82</v>
      </c>
      <c r="AE3354">
        <v>7908</v>
      </c>
      <c r="AF3354">
        <v>759</v>
      </c>
      <c r="AG3354" t="s">
        <v>120</v>
      </c>
      <c r="AH3354">
        <v>0</v>
      </c>
      <c r="AI3354" t="s">
        <v>120</v>
      </c>
      <c r="AJ3354">
        <v>340.53</v>
      </c>
      <c r="AK3354" t="s">
        <v>14369</v>
      </c>
      <c r="AL3354">
        <v>1.34</v>
      </c>
      <c r="AM3354">
        <v>3165</v>
      </c>
      <c r="AN3354">
        <v>119</v>
      </c>
      <c r="AO3354">
        <v>0</v>
      </c>
      <c r="AP3354">
        <v>0</v>
      </c>
      <c r="AQ3354">
        <v>-0.85</v>
      </c>
      <c r="AR3354">
        <v>-3.31</v>
      </c>
      <c r="AS3354">
        <v>1.3</v>
      </c>
      <c r="AT3354">
        <v>-3.82</v>
      </c>
      <c r="AU3354">
        <v>-3.62</v>
      </c>
      <c r="AV3354">
        <v>0</v>
      </c>
      <c r="AW3354">
        <v>0.73</v>
      </c>
      <c r="AX3354">
        <v>15.02</v>
      </c>
      <c r="AY3354">
        <v>4.3600000000000003</v>
      </c>
      <c r="AZ3354">
        <v>4.68</v>
      </c>
      <c r="BA3354">
        <v>0.46</v>
      </c>
      <c r="BB3354" t="s">
        <v>143</v>
      </c>
      <c r="BF3354">
        <v>0.24</v>
      </c>
      <c r="BG3354">
        <v>-0.21</v>
      </c>
      <c r="BH3354">
        <v>-0.85</v>
      </c>
      <c r="BI3354">
        <v>0</v>
      </c>
      <c r="BJ3354">
        <v>20210913</v>
      </c>
      <c r="BK3354">
        <v>20070427</v>
      </c>
      <c r="BL3354">
        <v>489.35</v>
      </c>
      <c r="BM3354" t="s">
        <v>120</v>
      </c>
      <c r="BN3354">
        <v>148.82</v>
      </c>
      <c r="BO3354">
        <v>78163.289999999994</v>
      </c>
      <c r="BP3354">
        <v>4.68</v>
      </c>
      <c r="BQ3354">
        <v>6007.06</v>
      </c>
      <c r="BR3354">
        <v>157</v>
      </c>
      <c r="BS3354">
        <v>92.11</v>
      </c>
      <c r="BT3354">
        <v>0</v>
      </c>
      <c r="BU3354">
        <v>330.76</v>
      </c>
      <c r="BV3354">
        <v>32.369999999999997</v>
      </c>
      <c r="BW3354">
        <v>0</v>
      </c>
      <c r="BX3354">
        <v>5335.01</v>
      </c>
      <c r="BY3354">
        <v>0</v>
      </c>
      <c r="BZ3354">
        <v>0</v>
      </c>
      <c r="CA3354" t="s">
        <v>120</v>
      </c>
      <c r="CB3354">
        <v>592.16</v>
      </c>
      <c r="CC3354">
        <v>1055.92</v>
      </c>
      <c r="CD3354">
        <v>0</v>
      </c>
      <c r="CE3354">
        <v>349.05</v>
      </c>
      <c r="CF3354">
        <v>73.31</v>
      </c>
      <c r="CG3354">
        <v>349.23</v>
      </c>
      <c r="CH3354">
        <v>294.8</v>
      </c>
      <c r="CI3354">
        <v>290.31</v>
      </c>
      <c r="CJ3354">
        <v>0</v>
      </c>
      <c r="CK3354">
        <v>289.64999999999998</v>
      </c>
      <c r="CL3354">
        <v>2402.15</v>
      </c>
      <c r="CM3354">
        <v>-1882.88</v>
      </c>
      <c r="CN3354">
        <v>-1148.4100000000001</v>
      </c>
      <c r="CO3354">
        <v>164657</v>
      </c>
      <c r="CP3354">
        <v>31057</v>
      </c>
      <c r="CQ3354" t="s">
        <v>14370</v>
      </c>
      <c r="CR3354">
        <v>13.66</v>
      </c>
      <c r="CS3354">
        <v>3.51</v>
      </c>
      <c r="CT3354">
        <v>0.47</v>
      </c>
      <c r="CU3354">
        <v>-1.22</v>
      </c>
      <c r="CV3354">
        <v>2.17</v>
      </c>
      <c r="CW3354">
        <v>5.43</v>
      </c>
      <c r="CX3354" t="s">
        <v>597</v>
      </c>
      <c r="CY3354">
        <v>9.93</v>
      </c>
      <c r="CZ3354">
        <v>9.93</v>
      </c>
      <c r="DA3354">
        <v>1.21</v>
      </c>
      <c r="DB3354">
        <v>4.91</v>
      </c>
      <c r="DC3354">
        <v>-3.85</v>
      </c>
      <c r="DD3354">
        <v>7.69</v>
      </c>
      <c r="DE3354" t="s">
        <v>1072</v>
      </c>
      <c r="DF3354" t="s">
        <v>120</v>
      </c>
      <c r="DG3354">
        <v>33.06</v>
      </c>
      <c r="DH3354">
        <v>27.49</v>
      </c>
      <c r="DI3354" t="s">
        <v>120</v>
      </c>
      <c r="DJ3354">
        <v>58229</v>
      </c>
      <c r="DK3354">
        <v>601998</v>
      </c>
      <c r="DL3354" t="s">
        <v>120</v>
      </c>
      <c r="DM3354" t="s">
        <v>120</v>
      </c>
      <c r="DN3354" t="s">
        <v>120</v>
      </c>
    </row>
    <row r="3355" spans="1:118">
      <c r="A3355" t="str">
        <f>"601999"</f>
        <v>601999</v>
      </c>
      <c r="B3355" t="s">
        <v>14371</v>
      </c>
      <c r="C3355">
        <v>-1.94</v>
      </c>
      <c r="D3355">
        <v>-0.15</v>
      </c>
      <c r="E3355">
        <v>-0.65</v>
      </c>
      <c r="F3355">
        <v>604</v>
      </c>
      <c r="G3355" t="s">
        <v>6569</v>
      </c>
      <c r="H3355">
        <v>3494.79</v>
      </c>
      <c r="I3355">
        <v>4.18</v>
      </c>
      <c r="J3355" t="s">
        <v>120</v>
      </c>
      <c r="K3355" t="s">
        <v>14372</v>
      </c>
      <c r="L3355">
        <v>1.03</v>
      </c>
      <c r="M3355">
        <v>6.07</v>
      </c>
      <c r="N3355">
        <v>0.89</v>
      </c>
      <c r="O3355">
        <v>1.78</v>
      </c>
      <c r="P3355">
        <v>6.3</v>
      </c>
      <c r="Q3355">
        <v>-2.2599999999999998</v>
      </c>
      <c r="R3355">
        <v>6.05</v>
      </c>
      <c r="S3355">
        <v>6.15</v>
      </c>
      <c r="T3355">
        <v>56646</v>
      </c>
      <c r="U3355">
        <v>6.08</v>
      </c>
      <c r="V3355">
        <v>6.19</v>
      </c>
      <c r="W3355">
        <v>105.66</v>
      </c>
      <c r="X3355" t="s">
        <v>1730</v>
      </c>
      <c r="Y3355" t="s">
        <v>432</v>
      </c>
      <c r="Z3355">
        <v>4.04</v>
      </c>
      <c r="AA3355">
        <v>6.17</v>
      </c>
      <c r="AB3355">
        <v>29354</v>
      </c>
      <c r="AC3355">
        <v>27292</v>
      </c>
      <c r="AD3355">
        <v>1.08</v>
      </c>
      <c r="AE3355">
        <v>365</v>
      </c>
      <c r="AF3355">
        <v>287</v>
      </c>
      <c r="AG3355" t="s">
        <v>120</v>
      </c>
      <c r="AH3355">
        <v>0</v>
      </c>
      <c r="AI3355" t="s">
        <v>120</v>
      </c>
      <c r="AJ3355">
        <v>5.51</v>
      </c>
      <c r="AK3355" t="s">
        <v>14372</v>
      </c>
      <c r="AL3355">
        <v>-0.59</v>
      </c>
      <c r="AM3355">
        <v>1558</v>
      </c>
      <c r="AN3355">
        <v>36</v>
      </c>
      <c r="AO3355">
        <v>6.9999999999999999E-4</v>
      </c>
      <c r="AP3355">
        <v>-1</v>
      </c>
      <c r="AQ3355">
        <v>0.65</v>
      </c>
      <c r="AR3355">
        <v>-3.5</v>
      </c>
      <c r="AS3355">
        <v>6.96</v>
      </c>
      <c r="AT3355">
        <v>-12.34</v>
      </c>
      <c r="AU3355">
        <v>3.85</v>
      </c>
      <c r="AV3355">
        <v>5</v>
      </c>
      <c r="AW3355">
        <v>3.17</v>
      </c>
      <c r="AX3355">
        <v>32.479999999999997</v>
      </c>
      <c r="AY3355">
        <v>21.18</v>
      </c>
      <c r="AZ3355">
        <v>22.33</v>
      </c>
      <c r="BA3355">
        <v>1.05</v>
      </c>
      <c r="BB3355" t="s">
        <v>143</v>
      </c>
      <c r="BF3355">
        <v>-0.33</v>
      </c>
      <c r="BG3355">
        <v>-1.3</v>
      </c>
      <c r="BH3355">
        <v>-3.65</v>
      </c>
      <c r="BI3355">
        <v>0.33</v>
      </c>
      <c r="BJ3355">
        <v>20210830</v>
      </c>
      <c r="BK3355">
        <v>20071221</v>
      </c>
      <c r="BL3355">
        <v>5.51</v>
      </c>
      <c r="BM3355" t="s">
        <v>120</v>
      </c>
      <c r="BN3355" t="s">
        <v>120</v>
      </c>
      <c r="BO3355">
        <v>41.83</v>
      </c>
      <c r="BP3355">
        <v>6.07</v>
      </c>
      <c r="BQ3355">
        <v>23.84</v>
      </c>
      <c r="BR3355">
        <v>0.34</v>
      </c>
      <c r="BS3355">
        <v>42.2</v>
      </c>
      <c r="BT3355">
        <v>24.56</v>
      </c>
      <c r="BU3355">
        <v>4.07</v>
      </c>
      <c r="BV3355">
        <v>0.64</v>
      </c>
      <c r="BW3355">
        <v>14.18</v>
      </c>
      <c r="BX3355">
        <v>7.07</v>
      </c>
      <c r="BY3355">
        <v>7.97</v>
      </c>
      <c r="BZ3355">
        <v>6.28</v>
      </c>
      <c r="CA3355">
        <v>0.02</v>
      </c>
      <c r="CB3355">
        <v>5.25</v>
      </c>
      <c r="CC3355">
        <v>11.4</v>
      </c>
      <c r="CD3355">
        <v>9.19</v>
      </c>
      <c r="CE3355">
        <v>0.12</v>
      </c>
      <c r="CF3355">
        <v>7.0000000000000007E-2</v>
      </c>
      <c r="CG3355">
        <v>0.13</v>
      </c>
      <c r="CH3355">
        <v>0.13</v>
      </c>
      <c r="CI3355">
        <v>0.16</v>
      </c>
      <c r="CJ3355">
        <v>-0.12</v>
      </c>
      <c r="CK3355">
        <v>0.01</v>
      </c>
      <c r="CL3355">
        <v>11.1</v>
      </c>
      <c r="CM3355">
        <v>-1.96</v>
      </c>
      <c r="CN3355">
        <v>-2.4300000000000002</v>
      </c>
      <c r="CO3355">
        <v>32474</v>
      </c>
      <c r="CP3355">
        <v>5509</v>
      </c>
      <c r="CQ3355" t="s">
        <v>6890</v>
      </c>
      <c r="CR3355">
        <v>111.19</v>
      </c>
      <c r="CS3355">
        <v>19.89</v>
      </c>
      <c r="CT3355">
        <v>1.4</v>
      </c>
      <c r="CU3355">
        <v>-17.079999999999998</v>
      </c>
      <c r="CV3355">
        <v>2.93</v>
      </c>
      <c r="CW3355">
        <v>1.37</v>
      </c>
      <c r="CX3355" t="s">
        <v>2074</v>
      </c>
      <c r="CY3355">
        <v>4.33</v>
      </c>
      <c r="CZ3355">
        <v>0</v>
      </c>
      <c r="DA3355">
        <v>0.95</v>
      </c>
      <c r="DB3355">
        <v>2.0099999999999998</v>
      </c>
      <c r="DC3355">
        <v>-0.36</v>
      </c>
      <c r="DD3355">
        <v>56.99</v>
      </c>
      <c r="DE3355" t="s">
        <v>14373</v>
      </c>
      <c r="DF3355">
        <v>19.36</v>
      </c>
      <c r="DG3355">
        <v>1.05</v>
      </c>
      <c r="DH3355">
        <v>1.39</v>
      </c>
      <c r="DI3355">
        <v>0.02</v>
      </c>
      <c r="DJ3355">
        <v>2334</v>
      </c>
      <c r="DK3355">
        <v>601999</v>
      </c>
      <c r="DL3355" t="s">
        <v>120</v>
      </c>
      <c r="DM3355" t="s">
        <v>120</v>
      </c>
      <c r="DN3355" t="s">
        <v>120</v>
      </c>
    </row>
    <row r="3356" spans="1:118">
      <c r="A3356" t="str">
        <f>"603000"</f>
        <v>603000</v>
      </c>
      <c r="B3356" t="s">
        <v>14374</v>
      </c>
      <c r="C3356">
        <v>-2.33</v>
      </c>
      <c r="D3356">
        <v>-0.42</v>
      </c>
      <c r="E3356">
        <v>-0.56000000000000005</v>
      </c>
      <c r="F3356">
        <v>2674</v>
      </c>
      <c r="G3356" t="s">
        <v>14375</v>
      </c>
      <c r="H3356">
        <v>14494.6</v>
      </c>
      <c r="I3356">
        <v>276.5</v>
      </c>
      <c r="J3356" t="s">
        <v>120</v>
      </c>
      <c r="K3356" t="s">
        <v>14376</v>
      </c>
      <c r="L3356">
        <v>0.94</v>
      </c>
      <c r="M3356">
        <v>13.85</v>
      </c>
      <c r="N3356">
        <v>0.93</v>
      </c>
      <c r="O3356">
        <v>7.0000000000000007E-2</v>
      </c>
      <c r="P3356">
        <v>14.19</v>
      </c>
      <c r="Q3356">
        <v>-2.68</v>
      </c>
      <c r="R3356">
        <v>13.8</v>
      </c>
      <c r="S3356">
        <v>14.1</v>
      </c>
      <c r="T3356">
        <v>103762</v>
      </c>
      <c r="U3356">
        <v>13.89</v>
      </c>
      <c r="V3356">
        <v>14.18</v>
      </c>
      <c r="W3356">
        <v>472.23</v>
      </c>
      <c r="X3356" t="s">
        <v>1531</v>
      </c>
      <c r="Y3356" t="s">
        <v>158</v>
      </c>
      <c r="Z3356">
        <v>2.75</v>
      </c>
      <c r="AA3356">
        <v>13.97</v>
      </c>
      <c r="AB3356">
        <v>65560</v>
      </c>
      <c r="AC3356">
        <v>38202</v>
      </c>
      <c r="AD3356">
        <v>1.72</v>
      </c>
      <c r="AE3356">
        <v>40</v>
      </c>
      <c r="AF3356">
        <v>9</v>
      </c>
      <c r="AG3356" t="s">
        <v>120</v>
      </c>
      <c r="AH3356">
        <v>0.04</v>
      </c>
      <c r="AI3356" t="s">
        <v>120</v>
      </c>
      <c r="AJ3356">
        <v>11.06</v>
      </c>
      <c r="AK3356" t="s">
        <v>14376</v>
      </c>
      <c r="AL3356">
        <v>-0.98</v>
      </c>
      <c r="AM3356">
        <v>3049</v>
      </c>
      <c r="AN3356">
        <v>34</v>
      </c>
      <c r="AO3356">
        <v>2.9999999999999997E-4</v>
      </c>
      <c r="AP3356">
        <v>-1</v>
      </c>
      <c r="AQ3356">
        <v>3.5</v>
      </c>
      <c r="AR3356">
        <v>-0.72</v>
      </c>
      <c r="AS3356">
        <v>4.53</v>
      </c>
      <c r="AT3356">
        <v>-17.600000000000001</v>
      </c>
      <c r="AU3356">
        <v>-17.260000000000002</v>
      </c>
      <c r="AV3356">
        <v>2</v>
      </c>
      <c r="AW3356">
        <v>2.16</v>
      </c>
      <c r="AX3356">
        <v>43.44</v>
      </c>
      <c r="AY3356">
        <v>50.84</v>
      </c>
      <c r="AZ3356">
        <v>49.26</v>
      </c>
      <c r="BA3356">
        <v>1.02</v>
      </c>
      <c r="BB3356" t="s">
        <v>184</v>
      </c>
      <c r="BF3356">
        <v>-1.49</v>
      </c>
      <c r="BG3356">
        <v>-1.77</v>
      </c>
      <c r="BH3356">
        <v>-2.4</v>
      </c>
      <c r="BI3356">
        <v>0.36</v>
      </c>
      <c r="BJ3356">
        <v>20210827</v>
      </c>
      <c r="BK3356">
        <v>20120427</v>
      </c>
      <c r="BL3356">
        <v>11.06</v>
      </c>
      <c r="BM3356" t="s">
        <v>120</v>
      </c>
      <c r="BN3356" t="s">
        <v>120</v>
      </c>
      <c r="BO3356">
        <v>51.41</v>
      </c>
      <c r="BP3356">
        <v>13.85</v>
      </c>
      <c r="BQ3356">
        <v>32.130000000000003</v>
      </c>
      <c r="BR3356">
        <v>3.56</v>
      </c>
      <c r="BS3356">
        <v>30.57</v>
      </c>
      <c r="BT3356">
        <v>35.4</v>
      </c>
      <c r="BU3356">
        <v>3</v>
      </c>
      <c r="BV3356">
        <v>0.86</v>
      </c>
      <c r="BW3356">
        <v>11.98</v>
      </c>
      <c r="BX3356">
        <v>5.44</v>
      </c>
      <c r="BY3356">
        <v>1.1200000000000001</v>
      </c>
      <c r="BZ3356">
        <v>4.3899999999999997</v>
      </c>
      <c r="CA3356" t="s">
        <v>120</v>
      </c>
      <c r="CB3356">
        <v>8.0399999999999991</v>
      </c>
      <c r="CC3356">
        <v>8.06</v>
      </c>
      <c r="CD3356">
        <v>4.26</v>
      </c>
      <c r="CE3356">
        <v>0.26</v>
      </c>
      <c r="CF3356">
        <v>0.05</v>
      </c>
      <c r="CG3356">
        <v>0.26</v>
      </c>
      <c r="CH3356">
        <v>0.19</v>
      </c>
      <c r="CI3356">
        <v>0.16</v>
      </c>
      <c r="CJ3356">
        <v>-0.33</v>
      </c>
      <c r="CK3356">
        <v>0.18</v>
      </c>
      <c r="CL3356">
        <v>10.92</v>
      </c>
      <c r="CM3356">
        <v>-1.47</v>
      </c>
      <c r="CN3356">
        <v>-7.03</v>
      </c>
      <c r="CO3356">
        <v>91070</v>
      </c>
      <c r="CP3356">
        <v>5275</v>
      </c>
      <c r="CQ3356" t="s">
        <v>1630</v>
      </c>
      <c r="CR3356">
        <v>-38.01</v>
      </c>
      <c r="CS3356">
        <v>14.35</v>
      </c>
      <c r="CT3356">
        <v>4.7699999999999996</v>
      </c>
      <c r="CU3356">
        <v>-104.22</v>
      </c>
      <c r="CV3356">
        <v>19</v>
      </c>
      <c r="CW3356">
        <v>1.1399999999999999</v>
      </c>
      <c r="CX3356" t="s">
        <v>178</v>
      </c>
      <c r="CY3356">
        <v>2.91</v>
      </c>
      <c r="CZ3356">
        <v>0</v>
      </c>
      <c r="DA3356">
        <v>0.73</v>
      </c>
      <c r="DB3356">
        <v>0.99</v>
      </c>
      <c r="DC3356">
        <v>-0.13</v>
      </c>
      <c r="DD3356">
        <v>62.5</v>
      </c>
      <c r="DE3356" t="s">
        <v>5823</v>
      </c>
      <c r="DF3356">
        <v>47.08</v>
      </c>
      <c r="DG3356">
        <v>3.22</v>
      </c>
      <c r="DH3356">
        <v>2.0099999999999998</v>
      </c>
      <c r="DI3356">
        <v>0.37</v>
      </c>
      <c r="DJ3356">
        <v>3302</v>
      </c>
      <c r="DK3356">
        <v>603000</v>
      </c>
      <c r="DL3356" t="s">
        <v>120</v>
      </c>
      <c r="DM3356" t="s">
        <v>120</v>
      </c>
      <c r="DN3356" t="s">
        <v>120</v>
      </c>
    </row>
    <row r="3357" spans="1:118">
      <c r="A3357" t="str">
        <f>"603001"</f>
        <v>603001</v>
      </c>
      <c r="B3357" t="s">
        <v>14377</v>
      </c>
      <c r="C3357">
        <v>-2.13</v>
      </c>
      <c r="D3357">
        <v>0</v>
      </c>
      <c r="E3357">
        <v>0.34</v>
      </c>
      <c r="F3357">
        <v>26</v>
      </c>
      <c r="G3357" t="s">
        <v>14378</v>
      </c>
      <c r="H3357">
        <v>1804.75</v>
      </c>
      <c r="I3357">
        <v>0.27</v>
      </c>
      <c r="J3357" t="s">
        <v>120</v>
      </c>
      <c r="K3357" t="s">
        <v>6635</v>
      </c>
      <c r="L3357">
        <v>0.51</v>
      </c>
      <c r="M3357">
        <v>8.7100000000000009</v>
      </c>
      <c r="N3357">
        <v>1.05</v>
      </c>
      <c r="O3357">
        <v>2.13</v>
      </c>
      <c r="P3357">
        <v>9.09</v>
      </c>
      <c r="Q3357">
        <v>-2.36</v>
      </c>
      <c r="R3357">
        <v>8.69</v>
      </c>
      <c r="S3357">
        <v>8.93</v>
      </c>
      <c r="T3357">
        <v>20367</v>
      </c>
      <c r="U3357">
        <v>8.7200000000000006</v>
      </c>
      <c r="V3357">
        <v>8.9</v>
      </c>
      <c r="W3357">
        <v>21.48</v>
      </c>
      <c r="X3357" t="s">
        <v>2806</v>
      </c>
      <c r="Y3357" t="s">
        <v>585</v>
      </c>
      <c r="Z3357">
        <v>4.49</v>
      </c>
      <c r="AA3357">
        <v>8.86</v>
      </c>
      <c r="AB3357">
        <v>13152</v>
      </c>
      <c r="AC3357">
        <v>7215</v>
      </c>
      <c r="AD3357">
        <v>1.82</v>
      </c>
      <c r="AE3357">
        <v>249</v>
      </c>
      <c r="AF3357">
        <v>108</v>
      </c>
      <c r="AG3357" t="s">
        <v>120</v>
      </c>
      <c r="AH3357">
        <v>0</v>
      </c>
      <c r="AI3357" t="s">
        <v>120</v>
      </c>
      <c r="AJ3357">
        <v>4.01</v>
      </c>
      <c r="AK3357" t="s">
        <v>6635</v>
      </c>
      <c r="AL3357">
        <v>-0.79</v>
      </c>
      <c r="AM3357">
        <v>1222</v>
      </c>
      <c r="AN3357">
        <v>17</v>
      </c>
      <c r="AO3357">
        <v>4.0000000000000002E-4</v>
      </c>
      <c r="AP3357">
        <v>-1</v>
      </c>
      <c r="AQ3357">
        <v>0.11</v>
      </c>
      <c r="AR3357">
        <v>-4.71</v>
      </c>
      <c r="AS3357">
        <v>2.84</v>
      </c>
      <c r="AT3357">
        <v>0.34</v>
      </c>
      <c r="AU3357">
        <v>30</v>
      </c>
      <c r="AV3357">
        <v>4</v>
      </c>
      <c r="AW3357">
        <v>1.2</v>
      </c>
      <c r="AX3357">
        <v>42.22</v>
      </c>
      <c r="AY3357">
        <v>39.47</v>
      </c>
      <c r="AZ3357">
        <v>127.73</v>
      </c>
      <c r="BA3357">
        <v>1.28</v>
      </c>
      <c r="BB3357" t="s">
        <v>240</v>
      </c>
      <c r="BF3357">
        <v>-0.44</v>
      </c>
      <c r="BG3357">
        <v>-2.46</v>
      </c>
      <c r="BH3357">
        <v>-4.18</v>
      </c>
      <c r="BI3357">
        <v>0.23</v>
      </c>
      <c r="BJ3357">
        <v>20210827</v>
      </c>
      <c r="BK3357">
        <v>20120426</v>
      </c>
      <c r="BL3357">
        <v>4.01</v>
      </c>
      <c r="BM3357" t="s">
        <v>120</v>
      </c>
      <c r="BN3357" t="s">
        <v>120</v>
      </c>
      <c r="BO3357">
        <v>40.89</v>
      </c>
      <c r="BP3357">
        <v>8.7100000000000009</v>
      </c>
      <c r="BQ3357">
        <v>34.89</v>
      </c>
      <c r="BR3357">
        <v>0.11</v>
      </c>
      <c r="BS3357">
        <v>14.41</v>
      </c>
      <c r="BT3357">
        <v>26.9</v>
      </c>
      <c r="BU3357">
        <v>3.82</v>
      </c>
      <c r="BV3357">
        <v>1.87</v>
      </c>
      <c r="BW3357">
        <v>5.15</v>
      </c>
      <c r="BX3357">
        <v>6.97</v>
      </c>
      <c r="BY3357">
        <v>6.24</v>
      </c>
      <c r="BZ3357">
        <v>10.85</v>
      </c>
      <c r="CA3357">
        <v>0.01</v>
      </c>
      <c r="CB3357">
        <v>19.32</v>
      </c>
      <c r="CC3357">
        <v>15.22</v>
      </c>
      <c r="CD3357">
        <v>8.67</v>
      </c>
      <c r="CE3357">
        <v>1.01</v>
      </c>
      <c r="CF3357">
        <v>0.1</v>
      </c>
      <c r="CG3357">
        <v>1.06</v>
      </c>
      <c r="CH3357">
        <v>0.83</v>
      </c>
      <c r="CI3357">
        <v>0.81</v>
      </c>
      <c r="CJ3357">
        <v>-0.19</v>
      </c>
      <c r="CK3357">
        <v>0.64</v>
      </c>
      <c r="CL3357">
        <v>11.34</v>
      </c>
      <c r="CM3357">
        <v>-1.31</v>
      </c>
      <c r="CN3357">
        <v>-2.85</v>
      </c>
      <c r="CO3357">
        <v>15631</v>
      </c>
      <c r="CP3357">
        <v>10831</v>
      </c>
      <c r="CQ3357" t="s">
        <v>6261</v>
      </c>
      <c r="CR3357">
        <v>331.95</v>
      </c>
      <c r="CS3357">
        <v>52.44</v>
      </c>
      <c r="CT3357">
        <v>1</v>
      </c>
      <c r="CU3357">
        <v>-26.62</v>
      </c>
      <c r="CV3357">
        <v>2.29</v>
      </c>
      <c r="CW3357">
        <v>5.36</v>
      </c>
      <c r="CX3357" t="s">
        <v>2097</v>
      </c>
      <c r="CY3357">
        <v>8.6999999999999993</v>
      </c>
      <c r="CZ3357">
        <v>0</v>
      </c>
      <c r="DA3357">
        <v>4.82</v>
      </c>
      <c r="DB3357">
        <v>2.83</v>
      </c>
      <c r="DC3357">
        <v>-0.33</v>
      </c>
      <c r="DD3357">
        <v>85.33</v>
      </c>
      <c r="DE3357" t="s">
        <v>10111</v>
      </c>
      <c r="DF3357">
        <v>43.05</v>
      </c>
      <c r="DG3357">
        <v>6.62</v>
      </c>
      <c r="DH3357">
        <v>5.34</v>
      </c>
      <c r="DI3357">
        <v>0.19</v>
      </c>
      <c r="DJ3357">
        <v>4770</v>
      </c>
      <c r="DK3357">
        <v>603001</v>
      </c>
      <c r="DL3357" t="s">
        <v>120</v>
      </c>
      <c r="DM3357" t="s">
        <v>120</v>
      </c>
      <c r="DN3357" t="s">
        <v>120</v>
      </c>
    </row>
    <row r="3358" spans="1:118">
      <c r="A3358" t="str">
        <f>"603002"</f>
        <v>603002</v>
      </c>
      <c r="B3358" t="s">
        <v>14379</v>
      </c>
      <c r="C3358">
        <v>6.69</v>
      </c>
      <c r="D3358">
        <v>0.11</v>
      </c>
      <c r="E3358">
        <v>6.09</v>
      </c>
      <c r="F3358">
        <v>9344</v>
      </c>
      <c r="G3358" t="s">
        <v>5023</v>
      </c>
      <c r="H3358">
        <v>83410.289999999994</v>
      </c>
      <c r="I3358">
        <v>1106.3599999999999</v>
      </c>
      <c r="J3358" t="s">
        <v>120</v>
      </c>
      <c r="K3358" t="s">
        <v>5157</v>
      </c>
      <c r="L3358">
        <v>15.04</v>
      </c>
      <c r="M3358">
        <v>8.93</v>
      </c>
      <c r="N3358">
        <v>4.28</v>
      </c>
      <c r="O3358">
        <v>10.039999999999999</v>
      </c>
      <c r="P3358">
        <v>9.2100000000000009</v>
      </c>
      <c r="Q3358">
        <v>3.94</v>
      </c>
      <c r="R3358">
        <v>8.6999999999999993</v>
      </c>
      <c r="S3358">
        <v>8.8800000000000008</v>
      </c>
      <c r="T3358">
        <v>923844</v>
      </c>
      <c r="U3358">
        <v>8.93</v>
      </c>
      <c r="V3358">
        <v>8.3699999999999992</v>
      </c>
      <c r="W3358">
        <v>20.39</v>
      </c>
      <c r="X3358" t="s">
        <v>868</v>
      </c>
      <c r="Y3358" t="s">
        <v>547</v>
      </c>
      <c r="Z3358">
        <v>6.09</v>
      </c>
      <c r="AA3358">
        <v>9.0299999999999994</v>
      </c>
      <c r="AB3358">
        <v>504530</v>
      </c>
      <c r="AC3358">
        <v>419314</v>
      </c>
      <c r="AD3358">
        <v>1.2</v>
      </c>
      <c r="AE3358">
        <v>423</v>
      </c>
      <c r="AF3358">
        <v>9139</v>
      </c>
      <c r="AG3358" t="s">
        <v>120</v>
      </c>
      <c r="AH3358">
        <v>0.4</v>
      </c>
      <c r="AI3358" t="s">
        <v>120</v>
      </c>
      <c r="AJ3358">
        <v>6.14</v>
      </c>
      <c r="AK3358" t="s">
        <v>14380</v>
      </c>
      <c r="AL3358">
        <v>8.0299999999999994</v>
      </c>
      <c r="AM3358">
        <v>3989</v>
      </c>
      <c r="AN3358">
        <v>232</v>
      </c>
      <c r="AO3358">
        <v>3.8E-3</v>
      </c>
      <c r="AP3358">
        <v>2</v>
      </c>
      <c r="AQ3358">
        <v>5.42</v>
      </c>
      <c r="AR3358">
        <v>6.44</v>
      </c>
      <c r="AS3358">
        <v>29.98</v>
      </c>
      <c r="AT3358">
        <v>36.96</v>
      </c>
      <c r="AU3358">
        <v>76.739999999999995</v>
      </c>
      <c r="AV3358">
        <v>3</v>
      </c>
      <c r="AW3358">
        <v>29.33</v>
      </c>
      <c r="AX3358">
        <v>34.85</v>
      </c>
      <c r="AY3358">
        <v>22.35</v>
      </c>
      <c r="AZ3358">
        <v>33.76</v>
      </c>
      <c r="BA3358">
        <v>1.05</v>
      </c>
      <c r="BB3358" t="s">
        <v>168</v>
      </c>
      <c r="BF3358">
        <v>7.87</v>
      </c>
      <c r="BG3358">
        <v>0.56000000000000005</v>
      </c>
      <c r="BH3358">
        <v>-3.04</v>
      </c>
      <c r="BI3358">
        <v>2.64</v>
      </c>
      <c r="BJ3358">
        <v>20210818</v>
      </c>
      <c r="BK3358">
        <v>20120518</v>
      </c>
      <c r="BL3358">
        <v>9.0399999999999991</v>
      </c>
      <c r="BM3358" t="s">
        <v>120</v>
      </c>
      <c r="BN3358" t="s">
        <v>120</v>
      </c>
      <c r="BO3358">
        <v>37.25</v>
      </c>
      <c r="BP3358">
        <v>8.92</v>
      </c>
      <c r="BQ3358">
        <v>19.45</v>
      </c>
      <c r="BR3358" t="s">
        <v>120</v>
      </c>
      <c r="BS3358">
        <v>47.77</v>
      </c>
      <c r="BT3358">
        <v>28.78</v>
      </c>
      <c r="BU3358">
        <v>7.66</v>
      </c>
      <c r="BV3358">
        <v>0.28999999999999998</v>
      </c>
      <c r="BW3358">
        <v>17.739999999999998</v>
      </c>
      <c r="BX3358">
        <v>8.2899999999999991</v>
      </c>
      <c r="BY3358">
        <v>2.11</v>
      </c>
      <c r="BZ3358">
        <v>12.95</v>
      </c>
      <c r="CA3358" t="s">
        <v>120</v>
      </c>
      <c r="CB3358">
        <v>2.9</v>
      </c>
      <c r="CC3358">
        <v>20.73</v>
      </c>
      <c r="CD3358">
        <v>17.37</v>
      </c>
      <c r="CE3358">
        <v>2.38</v>
      </c>
      <c r="CF3358">
        <v>0.02</v>
      </c>
      <c r="CG3358">
        <v>2.38</v>
      </c>
      <c r="CH3358">
        <v>1.98</v>
      </c>
      <c r="CI3358">
        <v>1.98</v>
      </c>
      <c r="CJ3358">
        <v>0.56000000000000005</v>
      </c>
      <c r="CK3358">
        <v>1.96</v>
      </c>
      <c r="CL3358">
        <v>6.84</v>
      </c>
      <c r="CM3358">
        <v>-0.4</v>
      </c>
      <c r="CN3358">
        <v>-1.36</v>
      </c>
      <c r="CO3358">
        <v>27846</v>
      </c>
      <c r="CP3358">
        <v>11312</v>
      </c>
      <c r="CQ3358" t="s">
        <v>1480</v>
      </c>
      <c r="CR3358">
        <v>136.91</v>
      </c>
      <c r="CS3358">
        <v>100.15</v>
      </c>
      <c r="CT3358">
        <v>4.2</v>
      </c>
      <c r="CU3358">
        <v>-200.88</v>
      </c>
      <c r="CV3358">
        <v>3.89</v>
      </c>
      <c r="CW3358">
        <v>2.96</v>
      </c>
      <c r="CX3358" t="s">
        <v>3361</v>
      </c>
      <c r="CY3358">
        <v>2.13</v>
      </c>
      <c r="CZ3358">
        <v>2.13</v>
      </c>
      <c r="DA3358">
        <v>0.32</v>
      </c>
      <c r="DB3358">
        <v>0.76</v>
      </c>
      <c r="DC3358">
        <v>-0.04</v>
      </c>
      <c r="DD3358">
        <v>52.23</v>
      </c>
      <c r="DE3358" t="s">
        <v>14381</v>
      </c>
      <c r="DF3358">
        <v>16.239999999999998</v>
      </c>
      <c r="DG3358">
        <v>11.49</v>
      </c>
      <c r="DH3358">
        <v>9.5500000000000007</v>
      </c>
      <c r="DI3358">
        <v>0.36</v>
      </c>
      <c r="DJ3358">
        <v>607</v>
      </c>
      <c r="DK3358">
        <v>603002</v>
      </c>
      <c r="DL3358" t="s">
        <v>120</v>
      </c>
      <c r="DM3358" t="s">
        <v>120</v>
      </c>
      <c r="DN3358" t="s">
        <v>120</v>
      </c>
    </row>
    <row r="3359" spans="1:118">
      <c r="A3359" t="str">
        <f>"603003"</f>
        <v>603003</v>
      </c>
      <c r="B3359" t="s">
        <v>14382</v>
      </c>
      <c r="C3359">
        <v>-2.82</v>
      </c>
      <c r="D3359">
        <v>-0.95</v>
      </c>
      <c r="E3359">
        <v>0.13</v>
      </c>
      <c r="F3359">
        <v>2664</v>
      </c>
      <c r="G3359" t="s">
        <v>14383</v>
      </c>
      <c r="H3359">
        <v>4193.95</v>
      </c>
      <c r="I3359">
        <v>46.31</v>
      </c>
      <c r="J3359" t="s">
        <v>120</v>
      </c>
      <c r="K3359" t="s">
        <v>8331</v>
      </c>
      <c r="L3359">
        <v>1.4</v>
      </c>
      <c r="M3359">
        <v>7.25</v>
      </c>
      <c r="N3359">
        <v>0.81</v>
      </c>
      <c r="O3359">
        <v>0.8</v>
      </c>
      <c r="P3359">
        <v>7.52</v>
      </c>
      <c r="Q3359">
        <v>-2.82</v>
      </c>
      <c r="R3359">
        <v>7.25</v>
      </c>
      <c r="S3359">
        <v>7.47</v>
      </c>
      <c r="T3359">
        <v>56509</v>
      </c>
      <c r="U3359">
        <v>7.25</v>
      </c>
      <c r="V3359">
        <v>7.46</v>
      </c>
      <c r="W3359">
        <v>140.97</v>
      </c>
      <c r="X3359" t="s">
        <v>532</v>
      </c>
      <c r="Y3359" t="s">
        <v>1510</v>
      </c>
      <c r="Z3359">
        <v>3.62</v>
      </c>
      <c r="AA3359">
        <v>7.42</v>
      </c>
      <c r="AB3359">
        <v>31466</v>
      </c>
      <c r="AC3359">
        <v>25043</v>
      </c>
      <c r="AD3359">
        <v>1.26</v>
      </c>
      <c r="AE3359">
        <v>139</v>
      </c>
      <c r="AF3359">
        <v>1949</v>
      </c>
      <c r="AG3359" t="s">
        <v>120</v>
      </c>
      <c r="AH3359">
        <v>0.03</v>
      </c>
      <c r="AI3359" t="s">
        <v>120</v>
      </c>
      <c r="AJ3359">
        <v>4.0199999999999996</v>
      </c>
      <c r="AK3359" t="s">
        <v>8331</v>
      </c>
      <c r="AL3359">
        <v>-1.47</v>
      </c>
      <c r="AM3359">
        <v>1416</v>
      </c>
      <c r="AN3359">
        <v>40</v>
      </c>
      <c r="AO3359">
        <v>1E-3</v>
      </c>
      <c r="AP3359">
        <v>-1</v>
      </c>
      <c r="AQ3359">
        <v>3.04</v>
      </c>
      <c r="AR3359">
        <v>-0.82</v>
      </c>
      <c r="AS3359">
        <v>8.3699999999999992</v>
      </c>
      <c r="AT3359">
        <v>0</v>
      </c>
      <c r="AU3359">
        <v>-4.3499999999999996</v>
      </c>
      <c r="AV3359">
        <v>0</v>
      </c>
      <c r="AW3359">
        <v>2.35</v>
      </c>
      <c r="AX3359">
        <v>59.85</v>
      </c>
      <c r="AY3359" t="s">
        <v>120</v>
      </c>
      <c r="AZ3359" t="s">
        <v>120</v>
      </c>
      <c r="BA3359">
        <v>0.65</v>
      </c>
      <c r="BB3359" t="s">
        <v>168</v>
      </c>
      <c r="BF3359">
        <v>-0.51</v>
      </c>
      <c r="BG3359">
        <v>-2.95</v>
      </c>
      <c r="BH3359">
        <v>-3.59</v>
      </c>
      <c r="BI3359">
        <v>0</v>
      </c>
      <c r="BJ3359">
        <v>20210901</v>
      </c>
      <c r="BK3359">
        <v>20120817</v>
      </c>
      <c r="BL3359">
        <v>4.0199999999999996</v>
      </c>
      <c r="BM3359" t="s">
        <v>120</v>
      </c>
      <c r="BN3359" t="s">
        <v>120</v>
      </c>
      <c r="BO3359">
        <v>43.37</v>
      </c>
      <c r="BP3359">
        <v>7.24</v>
      </c>
      <c r="BQ3359">
        <v>37.26</v>
      </c>
      <c r="BR3359">
        <v>0.42</v>
      </c>
      <c r="BS3359">
        <v>13.1</v>
      </c>
      <c r="BT3359">
        <v>23.63</v>
      </c>
      <c r="BU3359">
        <v>12.65</v>
      </c>
      <c r="BV3359">
        <v>3.3</v>
      </c>
      <c r="BW3359">
        <v>5.0999999999999996</v>
      </c>
      <c r="BX3359">
        <v>5.94</v>
      </c>
      <c r="BY3359">
        <v>1.3</v>
      </c>
      <c r="BZ3359">
        <v>7.72</v>
      </c>
      <c r="CA3359" t="s">
        <v>120</v>
      </c>
      <c r="CB3359">
        <v>32.67</v>
      </c>
      <c r="CC3359">
        <v>33.590000000000003</v>
      </c>
      <c r="CD3359">
        <v>32.89</v>
      </c>
      <c r="CE3359">
        <v>0.16</v>
      </c>
      <c r="CF3359">
        <v>0.04</v>
      </c>
      <c r="CG3359">
        <v>0.16</v>
      </c>
      <c r="CH3359">
        <v>0.13</v>
      </c>
      <c r="CI3359">
        <v>0.1</v>
      </c>
      <c r="CJ3359">
        <v>-0.21</v>
      </c>
      <c r="CK3359">
        <v>-0.06</v>
      </c>
      <c r="CL3359">
        <v>1.1599999999999999</v>
      </c>
      <c r="CM3359">
        <v>-3.8</v>
      </c>
      <c r="CN3359">
        <v>0.6</v>
      </c>
      <c r="CO3359">
        <v>19238</v>
      </c>
      <c r="CP3359">
        <v>12520</v>
      </c>
      <c r="CQ3359" t="s">
        <v>9587</v>
      </c>
      <c r="CR3359">
        <v>181.05</v>
      </c>
      <c r="CS3359">
        <v>-32.08</v>
      </c>
      <c r="CT3359">
        <v>0.78</v>
      </c>
      <c r="CU3359">
        <v>-7.69</v>
      </c>
      <c r="CV3359">
        <v>0.87</v>
      </c>
      <c r="CW3359">
        <v>0</v>
      </c>
      <c r="CX3359" t="s">
        <v>2074</v>
      </c>
      <c r="CY3359">
        <v>9.26</v>
      </c>
      <c r="CZ3359">
        <v>0</v>
      </c>
      <c r="DA3359">
        <v>8.1199999999999992</v>
      </c>
      <c r="DB3359">
        <v>0.28999999999999998</v>
      </c>
      <c r="DC3359">
        <v>-0.94</v>
      </c>
      <c r="DD3359">
        <v>85.93</v>
      </c>
      <c r="DE3359" t="s">
        <v>1416</v>
      </c>
      <c r="DF3359">
        <v>2.09</v>
      </c>
      <c r="DG3359">
        <v>0.48</v>
      </c>
      <c r="DH3359">
        <v>0.31</v>
      </c>
      <c r="DI3359">
        <v>0.09</v>
      </c>
      <c r="DJ3359">
        <v>123</v>
      </c>
      <c r="DK3359">
        <v>603003</v>
      </c>
      <c r="DL3359" t="s">
        <v>120</v>
      </c>
      <c r="DM3359" t="s">
        <v>120</v>
      </c>
      <c r="DN3359" t="s">
        <v>120</v>
      </c>
    </row>
    <row r="3360" spans="1:118">
      <c r="A3360" t="str">
        <f>"603005"</f>
        <v>603005</v>
      </c>
      <c r="B3360" t="s">
        <v>14384</v>
      </c>
      <c r="C3360">
        <v>-3.18</v>
      </c>
      <c r="D3360">
        <v>-0.03</v>
      </c>
      <c r="E3360">
        <v>0.02</v>
      </c>
      <c r="F3360">
        <v>1364</v>
      </c>
      <c r="G3360" t="s">
        <v>14385</v>
      </c>
      <c r="H3360">
        <v>37167.89</v>
      </c>
      <c r="I3360">
        <v>167.43</v>
      </c>
      <c r="J3360" t="s">
        <v>120</v>
      </c>
      <c r="K3360" t="s">
        <v>14386</v>
      </c>
      <c r="L3360">
        <v>1.98</v>
      </c>
      <c r="M3360">
        <v>45.4</v>
      </c>
      <c r="N3360">
        <v>0.98</v>
      </c>
      <c r="O3360">
        <v>0.73</v>
      </c>
      <c r="P3360">
        <v>47.23</v>
      </c>
      <c r="Q3360">
        <v>-3.2</v>
      </c>
      <c r="R3360">
        <v>45.39</v>
      </c>
      <c r="S3360">
        <v>46.9</v>
      </c>
      <c r="T3360">
        <v>80428</v>
      </c>
      <c r="U3360">
        <v>45.41</v>
      </c>
      <c r="V3360">
        <v>46.89</v>
      </c>
      <c r="W3360">
        <v>34.58</v>
      </c>
      <c r="X3360" t="s">
        <v>3245</v>
      </c>
      <c r="Y3360" t="s">
        <v>319</v>
      </c>
      <c r="Z3360">
        <v>3.92</v>
      </c>
      <c r="AA3360">
        <v>46.21</v>
      </c>
      <c r="AB3360">
        <v>43248</v>
      </c>
      <c r="AC3360">
        <v>37180</v>
      </c>
      <c r="AD3360">
        <v>1.1599999999999999</v>
      </c>
      <c r="AE3360">
        <v>76</v>
      </c>
      <c r="AF3360">
        <v>84</v>
      </c>
      <c r="AG3360" t="s">
        <v>120</v>
      </c>
      <c r="AH3360">
        <v>0.01</v>
      </c>
      <c r="AI3360" t="s">
        <v>120</v>
      </c>
      <c r="AJ3360">
        <v>4.07</v>
      </c>
      <c r="AK3360" t="s">
        <v>14387</v>
      </c>
      <c r="AL3360">
        <v>-1.83</v>
      </c>
      <c r="AM3360">
        <v>3947</v>
      </c>
      <c r="AN3360">
        <v>20</v>
      </c>
      <c r="AO3360">
        <v>5.0000000000000001E-4</v>
      </c>
      <c r="AP3360">
        <v>-4</v>
      </c>
      <c r="AQ3360">
        <v>-2.54</v>
      </c>
      <c r="AR3360">
        <v>-7.37</v>
      </c>
      <c r="AS3360">
        <v>-11.88</v>
      </c>
      <c r="AT3360">
        <v>-20.260000000000002</v>
      </c>
      <c r="AU3360">
        <v>-15.04</v>
      </c>
      <c r="AV3360">
        <v>2</v>
      </c>
      <c r="AW3360">
        <v>3.04</v>
      </c>
      <c r="AX3360">
        <v>64.790000000000006</v>
      </c>
      <c r="AY3360">
        <v>38.78</v>
      </c>
      <c r="AZ3360">
        <v>50.14</v>
      </c>
      <c r="BA3360">
        <v>0.61</v>
      </c>
      <c r="BB3360" t="s">
        <v>134</v>
      </c>
      <c r="BF3360">
        <v>-1.44</v>
      </c>
      <c r="BG3360">
        <v>-3.2</v>
      </c>
      <c r="BH3360">
        <v>-3.87</v>
      </c>
      <c r="BI3360">
        <v>0.02</v>
      </c>
      <c r="BJ3360">
        <v>20210828</v>
      </c>
      <c r="BK3360">
        <v>20140210</v>
      </c>
      <c r="BL3360">
        <v>4.08</v>
      </c>
      <c r="BM3360" t="s">
        <v>120</v>
      </c>
      <c r="BN3360" t="s">
        <v>120</v>
      </c>
      <c r="BO3360">
        <v>42.74</v>
      </c>
      <c r="BP3360">
        <v>45.4</v>
      </c>
      <c r="BQ3360">
        <v>35.47</v>
      </c>
      <c r="BR3360">
        <v>0.26</v>
      </c>
      <c r="BS3360">
        <v>16.399999999999999</v>
      </c>
      <c r="BT3360">
        <v>27.01</v>
      </c>
      <c r="BU3360">
        <v>8.48</v>
      </c>
      <c r="BV3360">
        <v>1.07</v>
      </c>
      <c r="BW3360">
        <v>5.7</v>
      </c>
      <c r="BX3360">
        <v>21.62</v>
      </c>
      <c r="BY3360">
        <v>1.33</v>
      </c>
      <c r="BZ3360">
        <v>1.92</v>
      </c>
      <c r="CA3360" t="s">
        <v>120</v>
      </c>
      <c r="CB3360">
        <v>18.21</v>
      </c>
      <c r="CC3360">
        <v>6.94</v>
      </c>
      <c r="CD3360">
        <v>3.27</v>
      </c>
      <c r="CE3360">
        <v>3.09</v>
      </c>
      <c r="CF3360">
        <v>0</v>
      </c>
      <c r="CG3360">
        <v>3.09</v>
      </c>
      <c r="CH3360">
        <v>2.69</v>
      </c>
      <c r="CI3360">
        <v>2.68</v>
      </c>
      <c r="CJ3360">
        <v>-1.49</v>
      </c>
      <c r="CK3360">
        <v>2.37</v>
      </c>
      <c r="CL3360">
        <v>11.81</v>
      </c>
      <c r="CM3360">
        <v>3.26</v>
      </c>
      <c r="CN3360">
        <v>-8.74</v>
      </c>
      <c r="CO3360">
        <v>94111</v>
      </c>
      <c r="CP3360">
        <v>2809</v>
      </c>
      <c r="CQ3360" t="s">
        <v>14388</v>
      </c>
      <c r="CR3360">
        <v>71.66</v>
      </c>
      <c r="CS3360">
        <v>52.63</v>
      </c>
      <c r="CT3360">
        <v>5.22</v>
      </c>
      <c r="CU3360">
        <v>56.87</v>
      </c>
      <c r="CV3360">
        <v>26.68</v>
      </c>
      <c r="CW3360">
        <v>0.42</v>
      </c>
      <c r="CX3360" t="s">
        <v>2533</v>
      </c>
      <c r="CY3360">
        <v>8.69</v>
      </c>
      <c r="CZ3360">
        <v>0</v>
      </c>
      <c r="DA3360">
        <v>4.46</v>
      </c>
      <c r="DB3360">
        <v>2.89</v>
      </c>
      <c r="DC3360">
        <v>0.8</v>
      </c>
      <c r="DD3360">
        <v>82.99</v>
      </c>
      <c r="DE3360" t="s">
        <v>10129</v>
      </c>
      <c r="DF3360">
        <v>52.96</v>
      </c>
      <c r="DG3360">
        <v>44.45</v>
      </c>
      <c r="DH3360">
        <v>38.58</v>
      </c>
      <c r="DI3360">
        <v>0.81</v>
      </c>
      <c r="DJ3360">
        <v>959</v>
      </c>
      <c r="DK3360">
        <v>603005</v>
      </c>
      <c r="DL3360" t="s">
        <v>120</v>
      </c>
      <c r="DM3360" t="s">
        <v>120</v>
      </c>
      <c r="DN3360" t="s">
        <v>120</v>
      </c>
    </row>
    <row r="3361" spans="1:118">
      <c r="A3361" t="str">
        <f>"603006"</f>
        <v>603006</v>
      </c>
      <c r="B3361" t="s">
        <v>14389</v>
      </c>
      <c r="C3361">
        <v>-1.53</v>
      </c>
      <c r="D3361">
        <v>0</v>
      </c>
      <c r="E3361">
        <v>0.66</v>
      </c>
      <c r="F3361">
        <v>210</v>
      </c>
      <c r="G3361" t="s">
        <v>14390</v>
      </c>
      <c r="H3361">
        <v>1727.66</v>
      </c>
      <c r="I3361">
        <v>2.21</v>
      </c>
      <c r="J3361" t="s">
        <v>120</v>
      </c>
      <c r="K3361" t="s">
        <v>7806</v>
      </c>
      <c r="L3361">
        <v>0.99</v>
      </c>
      <c r="M3361">
        <v>9</v>
      </c>
      <c r="N3361">
        <v>1.06</v>
      </c>
      <c r="O3361">
        <v>1.2</v>
      </c>
      <c r="P3361">
        <v>9.25</v>
      </c>
      <c r="Q3361">
        <v>-1.53</v>
      </c>
      <c r="R3361">
        <v>9</v>
      </c>
      <c r="S3361">
        <v>9.1999999999999993</v>
      </c>
      <c r="T3361">
        <v>18897</v>
      </c>
      <c r="U3361">
        <v>9.01</v>
      </c>
      <c r="V3361">
        <v>9.14</v>
      </c>
      <c r="W3361">
        <v>18.079999999999998</v>
      </c>
      <c r="X3361" t="s">
        <v>289</v>
      </c>
      <c r="Y3361" t="s">
        <v>1510</v>
      </c>
      <c r="Z3361">
        <v>2.74</v>
      </c>
      <c r="AA3361">
        <v>9.14</v>
      </c>
      <c r="AB3361">
        <v>12540</v>
      </c>
      <c r="AC3361">
        <v>6357</v>
      </c>
      <c r="AD3361">
        <v>1.97</v>
      </c>
      <c r="AE3361">
        <v>231</v>
      </c>
      <c r="AF3361">
        <v>1</v>
      </c>
      <c r="AG3361" t="s">
        <v>120</v>
      </c>
      <c r="AH3361">
        <v>0</v>
      </c>
      <c r="AI3361" t="s">
        <v>120</v>
      </c>
      <c r="AJ3361">
        <v>1.91</v>
      </c>
      <c r="AK3361" t="s">
        <v>14391</v>
      </c>
      <c r="AL3361">
        <v>-0.19</v>
      </c>
      <c r="AM3361">
        <v>1064</v>
      </c>
      <c r="AN3361">
        <v>18</v>
      </c>
      <c r="AO3361">
        <v>8.9999999999999998E-4</v>
      </c>
      <c r="AP3361">
        <v>-2</v>
      </c>
      <c r="AQ3361">
        <v>-0.54</v>
      </c>
      <c r="AR3361">
        <v>-1.85</v>
      </c>
      <c r="AS3361">
        <v>1.35</v>
      </c>
      <c r="AT3361">
        <v>-0.67</v>
      </c>
      <c r="AU3361">
        <v>-24.49</v>
      </c>
      <c r="AV3361">
        <v>0</v>
      </c>
      <c r="AW3361">
        <v>2.71</v>
      </c>
      <c r="AX3361">
        <v>27.45</v>
      </c>
      <c r="AY3361">
        <v>26.72</v>
      </c>
      <c r="AZ3361">
        <v>28.06</v>
      </c>
      <c r="BA3361">
        <v>0.61</v>
      </c>
      <c r="BB3361" t="s">
        <v>240</v>
      </c>
      <c r="BF3361">
        <v>0.03</v>
      </c>
      <c r="BG3361">
        <v>-2.17</v>
      </c>
      <c r="BH3361">
        <v>-2.7</v>
      </c>
      <c r="BI3361">
        <v>0</v>
      </c>
      <c r="BJ3361">
        <v>20210830</v>
      </c>
      <c r="BK3361">
        <v>20140630</v>
      </c>
      <c r="BL3361">
        <v>2.54</v>
      </c>
      <c r="BM3361" t="s">
        <v>120</v>
      </c>
      <c r="BN3361" t="s">
        <v>120</v>
      </c>
      <c r="BO3361">
        <v>21.04</v>
      </c>
      <c r="BP3361">
        <v>9</v>
      </c>
      <c r="BQ3361">
        <v>13.13</v>
      </c>
      <c r="BR3361">
        <v>2.74</v>
      </c>
      <c r="BS3361">
        <v>24.58</v>
      </c>
      <c r="BT3361">
        <v>11.05</v>
      </c>
      <c r="BU3361">
        <v>6.36</v>
      </c>
      <c r="BV3361">
        <v>1.42</v>
      </c>
      <c r="BW3361">
        <v>4.6100000000000003</v>
      </c>
      <c r="BX3361">
        <v>0.77</v>
      </c>
      <c r="BY3361">
        <v>3.38</v>
      </c>
      <c r="BZ3361">
        <v>2.4300000000000002</v>
      </c>
      <c r="CA3361" t="s">
        <v>120</v>
      </c>
      <c r="CB3361">
        <v>0.96</v>
      </c>
      <c r="CC3361">
        <v>5.19</v>
      </c>
      <c r="CD3361">
        <v>3.94</v>
      </c>
      <c r="CE3361">
        <v>0.83</v>
      </c>
      <c r="CF3361">
        <v>0.08</v>
      </c>
      <c r="CG3361">
        <v>0.83</v>
      </c>
      <c r="CH3361">
        <v>0.66</v>
      </c>
      <c r="CI3361">
        <v>0.63</v>
      </c>
      <c r="CJ3361">
        <v>-0.14000000000000001</v>
      </c>
      <c r="CK3361">
        <v>0.39</v>
      </c>
      <c r="CL3361">
        <v>8.77</v>
      </c>
      <c r="CM3361">
        <v>1.25</v>
      </c>
      <c r="CN3361">
        <v>-0.62</v>
      </c>
      <c r="CO3361">
        <v>10434</v>
      </c>
      <c r="CP3361">
        <v>6689</v>
      </c>
      <c r="CQ3361" t="s">
        <v>1221</v>
      </c>
      <c r="CR3361">
        <v>7.07</v>
      </c>
      <c r="CS3361">
        <v>17.059999999999999</v>
      </c>
      <c r="CT3361">
        <v>1.74</v>
      </c>
      <c r="CU3361">
        <v>18.25</v>
      </c>
      <c r="CV3361">
        <v>4.41</v>
      </c>
      <c r="CW3361">
        <v>2.63</v>
      </c>
      <c r="CX3361" t="s">
        <v>863</v>
      </c>
      <c r="CY3361">
        <v>5.16</v>
      </c>
      <c r="CZ3361">
        <v>0</v>
      </c>
      <c r="DA3361">
        <v>0.38</v>
      </c>
      <c r="DB3361">
        <v>3.45</v>
      </c>
      <c r="DC3361">
        <v>0.49</v>
      </c>
      <c r="DD3361">
        <v>62.38</v>
      </c>
      <c r="DE3361" t="s">
        <v>11459</v>
      </c>
      <c r="DF3361">
        <v>24.17</v>
      </c>
      <c r="DG3361">
        <v>15.95</v>
      </c>
      <c r="DH3361">
        <v>12.18</v>
      </c>
      <c r="DI3361">
        <v>0.11</v>
      </c>
      <c r="DJ3361">
        <v>1594</v>
      </c>
      <c r="DK3361">
        <v>603006</v>
      </c>
      <c r="DL3361" t="s">
        <v>120</v>
      </c>
      <c r="DM3361" t="s">
        <v>120</v>
      </c>
      <c r="DN3361" t="s">
        <v>120</v>
      </c>
    </row>
    <row r="3362" spans="1:118">
      <c r="A3362" t="str">
        <f>"603008"</f>
        <v>603008</v>
      </c>
      <c r="B3362" t="s">
        <v>14392</v>
      </c>
      <c r="C3362">
        <v>-2.15</v>
      </c>
      <c r="D3362">
        <v>0</v>
      </c>
      <c r="E3362">
        <v>0.49</v>
      </c>
      <c r="F3362">
        <v>263</v>
      </c>
      <c r="G3362" t="s">
        <v>14393</v>
      </c>
      <c r="H3362">
        <v>6235.26</v>
      </c>
      <c r="I3362">
        <v>4.26</v>
      </c>
      <c r="J3362" t="s">
        <v>120</v>
      </c>
      <c r="K3362" t="s">
        <v>14394</v>
      </c>
      <c r="L3362">
        <v>0.62</v>
      </c>
      <c r="M3362">
        <v>25.95</v>
      </c>
      <c r="N3362">
        <v>0.62</v>
      </c>
      <c r="O3362">
        <v>0.53</v>
      </c>
      <c r="P3362">
        <v>26.66</v>
      </c>
      <c r="Q3362">
        <v>-2.83</v>
      </c>
      <c r="R3362">
        <v>25.77</v>
      </c>
      <c r="S3362">
        <v>26.65</v>
      </c>
      <c r="T3362">
        <v>23916</v>
      </c>
      <c r="U3362">
        <v>25.95</v>
      </c>
      <c r="V3362">
        <v>26.52</v>
      </c>
      <c r="W3362">
        <v>23.1</v>
      </c>
      <c r="X3362" t="s">
        <v>2409</v>
      </c>
      <c r="Y3362" t="s">
        <v>585</v>
      </c>
      <c r="Z3362">
        <v>3.36</v>
      </c>
      <c r="AA3362">
        <v>26.07</v>
      </c>
      <c r="AB3362">
        <v>13510</v>
      </c>
      <c r="AC3362">
        <v>10406</v>
      </c>
      <c r="AD3362">
        <v>1.3</v>
      </c>
      <c r="AE3362">
        <v>27</v>
      </c>
      <c r="AF3362">
        <v>44</v>
      </c>
      <c r="AG3362" t="s">
        <v>120</v>
      </c>
      <c r="AH3362">
        <v>0</v>
      </c>
      <c r="AI3362" t="s">
        <v>120</v>
      </c>
      <c r="AJ3362">
        <v>3.87</v>
      </c>
      <c r="AK3362" t="s">
        <v>14394</v>
      </c>
      <c r="AL3362">
        <v>-0.81</v>
      </c>
      <c r="AM3362">
        <v>2385</v>
      </c>
      <c r="AN3362">
        <v>10</v>
      </c>
      <c r="AO3362">
        <v>2.9999999999999997E-4</v>
      </c>
      <c r="AP3362">
        <v>-7</v>
      </c>
      <c r="AQ3362">
        <v>-0.75</v>
      </c>
      <c r="AR3362">
        <v>-3.75</v>
      </c>
      <c r="AS3362">
        <v>-9.17</v>
      </c>
      <c r="AT3362">
        <v>-20.38</v>
      </c>
      <c r="AU3362">
        <v>36.08</v>
      </c>
      <c r="AV3362">
        <v>1</v>
      </c>
      <c r="AW3362">
        <v>0.91</v>
      </c>
      <c r="AX3362">
        <v>67.52</v>
      </c>
      <c r="AY3362">
        <v>21.03</v>
      </c>
      <c r="AZ3362">
        <v>32.78</v>
      </c>
      <c r="BA3362">
        <v>1.02</v>
      </c>
      <c r="BB3362" t="s">
        <v>143</v>
      </c>
      <c r="BF3362">
        <v>-1.69</v>
      </c>
      <c r="BG3362">
        <v>-2.63</v>
      </c>
      <c r="BH3362">
        <v>-2.66</v>
      </c>
      <c r="BI3362">
        <v>0.7</v>
      </c>
      <c r="BJ3362">
        <v>20210803</v>
      </c>
      <c r="BK3362">
        <v>20120717</v>
      </c>
      <c r="BL3362">
        <v>3.87</v>
      </c>
      <c r="BM3362" t="s">
        <v>120</v>
      </c>
      <c r="BN3362" t="s">
        <v>120</v>
      </c>
      <c r="BO3362">
        <v>71.95</v>
      </c>
      <c r="BP3362">
        <v>25.93</v>
      </c>
      <c r="BQ3362">
        <v>30.55</v>
      </c>
      <c r="BR3362">
        <v>2.37</v>
      </c>
      <c r="BS3362">
        <v>54.25</v>
      </c>
      <c r="BT3362">
        <v>38.4</v>
      </c>
      <c r="BU3362">
        <v>16.190000000000001</v>
      </c>
      <c r="BV3362">
        <v>2.5099999999999998</v>
      </c>
      <c r="BW3362">
        <v>36.299999999999997</v>
      </c>
      <c r="BX3362">
        <v>14.21</v>
      </c>
      <c r="BY3362">
        <v>9.6</v>
      </c>
      <c r="BZ3362">
        <v>8.67</v>
      </c>
      <c r="CA3362" t="s">
        <v>120</v>
      </c>
      <c r="CB3362">
        <v>13.62</v>
      </c>
      <c r="CC3362">
        <v>31.07</v>
      </c>
      <c r="CD3362">
        <v>21.44</v>
      </c>
      <c r="CE3362">
        <v>2.76</v>
      </c>
      <c r="CF3362">
        <v>0.19</v>
      </c>
      <c r="CG3362">
        <v>2.68</v>
      </c>
      <c r="CH3362">
        <v>2.4300000000000002</v>
      </c>
      <c r="CI3362">
        <v>2.1800000000000002</v>
      </c>
      <c r="CJ3362">
        <v>-0.56999999999999995</v>
      </c>
      <c r="CK3362">
        <v>1.78</v>
      </c>
      <c r="CL3362">
        <v>11.45</v>
      </c>
      <c r="CM3362">
        <v>1.8</v>
      </c>
      <c r="CN3362">
        <v>-2.09</v>
      </c>
      <c r="CO3362">
        <v>8953</v>
      </c>
      <c r="CP3362">
        <v>29217</v>
      </c>
      <c r="CQ3362" t="s">
        <v>14395</v>
      </c>
      <c r="CR3362">
        <v>412.17</v>
      </c>
      <c r="CS3362">
        <v>57.25</v>
      </c>
      <c r="CT3362">
        <v>3.29</v>
      </c>
      <c r="CU3362">
        <v>55.76</v>
      </c>
      <c r="CV3362">
        <v>3.24</v>
      </c>
      <c r="CW3362">
        <v>0.94</v>
      </c>
      <c r="CX3362" t="s">
        <v>1426</v>
      </c>
      <c r="CY3362">
        <v>7.89</v>
      </c>
      <c r="CZ3362">
        <v>0</v>
      </c>
      <c r="DA3362">
        <v>3.52</v>
      </c>
      <c r="DB3362">
        <v>2.95</v>
      </c>
      <c r="DC3362">
        <v>0.47</v>
      </c>
      <c r="DD3362">
        <v>42.46</v>
      </c>
      <c r="DE3362" t="s">
        <v>2998</v>
      </c>
      <c r="DF3362">
        <v>30.98</v>
      </c>
      <c r="DG3362">
        <v>8.8699999999999992</v>
      </c>
      <c r="DH3362">
        <v>7</v>
      </c>
      <c r="DI3362">
        <v>0.76</v>
      </c>
      <c r="DJ3362">
        <v>8277</v>
      </c>
      <c r="DK3362">
        <v>603008</v>
      </c>
      <c r="DL3362" t="s">
        <v>120</v>
      </c>
      <c r="DM3362" t="s">
        <v>120</v>
      </c>
      <c r="DN3362" t="s">
        <v>120</v>
      </c>
    </row>
    <row r="3363" spans="1:118">
      <c r="A3363" t="str">
        <f>"603009"</f>
        <v>603009</v>
      </c>
      <c r="B3363" t="s">
        <v>14396</v>
      </c>
      <c r="C3363">
        <v>-2.2200000000000002</v>
      </c>
      <c r="D3363">
        <v>-0.14000000000000001</v>
      </c>
      <c r="E3363">
        <v>1.03</v>
      </c>
      <c r="F3363">
        <v>442</v>
      </c>
      <c r="G3363" t="s">
        <v>10409</v>
      </c>
      <c r="H3363">
        <v>2785.06</v>
      </c>
      <c r="I3363">
        <v>13.89</v>
      </c>
      <c r="J3363" t="s">
        <v>120</v>
      </c>
      <c r="K3363" t="s">
        <v>4061</v>
      </c>
      <c r="L3363">
        <v>1.22</v>
      </c>
      <c r="M3363">
        <v>6.62</v>
      </c>
      <c r="N3363">
        <v>0.7</v>
      </c>
      <c r="O3363">
        <v>1.03</v>
      </c>
      <c r="P3363">
        <v>6.84</v>
      </c>
      <c r="Q3363">
        <v>-2.5099999999999998</v>
      </c>
      <c r="R3363">
        <v>6.6</v>
      </c>
      <c r="S3363">
        <v>6.84</v>
      </c>
      <c r="T3363">
        <v>41377</v>
      </c>
      <c r="U3363">
        <v>6.63</v>
      </c>
      <c r="V3363">
        <v>6.77</v>
      </c>
      <c r="W3363">
        <v>28.94</v>
      </c>
      <c r="X3363" t="s">
        <v>289</v>
      </c>
      <c r="Y3363" t="s">
        <v>1510</v>
      </c>
      <c r="Z3363">
        <v>3.55</v>
      </c>
      <c r="AA3363">
        <v>6.73</v>
      </c>
      <c r="AB3363">
        <v>27447</v>
      </c>
      <c r="AC3363">
        <v>13930</v>
      </c>
      <c r="AD3363">
        <v>1.97</v>
      </c>
      <c r="AE3363">
        <v>74</v>
      </c>
      <c r="AF3363">
        <v>144</v>
      </c>
      <c r="AG3363" t="s">
        <v>120</v>
      </c>
      <c r="AH3363">
        <v>0.01</v>
      </c>
      <c r="AI3363" t="s">
        <v>120</v>
      </c>
      <c r="AJ3363">
        <v>3.38</v>
      </c>
      <c r="AK3363" t="s">
        <v>14397</v>
      </c>
      <c r="AL3363">
        <v>-0.87</v>
      </c>
      <c r="AM3363">
        <v>1595</v>
      </c>
      <c r="AN3363">
        <v>26</v>
      </c>
      <c r="AO3363">
        <v>8.0000000000000004E-4</v>
      </c>
      <c r="AP3363">
        <v>-1</v>
      </c>
      <c r="AQ3363">
        <v>2.89</v>
      </c>
      <c r="AR3363">
        <v>-1.93</v>
      </c>
      <c r="AS3363">
        <v>0.61</v>
      </c>
      <c r="AT3363">
        <v>11.07</v>
      </c>
      <c r="AU3363">
        <v>12.97</v>
      </c>
      <c r="AV3363">
        <v>3</v>
      </c>
      <c r="AW3363">
        <v>2.23</v>
      </c>
      <c r="AX3363">
        <v>51.8</v>
      </c>
      <c r="AY3363">
        <v>33.020000000000003</v>
      </c>
      <c r="AZ3363">
        <v>80.099999999999994</v>
      </c>
      <c r="BA3363">
        <v>0.79</v>
      </c>
      <c r="BB3363" t="s">
        <v>143</v>
      </c>
      <c r="BF3363">
        <v>-0.57999999999999996</v>
      </c>
      <c r="BG3363">
        <v>-3.22</v>
      </c>
      <c r="BH3363">
        <v>-3.22</v>
      </c>
      <c r="BI3363">
        <v>0.3</v>
      </c>
      <c r="BJ3363">
        <v>20210730</v>
      </c>
      <c r="BK3363">
        <v>20140718</v>
      </c>
      <c r="BL3363">
        <v>3.59</v>
      </c>
      <c r="BM3363" t="s">
        <v>120</v>
      </c>
      <c r="BN3363" t="s">
        <v>120</v>
      </c>
      <c r="BO3363">
        <v>32.56</v>
      </c>
      <c r="BP3363">
        <v>6.62</v>
      </c>
      <c r="BQ3363">
        <v>15.22</v>
      </c>
      <c r="BR3363">
        <v>0.68</v>
      </c>
      <c r="BS3363">
        <v>51.15</v>
      </c>
      <c r="BT3363">
        <v>14.64</v>
      </c>
      <c r="BU3363">
        <v>10.039999999999999</v>
      </c>
      <c r="BV3363">
        <v>1.85</v>
      </c>
      <c r="BW3363">
        <v>12.15</v>
      </c>
      <c r="BX3363">
        <v>1.34</v>
      </c>
      <c r="BY3363">
        <v>3.92</v>
      </c>
      <c r="BZ3363">
        <v>4.66</v>
      </c>
      <c r="CA3363" t="s">
        <v>120</v>
      </c>
      <c r="CB3363">
        <v>10.18</v>
      </c>
      <c r="CC3363">
        <v>8.84</v>
      </c>
      <c r="CD3363">
        <v>7.16</v>
      </c>
      <c r="CE3363">
        <v>0.43</v>
      </c>
      <c r="CF3363">
        <v>0</v>
      </c>
      <c r="CG3363">
        <v>0.43</v>
      </c>
      <c r="CH3363">
        <v>0.37</v>
      </c>
      <c r="CI3363">
        <v>0.41</v>
      </c>
      <c r="CJ3363">
        <v>-0.15</v>
      </c>
      <c r="CK3363">
        <v>0.38</v>
      </c>
      <c r="CL3363">
        <v>2.34</v>
      </c>
      <c r="CM3363">
        <v>0.89</v>
      </c>
      <c r="CN3363">
        <v>0.25</v>
      </c>
      <c r="CO3363">
        <v>27664</v>
      </c>
      <c r="CP3363">
        <v>6717</v>
      </c>
      <c r="CQ3363" t="s">
        <v>3827</v>
      </c>
      <c r="CR3363">
        <v>1964.21</v>
      </c>
      <c r="CS3363">
        <v>47.25</v>
      </c>
      <c r="CT3363">
        <v>1.44</v>
      </c>
      <c r="CU3363">
        <v>26.74</v>
      </c>
      <c r="CV3363">
        <v>2.69</v>
      </c>
      <c r="CW3363">
        <v>0</v>
      </c>
      <c r="CX3363" t="s">
        <v>1147</v>
      </c>
      <c r="CY3363">
        <v>4.59</v>
      </c>
      <c r="CZ3363">
        <v>4.59</v>
      </c>
      <c r="DA3363">
        <v>2.84</v>
      </c>
      <c r="DB3363">
        <v>0.65</v>
      </c>
      <c r="DC3363">
        <v>0.25</v>
      </c>
      <c r="DD3363">
        <v>46.75</v>
      </c>
      <c r="DE3363" t="s">
        <v>1779</v>
      </c>
      <c r="DF3363">
        <v>18.989999999999998</v>
      </c>
      <c r="DG3363">
        <v>4.8600000000000003</v>
      </c>
      <c r="DH3363">
        <v>4.6399999999999997</v>
      </c>
      <c r="DI3363">
        <v>0.34</v>
      </c>
      <c r="DJ3363">
        <v>1203</v>
      </c>
      <c r="DK3363">
        <v>603009</v>
      </c>
      <c r="DL3363" t="s">
        <v>120</v>
      </c>
      <c r="DM3363" t="s">
        <v>120</v>
      </c>
      <c r="DN3363" t="s">
        <v>120</v>
      </c>
    </row>
    <row r="3364" spans="1:118">
      <c r="A3364" t="str">
        <f>"603010"</f>
        <v>603010</v>
      </c>
      <c r="B3364" t="s">
        <v>14398</v>
      </c>
      <c r="C3364">
        <v>7.65</v>
      </c>
      <c r="D3364">
        <v>0.04</v>
      </c>
      <c r="E3364">
        <v>1.49</v>
      </c>
      <c r="F3364">
        <v>2023</v>
      </c>
      <c r="G3364" t="s">
        <v>14399</v>
      </c>
      <c r="H3364">
        <v>119476.23</v>
      </c>
      <c r="I3364">
        <v>592.39</v>
      </c>
      <c r="J3364" t="s">
        <v>120</v>
      </c>
      <c r="K3364" t="s">
        <v>14400</v>
      </c>
      <c r="L3364">
        <v>9.02</v>
      </c>
      <c r="M3364">
        <v>27.45</v>
      </c>
      <c r="N3364">
        <v>1.67</v>
      </c>
      <c r="O3364">
        <v>10</v>
      </c>
      <c r="P3364">
        <v>28.05</v>
      </c>
      <c r="Q3364">
        <v>1.49</v>
      </c>
      <c r="R3364">
        <v>25.88</v>
      </c>
      <c r="S3364">
        <v>25.88</v>
      </c>
      <c r="T3364">
        <v>436131</v>
      </c>
      <c r="U3364">
        <v>27.45</v>
      </c>
      <c r="V3364">
        <v>25.5</v>
      </c>
      <c r="W3364">
        <v>15.51</v>
      </c>
      <c r="X3364" t="s">
        <v>868</v>
      </c>
      <c r="Y3364" t="s">
        <v>585</v>
      </c>
      <c r="Z3364">
        <v>8.51</v>
      </c>
      <c r="AA3364">
        <v>27.39</v>
      </c>
      <c r="AB3364">
        <v>235487</v>
      </c>
      <c r="AC3364">
        <v>200644</v>
      </c>
      <c r="AD3364">
        <v>1.17</v>
      </c>
      <c r="AE3364">
        <v>162</v>
      </c>
      <c r="AF3364">
        <v>415</v>
      </c>
      <c r="AG3364" t="s">
        <v>120</v>
      </c>
      <c r="AH3364">
        <v>0.08</v>
      </c>
      <c r="AI3364" t="s">
        <v>120</v>
      </c>
      <c r="AJ3364">
        <v>4.84</v>
      </c>
      <c r="AK3364" t="s">
        <v>12760</v>
      </c>
      <c r="AL3364">
        <v>8.99</v>
      </c>
      <c r="AM3364">
        <v>4336</v>
      </c>
      <c r="AN3364">
        <v>101</v>
      </c>
      <c r="AO3364">
        <v>2.0999999999999999E-3</v>
      </c>
      <c r="AP3364">
        <v>2</v>
      </c>
      <c r="AQ3364">
        <v>6.12</v>
      </c>
      <c r="AR3364">
        <v>13.95</v>
      </c>
      <c r="AS3364">
        <v>44.77</v>
      </c>
      <c r="AT3364">
        <v>34.229999999999997</v>
      </c>
      <c r="AU3364">
        <v>75.48</v>
      </c>
      <c r="AV3364">
        <v>2</v>
      </c>
      <c r="AW3364">
        <v>16.04</v>
      </c>
      <c r="AX3364">
        <v>56.03</v>
      </c>
      <c r="AY3364">
        <v>17.29</v>
      </c>
      <c r="AZ3364">
        <v>31.47</v>
      </c>
      <c r="BA3364">
        <v>1.36</v>
      </c>
      <c r="BB3364" t="s">
        <v>184</v>
      </c>
      <c r="BF3364">
        <v>7.43</v>
      </c>
      <c r="BG3364">
        <v>6.07</v>
      </c>
      <c r="BH3364">
        <v>-2.14</v>
      </c>
      <c r="BI3364">
        <v>6.07</v>
      </c>
      <c r="BJ3364">
        <v>20210817</v>
      </c>
      <c r="BK3364">
        <v>20141010</v>
      </c>
      <c r="BL3364">
        <v>4.8499999999999996</v>
      </c>
      <c r="BM3364" t="s">
        <v>120</v>
      </c>
      <c r="BN3364" t="s">
        <v>120</v>
      </c>
      <c r="BO3364">
        <v>29.11</v>
      </c>
      <c r="BP3364">
        <v>27.44</v>
      </c>
      <c r="BQ3364">
        <v>19.29</v>
      </c>
      <c r="BR3364" t="s">
        <v>120</v>
      </c>
      <c r="BS3364">
        <v>33.72</v>
      </c>
      <c r="BT3364">
        <v>15.53</v>
      </c>
      <c r="BU3364">
        <v>8.49</v>
      </c>
      <c r="BV3364">
        <v>0.87</v>
      </c>
      <c r="BW3364">
        <v>8.07</v>
      </c>
      <c r="BX3364">
        <v>3.73</v>
      </c>
      <c r="BY3364">
        <v>4.08</v>
      </c>
      <c r="BZ3364">
        <v>4.99</v>
      </c>
      <c r="CA3364" t="s">
        <v>120</v>
      </c>
      <c r="CB3364">
        <v>2.5299999999999998</v>
      </c>
      <c r="CC3364">
        <v>19.91</v>
      </c>
      <c r="CD3364">
        <v>12.5</v>
      </c>
      <c r="CE3364">
        <v>5.01</v>
      </c>
      <c r="CF3364">
        <v>0.01</v>
      </c>
      <c r="CG3364">
        <v>5</v>
      </c>
      <c r="CH3364">
        <v>4.29</v>
      </c>
      <c r="CI3364">
        <v>4.29</v>
      </c>
      <c r="CJ3364">
        <v>1.95</v>
      </c>
      <c r="CK3364">
        <v>4.25</v>
      </c>
      <c r="CL3364">
        <v>10.92</v>
      </c>
      <c r="CM3364">
        <v>3.93</v>
      </c>
      <c r="CN3364">
        <v>0.87</v>
      </c>
      <c r="CO3364">
        <v>19774</v>
      </c>
      <c r="CP3364">
        <v>13751</v>
      </c>
      <c r="CQ3364" t="s">
        <v>14401</v>
      </c>
      <c r="CR3364">
        <v>302.55</v>
      </c>
      <c r="CS3364">
        <v>125.15</v>
      </c>
      <c r="CT3364">
        <v>6.9</v>
      </c>
      <c r="CU3364">
        <v>33.93</v>
      </c>
      <c r="CV3364">
        <v>6.69</v>
      </c>
      <c r="CW3364">
        <v>1.1200000000000001</v>
      </c>
      <c r="CX3364" t="s">
        <v>6180</v>
      </c>
      <c r="CY3364">
        <v>3.98</v>
      </c>
      <c r="CZ3364">
        <v>0</v>
      </c>
      <c r="DA3364">
        <v>0.52</v>
      </c>
      <c r="DB3364">
        <v>2.25</v>
      </c>
      <c r="DC3364">
        <v>0.81</v>
      </c>
      <c r="DD3364">
        <v>66.28</v>
      </c>
      <c r="DE3364" t="s">
        <v>14402</v>
      </c>
      <c r="DF3364">
        <v>37.21</v>
      </c>
      <c r="DG3364">
        <v>25.16</v>
      </c>
      <c r="DH3364">
        <v>21.57</v>
      </c>
      <c r="DI3364">
        <v>0.54</v>
      </c>
      <c r="DJ3364">
        <v>908</v>
      </c>
      <c r="DK3364">
        <v>603010</v>
      </c>
      <c r="DL3364">
        <v>20210916</v>
      </c>
      <c r="DM3364">
        <v>28.05</v>
      </c>
      <c r="DN3364">
        <v>-2.14</v>
      </c>
    </row>
    <row r="3365" spans="1:118">
      <c r="A3365" t="str">
        <f>"603011"</f>
        <v>603011</v>
      </c>
      <c r="B3365" t="s">
        <v>14403</v>
      </c>
      <c r="C3365">
        <v>0.87</v>
      </c>
      <c r="D3365">
        <v>-0.16</v>
      </c>
      <c r="E3365">
        <v>0</v>
      </c>
      <c r="F3365">
        <v>2181</v>
      </c>
      <c r="G3365" t="s">
        <v>10888</v>
      </c>
      <c r="H3365">
        <v>8697.2099999999991</v>
      </c>
      <c r="I3365">
        <v>16.13</v>
      </c>
      <c r="J3365" t="s">
        <v>120</v>
      </c>
      <c r="K3365" t="s">
        <v>14404</v>
      </c>
      <c r="L3365">
        <v>3.3</v>
      </c>
      <c r="M3365">
        <v>5.81</v>
      </c>
      <c r="N3365">
        <v>1.55</v>
      </c>
      <c r="O3365">
        <v>3.47</v>
      </c>
      <c r="P3365">
        <v>5.96</v>
      </c>
      <c r="Q3365">
        <v>-0.69</v>
      </c>
      <c r="R3365">
        <v>5.72</v>
      </c>
      <c r="S3365">
        <v>5.76</v>
      </c>
      <c r="T3365">
        <v>148322</v>
      </c>
      <c r="U3365">
        <v>5.81</v>
      </c>
      <c r="V3365">
        <v>5.76</v>
      </c>
      <c r="W3365">
        <v>62.6</v>
      </c>
      <c r="X3365" t="s">
        <v>2161</v>
      </c>
      <c r="Y3365" t="s">
        <v>570</v>
      </c>
      <c r="Z3365">
        <v>4.17</v>
      </c>
      <c r="AA3365">
        <v>5.86</v>
      </c>
      <c r="AB3365">
        <v>72521</v>
      </c>
      <c r="AC3365">
        <v>75801</v>
      </c>
      <c r="AD3365">
        <v>0.96</v>
      </c>
      <c r="AE3365">
        <v>600</v>
      </c>
      <c r="AF3365">
        <v>124</v>
      </c>
      <c r="AG3365" t="s">
        <v>120</v>
      </c>
      <c r="AH3365">
        <v>0.01</v>
      </c>
      <c r="AI3365" t="s">
        <v>120</v>
      </c>
      <c r="AJ3365">
        <v>4.49</v>
      </c>
      <c r="AK3365" t="s">
        <v>14405</v>
      </c>
      <c r="AL3365">
        <v>2.21</v>
      </c>
      <c r="AM3365">
        <v>2341</v>
      </c>
      <c r="AN3365">
        <v>63</v>
      </c>
      <c r="AO3365">
        <v>1.4E-3</v>
      </c>
      <c r="AP3365">
        <v>2</v>
      </c>
      <c r="AQ3365">
        <v>0.88</v>
      </c>
      <c r="AR3365">
        <v>0.7</v>
      </c>
      <c r="AS3365">
        <v>11.09</v>
      </c>
      <c r="AT3365">
        <v>20.04</v>
      </c>
      <c r="AU3365">
        <v>9.41</v>
      </c>
      <c r="AV3365">
        <v>3</v>
      </c>
      <c r="AW3365">
        <v>7.53</v>
      </c>
      <c r="AX3365">
        <v>43.73</v>
      </c>
      <c r="AY3365">
        <v>49.02</v>
      </c>
      <c r="AZ3365">
        <v>100.22</v>
      </c>
      <c r="BA3365">
        <v>0.86</v>
      </c>
      <c r="BB3365" t="s">
        <v>143</v>
      </c>
      <c r="BF3365">
        <v>1.8</v>
      </c>
      <c r="BG3365">
        <v>0.87</v>
      </c>
      <c r="BH3365">
        <v>-2.52</v>
      </c>
      <c r="BI3365">
        <v>1.57</v>
      </c>
      <c r="BJ3365">
        <v>20210730</v>
      </c>
      <c r="BK3365">
        <v>20141107</v>
      </c>
      <c r="BL3365">
        <v>4.51</v>
      </c>
      <c r="BM3365" t="s">
        <v>120</v>
      </c>
      <c r="BN3365" t="s">
        <v>120</v>
      </c>
      <c r="BO3365">
        <v>27.77</v>
      </c>
      <c r="BP3365">
        <v>5.8</v>
      </c>
      <c r="BQ3365">
        <v>17.12</v>
      </c>
      <c r="BR3365">
        <v>-0.01</v>
      </c>
      <c r="BS3365">
        <v>38.369999999999997</v>
      </c>
      <c r="BT3365">
        <v>15.97</v>
      </c>
      <c r="BU3365">
        <v>3.63</v>
      </c>
      <c r="BV3365">
        <v>0.82</v>
      </c>
      <c r="BW3365">
        <v>10.06</v>
      </c>
      <c r="BX3365">
        <v>1.4</v>
      </c>
      <c r="BY3365">
        <v>6.84</v>
      </c>
      <c r="BZ3365">
        <v>3.94</v>
      </c>
      <c r="CA3365" t="s">
        <v>120</v>
      </c>
      <c r="CB3365">
        <v>10.33</v>
      </c>
      <c r="CC3365">
        <v>4.49</v>
      </c>
      <c r="CD3365">
        <v>3.06</v>
      </c>
      <c r="CE3365">
        <v>0.26</v>
      </c>
      <c r="CF3365">
        <v>0.01</v>
      </c>
      <c r="CG3365">
        <v>0.26</v>
      </c>
      <c r="CH3365">
        <v>0.21</v>
      </c>
      <c r="CI3365">
        <v>0.21</v>
      </c>
      <c r="CJ3365">
        <v>0.05</v>
      </c>
      <c r="CK3365">
        <v>0.17</v>
      </c>
      <c r="CL3365">
        <v>2.6</v>
      </c>
      <c r="CM3365">
        <v>-0.49</v>
      </c>
      <c r="CN3365">
        <v>-0.92</v>
      </c>
      <c r="CO3365">
        <v>22524</v>
      </c>
      <c r="CP3365">
        <v>8751</v>
      </c>
      <c r="CQ3365" t="s">
        <v>729</v>
      </c>
      <c r="CR3365">
        <v>440.36</v>
      </c>
      <c r="CS3365">
        <v>73.3</v>
      </c>
      <c r="CT3365">
        <v>1.53</v>
      </c>
      <c r="CU3365">
        <v>-53.45</v>
      </c>
      <c r="CV3365">
        <v>5.83</v>
      </c>
      <c r="CW3365">
        <v>0</v>
      </c>
      <c r="CX3365" t="s">
        <v>1248</v>
      </c>
      <c r="CY3365">
        <v>3.8</v>
      </c>
      <c r="CZ3365">
        <v>0</v>
      </c>
      <c r="DA3365">
        <v>2.29</v>
      </c>
      <c r="DB3365">
        <v>0.57999999999999996</v>
      </c>
      <c r="DC3365">
        <v>-0.11</v>
      </c>
      <c r="DD3365">
        <v>61.66</v>
      </c>
      <c r="DE3365" t="s">
        <v>1703</v>
      </c>
      <c r="DF3365">
        <v>31.78</v>
      </c>
      <c r="DG3365">
        <v>5.8</v>
      </c>
      <c r="DH3365">
        <v>4.66</v>
      </c>
      <c r="DI3365">
        <v>0.28000000000000003</v>
      </c>
      <c r="DJ3365">
        <v>1459</v>
      </c>
      <c r="DK3365">
        <v>603011</v>
      </c>
      <c r="DL3365" t="s">
        <v>120</v>
      </c>
      <c r="DM3365" t="s">
        <v>120</v>
      </c>
      <c r="DN3365" t="s">
        <v>120</v>
      </c>
    </row>
    <row r="3366" spans="1:118">
      <c r="A3366" t="str">
        <f>"603012"</f>
        <v>603012</v>
      </c>
      <c r="B3366" t="s">
        <v>14406</v>
      </c>
      <c r="C3366">
        <v>-0.79</v>
      </c>
      <c r="D3366">
        <v>-0.63</v>
      </c>
      <c r="E3366">
        <v>0.32</v>
      </c>
      <c r="F3366">
        <v>1203</v>
      </c>
      <c r="G3366" t="s">
        <v>14407</v>
      </c>
      <c r="H3366">
        <v>9531.69</v>
      </c>
      <c r="I3366">
        <v>37.74</v>
      </c>
      <c r="J3366" t="s">
        <v>120</v>
      </c>
      <c r="K3366" t="s">
        <v>14408</v>
      </c>
      <c r="L3366">
        <v>2.36</v>
      </c>
      <c r="M3366">
        <v>6.24</v>
      </c>
      <c r="N3366">
        <v>1.19</v>
      </c>
      <c r="O3366">
        <v>2.54</v>
      </c>
      <c r="P3366">
        <v>6.45</v>
      </c>
      <c r="Q3366">
        <v>-1.27</v>
      </c>
      <c r="R3366">
        <v>6.21</v>
      </c>
      <c r="S3366">
        <v>6.31</v>
      </c>
      <c r="T3366">
        <v>150475</v>
      </c>
      <c r="U3366">
        <v>6.25</v>
      </c>
      <c r="V3366">
        <v>6.29</v>
      </c>
      <c r="W3366">
        <v>16.3</v>
      </c>
      <c r="X3366" t="s">
        <v>675</v>
      </c>
      <c r="Y3366" t="s">
        <v>1510</v>
      </c>
      <c r="Z3366">
        <v>3.82</v>
      </c>
      <c r="AA3366">
        <v>6.33</v>
      </c>
      <c r="AB3366">
        <v>77987</v>
      </c>
      <c r="AC3366">
        <v>72488</v>
      </c>
      <c r="AD3366">
        <v>1.08</v>
      </c>
      <c r="AE3366">
        <v>859</v>
      </c>
      <c r="AF3366">
        <v>10</v>
      </c>
      <c r="AG3366" t="s">
        <v>120</v>
      </c>
      <c r="AH3366">
        <v>0.01</v>
      </c>
      <c r="AI3366" t="s">
        <v>120</v>
      </c>
      <c r="AJ3366">
        <v>6.37</v>
      </c>
      <c r="AK3366" t="s">
        <v>14408</v>
      </c>
      <c r="AL3366">
        <v>0.55000000000000004</v>
      </c>
      <c r="AM3366">
        <v>2306</v>
      </c>
      <c r="AN3366">
        <v>65</v>
      </c>
      <c r="AO3366">
        <v>1E-3</v>
      </c>
      <c r="AP3366">
        <v>-1</v>
      </c>
      <c r="AQ3366">
        <v>3.28</v>
      </c>
      <c r="AR3366">
        <v>-0.8</v>
      </c>
      <c r="AS3366">
        <v>11.43</v>
      </c>
      <c r="AT3366">
        <v>1.3</v>
      </c>
      <c r="AU3366">
        <v>-1.73</v>
      </c>
      <c r="AV3366">
        <v>0</v>
      </c>
      <c r="AW3366">
        <v>3.2</v>
      </c>
      <c r="AX3366">
        <v>73.91</v>
      </c>
      <c r="AY3366">
        <v>12.88</v>
      </c>
      <c r="AZ3366">
        <v>10.95</v>
      </c>
      <c r="BA3366">
        <v>0.49</v>
      </c>
      <c r="BB3366" t="s">
        <v>184</v>
      </c>
      <c r="BF3366">
        <v>0.71</v>
      </c>
      <c r="BG3366">
        <v>-1.1100000000000001</v>
      </c>
      <c r="BH3366">
        <v>-3.26</v>
      </c>
      <c r="BI3366">
        <v>0.48</v>
      </c>
      <c r="BJ3366">
        <v>20210814</v>
      </c>
      <c r="BK3366">
        <v>20150320</v>
      </c>
      <c r="BL3366">
        <v>6.37</v>
      </c>
      <c r="BM3366" t="s">
        <v>120</v>
      </c>
      <c r="BN3366" t="s">
        <v>120</v>
      </c>
      <c r="BO3366">
        <v>57.93</v>
      </c>
      <c r="BP3366">
        <v>6.24</v>
      </c>
      <c r="BQ3366">
        <v>29.8</v>
      </c>
      <c r="BR3366">
        <v>3.26</v>
      </c>
      <c r="BS3366">
        <v>42.92</v>
      </c>
      <c r="BT3366">
        <v>42.49</v>
      </c>
      <c r="BU3366">
        <v>8.34</v>
      </c>
      <c r="BV3366">
        <v>1.21</v>
      </c>
      <c r="BW3366">
        <v>22.56</v>
      </c>
      <c r="BX3366">
        <v>6.06</v>
      </c>
      <c r="BY3366">
        <v>10.56</v>
      </c>
      <c r="BZ3366">
        <v>16.47</v>
      </c>
      <c r="CA3366">
        <v>0.14000000000000001</v>
      </c>
      <c r="CB3366">
        <v>4.51</v>
      </c>
      <c r="CC3366">
        <v>9.2200000000000006</v>
      </c>
      <c r="CD3366">
        <v>4.91</v>
      </c>
      <c r="CE3366">
        <v>1.46</v>
      </c>
      <c r="CF3366">
        <v>0.02</v>
      </c>
      <c r="CG3366">
        <v>1.68</v>
      </c>
      <c r="CH3366">
        <v>1.41</v>
      </c>
      <c r="CI3366">
        <v>1.22</v>
      </c>
      <c r="CJ3366">
        <v>-0.05</v>
      </c>
      <c r="CK3366">
        <v>1.04</v>
      </c>
      <c r="CL3366">
        <v>17.21</v>
      </c>
      <c r="CM3366">
        <v>0.65</v>
      </c>
      <c r="CN3366">
        <v>-0.94</v>
      </c>
      <c r="CO3366">
        <v>38207</v>
      </c>
      <c r="CP3366">
        <v>12314</v>
      </c>
      <c r="CQ3366" t="s">
        <v>14409</v>
      </c>
      <c r="CR3366">
        <v>-31.02</v>
      </c>
      <c r="CS3366">
        <v>-14.71</v>
      </c>
      <c r="CT3366">
        <v>1.33</v>
      </c>
      <c r="CU3366">
        <v>61.23</v>
      </c>
      <c r="CV3366">
        <v>4.3099999999999996</v>
      </c>
      <c r="CW3366">
        <v>1.43</v>
      </c>
      <c r="CX3366" t="s">
        <v>442</v>
      </c>
      <c r="CY3366">
        <v>4.68</v>
      </c>
      <c r="CZ3366">
        <v>0</v>
      </c>
      <c r="DA3366">
        <v>0.71</v>
      </c>
      <c r="DB3366">
        <v>2.7</v>
      </c>
      <c r="DC3366">
        <v>0.1</v>
      </c>
      <c r="DD3366">
        <v>51.45</v>
      </c>
      <c r="DE3366" t="s">
        <v>10380</v>
      </c>
      <c r="DF3366">
        <v>46.7</v>
      </c>
      <c r="DG3366">
        <v>15.87</v>
      </c>
      <c r="DH3366">
        <v>13.22</v>
      </c>
      <c r="DI3366">
        <v>0.37</v>
      </c>
      <c r="DJ3366">
        <v>1783</v>
      </c>
      <c r="DK3366">
        <v>603012</v>
      </c>
      <c r="DL3366" t="s">
        <v>120</v>
      </c>
      <c r="DM3366" t="s">
        <v>120</v>
      </c>
      <c r="DN3366" t="s">
        <v>120</v>
      </c>
    </row>
    <row r="3367" spans="1:118">
      <c r="A3367" t="str">
        <f>"603013"</f>
        <v>603013</v>
      </c>
      <c r="B3367" t="s">
        <v>14410</v>
      </c>
      <c r="C3367">
        <v>-1.36</v>
      </c>
      <c r="D3367">
        <v>-0.24</v>
      </c>
      <c r="E3367">
        <v>-1.18</v>
      </c>
      <c r="F3367">
        <v>595</v>
      </c>
      <c r="G3367" t="s">
        <v>3349</v>
      </c>
      <c r="H3367">
        <v>5055.3100000000004</v>
      </c>
      <c r="I3367">
        <v>38.65</v>
      </c>
      <c r="J3367" t="s">
        <v>120</v>
      </c>
      <c r="K3367" t="s">
        <v>14411</v>
      </c>
      <c r="L3367">
        <v>0.61</v>
      </c>
      <c r="M3367">
        <v>15.94</v>
      </c>
      <c r="N3367">
        <v>0.69</v>
      </c>
      <c r="O3367">
        <v>2.48</v>
      </c>
      <c r="P3367">
        <v>16.559999999999999</v>
      </c>
      <c r="Q3367">
        <v>-1.36</v>
      </c>
      <c r="R3367">
        <v>15.94</v>
      </c>
      <c r="S3367">
        <v>15.97</v>
      </c>
      <c r="T3367">
        <v>31150</v>
      </c>
      <c r="U3367">
        <v>15.96</v>
      </c>
      <c r="V3367">
        <v>16.16</v>
      </c>
      <c r="W3367">
        <v>13.43</v>
      </c>
      <c r="X3367" t="s">
        <v>289</v>
      </c>
      <c r="Y3367" t="s">
        <v>319</v>
      </c>
      <c r="Z3367">
        <v>3.84</v>
      </c>
      <c r="AA3367">
        <v>16.23</v>
      </c>
      <c r="AB3367">
        <v>16909</v>
      </c>
      <c r="AC3367">
        <v>14241</v>
      </c>
      <c r="AD3367">
        <v>1.19</v>
      </c>
      <c r="AE3367">
        <v>3</v>
      </c>
      <c r="AF3367">
        <v>7</v>
      </c>
      <c r="AG3367" t="s">
        <v>120</v>
      </c>
      <c r="AH3367">
        <v>0.04</v>
      </c>
      <c r="AI3367" t="s">
        <v>120</v>
      </c>
      <c r="AJ3367">
        <v>5.0999999999999996</v>
      </c>
      <c r="AK3367" t="s">
        <v>14412</v>
      </c>
      <c r="AL3367">
        <v>-0.02</v>
      </c>
      <c r="AM3367">
        <v>1970</v>
      </c>
      <c r="AN3367">
        <v>16</v>
      </c>
      <c r="AO3367">
        <v>2.9999999999999997E-4</v>
      </c>
      <c r="AP3367">
        <v>-1</v>
      </c>
      <c r="AQ3367">
        <v>1.06</v>
      </c>
      <c r="AR3367">
        <v>-1.3</v>
      </c>
      <c r="AS3367">
        <v>-7.33</v>
      </c>
      <c r="AT3367">
        <v>22.06</v>
      </c>
      <c r="AU3367">
        <v>14.92</v>
      </c>
      <c r="AV3367">
        <v>3</v>
      </c>
      <c r="AW3367">
        <v>5.19</v>
      </c>
      <c r="AX3367">
        <v>11.67</v>
      </c>
      <c r="AY3367">
        <v>13.72</v>
      </c>
      <c r="AZ3367">
        <v>16.420000000000002</v>
      </c>
      <c r="BA3367">
        <v>0.87</v>
      </c>
      <c r="BB3367" t="s">
        <v>143</v>
      </c>
      <c r="BF3367">
        <v>0.43</v>
      </c>
      <c r="BG3367">
        <v>-0.19</v>
      </c>
      <c r="BH3367">
        <v>-3.74</v>
      </c>
      <c r="BI3367">
        <v>0</v>
      </c>
      <c r="BJ3367">
        <v>20210825</v>
      </c>
      <c r="BK3367">
        <v>20180509</v>
      </c>
      <c r="BL3367">
        <v>5.14</v>
      </c>
      <c r="BM3367" t="s">
        <v>120</v>
      </c>
      <c r="BN3367" t="s">
        <v>120</v>
      </c>
      <c r="BO3367">
        <v>62.6</v>
      </c>
      <c r="BP3367">
        <v>15.94</v>
      </c>
      <c r="BQ3367">
        <v>33.54</v>
      </c>
      <c r="BR3367">
        <v>1.08</v>
      </c>
      <c r="BS3367">
        <v>44.7</v>
      </c>
      <c r="BT3367">
        <v>41.52</v>
      </c>
      <c r="BU3367">
        <v>15.94</v>
      </c>
      <c r="BV3367">
        <v>1.71</v>
      </c>
      <c r="BW3367">
        <v>23.54</v>
      </c>
      <c r="BX3367">
        <v>17.34</v>
      </c>
      <c r="BY3367">
        <v>9.18</v>
      </c>
      <c r="BZ3367">
        <v>9.82</v>
      </c>
      <c r="CA3367" t="s">
        <v>120</v>
      </c>
      <c r="CB3367">
        <v>7.88</v>
      </c>
      <c r="CC3367">
        <v>39.83</v>
      </c>
      <c r="CD3367">
        <v>33.69</v>
      </c>
      <c r="CE3367">
        <v>3.72</v>
      </c>
      <c r="CF3367">
        <v>-0.01</v>
      </c>
      <c r="CG3367">
        <v>3.72</v>
      </c>
      <c r="CH3367">
        <v>3.26</v>
      </c>
      <c r="CI3367">
        <v>3.05</v>
      </c>
      <c r="CJ3367">
        <v>-0.22</v>
      </c>
      <c r="CK3367">
        <v>2.2799999999999998</v>
      </c>
      <c r="CL3367">
        <v>18.77</v>
      </c>
      <c r="CM3367">
        <v>5.37</v>
      </c>
      <c r="CN3367">
        <v>4.3600000000000003</v>
      </c>
      <c r="CO3367">
        <v>16171</v>
      </c>
      <c r="CP3367">
        <v>3710</v>
      </c>
      <c r="CQ3367" t="s">
        <v>7094</v>
      </c>
      <c r="CR3367">
        <v>48.49</v>
      </c>
      <c r="CS3367">
        <v>5.71</v>
      </c>
      <c r="CT3367">
        <v>2.44</v>
      </c>
      <c r="CU3367">
        <v>15.26</v>
      </c>
      <c r="CV3367">
        <v>2.06</v>
      </c>
      <c r="CW3367">
        <v>4.33</v>
      </c>
      <c r="CX3367" t="s">
        <v>597</v>
      </c>
      <c r="CY3367">
        <v>6.52</v>
      </c>
      <c r="CZ3367">
        <v>0</v>
      </c>
      <c r="DA3367">
        <v>1.53</v>
      </c>
      <c r="DB3367">
        <v>3.65</v>
      </c>
      <c r="DC3367">
        <v>1.04</v>
      </c>
      <c r="DD3367">
        <v>53.58</v>
      </c>
      <c r="DE3367" t="s">
        <v>5497</v>
      </c>
      <c r="DF3367">
        <v>15.42</v>
      </c>
      <c r="DG3367">
        <v>9.35</v>
      </c>
      <c r="DH3367">
        <v>7.66</v>
      </c>
      <c r="DI3367">
        <v>1.32</v>
      </c>
      <c r="DJ3367">
        <v>4347</v>
      </c>
      <c r="DK3367">
        <v>603013</v>
      </c>
      <c r="DL3367" t="s">
        <v>120</v>
      </c>
      <c r="DM3367" t="s">
        <v>120</v>
      </c>
      <c r="DN3367" t="s">
        <v>120</v>
      </c>
    </row>
    <row r="3368" spans="1:118">
      <c r="A3368" t="str">
        <f>"603015"</f>
        <v>603015</v>
      </c>
      <c r="B3368" t="s">
        <v>14413</v>
      </c>
      <c r="C3368">
        <v>-4.24</v>
      </c>
      <c r="D3368">
        <v>0</v>
      </c>
      <c r="E3368">
        <v>-0.36</v>
      </c>
      <c r="F3368">
        <v>1657</v>
      </c>
      <c r="G3368" t="s">
        <v>10968</v>
      </c>
      <c r="H3368">
        <v>6793.62</v>
      </c>
      <c r="I3368">
        <v>12.66</v>
      </c>
      <c r="J3368" t="s">
        <v>120</v>
      </c>
      <c r="K3368" t="s">
        <v>14414</v>
      </c>
      <c r="L3368">
        <v>2.08</v>
      </c>
      <c r="M3368">
        <v>7.9</v>
      </c>
      <c r="N3368">
        <v>1</v>
      </c>
      <c r="O3368">
        <v>1.0900000000000001</v>
      </c>
      <c r="P3368">
        <v>8.34</v>
      </c>
      <c r="Q3368">
        <v>-4.3600000000000003</v>
      </c>
      <c r="R3368">
        <v>7.89</v>
      </c>
      <c r="S3368">
        <v>8.2200000000000006</v>
      </c>
      <c r="T3368">
        <v>83977</v>
      </c>
      <c r="U3368">
        <v>7.9</v>
      </c>
      <c r="V3368">
        <v>8.25</v>
      </c>
      <c r="W3368">
        <v>27.08</v>
      </c>
      <c r="X3368" t="s">
        <v>394</v>
      </c>
      <c r="Y3368" t="s">
        <v>585</v>
      </c>
      <c r="Z3368">
        <v>5.45</v>
      </c>
      <c r="AA3368">
        <v>8.09</v>
      </c>
      <c r="AB3368">
        <v>50260</v>
      </c>
      <c r="AC3368">
        <v>33717</v>
      </c>
      <c r="AD3368">
        <v>1.49</v>
      </c>
      <c r="AE3368">
        <v>682</v>
      </c>
      <c r="AF3368">
        <v>157</v>
      </c>
      <c r="AG3368" t="s">
        <v>120</v>
      </c>
      <c r="AH3368">
        <v>0.01</v>
      </c>
      <c r="AI3368" t="s">
        <v>120</v>
      </c>
      <c r="AJ3368">
        <v>4.04</v>
      </c>
      <c r="AK3368" t="s">
        <v>14414</v>
      </c>
      <c r="AL3368">
        <v>-2.9</v>
      </c>
      <c r="AM3368">
        <v>2303</v>
      </c>
      <c r="AN3368">
        <v>36</v>
      </c>
      <c r="AO3368">
        <v>8.9999999999999998E-4</v>
      </c>
      <c r="AP3368">
        <v>-1</v>
      </c>
      <c r="AQ3368">
        <v>1.85</v>
      </c>
      <c r="AR3368">
        <v>-3.43</v>
      </c>
      <c r="AS3368">
        <v>-1.87</v>
      </c>
      <c r="AT3368">
        <v>16.350000000000001</v>
      </c>
      <c r="AU3368">
        <v>31.23</v>
      </c>
      <c r="AV3368">
        <v>3</v>
      </c>
      <c r="AW3368">
        <v>4.6900000000000004</v>
      </c>
      <c r="AX3368">
        <v>44.29</v>
      </c>
      <c r="AY3368">
        <v>35.56</v>
      </c>
      <c r="AZ3368">
        <v>53.86</v>
      </c>
      <c r="BA3368">
        <v>1.1100000000000001</v>
      </c>
      <c r="BB3368" t="s">
        <v>143</v>
      </c>
      <c r="BF3368">
        <v>-1.94</v>
      </c>
      <c r="BG3368">
        <v>-3.89</v>
      </c>
      <c r="BH3368">
        <v>-5.28</v>
      </c>
      <c r="BI3368">
        <v>0.13</v>
      </c>
      <c r="BJ3368">
        <v>20210821</v>
      </c>
      <c r="BK3368">
        <v>20150303</v>
      </c>
      <c r="BL3368">
        <v>4.04</v>
      </c>
      <c r="BM3368" t="s">
        <v>120</v>
      </c>
      <c r="BN3368" t="s">
        <v>120</v>
      </c>
      <c r="BO3368">
        <v>22.22</v>
      </c>
      <c r="BP3368">
        <v>7.89</v>
      </c>
      <c r="BQ3368">
        <v>12.9</v>
      </c>
      <c r="BR3368">
        <v>0.04</v>
      </c>
      <c r="BS3368">
        <v>41.77</v>
      </c>
      <c r="BT3368">
        <v>14.29</v>
      </c>
      <c r="BU3368">
        <v>2.21</v>
      </c>
      <c r="BV3368">
        <v>2.34</v>
      </c>
      <c r="BW3368">
        <v>6.66</v>
      </c>
      <c r="BX3368">
        <v>4.42</v>
      </c>
      <c r="BY3368">
        <v>3.68</v>
      </c>
      <c r="BZ3368">
        <v>3.13</v>
      </c>
      <c r="CA3368">
        <v>0.02</v>
      </c>
      <c r="CB3368">
        <v>4.54</v>
      </c>
      <c r="CC3368">
        <v>5.12</v>
      </c>
      <c r="CD3368">
        <v>3.32</v>
      </c>
      <c r="CE3368">
        <v>0.7</v>
      </c>
      <c r="CF3368">
        <v>0.02</v>
      </c>
      <c r="CG3368">
        <v>0.7</v>
      </c>
      <c r="CH3368">
        <v>0.55000000000000004</v>
      </c>
      <c r="CI3368">
        <v>0.59</v>
      </c>
      <c r="CJ3368">
        <v>-0.35</v>
      </c>
      <c r="CK3368">
        <v>0.55000000000000004</v>
      </c>
      <c r="CL3368">
        <v>3.44</v>
      </c>
      <c r="CM3368">
        <v>0.08</v>
      </c>
      <c r="CN3368">
        <v>0.82</v>
      </c>
      <c r="CO3368">
        <v>23366</v>
      </c>
      <c r="CP3368">
        <v>7663</v>
      </c>
      <c r="CQ3368" t="s">
        <v>5482</v>
      </c>
      <c r="CR3368">
        <v>117.63</v>
      </c>
      <c r="CS3368">
        <v>59.27</v>
      </c>
      <c r="CT3368">
        <v>2.4700000000000002</v>
      </c>
      <c r="CU3368">
        <v>410.05</v>
      </c>
      <c r="CV3368">
        <v>6.24</v>
      </c>
      <c r="CW3368">
        <v>1.21</v>
      </c>
      <c r="CX3368" t="s">
        <v>373</v>
      </c>
      <c r="CY3368">
        <v>3.19</v>
      </c>
      <c r="CZ3368">
        <v>0</v>
      </c>
      <c r="DA3368">
        <v>1.1200000000000001</v>
      </c>
      <c r="DB3368">
        <v>0.85</v>
      </c>
      <c r="DC3368">
        <v>0.02</v>
      </c>
      <c r="DD3368">
        <v>58.06</v>
      </c>
      <c r="DE3368" t="s">
        <v>4848</v>
      </c>
      <c r="DF3368">
        <v>35.130000000000003</v>
      </c>
      <c r="DG3368">
        <v>13.63</v>
      </c>
      <c r="DH3368">
        <v>11.51</v>
      </c>
      <c r="DI3368">
        <v>0.36</v>
      </c>
      <c r="DJ3368">
        <v>741</v>
      </c>
      <c r="DK3368">
        <v>603015</v>
      </c>
      <c r="DL3368" t="s">
        <v>120</v>
      </c>
      <c r="DM3368" t="s">
        <v>120</v>
      </c>
      <c r="DN3368" t="s">
        <v>120</v>
      </c>
    </row>
    <row r="3369" spans="1:118">
      <c r="A3369" t="str">
        <f>"603016"</f>
        <v>603016</v>
      </c>
      <c r="B3369" t="s">
        <v>14415</v>
      </c>
      <c r="C3369">
        <v>-3.53</v>
      </c>
      <c r="D3369">
        <v>0.19</v>
      </c>
      <c r="E3369">
        <v>0.14000000000000001</v>
      </c>
      <c r="F3369">
        <v>243</v>
      </c>
      <c r="G3369" t="s">
        <v>14416</v>
      </c>
      <c r="H3369">
        <v>2493.58</v>
      </c>
      <c r="I3369">
        <v>10.33</v>
      </c>
      <c r="J3369" t="s">
        <v>120</v>
      </c>
      <c r="K3369" t="s">
        <v>14417</v>
      </c>
      <c r="L3369">
        <v>0.8</v>
      </c>
      <c r="M3369">
        <v>20.74</v>
      </c>
      <c r="N3369">
        <v>0.93</v>
      </c>
      <c r="O3369">
        <v>0.33</v>
      </c>
      <c r="P3369">
        <v>21.57</v>
      </c>
      <c r="Q3369">
        <v>-4.1900000000000004</v>
      </c>
      <c r="R3369">
        <v>20.6</v>
      </c>
      <c r="S3369">
        <v>21.53</v>
      </c>
      <c r="T3369">
        <v>11881</v>
      </c>
      <c r="U3369">
        <v>20.74</v>
      </c>
      <c r="V3369">
        <v>21.5</v>
      </c>
      <c r="W3369">
        <v>65.709999999999994</v>
      </c>
      <c r="X3369" t="s">
        <v>394</v>
      </c>
      <c r="Y3369" t="s">
        <v>319</v>
      </c>
      <c r="Z3369">
        <v>4.51</v>
      </c>
      <c r="AA3369">
        <v>20.99</v>
      </c>
      <c r="AB3369">
        <v>8071</v>
      </c>
      <c r="AC3369">
        <v>3810</v>
      </c>
      <c r="AD3369">
        <v>2.12</v>
      </c>
      <c r="AE3369">
        <v>2</v>
      </c>
      <c r="AF3369">
        <v>3</v>
      </c>
      <c r="AG3369" t="s">
        <v>120</v>
      </c>
      <c r="AH3369">
        <v>0.01</v>
      </c>
      <c r="AI3369" t="s">
        <v>120</v>
      </c>
      <c r="AJ3369">
        <v>1.48</v>
      </c>
      <c r="AK3369" t="s">
        <v>14417</v>
      </c>
      <c r="AL3369">
        <v>-2.19</v>
      </c>
      <c r="AM3369">
        <v>1024</v>
      </c>
      <c r="AN3369">
        <v>12</v>
      </c>
      <c r="AO3369">
        <v>8.0000000000000004E-4</v>
      </c>
      <c r="AP3369">
        <v>-1</v>
      </c>
      <c r="AQ3369">
        <v>0.47</v>
      </c>
      <c r="AR3369">
        <v>-3.98</v>
      </c>
      <c r="AS3369">
        <v>-19.14</v>
      </c>
      <c r="AT3369">
        <v>-26.98</v>
      </c>
      <c r="AU3369">
        <v>-9.31</v>
      </c>
      <c r="AV3369">
        <v>10</v>
      </c>
      <c r="AW3369">
        <v>2.04</v>
      </c>
      <c r="AX3369">
        <v>39.25</v>
      </c>
      <c r="AY3369">
        <v>58.89</v>
      </c>
      <c r="AZ3369">
        <v>51.31</v>
      </c>
      <c r="BA3369">
        <v>0.68</v>
      </c>
      <c r="BB3369" t="s">
        <v>168</v>
      </c>
      <c r="BF3369">
        <v>-2.38</v>
      </c>
      <c r="BG3369">
        <v>-3.67</v>
      </c>
      <c r="BH3369">
        <v>-3.85</v>
      </c>
      <c r="BI3369">
        <v>0.68</v>
      </c>
      <c r="BJ3369">
        <v>20210831</v>
      </c>
      <c r="BK3369">
        <v>20160701</v>
      </c>
      <c r="BL3369">
        <v>1.48</v>
      </c>
      <c r="BM3369" t="s">
        <v>120</v>
      </c>
      <c r="BN3369" t="s">
        <v>120</v>
      </c>
      <c r="BO3369">
        <v>9.25</v>
      </c>
      <c r="BP3369">
        <v>20.73</v>
      </c>
      <c r="BQ3369">
        <v>7.57</v>
      </c>
      <c r="BR3369" t="s">
        <v>120</v>
      </c>
      <c r="BS3369">
        <v>18.190000000000001</v>
      </c>
      <c r="BT3369">
        <v>7.26</v>
      </c>
      <c r="BU3369">
        <v>1.47</v>
      </c>
      <c r="BV3369">
        <v>0.31</v>
      </c>
      <c r="BW3369">
        <v>1.36</v>
      </c>
      <c r="BX3369">
        <v>2.69</v>
      </c>
      <c r="BY3369">
        <v>1.1499999999999999</v>
      </c>
      <c r="BZ3369">
        <v>1.51</v>
      </c>
      <c r="CA3369" t="s">
        <v>120</v>
      </c>
      <c r="CB3369">
        <v>2.76</v>
      </c>
      <c r="CC3369">
        <v>2.58</v>
      </c>
      <c r="CD3369">
        <v>1.76</v>
      </c>
      <c r="CE3369">
        <v>0.3</v>
      </c>
      <c r="CF3369">
        <v>0.03</v>
      </c>
      <c r="CG3369">
        <v>0.3</v>
      </c>
      <c r="CH3369">
        <v>0.25</v>
      </c>
      <c r="CI3369">
        <v>0.23</v>
      </c>
      <c r="CJ3369">
        <v>-0.76</v>
      </c>
      <c r="CK3369">
        <v>0.19</v>
      </c>
      <c r="CL3369">
        <v>2.66</v>
      </c>
      <c r="CM3369">
        <v>0.22</v>
      </c>
      <c r="CN3369">
        <v>-0.71</v>
      </c>
      <c r="CO3369">
        <v>9462</v>
      </c>
      <c r="CP3369">
        <v>6146</v>
      </c>
      <c r="CQ3369" t="s">
        <v>14388</v>
      </c>
      <c r="CR3369">
        <v>-25.45</v>
      </c>
      <c r="CS3369">
        <v>25.04</v>
      </c>
      <c r="CT3369">
        <v>4.0599999999999996</v>
      </c>
      <c r="CU3369">
        <v>140.91999999999999</v>
      </c>
      <c r="CV3369">
        <v>11.9</v>
      </c>
      <c r="CW3369">
        <v>2.5099999999999998</v>
      </c>
      <c r="CX3369" t="s">
        <v>1091</v>
      </c>
      <c r="CY3369">
        <v>5.1100000000000003</v>
      </c>
      <c r="CZ3369">
        <v>0</v>
      </c>
      <c r="DA3369">
        <v>1.86</v>
      </c>
      <c r="DB3369">
        <v>1.79</v>
      </c>
      <c r="DC3369">
        <v>0.15</v>
      </c>
      <c r="DD3369">
        <v>81.81</v>
      </c>
      <c r="DE3369" t="s">
        <v>1938</v>
      </c>
      <c r="DF3369">
        <v>31.86</v>
      </c>
      <c r="DG3369">
        <v>11.57</v>
      </c>
      <c r="DH3369">
        <v>9.06</v>
      </c>
      <c r="DI3369">
        <v>0.16</v>
      </c>
      <c r="DJ3369">
        <v>1177</v>
      </c>
      <c r="DK3369">
        <v>603016</v>
      </c>
      <c r="DL3369" t="s">
        <v>120</v>
      </c>
      <c r="DM3369" t="s">
        <v>120</v>
      </c>
      <c r="DN3369" t="s">
        <v>120</v>
      </c>
    </row>
    <row r="3370" spans="1:118">
      <c r="A3370" t="str">
        <f>"603017"</f>
        <v>603017</v>
      </c>
      <c r="B3370" t="s">
        <v>14418</v>
      </c>
      <c r="C3370">
        <v>-2.65</v>
      </c>
      <c r="D3370">
        <v>0</v>
      </c>
      <c r="E3370">
        <v>-1.57</v>
      </c>
      <c r="F3370">
        <v>351</v>
      </c>
      <c r="G3370" t="s">
        <v>9978</v>
      </c>
      <c r="H3370">
        <v>6076.41</v>
      </c>
      <c r="I3370">
        <v>139.04</v>
      </c>
      <c r="J3370" t="s">
        <v>120</v>
      </c>
      <c r="K3370" t="s">
        <v>3579</v>
      </c>
      <c r="L3370">
        <v>2.21</v>
      </c>
      <c r="M3370">
        <v>9.9</v>
      </c>
      <c r="N3370">
        <v>1.61</v>
      </c>
      <c r="O3370">
        <v>-0.59</v>
      </c>
      <c r="P3370">
        <v>10.11</v>
      </c>
      <c r="Q3370">
        <v>-3.44</v>
      </c>
      <c r="R3370">
        <v>9.82</v>
      </c>
      <c r="S3370">
        <v>10.01</v>
      </c>
      <c r="T3370">
        <v>61047</v>
      </c>
      <c r="U3370">
        <v>9.91</v>
      </c>
      <c r="V3370">
        <v>10.17</v>
      </c>
      <c r="W3370">
        <v>17.47</v>
      </c>
      <c r="X3370" t="s">
        <v>175</v>
      </c>
      <c r="Y3370" t="s">
        <v>319</v>
      </c>
      <c r="Z3370">
        <v>2.85</v>
      </c>
      <c r="AA3370">
        <v>9.9499999999999993</v>
      </c>
      <c r="AB3370">
        <v>34742</v>
      </c>
      <c r="AC3370">
        <v>26305</v>
      </c>
      <c r="AD3370">
        <v>1.32</v>
      </c>
      <c r="AE3370">
        <v>55</v>
      </c>
      <c r="AF3370">
        <v>89</v>
      </c>
      <c r="AG3370" t="s">
        <v>120</v>
      </c>
      <c r="AH3370">
        <v>0.09</v>
      </c>
      <c r="AI3370" t="s">
        <v>120</v>
      </c>
      <c r="AJ3370">
        <v>2.77</v>
      </c>
      <c r="AK3370" t="s">
        <v>14419</v>
      </c>
      <c r="AL3370">
        <v>-1.31</v>
      </c>
      <c r="AM3370">
        <v>1759</v>
      </c>
      <c r="AN3370">
        <v>35</v>
      </c>
      <c r="AO3370">
        <v>1.2999999999999999E-3</v>
      </c>
      <c r="AP3370">
        <v>-1</v>
      </c>
      <c r="AQ3370">
        <v>7.73</v>
      </c>
      <c r="AR3370">
        <v>3.23</v>
      </c>
      <c r="AS3370">
        <v>10</v>
      </c>
      <c r="AT3370">
        <v>-6.12</v>
      </c>
      <c r="AU3370">
        <v>9.09</v>
      </c>
      <c r="AV3370">
        <v>1</v>
      </c>
      <c r="AW3370">
        <v>3.93</v>
      </c>
      <c r="AX3370">
        <v>55.76</v>
      </c>
      <c r="AY3370">
        <v>14.56</v>
      </c>
      <c r="AZ3370">
        <v>12.98</v>
      </c>
      <c r="BA3370">
        <v>1.04</v>
      </c>
      <c r="BB3370" t="s">
        <v>1103</v>
      </c>
      <c r="BF3370">
        <v>-2.13</v>
      </c>
      <c r="BG3370">
        <v>-1.1000000000000001</v>
      </c>
      <c r="BH3370">
        <v>-2.08</v>
      </c>
      <c r="BI3370">
        <v>0.81</v>
      </c>
      <c r="BJ3370">
        <v>20210830</v>
      </c>
      <c r="BK3370">
        <v>20141231</v>
      </c>
      <c r="BL3370">
        <v>2.79</v>
      </c>
      <c r="BM3370" t="s">
        <v>120</v>
      </c>
      <c r="BN3370" t="s">
        <v>120</v>
      </c>
      <c r="BO3370">
        <v>34.549999999999997</v>
      </c>
      <c r="BP3370">
        <v>9.9</v>
      </c>
      <c r="BQ3370">
        <v>19</v>
      </c>
      <c r="BR3370">
        <v>0.28000000000000003</v>
      </c>
      <c r="BS3370">
        <v>44.21</v>
      </c>
      <c r="BT3370">
        <v>19.010000000000002</v>
      </c>
      <c r="BU3370">
        <v>4.24</v>
      </c>
      <c r="BV3370">
        <v>1.24</v>
      </c>
      <c r="BW3370">
        <v>14.81</v>
      </c>
      <c r="BX3370">
        <v>1.77</v>
      </c>
      <c r="BY3370">
        <v>0.05</v>
      </c>
      <c r="BZ3370">
        <v>8.81</v>
      </c>
      <c r="CA3370" t="s">
        <v>120</v>
      </c>
      <c r="CB3370">
        <v>10.43</v>
      </c>
      <c r="CC3370">
        <v>6.34</v>
      </c>
      <c r="CD3370">
        <v>4.67</v>
      </c>
      <c r="CE3370">
        <v>0.93</v>
      </c>
      <c r="CF3370">
        <v>0.06</v>
      </c>
      <c r="CG3370">
        <v>0.93</v>
      </c>
      <c r="CH3370">
        <v>0.78</v>
      </c>
      <c r="CI3370">
        <v>0.79</v>
      </c>
      <c r="CJ3370">
        <v>-0.27</v>
      </c>
      <c r="CK3370">
        <v>0.66</v>
      </c>
      <c r="CL3370">
        <v>5.49</v>
      </c>
      <c r="CM3370">
        <v>-1.3</v>
      </c>
      <c r="CN3370">
        <v>-0.65</v>
      </c>
      <c r="CO3370">
        <v>17500</v>
      </c>
      <c r="CP3370">
        <v>8874</v>
      </c>
      <c r="CQ3370" t="s">
        <v>14194</v>
      </c>
      <c r="CR3370">
        <v>-23.1</v>
      </c>
      <c r="CS3370">
        <v>-2.1</v>
      </c>
      <c r="CT3370">
        <v>1.45</v>
      </c>
      <c r="CU3370">
        <v>-21.25</v>
      </c>
      <c r="CV3370">
        <v>4.3499999999999996</v>
      </c>
      <c r="CW3370">
        <v>6.01</v>
      </c>
      <c r="CX3370" t="s">
        <v>293</v>
      </c>
      <c r="CY3370">
        <v>6.82</v>
      </c>
      <c r="CZ3370">
        <v>0</v>
      </c>
      <c r="DA3370">
        <v>3.74</v>
      </c>
      <c r="DB3370">
        <v>1.97</v>
      </c>
      <c r="DC3370">
        <v>-0.47</v>
      </c>
      <c r="DD3370">
        <v>54.98</v>
      </c>
      <c r="DE3370" t="s">
        <v>4662</v>
      </c>
      <c r="DF3370">
        <v>26.42</v>
      </c>
      <c r="DG3370">
        <v>14.62</v>
      </c>
      <c r="DH3370">
        <v>12.44</v>
      </c>
      <c r="DI3370">
        <v>0.4</v>
      </c>
      <c r="DJ3370">
        <v>3561</v>
      </c>
      <c r="DK3370">
        <v>603017</v>
      </c>
      <c r="DL3370" t="s">
        <v>120</v>
      </c>
      <c r="DM3370" t="s">
        <v>120</v>
      </c>
      <c r="DN3370" t="s">
        <v>120</v>
      </c>
    </row>
    <row r="3371" spans="1:118">
      <c r="A3371" t="str">
        <f>"603018"</f>
        <v>603018</v>
      </c>
      <c r="B3371" t="s">
        <v>14420</v>
      </c>
      <c r="C3371">
        <v>-0.6</v>
      </c>
      <c r="D3371">
        <v>0</v>
      </c>
      <c r="E3371">
        <v>-0.48</v>
      </c>
      <c r="F3371">
        <v>315</v>
      </c>
      <c r="G3371" t="s">
        <v>14421</v>
      </c>
      <c r="H3371">
        <v>2339.34</v>
      </c>
      <c r="I3371">
        <v>2.97</v>
      </c>
      <c r="J3371" t="s">
        <v>120</v>
      </c>
      <c r="K3371" t="s">
        <v>14421</v>
      </c>
      <c r="L3371">
        <v>0.42</v>
      </c>
      <c r="M3371">
        <v>8.25</v>
      </c>
      <c r="N3371">
        <v>0.53</v>
      </c>
      <c r="O3371">
        <v>1.08</v>
      </c>
      <c r="P3371">
        <v>8.39</v>
      </c>
      <c r="Q3371">
        <v>-0.96</v>
      </c>
      <c r="R3371">
        <v>8.2200000000000006</v>
      </c>
      <c r="S3371">
        <v>8.26</v>
      </c>
      <c r="T3371">
        <v>28193</v>
      </c>
      <c r="U3371">
        <v>8.25</v>
      </c>
      <c r="V3371">
        <v>8.3000000000000007</v>
      </c>
      <c r="W3371">
        <v>11.77</v>
      </c>
      <c r="X3371" t="s">
        <v>175</v>
      </c>
      <c r="Y3371" t="s">
        <v>319</v>
      </c>
      <c r="Z3371">
        <v>2.0499999999999998</v>
      </c>
      <c r="AA3371">
        <v>8.3000000000000007</v>
      </c>
      <c r="AB3371">
        <v>17152</v>
      </c>
      <c r="AC3371">
        <v>11041</v>
      </c>
      <c r="AD3371">
        <v>1.55</v>
      </c>
      <c r="AE3371">
        <v>20</v>
      </c>
      <c r="AF3371">
        <v>52</v>
      </c>
      <c r="AG3371" t="s">
        <v>120</v>
      </c>
      <c r="AH3371">
        <v>0</v>
      </c>
      <c r="AI3371" t="s">
        <v>120</v>
      </c>
      <c r="AJ3371">
        <v>6.69</v>
      </c>
      <c r="AK3371" t="s">
        <v>14421</v>
      </c>
      <c r="AL3371">
        <v>0.74</v>
      </c>
      <c r="AM3371">
        <v>1248</v>
      </c>
      <c r="AN3371">
        <v>23</v>
      </c>
      <c r="AO3371">
        <v>2.9999999999999997E-4</v>
      </c>
      <c r="AP3371">
        <v>-1</v>
      </c>
      <c r="AQ3371">
        <v>0.48</v>
      </c>
      <c r="AR3371">
        <v>-4.1900000000000004</v>
      </c>
      <c r="AS3371">
        <v>3</v>
      </c>
      <c r="AT3371">
        <v>0.24</v>
      </c>
      <c r="AU3371">
        <v>-7.48</v>
      </c>
      <c r="AV3371">
        <v>0</v>
      </c>
      <c r="AW3371">
        <v>0.42</v>
      </c>
      <c r="AX3371">
        <v>100</v>
      </c>
      <c r="AY3371">
        <v>9.3800000000000008</v>
      </c>
      <c r="AZ3371">
        <v>9.52</v>
      </c>
      <c r="BA3371">
        <v>1.07</v>
      </c>
      <c r="BB3371" t="s">
        <v>240</v>
      </c>
      <c r="BF3371">
        <v>-0.03</v>
      </c>
      <c r="BG3371">
        <v>-0.12</v>
      </c>
      <c r="BH3371">
        <v>-1.67</v>
      </c>
      <c r="BI3371">
        <v>0.36</v>
      </c>
      <c r="BJ3371">
        <v>20210820</v>
      </c>
      <c r="BK3371">
        <v>20141013</v>
      </c>
      <c r="BL3371">
        <v>6.69</v>
      </c>
      <c r="BM3371" t="s">
        <v>120</v>
      </c>
      <c r="BN3371" t="s">
        <v>120</v>
      </c>
      <c r="BO3371">
        <v>91.62</v>
      </c>
      <c r="BP3371">
        <v>8.24</v>
      </c>
      <c r="BQ3371">
        <v>34.94</v>
      </c>
      <c r="BR3371">
        <v>0.89</v>
      </c>
      <c r="BS3371">
        <v>60.89</v>
      </c>
      <c r="BT3371">
        <v>78.44</v>
      </c>
      <c r="BU3371">
        <v>3.78</v>
      </c>
      <c r="BV3371">
        <v>0.46</v>
      </c>
      <c r="BW3371">
        <v>55.68</v>
      </c>
      <c r="BX3371">
        <v>10.07</v>
      </c>
      <c r="BY3371">
        <v>4.3099999999999996</v>
      </c>
      <c r="BZ3371">
        <v>30.39</v>
      </c>
      <c r="CA3371">
        <v>0.02</v>
      </c>
      <c r="CB3371">
        <v>4.6399999999999997</v>
      </c>
      <c r="CC3371">
        <v>21.54</v>
      </c>
      <c r="CD3371">
        <v>14.35</v>
      </c>
      <c r="CE3371">
        <v>2.76</v>
      </c>
      <c r="CF3371">
        <v>0.05</v>
      </c>
      <c r="CG3371">
        <v>2.75</v>
      </c>
      <c r="CH3371">
        <v>2.3199999999999998</v>
      </c>
      <c r="CI3371">
        <v>2.34</v>
      </c>
      <c r="CJ3371">
        <v>-0.05</v>
      </c>
      <c r="CK3371">
        <v>2.29</v>
      </c>
      <c r="CL3371">
        <v>21.36</v>
      </c>
      <c r="CM3371">
        <v>-5.09</v>
      </c>
      <c r="CN3371">
        <v>-5.47</v>
      </c>
      <c r="CO3371">
        <v>16851</v>
      </c>
      <c r="CP3371">
        <v>39678</v>
      </c>
      <c r="CQ3371" t="s">
        <v>14422</v>
      </c>
      <c r="CR3371">
        <v>3.91</v>
      </c>
      <c r="CS3371">
        <v>6.84</v>
      </c>
      <c r="CT3371">
        <v>1.58</v>
      </c>
      <c r="CU3371">
        <v>-10.83</v>
      </c>
      <c r="CV3371">
        <v>2.56</v>
      </c>
      <c r="CW3371">
        <v>2.5099999999999998</v>
      </c>
      <c r="CX3371" t="s">
        <v>269</v>
      </c>
      <c r="CY3371">
        <v>5.23</v>
      </c>
      <c r="CZ3371">
        <v>0</v>
      </c>
      <c r="DA3371">
        <v>0.69</v>
      </c>
      <c r="DB3371">
        <v>3.19</v>
      </c>
      <c r="DC3371">
        <v>-0.76</v>
      </c>
      <c r="DD3371">
        <v>38.14</v>
      </c>
      <c r="DE3371" t="s">
        <v>2941</v>
      </c>
      <c r="DF3371">
        <v>33.380000000000003</v>
      </c>
      <c r="DG3371">
        <v>12.82</v>
      </c>
      <c r="DH3371">
        <v>10.88</v>
      </c>
      <c r="DI3371">
        <v>0.98</v>
      </c>
      <c r="DJ3371">
        <v>5888</v>
      </c>
      <c r="DK3371">
        <v>603018</v>
      </c>
      <c r="DL3371" t="s">
        <v>120</v>
      </c>
      <c r="DM3371" t="s">
        <v>120</v>
      </c>
      <c r="DN3371" t="s">
        <v>120</v>
      </c>
    </row>
    <row r="3372" spans="1:118">
      <c r="A3372" t="str">
        <f>"603019"</f>
        <v>603019</v>
      </c>
      <c r="B3372" t="s">
        <v>14423</v>
      </c>
      <c r="C3372">
        <v>-1.88</v>
      </c>
      <c r="D3372">
        <v>-0.06</v>
      </c>
      <c r="E3372">
        <v>-0.28999999999999998</v>
      </c>
      <c r="F3372">
        <v>3759</v>
      </c>
      <c r="G3372" t="s">
        <v>14424</v>
      </c>
      <c r="H3372">
        <v>41282.370000000003</v>
      </c>
      <c r="I3372">
        <v>90.64</v>
      </c>
      <c r="J3372" t="s">
        <v>120</v>
      </c>
      <c r="K3372" t="s">
        <v>14425</v>
      </c>
      <c r="L3372">
        <v>1.04</v>
      </c>
      <c r="M3372">
        <v>27.11</v>
      </c>
      <c r="N3372">
        <v>0.87</v>
      </c>
      <c r="O3372">
        <v>0.94</v>
      </c>
      <c r="P3372">
        <v>27.89</v>
      </c>
      <c r="Q3372">
        <v>-1.88</v>
      </c>
      <c r="R3372">
        <v>27.11</v>
      </c>
      <c r="S3372">
        <v>27.55</v>
      </c>
      <c r="T3372">
        <v>150466</v>
      </c>
      <c r="U3372">
        <v>27.12</v>
      </c>
      <c r="V3372">
        <v>27.63</v>
      </c>
      <c r="W3372">
        <v>56.33</v>
      </c>
      <c r="X3372" t="s">
        <v>238</v>
      </c>
      <c r="Y3372" t="s">
        <v>997</v>
      </c>
      <c r="Z3372">
        <v>2.82</v>
      </c>
      <c r="AA3372">
        <v>27.44</v>
      </c>
      <c r="AB3372">
        <v>81141</v>
      </c>
      <c r="AC3372">
        <v>69325</v>
      </c>
      <c r="AD3372">
        <v>1.17</v>
      </c>
      <c r="AE3372">
        <v>477</v>
      </c>
      <c r="AF3372">
        <v>2</v>
      </c>
      <c r="AG3372" t="s">
        <v>120</v>
      </c>
      <c r="AH3372">
        <v>0</v>
      </c>
      <c r="AI3372" t="s">
        <v>120</v>
      </c>
      <c r="AJ3372">
        <v>14.51</v>
      </c>
      <c r="AK3372" t="s">
        <v>14426</v>
      </c>
      <c r="AL3372">
        <v>-0.54</v>
      </c>
      <c r="AM3372">
        <v>4165</v>
      </c>
      <c r="AN3372">
        <v>36</v>
      </c>
      <c r="AO3372">
        <v>2.0000000000000001E-4</v>
      </c>
      <c r="AP3372">
        <v>-4</v>
      </c>
      <c r="AQ3372">
        <v>-1.53</v>
      </c>
      <c r="AR3372">
        <v>-5.7</v>
      </c>
      <c r="AS3372">
        <v>-8.7200000000000006</v>
      </c>
      <c r="AT3372">
        <v>-3.49</v>
      </c>
      <c r="AU3372">
        <v>-20.48</v>
      </c>
      <c r="AV3372">
        <v>1</v>
      </c>
      <c r="AW3372">
        <v>1.34</v>
      </c>
      <c r="AX3372">
        <v>76.989999999999995</v>
      </c>
      <c r="AY3372">
        <v>43.76</v>
      </c>
      <c r="AZ3372">
        <v>49.16</v>
      </c>
      <c r="BA3372">
        <v>0.66</v>
      </c>
      <c r="BB3372" t="s">
        <v>134</v>
      </c>
      <c r="BF3372">
        <v>-0.7</v>
      </c>
      <c r="BG3372">
        <v>-1.6</v>
      </c>
      <c r="BH3372">
        <v>-2.8</v>
      </c>
      <c r="BI3372">
        <v>0</v>
      </c>
      <c r="BJ3372">
        <v>20210818</v>
      </c>
      <c r="BK3372">
        <v>20141106</v>
      </c>
      <c r="BL3372">
        <v>14.63</v>
      </c>
      <c r="BM3372" t="s">
        <v>120</v>
      </c>
      <c r="BN3372" t="s">
        <v>120</v>
      </c>
      <c r="BO3372">
        <v>229.07</v>
      </c>
      <c r="BP3372">
        <v>27.11</v>
      </c>
      <c r="BQ3372">
        <v>118.1</v>
      </c>
      <c r="BR3372">
        <v>3.41</v>
      </c>
      <c r="BS3372">
        <v>46.95</v>
      </c>
      <c r="BT3372">
        <v>149.29</v>
      </c>
      <c r="BU3372">
        <v>12.89</v>
      </c>
      <c r="BV3372">
        <v>9.7200000000000006</v>
      </c>
      <c r="BW3372">
        <v>41.44</v>
      </c>
      <c r="BX3372">
        <v>76.27</v>
      </c>
      <c r="BY3372">
        <v>31.76</v>
      </c>
      <c r="BZ3372">
        <v>28.4</v>
      </c>
      <c r="CA3372">
        <v>0.04</v>
      </c>
      <c r="CB3372">
        <v>79.25</v>
      </c>
      <c r="CC3372">
        <v>44.98</v>
      </c>
      <c r="CD3372">
        <v>35.21</v>
      </c>
      <c r="CE3372">
        <v>4.74</v>
      </c>
      <c r="CF3372">
        <v>-0.17</v>
      </c>
      <c r="CG3372">
        <v>4.74</v>
      </c>
      <c r="CH3372">
        <v>3.97</v>
      </c>
      <c r="CI3372">
        <v>3.52</v>
      </c>
      <c r="CJ3372">
        <v>-0.52</v>
      </c>
      <c r="CK3372">
        <v>2.0699999999999998</v>
      </c>
      <c r="CL3372">
        <v>24.15</v>
      </c>
      <c r="CM3372">
        <v>-1.22</v>
      </c>
      <c r="CN3372">
        <v>-5.46</v>
      </c>
      <c r="CO3372">
        <v>202295</v>
      </c>
      <c r="CP3372">
        <v>5568</v>
      </c>
      <c r="CQ3372" t="s">
        <v>11202</v>
      </c>
      <c r="CR3372">
        <v>40.54</v>
      </c>
      <c r="CS3372">
        <v>12.77</v>
      </c>
      <c r="CT3372">
        <v>3.36</v>
      </c>
      <c r="CU3372">
        <v>-323.86</v>
      </c>
      <c r="CV3372">
        <v>8.82</v>
      </c>
      <c r="CW3372">
        <v>0.5</v>
      </c>
      <c r="CX3372" t="s">
        <v>626</v>
      </c>
      <c r="CY3372">
        <v>8.07</v>
      </c>
      <c r="CZ3372">
        <v>0</v>
      </c>
      <c r="DA3372">
        <v>5.42</v>
      </c>
      <c r="DB3372">
        <v>1.65</v>
      </c>
      <c r="DC3372">
        <v>-0.08</v>
      </c>
      <c r="DD3372">
        <v>51.56</v>
      </c>
      <c r="DE3372" t="s">
        <v>3152</v>
      </c>
      <c r="DF3372">
        <v>21.73</v>
      </c>
      <c r="DG3372">
        <v>10.53</v>
      </c>
      <c r="DH3372">
        <v>7.83</v>
      </c>
      <c r="DI3372">
        <v>3.73</v>
      </c>
      <c r="DJ3372">
        <v>3332</v>
      </c>
      <c r="DK3372">
        <v>603019</v>
      </c>
      <c r="DL3372" t="s">
        <v>120</v>
      </c>
      <c r="DM3372" t="s">
        <v>120</v>
      </c>
      <c r="DN3372" t="s">
        <v>120</v>
      </c>
    </row>
    <row r="3373" spans="1:118">
      <c r="A3373" t="str">
        <f>"603020"</f>
        <v>603020</v>
      </c>
      <c r="B3373" t="s">
        <v>14427</v>
      </c>
      <c r="C3373">
        <v>0</v>
      </c>
      <c r="D3373">
        <v>0</v>
      </c>
      <c r="E3373">
        <v>-0.36</v>
      </c>
      <c r="F3373">
        <v>578</v>
      </c>
      <c r="G3373" t="s">
        <v>3947</v>
      </c>
      <c r="H3373">
        <v>12176.86</v>
      </c>
      <c r="I3373">
        <v>22.79</v>
      </c>
      <c r="J3373" t="s">
        <v>120</v>
      </c>
      <c r="K3373" t="s">
        <v>14428</v>
      </c>
      <c r="L3373">
        <v>2.65</v>
      </c>
      <c r="M3373">
        <v>14.03</v>
      </c>
      <c r="N3373">
        <v>1.33</v>
      </c>
      <c r="O3373">
        <v>5.99</v>
      </c>
      <c r="P3373">
        <v>14.87</v>
      </c>
      <c r="Q3373">
        <v>-0.36</v>
      </c>
      <c r="R3373">
        <v>13.98</v>
      </c>
      <c r="S3373">
        <v>13.98</v>
      </c>
      <c r="T3373">
        <v>84802</v>
      </c>
      <c r="U3373">
        <v>14.03</v>
      </c>
      <c r="V3373">
        <v>14.03</v>
      </c>
      <c r="W3373">
        <v>18.37</v>
      </c>
      <c r="X3373" t="s">
        <v>847</v>
      </c>
      <c r="Y3373" t="s">
        <v>1510</v>
      </c>
      <c r="Z3373">
        <v>6.34</v>
      </c>
      <c r="AA3373">
        <v>14.36</v>
      </c>
      <c r="AB3373">
        <v>41896</v>
      </c>
      <c r="AC3373">
        <v>42906</v>
      </c>
      <c r="AD3373">
        <v>0.98</v>
      </c>
      <c r="AE3373">
        <v>24</v>
      </c>
      <c r="AF3373">
        <v>163</v>
      </c>
      <c r="AG3373" t="s">
        <v>120</v>
      </c>
      <c r="AH3373">
        <v>0.01</v>
      </c>
      <c r="AI3373" t="s">
        <v>120</v>
      </c>
      <c r="AJ3373">
        <v>3.2</v>
      </c>
      <c r="AK3373" t="s">
        <v>14428</v>
      </c>
      <c r="AL3373">
        <v>1.34</v>
      </c>
      <c r="AM3373">
        <v>2816</v>
      </c>
      <c r="AN3373">
        <v>30</v>
      </c>
      <c r="AO3373">
        <v>8.9999999999999998E-4</v>
      </c>
      <c r="AP3373">
        <v>0</v>
      </c>
      <c r="AQ3373">
        <v>-0.92</v>
      </c>
      <c r="AR3373">
        <v>0.43</v>
      </c>
      <c r="AS3373">
        <v>-4.75</v>
      </c>
      <c r="AT3373">
        <v>-26.16</v>
      </c>
      <c r="AU3373">
        <v>44.19</v>
      </c>
      <c r="AV3373">
        <v>9</v>
      </c>
      <c r="AW3373">
        <v>4.8</v>
      </c>
      <c r="AX3373">
        <v>55.21</v>
      </c>
      <c r="AY3373">
        <v>22.51</v>
      </c>
      <c r="AZ3373">
        <v>26.37</v>
      </c>
      <c r="BA3373">
        <v>1.07</v>
      </c>
      <c r="BB3373" t="s">
        <v>143</v>
      </c>
      <c r="BF3373">
        <v>2.35</v>
      </c>
      <c r="BG3373">
        <v>0.36</v>
      </c>
      <c r="BH3373">
        <v>-5.65</v>
      </c>
      <c r="BI3373">
        <v>0.36</v>
      </c>
      <c r="BJ3373">
        <v>20210831</v>
      </c>
      <c r="BK3373">
        <v>20150325</v>
      </c>
      <c r="BL3373">
        <v>3.2</v>
      </c>
      <c r="BM3373" t="s">
        <v>120</v>
      </c>
      <c r="BN3373" t="s">
        <v>120</v>
      </c>
      <c r="BO3373">
        <v>29.71</v>
      </c>
      <c r="BP3373">
        <v>14.02</v>
      </c>
      <c r="BQ3373">
        <v>22.94</v>
      </c>
      <c r="BR3373" t="s">
        <v>120</v>
      </c>
      <c r="BS3373">
        <v>22.79</v>
      </c>
      <c r="BT3373">
        <v>20.75</v>
      </c>
      <c r="BU3373">
        <v>2.76</v>
      </c>
      <c r="BV3373">
        <v>1.03</v>
      </c>
      <c r="BW3373">
        <v>3.69</v>
      </c>
      <c r="BX3373">
        <v>2.6</v>
      </c>
      <c r="BY3373">
        <v>6.45</v>
      </c>
      <c r="BZ3373">
        <v>5.2</v>
      </c>
      <c r="CA3373">
        <v>0</v>
      </c>
      <c r="CB3373">
        <v>8.02</v>
      </c>
      <c r="CC3373">
        <v>16.920000000000002</v>
      </c>
      <c r="CD3373">
        <v>13.82</v>
      </c>
      <c r="CE3373">
        <v>1.95</v>
      </c>
      <c r="CF3373">
        <v>0.03</v>
      </c>
      <c r="CG3373">
        <v>1.95</v>
      </c>
      <c r="CH3373">
        <v>1.57</v>
      </c>
      <c r="CI3373">
        <v>1.22</v>
      </c>
      <c r="CJ3373">
        <v>0</v>
      </c>
      <c r="CK3373">
        <v>1.1000000000000001</v>
      </c>
      <c r="CL3373">
        <v>10.3</v>
      </c>
      <c r="CM3373">
        <v>-0.12</v>
      </c>
      <c r="CN3373">
        <v>0.01</v>
      </c>
      <c r="CO3373">
        <v>14834</v>
      </c>
      <c r="CP3373">
        <v>11909</v>
      </c>
      <c r="CQ3373" t="s">
        <v>2864</v>
      </c>
      <c r="CR3373">
        <v>31.46</v>
      </c>
      <c r="CS3373">
        <v>31.61</v>
      </c>
      <c r="CT3373">
        <v>1.96</v>
      </c>
      <c r="CU3373">
        <v>-386.34</v>
      </c>
      <c r="CV3373">
        <v>2.65</v>
      </c>
      <c r="CW3373">
        <v>1.1399999999999999</v>
      </c>
      <c r="CX3373" t="s">
        <v>14429</v>
      </c>
      <c r="CY3373">
        <v>7.17</v>
      </c>
      <c r="CZ3373">
        <v>0</v>
      </c>
      <c r="DA3373">
        <v>2.5099999999999998</v>
      </c>
      <c r="DB3373">
        <v>3.22</v>
      </c>
      <c r="DC3373">
        <v>-0.04</v>
      </c>
      <c r="DD3373">
        <v>77.209999999999994</v>
      </c>
      <c r="DE3373" t="s">
        <v>2753</v>
      </c>
      <c r="DF3373">
        <v>18.309999999999999</v>
      </c>
      <c r="DG3373">
        <v>11.54</v>
      </c>
      <c r="DH3373">
        <v>7.22</v>
      </c>
      <c r="DI3373">
        <v>0.22</v>
      </c>
      <c r="DJ3373">
        <v>1184</v>
      </c>
      <c r="DK3373">
        <v>603020</v>
      </c>
      <c r="DL3373" t="s">
        <v>120</v>
      </c>
      <c r="DM3373" t="s">
        <v>120</v>
      </c>
      <c r="DN3373" t="s">
        <v>120</v>
      </c>
    </row>
    <row r="3374" spans="1:118">
      <c r="A3374" t="str">
        <f>"603021"</f>
        <v>603021</v>
      </c>
      <c r="B3374" t="s">
        <v>14430</v>
      </c>
      <c r="C3374">
        <v>-0.6</v>
      </c>
      <c r="D3374">
        <v>0</v>
      </c>
      <c r="E3374">
        <v>-0.6</v>
      </c>
      <c r="F3374">
        <v>329</v>
      </c>
      <c r="G3374" t="s">
        <v>14431</v>
      </c>
      <c r="H3374">
        <v>1903.46</v>
      </c>
      <c r="I3374">
        <v>16.98</v>
      </c>
      <c r="J3374" t="s">
        <v>120</v>
      </c>
      <c r="K3374" t="s">
        <v>1747</v>
      </c>
      <c r="L3374">
        <v>1.19</v>
      </c>
      <c r="M3374">
        <v>4.9800000000000004</v>
      </c>
      <c r="N3374">
        <v>1.18</v>
      </c>
      <c r="O3374">
        <v>0.6</v>
      </c>
      <c r="P3374">
        <v>5.04</v>
      </c>
      <c r="Q3374">
        <v>-1.6</v>
      </c>
      <c r="R3374">
        <v>4.93</v>
      </c>
      <c r="S3374">
        <v>4.9800000000000004</v>
      </c>
      <c r="T3374">
        <v>38157</v>
      </c>
      <c r="U3374">
        <v>4.99</v>
      </c>
      <c r="V3374">
        <v>5.01</v>
      </c>
      <c r="W3374" t="s">
        <v>120</v>
      </c>
      <c r="X3374" t="s">
        <v>191</v>
      </c>
      <c r="Y3374" t="s">
        <v>638</v>
      </c>
      <c r="Z3374">
        <v>2.2000000000000002</v>
      </c>
      <c r="AA3374">
        <v>4.99</v>
      </c>
      <c r="AB3374">
        <v>23274</v>
      </c>
      <c r="AC3374">
        <v>14883</v>
      </c>
      <c r="AD3374">
        <v>1.56</v>
      </c>
      <c r="AE3374">
        <v>633</v>
      </c>
      <c r="AF3374">
        <v>146</v>
      </c>
      <c r="AG3374" t="s">
        <v>120</v>
      </c>
      <c r="AH3374">
        <v>0.02</v>
      </c>
      <c r="AI3374" t="s">
        <v>120</v>
      </c>
      <c r="AJ3374">
        <v>3.2</v>
      </c>
      <c r="AK3374" t="s">
        <v>1747</v>
      </c>
      <c r="AL3374">
        <v>0.74</v>
      </c>
      <c r="AM3374">
        <v>1486</v>
      </c>
      <c r="AN3374">
        <v>26</v>
      </c>
      <c r="AO3374">
        <v>8.0000000000000004E-4</v>
      </c>
      <c r="AP3374">
        <v>-1</v>
      </c>
      <c r="AQ3374">
        <v>3.09</v>
      </c>
      <c r="AR3374">
        <v>1.63</v>
      </c>
      <c r="AS3374">
        <v>7.32</v>
      </c>
      <c r="AT3374">
        <v>-6.74</v>
      </c>
      <c r="AU3374">
        <v>-14.14</v>
      </c>
      <c r="AV3374">
        <v>2</v>
      </c>
      <c r="AW3374">
        <v>2.1</v>
      </c>
      <c r="AX3374">
        <v>56.9</v>
      </c>
      <c r="AY3374" t="s">
        <v>120</v>
      </c>
      <c r="AZ3374">
        <v>32.68</v>
      </c>
      <c r="BA3374">
        <v>0.85</v>
      </c>
      <c r="BB3374" t="s">
        <v>168</v>
      </c>
      <c r="BF3374">
        <v>-0.43</v>
      </c>
      <c r="BG3374">
        <v>0</v>
      </c>
      <c r="BH3374">
        <v>-1.19</v>
      </c>
      <c r="BI3374">
        <v>1.01</v>
      </c>
      <c r="BJ3374">
        <v>20210821</v>
      </c>
      <c r="BK3374">
        <v>20150423</v>
      </c>
      <c r="BL3374">
        <v>3.2</v>
      </c>
      <c r="BM3374" t="s">
        <v>120</v>
      </c>
      <c r="BN3374" t="s">
        <v>120</v>
      </c>
      <c r="BO3374">
        <v>36.79</v>
      </c>
      <c r="BP3374">
        <v>4.9800000000000004</v>
      </c>
      <c r="BQ3374">
        <v>12.09</v>
      </c>
      <c r="BR3374">
        <v>1.99</v>
      </c>
      <c r="BS3374">
        <v>61.73</v>
      </c>
      <c r="BT3374">
        <v>12.96</v>
      </c>
      <c r="BU3374">
        <v>11.81</v>
      </c>
      <c r="BV3374">
        <v>1.94</v>
      </c>
      <c r="BW3374">
        <v>22.09</v>
      </c>
      <c r="BX3374">
        <v>1.1399999999999999</v>
      </c>
      <c r="BY3374">
        <v>3.75</v>
      </c>
      <c r="BZ3374">
        <v>6.69</v>
      </c>
      <c r="CA3374" t="s">
        <v>120</v>
      </c>
      <c r="CB3374">
        <v>6.03</v>
      </c>
      <c r="CC3374">
        <v>4.6900000000000004</v>
      </c>
      <c r="CD3374">
        <v>3.48</v>
      </c>
      <c r="CE3374">
        <v>-0.32</v>
      </c>
      <c r="CF3374">
        <v>0</v>
      </c>
      <c r="CG3374">
        <v>-0.32</v>
      </c>
      <c r="CH3374">
        <v>-0.4</v>
      </c>
      <c r="CI3374">
        <v>-0.57999999999999996</v>
      </c>
      <c r="CJ3374">
        <v>-0.03</v>
      </c>
      <c r="CK3374">
        <v>-0.59</v>
      </c>
      <c r="CL3374">
        <v>2.54</v>
      </c>
      <c r="CM3374">
        <v>-0.48</v>
      </c>
      <c r="CN3374">
        <v>-0.48</v>
      </c>
      <c r="CO3374">
        <v>14238</v>
      </c>
      <c r="CP3374">
        <v>12787</v>
      </c>
      <c r="CQ3374" t="s">
        <v>342</v>
      </c>
      <c r="CR3374">
        <v>-2963.66</v>
      </c>
      <c r="CS3374">
        <v>18.22</v>
      </c>
      <c r="CT3374">
        <v>1.32</v>
      </c>
      <c r="CU3374">
        <v>-33.07</v>
      </c>
      <c r="CV3374">
        <v>3.4</v>
      </c>
      <c r="CW3374">
        <v>0</v>
      </c>
      <c r="CX3374" t="s">
        <v>2691</v>
      </c>
      <c r="CY3374">
        <v>3.78</v>
      </c>
      <c r="CZ3374">
        <v>0</v>
      </c>
      <c r="DA3374">
        <v>1.89</v>
      </c>
      <c r="DB3374">
        <v>0.79</v>
      </c>
      <c r="DC3374">
        <v>-0.15</v>
      </c>
      <c r="DD3374">
        <v>32.869999999999997</v>
      </c>
      <c r="DE3374" t="s">
        <v>14432</v>
      </c>
      <c r="DF3374">
        <v>25.81</v>
      </c>
      <c r="DG3374">
        <v>-6.88</v>
      </c>
      <c r="DH3374">
        <v>-12.46</v>
      </c>
      <c r="DI3374">
        <v>0.13</v>
      </c>
      <c r="DJ3374">
        <v>2355</v>
      </c>
      <c r="DK3374">
        <v>603021</v>
      </c>
      <c r="DL3374" t="s">
        <v>120</v>
      </c>
      <c r="DM3374" t="s">
        <v>120</v>
      </c>
      <c r="DN3374" t="s">
        <v>120</v>
      </c>
    </row>
    <row r="3375" spans="1:118">
      <c r="A3375" t="str">
        <f>"603022"</f>
        <v>603022</v>
      </c>
      <c r="B3375" t="s">
        <v>14433</v>
      </c>
      <c r="C3375">
        <v>-0.85</v>
      </c>
      <c r="D3375">
        <v>0</v>
      </c>
      <c r="E3375">
        <v>-0.08</v>
      </c>
      <c r="F3375">
        <v>98</v>
      </c>
      <c r="G3375" t="s">
        <v>14434</v>
      </c>
      <c r="H3375">
        <v>1316.96</v>
      </c>
      <c r="I3375">
        <v>15.98</v>
      </c>
      <c r="J3375" t="s">
        <v>120</v>
      </c>
      <c r="K3375" t="s">
        <v>5669</v>
      </c>
      <c r="L3375">
        <v>0.51</v>
      </c>
      <c r="M3375">
        <v>12.79</v>
      </c>
      <c r="N3375">
        <v>0.82</v>
      </c>
      <c r="O3375">
        <v>1.32</v>
      </c>
      <c r="P3375">
        <v>13.07</v>
      </c>
      <c r="Q3375">
        <v>-1.47</v>
      </c>
      <c r="R3375">
        <v>12.71</v>
      </c>
      <c r="S3375">
        <v>12.89</v>
      </c>
      <c r="T3375">
        <v>10266</v>
      </c>
      <c r="U3375">
        <v>12.79</v>
      </c>
      <c r="V3375">
        <v>12.9</v>
      </c>
      <c r="W3375">
        <v>104.62</v>
      </c>
      <c r="X3375" t="s">
        <v>339</v>
      </c>
      <c r="Y3375" t="s">
        <v>1510</v>
      </c>
      <c r="Z3375">
        <v>2.79</v>
      </c>
      <c r="AA3375">
        <v>12.83</v>
      </c>
      <c r="AB3375">
        <v>6145</v>
      </c>
      <c r="AC3375">
        <v>4121</v>
      </c>
      <c r="AD3375">
        <v>1.49</v>
      </c>
      <c r="AE3375">
        <v>50</v>
      </c>
      <c r="AF3375">
        <v>192</v>
      </c>
      <c r="AG3375" t="s">
        <v>120</v>
      </c>
      <c r="AH3375">
        <v>0.02</v>
      </c>
      <c r="AI3375" t="s">
        <v>120</v>
      </c>
      <c r="AJ3375">
        <v>2</v>
      </c>
      <c r="AK3375" t="s">
        <v>5669</v>
      </c>
      <c r="AL3375">
        <v>0.49</v>
      </c>
      <c r="AM3375">
        <v>581</v>
      </c>
      <c r="AN3375">
        <v>18</v>
      </c>
      <c r="AO3375">
        <v>8.9999999999999998E-4</v>
      </c>
      <c r="AP3375">
        <v>-1</v>
      </c>
      <c r="AQ3375">
        <v>2.95</v>
      </c>
      <c r="AR3375">
        <v>1.02</v>
      </c>
      <c r="AS3375">
        <v>11.12</v>
      </c>
      <c r="AT3375">
        <v>-3.1</v>
      </c>
      <c r="AU3375">
        <v>2.9</v>
      </c>
      <c r="AV3375">
        <v>6</v>
      </c>
      <c r="AW3375">
        <v>1.37</v>
      </c>
      <c r="AX3375">
        <v>37.46</v>
      </c>
      <c r="AY3375">
        <v>82.94</v>
      </c>
      <c r="AZ3375">
        <v>71.73</v>
      </c>
      <c r="BA3375">
        <v>0.59</v>
      </c>
      <c r="BB3375" t="s">
        <v>168</v>
      </c>
      <c r="BF3375">
        <v>-0.55000000000000004</v>
      </c>
      <c r="BG3375">
        <v>-0.78</v>
      </c>
      <c r="BH3375">
        <v>-2.14</v>
      </c>
      <c r="BI3375">
        <v>0.63</v>
      </c>
      <c r="BJ3375">
        <v>20210901</v>
      </c>
      <c r="BK3375">
        <v>20150518</v>
      </c>
      <c r="BL3375">
        <v>2</v>
      </c>
      <c r="BM3375" t="s">
        <v>120</v>
      </c>
      <c r="BN3375" t="s">
        <v>120</v>
      </c>
      <c r="BO3375">
        <v>8.94</v>
      </c>
      <c r="BP3375">
        <v>12.78</v>
      </c>
      <c r="BQ3375">
        <v>6.84</v>
      </c>
      <c r="BR3375" t="s">
        <v>120</v>
      </c>
      <c r="BS3375">
        <v>23.45</v>
      </c>
      <c r="BT3375">
        <v>4.8600000000000003</v>
      </c>
      <c r="BU3375">
        <v>2.54</v>
      </c>
      <c r="BV3375">
        <v>1.25</v>
      </c>
      <c r="BW3375">
        <v>1.91</v>
      </c>
      <c r="BX3375">
        <v>1.1399999999999999</v>
      </c>
      <c r="BY3375">
        <v>1.05</v>
      </c>
      <c r="BZ3375">
        <v>1.78</v>
      </c>
      <c r="CA3375" t="s">
        <v>120</v>
      </c>
      <c r="CB3375">
        <v>1.35</v>
      </c>
      <c r="CC3375">
        <v>3.38</v>
      </c>
      <c r="CD3375">
        <v>2.73</v>
      </c>
      <c r="CE3375">
        <v>0.14000000000000001</v>
      </c>
      <c r="CF3375">
        <v>0</v>
      </c>
      <c r="CG3375">
        <v>0.14000000000000001</v>
      </c>
      <c r="CH3375">
        <v>0.12</v>
      </c>
      <c r="CI3375">
        <v>0.12</v>
      </c>
      <c r="CJ3375">
        <v>-0.11</v>
      </c>
      <c r="CK3375">
        <v>0.12</v>
      </c>
      <c r="CL3375">
        <v>3.26</v>
      </c>
      <c r="CM3375">
        <v>0.51</v>
      </c>
      <c r="CN3375">
        <v>0.64</v>
      </c>
      <c r="CO3375">
        <v>10749</v>
      </c>
      <c r="CP3375">
        <v>6969</v>
      </c>
      <c r="CQ3375" t="s">
        <v>3105</v>
      </c>
      <c r="CR3375">
        <v>-28.46</v>
      </c>
      <c r="CS3375">
        <v>12.36</v>
      </c>
      <c r="CT3375">
        <v>3.74</v>
      </c>
      <c r="CU3375">
        <v>50.23</v>
      </c>
      <c r="CV3375">
        <v>7.56</v>
      </c>
      <c r="CW3375">
        <v>0</v>
      </c>
      <c r="CX3375" t="s">
        <v>1064</v>
      </c>
      <c r="CY3375">
        <v>3.42</v>
      </c>
      <c r="CZ3375">
        <v>0</v>
      </c>
      <c r="DA3375">
        <v>0.67</v>
      </c>
      <c r="DB3375">
        <v>1.63</v>
      </c>
      <c r="DC3375">
        <v>0.25</v>
      </c>
      <c r="DD3375">
        <v>76.55</v>
      </c>
      <c r="DE3375" t="s">
        <v>6854</v>
      </c>
      <c r="DF3375">
        <v>19.36</v>
      </c>
      <c r="DG3375">
        <v>4.1900000000000004</v>
      </c>
      <c r="DH3375">
        <v>3.61</v>
      </c>
      <c r="DI3375">
        <v>0.09</v>
      </c>
      <c r="DJ3375">
        <v>1086</v>
      </c>
      <c r="DK3375">
        <v>603022</v>
      </c>
      <c r="DL3375" t="s">
        <v>120</v>
      </c>
      <c r="DM3375" t="s">
        <v>120</v>
      </c>
      <c r="DN3375" t="s">
        <v>120</v>
      </c>
    </row>
    <row r="3376" spans="1:118">
      <c r="A3376" t="str">
        <f>"603023"</f>
        <v>603023</v>
      </c>
      <c r="B3376" t="s">
        <v>14435</v>
      </c>
      <c r="C3376">
        <v>-1.52</v>
      </c>
      <c r="D3376">
        <v>0</v>
      </c>
      <c r="E3376">
        <v>0</v>
      </c>
      <c r="F3376">
        <v>203</v>
      </c>
      <c r="G3376" t="s">
        <v>6790</v>
      </c>
      <c r="H3376">
        <v>1339.53</v>
      </c>
      <c r="I3376">
        <v>8.8699999999999992</v>
      </c>
      <c r="J3376" t="s">
        <v>120</v>
      </c>
      <c r="K3376" t="s">
        <v>5665</v>
      </c>
      <c r="L3376">
        <v>0.61</v>
      </c>
      <c r="M3376">
        <v>3.9</v>
      </c>
      <c r="N3376">
        <v>1.23</v>
      </c>
      <c r="O3376">
        <v>1.01</v>
      </c>
      <c r="P3376">
        <v>4</v>
      </c>
      <c r="Q3376">
        <v>-2.02</v>
      </c>
      <c r="R3376">
        <v>3.88</v>
      </c>
      <c r="S3376">
        <v>3.96</v>
      </c>
      <c r="T3376">
        <v>34022</v>
      </c>
      <c r="U3376">
        <v>3.91</v>
      </c>
      <c r="V3376">
        <v>3.96</v>
      </c>
      <c r="W3376" t="s">
        <v>120</v>
      </c>
      <c r="X3376" t="s">
        <v>289</v>
      </c>
      <c r="Y3376" t="s">
        <v>1686</v>
      </c>
      <c r="Z3376">
        <v>3.03</v>
      </c>
      <c r="AA3376">
        <v>3.94</v>
      </c>
      <c r="AB3376">
        <v>16208</v>
      </c>
      <c r="AC3376">
        <v>17814</v>
      </c>
      <c r="AD3376">
        <v>0.91</v>
      </c>
      <c r="AE3376">
        <v>618</v>
      </c>
      <c r="AF3376">
        <v>158</v>
      </c>
      <c r="AG3376" t="s">
        <v>120</v>
      </c>
      <c r="AH3376">
        <v>0.01</v>
      </c>
      <c r="AI3376" t="s">
        <v>120</v>
      </c>
      <c r="AJ3376">
        <v>5.62</v>
      </c>
      <c r="AK3376" t="s">
        <v>5665</v>
      </c>
      <c r="AL3376">
        <v>-0.17</v>
      </c>
      <c r="AM3376">
        <v>708</v>
      </c>
      <c r="AN3376">
        <v>48</v>
      </c>
      <c r="AO3376">
        <v>8.9999999999999998E-4</v>
      </c>
      <c r="AP3376">
        <v>-1</v>
      </c>
      <c r="AQ3376">
        <v>0.25</v>
      </c>
      <c r="AR3376">
        <v>-2.75</v>
      </c>
      <c r="AS3376">
        <v>1.82</v>
      </c>
      <c r="AT3376">
        <v>-14.29</v>
      </c>
      <c r="AU3376">
        <v>-9.7200000000000006</v>
      </c>
      <c r="AV3376">
        <v>2</v>
      </c>
      <c r="AW3376">
        <v>1.37</v>
      </c>
      <c r="AX3376">
        <v>44.13</v>
      </c>
      <c r="AY3376">
        <v>386.06</v>
      </c>
      <c r="AZ3376">
        <v>141.82</v>
      </c>
      <c r="BA3376">
        <v>0.45</v>
      </c>
      <c r="BB3376" t="s">
        <v>143</v>
      </c>
      <c r="BF3376">
        <v>-0.56999999999999995</v>
      </c>
      <c r="BG3376">
        <v>-1.52</v>
      </c>
      <c r="BH3376">
        <v>-2.5</v>
      </c>
      <c r="BI3376">
        <v>0.52</v>
      </c>
      <c r="BJ3376">
        <v>20210831</v>
      </c>
      <c r="BK3376">
        <v>20150527</v>
      </c>
      <c r="BL3376">
        <v>5.62</v>
      </c>
      <c r="BM3376" t="s">
        <v>120</v>
      </c>
      <c r="BN3376" t="s">
        <v>120</v>
      </c>
      <c r="BO3376">
        <v>7.72</v>
      </c>
      <c r="BP3376">
        <v>3.9</v>
      </c>
      <c r="BQ3376">
        <v>7.55</v>
      </c>
      <c r="BR3376" t="s">
        <v>120</v>
      </c>
      <c r="BS3376">
        <v>2.19</v>
      </c>
      <c r="BT3376">
        <v>6.35</v>
      </c>
      <c r="BU3376">
        <v>1.2</v>
      </c>
      <c r="BV3376">
        <v>0.1</v>
      </c>
      <c r="BW3376">
        <v>0.17</v>
      </c>
      <c r="BX3376">
        <v>4.6399999999999997</v>
      </c>
      <c r="BY3376">
        <v>0.96</v>
      </c>
      <c r="BZ3376">
        <v>0.25</v>
      </c>
      <c r="CA3376" t="s">
        <v>120</v>
      </c>
      <c r="CB3376">
        <v>0.84</v>
      </c>
      <c r="CC3376">
        <v>0.25</v>
      </c>
      <c r="CD3376">
        <v>0.18</v>
      </c>
      <c r="CE3376">
        <v>-0.01</v>
      </c>
      <c r="CF3376">
        <v>0</v>
      </c>
      <c r="CG3376">
        <v>-0.01</v>
      </c>
      <c r="CH3376">
        <v>-0.01</v>
      </c>
      <c r="CI3376">
        <v>-0.01</v>
      </c>
      <c r="CJ3376">
        <v>-0.06</v>
      </c>
      <c r="CK3376">
        <v>-0.01</v>
      </c>
      <c r="CL3376">
        <v>0.45</v>
      </c>
      <c r="CM3376">
        <v>0.21</v>
      </c>
      <c r="CN3376">
        <v>0.14000000000000001</v>
      </c>
      <c r="CO3376">
        <v>18159</v>
      </c>
      <c r="CP3376">
        <v>13660</v>
      </c>
      <c r="CQ3376" t="s">
        <v>5037</v>
      </c>
      <c r="CR3376">
        <v>-114.86</v>
      </c>
      <c r="CS3376">
        <v>-33.69</v>
      </c>
      <c r="CT3376">
        <v>2.9</v>
      </c>
      <c r="CU3376">
        <v>104.13</v>
      </c>
      <c r="CV3376">
        <v>86.46</v>
      </c>
      <c r="CW3376">
        <v>0</v>
      </c>
      <c r="CX3376" t="s">
        <v>9869</v>
      </c>
      <c r="CY3376">
        <v>1.34</v>
      </c>
      <c r="CZ3376">
        <v>0</v>
      </c>
      <c r="DA3376">
        <v>0.15</v>
      </c>
      <c r="DB3376">
        <v>0.08</v>
      </c>
      <c r="DC3376">
        <v>0.04</v>
      </c>
      <c r="DD3376">
        <v>97.81</v>
      </c>
      <c r="DE3376" t="s">
        <v>1313</v>
      </c>
      <c r="DF3376">
        <v>27.09</v>
      </c>
      <c r="DG3376">
        <v>-4.32</v>
      </c>
      <c r="DH3376">
        <v>-5.07</v>
      </c>
      <c r="DI3376">
        <v>7.0000000000000007E-2</v>
      </c>
      <c r="DJ3376">
        <v>243</v>
      </c>
      <c r="DK3376">
        <v>603023</v>
      </c>
      <c r="DL3376" t="s">
        <v>120</v>
      </c>
      <c r="DM3376" t="s">
        <v>120</v>
      </c>
      <c r="DN3376" t="s">
        <v>120</v>
      </c>
    </row>
    <row r="3377" spans="1:118">
      <c r="A3377" t="str">
        <f>"603025"</f>
        <v>603025</v>
      </c>
      <c r="B3377" t="s">
        <v>14436</v>
      </c>
      <c r="C3377">
        <v>0.88</v>
      </c>
      <c r="D3377">
        <v>0.06</v>
      </c>
      <c r="E3377">
        <v>-0.16</v>
      </c>
      <c r="F3377">
        <v>1726</v>
      </c>
      <c r="G3377" t="s">
        <v>5317</v>
      </c>
      <c r="H3377">
        <v>53599.32</v>
      </c>
      <c r="I3377">
        <v>160.52000000000001</v>
      </c>
      <c r="J3377" t="s">
        <v>120</v>
      </c>
      <c r="K3377" t="s">
        <v>14437</v>
      </c>
      <c r="L3377">
        <v>1.86</v>
      </c>
      <c r="M3377">
        <v>31.07</v>
      </c>
      <c r="N3377">
        <v>1.23</v>
      </c>
      <c r="O3377">
        <v>3.9</v>
      </c>
      <c r="P3377">
        <v>32</v>
      </c>
      <c r="Q3377">
        <v>-2.27</v>
      </c>
      <c r="R3377">
        <v>30.1</v>
      </c>
      <c r="S3377">
        <v>30.75</v>
      </c>
      <c r="T3377">
        <v>171810</v>
      </c>
      <c r="U3377">
        <v>31.08</v>
      </c>
      <c r="V3377">
        <v>30.8</v>
      </c>
      <c r="W3377">
        <v>72.5</v>
      </c>
      <c r="X3377" t="s">
        <v>1165</v>
      </c>
      <c r="Y3377" t="s">
        <v>158</v>
      </c>
      <c r="Z3377">
        <v>6.17</v>
      </c>
      <c r="AA3377">
        <v>31.2</v>
      </c>
      <c r="AB3377">
        <v>83948</v>
      </c>
      <c r="AC3377">
        <v>87862</v>
      </c>
      <c r="AD3377">
        <v>0.96</v>
      </c>
      <c r="AE3377">
        <v>170</v>
      </c>
      <c r="AF3377">
        <v>101</v>
      </c>
      <c r="AG3377" t="s">
        <v>120</v>
      </c>
      <c r="AH3377">
        <v>0.03</v>
      </c>
      <c r="AI3377" t="s">
        <v>120</v>
      </c>
      <c r="AJ3377">
        <v>9.2200000000000006</v>
      </c>
      <c r="AK3377" t="s">
        <v>14438</v>
      </c>
      <c r="AL3377">
        <v>2.2200000000000002</v>
      </c>
      <c r="AM3377">
        <v>4394</v>
      </c>
      <c r="AN3377">
        <v>39</v>
      </c>
      <c r="AO3377">
        <v>4.0000000000000002E-4</v>
      </c>
      <c r="AP3377">
        <v>1</v>
      </c>
      <c r="AQ3377">
        <v>-0.42</v>
      </c>
      <c r="AR3377">
        <v>6.37</v>
      </c>
      <c r="AS3377">
        <v>3.57</v>
      </c>
      <c r="AT3377">
        <v>-12.55</v>
      </c>
      <c r="AU3377">
        <v>14.86</v>
      </c>
      <c r="AV3377">
        <v>26</v>
      </c>
      <c r="AW3377">
        <v>10.71</v>
      </c>
      <c r="AX3377">
        <v>17.32</v>
      </c>
      <c r="AY3377">
        <v>83.24</v>
      </c>
      <c r="AZ3377">
        <v>133.08000000000001</v>
      </c>
      <c r="BA3377">
        <v>1.23</v>
      </c>
      <c r="BB3377" t="s">
        <v>143</v>
      </c>
      <c r="BF3377">
        <v>1.29</v>
      </c>
      <c r="BG3377">
        <v>1.04</v>
      </c>
      <c r="BH3377">
        <v>-2.91</v>
      </c>
      <c r="BI3377">
        <v>3.22</v>
      </c>
      <c r="BJ3377">
        <v>20210906</v>
      </c>
      <c r="BK3377">
        <v>20150422</v>
      </c>
      <c r="BL3377">
        <v>9.26</v>
      </c>
      <c r="BM3377" t="s">
        <v>120</v>
      </c>
      <c r="BN3377" t="s">
        <v>120</v>
      </c>
      <c r="BO3377">
        <v>21.83</v>
      </c>
      <c r="BP3377">
        <v>31.07</v>
      </c>
      <c r="BQ3377">
        <v>18.11</v>
      </c>
      <c r="BR3377">
        <v>0.35</v>
      </c>
      <c r="BS3377">
        <v>15.45</v>
      </c>
      <c r="BT3377">
        <v>15.7</v>
      </c>
      <c r="BU3377">
        <v>1.69</v>
      </c>
      <c r="BV3377">
        <v>0.12</v>
      </c>
      <c r="BW3377">
        <v>3.35</v>
      </c>
      <c r="BX3377">
        <v>6.87</v>
      </c>
      <c r="BY3377">
        <v>2.4300000000000002</v>
      </c>
      <c r="BZ3377">
        <v>3.93</v>
      </c>
      <c r="CA3377">
        <v>0.03</v>
      </c>
      <c r="CB3377">
        <v>2.08</v>
      </c>
      <c r="CC3377">
        <v>8.2799999999999994</v>
      </c>
      <c r="CD3377">
        <v>4.8899999999999997</v>
      </c>
      <c r="CE3377">
        <v>2.36</v>
      </c>
      <c r="CF3377">
        <v>0.03</v>
      </c>
      <c r="CG3377">
        <v>2.39</v>
      </c>
      <c r="CH3377">
        <v>2.0299999999999998</v>
      </c>
      <c r="CI3377">
        <v>1.98</v>
      </c>
      <c r="CJ3377">
        <v>0.27</v>
      </c>
      <c r="CK3377">
        <v>1.9</v>
      </c>
      <c r="CL3377">
        <v>4.51</v>
      </c>
      <c r="CM3377">
        <v>1.66</v>
      </c>
      <c r="CN3377">
        <v>0.34</v>
      </c>
      <c r="CO3377">
        <v>68393</v>
      </c>
      <c r="CP3377">
        <v>2346</v>
      </c>
      <c r="CQ3377" t="s">
        <v>6990</v>
      </c>
      <c r="CR3377">
        <v>182.94</v>
      </c>
      <c r="CS3377">
        <v>135.97</v>
      </c>
      <c r="CT3377">
        <v>15.89</v>
      </c>
      <c r="CU3377">
        <v>173.37</v>
      </c>
      <c r="CV3377">
        <v>34.729999999999997</v>
      </c>
      <c r="CW3377">
        <v>0.71</v>
      </c>
      <c r="CX3377" t="s">
        <v>3361</v>
      </c>
      <c r="CY3377">
        <v>1.96</v>
      </c>
      <c r="CZ3377">
        <v>0</v>
      </c>
      <c r="DA3377">
        <v>0.22</v>
      </c>
      <c r="DB3377">
        <v>0.49</v>
      </c>
      <c r="DC3377">
        <v>0.18</v>
      </c>
      <c r="DD3377">
        <v>82.94</v>
      </c>
      <c r="DE3377" t="s">
        <v>6274</v>
      </c>
      <c r="DF3377">
        <v>40.94</v>
      </c>
      <c r="DG3377">
        <v>28.44</v>
      </c>
      <c r="DH3377">
        <v>23.95</v>
      </c>
      <c r="DI3377">
        <v>0.72</v>
      </c>
      <c r="DJ3377">
        <v>864</v>
      </c>
      <c r="DK3377">
        <v>603025</v>
      </c>
      <c r="DL3377" t="s">
        <v>120</v>
      </c>
      <c r="DM3377" t="s">
        <v>120</v>
      </c>
      <c r="DN3377" t="s">
        <v>120</v>
      </c>
    </row>
    <row r="3378" spans="1:118">
      <c r="A3378" t="str">
        <f>"603026"</f>
        <v>603026</v>
      </c>
      <c r="B3378" t="s">
        <v>14439</v>
      </c>
      <c r="C3378">
        <v>-2.42</v>
      </c>
      <c r="D3378">
        <v>0.35</v>
      </c>
      <c r="E3378">
        <v>1.0900000000000001</v>
      </c>
      <c r="F3378">
        <v>1095</v>
      </c>
      <c r="G3378" t="s">
        <v>14440</v>
      </c>
      <c r="H3378">
        <v>233310.69</v>
      </c>
      <c r="I3378">
        <v>1848.14</v>
      </c>
      <c r="J3378" t="s">
        <v>120</v>
      </c>
      <c r="K3378" t="s">
        <v>14441</v>
      </c>
      <c r="L3378">
        <v>3.55</v>
      </c>
      <c r="M3378">
        <v>322</v>
      </c>
      <c r="N3378">
        <v>1.02</v>
      </c>
      <c r="O3378">
        <v>2.2999999999999998</v>
      </c>
      <c r="P3378">
        <v>337.6</v>
      </c>
      <c r="Q3378">
        <v>-5.86</v>
      </c>
      <c r="R3378">
        <v>310.66000000000003</v>
      </c>
      <c r="S3378">
        <v>333.6</v>
      </c>
      <c r="T3378">
        <v>71977</v>
      </c>
      <c r="U3378">
        <v>322</v>
      </c>
      <c r="V3378">
        <v>330</v>
      </c>
      <c r="W3378">
        <v>55.22</v>
      </c>
      <c r="X3378" t="s">
        <v>868</v>
      </c>
      <c r="Y3378" t="s">
        <v>638</v>
      </c>
      <c r="Z3378">
        <v>8.16</v>
      </c>
      <c r="AA3378">
        <v>324.14999999999998</v>
      </c>
      <c r="AB3378">
        <v>36478</v>
      </c>
      <c r="AC3378">
        <v>35499</v>
      </c>
      <c r="AD3378">
        <v>1.03</v>
      </c>
      <c r="AE3378">
        <v>1</v>
      </c>
      <c r="AF3378">
        <v>1346</v>
      </c>
      <c r="AG3378" t="s">
        <v>120</v>
      </c>
      <c r="AH3378">
        <v>0.04</v>
      </c>
      <c r="AI3378" t="s">
        <v>120</v>
      </c>
      <c r="AJ3378">
        <v>2.0299999999999998</v>
      </c>
      <c r="AK3378" t="s">
        <v>14441</v>
      </c>
      <c r="AL3378">
        <v>-1.08</v>
      </c>
      <c r="AM3378">
        <v>4155</v>
      </c>
      <c r="AN3378">
        <v>17</v>
      </c>
      <c r="AO3378">
        <v>8.9999999999999998E-4</v>
      </c>
      <c r="AP3378">
        <v>-1</v>
      </c>
      <c r="AQ3378">
        <v>0.46</v>
      </c>
      <c r="AR3378">
        <v>-0.56000000000000005</v>
      </c>
      <c r="AS3378">
        <v>42.54</v>
      </c>
      <c r="AT3378">
        <v>155.76</v>
      </c>
      <c r="AU3378">
        <v>546.46</v>
      </c>
      <c r="AV3378">
        <v>16</v>
      </c>
      <c r="AW3378">
        <v>5.14</v>
      </c>
      <c r="AX3378">
        <v>69.099999999999994</v>
      </c>
      <c r="AY3378">
        <v>74.900000000000006</v>
      </c>
      <c r="AZ3378">
        <v>257.45</v>
      </c>
      <c r="BA3378">
        <v>1.31</v>
      </c>
      <c r="BB3378" t="s">
        <v>184</v>
      </c>
      <c r="BF3378">
        <v>-1.77</v>
      </c>
      <c r="BG3378">
        <v>-3.48</v>
      </c>
      <c r="BH3378">
        <v>-4.62</v>
      </c>
      <c r="BI3378">
        <v>3.65</v>
      </c>
      <c r="BJ3378">
        <v>20210821</v>
      </c>
      <c r="BK3378">
        <v>20150529</v>
      </c>
      <c r="BL3378">
        <v>2.0299999999999998</v>
      </c>
      <c r="BM3378" t="s">
        <v>120</v>
      </c>
      <c r="BN3378" t="s">
        <v>120</v>
      </c>
      <c r="BO3378">
        <v>37.94</v>
      </c>
      <c r="BP3378">
        <v>321.10000000000002</v>
      </c>
      <c r="BQ3378">
        <v>25.27</v>
      </c>
      <c r="BR3378">
        <v>3.78</v>
      </c>
      <c r="BS3378">
        <v>23.42</v>
      </c>
      <c r="BT3378">
        <v>21.22</v>
      </c>
      <c r="BU3378">
        <v>9.8699999999999992</v>
      </c>
      <c r="BV3378">
        <v>0.72</v>
      </c>
      <c r="BW3378">
        <v>8.59</v>
      </c>
      <c r="BX3378">
        <v>5.31</v>
      </c>
      <c r="BY3378">
        <v>3.37</v>
      </c>
      <c r="BZ3378">
        <v>5.72</v>
      </c>
      <c r="CA3378" t="s">
        <v>120</v>
      </c>
      <c r="CB3378">
        <v>4.18</v>
      </c>
      <c r="CC3378">
        <v>36.46</v>
      </c>
      <c r="CD3378">
        <v>25.6</v>
      </c>
      <c r="CE3378">
        <v>7.42</v>
      </c>
      <c r="CF3378">
        <v>0.03</v>
      </c>
      <c r="CG3378">
        <v>7.42</v>
      </c>
      <c r="CH3378">
        <v>6.24</v>
      </c>
      <c r="CI3378">
        <v>5.91</v>
      </c>
      <c r="CJ3378">
        <v>-8</v>
      </c>
      <c r="CK3378">
        <v>5.89</v>
      </c>
      <c r="CL3378">
        <v>17.16</v>
      </c>
      <c r="CM3378">
        <v>4.3499999999999996</v>
      </c>
      <c r="CN3378">
        <v>-0.54</v>
      </c>
      <c r="CO3378">
        <v>27962</v>
      </c>
      <c r="CP3378">
        <v>5009</v>
      </c>
      <c r="CQ3378" t="s">
        <v>14442</v>
      </c>
      <c r="CR3378">
        <v>1499.39</v>
      </c>
      <c r="CS3378">
        <v>110.18</v>
      </c>
      <c r="CT3378">
        <v>25.82</v>
      </c>
      <c r="CU3378">
        <v>150.13</v>
      </c>
      <c r="CV3378">
        <v>17.899999999999999</v>
      </c>
      <c r="CW3378">
        <v>0.18</v>
      </c>
      <c r="CX3378" t="s">
        <v>14443</v>
      </c>
      <c r="CY3378">
        <v>12.47</v>
      </c>
      <c r="CZ3378">
        <v>0</v>
      </c>
      <c r="DA3378">
        <v>2.06</v>
      </c>
      <c r="DB3378">
        <v>8.4700000000000006</v>
      </c>
      <c r="DC3378">
        <v>2.14</v>
      </c>
      <c r="DD3378">
        <v>66.61</v>
      </c>
      <c r="DE3378" t="s">
        <v>14444</v>
      </c>
      <c r="DF3378">
        <v>29.79</v>
      </c>
      <c r="DG3378">
        <v>20.350000000000001</v>
      </c>
      <c r="DH3378">
        <v>16.21</v>
      </c>
      <c r="DI3378">
        <v>1.64</v>
      </c>
      <c r="DJ3378">
        <v>1566</v>
      </c>
      <c r="DK3378">
        <v>603026</v>
      </c>
      <c r="DL3378">
        <v>20210603</v>
      </c>
      <c r="DM3378">
        <v>111.22</v>
      </c>
      <c r="DN3378">
        <v>190.06</v>
      </c>
    </row>
    <row r="3379" spans="1:118">
      <c r="A3379" t="str">
        <f>"603027"</f>
        <v>603027</v>
      </c>
      <c r="B3379" t="s">
        <v>14445</v>
      </c>
      <c r="C3379">
        <v>-0.06</v>
      </c>
      <c r="D3379">
        <v>0</v>
      </c>
      <c r="E3379">
        <v>0</v>
      </c>
      <c r="F3379">
        <v>580</v>
      </c>
      <c r="G3379" t="s">
        <v>14446</v>
      </c>
      <c r="H3379">
        <v>12851.04</v>
      </c>
      <c r="I3379">
        <v>44.8</v>
      </c>
      <c r="J3379" t="s">
        <v>120</v>
      </c>
      <c r="K3379" t="s">
        <v>14447</v>
      </c>
      <c r="L3379">
        <v>0.94</v>
      </c>
      <c r="M3379">
        <v>17.09</v>
      </c>
      <c r="N3379">
        <v>0.89</v>
      </c>
      <c r="O3379">
        <v>1.46</v>
      </c>
      <c r="P3379">
        <v>17.350000000000001</v>
      </c>
      <c r="Q3379">
        <v>-0.76</v>
      </c>
      <c r="R3379">
        <v>16.97</v>
      </c>
      <c r="S3379">
        <v>17.100000000000001</v>
      </c>
      <c r="T3379">
        <v>74886</v>
      </c>
      <c r="U3379">
        <v>17.100000000000001</v>
      </c>
      <c r="V3379">
        <v>17.100000000000001</v>
      </c>
      <c r="W3379">
        <v>103.71</v>
      </c>
      <c r="X3379" t="s">
        <v>847</v>
      </c>
      <c r="Y3379" t="s">
        <v>578</v>
      </c>
      <c r="Z3379">
        <v>2.2200000000000002</v>
      </c>
      <c r="AA3379">
        <v>17.16</v>
      </c>
      <c r="AB3379">
        <v>38985</v>
      </c>
      <c r="AC3379">
        <v>35901</v>
      </c>
      <c r="AD3379">
        <v>1.0900000000000001</v>
      </c>
      <c r="AE3379">
        <v>138</v>
      </c>
      <c r="AF3379">
        <v>104</v>
      </c>
      <c r="AG3379" t="s">
        <v>120</v>
      </c>
      <c r="AH3379">
        <v>0.01</v>
      </c>
      <c r="AI3379" t="s">
        <v>120</v>
      </c>
      <c r="AJ3379">
        <v>7.95</v>
      </c>
      <c r="AK3379" t="s">
        <v>14448</v>
      </c>
      <c r="AL3379">
        <v>1.29</v>
      </c>
      <c r="AM3379">
        <v>2923</v>
      </c>
      <c r="AN3379">
        <v>26</v>
      </c>
      <c r="AO3379">
        <v>2.9999999999999997E-4</v>
      </c>
      <c r="AP3379">
        <v>-2</v>
      </c>
      <c r="AQ3379">
        <v>-2.73</v>
      </c>
      <c r="AR3379">
        <v>-2.34</v>
      </c>
      <c r="AS3379">
        <v>-16.760000000000002</v>
      </c>
      <c r="AT3379">
        <v>-32.07</v>
      </c>
      <c r="AU3379">
        <v>-45</v>
      </c>
      <c r="AV3379">
        <v>1</v>
      </c>
      <c r="AW3379">
        <v>1.81</v>
      </c>
      <c r="AX3379">
        <v>51.71</v>
      </c>
      <c r="AY3379">
        <v>119.21</v>
      </c>
      <c r="AZ3379">
        <v>66.37</v>
      </c>
      <c r="BA3379">
        <v>1.07</v>
      </c>
      <c r="BB3379" t="s">
        <v>125</v>
      </c>
      <c r="BF3379">
        <v>0.36</v>
      </c>
      <c r="BG3379">
        <v>-0.06</v>
      </c>
      <c r="BH3379">
        <v>-1.5</v>
      </c>
      <c r="BI3379">
        <v>0.71</v>
      </c>
      <c r="BJ3379">
        <v>20210818</v>
      </c>
      <c r="BK3379">
        <v>20160307</v>
      </c>
      <c r="BL3379">
        <v>7.99</v>
      </c>
      <c r="BM3379" t="s">
        <v>120</v>
      </c>
      <c r="BN3379" t="s">
        <v>120</v>
      </c>
      <c r="BO3379">
        <v>21.85</v>
      </c>
      <c r="BP3379">
        <v>17.09</v>
      </c>
      <c r="BQ3379">
        <v>19.03</v>
      </c>
      <c r="BR3379" t="s">
        <v>120</v>
      </c>
      <c r="BS3379">
        <v>12.93</v>
      </c>
      <c r="BT3379">
        <v>9.76</v>
      </c>
      <c r="BU3379">
        <v>8.2200000000000006</v>
      </c>
      <c r="BV3379">
        <v>1.04</v>
      </c>
      <c r="BW3379">
        <v>2.33</v>
      </c>
      <c r="BX3379">
        <v>0.83</v>
      </c>
      <c r="BY3379">
        <v>4.95</v>
      </c>
      <c r="BZ3379">
        <v>1.07</v>
      </c>
      <c r="CA3379" t="s">
        <v>120</v>
      </c>
      <c r="CB3379">
        <v>1.99</v>
      </c>
      <c r="CC3379">
        <v>8.86</v>
      </c>
      <c r="CD3379">
        <v>5.12</v>
      </c>
      <c r="CE3379">
        <v>0.86</v>
      </c>
      <c r="CF3379">
        <v>0.06</v>
      </c>
      <c r="CG3379">
        <v>0.8</v>
      </c>
      <c r="CH3379">
        <v>0.66</v>
      </c>
      <c r="CI3379">
        <v>0.66</v>
      </c>
      <c r="CJ3379">
        <v>-0.01</v>
      </c>
      <c r="CK3379">
        <v>0.66</v>
      </c>
      <c r="CL3379">
        <v>8.08</v>
      </c>
      <c r="CM3379">
        <v>0.46</v>
      </c>
      <c r="CN3379">
        <v>-0.34</v>
      </c>
      <c r="CO3379">
        <v>81811</v>
      </c>
      <c r="CP3379">
        <v>5049</v>
      </c>
      <c r="CQ3379" t="s">
        <v>8959</v>
      </c>
      <c r="CR3379">
        <v>-58.09</v>
      </c>
      <c r="CS3379">
        <v>10.82</v>
      </c>
      <c r="CT3379">
        <v>7.17</v>
      </c>
      <c r="CU3379">
        <v>297.77999999999997</v>
      </c>
      <c r="CV3379">
        <v>15.41</v>
      </c>
      <c r="CW3379">
        <v>0.45</v>
      </c>
      <c r="CX3379" t="s">
        <v>1889</v>
      </c>
      <c r="CY3379">
        <v>2.38</v>
      </c>
      <c r="CZ3379">
        <v>2.38</v>
      </c>
      <c r="DA3379">
        <v>0.25</v>
      </c>
      <c r="DB3379">
        <v>1.01</v>
      </c>
      <c r="DC3379">
        <v>0.06</v>
      </c>
      <c r="DD3379">
        <v>87.07</v>
      </c>
      <c r="DE3379" t="s">
        <v>5093</v>
      </c>
      <c r="DF3379">
        <v>42.21</v>
      </c>
      <c r="DG3379">
        <v>9.75</v>
      </c>
      <c r="DH3379">
        <v>7.43</v>
      </c>
      <c r="DI3379">
        <v>0.23</v>
      </c>
      <c r="DJ3379">
        <v>2271</v>
      </c>
      <c r="DK3379">
        <v>603027</v>
      </c>
      <c r="DL3379" t="s">
        <v>120</v>
      </c>
      <c r="DM3379" t="s">
        <v>120</v>
      </c>
      <c r="DN3379" t="s">
        <v>120</v>
      </c>
    </row>
    <row r="3380" spans="1:118">
      <c r="A3380" t="str">
        <f>"603028"</f>
        <v>603028</v>
      </c>
      <c r="B3380" t="s">
        <v>14449</v>
      </c>
      <c r="C3380">
        <v>-0.36</v>
      </c>
      <c r="D3380">
        <v>0.61</v>
      </c>
      <c r="E3380">
        <v>0.12</v>
      </c>
      <c r="F3380">
        <v>583</v>
      </c>
      <c r="G3380" t="s">
        <v>14450</v>
      </c>
      <c r="H3380">
        <v>2815.32</v>
      </c>
      <c r="I3380">
        <v>4.21</v>
      </c>
      <c r="J3380" t="s">
        <v>120</v>
      </c>
      <c r="K3380" t="s">
        <v>10159</v>
      </c>
      <c r="L3380">
        <v>1.18</v>
      </c>
      <c r="M3380">
        <v>8.2200000000000006</v>
      </c>
      <c r="N3380">
        <v>1.41</v>
      </c>
      <c r="O3380">
        <v>2.79</v>
      </c>
      <c r="P3380">
        <v>8.48</v>
      </c>
      <c r="Q3380">
        <v>-0.97</v>
      </c>
      <c r="R3380">
        <v>8.17</v>
      </c>
      <c r="S3380">
        <v>8.26</v>
      </c>
      <c r="T3380">
        <v>33830</v>
      </c>
      <c r="U3380">
        <v>8.2200000000000006</v>
      </c>
      <c r="V3380">
        <v>8.25</v>
      </c>
      <c r="W3380">
        <v>52.25</v>
      </c>
      <c r="X3380" t="s">
        <v>1925</v>
      </c>
      <c r="Y3380" t="s">
        <v>319</v>
      </c>
      <c r="Z3380">
        <v>3.76</v>
      </c>
      <c r="AA3380">
        <v>8.32</v>
      </c>
      <c r="AB3380">
        <v>16697</v>
      </c>
      <c r="AC3380">
        <v>17133</v>
      </c>
      <c r="AD3380">
        <v>0.97</v>
      </c>
      <c r="AE3380">
        <v>1099</v>
      </c>
      <c r="AF3380">
        <v>152</v>
      </c>
      <c r="AG3380" t="s">
        <v>120</v>
      </c>
      <c r="AH3380">
        <v>0</v>
      </c>
      <c r="AI3380" t="s">
        <v>120</v>
      </c>
      <c r="AJ3380">
        <v>2.87</v>
      </c>
      <c r="AK3380" t="s">
        <v>10159</v>
      </c>
      <c r="AL3380">
        <v>0.98</v>
      </c>
      <c r="AM3380">
        <v>1137</v>
      </c>
      <c r="AN3380">
        <v>30</v>
      </c>
      <c r="AO3380">
        <v>1E-3</v>
      </c>
      <c r="AP3380">
        <v>-1</v>
      </c>
      <c r="AQ3380">
        <v>0.61</v>
      </c>
      <c r="AR3380">
        <v>-1.44</v>
      </c>
      <c r="AS3380">
        <v>-0.12</v>
      </c>
      <c r="AT3380">
        <v>-15.35</v>
      </c>
      <c r="AU3380">
        <v>-0.17</v>
      </c>
      <c r="AV3380">
        <v>0</v>
      </c>
      <c r="AW3380">
        <v>2.4700000000000002</v>
      </c>
      <c r="AX3380">
        <v>47.79</v>
      </c>
      <c r="AY3380">
        <v>37.119999999999997</v>
      </c>
      <c r="AZ3380">
        <v>44.04</v>
      </c>
      <c r="BA3380">
        <v>0.87</v>
      </c>
      <c r="BB3380" t="s">
        <v>134</v>
      </c>
      <c r="BF3380">
        <v>0.87</v>
      </c>
      <c r="BG3380">
        <v>-0.48</v>
      </c>
      <c r="BH3380">
        <v>-3.07</v>
      </c>
      <c r="BI3380">
        <v>0.61</v>
      </c>
      <c r="BJ3380">
        <v>20210827</v>
      </c>
      <c r="BK3380">
        <v>20160331</v>
      </c>
      <c r="BL3380">
        <v>2.87</v>
      </c>
      <c r="BM3380" t="s">
        <v>120</v>
      </c>
      <c r="BN3380" t="s">
        <v>120</v>
      </c>
      <c r="BO3380">
        <v>12.07</v>
      </c>
      <c r="BP3380">
        <v>8.1999999999999993</v>
      </c>
      <c r="BQ3380">
        <v>7.63</v>
      </c>
      <c r="BR3380">
        <v>0</v>
      </c>
      <c r="BS3380">
        <v>36.770000000000003</v>
      </c>
      <c r="BT3380">
        <v>5.47</v>
      </c>
      <c r="BU3380">
        <v>3.24</v>
      </c>
      <c r="BV3380">
        <v>0.27</v>
      </c>
      <c r="BW3380">
        <v>3.75</v>
      </c>
      <c r="BX3380">
        <v>1.07</v>
      </c>
      <c r="BY3380">
        <v>1.79</v>
      </c>
      <c r="BZ3380">
        <v>1.8</v>
      </c>
      <c r="CA3380" t="s">
        <v>120</v>
      </c>
      <c r="CB3380">
        <v>1.25</v>
      </c>
      <c r="CC3380">
        <v>4.34</v>
      </c>
      <c r="CD3380">
        <v>3.55</v>
      </c>
      <c r="CE3380">
        <v>0.28000000000000003</v>
      </c>
      <c r="CF3380">
        <v>0</v>
      </c>
      <c r="CG3380">
        <v>0.28999999999999998</v>
      </c>
      <c r="CH3380">
        <v>0.23</v>
      </c>
      <c r="CI3380">
        <v>0.23</v>
      </c>
      <c r="CJ3380">
        <v>-0.03</v>
      </c>
      <c r="CK3380">
        <v>0.2</v>
      </c>
      <c r="CL3380">
        <v>3.25</v>
      </c>
      <c r="CM3380">
        <v>-0.34</v>
      </c>
      <c r="CN3380">
        <v>-0.16</v>
      </c>
      <c r="CO3380">
        <v>13617</v>
      </c>
      <c r="CP3380">
        <v>10073</v>
      </c>
      <c r="CQ3380" t="s">
        <v>6853</v>
      </c>
      <c r="CR3380">
        <v>79.87</v>
      </c>
      <c r="CS3380">
        <v>44.53</v>
      </c>
      <c r="CT3380">
        <v>3.09</v>
      </c>
      <c r="CU3380">
        <v>-70.39</v>
      </c>
      <c r="CV3380">
        <v>5.44</v>
      </c>
      <c r="CW3380">
        <v>0.7</v>
      </c>
      <c r="CX3380" t="s">
        <v>535</v>
      </c>
      <c r="CY3380">
        <v>2.66</v>
      </c>
      <c r="CZ3380">
        <v>0</v>
      </c>
      <c r="DA3380">
        <v>0.43</v>
      </c>
      <c r="DB3380">
        <v>1.1299999999999999</v>
      </c>
      <c r="DC3380">
        <v>-0.12</v>
      </c>
      <c r="DD3380">
        <v>63.19</v>
      </c>
      <c r="DE3380" t="s">
        <v>9372</v>
      </c>
      <c r="DF3380">
        <v>18.05</v>
      </c>
      <c r="DG3380">
        <v>6.56</v>
      </c>
      <c r="DH3380">
        <v>5.21</v>
      </c>
      <c r="DI3380">
        <v>0.16</v>
      </c>
      <c r="DJ3380">
        <v>811</v>
      </c>
      <c r="DK3380">
        <v>603028</v>
      </c>
      <c r="DL3380" t="s">
        <v>120</v>
      </c>
      <c r="DM3380" t="s">
        <v>120</v>
      </c>
      <c r="DN3380" t="s">
        <v>120</v>
      </c>
    </row>
    <row r="3381" spans="1:118">
      <c r="A3381" t="str">
        <f>"603029"</f>
        <v>603029</v>
      </c>
      <c r="B3381" t="s">
        <v>14451</v>
      </c>
      <c r="C3381">
        <v>7.0000000000000007E-2</v>
      </c>
      <c r="D3381">
        <v>-0.13</v>
      </c>
      <c r="E3381">
        <v>-0.14000000000000001</v>
      </c>
      <c r="F3381">
        <v>216</v>
      </c>
      <c r="G3381" t="s">
        <v>14452</v>
      </c>
      <c r="H3381">
        <v>2028.31</v>
      </c>
      <c r="I3381">
        <v>4.45</v>
      </c>
      <c r="J3381" t="s">
        <v>120</v>
      </c>
      <c r="K3381" t="s">
        <v>8392</v>
      </c>
      <c r="L3381">
        <v>1.5</v>
      </c>
      <c r="M3381">
        <v>14.37</v>
      </c>
      <c r="N3381">
        <v>1.19</v>
      </c>
      <c r="O3381">
        <v>2.23</v>
      </c>
      <c r="P3381">
        <v>14.68</v>
      </c>
      <c r="Q3381">
        <v>-0.84</v>
      </c>
      <c r="R3381">
        <v>14.24</v>
      </c>
      <c r="S3381">
        <v>14.34</v>
      </c>
      <c r="T3381">
        <v>14016</v>
      </c>
      <c r="U3381">
        <v>14.39</v>
      </c>
      <c r="V3381">
        <v>14.36</v>
      </c>
      <c r="W3381">
        <v>123.93</v>
      </c>
      <c r="X3381" t="s">
        <v>2079</v>
      </c>
      <c r="Y3381" t="s">
        <v>638</v>
      </c>
      <c r="Z3381">
        <v>3.06</v>
      </c>
      <c r="AA3381">
        <v>14.47</v>
      </c>
      <c r="AB3381">
        <v>6231</v>
      </c>
      <c r="AC3381">
        <v>7785</v>
      </c>
      <c r="AD3381">
        <v>0.8</v>
      </c>
      <c r="AE3381">
        <v>57</v>
      </c>
      <c r="AF3381">
        <v>59</v>
      </c>
      <c r="AG3381" t="s">
        <v>120</v>
      </c>
      <c r="AH3381">
        <v>0.01</v>
      </c>
      <c r="AI3381" t="s">
        <v>120</v>
      </c>
      <c r="AJ3381">
        <v>0.93</v>
      </c>
      <c r="AK3381" t="s">
        <v>8392</v>
      </c>
      <c r="AL3381">
        <v>1.41</v>
      </c>
      <c r="AM3381">
        <v>1334</v>
      </c>
      <c r="AN3381">
        <v>11</v>
      </c>
      <c r="AO3381">
        <v>1.1000000000000001E-3</v>
      </c>
      <c r="AP3381">
        <v>2</v>
      </c>
      <c r="AQ3381">
        <v>1.92</v>
      </c>
      <c r="AR3381">
        <v>-0.9</v>
      </c>
      <c r="AS3381">
        <v>2.42</v>
      </c>
      <c r="AT3381">
        <v>8.9499999999999993</v>
      </c>
      <c r="AU3381">
        <v>10.67</v>
      </c>
      <c r="AV3381">
        <v>1</v>
      </c>
      <c r="AW3381">
        <v>4.4000000000000004</v>
      </c>
      <c r="AX3381">
        <v>34.130000000000003</v>
      </c>
      <c r="AY3381">
        <v>56.26</v>
      </c>
      <c r="AZ3381">
        <v>98.02</v>
      </c>
      <c r="BA3381">
        <v>1.28</v>
      </c>
      <c r="BB3381" t="s">
        <v>143</v>
      </c>
      <c r="BF3381">
        <v>0.78</v>
      </c>
      <c r="BG3381">
        <v>0.21</v>
      </c>
      <c r="BH3381">
        <v>-2.11</v>
      </c>
      <c r="BI3381">
        <v>0.91</v>
      </c>
      <c r="BJ3381">
        <v>20210821</v>
      </c>
      <c r="BK3381">
        <v>20160427</v>
      </c>
      <c r="BL3381">
        <v>0.93</v>
      </c>
      <c r="BM3381" t="s">
        <v>120</v>
      </c>
      <c r="BN3381" t="s">
        <v>120</v>
      </c>
      <c r="BO3381">
        <v>11.33</v>
      </c>
      <c r="BP3381">
        <v>14.37</v>
      </c>
      <c r="BQ3381">
        <v>7.17</v>
      </c>
      <c r="BR3381" t="s">
        <v>120</v>
      </c>
      <c r="BS3381">
        <v>36.67</v>
      </c>
      <c r="BT3381">
        <v>7.9</v>
      </c>
      <c r="BU3381">
        <v>1.99</v>
      </c>
      <c r="BV3381">
        <v>0.75</v>
      </c>
      <c r="BW3381">
        <v>2.95</v>
      </c>
      <c r="BX3381">
        <v>1.1299999999999999</v>
      </c>
      <c r="BY3381">
        <v>4.28</v>
      </c>
      <c r="BZ3381">
        <v>0.99</v>
      </c>
      <c r="CA3381" t="s">
        <v>120</v>
      </c>
      <c r="CB3381">
        <v>2.06</v>
      </c>
      <c r="CC3381">
        <v>1.35</v>
      </c>
      <c r="CD3381">
        <v>0.91</v>
      </c>
      <c r="CE3381">
        <v>0.01</v>
      </c>
      <c r="CF3381">
        <v>0</v>
      </c>
      <c r="CG3381">
        <v>0.04</v>
      </c>
      <c r="CH3381">
        <v>0.05</v>
      </c>
      <c r="CI3381">
        <v>0.05</v>
      </c>
      <c r="CJ3381">
        <v>0.01</v>
      </c>
      <c r="CK3381">
        <v>-0.05</v>
      </c>
      <c r="CL3381">
        <v>3.56</v>
      </c>
      <c r="CM3381">
        <v>-0.7</v>
      </c>
      <c r="CN3381">
        <v>-1.1200000000000001</v>
      </c>
      <c r="CO3381">
        <v>8551</v>
      </c>
      <c r="CP3381">
        <v>3726</v>
      </c>
      <c r="CQ3381" t="s">
        <v>2603</v>
      </c>
      <c r="CR3381">
        <v>214.19</v>
      </c>
      <c r="CS3381">
        <v>-2.96</v>
      </c>
      <c r="CT3381">
        <v>1.87</v>
      </c>
      <c r="CU3381">
        <v>-19.22</v>
      </c>
      <c r="CV3381">
        <v>9.94</v>
      </c>
      <c r="CW3381">
        <v>0.52</v>
      </c>
      <c r="CX3381" t="s">
        <v>1064</v>
      </c>
      <c r="CY3381">
        <v>7.68</v>
      </c>
      <c r="CZ3381">
        <v>0</v>
      </c>
      <c r="DA3381">
        <v>2.21</v>
      </c>
      <c r="DB3381">
        <v>3.82</v>
      </c>
      <c r="DC3381">
        <v>-0.75</v>
      </c>
      <c r="DD3381">
        <v>63.33</v>
      </c>
      <c r="DE3381" t="s">
        <v>521</v>
      </c>
      <c r="DF3381">
        <v>32.56</v>
      </c>
      <c r="DG3381">
        <v>1.06</v>
      </c>
      <c r="DH3381">
        <v>4.01</v>
      </c>
      <c r="DI3381">
        <v>0.12</v>
      </c>
      <c r="DJ3381">
        <v>723</v>
      </c>
      <c r="DK3381">
        <v>603029</v>
      </c>
      <c r="DL3381" t="s">
        <v>120</v>
      </c>
      <c r="DM3381" t="s">
        <v>120</v>
      </c>
      <c r="DN3381" t="s">
        <v>120</v>
      </c>
    </row>
    <row r="3382" spans="1:118">
      <c r="A3382" t="str">
        <f>"603030"</f>
        <v>603030</v>
      </c>
      <c r="B3382" t="s">
        <v>14453</v>
      </c>
      <c r="C3382">
        <v>-1.06</v>
      </c>
      <c r="D3382">
        <v>0</v>
      </c>
      <c r="E3382">
        <v>0</v>
      </c>
      <c r="F3382">
        <v>257</v>
      </c>
      <c r="G3382" t="s">
        <v>6369</v>
      </c>
      <c r="H3382">
        <v>1491.77</v>
      </c>
      <c r="I3382">
        <v>9.66</v>
      </c>
      <c r="J3382" t="s">
        <v>120</v>
      </c>
      <c r="K3382" t="s">
        <v>11323</v>
      </c>
      <c r="L3382">
        <v>0.73</v>
      </c>
      <c r="M3382">
        <v>3.75</v>
      </c>
      <c r="N3382">
        <v>0.94</v>
      </c>
      <c r="O3382">
        <v>1.06</v>
      </c>
      <c r="P3382">
        <v>3.83</v>
      </c>
      <c r="Q3382">
        <v>-1.58</v>
      </c>
      <c r="R3382">
        <v>3.73</v>
      </c>
      <c r="S3382">
        <v>3.79</v>
      </c>
      <c r="T3382">
        <v>39496</v>
      </c>
      <c r="U3382">
        <v>3.75</v>
      </c>
      <c r="V3382">
        <v>3.79</v>
      </c>
      <c r="W3382" t="s">
        <v>120</v>
      </c>
      <c r="X3382" t="s">
        <v>3122</v>
      </c>
      <c r="Y3382" t="s">
        <v>1510</v>
      </c>
      <c r="Z3382">
        <v>2.64</v>
      </c>
      <c r="AA3382">
        <v>3.78</v>
      </c>
      <c r="AB3382">
        <v>23739</v>
      </c>
      <c r="AC3382">
        <v>15757</v>
      </c>
      <c r="AD3382">
        <v>1.51</v>
      </c>
      <c r="AE3382">
        <v>985</v>
      </c>
      <c r="AF3382">
        <v>539</v>
      </c>
      <c r="AG3382" t="s">
        <v>120</v>
      </c>
      <c r="AH3382">
        <v>0.01</v>
      </c>
      <c r="AI3382" t="s">
        <v>120</v>
      </c>
      <c r="AJ3382">
        <v>5.38</v>
      </c>
      <c r="AK3382" t="s">
        <v>8057</v>
      </c>
      <c r="AL3382">
        <v>0.28999999999999998</v>
      </c>
      <c r="AM3382">
        <v>747</v>
      </c>
      <c r="AN3382">
        <v>53</v>
      </c>
      <c r="AO3382">
        <v>1E-3</v>
      </c>
      <c r="AP3382">
        <v>-1</v>
      </c>
      <c r="AQ3382">
        <v>0.53</v>
      </c>
      <c r="AR3382">
        <v>-3.1</v>
      </c>
      <c r="AS3382">
        <v>-11.55</v>
      </c>
      <c r="AT3382">
        <v>-14.77</v>
      </c>
      <c r="AU3382">
        <v>-23.31</v>
      </c>
      <c r="AV3382">
        <v>0</v>
      </c>
      <c r="AW3382">
        <v>1.23</v>
      </c>
      <c r="AX3382">
        <v>55.28</v>
      </c>
      <c r="AY3382" t="s">
        <v>120</v>
      </c>
      <c r="AZ3382">
        <v>16.489999999999998</v>
      </c>
      <c r="BA3382">
        <v>0.59</v>
      </c>
      <c r="BB3382" t="s">
        <v>143</v>
      </c>
      <c r="BF3382">
        <v>-0.34</v>
      </c>
      <c r="BG3382">
        <v>-1.06</v>
      </c>
      <c r="BH3382">
        <v>-2.09</v>
      </c>
      <c r="BI3382">
        <v>0.54</v>
      </c>
      <c r="BJ3382">
        <v>20210908</v>
      </c>
      <c r="BK3382">
        <v>20150320</v>
      </c>
      <c r="BL3382">
        <v>5.8</v>
      </c>
      <c r="BM3382" t="s">
        <v>120</v>
      </c>
      <c r="BN3382" t="s">
        <v>120</v>
      </c>
      <c r="BO3382">
        <v>104.49</v>
      </c>
      <c r="BP3382">
        <v>3.74</v>
      </c>
      <c r="BQ3382">
        <v>21.12</v>
      </c>
      <c r="BR3382">
        <v>3.06</v>
      </c>
      <c r="BS3382">
        <v>76.86</v>
      </c>
      <c r="BT3382">
        <v>89.03</v>
      </c>
      <c r="BU3382">
        <v>5.41</v>
      </c>
      <c r="BV3382">
        <v>0.61</v>
      </c>
      <c r="BW3382">
        <v>76.72</v>
      </c>
      <c r="BX3382">
        <v>11.02</v>
      </c>
      <c r="BY3382">
        <v>9.4700000000000006</v>
      </c>
      <c r="BZ3382">
        <v>20.69</v>
      </c>
      <c r="CA3382" t="s">
        <v>120</v>
      </c>
      <c r="CB3382">
        <v>6.35</v>
      </c>
      <c r="CC3382">
        <v>22.01</v>
      </c>
      <c r="CD3382">
        <v>20.55</v>
      </c>
      <c r="CE3382">
        <v>-2.25</v>
      </c>
      <c r="CF3382">
        <v>0</v>
      </c>
      <c r="CG3382">
        <v>-2.09</v>
      </c>
      <c r="CH3382">
        <v>-1.83</v>
      </c>
      <c r="CI3382">
        <v>-1.74</v>
      </c>
      <c r="CJ3382">
        <v>-0.04</v>
      </c>
      <c r="CK3382">
        <v>-1.84</v>
      </c>
      <c r="CL3382">
        <v>8.77</v>
      </c>
      <c r="CM3382">
        <v>-1.25</v>
      </c>
      <c r="CN3382">
        <v>-2.78</v>
      </c>
      <c r="CO3382">
        <v>23203</v>
      </c>
      <c r="CP3382">
        <v>13819</v>
      </c>
      <c r="CQ3382" t="s">
        <v>177</v>
      </c>
      <c r="CR3382">
        <v>-330.45</v>
      </c>
      <c r="CS3382">
        <v>4.37</v>
      </c>
      <c r="CT3382">
        <v>0.98</v>
      </c>
      <c r="CU3382">
        <v>-17.37</v>
      </c>
      <c r="CV3382">
        <v>0.99</v>
      </c>
      <c r="CW3382">
        <v>0.72</v>
      </c>
      <c r="CX3382" t="s">
        <v>14134</v>
      </c>
      <c r="CY3382">
        <v>3.82</v>
      </c>
      <c r="CZ3382">
        <v>3.82</v>
      </c>
      <c r="DA3382">
        <v>1.0900000000000001</v>
      </c>
      <c r="DB3382">
        <v>1.51</v>
      </c>
      <c r="DC3382">
        <v>-0.22</v>
      </c>
      <c r="DD3382">
        <v>20.21</v>
      </c>
      <c r="DE3382" t="s">
        <v>14454</v>
      </c>
      <c r="DF3382">
        <v>6.61</v>
      </c>
      <c r="DG3382">
        <v>-10.23</v>
      </c>
      <c r="DH3382">
        <v>-7.91</v>
      </c>
      <c r="DI3382">
        <v>0.61</v>
      </c>
      <c r="DJ3382">
        <v>2017</v>
      </c>
      <c r="DK3382">
        <v>603030</v>
      </c>
      <c r="DL3382" t="s">
        <v>120</v>
      </c>
      <c r="DM3382" t="s">
        <v>120</v>
      </c>
      <c r="DN3382" t="s">
        <v>120</v>
      </c>
    </row>
    <row r="3383" spans="1:118">
      <c r="A3383" t="str">
        <f>"603031"</f>
        <v>603031</v>
      </c>
      <c r="B3383" t="s">
        <v>14455</v>
      </c>
      <c r="C3383">
        <v>-2.96</v>
      </c>
      <c r="D3383">
        <v>-0.2</v>
      </c>
      <c r="E3383">
        <v>-2.0299999999999998</v>
      </c>
      <c r="F3383">
        <v>297</v>
      </c>
      <c r="G3383" t="s">
        <v>14456</v>
      </c>
      <c r="H3383">
        <v>8036.22</v>
      </c>
      <c r="I3383">
        <v>43.76</v>
      </c>
      <c r="J3383" t="s">
        <v>120</v>
      </c>
      <c r="K3383" t="s">
        <v>14457</v>
      </c>
      <c r="L3383">
        <v>1.86</v>
      </c>
      <c r="M3383">
        <v>38.700000000000003</v>
      </c>
      <c r="N3383">
        <v>0.55000000000000004</v>
      </c>
      <c r="O3383">
        <v>-0.2</v>
      </c>
      <c r="P3383">
        <v>39.799999999999997</v>
      </c>
      <c r="Q3383">
        <v>-5.22</v>
      </c>
      <c r="R3383">
        <v>37.799999999999997</v>
      </c>
      <c r="S3383">
        <v>39.07</v>
      </c>
      <c r="T3383">
        <v>20884</v>
      </c>
      <c r="U3383">
        <v>38.700000000000003</v>
      </c>
      <c r="V3383">
        <v>39.880000000000003</v>
      </c>
      <c r="W3383" t="s">
        <v>120</v>
      </c>
      <c r="X3383" t="s">
        <v>735</v>
      </c>
      <c r="Y3383" t="s">
        <v>570</v>
      </c>
      <c r="Z3383">
        <v>5.0199999999999996</v>
      </c>
      <c r="AA3383">
        <v>38.479999999999997</v>
      </c>
      <c r="AB3383">
        <v>13205</v>
      </c>
      <c r="AC3383">
        <v>7679</v>
      </c>
      <c r="AD3383">
        <v>1.72</v>
      </c>
      <c r="AE3383">
        <v>51</v>
      </c>
      <c r="AF3383">
        <v>293</v>
      </c>
      <c r="AG3383" t="s">
        <v>120</v>
      </c>
      <c r="AH3383">
        <v>0.02</v>
      </c>
      <c r="AI3383" t="s">
        <v>120</v>
      </c>
      <c r="AJ3383">
        <v>1.1200000000000001</v>
      </c>
      <c r="AK3383" t="s">
        <v>14457</v>
      </c>
      <c r="AL3383">
        <v>-1.62</v>
      </c>
      <c r="AM3383">
        <v>1547</v>
      </c>
      <c r="AN3383">
        <v>13</v>
      </c>
      <c r="AO3383">
        <v>1.1999999999999999E-3</v>
      </c>
      <c r="AP3383">
        <v>-1</v>
      </c>
      <c r="AQ3383">
        <v>1.19</v>
      </c>
      <c r="AR3383">
        <v>-6.3</v>
      </c>
      <c r="AS3383">
        <v>43.6</v>
      </c>
      <c r="AT3383">
        <v>55.61</v>
      </c>
      <c r="AU3383">
        <v>71.08</v>
      </c>
      <c r="AV3383">
        <v>1</v>
      </c>
      <c r="AW3383">
        <v>4.53</v>
      </c>
      <c r="AX3383">
        <v>41.13</v>
      </c>
      <c r="AY3383" t="s">
        <v>120</v>
      </c>
      <c r="AZ3383" t="s">
        <v>120</v>
      </c>
      <c r="BA3383">
        <v>0.43</v>
      </c>
      <c r="BB3383" t="s">
        <v>184</v>
      </c>
      <c r="BF3383">
        <v>-3.51</v>
      </c>
      <c r="BG3383">
        <v>-0.95</v>
      </c>
      <c r="BH3383">
        <v>-2.76</v>
      </c>
      <c r="BI3383">
        <v>2.38</v>
      </c>
      <c r="BJ3383">
        <v>20210827</v>
      </c>
      <c r="BK3383">
        <v>20160822</v>
      </c>
      <c r="BL3383">
        <v>1.1200000000000001</v>
      </c>
      <c r="BM3383" t="s">
        <v>120</v>
      </c>
      <c r="BN3383" t="s">
        <v>120</v>
      </c>
      <c r="BO3383">
        <v>16.989999999999998</v>
      </c>
      <c r="BP3383">
        <v>38.5</v>
      </c>
      <c r="BQ3383">
        <v>6.08</v>
      </c>
      <c r="BR3383" t="s">
        <v>120</v>
      </c>
      <c r="BS3383">
        <v>64.23</v>
      </c>
      <c r="BT3383">
        <v>4.75</v>
      </c>
      <c r="BU3383">
        <v>7.35</v>
      </c>
      <c r="BV3383">
        <v>1.07</v>
      </c>
      <c r="BW3383">
        <v>10.07</v>
      </c>
      <c r="BX3383">
        <v>0.92</v>
      </c>
      <c r="BY3383">
        <v>3.11</v>
      </c>
      <c r="BZ3383">
        <v>0.13</v>
      </c>
      <c r="CA3383">
        <v>0.05</v>
      </c>
      <c r="CB3383">
        <v>2.13</v>
      </c>
      <c r="CC3383">
        <v>8.48</v>
      </c>
      <c r="CD3383">
        <v>6.46</v>
      </c>
      <c r="CE3383">
        <v>-0.06</v>
      </c>
      <c r="CF3383">
        <v>0</v>
      </c>
      <c r="CG3383">
        <v>-0.06</v>
      </c>
      <c r="CH3383">
        <v>-0.06</v>
      </c>
      <c r="CI3383">
        <v>-0.06</v>
      </c>
      <c r="CJ3383">
        <v>-1.18</v>
      </c>
      <c r="CK3383">
        <v>-7.0000000000000007E-2</v>
      </c>
      <c r="CL3383">
        <v>2.75</v>
      </c>
      <c r="CM3383">
        <v>0.25</v>
      </c>
      <c r="CN3383">
        <v>0.04</v>
      </c>
      <c r="CO3383">
        <v>4418</v>
      </c>
      <c r="CP3383">
        <v>10426</v>
      </c>
      <c r="CQ3383" t="s">
        <v>14458</v>
      </c>
      <c r="CR3383">
        <v>-163.30000000000001</v>
      </c>
      <c r="CS3383">
        <v>-0.43</v>
      </c>
      <c r="CT3383">
        <v>7.13</v>
      </c>
      <c r="CU3383">
        <v>172.71</v>
      </c>
      <c r="CV3383">
        <v>5.1100000000000003</v>
      </c>
      <c r="CW3383">
        <v>0</v>
      </c>
      <c r="CX3383" t="s">
        <v>161</v>
      </c>
      <c r="CY3383">
        <v>5.43</v>
      </c>
      <c r="CZ3383">
        <v>0</v>
      </c>
      <c r="DA3383">
        <v>1.9</v>
      </c>
      <c r="DB3383">
        <v>2.4500000000000002</v>
      </c>
      <c r="DC3383">
        <v>0.22</v>
      </c>
      <c r="DD3383">
        <v>35.770000000000003</v>
      </c>
      <c r="DE3383" t="s">
        <v>14459</v>
      </c>
      <c r="DF3383">
        <v>23.78</v>
      </c>
      <c r="DG3383">
        <v>-0.72</v>
      </c>
      <c r="DH3383">
        <v>-0.66</v>
      </c>
      <c r="DI3383" t="s">
        <v>120</v>
      </c>
      <c r="DJ3383">
        <v>3559</v>
      </c>
      <c r="DK3383">
        <v>603031</v>
      </c>
      <c r="DL3383" t="s">
        <v>120</v>
      </c>
      <c r="DM3383" t="s">
        <v>120</v>
      </c>
      <c r="DN3383" t="s">
        <v>120</v>
      </c>
    </row>
    <row r="3384" spans="1:118">
      <c r="A3384" t="str">
        <f>"603033"</f>
        <v>603033</v>
      </c>
      <c r="B3384" t="s">
        <v>14460</v>
      </c>
      <c r="C3384">
        <v>0.66</v>
      </c>
      <c r="D3384">
        <v>-0.1</v>
      </c>
      <c r="E3384">
        <v>1.04</v>
      </c>
      <c r="F3384">
        <v>2032</v>
      </c>
      <c r="G3384" t="s">
        <v>14461</v>
      </c>
      <c r="H3384">
        <v>29784.07</v>
      </c>
      <c r="I3384">
        <v>376.32</v>
      </c>
      <c r="J3384" t="s">
        <v>120</v>
      </c>
      <c r="K3384" t="s">
        <v>14462</v>
      </c>
      <c r="L3384">
        <v>2.3199999999999998</v>
      </c>
      <c r="M3384">
        <v>36.61</v>
      </c>
      <c r="N3384">
        <v>0.79</v>
      </c>
      <c r="O3384">
        <v>4.04</v>
      </c>
      <c r="P3384">
        <v>37.840000000000003</v>
      </c>
      <c r="Q3384">
        <v>-0.8</v>
      </c>
      <c r="R3384">
        <v>36.08</v>
      </c>
      <c r="S3384">
        <v>36.75</v>
      </c>
      <c r="T3384">
        <v>80717</v>
      </c>
      <c r="U3384">
        <v>36.619999999999997</v>
      </c>
      <c r="V3384">
        <v>36.369999999999997</v>
      </c>
      <c r="W3384">
        <v>119.1</v>
      </c>
      <c r="X3384" t="s">
        <v>2306</v>
      </c>
      <c r="Y3384" t="s">
        <v>585</v>
      </c>
      <c r="Z3384">
        <v>4.84</v>
      </c>
      <c r="AA3384">
        <v>36.9</v>
      </c>
      <c r="AB3384">
        <v>40618</v>
      </c>
      <c r="AC3384">
        <v>40099</v>
      </c>
      <c r="AD3384">
        <v>1.01</v>
      </c>
      <c r="AE3384">
        <v>402</v>
      </c>
      <c r="AF3384">
        <v>9</v>
      </c>
      <c r="AG3384" t="s">
        <v>120</v>
      </c>
      <c r="AH3384">
        <v>7.0000000000000007E-2</v>
      </c>
      <c r="AI3384" t="s">
        <v>120</v>
      </c>
      <c r="AJ3384">
        <v>3.48</v>
      </c>
      <c r="AK3384" t="s">
        <v>14463</v>
      </c>
      <c r="AL3384">
        <v>2</v>
      </c>
      <c r="AM3384">
        <v>3481</v>
      </c>
      <c r="AN3384">
        <v>23</v>
      </c>
      <c r="AO3384">
        <v>6.9999999999999999E-4</v>
      </c>
      <c r="AP3384">
        <v>1</v>
      </c>
      <c r="AQ3384">
        <v>-5.8</v>
      </c>
      <c r="AR3384">
        <v>4.3</v>
      </c>
      <c r="AS3384">
        <v>110.16</v>
      </c>
      <c r="AT3384">
        <v>108.96</v>
      </c>
      <c r="AU3384">
        <v>116.63</v>
      </c>
      <c r="AV3384">
        <v>7</v>
      </c>
      <c r="AW3384">
        <v>5.12</v>
      </c>
      <c r="AX3384">
        <v>26.4</v>
      </c>
      <c r="AY3384">
        <v>102.71</v>
      </c>
      <c r="AZ3384">
        <v>102.74</v>
      </c>
      <c r="BA3384">
        <v>0.53</v>
      </c>
      <c r="BB3384" t="s">
        <v>125</v>
      </c>
      <c r="BF3384">
        <v>1.46</v>
      </c>
      <c r="BG3384">
        <v>-0.38</v>
      </c>
      <c r="BH3384">
        <v>-3.25</v>
      </c>
      <c r="BI3384">
        <v>1.47</v>
      </c>
      <c r="BJ3384">
        <v>20210830</v>
      </c>
      <c r="BK3384">
        <v>20161207</v>
      </c>
      <c r="BL3384">
        <v>5.97</v>
      </c>
      <c r="BM3384" t="s">
        <v>120</v>
      </c>
      <c r="BN3384" t="s">
        <v>120</v>
      </c>
      <c r="BO3384">
        <v>55.89</v>
      </c>
      <c r="BP3384">
        <v>36.61</v>
      </c>
      <c r="BQ3384">
        <v>30.21</v>
      </c>
      <c r="BR3384">
        <v>0.46</v>
      </c>
      <c r="BS3384">
        <v>45.13</v>
      </c>
      <c r="BT3384">
        <v>25.57</v>
      </c>
      <c r="BU3384">
        <v>19.71</v>
      </c>
      <c r="BV3384">
        <v>1.78</v>
      </c>
      <c r="BW3384">
        <v>16.61</v>
      </c>
      <c r="BX3384">
        <v>4.16</v>
      </c>
      <c r="BY3384">
        <v>4.9400000000000004</v>
      </c>
      <c r="BZ3384">
        <v>10.039999999999999</v>
      </c>
      <c r="CA3384" t="s">
        <v>120</v>
      </c>
      <c r="CB3384">
        <v>14.16</v>
      </c>
      <c r="CC3384">
        <v>14.66</v>
      </c>
      <c r="CD3384">
        <v>12.24</v>
      </c>
      <c r="CE3384">
        <v>1.26</v>
      </c>
      <c r="CF3384">
        <v>0.32</v>
      </c>
      <c r="CG3384">
        <v>1.22</v>
      </c>
      <c r="CH3384">
        <v>0.97</v>
      </c>
      <c r="CI3384">
        <v>0.92</v>
      </c>
      <c r="CJ3384">
        <v>0.24</v>
      </c>
      <c r="CK3384">
        <v>0.8</v>
      </c>
      <c r="CL3384">
        <v>9.17</v>
      </c>
      <c r="CM3384">
        <v>-0.02</v>
      </c>
      <c r="CN3384">
        <v>0.4</v>
      </c>
      <c r="CO3384">
        <v>6317</v>
      </c>
      <c r="CP3384">
        <v>24937</v>
      </c>
      <c r="CQ3384" t="s">
        <v>14464</v>
      </c>
      <c r="CR3384">
        <v>0.06</v>
      </c>
      <c r="CS3384">
        <v>115.54</v>
      </c>
      <c r="CT3384">
        <v>7.23</v>
      </c>
      <c r="CU3384">
        <v>-9158.7900000000009</v>
      </c>
      <c r="CV3384">
        <v>14.9</v>
      </c>
      <c r="CW3384">
        <v>0.28999999999999998</v>
      </c>
      <c r="CX3384" t="s">
        <v>373</v>
      </c>
      <c r="CY3384">
        <v>5.0599999999999996</v>
      </c>
      <c r="CZ3384">
        <v>0</v>
      </c>
      <c r="DA3384">
        <v>2.37</v>
      </c>
      <c r="DB3384">
        <v>1.54</v>
      </c>
      <c r="DC3384">
        <v>0</v>
      </c>
      <c r="DD3384">
        <v>54.05</v>
      </c>
      <c r="DE3384" t="s">
        <v>10405</v>
      </c>
      <c r="DF3384">
        <v>16.47</v>
      </c>
      <c r="DG3384">
        <v>8.57</v>
      </c>
      <c r="DH3384">
        <v>6.26</v>
      </c>
      <c r="DI3384">
        <v>0.19</v>
      </c>
      <c r="DJ3384">
        <v>2907</v>
      </c>
      <c r="DK3384">
        <v>603033</v>
      </c>
      <c r="DL3384">
        <v>20210902</v>
      </c>
      <c r="DM3384">
        <v>24.38</v>
      </c>
      <c r="DN3384">
        <v>50.16</v>
      </c>
    </row>
    <row r="3385" spans="1:118">
      <c r="A3385" t="str">
        <f>"603035"</f>
        <v>603035</v>
      </c>
      <c r="B3385" t="s">
        <v>14465</v>
      </c>
      <c r="C3385">
        <v>-2.61</v>
      </c>
      <c r="D3385">
        <v>0</v>
      </c>
      <c r="E3385">
        <v>-0.63</v>
      </c>
      <c r="F3385">
        <v>870</v>
      </c>
      <c r="G3385" t="s">
        <v>14466</v>
      </c>
      <c r="H3385">
        <v>13579.62</v>
      </c>
      <c r="I3385">
        <v>32.74</v>
      </c>
      <c r="J3385" t="s">
        <v>120</v>
      </c>
      <c r="K3385" t="s">
        <v>14467</v>
      </c>
      <c r="L3385">
        <v>2.7</v>
      </c>
      <c r="M3385">
        <v>13.83</v>
      </c>
      <c r="N3385">
        <v>0.61</v>
      </c>
      <c r="O3385">
        <v>0.28000000000000003</v>
      </c>
      <c r="P3385">
        <v>14.24</v>
      </c>
      <c r="Q3385">
        <v>-2.96</v>
      </c>
      <c r="R3385">
        <v>13.78</v>
      </c>
      <c r="S3385">
        <v>14.11</v>
      </c>
      <c r="T3385">
        <v>97058</v>
      </c>
      <c r="U3385">
        <v>13.83</v>
      </c>
      <c r="V3385">
        <v>14.2</v>
      </c>
      <c r="W3385">
        <v>11.63</v>
      </c>
      <c r="X3385" t="s">
        <v>289</v>
      </c>
      <c r="Y3385" t="s">
        <v>319</v>
      </c>
      <c r="Z3385">
        <v>3.24</v>
      </c>
      <c r="AA3385">
        <v>13.99</v>
      </c>
      <c r="AB3385">
        <v>63268</v>
      </c>
      <c r="AC3385">
        <v>33790</v>
      </c>
      <c r="AD3385">
        <v>1.87</v>
      </c>
      <c r="AE3385">
        <v>323</v>
      </c>
      <c r="AF3385">
        <v>10</v>
      </c>
      <c r="AG3385" t="s">
        <v>120</v>
      </c>
      <c r="AH3385">
        <v>0.01</v>
      </c>
      <c r="AI3385" t="s">
        <v>120</v>
      </c>
      <c r="AJ3385">
        <v>3.59</v>
      </c>
      <c r="AK3385" t="s">
        <v>14467</v>
      </c>
      <c r="AL3385">
        <v>-1.26</v>
      </c>
      <c r="AM3385">
        <v>2726</v>
      </c>
      <c r="AN3385">
        <v>36</v>
      </c>
      <c r="AO3385">
        <v>1E-3</v>
      </c>
      <c r="AP3385">
        <v>-1</v>
      </c>
      <c r="AQ3385">
        <v>2.5299999999999998</v>
      </c>
      <c r="AR3385">
        <v>-2.19</v>
      </c>
      <c r="AS3385">
        <v>4.1399999999999997</v>
      </c>
      <c r="AT3385">
        <v>-12.8</v>
      </c>
      <c r="AU3385">
        <v>5.0599999999999996</v>
      </c>
      <c r="AV3385">
        <v>4</v>
      </c>
      <c r="AW3385">
        <v>4.03</v>
      </c>
      <c r="AX3385">
        <v>67.12</v>
      </c>
      <c r="AY3385">
        <v>11.22</v>
      </c>
      <c r="AZ3385">
        <v>14.09</v>
      </c>
      <c r="BA3385">
        <v>1</v>
      </c>
      <c r="BB3385" t="s">
        <v>184</v>
      </c>
      <c r="BF3385">
        <v>-1.47</v>
      </c>
      <c r="BG3385">
        <v>-1.98</v>
      </c>
      <c r="BH3385">
        <v>-2.88</v>
      </c>
      <c r="BI3385">
        <v>0.36</v>
      </c>
      <c r="BJ3385">
        <v>20210821</v>
      </c>
      <c r="BK3385">
        <v>20170105</v>
      </c>
      <c r="BL3385">
        <v>3.59</v>
      </c>
      <c r="BM3385" t="s">
        <v>120</v>
      </c>
      <c r="BN3385" t="s">
        <v>120</v>
      </c>
      <c r="BO3385">
        <v>72.02</v>
      </c>
      <c r="BP3385">
        <v>13.82</v>
      </c>
      <c r="BQ3385">
        <v>38.82</v>
      </c>
      <c r="BR3385">
        <v>0.24</v>
      </c>
      <c r="BS3385">
        <v>45.76</v>
      </c>
      <c r="BT3385">
        <v>23.21</v>
      </c>
      <c r="BU3385">
        <v>19.170000000000002</v>
      </c>
      <c r="BV3385">
        <v>2.81</v>
      </c>
      <c r="BW3385">
        <v>25.85</v>
      </c>
      <c r="BX3385">
        <v>5.19</v>
      </c>
      <c r="BY3385">
        <v>4.7699999999999996</v>
      </c>
      <c r="BZ3385">
        <v>7.18</v>
      </c>
      <c r="CA3385">
        <v>0.06</v>
      </c>
      <c r="CB3385">
        <v>18.21</v>
      </c>
      <c r="CC3385">
        <v>12.06</v>
      </c>
      <c r="CD3385">
        <v>9.09</v>
      </c>
      <c r="CE3385">
        <v>2.37</v>
      </c>
      <c r="CF3385">
        <v>1.47</v>
      </c>
      <c r="CG3385">
        <v>2.37</v>
      </c>
      <c r="CH3385">
        <v>2.08</v>
      </c>
      <c r="CI3385">
        <v>2.13</v>
      </c>
      <c r="CJ3385">
        <v>-0.37</v>
      </c>
      <c r="CK3385">
        <v>1.96</v>
      </c>
      <c r="CL3385">
        <v>14.82</v>
      </c>
      <c r="CM3385">
        <v>1.7</v>
      </c>
      <c r="CN3385">
        <v>-0.55000000000000004</v>
      </c>
      <c r="CO3385">
        <v>38859</v>
      </c>
      <c r="CP3385">
        <v>6203</v>
      </c>
      <c r="CQ3385" t="s">
        <v>8341</v>
      </c>
      <c r="CR3385">
        <v>76.58</v>
      </c>
      <c r="CS3385">
        <v>32.770000000000003</v>
      </c>
      <c r="CT3385">
        <v>1.3</v>
      </c>
      <c r="CU3385">
        <v>29.17</v>
      </c>
      <c r="CV3385">
        <v>4.12</v>
      </c>
      <c r="CW3385">
        <v>2.1800000000000002</v>
      </c>
      <c r="CX3385" t="s">
        <v>8995</v>
      </c>
      <c r="CY3385">
        <v>10.68</v>
      </c>
      <c r="CZ3385">
        <v>10.68</v>
      </c>
      <c r="DA3385">
        <v>5.07</v>
      </c>
      <c r="DB3385">
        <v>4.13</v>
      </c>
      <c r="DC3385">
        <v>0.47</v>
      </c>
      <c r="DD3385">
        <v>53.9</v>
      </c>
      <c r="DE3385" t="s">
        <v>14468</v>
      </c>
      <c r="DF3385">
        <v>24.63</v>
      </c>
      <c r="DG3385">
        <v>19.62</v>
      </c>
      <c r="DH3385">
        <v>17.7</v>
      </c>
      <c r="DI3385">
        <v>0.39</v>
      </c>
      <c r="DJ3385">
        <v>3122</v>
      </c>
      <c r="DK3385">
        <v>603035</v>
      </c>
      <c r="DL3385" t="s">
        <v>120</v>
      </c>
      <c r="DM3385" t="s">
        <v>120</v>
      </c>
      <c r="DN3385" t="s">
        <v>120</v>
      </c>
    </row>
    <row r="3386" spans="1:118">
      <c r="A3386" t="str">
        <f>"603036"</f>
        <v>603036</v>
      </c>
      <c r="B3386" t="s">
        <v>14469</v>
      </c>
      <c r="C3386">
        <v>-0.59</v>
      </c>
      <c r="D3386">
        <v>0</v>
      </c>
      <c r="E3386">
        <v>0.7</v>
      </c>
      <c r="F3386">
        <v>68</v>
      </c>
      <c r="G3386" t="s">
        <v>3880</v>
      </c>
      <c r="H3386">
        <v>1899.43</v>
      </c>
      <c r="I3386">
        <v>4.72</v>
      </c>
      <c r="J3386" t="s">
        <v>120</v>
      </c>
      <c r="K3386" t="s">
        <v>6068</v>
      </c>
      <c r="L3386">
        <v>1.0900000000000001</v>
      </c>
      <c r="M3386">
        <v>8.4700000000000006</v>
      </c>
      <c r="N3386">
        <v>1.08</v>
      </c>
      <c r="O3386">
        <v>1.17</v>
      </c>
      <c r="P3386">
        <v>8.6199999999999992</v>
      </c>
      <c r="Q3386">
        <v>-1.06</v>
      </c>
      <c r="R3386">
        <v>8.43</v>
      </c>
      <c r="S3386">
        <v>8.58</v>
      </c>
      <c r="T3386">
        <v>22285</v>
      </c>
      <c r="U3386">
        <v>8.4700000000000006</v>
      </c>
      <c r="V3386">
        <v>8.52</v>
      </c>
      <c r="W3386">
        <v>33.200000000000003</v>
      </c>
      <c r="X3386" t="s">
        <v>675</v>
      </c>
      <c r="Y3386" t="s">
        <v>319</v>
      </c>
      <c r="Z3386">
        <v>2.23</v>
      </c>
      <c r="AA3386">
        <v>8.52</v>
      </c>
      <c r="AB3386">
        <v>10691</v>
      </c>
      <c r="AC3386">
        <v>11594</v>
      </c>
      <c r="AD3386">
        <v>0.92</v>
      </c>
      <c r="AE3386">
        <v>153</v>
      </c>
      <c r="AF3386">
        <v>86</v>
      </c>
      <c r="AG3386" t="s">
        <v>120</v>
      </c>
      <c r="AH3386">
        <v>0</v>
      </c>
      <c r="AI3386" t="s">
        <v>120</v>
      </c>
      <c r="AJ3386">
        <v>2.04</v>
      </c>
      <c r="AK3386" t="s">
        <v>9742</v>
      </c>
      <c r="AL3386">
        <v>0.76</v>
      </c>
      <c r="AM3386">
        <v>831</v>
      </c>
      <c r="AN3386">
        <v>27</v>
      </c>
      <c r="AO3386">
        <v>1.2999999999999999E-3</v>
      </c>
      <c r="AP3386">
        <v>-1</v>
      </c>
      <c r="AQ3386">
        <v>1.55</v>
      </c>
      <c r="AR3386">
        <v>0.59</v>
      </c>
      <c r="AS3386">
        <v>10.58</v>
      </c>
      <c r="AT3386">
        <v>-1.51</v>
      </c>
      <c r="AU3386">
        <v>1.44</v>
      </c>
      <c r="AV3386">
        <v>0</v>
      </c>
      <c r="AW3386">
        <v>1.36</v>
      </c>
      <c r="AX3386">
        <v>79.16</v>
      </c>
      <c r="AY3386">
        <v>27</v>
      </c>
      <c r="AZ3386">
        <v>25.97</v>
      </c>
      <c r="BA3386">
        <v>0.79</v>
      </c>
      <c r="BB3386" t="s">
        <v>168</v>
      </c>
      <c r="BF3386">
        <v>0.04</v>
      </c>
      <c r="BG3386">
        <v>-1.28</v>
      </c>
      <c r="BH3386">
        <v>-1.74</v>
      </c>
      <c r="BI3386">
        <v>0.47</v>
      </c>
      <c r="BJ3386">
        <v>20210816</v>
      </c>
      <c r="BK3386">
        <v>20161209</v>
      </c>
      <c r="BL3386">
        <v>2.0699999999999998</v>
      </c>
      <c r="BM3386" t="s">
        <v>120</v>
      </c>
      <c r="BN3386" t="s">
        <v>120</v>
      </c>
      <c r="BO3386">
        <v>12.66</v>
      </c>
      <c r="BP3386">
        <v>8.4600000000000009</v>
      </c>
      <c r="BQ3386">
        <v>11.14</v>
      </c>
      <c r="BR3386">
        <v>0.18</v>
      </c>
      <c r="BS3386">
        <v>10.6</v>
      </c>
      <c r="BT3386">
        <v>10.65</v>
      </c>
      <c r="BU3386">
        <v>1.28</v>
      </c>
      <c r="BV3386">
        <v>0.38</v>
      </c>
      <c r="BW3386">
        <v>1.1499999999999999</v>
      </c>
      <c r="BX3386">
        <v>2.4</v>
      </c>
      <c r="BY3386">
        <v>1.8</v>
      </c>
      <c r="BZ3386">
        <v>1.79</v>
      </c>
      <c r="CA3386" t="s">
        <v>120</v>
      </c>
      <c r="CB3386">
        <v>4.41</v>
      </c>
      <c r="CC3386">
        <v>1.27</v>
      </c>
      <c r="CD3386">
        <v>0.65</v>
      </c>
      <c r="CE3386">
        <v>0.31</v>
      </c>
      <c r="CF3386">
        <v>0.04</v>
      </c>
      <c r="CG3386">
        <v>0.31</v>
      </c>
      <c r="CH3386">
        <v>0.26</v>
      </c>
      <c r="CI3386">
        <v>0.26</v>
      </c>
      <c r="CJ3386">
        <v>-0.05</v>
      </c>
      <c r="CK3386">
        <v>0.22</v>
      </c>
      <c r="CL3386">
        <v>4.18</v>
      </c>
      <c r="CM3386">
        <v>0.25</v>
      </c>
      <c r="CN3386">
        <v>-1.54</v>
      </c>
      <c r="CO3386">
        <v>15443</v>
      </c>
      <c r="CP3386">
        <v>10594</v>
      </c>
      <c r="CQ3386" t="s">
        <v>14470</v>
      </c>
      <c r="CR3386">
        <v>-8.98</v>
      </c>
      <c r="CS3386">
        <v>-3.31</v>
      </c>
      <c r="CT3386">
        <v>1.57</v>
      </c>
      <c r="CU3386">
        <v>70.8</v>
      </c>
      <c r="CV3386">
        <v>13.83</v>
      </c>
      <c r="CW3386">
        <v>1.76</v>
      </c>
      <c r="CX3386" t="s">
        <v>986</v>
      </c>
      <c r="CY3386">
        <v>5.39</v>
      </c>
      <c r="CZ3386">
        <v>0</v>
      </c>
      <c r="DA3386">
        <v>2.13</v>
      </c>
      <c r="DB3386">
        <v>2.02</v>
      </c>
      <c r="DC3386">
        <v>0.12</v>
      </c>
      <c r="DD3386">
        <v>87.98</v>
      </c>
      <c r="DE3386" t="s">
        <v>8156</v>
      </c>
      <c r="DF3386">
        <v>48.29</v>
      </c>
      <c r="DG3386">
        <v>24.29</v>
      </c>
      <c r="DH3386">
        <v>20.82</v>
      </c>
      <c r="DI3386">
        <v>0.06</v>
      </c>
      <c r="DJ3386">
        <v>604</v>
      </c>
      <c r="DK3386">
        <v>603036</v>
      </c>
      <c r="DL3386" t="s">
        <v>120</v>
      </c>
      <c r="DM3386" t="s">
        <v>120</v>
      </c>
      <c r="DN3386" t="s">
        <v>120</v>
      </c>
    </row>
    <row r="3387" spans="1:118">
      <c r="A3387" t="str">
        <f>"603037"</f>
        <v>603037</v>
      </c>
      <c r="B3387" t="s">
        <v>14471</v>
      </c>
      <c r="C3387">
        <v>-0.87</v>
      </c>
      <c r="D3387">
        <v>0</v>
      </c>
      <c r="E3387">
        <v>0.52</v>
      </c>
      <c r="F3387">
        <v>123</v>
      </c>
      <c r="G3387" t="s">
        <v>6768</v>
      </c>
      <c r="H3387">
        <v>2189.96</v>
      </c>
      <c r="I3387">
        <v>6.61</v>
      </c>
      <c r="J3387" t="s">
        <v>120</v>
      </c>
      <c r="K3387" t="s">
        <v>7766</v>
      </c>
      <c r="L3387">
        <v>1.19</v>
      </c>
      <c r="M3387">
        <v>17.16</v>
      </c>
      <c r="N3387">
        <v>1.1299999999999999</v>
      </c>
      <c r="O3387">
        <v>3</v>
      </c>
      <c r="P3387">
        <v>17.829999999999998</v>
      </c>
      <c r="Q3387">
        <v>-1.79</v>
      </c>
      <c r="R3387">
        <v>17</v>
      </c>
      <c r="S3387">
        <v>17.399999999999999</v>
      </c>
      <c r="T3387">
        <v>12500</v>
      </c>
      <c r="U3387">
        <v>17.16</v>
      </c>
      <c r="V3387">
        <v>17.309999999999999</v>
      </c>
      <c r="W3387">
        <v>20.66</v>
      </c>
      <c r="X3387" t="s">
        <v>289</v>
      </c>
      <c r="Y3387" t="s">
        <v>1510</v>
      </c>
      <c r="Z3387">
        <v>4.79</v>
      </c>
      <c r="AA3387">
        <v>17.52</v>
      </c>
      <c r="AB3387">
        <v>5888</v>
      </c>
      <c r="AC3387">
        <v>6612</v>
      </c>
      <c r="AD3387">
        <v>0.89</v>
      </c>
      <c r="AE3387">
        <v>166</v>
      </c>
      <c r="AF3387">
        <v>11</v>
      </c>
      <c r="AG3387" t="s">
        <v>120</v>
      </c>
      <c r="AH3387">
        <v>0.01</v>
      </c>
      <c r="AI3387" t="s">
        <v>120</v>
      </c>
      <c r="AJ3387">
        <v>1.05</v>
      </c>
      <c r="AK3387" t="s">
        <v>7766</v>
      </c>
      <c r="AL3387">
        <v>0.48</v>
      </c>
      <c r="AM3387">
        <v>1054</v>
      </c>
      <c r="AN3387">
        <v>12</v>
      </c>
      <c r="AO3387">
        <v>1.1000000000000001E-3</v>
      </c>
      <c r="AP3387">
        <v>-1</v>
      </c>
      <c r="AQ3387">
        <v>0.99</v>
      </c>
      <c r="AR3387">
        <v>-2.56</v>
      </c>
      <c r="AS3387">
        <v>1.35</v>
      </c>
      <c r="AT3387">
        <v>8.4</v>
      </c>
      <c r="AU3387">
        <v>10.220000000000001</v>
      </c>
      <c r="AV3387">
        <v>0</v>
      </c>
      <c r="AW3387">
        <v>1.87</v>
      </c>
      <c r="AX3387">
        <v>63.85</v>
      </c>
      <c r="AY3387">
        <v>18.09</v>
      </c>
      <c r="AZ3387">
        <v>21.95</v>
      </c>
      <c r="BA3387">
        <v>0.45</v>
      </c>
      <c r="BB3387" t="s">
        <v>143</v>
      </c>
      <c r="BF3387">
        <v>1.21</v>
      </c>
      <c r="BG3387">
        <v>-1.38</v>
      </c>
      <c r="BH3387">
        <v>-3.76</v>
      </c>
      <c r="BI3387">
        <v>0.94</v>
      </c>
      <c r="BJ3387">
        <v>20210824</v>
      </c>
      <c r="BK3387">
        <v>20170120</v>
      </c>
      <c r="BL3387">
        <v>1.05</v>
      </c>
      <c r="BM3387" t="s">
        <v>120</v>
      </c>
      <c r="BN3387" t="s">
        <v>120</v>
      </c>
      <c r="BO3387">
        <v>9.86</v>
      </c>
      <c r="BP3387">
        <v>17.149999999999999</v>
      </c>
      <c r="BQ3387">
        <v>9.1199999999999992</v>
      </c>
      <c r="BR3387">
        <v>0.02</v>
      </c>
      <c r="BS3387">
        <v>7.31</v>
      </c>
      <c r="BT3387">
        <v>6.47</v>
      </c>
      <c r="BU3387">
        <v>1.93</v>
      </c>
      <c r="BV3387">
        <v>0.34</v>
      </c>
      <c r="BW3387">
        <v>0.64</v>
      </c>
      <c r="BX3387">
        <v>1.61</v>
      </c>
      <c r="BY3387">
        <v>1.1000000000000001</v>
      </c>
      <c r="BZ3387">
        <v>1.44</v>
      </c>
      <c r="CA3387" t="s">
        <v>120</v>
      </c>
      <c r="CB3387">
        <v>4.5199999999999996</v>
      </c>
      <c r="CC3387">
        <v>2.5099999999999998</v>
      </c>
      <c r="CD3387">
        <v>1.59</v>
      </c>
      <c r="CE3387">
        <v>0.52</v>
      </c>
      <c r="CF3387">
        <v>0.02</v>
      </c>
      <c r="CG3387">
        <v>0.52</v>
      </c>
      <c r="CH3387">
        <v>0.44</v>
      </c>
      <c r="CI3387">
        <v>0.44</v>
      </c>
      <c r="CJ3387">
        <v>-0.15</v>
      </c>
      <c r="CK3387">
        <v>0.4</v>
      </c>
      <c r="CL3387">
        <v>3.03</v>
      </c>
      <c r="CM3387">
        <v>0.27</v>
      </c>
      <c r="CN3387">
        <v>-1.72</v>
      </c>
      <c r="CO3387">
        <v>9431</v>
      </c>
      <c r="CP3387">
        <v>7102</v>
      </c>
      <c r="CQ3387" t="s">
        <v>2538</v>
      </c>
      <c r="CR3387">
        <v>68.09</v>
      </c>
      <c r="CS3387">
        <v>23.7</v>
      </c>
      <c r="CT3387">
        <v>1.97</v>
      </c>
      <c r="CU3387">
        <v>66.510000000000005</v>
      </c>
      <c r="CV3387">
        <v>7.17</v>
      </c>
      <c r="CW3387">
        <v>3.47</v>
      </c>
      <c r="CX3387" t="s">
        <v>1327</v>
      </c>
      <c r="CY3387">
        <v>8.6999999999999993</v>
      </c>
      <c r="CZ3387">
        <v>0</v>
      </c>
      <c r="DA3387">
        <v>4.3099999999999996</v>
      </c>
      <c r="DB3387">
        <v>2.89</v>
      </c>
      <c r="DC3387">
        <v>0.26</v>
      </c>
      <c r="DD3387">
        <v>92.53</v>
      </c>
      <c r="DE3387" t="s">
        <v>649</v>
      </c>
      <c r="DF3387">
        <v>36.72</v>
      </c>
      <c r="DG3387">
        <v>20.56</v>
      </c>
      <c r="DH3387">
        <v>17.34</v>
      </c>
      <c r="DI3387">
        <v>0.21</v>
      </c>
      <c r="DJ3387">
        <v>561</v>
      </c>
      <c r="DK3387">
        <v>603037</v>
      </c>
      <c r="DL3387" t="s">
        <v>120</v>
      </c>
      <c r="DM3387" t="s">
        <v>120</v>
      </c>
      <c r="DN3387" t="s">
        <v>120</v>
      </c>
    </row>
    <row r="3388" spans="1:118">
      <c r="A3388" t="str">
        <f>"603038"</f>
        <v>603038</v>
      </c>
      <c r="B3388" t="s">
        <v>14472</v>
      </c>
      <c r="C3388">
        <v>-0.36</v>
      </c>
      <c r="D3388">
        <v>0</v>
      </c>
      <c r="E3388">
        <v>-0.09</v>
      </c>
      <c r="F3388">
        <v>182</v>
      </c>
      <c r="G3388" t="s">
        <v>9234</v>
      </c>
      <c r="H3388">
        <v>1126.6099999999999</v>
      </c>
      <c r="I3388">
        <v>7.17</v>
      </c>
      <c r="J3388" t="s">
        <v>120</v>
      </c>
      <c r="K3388" t="s">
        <v>14473</v>
      </c>
      <c r="L3388">
        <v>0.55000000000000004</v>
      </c>
      <c r="M3388">
        <v>11.18</v>
      </c>
      <c r="N3388">
        <v>0.9</v>
      </c>
      <c r="O3388">
        <v>1.07</v>
      </c>
      <c r="P3388">
        <v>11.34</v>
      </c>
      <c r="Q3388">
        <v>-1.6</v>
      </c>
      <c r="R3388">
        <v>11.04</v>
      </c>
      <c r="S3388">
        <v>11.21</v>
      </c>
      <c r="T3388">
        <v>10108</v>
      </c>
      <c r="U3388">
        <v>11.18</v>
      </c>
      <c r="V3388">
        <v>11.22</v>
      </c>
      <c r="W3388">
        <v>53.72</v>
      </c>
      <c r="X3388" t="s">
        <v>3122</v>
      </c>
      <c r="Y3388" t="s">
        <v>547</v>
      </c>
      <c r="Z3388">
        <v>2.67</v>
      </c>
      <c r="AA3388">
        <v>11.15</v>
      </c>
      <c r="AB3388">
        <v>5826</v>
      </c>
      <c r="AC3388">
        <v>4282</v>
      </c>
      <c r="AD3388">
        <v>1.36</v>
      </c>
      <c r="AE3388">
        <v>117</v>
      </c>
      <c r="AF3388">
        <v>23</v>
      </c>
      <c r="AG3388" t="s">
        <v>120</v>
      </c>
      <c r="AH3388">
        <v>0.01</v>
      </c>
      <c r="AI3388" t="s">
        <v>120</v>
      </c>
      <c r="AJ3388">
        <v>1.84</v>
      </c>
      <c r="AK3388" t="s">
        <v>10033</v>
      </c>
      <c r="AL3388">
        <v>0.99</v>
      </c>
      <c r="AM3388">
        <v>726</v>
      </c>
      <c r="AN3388">
        <v>14</v>
      </c>
      <c r="AO3388">
        <v>8.0000000000000004E-4</v>
      </c>
      <c r="AP3388">
        <v>-1</v>
      </c>
      <c r="AQ3388">
        <v>0.27</v>
      </c>
      <c r="AR3388">
        <v>-2.2799999999999998</v>
      </c>
      <c r="AS3388">
        <v>-4.4400000000000004</v>
      </c>
      <c r="AT3388">
        <v>-9.32</v>
      </c>
      <c r="AU3388">
        <v>26.76</v>
      </c>
      <c r="AV3388">
        <v>2</v>
      </c>
      <c r="AW3388">
        <v>1.72</v>
      </c>
      <c r="AX3388">
        <v>28.49</v>
      </c>
      <c r="AY3388">
        <v>32.78</v>
      </c>
      <c r="AZ3388">
        <v>68.25</v>
      </c>
      <c r="BA3388">
        <v>0.76</v>
      </c>
      <c r="BB3388" t="s">
        <v>143</v>
      </c>
      <c r="BF3388">
        <v>-0.66</v>
      </c>
      <c r="BG3388">
        <v>-0.27</v>
      </c>
      <c r="BH3388">
        <v>-1.41</v>
      </c>
      <c r="BI3388">
        <v>1.27</v>
      </c>
      <c r="BJ3388">
        <v>20210827</v>
      </c>
      <c r="BK3388">
        <v>20170116</v>
      </c>
      <c r="BL3388">
        <v>2.0699999999999998</v>
      </c>
      <c r="BM3388" t="s">
        <v>120</v>
      </c>
      <c r="BN3388" t="s">
        <v>120</v>
      </c>
      <c r="BO3388">
        <v>17.22</v>
      </c>
      <c r="BP3388">
        <v>11.13</v>
      </c>
      <c r="BQ3388">
        <v>10.83</v>
      </c>
      <c r="BR3388">
        <v>0.2</v>
      </c>
      <c r="BS3388">
        <v>35.92</v>
      </c>
      <c r="BT3388">
        <v>7.47</v>
      </c>
      <c r="BU3388">
        <v>3.18</v>
      </c>
      <c r="BV3388">
        <v>1.82</v>
      </c>
      <c r="BW3388">
        <v>4.55</v>
      </c>
      <c r="BX3388">
        <v>1.4</v>
      </c>
      <c r="BY3388">
        <v>1.41</v>
      </c>
      <c r="BZ3388">
        <v>0.86</v>
      </c>
      <c r="CA3388">
        <v>0.01</v>
      </c>
      <c r="CB3388">
        <v>2.3199999999999998</v>
      </c>
      <c r="CC3388">
        <v>5.76</v>
      </c>
      <c r="CD3388">
        <v>5.09</v>
      </c>
      <c r="CE3388">
        <v>0.2</v>
      </c>
      <c r="CF3388">
        <v>0.01</v>
      </c>
      <c r="CG3388">
        <v>0.2</v>
      </c>
      <c r="CH3388">
        <v>0.21</v>
      </c>
      <c r="CI3388">
        <v>0.22</v>
      </c>
      <c r="CJ3388">
        <v>-0.04</v>
      </c>
      <c r="CK3388">
        <v>0.11</v>
      </c>
      <c r="CL3388">
        <v>6.22</v>
      </c>
      <c r="CM3388">
        <v>-0.61</v>
      </c>
      <c r="CN3388">
        <v>-0.56999999999999995</v>
      </c>
      <c r="CO3388">
        <v>6040</v>
      </c>
      <c r="CP3388">
        <v>9749</v>
      </c>
      <c r="CQ3388" t="s">
        <v>14474</v>
      </c>
      <c r="CR3388">
        <v>240.98</v>
      </c>
      <c r="CS3388">
        <v>90.83</v>
      </c>
      <c r="CT3388">
        <v>1.9</v>
      </c>
      <c r="CU3388">
        <v>-37.869999999999997</v>
      </c>
      <c r="CV3388">
        <v>4.01</v>
      </c>
      <c r="CW3388">
        <v>0.87</v>
      </c>
      <c r="CX3388" t="s">
        <v>850</v>
      </c>
      <c r="CY3388">
        <v>5.88</v>
      </c>
      <c r="CZ3388">
        <v>5.88</v>
      </c>
      <c r="DA3388">
        <v>1.1200000000000001</v>
      </c>
      <c r="DB3388">
        <v>3.01</v>
      </c>
      <c r="DC3388">
        <v>-0.3</v>
      </c>
      <c r="DD3388">
        <v>62.92</v>
      </c>
      <c r="DE3388" t="s">
        <v>3516</v>
      </c>
      <c r="DF3388">
        <v>11.63</v>
      </c>
      <c r="DG3388">
        <v>3.5</v>
      </c>
      <c r="DH3388">
        <v>3.73</v>
      </c>
      <c r="DI3388">
        <v>0.14000000000000001</v>
      </c>
      <c r="DJ3388">
        <v>944</v>
      </c>
      <c r="DK3388">
        <v>603038</v>
      </c>
      <c r="DL3388" t="s">
        <v>120</v>
      </c>
      <c r="DM3388" t="s">
        <v>120</v>
      </c>
      <c r="DN3388" t="s">
        <v>120</v>
      </c>
    </row>
    <row r="3389" spans="1:118">
      <c r="A3389" t="str">
        <f>"603039"</f>
        <v>603039</v>
      </c>
      <c r="B3389" t="s">
        <v>14475</v>
      </c>
      <c r="C3389">
        <v>1.74</v>
      </c>
      <c r="D3389">
        <v>0.99</v>
      </c>
      <c r="E3389">
        <v>0.4</v>
      </c>
      <c r="F3389">
        <v>546</v>
      </c>
      <c r="G3389" t="s">
        <v>14476</v>
      </c>
      <c r="H3389">
        <v>7482.25</v>
      </c>
      <c r="I3389">
        <v>8.5500000000000007</v>
      </c>
      <c r="J3389" t="s">
        <v>120</v>
      </c>
      <c r="K3389" t="s">
        <v>14477</v>
      </c>
      <c r="L3389">
        <v>0.43</v>
      </c>
      <c r="M3389">
        <v>66.64</v>
      </c>
      <c r="N3389">
        <v>1.26</v>
      </c>
      <c r="O3389">
        <v>4.43</v>
      </c>
      <c r="P3389">
        <v>68.400000000000006</v>
      </c>
      <c r="Q3389">
        <v>0.18</v>
      </c>
      <c r="R3389">
        <v>65.62</v>
      </c>
      <c r="S3389">
        <v>65.760000000000005</v>
      </c>
      <c r="T3389">
        <v>11172</v>
      </c>
      <c r="U3389">
        <v>66.650000000000006</v>
      </c>
      <c r="V3389">
        <v>65.5</v>
      </c>
      <c r="W3389">
        <v>75.45</v>
      </c>
      <c r="X3389" t="s">
        <v>141</v>
      </c>
      <c r="Y3389" t="s">
        <v>1510</v>
      </c>
      <c r="Z3389">
        <v>4.24</v>
      </c>
      <c r="AA3389">
        <v>66.97</v>
      </c>
      <c r="AB3389">
        <v>4917</v>
      </c>
      <c r="AC3389">
        <v>6255</v>
      </c>
      <c r="AD3389">
        <v>0.79</v>
      </c>
      <c r="AE3389">
        <v>305</v>
      </c>
      <c r="AF3389">
        <v>127</v>
      </c>
      <c r="AG3389" t="s">
        <v>120</v>
      </c>
      <c r="AH3389">
        <v>0</v>
      </c>
      <c r="AI3389" t="s">
        <v>120</v>
      </c>
      <c r="AJ3389">
        <v>2.57</v>
      </c>
      <c r="AK3389" t="s">
        <v>7703</v>
      </c>
      <c r="AL3389">
        <v>3.08</v>
      </c>
      <c r="AM3389">
        <v>2141</v>
      </c>
      <c r="AN3389">
        <v>5</v>
      </c>
      <c r="AO3389">
        <v>2.0000000000000001E-4</v>
      </c>
      <c r="AP3389">
        <v>1</v>
      </c>
      <c r="AQ3389">
        <v>-2.06</v>
      </c>
      <c r="AR3389">
        <v>-2.1800000000000002</v>
      </c>
      <c r="AS3389">
        <v>-1.57</v>
      </c>
      <c r="AT3389">
        <v>-1.57</v>
      </c>
      <c r="AU3389">
        <v>-20.67</v>
      </c>
      <c r="AV3389">
        <v>4</v>
      </c>
      <c r="AW3389">
        <v>0.9</v>
      </c>
      <c r="AX3389">
        <v>47.37</v>
      </c>
      <c r="AY3389">
        <v>58</v>
      </c>
      <c r="AZ3389">
        <v>74.36</v>
      </c>
      <c r="BA3389">
        <v>1.06</v>
      </c>
      <c r="BB3389" t="s">
        <v>134</v>
      </c>
      <c r="BF3389">
        <v>2.25</v>
      </c>
      <c r="BG3389">
        <v>1.34</v>
      </c>
      <c r="BH3389">
        <v>-2.57</v>
      </c>
      <c r="BI3389">
        <v>1.55</v>
      </c>
      <c r="BJ3389">
        <v>20210827</v>
      </c>
      <c r="BK3389">
        <v>20170113</v>
      </c>
      <c r="BL3389">
        <v>2.61</v>
      </c>
      <c r="BM3389" t="s">
        <v>120</v>
      </c>
      <c r="BN3389" t="s">
        <v>120</v>
      </c>
      <c r="BO3389">
        <v>29.01</v>
      </c>
      <c r="BP3389">
        <v>66.64</v>
      </c>
      <c r="BQ3389">
        <v>16.47</v>
      </c>
      <c r="BR3389" t="s">
        <v>120</v>
      </c>
      <c r="BS3389">
        <v>43.24</v>
      </c>
      <c r="BT3389">
        <v>23.94</v>
      </c>
      <c r="BU3389">
        <v>0.85</v>
      </c>
      <c r="BV3389">
        <v>0.18</v>
      </c>
      <c r="BW3389">
        <v>12.45</v>
      </c>
      <c r="BX3389">
        <v>16.89</v>
      </c>
      <c r="BY3389">
        <v>0.23</v>
      </c>
      <c r="BZ3389">
        <v>1.1000000000000001</v>
      </c>
      <c r="CA3389">
        <v>0.01</v>
      </c>
      <c r="CB3389">
        <v>5.72</v>
      </c>
      <c r="CC3389">
        <v>6.98</v>
      </c>
      <c r="CD3389">
        <v>0.27</v>
      </c>
      <c r="CE3389">
        <v>1.2</v>
      </c>
      <c r="CF3389">
        <v>0.21</v>
      </c>
      <c r="CG3389">
        <v>1.24</v>
      </c>
      <c r="CH3389">
        <v>1.1499999999999999</v>
      </c>
      <c r="CI3389">
        <v>1.1499999999999999</v>
      </c>
      <c r="CJ3389">
        <v>1.1399999999999999</v>
      </c>
      <c r="CK3389">
        <v>0.56000000000000005</v>
      </c>
      <c r="CL3389">
        <v>7.59</v>
      </c>
      <c r="CM3389">
        <v>0.31</v>
      </c>
      <c r="CN3389">
        <v>-0.31</v>
      </c>
      <c r="CO3389">
        <v>8501</v>
      </c>
      <c r="CP3389">
        <v>14523</v>
      </c>
      <c r="CQ3389" t="s">
        <v>14478</v>
      </c>
      <c r="CR3389">
        <v>128.79</v>
      </c>
      <c r="CS3389">
        <v>30.96</v>
      </c>
      <c r="CT3389">
        <v>10.55</v>
      </c>
      <c r="CU3389">
        <v>552.77</v>
      </c>
      <c r="CV3389">
        <v>24.87</v>
      </c>
      <c r="CW3389">
        <v>0.19</v>
      </c>
      <c r="CX3389" t="s">
        <v>1520</v>
      </c>
      <c r="CY3389">
        <v>6.32</v>
      </c>
      <c r="CZ3389">
        <v>0</v>
      </c>
      <c r="DA3389">
        <v>2.2000000000000002</v>
      </c>
      <c r="DB3389">
        <v>2.91</v>
      </c>
      <c r="DC3389">
        <v>0.12</v>
      </c>
      <c r="DD3389">
        <v>56.76</v>
      </c>
      <c r="DE3389" t="s">
        <v>14479</v>
      </c>
      <c r="DF3389">
        <v>96.08</v>
      </c>
      <c r="DG3389">
        <v>17.14</v>
      </c>
      <c r="DH3389">
        <v>16.489999999999998</v>
      </c>
      <c r="DI3389">
        <v>1.1200000000000001</v>
      </c>
      <c r="DJ3389">
        <v>1302</v>
      </c>
      <c r="DK3389">
        <v>603039</v>
      </c>
      <c r="DL3389" t="s">
        <v>120</v>
      </c>
      <c r="DM3389" t="s">
        <v>120</v>
      </c>
      <c r="DN3389" t="s">
        <v>120</v>
      </c>
    </row>
    <row r="3390" spans="1:118">
      <c r="A3390" t="str">
        <f>"603040"</f>
        <v>603040</v>
      </c>
      <c r="B3390" t="s">
        <v>14480</v>
      </c>
      <c r="C3390">
        <v>-1.74</v>
      </c>
      <c r="D3390">
        <v>-0.03</v>
      </c>
      <c r="E3390">
        <v>1.0900000000000001</v>
      </c>
      <c r="F3390">
        <v>149</v>
      </c>
      <c r="G3390" t="s">
        <v>7052</v>
      </c>
      <c r="H3390">
        <v>3198.31</v>
      </c>
      <c r="I3390">
        <v>15.54</v>
      </c>
      <c r="J3390" t="s">
        <v>120</v>
      </c>
      <c r="K3390" t="s">
        <v>7945</v>
      </c>
      <c r="L3390">
        <v>1.06</v>
      </c>
      <c r="M3390">
        <v>22.54</v>
      </c>
      <c r="N3390">
        <v>0.85</v>
      </c>
      <c r="O3390">
        <v>1.0900000000000001</v>
      </c>
      <c r="P3390">
        <v>23.19</v>
      </c>
      <c r="Q3390">
        <v>-3.14</v>
      </c>
      <c r="R3390">
        <v>22.22</v>
      </c>
      <c r="S3390">
        <v>23.19</v>
      </c>
      <c r="T3390">
        <v>14150</v>
      </c>
      <c r="U3390">
        <v>22.54</v>
      </c>
      <c r="V3390">
        <v>22.94</v>
      </c>
      <c r="W3390">
        <v>19.649999999999999</v>
      </c>
      <c r="X3390" t="s">
        <v>959</v>
      </c>
      <c r="Y3390" t="s">
        <v>585</v>
      </c>
      <c r="Z3390">
        <v>4.2300000000000004</v>
      </c>
      <c r="AA3390">
        <v>22.6</v>
      </c>
      <c r="AB3390">
        <v>8852</v>
      </c>
      <c r="AC3390">
        <v>5298</v>
      </c>
      <c r="AD3390">
        <v>1.67</v>
      </c>
      <c r="AE3390">
        <v>10</v>
      </c>
      <c r="AF3390">
        <v>88</v>
      </c>
      <c r="AG3390" t="s">
        <v>120</v>
      </c>
      <c r="AH3390">
        <v>0.01</v>
      </c>
      <c r="AI3390" t="s">
        <v>120</v>
      </c>
      <c r="AJ3390">
        <v>1.34</v>
      </c>
      <c r="AK3390" t="s">
        <v>7945</v>
      </c>
      <c r="AL3390">
        <v>-0.4</v>
      </c>
      <c r="AM3390">
        <v>1147</v>
      </c>
      <c r="AN3390">
        <v>12</v>
      </c>
      <c r="AO3390">
        <v>8.9999999999999998E-4</v>
      </c>
      <c r="AP3390">
        <v>-2</v>
      </c>
      <c r="AQ3390">
        <v>-0.91</v>
      </c>
      <c r="AR3390">
        <v>0</v>
      </c>
      <c r="AS3390">
        <v>17.399999999999999</v>
      </c>
      <c r="AT3390">
        <v>8.6199999999999992</v>
      </c>
      <c r="AU3390">
        <v>6.47</v>
      </c>
      <c r="AV3390">
        <v>1</v>
      </c>
      <c r="AW3390">
        <v>2.1800000000000002</v>
      </c>
      <c r="AX3390">
        <v>48.35</v>
      </c>
      <c r="AY3390">
        <v>19.13</v>
      </c>
      <c r="AZ3390">
        <v>20.71</v>
      </c>
      <c r="BA3390">
        <v>0.72</v>
      </c>
      <c r="BB3390" t="s">
        <v>143</v>
      </c>
      <c r="BF3390">
        <v>-1.47</v>
      </c>
      <c r="BG3390">
        <v>-2.8</v>
      </c>
      <c r="BH3390">
        <v>-2.8</v>
      </c>
      <c r="BI3390">
        <v>1.44</v>
      </c>
      <c r="BJ3390">
        <v>20210827</v>
      </c>
      <c r="BK3390">
        <v>20170209</v>
      </c>
      <c r="BL3390">
        <v>1.34</v>
      </c>
      <c r="BM3390" t="s">
        <v>120</v>
      </c>
      <c r="BN3390" t="s">
        <v>120</v>
      </c>
      <c r="BO3390">
        <v>10.3</v>
      </c>
      <c r="BP3390">
        <v>22.51</v>
      </c>
      <c r="BQ3390">
        <v>9.08</v>
      </c>
      <c r="BR3390">
        <v>0.25</v>
      </c>
      <c r="BS3390">
        <v>9.3800000000000008</v>
      </c>
      <c r="BT3390">
        <v>5.34</v>
      </c>
      <c r="BU3390">
        <v>2.36</v>
      </c>
      <c r="BV3390">
        <v>0.72</v>
      </c>
      <c r="BW3390">
        <v>0.78</v>
      </c>
      <c r="BX3390">
        <v>0.99</v>
      </c>
      <c r="BY3390">
        <v>0.84</v>
      </c>
      <c r="BZ3390">
        <v>0.67</v>
      </c>
      <c r="CA3390" t="s">
        <v>120</v>
      </c>
      <c r="CB3390">
        <v>2.11</v>
      </c>
      <c r="CC3390">
        <v>2.14</v>
      </c>
      <c r="CD3390">
        <v>0.77</v>
      </c>
      <c r="CE3390">
        <v>0.95</v>
      </c>
      <c r="CF3390">
        <v>0.01</v>
      </c>
      <c r="CG3390">
        <v>0.95</v>
      </c>
      <c r="CH3390">
        <v>0.81</v>
      </c>
      <c r="CI3390">
        <v>0.77</v>
      </c>
      <c r="CJ3390">
        <v>-0.4</v>
      </c>
      <c r="CK3390">
        <v>0.72</v>
      </c>
      <c r="CL3390">
        <v>5.28</v>
      </c>
      <c r="CM3390">
        <v>0.51</v>
      </c>
      <c r="CN3390">
        <v>-0.79</v>
      </c>
      <c r="CO3390">
        <v>8117</v>
      </c>
      <c r="CP3390">
        <v>7981</v>
      </c>
      <c r="CQ3390" t="s">
        <v>14481</v>
      </c>
      <c r="CR3390">
        <v>18.95</v>
      </c>
      <c r="CS3390">
        <v>43.12</v>
      </c>
      <c r="CT3390">
        <v>3.32</v>
      </c>
      <c r="CU3390">
        <v>59.23</v>
      </c>
      <c r="CV3390">
        <v>14.14</v>
      </c>
      <c r="CW3390">
        <v>1.66</v>
      </c>
      <c r="CX3390" t="s">
        <v>1881</v>
      </c>
      <c r="CY3390">
        <v>6.78</v>
      </c>
      <c r="CZ3390">
        <v>0</v>
      </c>
      <c r="DA3390">
        <v>1.57</v>
      </c>
      <c r="DB3390">
        <v>3.94</v>
      </c>
      <c r="DC3390">
        <v>0.38</v>
      </c>
      <c r="DD3390">
        <v>88.22</v>
      </c>
      <c r="DE3390" t="s">
        <v>14482</v>
      </c>
      <c r="DF3390">
        <v>63.74</v>
      </c>
      <c r="DG3390">
        <v>44.54</v>
      </c>
      <c r="DH3390">
        <v>35.99</v>
      </c>
      <c r="DI3390">
        <v>0.14000000000000001</v>
      </c>
      <c r="DJ3390">
        <v>516</v>
      </c>
      <c r="DK3390">
        <v>603040</v>
      </c>
      <c r="DL3390" t="s">
        <v>120</v>
      </c>
      <c r="DM3390" t="s">
        <v>120</v>
      </c>
      <c r="DN3390" t="s">
        <v>120</v>
      </c>
    </row>
    <row r="3391" spans="1:118">
      <c r="A3391" t="str">
        <f>"603041"</f>
        <v>603041</v>
      </c>
      <c r="B3391" t="s">
        <v>14483</v>
      </c>
      <c r="C3391">
        <v>-0.39</v>
      </c>
      <c r="D3391">
        <v>-7.0000000000000007E-2</v>
      </c>
      <c r="E3391">
        <v>-0.47</v>
      </c>
      <c r="F3391">
        <v>249</v>
      </c>
      <c r="G3391" t="s">
        <v>2818</v>
      </c>
      <c r="H3391">
        <v>3422.7</v>
      </c>
      <c r="I3391">
        <v>4.29</v>
      </c>
      <c r="J3391" t="s">
        <v>120</v>
      </c>
      <c r="K3391" t="s">
        <v>2239</v>
      </c>
      <c r="L3391">
        <v>1.89</v>
      </c>
      <c r="M3391">
        <v>12.63</v>
      </c>
      <c r="N3391">
        <v>1.7</v>
      </c>
      <c r="O3391">
        <v>3.79</v>
      </c>
      <c r="P3391">
        <v>13.16</v>
      </c>
      <c r="Q3391">
        <v>-0.47</v>
      </c>
      <c r="R3391">
        <v>12.62</v>
      </c>
      <c r="S3391">
        <v>12.62</v>
      </c>
      <c r="T3391">
        <v>26559</v>
      </c>
      <c r="U3391">
        <v>12.65</v>
      </c>
      <c r="V3391">
        <v>12.68</v>
      </c>
      <c r="W3391">
        <v>24.06</v>
      </c>
      <c r="X3391" t="s">
        <v>868</v>
      </c>
      <c r="Y3391" t="s">
        <v>319</v>
      </c>
      <c r="Z3391">
        <v>4.26</v>
      </c>
      <c r="AA3391">
        <v>12.89</v>
      </c>
      <c r="AB3391">
        <v>13728</v>
      </c>
      <c r="AC3391">
        <v>12831</v>
      </c>
      <c r="AD3391">
        <v>1.07</v>
      </c>
      <c r="AE3391">
        <v>27</v>
      </c>
      <c r="AF3391">
        <v>60</v>
      </c>
      <c r="AG3391" t="s">
        <v>120</v>
      </c>
      <c r="AH3391">
        <v>0.01</v>
      </c>
      <c r="AI3391" t="s">
        <v>120</v>
      </c>
      <c r="AJ3391">
        <v>1.41</v>
      </c>
      <c r="AK3391" t="s">
        <v>2239</v>
      </c>
      <c r="AL3391">
        <v>0.95</v>
      </c>
      <c r="AM3391">
        <v>1364</v>
      </c>
      <c r="AN3391">
        <v>19</v>
      </c>
      <c r="AO3391">
        <v>1.4E-3</v>
      </c>
      <c r="AP3391">
        <v>-1</v>
      </c>
      <c r="AQ3391">
        <v>2.92</v>
      </c>
      <c r="AR3391">
        <v>0.79</v>
      </c>
      <c r="AS3391">
        <v>6.49</v>
      </c>
      <c r="AT3391">
        <v>1.69</v>
      </c>
      <c r="AU3391">
        <v>-11.86</v>
      </c>
      <c r="AV3391">
        <v>1</v>
      </c>
      <c r="AW3391">
        <v>5.73</v>
      </c>
      <c r="AX3391">
        <v>32.92</v>
      </c>
      <c r="AY3391">
        <v>16.73</v>
      </c>
      <c r="AZ3391">
        <v>16.100000000000001</v>
      </c>
      <c r="BA3391">
        <v>0.77</v>
      </c>
      <c r="BB3391" t="s">
        <v>184</v>
      </c>
      <c r="BF3391">
        <v>1.63</v>
      </c>
      <c r="BG3391">
        <v>0.08</v>
      </c>
      <c r="BH3391">
        <v>-4.03</v>
      </c>
      <c r="BI3391">
        <v>0.08</v>
      </c>
      <c r="BJ3391">
        <v>20210821</v>
      </c>
      <c r="BK3391">
        <v>20170330</v>
      </c>
      <c r="BL3391">
        <v>1.41</v>
      </c>
      <c r="BM3391" t="s">
        <v>120</v>
      </c>
      <c r="BN3391" t="s">
        <v>120</v>
      </c>
      <c r="BO3391">
        <v>10.28</v>
      </c>
      <c r="BP3391">
        <v>12.63</v>
      </c>
      <c r="BQ3391">
        <v>8.9499999999999993</v>
      </c>
      <c r="BR3391">
        <v>0.02</v>
      </c>
      <c r="BS3391">
        <v>12.67</v>
      </c>
      <c r="BT3391">
        <v>7.54</v>
      </c>
      <c r="BU3391">
        <v>1.52</v>
      </c>
      <c r="BV3391">
        <v>0.72</v>
      </c>
      <c r="BW3391">
        <v>1.24</v>
      </c>
      <c r="BX3391">
        <v>5.72</v>
      </c>
      <c r="BY3391">
        <v>0.52</v>
      </c>
      <c r="BZ3391">
        <v>0.94</v>
      </c>
      <c r="CA3391" t="s">
        <v>120</v>
      </c>
      <c r="CB3391">
        <v>2.86</v>
      </c>
      <c r="CC3391">
        <v>2.48</v>
      </c>
      <c r="CD3391">
        <v>1.83</v>
      </c>
      <c r="CE3391">
        <v>0.42</v>
      </c>
      <c r="CF3391">
        <v>0</v>
      </c>
      <c r="CG3391">
        <v>0.42</v>
      </c>
      <c r="CH3391">
        <v>0.37</v>
      </c>
      <c r="CI3391">
        <v>0.37</v>
      </c>
      <c r="CJ3391">
        <v>-0.05</v>
      </c>
      <c r="CK3391">
        <v>0.36</v>
      </c>
      <c r="CL3391">
        <v>4.1900000000000004</v>
      </c>
      <c r="CM3391">
        <v>0.21</v>
      </c>
      <c r="CN3391">
        <v>-1.05</v>
      </c>
      <c r="CO3391">
        <v>8756</v>
      </c>
      <c r="CP3391">
        <v>5297</v>
      </c>
      <c r="CQ3391" t="s">
        <v>4802</v>
      </c>
      <c r="CR3391">
        <v>-10.199999999999999</v>
      </c>
      <c r="CS3391">
        <v>48.87</v>
      </c>
      <c r="CT3391">
        <v>1.99</v>
      </c>
      <c r="CU3391">
        <v>83.88</v>
      </c>
      <c r="CV3391">
        <v>7.19</v>
      </c>
      <c r="CW3391">
        <v>1.89</v>
      </c>
      <c r="CX3391" t="s">
        <v>670</v>
      </c>
      <c r="CY3391">
        <v>6.36</v>
      </c>
      <c r="CZ3391">
        <v>6.36</v>
      </c>
      <c r="DA3391">
        <v>2.0299999999999998</v>
      </c>
      <c r="DB3391">
        <v>2.98</v>
      </c>
      <c r="DC3391">
        <v>0.15</v>
      </c>
      <c r="DD3391">
        <v>87.13</v>
      </c>
      <c r="DE3391" t="s">
        <v>1175</v>
      </c>
      <c r="DF3391">
        <v>25.91</v>
      </c>
      <c r="DG3391">
        <v>16.84</v>
      </c>
      <c r="DH3391">
        <v>14.94</v>
      </c>
      <c r="DI3391">
        <v>0.11</v>
      </c>
      <c r="DJ3391">
        <v>113</v>
      </c>
      <c r="DK3391">
        <v>603041</v>
      </c>
      <c r="DL3391" t="s">
        <v>120</v>
      </c>
      <c r="DM3391" t="s">
        <v>120</v>
      </c>
      <c r="DN3391" t="s">
        <v>120</v>
      </c>
    </row>
    <row r="3392" spans="1:118">
      <c r="A3392" t="str">
        <f>"603042"</f>
        <v>603042</v>
      </c>
      <c r="B3392" t="s">
        <v>14484</v>
      </c>
      <c r="C3392">
        <v>-0.77</v>
      </c>
      <c r="D3392">
        <v>0</v>
      </c>
      <c r="E3392">
        <v>0.77</v>
      </c>
      <c r="F3392">
        <v>272</v>
      </c>
      <c r="G3392" t="s">
        <v>14485</v>
      </c>
      <c r="H3392">
        <v>1525.26</v>
      </c>
      <c r="I3392">
        <v>18.989999999999998</v>
      </c>
      <c r="J3392" t="s">
        <v>120</v>
      </c>
      <c r="K3392" t="s">
        <v>4799</v>
      </c>
      <c r="L3392">
        <v>0.87</v>
      </c>
      <c r="M3392">
        <v>12.81</v>
      </c>
      <c r="N3392">
        <v>0.71</v>
      </c>
      <c r="O3392">
        <v>1.55</v>
      </c>
      <c r="P3392">
        <v>13.11</v>
      </c>
      <c r="Q3392">
        <v>-0.77</v>
      </c>
      <c r="R3392">
        <v>12.81</v>
      </c>
      <c r="S3392">
        <v>13.01</v>
      </c>
      <c r="T3392">
        <v>11777</v>
      </c>
      <c r="U3392">
        <v>12.83</v>
      </c>
      <c r="V3392">
        <v>12.91</v>
      </c>
      <c r="W3392">
        <v>287.63</v>
      </c>
      <c r="X3392" t="s">
        <v>462</v>
      </c>
      <c r="Y3392" t="s">
        <v>319</v>
      </c>
      <c r="Z3392">
        <v>2.3199999999999998</v>
      </c>
      <c r="AA3392">
        <v>12.95</v>
      </c>
      <c r="AB3392">
        <v>6441</v>
      </c>
      <c r="AC3392">
        <v>5336</v>
      </c>
      <c r="AD3392">
        <v>1.21</v>
      </c>
      <c r="AE3392">
        <v>128</v>
      </c>
      <c r="AF3392">
        <v>20</v>
      </c>
      <c r="AG3392" t="s">
        <v>120</v>
      </c>
      <c r="AH3392">
        <v>0.02</v>
      </c>
      <c r="AI3392" t="s">
        <v>120</v>
      </c>
      <c r="AJ3392">
        <v>1.36</v>
      </c>
      <c r="AK3392" t="s">
        <v>7887</v>
      </c>
      <c r="AL3392">
        <v>0.56999999999999995</v>
      </c>
      <c r="AM3392">
        <v>783</v>
      </c>
      <c r="AN3392">
        <v>15</v>
      </c>
      <c r="AO3392">
        <v>1.1000000000000001E-3</v>
      </c>
      <c r="AP3392">
        <v>-1</v>
      </c>
      <c r="AQ3392">
        <v>0.23</v>
      </c>
      <c r="AR3392">
        <v>-2.14</v>
      </c>
      <c r="AS3392">
        <v>-7.91</v>
      </c>
      <c r="AT3392">
        <v>-2.29</v>
      </c>
      <c r="AU3392">
        <v>-7.76</v>
      </c>
      <c r="AV3392">
        <v>1</v>
      </c>
      <c r="AW3392">
        <v>1.29</v>
      </c>
      <c r="AX3392">
        <v>56.83</v>
      </c>
      <c r="AY3392">
        <v>41.48</v>
      </c>
      <c r="AZ3392">
        <v>65.260000000000005</v>
      </c>
      <c r="BA3392">
        <v>0.41</v>
      </c>
      <c r="BB3392" t="s">
        <v>2725</v>
      </c>
      <c r="BF3392">
        <v>0.32</v>
      </c>
      <c r="BG3392">
        <v>-1.54</v>
      </c>
      <c r="BH3392">
        <v>-2.29</v>
      </c>
      <c r="BI3392">
        <v>0</v>
      </c>
      <c r="BJ3392">
        <v>20210828</v>
      </c>
      <c r="BK3392">
        <v>20170602</v>
      </c>
      <c r="BL3392">
        <v>1.61</v>
      </c>
      <c r="BM3392" t="s">
        <v>120</v>
      </c>
      <c r="BN3392" t="s">
        <v>120</v>
      </c>
      <c r="BO3392">
        <v>18.79</v>
      </c>
      <c r="BP3392">
        <v>12.81</v>
      </c>
      <c r="BQ3392">
        <v>8.16</v>
      </c>
      <c r="BR3392">
        <v>0.18</v>
      </c>
      <c r="BS3392">
        <v>55.66</v>
      </c>
      <c r="BT3392">
        <v>11.2</v>
      </c>
      <c r="BU3392">
        <v>5.18</v>
      </c>
      <c r="BV3392">
        <v>1.23</v>
      </c>
      <c r="BW3392">
        <v>8.23</v>
      </c>
      <c r="BX3392">
        <v>1.1200000000000001</v>
      </c>
      <c r="BY3392">
        <v>1.53</v>
      </c>
      <c r="BZ3392">
        <v>6.34</v>
      </c>
      <c r="CA3392" t="s">
        <v>120</v>
      </c>
      <c r="CB3392">
        <v>4.96</v>
      </c>
      <c r="CC3392">
        <v>5.27</v>
      </c>
      <c r="CD3392">
        <v>4.17</v>
      </c>
      <c r="CE3392">
        <v>-0.03</v>
      </c>
      <c r="CF3392">
        <v>0</v>
      </c>
      <c r="CG3392">
        <v>-0.04</v>
      </c>
      <c r="CH3392">
        <v>-0.03</v>
      </c>
      <c r="CI3392">
        <v>0.04</v>
      </c>
      <c r="CJ3392">
        <v>-0.1</v>
      </c>
      <c r="CK3392">
        <v>-0.05</v>
      </c>
      <c r="CL3392">
        <v>1.61</v>
      </c>
      <c r="CM3392">
        <v>-0.56000000000000005</v>
      </c>
      <c r="CN3392">
        <v>-1.56</v>
      </c>
      <c r="CO3392">
        <v>16382</v>
      </c>
      <c r="CP3392">
        <v>5571</v>
      </c>
      <c r="CQ3392" t="s">
        <v>4301</v>
      </c>
      <c r="CR3392">
        <v>124.44</v>
      </c>
      <c r="CS3392">
        <v>-5.32</v>
      </c>
      <c r="CT3392">
        <v>2.14</v>
      </c>
      <c r="CU3392">
        <v>-36.53</v>
      </c>
      <c r="CV3392">
        <v>3.9</v>
      </c>
      <c r="CW3392">
        <v>0.35</v>
      </c>
      <c r="CX3392" t="s">
        <v>2074</v>
      </c>
      <c r="CY3392">
        <v>6</v>
      </c>
      <c r="CZ3392">
        <v>6</v>
      </c>
      <c r="DA3392">
        <v>3.09</v>
      </c>
      <c r="DB3392">
        <v>1</v>
      </c>
      <c r="DC3392">
        <v>-0.35</v>
      </c>
      <c r="DD3392">
        <v>43.41</v>
      </c>
      <c r="DE3392" t="s">
        <v>5068</v>
      </c>
      <c r="DF3392">
        <v>20.88</v>
      </c>
      <c r="DG3392">
        <v>-0.56999999999999995</v>
      </c>
      <c r="DH3392">
        <v>0.68</v>
      </c>
      <c r="DI3392">
        <v>0.24</v>
      </c>
      <c r="DJ3392">
        <v>1346</v>
      </c>
      <c r="DK3392">
        <v>603042</v>
      </c>
      <c r="DL3392" t="s">
        <v>120</v>
      </c>
      <c r="DM3392" t="s">
        <v>120</v>
      </c>
      <c r="DN3392" t="s">
        <v>120</v>
      </c>
    </row>
    <row r="3393" spans="1:118">
      <c r="A3393" t="str">
        <f>"603043"</f>
        <v>603043</v>
      </c>
      <c r="B3393" t="s">
        <v>14486</v>
      </c>
      <c r="C3393">
        <v>-0.93</v>
      </c>
      <c r="D3393">
        <v>0.09</v>
      </c>
      <c r="E3393">
        <v>-0.19</v>
      </c>
      <c r="F3393">
        <v>239</v>
      </c>
      <c r="G3393" t="s">
        <v>8234</v>
      </c>
      <c r="H3393">
        <v>4755.01</v>
      </c>
      <c r="I3393">
        <v>26.03</v>
      </c>
      <c r="J3393" t="s">
        <v>120</v>
      </c>
      <c r="K3393" t="s">
        <v>14487</v>
      </c>
      <c r="L3393">
        <v>0.39</v>
      </c>
      <c r="M3393">
        <v>21.35</v>
      </c>
      <c r="N3393">
        <v>0.61</v>
      </c>
      <c r="O3393">
        <v>0.6</v>
      </c>
      <c r="P3393">
        <v>21.68</v>
      </c>
      <c r="Q3393">
        <v>-1.35</v>
      </c>
      <c r="R3393">
        <v>21.26</v>
      </c>
      <c r="S3393">
        <v>21.51</v>
      </c>
      <c r="T3393">
        <v>22186</v>
      </c>
      <c r="U3393">
        <v>21.35</v>
      </c>
      <c r="V3393">
        <v>21.55</v>
      </c>
      <c r="W3393">
        <v>161.13</v>
      </c>
      <c r="X3393" t="s">
        <v>847</v>
      </c>
      <c r="Y3393" t="s">
        <v>547</v>
      </c>
      <c r="Z3393">
        <v>1.95</v>
      </c>
      <c r="AA3393">
        <v>21.43</v>
      </c>
      <c r="AB3393">
        <v>12918</v>
      </c>
      <c r="AC3393">
        <v>9268</v>
      </c>
      <c r="AD3393">
        <v>1.39</v>
      </c>
      <c r="AE3393">
        <v>52</v>
      </c>
      <c r="AF3393">
        <v>33</v>
      </c>
      <c r="AG3393" t="s">
        <v>120</v>
      </c>
      <c r="AH3393">
        <v>0.01</v>
      </c>
      <c r="AI3393" t="s">
        <v>120</v>
      </c>
      <c r="AJ3393">
        <v>5.66</v>
      </c>
      <c r="AK3393" t="s">
        <v>14487</v>
      </c>
      <c r="AL3393">
        <v>0.42</v>
      </c>
      <c r="AM3393">
        <v>1847</v>
      </c>
      <c r="AN3393">
        <v>12</v>
      </c>
      <c r="AO3393">
        <v>2.0000000000000001E-4</v>
      </c>
      <c r="AP3393">
        <v>-3</v>
      </c>
      <c r="AQ3393">
        <v>-2.4900000000000002</v>
      </c>
      <c r="AR3393">
        <v>-5.91</v>
      </c>
      <c r="AS3393">
        <v>-6.4</v>
      </c>
      <c r="AT3393">
        <v>-16.53</v>
      </c>
      <c r="AU3393">
        <v>-22.02</v>
      </c>
      <c r="AV3393">
        <v>0</v>
      </c>
      <c r="AW3393">
        <v>1.21</v>
      </c>
      <c r="AX3393">
        <v>32.299999999999997</v>
      </c>
      <c r="AY3393">
        <v>24.89</v>
      </c>
      <c r="AZ3393">
        <v>26.29</v>
      </c>
      <c r="BA3393">
        <v>1.17</v>
      </c>
      <c r="BB3393" t="s">
        <v>143</v>
      </c>
      <c r="BF3393">
        <v>-0.55000000000000004</v>
      </c>
      <c r="BG3393">
        <v>-0.74</v>
      </c>
      <c r="BH3393">
        <v>-1.52</v>
      </c>
      <c r="BI3393">
        <v>0.42</v>
      </c>
      <c r="BJ3393">
        <v>20210827</v>
      </c>
      <c r="BK3393">
        <v>20170627</v>
      </c>
      <c r="BL3393">
        <v>5.66</v>
      </c>
      <c r="BM3393" t="s">
        <v>120</v>
      </c>
      <c r="BN3393" t="s">
        <v>120</v>
      </c>
      <c r="BO3393">
        <v>40.57</v>
      </c>
      <c r="BP3393">
        <v>21.33</v>
      </c>
      <c r="BQ3393">
        <v>25.17</v>
      </c>
      <c r="BR3393">
        <v>1.48</v>
      </c>
      <c r="BS3393">
        <v>34.32</v>
      </c>
      <c r="BT3393">
        <v>19.309999999999999</v>
      </c>
      <c r="BU3393">
        <v>8.84</v>
      </c>
      <c r="BV3393">
        <v>1.43</v>
      </c>
      <c r="BW3393">
        <v>8.91</v>
      </c>
      <c r="BX3393">
        <v>12.38</v>
      </c>
      <c r="BY3393">
        <v>3.32</v>
      </c>
      <c r="BZ3393">
        <v>1.59</v>
      </c>
      <c r="CA3393" t="s">
        <v>120</v>
      </c>
      <c r="CB3393">
        <v>5.2</v>
      </c>
      <c r="CC3393">
        <v>12.32</v>
      </c>
      <c r="CD3393">
        <v>9.08</v>
      </c>
      <c r="CE3393">
        <v>0.44</v>
      </c>
      <c r="CF3393">
        <v>0.02</v>
      </c>
      <c r="CG3393">
        <v>0.46</v>
      </c>
      <c r="CH3393">
        <v>0.36</v>
      </c>
      <c r="CI3393">
        <v>0.37</v>
      </c>
      <c r="CJ3393">
        <v>-0.2</v>
      </c>
      <c r="CK3393">
        <v>0.31</v>
      </c>
      <c r="CL3393">
        <v>11.96</v>
      </c>
      <c r="CM3393">
        <v>-1.27</v>
      </c>
      <c r="CN3393">
        <v>-4.2699999999999996</v>
      </c>
      <c r="CO3393">
        <v>22796</v>
      </c>
      <c r="CP3393">
        <v>8015</v>
      </c>
      <c r="CQ3393" t="s">
        <v>14488</v>
      </c>
      <c r="CR3393">
        <v>228.89</v>
      </c>
      <c r="CS3393">
        <v>27.08</v>
      </c>
      <c r="CT3393">
        <v>4.8</v>
      </c>
      <c r="CU3393">
        <v>-95.41</v>
      </c>
      <c r="CV3393">
        <v>9.8000000000000007</v>
      </c>
      <c r="CW3393">
        <v>1.33</v>
      </c>
      <c r="CX3393" t="s">
        <v>2311</v>
      </c>
      <c r="CY3393">
        <v>4.45</v>
      </c>
      <c r="CZ3393">
        <v>0</v>
      </c>
      <c r="DA3393">
        <v>0.92</v>
      </c>
      <c r="DB3393">
        <v>2.11</v>
      </c>
      <c r="DC3393">
        <v>-0.22</v>
      </c>
      <c r="DD3393">
        <v>62.04</v>
      </c>
      <c r="DE3393" t="s">
        <v>3296</v>
      </c>
      <c r="DF3393">
        <v>26.29</v>
      </c>
      <c r="DG3393">
        <v>3.54</v>
      </c>
      <c r="DH3393">
        <v>3.04</v>
      </c>
      <c r="DI3393">
        <v>0.28999999999999998</v>
      </c>
      <c r="DJ3393">
        <v>5145</v>
      </c>
      <c r="DK3393">
        <v>603043</v>
      </c>
      <c r="DL3393" t="s">
        <v>120</v>
      </c>
      <c r="DM3393" t="s">
        <v>120</v>
      </c>
      <c r="DN3393" t="s">
        <v>120</v>
      </c>
    </row>
    <row r="3394" spans="1:118">
      <c r="A3394" t="str">
        <f>"603045"</f>
        <v>603045</v>
      </c>
      <c r="B3394" t="s">
        <v>14489</v>
      </c>
      <c r="C3394">
        <v>0.68</v>
      </c>
      <c r="D3394">
        <v>0.34</v>
      </c>
      <c r="E3394">
        <v>-0.2</v>
      </c>
      <c r="F3394">
        <v>582</v>
      </c>
      <c r="G3394" t="s">
        <v>3563</v>
      </c>
      <c r="H3394">
        <v>8385.4699999999993</v>
      </c>
      <c r="I3394">
        <v>8.7799999999999994</v>
      </c>
      <c r="J3394" t="s">
        <v>120</v>
      </c>
      <c r="K3394" t="s">
        <v>1707</v>
      </c>
      <c r="L3394">
        <v>4.0999999999999996</v>
      </c>
      <c r="M3394">
        <v>14.77</v>
      </c>
      <c r="N3394">
        <v>1.1499999999999999</v>
      </c>
      <c r="O3394">
        <v>3.27</v>
      </c>
      <c r="P3394">
        <v>15.15</v>
      </c>
      <c r="Q3394">
        <v>-0.61</v>
      </c>
      <c r="R3394">
        <v>14.58</v>
      </c>
      <c r="S3394">
        <v>14.64</v>
      </c>
      <c r="T3394">
        <v>56404</v>
      </c>
      <c r="U3394">
        <v>14.79</v>
      </c>
      <c r="V3394">
        <v>14.67</v>
      </c>
      <c r="W3394">
        <v>28.62</v>
      </c>
      <c r="X3394" t="s">
        <v>394</v>
      </c>
      <c r="Y3394" t="s">
        <v>585</v>
      </c>
      <c r="Z3394">
        <v>3.89</v>
      </c>
      <c r="AA3394">
        <v>14.87</v>
      </c>
      <c r="AB3394">
        <v>28780</v>
      </c>
      <c r="AC3394">
        <v>27624</v>
      </c>
      <c r="AD3394">
        <v>1.04</v>
      </c>
      <c r="AE3394">
        <v>239</v>
      </c>
      <c r="AF3394">
        <v>25</v>
      </c>
      <c r="AG3394" t="s">
        <v>120</v>
      </c>
      <c r="AH3394">
        <v>0.01</v>
      </c>
      <c r="AI3394" t="s">
        <v>120</v>
      </c>
      <c r="AJ3394">
        <v>1.38</v>
      </c>
      <c r="AK3394" t="s">
        <v>1707</v>
      </c>
      <c r="AL3394">
        <v>2.0299999999999998</v>
      </c>
      <c r="AM3394">
        <v>2370</v>
      </c>
      <c r="AN3394">
        <v>24</v>
      </c>
      <c r="AO3394">
        <v>1.6999999999999999E-3</v>
      </c>
      <c r="AP3394">
        <v>1</v>
      </c>
      <c r="AQ3394">
        <v>-1.61</v>
      </c>
      <c r="AR3394">
        <v>3.14</v>
      </c>
      <c r="AS3394">
        <v>5.73</v>
      </c>
      <c r="AT3394">
        <v>24.32</v>
      </c>
      <c r="AU3394">
        <v>23.18</v>
      </c>
      <c r="AV3394">
        <v>0</v>
      </c>
      <c r="AW3394">
        <v>5.8</v>
      </c>
      <c r="AX3394">
        <v>70.63</v>
      </c>
      <c r="AY3394">
        <v>26.76</v>
      </c>
      <c r="AZ3394">
        <v>45.67</v>
      </c>
      <c r="BA3394">
        <v>0.15</v>
      </c>
      <c r="BB3394" t="s">
        <v>143</v>
      </c>
      <c r="BF3394">
        <v>1.34</v>
      </c>
      <c r="BG3394">
        <v>0.89</v>
      </c>
      <c r="BH3394">
        <v>-2.5099999999999998</v>
      </c>
      <c r="BI3394">
        <v>1.3</v>
      </c>
      <c r="BJ3394">
        <v>20210825</v>
      </c>
      <c r="BK3394">
        <v>20180517</v>
      </c>
      <c r="BL3394">
        <v>1.38</v>
      </c>
      <c r="BM3394" t="s">
        <v>120</v>
      </c>
      <c r="BN3394" t="s">
        <v>120</v>
      </c>
      <c r="BO3394">
        <v>21.37</v>
      </c>
      <c r="BP3394">
        <v>14.77</v>
      </c>
      <c r="BQ3394">
        <v>8.48</v>
      </c>
      <c r="BR3394" t="s">
        <v>120</v>
      </c>
      <c r="BS3394">
        <v>60.31</v>
      </c>
      <c r="BT3394">
        <v>15.19</v>
      </c>
      <c r="BU3394">
        <v>3.87</v>
      </c>
      <c r="BV3394">
        <v>0.57999999999999996</v>
      </c>
      <c r="BW3394">
        <v>9.75</v>
      </c>
      <c r="BX3394">
        <v>1.61</v>
      </c>
      <c r="BY3394">
        <v>7.65</v>
      </c>
      <c r="BZ3394">
        <v>5.12</v>
      </c>
      <c r="CA3394" t="s">
        <v>120</v>
      </c>
      <c r="CB3394">
        <v>2.46</v>
      </c>
      <c r="CC3394">
        <v>14.59</v>
      </c>
      <c r="CD3394">
        <v>12.98</v>
      </c>
      <c r="CE3394">
        <v>0.34</v>
      </c>
      <c r="CF3394">
        <v>0</v>
      </c>
      <c r="CG3394">
        <v>0.34</v>
      </c>
      <c r="CH3394">
        <v>0.36</v>
      </c>
      <c r="CI3394">
        <v>0.36</v>
      </c>
      <c r="CJ3394">
        <v>0.1</v>
      </c>
      <c r="CK3394">
        <v>0.34</v>
      </c>
      <c r="CL3394">
        <v>4.24</v>
      </c>
      <c r="CM3394">
        <v>-3.94</v>
      </c>
      <c r="CN3394">
        <v>-1.25</v>
      </c>
      <c r="CO3394">
        <v>12086</v>
      </c>
      <c r="CP3394">
        <v>8042</v>
      </c>
      <c r="CQ3394" t="s">
        <v>11891</v>
      </c>
      <c r="CR3394">
        <v>731.97</v>
      </c>
      <c r="CS3394">
        <v>79.900000000000006</v>
      </c>
      <c r="CT3394">
        <v>2.4</v>
      </c>
      <c r="CU3394">
        <v>-5.17</v>
      </c>
      <c r="CV3394">
        <v>1.39</v>
      </c>
      <c r="CW3394">
        <v>0.54</v>
      </c>
      <c r="CX3394" t="s">
        <v>670</v>
      </c>
      <c r="CY3394">
        <v>6.16</v>
      </c>
      <c r="CZ3394">
        <v>0</v>
      </c>
      <c r="DA3394">
        <v>1.79</v>
      </c>
      <c r="DB3394">
        <v>3.08</v>
      </c>
      <c r="DC3394">
        <v>-2.86</v>
      </c>
      <c r="DD3394">
        <v>39.69</v>
      </c>
      <c r="DE3394" t="s">
        <v>1055</v>
      </c>
      <c r="DF3394">
        <v>11.08</v>
      </c>
      <c r="DG3394">
        <v>2.2999999999999998</v>
      </c>
      <c r="DH3394">
        <v>2.4300000000000002</v>
      </c>
      <c r="DI3394">
        <v>0.46</v>
      </c>
      <c r="DJ3394">
        <v>1387</v>
      </c>
      <c r="DK3394">
        <v>603045</v>
      </c>
      <c r="DL3394" t="s">
        <v>120</v>
      </c>
      <c r="DM3394" t="s">
        <v>120</v>
      </c>
      <c r="DN3394" t="s">
        <v>120</v>
      </c>
    </row>
    <row r="3395" spans="1:118">
      <c r="A3395" t="str">
        <f>"603050"</f>
        <v>603050</v>
      </c>
      <c r="B3395" t="s">
        <v>14490</v>
      </c>
      <c r="C3395">
        <v>-2.85</v>
      </c>
      <c r="D3395">
        <v>-0.05</v>
      </c>
      <c r="E3395">
        <v>-0.22</v>
      </c>
      <c r="F3395">
        <v>1400</v>
      </c>
      <c r="G3395" t="s">
        <v>1062</v>
      </c>
      <c r="H3395">
        <v>16551.63</v>
      </c>
      <c r="I3395">
        <v>135.28</v>
      </c>
      <c r="J3395" t="s">
        <v>120</v>
      </c>
      <c r="K3395" t="s">
        <v>1074</v>
      </c>
      <c r="L3395">
        <v>5.75</v>
      </c>
      <c r="M3395">
        <v>17.399999999999999</v>
      </c>
      <c r="N3395">
        <v>0.54</v>
      </c>
      <c r="O3395">
        <v>2.4</v>
      </c>
      <c r="P3395">
        <v>18.34</v>
      </c>
      <c r="Q3395">
        <v>-2.96</v>
      </c>
      <c r="R3395">
        <v>17.38</v>
      </c>
      <c r="S3395">
        <v>17.87</v>
      </c>
      <c r="T3395">
        <v>93341</v>
      </c>
      <c r="U3395">
        <v>17.399999999999999</v>
      </c>
      <c r="V3395">
        <v>17.91</v>
      </c>
      <c r="W3395">
        <v>17.829999999999998</v>
      </c>
      <c r="X3395" t="s">
        <v>394</v>
      </c>
      <c r="Y3395" t="s">
        <v>602</v>
      </c>
      <c r="Z3395">
        <v>5.36</v>
      </c>
      <c r="AA3395">
        <v>17.73</v>
      </c>
      <c r="AB3395">
        <v>52641</v>
      </c>
      <c r="AC3395">
        <v>40700</v>
      </c>
      <c r="AD3395">
        <v>1.29</v>
      </c>
      <c r="AE3395">
        <v>51</v>
      </c>
      <c r="AF3395">
        <v>471</v>
      </c>
      <c r="AG3395" t="s">
        <v>120</v>
      </c>
      <c r="AH3395">
        <v>7.0000000000000007E-2</v>
      </c>
      <c r="AI3395" t="s">
        <v>120</v>
      </c>
      <c r="AJ3395">
        <v>1.62</v>
      </c>
      <c r="AK3395" t="s">
        <v>1074</v>
      </c>
      <c r="AL3395">
        <v>-1.5</v>
      </c>
      <c r="AM3395">
        <v>3010</v>
      </c>
      <c r="AN3395">
        <v>31</v>
      </c>
      <c r="AO3395">
        <v>1.9E-3</v>
      </c>
      <c r="AP3395">
        <v>-1</v>
      </c>
      <c r="AQ3395">
        <v>4.07</v>
      </c>
      <c r="AR3395">
        <v>-1.52</v>
      </c>
      <c r="AS3395">
        <v>17.649999999999999</v>
      </c>
      <c r="AT3395">
        <v>32.53</v>
      </c>
      <c r="AU3395">
        <v>33.130000000000003</v>
      </c>
      <c r="AV3395">
        <v>3</v>
      </c>
      <c r="AW3395">
        <v>8.2100000000000009</v>
      </c>
      <c r="AX3395">
        <v>70.05</v>
      </c>
      <c r="AY3395">
        <v>18.559999999999999</v>
      </c>
      <c r="AZ3395">
        <v>26.34</v>
      </c>
      <c r="BA3395">
        <v>0.75</v>
      </c>
      <c r="BB3395" t="s">
        <v>184</v>
      </c>
      <c r="BF3395">
        <v>-0.99</v>
      </c>
      <c r="BG3395">
        <v>-2.63</v>
      </c>
      <c r="BH3395">
        <v>-5.13</v>
      </c>
      <c r="BI3395">
        <v>0.12</v>
      </c>
      <c r="BJ3395">
        <v>20210902</v>
      </c>
      <c r="BK3395">
        <v>20170414</v>
      </c>
      <c r="BL3395">
        <v>1.62</v>
      </c>
      <c r="BM3395" t="s">
        <v>120</v>
      </c>
      <c r="BN3395" t="s">
        <v>120</v>
      </c>
      <c r="BO3395">
        <v>30.81</v>
      </c>
      <c r="BP3395">
        <v>17.39</v>
      </c>
      <c r="BQ3395">
        <v>12.63</v>
      </c>
      <c r="BR3395">
        <v>0.17</v>
      </c>
      <c r="BS3395">
        <v>58.44</v>
      </c>
      <c r="BT3395">
        <v>23.16</v>
      </c>
      <c r="BU3395">
        <v>3.19</v>
      </c>
      <c r="BV3395">
        <v>2.11</v>
      </c>
      <c r="BW3395">
        <v>13.42</v>
      </c>
      <c r="BX3395">
        <v>3.02</v>
      </c>
      <c r="BY3395">
        <v>7.79</v>
      </c>
      <c r="BZ3395">
        <v>9.59</v>
      </c>
      <c r="CA3395" t="s">
        <v>120</v>
      </c>
      <c r="CB3395">
        <v>5.03</v>
      </c>
      <c r="CC3395">
        <v>6.84</v>
      </c>
      <c r="CD3395">
        <v>5.16</v>
      </c>
      <c r="CE3395">
        <v>0.85</v>
      </c>
      <c r="CF3395">
        <v>0</v>
      </c>
      <c r="CG3395">
        <v>0.89</v>
      </c>
      <c r="CH3395">
        <v>0.81</v>
      </c>
      <c r="CI3395">
        <v>0.79</v>
      </c>
      <c r="CJ3395">
        <v>-0.51</v>
      </c>
      <c r="CK3395">
        <v>0.3</v>
      </c>
      <c r="CL3395">
        <v>5.6</v>
      </c>
      <c r="CM3395">
        <v>-3.17</v>
      </c>
      <c r="CN3395">
        <v>-2.5499999999999998</v>
      </c>
      <c r="CO3395">
        <v>21231</v>
      </c>
      <c r="CP3395">
        <v>5352</v>
      </c>
      <c r="CQ3395" t="s">
        <v>9603</v>
      </c>
      <c r="CR3395">
        <v>140.33000000000001</v>
      </c>
      <c r="CS3395">
        <v>34.79</v>
      </c>
      <c r="CT3395">
        <v>2.23</v>
      </c>
      <c r="CU3395">
        <v>-8.9</v>
      </c>
      <c r="CV3395">
        <v>4.13</v>
      </c>
      <c r="CW3395">
        <v>1.17</v>
      </c>
      <c r="CX3395" t="s">
        <v>3347</v>
      </c>
      <c r="CY3395">
        <v>7.79</v>
      </c>
      <c r="CZ3395">
        <v>0</v>
      </c>
      <c r="DA3395">
        <v>3.1</v>
      </c>
      <c r="DB3395">
        <v>3.45</v>
      </c>
      <c r="DC3395">
        <v>-1.96</v>
      </c>
      <c r="DD3395">
        <v>41</v>
      </c>
      <c r="DE3395" t="s">
        <v>2129</v>
      </c>
      <c r="DF3395">
        <v>24.46</v>
      </c>
      <c r="DG3395">
        <v>12.43</v>
      </c>
      <c r="DH3395">
        <v>11.58</v>
      </c>
      <c r="DI3395">
        <v>0.43</v>
      </c>
      <c r="DJ3395">
        <v>2024</v>
      </c>
      <c r="DK3395">
        <v>603050</v>
      </c>
      <c r="DL3395" t="s">
        <v>120</v>
      </c>
      <c r="DM3395" t="s">
        <v>120</v>
      </c>
      <c r="DN3395" t="s">
        <v>120</v>
      </c>
    </row>
    <row r="3396" spans="1:118">
      <c r="A3396" t="str">
        <f>"603053"</f>
        <v>603053</v>
      </c>
      <c r="B3396" t="s">
        <v>14491</v>
      </c>
      <c r="C3396">
        <v>1.06</v>
      </c>
      <c r="D3396">
        <v>0</v>
      </c>
      <c r="E3396">
        <v>0.97</v>
      </c>
      <c r="F3396">
        <v>548</v>
      </c>
      <c r="G3396" t="s">
        <v>8375</v>
      </c>
      <c r="H3396">
        <v>13770.34</v>
      </c>
      <c r="I3396">
        <v>53.15</v>
      </c>
      <c r="J3396" t="s">
        <v>120</v>
      </c>
      <c r="K3396" t="s">
        <v>14492</v>
      </c>
      <c r="L3396">
        <v>2.1</v>
      </c>
      <c r="M3396">
        <v>11.49</v>
      </c>
      <c r="N3396">
        <v>1.2</v>
      </c>
      <c r="O3396">
        <v>4.66</v>
      </c>
      <c r="P3396">
        <v>11.9</v>
      </c>
      <c r="Q3396">
        <v>0.7</v>
      </c>
      <c r="R3396">
        <v>11.45</v>
      </c>
      <c r="S3396">
        <v>11.48</v>
      </c>
      <c r="T3396">
        <v>117584</v>
      </c>
      <c r="U3396">
        <v>11.5</v>
      </c>
      <c r="V3396">
        <v>11.37</v>
      </c>
      <c r="W3396">
        <v>15.98</v>
      </c>
      <c r="X3396" t="s">
        <v>684</v>
      </c>
      <c r="Y3396" t="s">
        <v>578</v>
      </c>
      <c r="Z3396">
        <v>3.96</v>
      </c>
      <c r="AA3396">
        <v>11.71</v>
      </c>
      <c r="AB3396">
        <v>51005</v>
      </c>
      <c r="AC3396">
        <v>66579</v>
      </c>
      <c r="AD3396">
        <v>0.77</v>
      </c>
      <c r="AE3396">
        <v>372</v>
      </c>
      <c r="AF3396">
        <v>274</v>
      </c>
      <c r="AG3396" t="s">
        <v>120</v>
      </c>
      <c r="AH3396">
        <v>0.03</v>
      </c>
      <c r="AI3396" t="s">
        <v>120</v>
      </c>
      <c r="AJ3396">
        <v>5.61</v>
      </c>
      <c r="AK3396" t="s">
        <v>14493</v>
      </c>
      <c r="AL3396">
        <v>2.4</v>
      </c>
      <c r="AM3396">
        <v>2568</v>
      </c>
      <c r="AN3396">
        <v>46</v>
      </c>
      <c r="AO3396">
        <v>8.0000000000000004E-4</v>
      </c>
      <c r="AP3396">
        <v>2</v>
      </c>
      <c r="AQ3396">
        <v>0.8</v>
      </c>
      <c r="AR3396">
        <v>0.36</v>
      </c>
      <c r="AS3396">
        <v>12.1</v>
      </c>
      <c r="AT3396">
        <v>14.76</v>
      </c>
      <c r="AU3396">
        <v>-6.15</v>
      </c>
      <c r="AV3396">
        <v>0</v>
      </c>
      <c r="AW3396">
        <v>6.96</v>
      </c>
      <c r="AX3396">
        <v>19</v>
      </c>
      <c r="AY3396">
        <v>20.97</v>
      </c>
      <c r="AZ3396">
        <v>24.41</v>
      </c>
      <c r="BA3396">
        <v>0.83</v>
      </c>
      <c r="BB3396" t="s">
        <v>143</v>
      </c>
      <c r="BF3396">
        <v>3</v>
      </c>
      <c r="BG3396">
        <v>0.09</v>
      </c>
      <c r="BH3396">
        <v>-3.45</v>
      </c>
      <c r="BI3396">
        <v>0.35</v>
      </c>
      <c r="BJ3396">
        <v>20210813</v>
      </c>
      <c r="BK3396">
        <v>20191217</v>
      </c>
      <c r="BL3396">
        <v>8.89</v>
      </c>
      <c r="BM3396" t="s">
        <v>120</v>
      </c>
      <c r="BN3396" t="s">
        <v>120</v>
      </c>
      <c r="BO3396">
        <v>68.989999999999995</v>
      </c>
      <c r="BP3396">
        <v>11.49</v>
      </c>
      <c r="BQ3396">
        <v>37.450000000000003</v>
      </c>
      <c r="BR3396">
        <v>1</v>
      </c>
      <c r="BS3396">
        <v>44.27</v>
      </c>
      <c r="BT3396">
        <v>26.87</v>
      </c>
      <c r="BU3396">
        <v>27.77</v>
      </c>
      <c r="BV3396">
        <v>4.5199999999999996</v>
      </c>
      <c r="BW3396">
        <v>28.09</v>
      </c>
      <c r="BX3396">
        <v>21.6</v>
      </c>
      <c r="BY3396">
        <v>0.94</v>
      </c>
      <c r="BZ3396">
        <v>0.94</v>
      </c>
      <c r="CA3396" t="s">
        <v>120</v>
      </c>
      <c r="CB3396">
        <v>13.28</v>
      </c>
      <c r="CC3396">
        <v>23.26</v>
      </c>
      <c r="CD3396">
        <v>17.55</v>
      </c>
      <c r="CE3396">
        <v>3.74</v>
      </c>
      <c r="CF3396">
        <v>0.25</v>
      </c>
      <c r="CG3396">
        <v>3.84</v>
      </c>
      <c r="CH3396">
        <v>3.27</v>
      </c>
      <c r="CI3396">
        <v>3.2</v>
      </c>
      <c r="CJ3396">
        <v>0.12</v>
      </c>
      <c r="CK3396">
        <v>3.07</v>
      </c>
      <c r="CL3396">
        <v>13.07</v>
      </c>
      <c r="CM3396">
        <v>3.53</v>
      </c>
      <c r="CN3396">
        <v>1.64</v>
      </c>
      <c r="CO3396">
        <v>27889</v>
      </c>
      <c r="CP3396">
        <v>6056</v>
      </c>
      <c r="CQ3396" t="s">
        <v>5355</v>
      </c>
      <c r="CR3396">
        <v>26.92</v>
      </c>
      <c r="CS3396">
        <v>14.14</v>
      </c>
      <c r="CT3396">
        <v>2.73</v>
      </c>
      <c r="CU3396">
        <v>28.95</v>
      </c>
      <c r="CV3396">
        <v>4.3899999999999997</v>
      </c>
      <c r="CW3396">
        <v>2.1800000000000002</v>
      </c>
      <c r="CX3396" t="s">
        <v>472</v>
      </c>
      <c r="CY3396">
        <v>4.21</v>
      </c>
      <c r="CZ3396">
        <v>0</v>
      </c>
      <c r="DA3396">
        <v>1.49</v>
      </c>
      <c r="DB3396">
        <v>1.47</v>
      </c>
      <c r="DC3396">
        <v>0.4</v>
      </c>
      <c r="DD3396">
        <v>54.28</v>
      </c>
      <c r="DE3396" t="s">
        <v>5011</v>
      </c>
      <c r="DF3396">
        <v>24.54</v>
      </c>
      <c r="DG3396">
        <v>16.059999999999999</v>
      </c>
      <c r="DH3396">
        <v>13.74</v>
      </c>
      <c r="DI3396">
        <v>0.12</v>
      </c>
      <c r="DJ3396">
        <v>2566</v>
      </c>
      <c r="DK3396">
        <v>603053</v>
      </c>
      <c r="DL3396" t="s">
        <v>120</v>
      </c>
      <c r="DM3396" t="s">
        <v>120</v>
      </c>
      <c r="DN3396" t="s">
        <v>120</v>
      </c>
    </row>
    <row r="3397" spans="1:118">
      <c r="A3397" t="str">
        <f>"603055"</f>
        <v>603055</v>
      </c>
      <c r="B3397" t="s">
        <v>14494</v>
      </c>
      <c r="C3397">
        <v>1.1100000000000001</v>
      </c>
      <c r="D3397">
        <v>0.11</v>
      </c>
      <c r="E3397">
        <v>-0.5</v>
      </c>
      <c r="F3397">
        <v>1963</v>
      </c>
      <c r="G3397" t="s">
        <v>14495</v>
      </c>
      <c r="H3397">
        <v>22820.53</v>
      </c>
      <c r="I3397">
        <v>194.4</v>
      </c>
      <c r="J3397" t="s">
        <v>120</v>
      </c>
      <c r="K3397" t="s">
        <v>14496</v>
      </c>
      <c r="L3397">
        <v>1.62</v>
      </c>
      <c r="M3397">
        <v>18.29</v>
      </c>
      <c r="N3397">
        <v>0.56000000000000005</v>
      </c>
      <c r="O3397">
        <v>2.0499999999999998</v>
      </c>
      <c r="P3397">
        <v>18.46</v>
      </c>
      <c r="Q3397">
        <v>-2.71</v>
      </c>
      <c r="R3397">
        <v>17.600000000000001</v>
      </c>
      <c r="S3397">
        <v>18</v>
      </c>
      <c r="T3397">
        <v>126141</v>
      </c>
      <c r="U3397">
        <v>18.3</v>
      </c>
      <c r="V3397">
        <v>18.09</v>
      </c>
      <c r="W3397">
        <v>29.48</v>
      </c>
      <c r="X3397" t="s">
        <v>1766</v>
      </c>
      <c r="Y3397" t="s">
        <v>585</v>
      </c>
      <c r="Z3397">
        <v>4.75</v>
      </c>
      <c r="AA3397">
        <v>18.09</v>
      </c>
      <c r="AB3397">
        <v>58570</v>
      </c>
      <c r="AC3397">
        <v>67571</v>
      </c>
      <c r="AD3397">
        <v>0.87</v>
      </c>
      <c r="AE3397">
        <v>74</v>
      </c>
      <c r="AF3397">
        <v>376</v>
      </c>
      <c r="AG3397" t="s">
        <v>120</v>
      </c>
      <c r="AH3397">
        <v>7.0000000000000007E-2</v>
      </c>
      <c r="AI3397" t="s">
        <v>120</v>
      </c>
      <c r="AJ3397">
        <v>7.78</v>
      </c>
      <c r="AK3397" t="s">
        <v>14497</v>
      </c>
      <c r="AL3397">
        <v>2.4500000000000002</v>
      </c>
      <c r="AM3397">
        <v>3544</v>
      </c>
      <c r="AN3397">
        <v>36</v>
      </c>
      <c r="AO3397">
        <v>5.0000000000000001E-4</v>
      </c>
      <c r="AP3397">
        <v>1</v>
      </c>
      <c r="AQ3397">
        <v>-1.31</v>
      </c>
      <c r="AR3397">
        <v>0.61</v>
      </c>
      <c r="AS3397">
        <v>74.19</v>
      </c>
      <c r="AT3397">
        <v>185.79</v>
      </c>
      <c r="AU3397">
        <v>204.33</v>
      </c>
      <c r="AV3397">
        <v>3</v>
      </c>
      <c r="AW3397">
        <v>8.2899999999999991</v>
      </c>
      <c r="AX3397">
        <v>18.079999999999998</v>
      </c>
      <c r="AY3397">
        <v>46.11</v>
      </c>
      <c r="AZ3397">
        <v>127.2</v>
      </c>
      <c r="BA3397">
        <v>0.45</v>
      </c>
      <c r="BB3397" t="s">
        <v>125</v>
      </c>
      <c r="BF3397">
        <v>0.01</v>
      </c>
      <c r="BG3397">
        <v>1.61</v>
      </c>
      <c r="BH3397">
        <v>-0.92</v>
      </c>
      <c r="BI3397">
        <v>3.92</v>
      </c>
      <c r="BJ3397">
        <v>20210914</v>
      </c>
      <c r="BK3397">
        <v>20170921</v>
      </c>
      <c r="BL3397">
        <v>8.42</v>
      </c>
      <c r="BM3397" t="s">
        <v>120</v>
      </c>
      <c r="BN3397" t="s">
        <v>120</v>
      </c>
      <c r="BO3397">
        <v>63.34</v>
      </c>
      <c r="BP3397">
        <v>18.29</v>
      </c>
      <c r="BQ3397">
        <v>32.229999999999997</v>
      </c>
      <c r="BR3397">
        <v>-0.01</v>
      </c>
      <c r="BS3397">
        <v>49.13</v>
      </c>
      <c r="BT3397">
        <v>30.41</v>
      </c>
      <c r="BU3397">
        <v>27.53</v>
      </c>
      <c r="BV3397">
        <v>2.16</v>
      </c>
      <c r="BW3397">
        <v>19.02</v>
      </c>
      <c r="BX3397">
        <v>4.1100000000000003</v>
      </c>
      <c r="BY3397">
        <v>13.94</v>
      </c>
      <c r="BZ3397">
        <v>7.44</v>
      </c>
      <c r="CA3397">
        <v>0.01</v>
      </c>
      <c r="CB3397">
        <v>7.96</v>
      </c>
      <c r="CC3397">
        <v>18.38</v>
      </c>
      <c r="CD3397">
        <v>13.21</v>
      </c>
      <c r="CE3397">
        <v>3</v>
      </c>
      <c r="CF3397">
        <v>0.03</v>
      </c>
      <c r="CG3397">
        <v>3.01</v>
      </c>
      <c r="CH3397">
        <v>2.61</v>
      </c>
      <c r="CI3397">
        <v>2.61</v>
      </c>
      <c r="CJ3397">
        <v>0.2</v>
      </c>
      <c r="CK3397">
        <v>2.48</v>
      </c>
      <c r="CL3397">
        <v>15.17</v>
      </c>
      <c r="CM3397">
        <v>2.0499999999999998</v>
      </c>
      <c r="CN3397">
        <v>0.55000000000000004</v>
      </c>
      <c r="CO3397">
        <v>13170</v>
      </c>
      <c r="CP3397">
        <v>11558</v>
      </c>
      <c r="CQ3397" t="s">
        <v>14498</v>
      </c>
      <c r="CR3397">
        <v>415.87</v>
      </c>
      <c r="CS3397">
        <v>72.680000000000007</v>
      </c>
      <c r="CT3397">
        <v>4.8099999999999996</v>
      </c>
      <c r="CU3397">
        <v>75.13</v>
      </c>
      <c r="CV3397">
        <v>8.3800000000000008</v>
      </c>
      <c r="CW3397">
        <v>0.27</v>
      </c>
      <c r="CX3397" t="s">
        <v>966</v>
      </c>
      <c r="CY3397">
        <v>3.8</v>
      </c>
      <c r="CZ3397">
        <v>3.8</v>
      </c>
      <c r="DA3397">
        <v>0.95</v>
      </c>
      <c r="DB3397">
        <v>1.8</v>
      </c>
      <c r="DC3397">
        <v>0.24</v>
      </c>
      <c r="DD3397">
        <v>50.88</v>
      </c>
      <c r="DE3397" t="s">
        <v>14079</v>
      </c>
      <c r="DF3397">
        <v>28.16</v>
      </c>
      <c r="DG3397">
        <v>16.309999999999999</v>
      </c>
      <c r="DH3397">
        <v>14.21</v>
      </c>
      <c r="DI3397">
        <v>0.86</v>
      </c>
      <c r="DJ3397">
        <v>4618</v>
      </c>
      <c r="DK3397">
        <v>603055</v>
      </c>
      <c r="DL3397">
        <v>20210913</v>
      </c>
      <c r="DM3397">
        <v>17.66</v>
      </c>
      <c r="DN3397">
        <v>3.57</v>
      </c>
    </row>
    <row r="3398" spans="1:118">
      <c r="A3398" t="str">
        <f>"603056"</f>
        <v>603056</v>
      </c>
      <c r="B3398" t="s">
        <v>14499</v>
      </c>
      <c r="C3398">
        <v>-2.36</v>
      </c>
      <c r="D3398">
        <v>0.19</v>
      </c>
      <c r="E3398">
        <v>0.18</v>
      </c>
      <c r="F3398">
        <v>370</v>
      </c>
      <c r="G3398" t="s">
        <v>5847</v>
      </c>
      <c r="H3398">
        <v>4099.2</v>
      </c>
      <c r="I3398">
        <v>5.96</v>
      </c>
      <c r="J3398" t="s">
        <v>120</v>
      </c>
      <c r="K3398" t="s">
        <v>14500</v>
      </c>
      <c r="L3398">
        <v>0.39</v>
      </c>
      <c r="M3398">
        <v>10.75</v>
      </c>
      <c r="N3398">
        <v>0.6</v>
      </c>
      <c r="O3398">
        <v>0.73</v>
      </c>
      <c r="P3398">
        <v>11.09</v>
      </c>
      <c r="Q3398">
        <v>-2.63</v>
      </c>
      <c r="R3398">
        <v>10.72</v>
      </c>
      <c r="S3398">
        <v>11.03</v>
      </c>
      <c r="T3398">
        <v>37752</v>
      </c>
      <c r="U3398">
        <v>10.75</v>
      </c>
      <c r="V3398">
        <v>11.01</v>
      </c>
      <c r="W3398">
        <v>352.52</v>
      </c>
      <c r="X3398" t="s">
        <v>2775</v>
      </c>
      <c r="Y3398" t="s">
        <v>1510</v>
      </c>
      <c r="Z3398">
        <v>3.36</v>
      </c>
      <c r="AA3398">
        <v>10.86</v>
      </c>
      <c r="AB3398">
        <v>23431</v>
      </c>
      <c r="AC3398">
        <v>14321</v>
      </c>
      <c r="AD3398">
        <v>1.64</v>
      </c>
      <c r="AE3398">
        <v>35</v>
      </c>
      <c r="AF3398">
        <v>3</v>
      </c>
      <c r="AG3398" t="s">
        <v>120</v>
      </c>
      <c r="AH3398">
        <v>0</v>
      </c>
      <c r="AI3398" t="s">
        <v>120</v>
      </c>
      <c r="AJ3398">
        <v>9.6</v>
      </c>
      <c r="AK3398" t="s">
        <v>14501</v>
      </c>
      <c r="AL3398">
        <v>-1.02</v>
      </c>
      <c r="AM3398">
        <v>2186</v>
      </c>
      <c r="AN3398">
        <v>17</v>
      </c>
      <c r="AO3398">
        <v>2.0000000000000001E-4</v>
      </c>
      <c r="AP3398">
        <v>-3</v>
      </c>
      <c r="AQ3398">
        <v>-1.34</v>
      </c>
      <c r="AR3398">
        <v>-4.6900000000000004</v>
      </c>
      <c r="AS3398">
        <v>6.12</v>
      </c>
      <c r="AT3398">
        <v>-0.83</v>
      </c>
      <c r="AU3398">
        <v>-14.27</v>
      </c>
      <c r="AV3398">
        <v>2</v>
      </c>
      <c r="AW3398">
        <v>1.66</v>
      </c>
      <c r="AX3398">
        <v>22.11</v>
      </c>
      <c r="AY3398">
        <v>26.58</v>
      </c>
      <c r="AZ3398">
        <v>20.03</v>
      </c>
      <c r="BA3398">
        <v>0.56000000000000005</v>
      </c>
      <c r="BB3398" t="s">
        <v>125</v>
      </c>
      <c r="BF3398">
        <v>-1.38</v>
      </c>
      <c r="BG3398">
        <v>-2.54</v>
      </c>
      <c r="BH3398">
        <v>-3.07</v>
      </c>
      <c r="BI3398">
        <v>0.28000000000000003</v>
      </c>
      <c r="BJ3398">
        <v>20210827</v>
      </c>
      <c r="BK3398">
        <v>20180116</v>
      </c>
      <c r="BL3398">
        <v>10.27</v>
      </c>
      <c r="BM3398" t="s">
        <v>120</v>
      </c>
      <c r="BN3398" t="s">
        <v>120</v>
      </c>
      <c r="BO3398">
        <v>147.61000000000001</v>
      </c>
      <c r="BP3398">
        <v>10.74</v>
      </c>
      <c r="BQ3398">
        <v>62.07</v>
      </c>
      <c r="BR3398">
        <v>-0.01</v>
      </c>
      <c r="BS3398">
        <v>57.96</v>
      </c>
      <c r="BT3398">
        <v>51.65</v>
      </c>
      <c r="BU3398">
        <v>34.78</v>
      </c>
      <c r="BV3398">
        <v>4.71</v>
      </c>
      <c r="BW3398">
        <v>65.95</v>
      </c>
      <c r="BX3398">
        <v>17.14</v>
      </c>
      <c r="BY3398">
        <v>0.22</v>
      </c>
      <c r="BZ3398">
        <v>17.649999999999999</v>
      </c>
      <c r="CA3398">
        <v>0.02</v>
      </c>
      <c r="CB3398">
        <v>8.8800000000000008</v>
      </c>
      <c r="CC3398">
        <v>148.88999999999999</v>
      </c>
      <c r="CD3398">
        <v>133.84</v>
      </c>
      <c r="CE3398">
        <v>-0.05</v>
      </c>
      <c r="CF3398">
        <v>0.08</v>
      </c>
      <c r="CG3398">
        <v>0.01</v>
      </c>
      <c r="CH3398">
        <v>0.16</v>
      </c>
      <c r="CI3398">
        <v>0.16</v>
      </c>
      <c r="CJ3398">
        <v>-0.26</v>
      </c>
      <c r="CK3398">
        <v>-1.59</v>
      </c>
      <c r="CL3398">
        <v>29.12</v>
      </c>
      <c r="CM3398">
        <v>13.37</v>
      </c>
      <c r="CN3398">
        <v>2.75</v>
      </c>
      <c r="CO3398">
        <v>33919</v>
      </c>
      <c r="CP3398">
        <v>6695</v>
      </c>
      <c r="CQ3398" t="s">
        <v>14502</v>
      </c>
      <c r="CR3398">
        <v>-89.88</v>
      </c>
      <c r="CS3398">
        <v>28.16</v>
      </c>
      <c r="CT3398">
        <v>1.78</v>
      </c>
      <c r="CU3398">
        <v>8.26</v>
      </c>
      <c r="CV3398">
        <v>0.74</v>
      </c>
      <c r="CW3398">
        <v>1.36</v>
      </c>
      <c r="CX3398" t="s">
        <v>499</v>
      </c>
      <c r="CY3398">
        <v>6.04</v>
      </c>
      <c r="CZ3398">
        <v>0</v>
      </c>
      <c r="DA3398">
        <v>0.86</v>
      </c>
      <c r="DB3398">
        <v>2.84</v>
      </c>
      <c r="DC3398">
        <v>1.3</v>
      </c>
      <c r="DD3398">
        <v>42.05</v>
      </c>
      <c r="DE3398" t="s">
        <v>1875</v>
      </c>
      <c r="DF3398">
        <v>10.11</v>
      </c>
      <c r="DG3398">
        <v>-0.03</v>
      </c>
      <c r="DH3398">
        <v>0.11</v>
      </c>
      <c r="DI3398">
        <v>0.16</v>
      </c>
      <c r="DJ3398">
        <v>79298</v>
      </c>
      <c r="DK3398">
        <v>603056</v>
      </c>
      <c r="DL3398" t="s">
        <v>120</v>
      </c>
      <c r="DM3398" t="s">
        <v>120</v>
      </c>
      <c r="DN3398" t="s">
        <v>120</v>
      </c>
    </row>
    <row r="3399" spans="1:118">
      <c r="A3399" t="str">
        <f>"603058"</f>
        <v>603058</v>
      </c>
      <c r="B3399" t="s">
        <v>14503</v>
      </c>
      <c r="C3399">
        <v>-2.04</v>
      </c>
      <c r="D3399">
        <v>-0.45</v>
      </c>
      <c r="E3399">
        <v>-0.68</v>
      </c>
      <c r="F3399">
        <v>2117</v>
      </c>
      <c r="G3399" t="s">
        <v>14504</v>
      </c>
      <c r="H3399">
        <v>7235.5</v>
      </c>
      <c r="I3399">
        <v>55.65</v>
      </c>
      <c r="J3399" t="s">
        <v>120</v>
      </c>
      <c r="K3399" t="s">
        <v>14505</v>
      </c>
      <c r="L3399">
        <v>2</v>
      </c>
      <c r="M3399">
        <v>8.6300000000000008</v>
      </c>
      <c r="N3399">
        <v>0.78</v>
      </c>
      <c r="O3399">
        <v>-0.11</v>
      </c>
      <c r="P3399">
        <v>8.8000000000000007</v>
      </c>
      <c r="Q3399">
        <v>-3.52</v>
      </c>
      <c r="R3399">
        <v>8.5</v>
      </c>
      <c r="S3399">
        <v>8.75</v>
      </c>
      <c r="T3399">
        <v>83743</v>
      </c>
      <c r="U3399">
        <v>8.67</v>
      </c>
      <c r="V3399">
        <v>8.81</v>
      </c>
      <c r="W3399">
        <v>20.49</v>
      </c>
      <c r="X3399" t="s">
        <v>339</v>
      </c>
      <c r="Y3399" t="s">
        <v>1021</v>
      </c>
      <c r="Z3399">
        <v>3.41</v>
      </c>
      <c r="AA3399">
        <v>8.64</v>
      </c>
      <c r="AB3399">
        <v>52637</v>
      </c>
      <c r="AC3399">
        <v>31106</v>
      </c>
      <c r="AD3399">
        <v>1.69</v>
      </c>
      <c r="AE3399">
        <v>535</v>
      </c>
      <c r="AF3399">
        <v>1388</v>
      </c>
      <c r="AG3399" t="s">
        <v>120</v>
      </c>
      <c r="AH3399">
        <v>0.04</v>
      </c>
      <c r="AI3399" t="s">
        <v>120</v>
      </c>
      <c r="AJ3399">
        <v>4.1900000000000004</v>
      </c>
      <c r="AK3399" t="s">
        <v>14505</v>
      </c>
      <c r="AL3399">
        <v>-0.7</v>
      </c>
      <c r="AM3399">
        <v>2097</v>
      </c>
      <c r="AN3399">
        <v>40</v>
      </c>
      <c r="AO3399">
        <v>1E-3</v>
      </c>
      <c r="AP3399">
        <v>-1</v>
      </c>
      <c r="AQ3399">
        <v>6.92</v>
      </c>
      <c r="AR3399">
        <v>-0.23</v>
      </c>
      <c r="AS3399">
        <v>22.76</v>
      </c>
      <c r="AT3399">
        <v>23.82</v>
      </c>
      <c r="AU3399">
        <v>24.71</v>
      </c>
      <c r="AV3399">
        <v>9</v>
      </c>
      <c r="AW3399">
        <v>5.46</v>
      </c>
      <c r="AX3399">
        <v>36.619999999999997</v>
      </c>
      <c r="AY3399">
        <v>22.03</v>
      </c>
      <c r="AZ3399">
        <v>23.36</v>
      </c>
      <c r="BA3399">
        <v>0.53</v>
      </c>
      <c r="BB3399" t="s">
        <v>700</v>
      </c>
      <c r="BF3399">
        <v>-1.93</v>
      </c>
      <c r="BG3399">
        <v>-1.37</v>
      </c>
      <c r="BH3399">
        <v>-1.93</v>
      </c>
      <c r="BI3399">
        <v>1.53</v>
      </c>
      <c r="BJ3399">
        <v>20210826</v>
      </c>
      <c r="BK3399">
        <v>20161223</v>
      </c>
      <c r="BL3399">
        <v>4.1900000000000004</v>
      </c>
      <c r="BM3399" t="s">
        <v>120</v>
      </c>
      <c r="BN3399" t="s">
        <v>120</v>
      </c>
      <c r="BO3399">
        <v>15.5</v>
      </c>
      <c r="BP3399">
        <v>8.6300000000000008</v>
      </c>
      <c r="BQ3399">
        <v>12.03</v>
      </c>
      <c r="BR3399">
        <v>1.04</v>
      </c>
      <c r="BS3399">
        <v>15.7</v>
      </c>
      <c r="BT3399">
        <v>8.11</v>
      </c>
      <c r="BU3399">
        <v>3.07</v>
      </c>
      <c r="BV3399">
        <v>0.33</v>
      </c>
      <c r="BW3399">
        <v>1.27</v>
      </c>
      <c r="BX3399">
        <v>2.91</v>
      </c>
      <c r="BY3399">
        <v>1.35</v>
      </c>
      <c r="BZ3399">
        <v>1.06</v>
      </c>
      <c r="CA3399" t="s">
        <v>120</v>
      </c>
      <c r="CB3399">
        <v>1.1299999999999999</v>
      </c>
      <c r="CC3399">
        <v>1.78</v>
      </c>
      <c r="CD3399">
        <v>1.24</v>
      </c>
      <c r="CE3399">
        <v>1.03</v>
      </c>
      <c r="CF3399">
        <v>0.28000000000000003</v>
      </c>
      <c r="CG3399">
        <v>1.03</v>
      </c>
      <c r="CH3399">
        <v>0.86</v>
      </c>
      <c r="CI3399">
        <v>0.88</v>
      </c>
      <c r="CJ3399">
        <v>-0.18</v>
      </c>
      <c r="CK3399">
        <v>0.19</v>
      </c>
      <c r="CL3399">
        <v>5.42</v>
      </c>
      <c r="CM3399">
        <v>0.91</v>
      </c>
      <c r="CN3399">
        <v>-0.41</v>
      </c>
      <c r="CO3399">
        <v>17025</v>
      </c>
      <c r="CP3399">
        <v>9014</v>
      </c>
      <c r="CQ3399" t="s">
        <v>5329</v>
      </c>
      <c r="CR3399">
        <v>12.1</v>
      </c>
      <c r="CS3399">
        <v>-10.61</v>
      </c>
      <c r="CT3399">
        <v>3.01</v>
      </c>
      <c r="CU3399">
        <v>39.83</v>
      </c>
      <c r="CV3399">
        <v>20.350000000000001</v>
      </c>
      <c r="CW3399">
        <v>4.2</v>
      </c>
      <c r="CX3399" t="s">
        <v>2097</v>
      </c>
      <c r="CY3399">
        <v>2.87</v>
      </c>
      <c r="CZ3399">
        <v>0</v>
      </c>
      <c r="DA3399">
        <v>0.27</v>
      </c>
      <c r="DB3399">
        <v>1.29</v>
      </c>
      <c r="DC3399">
        <v>0.22</v>
      </c>
      <c r="DD3399">
        <v>77.62</v>
      </c>
      <c r="DE3399" t="s">
        <v>3490</v>
      </c>
      <c r="DF3399">
        <v>30.16</v>
      </c>
      <c r="DG3399">
        <v>58.11</v>
      </c>
      <c r="DH3399">
        <v>49.66</v>
      </c>
      <c r="DI3399">
        <v>0.1</v>
      </c>
      <c r="DJ3399">
        <v>836</v>
      </c>
      <c r="DK3399">
        <v>603058</v>
      </c>
      <c r="DL3399" t="s">
        <v>120</v>
      </c>
      <c r="DM3399" t="s">
        <v>120</v>
      </c>
      <c r="DN3399" t="s">
        <v>120</v>
      </c>
    </row>
    <row r="3400" spans="1:118">
      <c r="A3400" t="str">
        <f>"603059"</f>
        <v>603059</v>
      </c>
      <c r="B3400" t="s">
        <v>14506</v>
      </c>
      <c r="C3400">
        <v>-0.19</v>
      </c>
      <c r="D3400">
        <v>-0.23</v>
      </c>
      <c r="E3400">
        <v>0</v>
      </c>
      <c r="F3400">
        <v>112</v>
      </c>
      <c r="G3400" t="s">
        <v>14507</v>
      </c>
      <c r="H3400">
        <v>1121.42</v>
      </c>
      <c r="I3400">
        <v>1.48</v>
      </c>
      <c r="J3400" t="s">
        <v>120</v>
      </c>
      <c r="K3400" t="s">
        <v>7034</v>
      </c>
      <c r="L3400">
        <v>0.53</v>
      </c>
      <c r="M3400">
        <v>21.05</v>
      </c>
      <c r="N3400">
        <v>1.05</v>
      </c>
      <c r="O3400">
        <v>1.38</v>
      </c>
      <c r="P3400">
        <v>21.38</v>
      </c>
      <c r="Q3400">
        <v>-0.9</v>
      </c>
      <c r="R3400">
        <v>20.9</v>
      </c>
      <c r="S3400">
        <v>21.09</v>
      </c>
      <c r="T3400">
        <v>5296</v>
      </c>
      <c r="U3400">
        <v>21.06</v>
      </c>
      <c r="V3400">
        <v>21.09</v>
      </c>
      <c r="W3400">
        <v>23.48</v>
      </c>
      <c r="X3400" t="s">
        <v>2409</v>
      </c>
      <c r="Y3400" t="s">
        <v>319</v>
      </c>
      <c r="Z3400">
        <v>2.2799999999999998</v>
      </c>
      <c r="AA3400">
        <v>21.18</v>
      </c>
      <c r="AB3400">
        <v>3339</v>
      </c>
      <c r="AC3400">
        <v>1957</v>
      </c>
      <c r="AD3400">
        <v>1.71</v>
      </c>
      <c r="AE3400">
        <v>3</v>
      </c>
      <c r="AF3400">
        <v>6</v>
      </c>
      <c r="AG3400" t="s">
        <v>120</v>
      </c>
      <c r="AH3400">
        <v>0</v>
      </c>
      <c r="AI3400" t="s">
        <v>120</v>
      </c>
      <c r="AJ3400">
        <v>1</v>
      </c>
      <c r="AK3400" t="s">
        <v>7034</v>
      </c>
      <c r="AL3400">
        <v>1.1499999999999999</v>
      </c>
      <c r="AM3400">
        <v>582</v>
      </c>
      <c r="AN3400">
        <v>9</v>
      </c>
      <c r="AO3400">
        <v>8.9999999999999998E-4</v>
      </c>
      <c r="AP3400">
        <v>-1</v>
      </c>
      <c r="AQ3400">
        <v>0.96</v>
      </c>
      <c r="AR3400">
        <v>-0.8</v>
      </c>
      <c r="AS3400">
        <v>-1.1299999999999999</v>
      </c>
      <c r="AT3400">
        <v>-9.23</v>
      </c>
      <c r="AU3400">
        <v>-5.69</v>
      </c>
      <c r="AV3400">
        <v>4</v>
      </c>
      <c r="AW3400">
        <v>2.12</v>
      </c>
      <c r="AX3400">
        <v>25</v>
      </c>
      <c r="AY3400">
        <v>29.04</v>
      </c>
      <c r="AZ3400">
        <v>27.43</v>
      </c>
      <c r="BA3400">
        <v>0.84</v>
      </c>
      <c r="BB3400" t="s">
        <v>240</v>
      </c>
      <c r="BF3400">
        <v>0.41</v>
      </c>
      <c r="BG3400">
        <v>-0.19</v>
      </c>
      <c r="BH3400">
        <v>-1.54</v>
      </c>
      <c r="BI3400">
        <v>0.72</v>
      </c>
      <c r="BJ3400">
        <v>20210831</v>
      </c>
      <c r="BK3400">
        <v>20180302</v>
      </c>
      <c r="BL3400">
        <v>1</v>
      </c>
      <c r="BM3400" t="s">
        <v>120</v>
      </c>
      <c r="BN3400" t="s">
        <v>120</v>
      </c>
      <c r="BO3400">
        <v>15.61</v>
      </c>
      <c r="BP3400">
        <v>21.05</v>
      </c>
      <c r="BQ3400">
        <v>10.49</v>
      </c>
      <c r="BR3400" t="s">
        <v>120</v>
      </c>
      <c r="BS3400">
        <v>32.79</v>
      </c>
      <c r="BT3400">
        <v>8.67</v>
      </c>
      <c r="BU3400">
        <v>3.72</v>
      </c>
      <c r="BV3400">
        <v>0.3</v>
      </c>
      <c r="BW3400">
        <v>4.8899999999999997</v>
      </c>
      <c r="BX3400">
        <v>1.1000000000000001</v>
      </c>
      <c r="BY3400">
        <v>1.55</v>
      </c>
      <c r="BZ3400">
        <v>1.63</v>
      </c>
      <c r="CA3400" t="s">
        <v>120</v>
      </c>
      <c r="CB3400">
        <v>5.0999999999999996</v>
      </c>
      <c r="CC3400">
        <v>5.56</v>
      </c>
      <c r="CD3400">
        <v>4.4000000000000004</v>
      </c>
      <c r="CE3400">
        <v>0.51</v>
      </c>
      <c r="CF3400">
        <v>0.09</v>
      </c>
      <c r="CG3400">
        <v>0.51</v>
      </c>
      <c r="CH3400">
        <v>0.45</v>
      </c>
      <c r="CI3400">
        <v>0.45</v>
      </c>
      <c r="CJ3400">
        <v>-0.04</v>
      </c>
      <c r="CK3400">
        <v>0.41</v>
      </c>
      <c r="CL3400">
        <v>4.0599999999999996</v>
      </c>
      <c r="CM3400">
        <v>0.91</v>
      </c>
      <c r="CN3400">
        <v>-0.14000000000000001</v>
      </c>
      <c r="CO3400">
        <v>10026</v>
      </c>
      <c r="CP3400">
        <v>2494</v>
      </c>
      <c r="CQ3400" t="s">
        <v>2186</v>
      </c>
      <c r="CR3400">
        <v>-8.6999999999999993</v>
      </c>
      <c r="CS3400">
        <v>55.06</v>
      </c>
      <c r="CT3400">
        <v>2.0099999999999998</v>
      </c>
      <c r="CU3400">
        <v>23.1</v>
      </c>
      <c r="CV3400">
        <v>3.78</v>
      </c>
      <c r="CW3400">
        <v>1.1399999999999999</v>
      </c>
      <c r="CX3400" t="s">
        <v>1520</v>
      </c>
      <c r="CY3400">
        <v>10.49</v>
      </c>
      <c r="CZ3400">
        <v>0</v>
      </c>
      <c r="DA3400">
        <v>5.0999999999999996</v>
      </c>
      <c r="DB3400">
        <v>4.0599999999999996</v>
      </c>
      <c r="DC3400">
        <v>0.91</v>
      </c>
      <c r="DD3400">
        <v>67.209999999999994</v>
      </c>
      <c r="DE3400" t="s">
        <v>2110</v>
      </c>
      <c r="DF3400">
        <v>20.98</v>
      </c>
      <c r="DG3400">
        <v>9.1199999999999992</v>
      </c>
      <c r="DH3400">
        <v>8.0500000000000007</v>
      </c>
      <c r="DI3400">
        <v>0.14000000000000001</v>
      </c>
      <c r="DJ3400">
        <v>2130</v>
      </c>
      <c r="DK3400">
        <v>603059</v>
      </c>
      <c r="DL3400" t="s">
        <v>120</v>
      </c>
      <c r="DM3400" t="s">
        <v>120</v>
      </c>
      <c r="DN3400" t="s">
        <v>120</v>
      </c>
    </row>
    <row r="3401" spans="1:118">
      <c r="A3401" t="str">
        <f>"603060"</f>
        <v>603060</v>
      </c>
      <c r="B3401" t="s">
        <v>14508</v>
      </c>
      <c r="C3401">
        <v>-3.12</v>
      </c>
      <c r="D3401">
        <v>0.51</v>
      </c>
      <c r="E3401">
        <v>2.78</v>
      </c>
      <c r="F3401">
        <v>687</v>
      </c>
      <c r="G3401" t="s">
        <v>14509</v>
      </c>
      <c r="H3401">
        <v>12066.07</v>
      </c>
      <c r="I3401">
        <v>163.77000000000001</v>
      </c>
      <c r="J3401" t="s">
        <v>120</v>
      </c>
      <c r="K3401" t="s">
        <v>14510</v>
      </c>
      <c r="L3401">
        <v>0.99</v>
      </c>
      <c r="M3401">
        <v>19.84</v>
      </c>
      <c r="N3401">
        <v>0.66</v>
      </c>
      <c r="O3401">
        <v>3.47</v>
      </c>
      <c r="P3401">
        <v>21.19</v>
      </c>
      <c r="Q3401">
        <v>-3.96</v>
      </c>
      <c r="R3401">
        <v>19.670000000000002</v>
      </c>
      <c r="S3401">
        <v>21.05</v>
      </c>
      <c r="T3401">
        <v>59991</v>
      </c>
      <c r="U3401">
        <v>19.84</v>
      </c>
      <c r="V3401">
        <v>20.48</v>
      </c>
      <c r="W3401">
        <v>145.82</v>
      </c>
      <c r="X3401" t="s">
        <v>175</v>
      </c>
      <c r="Y3401" t="s">
        <v>158</v>
      </c>
      <c r="Z3401">
        <v>7.42</v>
      </c>
      <c r="AA3401">
        <v>20.11</v>
      </c>
      <c r="AB3401">
        <v>39556</v>
      </c>
      <c r="AC3401">
        <v>20435</v>
      </c>
      <c r="AD3401">
        <v>1.94</v>
      </c>
      <c r="AE3401">
        <v>20</v>
      </c>
      <c r="AF3401">
        <v>108</v>
      </c>
      <c r="AG3401" t="s">
        <v>120</v>
      </c>
      <c r="AH3401">
        <v>0.04</v>
      </c>
      <c r="AI3401" t="s">
        <v>120</v>
      </c>
      <c r="AJ3401">
        <v>6.04</v>
      </c>
      <c r="AK3401" t="s">
        <v>14510</v>
      </c>
      <c r="AL3401">
        <v>-1.78</v>
      </c>
      <c r="AM3401">
        <v>2722</v>
      </c>
      <c r="AN3401">
        <v>22</v>
      </c>
      <c r="AO3401">
        <v>4.0000000000000002E-4</v>
      </c>
      <c r="AP3401">
        <v>-1</v>
      </c>
      <c r="AQ3401">
        <v>2.4</v>
      </c>
      <c r="AR3401">
        <v>-0.6</v>
      </c>
      <c r="AS3401">
        <v>17.260000000000002</v>
      </c>
      <c r="AT3401">
        <v>10.14</v>
      </c>
      <c r="AU3401">
        <v>43.18</v>
      </c>
      <c r="AV3401">
        <v>1</v>
      </c>
      <c r="AW3401">
        <v>3.13</v>
      </c>
      <c r="AX3401">
        <v>31.7</v>
      </c>
      <c r="AY3401">
        <v>52.79</v>
      </c>
      <c r="AZ3401">
        <v>53.45</v>
      </c>
      <c r="BA3401">
        <v>0.9</v>
      </c>
      <c r="BB3401" t="s">
        <v>143</v>
      </c>
      <c r="BF3401">
        <v>-1.79</v>
      </c>
      <c r="BG3401">
        <v>-5.75</v>
      </c>
      <c r="BH3401">
        <v>-6.37</v>
      </c>
      <c r="BI3401">
        <v>0.86</v>
      </c>
      <c r="BJ3401">
        <v>20210827</v>
      </c>
      <c r="BK3401">
        <v>20161109</v>
      </c>
      <c r="BL3401">
        <v>6.04</v>
      </c>
      <c r="BM3401" t="s">
        <v>120</v>
      </c>
      <c r="BN3401" t="s">
        <v>120</v>
      </c>
      <c r="BO3401">
        <v>26.98</v>
      </c>
      <c r="BP3401">
        <v>19.82</v>
      </c>
      <c r="BQ3401">
        <v>13.58</v>
      </c>
      <c r="BR3401">
        <v>4.08</v>
      </c>
      <c r="BS3401">
        <v>34.56</v>
      </c>
      <c r="BT3401">
        <v>8.65</v>
      </c>
      <c r="BU3401">
        <v>8.26</v>
      </c>
      <c r="BV3401">
        <v>1.32</v>
      </c>
      <c r="BW3401">
        <v>5.66</v>
      </c>
      <c r="BX3401">
        <v>1.59</v>
      </c>
      <c r="BY3401">
        <v>0.42</v>
      </c>
      <c r="BZ3401">
        <v>3.79</v>
      </c>
      <c r="CA3401" t="s">
        <v>120</v>
      </c>
      <c r="CB3401">
        <v>1.41</v>
      </c>
      <c r="CC3401">
        <v>8.08</v>
      </c>
      <c r="CD3401">
        <v>4.96</v>
      </c>
      <c r="CE3401">
        <v>0.54</v>
      </c>
      <c r="CF3401">
        <v>0.03</v>
      </c>
      <c r="CG3401">
        <v>0.6</v>
      </c>
      <c r="CH3401">
        <v>0.5</v>
      </c>
      <c r="CI3401">
        <v>0.41</v>
      </c>
      <c r="CJ3401">
        <v>-0.64</v>
      </c>
      <c r="CK3401">
        <v>0.32</v>
      </c>
      <c r="CL3401">
        <v>4.78</v>
      </c>
      <c r="CM3401">
        <v>0.4</v>
      </c>
      <c r="CN3401">
        <v>-1.53</v>
      </c>
      <c r="CO3401">
        <v>21738</v>
      </c>
      <c r="CP3401">
        <v>8803</v>
      </c>
      <c r="CQ3401" t="s">
        <v>6986</v>
      </c>
      <c r="CR3401">
        <v>7.63</v>
      </c>
      <c r="CS3401">
        <v>66.13</v>
      </c>
      <c r="CT3401">
        <v>8.82</v>
      </c>
      <c r="CU3401">
        <v>301.07</v>
      </c>
      <c r="CV3401">
        <v>14.83</v>
      </c>
      <c r="CW3401">
        <v>0.56000000000000005</v>
      </c>
      <c r="CX3401" t="s">
        <v>2200</v>
      </c>
      <c r="CY3401">
        <v>2.25</v>
      </c>
      <c r="CZ3401">
        <v>0</v>
      </c>
      <c r="DA3401">
        <v>0.23</v>
      </c>
      <c r="DB3401">
        <v>0.79</v>
      </c>
      <c r="DC3401">
        <v>7.0000000000000007E-2</v>
      </c>
      <c r="DD3401">
        <v>50.33</v>
      </c>
      <c r="DE3401" t="s">
        <v>7929</v>
      </c>
      <c r="DF3401">
        <v>38.58</v>
      </c>
      <c r="DG3401">
        <v>6.73</v>
      </c>
      <c r="DH3401">
        <v>5.09</v>
      </c>
      <c r="DI3401">
        <v>0.65</v>
      </c>
      <c r="DJ3401">
        <v>3757</v>
      </c>
      <c r="DK3401">
        <v>603060</v>
      </c>
      <c r="DL3401" t="s">
        <v>120</v>
      </c>
      <c r="DM3401" t="s">
        <v>120</v>
      </c>
      <c r="DN3401" t="s">
        <v>120</v>
      </c>
    </row>
    <row r="3402" spans="1:118">
      <c r="A3402" t="str">
        <f>"603063"</f>
        <v>603063</v>
      </c>
      <c r="B3402" t="s">
        <v>14511</v>
      </c>
      <c r="C3402">
        <v>-6.69</v>
      </c>
      <c r="D3402">
        <v>0.66</v>
      </c>
      <c r="E3402">
        <v>0.49</v>
      </c>
      <c r="F3402">
        <v>1674</v>
      </c>
      <c r="G3402" t="s">
        <v>14512</v>
      </c>
      <c r="H3402">
        <v>41351.01</v>
      </c>
      <c r="I3402">
        <v>612.99</v>
      </c>
      <c r="J3402" t="s">
        <v>120</v>
      </c>
      <c r="K3402" t="s">
        <v>14513</v>
      </c>
      <c r="L3402">
        <v>4.03</v>
      </c>
      <c r="M3402">
        <v>22.75</v>
      </c>
      <c r="N3402">
        <v>1.41</v>
      </c>
      <c r="O3402">
        <v>2.09</v>
      </c>
      <c r="P3402">
        <v>24.89</v>
      </c>
      <c r="Q3402">
        <v>-8.1999999999999993</v>
      </c>
      <c r="R3402">
        <v>22.38</v>
      </c>
      <c r="S3402">
        <v>24.5</v>
      </c>
      <c r="T3402">
        <v>174057</v>
      </c>
      <c r="U3402">
        <v>22.79</v>
      </c>
      <c r="V3402">
        <v>24.38</v>
      </c>
      <c r="W3402">
        <v>50.28</v>
      </c>
      <c r="X3402" t="s">
        <v>394</v>
      </c>
      <c r="Y3402" t="s">
        <v>123</v>
      </c>
      <c r="Z3402">
        <v>10.3</v>
      </c>
      <c r="AA3402">
        <v>23.76</v>
      </c>
      <c r="AB3402">
        <v>96989</v>
      </c>
      <c r="AC3402">
        <v>77068</v>
      </c>
      <c r="AD3402">
        <v>1.26</v>
      </c>
      <c r="AE3402">
        <v>205</v>
      </c>
      <c r="AF3402">
        <v>40</v>
      </c>
      <c r="AG3402" t="s">
        <v>120</v>
      </c>
      <c r="AH3402">
        <v>0.08</v>
      </c>
      <c r="AI3402" t="s">
        <v>120</v>
      </c>
      <c r="AJ3402">
        <v>4.32</v>
      </c>
      <c r="AK3402" t="s">
        <v>14514</v>
      </c>
      <c r="AL3402">
        <v>-5.34</v>
      </c>
      <c r="AM3402">
        <v>3790</v>
      </c>
      <c r="AN3402">
        <v>46</v>
      </c>
      <c r="AO3402">
        <v>1.1000000000000001E-3</v>
      </c>
      <c r="AP3402">
        <v>-1</v>
      </c>
      <c r="AQ3402">
        <v>10.02</v>
      </c>
      <c r="AR3402">
        <v>5.67</v>
      </c>
      <c r="AS3402">
        <v>-14.95</v>
      </c>
      <c r="AT3402">
        <v>49.08</v>
      </c>
      <c r="AU3402">
        <v>18.07</v>
      </c>
      <c r="AV3402">
        <v>11</v>
      </c>
      <c r="AW3402">
        <v>5.82</v>
      </c>
      <c r="AX3402">
        <v>68.84</v>
      </c>
      <c r="AY3402">
        <v>44.06</v>
      </c>
      <c r="AZ3402">
        <v>39.74</v>
      </c>
      <c r="BA3402">
        <v>0.82</v>
      </c>
      <c r="BB3402" t="s">
        <v>168</v>
      </c>
      <c r="BF3402">
        <v>-2.5499999999999998</v>
      </c>
      <c r="BG3402">
        <v>-7.14</v>
      </c>
      <c r="BH3402">
        <v>-8.6</v>
      </c>
      <c r="BI3402">
        <v>1.65</v>
      </c>
      <c r="BJ3402">
        <v>20210901</v>
      </c>
      <c r="BK3402">
        <v>20170728</v>
      </c>
      <c r="BL3402">
        <v>4.3499999999999996</v>
      </c>
      <c r="BM3402" t="s">
        <v>120</v>
      </c>
      <c r="BN3402" t="s">
        <v>120</v>
      </c>
      <c r="BO3402">
        <v>47.71</v>
      </c>
      <c r="BP3402">
        <v>22.75</v>
      </c>
      <c r="BQ3402">
        <v>28.94</v>
      </c>
      <c r="BR3402">
        <v>0.04</v>
      </c>
      <c r="BS3402">
        <v>39.25</v>
      </c>
      <c r="BT3402">
        <v>34.770000000000003</v>
      </c>
      <c r="BU3402">
        <v>2.13</v>
      </c>
      <c r="BV3402">
        <v>0.79</v>
      </c>
      <c r="BW3402">
        <v>14.37</v>
      </c>
      <c r="BX3402">
        <v>6.06</v>
      </c>
      <c r="BY3402">
        <v>8.61</v>
      </c>
      <c r="BZ3402">
        <v>10.62</v>
      </c>
      <c r="CA3402">
        <v>0</v>
      </c>
      <c r="CB3402">
        <v>10.58</v>
      </c>
      <c r="CC3402">
        <v>7.98</v>
      </c>
      <c r="CD3402">
        <v>4.87</v>
      </c>
      <c r="CE3402">
        <v>1.19</v>
      </c>
      <c r="CF3402">
        <v>0.09</v>
      </c>
      <c r="CG3402">
        <v>1.19</v>
      </c>
      <c r="CH3402">
        <v>0.98</v>
      </c>
      <c r="CI3402">
        <v>0.98</v>
      </c>
      <c r="CJ3402">
        <v>-1.63</v>
      </c>
      <c r="CK3402">
        <v>0.88</v>
      </c>
      <c r="CL3402">
        <v>12.81</v>
      </c>
      <c r="CM3402">
        <v>0.03</v>
      </c>
      <c r="CN3402">
        <v>-0.27</v>
      </c>
      <c r="CO3402">
        <v>31863</v>
      </c>
      <c r="CP3402">
        <v>9392</v>
      </c>
      <c r="CQ3402" t="s">
        <v>14515</v>
      </c>
      <c r="CR3402">
        <v>-20.99</v>
      </c>
      <c r="CS3402">
        <v>-10.29</v>
      </c>
      <c r="CT3402">
        <v>3.42</v>
      </c>
      <c r="CU3402">
        <v>2999.57</v>
      </c>
      <c r="CV3402">
        <v>12.4</v>
      </c>
      <c r="CW3402">
        <v>0.25</v>
      </c>
      <c r="CX3402" t="s">
        <v>694</v>
      </c>
      <c r="CY3402">
        <v>6.66</v>
      </c>
      <c r="CZ3402">
        <v>6.66</v>
      </c>
      <c r="DA3402">
        <v>2.4300000000000002</v>
      </c>
      <c r="DB3402">
        <v>2.95</v>
      </c>
      <c r="DC3402">
        <v>0.01</v>
      </c>
      <c r="DD3402">
        <v>60.67</v>
      </c>
      <c r="DE3402" t="s">
        <v>14516</v>
      </c>
      <c r="DF3402">
        <v>39.020000000000003</v>
      </c>
      <c r="DG3402">
        <v>14.94</v>
      </c>
      <c r="DH3402">
        <v>12.33</v>
      </c>
      <c r="DI3402">
        <v>0.9</v>
      </c>
      <c r="DJ3402">
        <v>1196</v>
      </c>
      <c r="DK3402">
        <v>603063</v>
      </c>
      <c r="DL3402" t="s">
        <v>120</v>
      </c>
      <c r="DM3402" t="s">
        <v>120</v>
      </c>
      <c r="DN3402" t="s">
        <v>120</v>
      </c>
    </row>
    <row r="3403" spans="1:118">
      <c r="A3403" t="str">
        <f>"603066"</f>
        <v>603066</v>
      </c>
      <c r="B3403" t="s">
        <v>14517</v>
      </c>
      <c r="C3403">
        <v>-3.42</v>
      </c>
      <c r="D3403">
        <v>0.34</v>
      </c>
      <c r="E3403">
        <v>1.32</v>
      </c>
      <c r="F3403">
        <v>625</v>
      </c>
      <c r="G3403" t="s">
        <v>6109</v>
      </c>
      <c r="H3403">
        <v>3834.91</v>
      </c>
      <c r="I3403">
        <v>40.159999999999997</v>
      </c>
      <c r="J3403" t="s">
        <v>120</v>
      </c>
      <c r="K3403" t="s">
        <v>4555</v>
      </c>
      <c r="L3403">
        <v>1.44</v>
      </c>
      <c r="M3403">
        <v>8.76</v>
      </c>
      <c r="N3403">
        <v>1.25</v>
      </c>
      <c r="O3403">
        <v>1.32</v>
      </c>
      <c r="P3403">
        <v>9.19</v>
      </c>
      <c r="Q3403">
        <v>-4.3</v>
      </c>
      <c r="R3403">
        <v>8.68</v>
      </c>
      <c r="S3403">
        <v>9.19</v>
      </c>
      <c r="T3403">
        <v>43324</v>
      </c>
      <c r="U3403">
        <v>8.76</v>
      </c>
      <c r="V3403">
        <v>9.07</v>
      </c>
      <c r="W3403">
        <v>21.31</v>
      </c>
      <c r="X3403" t="s">
        <v>2775</v>
      </c>
      <c r="Y3403" t="s">
        <v>319</v>
      </c>
      <c r="Z3403">
        <v>5.62</v>
      </c>
      <c r="AA3403">
        <v>8.85</v>
      </c>
      <c r="AB3403">
        <v>26978</v>
      </c>
      <c r="AC3403">
        <v>16346</v>
      </c>
      <c r="AD3403">
        <v>1.65</v>
      </c>
      <c r="AE3403">
        <v>292</v>
      </c>
      <c r="AF3403">
        <v>72</v>
      </c>
      <c r="AG3403" t="s">
        <v>120</v>
      </c>
      <c r="AH3403">
        <v>0.03</v>
      </c>
      <c r="AI3403" t="s">
        <v>120</v>
      </c>
      <c r="AJ3403">
        <v>3.01</v>
      </c>
      <c r="AK3403" t="s">
        <v>4555</v>
      </c>
      <c r="AL3403">
        <v>-2.0699999999999998</v>
      </c>
      <c r="AM3403">
        <v>1633</v>
      </c>
      <c r="AN3403">
        <v>27</v>
      </c>
      <c r="AO3403">
        <v>8.9999999999999998E-4</v>
      </c>
      <c r="AP3403">
        <v>-1</v>
      </c>
      <c r="AQ3403">
        <v>5.71</v>
      </c>
      <c r="AR3403">
        <v>-0.68</v>
      </c>
      <c r="AS3403">
        <v>11.74</v>
      </c>
      <c r="AT3403">
        <v>7.75</v>
      </c>
      <c r="AU3403">
        <v>2.4</v>
      </c>
      <c r="AV3403">
        <v>2</v>
      </c>
      <c r="AW3403">
        <v>3.1</v>
      </c>
      <c r="AX3403">
        <v>46.5</v>
      </c>
      <c r="AY3403">
        <v>28.23</v>
      </c>
      <c r="AZ3403">
        <v>28.82</v>
      </c>
      <c r="BA3403">
        <v>0.55000000000000004</v>
      </c>
      <c r="BB3403" t="s">
        <v>751</v>
      </c>
      <c r="BF3403">
        <v>-2.41</v>
      </c>
      <c r="BG3403">
        <v>-4.68</v>
      </c>
      <c r="BH3403">
        <v>-4.68</v>
      </c>
      <c r="BI3403">
        <v>0.92</v>
      </c>
      <c r="BJ3403">
        <v>20210827</v>
      </c>
      <c r="BK3403">
        <v>20150611</v>
      </c>
      <c r="BL3403">
        <v>3.01</v>
      </c>
      <c r="BM3403" t="s">
        <v>120</v>
      </c>
      <c r="BN3403" t="s">
        <v>120</v>
      </c>
      <c r="BO3403">
        <v>16.079999999999998</v>
      </c>
      <c r="BP3403">
        <v>8.75</v>
      </c>
      <c r="BQ3403">
        <v>10.85</v>
      </c>
      <c r="BR3403">
        <v>0.03</v>
      </c>
      <c r="BS3403">
        <v>32.32</v>
      </c>
      <c r="BT3403">
        <v>13.25</v>
      </c>
      <c r="BU3403">
        <v>0.72</v>
      </c>
      <c r="BV3403">
        <v>0.72</v>
      </c>
      <c r="BW3403">
        <v>4.88</v>
      </c>
      <c r="BX3403">
        <v>1.56</v>
      </c>
      <c r="BY3403">
        <v>4.22</v>
      </c>
      <c r="BZ3403">
        <v>2.57</v>
      </c>
      <c r="CA3403">
        <v>0</v>
      </c>
      <c r="CB3403">
        <v>1.8</v>
      </c>
      <c r="CC3403">
        <v>3.79</v>
      </c>
      <c r="CD3403">
        <v>2.82</v>
      </c>
      <c r="CE3403">
        <v>0.71</v>
      </c>
      <c r="CF3403">
        <v>0.06</v>
      </c>
      <c r="CG3403">
        <v>0.71</v>
      </c>
      <c r="CH3403">
        <v>0.62</v>
      </c>
      <c r="CI3403">
        <v>0.62</v>
      </c>
      <c r="CJ3403">
        <v>-0.31</v>
      </c>
      <c r="CK3403">
        <v>0.55000000000000004</v>
      </c>
      <c r="CL3403">
        <v>5.82</v>
      </c>
      <c r="CM3403">
        <v>-0.09</v>
      </c>
      <c r="CN3403">
        <v>-2.72</v>
      </c>
      <c r="CO3403">
        <v>16852</v>
      </c>
      <c r="CP3403">
        <v>8298</v>
      </c>
      <c r="CQ3403" t="s">
        <v>4598</v>
      </c>
      <c r="CR3403">
        <v>3.3</v>
      </c>
      <c r="CS3403">
        <v>16.04</v>
      </c>
      <c r="CT3403">
        <v>2.4300000000000002</v>
      </c>
      <c r="CU3403">
        <v>-306.69</v>
      </c>
      <c r="CV3403">
        <v>6.96</v>
      </c>
      <c r="CW3403">
        <v>0.7</v>
      </c>
      <c r="CX3403" t="s">
        <v>6823</v>
      </c>
      <c r="CY3403">
        <v>3.61</v>
      </c>
      <c r="CZ3403">
        <v>0</v>
      </c>
      <c r="DA3403">
        <v>0.6</v>
      </c>
      <c r="DB3403">
        <v>1.94</v>
      </c>
      <c r="DC3403">
        <v>-0.03</v>
      </c>
      <c r="DD3403">
        <v>67.510000000000005</v>
      </c>
      <c r="DE3403" t="s">
        <v>9833</v>
      </c>
      <c r="DF3403">
        <v>25.53</v>
      </c>
      <c r="DG3403">
        <v>18.71</v>
      </c>
      <c r="DH3403">
        <v>16.32</v>
      </c>
      <c r="DI3403">
        <v>0.1</v>
      </c>
      <c r="DJ3403">
        <v>952</v>
      </c>
      <c r="DK3403">
        <v>603066</v>
      </c>
      <c r="DL3403" t="s">
        <v>120</v>
      </c>
      <c r="DM3403" t="s">
        <v>120</v>
      </c>
      <c r="DN3403" t="s">
        <v>120</v>
      </c>
    </row>
    <row r="3404" spans="1:118">
      <c r="A3404" t="str">
        <f>"603067"</f>
        <v>603067</v>
      </c>
      <c r="B3404" t="s">
        <v>14518</v>
      </c>
      <c r="C3404">
        <v>-3.57</v>
      </c>
      <c r="D3404">
        <v>0</v>
      </c>
      <c r="E3404">
        <v>-7.0000000000000007E-2</v>
      </c>
      <c r="F3404">
        <v>930</v>
      </c>
      <c r="G3404" t="s">
        <v>11760</v>
      </c>
      <c r="H3404">
        <v>14866.93</v>
      </c>
      <c r="I3404">
        <v>78.83</v>
      </c>
      <c r="J3404" t="s">
        <v>120</v>
      </c>
      <c r="K3404" t="s">
        <v>14519</v>
      </c>
      <c r="L3404">
        <v>2.54</v>
      </c>
      <c r="M3404">
        <v>13.23</v>
      </c>
      <c r="N3404">
        <v>0.57999999999999996</v>
      </c>
      <c r="O3404">
        <v>1.9</v>
      </c>
      <c r="P3404">
        <v>13.98</v>
      </c>
      <c r="Q3404">
        <v>-3.72</v>
      </c>
      <c r="R3404">
        <v>13.21</v>
      </c>
      <c r="S3404">
        <v>13.71</v>
      </c>
      <c r="T3404">
        <v>109366</v>
      </c>
      <c r="U3404">
        <v>13.25</v>
      </c>
      <c r="V3404">
        <v>13.72</v>
      </c>
      <c r="W3404">
        <v>21.86</v>
      </c>
      <c r="X3404" t="s">
        <v>868</v>
      </c>
      <c r="Y3404" t="s">
        <v>763</v>
      </c>
      <c r="Z3404">
        <v>5.61</v>
      </c>
      <c r="AA3404">
        <v>13.59</v>
      </c>
      <c r="AB3404">
        <v>61823</v>
      </c>
      <c r="AC3404">
        <v>47543</v>
      </c>
      <c r="AD3404">
        <v>1.3</v>
      </c>
      <c r="AE3404">
        <v>200</v>
      </c>
      <c r="AF3404">
        <v>7</v>
      </c>
      <c r="AG3404" t="s">
        <v>120</v>
      </c>
      <c r="AH3404">
        <v>0.03</v>
      </c>
      <c r="AI3404" t="s">
        <v>120</v>
      </c>
      <c r="AJ3404">
        <v>4.3099999999999996</v>
      </c>
      <c r="AK3404" t="s">
        <v>14520</v>
      </c>
      <c r="AL3404">
        <v>-2.23</v>
      </c>
      <c r="AM3404">
        <v>3436</v>
      </c>
      <c r="AN3404">
        <v>32</v>
      </c>
      <c r="AO3404">
        <v>6.9999999999999999E-4</v>
      </c>
      <c r="AP3404">
        <v>-1</v>
      </c>
      <c r="AQ3404">
        <v>1.18</v>
      </c>
      <c r="AR3404">
        <v>-6.63</v>
      </c>
      <c r="AS3404">
        <v>23.07</v>
      </c>
      <c r="AT3404">
        <v>79.510000000000005</v>
      </c>
      <c r="AU3404">
        <v>103.6</v>
      </c>
      <c r="AV3404">
        <v>3</v>
      </c>
      <c r="AW3404">
        <v>4.8</v>
      </c>
      <c r="AX3404">
        <v>44.81</v>
      </c>
      <c r="AY3404">
        <v>31.38</v>
      </c>
      <c r="AZ3404">
        <v>46.55</v>
      </c>
      <c r="BA3404">
        <v>1.1599999999999999</v>
      </c>
      <c r="BB3404" t="s">
        <v>143</v>
      </c>
      <c r="BF3404">
        <v>-0.92</v>
      </c>
      <c r="BG3404">
        <v>-3.5</v>
      </c>
      <c r="BH3404">
        <v>-5.36</v>
      </c>
      <c r="BI3404">
        <v>0.15</v>
      </c>
      <c r="BJ3404">
        <v>20210907</v>
      </c>
      <c r="BK3404">
        <v>20160913</v>
      </c>
      <c r="BL3404">
        <v>5.08</v>
      </c>
      <c r="BM3404" t="s">
        <v>120</v>
      </c>
      <c r="BN3404" t="s">
        <v>120</v>
      </c>
      <c r="BO3404">
        <v>32.83</v>
      </c>
      <c r="BP3404">
        <v>13.23</v>
      </c>
      <c r="BQ3404">
        <v>19.91</v>
      </c>
      <c r="BR3404">
        <v>0.08</v>
      </c>
      <c r="BS3404">
        <v>39.11</v>
      </c>
      <c r="BT3404">
        <v>14.03</v>
      </c>
      <c r="BU3404">
        <v>13.82</v>
      </c>
      <c r="BV3404">
        <v>1.63</v>
      </c>
      <c r="BW3404">
        <v>8.1</v>
      </c>
      <c r="BX3404">
        <v>1.24</v>
      </c>
      <c r="BY3404">
        <v>3.79</v>
      </c>
      <c r="BZ3404">
        <v>3.26</v>
      </c>
      <c r="CA3404" t="s">
        <v>120</v>
      </c>
      <c r="CB3404">
        <v>5.71</v>
      </c>
      <c r="CC3404">
        <v>15.28</v>
      </c>
      <c r="CD3404">
        <v>11.71</v>
      </c>
      <c r="CE3404">
        <v>1.69</v>
      </c>
      <c r="CF3404">
        <v>0.02</v>
      </c>
      <c r="CG3404">
        <v>1.66</v>
      </c>
      <c r="CH3404">
        <v>1.54</v>
      </c>
      <c r="CI3404">
        <v>1.54</v>
      </c>
      <c r="CJ3404">
        <v>-0.49</v>
      </c>
      <c r="CK3404">
        <v>1.53</v>
      </c>
      <c r="CL3404">
        <v>8.2200000000000006</v>
      </c>
      <c r="CM3404">
        <v>1.78</v>
      </c>
      <c r="CN3404">
        <v>-1.18</v>
      </c>
      <c r="CO3404">
        <v>20786</v>
      </c>
      <c r="CP3404">
        <v>10961</v>
      </c>
      <c r="CQ3404" t="s">
        <v>14521</v>
      </c>
      <c r="CR3404">
        <v>89</v>
      </c>
      <c r="CS3404">
        <v>178.95</v>
      </c>
      <c r="CT3404">
        <v>3.32</v>
      </c>
      <c r="CU3404">
        <v>37.71</v>
      </c>
      <c r="CV3404">
        <v>4.4000000000000004</v>
      </c>
      <c r="CW3404">
        <v>0.66</v>
      </c>
      <c r="CX3404" t="s">
        <v>966</v>
      </c>
      <c r="CY3404">
        <v>3.99</v>
      </c>
      <c r="CZ3404">
        <v>3.99</v>
      </c>
      <c r="DA3404">
        <v>1.1200000000000001</v>
      </c>
      <c r="DB3404">
        <v>1.62</v>
      </c>
      <c r="DC3404">
        <v>0.35</v>
      </c>
      <c r="DD3404">
        <v>60.64</v>
      </c>
      <c r="DE3404" t="s">
        <v>10135</v>
      </c>
      <c r="DF3404">
        <v>23.36</v>
      </c>
      <c r="DG3404">
        <v>11.06</v>
      </c>
      <c r="DH3404">
        <v>10.07</v>
      </c>
      <c r="DI3404">
        <v>0.37</v>
      </c>
      <c r="DJ3404">
        <v>1213</v>
      </c>
      <c r="DK3404">
        <v>603067</v>
      </c>
      <c r="DL3404">
        <v>20210719</v>
      </c>
      <c r="DM3404">
        <v>9.4499999999999993</v>
      </c>
      <c r="DN3404">
        <v>40</v>
      </c>
    </row>
    <row r="3405" spans="1:118">
      <c r="A3405" t="str">
        <f>"603068"</f>
        <v>603068</v>
      </c>
      <c r="B3405" t="s">
        <v>14522</v>
      </c>
      <c r="C3405">
        <v>-5.6</v>
      </c>
      <c r="D3405">
        <v>0.13</v>
      </c>
      <c r="E3405">
        <v>1</v>
      </c>
      <c r="F3405">
        <v>363</v>
      </c>
      <c r="G3405" t="s">
        <v>14523</v>
      </c>
      <c r="H3405">
        <v>18578.29</v>
      </c>
      <c r="I3405">
        <v>29.22</v>
      </c>
      <c r="J3405" t="s">
        <v>120</v>
      </c>
      <c r="K3405" t="s">
        <v>2296</v>
      </c>
      <c r="L3405">
        <v>2.89</v>
      </c>
      <c r="M3405">
        <v>59.38</v>
      </c>
      <c r="N3405">
        <v>1.43</v>
      </c>
      <c r="O3405">
        <v>1</v>
      </c>
      <c r="P3405">
        <v>63.53</v>
      </c>
      <c r="Q3405">
        <v>-5.88</v>
      </c>
      <c r="R3405">
        <v>59.2</v>
      </c>
      <c r="S3405">
        <v>63.53</v>
      </c>
      <c r="T3405">
        <v>30543</v>
      </c>
      <c r="U3405">
        <v>59.46</v>
      </c>
      <c r="V3405">
        <v>62.9</v>
      </c>
      <c r="W3405">
        <v>135.57</v>
      </c>
      <c r="X3405" t="s">
        <v>3245</v>
      </c>
      <c r="Y3405" t="s">
        <v>1510</v>
      </c>
      <c r="Z3405">
        <v>6.88</v>
      </c>
      <c r="AA3405">
        <v>60.83</v>
      </c>
      <c r="AB3405">
        <v>16009</v>
      </c>
      <c r="AC3405">
        <v>14534</v>
      </c>
      <c r="AD3405">
        <v>1.1000000000000001</v>
      </c>
      <c r="AE3405">
        <v>11</v>
      </c>
      <c r="AF3405">
        <v>9</v>
      </c>
      <c r="AG3405" t="s">
        <v>120</v>
      </c>
      <c r="AH3405">
        <v>0.01</v>
      </c>
      <c r="AI3405" t="s">
        <v>120</v>
      </c>
      <c r="AJ3405">
        <v>1.06</v>
      </c>
      <c r="AK3405" t="s">
        <v>14524</v>
      </c>
      <c r="AL3405">
        <v>-4.25</v>
      </c>
      <c r="AM3405">
        <v>2935</v>
      </c>
      <c r="AN3405">
        <v>10</v>
      </c>
      <c r="AO3405">
        <v>1E-3</v>
      </c>
      <c r="AP3405">
        <v>-6</v>
      </c>
      <c r="AQ3405">
        <v>-3.25</v>
      </c>
      <c r="AR3405">
        <v>-11.25</v>
      </c>
      <c r="AS3405">
        <v>-28.11</v>
      </c>
      <c r="AT3405">
        <v>-31.7</v>
      </c>
      <c r="AU3405">
        <v>-30.21</v>
      </c>
      <c r="AV3405">
        <v>3</v>
      </c>
      <c r="AW3405">
        <v>3.34</v>
      </c>
      <c r="AX3405">
        <v>60.74</v>
      </c>
      <c r="AY3405">
        <v>585.46</v>
      </c>
      <c r="AZ3405">
        <v>284.8</v>
      </c>
      <c r="BA3405">
        <v>7.0000000000000007E-2</v>
      </c>
      <c r="BB3405" t="s">
        <v>134</v>
      </c>
      <c r="BF3405">
        <v>-3.3</v>
      </c>
      <c r="BG3405">
        <v>-6.53</v>
      </c>
      <c r="BH3405">
        <v>-6.53</v>
      </c>
      <c r="BI3405">
        <v>0.3</v>
      </c>
      <c r="BJ3405">
        <v>20210831</v>
      </c>
      <c r="BK3405">
        <v>20190415</v>
      </c>
      <c r="BL3405">
        <v>1.5</v>
      </c>
      <c r="BM3405" t="s">
        <v>120</v>
      </c>
      <c r="BN3405" t="s">
        <v>120</v>
      </c>
      <c r="BO3405">
        <v>21.66</v>
      </c>
      <c r="BP3405">
        <v>59.38</v>
      </c>
      <c r="BQ3405">
        <v>19.91</v>
      </c>
      <c r="BR3405" t="s">
        <v>120</v>
      </c>
      <c r="BS3405">
        <v>8.07</v>
      </c>
      <c r="BT3405">
        <v>18.79</v>
      </c>
      <c r="BU3405">
        <v>1.43</v>
      </c>
      <c r="BV3405">
        <v>0.99</v>
      </c>
      <c r="BW3405">
        <v>1.64</v>
      </c>
      <c r="BX3405">
        <v>10.98</v>
      </c>
      <c r="BY3405">
        <v>2.98</v>
      </c>
      <c r="BZ3405">
        <v>1.58</v>
      </c>
      <c r="CA3405" t="s">
        <v>120</v>
      </c>
      <c r="CB3405">
        <v>14.19</v>
      </c>
      <c r="CC3405">
        <v>5.21</v>
      </c>
      <c r="CD3405">
        <v>3.91</v>
      </c>
      <c r="CE3405">
        <v>0.35</v>
      </c>
      <c r="CF3405">
        <v>0.03</v>
      </c>
      <c r="CG3405">
        <v>0.35</v>
      </c>
      <c r="CH3405">
        <v>0.33</v>
      </c>
      <c r="CI3405">
        <v>0.33</v>
      </c>
      <c r="CJ3405">
        <v>-3.52</v>
      </c>
      <c r="CK3405">
        <v>0.27</v>
      </c>
      <c r="CL3405">
        <v>3.69</v>
      </c>
      <c r="CM3405">
        <v>0.89</v>
      </c>
      <c r="CN3405">
        <v>-2.4700000000000002</v>
      </c>
      <c r="CO3405">
        <v>15832</v>
      </c>
      <c r="CP3405">
        <v>5771</v>
      </c>
      <c r="CQ3405" t="s">
        <v>8994</v>
      </c>
      <c r="CR3405">
        <v>-34.119999999999997</v>
      </c>
      <c r="CS3405">
        <v>58.43</v>
      </c>
      <c r="CT3405">
        <v>4.49</v>
      </c>
      <c r="CU3405">
        <v>100.54</v>
      </c>
      <c r="CV3405">
        <v>17.13</v>
      </c>
      <c r="CW3405">
        <v>0.32</v>
      </c>
      <c r="CX3405" t="s">
        <v>3361</v>
      </c>
      <c r="CY3405">
        <v>13.24</v>
      </c>
      <c r="CZ3405">
        <v>0</v>
      </c>
      <c r="DA3405">
        <v>9.44</v>
      </c>
      <c r="DB3405">
        <v>2.46</v>
      </c>
      <c r="DC3405">
        <v>0.59</v>
      </c>
      <c r="DD3405">
        <v>91.93</v>
      </c>
      <c r="DE3405" t="s">
        <v>8007</v>
      </c>
      <c r="DF3405">
        <v>25.09</v>
      </c>
      <c r="DG3405">
        <v>6.7</v>
      </c>
      <c r="DH3405">
        <v>6.32</v>
      </c>
      <c r="DI3405">
        <v>0.87</v>
      </c>
      <c r="DJ3405">
        <v>242</v>
      </c>
      <c r="DK3405">
        <v>603068</v>
      </c>
      <c r="DL3405" t="s">
        <v>120</v>
      </c>
      <c r="DM3405" t="s">
        <v>120</v>
      </c>
      <c r="DN3405" t="s">
        <v>120</v>
      </c>
    </row>
    <row r="3406" spans="1:118">
      <c r="A3406" t="str">
        <f>"603069"</f>
        <v>603069</v>
      </c>
      <c r="B3406" t="s">
        <v>14525</v>
      </c>
      <c r="C3406">
        <v>-1.94</v>
      </c>
      <c r="D3406">
        <v>-0.16</v>
      </c>
      <c r="E3406">
        <v>0</v>
      </c>
      <c r="F3406">
        <v>608</v>
      </c>
      <c r="G3406" t="s">
        <v>14526</v>
      </c>
      <c r="H3406">
        <v>8424.0400000000009</v>
      </c>
      <c r="I3406">
        <v>9.66</v>
      </c>
      <c r="J3406" t="s">
        <v>120</v>
      </c>
      <c r="K3406" t="s">
        <v>14527</v>
      </c>
      <c r="L3406">
        <v>1.53</v>
      </c>
      <c r="M3406">
        <v>17.22</v>
      </c>
      <c r="N3406">
        <v>0.61</v>
      </c>
      <c r="O3406">
        <v>1.59</v>
      </c>
      <c r="P3406">
        <v>17.84</v>
      </c>
      <c r="Q3406">
        <v>-2.5099999999999998</v>
      </c>
      <c r="R3406">
        <v>17.12</v>
      </c>
      <c r="S3406">
        <v>17.559999999999999</v>
      </c>
      <c r="T3406">
        <v>48377</v>
      </c>
      <c r="U3406">
        <v>17.239999999999998</v>
      </c>
      <c r="V3406">
        <v>17.559999999999999</v>
      </c>
      <c r="W3406" t="s">
        <v>120</v>
      </c>
      <c r="X3406" t="s">
        <v>4586</v>
      </c>
      <c r="Y3406" t="s">
        <v>835</v>
      </c>
      <c r="Z3406">
        <v>4.0999999999999996</v>
      </c>
      <c r="AA3406">
        <v>17.41</v>
      </c>
      <c r="AB3406">
        <v>28443</v>
      </c>
      <c r="AC3406">
        <v>19934</v>
      </c>
      <c r="AD3406">
        <v>1.43</v>
      </c>
      <c r="AE3406">
        <v>85</v>
      </c>
      <c r="AF3406">
        <v>39</v>
      </c>
      <c r="AG3406" t="s">
        <v>120</v>
      </c>
      <c r="AH3406">
        <v>0</v>
      </c>
      <c r="AI3406" t="s">
        <v>120</v>
      </c>
      <c r="AJ3406">
        <v>3.16</v>
      </c>
      <c r="AK3406" t="s">
        <v>14527</v>
      </c>
      <c r="AL3406">
        <v>-0.59</v>
      </c>
      <c r="AM3406">
        <v>2325</v>
      </c>
      <c r="AN3406">
        <v>21</v>
      </c>
      <c r="AO3406">
        <v>6.9999999999999999E-4</v>
      </c>
      <c r="AP3406">
        <v>-5</v>
      </c>
      <c r="AQ3406">
        <v>-1.35</v>
      </c>
      <c r="AR3406">
        <v>-6.77</v>
      </c>
      <c r="AS3406">
        <v>-1.03</v>
      </c>
      <c r="AT3406">
        <v>-18.89</v>
      </c>
      <c r="AU3406">
        <v>-24.83</v>
      </c>
      <c r="AV3406">
        <v>14</v>
      </c>
      <c r="AW3406">
        <v>3.61</v>
      </c>
      <c r="AX3406">
        <v>42.38</v>
      </c>
      <c r="AY3406" t="s">
        <v>120</v>
      </c>
      <c r="AZ3406" t="s">
        <v>120</v>
      </c>
      <c r="BA3406">
        <v>1.08</v>
      </c>
      <c r="BB3406" t="s">
        <v>240</v>
      </c>
      <c r="BF3406">
        <v>-0.83</v>
      </c>
      <c r="BG3406">
        <v>-1.94</v>
      </c>
      <c r="BH3406">
        <v>-3.48</v>
      </c>
      <c r="BI3406">
        <v>0.57999999999999996</v>
      </c>
      <c r="BJ3406">
        <v>20210827</v>
      </c>
      <c r="BK3406">
        <v>20160712</v>
      </c>
      <c r="BL3406">
        <v>3.16</v>
      </c>
      <c r="BM3406" t="s">
        <v>120</v>
      </c>
      <c r="BN3406" t="s">
        <v>120</v>
      </c>
      <c r="BO3406">
        <v>18.829999999999998</v>
      </c>
      <c r="BP3406">
        <v>17.22</v>
      </c>
      <c r="BQ3406">
        <v>9.84</v>
      </c>
      <c r="BR3406">
        <v>0.11</v>
      </c>
      <c r="BS3406">
        <v>47.19</v>
      </c>
      <c r="BT3406">
        <v>4.92</v>
      </c>
      <c r="BU3406">
        <v>7.82</v>
      </c>
      <c r="BV3406">
        <v>2.2799999999999998</v>
      </c>
      <c r="BW3406">
        <v>6.11</v>
      </c>
      <c r="BX3406">
        <v>2.78</v>
      </c>
      <c r="BY3406">
        <v>0.24</v>
      </c>
      <c r="BZ3406">
        <v>0.82</v>
      </c>
      <c r="CA3406">
        <v>0.1</v>
      </c>
      <c r="CB3406">
        <v>3.74</v>
      </c>
      <c r="CC3406">
        <v>3.7</v>
      </c>
      <c r="CD3406">
        <v>3.28</v>
      </c>
      <c r="CE3406">
        <v>-0.34</v>
      </c>
      <c r="CF3406">
        <v>0</v>
      </c>
      <c r="CG3406">
        <v>-0.3</v>
      </c>
      <c r="CH3406">
        <v>-0.34</v>
      </c>
      <c r="CI3406">
        <v>-0.33</v>
      </c>
      <c r="CJ3406">
        <v>-0.34</v>
      </c>
      <c r="CK3406">
        <v>-0.44</v>
      </c>
      <c r="CL3406">
        <v>2.46</v>
      </c>
      <c r="CM3406">
        <v>-0.26</v>
      </c>
      <c r="CN3406">
        <v>-0.74</v>
      </c>
      <c r="CO3406">
        <v>34272</v>
      </c>
      <c r="CP3406">
        <v>3908</v>
      </c>
      <c r="CQ3406" t="s">
        <v>6248</v>
      </c>
      <c r="CR3406">
        <v>65.569999999999993</v>
      </c>
      <c r="CS3406">
        <v>52.4</v>
      </c>
      <c r="CT3406">
        <v>5.53</v>
      </c>
      <c r="CU3406">
        <v>-209.02</v>
      </c>
      <c r="CV3406">
        <v>14.71</v>
      </c>
      <c r="CW3406">
        <v>0</v>
      </c>
      <c r="CX3406" t="s">
        <v>3106</v>
      </c>
      <c r="CY3406">
        <v>3.11</v>
      </c>
      <c r="CZ3406">
        <v>0</v>
      </c>
      <c r="DA3406">
        <v>1.18</v>
      </c>
      <c r="DB3406">
        <v>0.78</v>
      </c>
      <c r="DC3406">
        <v>-0.08</v>
      </c>
      <c r="DD3406">
        <v>52.25</v>
      </c>
      <c r="DE3406" t="s">
        <v>4163</v>
      </c>
      <c r="DF3406">
        <v>11.3</v>
      </c>
      <c r="DG3406">
        <v>-9.1199999999999992</v>
      </c>
      <c r="DH3406">
        <v>-9.0299999999999994</v>
      </c>
      <c r="DI3406" t="s">
        <v>120</v>
      </c>
      <c r="DJ3406">
        <v>3288</v>
      </c>
      <c r="DK3406">
        <v>603069</v>
      </c>
      <c r="DL3406" t="s">
        <v>120</v>
      </c>
      <c r="DM3406" t="s">
        <v>120</v>
      </c>
      <c r="DN3406" t="s">
        <v>120</v>
      </c>
    </row>
    <row r="3407" spans="1:118">
      <c r="A3407" t="str">
        <f>"603076"</f>
        <v>603076</v>
      </c>
      <c r="B3407" t="s">
        <v>14528</v>
      </c>
      <c r="C3407">
        <v>-1.33</v>
      </c>
      <c r="D3407">
        <v>0</v>
      </c>
      <c r="E3407">
        <v>0.05</v>
      </c>
      <c r="F3407">
        <v>150</v>
      </c>
      <c r="G3407" t="s">
        <v>14529</v>
      </c>
      <c r="H3407">
        <v>6537.68</v>
      </c>
      <c r="I3407">
        <v>3.02</v>
      </c>
      <c r="J3407" t="s">
        <v>120</v>
      </c>
      <c r="K3407" t="s">
        <v>14530</v>
      </c>
      <c r="L3407">
        <v>1.44</v>
      </c>
      <c r="M3407">
        <v>37.18</v>
      </c>
      <c r="N3407">
        <v>0.75</v>
      </c>
      <c r="O3407">
        <v>1.46</v>
      </c>
      <c r="P3407">
        <v>38.229999999999997</v>
      </c>
      <c r="Q3407">
        <v>-1.8</v>
      </c>
      <c r="R3407">
        <v>37</v>
      </c>
      <c r="S3407">
        <v>37.700000000000003</v>
      </c>
      <c r="T3407">
        <v>17372</v>
      </c>
      <c r="U3407">
        <v>37.18</v>
      </c>
      <c r="V3407">
        <v>37.68</v>
      </c>
      <c r="W3407">
        <v>40.020000000000003</v>
      </c>
      <c r="X3407" t="s">
        <v>675</v>
      </c>
      <c r="Y3407" t="s">
        <v>585</v>
      </c>
      <c r="Z3407">
        <v>3.26</v>
      </c>
      <c r="AA3407">
        <v>37.630000000000003</v>
      </c>
      <c r="AB3407">
        <v>10419</v>
      </c>
      <c r="AC3407">
        <v>6953</v>
      </c>
      <c r="AD3407">
        <v>1.5</v>
      </c>
      <c r="AE3407">
        <v>29</v>
      </c>
      <c r="AF3407">
        <v>206</v>
      </c>
      <c r="AG3407" t="s">
        <v>120</v>
      </c>
      <c r="AH3407">
        <v>0</v>
      </c>
      <c r="AI3407" t="s">
        <v>120</v>
      </c>
      <c r="AJ3407">
        <v>1.21</v>
      </c>
      <c r="AK3407" t="s">
        <v>14530</v>
      </c>
      <c r="AL3407">
        <v>0.02</v>
      </c>
      <c r="AM3407">
        <v>1283</v>
      </c>
      <c r="AN3407">
        <v>14</v>
      </c>
      <c r="AO3407">
        <v>1.1000000000000001E-3</v>
      </c>
      <c r="AP3407">
        <v>-2</v>
      </c>
      <c r="AQ3407">
        <v>-5.09</v>
      </c>
      <c r="AR3407">
        <v>-3.56</v>
      </c>
      <c r="AS3407">
        <v>-2.72</v>
      </c>
      <c r="AT3407">
        <v>-17.899999999999999</v>
      </c>
      <c r="AU3407">
        <v>10.53</v>
      </c>
      <c r="AV3407">
        <v>10</v>
      </c>
      <c r="AW3407">
        <v>2.95</v>
      </c>
      <c r="AX3407">
        <v>48.86</v>
      </c>
      <c r="AY3407">
        <v>42.91</v>
      </c>
      <c r="AZ3407">
        <v>43.04</v>
      </c>
      <c r="BA3407">
        <v>0.9</v>
      </c>
      <c r="BB3407" t="s">
        <v>134</v>
      </c>
      <c r="BF3407">
        <v>-0.12</v>
      </c>
      <c r="BG3407">
        <v>-1.38</v>
      </c>
      <c r="BH3407">
        <v>-2.75</v>
      </c>
      <c r="BI3407">
        <v>0.49</v>
      </c>
      <c r="BJ3407">
        <v>20210908</v>
      </c>
      <c r="BK3407">
        <v>20171113</v>
      </c>
      <c r="BL3407">
        <v>1.21</v>
      </c>
      <c r="BM3407" t="s">
        <v>120</v>
      </c>
      <c r="BN3407" t="s">
        <v>120</v>
      </c>
      <c r="BO3407">
        <v>25.96</v>
      </c>
      <c r="BP3407">
        <v>37.08</v>
      </c>
      <c r="BQ3407">
        <v>13.04</v>
      </c>
      <c r="BR3407" t="s">
        <v>120</v>
      </c>
      <c r="BS3407">
        <v>49.77</v>
      </c>
      <c r="BT3407">
        <v>21.75</v>
      </c>
      <c r="BU3407">
        <v>2.33</v>
      </c>
      <c r="BV3407">
        <v>0.69</v>
      </c>
      <c r="BW3407">
        <v>12.73</v>
      </c>
      <c r="BX3407">
        <v>5.61</v>
      </c>
      <c r="BY3407">
        <v>9.7200000000000006</v>
      </c>
      <c r="BZ3407">
        <v>1.86</v>
      </c>
      <c r="CA3407" t="s">
        <v>120</v>
      </c>
      <c r="CB3407">
        <v>8.69</v>
      </c>
      <c r="CC3407">
        <v>5.01</v>
      </c>
      <c r="CD3407">
        <v>3.54</v>
      </c>
      <c r="CE3407">
        <v>0.67</v>
      </c>
      <c r="CF3407">
        <v>7.0000000000000007E-2</v>
      </c>
      <c r="CG3407">
        <v>0.69</v>
      </c>
      <c r="CH3407">
        <v>0.56000000000000005</v>
      </c>
      <c r="CI3407">
        <v>0.56000000000000005</v>
      </c>
      <c r="CJ3407">
        <v>-0.5</v>
      </c>
      <c r="CK3407">
        <v>0.46</v>
      </c>
      <c r="CL3407">
        <v>2.4900000000000002</v>
      </c>
      <c r="CM3407">
        <v>-3.07</v>
      </c>
      <c r="CN3407">
        <v>3.5</v>
      </c>
      <c r="CO3407">
        <v>9416</v>
      </c>
      <c r="CP3407">
        <v>6263</v>
      </c>
      <c r="CQ3407" t="s">
        <v>14531</v>
      </c>
      <c r="CR3407">
        <v>0.57999999999999996</v>
      </c>
      <c r="CS3407">
        <v>16.149999999999999</v>
      </c>
      <c r="CT3407">
        <v>3.44</v>
      </c>
      <c r="CU3407">
        <v>-14.63</v>
      </c>
      <c r="CV3407">
        <v>8.9499999999999993</v>
      </c>
      <c r="CW3407">
        <v>0.28000000000000003</v>
      </c>
      <c r="CX3407" t="s">
        <v>8995</v>
      </c>
      <c r="CY3407">
        <v>10.81</v>
      </c>
      <c r="CZ3407">
        <v>0</v>
      </c>
      <c r="DA3407">
        <v>7.2</v>
      </c>
      <c r="DB3407">
        <v>2.0699999999999998</v>
      </c>
      <c r="DC3407">
        <v>-2.54</v>
      </c>
      <c r="DD3407">
        <v>50.23</v>
      </c>
      <c r="DE3407" t="s">
        <v>574</v>
      </c>
      <c r="DF3407">
        <v>29.29</v>
      </c>
      <c r="DG3407">
        <v>13.28</v>
      </c>
      <c r="DH3407">
        <v>11.18</v>
      </c>
      <c r="DI3407">
        <v>0.15</v>
      </c>
      <c r="DJ3407">
        <v>958</v>
      </c>
      <c r="DK3407">
        <v>603076</v>
      </c>
      <c r="DL3407" t="s">
        <v>120</v>
      </c>
      <c r="DM3407" t="s">
        <v>120</v>
      </c>
      <c r="DN3407" t="s">
        <v>120</v>
      </c>
    </row>
    <row r="3408" spans="1:118">
      <c r="A3408" t="str">
        <f>"603077"</f>
        <v>603077</v>
      </c>
      <c r="B3408" t="s">
        <v>14532</v>
      </c>
      <c r="C3408">
        <v>-3.13</v>
      </c>
      <c r="D3408">
        <v>0</v>
      </c>
      <c r="E3408">
        <v>4.8</v>
      </c>
      <c r="F3408">
        <v>70383</v>
      </c>
      <c r="G3408" t="s">
        <v>14533</v>
      </c>
      <c r="H3408">
        <v>514810.15</v>
      </c>
      <c r="I3408">
        <v>11396.21</v>
      </c>
      <c r="J3408" t="s">
        <v>120</v>
      </c>
      <c r="K3408" t="s">
        <v>14335</v>
      </c>
      <c r="L3408">
        <v>12.15</v>
      </c>
      <c r="M3408">
        <v>4.6399999999999997</v>
      </c>
      <c r="N3408">
        <v>1.78</v>
      </c>
      <c r="O3408">
        <v>6.68</v>
      </c>
      <c r="P3408">
        <v>5.1100000000000003</v>
      </c>
      <c r="Q3408">
        <v>-4.18</v>
      </c>
      <c r="R3408">
        <v>4.59</v>
      </c>
      <c r="S3408">
        <v>5.0199999999999996</v>
      </c>
      <c r="T3408">
        <v>10727137</v>
      </c>
      <c r="U3408">
        <v>4.6399999999999997</v>
      </c>
      <c r="V3408">
        <v>4.79</v>
      </c>
      <c r="W3408">
        <v>22.41</v>
      </c>
      <c r="X3408" t="s">
        <v>868</v>
      </c>
      <c r="Y3408" t="s">
        <v>578</v>
      </c>
      <c r="Z3408">
        <v>10.86</v>
      </c>
      <c r="AA3408">
        <v>4.8</v>
      </c>
      <c r="AB3408">
        <v>5029961</v>
      </c>
      <c r="AC3408">
        <v>5697176</v>
      </c>
      <c r="AD3408">
        <v>0.88</v>
      </c>
      <c r="AE3408">
        <v>8214</v>
      </c>
      <c r="AF3408">
        <v>12640</v>
      </c>
      <c r="AG3408" t="s">
        <v>120</v>
      </c>
      <c r="AH3408">
        <v>0.43</v>
      </c>
      <c r="AI3408" t="s">
        <v>120</v>
      </c>
      <c r="AJ3408">
        <v>88.31</v>
      </c>
      <c r="AK3408" t="s">
        <v>14335</v>
      </c>
      <c r="AL3408">
        <v>-1.79</v>
      </c>
      <c r="AM3408">
        <v>4744</v>
      </c>
      <c r="AN3408">
        <v>2261</v>
      </c>
      <c r="AO3408">
        <v>2.5999999999999999E-3</v>
      </c>
      <c r="AP3408">
        <v>-1</v>
      </c>
      <c r="AQ3408">
        <v>10.11</v>
      </c>
      <c r="AR3408">
        <v>13.17</v>
      </c>
      <c r="AS3408">
        <v>90.16</v>
      </c>
      <c r="AT3408">
        <v>149.47</v>
      </c>
      <c r="AU3408">
        <v>226.76</v>
      </c>
      <c r="AV3408">
        <v>9</v>
      </c>
      <c r="AW3408">
        <v>20.53</v>
      </c>
      <c r="AX3408">
        <v>59.16</v>
      </c>
      <c r="AY3408">
        <v>46.48</v>
      </c>
      <c r="AZ3408">
        <v>1033.2</v>
      </c>
      <c r="BA3408">
        <v>0.52</v>
      </c>
      <c r="BB3408" t="s">
        <v>700</v>
      </c>
      <c r="BF3408">
        <v>0.19</v>
      </c>
      <c r="BG3408">
        <v>-7.57</v>
      </c>
      <c r="BH3408">
        <v>-9.1999999999999993</v>
      </c>
      <c r="BI3408">
        <v>1.0900000000000001</v>
      </c>
      <c r="BJ3408">
        <v>20210728</v>
      </c>
      <c r="BK3408">
        <v>20120731</v>
      </c>
      <c r="BL3408">
        <v>88.31</v>
      </c>
      <c r="BM3408" t="s">
        <v>120</v>
      </c>
      <c r="BN3408" t="s">
        <v>120</v>
      </c>
      <c r="BO3408">
        <v>155.81</v>
      </c>
      <c r="BP3408">
        <v>4.63</v>
      </c>
      <c r="BQ3408">
        <v>121.29</v>
      </c>
      <c r="BR3408">
        <v>3.83</v>
      </c>
      <c r="BS3408">
        <v>19.7</v>
      </c>
      <c r="BT3408">
        <v>37.74</v>
      </c>
      <c r="BU3408">
        <v>52</v>
      </c>
      <c r="BV3408">
        <v>10.06</v>
      </c>
      <c r="BW3408">
        <v>28.09</v>
      </c>
      <c r="BX3408">
        <v>14.13</v>
      </c>
      <c r="BY3408">
        <v>6.24</v>
      </c>
      <c r="BZ3408">
        <v>5.92</v>
      </c>
      <c r="CA3408" t="s">
        <v>120</v>
      </c>
      <c r="CB3408">
        <v>4.63</v>
      </c>
      <c r="CC3408">
        <v>39.130000000000003</v>
      </c>
      <c r="CD3408">
        <v>25.57</v>
      </c>
      <c r="CE3408">
        <v>10.79</v>
      </c>
      <c r="CF3408">
        <v>0.08</v>
      </c>
      <c r="CG3408">
        <v>10.81</v>
      </c>
      <c r="CH3408">
        <v>9.11</v>
      </c>
      <c r="CI3408">
        <v>9.14</v>
      </c>
      <c r="CJ3408">
        <v>-0.15</v>
      </c>
      <c r="CK3408">
        <v>9.1</v>
      </c>
      <c r="CL3408">
        <v>33.07</v>
      </c>
      <c r="CM3408">
        <v>13.33</v>
      </c>
      <c r="CN3408">
        <v>5.78</v>
      </c>
      <c r="CO3408">
        <v>157767</v>
      </c>
      <c r="CP3408">
        <v>33117</v>
      </c>
      <c r="CQ3408" t="s">
        <v>5198</v>
      </c>
      <c r="CR3408">
        <v>1930.72</v>
      </c>
      <c r="CS3408">
        <v>60.18</v>
      </c>
      <c r="CT3408">
        <v>3.38</v>
      </c>
      <c r="CU3408">
        <v>30.73</v>
      </c>
      <c r="CV3408">
        <v>10.47</v>
      </c>
      <c r="CW3408">
        <v>0</v>
      </c>
      <c r="CX3408" t="s">
        <v>1147</v>
      </c>
      <c r="CY3408">
        <v>1.37</v>
      </c>
      <c r="CZ3408">
        <v>0</v>
      </c>
      <c r="DA3408">
        <v>0.05</v>
      </c>
      <c r="DB3408">
        <v>0.37</v>
      </c>
      <c r="DC3408">
        <v>0.15</v>
      </c>
      <c r="DD3408">
        <v>77.84</v>
      </c>
      <c r="DE3408" t="s">
        <v>7432</v>
      </c>
      <c r="DF3408">
        <v>34.65</v>
      </c>
      <c r="DG3408">
        <v>27.57</v>
      </c>
      <c r="DH3408">
        <v>23.37</v>
      </c>
      <c r="DI3408">
        <v>0.16</v>
      </c>
      <c r="DJ3408">
        <v>4803</v>
      </c>
      <c r="DK3408">
        <v>603077</v>
      </c>
      <c r="DL3408">
        <v>20210826</v>
      </c>
      <c r="DM3408">
        <v>2.79</v>
      </c>
      <c r="DN3408">
        <v>66.31</v>
      </c>
    </row>
    <row r="3409" spans="1:118">
      <c r="A3409" t="str">
        <f>"603078"</f>
        <v>603078</v>
      </c>
      <c r="B3409" t="s">
        <v>14534</v>
      </c>
      <c r="C3409">
        <v>-2.38</v>
      </c>
      <c r="D3409">
        <v>0</v>
      </c>
      <c r="E3409">
        <v>0.04</v>
      </c>
      <c r="F3409">
        <v>206</v>
      </c>
      <c r="G3409" t="s">
        <v>8174</v>
      </c>
      <c r="H3409">
        <v>6777.93</v>
      </c>
      <c r="I3409">
        <v>9.6999999999999993</v>
      </c>
      <c r="J3409" t="s">
        <v>120</v>
      </c>
      <c r="K3409" t="s">
        <v>9241</v>
      </c>
      <c r="L3409">
        <v>1.3</v>
      </c>
      <c r="M3409">
        <v>26.29</v>
      </c>
      <c r="N3409">
        <v>0.56000000000000005</v>
      </c>
      <c r="O3409">
        <v>0.52</v>
      </c>
      <c r="P3409">
        <v>27.07</v>
      </c>
      <c r="Q3409">
        <v>-2.41</v>
      </c>
      <c r="R3409">
        <v>26.28</v>
      </c>
      <c r="S3409">
        <v>26.94</v>
      </c>
      <c r="T3409">
        <v>25416</v>
      </c>
      <c r="U3409">
        <v>26.29</v>
      </c>
      <c r="V3409">
        <v>26.93</v>
      </c>
      <c r="W3409">
        <v>168.6</v>
      </c>
      <c r="X3409" t="s">
        <v>868</v>
      </c>
      <c r="Y3409" t="s">
        <v>319</v>
      </c>
      <c r="Z3409">
        <v>2.93</v>
      </c>
      <c r="AA3409">
        <v>26.67</v>
      </c>
      <c r="AB3409">
        <v>15632</v>
      </c>
      <c r="AC3409">
        <v>9784</v>
      </c>
      <c r="AD3409">
        <v>1.6</v>
      </c>
      <c r="AE3409">
        <v>56</v>
      </c>
      <c r="AF3409">
        <v>170</v>
      </c>
      <c r="AG3409" t="s">
        <v>120</v>
      </c>
      <c r="AH3409">
        <v>0</v>
      </c>
      <c r="AI3409" t="s">
        <v>120</v>
      </c>
      <c r="AJ3409">
        <v>1.96</v>
      </c>
      <c r="AK3409" t="s">
        <v>9241</v>
      </c>
      <c r="AL3409">
        <v>-1.03</v>
      </c>
      <c r="AM3409">
        <v>1839</v>
      </c>
      <c r="AN3409">
        <v>14</v>
      </c>
      <c r="AO3409">
        <v>6.9999999999999999E-4</v>
      </c>
      <c r="AP3409">
        <v>-1</v>
      </c>
      <c r="AQ3409">
        <v>0.9</v>
      </c>
      <c r="AR3409">
        <v>-2.81</v>
      </c>
      <c r="AS3409">
        <v>-6.77</v>
      </c>
      <c r="AT3409">
        <v>8.41</v>
      </c>
      <c r="AU3409">
        <v>0.05</v>
      </c>
      <c r="AV3409">
        <v>3</v>
      </c>
      <c r="AW3409">
        <v>2.09</v>
      </c>
      <c r="AX3409">
        <v>61.94</v>
      </c>
      <c r="AY3409">
        <v>102.81</v>
      </c>
      <c r="AZ3409">
        <v>90.69</v>
      </c>
      <c r="BA3409">
        <v>0.61</v>
      </c>
      <c r="BB3409" t="s">
        <v>143</v>
      </c>
      <c r="BF3409">
        <v>-0.97</v>
      </c>
      <c r="BG3409">
        <v>-2.41</v>
      </c>
      <c r="BH3409">
        <v>-2.88</v>
      </c>
      <c r="BI3409">
        <v>0.04</v>
      </c>
      <c r="BJ3409">
        <v>20210830</v>
      </c>
      <c r="BK3409">
        <v>20170410</v>
      </c>
      <c r="BL3409">
        <v>1.96</v>
      </c>
      <c r="BM3409" t="s">
        <v>120</v>
      </c>
      <c r="BN3409" t="s">
        <v>120</v>
      </c>
      <c r="BO3409">
        <v>20.55</v>
      </c>
      <c r="BP3409">
        <v>26.28</v>
      </c>
      <c r="BQ3409">
        <v>11.14</v>
      </c>
      <c r="BR3409">
        <v>-0.02</v>
      </c>
      <c r="BS3409">
        <v>45.87</v>
      </c>
      <c r="BT3409">
        <v>7.5</v>
      </c>
      <c r="BU3409">
        <v>2.27</v>
      </c>
      <c r="BV3409">
        <v>0.83</v>
      </c>
      <c r="BW3409">
        <v>5.62</v>
      </c>
      <c r="BX3409">
        <v>3.12</v>
      </c>
      <c r="BY3409">
        <v>0.4</v>
      </c>
      <c r="BZ3409">
        <v>2.37</v>
      </c>
      <c r="CA3409" t="s">
        <v>120</v>
      </c>
      <c r="CB3409">
        <v>5.16</v>
      </c>
      <c r="CC3409">
        <v>3.35</v>
      </c>
      <c r="CD3409">
        <v>2.72</v>
      </c>
      <c r="CE3409">
        <v>0.15</v>
      </c>
      <c r="CF3409">
        <v>0.01</v>
      </c>
      <c r="CG3409">
        <v>0.15</v>
      </c>
      <c r="CH3409">
        <v>0.15</v>
      </c>
      <c r="CI3409">
        <v>0.15</v>
      </c>
      <c r="CJ3409">
        <v>-0.64</v>
      </c>
      <c r="CK3409">
        <v>0.14000000000000001</v>
      </c>
      <c r="CL3409">
        <v>3.59</v>
      </c>
      <c r="CM3409">
        <v>-0.2</v>
      </c>
      <c r="CN3409">
        <v>-2.15</v>
      </c>
      <c r="CO3409">
        <v>33246</v>
      </c>
      <c r="CP3409">
        <v>3651</v>
      </c>
      <c r="CQ3409" t="s">
        <v>14535</v>
      </c>
      <c r="CR3409">
        <v>-30.99</v>
      </c>
      <c r="CS3409">
        <v>30.56</v>
      </c>
      <c r="CT3409">
        <v>4.63</v>
      </c>
      <c r="CU3409">
        <v>-262.47000000000003</v>
      </c>
      <c r="CV3409">
        <v>15.37</v>
      </c>
      <c r="CW3409">
        <v>0.34</v>
      </c>
      <c r="CX3409" t="s">
        <v>2357</v>
      </c>
      <c r="CY3409">
        <v>5.68</v>
      </c>
      <c r="CZ3409">
        <v>0</v>
      </c>
      <c r="DA3409">
        <v>2.64</v>
      </c>
      <c r="DB3409">
        <v>1.83</v>
      </c>
      <c r="DC3409">
        <v>-0.1</v>
      </c>
      <c r="DD3409">
        <v>54.21</v>
      </c>
      <c r="DE3409" t="s">
        <v>7979</v>
      </c>
      <c r="DF3409">
        <v>18.7</v>
      </c>
      <c r="DG3409">
        <v>4.43</v>
      </c>
      <c r="DH3409">
        <v>4.5599999999999996</v>
      </c>
      <c r="DI3409">
        <v>0.17</v>
      </c>
      <c r="DJ3409">
        <v>408</v>
      </c>
      <c r="DK3409">
        <v>603078</v>
      </c>
      <c r="DL3409" t="s">
        <v>120</v>
      </c>
      <c r="DM3409" t="s">
        <v>120</v>
      </c>
      <c r="DN3409" t="s">
        <v>120</v>
      </c>
    </row>
    <row r="3410" spans="1:118">
      <c r="A3410" t="str">
        <f>"603079"</f>
        <v>603079</v>
      </c>
      <c r="B3410" t="s">
        <v>14536</v>
      </c>
      <c r="C3410">
        <v>10.01</v>
      </c>
      <c r="D3410">
        <v>0</v>
      </c>
      <c r="E3410">
        <v>0</v>
      </c>
      <c r="F3410">
        <v>920</v>
      </c>
      <c r="G3410" t="s">
        <v>12073</v>
      </c>
      <c r="H3410">
        <v>6042.47</v>
      </c>
      <c r="I3410">
        <v>2.77</v>
      </c>
      <c r="J3410">
        <v>3877.05</v>
      </c>
      <c r="K3410" t="s">
        <v>5559</v>
      </c>
      <c r="L3410">
        <v>2.13</v>
      </c>
      <c r="M3410">
        <v>16.920000000000002</v>
      </c>
      <c r="N3410">
        <v>4.0999999999999996</v>
      </c>
      <c r="O3410">
        <v>10.01</v>
      </c>
      <c r="P3410">
        <v>16.920000000000002</v>
      </c>
      <c r="Q3410">
        <v>-0.46</v>
      </c>
      <c r="R3410">
        <v>15.31</v>
      </c>
      <c r="S3410">
        <v>15.38</v>
      </c>
      <c r="T3410">
        <v>36407</v>
      </c>
      <c r="U3410" t="s">
        <v>120</v>
      </c>
      <c r="V3410">
        <v>15.38</v>
      </c>
      <c r="W3410">
        <v>30.24</v>
      </c>
      <c r="X3410" t="s">
        <v>847</v>
      </c>
      <c r="Y3410" t="s">
        <v>585</v>
      </c>
      <c r="Z3410">
        <v>10.47</v>
      </c>
      <c r="AA3410">
        <v>16.600000000000001</v>
      </c>
      <c r="AB3410">
        <v>25138</v>
      </c>
      <c r="AC3410">
        <v>11269</v>
      </c>
      <c r="AD3410">
        <v>2.23</v>
      </c>
      <c r="AE3410">
        <v>22914</v>
      </c>
      <c r="AF3410">
        <v>0</v>
      </c>
      <c r="AG3410" t="s">
        <v>120</v>
      </c>
      <c r="AH3410">
        <v>0</v>
      </c>
      <c r="AI3410">
        <v>0.63</v>
      </c>
      <c r="AJ3410">
        <v>1.71</v>
      </c>
      <c r="AK3410" t="s">
        <v>5559</v>
      </c>
      <c r="AL3410">
        <v>11.36</v>
      </c>
      <c r="AM3410">
        <v>968</v>
      </c>
      <c r="AN3410">
        <v>38</v>
      </c>
      <c r="AO3410">
        <v>2.2000000000000001E-3</v>
      </c>
      <c r="AP3410">
        <v>1</v>
      </c>
      <c r="AQ3410">
        <v>-0.26</v>
      </c>
      <c r="AR3410">
        <v>7.91</v>
      </c>
      <c r="AS3410">
        <v>8.8800000000000008</v>
      </c>
      <c r="AT3410">
        <v>1.56</v>
      </c>
      <c r="AU3410">
        <v>-20.37</v>
      </c>
      <c r="AV3410">
        <v>1</v>
      </c>
      <c r="AW3410">
        <v>4.7300000000000004</v>
      </c>
      <c r="AX3410">
        <v>44.94</v>
      </c>
      <c r="AY3410">
        <v>28.04</v>
      </c>
      <c r="AZ3410">
        <v>13.34</v>
      </c>
      <c r="BA3410">
        <v>0.48</v>
      </c>
      <c r="BB3410" t="s">
        <v>143</v>
      </c>
      <c r="BF3410">
        <v>7.91</v>
      </c>
      <c r="BG3410">
        <v>10.01</v>
      </c>
      <c r="BH3410">
        <v>0</v>
      </c>
      <c r="BI3410">
        <v>10.52</v>
      </c>
      <c r="BJ3410">
        <v>20210830</v>
      </c>
      <c r="BK3410">
        <v>20170823</v>
      </c>
      <c r="BL3410">
        <v>1.71</v>
      </c>
      <c r="BM3410" t="s">
        <v>120</v>
      </c>
      <c r="BN3410" t="s">
        <v>120</v>
      </c>
      <c r="BO3410">
        <v>17.91</v>
      </c>
      <c r="BP3410">
        <v>16.920000000000002</v>
      </c>
      <c r="BQ3410">
        <v>12.93</v>
      </c>
      <c r="BR3410">
        <v>0.18</v>
      </c>
      <c r="BS3410">
        <v>26.82</v>
      </c>
      <c r="BT3410">
        <v>9.8000000000000007</v>
      </c>
      <c r="BU3410">
        <v>4.9000000000000004</v>
      </c>
      <c r="BV3410">
        <v>1.61</v>
      </c>
      <c r="BW3410">
        <v>4.58</v>
      </c>
      <c r="BX3410">
        <v>3.77</v>
      </c>
      <c r="BY3410">
        <v>1.86</v>
      </c>
      <c r="BZ3410">
        <v>1.3</v>
      </c>
      <c r="CA3410" t="s">
        <v>120</v>
      </c>
      <c r="CB3410">
        <v>6.69</v>
      </c>
      <c r="CC3410">
        <v>3.9</v>
      </c>
      <c r="CD3410">
        <v>2.77</v>
      </c>
      <c r="CE3410">
        <v>0.5</v>
      </c>
      <c r="CF3410">
        <v>0.12</v>
      </c>
      <c r="CG3410">
        <v>0.5</v>
      </c>
      <c r="CH3410">
        <v>0.46</v>
      </c>
      <c r="CI3410">
        <v>0.48</v>
      </c>
      <c r="CJ3410">
        <v>1.54</v>
      </c>
      <c r="CK3410">
        <v>0.33</v>
      </c>
      <c r="CL3410">
        <v>4</v>
      </c>
      <c r="CM3410">
        <v>0.52</v>
      </c>
      <c r="CN3410">
        <v>-0.9</v>
      </c>
      <c r="CO3410">
        <v>17642</v>
      </c>
      <c r="CP3410">
        <v>4361</v>
      </c>
      <c r="CQ3410" t="s">
        <v>1662</v>
      </c>
      <c r="CR3410">
        <v>-68.37</v>
      </c>
      <c r="CS3410">
        <v>-13.39</v>
      </c>
      <c r="CT3410">
        <v>2.2400000000000002</v>
      </c>
      <c r="CU3410">
        <v>55.5</v>
      </c>
      <c r="CV3410">
        <v>7.42</v>
      </c>
      <c r="CW3410">
        <v>2.2799999999999998</v>
      </c>
      <c r="CX3410" t="s">
        <v>1054</v>
      </c>
      <c r="CY3410">
        <v>7.55</v>
      </c>
      <c r="CZ3410">
        <v>0</v>
      </c>
      <c r="DA3410">
        <v>3.91</v>
      </c>
      <c r="DB3410">
        <v>2.33</v>
      </c>
      <c r="DC3410">
        <v>0.3</v>
      </c>
      <c r="DD3410">
        <v>72.17</v>
      </c>
      <c r="DE3410" t="s">
        <v>2654</v>
      </c>
      <c r="DF3410">
        <v>28.88</v>
      </c>
      <c r="DG3410">
        <v>12.81</v>
      </c>
      <c r="DH3410">
        <v>12.28</v>
      </c>
      <c r="DI3410">
        <v>0.2</v>
      </c>
      <c r="DJ3410">
        <v>1068</v>
      </c>
      <c r="DK3410">
        <v>603079</v>
      </c>
      <c r="DL3410" t="s">
        <v>120</v>
      </c>
      <c r="DM3410" t="s">
        <v>120</v>
      </c>
      <c r="DN3410" t="s">
        <v>120</v>
      </c>
    </row>
    <row r="3411" spans="1:118">
      <c r="A3411" t="str">
        <f>"603080"</f>
        <v>603080</v>
      </c>
      <c r="B3411" t="s">
        <v>14537</v>
      </c>
      <c r="C3411">
        <v>3.63</v>
      </c>
      <c r="D3411">
        <v>0.4</v>
      </c>
      <c r="E3411">
        <v>1.73</v>
      </c>
      <c r="F3411">
        <v>2552</v>
      </c>
      <c r="G3411" t="s">
        <v>5574</v>
      </c>
      <c r="H3411">
        <v>38234.65</v>
      </c>
      <c r="I3411">
        <v>198.36</v>
      </c>
      <c r="J3411" t="s">
        <v>120</v>
      </c>
      <c r="K3411" t="s">
        <v>2744</v>
      </c>
      <c r="L3411">
        <v>15.32</v>
      </c>
      <c r="M3411">
        <v>17.420000000000002</v>
      </c>
      <c r="N3411">
        <v>1.6</v>
      </c>
      <c r="O3411">
        <v>8.86</v>
      </c>
      <c r="P3411">
        <v>18.3</v>
      </c>
      <c r="Q3411">
        <v>1.67</v>
      </c>
      <c r="R3411">
        <v>17.09</v>
      </c>
      <c r="S3411">
        <v>17.100000000000001</v>
      </c>
      <c r="T3411">
        <v>216783</v>
      </c>
      <c r="U3411">
        <v>17.420000000000002</v>
      </c>
      <c r="V3411">
        <v>16.809999999999999</v>
      </c>
      <c r="W3411">
        <v>20.77</v>
      </c>
      <c r="X3411" t="s">
        <v>684</v>
      </c>
      <c r="Y3411" t="s">
        <v>609</v>
      </c>
      <c r="Z3411">
        <v>7.2</v>
      </c>
      <c r="AA3411">
        <v>17.64</v>
      </c>
      <c r="AB3411">
        <v>98439</v>
      </c>
      <c r="AC3411">
        <v>118344</v>
      </c>
      <c r="AD3411">
        <v>0.83</v>
      </c>
      <c r="AE3411">
        <v>412</v>
      </c>
      <c r="AF3411">
        <v>37</v>
      </c>
      <c r="AG3411" t="s">
        <v>120</v>
      </c>
      <c r="AH3411">
        <v>0.14000000000000001</v>
      </c>
      <c r="AI3411" t="s">
        <v>120</v>
      </c>
      <c r="AJ3411">
        <v>1.42</v>
      </c>
      <c r="AK3411" t="s">
        <v>2744</v>
      </c>
      <c r="AL3411">
        <v>4.97</v>
      </c>
      <c r="AM3411">
        <v>3764</v>
      </c>
      <c r="AN3411">
        <v>58</v>
      </c>
      <c r="AO3411">
        <v>4.1000000000000003E-3</v>
      </c>
      <c r="AP3411">
        <v>2</v>
      </c>
      <c r="AQ3411">
        <v>4.41</v>
      </c>
      <c r="AR3411">
        <v>7</v>
      </c>
      <c r="AS3411">
        <v>27.62</v>
      </c>
      <c r="AT3411">
        <v>42.32</v>
      </c>
      <c r="AU3411">
        <v>36.299999999999997</v>
      </c>
      <c r="AV3411">
        <v>8</v>
      </c>
      <c r="AW3411">
        <v>25.39</v>
      </c>
      <c r="AX3411">
        <v>60.34</v>
      </c>
      <c r="AY3411">
        <v>22.81</v>
      </c>
      <c r="AZ3411">
        <v>32.08</v>
      </c>
      <c r="BA3411">
        <v>0.9</v>
      </c>
      <c r="BB3411" t="s">
        <v>184</v>
      </c>
      <c r="BF3411">
        <v>4.92</v>
      </c>
      <c r="BG3411">
        <v>1.87</v>
      </c>
      <c r="BH3411">
        <v>-4.8099999999999996</v>
      </c>
      <c r="BI3411">
        <v>1.93</v>
      </c>
      <c r="BJ3411">
        <v>20210827</v>
      </c>
      <c r="BK3411">
        <v>20180103</v>
      </c>
      <c r="BL3411">
        <v>1.42</v>
      </c>
      <c r="BM3411" t="s">
        <v>120</v>
      </c>
      <c r="BN3411" t="s">
        <v>120</v>
      </c>
      <c r="BO3411">
        <v>19.93</v>
      </c>
      <c r="BP3411">
        <v>17.41</v>
      </c>
      <c r="BQ3411">
        <v>12.31</v>
      </c>
      <c r="BR3411" t="s">
        <v>120</v>
      </c>
      <c r="BS3411">
        <v>38.21</v>
      </c>
      <c r="BT3411">
        <v>8.26</v>
      </c>
      <c r="BU3411">
        <v>7</v>
      </c>
      <c r="BV3411">
        <v>1.41</v>
      </c>
      <c r="BW3411">
        <v>2.9</v>
      </c>
      <c r="BX3411">
        <v>5.39</v>
      </c>
      <c r="BY3411">
        <v>0.66</v>
      </c>
      <c r="BZ3411">
        <v>1.66</v>
      </c>
      <c r="CA3411" t="s">
        <v>120</v>
      </c>
      <c r="CB3411">
        <v>4.8600000000000003</v>
      </c>
      <c r="CC3411">
        <v>4.43</v>
      </c>
      <c r="CD3411">
        <v>3.05</v>
      </c>
      <c r="CE3411">
        <v>0.67</v>
      </c>
      <c r="CF3411">
        <v>0</v>
      </c>
      <c r="CG3411">
        <v>0.67</v>
      </c>
      <c r="CH3411">
        <v>0.59</v>
      </c>
      <c r="CI3411">
        <v>0.59</v>
      </c>
      <c r="CJ3411">
        <v>0.61</v>
      </c>
      <c r="CK3411">
        <v>0.59</v>
      </c>
      <c r="CL3411">
        <v>5.4</v>
      </c>
      <c r="CM3411">
        <v>-0.44</v>
      </c>
      <c r="CN3411">
        <v>1.0900000000000001</v>
      </c>
      <c r="CO3411">
        <v>22145</v>
      </c>
      <c r="CP3411">
        <v>3855</v>
      </c>
      <c r="CQ3411" t="s">
        <v>4601</v>
      </c>
      <c r="CR3411">
        <v>103.11</v>
      </c>
      <c r="CS3411">
        <v>40.76</v>
      </c>
      <c r="CT3411">
        <v>2</v>
      </c>
      <c r="CU3411">
        <v>-56.35</v>
      </c>
      <c r="CV3411">
        <v>5.56</v>
      </c>
      <c r="CW3411">
        <v>1.25</v>
      </c>
      <c r="CX3411" t="s">
        <v>1327</v>
      </c>
      <c r="CY3411">
        <v>8.6999999999999993</v>
      </c>
      <c r="CZ3411">
        <v>0</v>
      </c>
      <c r="DA3411">
        <v>3.43</v>
      </c>
      <c r="DB3411">
        <v>3.81</v>
      </c>
      <c r="DC3411">
        <v>-0.31</v>
      </c>
      <c r="DD3411">
        <v>61.79</v>
      </c>
      <c r="DE3411" t="s">
        <v>11459</v>
      </c>
      <c r="DF3411">
        <v>31.11</v>
      </c>
      <c r="DG3411">
        <v>15.04</v>
      </c>
      <c r="DH3411">
        <v>13.38</v>
      </c>
      <c r="DI3411" t="s">
        <v>120</v>
      </c>
      <c r="DJ3411">
        <v>796</v>
      </c>
      <c r="DK3411">
        <v>603080</v>
      </c>
      <c r="DL3411">
        <v>20210825</v>
      </c>
      <c r="DM3411">
        <v>16.61</v>
      </c>
      <c r="DN3411">
        <v>4.88</v>
      </c>
    </row>
    <row r="3412" spans="1:118">
      <c r="A3412" t="str">
        <f>"603081"</f>
        <v>603081</v>
      </c>
      <c r="B3412" t="s">
        <v>14538</v>
      </c>
      <c r="C3412">
        <v>-3.4</v>
      </c>
      <c r="D3412">
        <v>0</v>
      </c>
      <c r="E3412">
        <v>0.08</v>
      </c>
      <c r="F3412">
        <v>123</v>
      </c>
      <c r="G3412" t="s">
        <v>3579</v>
      </c>
      <c r="H3412">
        <v>3932.76</v>
      </c>
      <c r="I3412">
        <v>0.99</v>
      </c>
      <c r="J3412" t="s">
        <v>120</v>
      </c>
      <c r="K3412" t="s">
        <v>14539</v>
      </c>
      <c r="L3412">
        <v>0.81</v>
      </c>
      <c r="M3412">
        <v>11.92</v>
      </c>
      <c r="N3412">
        <v>1.07</v>
      </c>
      <c r="O3412">
        <v>0.41</v>
      </c>
      <c r="P3412">
        <v>12.39</v>
      </c>
      <c r="Q3412">
        <v>-3.57</v>
      </c>
      <c r="R3412">
        <v>11.9</v>
      </c>
      <c r="S3412">
        <v>12.35</v>
      </c>
      <c r="T3412">
        <v>32471</v>
      </c>
      <c r="U3412">
        <v>11.93</v>
      </c>
      <c r="V3412">
        <v>12.34</v>
      </c>
      <c r="W3412">
        <v>14.15</v>
      </c>
      <c r="X3412" t="s">
        <v>675</v>
      </c>
      <c r="Y3412" t="s">
        <v>585</v>
      </c>
      <c r="Z3412">
        <v>3.97</v>
      </c>
      <c r="AA3412">
        <v>12.11</v>
      </c>
      <c r="AB3412">
        <v>19075</v>
      </c>
      <c r="AC3412">
        <v>13396</v>
      </c>
      <c r="AD3412">
        <v>1.42</v>
      </c>
      <c r="AE3412">
        <v>114</v>
      </c>
      <c r="AF3412">
        <v>201</v>
      </c>
      <c r="AG3412" t="s">
        <v>120</v>
      </c>
      <c r="AH3412">
        <v>0</v>
      </c>
      <c r="AI3412" t="s">
        <v>120</v>
      </c>
      <c r="AJ3412">
        <v>4.0199999999999996</v>
      </c>
      <c r="AK3412" t="s">
        <v>14539</v>
      </c>
      <c r="AL3412">
        <v>-2.06</v>
      </c>
      <c r="AM3412">
        <v>1560</v>
      </c>
      <c r="AN3412">
        <v>21</v>
      </c>
      <c r="AO3412">
        <v>5.0000000000000001E-4</v>
      </c>
      <c r="AP3412">
        <v>-1</v>
      </c>
      <c r="AQ3412">
        <v>1.4</v>
      </c>
      <c r="AR3412">
        <v>-2.4500000000000002</v>
      </c>
      <c r="AS3412">
        <v>-2.5299999999999998</v>
      </c>
      <c r="AT3412">
        <v>5.86</v>
      </c>
      <c r="AU3412">
        <v>11.4</v>
      </c>
      <c r="AV3412">
        <v>1</v>
      </c>
      <c r="AW3412">
        <v>1.41</v>
      </c>
      <c r="AX3412">
        <v>57.14</v>
      </c>
      <c r="AY3412">
        <v>13.8</v>
      </c>
      <c r="AZ3412">
        <v>15.81</v>
      </c>
      <c r="BA3412">
        <v>0.38</v>
      </c>
      <c r="BB3412" t="s">
        <v>143</v>
      </c>
      <c r="BF3412">
        <v>-1.85</v>
      </c>
      <c r="BG3412">
        <v>-3.48</v>
      </c>
      <c r="BH3412">
        <v>-3.79</v>
      </c>
      <c r="BI3412">
        <v>0.17</v>
      </c>
      <c r="BJ3412">
        <v>20210827</v>
      </c>
      <c r="BK3412">
        <v>20170420</v>
      </c>
      <c r="BL3412">
        <v>4.0199999999999996</v>
      </c>
      <c r="BM3412" t="s">
        <v>120</v>
      </c>
      <c r="BN3412" t="s">
        <v>120</v>
      </c>
      <c r="BO3412">
        <v>54.79</v>
      </c>
      <c r="BP3412">
        <v>11.92</v>
      </c>
      <c r="BQ3412">
        <v>23.87</v>
      </c>
      <c r="BR3412">
        <v>0.47</v>
      </c>
      <c r="BS3412">
        <v>55.57</v>
      </c>
      <c r="BT3412">
        <v>35.14</v>
      </c>
      <c r="BU3412">
        <v>2.86</v>
      </c>
      <c r="BV3412">
        <v>1.46</v>
      </c>
      <c r="BW3412">
        <v>19.54</v>
      </c>
      <c r="BX3412">
        <v>6.44</v>
      </c>
      <c r="BY3412">
        <v>3.59</v>
      </c>
      <c r="BZ3412">
        <v>11.64</v>
      </c>
      <c r="CA3412" t="s">
        <v>120</v>
      </c>
      <c r="CB3412">
        <v>4.84</v>
      </c>
      <c r="CC3412">
        <v>11.56</v>
      </c>
      <c r="CD3412">
        <v>7.57</v>
      </c>
      <c r="CE3412">
        <v>2.0499999999999998</v>
      </c>
      <c r="CF3412">
        <v>7.0000000000000007E-2</v>
      </c>
      <c r="CG3412">
        <v>2.0299999999999998</v>
      </c>
      <c r="CH3412">
        <v>1.68</v>
      </c>
      <c r="CI3412">
        <v>1.69</v>
      </c>
      <c r="CJ3412">
        <v>-0.42</v>
      </c>
      <c r="CK3412">
        <v>1.64</v>
      </c>
      <c r="CL3412">
        <v>12.41</v>
      </c>
      <c r="CM3412">
        <v>-1.1399999999999999</v>
      </c>
      <c r="CN3412">
        <v>-2.33</v>
      </c>
      <c r="CO3412">
        <v>13064</v>
      </c>
      <c r="CP3412">
        <v>17575</v>
      </c>
      <c r="CQ3412" t="s">
        <v>14540</v>
      </c>
      <c r="CR3412">
        <v>36.9</v>
      </c>
      <c r="CS3412">
        <v>22.7</v>
      </c>
      <c r="CT3412">
        <v>2.11</v>
      </c>
      <c r="CU3412">
        <v>-42.05</v>
      </c>
      <c r="CV3412">
        <v>4.1399999999999997</v>
      </c>
      <c r="CW3412">
        <v>1.22</v>
      </c>
      <c r="CX3412" t="s">
        <v>1327</v>
      </c>
      <c r="CY3412">
        <v>5.64</v>
      </c>
      <c r="CZ3412">
        <v>5.64</v>
      </c>
      <c r="DA3412">
        <v>1.21</v>
      </c>
      <c r="DB3412">
        <v>3.09</v>
      </c>
      <c r="DC3412">
        <v>-0.28000000000000003</v>
      </c>
      <c r="DD3412">
        <v>43.56</v>
      </c>
      <c r="DE3412" t="s">
        <v>6478</v>
      </c>
      <c r="DF3412">
        <v>34.54</v>
      </c>
      <c r="DG3412">
        <v>17.760000000000002</v>
      </c>
      <c r="DH3412">
        <v>14.64</v>
      </c>
      <c r="DI3412">
        <v>0.63</v>
      </c>
      <c r="DJ3412">
        <v>2220</v>
      </c>
      <c r="DK3412">
        <v>603081</v>
      </c>
      <c r="DL3412" t="s">
        <v>120</v>
      </c>
      <c r="DM3412" t="s">
        <v>120</v>
      </c>
      <c r="DN3412" t="s">
        <v>120</v>
      </c>
    </row>
    <row r="3413" spans="1:118">
      <c r="A3413" t="str">
        <f>"603083"</f>
        <v>603083</v>
      </c>
      <c r="B3413" t="s">
        <v>14541</v>
      </c>
      <c r="C3413">
        <v>-1.95</v>
      </c>
      <c r="D3413">
        <v>0</v>
      </c>
      <c r="E3413">
        <v>0</v>
      </c>
      <c r="F3413">
        <v>767</v>
      </c>
      <c r="G3413" t="s">
        <v>14542</v>
      </c>
      <c r="H3413">
        <v>7287.18</v>
      </c>
      <c r="I3413">
        <v>11.99</v>
      </c>
      <c r="J3413" t="s">
        <v>120</v>
      </c>
      <c r="K3413" t="s">
        <v>13245</v>
      </c>
      <c r="L3413">
        <v>1.95</v>
      </c>
      <c r="M3413">
        <v>14.61</v>
      </c>
      <c r="N3413">
        <v>0.69</v>
      </c>
      <c r="O3413">
        <v>1.68</v>
      </c>
      <c r="P3413">
        <v>15.15</v>
      </c>
      <c r="Q3413">
        <v>-2.0099999999999998</v>
      </c>
      <c r="R3413">
        <v>14.6</v>
      </c>
      <c r="S3413">
        <v>14.9</v>
      </c>
      <c r="T3413">
        <v>49153</v>
      </c>
      <c r="U3413">
        <v>14.61</v>
      </c>
      <c r="V3413">
        <v>14.9</v>
      </c>
      <c r="W3413">
        <v>30.07</v>
      </c>
      <c r="X3413" t="s">
        <v>462</v>
      </c>
      <c r="Y3413" t="s">
        <v>1510</v>
      </c>
      <c r="Z3413">
        <v>3.69</v>
      </c>
      <c r="AA3413">
        <v>14.83</v>
      </c>
      <c r="AB3413">
        <v>31118</v>
      </c>
      <c r="AC3413">
        <v>18035</v>
      </c>
      <c r="AD3413">
        <v>1.73</v>
      </c>
      <c r="AE3413">
        <v>473</v>
      </c>
      <c r="AF3413">
        <v>491</v>
      </c>
      <c r="AG3413" t="s">
        <v>120</v>
      </c>
      <c r="AH3413">
        <v>0</v>
      </c>
      <c r="AI3413" t="s">
        <v>120</v>
      </c>
      <c r="AJ3413">
        <v>2.52</v>
      </c>
      <c r="AK3413" t="s">
        <v>13245</v>
      </c>
      <c r="AL3413">
        <v>-0.6</v>
      </c>
      <c r="AM3413">
        <v>2261</v>
      </c>
      <c r="AN3413">
        <v>22</v>
      </c>
      <c r="AO3413">
        <v>8.9999999999999998E-4</v>
      </c>
      <c r="AP3413">
        <v>-5</v>
      </c>
      <c r="AQ3413">
        <v>-0.86</v>
      </c>
      <c r="AR3413">
        <v>-3.24</v>
      </c>
      <c r="AS3413">
        <v>-4.45</v>
      </c>
      <c r="AT3413">
        <v>0.9</v>
      </c>
      <c r="AU3413">
        <v>2.31</v>
      </c>
      <c r="AV3413">
        <v>8</v>
      </c>
      <c r="AW3413">
        <v>3.03</v>
      </c>
      <c r="AX3413">
        <v>64.3</v>
      </c>
      <c r="AY3413" t="s">
        <v>120</v>
      </c>
      <c r="AZ3413" t="s">
        <v>120</v>
      </c>
      <c r="BA3413">
        <v>0.81</v>
      </c>
      <c r="BB3413" t="s">
        <v>143</v>
      </c>
      <c r="BF3413">
        <v>-0.5</v>
      </c>
      <c r="BG3413">
        <v>-1.95</v>
      </c>
      <c r="BH3413">
        <v>-3.56</v>
      </c>
      <c r="BI3413">
        <v>7.0000000000000007E-2</v>
      </c>
      <c r="BJ3413">
        <v>20210821</v>
      </c>
      <c r="BK3413">
        <v>20171110</v>
      </c>
      <c r="BL3413">
        <v>2.52</v>
      </c>
      <c r="BM3413" t="s">
        <v>120</v>
      </c>
      <c r="BN3413" t="s">
        <v>120</v>
      </c>
      <c r="BO3413">
        <v>36.6</v>
      </c>
      <c r="BP3413">
        <v>14.6</v>
      </c>
      <c r="BQ3413">
        <v>17.29</v>
      </c>
      <c r="BR3413" t="s">
        <v>120</v>
      </c>
      <c r="BS3413">
        <v>52.78</v>
      </c>
      <c r="BT3413">
        <v>21.7</v>
      </c>
      <c r="BU3413">
        <v>4.1399999999999997</v>
      </c>
      <c r="BV3413">
        <v>2.52</v>
      </c>
      <c r="BW3413">
        <v>16.41</v>
      </c>
      <c r="BX3413">
        <v>1.64</v>
      </c>
      <c r="BY3413">
        <v>10.86</v>
      </c>
      <c r="BZ3413">
        <v>7.32</v>
      </c>
      <c r="CA3413" t="s">
        <v>120</v>
      </c>
      <c r="CB3413">
        <v>12.49</v>
      </c>
      <c r="CC3413">
        <v>14.58</v>
      </c>
      <c r="CD3413">
        <v>11.4</v>
      </c>
      <c r="CE3413">
        <v>0.59</v>
      </c>
      <c r="CF3413">
        <v>0.21</v>
      </c>
      <c r="CG3413">
        <v>0.6</v>
      </c>
      <c r="CH3413">
        <v>0.61</v>
      </c>
      <c r="CI3413">
        <v>0.61</v>
      </c>
      <c r="CJ3413">
        <v>-0.28999999999999998</v>
      </c>
      <c r="CK3413">
        <v>0.34</v>
      </c>
      <c r="CL3413">
        <v>1.8</v>
      </c>
      <c r="CM3413">
        <v>-0.3</v>
      </c>
      <c r="CN3413">
        <v>-0.87</v>
      </c>
      <c r="CO3413">
        <v>29777</v>
      </c>
      <c r="CP3413">
        <v>5446</v>
      </c>
      <c r="CQ3413" t="s">
        <v>396</v>
      </c>
      <c r="CR3413">
        <v>206.77</v>
      </c>
      <c r="CS3413">
        <v>2.4</v>
      </c>
      <c r="CT3413">
        <v>2.13</v>
      </c>
      <c r="CU3413">
        <v>-121.94</v>
      </c>
      <c r="CV3413">
        <v>2.5299999999999998</v>
      </c>
      <c r="CW3413">
        <v>0</v>
      </c>
      <c r="CX3413" t="s">
        <v>626</v>
      </c>
      <c r="CY3413">
        <v>6.85</v>
      </c>
      <c r="CZ3413">
        <v>0</v>
      </c>
      <c r="DA3413">
        <v>4.95</v>
      </c>
      <c r="DB3413">
        <v>0.71</v>
      </c>
      <c r="DC3413">
        <v>-0.12</v>
      </c>
      <c r="DD3413">
        <v>47.22</v>
      </c>
      <c r="DE3413" t="s">
        <v>1130</v>
      </c>
      <c r="DF3413">
        <v>21.84</v>
      </c>
      <c r="DG3413">
        <v>4.07</v>
      </c>
      <c r="DH3413">
        <v>4.2</v>
      </c>
      <c r="DI3413">
        <v>1.0900000000000001</v>
      </c>
      <c r="DJ3413">
        <v>1422</v>
      </c>
      <c r="DK3413">
        <v>603083</v>
      </c>
      <c r="DL3413" t="s">
        <v>120</v>
      </c>
      <c r="DM3413" t="s">
        <v>120</v>
      </c>
      <c r="DN3413" t="s">
        <v>120</v>
      </c>
    </row>
    <row r="3414" spans="1:118">
      <c r="A3414" t="str">
        <f>"603085"</f>
        <v>603085</v>
      </c>
      <c r="B3414" t="s">
        <v>14543</v>
      </c>
      <c r="C3414">
        <v>-0.44</v>
      </c>
      <c r="D3414">
        <v>0.15</v>
      </c>
      <c r="E3414">
        <v>0</v>
      </c>
      <c r="F3414">
        <v>162</v>
      </c>
      <c r="G3414" t="s">
        <v>6307</v>
      </c>
      <c r="H3414">
        <v>3374.4</v>
      </c>
      <c r="I3414">
        <v>1.71</v>
      </c>
      <c r="J3414" t="s">
        <v>120</v>
      </c>
      <c r="K3414" t="s">
        <v>14544</v>
      </c>
      <c r="L3414">
        <v>1.33</v>
      </c>
      <c r="M3414">
        <v>6.79</v>
      </c>
      <c r="N3414">
        <v>0.8</v>
      </c>
      <c r="O3414">
        <v>2.2000000000000002</v>
      </c>
      <c r="P3414">
        <v>6.97</v>
      </c>
      <c r="Q3414">
        <v>-1.47</v>
      </c>
      <c r="R3414">
        <v>6.72</v>
      </c>
      <c r="S3414">
        <v>6.82</v>
      </c>
      <c r="T3414">
        <v>49165</v>
      </c>
      <c r="U3414">
        <v>6.8</v>
      </c>
      <c r="V3414">
        <v>6.82</v>
      </c>
      <c r="W3414">
        <v>30.52</v>
      </c>
      <c r="X3414" t="s">
        <v>289</v>
      </c>
      <c r="Y3414" t="s">
        <v>585</v>
      </c>
      <c r="Z3414">
        <v>3.67</v>
      </c>
      <c r="AA3414">
        <v>6.86</v>
      </c>
      <c r="AB3414">
        <v>24114</v>
      </c>
      <c r="AC3414">
        <v>25051</v>
      </c>
      <c r="AD3414">
        <v>0.96</v>
      </c>
      <c r="AE3414">
        <v>605</v>
      </c>
      <c r="AF3414">
        <v>119</v>
      </c>
      <c r="AG3414" t="s">
        <v>120</v>
      </c>
      <c r="AH3414">
        <v>0</v>
      </c>
      <c r="AI3414" t="s">
        <v>120</v>
      </c>
      <c r="AJ3414">
        <v>3.7</v>
      </c>
      <c r="AK3414" t="s">
        <v>14544</v>
      </c>
      <c r="AL3414">
        <v>0.9</v>
      </c>
      <c r="AM3414">
        <v>1224</v>
      </c>
      <c r="AN3414">
        <v>40</v>
      </c>
      <c r="AO3414">
        <v>1.1000000000000001E-3</v>
      </c>
      <c r="AP3414">
        <v>-1</v>
      </c>
      <c r="AQ3414">
        <v>1.34</v>
      </c>
      <c r="AR3414">
        <v>-2.16</v>
      </c>
      <c r="AS3414">
        <v>3.82</v>
      </c>
      <c r="AT3414">
        <v>-5.96</v>
      </c>
      <c r="AU3414">
        <v>-33.56</v>
      </c>
      <c r="AV3414">
        <v>2</v>
      </c>
      <c r="AW3414">
        <v>2.39</v>
      </c>
      <c r="AX3414">
        <v>55.49</v>
      </c>
      <c r="AY3414">
        <v>42.67</v>
      </c>
      <c r="AZ3414">
        <v>49.97</v>
      </c>
      <c r="BA3414">
        <v>0.76</v>
      </c>
      <c r="BB3414" t="s">
        <v>143</v>
      </c>
      <c r="BF3414">
        <v>0.64</v>
      </c>
      <c r="BG3414">
        <v>-0.44</v>
      </c>
      <c r="BH3414">
        <v>-2.58</v>
      </c>
      <c r="BI3414">
        <v>1.04</v>
      </c>
      <c r="BJ3414">
        <v>20210830</v>
      </c>
      <c r="BK3414">
        <v>20150630</v>
      </c>
      <c r="BL3414">
        <v>3.7</v>
      </c>
      <c r="BM3414" t="s">
        <v>120</v>
      </c>
      <c r="BN3414" t="s">
        <v>120</v>
      </c>
      <c r="BO3414">
        <v>25.73</v>
      </c>
      <c r="BP3414">
        <v>6.79</v>
      </c>
      <c r="BQ3414">
        <v>10.52</v>
      </c>
      <c r="BR3414" t="s">
        <v>120</v>
      </c>
      <c r="BS3414">
        <v>59.11</v>
      </c>
      <c r="BT3414">
        <v>12.69</v>
      </c>
      <c r="BU3414">
        <v>6.4</v>
      </c>
      <c r="BV3414">
        <v>2.66</v>
      </c>
      <c r="BW3414">
        <v>11.93</v>
      </c>
      <c r="BX3414">
        <v>1.34</v>
      </c>
      <c r="BY3414">
        <v>4.1500000000000004</v>
      </c>
      <c r="BZ3414">
        <v>3.87</v>
      </c>
      <c r="CA3414" t="s">
        <v>120</v>
      </c>
      <c r="CB3414">
        <v>8.5399999999999991</v>
      </c>
      <c r="CC3414">
        <v>8.26</v>
      </c>
      <c r="CD3414">
        <v>6.56</v>
      </c>
      <c r="CE3414">
        <v>0.43</v>
      </c>
      <c r="CF3414">
        <v>-0.01</v>
      </c>
      <c r="CG3414">
        <v>0.43</v>
      </c>
      <c r="CH3414">
        <v>0.41</v>
      </c>
      <c r="CI3414">
        <v>0.41</v>
      </c>
      <c r="CJ3414">
        <v>-0.03</v>
      </c>
      <c r="CK3414">
        <v>0.38</v>
      </c>
      <c r="CL3414">
        <v>-2.2599999999999998</v>
      </c>
      <c r="CM3414">
        <v>0.18</v>
      </c>
      <c r="CN3414">
        <v>-0.74</v>
      </c>
      <c r="CO3414">
        <v>20549</v>
      </c>
      <c r="CP3414">
        <v>9997</v>
      </c>
      <c r="CQ3414" t="s">
        <v>3500</v>
      </c>
      <c r="CR3414">
        <v>26.55</v>
      </c>
      <c r="CS3414">
        <v>27.25</v>
      </c>
      <c r="CT3414">
        <v>2.39</v>
      </c>
      <c r="CU3414">
        <v>141.84</v>
      </c>
      <c r="CV3414">
        <v>3.04</v>
      </c>
      <c r="CW3414">
        <v>0</v>
      </c>
      <c r="CX3414" t="s">
        <v>300</v>
      </c>
      <c r="CY3414">
        <v>2.84</v>
      </c>
      <c r="CZ3414">
        <v>0</v>
      </c>
      <c r="DA3414">
        <v>2.31</v>
      </c>
      <c r="DB3414">
        <v>-0.61</v>
      </c>
      <c r="DC3414">
        <v>0.05</v>
      </c>
      <c r="DD3414">
        <v>40.89</v>
      </c>
      <c r="DE3414" t="s">
        <v>14545</v>
      </c>
      <c r="DF3414">
        <v>20.58</v>
      </c>
      <c r="DG3414">
        <v>5.16</v>
      </c>
      <c r="DH3414">
        <v>4.99</v>
      </c>
      <c r="DI3414">
        <v>0.27</v>
      </c>
      <c r="DJ3414">
        <v>2308</v>
      </c>
      <c r="DK3414">
        <v>603085</v>
      </c>
      <c r="DL3414" t="s">
        <v>120</v>
      </c>
      <c r="DM3414" t="s">
        <v>120</v>
      </c>
      <c r="DN3414" t="s">
        <v>120</v>
      </c>
    </row>
    <row r="3415" spans="1:118">
      <c r="A3415" t="str">
        <f>"603086"</f>
        <v>603086</v>
      </c>
      <c r="B3415" t="s">
        <v>14546</v>
      </c>
      <c r="C3415">
        <v>2.15</v>
      </c>
      <c r="D3415">
        <v>0</v>
      </c>
      <c r="E3415">
        <v>-0.68</v>
      </c>
      <c r="F3415">
        <v>2563</v>
      </c>
      <c r="G3415" t="s">
        <v>14547</v>
      </c>
      <c r="H3415">
        <v>9861.91</v>
      </c>
      <c r="I3415">
        <v>77.37</v>
      </c>
      <c r="J3415" t="s">
        <v>120</v>
      </c>
      <c r="K3415" t="s">
        <v>14548</v>
      </c>
      <c r="L3415">
        <v>4.3</v>
      </c>
      <c r="M3415">
        <v>10.47</v>
      </c>
      <c r="N3415">
        <v>0.78</v>
      </c>
      <c r="O3415">
        <v>5.07</v>
      </c>
      <c r="P3415">
        <v>10.77</v>
      </c>
      <c r="Q3415">
        <v>-0.68</v>
      </c>
      <c r="R3415">
        <v>10.18</v>
      </c>
      <c r="S3415">
        <v>10.18</v>
      </c>
      <c r="T3415">
        <v>94348</v>
      </c>
      <c r="U3415">
        <v>10.47</v>
      </c>
      <c r="V3415">
        <v>10.25</v>
      </c>
      <c r="W3415">
        <v>19.600000000000001</v>
      </c>
      <c r="X3415" t="s">
        <v>690</v>
      </c>
      <c r="Y3415" t="s">
        <v>638</v>
      </c>
      <c r="Z3415">
        <v>5.76</v>
      </c>
      <c r="AA3415">
        <v>10.45</v>
      </c>
      <c r="AB3415">
        <v>48563</v>
      </c>
      <c r="AC3415">
        <v>45785</v>
      </c>
      <c r="AD3415">
        <v>1.06</v>
      </c>
      <c r="AE3415">
        <v>1965</v>
      </c>
      <c r="AF3415">
        <v>263</v>
      </c>
      <c r="AG3415" t="s">
        <v>120</v>
      </c>
      <c r="AH3415">
        <v>7.0000000000000007E-2</v>
      </c>
      <c r="AI3415" t="s">
        <v>120</v>
      </c>
      <c r="AJ3415">
        <v>2.2000000000000002</v>
      </c>
      <c r="AK3415" t="s">
        <v>7362</v>
      </c>
      <c r="AL3415">
        <v>3.49</v>
      </c>
      <c r="AM3415">
        <v>2533</v>
      </c>
      <c r="AN3415">
        <v>37</v>
      </c>
      <c r="AO3415">
        <v>1.6999999999999999E-3</v>
      </c>
      <c r="AP3415">
        <v>1</v>
      </c>
      <c r="AQ3415">
        <v>-1.82</v>
      </c>
      <c r="AR3415">
        <v>1.06</v>
      </c>
      <c r="AS3415">
        <v>18.57</v>
      </c>
      <c r="AT3415">
        <v>13.92</v>
      </c>
      <c r="AU3415">
        <v>-3.56</v>
      </c>
      <c r="AV3415">
        <v>3</v>
      </c>
      <c r="AW3415">
        <v>8.4700000000000006</v>
      </c>
      <c r="AX3415">
        <v>50.2</v>
      </c>
      <c r="AY3415">
        <v>16.309999999999999</v>
      </c>
      <c r="AZ3415">
        <v>12.92</v>
      </c>
      <c r="BA3415">
        <v>1.1000000000000001</v>
      </c>
      <c r="BB3415" t="s">
        <v>125</v>
      </c>
      <c r="BF3415">
        <v>1.98</v>
      </c>
      <c r="BG3415">
        <v>2.85</v>
      </c>
      <c r="BH3415">
        <v>-2.79</v>
      </c>
      <c r="BI3415">
        <v>2.85</v>
      </c>
      <c r="BJ3415">
        <v>20210830</v>
      </c>
      <c r="BK3415">
        <v>20170511</v>
      </c>
      <c r="BL3415">
        <v>2.2200000000000002</v>
      </c>
      <c r="BM3415" t="s">
        <v>120</v>
      </c>
      <c r="BN3415" t="s">
        <v>120</v>
      </c>
      <c r="BO3415">
        <v>24.16</v>
      </c>
      <c r="BP3415">
        <v>10.46</v>
      </c>
      <c r="BQ3415">
        <v>17.13</v>
      </c>
      <c r="BR3415" t="s">
        <v>120</v>
      </c>
      <c r="BS3415">
        <v>29.08</v>
      </c>
      <c r="BT3415">
        <v>14.38</v>
      </c>
      <c r="BU3415">
        <v>5.71</v>
      </c>
      <c r="BV3415">
        <v>1.1599999999999999</v>
      </c>
      <c r="BW3415">
        <v>6.83</v>
      </c>
      <c r="BX3415">
        <v>3.13</v>
      </c>
      <c r="BY3415">
        <v>4.68</v>
      </c>
      <c r="BZ3415">
        <v>3.09</v>
      </c>
      <c r="CA3415" t="s">
        <v>120</v>
      </c>
      <c r="CB3415">
        <v>3.57</v>
      </c>
      <c r="CC3415">
        <v>10.38</v>
      </c>
      <c r="CD3415">
        <v>8.2899999999999991</v>
      </c>
      <c r="CE3415">
        <v>0.73</v>
      </c>
      <c r="CF3415">
        <v>0.09</v>
      </c>
      <c r="CG3415">
        <v>0.7</v>
      </c>
      <c r="CH3415">
        <v>0.59</v>
      </c>
      <c r="CI3415">
        <v>0.59</v>
      </c>
      <c r="CJ3415">
        <v>0.22</v>
      </c>
      <c r="CK3415">
        <v>0.54</v>
      </c>
      <c r="CL3415">
        <v>10.44</v>
      </c>
      <c r="CM3415">
        <v>-0.55000000000000004</v>
      </c>
      <c r="CN3415">
        <v>-2.44</v>
      </c>
      <c r="CO3415">
        <v>10366</v>
      </c>
      <c r="CP3415">
        <v>10746</v>
      </c>
      <c r="CQ3415" t="s">
        <v>14549</v>
      </c>
      <c r="CR3415">
        <v>-38.18</v>
      </c>
      <c r="CS3415">
        <v>7.47</v>
      </c>
      <c r="CT3415">
        <v>1.36</v>
      </c>
      <c r="CU3415">
        <v>-41.96</v>
      </c>
      <c r="CV3415">
        <v>2.2400000000000002</v>
      </c>
      <c r="CW3415">
        <v>2.44</v>
      </c>
      <c r="CX3415" t="s">
        <v>1233</v>
      </c>
      <c r="CY3415">
        <v>7.72</v>
      </c>
      <c r="CZ3415">
        <v>0</v>
      </c>
      <c r="DA3415">
        <v>1.61</v>
      </c>
      <c r="DB3415">
        <v>4.71</v>
      </c>
      <c r="DC3415">
        <v>-0.25</v>
      </c>
      <c r="DD3415">
        <v>70.92</v>
      </c>
      <c r="DE3415" t="s">
        <v>5093</v>
      </c>
      <c r="DF3415">
        <v>20.14</v>
      </c>
      <c r="DG3415">
        <v>7.06</v>
      </c>
      <c r="DH3415">
        <v>5.71</v>
      </c>
      <c r="DI3415">
        <v>0.49</v>
      </c>
      <c r="DJ3415">
        <v>1526</v>
      </c>
      <c r="DK3415">
        <v>603086</v>
      </c>
      <c r="DL3415" t="s">
        <v>120</v>
      </c>
      <c r="DM3415" t="s">
        <v>120</v>
      </c>
      <c r="DN3415" t="s">
        <v>120</v>
      </c>
    </row>
    <row r="3416" spans="1:118">
      <c r="A3416" t="str">
        <f>"603087"</f>
        <v>603087</v>
      </c>
      <c r="B3416" t="s">
        <v>14550</v>
      </c>
      <c r="C3416">
        <v>1.0900000000000001</v>
      </c>
      <c r="D3416">
        <v>0.94</v>
      </c>
      <c r="E3416">
        <v>-0.38</v>
      </c>
      <c r="F3416">
        <v>689</v>
      </c>
      <c r="G3416" t="s">
        <v>14551</v>
      </c>
      <c r="H3416">
        <v>20067.02</v>
      </c>
      <c r="I3416">
        <v>22.2</v>
      </c>
      <c r="J3416" t="s">
        <v>120</v>
      </c>
      <c r="K3416" t="s">
        <v>14552</v>
      </c>
      <c r="L3416">
        <v>0.94</v>
      </c>
      <c r="M3416">
        <v>75.099999999999994</v>
      </c>
      <c r="N3416">
        <v>0.97</v>
      </c>
      <c r="O3416">
        <v>1.62</v>
      </c>
      <c r="P3416">
        <v>75.489999999999995</v>
      </c>
      <c r="Q3416">
        <v>-1.91</v>
      </c>
      <c r="R3416">
        <v>72.87</v>
      </c>
      <c r="S3416">
        <v>74.010000000000005</v>
      </c>
      <c r="T3416">
        <v>27112</v>
      </c>
      <c r="U3416">
        <v>75.099999999999994</v>
      </c>
      <c r="V3416">
        <v>74.290000000000006</v>
      </c>
      <c r="W3416">
        <v>56.57</v>
      </c>
      <c r="X3416" t="s">
        <v>666</v>
      </c>
      <c r="Y3416" t="s">
        <v>158</v>
      </c>
      <c r="Z3416">
        <v>3.53</v>
      </c>
      <c r="AA3416">
        <v>74.02</v>
      </c>
      <c r="AB3416">
        <v>13989</v>
      </c>
      <c r="AC3416">
        <v>13123</v>
      </c>
      <c r="AD3416">
        <v>1.07</v>
      </c>
      <c r="AE3416">
        <v>10</v>
      </c>
      <c r="AF3416">
        <v>40</v>
      </c>
      <c r="AG3416" t="s">
        <v>120</v>
      </c>
      <c r="AH3416">
        <v>0</v>
      </c>
      <c r="AI3416" t="s">
        <v>120</v>
      </c>
      <c r="AJ3416">
        <v>2.88</v>
      </c>
      <c r="AK3416" t="s">
        <v>14553</v>
      </c>
      <c r="AL3416">
        <v>2.4300000000000002</v>
      </c>
      <c r="AM3416">
        <v>2815</v>
      </c>
      <c r="AN3416">
        <v>10</v>
      </c>
      <c r="AO3416">
        <v>2.9999999999999997E-4</v>
      </c>
      <c r="AP3416">
        <v>1</v>
      </c>
      <c r="AQ3416">
        <v>-2.48</v>
      </c>
      <c r="AR3416">
        <v>-0.61</v>
      </c>
      <c r="AS3416">
        <v>-5.04</v>
      </c>
      <c r="AT3416">
        <v>-32.99</v>
      </c>
      <c r="AU3416">
        <v>-43.03</v>
      </c>
      <c r="AV3416">
        <v>0</v>
      </c>
      <c r="AW3416">
        <v>2.54</v>
      </c>
      <c r="AX3416">
        <v>19.04</v>
      </c>
      <c r="AY3416">
        <v>32.19</v>
      </c>
      <c r="AZ3416">
        <v>33.9</v>
      </c>
      <c r="BA3416">
        <v>1.27</v>
      </c>
      <c r="BB3416" t="s">
        <v>143</v>
      </c>
      <c r="BF3416">
        <v>-0.37</v>
      </c>
      <c r="BG3416">
        <v>1.47</v>
      </c>
      <c r="BH3416">
        <v>-0.52</v>
      </c>
      <c r="BI3416">
        <v>3.06</v>
      </c>
      <c r="BJ3416">
        <v>20210827</v>
      </c>
      <c r="BK3416">
        <v>20200629</v>
      </c>
      <c r="BL3416">
        <v>5.62</v>
      </c>
      <c r="BM3416" t="s">
        <v>120</v>
      </c>
      <c r="BN3416" t="s">
        <v>120</v>
      </c>
      <c r="BO3416">
        <v>98.41</v>
      </c>
      <c r="BP3416">
        <v>75</v>
      </c>
      <c r="BQ3416">
        <v>90.84</v>
      </c>
      <c r="BR3416">
        <v>0</v>
      </c>
      <c r="BS3416">
        <v>7.69</v>
      </c>
      <c r="BT3416">
        <v>60.04</v>
      </c>
      <c r="BU3416">
        <v>16.899999999999999</v>
      </c>
      <c r="BV3416">
        <v>2.48</v>
      </c>
      <c r="BW3416">
        <v>5.62</v>
      </c>
      <c r="BX3416">
        <v>30.13</v>
      </c>
      <c r="BY3416">
        <v>5.78</v>
      </c>
      <c r="BZ3416">
        <v>6.74</v>
      </c>
      <c r="CA3416" t="s">
        <v>120</v>
      </c>
      <c r="CB3416">
        <v>24.74</v>
      </c>
      <c r="CC3416">
        <v>14.75</v>
      </c>
      <c r="CD3416">
        <v>1.72</v>
      </c>
      <c r="CE3416">
        <v>4.7300000000000004</v>
      </c>
      <c r="CF3416">
        <v>0.26</v>
      </c>
      <c r="CG3416">
        <v>4.7</v>
      </c>
      <c r="CH3416">
        <v>3.73</v>
      </c>
      <c r="CI3416">
        <v>3.73</v>
      </c>
      <c r="CJ3416">
        <v>0.81</v>
      </c>
      <c r="CK3416">
        <v>3.4</v>
      </c>
      <c r="CL3416">
        <v>57.62</v>
      </c>
      <c r="CM3416">
        <v>4.46</v>
      </c>
      <c r="CN3416">
        <v>1.47</v>
      </c>
      <c r="CO3416">
        <v>48767</v>
      </c>
      <c r="CP3416">
        <v>2193</v>
      </c>
      <c r="CQ3416" t="s">
        <v>14554</v>
      </c>
      <c r="CR3416">
        <v>21.17</v>
      </c>
      <c r="CS3416">
        <v>22.2</v>
      </c>
      <c r="CT3416">
        <v>4.6399999999999997</v>
      </c>
      <c r="CU3416">
        <v>94.56</v>
      </c>
      <c r="CV3416">
        <v>28.58</v>
      </c>
      <c r="CW3416">
        <v>0.54</v>
      </c>
      <c r="CX3416" t="s">
        <v>2533</v>
      </c>
      <c r="CY3416">
        <v>16.18</v>
      </c>
      <c r="CZ3416">
        <v>0</v>
      </c>
      <c r="DA3416">
        <v>4.41</v>
      </c>
      <c r="DB3416">
        <v>10.26</v>
      </c>
      <c r="DC3416">
        <v>0.79</v>
      </c>
      <c r="DD3416">
        <v>92.31</v>
      </c>
      <c r="DE3416" t="s">
        <v>1587</v>
      </c>
      <c r="DF3416">
        <v>88.35</v>
      </c>
      <c r="DG3416">
        <v>32.06</v>
      </c>
      <c r="DH3416">
        <v>25.27</v>
      </c>
      <c r="DI3416">
        <v>2.23</v>
      </c>
      <c r="DJ3416">
        <v>2934</v>
      </c>
      <c r="DK3416">
        <v>603087</v>
      </c>
      <c r="DL3416" t="s">
        <v>120</v>
      </c>
      <c r="DM3416" t="s">
        <v>120</v>
      </c>
      <c r="DN3416" t="s">
        <v>120</v>
      </c>
    </row>
    <row r="3417" spans="1:118">
      <c r="A3417" t="str">
        <f>"603088"</f>
        <v>603088</v>
      </c>
      <c r="B3417" t="s">
        <v>14555</v>
      </c>
      <c r="C3417">
        <v>7.95</v>
      </c>
      <c r="D3417">
        <v>-0.22</v>
      </c>
      <c r="E3417">
        <v>-0.38</v>
      </c>
      <c r="F3417">
        <v>5244</v>
      </c>
      <c r="G3417" t="s">
        <v>9714</v>
      </c>
      <c r="H3417">
        <v>31987.599999999999</v>
      </c>
      <c r="I3417">
        <v>189.2</v>
      </c>
      <c r="J3417" t="s">
        <v>120</v>
      </c>
      <c r="K3417" t="s">
        <v>14556</v>
      </c>
      <c r="L3417">
        <v>12.79</v>
      </c>
      <c r="M3417">
        <v>8.5500000000000007</v>
      </c>
      <c r="N3417">
        <v>1.45</v>
      </c>
      <c r="O3417">
        <v>9.9700000000000006</v>
      </c>
      <c r="P3417">
        <v>8.7100000000000009</v>
      </c>
      <c r="Q3417">
        <v>-3.91</v>
      </c>
      <c r="R3417">
        <v>7.61</v>
      </c>
      <c r="S3417">
        <v>7.89</v>
      </c>
      <c r="T3417">
        <v>393088</v>
      </c>
      <c r="U3417">
        <v>8.5500000000000007</v>
      </c>
      <c r="V3417">
        <v>7.92</v>
      </c>
      <c r="W3417">
        <v>38.020000000000003</v>
      </c>
      <c r="X3417" t="s">
        <v>675</v>
      </c>
      <c r="Y3417" t="s">
        <v>585</v>
      </c>
      <c r="Z3417">
        <v>13.89</v>
      </c>
      <c r="AA3417">
        <v>8.14</v>
      </c>
      <c r="AB3417">
        <v>180347</v>
      </c>
      <c r="AC3417">
        <v>212741</v>
      </c>
      <c r="AD3417">
        <v>0.85</v>
      </c>
      <c r="AE3417">
        <v>5</v>
      </c>
      <c r="AF3417">
        <v>549</v>
      </c>
      <c r="AG3417" t="s">
        <v>120</v>
      </c>
      <c r="AH3417">
        <v>0.2</v>
      </c>
      <c r="AI3417" t="s">
        <v>120</v>
      </c>
      <c r="AJ3417">
        <v>3.07</v>
      </c>
      <c r="AK3417" t="s">
        <v>14556</v>
      </c>
      <c r="AL3417">
        <v>9.3000000000000007</v>
      </c>
      <c r="AM3417">
        <v>4156</v>
      </c>
      <c r="AN3417">
        <v>95</v>
      </c>
      <c r="AO3417">
        <v>3.0999999999999999E-3</v>
      </c>
      <c r="AP3417">
        <v>1</v>
      </c>
      <c r="AQ3417">
        <v>-4.46</v>
      </c>
      <c r="AR3417">
        <v>9.34</v>
      </c>
      <c r="AS3417">
        <v>46.15</v>
      </c>
      <c r="AT3417">
        <v>48.7</v>
      </c>
      <c r="AU3417">
        <v>64.2</v>
      </c>
      <c r="AV3417">
        <v>5</v>
      </c>
      <c r="AW3417">
        <v>33.119999999999997</v>
      </c>
      <c r="AX3417">
        <v>38.619999999999997</v>
      </c>
      <c r="AY3417">
        <v>33.619999999999997</v>
      </c>
      <c r="AZ3417">
        <v>36.14</v>
      </c>
      <c r="BA3417">
        <v>0.94</v>
      </c>
      <c r="BB3417" t="s">
        <v>184</v>
      </c>
      <c r="BF3417">
        <v>2.75</v>
      </c>
      <c r="BG3417">
        <v>8.3699999999999992</v>
      </c>
      <c r="BH3417">
        <v>-1.84</v>
      </c>
      <c r="BI3417">
        <v>12.35</v>
      </c>
      <c r="BJ3417">
        <v>20210827</v>
      </c>
      <c r="BK3417">
        <v>20141111</v>
      </c>
      <c r="BL3417">
        <v>3.07</v>
      </c>
      <c r="BM3417" t="s">
        <v>120</v>
      </c>
      <c r="BN3417" t="s">
        <v>120</v>
      </c>
      <c r="BO3417">
        <v>9.32</v>
      </c>
      <c r="BP3417">
        <v>8.5399999999999991</v>
      </c>
      <c r="BQ3417">
        <v>4.93</v>
      </c>
      <c r="BR3417">
        <v>0.08</v>
      </c>
      <c r="BS3417">
        <v>46.27</v>
      </c>
      <c r="BT3417">
        <v>6.91</v>
      </c>
      <c r="BU3417">
        <v>1.41</v>
      </c>
      <c r="BV3417">
        <v>0.69</v>
      </c>
      <c r="BW3417">
        <v>4.1900000000000004</v>
      </c>
      <c r="BX3417">
        <v>1.22</v>
      </c>
      <c r="BY3417">
        <v>3.19</v>
      </c>
      <c r="BZ3417">
        <v>0.45</v>
      </c>
      <c r="CA3417" t="s">
        <v>120</v>
      </c>
      <c r="CB3417">
        <v>0.63</v>
      </c>
      <c r="CC3417">
        <v>2.4</v>
      </c>
      <c r="CD3417">
        <v>1.51</v>
      </c>
      <c r="CE3417">
        <v>0.41</v>
      </c>
      <c r="CF3417">
        <v>0.01</v>
      </c>
      <c r="CG3417">
        <v>0.41</v>
      </c>
      <c r="CH3417">
        <v>0.34</v>
      </c>
      <c r="CI3417">
        <v>0.35</v>
      </c>
      <c r="CJ3417">
        <v>0.63</v>
      </c>
      <c r="CK3417">
        <v>0.28000000000000003</v>
      </c>
      <c r="CL3417">
        <v>0.77</v>
      </c>
      <c r="CM3417">
        <v>0.36</v>
      </c>
      <c r="CN3417">
        <v>-0.63</v>
      </c>
      <c r="CO3417">
        <v>13016</v>
      </c>
      <c r="CP3417">
        <v>9118</v>
      </c>
      <c r="CQ3417" t="s">
        <v>8517</v>
      </c>
      <c r="CR3417">
        <v>17.12</v>
      </c>
      <c r="CS3417">
        <v>38.479999999999997</v>
      </c>
      <c r="CT3417">
        <v>5.33</v>
      </c>
      <c r="CU3417">
        <v>73.849999999999994</v>
      </c>
      <c r="CV3417">
        <v>10.94</v>
      </c>
      <c r="CW3417">
        <v>4.0599999999999996</v>
      </c>
      <c r="CX3417" t="s">
        <v>1147</v>
      </c>
      <c r="CY3417">
        <v>1.6</v>
      </c>
      <c r="CZ3417">
        <v>0</v>
      </c>
      <c r="DA3417">
        <v>0.21</v>
      </c>
      <c r="DB3417">
        <v>0.25</v>
      </c>
      <c r="DC3417">
        <v>0.12</v>
      </c>
      <c r="DD3417">
        <v>52.86</v>
      </c>
      <c r="DE3417" t="s">
        <v>7269</v>
      </c>
      <c r="DF3417">
        <v>37.29</v>
      </c>
      <c r="DG3417">
        <v>17.03</v>
      </c>
      <c r="DH3417">
        <v>14.38</v>
      </c>
      <c r="DI3417">
        <v>0.12</v>
      </c>
      <c r="DJ3417">
        <v>648</v>
      </c>
      <c r="DK3417">
        <v>603088</v>
      </c>
      <c r="DL3417" t="s">
        <v>120</v>
      </c>
      <c r="DM3417" t="s">
        <v>120</v>
      </c>
      <c r="DN3417" t="s">
        <v>120</v>
      </c>
    </row>
    <row r="3418" spans="1:118">
      <c r="A3418" t="str">
        <f>"603089"</f>
        <v>603089</v>
      </c>
      <c r="B3418" t="s">
        <v>14557</v>
      </c>
      <c r="C3418">
        <v>-0.57999999999999996</v>
      </c>
      <c r="D3418">
        <v>0</v>
      </c>
      <c r="E3418">
        <v>-0.23</v>
      </c>
      <c r="F3418">
        <v>230</v>
      </c>
      <c r="G3418" t="s">
        <v>14558</v>
      </c>
      <c r="H3418">
        <v>1818.7</v>
      </c>
      <c r="I3418">
        <v>1.72</v>
      </c>
      <c r="J3418" t="s">
        <v>120</v>
      </c>
      <c r="K3418" t="s">
        <v>14559</v>
      </c>
      <c r="L3418">
        <v>0.94</v>
      </c>
      <c r="M3418">
        <v>8.5500000000000007</v>
      </c>
      <c r="N3418">
        <v>1.23</v>
      </c>
      <c r="O3418">
        <v>1.98</v>
      </c>
      <c r="P3418">
        <v>8.77</v>
      </c>
      <c r="Q3418">
        <v>-0.57999999999999996</v>
      </c>
      <c r="R3418">
        <v>8.5500000000000007</v>
      </c>
      <c r="S3418">
        <v>8.58</v>
      </c>
      <c r="T3418">
        <v>21021</v>
      </c>
      <c r="U3418">
        <v>8.58</v>
      </c>
      <c r="V3418">
        <v>8.6</v>
      </c>
      <c r="W3418">
        <v>20.61</v>
      </c>
      <c r="X3418" t="s">
        <v>289</v>
      </c>
      <c r="Y3418" t="s">
        <v>585</v>
      </c>
      <c r="Z3418">
        <v>2.56</v>
      </c>
      <c r="AA3418">
        <v>8.65</v>
      </c>
      <c r="AB3418">
        <v>12469</v>
      </c>
      <c r="AC3418">
        <v>8552</v>
      </c>
      <c r="AD3418">
        <v>1.46</v>
      </c>
      <c r="AE3418">
        <v>136</v>
      </c>
      <c r="AF3418">
        <v>5</v>
      </c>
      <c r="AG3418" t="s">
        <v>120</v>
      </c>
      <c r="AH3418">
        <v>0</v>
      </c>
      <c r="AI3418" t="s">
        <v>120</v>
      </c>
      <c r="AJ3418">
        <v>2.2200000000000002</v>
      </c>
      <c r="AK3418" t="s">
        <v>14559</v>
      </c>
      <c r="AL3418">
        <v>0.76</v>
      </c>
      <c r="AM3418">
        <v>895</v>
      </c>
      <c r="AN3418">
        <v>23</v>
      </c>
      <c r="AO3418">
        <v>1.1000000000000001E-3</v>
      </c>
      <c r="AP3418">
        <v>-1</v>
      </c>
      <c r="AQ3418">
        <v>0.57999999999999996</v>
      </c>
      <c r="AR3418">
        <v>-1.72</v>
      </c>
      <c r="AS3418">
        <v>-8.36</v>
      </c>
      <c r="AT3418">
        <v>-3.39</v>
      </c>
      <c r="AU3418">
        <v>-23.8</v>
      </c>
      <c r="AV3418">
        <v>2</v>
      </c>
      <c r="AW3418">
        <v>2.79</v>
      </c>
      <c r="AX3418">
        <v>33.83</v>
      </c>
      <c r="AY3418">
        <v>14.42</v>
      </c>
      <c r="AZ3418">
        <v>17.41</v>
      </c>
      <c r="BA3418">
        <v>0.85</v>
      </c>
      <c r="BB3418" t="s">
        <v>143</v>
      </c>
      <c r="BF3418">
        <v>0.6</v>
      </c>
      <c r="BG3418">
        <v>-0.35</v>
      </c>
      <c r="BH3418">
        <v>-2.5099999999999998</v>
      </c>
      <c r="BI3418">
        <v>0</v>
      </c>
      <c r="BJ3418">
        <v>20210826</v>
      </c>
      <c r="BK3418">
        <v>20170126</v>
      </c>
      <c r="BL3418">
        <v>2.2200000000000002</v>
      </c>
      <c r="BM3418" t="s">
        <v>120</v>
      </c>
      <c r="BN3418" t="s">
        <v>120</v>
      </c>
      <c r="BO3418">
        <v>19.3</v>
      </c>
      <c r="BP3418">
        <v>8.5500000000000007</v>
      </c>
      <c r="BQ3418">
        <v>10.35</v>
      </c>
      <c r="BR3418">
        <v>1.54</v>
      </c>
      <c r="BS3418">
        <v>38.380000000000003</v>
      </c>
      <c r="BT3418">
        <v>9.77</v>
      </c>
      <c r="BU3418">
        <v>5.0999999999999996</v>
      </c>
      <c r="BV3418">
        <v>1.49</v>
      </c>
      <c r="BW3418">
        <v>5.51</v>
      </c>
      <c r="BX3418">
        <v>1.1399999999999999</v>
      </c>
      <c r="BY3418">
        <v>4.3899999999999997</v>
      </c>
      <c r="BZ3418">
        <v>2.93</v>
      </c>
      <c r="CA3418" t="s">
        <v>120</v>
      </c>
      <c r="CB3418">
        <v>3.71</v>
      </c>
      <c r="CC3418">
        <v>7.01</v>
      </c>
      <c r="CD3418">
        <v>5.52</v>
      </c>
      <c r="CE3418">
        <v>0.52</v>
      </c>
      <c r="CF3418">
        <v>0.35</v>
      </c>
      <c r="CG3418">
        <v>0.52</v>
      </c>
      <c r="CH3418">
        <v>0.51</v>
      </c>
      <c r="CI3418">
        <v>0.46</v>
      </c>
      <c r="CJ3418">
        <v>-0.05</v>
      </c>
      <c r="CK3418">
        <v>0.15</v>
      </c>
      <c r="CL3418">
        <v>3.72</v>
      </c>
      <c r="CM3418">
        <v>-0.04</v>
      </c>
      <c r="CN3418">
        <v>-0.18</v>
      </c>
      <c r="CO3418">
        <v>11376</v>
      </c>
      <c r="CP3418">
        <v>6616</v>
      </c>
      <c r="CQ3418" t="s">
        <v>6750</v>
      </c>
      <c r="CR3418">
        <v>97.45</v>
      </c>
      <c r="CS3418">
        <v>48.94</v>
      </c>
      <c r="CT3418">
        <v>1.86</v>
      </c>
      <c r="CU3418">
        <v>-456.75</v>
      </c>
      <c r="CV3418">
        <v>2.71</v>
      </c>
      <c r="CW3418">
        <v>1.74</v>
      </c>
      <c r="CX3418" t="s">
        <v>2097</v>
      </c>
      <c r="CY3418">
        <v>4.5999999999999996</v>
      </c>
      <c r="CZ3418">
        <v>4.5999999999999996</v>
      </c>
      <c r="DA3418">
        <v>1.67</v>
      </c>
      <c r="DB3418">
        <v>1.67</v>
      </c>
      <c r="DC3418">
        <v>-0.02</v>
      </c>
      <c r="DD3418">
        <v>53.64</v>
      </c>
      <c r="DE3418" t="s">
        <v>8021</v>
      </c>
      <c r="DF3418">
        <v>21.26</v>
      </c>
      <c r="DG3418">
        <v>7.41</v>
      </c>
      <c r="DH3418">
        <v>6.58</v>
      </c>
      <c r="DI3418">
        <v>0.35</v>
      </c>
      <c r="DJ3418">
        <v>2645</v>
      </c>
      <c r="DK3418">
        <v>603089</v>
      </c>
      <c r="DL3418" t="s">
        <v>120</v>
      </c>
      <c r="DM3418" t="s">
        <v>120</v>
      </c>
      <c r="DN3418" t="s">
        <v>120</v>
      </c>
    </row>
    <row r="3419" spans="1:118">
      <c r="A3419" t="str">
        <f>"603090"</f>
        <v>603090</v>
      </c>
      <c r="B3419" t="s">
        <v>14560</v>
      </c>
      <c r="C3419">
        <v>2.12</v>
      </c>
      <c r="D3419">
        <v>0</v>
      </c>
      <c r="E3419">
        <v>0</v>
      </c>
      <c r="F3419">
        <v>117</v>
      </c>
      <c r="G3419" t="s">
        <v>11124</v>
      </c>
      <c r="H3419">
        <v>2697.28</v>
      </c>
      <c r="I3419">
        <v>0.47</v>
      </c>
      <c r="J3419" t="s">
        <v>120</v>
      </c>
      <c r="K3419" t="s">
        <v>1747</v>
      </c>
      <c r="L3419">
        <v>1.69</v>
      </c>
      <c r="M3419">
        <v>15.93</v>
      </c>
      <c r="N3419">
        <v>1.95</v>
      </c>
      <c r="O3419">
        <v>5.45</v>
      </c>
      <c r="P3419">
        <v>16.45</v>
      </c>
      <c r="Q3419">
        <v>-0.32</v>
      </c>
      <c r="R3419">
        <v>15.55</v>
      </c>
      <c r="S3419">
        <v>15.6</v>
      </c>
      <c r="T3419">
        <v>16869</v>
      </c>
      <c r="U3419">
        <v>15.94</v>
      </c>
      <c r="V3419">
        <v>15.6</v>
      </c>
      <c r="W3419">
        <v>102.96</v>
      </c>
      <c r="X3419" t="s">
        <v>675</v>
      </c>
      <c r="Y3419" t="s">
        <v>319</v>
      </c>
      <c r="Z3419">
        <v>5.77</v>
      </c>
      <c r="AA3419">
        <v>15.99</v>
      </c>
      <c r="AB3419">
        <v>7422</v>
      </c>
      <c r="AC3419">
        <v>9447</v>
      </c>
      <c r="AD3419">
        <v>0.79</v>
      </c>
      <c r="AE3419">
        <v>16</v>
      </c>
      <c r="AF3419">
        <v>1</v>
      </c>
      <c r="AG3419" t="s">
        <v>120</v>
      </c>
      <c r="AH3419">
        <v>0</v>
      </c>
      <c r="AI3419" t="s">
        <v>120</v>
      </c>
      <c r="AJ3419">
        <v>1</v>
      </c>
      <c r="AK3419" t="s">
        <v>1747</v>
      </c>
      <c r="AL3419">
        <v>3.46</v>
      </c>
      <c r="AM3419">
        <v>1144</v>
      </c>
      <c r="AN3419">
        <v>15</v>
      </c>
      <c r="AO3419">
        <v>1.5E-3</v>
      </c>
      <c r="AP3419">
        <v>2</v>
      </c>
      <c r="AQ3419">
        <v>0.84</v>
      </c>
      <c r="AR3419">
        <v>1.08</v>
      </c>
      <c r="AS3419">
        <v>5.5</v>
      </c>
      <c r="AT3419">
        <v>17.47</v>
      </c>
      <c r="AU3419">
        <v>6.49</v>
      </c>
      <c r="AV3419">
        <v>5</v>
      </c>
      <c r="AW3419">
        <v>4.1500000000000004</v>
      </c>
      <c r="AX3419">
        <v>40.68</v>
      </c>
      <c r="AY3419">
        <v>951.99</v>
      </c>
      <c r="AZ3419">
        <v>238.45</v>
      </c>
      <c r="BA3419">
        <v>0.81</v>
      </c>
      <c r="BB3419" t="s">
        <v>143</v>
      </c>
      <c r="BF3419">
        <v>2.5</v>
      </c>
      <c r="BG3419">
        <v>2.12</v>
      </c>
      <c r="BH3419">
        <v>-3.16</v>
      </c>
      <c r="BI3419">
        <v>2.44</v>
      </c>
      <c r="BJ3419">
        <v>20210913</v>
      </c>
      <c r="BK3419">
        <v>20160831</v>
      </c>
      <c r="BL3419">
        <v>1</v>
      </c>
      <c r="BM3419" t="s">
        <v>120</v>
      </c>
      <c r="BN3419" t="s">
        <v>120</v>
      </c>
      <c r="BO3419">
        <v>7.51</v>
      </c>
      <c r="BP3419">
        <v>15.93</v>
      </c>
      <c r="BQ3419">
        <v>5.0599999999999996</v>
      </c>
      <c r="BR3419">
        <v>0.15</v>
      </c>
      <c r="BS3419">
        <v>30.74</v>
      </c>
      <c r="BT3419">
        <v>4.3099999999999996</v>
      </c>
      <c r="BU3419">
        <v>1.71</v>
      </c>
      <c r="BV3419">
        <v>0.42</v>
      </c>
      <c r="BW3419">
        <v>2.25</v>
      </c>
      <c r="BX3419">
        <v>1.31</v>
      </c>
      <c r="BY3419">
        <v>0.93</v>
      </c>
      <c r="BZ3419">
        <v>1.88</v>
      </c>
      <c r="CA3419" t="s">
        <v>120</v>
      </c>
      <c r="CB3419">
        <v>2.2200000000000002</v>
      </c>
      <c r="CC3419">
        <v>2.54</v>
      </c>
      <c r="CD3419">
        <v>2.11</v>
      </c>
      <c r="CE3419">
        <v>0.08</v>
      </c>
      <c r="CF3419">
        <v>0.01</v>
      </c>
      <c r="CG3419">
        <v>0.08</v>
      </c>
      <c r="CH3419">
        <v>0.08</v>
      </c>
      <c r="CI3419">
        <v>0.08</v>
      </c>
      <c r="CJ3419">
        <v>0.33</v>
      </c>
      <c r="CK3419">
        <v>0.06</v>
      </c>
      <c r="CL3419">
        <v>1.6</v>
      </c>
      <c r="CM3419">
        <v>0</v>
      </c>
      <c r="CN3419">
        <v>-0.08</v>
      </c>
      <c r="CO3419">
        <v>9754</v>
      </c>
      <c r="CP3419">
        <v>4171</v>
      </c>
      <c r="CQ3419" t="s">
        <v>2067</v>
      </c>
      <c r="CR3419">
        <v>-38.799999999999997</v>
      </c>
      <c r="CS3419">
        <v>56.28</v>
      </c>
      <c r="CT3419">
        <v>3.15</v>
      </c>
      <c r="CU3419">
        <v>28095.24</v>
      </c>
      <c r="CV3419">
        <v>6.27</v>
      </c>
      <c r="CW3419">
        <v>0</v>
      </c>
      <c r="CX3419" t="s">
        <v>535</v>
      </c>
      <c r="CY3419">
        <v>5.0599999999999996</v>
      </c>
      <c r="CZ3419">
        <v>0</v>
      </c>
      <c r="DA3419">
        <v>2.2200000000000002</v>
      </c>
      <c r="DB3419">
        <v>1.6</v>
      </c>
      <c r="DC3419">
        <v>0</v>
      </c>
      <c r="DD3419">
        <v>67.319999999999993</v>
      </c>
      <c r="DE3419" t="s">
        <v>2358</v>
      </c>
      <c r="DF3419">
        <v>16.79</v>
      </c>
      <c r="DG3419">
        <v>2.97</v>
      </c>
      <c r="DH3419">
        <v>3.04</v>
      </c>
      <c r="DI3419">
        <v>0.12</v>
      </c>
      <c r="DJ3419">
        <v>701</v>
      </c>
      <c r="DK3419">
        <v>603090</v>
      </c>
      <c r="DL3419" t="s">
        <v>120</v>
      </c>
      <c r="DM3419" t="s">
        <v>120</v>
      </c>
      <c r="DN3419" t="s">
        <v>120</v>
      </c>
    </row>
    <row r="3420" spans="1:118">
      <c r="A3420" t="str">
        <f>"603093"</f>
        <v>603093</v>
      </c>
      <c r="B3420" t="s">
        <v>14561</v>
      </c>
      <c r="C3420">
        <v>-2.09</v>
      </c>
      <c r="D3420">
        <v>-0.14000000000000001</v>
      </c>
      <c r="E3420">
        <v>0</v>
      </c>
      <c r="F3420">
        <v>829</v>
      </c>
      <c r="G3420" t="s">
        <v>14562</v>
      </c>
      <c r="H3420">
        <v>4665.45</v>
      </c>
      <c r="I3420">
        <v>9.31</v>
      </c>
      <c r="J3420" t="s">
        <v>120</v>
      </c>
      <c r="K3420" t="s">
        <v>14562</v>
      </c>
      <c r="L3420">
        <v>3.06</v>
      </c>
      <c r="M3420">
        <v>13.6</v>
      </c>
      <c r="N3420">
        <v>0.69</v>
      </c>
      <c r="O3420">
        <v>1.37</v>
      </c>
      <c r="P3420">
        <v>14.08</v>
      </c>
      <c r="Q3420">
        <v>-2.2999999999999998</v>
      </c>
      <c r="R3420">
        <v>13.57</v>
      </c>
      <c r="S3420">
        <v>13.89</v>
      </c>
      <c r="T3420">
        <v>33756</v>
      </c>
      <c r="U3420">
        <v>13.61</v>
      </c>
      <c r="V3420">
        <v>13.89</v>
      </c>
      <c r="W3420">
        <v>47.97</v>
      </c>
      <c r="X3420" t="s">
        <v>721</v>
      </c>
      <c r="Y3420" t="s">
        <v>585</v>
      </c>
      <c r="Z3420">
        <v>3.67</v>
      </c>
      <c r="AA3420">
        <v>13.82</v>
      </c>
      <c r="AB3420">
        <v>16992</v>
      </c>
      <c r="AC3420">
        <v>16764</v>
      </c>
      <c r="AD3420">
        <v>1.01</v>
      </c>
      <c r="AE3420">
        <v>224</v>
      </c>
      <c r="AF3420">
        <v>50</v>
      </c>
      <c r="AG3420" t="s">
        <v>120</v>
      </c>
      <c r="AH3420">
        <v>0.01</v>
      </c>
      <c r="AI3420" t="s">
        <v>120</v>
      </c>
      <c r="AJ3420">
        <v>1.1000000000000001</v>
      </c>
      <c r="AK3420" t="s">
        <v>14563</v>
      </c>
      <c r="AL3420">
        <v>-0.74</v>
      </c>
      <c r="AM3420">
        <v>2024</v>
      </c>
      <c r="AN3420">
        <v>17</v>
      </c>
      <c r="AO3420">
        <v>1.5E-3</v>
      </c>
      <c r="AP3420">
        <v>-4</v>
      </c>
      <c r="AQ3420">
        <v>-7.0000000000000007E-2</v>
      </c>
      <c r="AR3420">
        <v>-5.94</v>
      </c>
      <c r="AS3420">
        <v>-0.3</v>
      </c>
      <c r="AT3420">
        <v>-7.23</v>
      </c>
      <c r="AU3420">
        <v>-26.05</v>
      </c>
      <c r="AV3420">
        <v>1</v>
      </c>
      <c r="AW3420">
        <v>3.06</v>
      </c>
      <c r="AX3420">
        <v>18.100000000000001</v>
      </c>
      <c r="AY3420">
        <v>57.49</v>
      </c>
      <c r="AZ3420">
        <v>89.98</v>
      </c>
      <c r="BA3420">
        <v>0.88</v>
      </c>
      <c r="BB3420" t="s">
        <v>240</v>
      </c>
      <c r="BF3420">
        <v>-0.5</v>
      </c>
      <c r="BG3420">
        <v>-2.09</v>
      </c>
      <c r="BH3420">
        <v>-3.41</v>
      </c>
      <c r="BI3420">
        <v>0.22</v>
      </c>
      <c r="BJ3420">
        <v>20210914</v>
      </c>
      <c r="BK3420">
        <v>20190830</v>
      </c>
      <c r="BL3420">
        <v>6.1</v>
      </c>
      <c r="BM3420" t="s">
        <v>120</v>
      </c>
      <c r="BN3420" t="s">
        <v>120</v>
      </c>
      <c r="BO3420">
        <v>276.18</v>
      </c>
      <c r="BP3420">
        <v>13.6</v>
      </c>
      <c r="BQ3420">
        <v>28.93</v>
      </c>
      <c r="BR3420">
        <v>0.19</v>
      </c>
      <c r="BS3420">
        <v>89.46</v>
      </c>
      <c r="BT3420">
        <v>0</v>
      </c>
      <c r="BU3420">
        <v>0.27</v>
      </c>
      <c r="BV3420">
        <v>1.73</v>
      </c>
      <c r="BW3420">
        <v>0</v>
      </c>
      <c r="BX3420">
        <v>150.55000000000001</v>
      </c>
      <c r="BY3420">
        <v>3.71</v>
      </c>
      <c r="BZ3420">
        <v>0</v>
      </c>
      <c r="CA3420" t="s">
        <v>120</v>
      </c>
      <c r="CB3420">
        <v>11.91</v>
      </c>
      <c r="CC3420">
        <v>42.43</v>
      </c>
      <c r="CD3420">
        <v>0</v>
      </c>
      <c r="CE3420">
        <v>1.22</v>
      </c>
      <c r="CF3420">
        <v>0.03</v>
      </c>
      <c r="CG3420">
        <v>1.19</v>
      </c>
      <c r="CH3420">
        <v>0.86</v>
      </c>
      <c r="CI3420">
        <v>0.86</v>
      </c>
      <c r="CJ3420">
        <v>-0.28999999999999998</v>
      </c>
      <c r="CK3420">
        <v>0.89</v>
      </c>
      <c r="CL3420">
        <v>9.1199999999999992</v>
      </c>
      <c r="CM3420">
        <v>30.1</v>
      </c>
      <c r="CN3420">
        <v>19.420000000000002</v>
      </c>
      <c r="CO3420">
        <v>24850</v>
      </c>
      <c r="CP3420">
        <v>4443</v>
      </c>
      <c r="CQ3420" t="s">
        <v>992</v>
      </c>
      <c r="CR3420">
        <v>160.04</v>
      </c>
      <c r="CS3420">
        <v>-20.21</v>
      </c>
      <c r="CT3420">
        <v>2.87</v>
      </c>
      <c r="CU3420">
        <v>2.76</v>
      </c>
      <c r="CV3420">
        <v>1.96</v>
      </c>
      <c r="CW3420">
        <v>0</v>
      </c>
      <c r="CX3420" t="s">
        <v>373</v>
      </c>
      <c r="CY3420">
        <v>4.74</v>
      </c>
      <c r="CZ3420">
        <v>0</v>
      </c>
      <c r="DA3420">
        <v>1.95</v>
      </c>
      <c r="DB3420">
        <v>1.49</v>
      </c>
      <c r="DC3420">
        <v>4.93</v>
      </c>
      <c r="DD3420">
        <v>10.48</v>
      </c>
      <c r="DE3420" t="s">
        <v>243</v>
      </c>
      <c r="DF3420" t="s">
        <v>120</v>
      </c>
      <c r="DG3420">
        <v>2.87</v>
      </c>
      <c r="DH3420">
        <v>2.04</v>
      </c>
      <c r="DI3420" t="s">
        <v>120</v>
      </c>
      <c r="DJ3420">
        <v>956</v>
      </c>
      <c r="DK3420">
        <v>603093</v>
      </c>
      <c r="DL3420" t="s">
        <v>120</v>
      </c>
      <c r="DM3420" t="s">
        <v>120</v>
      </c>
      <c r="DN3420" t="s">
        <v>120</v>
      </c>
    </row>
    <row r="3421" spans="1:118">
      <c r="A3421" t="str">
        <f>"603095"</f>
        <v>603095</v>
      </c>
      <c r="B3421" t="s">
        <v>14564</v>
      </c>
      <c r="C3421">
        <v>-0.66</v>
      </c>
      <c r="D3421">
        <v>-0.85</v>
      </c>
      <c r="E3421">
        <v>0.41</v>
      </c>
      <c r="F3421">
        <v>40</v>
      </c>
      <c r="G3421" t="s">
        <v>14431</v>
      </c>
      <c r="H3421">
        <v>2483.88</v>
      </c>
      <c r="I3421">
        <v>1.72</v>
      </c>
      <c r="J3421" t="s">
        <v>120</v>
      </c>
      <c r="K3421" t="s">
        <v>14431</v>
      </c>
      <c r="L3421">
        <v>2.7</v>
      </c>
      <c r="M3421">
        <v>24.24</v>
      </c>
      <c r="N3421">
        <v>1.24</v>
      </c>
      <c r="O3421">
        <v>2.17</v>
      </c>
      <c r="P3421">
        <v>24.93</v>
      </c>
      <c r="Q3421">
        <v>-0.7</v>
      </c>
      <c r="R3421">
        <v>24.23</v>
      </c>
      <c r="S3421">
        <v>24.5</v>
      </c>
      <c r="T3421">
        <v>10103</v>
      </c>
      <c r="U3421">
        <v>24.3</v>
      </c>
      <c r="V3421">
        <v>24.4</v>
      </c>
      <c r="W3421">
        <v>14.55</v>
      </c>
      <c r="X3421" t="s">
        <v>3820</v>
      </c>
      <c r="Y3421" t="s">
        <v>585</v>
      </c>
      <c r="Z3421">
        <v>2.87</v>
      </c>
      <c r="AA3421">
        <v>24.58</v>
      </c>
      <c r="AB3421">
        <v>5718</v>
      </c>
      <c r="AC3421">
        <v>4385</v>
      </c>
      <c r="AD3421">
        <v>1.3</v>
      </c>
      <c r="AE3421">
        <v>7</v>
      </c>
      <c r="AF3421">
        <v>1</v>
      </c>
      <c r="AG3421" t="s">
        <v>120</v>
      </c>
      <c r="AH3421">
        <v>0</v>
      </c>
      <c r="AI3421" t="s">
        <v>120</v>
      </c>
      <c r="AJ3421">
        <v>0.37</v>
      </c>
      <c r="AK3421" t="s">
        <v>1253</v>
      </c>
      <c r="AL3421">
        <v>0.69</v>
      </c>
      <c r="AM3421">
        <v>1107</v>
      </c>
      <c r="AN3421">
        <v>9</v>
      </c>
      <c r="AO3421">
        <v>2.3999999999999998E-3</v>
      </c>
      <c r="AP3421">
        <v>-1</v>
      </c>
      <c r="AQ3421">
        <v>1.84</v>
      </c>
      <c r="AR3421">
        <v>-0.73</v>
      </c>
      <c r="AS3421">
        <v>4.3</v>
      </c>
      <c r="AT3421">
        <v>5.08</v>
      </c>
      <c r="AU3421">
        <v>5.8</v>
      </c>
      <c r="AV3421">
        <v>1</v>
      </c>
      <c r="AW3421">
        <v>2.7</v>
      </c>
      <c r="AX3421">
        <v>28.33</v>
      </c>
      <c r="AY3421">
        <v>18.95</v>
      </c>
      <c r="AZ3421">
        <v>26.07</v>
      </c>
      <c r="BA3421">
        <v>0.46</v>
      </c>
      <c r="BB3421" t="s">
        <v>143</v>
      </c>
      <c r="BF3421">
        <v>0.76</v>
      </c>
      <c r="BG3421">
        <v>-1.06</v>
      </c>
      <c r="BH3421">
        <v>-2.77</v>
      </c>
      <c r="BI3421">
        <v>0.04</v>
      </c>
      <c r="BJ3421">
        <v>20210817</v>
      </c>
      <c r="BK3421">
        <v>20200415</v>
      </c>
      <c r="BL3421">
        <v>1.32</v>
      </c>
      <c r="BM3421" t="s">
        <v>120</v>
      </c>
      <c r="BN3421" t="s">
        <v>120</v>
      </c>
      <c r="BO3421">
        <v>30.06</v>
      </c>
      <c r="BP3421">
        <v>24.24</v>
      </c>
      <c r="BQ3421">
        <v>20.440000000000001</v>
      </c>
      <c r="BR3421" t="s">
        <v>120</v>
      </c>
      <c r="BS3421">
        <v>31.99</v>
      </c>
      <c r="BT3421">
        <v>22.15</v>
      </c>
      <c r="BU3421">
        <v>1.78</v>
      </c>
      <c r="BV3421">
        <v>1.24</v>
      </c>
      <c r="BW3421">
        <v>8.27</v>
      </c>
      <c r="BX3421">
        <v>6.58</v>
      </c>
      <c r="BY3421">
        <v>3.05</v>
      </c>
      <c r="BZ3421">
        <v>1.34</v>
      </c>
      <c r="CA3421" t="s">
        <v>120</v>
      </c>
      <c r="CB3421">
        <v>12.85</v>
      </c>
      <c r="CC3421">
        <v>7.27</v>
      </c>
      <c r="CD3421">
        <v>5.61</v>
      </c>
      <c r="CE3421">
        <v>1.26</v>
      </c>
      <c r="CF3421">
        <v>0.11</v>
      </c>
      <c r="CG3421">
        <v>1.26</v>
      </c>
      <c r="CH3421">
        <v>1.1000000000000001</v>
      </c>
      <c r="CI3421">
        <v>1.1000000000000001</v>
      </c>
      <c r="CJ3421">
        <v>-0.16</v>
      </c>
      <c r="CK3421">
        <v>0.99</v>
      </c>
      <c r="CL3421">
        <v>5.0599999999999996</v>
      </c>
      <c r="CM3421">
        <v>1.94</v>
      </c>
      <c r="CN3421">
        <v>2.61</v>
      </c>
      <c r="CO3421">
        <v>13081</v>
      </c>
      <c r="CP3421">
        <v>2859</v>
      </c>
      <c r="CQ3421" t="s">
        <v>6439</v>
      </c>
      <c r="CR3421">
        <v>73.02</v>
      </c>
      <c r="CS3421">
        <v>103.53</v>
      </c>
      <c r="CT3421">
        <v>1.57</v>
      </c>
      <c r="CU3421">
        <v>16.5</v>
      </c>
      <c r="CV3421">
        <v>4.4000000000000004</v>
      </c>
      <c r="CW3421">
        <v>2.0499999999999998</v>
      </c>
      <c r="CX3421" t="s">
        <v>655</v>
      </c>
      <c r="CY3421">
        <v>15.48</v>
      </c>
      <c r="CZ3421">
        <v>0</v>
      </c>
      <c r="DA3421">
        <v>9.73</v>
      </c>
      <c r="DB3421">
        <v>3.83</v>
      </c>
      <c r="DC3421">
        <v>1.47</v>
      </c>
      <c r="DD3421">
        <v>68.010000000000005</v>
      </c>
      <c r="DE3421" t="s">
        <v>13014</v>
      </c>
      <c r="DF3421">
        <v>22.78</v>
      </c>
      <c r="DG3421">
        <v>17.34</v>
      </c>
      <c r="DH3421">
        <v>15.13</v>
      </c>
      <c r="DI3421">
        <v>0.26</v>
      </c>
      <c r="DJ3421">
        <v>679</v>
      </c>
      <c r="DK3421">
        <v>603095</v>
      </c>
      <c r="DL3421" t="s">
        <v>120</v>
      </c>
      <c r="DM3421" t="s">
        <v>120</v>
      </c>
      <c r="DN3421" t="s">
        <v>120</v>
      </c>
    </row>
    <row r="3422" spans="1:118">
      <c r="A3422" t="str">
        <f>"603096"</f>
        <v>603096</v>
      </c>
      <c r="B3422" t="s">
        <v>14565</v>
      </c>
      <c r="C3422">
        <v>-2.88</v>
      </c>
      <c r="D3422">
        <v>-0.98</v>
      </c>
      <c r="E3422">
        <v>-0.22</v>
      </c>
      <c r="F3422">
        <v>714</v>
      </c>
      <c r="G3422" t="s">
        <v>8028</v>
      </c>
      <c r="H3422">
        <v>1121.8499999999999</v>
      </c>
      <c r="I3422">
        <v>2.67</v>
      </c>
      <c r="J3422" t="s">
        <v>120</v>
      </c>
      <c r="K3422" t="s">
        <v>2300</v>
      </c>
      <c r="L3422">
        <v>0.26</v>
      </c>
      <c r="M3422">
        <v>25.98</v>
      </c>
      <c r="N3422">
        <v>1.47</v>
      </c>
      <c r="O3422">
        <v>1.23</v>
      </c>
      <c r="P3422">
        <v>27.08</v>
      </c>
      <c r="Q3422">
        <v>-2.88</v>
      </c>
      <c r="R3422">
        <v>25.98</v>
      </c>
      <c r="S3422">
        <v>26.69</v>
      </c>
      <c r="T3422">
        <v>4246</v>
      </c>
      <c r="U3422">
        <v>25.98</v>
      </c>
      <c r="V3422">
        <v>26.75</v>
      </c>
      <c r="W3422">
        <v>22.64</v>
      </c>
      <c r="X3422" t="s">
        <v>1730</v>
      </c>
      <c r="Y3422" t="s">
        <v>997</v>
      </c>
      <c r="Z3422">
        <v>4.1100000000000003</v>
      </c>
      <c r="AA3422">
        <v>26.42</v>
      </c>
      <c r="AB3422">
        <v>2913</v>
      </c>
      <c r="AC3422">
        <v>1333</v>
      </c>
      <c r="AD3422">
        <v>2.19</v>
      </c>
      <c r="AE3422">
        <v>13</v>
      </c>
      <c r="AF3422">
        <v>416</v>
      </c>
      <c r="AG3422" t="s">
        <v>120</v>
      </c>
      <c r="AH3422">
        <v>0</v>
      </c>
      <c r="AI3422" t="s">
        <v>120</v>
      </c>
      <c r="AJ3422">
        <v>1.63</v>
      </c>
      <c r="AK3422" t="s">
        <v>2300</v>
      </c>
      <c r="AL3422">
        <v>-1.53</v>
      </c>
      <c r="AM3422">
        <v>663</v>
      </c>
      <c r="AN3422">
        <v>6</v>
      </c>
      <c r="AO3422">
        <v>4.0000000000000002E-4</v>
      </c>
      <c r="AP3422">
        <v>-1</v>
      </c>
      <c r="AQ3422">
        <v>0.15</v>
      </c>
      <c r="AR3422">
        <v>-5.84</v>
      </c>
      <c r="AS3422">
        <v>-4.2</v>
      </c>
      <c r="AT3422">
        <v>-22.08</v>
      </c>
      <c r="AU3422">
        <v>-39.18</v>
      </c>
      <c r="AV3422">
        <v>2</v>
      </c>
      <c r="AW3422">
        <v>0.6</v>
      </c>
      <c r="AX3422">
        <v>43.52</v>
      </c>
      <c r="AY3422">
        <v>23.18</v>
      </c>
      <c r="AZ3422">
        <v>19.79</v>
      </c>
      <c r="BA3422">
        <v>0.8</v>
      </c>
      <c r="BB3422" t="s">
        <v>143</v>
      </c>
      <c r="BF3422">
        <v>-1.24</v>
      </c>
      <c r="BG3422">
        <v>-2.66</v>
      </c>
      <c r="BH3422">
        <v>-4.0599999999999996</v>
      </c>
      <c r="BI3422">
        <v>0</v>
      </c>
      <c r="BJ3422">
        <v>20210818</v>
      </c>
      <c r="BK3422">
        <v>20170425</v>
      </c>
      <c r="BL3422">
        <v>1.63</v>
      </c>
      <c r="BM3422" t="s">
        <v>120</v>
      </c>
      <c r="BN3422" t="s">
        <v>120</v>
      </c>
      <c r="BO3422">
        <v>21.48</v>
      </c>
      <c r="BP3422">
        <v>25.94</v>
      </c>
      <c r="BQ3422">
        <v>19.260000000000002</v>
      </c>
      <c r="BR3422">
        <v>0.26</v>
      </c>
      <c r="BS3422">
        <v>9.1300000000000008</v>
      </c>
      <c r="BT3422">
        <v>18.57</v>
      </c>
      <c r="BU3422">
        <v>0.05</v>
      </c>
      <c r="BV3422">
        <v>0.22</v>
      </c>
      <c r="BW3422">
        <v>1.51</v>
      </c>
      <c r="BX3422">
        <v>9.7899999999999991</v>
      </c>
      <c r="BY3422">
        <v>2.81</v>
      </c>
      <c r="BZ3422">
        <v>2.14</v>
      </c>
      <c r="CA3422" t="s">
        <v>120</v>
      </c>
      <c r="CB3422">
        <v>9.83</v>
      </c>
      <c r="CC3422">
        <v>4.57</v>
      </c>
      <c r="CD3422">
        <v>2.29</v>
      </c>
      <c r="CE3422">
        <v>1.33</v>
      </c>
      <c r="CF3422">
        <v>0.03</v>
      </c>
      <c r="CG3422">
        <v>1.3</v>
      </c>
      <c r="CH3422">
        <v>0.95</v>
      </c>
      <c r="CI3422">
        <v>0.93</v>
      </c>
      <c r="CJ3422">
        <v>-0.77</v>
      </c>
      <c r="CK3422">
        <v>0.93</v>
      </c>
      <c r="CL3422">
        <v>8.5</v>
      </c>
      <c r="CM3422">
        <v>-0.23</v>
      </c>
      <c r="CN3422">
        <v>0.71</v>
      </c>
      <c r="CO3422">
        <v>5411</v>
      </c>
      <c r="CP3422">
        <v>13070</v>
      </c>
      <c r="CQ3422" t="s">
        <v>14566</v>
      </c>
      <c r="CR3422">
        <v>-25.63</v>
      </c>
      <c r="CS3422">
        <v>4.5599999999999996</v>
      </c>
      <c r="CT3422">
        <v>2.19</v>
      </c>
      <c r="CU3422">
        <v>-182.59</v>
      </c>
      <c r="CV3422">
        <v>9.23</v>
      </c>
      <c r="CW3422">
        <v>2.2999999999999998</v>
      </c>
      <c r="CX3422" t="s">
        <v>1881</v>
      </c>
      <c r="CY3422">
        <v>11.85</v>
      </c>
      <c r="CZ3422">
        <v>0</v>
      </c>
      <c r="DA3422">
        <v>6.05</v>
      </c>
      <c r="DB3422">
        <v>5.23</v>
      </c>
      <c r="DC3422">
        <v>-0.14000000000000001</v>
      </c>
      <c r="DD3422">
        <v>89.65</v>
      </c>
      <c r="DE3422" t="s">
        <v>2865</v>
      </c>
      <c r="DF3422">
        <v>49.98</v>
      </c>
      <c r="DG3422">
        <v>29.03</v>
      </c>
      <c r="DH3422">
        <v>20.39</v>
      </c>
      <c r="DI3422">
        <v>0.02</v>
      </c>
      <c r="DJ3422">
        <v>419</v>
      </c>
      <c r="DK3422">
        <v>603096</v>
      </c>
      <c r="DL3422" t="s">
        <v>120</v>
      </c>
      <c r="DM3422" t="s">
        <v>120</v>
      </c>
      <c r="DN3422" t="s">
        <v>120</v>
      </c>
    </row>
    <row r="3423" spans="1:118">
      <c r="A3423" t="str">
        <f>"603098"</f>
        <v>603098</v>
      </c>
      <c r="B3423" t="s">
        <v>14567</v>
      </c>
      <c r="C3423">
        <v>-8.85</v>
      </c>
      <c r="D3423">
        <v>0</v>
      </c>
      <c r="E3423">
        <v>-2.72</v>
      </c>
      <c r="F3423">
        <v>1361</v>
      </c>
      <c r="G3423" t="s">
        <v>14568</v>
      </c>
      <c r="H3423">
        <v>23745.279999999999</v>
      </c>
      <c r="I3423">
        <v>342</v>
      </c>
      <c r="J3423" t="s">
        <v>120</v>
      </c>
      <c r="K3423" t="s">
        <v>14569</v>
      </c>
      <c r="L3423">
        <v>1.1299999999999999</v>
      </c>
      <c r="M3423">
        <v>37.479999999999997</v>
      </c>
      <c r="N3423">
        <v>1.01</v>
      </c>
      <c r="O3423">
        <v>-1.53</v>
      </c>
      <c r="P3423">
        <v>40.49</v>
      </c>
      <c r="Q3423">
        <v>-8.85</v>
      </c>
      <c r="R3423">
        <v>37.479999999999997</v>
      </c>
      <c r="S3423">
        <v>40</v>
      </c>
      <c r="T3423">
        <v>61128</v>
      </c>
      <c r="U3423">
        <v>37.64</v>
      </c>
      <c r="V3423">
        <v>41.12</v>
      </c>
      <c r="W3423">
        <v>178.53</v>
      </c>
      <c r="X3423" t="s">
        <v>3122</v>
      </c>
      <c r="Y3423" t="s">
        <v>158</v>
      </c>
      <c r="Z3423">
        <v>7.32</v>
      </c>
      <c r="AA3423">
        <v>38.85</v>
      </c>
      <c r="AB3423">
        <v>35965</v>
      </c>
      <c r="AC3423">
        <v>25163</v>
      </c>
      <c r="AD3423">
        <v>1.43</v>
      </c>
      <c r="AE3423">
        <v>1059</v>
      </c>
      <c r="AF3423">
        <v>6</v>
      </c>
      <c r="AG3423" t="s">
        <v>120</v>
      </c>
      <c r="AH3423">
        <v>0.04</v>
      </c>
      <c r="AI3423" t="s">
        <v>120</v>
      </c>
      <c r="AJ3423">
        <v>5.39</v>
      </c>
      <c r="AK3423" t="s">
        <v>14569</v>
      </c>
      <c r="AL3423">
        <v>-7.51</v>
      </c>
      <c r="AM3423">
        <v>3147</v>
      </c>
      <c r="AN3423">
        <v>19</v>
      </c>
      <c r="AO3423">
        <v>4.0000000000000002E-4</v>
      </c>
      <c r="AP3423">
        <v>-1</v>
      </c>
      <c r="AQ3423">
        <v>0.81</v>
      </c>
      <c r="AR3423">
        <v>-4.38</v>
      </c>
      <c r="AS3423">
        <v>-9.84</v>
      </c>
      <c r="AT3423">
        <v>8.17</v>
      </c>
      <c r="AU3423">
        <v>360.44</v>
      </c>
      <c r="AV3423">
        <v>15</v>
      </c>
      <c r="AW3423">
        <v>2.84</v>
      </c>
      <c r="AX3423">
        <v>39.92</v>
      </c>
      <c r="AY3423">
        <v>147.36000000000001</v>
      </c>
      <c r="AZ3423">
        <v>121.42</v>
      </c>
      <c r="BA3423">
        <v>1.36</v>
      </c>
      <c r="BB3423" t="s">
        <v>143</v>
      </c>
      <c r="BF3423">
        <v>-5.53</v>
      </c>
      <c r="BG3423">
        <v>-6.3</v>
      </c>
      <c r="BH3423">
        <v>-7.43</v>
      </c>
      <c r="BI3423">
        <v>0</v>
      </c>
      <c r="BJ3423">
        <v>20210831</v>
      </c>
      <c r="BK3423">
        <v>20161216</v>
      </c>
      <c r="BL3423">
        <v>5.39</v>
      </c>
      <c r="BM3423" t="s">
        <v>120</v>
      </c>
      <c r="BN3423" t="s">
        <v>120</v>
      </c>
      <c r="BO3423">
        <v>49.59</v>
      </c>
      <c r="BP3423">
        <v>37.479999999999997</v>
      </c>
      <c r="BQ3423">
        <v>26.88</v>
      </c>
      <c r="BR3423">
        <v>0.2</v>
      </c>
      <c r="BS3423">
        <v>45.4</v>
      </c>
      <c r="BT3423">
        <v>42.39</v>
      </c>
      <c r="BU3423">
        <v>4.34</v>
      </c>
      <c r="BV3423">
        <v>1.01</v>
      </c>
      <c r="BW3423">
        <v>21.88</v>
      </c>
      <c r="BX3423">
        <v>5.35</v>
      </c>
      <c r="BY3423">
        <v>1.72</v>
      </c>
      <c r="BZ3423">
        <v>12.95</v>
      </c>
      <c r="CA3423" t="s">
        <v>120</v>
      </c>
      <c r="CB3423">
        <v>9.4700000000000006</v>
      </c>
      <c r="CC3423">
        <v>13.68</v>
      </c>
      <c r="CD3423">
        <v>11.12</v>
      </c>
      <c r="CE3423">
        <v>0.69</v>
      </c>
      <c r="CF3423">
        <v>-0.1</v>
      </c>
      <c r="CG3423">
        <v>0.69</v>
      </c>
      <c r="CH3423">
        <v>0.56000000000000005</v>
      </c>
      <c r="CI3423">
        <v>0.56999999999999995</v>
      </c>
      <c r="CJ3423">
        <v>-3.64</v>
      </c>
      <c r="CK3423">
        <v>0.56000000000000005</v>
      </c>
      <c r="CL3423">
        <v>9.93</v>
      </c>
      <c r="CM3423">
        <v>-3.02</v>
      </c>
      <c r="CN3423">
        <v>-2.78</v>
      </c>
      <c r="CO3423">
        <v>48487</v>
      </c>
      <c r="CP3423">
        <v>4436</v>
      </c>
      <c r="CQ3423" t="s">
        <v>8226</v>
      </c>
      <c r="CR3423">
        <v>-36.22</v>
      </c>
      <c r="CS3423">
        <v>4.58</v>
      </c>
      <c r="CT3423">
        <v>7.51</v>
      </c>
      <c r="CU3423">
        <v>-66.959999999999994</v>
      </c>
      <c r="CV3423">
        <v>14.76</v>
      </c>
      <c r="CW3423">
        <v>0.27</v>
      </c>
      <c r="CX3423" t="s">
        <v>1147</v>
      </c>
      <c r="CY3423">
        <v>4.99</v>
      </c>
      <c r="CZ3423">
        <v>0</v>
      </c>
      <c r="DA3423">
        <v>1.76</v>
      </c>
      <c r="DB3423">
        <v>1.84</v>
      </c>
      <c r="DC3423">
        <v>-0.56000000000000005</v>
      </c>
      <c r="DD3423">
        <v>54.2</v>
      </c>
      <c r="DE3423" t="s">
        <v>7908</v>
      </c>
      <c r="DF3423">
        <v>18.72</v>
      </c>
      <c r="DG3423">
        <v>5.0199999999999996</v>
      </c>
      <c r="DH3423">
        <v>4.13</v>
      </c>
      <c r="DI3423">
        <v>0.41</v>
      </c>
      <c r="DJ3423">
        <v>913</v>
      </c>
      <c r="DK3423">
        <v>603098</v>
      </c>
      <c r="DL3423">
        <v>20210308</v>
      </c>
      <c r="DM3423">
        <v>11.57</v>
      </c>
      <c r="DN3423">
        <v>224.89</v>
      </c>
    </row>
    <row r="3424" spans="1:118">
      <c r="A3424" t="str">
        <f>"603099"</f>
        <v>603099</v>
      </c>
      <c r="B3424" t="s">
        <v>14570</v>
      </c>
      <c r="C3424">
        <v>9.9700000000000006</v>
      </c>
      <c r="D3424">
        <v>0</v>
      </c>
      <c r="E3424">
        <v>0.78</v>
      </c>
      <c r="F3424">
        <v>266</v>
      </c>
      <c r="G3424" t="s">
        <v>10601</v>
      </c>
      <c r="H3424">
        <v>14604.53</v>
      </c>
      <c r="I3424">
        <v>47.43</v>
      </c>
      <c r="J3424">
        <v>2366.89</v>
      </c>
      <c r="K3424" t="s">
        <v>6769</v>
      </c>
      <c r="L3424">
        <v>5.0199999999999996</v>
      </c>
      <c r="M3424">
        <v>11.25</v>
      </c>
      <c r="N3424">
        <v>1.23</v>
      </c>
      <c r="O3424">
        <v>9.9700000000000006</v>
      </c>
      <c r="P3424">
        <v>11.25</v>
      </c>
      <c r="Q3424">
        <v>0.2</v>
      </c>
      <c r="R3424">
        <v>10.25</v>
      </c>
      <c r="S3424">
        <v>10.31</v>
      </c>
      <c r="T3424">
        <v>133931</v>
      </c>
      <c r="U3424" t="s">
        <v>120</v>
      </c>
      <c r="V3424">
        <v>10.23</v>
      </c>
      <c r="W3424" t="s">
        <v>120</v>
      </c>
      <c r="X3424" t="s">
        <v>489</v>
      </c>
      <c r="Y3424" t="s">
        <v>290</v>
      </c>
      <c r="Z3424">
        <v>9.7799999999999994</v>
      </c>
      <c r="AA3424">
        <v>10.9</v>
      </c>
      <c r="AB3424">
        <v>54627</v>
      </c>
      <c r="AC3424">
        <v>79304</v>
      </c>
      <c r="AD3424">
        <v>0.69</v>
      </c>
      <c r="AE3424">
        <v>21039</v>
      </c>
      <c r="AF3424">
        <v>0</v>
      </c>
      <c r="AG3424" t="s">
        <v>120</v>
      </c>
      <c r="AH3424">
        <v>0.04</v>
      </c>
      <c r="AI3424">
        <v>0.16</v>
      </c>
      <c r="AJ3424">
        <v>2.67</v>
      </c>
      <c r="AK3424" t="s">
        <v>6769</v>
      </c>
      <c r="AL3424">
        <v>11.31</v>
      </c>
      <c r="AM3424">
        <v>3159</v>
      </c>
      <c r="AN3424">
        <v>42</v>
      </c>
      <c r="AO3424">
        <v>1.6000000000000001E-3</v>
      </c>
      <c r="AP3424">
        <v>1</v>
      </c>
      <c r="AQ3424">
        <v>-0.97</v>
      </c>
      <c r="AR3424">
        <v>10.94</v>
      </c>
      <c r="AS3424">
        <v>28.86</v>
      </c>
      <c r="AT3424">
        <v>40.630000000000003</v>
      </c>
      <c r="AU3424">
        <v>42.23</v>
      </c>
      <c r="AV3424">
        <v>3</v>
      </c>
      <c r="AW3424">
        <v>12.39</v>
      </c>
      <c r="AX3424">
        <v>40.549999999999997</v>
      </c>
      <c r="AY3424" t="s">
        <v>120</v>
      </c>
      <c r="AZ3424" t="s">
        <v>120</v>
      </c>
      <c r="BA3424">
        <v>0</v>
      </c>
      <c r="BB3424" t="s">
        <v>143</v>
      </c>
      <c r="BF3424">
        <v>6.59</v>
      </c>
      <c r="BG3424">
        <v>9.1199999999999992</v>
      </c>
      <c r="BH3424">
        <v>0</v>
      </c>
      <c r="BI3424">
        <v>9.76</v>
      </c>
      <c r="BJ3424">
        <v>20210821</v>
      </c>
      <c r="BK3424">
        <v>20140822</v>
      </c>
      <c r="BL3424">
        <v>2.67</v>
      </c>
      <c r="BM3424" t="s">
        <v>120</v>
      </c>
      <c r="BN3424" t="s">
        <v>120</v>
      </c>
      <c r="BO3424">
        <v>10.99</v>
      </c>
      <c r="BP3424">
        <v>11.25</v>
      </c>
      <c r="BQ3424">
        <v>9.49</v>
      </c>
      <c r="BR3424" t="s">
        <v>120</v>
      </c>
      <c r="BS3424">
        <v>13.71</v>
      </c>
      <c r="BT3424">
        <v>1.87</v>
      </c>
      <c r="BU3424">
        <v>6.45</v>
      </c>
      <c r="BV3424">
        <v>1.83</v>
      </c>
      <c r="BW3424">
        <v>0.73</v>
      </c>
      <c r="BX3424">
        <v>0.8</v>
      </c>
      <c r="BY3424">
        <v>0.12</v>
      </c>
      <c r="BZ3424">
        <v>0.64</v>
      </c>
      <c r="CA3424">
        <v>0</v>
      </c>
      <c r="CB3424">
        <v>2.86</v>
      </c>
      <c r="CC3424">
        <v>0.49</v>
      </c>
      <c r="CD3424">
        <v>0.93</v>
      </c>
      <c r="CE3424">
        <v>-0.69</v>
      </c>
      <c r="CF3424">
        <v>0.01</v>
      </c>
      <c r="CG3424">
        <v>-0.69</v>
      </c>
      <c r="CH3424">
        <v>-0.69</v>
      </c>
      <c r="CI3424">
        <v>-0.69</v>
      </c>
      <c r="CJ3424">
        <v>1.02</v>
      </c>
      <c r="CK3424">
        <v>-0.7</v>
      </c>
      <c r="CL3424">
        <v>3.14</v>
      </c>
      <c r="CM3424">
        <v>-0.41</v>
      </c>
      <c r="CN3424">
        <v>-0.83</v>
      </c>
      <c r="CO3424">
        <v>16116</v>
      </c>
      <c r="CP3424">
        <v>6710</v>
      </c>
      <c r="CQ3424" t="s">
        <v>3623</v>
      </c>
      <c r="CR3424">
        <v>-19.04</v>
      </c>
      <c r="CS3424">
        <v>98.34</v>
      </c>
      <c r="CT3424">
        <v>3.16</v>
      </c>
      <c r="CU3424">
        <v>-72.8</v>
      </c>
      <c r="CV3424">
        <v>61.41</v>
      </c>
      <c r="CW3424">
        <v>0</v>
      </c>
      <c r="CX3424" t="s">
        <v>12865</v>
      </c>
      <c r="CY3424">
        <v>3.56</v>
      </c>
      <c r="CZ3424">
        <v>0</v>
      </c>
      <c r="DA3424">
        <v>1.07</v>
      </c>
      <c r="DB3424">
        <v>1.18</v>
      </c>
      <c r="DC3424">
        <v>-0.15</v>
      </c>
      <c r="DD3424">
        <v>86.29</v>
      </c>
      <c r="DE3424" t="s">
        <v>14571</v>
      </c>
      <c r="DF3424">
        <v>-90.75</v>
      </c>
      <c r="DG3424">
        <v>-140.24</v>
      </c>
      <c r="DH3424">
        <v>-140.74</v>
      </c>
      <c r="DI3424" t="s">
        <v>120</v>
      </c>
      <c r="DJ3424">
        <v>1025</v>
      </c>
      <c r="DK3424">
        <v>603099</v>
      </c>
      <c r="DL3424" t="s">
        <v>120</v>
      </c>
      <c r="DM3424" t="s">
        <v>120</v>
      </c>
      <c r="DN3424" t="s">
        <v>120</v>
      </c>
    </row>
    <row r="3425" spans="1:118">
      <c r="A3425" t="str">
        <f>"603100"</f>
        <v>603100</v>
      </c>
      <c r="B3425" t="s">
        <v>14572</v>
      </c>
      <c r="C3425">
        <v>0.7</v>
      </c>
      <c r="D3425">
        <v>-0.04</v>
      </c>
      <c r="E3425">
        <v>0.37</v>
      </c>
      <c r="F3425">
        <v>860</v>
      </c>
      <c r="G3425" t="s">
        <v>14573</v>
      </c>
      <c r="H3425">
        <v>13635.14</v>
      </c>
      <c r="I3425">
        <v>10.1</v>
      </c>
      <c r="J3425" t="s">
        <v>120</v>
      </c>
      <c r="K3425" t="s">
        <v>14574</v>
      </c>
      <c r="L3425">
        <v>1.58</v>
      </c>
      <c r="M3425">
        <v>21.55</v>
      </c>
      <c r="N3425">
        <v>1.56</v>
      </c>
      <c r="O3425">
        <v>4.91</v>
      </c>
      <c r="P3425">
        <v>22.45</v>
      </c>
      <c r="Q3425">
        <v>-1.5</v>
      </c>
      <c r="R3425">
        <v>21.08</v>
      </c>
      <c r="S3425">
        <v>21.48</v>
      </c>
      <c r="T3425">
        <v>62555</v>
      </c>
      <c r="U3425">
        <v>21.56</v>
      </c>
      <c r="V3425">
        <v>21.4</v>
      </c>
      <c r="W3425">
        <v>13.75</v>
      </c>
      <c r="X3425" t="s">
        <v>2717</v>
      </c>
      <c r="Y3425" t="s">
        <v>883</v>
      </c>
      <c r="Z3425">
        <v>6.4</v>
      </c>
      <c r="AA3425">
        <v>21.8</v>
      </c>
      <c r="AB3425">
        <v>32079</v>
      </c>
      <c r="AC3425">
        <v>30476</v>
      </c>
      <c r="AD3425">
        <v>1.05</v>
      </c>
      <c r="AE3425">
        <v>19</v>
      </c>
      <c r="AF3425">
        <v>49</v>
      </c>
      <c r="AG3425" t="s">
        <v>120</v>
      </c>
      <c r="AH3425">
        <v>0</v>
      </c>
      <c r="AI3425" t="s">
        <v>120</v>
      </c>
      <c r="AJ3425">
        <v>3.95</v>
      </c>
      <c r="AK3425" t="s">
        <v>14574</v>
      </c>
      <c r="AL3425">
        <v>2.04</v>
      </c>
      <c r="AM3425">
        <v>2851</v>
      </c>
      <c r="AN3425">
        <v>22</v>
      </c>
      <c r="AO3425">
        <v>5.9999999999999995E-4</v>
      </c>
      <c r="AP3425">
        <v>2</v>
      </c>
      <c r="AQ3425">
        <v>1.71</v>
      </c>
      <c r="AR3425">
        <v>2.08</v>
      </c>
      <c r="AS3425">
        <v>31.4</v>
      </c>
      <c r="AT3425">
        <v>26.76</v>
      </c>
      <c r="AU3425">
        <v>96.27</v>
      </c>
      <c r="AV3425">
        <v>7</v>
      </c>
      <c r="AW3425">
        <v>3.66</v>
      </c>
      <c r="AX3425">
        <v>43.22</v>
      </c>
      <c r="AY3425">
        <v>13.87</v>
      </c>
      <c r="AZ3425">
        <v>22.18</v>
      </c>
      <c r="BA3425">
        <v>1.37</v>
      </c>
      <c r="BB3425" t="s">
        <v>143</v>
      </c>
      <c r="BF3425">
        <v>1.85</v>
      </c>
      <c r="BG3425">
        <v>0.33</v>
      </c>
      <c r="BH3425">
        <v>-4.01</v>
      </c>
      <c r="BI3425">
        <v>2.23</v>
      </c>
      <c r="BJ3425">
        <v>20210831</v>
      </c>
      <c r="BK3425">
        <v>20140805</v>
      </c>
      <c r="BL3425">
        <v>3.95</v>
      </c>
      <c r="BM3425" t="s">
        <v>120</v>
      </c>
      <c r="BN3425" t="s">
        <v>120</v>
      </c>
      <c r="BO3425">
        <v>60.34</v>
      </c>
      <c r="BP3425">
        <v>21.55</v>
      </c>
      <c r="BQ3425">
        <v>29.12</v>
      </c>
      <c r="BR3425">
        <v>0.19</v>
      </c>
      <c r="BS3425">
        <v>51.42</v>
      </c>
      <c r="BT3425">
        <v>46.17</v>
      </c>
      <c r="BU3425">
        <v>6.07</v>
      </c>
      <c r="BV3425">
        <v>0.63</v>
      </c>
      <c r="BW3425">
        <v>27.32</v>
      </c>
      <c r="BX3425">
        <v>13.74</v>
      </c>
      <c r="BY3425">
        <v>10.23</v>
      </c>
      <c r="BZ3425">
        <v>11.27</v>
      </c>
      <c r="CA3425">
        <v>0.15</v>
      </c>
      <c r="CB3425">
        <v>7.05</v>
      </c>
      <c r="CC3425">
        <v>25.01</v>
      </c>
      <c r="CD3425">
        <v>16.14</v>
      </c>
      <c r="CE3425">
        <v>3.11</v>
      </c>
      <c r="CF3425">
        <v>0.55000000000000004</v>
      </c>
      <c r="CG3425">
        <v>3.56</v>
      </c>
      <c r="CH3425">
        <v>3.11</v>
      </c>
      <c r="CI3425">
        <v>3.1</v>
      </c>
      <c r="CJ3425">
        <v>0.15</v>
      </c>
      <c r="CK3425">
        <v>1.85</v>
      </c>
      <c r="CL3425">
        <v>16.260000000000002</v>
      </c>
      <c r="CM3425">
        <v>4.66</v>
      </c>
      <c r="CN3425">
        <v>2.14</v>
      </c>
      <c r="CO3425">
        <v>18396</v>
      </c>
      <c r="CP3425">
        <v>9279</v>
      </c>
      <c r="CQ3425" t="s">
        <v>618</v>
      </c>
      <c r="CR3425">
        <v>280.2</v>
      </c>
      <c r="CS3425">
        <v>40.08</v>
      </c>
      <c r="CT3425">
        <v>2.92</v>
      </c>
      <c r="CU3425">
        <v>18.27</v>
      </c>
      <c r="CV3425">
        <v>3.4</v>
      </c>
      <c r="CW3425">
        <v>1.4</v>
      </c>
      <c r="CX3425" t="s">
        <v>3993</v>
      </c>
      <c r="CY3425">
        <v>7.37</v>
      </c>
      <c r="CZ3425">
        <v>0</v>
      </c>
      <c r="DA3425">
        <v>1.79</v>
      </c>
      <c r="DB3425">
        <v>4.12</v>
      </c>
      <c r="DC3425">
        <v>1.18</v>
      </c>
      <c r="DD3425">
        <v>48.26</v>
      </c>
      <c r="DE3425" t="s">
        <v>1954</v>
      </c>
      <c r="DF3425">
        <v>35.47</v>
      </c>
      <c r="DG3425">
        <v>12.45</v>
      </c>
      <c r="DH3425">
        <v>12.38</v>
      </c>
      <c r="DI3425">
        <v>1.56</v>
      </c>
      <c r="DJ3425">
        <v>4806</v>
      </c>
      <c r="DK3425">
        <v>603100</v>
      </c>
      <c r="DL3425" t="s">
        <v>120</v>
      </c>
      <c r="DM3425" t="s">
        <v>120</v>
      </c>
      <c r="DN3425" t="s">
        <v>120</v>
      </c>
    </row>
    <row r="3426" spans="1:118">
      <c r="A3426" t="str">
        <f>"603101"</f>
        <v>603101</v>
      </c>
      <c r="B3426" t="s">
        <v>14575</v>
      </c>
      <c r="C3426">
        <v>-2.08</v>
      </c>
      <c r="D3426">
        <v>0</v>
      </c>
      <c r="E3426">
        <v>-0.52</v>
      </c>
      <c r="F3426">
        <v>484</v>
      </c>
      <c r="G3426" t="s">
        <v>14576</v>
      </c>
      <c r="H3426">
        <v>1870.48</v>
      </c>
      <c r="I3426">
        <v>9.83</v>
      </c>
      <c r="J3426" t="s">
        <v>120</v>
      </c>
      <c r="K3426" t="s">
        <v>14577</v>
      </c>
      <c r="L3426">
        <v>0.69</v>
      </c>
      <c r="M3426">
        <v>5.66</v>
      </c>
      <c r="N3426">
        <v>0.73</v>
      </c>
      <c r="O3426">
        <v>0.87</v>
      </c>
      <c r="P3426">
        <v>5.83</v>
      </c>
      <c r="Q3426">
        <v>-2.42</v>
      </c>
      <c r="R3426">
        <v>5.64</v>
      </c>
      <c r="S3426">
        <v>5.75</v>
      </c>
      <c r="T3426">
        <v>32588</v>
      </c>
      <c r="U3426">
        <v>5.67</v>
      </c>
      <c r="V3426">
        <v>5.78</v>
      </c>
      <c r="W3426">
        <v>22.06</v>
      </c>
      <c r="X3426" t="s">
        <v>735</v>
      </c>
      <c r="Y3426" t="s">
        <v>609</v>
      </c>
      <c r="Z3426">
        <v>3.29</v>
      </c>
      <c r="AA3426">
        <v>5.74</v>
      </c>
      <c r="AB3426">
        <v>19673</v>
      </c>
      <c r="AC3426">
        <v>12915</v>
      </c>
      <c r="AD3426">
        <v>1.52</v>
      </c>
      <c r="AE3426">
        <v>12</v>
      </c>
      <c r="AF3426">
        <v>508</v>
      </c>
      <c r="AG3426" t="s">
        <v>120</v>
      </c>
      <c r="AH3426">
        <v>0.01</v>
      </c>
      <c r="AI3426" t="s">
        <v>120</v>
      </c>
      <c r="AJ3426">
        <v>4.7</v>
      </c>
      <c r="AK3426" t="s">
        <v>14577</v>
      </c>
      <c r="AL3426">
        <v>-0.73</v>
      </c>
      <c r="AM3426">
        <v>1127</v>
      </c>
      <c r="AN3426">
        <v>29</v>
      </c>
      <c r="AO3426">
        <v>5.9999999999999995E-4</v>
      </c>
      <c r="AP3426">
        <v>-3</v>
      </c>
      <c r="AQ3426">
        <v>-2.36</v>
      </c>
      <c r="AR3426">
        <v>-5.34</v>
      </c>
      <c r="AS3426">
        <v>12.52</v>
      </c>
      <c r="AT3426">
        <v>13.43</v>
      </c>
      <c r="AU3426">
        <v>18.649999999999999</v>
      </c>
      <c r="AV3426">
        <v>3</v>
      </c>
      <c r="AW3426">
        <v>2.4300000000000002</v>
      </c>
      <c r="AX3426">
        <v>28.55</v>
      </c>
      <c r="AY3426">
        <v>45.5</v>
      </c>
      <c r="AZ3426">
        <v>167.7</v>
      </c>
      <c r="BA3426">
        <v>0.08</v>
      </c>
      <c r="BB3426" t="s">
        <v>341</v>
      </c>
      <c r="BF3426">
        <v>-0.7</v>
      </c>
      <c r="BG3426">
        <v>-1.57</v>
      </c>
      <c r="BH3426">
        <v>-2.92</v>
      </c>
      <c r="BI3426">
        <v>0.35</v>
      </c>
      <c r="BJ3426">
        <v>20210825</v>
      </c>
      <c r="BK3426">
        <v>20160506</v>
      </c>
      <c r="BL3426">
        <v>4.7</v>
      </c>
      <c r="BM3426" t="s">
        <v>120</v>
      </c>
      <c r="BN3426" t="s">
        <v>120</v>
      </c>
      <c r="BO3426">
        <v>42.48</v>
      </c>
      <c r="BP3426">
        <v>5.66</v>
      </c>
      <c r="BQ3426">
        <v>14.6</v>
      </c>
      <c r="BR3426">
        <v>-0.03</v>
      </c>
      <c r="BS3426">
        <v>65.69</v>
      </c>
      <c r="BT3426">
        <v>7.91</v>
      </c>
      <c r="BU3426">
        <v>13.98</v>
      </c>
      <c r="BV3426">
        <v>1.28</v>
      </c>
      <c r="BW3426">
        <v>18.37</v>
      </c>
      <c r="BX3426">
        <v>2.67</v>
      </c>
      <c r="BY3426">
        <v>2.2799999999999998</v>
      </c>
      <c r="BZ3426">
        <v>0.56999999999999995</v>
      </c>
      <c r="CA3426">
        <v>0.66</v>
      </c>
      <c r="CB3426">
        <v>2.1</v>
      </c>
      <c r="CC3426">
        <v>12.11</v>
      </c>
      <c r="CD3426">
        <v>7.83</v>
      </c>
      <c r="CE3426">
        <v>0.74</v>
      </c>
      <c r="CF3426">
        <v>0</v>
      </c>
      <c r="CG3426">
        <v>0.69</v>
      </c>
      <c r="CH3426">
        <v>0.6</v>
      </c>
      <c r="CI3426">
        <v>0.6</v>
      </c>
      <c r="CJ3426">
        <v>-0.12</v>
      </c>
      <c r="CK3426">
        <v>0.65</v>
      </c>
      <c r="CL3426">
        <v>7.38</v>
      </c>
      <c r="CM3426">
        <v>0.83</v>
      </c>
      <c r="CN3426">
        <v>-2.79</v>
      </c>
      <c r="CO3426">
        <v>15248</v>
      </c>
      <c r="CP3426">
        <v>8808</v>
      </c>
      <c r="CQ3426" t="s">
        <v>2326</v>
      </c>
      <c r="CR3426">
        <v>259.02</v>
      </c>
      <c r="CS3426">
        <v>21.18</v>
      </c>
      <c r="CT3426">
        <v>1.82</v>
      </c>
      <c r="CU3426">
        <v>31.89</v>
      </c>
      <c r="CV3426">
        <v>2.2000000000000002</v>
      </c>
      <c r="CW3426">
        <v>0</v>
      </c>
      <c r="CX3426" t="s">
        <v>986</v>
      </c>
      <c r="CY3426">
        <v>3.1</v>
      </c>
      <c r="CZ3426">
        <v>0</v>
      </c>
      <c r="DA3426">
        <v>0.45</v>
      </c>
      <c r="DB3426">
        <v>1.57</v>
      </c>
      <c r="DC3426">
        <v>0.18</v>
      </c>
      <c r="DD3426">
        <v>34.369999999999997</v>
      </c>
      <c r="DE3426" t="s">
        <v>1175</v>
      </c>
      <c r="DF3426">
        <v>35.29</v>
      </c>
      <c r="DG3426">
        <v>6.14</v>
      </c>
      <c r="DH3426">
        <v>4.99</v>
      </c>
      <c r="DI3426" t="s">
        <v>120</v>
      </c>
      <c r="DJ3426">
        <v>3369</v>
      </c>
      <c r="DK3426">
        <v>603101</v>
      </c>
      <c r="DL3426">
        <v>20200831</v>
      </c>
      <c r="DM3426">
        <v>5.89</v>
      </c>
      <c r="DN3426">
        <v>-3.9</v>
      </c>
    </row>
    <row r="3427" spans="1:118">
      <c r="A3427" t="str">
        <f>"603103"</f>
        <v>603103</v>
      </c>
      <c r="B3427" t="s">
        <v>14578</v>
      </c>
      <c r="C3427">
        <v>-2.57</v>
      </c>
      <c r="D3427">
        <v>-0.59</v>
      </c>
      <c r="E3427">
        <v>0</v>
      </c>
      <c r="F3427">
        <v>2669</v>
      </c>
      <c r="G3427" t="s">
        <v>6841</v>
      </c>
      <c r="H3427">
        <v>4453.2700000000004</v>
      </c>
      <c r="I3427">
        <v>13.2</v>
      </c>
      <c r="J3427" t="s">
        <v>120</v>
      </c>
      <c r="K3427" t="s">
        <v>4928</v>
      </c>
      <c r="L3427">
        <v>0.52</v>
      </c>
      <c r="M3427">
        <v>13.26</v>
      </c>
      <c r="N3427">
        <v>1.1399999999999999</v>
      </c>
      <c r="O3427">
        <v>0.96</v>
      </c>
      <c r="P3427">
        <v>13.74</v>
      </c>
      <c r="Q3427">
        <v>-2.57</v>
      </c>
      <c r="R3427">
        <v>13.26</v>
      </c>
      <c r="S3427">
        <v>13.61</v>
      </c>
      <c r="T3427">
        <v>33024</v>
      </c>
      <c r="U3427">
        <v>13.27</v>
      </c>
      <c r="V3427">
        <v>13.61</v>
      </c>
      <c r="W3427">
        <v>20.9</v>
      </c>
      <c r="X3427" t="s">
        <v>584</v>
      </c>
      <c r="Y3427" t="s">
        <v>585</v>
      </c>
      <c r="Z3427">
        <v>3.53</v>
      </c>
      <c r="AA3427">
        <v>13.48</v>
      </c>
      <c r="AB3427">
        <v>21332</v>
      </c>
      <c r="AC3427">
        <v>11692</v>
      </c>
      <c r="AD3427">
        <v>1.82</v>
      </c>
      <c r="AE3427">
        <v>30</v>
      </c>
      <c r="AF3427">
        <v>1</v>
      </c>
      <c r="AG3427" t="s">
        <v>120</v>
      </c>
      <c r="AH3427">
        <v>0.01</v>
      </c>
      <c r="AI3427" t="s">
        <v>120</v>
      </c>
      <c r="AJ3427">
        <v>6.34</v>
      </c>
      <c r="AK3427" t="s">
        <v>4928</v>
      </c>
      <c r="AL3427">
        <v>-1.23</v>
      </c>
      <c r="AM3427">
        <v>2236</v>
      </c>
      <c r="AN3427">
        <v>15</v>
      </c>
      <c r="AO3427">
        <v>2.0000000000000001E-4</v>
      </c>
      <c r="AP3427">
        <v>-1</v>
      </c>
      <c r="AQ3427">
        <v>1.8</v>
      </c>
      <c r="AR3427">
        <v>-3.21</v>
      </c>
      <c r="AS3427">
        <v>4.33</v>
      </c>
      <c r="AT3427">
        <v>-8.43</v>
      </c>
      <c r="AU3427">
        <v>-29.66</v>
      </c>
      <c r="AV3427">
        <v>1</v>
      </c>
      <c r="AW3427">
        <v>4.45</v>
      </c>
      <c r="AX3427">
        <v>11.7</v>
      </c>
      <c r="AY3427">
        <v>452.88</v>
      </c>
      <c r="AZ3427" t="s">
        <v>120</v>
      </c>
      <c r="BA3427">
        <v>0.21</v>
      </c>
      <c r="BB3427" t="s">
        <v>143</v>
      </c>
      <c r="BF3427">
        <v>-0.92</v>
      </c>
      <c r="BG3427">
        <v>-2.57</v>
      </c>
      <c r="BH3427">
        <v>-3.49</v>
      </c>
      <c r="BI3427">
        <v>0</v>
      </c>
      <c r="BJ3427">
        <v>20210821</v>
      </c>
      <c r="BK3427">
        <v>20171012</v>
      </c>
      <c r="BL3427">
        <v>6.34</v>
      </c>
      <c r="BM3427" t="s">
        <v>120</v>
      </c>
      <c r="BN3427" t="s">
        <v>120</v>
      </c>
      <c r="BO3427">
        <v>59.05</v>
      </c>
      <c r="BP3427">
        <v>13.26</v>
      </c>
      <c r="BQ3427">
        <v>16.79</v>
      </c>
      <c r="BR3427" t="s">
        <v>120</v>
      </c>
      <c r="BS3427">
        <v>71.56</v>
      </c>
      <c r="BT3427">
        <v>18.420000000000002</v>
      </c>
      <c r="BU3427">
        <v>7.98</v>
      </c>
      <c r="BV3427">
        <v>0.04</v>
      </c>
      <c r="BW3427">
        <v>11.04</v>
      </c>
      <c r="BX3427">
        <v>5.79</v>
      </c>
      <c r="BY3427">
        <v>0.83</v>
      </c>
      <c r="BZ3427">
        <v>2.37</v>
      </c>
      <c r="CA3427">
        <v>0.1</v>
      </c>
      <c r="CB3427">
        <v>5.69</v>
      </c>
      <c r="CC3427">
        <v>14.76</v>
      </c>
      <c r="CD3427">
        <v>10.82</v>
      </c>
      <c r="CE3427">
        <v>2.2599999999999998</v>
      </c>
      <c r="CF3427">
        <v>0.08</v>
      </c>
      <c r="CG3427">
        <v>2.2999999999999998</v>
      </c>
      <c r="CH3427">
        <v>2.0099999999999998</v>
      </c>
      <c r="CI3427">
        <v>2.0099999999999998</v>
      </c>
      <c r="CJ3427">
        <v>-0.35</v>
      </c>
      <c r="CK3427">
        <v>1.84</v>
      </c>
      <c r="CL3427">
        <v>3.3</v>
      </c>
      <c r="CM3427">
        <v>4.1900000000000004</v>
      </c>
      <c r="CN3427">
        <v>-0.11</v>
      </c>
      <c r="CO3427">
        <v>18734</v>
      </c>
      <c r="CP3427">
        <v>3961</v>
      </c>
      <c r="CQ3427" t="s">
        <v>2186</v>
      </c>
      <c r="CR3427">
        <v>167.41</v>
      </c>
      <c r="CS3427">
        <v>1239.73</v>
      </c>
      <c r="CT3427">
        <v>5.01</v>
      </c>
      <c r="CU3427">
        <v>20.059999999999999</v>
      </c>
      <c r="CV3427">
        <v>5.7</v>
      </c>
      <c r="CW3427">
        <v>0</v>
      </c>
      <c r="CX3427" t="s">
        <v>966</v>
      </c>
      <c r="CY3427">
        <v>2.65</v>
      </c>
      <c r="CZ3427">
        <v>0</v>
      </c>
      <c r="DA3427">
        <v>0.9</v>
      </c>
      <c r="DB3427">
        <v>0.52</v>
      </c>
      <c r="DC3427">
        <v>0.66</v>
      </c>
      <c r="DD3427">
        <v>28.44</v>
      </c>
      <c r="DE3427" t="s">
        <v>14579</v>
      </c>
      <c r="DF3427">
        <v>26.66</v>
      </c>
      <c r="DG3427">
        <v>15.3</v>
      </c>
      <c r="DH3427">
        <v>13.63</v>
      </c>
      <c r="DI3427" t="s">
        <v>120</v>
      </c>
      <c r="DJ3427">
        <v>5728</v>
      </c>
      <c r="DK3427">
        <v>603103</v>
      </c>
      <c r="DL3427" t="s">
        <v>120</v>
      </c>
      <c r="DM3427" t="s">
        <v>120</v>
      </c>
      <c r="DN3427" t="s">
        <v>120</v>
      </c>
    </row>
    <row r="3428" spans="1:118">
      <c r="A3428" t="str">
        <f>"603105"</f>
        <v>603105</v>
      </c>
      <c r="B3428" t="s">
        <v>14580</v>
      </c>
      <c r="C3428">
        <v>-7.3</v>
      </c>
      <c r="D3428">
        <v>-7.0000000000000007E-2</v>
      </c>
      <c r="E3428">
        <v>-0.64</v>
      </c>
      <c r="F3428">
        <v>3922</v>
      </c>
      <c r="G3428" t="s">
        <v>12751</v>
      </c>
      <c r="H3428">
        <v>52474.31</v>
      </c>
      <c r="I3428">
        <v>471.43</v>
      </c>
      <c r="J3428" t="s">
        <v>120</v>
      </c>
      <c r="K3428" t="s">
        <v>14581</v>
      </c>
      <c r="L3428">
        <v>7.88</v>
      </c>
      <c r="M3428">
        <v>12.96</v>
      </c>
      <c r="N3428">
        <v>1.1399999999999999</v>
      </c>
      <c r="O3428">
        <v>-0.21</v>
      </c>
      <c r="P3428">
        <v>13.95</v>
      </c>
      <c r="Q3428">
        <v>-7.87</v>
      </c>
      <c r="R3428">
        <v>12.88</v>
      </c>
      <c r="S3428">
        <v>13.89</v>
      </c>
      <c r="T3428">
        <v>393950</v>
      </c>
      <c r="U3428">
        <v>12.96</v>
      </c>
      <c r="V3428">
        <v>13.98</v>
      </c>
      <c r="W3428">
        <v>53.91</v>
      </c>
      <c r="X3428" t="s">
        <v>394</v>
      </c>
      <c r="Y3428" t="s">
        <v>585</v>
      </c>
      <c r="Z3428">
        <v>7.65</v>
      </c>
      <c r="AA3428">
        <v>13.32</v>
      </c>
      <c r="AB3428">
        <v>222051</v>
      </c>
      <c r="AC3428">
        <v>171899</v>
      </c>
      <c r="AD3428">
        <v>1.29</v>
      </c>
      <c r="AE3428">
        <v>313</v>
      </c>
      <c r="AF3428">
        <v>300</v>
      </c>
      <c r="AG3428" t="s">
        <v>120</v>
      </c>
      <c r="AH3428">
        <v>0.13</v>
      </c>
      <c r="AI3428" t="s">
        <v>120</v>
      </c>
      <c r="AJ3428">
        <v>5</v>
      </c>
      <c r="AK3428" t="s">
        <v>14581</v>
      </c>
      <c r="AL3428">
        <v>-5.95</v>
      </c>
      <c r="AM3428">
        <v>4367</v>
      </c>
      <c r="AN3428">
        <v>90</v>
      </c>
      <c r="AO3428">
        <v>1.8E-3</v>
      </c>
      <c r="AP3428">
        <v>-1</v>
      </c>
      <c r="AQ3428">
        <v>4.25</v>
      </c>
      <c r="AR3428">
        <v>-2.63</v>
      </c>
      <c r="AS3428">
        <v>30.78</v>
      </c>
      <c r="AT3428">
        <v>53.19</v>
      </c>
      <c r="AU3428">
        <v>41.02</v>
      </c>
      <c r="AV3428">
        <v>4</v>
      </c>
      <c r="AW3428">
        <v>14.58</v>
      </c>
      <c r="AX3428">
        <v>54.03</v>
      </c>
      <c r="AY3428">
        <v>79.19</v>
      </c>
      <c r="AZ3428">
        <v>86.42</v>
      </c>
      <c r="BA3428">
        <v>0.91</v>
      </c>
      <c r="BB3428" t="s">
        <v>143</v>
      </c>
      <c r="BF3428">
        <v>-4.72</v>
      </c>
      <c r="BG3428">
        <v>-6.7</v>
      </c>
      <c r="BH3428">
        <v>-7.1</v>
      </c>
      <c r="BI3428">
        <v>0.62</v>
      </c>
      <c r="BJ3428">
        <v>20210824</v>
      </c>
      <c r="BK3428">
        <v>20180709</v>
      </c>
      <c r="BL3428">
        <v>5</v>
      </c>
      <c r="BM3428" t="s">
        <v>120</v>
      </c>
      <c r="BN3428" t="s">
        <v>120</v>
      </c>
      <c r="BO3428">
        <v>30.2</v>
      </c>
      <c r="BP3428">
        <v>12.95</v>
      </c>
      <c r="BQ3428">
        <v>15.67</v>
      </c>
      <c r="BR3428" t="s">
        <v>120</v>
      </c>
      <c r="BS3428">
        <v>48.1</v>
      </c>
      <c r="BT3428">
        <v>5.56</v>
      </c>
      <c r="BU3428">
        <v>23.69</v>
      </c>
      <c r="BV3428">
        <v>0.14000000000000001</v>
      </c>
      <c r="BW3428">
        <v>4.8600000000000003</v>
      </c>
      <c r="BX3428">
        <v>1.78</v>
      </c>
      <c r="BY3428">
        <v>0.9</v>
      </c>
      <c r="BZ3428">
        <v>0.76</v>
      </c>
      <c r="CA3428">
        <v>0</v>
      </c>
      <c r="CB3428">
        <v>7.15</v>
      </c>
      <c r="CC3428">
        <v>2.13</v>
      </c>
      <c r="CD3428">
        <v>1</v>
      </c>
      <c r="CE3428">
        <v>0.64</v>
      </c>
      <c r="CF3428">
        <v>0</v>
      </c>
      <c r="CG3428">
        <v>0.64</v>
      </c>
      <c r="CH3428">
        <v>0.6</v>
      </c>
      <c r="CI3428">
        <v>0.6</v>
      </c>
      <c r="CJ3428">
        <v>-1.02</v>
      </c>
      <c r="CK3428">
        <v>0.56000000000000005</v>
      </c>
      <c r="CL3428">
        <v>3.16</v>
      </c>
      <c r="CM3428">
        <v>0.94</v>
      </c>
      <c r="CN3428">
        <v>0.89</v>
      </c>
      <c r="CO3428">
        <v>53499</v>
      </c>
      <c r="CP3428">
        <v>5050</v>
      </c>
      <c r="CQ3428" t="s">
        <v>5409</v>
      </c>
      <c r="CR3428">
        <v>14.01</v>
      </c>
      <c r="CS3428">
        <v>-7.88</v>
      </c>
      <c r="CT3428">
        <v>4.13</v>
      </c>
      <c r="CU3428">
        <v>68.59</v>
      </c>
      <c r="CV3428">
        <v>30.45</v>
      </c>
      <c r="CW3428">
        <v>0.36</v>
      </c>
      <c r="CX3428" t="s">
        <v>850</v>
      </c>
      <c r="CY3428">
        <v>3.13</v>
      </c>
      <c r="CZ3428">
        <v>0</v>
      </c>
      <c r="DA3428">
        <v>1.43</v>
      </c>
      <c r="DB3428">
        <v>0.63</v>
      </c>
      <c r="DC3428">
        <v>0.19</v>
      </c>
      <c r="DD3428">
        <v>51.9</v>
      </c>
      <c r="DE3428" t="s">
        <v>4426</v>
      </c>
      <c r="DF3428">
        <v>53.22</v>
      </c>
      <c r="DG3428">
        <v>29.92</v>
      </c>
      <c r="DH3428">
        <v>28.24</v>
      </c>
      <c r="DI3428">
        <v>0.05</v>
      </c>
      <c r="DJ3428">
        <v>312</v>
      </c>
      <c r="DK3428">
        <v>603105</v>
      </c>
      <c r="DL3428">
        <v>20210826</v>
      </c>
      <c r="DM3428">
        <v>13.72</v>
      </c>
      <c r="DN3428">
        <v>-5.54</v>
      </c>
    </row>
    <row r="3429" spans="1:118">
      <c r="A3429" t="str">
        <f>"603106"</f>
        <v>603106</v>
      </c>
      <c r="B3429" t="s">
        <v>14582</v>
      </c>
      <c r="C3429">
        <v>-0.38</v>
      </c>
      <c r="D3429">
        <v>0</v>
      </c>
      <c r="E3429">
        <v>-0.19</v>
      </c>
      <c r="F3429">
        <v>573</v>
      </c>
      <c r="G3429" t="s">
        <v>14583</v>
      </c>
      <c r="H3429">
        <v>1555.43</v>
      </c>
      <c r="I3429">
        <v>5.45</v>
      </c>
      <c r="J3429" t="s">
        <v>120</v>
      </c>
      <c r="K3429" t="s">
        <v>14584</v>
      </c>
      <c r="L3429">
        <v>0.56999999999999995</v>
      </c>
      <c r="M3429">
        <v>5.23</v>
      </c>
      <c r="N3429">
        <v>0.82</v>
      </c>
      <c r="O3429">
        <v>1.71</v>
      </c>
      <c r="P3429">
        <v>5.34</v>
      </c>
      <c r="Q3429">
        <v>-1.1399999999999999</v>
      </c>
      <c r="R3429">
        <v>5.19</v>
      </c>
      <c r="S3429">
        <v>5.24</v>
      </c>
      <c r="T3429">
        <v>29541</v>
      </c>
      <c r="U3429">
        <v>5.24</v>
      </c>
      <c r="V3429">
        <v>5.25</v>
      </c>
      <c r="W3429">
        <v>319.48</v>
      </c>
      <c r="X3429" t="s">
        <v>238</v>
      </c>
      <c r="Y3429" t="s">
        <v>997</v>
      </c>
      <c r="Z3429">
        <v>2.86</v>
      </c>
      <c r="AA3429">
        <v>5.27</v>
      </c>
      <c r="AB3429">
        <v>14717</v>
      </c>
      <c r="AC3429">
        <v>14824</v>
      </c>
      <c r="AD3429">
        <v>0.99</v>
      </c>
      <c r="AE3429">
        <v>325</v>
      </c>
      <c r="AF3429">
        <v>483</v>
      </c>
      <c r="AG3429" t="s">
        <v>120</v>
      </c>
      <c r="AH3429">
        <v>0</v>
      </c>
      <c r="AI3429" t="s">
        <v>120</v>
      </c>
      <c r="AJ3429">
        <v>5.21</v>
      </c>
      <c r="AK3429" t="s">
        <v>14584</v>
      </c>
      <c r="AL3429">
        <v>0.96</v>
      </c>
      <c r="AM3429">
        <v>866</v>
      </c>
      <c r="AN3429">
        <v>34</v>
      </c>
      <c r="AO3429">
        <v>6.9999999999999999E-4</v>
      </c>
      <c r="AP3429">
        <v>-1</v>
      </c>
      <c r="AQ3429">
        <v>0.19</v>
      </c>
      <c r="AR3429">
        <v>-1.69</v>
      </c>
      <c r="AS3429">
        <v>4.3899999999999997</v>
      </c>
      <c r="AT3429">
        <v>-7.59</v>
      </c>
      <c r="AU3429">
        <v>-4.91</v>
      </c>
      <c r="AV3429">
        <v>2</v>
      </c>
      <c r="AW3429">
        <v>1.35</v>
      </c>
      <c r="AX3429">
        <v>42.02</v>
      </c>
      <c r="AY3429">
        <v>161.66999999999999</v>
      </c>
      <c r="AZ3429">
        <v>84.26</v>
      </c>
      <c r="BA3429">
        <v>0.99</v>
      </c>
      <c r="BB3429" t="s">
        <v>143</v>
      </c>
      <c r="BF3429">
        <v>0.28999999999999998</v>
      </c>
      <c r="BG3429">
        <v>-0.19</v>
      </c>
      <c r="BH3429">
        <v>-2.06</v>
      </c>
      <c r="BI3429">
        <v>0.77</v>
      </c>
      <c r="BJ3429">
        <v>20210827</v>
      </c>
      <c r="BK3429">
        <v>20170920</v>
      </c>
      <c r="BL3429">
        <v>5.21</v>
      </c>
      <c r="BM3429" t="s">
        <v>120</v>
      </c>
      <c r="BN3429" t="s">
        <v>120</v>
      </c>
      <c r="BO3429">
        <v>23.1</v>
      </c>
      <c r="BP3429">
        <v>5.23</v>
      </c>
      <c r="BQ3429">
        <v>16.11</v>
      </c>
      <c r="BR3429" t="s">
        <v>120</v>
      </c>
      <c r="BS3429">
        <v>30.25</v>
      </c>
      <c r="BT3429">
        <v>17.989999999999998</v>
      </c>
      <c r="BU3429">
        <v>3.19</v>
      </c>
      <c r="BV3429">
        <v>0.19</v>
      </c>
      <c r="BW3429">
        <v>3.61</v>
      </c>
      <c r="BX3429">
        <v>5.47</v>
      </c>
      <c r="BY3429">
        <v>4.84</v>
      </c>
      <c r="BZ3429">
        <v>5.74</v>
      </c>
      <c r="CA3429" t="s">
        <v>120</v>
      </c>
      <c r="CB3429">
        <v>7.56</v>
      </c>
      <c r="CC3429">
        <v>3.33</v>
      </c>
      <c r="CD3429">
        <v>2.72</v>
      </c>
      <c r="CE3429">
        <v>0</v>
      </c>
      <c r="CF3429">
        <v>0.08</v>
      </c>
      <c r="CG3429">
        <v>0.08</v>
      </c>
      <c r="CH3429">
        <v>0.04</v>
      </c>
      <c r="CI3429">
        <v>0.04</v>
      </c>
      <c r="CJ3429">
        <v>-0.02</v>
      </c>
      <c r="CK3429">
        <v>-0.08</v>
      </c>
      <c r="CL3429">
        <v>2.9</v>
      </c>
      <c r="CM3429">
        <v>-2.21</v>
      </c>
      <c r="CN3429">
        <v>-2.0699999999999998</v>
      </c>
      <c r="CO3429">
        <v>28361</v>
      </c>
      <c r="CP3429">
        <v>7711</v>
      </c>
      <c r="CQ3429" t="s">
        <v>483</v>
      </c>
      <c r="CR3429">
        <v>-78.47</v>
      </c>
      <c r="CS3429">
        <v>-25.23</v>
      </c>
      <c r="CT3429">
        <v>1.69</v>
      </c>
      <c r="CU3429">
        <v>-12.29</v>
      </c>
      <c r="CV3429">
        <v>8.17</v>
      </c>
      <c r="CW3429">
        <v>0.88</v>
      </c>
      <c r="CX3429" t="s">
        <v>2587</v>
      </c>
      <c r="CY3429">
        <v>3.09</v>
      </c>
      <c r="CZ3429">
        <v>0</v>
      </c>
      <c r="DA3429">
        <v>1.45</v>
      </c>
      <c r="DB3429">
        <v>0.56000000000000005</v>
      </c>
      <c r="DC3429">
        <v>-0.43</v>
      </c>
      <c r="DD3429">
        <v>69.75</v>
      </c>
      <c r="DE3429" t="s">
        <v>7692</v>
      </c>
      <c r="DF3429">
        <v>18.45</v>
      </c>
      <c r="DG3429">
        <v>0</v>
      </c>
      <c r="DH3429">
        <v>1.28</v>
      </c>
      <c r="DI3429">
        <v>0.36</v>
      </c>
      <c r="DJ3429">
        <v>2679</v>
      </c>
      <c r="DK3429">
        <v>603106</v>
      </c>
      <c r="DL3429" t="s">
        <v>120</v>
      </c>
      <c r="DM3429" t="s">
        <v>120</v>
      </c>
      <c r="DN3429" t="s">
        <v>120</v>
      </c>
    </row>
    <row r="3430" spans="1:118">
      <c r="A3430" t="str">
        <f>"603108"</f>
        <v>603108</v>
      </c>
      <c r="B3430" t="s">
        <v>14585</v>
      </c>
      <c r="C3430">
        <v>-1.63</v>
      </c>
      <c r="D3430">
        <v>-0.09</v>
      </c>
      <c r="E3430">
        <v>-0.67</v>
      </c>
      <c r="F3430">
        <v>739</v>
      </c>
      <c r="G3430" t="s">
        <v>5568</v>
      </c>
      <c r="H3430">
        <v>3240.37</v>
      </c>
      <c r="I3430">
        <v>0.31</v>
      </c>
      <c r="J3430" t="s">
        <v>120</v>
      </c>
      <c r="K3430" t="s">
        <v>8572</v>
      </c>
      <c r="L3430">
        <v>0.54</v>
      </c>
      <c r="M3430">
        <v>10.28</v>
      </c>
      <c r="N3430">
        <v>0.76</v>
      </c>
      <c r="O3430">
        <v>0.77</v>
      </c>
      <c r="P3430">
        <v>10.53</v>
      </c>
      <c r="Q3430">
        <v>-1.72</v>
      </c>
      <c r="R3430">
        <v>10.27</v>
      </c>
      <c r="S3430">
        <v>10.38</v>
      </c>
      <c r="T3430">
        <v>31207</v>
      </c>
      <c r="U3430">
        <v>10.28</v>
      </c>
      <c r="V3430">
        <v>10.45</v>
      </c>
      <c r="W3430">
        <v>14.39</v>
      </c>
      <c r="X3430" t="s">
        <v>274</v>
      </c>
      <c r="Y3430" t="s">
        <v>1510</v>
      </c>
      <c r="Z3430">
        <v>2.4900000000000002</v>
      </c>
      <c r="AA3430">
        <v>10.38</v>
      </c>
      <c r="AB3430">
        <v>17236</v>
      </c>
      <c r="AC3430">
        <v>13971</v>
      </c>
      <c r="AD3430">
        <v>1.23</v>
      </c>
      <c r="AE3430">
        <v>270</v>
      </c>
      <c r="AF3430">
        <v>35</v>
      </c>
      <c r="AG3430" t="s">
        <v>120</v>
      </c>
      <c r="AH3430">
        <v>0</v>
      </c>
      <c r="AI3430" t="s">
        <v>120</v>
      </c>
      <c r="AJ3430">
        <v>5.8</v>
      </c>
      <c r="AK3430" t="s">
        <v>8572</v>
      </c>
      <c r="AL3430">
        <v>-0.28000000000000003</v>
      </c>
      <c r="AM3430">
        <v>1576</v>
      </c>
      <c r="AN3430">
        <v>20</v>
      </c>
      <c r="AO3430">
        <v>2.9999999999999997E-4</v>
      </c>
      <c r="AP3430">
        <v>-1</v>
      </c>
      <c r="AQ3430">
        <v>0.38</v>
      </c>
      <c r="AR3430">
        <v>-2.66</v>
      </c>
      <c r="AS3430">
        <v>2.39</v>
      </c>
      <c r="AT3430">
        <v>-2.34</v>
      </c>
      <c r="AU3430">
        <v>-7.11</v>
      </c>
      <c r="AV3430">
        <v>0</v>
      </c>
      <c r="AW3430">
        <v>0.85</v>
      </c>
      <c r="AX3430">
        <v>63.25</v>
      </c>
      <c r="AY3430">
        <v>14.22</v>
      </c>
      <c r="AZ3430">
        <v>18.350000000000001</v>
      </c>
      <c r="BA3430">
        <v>0.17</v>
      </c>
      <c r="BB3430" t="s">
        <v>143</v>
      </c>
      <c r="BF3430">
        <v>-0.64</v>
      </c>
      <c r="BG3430">
        <v>-0.96</v>
      </c>
      <c r="BH3430">
        <v>-2.37</v>
      </c>
      <c r="BI3430">
        <v>0.1</v>
      </c>
      <c r="BJ3430">
        <v>20210827</v>
      </c>
      <c r="BK3430">
        <v>20150527</v>
      </c>
      <c r="BL3430">
        <v>5.8</v>
      </c>
      <c r="BM3430" t="s">
        <v>120</v>
      </c>
      <c r="BN3430" t="s">
        <v>120</v>
      </c>
      <c r="BO3430">
        <v>115.21</v>
      </c>
      <c r="BP3430">
        <v>10.27</v>
      </c>
      <c r="BQ3430">
        <v>33.44</v>
      </c>
      <c r="BR3430">
        <v>9.5399999999999991</v>
      </c>
      <c r="BS3430">
        <v>62.69</v>
      </c>
      <c r="BT3430">
        <v>71.260000000000005</v>
      </c>
      <c r="BU3430">
        <v>7.23</v>
      </c>
      <c r="BV3430">
        <v>0.56000000000000005</v>
      </c>
      <c r="BW3430">
        <v>63.81</v>
      </c>
      <c r="BX3430">
        <v>8.32</v>
      </c>
      <c r="BY3430">
        <v>13.6</v>
      </c>
      <c r="BZ3430">
        <v>36.46</v>
      </c>
      <c r="CA3430">
        <v>0.17</v>
      </c>
      <c r="CB3430">
        <v>9.74</v>
      </c>
      <c r="CC3430">
        <v>43.33</v>
      </c>
      <c r="CD3430">
        <v>31.76</v>
      </c>
      <c r="CE3430">
        <v>4.04</v>
      </c>
      <c r="CF3430">
        <v>0.65</v>
      </c>
      <c r="CG3430">
        <v>4.07</v>
      </c>
      <c r="CH3430">
        <v>3.23</v>
      </c>
      <c r="CI3430">
        <v>2.0699999999999998</v>
      </c>
      <c r="CJ3430">
        <v>-0.17</v>
      </c>
      <c r="CK3430">
        <v>2.0099999999999998</v>
      </c>
      <c r="CL3430">
        <v>16.170000000000002</v>
      </c>
      <c r="CM3430">
        <v>-0.76</v>
      </c>
      <c r="CN3430">
        <v>-0.77</v>
      </c>
      <c r="CO3430">
        <v>19426</v>
      </c>
      <c r="CP3430">
        <v>18870</v>
      </c>
      <c r="CQ3430" t="s">
        <v>6637</v>
      </c>
      <c r="CR3430">
        <v>86.1</v>
      </c>
      <c r="CS3430">
        <v>47.25</v>
      </c>
      <c r="CT3430">
        <v>1.84</v>
      </c>
      <c r="CU3430">
        <v>-78.61</v>
      </c>
      <c r="CV3430">
        <v>1.37</v>
      </c>
      <c r="CW3430">
        <v>1.0900000000000001</v>
      </c>
      <c r="CX3430" t="s">
        <v>472</v>
      </c>
      <c r="CY3430">
        <v>5.58</v>
      </c>
      <c r="CZ3430">
        <v>5.58</v>
      </c>
      <c r="DA3430">
        <v>1.68</v>
      </c>
      <c r="DB3430">
        <v>2.79</v>
      </c>
      <c r="DC3430">
        <v>-0.13</v>
      </c>
      <c r="DD3430">
        <v>29.03</v>
      </c>
      <c r="DE3430" t="s">
        <v>11199</v>
      </c>
      <c r="DF3430">
        <v>26.72</v>
      </c>
      <c r="DG3430">
        <v>9.33</v>
      </c>
      <c r="DH3430">
        <v>4.78</v>
      </c>
      <c r="DI3430">
        <v>0.51</v>
      </c>
      <c r="DJ3430">
        <v>3000</v>
      </c>
      <c r="DK3430">
        <v>603108</v>
      </c>
      <c r="DL3430" t="s">
        <v>120</v>
      </c>
      <c r="DM3430" t="s">
        <v>120</v>
      </c>
      <c r="DN3430" t="s">
        <v>120</v>
      </c>
    </row>
    <row r="3431" spans="1:118">
      <c r="A3431" t="str">
        <f>"603109"</f>
        <v>603109</v>
      </c>
      <c r="B3431" t="s">
        <v>14586</v>
      </c>
      <c r="C3431">
        <v>9.59</v>
      </c>
      <c r="D3431">
        <v>0.18</v>
      </c>
      <c r="E3431">
        <v>1.22</v>
      </c>
      <c r="F3431">
        <v>2011</v>
      </c>
      <c r="G3431" t="s">
        <v>12073</v>
      </c>
      <c r="H3431">
        <v>24302.62</v>
      </c>
      <c r="I3431">
        <v>55.38</v>
      </c>
      <c r="J3431" t="s">
        <v>120</v>
      </c>
      <c r="K3431" t="s">
        <v>12073</v>
      </c>
      <c r="L3431">
        <v>18.79</v>
      </c>
      <c r="M3431">
        <v>27.89</v>
      </c>
      <c r="N3431">
        <v>2.77</v>
      </c>
      <c r="O3431">
        <v>10.02</v>
      </c>
      <c r="P3431">
        <v>28</v>
      </c>
      <c r="Q3431">
        <v>1.22</v>
      </c>
      <c r="R3431">
        <v>25.76</v>
      </c>
      <c r="S3431">
        <v>25.76</v>
      </c>
      <c r="T3431">
        <v>87690</v>
      </c>
      <c r="U3431">
        <v>27.89</v>
      </c>
      <c r="V3431">
        <v>25.45</v>
      </c>
      <c r="W3431">
        <v>24.22</v>
      </c>
      <c r="X3431" t="s">
        <v>394</v>
      </c>
      <c r="Y3431" t="s">
        <v>883</v>
      </c>
      <c r="Z3431">
        <v>8.8000000000000007</v>
      </c>
      <c r="AA3431">
        <v>27.71</v>
      </c>
      <c r="AB3431">
        <v>56030</v>
      </c>
      <c r="AC3431">
        <v>31660</v>
      </c>
      <c r="AD3431">
        <v>1.77</v>
      </c>
      <c r="AE3431">
        <v>13</v>
      </c>
      <c r="AF3431">
        <v>175</v>
      </c>
      <c r="AG3431" t="s">
        <v>120</v>
      </c>
      <c r="AH3431">
        <v>0.05</v>
      </c>
      <c r="AI3431" t="s">
        <v>120</v>
      </c>
      <c r="AJ3431">
        <v>0.47</v>
      </c>
      <c r="AK3431" t="s">
        <v>13555</v>
      </c>
      <c r="AL3431">
        <v>10.93</v>
      </c>
      <c r="AM3431">
        <v>1740</v>
      </c>
      <c r="AN3431">
        <v>50</v>
      </c>
      <c r="AO3431">
        <v>1.0800000000000001E-2</v>
      </c>
      <c r="AP3431">
        <v>3</v>
      </c>
      <c r="AQ3431">
        <v>4.6500000000000004</v>
      </c>
      <c r="AR3431">
        <v>15.77</v>
      </c>
      <c r="AS3431">
        <v>25.97</v>
      </c>
      <c r="AT3431">
        <v>18.579999999999998</v>
      </c>
      <c r="AU3431">
        <v>19.7</v>
      </c>
      <c r="AV3431">
        <v>3</v>
      </c>
      <c r="AW3431">
        <v>18.79</v>
      </c>
      <c r="AX3431">
        <v>31.82</v>
      </c>
      <c r="AY3431">
        <v>26.74</v>
      </c>
      <c r="AZ3431">
        <v>35.270000000000003</v>
      </c>
      <c r="BA3431">
        <v>0.73</v>
      </c>
      <c r="BB3431" t="s">
        <v>168</v>
      </c>
      <c r="BF3431">
        <v>8.9</v>
      </c>
      <c r="BG3431">
        <v>8.27</v>
      </c>
      <c r="BH3431">
        <v>-0.39</v>
      </c>
      <c r="BI3431">
        <v>8.27</v>
      </c>
      <c r="BJ3431">
        <v>20210824</v>
      </c>
      <c r="BK3431">
        <v>20191231</v>
      </c>
      <c r="BL3431">
        <v>1.47</v>
      </c>
      <c r="BM3431" t="s">
        <v>120</v>
      </c>
      <c r="BN3431" t="s">
        <v>120</v>
      </c>
      <c r="BO3431">
        <v>23.54</v>
      </c>
      <c r="BP3431">
        <v>27.87</v>
      </c>
      <c r="BQ3431">
        <v>13.66</v>
      </c>
      <c r="BR3431" t="s">
        <v>120</v>
      </c>
      <c r="BS3431">
        <v>41.95</v>
      </c>
      <c r="BT3431">
        <v>19.829999999999998</v>
      </c>
      <c r="BU3431">
        <v>1.62</v>
      </c>
      <c r="BV3431">
        <v>1.67</v>
      </c>
      <c r="BW3431">
        <v>7.21</v>
      </c>
      <c r="BX3431">
        <v>4.67</v>
      </c>
      <c r="BY3431">
        <v>4.04</v>
      </c>
      <c r="BZ3431">
        <v>5.07</v>
      </c>
      <c r="CA3431">
        <v>0</v>
      </c>
      <c r="CB3431">
        <v>6.54</v>
      </c>
      <c r="CC3431">
        <v>11.52</v>
      </c>
      <c r="CD3431">
        <v>8.7899999999999991</v>
      </c>
      <c r="CE3431">
        <v>0.96</v>
      </c>
      <c r="CF3431">
        <v>0.1</v>
      </c>
      <c r="CG3431">
        <v>0.96</v>
      </c>
      <c r="CH3431">
        <v>0.84</v>
      </c>
      <c r="CI3431">
        <v>0.84</v>
      </c>
      <c r="CJ3431">
        <v>2.44</v>
      </c>
      <c r="CK3431">
        <v>0.71</v>
      </c>
      <c r="CL3431">
        <v>5.46</v>
      </c>
      <c r="CM3431">
        <v>-1.77</v>
      </c>
      <c r="CN3431">
        <v>-0.31</v>
      </c>
      <c r="CO3431">
        <v>15996</v>
      </c>
      <c r="CP3431">
        <v>2918</v>
      </c>
      <c r="CQ3431" t="s">
        <v>5202</v>
      </c>
      <c r="CR3431">
        <v>66.650000000000006</v>
      </c>
      <c r="CS3431">
        <v>86.93</v>
      </c>
      <c r="CT3431">
        <v>2.99</v>
      </c>
      <c r="CU3431">
        <v>-23.09</v>
      </c>
      <c r="CV3431">
        <v>3.55</v>
      </c>
      <c r="CW3431">
        <v>0.98</v>
      </c>
      <c r="CX3431" t="s">
        <v>12707</v>
      </c>
      <c r="CY3431">
        <v>9.31</v>
      </c>
      <c r="CZ3431">
        <v>0</v>
      </c>
      <c r="DA3431">
        <v>4.46</v>
      </c>
      <c r="DB3431">
        <v>3.72</v>
      </c>
      <c r="DC3431">
        <v>-1.21</v>
      </c>
      <c r="DD3431">
        <v>58.05</v>
      </c>
      <c r="DE3431" t="s">
        <v>9543</v>
      </c>
      <c r="DF3431">
        <v>23.67</v>
      </c>
      <c r="DG3431">
        <v>8.36</v>
      </c>
      <c r="DH3431">
        <v>7.33</v>
      </c>
      <c r="DI3431">
        <v>0.28000000000000003</v>
      </c>
      <c r="DJ3431">
        <v>1935</v>
      </c>
      <c r="DK3431">
        <v>603109</v>
      </c>
      <c r="DL3431" t="s">
        <v>120</v>
      </c>
      <c r="DM3431" t="s">
        <v>120</v>
      </c>
      <c r="DN3431" t="s">
        <v>120</v>
      </c>
    </row>
    <row r="3432" spans="1:118">
      <c r="A3432" t="str">
        <f>"603110"</f>
        <v>603110</v>
      </c>
      <c r="B3432" t="s">
        <v>14587</v>
      </c>
      <c r="C3432">
        <v>3.61</v>
      </c>
      <c r="D3432">
        <v>0.37</v>
      </c>
      <c r="E3432">
        <v>2.29</v>
      </c>
      <c r="F3432">
        <v>240</v>
      </c>
      <c r="G3432" t="s">
        <v>14588</v>
      </c>
      <c r="H3432">
        <v>12381.21</v>
      </c>
      <c r="I3432">
        <v>110.77</v>
      </c>
      <c r="J3432" t="s">
        <v>120</v>
      </c>
      <c r="K3432" t="s">
        <v>14589</v>
      </c>
      <c r="L3432">
        <v>1.92</v>
      </c>
      <c r="M3432">
        <v>32.15</v>
      </c>
      <c r="N3432">
        <v>2.64</v>
      </c>
      <c r="O3432">
        <v>6.03</v>
      </c>
      <c r="P3432">
        <v>32.9</v>
      </c>
      <c r="Q3432">
        <v>0.23</v>
      </c>
      <c r="R3432">
        <v>31.1</v>
      </c>
      <c r="S3432">
        <v>31.74</v>
      </c>
      <c r="T3432">
        <v>38712</v>
      </c>
      <c r="U3432">
        <v>32.15</v>
      </c>
      <c r="V3432">
        <v>31.03</v>
      </c>
      <c r="W3432">
        <v>63.03</v>
      </c>
      <c r="X3432" t="s">
        <v>1145</v>
      </c>
      <c r="Y3432" t="s">
        <v>585</v>
      </c>
      <c r="Z3432">
        <v>5.8</v>
      </c>
      <c r="AA3432">
        <v>31.98</v>
      </c>
      <c r="AB3432">
        <v>18854</v>
      </c>
      <c r="AC3432">
        <v>19858</v>
      </c>
      <c r="AD3432">
        <v>0.95</v>
      </c>
      <c r="AE3432">
        <v>3</v>
      </c>
      <c r="AF3432">
        <v>0</v>
      </c>
      <c r="AG3432" t="s">
        <v>120</v>
      </c>
      <c r="AH3432">
        <v>0.04</v>
      </c>
      <c r="AI3432" t="s">
        <v>120</v>
      </c>
      <c r="AJ3432">
        <v>2.0099999999999998</v>
      </c>
      <c r="AK3432" t="s">
        <v>14589</v>
      </c>
      <c r="AL3432">
        <v>4.95</v>
      </c>
      <c r="AM3432">
        <v>2300</v>
      </c>
      <c r="AN3432">
        <v>17</v>
      </c>
      <c r="AO3432">
        <v>8.0000000000000004E-4</v>
      </c>
      <c r="AP3432">
        <v>3</v>
      </c>
      <c r="AQ3432">
        <v>10</v>
      </c>
      <c r="AR3432">
        <v>14.05</v>
      </c>
      <c r="AS3432">
        <v>9.9499999999999993</v>
      </c>
      <c r="AT3432">
        <v>-0.71</v>
      </c>
      <c r="AU3432">
        <v>57.43</v>
      </c>
      <c r="AV3432">
        <v>9</v>
      </c>
      <c r="AW3432">
        <v>4.0999999999999996</v>
      </c>
      <c r="AX3432">
        <v>46.92</v>
      </c>
      <c r="AY3432">
        <v>86.33</v>
      </c>
      <c r="AZ3432">
        <v>125.44</v>
      </c>
      <c r="BA3432">
        <v>0.66</v>
      </c>
      <c r="BB3432" t="s">
        <v>700</v>
      </c>
      <c r="BF3432">
        <v>3.07</v>
      </c>
      <c r="BG3432">
        <v>1.29</v>
      </c>
      <c r="BH3432">
        <v>-2.2799999999999998</v>
      </c>
      <c r="BI3432">
        <v>3.38</v>
      </c>
      <c r="BJ3432">
        <v>20210901</v>
      </c>
      <c r="BK3432">
        <v>20171013</v>
      </c>
      <c r="BL3432">
        <v>2.0099999999999998</v>
      </c>
      <c r="BM3432" t="s">
        <v>120</v>
      </c>
      <c r="BN3432" t="s">
        <v>120</v>
      </c>
      <c r="BO3432">
        <v>8.32</v>
      </c>
      <c r="BP3432">
        <v>32.119999999999997</v>
      </c>
      <c r="BQ3432">
        <v>6.79</v>
      </c>
      <c r="BR3432" t="s">
        <v>120</v>
      </c>
      <c r="BS3432">
        <v>18.32</v>
      </c>
      <c r="BT3432">
        <v>6.76</v>
      </c>
      <c r="BU3432">
        <v>1.05</v>
      </c>
      <c r="BV3432">
        <v>0.14000000000000001</v>
      </c>
      <c r="BW3432">
        <v>1.5</v>
      </c>
      <c r="BX3432">
        <v>2.5</v>
      </c>
      <c r="BY3432">
        <v>0.77</v>
      </c>
      <c r="BZ3432">
        <v>1.35</v>
      </c>
      <c r="CA3432" t="s">
        <v>120</v>
      </c>
      <c r="CB3432">
        <v>1.87</v>
      </c>
      <c r="CC3432">
        <v>1.8</v>
      </c>
      <c r="CD3432">
        <v>1.2</v>
      </c>
      <c r="CE3432">
        <v>0.18</v>
      </c>
      <c r="CF3432">
        <v>0.01</v>
      </c>
      <c r="CG3432">
        <v>0.61</v>
      </c>
      <c r="CH3432">
        <v>0.51</v>
      </c>
      <c r="CI3432">
        <v>0.51</v>
      </c>
      <c r="CJ3432">
        <v>1.1200000000000001</v>
      </c>
      <c r="CK3432">
        <v>0.13</v>
      </c>
      <c r="CL3432">
        <v>2.63</v>
      </c>
      <c r="CM3432">
        <v>0.06</v>
      </c>
      <c r="CN3432">
        <v>1.1000000000000001</v>
      </c>
      <c r="CO3432">
        <v>7502</v>
      </c>
      <c r="CP3432">
        <v>12586</v>
      </c>
      <c r="CQ3432" t="s">
        <v>14590</v>
      </c>
      <c r="CR3432">
        <v>78.39</v>
      </c>
      <c r="CS3432">
        <v>0.97</v>
      </c>
      <c r="CT3432">
        <v>9.52</v>
      </c>
      <c r="CU3432">
        <v>1108.69</v>
      </c>
      <c r="CV3432">
        <v>36.04</v>
      </c>
      <c r="CW3432">
        <v>0</v>
      </c>
      <c r="CX3432" t="s">
        <v>670</v>
      </c>
      <c r="CY3432">
        <v>3.38</v>
      </c>
      <c r="CZ3432">
        <v>0</v>
      </c>
      <c r="DA3432">
        <v>0.93</v>
      </c>
      <c r="DB3432">
        <v>1.31</v>
      </c>
      <c r="DC3432">
        <v>0.03</v>
      </c>
      <c r="DD3432">
        <v>81.680000000000007</v>
      </c>
      <c r="DE3432" t="s">
        <v>458</v>
      </c>
      <c r="DF3432">
        <v>33.340000000000003</v>
      </c>
      <c r="DG3432">
        <v>9.91</v>
      </c>
      <c r="DH3432">
        <v>28.58</v>
      </c>
      <c r="DI3432">
        <v>0.09</v>
      </c>
      <c r="DJ3432">
        <v>402</v>
      </c>
      <c r="DK3432">
        <v>603110</v>
      </c>
      <c r="DL3432" t="s">
        <v>120</v>
      </c>
      <c r="DM3432" t="s">
        <v>120</v>
      </c>
      <c r="DN3432" t="s">
        <v>120</v>
      </c>
    </row>
    <row r="3433" spans="1:118">
      <c r="A3433" t="str">
        <f>"603111"</f>
        <v>603111</v>
      </c>
      <c r="B3433" t="s">
        <v>14591</v>
      </c>
      <c r="C3433">
        <v>-0.36</v>
      </c>
      <c r="D3433">
        <v>-0.35</v>
      </c>
      <c r="E3433">
        <v>0</v>
      </c>
      <c r="F3433">
        <v>346</v>
      </c>
      <c r="G3433" t="s">
        <v>3373</v>
      </c>
      <c r="H3433">
        <v>4026.37</v>
      </c>
      <c r="I3433">
        <v>2.06</v>
      </c>
      <c r="J3433" t="s">
        <v>120</v>
      </c>
      <c r="K3433" t="s">
        <v>14592</v>
      </c>
      <c r="L3433">
        <v>0.86</v>
      </c>
      <c r="M3433">
        <v>5.56</v>
      </c>
      <c r="N3433">
        <v>0.95</v>
      </c>
      <c r="O3433">
        <v>2.33</v>
      </c>
      <c r="P3433">
        <v>5.71</v>
      </c>
      <c r="Q3433">
        <v>-0.9</v>
      </c>
      <c r="R3433">
        <v>5.53</v>
      </c>
      <c r="S3433">
        <v>5.58</v>
      </c>
      <c r="T3433">
        <v>71478</v>
      </c>
      <c r="U3433">
        <v>5.57</v>
      </c>
      <c r="V3433">
        <v>5.58</v>
      </c>
      <c r="W3433">
        <v>11.23</v>
      </c>
      <c r="X3433" t="s">
        <v>157</v>
      </c>
      <c r="Y3433" t="s">
        <v>319</v>
      </c>
      <c r="Z3433">
        <v>3.23</v>
      </c>
      <c r="AA3433">
        <v>5.63</v>
      </c>
      <c r="AB3433">
        <v>38865</v>
      </c>
      <c r="AC3433">
        <v>32613</v>
      </c>
      <c r="AD3433">
        <v>1.19</v>
      </c>
      <c r="AE3433">
        <v>443</v>
      </c>
      <c r="AF3433">
        <v>114</v>
      </c>
      <c r="AG3433" t="s">
        <v>120</v>
      </c>
      <c r="AH3433">
        <v>0</v>
      </c>
      <c r="AI3433" t="s">
        <v>120</v>
      </c>
      <c r="AJ3433">
        <v>8.36</v>
      </c>
      <c r="AK3433" t="s">
        <v>14593</v>
      </c>
      <c r="AL3433">
        <v>0.99</v>
      </c>
      <c r="AM3433">
        <v>1551</v>
      </c>
      <c r="AN3433">
        <v>46</v>
      </c>
      <c r="AO3433">
        <v>5.9999999999999995E-4</v>
      </c>
      <c r="AP3433">
        <v>-1</v>
      </c>
      <c r="AQ3433">
        <v>0.9</v>
      </c>
      <c r="AR3433">
        <v>-2.63</v>
      </c>
      <c r="AS3433">
        <v>3.93</v>
      </c>
      <c r="AT3433">
        <v>10.76</v>
      </c>
      <c r="AU3433">
        <v>-0.54</v>
      </c>
      <c r="AV3433">
        <v>1</v>
      </c>
      <c r="AW3433">
        <v>0.95</v>
      </c>
      <c r="AX3433">
        <v>75.599999999999994</v>
      </c>
      <c r="AY3433">
        <v>13.17</v>
      </c>
      <c r="AZ3433">
        <v>12.99</v>
      </c>
      <c r="BA3433">
        <v>0.27</v>
      </c>
      <c r="BB3433" t="s">
        <v>143</v>
      </c>
      <c r="BF3433">
        <v>0.95</v>
      </c>
      <c r="BG3433">
        <v>-0.36</v>
      </c>
      <c r="BH3433">
        <v>-2.63</v>
      </c>
      <c r="BI3433">
        <v>0.54</v>
      </c>
      <c r="BJ3433">
        <v>20210902</v>
      </c>
      <c r="BK3433">
        <v>20140801</v>
      </c>
      <c r="BL3433">
        <v>9.93</v>
      </c>
      <c r="BM3433" t="s">
        <v>120</v>
      </c>
      <c r="BN3433" t="s">
        <v>120</v>
      </c>
      <c r="BO3433">
        <v>55.85</v>
      </c>
      <c r="BP3433">
        <v>5.56</v>
      </c>
      <c r="BQ3433">
        <v>32.14</v>
      </c>
      <c r="BR3433">
        <v>0.83</v>
      </c>
      <c r="BS3433">
        <v>40.96</v>
      </c>
      <c r="BT3433">
        <v>49.51</v>
      </c>
      <c r="BU3433">
        <v>4.57</v>
      </c>
      <c r="BV3433">
        <v>0.73</v>
      </c>
      <c r="BW3433">
        <v>22.25</v>
      </c>
      <c r="BX3433">
        <v>12.44</v>
      </c>
      <c r="BY3433">
        <v>5.84</v>
      </c>
      <c r="BZ3433">
        <v>16.38</v>
      </c>
      <c r="CA3433" t="s">
        <v>120</v>
      </c>
      <c r="CB3433">
        <v>33.71</v>
      </c>
      <c r="CC3433">
        <v>17.29</v>
      </c>
      <c r="CD3433">
        <v>10.76</v>
      </c>
      <c r="CE3433">
        <v>2.66</v>
      </c>
      <c r="CF3433">
        <v>7.0000000000000007E-2</v>
      </c>
      <c r="CG3433">
        <v>2.69</v>
      </c>
      <c r="CH3433">
        <v>2.44</v>
      </c>
      <c r="CI3433">
        <v>2.46</v>
      </c>
      <c r="CJ3433">
        <v>-0.02</v>
      </c>
      <c r="CK3433">
        <v>2.23</v>
      </c>
      <c r="CL3433">
        <v>-12.56</v>
      </c>
      <c r="CM3433">
        <v>-2.88</v>
      </c>
      <c r="CN3433">
        <v>-3.2</v>
      </c>
      <c r="CO3433">
        <v>29319</v>
      </c>
      <c r="CP3433">
        <v>25611</v>
      </c>
      <c r="CQ3433" t="s">
        <v>14594</v>
      </c>
      <c r="CR3433">
        <v>-2.2999999999999998</v>
      </c>
      <c r="CS3433">
        <v>5.32</v>
      </c>
      <c r="CT3433">
        <v>1.72</v>
      </c>
      <c r="CU3433">
        <v>-19.170000000000002</v>
      </c>
      <c r="CV3433">
        <v>3.19</v>
      </c>
      <c r="CW3433">
        <v>0</v>
      </c>
      <c r="CX3433" t="s">
        <v>7899</v>
      </c>
      <c r="CY3433">
        <v>3.24</v>
      </c>
      <c r="CZ3433">
        <v>0</v>
      </c>
      <c r="DA3433">
        <v>3.39</v>
      </c>
      <c r="DB3433">
        <v>-1.26</v>
      </c>
      <c r="DC3433">
        <v>-0.28999999999999998</v>
      </c>
      <c r="DD3433">
        <v>57.55</v>
      </c>
      <c r="DE3433" t="s">
        <v>2103</v>
      </c>
      <c r="DF3433">
        <v>37.79</v>
      </c>
      <c r="DG3433">
        <v>15.4</v>
      </c>
      <c r="DH3433">
        <v>14.22</v>
      </c>
      <c r="DI3433">
        <v>1.34</v>
      </c>
      <c r="DJ3433">
        <v>3356</v>
      </c>
      <c r="DK3433">
        <v>603111</v>
      </c>
      <c r="DL3433" t="s">
        <v>120</v>
      </c>
      <c r="DM3433" t="s">
        <v>120</v>
      </c>
      <c r="DN3433" t="s">
        <v>120</v>
      </c>
    </row>
    <row r="3434" spans="1:118">
      <c r="A3434" t="str">
        <f>"603112"</f>
        <v>603112</v>
      </c>
      <c r="B3434" t="s">
        <v>14595</v>
      </c>
      <c r="C3434">
        <v>1.96</v>
      </c>
      <c r="D3434">
        <v>0</v>
      </c>
      <c r="E3434">
        <v>0.26</v>
      </c>
      <c r="F3434">
        <v>530</v>
      </c>
      <c r="G3434" t="s">
        <v>14596</v>
      </c>
      <c r="H3434">
        <v>4271.57</v>
      </c>
      <c r="I3434">
        <v>10.26</v>
      </c>
      <c r="J3434" t="s">
        <v>120</v>
      </c>
      <c r="K3434" t="s">
        <v>14596</v>
      </c>
      <c r="L3434">
        <v>6.71</v>
      </c>
      <c r="M3434">
        <v>11.99</v>
      </c>
      <c r="N3434">
        <v>1.3</v>
      </c>
      <c r="O3434">
        <v>3.32</v>
      </c>
      <c r="P3434">
        <v>12.15</v>
      </c>
      <c r="Q3434">
        <v>-0.51</v>
      </c>
      <c r="R3434">
        <v>11.7</v>
      </c>
      <c r="S3434">
        <v>11.79</v>
      </c>
      <c r="T3434">
        <v>35696</v>
      </c>
      <c r="U3434">
        <v>11.99</v>
      </c>
      <c r="V3434">
        <v>11.76</v>
      </c>
      <c r="W3434">
        <v>16.48</v>
      </c>
      <c r="X3434" t="s">
        <v>959</v>
      </c>
      <c r="Y3434" t="s">
        <v>667</v>
      </c>
      <c r="Z3434">
        <v>3.83</v>
      </c>
      <c r="AA3434">
        <v>11.97</v>
      </c>
      <c r="AB3434">
        <v>15416</v>
      </c>
      <c r="AC3434">
        <v>20280</v>
      </c>
      <c r="AD3434">
        <v>0.76</v>
      </c>
      <c r="AE3434">
        <v>111</v>
      </c>
      <c r="AF3434">
        <v>443</v>
      </c>
      <c r="AG3434" t="s">
        <v>120</v>
      </c>
      <c r="AH3434">
        <v>0.02</v>
      </c>
      <c r="AI3434" t="s">
        <v>120</v>
      </c>
      <c r="AJ3434">
        <v>0.53</v>
      </c>
      <c r="AK3434" t="s">
        <v>12928</v>
      </c>
      <c r="AL3434">
        <v>3.3</v>
      </c>
      <c r="AM3434">
        <v>1511</v>
      </c>
      <c r="AN3434">
        <v>24</v>
      </c>
      <c r="AO3434">
        <v>4.4000000000000003E-3</v>
      </c>
      <c r="AP3434">
        <v>2</v>
      </c>
      <c r="AQ3434">
        <v>0.43</v>
      </c>
      <c r="AR3434">
        <v>1.1000000000000001</v>
      </c>
      <c r="AS3434">
        <v>-1.4</v>
      </c>
      <c r="AT3434">
        <v>9.9</v>
      </c>
      <c r="AU3434">
        <v>6.77</v>
      </c>
      <c r="AV3434">
        <v>5</v>
      </c>
      <c r="AW3434">
        <v>6.71</v>
      </c>
      <c r="AX3434">
        <v>12.2</v>
      </c>
      <c r="AY3434">
        <v>16.39</v>
      </c>
      <c r="AZ3434">
        <v>20.93</v>
      </c>
      <c r="BA3434">
        <v>0.63</v>
      </c>
      <c r="BB3434" t="s">
        <v>143</v>
      </c>
      <c r="BF3434">
        <v>1.76</v>
      </c>
      <c r="BG3434">
        <v>1.7</v>
      </c>
      <c r="BH3434">
        <v>-1.32</v>
      </c>
      <c r="BI3434">
        <v>2.48</v>
      </c>
      <c r="BJ3434">
        <v>20210819</v>
      </c>
      <c r="BK3434">
        <v>20200917</v>
      </c>
      <c r="BL3434">
        <v>4.3600000000000003</v>
      </c>
      <c r="BM3434" t="s">
        <v>120</v>
      </c>
      <c r="BN3434" t="s">
        <v>120</v>
      </c>
      <c r="BO3434">
        <v>36.409999999999997</v>
      </c>
      <c r="BP3434">
        <v>11.98</v>
      </c>
      <c r="BQ3434">
        <v>18.71</v>
      </c>
      <c r="BR3434">
        <v>2.06</v>
      </c>
      <c r="BS3434">
        <v>42.94</v>
      </c>
      <c r="BT3434">
        <v>21.9</v>
      </c>
      <c r="BU3434">
        <v>11.09</v>
      </c>
      <c r="BV3434">
        <v>1.65</v>
      </c>
      <c r="BW3434">
        <v>9.16</v>
      </c>
      <c r="BX3434">
        <v>4.2699999999999996</v>
      </c>
      <c r="BY3434">
        <v>4.95</v>
      </c>
      <c r="BZ3434">
        <v>6.4</v>
      </c>
      <c r="CA3434" t="s">
        <v>120</v>
      </c>
      <c r="CB3434">
        <v>8.59</v>
      </c>
      <c r="CC3434">
        <v>14.83</v>
      </c>
      <c r="CD3434">
        <v>11.63</v>
      </c>
      <c r="CE3434">
        <v>1.88</v>
      </c>
      <c r="CF3434">
        <v>0.02</v>
      </c>
      <c r="CG3434">
        <v>1.88</v>
      </c>
      <c r="CH3434">
        <v>1.58</v>
      </c>
      <c r="CI3434">
        <v>1.59</v>
      </c>
      <c r="CJ3434">
        <v>0.23</v>
      </c>
      <c r="CK3434">
        <v>1.42</v>
      </c>
      <c r="CL3434">
        <v>5.62</v>
      </c>
      <c r="CM3434">
        <v>-0.12</v>
      </c>
      <c r="CN3434">
        <v>-0.41</v>
      </c>
      <c r="CO3434">
        <v>17705</v>
      </c>
      <c r="CP3434">
        <v>3005</v>
      </c>
      <c r="CQ3434" t="s">
        <v>14597</v>
      </c>
      <c r="CR3434">
        <v>74.790000000000006</v>
      </c>
      <c r="CS3434">
        <v>68.95</v>
      </c>
      <c r="CT3434">
        <v>2.79</v>
      </c>
      <c r="CU3434">
        <v>-437.26</v>
      </c>
      <c r="CV3434">
        <v>3.53</v>
      </c>
      <c r="CW3434">
        <v>1.45</v>
      </c>
      <c r="CX3434" t="s">
        <v>709</v>
      </c>
      <c r="CY3434">
        <v>4.29</v>
      </c>
      <c r="CZ3434">
        <v>0</v>
      </c>
      <c r="DA3434">
        <v>1.97</v>
      </c>
      <c r="DB3434">
        <v>1.29</v>
      </c>
      <c r="DC3434">
        <v>-0.03</v>
      </c>
      <c r="DD3434">
        <v>51.4</v>
      </c>
      <c r="DE3434" t="s">
        <v>6294</v>
      </c>
      <c r="DF3434">
        <v>21.58</v>
      </c>
      <c r="DG3434">
        <v>12.65</v>
      </c>
      <c r="DH3434">
        <v>10.7</v>
      </c>
      <c r="DI3434">
        <v>0.55000000000000004</v>
      </c>
      <c r="DJ3434">
        <v>4381</v>
      </c>
      <c r="DK3434">
        <v>603112</v>
      </c>
      <c r="DL3434" t="s">
        <v>120</v>
      </c>
      <c r="DM3434" t="s">
        <v>120</v>
      </c>
      <c r="DN3434" t="s">
        <v>120</v>
      </c>
    </row>
    <row r="3435" spans="1:118">
      <c r="A3435" t="str">
        <f>"603113"</f>
        <v>603113</v>
      </c>
      <c r="B3435" t="s">
        <v>14598</v>
      </c>
      <c r="C3435">
        <v>1.65</v>
      </c>
      <c r="D3435">
        <v>-0.32</v>
      </c>
      <c r="E3435">
        <v>4.47</v>
      </c>
      <c r="F3435">
        <v>1669</v>
      </c>
      <c r="G3435" t="s">
        <v>12092</v>
      </c>
      <c r="H3435">
        <v>57212.480000000003</v>
      </c>
      <c r="I3435">
        <v>944.92</v>
      </c>
      <c r="J3435" t="s">
        <v>120</v>
      </c>
      <c r="K3435" t="s">
        <v>14599</v>
      </c>
      <c r="L3435">
        <v>3.69</v>
      </c>
      <c r="M3435">
        <v>20.91</v>
      </c>
      <c r="N3435">
        <v>1.18</v>
      </c>
      <c r="O3435">
        <v>8.1199999999999992</v>
      </c>
      <c r="P3435">
        <v>22.24</v>
      </c>
      <c r="Q3435">
        <v>1.1200000000000001</v>
      </c>
      <c r="R3435">
        <v>20.8</v>
      </c>
      <c r="S3435">
        <v>21.49</v>
      </c>
      <c r="T3435">
        <v>265977</v>
      </c>
      <c r="U3435">
        <v>20.95</v>
      </c>
      <c r="V3435">
        <v>20.57</v>
      </c>
      <c r="W3435">
        <v>9.66</v>
      </c>
      <c r="X3435" t="s">
        <v>1754</v>
      </c>
      <c r="Y3435" t="s">
        <v>638</v>
      </c>
      <c r="Z3435">
        <v>7</v>
      </c>
      <c r="AA3435">
        <v>21.51</v>
      </c>
      <c r="AB3435">
        <v>120936</v>
      </c>
      <c r="AC3435">
        <v>145041</v>
      </c>
      <c r="AD3435">
        <v>0.83</v>
      </c>
      <c r="AE3435">
        <v>128</v>
      </c>
      <c r="AF3435">
        <v>2</v>
      </c>
      <c r="AG3435" t="s">
        <v>120</v>
      </c>
      <c r="AH3435">
        <v>0.12</v>
      </c>
      <c r="AI3435" t="s">
        <v>120</v>
      </c>
      <c r="AJ3435">
        <v>7.21</v>
      </c>
      <c r="AK3435" t="s">
        <v>14600</v>
      </c>
      <c r="AL3435">
        <v>3</v>
      </c>
      <c r="AM3435">
        <v>4323</v>
      </c>
      <c r="AN3435">
        <v>62</v>
      </c>
      <c r="AO3435">
        <v>8.9999999999999998E-4</v>
      </c>
      <c r="AP3435">
        <v>1</v>
      </c>
      <c r="AQ3435">
        <v>-0.68</v>
      </c>
      <c r="AR3435">
        <v>-3.69</v>
      </c>
      <c r="AS3435">
        <v>13.95</v>
      </c>
      <c r="AT3435">
        <v>18.47</v>
      </c>
      <c r="AU3435">
        <v>30.67</v>
      </c>
      <c r="AV3435">
        <v>6</v>
      </c>
      <c r="AW3435">
        <v>6.96</v>
      </c>
      <c r="AX3435">
        <v>44.85</v>
      </c>
      <c r="AY3435">
        <v>12.67</v>
      </c>
      <c r="AZ3435">
        <v>19.71</v>
      </c>
      <c r="BA3435">
        <v>1.5</v>
      </c>
      <c r="BB3435" t="s">
        <v>143</v>
      </c>
      <c r="BF3435">
        <v>4.57</v>
      </c>
      <c r="BG3435">
        <v>-2.7</v>
      </c>
      <c r="BH3435">
        <v>-5.98</v>
      </c>
      <c r="BI3435">
        <v>0.53</v>
      </c>
      <c r="BJ3435">
        <v>20210914</v>
      </c>
      <c r="BK3435">
        <v>20170511</v>
      </c>
      <c r="BL3435">
        <v>8.52</v>
      </c>
      <c r="BM3435" t="s">
        <v>120</v>
      </c>
      <c r="BN3435" t="s">
        <v>120</v>
      </c>
      <c r="BO3435">
        <v>127.93</v>
      </c>
      <c r="BP3435">
        <v>20.91</v>
      </c>
      <c r="BQ3435">
        <v>87.1</v>
      </c>
      <c r="BR3435" t="s">
        <v>120</v>
      </c>
      <c r="BS3435">
        <v>31.91</v>
      </c>
      <c r="BT3435">
        <v>47.36</v>
      </c>
      <c r="BU3435">
        <v>23.14</v>
      </c>
      <c r="BV3435">
        <v>9.3800000000000008</v>
      </c>
      <c r="BW3435">
        <v>29.76</v>
      </c>
      <c r="BX3435">
        <v>8.5500000000000007</v>
      </c>
      <c r="BY3435">
        <v>6.04</v>
      </c>
      <c r="BZ3435">
        <v>4.5</v>
      </c>
      <c r="CA3435" t="s">
        <v>120</v>
      </c>
      <c r="CB3435">
        <v>30.99</v>
      </c>
      <c r="CC3435">
        <v>52.12</v>
      </c>
      <c r="CD3435">
        <v>39.619999999999997</v>
      </c>
      <c r="CE3435">
        <v>10.84</v>
      </c>
      <c r="CF3435">
        <v>0.11</v>
      </c>
      <c r="CG3435">
        <v>10.97</v>
      </c>
      <c r="CH3435">
        <v>9.23</v>
      </c>
      <c r="CI3435">
        <v>9.23</v>
      </c>
      <c r="CJ3435">
        <v>0.34</v>
      </c>
      <c r="CK3435">
        <v>8.69</v>
      </c>
      <c r="CL3435">
        <v>41.26</v>
      </c>
      <c r="CM3435">
        <v>13.07</v>
      </c>
      <c r="CN3435">
        <v>4.8499999999999996</v>
      </c>
      <c r="CO3435">
        <v>30478</v>
      </c>
      <c r="CP3435">
        <v>12538</v>
      </c>
      <c r="CQ3435" t="s">
        <v>14601</v>
      </c>
      <c r="CR3435">
        <v>115.15</v>
      </c>
      <c r="CS3435">
        <v>40.340000000000003</v>
      </c>
      <c r="CT3435">
        <v>2.1</v>
      </c>
      <c r="CU3435">
        <v>13.63</v>
      </c>
      <c r="CV3435">
        <v>3.42</v>
      </c>
      <c r="CW3435">
        <v>1.68</v>
      </c>
      <c r="CX3435" t="s">
        <v>11033</v>
      </c>
      <c r="CY3435">
        <v>9.93</v>
      </c>
      <c r="CZ3435">
        <v>9.93</v>
      </c>
      <c r="DA3435">
        <v>3.64</v>
      </c>
      <c r="DB3435">
        <v>4.84</v>
      </c>
      <c r="DC3435">
        <v>1.53</v>
      </c>
      <c r="DD3435">
        <v>68.09</v>
      </c>
      <c r="DE3435" t="s">
        <v>14602</v>
      </c>
      <c r="DF3435">
        <v>23.98</v>
      </c>
      <c r="DG3435">
        <v>20.8</v>
      </c>
      <c r="DH3435">
        <v>17.7</v>
      </c>
      <c r="DI3435">
        <v>0.37</v>
      </c>
      <c r="DJ3435">
        <v>2920</v>
      </c>
      <c r="DK3435">
        <v>603113</v>
      </c>
      <c r="DL3435" t="s">
        <v>120</v>
      </c>
      <c r="DM3435" t="s">
        <v>120</v>
      </c>
      <c r="DN3435" t="s">
        <v>120</v>
      </c>
    </row>
    <row r="3436" spans="1:118">
      <c r="A3436" t="str">
        <f>"603115"</f>
        <v>603115</v>
      </c>
      <c r="B3436" t="s">
        <v>14603</v>
      </c>
      <c r="C3436">
        <v>5.14</v>
      </c>
      <c r="D3436">
        <v>0.55000000000000004</v>
      </c>
      <c r="E3436">
        <v>2.79</v>
      </c>
      <c r="F3436">
        <v>788</v>
      </c>
      <c r="G3436" t="s">
        <v>14604</v>
      </c>
      <c r="H3436">
        <v>37169.269999999997</v>
      </c>
      <c r="I3436">
        <v>234.29</v>
      </c>
      <c r="J3436" t="s">
        <v>120</v>
      </c>
      <c r="K3436" t="s">
        <v>14604</v>
      </c>
      <c r="L3436">
        <v>29.59</v>
      </c>
      <c r="M3436">
        <v>23.75</v>
      </c>
      <c r="N3436">
        <v>2.17</v>
      </c>
      <c r="O3436">
        <v>10</v>
      </c>
      <c r="P3436">
        <v>24.85</v>
      </c>
      <c r="Q3436">
        <v>0.49</v>
      </c>
      <c r="R3436">
        <v>22.7</v>
      </c>
      <c r="S3436">
        <v>23.22</v>
      </c>
      <c r="T3436">
        <v>153846</v>
      </c>
      <c r="U3436">
        <v>23.77</v>
      </c>
      <c r="V3436">
        <v>22.59</v>
      </c>
      <c r="W3436">
        <v>28.49</v>
      </c>
      <c r="X3436" t="s">
        <v>229</v>
      </c>
      <c r="Y3436" t="s">
        <v>319</v>
      </c>
      <c r="Z3436">
        <v>9.52</v>
      </c>
      <c r="AA3436">
        <v>24.16</v>
      </c>
      <c r="AB3436">
        <v>86054</v>
      </c>
      <c r="AC3436">
        <v>67792</v>
      </c>
      <c r="AD3436">
        <v>1.27</v>
      </c>
      <c r="AE3436">
        <v>525</v>
      </c>
      <c r="AF3436">
        <v>1</v>
      </c>
      <c r="AG3436" t="s">
        <v>120</v>
      </c>
      <c r="AH3436">
        <v>0.19</v>
      </c>
      <c r="AI3436" t="s">
        <v>120</v>
      </c>
      <c r="AJ3436">
        <v>0.52</v>
      </c>
      <c r="AK3436" t="s">
        <v>14605</v>
      </c>
      <c r="AL3436">
        <v>6.48</v>
      </c>
      <c r="AM3436">
        <v>3096</v>
      </c>
      <c r="AN3436">
        <v>50</v>
      </c>
      <c r="AO3436">
        <v>9.5999999999999992E-3</v>
      </c>
      <c r="AP3436">
        <v>2</v>
      </c>
      <c r="AQ3436">
        <v>1.48</v>
      </c>
      <c r="AR3436">
        <v>5.31</v>
      </c>
      <c r="AS3436">
        <v>17.57</v>
      </c>
      <c r="AT3436">
        <v>67.72</v>
      </c>
      <c r="AU3436">
        <v>64.47</v>
      </c>
      <c r="AV3436">
        <v>10</v>
      </c>
      <c r="AW3436">
        <v>29.59</v>
      </c>
      <c r="AX3436">
        <v>25</v>
      </c>
      <c r="AY3436">
        <v>29.92</v>
      </c>
      <c r="AZ3436">
        <v>37.36</v>
      </c>
      <c r="BA3436">
        <v>0.87</v>
      </c>
      <c r="BB3436" t="s">
        <v>143</v>
      </c>
      <c r="BF3436">
        <v>6.95</v>
      </c>
      <c r="BG3436">
        <v>2.2799999999999998</v>
      </c>
      <c r="BH3436">
        <v>-4.43</v>
      </c>
      <c r="BI3436">
        <v>4.63</v>
      </c>
      <c r="BJ3436">
        <v>20210810</v>
      </c>
      <c r="BK3436">
        <v>20190809</v>
      </c>
      <c r="BL3436">
        <v>2.08</v>
      </c>
      <c r="BM3436" t="s">
        <v>120</v>
      </c>
      <c r="BN3436" t="s">
        <v>120</v>
      </c>
      <c r="BO3436">
        <v>15.51</v>
      </c>
      <c r="BP3436">
        <v>23.75</v>
      </c>
      <c r="BQ3436">
        <v>11.65</v>
      </c>
      <c r="BR3436">
        <v>0.12</v>
      </c>
      <c r="BS3436">
        <v>24.09</v>
      </c>
      <c r="BT3436">
        <v>10.3</v>
      </c>
      <c r="BU3436">
        <v>4.1500000000000004</v>
      </c>
      <c r="BV3436">
        <v>0.37</v>
      </c>
      <c r="BW3436">
        <v>3.46</v>
      </c>
      <c r="BX3436">
        <v>2.62</v>
      </c>
      <c r="BY3436">
        <v>0.95</v>
      </c>
      <c r="BZ3436">
        <v>3.44</v>
      </c>
      <c r="CA3436" t="s">
        <v>120</v>
      </c>
      <c r="CB3436">
        <v>4.5599999999999996</v>
      </c>
      <c r="CC3436">
        <v>7.77</v>
      </c>
      <c r="CD3436">
        <v>5.83</v>
      </c>
      <c r="CE3436">
        <v>1.01</v>
      </c>
      <c r="CF3436">
        <v>0.01</v>
      </c>
      <c r="CG3436">
        <v>1.01</v>
      </c>
      <c r="CH3436">
        <v>0.87</v>
      </c>
      <c r="CI3436">
        <v>0.87</v>
      </c>
      <c r="CJ3436">
        <v>1.1599999999999999</v>
      </c>
      <c r="CK3436">
        <v>0.81</v>
      </c>
      <c r="CL3436">
        <v>4.41</v>
      </c>
      <c r="CM3436">
        <v>0.7</v>
      </c>
      <c r="CN3436">
        <v>-0.71</v>
      </c>
      <c r="CO3436">
        <v>13878</v>
      </c>
      <c r="CP3436">
        <v>3747</v>
      </c>
      <c r="CQ3436" t="s">
        <v>4626</v>
      </c>
      <c r="CR3436">
        <v>56.46</v>
      </c>
      <c r="CS3436">
        <v>44.04</v>
      </c>
      <c r="CT3436">
        <v>4.24</v>
      </c>
      <c r="CU3436">
        <v>70.11</v>
      </c>
      <c r="CV3436">
        <v>6.36</v>
      </c>
      <c r="CW3436">
        <v>3.32</v>
      </c>
      <c r="CX3436" t="s">
        <v>1327</v>
      </c>
      <c r="CY3436">
        <v>5.6</v>
      </c>
      <c r="CZ3436">
        <v>0</v>
      </c>
      <c r="DA3436">
        <v>2.19</v>
      </c>
      <c r="DB3436">
        <v>2.12</v>
      </c>
      <c r="DC3436">
        <v>0.34</v>
      </c>
      <c r="DD3436">
        <v>75.11</v>
      </c>
      <c r="DE3436" t="s">
        <v>4803</v>
      </c>
      <c r="DF3436">
        <v>25</v>
      </c>
      <c r="DG3436">
        <v>12.98</v>
      </c>
      <c r="DH3436">
        <v>11.16</v>
      </c>
      <c r="DI3436">
        <v>0.45</v>
      </c>
      <c r="DJ3436">
        <v>736</v>
      </c>
      <c r="DK3436">
        <v>603115</v>
      </c>
      <c r="DL3436">
        <v>20210812</v>
      </c>
      <c r="DM3436">
        <v>23.66</v>
      </c>
      <c r="DN3436">
        <v>0.38</v>
      </c>
    </row>
    <row r="3437" spans="1:118">
      <c r="A3437" t="str">
        <f>"603116"</f>
        <v>603116</v>
      </c>
      <c r="B3437" t="s">
        <v>14606</v>
      </c>
      <c r="C3437">
        <v>-0.33</v>
      </c>
      <c r="D3437">
        <v>0</v>
      </c>
      <c r="E3437">
        <v>0.16</v>
      </c>
      <c r="F3437">
        <v>355</v>
      </c>
      <c r="G3437" t="s">
        <v>9522</v>
      </c>
      <c r="H3437">
        <v>1476.08</v>
      </c>
      <c r="I3437">
        <v>0.18</v>
      </c>
      <c r="J3437" t="s">
        <v>120</v>
      </c>
      <c r="K3437" t="s">
        <v>5123</v>
      </c>
      <c r="L3437">
        <v>0.42</v>
      </c>
      <c r="M3437">
        <v>6.09</v>
      </c>
      <c r="N3437">
        <v>0.87</v>
      </c>
      <c r="O3437">
        <v>1.96</v>
      </c>
      <c r="P3437">
        <v>6.23</v>
      </c>
      <c r="Q3437">
        <v>-0.49</v>
      </c>
      <c r="R3437">
        <v>6.08</v>
      </c>
      <c r="S3437">
        <v>6.12</v>
      </c>
      <c r="T3437">
        <v>23988</v>
      </c>
      <c r="U3437">
        <v>6.09</v>
      </c>
      <c r="V3437">
        <v>6.11</v>
      </c>
      <c r="W3437">
        <v>67.47</v>
      </c>
      <c r="X3437" t="s">
        <v>2806</v>
      </c>
      <c r="Y3437" t="s">
        <v>585</v>
      </c>
      <c r="Z3437">
        <v>2.4500000000000002</v>
      </c>
      <c r="AA3437">
        <v>6.15</v>
      </c>
      <c r="AB3437">
        <v>13287</v>
      </c>
      <c r="AC3437">
        <v>10701</v>
      </c>
      <c r="AD3437">
        <v>1.24</v>
      </c>
      <c r="AE3437">
        <v>258</v>
      </c>
      <c r="AF3437">
        <v>100</v>
      </c>
      <c r="AG3437" t="s">
        <v>120</v>
      </c>
      <c r="AH3437">
        <v>0</v>
      </c>
      <c r="AI3437" t="s">
        <v>120</v>
      </c>
      <c r="AJ3437">
        <v>5.76</v>
      </c>
      <c r="AK3437" t="s">
        <v>5123</v>
      </c>
      <c r="AL3437">
        <v>1.02</v>
      </c>
      <c r="AM3437">
        <v>1102</v>
      </c>
      <c r="AN3437">
        <v>22</v>
      </c>
      <c r="AO3437">
        <v>4.0000000000000002E-4</v>
      </c>
      <c r="AP3437">
        <v>-1</v>
      </c>
      <c r="AQ3437">
        <v>0.66</v>
      </c>
      <c r="AR3437">
        <v>-2.4</v>
      </c>
      <c r="AS3437">
        <v>4.28</v>
      </c>
      <c r="AT3437">
        <v>-21.42</v>
      </c>
      <c r="AU3437">
        <v>6.84</v>
      </c>
      <c r="AV3437">
        <v>3</v>
      </c>
      <c r="AW3437">
        <v>1</v>
      </c>
      <c r="AX3437">
        <v>41.66</v>
      </c>
      <c r="AY3437">
        <v>52.67</v>
      </c>
      <c r="AZ3437">
        <v>44.79</v>
      </c>
      <c r="BA3437">
        <v>0.84</v>
      </c>
      <c r="BB3437" t="s">
        <v>143</v>
      </c>
      <c r="BF3437">
        <v>0.71</v>
      </c>
      <c r="BG3437">
        <v>-0.49</v>
      </c>
      <c r="BH3437">
        <v>-2.25</v>
      </c>
      <c r="BI3437">
        <v>0.16</v>
      </c>
      <c r="BJ3437">
        <v>20210831</v>
      </c>
      <c r="BK3437">
        <v>20150629</v>
      </c>
      <c r="BL3437">
        <v>5.76</v>
      </c>
      <c r="BM3437" t="s">
        <v>120</v>
      </c>
      <c r="BN3437" t="s">
        <v>120</v>
      </c>
      <c r="BO3437">
        <v>44.56</v>
      </c>
      <c r="BP3437">
        <v>6.08</v>
      </c>
      <c r="BQ3437">
        <v>32.92</v>
      </c>
      <c r="BR3437">
        <v>1.1599999999999999</v>
      </c>
      <c r="BS3437">
        <v>23.54</v>
      </c>
      <c r="BT3437">
        <v>32.33</v>
      </c>
      <c r="BU3437">
        <v>5.73</v>
      </c>
      <c r="BV3437">
        <v>0.6</v>
      </c>
      <c r="BW3437">
        <v>10.39</v>
      </c>
      <c r="BX3437">
        <v>5.92</v>
      </c>
      <c r="BY3437">
        <v>6.4</v>
      </c>
      <c r="BZ3437">
        <v>7.88</v>
      </c>
      <c r="CA3437">
        <v>0.04</v>
      </c>
      <c r="CB3437">
        <v>8.11</v>
      </c>
      <c r="CC3437">
        <v>12.01</v>
      </c>
      <c r="CD3437">
        <v>8.11</v>
      </c>
      <c r="CE3437">
        <v>0.37</v>
      </c>
      <c r="CF3437">
        <v>0.19</v>
      </c>
      <c r="CG3437">
        <v>0.47</v>
      </c>
      <c r="CH3437">
        <v>0.24</v>
      </c>
      <c r="CI3437">
        <v>0.26</v>
      </c>
      <c r="CJ3437">
        <v>-0.02</v>
      </c>
      <c r="CK3437">
        <v>0.01</v>
      </c>
      <c r="CL3437">
        <v>19.41</v>
      </c>
      <c r="CM3437">
        <v>-1.1100000000000001</v>
      </c>
      <c r="CN3437">
        <v>-4.16</v>
      </c>
      <c r="CO3437">
        <v>20275</v>
      </c>
      <c r="CP3437">
        <v>11841</v>
      </c>
      <c r="CQ3437" t="s">
        <v>8979</v>
      </c>
      <c r="CR3437">
        <v>-31.16</v>
      </c>
      <c r="CS3437">
        <v>16.670000000000002</v>
      </c>
      <c r="CT3437">
        <v>1.07</v>
      </c>
      <c r="CU3437">
        <v>-31.71</v>
      </c>
      <c r="CV3437">
        <v>2.92</v>
      </c>
      <c r="CW3437">
        <v>4.2699999999999996</v>
      </c>
      <c r="CX3437" t="s">
        <v>1248</v>
      </c>
      <c r="CY3437">
        <v>5.71</v>
      </c>
      <c r="CZ3437">
        <v>0</v>
      </c>
      <c r="DA3437">
        <v>1.41</v>
      </c>
      <c r="DB3437">
        <v>3.37</v>
      </c>
      <c r="DC3437">
        <v>-0.19</v>
      </c>
      <c r="DD3437">
        <v>73.87</v>
      </c>
      <c r="DE3437" t="s">
        <v>6140</v>
      </c>
      <c r="DF3437">
        <v>32.47</v>
      </c>
      <c r="DG3437">
        <v>3.08</v>
      </c>
      <c r="DH3437">
        <v>2.16</v>
      </c>
      <c r="DI3437">
        <v>0.19</v>
      </c>
      <c r="DJ3437">
        <v>4271</v>
      </c>
      <c r="DK3437">
        <v>603116</v>
      </c>
      <c r="DL3437" t="s">
        <v>120</v>
      </c>
      <c r="DM3437" t="s">
        <v>120</v>
      </c>
      <c r="DN3437" t="s">
        <v>120</v>
      </c>
    </row>
    <row r="3438" spans="1:118">
      <c r="A3438" t="str">
        <f>"603117"</f>
        <v>603117</v>
      </c>
      <c r="B3438" t="s">
        <v>14607</v>
      </c>
      <c r="C3438">
        <v>-1.87</v>
      </c>
      <c r="D3438">
        <v>-0.8</v>
      </c>
      <c r="E3438">
        <v>0.27</v>
      </c>
      <c r="F3438">
        <v>3453</v>
      </c>
      <c r="G3438" t="s">
        <v>14608</v>
      </c>
      <c r="H3438">
        <v>1844.43</v>
      </c>
      <c r="I3438">
        <v>5.26</v>
      </c>
      <c r="J3438" t="s">
        <v>120</v>
      </c>
      <c r="K3438" t="s">
        <v>13370</v>
      </c>
      <c r="L3438">
        <v>0.78</v>
      </c>
      <c r="M3438">
        <v>3.68</v>
      </c>
      <c r="N3438">
        <v>0.79</v>
      </c>
      <c r="O3438">
        <v>0.8</v>
      </c>
      <c r="P3438">
        <v>3.78</v>
      </c>
      <c r="Q3438">
        <v>-1.87</v>
      </c>
      <c r="R3438">
        <v>3.68</v>
      </c>
      <c r="S3438">
        <v>3.76</v>
      </c>
      <c r="T3438">
        <v>49389</v>
      </c>
      <c r="U3438">
        <v>3.7</v>
      </c>
      <c r="V3438">
        <v>3.75</v>
      </c>
      <c r="W3438">
        <v>49.63</v>
      </c>
      <c r="X3438" t="s">
        <v>2775</v>
      </c>
      <c r="Y3438" t="s">
        <v>319</v>
      </c>
      <c r="Z3438">
        <v>2.67</v>
      </c>
      <c r="AA3438">
        <v>3.73</v>
      </c>
      <c r="AB3438">
        <v>27362</v>
      </c>
      <c r="AC3438">
        <v>22027</v>
      </c>
      <c r="AD3438">
        <v>1.24</v>
      </c>
      <c r="AE3438">
        <v>1656</v>
      </c>
      <c r="AF3438">
        <v>1</v>
      </c>
      <c r="AG3438" t="s">
        <v>120</v>
      </c>
      <c r="AH3438">
        <v>0</v>
      </c>
      <c r="AI3438" t="s">
        <v>120</v>
      </c>
      <c r="AJ3438">
        <v>6.33</v>
      </c>
      <c r="AK3438" t="s">
        <v>13370</v>
      </c>
      <c r="AL3438">
        <v>-0.52</v>
      </c>
      <c r="AM3438">
        <v>1071</v>
      </c>
      <c r="AN3438">
        <v>46</v>
      </c>
      <c r="AO3438">
        <v>6.9999999999999999E-4</v>
      </c>
      <c r="AP3438">
        <v>-1</v>
      </c>
      <c r="AQ3438">
        <v>1.08</v>
      </c>
      <c r="AR3438">
        <v>-2.64</v>
      </c>
      <c r="AS3438">
        <v>7.29</v>
      </c>
      <c r="AT3438">
        <v>0.9</v>
      </c>
      <c r="AU3438">
        <v>2.88</v>
      </c>
      <c r="AV3438">
        <v>0</v>
      </c>
      <c r="AW3438">
        <v>1.22</v>
      </c>
      <c r="AX3438">
        <v>64.19</v>
      </c>
      <c r="AY3438">
        <v>52.37</v>
      </c>
      <c r="AZ3438">
        <v>49.52</v>
      </c>
      <c r="BA3438">
        <v>0.52</v>
      </c>
      <c r="BB3438" t="s">
        <v>184</v>
      </c>
      <c r="BF3438">
        <v>-0.41</v>
      </c>
      <c r="BG3438">
        <v>-2.13</v>
      </c>
      <c r="BH3438">
        <v>-2.65</v>
      </c>
      <c r="BI3438">
        <v>0</v>
      </c>
      <c r="BJ3438">
        <v>20210830</v>
      </c>
      <c r="BK3438">
        <v>20150629</v>
      </c>
      <c r="BL3438">
        <v>6.33</v>
      </c>
      <c r="BM3438" t="s">
        <v>120</v>
      </c>
      <c r="BN3438" t="s">
        <v>120</v>
      </c>
      <c r="BO3438">
        <v>51.67</v>
      </c>
      <c r="BP3438">
        <v>3.68</v>
      </c>
      <c r="BQ3438">
        <v>22.92</v>
      </c>
      <c r="BR3438">
        <v>2.2599999999999998</v>
      </c>
      <c r="BS3438">
        <v>51.27</v>
      </c>
      <c r="BT3438">
        <v>31.99</v>
      </c>
      <c r="BU3438">
        <v>9.56</v>
      </c>
      <c r="BV3438">
        <v>8.14</v>
      </c>
      <c r="BW3438">
        <v>24.61</v>
      </c>
      <c r="BX3438">
        <v>1.72</v>
      </c>
      <c r="BY3438">
        <v>1.68</v>
      </c>
      <c r="BZ3438">
        <v>3.52</v>
      </c>
      <c r="CA3438">
        <v>0.6</v>
      </c>
      <c r="CB3438">
        <v>9.26</v>
      </c>
      <c r="CC3438">
        <v>3.18</v>
      </c>
      <c r="CD3438">
        <v>1.89</v>
      </c>
      <c r="CE3438">
        <v>0.28999999999999998</v>
      </c>
      <c r="CF3438">
        <v>0.04</v>
      </c>
      <c r="CG3438">
        <v>0.28000000000000003</v>
      </c>
      <c r="CH3438">
        <v>0.19</v>
      </c>
      <c r="CI3438">
        <v>0.23</v>
      </c>
      <c r="CJ3438">
        <v>-7.0000000000000007E-2</v>
      </c>
      <c r="CK3438">
        <v>0.19</v>
      </c>
      <c r="CL3438">
        <v>6.72</v>
      </c>
      <c r="CM3438">
        <v>-3.95</v>
      </c>
      <c r="CN3438">
        <v>-0.23</v>
      </c>
      <c r="CO3438">
        <v>25087</v>
      </c>
      <c r="CP3438">
        <v>16199</v>
      </c>
      <c r="CQ3438" t="s">
        <v>1289</v>
      </c>
      <c r="CR3438">
        <v>-10.01</v>
      </c>
      <c r="CS3438">
        <v>-16.670000000000002</v>
      </c>
      <c r="CT3438">
        <v>1.02</v>
      </c>
      <c r="CU3438">
        <v>-5.9</v>
      </c>
      <c r="CV3438">
        <v>7.32</v>
      </c>
      <c r="CW3438">
        <v>0.61</v>
      </c>
      <c r="CX3438" t="s">
        <v>145</v>
      </c>
      <c r="CY3438">
        <v>3.62</v>
      </c>
      <c r="CZ3438">
        <v>0</v>
      </c>
      <c r="DA3438">
        <v>1.46</v>
      </c>
      <c r="DB3438">
        <v>1.06</v>
      </c>
      <c r="DC3438">
        <v>-0.62</v>
      </c>
      <c r="DD3438">
        <v>44.36</v>
      </c>
      <c r="DE3438" t="s">
        <v>3069</v>
      </c>
      <c r="DF3438">
        <v>40.54</v>
      </c>
      <c r="DG3438">
        <v>8.98</v>
      </c>
      <c r="DH3438">
        <v>7.38</v>
      </c>
      <c r="DI3438" t="s">
        <v>120</v>
      </c>
      <c r="DJ3438">
        <v>598</v>
      </c>
      <c r="DK3438">
        <v>603117</v>
      </c>
      <c r="DL3438" t="s">
        <v>120</v>
      </c>
      <c r="DM3438" t="s">
        <v>120</v>
      </c>
      <c r="DN3438" t="s">
        <v>120</v>
      </c>
    </row>
    <row r="3439" spans="1:118">
      <c r="A3439" t="str">
        <f>"603118"</f>
        <v>603118</v>
      </c>
      <c r="B3439" t="s">
        <v>14609</v>
      </c>
      <c r="C3439">
        <v>-2.09</v>
      </c>
      <c r="D3439">
        <v>-0.1</v>
      </c>
      <c r="E3439">
        <v>0.22</v>
      </c>
      <c r="F3439">
        <v>385</v>
      </c>
      <c r="G3439" t="s">
        <v>13234</v>
      </c>
      <c r="H3439">
        <v>5095.7700000000004</v>
      </c>
      <c r="I3439">
        <v>5.1100000000000003</v>
      </c>
      <c r="J3439" t="s">
        <v>120</v>
      </c>
      <c r="K3439" t="s">
        <v>11469</v>
      </c>
      <c r="L3439">
        <v>0.73</v>
      </c>
      <c r="M3439">
        <v>8.91</v>
      </c>
      <c r="N3439">
        <v>1.04</v>
      </c>
      <c r="O3439">
        <v>0.88</v>
      </c>
      <c r="P3439">
        <v>9.18</v>
      </c>
      <c r="Q3439">
        <v>-2.31</v>
      </c>
      <c r="R3439">
        <v>8.89</v>
      </c>
      <c r="S3439">
        <v>9.1199999999999992</v>
      </c>
      <c r="T3439">
        <v>56516</v>
      </c>
      <c r="U3439">
        <v>8.92</v>
      </c>
      <c r="V3439">
        <v>9.1</v>
      </c>
      <c r="W3439">
        <v>17.68</v>
      </c>
      <c r="X3439" t="s">
        <v>462</v>
      </c>
      <c r="Y3439" t="s">
        <v>123</v>
      </c>
      <c r="Z3439">
        <v>3.19</v>
      </c>
      <c r="AA3439">
        <v>9.02</v>
      </c>
      <c r="AB3439">
        <v>39150</v>
      </c>
      <c r="AC3439">
        <v>17366</v>
      </c>
      <c r="AD3439">
        <v>2.25</v>
      </c>
      <c r="AE3439">
        <v>448</v>
      </c>
      <c r="AF3439">
        <v>87</v>
      </c>
      <c r="AG3439" t="s">
        <v>120</v>
      </c>
      <c r="AH3439">
        <v>0</v>
      </c>
      <c r="AI3439" t="s">
        <v>120</v>
      </c>
      <c r="AJ3439">
        <v>7.76</v>
      </c>
      <c r="AK3439" t="s">
        <v>11469</v>
      </c>
      <c r="AL3439">
        <v>-0.74</v>
      </c>
      <c r="AM3439">
        <v>1855</v>
      </c>
      <c r="AN3439">
        <v>30</v>
      </c>
      <c r="AO3439">
        <v>4.0000000000000002E-4</v>
      </c>
      <c r="AP3439">
        <v>-1</v>
      </c>
      <c r="AQ3439">
        <v>0.11</v>
      </c>
      <c r="AR3439">
        <v>-3.68</v>
      </c>
      <c r="AS3439">
        <v>-3.36</v>
      </c>
      <c r="AT3439">
        <v>1.02</v>
      </c>
      <c r="AU3439">
        <v>-12.86</v>
      </c>
      <c r="AV3439">
        <v>1</v>
      </c>
      <c r="AW3439">
        <v>1.36</v>
      </c>
      <c r="AX3439">
        <v>53.65</v>
      </c>
      <c r="AY3439">
        <v>19.47</v>
      </c>
      <c r="AZ3439">
        <v>20.36</v>
      </c>
      <c r="BA3439">
        <v>0.56999999999999995</v>
      </c>
      <c r="BB3439" t="s">
        <v>2725</v>
      </c>
      <c r="BF3439">
        <v>-0.92</v>
      </c>
      <c r="BG3439">
        <v>-2.2999999999999998</v>
      </c>
      <c r="BH3439">
        <v>-2.94</v>
      </c>
      <c r="BI3439">
        <v>0.22</v>
      </c>
      <c r="BJ3439">
        <v>20210902</v>
      </c>
      <c r="BK3439">
        <v>20150225</v>
      </c>
      <c r="BL3439">
        <v>7.76</v>
      </c>
      <c r="BM3439" t="s">
        <v>120</v>
      </c>
      <c r="BN3439" t="s">
        <v>120</v>
      </c>
      <c r="BO3439">
        <v>83.85</v>
      </c>
      <c r="BP3439">
        <v>8.91</v>
      </c>
      <c r="BQ3439">
        <v>47.51</v>
      </c>
      <c r="BR3439" t="s">
        <v>120</v>
      </c>
      <c r="BS3439">
        <v>43.34</v>
      </c>
      <c r="BT3439">
        <v>52.29</v>
      </c>
      <c r="BU3439">
        <v>19.920000000000002</v>
      </c>
      <c r="BV3439">
        <v>2.5499999999999998</v>
      </c>
      <c r="BW3439">
        <v>36.17</v>
      </c>
      <c r="BX3439">
        <v>5.9</v>
      </c>
      <c r="BY3439">
        <v>16.329999999999998</v>
      </c>
      <c r="BZ3439">
        <v>18.96</v>
      </c>
      <c r="CA3439" t="s">
        <v>120</v>
      </c>
      <c r="CB3439">
        <v>26.39</v>
      </c>
      <c r="CC3439">
        <v>50.3</v>
      </c>
      <c r="CD3439">
        <v>44.1</v>
      </c>
      <c r="CE3439">
        <v>1.65</v>
      </c>
      <c r="CF3439">
        <v>0.39</v>
      </c>
      <c r="CG3439">
        <v>2</v>
      </c>
      <c r="CH3439">
        <v>1.95</v>
      </c>
      <c r="CI3439">
        <v>1.95</v>
      </c>
      <c r="CJ3439">
        <v>-0.19</v>
      </c>
      <c r="CK3439">
        <v>1.29</v>
      </c>
      <c r="CL3439">
        <v>11.62</v>
      </c>
      <c r="CM3439">
        <v>-2.27</v>
      </c>
      <c r="CN3439">
        <v>0.75</v>
      </c>
      <c r="CO3439">
        <v>46651</v>
      </c>
      <c r="CP3439">
        <v>8922</v>
      </c>
      <c r="CQ3439" t="s">
        <v>7796</v>
      </c>
      <c r="CR3439">
        <v>8.86</v>
      </c>
      <c r="CS3439">
        <v>29.48</v>
      </c>
      <c r="CT3439">
        <v>1.45</v>
      </c>
      <c r="CU3439">
        <v>-30.46</v>
      </c>
      <c r="CV3439">
        <v>1.37</v>
      </c>
      <c r="CW3439">
        <v>1.48</v>
      </c>
      <c r="CX3439" t="s">
        <v>863</v>
      </c>
      <c r="CY3439">
        <v>6.12</v>
      </c>
      <c r="CZ3439">
        <v>0</v>
      </c>
      <c r="DA3439">
        <v>3.4</v>
      </c>
      <c r="DB3439">
        <v>1.5</v>
      </c>
      <c r="DC3439">
        <v>-0.28999999999999998</v>
      </c>
      <c r="DD3439">
        <v>56.66</v>
      </c>
      <c r="DE3439" t="s">
        <v>5947</v>
      </c>
      <c r="DF3439">
        <v>12.33</v>
      </c>
      <c r="DG3439">
        <v>3.27</v>
      </c>
      <c r="DH3439">
        <v>3.89</v>
      </c>
      <c r="DI3439">
        <v>2.27</v>
      </c>
      <c r="DJ3439">
        <v>7418</v>
      </c>
      <c r="DK3439">
        <v>603118</v>
      </c>
      <c r="DL3439" t="s">
        <v>120</v>
      </c>
      <c r="DM3439" t="s">
        <v>120</v>
      </c>
      <c r="DN3439" t="s">
        <v>120</v>
      </c>
    </row>
    <row r="3440" spans="1:118">
      <c r="A3440" t="str">
        <f>"603121"</f>
        <v>603121</v>
      </c>
      <c r="B3440" t="s">
        <v>14610</v>
      </c>
      <c r="C3440">
        <v>-2.41</v>
      </c>
      <c r="D3440">
        <v>0</v>
      </c>
      <c r="E3440">
        <v>-0.57999999999999996</v>
      </c>
      <c r="F3440">
        <v>705</v>
      </c>
      <c r="G3440" t="s">
        <v>14611</v>
      </c>
      <c r="H3440">
        <v>5124.8</v>
      </c>
      <c r="I3440">
        <v>14.62</v>
      </c>
      <c r="J3440" t="s">
        <v>120</v>
      </c>
      <c r="K3440" t="s">
        <v>14611</v>
      </c>
      <c r="L3440">
        <v>3.63</v>
      </c>
      <c r="M3440">
        <v>11.76</v>
      </c>
      <c r="N3440">
        <v>0.51</v>
      </c>
      <c r="O3440">
        <v>0.33</v>
      </c>
      <c r="P3440">
        <v>12.09</v>
      </c>
      <c r="Q3440">
        <v>-2.41</v>
      </c>
      <c r="R3440">
        <v>11.76</v>
      </c>
      <c r="S3440">
        <v>11.98</v>
      </c>
      <c r="T3440">
        <v>43110</v>
      </c>
      <c r="U3440">
        <v>11.77</v>
      </c>
      <c r="V3440">
        <v>12.05</v>
      </c>
      <c r="W3440">
        <v>35.15</v>
      </c>
      <c r="X3440" t="s">
        <v>289</v>
      </c>
      <c r="Y3440" t="s">
        <v>1510</v>
      </c>
      <c r="Z3440">
        <v>2.74</v>
      </c>
      <c r="AA3440">
        <v>11.89</v>
      </c>
      <c r="AB3440">
        <v>26726</v>
      </c>
      <c r="AC3440">
        <v>16384</v>
      </c>
      <c r="AD3440">
        <v>1.63</v>
      </c>
      <c r="AE3440">
        <v>137</v>
      </c>
      <c r="AF3440">
        <v>10</v>
      </c>
      <c r="AG3440" t="s">
        <v>120</v>
      </c>
      <c r="AH3440">
        <v>0.01</v>
      </c>
      <c r="AI3440" t="s">
        <v>120</v>
      </c>
      <c r="AJ3440">
        <v>1.19</v>
      </c>
      <c r="AK3440" t="s">
        <v>2489</v>
      </c>
      <c r="AL3440">
        <v>-1.06</v>
      </c>
      <c r="AM3440">
        <v>1768</v>
      </c>
      <c r="AN3440">
        <v>24</v>
      </c>
      <c r="AO3440">
        <v>2.0999999999999999E-3</v>
      </c>
      <c r="AP3440">
        <v>-1</v>
      </c>
      <c r="AQ3440">
        <v>1.18</v>
      </c>
      <c r="AR3440">
        <v>-5.61</v>
      </c>
      <c r="AS3440">
        <v>0.26</v>
      </c>
      <c r="AT3440">
        <v>10.94</v>
      </c>
      <c r="AU3440">
        <v>6.33</v>
      </c>
      <c r="AV3440">
        <v>2</v>
      </c>
      <c r="AW3440">
        <v>3.63</v>
      </c>
      <c r="AX3440">
        <v>45.09</v>
      </c>
      <c r="AY3440">
        <v>43.34</v>
      </c>
      <c r="AZ3440">
        <v>53.91</v>
      </c>
      <c r="BA3440">
        <v>1.1000000000000001</v>
      </c>
      <c r="BB3440" t="s">
        <v>240</v>
      </c>
      <c r="BF3440">
        <v>-1.35</v>
      </c>
      <c r="BG3440">
        <v>-1.84</v>
      </c>
      <c r="BH3440">
        <v>-2.73</v>
      </c>
      <c r="BI3440">
        <v>0</v>
      </c>
      <c r="BJ3440">
        <v>20210826</v>
      </c>
      <c r="BK3440">
        <v>20190111</v>
      </c>
      <c r="BL3440">
        <v>2.64</v>
      </c>
      <c r="BM3440" t="s">
        <v>120</v>
      </c>
      <c r="BN3440" t="s">
        <v>120</v>
      </c>
      <c r="BO3440">
        <v>16.309999999999999</v>
      </c>
      <c r="BP3440">
        <v>11.76</v>
      </c>
      <c r="BQ3440">
        <v>11.24</v>
      </c>
      <c r="BR3440" t="s">
        <v>120</v>
      </c>
      <c r="BS3440">
        <v>31.09</v>
      </c>
      <c r="BT3440">
        <v>9.52</v>
      </c>
      <c r="BU3440">
        <v>4.3499999999999996</v>
      </c>
      <c r="BV3440">
        <v>0.81</v>
      </c>
      <c r="BW3440">
        <v>4.5599999999999996</v>
      </c>
      <c r="BX3440">
        <v>4.2</v>
      </c>
      <c r="BY3440">
        <v>1.92</v>
      </c>
      <c r="BZ3440">
        <v>2.39</v>
      </c>
      <c r="CA3440">
        <v>0.06</v>
      </c>
      <c r="CB3440">
        <v>6.01</v>
      </c>
      <c r="CC3440">
        <v>4.6100000000000003</v>
      </c>
      <c r="CD3440">
        <v>3.36</v>
      </c>
      <c r="CE3440">
        <v>0.47</v>
      </c>
      <c r="CF3440">
        <v>0.03</v>
      </c>
      <c r="CG3440">
        <v>0.51</v>
      </c>
      <c r="CH3440">
        <v>0.44</v>
      </c>
      <c r="CI3440">
        <v>0.44</v>
      </c>
      <c r="CJ3440">
        <v>-0.28999999999999998</v>
      </c>
      <c r="CK3440">
        <v>0.31</v>
      </c>
      <c r="CL3440">
        <v>2.44</v>
      </c>
      <c r="CM3440">
        <v>0.26</v>
      </c>
      <c r="CN3440">
        <v>1.74</v>
      </c>
      <c r="CO3440">
        <v>22376</v>
      </c>
      <c r="CP3440">
        <v>5313</v>
      </c>
      <c r="CQ3440" t="s">
        <v>1112</v>
      </c>
      <c r="CR3440">
        <v>48.33</v>
      </c>
      <c r="CS3440">
        <v>66.569999999999993</v>
      </c>
      <c r="CT3440">
        <v>2.76</v>
      </c>
      <c r="CU3440">
        <v>117.56</v>
      </c>
      <c r="CV3440">
        <v>6.72</v>
      </c>
      <c r="CW3440">
        <v>1.33</v>
      </c>
      <c r="CX3440" t="s">
        <v>1193</v>
      </c>
      <c r="CY3440">
        <v>4.26</v>
      </c>
      <c r="CZ3440">
        <v>0</v>
      </c>
      <c r="DA3440">
        <v>2.2799999999999998</v>
      </c>
      <c r="DB3440">
        <v>0.93</v>
      </c>
      <c r="DC3440">
        <v>0.1</v>
      </c>
      <c r="DD3440">
        <v>68.91</v>
      </c>
      <c r="DE3440" t="s">
        <v>4245</v>
      </c>
      <c r="DF3440">
        <v>27.08</v>
      </c>
      <c r="DG3440">
        <v>10.199999999999999</v>
      </c>
      <c r="DH3440">
        <v>9.56</v>
      </c>
      <c r="DI3440">
        <v>0.25</v>
      </c>
      <c r="DJ3440">
        <v>1110</v>
      </c>
      <c r="DK3440">
        <v>603121</v>
      </c>
      <c r="DL3440" t="s">
        <v>120</v>
      </c>
      <c r="DM3440" t="s">
        <v>120</v>
      </c>
      <c r="DN3440" t="s">
        <v>120</v>
      </c>
    </row>
    <row r="3441" spans="1:118">
      <c r="A3441" t="str">
        <f>"603123"</f>
        <v>603123</v>
      </c>
      <c r="B3441" t="s">
        <v>14612</v>
      </c>
      <c r="C3441">
        <v>-1.1299999999999999</v>
      </c>
      <c r="D3441">
        <v>0</v>
      </c>
      <c r="E3441">
        <v>-0.71</v>
      </c>
      <c r="F3441">
        <v>338</v>
      </c>
      <c r="G3441" t="s">
        <v>3730</v>
      </c>
      <c r="H3441">
        <v>1563.58</v>
      </c>
      <c r="I3441">
        <v>1.4</v>
      </c>
      <c r="J3441" t="s">
        <v>120</v>
      </c>
      <c r="K3441" t="s">
        <v>14613</v>
      </c>
      <c r="L3441">
        <v>0.39</v>
      </c>
      <c r="M3441">
        <v>6.97</v>
      </c>
      <c r="N3441">
        <v>0.95</v>
      </c>
      <c r="O3441">
        <v>0.99</v>
      </c>
      <c r="P3441">
        <v>7.12</v>
      </c>
      <c r="Q3441">
        <v>-1.42</v>
      </c>
      <c r="R3441">
        <v>6.95</v>
      </c>
      <c r="S3441">
        <v>7</v>
      </c>
      <c r="T3441">
        <v>22199</v>
      </c>
      <c r="U3441">
        <v>6.98</v>
      </c>
      <c r="V3441">
        <v>7.05</v>
      </c>
      <c r="W3441">
        <v>29.59</v>
      </c>
      <c r="X3441" t="s">
        <v>735</v>
      </c>
      <c r="Y3441" t="s">
        <v>158</v>
      </c>
      <c r="Z3441">
        <v>2.41</v>
      </c>
      <c r="AA3441">
        <v>7.04</v>
      </c>
      <c r="AB3441">
        <v>9712</v>
      </c>
      <c r="AC3441">
        <v>12487</v>
      </c>
      <c r="AD3441">
        <v>0.78</v>
      </c>
      <c r="AE3441">
        <v>2</v>
      </c>
      <c r="AF3441">
        <v>14</v>
      </c>
      <c r="AG3441" t="s">
        <v>120</v>
      </c>
      <c r="AH3441">
        <v>0</v>
      </c>
      <c r="AI3441" t="s">
        <v>120</v>
      </c>
      <c r="AJ3441">
        <v>5.75</v>
      </c>
      <c r="AK3441" t="s">
        <v>14614</v>
      </c>
      <c r="AL3441">
        <v>0.21</v>
      </c>
      <c r="AM3441">
        <v>856</v>
      </c>
      <c r="AN3441">
        <v>26</v>
      </c>
      <c r="AO3441">
        <v>5.0000000000000001E-4</v>
      </c>
      <c r="AP3441">
        <v>-3</v>
      </c>
      <c r="AQ3441">
        <v>-0.42</v>
      </c>
      <c r="AR3441">
        <v>-3.73</v>
      </c>
      <c r="AS3441">
        <v>5.61</v>
      </c>
      <c r="AT3441">
        <v>-2.89</v>
      </c>
      <c r="AU3441">
        <v>-3.3</v>
      </c>
      <c r="AV3441">
        <v>2</v>
      </c>
      <c r="AW3441">
        <v>0.9</v>
      </c>
      <c r="AX3441">
        <v>30.96</v>
      </c>
      <c r="AY3441">
        <v>30.27</v>
      </c>
      <c r="AZ3441">
        <v>69.25</v>
      </c>
      <c r="BA3441">
        <v>0.68</v>
      </c>
      <c r="BB3441" t="s">
        <v>143</v>
      </c>
      <c r="BF3441">
        <v>-0.09</v>
      </c>
      <c r="BG3441">
        <v>-0.43</v>
      </c>
      <c r="BH3441">
        <v>-2.11</v>
      </c>
      <c r="BI3441">
        <v>0.28999999999999998</v>
      </c>
      <c r="BJ3441">
        <v>20210828</v>
      </c>
      <c r="BK3441">
        <v>20120503</v>
      </c>
      <c r="BL3441">
        <v>7.99</v>
      </c>
      <c r="BM3441" t="s">
        <v>120</v>
      </c>
      <c r="BN3441" t="s">
        <v>120</v>
      </c>
      <c r="BO3441">
        <v>69.180000000000007</v>
      </c>
      <c r="BP3441">
        <v>6.97</v>
      </c>
      <c r="BQ3441">
        <v>38.299999999999997</v>
      </c>
      <c r="BR3441">
        <v>0.22</v>
      </c>
      <c r="BS3441">
        <v>44.32</v>
      </c>
      <c r="BT3441">
        <v>26.03</v>
      </c>
      <c r="BU3441">
        <v>16.98</v>
      </c>
      <c r="BV3441">
        <v>2.46</v>
      </c>
      <c r="BW3441">
        <v>23.43</v>
      </c>
      <c r="BX3441">
        <v>19.22</v>
      </c>
      <c r="BY3441">
        <v>2.54</v>
      </c>
      <c r="BZ3441">
        <v>0.89</v>
      </c>
      <c r="CA3441">
        <v>0.21</v>
      </c>
      <c r="CB3441">
        <v>19.8</v>
      </c>
      <c r="CC3441">
        <v>17.38</v>
      </c>
      <c r="CD3441">
        <v>11.77</v>
      </c>
      <c r="CE3441">
        <v>1.1399999999999999</v>
      </c>
      <c r="CF3441">
        <v>0.21</v>
      </c>
      <c r="CG3441">
        <v>1.1299999999999999</v>
      </c>
      <c r="CH3441">
        <v>0.93</v>
      </c>
      <c r="CI3441">
        <v>0.94</v>
      </c>
      <c r="CJ3441">
        <v>-0.08</v>
      </c>
      <c r="CK3441">
        <v>0.47</v>
      </c>
      <c r="CL3441">
        <v>8.74</v>
      </c>
      <c r="CM3441">
        <v>-0.79</v>
      </c>
      <c r="CN3441">
        <v>-4.09</v>
      </c>
      <c r="CO3441">
        <v>15702</v>
      </c>
      <c r="CP3441">
        <v>15749</v>
      </c>
      <c r="CQ3441" t="s">
        <v>8194</v>
      </c>
      <c r="CR3441">
        <v>986.49</v>
      </c>
      <c r="CS3441">
        <v>-7.98</v>
      </c>
      <c r="CT3441">
        <v>1.45</v>
      </c>
      <c r="CU3441">
        <v>-70.25</v>
      </c>
      <c r="CV3441">
        <v>3.2</v>
      </c>
      <c r="CW3441">
        <v>0.45</v>
      </c>
      <c r="CX3441" t="s">
        <v>850</v>
      </c>
      <c r="CY3441">
        <v>4.79</v>
      </c>
      <c r="CZ3441">
        <v>0</v>
      </c>
      <c r="DA3441">
        <v>2.48</v>
      </c>
      <c r="DB3441">
        <v>1.0900000000000001</v>
      </c>
      <c r="DC3441">
        <v>-0.1</v>
      </c>
      <c r="DD3441">
        <v>55.36</v>
      </c>
      <c r="DE3441" t="s">
        <v>3782</v>
      </c>
      <c r="DF3441">
        <v>32.28</v>
      </c>
      <c r="DG3441">
        <v>6.57</v>
      </c>
      <c r="DH3441">
        <v>5.41</v>
      </c>
      <c r="DI3441">
        <v>0.44</v>
      </c>
      <c r="DJ3441">
        <v>2806</v>
      </c>
      <c r="DK3441">
        <v>603123</v>
      </c>
      <c r="DL3441" t="s">
        <v>120</v>
      </c>
      <c r="DM3441" t="s">
        <v>120</v>
      </c>
      <c r="DN3441" t="s">
        <v>120</v>
      </c>
    </row>
    <row r="3442" spans="1:118">
      <c r="A3442" t="str">
        <f>"603126"</f>
        <v>603126</v>
      </c>
      <c r="B3442" t="s">
        <v>14615</v>
      </c>
      <c r="C3442">
        <v>-3.9</v>
      </c>
      <c r="D3442">
        <v>0</v>
      </c>
      <c r="E3442">
        <v>-0.11</v>
      </c>
      <c r="F3442">
        <v>2514</v>
      </c>
      <c r="G3442" t="s">
        <v>3421</v>
      </c>
      <c r="H3442">
        <v>23594.54</v>
      </c>
      <c r="I3442">
        <v>38.58</v>
      </c>
      <c r="J3442" t="s">
        <v>120</v>
      </c>
      <c r="K3442" t="s">
        <v>14616</v>
      </c>
      <c r="L3442">
        <v>4.1500000000000004</v>
      </c>
      <c r="M3442">
        <v>9.1199999999999992</v>
      </c>
      <c r="N3442">
        <v>0.68</v>
      </c>
      <c r="O3442">
        <v>1.05</v>
      </c>
      <c r="P3442">
        <v>9.59</v>
      </c>
      <c r="Q3442">
        <v>-4</v>
      </c>
      <c r="R3442">
        <v>9.11</v>
      </c>
      <c r="S3442">
        <v>9.48</v>
      </c>
      <c r="T3442">
        <v>253380</v>
      </c>
      <c r="U3442">
        <v>9.1199999999999992</v>
      </c>
      <c r="V3442">
        <v>9.49</v>
      </c>
      <c r="W3442">
        <v>34.4</v>
      </c>
      <c r="X3442" t="s">
        <v>318</v>
      </c>
      <c r="Y3442" t="s">
        <v>997</v>
      </c>
      <c r="Z3442">
        <v>5.0599999999999996</v>
      </c>
      <c r="AA3442">
        <v>9.31</v>
      </c>
      <c r="AB3442">
        <v>146187</v>
      </c>
      <c r="AC3442">
        <v>107193</v>
      </c>
      <c r="AD3442">
        <v>1.36</v>
      </c>
      <c r="AE3442">
        <v>707</v>
      </c>
      <c r="AF3442">
        <v>957</v>
      </c>
      <c r="AG3442" t="s">
        <v>120</v>
      </c>
      <c r="AH3442">
        <v>0.01</v>
      </c>
      <c r="AI3442" t="s">
        <v>120</v>
      </c>
      <c r="AJ3442">
        <v>6.11</v>
      </c>
      <c r="AK3442" t="s">
        <v>14616</v>
      </c>
      <c r="AL3442">
        <v>-2.56</v>
      </c>
      <c r="AM3442">
        <v>3867</v>
      </c>
      <c r="AN3442">
        <v>66</v>
      </c>
      <c r="AO3442">
        <v>1.1000000000000001E-3</v>
      </c>
      <c r="AP3442">
        <v>-1</v>
      </c>
      <c r="AQ3442">
        <v>0.53</v>
      </c>
      <c r="AR3442">
        <v>-6.27</v>
      </c>
      <c r="AS3442">
        <v>14.28</v>
      </c>
      <c r="AT3442">
        <v>-2.98</v>
      </c>
      <c r="AU3442">
        <v>50.74</v>
      </c>
      <c r="AV3442">
        <v>20</v>
      </c>
      <c r="AW3442">
        <v>8.68</v>
      </c>
      <c r="AX3442">
        <v>47.83</v>
      </c>
      <c r="AY3442">
        <v>28.01</v>
      </c>
      <c r="AZ3442">
        <v>43</v>
      </c>
      <c r="BA3442">
        <v>1.18</v>
      </c>
      <c r="BB3442" t="s">
        <v>143</v>
      </c>
      <c r="BF3442">
        <v>-1.88</v>
      </c>
      <c r="BG3442">
        <v>-3.8</v>
      </c>
      <c r="BH3442">
        <v>-4.9000000000000004</v>
      </c>
      <c r="BI3442">
        <v>0.11</v>
      </c>
      <c r="BJ3442">
        <v>20210823</v>
      </c>
      <c r="BK3442">
        <v>20140731</v>
      </c>
      <c r="BL3442">
        <v>6.11</v>
      </c>
      <c r="BM3442" t="s">
        <v>120</v>
      </c>
      <c r="BN3442" t="s">
        <v>120</v>
      </c>
      <c r="BO3442">
        <v>42.89</v>
      </c>
      <c r="BP3442">
        <v>9.11</v>
      </c>
      <c r="BQ3442">
        <v>18.62</v>
      </c>
      <c r="BR3442">
        <v>3.07</v>
      </c>
      <c r="BS3442">
        <v>49.43</v>
      </c>
      <c r="BT3442">
        <v>32.01</v>
      </c>
      <c r="BU3442">
        <v>6.38</v>
      </c>
      <c r="BV3442">
        <v>1.53</v>
      </c>
      <c r="BW3442">
        <v>19.55</v>
      </c>
      <c r="BX3442">
        <v>9.3000000000000007</v>
      </c>
      <c r="BY3442">
        <v>8.34</v>
      </c>
      <c r="BZ3442">
        <v>7.8</v>
      </c>
      <c r="CA3442" t="s">
        <v>120</v>
      </c>
      <c r="CB3442">
        <v>0.71</v>
      </c>
      <c r="CC3442">
        <v>14.88</v>
      </c>
      <c r="CD3442">
        <v>11.8</v>
      </c>
      <c r="CE3442">
        <v>1.1000000000000001</v>
      </c>
      <c r="CF3442">
        <v>7.0000000000000007E-2</v>
      </c>
      <c r="CG3442">
        <v>1.1000000000000001</v>
      </c>
      <c r="CH3442">
        <v>0.96</v>
      </c>
      <c r="CI3442">
        <v>0.81</v>
      </c>
      <c r="CJ3442">
        <v>-0.37</v>
      </c>
      <c r="CK3442">
        <v>0.69</v>
      </c>
      <c r="CL3442">
        <v>10.55</v>
      </c>
      <c r="CM3442">
        <v>-0.46</v>
      </c>
      <c r="CN3442">
        <v>-1.1399999999999999</v>
      </c>
      <c r="CO3442">
        <v>87286</v>
      </c>
      <c r="CP3442">
        <v>3345</v>
      </c>
      <c r="CQ3442" t="s">
        <v>856</v>
      </c>
      <c r="CR3442">
        <v>819.02</v>
      </c>
      <c r="CS3442">
        <v>29.82</v>
      </c>
      <c r="CT3442">
        <v>2.99</v>
      </c>
      <c r="CU3442">
        <v>-120.87</v>
      </c>
      <c r="CV3442">
        <v>3.74</v>
      </c>
      <c r="CW3442">
        <v>0.84</v>
      </c>
      <c r="CX3442" t="s">
        <v>14617</v>
      </c>
      <c r="CY3442">
        <v>3.05</v>
      </c>
      <c r="CZ3442">
        <v>0</v>
      </c>
      <c r="DA3442">
        <v>0.12</v>
      </c>
      <c r="DB3442">
        <v>1.73</v>
      </c>
      <c r="DC3442">
        <v>-0.08</v>
      </c>
      <c r="DD3442">
        <v>43.42</v>
      </c>
      <c r="DE3442" t="s">
        <v>9334</v>
      </c>
      <c r="DF3442">
        <v>20.7</v>
      </c>
      <c r="DG3442">
        <v>7.41</v>
      </c>
      <c r="DH3442">
        <v>5.44</v>
      </c>
      <c r="DI3442">
        <v>0.71</v>
      </c>
      <c r="DJ3442">
        <v>1782</v>
      </c>
      <c r="DK3442">
        <v>603126</v>
      </c>
      <c r="DL3442">
        <v>20210902</v>
      </c>
      <c r="DM3442">
        <v>9.56</v>
      </c>
      <c r="DN3442">
        <v>-4.5999999999999996</v>
      </c>
    </row>
    <row r="3443" spans="1:118">
      <c r="A3443" t="str">
        <f>"603127"</f>
        <v>603127</v>
      </c>
      <c r="B3443" t="s">
        <v>14618</v>
      </c>
      <c r="C3443">
        <v>2.4700000000000002</v>
      </c>
      <c r="D3443">
        <v>1.24</v>
      </c>
      <c r="E3443">
        <v>-1.89</v>
      </c>
      <c r="F3443">
        <v>3155</v>
      </c>
      <c r="G3443" t="s">
        <v>14619</v>
      </c>
      <c r="H3443">
        <v>51753.21</v>
      </c>
      <c r="I3443">
        <v>1083.3699999999999</v>
      </c>
      <c r="J3443" t="s">
        <v>120</v>
      </c>
      <c r="K3443" t="s">
        <v>14620</v>
      </c>
      <c r="L3443">
        <v>1.01</v>
      </c>
      <c r="M3443">
        <v>164</v>
      </c>
      <c r="N3443">
        <v>1.26</v>
      </c>
      <c r="O3443">
        <v>3.51</v>
      </c>
      <c r="P3443">
        <v>165.65</v>
      </c>
      <c r="Q3443">
        <v>-2.48</v>
      </c>
      <c r="R3443">
        <v>156.07</v>
      </c>
      <c r="S3443">
        <v>157.01</v>
      </c>
      <c r="T3443">
        <v>32102</v>
      </c>
      <c r="U3443">
        <v>164</v>
      </c>
      <c r="V3443">
        <v>160.04</v>
      </c>
      <c r="W3443">
        <v>202.37</v>
      </c>
      <c r="X3443" t="s">
        <v>555</v>
      </c>
      <c r="Y3443" t="s">
        <v>158</v>
      </c>
      <c r="Z3443">
        <v>5.99</v>
      </c>
      <c r="AA3443">
        <v>161.22</v>
      </c>
      <c r="AB3443">
        <v>13546</v>
      </c>
      <c r="AC3443">
        <v>18556</v>
      </c>
      <c r="AD3443">
        <v>0.73</v>
      </c>
      <c r="AE3443">
        <v>54</v>
      </c>
      <c r="AF3443">
        <v>62</v>
      </c>
      <c r="AG3443" t="s">
        <v>120</v>
      </c>
      <c r="AH3443">
        <v>0.05</v>
      </c>
      <c r="AI3443" t="s">
        <v>120</v>
      </c>
      <c r="AJ3443">
        <v>3.18</v>
      </c>
      <c r="AK3443" t="s">
        <v>14621</v>
      </c>
      <c r="AL3443">
        <v>3.82</v>
      </c>
      <c r="AM3443">
        <v>3578</v>
      </c>
      <c r="AN3443">
        <v>9</v>
      </c>
      <c r="AO3443">
        <v>2.9999999999999997E-4</v>
      </c>
      <c r="AP3443">
        <v>4</v>
      </c>
      <c r="AQ3443">
        <v>5.23</v>
      </c>
      <c r="AR3443">
        <v>13.34</v>
      </c>
      <c r="AS3443">
        <v>18.899999999999999</v>
      </c>
      <c r="AT3443">
        <v>29.14</v>
      </c>
      <c r="AU3443">
        <v>123.44</v>
      </c>
      <c r="AV3443">
        <v>3</v>
      </c>
      <c r="AW3443">
        <v>2.2000000000000002</v>
      </c>
      <c r="AX3443">
        <v>45.71</v>
      </c>
      <c r="AY3443">
        <v>160.41</v>
      </c>
      <c r="AZ3443">
        <v>192.75</v>
      </c>
      <c r="BA3443">
        <v>1.22</v>
      </c>
      <c r="BB3443" t="s">
        <v>700</v>
      </c>
      <c r="BF3443">
        <v>0.74</v>
      </c>
      <c r="BG3443">
        <v>4.45</v>
      </c>
      <c r="BH3443">
        <v>-1</v>
      </c>
      <c r="BI3443">
        <v>5.08</v>
      </c>
      <c r="BJ3443">
        <v>20210913</v>
      </c>
      <c r="BK3443">
        <v>20170825</v>
      </c>
      <c r="BL3443">
        <v>3.79</v>
      </c>
      <c r="BM3443" t="s">
        <v>120</v>
      </c>
      <c r="BN3443">
        <v>0.61</v>
      </c>
      <c r="BO3443">
        <v>78.69</v>
      </c>
      <c r="BP3443">
        <v>163.6</v>
      </c>
      <c r="BQ3443">
        <v>66.11</v>
      </c>
      <c r="BR3443">
        <v>-0.01</v>
      </c>
      <c r="BS3443">
        <v>16.010000000000002</v>
      </c>
      <c r="BT3443">
        <v>53.72</v>
      </c>
      <c r="BU3443">
        <v>4.42</v>
      </c>
      <c r="BV3443">
        <v>1.18</v>
      </c>
      <c r="BW3443">
        <v>10.96</v>
      </c>
      <c r="BX3443">
        <v>42.03</v>
      </c>
      <c r="BY3443">
        <v>5.73</v>
      </c>
      <c r="BZ3443">
        <v>0.78</v>
      </c>
      <c r="CA3443" t="s">
        <v>120</v>
      </c>
      <c r="CB3443">
        <v>55.36</v>
      </c>
      <c r="CC3443">
        <v>5.35</v>
      </c>
      <c r="CD3443">
        <v>2.63</v>
      </c>
      <c r="CE3443">
        <v>1.74</v>
      </c>
      <c r="CF3443">
        <v>0.05</v>
      </c>
      <c r="CG3443">
        <v>1.73</v>
      </c>
      <c r="CH3443">
        <v>1.53</v>
      </c>
      <c r="CI3443">
        <v>1.54</v>
      </c>
      <c r="CJ3443">
        <v>3.96</v>
      </c>
      <c r="CK3443">
        <v>1.29</v>
      </c>
      <c r="CL3443">
        <v>7.26</v>
      </c>
      <c r="CM3443">
        <v>2.02</v>
      </c>
      <c r="CN3443">
        <v>39.450000000000003</v>
      </c>
      <c r="CO3443">
        <v>22707</v>
      </c>
      <c r="CP3443">
        <v>6415</v>
      </c>
      <c r="CQ3443" t="s">
        <v>14622</v>
      </c>
      <c r="CR3443">
        <v>70.39</v>
      </c>
      <c r="CS3443">
        <v>34.53</v>
      </c>
      <c r="CT3443">
        <v>9.41</v>
      </c>
      <c r="CU3443">
        <v>307.32</v>
      </c>
      <c r="CV3443">
        <v>116.4</v>
      </c>
      <c r="CW3443">
        <v>0.16</v>
      </c>
      <c r="CX3443" t="s">
        <v>10522</v>
      </c>
      <c r="CY3443">
        <v>17.420000000000002</v>
      </c>
      <c r="CZ3443">
        <v>0</v>
      </c>
      <c r="DA3443">
        <v>14.59</v>
      </c>
      <c r="DB3443">
        <v>1.91</v>
      </c>
      <c r="DC3443">
        <v>0.53</v>
      </c>
      <c r="DD3443">
        <v>84.01</v>
      </c>
      <c r="DE3443" t="s">
        <v>10111</v>
      </c>
      <c r="DF3443">
        <v>50.75</v>
      </c>
      <c r="DG3443">
        <v>32.53</v>
      </c>
      <c r="DH3443">
        <v>28.76</v>
      </c>
      <c r="DI3443">
        <v>0.22</v>
      </c>
      <c r="DJ3443">
        <v>1483</v>
      </c>
      <c r="DK3443">
        <v>603127</v>
      </c>
      <c r="DL3443" t="s">
        <v>120</v>
      </c>
      <c r="DM3443" t="s">
        <v>120</v>
      </c>
      <c r="DN3443" t="s">
        <v>120</v>
      </c>
    </row>
    <row r="3444" spans="1:118">
      <c r="A3444" t="str">
        <f>"603128"</f>
        <v>603128</v>
      </c>
      <c r="B3444" t="s">
        <v>14623</v>
      </c>
      <c r="C3444">
        <v>-2.73</v>
      </c>
      <c r="D3444">
        <v>-0.2</v>
      </c>
      <c r="E3444">
        <v>0</v>
      </c>
      <c r="F3444">
        <v>1058</v>
      </c>
      <c r="G3444" t="s">
        <v>14624</v>
      </c>
      <c r="H3444">
        <v>12395.44</v>
      </c>
      <c r="I3444">
        <v>59.41</v>
      </c>
      <c r="J3444" t="s">
        <v>120</v>
      </c>
      <c r="K3444" t="s">
        <v>14625</v>
      </c>
      <c r="L3444">
        <v>0.65</v>
      </c>
      <c r="M3444">
        <v>14.27</v>
      </c>
      <c r="N3444">
        <v>0.76</v>
      </c>
      <c r="O3444">
        <v>2.59</v>
      </c>
      <c r="P3444">
        <v>15.05</v>
      </c>
      <c r="Q3444">
        <v>-3.2</v>
      </c>
      <c r="R3444">
        <v>14.2</v>
      </c>
      <c r="S3444">
        <v>14.67</v>
      </c>
      <c r="T3444">
        <v>85339</v>
      </c>
      <c r="U3444">
        <v>14.27</v>
      </c>
      <c r="V3444">
        <v>14.67</v>
      </c>
      <c r="W3444">
        <v>19.690000000000001</v>
      </c>
      <c r="X3444" t="s">
        <v>2775</v>
      </c>
      <c r="Y3444" t="s">
        <v>1510</v>
      </c>
      <c r="Z3444">
        <v>5.79</v>
      </c>
      <c r="AA3444">
        <v>14.53</v>
      </c>
      <c r="AB3444">
        <v>42338</v>
      </c>
      <c r="AC3444">
        <v>43001</v>
      </c>
      <c r="AD3444">
        <v>0.98</v>
      </c>
      <c r="AE3444">
        <v>320</v>
      </c>
      <c r="AF3444">
        <v>83</v>
      </c>
      <c r="AG3444" t="s">
        <v>120</v>
      </c>
      <c r="AH3444">
        <v>0.01</v>
      </c>
      <c r="AI3444" t="s">
        <v>120</v>
      </c>
      <c r="AJ3444">
        <v>13.09</v>
      </c>
      <c r="AK3444" t="s">
        <v>14625</v>
      </c>
      <c r="AL3444">
        <v>-1.38</v>
      </c>
      <c r="AM3444">
        <v>3352</v>
      </c>
      <c r="AN3444">
        <v>25</v>
      </c>
      <c r="AO3444">
        <v>2.0000000000000001E-4</v>
      </c>
      <c r="AP3444">
        <v>-3</v>
      </c>
      <c r="AQ3444">
        <v>-2.85</v>
      </c>
      <c r="AR3444">
        <v>-10.37</v>
      </c>
      <c r="AS3444">
        <v>8.19</v>
      </c>
      <c r="AT3444">
        <v>5.76</v>
      </c>
      <c r="AU3444">
        <v>57.8</v>
      </c>
      <c r="AV3444">
        <v>4</v>
      </c>
      <c r="AW3444">
        <v>1.51</v>
      </c>
      <c r="AX3444">
        <v>43.22</v>
      </c>
      <c r="AY3444">
        <v>26.17</v>
      </c>
      <c r="AZ3444">
        <v>36.21</v>
      </c>
      <c r="BA3444">
        <v>1.34</v>
      </c>
      <c r="BB3444" t="s">
        <v>240</v>
      </c>
      <c r="BF3444">
        <v>-0.99</v>
      </c>
      <c r="BG3444">
        <v>-2.73</v>
      </c>
      <c r="BH3444">
        <v>-5.18</v>
      </c>
      <c r="BI3444">
        <v>0.49</v>
      </c>
      <c r="BJ3444">
        <v>20210818</v>
      </c>
      <c r="BK3444">
        <v>20120529</v>
      </c>
      <c r="BL3444">
        <v>13.09</v>
      </c>
      <c r="BM3444" t="s">
        <v>120</v>
      </c>
      <c r="BN3444" t="s">
        <v>120</v>
      </c>
      <c r="BO3444">
        <v>86.8</v>
      </c>
      <c r="BP3444">
        <v>14.26</v>
      </c>
      <c r="BQ3444">
        <v>50.57</v>
      </c>
      <c r="BR3444">
        <v>1.68</v>
      </c>
      <c r="BS3444">
        <v>39.799999999999997</v>
      </c>
      <c r="BT3444">
        <v>61.13</v>
      </c>
      <c r="BU3444">
        <v>6.26</v>
      </c>
      <c r="BV3444">
        <v>1.76</v>
      </c>
      <c r="BW3444">
        <v>31.17</v>
      </c>
      <c r="BX3444">
        <v>16.79</v>
      </c>
      <c r="BY3444">
        <v>0.66</v>
      </c>
      <c r="BZ3444">
        <v>33.51</v>
      </c>
      <c r="CA3444" t="s">
        <v>120</v>
      </c>
      <c r="CB3444">
        <v>16.53</v>
      </c>
      <c r="CC3444">
        <v>98.14</v>
      </c>
      <c r="CD3444">
        <v>86.66</v>
      </c>
      <c r="CE3444">
        <v>6.5</v>
      </c>
      <c r="CF3444">
        <v>0.08</v>
      </c>
      <c r="CG3444">
        <v>6.5</v>
      </c>
      <c r="CH3444">
        <v>5.09</v>
      </c>
      <c r="CI3444">
        <v>4.75</v>
      </c>
      <c r="CJ3444">
        <v>-0.4</v>
      </c>
      <c r="CK3444">
        <v>4.66</v>
      </c>
      <c r="CL3444">
        <v>21.29</v>
      </c>
      <c r="CM3444">
        <v>-0.59</v>
      </c>
      <c r="CN3444">
        <v>1.85</v>
      </c>
      <c r="CO3444">
        <v>35737</v>
      </c>
      <c r="CP3444">
        <v>15837</v>
      </c>
      <c r="CQ3444" t="s">
        <v>5510</v>
      </c>
      <c r="CR3444">
        <v>75.069999999999993</v>
      </c>
      <c r="CS3444">
        <v>51.28</v>
      </c>
      <c r="CT3444">
        <v>3.7</v>
      </c>
      <c r="CU3444">
        <v>-314.52999999999997</v>
      </c>
      <c r="CV3444">
        <v>1.9</v>
      </c>
      <c r="CW3444">
        <v>1.66</v>
      </c>
      <c r="CX3444" t="s">
        <v>709</v>
      </c>
      <c r="CY3444">
        <v>3.86</v>
      </c>
      <c r="CZ3444">
        <v>0</v>
      </c>
      <c r="DA3444">
        <v>1.26</v>
      </c>
      <c r="DB3444">
        <v>1.63</v>
      </c>
      <c r="DC3444">
        <v>-0.05</v>
      </c>
      <c r="DD3444">
        <v>58.26</v>
      </c>
      <c r="DE3444" t="s">
        <v>6223</v>
      </c>
      <c r="DF3444">
        <v>11.7</v>
      </c>
      <c r="DG3444">
        <v>6.63</v>
      </c>
      <c r="DH3444">
        <v>4.84</v>
      </c>
      <c r="DI3444">
        <v>7.0000000000000007E-2</v>
      </c>
      <c r="DJ3444">
        <v>3966</v>
      </c>
      <c r="DK3444">
        <v>603128</v>
      </c>
      <c r="DL3444" t="s">
        <v>120</v>
      </c>
      <c r="DM3444" t="s">
        <v>120</v>
      </c>
      <c r="DN3444" t="s">
        <v>120</v>
      </c>
    </row>
    <row r="3445" spans="1:118">
      <c r="A3445" t="str">
        <f>"603129"</f>
        <v>603129</v>
      </c>
      <c r="B3445" t="s">
        <v>14626</v>
      </c>
      <c r="C3445">
        <v>-0.56000000000000005</v>
      </c>
      <c r="D3445">
        <v>0.44</v>
      </c>
      <c r="E3445">
        <v>0.03</v>
      </c>
      <c r="F3445">
        <v>56</v>
      </c>
      <c r="G3445" t="s">
        <v>14627</v>
      </c>
      <c r="H3445">
        <v>11461.95</v>
      </c>
      <c r="I3445">
        <v>24.83</v>
      </c>
      <c r="J3445" t="s">
        <v>120</v>
      </c>
      <c r="K3445" t="s">
        <v>14628</v>
      </c>
      <c r="L3445">
        <v>0.65</v>
      </c>
      <c r="M3445">
        <v>129.91</v>
      </c>
      <c r="N3445">
        <v>0.78</v>
      </c>
      <c r="O3445">
        <v>1.81</v>
      </c>
      <c r="P3445">
        <v>133</v>
      </c>
      <c r="Q3445">
        <v>-2.4</v>
      </c>
      <c r="R3445">
        <v>127.5</v>
      </c>
      <c r="S3445">
        <v>130.68</v>
      </c>
      <c r="T3445">
        <v>8776</v>
      </c>
      <c r="U3445">
        <v>129.91</v>
      </c>
      <c r="V3445">
        <v>130.63999999999999</v>
      </c>
      <c r="W3445">
        <v>39.479999999999997</v>
      </c>
      <c r="X3445" t="s">
        <v>2427</v>
      </c>
      <c r="Y3445" t="s">
        <v>585</v>
      </c>
      <c r="Z3445">
        <v>4.21</v>
      </c>
      <c r="AA3445">
        <v>130.61000000000001</v>
      </c>
      <c r="AB3445">
        <v>4208</v>
      </c>
      <c r="AC3445">
        <v>4568</v>
      </c>
      <c r="AD3445">
        <v>0.92</v>
      </c>
      <c r="AE3445">
        <v>2</v>
      </c>
      <c r="AF3445">
        <v>9</v>
      </c>
      <c r="AG3445" t="s">
        <v>120</v>
      </c>
      <c r="AH3445">
        <v>0</v>
      </c>
      <c r="AI3445" t="s">
        <v>120</v>
      </c>
      <c r="AJ3445">
        <v>1.34</v>
      </c>
      <c r="AK3445" t="s">
        <v>14628</v>
      </c>
      <c r="AL3445">
        <v>0.78</v>
      </c>
      <c r="AM3445">
        <v>1987</v>
      </c>
      <c r="AN3445">
        <v>4</v>
      </c>
      <c r="AO3445">
        <v>2.9999999999999997E-4</v>
      </c>
      <c r="AP3445">
        <v>-1</v>
      </c>
      <c r="AQ3445">
        <v>0.02</v>
      </c>
      <c r="AR3445">
        <v>-3.84</v>
      </c>
      <c r="AS3445">
        <v>17.940000000000001</v>
      </c>
      <c r="AT3445">
        <v>-0.6</v>
      </c>
      <c r="AU3445">
        <v>-25.06</v>
      </c>
      <c r="AV3445">
        <v>5</v>
      </c>
      <c r="AW3445">
        <v>1.37</v>
      </c>
      <c r="AX3445">
        <v>47.74</v>
      </c>
      <c r="AY3445">
        <v>42.61</v>
      </c>
      <c r="AZ3445">
        <v>48.11</v>
      </c>
      <c r="BA3445">
        <v>1.31</v>
      </c>
      <c r="BB3445" t="s">
        <v>143</v>
      </c>
      <c r="BF3445">
        <v>-0.02</v>
      </c>
      <c r="BG3445">
        <v>-0.59</v>
      </c>
      <c r="BH3445">
        <v>-2.3199999999999998</v>
      </c>
      <c r="BI3445">
        <v>1.89</v>
      </c>
      <c r="BJ3445">
        <v>20210820</v>
      </c>
      <c r="BK3445">
        <v>20170818</v>
      </c>
      <c r="BL3445">
        <v>1.34</v>
      </c>
      <c r="BM3445" t="s">
        <v>120</v>
      </c>
      <c r="BN3445" t="s">
        <v>120</v>
      </c>
      <c r="BO3445">
        <v>49.44</v>
      </c>
      <c r="BP3445">
        <v>129.55000000000001</v>
      </c>
      <c r="BQ3445">
        <v>16.13</v>
      </c>
      <c r="BR3445">
        <v>0.13</v>
      </c>
      <c r="BS3445">
        <v>67.11</v>
      </c>
      <c r="BT3445">
        <v>37.979999999999997</v>
      </c>
      <c r="BU3445">
        <v>3.65</v>
      </c>
      <c r="BV3445">
        <v>1.32</v>
      </c>
      <c r="BW3445">
        <v>32.18</v>
      </c>
      <c r="BX3445">
        <v>21.59</v>
      </c>
      <c r="BY3445">
        <v>9.9</v>
      </c>
      <c r="BZ3445">
        <v>4.7699999999999996</v>
      </c>
      <c r="CA3445" t="s">
        <v>120</v>
      </c>
      <c r="CB3445">
        <v>6.51</v>
      </c>
      <c r="CC3445">
        <v>36.07</v>
      </c>
      <c r="CD3445">
        <v>27.95</v>
      </c>
      <c r="CE3445">
        <v>2.65</v>
      </c>
      <c r="CF3445">
        <v>0.1</v>
      </c>
      <c r="CG3445">
        <v>2.64</v>
      </c>
      <c r="CH3445">
        <v>2.13</v>
      </c>
      <c r="CI3445">
        <v>2.21</v>
      </c>
      <c r="CJ3445">
        <v>-0.73</v>
      </c>
      <c r="CK3445">
        <v>2.08</v>
      </c>
      <c r="CL3445">
        <v>7.52</v>
      </c>
      <c r="CM3445">
        <v>2.11</v>
      </c>
      <c r="CN3445">
        <v>4.25</v>
      </c>
      <c r="CO3445">
        <v>10186</v>
      </c>
      <c r="CP3445">
        <v>6299</v>
      </c>
      <c r="CQ3445" t="s">
        <v>14629</v>
      </c>
      <c r="CR3445">
        <v>27.09</v>
      </c>
      <c r="CS3445">
        <v>102.39</v>
      </c>
      <c r="CT3445">
        <v>10.82</v>
      </c>
      <c r="CU3445">
        <v>82.89</v>
      </c>
      <c r="CV3445">
        <v>4.84</v>
      </c>
      <c r="CW3445">
        <v>0.63</v>
      </c>
      <c r="CX3445" t="s">
        <v>10344</v>
      </c>
      <c r="CY3445">
        <v>12</v>
      </c>
      <c r="CZ3445">
        <v>0</v>
      </c>
      <c r="DA3445">
        <v>4.8499999999999996</v>
      </c>
      <c r="DB3445">
        <v>5.59</v>
      </c>
      <c r="DC3445">
        <v>1.57</v>
      </c>
      <c r="DD3445">
        <v>32.630000000000003</v>
      </c>
      <c r="DE3445" t="s">
        <v>14630</v>
      </c>
      <c r="DF3445">
        <v>22.5</v>
      </c>
      <c r="DG3445">
        <v>7.33</v>
      </c>
      <c r="DH3445">
        <v>6.13</v>
      </c>
      <c r="DI3445">
        <v>1.49</v>
      </c>
      <c r="DJ3445">
        <v>1912</v>
      </c>
      <c r="DK3445">
        <v>603129</v>
      </c>
      <c r="DL3445" t="s">
        <v>120</v>
      </c>
      <c r="DM3445" t="s">
        <v>120</v>
      </c>
      <c r="DN3445" t="s">
        <v>120</v>
      </c>
    </row>
    <row r="3446" spans="1:118">
      <c r="A3446" t="str">
        <f>"603131"</f>
        <v>603131</v>
      </c>
      <c r="B3446" t="s">
        <v>14631</v>
      </c>
      <c r="C3446">
        <v>-3.34</v>
      </c>
      <c r="D3446">
        <v>-0.17</v>
      </c>
      <c r="E3446">
        <v>1.84</v>
      </c>
      <c r="F3446">
        <v>169</v>
      </c>
      <c r="G3446" t="s">
        <v>3187</v>
      </c>
      <c r="H3446">
        <v>4239.8999999999996</v>
      </c>
      <c r="I3446">
        <v>29.7</v>
      </c>
      <c r="J3446" t="s">
        <v>120</v>
      </c>
      <c r="K3446" t="s">
        <v>11672</v>
      </c>
      <c r="L3446">
        <v>0.64</v>
      </c>
      <c r="M3446">
        <v>22.02</v>
      </c>
      <c r="N3446">
        <v>0.48</v>
      </c>
      <c r="O3446">
        <v>1.84</v>
      </c>
      <c r="P3446">
        <v>23.2</v>
      </c>
      <c r="Q3446">
        <v>-3.38</v>
      </c>
      <c r="R3446">
        <v>22.01</v>
      </c>
      <c r="S3446">
        <v>23.2</v>
      </c>
      <c r="T3446">
        <v>18974</v>
      </c>
      <c r="U3446">
        <v>22.04</v>
      </c>
      <c r="V3446">
        <v>22.78</v>
      </c>
      <c r="W3446">
        <v>67.75</v>
      </c>
      <c r="X3446" t="s">
        <v>675</v>
      </c>
      <c r="Y3446" t="s">
        <v>1510</v>
      </c>
      <c r="Z3446">
        <v>5.22</v>
      </c>
      <c r="AA3446">
        <v>22.35</v>
      </c>
      <c r="AB3446">
        <v>12384</v>
      </c>
      <c r="AC3446">
        <v>6590</v>
      </c>
      <c r="AD3446">
        <v>1.88</v>
      </c>
      <c r="AE3446">
        <v>60</v>
      </c>
      <c r="AF3446">
        <v>22</v>
      </c>
      <c r="AG3446" t="s">
        <v>120</v>
      </c>
      <c r="AH3446">
        <v>0.01</v>
      </c>
      <c r="AI3446" t="s">
        <v>120</v>
      </c>
      <c r="AJ3446">
        <v>2.97</v>
      </c>
      <c r="AK3446" t="s">
        <v>14632</v>
      </c>
      <c r="AL3446">
        <v>-1.99</v>
      </c>
      <c r="AM3446">
        <v>1686</v>
      </c>
      <c r="AN3446">
        <v>11</v>
      </c>
      <c r="AO3446">
        <v>4.0000000000000002E-4</v>
      </c>
      <c r="AP3446">
        <v>-1</v>
      </c>
      <c r="AQ3446">
        <v>2.2400000000000002</v>
      </c>
      <c r="AR3446">
        <v>-4.1900000000000004</v>
      </c>
      <c r="AS3446">
        <v>-7.72</v>
      </c>
      <c r="AT3446">
        <v>28.7</v>
      </c>
      <c r="AU3446">
        <v>-26.24</v>
      </c>
      <c r="AV3446">
        <v>3</v>
      </c>
      <c r="AW3446">
        <v>1.96</v>
      </c>
      <c r="AX3446">
        <v>30.42</v>
      </c>
      <c r="AY3446">
        <v>51.44</v>
      </c>
      <c r="AZ3446">
        <v>59.61</v>
      </c>
      <c r="BA3446">
        <v>0.03</v>
      </c>
      <c r="BB3446" t="s">
        <v>125</v>
      </c>
      <c r="BF3446">
        <v>-1.91</v>
      </c>
      <c r="BG3446">
        <v>-5.09</v>
      </c>
      <c r="BH3446">
        <v>-5.09</v>
      </c>
      <c r="BI3446">
        <v>0.05</v>
      </c>
      <c r="BJ3446">
        <v>20210826</v>
      </c>
      <c r="BK3446">
        <v>20160607</v>
      </c>
      <c r="BL3446">
        <v>3.18</v>
      </c>
      <c r="BM3446" t="s">
        <v>120</v>
      </c>
      <c r="BN3446" t="s">
        <v>120</v>
      </c>
      <c r="BO3446">
        <v>23.88</v>
      </c>
      <c r="BP3446">
        <v>22.02</v>
      </c>
      <c r="BQ3446">
        <v>13.1</v>
      </c>
      <c r="BR3446">
        <v>0.06</v>
      </c>
      <c r="BS3446">
        <v>44.88</v>
      </c>
      <c r="BT3446">
        <v>15.97</v>
      </c>
      <c r="BU3446">
        <v>3.53</v>
      </c>
      <c r="BV3446">
        <v>0.69</v>
      </c>
      <c r="BW3446">
        <v>5.71</v>
      </c>
      <c r="BX3446">
        <v>5.25</v>
      </c>
      <c r="BY3446">
        <v>3.78</v>
      </c>
      <c r="BZ3446">
        <v>3.51</v>
      </c>
      <c r="CA3446" t="s">
        <v>120</v>
      </c>
      <c r="CB3446">
        <v>4.99</v>
      </c>
      <c r="CC3446">
        <v>5.7</v>
      </c>
      <c r="CD3446">
        <v>4.3600000000000003</v>
      </c>
      <c r="CE3446">
        <v>0.59</v>
      </c>
      <c r="CF3446">
        <v>0.06</v>
      </c>
      <c r="CG3446">
        <v>0.6</v>
      </c>
      <c r="CH3446">
        <v>0.52</v>
      </c>
      <c r="CI3446">
        <v>0.52</v>
      </c>
      <c r="CJ3446">
        <v>-0.76</v>
      </c>
      <c r="CK3446">
        <v>0.43</v>
      </c>
      <c r="CL3446">
        <v>4.18</v>
      </c>
      <c r="CM3446">
        <v>-0.39</v>
      </c>
      <c r="CN3446">
        <v>-1.57</v>
      </c>
      <c r="CO3446">
        <v>18270</v>
      </c>
      <c r="CP3446">
        <v>5294</v>
      </c>
      <c r="CQ3446" t="s">
        <v>14633</v>
      </c>
      <c r="CR3446">
        <v>59.68</v>
      </c>
      <c r="CS3446">
        <v>60.07</v>
      </c>
      <c r="CT3446">
        <v>5.42</v>
      </c>
      <c r="CU3446">
        <v>-178.02</v>
      </c>
      <c r="CV3446">
        <v>12.28</v>
      </c>
      <c r="CW3446">
        <v>0.88</v>
      </c>
      <c r="CX3446" t="s">
        <v>1091</v>
      </c>
      <c r="CY3446">
        <v>4.0599999999999996</v>
      </c>
      <c r="CZ3446">
        <v>4.0599999999999996</v>
      </c>
      <c r="DA3446">
        <v>1.57</v>
      </c>
      <c r="DB3446">
        <v>1.32</v>
      </c>
      <c r="DC3446">
        <v>-0.12</v>
      </c>
      <c r="DD3446">
        <v>54.86</v>
      </c>
      <c r="DE3446" t="s">
        <v>4916</v>
      </c>
      <c r="DF3446">
        <v>23.53</v>
      </c>
      <c r="DG3446">
        <v>10.4</v>
      </c>
      <c r="DH3446">
        <v>9.06</v>
      </c>
      <c r="DI3446">
        <v>0.22</v>
      </c>
      <c r="DJ3446">
        <v>1282</v>
      </c>
      <c r="DK3446">
        <v>603131</v>
      </c>
      <c r="DL3446" t="s">
        <v>120</v>
      </c>
      <c r="DM3446" t="s">
        <v>120</v>
      </c>
      <c r="DN3446" t="s">
        <v>120</v>
      </c>
    </row>
    <row r="3447" spans="1:118">
      <c r="A3447" t="str">
        <f>"603133"</f>
        <v>603133</v>
      </c>
      <c r="B3447" t="s">
        <v>14634</v>
      </c>
      <c r="C3447">
        <v>-1.68</v>
      </c>
      <c r="D3447">
        <v>0</v>
      </c>
      <c r="E3447">
        <v>-1.0900000000000001</v>
      </c>
      <c r="F3447">
        <v>605</v>
      </c>
      <c r="G3447" t="s">
        <v>6369</v>
      </c>
      <c r="H3447">
        <v>5767.58</v>
      </c>
      <c r="I3447">
        <v>23.25</v>
      </c>
      <c r="J3447" t="s">
        <v>120</v>
      </c>
      <c r="K3447" t="s">
        <v>1224</v>
      </c>
      <c r="L3447">
        <v>2.74</v>
      </c>
      <c r="M3447">
        <v>9.9600000000000009</v>
      </c>
      <c r="N3447">
        <v>0.88</v>
      </c>
      <c r="O3447">
        <v>1.18</v>
      </c>
      <c r="P3447">
        <v>10.25</v>
      </c>
      <c r="Q3447">
        <v>-1.88</v>
      </c>
      <c r="R3447">
        <v>9.94</v>
      </c>
      <c r="S3447">
        <v>10.02</v>
      </c>
      <c r="T3447">
        <v>57374</v>
      </c>
      <c r="U3447">
        <v>9.9700000000000006</v>
      </c>
      <c r="V3447">
        <v>10.130000000000001</v>
      </c>
      <c r="W3447" t="s">
        <v>120</v>
      </c>
      <c r="X3447" t="s">
        <v>229</v>
      </c>
      <c r="Y3447" t="s">
        <v>319</v>
      </c>
      <c r="Z3447">
        <v>3.06</v>
      </c>
      <c r="AA3447">
        <v>10.050000000000001</v>
      </c>
      <c r="AB3447">
        <v>34432</v>
      </c>
      <c r="AC3447">
        <v>22942</v>
      </c>
      <c r="AD3447">
        <v>1.5</v>
      </c>
      <c r="AE3447">
        <v>49</v>
      </c>
      <c r="AF3447">
        <v>93</v>
      </c>
      <c r="AG3447" t="s">
        <v>120</v>
      </c>
      <c r="AH3447">
        <v>0.02</v>
      </c>
      <c r="AI3447" t="s">
        <v>120</v>
      </c>
      <c r="AJ3447">
        <v>2.09</v>
      </c>
      <c r="AK3447" t="s">
        <v>1224</v>
      </c>
      <c r="AL3447">
        <v>-0.33</v>
      </c>
      <c r="AM3447">
        <v>2143</v>
      </c>
      <c r="AN3447">
        <v>27</v>
      </c>
      <c r="AO3447">
        <v>1.2999999999999999E-3</v>
      </c>
      <c r="AP3447">
        <v>-2</v>
      </c>
      <c r="AQ3447">
        <v>-0.49</v>
      </c>
      <c r="AR3447">
        <v>-1.78</v>
      </c>
      <c r="AS3447">
        <v>-12.55</v>
      </c>
      <c r="AT3447">
        <v>-0.4</v>
      </c>
      <c r="AU3447">
        <v>-10.67</v>
      </c>
      <c r="AV3447">
        <v>6</v>
      </c>
      <c r="AW3447">
        <v>4.75</v>
      </c>
      <c r="AX3447">
        <v>57.7</v>
      </c>
      <c r="AY3447" t="s">
        <v>120</v>
      </c>
      <c r="AZ3447" t="s">
        <v>120</v>
      </c>
      <c r="BA3447">
        <v>0.65</v>
      </c>
      <c r="BB3447" t="s">
        <v>134</v>
      </c>
      <c r="BF3447">
        <v>-0.76</v>
      </c>
      <c r="BG3447">
        <v>-0.6</v>
      </c>
      <c r="BH3447">
        <v>-2.83</v>
      </c>
      <c r="BI3447">
        <v>0.2</v>
      </c>
      <c r="BJ3447">
        <v>20210830</v>
      </c>
      <c r="BK3447">
        <v>20170320</v>
      </c>
      <c r="BL3447">
        <v>2.09</v>
      </c>
      <c r="BM3447" t="s">
        <v>120</v>
      </c>
      <c r="BN3447" t="s">
        <v>120</v>
      </c>
      <c r="BO3447">
        <v>11.53</v>
      </c>
      <c r="BP3447">
        <v>9.9600000000000009</v>
      </c>
      <c r="BQ3447">
        <v>4.6900000000000004</v>
      </c>
      <c r="BR3447">
        <v>0.13</v>
      </c>
      <c r="BS3447">
        <v>58.21</v>
      </c>
      <c r="BT3447">
        <v>3.65</v>
      </c>
      <c r="BU3447">
        <v>3.18</v>
      </c>
      <c r="BV3447">
        <v>0.86</v>
      </c>
      <c r="BW3447">
        <v>4.41</v>
      </c>
      <c r="BX3447">
        <v>1.31</v>
      </c>
      <c r="BY3447">
        <v>0.79</v>
      </c>
      <c r="BZ3447">
        <v>0.73</v>
      </c>
      <c r="CA3447">
        <v>0</v>
      </c>
      <c r="CB3447">
        <v>4.7</v>
      </c>
      <c r="CC3447">
        <v>2.1800000000000002</v>
      </c>
      <c r="CD3447">
        <v>2.02</v>
      </c>
      <c r="CE3447">
        <v>-3.32</v>
      </c>
      <c r="CF3447">
        <v>0.01</v>
      </c>
      <c r="CG3447">
        <v>-3.32</v>
      </c>
      <c r="CH3447">
        <v>-3.66</v>
      </c>
      <c r="CI3447">
        <v>-3.62</v>
      </c>
      <c r="CJ3447">
        <v>-0.17</v>
      </c>
      <c r="CK3447">
        <v>-3.66</v>
      </c>
      <c r="CL3447">
        <v>-2.64</v>
      </c>
      <c r="CM3447">
        <v>0.14000000000000001</v>
      </c>
      <c r="CN3447">
        <v>0.28000000000000003</v>
      </c>
      <c r="CO3447">
        <v>25401</v>
      </c>
      <c r="CP3447">
        <v>4752</v>
      </c>
      <c r="CQ3447" t="s">
        <v>14635</v>
      </c>
      <c r="CR3447">
        <v>-766.21</v>
      </c>
      <c r="CS3447">
        <v>-14.4</v>
      </c>
      <c r="CT3447">
        <v>4.45</v>
      </c>
      <c r="CU3447">
        <v>149.13</v>
      </c>
      <c r="CV3447">
        <v>9.56</v>
      </c>
      <c r="CW3447">
        <v>0</v>
      </c>
      <c r="CX3447" t="s">
        <v>14636</v>
      </c>
      <c r="CY3447">
        <v>2.2400000000000002</v>
      </c>
      <c r="CZ3447">
        <v>2.2400000000000002</v>
      </c>
      <c r="DA3447">
        <v>2.25</v>
      </c>
      <c r="DB3447">
        <v>-1.26</v>
      </c>
      <c r="DC3447">
        <v>7.0000000000000007E-2</v>
      </c>
      <c r="DD3447">
        <v>40.630000000000003</v>
      </c>
      <c r="DE3447" t="s">
        <v>14637</v>
      </c>
      <c r="DF3447">
        <v>7.51</v>
      </c>
      <c r="DG3447">
        <v>-152.46</v>
      </c>
      <c r="DH3447">
        <v>-166.11</v>
      </c>
      <c r="DI3447">
        <v>0.16</v>
      </c>
      <c r="DJ3447">
        <v>1462</v>
      </c>
      <c r="DK3447">
        <v>603133</v>
      </c>
      <c r="DL3447" t="s">
        <v>120</v>
      </c>
      <c r="DM3447" t="s">
        <v>120</v>
      </c>
      <c r="DN3447" t="s">
        <v>120</v>
      </c>
    </row>
    <row r="3448" spans="1:118">
      <c r="A3448" t="str">
        <f>"603136"</f>
        <v>603136</v>
      </c>
      <c r="B3448" t="s">
        <v>14638</v>
      </c>
      <c r="C3448">
        <v>1.5</v>
      </c>
      <c r="D3448">
        <v>-0.04</v>
      </c>
      <c r="E3448">
        <v>0</v>
      </c>
      <c r="F3448">
        <v>554</v>
      </c>
      <c r="G3448" t="s">
        <v>3042</v>
      </c>
      <c r="H3448">
        <v>4514.32</v>
      </c>
      <c r="I3448">
        <v>37.479999999999997</v>
      </c>
      <c r="J3448" t="s">
        <v>120</v>
      </c>
      <c r="K3448" t="s">
        <v>14639</v>
      </c>
      <c r="L3448">
        <v>1.33</v>
      </c>
      <c r="M3448">
        <v>18.29</v>
      </c>
      <c r="N3448">
        <v>0.49</v>
      </c>
      <c r="O3448">
        <v>2.11</v>
      </c>
      <c r="P3448">
        <v>18.399999999999999</v>
      </c>
      <c r="Q3448">
        <v>-1</v>
      </c>
      <c r="R3448">
        <v>17.84</v>
      </c>
      <c r="S3448">
        <v>18.02</v>
      </c>
      <c r="T3448">
        <v>24864</v>
      </c>
      <c r="U3448">
        <v>18.29</v>
      </c>
      <c r="V3448">
        <v>18.02</v>
      </c>
      <c r="W3448">
        <v>39.83</v>
      </c>
      <c r="X3448" t="s">
        <v>489</v>
      </c>
      <c r="Y3448" t="s">
        <v>319</v>
      </c>
      <c r="Z3448">
        <v>3.11</v>
      </c>
      <c r="AA3448">
        <v>18.16</v>
      </c>
      <c r="AB3448">
        <v>11576</v>
      </c>
      <c r="AC3448">
        <v>13288</v>
      </c>
      <c r="AD3448">
        <v>0.87</v>
      </c>
      <c r="AE3448">
        <v>7</v>
      </c>
      <c r="AF3448">
        <v>14</v>
      </c>
      <c r="AG3448" t="s">
        <v>120</v>
      </c>
      <c r="AH3448">
        <v>0.02</v>
      </c>
      <c r="AI3448" t="s">
        <v>120</v>
      </c>
      <c r="AJ3448">
        <v>1.86</v>
      </c>
      <c r="AK3448" t="s">
        <v>14639</v>
      </c>
      <c r="AL3448">
        <v>2.84</v>
      </c>
      <c r="AM3448">
        <v>1825</v>
      </c>
      <c r="AN3448">
        <v>14</v>
      </c>
      <c r="AO3448">
        <v>6.9999999999999999E-4</v>
      </c>
      <c r="AP3448">
        <v>2</v>
      </c>
      <c r="AQ3448">
        <v>1.35</v>
      </c>
      <c r="AR3448">
        <v>-1.18</v>
      </c>
      <c r="AS3448">
        <v>10.58</v>
      </c>
      <c r="AT3448">
        <v>9.59</v>
      </c>
      <c r="AU3448">
        <v>5.87</v>
      </c>
      <c r="AV3448">
        <v>5</v>
      </c>
      <c r="AW3448">
        <v>2.4900000000000002</v>
      </c>
      <c r="AX3448">
        <v>53.55</v>
      </c>
      <c r="AY3448">
        <v>31.02</v>
      </c>
      <c r="AZ3448">
        <v>61.16</v>
      </c>
      <c r="BA3448">
        <v>0.11</v>
      </c>
      <c r="BB3448" t="s">
        <v>143</v>
      </c>
      <c r="BF3448">
        <v>0.76</v>
      </c>
      <c r="BG3448">
        <v>1.5</v>
      </c>
      <c r="BH3448">
        <v>-0.6</v>
      </c>
      <c r="BI3448">
        <v>2.52</v>
      </c>
      <c r="BJ3448">
        <v>20210816</v>
      </c>
      <c r="BK3448">
        <v>20170927</v>
      </c>
      <c r="BL3448">
        <v>1.86</v>
      </c>
      <c r="BM3448" t="s">
        <v>120</v>
      </c>
      <c r="BN3448" t="s">
        <v>120</v>
      </c>
      <c r="BO3448">
        <v>15.47</v>
      </c>
      <c r="BP3448">
        <v>18.28</v>
      </c>
      <c r="BQ3448">
        <v>11.52</v>
      </c>
      <c r="BR3448">
        <v>0.95</v>
      </c>
      <c r="BS3448">
        <v>19.38</v>
      </c>
      <c r="BT3448">
        <v>4.46</v>
      </c>
      <c r="BU3448">
        <v>8.15</v>
      </c>
      <c r="BV3448">
        <v>1.1200000000000001</v>
      </c>
      <c r="BW3448">
        <v>2.13</v>
      </c>
      <c r="BX3448">
        <v>4.1100000000000003</v>
      </c>
      <c r="BY3448">
        <v>7.0000000000000007E-2</v>
      </c>
      <c r="BZ3448">
        <v>0.09</v>
      </c>
      <c r="CA3448" t="s">
        <v>120</v>
      </c>
      <c r="CB3448">
        <v>5.43</v>
      </c>
      <c r="CC3448">
        <v>2.27</v>
      </c>
      <c r="CD3448">
        <v>1.01</v>
      </c>
      <c r="CE3448">
        <v>0.71</v>
      </c>
      <c r="CF3448">
        <v>0</v>
      </c>
      <c r="CG3448">
        <v>0.71</v>
      </c>
      <c r="CH3448">
        <v>0.5</v>
      </c>
      <c r="CI3448">
        <v>0.43</v>
      </c>
      <c r="CJ3448">
        <v>0.27</v>
      </c>
      <c r="CK3448">
        <v>0.41</v>
      </c>
      <c r="CL3448">
        <v>3.56</v>
      </c>
      <c r="CM3448">
        <v>0.7</v>
      </c>
      <c r="CN3448">
        <v>-1.39</v>
      </c>
      <c r="CO3448">
        <v>9021</v>
      </c>
      <c r="CP3448">
        <v>11058</v>
      </c>
      <c r="CQ3448" t="s">
        <v>14640</v>
      </c>
      <c r="CR3448">
        <v>504.92</v>
      </c>
      <c r="CS3448">
        <v>125.9</v>
      </c>
      <c r="CT3448">
        <v>2.96</v>
      </c>
      <c r="CU3448">
        <v>48.78</v>
      </c>
      <c r="CV3448">
        <v>14.99</v>
      </c>
      <c r="CW3448">
        <v>1.1499999999999999</v>
      </c>
      <c r="CX3448" t="s">
        <v>626</v>
      </c>
      <c r="CY3448">
        <v>6.19</v>
      </c>
      <c r="CZ3448">
        <v>0</v>
      </c>
      <c r="DA3448">
        <v>2.92</v>
      </c>
      <c r="DB3448">
        <v>1.91</v>
      </c>
      <c r="DC3448">
        <v>0.37</v>
      </c>
      <c r="DD3448">
        <v>74.5</v>
      </c>
      <c r="DE3448" t="s">
        <v>3172</v>
      </c>
      <c r="DF3448">
        <v>55.7</v>
      </c>
      <c r="DG3448">
        <v>31.03</v>
      </c>
      <c r="DH3448">
        <v>18.809999999999999</v>
      </c>
      <c r="DI3448" t="s">
        <v>120</v>
      </c>
      <c r="DJ3448">
        <v>1292</v>
      </c>
      <c r="DK3448">
        <v>603136</v>
      </c>
      <c r="DL3448" t="s">
        <v>120</v>
      </c>
      <c r="DM3448" t="s">
        <v>120</v>
      </c>
      <c r="DN3448" t="s">
        <v>120</v>
      </c>
    </row>
    <row r="3449" spans="1:118">
      <c r="A3449" t="str">
        <f>"603138"</f>
        <v>603138</v>
      </c>
      <c r="B3449" t="s">
        <v>14641</v>
      </c>
      <c r="C3449">
        <v>-1.59</v>
      </c>
      <c r="D3449">
        <v>-0.15</v>
      </c>
      <c r="E3449">
        <v>0</v>
      </c>
      <c r="F3449">
        <v>385</v>
      </c>
      <c r="G3449" t="s">
        <v>14642</v>
      </c>
      <c r="H3449">
        <v>2803.62</v>
      </c>
      <c r="I3449">
        <v>1.89</v>
      </c>
      <c r="J3449" t="s">
        <v>120</v>
      </c>
      <c r="K3449" t="s">
        <v>14643</v>
      </c>
      <c r="L3449">
        <v>0.89</v>
      </c>
      <c r="M3449">
        <v>12.4</v>
      </c>
      <c r="N3449">
        <v>0.65</v>
      </c>
      <c r="O3449">
        <v>0.95</v>
      </c>
      <c r="P3449">
        <v>12.72</v>
      </c>
      <c r="Q3449">
        <v>-1.75</v>
      </c>
      <c r="R3449">
        <v>12.38</v>
      </c>
      <c r="S3449">
        <v>12.6</v>
      </c>
      <c r="T3449">
        <v>22395</v>
      </c>
      <c r="U3449">
        <v>12.41</v>
      </c>
      <c r="V3449">
        <v>12.6</v>
      </c>
      <c r="W3449">
        <v>188.42</v>
      </c>
      <c r="X3449" t="s">
        <v>141</v>
      </c>
      <c r="Y3449" t="s">
        <v>158</v>
      </c>
      <c r="Z3449">
        <v>2.7</v>
      </c>
      <c r="AA3449">
        <v>12.52</v>
      </c>
      <c r="AB3449">
        <v>13973</v>
      </c>
      <c r="AC3449">
        <v>8422</v>
      </c>
      <c r="AD3449">
        <v>1.66</v>
      </c>
      <c r="AE3449">
        <v>47</v>
      </c>
      <c r="AF3449">
        <v>33</v>
      </c>
      <c r="AG3449" t="s">
        <v>120</v>
      </c>
      <c r="AH3449">
        <v>0</v>
      </c>
      <c r="AI3449" t="s">
        <v>120</v>
      </c>
      <c r="AJ3449">
        <v>2.5299999999999998</v>
      </c>
      <c r="AK3449" t="s">
        <v>14644</v>
      </c>
      <c r="AL3449">
        <v>-0.24</v>
      </c>
      <c r="AM3449">
        <v>1036</v>
      </c>
      <c r="AN3449">
        <v>22</v>
      </c>
      <c r="AO3449">
        <v>8.9999999999999998E-4</v>
      </c>
      <c r="AP3449">
        <v>-2</v>
      </c>
      <c r="AQ3449">
        <v>-2.63</v>
      </c>
      <c r="AR3449">
        <v>-3.5</v>
      </c>
      <c r="AS3449">
        <v>0</v>
      </c>
      <c r="AT3449">
        <v>-8.42</v>
      </c>
      <c r="AU3449">
        <v>-12.98</v>
      </c>
      <c r="AV3449">
        <v>2</v>
      </c>
      <c r="AW3449">
        <v>2.0699999999999998</v>
      </c>
      <c r="AX3449">
        <v>42.04</v>
      </c>
      <c r="AY3449">
        <v>102.37</v>
      </c>
      <c r="AZ3449">
        <v>93.65</v>
      </c>
      <c r="BA3449">
        <v>1.4</v>
      </c>
      <c r="BB3449" t="s">
        <v>143</v>
      </c>
      <c r="BF3449">
        <v>-0.65</v>
      </c>
      <c r="BG3449">
        <v>-1.59</v>
      </c>
      <c r="BH3449">
        <v>-2.52</v>
      </c>
      <c r="BI3449">
        <v>0.16</v>
      </c>
      <c r="BJ3449">
        <v>20210803</v>
      </c>
      <c r="BK3449">
        <v>20170306</v>
      </c>
      <c r="BL3449">
        <v>2.58</v>
      </c>
      <c r="BM3449" t="s">
        <v>120</v>
      </c>
      <c r="BN3449" t="s">
        <v>120</v>
      </c>
      <c r="BO3449">
        <v>6.81</v>
      </c>
      <c r="BP3449">
        <v>12.4</v>
      </c>
      <c r="BQ3449">
        <v>5.25</v>
      </c>
      <c r="BR3449">
        <v>-0.09</v>
      </c>
      <c r="BS3449">
        <v>24.14</v>
      </c>
      <c r="BT3449">
        <v>6.33</v>
      </c>
      <c r="BU3449">
        <v>0.05</v>
      </c>
      <c r="BV3449">
        <v>0.03</v>
      </c>
      <c r="BW3449">
        <v>1.36</v>
      </c>
      <c r="BX3449">
        <v>3.57</v>
      </c>
      <c r="BY3449">
        <v>0.48</v>
      </c>
      <c r="BZ3449">
        <v>0.92</v>
      </c>
      <c r="CA3449" t="s">
        <v>120</v>
      </c>
      <c r="CB3449">
        <v>0.51</v>
      </c>
      <c r="CC3449">
        <v>1.98</v>
      </c>
      <c r="CD3449">
        <v>1.3</v>
      </c>
      <c r="CE3449">
        <v>0.08</v>
      </c>
      <c r="CF3449">
        <v>0</v>
      </c>
      <c r="CG3449">
        <v>0.08</v>
      </c>
      <c r="CH3449">
        <v>0.06</v>
      </c>
      <c r="CI3449">
        <v>0.08</v>
      </c>
      <c r="CJ3449">
        <v>-0.2</v>
      </c>
      <c r="CK3449">
        <v>7.0000000000000007E-2</v>
      </c>
      <c r="CL3449">
        <v>2.15</v>
      </c>
      <c r="CM3449">
        <v>-0.5</v>
      </c>
      <c r="CN3449">
        <v>-1.05</v>
      </c>
      <c r="CO3449">
        <v>26062</v>
      </c>
      <c r="CP3449">
        <v>4155</v>
      </c>
      <c r="CQ3449" t="s">
        <v>5837</v>
      </c>
      <c r="CR3449">
        <v>-25.83</v>
      </c>
      <c r="CS3449">
        <v>5.34</v>
      </c>
      <c r="CT3449">
        <v>6.08</v>
      </c>
      <c r="CU3449">
        <v>-63.6</v>
      </c>
      <c r="CV3449">
        <v>16.100000000000001</v>
      </c>
      <c r="CW3449">
        <v>0.16</v>
      </c>
      <c r="CX3449" t="s">
        <v>2074</v>
      </c>
      <c r="CY3449">
        <v>2.04</v>
      </c>
      <c r="CZ3449">
        <v>0</v>
      </c>
      <c r="DA3449">
        <v>0.2</v>
      </c>
      <c r="DB3449">
        <v>0.83</v>
      </c>
      <c r="DC3449">
        <v>-0.19</v>
      </c>
      <c r="DD3449">
        <v>77.16</v>
      </c>
      <c r="DE3449" t="s">
        <v>8669</v>
      </c>
      <c r="DF3449">
        <v>34.29</v>
      </c>
      <c r="DG3449">
        <v>4.1100000000000003</v>
      </c>
      <c r="DH3449">
        <v>4.2699999999999996</v>
      </c>
      <c r="DI3449">
        <v>0.34</v>
      </c>
      <c r="DJ3449">
        <v>370</v>
      </c>
      <c r="DK3449">
        <v>603138</v>
      </c>
      <c r="DL3449" t="s">
        <v>120</v>
      </c>
      <c r="DM3449" t="s">
        <v>120</v>
      </c>
      <c r="DN3449" t="s">
        <v>120</v>
      </c>
    </row>
    <row r="3450" spans="1:118">
      <c r="A3450" t="str">
        <f>"603139"</f>
        <v>603139</v>
      </c>
      <c r="B3450" t="s">
        <v>14645</v>
      </c>
      <c r="C3450">
        <v>-1.34</v>
      </c>
      <c r="D3450">
        <v>-0.1</v>
      </c>
      <c r="E3450">
        <v>0.11</v>
      </c>
      <c r="F3450">
        <v>281</v>
      </c>
      <c r="G3450" t="s">
        <v>14646</v>
      </c>
      <c r="H3450">
        <v>1805.4</v>
      </c>
      <c r="I3450">
        <v>16.82</v>
      </c>
      <c r="J3450" t="s">
        <v>120</v>
      </c>
      <c r="K3450" t="s">
        <v>3376</v>
      </c>
      <c r="L3450">
        <v>1.02</v>
      </c>
      <c r="M3450">
        <v>17.63</v>
      </c>
      <c r="N3450">
        <v>0.8</v>
      </c>
      <c r="O3450">
        <v>0.5</v>
      </c>
      <c r="P3450">
        <v>17.96</v>
      </c>
      <c r="Q3450">
        <v>-1.34</v>
      </c>
      <c r="R3450">
        <v>17.63</v>
      </c>
      <c r="S3450">
        <v>17.89</v>
      </c>
      <c r="T3450">
        <v>10171</v>
      </c>
      <c r="U3450">
        <v>17.63</v>
      </c>
      <c r="V3450">
        <v>17.87</v>
      </c>
      <c r="W3450">
        <v>57.54</v>
      </c>
      <c r="X3450" t="s">
        <v>771</v>
      </c>
      <c r="Y3450" t="s">
        <v>890</v>
      </c>
      <c r="Z3450">
        <v>1.85</v>
      </c>
      <c r="AA3450">
        <v>17.75</v>
      </c>
      <c r="AB3450">
        <v>6139</v>
      </c>
      <c r="AC3450">
        <v>4032</v>
      </c>
      <c r="AD3450">
        <v>1.52</v>
      </c>
      <c r="AE3450">
        <v>23</v>
      </c>
      <c r="AF3450">
        <v>1</v>
      </c>
      <c r="AG3450" t="s">
        <v>120</v>
      </c>
      <c r="AH3450">
        <v>0.03</v>
      </c>
      <c r="AI3450" t="s">
        <v>120</v>
      </c>
      <c r="AJ3450">
        <v>1</v>
      </c>
      <c r="AK3450" t="s">
        <v>3376</v>
      </c>
      <c r="AL3450">
        <v>0</v>
      </c>
      <c r="AM3450">
        <v>772</v>
      </c>
      <c r="AN3450">
        <v>13</v>
      </c>
      <c r="AO3450">
        <v>1.2999999999999999E-3</v>
      </c>
      <c r="AP3450">
        <v>-1</v>
      </c>
      <c r="AQ3450">
        <v>1.07</v>
      </c>
      <c r="AR3450">
        <v>2.37</v>
      </c>
      <c r="AS3450">
        <v>3.46</v>
      </c>
      <c r="AT3450">
        <v>5.57</v>
      </c>
      <c r="AU3450">
        <v>5.5</v>
      </c>
      <c r="AV3450">
        <v>1</v>
      </c>
      <c r="AW3450">
        <v>2.75</v>
      </c>
      <c r="AX3450">
        <v>37</v>
      </c>
      <c r="AY3450">
        <v>53.84</v>
      </c>
      <c r="AZ3450">
        <v>52.32</v>
      </c>
      <c r="BA3450">
        <v>0.51</v>
      </c>
      <c r="BB3450" t="s">
        <v>184</v>
      </c>
      <c r="BF3450">
        <v>-0.67</v>
      </c>
      <c r="BG3450">
        <v>-1.45</v>
      </c>
      <c r="BH3450">
        <v>-1.84</v>
      </c>
      <c r="BI3450">
        <v>0</v>
      </c>
      <c r="BJ3450">
        <v>20210830</v>
      </c>
      <c r="BK3450">
        <v>20170421</v>
      </c>
      <c r="BL3450">
        <v>1</v>
      </c>
      <c r="BM3450" t="s">
        <v>120</v>
      </c>
      <c r="BN3450" t="s">
        <v>120</v>
      </c>
      <c r="BO3450">
        <v>17.149999999999999</v>
      </c>
      <c r="BP3450">
        <v>17.61</v>
      </c>
      <c r="BQ3450">
        <v>10.16</v>
      </c>
      <c r="BR3450">
        <v>0.63</v>
      </c>
      <c r="BS3450">
        <v>37.090000000000003</v>
      </c>
      <c r="BT3450">
        <v>8.11</v>
      </c>
      <c r="BU3450">
        <v>0.68</v>
      </c>
      <c r="BV3450">
        <v>1.23</v>
      </c>
      <c r="BW3450">
        <v>1.45</v>
      </c>
      <c r="BX3450">
        <v>3.25</v>
      </c>
      <c r="BY3450">
        <v>1.23</v>
      </c>
      <c r="BZ3450">
        <v>1.49</v>
      </c>
      <c r="CA3450" t="s">
        <v>120</v>
      </c>
      <c r="CB3450">
        <v>4.12</v>
      </c>
      <c r="CC3450">
        <v>2.14</v>
      </c>
      <c r="CD3450">
        <v>1.1399999999999999</v>
      </c>
      <c r="CE3450">
        <v>0.18</v>
      </c>
      <c r="CF3450">
        <v>0.06</v>
      </c>
      <c r="CG3450">
        <v>0.17</v>
      </c>
      <c r="CH3450">
        <v>0.14000000000000001</v>
      </c>
      <c r="CI3450">
        <v>0.15</v>
      </c>
      <c r="CJ3450">
        <v>-0.24</v>
      </c>
      <c r="CK3450">
        <v>0.11</v>
      </c>
      <c r="CL3450">
        <v>4.47</v>
      </c>
      <c r="CM3450">
        <v>-0.1</v>
      </c>
      <c r="CN3450">
        <v>0.94</v>
      </c>
      <c r="CO3450">
        <v>8739</v>
      </c>
      <c r="CP3450">
        <v>4229</v>
      </c>
      <c r="CQ3450" t="s">
        <v>1029</v>
      </c>
      <c r="CR3450">
        <v>-5.94</v>
      </c>
      <c r="CS3450">
        <v>21.38</v>
      </c>
      <c r="CT3450">
        <v>1.73</v>
      </c>
      <c r="CU3450">
        <v>-171.23</v>
      </c>
      <c r="CV3450">
        <v>8.2200000000000006</v>
      </c>
      <c r="CW3450">
        <v>0.39</v>
      </c>
      <c r="CX3450" t="s">
        <v>373</v>
      </c>
      <c r="CY3450">
        <v>10.17</v>
      </c>
      <c r="CZ3450">
        <v>0</v>
      </c>
      <c r="DA3450">
        <v>4.13</v>
      </c>
      <c r="DB3450">
        <v>4.47</v>
      </c>
      <c r="DC3450">
        <v>-0.1</v>
      </c>
      <c r="DD3450">
        <v>59.23</v>
      </c>
      <c r="DE3450" t="s">
        <v>5243</v>
      </c>
      <c r="DF3450">
        <v>46.58</v>
      </c>
      <c r="DG3450">
        <v>8.23</v>
      </c>
      <c r="DH3450">
        <v>7.14</v>
      </c>
      <c r="DI3450">
        <v>0.03</v>
      </c>
      <c r="DJ3450">
        <v>742</v>
      </c>
      <c r="DK3450">
        <v>603139</v>
      </c>
      <c r="DL3450" t="s">
        <v>120</v>
      </c>
      <c r="DM3450" t="s">
        <v>120</v>
      </c>
      <c r="DN3450" t="s">
        <v>120</v>
      </c>
    </row>
    <row r="3451" spans="1:118">
      <c r="A3451" t="str">
        <f>"603155"</f>
        <v>603155</v>
      </c>
      <c r="B3451" t="s">
        <v>14647</v>
      </c>
      <c r="C3451">
        <v>-6.09</v>
      </c>
      <c r="D3451">
        <v>0</v>
      </c>
      <c r="E3451">
        <v>-0.7</v>
      </c>
      <c r="F3451">
        <v>175</v>
      </c>
      <c r="G3451" t="s">
        <v>9350</v>
      </c>
      <c r="H3451">
        <v>16253.52</v>
      </c>
      <c r="I3451">
        <v>50.22</v>
      </c>
      <c r="J3451" t="s">
        <v>120</v>
      </c>
      <c r="K3451" t="s">
        <v>9350</v>
      </c>
      <c r="L3451">
        <v>7.95</v>
      </c>
      <c r="M3451">
        <v>51.07</v>
      </c>
      <c r="N3451">
        <v>1.03</v>
      </c>
      <c r="O3451">
        <v>1.51</v>
      </c>
      <c r="P3451">
        <v>55.2</v>
      </c>
      <c r="Q3451">
        <v>-6.42</v>
      </c>
      <c r="R3451">
        <v>50.89</v>
      </c>
      <c r="S3451">
        <v>54</v>
      </c>
      <c r="T3451">
        <v>30925</v>
      </c>
      <c r="U3451">
        <v>51.13</v>
      </c>
      <c r="V3451">
        <v>54.38</v>
      </c>
      <c r="W3451">
        <v>27.07</v>
      </c>
      <c r="X3451" t="s">
        <v>868</v>
      </c>
      <c r="Y3451" t="s">
        <v>319</v>
      </c>
      <c r="Z3451">
        <v>7.93</v>
      </c>
      <c r="AA3451">
        <v>52.56</v>
      </c>
      <c r="AB3451">
        <v>19903</v>
      </c>
      <c r="AC3451">
        <v>11022</v>
      </c>
      <c r="AD3451">
        <v>1.81</v>
      </c>
      <c r="AE3451">
        <v>74</v>
      </c>
      <c r="AF3451">
        <v>3</v>
      </c>
      <c r="AG3451" t="s">
        <v>120</v>
      </c>
      <c r="AH3451">
        <v>0.02</v>
      </c>
      <c r="AI3451" t="s">
        <v>120</v>
      </c>
      <c r="AJ3451">
        <v>0.39</v>
      </c>
      <c r="AK3451" t="s">
        <v>14648</v>
      </c>
      <c r="AL3451">
        <v>-4.74</v>
      </c>
      <c r="AM3451">
        <v>2796</v>
      </c>
      <c r="AN3451">
        <v>11</v>
      </c>
      <c r="AO3451">
        <v>2.8E-3</v>
      </c>
      <c r="AP3451">
        <v>-2</v>
      </c>
      <c r="AQ3451">
        <v>-2</v>
      </c>
      <c r="AR3451">
        <v>-3.82</v>
      </c>
      <c r="AS3451">
        <v>-0.7</v>
      </c>
      <c r="AT3451">
        <v>25.76</v>
      </c>
      <c r="AU3451">
        <v>51.81</v>
      </c>
      <c r="AV3451">
        <v>5</v>
      </c>
      <c r="AW3451">
        <v>7.95</v>
      </c>
      <c r="AX3451">
        <v>25</v>
      </c>
      <c r="AY3451">
        <v>38.68</v>
      </c>
      <c r="AZ3451">
        <v>53.77</v>
      </c>
      <c r="BA3451">
        <v>0.67</v>
      </c>
      <c r="BB3451" t="s">
        <v>143</v>
      </c>
      <c r="BF3451">
        <v>-3.35</v>
      </c>
      <c r="BG3451">
        <v>-5.43</v>
      </c>
      <c r="BH3451">
        <v>-7.48</v>
      </c>
      <c r="BI3451">
        <v>0.35</v>
      </c>
      <c r="BJ3451">
        <v>20210731</v>
      </c>
      <c r="BK3451">
        <v>20200901</v>
      </c>
      <c r="BL3451">
        <v>1.56</v>
      </c>
      <c r="BM3451" t="s">
        <v>120</v>
      </c>
      <c r="BN3451" t="s">
        <v>120</v>
      </c>
      <c r="BO3451">
        <v>21.57</v>
      </c>
      <c r="BP3451">
        <v>51.07</v>
      </c>
      <c r="BQ3451">
        <v>20.28</v>
      </c>
      <c r="BR3451" t="s">
        <v>120</v>
      </c>
      <c r="BS3451">
        <v>5.98</v>
      </c>
      <c r="BT3451">
        <v>18.010000000000002</v>
      </c>
      <c r="BU3451">
        <v>1.71</v>
      </c>
      <c r="BV3451">
        <v>0.19</v>
      </c>
      <c r="BW3451">
        <v>1.24</v>
      </c>
      <c r="BX3451">
        <v>2.3199999999999998</v>
      </c>
      <c r="BY3451">
        <v>1.03</v>
      </c>
      <c r="BZ3451">
        <v>1.06</v>
      </c>
      <c r="CA3451">
        <v>0</v>
      </c>
      <c r="CB3451">
        <v>13.02</v>
      </c>
      <c r="CC3451">
        <v>4.1399999999999997</v>
      </c>
      <c r="CD3451">
        <v>2.4</v>
      </c>
      <c r="CE3451">
        <v>1.68</v>
      </c>
      <c r="CF3451">
        <v>0.1</v>
      </c>
      <c r="CG3451">
        <v>1.69</v>
      </c>
      <c r="CH3451">
        <v>1.47</v>
      </c>
      <c r="CI3451">
        <v>1.47</v>
      </c>
      <c r="CJ3451">
        <v>-3.31</v>
      </c>
      <c r="CK3451">
        <v>1.33</v>
      </c>
      <c r="CL3451">
        <v>5</v>
      </c>
      <c r="CM3451">
        <v>0.6</v>
      </c>
      <c r="CN3451">
        <v>-1.66</v>
      </c>
      <c r="CO3451">
        <v>9850</v>
      </c>
      <c r="CP3451">
        <v>3948</v>
      </c>
      <c r="CQ3451" t="s">
        <v>491</v>
      </c>
      <c r="CR3451">
        <v>71.88</v>
      </c>
      <c r="CS3451">
        <v>71.37</v>
      </c>
      <c r="CT3451">
        <v>3.92</v>
      </c>
      <c r="CU3451">
        <v>133.11000000000001</v>
      </c>
      <c r="CV3451">
        <v>19.170000000000002</v>
      </c>
      <c r="CW3451">
        <v>1.01</v>
      </c>
      <c r="CX3451" t="s">
        <v>3686</v>
      </c>
      <c r="CY3451">
        <v>13.04</v>
      </c>
      <c r="CZ3451">
        <v>0</v>
      </c>
      <c r="DA3451">
        <v>8.3699999999999992</v>
      </c>
      <c r="DB3451">
        <v>3.21</v>
      </c>
      <c r="DC3451">
        <v>0.38</v>
      </c>
      <c r="DD3451">
        <v>94.02</v>
      </c>
      <c r="DE3451" t="s">
        <v>7785</v>
      </c>
      <c r="DF3451">
        <v>42.13</v>
      </c>
      <c r="DG3451">
        <v>40.6</v>
      </c>
      <c r="DH3451">
        <v>35.409999999999997</v>
      </c>
      <c r="DI3451">
        <v>0.13</v>
      </c>
      <c r="DJ3451">
        <v>390</v>
      </c>
      <c r="DK3451">
        <v>603155</v>
      </c>
      <c r="DL3451" t="s">
        <v>120</v>
      </c>
      <c r="DM3451" t="s">
        <v>120</v>
      </c>
      <c r="DN3451" t="s">
        <v>120</v>
      </c>
    </row>
    <row r="3452" spans="1:118">
      <c r="A3452" t="str">
        <f>"603156"</f>
        <v>603156</v>
      </c>
      <c r="B3452" t="s">
        <v>14649</v>
      </c>
      <c r="C3452">
        <v>-6.07</v>
      </c>
      <c r="D3452">
        <v>-0.18</v>
      </c>
      <c r="E3452">
        <v>1.07</v>
      </c>
      <c r="F3452">
        <v>555</v>
      </c>
      <c r="G3452" t="s">
        <v>761</v>
      </c>
      <c r="H3452">
        <v>34947.160000000003</v>
      </c>
      <c r="I3452">
        <v>178.34</v>
      </c>
      <c r="J3452" t="s">
        <v>120</v>
      </c>
      <c r="K3452" t="s">
        <v>14650</v>
      </c>
      <c r="L3452">
        <v>0.85</v>
      </c>
      <c r="M3452">
        <v>31.57</v>
      </c>
      <c r="N3452">
        <v>1.93</v>
      </c>
      <c r="O3452">
        <v>1.07</v>
      </c>
      <c r="P3452">
        <v>33.97</v>
      </c>
      <c r="Q3452">
        <v>-6.58</v>
      </c>
      <c r="R3452">
        <v>31.4</v>
      </c>
      <c r="S3452">
        <v>33.97</v>
      </c>
      <c r="T3452">
        <v>108111</v>
      </c>
      <c r="U3452">
        <v>31.58</v>
      </c>
      <c r="V3452">
        <v>33.61</v>
      </c>
      <c r="W3452">
        <v>17.23</v>
      </c>
      <c r="X3452" t="s">
        <v>2180</v>
      </c>
      <c r="Y3452" t="s">
        <v>602</v>
      </c>
      <c r="Z3452">
        <v>7.65</v>
      </c>
      <c r="AA3452">
        <v>32.33</v>
      </c>
      <c r="AB3452">
        <v>59125</v>
      </c>
      <c r="AC3452">
        <v>48986</v>
      </c>
      <c r="AD3452">
        <v>1.21</v>
      </c>
      <c r="AE3452">
        <v>8</v>
      </c>
      <c r="AF3452">
        <v>45</v>
      </c>
      <c r="AG3452" t="s">
        <v>120</v>
      </c>
      <c r="AH3452">
        <v>0.01</v>
      </c>
      <c r="AI3452" t="s">
        <v>120</v>
      </c>
      <c r="AJ3452">
        <v>12.65</v>
      </c>
      <c r="AK3452" t="s">
        <v>14650</v>
      </c>
      <c r="AL3452">
        <v>-4.7300000000000004</v>
      </c>
      <c r="AM3452">
        <v>4390</v>
      </c>
      <c r="AN3452">
        <v>25</v>
      </c>
      <c r="AO3452">
        <v>2.0000000000000001E-4</v>
      </c>
      <c r="AP3452">
        <v>-2</v>
      </c>
      <c r="AQ3452">
        <v>-4.9000000000000004</v>
      </c>
      <c r="AR3452">
        <v>-9.6999999999999993</v>
      </c>
      <c r="AS3452">
        <v>2.8</v>
      </c>
      <c r="AT3452">
        <v>5.59</v>
      </c>
      <c r="AU3452">
        <v>28.12</v>
      </c>
      <c r="AV3452">
        <v>1</v>
      </c>
      <c r="AW3452">
        <v>2.1</v>
      </c>
      <c r="AX3452">
        <v>40.71</v>
      </c>
      <c r="AY3452">
        <v>20.96</v>
      </c>
      <c r="AZ3452">
        <v>26.96</v>
      </c>
      <c r="BA3452">
        <v>0.2</v>
      </c>
      <c r="BB3452" t="s">
        <v>125</v>
      </c>
      <c r="BF3452">
        <v>-3.82</v>
      </c>
      <c r="BG3452">
        <v>-7.07</v>
      </c>
      <c r="BH3452">
        <v>-7.07</v>
      </c>
      <c r="BI3452">
        <v>0.54</v>
      </c>
      <c r="BJ3452">
        <v>20210823</v>
      </c>
      <c r="BK3452">
        <v>20180212</v>
      </c>
      <c r="BL3452">
        <v>12.65</v>
      </c>
      <c r="BM3452" t="s">
        <v>120</v>
      </c>
      <c r="BN3452" t="s">
        <v>120</v>
      </c>
      <c r="BO3452">
        <v>141.88</v>
      </c>
      <c r="BP3452">
        <v>31.57</v>
      </c>
      <c r="BQ3452">
        <v>114.77</v>
      </c>
      <c r="BR3452">
        <v>0.03</v>
      </c>
      <c r="BS3452">
        <v>19.09</v>
      </c>
      <c r="BT3452">
        <v>107.03</v>
      </c>
      <c r="BU3452">
        <v>7.53</v>
      </c>
      <c r="BV3452">
        <v>1.24</v>
      </c>
      <c r="BW3452">
        <v>25.78</v>
      </c>
      <c r="BX3452">
        <v>40.76</v>
      </c>
      <c r="BY3452">
        <v>6.48</v>
      </c>
      <c r="BZ3452">
        <v>0.31</v>
      </c>
      <c r="CA3452" t="s">
        <v>120</v>
      </c>
      <c r="CB3452">
        <v>27.1</v>
      </c>
      <c r="CC3452">
        <v>34.11</v>
      </c>
      <c r="CD3452">
        <v>17.059999999999999</v>
      </c>
      <c r="CE3452">
        <v>14.64</v>
      </c>
      <c r="CF3452">
        <v>1.36</v>
      </c>
      <c r="CG3452">
        <v>14.64</v>
      </c>
      <c r="CH3452">
        <v>11.59</v>
      </c>
      <c r="CI3452">
        <v>11.59</v>
      </c>
      <c r="CJ3452">
        <v>-2.04</v>
      </c>
      <c r="CK3452">
        <v>9.42</v>
      </c>
      <c r="CL3452">
        <v>68.44</v>
      </c>
      <c r="CM3452">
        <v>8.67</v>
      </c>
      <c r="CN3452">
        <v>39.28</v>
      </c>
      <c r="CO3452">
        <v>26264</v>
      </c>
      <c r="CP3452">
        <v>19613</v>
      </c>
      <c r="CQ3452" t="s">
        <v>14651</v>
      </c>
      <c r="CR3452">
        <v>63.85</v>
      </c>
      <c r="CS3452">
        <v>91.27</v>
      </c>
      <c r="CT3452">
        <v>3.48</v>
      </c>
      <c r="CU3452">
        <v>46.1</v>
      </c>
      <c r="CV3452">
        <v>11.71</v>
      </c>
      <c r="CW3452">
        <v>3.57</v>
      </c>
      <c r="CX3452" t="s">
        <v>14652</v>
      </c>
      <c r="CY3452">
        <v>9.07</v>
      </c>
      <c r="CZ3452">
        <v>0</v>
      </c>
      <c r="DA3452">
        <v>2.14</v>
      </c>
      <c r="DB3452">
        <v>5.41</v>
      </c>
      <c r="DC3452">
        <v>0.68</v>
      </c>
      <c r="DD3452">
        <v>80.89</v>
      </c>
      <c r="DE3452" t="s">
        <v>14653</v>
      </c>
      <c r="DF3452">
        <v>50</v>
      </c>
      <c r="DG3452">
        <v>42.9</v>
      </c>
      <c r="DH3452">
        <v>33.979999999999997</v>
      </c>
      <c r="DI3452">
        <v>0.15</v>
      </c>
      <c r="DJ3452">
        <v>1956</v>
      </c>
      <c r="DK3452">
        <v>603156</v>
      </c>
      <c r="DL3452" t="s">
        <v>120</v>
      </c>
      <c r="DM3452" t="s">
        <v>120</v>
      </c>
      <c r="DN3452" t="s">
        <v>120</v>
      </c>
    </row>
    <row r="3453" spans="1:118">
      <c r="A3453" t="str">
        <f>"603158"</f>
        <v>603158</v>
      </c>
      <c r="B3453" t="s">
        <v>14654</v>
      </c>
      <c r="C3453">
        <v>-3.7</v>
      </c>
      <c r="D3453">
        <v>-7.0000000000000007E-2</v>
      </c>
      <c r="E3453">
        <v>-0.15</v>
      </c>
      <c r="F3453">
        <v>974</v>
      </c>
      <c r="G3453" t="s">
        <v>3174</v>
      </c>
      <c r="H3453">
        <v>5432.83</v>
      </c>
      <c r="I3453">
        <v>28.62</v>
      </c>
      <c r="J3453" t="s">
        <v>120</v>
      </c>
      <c r="K3453" t="s">
        <v>14655</v>
      </c>
      <c r="L3453">
        <v>1.35</v>
      </c>
      <c r="M3453">
        <v>13.02</v>
      </c>
      <c r="N3453">
        <v>0.82</v>
      </c>
      <c r="O3453">
        <v>1.04</v>
      </c>
      <c r="P3453">
        <v>13.66</v>
      </c>
      <c r="Q3453">
        <v>-3.7</v>
      </c>
      <c r="R3453">
        <v>13.02</v>
      </c>
      <c r="S3453">
        <v>13.5</v>
      </c>
      <c r="T3453">
        <v>40899</v>
      </c>
      <c r="U3453">
        <v>13.03</v>
      </c>
      <c r="V3453">
        <v>13.52</v>
      </c>
      <c r="W3453">
        <v>30.63</v>
      </c>
      <c r="X3453" t="s">
        <v>289</v>
      </c>
      <c r="Y3453" t="s">
        <v>319</v>
      </c>
      <c r="Z3453">
        <v>4.7300000000000004</v>
      </c>
      <c r="AA3453">
        <v>13.28</v>
      </c>
      <c r="AB3453">
        <v>27724</v>
      </c>
      <c r="AC3453">
        <v>13175</v>
      </c>
      <c r="AD3453">
        <v>2.1</v>
      </c>
      <c r="AE3453">
        <v>191</v>
      </c>
      <c r="AF3453">
        <v>71</v>
      </c>
      <c r="AG3453" t="s">
        <v>120</v>
      </c>
      <c r="AH3453">
        <v>0.02</v>
      </c>
      <c r="AI3453" t="s">
        <v>120</v>
      </c>
      <c r="AJ3453">
        <v>3.02</v>
      </c>
      <c r="AK3453" t="s">
        <v>14656</v>
      </c>
      <c r="AL3453">
        <v>-2.35</v>
      </c>
      <c r="AM3453">
        <v>1826</v>
      </c>
      <c r="AN3453">
        <v>22</v>
      </c>
      <c r="AO3453">
        <v>6.9999999999999999E-4</v>
      </c>
      <c r="AP3453">
        <v>-1</v>
      </c>
      <c r="AQ3453">
        <v>1.27</v>
      </c>
      <c r="AR3453">
        <v>-4.96</v>
      </c>
      <c r="AS3453">
        <v>-12.44</v>
      </c>
      <c r="AT3453">
        <v>10.15</v>
      </c>
      <c r="AU3453">
        <v>-9.5299999999999994</v>
      </c>
      <c r="AV3453">
        <v>3</v>
      </c>
      <c r="AW3453">
        <v>3.18</v>
      </c>
      <c r="AX3453">
        <v>36.729999999999997</v>
      </c>
      <c r="AY3453">
        <v>27.76</v>
      </c>
      <c r="AZ3453">
        <v>30.42</v>
      </c>
      <c r="BA3453">
        <v>0.73</v>
      </c>
      <c r="BB3453" t="s">
        <v>143</v>
      </c>
      <c r="BF3453">
        <v>-1.75</v>
      </c>
      <c r="BG3453">
        <v>-3.56</v>
      </c>
      <c r="BH3453">
        <v>-4.6900000000000004</v>
      </c>
      <c r="BI3453">
        <v>0</v>
      </c>
      <c r="BJ3453">
        <v>20210910</v>
      </c>
      <c r="BK3453">
        <v>20150320</v>
      </c>
      <c r="BL3453">
        <v>3.51</v>
      </c>
      <c r="BM3453" t="s">
        <v>120</v>
      </c>
      <c r="BN3453" t="s">
        <v>120</v>
      </c>
      <c r="BO3453">
        <v>29.86</v>
      </c>
      <c r="BP3453">
        <v>13.02</v>
      </c>
      <c r="BQ3453">
        <v>12.48</v>
      </c>
      <c r="BR3453">
        <v>2.38</v>
      </c>
      <c r="BS3453">
        <v>50.23</v>
      </c>
      <c r="BT3453">
        <v>16.48</v>
      </c>
      <c r="BU3453">
        <v>5.38</v>
      </c>
      <c r="BV3453">
        <v>1.6</v>
      </c>
      <c r="BW3453">
        <v>12.5</v>
      </c>
      <c r="BX3453">
        <v>1.48</v>
      </c>
      <c r="BY3453">
        <v>5.5</v>
      </c>
      <c r="BZ3453">
        <v>6.63</v>
      </c>
      <c r="CA3453" t="s">
        <v>120</v>
      </c>
      <c r="CB3453">
        <v>2.95</v>
      </c>
      <c r="CC3453">
        <v>9.8800000000000008</v>
      </c>
      <c r="CD3453">
        <v>7.03</v>
      </c>
      <c r="CE3453">
        <v>1.06</v>
      </c>
      <c r="CF3453">
        <v>-0.08</v>
      </c>
      <c r="CG3453">
        <v>1.06</v>
      </c>
      <c r="CH3453">
        <v>0.94</v>
      </c>
      <c r="CI3453">
        <v>0.75</v>
      </c>
      <c r="CJ3453">
        <v>-0.5</v>
      </c>
      <c r="CK3453">
        <v>0.69</v>
      </c>
      <c r="CL3453">
        <v>6.6</v>
      </c>
      <c r="CM3453">
        <v>-0.18</v>
      </c>
      <c r="CN3453">
        <v>-1.19</v>
      </c>
      <c r="CO3453">
        <v>11155</v>
      </c>
      <c r="CP3453">
        <v>11544</v>
      </c>
      <c r="CQ3453" t="s">
        <v>14657</v>
      </c>
      <c r="CR3453">
        <v>25.08</v>
      </c>
      <c r="CS3453">
        <v>45.14</v>
      </c>
      <c r="CT3453">
        <v>3.15</v>
      </c>
      <c r="CU3453">
        <v>-254.05</v>
      </c>
      <c r="CV3453">
        <v>4.62</v>
      </c>
      <c r="CW3453">
        <v>0.67</v>
      </c>
      <c r="CX3453" t="s">
        <v>863</v>
      </c>
      <c r="CY3453">
        <v>4.13</v>
      </c>
      <c r="CZ3453">
        <v>4.13</v>
      </c>
      <c r="DA3453">
        <v>0.84</v>
      </c>
      <c r="DB3453">
        <v>1.88</v>
      </c>
      <c r="DC3453">
        <v>-0.05</v>
      </c>
      <c r="DD3453">
        <v>41.81</v>
      </c>
      <c r="DE3453" t="s">
        <v>580</v>
      </c>
      <c r="DF3453">
        <v>28.8</v>
      </c>
      <c r="DG3453">
        <v>10.73</v>
      </c>
      <c r="DH3453">
        <v>7.54</v>
      </c>
      <c r="DI3453">
        <v>0.48</v>
      </c>
      <c r="DJ3453">
        <v>3382</v>
      </c>
      <c r="DK3453">
        <v>603158</v>
      </c>
      <c r="DL3453" t="s">
        <v>120</v>
      </c>
      <c r="DM3453" t="s">
        <v>120</v>
      </c>
      <c r="DN3453" t="s">
        <v>120</v>
      </c>
    </row>
    <row r="3454" spans="1:118">
      <c r="A3454" t="str">
        <f>"603159"</f>
        <v>603159</v>
      </c>
      <c r="B3454" t="s">
        <v>14658</v>
      </c>
      <c r="C3454">
        <v>-8.08</v>
      </c>
      <c r="D3454">
        <v>0.81</v>
      </c>
      <c r="E3454">
        <v>-0.44</v>
      </c>
      <c r="F3454">
        <v>1217</v>
      </c>
      <c r="G3454" t="s">
        <v>10500</v>
      </c>
      <c r="H3454">
        <v>18828.39</v>
      </c>
      <c r="I3454">
        <v>9.9</v>
      </c>
      <c r="J3454" t="s">
        <v>120</v>
      </c>
      <c r="K3454" t="s">
        <v>14659</v>
      </c>
      <c r="L3454">
        <v>6.99</v>
      </c>
      <c r="M3454">
        <v>18.649999999999999</v>
      </c>
      <c r="N3454">
        <v>1.1299999999999999</v>
      </c>
      <c r="O3454">
        <v>3.15</v>
      </c>
      <c r="P3454">
        <v>20.93</v>
      </c>
      <c r="Q3454">
        <v>-10</v>
      </c>
      <c r="R3454">
        <v>18.260000000000002</v>
      </c>
      <c r="S3454">
        <v>20.2</v>
      </c>
      <c r="T3454">
        <v>97921</v>
      </c>
      <c r="U3454">
        <v>18.649999999999999</v>
      </c>
      <c r="V3454">
        <v>20.29</v>
      </c>
      <c r="W3454">
        <v>64.19</v>
      </c>
      <c r="X3454" t="s">
        <v>675</v>
      </c>
      <c r="Y3454" t="s">
        <v>1510</v>
      </c>
      <c r="Z3454">
        <v>13.16</v>
      </c>
      <c r="AA3454">
        <v>19.23</v>
      </c>
      <c r="AB3454">
        <v>43858</v>
      </c>
      <c r="AC3454">
        <v>54063</v>
      </c>
      <c r="AD3454">
        <v>0.81</v>
      </c>
      <c r="AE3454">
        <v>19</v>
      </c>
      <c r="AF3454">
        <v>229</v>
      </c>
      <c r="AG3454" t="s">
        <v>120</v>
      </c>
      <c r="AH3454">
        <v>0.01</v>
      </c>
      <c r="AI3454" t="s">
        <v>120</v>
      </c>
      <c r="AJ3454">
        <v>1.4</v>
      </c>
      <c r="AK3454" t="s">
        <v>14659</v>
      </c>
      <c r="AL3454">
        <v>-6.74</v>
      </c>
      <c r="AM3454">
        <v>2585</v>
      </c>
      <c r="AN3454">
        <v>38</v>
      </c>
      <c r="AO3454">
        <v>2.7000000000000001E-3</v>
      </c>
      <c r="AP3454">
        <v>-2</v>
      </c>
      <c r="AQ3454">
        <v>-0.1</v>
      </c>
      <c r="AR3454">
        <v>-5.57</v>
      </c>
      <c r="AS3454">
        <v>21.42</v>
      </c>
      <c r="AT3454">
        <v>16.41</v>
      </c>
      <c r="AU3454">
        <v>69.239999999999995</v>
      </c>
      <c r="AV3454">
        <v>5</v>
      </c>
      <c r="AW3454">
        <v>18.760000000000002</v>
      </c>
      <c r="AX3454">
        <v>37.28</v>
      </c>
      <c r="AY3454">
        <v>59.78</v>
      </c>
      <c r="AZ3454">
        <v>70.599999999999994</v>
      </c>
      <c r="BA3454">
        <v>0.95</v>
      </c>
      <c r="BB3454" t="s">
        <v>143</v>
      </c>
      <c r="BF3454">
        <v>-5.23</v>
      </c>
      <c r="BG3454">
        <v>-7.67</v>
      </c>
      <c r="BH3454">
        <v>-10.89</v>
      </c>
      <c r="BI3454">
        <v>2.14</v>
      </c>
      <c r="BJ3454">
        <v>20210827</v>
      </c>
      <c r="BK3454">
        <v>20160812</v>
      </c>
      <c r="BL3454">
        <v>1.4</v>
      </c>
      <c r="BM3454" t="s">
        <v>120</v>
      </c>
      <c r="BN3454" t="s">
        <v>120</v>
      </c>
      <c r="BO3454">
        <v>5.72</v>
      </c>
      <c r="BP3454">
        <v>18.64</v>
      </c>
      <c r="BQ3454">
        <v>4.46</v>
      </c>
      <c r="BR3454">
        <v>0</v>
      </c>
      <c r="BS3454">
        <v>21.95</v>
      </c>
      <c r="BT3454">
        <v>3.24</v>
      </c>
      <c r="BU3454">
        <v>1.36</v>
      </c>
      <c r="BV3454">
        <v>0.25</v>
      </c>
      <c r="BW3454">
        <v>1.19</v>
      </c>
      <c r="BX3454">
        <v>0.67</v>
      </c>
      <c r="BY3454">
        <v>1.04</v>
      </c>
      <c r="BZ3454">
        <v>1.01</v>
      </c>
      <c r="CA3454" t="s">
        <v>120</v>
      </c>
      <c r="CB3454">
        <v>0.82</v>
      </c>
      <c r="CC3454">
        <v>3.03</v>
      </c>
      <c r="CD3454">
        <v>2.46</v>
      </c>
      <c r="CE3454">
        <v>0.25</v>
      </c>
      <c r="CF3454">
        <v>0</v>
      </c>
      <c r="CG3454">
        <v>0.25</v>
      </c>
      <c r="CH3454">
        <v>0.2</v>
      </c>
      <c r="CI3454">
        <v>0.2</v>
      </c>
      <c r="CJ3454">
        <v>-1.64</v>
      </c>
      <c r="CK3454">
        <v>0.19</v>
      </c>
      <c r="CL3454">
        <v>1.98</v>
      </c>
      <c r="CM3454">
        <v>0.05</v>
      </c>
      <c r="CN3454">
        <v>-0.19</v>
      </c>
      <c r="CO3454">
        <v>9247</v>
      </c>
      <c r="CP3454">
        <v>5644</v>
      </c>
      <c r="CQ3454" t="s">
        <v>14660</v>
      </c>
      <c r="CR3454">
        <v>55.79</v>
      </c>
      <c r="CS3454">
        <v>34.380000000000003</v>
      </c>
      <c r="CT3454">
        <v>5.86</v>
      </c>
      <c r="CU3454">
        <v>484.57</v>
      </c>
      <c r="CV3454">
        <v>8.61</v>
      </c>
      <c r="CW3454">
        <v>0.49</v>
      </c>
      <c r="CX3454" t="s">
        <v>373</v>
      </c>
      <c r="CY3454">
        <v>3.18</v>
      </c>
      <c r="CZ3454">
        <v>0</v>
      </c>
      <c r="DA3454">
        <v>0.59</v>
      </c>
      <c r="DB3454">
        <v>1.41</v>
      </c>
      <c r="DC3454">
        <v>0.04</v>
      </c>
      <c r="DD3454">
        <v>77.959999999999994</v>
      </c>
      <c r="DE3454" t="s">
        <v>5919</v>
      </c>
      <c r="DF3454">
        <v>18.88</v>
      </c>
      <c r="DG3454">
        <v>8.39</v>
      </c>
      <c r="DH3454">
        <v>6.71</v>
      </c>
      <c r="DI3454">
        <v>0.13</v>
      </c>
      <c r="DJ3454">
        <v>703</v>
      </c>
      <c r="DK3454">
        <v>603159</v>
      </c>
      <c r="DL3454">
        <v>20210907</v>
      </c>
      <c r="DM3454">
        <v>16.399999999999999</v>
      </c>
      <c r="DN3454">
        <v>13.72</v>
      </c>
    </row>
    <row r="3455" spans="1:118">
      <c r="A3455" t="str">
        <f>"603160"</f>
        <v>603160</v>
      </c>
      <c r="B3455" t="s">
        <v>14661</v>
      </c>
      <c r="C3455">
        <v>-1.08</v>
      </c>
      <c r="D3455">
        <v>-0.02</v>
      </c>
      <c r="E3455">
        <v>-0.16</v>
      </c>
      <c r="F3455">
        <v>442</v>
      </c>
      <c r="G3455" t="s">
        <v>13745</v>
      </c>
      <c r="H3455">
        <v>21979.9</v>
      </c>
      <c r="I3455">
        <v>75.08</v>
      </c>
      <c r="J3455" t="s">
        <v>120</v>
      </c>
      <c r="K3455" t="s">
        <v>14662</v>
      </c>
      <c r="L3455">
        <v>0.47</v>
      </c>
      <c r="M3455">
        <v>101.9</v>
      </c>
      <c r="N3455">
        <v>0.61</v>
      </c>
      <c r="O3455">
        <v>0.89</v>
      </c>
      <c r="P3455">
        <v>103.93</v>
      </c>
      <c r="Q3455">
        <v>-1.1000000000000001</v>
      </c>
      <c r="R3455">
        <v>101.88</v>
      </c>
      <c r="S3455">
        <v>102.85</v>
      </c>
      <c r="T3455">
        <v>21445</v>
      </c>
      <c r="U3455">
        <v>101.91</v>
      </c>
      <c r="V3455">
        <v>103.01</v>
      </c>
      <c r="W3455">
        <v>55.44</v>
      </c>
      <c r="X3455" t="s">
        <v>229</v>
      </c>
      <c r="Y3455" t="s">
        <v>123</v>
      </c>
      <c r="Z3455">
        <v>1.99</v>
      </c>
      <c r="AA3455">
        <v>102.49</v>
      </c>
      <c r="AB3455">
        <v>12067</v>
      </c>
      <c r="AC3455">
        <v>9378</v>
      </c>
      <c r="AD3455">
        <v>1.29</v>
      </c>
      <c r="AE3455">
        <v>63</v>
      </c>
      <c r="AF3455">
        <v>8</v>
      </c>
      <c r="AG3455" t="s">
        <v>120</v>
      </c>
      <c r="AH3455">
        <v>0</v>
      </c>
      <c r="AI3455" t="s">
        <v>120</v>
      </c>
      <c r="AJ3455">
        <v>4.5599999999999996</v>
      </c>
      <c r="AK3455" t="s">
        <v>14663</v>
      </c>
      <c r="AL3455">
        <v>0.27</v>
      </c>
      <c r="AM3455">
        <v>2982</v>
      </c>
      <c r="AN3455">
        <v>7</v>
      </c>
      <c r="AO3455">
        <v>2.0000000000000001E-4</v>
      </c>
      <c r="AP3455">
        <v>-4</v>
      </c>
      <c r="AQ3455">
        <v>-2.83</v>
      </c>
      <c r="AR3455">
        <v>-5.39</v>
      </c>
      <c r="AS3455">
        <v>-5.77</v>
      </c>
      <c r="AT3455">
        <v>-21.04</v>
      </c>
      <c r="AU3455">
        <v>-34.299999999999997</v>
      </c>
      <c r="AV3455">
        <v>1</v>
      </c>
      <c r="AW3455">
        <v>0.97</v>
      </c>
      <c r="AX3455">
        <v>48.37</v>
      </c>
      <c r="AY3455">
        <v>31.8</v>
      </c>
      <c r="AZ3455">
        <v>28.41</v>
      </c>
      <c r="BA3455">
        <v>0.47</v>
      </c>
      <c r="BB3455" t="s">
        <v>125</v>
      </c>
      <c r="BF3455">
        <v>-0.5</v>
      </c>
      <c r="BG3455">
        <v>-0.92</v>
      </c>
      <c r="BH3455">
        <v>-1.95</v>
      </c>
      <c r="BI3455">
        <v>0.02</v>
      </c>
      <c r="BJ3455">
        <v>20210827</v>
      </c>
      <c r="BK3455">
        <v>20161017</v>
      </c>
      <c r="BL3455">
        <v>4.58</v>
      </c>
      <c r="BM3455" t="s">
        <v>120</v>
      </c>
      <c r="BN3455" t="s">
        <v>120</v>
      </c>
      <c r="BO3455">
        <v>99.49</v>
      </c>
      <c r="BP3455">
        <v>101.9</v>
      </c>
      <c r="BQ3455">
        <v>79.290000000000006</v>
      </c>
      <c r="BR3455" t="s">
        <v>120</v>
      </c>
      <c r="BS3455">
        <v>20.309999999999999</v>
      </c>
      <c r="BT3455">
        <v>63.75</v>
      </c>
      <c r="BU3455">
        <v>3.35</v>
      </c>
      <c r="BV3455">
        <v>12.97</v>
      </c>
      <c r="BW3455">
        <v>16.739999999999998</v>
      </c>
      <c r="BX3455">
        <v>32.71</v>
      </c>
      <c r="BY3455">
        <v>7.3</v>
      </c>
      <c r="BZ3455">
        <v>6.51</v>
      </c>
      <c r="CA3455">
        <v>0.01</v>
      </c>
      <c r="CB3455">
        <v>19.18</v>
      </c>
      <c r="CC3455">
        <v>29.1</v>
      </c>
      <c r="CD3455">
        <v>14.86</v>
      </c>
      <c r="CE3455">
        <v>5.0199999999999996</v>
      </c>
      <c r="CF3455">
        <v>0.17</v>
      </c>
      <c r="CG3455">
        <v>5.0199999999999996</v>
      </c>
      <c r="CH3455">
        <v>4.21</v>
      </c>
      <c r="CI3455">
        <v>4.21</v>
      </c>
      <c r="CJ3455">
        <v>-1.1100000000000001</v>
      </c>
      <c r="CK3455">
        <v>2.78</v>
      </c>
      <c r="CL3455">
        <v>61.02</v>
      </c>
      <c r="CM3455">
        <v>0.04</v>
      </c>
      <c r="CN3455">
        <v>-7.01</v>
      </c>
      <c r="CO3455">
        <v>88954</v>
      </c>
      <c r="CP3455">
        <v>2488</v>
      </c>
      <c r="CQ3455" t="s">
        <v>14664</v>
      </c>
      <c r="CR3455">
        <v>-29.6</v>
      </c>
      <c r="CS3455">
        <v>-4.78</v>
      </c>
      <c r="CT3455">
        <v>5.88</v>
      </c>
      <c r="CU3455">
        <v>13221.42</v>
      </c>
      <c r="CV3455">
        <v>16.02</v>
      </c>
      <c r="CW3455">
        <v>0.43</v>
      </c>
      <c r="CX3455" t="s">
        <v>2877</v>
      </c>
      <c r="CY3455">
        <v>17.32</v>
      </c>
      <c r="CZ3455">
        <v>17.32</v>
      </c>
      <c r="DA3455">
        <v>4.1900000000000004</v>
      </c>
      <c r="DB3455">
        <v>13.34</v>
      </c>
      <c r="DC3455">
        <v>0.01</v>
      </c>
      <c r="DD3455">
        <v>79.69</v>
      </c>
      <c r="DE3455" t="s">
        <v>7356</v>
      </c>
      <c r="DF3455">
        <v>48.94</v>
      </c>
      <c r="DG3455">
        <v>17.239999999999998</v>
      </c>
      <c r="DH3455">
        <v>14.45</v>
      </c>
      <c r="DI3455">
        <v>8.99</v>
      </c>
      <c r="DJ3455">
        <v>2226</v>
      </c>
      <c r="DK3455">
        <v>603160</v>
      </c>
      <c r="DL3455" t="s">
        <v>120</v>
      </c>
      <c r="DM3455" t="s">
        <v>120</v>
      </c>
      <c r="DN3455" t="s">
        <v>120</v>
      </c>
    </row>
    <row r="3456" spans="1:118">
      <c r="A3456" t="str">
        <f>"603161"</f>
        <v>603161</v>
      </c>
      <c r="B3456" t="s">
        <v>14665</v>
      </c>
      <c r="C3456">
        <v>0.41</v>
      </c>
      <c r="D3456">
        <v>-0.06</v>
      </c>
      <c r="E3456">
        <v>-0.28000000000000003</v>
      </c>
      <c r="F3456">
        <v>425</v>
      </c>
      <c r="G3456" t="s">
        <v>14666</v>
      </c>
      <c r="H3456">
        <v>8439.02</v>
      </c>
      <c r="I3456">
        <v>7.4</v>
      </c>
      <c r="J3456" t="s">
        <v>120</v>
      </c>
      <c r="K3456" t="s">
        <v>6686</v>
      </c>
      <c r="L3456">
        <v>4.28</v>
      </c>
      <c r="M3456">
        <v>14.6</v>
      </c>
      <c r="N3456">
        <v>1.54</v>
      </c>
      <c r="O3456">
        <v>4.33</v>
      </c>
      <c r="P3456">
        <v>15.17</v>
      </c>
      <c r="Q3456">
        <v>-1.24</v>
      </c>
      <c r="R3456">
        <v>14.36</v>
      </c>
      <c r="S3456">
        <v>14.5</v>
      </c>
      <c r="T3456">
        <v>57154</v>
      </c>
      <c r="U3456">
        <v>14.6</v>
      </c>
      <c r="V3456">
        <v>14.54</v>
      </c>
      <c r="W3456">
        <v>29.87</v>
      </c>
      <c r="X3456" t="s">
        <v>289</v>
      </c>
      <c r="Y3456" t="s">
        <v>319</v>
      </c>
      <c r="Z3456">
        <v>5.57</v>
      </c>
      <c r="AA3456">
        <v>14.77</v>
      </c>
      <c r="AB3456">
        <v>28545</v>
      </c>
      <c r="AC3456">
        <v>28609</v>
      </c>
      <c r="AD3456">
        <v>1</v>
      </c>
      <c r="AE3456">
        <v>146</v>
      </c>
      <c r="AF3456">
        <v>105</v>
      </c>
      <c r="AG3456" t="s">
        <v>120</v>
      </c>
      <c r="AH3456">
        <v>0.01</v>
      </c>
      <c r="AI3456" t="s">
        <v>120</v>
      </c>
      <c r="AJ3456">
        <v>1.33</v>
      </c>
      <c r="AK3456" t="s">
        <v>6686</v>
      </c>
      <c r="AL3456">
        <v>1.76</v>
      </c>
      <c r="AM3456">
        <v>2255</v>
      </c>
      <c r="AN3456">
        <v>25</v>
      </c>
      <c r="AO3456">
        <v>1.9E-3</v>
      </c>
      <c r="AP3456">
        <v>2</v>
      </c>
      <c r="AQ3456">
        <v>2.9</v>
      </c>
      <c r="AR3456">
        <v>-0.82</v>
      </c>
      <c r="AS3456">
        <v>-3.56</v>
      </c>
      <c r="AT3456">
        <v>1.25</v>
      </c>
      <c r="AU3456">
        <v>-18.399999999999999</v>
      </c>
      <c r="AV3456">
        <v>3</v>
      </c>
      <c r="AW3456">
        <v>8.4</v>
      </c>
      <c r="AX3456">
        <v>50.98</v>
      </c>
      <c r="AY3456">
        <v>36.49</v>
      </c>
      <c r="AZ3456">
        <v>92.97</v>
      </c>
      <c r="BA3456">
        <v>0.83</v>
      </c>
      <c r="BB3456" t="s">
        <v>143</v>
      </c>
      <c r="BF3456">
        <v>1.55</v>
      </c>
      <c r="BG3456">
        <v>0.69</v>
      </c>
      <c r="BH3456">
        <v>-3.76</v>
      </c>
      <c r="BI3456">
        <v>1.67</v>
      </c>
      <c r="BJ3456">
        <v>20210821</v>
      </c>
      <c r="BK3456">
        <v>20180105</v>
      </c>
      <c r="BL3456">
        <v>1.33</v>
      </c>
      <c r="BM3456" t="s">
        <v>120</v>
      </c>
      <c r="BN3456" t="s">
        <v>120</v>
      </c>
      <c r="BO3456">
        <v>42.66</v>
      </c>
      <c r="BP3456">
        <v>14.59</v>
      </c>
      <c r="BQ3456">
        <v>13.23</v>
      </c>
      <c r="BR3456" t="s">
        <v>120</v>
      </c>
      <c r="BS3456">
        <v>68.98</v>
      </c>
      <c r="BT3456">
        <v>20.78</v>
      </c>
      <c r="BU3456">
        <v>16.100000000000001</v>
      </c>
      <c r="BV3456">
        <v>1.05</v>
      </c>
      <c r="BW3456">
        <v>20.190000000000001</v>
      </c>
      <c r="BX3456">
        <v>3.87</v>
      </c>
      <c r="BY3456">
        <v>5.92</v>
      </c>
      <c r="BZ3456">
        <v>5.27</v>
      </c>
      <c r="CA3456" t="s">
        <v>120</v>
      </c>
      <c r="CB3456">
        <v>7.15</v>
      </c>
      <c r="CC3456">
        <v>9.57</v>
      </c>
      <c r="CD3456">
        <v>7.9</v>
      </c>
      <c r="CE3456">
        <v>0.34</v>
      </c>
      <c r="CF3456">
        <v>0</v>
      </c>
      <c r="CG3456">
        <v>0.34</v>
      </c>
      <c r="CH3456">
        <v>0.33</v>
      </c>
      <c r="CI3456">
        <v>0.33</v>
      </c>
      <c r="CJ3456">
        <v>0.06</v>
      </c>
      <c r="CK3456">
        <v>0.2</v>
      </c>
      <c r="CL3456">
        <v>4.13</v>
      </c>
      <c r="CM3456">
        <v>1.21</v>
      </c>
      <c r="CN3456">
        <v>-0.19</v>
      </c>
      <c r="CO3456">
        <v>13888</v>
      </c>
      <c r="CP3456">
        <v>4897</v>
      </c>
      <c r="CQ3456" t="s">
        <v>1180</v>
      </c>
      <c r="CR3456">
        <v>10736.05</v>
      </c>
      <c r="CS3456">
        <v>42.02</v>
      </c>
      <c r="CT3456">
        <v>1.47</v>
      </c>
      <c r="CU3456">
        <v>16.09</v>
      </c>
      <c r="CV3456">
        <v>2.04</v>
      </c>
      <c r="CW3456">
        <v>0.87</v>
      </c>
      <c r="CX3456" t="s">
        <v>4588</v>
      </c>
      <c r="CY3456">
        <v>9.92</v>
      </c>
      <c r="CZ3456">
        <v>0</v>
      </c>
      <c r="DA3456">
        <v>5.36</v>
      </c>
      <c r="DB3456">
        <v>3.1</v>
      </c>
      <c r="DC3456">
        <v>0.91</v>
      </c>
      <c r="DD3456">
        <v>31.02</v>
      </c>
      <c r="DE3456" t="s">
        <v>3782</v>
      </c>
      <c r="DF3456">
        <v>17.43</v>
      </c>
      <c r="DG3456">
        <v>3.6</v>
      </c>
      <c r="DH3456">
        <v>3.41</v>
      </c>
      <c r="DI3456">
        <v>0.33</v>
      </c>
      <c r="DJ3456">
        <v>2953</v>
      </c>
      <c r="DK3456">
        <v>603161</v>
      </c>
      <c r="DL3456" t="s">
        <v>120</v>
      </c>
      <c r="DM3456" t="s">
        <v>120</v>
      </c>
      <c r="DN3456" t="s">
        <v>120</v>
      </c>
    </row>
    <row r="3457" spans="1:118">
      <c r="A3457" t="str">
        <f>"603165"</f>
        <v>603165</v>
      </c>
      <c r="B3457" t="s">
        <v>14667</v>
      </c>
      <c r="C3457">
        <v>0.82</v>
      </c>
      <c r="D3457">
        <v>0</v>
      </c>
      <c r="E3457">
        <v>-0.52</v>
      </c>
      <c r="F3457">
        <v>259</v>
      </c>
      <c r="G3457" t="s">
        <v>228</v>
      </c>
      <c r="H3457">
        <v>4087.75</v>
      </c>
      <c r="I3457">
        <v>4.26</v>
      </c>
      <c r="J3457" t="s">
        <v>120</v>
      </c>
      <c r="K3457" t="s">
        <v>10042</v>
      </c>
      <c r="L3457">
        <v>1.1399999999999999</v>
      </c>
      <c r="M3457">
        <v>13.48</v>
      </c>
      <c r="N3457">
        <v>0.9</v>
      </c>
      <c r="O3457">
        <v>3.59</v>
      </c>
      <c r="P3457">
        <v>13.85</v>
      </c>
      <c r="Q3457">
        <v>-0.52</v>
      </c>
      <c r="R3457">
        <v>13.3</v>
      </c>
      <c r="S3457">
        <v>13.3</v>
      </c>
      <c r="T3457">
        <v>30079</v>
      </c>
      <c r="U3457">
        <v>13.48</v>
      </c>
      <c r="V3457">
        <v>13.37</v>
      </c>
      <c r="W3457">
        <v>12.76</v>
      </c>
      <c r="X3457" t="s">
        <v>814</v>
      </c>
      <c r="Y3457" t="s">
        <v>585</v>
      </c>
      <c r="Z3457">
        <v>4.1100000000000003</v>
      </c>
      <c r="AA3457">
        <v>13.59</v>
      </c>
      <c r="AB3457">
        <v>13749</v>
      </c>
      <c r="AC3457">
        <v>16330</v>
      </c>
      <c r="AD3457">
        <v>0.84</v>
      </c>
      <c r="AE3457">
        <v>10</v>
      </c>
      <c r="AF3457">
        <v>169</v>
      </c>
      <c r="AG3457" t="s">
        <v>120</v>
      </c>
      <c r="AH3457">
        <v>0</v>
      </c>
      <c r="AI3457" t="s">
        <v>120</v>
      </c>
      <c r="AJ3457">
        <v>2.63</v>
      </c>
      <c r="AK3457" t="s">
        <v>10042</v>
      </c>
      <c r="AL3457">
        <v>2.17</v>
      </c>
      <c r="AM3457">
        <v>1847</v>
      </c>
      <c r="AN3457">
        <v>16</v>
      </c>
      <c r="AO3457">
        <v>5.9999999999999995E-4</v>
      </c>
      <c r="AP3457">
        <v>1</v>
      </c>
      <c r="AQ3457">
        <v>-7.0000000000000007E-2</v>
      </c>
      <c r="AR3457">
        <v>-1.02</v>
      </c>
      <c r="AS3457">
        <v>11.22</v>
      </c>
      <c r="AT3457">
        <v>3.93</v>
      </c>
      <c r="AU3457">
        <v>17.63</v>
      </c>
      <c r="AV3457">
        <v>0</v>
      </c>
      <c r="AW3457">
        <v>2.46</v>
      </c>
      <c r="AX3457">
        <v>46.44</v>
      </c>
      <c r="AY3457">
        <v>13.7</v>
      </c>
      <c r="AZ3457">
        <v>15.17</v>
      </c>
      <c r="BA3457">
        <v>0.69</v>
      </c>
      <c r="BB3457" t="s">
        <v>143</v>
      </c>
      <c r="BF3457">
        <v>1.65</v>
      </c>
      <c r="BG3457">
        <v>1.35</v>
      </c>
      <c r="BH3457">
        <v>-2.67</v>
      </c>
      <c r="BI3457">
        <v>1.35</v>
      </c>
      <c r="BJ3457">
        <v>20210830</v>
      </c>
      <c r="BK3457">
        <v>20170117</v>
      </c>
      <c r="BL3457">
        <v>2.63</v>
      </c>
      <c r="BM3457" t="s">
        <v>120</v>
      </c>
      <c r="BN3457" t="s">
        <v>120</v>
      </c>
      <c r="BO3457">
        <v>21.96</v>
      </c>
      <c r="BP3457">
        <v>13.45</v>
      </c>
      <c r="BQ3457">
        <v>17.23</v>
      </c>
      <c r="BR3457" t="s">
        <v>120</v>
      </c>
      <c r="BS3457">
        <v>21.53</v>
      </c>
      <c r="BT3457">
        <v>12.3</v>
      </c>
      <c r="BU3457">
        <v>5.88</v>
      </c>
      <c r="BV3457">
        <v>0.76</v>
      </c>
      <c r="BW3457">
        <v>3.07</v>
      </c>
      <c r="BX3457">
        <v>1.64</v>
      </c>
      <c r="BY3457">
        <v>0.83</v>
      </c>
      <c r="BZ3457">
        <v>2.0099999999999998</v>
      </c>
      <c r="CA3457" t="s">
        <v>120</v>
      </c>
      <c r="CB3457">
        <v>4.0199999999999996</v>
      </c>
      <c r="CC3457">
        <v>10.54</v>
      </c>
      <c r="CD3457">
        <v>8.57</v>
      </c>
      <c r="CE3457">
        <v>1.53</v>
      </c>
      <c r="CF3457">
        <v>0.12</v>
      </c>
      <c r="CG3457">
        <v>1.53</v>
      </c>
      <c r="CH3457">
        <v>1.39</v>
      </c>
      <c r="CI3457">
        <v>1.39</v>
      </c>
      <c r="CJ3457">
        <v>0.11</v>
      </c>
      <c r="CK3457">
        <v>1.33</v>
      </c>
      <c r="CL3457">
        <v>9.16</v>
      </c>
      <c r="CM3457">
        <v>0.56000000000000005</v>
      </c>
      <c r="CN3457">
        <v>-4.18</v>
      </c>
      <c r="CO3457">
        <v>13658</v>
      </c>
      <c r="CP3457">
        <v>8948</v>
      </c>
      <c r="CQ3457" t="s">
        <v>14668</v>
      </c>
      <c r="CR3457">
        <v>21.87</v>
      </c>
      <c r="CS3457">
        <v>31.52</v>
      </c>
      <c r="CT3457">
        <v>2.1</v>
      </c>
      <c r="CU3457">
        <v>63.79</v>
      </c>
      <c r="CV3457">
        <v>3.37</v>
      </c>
      <c r="CW3457">
        <v>5.0999999999999996</v>
      </c>
      <c r="CX3457" t="s">
        <v>1581</v>
      </c>
      <c r="CY3457">
        <v>6.43</v>
      </c>
      <c r="CZ3457">
        <v>6.43</v>
      </c>
      <c r="DA3457">
        <v>1.53</v>
      </c>
      <c r="DB3457">
        <v>3.48</v>
      </c>
      <c r="DC3457">
        <v>0.21</v>
      </c>
      <c r="DD3457">
        <v>78.47</v>
      </c>
      <c r="DE3457" t="s">
        <v>5078</v>
      </c>
      <c r="DF3457">
        <v>18.68</v>
      </c>
      <c r="DG3457">
        <v>14.51</v>
      </c>
      <c r="DH3457">
        <v>13.19</v>
      </c>
      <c r="DI3457">
        <v>0.48</v>
      </c>
      <c r="DJ3457">
        <v>827</v>
      </c>
      <c r="DK3457">
        <v>603165</v>
      </c>
      <c r="DL3457" t="s">
        <v>120</v>
      </c>
      <c r="DM3457" t="s">
        <v>120</v>
      </c>
      <c r="DN3457" t="s">
        <v>120</v>
      </c>
    </row>
    <row r="3458" spans="1:118">
      <c r="A3458" t="str">
        <f>"603166"</f>
        <v>603166</v>
      </c>
      <c r="B3458" t="s">
        <v>14669</v>
      </c>
      <c r="C3458">
        <v>-3.22</v>
      </c>
      <c r="D3458">
        <v>0.23</v>
      </c>
      <c r="E3458">
        <v>0.11</v>
      </c>
      <c r="F3458">
        <v>643</v>
      </c>
      <c r="G3458" t="s">
        <v>14416</v>
      </c>
      <c r="H3458">
        <v>8092.27</v>
      </c>
      <c r="I3458">
        <v>59.42</v>
      </c>
      <c r="J3458" t="s">
        <v>120</v>
      </c>
      <c r="K3458" t="s">
        <v>11289</v>
      </c>
      <c r="L3458">
        <v>1.54</v>
      </c>
      <c r="M3458">
        <v>8.73</v>
      </c>
      <c r="N3458">
        <v>1.0900000000000001</v>
      </c>
      <c r="O3458">
        <v>0.89</v>
      </c>
      <c r="P3458">
        <v>9.1</v>
      </c>
      <c r="Q3458">
        <v>-3.44</v>
      </c>
      <c r="R3458">
        <v>8.7100000000000009</v>
      </c>
      <c r="S3458">
        <v>9.0299999999999994</v>
      </c>
      <c r="T3458">
        <v>90958</v>
      </c>
      <c r="U3458">
        <v>8.73</v>
      </c>
      <c r="V3458">
        <v>9.02</v>
      </c>
      <c r="W3458">
        <v>23.67</v>
      </c>
      <c r="X3458" t="s">
        <v>289</v>
      </c>
      <c r="Y3458" t="s">
        <v>945</v>
      </c>
      <c r="Z3458">
        <v>4.32</v>
      </c>
      <c r="AA3458">
        <v>8.9</v>
      </c>
      <c r="AB3458">
        <v>62319</v>
      </c>
      <c r="AC3458">
        <v>28639</v>
      </c>
      <c r="AD3458">
        <v>2.1800000000000002</v>
      </c>
      <c r="AE3458">
        <v>127</v>
      </c>
      <c r="AF3458">
        <v>52</v>
      </c>
      <c r="AG3458" t="s">
        <v>120</v>
      </c>
      <c r="AH3458">
        <v>0.05</v>
      </c>
      <c r="AI3458" t="s">
        <v>120</v>
      </c>
      <c r="AJ3458">
        <v>5.92</v>
      </c>
      <c r="AK3458" t="s">
        <v>14670</v>
      </c>
      <c r="AL3458">
        <v>-1.87</v>
      </c>
      <c r="AM3458">
        <v>2381</v>
      </c>
      <c r="AN3458">
        <v>38</v>
      </c>
      <c r="AO3458">
        <v>5.9999999999999995E-4</v>
      </c>
      <c r="AP3458">
        <v>-1</v>
      </c>
      <c r="AQ3458">
        <v>1.69</v>
      </c>
      <c r="AR3458">
        <v>-3.65</v>
      </c>
      <c r="AS3458">
        <v>11.21</v>
      </c>
      <c r="AT3458">
        <v>25.25</v>
      </c>
      <c r="AU3458">
        <v>52.36</v>
      </c>
      <c r="AV3458">
        <v>5</v>
      </c>
      <c r="AW3458">
        <v>6.58</v>
      </c>
      <c r="AX3458">
        <v>21.38</v>
      </c>
      <c r="AY3458">
        <v>25.21</v>
      </c>
      <c r="AZ3458">
        <v>29.06</v>
      </c>
      <c r="BA3458">
        <v>0.99</v>
      </c>
      <c r="BB3458" t="s">
        <v>143</v>
      </c>
      <c r="BF3458">
        <v>-1.37</v>
      </c>
      <c r="BG3458">
        <v>-3.32</v>
      </c>
      <c r="BH3458">
        <v>-4.07</v>
      </c>
      <c r="BI3458">
        <v>0.23</v>
      </c>
      <c r="BJ3458">
        <v>20210819</v>
      </c>
      <c r="BK3458">
        <v>20141127</v>
      </c>
      <c r="BL3458">
        <v>6.46</v>
      </c>
      <c r="BM3458" t="s">
        <v>120</v>
      </c>
      <c r="BN3458" t="s">
        <v>120</v>
      </c>
      <c r="BO3458">
        <v>38.82</v>
      </c>
      <c r="BP3458">
        <v>8.7200000000000006</v>
      </c>
      <c r="BQ3458">
        <v>25.5</v>
      </c>
      <c r="BR3458" t="s">
        <v>120</v>
      </c>
      <c r="BS3458">
        <v>34.33</v>
      </c>
      <c r="BT3458">
        <v>18.52</v>
      </c>
      <c r="BU3458">
        <v>15.81</v>
      </c>
      <c r="BV3458">
        <v>1.1000000000000001</v>
      </c>
      <c r="BW3458">
        <v>11.61</v>
      </c>
      <c r="BX3458">
        <v>6.14</v>
      </c>
      <c r="BY3458">
        <v>3.69</v>
      </c>
      <c r="BZ3458">
        <v>5.4</v>
      </c>
      <c r="CA3458" t="s">
        <v>120</v>
      </c>
      <c r="CB3458">
        <v>13.24</v>
      </c>
      <c r="CC3458">
        <v>10.48</v>
      </c>
      <c r="CD3458">
        <v>7.66</v>
      </c>
      <c r="CE3458">
        <v>1.59</v>
      </c>
      <c r="CF3458">
        <v>-0.02</v>
      </c>
      <c r="CG3458">
        <v>1.38</v>
      </c>
      <c r="CH3458">
        <v>1.19</v>
      </c>
      <c r="CI3458">
        <v>1.19</v>
      </c>
      <c r="CJ3458">
        <v>-0.28999999999999998</v>
      </c>
      <c r="CK3458">
        <v>1.18</v>
      </c>
      <c r="CL3458">
        <v>5.24</v>
      </c>
      <c r="CM3458">
        <v>2.83</v>
      </c>
      <c r="CN3458">
        <v>3.16</v>
      </c>
      <c r="CO3458">
        <v>21290</v>
      </c>
      <c r="CP3458">
        <v>6491</v>
      </c>
      <c r="CQ3458" t="s">
        <v>4356</v>
      </c>
      <c r="CR3458">
        <v>34.6</v>
      </c>
      <c r="CS3458">
        <v>30.58</v>
      </c>
      <c r="CT3458">
        <v>2.0299999999999998</v>
      </c>
      <c r="CU3458">
        <v>19.96</v>
      </c>
      <c r="CV3458">
        <v>5.38</v>
      </c>
      <c r="CW3458">
        <v>2.0299999999999998</v>
      </c>
      <c r="CX3458" t="s">
        <v>492</v>
      </c>
      <c r="CY3458">
        <v>4.3099999999999996</v>
      </c>
      <c r="CZ3458">
        <v>4.3099999999999996</v>
      </c>
      <c r="DA3458">
        <v>2.0499999999999998</v>
      </c>
      <c r="DB3458">
        <v>0.81</v>
      </c>
      <c r="DC3458">
        <v>0.44</v>
      </c>
      <c r="DD3458">
        <v>65.67</v>
      </c>
      <c r="DE3458" t="s">
        <v>9778</v>
      </c>
      <c r="DF3458">
        <v>26.94</v>
      </c>
      <c r="DG3458">
        <v>15.17</v>
      </c>
      <c r="DH3458">
        <v>11.37</v>
      </c>
      <c r="DI3458">
        <v>0.52</v>
      </c>
      <c r="DJ3458">
        <v>2626</v>
      </c>
      <c r="DK3458">
        <v>603166</v>
      </c>
      <c r="DL3458" t="s">
        <v>120</v>
      </c>
      <c r="DM3458" t="s">
        <v>120</v>
      </c>
      <c r="DN3458" t="s">
        <v>120</v>
      </c>
    </row>
    <row r="3459" spans="1:118">
      <c r="A3459" t="str">
        <f>"603167"</f>
        <v>603167</v>
      </c>
      <c r="B3459" t="s">
        <v>14671</v>
      </c>
      <c r="C3459">
        <v>-1.35</v>
      </c>
      <c r="D3459">
        <v>-0.1</v>
      </c>
      <c r="E3459">
        <v>-0.56000000000000005</v>
      </c>
      <c r="F3459">
        <v>832</v>
      </c>
      <c r="G3459" t="s">
        <v>14672</v>
      </c>
      <c r="H3459">
        <v>10015.07</v>
      </c>
      <c r="I3459">
        <v>44.78</v>
      </c>
      <c r="J3459" t="s">
        <v>120</v>
      </c>
      <c r="K3459" t="s">
        <v>1452</v>
      </c>
      <c r="L3459">
        <v>2.37</v>
      </c>
      <c r="M3459">
        <v>8.7799999999999994</v>
      </c>
      <c r="N3459">
        <v>0.89</v>
      </c>
      <c r="O3459">
        <v>3.6</v>
      </c>
      <c r="P3459">
        <v>9.2200000000000006</v>
      </c>
      <c r="Q3459">
        <v>-1.46</v>
      </c>
      <c r="R3459">
        <v>8.77</v>
      </c>
      <c r="S3459">
        <v>8.85</v>
      </c>
      <c r="T3459">
        <v>111388</v>
      </c>
      <c r="U3459">
        <v>8.7899999999999991</v>
      </c>
      <c r="V3459">
        <v>8.9</v>
      </c>
      <c r="W3459">
        <v>17.46</v>
      </c>
      <c r="X3459" t="s">
        <v>917</v>
      </c>
      <c r="Y3459" t="s">
        <v>638</v>
      </c>
      <c r="Z3459">
        <v>5.0599999999999996</v>
      </c>
      <c r="AA3459">
        <v>8.99</v>
      </c>
      <c r="AB3459">
        <v>62107</v>
      </c>
      <c r="AC3459">
        <v>49281</v>
      </c>
      <c r="AD3459">
        <v>1.26</v>
      </c>
      <c r="AE3459">
        <v>378</v>
      </c>
      <c r="AF3459">
        <v>22</v>
      </c>
      <c r="AG3459" t="s">
        <v>120</v>
      </c>
      <c r="AH3459">
        <v>0.02</v>
      </c>
      <c r="AI3459" t="s">
        <v>120</v>
      </c>
      <c r="AJ3459">
        <v>4.6900000000000004</v>
      </c>
      <c r="AK3459" t="s">
        <v>5363</v>
      </c>
      <c r="AL3459">
        <v>0</v>
      </c>
      <c r="AM3459">
        <v>2940</v>
      </c>
      <c r="AN3459">
        <v>38</v>
      </c>
      <c r="AO3459">
        <v>8.0000000000000004E-4</v>
      </c>
      <c r="AP3459">
        <v>-3</v>
      </c>
      <c r="AQ3459">
        <v>-0.11</v>
      </c>
      <c r="AR3459">
        <v>-3.3</v>
      </c>
      <c r="AS3459">
        <v>2.93</v>
      </c>
      <c r="AT3459">
        <v>2.57</v>
      </c>
      <c r="AU3459">
        <v>1.04</v>
      </c>
      <c r="AV3459">
        <v>5</v>
      </c>
      <c r="AW3459">
        <v>3.89</v>
      </c>
      <c r="AX3459">
        <v>60.52</v>
      </c>
      <c r="AY3459">
        <v>16.579999999999998</v>
      </c>
      <c r="AZ3459">
        <v>30.91</v>
      </c>
      <c r="BA3459">
        <v>0.6</v>
      </c>
      <c r="BB3459" t="s">
        <v>125</v>
      </c>
      <c r="BF3459">
        <v>1.02</v>
      </c>
      <c r="BG3459">
        <v>-0.79</v>
      </c>
      <c r="BH3459">
        <v>-4.7699999999999996</v>
      </c>
      <c r="BI3459">
        <v>0.11</v>
      </c>
      <c r="BJ3459">
        <v>20210907</v>
      </c>
      <c r="BK3459">
        <v>20120906</v>
      </c>
      <c r="BL3459">
        <v>4.7300000000000004</v>
      </c>
      <c r="BM3459" t="s">
        <v>120</v>
      </c>
      <c r="BN3459" t="s">
        <v>120</v>
      </c>
      <c r="BO3459">
        <v>51.28</v>
      </c>
      <c r="BP3459">
        <v>8.7799999999999994</v>
      </c>
      <c r="BQ3459">
        <v>34.729999999999997</v>
      </c>
      <c r="BR3459">
        <v>2.04</v>
      </c>
      <c r="BS3459">
        <v>28.3</v>
      </c>
      <c r="BT3459">
        <v>5.89</v>
      </c>
      <c r="BU3459">
        <v>35.81</v>
      </c>
      <c r="BV3459">
        <v>0.02</v>
      </c>
      <c r="BW3459">
        <v>10.039999999999999</v>
      </c>
      <c r="BX3459">
        <v>2.66</v>
      </c>
      <c r="BY3459">
        <v>0.82</v>
      </c>
      <c r="BZ3459">
        <v>0.39</v>
      </c>
      <c r="CA3459">
        <v>0.03</v>
      </c>
      <c r="CB3459">
        <v>9.9</v>
      </c>
      <c r="CC3459">
        <v>6.87</v>
      </c>
      <c r="CD3459">
        <v>4.8</v>
      </c>
      <c r="CE3459">
        <v>1.85</v>
      </c>
      <c r="CF3459">
        <v>0.27</v>
      </c>
      <c r="CG3459">
        <v>1.85</v>
      </c>
      <c r="CH3459">
        <v>1.32</v>
      </c>
      <c r="CI3459">
        <v>1.19</v>
      </c>
      <c r="CJ3459">
        <v>-0.12</v>
      </c>
      <c r="CK3459">
        <v>0.95</v>
      </c>
      <c r="CL3459">
        <v>17.7</v>
      </c>
      <c r="CM3459">
        <v>2.25</v>
      </c>
      <c r="CN3459">
        <v>0.9</v>
      </c>
      <c r="CO3459">
        <v>34149</v>
      </c>
      <c r="CP3459">
        <v>8375</v>
      </c>
      <c r="CQ3459" t="s">
        <v>1927</v>
      </c>
      <c r="CR3459">
        <v>9441.57</v>
      </c>
      <c r="CS3459">
        <v>37.83</v>
      </c>
      <c r="CT3459">
        <v>1.2</v>
      </c>
      <c r="CU3459">
        <v>18.47</v>
      </c>
      <c r="CV3459">
        <v>6.04</v>
      </c>
      <c r="CW3459">
        <v>1.24</v>
      </c>
      <c r="CX3459" t="s">
        <v>863</v>
      </c>
      <c r="CY3459">
        <v>7.34</v>
      </c>
      <c r="CZ3459">
        <v>7.34</v>
      </c>
      <c r="DA3459">
        <v>2.09</v>
      </c>
      <c r="DB3459">
        <v>3.75</v>
      </c>
      <c r="DC3459">
        <v>0.48</v>
      </c>
      <c r="DD3459">
        <v>67.73</v>
      </c>
      <c r="DE3459" t="s">
        <v>367</v>
      </c>
      <c r="DF3459">
        <v>30.15</v>
      </c>
      <c r="DG3459">
        <v>26.87</v>
      </c>
      <c r="DH3459">
        <v>17.29</v>
      </c>
      <c r="DI3459" t="s">
        <v>120</v>
      </c>
      <c r="DJ3459">
        <v>1646</v>
      </c>
      <c r="DK3459">
        <v>603167</v>
      </c>
      <c r="DL3459" t="s">
        <v>120</v>
      </c>
      <c r="DM3459" t="s">
        <v>120</v>
      </c>
      <c r="DN3459" t="s">
        <v>120</v>
      </c>
    </row>
    <row r="3460" spans="1:118">
      <c r="A3460" t="str">
        <f>"603168"</f>
        <v>603168</v>
      </c>
      <c r="B3460" t="s">
        <v>14673</v>
      </c>
      <c r="C3460">
        <v>2.91</v>
      </c>
      <c r="D3460">
        <v>0.1</v>
      </c>
      <c r="E3460">
        <v>0.94</v>
      </c>
      <c r="F3460">
        <v>286</v>
      </c>
      <c r="G3460" t="s">
        <v>2401</v>
      </c>
      <c r="H3460">
        <v>5582.03</v>
      </c>
      <c r="I3460">
        <v>1.65</v>
      </c>
      <c r="J3460" t="s">
        <v>120</v>
      </c>
      <c r="K3460" t="s">
        <v>6916</v>
      </c>
      <c r="L3460">
        <v>1.75</v>
      </c>
      <c r="M3460">
        <v>9.89</v>
      </c>
      <c r="N3460">
        <v>1.65</v>
      </c>
      <c r="O3460">
        <v>5.0999999999999996</v>
      </c>
      <c r="P3460">
        <v>10.1</v>
      </c>
      <c r="Q3460">
        <v>0</v>
      </c>
      <c r="R3460">
        <v>9.61</v>
      </c>
      <c r="S3460">
        <v>9.6999999999999993</v>
      </c>
      <c r="T3460">
        <v>56382</v>
      </c>
      <c r="U3460">
        <v>9.9</v>
      </c>
      <c r="V3460">
        <v>9.61</v>
      </c>
      <c r="W3460">
        <v>59.18</v>
      </c>
      <c r="X3460" t="s">
        <v>569</v>
      </c>
      <c r="Y3460" t="s">
        <v>585</v>
      </c>
      <c r="Z3460">
        <v>5.0999999999999996</v>
      </c>
      <c r="AA3460">
        <v>9.9</v>
      </c>
      <c r="AB3460">
        <v>25867</v>
      </c>
      <c r="AC3460">
        <v>30515</v>
      </c>
      <c r="AD3460">
        <v>0.85</v>
      </c>
      <c r="AE3460">
        <v>190</v>
      </c>
      <c r="AF3460">
        <v>607</v>
      </c>
      <c r="AG3460" t="s">
        <v>120</v>
      </c>
      <c r="AH3460">
        <v>0</v>
      </c>
      <c r="AI3460" t="s">
        <v>120</v>
      </c>
      <c r="AJ3460">
        <v>3.23</v>
      </c>
      <c r="AK3460" t="s">
        <v>6916</v>
      </c>
      <c r="AL3460">
        <v>4.26</v>
      </c>
      <c r="AM3460">
        <v>2010</v>
      </c>
      <c r="AN3460">
        <v>28</v>
      </c>
      <c r="AO3460">
        <v>8.9999999999999998E-4</v>
      </c>
      <c r="AP3460">
        <v>2</v>
      </c>
      <c r="AQ3460">
        <v>1.26</v>
      </c>
      <c r="AR3460">
        <v>1.74</v>
      </c>
      <c r="AS3460">
        <v>2.91</v>
      </c>
      <c r="AT3460">
        <v>0.1</v>
      </c>
      <c r="AU3460">
        <v>26.15</v>
      </c>
      <c r="AV3460">
        <v>7</v>
      </c>
      <c r="AW3460">
        <v>3.2</v>
      </c>
      <c r="AX3460">
        <v>54.63</v>
      </c>
      <c r="AY3460" t="s">
        <v>120</v>
      </c>
      <c r="AZ3460" t="s">
        <v>120</v>
      </c>
      <c r="BA3460">
        <v>0.52</v>
      </c>
      <c r="BB3460" t="s">
        <v>143</v>
      </c>
      <c r="BF3460">
        <v>3.02</v>
      </c>
      <c r="BG3460">
        <v>1.96</v>
      </c>
      <c r="BH3460">
        <v>-2.08</v>
      </c>
      <c r="BI3460">
        <v>2.91</v>
      </c>
      <c r="BJ3460">
        <v>20210831</v>
      </c>
      <c r="BK3460">
        <v>20140702</v>
      </c>
      <c r="BL3460">
        <v>3.23</v>
      </c>
      <c r="BM3460" t="s">
        <v>120</v>
      </c>
      <c r="BN3460" t="s">
        <v>120</v>
      </c>
      <c r="BO3460">
        <v>14.77</v>
      </c>
      <c r="BP3460">
        <v>9.89</v>
      </c>
      <c r="BQ3460">
        <v>13.33</v>
      </c>
      <c r="BR3460" t="s">
        <v>120</v>
      </c>
      <c r="BS3460">
        <v>9.73</v>
      </c>
      <c r="BT3460">
        <v>6.09</v>
      </c>
      <c r="BU3460">
        <v>3.65</v>
      </c>
      <c r="BV3460">
        <v>1.58</v>
      </c>
      <c r="BW3460">
        <v>1.38</v>
      </c>
      <c r="BX3460">
        <v>1.95</v>
      </c>
      <c r="BY3460">
        <v>0.41</v>
      </c>
      <c r="BZ3460">
        <v>0.19</v>
      </c>
      <c r="CA3460" t="s">
        <v>120</v>
      </c>
      <c r="CB3460">
        <v>6.2</v>
      </c>
      <c r="CC3460">
        <v>3.17</v>
      </c>
      <c r="CD3460">
        <v>1.28</v>
      </c>
      <c r="CE3460">
        <v>0.33</v>
      </c>
      <c r="CF3460">
        <v>0.03</v>
      </c>
      <c r="CG3460">
        <v>0.32</v>
      </c>
      <c r="CH3460">
        <v>0.27</v>
      </c>
      <c r="CI3460">
        <v>0.27</v>
      </c>
      <c r="CJ3460">
        <v>0.28000000000000003</v>
      </c>
      <c r="CK3460">
        <v>0.25</v>
      </c>
      <c r="CL3460">
        <v>2.81</v>
      </c>
      <c r="CM3460">
        <v>0.91</v>
      </c>
      <c r="CN3460">
        <v>0.88</v>
      </c>
      <c r="CO3460">
        <v>21441</v>
      </c>
      <c r="CP3460">
        <v>8220</v>
      </c>
      <c r="CQ3460" t="s">
        <v>1205</v>
      </c>
      <c r="CR3460">
        <v>285.12</v>
      </c>
      <c r="CS3460">
        <v>130.24</v>
      </c>
      <c r="CT3460">
        <v>2.39</v>
      </c>
      <c r="CU3460">
        <v>35.03</v>
      </c>
      <c r="CV3460">
        <v>10.07</v>
      </c>
      <c r="CW3460">
        <v>0</v>
      </c>
      <c r="CX3460" t="s">
        <v>535</v>
      </c>
      <c r="CY3460">
        <v>4.13</v>
      </c>
      <c r="CZ3460">
        <v>0</v>
      </c>
      <c r="DA3460">
        <v>1.92</v>
      </c>
      <c r="DB3460">
        <v>0.87</v>
      </c>
      <c r="DC3460">
        <v>0.28000000000000003</v>
      </c>
      <c r="DD3460">
        <v>90.27</v>
      </c>
      <c r="DE3460" t="s">
        <v>9232</v>
      </c>
      <c r="DF3460">
        <v>59.58</v>
      </c>
      <c r="DG3460">
        <v>10.56</v>
      </c>
      <c r="DH3460">
        <v>8.51</v>
      </c>
      <c r="DI3460">
        <v>0.37</v>
      </c>
      <c r="DJ3460">
        <v>1361</v>
      </c>
      <c r="DK3460">
        <v>603168</v>
      </c>
      <c r="DL3460" t="s">
        <v>120</v>
      </c>
      <c r="DM3460" t="s">
        <v>120</v>
      </c>
      <c r="DN3460" t="s">
        <v>120</v>
      </c>
    </row>
    <row r="3461" spans="1:118">
      <c r="A3461" t="str">
        <f>"603169"</f>
        <v>603169</v>
      </c>
      <c r="B3461" t="s">
        <v>14674</v>
      </c>
      <c r="C3461">
        <v>-1.53</v>
      </c>
      <c r="D3461">
        <v>0</v>
      </c>
      <c r="E3461">
        <v>0</v>
      </c>
      <c r="F3461">
        <v>2655</v>
      </c>
      <c r="G3461" t="s">
        <v>6932</v>
      </c>
      <c r="H3461">
        <v>30011.25</v>
      </c>
      <c r="I3461">
        <v>47.4</v>
      </c>
      <c r="J3461" t="s">
        <v>120</v>
      </c>
      <c r="K3461" t="s">
        <v>14675</v>
      </c>
      <c r="L3461">
        <v>4.29</v>
      </c>
      <c r="M3461">
        <v>6.42</v>
      </c>
      <c r="N3461">
        <v>1.2</v>
      </c>
      <c r="O3461">
        <v>5.83</v>
      </c>
      <c r="P3461">
        <v>6.9</v>
      </c>
      <c r="Q3461">
        <v>-1.84</v>
      </c>
      <c r="R3461">
        <v>6.4</v>
      </c>
      <c r="S3461">
        <v>6.52</v>
      </c>
      <c r="T3461">
        <v>450713</v>
      </c>
      <c r="U3461">
        <v>6.42</v>
      </c>
      <c r="V3461">
        <v>6.52</v>
      </c>
      <c r="W3461">
        <v>53.19</v>
      </c>
      <c r="X3461" t="s">
        <v>675</v>
      </c>
      <c r="Y3461" t="s">
        <v>1082</v>
      </c>
      <c r="Z3461">
        <v>7.67</v>
      </c>
      <c r="AA3461">
        <v>6.66</v>
      </c>
      <c r="AB3461">
        <v>233737</v>
      </c>
      <c r="AC3461">
        <v>216976</v>
      </c>
      <c r="AD3461">
        <v>1.08</v>
      </c>
      <c r="AE3461">
        <v>1861</v>
      </c>
      <c r="AF3461">
        <v>705</v>
      </c>
      <c r="AG3461" t="s">
        <v>120</v>
      </c>
      <c r="AH3461">
        <v>0.02</v>
      </c>
      <c r="AI3461" t="s">
        <v>120</v>
      </c>
      <c r="AJ3461">
        <v>10.52</v>
      </c>
      <c r="AK3461" t="s">
        <v>14675</v>
      </c>
      <c r="AL3461">
        <v>-0.19</v>
      </c>
      <c r="AM3461">
        <v>3699</v>
      </c>
      <c r="AN3461">
        <v>122</v>
      </c>
      <c r="AO3461">
        <v>1.1999999999999999E-3</v>
      </c>
      <c r="AP3461">
        <v>-1</v>
      </c>
      <c r="AQ3461">
        <v>2.35</v>
      </c>
      <c r="AR3461">
        <v>-0.47</v>
      </c>
      <c r="AS3461">
        <v>15.26</v>
      </c>
      <c r="AT3461">
        <v>43.95</v>
      </c>
      <c r="AU3461">
        <v>38.07</v>
      </c>
      <c r="AV3461">
        <v>10</v>
      </c>
      <c r="AW3461">
        <v>12.15</v>
      </c>
      <c r="AX3461">
        <v>35.29</v>
      </c>
      <c r="AY3461" t="s">
        <v>120</v>
      </c>
      <c r="AZ3461" t="s">
        <v>120</v>
      </c>
      <c r="BA3461">
        <v>0.53</v>
      </c>
      <c r="BB3461" t="s">
        <v>184</v>
      </c>
      <c r="BF3461">
        <v>2.13</v>
      </c>
      <c r="BG3461">
        <v>-1.53</v>
      </c>
      <c r="BH3461">
        <v>-6.96</v>
      </c>
      <c r="BI3461">
        <v>0.31</v>
      </c>
      <c r="BJ3461">
        <v>20210729</v>
      </c>
      <c r="BK3461">
        <v>20141009</v>
      </c>
      <c r="BL3461">
        <v>10.52</v>
      </c>
      <c r="BM3461" t="s">
        <v>120</v>
      </c>
      <c r="BN3461" t="s">
        <v>120</v>
      </c>
      <c r="BO3461">
        <v>110.25</v>
      </c>
      <c r="BP3461">
        <v>6.41</v>
      </c>
      <c r="BQ3461">
        <v>16.03</v>
      </c>
      <c r="BR3461">
        <v>2.0499999999999998</v>
      </c>
      <c r="BS3461">
        <v>83.6</v>
      </c>
      <c r="BT3461">
        <v>80.3</v>
      </c>
      <c r="BU3461">
        <v>22.34</v>
      </c>
      <c r="BV3461">
        <v>1.57</v>
      </c>
      <c r="BW3461">
        <v>83.52</v>
      </c>
      <c r="BX3461">
        <v>15.51</v>
      </c>
      <c r="BY3461">
        <v>29.15</v>
      </c>
      <c r="BZ3461">
        <v>16.84</v>
      </c>
      <c r="CA3461">
        <v>0.1</v>
      </c>
      <c r="CB3461">
        <v>14.73</v>
      </c>
      <c r="CC3461">
        <v>16.920000000000002</v>
      </c>
      <c r="CD3461">
        <v>14.29</v>
      </c>
      <c r="CE3461">
        <v>0.59</v>
      </c>
      <c r="CF3461">
        <v>0.02</v>
      </c>
      <c r="CG3461">
        <v>0.73</v>
      </c>
      <c r="CH3461">
        <v>0.72</v>
      </c>
      <c r="CI3461">
        <v>0.63</v>
      </c>
      <c r="CJ3461">
        <v>-0.1</v>
      </c>
      <c r="CK3461">
        <v>0.38</v>
      </c>
      <c r="CL3461">
        <v>-10.38</v>
      </c>
      <c r="CM3461">
        <v>0.03</v>
      </c>
      <c r="CN3461">
        <v>7.0000000000000007E-2</v>
      </c>
      <c r="CO3461">
        <v>50517</v>
      </c>
      <c r="CP3461">
        <v>7345</v>
      </c>
      <c r="CQ3461" t="s">
        <v>1431</v>
      </c>
      <c r="CR3461">
        <v>176.37</v>
      </c>
      <c r="CS3461">
        <v>45.31</v>
      </c>
      <c r="CT3461">
        <v>4.21</v>
      </c>
      <c r="CU3461">
        <v>2578.4499999999998</v>
      </c>
      <c r="CV3461">
        <v>3.99</v>
      </c>
      <c r="CW3461">
        <v>0</v>
      </c>
      <c r="CX3461" t="s">
        <v>1064</v>
      </c>
      <c r="CY3461">
        <v>1.52</v>
      </c>
      <c r="CZ3461">
        <v>0</v>
      </c>
      <c r="DA3461">
        <v>1.4</v>
      </c>
      <c r="DB3461">
        <v>-0.99</v>
      </c>
      <c r="DC3461">
        <v>0</v>
      </c>
      <c r="DD3461">
        <v>14.54</v>
      </c>
      <c r="DE3461" t="s">
        <v>2871</v>
      </c>
      <c r="DF3461">
        <v>15.55</v>
      </c>
      <c r="DG3461">
        <v>3.47</v>
      </c>
      <c r="DH3461">
        <v>3.75</v>
      </c>
      <c r="DI3461">
        <v>0.15</v>
      </c>
      <c r="DJ3461">
        <v>3692</v>
      </c>
      <c r="DK3461">
        <v>603169</v>
      </c>
      <c r="DL3461" t="s">
        <v>120</v>
      </c>
      <c r="DM3461" t="s">
        <v>120</v>
      </c>
      <c r="DN3461" t="s">
        <v>120</v>
      </c>
    </row>
    <row r="3462" spans="1:118">
      <c r="A3462" t="str">
        <f>"603171"</f>
        <v>603171</v>
      </c>
      <c r="B3462" t="s">
        <v>14676</v>
      </c>
      <c r="C3462">
        <v>-3.28</v>
      </c>
      <c r="D3462">
        <v>-0.16</v>
      </c>
      <c r="E3462">
        <v>-0.08</v>
      </c>
      <c r="F3462">
        <v>710</v>
      </c>
      <c r="G3462" t="s">
        <v>11793</v>
      </c>
      <c r="H3462">
        <v>4493.71</v>
      </c>
      <c r="I3462">
        <v>13.74</v>
      </c>
      <c r="J3462" t="s">
        <v>120</v>
      </c>
      <c r="K3462" t="s">
        <v>11793</v>
      </c>
      <c r="L3462">
        <v>3.03</v>
      </c>
      <c r="M3462">
        <v>35.950000000000003</v>
      </c>
      <c r="N3462">
        <v>0.77</v>
      </c>
      <c r="O3462">
        <v>0.86</v>
      </c>
      <c r="P3462">
        <v>37.49</v>
      </c>
      <c r="Q3462">
        <v>-3.28</v>
      </c>
      <c r="R3462">
        <v>35.950000000000003</v>
      </c>
      <c r="S3462">
        <v>37.14</v>
      </c>
      <c r="T3462">
        <v>12303</v>
      </c>
      <c r="U3462">
        <v>35.950000000000003</v>
      </c>
      <c r="V3462">
        <v>37.17</v>
      </c>
      <c r="W3462">
        <v>78.09</v>
      </c>
      <c r="X3462" t="s">
        <v>141</v>
      </c>
      <c r="Y3462" t="s">
        <v>585</v>
      </c>
      <c r="Z3462">
        <v>4.1399999999999997</v>
      </c>
      <c r="AA3462">
        <v>36.53</v>
      </c>
      <c r="AB3462">
        <v>8453</v>
      </c>
      <c r="AC3462">
        <v>3850</v>
      </c>
      <c r="AD3462">
        <v>2.2000000000000002</v>
      </c>
      <c r="AE3462">
        <v>1</v>
      </c>
      <c r="AF3462">
        <v>338</v>
      </c>
      <c r="AG3462" t="s">
        <v>120</v>
      </c>
      <c r="AH3462">
        <v>0.01</v>
      </c>
      <c r="AI3462" t="s">
        <v>120</v>
      </c>
      <c r="AJ3462">
        <v>0.41</v>
      </c>
      <c r="AK3462" t="s">
        <v>14677</v>
      </c>
      <c r="AL3462">
        <v>-1.94</v>
      </c>
      <c r="AM3462">
        <v>1480</v>
      </c>
      <c r="AN3462">
        <v>8</v>
      </c>
      <c r="AO3462">
        <v>2E-3</v>
      </c>
      <c r="AP3462">
        <v>-1</v>
      </c>
      <c r="AQ3462">
        <v>1.23</v>
      </c>
      <c r="AR3462">
        <v>-2.44</v>
      </c>
      <c r="AS3462">
        <v>-20.48</v>
      </c>
      <c r="AT3462">
        <v>169.69</v>
      </c>
      <c r="AU3462">
        <v>169.69</v>
      </c>
      <c r="AV3462">
        <v>8</v>
      </c>
      <c r="AW3462">
        <v>3.03</v>
      </c>
      <c r="AX3462">
        <v>10</v>
      </c>
      <c r="AY3462">
        <v>49.25</v>
      </c>
      <c r="AZ3462">
        <v>49.92</v>
      </c>
      <c r="BA3462">
        <v>0</v>
      </c>
      <c r="BB3462" t="s">
        <v>143</v>
      </c>
      <c r="BF3462">
        <v>-1.73</v>
      </c>
      <c r="BG3462">
        <v>-3.2</v>
      </c>
      <c r="BH3462">
        <v>-4.1100000000000003</v>
      </c>
      <c r="BI3462">
        <v>0</v>
      </c>
      <c r="BJ3462">
        <v>20210826</v>
      </c>
      <c r="BK3462">
        <v>20210630</v>
      </c>
      <c r="BL3462">
        <v>4.0599999999999996</v>
      </c>
      <c r="BM3462" t="s">
        <v>120</v>
      </c>
      <c r="BN3462" t="s">
        <v>120</v>
      </c>
      <c r="BO3462">
        <v>31.42</v>
      </c>
      <c r="BP3462">
        <v>35.94</v>
      </c>
      <c r="BQ3462">
        <v>22.92</v>
      </c>
      <c r="BR3462">
        <v>-0.02</v>
      </c>
      <c r="BS3462">
        <v>27.09</v>
      </c>
      <c r="BT3462">
        <v>22.99</v>
      </c>
      <c r="BU3462">
        <v>5.2</v>
      </c>
      <c r="BV3462">
        <v>1.42</v>
      </c>
      <c r="BW3462">
        <v>7.54</v>
      </c>
      <c r="BX3462">
        <v>18.27</v>
      </c>
      <c r="BY3462">
        <v>1.31</v>
      </c>
      <c r="BZ3462">
        <v>1.72</v>
      </c>
      <c r="CA3462" t="s">
        <v>120</v>
      </c>
      <c r="CB3462">
        <v>9.39</v>
      </c>
      <c r="CC3462">
        <v>6.84</v>
      </c>
      <c r="CD3462">
        <v>2.7</v>
      </c>
      <c r="CE3462">
        <v>0.91</v>
      </c>
      <c r="CF3462">
        <v>7.0000000000000007E-2</v>
      </c>
      <c r="CG3462">
        <v>0.91</v>
      </c>
      <c r="CH3462">
        <v>0.93</v>
      </c>
      <c r="CI3462">
        <v>0.93</v>
      </c>
      <c r="CJ3462">
        <v>-1.22</v>
      </c>
      <c r="CK3462">
        <v>0.69</v>
      </c>
      <c r="CL3462">
        <v>8.2899999999999991</v>
      </c>
      <c r="CM3462">
        <v>-3</v>
      </c>
      <c r="CN3462">
        <v>0.52</v>
      </c>
      <c r="CO3462">
        <v>36304</v>
      </c>
      <c r="CP3462">
        <v>1118</v>
      </c>
      <c r="CQ3462" t="s">
        <v>1539</v>
      </c>
      <c r="CR3462">
        <v>0</v>
      </c>
      <c r="CS3462">
        <v>0</v>
      </c>
      <c r="CT3462">
        <v>6.37</v>
      </c>
      <c r="CU3462">
        <v>-48.57</v>
      </c>
      <c r="CV3462">
        <v>21.34</v>
      </c>
      <c r="CW3462">
        <v>0</v>
      </c>
      <c r="CX3462" t="s">
        <v>670</v>
      </c>
      <c r="CY3462">
        <v>5.65</v>
      </c>
      <c r="CZ3462">
        <v>0</v>
      </c>
      <c r="DA3462">
        <v>2.31</v>
      </c>
      <c r="DB3462">
        <v>2.04</v>
      </c>
      <c r="DC3462">
        <v>-0.74</v>
      </c>
      <c r="DD3462">
        <v>72.97</v>
      </c>
      <c r="DE3462" t="s">
        <v>789</v>
      </c>
      <c r="DF3462">
        <v>60.46</v>
      </c>
      <c r="DG3462">
        <v>13.35</v>
      </c>
      <c r="DH3462">
        <v>13.66</v>
      </c>
      <c r="DI3462">
        <v>1.87</v>
      </c>
      <c r="DJ3462">
        <v>5800</v>
      </c>
      <c r="DK3462">
        <v>603171</v>
      </c>
      <c r="DL3462" t="s">
        <v>120</v>
      </c>
      <c r="DM3462" t="s">
        <v>120</v>
      </c>
      <c r="DN3462" t="s">
        <v>120</v>
      </c>
    </row>
    <row r="3463" spans="1:118">
      <c r="A3463" t="str">
        <f>"603177"</f>
        <v>603177</v>
      </c>
      <c r="B3463" t="s">
        <v>14678</v>
      </c>
      <c r="C3463">
        <v>1.5</v>
      </c>
      <c r="D3463">
        <v>0.06</v>
      </c>
      <c r="E3463">
        <v>1.25</v>
      </c>
      <c r="F3463">
        <v>149</v>
      </c>
      <c r="G3463" t="s">
        <v>3425</v>
      </c>
      <c r="H3463">
        <v>2300.9899999999998</v>
      </c>
      <c r="I3463">
        <v>10.17</v>
      </c>
      <c r="J3463" t="s">
        <v>120</v>
      </c>
      <c r="K3463" t="s">
        <v>14679</v>
      </c>
      <c r="L3463">
        <v>0.7</v>
      </c>
      <c r="M3463">
        <v>16.190000000000001</v>
      </c>
      <c r="N3463">
        <v>0.94</v>
      </c>
      <c r="O3463">
        <v>3.13</v>
      </c>
      <c r="P3463">
        <v>16.45</v>
      </c>
      <c r="Q3463">
        <v>-0.82</v>
      </c>
      <c r="R3463">
        <v>15.82</v>
      </c>
      <c r="S3463">
        <v>16.149999999999999</v>
      </c>
      <c r="T3463">
        <v>14216</v>
      </c>
      <c r="U3463">
        <v>16.2</v>
      </c>
      <c r="V3463">
        <v>15.95</v>
      </c>
      <c r="W3463">
        <v>532.20000000000005</v>
      </c>
      <c r="X3463" t="s">
        <v>318</v>
      </c>
      <c r="Y3463" t="s">
        <v>585</v>
      </c>
      <c r="Z3463">
        <v>3.95</v>
      </c>
      <c r="AA3463">
        <v>16.190000000000001</v>
      </c>
      <c r="AB3463">
        <v>7416</v>
      </c>
      <c r="AC3463">
        <v>6800</v>
      </c>
      <c r="AD3463">
        <v>1.0900000000000001</v>
      </c>
      <c r="AE3463">
        <v>44</v>
      </c>
      <c r="AF3463">
        <v>123</v>
      </c>
      <c r="AG3463" t="s">
        <v>120</v>
      </c>
      <c r="AH3463">
        <v>0.01</v>
      </c>
      <c r="AI3463" t="s">
        <v>120</v>
      </c>
      <c r="AJ3463">
        <v>2.02</v>
      </c>
      <c r="AK3463" t="s">
        <v>14679</v>
      </c>
      <c r="AL3463">
        <v>2.85</v>
      </c>
      <c r="AM3463">
        <v>1309</v>
      </c>
      <c r="AN3463">
        <v>11</v>
      </c>
      <c r="AO3463">
        <v>5.0000000000000001E-4</v>
      </c>
      <c r="AP3463">
        <v>2</v>
      </c>
      <c r="AQ3463">
        <v>2.44</v>
      </c>
      <c r="AR3463">
        <v>3.45</v>
      </c>
      <c r="AS3463">
        <v>25.11</v>
      </c>
      <c r="AT3463">
        <v>12.36</v>
      </c>
      <c r="AU3463">
        <v>80.89</v>
      </c>
      <c r="AV3463">
        <v>3</v>
      </c>
      <c r="AW3463">
        <v>1.85</v>
      </c>
      <c r="AX3463">
        <v>38.04</v>
      </c>
      <c r="AY3463" t="s">
        <v>120</v>
      </c>
      <c r="AZ3463" t="s">
        <v>120</v>
      </c>
      <c r="BA3463">
        <v>0.83</v>
      </c>
      <c r="BB3463" t="s">
        <v>184</v>
      </c>
      <c r="BF3463">
        <v>1.48</v>
      </c>
      <c r="BG3463">
        <v>0.25</v>
      </c>
      <c r="BH3463">
        <v>-1.58</v>
      </c>
      <c r="BI3463">
        <v>2.34</v>
      </c>
      <c r="BJ3463">
        <v>20210821</v>
      </c>
      <c r="BK3463">
        <v>20170207</v>
      </c>
      <c r="BL3463">
        <v>2.02</v>
      </c>
      <c r="BM3463" t="s">
        <v>120</v>
      </c>
      <c r="BN3463" t="s">
        <v>120</v>
      </c>
      <c r="BO3463">
        <v>13.54</v>
      </c>
      <c r="BP3463">
        <v>16.190000000000001</v>
      </c>
      <c r="BQ3463">
        <v>4.1500000000000004</v>
      </c>
      <c r="BR3463">
        <v>0.02</v>
      </c>
      <c r="BS3463">
        <v>69.23</v>
      </c>
      <c r="BT3463">
        <v>9.57</v>
      </c>
      <c r="BU3463">
        <v>1.59</v>
      </c>
      <c r="BV3463">
        <v>0.89</v>
      </c>
      <c r="BW3463">
        <v>9.1</v>
      </c>
      <c r="BX3463">
        <v>0.76</v>
      </c>
      <c r="BY3463">
        <v>1.1000000000000001</v>
      </c>
      <c r="BZ3463">
        <v>3.56</v>
      </c>
      <c r="CA3463" t="s">
        <v>120</v>
      </c>
      <c r="CB3463">
        <v>1.1599999999999999</v>
      </c>
      <c r="CC3463">
        <v>3.45</v>
      </c>
      <c r="CD3463">
        <v>2.75</v>
      </c>
      <c r="CE3463">
        <v>0.02</v>
      </c>
      <c r="CF3463">
        <v>0.01</v>
      </c>
      <c r="CG3463">
        <v>0.02</v>
      </c>
      <c r="CH3463">
        <v>0.02</v>
      </c>
      <c r="CI3463">
        <v>0.03</v>
      </c>
      <c r="CJ3463">
        <v>0.24</v>
      </c>
      <c r="CK3463">
        <v>0</v>
      </c>
      <c r="CL3463">
        <v>0.56000000000000005</v>
      </c>
      <c r="CM3463">
        <v>0.23</v>
      </c>
      <c r="CN3463">
        <v>-0.12</v>
      </c>
      <c r="CO3463">
        <v>9740</v>
      </c>
      <c r="CP3463">
        <v>7889</v>
      </c>
      <c r="CQ3463" t="s">
        <v>10525</v>
      </c>
      <c r="CR3463">
        <v>109.22</v>
      </c>
      <c r="CS3463">
        <v>100.47</v>
      </c>
      <c r="CT3463">
        <v>7.88</v>
      </c>
      <c r="CU3463">
        <v>144.46</v>
      </c>
      <c r="CV3463">
        <v>9.49</v>
      </c>
      <c r="CW3463">
        <v>0</v>
      </c>
      <c r="CX3463" t="s">
        <v>499</v>
      </c>
      <c r="CY3463">
        <v>2.0499999999999998</v>
      </c>
      <c r="CZ3463">
        <v>0</v>
      </c>
      <c r="DA3463">
        <v>0.57999999999999996</v>
      </c>
      <c r="DB3463">
        <v>0.28000000000000003</v>
      </c>
      <c r="DC3463">
        <v>0.11</v>
      </c>
      <c r="DD3463">
        <v>30.64</v>
      </c>
      <c r="DE3463" t="s">
        <v>1037</v>
      </c>
      <c r="DF3463">
        <v>20.3</v>
      </c>
      <c r="DG3463">
        <v>0.71</v>
      </c>
      <c r="DH3463">
        <v>0.89</v>
      </c>
      <c r="DI3463">
        <v>0.17</v>
      </c>
      <c r="DJ3463">
        <v>719</v>
      </c>
      <c r="DK3463">
        <v>603177</v>
      </c>
      <c r="DL3463" t="s">
        <v>120</v>
      </c>
      <c r="DM3463" t="s">
        <v>120</v>
      </c>
      <c r="DN3463" t="s">
        <v>120</v>
      </c>
    </row>
    <row r="3464" spans="1:118">
      <c r="A3464" t="str">
        <f>"603178"</f>
        <v>603178</v>
      </c>
      <c r="B3464" t="s">
        <v>14680</v>
      </c>
      <c r="C3464">
        <v>-3.05</v>
      </c>
      <c r="D3464">
        <v>-0.09</v>
      </c>
      <c r="E3464">
        <v>0</v>
      </c>
      <c r="F3464">
        <v>111</v>
      </c>
      <c r="G3464" t="s">
        <v>14681</v>
      </c>
      <c r="H3464">
        <v>2910.13</v>
      </c>
      <c r="I3464">
        <v>0.32</v>
      </c>
      <c r="J3464" t="s">
        <v>120</v>
      </c>
      <c r="K3464" t="s">
        <v>1742</v>
      </c>
      <c r="L3464">
        <v>1.4</v>
      </c>
      <c r="M3464">
        <v>10.18</v>
      </c>
      <c r="N3464">
        <v>1.23</v>
      </c>
      <c r="O3464">
        <v>0.95</v>
      </c>
      <c r="P3464">
        <v>10.6</v>
      </c>
      <c r="Q3464">
        <v>-3.24</v>
      </c>
      <c r="R3464">
        <v>10.16</v>
      </c>
      <c r="S3464">
        <v>10.5</v>
      </c>
      <c r="T3464">
        <v>28109</v>
      </c>
      <c r="U3464">
        <v>10.19</v>
      </c>
      <c r="V3464">
        <v>10.5</v>
      </c>
      <c r="W3464">
        <v>16.72</v>
      </c>
      <c r="X3464" t="s">
        <v>289</v>
      </c>
      <c r="Y3464" t="s">
        <v>585</v>
      </c>
      <c r="Z3464">
        <v>4.1900000000000004</v>
      </c>
      <c r="AA3464">
        <v>10.35</v>
      </c>
      <c r="AB3464">
        <v>19738</v>
      </c>
      <c r="AC3464">
        <v>8371</v>
      </c>
      <c r="AD3464">
        <v>2.36</v>
      </c>
      <c r="AE3464">
        <v>41</v>
      </c>
      <c r="AF3464">
        <v>27</v>
      </c>
      <c r="AG3464" t="s">
        <v>120</v>
      </c>
      <c r="AH3464">
        <v>0</v>
      </c>
      <c r="AI3464" t="s">
        <v>120</v>
      </c>
      <c r="AJ3464">
        <v>2.0099999999999998</v>
      </c>
      <c r="AK3464" t="s">
        <v>1742</v>
      </c>
      <c r="AL3464">
        <v>-1.7</v>
      </c>
      <c r="AM3464">
        <v>1316</v>
      </c>
      <c r="AN3464">
        <v>21</v>
      </c>
      <c r="AO3464">
        <v>1.1000000000000001E-3</v>
      </c>
      <c r="AP3464">
        <v>-1</v>
      </c>
      <c r="AQ3464">
        <v>0.28999999999999998</v>
      </c>
      <c r="AR3464">
        <v>-3.51</v>
      </c>
      <c r="AS3464">
        <v>-3.96</v>
      </c>
      <c r="AT3464">
        <v>4.3600000000000003</v>
      </c>
      <c r="AU3464">
        <v>16.41</v>
      </c>
      <c r="AV3464">
        <v>8</v>
      </c>
      <c r="AW3464">
        <v>5.52</v>
      </c>
      <c r="AX3464">
        <v>25.36</v>
      </c>
      <c r="AY3464">
        <v>21.09</v>
      </c>
      <c r="AZ3464">
        <v>37.950000000000003</v>
      </c>
      <c r="BA3464">
        <v>0.87</v>
      </c>
      <c r="BB3464" t="s">
        <v>143</v>
      </c>
      <c r="BF3464">
        <v>-1.4</v>
      </c>
      <c r="BG3464">
        <v>-3.05</v>
      </c>
      <c r="BH3464">
        <v>-3.96</v>
      </c>
      <c r="BI3464">
        <v>0.2</v>
      </c>
      <c r="BJ3464">
        <v>20210824</v>
      </c>
      <c r="BK3464">
        <v>20170328</v>
      </c>
      <c r="BL3464">
        <v>2.0099999999999998</v>
      </c>
      <c r="BM3464" t="s">
        <v>120</v>
      </c>
      <c r="BN3464" t="s">
        <v>120</v>
      </c>
      <c r="BO3464">
        <v>18.93</v>
      </c>
      <c r="BP3464">
        <v>10.18</v>
      </c>
      <c r="BQ3464">
        <v>7.19</v>
      </c>
      <c r="BR3464" t="s">
        <v>120</v>
      </c>
      <c r="BS3464">
        <v>62.03</v>
      </c>
      <c r="BT3464">
        <v>7.82</v>
      </c>
      <c r="BU3464">
        <v>7.16</v>
      </c>
      <c r="BV3464">
        <v>1.17</v>
      </c>
      <c r="BW3464">
        <v>9.49</v>
      </c>
      <c r="BX3464">
        <v>1.31</v>
      </c>
      <c r="BY3464">
        <v>2.23</v>
      </c>
      <c r="BZ3464">
        <v>3.07</v>
      </c>
      <c r="CA3464" t="s">
        <v>120</v>
      </c>
      <c r="CB3464">
        <v>3.19</v>
      </c>
      <c r="CC3464">
        <v>6.47</v>
      </c>
      <c r="CD3464">
        <v>5.58</v>
      </c>
      <c r="CE3464">
        <v>0.62</v>
      </c>
      <c r="CF3464">
        <v>0.26</v>
      </c>
      <c r="CG3464">
        <v>0.62</v>
      </c>
      <c r="CH3464">
        <v>0.61</v>
      </c>
      <c r="CI3464">
        <v>0.61</v>
      </c>
      <c r="CJ3464">
        <v>-0.32</v>
      </c>
      <c r="CK3464">
        <v>0.13</v>
      </c>
      <c r="CL3464">
        <v>1.56</v>
      </c>
      <c r="CM3464">
        <v>0.09</v>
      </c>
      <c r="CN3464">
        <v>0.34</v>
      </c>
      <c r="CO3464">
        <v>15013</v>
      </c>
      <c r="CP3464">
        <v>3395</v>
      </c>
      <c r="CQ3464" t="s">
        <v>5477</v>
      </c>
      <c r="CR3464">
        <v>265.98</v>
      </c>
      <c r="CS3464">
        <v>27.25</v>
      </c>
      <c r="CT3464">
        <v>2.85</v>
      </c>
      <c r="CU3464">
        <v>221.36</v>
      </c>
      <c r="CV3464">
        <v>3.16</v>
      </c>
      <c r="CW3464">
        <v>0.81</v>
      </c>
      <c r="CX3464" t="s">
        <v>1340</v>
      </c>
      <c r="CY3464">
        <v>3.58</v>
      </c>
      <c r="CZ3464">
        <v>0</v>
      </c>
      <c r="DA3464">
        <v>1.59</v>
      </c>
      <c r="DB3464">
        <v>0.78</v>
      </c>
      <c r="DC3464">
        <v>0.05</v>
      </c>
      <c r="DD3464">
        <v>37.97</v>
      </c>
      <c r="DE3464" t="s">
        <v>14682</v>
      </c>
      <c r="DF3464">
        <v>13.73</v>
      </c>
      <c r="DG3464">
        <v>9.64</v>
      </c>
      <c r="DH3464">
        <v>9.4600000000000009</v>
      </c>
      <c r="DI3464">
        <v>0.35</v>
      </c>
      <c r="DJ3464">
        <v>1542</v>
      </c>
      <c r="DK3464">
        <v>603178</v>
      </c>
      <c r="DL3464" t="s">
        <v>120</v>
      </c>
      <c r="DM3464" t="s">
        <v>120</v>
      </c>
      <c r="DN3464" t="s">
        <v>120</v>
      </c>
    </row>
    <row r="3465" spans="1:118">
      <c r="A3465" t="str">
        <f>"603179"</f>
        <v>603179</v>
      </c>
      <c r="B3465" t="s">
        <v>14683</v>
      </c>
      <c r="C3465">
        <v>-0.98</v>
      </c>
      <c r="D3465">
        <v>7.0000000000000007E-2</v>
      </c>
      <c r="E3465">
        <v>-0.46</v>
      </c>
      <c r="F3465">
        <v>11</v>
      </c>
      <c r="G3465" t="s">
        <v>3581</v>
      </c>
      <c r="H3465">
        <v>3746.78</v>
      </c>
      <c r="I3465">
        <v>14.56</v>
      </c>
      <c r="J3465" t="s">
        <v>120</v>
      </c>
      <c r="K3465" t="s">
        <v>14684</v>
      </c>
      <c r="L3465">
        <v>0.33</v>
      </c>
      <c r="M3465">
        <v>30.17</v>
      </c>
      <c r="N3465">
        <v>0.88</v>
      </c>
      <c r="O3465">
        <v>2.56</v>
      </c>
      <c r="P3465">
        <v>31.25</v>
      </c>
      <c r="Q3465">
        <v>-1.67</v>
      </c>
      <c r="R3465">
        <v>29.96</v>
      </c>
      <c r="S3465">
        <v>30.33</v>
      </c>
      <c r="T3465">
        <v>12214</v>
      </c>
      <c r="U3465">
        <v>30.18</v>
      </c>
      <c r="V3465">
        <v>30.47</v>
      </c>
      <c r="W3465">
        <v>34.35</v>
      </c>
      <c r="X3465" t="s">
        <v>289</v>
      </c>
      <c r="Y3465" t="s">
        <v>319</v>
      </c>
      <c r="Z3465">
        <v>4.2300000000000004</v>
      </c>
      <c r="AA3465">
        <v>30.68</v>
      </c>
      <c r="AB3465">
        <v>6933</v>
      </c>
      <c r="AC3465">
        <v>5281</v>
      </c>
      <c r="AD3465">
        <v>1.31</v>
      </c>
      <c r="AE3465">
        <v>49</v>
      </c>
      <c r="AF3465">
        <v>1</v>
      </c>
      <c r="AG3465" t="s">
        <v>120</v>
      </c>
      <c r="AH3465">
        <v>0</v>
      </c>
      <c r="AI3465" t="s">
        <v>120</v>
      </c>
      <c r="AJ3465">
        <v>3.75</v>
      </c>
      <c r="AK3465" t="s">
        <v>14684</v>
      </c>
      <c r="AL3465">
        <v>0.36</v>
      </c>
      <c r="AM3465">
        <v>1474</v>
      </c>
      <c r="AN3465">
        <v>8</v>
      </c>
      <c r="AO3465">
        <v>2.0000000000000001E-4</v>
      </c>
      <c r="AP3465">
        <v>-2</v>
      </c>
      <c r="AQ3465">
        <v>-2.0299999999999998</v>
      </c>
      <c r="AR3465">
        <v>-0.76</v>
      </c>
      <c r="AS3465">
        <v>-11.73</v>
      </c>
      <c r="AT3465">
        <v>-12.58</v>
      </c>
      <c r="AU3465">
        <v>-10.210000000000001</v>
      </c>
      <c r="AV3465">
        <v>4</v>
      </c>
      <c r="AW3465">
        <v>0.61</v>
      </c>
      <c r="AX3465">
        <v>53.54</v>
      </c>
      <c r="AY3465">
        <v>35.29</v>
      </c>
      <c r="AZ3465">
        <v>44.32</v>
      </c>
      <c r="BA3465">
        <v>0.61</v>
      </c>
      <c r="BB3465" t="s">
        <v>143</v>
      </c>
      <c r="BF3465">
        <v>0.68</v>
      </c>
      <c r="BG3465">
        <v>-0.53</v>
      </c>
      <c r="BH3465">
        <v>-3.46</v>
      </c>
      <c r="BI3465">
        <v>0.7</v>
      </c>
      <c r="BJ3465">
        <v>20210826</v>
      </c>
      <c r="BK3465">
        <v>20170317</v>
      </c>
      <c r="BL3465">
        <v>3.75</v>
      </c>
      <c r="BM3465" t="s">
        <v>120</v>
      </c>
      <c r="BN3465" t="s">
        <v>120</v>
      </c>
      <c r="BO3465">
        <v>69.34</v>
      </c>
      <c r="BP3465">
        <v>30.17</v>
      </c>
      <c r="BQ3465">
        <v>35.31</v>
      </c>
      <c r="BR3465">
        <v>0.52</v>
      </c>
      <c r="BS3465">
        <v>48.33</v>
      </c>
      <c r="BT3465">
        <v>48.52</v>
      </c>
      <c r="BU3465">
        <v>14.3</v>
      </c>
      <c r="BV3465">
        <v>2.3199999999999998</v>
      </c>
      <c r="BW3465">
        <v>26.79</v>
      </c>
      <c r="BX3465">
        <v>12.12</v>
      </c>
      <c r="BY3465">
        <v>11.72</v>
      </c>
      <c r="BZ3465">
        <v>13.03</v>
      </c>
      <c r="CA3465" t="s">
        <v>120</v>
      </c>
      <c r="CB3465">
        <v>21.51</v>
      </c>
      <c r="CC3465">
        <v>22.62</v>
      </c>
      <c r="CD3465">
        <v>17.46</v>
      </c>
      <c r="CE3465">
        <v>1.88</v>
      </c>
      <c r="CF3465">
        <v>0</v>
      </c>
      <c r="CG3465">
        <v>1.87</v>
      </c>
      <c r="CH3465">
        <v>1.71</v>
      </c>
      <c r="CI3465">
        <v>1.65</v>
      </c>
      <c r="CJ3465">
        <v>-0.3</v>
      </c>
      <c r="CK3465">
        <v>1.45</v>
      </c>
      <c r="CL3465">
        <v>8.91</v>
      </c>
      <c r="CM3465">
        <v>0.17</v>
      </c>
      <c r="CN3465">
        <v>-4.6900000000000004</v>
      </c>
      <c r="CO3465">
        <v>5704</v>
      </c>
      <c r="CP3465">
        <v>35183</v>
      </c>
      <c r="CQ3465" t="s">
        <v>14685</v>
      </c>
      <c r="CR3465">
        <v>66.83</v>
      </c>
      <c r="CS3465">
        <v>44.66</v>
      </c>
      <c r="CT3465">
        <v>3.17</v>
      </c>
      <c r="CU3465">
        <v>679.19</v>
      </c>
      <c r="CV3465">
        <v>5</v>
      </c>
      <c r="CW3465">
        <v>0.97</v>
      </c>
      <c r="CX3465" t="s">
        <v>1520</v>
      </c>
      <c r="CY3465">
        <v>9.51</v>
      </c>
      <c r="CZ3465">
        <v>9.51</v>
      </c>
      <c r="DA3465">
        <v>5.74</v>
      </c>
      <c r="DB3465">
        <v>2.38</v>
      </c>
      <c r="DC3465">
        <v>0.04</v>
      </c>
      <c r="DD3465">
        <v>50.92</v>
      </c>
      <c r="DE3465" t="s">
        <v>128</v>
      </c>
      <c r="DF3465">
        <v>22.78</v>
      </c>
      <c r="DG3465">
        <v>8.31</v>
      </c>
      <c r="DH3465">
        <v>7.28</v>
      </c>
      <c r="DI3465">
        <v>1.03</v>
      </c>
      <c r="DJ3465">
        <v>3245</v>
      </c>
      <c r="DK3465">
        <v>603179</v>
      </c>
      <c r="DL3465" t="s">
        <v>120</v>
      </c>
      <c r="DM3465" t="s">
        <v>120</v>
      </c>
      <c r="DN3465" t="s">
        <v>120</v>
      </c>
    </row>
    <row r="3466" spans="1:118">
      <c r="A3466" t="str">
        <f>"603180"</f>
        <v>603180</v>
      </c>
      <c r="B3466" t="s">
        <v>14686</v>
      </c>
      <c r="C3466">
        <v>-2.12</v>
      </c>
      <c r="D3466">
        <v>0</v>
      </c>
      <c r="E3466">
        <v>0</v>
      </c>
      <c r="F3466">
        <v>99</v>
      </c>
      <c r="G3466" t="s">
        <v>9522</v>
      </c>
      <c r="H3466">
        <v>2862.39</v>
      </c>
      <c r="I3466">
        <v>0.62</v>
      </c>
      <c r="J3466" t="s">
        <v>120</v>
      </c>
      <c r="K3466" t="s">
        <v>2733</v>
      </c>
      <c r="L3466">
        <v>0.65</v>
      </c>
      <c r="M3466">
        <v>30.46</v>
      </c>
      <c r="N3466">
        <v>0.9</v>
      </c>
      <c r="O3466">
        <v>0.22</v>
      </c>
      <c r="P3466">
        <v>31.19</v>
      </c>
      <c r="Q3466">
        <v>-2.7</v>
      </c>
      <c r="R3466">
        <v>30.28</v>
      </c>
      <c r="S3466">
        <v>31.12</v>
      </c>
      <c r="T3466">
        <v>9333</v>
      </c>
      <c r="U3466">
        <v>30.47</v>
      </c>
      <c r="V3466">
        <v>31.12</v>
      </c>
      <c r="W3466">
        <v>27.13</v>
      </c>
      <c r="X3466" t="s">
        <v>2409</v>
      </c>
      <c r="Y3466" t="s">
        <v>937</v>
      </c>
      <c r="Z3466">
        <v>2.92</v>
      </c>
      <c r="AA3466">
        <v>30.67</v>
      </c>
      <c r="AB3466">
        <v>5885</v>
      </c>
      <c r="AC3466">
        <v>3448</v>
      </c>
      <c r="AD3466">
        <v>1.71</v>
      </c>
      <c r="AE3466">
        <v>180</v>
      </c>
      <c r="AF3466">
        <v>21</v>
      </c>
      <c r="AG3466" t="s">
        <v>120</v>
      </c>
      <c r="AH3466">
        <v>0</v>
      </c>
      <c r="AI3466" t="s">
        <v>120</v>
      </c>
      <c r="AJ3466">
        <v>1.43</v>
      </c>
      <c r="AK3466" t="s">
        <v>14687</v>
      </c>
      <c r="AL3466">
        <v>-0.78</v>
      </c>
      <c r="AM3466">
        <v>1402</v>
      </c>
      <c r="AN3466">
        <v>7</v>
      </c>
      <c r="AO3466">
        <v>5.0000000000000001E-4</v>
      </c>
      <c r="AP3466">
        <v>-5</v>
      </c>
      <c r="AQ3466">
        <v>-0.26</v>
      </c>
      <c r="AR3466">
        <v>-3.58</v>
      </c>
      <c r="AS3466">
        <v>-8.94</v>
      </c>
      <c r="AT3466">
        <v>-36.47</v>
      </c>
      <c r="AU3466">
        <v>-13.06</v>
      </c>
      <c r="AV3466">
        <v>3</v>
      </c>
      <c r="AW3466">
        <v>1.94</v>
      </c>
      <c r="AX3466">
        <v>31.06</v>
      </c>
      <c r="AY3466">
        <v>15.13</v>
      </c>
      <c r="AZ3466">
        <v>16.440000000000001</v>
      </c>
      <c r="BA3466">
        <v>0.93</v>
      </c>
      <c r="BB3466" t="s">
        <v>134</v>
      </c>
      <c r="BF3466">
        <v>-1.45</v>
      </c>
      <c r="BG3466">
        <v>-2.12</v>
      </c>
      <c r="BH3466">
        <v>-2.34</v>
      </c>
      <c r="BI3466">
        <v>0.59</v>
      </c>
      <c r="BJ3466">
        <v>20210826</v>
      </c>
      <c r="BK3466">
        <v>20170512</v>
      </c>
      <c r="BL3466">
        <v>1.55</v>
      </c>
      <c r="BM3466" t="s">
        <v>120</v>
      </c>
      <c r="BN3466" t="s">
        <v>120</v>
      </c>
      <c r="BO3466">
        <v>38.08</v>
      </c>
      <c r="BP3466">
        <v>30.46</v>
      </c>
      <c r="BQ3466">
        <v>21.22</v>
      </c>
      <c r="BR3466">
        <v>0.09</v>
      </c>
      <c r="BS3466">
        <v>44.04</v>
      </c>
      <c r="BT3466">
        <v>19.760000000000002</v>
      </c>
      <c r="BU3466">
        <v>8.93</v>
      </c>
      <c r="BV3466">
        <v>1.24</v>
      </c>
      <c r="BW3466">
        <v>15.94</v>
      </c>
      <c r="BX3466">
        <v>8.1300000000000008</v>
      </c>
      <c r="BY3466">
        <v>3.37</v>
      </c>
      <c r="BZ3466">
        <v>0.71</v>
      </c>
      <c r="CA3466" t="s">
        <v>120</v>
      </c>
      <c r="CB3466">
        <v>10.66</v>
      </c>
      <c r="CC3466">
        <v>13.27</v>
      </c>
      <c r="CD3466">
        <v>9.59</v>
      </c>
      <c r="CE3466">
        <v>0.95</v>
      </c>
      <c r="CF3466">
        <v>0.14000000000000001</v>
      </c>
      <c r="CG3466">
        <v>0.95</v>
      </c>
      <c r="CH3466">
        <v>0.86</v>
      </c>
      <c r="CI3466">
        <v>0.87</v>
      </c>
      <c r="CJ3466">
        <v>-0.66</v>
      </c>
      <c r="CK3466">
        <v>0.44</v>
      </c>
      <c r="CL3466">
        <v>8.5399999999999991</v>
      </c>
      <c r="CM3466">
        <v>-0.19</v>
      </c>
      <c r="CN3466">
        <v>3.46</v>
      </c>
      <c r="CO3466">
        <v>10657</v>
      </c>
      <c r="CP3466">
        <v>4505</v>
      </c>
      <c r="CQ3466" t="s">
        <v>9896</v>
      </c>
      <c r="CR3466">
        <v>41.15</v>
      </c>
      <c r="CS3466">
        <v>60.12</v>
      </c>
      <c r="CT3466">
        <v>2.2200000000000002</v>
      </c>
      <c r="CU3466">
        <v>-243.6</v>
      </c>
      <c r="CV3466">
        <v>3.55</v>
      </c>
      <c r="CW3466">
        <v>1.93</v>
      </c>
      <c r="CX3466" t="s">
        <v>1656</v>
      </c>
      <c r="CY3466">
        <v>13.73</v>
      </c>
      <c r="CZ3466">
        <v>0</v>
      </c>
      <c r="DA3466">
        <v>6.89</v>
      </c>
      <c r="DB3466">
        <v>5.53</v>
      </c>
      <c r="DC3466">
        <v>-0.13</v>
      </c>
      <c r="DD3466">
        <v>55.72</v>
      </c>
      <c r="DE3466" t="s">
        <v>10380</v>
      </c>
      <c r="DF3466">
        <v>27.73</v>
      </c>
      <c r="DG3466">
        <v>7.12</v>
      </c>
      <c r="DH3466">
        <v>6.54</v>
      </c>
      <c r="DI3466">
        <v>0.74</v>
      </c>
      <c r="DJ3466">
        <v>5275</v>
      </c>
      <c r="DK3466">
        <v>603180</v>
      </c>
      <c r="DL3466" t="s">
        <v>120</v>
      </c>
      <c r="DM3466" t="s">
        <v>120</v>
      </c>
      <c r="DN3466" t="s">
        <v>120</v>
      </c>
    </row>
    <row r="3467" spans="1:118">
      <c r="A3467" t="str">
        <f>"603181"</f>
        <v>603181</v>
      </c>
      <c r="B3467" t="s">
        <v>14688</v>
      </c>
      <c r="C3467">
        <v>4.3899999999999997</v>
      </c>
      <c r="D3467">
        <v>7.0000000000000007E-2</v>
      </c>
      <c r="E3467">
        <v>-1.83</v>
      </c>
      <c r="F3467">
        <v>653</v>
      </c>
      <c r="G3467" t="s">
        <v>7471</v>
      </c>
      <c r="H3467">
        <v>17880.009999999998</v>
      </c>
      <c r="I3467">
        <v>76.63</v>
      </c>
      <c r="J3467" t="s">
        <v>120</v>
      </c>
      <c r="K3467" t="s">
        <v>14689</v>
      </c>
      <c r="L3467">
        <v>2.12</v>
      </c>
      <c r="M3467">
        <v>14.27</v>
      </c>
      <c r="N3467">
        <v>2.75</v>
      </c>
      <c r="O3467">
        <v>8.34</v>
      </c>
      <c r="P3467">
        <v>14.81</v>
      </c>
      <c r="Q3467">
        <v>-1.83</v>
      </c>
      <c r="R3467">
        <v>13.42</v>
      </c>
      <c r="S3467">
        <v>13.42</v>
      </c>
      <c r="T3467">
        <v>124530</v>
      </c>
      <c r="U3467">
        <v>14.28</v>
      </c>
      <c r="V3467">
        <v>13.67</v>
      </c>
      <c r="W3467">
        <v>20.32</v>
      </c>
      <c r="X3467" t="s">
        <v>868</v>
      </c>
      <c r="Y3467" t="s">
        <v>585</v>
      </c>
      <c r="Z3467">
        <v>10.17</v>
      </c>
      <c r="AA3467">
        <v>14.36</v>
      </c>
      <c r="AB3467">
        <v>47909</v>
      </c>
      <c r="AC3467">
        <v>76621</v>
      </c>
      <c r="AD3467">
        <v>0.63</v>
      </c>
      <c r="AE3467">
        <v>356</v>
      </c>
      <c r="AF3467">
        <v>27</v>
      </c>
      <c r="AG3467" t="s">
        <v>120</v>
      </c>
      <c r="AH3467">
        <v>0.02</v>
      </c>
      <c r="AI3467" t="s">
        <v>120</v>
      </c>
      <c r="AJ3467">
        <v>5.89</v>
      </c>
      <c r="AK3467" t="s">
        <v>14689</v>
      </c>
      <c r="AL3467">
        <v>5.73</v>
      </c>
      <c r="AM3467">
        <v>3578</v>
      </c>
      <c r="AN3467">
        <v>35</v>
      </c>
      <c r="AO3467">
        <v>5.9999999999999995E-4</v>
      </c>
      <c r="AP3467">
        <v>1</v>
      </c>
      <c r="AQ3467">
        <v>-1.3</v>
      </c>
      <c r="AR3467">
        <v>-0.73</v>
      </c>
      <c r="AS3467">
        <v>4.87</v>
      </c>
      <c r="AT3467">
        <v>32.64</v>
      </c>
      <c r="AU3467">
        <v>7.32</v>
      </c>
      <c r="AV3467">
        <v>1</v>
      </c>
      <c r="AW3467">
        <v>4.07</v>
      </c>
      <c r="AX3467">
        <v>51.96</v>
      </c>
      <c r="AY3467">
        <v>21.02</v>
      </c>
      <c r="AZ3467">
        <v>25.13</v>
      </c>
      <c r="BA3467">
        <v>0.7</v>
      </c>
      <c r="BB3467" t="s">
        <v>143</v>
      </c>
      <c r="BF3467">
        <v>5.03</v>
      </c>
      <c r="BG3467">
        <v>6.33</v>
      </c>
      <c r="BH3467">
        <v>-3.65</v>
      </c>
      <c r="BI3467">
        <v>6.33</v>
      </c>
      <c r="BJ3467">
        <v>20210915</v>
      </c>
      <c r="BK3467">
        <v>20170824</v>
      </c>
      <c r="BL3467">
        <v>5.89</v>
      </c>
      <c r="BM3467" t="s">
        <v>120</v>
      </c>
      <c r="BN3467" t="s">
        <v>120</v>
      </c>
      <c r="BO3467">
        <v>29.7</v>
      </c>
      <c r="BP3467">
        <v>14.27</v>
      </c>
      <c r="BQ3467">
        <v>20.64</v>
      </c>
      <c r="BR3467" t="s">
        <v>120</v>
      </c>
      <c r="BS3467">
        <v>30.51</v>
      </c>
      <c r="BT3467">
        <v>13.66</v>
      </c>
      <c r="BU3467">
        <v>9.48</v>
      </c>
      <c r="BV3467">
        <v>1.5</v>
      </c>
      <c r="BW3467">
        <v>4.5199999999999996</v>
      </c>
      <c r="BX3467">
        <v>1.98</v>
      </c>
      <c r="BY3467">
        <v>2.34</v>
      </c>
      <c r="BZ3467">
        <v>2.75</v>
      </c>
      <c r="CA3467" t="s">
        <v>120</v>
      </c>
      <c r="CB3467">
        <v>3.96</v>
      </c>
      <c r="CC3467">
        <v>11.48</v>
      </c>
      <c r="CD3467">
        <v>9.1199999999999992</v>
      </c>
      <c r="CE3467">
        <v>2.36</v>
      </c>
      <c r="CF3467">
        <v>0.03</v>
      </c>
      <c r="CG3467">
        <v>2.37</v>
      </c>
      <c r="CH3467">
        <v>2.0699999999999998</v>
      </c>
      <c r="CI3467">
        <v>2.0699999999999998</v>
      </c>
      <c r="CJ3467">
        <v>0.6</v>
      </c>
      <c r="CK3467">
        <v>1.31</v>
      </c>
      <c r="CL3467">
        <v>11.85</v>
      </c>
      <c r="CM3467">
        <v>-0.36</v>
      </c>
      <c r="CN3467">
        <v>0.71</v>
      </c>
      <c r="CO3467">
        <v>12107</v>
      </c>
      <c r="CP3467">
        <v>25267</v>
      </c>
      <c r="CQ3467" t="s">
        <v>14690</v>
      </c>
      <c r="CR3467">
        <v>43.51</v>
      </c>
      <c r="CS3467">
        <v>42.38</v>
      </c>
      <c r="CT3467">
        <v>4.07</v>
      </c>
      <c r="CU3467">
        <v>-233.32</v>
      </c>
      <c r="CV3467">
        <v>7.32</v>
      </c>
      <c r="CW3467">
        <v>0</v>
      </c>
      <c r="CX3467" t="s">
        <v>14691</v>
      </c>
      <c r="CY3467">
        <v>3.51</v>
      </c>
      <c r="CZ3467">
        <v>0</v>
      </c>
      <c r="DA3467">
        <v>0.67</v>
      </c>
      <c r="DB3467">
        <v>2.0099999999999998</v>
      </c>
      <c r="DC3467">
        <v>-0.06</v>
      </c>
      <c r="DD3467">
        <v>69.489999999999995</v>
      </c>
      <c r="DE3467" t="s">
        <v>5147</v>
      </c>
      <c r="DF3467">
        <v>20.58</v>
      </c>
      <c r="DG3467">
        <v>20.58</v>
      </c>
      <c r="DH3467">
        <v>18.010000000000002</v>
      </c>
      <c r="DI3467">
        <v>0.46</v>
      </c>
      <c r="DJ3467">
        <v>823</v>
      </c>
      <c r="DK3467">
        <v>603181</v>
      </c>
      <c r="DL3467" t="s">
        <v>120</v>
      </c>
      <c r="DM3467" t="s">
        <v>120</v>
      </c>
      <c r="DN3467" t="s">
        <v>120</v>
      </c>
    </row>
    <row r="3468" spans="1:118">
      <c r="A3468" t="str">
        <f>"603183"</f>
        <v>603183</v>
      </c>
      <c r="B3468" t="s">
        <v>14692</v>
      </c>
      <c r="C3468">
        <v>-1.49</v>
      </c>
      <c r="D3468">
        <v>-0.49</v>
      </c>
      <c r="E3468">
        <v>0.33</v>
      </c>
      <c r="F3468">
        <v>239</v>
      </c>
      <c r="G3468" t="s">
        <v>13156</v>
      </c>
      <c r="H3468">
        <v>3244.78</v>
      </c>
      <c r="I3468">
        <v>10.4</v>
      </c>
      <c r="J3468" t="s">
        <v>120</v>
      </c>
      <c r="K3468" t="s">
        <v>4393</v>
      </c>
      <c r="L3468">
        <v>1.36</v>
      </c>
      <c r="M3468">
        <v>5.97</v>
      </c>
      <c r="N3468">
        <v>0.87</v>
      </c>
      <c r="O3468">
        <v>0.99</v>
      </c>
      <c r="P3468">
        <v>6.12</v>
      </c>
      <c r="Q3468">
        <v>-1.65</v>
      </c>
      <c r="R3468">
        <v>5.96</v>
      </c>
      <c r="S3468">
        <v>6.08</v>
      </c>
      <c r="T3468">
        <v>53674</v>
      </c>
      <c r="U3468">
        <v>6</v>
      </c>
      <c r="V3468">
        <v>6.06</v>
      </c>
      <c r="W3468">
        <v>31.52</v>
      </c>
      <c r="X3468" t="s">
        <v>175</v>
      </c>
      <c r="Y3468" t="s">
        <v>319</v>
      </c>
      <c r="Z3468">
        <v>2.64</v>
      </c>
      <c r="AA3468">
        <v>6.05</v>
      </c>
      <c r="AB3468">
        <v>29596</v>
      </c>
      <c r="AC3468">
        <v>24078</v>
      </c>
      <c r="AD3468">
        <v>1.23</v>
      </c>
      <c r="AE3468">
        <v>114</v>
      </c>
      <c r="AF3468">
        <v>525</v>
      </c>
      <c r="AG3468" t="s">
        <v>120</v>
      </c>
      <c r="AH3468">
        <v>0.01</v>
      </c>
      <c r="AI3468" t="s">
        <v>120</v>
      </c>
      <c r="AJ3468">
        <v>3.94</v>
      </c>
      <c r="AK3468" t="s">
        <v>6484</v>
      </c>
      <c r="AL3468">
        <v>-0.14000000000000001</v>
      </c>
      <c r="AM3468">
        <v>1632</v>
      </c>
      <c r="AN3468">
        <v>33</v>
      </c>
      <c r="AO3468">
        <v>8.0000000000000004E-4</v>
      </c>
      <c r="AP3468">
        <v>-1</v>
      </c>
      <c r="AQ3468">
        <v>1</v>
      </c>
      <c r="AR3468">
        <v>-1.97</v>
      </c>
      <c r="AS3468">
        <v>9.34</v>
      </c>
      <c r="AT3468">
        <v>3.28</v>
      </c>
      <c r="AU3468">
        <v>9.2200000000000006</v>
      </c>
      <c r="AV3468">
        <v>1</v>
      </c>
      <c r="AW3468">
        <v>1.87</v>
      </c>
      <c r="AX3468">
        <v>68.790000000000006</v>
      </c>
      <c r="AY3468">
        <v>18.739999999999998</v>
      </c>
      <c r="AZ3468">
        <v>19.87</v>
      </c>
      <c r="BA3468">
        <v>0.74</v>
      </c>
      <c r="BB3468" t="s">
        <v>143</v>
      </c>
      <c r="BF3468">
        <v>-0.24</v>
      </c>
      <c r="BG3468">
        <v>-1.81</v>
      </c>
      <c r="BH3468">
        <v>-2.4500000000000002</v>
      </c>
      <c r="BI3468">
        <v>0.17</v>
      </c>
      <c r="BJ3468">
        <v>20210813</v>
      </c>
      <c r="BK3468">
        <v>20170905</v>
      </c>
      <c r="BL3468">
        <v>4.17</v>
      </c>
      <c r="BM3468" t="s">
        <v>120</v>
      </c>
      <c r="BN3468" t="s">
        <v>120</v>
      </c>
      <c r="BO3468">
        <v>16.7</v>
      </c>
      <c r="BP3468">
        <v>5.97</v>
      </c>
      <c r="BQ3468">
        <v>13.09</v>
      </c>
      <c r="BR3468">
        <v>0.24</v>
      </c>
      <c r="BS3468">
        <v>20.2</v>
      </c>
      <c r="BT3468">
        <v>8.25</v>
      </c>
      <c r="BU3468">
        <v>1.9</v>
      </c>
      <c r="BV3468">
        <v>0.56000000000000005</v>
      </c>
      <c r="BW3468">
        <v>3.12</v>
      </c>
      <c r="BX3468">
        <v>2.27</v>
      </c>
      <c r="BY3468">
        <v>0.89</v>
      </c>
      <c r="BZ3468">
        <v>3.89</v>
      </c>
      <c r="CA3468" t="s">
        <v>120</v>
      </c>
      <c r="CB3468">
        <v>4.3899999999999997</v>
      </c>
      <c r="CC3468">
        <v>3.36</v>
      </c>
      <c r="CD3468">
        <v>1.66</v>
      </c>
      <c r="CE3468">
        <v>0.54</v>
      </c>
      <c r="CF3468">
        <v>0.02</v>
      </c>
      <c r="CG3468">
        <v>0.54</v>
      </c>
      <c r="CH3468">
        <v>0.44</v>
      </c>
      <c r="CI3468">
        <v>0.4</v>
      </c>
      <c r="CJ3468">
        <v>-0.09</v>
      </c>
      <c r="CK3468">
        <v>0.36</v>
      </c>
      <c r="CL3468">
        <v>4.37</v>
      </c>
      <c r="CM3468">
        <v>-0.47</v>
      </c>
      <c r="CN3468">
        <v>-0.56000000000000005</v>
      </c>
      <c r="CO3468">
        <v>21782</v>
      </c>
      <c r="CP3468">
        <v>13181</v>
      </c>
      <c r="CQ3468" t="s">
        <v>10359</v>
      </c>
      <c r="CR3468">
        <v>24.22</v>
      </c>
      <c r="CS3468">
        <v>17.59</v>
      </c>
      <c r="CT3468">
        <v>1.9</v>
      </c>
      <c r="CU3468">
        <v>-53.06</v>
      </c>
      <c r="CV3468">
        <v>7.41</v>
      </c>
      <c r="CW3468">
        <v>1.04</v>
      </c>
      <c r="CX3468" t="s">
        <v>329</v>
      </c>
      <c r="CY3468">
        <v>3.14</v>
      </c>
      <c r="CZ3468">
        <v>0</v>
      </c>
      <c r="DA3468">
        <v>1.05</v>
      </c>
      <c r="DB3468">
        <v>1.05</v>
      </c>
      <c r="DC3468">
        <v>-0.11</v>
      </c>
      <c r="DD3468">
        <v>78.37</v>
      </c>
      <c r="DE3468" t="s">
        <v>7929</v>
      </c>
      <c r="DF3468">
        <v>50.55</v>
      </c>
      <c r="DG3468">
        <v>15.99</v>
      </c>
      <c r="DH3468">
        <v>11.76</v>
      </c>
      <c r="DI3468">
        <v>0.3</v>
      </c>
      <c r="DJ3468">
        <v>1467</v>
      </c>
      <c r="DK3468">
        <v>603183</v>
      </c>
      <c r="DL3468" t="s">
        <v>120</v>
      </c>
      <c r="DM3468" t="s">
        <v>120</v>
      </c>
      <c r="DN3468" t="s">
        <v>120</v>
      </c>
    </row>
    <row r="3469" spans="1:118">
      <c r="A3469" t="str">
        <f>"603185"</f>
        <v>603185</v>
      </c>
      <c r="B3469" t="s">
        <v>14693</v>
      </c>
      <c r="C3469">
        <v>-10</v>
      </c>
      <c r="D3469">
        <v>0</v>
      </c>
      <c r="E3469">
        <v>0.5</v>
      </c>
      <c r="F3469">
        <v>1855</v>
      </c>
      <c r="G3469" t="s">
        <v>14694</v>
      </c>
      <c r="H3469">
        <v>186515.89</v>
      </c>
      <c r="I3469">
        <v>476.21</v>
      </c>
      <c r="J3469">
        <v>4218.79</v>
      </c>
      <c r="K3469" t="s">
        <v>14694</v>
      </c>
      <c r="L3469">
        <v>6.6</v>
      </c>
      <c r="M3469">
        <v>268.2</v>
      </c>
      <c r="N3469">
        <v>1.31</v>
      </c>
      <c r="O3469">
        <v>0.63</v>
      </c>
      <c r="P3469">
        <v>299.87</v>
      </c>
      <c r="Q3469">
        <v>-10</v>
      </c>
      <c r="R3469">
        <v>268.2</v>
      </c>
      <c r="S3469">
        <v>299.5</v>
      </c>
      <c r="T3469">
        <v>67498</v>
      </c>
      <c r="U3469">
        <v>268.2</v>
      </c>
      <c r="V3469">
        <v>298</v>
      </c>
      <c r="W3469">
        <v>43.45</v>
      </c>
      <c r="X3469" t="s">
        <v>394</v>
      </c>
      <c r="Y3469" t="s">
        <v>319</v>
      </c>
      <c r="Z3469">
        <v>10.63</v>
      </c>
      <c r="AA3469">
        <v>276.33</v>
      </c>
      <c r="AB3469">
        <v>32161</v>
      </c>
      <c r="AC3469">
        <v>35337</v>
      </c>
      <c r="AD3469">
        <v>0.91</v>
      </c>
      <c r="AE3469">
        <v>0</v>
      </c>
      <c r="AF3469">
        <v>1573</v>
      </c>
      <c r="AG3469" t="s">
        <v>120</v>
      </c>
      <c r="AH3469">
        <v>0.02</v>
      </c>
      <c r="AI3469">
        <v>0.02</v>
      </c>
      <c r="AJ3469">
        <v>1.02</v>
      </c>
      <c r="AK3469" t="s">
        <v>14695</v>
      </c>
      <c r="AL3469">
        <v>-8.66</v>
      </c>
      <c r="AM3469">
        <v>2934</v>
      </c>
      <c r="AN3469">
        <v>23</v>
      </c>
      <c r="AO3469">
        <v>2.2000000000000001E-3</v>
      </c>
      <c r="AP3469">
        <v>-1</v>
      </c>
      <c r="AQ3469">
        <v>1.93</v>
      </c>
      <c r="AR3469">
        <v>-6.15</v>
      </c>
      <c r="AS3469">
        <v>8.39</v>
      </c>
      <c r="AT3469">
        <v>58.92</v>
      </c>
      <c r="AU3469">
        <v>94.54</v>
      </c>
      <c r="AV3469">
        <v>13</v>
      </c>
      <c r="AW3469">
        <v>6.6</v>
      </c>
      <c r="AX3469">
        <v>37.15</v>
      </c>
      <c r="AY3469">
        <v>66.67</v>
      </c>
      <c r="AZ3469">
        <v>154.38</v>
      </c>
      <c r="BA3469">
        <v>2.0499999999999998</v>
      </c>
      <c r="BB3469" t="s">
        <v>143</v>
      </c>
      <c r="BF3469">
        <v>-7.27</v>
      </c>
      <c r="BG3469">
        <v>-10.45</v>
      </c>
      <c r="BH3469">
        <v>-10.56</v>
      </c>
      <c r="BI3469">
        <v>0</v>
      </c>
      <c r="BJ3469">
        <v>20210827</v>
      </c>
      <c r="BK3469">
        <v>20181228</v>
      </c>
      <c r="BL3469">
        <v>2.75</v>
      </c>
      <c r="BM3469" t="s">
        <v>120</v>
      </c>
      <c r="BN3469" t="s">
        <v>120</v>
      </c>
      <c r="BO3469">
        <v>107.9</v>
      </c>
      <c r="BP3469" t="s">
        <v>120</v>
      </c>
      <c r="BQ3469">
        <v>65.64</v>
      </c>
      <c r="BR3469" t="s">
        <v>120</v>
      </c>
      <c r="BS3469">
        <v>39.159999999999997</v>
      </c>
      <c r="BT3469">
        <v>67.290000000000006</v>
      </c>
      <c r="BU3469">
        <v>25.87</v>
      </c>
      <c r="BV3469">
        <v>1.29</v>
      </c>
      <c r="BW3469">
        <v>38.76</v>
      </c>
      <c r="BX3469">
        <v>10.199999999999999</v>
      </c>
      <c r="BY3469">
        <v>17.61</v>
      </c>
      <c r="BZ3469">
        <v>1.47</v>
      </c>
      <c r="CA3469" t="s">
        <v>120</v>
      </c>
      <c r="CB3469">
        <v>44.95</v>
      </c>
      <c r="CC3469">
        <v>35.869999999999997</v>
      </c>
      <c r="CD3469">
        <v>24.77</v>
      </c>
      <c r="CE3469">
        <v>9.7200000000000006</v>
      </c>
      <c r="CF3469">
        <v>0.25</v>
      </c>
      <c r="CG3469">
        <v>9.7200000000000006</v>
      </c>
      <c r="CH3469">
        <v>8.49</v>
      </c>
      <c r="CI3469">
        <v>8.49</v>
      </c>
      <c r="CJ3469">
        <v>-29.8</v>
      </c>
      <c r="CK3469">
        <v>7.99</v>
      </c>
      <c r="CL3469">
        <v>17.39</v>
      </c>
      <c r="CM3469">
        <v>-1.9</v>
      </c>
      <c r="CN3469">
        <v>0.87</v>
      </c>
      <c r="CO3469">
        <v>24453</v>
      </c>
      <c r="CP3469">
        <v>4181</v>
      </c>
      <c r="CQ3469" t="s">
        <v>14696</v>
      </c>
      <c r="CR3469">
        <v>464.59</v>
      </c>
      <c r="CS3469">
        <v>231.08</v>
      </c>
      <c r="CT3469">
        <v>11.25</v>
      </c>
      <c r="CU3469">
        <v>-389.48</v>
      </c>
      <c r="CV3469">
        <v>20.58</v>
      </c>
      <c r="CW3469">
        <v>0.19</v>
      </c>
      <c r="CX3469" t="s">
        <v>14697</v>
      </c>
      <c r="CY3469">
        <v>23.85</v>
      </c>
      <c r="CZ3469">
        <v>0</v>
      </c>
      <c r="DA3469">
        <v>16.329999999999998</v>
      </c>
      <c r="DB3469">
        <v>6.32</v>
      </c>
      <c r="DC3469">
        <v>-0.69</v>
      </c>
      <c r="DD3469">
        <v>60.84</v>
      </c>
      <c r="DE3469" t="s">
        <v>10330</v>
      </c>
      <c r="DF3469">
        <v>30.96</v>
      </c>
      <c r="DG3469">
        <v>27.11</v>
      </c>
      <c r="DH3469">
        <v>23.68</v>
      </c>
      <c r="DI3469">
        <v>1.54</v>
      </c>
      <c r="DJ3469">
        <v>2982</v>
      </c>
      <c r="DK3469">
        <v>603185</v>
      </c>
      <c r="DL3469">
        <v>20210711</v>
      </c>
      <c r="DM3469">
        <v>199.5</v>
      </c>
      <c r="DN3469">
        <v>34.44</v>
      </c>
    </row>
    <row r="3470" spans="1:118">
      <c r="A3470" t="str">
        <f>"603186"</f>
        <v>603186</v>
      </c>
      <c r="B3470" t="s">
        <v>14698</v>
      </c>
      <c r="C3470">
        <v>-3.59</v>
      </c>
      <c r="D3470">
        <v>-0.02</v>
      </c>
      <c r="E3470">
        <v>-0.31</v>
      </c>
      <c r="F3470">
        <v>384</v>
      </c>
      <c r="G3470" t="s">
        <v>14699</v>
      </c>
      <c r="H3470">
        <v>12327.67</v>
      </c>
      <c r="I3470">
        <v>37.229999999999997</v>
      </c>
      <c r="J3470" t="s">
        <v>120</v>
      </c>
      <c r="K3470" t="s">
        <v>14700</v>
      </c>
      <c r="L3470">
        <v>2.2799999999999998</v>
      </c>
      <c r="M3470">
        <v>37.9</v>
      </c>
      <c r="N3470">
        <v>0.8</v>
      </c>
      <c r="O3470">
        <v>0.89</v>
      </c>
      <c r="P3470">
        <v>39.659999999999997</v>
      </c>
      <c r="Q3470">
        <v>-3.59</v>
      </c>
      <c r="R3470">
        <v>37.9</v>
      </c>
      <c r="S3470">
        <v>39.19</v>
      </c>
      <c r="T3470">
        <v>31914</v>
      </c>
      <c r="U3470">
        <v>37.9</v>
      </c>
      <c r="V3470">
        <v>39.31</v>
      </c>
      <c r="W3470">
        <v>22.11</v>
      </c>
      <c r="X3470" t="s">
        <v>229</v>
      </c>
      <c r="Y3470" t="s">
        <v>585</v>
      </c>
      <c r="Z3470">
        <v>4.4800000000000004</v>
      </c>
      <c r="AA3470">
        <v>38.630000000000003</v>
      </c>
      <c r="AB3470">
        <v>20427</v>
      </c>
      <c r="AC3470">
        <v>11487</v>
      </c>
      <c r="AD3470">
        <v>1.78</v>
      </c>
      <c r="AE3470">
        <v>39</v>
      </c>
      <c r="AF3470">
        <v>44</v>
      </c>
      <c r="AG3470" t="s">
        <v>120</v>
      </c>
      <c r="AH3470">
        <v>0.01</v>
      </c>
      <c r="AI3470" t="s">
        <v>120</v>
      </c>
      <c r="AJ3470">
        <v>1.4</v>
      </c>
      <c r="AK3470" t="s">
        <v>14701</v>
      </c>
      <c r="AL3470">
        <v>-2.2400000000000002</v>
      </c>
      <c r="AM3470">
        <v>2505</v>
      </c>
      <c r="AN3470">
        <v>13</v>
      </c>
      <c r="AO3470">
        <v>8.9999999999999998E-4</v>
      </c>
      <c r="AP3470">
        <v>-2</v>
      </c>
      <c r="AQ3470">
        <v>-1.7</v>
      </c>
      <c r="AR3470">
        <v>-2.97</v>
      </c>
      <c r="AS3470">
        <v>1.31</v>
      </c>
      <c r="AT3470">
        <v>3.44</v>
      </c>
      <c r="AU3470">
        <v>17.329999999999998</v>
      </c>
      <c r="AV3470">
        <v>5</v>
      </c>
      <c r="AW3470">
        <v>3.78</v>
      </c>
      <c r="AX3470">
        <v>59.49</v>
      </c>
      <c r="AY3470">
        <v>29.59</v>
      </c>
      <c r="AZ3470">
        <v>44.59</v>
      </c>
      <c r="BA3470">
        <v>0.48</v>
      </c>
      <c r="BB3470" t="s">
        <v>143</v>
      </c>
      <c r="BF3470">
        <v>-1.74</v>
      </c>
      <c r="BG3470">
        <v>-3.29</v>
      </c>
      <c r="BH3470">
        <v>-4.4400000000000004</v>
      </c>
      <c r="BI3470">
        <v>0</v>
      </c>
      <c r="BJ3470">
        <v>20210813</v>
      </c>
      <c r="BK3470">
        <v>20170103</v>
      </c>
      <c r="BL3470">
        <v>1.42</v>
      </c>
      <c r="BM3470" t="s">
        <v>120</v>
      </c>
      <c r="BN3470" t="s">
        <v>120</v>
      </c>
      <c r="BO3470">
        <v>41.92</v>
      </c>
      <c r="BP3470">
        <v>37.89</v>
      </c>
      <c r="BQ3470">
        <v>15.39</v>
      </c>
      <c r="BR3470">
        <v>0.1</v>
      </c>
      <c r="BS3470">
        <v>63.04</v>
      </c>
      <c r="BT3470">
        <v>24.03</v>
      </c>
      <c r="BU3470">
        <v>7.64</v>
      </c>
      <c r="BV3470">
        <v>1.94</v>
      </c>
      <c r="BW3470">
        <v>23.22</v>
      </c>
      <c r="BX3470">
        <v>3.59</v>
      </c>
      <c r="BY3470">
        <v>4</v>
      </c>
      <c r="BZ3470">
        <v>12.28</v>
      </c>
      <c r="CA3470" t="s">
        <v>120</v>
      </c>
      <c r="CB3470">
        <v>7.91</v>
      </c>
      <c r="CC3470">
        <v>17.09</v>
      </c>
      <c r="CD3470">
        <v>13.84</v>
      </c>
      <c r="CE3470">
        <v>1.37</v>
      </c>
      <c r="CF3470">
        <v>0.05</v>
      </c>
      <c r="CG3470">
        <v>1.36</v>
      </c>
      <c r="CH3470">
        <v>1.22</v>
      </c>
      <c r="CI3470">
        <v>1.22</v>
      </c>
      <c r="CJ3470">
        <v>-1.41</v>
      </c>
      <c r="CK3470">
        <v>1.1499999999999999</v>
      </c>
      <c r="CL3470">
        <v>5.74</v>
      </c>
      <c r="CM3470">
        <v>1.32</v>
      </c>
      <c r="CN3470">
        <v>-0.02</v>
      </c>
      <c r="CO3470">
        <v>16613</v>
      </c>
      <c r="CP3470">
        <v>5086</v>
      </c>
      <c r="CQ3470" t="s">
        <v>14702</v>
      </c>
      <c r="CR3470">
        <v>109</v>
      </c>
      <c r="CS3470">
        <v>80.37</v>
      </c>
      <c r="CT3470">
        <v>3.5</v>
      </c>
      <c r="CU3470">
        <v>40.89</v>
      </c>
      <c r="CV3470">
        <v>3.15</v>
      </c>
      <c r="CW3470">
        <v>0.71</v>
      </c>
      <c r="CX3470" t="s">
        <v>10202</v>
      </c>
      <c r="CY3470">
        <v>10.84</v>
      </c>
      <c r="CZ3470">
        <v>0</v>
      </c>
      <c r="DA3470">
        <v>5.57</v>
      </c>
      <c r="DB3470">
        <v>4.04</v>
      </c>
      <c r="DC3470">
        <v>0.93</v>
      </c>
      <c r="DD3470">
        <v>36.72</v>
      </c>
      <c r="DE3470" t="s">
        <v>11026</v>
      </c>
      <c r="DF3470">
        <v>19.04</v>
      </c>
      <c r="DG3470">
        <v>8.01</v>
      </c>
      <c r="DH3470">
        <v>7.12</v>
      </c>
      <c r="DI3470">
        <v>0.71</v>
      </c>
      <c r="DJ3470">
        <v>1776</v>
      </c>
      <c r="DK3470">
        <v>603186</v>
      </c>
      <c r="DL3470" t="s">
        <v>120</v>
      </c>
      <c r="DM3470" t="s">
        <v>120</v>
      </c>
      <c r="DN3470" t="s">
        <v>120</v>
      </c>
    </row>
    <row r="3471" spans="1:118">
      <c r="A3471" t="str">
        <f>"603187"</f>
        <v>603187</v>
      </c>
      <c r="B3471" t="s">
        <v>14703</v>
      </c>
      <c r="C3471">
        <v>-1.24</v>
      </c>
      <c r="D3471">
        <v>0</v>
      </c>
      <c r="E3471">
        <v>-0.45</v>
      </c>
      <c r="F3471">
        <v>106</v>
      </c>
      <c r="G3471" t="s">
        <v>14704</v>
      </c>
      <c r="H3471">
        <v>3986.73</v>
      </c>
      <c r="I3471">
        <v>2.97</v>
      </c>
      <c r="J3471" t="s">
        <v>120</v>
      </c>
      <c r="K3471" t="s">
        <v>14704</v>
      </c>
      <c r="L3471">
        <v>0.5</v>
      </c>
      <c r="M3471">
        <v>42.14</v>
      </c>
      <c r="N3471">
        <v>0.86</v>
      </c>
      <c r="O3471">
        <v>2.5099999999999998</v>
      </c>
      <c r="P3471">
        <v>43.74</v>
      </c>
      <c r="Q3471">
        <v>-1.34</v>
      </c>
      <c r="R3471">
        <v>42.1</v>
      </c>
      <c r="S3471">
        <v>42.48</v>
      </c>
      <c r="T3471">
        <v>9335</v>
      </c>
      <c r="U3471">
        <v>42.15</v>
      </c>
      <c r="V3471">
        <v>42.67</v>
      </c>
      <c r="W3471">
        <v>31.56</v>
      </c>
      <c r="X3471" t="s">
        <v>959</v>
      </c>
      <c r="Y3471" t="s">
        <v>638</v>
      </c>
      <c r="Z3471">
        <v>3.84</v>
      </c>
      <c r="AA3471">
        <v>42.71</v>
      </c>
      <c r="AB3471">
        <v>4714</v>
      </c>
      <c r="AC3471">
        <v>4621</v>
      </c>
      <c r="AD3471">
        <v>1.02</v>
      </c>
      <c r="AE3471">
        <v>141</v>
      </c>
      <c r="AF3471">
        <v>80</v>
      </c>
      <c r="AG3471" t="s">
        <v>120</v>
      </c>
      <c r="AH3471">
        <v>0</v>
      </c>
      <c r="AI3471" t="s">
        <v>120</v>
      </c>
      <c r="AJ3471">
        <v>1.85</v>
      </c>
      <c r="AK3471" t="s">
        <v>14705</v>
      </c>
      <c r="AL3471">
        <v>0.1</v>
      </c>
      <c r="AM3471">
        <v>1420</v>
      </c>
      <c r="AN3471">
        <v>7</v>
      </c>
      <c r="AO3471">
        <v>4.0000000000000002E-4</v>
      </c>
      <c r="AP3471">
        <v>-1</v>
      </c>
      <c r="AQ3471">
        <v>1.43</v>
      </c>
      <c r="AR3471">
        <v>0.77</v>
      </c>
      <c r="AS3471">
        <v>14.91</v>
      </c>
      <c r="AT3471">
        <v>-2</v>
      </c>
      <c r="AU3471">
        <v>-0.68</v>
      </c>
      <c r="AV3471">
        <v>2</v>
      </c>
      <c r="AW3471">
        <v>0.5</v>
      </c>
      <c r="AX3471">
        <v>75.86</v>
      </c>
      <c r="AY3471">
        <v>38.44</v>
      </c>
      <c r="AZ3471">
        <v>38.9</v>
      </c>
      <c r="BA3471">
        <v>0.25</v>
      </c>
      <c r="BB3471" t="s">
        <v>184</v>
      </c>
      <c r="BF3471">
        <v>0.09</v>
      </c>
      <c r="BG3471">
        <v>-0.8</v>
      </c>
      <c r="BH3471">
        <v>-3.66</v>
      </c>
      <c r="BI3471">
        <v>0.1</v>
      </c>
      <c r="BJ3471">
        <v>20210825</v>
      </c>
      <c r="BK3471">
        <v>20181129</v>
      </c>
      <c r="BL3471">
        <v>2.44</v>
      </c>
      <c r="BM3471" t="s">
        <v>120</v>
      </c>
      <c r="BN3471" t="s">
        <v>120</v>
      </c>
      <c r="BO3471">
        <v>36.409999999999997</v>
      </c>
      <c r="BP3471">
        <v>42.14</v>
      </c>
      <c r="BQ3471">
        <v>22.61</v>
      </c>
      <c r="BR3471">
        <v>0.18</v>
      </c>
      <c r="BS3471">
        <v>37.4</v>
      </c>
      <c r="BT3471">
        <v>29.33</v>
      </c>
      <c r="BU3471">
        <v>5.16</v>
      </c>
      <c r="BV3471">
        <v>0.56999999999999995</v>
      </c>
      <c r="BW3471">
        <v>13.52</v>
      </c>
      <c r="BX3471">
        <v>6.02</v>
      </c>
      <c r="BY3471">
        <v>5.47</v>
      </c>
      <c r="BZ3471">
        <v>11.4</v>
      </c>
      <c r="CA3471" t="s">
        <v>120</v>
      </c>
      <c r="CB3471">
        <v>11.78</v>
      </c>
      <c r="CC3471">
        <v>15.06</v>
      </c>
      <c r="CD3471">
        <v>11.7</v>
      </c>
      <c r="CE3471">
        <v>2.04</v>
      </c>
      <c r="CF3471">
        <v>0.06</v>
      </c>
      <c r="CG3471">
        <v>2.0099999999999998</v>
      </c>
      <c r="CH3471">
        <v>1.73</v>
      </c>
      <c r="CI3471">
        <v>1.63</v>
      </c>
      <c r="CJ3471">
        <v>-0.53</v>
      </c>
      <c r="CK3471">
        <v>1.66</v>
      </c>
      <c r="CL3471">
        <v>8.0500000000000007</v>
      </c>
      <c r="CM3471">
        <v>-2.06</v>
      </c>
      <c r="CN3471">
        <v>-4.7300000000000004</v>
      </c>
      <c r="CO3471">
        <v>9499</v>
      </c>
      <c r="CP3471">
        <v>19518</v>
      </c>
      <c r="CQ3471" t="s">
        <v>14706</v>
      </c>
      <c r="CR3471">
        <v>2</v>
      </c>
      <c r="CS3471">
        <v>48.92</v>
      </c>
      <c r="CT3471">
        <v>4.55</v>
      </c>
      <c r="CU3471">
        <v>-50.03</v>
      </c>
      <c r="CV3471">
        <v>6.84</v>
      </c>
      <c r="CW3471">
        <v>0.99</v>
      </c>
      <c r="CX3471" t="s">
        <v>4948</v>
      </c>
      <c r="CY3471">
        <v>9.25</v>
      </c>
      <c r="CZ3471">
        <v>0</v>
      </c>
      <c r="DA3471">
        <v>4.82</v>
      </c>
      <c r="DB3471">
        <v>3.29</v>
      </c>
      <c r="DC3471">
        <v>-0.84</v>
      </c>
      <c r="DD3471">
        <v>62.1</v>
      </c>
      <c r="DE3471" t="s">
        <v>7095</v>
      </c>
      <c r="DF3471">
        <v>22.34</v>
      </c>
      <c r="DG3471">
        <v>13.55</v>
      </c>
      <c r="DH3471">
        <v>10.83</v>
      </c>
      <c r="DI3471">
        <v>0.31</v>
      </c>
      <c r="DJ3471">
        <v>1411</v>
      </c>
      <c r="DK3471">
        <v>603187</v>
      </c>
      <c r="DL3471" t="s">
        <v>120</v>
      </c>
      <c r="DM3471" t="s">
        <v>120</v>
      </c>
      <c r="DN3471" t="s">
        <v>120</v>
      </c>
    </row>
    <row r="3472" spans="1:118">
      <c r="A3472" t="str">
        <f>"603188"</f>
        <v>603188</v>
      </c>
      <c r="B3472" t="s">
        <v>14707</v>
      </c>
      <c r="C3472">
        <v>6.04</v>
      </c>
      <c r="D3472">
        <v>0</v>
      </c>
      <c r="E3472">
        <v>0</v>
      </c>
      <c r="F3472">
        <v>705</v>
      </c>
      <c r="G3472" t="s">
        <v>6932</v>
      </c>
      <c r="H3472">
        <v>10698.45</v>
      </c>
      <c r="I3472">
        <v>9.15</v>
      </c>
      <c r="J3472" t="s">
        <v>120</v>
      </c>
      <c r="K3472" t="s">
        <v>14708</v>
      </c>
      <c r="L3472">
        <v>2.99</v>
      </c>
      <c r="M3472">
        <v>6.14</v>
      </c>
      <c r="N3472">
        <v>1.8</v>
      </c>
      <c r="O3472">
        <v>10.02</v>
      </c>
      <c r="P3472">
        <v>6.37</v>
      </c>
      <c r="Q3472">
        <v>-0.17</v>
      </c>
      <c r="R3472">
        <v>5.78</v>
      </c>
      <c r="S3472">
        <v>5.79</v>
      </c>
      <c r="T3472">
        <v>172415</v>
      </c>
      <c r="U3472">
        <v>6.15</v>
      </c>
      <c r="V3472">
        <v>5.79</v>
      </c>
      <c r="W3472" t="s">
        <v>120</v>
      </c>
      <c r="X3472" t="s">
        <v>1145</v>
      </c>
      <c r="Y3472" t="s">
        <v>319</v>
      </c>
      <c r="Z3472">
        <v>10.19</v>
      </c>
      <c r="AA3472">
        <v>6.21</v>
      </c>
      <c r="AB3472">
        <v>69759</v>
      </c>
      <c r="AC3472">
        <v>102656</v>
      </c>
      <c r="AD3472">
        <v>0.68</v>
      </c>
      <c r="AE3472">
        <v>262</v>
      </c>
      <c r="AF3472">
        <v>301</v>
      </c>
      <c r="AG3472" t="s">
        <v>120</v>
      </c>
      <c r="AH3472">
        <v>0</v>
      </c>
      <c r="AI3472" t="s">
        <v>120</v>
      </c>
      <c r="AJ3472">
        <v>5.76</v>
      </c>
      <c r="AK3472" t="s">
        <v>14708</v>
      </c>
      <c r="AL3472">
        <v>7.39</v>
      </c>
      <c r="AM3472">
        <v>2547</v>
      </c>
      <c r="AN3472">
        <v>68</v>
      </c>
      <c r="AO3472">
        <v>1.1999999999999999E-3</v>
      </c>
      <c r="AP3472">
        <v>2</v>
      </c>
      <c r="AQ3472">
        <v>1.05</v>
      </c>
      <c r="AR3472">
        <v>5.5</v>
      </c>
      <c r="AS3472">
        <v>17.63</v>
      </c>
      <c r="AT3472">
        <v>9.25</v>
      </c>
      <c r="AU3472">
        <v>17.399999999999999</v>
      </c>
      <c r="AV3472">
        <v>5</v>
      </c>
      <c r="AW3472">
        <v>4.4400000000000004</v>
      </c>
      <c r="AX3472">
        <v>67.36</v>
      </c>
      <c r="AY3472" t="s">
        <v>120</v>
      </c>
      <c r="AZ3472" t="s">
        <v>120</v>
      </c>
      <c r="BA3472">
        <v>0.47</v>
      </c>
      <c r="BB3472" t="s">
        <v>184</v>
      </c>
      <c r="BF3472">
        <v>7.17</v>
      </c>
      <c r="BG3472">
        <v>6.04</v>
      </c>
      <c r="BH3472">
        <v>-3.61</v>
      </c>
      <c r="BI3472">
        <v>6.23</v>
      </c>
      <c r="BJ3472">
        <v>20210830</v>
      </c>
      <c r="BK3472">
        <v>20140909</v>
      </c>
      <c r="BL3472">
        <v>5.76</v>
      </c>
      <c r="BM3472" t="s">
        <v>120</v>
      </c>
      <c r="BN3472" t="s">
        <v>120</v>
      </c>
      <c r="BO3472">
        <v>35.549999999999997</v>
      </c>
      <c r="BP3472">
        <v>6.14</v>
      </c>
      <c r="BQ3472">
        <v>22.31</v>
      </c>
      <c r="BR3472">
        <v>-0.52</v>
      </c>
      <c r="BS3472">
        <v>38.72</v>
      </c>
      <c r="BT3472">
        <v>9.94</v>
      </c>
      <c r="BU3472">
        <v>19.05</v>
      </c>
      <c r="BV3472">
        <v>1.74</v>
      </c>
      <c r="BW3472">
        <v>9.0299999999999994</v>
      </c>
      <c r="BX3472">
        <v>1.1399999999999999</v>
      </c>
      <c r="BY3472">
        <v>3.64</v>
      </c>
      <c r="BZ3472">
        <v>0.91</v>
      </c>
      <c r="CA3472" t="s">
        <v>120</v>
      </c>
      <c r="CB3472">
        <v>4.2300000000000004</v>
      </c>
      <c r="CC3472">
        <v>2.34</v>
      </c>
      <c r="CD3472">
        <v>1.99</v>
      </c>
      <c r="CE3472">
        <v>-1.67</v>
      </c>
      <c r="CF3472">
        <v>0</v>
      </c>
      <c r="CG3472">
        <v>-1.61</v>
      </c>
      <c r="CH3472">
        <v>-1.28</v>
      </c>
      <c r="CI3472">
        <v>-1.1499999999999999</v>
      </c>
      <c r="CJ3472">
        <v>0.35</v>
      </c>
      <c r="CK3472">
        <v>-1.55</v>
      </c>
      <c r="CL3472">
        <v>10.35</v>
      </c>
      <c r="CM3472">
        <v>-1.39</v>
      </c>
      <c r="CN3472">
        <v>-1.1000000000000001</v>
      </c>
      <c r="CO3472">
        <v>20763</v>
      </c>
      <c r="CP3472">
        <v>18687</v>
      </c>
      <c r="CQ3472" t="s">
        <v>12535</v>
      </c>
      <c r="CR3472">
        <v>26.42</v>
      </c>
      <c r="CS3472">
        <v>-32.35</v>
      </c>
      <c r="CT3472">
        <v>1.59</v>
      </c>
      <c r="CU3472">
        <v>-25.46</v>
      </c>
      <c r="CV3472">
        <v>15.11</v>
      </c>
      <c r="CW3472">
        <v>0</v>
      </c>
      <c r="CX3472" t="s">
        <v>4368</v>
      </c>
      <c r="CY3472">
        <v>3.87</v>
      </c>
      <c r="CZ3472">
        <v>0</v>
      </c>
      <c r="DA3472">
        <v>0.73</v>
      </c>
      <c r="DB3472">
        <v>1.8</v>
      </c>
      <c r="DC3472">
        <v>-0.24</v>
      </c>
      <c r="DD3472">
        <v>62.76</v>
      </c>
      <c r="DE3472" t="s">
        <v>14709</v>
      </c>
      <c r="DF3472">
        <v>15.06</v>
      </c>
      <c r="DG3472">
        <v>-71.37</v>
      </c>
      <c r="DH3472">
        <v>-48.93</v>
      </c>
      <c r="DI3472">
        <v>0.2</v>
      </c>
      <c r="DJ3472">
        <v>3243</v>
      </c>
      <c r="DK3472">
        <v>603188</v>
      </c>
      <c r="DL3472" t="s">
        <v>120</v>
      </c>
      <c r="DM3472" t="s">
        <v>120</v>
      </c>
      <c r="DN3472" t="s">
        <v>120</v>
      </c>
    </row>
    <row r="3473" spans="1:118">
      <c r="A3473" t="str">
        <f>"603189"</f>
        <v>603189</v>
      </c>
      <c r="B3473" t="s">
        <v>14710</v>
      </c>
      <c r="C3473">
        <v>-1.96</v>
      </c>
      <c r="D3473">
        <v>-0.09</v>
      </c>
      <c r="E3473">
        <v>0</v>
      </c>
      <c r="F3473">
        <v>313</v>
      </c>
      <c r="G3473" t="s">
        <v>8764</v>
      </c>
      <c r="H3473">
        <v>5611.49</v>
      </c>
      <c r="I3473">
        <v>7.37</v>
      </c>
      <c r="J3473" t="s">
        <v>120</v>
      </c>
      <c r="K3473" t="s">
        <v>4517</v>
      </c>
      <c r="L3473">
        <v>1.29</v>
      </c>
      <c r="M3473">
        <v>19.52</v>
      </c>
      <c r="N3473">
        <v>0.55000000000000004</v>
      </c>
      <c r="O3473">
        <v>1</v>
      </c>
      <c r="P3473">
        <v>20.11</v>
      </c>
      <c r="Q3473">
        <v>-3.06</v>
      </c>
      <c r="R3473">
        <v>19.3</v>
      </c>
      <c r="S3473">
        <v>19.91</v>
      </c>
      <c r="T3473">
        <v>28563</v>
      </c>
      <c r="U3473">
        <v>19.53</v>
      </c>
      <c r="V3473">
        <v>19.91</v>
      </c>
      <c r="W3473">
        <v>69.38</v>
      </c>
      <c r="X3473" t="s">
        <v>141</v>
      </c>
      <c r="Y3473" t="s">
        <v>1510</v>
      </c>
      <c r="Z3473">
        <v>4.07</v>
      </c>
      <c r="AA3473">
        <v>19.649999999999999</v>
      </c>
      <c r="AB3473">
        <v>14847</v>
      </c>
      <c r="AC3473">
        <v>13716</v>
      </c>
      <c r="AD3473">
        <v>1.08</v>
      </c>
      <c r="AE3473">
        <v>48</v>
      </c>
      <c r="AF3473">
        <v>44</v>
      </c>
      <c r="AG3473" t="s">
        <v>120</v>
      </c>
      <c r="AH3473">
        <v>0</v>
      </c>
      <c r="AI3473" t="s">
        <v>120</v>
      </c>
      <c r="AJ3473">
        <v>2.21</v>
      </c>
      <c r="AK3473" t="s">
        <v>14711</v>
      </c>
      <c r="AL3473">
        <v>-0.62</v>
      </c>
      <c r="AM3473">
        <v>1656</v>
      </c>
      <c r="AN3473">
        <v>17</v>
      </c>
      <c r="AO3473">
        <v>8.0000000000000004E-4</v>
      </c>
      <c r="AP3473">
        <v>-2</v>
      </c>
      <c r="AQ3473">
        <v>-4.05</v>
      </c>
      <c r="AR3473">
        <v>-4.7300000000000004</v>
      </c>
      <c r="AS3473">
        <v>6.55</v>
      </c>
      <c r="AT3473">
        <v>7.49</v>
      </c>
      <c r="AU3473">
        <v>8.92</v>
      </c>
      <c r="AV3473">
        <v>1</v>
      </c>
      <c r="AW3473">
        <v>2.59</v>
      </c>
      <c r="AX3473">
        <v>40.85</v>
      </c>
      <c r="AY3473">
        <v>70.209999999999994</v>
      </c>
      <c r="AZ3473">
        <v>74.87</v>
      </c>
      <c r="BA3473">
        <v>0.44</v>
      </c>
      <c r="BB3473" t="s">
        <v>143</v>
      </c>
      <c r="BF3473">
        <v>-1.33</v>
      </c>
      <c r="BG3473">
        <v>-1.96</v>
      </c>
      <c r="BH3473">
        <v>-2.93</v>
      </c>
      <c r="BI3473">
        <v>1.1399999999999999</v>
      </c>
      <c r="BJ3473">
        <v>20210913</v>
      </c>
      <c r="BK3473">
        <v>20160914</v>
      </c>
      <c r="BL3473">
        <v>2.7</v>
      </c>
      <c r="BM3473" t="s">
        <v>120</v>
      </c>
      <c r="BN3473" t="s">
        <v>120</v>
      </c>
      <c r="BO3473">
        <v>10.86</v>
      </c>
      <c r="BP3473">
        <v>19.52</v>
      </c>
      <c r="BQ3473">
        <v>9.42</v>
      </c>
      <c r="BR3473" t="s">
        <v>120</v>
      </c>
      <c r="BS3473">
        <v>13.2</v>
      </c>
      <c r="BT3473">
        <v>6.17</v>
      </c>
      <c r="BU3473">
        <v>1.01</v>
      </c>
      <c r="BV3473">
        <v>0.22</v>
      </c>
      <c r="BW3473">
        <v>1.38</v>
      </c>
      <c r="BX3473">
        <v>0.36</v>
      </c>
      <c r="BY3473">
        <v>0.24</v>
      </c>
      <c r="BZ3473">
        <v>2.11</v>
      </c>
      <c r="CA3473" t="s">
        <v>120</v>
      </c>
      <c r="CB3473">
        <v>3.74</v>
      </c>
      <c r="CC3473">
        <v>1.8</v>
      </c>
      <c r="CD3473">
        <v>0.92</v>
      </c>
      <c r="CE3473">
        <v>0.41</v>
      </c>
      <c r="CF3473">
        <v>0.03</v>
      </c>
      <c r="CG3473">
        <v>0.41</v>
      </c>
      <c r="CH3473">
        <v>0.38</v>
      </c>
      <c r="CI3473">
        <v>0.38</v>
      </c>
      <c r="CJ3473">
        <v>-0.39</v>
      </c>
      <c r="CK3473">
        <v>0.32</v>
      </c>
      <c r="CL3473">
        <v>2.94</v>
      </c>
      <c r="CM3473">
        <v>-0.09</v>
      </c>
      <c r="CN3473">
        <v>-0.83</v>
      </c>
      <c r="CO3473">
        <v>28324</v>
      </c>
      <c r="CP3473">
        <v>3887</v>
      </c>
      <c r="CQ3473" t="s">
        <v>5188</v>
      </c>
      <c r="CR3473">
        <v>14.36</v>
      </c>
      <c r="CS3473">
        <v>11.99</v>
      </c>
      <c r="CT3473">
        <v>4.57</v>
      </c>
      <c r="CU3473">
        <v>-566.83000000000004</v>
      </c>
      <c r="CV3473">
        <v>29.22</v>
      </c>
      <c r="CW3473">
        <v>0</v>
      </c>
      <c r="CX3473" t="s">
        <v>1193</v>
      </c>
      <c r="CY3473">
        <v>4.2699999999999996</v>
      </c>
      <c r="CZ3473">
        <v>4.2699999999999996</v>
      </c>
      <c r="DA3473">
        <v>1.39</v>
      </c>
      <c r="DB3473">
        <v>1.0900000000000001</v>
      </c>
      <c r="DC3473">
        <v>-0.03</v>
      </c>
      <c r="DD3473">
        <v>86.8</v>
      </c>
      <c r="DE3473" t="s">
        <v>1363</v>
      </c>
      <c r="DF3473">
        <v>49.07</v>
      </c>
      <c r="DG3473">
        <v>22.5</v>
      </c>
      <c r="DH3473">
        <v>21.06</v>
      </c>
      <c r="DI3473">
        <v>0.3</v>
      </c>
      <c r="DJ3473">
        <v>1441</v>
      </c>
      <c r="DK3473">
        <v>603189</v>
      </c>
      <c r="DL3473" t="s">
        <v>120</v>
      </c>
      <c r="DM3473" t="s">
        <v>120</v>
      </c>
      <c r="DN3473" t="s">
        <v>120</v>
      </c>
    </row>
    <row r="3474" spans="1:118">
      <c r="A3474" t="str">
        <f>"603192"</f>
        <v>603192</v>
      </c>
      <c r="B3474" t="s">
        <v>14712</v>
      </c>
      <c r="C3474">
        <v>-1.98</v>
      </c>
      <c r="D3474">
        <v>-7.0000000000000007E-2</v>
      </c>
      <c r="E3474">
        <v>-0.19</v>
      </c>
      <c r="F3474">
        <v>28</v>
      </c>
      <c r="G3474" t="s">
        <v>10669</v>
      </c>
      <c r="H3474">
        <v>1722.87</v>
      </c>
      <c r="I3474">
        <v>2.62</v>
      </c>
      <c r="J3474" t="s">
        <v>120</v>
      </c>
      <c r="K3474" t="s">
        <v>14713</v>
      </c>
      <c r="L3474">
        <v>0.62</v>
      </c>
      <c r="M3474">
        <v>25.73</v>
      </c>
      <c r="N3474">
        <v>0.92</v>
      </c>
      <c r="O3474">
        <v>0.95</v>
      </c>
      <c r="P3474">
        <v>26.5</v>
      </c>
      <c r="Q3474">
        <v>-2.06</v>
      </c>
      <c r="R3474">
        <v>25.71</v>
      </c>
      <c r="S3474">
        <v>26.2</v>
      </c>
      <c r="T3474">
        <v>6600</v>
      </c>
      <c r="U3474">
        <v>25.75</v>
      </c>
      <c r="V3474">
        <v>26.25</v>
      </c>
      <c r="W3474">
        <v>24.61</v>
      </c>
      <c r="X3474" t="s">
        <v>868</v>
      </c>
      <c r="Y3474" t="s">
        <v>1510</v>
      </c>
      <c r="Z3474">
        <v>3.01</v>
      </c>
      <c r="AA3474">
        <v>26.1</v>
      </c>
      <c r="AB3474">
        <v>4212</v>
      </c>
      <c r="AC3474">
        <v>2388</v>
      </c>
      <c r="AD3474">
        <v>1.76</v>
      </c>
      <c r="AE3474">
        <v>122</v>
      </c>
      <c r="AF3474">
        <v>16</v>
      </c>
      <c r="AG3474" t="s">
        <v>120</v>
      </c>
      <c r="AH3474">
        <v>0</v>
      </c>
      <c r="AI3474" t="s">
        <v>120</v>
      </c>
      <c r="AJ3474">
        <v>1.07</v>
      </c>
      <c r="AK3474" t="s">
        <v>14713</v>
      </c>
      <c r="AL3474">
        <v>-0.64</v>
      </c>
      <c r="AM3474">
        <v>826</v>
      </c>
      <c r="AN3474">
        <v>8</v>
      </c>
      <c r="AO3474">
        <v>6.9999999999999999E-4</v>
      </c>
      <c r="AP3474">
        <v>-1</v>
      </c>
      <c r="AQ3474">
        <v>3.06</v>
      </c>
      <c r="AR3474">
        <v>-1.61</v>
      </c>
      <c r="AS3474">
        <v>8.7899999999999991</v>
      </c>
      <c r="AT3474">
        <v>16.27</v>
      </c>
      <c r="AU3474">
        <v>12.85</v>
      </c>
      <c r="AV3474">
        <v>0</v>
      </c>
      <c r="AW3474">
        <v>2.08</v>
      </c>
      <c r="AX3474">
        <v>29.69</v>
      </c>
      <c r="AY3474">
        <v>20.25</v>
      </c>
      <c r="AZ3474">
        <v>22.54</v>
      </c>
      <c r="BA3474">
        <v>0.94</v>
      </c>
      <c r="BB3474" t="s">
        <v>168</v>
      </c>
      <c r="BF3474">
        <v>-0.56000000000000005</v>
      </c>
      <c r="BG3474">
        <v>-1.79</v>
      </c>
      <c r="BH3474">
        <v>-2.91</v>
      </c>
      <c r="BI3474">
        <v>0.08</v>
      </c>
      <c r="BJ3474">
        <v>20210827</v>
      </c>
      <c r="BK3474">
        <v>20180828</v>
      </c>
      <c r="BL3474">
        <v>1.07</v>
      </c>
      <c r="BM3474" t="s">
        <v>120</v>
      </c>
      <c r="BN3474" t="s">
        <v>120</v>
      </c>
      <c r="BO3474">
        <v>23.03</v>
      </c>
      <c r="BP3474">
        <v>25.73</v>
      </c>
      <c r="BQ3474">
        <v>13.08</v>
      </c>
      <c r="BR3474" t="s">
        <v>120</v>
      </c>
      <c r="BS3474">
        <v>43.2</v>
      </c>
      <c r="BT3474">
        <v>18.079999999999998</v>
      </c>
      <c r="BU3474">
        <v>4.0599999999999996</v>
      </c>
      <c r="BV3474">
        <v>0.39</v>
      </c>
      <c r="BW3474">
        <v>9.93</v>
      </c>
      <c r="BX3474">
        <v>6.8</v>
      </c>
      <c r="BY3474">
        <v>2.81</v>
      </c>
      <c r="BZ3474">
        <v>4.37</v>
      </c>
      <c r="CA3474" t="s">
        <v>120</v>
      </c>
      <c r="CB3474">
        <v>7.16</v>
      </c>
      <c r="CC3474">
        <v>13.07</v>
      </c>
      <c r="CD3474">
        <v>11.49</v>
      </c>
      <c r="CE3474">
        <v>0.61</v>
      </c>
      <c r="CF3474">
        <v>0</v>
      </c>
      <c r="CG3474">
        <v>0.61</v>
      </c>
      <c r="CH3474">
        <v>0.56000000000000005</v>
      </c>
      <c r="CI3474">
        <v>0.56000000000000005</v>
      </c>
      <c r="CJ3474">
        <v>-0.52</v>
      </c>
      <c r="CK3474">
        <v>0.53</v>
      </c>
      <c r="CL3474">
        <v>4.28</v>
      </c>
      <c r="CM3474">
        <v>0.96</v>
      </c>
      <c r="CN3474">
        <v>-1.4</v>
      </c>
      <c r="CO3474">
        <v>8024</v>
      </c>
      <c r="CP3474">
        <v>3946</v>
      </c>
      <c r="CQ3474" t="s">
        <v>6269</v>
      </c>
      <c r="CR3474">
        <v>33.700000000000003</v>
      </c>
      <c r="CS3474">
        <v>172.98</v>
      </c>
      <c r="CT3474">
        <v>2.1</v>
      </c>
      <c r="CU3474">
        <v>28.7</v>
      </c>
      <c r="CV3474">
        <v>2.1</v>
      </c>
      <c r="CW3474">
        <v>1.37</v>
      </c>
      <c r="CX3474" t="s">
        <v>948</v>
      </c>
      <c r="CY3474">
        <v>12.26</v>
      </c>
      <c r="CZ3474">
        <v>0</v>
      </c>
      <c r="DA3474">
        <v>6.71</v>
      </c>
      <c r="DB3474">
        <v>4.0199999999999996</v>
      </c>
      <c r="DC3474">
        <v>0.9</v>
      </c>
      <c r="DD3474">
        <v>56.8</v>
      </c>
      <c r="DE3474" t="s">
        <v>10507</v>
      </c>
      <c r="DF3474">
        <v>12.1</v>
      </c>
      <c r="DG3474">
        <v>4.7</v>
      </c>
      <c r="DH3474">
        <v>4.26</v>
      </c>
      <c r="DI3474">
        <v>0.47</v>
      </c>
      <c r="DJ3474">
        <v>669</v>
      </c>
      <c r="DK3474">
        <v>603192</v>
      </c>
      <c r="DL3474" t="s">
        <v>120</v>
      </c>
      <c r="DM3474" t="s">
        <v>120</v>
      </c>
      <c r="DN3474" t="s">
        <v>120</v>
      </c>
    </row>
    <row r="3475" spans="1:118">
      <c r="A3475" t="str">
        <f>"603195"</f>
        <v>603195</v>
      </c>
      <c r="B3475" t="s">
        <v>14714</v>
      </c>
      <c r="C3475">
        <v>-4.79</v>
      </c>
      <c r="D3475">
        <v>-0.35</v>
      </c>
      <c r="E3475">
        <v>-0.93</v>
      </c>
      <c r="F3475">
        <v>339</v>
      </c>
      <c r="G3475" t="s">
        <v>14715</v>
      </c>
      <c r="H3475">
        <v>57521.71</v>
      </c>
      <c r="I3475">
        <v>143.55000000000001</v>
      </c>
      <c r="J3475" t="s">
        <v>120</v>
      </c>
      <c r="K3475" t="s">
        <v>14715</v>
      </c>
      <c r="L3475">
        <v>4.79</v>
      </c>
      <c r="M3475">
        <v>158.58000000000001</v>
      </c>
      <c r="N3475">
        <v>2.4700000000000002</v>
      </c>
      <c r="O3475">
        <v>-0.34</v>
      </c>
      <c r="P3475">
        <v>165.99</v>
      </c>
      <c r="Q3475">
        <v>-6.93</v>
      </c>
      <c r="R3475">
        <v>155</v>
      </c>
      <c r="S3475">
        <v>165</v>
      </c>
      <c r="T3475">
        <v>36200</v>
      </c>
      <c r="U3475">
        <v>158.58000000000001</v>
      </c>
      <c r="V3475">
        <v>166.55</v>
      </c>
      <c r="W3475">
        <v>33.54</v>
      </c>
      <c r="X3475" t="s">
        <v>394</v>
      </c>
      <c r="Y3475" t="s">
        <v>585</v>
      </c>
      <c r="Z3475">
        <v>6.6</v>
      </c>
      <c r="AA3475">
        <v>158.9</v>
      </c>
      <c r="AB3475">
        <v>19626</v>
      </c>
      <c r="AC3475">
        <v>16574</v>
      </c>
      <c r="AD3475">
        <v>1.18</v>
      </c>
      <c r="AE3475">
        <v>2</v>
      </c>
      <c r="AF3475">
        <v>31</v>
      </c>
      <c r="AG3475" t="s">
        <v>120</v>
      </c>
      <c r="AH3475">
        <v>0.01</v>
      </c>
      <c r="AI3475" t="s">
        <v>120</v>
      </c>
      <c r="AJ3475">
        <v>0.76</v>
      </c>
      <c r="AK3475" t="s">
        <v>14716</v>
      </c>
      <c r="AL3475">
        <v>-3.44</v>
      </c>
      <c r="AM3475">
        <v>3804</v>
      </c>
      <c r="AN3475">
        <v>10</v>
      </c>
      <c r="AO3475">
        <v>1.2999999999999999E-3</v>
      </c>
      <c r="AP3475">
        <v>-4</v>
      </c>
      <c r="AQ3475">
        <v>-3.11</v>
      </c>
      <c r="AR3475">
        <v>-8.4499999999999993</v>
      </c>
      <c r="AS3475">
        <v>-10.71</v>
      </c>
      <c r="AT3475">
        <v>-16.559999999999999</v>
      </c>
      <c r="AU3475">
        <v>-21.99</v>
      </c>
      <c r="AV3475">
        <v>1</v>
      </c>
      <c r="AW3475">
        <v>4.79</v>
      </c>
      <c r="AX3475">
        <v>12.57</v>
      </c>
      <c r="AY3475">
        <v>34.159999999999997</v>
      </c>
      <c r="AZ3475">
        <v>43.28</v>
      </c>
      <c r="BA3475">
        <v>0.89</v>
      </c>
      <c r="BB3475" t="s">
        <v>240</v>
      </c>
      <c r="BF3475">
        <v>-4.59</v>
      </c>
      <c r="BG3475">
        <v>-3.89</v>
      </c>
      <c r="BH3475">
        <v>-4.46</v>
      </c>
      <c r="BI3475">
        <v>2.31</v>
      </c>
      <c r="BJ3475">
        <v>20210818</v>
      </c>
      <c r="BK3475">
        <v>20200206</v>
      </c>
      <c r="BL3475">
        <v>6.01</v>
      </c>
      <c r="BM3475" t="s">
        <v>120</v>
      </c>
      <c r="BN3475" t="s">
        <v>120</v>
      </c>
      <c r="BO3475">
        <v>140.01</v>
      </c>
      <c r="BP3475">
        <v>158.5</v>
      </c>
      <c r="BQ3475">
        <v>94.07</v>
      </c>
      <c r="BR3475" t="s">
        <v>120</v>
      </c>
      <c r="BS3475">
        <v>32.81</v>
      </c>
      <c r="BT3475">
        <v>119.26</v>
      </c>
      <c r="BU3475">
        <v>11.59</v>
      </c>
      <c r="BV3475">
        <v>2.92</v>
      </c>
      <c r="BW3475">
        <v>44.47</v>
      </c>
      <c r="BX3475">
        <v>48.81</v>
      </c>
      <c r="BY3475">
        <v>10.85</v>
      </c>
      <c r="BZ3475">
        <v>1.02</v>
      </c>
      <c r="CA3475" t="s">
        <v>120</v>
      </c>
      <c r="CB3475">
        <v>38.880000000000003</v>
      </c>
      <c r="CC3475">
        <v>58.2</v>
      </c>
      <c r="CD3475">
        <v>36.380000000000003</v>
      </c>
      <c r="CE3475">
        <v>17</v>
      </c>
      <c r="CF3475">
        <v>0.96</v>
      </c>
      <c r="CG3475">
        <v>16.82</v>
      </c>
      <c r="CH3475">
        <v>14.21</v>
      </c>
      <c r="CI3475">
        <v>14.21</v>
      </c>
      <c r="CJ3475">
        <v>-7.97</v>
      </c>
      <c r="CK3475">
        <v>13.21</v>
      </c>
      <c r="CL3475">
        <v>46.52</v>
      </c>
      <c r="CM3475">
        <v>15.92</v>
      </c>
      <c r="CN3475">
        <v>12.38</v>
      </c>
      <c r="CO3475">
        <v>29383</v>
      </c>
      <c r="CP3475">
        <v>2573</v>
      </c>
      <c r="CQ3475" t="s">
        <v>14717</v>
      </c>
      <c r="CR3475">
        <v>76.849999999999994</v>
      </c>
      <c r="CS3475">
        <v>41.65</v>
      </c>
      <c r="CT3475">
        <v>10.130000000000001</v>
      </c>
      <c r="CU3475">
        <v>59.9</v>
      </c>
      <c r="CV3475">
        <v>16.38</v>
      </c>
      <c r="CW3475">
        <v>1.2</v>
      </c>
      <c r="CX3475" t="s">
        <v>14718</v>
      </c>
      <c r="CY3475">
        <v>15.65</v>
      </c>
      <c r="CZ3475">
        <v>0</v>
      </c>
      <c r="DA3475">
        <v>6.47</v>
      </c>
      <c r="DB3475">
        <v>7.74</v>
      </c>
      <c r="DC3475">
        <v>2.65</v>
      </c>
      <c r="DD3475">
        <v>67.19</v>
      </c>
      <c r="DE3475" t="s">
        <v>11150</v>
      </c>
      <c r="DF3475">
        <v>37.479999999999997</v>
      </c>
      <c r="DG3475">
        <v>29.21</v>
      </c>
      <c r="DH3475">
        <v>24.42</v>
      </c>
      <c r="DI3475">
        <v>1.92</v>
      </c>
      <c r="DJ3475">
        <v>12245</v>
      </c>
      <c r="DK3475">
        <v>603195</v>
      </c>
      <c r="DL3475" t="s">
        <v>120</v>
      </c>
      <c r="DM3475" t="s">
        <v>120</v>
      </c>
      <c r="DN3475" t="s">
        <v>120</v>
      </c>
    </row>
    <row r="3476" spans="1:118">
      <c r="A3476" t="str">
        <f>"603196"</f>
        <v>603196</v>
      </c>
      <c r="B3476" t="s">
        <v>14719</v>
      </c>
      <c r="C3476">
        <v>1.34</v>
      </c>
      <c r="D3476">
        <v>0</v>
      </c>
      <c r="E3476">
        <v>0</v>
      </c>
      <c r="F3476">
        <v>175</v>
      </c>
      <c r="G3476" t="s">
        <v>14720</v>
      </c>
      <c r="H3476">
        <v>2734.56</v>
      </c>
      <c r="I3476">
        <v>0</v>
      </c>
      <c r="J3476" t="s">
        <v>120</v>
      </c>
      <c r="K3476" t="s">
        <v>14173</v>
      </c>
      <c r="L3476">
        <v>1.5</v>
      </c>
      <c r="M3476">
        <v>7.56</v>
      </c>
      <c r="N3476">
        <v>1.08</v>
      </c>
      <c r="O3476">
        <v>4.16</v>
      </c>
      <c r="P3476">
        <v>7.77</v>
      </c>
      <c r="Q3476">
        <v>-0.54</v>
      </c>
      <c r="R3476">
        <v>7.42</v>
      </c>
      <c r="S3476">
        <v>7.46</v>
      </c>
      <c r="T3476">
        <v>35931</v>
      </c>
      <c r="U3476">
        <v>7.57</v>
      </c>
      <c r="V3476">
        <v>7.46</v>
      </c>
      <c r="W3476">
        <v>32.590000000000003</v>
      </c>
      <c r="X3476" t="s">
        <v>2806</v>
      </c>
      <c r="Y3476" t="s">
        <v>1510</v>
      </c>
      <c r="Z3476">
        <v>4.6900000000000004</v>
      </c>
      <c r="AA3476">
        <v>7.61</v>
      </c>
      <c r="AB3476">
        <v>13904</v>
      </c>
      <c r="AC3476">
        <v>22027</v>
      </c>
      <c r="AD3476">
        <v>0.63</v>
      </c>
      <c r="AE3476">
        <v>291</v>
      </c>
      <c r="AF3476">
        <v>6</v>
      </c>
      <c r="AG3476" t="s">
        <v>120</v>
      </c>
      <c r="AH3476">
        <v>0</v>
      </c>
      <c r="AI3476" t="s">
        <v>120</v>
      </c>
      <c r="AJ3476">
        <v>2.4</v>
      </c>
      <c r="AK3476" t="s">
        <v>14173</v>
      </c>
      <c r="AL3476">
        <v>2.68</v>
      </c>
      <c r="AM3476">
        <v>1715</v>
      </c>
      <c r="AN3476">
        <v>21</v>
      </c>
      <c r="AO3476">
        <v>8.9999999999999998E-4</v>
      </c>
      <c r="AP3476">
        <v>2</v>
      </c>
      <c r="AQ3476">
        <v>0.81</v>
      </c>
      <c r="AR3476">
        <v>0</v>
      </c>
      <c r="AS3476">
        <v>1.89</v>
      </c>
      <c r="AT3476">
        <v>-11.78</v>
      </c>
      <c r="AU3476">
        <v>36.71</v>
      </c>
      <c r="AV3476">
        <v>14</v>
      </c>
      <c r="AW3476">
        <v>5.36</v>
      </c>
      <c r="AX3476">
        <v>27.95</v>
      </c>
      <c r="AY3476">
        <v>22.98</v>
      </c>
      <c r="AZ3476" t="s">
        <v>120</v>
      </c>
      <c r="BA3476">
        <v>0.9</v>
      </c>
      <c r="BB3476" t="s">
        <v>143</v>
      </c>
      <c r="BF3476">
        <v>2.02</v>
      </c>
      <c r="BG3476">
        <v>1.34</v>
      </c>
      <c r="BH3476">
        <v>-2.7</v>
      </c>
      <c r="BI3476">
        <v>1.89</v>
      </c>
      <c r="BJ3476">
        <v>20210826</v>
      </c>
      <c r="BK3476">
        <v>20170531</v>
      </c>
      <c r="BL3476">
        <v>2.4</v>
      </c>
      <c r="BM3476" t="s">
        <v>120</v>
      </c>
      <c r="BN3476" t="s">
        <v>120</v>
      </c>
      <c r="BO3476">
        <v>10.63</v>
      </c>
      <c r="BP3476">
        <v>7.56</v>
      </c>
      <c r="BQ3476">
        <v>8.06</v>
      </c>
      <c r="BR3476" t="s">
        <v>120</v>
      </c>
      <c r="BS3476">
        <v>24.15</v>
      </c>
      <c r="BT3476">
        <v>5.09</v>
      </c>
      <c r="BU3476">
        <v>1.83</v>
      </c>
      <c r="BV3476">
        <v>0.85</v>
      </c>
      <c r="BW3476">
        <v>2.41</v>
      </c>
      <c r="BX3476">
        <v>1.2</v>
      </c>
      <c r="BY3476">
        <v>2.34</v>
      </c>
      <c r="BZ3476">
        <v>0.28000000000000003</v>
      </c>
      <c r="CA3476" t="s">
        <v>120</v>
      </c>
      <c r="CB3476">
        <v>3.83</v>
      </c>
      <c r="CC3476">
        <v>4.26</v>
      </c>
      <c r="CD3476">
        <v>1.54</v>
      </c>
      <c r="CE3476">
        <v>0.35</v>
      </c>
      <c r="CF3476">
        <v>0.02</v>
      </c>
      <c r="CG3476">
        <v>0.36</v>
      </c>
      <c r="CH3476">
        <v>0.28000000000000003</v>
      </c>
      <c r="CI3476">
        <v>0.28000000000000003</v>
      </c>
      <c r="CJ3476">
        <v>0.1</v>
      </c>
      <c r="CK3476">
        <v>0.24</v>
      </c>
      <c r="CL3476">
        <v>1.52</v>
      </c>
      <c r="CM3476">
        <v>-0.02</v>
      </c>
      <c r="CN3476">
        <v>-0.11</v>
      </c>
      <c r="CO3476">
        <v>17835</v>
      </c>
      <c r="CP3476">
        <v>3761</v>
      </c>
      <c r="CQ3476" t="s">
        <v>6041</v>
      </c>
      <c r="CR3476">
        <v>128.52000000000001</v>
      </c>
      <c r="CS3476">
        <v>36.89</v>
      </c>
      <c r="CT3476">
        <v>2.25</v>
      </c>
      <c r="CU3476">
        <v>-963.31</v>
      </c>
      <c r="CV3476">
        <v>4.26</v>
      </c>
      <c r="CW3476">
        <v>1.59</v>
      </c>
      <c r="CX3476" t="s">
        <v>8308</v>
      </c>
      <c r="CY3476">
        <v>3.36</v>
      </c>
      <c r="CZ3476">
        <v>0</v>
      </c>
      <c r="DA3476">
        <v>1.6</v>
      </c>
      <c r="DB3476">
        <v>0.63</v>
      </c>
      <c r="DC3476">
        <v>-0.01</v>
      </c>
      <c r="DD3476">
        <v>75.849999999999994</v>
      </c>
      <c r="DE3476" t="s">
        <v>285</v>
      </c>
      <c r="DF3476">
        <v>63.96</v>
      </c>
      <c r="DG3476">
        <v>8.25</v>
      </c>
      <c r="DH3476">
        <v>6.53</v>
      </c>
      <c r="DI3476">
        <v>0.12</v>
      </c>
      <c r="DJ3476">
        <v>1222</v>
      </c>
      <c r="DK3476">
        <v>603196</v>
      </c>
      <c r="DL3476">
        <v>20210720</v>
      </c>
      <c r="DM3476">
        <v>8.99</v>
      </c>
      <c r="DN3476">
        <v>-15.91</v>
      </c>
    </row>
    <row r="3477" spans="1:118">
      <c r="A3477" t="str">
        <f>"603197"</f>
        <v>603197</v>
      </c>
      <c r="B3477" t="s">
        <v>14721</v>
      </c>
      <c r="C3477">
        <v>-1.84</v>
      </c>
      <c r="D3477">
        <v>0.04</v>
      </c>
      <c r="E3477">
        <v>0.03</v>
      </c>
      <c r="F3477">
        <v>105</v>
      </c>
      <c r="G3477" t="s">
        <v>6577</v>
      </c>
      <c r="H3477">
        <v>4579.2700000000004</v>
      </c>
      <c r="I3477">
        <v>9.82</v>
      </c>
      <c r="J3477" t="s">
        <v>120</v>
      </c>
      <c r="K3477" t="s">
        <v>14592</v>
      </c>
      <c r="L3477">
        <v>0.98</v>
      </c>
      <c r="M3477">
        <v>28.35</v>
      </c>
      <c r="N3477">
        <v>1.03</v>
      </c>
      <c r="O3477">
        <v>1</v>
      </c>
      <c r="P3477">
        <v>29.17</v>
      </c>
      <c r="Q3477">
        <v>-3.12</v>
      </c>
      <c r="R3477">
        <v>27.98</v>
      </c>
      <c r="S3477">
        <v>28.89</v>
      </c>
      <c r="T3477">
        <v>16068</v>
      </c>
      <c r="U3477">
        <v>28.35</v>
      </c>
      <c r="V3477">
        <v>28.88</v>
      </c>
      <c r="W3477">
        <v>23.73</v>
      </c>
      <c r="X3477" t="s">
        <v>289</v>
      </c>
      <c r="Y3477" t="s">
        <v>1510</v>
      </c>
      <c r="Z3477">
        <v>4.12</v>
      </c>
      <c r="AA3477">
        <v>28.5</v>
      </c>
      <c r="AB3477">
        <v>8728</v>
      </c>
      <c r="AC3477">
        <v>7340</v>
      </c>
      <c r="AD3477">
        <v>1.19</v>
      </c>
      <c r="AE3477">
        <v>5</v>
      </c>
      <c r="AF3477">
        <v>56</v>
      </c>
      <c r="AG3477" t="s">
        <v>120</v>
      </c>
      <c r="AH3477">
        <v>0</v>
      </c>
      <c r="AI3477" t="s">
        <v>120</v>
      </c>
      <c r="AJ3477">
        <v>1.64</v>
      </c>
      <c r="AK3477" t="s">
        <v>11764</v>
      </c>
      <c r="AL3477">
        <v>-0.49</v>
      </c>
      <c r="AM3477">
        <v>1628</v>
      </c>
      <c r="AN3477">
        <v>10</v>
      </c>
      <c r="AO3477">
        <v>5.9999999999999995E-4</v>
      </c>
      <c r="AP3477">
        <v>-4</v>
      </c>
      <c r="AQ3477">
        <v>-0.79</v>
      </c>
      <c r="AR3477">
        <v>-3.44</v>
      </c>
      <c r="AS3477">
        <v>-12.03</v>
      </c>
      <c r="AT3477">
        <v>-15.63</v>
      </c>
      <c r="AU3477">
        <v>0.79</v>
      </c>
      <c r="AV3477">
        <v>1</v>
      </c>
      <c r="AW3477">
        <v>1.49</v>
      </c>
      <c r="AX3477">
        <v>52.65</v>
      </c>
      <c r="AY3477">
        <v>24.62</v>
      </c>
      <c r="AZ3477">
        <v>32.39</v>
      </c>
      <c r="BA3477">
        <v>1.17</v>
      </c>
      <c r="BB3477" t="s">
        <v>134</v>
      </c>
      <c r="BF3477">
        <v>-1.32</v>
      </c>
      <c r="BG3477">
        <v>-1.87</v>
      </c>
      <c r="BH3477">
        <v>-2.81</v>
      </c>
      <c r="BI3477">
        <v>1.32</v>
      </c>
      <c r="BJ3477">
        <v>20210831</v>
      </c>
      <c r="BK3477">
        <v>20170519</v>
      </c>
      <c r="BL3477">
        <v>2.0499999999999998</v>
      </c>
      <c r="BM3477" t="s">
        <v>120</v>
      </c>
      <c r="BN3477" t="s">
        <v>120</v>
      </c>
      <c r="BO3477">
        <v>49.33</v>
      </c>
      <c r="BP3477">
        <v>28.26</v>
      </c>
      <c r="BQ3477">
        <v>21.63</v>
      </c>
      <c r="BR3477">
        <v>2.2799999999999998</v>
      </c>
      <c r="BS3477">
        <v>51.52</v>
      </c>
      <c r="BT3477">
        <v>31.57</v>
      </c>
      <c r="BU3477">
        <v>10.67</v>
      </c>
      <c r="BV3477">
        <v>1.03</v>
      </c>
      <c r="BW3477">
        <v>18.899999999999999</v>
      </c>
      <c r="BX3477">
        <v>12.78</v>
      </c>
      <c r="BY3477">
        <v>8.49</v>
      </c>
      <c r="BZ3477">
        <v>7.48</v>
      </c>
      <c r="CA3477">
        <v>0.04</v>
      </c>
      <c r="CB3477">
        <v>9.69</v>
      </c>
      <c r="CC3477">
        <v>19</v>
      </c>
      <c r="CD3477">
        <v>12.72</v>
      </c>
      <c r="CE3477">
        <v>1.62</v>
      </c>
      <c r="CF3477">
        <v>0.02</v>
      </c>
      <c r="CG3477">
        <v>1.62</v>
      </c>
      <c r="CH3477">
        <v>1.25</v>
      </c>
      <c r="CI3477">
        <v>1.23</v>
      </c>
      <c r="CJ3477">
        <v>-0.53</v>
      </c>
      <c r="CK3477">
        <v>1.02</v>
      </c>
      <c r="CL3477">
        <v>9.34</v>
      </c>
      <c r="CM3477">
        <v>0.14000000000000001</v>
      </c>
      <c r="CN3477">
        <v>8</v>
      </c>
      <c r="CO3477">
        <v>13229</v>
      </c>
      <c r="CP3477">
        <v>8177</v>
      </c>
      <c r="CQ3477" t="s">
        <v>14722</v>
      </c>
      <c r="CR3477">
        <v>89.25</v>
      </c>
      <c r="CS3477">
        <v>37.5</v>
      </c>
      <c r="CT3477">
        <v>2.69</v>
      </c>
      <c r="CU3477">
        <v>423.36</v>
      </c>
      <c r="CV3477">
        <v>3.07</v>
      </c>
      <c r="CW3477">
        <v>1.59</v>
      </c>
      <c r="CX3477" t="s">
        <v>2797</v>
      </c>
      <c r="CY3477">
        <v>10.53</v>
      </c>
      <c r="CZ3477">
        <v>0</v>
      </c>
      <c r="DA3477">
        <v>4.72</v>
      </c>
      <c r="DB3477">
        <v>4.55</v>
      </c>
      <c r="DC3477">
        <v>7.0000000000000007E-2</v>
      </c>
      <c r="DD3477">
        <v>43.85</v>
      </c>
      <c r="DE3477" t="s">
        <v>9589</v>
      </c>
      <c r="DF3477">
        <v>33.049999999999997</v>
      </c>
      <c r="DG3477">
        <v>8.51</v>
      </c>
      <c r="DH3477">
        <v>6.46</v>
      </c>
      <c r="DI3477">
        <v>1.37</v>
      </c>
      <c r="DJ3477">
        <v>4564</v>
      </c>
      <c r="DK3477">
        <v>603197</v>
      </c>
      <c r="DL3477" t="s">
        <v>120</v>
      </c>
      <c r="DM3477" t="s">
        <v>120</v>
      </c>
      <c r="DN3477" t="s">
        <v>120</v>
      </c>
    </row>
    <row r="3478" spans="1:118">
      <c r="A3478" t="str">
        <f>"603198"</f>
        <v>603198</v>
      </c>
      <c r="B3478" t="s">
        <v>14723</v>
      </c>
      <c r="C3478">
        <v>-0.31</v>
      </c>
      <c r="D3478">
        <v>0.08</v>
      </c>
      <c r="E3478">
        <v>-0.54</v>
      </c>
      <c r="F3478">
        <v>1996</v>
      </c>
      <c r="G3478" t="s">
        <v>14724</v>
      </c>
      <c r="H3478">
        <v>84672.74</v>
      </c>
      <c r="I3478">
        <v>410.09</v>
      </c>
      <c r="J3478" t="s">
        <v>120</v>
      </c>
      <c r="K3478" t="s">
        <v>14725</v>
      </c>
      <c r="L3478">
        <v>2.0499999999999998</v>
      </c>
      <c r="M3478">
        <v>51.51</v>
      </c>
      <c r="N3478">
        <v>0.99</v>
      </c>
      <c r="O3478">
        <v>3.64</v>
      </c>
      <c r="P3478">
        <v>53.55</v>
      </c>
      <c r="Q3478">
        <v>-2.75</v>
      </c>
      <c r="R3478">
        <v>50.25</v>
      </c>
      <c r="S3478">
        <v>51.39</v>
      </c>
      <c r="T3478">
        <v>163697</v>
      </c>
      <c r="U3478">
        <v>51.51</v>
      </c>
      <c r="V3478">
        <v>51.67</v>
      </c>
      <c r="W3478">
        <v>34.83</v>
      </c>
      <c r="X3478" t="s">
        <v>1165</v>
      </c>
      <c r="Y3478" t="s">
        <v>570</v>
      </c>
      <c r="Z3478">
        <v>6.39</v>
      </c>
      <c r="AA3478">
        <v>51.73</v>
      </c>
      <c r="AB3478">
        <v>80512</v>
      </c>
      <c r="AC3478">
        <v>83185</v>
      </c>
      <c r="AD3478">
        <v>0.97</v>
      </c>
      <c r="AE3478">
        <v>7</v>
      </c>
      <c r="AF3478">
        <v>29</v>
      </c>
      <c r="AG3478" t="s">
        <v>120</v>
      </c>
      <c r="AH3478">
        <v>0.04</v>
      </c>
      <c r="AI3478" t="s">
        <v>120</v>
      </c>
      <c r="AJ3478">
        <v>8</v>
      </c>
      <c r="AK3478" t="s">
        <v>14725</v>
      </c>
      <c r="AL3478">
        <v>1.03</v>
      </c>
      <c r="AM3478">
        <v>4565</v>
      </c>
      <c r="AN3478">
        <v>36</v>
      </c>
      <c r="AO3478">
        <v>4.0000000000000002E-4</v>
      </c>
      <c r="AP3478">
        <v>-2</v>
      </c>
      <c r="AQ3478">
        <v>-2.0499999999999998</v>
      </c>
      <c r="AR3478">
        <v>-2.35</v>
      </c>
      <c r="AS3478">
        <v>41.94</v>
      </c>
      <c r="AT3478">
        <v>22.64</v>
      </c>
      <c r="AU3478">
        <v>50.61</v>
      </c>
      <c r="AV3478">
        <v>11</v>
      </c>
      <c r="AW3478">
        <v>8.07</v>
      </c>
      <c r="AX3478">
        <v>25.34</v>
      </c>
      <c r="AY3478">
        <v>34.11</v>
      </c>
      <c r="AZ3478">
        <v>43.36</v>
      </c>
      <c r="BA3478">
        <v>2.44</v>
      </c>
      <c r="BB3478" t="s">
        <v>143</v>
      </c>
      <c r="BF3478">
        <v>0.11</v>
      </c>
      <c r="BG3478">
        <v>0.23</v>
      </c>
      <c r="BH3478">
        <v>-3.81</v>
      </c>
      <c r="BI3478">
        <v>2.5099999999999998</v>
      </c>
      <c r="BJ3478">
        <v>20210825</v>
      </c>
      <c r="BK3478">
        <v>20150528</v>
      </c>
      <c r="BL3478">
        <v>8</v>
      </c>
      <c r="BM3478" t="s">
        <v>120</v>
      </c>
      <c r="BN3478" t="s">
        <v>120</v>
      </c>
      <c r="BO3478">
        <v>70.27</v>
      </c>
      <c r="BP3478">
        <v>51.49</v>
      </c>
      <c r="BQ3478">
        <v>51.74</v>
      </c>
      <c r="BR3478">
        <v>0.2</v>
      </c>
      <c r="BS3478">
        <v>26.09</v>
      </c>
      <c r="BT3478">
        <v>50.22</v>
      </c>
      <c r="BU3478">
        <v>16.62</v>
      </c>
      <c r="BV3478">
        <v>1.1399999999999999</v>
      </c>
      <c r="BW3478">
        <v>17.02</v>
      </c>
      <c r="BX3478">
        <v>2.93</v>
      </c>
      <c r="BY3478">
        <v>31.26</v>
      </c>
      <c r="BZ3478">
        <v>0.48</v>
      </c>
      <c r="CA3478" t="s">
        <v>120</v>
      </c>
      <c r="CB3478">
        <v>13.04</v>
      </c>
      <c r="CC3478">
        <v>20.86</v>
      </c>
      <c r="CD3478">
        <v>7.11</v>
      </c>
      <c r="CE3478">
        <v>7.86</v>
      </c>
      <c r="CF3478">
        <v>0.19</v>
      </c>
      <c r="CG3478">
        <v>7.88</v>
      </c>
      <c r="CH3478">
        <v>5.93</v>
      </c>
      <c r="CI3478">
        <v>5.91</v>
      </c>
      <c r="CJ3478">
        <v>-0.16</v>
      </c>
      <c r="CK3478">
        <v>5.59</v>
      </c>
      <c r="CL3478">
        <v>26.7</v>
      </c>
      <c r="CM3478">
        <v>2.46</v>
      </c>
      <c r="CN3478">
        <v>-8.3699999999999992</v>
      </c>
      <c r="CO3478">
        <v>62056</v>
      </c>
      <c r="CP3478">
        <v>3267</v>
      </c>
      <c r="CQ3478" t="s">
        <v>1591</v>
      </c>
      <c r="CR3478">
        <v>77.63</v>
      </c>
      <c r="CS3478">
        <v>52.46</v>
      </c>
      <c r="CT3478">
        <v>7.97</v>
      </c>
      <c r="CU3478">
        <v>167.74</v>
      </c>
      <c r="CV3478">
        <v>19.760000000000002</v>
      </c>
      <c r="CW3478">
        <v>1.35</v>
      </c>
      <c r="CX3478" t="s">
        <v>10740</v>
      </c>
      <c r="CY3478">
        <v>6.47</v>
      </c>
      <c r="CZ3478">
        <v>0</v>
      </c>
      <c r="DA3478">
        <v>1.63</v>
      </c>
      <c r="DB3478">
        <v>3.34</v>
      </c>
      <c r="DC3478">
        <v>0.31</v>
      </c>
      <c r="DD3478">
        <v>73.62</v>
      </c>
      <c r="DE3478" t="s">
        <v>14726</v>
      </c>
      <c r="DF3478">
        <v>65.900000000000006</v>
      </c>
      <c r="DG3478">
        <v>37.69</v>
      </c>
      <c r="DH3478">
        <v>28.36</v>
      </c>
      <c r="DI3478">
        <v>0.2</v>
      </c>
      <c r="DJ3478">
        <v>6281</v>
      </c>
      <c r="DK3478">
        <v>603198</v>
      </c>
      <c r="DL3478">
        <v>20210825</v>
      </c>
      <c r="DM3478">
        <v>39.61</v>
      </c>
      <c r="DN3478">
        <v>30.04</v>
      </c>
    </row>
    <row r="3479" spans="1:118">
      <c r="A3479" t="str">
        <f>"603199"</f>
        <v>603199</v>
      </c>
      <c r="B3479" t="s">
        <v>14727</v>
      </c>
      <c r="C3479">
        <v>-3.81</v>
      </c>
      <c r="D3479">
        <v>-0.04</v>
      </c>
      <c r="E3479">
        <v>-7.15</v>
      </c>
      <c r="F3479">
        <v>244</v>
      </c>
      <c r="G3479" t="s">
        <v>4264</v>
      </c>
      <c r="H3479">
        <v>6334.07</v>
      </c>
      <c r="I3479">
        <v>482.04</v>
      </c>
      <c r="J3479" t="s">
        <v>120</v>
      </c>
      <c r="K3479" t="s">
        <v>10613</v>
      </c>
      <c r="L3479">
        <v>2.79</v>
      </c>
      <c r="M3479">
        <v>20.73</v>
      </c>
      <c r="N3479">
        <v>1.26</v>
      </c>
      <c r="O3479">
        <v>-1.86</v>
      </c>
      <c r="P3479">
        <v>21.15</v>
      </c>
      <c r="Q3479">
        <v>-7.19</v>
      </c>
      <c r="R3479">
        <v>20</v>
      </c>
      <c r="S3479">
        <v>20.010000000000002</v>
      </c>
      <c r="T3479">
        <v>30876</v>
      </c>
      <c r="U3479">
        <v>20.73</v>
      </c>
      <c r="V3479">
        <v>21.55</v>
      </c>
      <c r="W3479">
        <v>21.71</v>
      </c>
      <c r="X3479" t="s">
        <v>489</v>
      </c>
      <c r="Y3479" t="s">
        <v>570</v>
      </c>
      <c r="Z3479">
        <v>5.34</v>
      </c>
      <c r="AA3479">
        <v>20.51</v>
      </c>
      <c r="AB3479">
        <v>14731</v>
      </c>
      <c r="AC3479">
        <v>16145</v>
      </c>
      <c r="AD3479">
        <v>0.91</v>
      </c>
      <c r="AE3479">
        <v>10</v>
      </c>
      <c r="AF3479">
        <v>3</v>
      </c>
      <c r="AG3479" t="s">
        <v>120</v>
      </c>
      <c r="AH3479">
        <v>0.56999999999999995</v>
      </c>
      <c r="AI3479" t="s">
        <v>120</v>
      </c>
      <c r="AJ3479">
        <v>1.1100000000000001</v>
      </c>
      <c r="AK3479" t="s">
        <v>10613</v>
      </c>
      <c r="AL3479">
        <v>-2.46</v>
      </c>
      <c r="AM3479">
        <v>1575</v>
      </c>
      <c r="AN3479">
        <v>20</v>
      </c>
      <c r="AO3479">
        <v>1.8E-3</v>
      </c>
      <c r="AP3479">
        <v>-4</v>
      </c>
      <c r="AQ3479">
        <v>-0.97</v>
      </c>
      <c r="AR3479">
        <v>-5</v>
      </c>
      <c r="AS3479">
        <v>2.98</v>
      </c>
      <c r="AT3479">
        <v>2.88</v>
      </c>
      <c r="AU3479">
        <v>7.69</v>
      </c>
      <c r="AV3479">
        <v>0</v>
      </c>
      <c r="AW3479">
        <v>7.3</v>
      </c>
      <c r="AX3479">
        <v>38.22</v>
      </c>
      <c r="AY3479">
        <v>17.18</v>
      </c>
      <c r="AZ3479">
        <v>43.72</v>
      </c>
      <c r="BA3479">
        <v>0.32</v>
      </c>
      <c r="BB3479" t="s">
        <v>143</v>
      </c>
      <c r="BF3479">
        <v>-4.8</v>
      </c>
      <c r="BG3479">
        <v>3.6</v>
      </c>
      <c r="BH3479">
        <v>-1.99</v>
      </c>
      <c r="BI3479">
        <v>3.65</v>
      </c>
      <c r="BJ3479">
        <v>20210730</v>
      </c>
      <c r="BK3479">
        <v>20150326</v>
      </c>
      <c r="BL3479">
        <v>1.1100000000000001</v>
      </c>
      <c r="BM3479" t="s">
        <v>120</v>
      </c>
      <c r="BN3479" t="s">
        <v>120</v>
      </c>
      <c r="BO3479">
        <v>14.53</v>
      </c>
      <c r="BP3479">
        <v>20.72</v>
      </c>
      <c r="BQ3479">
        <v>12.66</v>
      </c>
      <c r="BR3479" t="s">
        <v>120</v>
      </c>
      <c r="BS3479">
        <v>12.89</v>
      </c>
      <c r="BT3479">
        <v>4.99</v>
      </c>
      <c r="BU3479">
        <v>6.91</v>
      </c>
      <c r="BV3479">
        <v>1.49</v>
      </c>
      <c r="BW3479">
        <v>1.63</v>
      </c>
      <c r="BX3479">
        <v>0.53</v>
      </c>
      <c r="BY3479">
        <v>7.0000000000000007E-2</v>
      </c>
      <c r="BZ3479">
        <v>0.12</v>
      </c>
      <c r="CA3479" t="s">
        <v>120</v>
      </c>
      <c r="CB3479">
        <v>3.33</v>
      </c>
      <c r="CC3479">
        <v>2.48</v>
      </c>
      <c r="CD3479">
        <v>1.29</v>
      </c>
      <c r="CE3479">
        <v>0.73</v>
      </c>
      <c r="CF3479">
        <v>0.05</v>
      </c>
      <c r="CG3479">
        <v>0.72</v>
      </c>
      <c r="CH3479">
        <v>0.53</v>
      </c>
      <c r="CI3479">
        <v>0.53</v>
      </c>
      <c r="CJ3479">
        <v>-0.82</v>
      </c>
      <c r="CK3479">
        <v>0.45</v>
      </c>
      <c r="CL3479">
        <v>7.31</v>
      </c>
      <c r="CM3479">
        <v>0.49</v>
      </c>
      <c r="CN3479">
        <v>-1</v>
      </c>
      <c r="CO3479">
        <v>10803</v>
      </c>
      <c r="CP3479">
        <v>3916</v>
      </c>
      <c r="CQ3479" t="s">
        <v>5010</v>
      </c>
      <c r="CR3479">
        <v>267.95999999999998</v>
      </c>
      <c r="CS3479">
        <v>222.52</v>
      </c>
      <c r="CT3479">
        <v>1.81</v>
      </c>
      <c r="CU3479">
        <v>47.02</v>
      </c>
      <c r="CV3479">
        <v>9.25</v>
      </c>
      <c r="CW3479">
        <v>0.7</v>
      </c>
      <c r="CX3479" t="s">
        <v>14728</v>
      </c>
      <c r="CY3479">
        <v>11.44</v>
      </c>
      <c r="CZ3479">
        <v>0</v>
      </c>
      <c r="DA3479">
        <v>3.01</v>
      </c>
      <c r="DB3479">
        <v>6.6</v>
      </c>
      <c r="DC3479">
        <v>0.44</v>
      </c>
      <c r="DD3479">
        <v>87.11</v>
      </c>
      <c r="DE3479" t="s">
        <v>14259</v>
      </c>
      <c r="DF3479">
        <v>48.09</v>
      </c>
      <c r="DG3479">
        <v>29.33</v>
      </c>
      <c r="DH3479">
        <v>21.29</v>
      </c>
      <c r="DI3479" t="s">
        <v>120</v>
      </c>
      <c r="DJ3479">
        <v>1529</v>
      </c>
      <c r="DK3479">
        <v>603199</v>
      </c>
      <c r="DL3479" t="s">
        <v>120</v>
      </c>
      <c r="DM3479" t="s">
        <v>120</v>
      </c>
      <c r="DN3479" t="s">
        <v>120</v>
      </c>
    </row>
    <row r="3480" spans="1:118">
      <c r="A3480" t="str">
        <f>"603200"</f>
        <v>603200</v>
      </c>
      <c r="B3480" t="s">
        <v>14729</v>
      </c>
      <c r="C3480">
        <v>-1.76</v>
      </c>
      <c r="D3480">
        <v>-0.04</v>
      </c>
      <c r="E3480">
        <v>-0.05</v>
      </c>
      <c r="F3480">
        <v>289</v>
      </c>
      <c r="G3480" t="s">
        <v>14730</v>
      </c>
      <c r="H3480">
        <v>3369.99</v>
      </c>
      <c r="I3480">
        <v>4.18</v>
      </c>
      <c r="J3480" t="s">
        <v>120</v>
      </c>
      <c r="K3480" t="s">
        <v>7236</v>
      </c>
      <c r="L3480">
        <v>1.36</v>
      </c>
      <c r="M3480">
        <v>19.559999999999999</v>
      </c>
      <c r="N3480">
        <v>0.51</v>
      </c>
      <c r="O3480">
        <v>2.16</v>
      </c>
      <c r="P3480">
        <v>20.34</v>
      </c>
      <c r="Q3480">
        <v>-1.96</v>
      </c>
      <c r="R3480">
        <v>19.52</v>
      </c>
      <c r="S3480">
        <v>19.899999999999999</v>
      </c>
      <c r="T3480">
        <v>17036</v>
      </c>
      <c r="U3480">
        <v>19.559999999999999</v>
      </c>
      <c r="V3480">
        <v>19.91</v>
      </c>
      <c r="W3480">
        <v>65.91</v>
      </c>
      <c r="X3480" t="s">
        <v>318</v>
      </c>
      <c r="Y3480" t="s">
        <v>1510</v>
      </c>
      <c r="Z3480">
        <v>4.12</v>
      </c>
      <c r="AA3480">
        <v>19.78</v>
      </c>
      <c r="AB3480">
        <v>9543</v>
      </c>
      <c r="AC3480">
        <v>7493</v>
      </c>
      <c r="AD3480">
        <v>1.27</v>
      </c>
      <c r="AE3480">
        <v>10</v>
      </c>
      <c r="AF3480">
        <v>19</v>
      </c>
      <c r="AG3480" t="s">
        <v>120</v>
      </c>
      <c r="AH3480">
        <v>0</v>
      </c>
      <c r="AI3480" t="s">
        <v>120</v>
      </c>
      <c r="AJ3480">
        <v>1.25</v>
      </c>
      <c r="AK3480" t="s">
        <v>7236</v>
      </c>
      <c r="AL3480">
        <v>-0.41</v>
      </c>
      <c r="AM3480">
        <v>1501</v>
      </c>
      <c r="AN3480">
        <v>11</v>
      </c>
      <c r="AO3480">
        <v>8.9999999999999998E-4</v>
      </c>
      <c r="AP3480">
        <v>-1</v>
      </c>
      <c r="AQ3480">
        <v>0.05</v>
      </c>
      <c r="AR3480">
        <v>-6.81</v>
      </c>
      <c r="AS3480">
        <v>3.49</v>
      </c>
      <c r="AT3480">
        <v>8.18</v>
      </c>
      <c r="AU3480">
        <v>-2.48</v>
      </c>
      <c r="AV3480">
        <v>4</v>
      </c>
      <c r="AW3480">
        <v>3.17</v>
      </c>
      <c r="AX3480">
        <v>42.94</v>
      </c>
      <c r="AY3480">
        <v>187.2</v>
      </c>
      <c r="AZ3480">
        <v>71.489999999999995</v>
      </c>
      <c r="BA3480">
        <v>0.55000000000000004</v>
      </c>
      <c r="BB3480" t="s">
        <v>143</v>
      </c>
      <c r="BF3480">
        <v>-0.65</v>
      </c>
      <c r="BG3480">
        <v>-1.71</v>
      </c>
      <c r="BH3480">
        <v>-3.83</v>
      </c>
      <c r="BI3480">
        <v>0.2</v>
      </c>
      <c r="BJ3480">
        <v>20210909</v>
      </c>
      <c r="BK3480">
        <v>20170601</v>
      </c>
      <c r="BL3480">
        <v>1.25</v>
      </c>
      <c r="BM3480" t="s">
        <v>120</v>
      </c>
      <c r="BN3480" t="s">
        <v>120</v>
      </c>
      <c r="BO3480">
        <v>11.67</v>
      </c>
      <c r="BP3480">
        <v>19.55</v>
      </c>
      <c r="BQ3480">
        <v>8.1199999999999992</v>
      </c>
      <c r="BR3480">
        <v>0.3</v>
      </c>
      <c r="BS3480">
        <v>27.87</v>
      </c>
      <c r="BT3480">
        <v>8.1300000000000008</v>
      </c>
      <c r="BU3480">
        <v>0.35</v>
      </c>
      <c r="BV3480">
        <v>0.2</v>
      </c>
      <c r="BW3480">
        <v>3.04</v>
      </c>
      <c r="BX3480">
        <v>2.36</v>
      </c>
      <c r="BY3480">
        <v>0.81</v>
      </c>
      <c r="BZ3480">
        <v>2.4700000000000002</v>
      </c>
      <c r="CA3480" t="s">
        <v>120</v>
      </c>
      <c r="CB3480">
        <v>3.45</v>
      </c>
      <c r="CC3480">
        <v>2.44</v>
      </c>
      <c r="CD3480">
        <v>1.66</v>
      </c>
      <c r="CE3480">
        <v>0.15</v>
      </c>
      <c r="CF3480">
        <v>0.01</v>
      </c>
      <c r="CG3480">
        <v>0.19</v>
      </c>
      <c r="CH3480">
        <v>0.17</v>
      </c>
      <c r="CI3480">
        <v>0.19</v>
      </c>
      <c r="CJ3480">
        <v>-0.35</v>
      </c>
      <c r="CK3480">
        <v>0.16</v>
      </c>
      <c r="CL3480">
        <v>3.03</v>
      </c>
      <c r="CM3480">
        <v>0.23</v>
      </c>
      <c r="CN3480">
        <v>-0.33</v>
      </c>
      <c r="CO3480">
        <v>16608</v>
      </c>
      <c r="CP3480">
        <v>3239</v>
      </c>
      <c r="CQ3480" t="s">
        <v>9518</v>
      </c>
      <c r="CR3480">
        <v>-53.71</v>
      </c>
      <c r="CS3480">
        <v>-5.75</v>
      </c>
      <c r="CT3480">
        <v>3.02</v>
      </c>
      <c r="CU3480">
        <v>106.67</v>
      </c>
      <c r="CV3480">
        <v>10.039999999999999</v>
      </c>
      <c r="CW3480">
        <v>0.44</v>
      </c>
      <c r="CX3480" t="s">
        <v>373</v>
      </c>
      <c r="CY3480">
        <v>6.48</v>
      </c>
      <c r="CZ3480">
        <v>0</v>
      </c>
      <c r="DA3480">
        <v>2.75</v>
      </c>
      <c r="DB3480">
        <v>2.42</v>
      </c>
      <c r="DC3480">
        <v>0.18</v>
      </c>
      <c r="DD3480">
        <v>69.56</v>
      </c>
      <c r="DE3480" t="s">
        <v>6349</v>
      </c>
      <c r="DF3480">
        <v>31.9</v>
      </c>
      <c r="DG3480">
        <v>6.21</v>
      </c>
      <c r="DH3480">
        <v>7.62</v>
      </c>
      <c r="DI3480">
        <v>0.18</v>
      </c>
      <c r="DJ3480">
        <v>910</v>
      </c>
      <c r="DK3480">
        <v>603200</v>
      </c>
      <c r="DL3480" t="s">
        <v>120</v>
      </c>
      <c r="DM3480" t="s">
        <v>120</v>
      </c>
      <c r="DN3480" t="s">
        <v>120</v>
      </c>
    </row>
    <row r="3481" spans="1:118">
      <c r="A3481" t="str">
        <f>"603203"</f>
        <v>603203</v>
      </c>
      <c r="B3481" t="s">
        <v>14731</v>
      </c>
      <c r="C3481">
        <v>-6.9</v>
      </c>
      <c r="D3481">
        <v>0.17</v>
      </c>
      <c r="E3481">
        <v>-1.72</v>
      </c>
      <c r="F3481">
        <v>573</v>
      </c>
      <c r="G3481" t="s">
        <v>4346</v>
      </c>
      <c r="H3481">
        <v>22819.49</v>
      </c>
      <c r="I3481">
        <v>252.01</v>
      </c>
      <c r="J3481" t="s">
        <v>120</v>
      </c>
      <c r="K3481" t="s">
        <v>11516</v>
      </c>
      <c r="L3481">
        <v>3.24</v>
      </c>
      <c r="M3481">
        <v>36.28</v>
      </c>
      <c r="N3481">
        <v>1.08</v>
      </c>
      <c r="O3481">
        <v>1.28</v>
      </c>
      <c r="P3481">
        <v>39.47</v>
      </c>
      <c r="Q3481">
        <v>-7.11</v>
      </c>
      <c r="R3481">
        <v>36.200000000000003</v>
      </c>
      <c r="S3481">
        <v>38.299999999999997</v>
      </c>
      <c r="T3481">
        <v>60858</v>
      </c>
      <c r="U3481">
        <v>36.28</v>
      </c>
      <c r="V3481">
        <v>38.97</v>
      </c>
      <c r="W3481">
        <v>24.05</v>
      </c>
      <c r="X3481" t="s">
        <v>675</v>
      </c>
      <c r="Y3481" t="s">
        <v>319</v>
      </c>
      <c r="Z3481">
        <v>8.39</v>
      </c>
      <c r="AA3481">
        <v>37.5</v>
      </c>
      <c r="AB3481">
        <v>35590</v>
      </c>
      <c r="AC3481">
        <v>25268</v>
      </c>
      <c r="AD3481">
        <v>1.41</v>
      </c>
      <c r="AE3481">
        <v>6</v>
      </c>
      <c r="AF3481">
        <v>69</v>
      </c>
      <c r="AG3481" t="s">
        <v>120</v>
      </c>
      <c r="AH3481">
        <v>0.1</v>
      </c>
      <c r="AI3481" t="s">
        <v>120</v>
      </c>
      <c r="AJ3481">
        <v>1.88</v>
      </c>
      <c r="AK3481" t="s">
        <v>11516</v>
      </c>
      <c r="AL3481">
        <v>-5.56</v>
      </c>
      <c r="AM3481">
        <v>3420</v>
      </c>
      <c r="AN3481">
        <v>18</v>
      </c>
      <c r="AO3481">
        <v>8.9999999999999998E-4</v>
      </c>
      <c r="AP3481">
        <v>-2</v>
      </c>
      <c r="AQ3481">
        <v>-6.46</v>
      </c>
      <c r="AR3481">
        <v>-4.2</v>
      </c>
      <c r="AS3481">
        <v>30.5</v>
      </c>
      <c r="AT3481">
        <v>25.1</v>
      </c>
      <c r="AU3481">
        <v>61.19</v>
      </c>
      <c r="AV3481">
        <v>2</v>
      </c>
      <c r="AW3481">
        <v>9.42</v>
      </c>
      <c r="AX3481">
        <v>34.4</v>
      </c>
      <c r="AY3481">
        <v>30.99</v>
      </c>
      <c r="AZ3481">
        <v>41.31</v>
      </c>
      <c r="BA3481">
        <v>1.38</v>
      </c>
      <c r="BB3481" t="s">
        <v>125</v>
      </c>
      <c r="BF3481">
        <v>-3.78</v>
      </c>
      <c r="BG3481">
        <v>-5.27</v>
      </c>
      <c r="BH3481">
        <v>-8.08</v>
      </c>
      <c r="BI3481">
        <v>0.22</v>
      </c>
      <c r="BJ3481">
        <v>20210830</v>
      </c>
      <c r="BK3481">
        <v>20161108</v>
      </c>
      <c r="BL3481">
        <v>1.88</v>
      </c>
      <c r="BM3481" t="s">
        <v>120</v>
      </c>
      <c r="BN3481" t="s">
        <v>120</v>
      </c>
      <c r="BO3481">
        <v>15.08</v>
      </c>
      <c r="BP3481">
        <v>36.25</v>
      </c>
      <c r="BQ3481">
        <v>11.52</v>
      </c>
      <c r="BR3481">
        <v>0.04</v>
      </c>
      <c r="BS3481">
        <v>23.35</v>
      </c>
      <c r="BT3481">
        <v>12.7</v>
      </c>
      <c r="BU3481">
        <v>1.1499999999999999</v>
      </c>
      <c r="BV3481">
        <v>0.15</v>
      </c>
      <c r="BW3481">
        <v>3.32</v>
      </c>
      <c r="BX3481">
        <v>3.13</v>
      </c>
      <c r="BY3481">
        <v>1.93</v>
      </c>
      <c r="BZ3481">
        <v>1.58</v>
      </c>
      <c r="CA3481" t="s">
        <v>120</v>
      </c>
      <c r="CB3481">
        <v>3.2</v>
      </c>
      <c r="CC3481">
        <v>3.53</v>
      </c>
      <c r="CD3481">
        <v>1.63</v>
      </c>
      <c r="CE3481">
        <v>1.53</v>
      </c>
      <c r="CF3481">
        <v>0.17</v>
      </c>
      <c r="CG3481">
        <v>1.53</v>
      </c>
      <c r="CH3481">
        <v>1.41</v>
      </c>
      <c r="CI3481">
        <v>1.42</v>
      </c>
      <c r="CJ3481">
        <v>-2.69</v>
      </c>
      <c r="CK3481">
        <v>1.1499999999999999</v>
      </c>
      <c r="CL3481">
        <v>5.66</v>
      </c>
      <c r="CM3481">
        <v>0.67</v>
      </c>
      <c r="CN3481">
        <v>1.71</v>
      </c>
      <c r="CO3481">
        <v>9559</v>
      </c>
      <c r="CP3481">
        <v>6759</v>
      </c>
      <c r="CQ3481" t="s">
        <v>14732</v>
      </c>
      <c r="CR3481">
        <v>71.38</v>
      </c>
      <c r="CS3481">
        <v>58.85</v>
      </c>
      <c r="CT3481">
        <v>5.92</v>
      </c>
      <c r="CU3481">
        <v>101.01</v>
      </c>
      <c r="CV3481">
        <v>19.3</v>
      </c>
      <c r="CW3481">
        <v>1.71</v>
      </c>
      <c r="CX3481" t="s">
        <v>3015</v>
      </c>
      <c r="CY3481">
        <v>6.13</v>
      </c>
      <c r="CZ3481">
        <v>0</v>
      </c>
      <c r="DA3481">
        <v>1.7</v>
      </c>
      <c r="DB3481">
        <v>3.01</v>
      </c>
      <c r="DC3481">
        <v>0.36</v>
      </c>
      <c r="DD3481">
        <v>76.39</v>
      </c>
      <c r="DE3481" t="s">
        <v>14733</v>
      </c>
      <c r="DF3481">
        <v>53.74</v>
      </c>
      <c r="DG3481">
        <v>43.36</v>
      </c>
      <c r="DH3481">
        <v>40.119999999999997</v>
      </c>
      <c r="DI3481">
        <v>0.21</v>
      </c>
      <c r="DJ3481">
        <v>888</v>
      </c>
      <c r="DK3481">
        <v>603203</v>
      </c>
      <c r="DL3481" t="s">
        <v>120</v>
      </c>
      <c r="DM3481" t="s">
        <v>120</v>
      </c>
      <c r="DN3481" t="s">
        <v>120</v>
      </c>
    </row>
    <row r="3482" spans="1:118">
      <c r="A3482" t="str">
        <f>"603208"</f>
        <v>603208</v>
      </c>
      <c r="B3482" t="s">
        <v>14734</v>
      </c>
      <c r="C3482">
        <v>-3.86</v>
      </c>
      <c r="D3482">
        <v>0.76</v>
      </c>
      <c r="E3482">
        <v>0.06</v>
      </c>
      <c r="F3482">
        <v>62</v>
      </c>
      <c r="G3482" t="s">
        <v>14577</v>
      </c>
      <c r="H3482">
        <v>4236.87</v>
      </c>
      <c r="I3482">
        <v>3.46</v>
      </c>
      <c r="J3482" t="s">
        <v>120</v>
      </c>
      <c r="K3482" t="s">
        <v>14735</v>
      </c>
      <c r="L3482">
        <v>0.6</v>
      </c>
      <c r="M3482">
        <v>66.44</v>
      </c>
      <c r="N3482">
        <v>1.32</v>
      </c>
      <c r="O3482">
        <v>0.1</v>
      </c>
      <c r="P3482">
        <v>69.180000000000007</v>
      </c>
      <c r="Q3482">
        <v>-4.79</v>
      </c>
      <c r="R3482">
        <v>65.8</v>
      </c>
      <c r="S3482">
        <v>69.150000000000006</v>
      </c>
      <c r="T3482">
        <v>6352</v>
      </c>
      <c r="U3482">
        <v>66.44</v>
      </c>
      <c r="V3482">
        <v>69.11</v>
      </c>
      <c r="W3482">
        <v>19.68</v>
      </c>
      <c r="X3482" t="s">
        <v>2409</v>
      </c>
      <c r="Y3482" t="s">
        <v>585</v>
      </c>
      <c r="Z3482">
        <v>4.8899999999999997</v>
      </c>
      <c r="AA3482">
        <v>66.709999999999994</v>
      </c>
      <c r="AB3482">
        <v>3738</v>
      </c>
      <c r="AC3482">
        <v>2614</v>
      </c>
      <c r="AD3482">
        <v>1.43</v>
      </c>
      <c r="AE3482">
        <v>36</v>
      </c>
      <c r="AF3482">
        <v>6</v>
      </c>
      <c r="AG3482" t="s">
        <v>120</v>
      </c>
      <c r="AH3482">
        <v>0</v>
      </c>
      <c r="AI3482" t="s">
        <v>120</v>
      </c>
      <c r="AJ3482">
        <v>1.05</v>
      </c>
      <c r="AK3482" t="s">
        <v>14735</v>
      </c>
      <c r="AL3482">
        <v>-2.52</v>
      </c>
      <c r="AM3482">
        <v>1111</v>
      </c>
      <c r="AN3482">
        <v>6</v>
      </c>
      <c r="AO3482">
        <v>5.0000000000000001E-4</v>
      </c>
      <c r="AP3482">
        <v>-2</v>
      </c>
      <c r="AQ3482">
        <v>-3.96</v>
      </c>
      <c r="AR3482">
        <v>-6.79</v>
      </c>
      <c r="AS3482">
        <v>-21</v>
      </c>
      <c r="AT3482">
        <v>-30.84</v>
      </c>
      <c r="AU3482">
        <v>-36.880000000000003</v>
      </c>
      <c r="AV3482">
        <v>5</v>
      </c>
      <c r="AW3482">
        <v>1.59</v>
      </c>
      <c r="AX3482">
        <v>38.130000000000003</v>
      </c>
      <c r="AY3482">
        <v>15.51</v>
      </c>
      <c r="AZ3482">
        <v>17.05</v>
      </c>
      <c r="BA3482">
        <v>0.28999999999999998</v>
      </c>
      <c r="BB3482" t="s">
        <v>125</v>
      </c>
      <c r="BF3482">
        <v>-3.48</v>
      </c>
      <c r="BG3482">
        <v>-3.92</v>
      </c>
      <c r="BH3482">
        <v>-3.96</v>
      </c>
      <c r="BI3482">
        <v>0.97</v>
      </c>
      <c r="BJ3482">
        <v>20210817</v>
      </c>
      <c r="BK3482">
        <v>20170210</v>
      </c>
      <c r="BL3482">
        <v>1.05</v>
      </c>
      <c r="BM3482" t="s">
        <v>120</v>
      </c>
      <c r="BN3482" t="s">
        <v>120</v>
      </c>
      <c r="BO3482">
        <v>45.44</v>
      </c>
      <c r="BP3482">
        <v>65.95</v>
      </c>
      <c r="BQ3482">
        <v>18.91</v>
      </c>
      <c r="BR3482">
        <v>0.66</v>
      </c>
      <c r="BS3482">
        <v>56.92</v>
      </c>
      <c r="BT3482">
        <v>31.1</v>
      </c>
      <c r="BU3482">
        <v>9.08</v>
      </c>
      <c r="BV3482">
        <v>2.62</v>
      </c>
      <c r="BW3482">
        <v>17.36</v>
      </c>
      <c r="BX3482">
        <v>10.81</v>
      </c>
      <c r="BY3482">
        <v>5.08</v>
      </c>
      <c r="BZ3482">
        <v>5.72</v>
      </c>
      <c r="CA3482" t="s">
        <v>120</v>
      </c>
      <c r="CB3482">
        <v>5.19</v>
      </c>
      <c r="CC3482">
        <v>14.07</v>
      </c>
      <c r="CD3482">
        <v>9.81</v>
      </c>
      <c r="CE3482">
        <v>2.16</v>
      </c>
      <c r="CF3482">
        <v>-0.12</v>
      </c>
      <c r="CG3482">
        <v>2.16</v>
      </c>
      <c r="CH3482">
        <v>1.81</v>
      </c>
      <c r="CI3482">
        <v>1.77</v>
      </c>
      <c r="CJ3482">
        <v>-2.67</v>
      </c>
      <c r="CK3482">
        <v>1.49</v>
      </c>
      <c r="CL3482">
        <v>11.13</v>
      </c>
      <c r="CM3482">
        <v>-4.83</v>
      </c>
      <c r="CN3482">
        <v>4.03</v>
      </c>
      <c r="CO3482">
        <v>6737</v>
      </c>
      <c r="CP3482">
        <v>5946</v>
      </c>
      <c r="CQ3482" t="s">
        <v>14736</v>
      </c>
      <c r="CR3482">
        <v>31.4</v>
      </c>
      <c r="CS3482">
        <v>32.49</v>
      </c>
      <c r="CT3482">
        <v>3.77</v>
      </c>
      <c r="CU3482">
        <v>-14.46</v>
      </c>
      <c r="CV3482">
        <v>4.96</v>
      </c>
      <c r="CW3482">
        <v>1.77</v>
      </c>
      <c r="CX3482" t="s">
        <v>14737</v>
      </c>
      <c r="CY3482">
        <v>17.62</v>
      </c>
      <c r="CZ3482">
        <v>17.62</v>
      </c>
      <c r="DA3482">
        <v>4.9400000000000004</v>
      </c>
      <c r="DB3482">
        <v>10.59</v>
      </c>
      <c r="DC3482">
        <v>-4.59</v>
      </c>
      <c r="DD3482">
        <v>41.62</v>
      </c>
      <c r="DE3482" t="s">
        <v>6223</v>
      </c>
      <c r="DF3482">
        <v>30.3</v>
      </c>
      <c r="DG3482">
        <v>15.33</v>
      </c>
      <c r="DH3482">
        <v>12.61</v>
      </c>
      <c r="DI3482">
        <v>0.46</v>
      </c>
      <c r="DJ3482">
        <v>4627</v>
      </c>
      <c r="DK3482">
        <v>603208</v>
      </c>
      <c r="DL3482" t="s">
        <v>120</v>
      </c>
      <c r="DM3482" t="s">
        <v>120</v>
      </c>
      <c r="DN3482" t="s">
        <v>120</v>
      </c>
    </row>
    <row r="3483" spans="1:118">
      <c r="A3483" t="str">
        <f>"603212"</f>
        <v>603212</v>
      </c>
      <c r="B3483" t="s">
        <v>14738</v>
      </c>
      <c r="C3483">
        <v>0.8</v>
      </c>
      <c r="D3483">
        <v>0.39</v>
      </c>
      <c r="E3483">
        <v>0.44</v>
      </c>
      <c r="F3483">
        <v>1269</v>
      </c>
      <c r="G3483" t="s">
        <v>6022</v>
      </c>
      <c r="H3483">
        <v>29915.119999999999</v>
      </c>
      <c r="I3483">
        <v>62.06</v>
      </c>
      <c r="J3483" t="s">
        <v>120</v>
      </c>
      <c r="K3483" t="s">
        <v>7267</v>
      </c>
      <c r="L3483">
        <v>3.23</v>
      </c>
      <c r="M3483">
        <v>36.42</v>
      </c>
      <c r="N3483">
        <v>1.34</v>
      </c>
      <c r="O3483">
        <v>2.77</v>
      </c>
      <c r="P3483">
        <v>37.130000000000003</v>
      </c>
      <c r="Q3483">
        <v>-4.46</v>
      </c>
      <c r="R3483">
        <v>34.520000000000003</v>
      </c>
      <c r="S3483">
        <v>36.29</v>
      </c>
      <c r="T3483">
        <v>82452</v>
      </c>
      <c r="U3483">
        <v>36.46</v>
      </c>
      <c r="V3483">
        <v>36.130000000000003</v>
      </c>
      <c r="W3483">
        <v>88.94</v>
      </c>
      <c r="X3483" t="s">
        <v>2211</v>
      </c>
      <c r="Y3483" t="s">
        <v>319</v>
      </c>
      <c r="Z3483">
        <v>7.22</v>
      </c>
      <c r="AA3483">
        <v>36.28</v>
      </c>
      <c r="AB3483">
        <v>49069</v>
      </c>
      <c r="AC3483">
        <v>33383</v>
      </c>
      <c r="AD3483">
        <v>1.47</v>
      </c>
      <c r="AE3483">
        <v>336</v>
      </c>
      <c r="AF3483">
        <v>5</v>
      </c>
      <c r="AG3483" t="s">
        <v>120</v>
      </c>
      <c r="AH3483">
        <v>0.02</v>
      </c>
      <c r="AI3483" t="s">
        <v>120</v>
      </c>
      <c r="AJ3483">
        <v>2.5499999999999998</v>
      </c>
      <c r="AK3483" t="s">
        <v>14739</v>
      </c>
      <c r="AL3483">
        <v>2.15</v>
      </c>
      <c r="AM3483">
        <v>3775</v>
      </c>
      <c r="AN3483">
        <v>22</v>
      </c>
      <c r="AO3483">
        <v>8.9999999999999998E-4</v>
      </c>
      <c r="AP3483">
        <v>4</v>
      </c>
      <c r="AQ3483">
        <v>4.33</v>
      </c>
      <c r="AR3483">
        <v>10.1</v>
      </c>
      <c r="AS3483">
        <v>26.99</v>
      </c>
      <c r="AT3483">
        <v>27.21</v>
      </c>
      <c r="AU3483">
        <v>-6.2</v>
      </c>
      <c r="AV3483">
        <v>2</v>
      </c>
      <c r="AW3483">
        <v>11.59</v>
      </c>
      <c r="AX3483">
        <v>17.79</v>
      </c>
      <c r="AY3483">
        <v>70.47</v>
      </c>
      <c r="AZ3483">
        <v>74.459999999999994</v>
      </c>
      <c r="BA3483">
        <v>1.08</v>
      </c>
      <c r="BB3483" t="s">
        <v>168</v>
      </c>
      <c r="BF3483">
        <v>0.42</v>
      </c>
      <c r="BG3483">
        <v>0.36</v>
      </c>
      <c r="BH3483">
        <v>-1.91</v>
      </c>
      <c r="BI3483">
        <v>5.5</v>
      </c>
      <c r="BJ3483">
        <v>20210824</v>
      </c>
      <c r="BK3483">
        <v>20200430</v>
      </c>
      <c r="BL3483">
        <v>4</v>
      </c>
      <c r="BM3483" t="s">
        <v>120</v>
      </c>
      <c r="BN3483" t="s">
        <v>120</v>
      </c>
      <c r="BO3483">
        <v>38.83</v>
      </c>
      <c r="BP3483">
        <v>36.42</v>
      </c>
      <c r="BQ3483">
        <v>19.47</v>
      </c>
      <c r="BR3483">
        <v>-0.01</v>
      </c>
      <c r="BS3483">
        <v>49.88</v>
      </c>
      <c r="BT3483">
        <v>28.72</v>
      </c>
      <c r="BU3483">
        <v>5.33</v>
      </c>
      <c r="BV3483">
        <v>0.83</v>
      </c>
      <c r="BW3483">
        <v>16.68</v>
      </c>
      <c r="BX3483">
        <v>5.21</v>
      </c>
      <c r="BY3483">
        <v>7.34</v>
      </c>
      <c r="BZ3483">
        <v>10.11</v>
      </c>
      <c r="CA3483" t="s">
        <v>120</v>
      </c>
      <c r="CB3483">
        <v>8.3000000000000007</v>
      </c>
      <c r="CC3483">
        <v>12.44</v>
      </c>
      <c r="CD3483">
        <v>10.61</v>
      </c>
      <c r="CE3483">
        <v>0.96</v>
      </c>
      <c r="CF3483">
        <v>0</v>
      </c>
      <c r="CG3483">
        <v>0.91</v>
      </c>
      <c r="CH3483">
        <v>0.82</v>
      </c>
      <c r="CI3483">
        <v>0.82</v>
      </c>
      <c r="CJ3483">
        <v>0.28999999999999998</v>
      </c>
      <c r="CK3483">
        <v>0.78</v>
      </c>
      <c r="CL3483">
        <v>6.45</v>
      </c>
      <c r="CM3483">
        <v>-3.53</v>
      </c>
      <c r="CN3483">
        <v>0.16</v>
      </c>
      <c r="CO3483">
        <v>11486</v>
      </c>
      <c r="CP3483">
        <v>6194</v>
      </c>
      <c r="CQ3483" t="s">
        <v>14740</v>
      </c>
      <c r="CR3483">
        <v>15.5</v>
      </c>
      <c r="CS3483">
        <v>40.07</v>
      </c>
      <c r="CT3483">
        <v>7.48</v>
      </c>
      <c r="CU3483">
        <v>-41.24</v>
      </c>
      <c r="CV3483">
        <v>11.71</v>
      </c>
      <c r="CW3483">
        <v>0.14000000000000001</v>
      </c>
      <c r="CX3483" t="s">
        <v>492</v>
      </c>
      <c r="CY3483">
        <v>4.87</v>
      </c>
      <c r="CZ3483">
        <v>0</v>
      </c>
      <c r="DA3483">
        <v>2.08</v>
      </c>
      <c r="DB3483">
        <v>1.61</v>
      </c>
      <c r="DC3483">
        <v>-0.88</v>
      </c>
      <c r="DD3483">
        <v>50.15</v>
      </c>
      <c r="DE3483" t="s">
        <v>2365</v>
      </c>
      <c r="DF3483">
        <v>14.71</v>
      </c>
      <c r="DG3483">
        <v>7.72</v>
      </c>
      <c r="DH3483">
        <v>6.58</v>
      </c>
      <c r="DI3483">
        <v>0.39</v>
      </c>
      <c r="DJ3483">
        <v>731</v>
      </c>
      <c r="DK3483">
        <v>603212</v>
      </c>
      <c r="DL3483" t="s">
        <v>120</v>
      </c>
      <c r="DM3483" t="s">
        <v>120</v>
      </c>
      <c r="DN3483" t="s">
        <v>120</v>
      </c>
    </row>
    <row r="3484" spans="1:118">
      <c r="A3484" t="str">
        <f>"603214"</f>
        <v>603214</v>
      </c>
      <c r="B3484" t="s">
        <v>14741</v>
      </c>
      <c r="C3484">
        <v>6.06</v>
      </c>
      <c r="D3484">
        <v>0</v>
      </c>
      <c r="E3484">
        <v>0.35</v>
      </c>
      <c r="F3484">
        <v>865</v>
      </c>
      <c r="G3484" t="s">
        <v>14742</v>
      </c>
      <c r="H3484">
        <v>19466.2</v>
      </c>
      <c r="I3484">
        <v>31.28</v>
      </c>
      <c r="J3484" t="s">
        <v>120</v>
      </c>
      <c r="K3484" t="s">
        <v>14743</v>
      </c>
      <c r="L3484">
        <v>5.76</v>
      </c>
      <c r="M3484">
        <v>24.31</v>
      </c>
      <c r="N3484">
        <v>3.44</v>
      </c>
      <c r="O3484">
        <v>9.42</v>
      </c>
      <c r="P3484">
        <v>25.08</v>
      </c>
      <c r="Q3484">
        <v>0.35</v>
      </c>
      <c r="R3484">
        <v>23</v>
      </c>
      <c r="S3484">
        <v>23</v>
      </c>
      <c r="T3484">
        <v>81006</v>
      </c>
      <c r="U3484">
        <v>24.32</v>
      </c>
      <c r="V3484">
        <v>22.92</v>
      </c>
      <c r="W3484">
        <v>36.75</v>
      </c>
      <c r="X3484" t="s">
        <v>735</v>
      </c>
      <c r="Y3484" t="s">
        <v>1510</v>
      </c>
      <c r="Z3484">
        <v>9.08</v>
      </c>
      <c r="AA3484">
        <v>24.03</v>
      </c>
      <c r="AB3484">
        <v>33816</v>
      </c>
      <c r="AC3484">
        <v>47190</v>
      </c>
      <c r="AD3484">
        <v>0.72</v>
      </c>
      <c r="AE3484">
        <v>349</v>
      </c>
      <c r="AF3484">
        <v>290</v>
      </c>
      <c r="AG3484" t="s">
        <v>120</v>
      </c>
      <c r="AH3484">
        <v>0.02</v>
      </c>
      <c r="AI3484" t="s">
        <v>120</v>
      </c>
      <c r="AJ3484">
        <v>1.41</v>
      </c>
      <c r="AK3484" t="s">
        <v>7694</v>
      </c>
      <c r="AL3484">
        <v>7.41</v>
      </c>
      <c r="AM3484">
        <v>3228</v>
      </c>
      <c r="AN3484">
        <v>25</v>
      </c>
      <c r="AO3484">
        <v>1.8E-3</v>
      </c>
      <c r="AP3484">
        <v>1</v>
      </c>
      <c r="AQ3484">
        <v>-1.55</v>
      </c>
      <c r="AR3484">
        <v>5.51</v>
      </c>
      <c r="AS3484">
        <v>-13.33</v>
      </c>
      <c r="AT3484">
        <v>4.34</v>
      </c>
      <c r="AU3484">
        <v>7.38</v>
      </c>
      <c r="AV3484">
        <v>8</v>
      </c>
      <c r="AW3484">
        <v>12.81</v>
      </c>
      <c r="AX3484">
        <v>44.69</v>
      </c>
      <c r="AY3484">
        <v>27.2</v>
      </c>
      <c r="AZ3484">
        <v>27.83</v>
      </c>
      <c r="BA3484">
        <v>0.49</v>
      </c>
      <c r="BB3484" t="s">
        <v>125</v>
      </c>
      <c r="BF3484">
        <v>4.8499999999999996</v>
      </c>
      <c r="BG3484">
        <v>5.7</v>
      </c>
      <c r="BH3484">
        <v>-3.07</v>
      </c>
      <c r="BI3484">
        <v>5.7</v>
      </c>
      <c r="BJ3484">
        <v>20210913</v>
      </c>
      <c r="BK3484">
        <v>20180330</v>
      </c>
      <c r="BL3484">
        <v>1.42</v>
      </c>
      <c r="BM3484" t="s">
        <v>120</v>
      </c>
      <c r="BN3484" t="s">
        <v>120</v>
      </c>
      <c r="BO3484">
        <v>24.51</v>
      </c>
      <c r="BP3484">
        <v>24.31</v>
      </c>
      <c r="BQ3484">
        <v>9.9700000000000006</v>
      </c>
      <c r="BR3484">
        <v>0.3</v>
      </c>
      <c r="BS3484">
        <v>58.08</v>
      </c>
      <c r="BT3484">
        <v>16.329999999999998</v>
      </c>
      <c r="BU3484">
        <v>1.39</v>
      </c>
      <c r="BV3484">
        <v>0.76</v>
      </c>
      <c r="BW3484">
        <v>9.41</v>
      </c>
      <c r="BX3484">
        <v>0.98</v>
      </c>
      <c r="BY3484">
        <v>5.15</v>
      </c>
      <c r="BZ3484">
        <v>0.42</v>
      </c>
      <c r="CA3484" t="s">
        <v>120</v>
      </c>
      <c r="CB3484">
        <v>3.53</v>
      </c>
      <c r="CC3484">
        <v>11.42</v>
      </c>
      <c r="CD3484">
        <v>7.86</v>
      </c>
      <c r="CE3484">
        <v>0.63</v>
      </c>
      <c r="CF3484">
        <v>0.01</v>
      </c>
      <c r="CG3484">
        <v>0.63</v>
      </c>
      <c r="CH3484">
        <v>0.46</v>
      </c>
      <c r="CI3484">
        <v>0.47</v>
      </c>
      <c r="CJ3484">
        <v>1.39</v>
      </c>
      <c r="CK3484">
        <v>0.27</v>
      </c>
      <c r="CL3484">
        <v>4.97</v>
      </c>
      <c r="CM3484">
        <v>-0.86</v>
      </c>
      <c r="CN3484">
        <v>-5.41</v>
      </c>
      <c r="CO3484">
        <v>23930</v>
      </c>
      <c r="CP3484">
        <v>2644</v>
      </c>
      <c r="CQ3484" t="s">
        <v>5423</v>
      </c>
      <c r="CR3484">
        <v>6.13</v>
      </c>
      <c r="CS3484">
        <v>4.18</v>
      </c>
      <c r="CT3484">
        <v>3.45</v>
      </c>
      <c r="CU3484">
        <v>-40.01</v>
      </c>
      <c r="CV3484">
        <v>3.01</v>
      </c>
      <c r="CW3484">
        <v>1.32</v>
      </c>
      <c r="CX3484" t="s">
        <v>2443</v>
      </c>
      <c r="CY3484">
        <v>7.04</v>
      </c>
      <c r="CZ3484">
        <v>0</v>
      </c>
      <c r="DA3484">
        <v>2.5</v>
      </c>
      <c r="DB3484">
        <v>3.51</v>
      </c>
      <c r="DC3484">
        <v>-0.61</v>
      </c>
      <c r="DD3484">
        <v>40.68</v>
      </c>
      <c r="DE3484" t="s">
        <v>12100</v>
      </c>
      <c r="DF3484">
        <v>31.19</v>
      </c>
      <c r="DG3484">
        <v>5.51</v>
      </c>
      <c r="DH3484">
        <v>4.0999999999999996</v>
      </c>
      <c r="DI3484" t="s">
        <v>120</v>
      </c>
      <c r="DJ3484">
        <v>3028</v>
      </c>
      <c r="DK3484">
        <v>603214</v>
      </c>
      <c r="DL3484" t="s">
        <v>120</v>
      </c>
      <c r="DM3484" t="s">
        <v>120</v>
      </c>
      <c r="DN3484" t="s">
        <v>120</v>
      </c>
    </row>
    <row r="3485" spans="1:118">
      <c r="A3485" t="str">
        <f>"603217"</f>
        <v>603217</v>
      </c>
      <c r="B3485" t="s">
        <v>14744</v>
      </c>
      <c r="C3485">
        <v>-3.37</v>
      </c>
      <c r="D3485">
        <v>0.05</v>
      </c>
      <c r="E3485">
        <v>0.74</v>
      </c>
      <c r="F3485">
        <v>110</v>
      </c>
      <c r="G3485" t="s">
        <v>14745</v>
      </c>
      <c r="H3485">
        <v>9419.93</v>
      </c>
      <c r="I3485">
        <v>10.6</v>
      </c>
      <c r="J3485" t="s">
        <v>120</v>
      </c>
      <c r="K3485" t="s">
        <v>14745</v>
      </c>
      <c r="L3485">
        <v>5.01</v>
      </c>
      <c r="M3485">
        <v>40.659999999999997</v>
      </c>
      <c r="N3485">
        <v>0.73</v>
      </c>
      <c r="O3485">
        <v>0.74</v>
      </c>
      <c r="P3485">
        <v>42.39</v>
      </c>
      <c r="Q3485">
        <v>-4.2300000000000004</v>
      </c>
      <c r="R3485">
        <v>40.299999999999997</v>
      </c>
      <c r="S3485">
        <v>42.39</v>
      </c>
      <c r="T3485">
        <v>22895</v>
      </c>
      <c r="U3485">
        <v>40.72</v>
      </c>
      <c r="V3485">
        <v>42.08</v>
      </c>
      <c r="W3485">
        <v>14.75</v>
      </c>
      <c r="X3485" t="s">
        <v>868</v>
      </c>
      <c r="Y3485" t="s">
        <v>638</v>
      </c>
      <c r="Z3485">
        <v>4.97</v>
      </c>
      <c r="AA3485">
        <v>41.14</v>
      </c>
      <c r="AB3485">
        <v>12882</v>
      </c>
      <c r="AC3485">
        <v>10013</v>
      </c>
      <c r="AD3485">
        <v>1.29</v>
      </c>
      <c r="AE3485">
        <v>3</v>
      </c>
      <c r="AF3485">
        <v>3</v>
      </c>
      <c r="AG3485" t="s">
        <v>120</v>
      </c>
      <c r="AH3485">
        <v>0.01</v>
      </c>
      <c r="AI3485" t="s">
        <v>120</v>
      </c>
      <c r="AJ3485">
        <v>0.46</v>
      </c>
      <c r="AK3485" t="s">
        <v>14746</v>
      </c>
      <c r="AL3485">
        <v>-2.0299999999999998</v>
      </c>
      <c r="AM3485">
        <v>2329</v>
      </c>
      <c r="AN3485">
        <v>10</v>
      </c>
      <c r="AO3485">
        <v>2.2000000000000001E-3</v>
      </c>
      <c r="AP3485">
        <v>-1</v>
      </c>
      <c r="AQ3485">
        <v>1.1100000000000001</v>
      </c>
      <c r="AR3485">
        <v>-5.13</v>
      </c>
      <c r="AS3485">
        <v>2.65</v>
      </c>
      <c r="AT3485">
        <v>42.27</v>
      </c>
      <c r="AU3485">
        <v>56.8</v>
      </c>
      <c r="AV3485">
        <v>5</v>
      </c>
      <c r="AW3485">
        <v>5.01</v>
      </c>
      <c r="AX3485">
        <v>35.86</v>
      </c>
      <c r="AY3485">
        <v>20.32</v>
      </c>
      <c r="AZ3485">
        <v>33.99</v>
      </c>
      <c r="BA3485">
        <v>1.26</v>
      </c>
      <c r="BB3485" t="s">
        <v>143</v>
      </c>
      <c r="BF3485">
        <v>-2.23</v>
      </c>
      <c r="BG3485">
        <v>-4.08</v>
      </c>
      <c r="BH3485">
        <v>-4.08</v>
      </c>
      <c r="BI3485">
        <v>0.89</v>
      </c>
      <c r="BJ3485">
        <v>20210827</v>
      </c>
      <c r="BK3485">
        <v>20190620</v>
      </c>
      <c r="BL3485">
        <v>1.27</v>
      </c>
      <c r="BM3485" t="s">
        <v>120</v>
      </c>
      <c r="BN3485" t="s">
        <v>120</v>
      </c>
      <c r="BO3485">
        <v>29.14</v>
      </c>
      <c r="BP3485">
        <v>40.659999999999997</v>
      </c>
      <c r="BQ3485">
        <v>23.86</v>
      </c>
      <c r="BR3485" t="s">
        <v>120</v>
      </c>
      <c r="BS3485">
        <v>18.100000000000001</v>
      </c>
      <c r="BT3485">
        <v>20.66</v>
      </c>
      <c r="BU3485">
        <v>5.67</v>
      </c>
      <c r="BV3485">
        <v>0.78</v>
      </c>
      <c r="BW3485">
        <v>5.07</v>
      </c>
      <c r="BX3485">
        <v>5.78</v>
      </c>
      <c r="BY3485">
        <v>3.32</v>
      </c>
      <c r="BZ3485">
        <v>1.53</v>
      </c>
      <c r="CA3485" t="s">
        <v>120</v>
      </c>
      <c r="CB3485">
        <v>12.23</v>
      </c>
      <c r="CC3485">
        <v>10.28</v>
      </c>
      <c r="CD3485">
        <v>7.65</v>
      </c>
      <c r="CE3485">
        <v>2.0699999999999998</v>
      </c>
      <c r="CF3485">
        <v>0.14000000000000001</v>
      </c>
      <c r="CG3485">
        <v>2.08</v>
      </c>
      <c r="CH3485">
        <v>1.76</v>
      </c>
      <c r="CI3485">
        <v>1.76</v>
      </c>
      <c r="CJ3485">
        <v>-1.42</v>
      </c>
      <c r="CK3485">
        <v>1.68</v>
      </c>
      <c r="CL3485">
        <v>9.7899999999999991</v>
      </c>
      <c r="CM3485">
        <v>0.65</v>
      </c>
      <c r="CN3485">
        <v>3.09</v>
      </c>
      <c r="CO3485">
        <v>13237</v>
      </c>
      <c r="CP3485">
        <v>3452</v>
      </c>
      <c r="CQ3485" t="s">
        <v>13457</v>
      </c>
      <c r="CR3485">
        <v>152.80000000000001</v>
      </c>
      <c r="CS3485">
        <v>91.64</v>
      </c>
      <c r="CT3485">
        <v>2.17</v>
      </c>
      <c r="CU3485">
        <v>79.39</v>
      </c>
      <c r="CV3485">
        <v>5.04</v>
      </c>
      <c r="CW3485">
        <v>0.9</v>
      </c>
      <c r="CX3485" t="s">
        <v>2141</v>
      </c>
      <c r="CY3485">
        <v>18.72</v>
      </c>
      <c r="CZ3485">
        <v>0</v>
      </c>
      <c r="DA3485">
        <v>9.59</v>
      </c>
      <c r="DB3485">
        <v>7.68</v>
      </c>
      <c r="DC3485">
        <v>0.51</v>
      </c>
      <c r="DD3485">
        <v>81.900000000000006</v>
      </c>
      <c r="DE3485" t="s">
        <v>8209</v>
      </c>
      <c r="DF3485">
        <v>25.52</v>
      </c>
      <c r="DG3485">
        <v>20.16</v>
      </c>
      <c r="DH3485">
        <v>17.100000000000001</v>
      </c>
      <c r="DI3485">
        <v>0.39</v>
      </c>
      <c r="DJ3485">
        <v>678</v>
      </c>
      <c r="DK3485">
        <v>603217</v>
      </c>
      <c r="DL3485" t="s">
        <v>120</v>
      </c>
      <c r="DM3485" t="s">
        <v>120</v>
      </c>
      <c r="DN3485" t="s">
        <v>120</v>
      </c>
    </row>
    <row r="3486" spans="1:118">
      <c r="A3486" t="str">
        <f>"603218"</f>
        <v>603218</v>
      </c>
      <c r="B3486" t="s">
        <v>14747</v>
      </c>
      <c r="C3486">
        <v>1.44</v>
      </c>
      <c r="D3486">
        <v>-0.4</v>
      </c>
      <c r="E3486">
        <v>-0.41</v>
      </c>
      <c r="F3486">
        <v>2949</v>
      </c>
      <c r="G3486" t="s">
        <v>14748</v>
      </c>
      <c r="H3486">
        <v>133626.35999999999</v>
      </c>
      <c r="I3486">
        <v>840.11</v>
      </c>
      <c r="J3486" t="s">
        <v>120</v>
      </c>
      <c r="K3486" t="s">
        <v>14749</v>
      </c>
      <c r="L3486">
        <v>3.75</v>
      </c>
      <c r="M3486">
        <v>36.68</v>
      </c>
      <c r="N3486">
        <v>1.52</v>
      </c>
      <c r="O3486">
        <v>4.34</v>
      </c>
      <c r="P3486">
        <v>37.729999999999997</v>
      </c>
      <c r="Q3486">
        <v>-1.02</v>
      </c>
      <c r="R3486">
        <v>35.79</v>
      </c>
      <c r="S3486">
        <v>36.01</v>
      </c>
      <c r="T3486">
        <v>362336</v>
      </c>
      <c r="U3486">
        <v>36.69</v>
      </c>
      <c r="V3486">
        <v>36.159999999999997</v>
      </c>
      <c r="W3486">
        <v>37.82</v>
      </c>
      <c r="X3486" t="s">
        <v>593</v>
      </c>
      <c r="Y3486" t="s">
        <v>585</v>
      </c>
      <c r="Z3486">
        <v>5.37</v>
      </c>
      <c r="AA3486">
        <v>36.880000000000003</v>
      </c>
      <c r="AB3486">
        <v>175364</v>
      </c>
      <c r="AC3486">
        <v>186972</v>
      </c>
      <c r="AD3486">
        <v>0.94</v>
      </c>
      <c r="AE3486">
        <v>72</v>
      </c>
      <c r="AF3486">
        <v>25</v>
      </c>
      <c r="AG3486" t="s">
        <v>120</v>
      </c>
      <c r="AH3486">
        <v>0.06</v>
      </c>
      <c r="AI3486" t="s">
        <v>120</v>
      </c>
      <c r="AJ3486">
        <v>9.65</v>
      </c>
      <c r="AK3486" t="s">
        <v>14750</v>
      </c>
      <c r="AL3486">
        <v>2.78</v>
      </c>
      <c r="AM3486">
        <v>4555</v>
      </c>
      <c r="AN3486">
        <v>80</v>
      </c>
      <c r="AO3486">
        <v>8.0000000000000004E-4</v>
      </c>
      <c r="AP3486">
        <v>4</v>
      </c>
      <c r="AQ3486">
        <v>10.01</v>
      </c>
      <c r="AR3486">
        <v>13.21</v>
      </c>
      <c r="AS3486">
        <v>7.88</v>
      </c>
      <c r="AT3486">
        <v>28.21</v>
      </c>
      <c r="AU3486">
        <v>22.56</v>
      </c>
      <c r="AV3486">
        <v>7</v>
      </c>
      <c r="AW3486">
        <v>8.76</v>
      </c>
      <c r="AX3486">
        <v>42.74</v>
      </c>
      <c r="AY3486">
        <v>33.619999999999997</v>
      </c>
      <c r="AZ3486">
        <v>35.729999999999997</v>
      </c>
      <c r="BA3486">
        <v>0</v>
      </c>
      <c r="BB3486" t="s">
        <v>143</v>
      </c>
      <c r="BF3486">
        <v>1.99</v>
      </c>
      <c r="BG3486">
        <v>1.86</v>
      </c>
      <c r="BH3486">
        <v>-2.78</v>
      </c>
      <c r="BI3486">
        <v>2.4900000000000002</v>
      </c>
      <c r="BJ3486">
        <v>20210824</v>
      </c>
      <c r="BK3486">
        <v>20161228</v>
      </c>
      <c r="BL3486">
        <v>9.68</v>
      </c>
      <c r="BM3486" t="s">
        <v>120</v>
      </c>
      <c r="BN3486" t="s">
        <v>120</v>
      </c>
      <c r="BO3486">
        <v>106.49</v>
      </c>
      <c r="BP3486">
        <v>36.68</v>
      </c>
      <c r="BQ3486">
        <v>87.71</v>
      </c>
      <c r="BR3486">
        <v>0.04</v>
      </c>
      <c r="BS3486">
        <v>17.600000000000001</v>
      </c>
      <c r="BT3486">
        <v>84.74</v>
      </c>
      <c r="BU3486">
        <v>16.66</v>
      </c>
      <c r="BV3486">
        <v>1.96</v>
      </c>
      <c r="BW3486">
        <v>17.72</v>
      </c>
      <c r="BX3486">
        <v>33.89</v>
      </c>
      <c r="BY3486">
        <v>6.5</v>
      </c>
      <c r="BZ3486">
        <v>12.58</v>
      </c>
      <c r="CA3486">
        <v>0</v>
      </c>
      <c r="CB3486">
        <v>44.52</v>
      </c>
      <c r="CC3486">
        <v>24.88</v>
      </c>
      <c r="CD3486">
        <v>18.22</v>
      </c>
      <c r="CE3486">
        <v>5.59</v>
      </c>
      <c r="CF3486">
        <v>0.31</v>
      </c>
      <c r="CG3486">
        <v>5.47</v>
      </c>
      <c r="CH3486">
        <v>4.6900000000000004</v>
      </c>
      <c r="CI3486">
        <v>4.6900000000000004</v>
      </c>
      <c r="CJ3486">
        <v>0.52</v>
      </c>
      <c r="CK3486">
        <v>4.46</v>
      </c>
      <c r="CL3486">
        <v>31.95</v>
      </c>
      <c r="CM3486">
        <v>-1.1200000000000001</v>
      </c>
      <c r="CN3486">
        <v>-13.01</v>
      </c>
      <c r="CO3486">
        <v>39364</v>
      </c>
      <c r="CP3486">
        <v>10507</v>
      </c>
      <c r="CQ3486" t="s">
        <v>14751</v>
      </c>
      <c r="CR3486">
        <v>15.04</v>
      </c>
      <c r="CS3486">
        <v>11.34</v>
      </c>
      <c r="CT3486">
        <v>4.05</v>
      </c>
      <c r="CU3486">
        <v>-316.08999999999997</v>
      </c>
      <c r="CV3486">
        <v>14.26</v>
      </c>
      <c r="CW3486">
        <v>0.88</v>
      </c>
      <c r="CX3486" t="s">
        <v>780</v>
      </c>
      <c r="CY3486">
        <v>9.06</v>
      </c>
      <c r="CZ3486">
        <v>0</v>
      </c>
      <c r="DA3486">
        <v>4.5999999999999996</v>
      </c>
      <c r="DB3486">
        <v>3.3</v>
      </c>
      <c r="DC3486">
        <v>-0.12</v>
      </c>
      <c r="DD3486">
        <v>82.36</v>
      </c>
      <c r="DE3486" t="s">
        <v>14011</v>
      </c>
      <c r="DF3486">
        <v>26.76</v>
      </c>
      <c r="DG3486">
        <v>22.46</v>
      </c>
      <c r="DH3486">
        <v>18.86</v>
      </c>
      <c r="DI3486">
        <v>1.08</v>
      </c>
      <c r="DJ3486">
        <v>3485</v>
      </c>
      <c r="DK3486">
        <v>603218</v>
      </c>
      <c r="DL3486" t="s">
        <v>120</v>
      </c>
      <c r="DM3486" t="s">
        <v>120</v>
      </c>
      <c r="DN3486" t="s">
        <v>120</v>
      </c>
    </row>
    <row r="3487" spans="1:118">
      <c r="A3487" t="str">
        <f>"603220"</f>
        <v>603220</v>
      </c>
      <c r="B3487" t="s">
        <v>14752</v>
      </c>
      <c r="C3487">
        <v>1.1000000000000001</v>
      </c>
      <c r="D3487">
        <v>0.2</v>
      </c>
      <c r="E3487">
        <v>0.28000000000000003</v>
      </c>
      <c r="F3487">
        <v>1264</v>
      </c>
      <c r="G3487" t="s">
        <v>8519</v>
      </c>
      <c r="H3487">
        <v>8088.59</v>
      </c>
      <c r="I3487">
        <v>18.52</v>
      </c>
      <c r="J3487" t="s">
        <v>120</v>
      </c>
      <c r="K3487" t="s">
        <v>8519</v>
      </c>
      <c r="L3487">
        <v>2.97</v>
      </c>
      <c r="M3487">
        <v>14.7</v>
      </c>
      <c r="N3487">
        <v>0.81</v>
      </c>
      <c r="O3487">
        <v>2.2000000000000002</v>
      </c>
      <c r="P3487">
        <v>14.86</v>
      </c>
      <c r="Q3487">
        <v>-0.76</v>
      </c>
      <c r="R3487">
        <v>14.43</v>
      </c>
      <c r="S3487">
        <v>14.58</v>
      </c>
      <c r="T3487">
        <v>55123</v>
      </c>
      <c r="U3487">
        <v>14.71</v>
      </c>
      <c r="V3487">
        <v>14.54</v>
      </c>
      <c r="W3487">
        <v>40.450000000000003</v>
      </c>
      <c r="X3487" t="s">
        <v>462</v>
      </c>
      <c r="Y3487" t="s">
        <v>763</v>
      </c>
      <c r="Z3487">
        <v>2.96</v>
      </c>
      <c r="AA3487">
        <v>14.67</v>
      </c>
      <c r="AB3487">
        <v>29422</v>
      </c>
      <c r="AC3487">
        <v>25701</v>
      </c>
      <c r="AD3487">
        <v>1.1399999999999999</v>
      </c>
      <c r="AE3487">
        <v>58</v>
      </c>
      <c r="AF3487">
        <v>183</v>
      </c>
      <c r="AG3487" t="s">
        <v>120</v>
      </c>
      <c r="AH3487">
        <v>0.01</v>
      </c>
      <c r="AI3487" t="s">
        <v>120</v>
      </c>
      <c r="AJ3487">
        <v>1.86</v>
      </c>
      <c r="AK3487" t="s">
        <v>14753</v>
      </c>
      <c r="AL3487">
        <v>2.44</v>
      </c>
      <c r="AM3487">
        <v>2110</v>
      </c>
      <c r="AN3487">
        <v>26</v>
      </c>
      <c r="AO3487">
        <v>1.4E-3</v>
      </c>
      <c r="AP3487">
        <v>2</v>
      </c>
      <c r="AQ3487">
        <v>0.9</v>
      </c>
      <c r="AR3487">
        <v>-1.08</v>
      </c>
      <c r="AS3487">
        <v>-5.34</v>
      </c>
      <c r="AT3487">
        <v>18.93</v>
      </c>
      <c r="AU3487">
        <v>2.08</v>
      </c>
      <c r="AV3487">
        <v>5</v>
      </c>
      <c r="AW3487">
        <v>2.97</v>
      </c>
      <c r="AX3487">
        <v>54.96</v>
      </c>
      <c r="AY3487">
        <v>43.38</v>
      </c>
      <c r="AZ3487">
        <v>86.26</v>
      </c>
      <c r="BA3487">
        <v>0.3</v>
      </c>
      <c r="BB3487" t="s">
        <v>143</v>
      </c>
      <c r="BF3487">
        <v>0.92</v>
      </c>
      <c r="BG3487">
        <v>0.82</v>
      </c>
      <c r="BH3487">
        <v>-1.08</v>
      </c>
      <c r="BI3487">
        <v>1.87</v>
      </c>
      <c r="BJ3487">
        <v>20210817</v>
      </c>
      <c r="BK3487">
        <v>20181115</v>
      </c>
      <c r="BL3487">
        <v>3.38</v>
      </c>
      <c r="BM3487" t="s">
        <v>120</v>
      </c>
      <c r="BN3487" t="s">
        <v>120</v>
      </c>
      <c r="BO3487">
        <v>35.49</v>
      </c>
      <c r="BP3487">
        <v>14.7</v>
      </c>
      <c r="BQ3487">
        <v>16.21</v>
      </c>
      <c r="BR3487">
        <v>0.96</v>
      </c>
      <c r="BS3487">
        <v>51.64</v>
      </c>
      <c r="BT3487">
        <v>28.74</v>
      </c>
      <c r="BU3487">
        <v>1.8</v>
      </c>
      <c r="BV3487">
        <v>0.21</v>
      </c>
      <c r="BW3487">
        <v>17.489999999999998</v>
      </c>
      <c r="BX3487">
        <v>3.67</v>
      </c>
      <c r="BY3487">
        <v>3.5</v>
      </c>
      <c r="BZ3487">
        <v>19.079999999999998</v>
      </c>
      <c r="CA3487">
        <v>0.01</v>
      </c>
      <c r="CB3487">
        <v>7.37</v>
      </c>
      <c r="CC3487">
        <v>11.28</v>
      </c>
      <c r="CD3487">
        <v>9.32</v>
      </c>
      <c r="CE3487">
        <v>0.76</v>
      </c>
      <c r="CF3487">
        <v>0.01</v>
      </c>
      <c r="CG3487">
        <v>0.76</v>
      </c>
      <c r="CH3487">
        <v>0.7</v>
      </c>
      <c r="CI3487">
        <v>0.61</v>
      </c>
      <c r="CJ3487">
        <v>0.16</v>
      </c>
      <c r="CK3487">
        <v>0.56999999999999995</v>
      </c>
      <c r="CL3487">
        <v>5.43</v>
      </c>
      <c r="CM3487">
        <v>-2.91</v>
      </c>
      <c r="CN3487">
        <v>-4.5999999999999996</v>
      </c>
      <c r="CO3487">
        <v>27725</v>
      </c>
      <c r="CP3487">
        <v>6696</v>
      </c>
      <c r="CQ3487" t="s">
        <v>12138</v>
      </c>
      <c r="CR3487">
        <v>1105.1500000000001</v>
      </c>
      <c r="CS3487">
        <v>89.53</v>
      </c>
      <c r="CT3487">
        <v>3.06</v>
      </c>
      <c r="CU3487">
        <v>-17.07</v>
      </c>
      <c r="CV3487">
        <v>4.4000000000000004</v>
      </c>
      <c r="CW3487">
        <v>0.48</v>
      </c>
      <c r="CX3487" t="s">
        <v>242</v>
      </c>
      <c r="CY3487">
        <v>4.8</v>
      </c>
      <c r="CZ3487">
        <v>0</v>
      </c>
      <c r="DA3487">
        <v>2.1800000000000002</v>
      </c>
      <c r="DB3487">
        <v>1.61</v>
      </c>
      <c r="DC3487">
        <v>-0.86</v>
      </c>
      <c r="DD3487">
        <v>45.66</v>
      </c>
      <c r="DE3487" t="s">
        <v>6448</v>
      </c>
      <c r="DF3487">
        <v>17.37</v>
      </c>
      <c r="DG3487">
        <v>6.75</v>
      </c>
      <c r="DH3487">
        <v>5.44</v>
      </c>
      <c r="DI3487">
        <v>0.4</v>
      </c>
      <c r="DJ3487">
        <v>3760</v>
      </c>
      <c r="DK3487">
        <v>603220</v>
      </c>
      <c r="DL3487" t="s">
        <v>120</v>
      </c>
      <c r="DM3487" t="s">
        <v>120</v>
      </c>
      <c r="DN3487" t="s">
        <v>120</v>
      </c>
    </row>
    <row r="3488" spans="1:118">
      <c r="A3488" t="str">
        <f>"603221"</f>
        <v>603221</v>
      </c>
      <c r="B3488" t="s">
        <v>14754</v>
      </c>
      <c r="C3488">
        <v>-0.84</v>
      </c>
      <c r="D3488">
        <v>0</v>
      </c>
      <c r="E3488">
        <v>0.32</v>
      </c>
      <c r="F3488">
        <v>72</v>
      </c>
      <c r="G3488" t="s">
        <v>14755</v>
      </c>
      <c r="H3488">
        <v>821.91</v>
      </c>
      <c r="I3488">
        <v>4.18</v>
      </c>
      <c r="J3488" t="s">
        <v>120</v>
      </c>
      <c r="K3488" t="s">
        <v>14755</v>
      </c>
      <c r="L3488">
        <v>1.43</v>
      </c>
      <c r="M3488">
        <v>9.4</v>
      </c>
      <c r="N3488">
        <v>0.93</v>
      </c>
      <c r="O3488">
        <v>0.63</v>
      </c>
      <c r="P3488">
        <v>9.5399999999999991</v>
      </c>
      <c r="Q3488">
        <v>-0.95</v>
      </c>
      <c r="R3488">
        <v>9.39</v>
      </c>
      <c r="S3488">
        <v>9.51</v>
      </c>
      <c r="T3488">
        <v>8689</v>
      </c>
      <c r="U3488">
        <v>9.41</v>
      </c>
      <c r="V3488">
        <v>9.48</v>
      </c>
      <c r="W3488">
        <v>144.56</v>
      </c>
      <c r="X3488" t="s">
        <v>2409</v>
      </c>
      <c r="Y3488" t="s">
        <v>319</v>
      </c>
      <c r="Z3488">
        <v>1.58</v>
      </c>
      <c r="AA3488">
        <v>9.4600000000000009</v>
      </c>
      <c r="AB3488">
        <v>6069</v>
      </c>
      <c r="AC3488">
        <v>2620</v>
      </c>
      <c r="AD3488">
        <v>2.3199999999999998</v>
      </c>
      <c r="AE3488">
        <v>12</v>
      </c>
      <c r="AF3488">
        <v>20</v>
      </c>
      <c r="AG3488" t="s">
        <v>120</v>
      </c>
      <c r="AH3488">
        <v>0.01</v>
      </c>
      <c r="AI3488" t="s">
        <v>120</v>
      </c>
      <c r="AJ3488">
        <v>0.61</v>
      </c>
      <c r="AK3488" t="s">
        <v>13499</v>
      </c>
      <c r="AL3488">
        <v>0.5</v>
      </c>
      <c r="AM3488">
        <v>443</v>
      </c>
      <c r="AN3488">
        <v>20</v>
      </c>
      <c r="AO3488">
        <v>3.2000000000000002E-3</v>
      </c>
      <c r="AP3488">
        <v>-1</v>
      </c>
      <c r="AQ3488">
        <v>0.21</v>
      </c>
      <c r="AR3488">
        <v>-1.88</v>
      </c>
      <c r="AS3488">
        <v>0</v>
      </c>
      <c r="AT3488">
        <v>-10.39</v>
      </c>
      <c r="AU3488">
        <v>-27.25</v>
      </c>
      <c r="AV3488">
        <v>0</v>
      </c>
      <c r="AW3488">
        <v>1.43</v>
      </c>
      <c r="AX3488">
        <v>25.3</v>
      </c>
      <c r="AY3488">
        <v>52.91</v>
      </c>
      <c r="AZ3488">
        <v>28.69</v>
      </c>
      <c r="BA3488">
        <v>0.63</v>
      </c>
      <c r="BB3488" t="s">
        <v>143</v>
      </c>
      <c r="BF3488">
        <v>-0.22</v>
      </c>
      <c r="BG3488">
        <v>-1.1599999999999999</v>
      </c>
      <c r="BH3488">
        <v>-1.47</v>
      </c>
      <c r="BI3488">
        <v>0.11</v>
      </c>
      <c r="BJ3488">
        <v>20210828</v>
      </c>
      <c r="BK3488">
        <v>20200323</v>
      </c>
      <c r="BL3488">
        <v>2.4</v>
      </c>
      <c r="BM3488" t="s">
        <v>120</v>
      </c>
      <c r="BN3488" t="s">
        <v>120</v>
      </c>
      <c r="BO3488">
        <v>16.93</v>
      </c>
      <c r="BP3488">
        <v>9.4</v>
      </c>
      <c r="BQ3488">
        <v>14.36</v>
      </c>
      <c r="BR3488" t="s">
        <v>120</v>
      </c>
      <c r="BS3488">
        <v>15.17</v>
      </c>
      <c r="BT3488">
        <v>8.66</v>
      </c>
      <c r="BU3488">
        <v>3.75</v>
      </c>
      <c r="BV3488">
        <v>0.97</v>
      </c>
      <c r="BW3488">
        <v>2.29</v>
      </c>
      <c r="BX3488">
        <v>3.88</v>
      </c>
      <c r="BY3488">
        <v>2.5099999999999998</v>
      </c>
      <c r="BZ3488">
        <v>0.97</v>
      </c>
      <c r="CA3488" t="s">
        <v>120</v>
      </c>
      <c r="CB3488">
        <v>6.97</v>
      </c>
      <c r="CC3488">
        <v>4.9000000000000004</v>
      </c>
      <c r="CD3488">
        <v>4.5</v>
      </c>
      <c r="CE3488">
        <v>0.06</v>
      </c>
      <c r="CF3488">
        <v>7.0000000000000007E-2</v>
      </c>
      <c r="CG3488">
        <v>0.06</v>
      </c>
      <c r="CH3488">
        <v>0.08</v>
      </c>
      <c r="CI3488">
        <v>0.08</v>
      </c>
      <c r="CJ3488">
        <v>-0.08</v>
      </c>
      <c r="CK3488">
        <v>0</v>
      </c>
      <c r="CL3488">
        <v>4.4400000000000004</v>
      </c>
      <c r="CM3488">
        <v>0.31</v>
      </c>
      <c r="CN3488">
        <v>0.12</v>
      </c>
      <c r="CO3488">
        <v>16096</v>
      </c>
      <c r="CP3488">
        <v>3772</v>
      </c>
      <c r="CQ3488" t="s">
        <v>5918</v>
      </c>
      <c r="CR3488">
        <v>-82.31</v>
      </c>
      <c r="CS3488">
        <v>-7.16</v>
      </c>
      <c r="CT3488">
        <v>1.57</v>
      </c>
      <c r="CU3488">
        <v>73.680000000000007</v>
      </c>
      <c r="CV3488">
        <v>4.5999999999999996</v>
      </c>
      <c r="CW3488">
        <v>1.05</v>
      </c>
      <c r="CX3488" t="s">
        <v>2074</v>
      </c>
      <c r="CY3488">
        <v>5.98</v>
      </c>
      <c r="CZ3488">
        <v>0</v>
      </c>
      <c r="DA3488">
        <v>2.9</v>
      </c>
      <c r="DB3488">
        <v>1.85</v>
      </c>
      <c r="DC3488">
        <v>0.13</v>
      </c>
      <c r="DD3488">
        <v>84.83</v>
      </c>
      <c r="DE3488" t="s">
        <v>6799</v>
      </c>
      <c r="DF3488">
        <v>8.15</v>
      </c>
      <c r="DG3488">
        <v>1.27</v>
      </c>
      <c r="DH3488">
        <v>1.59</v>
      </c>
      <c r="DI3488">
        <v>0.14000000000000001</v>
      </c>
      <c r="DJ3488">
        <v>1432</v>
      </c>
      <c r="DK3488">
        <v>603221</v>
      </c>
      <c r="DL3488" t="s">
        <v>120</v>
      </c>
      <c r="DM3488" t="s">
        <v>120</v>
      </c>
      <c r="DN3488" t="s">
        <v>120</v>
      </c>
    </row>
    <row r="3489" spans="1:118">
      <c r="A3489" t="str">
        <f>"603222"</f>
        <v>603222</v>
      </c>
      <c r="B3489" t="s">
        <v>14756</v>
      </c>
      <c r="C3489">
        <v>2.2799999999999998</v>
      </c>
      <c r="D3489">
        <v>7.0000000000000007E-2</v>
      </c>
      <c r="E3489">
        <v>1.34</v>
      </c>
      <c r="F3489">
        <v>3250</v>
      </c>
      <c r="G3489" t="s">
        <v>7210</v>
      </c>
      <c r="H3489">
        <v>21356.81</v>
      </c>
      <c r="I3489">
        <v>225.74</v>
      </c>
      <c r="J3489" t="s">
        <v>120</v>
      </c>
      <c r="K3489" t="s">
        <v>1554</v>
      </c>
      <c r="L3489">
        <v>4.4400000000000004</v>
      </c>
      <c r="M3489">
        <v>15.26</v>
      </c>
      <c r="N3489">
        <v>1.01</v>
      </c>
      <c r="O3489">
        <v>2.2799999999999998</v>
      </c>
      <c r="P3489">
        <v>15.26</v>
      </c>
      <c r="Q3489">
        <v>-1.34</v>
      </c>
      <c r="R3489">
        <v>14.72</v>
      </c>
      <c r="S3489">
        <v>15.12</v>
      </c>
      <c r="T3489">
        <v>142141</v>
      </c>
      <c r="U3489">
        <v>15.26</v>
      </c>
      <c r="V3489">
        <v>14.92</v>
      </c>
      <c r="W3489">
        <v>24.73</v>
      </c>
      <c r="X3489" t="s">
        <v>569</v>
      </c>
      <c r="Y3489" t="s">
        <v>585</v>
      </c>
      <c r="Z3489">
        <v>3.62</v>
      </c>
      <c r="AA3489">
        <v>15.03</v>
      </c>
      <c r="AB3489">
        <v>63816</v>
      </c>
      <c r="AC3489">
        <v>78325</v>
      </c>
      <c r="AD3489">
        <v>0.81</v>
      </c>
      <c r="AE3489">
        <v>5462</v>
      </c>
      <c r="AF3489">
        <v>239</v>
      </c>
      <c r="AG3489" t="s">
        <v>120</v>
      </c>
      <c r="AH3489">
        <v>0.12</v>
      </c>
      <c r="AI3489" t="s">
        <v>120</v>
      </c>
      <c r="AJ3489">
        <v>3.2</v>
      </c>
      <c r="AK3489" t="s">
        <v>14757</v>
      </c>
      <c r="AL3489">
        <v>3.62</v>
      </c>
      <c r="AM3489">
        <v>3330</v>
      </c>
      <c r="AN3489">
        <v>43</v>
      </c>
      <c r="AO3489">
        <v>1.2999999999999999E-3</v>
      </c>
      <c r="AP3489">
        <v>1</v>
      </c>
      <c r="AQ3489">
        <v>-2.74</v>
      </c>
      <c r="AR3489">
        <v>3.66</v>
      </c>
      <c r="AS3489">
        <v>6.12</v>
      </c>
      <c r="AT3489">
        <v>-5.22</v>
      </c>
      <c r="AU3489">
        <v>12.87</v>
      </c>
      <c r="AV3489">
        <v>16</v>
      </c>
      <c r="AW3489">
        <v>11.34</v>
      </c>
      <c r="AX3489">
        <v>36.770000000000003</v>
      </c>
      <c r="AY3489">
        <v>47.1</v>
      </c>
      <c r="AZ3489">
        <v>794.7</v>
      </c>
      <c r="BA3489">
        <v>0.87</v>
      </c>
      <c r="BB3489" t="s">
        <v>143</v>
      </c>
      <c r="BF3489">
        <v>0.7</v>
      </c>
      <c r="BG3489">
        <v>0.93</v>
      </c>
      <c r="BH3489">
        <v>0</v>
      </c>
      <c r="BI3489">
        <v>3.67</v>
      </c>
      <c r="BJ3489">
        <v>20210816</v>
      </c>
      <c r="BK3489">
        <v>20150217</v>
      </c>
      <c r="BL3489">
        <v>3.41</v>
      </c>
      <c r="BM3489" t="s">
        <v>120</v>
      </c>
      <c r="BN3489" t="s">
        <v>120</v>
      </c>
      <c r="BO3489">
        <v>24.99</v>
      </c>
      <c r="BP3489">
        <v>15.25</v>
      </c>
      <c r="BQ3489">
        <v>12.01</v>
      </c>
      <c r="BR3489">
        <v>1.44</v>
      </c>
      <c r="BS3489">
        <v>46.2</v>
      </c>
      <c r="BT3489">
        <v>9.73</v>
      </c>
      <c r="BU3489">
        <v>7.43</v>
      </c>
      <c r="BV3489">
        <v>2.21</v>
      </c>
      <c r="BW3489">
        <v>9.01</v>
      </c>
      <c r="BX3489">
        <v>2.65</v>
      </c>
      <c r="BY3489">
        <v>1.3</v>
      </c>
      <c r="BZ3489">
        <v>2.0499999999999998</v>
      </c>
      <c r="CA3489" t="s">
        <v>120</v>
      </c>
      <c r="CB3489">
        <v>4.13</v>
      </c>
      <c r="CC3489">
        <v>5.34</v>
      </c>
      <c r="CD3489">
        <v>2.83</v>
      </c>
      <c r="CE3489">
        <v>1.26</v>
      </c>
      <c r="CF3489">
        <v>0.38</v>
      </c>
      <c r="CG3489">
        <v>1.23</v>
      </c>
      <c r="CH3489">
        <v>1.04</v>
      </c>
      <c r="CI3489">
        <v>1.05</v>
      </c>
      <c r="CJ3489">
        <v>0.34</v>
      </c>
      <c r="CK3489">
        <v>0.69</v>
      </c>
      <c r="CL3489">
        <v>4.13</v>
      </c>
      <c r="CM3489">
        <v>0.82</v>
      </c>
      <c r="CN3489">
        <v>0.22</v>
      </c>
      <c r="CO3489">
        <v>52406</v>
      </c>
      <c r="CP3489">
        <v>2391</v>
      </c>
      <c r="CQ3489" t="s">
        <v>925</v>
      </c>
      <c r="CR3489">
        <v>2823.67</v>
      </c>
      <c r="CS3489">
        <v>55.64</v>
      </c>
      <c r="CT3489">
        <v>4.33</v>
      </c>
      <c r="CU3489">
        <v>63.17</v>
      </c>
      <c r="CV3489">
        <v>9.73</v>
      </c>
      <c r="CW3489">
        <v>0</v>
      </c>
      <c r="CX3489" t="s">
        <v>966</v>
      </c>
      <c r="CY3489">
        <v>3.52</v>
      </c>
      <c r="CZ3489">
        <v>0</v>
      </c>
      <c r="DA3489">
        <v>1.21</v>
      </c>
      <c r="DB3489">
        <v>1.21</v>
      </c>
      <c r="DC3489">
        <v>0.24</v>
      </c>
      <c r="DD3489">
        <v>48.05</v>
      </c>
      <c r="DE3489" t="s">
        <v>598</v>
      </c>
      <c r="DF3489">
        <v>46.97</v>
      </c>
      <c r="DG3489">
        <v>23.54</v>
      </c>
      <c r="DH3489">
        <v>19.68</v>
      </c>
      <c r="DI3489">
        <v>0.15</v>
      </c>
      <c r="DJ3489">
        <v>2312</v>
      </c>
      <c r="DK3489">
        <v>603222</v>
      </c>
      <c r="DL3489" t="s">
        <v>120</v>
      </c>
      <c r="DM3489" t="s">
        <v>120</v>
      </c>
      <c r="DN3489" t="s">
        <v>120</v>
      </c>
    </row>
    <row r="3490" spans="1:118">
      <c r="A3490" t="str">
        <f>"603223"</f>
        <v>603223</v>
      </c>
      <c r="B3490" t="s">
        <v>14758</v>
      </c>
      <c r="C3490">
        <v>-1.46</v>
      </c>
      <c r="D3490">
        <v>0</v>
      </c>
      <c r="E3490">
        <v>-0.13</v>
      </c>
      <c r="F3490">
        <v>67</v>
      </c>
      <c r="G3490" t="s">
        <v>5317</v>
      </c>
      <c r="H3490">
        <v>6571.86</v>
      </c>
      <c r="I3490">
        <v>9</v>
      </c>
      <c r="J3490" t="s">
        <v>120</v>
      </c>
      <c r="K3490" t="s">
        <v>14724</v>
      </c>
      <c r="L3490">
        <v>0.62</v>
      </c>
      <c r="M3490">
        <v>37</v>
      </c>
      <c r="N3490">
        <v>0.87</v>
      </c>
      <c r="O3490">
        <v>2.72</v>
      </c>
      <c r="P3490">
        <v>38.57</v>
      </c>
      <c r="Q3490">
        <v>-1.46</v>
      </c>
      <c r="R3490">
        <v>37</v>
      </c>
      <c r="S3490">
        <v>37.5</v>
      </c>
      <c r="T3490">
        <v>17394</v>
      </c>
      <c r="U3490">
        <v>37.020000000000003</v>
      </c>
      <c r="V3490">
        <v>37.549999999999997</v>
      </c>
      <c r="W3490">
        <v>65.44</v>
      </c>
      <c r="X3490" t="s">
        <v>684</v>
      </c>
      <c r="Y3490" t="s">
        <v>638</v>
      </c>
      <c r="Z3490">
        <v>4.18</v>
      </c>
      <c r="AA3490">
        <v>37.78</v>
      </c>
      <c r="AB3490">
        <v>9617</v>
      </c>
      <c r="AC3490">
        <v>7777</v>
      </c>
      <c r="AD3490">
        <v>1.24</v>
      </c>
      <c r="AE3490">
        <v>8</v>
      </c>
      <c r="AF3490">
        <v>6</v>
      </c>
      <c r="AG3490" t="s">
        <v>120</v>
      </c>
      <c r="AH3490">
        <v>0</v>
      </c>
      <c r="AI3490" t="s">
        <v>120</v>
      </c>
      <c r="AJ3490">
        <v>2.82</v>
      </c>
      <c r="AK3490" t="s">
        <v>14724</v>
      </c>
      <c r="AL3490">
        <v>-0.12</v>
      </c>
      <c r="AM3490">
        <v>1365</v>
      </c>
      <c r="AN3490">
        <v>13</v>
      </c>
      <c r="AO3490">
        <v>5.0000000000000001E-4</v>
      </c>
      <c r="AP3490">
        <v>-3</v>
      </c>
      <c r="AQ3490">
        <v>-1.31</v>
      </c>
      <c r="AR3490">
        <v>-3.59</v>
      </c>
      <c r="AS3490">
        <v>4.8099999999999996</v>
      </c>
      <c r="AT3490">
        <v>23.54</v>
      </c>
      <c r="AU3490">
        <v>98.17</v>
      </c>
      <c r="AV3490">
        <v>0</v>
      </c>
      <c r="AW3490">
        <v>1.29</v>
      </c>
      <c r="AX3490">
        <v>47.73</v>
      </c>
      <c r="AY3490">
        <v>59.85</v>
      </c>
      <c r="AZ3490">
        <v>86.4</v>
      </c>
      <c r="BA3490">
        <v>0.94</v>
      </c>
      <c r="BB3490" t="s">
        <v>143</v>
      </c>
      <c r="BF3490">
        <v>0.62</v>
      </c>
      <c r="BG3490">
        <v>-1.33</v>
      </c>
      <c r="BH3490">
        <v>-4.07</v>
      </c>
      <c r="BI3490">
        <v>0</v>
      </c>
      <c r="BJ3490">
        <v>20210806</v>
      </c>
      <c r="BK3490">
        <v>20150630</v>
      </c>
      <c r="BL3490">
        <v>2.82</v>
      </c>
      <c r="BM3490" t="s">
        <v>120</v>
      </c>
      <c r="BN3490" t="s">
        <v>120</v>
      </c>
      <c r="BO3490">
        <v>16.809999999999999</v>
      </c>
      <c r="BP3490">
        <v>37</v>
      </c>
      <c r="BQ3490">
        <v>11.9</v>
      </c>
      <c r="BR3490">
        <v>0.99</v>
      </c>
      <c r="BS3490">
        <v>23.34</v>
      </c>
      <c r="BT3490">
        <v>8.43</v>
      </c>
      <c r="BU3490">
        <v>5.26</v>
      </c>
      <c r="BV3490">
        <v>1.24</v>
      </c>
      <c r="BW3490">
        <v>3.81</v>
      </c>
      <c r="BX3490">
        <v>3.45</v>
      </c>
      <c r="BY3490">
        <v>0.03</v>
      </c>
      <c r="BZ3490">
        <v>1.1599999999999999</v>
      </c>
      <c r="CA3490">
        <v>0.04</v>
      </c>
      <c r="CB3490">
        <v>4.3899999999999997</v>
      </c>
      <c r="CC3490">
        <v>32.950000000000003</v>
      </c>
      <c r="CD3490">
        <v>31.35</v>
      </c>
      <c r="CE3490">
        <v>1.23</v>
      </c>
      <c r="CF3490">
        <v>0.05</v>
      </c>
      <c r="CG3490">
        <v>1.22</v>
      </c>
      <c r="CH3490">
        <v>0.94</v>
      </c>
      <c r="CI3490">
        <v>0.8</v>
      </c>
      <c r="CJ3490">
        <v>-0.55000000000000004</v>
      </c>
      <c r="CK3490">
        <v>0.56000000000000005</v>
      </c>
      <c r="CL3490">
        <v>4.3600000000000003</v>
      </c>
      <c r="CM3490">
        <v>0.95</v>
      </c>
      <c r="CN3490">
        <v>0.15</v>
      </c>
      <c r="CO3490">
        <v>7604</v>
      </c>
      <c r="CP3490">
        <v>17715</v>
      </c>
      <c r="CQ3490" t="s">
        <v>14759</v>
      </c>
      <c r="CR3490">
        <v>214.26</v>
      </c>
      <c r="CS3490">
        <v>36.020000000000003</v>
      </c>
      <c r="CT3490">
        <v>8.77</v>
      </c>
      <c r="CU3490">
        <v>109.59</v>
      </c>
      <c r="CV3490">
        <v>3.17</v>
      </c>
      <c r="CW3490">
        <v>0.4</v>
      </c>
      <c r="CX3490" t="s">
        <v>1054</v>
      </c>
      <c r="CY3490">
        <v>4.22</v>
      </c>
      <c r="CZ3490">
        <v>0</v>
      </c>
      <c r="DA3490">
        <v>1.56</v>
      </c>
      <c r="DB3490">
        <v>1.54</v>
      </c>
      <c r="DC3490">
        <v>0.34</v>
      </c>
      <c r="DD3490">
        <v>70.790000000000006</v>
      </c>
      <c r="DE3490" t="s">
        <v>8840</v>
      </c>
      <c r="DF3490">
        <v>4.8499999999999996</v>
      </c>
      <c r="DG3490">
        <v>3.73</v>
      </c>
      <c r="DH3490">
        <v>2.42</v>
      </c>
      <c r="DI3490" t="s">
        <v>120</v>
      </c>
      <c r="DJ3490">
        <v>1318</v>
      </c>
      <c r="DK3490">
        <v>603223</v>
      </c>
      <c r="DL3490" t="s">
        <v>120</v>
      </c>
      <c r="DM3490" t="s">
        <v>120</v>
      </c>
      <c r="DN3490" t="s">
        <v>120</v>
      </c>
    </row>
    <row r="3491" spans="1:118">
      <c r="A3491" t="str">
        <f>"603225"</f>
        <v>603225</v>
      </c>
      <c r="B3491" t="s">
        <v>14760</v>
      </c>
      <c r="C3491">
        <v>-0.09</v>
      </c>
      <c r="D3491">
        <v>-0.45</v>
      </c>
      <c r="E3491">
        <v>0.46</v>
      </c>
      <c r="F3491">
        <v>2400</v>
      </c>
      <c r="G3491" t="s">
        <v>14761</v>
      </c>
      <c r="H3491">
        <v>39005.040000000001</v>
      </c>
      <c r="I3491">
        <v>214.74</v>
      </c>
      <c r="J3491" t="s">
        <v>120</v>
      </c>
      <c r="K3491" t="s">
        <v>14762</v>
      </c>
      <c r="L3491">
        <v>1.1599999999999999</v>
      </c>
      <c r="M3491">
        <v>21.77</v>
      </c>
      <c r="N3491">
        <v>0.93</v>
      </c>
      <c r="O3491">
        <v>6.01</v>
      </c>
      <c r="P3491">
        <v>23.1</v>
      </c>
      <c r="Q3491">
        <v>-0.41</v>
      </c>
      <c r="R3491">
        <v>21.7</v>
      </c>
      <c r="S3491">
        <v>21.89</v>
      </c>
      <c r="T3491">
        <v>175163</v>
      </c>
      <c r="U3491">
        <v>21.8</v>
      </c>
      <c r="V3491">
        <v>21.79</v>
      </c>
      <c r="W3491">
        <v>12.58</v>
      </c>
      <c r="X3491" t="s">
        <v>623</v>
      </c>
      <c r="Y3491" t="s">
        <v>585</v>
      </c>
      <c r="Z3491">
        <v>6.42</v>
      </c>
      <c r="AA3491">
        <v>22.27</v>
      </c>
      <c r="AB3491">
        <v>95554</v>
      </c>
      <c r="AC3491">
        <v>79609</v>
      </c>
      <c r="AD3491">
        <v>1.2</v>
      </c>
      <c r="AE3491">
        <v>659</v>
      </c>
      <c r="AF3491">
        <v>200</v>
      </c>
      <c r="AG3491" t="s">
        <v>120</v>
      </c>
      <c r="AH3491">
        <v>0.02</v>
      </c>
      <c r="AI3491" t="s">
        <v>120</v>
      </c>
      <c r="AJ3491">
        <v>15.05</v>
      </c>
      <c r="AK3491" t="s">
        <v>14763</v>
      </c>
      <c r="AL3491">
        <v>1.25</v>
      </c>
      <c r="AM3491">
        <v>4164</v>
      </c>
      <c r="AN3491">
        <v>42</v>
      </c>
      <c r="AO3491">
        <v>2.9999999999999997E-4</v>
      </c>
      <c r="AP3491">
        <v>-1</v>
      </c>
      <c r="AQ3491">
        <v>0.55000000000000004</v>
      </c>
      <c r="AR3491">
        <v>1.72</v>
      </c>
      <c r="AS3491">
        <v>21.69</v>
      </c>
      <c r="AT3491">
        <v>15.18</v>
      </c>
      <c r="AU3491">
        <v>58.09</v>
      </c>
      <c r="AV3491">
        <v>3</v>
      </c>
      <c r="AW3491">
        <v>3.23</v>
      </c>
      <c r="AX3491">
        <v>35.51</v>
      </c>
      <c r="AY3491">
        <v>19.3</v>
      </c>
      <c r="AZ3491">
        <v>55.27</v>
      </c>
      <c r="BA3491">
        <v>1.3</v>
      </c>
      <c r="BB3491" t="s">
        <v>125</v>
      </c>
      <c r="BF3491">
        <v>2.19</v>
      </c>
      <c r="BG3491">
        <v>-0.55000000000000004</v>
      </c>
      <c r="BH3491">
        <v>-5.76</v>
      </c>
      <c r="BI3491">
        <v>0.32</v>
      </c>
      <c r="BJ3491">
        <v>20210906</v>
      </c>
      <c r="BK3491">
        <v>20170418</v>
      </c>
      <c r="BL3491">
        <v>15.3</v>
      </c>
      <c r="BM3491" t="s">
        <v>120</v>
      </c>
      <c r="BN3491" t="s">
        <v>120</v>
      </c>
      <c r="BO3491">
        <v>326.76</v>
      </c>
      <c r="BP3491">
        <v>21.77</v>
      </c>
      <c r="BQ3491">
        <v>135.47</v>
      </c>
      <c r="BR3491" t="s">
        <v>120</v>
      </c>
      <c r="BS3491">
        <v>58.54</v>
      </c>
      <c r="BT3491">
        <v>83.27</v>
      </c>
      <c r="BU3491">
        <v>178.53</v>
      </c>
      <c r="BV3491">
        <v>13.85</v>
      </c>
      <c r="BW3491">
        <v>99.45</v>
      </c>
      <c r="BX3491">
        <v>31.23</v>
      </c>
      <c r="BY3491">
        <v>28.02</v>
      </c>
      <c r="BZ3491">
        <v>3.15</v>
      </c>
      <c r="CA3491" t="s">
        <v>120</v>
      </c>
      <c r="CB3491">
        <v>35.159999999999997</v>
      </c>
      <c r="CC3491">
        <v>236.81</v>
      </c>
      <c r="CD3491">
        <v>211.39</v>
      </c>
      <c r="CE3491">
        <v>16.04</v>
      </c>
      <c r="CF3491">
        <v>-0.25</v>
      </c>
      <c r="CG3491">
        <v>16.149999999999999</v>
      </c>
      <c r="CH3491">
        <v>13.24</v>
      </c>
      <c r="CI3491">
        <v>13.24</v>
      </c>
      <c r="CJ3491">
        <v>-0.02</v>
      </c>
      <c r="CK3491">
        <v>12.97</v>
      </c>
      <c r="CL3491">
        <v>78.150000000000006</v>
      </c>
      <c r="CM3491">
        <v>10.06</v>
      </c>
      <c r="CN3491">
        <v>-1.99</v>
      </c>
      <c r="CO3491">
        <v>16863</v>
      </c>
      <c r="CP3491">
        <v>32206</v>
      </c>
      <c r="CQ3491" t="s">
        <v>14764</v>
      </c>
      <c r="CR3491">
        <v>561.20000000000005</v>
      </c>
      <c r="CS3491">
        <v>74.569999999999993</v>
      </c>
      <c r="CT3491">
        <v>2.37</v>
      </c>
      <c r="CU3491">
        <v>33.08</v>
      </c>
      <c r="CV3491">
        <v>1.41</v>
      </c>
      <c r="CW3491">
        <v>0.54</v>
      </c>
      <c r="CX3491" t="s">
        <v>136</v>
      </c>
      <c r="CY3491">
        <v>9.19</v>
      </c>
      <c r="CZ3491">
        <v>9.19</v>
      </c>
      <c r="DA3491">
        <v>2.2999999999999998</v>
      </c>
      <c r="DB3491">
        <v>5.1100000000000003</v>
      </c>
      <c r="DC3491">
        <v>0.66</v>
      </c>
      <c r="DD3491">
        <v>41.46</v>
      </c>
      <c r="DE3491" t="s">
        <v>4867</v>
      </c>
      <c r="DF3491">
        <v>10.74</v>
      </c>
      <c r="DG3491">
        <v>6.77</v>
      </c>
      <c r="DH3491">
        <v>5.59</v>
      </c>
      <c r="DI3491">
        <v>4.1900000000000004</v>
      </c>
      <c r="DJ3491">
        <v>10471</v>
      </c>
      <c r="DK3491">
        <v>603225</v>
      </c>
      <c r="DL3491" t="s">
        <v>120</v>
      </c>
      <c r="DM3491" t="s">
        <v>120</v>
      </c>
      <c r="DN3491" t="s">
        <v>120</v>
      </c>
    </row>
    <row r="3492" spans="1:118">
      <c r="A3492" t="str">
        <f>"603226"</f>
        <v>603226</v>
      </c>
      <c r="B3492" t="s">
        <v>14765</v>
      </c>
      <c r="C3492">
        <v>-1.41</v>
      </c>
      <c r="D3492">
        <v>-0.13</v>
      </c>
      <c r="E3492">
        <v>0</v>
      </c>
      <c r="F3492">
        <v>46</v>
      </c>
      <c r="G3492" t="s">
        <v>7250</v>
      </c>
      <c r="H3492">
        <v>816.78</v>
      </c>
      <c r="I3492">
        <v>7.0000000000000007E-2</v>
      </c>
      <c r="J3492" t="s">
        <v>120</v>
      </c>
      <c r="K3492" t="s">
        <v>3369</v>
      </c>
      <c r="L3492">
        <v>0.42</v>
      </c>
      <c r="M3492">
        <v>6.98</v>
      </c>
      <c r="N3492">
        <v>0.73</v>
      </c>
      <c r="O3492">
        <v>0.71</v>
      </c>
      <c r="P3492">
        <v>7.13</v>
      </c>
      <c r="Q3492">
        <v>-1.41</v>
      </c>
      <c r="R3492">
        <v>6.98</v>
      </c>
      <c r="S3492">
        <v>7.08</v>
      </c>
      <c r="T3492">
        <v>11567</v>
      </c>
      <c r="U3492">
        <v>6.99</v>
      </c>
      <c r="V3492">
        <v>7.08</v>
      </c>
      <c r="W3492">
        <v>42.75</v>
      </c>
      <c r="X3492" t="s">
        <v>2409</v>
      </c>
      <c r="Y3492" t="s">
        <v>1510</v>
      </c>
      <c r="Z3492">
        <v>2.12</v>
      </c>
      <c r="AA3492">
        <v>7.06</v>
      </c>
      <c r="AB3492">
        <v>7716</v>
      </c>
      <c r="AC3492">
        <v>3851</v>
      </c>
      <c r="AD3492">
        <v>2</v>
      </c>
      <c r="AE3492">
        <v>375</v>
      </c>
      <c r="AF3492">
        <v>110</v>
      </c>
      <c r="AG3492" t="s">
        <v>120</v>
      </c>
      <c r="AH3492">
        <v>0</v>
      </c>
      <c r="AI3492" t="s">
        <v>120</v>
      </c>
      <c r="AJ3492">
        <v>2.73</v>
      </c>
      <c r="AK3492" t="s">
        <v>3369</v>
      </c>
      <c r="AL3492">
        <v>-7.0000000000000007E-2</v>
      </c>
      <c r="AM3492">
        <v>621</v>
      </c>
      <c r="AN3492">
        <v>19</v>
      </c>
      <c r="AO3492">
        <v>6.9999999999999999E-4</v>
      </c>
      <c r="AP3492">
        <v>-1</v>
      </c>
      <c r="AQ3492">
        <v>0.85</v>
      </c>
      <c r="AR3492">
        <v>-1.84</v>
      </c>
      <c r="AS3492">
        <v>-2.38</v>
      </c>
      <c r="AT3492">
        <v>5.44</v>
      </c>
      <c r="AU3492">
        <v>-4.6900000000000004</v>
      </c>
      <c r="AV3492">
        <v>0</v>
      </c>
      <c r="AW3492">
        <v>1.54</v>
      </c>
      <c r="AX3492">
        <v>27.41</v>
      </c>
      <c r="AY3492">
        <v>25.22</v>
      </c>
      <c r="AZ3492">
        <v>31.8</v>
      </c>
      <c r="BA3492">
        <v>0.24</v>
      </c>
      <c r="BB3492" t="s">
        <v>143</v>
      </c>
      <c r="BF3492">
        <v>-0.26</v>
      </c>
      <c r="BG3492">
        <v>-1.41</v>
      </c>
      <c r="BH3492">
        <v>-2.1</v>
      </c>
      <c r="BI3492">
        <v>0</v>
      </c>
      <c r="BJ3492">
        <v>20210827</v>
      </c>
      <c r="BK3492">
        <v>20170615</v>
      </c>
      <c r="BL3492">
        <v>2.73</v>
      </c>
      <c r="BM3492" t="s">
        <v>120</v>
      </c>
      <c r="BN3492" t="s">
        <v>120</v>
      </c>
      <c r="BO3492">
        <v>13.39</v>
      </c>
      <c r="BP3492">
        <v>6.98</v>
      </c>
      <c r="BQ3492">
        <v>10.01</v>
      </c>
      <c r="BR3492">
        <v>0.64</v>
      </c>
      <c r="BS3492">
        <v>20.41</v>
      </c>
      <c r="BT3492">
        <v>9.06</v>
      </c>
      <c r="BU3492">
        <v>2.2799999999999998</v>
      </c>
      <c r="BV3492">
        <v>1.07</v>
      </c>
      <c r="BW3492">
        <v>2.59</v>
      </c>
      <c r="BX3492">
        <v>1.75</v>
      </c>
      <c r="BY3492">
        <v>1.61</v>
      </c>
      <c r="BZ3492">
        <v>0.09</v>
      </c>
      <c r="CA3492" t="s">
        <v>120</v>
      </c>
      <c r="CB3492">
        <v>1.98</v>
      </c>
      <c r="CC3492">
        <v>2.97</v>
      </c>
      <c r="CD3492">
        <v>2.29</v>
      </c>
      <c r="CE3492">
        <v>0.25</v>
      </c>
      <c r="CF3492">
        <v>0.01</v>
      </c>
      <c r="CG3492">
        <v>0.25</v>
      </c>
      <c r="CH3492">
        <v>0.21</v>
      </c>
      <c r="CI3492">
        <v>0.22</v>
      </c>
      <c r="CJ3492">
        <v>-0.1</v>
      </c>
      <c r="CK3492">
        <v>0.21</v>
      </c>
      <c r="CL3492">
        <v>4.58</v>
      </c>
      <c r="CM3492">
        <v>0.02</v>
      </c>
      <c r="CN3492">
        <v>-4.82</v>
      </c>
      <c r="CO3492">
        <v>10882</v>
      </c>
      <c r="CP3492">
        <v>6888</v>
      </c>
      <c r="CQ3492" t="s">
        <v>3351</v>
      </c>
      <c r="CR3492">
        <v>246.98</v>
      </c>
      <c r="CS3492">
        <v>54.75</v>
      </c>
      <c r="CT3492">
        <v>1.91</v>
      </c>
      <c r="CU3492">
        <v>1243.79</v>
      </c>
      <c r="CV3492">
        <v>6.43</v>
      </c>
      <c r="CW3492">
        <v>1.0900000000000001</v>
      </c>
      <c r="CX3492" t="s">
        <v>535</v>
      </c>
      <c r="CY3492">
        <v>3.66</v>
      </c>
      <c r="CZ3492">
        <v>0</v>
      </c>
      <c r="DA3492">
        <v>0.72</v>
      </c>
      <c r="DB3492">
        <v>1.68</v>
      </c>
      <c r="DC3492">
        <v>0.01</v>
      </c>
      <c r="DD3492">
        <v>74.790000000000006</v>
      </c>
      <c r="DE3492" t="s">
        <v>11374</v>
      </c>
      <c r="DF3492">
        <v>22.84</v>
      </c>
      <c r="DG3492">
        <v>8.5299999999999994</v>
      </c>
      <c r="DH3492">
        <v>7.53</v>
      </c>
      <c r="DI3492">
        <v>0.1</v>
      </c>
      <c r="DJ3492">
        <v>529</v>
      </c>
      <c r="DK3492">
        <v>603226</v>
      </c>
      <c r="DL3492" t="s">
        <v>120</v>
      </c>
      <c r="DM3492" t="s">
        <v>120</v>
      </c>
      <c r="DN3492" t="s">
        <v>120</v>
      </c>
    </row>
    <row r="3493" spans="1:118">
      <c r="A3493" t="str">
        <f>"603227"</f>
        <v>603227</v>
      </c>
      <c r="B3493" t="s">
        <v>14766</v>
      </c>
      <c r="C3493">
        <v>0</v>
      </c>
      <c r="D3493">
        <v>0.15</v>
      </c>
      <c r="E3493">
        <v>-0.44</v>
      </c>
      <c r="F3493">
        <v>2615</v>
      </c>
      <c r="G3493" t="s">
        <v>14767</v>
      </c>
      <c r="H3493">
        <v>14222.26</v>
      </c>
      <c r="I3493">
        <v>42.7</v>
      </c>
      <c r="J3493" t="s">
        <v>120</v>
      </c>
      <c r="K3493" t="s">
        <v>14768</v>
      </c>
      <c r="L3493">
        <v>3.1</v>
      </c>
      <c r="M3493">
        <v>6.83</v>
      </c>
      <c r="N3493">
        <v>0.84</v>
      </c>
      <c r="O3493">
        <v>4.25</v>
      </c>
      <c r="P3493">
        <v>7.12</v>
      </c>
      <c r="Q3493">
        <v>-0.44</v>
      </c>
      <c r="R3493">
        <v>6.8</v>
      </c>
      <c r="S3493">
        <v>6.8</v>
      </c>
      <c r="T3493">
        <v>204046</v>
      </c>
      <c r="U3493">
        <v>6.84</v>
      </c>
      <c r="V3493">
        <v>6.83</v>
      </c>
      <c r="W3493">
        <v>45.91</v>
      </c>
      <c r="X3493" t="s">
        <v>868</v>
      </c>
      <c r="Y3493" t="s">
        <v>609</v>
      </c>
      <c r="Z3493">
        <v>4.6900000000000004</v>
      </c>
      <c r="AA3493">
        <v>6.97</v>
      </c>
      <c r="AB3493">
        <v>103364</v>
      </c>
      <c r="AC3493">
        <v>100682</v>
      </c>
      <c r="AD3493">
        <v>1.03</v>
      </c>
      <c r="AE3493">
        <v>28</v>
      </c>
      <c r="AF3493">
        <v>98</v>
      </c>
      <c r="AG3493" t="s">
        <v>120</v>
      </c>
      <c r="AH3493">
        <v>0.02</v>
      </c>
      <c r="AI3493" t="s">
        <v>120</v>
      </c>
      <c r="AJ3493">
        <v>6.59</v>
      </c>
      <c r="AK3493" t="s">
        <v>8765</v>
      </c>
      <c r="AL3493">
        <v>1.34</v>
      </c>
      <c r="AM3493">
        <v>2916</v>
      </c>
      <c r="AN3493">
        <v>70</v>
      </c>
      <c r="AO3493">
        <v>1.1000000000000001E-3</v>
      </c>
      <c r="AP3493">
        <v>0</v>
      </c>
      <c r="AQ3493">
        <v>1.94</v>
      </c>
      <c r="AR3493">
        <v>-2.15</v>
      </c>
      <c r="AS3493">
        <v>11.6</v>
      </c>
      <c r="AT3493">
        <v>30.1</v>
      </c>
      <c r="AU3493">
        <v>45.94</v>
      </c>
      <c r="AV3493">
        <v>6</v>
      </c>
      <c r="AW3493">
        <v>4.92</v>
      </c>
      <c r="AX3493">
        <v>57.27</v>
      </c>
      <c r="AY3493">
        <v>33.79</v>
      </c>
      <c r="AZ3493">
        <v>46.77</v>
      </c>
      <c r="BA3493">
        <v>0.5</v>
      </c>
      <c r="BB3493" t="s">
        <v>143</v>
      </c>
      <c r="BF3493">
        <v>2.0499999999999998</v>
      </c>
      <c r="BG3493">
        <v>0.44</v>
      </c>
      <c r="BH3493">
        <v>-4.07</v>
      </c>
      <c r="BI3493">
        <v>0.44</v>
      </c>
      <c r="BJ3493">
        <v>20210913</v>
      </c>
      <c r="BK3493">
        <v>20150515</v>
      </c>
      <c r="BL3493">
        <v>7.25</v>
      </c>
      <c r="BM3493" t="s">
        <v>120</v>
      </c>
      <c r="BN3493" t="s">
        <v>120</v>
      </c>
      <c r="BO3493">
        <v>41.88</v>
      </c>
      <c r="BP3493">
        <v>6.83</v>
      </c>
      <c r="BQ3493">
        <v>15.16</v>
      </c>
      <c r="BR3493">
        <v>3.97</v>
      </c>
      <c r="BS3493">
        <v>54.31</v>
      </c>
      <c r="BT3493">
        <v>21.59</v>
      </c>
      <c r="BU3493">
        <v>10.98</v>
      </c>
      <c r="BV3493">
        <v>3.33</v>
      </c>
      <c r="BW3493">
        <v>17.57</v>
      </c>
      <c r="BX3493">
        <v>4.1399999999999997</v>
      </c>
      <c r="BY3493">
        <v>1.57</v>
      </c>
      <c r="BZ3493">
        <v>5.18</v>
      </c>
      <c r="CA3493" t="s">
        <v>120</v>
      </c>
      <c r="CB3493">
        <v>4.12</v>
      </c>
      <c r="CC3493">
        <v>11.17</v>
      </c>
      <c r="CD3493">
        <v>9.2200000000000006</v>
      </c>
      <c r="CE3493">
        <v>1.02</v>
      </c>
      <c r="CF3493">
        <v>0.03</v>
      </c>
      <c r="CG3493">
        <v>0.99</v>
      </c>
      <c r="CH3493">
        <v>0.8</v>
      </c>
      <c r="CI3493">
        <v>0.54</v>
      </c>
      <c r="CJ3493">
        <v>0</v>
      </c>
      <c r="CK3493">
        <v>0.28999999999999998</v>
      </c>
      <c r="CL3493">
        <v>3.04</v>
      </c>
      <c r="CM3493">
        <v>1.0900000000000001</v>
      </c>
      <c r="CN3493">
        <v>1.32</v>
      </c>
      <c r="CO3493">
        <v>40669</v>
      </c>
      <c r="CP3493">
        <v>10204</v>
      </c>
      <c r="CQ3493" t="s">
        <v>4926</v>
      </c>
      <c r="CR3493">
        <v>307.17</v>
      </c>
      <c r="CS3493">
        <v>64.98</v>
      </c>
      <c r="CT3493">
        <v>3.26</v>
      </c>
      <c r="CU3493">
        <v>45.48</v>
      </c>
      <c r="CV3493">
        <v>4.43</v>
      </c>
      <c r="CW3493">
        <v>0.73</v>
      </c>
      <c r="CX3493" t="s">
        <v>535</v>
      </c>
      <c r="CY3493">
        <v>2.09</v>
      </c>
      <c r="CZ3493">
        <v>0</v>
      </c>
      <c r="DA3493">
        <v>0.56999999999999995</v>
      </c>
      <c r="DB3493">
        <v>0.42</v>
      </c>
      <c r="DC3493">
        <v>0.15</v>
      </c>
      <c r="DD3493">
        <v>36.200000000000003</v>
      </c>
      <c r="DE3493" t="s">
        <v>3080</v>
      </c>
      <c r="DF3493">
        <v>17.420000000000002</v>
      </c>
      <c r="DG3493">
        <v>9.1199999999999992</v>
      </c>
      <c r="DH3493">
        <v>4.83</v>
      </c>
      <c r="DI3493">
        <v>0.05</v>
      </c>
      <c r="DJ3493">
        <v>2788</v>
      </c>
      <c r="DK3493">
        <v>603227</v>
      </c>
      <c r="DL3493" t="s">
        <v>120</v>
      </c>
      <c r="DM3493" t="s">
        <v>120</v>
      </c>
      <c r="DN3493" t="s">
        <v>120</v>
      </c>
    </row>
    <row r="3494" spans="1:118">
      <c r="A3494" t="str">
        <f>"603228"</f>
        <v>603228</v>
      </c>
      <c r="B3494" t="s">
        <v>14769</v>
      </c>
      <c r="C3494">
        <v>-0.91</v>
      </c>
      <c r="D3494">
        <v>0.68</v>
      </c>
      <c r="E3494">
        <v>0</v>
      </c>
      <c r="F3494">
        <v>1107</v>
      </c>
      <c r="G3494" t="s">
        <v>12004</v>
      </c>
      <c r="H3494">
        <v>8191.19</v>
      </c>
      <c r="I3494">
        <v>17.41</v>
      </c>
      <c r="J3494" t="s">
        <v>120</v>
      </c>
      <c r="K3494" t="s">
        <v>14770</v>
      </c>
      <c r="L3494">
        <v>0.39</v>
      </c>
      <c r="M3494">
        <v>25</v>
      </c>
      <c r="N3494">
        <v>0.79</v>
      </c>
      <c r="O3494">
        <v>1.1499999999999999</v>
      </c>
      <c r="P3494">
        <v>25.52</v>
      </c>
      <c r="Q3494">
        <v>-2.34</v>
      </c>
      <c r="R3494">
        <v>24.64</v>
      </c>
      <c r="S3494">
        <v>25.23</v>
      </c>
      <c r="T3494">
        <v>32814</v>
      </c>
      <c r="U3494">
        <v>25</v>
      </c>
      <c r="V3494">
        <v>25.23</v>
      </c>
      <c r="W3494">
        <v>23.03</v>
      </c>
      <c r="X3494" t="s">
        <v>229</v>
      </c>
      <c r="Y3494" t="s">
        <v>123</v>
      </c>
      <c r="Z3494">
        <v>3.49</v>
      </c>
      <c r="AA3494">
        <v>24.96</v>
      </c>
      <c r="AB3494">
        <v>21175</v>
      </c>
      <c r="AC3494">
        <v>11639</v>
      </c>
      <c r="AD3494">
        <v>1.82</v>
      </c>
      <c r="AE3494">
        <v>2</v>
      </c>
      <c r="AF3494">
        <v>228</v>
      </c>
      <c r="AG3494" t="s">
        <v>120</v>
      </c>
      <c r="AH3494">
        <v>0</v>
      </c>
      <c r="AI3494" t="s">
        <v>120</v>
      </c>
      <c r="AJ3494">
        <v>8.41</v>
      </c>
      <c r="AK3494" t="s">
        <v>14771</v>
      </c>
      <c r="AL3494">
        <v>0.43</v>
      </c>
      <c r="AM3494">
        <v>2192</v>
      </c>
      <c r="AN3494">
        <v>15</v>
      </c>
      <c r="AO3494">
        <v>2.0000000000000001E-4</v>
      </c>
      <c r="AP3494">
        <v>-1</v>
      </c>
      <c r="AQ3494">
        <v>0.16</v>
      </c>
      <c r="AR3494">
        <v>-1.42</v>
      </c>
      <c r="AS3494">
        <v>-4.1399999999999997</v>
      </c>
      <c r="AT3494">
        <v>-6.22</v>
      </c>
      <c r="AU3494">
        <v>-16.25</v>
      </c>
      <c r="AV3494">
        <v>2</v>
      </c>
      <c r="AW3494">
        <v>1.3</v>
      </c>
      <c r="AX3494">
        <v>29.71</v>
      </c>
      <c r="AY3494">
        <v>23.74</v>
      </c>
      <c r="AZ3494">
        <v>23.34</v>
      </c>
      <c r="BA3494">
        <v>0.41</v>
      </c>
      <c r="BB3494" t="s">
        <v>143</v>
      </c>
      <c r="BF3494">
        <v>-1.06</v>
      </c>
      <c r="BG3494">
        <v>-0.91</v>
      </c>
      <c r="BH3494">
        <v>-2.04</v>
      </c>
      <c r="BI3494">
        <v>1.46</v>
      </c>
      <c r="BJ3494">
        <v>20210817</v>
      </c>
      <c r="BK3494">
        <v>20170106</v>
      </c>
      <c r="BL3494">
        <v>8.52</v>
      </c>
      <c r="BM3494" t="s">
        <v>120</v>
      </c>
      <c r="BN3494" t="s">
        <v>120</v>
      </c>
      <c r="BO3494">
        <v>133.21</v>
      </c>
      <c r="BP3494">
        <v>24.99</v>
      </c>
      <c r="BQ3494">
        <v>68.16</v>
      </c>
      <c r="BR3494">
        <v>2.0299999999999998</v>
      </c>
      <c r="BS3494">
        <v>47.31</v>
      </c>
      <c r="BT3494">
        <v>75.03</v>
      </c>
      <c r="BU3494">
        <v>35.97</v>
      </c>
      <c r="BV3494">
        <v>2.38</v>
      </c>
      <c r="BW3494">
        <v>45.2</v>
      </c>
      <c r="BX3494">
        <v>12.45</v>
      </c>
      <c r="BY3494">
        <v>14.81</v>
      </c>
      <c r="BZ3494">
        <v>26.84</v>
      </c>
      <c r="CA3494" t="s">
        <v>120</v>
      </c>
      <c r="CB3494">
        <v>19.62</v>
      </c>
      <c r="CC3494">
        <v>43.37</v>
      </c>
      <c r="CD3494">
        <v>32.6</v>
      </c>
      <c r="CE3494">
        <v>5.19</v>
      </c>
      <c r="CF3494">
        <v>0.19</v>
      </c>
      <c r="CG3494">
        <v>5.16</v>
      </c>
      <c r="CH3494">
        <v>4.58</v>
      </c>
      <c r="CI3494">
        <v>4.62</v>
      </c>
      <c r="CJ3494">
        <v>-0.23</v>
      </c>
      <c r="CK3494">
        <v>4.13</v>
      </c>
      <c r="CL3494">
        <v>36.43</v>
      </c>
      <c r="CM3494">
        <v>5.33</v>
      </c>
      <c r="CN3494">
        <v>-7.45</v>
      </c>
      <c r="CO3494">
        <v>28106</v>
      </c>
      <c r="CP3494">
        <v>9008</v>
      </c>
      <c r="CQ3494" t="s">
        <v>10286</v>
      </c>
      <c r="CR3494">
        <v>-3.23</v>
      </c>
      <c r="CS3494">
        <v>38.159999999999997</v>
      </c>
      <c r="CT3494">
        <v>3.28</v>
      </c>
      <c r="CU3494">
        <v>40</v>
      </c>
      <c r="CV3494">
        <v>4.91</v>
      </c>
      <c r="CW3494">
        <v>1.19</v>
      </c>
      <c r="CX3494" t="s">
        <v>1581</v>
      </c>
      <c r="CY3494">
        <v>7.63</v>
      </c>
      <c r="CZ3494">
        <v>7.63</v>
      </c>
      <c r="DA3494">
        <v>2.2999999999999998</v>
      </c>
      <c r="DB3494">
        <v>4.28</v>
      </c>
      <c r="DC3494">
        <v>0.62</v>
      </c>
      <c r="DD3494">
        <v>51.17</v>
      </c>
      <c r="DE3494" t="s">
        <v>3051</v>
      </c>
      <c r="DF3494">
        <v>24.82</v>
      </c>
      <c r="DG3494">
        <v>11.96</v>
      </c>
      <c r="DH3494">
        <v>10.66</v>
      </c>
      <c r="DI3494">
        <v>2.02</v>
      </c>
      <c r="DJ3494">
        <v>12117</v>
      </c>
      <c r="DK3494">
        <v>603228</v>
      </c>
      <c r="DL3494" t="s">
        <v>120</v>
      </c>
      <c r="DM3494" t="s">
        <v>120</v>
      </c>
      <c r="DN3494" t="s">
        <v>120</v>
      </c>
    </row>
    <row r="3495" spans="1:118">
      <c r="A3495" t="str">
        <f>"603229"</f>
        <v>603229</v>
      </c>
      <c r="B3495" t="s">
        <v>14772</v>
      </c>
      <c r="C3495">
        <v>0.08</v>
      </c>
      <c r="D3495">
        <v>-0.26</v>
      </c>
      <c r="E3495">
        <v>0.04</v>
      </c>
      <c r="F3495">
        <v>84</v>
      </c>
      <c r="G3495" t="s">
        <v>14773</v>
      </c>
      <c r="H3495">
        <v>2643.42</v>
      </c>
      <c r="I3495">
        <v>1.57</v>
      </c>
      <c r="J3495" t="s">
        <v>120</v>
      </c>
      <c r="K3495" t="s">
        <v>14774</v>
      </c>
      <c r="L3495">
        <v>0.35</v>
      </c>
      <c r="M3495">
        <v>26.11</v>
      </c>
      <c r="N3495">
        <v>0.89</v>
      </c>
      <c r="O3495">
        <v>2.2599999999999998</v>
      </c>
      <c r="P3495">
        <v>26.68</v>
      </c>
      <c r="Q3495">
        <v>-0.23</v>
      </c>
      <c r="R3495">
        <v>26.03</v>
      </c>
      <c r="S3495">
        <v>26.1</v>
      </c>
      <c r="T3495">
        <v>10017</v>
      </c>
      <c r="U3495">
        <v>26.11</v>
      </c>
      <c r="V3495">
        <v>26.09</v>
      </c>
      <c r="W3495">
        <v>45.32</v>
      </c>
      <c r="X3495" t="s">
        <v>569</v>
      </c>
      <c r="Y3495" t="s">
        <v>585</v>
      </c>
      <c r="Z3495">
        <v>2.4900000000000002</v>
      </c>
      <c r="AA3495">
        <v>26.39</v>
      </c>
      <c r="AB3495">
        <v>5397</v>
      </c>
      <c r="AC3495">
        <v>4620</v>
      </c>
      <c r="AD3495">
        <v>1.17</v>
      </c>
      <c r="AE3495">
        <v>194</v>
      </c>
      <c r="AF3495">
        <v>9</v>
      </c>
      <c r="AG3495" t="s">
        <v>120</v>
      </c>
      <c r="AH3495">
        <v>0</v>
      </c>
      <c r="AI3495" t="s">
        <v>120</v>
      </c>
      <c r="AJ3495">
        <v>2.84</v>
      </c>
      <c r="AK3495" t="s">
        <v>14775</v>
      </c>
      <c r="AL3495">
        <v>1.42</v>
      </c>
      <c r="AM3495">
        <v>878</v>
      </c>
      <c r="AN3495">
        <v>11</v>
      </c>
      <c r="AO3495">
        <v>4.0000000000000002E-4</v>
      </c>
      <c r="AP3495">
        <v>1</v>
      </c>
      <c r="AQ3495">
        <v>-1.92</v>
      </c>
      <c r="AR3495">
        <v>-3.34</v>
      </c>
      <c r="AS3495">
        <v>-7.48</v>
      </c>
      <c r="AT3495">
        <v>-6.29</v>
      </c>
      <c r="AU3495">
        <v>-14.31</v>
      </c>
      <c r="AV3495">
        <v>1</v>
      </c>
      <c r="AW3495">
        <v>0.9</v>
      </c>
      <c r="AX3495">
        <v>38.700000000000003</v>
      </c>
      <c r="AY3495">
        <v>64.05</v>
      </c>
      <c r="AZ3495">
        <v>86.24</v>
      </c>
      <c r="BA3495">
        <v>0.43</v>
      </c>
      <c r="BB3495" t="s">
        <v>1723</v>
      </c>
      <c r="BF3495">
        <v>1.1499999999999999</v>
      </c>
      <c r="BG3495">
        <v>0.04</v>
      </c>
      <c r="BH3495">
        <v>-2.14</v>
      </c>
      <c r="BI3495">
        <v>0.31</v>
      </c>
      <c r="BJ3495">
        <v>20210818</v>
      </c>
      <c r="BK3495">
        <v>20170509</v>
      </c>
      <c r="BL3495">
        <v>2.87</v>
      </c>
      <c r="BM3495" t="s">
        <v>120</v>
      </c>
      <c r="BN3495" t="s">
        <v>120</v>
      </c>
      <c r="BO3495">
        <v>15.57</v>
      </c>
      <c r="BP3495">
        <v>26.1</v>
      </c>
      <c r="BQ3495">
        <v>12.09</v>
      </c>
      <c r="BR3495" t="s">
        <v>120</v>
      </c>
      <c r="BS3495">
        <v>22.32</v>
      </c>
      <c r="BT3495">
        <v>10.08</v>
      </c>
      <c r="BU3495">
        <v>2.15</v>
      </c>
      <c r="BV3495">
        <v>0.57999999999999996</v>
      </c>
      <c r="BW3495">
        <v>3.37</v>
      </c>
      <c r="BX3495">
        <v>5.41</v>
      </c>
      <c r="BY3495">
        <v>2.0299999999999998</v>
      </c>
      <c r="BZ3495">
        <v>0.9</v>
      </c>
      <c r="CA3495" t="s">
        <v>120</v>
      </c>
      <c r="CB3495">
        <v>5.57</v>
      </c>
      <c r="CC3495">
        <v>2.86</v>
      </c>
      <c r="CD3495">
        <v>1.21</v>
      </c>
      <c r="CE3495">
        <v>0.92</v>
      </c>
      <c r="CF3495">
        <v>-0.04</v>
      </c>
      <c r="CG3495">
        <v>0.92</v>
      </c>
      <c r="CH3495">
        <v>0.83</v>
      </c>
      <c r="CI3495">
        <v>0.83</v>
      </c>
      <c r="CJ3495">
        <v>0.02</v>
      </c>
      <c r="CK3495">
        <v>0.81</v>
      </c>
      <c r="CL3495">
        <v>3.77</v>
      </c>
      <c r="CM3495">
        <v>1.59</v>
      </c>
      <c r="CN3495">
        <v>-1.93</v>
      </c>
      <c r="CO3495">
        <v>10129</v>
      </c>
      <c r="CP3495">
        <v>10967</v>
      </c>
      <c r="CQ3495" t="s">
        <v>14776</v>
      </c>
      <c r="CR3495">
        <v>57.2</v>
      </c>
      <c r="CS3495">
        <v>36.11</v>
      </c>
      <c r="CT3495">
        <v>6.2</v>
      </c>
      <c r="CU3495">
        <v>47.27</v>
      </c>
      <c r="CV3495">
        <v>26.24</v>
      </c>
      <c r="CW3495">
        <v>0.24</v>
      </c>
      <c r="CX3495" t="s">
        <v>4326</v>
      </c>
      <c r="CY3495">
        <v>4.21</v>
      </c>
      <c r="CZ3495">
        <v>0</v>
      </c>
      <c r="DA3495">
        <v>1.94</v>
      </c>
      <c r="DB3495">
        <v>1.31</v>
      </c>
      <c r="DC3495">
        <v>0.55000000000000004</v>
      </c>
      <c r="DD3495">
        <v>77.680000000000007</v>
      </c>
      <c r="DE3495" t="s">
        <v>14777</v>
      </c>
      <c r="DF3495">
        <v>57.74</v>
      </c>
      <c r="DG3495">
        <v>32.35</v>
      </c>
      <c r="DH3495">
        <v>28.95</v>
      </c>
      <c r="DI3495">
        <v>0.33</v>
      </c>
      <c r="DJ3495">
        <v>757</v>
      </c>
      <c r="DK3495">
        <v>603229</v>
      </c>
      <c r="DL3495" t="s">
        <v>120</v>
      </c>
      <c r="DM3495" t="s">
        <v>120</v>
      </c>
      <c r="DN3495" t="s">
        <v>120</v>
      </c>
    </row>
    <row r="3496" spans="1:118">
      <c r="A3496" t="str">
        <f>"603232"</f>
        <v>603232</v>
      </c>
      <c r="B3496" t="s">
        <v>14778</v>
      </c>
      <c r="C3496">
        <v>-1.49</v>
      </c>
      <c r="D3496">
        <v>-0.06</v>
      </c>
      <c r="E3496">
        <v>-7.0000000000000007E-2</v>
      </c>
      <c r="F3496">
        <v>290</v>
      </c>
      <c r="G3496" t="s">
        <v>14779</v>
      </c>
      <c r="H3496">
        <v>4483.05</v>
      </c>
      <c r="I3496">
        <v>5.07</v>
      </c>
      <c r="J3496" t="s">
        <v>120</v>
      </c>
      <c r="K3496" t="s">
        <v>14780</v>
      </c>
      <c r="L3496">
        <v>1.38</v>
      </c>
      <c r="M3496">
        <v>13.88</v>
      </c>
      <c r="N3496">
        <v>1.04</v>
      </c>
      <c r="O3496">
        <v>0.85</v>
      </c>
      <c r="P3496">
        <v>14.21</v>
      </c>
      <c r="Q3496">
        <v>-1.63</v>
      </c>
      <c r="R3496">
        <v>13.86</v>
      </c>
      <c r="S3496">
        <v>14.08</v>
      </c>
      <c r="T3496">
        <v>31986</v>
      </c>
      <c r="U3496">
        <v>13.89</v>
      </c>
      <c r="V3496">
        <v>14.09</v>
      </c>
      <c r="W3496" t="s">
        <v>120</v>
      </c>
      <c r="X3496" t="s">
        <v>141</v>
      </c>
      <c r="Y3496" t="s">
        <v>1510</v>
      </c>
      <c r="Z3496">
        <v>2.48</v>
      </c>
      <c r="AA3496">
        <v>14.02</v>
      </c>
      <c r="AB3496">
        <v>20392</v>
      </c>
      <c r="AC3496">
        <v>11594</v>
      </c>
      <c r="AD3496">
        <v>1.76</v>
      </c>
      <c r="AE3496">
        <v>82</v>
      </c>
      <c r="AF3496">
        <v>1413</v>
      </c>
      <c r="AG3496" t="s">
        <v>120</v>
      </c>
      <c r="AH3496">
        <v>0</v>
      </c>
      <c r="AI3496" t="s">
        <v>120</v>
      </c>
      <c r="AJ3496">
        <v>2.3199999999999998</v>
      </c>
      <c r="AK3496" t="s">
        <v>14780</v>
      </c>
      <c r="AL3496">
        <v>-0.15</v>
      </c>
      <c r="AM3496">
        <v>1656</v>
      </c>
      <c r="AN3496">
        <v>19</v>
      </c>
      <c r="AO3496">
        <v>8.0000000000000004E-4</v>
      </c>
      <c r="AP3496">
        <v>-2</v>
      </c>
      <c r="AQ3496">
        <v>-1.1200000000000001</v>
      </c>
      <c r="AR3496">
        <v>-2.12</v>
      </c>
      <c r="AS3496">
        <v>-4.21</v>
      </c>
      <c r="AT3496">
        <v>-14.22</v>
      </c>
      <c r="AU3496">
        <v>-37.479999999999997</v>
      </c>
      <c r="AV3496">
        <v>3</v>
      </c>
      <c r="AW3496">
        <v>1.99</v>
      </c>
      <c r="AX3496">
        <v>69.38</v>
      </c>
      <c r="AY3496">
        <v>48.67</v>
      </c>
      <c r="AZ3496">
        <v>57.2</v>
      </c>
      <c r="BA3496">
        <v>0.79</v>
      </c>
      <c r="BB3496" t="s">
        <v>134</v>
      </c>
      <c r="BF3496">
        <v>-0.53</v>
      </c>
      <c r="BG3496">
        <v>-1.42</v>
      </c>
      <c r="BH3496">
        <v>-2.3199999999999998</v>
      </c>
      <c r="BI3496">
        <v>0.14000000000000001</v>
      </c>
      <c r="BJ3496">
        <v>20210825</v>
      </c>
      <c r="BK3496">
        <v>20170421</v>
      </c>
      <c r="BL3496">
        <v>2.3199999999999998</v>
      </c>
      <c r="BM3496" t="s">
        <v>120</v>
      </c>
      <c r="BN3496" t="s">
        <v>120</v>
      </c>
      <c r="BO3496">
        <v>16.48</v>
      </c>
      <c r="BP3496">
        <v>13.88</v>
      </c>
      <c r="BQ3496">
        <v>12.78</v>
      </c>
      <c r="BR3496">
        <v>0.01</v>
      </c>
      <c r="BS3496">
        <v>22.46</v>
      </c>
      <c r="BT3496">
        <v>14.65</v>
      </c>
      <c r="BU3496">
        <v>0.62</v>
      </c>
      <c r="BV3496">
        <v>0.66</v>
      </c>
      <c r="BW3496">
        <v>3.6</v>
      </c>
      <c r="BX3496">
        <v>1.34</v>
      </c>
      <c r="BY3496">
        <v>1.91</v>
      </c>
      <c r="BZ3496">
        <v>2.62</v>
      </c>
      <c r="CA3496" t="s">
        <v>120</v>
      </c>
      <c r="CB3496">
        <v>7.16</v>
      </c>
      <c r="CC3496">
        <v>1.77</v>
      </c>
      <c r="CD3496">
        <v>0.71</v>
      </c>
      <c r="CE3496">
        <v>-0.24</v>
      </c>
      <c r="CF3496">
        <v>0.08</v>
      </c>
      <c r="CG3496">
        <v>-0.24</v>
      </c>
      <c r="CH3496">
        <v>-0.25</v>
      </c>
      <c r="CI3496">
        <v>-0.25</v>
      </c>
      <c r="CJ3496">
        <v>-0.21</v>
      </c>
      <c r="CK3496">
        <v>-0.37</v>
      </c>
      <c r="CL3496">
        <v>3.04</v>
      </c>
      <c r="CM3496">
        <v>-1.17</v>
      </c>
      <c r="CN3496">
        <v>-1.74</v>
      </c>
      <c r="CO3496">
        <v>20817</v>
      </c>
      <c r="CP3496">
        <v>7723</v>
      </c>
      <c r="CQ3496" t="s">
        <v>14781</v>
      </c>
      <c r="CR3496">
        <v>28.65</v>
      </c>
      <c r="CS3496">
        <v>58.52</v>
      </c>
      <c r="CT3496">
        <v>2.52</v>
      </c>
      <c r="CU3496">
        <v>-27.45</v>
      </c>
      <c r="CV3496">
        <v>18.170000000000002</v>
      </c>
      <c r="CW3496">
        <v>0.71</v>
      </c>
      <c r="CX3496" t="s">
        <v>3106</v>
      </c>
      <c r="CY3496">
        <v>5.51</v>
      </c>
      <c r="CZ3496">
        <v>0</v>
      </c>
      <c r="DA3496">
        <v>3.09</v>
      </c>
      <c r="DB3496">
        <v>1.31</v>
      </c>
      <c r="DC3496">
        <v>-0.51</v>
      </c>
      <c r="DD3496">
        <v>77.5</v>
      </c>
      <c r="DE3496" t="s">
        <v>14782</v>
      </c>
      <c r="DF3496">
        <v>60.17</v>
      </c>
      <c r="DG3496">
        <v>-13.36</v>
      </c>
      <c r="DH3496">
        <v>-14.07</v>
      </c>
      <c r="DI3496">
        <v>0.5</v>
      </c>
      <c r="DJ3496">
        <v>853</v>
      </c>
      <c r="DK3496">
        <v>603232</v>
      </c>
      <c r="DL3496" t="s">
        <v>120</v>
      </c>
      <c r="DM3496" t="s">
        <v>120</v>
      </c>
      <c r="DN3496" t="s">
        <v>120</v>
      </c>
    </row>
    <row r="3497" spans="1:118">
      <c r="A3497" t="str">
        <f>"603233"</f>
        <v>603233</v>
      </c>
      <c r="B3497" t="s">
        <v>14783</v>
      </c>
      <c r="C3497">
        <v>0.88</v>
      </c>
      <c r="D3497">
        <v>0.09</v>
      </c>
      <c r="E3497">
        <v>-0.38</v>
      </c>
      <c r="F3497">
        <v>450</v>
      </c>
      <c r="G3497" t="s">
        <v>14784</v>
      </c>
      <c r="H3497">
        <v>16011.16</v>
      </c>
      <c r="I3497">
        <v>18.89</v>
      </c>
      <c r="J3497" t="s">
        <v>120</v>
      </c>
      <c r="K3497" t="s">
        <v>14785</v>
      </c>
      <c r="L3497">
        <v>0.48</v>
      </c>
      <c r="M3497">
        <v>42.5</v>
      </c>
      <c r="N3497">
        <v>1.29</v>
      </c>
      <c r="O3497">
        <v>1.52</v>
      </c>
      <c r="P3497">
        <v>42.77</v>
      </c>
      <c r="Q3497">
        <v>-2.4</v>
      </c>
      <c r="R3497">
        <v>41.12</v>
      </c>
      <c r="S3497">
        <v>41.97</v>
      </c>
      <c r="T3497">
        <v>38001</v>
      </c>
      <c r="U3497">
        <v>42.51</v>
      </c>
      <c r="V3497">
        <v>42.13</v>
      </c>
      <c r="W3497">
        <v>26.01</v>
      </c>
      <c r="X3497" t="s">
        <v>274</v>
      </c>
      <c r="Y3497" t="s">
        <v>547</v>
      </c>
      <c r="Z3497">
        <v>3.92</v>
      </c>
      <c r="AA3497">
        <v>42.13</v>
      </c>
      <c r="AB3497">
        <v>20496</v>
      </c>
      <c r="AC3497">
        <v>17505</v>
      </c>
      <c r="AD3497">
        <v>1.17</v>
      </c>
      <c r="AE3497">
        <v>39</v>
      </c>
      <c r="AF3497">
        <v>12</v>
      </c>
      <c r="AG3497" t="s">
        <v>120</v>
      </c>
      <c r="AH3497">
        <v>0</v>
      </c>
      <c r="AI3497" t="s">
        <v>120</v>
      </c>
      <c r="AJ3497">
        <v>7.88</v>
      </c>
      <c r="AK3497" t="s">
        <v>14786</v>
      </c>
      <c r="AL3497">
        <v>2.2200000000000002</v>
      </c>
      <c r="AM3497">
        <v>3355</v>
      </c>
      <c r="AN3497">
        <v>11</v>
      </c>
      <c r="AO3497">
        <v>1E-4</v>
      </c>
      <c r="AP3497">
        <v>2</v>
      </c>
      <c r="AQ3497">
        <v>0.69</v>
      </c>
      <c r="AR3497">
        <v>0.23</v>
      </c>
      <c r="AS3497">
        <v>-13.93</v>
      </c>
      <c r="AT3497">
        <v>-16.899999999999999</v>
      </c>
      <c r="AU3497">
        <v>-34.24</v>
      </c>
      <c r="AV3497">
        <v>2</v>
      </c>
      <c r="AW3497">
        <v>1.5</v>
      </c>
      <c r="AX3497">
        <v>32.14</v>
      </c>
      <c r="AY3497">
        <v>29.91</v>
      </c>
      <c r="AZ3497">
        <v>31.35</v>
      </c>
      <c r="BA3497">
        <v>1</v>
      </c>
      <c r="BB3497" t="s">
        <v>143</v>
      </c>
      <c r="BF3497">
        <v>0.01</v>
      </c>
      <c r="BG3497">
        <v>1.26</v>
      </c>
      <c r="BH3497">
        <v>-0.63</v>
      </c>
      <c r="BI3497">
        <v>3.36</v>
      </c>
      <c r="BJ3497">
        <v>20210830</v>
      </c>
      <c r="BK3497">
        <v>20170731</v>
      </c>
      <c r="BL3497">
        <v>7.9</v>
      </c>
      <c r="BM3497" t="s">
        <v>120</v>
      </c>
      <c r="BN3497" t="s">
        <v>120</v>
      </c>
      <c r="BO3497">
        <v>155.81</v>
      </c>
      <c r="BP3497">
        <v>42.5</v>
      </c>
      <c r="BQ3497">
        <v>53.18</v>
      </c>
      <c r="BR3497">
        <v>2.9</v>
      </c>
      <c r="BS3497">
        <v>64.010000000000005</v>
      </c>
      <c r="BT3497">
        <v>74.099999999999994</v>
      </c>
      <c r="BU3497">
        <v>11.17</v>
      </c>
      <c r="BV3497">
        <v>5.75</v>
      </c>
      <c r="BW3497">
        <v>60.05</v>
      </c>
      <c r="BX3497">
        <v>27.02</v>
      </c>
      <c r="BY3497">
        <v>29.91</v>
      </c>
      <c r="BZ3497">
        <v>5.12</v>
      </c>
      <c r="CA3497" t="s">
        <v>120</v>
      </c>
      <c r="CB3497">
        <v>16.170000000000002</v>
      </c>
      <c r="CC3497">
        <v>80.55</v>
      </c>
      <c r="CD3497">
        <v>49.05</v>
      </c>
      <c r="CE3497">
        <v>8.58</v>
      </c>
      <c r="CF3497">
        <v>7.0000000000000007E-2</v>
      </c>
      <c r="CG3497">
        <v>8.5399999999999991</v>
      </c>
      <c r="CH3497">
        <v>6.56</v>
      </c>
      <c r="CI3497">
        <v>6.46</v>
      </c>
      <c r="CJ3497">
        <v>0.37</v>
      </c>
      <c r="CK3497">
        <v>5.9</v>
      </c>
      <c r="CL3497">
        <v>25.74</v>
      </c>
      <c r="CM3497">
        <v>7.37</v>
      </c>
      <c r="CN3497">
        <v>-9.32</v>
      </c>
      <c r="CO3497">
        <v>30550</v>
      </c>
      <c r="CP3497">
        <v>8314</v>
      </c>
      <c r="CQ3497" t="s">
        <v>14787</v>
      </c>
      <c r="CR3497">
        <v>8.56</v>
      </c>
      <c r="CS3497">
        <v>16.05</v>
      </c>
      <c r="CT3497">
        <v>6.55</v>
      </c>
      <c r="CU3497">
        <v>45.55</v>
      </c>
      <c r="CV3497">
        <v>4.17</v>
      </c>
      <c r="CW3497">
        <v>1.58</v>
      </c>
      <c r="CX3497" t="s">
        <v>8985</v>
      </c>
      <c r="CY3497">
        <v>6.49</v>
      </c>
      <c r="CZ3497">
        <v>6.49</v>
      </c>
      <c r="DA3497">
        <v>2.0499999999999998</v>
      </c>
      <c r="DB3497">
        <v>3.26</v>
      </c>
      <c r="DC3497">
        <v>0.93</v>
      </c>
      <c r="DD3497">
        <v>34.130000000000003</v>
      </c>
      <c r="DE3497" t="s">
        <v>12354</v>
      </c>
      <c r="DF3497">
        <v>39.1</v>
      </c>
      <c r="DG3497">
        <v>10.65</v>
      </c>
      <c r="DH3497">
        <v>8.02</v>
      </c>
      <c r="DI3497">
        <v>7.0000000000000007E-2</v>
      </c>
      <c r="DJ3497">
        <v>32337</v>
      </c>
      <c r="DK3497">
        <v>603233</v>
      </c>
      <c r="DL3497" t="s">
        <v>120</v>
      </c>
      <c r="DM3497" t="s">
        <v>120</v>
      </c>
      <c r="DN3497" t="s">
        <v>120</v>
      </c>
    </row>
    <row r="3498" spans="1:118">
      <c r="A3498" t="str">
        <f>"603236"</f>
        <v>603236</v>
      </c>
      <c r="B3498" t="s">
        <v>14788</v>
      </c>
      <c r="C3498">
        <v>-2.2000000000000002</v>
      </c>
      <c r="D3498">
        <v>-0.12</v>
      </c>
      <c r="E3498">
        <v>-0.65</v>
      </c>
      <c r="F3498">
        <v>102</v>
      </c>
      <c r="G3498" t="s">
        <v>14789</v>
      </c>
      <c r="H3498">
        <v>29339.91</v>
      </c>
      <c r="I3498">
        <v>97.75</v>
      </c>
      <c r="J3498" t="s">
        <v>120</v>
      </c>
      <c r="K3498" t="s">
        <v>14789</v>
      </c>
      <c r="L3498">
        <v>2.13</v>
      </c>
      <c r="M3498">
        <v>149.15</v>
      </c>
      <c r="N3498">
        <v>0.61</v>
      </c>
      <c r="O3498">
        <v>0.22</v>
      </c>
      <c r="P3498">
        <v>152.83000000000001</v>
      </c>
      <c r="Q3498">
        <v>-3.44</v>
      </c>
      <c r="R3498">
        <v>147.25</v>
      </c>
      <c r="S3498">
        <v>151.51</v>
      </c>
      <c r="T3498">
        <v>19649</v>
      </c>
      <c r="U3498">
        <v>149.31</v>
      </c>
      <c r="V3498">
        <v>152.5</v>
      </c>
      <c r="W3498">
        <v>81.22</v>
      </c>
      <c r="X3498" t="s">
        <v>462</v>
      </c>
      <c r="Y3498" t="s">
        <v>1510</v>
      </c>
      <c r="Z3498">
        <v>3.66</v>
      </c>
      <c r="AA3498">
        <v>149.32</v>
      </c>
      <c r="AB3498">
        <v>11376</v>
      </c>
      <c r="AC3498">
        <v>8273</v>
      </c>
      <c r="AD3498">
        <v>1.38</v>
      </c>
      <c r="AE3498">
        <v>155</v>
      </c>
      <c r="AF3498">
        <v>1</v>
      </c>
      <c r="AG3498" t="s">
        <v>120</v>
      </c>
      <c r="AH3498">
        <v>0.01</v>
      </c>
      <c r="AI3498" t="s">
        <v>120</v>
      </c>
      <c r="AJ3498">
        <v>0.92</v>
      </c>
      <c r="AK3498" t="s">
        <v>14790</v>
      </c>
      <c r="AL3498">
        <v>-0.85</v>
      </c>
      <c r="AM3498">
        <v>2735</v>
      </c>
      <c r="AN3498">
        <v>7</v>
      </c>
      <c r="AO3498">
        <v>8.0000000000000004E-4</v>
      </c>
      <c r="AP3498">
        <v>-2</v>
      </c>
      <c r="AQ3498">
        <v>-3.83</v>
      </c>
      <c r="AR3498">
        <v>-5.78</v>
      </c>
      <c r="AS3498">
        <v>-6.85</v>
      </c>
      <c r="AT3498">
        <v>-8.83</v>
      </c>
      <c r="AU3498">
        <v>4</v>
      </c>
      <c r="AV3498">
        <v>4</v>
      </c>
      <c r="AW3498">
        <v>2.13</v>
      </c>
      <c r="AX3498">
        <v>63.51</v>
      </c>
      <c r="AY3498">
        <v>87.68</v>
      </c>
      <c r="AZ3498">
        <v>117.29</v>
      </c>
      <c r="BA3498">
        <v>1.58</v>
      </c>
      <c r="BB3498" t="s">
        <v>143</v>
      </c>
      <c r="BF3498">
        <v>-2.09</v>
      </c>
      <c r="BG3498">
        <v>-1.56</v>
      </c>
      <c r="BH3498">
        <v>-2.41</v>
      </c>
      <c r="BI3498">
        <v>1.29</v>
      </c>
      <c r="BJ3498">
        <v>20210824</v>
      </c>
      <c r="BK3498">
        <v>20190716</v>
      </c>
      <c r="BL3498">
        <v>1.45</v>
      </c>
      <c r="BM3498" t="s">
        <v>120</v>
      </c>
      <c r="BN3498" t="s">
        <v>120</v>
      </c>
      <c r="BO3498">
        <v>75.98</v>
      </c>
      <c r="BP3498">
        <v>149.15</v>
      </c>
      <c r="BQ3498">
        <v>30.15</v>
      </c>
      <c r="BR3498" t="s">
        <v>120</v>
      </c>
      <c r="BS3498">
        <v>60.32</v>
      </c>
      <c r="BT3498">
        <v>63.41</v>
      </c>
      <c r="BU3498">
        <v>8.9600000000000009</v>
      </c>
      <c r="BV3498">
        <v>1.08</v>
      </c>
      <c r="BW3498">
        <v>42.86</v>
      </c>
      <c r="BX3498">
        <v>6.3</v>
      </c>
      <c r="BY3498">
        <v>28.74</v>
      </c>
      <c r="BZ3498">
        <v>10.45</v>
      </c>
      <c r="CA3498" t="s">
        <v>120</v>
      </c>
      <c r="CB3498">
        <v>21.92</v>
      </c>
      <c r="CC3498">
        <v>43.16</v>
      </c>
      <c r="CD3498">
        <v>35.36</v>
      </c>
      <c r="CE3498">
        <v>1.4</v>
      </c>
      <c r="CF3498">
        <v>-0.08</v>
      </c>
      <c r="CG3498">
        <v>1.43</v>
      </c>
      <c r="CH3498">
        <v>1.33</v>
      </c>
      <c r="CI3498">
        <v>1.33</v>
      </c>
      <c r="CJ3498">
        <v>-3.35</v>
      </c>
      <c r="CK3498">
        <v>1.21</v>
      </c>
      <c r="CL3498">
        <v>6.21</v>
      </c>
      <c r="CM3498">
        <v>-6.16</v>
      </c>
      <c r="CN3498">
        <v>0.2</v>
      </c>
      <c r="CO3498">
        <v>16841</v>
      </c>
      <c r="CP3498">
        <v>5482</v>
      </c>
      <c r="CQ3498" t="s">
        <v>14791</v>
      </c>
      <c r="CR3498">
        <v>91.61</v>
      </c>
      <c r="CS3498">
        <v>72.819999999999993</v>
      </c>
      <c r="CT3498">
        <v>7.19</v>
      </c>
      <c r="CU3498">
        <v>-35.17</v>
      </c>
      <c r="CV3498">
        <v>5.0199999999999996</v>
      </c>
      <c r="CW3498">
        <v>0.26</v>
      </c>
      <c r="CX3498" t="s">
        <v>2877</v>
      </c>
      <c r="CY3498">
        <v>20.74</v>
      </c>
      <c r="CZ3498">
        <v>0</v>
      </c>
      <c r="DA3498">
        <v>15.08</v>
      </c>
      <c r="DB3498">
        <v>4.2699999999999996</v>
      </c>
      <c r="DC3498">
        <v>-4.24</v>
      </c>
      <c r="DD3498">
        <v>39.68</v>
      </c>
      <c r="DE3498" t="s">
        <v>4721</v>
      </c>
      <c r="DF3498">
        <v>18.07</v>
      </c>
      <c r="DG3498">
        <v>3.24</v>
      </c>
      <c r="DH3498">
        <v>3.09</v>
      </c>
      <c r="DI3498">
        <v>4.4400000000000004</v>
      </c>
      <c r="DJ3498">
        <v>3025</v>
      </c>
      <c r="DK3498">
        <v>603236</v>
      </c>
      <c r="DL3498" t="s">
        <v>120</v>
      </c>
      <c r="DM3498" t="s">
        <v>120</v>
      </c>
      <c r="DN3498" t="s">
        <v>120</v>
      </c>
    </row>
    <row r="3499" spans="1:118">
      <c r="A3499" t="str">
        <f>"603238"</f>
        <v>603238</v>
      </c>
      <c r="B3499" t="s">
        <v>14792</v>
      </c>
      <c r="C3499">
        <v>-0.63</v>
      </c>
      <c r="D3499">
        <v>-0.23</v>
      </c>
      <c r="E3499">
        <v>0.24</v>
      </c>
      <c r="F3499">
        <v>155</v>
      </c>
      <c r="G3499" t="s">
        <v>14793</v>
      </c>
      <c r="H3499">
        <v>1449</v>
      </c>
      <c r="I3499">
        <v>1.65</v>
      </c>
      <c r="J3499" t="s">
        <v>120</v>
      </c>
      <c r="K3499" t="s">
        <v>5665</v>
      </c>
      <c r="L3499">
        <v>0.65</v>
      </c>
      <c r="M3499">
        <v>12.6</v>
      </c>
      <c r="N3499">
        <v>0.91</v>
      </c>
      <c r="O3499">
        <v>2.37</v>
      </c>
      <c r="P3499">
        <v>12.98</v>
      </c>
      <c r="Q3499">
        <v>-0.63</v>
      </c>
      <c r="R3499">
        <v>12.6</v>
      </c>
      <c r="S3499">
        <v>12.71</v>
      </c>
      <c r="T3499">
        <v>11338</v>
      </c>
      <c r="U3499">
        <v>12.6</v>
      </c>
      <c r="V3499">
        <v>12.68</v>
      </c>
      <c r="W3499">
        <v>15.21</v>
      </c>
      <c r="X3499" t="s">
        <v>1766</v>
      </c>
      <c r="Y3499" t="s">
        <v>585</v>
      </c>
      <c r="Z3499">
        <v>3</v>
      </c>
      <c r="AA3499">
        <v>12.78</v>
      </c>
      <c r="AB3499">
        <v>6024</v>
      </c>
      <c r="AC3499">
        <v>5314</v>
      </c>
      <c r="AD3499">
        <v>1.1299999999999999</v>
      </c>
      <c r="AE3499">
        <v>9</v>
      </c>
      <c r="AF3499">
        <v>5</v>
      </c>
      <c r="AG3499" t="s">
        <v>120</v>
      </c>
      <c r="AH3499">
        <v>0</v>
      </c>
      <c r="AI3499" t="s">
        <v>120</v>
      </c>
      <c r="AJ3499">
        <v>1.74</v>
      </c>
      <c r="AK3499" t="s">
        <v>13499</v>
      </c>
      <c r="AL3499">
        <v>0.71</v>
      </c>
      <c r="AM3499">
        <v>788</v>
      </c>
      <c r="AN3499">
        <v>14</v>
      </c>
      <c r="AO3499">
        <v>8.0000000000000004E-4</v>
      </c>
      <c r="AP3499">
        <v>-1</v>
      </c>
      <c r="AQ3499">
        <v>0.24</v>
      </c>
      <c r="AR3499">
        <v>-2.25</v>
      </c>
      <c r="AS3499">
        <v>-6.38</v>
      </c>
      <c r="AT3499">
        <v>-20.73</v>
      </c>
      <c r="AU3499">
        <v>-41.63</v>
      </c>
      <c r="AV3499">
        <v>0</v>
      </c>
      <c r="AW3499">
        <v>1.72</v>
      </c>
      <c r="AX3499">
        <v>36.909999999999997</v>
      </c>
      <c r="AY3499">
        <v>10.37</v>
      </c>
      <c r="AZ3499">
        <v>8.51</v>
      </c>
      <c r="BA3499">
        <v>0.45</v>
      </c>
      <c r="BB3499" t="s">
        <v>143</v>
      </c>
      <c r="BF3499">
        <v>0.79</v>
      </c>
      <c r="BG3499">
        <v>-0.87</v>
      </c>
      <c r="BH3499">
        <v>-2.93</v>
      </c>
      <c r="BI3499">
        <v>0</v>
      </c>
      <c r="BJ3499">
        <v>20210827</v>
      </c>
      <c r="BK3499">
        <v>20170222</v>
      </c>
      <c r="BL3499">
        <v>1.79</v>
      </c>
      <c r="BM3499" t="s">
        <v>120</v>
      </c>
      <c r="BN3499" t="s">
        <v>120</v>
      </c>
      <c r="BO3499">
        <v>23.13</v>
      </c>
      <c r="BP3499">
        <v>12.58</v>
      </c>
      <c r="BQ3499">
        <v>11.83</v>
      </c>
      <c r="BR3499">
        <v>2.23</v>
      </c>
      <c r="BS3499">
        <v>39.200000000000003</v>
      </c>
      <c r="BT3499">
        <v>8.93</v>
      </c>
      <c r="BU3499">
        <v>8.59</v>
      </c>
      <c r="BV3499">
        <v>1.26</v>
      </c>
      <c r="BW3499">
        <v>8.67</v>
      </c>
      <c r="BX3499">
        <v>3.66</v>
      </c>
      <c r="BY3499">
        <v>2.29</v>
      </c>
      <c r="BZ3499">
        <v>1.79</v>
      </c>
      <c r="CA3499" t="s">
        <v>120</v>
      </c>
      <c r="CB3499">
        <v>4.28</v>
      </c>
      <c r="CC3499">
        <v>8.01</v>
      </c>
      <c r="CD3499">
        <v>5.78</v>
      </c>
      <c r="CE3499">
        <v>1.18</v>
      </c>
      <c r="CF3499">
        <v>0.02</v>
      </c>
      <c r="CG3499">
        <v>1.18</v>
      </c>
      <c r="CH3499">
        <v>0.92</v>
      </c>
      <c r="CI3499">
        <v>0.74</v>
      </c>
      <c r="CJ3499">
        <v>-0.08</v>
      </c>
      <c r="CK3499">
        <v>0.69</v>
      </c>
      <c r="CL3499">
        <v>6.35</v>
      </c>
      <c r="CM3499">
        <v>1.1100000000000001</v>
      </c>
      <c r="CN3499">
        <v>-0.01</v>
      </c>
      <c r="CO3499">
        <v>8973</v>
      </c>
      <c r="CP3499">
        <v>7366</v>
      </c>
      <c r="CQ3499" t="s">
        <v>14309</v>
      </c>
      <c r="CR3499">
        <v>-39.26</v>
      </c>
      <c r="CS3499">
        <v>-9.23</v>
      </c>
      <c r="CT3499">
        <v>1.91</v>
      </c>
      <c r="CU3499">
        <v>20.28</v>
      </c>
      <c r="CV3499">
        <v>2.82</v>
      </c>
      <c r="CW3499">
        <v>2.4500000000000002</v>
      </c>
      <c r="CX3499" t="s">
        <v>14794</v>
      </c>
      <c r="CY3499">
        <v>6.61</v>
      </c>
      <c r="CZ3499">
        <v>0</v>
      </c>
      <c r="DA3499">
        <v>2.39</v>
      </c>
      <c r="DB3499">
        <v>3.54</v>
      </c>
      <c r="DC3499">
        <v>0.62</v>
      </c>
      <c r="DD3499">
        <v>51.14</v>
      </c>
      <c r="DE3499" t="s">
        <v>4446</v>
      </c>
      <c r="DF3499">
        <v>27.75</v>
      </c>
      <c r="DG3499">
        <v>14.74</v>
      </c>
      <c r="DH3499">
        <v>9.26</v>
      </c>
      <c r="DI3499">
        <v>0.3</v>
      </c>
      <c r="DJ3499">
        <v>1451</v>
      </c>
      <c r="DK3499">
        <v>603238</v>
      </c>
      <c r="DL3499" t="s">
        <v>120</v>
      </c>
      <c r="DM3499" t="s">
        <v>120</v>
      </c>
      <c r="DN3499" t="s">
        <v>120</v>
      </c>
    </row>
    <row r="3500" spans="1:118">
      <c r="A3500" t="str">
        <f>"603239"</f>
        <v>603239</v>
      </c>
      <c r="B3500" t="s">
        <v>14795</v>
      </c>
      <c r="C3500">
        <v>-2.31</v>
      </c>
      <c r="D3500">
        <v>0</v>
      </c>
      <c r="E3500">
        <v>-1.01</v>
      </c>
      <c r="F3500">
        <v>114</v>
      </c>
      <c r="G3500" t="s">
        <v>10409</v>
      </c>
      <c r="H3500">
        <v>2224.1</v>
      </c>
      <c r="I3500">
        <v>1.51</v>
      </c>
      <c r="J3500" t="s">
        <v>120</v>
      </c>
      <c r="K3500" t="s">
        <v>14796</v>
      </c>
      <c r="L3500">
        <v>0.6</v>
      </c>
      <c r="M3500">
        <v>13.56</v>
      </c>
      <c r="N3500">
        <v>0.54</v>
      </c>
      <c r="O3500">
        <v>1.01</v>
      </c>
      <c r="P3500">
        <v>14.02</v>
      </c>
      <c r="Q3500">
        <v>-2.38</v>
      </c>
      <c r="R3500">
        <v>13.55</v>
      </c>
      <c r="S3500">
        <v>13.74</v>
      </c>
      <c r="T3500">
        <v>16177</v>
      </c>
      <c r="U3500">
        <v>13.57</v>
      </c>
      <c r="V3500">
        <v>13.88</v>
      </c>
      <c r="W3500">
        <v>22.16</v>
      </c>
      <c r="X3500" t="s">
        <v>289</v>
      </c>
      <c r="Y3500" t="s">
        <v>585</v>
      </c>
      <c r="Z3500">
        <v>3.39</v>
      </c>
      <c r="AA3500">
        <v>13.75</v>
      </c>
      <c r="AB3500">
        <v>10978</v>
      </c>
      <c r="AC3500">
        <v>5199</v>
      </c>
      <c r="AD3500">
        <v>2.11</v>
      </c>
      <c r="AE3500">
        <v>178</v>
      </c>
      <c r="AF3500">
        <v>539</v>
      </c>
      <c r="AG3500" t="s">
        <v>120</v>
      </c>
      <c r="AH3500">
        <v>0</v>
      </c>
      <c r="AI3500" t="s">
        <v>120</v>
      </c>
      <c r="AJ3500">
        <v>2.71</v>
      </c>
      <c r="AK3500" t="s">
        <v>14796</v>
      </c>
      <c r="AL3500">
        <v>-0.96</v>
      </c>
      <c r="AM3500">
        <v>852</v>
      </c>
      <c r="AN3500">
        <v>19</v>
      </c>
      <c r="AO3500">
        <v>6.9999999999999999E-4</v>
      </c>
      <c r="AP3500">
        <v>-3</v>
      </c>
      <c r="AQ3500">
        <v>-1.91</v>
      </c>
      <c r="AR3500">
        <v>-6.81</v>
      </c>
      <c r="AS3500">
        <v>-2.17</v>
      </c>
      <c r="AT3500">
        <v>-17.61</v>
      </c>
      <c r="AU3500">
        <v>-22.65</v>
      </c>
      <c r="AV3500">
        <v>1</v>
      </c>
      <c r="AW3500">
        <v>1.78</v>
      </c>
      <c r="AX3500">
        <v>33.51</v>
      </c>
      <c r="AY3500">
        <v>27.26</v>
      </c>
      <c r="AZ3500">
        <v>35.26</v>
      </c>
      <c r="BA3500">
        <v>0.95</v>
      </c>
      <c r="BB3500" t="s">
        <v>240</v>
      </c>
      <c r="BF3500">
        <v>-0.95</v>
      </c>
      <c r="BG3500">
        <v>-1.31</v>
      </c>
      <c r="BH3500">
        <v>-3.28</v>
      </c>
      <c r="BI3500">
        <v>7.0000000000000007E-2</v>
      </c>
      <c r="BJ3500">
        <v>20210821</v>
      </c>
      <c r="BK3500">
        <v>20161230</v>
      </c>
      <c r="BL3500">
        <v>2.71</v>
      </c>
      <c r="BM3500" t="s">
        <v>120</v>
      </c>
      <c r="BN3500" t="s">
        <v>120</v>
      </c>
      <c r="BO3500">
        <v>12.6</v>
      </c>
      <c r="BP3500">
        <v>13.56</v>
      </c>
      <c r="BQ3500">
        <v>9.56</v>
      </c>
      <c r="BR3500" t="s">
        <v>120</v>
      </c>
      <c r="BS3500">
        <v>24.14</v>
      </c>
      <c r="BT3500">
        <v>7.93</v>
      </c>
      <c r="BU3500">
        <v>3.63</v>
      </c>
      <c r="BV3500">
        <v>0.28000000000000003</v>
      </c>
      <c r="BW3500">
        <v>2.93</v>
      </c>
      <c r="BX3500">
        <v>1.64</v>
      </c>
      <c r="BY3500">
        <v>1.23</v>
      </c>
      <c r="BZ3500">
        <v>1.95</v>
      </c>
      <c r="CA3500" t="s">
        <v>120</v>
      </c>
      <c r="CB3500">
        <v>3.01</v>
      </c>
      <c r="CC3500">
        <v>3.76</v>
      </c>
      <c r="CD3500">
        <v>2.2999999999999998</v>
      </c>
      <c r="CE3500">
        <v>0.96</v>
      </c>
      <c r="CF3500">
        <v>0</v>
      </c>
      <c r="CG3500">
        <v>0.95</v>
      </c>
      <c r="CH3500">
        <v>0.83</v>
      </c>
      <c r="CI3500">
        <v>0.83</v>
      </c>
      <c r="CJ3500">
        <v>-0.32</v>
      </c>
      <c r="CK3500">
        <v>0.83</v>
      </c>
      <c r="CL3500">
        <v>3.03</v>
      </c>
      <c r="CM3500">
        <v>0.15</v>
      </c>
      <c r="CN3500">
        <v>-0.05</v>
      </c>
      <c r="CO3500">
        <v>9123</v>
      </c>
      <c r="CP3500">
        <v>9944</v>
      </c>
      <c r="CQ3500" t="s">
        <v>7827</v>
      </c>
      <c r="CR3500">
        <v>60.66</v>
      </c>
      <c r="CS3500">
        <v>42.28</v>
      </c>
      <c r="CT3500">
        <v>3.84</v>
      </c>
      <c r="CU3500">
        <v>242.94</v>
      </c>
      <c r="CV3500">
        <v>9.76</v>
      </c>
      <c r="CW3500">
        <v>2.52</v>
      </c>
      <c r="CX3500" t="s">
        <v>2752</v>
      </c>
      <c r="CY3500">
        <v>3.53</v>
      </c>
      <c r="CZ3500">
        <v>0</v>
      </c>
      <c r="DA3500">
        <v>1.1100000000000001</v>
      </c>
      <c r="DB3500">
        <v>1.1200000000000001</v>
      </c>
      <c r="DC3500">
        <v>0.06</v>
      </c>
      <c r="DD3500">
        <v>75.86</v>
      </c>
      <c r="DE3500" t="s">
        <v>14797</v>
      </c>
      <c r="DF3500">
        <v>38.76</v>
      </c>
      <c r="DG3500">
        <v>25.47</v>
      </c>
      <c r="DH3500">
        <v>22.02</v>
      </c>
      <c r="DI3500">
        <v>0.19</v>
      </c>
      <c r="DJ3500">
        <v>1786</v>
      </c>
      <c r="DK3500">
        <v>603239</v>
      </c>
      <c r="DL3500" t="s">
        <v>120</v>
      </c>
      <c r="DM3500" t="s">
        <v>120</v>
      </c>
      <c r="DN3500" t="s">
        <v>120</v>
      </c>
    </row>
    <row r="3501" spans="1:118">
      <c r="A3501" t="str">
        <f>"603256"</f>
        <v>603256</v>
      </c>
      <c r="B3501" t="s">
        <v>14798</v>
      </c>
      <c r="C3501">
        <v>-0.48</v>
      </c>
      <c r="D3501">
        <v>-0.09</v>
      </c>
      <c r="E3501">
        <v>0</v>
      </c>
      <c r="F3501">
        <v>1093</v>
      </c>
      <c r="G3501" t="s">
        <v>6026</v>
      </c>
      <c r="H3501">
        <v>6401.23</v>
      </c>
      <c r="I3501">
        <v>35.880000000000003</v>
      </c>
      <c r="J3501" t="s">
        <v>120</v>
      </c>
      <c r="K3501" t="s">
        <v>6026</v>
      </c>
      <c r="L3501">
        <v>4.43</v>
      </c>
      <c r="M3501">
        <v>10.38</v>
      </c>
      <c r="N3501">
        <v>1.67</v>
      </c>
      <c r="O3501">
        <v>3.74</v>
      </c>
      <c r="P3501">
        <v>10.82</v>
      </c>
      <c r="Q3501">
        <v>-0.57999999999999996</v>
      </c>
      <c r="R3501">
        <v>10.37</v>
      </c>
      <c r="S3501">
        <v>10.43</v>
      </c>
      <c r="T3501">
        <v>60246</v>
      </c>
      <c r="U3501">
        <v>10.38</v>
      </c>
      <c r="V3501">
        <v>10.43</v>
      </c>
      <c r="W3501">
        <v>66.150000000000006</v>
      </c>
      <c r="X3501" t="s">
        <v>191</v>
      </c>
      <c r="Y3501" t="s">
        <v>1510</v>
      </c>
      <c r="Z3501">
        <v>4.3099999999999996</v>
      </c>
      <c r="AA3501">
        <v>10.63</v>
      </c>
      <c r="AB3501">
        <v>29936</v>
      </c>
      <c r="AC3501">
        <v>30310</v>
      </c>
      <c r="AD3501">
        <v>0.99</v>
      </c>
      <c r="AE3501">
        <v>493</v>
      </c>
      <c r="AF3501">
        <v>132</v>
      </c>
      <c r="AG3501" t="s">
        <v>120</v>
      </c>
      <c r="AH3501">
        <v>0.03</v>
      </c>
      <c r="AI3501" t="s">
        <v>120</v>
      </c>
      <c r="AJ3501">
        <v>1.36</v>
      </c>
      <c r="AK3501" t="s">
        <v>14799</v>
      </c>
      <c r="AL3501">
        <v>0.86</v>
      </c>
      <c r="AM3501">
        <v>2543</v>
      </c>
      <c r="AN3501">
        <v>24</v>
      </c>
      <c r="AO3501">
        <v>1.6999999999999999E-3</v>
      </c>
      <c r="AP3501">
        <v>-1</v>
      </c>
      <c r="AQ3501">
        <v>3.17</v>
      </c>
      <c r="AR3501">
        <v>0.79</v>
      </c>
      <c r="AS3501">
        <v>11.97</v>
      </c>
      <c r="AT3501">
        <v>12.23</v>
      </c>
      <c r="AU3501">
        <v>18.64</v>
      </c>
      <c r="AV3501">
        <v>4</v>
      </c>
      <c r="AW3501">
        <v>4.43</v>
      </c>
      <c r="AX3501">
        <v>15.49</v>
      </c>
      <c r="AY3501">
        <v>75.180000000000007</v>
      </c>
      <c r="AZ3501">
        <v>78.2</v>
      </c>
      <c r="BA3501">
        <v>0.79</v>
      </c>
      <c r="BB3501" t="s">
        <v>184</v>
      </c>
      <c r="BF3501">
        <v>1.87</v>
      </c>
      <c r="BG3501">
        <v>-0.48</v>
      </c>
      <c r="BH3501">
        <v>-4.07</v>
      </c>
      <c r="BI3501">
        <v>0.1</v>
      </c>
      <c r="BJ3501">
        <v>20210830</v>
      </c>
      <c r="BK3501">
        <v>20190719</v>
      </c>
      <c r="BL3501">
        <v>8.7799999999999994</v>
      </c>
      <c r="BM3501" t="s">
        <v>120</v>
      </c>
      <c r="BN3501" t="s">
        <v>120</v>
      </c>
      <c r="BO3501">
        <v>25.06</v>
      </c>
      <c r="BP3501">
        <v>10.37</v>
      </c>
      <c r="BQ3501">
        <v>14.77</v>
      </c>
      <c r="BR3501" t="s">
        <v>120</v>
      </c>
      <c r="BS3501">
        <v>41.06</v>
      </c>
      <c r="BT3501">
        <v>11.72</v>
      </c>
      <c r="BU3501">
        <v>9.09</v>
      </c>
      <c r="BV3501">
        <v>0.47</v>
      </c>
      <c r="BW3501">
        <v>3.64</v>
      </c>
      <c r="BX3501">
        <v>6.59</v>
      </c>
      <c r="BY3501">
        <v>1.1399999999999999</v>
      </c>
      <c r="BZ3501">
        <v>2.34</v>
      </c>
      <c r="CA3501" t="s">
        <v>120</v>
      </c>
      <c r="CB3501">
        <v>2.94</v>
      </c>
      <c r="CC3501">
        <v>3.94</v>
      </c>
      <c r="CD3501">
        <v>2.48</v>
      </c>
      <c r="CE3501">
        <v>0.8</v>
      </c>
      <c r="CF3501">
        <v>0</v>
      </c>
      <c r="CG3501">
        <v>0.84</v>
      </c>
      <c r="CH3501">
        <v>0.69</v>
      </c>
      <c r="CI3501">
        <v>0.69</v>
      </c>
      <c r="CJ3501">
        <v>-0.05</v>
      </c>
      <c r="CK3501">
        <v>0.66</v>
      </c>
      <c r="CL3501">
        <v>2.44</v>
      </c>
      <c r="CM3501">
        <v>0.02</v>
      </c>
      <c r="CN3501">
        <v>-1.76</v>
      </c>
      <c r="CO3501">
        <v>23932</v>
      </c>
      <c r="CP3501">
        <v>5682</v>
      </c>
      <c r="CQ3501" t="s">
        <v>3869</v>
      </c>
      <c r="CR3501">
        <v>7.34</v>
      </c>
      <c r="CS3501">
        <v>28.38</v>
      </c>
      <c r="CT3501">
        <v>6.17</v>
      </c>
      <c r="CU3501">
        <v>5782.18</v>
      </c>
      <c r="CV3501">
        <v>23.12</v>
      </c>
      <c r="CW3501">
        <v>0.78</v>
      </c>
      <c r="CX3501" t="s">
        <v>535</v>
      </c>
      <c r="CY3501">
        <v>1.68</v>
      </c>
      <c r="CZ3501">
        <v>0</v>
      </c>
      <c r="DA3501">
        <v>0.34</v>
      </c>
      <c r="DB3501">
        <v>0.28000000000000003</v>
      </c>
      <c r="DC3501">
        <v>0</v>
      </c>
      <c r="DD3501">
        <v>58.94</v>
      </c>
      <c r="DE3501" t="s">
        <v>128</v>
      </c>
      <c r="DF3501">
        <v>37.130000000000003</v>
      </c>
      <c r="DG3501">
        <v>20.309999999999999</v>
      </c>
      <c r="DH3501">
        <v>17.48</v>
      </c>
      <c r="DI3501">
        <v>0.13</v>
      </c>
      <c r="DJ3501">
        <v>924</v>
      </c>
      <c r="DK3501">
        <v>603256</v>
      </c>
      <c r="DL3501" t="s">
        <v>120</v>
      </c>
      <c r="DM3501" t="s">
        <v>120</v>
      </c>
      <c r="DN3501" t="s">
        <v>120</v>
      </c>
    </row>
    <row r="3502" spans="1:118">
      <c r="A3502" t="str">
        <f>"603258"</f>
        <v>603258</v>
      </c>
      <c r="B3502" t="s">
        <v>14800</v>
      </c>
      <c r="C3502">
        <v>1.1599999999999999</v>
      </c>
      <c r="D3502">
        <v>0.98</v>
      </c>
      <c r="E3502">
        <v>-0.6</v>
      </c>
      <c r="F3502">
        <v>921</v>
      </c>
      <c r="G3502" t="s">
        <v>5807</v>
      </c>
      <c r="H3502">
        <v>5216.55</v>
      </c>
      <c r="I3502">
        <v>7.66</v>
      </c>
      <c r="J3502" t="s">
        <v>120</v>
      </c>
      <c r="K3502" t="s">
        <v>2195</v>
      </c>
      <c r="L3502">
        <v>0.92</v>
      </c>
      <c r="M3502">
        <v>23.61</v>
      </c>
      <c r="N3502">
        <v>0.51</v>
      </c>
      <c r="O3502">
        <v>2.74</v>
      </c>
      <c r="P3502">
        <v>23.98</v>
      </c>
      <c r="Q3502">
        <v>-0.99</v>
      </c>
      <c r="R3502">
        <v>23.11</v>
      </c>
      <c r="S3502">
        <v>23.2</v>
      </c>
      <c r="T3502">
        <v>22214</v>
      </c>
      <c r="U3502">
        <v>23.62</v>
      </c>
      <c r="V3502">
        <v>23.34</v>
      </c>
      <c r="W3502">
        <v>14.01</v>
      </c>
      <c r="X3502" t="s">
        <v>1531</v>
      </c>
      <c r="Y3502" t="s">
        <v>585</v>
      </c>
      <c r="Z3502">
        <v>3.73</v>
      </c>
      <c r="AA3502">
        <v>23.48</v>
      </c>
      <c r="AB3502">
        <v>11917</v>
      </c>
      <c r="AC3502">
        <v>10297</v>
      </c>
      <c r="AD3502">
        <v>1.1599999999999999</v>
      </c>
      <c r="AE3502">
        <v>12041</v>
      </c>
      <c r="AF3502">
        <v>2</v>
      </c>
      <c r="AG3502" t="s">
        <v>120</v>
      </c>
      <c r="AH3502">
        <v>0</v>
      </c>
      <c r="AI3502" t="s">
        <v>120</v>
      </c>
      <c r="AJ3502">
        <v>2.42</v>
      </c>
      <c r="AK3502" t="s">
        <v>14801</v>
      </c>
      <c r="AL3502">
        <v>2.5</v>
      </c>
      <c r="AM3502">
        <v>2084</v>
      </c>
      <c r="AN3502">
        <v>11</v>
      </c>
      <c r="AO3502">
        <v>4.0000000000000002E-4</v>
      </c>
      <c r="AP3502">
        <v>2</v>
      </c>
      <c r="AQ3502">
        <v>0.65</v>
      </c>
      <c r="AR3502">
        <v>-1.21</v>
      </c>
      <c r="AS3502">
        <v>7.85</v>
      </c>
      <c r="AT3502">
        <v>-9.36</v>
      </c>
      <c r="AU3502">
        <v>-24.6</v>
      </c>
      <c r="AV3502">
        <v>2</v>
      </c>
      <c r="AW3502">
        <v>2.5</v>
      </c>
      <c r="AX3502">
        <v>35.92</v>
      </c>
      <c r="AY3502">
        <v>14.67</v>
      </c>
      <c r="AZ3502">
        <v>14.6</v>
      </c>
      <c r="BA3502">
        <v>1.06</v>
      </c>
      <c r="BB3502" t="s">
        <v>143</v>
      </c>
      <c r="BF3502">
        <v>0.61</v>
      </c>
      <c r="BG3502">
        <v>1.77</v>
      </c>
      <c r="BH3502">
        <v>-1.54</v>
      </c>
      <c r="BI3502">
        <v>2.16</v>
      </c>
      <c r="BJ3502">
        <v>20210827</v>
      </c>
      <c r="BK3502">
        <v>20161026</v>
      </c>
      <c r="BL3502">
        <v>2.4700000000000002</v>
      </c>
      <c r="BM3502" t="s">
        <v>120</v>
      </c>
      <c r="BN3502" t="s">
        <v>120</v>
      </c>
      <c r="BO3502">
        <v>31.07</v>
      </c>
      <c r="BP3502">
        <v>23.61</v>
      </c>
      <c r="BQ3502">
        <v>23.86</v>
      </c>
      <c r="BR3502">
        <v>0.49</v>
      </c>
      <c r="BS3502">
        <v>21.63</v>
      </c>
      <c r="BT3502">
        <v>21.39</v>
      </c>
      <c r="BU3502">
        <v>3.15</v>
      </c>
      <c r="BV3502">
        <v>0.18</v>
      </c>
      <c r="BW3502">
        <v>6.64</v>
      </c>
      <c r="BX3502">
        <v>7.74</v>
      </c>
      <c r="BY3502">
        <v>0</v>
      </c>
      <c r="BZ3502">
        <v>0.88</v>
      </c>
      <c r="CA3502">
        <v>0.03</v>
      </c>
      <c r="CB3502">
        <v>9.82</v>
      </c>
      <c r="CC3502">
        <v>5.08</v>
      </c>
      <c r="CD3502">
        <v>0.81</v>
      </c>
      <c r="CE3502">
        <v>2.4700000000000002</v>
      </c>
      <c r="CF3502">
        <v>0.35</v>
      </c>
      <c r="CG3502">
        <v>2.4500000000000002</v>
      </c>
      <c r="CH3502">
        <v>2.1800000000000002</v>
      </c>
      <c r="CI3502">
        <v>2.08</v>
      </c>
      <c r="CJ3502">
        <v>0.27</v>
      </c>
      <c r="CK3502">
        <v>1.76</v>
      </c>
      <c r="CL3502">
        <v>11.32</v>
      </c>
      <c r="CM3502">
        <v>1.37</v>
      </c>
      <c r="CN3502">
        <v>0.09</v>
      </c>
      <c r="CO3502">
        <v>28533</v>
      </c>
      <c r="CP3502">
        <v>3110</v>
      </c>
      <c r="CQ3502" t="s">
        <v>7198</v>
      </c>
      <c r="CR3502">
        <v>-0.94</v>
      </c>
      <c r="CS3502">
        <v>7.02</v>
      </c>
      <c r="CT3502">
        <v>2.44</v>
      </c>
      <c r="CU3502">
        <v>42.48</v>
      </c>
      <c r="CV3502">
        <v>11.48</v>
      </c>
      <c r="CW3502">
        <v>0.69</v>
      </c>
      <c r="CX3502" t="s">
        <v>10202</v>
      </c>
      <c r="CY3502">
        <v>9.66</v>
      </c>
      <c r="CZ3502">
        <v>9.66</v>
      </c>
      <c r="DA3502">
        <v>3.97</v>
      </c>
      <c r="DB3502">
        <v>4.58</v>
      </c>
      <c r="DC3502">
        <v>0.56000000000000005</v>
      </c>
      <c r="DD3502">
        <v>76.81</v>
      </c>
      <c r="DE3502" t="s">
        <v>7417</v>
      </c>
      <c r="DF3502">
        <v>84.13</v>
      </c>
      <c r="DG3502">
        <v>48.65</v>
      </c>
      <c r="DH3502">
        <v>40.96</v>
      </c>
      <c r="DI3502">
        <v>1.02</v>
      </c>
      <c r="DJ3502">
        <v>1129</v>
      </c>
      <c r="DK3502">
        <v>603258</v>
      </c>
      <c r="DL3502" t="s">
        <v>120</v>
      </c>
      <c r="DM3502" t="s">
        <v>120</v>
      </c>
      <c r="DN3502" t="s">
        <v>120</v>
      </c>
    </row>
    <row r="3503" spans="1:118">
      <c r="A3503" t="str">
        <f>"603259"</f>
        <v>603259</v>
      </c>
      <c r="B3503" t="s">
        <v>14802</v>
      </c>
      <c r="C3503">
        <v>1.71</v>
      </c>
      <c r="D3503">
        <v>0.1</v>
      </c>
      <c r="E3503">
        <v>-1.0900000000000001</v>
      </c>
      <c r="F3503">
        <v>2885</v>
      </c>
      <c r="G3503" t="s">
        <v>14803</v>
      </c>
      <c r="H3503">
        <v>388742.62</v>
      </c>
      <c r="I3503">
        <v>1654.68</v>
      </c>
      <c r="J3503" t="s">
        <v>120</v>
      </c>
      <c r="K3503" t="s">
        <v>14804</v>
      </c>
      <c r="L3503">
        <v>1.07</v>
      </c>
      <c r="M3503">
        <v>144.16</v>
      </c>
      <c r="N3503">
        <v>1.26</v>
      </c>
      <c r="O3503">
        <v>2.93</v>
      </c>
      <c r="P3503">
        <v>145.88</v>
      </c>
      <c r="Q3503">
        <v>-2.2799999999999998</v>
      </c>
      <c r="R3503">
        <v>138.5</v>
      </c>
      <c r="S3503">
        <v>140.18</v>
      </c>
      <c r="T3503">
        <v>272397</v>
      </c>
      <c r="U3503">
        <v>144.16</v>
      </c>
      <c r="V3503">
        <v>141.72999999999999</v>
      </c>
      <c r="W3503">
        <v>79.56</v>
      </c>
      <c r="X3503" t="s">
        <v>569</v>
      </c>
      <c r="Y3503" t="s">
        <v>319</v>
      </c>
      <c r="Z3503">
        <v>5.21</v>
      </c>
      <c r="AA3503">
        <v>142.71</v>
      </c>
      <c r="AB3503">
        <v>120328</v>
      </c>
      <c r="AC3503">
        <v>152069</v>
      </c>
      <c r="AD3503">
        <v>0.79</v>
      </c>
      <c r="AE3503">
        <v>22</v>
      </c>
      <c r="AF3503">
        <v>457</v>
      </c>
      <c r="AG3503" t="s">
        <v>120</v>
      </c>
      <c r="AH3503">
        <v>0.01</v>
      </c>
      <c r="AI3503" t="s">
        <v>120</v>
      </c>
      <c r="AJ3503">
        <v>25.47</v>
      </c>
      <c r="AK3503" t="s">
        <v>14805</v>
      </c>
      <c r="AL3503">
        <v>3.06</v>
      </c>
      <c r="AM3503">
        <v>4733</v>
      </c>
      <c r="AN3503">
        <v>58</v>
      </c>
      <c r="AO3503">
        <v>2.0000000000000001E-4</v>
      </c>
      <c r="AP3503">
        <v>1</v>
      </c>
      <c r="AQ3503">
        <v>-0.16</v>
      </c>
      <c r="AR3503">
        <v>5.76</v>
      </c>
      <c r="AS3503">
        <v>10.26</v>
      </c>
      <c r="AT3503">
        <v>-4.91</v>
      </c>
      <c r="AU3503">
        <v>28.76</v>
      </c>
      <c r="AV3503">
        <v>1</v>
      </c>
      <c r="AW3503">
        <v>1.47</v>
      </c>
      <c r="AX3503">
        <v>72.13</v>
      </c>
      <c r="AY3503">
        <v>106.8</v>
      </c>
      <c r="AZ3503">
        <v>141.36000000000001</v>
      </c>
      <c r="BA3503">
        <v>1.44</v>
      </c>
      <c r="BB3503" t="s">
        <v>125</v>
      </c>
      <c r="BF3503">
        <v>0.69</v>
      </c>
      <c r="BG3503">
        <v>2.84</v>
      </c>
      <c r="BH3503">
        <v>-1.18</v>
      </c>
      <c r="BI3503">
        <v>4.09</v>
      </c>
      <c r="BJ3503">
        <v>20210915</v>
      </c>
      <c r="BK3503">
        <v>20180508</v>
      </c>
      <c r="BL3503">
        <v>29.53</v>
      </c>
      <c r="BM3503" t="s">
        <v>120</v>
      </c>
      <c r="BN3503">
        <v>3.89</v>
      </c>
      <c r="BO3503">
        <v>521.77</v>
      </c>
      <c r="BP3503">
        <v>144.15</v>
      </c>
      <c r="BQ3503">
        <v>367.32</v>
      </c>
      <c r="BR3503">
        <v>2.52</v>
      </c>
      <c r="BS3503">
        <v>29.12</v>
      </c>
      <c r="BT3503">
        <v>218</v>
      </c>
      <c r="BU3503">
        <v>65.569999999999993</v>
      </c>
      <c r="BV3503">
        <v>15.91</v>
      </c>
      <c r="BW3503">
        <v>102.13</v>
      </c>
      <c r="BX3503">
        <v>98.14</v>
      </c>
      <c r="BY3503">
        <v>36.380000000000003</v>
      </c>
      <c r="BZ3503">
        <v>41.69</v>
      </c>
      <c r="CA3503" t="s">
        <v>120</v>
      </c>
      <c r="CB3503">
        <v>246.54</v>
      </c>
      <c r="CC3503">
        <v>105.37</v>
      </c>
      <c r="CD3503">
        <v>66.39</v>
      </c>
      <c r="CE3503">
        <v>31.87</v>
      </c>
      <c r="CF3503">
        <v>10.52</v>
      </c>
      <c r="CG3503">
        <v>31.8</v>
      </c>
      <c r="CH3503">
        <v>26.92</v>
      </c>
      <c r="CI3503">
        <v>26.75</v>
      </c>
      <c r="CJ3503">
        <v>2.4300000000000002</v>
      </c>
      <c r="CK3503">
        <v>21.27</v>
      </c>
      <c r="CL3503">
        <v>98.73</v>
      </c>
      <c r="CM3503">
        <v>21.43</v>
      </c>
      <c r="CN3503">
        <v>-3.6</v>
      </c>
      <c r="CO3503">
        <v>154710</v>
      </c>
      <c r="CP3503">
        <v>11952</v>
      </c>
      <c r="CQ3503" t="s">
        <v>14806</v>
      </c>
      <c r="CR3503">
        <v>55.79</v>
      </c>
      <c r="CS3503">
        <v>45.7</v>
      </c>
      <c r="CT3503">
        <v>11.57</v>
      </c>
      <c r="CU3503">
        <v>198.65</v>
      </c>
      <c r="CV3503">
        <v>40.4</v>
      </c>
      <c r="CW3503">
        <v>0.21</v>
      </c>
      <c r="CX3503" t="s">
        <v>4187</v>
      </c>
      <c r="CY3503">
        <v>12.46</v>
      </c>
      <c r="CZ3503">
        <v>12.46</v>
      </c>
      <c r="DA3503">
        <v>8.35</v>
      </c>
      <c r="DB3503">
        <v>3.34</v>
      </c>
      <c r="DC3503">
        <v>0.73</v>
      </c>
      <c r="DD3503">
        <v>70.400000000000006</v>
      </c>
      <c r="DE3503" t="s">
        <v>9186</v>
      </c>
      <c r="DF3503">
        <v>36.99</v>
      </c>
      <c r="DG3503">
        <v>30.25</v>
      </c>
      <c r="DH3503">
        <v>25.39</v>
      </c>
      <c r="DI3503">
        <v>4.04</v>
      </c>
      <c r="DJ3503">
        <v>28542</v>
      </c>
      <c r="DK3503">
        <v>603259</v>
      </c>
      <c r="DL3503" t="s">
        <v>120</v>
      </c>
      <c r="DM3503" t="s">
        <v>120</v>
      </c>
      <c r="DN3503" t="s">
        <v>120</v>
      </c>
    </row>
    <row r="3504" spans="1:118">
      <c r="A3504" t="str">
        <f>"603260"</f>
        <v>603260</v>
      </c>
      <c r="B3504" t="s">
        <v>14807</v>
      </c>
      <c r="C3504">
        <v>-7.61</v>
      </c>
      <c r="D3504">
        <v>0.89</v>
      </c>
      <c r="E3504">
        <v>-0.7</v>
      </c>
      <c r="F3504">
        <v>3124</v>
      </c>
      <c r="G3504" t="s">
        <v>14808</v>
      </c>
      <c r="H3504">
        <v>433239.9</v>
      </c>
      <c r="I3504">
        <v>4630.93</v>
      </c>
      <c r="J3504" t="s">
        <v>120</v>
      </c>
      <c r="K3504" t="s">
        <v>14809</v>
      </c>
      <c r="L3504">
        <v>2</v>
      </c>
      <c r="M3504">
        <v>227</v>
      </c>
      <c r="N3504">
        <v>0.94</v>
      </c>
      <c r="O3504">
        <v>-0.69</v>
      </c>
      <c r="P3504">
        <v>244</v>
      </c>
      <c r="Q3504">
        <v>-10</v>
      </c>
      <c r="R3504">
        <v>221.13</v>
      </c>
      <c r="S3504">
        <v>243.99</v>
      </c>
      <c r="T3504">
        <v>187656</v>
      </c>
      <c r="U3504">
        <v>227.8</v>
      </c>
      <c r="V3504">
        <v>245.7</v>
      </c>
      <c r="W3504">
        <v>51.39</v>
      </c>
      <c r="X3504" t="s">
        <v>868</v>
      </c>
      <c r="Y3504" t="s">
        <v>585</v>
      </c>
      <c r="Z3504">
        <v>9.31</v>
      </c>
      <c r="AA3504">
        <v>230.87</v>
      </c>
      <c r="AB3504">
        <v>103568</v>
      </c>
      <c r="AC3504">
        <v>84088</v>
      </c>
      <c r="AD3504">
        <v>1.23</v>
      </c>
      <c r="AE3504">
        <v>132</v>
      </c>
      <c r="AF3504">
        <v>1</v>
      </c>
      <c r="AG3504" t="s">
        <v>120</v>
      </c>
      <c r="AH3504">
        <v>0.13</v>
      </c>
      <c r="AI3504" t="s">
        <v>120</v>
      </c>
      <c r="AJ3504">
        <v>9.3800000000000008</v>
      </c>
      <c r="AK3504" t="s">
        <v>14810</v>
      </c>
      <c r="AL3504">
        <v>-6.27</v>
      </c>
      <c r="AM3504">
        <v>4697</v>
      </c>
      <c r="AN3504">
        <v>40</v>
      </c>
      <c r="AO3504">
        <v>4.0000000000000002E-4</v>
      </c>
      <c r="AP3504">
        <v>-2</v>
      </c>
      <c r="AQ3504">
        <v>-0.15</v>
      </c>
      <c r="AR3504">
        <v>-3.89</v>
      </c>
      <c r="AS3504">
        <v>68.680000000000007</v>
      </c>
      <c r="AT3504">
        <v>277.01</v>
      </c>
      <c r="AU3504">
        <v>584.77</v>
      </c>
      <c r="AV3504">
        <v>11</v>
      </c>
      <c r="AW3504">
        <v>12.84</v>
      </c>
      <c r="AX3504">
        <v>13.61</v>
      </c>
      <c r="AY3504">
        <v>79.31</v>
      </c>
      <c r="AZ3504">
        <v>187.94</v>
      </c>
      <c r="BA3504">
        <v>0.51</v>
      </c>
      <c r="BB3504" t="s">
        <v>184</v>
      </c>
      <c r="BF3504">
        <v>-6.04</v>
      </c>
      <c r="BG3504">
        <v>-6.96</v>
      </c>
      <c r="BH3504">
        <v>-6.97</v>
      </c>
      <c r="BI3504">
        <v>2.65</v>
      </c>
      <c r="BJ3504">
        <v>20210818</v>
      </c>
      <c r="BK3504">
        <v>20171030</v>
      </c>
      <c r="BL3504">
        <v>10.74</v>
      </c>
      <c r="BM3504" t="s">
        <v>120</v>
      </c>
      <c r="BN3504" t="s">
        <v>120</v>
      </c>
      <c r="BO3504">
        <v>241.57</v>
      </c>
      <c r="BP3504">
        <v>227</v>
      </c>
      <c r="BQ3504">
        <v>142.83000000000001</v>
      </c>
      <c r="BR3504">
        <v>1.1000000000000001</v>
      </c>
      <c r="BS3504">
        <v>40.42</v>
      </c>
      <c r="BT3504">
        <v>71.680000000000007</v>
      </c>
      <c r="BU3504">
        <v>124.83</v>
      </c>
      <c r="BV3504">
        <v>7.41</v>
      </c>
      <c r="BW3504">
        <v>80.349999999999994</v>
      </c>
      <c r="BX3504">
        <v>22.88</v>
      </c>
      <c r="BY3504">
        <v>30.52</v>
      </c>
      <c r="BZ3504">
        <v>5.0599999999999996</v>
      </c>
      <c r="CA3504" t="s">
        <v>120</v>
      </c>
      <c r="CB3504">
        <v>43.9</v>
      </c>
      <c r="CC3504">
        <v>77.02</v>
      </c>
      <c r="CD3504">
        <v>43.08</v>
      </c>
      <c r="CE3504">
        <v>28.17</v>
      </c>
      <c r="CF3504">
        <v>-0.19</v>
      </c>
      <c r="CG3504">
        <v>28.1</v>
      </c>
      <c r="CH3504">
        <v>23.83</v>
      </c>
      <c r="CI3504">
        <v>23.72</v>
      </c>
      <c r="CJ3504">
        <v>-18.7</v>
      </c>
      <c r="CK3504">
        <v>23.66</v>
      </c>
      <c r="CL3504">
        <v>85.92</v>
      </c>
      <c r="CM3504">
        <v>17.2</v>
      </c>
      <c r="CN3504">
        <v>19.39</v>
      </c>
      <c r="CO3504">
        <v>26169</v>
      </c>
      <c r="CP3504">
        <v>5586</v>
      </c>
      <c r="CQ3504" t="s">
        <v>14811</v>
      </c>
      <c r="CR3504">
        <v>428.26</v>
      </c>
      <c r="CS3504">
        <v>84.11</v>
      </c>
      <c r="CT3504">
        <v>17.07</v>
      </c>
      <c r="CU3504">
        <v>141.72</v>
      </c>
      <c r="CV3504">
        <v>31.66</v>
      </c>
      <c r="CW3504">
        <v>0.1</v>
      </c>
      <c r="CX3504" t="s">
        <v>14812</v>
      </c>
      <c r="CY3504">
        <v>13.3</v>
      </c>
      <c r="CZ3504">
        <v>0</v>
      </c>
      <c r="DA3504">
        <v>4.09</v>
      </c>
      <c r="DB3504">
        <v>8</v>
      </c>
      <c r="DC3504">
        <v>1.6</v>
      </c>
      <c r="DD3504">
        <v>59.13</v>
      </c>
      <c r="DE3504" t="s">
        <v>14813</v>
      </c>
      <c r="DF3504">
        <v>44.06</v>
      </c>
      <c r="DG3504">
        <v>36.57</v>
      </c>
      <c r="DH3504">
        <v>30.8</v>
      </c>
      <c r="DI3504">
        <v>1.46</v>
      </c>
      <c r="DJ3504">
        <v>8893</v>
      </c>
      <c r="DK3504">
        <v>603260</v>
      </c>
      <c r="DL3504">
        <v>20210722</v>
      </c>
      <c r="DM3504">
        <v>99.94</v>
      </c>
      <c r="DN3504">
        <v>127.14</v>
      </c>
    </row>
    <row r="3505" spans="1:118">
      <c r="A3505" t="str">
        <f>"603266"</f>
        <v>603266</v>
      </c>
      <c r="B3505" t="s">
        <v>14814</v>
      </c>
      <c r="C3505">
        <v>-1.37</v>
      </c>
      <c r="D3505">
        <v>0</v>
      </c>
      <c r="E3505">
        <v>0</v>
      </c>
      <c r="F3505">
        <v>82</v>
      </c>
      <c r="G3505" t="s">
        <v>7332</v>
      </c>
      <c r="H3505">
        <v>2734.92</v>
      </c>
      <c r="I3505">
        <v>7.12</v>
      </c>
      <c r="J3505" t="s">
        <v>120</v>
      </c>
      <c r="K3505" t="s">
        <v>9375</v>
      </c>
      <c r="L3505">
        <v>1.18</v>
      </c>
      <c r="M3505">
        <v>11.52</v>
      </c>
      <c r="N3505">
        <v>1.33</v>
      </c>
      <c r="O3505">
        <v>2.74</v>
      </c>
      <c r="P3505">
        <v>12</v>
      </c>
      <c r="Q3505">
        <v>-1.88</v>
      </c>
      <c r="R3505">
        <v>11.46</v>
      </c>
      <c r="S3505">
        <v>11.68</v>
      </c>
      <c r="T3505">
        <v>23256</v>
      </c>
      <c r="U3505">
        <v>11.54</v>
      </c>
      <c r="V3505">
        <v>11.68</v>
      </c>
      <c r="W3505">
        <v>21.08</v>
      </c>
      <c r="X3505" t="s">
        <v>2211</v>
      </c>
      <c r="Y3505" t="s">
        <v>585</v>
      </c>
      <c r="Z3505">
        <v>4.62</v>
      </c>
      <c r="AA3505">
        <v>11.76</v>
      </c>
      <c r="AB3505">
        <v>13462</v>
      </c>
      <c r="AC3505">
        <v>9794</v>
      </c>
      <c r="AD3505">
        <v>1.37</v>
      </c>
      <c r="AE3505">
        <v>121</v>
      </c>
      <c r="AF3505">
        <v>43</v>
      </c>
      <c r="AG3505" t="s">
        <v>120</v>
      </c>
      <c r="AH3505">
        <v>0.01</v>
      </c>
      <c r="AI3505" t="s">
        <v>120</v>
      </c>
      <c r="AJ3505">
        <v>1.98</v>
      </c>
      <c r="AK3505" t="s">
        <v>14815</v>
      </c>
      <c r="AL3505">
        <v>-0.03</v>
      </c>
      <c r="AM3505">
        <v>1363</v>
      </c>
      <c r="AN3505">
        <v>17</v>
      </c>
      <c r="AO3505">
        <v>8.9999999999999998E-4</v>
      </c>
      <c r="AP3505">
        <v>-1</v>
      </c>
      <c r="AQ3505">
        <v>2.5499999999999998</v>
      </c>
      <c r="AR3505">
        <v>-1.36</v>
      </c>
      <c r="AS3505">
        <v>-1.37</v>
      </c>
      <c r="AT3505">
        <v>-3.84</v>
      </c>
      <c r="AU3505">
        <v>3.98</v>
      </c>
      <c r="AV3505">
        <v>1</v>
      </c>
      <c r="AW3505">
        <v>3.55</v>
      </c>
      <c r="AX3505">
        <v>32.950000000000003</v>
      </c>
      <c r="AY3505">
        <v>21.49</v>
      </c>
      <c r="AZ3505">
        <v>25.04</v>
      </c>
      <c r="BA3505">
        <v>0.9</v>
      </c>
      <c r="BB3505" t="s">
        <v>143</v>
      </c>
      <c r="BF3505">
        <v>0.69</v>
      </c>
      <c r="BG3505">
        <v>-1.37</v>
      </c>
      <c r="BH3505">
        <v>-4</v>
      </c>
      <c r="BI3505">
        <v>0.52</v>
      </c>
      <c r="BJ3505">
        <v>20210913</v>
      </c>
      <c r="BK3505">
        <v>20170110</v>
      </c>
      <c r="BL3505">
        <v>1.99</v>
      </c>
      <c r="BM3505" t="s">
        <v>120</v>
      </c>
      <c r="BN3505" t="s">
        <v>120</v>
      </c>
      <c r="BO3505">
        <v>14.96</v>
      </c>
      <c r="BP3505">
        <v>11.52</v>
      </c>
      <c r="BQ3505">
        <v>10.67</v>
      </c>
      <c r="BR3505" t="s">
        <v>120</v>
      </c>
      <c r="BS3505">
        <v>28.67</v>
      </c>
      <c r="BT3505">
        <v>10.14</v>
      </c>
      <c r="BU3505">
        <v>2.2599999999999998</v>
      </c>
      <c r="BV3505">
        <v>0.06</v>
      </c>
      <c r="BW3505">
        <v>3.59</v>
      </c>
      <c r="BX3505">
        <v>1.85</v>
      </c>
      <c r="BY3505">
        <v>2.56</v>
      </c>
      <c r="BZ3505">
        <v>3.9</v>
      </c>
      <c r="CA3505">
        <v>0</v>
      </c>
      <c r="CB3505">
        <v>2.6</v>
      </c>
      <c r="CC3505">
        <v>5.62</v>
      </c>
      <c r="CD3505">
        <v>4.37</v>
      </c>
      <c r="CE3505">
        <v>0.63</v>
      </c>
      <c r="CF3505">
        <v>0.03</v>
      </c>
      <c r="CG3505">
        <v>0.63</v>
      </c>
      <c r="CH3505">
        <v>0.54</v>
      </c>
      <c r="CI3505">
        <v>0.54</v>
      </c>
      <c r="CJ3505">
        <v>-0.16</v>
      </c>
      <c r="CK3505">
        <v>0.49</v>
      </c>
      <c r="CL3505">
        <v>5.32</v>
      </c>
      <c r="CM3505">
        <v>0.68</v>
      </c>
      <c r="CN3505">
        <v>0.11</v>
      </c>
      <c r="CO3505">
        <v>11675</v>
      </c>
      <c r="CP3505">
        <v>5613</v>
      </c>
      <c r="CQ3505" t="s">
        <v>1737</v>
      </c>
      <c r="CR3505">
        <v>39.4</v>
      </c>
      <c r="CS3505">
        <v>40.97</v>
      </c>
      <c r="CT3505">
        <v>2.15</v>
      </c>
      <c r="CU3505">
        <v>33.9</v>
      </c>
      <c r="CV3505">
        <v>4.08</v>
      </c>
      <c r="CW3505">
        <v>0.86</v>
      </c>
      <c r="CX3505" t="s">
        <v>1054</v>
      </c>
      <c r="CY3505">
        <v>5.36</v>
      </c>
      <c r="CZ3505">
        <v>0</v>
      </c>
      <c r="DA3505">
        <v>1.31</v>
      </c>
      <c r="DB3505">
        <v>2.67</v>
      </c>
      <c r="DC3505">
        <v>0.34</v>
      </c>
      <c r="DD3505">
        <v>71.33</v>
      </c>
      <c r="DE3505" t="s">
        <v>6808</v>
      </c>
      <c r="DF3505">
        <v>22.3</v>
      </c>
      <c r="DG3505">
        <v>11.29</v>
      </c>
      <c r="DH3505">
        <v>9.67</v>
      </c>
      <c r="DI3505">
        <v>0.22</v>
      </c>
      <c r="DJ3505">
        <v>1409</v>
      </c>
      <c r="DK3505">
        <v>603266</v>
      </c>
      <c r="DL3505" t="s">
        <v>120</v>
      </c>
      <c r="DM3505" t="s">
        <v>120</v>
      </c>
      <c r="DN3505" t="s">
        <v>120</v>
      </c>
    </row>
    <row r="3506" spans="1:118">
      <c r="A3506" t="str">
        <f>"603267"</f>
        <v>603267</v>
      </c>
      <c r="B3506" t="s">
        <v>14816</v>
      </c>
      <c r="C3506">
        <v>-2.99</v>
      </c>
      <c r="D3506">
        <v>-0.08</v>
      </c>
      <c r="E3506">
        <v>-0.64</v>
      </c>
      <c r="F3506">
        <v>189</v>
      </c>
      <c r="G3506" t="s">
        <v>14817</v>
      </c>
      <c r="H3506">
        <v>26163.95</v>
      </c>
      <c r="I3506">
        <v>77.77</v>
      </c>
      <c r="J3506" t="s">
        <v>120</v>
      </c>
      <c r="K3506" t="s">
        <v>14818</v>
      </c>
      <c r="L3506">
        <v>1.21</v>
      </c>
      <c r="M3506">
        <v>135.59</v>
      </c>
      <c r="N3506">
        <v>0.91</v>
      </c>
      <c r="O3506">
        <v>1.24</v>
      </c>
      <c r="P3506">
        <v>141.5</v>
      </c>
      <c r="Q3506">
        <v>-3.71</v>
      </c>
      <c r="R3506">
        <v>134.58000000000001</v>
      </c>
      <c r="S3506">
        <v>138.88</v>
      </c>
      <c r="T3506">
        <v>19116</v>
      </c>
      <c r="U3506">
        <v>135.59</v>
      </c>
      <c r="V3506">
        <v>139.77000000000001</v>
      </c>
      <c r="W3506">
        <v>34.67</v>
      </c>
      <c r="X3506" t="s">
        <v>229</v>
      </c>
      <c r="Y3506" t="s">
        <v>158</v>
      </c>
      <c r="Z3506">
        <v>4.95</v>
      </c>
      <c r="AA3506">
        <v>136.87</v>
      </c>
      <c r="AB3506">
        <v>9017</v>
      </c>
      <c r="AC3506">
        <v>10099</v>
      </c>
      <c r="AD3506">
        <v>0.89</v>
      </c>
      <c r="AE3506">
        <v>8</v>
      </c>
      <c r="AF3506">
        <v>2</v>
      </c>
      <c r="AG3506" t="s">
        <v>120</v>
      </c>
      <c r="AH3506">
        <v>0</v>
      </c>
      <c r="AI3506" t="s">
        <v>120</v>
      </c>
      <c r="AJ3506">
        <v>1.58</v>
      </c>
      <c r="AK3506" t="s">
        <v>14819</v>
      </c>
      <c r="AL3506">
        <v>-1.65</v>
      </c>
      <c r="AM3506">
        <v>3004</v>
      </c>
      <c r="AN3506">
        <v>6</v>
      </c>
      <c r="AO3506">
        <v>4.0000000000000002E-4</v>
      </c>
      <c r="AP3506">
        <v>-1</v>
      </c>
      <c r="AQ3506">
        <v>0.34</v>
      </c>
      <c r="AR3506">
        <v>-3.19</v>
      </c>
      <c r="AS3506">
        <v>-19.57</v>
      </c>
      <c r="AT3506">
        <v>18.420000000000002</v>
      </c>
      <c r="AU3506">
        <v>5.6</v>
      </c>
      <c r="AV3506">
        <v>5</v>
      </c>
      <c r="AW3506">
        <v>1.35</v>
      </c>
      <c r="AX3506">
        <v>60.98</v>
      </c>
      <c r="AY3506">
        <v>44.19</v>
      </c>
      <c r="AZ3506">
        <v>66.83</v>
      </c>
      <c r="BA3506">
        <v>0.69</v>
      </c>
      <c r="BB3506" t="s">
        <v>134</v>
      </c>
      <c r="BF3506">
        <v>-2.08</v>
      </c>
      <c r="BG3506">
        <v>-2.37</v>
      </c>
      <c r="BH3506">
        <v>-4.18</v>
      </c>
      <c r="BI3506">
        <v>0.75</v>
      </c>
      <c r="BJ3506">
        <v>20210821</v>
      </c>
      <c r="BK3506">
        <v>20190515</v>
      </c>
      <c r="BL3506">
        <v>2.3199999999999998</v>
      </c>
      <c r="BM3506" t="s">
        <v>120</v>
      </c>
      <c r="BN3506" t="s">
        <v>120</v>
      </c>
      <c r="BO3506">
        <v>37.32</v>
      </c>
      <c r="BP3506">
        <v>135.57</v>
      </c>
      <c r="BQ3506">
        <v>29.23</v>
      </c>
      <c r="BR3506" t="s">
        <v>120</v>
      </c>
      <c r="BS3506">
        <v>21.66</v>
      </c>
      <c r="BT3506">
        <v>31.64</v>
      </c>
      <c r="BU3506">
        <v>2.83</v>
      </c>
      <c r="BV3506">
        <v>0.25</v>
      </c>
      <c r="BW3506">
        <v>7.77</v>
      </c>
      <c r="BX3506">
        <v>7.03</v>
      </c>
      <c r="BY3506">
        <v>2.73</v>
      </c>
      <c r="BZ3506">
        <v>15.13</v>
      </c>
      <c r="CA3506" t="s">
        <v>120</v>
      </c>
      <c r="CB3506">
        <v>13.2</v>
      </c>
      <c r="CC3506">
        <v>12.51</v>
      </c>
      <c r="CD3506">
        <v>5.72</v>
      </c>
      <c r="CE3506">
        <v>5.38</v>
      </c>
      <c r="CF3506">
        <v>0.01</v>
      </c>
      <c r="CG3506">
        <v>5.39</v>
      </c>
      <c r="CH3506">
        <v>4.54</v>
      </c>
      <c r="CI3506">
        <v>4.54</v>
      </c>
      <c r="CJ3506">
        <v>-4.18</v>
      </c>
      <c r="CK3506">
        <v>4.4800000000000004</v>
      </c>
      <c r="CL3506">
        <v>13.49</v>
      </c>
      <c r="CM3506">
        <v>-0.17</v>
      </c>
      <c r="CN3506">
        <v>-1.24</v>
      </c>
      <c r="CO3506">
        <v>15898</v>
      </c>
      <c r="CP3506">
        <v>8914</v>
      </c>
      <c r="CQ3506" t="s">
        <v>14820</v>
      </c>
      <c r="CR3506">
        <v>121.25</v>
      </c>
      <c r="CS3506">
        <v>80.56</v>
      </c>
      <c r="CT3506">
        <v>10.78</v>
      </c>
      <c r="CU3506">
        <v>-1851.23</v>
      </c>
      <c r="CV3506">
        <v>25.19</v>
      </c>
      <c r="CW3506">
        <v>0.26</v>
      </c>
      <c r="CX3506" t="s">
        <v>14821</v>
      </c>
      <c r="CY3506">
        <v>12.58</v>
      </c>
      <c r="CZ3506">
        <v>0</v>
      </c>
      <c r="DA3506">
        <v>5.68</v>
      </c>
      <c r="DB3506">
        <v>5.81</v>
      </c>
      <c r="DC3506">
        <v>-7.0000000000000007E-2</v>
      </c>
      <c r="DD3506">
        <v>78.34</v>
      </c>
      <c r="DE3506" t="s">
        <v>14822</v>
      </c>
      <c r="DF3506">
        <v>54.26</v>
      </c>
      <c r="DG3506">
        <v>43.03</v>
      </c>
      <c r="DH3506">
        <v>36.32</v>
      </c>
      <c r="DI3506">
        <v>0.24</v>
      </c>
      <c r="DJ3506">
        <v>960</v>
      </c>
      <c r="DK3506">
        <v>603267</v>
      </c>
      <c r="DL3506" t="s">
        <v>120</v>
      </c>
      <c r="DM3506" t="s">
        <v>120</v>
      </c>
      <c r="DN3506" t="s">
        <v>120</v>
      </c>
    </row>
    <row r="3507" spans="1:118">
      <c r="A3507" t="str">
        <f>"603268"</f>
        <v>603268</v>
      </c>
      <c r="B3507" t="s">
        <v>14823</v>
      </c>
      <c r="C3507">
        <v>0.33</v>
      </c>
      <c r="D3507">
        <v>-0.44</v>
      </c>
      <c r="E3507">
        <v>0.78</v>
      </c>
      <c r="F3507">
        <v>48</v>
      </c>
      <c r="G3507" t="s">
        <v>9601</v>
      </c>
      <c r="H3507">
        <v>1009.66</v>
      </c>
      <c r="I3507">
        <v>17.05</v>
      </c>
      <c r="J3507" t="s">
        <v>120</v>
      </c>
      <c r="K3507" t="s">
        <v>14824</v>
      </c>
      <c r="L3507">
        <v>0.52</v>
      </c>
      <c r="M3507">
        <v>15.43</v>
      </c>
      <c r="N3507">
        <v>0.65</v>
      </c>
      <c r="O3507">
        <v>2.73</v>
      </c>
      <c r="P3507">
        <v>15.8</v>
      </c>
      <c r="Q3507">
        <v>-0.59</v>
      </c>
      <c r="R3507">
        <v>15.29</v>
      </c>
      <c r="S3507">
        <v>15.5</v>
      </c>
      <c r="T3507">
        <v>6503</v>
      </c>
      <c r="U3507">
        <v>15.49</v>
      </c>
      <c r="V3507">
        <v>15.38</v>
      </c>
      <c r="W3507" t="s">
        <v>120</v>
      </c>
      <c r="X3507" t="s">
        <v>3653</v>
      </c>
      <c r="Y3507" t="s">
        <v>547</v>
      </c>
      <c r="Z3507">
        <v>3.32</v>
      </c>
      <c r="AA3507">
        <v>15.53</v>
      </c>
      <c r="AB3507">
        <v>3586</v>
      </c>
      <c r="AC3507">
        <v>2917</v>
      </c>
      <c r="AD3507">
        <v>1.23</v>
      </c>
      <c r="AE3507">
        <v>68</v>
      </c>
      <c r="AF3507">
        <v>29</v>
      </c>
      <c r="AG3507" t="s">
        <v>120</v>
      </c>
      <c r="AH3507">
        <v>0.02</v>
      </c>
      <c r="AI3507" t="s">
        <v>120</v>
      </c>
      <c r="AJ3507">
        <v>1.24</v>
      </c>
      <c r="AK3507" t="s">
        <v>14824</v>
      </c>
      <c r="AL3507">
        <v>1.67</v>
      </c>
      <c r="AM3507">
        <v>582</v>
      </c>
      <c r="AN3507">
        <v>11</v>
      </c>
      <c r="AO3507">
        <v>8.9999999999999998E-4</v>
      </c>
      <c r="AP3507">
        <v>1</v>
      </c>
      <c r="AQ3507">
        <v>-2.6</v>
      </c>
      <c r="AR3507">
        <v>2.73</v>
      </c>
      <c r="AS3507">
        <v>-3.02</v>
      </c>
      <c r="AT3507">
        <v>3.42</v>
      </c>
      <c r="AU3507">
        <v>-8.32</v>
      </c>
      <c r="AV3507">
        <v>0</v>
      </c>
      <c r="AW3507">
        <v>1.3</v>
      </c>
      <c r="AX3507">
        <v>40.22</v>
      </c>
      <c r="AY3507" t="s">
        <v>120</v>
      </c>
      <c r="AZ3507">
        <v>1179.19</v>
      </c>
      <c r="BA3507">
        <v>0.56999999999999995</v>
      </c>
      <c r="BB3507" t="s">
        <v>143</v>
      </c>
      <c r="BF3507">
        <v>0.95</v>
      </c>
      <c r="BG3507">
        <v>-0.45</v>
      </c>
      <c r="BH3507">
        <v>-2.34</v>
      </c>
      <c r="BI3507">
        <v>0.92</v>
      </c>
      <c r="BJ3507">
        <v>20210819</v>
      </c>
      <c r="BK3507">
        <v>20150319</v>
      </c>
      <c r="BL3507">
        <v>1.24</v>
      </c>
      <c r="BM3507" t="s">
        <v>120</v>
      </c>
      <c r="BN3507" t="s">
        <v>120</v>
      </c>
      <c r="BO3507">
        <v>11.02</v>
      </c>
      <c r="BP3507">
        <v>15.43</v>
      </c>
      <c r="BQ3507">
        <v>6.6</v>
      </c>
      <c r="BR3507">
        <v>0.28000000000000003</v>
      </c>
      <c r="BS3507">
        <v>37.520000000000003</v>
      </c>
      <c r="BT3507">
        <v>4.59</v>
      </c>
      <c r="BU3507">
        <v>2.5099999999999998</v>
      </c>
      <c r="BV3507">
        <v>0.56000000000000005</v>
      </c>
      <c r="BW3507">
        <v>3.63</v>
      </c>
      <c r="BX3507">
        <v>0.2</v>
      </c>
      <c r="BY3507">
        <v>2.12</v>
      </c>
      <c r="BZ3507">
        <v>1.44</v>
      </c>
      <c r="CA3507" t="s">
        <v>120</v>
      </c>
      <c r="CB3507">
        <v>2.42</v>
      </c>
      <c r="CC3507">
        <v>1.86</v>
      </c>
      <c r="CD3507">
        <v>1.47</v>
      </c>
      <c r="CE3507">
        <v>-0.12</v>
      </c>
      <c r="CF3507">
        <v>0.02</v>
      </c>
      <c r="CG3507">
        <v>-0.13</v>
      </c>
      <c r="CH3507">
        <v>-0.14000000000000001</v>
      </c>
      <c r="CI3507">
        <v>-0.1</v>
      </c>
      <c r="CJ3507">
        <v>0.05</v>
      </c>
      <c r="CK3507">
        <v>-0.11</v>
      </c>
      <c r="CL3507">
        <v>2.77</v>
      </c>
      <c r="CM3507">
        <v>-0.05</v>
      </c>
      <c r="CN3507">
        <v>-0.16</v>
      </c>
      <c r="CO3507">
        <v>5927</v>
      </c>
      <c r="CP3507">
        <v>8426</v>
      </c>
      <c r="CQ3507" t="s">
        <v>7574</v>
      </c>
      <c r="CR3507">
        <v>-883.58</v>
      </c>
      <c r="CS3507">
        <v>9.1</v>
      </c>
      <c r="CT3507">
        <v>2.9</v>
      </c>
      <c r="CU3507">
        <v>-418.26</v>
      </c>
      <c r="CV3507">
        <v>10.33</v>
      </c>
      <c r="CW3507">
        <v>0</v>
      </c>
      <c r="CX3507" t="s">
        <v>1320</v>
      </c>
      <c r="CY3507">
        <v>5.32</v>
      </c>
      <c r="CZ3507">
        <v>0</v>
      </c>
      <c r="DA3507">
        <v>1.95</v>
      </c>
      <c r="DB3507">
        <v>2.23</v>
      </c>
      <c r="DC3507">
        <v>-0.04</v>
      </c>
      <c r="DD3507">
        <v>59.91</v>
      </c>
      <c r="DE3507" t="s">
        <v>2318</v>
      </c>
      <c r="DF3507">
        <v>20.7</v>
      </c>
      <c r="DG3507">
        <v>-6.64</v>
      </c>
      <c r="DH3507">
        <v>-5.39</v>
      </c>
      <c r="DI3507">
        <v>0.08</v>
      </c>
      <c r="DJ3507">
        <v>1343</v>
      </c>
      <c r="DK3507">
        <v>603268</v>
      </c>
      <c r="DL3507" t="s">
        <v>120</v>
      </c>
      <c r="DM3507" t="s">
        <v>120</v>
      </c>
      <c r="DN3507" t="s">
        <v>120</v>
      </c>
    </row>
    <row r="3508" spans="1:118">
      <c r="A3508" t="str">
        <f>"603269"</f>
        <v>603269</v>
      </c>
      <c r="B3508" t="s">
        <v>14825</v>
      </c>
      <c r="C3508">
        <v>1.45</v>
      </c>
      <c r="D3508">
        <v>0</v>
      </c>
      <c r="E3508">
        <v>-0.96</v>
      </c>
      <c r="F3508">
        <v>431</v>
      </c>
      <c r="G3508" t="s">
        <v>7304</v>
      </c>
      <c r="H3508">
        <v>1898.17</v>
      </c>
      <c r="I3508">
        <v>7.31</v>
      </c>
      <c r="J3508" t="s">
        <v>120</v>
      </c>
      <c r="K3508" t="s">
        <v>14826</v>
      </c>
      <c r="L3508">
        <v>1.35</v>
      </c>
      <c r="M3508">
        <v>12.63</v>
      </c>
      <c r="N3508">
        <v>1.47</v>
      </c>
      <c r="O3508">
        <v>1.93</v>
      </c>
      <c r="P3508">
        <v>12.69</v>
      </c>
      <c r="Q3508">
        <v>-1.04</v>
      </c>
      <c r="R3508">
        <v>12.32</v>
      </c>
      <c r="S3508">
        <v>12.33</v>
      </c>
      <c r="T3508">
        <v>15138</v>
      </c>
      <c r="U3508">
        <v>12.63</v>
      </c>
      <c r="V3508">
        <v>12.45</v>
      </c>
      <c r="W3508">
        <v>35.340000000000003</v>
      </c>
      <c r="X3508" t="s">
        <v>959</v>
      </c>
      <c r="Y3508" t="s">
        <v>319</v>
      </c>
      <c r="Z3508">
        <v>2.97</v>
      </c>
      <c r="AA3508">
        <v>12.54</v>
      </c>
      <c r="AB3508">
        <v>5014</v>
      </c>
      <c r="AC3508">
        <v>10124</v>
      </c>
      <c r="AD3508">
        <v>0.5</v>
      </c>
      <c r="AE3508">
        <v>30</v>
      </c>
      <c r="AF3508">
        <v>21</v>
      </c>
      <c r="AG3508" t="s">
        <v>120</v>
      </c>
      <c r="AH3508">
        <v>0.01</v>
      </c>
      <c r="AI3508" t="s">
        <v>120</v>
      </c>
      <c r="AJ3508">
        <v>1.1299999999999999</v>
      </c>
      <c r="AK3508" t="s">
        <v>14826</v>
      </c>
      <c r="AL3508">
        <v>2.79</v>
      </c>
      <c r="AM3508">
        <v>1133</v>
      </c>
      <c r="AN3508">
        <v>13</v>
      </c>
      <c r="AO3508">
        <v>1.1999999999999999E-3</v>
      </c>
      <c r="AP3508">
        <v>2</v>
      </c>
      <c r="AQ3508">
        <v>1.63</v>
      </c>
      <c r="AR3508">
        <v>1.04</v>
      </c>
      <c r="AS3508">
        <v>14.61</v>
      </c>
      <c r="AT3508">
        <v>14.82</v>
      </c>
      <c r="AU3508">
        <v>12.77</v>
      </c>
      <c r="AV3508">
        <v>3</v>
      </c>
      <c r="AW3508">
        <v>1.91</v>
      </c>
      <c r="AX3508">
        <v>70.37</v>
      </c>
      <c r="AY3508">
        <v>21.42</v>
      </c>
      <c r="AZ3508">
        <v>30.14</v>
      </c>
      <c r="BA3508">
        <v>0.85</v>
      </c>
      <c r="BB3508" t="s">
        <v>184</v>
      </c>
      <c r="BF3508">
        <v>0.72</v>
      </c>
      <c r="BG3508">
        <v>2.4300000000000002</v>
      </c>
      <c r="BH3508">
        <v>-0.47</v>
      </c>
      <c r="BI3508">
        <v>2.52</v>
      </c>
      <c r="BJ3508">
        <v>20210910</v>
      </c>
      <c r="BK3508">
        <v>20170517</v>
      </c>
      <c r="BL3508">
        <v>1.1299999999999999</v>
      </c>
      <c r="BM3508" t="s">
        <v>120</v>
      </c>
      <c r="BN3508" t="s">
        <v>120</v>
      </c>
      <c r="BO3508">
        <v>22.63</v>
      </c>
      <c r="BP3508">
        <v>12.62</v>
      </c>
      <c r="BQ3508">
        <v>8.52</v>
      </c>
      <c r="BR3508">
        <v>0.11</v>
      </c>
      <c r="BS3508">
        <v>61.84</v>
      </c>
      <c r="BT3508">
        <v>17.57</v>
      </c>
      <c r="BU3508">
        <v>3.3</v>
      </c>
      <c r="BV3508">
        <v>0.78</v>
      </c>
      <c r="BW3508">
        <v>12.84</v>
      </c>
      <c r="BX3508">
        <v>1.81</v>
      </c>
      <c r="BY3508">
        <v>8.7100000000000009</v>
      </c>
      <c r="BZ3508">
        <v>4.75</v>
      </c>
      <c r="CA3508" t="s">
        <v>120</v>
      </c>
      <c r="CB3508">
        <v>3.52</v>
      </c>
      <c r="CC3508">
        <v>4.2300000000000004</v>
      </c>
      <c r="CD3508">
        <v>2.87</v>
      </c>
      <c r="CE3508">
        <v>0.27</v>
      </c>
      <c r="CF3508">
        <v>0</v>
      </c>
      <c r="CG3508">
        <v>0.27</v>
      </c>
      <c r="CH3508">
        <v>0.22</v>
      </c>
      <c r="CI3508">
        <v>0.2</v>
      </c>
      <c r="CJ3508">
        <v>0.18</v>
      </c>
      <c r="CK3508">
        <v>0.19</v>
      </c>
      <c r="CL3508">
        <v>3.41</v>
      </c>
      <c r="CM3508">
        <v>-0.34</v>
      </c>
      <c r="CN3508">
        <v>-0.94</v>
      </c>
      <c r="CO3508">
        <v>7544</v>
      </c>
      <c r="CP3508">
        <v>10495</v>
      </c>
      <c r="CQ3508" t="s">
        <v>5347</v>
      </c>
      <c r="CR3508">
        <v>1594.4</v>
      </c>
      <c r="CS3508">
        <v>83.38</v>
      </c>
      <c r="CT3508">
        <v>1.67</v>
      </c>
      <c r="CU3508">
        <v>-41.66</v>
      </c>
      <c r="CV3508">
        <v>3.36</v>
      </c>
      <c r="CW3508">
        <v>1.61</v>
      </c>
      <c r="CX3508" t="s">
        <v>242</v>
      </c>
      <c r="CY3508">
        <v>7.58</v>
      </c>
      <c r="CZ3508">
        <v>0</v>
      </c>
      <c r="DA3508">
        <v>3.13</v>
      </c>
      <c r="DB3508">
        <v>3.03</v>
      </c>
      <c r="DC3508">
        <v>-0.3</v>
      </c>
      <c r="DD3508">
        <v>37.659999999999997</v>
      </c>
      <c r="DE3508" t="s">
        <v>8303</v>
      </c>
      <c r="DF3508">
        <v>32.1</v>
      </c>
      <c r="DG3508">
        <v>6.45</v>
      </c>
      <c r="DH3508">
        <v>4.76</v>
      </c>
      <c r="DI3508">
        <v>0.09</v>
      </c>
      <c r="DJ3508">
        <v>895</v>
      </c>
      <c r="DK3508">
        <v>603269</v>
      </c>
      <c r="DL3508" t="s">
        <v>120</v>
      </c>
      <c r="DM3508" t="s">
        <v>120</v>
      </c>
      <c r="DN3508" t="s">
        <v>120</v>
      </c>
    </row>
    <row r="3509" spans="1:118">
      <c r="A3509" t="str">
        <f>"603277"</f>
        <v>603277</v>
      </c>
      <c r="B3509" t="s">
        <v>14827</v>
      </c>
      <c r="C3509">
        <v>-0.43</v>
      </c>
      <c r="D3509">
        <v>0</v>
      </c>
      <c r="E3509">
        <v>-0.62</v>
      </c>
      <c r="F3509">
        <v>102</v>
      </c>
      <c r="G3509" t="s">
        <v>8048</v>
      </c>
      <c r="H3509">
        <v>2617.39</v>
      </c>
      <c r="I3509">
        <v>0</v>
      </c>
      <c r="J3509" t="s">
        <v>120</v>
      </c>
      <c r="K3509" t="s">
        <v>14828</v>
      </c>
      <c r="L3509">
        <v>0.3</v>
      </c>
      <c r="M3509">
        <v>20.97</v>
      </c>
      <c r="N3509">
        <v>1.65</v>
      </c>
      <c r="O3509">
        <v>2.37</v>
      </c>
      <c r="P3509">
        <v>21.56</v>
      </c>
      <c r="Q3509">
        <v>-3.61</v>
      </c>
      <c r="R3509">
        <v>20.3</v>
      </c>
      <c r="S3509">
        <v>20.93</v>
      </c>
      <c r="T3509">
        <v>12284</v>
      </c>
      <c r="U3509">
        <v>20.98</v>
      </c>
      <c r="V3509">
        <v>21.06</v>
      </c>
      <c r="W3509">
        <v>21.78</v>
      </c>
      <c r="X3509" t="s">
        <v>675</v>
      </c>
      <c r="Y3509" t="s">
        <v>585</v>
      </c>
      <c r="Z3509">
        <v>5.98</v>
      </c>
      <c r="AA3509">
        <v>21.31</v>
      </c>
      <c r="AB3509">
        <v>4737</v>
      </c>
      <c r="AC3509">
        <v>7547</v>
      </c>
      <c r="AD3509">
        <v>0.63</v>
      </c>
      <c r="AE3509">
        <v>7</v>
      </c>
      <c r="AF3509">
        <v>13</v>
      </c>
      <c r="AG3509" t="s">
        <v>120</v>
      </c>
      <c r="AH3509">
        <v>0</v>
      </c>
      <c r="AI3509" t="s">
        <v>120</v>
      </c>
      <c r="AJ3509">
        <v>4.08</v>
      </c>
      <c r="AK3509" t="s">
        <v>14829</v>
      </c>
      <c r="AL3509">
        <v>0.92</v>
      </c>
      <c r="AM3509">
        <v>1316</v>
      </c>
      <c r="AN3509">
        <v>9</v>
      </c>
      <c r="AO3509">
        <v>2.0000000000000001E-4</v>
      </c>
      <c r="AP3509">
        <v>-1</v>
      </c>
      <c r="AQ3509">
        <v>0.62</v>
      </c>
      <c r="AR3509">
        <v>-0.66</v>
      </c>
      <c r="AS3509">
        <v>9.33</v>
      </c>
      <c r="AT3509">
        <v>-6.8</v>
      </c>
      <c r="AU3509">
        <v>77.56</v>
      </c>
      <c r="AV3509">
        <v>3</v>
      </c>
      <c r="AW3509">
        <v>1.58</v>
      </c>
      <c r="AX3509">
        <v>18.5</v>
      </c>
      <c r="AY3509">
        <v>22.48</v>
      </c>
      <c r="AZ3509">
        <v>28.5</v>
      </c>
      <c r="BA3509">
        <v>1.85</v>
      </c>
      <c r="BB3509" t="s">
        <v>143</v>
      </c>
      <c r="BF3509">
        <v>1.18</v>
      </c>
      <c r="BG3509">
        <v>0.19</v>
      </c>
      <c r="BH3509">
        <v>-2.74</v>
      </c>
      <c r="BI3509">
        <v>3.3</v>
      </c>
      <c r="BJ3509">
        <v>20210824</v>
      </c>
      <c r="BK3509">
        <v>20170911</v>
      </c>
      <c r="BL3509">
        <v>4.2</v>
      </c>
      <c r="BM3509" t="s">
        <v>120</v>
      </c>
      <c r="BN3509" t="s">
        <v>120</v>
      </c>
      <c r="BO3509">
        <v>31.58</v>
      </c>
      <c r="BP3509">
        <v>20.97</v>
      </c>
      <c r="BQ3509">
        <v>22.57</v>
      </c>
      <c r="BR3509" t="s">
        <v>120</v>
      </c>
      <c r="BS3509">
        <v>28.56</v>
      </c>
      <c r="BT3509">
        <v>18.89</v>
      </c>
      <c r="BU3509">
        <v>4.99</v>
      </c>
      <c r="BV3509">
        <v>0.68</v>
      </c>
      <c r="BW3509">
        <v>7.47</v>
      </c>
      <c r="BX3509">
        <v>2.3199999999999998</v>
      </c>
      <c r="BY3509">
        <v>6.67</v>
      </c>
      <c r="BZ3509">
        <v>2.38</v>
      </c>
      <c r="CA3509" t="s">
        <v>120</v>
      </c>
      <c r="CB3509">
        <v>8.68</v>
      </c>
      <c r="CC3509">
        <v>10.75</v>
      </c>
      <c r="CD3509">
        <v>6.17</v>
      </c>
      <c r="CE3509">
        <v>2.2999999999999998</v>
      </c>
      <c r="CF3509">
        <v>0.34</v>
      </c>
      <c r="CG3509">
        <v>2.2999999999999998</v>
      </c>
      <c r="CH3509">
        <v>2.02</v>
      </c>
      <c r="CI3509">
        <v>2.02</v>
      </c>
      <c r="CJ3509">
        <v>-0.09</v>
      </c>
      <c r="CK3509">
        <v>1.7</v>
      </c>
      <c r="CL3509">
        <v>9.09</v>
      </c>
      <c r="CM3509">
        <v>0.46</v>
      </c>
      <c r="CN3509">
        <v>-0.63</v>
      </c>
      <c r="CO3509">
        <v>9186</v>
      </c>
      <c r="CP3509">
        <v>8463</v>
      </c>
      <c r="CQ3509" t="s">
        <v>14830</v>
      </c>
      <c r="CR3509">
        <v>69.680000000000007</v>
      </c>
      <c r="CS3509">
        <v>60.48</v>
      </c>
      <c r="CT3509">
        <v>3.91</v>
      </c>
      <c r="CU3509">
        <v>189.56</v>
      </c>
      <c r="CV3509">
        <v>8.1999999999999993</v>
      </c>
      <c r="CW3509">
        <v>4.75</v>
      </c>
      <c r="CX3509" t="s">
        <v>780</v>
      </c>
      <c r="CY3509">
        <v>5.37</v>
      </c>
      <c r="CZ3509">
        <v>0</v>
      </c>
      <c r="DA3509">
        <v>2.0699999999999998</v>
      </c>
      <c r="DB3509">
        <v>2.16</v>
      </c>
      <c r="DC3509">
        <v>0.11</v>
      </c>
      <c r="DD3509">
        <v>71.44</v>
      </c>
      <c r="DE3509" t="s">
        <v>5653</v>
      </c>
      <c r="DF3509">
        <v>42.61</v>
      </c>
      <c r="DG3509">
        <v>21.4</v>
      </c>
      <c r="DH3509">
        <v>18.829999999999998</v>
      </c>
      <c r="DI3509">
        <v>0.37</v>
      </c>
      <c r="DJ3509">
        <v>1907</v>
      </c>
      <c r="DK3509">
        <v>603277</v>
      </c>
      <c r="DL3509" t="s">
        <v>120</v>
      </c>
      <c r="DM3509" t="s">
        <v>120</v>
      </c>
      <c r="DN3509" t="s">
        <v>120</v>
      </c>
    </row>
    <row r="3510" spans="1:118">
      <c r="A3510" t="str">
        <f>"603278"</f>
        <v>603278</v>
      </c>
      <c r="B3510" t="s">
        <v>14831</v>
      </c>
      <c r="C3510">
        <v>0.66</v>
      </c>
      <c r="D3510">
        <v>0.19</v>
      </c>
      <c r="E3510">
        <v>0</v>
      </c>
      <c r="F3510">
        <v>841</v>
      </c>
      <c r="G3510" t="s">
        <v>14832</v>
      </c>
      <c r="H3510">
        <v>5595.72</v>
      </c>
      <c r="I3510">
        <v>11.11</v>
      </c>
      <c r="J3510" t="s">
        <v>120</v>
      </c>
      <c r="K3510" t="s">
        <v>14833</v>
      </c>
      <c r="L3510">
        <v>1.78</v>
      </c>
      <c r="M3510">
        <v>10.75</v>
      </c>
      <c r="N3510">
        <v>1.24</v>
      </c>
      <c r="O3510">
        <v>4.3099999999999996</v>
      </c>
      <c r="P3510">
        <v>11.14</v>
      </c>
      <c r="Q3510">
        <v>-1.5</v>
      </c>
      <c r="R3510">
        <v>10.52</v>
      </c>
      <c r="S3510">
        <v>10.68</v>
      </c>
      <c r="T3510">
        <v>51669</v>
      </c>
      <c r="U3510">
        <v>10.76</v>
      </c>
      <c r="V3510">
        <v>10.68</v>
      </c>
      <c r="W3510">
        <v>12.31</v>
      </c>
      <c r="X3510" t="s">
        <v>1925</v>
      </c>
      <c r="Y3510" t="s">
        <v>638</v>
      </c>
      <c r="Z3510">
        <v>5.81</v>
      </c>
      <c r="AA3510">
        <v>10.83</v>
      </c>
      <c r="AB3510">
        <v>26964</v>
      </c>
      <c r="AC3510">
        <v>24705</v>
      </c>
      <c r="AD3510">
        <v>1.0900000000000001</v>
      </c>
      <c r="AE3510">
        <v>171</v>
      </c>
      <c r="AF3510">
        <v>121</v>
      </c>
      <c r="AG3510" t="s">
        <v>120</v>
      </c>
      <c r="AH3510">
        <v>0.01</v>
      </c>
      <c r="AI3510" t="s">
        <v>120</v>
      </c>
      <c r="AJ3510">
        <v>2.9</v>
      </c>
      <c r="AK3510" t="s">
        <v>14833</v>
      </c>
      <c r="AL3510">
        <v>2</v>
      </c>
      <c r="AM3510">
        <v>2189</v>
      </c>
      <c r="AN3510">
        <v>24</v>
      </c>
      <c r="AO3510">
        <v>8.0000000000000004E-4</v>
      </c>
      <c r="AP3510">
        <v>2</v>
      </c>
      <c r="AQ3510">
        <v>2.79</v>
      </c>
      <c r="AR3510">
        <v>2.87</v>
      </c>
      <c r="AS3510">
        <v>8.14</v>
      </c>
      <c r="AT3510">
        <v>32.229999999999997</v>
      </c>
      <c r="AU3510">
        <v>35.049999999999997</v>
      </c>
      <c r="AV3510">
        <v>2</v>
      </c>
      <c r="AW3510">
        <v>5.18</v>
      </c>
      <c r="AX3510">
        <v>34.409999999999997</v>
      </c>
      <c r="AY3510">
        <v>16.32</v>
      </c>
      <c r="AZ3510">
        <v>30.2</v>
      </c>
      <c r="BA3510">
        <v>0.91</v>
      </c>
      <c r="BB3510" t="s">
        <v>168</v>
      </c>
      <c r="BF3510">
        <v>1.4</v>
      </c>
      <c r="BG3510">
        <v>0.66</v>
      </c>
      <c r="BH3510">
        <v>-3.5</v>
      </c>
      <c r="BI3510">
        <v>2.19</v>
      </c>
      <c r="BJ3510">
        <v>20210729</v>
      </c>
      <c r="BK3510">
        <v>20171113</v>
      </c>
      <c r="BL3510">
        <v>2.9</v>
      </c>
      <c r="BM3510" t="s">
        <v>120</v>
      </c>
      <c r="BN3510" t="s">
        <v>120</v>
      </c>
      <c r="BO3510">
        <v>61.48</v>
      </c>
      <c r="BP3510">
        <v>10.75</v>
      </c>
      <c r="BQ3510">
        <v>18.57</v>
      </c>
      <c r="BR3510" t="s">
        <v>120</v>
      </c>
      <c r="BS3510">
        <v>69.8</v>
      </c>
      <c r="BT3510">
        <v>36.369999999999997</v>
      </c>
      <c r="BU3510">
        <v>14.3</v>
      </c>
      <c r="BV3510">
        <v>2.02</v>
      </c>
      <c r="BW3510">
        <v>35.200000000000003</v>
      </c>
      <c r="BX3510">
        <v>10.8</v>
      </c>
      <c r="BY3510">
        <v>6.44</v>
      </c>
      <c r="BZ3510">
        <v>11.28</v>
      </c>
      <c r="CA3510" t="s">
        <v>120</v>
      </c>
      <c r="CB3510">
        <v>6.01</v>
      </c>
      <c r="CC3510">
        <v>20.6</v>
      </c>
      <c r="CD3510">
        <v>18.2</v>
      </c>
      <c r="CE3510">
        <v>1.43</v>
      </c>
      <c r="CF3510">
        <v>0.01</v>
      </c>
      <c r="CG3510">
        <v>1.42</v>
      </c>
      <c r="CH3510">
        <v>1.27</v>
      </c>
      <c r="CI3510">
        <v>1.27</v>
      </c>
      <c r="CJ3510">
        <v>7.0000000000000007E-2</v>
      </c>
      <c r="CK3510">
        <v>1.23</v>
      </c>
      <c r="CL3510">
        <v>8.23</v>
      </c>
      <c r="CM3510">
        <v>-0.06</v>
      </c>
      <c r="CN3510">
        <v>0.36</v>
      </c>
      <c r="CO3510">
        <v>13675</v>
      </c>
      <c r="CP3510">
        <v>7295</v>
      </c>
      <c r="CQ3510" t="s">
        <v>14834</v>
      </c>
      <c r="CR3510">
        <v>221.63</v>
      </c>
      <c r="CS3510">
        <v>67.05</v>
      </c>
      <c r="CT3510">
        <v>1.77</v>
      </c>
      <c r="CU3510">
        <v>-506.6</v>
      </c>
      <c r="CV3510">
        <v>1.51</v>
      </c>
      <c r="CW3510">
        <v>1.02</v>
      </c>
      <c r="CX3510" t="s">
        <v>194</v>
      </c>
      <c r="CY3510">
        <v>6.07</v>
      </c>
      <c r="CZ3510">
        <v>6.07</v>
      </c>
      <c r="DA3510">
        <v>2.0699999999999998</v>
      </c>
      <c r="DB3510">
        <v>2.84</v>
      </c>
      <c r="DC3510">
        <v>-0.02</v>
      </c>
      <c r="DD3510">
        <v>30.2</v>
      </c>
      <c r="DE3510" t="s">
        <v>1792</v>
      </c>
      <c r="DF3510">
        <v>11.68</v>
      </c>
      <c r="DG3510">
        <v>6.92</v>
      </c>
      <c r="DH3510">
        <v>6.15</v>
      </c>
      <c r="DI3510">
        <v>0.28000000000000003</v>
      </c>
      <c r="DJ3510">
        <v>3509</v>
      </c>
      <c r="DK3510">
        <v>603278</v>
      </c>
      <c r="DL3510" t="s">
        <v>120</v>
      </c>
      <c r="DM3510" t="s">
        <v>120</v>
      </c>
      <c r="DN3510" t="s">
        <v>120</v>
      </c>
    </row>
    <row r="3511" spans="1:118">
      <c r="A3511" t="str">
        <f>"603279"</f>
        <v>603279</v>
      </c>
      <c r="B3511" t="s">
        <v>14835</v>
      </c>
      <c r="C3511">
        <v>-2.54</v>
      </c>
      <c r="D3511">
        <v>-7.0000000000000007E-2</v>
      </c>
      <c r="E3511">
        <v>0.44</v>
      </c>
      <c r="F3511">
        <v>157</v>
      </c>
      <c r="G3511" t="s">
        <v>14836</v>
      </c>
      <c r="H3511">
        <v>10689.44</v>
      </c>
      <c r="I3511">
        <v>10.45</v>
      </c>
      <c r="J3511" t="s">
        <v>120</v>
      </c>
      <c r="K3511" t="s">
        <v>14837</v>
      </c>
      <c r="L3511">
        <v>1.46</v>
      </c>
      <c r="M3511">
        <v>37.54</v>
      </c>
      <c r="N3511">
        <v>0.93</v>
      </c>
      <c r="O3511">
        <v>3.48</v>
      </c>
      <c r="P3511">
        <v>39.86</v>
      </c>
      <c r="Q3511">
        <v>-2.73</v>
      </c>
      <c r="R3511">
        <v>37.47</v>
      </c>
      <c r="S3511">
        <v>38.69</v>
      </c>
      <c r="T3511">
        <v>27859</v>
      </c>
      <c r="U3511">
        <v>37.64</v>
      </c>
      <c r="V3511">
        <v>38.520000000000003</v>
      </c>
      <c r="W3511">
        <v>28.33</v>
      </c>
      <c r="X3511" t="s">
        <v>318</v>
      </c>
      <c r="Y3511" t="s">
        <v>638</v>
      </c>
      <c r="Z3511">
        <v>6.2</v>
      </c>
      <c r="AA3511">
        <v>38.369999999999997</v>
      </c>
      <c r="AB3511">
        <v>13332</v>
      </c>
      <c r="AC3511">
        <v>14527</v>
      </c>
      <c r="AD3511">
        <v>0.92</v>
      </c>
      <c r="AE3511">
        <v>3</v>
      </c>
      <c r="AF3511">
        <v>2</v>
      </c>
      <c r="AG3511" t="s">
        <v>120</v>
      </c>
      <c r="AH3511">
        <v>0</v>
      </c>
      <c r="AI3511" t="s">
        <v>120</v>
      </c>
      <c r="AJ3511">
        <v>1.9</v>
      </c>
      <c r="AK3511" t="s">
        <v>14838</v>
      </c>
      <c r="AL3511">
        <v>-1.2</v>
      </c>
      <c r="AM3511">
        <v>3254</v>
      </c>
      <c r="AN3511">
        <v>9</v>
      </c>
      <c r="AO3511">
        <v>4.0000000000000002E-4</v>
      </c>
      <c r="AP3511">
        <v>-6</v>
      </c>
      <c r="AQ3511">
        <v>-2.1800000000000002</v>
      </c>
      <c r="AR3511">
        <v>-5.76</v>
      </c>
      <c r="AS3511">
        <v>2.71</v>
      </c>
      <c r="AT3511">
        <v>63.5</v>
      </c>
      <c r="AU3511">
        <v>112.33</v>
      </c>
      <c r="AV3511">
        <v>2</v>
      </c>
      <c r="AW3511">
        <v>1.68</v>
      </c>
      <c r="AX3511">
        <v>40.25</v>
      </c>
      <c r="AY3511">
        <v>25.53</v>
      </c>
      <c r="AZ3511">
        <v>30.83</v>
      </c>
      <c r="BA3511">
        <v>1.66</v>
      </c>
      <c r="BB3511" t="s">
        <v>143</v>
      </c>
      <c r="BF3511">
        <v>-0.39</v>
      </c>
      <c r="BG3511">
        <v>-2.97</v>
      </c>
      <c r="BH3511">
        <v>-5.82</v>
      </c>
      <c r="BI3511">
        <v>0.19</v>
      </c>
      <c r="BJ3511">
        <v>20210821</v>
      </c>
      <c r="BK3511">
        <v>20190729</v>
      </c>
      <c r="BL3511">
        <v>4.12</v>
      </c>
      <c r="BM3511" t="s">
        <v>120</v>
      </c>
      <c r="BN3511" t="s">
        <v>120</v>
      </c>
      <c r="BO3511">
        <v>54.33</v>
      </c>
      <c r="BP3511">
        <v>37.53</v>
      </c>
      <c r="BQ3511">
        <v>28.61</v>
      </c>
      <c r="BR3511" t="s">
        <v>120</v>
      </c>
      <c r="BS3511">
        <v>47.33</v>
      </c>
      <c r="BT3511">
        <v>40.450000000000003</v>
      </c>
      <c r="BU3511">
        <v>8.61</v>
      </c>
      <c r="BV3511">
        <v>2.04</v>
      </c>
      <c r="BW3511">
        <v>25.33</v>
      </c>
      <c r="BX3511">
        <v>13.45</v>
      </c>
      <c r="BY3511">
        <v>18.399999999999999</v>
      </c>
      <c r="BZ3511">
        <v>4.9400000000000004</v>
      </c>
      <c r="CA3511" t="s">
        <v>120</v>
      </c>
      <c r="CB3511">
        <v>13.89</v>
      </c>
      <c r="CC3511">
        <v>20.82</v>
      </c>
      <c r="CD3511">
        <v>14.68</v>
      </c>
      <c r="CE3511">
        <v>3.43</v>
      </c>
      <c r="CF3511">
        <v>-0.02</v>
      </c>
      <c r="CG3511">
        <v>3.53</v>
      </c>
      <c r="CH3511">
        <v>2.73</v>
      </c>
      <c r="CI3511">
        <v>2.73</v>
      </c>
      <c r="CJ3511">
        <v>-0.98</v>
      </c>
      <c r="CK3511">
        <v>2.65</v>
      </c>
      <c r="CL3511">
        <v>11.64</v>
      </c>
      <c r="CM3511">
        <v>2.46</v>
      </c>
      <c r="CN3511">
        <v>-3.41</v>
      </c>
      <c r="CO3511">
        <v>11929</v>
      </c>
      <c r="CP3511">
        <v>13899</v>
      </c>
      <c r="CQ3511" t="s">
        <v>12649</v>
      </c>
      <c r="CR3511">
        <v>64.45</v>
      </c>
      <c r="CS3511">
        <v>54.95</v>
      </c>
      <c r="CT3511">
        <v>5.4</v>
      </c>
      <c r="CU3511">
        <v>62.93</v>
      </c>
      <c r="CV3511">
        <v>7.43</v>
      </c>
      <c r="CW3511">
        <v>1.8</v>
      </c>
      <c r="CX3511" t="s">
        <v>2533</v>
      </c>
      <c r="CY3511">
        <v>6.95</v>
      </c>
      <c r="CZ3511">
        <v>0</v>
      </c>
      <c r="DA3511">
        <v>3.37</v>
      </c>
      <c r="DB3511">
        <v>2.83</v>
      </c>
      <c r="DC3511">
        <v>0.6</v>
      </c>
      <c r="DD3511">
        <v>52.67</v>
      </c>
      <c r="DE3511" t="s">
        <v>14839</v>
      </c>
      <c r="DF3511">
        <v>29.5</v>
      </c>
      <c r="DG3511">
        <v>16.47</v>
      </c>
      <c r="DH3511">
        <v>13.11</v>
      </c>
      <c r="DI3511">
        <v>0.67</v>
      </c>
      <c r="DJ3511">
        <v>4287</v>
      </c>
      <c r="DK3511">
        <v>603279</v>
      </c>
      <c r="DL3511" t="s">
        <v>120</v>
      </c>
      <c r="DM3511" t="s">
        <v>120</v>
      </c>
      <c r="DN3511" t="s">
        <v>120</v>
      </c>
    </row>
    <row r="3512" spans="1:118">
      <c r="A3512" t="str">
        <f>"603283"</f>
        <v>603283</v>
      </c>
      <c r="B3512" t="s">
        <v>14840</v>
      </c>
      <c r="C3512">
        <v>-4.05</v>
      </c>
      <c r="D3512">
        <v>0.04</v>
      </c>
      <c r="E3512">
        <v>0.33</v>
      </c>
      <c r="F3512">
        <v>297</v>
      </c>
      <c r="G3512" t="s">
        <v>14841</v>
      </c>
      <c r="H3512">
        <v>6175.07</v>
      </c>
      <c r="I3512">
        <v>11.18</v>
      </c>
      <c r="J3512" t="s">
        <v>120</v>
      </c>
      <c r="K3512" t="s">
        <v>14842</v>
      </c>
      <c r="L3512">
        <v>1.46</v>
      </c>
      <c r="M3512">
        <v>23.24</v>
      </c>
      <c r="N3512">
        <v>1.1499999999999999</v>
      </c>
      <c r="O3512">
        <v>0.33</v>
      </c>
      <c r="P3512">
        <v>24.3</v>
      </c>
      <c r="Q3512">
        <v>-4.09</v>
      </c>
      <c r="R3512">
        <v>23.23</v>
      </c>
      <c r="S3512">
        <v>24.3</v>
      </c>
      <c r="T3512">
        <v>26129</v>
      </c>
      <c r="U3512">
        <v>23.25</v>
      </c>
      <c r="V3512">
        <v>24.22</v>
      </c>
      <c r="W3512">
        <v>62.95</v>
      </c>
      <c r="X3512" t="s">
        <v>675</v>
      </c>
      <c r="Y3512" t="s">
        <v>319</v>
      </c>
      <c r="Z3512">
        <v>4.42</v>
      </c>
      <c r="AA3512">
        <v>23.63</v>
      </c>
      <c r="AB3512">
        <v>17493</v>
      </c>
      <c r="AC3512">
        <v>8636</v>
      </c>
      <c r="AD3512">
        <v>2.0299999999999998</v>
      </c>
      <c r="AE3512">
        <v>49</v>
      </c>
      <c r="AF3512">
        <v>76</v>
      </c>
      <c r="AG3512" t="s">
        <v>120</v>
      </c>
      <c r="AH3512">
        <v>0.01</v>
      </c>
      <c r="AI3512" t="s">
        <v>120</v>
      </c>
      <c r="AJ3512">
        <v>1.79</v>
      </c>
      <c r="AK3512" t="s">
        <v>5174</v>
      </c>
      <c r="AL3512">
        <v>-2.7</v>
      </c>
      <c r="AM3512">
        <v>2009</v>
      </c>
      <c r="AN3512">
        <v>13</v>
      </c>
      <c r="AO3512">
        <v>6.9999999999999999E-4</v>
      </c>
      <c r="AP3512">
        <v>-1</v>
      </c>
      <c r="AQ3512">
        <v>2.54</v>
      </c>
      <c r="AR3512">
        <v>-3.61</v>
      </c>
      <c r="AS3512">
        <v>-13.89</v>
      </c>
      <c r="AT3512">
        <v>-15.76</v>
      </c>
      <c r="AU3512">
        <v>-40.36</v>
      </c>
      <c r="AV3512">
        <v>4</v>
      </c>
      <c r="AW3512">
        <v>3.68</v>
      </c>
      <c r="AX3512">
        <v>39.06</v>
      </c>
      <c r="AY3512">
        <v>42.06</v>
      </c>
      <c r="AZ3512">
        <v>25.19</v>
      </c>
      <c r="BA3512">
        <v>0</v>
      </c>
      <c r="BB3512" t="s">
        <v>751</v>
      </c>
      <c r="BF3512">
        <v>-2.4300000000000002</v>
      </c>
      <c r="BG3512">
        <v>-4.3600000000000003</v>
      </c>
      <c r="BH3512">
        <v>-4.3600000000000003</v>
      </c>
      <c r="BI3512">
        <v>0.04</v>
      </c>
      <c r="BJ3512">
        <v>20210812</v>
      </c>
      <c r="BK3512">
        <v>20171225</v>
      </c>
      <c r="BL3512">
        <v>1.82</v>
      </c>
      <c r="BM3512" t="s">
        <v>120</v>
      </c>
      <c r="BN3512" t="s">
        <v>120</v>
      </c>
      <c r="BO3512">
        <v>34.15</v>
      </c>
      <c r="BP3512">
        <v>23.24</v>
      </c>
      <c r="BQ3512">
        <v>12</v>
      </c>
      <c r="BR3512">
        <v>0.46</v>
      </c>
      <c r="BS3512">
        <v>63.51</v>
      </c>
      <c r="BT3512">
        <v>23.02</v>
      </c>
      <c r="BU3512">
        <v>4.87</v>
      </c>
      <c r="BV3512">
        <v>1.04</v>
      </c>
      <c r="BW3512">
        <v>19.920000000000002</v>
      </c>
      <c r="BX3512">
        <v>5.69</v>
      </c>
      <c r="BY3512">
        <v>8.74</v>
      </c>
      <c r="BZ3512">
        <v>6.7</v>
      </c>
      <c r="CA3512" t="s">
        <v>120</v>
      </c>
      <c r="CB3512">
        <v>7</v>
      </c>
      <c r="CC3512">
        <v>7.55</v>
      </c>
      <c r="CD3512">
        <v>4.33</v>
      </c>
      <c r="CE3512">
        <v>0.27</v>
      </c>
      <c r="CF3512">
        <v>0.06</v>
      </c>
      <c r="CG3512">
        <v>0.27</v>
      </c>
      <c r="CH3512">
        <v>0.35</v>
      </c>
      <c r="CI3512">
        <v>0.34</v>
      </c>
      <c r="CJ3512">
        <v>-0.98</v>
      </c>
      <c r="CK3512">
        <v>0.26</v>
      </c>
      <c r="CL3512">
        <v>3.08</v>
      </c>
      <c r="CM3512">
        <v>4.1500000000000004</v>
      </c>
      <c r="CN3512">
        <v>1.9</v>
      </c>
      <c r="CO3512">
        <v>22401</v>
      </c>
      <c r="CP3512">
        <v>3172</v>
      </c>
      <c r="CQ3512" t="s">
        <v>1785</v>
      </c>
      <c r="CR3512">
        <v>-67.63</v>
      </c>
      <c r="CS3512">
        <v>10.85</v>
      </c>
      <c r="CT3512">
        <v>3.52</v>
      </c>
      <c r="CU3512">
        <v>10.18</v>
      </c>
      <c r="CV3512">
        <v>5.6</v>
      </c>
      <c r="CW3512">
        <v>2.68</v>
      </c>
      <c r="CX3512" t="s">
        <v>442</v>
      </c>
      <c r="CY3512">
        <v>6.6</v>
      </c>
      <c r="CZ3512">
        <v>0</v>
      </c>
      <c r="DA3512">
        <v>3.85</v>
      </c>
      <c r="DB3512">
        <v>1.69</v>
      </c>
      <c r="DC3512">
        <v>2.2799999999999998</v>
      </c>
      <c r="DD3512">
        <v>35.15</v>
      </c>
      <c r="DE3512" t="s">
        <v>2028</v>
      </c>
      <c r="DF3512">
        <v>42.65</v>
      </c>
      <c r="DG3512">
        <v>3.63</v>
      </c>
      <c r="DH3512">
        <v>4.45</v>
      </c>
      <c r="DI3512">
        <v>0.97</v>
      </c>
      <c r="DJ3512">
        <v>2694</v>
      </c>
      <c r="DK3512">
        <v>603283</v>
      </c>
      <c r="DL3512" t="s">
        <v>120</v>
      </c>
      <c r="DM3512" t="s">
        <v>120</v>
      </c>
      <c r="DN3512" t="s">
        <v>120</v>
      </c>
    </row>
    <row r="3513" spans="1:118">
      <c r="A3513" t="str">
        <f>"603286"</f>
        <v>603286</v>
      </c>
      <c r="B3513" t="s">
        <v>14843</v>
      </c>
      <c r="C3513">
        <v>-0.56999999999999995</v>
      </c>
      <c r="D3513">
        <v>0</v>
      </c>
      <c r="E3513">
        <v>0.06</v>
      </c>
      <c r="F3513">
        <v>415</v>
      </c>
      <c r="G3513" t="s">
        <v>14844</v>
      </c>
      <c r="H3513">
        <v>2151.6799999999998</v>
      </c>
      <c r="I3513">
        <v>8.6199999999999992</v>
      </c>
      <c r="J3513" t="s">
        <v>120</v>
      </c>
      <c r="K3513" t="s">
        <v>4769</v>
      </c>
      <c r="L3513">
        <v>1.55</v>
      </c>
      <c r="M3513">
        <v>15.58</v>
      </c>
      <c r="N3513">
        <v>0.55000000000000004</v>
      </c>
      <c r="O3513">
        <v>1.79</v>
      </c>
      <c r="P3513">
        <v>15.95</v>
      </c>
      <c r="Q3513">
        <v>-0.64</v>
      </c>
      <c r="R3513">
        <v>15.57</v>
      </c>
      <c r="S3513">
        <v>15.68</v>
      </c>
      <c r="T3513">
        <v>13656</v>
      </c>
      <c r="U3513">
        <v>15.59</v>
      </c>
      <c r="V3513">
        <v>15.67</v>
      </c>
      <c r="W3513">
        <v>58.16</v>
      </c>
      <c r="X3513" t="s">
        <v>289</v>
      </c>
      <c r="Y3513" t="s">
        <v>319</v>
      </c>
      <c r="Z3513">
        <v>2.4300000000000002</v>
      </c>
      <c r="AA3513">
        <v>15.76</v>
      </c>
      <c r="AB3513">
        <v>7880</v>
      </c>
      <c r="AC3513">
        <v>5776</v>
      </c>
      <c r="AD3513">
        <v>1.36</v>
      </c>
      <c r="AE3513">
        <v>94</v>
      </c>
      <c r="AF3513">
        <v>86</v>
      </c>
      <c r="AG3513" t="s">
        <v>120</v>
      </c>
      <c r="AH3513">
        <v>0.01</v>
      </c>
      <c r="AI3513" t="s">
        <v>120</v>
      </c>
      <c r="AJ3513">
        <v>0.88</v>
      </c>
      <c r="AK3513" t="s">
        <v>4769</v>
      </c>
      <c r="AL3513">
        <v>0.77</v>
      </c>
      <c r="AM3513">
        <v>1079</v>
      </c>
      <c r="AN3513">
        <v>13</v>
      </c>
      <c r="AO3513">
        <v>1.4E-3</v>
      </c>
      <c r="AP3513">
        <v>-1</v>
      </c>
      <c r="AQ3513">
        <v>1.36</v>
      </c>
      <c r="AR3513">
        <v>-2.0099999999999998</v>
      </c>
      <c r="AS3513">
        <v>0.52</v>
      </c>
      <c r="AT3513">
        <v>8.68</v>
      </c>
      <c r="AU3513">
        <v>2.5299999999999998</v>
      </c>
      <c r="AV3513">
        <v>2</v>
      </c>
      <c r="AW3513">
        <v>2.89</v>
      </c>
      <c r="AX3513">
        <v>53.65</v>
      </c>
      <c r="AY3513">
        <v>68.33</v>
      </c>
      <c r="AZ3513">
        <v>93.52</v>
      </c>
      <c r="BA3513">
        <v>0.59</v>
      </c>
      <c r="BB3513" t="s">
        <v>143</v>
      </c>
      <c r="BF3513">
        <v>0.55000000000000004</v>
      </c>
      <c r="BG3513">
        <v>-0.64</v>
      </c>
      <c r="BH3513">
        <v>-2.3199999999999998</v>
      </c>
      <c r="BI3513">
        <v>0.06</v>
      </c>
      <c r="BJ3513">
        <v>20210830</v>
      </c>
      <c r="BK3513">
        <v>20170627</v>
      </c>
      <c r="BL3513">
        <v>0.88</v>
      </c>
      <c r="BM3513" t="s">
        <v>120</v>
      </c>
      <c r="BN3513" t="s">
        <v>120</v>
      </c>
      <c r="BO3513">
        <v>8.57</v>
      </c>
      <c r="BP3513">
        <v>15.58</v>
      </c>
      <c r="BQ3513">
        <v>4.8</v>
      </c>
      <c r="BR3513">
        <v>0.23</v>
      </c>
      <c r="BS3513">
        <v>41.32</v>
      </c>
      <c r="BT3513">
        <v>4.42</v>
      </c>
      <c r="BU3513">
        <v>2.2799999999999998</v>
      </c>
      <c r="BV3513">
        <v>0.47</v>
      </c>
      <c r="BW3513">
        <v>2.89</v>
      </c>
      <c r="BX3513">
        <v>1.48</v>
      </c>
      <c r="BY3513">
        <v>0.94</v>
      </c>
      <c r="BZ3513">
        <v>1.6</v>
      </c>
      <c r="CA3513" t="s">
        <v>120</v>
      </c>
      <c r="CB3513">
        <v>1.96</v>
      </c>
      <c r="CC3513">
        <v>2.7</v>
      </c>
      <c r="CD3513">
        <v>1.99</v>
      </c>
      <c r="CE3513">
        <v>0.17</v>
      </c>
      <c r="CF3513">
        <v>-0.01</v>
      </c>
      <c r="CG3513">
        <v>0.16</v>
      </c>
      <c r="CH3513">
        <v>0.14000000000000001</v>
      </c>
      <c r="CI3513">
        <v>0.12</v>
      </c>
      <c r="CJ3513">
        <v>-0.09</v>
      </c>
      <c r="CK3513">
        <v>0.11</v>
      </c>
      <c r="CL3513">
        <v>1.69</v>
      </c>
      <c r="CM3513">
        <v>0.3</v>
      </c>
      <c r="CN3513">
        <v>0.44</v>
      </c>
      <c r="CO3513">
        <v>7190</v>
      </c>
      <c r="CP3513">
        <v>6572</v>
      </c>
      <c r="CQ3513" t="s">
        <v>8525</v>
      </c>
      <c r="CR3513">
        <v>85.63</v>
      </c>
      <c r="CS3513">
        <v>32.83</v>
      </c>
      <c r="CT3513">
        <v>2.86</v>
      </c>
      <c r="CU3513">
        <v>45.36</v>
      </c>
      <c r="CV3513">
        <v>5.08</v>
      </c>
      <c r="CW3513">
        <v>0.22</v>
      </c>
      <c r="CX3513" t="s">
        <v>986</v>
      </c>
      <c r="CY3513">
        <v>5.45</v>
      </c>
      <c r="CZ3513">
        <v>0</v>
      </c>
      <c r="DA3513">
        <v>2.23</v>
      </c>
      <c r="DB3513">
        <v>1.91</v>
      </c>
      <c r="DC3513">
        <v>0.34</v>
      </c>
      <c r="DD3513">
        <v>56.01</v>
      </c>
      <c r="DE3513" t="s">
        <v>3782</v>
      </c>
      <c r="DF3513">
        <v>26.1</v>
      </c>
      <c r="DG3513">
        <v>6.12</v>
      </c>
      <c r="DH3513">
        <v>4.37</v>
      </c>
      <c r="DI3513">
        <v>0.17</v>
      </c>
      <c r="DJ3513">
        <v>1112</v>
      </c>
      <c r="DK3513">
        <v>603286</v>
      </c>
      <c r="DL3513" t="s">
        <v>120</v>
      </c>
      <c r="DM3513" t="s">
        <v>120</v>
      </c>
      <c r="DN3513" t="s">
        <v>120</v>
      </c>
    </row>
    <row r="3514" spans="1:118">
      <c r="A3514" t="str">
        <f>"603288"</f>
        <v>603288</v>
      </c>
      <c r="B3514" t="s">
        <v>14845</v>
      </c>
      <c r="C3514">
        <v>3.17</v>
      </c>
      <c r="D3514">
        <v>-0.43</v>
      </c>
      <c r="E3514">
        <v>-0.37</v>
      </c>
      <c r="F3514">
        <v>1952</v>
      </c>
      <c r="G3514" t="s">
        <v>14846</v>
      </c>
      <c r="H3514">
        <v>87519.65</v>
      </c>
      <c r="I3514">
        <v>307.36</v>
      </c>
      <c r="J3514" t="s">
        <v>120</v>
      </c>
      <c r="K3514" t="s">
        <v>14847</v>
      </c>
      <c r="L3514">
        <v>0.24</v>
      </c>
      <c r="M3514">
        <v>89.06</v>
      </c>
      <c r="N3514">
        <v>1.42</v>
      </c>
      <c r="O3514">
        <v>4.1399999999999997</v>
      </c>
      <c r="P3514">
        <v>89.89</v>
      </c>
      <c r="Q3514">
        <v>-0.95</v>
      </c>
      <c r="R3514">
        <v>85.5</v>
      </c>
      <c r="S3514">
        <v>86</v>
      </c>
      <c r="T3514">
        <v>99377</v>
      </c>
      <c r="U3514">
        <v>89.08</v>
      </c>
      <c r="V3514">
        <v>86.32</v>
      </c>
      <c r="W3514">
        <v>55.95</v>
      </c>
      <c r="X3514" t="s">
        <v>847</v>
      </c>
      <c r="Y3514" t="s">
        <v>547</v>
      </c>
      <c r="Z3514">
        <v>5.09</v>
      </c>
      <c r="AA3514">
        <v>88.07</v>
      </c>
      <c r="AB3514">
        <v>43091</v>
      </c>
      <c r="AC3514">
        <v>56286</v>
      </c>
      <c r="AD3514">
        <v>0.77</v>
      </c>
      <c r="AE3514">
        <v>0</v>
      </c>
      <c r="AF3514">
        <v>13</v>
      </c>
      <c r="AG3514" t="s">
        <v>120</v>
      </c>
      <c r="AH3514">
        <v>0</v>
      </c>
      <c r="AI3514" t="s">
        <v>120</v>
      </c>
      <c r="AJ3514">
        <v>42.13</v>
      </c>
      <c r="AK3514" t="s">
        <v>14847</v>
      </c>
      <c r="AL3514">
        <v>4.5199999999999996</v>
      </c>
      <c r="AM3514">
        <v>4540</v>
      </c>
      <c r="AN3514">
        <v>22</v>
      </c>
      <c r="AO3514">
        <v>1E-4</v>
      </c>
      <c r="AP3514">
        <v>1</v>
      </c>
      <c r="AQ3514">
        <v>-2.11</v>
      </c>
      <c r="AR3514">
        <v>0.11</v>
      </c>
      <c r="AS3514">
        <v>-19.350000000000001</v>
      </c>
      <c r="AT3514">
        <v>-31.5</v>
      </c>
      <c r="AU3514">
        <v>-41.96</v>
      </c>
      <c r="AV3514">
        <v>0</v>
      </c>
      <c r="AW3514">
        <v>0.9</v>
      </c>
      <c r="AX3514">
        <v>26.11</v>
      </c>
      <c r="AY3514">
        <v>55.92</v>
      </c>
      <c r="AZ3514">
        <v>56.79</v>
      </c>
      <c r="BA3514">
        <v>0.98</v>
      </c>
      <c r="BB3514" t="s">
        <v>125</v>
      </c>
      <c r="BF3514">
        <v>2.0299999999999998</v>
      </c>
      <c r="BG3514">
        <v>3.56</v>
      </c>
      <c r="BH3514">
        <v>-0.92</v>
      </c>
      <c r="BI3514">
        <v>4.16</v>
      </c>
      <c r="BJ3514">
        <v>20210831</v>
      </c>
      <c r="BK3514">
        <v>20140211</v>
      </c>
      <c r="BL3514">
        <v>42.13</v>
      </c>
      <c r="BM3514" t="s">
        <v>120</v>
      </c>
      <c r="BN3514" t="s">
        <v>120</v>
      </c>
      <c r="BO3514">
        <v>263.8</v>
      </c>
      <c r="BP3514">
        <v>89.06</v>
      </c>
      <c r="BQ3514">
        <v>200.83</v>
      </c>
      <c r="BR3514">
        <v>1</v>
      </c>
      <c r="BS3514">
        <v>23.49</v>
      </c>
      <c r="BT3514">
        <v>208.62</v>
      </c>
      <c r="BU3514">
        <v>37.61</v>
      </c>
      <c r="BV3514">
        <v>3.83</v>
      </c>
      <c r="BW3514">
        <v>58.18</v>
      </c>
      <c r="BX3514">
        <v>167.52</v>
      </c>
      <c r="BY3514">
        <v>17.809999999999999</v>
      </c>
      <c r="BZ3514">
        <v>0.28000000000000003</v>
      </c>
      <c r="CA3514" t="s">
        <v>120</v>
      </c>
      <c r="CB3514">
        <v>1.42</v>
      </c>
      <c r="CC3514">
        <v>123.32</v>
      </c>
      <c r="CD3514">
        <v>74.84</v>
      </c>
      <c r="CE3514">
        <v>39.31</v>
      </c>
      <c r="CF3514">
        <v>0.25</v>
      </c>
      <c r="CG3514">
        <v>39.450000000000003</v>
      </c>
      <c r="CH3514">
        <v>33.549999999999997</v>
      </c>
      <c r="CI3514">
        <v>33.53</v>
      </c>
      <c r="CJ3514">
        <v>2.74</v>
      </c>
      <c r="CK3514">
        <v>32.5</v>
      </c>
      <c r="CL3514">
        <v>140.9</v>
      </c>
      <c r="CM3514">
        <v>2.54</v>
      </c>
      <c r="CN3514">
        <v>-9.26</v>
      </c>
      <c r="CO3514">
        <v>162936</v>
      </c>
      <c r="CP3514">
        <v>6750</v>
      </c>
      <c r="CQ3514" t="s">
        <v>14848</v>
      </c>
      <c r="CR3514">
        <v>3.07</v>
      </c>
      <c r="CS3514">
        <v>6.36</v>
      </c>
      <c r="CT3514">
        <v>18.68</v>
      </c>
      <c r="CU3514">
        <v>1479.25</v>
      </c>
      <c r="CV3514">
        <v>30.42</v>
      </c>
      <c r="CW3514">
        <v>0.92</v>
      </c>
      <c r="CX3514" t="s">
        <v>127</v>
      </c>
      <c r="CY3514">
        <v>4.7699999999999996</v>
      </c>
      <c r="CZ3514">
        <v>0</v>
      </c>
      <c r="DA3514">
        <v>0.03</v>
      </c>
      <c r="DB3514">
        <v>3.34</v>
      </c>
      <c r="DC3514">
        <v>0.06</v>
      </c>
      <c r="DD3514">
        <v>76.13</v>
      </c>
      <c r="DE3514" t="s">
        <v>14849</v>
      </c>
      <c r="DF3514">
        <v>39.31</v>
      </c>
      <c r="DG3514">
        <v>31.88</v>
      </c>
      <c r="DH3514">
        <v>27.19</v>
      </c>
      <c r="DI3514">
        <v>3.37</v>
      </c>
      <c r="DJ3514">
        <v>6058</v>
      </c>
      <c r="DK3514">
        <v>603288</v>
      </c>
      <c r="DL3514" t="s">
        <v>120</v>
      </c>
      <c r="DM3514" t="s">
        <v>120</v>
      </c>
      <c r="DN3514" t="s">
        <v>120</v>
      </c>
    </row>
    <row r="3515" spans="1:118">
      <c r="A3515" t="str">
        <f>"603289"</f>
        <v>603289</v>
      </c>
      <c r="B3515" t="s">
        <v>14850</v>
      </c>
      <c r="C3515">
        <v>0</v>
      </c>
      <c r="D3515">
        <v>0</v>
      </c>
      <c r="E3515">
        <v>0.93</v>
      </c>
      <c r="F3515">
        <v>217</v>
      </c>
      <c r="G3515" t="s">
        <v>6811</v>
      </c>
      <c r="H3515">
        <v>5892.79</v>
      </c>
      <c r="I3515">
        <v>48.85</v>
      </c>
      <c r="J3515" t="s">
        <v>120</v>
      </c>
      <c r="K3515" t="s">
        <v>2458</v>
      </c>
      <c r="L3515">
        <v>2.21</v>
      </c>
      <c r="M3515">
        <v>9.6999999999999993</v>
      </c>
      <c r="N3515">
        <v>2.31</v>
      </c>
      <c r="O3515">
        <v>7.22</v>
      </c>
      <c r="P3515">
        <v>10.4</v>
      </c>
      <c r="Q3515">
        <v>-0.93</v>
      </c>
      <c r="R3515">
        <v>9.61</v>
      </c>
      <c r="S3515">
        <v>9.7899999999999991</v>
      </c>
      <c r="T3515">
        <v>58855</v>
      </c>
      <c r="U3515">
        <v>9.6999999999999993</v>
      </c>
      <c r="V3515">
        <v>9.6999999999999993</v>
      </c>
      <c r="W3515">
        <v>16.649999999999999</v>
      </c>
      <c r="X3515" t="s">
        <v>675</v>
      </c>
      <c r="Y3515" t="s">
        <v>585</v>
      </c>
      <c r="Z3515">
        <v>8.14</v>
      </c>
      <c r="AA3515">
        <v>10.01</v>
      </c>
      <c r="AB3515">
        <v>31939</v>
      </c>
      <c r="AC3515">
        <v>26916</v>
      </c>
      <c r="AD3515">
        <v>1.19</v>
      </c>
      <c r="AE3515">
        <v>5</v>
      </c>
      <c r="AF3515">
        <v>69</v>
      </c>
      <c r="AG3515" t="s">
        <v>120</v>
      </c>
      <c r="AH3515">
        <v>0.05</v>
      </c>
      <c r="AI3515" t="s">
        <v>120</v>
      </c>
      <c r="AJ3515">
        <v>2.66</v>
      </c>
      <c r="AK3515" t="s">
        <v>607</v>
      </c>
      <c r="AL3515">
        <v>1.34</v>
      </c>
      <c r="AM3515">
        <v>2348</v>
      </c>
      <c r="AN3515">
        <v>25</v>
      </c>
      <c r="AO3515">
        <v>8.9999999999999998E-4</v>
      </c>
      <c r="AP3515">
        <v>0</v>
      </c>
      <c r="AQ3515">
        <v>-1.32</v>
      </c>
      <c r="AR3515">
        <v>-2.3199999999999998</v>
      </c>
      <c r="AS3515">
        <v>6.01</v>
      </c>
      <c r="AT3515">
        <v>7.78</v>
      </c>
      <c r="AU3515">
        <v>21.1</v>
      </c>
      <c r="AV3515">
        <v>1</v>
      </c>
      <c r="AW3515">
        <v>6.23</v>
      </c>
      <c r="AX3515">
        <v>31.96</v>
      </c>
      <c r="AY3515">
        <v>20.91</v>
      </c>
      <c r="AZ3515">
        <v>33.090000000000003</v>
      </c>
      <c r="BA3515">
        <v>0.9</v>
      </c>
      <c r="BB3515" t="s">
        <v>143</v>
      </c>
      <c r="BF3515">
        <v>3.22</v>
      </c>
      <c r="BG3515">
        <v>-0.92</v>
      </c>
      <c r="BH3515">
        <v>-6.73</v>
      </c>
      <c r="BI3515">
        <v>0.94</v>
      </c>
      <c r="BJ3515">
        <v>20210914</v>
      </c>
      <c r="BK3515">
        <v>20171031</v>
      </c>
      <c r="BL3515">
        <v>2.96</v>
      </c>
      <c r="BM3515" t="s">
        <v>120</v>
      </c>
      <c r="BN3515" t="s">
        <v>120</v>
      </c>
      <c r="BO3515">
        <v>17.48</v>
      </c>
      <c r="BP3515">
        <v>9.69</v>
      </c>
      <c r="BQ3515">
        <v>12.81</v>
      </c>
      <c r="BR3515" t="s">
        <v>120</v>
      </c>
      <c r="BS3515">
        <v>26.75</v>
      </c>
      <c r="BT3515">
        <v>13.7</v>
      </c>
      <c r="BU3515">
        <v>1.93</v>
      </c>
      <c r="BV3515">
        <v>0.72</v>
      </c>
      <c r="BW3515">
        <v>4.5999999999999996</v>
      </c>
      <c r="BX3515">
        <v>6.32</v>
      </c>
      <c r="BY3515">
        <v>2.82</v>
      </c>
      <c r="BZ3515">
        <v>2.97</v>
      </c>
      <c r="CA3515" t="s">
        <v>120</v>
      </c>
      <c r="CB3515">
        <v>4.8600000000000003</v>
      </c>
      <c r="CC3515">
        <v>5.71</v>
      </c>
      <c r="CD3515">
        <v>3.92</v>
      </c>
      <c r="CE3515">
        <v>0.97</v>
      </c>
      <c r="CF3515">
        <v>0.02</v>
      </c>
      <c r="CG3515">
        <v>0.96</v>
      </c>
      <c r="CH3515">
        <v>0.86</v>
      </c>
      <c r="CI3515">
        <v>0.86</v>
      </c>
      <c r="CJ3515">
        <v>0</v>
      </c>
      <c r="CK3515">
        <v>0.75</v>
      </c>
      <c r="CL3515">
        <v>4.37</v>
      </c>
      <c r="CM3515">
        <v>1.1000000000000001</v>
      </c>
      <c r="CN3515">
        <v>2.31</v>
      </c>
      <c r="CO3515">
        <v>11661</v>
      </c>
      <c r="CP3515">
        <v>8106</v>
      </c>
      <c r="CQ3515" t="s">
        <v>2384</v>
      </c>
      <c r="CR3515">
        <v>141.38</v>
      </c>
      <c r="CS3515">
        <v>69.260000000000005</v>
      </c>
      <c r="CT3515">
        <v>2.25</v>
      </c>
      <c r="CU3515">
        <v>26.07</v>
      </c>
      <c r="CV3515">
        <v>5.0199999999999996</v>
      </c>
      <c r="CW3515">
        <v>2.06</v>
      </c>
      <c r="CX3515" t="s">
        <v>2752</v>
      </c>
      <c r="CY3515">
        <v>4.3099999999999996</v>
      </c>
      <c r="CZ3515">
        <v>4.3099999999999996</v>
      </c>
      <c r="DA3515">
        <v>1.64</v>
      </c>
      <c r="DB3515">
        <v>1.48</v>
      </c>
      <c r="DC3515">
        <v>0.37</v>
      </c>
      <c r="DD3515">
        <v>73.25</v>
      </c>
      <c r="DE3515" t="s">
        <v>8312</v>
      </c>
      <c r="DF3515">
        <v>31.41</v>
      </c>
      <c r="DG3515">
        <v>16.97</v>
      </c>
      <c r="DH3515">
        <v>15.09</v>
      </c>
      <c r="DI3515">
        <v>0.28999999999999998</v>
      </c>
      <c r="DJ3515">
        <v>829</v>
      </c>
      <c r="DK3515">
        <v>603289</v>
      </c>
      <c r="DL3515" t="s">
        <v>120</v>
      </c>
      <c r="DM3515" t="s">
        <v>120</v>
      </c>
      <c r="DN3515" t="s">
        <v>120</v>
      </c>
    </row>
    <row r="3516" spans="1:118">
      <c r="A3516" t="str">
        <f>"603290"</f>
        <v>603290</v>
      </c>
      <c r="B3516" t="s">
        <v>14851</v>
      </c>
      <c r="C3516">
        <v>1.81</v>
      </c>
      <c r="D3516">
        <v>1</v>
      </c>
      <c r="E3516">
        <v>-0.56999999999999995</v>
      </c>
      <c r="F3516">
        <v>2294</v>
      </c>
      <c r="G3516" t="s">
        <v>14852</v>
      </c>
      <c r="H3516">
        <v>63888.73</v>
      </c>
      <c r="I3516">
        <v>176.99</v>
      </c>
      <c r="J3516" t="s">
        <v>120</v>
      </c>
      <c r="K3516" t="s">
        <v>14853</v>
      </c>
      <c r="L3516">
        <v>2.27</v>
      </c>
      <c r="M3516">
        <v>362.44</v>
      </c>
      <c r="N3516">
        <v>0.92</v>
      </c>
      <c r="O3516">
        <v>1.91</v>
      </c>
      <c r="P3516">
        <v>362.8</v>
      </c>
      <c r="Q3516">
        <v>-2.25</v>
      </c>
      <c r="R3516">
        <v>348</v>
      </c>
      <c r="S3516">
        <v>353.98</v>
      </c>
      <c r="T3516">
        <v>17898</v>
      </c>
      <c r="U3516">
        <v>362.44</v>
      </c>
      <c r="V3516">
        <v>356</v>
      </c>
      <c r="W3516">
        <v>188.3</v>
      </c>
      <c r="X3516" t="s">
        <v>3245</v>
      </c>
      <c r="Y3516" t="s">
        <v>585</v>
      </c>
      <c r="Z3516">
        <v>4.16</v>
      </c>
      <c r="AA3516">
        <v>356.96</v>
      </c>
      <c r="AB3516">
        <v>8456</v>
      </c>
      <c r="AC3516">
        <v>9442</v>
      </c>
      <c r="AD3516">
        <v>0.9</v>
      </c>
      <c r="AE3516">
        <v>1</v>
      </c>
      <c r="AF3516">
        <v>64</v>
      </c>
      <c r="AG3516" t="s">
        <v>120</v>
      </c>
      <c r="AH3516">
        <v>0.01</v>
      </c>
      <c r="AI3516" t="s">
        <v>120</v>
      </c>
      <c r="AJ3516">
        <v>0.79</v>
      </c>
      <c r="AK3516" t="s">
        <v>14854</v>
      </c>
      <c r="AL3516">
        <v>3.15</v>
      </c>
      <c r="AM3516">
        <v>3526</v>
      </c>
      <c r="AN3516">
        <v>5</v>
      </c>
      <c r="AO3516">
        <v>5.9999999999999995E-4</v>
      </c>
      <c r="AP3516">
        <v>1</v>
      </c>
      <c r="AQ3516">
        <v>-0.39</v>
      </c>
      <c r="AR3516">
        <v>5.08</v>
      </c>
      <c r="AS3516">
        <v>1.27</v>
      </c>
      <c r="AT3516">
        <v>21.16</v>
      </c>
      <c r="AU3516">
        <v>50.67</v>
      </c>
      <c r="AV3516">
        <v>8</v>
      </c>
      <c r="AW3516">
        <v>3.35</v>
      </c>
      <c r="AX3516">
        <v>33.4</v>
      </c>
      <c r="AY3516">
        <v>224.25</v>
      </c>
      <c r="AZ3516">
        <v>315.25</v>
      </c>
      <c r="BA3516">
        <v>0.34</v>
      </c>
      <c r="BB3516" t="s">
        <v>1103</v>
      </c>
      <c r="BF3516">
        <v>0.27</v>
      </c>
      <c r="BG3516">
        <v>2.39</v>
      </c>
      <c r="BH3516">
        <v>-0.1</v>
      </c>
      <c r="BI3516">
        <v>4.1500000000000004</v>
      </c>
      <c r="BJ3516">
        <v>20210913</v>
      </c>
      <c r="BK3516">
        <v>20200204</v>
      </c>
      <c r="BL3516">
        <v>1.6</v>
      </c>
      <c r="BM3516" t="s">
        <v>120</v>
      </c>
      <c r="BN3516" t="s">
        <v>120</v>
      </c>
      <c r="BO3516">
        <v>15.8</v>
      </c>
      <c r="BP3516">
        <v>362.42</v>
      </c>
      <c r="BQ3516">
        <v>12.64</v>
      </c>
      <c r="BR3516">
        <v>-0.02</v>
      </c>
      <c r="BS3516">
        <v>20.100000000000001</v>
      </c>
      <c r="BT3516">
        <v>11.04</v>
      </c>
      <c r="BU3516">
        <v>3.17</v>
      </c>
      <c r="BV3516">
        <v>0.56999999999999995</v>
      </c>
      <c r="BW3516">
        <v>1.98</v>
      </c>
      <c r="BX3516">
        <v>1.7</v>
      </c>
      <c r="BY3516">
        <v>2.93</v>
      </c>
      <c r="BZ3516">
        <v>3.11</v>
      </c>
      <c r="CA3516" t="s">
        <v>120</v>
      </c>
      <c r="CB3516">
        <v>4.68</v>
      </c>
      <c r="CC3516">
        <v>7.19</v>
      </c>
      <c r="CD3516">
        <v>4.71</v>
      </c>
      <c r="CE3516">
        <v>1.78</v>
      </c>
      <c r="CF3516">
        <v>0</v>
      </c>
      <c r="CG3516">
        <v>1.83</v>
      </c>
      <c r="CH3516">
        <v>1.54</v>
      </c>
      <c r="CI3516">
        <v>1.54</v>
      </c>
      <c r="CJ3516">
        <v>6.44</v>
      </c>
      <c r="CK3516">
        <v>1.42</v>
      </c>
      <c r="CL3516">
        <v>5.86</v>
      </c>
      <c r="CM3516">
        <v>1.45</v>
      </c>
      <c r="CN3516">
        <v>0.88</v>
      </c>
      <c r="CO3516">
        <v>20243</v>
      </c>
      <c r="CP3516">
        <v>2640</v>
      </c>
      <c r="CQ3516" t="s">
        <v>14855</v>
      </c>
      <c r="CR3516">
        <v>90.88</v>
      </c>
      <c r="CS3516">
        <v>72.62</v>
      </c>
      <c r="CT3516">
        <v>45.88</v>
      </c>
      <c r="CU3516">
        <v>401.2</v>
      </c>
      <c r="CV3516">
        <v>80.66</v>
      </c>
      <c r="CW3516">
        <v>0.1</v>
      </c>
      <c r="CX3516" t="s">
        <v>14856</v>
      </c>
      <c r="CY3516">
        <v>7.9</v>
      </c>
      <c r="CZ3516">
        <v>0</v>
      </c>
      <c r="DA3516">
        <v>2.93</v>
      </c>
      <c r="DB3516">
        <v>3.66</v>
      </c>
      <c r="DC3516">
        <v>0.9</v>
      </c>
      <c r="DD3516">
        <v>80</v>
      </c>
      <c r="DE3516" t="s">
        <v>14857</v>
      </c>
      <c r="DF3516">
        <v>34.42</v>
      </c>
      <c r="DG3516">
        <v>24.82</v>
      </c>
      <c r="DH3516">
        <v>21.42</v>
      </c>
      <c r="DI3516">
        <v>0.45</v>
      </c>
      <c r="DJ3516">
        <v>708</v>
      </c>
      <c r="DK3516">
        <v>603290</v>
      </c>
      <c r="DL3516">
        <v>20210622</v>
      </c>
      <c r="DM3516">
        <v>296</v>
      </c>
      <c r="DN3516">
        <v>22.45</v>
      </c>
    </row>
    <row r="3517" spans="1:118">
      <c r="A3517" t="str">
        <f>"603297"</f>
        <v>603297</v>
      </c>
      <c r="B3517" t="s">
        <v>14858</v>
      </c>
      <c r="C3517">
        <v>-0.32</v>
      </c>
      <c r="D3517">
        <v>0.31</v>
      </c>
      <c r="E3517">
        <v>0.88</v>
      </c>
      <c r="F3517">
        <v>139</v>
      </c>
      <c r="G3517" t="s">
        <v>14859</v>
      </c>
      <c r="H3517">
        <v>8220.85</v>
      </c>
      <c r="I3517">
        <v>46.11</v>
      </c>
      <c r="J3517" t="s">
        <v>120</v>
      </c>
      <c r="K3517" t="s">
        <v>14860</v>
      </c>
      <c r="L3517">
        <v>1.1000000000000001</v>
      </c>
      <c r="M3517">
        <v>68</v>
      </c>
      <c r="N3517">
        <v>0.5</v>
      </c>
      <c r="O3517">
        <v>3.28</v>
      </c>
      <c r="P3517">
        <v>70.459999999999994</v>
      </c>
      <c r="Q3517">
        <v>-1.5</v>
      </c>
      <c r="R3517">
        <v>67.2</v>
      </c>
      <c r="S3517">
        <v>68.819999999999993</v>
      </c>
      <c r="T3517">
        <v>12018</v>
      </c>
      <c r="U3517">
        <v>68.02</v>
      </c>
      <c r="V3517">
        <v>68.22</v>
      </c>
      <c r="W3517">
        <v>22.93</v>
      </c>
      <c r="X3517" t="s">
        <v>2717</v>
      </c>
      <c r="Y3517" t="s">
        <v>585</v>
      </c>
      <c r="Z3517">
        <v>4.78</v>
      </c>
      <c r="AA3517">
        <v>68.400000000000006</v>
      </c>
      <c r="AB3517">
        <v>6999</v>
      </c>
      <c r="AC3517">
        <v>5019</v>
      </c>
      <c r="AD3517">
        <v>1.39</v>
      </c>
      <c r="AE3517">
        <v>12</v>
      </c>
      <c r="AF3517">
        <v>6</v>
      </c>
      <c r="AG3517" t="s">
        <v>120</v>
      </c>
      <c r="AH3517">
        <v>0.02</v>
      </c>
      <c r="AI3517" t="s">
        <v>120</v>
      </c>
      <c r="AJ3517">
        <v>1.1000000000000001</v>
      </c>
      <c r="AK3517" t="s">
        <v>14861</v>
      </c>
      <c r="AL3517">
        <v>1.02</v>
      </c>
      <c r="AM3517">
        <v>1907</v>
      </c>
      <c r="AN3517">
        <v>6</v>
      </c>
      <c r="AO3517">
        <v>5.9999999999999995E-4</v>
      </c>
      <c r="AP3517">
        <v>-2</v>
      </c>
      <c r="AQ3517">
        <v>-1.56</v>
      </c>
      <c r="AR3517">
        <v>-0.88</v>
      </c>
      <c r="AS3517">
        <v>24.61</v>
      </c>
      <c r="AT3517">
        <v>4.58</v>
      </c>
      <c r="AU3517">
        <v>91.01</v>
      </c>
      <c r="AV3517">
        <v>5</v>
      </c>
      <c r="AW3517">
        <v>3.83</v>
      </c>
      <c r="AX3517">
        <v>28.43</v>
      </c>
      <c r="AY3517">
        <v>28.77</v>
      </c>
      <c r="AZ3517">
        <v>46.62</v>
      </c>
      <c r="BA3517">
        <v>1.01</v>
      </c>
      <c r="BB3517" t="s">
        <v>143</v>
      </c>
      <c r="BF3517">
        <v>0.27</v>
      </c>
      <c r="BG3517">
        <v>-1.19</v>
      </c>
      <c r="BH3517">
        <v>-3.49</v>
      </c>
      <c r="BI3517">
        <v>1.19</v>
      </c>
      <c r="BJ3517">
        <v>20210909</v>
      </c>
      <c r="BK3517">
        <v>20180910</v>
      </c>
      <c r="BL3517">
        <v>1.1000000000000001</v>
      </c>
      <c r="BM3517" t="s">
        <v>120</v>
      </c>
      <c r="BN3517" t="s">
        <v>120</v>
      </c>
      <c r="BO3517">
        <v>16.36</v>
      </c>
      <c r="BP3517">
        <v>68</v>
      </c>
      <c r="BQ3517">
        <v>13.75</v>
      </c>
      <c r="BR3517">
        <v>0.02</v>
      </c>
      <c r="BS3517">
        <v>15.87</v>
      </c>
      <c r="BT3517">
        <v>11.82</v>
      </c>
      <c r="BU3517">
        <v>3.01</v>
      </c>
      <c r="BV3517">
        <v>0.53</v>
      </c>
      <c r="BW3517">
        <v>2.5</v>
      </c>
      <c r="BX3517">
        <v>4.57</v>
      </c>
      <c r="BY3517">
        <v>1.41</v>
      </c>
      <c r="BZ3517">
        <v>1.71</v>
      </c>
      <c r="CA3517">
        <v>0</v>
      </c>
      <c r="CB3517">
        <v>5.5</v>
      </c>
      <c r="CC3517">
        <v>3.68</v>
      </c>
      <c r="CD3517">
        <v>2.11</v>
      </c>
      <c r="CE3517">
        <v>1.89</v>
      </c>
      <c r="CF3517">
        <v>0.09</v>
      </c>
      <c r="CG3517">
        <v>1.9</v>
      </c>
      <c r="CH3517">
        <v>1.64</v>
      </c>
      <c r="CI3517">
        <v>1.64</v>
      </c>
      <c r="CJ3517">
        <v>-0.22</v>
      </c>
      <c r="CK3517">
        <v>0.74</v>
      </c>
      <c r="CL3517">
        <v>6.47</v>
      </c>
      <c r="CM3517">
        <v>0.35</v>
      </c>
      <c r="CN3517">
        <v>-0.13</v>
      </c>
      <c r="CO3517">
        <v>8574</v>
      </c>
      <c r="CP3517">
        <v>3664</v>
      </c>
      <c r="CQ3517" t="s">
        <v>14862</v>
      </c>
      <c r="CR3517">
        <v>158.12</v>
      </c>
      <c r="CS3517">
        <v>48.08</v>
      </c>
      <c r="CT3517">
        <v>5.47</v>
      </c>
      <c r="CU3517">
        <v>215.8</v>
      </c>
      <c r="CV3517">
        <v>20.399999999999999</v>
      </c>
      <c r="CW3517">
        <v>0.78</v>
      </c>
      <c r="CX3517" t="s">
        <v>10990</v>
      </c>
      <c r="CY3517">
        <v>12.44</v>
      </c>
      <c r="CZ3517">
        <v>0</v>
      </c>
      <c r="DA3517">
        <v>4.9800000000000004</v>
      </c>
      <c r="DB3517">
        <v>5.86</v>
      </c>
      <c r="DC3517">
        <v>0.32</v>
      </c>
      <c r="DD3517">
        <v>84.03</v>
      </c>
      <c r="DE3517" t="s">
        <v>14863</v>
      </c>
      <c r="DF3517">
        <v>42.7</v>
      </c>
      <c r="DG3517">
        <v>51.42</v>
      </c>
      <c r="DH3517">
        <v>44.47</v>
      </c>
      <c r="DI3517">
        <v>0.28000000000000003</v>
      </c>
      <c r="DJ3517">
        <v>1184</v>
      </c>
      <c r="DK3517">
        <v>603297</v>
      </c>
      <c r="DL3517" t="s">
        <v>120</v>
      </c>
      <c r="DM3517" t="s">
        <v>120</v>
      </c>
      <c r="DN3517" t="s">
        <v>120</v>
      </c>
    </row>
    <row r="3518" spans="1:118">
      <c r="A3518" t="str">
        <f>"603298"</f>
        <v>603298</v>
      </c>
      <c r="B3518" t="s">
        <v>14864</v>
      </c>
      <c r="C3518">
        <v>-4.09</v>
      </c>
      <c r="D3518">
        <v>0.06</v>
      </c>
      <c r="E3518">
        <v>-0.57999999999999996</v>
      </c>
      <c r="F3518">
        <v>134</v>
      </c>
      <c r="G3518" t="s">
        <v>7695</v>
      </c>
      <c r="H3518">
        <v>6390.71</v>
      </c>
      <c r="I3518">
        <v>11.05</v>
      </c>
      <c r="J3518" t="s">
        <v>120</v>
      </c>
      <c r="K3518" t="s">
        <v>14865</v>
      </c>
      <c r="L3518">
        <v>0.44</v>
      </c>
      <c r="M3518">
        <v>16.399999999999999</v>
      </c>
      <c r="N3518">
        <v>1.08</v>
      </c>
      <c r="O3518">
        <v>1.05</v>
      </c>
      <c r="P3518">
        <v>17.28</v>
      </c>
      <c r="Q3518">
        <v>-4.21</v>
      </c>
      <c r="R3518">
        <v>16.38</v>
      </c>
      <c r="S3518">
        <v>17</v>
      </c>
      <c r="T3518">
        <v>38215</v>
      </c>
      <c r="U3518">
        <v>16.41</v>
      </c>
      <c r="V3518">
        <v>17.100000000000001</v>
      </c>
      <c r="W3518">
        <v>14.08</v>
      </c>
      <c r="X3518" t="s">
        <v>675</v>
      </c>
      <c r="Y3518" t="s">
        <v>585</v>
      </c>
      <c r="Z3518">
        <v>5.26</v>
      </c>
      <c r="AA3518">
        <v>16.72</v>
      </c>
      <c r="AB3518">
        <v>23579</v>
      </c>
      <c r="AC3518">
        <v>14636</v>
      </c>
      <c r="AD3518">
        <v>1.61</v>
      </c>
      <c r="AE3518">
        <v>25</v>
      </c>
      <c r="AF3518">
        <v>27</v>
      </c>
      <c r="AG3518" t="s">
        <v>120</v>
      </c>
      <c r="AH3518">
        <v>0</v>
      </c>
      <c r="AI3518" t="s">
        <v>120</v>
      </c>
      <c r="AJ3518">
        <v>8.66</v>
      </c>
      <c r="AK3518" t="s">
        <v>14865</v>
      </c>
      <c r="AL3518">
        <v>-2.75</v>
      </c>
      <c r="AM3518">
        <v>2042</v>
      </c>
      <c r="AN3518">
        <v>19</v>
      </c>
      <c r="AO3518">
        <v>2.0000000000000001E-4</v>
      </c>
      <c r="AP3518">
        <v>-2</v>
      </c>
      <c r="AQ3518">
        <v>-3.17</v>
      </c>
      <c r="AR3518">
        <v>-5.2</v>
      </c>
      <c r="AS3518">
        <v>-10.53</v>
      </c>
      <c r="AT3518">
        <v>-9.39</v>
      </c>
      <c r="AU3518">
        <v>-20.43</v>
      </c>
      <c r="AV3518">
        <v>1</v>
      </c>
      <c r="AW3518">
        <v>1.25</v>
      </c>
      <c r="AX3518">
        <v>35.26</v>
      </c>
      <c r="AY3518">
        <v>15.89</v>
      </c>
      <c r="AZ3518">
        <v>17.68</v>
      </c>
      <c r="BA3518">
        <v>1.19</v>
      </c>
      <c r="BB3518" t="s">
        <v>1723</v>
      </c>
      <c r="BF3518">
        <v>-2.2000000000000002</v>
      </c>
      <c r="BG3518">
        <v>-3.53</v>
      </c>
      <c r="BH3518">
        <v>-5.09</v>
      </c>
      <c r="BI3518">
        <v>0.12</v>
      </c>
      <c r="BJ3518">
        <v>20210818</v>
      </c>
      <c r="BK3518">
        <v>20161227</v>
      </c>
      <c r="BL3518">
        <v>8.66</v>
      </c>
      <c r="BM3518" t="s">
        <v>120</v>
      </c>
      <c r="BN3518" t="s">
        <v>120</v>
      </c>
      <c r="BO3518">
        <v>102.76</v>
      </c>
      <c r="BP3518">
        <v>16.399999999999999</v>
      </c>
      <c r="BQ3518">
        <v>52.58</v>
      </c>
      <c r="BR3518">
        <v>3.9</v>
      </c>
      <c r="BS3518">
        <v>45.03</v>
      </c>
      <c r="BT3518">
        <v>67.14</v>
      </c>
      <c r="BU3518">
        <v>13.74</v>
      </c>
      <c r="BV3518">
        <v>2.72</v>
      </c>
      <c r="BW3518">
        <v>35.53</v>
      </c>
      <c r="BX3518">
        <v>31.06</v>
      </c>
      <c r="BY3518">
        <v>14.28</v>
      </c>
      <c r="BZ3518">
        <v>11.49</v>
      </c>
      <c r="CA3518">
        <v>0.1</v>
      </c>
      <c r="CB3518">
        <v>7.27</v>
      </c>
      <c r="CC3518">
        <v>73.67</v>
      </c>
      <c r="CD3518">
        <v>59.97</v>
      </c>
      <c r="CE3518">
        <v>6.28</v>
      </c>
      <c r="CF3518">
        <v>0.98</v>
      </c>
      <c r="CG3518">
        <v>6.27</v>
      </c>
      <c r="CH3518">
        <v>5.46</v>
      </c>
      <c r="CI3518">
        <v>5.05</v>
      </c>
      <c r="CJ3518">
        <v>-0.7</v>
      </c>
      <c r="CK3518">
        <v>4.92</v>
      </c>
      <c r="CL3518">
        <v>30.42</v>
      </c>
      <c r="CM3518">
        <v>1.6</v>
      </c>
      <c r="CN3518">
        <v>9.93</v>
      </c>
      <c r="CO3518">
        <v>18661</v>
      </c>
      <c r="CP3518">
        <v>16372</v>
      </c>
      <c r="CQ3518" t="s">
        <v>14866</v>
      </c>
      <c r="CR3518">
        <v>23.02</v>
      </c>
      <c r="CS3518">
        <v>43.79</v>
      </c>
      <c r="CT3518">
        <v>2.81</v>
      </c>
      <c r="CU3518">
        <v>88.91</v>
      </c>
      <c r="CV3518">
        <v>1.93</v>
      </c>
      <c r="CW3518">
        <v>2.34</v>
      </c>
      <c r="CX3518" t="s">
        <v>2614</v>
      </c>
      <c r="CY3518">
        <v>5.83</v>
      </c>
      <c r="CZ3518">
        <v>5.83</v>
      </c>
      <c r="DA3518">
        <v>0.84</v>
      </c>
      <c r="DB3518">
        <v>3.51</v>
      </c>
      <c r="DC3518">
        <v>0.18</v>
      </c>
      <c r="DD3518">
        <v>51.17</v>
      </c>
      <c r="DE3518" t="s">
        <v>14867</v>
      </c>
      <c r="DF3518">
        <v>18.59</v>
      </c>
      <c r="DG3518">
        <v>8.52</v>
      </c>
      <c r="DH3518">
        <v>6.85</v>
      </c>
      <c r="DI3518">
        <v>2.96</v>
      </c>
      <c r="DJ3518">
        <v>4740</v>
      </c>
      <c r="DK3518">
        <v>603298</v>
      </c>
      <c r="DL3518" t="s">
        <v>120</v>
      </c>
      <c r="DM3518" t="s">
        <v>120</v>
      </c>
      <c r="DN3518" t="s">
        <v>120</v>
      </c>
    </row>
    <row r="3519" spans="1:118">
      <c r="A3519" t="str">
        <f>"603299"</f>
        <v>603299</v>
      </c>
      <c r="B3519" t="s">
        <v>14868</v>
      </c>
      <c r="C3519">
        <v>-2.17</v>
      </c>
      <c r="D3519">
        <v>0.09</v>
      </c>
      <c r="E3519">
        <v>2</v>
      </c>
      <c r="F3519">
        <v>6259</v>
      </c>
      <c r="G3519" t="s">
        <v>5912</v>
      </c>
      <c r="H3519">
        <v>55777.2</v>
      </c>
      <c r="I3519">
        <v>1291.8699999999999</v>
      </c>
      <c r="J3519" t="s">
        <v>120</v>
      </c>
      <c r="K3519" t="s">
        <v>14869</v>
      </c>
      <c r="L3519">
        <v>8.81</v>
      </c>
      <c r="M3519">
        <v>11.26</v>
      </c>
      <c r="N3519">
        <v>0.81</v>
      </c>
      <c r="O3519">
        <v>4.26</v>
      </c>
      <c r="P3519">
        <v>12</v>
      </c>
      <c r="Q3519">
        <v>-4.34</v>
      </c>
      <c r="R3519">
        <v>11.01</v>
      </c>
      <c r="S3519">
        <v>11.74</v>
      </c>
      <c r="T3519">
        <v>492613</v>
      </c>
      <c r="U3519">
        <v>11.27</v>
      </c>
      <c r="V3519">
        <v>11.51</v>
      </c>
      <c r="W3519">
        <v>33.479999999999997</v>
      </c>
      <c r="X3519" t="s">
        <v>847</v>
      </c>
      <c r="Y3519" t="s">
        <v>319</v>
      </c>
      <c r="Z3519">
        <v>8.6</v>
      </c>
      <c r="AA3519">
        <v>11.32</v>
      </c>
      <c r="AB3519">
        <v>267143</v>
      </c>
      <c r="AC3519">
        <v>225470</v>
      </c>
      <c r="AD3519">
        <v>1.18</v>
      </c>
      <c r="AE3519">
        <v>369</v>
      </c>
      <c r="AF3519">
        <v>72</v>
      </c>
      <c r="AG3519" t="s">
        <v>120</v>
      </c>
      <c r="AH3519">
        <v>0.39</v>
      </c>
      <c r="AI3519" t="s">
        <v>120</v>
      </c>
      <c r="AJ3519">
        <v>5.59</v>
      </c>
      <c r="AK3519" t="s">
        <v>14870</v>
      </c>
      <c r="AL3519">
        <v>-0.83</v>
      </c>
      <c r="AM3519">
        <v>4172</v>
      </c>
      <c r="AN3519">
        <v>118</v>
      </c>
      <c r="AO3519">
        <v>2.0999999999999999E-3</v>
      </c>
      <c r="AP3519">
        <v>-1</v>
      </c>
      <c r="AQ3519">
        <v>0.52</v>
      </c>
      <c r="AR3519">
        <v>6.32</v>
      </c>
      <c r="AS3519">
        <v>38.159999999999997</v>
      </c>
      <c r="AT3519">
        <v>53.36</v>
      </c>
      <c r="AU3519">
        <v>60.35</v>
      </c>
      <c r="AV3519">
        <v>6</v>
      </c>
      <c r="AW3519">
        <v>17.489999999999998</v>
      </c>
      <c r="AX3519">
        <v>36.369999999999997</v>
      </c>
      <c r="AY3519">
        <v>70.05</v>
      </c>
      <c r="AZ3519">
        <v>60.08</v>
      </c>
      <c r="BA3519">
        <v>0.95</v>
      </c>
      <c r="BB3519" t="s">
        <v>184</v>
      </c>
      <c r="BF3519">
        <v>-1.63</v>
      </c>
      <c r="BG3519">
        <v>-4.09</v>
      </c>
      <c r="BH3519">
        <v>-6.17</v>
      </c>
      <c r="BI3519">
        <v>2.27</v>
      </c>
      <c r="BJ3519">
        <v>20210827</v>
      </c>
      <c r="BK3519">
        <v>20151231</v>
      </c>
      <c r="BL3519">
        <v>7.74</v>
      </c>
      <c r="BM3519" t="s">
        <v>120</v>
      </c>
      <c r="BN3519" t="s">
        <v>120</v>
      </c>
      <c r="BO3519">
        <v>76.680000000000007</v>
      </c>
      <c r="BP3519">
        <v>11.26</v>
      </c>
      <c r="BQ3519">
        <v>41.73</v>
      </c>
      <c r="BR3519">
        <v>1.44</v>
      </c>
      <c r="BS3519">
        <v>43.71</v>
      </c>
      <c r="BT3519">
        <v>33.369999999999997</v>
      </c>
      <c r="BU3519">
        <v>28.56</v>
      </c>
      <c r="BV3519">
        <v>5.78</v>
      </c>
      <c r="BW3519">
        <v>26.33</v>
      </c>
      <c r="BX3519">
        <v>10.32</v>
      </c>
      <c r="BY3519">
        <v>6.26</v>
      </c>
      <c r="BZ3519">
        <v>3.79</v>
      </c>
      <c r="CA3519">
        <v>0.05</v>
      </c>
      <c r="CB3519">
        <v>16.399999999999999</v>
      </c>
      <c r="CC3519">
        <v>22.31</v>
      </c>
      <c r="CD3519">
        <v>16.63</v>
      </c>
      <c r="CE3519">
        <v>1.67</v>
      </c>
      <c r="CF3519">
        <v>0.02</v>
      </c>
      <c r="CG3519">
        <v>1.7</v>
      </c>
      <c r="CH3519">
        <v>1.33</v>
      </c>
      <c r="CI3519">
        <v>1.3</v>
      </c>
      <c r="CJ3519">
        <v>-0.25</v>
      </c>
      <c r="CK3519">
        <v>1.19</v>
      </c>
      <c r="CL3519">
        <v>16.260000000000002</v>
      </c>
      <c r="CM3519">
        <v>2.73</v>
      </c>
      <c r="CN3519">
        <v>-1.51</v>
      </c>
      <c r="CO3519">
        <v>38904</v>
      </c>
      <c r="CP3519">
        <v>7240</v>
      </c>
      <c r="CQ3519" t="s">
        <v>9454</v>
      </c>
      <c r="CR3519">
        <v>-13.95</v>
      </c>
      <c r="CS3519">
        <v>17.2</v>
      </c>
      <c r="CT3519">
        <v>2.09</v>
      </c>
      <c r="CU3519">
        <v>31.92</v>
      </c>
      <c r="CV3519">
        <v>3.91</v>
      </c>
      <c r="CW3519">
        <v>0.5</v>
      </c>
      <c r="CX3519" t="s">
        <v>3151</v>
      </c>
      <c r="CY3519">
        <v>5.39</v>
      </c>
      <c r="CZ3519">
        <v>0</v>
      </c>
      <c r="DA3519">
        <v>2.12</v>
      </c>
      <c r="DB3519">
        <v>2.1</v>
      </c>
      <c r="DC3519">
        <v>0.35</v>
      </c>
      <c r="DD3519">
        <v>54.42</v>
      </c>
      <c r="DE3519" t="s">
        <v>8404</v>
      </c>
      <c r="DF3519">
        <v>25.49</v>
      </c>
      <c r="DG3519">
        <v>7.48</v>
      </c>
      <c r="DH3519">
        <v>5.84</v>
      </c>
      <c r="DI3519">
        <v>0.53</v>
      </c>
      <c r="DJ3519">
        <v>3938</v>
      </c>
      <c r="DK3519">
        <v>603299</v>
      </c>
      <c r="DL3519">
        <v>20210913</v>
      </c>
      <c r="DM3519">
        <v>10.59</v>
      </c>
      <c r="DN3519">
        <v>6.33</v>
      </c>
    </row>
    <row r="3520" spans="1:118">
      <c r="A3520" t="str">
        <f>"603300"</f>
        <v>603300</v>
      </c>
      <c r="B3520" t="s">
        <v>14871</v>
      </c>
      <c r="C3520">
        <v>-0.1</v>
      </c>
      <c r="D3520">
        <v>-0.28999999999999998</v>
      </c>
      <c r="E3520">
        <v>0.2</v>
      </c>
      <c r="F3520">
        <v>1014</v>
      </c>
      <c r="G3520" t="s">
        <v>14872</v>
      </c>
      <c r="H3520">
        <v>10416.15</v>
      </c>
      <c r="I3520">
        <v>24.99</v>
      </c>
      <c r="J3520" t="s">
        <v>120</v>
      </c>
      <c r="K3520" t="s">
        <v>14873</v>
      </c>
      <c r="L3520">
        <v>1.2</v>
      </c>
      <c r="M3520">
        <v>9.9499999999999993</v>
      </c>
      <c r="N3520">
        <v>0.7</v>
      </c>
      <c r="O3520">
        <v>2.31</v>
      </c>
      <c r="P3520">
        <v>10.19</v>
      </c>
      <c r="Q3520">
        <v>-1.2</v>
      </c>
      <c r="R3520">
        <v>9.84</v>
      </c>
      <c r="S3520">
        <v>9.98</v>
      </c>
      <c r="T3520">
        <v>104320</v>
      </c>
      <c r="U3520">
        <v>9.9600000000000009</v>
      </c>
      <c r="V3520">
        <v>9.9600000000000009</v>
      </c>
      <c r="W3520">
        <v>23.07</v>
      </c>
      <c r="X3520" t="s">
        <v>721</v>
      </c>
      <c r="Y3520" t="s">
        <v>585</v>
      </c>
      <c r="Z3520">
        <v>3.51</v>
      </c>
      <c r="AA3520">
        <v>9.98</v>
      </c>
      <c r="AB3520">
        <v>55781</v>
      </c>
      <c r="AC3520">
        <v>48539</v>
      </c>
      <c r="AD3520">
        <v>1.1499999999999999</v>
      </c>
      <c r="AE3520">
        <v>301</v>
      </c>
      <c r="AF3520">
        <v>7</v>
      </c>
      <c r="AG3520" t="s">
        <v>120</v>
      </c>
      <c r="AH3520">
        <v>0</v>
      </c>
      <c r="AI3520" t="s">
        <v>120</v>
      </c>
      <c r="AJ3520">
        <v>8.68</v>
      </c>
      <c r="AK3520" t="s">
        <v>14874</v>
      </c>
      <c r="AL3520">
        <v>1.24</v>
      </c>
      <c r="AM3520">
        <v>2586</v>
      </c>
      <c r="AN3520">
        <v>40</v>
      </c>
      <c r="AO3520">
        <v>5.0000000000000001E-4</v>
      </c>
      <c r="AP3520">
        <v>-1</v>
      </c>
      <c r="AQ3520">
        <v>1.84</v>
      </c>
      <c r="AR3520">
        <v>0.2</v>
      </c>
      <c r="AS3520">
        <v>24.84</v>
      </c>
      <c r="AT3520">
        <v>-7.44</v>
      </c>
      <c r="AU3520">
        <v>61.79</v>
      </c>
      <c r="AV3520">
        <v>2</v>
      </c>
      <c r="AW3520">
        <v>1.39</v>
      </c>
      <c r="AX3520">
        <v>82.85</v>
      </c>
      <c r="AY3520">
        <v>20.67</v>
      </c>
      <c r="AZ3520">
        <v>27.85</v>
      </c>
      <c r="BA3520">
        <v>0.2</v>
      </c>
      <c r="BB3520" t="s">
        <v>143</v>
      </c>
      <c r="BF3520">
        <v>0.25</v>
      </c>
      <c r="BG3520">
        <v>-0.3</v>
      </c>
      <c r="BH3520">
        <v>-2.36</v>
      </c>
      <c r="BI3520">
        <v>1.1200000000000001</v>
      </c>
      <c r="BJ3520">
        <v>20210730</v>
      </c>
      <c r="BK3520">
        <v>20150529</v>
      </c>
      <c r="BL3520">
        <v>9.0299999999999994</v>
      </c>
      <c r="BM3520" t="s">
        <v>120</v>
      </c>
      <c r="BN3520" t="s">
        <v>120</v>
      </c>
      <c r="BO3520">
        <v>84.51</v>
      </c>
      <c r="BP3520">
        <v>9.9499999999999993</v>
      </c>
      <c r="BQ3520">
        <v>33.71</v>
      </c>
      <c r="BR3520">
        <v>3.54</v>
      </c>
      <c r="BS3520">
        <v>55.93</v>
      </c>
      <c r="BT3520">
        <v>21.72</v>
      </c>
      <c r="BU3520">
        <v>27.06</v>
      </c>
      <c r="BV3520">
        <v>0.09</v>
      </c>
      <c r="BW3520">
        <v>27.72</v>
      </c>
      <c r="BX3520">
        <v>0.85</v>
      </c>
      <c r="BY3520">
        <v>0.18</v>
      </c>
      <c r="BZ3520">
        <v>15.94</v>
      </c>
      <c r="CA3520" t="s">
        <v>120</v>
      </c>
      <c r="CB3520">
        <v>15.32</v>
      </c>
      <c r="CC3520">
        <v>10.62</v>
      </c>
      <c r="CD3520">
        <v>5.2</v>
      </c>
      <c r="CE3520">
        <v>2.87</v>
      </c>
      <c r="CF3520">
        <v>0.03</v>
      </c>
      <c r="CG3520">
        <v>2.86</v>
      </c>
      <c r="CH3520">
        <v>2.4</v>
      </c>
      <c r="CI3520">
        <v>1.95</v>
      </c>
      <c r="CJ3520">
        <v>-0.01</v>
      </c>
      <c r="CK3520">
        <v>1.81</v>
      </c>
      <c r="CL3520">
        <v>10.84</v>
      </c>
      <c r="CM3520">
        <v>4.91</v>
      </c>
      <c r="CN3520">
        <v>-0.52</v>
      </c>
      <c r="CO3520">
        <v>21412</v>
      </c>
      <c r="CP3520">
        <v>34928</v>
      </c>
      <c r="CQ3520" t="s">
        <v>14875</v>
      </c>
      <c r="CR3520">
        <v>135.65</v>
      </c>
      <c r="CS3520">
        <v>76.37</v>
      </c>
      <c r="CT3520">
        <v>2.66</v>
      </c>
      <c r="CU3520">
        <v>18.28</v>
      </c>
      <c r="CV3520">
        <v>8.4499999999999993</v>
      </c>
      <c r="CW3520">
        <v>0</v>
      </c>
      <c r="CX3520" t="s">
        <v>3361</v>
      </c>
      <c r="CY3520">
        <v>3.73</v>
      </c>
      <c r="CZ3520">
        <v>0</v>
      </c>
      <c r="DA3520">
        <v>1.7</v>
      </c>
      <c r="DB3520">
        <v>1.2</v>
      </c>
      <c r="DC3520">
        <v>0.54</v>
      </c>
      <c r="DD3520">
        <v>39.880000000000003</v>
      </c>
      <c r="DE3520" t="s">
        <v>8366</v>
      </c>
      <c r="DF3520">
        <v>51.05</v>
      </c>
      <c r="DG3520">
        <v>27.01</v>
      </c>
      <c r="DH3520">
        <v>18.32</v>
      </c>
      <c r="DI3520">
        <v>0.22</v>
      </c>
      <c r="DJ3520">
        <v>1705</v>
      </c>
      <c r="DK3520">
        <v>603300</v>
      </c>
      <c r="DL3520" t="s">
        <v>120</v>
      </c>
      <c r="DM3520" t="s">
        <v>120</v>
      </c>
      <c r="DN3520" t="s">
        <v>120</v>
      </c>
    </row>
    <row r="3521" spans="1:118">
      <c r="A3521" t="str">
        <f>"603301"</f>
        <v>603301</v>
      </c>
      <c r="B3521" t="s">
        <v>14876</v>
      </c>
      <c r="C3521">
        <v>-2.0499999999999998</v>
      </c>
      <c r="D3521">
        <v>-0.02</v>
      </c>
      <c r="E3521">
        <v>0</v>
      </c>
      <c r="F3521">
        <v>169</v>
      </c>
      <c r="G3521" t="s">
        <v>4342</v>
      </c>
      <c r="H3521">
        <v>5956.29</v>
      </c>
      <c r="I3521">
        <v>11.26</v>
      </c>
      <c r="J3521" t="s">
        <v>120</v>
      </c>
      <c r="K3521" t="s">
        <v>14877</v>
      </c>
      <c r="L3521">
        <v>0.82</v>
      </c>
      <c r="M3521">
        <v>31.5</v>
      </c>
      <c r="N3521">
        <v>0.79</v>
      </c>
      <c r="O3521">
        <v>1.03</v>
      </c>
      <c r="P3521">
        <v>32.49</v>
      </c>
      <c r="Q3521">
        <v>-2.0499999999999998</v>
      </c>
      <c r="R3521">
        <v>31.5</v>
      </c>
      <c r="S3521">
        <v>32.159999999999997</v>
      </c>
      <c r="T3521">
        <v>18641</v>
      </c>
      <c r="U3521">
        <v>31.5</v>
      </c>
      <c r="V3521">
        <v>32.159999999999997</v>
      </c>
      <c r="W3521">
        <v>9.4600000000000009</v>
      </c>
      <c r="X3521" t="s">
        <v>555</v>
      </c>
      <c r="Y3521" t="s">
        <v>585</v>
      </c>
      <c r="Z3521">
        <v>3.08</v>
      </c>
      <c r="AA3521">
        <v>31.95</v>
      </c>
      <c r="AB3521">
        <v>11587</v>
      </c>
      <c r="AC3521">
        <v>7054</v>
      </c>
      <c r="AD3521">
        <v>1.64</v>
      </c>
      <c r="AE3521">
        <v>11</v>
      </c>
      <c r="AF3521">
        <v>12</v>
      </c>
      <c r="AG3521" t="s">
        <v>120</v>
      </c>
      <c r="AH3521">
        <v>0</v>
      </c>
      <c r="AI3521" t="s">
        <v>120</v>
      </c>
      <c r="AJ3521">
        <v>2.27</v>
      </c>
      <c r="AK3521" t="s">
        <v>14877</v>
      </c>
      <c r="AL3521">
        <v>-0.71</v>
      </c>
      <c r="AM3521">
        <v>1960</v>
      </c>
      <c r="AN3521">
        <v>10</v>
      </c>
      <c r="AO3521">
        <v>4.0000000000000002E-4</v>
      </c>
      <c r="AP3521">
        <v>-3</v>
      </c>
      <c r="AQ3521">
        <v>-0.34</v>
      </c>
      <c r="AR3521">
        <v>-4.28</v>
      </c>
      <c r="AS3521">
        <v>-7.89</v>
      </c>
      <c r="AT3521">
        <v>-24.21</v>
      </c>
      <c r="AU3521">
        <v>-47.7</v>
      </c>
      <c r="AV3521">
        <v>1</v>
      </c>
      <c r="AW3521">
        <v>1.73</v>
      </c>
      <c r="AX3521">
        <v>47.49</v>
      </c>
      <c r="AY3521">
        <v>3.77</v>
      </c>
      <c r="AZ3521">
        <v>2.87</v>
      </c>
      <c r="BA3521">
        <v>0.55000000000000004</v>
      </c>
      <c r="BB3521" t="s">
        <v>143</v>
      </c>
      <c r="BF3521">
        <v>-0.65</v>
      </c>
      <c r="BG3521">
        <v>-2.0499999999999998</v>
      </c>
      <c r="BH3521">
        <v>-3.05</v>
      </c>
      <c r="BI3521">
        <v>0</v>
      </c>
      <c r="BJ3521">
        <v>20210827</v>
      </c>
      <c r="BK3521">
        <v>20180412</v>
      </c>
      <c r="BL3521">
        <v>2.27</v>
      </c>
      <c r="BM3521" t="s">
        <v>120</v>
      </c>
      <c r="BN3521" t="s">
        <v>120</v>
      </c>
      <c r="BO3521">
        <v>64.92</v>
      </c>
      <c r="BP3521">
        <v>31.49</v>
      </c>
      <c r="BQ3521">
        <v>39.049999999999997</v>
      </c>
      <c r="BR3521">
        <v>3.6</v>
      </c>
      <c r="BS3521">
        <v>34.31</v>
      </c>
      <c r="BT3521">
        <v>40.11</v>
      </c>
      <c r="BU3521">
        <v>13.09</v>
      </c>
      <c r="BV3521">
        <v>3.38</v>
      </c>
      <c r="BW3521">
        <v>18.89</v>
      </c>
      <c r="BX3521">
        <v>22.78</v>
      </c>
      <c r="BY3521">
        <v>8.81</v>
      </c>
      <c r="BZ3521">
        <v>4.96</v>
      </c>
      <c r="CA3521" t="s">
        <v>120</v>
      </c>
      <c r="CB3521">
        <v>9.4</v>
      </c>
      <c r="CC3521">
        <v>29.12</v>
      </c>
      <c r="CD3521">
        <v>18.809999999999999</v>
      </c>
      <c r="CE3521">
        <v>5.23</v>
      </c>
      <c r="CF3521">
        <v>0.21</v>
      </c>
      <c r="CG3521">
        <v>5.22</v>
      </c>
      <c r="CH3521">
        <v>4.53</v>
      </c>
      <c r="CI3521">
        <v>3.78</v>
      </c>
      <c r="CJ3521">
        <v>-0.66</v>
      </c>
      <c r="CK3521">
        <v>3.39</v>
      </c>
      <c r="CL3521">
        <v>26.78</v>
      </c>
      <c r="CM3521">
        <v>3.39</v>
      </c>
      <c r="CN3521">
        <v>6.84</v>
      </c>
      <c r="CO3521">
        <v>49093</v>
      </c>
      <c r="CP3521">
        <v>2198</v>
      </c>
      <c r="CQ3521" t="s">
        <v>7556</v>
      </c>
      <c r="CR3521">
        <v>-61.74</v>
      </c>
      <c r="CS3521">
        <v>-23.76</v>
      </c>
      <c r="CT3521">
        <v>1.83</v>
      </c>
      <c r="CU3521">
        <v>21.11</v>
      </c>
      <c r="CV3521">
        <v>2.46</v>
      </c>
      <c r="CW3521">
        <v>7.15</v>
      </c>
      <c r="CX3521" t="s">
        <v>1200</v>
      </c>
      <c r="CY3521">
        <v>17.190000000000001</v>
      </c>
      <c r="CZ3521">
        <v>0</v>
      </c>
      <c r="DA3521">
        <v>4.1399999999999997</v>
      </c>
      <c r="DB3521">
        <v>11.78</v>
      </c>
      <c r="DC3521">
        <v>1.49</v>
      </c>
      <c r="DD3521">
        <v>60.15</v>
      </c>
      <c r="DE3521" t="s">
        <v>14878</v>
      </c>
      <c r="DF3521">
        <v>35.39</v>
      </c>
      <c r="DG3521">
        <v>17.95</v>
      </c>
      <c r="DH3521">
        <v>12.99</v>
      </c>
      <c r="DI3521">
        <v>0.74</v>
      </c>
      <c r="DJ3521">
        <v>7282</v>
      </c>
      <c r="DK3521">
        <v>603301</v>
      </c>
      <c r="DL3521" t="s">
        <v>120</v>
      </c>
      <c r="DM3521" t="s">
        <v>120</v>
      </c>
      <c r="DN3521" t="s">
        <v>120</v>
      </c>
    </row>
    <row r="3522" spans="1:118">
      <c r="A3522" t="str">
        <f>"603303"</f>
        <v>603303</v>
      </c>
      <c r="B3522" t="s">
        <v>14879</v>
      </c>
      <c r="C3522">
        <v>-0.11</v>
      </c>
      <c r="D3522">
        <v>0.27</v>
      </c>
      <c r="E3522">
        <v>0.27</v>
      </c>
      <c r="F3522">
        <v>189</v>
      </c>
      <c r="G3522" t="s">
        <v>6451</v>
      </c>
      <c r="H3522">
        <v>2814.7</v>
      </c>
      <c r="I3522">
        <v>13.37</v>
      </c>
      <c r="J3522" t="s">
        <v>120</v>
      </c>
      <c r="K3522" t="s">
        <v>14880</v>
      </c>
      <c r="L3522">
        <v>0.32</v>
      </c>
      <c r="M3522">
        <v>18.25</v>
      </c>
      <c r="N3522">
        <v>0.52</v>
      </c>
      <c r="O3522">
        <v>2.08</v>
      </c>
      <c r="P3522">
        <v>18.649999999999999</v>
      </c>
      <c r="Q3522">
        <v>-1.81</v>
      </c>
      <c r="R3522">
        <v>17.940000000000001</v>
      </c>
      <c r="S3522">
        <v>18.32</v>
      </c>
      <c r="T3522">
        <v>15388</v>
      </c>
      <c r="U3522">
        <v>18.260000000000002</v>
      </c>
      <c r="V3522">
        <v>18.27</v>
      </c>
      <c r="W3522">
        <v>23.94</v>
      </c>
      <c r="X3522" t="s">
        <v>205</v>
      </c>
      <c r="Y3522" t="s">
        <v>585</v>
      </c>
      <c r="Z3522">
        <v>3.89</v>
      </c>
      <c r="AA3522">
        <v>18.29</v>
      </c>
      <c r="AB3522">
        <v>9369</v>
      </c>
      <c r="AC3522">
        <v>6019</v>
      </c>
      <c r="AD3522">
        <v>1.56</v>
      </c>
      <c r="AE3522">
        <v>124</v>
      </c>
      <c r="AF3522">
        <v>3</v>
      </c>
      <c r="AG3522" t="s">
        <v>120</v>
      </c>
      <c r="AH3522">
        <v>0.01</v>
      </c>
      <c r="AI3522" t="s">
        <v>120</v>
      </c>
      <c r="AJ3522">
        <v>4.7699999999999996</v>
      </c>
      <c r="AK3522" t="s">
        <v>14880</v>
      </c>
      <c r="AL3522">
        <v>1.23</v>
      </c>
      <c r="AM3522">
        <v>1074</v>
      </c>
      <c r="AN3522">
        <v>14</v>
      </c>
      <c r="AO3522">
        <v>2.9999999999999997E-4</v>
      </c>
      <c r="AP3522">
        <v>-1</v>
      </c>
      <c r="AQ3522">
        <v>0.77</v>
      </c>
      <c r="AR3522">
        <v>-2.25</v>
      </c>
      <c r="AS3522">
        <v>6.16</v>
      </c>
      <c r="AT3522">
        <v>20.309999999999999</v>
      </c>
      <c r="AU3522">
        <v>76.010000000000005</v>
      </c>
      <c r="AV3522">
        <v>4</v>
      </c>
      <c r="AW3522">
        <v>1.34</v>
      </c>
      <c r="AX3522">
        <v>24.06</v>
      </c>
      <c r="AY3522">
        <v>24.78</v>
      </c>
      <c r="AZ3522">
        <v>25.47</v>
      </c>
      <c r="BA3522">
        <v>1.1200000000000001</v>
      </c>
      <c r="BB3522" t="s">
        <v>240</v>
      </c>
      <c r="BF3522">
        <v>0.12</v>
      </c>
      <c r="BG3522">
        <v>-0.38</v>
      </c>
      <c r="BH3522">
        <v>-2.14</v>
      </c>
      <c r="BI3522">
        <v>1.73</v>
      </c>
      <c r="BJ3522">
        <v>20210821</v>
      </c>
      <c r="BK3522">
        <v>20170330</v>
      </c>
      <c r="BL3522">
        <v>4.7699999999999996</v>
      </c>
      <c r="BM3522" t="s">
        <v>120</v>
      </c>
      <c r="BN3522" t="s">
        <v>120</v>
      </c>
      <c r="BO3522">
        <v>46.79</v>
      </c>
      <c r="BP3522">
        <v>18.25</v>
      </c>
      <c r="BQ3522">
        <v>29.52</v>
      </c>
      <c r="BR3522">
        <v>0.53</v>
      </c>
      <c r="BS3522">
        <v>35.79</v>
      </c>
      <c r="BT3522">
        <v>35.979999999999997</v>
      </c>
      <c r="BU3522">
        <v>5.91</v>
      </c>
      <c r="BV3522">
        <v>1.97</v>
      </c>
      <c r="BW3522">
        <v>16.329999999999998</v>
      </c>
      <c r="BX3522">
        <v>11.73</v>
      </c>
      <c r="BY3522">
        <v>8.6</v>
      </c>
      <c r="BZ3522">
        <v>13.03</v>
      </c>
      <c r="CA3522">
        <v>0.02</v>
      </c>
      <c r="CB3522">
        <v>7.13</v>
      </c>
      <c r="CC3522">
        <v>24.62</v>
      </c>
      <c r="CD3522">
        <v>20.96</v>
      </c>
      <c r="CE3522">
        <v>1.91</v>
      </c>
      <c r="CF3522">
        <v>0.5</v>
      </c>
      <c r="CG3522">
        <v>2.0699999999999998</v>
      </c>
      <c r="CH3522">
        <v>1.82</v>
      </c>
      <c r="CI3522">
        <v>1.82</v>
      </c>
      <c r="CJ3522">
        <v>-0.02</v>
      </c>
      <c r="CK3522">
        <v>1.27</v>
      </c>
      <c r="CL3522">
        <v>15.82</v>
      </c>
      <c r="CM3522">
        <v>-1.59</v>
      </c>
      <c r="CN3522">
        <v>-2.85</v>
      </c>
      <c r="CO3522">
        <v>14020</v>
      </c>
      <c r="CP3522">
        <v>8184</v>
      </c>
      <c r="CQ3522" t="s">
        <v>14881</v>
      </c>
      <c r="CR3522">
        <v>5.56</v>
      </c>
      <c r="CS3522">
        <v>18.13</v>
      </c>
      <c r="CT3522">
        <v>2.95</v>
      </c>
      <c r="CU3522">
        <v>-54.79</v>
      </c>
      <c r="CV3522">
        <v>3.54</v>
      </c>
      <c r="CW3522">
        <v>1.37</v>
      </c>
      <c r="CX3522" t="s">
        <v>14882</v>
      </c>
      <c r="CY3522">
        <v>6.19</v>
      </c>
      <c r="CZ3522">
        <v>0</v>
      </c>
      <c r="DA3522">
        <v>1.49</v>
      </c>
      <c r="DB3522">
        <v>3.32</v>
      </c>
      <c r="DC3522">
        <v>-0.33</v>
      </c>
      <c r="DD3522">
        <v>63.08</v>
      </c>
      <c r="DE3522" t="s">
        <v>6338</v>
      </c>
      <c r="DF3522">
        <v>14.87</v>
      </c>
      <c r="DG3522">
        <v>7.77</v>
      </c>
      <c r="DH3522">
        <v>7.38</v>
      </c>
      <c r="DI3522">
        <v>0.75</v>
      </c>
      <c r="DJ3522">
        <v>4093</v>
      </c>
      <c r="DK3522">
        <v>603303</v>
      </c>
      <c r="DL3522" t="s">
        <v>120</v>
      </c>
      <c r="DM3522" t="s">
        <v>120</v>
      </c>
      <c r="DN3522" t="s">
        <v>120</v>
      </c>
    </row>
    <row r="3523" spans="1:118">
      <c r="A3523" t="str">
        <f>"603305"</f>
        <v>603305</v>
      </c>
      <c r="B3523" t="s">
        <v>14883</v>
      </c>
      <c r="C3523">
        <v>0.48</v>
      </c>
      <c r="D3523">
        <v>0.11</v>
      </c>
      <c r="E3523">
        <v>0.25</v>
      </c>
      <c r="F3523">
        <v>581</v>
      </c>
      <c r="G3523" t="s">
        <v>5790</v>
      </c>
      <c r="H3523">
        <v>12172.94</v>
      </c>
      <c r="I3523">
        <v>50.32</v>
      </c>
      <c r="J3523" t="s">
        <v>120</v>
      </c>
      <c r="K3523" t="s">
        <v>14884</v>
      </c>
      <c r="L3523">
        <v>0.77</v>
      </c>
      <c r="M3523">
        <v>35.770000000000003</v>
      </c>
      <c r="N3523">
        <v>0.95</v>
      </c>
      <c r="O3523">
        <v>0.93</v>
      </c>
      <c r="P3523">
        <v>35.93</v>
      </c>
      <c r="Q3523">
        <v>-2.2200000000000002</v>
      </c>
      <c r="R3523">
        <v>34.81</v>
      </c>
      <c r="S3523">
        <v>35.69</v>
      </c>
      <c r="T3523">
        <v>34364</v>
      </c>
      <c r="U3523">
        <v>35.770000000000003</v>
      </c>
      <c r="V3523">
        <v>35.6</v>
      </c>
      <c r="W3523">
        <v>37.92</v>
      </c>
      <c r="X3523" t="s">
        <v>289</v>
      </c>
      <c r="Y3523" t="s">
        <v>585</v>
      </c>
      <c r="Z3523">
        <v>3.15</v>
      </c>
      <c r="AA3523">
        <v>35.42</v>
      </c>
      <c r="AB3523">
        <v>17281</v>
      </c>
      <c r="AC3523">
        <v>17083</v>
      </c>
      <c r="AD3523">
        <v>1.01</v>
      </c>
      <c r="AE3523">
        <v>7</v>
      </c>
      <c r="AF3523">
        <v>122</v>
      </c>
      <c r="AG3523" t="s">
        <v>120</v>
      </c>
      <c r="AH3523">
        <v>0.01</v>
      </c>
      <c r="AI3523" t="s">
        <v>120</v>
      </c>
      <c r="AJ3523">
        <v>4.47</v>
      </c>
      <c r="AK3523" t="s">
        <v>14884</v>
      </c>
      <c r="AL3523">
        <v>1.82</v>
      </c>
      <c r="AM3523">
        <v>2755</v>
      </c>
      <c r="AN3523">
        <v>12</v>
      </c>
      <c r="AO3523">
        <v>2.9999999999999997E-4</v>
      </c>
      <c r="AP3523">
        <v>1</v>
      </c>
      <c r="AQ3523">
        <v>-3.42</v>
      </c>
      <c r="AR3523">
        <v>-3.27</v>
      </c>
      <c r="AS3523">
        <v>-8.02</v>
      </c>
      <c r="AT3523">
        <v>3.2</v>
      </c>
      <c r="AU3523">
        <v>15.54</v>
      </c>
      <c r="AV3523">
        <v>3</v>
      </c>
      <c r="AW3523">
        <v>2.87</v>
      </c>
      <c r="AX3523">
        <v>26.77</v>
      </c>
      <c r="AY3523">
        <v>39.5</v>
      </c>
      <c r="AZ3523">
        <v>47.82</v>
      </c>
      <c r="BA3523">
        <v>0.61</v>
      </c>
      <c r="BB3523" t="s">
        <v>125</v>
      </c>
      <c r="BF3523">
        <v>-0.49</v>
      </c>
      <c r="BG3523">
        <v>0.22</v>
      </c>
      <c r="BH3523">
        <v>-0.45</v>
      </c>
      <c r="BI3523">
        <v>2.76</v>
      </c>
      <c r="BJ3523">
        <v>20210730</v>
      </c>
      <c r="BK3523">
        <v>20170710</v>
      </c>
      <c r="BL3523">
        <v>4.47</v>
      </c>
      <c r="BM3523" t="s">
        <v>120</v>
      </c>
      <c r="BN3523" t="s">
        <v>120</v>
      </c>
      <c r="BO3523">
        <v>52.1</v>
      </c>
      <c r="BP3523">
        <v>35.75</v>
      </c>
      <c r="BQ3523">
        <v>33.85</v>
      </c>
      <c r="BR3523">
        <v>0.04</v>
      </c>
      <c r="BS3523">
        <v>34.96</v>
      </c>
      <c r="BT3523">
        <v>23.33</v>
      </c>
      <c r="BU3523">
        <v>10.36</v>
      </c>
      <c r="BV3523">
        <v>3.66</v>
      </c>
      <c r="BW3523">
        <v>17.239999999999998</v>
      </c>
      <c r="BX3523">
        <v>7.1</v>
      </c>
      <c r="BY3523">
        <v>6.37</v>
      </c>
      <c r="BZ3523">
        <v>5.83</v>
      </c>
      <c r="CA3523" t="s">
        <v>120</v>
      </c>
      <c r="CB3523">
        <v>18.09</v>
      </c>
      <c r="CC3523">
        <v>12.11</v>
      </c>
      <c r="CD3523">
        <v>8.5500000000000007</v>
      </c>
      <c r="CE3523">
        <v>2.4900000000000002</v>
      </c>
      <c r="CF3523">
        <v>0.12</v>
      </c>
      <c r="CG3523">
        <v>2.4900000000000002</v>
      </c>
      <c r="CH3523">
        <v>2.11</v>
      </c>
      <c r="CI3523">
        <v>2.11</v>
      </c>
      <c r="CJ3523">
        <v>0.17</v>
      </c>
      <c r="CK3523">
        <v>1.98</v>
      </c>
      <c r="CL3523">
        <v>9.67</v>
      </c>
      <c r="CM3523">
        <v>0.76</v>
      </c>
      <c r="CN3523">
        <v>-1.28</v>
      </c>
      <c r="CO3523">
        <v>27486</v>
      </c>
      <c r="CP3523">
        <v>4354</v>
      </c>
      <c r="CQ3523" t="s">
        <v>7086</v>
      </c>
      <c r="CR3523">
        <v>49.84</v>
      </c>
      <c r="CS3523">
        <v>82.35</v>
      </c>
      <c r="CT3523">
        <v>4.72</v>
      </c>
      <c r="CU3523">
        <v>209.82</v>
      </c>
      <c r="CV3523">
        <v>13.2</v>
      </c>
      <c r="CW3523">
        <v>0.93</v>
      </c>
      <c r="CX3523" t="s">
        <v>1071</v>
      </c>
      <c r="CY3523">
        <v>7.57</v>
      </c>
      <c r="CZ3523">
        <v>0</v>
      </c>
      <c r="DA3523">
        <v>4.05</v>
      </c>
      <c r="DB3523">
        <v>2.16</v>
      </c>
      <c r="DC3523">
        <v>0.17</v>
      </c>
      <c r="DD3523">
        <v>64.97</v>
      </c>
      <c r="DE3523" t="s">
        <v>3273</v>
      </c>
      <c r="DF3523">
        <v>29.42</v>
      </c>
      <c r="DG3523">
        <v>20.59</v>
      </c>
      <c r="DH3523">
        <v>17.41</v>
      </c>
      <c r="DI3523">
        <v>0.54</v>
      </c>
      <c r="DJ3523">
        <v>1862</v>
      </c>
      <c r="DK3523">
        <v>603305</v>
      </c>
      <c r="DL3523" t="s">
        <v>120</v>
      </c>
      <c r="DM3523" t="s">
        <v>120</v>
      </c>
      <c r="DN3523" t="s">
        <v>120</v>
      </c>
    </row>
    <row r="3524" spans="1:118">
      <c r="A3524" t="str">
        <f>"603306"</f>
        <v>603306</v>
      </c>
      <c r="B3524" t="s">
        <v>14885</v>
      </c>
      <c r="C3524">
        <v>-8.42</v>
      </c>
      <c r="D3524">
        <v>-0.11</v>
      </c>
      <c r="E3524">
        <v>0.38</v>
      </c>
      <c r="F3524">
        <v>917</v>
      </c>
      <c r="G3524" t="s">
        <v>14886</v>
      </c>
      <c r="H3524">
        <v>28964.81</v>
      </c>
      <c r="I3524">
        <v>55.45</v>
      </c>
      <c r="J3524" t="s">
        <v>120</v>
      </c>
      <c r="K3524" t="s">
        <v>14887</v>
      </c>
      <c r="L3524">
        <v>2.2400000000000002</v>
      </c>
      <c r="M3524">
        <v>40.799999999999997</v>
      </c>
      <c r="N3524">
        <v>1.02</v>
      </c>
      <c r="O3524">
        <v>0.9</v>
      </c>
      <c r="P3524">
        <v>44.95</v>
      </c>
      <c r="Q3524">
        <v>-9.23</v>
      </c>
      <c r="R3524">
        <v>40.44</v>
      </c>
      <c r="S3524">
        <v>44.72</v>
      </c>
      <c r="T3524">
        <v>68907</v>
      </c>
      <c r="U3524">
        <v>40.82</v>
      </c>
      <c r="V3524">
        <v>44.55</v>
      </c>
      <c r="W3524">
        <v>66.25</v>
      </c>
      <c r="X3524" t="s">
        <v>289</v>
      </c>
      <c r="Y3524" t="s">
        <v>937</v>
      </c>
      <c r="Z3524">
        <v>10.119999999999999</v>
      </c>
      <c r="AA3524">
        <v>42.03</v>
      </c>
      <c r="AB3524">
        <v>40597</v>
      </c>
      <c r="AC3524">
        <v>28310</v>
      </c>
      <c r="AD3524">
        <v>1.43</v>
      </c>
      <c r="AE3524">
        <v>40</v>
      </c>
      <c r="AF3524">
        <v>10</v>
      </c>
      <c r="AG3524" t="s">
        <v>120</v>
      </c>
      <c r="AH3524">
        <v>0.01</v>
      </c>
      <c r="AI3524" t="s">
        <v>120</v>
      </c>
      <c r="AJ3524">
        <v>3.07</v>
      </c>
      <c r="AK3524" t="s">
        <v>14887</v>
      </c>
      <c r="AL3524">
        <v>-7.07</v>
      </c>
      <c r="AM3524">
        <v>3082</v>
      </c>
      <c r="AN3524">
        <v>22</v>
      </c>
      <c r="AO3524">
        <v>6.9999999999999999E-4</v>
      </c>
      <c r="AP3524">
        <v>-2</v>
      </c>
      <c r="AQ3524">
        <v>-2.04</v>
      </c>
      <c r="AR3524">
        <v>-9</v>
      </c>
      <c r="AS3524">
        <v>-8.52</v>
      </c>
      <c r="AT3524">
        <v>14.64</v>
      </c>
      <c r="AU3524">
        <v>78.569999999999993</v>
      </c>
      <c r="AV3524">
        <v>0</v>
      </c>
      <c r="AW3524">
        <v>3.77</v>
      </c>
      <c r="AX3524">
        <v>59.5</v>
      </c>
      <c r="AY3524">
        <v>62.45</v>
      </c>
      <c r="AZ3524">
        <v>68.040000000000006</v>
      </c>
      <c r="BA3524">
        <v>0.47</v>
      </c>
      <c r="BB3524" t="s">
        <v>143</v>
      </c>
      <c r="BF3524">
        <v>-5.65</v>
      </c>
      <c r="BG3524">
        <v>-8.77</v>
      </c>
      <c r="BH3524">
        <v>-9.23</v>
      </c>
      <c r="BI3524">
        <v>0.89</v>
      </c>
      <c r="BJ3524">
        <v>20210827</v>
      </c>
      <c r="BK3524">
        <v>20140926</v>
      </c>
      <c r="BL3524">
        <v>3.07</v>
      </c>
      <c r="BM3524" t="s">
        <v>120</v>
      </c>
      <c r="BN3524" t="s">
        <v>120</v>
      </c>
      <c r="BO3524">
        <v>28.25</v>
      </c>
      <c r="BP3524">
        <v>40.799999999999997</v>
      </c>
      <c r="BQ3524">
        <v>25.29</v>
      </c>
      <c r="BR3524">
        <v>0.12</v>
      </c>
      <c r="BS3524">
        <v>10.1</v>
      </c>
      <c r="BT3524">
        <v>20.95</v>
      </c>
      <c r="BU3524">
        <v>6.05</v>
      </c>
      <c r="BV3524">
        <v>0.35</v>
      </c>
      <c r="BW3524">
        <v>2.08</v>
      </c>
      <c r="BX3524">
        <v>6.42</v>
      </c>
      <c r="BY3524">
        <v>1.43</v>
      </c>
      <c r="BZ3524">
        <v>2.4900000000000002</v>
      </c>
      <c r="CA3524" t="s">
        <v>120</v>
      </c>
      <c r="CB3524">
        <v>10.44</v>
      </c>
      <c r="CC3524">
        <v>5.2</v>
      </c>
      <c r="CD3524">
        <v>3.28</v>
      </c>
      <c r="CE3524">
        <v>1.1299999999999999</v>
      </c>
      <c r="CF3524">
        <v>7.0000000000000007E-2</v>
      </c>
      <c r="CG3524">
        <v>1.1299999999999999</v>
      </c>
      <c r="CH3524">
        <v>0.94</v>
      </c>
      <c r="CI3524">
        <v>0.95</v>
      </c>
      <c r="CJ3524">
        <v>-3.75</v>
      </c>
      <c r="CK3524">
        <v>0.86</v>
      </c>
      <c r="CL3524">
        <v>10.34</v>
      </c>
      <c r="CM3524">
        <v>0.84</v>
      </c>
      <c r="CN3524">
        <v>-2.62</v>
      </c>
      <c r="CO3524">
        <v>11700</v>
      </c>
      <c r="CP3524">
        <v>15615</v>
      </c>
      <c r="CQ3524" t="s">
        <v>14888</v>
      </c>
      <c r="CR3524">
        <v>23.5</v>
      </c>
      <c r="CS3524">
        <v>49.36</v>
      </c>
      <c r="CT3524">
        <v>4.9800000000000004</v>
      </c>
      <c r="CU3524">
        <v>149.19</v>
      </c>
      <c r="CV3524">
        <v>24.09</v>
      </c>
      <c r="CW3524">
        <v>0.3</v>
      </c>
      <c r="CX3524" t="s">
        <v>2752</v>
      </c>
      <c r="CY3524">
        <v>8.19</v>
      </c>
      <c r="CZ3524">
        <v>8.19</v>
      </c>
      <c r="DA3524">
        <v>3.4</v>
      </c>
      <c r="DB3524">
        <v>3.37</v>
      </c>
      <c r="DC3524">
        <v>0.27</v>
      </c>
      <c r="DD3524">
        <v>89.5</v>
      </c>
      <c r="DE3524" t="s">
        <v>5491</v>
      </c>
      <c r="DF3524">
        <v>36.89</v>
      </c>
      <c r="DG3524">
        <v>21.66</v>
      </c>
      <c r="DH3524">
        <v>18.18</v>
      </c>
      <c r="DI3524">
        <v>0.25</v>
      </c>
      <c r="DJ3524">
        <v>1901</v>
      </c>
      <c r="DK3524">
        <v>603306</v>
      </c>
      <c r="DL3524" t="s">
        <v>120</v>
      </c>
      <c r="DM3524" t="s">
        <v>120</v>
      </c>
      <c r="DN3524" t="s">
        <v>120</v>
      </c>
    </row>
    <row r="3525" spans="1:118">
      <c r="A3525" t="str">
        <f>"603308"</f>
        <v>603308</v>
      </c>
      <c r="B3525" t="s">
        <v>14889</v>
      </c>
      <c r="C3525">
        <v>-4.5599999999999996</v>
      </c>
      <c r="D3525">
        <v>0</v>
      </c>
      <c r="E3525">
        <v>-0.14000000000000001</v>
      </c>
      <c r="F3525">
        <v>729</v>
      </c>
      <c r="G3525" t="s">
        <v>13211</v>
      </c>
      <c r="H3525">
        <v>13381.36</v>
      </c>
      <c r="I3525">
        <v>10.52</v>
      </c>
      <c r="J3525" t="s">
        <v>120</v>
      </c>
      <c r="K3525" t="s">
        <v>8550</v>
      </c>
      <c r="L3525">
        <v>0.94</v>
      </c>
      <c r="M3525">
        <v>20.52</v>
      </c>
      <c r="N3525">
        <v>0.88</v>
      </c>
      <c r="O3525">
        <v>0.33</v>
      </c>
      <c r="P3525">
        <v>21.57</v>
      </c>
      <c r="Q3525">
        <v>-5.26</v>
      </c>
      <c r="R3525">
        <v>20.37</v>
      </c>
      <c r="S3525">
        <v>21.47</v>
      </c>
      <c r="T3525">
        <v>64299</v>
      </c>
      <c r="U3525">
        <v>20.53</v>
      </c>
      <c r="V3525">
        <v>21.5</v>
      </c>
      <c r="W3525">
        <v>69.540000000000006</v>
      </c>
      <c r="X3525" t="s">
        <v>675</v>
      </c>
      <c r="Y3525" t="s">
        <v>570</v>
      </c>
      <c r="Z3525">
        <v>5.58</v>
      </c>
      <c r="AA3525">
        <v>20.81</v>
      </c>
      <c r="AB3525">
        <v>41861</v>
      </c>
      <c r="AC3525">
        <v>22438</v>
      </c>
      <c r="AD3525">
        <v>1.87</v>
      </c>
      <c r="AE3525">
        <v>85</v>
      </c>
      <c r="AF3525">
        <v>167</v>
      </c>
      <c r="AG3525" t="s">
        <v>120</v>
      </c>
      <c r="AH3525">
        <v>0</v>
      </c>
      <c r="AI3525" t="s">
        <v>120</v>
      </c>
      <c r="AJ3525">
        <v>6.83</v>
      </c>
      <c r="AK3525" t="s">
        <v>8550</v>
      </c>
      <c r="AL3525">
        <v>-3.21</v>
      </c>
      <c r="AM3525">
        <v>3065</v>
      </c>
      <c r="AN3525">
        <v>21</v>
      </c>
      <c r="AO3525">
        <v>2.9999999999999997E-4</v>
      </c>
      <c r="AP3525">
        <v>-1</v>
      </c>
      <c r="AQ3525">
        <v>0.56000000000000005</v>
      </c>
      <c r="AR3525">
        <v>-4.5999999999999996</v>
      </c>
      <c r="AS3525">
        <v>-11.21</v>
      </c>
      <c r="AT3525">
        <v>-3.89</v>
      </c>
      <c r="AU3525">
        <v>-2.87</v>
      </c>
      <c r="AV3525">
        <v>2</v>
      </c>
      <c r="AW3525">
        <v>1.41</v>
      </c>
      <c r="AX3525">
        <v>66.69</v>
      </c>
      <c r="AY3525">
        <v>66.33</v>
      </c>
      <c r="AZ3525">
        <v>72.849999999999994</v>
      </c>
      <c r="BA3525">
        <v>1.47</v>
      </c>
      <c r="BB3525" t="s">
        <v>143</v>
      </c>
      <c r="BF3525">
        <v>-3.2</v>
      </c>
      <c r="BG3525">
        <v>-4.42</v>
      </c>
      <c r="BH3525">
        <v>-4.87</v>
      </c>
      <c r="BI3525">
        <v>0.74</v>
      </c>
      <c r="BJ3525">
        <v>20210831</v>
      </c>
      <c r="BK3525">
        <v>20140122</v>
      </c>
      <c r="BL3525">
        <v>6.83</v>
      </c>
      <c r="BM3525" t="s">
        <v>120</v>
      </c>
      <c r="BN3525" t="s">
        <v>120</v>
      </c>
      <c r="BO3525">
        <v>90.03</v>
      </c>
      <c r="BP3525">
        <v>20.52</v>
      </c>
      <c r="BQ3525">
        <v>38.159999999999997</v>
      </c>
      <c r="BR3525">
        <v>5.16</v>
      </c>
      <c r="BS3525">
        <v>51.88</v>
      </c>
      <c r="BT3525">
        <v>30.28</v>
      </c>
      <c r="BU3525">
        <v>28.55</v>
      </c>
      <c r="BV3525">
        <v>6.61</v>
      </c>
      <c r="BW3525">
        <v>31.54</v>
      </c>
      <c r="BX3525">
        <v>4.38</v>
      </c>
      <c r="BY3525">
        <v>13.26</v>
      </c>
      <c r="BZ3525">
        <v>9.39</v>
      </c>
      <c r="CA3525" t="s">
        <v>120</v>
      </c>
      <c r="CB3525">
        <v>19.36</v>
      </c>
      <c r="CC3525">
        <v>9.61</v>
      </c>
      <c r="CD3525">
        <v>6.03</v>
      </c>
      <c r="CE3525">
        <v>0.93</v>
      </c>
      <c r="CF3525">
        <v>0</v>
      </c>
      <c r="CG3525">
        <v>0.92</v>
      </c>
      <c r="CH3525">
        <v>0.9</v>
      </c>
      <c r="CI3525">
        <v>1.01</v>
      </c>
      <c r="CJ3525">
        <v>-0.98</v>
      </c>
      <c r="CK3525">
        <v>0.68</v>
      </c>
      <c r="CL3525">
        <v>10.44</v>
      </c>
      <c r="CM3525">
        <v>0.11</v>
      </c>
      <c r="CN3525">
        <v>0.63</v>
      </c>
      <c r="CO3525">
        <v>24658</v>
      </c>
      <c r="CP3525">
        <v>18478</v>
      </c>
      <c r="CQ3525" t="s">
        <v>14890</v>
      </c>
      <c r="CR3525">
        <v>24.46</v>
      </c>
      <c r="CS3525">
        <v>11.42</v>
      </c>
      <c r="CT3525">
        <v>3.67</v>
      </c>
      <c r="CU3525">
        <v>1275.04</v>
      </c>
      <c r="CV3525">
        <v>14.59</v>
      </c>
      <c r="CW3525">
        <v>0.41</v>
      </c>
      <c r="CX3525" t="s">
        <v>373</v>
      </c>
      <c r="CY3525">
        <v>5.59</v>
      </c>
      <c r="CZ3525">
        <v>0</v>
      </c>
      <c r="DA3525">
        <v>2.83</v>
      </c>
      <c r="DB3525">
        <v>1.53</v>
      </c>
      <c r="DC3525">
        <v>0.02</v>
      </c>
      <c r="DD3525">
        <v>42.39</v>
      </c>
      <c r="DE3525" t="s">
        <v>4616</v>
      </c>
      <c r="DF3525">
        <v>37.28</v>
      </c>
      <c r="DG3525">
        <v>9.6300000000000008</v>
      </c>
      <c r="DH3525">
        <v>10.49</v>
      </c>
      <c r="DI3525">
        <v>1.21</v>
      </c>
      <c r="DJ3525">
        <v>4483</v>
      </c>
      <c r="DK3525">
        <v>603308</v>
      </c>
      <c r="DL3525" t="s">
        <v>120</v>
      </c>
      <c r="DM3525" t="s">
        <v>120</v>
      </c>
      <c r="DN3525" t="s">
        <v>120</v>
      </c>
    </row>
    <row r="3526" spans="1:118">
      <c r="A3526" t="str">
        <f>"603309"</f>
        <v>603309</v>
      </c>
      <c r="B3526" t="s">
        <v>14891</v>
      </c>
      <c r="C3526">
        <v>-0.5</v>
      </c>
      <c r="D3526">
        <v>1.01</v>
      </c>
      <c r="E3526">
        <v>-0.66</v>
      </c>
      <c r="F3526">
        <v>546</v>
      </c>
      <c r="G3526" t="s">
        <v>14892</v>
      </c>
      <c r="H3526">
        <v>2135</v>
      </c>
      <c r="I3526">
        <v>26.98</v>
      </c>
      <c r="J3526" t="s">
        <v>120</v>
      </c>
      <c r="K3526" t="s">
        <v>14893</v>
      </c>
      <c r="L3526">
        <v>0.69</v>
      </c>
      <c r="M3526">
        <v>12</v>
      </c>
      <c r="N3526">
        <v>1.02</v>
      </c>
      <c r="O3526">
        <v>1.99</v>
      </c>
      <c r="P3526">
        <v>12.3</v>
      </c>
      <c r="Q3526">
        <v>-1.74</v>
      </c>
      <c r="R3526">
        <v>11.85</v>
      </c>
      <c r="S3526">
        <v>11.98</v>
      </c>
      <c r="T3526">
        <v>17816</v>
      </c>
      <c r="U3526">
        <v>12</v>
      </c>
      <c r="V3526">
        <v>12.06</v>
      </c>
      <c r="W3526">
        <v>33.520000000000003</v>
      </c>
      <c r="X3526" t="s">
        <v>555</v>
      </c>
      <c r="Y3526" t="s">
        <v>547</v>
      </c>
      <c r="Z3526">
        <v>3.73</v>
      </c>
      <c r="AA3526">
        <v>11.98</v>
      </c>
      <c r="AB3526">
        <v>10631</v>
      </c>
      <c r="AC3526">
        <v>7185</v>
      </c>
      <c r="AD3526">
        <v>1.48</v>
      </c>
      <c r="AE3526">
        <v>35</v>
      </c>
      <c r="AF3526">
        <v>36</v>
      </c>
      <c r="AG3526" t="s">
        <v>120</v>
      </c>
      <c r="AH3526">
        <v>0.02</v>
      </c>
      <c r="AI3526" t="s">
        <v>120</v>
      </c>
      <c r="AJ3526">
        <v>2.6</v>
      </c>
      <c r="AK3526" t="s">
        <v>14893</v>
      </c>
      <c r="AL3526">
        <v>0.85</v>
      </c>
      <c r="AM3526">
        <v>886</v>
      </c>
      <c r="AN3526">
        <v>20</v>
      </c>
      <c r="AO3526">
        <v>8.0000000000000004E-4</v>
      </c>
      <c r="AP3526">
        <v>-1</v>
      </c>
      <c r="AQ3526">
        <v>2.81</v>
      </c>
      <c r="AR3526">
        <v>-0.5</v>
      </c>
      <c r="AS3526">
        <v>-14.47</v>
      </c>
      <c r="AT3526">
        <v>-11.96</v>
      </c>
      <c r="AU3526">
        <v>-2.68</v>
      </c>
      <c r="AV3526">
        <v>2</v>
      </c>
      <c r="AW3526">
        <v>1.7</v>
      </c>
      <c r="AX3526">
        <v>40.33</v>
      </c>
      <c r="AY3526">
        <v>30.57</v>
      </c>
      <c r="AZ3526">
        <v>20.48</v>
      </c>
      <c r="BA3526">
        <v>0.15</v>
      </c>
      <c r="BB3526" t="s">
        <v>143</v>
      </c>
      <c r="BF3526">
        <v>-0.63</v>
      </c>
      <c r="BG3526">
        <v>0.17</v>
      </c>
      <c r="BH3526">
        <v>-2.44</v>
      </c>
      <c r="BI3526">
        <v>1.27</v>
      </c>
      <c r="BJ3526">
        <v>20210821</v>
      </c>
      <c r="BK3526">
        <v>20150302</v>
      </c>
      <c r="BL3526">
        <v>2.6</v>
      </c>
      <c r="BM3526" t="s">
        <v>120</v>
      </c>
      <c r="BN3526" t="s">
        <v>120</v>
      </c>
      <c r="BO3526">
        <v>15.53</v>
      </c>
      <c r="BP3526">
        <v>11.89</v>
      </c>
      <c r="BQ3526">
        <v>11.29</v>
      </c>
      <c r="BR3526">
        <v>0.1</v>
      </c>
      <c r="BS3526">
        <v>26.7</v>
      </c>
      <c r="BT3526">
        <v>4.4000000000000004</v>
      </c>
      <c r="BU3526">
        <v>4.4000000000000004</v>
      </c>
      <c r="BV3526">
        <v>1.48</v>
      </c>
      <c r="BW3526">
        <v>2.92</v>
      </c>
      <c r="BX3526">
        <v>1.6</v>
      </c>
      <c r="BY3526">
        <v>1.62</v>
      </c>
      <c r="BZ3526">
        <v>0.79</v>
      </c>
      <c r="CA3526" t="s">
        <v>120</v>
      </c>
      <c r="CB3526">
        <v>2.48</v>
      </c>
      <c r="CC3526">
        <v>4.7300000000000004</v>
      </c>
      <c r="CD3526">
        <v>2.71</v>
      </c>
      <c r="CE3526">
        <v>0.64</v>
      </c>
      <c r="CF3526">
        <v>0</v>
      </c>
      <c r="CG3526">
        <v>0.63</v>
      </c>
      <c r="CH3526">
        <v>0.51</v>
      </c>
      <c r="CI3526">
        <v>0.47</v>
      </c>
      <c r="CJ3526">
        <v>-0.06</v>
      </c>
      <c r="CK3526">
        <v>0.42</v>
      </c>
      <c r="CL3526">
        <v>5.6</v>
      </c>
      <c r="CM3526">
        <v>0.66</v>
      </c>
      <c r="CN3526">
        <v>-0.01</v>
      </c>
      <c r="CO3526">
        <v>19117</v>
      </c>
      <c r="CP3526">
        <v>5484</v>
      </c>
      <c r="CQ3526" t="s">
        <v>4553</v>
      </c>
      <c r="CR3526">
        <v>-52.06</v>
      </c>
      <c r="CS3526">
        <v>-13.81</v>
      </c>
      <c r="CT3526">
        <v>2.76</v>
      </c>
      <c r="CU3526">
        <v>47.31</v>
      </c>
      <c r="CV3526">
        <v>6.6</v>
      </c>
      <c r="CW3526">
        <v>1.66</v>
      </c>
      <c r="CX3526" t="s">
        <v>242</v>
      </c>
      <c r="CY3526">
        <v>4.34</v>
      </c>
      <c r="CZ3526">
        <v>0</v>
      </c>
      <c r="DA3526">
        <v>0.95</v>
      </c>
      <c r="DB3526">
        <v>2.15</v>
      </c>
      <c r="DC3526">
        <v>0.25</v>
      </c>
      <c r="DD3526">
        <v>72.66</v>
      </c>
      <c r="DE3526" t="s">
        <v>7234</v>
      </c>
      <c r="DF3526">
        <v>42.65</v>
      </c>
      <c r="DG3526">
        <v>13.48</v>
      </c>
      <c r="DH3526">
        <v>9.84</v>
      </c>
      <c r="DI3526">
        <v>0.21</v>
      </c>
      <c r="DJ3526">
        <v>2755</v>
      </c>
      <c r="DK3526">
        <v>603309</v>
      </c>
      <c r="DL3526" t="s">
        <v>120</v>
      </c>
      <c r="DM3526" t="s">
        <v>120</v>
      </c>
      <c r="DN3526" t="s">
        <v>120</v>
      </c>
    </row>
    <row r="3527" spans="1:118">
      <c r="A3527" t="str">
        <f>"603311"</f>
        <v>603311</v>
      </c>
      <c r="B3527" t="s">
        <v>14894</v>
      </c>
      <c r="C3527">
        <v>-1.31</v>
      </c>
      <c r="D3527">
        <v>-0.08</v>
      </c>
      <c r="E3527">
        <v>0.38</v>
      </c>
      <c r="F3527">
        <v>216</v>
      </c>
      <c r="G3527" t="s">
        <v>14895</v>
      </c>
      <c r="H3527">
        <v>1236.8900000000001</v>
      </c>
      <c r="I3527">
        <v>3.21</v>
      </c>
      <c r="J3527" t="s">
        <v>120</v>
      </c>
      <c r="K3527" t="s">
        <v>9672</v>
      </c>
      <c r="L3527">
        <v>0.55000000000000004</v>
      </c>
      <c r="M3527">
        <v>10.52</v>
      </c>
      <c r="N3527">
        <v>1.05</v>
      </c>
      <c r="O3527">
        <v>0.94</v>
      </c>
      <c r="P3527">
        <v>10.76</v>
      </c>
      <c r="Q3527">
        <v>-1.31</v>
      </c>
      <c r="R3527">
        <v>10.52</v>
      </c>
      <c r="S3527">
        <v>10.7</v>
      </c>
      <c r="T3527">
        <v>11605</v>
      </c>
      <c r="U3527">
        <v>10.53</v>
      </c>
      <c r="V3527">
        <v>10.66</v>
      </c>
      <c r="W3527">
        <v>20.079999999999998</v>
      </c>
      <c r="X3527" t="s">
        <v>675</v>
      </c>
      <c r="Y3527" t="s">
        <v>585</v>
      </c>
      <c r="Z3527">
        <v>2.25</v>
      </c>
      <c r="AA3527">
        <v>10.66</v>
      </c>
      <c r="AB3527">
        <v>6827</v>
      </c>
      <c r="AC3527">
        <v>4778</v>
      </c>
      <c r="AD3527">
        <v>1.43</v>
      </c>
      <c r="AE3527">
        <v>51</v>
      </c>
      <c r="AF3527">
        <v>14</v>
      </c>
      <c r="AG3527" t="s">
        <v>120</v>
      </c>
      <c r="AH3527">
        <v>0</v>
      </c>
      <c r="AI3527" t="s">
        <v>120</v>
      </c>
      <c r="AJ3527">
        <v>2.1</v>
      </c>
      <c r="AK3527" t="s">
        <v>9672</v>
      </c>
      <c r="AL3527">
        <v>0.03</v>
      </c>
      <c r="AM3527">
        <v>746</v>
      </c>
      <c r="AN3527">
        <v>16</v>
      </c>
      <c r="AO3527">
        <v>6.9999999999999999E-4</v>
      </c>
      <c r="AP3527">
        <v>-1</v>
      </c>
      <c r="AQ3527">
        <v>0.85</v>
      </c>
      <c r="AR3527">
        <v>-1.96</v>
      </c>
      <c r="AS3527">
        <v>1.06</v>
      </c>
      <c r="AT3527">
        <v>-1.95</v>
      </c>
      <c r="AU3527">
        <v>-6.16</v>
      </c>
      <c r="AV3527">
        <v>1</v>
      </c>
      <c r="AW3527">
        <v>1.31</v>
      </c>
      <c r="AX3527">
        <v>42.28</v>
      </c>
      <c r="AY3527">
        <v>23.49</v>
      </c>
      <c r="AZ3527">
        <v>23.98</v>
      </c>
      <c r="BA3527">
        <v>1.01</v>
      </c>
      <c r="BB3527" t="s">
        <v>143</v>
      </c>
      <c r="BF3527">
        <v>-0.02</v>
      </c>
      <c r="BG3527">
        <v>-1.68</v>
      </c>
      <c r="BH3527">
        <v>-2.23</v>
      </c>
      <c r="BI3527">
        <v>0</v>
      </c>
      <c r="BJ3527">
        <v>20210821</v>
      </c>
      <c r="BK3527">
        <v>20150518</v>
      </c>
      <c r="BL3527">
        <v>2.1</v>
      </c>
      <c r="BM3527" t="s">
        <v>120</v>
      </c>
      <c r="BN3527" t="s">
        <v>120</v>
      </c>
      <c r="BO3527">
        <v>12.54</v>
      </c>
      <c r="BP3527">
        <v>10.52</v>
      </c>
      <c r="BQ3527">
        <v>8.58</v>
      </c>
      <c r="BR3527" t="s">
        <v>120</v>
      </c>
      <c r="BS3527">
        <v>31.55</v>
      </c>
      <c r="BT3527">
        <v>7.87</v>
      </c>
      <c r="BU3527">
        <v>3.36</v>
      </c>
      <c r="BV3527">
        <v>0.63</v>
      </c>
      <c r="BW3527">
        <v>3.82</v>
      </c>
      <c r="BX3527">
        <v>2.93</v>
      </c>
      <c r="BY3527">
        <v>1.58</v>
      </c>
      <c r="BZ3527">
        <v>2.11</v>
      </c>
      <c r="CA3527">
        <v>0</v>
      </c>
      <c r="CB3527">
        <v>2.08</v>
      </c>
      <c r="CC3527">
        <v>3.91</v>
      </c>
      <c r="CD3527">
        <v>2.58</v>
      </c>
      <c r="CE3527">
        <v>0.62</v>
      </c>
      <c r="CF3527">
        <v>0.02</v>
      </c>
      <c r="CG3527">
        <v>0.61</v>
      </c>
      <c r="CH3527">
        <v>0.55000000000000004</v>
      </c>
      <c r="CI3527">
        <v>0.55000000000000004</v>
      </c>
      <c r="CJ3527">
        <v>-0.14000000000000001</v>
      </c>
      <c r="CK3527">
        <v>0.53</v>
      </c>
      <c r="CL3527">
        <v>4.0199999999999996</v>
      </c>
      <c r="CM3527">
        <v>0.39</v>
      </c>
      <c r="CN3527">
        <v>-0.81</v>
      </c>
      <c r="CO3527">
        <v>15969</v>
      </c>
      <c r="CP3527">
        <v>5560</v>
      </c>
      <c r="CQ3527" t="s">
        <v>8298</v>
      </c>
      <c r="CR3527">
        <v>3.7</v>
      </c>
      <c r="CS3527">
        <v>13.78</v>
      </c>
      <c r="CT3527">
        <v>2.57</v>
      </c>
      <c r="CU3527">
        <v>56.71</v>
      </c>
      <c r="CV3527">
        <v>5.66</v>
      </c>
      <c r="CW3527">
        <v>1.88</v>
      </c>
      <c r="CX3527" t="s">
        <v>670</v>
      </c>
      <c r="CY3527">
        <v>4.09</v>
      </c>
      <c r="CZ3527">
        <v>0</v>
      </c>
      <c r="DA3527">
        <v>0.99</v>
      </c>
      <c r="DB3527">
        <v>1.92</v>
      </c>
      <c r="DC3527">
        <v>0.19</v>
      </c>
      <c r="DD3527">
        <v>68.45</v>
      </c>
      <c r="DE3527" t="s">
        <v>8910</v>
      </c>
      <c r="DF3527">
        <v>33.94</v>
      </c>
      <c r="DG3527">
        <v>15.94</v>
      </c>
      <c r="DH3527">
        <v>14.08</v>
      </c>
      <c r="DI3527">
        <v>0.1</v>
      </c>
      <c r="DJ3527">
        <v>1311</v>
      </c>
      <c r="DK3527">
        <v>603311</v>
      </c>
      <c r="DL3527" t="s">
        <v>120</v>
      </c>
      <c r="DM3527" t="s">
        <v>120</v>
      </c>
      <c r="DN3527" t="s">
        <v>120</v>
      </c>
    </row>
    <row r="3528" spans="1:118">
      <c r="A3528" t="str">
        <f>"603313"</f>
        <v>603313</v>
      </c>
      <c r="B3528" t="s">
        <v>14896</v>
      </c>
      <c r="C3528">
        <v>-1.2</v>
      </c>
      <c r="D3528">
        <v>0.2</v>
      </c>
      <c r="E3528">
        <v>-0.93</v>
      </c>
      <c r="F3528">
        <v>1015</v>
      </c>
      <c r="G3528" t="s">
        <v>4175</v>
      </c>
      <c r="H3528">
        <v>5344.57</v>
      </c>
      <c r="I3528">
        <v>10.130000000000001</v>
      </c>
      <c r="J3528" t="s">
        <v>120</v>
      </c>
      <c r="K3528" t="s">
        <v>14897</v>
      </c>
      <c r="L3528">
        <v>0.74</v>
      </c>
      <c r="M3528">
        <v>14.86</v>
      </c>
      <c r="N3528">
        <v>0.69</v>
      </c>
      <c r="O3528">
        <v>-0.13</v>
      </c>
      <c r="P3528">
        <v>15.02</v>
      </c>
      <c r="Q3528">
        <v>-2.39</v>
      </c>
      <c r="R3528">
        <v>14.68</v>
      </c>
      <c r="S3528">
        <v>14.9</v>
      </c>
      <c r="T3528">
        <v>36014</v>
      </c>
      <c r="U3528">
        <v>14.87</v>
      </c>
      <c r="V3528">
        <v>15.04</v>
      </c>
      <c r="W3528">
        <v>410.08</v>
      </c>
      <c r="X3528" t="s">
        <v>2409</v>
      </c>
      <c r="Y3528" t="s">
        <v>319</v>
      </c>
      <c r="Z3528">
        <v>2.2599999999999998</v>
      </c>
      <c r="AA3528">
        <v>14.84</v>
      </c>
      <c r="AB3528">
        <v>18460</v>
      </c>
      <c r="AC3528">
        <v>17554</v>
      </c>
      <c r="AD3528">
        <v>1.05</v>
      </c>
      <c r="AE3528">
        <v>417</v>
      </c>
      <c r="AF3528">
        <v>1109</v>
      </c>
      <c r="AG3528" t="s">
        <v>120</v>
      </c>
      <c r="AH3528">
        <v>0</v>
      </c>
      <c r="AI3528" t="s">
        <v>120</v>
      </c>
      <c r="AJ3528">
        <v>4.8499999999999996</v>
      </c>
      <c r="AK3528" t="s">
        <v>14898</v>
      </c>
      <c r="AL3528">
        <v>0.15</v>
      </c>
      <c r="AM3528">
        <v>2055</v>
      </c>
      <c r="AN3528">
        <v>18</v>
      </c>
      <c r="AO3528">
        <v>4.0000000000000002E-4</v>
      </c>
      <c r="AP3528">
        <v>-7</v>
      </c>
      <c r="AQ3528">
        <v>-1.25</v>
      </c>
      <c r="AR3528">
        <v>-4.26</v>
      </c>
      <c r="AS3528">
        <v>-12.02</v>
      </c>
      <c r="AT3528">
        <v>-38.69</v>
      </c>
      <c r="AU3528">
        <v>-39.76</v>
      </c>
      <c r="AV3528">
        <v>2</v>
      </c>
      <c r="AW3528">
        <v>1.65</v>
      </c>
      <c r="AX3528">
        <v>44.91</v>
      </c>
      <c r="AY3528">
        <v>31.46</v>
      </c>
      <c r="AZ3528">
        <v>19.329999999999998</v>
      </c>
      <c r="BA3528">
        <v>0.88</v>
      </c>
      <c r="BB3528" t="s">
        <v>134</v>
      </c>
      <c r="BF3528">
        <v>-1.33</v>
      </c>
      <c r="BG3528">
        <v>-0.27</v>
      </c>
      <c r="BH3528">
        <v>-1.07</v>
      </c>
      <c r="BI3528">
        <v>1.23</v>
      </c>
      <c r="BJ3528">
        <v>20210828</v>
      </c>
      <c r="BK3528">
        <v>20161013</v>
      </c>
      <c r="BL3528">
        <v>4.87</v>
      </c>
      <c r="BM3528" t="s">
        <v>120</v>
      </c>
      <c r="BN3528" t="s">
        <v>120</v>
      </c>
      <c r="BO3528">
        <v>84.95</v>
      </c>
      <c r="BP3528">
        <v>14.86</v>
      </c>
      <c r="BQ3528">
        <v>33.869999999999997</v>
      </c>
      <c r="BR3528">
        <v>1.26</v>
      </c>
      <c r="BS3528">
        <v>58.64</v>
      </c>
      <c r="BT3528">
        <v>40.93</v>
      </c>
      <c r="BU3528">
        <v>18.649999999999999</v>
      </c>
      <c r="BV3528">
        <v>1.85</v>
      </c>
      <c r="BW3528">
        <v>35.25</v>
      </c>
      <c r="BX3528">
        <v>6.33</v>
      </c>
      <c r="BY3528">
        <v>17.989999999999998</v>
      </c>
      <c r="BZ3528">
        <v>12.21</v>
      </c>
      <c r="CA3528" t="s">
        <v>120</v>
      </c>
      <c r="CB3528">
        <v>19.87</v>
      </c>
      <c r="CC3528">
        <v>39</v>
      </c>
      <c r="CD3528">
        <v>27.93</v>
      </c>
      <c r="CE3528">
        <v>-0.13</v>
      </c>
      <c r="CF3528">
        <v>0.09</v>
      </c>
      <c r="CG3528">
        <v>0.37</v>
      </c>
      <c r="CH3528">
        <v>0.25</v>
      </c>
      <c r="CI3528">
        <v>0.09</v>
      </c>
      <c r="CJ3528">
        <v>-0.18</v>
      </c>
      <c r="CK3528">
        <v>-0.38</v>
      </c>
      <c r="CL3528">
        <v>9.6</v>
      </c>
      <c r="CM3528">
        <v>-1.85</v>
      </c>
      <c r="CN3528">
        <v>-3.78</v>
      </c>
      <c r="CO3528">
        <v>21928</v>
      </c>
      <c r="CP3528">
        <v>9965</v>
      </c>
      <c r="CQ3528" t="s">
        <v>12129</v>
      </c>
      <c r="CR3528">
        <v>-94.3</v>
      </c>
      <c r="CS3528">
        <v>61.42</v>
      </c>
      <c r="CT3528">
        <v>2.13</v>
      </c>
      <c r="CU3528">
        <v>-39.11</v>
      </c>
      <c r="CV3528">
        <v>1.85</v>
      </c>
      <c r="CW3528">
        <v>1.79</v>
      </c>
      <c r="CX3528" t="s">
        <v>1819</v>
      </c>
      <c r="CY3528">
        <v>6.96</v>
      </c>
      <c r="CZ3528">
        <v>0</v>
      </c>
      <c r="DA3528">
        <v>4.08</v>
      </c>
      <c r="DB3528">
        <v>1.97</v>
      </c>
      <c r="DC3528">
        <v>-0.38</v>
      </c>
      <c r="DD3528">
        <v>39.869999999999997</v>
      </c>
      <c r="DE3528" t="s">
        <v>7692</v>
      </c>
      <c r="DF3528">
        <v>28.39</v>
      </c>
      <c r="DG3528">
        <v>-0.34</v>
      </c>
      <c r="DH3528">
        <v>0.23</v>
      </c>
      <c r="DI3528">
        <v>0.6</v>
      </c>
      <c r="DJ3528">
        <v>7670</v>
      </c>
      <c r="DK3528">
        <v>603313</v>
      </c>
      <c r="DL3528" t="s">
        <v>120</v>
      </c>
      <c r="DM3528" t="s">
        <v>120</v>
      </c>
      <c r="DN3528" t="s">
        <v>120</v>
      </c>
    </row>
    <row r="3529" spans="1:118">
      <c r="A3529" t="str">
        <f>"603315"</f>
        <v>603315</v>
      </c>
      <c r="B3529" t="s">
        <v>14899</v>
      </c>
      <c r="C3529">
        <v>10</v>
      </c>
      <c r="D3529">
        <v>0</v>
      </c>
      <c r="E3529">
        <v>6.91</v>
      </c>
      <c r="F3529">
        <v>718</v>
      </c>
      <c r="G3529" t="s">
        <v>3948</v>
      </c>
      <c r="H3529">
        <v>21042.51</v>
      </c>
      <c r="I3529">
        <v>699.9</v>
      </c>
      <c r="J3529">
        <v>1434.6</v>
      </c>
      <c r="K3529" t="s">
        <v>8186</v>
      </c>
      <c r="L3529">
        <v>3.59</v>
      </c>
      <c r="M3529">
        <v>26.73</v>
      </c>
      <c r="N3529">
        <v>1.68</v>
      </c>
      <c r="O3529">
        <v>10</v>
      </c>
      <c r="P3529">
        <v>26.73</v>
      </c>
      <c r="Q3529">
        <v>6.91</v>
      </c>
      <c r="R3529">
        <v>25.98</v>
      </c>
      <c r="S3529">
        <v>25.98</v>
      </c>
      <c r="T3529">
        <v>79033</v>
      </c>
      <c r="U3529" t="s">
        <v>120</v>
      </c>
      <c r="V3529">
        <v>24.3</v>
      </c>
      <c r="W3529">
        <v>103</v>
      </c>
      <c r="X3529" t="s">
        <v>959</v>
      </c>
      <c r="Y3529" t="s">
        <v>432</v>
      </c>
      <c r="Z3529">
        <v>3.09</v>
      </c>
      <c r="AA3529">
        <v>26.62</v>
      </c>
      <c r="AB3529">
        <v>43993</v>
      </c>
      <c r="AC3529">
        <v>35040</v>
      </c>
      <c r="AD3529">
        <v>1.26</v>
      </c>
      <c r="AE3529">
        <v>5367</v>
      </c>
      <c r="AF3529">
        <v>0</v>
      </c>
      <c r="AG3529" t="s">
        <v>120</v>
      </c>
      <c r="AH3529">
        <v>0.25</v>
      </c>
      <c r="AI3529">
        <v>7.0000000000000007E-2</v>
      </c>
      <c r="AJ3529">
        <v>2.2000000000000002</v>
      </c>
      <c r="AK3529" t="s">
        <v>14900</v>
      </c>
      <c r="AL3529">
        <v>11.34</v>
      </c>
      <c r="AM3529">
        <v>843</v>
      </c>
      <c r="AN3529">
        <v>94</v>
      </c>
      <c r="AO3529">
        <v>4.3E-3</v>
      </c>
      <c r="AP3529">
        <v>2</v>
      </c>
      <c r="AQ3529">
        <v>10</v>
      </c>
      <c r="AR3529">
        <v>20.399999999999999</v>
      </c>
      <c r="AS3529">
        <v>41.05</v>
      </c>
      <c r="AT3529">
        <v>122.38</v>
      </c>
      <c r="AU3529">
        <v>135.09</v>
      </c>
      <c r="AV3529">
        <v>2</v>
      </c>
      <c r="AW3529">
        <v>7.37</v>
      </c>
      <c r="AX3529">
        <v>34.909999999999997</v>
      </c>
      <c r="AY3529">
        <v>84.18</v>
      </c>
      <c r="AZ3529">
        <v>75.19</v>
      </c>
      <c r="BA3529">
        <v>0</v>
      </c>
      <c r="BB3529" t="s">
        <v>168</v>
      </c>
      <c r="BF3529">
        <v>9.57</v>
      </c>
      <c r="BG3529">
        <v>2.89</v>
      </c>
      <c r="BH3529">
        <v>0</v>
      </c>
      <c r="BI3529">
        <v>2.89</v>
      </c>
      <c r="BJ3529">
        <v>20210827</v>
      </c>
      <c r="BK3529">
        <v>20150424</v>
      </c>
      <c r="BL3529">
        <v>3.07</v>
      </c>
      <c r="BM3529" t="s">
        <v>120</v>
      </c>
      <c r="BN3529" t="s">
        <v>120</v>
      </c>
      <c r="BO3529">
        <v>22.64</v>
      </c>
      <c r="BP3529">
        <v>26.73</v>
      </c>
      <c r="BQ3529">
        <v>14.08</v>
      </c>
      <c r="BR3529">
        <v>-0.02</v>
      </c>
      <c r="BS3529">
        <v>37.909999999999997</v>
      </c>
      <c r="BT3529">
        <v>17.46</v>
      </c>
      <c r="BU3529">
        <v>3.29</v>
      </c>
      <c r="BV3529">
        <v>0.46</v>
      </c>
      <c r="BW3529">
        <v>8.2100000000000009</v>
      </c>
      <c r="BX3529">
        <v>1.72</v>
      </c>
      <c r="BY3529">
        <v>4.7</v>
      </c>
      <c r="BZ3529">
        <v>7.29</v>
      </c>
      <c r="CA3529" t="s">
        <v>120</v>
      </c>
      <c r="CB3529">
        <v>5.99</v>
      </c>
      <c r="CC3529">
        <v>3.9</v>
      </c>
      <c r="CD3529">
        <v>3.02</v>
      </c>
      <c r="CE3529">
        <v>0.44</v>
      </c>
      <c r="CF3529">
        <v>0</v>
      </c>
      <c r="CG3529">
        <v>0.44</v>
      </c>
      <c r="CH3529">
        <v>0.39</v>
      </c>
      <c r="CI3529">
        <v>0.4</v>
      </c>
      <c r="CJ3529">
        <v>2.4300000000000002</v>
      </c>
      <c r="CK3529">
        <v>0.37</v>
      </c>
      <c r="CL3529">
        <v>4.6100000000000003</v>
      </c>
      <c r="CM3529">
        <v>-0.69</v>
      </c>
      <c r="CN3529">
        <v>-0.51</v>
      </c>
      <c r="CO3529">
        <v>9759</v>
      </c>
      <c r="CP3529">
        <v>10984</v>
      </c>
      <c r="CQ3529" t="s">
        <v>14901</v>
      </c>
      <c r="CR3529">
        <v>-21</v>
      </c>
      <c r="CS3529">
        <v>11.47</v>
      </c>
      <c r="CT3529">
        <v>5.83</v>
      </c>
      <c r="CU3529">
        <v>-119.6</v>
      </c>
      <c r="CV3529">
        <v>21.03</v>
      </c>
      <c r="CW3529">
        <v>0.62</v>
      </c>
      <c r="CX3529" t="s">
        <v>986</v>
      </c>
      <c r="CY3529">
        <v>4.58</v>
      </c>
      <c r="CZ3529">
        <v>0</v>
      </c>
      <c r="DA3529">
        <v>1.95</v>
      </c>
      <c r="DB3529">
        <v>1.5</v>
      </c>
      <c r="DC3529">
        <v>-0.22</v>
      </c>
      <c r="DD3529">
        <v>62.19</v>
      </c>
      <c r="DE3529" t="s">
        <v>2379</v>
      </c>
      <c r="DF3529">
        <v>22.61</v>
      </c>
      <c r="DG3529">
        <v>11.15</v>
      </c>
      <c r="DH3529">
        <v>10.210000000000001</v>
      </c>
      <c r="DI3529">
        <v>0.12</v>
      </c>
      <c r="DJ3529">
        <v>865</v>
      </c>
      <c r="DK3529">
        <v>603315</v>
      </c>
      <c r="DL3529" t="s">
        <v>120</v>
      </c>
      <c r="DM3529" t="s">
        <v>120</v>
      </c>
      <c r="DN3529" t="s">
        <v>120</v>
      </c>
    </row>
    <row r="3530" spans="1:118">
      <c r="A3530" t="str">
        <f>"603316"</f>
        <v>603316</v>
      </c>
      <c r="B3530" t="s">
        <v>14902</v>
      </c>
      <c r="C3530">
        <v>-1.1000000000000001</v>
      </c>
      <c r="D3530">
        <v>0</v>
      </c>
      <c r="E3530">
        <v>-0.37</v>
      </c>
      <c r="F3530">
        <v>400</v>
      </c>
      <c r="G3530" t="s">
        <v>14844</v>
      </c>
      <c r="H3530">
        <v>1683.05</v>
      </c>
      <c r="I3530">
        <v>2.93</v>
      </c>
      <c r="J3530" t="s">
        <v>120</v>
      </c>
      <c r="K3530" t="s">
        <v>14903</v>
      </c>
      <c r="L3530">
        <v>1.17</v>
      </c>
      <c r="M3530">
        <v>5.39</v>
      </c>
      <c r="N3530">
        <v>1</v>
      </c>
      <c r="O3530">
        <v>0.73</v>
      </c>
      <c r="P3530">
        <v>5.49</v>
      </c>
      <c r="Q3530">
        <v>-1.47</v>
      </c>
      <c r="R3530">
        <v>5.37</v>
      </c>
      <c r="S3530">
        <v>5.43</v>
      </c>
      <c r="T3530">
        <v>31006</v>
      </c>
      <c r="U3530">
        <v>5.4</v>
      </c>
      <c r="V3530">
        <v>5.45</v>
      </c>
      <c r="W3530">
        <v>65.84</v>
      </c>
      <c r="X3530" t="s">
        <v>175</v>
      </c>
      <c r="Y3530" t="s">
        <v>585</v>
      </c>
      <c r="Z3530">
        <v>2.2000000000000002</v>
      </c>
      <c r="AA3530">
        <v>5.43</v>
      </c>
      <c r="AB3530">
        <v>17205</v>
      </c>
      <c r="AC3530">
        <v>13801</v>
      </c>
      <c r="AD3530">
        <v>1.25</v>
      </c>
      <c r="AE3530">
        <v>11</v>
      </c>
      <c r="AF3530">
        <v>550</v>
      </c>
      <c r="AG3530" t="s">
        <v>120</v>
      </c>
      <c r="AH3530">
        <v>0</v>
      </c>
      <c r="AI3530" t="s">
        <v>120</v>
      </c>
      <c r="AJ3530">
        <v>2.64</v>
      </c>
      <c r="AK3530" t="s">
        <v>14903</v>
      </c>
      <c r="AL3530">
        <v>0.24</v>
      </c>
      <c r="AM3530">
        <v>1263</v>
      </c>
      <c r="AN3530">
        <v>25</v>
      </c>
      <c r="AO3530">
        <v>8.9999999999999998E-4</v>
      </c>
      <c r="AP3530">
        <v>-1</v>
      </c>
      <c r="AQ3530">
        <v>1.87</v>
      </c>
      <c r="AR3530">
        <v>-0.91</v>
      </c>
      <c r="AS3530">
        <v>4.8600000000000003</v>
      </c>
      <c r="AT3530">
        <v>-8.02</v>
      </c>
      <c r="AU3530">
        <v>-3.22</v>
      </c>
      <c r="AV3530">
        <v>4</v>
      </c>
      <c r="AW3530">
        <v>2.27</v>
      </c>
      <c r="AX3530">
        <v>51.69</v>
      </c>
      <c r="AY3530">
        <v>38.11</v>
      </c>
      <c r="AZ3530">
        <v>34.770000000000003</v>
      </c>
      <c r="BA3530">
        <v>0.73</v>
      </c>
      <c r="BB3530" t="s">
        <v>184</v>
      </c>
      <c r="BF3530">
        <v>-0.4</v>
      </c>
      <c r="BG3530">
        <v>-0.74</v>
      </c>
      <c r="BH3530">
        <v>-1.82</v>
      </c>
      <c r="BI3530">
        <v>0.37</v>
      </c>
      <c r="BJ3530">
        <v>20210825</v>
      </c>
      <c r="BK3530">
        <v>20170619</v>
      </c>
      <c r="BL3530">
        <v>2.64</v>
      </c>
      <c r="BM3530" t="s">
        <v>120</v>
      </c>
      <c r="BN3530" t="s">
        <v>120</v>
      </c>
      <c r="BO3530">
        <v>25.44</v>
      </c>
      <c r="BP3530">
        <v>5.39</v>
      </c>
      <c r="BQ3530">
        <v>8.98</v>
      </c>
      <c r="BR3530">
        <v>0.23</v>
      </c>
      <c r="BS3530">
        <v>63.79</v>
      </c>
      <c r="BT3530">
        <v>12.66</v>
      </c>
      <c r="BU3530">
        <v>0.13</v>
      </c>
      <c r="BV3530">
        <v>0.02</v>
      </c>
      <c r="BW3530">
        <v>6.82</v>
      </c>
      <c r="BX3530">
        <v>2.86</v>
      </c>
      <c r="BY3530">
        <v>0</v>
      </c>
      <c r="BZ3530">
        <v>2.79</v>
      </c>
      <c r="CA3530" t="s">
        <v>120</v>
      </c>
      <c r="CB3530">
        <v>2.7</v>
      </c>
      <c r="CC3530">
        <v>4.92</v>
      </c>
      <c r="CD3530">
        <v>4.13</v>
      </c>
      <c r="CE3530">
        <v>0.1</v>
      </c>
      <c r="CF3530">
        <v>0.02</v>
      </c>
      <c r="CG3530">
        <v>0.1</v>
      </c>
      <c r="CH3530">
        <v>0.11</v>
      </c>
      <c r="CI3530">
        <v>0.11</v>
      </c>
      <c r="CJ3530">
        <v>-0.06</v>
      </c>
      <c r="CK3530">
        <v>0.08</v>
      </c>
      <c r="CL3530">
        <v>3.23</v>
      </c>
      <c r="CM3530">
        <v>-1.47</v>
      </c>
      <c r="CN3530">
        <v>0.32</v>
      </c>
      <c r="CO3530">
        <v>15798</v>
      </c>
      <c r="CP3530">
        <v>8647</v>
      </c>
      <c r="CQ3530" t="s">
        <v>3644</v>
      </c>
      <c r="CR3530">
        <v>-25.14</v>
      </c>
      <c r="CS3530">
        <v>15.23</v>
      </c>
      <c r="CT3530">
        <v>1.59</v>
      </c>
      <c r="CU3530">
        <v>-9.6999999999999993</v>
      </c>
      <c r="CV3530">
        <v>2.89</v>
      </c>
      <c r="CW3530">
        <v>1.41</v>
      </c>
      <c r="CX3530" t="s">
        <v>1248</v>
      </c>
      <c r="CY3530">
        <v>3.4</v>
      </c>
      <c r="CZ3530">
        <v>0</v>
      </c>
      <c r="DA3530">
        <v>1.02</v>
      </c>
      <c r="DB3530">
        <v>1.22</v>
      </c>
      <c r="DC3530">
        <v>-0.56000000000000005</v>
      </c>
      <c r="DD3530">
        <v>35.29</v>
      </c>
      <c r="DE3530" t="s">
        <v>2832</v>
      </c>
      <c r="DF3530">
        <v>16.11</v>
      </c>
      <c r="DG3530">
        <v>2.0699999999999998</v>
      </c>
      <c r="DH3530">
        <v>2.2000000000000002</v>
      </c>
      <c r="DI3530">
        <v>0.2</v>
      </c>
      <c r="DJ3530">
        <v>641</v>
      </c>
      <c r="DK3530">
        <v>603316</v>
      </c>
      <c r="DL3530" t="s">
        <v>120</v>
      </c>
      <c r="DM3530" t="s">
        <v>120</v>
      </c>
      <c r="DN3530" t="s">
        <v>120</v>
      </c>
    </row>
    <row r="3531" spans="1:118">
      <c r="A3531" t="str">
        <f>"603317"</f>
        <v>603317</v>
      </c>
      <c r="B3531" t="s">
        <v>14904</v>
      </c>
      <c r="C3531">
        <v>1.49</v>
      </c>
      <c r="D3531">
        <v>0</v>
      </c>
      <c r="E3531">
        <v>-0.43</v>
      </c>
      <c r="F3531">
        <v>489</v>
      </c>
      <c r="G3531" t="s">
        <v>155</v>
      </c>
      <c r="H3531">
        <v>10226.459999999999</v>
      </c>
      <c r="I3531">
        <v>12.83</v>
      </c>
      <c r="J3531" t="s">
        <v>120</v>
      </c>
      <c r="K3531" t="s">
        <v>155</v>
      </c>
      <c r="L3531">
        <v>2.6</v>
      </c>
      <c r="M3531">
        <v>21.1</v>
      </c>
      <c r="N3531">
        <v>1.32</v>
      </c>
      <c r="O3531">
        <v>3.37</v>
      </c>
      <c r="P3531">
        <v>21.49</v>
      </c>
      <c r="Q3531">
        <v>-0.91</v>
      </c>
      <c r="R3531">
        <v>20.6</v>
      </c>
      <c r="S3531">
        <v>20.7</v>
      </c>
      <c r="T3531">
        <v>48303</v>
      </c>
      <c r="U3531">
        <v>21.1</v>
      </c>
      <c r="V3531">
        <v>20.79</v>
      </c>
      <c r="W3531">
        <v>105.47</v>
      </c>
      <c r="X3531" t="s">
        <v>847</v>
      </c>
      <c r="Y3531" t="s">
        <v>578</v>
      </c>
      <c r="Z3531">
        <v>4.28</v>
      </c>
      <c r="AA3531">
        <v>21.17</v>
      </c>
      <c r="AB3531">
        <v>24684</v>
      </c>
      <c r="AC3531">
        <v>23619</v>
      </c>
      <c r="AD3531">
        <v>1.05</v>
      </c>
      <c r="AE3531">
        <v>33</v>
      </c>
      <c r="AF3531">
        <v>77</v>
      </c>
      <c r="AG3531" t="s">
        <v>120</v>
      </c>
      <c r="AH3531">
        <v>0</v>
      </c>
      <c r="AI3531" t="s">
        <v>120</v>
      </c>
      <c r="AJ3531">
        <v>1.86</v>
      </c>
      <c r="AK3531" t="s">
        <v>14905</v>
      </c>
      <c r="AL3531">
        <v>2.83</v>
      </c>
      <c r="AM3531">
        <v>2991</v>
      </c>
      <c r="AN3531">
        <v>16</v>
      </c>
      <c r="AO3531">
        <v>8.9999999999999998E-4</v>
      </c>
      <c r="AP3531">
        <v>1</v>
      </c>
      <c r="AQ3531">
        <v>-1.38</v>
      </c>
      <c r="AR3531">
        <v>-1.36</v>
      </c>
      <c r="AS3531">
        <v>-12.48</v>
      </c>
      <c r="AT3531">
        <v>-28.55</v>
      </c>
      <c r="AU3531">
        <v>-69.12</v>
      </c>
      <c r="AV3531">
        <v>2</v>
      </c>
      <c r="AW3531">
        <v>2.6</v>
      </c>
      <c r="AX3531">
        <v>24.54</v>
      </c>
      <c r="AY3531">
        <v>65.44</v>
      </c>
      <c r="AZ3531">
        <v>43.16</v>
      </c>
      <c r="BA3531">
        <v>1.1499999999999999</v>
      </c>
      <c r="BB3531" t="s">
        <v>125</v>
      </c>
      <c r="BF3531">
        <v>1.84</v>
      </c>
      <c r="BG3531">
        <v>1.93</v>
      </c>
      <c r="BH3531">
        <v>-1.81</v>
      </c>
      <c r="BI3531">
        <v>2.4300000000000002</v>
      </c>
      <c r="BJ3531">
        <v>20210831</v>
      </c>
      <c r="BK3531">
        <v>20190416</v>
      </c>
      <c r="BL3531">
        <v>7.56</v>
      </c>
      <c r="BM3531" t="s">
        <v>120</v>
      </c>
      <c r="BN3531" t="s">
        <v>120</v>
      </c>
      <c r="BO3531">
        <v>41.44</v>
      </c>
      <c r="BP3531">
        <v>21.09</v>
      </c>
      <c r="BQ3531">
        <v>36.590000000000003</v>
      </c>
      <c r="BR3531">
        <v>0</v>
      </c>
      <c r="BS3531">
        <v>11.7</v>
      </c>
      <c r="BT3531">
        <v>33.229999999999997</v>
      </c>
      <c r="BU3531">
        <v>4.37</v>
      </c>
      <c r="BV3531">
        <v>0.44</v>
      </c>
      <c r="BW3531">
        <v>4.76</v>
      </c>
      <c r="BX3531">
        <v>9.26</v>
      </c>
      <c r="BY3531">
        <v>1.29</v>
      </c>
      <c r="BZ3531">
        <v>0.21</v>
      </c>
      <c r="CA3531" t="s">
        <v>120</v>
      </c>
      <c r="CB3531">
        <v>18.47</v>
      </c>
      <c r="CC3531">
        <v>10.17</v>
      </c>
      <c r="CD3531">
        <v>6.68</v>
      </c>
      <c r="CE3531">
        <v>0.93</v>
      </c>
      <c r="CF3531">
        <v>0.16</v>
      </c>
      <c r="CG3531">
        <v>0.92</v>
      </c>
      <c r="CH3531">
        <v>0.76</v>
      </c>
      <c r="CI3531">
        <v>0.76</v>
      </c>
      <c r="CJ3531">
        <v>0.31</v>
      </c>
      <c r="CK3531">
        <v>0.62</v>
      </c>
      <c r="CL3531">
        <v>9.43</v>
      </c>
      <c r="CM3531">
        <v>0.87</v>
      </c>
      <c r="CN3531">
        <v>-17.97</v>
      </c>
      <c r="CO3531">
        <v>43233</v>
      </c>
      <c r="CP3531">
        <v>4292</v>
      </c>
      <c r="CQ3531" t="s">
        <v>14906</v>
      </c>
      <c r="CR3531">
        <v>-62.12</v>
      </c>
      <c r="CS3531">
        <v>10.62</v>
      </c>
      <c r="CT3531">
        <v>4.3600000000000003</v>
      </c>
      <c r="CU3531">
        <v>183.5</v>
      </c>
      <c r="CV3531">
        <v>15.7</v>
      </c>
      <c r="CW3531">
        <v>1</v>
      </c>
      <c r="CX3531" t="s">
        <v>411</v>
      </c>
      <c r="CY3531">
        <v>4.84</v>
      </c>
      <c r="CZ3531">
        <v>0</v>
      </c>
      <c r="DA3531">
        <v>2.44</v>
      </c>
      <c r="DB3531">
        <v>1.25</v>
      </c>
      <c r="DC3531">
        <v>0.11</v>
      </c>
      <c r="DD3531">
        <v>88.3</v>
      </c>
      <c r="DE3531" t="s">
        <v>6112</v>
      </c>
      <c r="DF3531">
        <v>34.270000000000003</v>
      </c>
      <c r="DG3531">
        <v>9.1</v>
      </c>
      <c r="DH3531">
        <v>7.44</v>
      </c>
      <c r="DI3531">
        <v>0.11</v>
      </c>
      <c r="DJ3531">
        <v>2403</v>
      </c>
      <c r="DK3531">
        <v>603317</v>
      </c>
      <c r="DL3531" t="s">
        <v>120</v>
      </c>
      <c r="DM3531" t="s">
        <v>120</v>
      </c>
      <c r="DN3531" t="s">
        <v>120</v>
      </c>
    </row>
    <row r="3532" spans="1:118">
      <c r="A3532" t="str">
        <f>"603318"</f>
        <v>603318</v>
      </c>
      <c r="B3532" t="s">
        <v>14907</v>
      </c>
      <c r="C3532">
        <v>-1.21</v>
      </c>
      <c r="D3532">
        <v>-0.23</v>
      </c>
      <c r="E3532">
        <v>0.12</v>
      </c>
      <c r="F3532">
        <v>3114</v>
      </c>
      <c r="G3532" t="s">
        <v>741</v>
      </c>
      <c r="H3532">
        <v>18439.04</v>
      </c>
      <c r="I3532">
        <v>73.849999999999994</v>
      </c>
      <c r="J3532" t="s">
        <v>120</v>
      </c>
      <c r="K3532" t="s">
        <v>8665</v>
      </c>
      <c r="L3532">
        <v>5.86</v>
      </c>
      <c r="M3532">
        <v>8.16</v>
      </c>
      <c r="N3532">
        <v>0.93</v>
      </c>
      <c r="O3532">
        <v>2.66</v>
      </c>
      <c r="P3532">
        <v>8.48</v>
      </c>
      <c r="Q3532">
        <v>-1.45</v>
      </c>
      <c r="R3532">
        <v>8.14</v>
      </c>
      <c r="S3532">
        <v>8.27</v>
      </c>
      <c r="T3532">
        <v>221688</v>
      </c>
      <c r="U3532">
        <v>8.17</v>
      </c>
      <c r="V3532">
        <v>8.26</v>
      </c>
      <c r="W3532">
        <v>52.98</v>
      </c>
      <c r="X3532" t="s">
        <v>675</v>
      </c>
      <c r="Y3532" t="s">
        <v>432</v>
      </c>
      <c r="Z3532">
        <v>4.12</v>
      </c>
      <c r="AA3532">
        <v>8.32</v>
      </c>
      <c r="AB3532">
        <v>111202</v>
      </c>
      <c r="AC3532">
        <v>110486</v>
      </c>
      <c r="AD3532">
        <v>1.01</v>
      </c>
      <c r="AE3532">
        <v>132</v>
      </c>
      <c r="AF3532">
        <v>69</v>
      </c>
      <c r="AG3532" t="s">
        <v>120</v>
      </c>
      <c r="AH3532">
        <v>0.05</v>
      </c>
      <c r="AI3532" t="s">
        <v>120</v>
      </c>
      <c r="AJ3532">
        <v>3.78</v>
      </c>
      <c r="AK3532" t="s">
        <v>8665</v>
      </c>
      <c r="AL3532">
        <v>0.13</v>
      </c>
      <c r="AM3532">
        <v>3073</v>
      </c>
      <c r="AN3532">
        <v>72</v>
      </c>
      <c r="AO3532">
        <v>1.9E-3</v>
      </c>
      <c r="AP3532">
        <v>-1</v>
      </c>
      <c r="AQ3532">
        <v>5.9</v>
      </c>
      <c r="AR3532">
        <v>0.13</v>
      </c>
      <c r="AS3532">
        <v>30.56</v>
      </c>
      <c r="AT3532">
        <v>24.39</v>
      </c>
      <c r="AU3532">
        <v>13.65</v>
      </c>
      <c r="AV3532">
        <v>3</v>
      </c>
      <c r="AW3532">
        <v>13.42</v>
      </c>
      <c r="AX3532">
        <v>43.71</v>
      </c>
      <c r="AY3532">
        <v>72.61</v>
      </c>
      <c r="AZ3532">
        <v>130.52000000000001</v>
      </c>
      <c r="BA3532">
        <v>0.99</v>
      </c>
      <c r="BB3532" t="s">
        <v>184</v>
      </c>
      <c r="BF3532">
        <v>0.7</v>
      </c>
      <c r="BG3532">
        <v>-1.33</v>
      </c>
      <c r="BH3532">
        <v>-3.77</v>
      </c>
      <c r="BI3532">
        <v>0.25</v>
      </c>
      <c r="BJ3532">
        <v>20210831</v>
      </c>
      <c r="BK3532">
        <v>20150424</v>
      </c>
      <c r="BL3532">
        <v>3.78</v>
      </c>
      <c r="BM3532" t="s">
        <v>120</v>
      </c>
      <c r="BN3532" t="s">
        <v>120</v>
      </c>
      <c r="BO3532">
        <v>30.22</v>
      </c>
      <c r="BP3532">
        <v>8.16</v>
      </c>
      <c r="BQ3532">
        <v>10.24</v>
      </c>
      <c r="BR3532">
        <v>4.3899999999999997</v>
      </c>
      <c r="BS3532">
        <v>51.57</v>
      </c>
      <c r="BT3532">
        <v>10.54</v>
      </c>
      <c r="BU3532">
        <v>8.98</v>
      </c>
      <c r="BV3532">
        <v>0.26</v>
      </c>
      <c r="BW3532">
        <v>11.48</v>
      </c>
      <c r="BX3532">
        <v>4.84</v>
      </c>
      <c r="BY3532">
        <v>1.65</v>
      </c>
      <c r="BZ3532">
        <v>1.22</v>
      </c>
      <c r="CA3532" t="s">
        <v>120</v>
      </c>
      <c r="CB3532">
        <v>6.05</v>
      </c>
      <c r="CC3532">
        <v>8.3699999999999992</v>
      </c>
      <c r="CD3532">
        <v>6.93</v>
      </c>
      <c r="CE3532">
        <v>0.66</v>
      </c>
      <c r="CF3532">
        <v>0.01</v>
      </c>
      <c r="CG3532">
        <v>0.66</v>
      </c>
      <c r="CH3532">
        <v>0.45</v>
      </c>
      <c r="CI3532">
        <v>0.28999999999999998</v>
      </c>
      <c r="CJ3532">
        <v>-0.1</v>
      </c>
      <c r="CK3532">
        <v>0.25</v>
      </c>
      <c r="CL3532">
        <v>0.02</v>
      </c>
      <c r="CM3532">
        <v>1.5</v>
      </c>
      <c r="CN3532">
        <v>-0.15</v>
      </c>
      <c r="CO3532">
        <v>21678</v>
      </c>
      <c r="CP3532">
        <v>7622</v>
      </c>
      <c r="CQ3532" t="s">
        <v>144</v>
      </c>
      <c r="CR3532">
        <v>190.23</v>
      </c>
      <c r="CS3532">
        <v>172.53</v>
      </c>
      <c r="CT3532">
        <v>3.01</v>
      </c>
      <c r="CU3532">
        <v>20.58</v>
      </c>
      <c r="CV3532">
        <v>3.68</v>
      </c>
      <c r="CW3532">
        <v>0.24</v>
      </c>
      <c r="CX3532" t="s">
        <v>679</v>
      </c>
      <c r="CY3532">
        <v>2.71</v>
      </c>
      <c r="CZ3532">
        <v>0</v>
      </c>
      <c r="DA3532">
        <v>1.6</v>
      </c>
      <c r="DB3532">
        <v>0.01</v>
      </c>
      <c r="DC3532">
        <v>0.4</v>
      </c>
      <c r="DD3532">
        <v>33.9</v>
      </c>
      <c r="DE3532" t="s">
        <v>1335</v>
      </c>
      <c r="DF3532">
        <v>17.18</v>
      </c>
      <c r="DG3532">
        <v>7.9</v>
      </c>
      <c r="DH3532">
        <v>3.48</v>
      </c>
      <c r="DI3532">
        <v>0.06</v>
      </c>
      <c r="DJ3532">
        <v>483</v>
      </c>
      <c r="DK3532">
        <v>603318</v>
      </c>
      <c r="DL3532">
        <v>20210916</v>
      </c>
      <c r="DM3532">
        <v>8.26</v>
      </c>
      <c r="DN3532">
        <v>-1.21</v>
      </c>
    </row>
    <row r="3533" spans="1:118">
      <c r="A3533" t="str">
        <f>"603319"</f>
        <v>603319</v>
      </c>
      <c r="B3533" t="s">
        <v>14908</v>
      </c>
      <c r="C3533">
        <v>-2.2599999999999998</v>
      </c>
      <c r="D3533">
        <v>0</v>
      </c>
      <c r="E3533">
        <v>0.1</v>
      </c>
      <c r="F3533">
        <v>52</v>
      </c>
      <c r="G3533" t="s">
        <v>976</v>
      </c>
      <c r="H3533">
        <v>5604.61</v>
      </c>
      <c r="I3533">
        <v>0.2</v>
      </c>
      <c r="J3533" t="s">
        <v>120</v>
      </c>
      <c r="K3533" t="s">
        <v>8174</v>
      </c>
      <c r="L3533">
        <v>1.74</v>
      </c>
      <c r="M3533">
        <v>19.87</v>
      </c>
      <c r="N3533">
        <v>1.31</v>
      </c>
      <c r="O3533">
        <v>0.54</v>
      </c>
      <c r="P3533">
        <v>20.440000000000001</v>
      </c>
      <c r="Q3533">
        <v>-3.05</v>
      </c>
      <c r="R3533">
        <v>19.71</v>
      </c>
      <c r="S3533">
        <v>20.350000000000001</v>
      </c>
      <c r="T3533">
        <v>28010</v>
      </c>
      <c r="U3533">
        <v>19.88</v>
      </c>
      <c r="V3533">
        <v>20.329999999999998</v>
      </c>
      <c r="W3533">
        <v>16.95</v>
      </c>
      <c r="X3533" t="s">
        <v>289</v>
      </c>
      <c r="Y3533" t="s">
        <v>594</v>
      </c>
      <c r="Z3533">
        <v>3.59</v>
      </c>
      <c r="AA3533">
        <v>20.010000000000002</v>
      </c>
      <c r="AB3533">
        <v>14534</v>
      </c>
      <c r="AC3533">
        <v>13476</v>
      </c>
      <c r="AD3533">
        <v>1.08</v>
      </c>
      <c r="AE3533">
        <v>40</v>
      </c>
      <c r="AF3533">
        <v>77</v>
      </c>
      <c r="AG3533" t="s">
        <v>120</v>
      </c>
      <c r="AH3533">
        <v>0</v>
      </c>
      <c r="AI3533" t="s">
        <v>120</v>
      </c>
      <c r="AJ3533">
        <v>1.61</v>
      </c>
      <c r="AK3533" t="s">
        <v>8174</v>
      </c>
      <c r="AL3533">
        <v>-0.92</v>
      </c>
      <c r="AM3533">
        <v>1394</v>
      </c>
      <c r="AN3533">
        <v>20</v>
      </c>
      <c r="AO3533">
        <v>1.2999999999999999E-3</v>
      </c>
      <c r="AP3533">
        <v>-3</v>
      </c>
      <c r="AQ3533">
        <v>-2.82</v>
      </c>
      <c r="AR3533">
        <v>-5.74</v>
      </c>
      <c r="AS3533">
        <v>-1.64</v>
      </c>
      <c r="AT3533">
        <v>-21.27</v>
      </c>
      <c r="AU3533">
        <v>-28.65</v>
      </c>
      <c r="AV3533">
        <v>4</v>
      </c>
      <c r="AW3533">
        <v>2.39</v>
      </c>
      <c r="AX3533">
        <v>72.989999999999995</v>
      </c>
      <c r="AY3533">
        <v>18.64</v>
      </c>
      <c r="AZ3533">
        <v>19.57</v>
      </c>
      <c r="BA3533">
        <v>0.97</v>
      </c>
      <c r="BB3533" t="s">
        <v>125</v>
      </c>
      <c r="BF3533">
        <v>-1.58</v>
      </c>
      <c r="BG3533">
        <v>-2.36</v>
      </c>
      <c r="BH3533">
        <v>-2.79</v>
      </c>
      <c r="BI3533">
        <v>0.81</v>
      </c>
      <c r="BJ3533">
        <v>20210913</v>
      </c>
      <c r="BK3533">
        <v>20161130</v>
      </c>
      <c r="BL3533">
        <v>1.61</v>
      </c>
      <c r="BM3533" t="s">
        <v>120</v>
      </c>
      <c r="BN3533" t="s">
        <v>120</v>
      </c>
      <c r="BO3533">
        <v>25.83</v>
      </c>
      <c r="BP3533">
        <v>19.87</v>
      </c>
      <c r="BQ3533">
        <v>13.45</v>
      </c>
      <c r="BR3533">
        <v>0.2</v>
      </c>
      <c r="BS3533">
        <v>47.17</v>
      </c>
      <c r="BT3533">
        <v>15.83</v>
      </c>
      <c r="BU3533">
        <v>6.29</v>
      </c>
      <c r="BV3533">
        <v>0.7</v>
      </c>
      <c r="BW3533">
        <v>9.8699999999999992</v>
      </c>
      <c r="BX3533">
        <v>4.3099999999999996</v>
      </c>
      <c r="BY3533">
        <v>3.05</v>
      </c>
      <c r="BZ3533">
        <v>4.9400000000000004</v>
      </c>
      <c r="CA3533" t="s">
        <v>120</v>
      </c>
      <c r="CB3533">
        <v>4.97</v>
      </c>
      <c r="CC3533">
        <v>8.57</v>
      </c>
      <c r="CD3533">
        <v>6.14</v>
      </c>
      <c r="CE3533">
        <v>1.04</v>
      </c>
      <c r="CF3533">
        <v>-0.02</v>
      </c>
      <c r="CG3533">
        <v>1.04</v>
      </c>
      <c r="CH3533">
        <v>0.91</v>
      </c>
      <c r="CI3533">
        <v>0.94</v>
      </c>
      <c r="CJ3533">
        <v>-0.46</v>
      </c>
      <c r="CK3533">
        <v>0.89</v>
      </c>
      <c r="CL3533">
        <v>6.34</v>
      </c>
      <c r="CM3533">
        <v>0.22</v>
      </c>
      <c r="CN3533">
        <v>-0.8</v>
      </c>
      <c r="CO3533">
        <v>16650</v>
      </c>
      <c r="CP3533">
        <v>7041</v>
      </c>
      <c r="CQ3533" t="s">
        <v>14909</v>
      </c>
      <c r="CR3533">
        <v>9.7799999999999994</v>
      </c>
      <c r="CS3533">
        <v>48.92</v>
      </c>
      <c r="CT3533">
        <v>2.37</v>
      </c>
      <c r="CU3533">
        <v>142.9</v>
      </c>
      <c r="CV3533">
        <v>3.72</v>
      </c>
      <c r="CW3533">
        <v>1.57</v>
      </c>
      <c r="CX3533" t="s">
        <v>597</v>
      </c>
      <c r="CY3533">
        <v>8.3699999999999992</v>
      </c>
      <c r="CZ3533">
        <v>0</v>
      </c>
      <c r="DA3533">
        <v>3.09</v>
      </c>
      <c r="DB3533">
        <v>3.95</v>
      </c>
      <c r="DC3533">
        <v>0.14000000000000001</v>
      </c>
      <c r="DD3533">
        <v>52.07</v>
      </c>
      <c r="DE3533" t="s">
        <v>10762</v>
      </c>
      <c r="DF3533">
        <v>28.37</v>
      </c>
      <c r="DG3533">
        <v>12.17</v>
      </c>
      <c r="DH3533">
        <v>10.98</v>
      </c>
      <c r="DI3533">
        <v>0.61</v>
      </c>
      <c r="DJ3533">
        <v>2701</v>
      </c>
      <c r="DK3533">
        <v>603319</v>
      </c>
      <c r="DL3533" t="s">
        <v>120</v>
      </c>
      <c r="DM3533" t="s">
        <v>120</v>
      </c>
      <c r="DN3533" t="s">
        <v>120</v>
      </c>
    </row>
    <row r="3534" spans="1:118">
      <c r="A3534" t="str">
        <f>"603320"</f>
        <v>603320</v>
      </c>
      <c r="B3534" t="s">
        <v>14910</v>
      </c>
      <c r="C3534">
        <v>0.28999999999999998</v>
      </c>
      <c r="D3534">
        <v>7.0000000000000007E-2</v>
      </c>
      <c r="E3534">
        <v>0.79</v>
      </c>
      <c r="F3534">
        <v>427</v>
      </c>
      <c r="G3534" t="s">
        <v>10332</v>
      </c>
      <c r="H3534">
        <v>2937.06</v>
      </c>
      <c r="I3534">
        <v>29.2</v>
      </c>
      <c r="J3534" t="s">
        <v>120</v>
      </c>
      <c r="K3534" t="s">
        <v>9409</v>
      </c>
      <c r="L3534">
        <v>1.61</v>
      </c>
      <c r="M3534">
        <v>13.9</v>
      </c>
      <c r="N3534">
        <v>0.71</v>
      </c>
      <c r="O3534">
        <v>3.68</v>
      </c>
      <c r="P3534">
        <v>14.37</v>
      </c>
      <c r="Q3534">
        <v>-0.72</v>
      </c>
      <c r="R3534">
        <v>13.76</v>
      </c>
      <c r="S3534">
        <v>13.97</v>
      </c>
      <c r="T3534">
        <v>20869</v>
      </c>
      <c r="U3534">
        <v>13.9</v>
      </c>
      <c r="V3534">
        <v>13.86</v>
      </c>
      <c r="W3534">
        <v>18.27</v>
      </c>
      <c r="X3534" t="s">
        <v>959</v>
      </c>
      <c r="Y3534" t="s">
        <v>585</v>
      </c>
      <c r="Z3534">
        <v>4.4000000000000004</v>
      </c>
      <c r="AA3534">
        <v>14.07</v>
      </c>
      <c r="AB3534">
        <v>10484</v>
      </c>
      <c r="AC3534">
        <v>10385</v>
      </c>
      <c r="AD3534">
        <v>1.01</v>
      </c>
      <c r="AE3534">
        <v>12</v>
      </c>
      <c r="AF3534">
        <v>18</v>
      </c>
      <c r="AG3534" t="s">
        <v>120</v>
      </c>
      <c r="AH3534">
        <v>0.05</v>
      </c>
      <c r="AI3534" t="s">
        <v>120</v>
      </c>
      <c r="AJ3534">
        <v>1.3</v>
      </c>
      <c r="AK3534" t="s">
        <v>9409</v>
      </c>
      <c r="AL3534">
        <v>1.63</v>
      </c>
      <c r="AM3534">
        <v>1590</v>
      </c>
      <c r="AN3534">
        <v>13</v>
      </c>
      <c r="AO3534">
        <v>1E-3</v>
      </c>
      <c r="AP3534">
        <v>2</v>
      </c>
      <c r="AQ3534">
        <v>1.17</v>
      </c>
      <c r="AR3534">
        <v>-2.4500000000000002</v>
      </c>
      <c r="AS3534">
        <v>16.52</v>
      </c>
      <c r="AT3534">
        <v>22.79</v>
      </c>
      <c r="AU3534">
        <v>24.78</v>
      </c>
      <c r="AV3534">
        <v>2</v>
      </c>
      <c r="AW3534">
        <v>4.5</v>
      </c>
      <c r="AX3534">
        <v>35.68</v>
      </c>
      <c r="AY3534">
        <v>26.29</v>
      </c>
      <c r="AZ3534">
        <v>43.13</v>
      </c>
      <c r="BA3534">
        <v>0.98</v>
      </c>
      <c r="BB3534" t="s">
        <v>240</v>
      </c>
      <c r="BF3534">
        <v>1.54</v>
      </c>
      <c r="BG3534">
        <v>-0.5</v>
      </c>
      <c r="BH3534">
        <v>-3.27</v>
      </c>
      <c r="BI3534">
        <v>1.02</v>
      </c>
      <c r="BJ3534">
        <v>20210825</v>
      </c>
      <c r="BK3534">
        <v>20170502</v>
      </c>
      <c r="BL3534">
        <v>1.3</v>
      </c>
      <c r="BM3534" t="s">
        <v>120</v>
      </c>
      <c r="BN3534" t="s">
        <v>120</v>
      </c>
      <c r="BO3534">
        <v>12.68</v>
      </c>
      <c r="BP3534">
        <v>13.89</v>
      </c>
      <c r="BQ3534">
        <v>7.55</v>
      </c>
      <c r="BR3534">
        <v>0.02</v>
      </c>
      <c r="BS3534">
        <v>40.28</v>
      </c>
      <c r="BT3534">
        <v>8.25</v>
      </c>
      <c r="BU3534">
        <v>1.32</v>
      </c>
      <c r="BV3534">
        <v>0.65</v>
      </c>
      <c r="BW3534">
        <v>2.82</v>
      </c>
      <c r="BX3534">
        <v>2.38</v>
      </c>
      <c r="BY3534">
        <v>2.2200000000000002</v>
      </c>
      <c r="BZ3534">
        <v>1.38</v>
      </c>
      <c r="CA3534" t="s">
        <v>120</v>
      </c>
      <c r="CB3534">
        <v>1.88</v>
      </c>
      <c r="CC3534">
        <v>5.61</v>
      </c>
      <c r="CD3534">
        <v>4.72</v>
      </c>
      <c r="CE3534">
        <v>0.59</v>
      </c>
      <c r="CF3534">
        <v>0.01</v>
      </c>
      <c r="CG3534">
        <v>0.59</v>
      </c>
      <c r="CH3534">
        <v>0.5</v>
      </c>
      <c r="CI3534">
        <v>0.49</v>
      </c>
      <c r="CJ3534">
        <v>0.04</v>
      </c>
      <c r="CK3534">
        <v>0.37</v>
      </c>
      <c r="CL3534">
        <v>3.6</v>
      </c>
      <c r="CM3534">
        <v>0.16</v>
      </c>
      <c r="CN3534">
        <v>-0.83</v>
      </c>
      <c r="CO3534">
        <v>8408</v>
      </c>
      <c r="CP3534">
        <v>5517</v>
      </c>
      <c r="CQ3534" t="s">
        <v>9498</v>
      </c>
      <c r="CR3534">
        <v>117.93</v>
      </c>
      <c r="CS3534">
        <v>69.52</v>
      </c>
      <c r="CT3534">
        <v>2.54</v>
      </c>
      <c r="CU3534">
        <v>112.99</v>
      </c>
      <c r="CV3534">
        <v>3.22</v>
      </c>
      <c r="CW3534">
        <v>0.72</v>
      </c>
      <c r="CX3534" t="s">
        <v>2429</v>
      </c>
      <c r="CY3534">
        <v>5.48</v>
      </c>
      <c r="CZ3534">
        <v>5.48</v>
      </c>
      <c r="DA3534">
        <v>1.45</v>
      </c>
      <c r="DB3534">
        <v>2.77</v>
      </c>
      <c r="DC3534">
        <v>0.12</v>
      </c>
      <c r="DD3534">
        <v>59.55</v>
      </c>
      <c r="DE3534" t="s">
        <v>14911</v>
      </c>
      <c r="DF3534">
        <v>15.87</v>
      </c>
      <c r="DG3534">
        <v>10.51</v>
      </c>
      <c r="DH3534">
        <v>8.82</v>
      </c>
      <c r="DI3534">
        <v>0.19</v>
      </c>
      <c r="DJ3534">
        <v>866</v>
      </c>
      <c r="DK3534">
        <v>603320</v>
      </c>
      <c r="DL3534" t="s">
        <v>120</v>
      </c>
      <c r="DM3534" t="s">
        <v>120</v>
      </c>
      <c r="DN3534" t="s">
        <v>120</v>
      </c>
    </row>
    <row r="3535" spans="1:118">
      <c r="A3535" t="str">
        <f>"603321"</f>
        <v>603321</v>
      </c>
      <c r="B3535" t="s">
        <v>14912</v>
      </c>
      <c r="C3535">
        <v>-1.51</v>
      </c>
      <c r="D3535">
        <v>0.14000000000000001</v>
      </c>
      <c r="E3535">
        <v>0.41</v>
      </c>
      <c r="F3535">
        <v>96</v>
      </c>
      <c r="G3535" t="s">
        <v>14913</v>
      </c>
      <c r="H3535">
        <v>1314.74</v>
      </c>
      <c r="I3535">
        <v>2.42</v>
      </c>
      <c r="J3535" t="s">
        <v>120</v>
      </c>
      <c r="K3535" t="s">
        <v>5558</v>
      </c>
      <c r="L3535">
        <v>0.59</v>
      </c>
      <c r="M3535">
        <v>7.18</v>
      </c>
      <c r="N3535">
        <v>0.82</v>
      </c>
      <c r="O3535">
        <v>0.82</v>
      </c>
      <c r="P3535">
        <v>7.35</v>
      </c>
      <c r="Q3535">
        <v>-1.78</v>
      </c>
      <c r="R3535">
        <v>7.16</v>
      </c>
      <c r="S3535">
        <v>7.32</v>
      </c>
      <c r="T3535">
        <v>18122</v>
      </c>
      <c r="U3535">
        <v>7.18</v>
      </c>
      <c r="V3535">
        <v>7.29</v>
      </c>
      <c r="W3535">
        <v>42.55</v>
      </c>
      <c r="X3535" t="s">
        <v>157</v>
      </c>
      <c r="Y3535" t="s">
        <v>585</v>
      </c>
      <c r="Z3535">
        <v>2.61</v>
      </c>
      <c r="AA3535">
        <v>7.25</v>
      </c>
      <c r="AB3535">
        <v>10804</v>
      </c>
      <c r="AC3535">
        <v>7318</v>
      </c>
      <c r="AD3535">
        <v>1.48</v>
      </c>
      <c r="AE3535">
        <v>143</v>
      </c>
      <c r="AF3535">
        <v>147</v>
      </c>
      <c r="AG3535" t="s">
        <v>120</v>
      </c>
      <c r="AH3535">
        <v>0</v>
      </c>
      <c r="AI3535" t="s">
        <v>120</v>
      </c>
      <c r="AJ3535">
        <v>3.07</v>
      </c>
      <c r="AK3535" t="s">
        <v>5558</v>
      </c>
      <c r="AL3535">
        <v>-0.17</v>
      </c>
      <c r="AM3535">
        <v>848</v>
      </c>
      <c r="AN3535">
        <v>21</v>
      </c>
      <c r="AO3535">
        <v>6.9999999999999999E-4</v>
      </c>
      <c r="AP3535">
        <v>-1</v>
      </c>
      <c r="AQ3535">
        <v>2.2400000000000002</v>
      </c>
      <c r="AR3535">
        <v>0.27</v>
      </c>
      <c r="AS3535">
        <v>6.37</v>
      </c>
      <c r="AT3535">
        <v>0.28000000000000003</v>
      </c>
      <c r="AU3535">
        <v>-11.36</v>
      </c>
      <c r="AV3535">
        <v>0</v>
      </c>
      <c r="AW3535">
        <v>1.56</v>
      </c>
      <c r="AX3535">
        <v>37.82</v>
      </c>
      <c r="AY3535">
        <v>43.51</v>
      </c>
      <c r="AZ3535">
        <v>43.81</v>
      </c>
      <c r="BA3535">
        <v>0.59</v>
      </c>
      <c r="BB3535" t="s">
        <v>168</v>
      </c>
      <c r="BF3535">
        <v>-0.48</v>
      </c>
      <c r="BG3535">
        <v>-1.91</v>
      </c>
      <c r="BH3535">
        <v>-2.31</v>
      </c>
      <c r="BI3535">
        <v>0.28000000000000003</v>
      </c>
      <c r="BJ3535">
        <v>20210821</v>
      </c>
      <c r="BK3535">
        <v>20170915</v>
      </c>
      <c r="BL3535">
        <v>3.07</v>
      </c>
      <c r="BM3535" t="s">
        <v>120</v>
      </c>
      <c r="BN3535" t="s">
        <v>120</v>
      </c>
      <c r="BO3535">
        <v>18.670000000000002</v>
      </c>
      <c r="BP3535">
        <v>7.17</v>
      </c>
      <c r="BQ3535">
        <v>11.34</v>
      </c>
      <c r="BR3535">
        <v>0.01</v>
      </c>
      <c r="BS3535">
        <v>39.229999999999997</v>
      </c>
      <c r="BT3535">
        <v>9.36</v>
      </c>
      <c r="BU3535">
        <v>3.75</v>
      </c>
      <c r="BV3535">
        <v>0.54</v>
      </c>
      <c r="BW3535">
        <v>7.13</v>
      </c>
      <c r="BX3535">
        <v>1.32</v>
      </c>
      <c r="BY3535">
        <v>3</v>
      </c>
      <c r="BZ3535">
        <v>2.08</v>
      </c>
      <c r="CA3535" t="s">
        <v>120</v>
      </c>
      <c r="CB3535">
        <v>3.45</v>
      </c>
      <c r="CC3535">
        <v>4.26</v>
      </c>
      <c r="CD3535">
        <v>3.3</v>
      </c>
      <c r="CE3535">
        <v>0.23</v>
      </c>
      <c r="CF3535">
        <v>0.03</v>
      </c>
      <c r="CG3535">
        <v>0.28000000000000003</v>
      </c>
      <c r="CH3535">
        <v>0.25</v>
      </c>
      <c r="CI3535">
        <v>0.26</v>
      </c>
      <c r="CJ3535">
        <v>-0.11</v>
      </c>
      <c r="CK3535">
        <v>0.18</v>
      </c>
      <c r="CL3535">
        <v>3.94</v>
      </c>
      <c r="CM3535">
        <v>-0.02</v>
      </c>
      <c r="CN3535">
        <v>-0.68</v>
      </c>
      <c r="CO3535">
        <v>17309</v>
      </c>
      <c r="CP3535">
        <v>6707</v>
      </c>
      <c r="CQ3535" t="s">
        <v>5525</v>
      </c>
      <c r="CR3535">
        <v>1.38</v>
      </c>
      <c r="CS3535">
        <v>36.47</v>
      </c>
      <c r="CT3535">
        <v>1.94</v>
      </c>
      <c r="CU3535">
        <v>-1254.6300000000001</v>
      </c>
      <c r="CV3535">
        <v>5.17</v>
      </c>
      <c r="CW3535">
        <v>1.37</v>
      </c>
      <c r="CX3535" t="s">
        <v>535</v>
      </c>
      <c r="CY3535">
        <v>3.69</v>
      </c>
      <c r="CZ3535">
        <v>0</v>
      </c>
      <c r="DA3535">
        <v>1.1200000000000001</v>
      </c>
      <c r="DB3535">
        <v>1.28</v>
      </c>
      <c r="DC3535">
        <v>-0.01</v>
      </c>
      <c r="DD3535">
        <v>60.72</v>
      </c>
      <c r="DE3535" t="s">
        <v>14914</v>
      </c>
      <c r="DF3535">
        <v>22.63</v>
      </c>
      <c r="DG3535">
        <v>5.5</v>
      </c>
      <c r="DH3535">
        <v>6.08</v>
      </c>
      <c r="DI3535">
        <v>0.14000000000000001</v>
      </c>
      <c r="DJ3535">
        <v>574</v>
      </c>
      <c r="DK3535">
        <v>603321</v>
      </c>
      <c r="DL3535" t="s">
        <v>120</v>
      </c>
      <c r="DM3535" t="s">
        <v>120</v>
      </c>
      <c r="DN3535" t="s">
        <v>120</v>
      </c>
    </row>
    <row r="3536" spans="1:118">
      <c r="A3536" t="str">
        <f>"603322"</f>
        <v>603322</v>
      </c>
      <c r="B3536" t="s">
        <v>14915</v>
      </c>
      <c r="C3536">
        <v>-4.6500000000000004</v>
      </c>
      <c r="D3536">
        <v>0</v>
      </c>
      <c r="E3536">
        <v>-1.9</v>
      </c>
      <c r="F3536">
        <v>116</v>
      </c>
      <c r="G3536" t="s">
        <v>197</v>
      </c>
      <c r="H3536">
        <v>3843.21</v>
      </c>
      <c r="I3536">
        <v>35.68</v>
      </c>
      <c r="J3536" t="s">
        <v>120</v>
      </c>
      <c r="K3536" t="s">
        <v>1039</v>
      </c>
      <c r="L3536">
        <v>1.94</v>
      </c>
      <c r="M3536">
        <v>12.52</v>
      </c>
      <c r="N3536">
        <v>2.63</v>
      </c>
      <c r="O3536">
        <v>-1.07</v>
      </c>
      <c r="P3536">
        <v>12.99</v>
      </c>
      <c r="Q3536">
        <v>-5.0999999999999996</v>
      </c>
      <c r="R3536">
        <v>12.46</v>
      </c>
      <c r="S3536">
        <v>12.88</v>
      </c>
      <c r="T3536">
        <v>30346</v>
      </c>
      <c r="U3536">
        <v>12.53</v>
      </c>
      <c r="V3536">
        <v>13.13</v>
      </c>
      <c r="W3536">
        <v>124.9</v>
      </c>
      <c r="X3536" t="s">
        <v>462</v>
      </c>
      <c r="Y3536" t="s">
        <v>547</v>
      </c>
      <c r="Z3536">
        <v>4.04</v>
      </c>
      <c r="AA3536">
        <v>12.66</v>
      </c>
      <c r="AB3536">
        <v>18731</v>
      </c>
      <c r="AC3536">
        <v>11615</v>
      </c>
      <c r="AD3536">
        <v>1.61</v>
      </c>
      <c r="AE3536">
        <v>40</v>
      </c>
      <c r="AF3536">
        <v>20</v>
      </c>
      <c r="AG3536" t="s">
        <v>120</v>
      </c>
      <c r="AH3536">
        <v>0.03</v>
      </c>
      <c r="AI3536" t="s">
        <v>120</v>
      </c>
      <c r="AJ3536">
        <v>1.57</v>
      </c>
      <c r="AK3536" t="s">
        <v>6472</v>
      </c>
      <c r="AL3536">
        <v>-3.3</v>
      </c>
      <c r="AM3536">
        <v>1234</v>
      </c>
      <c r="AN3536">
        <v>25</v>
      </c>
      <c r="AO3536">
        <v>1.6000000000000001E-3</v>
      </c>
      <c r="AP3536">
        <v>-1</v>
      </c>
      <c r="AQ3536">
        <v>0.08</v>
      </c>
      <c r="AR3536">
        <v>-6</v>
      </c>
      <c r="AS3536">
        <v>-5.51</v>
      </c>
      <c r="AT3536">
        <v>-8.9499999999999993</v>
      </c>
      <c r="AU3536">
        <v>-27</v>
      </c>
      <c r="AV3536">
        <v>2</v>
      </c>
      <c r="AW3536">
        <v>3.77</v>
      </c>
      <c r="AX3536">
        <v>50.31</v>
      </c>
      <c r="AY3536">
        <v>53.47</v>
      </c>
      <c r="AZ3536">
        <v>53.1</v>
      </c>
      <c r="BA3536">
        <v>0.64</v>
      </c>
      <c r="BB3536" t="s">
        <v>125</v>
      </c>
      <c r="BF3536">
        <v>-3.54</v>
      </c>
      <c r="BG3536">
        <v>-2.8</v>
      </c>
      <c r="BH3536">
        <v>-3.62</v>
      </c>
      <c r="BI3536">
        <v>0.48</v>
      </c>
      <c r="BJ3536">
        <v>20210810</v>
      </c>
      <c r="BK3536">
        <v>20160728</v>
      </c>
      <c r="BL3536">
        <v>1.6</v>
      </c>
      <c r="BM3536" t="s">
        <v>120</v>
      </c>
      <c r="BN3536" t="s">
        <v>120</v>
      </c>
      <c r="BO3536">
        <v>23.29</v>
      </c>
      <c r="BP3536">
        <v>12.52</v>
      </c>
      <c r="BQ3536">
        <v>4.58</v>
      </c>
      <c r="BR3536">
        <v>2.37</v>
      </c>
      <c r="BS3536">
        <v>70.180000000000007</v>
      </c>
      <c r="BT3536">
        <v>15.89</v>
      </c>
      <c r="BU3536">
        <v>0.43</v>
      </c>
      <c r="BV3536">
        <v>0.67</v>
      </c>
      <c r="BW3536">
        <v>14.23</v>
      </c>
      <c r="BX3536">
        <v>3.05</v>
      </c>
      <c r="BY3536">
        <v>0.88</v>
      </c>
      <c r="BZ3536">
        <v>9.06</v>
      </c>
      <c r="CA3536" t="s">
        <v>120</v>
      </c>
      <c r="CB3536">
        <v>1.88</v>
      </c>
      <c r="CC3536">
        <v>6.67</v>
      </c>
      <c r="CD3536">
        <v>5.94</v>
      </c>
      <c r="CE3536">
        <v>-0.28000000000000003</v>
      </c>
      <c r="CF3536">
        <v>0.01</v>
      </c>
      <c r="CG3536">
        <v>-0.02</v>
      </c>
      <c r="CH3536">
        <v>0</v>
      </c>
      <c r="CI3536">
        <v>0.08</v>
      </c>
      <c r="CJ3536">
        <v>-0.61</v>
      </c>
      <c r="CK3536">
        <v>-0.21</v>
      </c>
      <c r="CL3536">
        <v>1.1200000000000001</v>
      </c>
      <c r="CM3536">
        <v>-1.03</v>
      </c>
      <c r="CN3536">
        <v>-0.81</v>
      </c>
      <c r="CO3536">
        <v>16762</v>
      </c>
      <c r="CP3536">
        <v>4807</v>
      </c>
      <c r="CQ3536" t="s">
        <v>1221</v>
      </c>
      <c r="CR3536">
        <v>-3.32</v>
      </c>
      <c r="CS3536">
        <v>14.57</v>
      </c>
      <c r="CT3536">
        <v>4.38</v>
      </c>
      <c r="CU3536">
        <v>-19.53</v>
      </c>
      <c r="CV3536">
        <v>3</v>
      </c>
      <c r="CW3536">
        <v>0</v>
      </c>
      <c r="CX3536" t="s">
        <v>1248</v>
      </c>
      <c r="CY3536">
        <v>2.86</v>
      </c>
      <c r="CZ3536">
        <v>0</v>
      </c>
      <c r="DA3536">
        <v>1.18</v>
      </c>
      <c r="DB3536">
        <v>0.7</v>
      </c>
      <c r="DC3536">
        <v>-0.64</v>
      </c>
      <c r="DD3536">
        <v>19.649999999999999</v>
      </c>
      <c r="DE3536" t="s">
        <v>9087</v>
      </c>
      <c r="DF3536">
        <v>10.95</v>
      </c>
      <c r="DG3536">
        <v>-4.2300000000000004</v>
      </c>
      <c r="DH3536">
        <v>1.2</v>
      </c>
      <c r="DI3536">
        <v>0.33</v>
      </c>
      <c r="DJ3536">
        <v>1437</v>
      </c>
      <c r="DK3536">
        <v>603322</v>
      </c>
      <c r="DL3536" t="s">
        <v>120</v>
      </c>
      <c r="DM3536" t="s">
        <v>120</v>
      </c>
      <c r="DN3536" t="s">
        <v>120</v>
      </c>
    </row>
    <row r="3537" spans="1:118">
      <c r="A3537" t="str">
        <f>"603323"</f>
        <v>603323</v>
      </c>
      <c r="B3537" t="s">
        <v>14916</v>
      </c>
      <c r="C3537">
        <v>-0.56000000000000005</v>
      </c>
      <c r="D3537">
        <v>-0.36</v>
      </c>
      <c r="E3537">
        <v>0.19</v>
      </c>
      <c r="F3537">
        <v>2414</v>
      </c>
      <c r="G3537" t="s">
        <v>14917</v>
      </c>
      <c r="H3537">
        <v>14316.32</v>
      </c>
      <c r="I3537">
        <v>104.21</v>
      </c>
      <c r="J3537" t="s">
        <v>120</v>
      </c>
      <c r="K3537" t="s">
        <v>3711</v>
      </c>
      <c r="L3537">
        <v>1.86</v>
      </c>
      <c r="M3537">
        <v>5.34</v>
      </c>
      <c r="N3537">
        <v>0.92</v>
      </c>
      <c r="O3537">
        <v>1.1200000000000001</v>
      </c>
      <c r="P3537">
        <v>5.43</v>
      </c>
      <c r="Q3537">
        <v>-1.86</v>
      </c>
      <c r="R3537">
        <v>5.27</v>
      </c>
      <c r="S3537">
        <v>5.38</v>
      </c>
      <c r="T3537">
        <v>268161</v>
      </c>
      <c r="U3537">
        <v>5.35</v>
      </c>
      <c r="V3537">
        <v>5.37</v>
      </c>
      <c r="W3537">
        <v>6.93</v>
      </c>
      <c r="X3537" t="s">
        <v>122</v>
      </c>
      <c r="Y3537" t="s">
        <v>319</v>
      </c>
      <c r="Z3537">
        <v>2.98</v>
      </c>
      <c r="AA3537">
        <v>5.34</v>
      </c>
      <c r="AB3537">
        <v>157806</v>
      </c>
      <c r="AC3537">
        <v>110355</v>
      </c>
      <c r="AD3537">
        <v>1.43</v>
      </c>
      <c r="AE3537">
        <v>1613</v>
      </c>
      <c r="AF3537">
        <v>1008</v>
      </c>
      <c r="AG3537" t="s">
        <v>120</v>
      </c>
      <c r="AH3537">
        <v>0.02</v>
      </c>
      <c r="AI3537" t="s">
        <v>120</v>
      </c>
      <c r="AJ3537">
        <v>14.4</v>
      </c>
      <c r="AK3537" t="s">
        <v>14918</v>
      </c>
      <c r="AL3537">
        <v>0.79</v>
      </c>
      <c r="AM3537">
        <v>3370</v>
      </c>
      <c r="AN3537">
        <v>80</v>
      </c>
      <c r="AO3537">
        <v>5.9999999999999995E-4</v>
      </c>
      <c r="AP3537">
        <v>-1</v>
      </c>
      <c r="AQ3537">
        <v>2.87</v>
      </c>
      <c r="AR3537">
        <v>0.19</v>
      </c>
      <c r="AS3537">
        <v>8.5399999999999991</v>
      </c>
      <c r="AT3537">
        <v>24.47</v>
      </c>
      <c r="AU3537">
        <v>11.02</v>
      </c>
      <c r="AV3537">
        <v>0</v>
      </c>
      <c r="AW3537">
        <v>2.16</v>
      </c>
      <c r="AX3537">
        <v>68.7</v>
      </c>
      <c r="AY3537">
        <v>9.19</v>
      </c>
      <c r="AZ3537">
        <v>10.18</v>
      </c>
      <c r="BA3537">
        <v>0.55000000000000004</v>
      </c>
      <c r="BB3537" t="s">
        <v>184</v>
      </c>
      <c r="BF3537">
        <v>-0.57999999999999996</v>
      </c>
      <c r="BG3537">
        <v>-0.74</v>
      </c>
      <c r="BH3537">
        <v>-1.66</v>
      </c>
      <c r="BI3537">
        <v>1.33</v>
      </c>
      <c r="BJ3537">
        <v>20210820</v>
      </c>
      <c r="BK3537">
        <v>20161129</v>
      </c>
      <c r="BL3537">
        <v>18.03</v>
      </c>
      <c r="BM3537" t="s">
        <v>120</v>
      </c>
      <c r="BN3537" t="s">
        <v>120</v>
      </c>
      <c r="BO3537">
        <v>1507.31</v>
      </c>
      <c r="BP3537">
        <v>5.34</v>
      </c>
      <c r="BQ3537">
        <v>124.77</v>
      </c>
      <c r="BR3537">
        <v>1.21</v>
      </c>
      <c r="BS3537">
        <v>91.64</v>
      </c>
      <c r="BT3537">
        <v>0</v>
      </c>
      <c r="BU3537">
        <v>9.0299999999999994</v>
      </c>
      <c r="BV3537">
        <v>2.65</v>
      </c>
      <c r="BW3537">
        <v>0</v>
      </c>
      <c r="BX3537">
        <v>125.47</v>
      </c>
      <c r="BY3537">
        <v>0</v>
      </c>
      <c r="BZ3537">
        <v>0</v>
      </c>
      <c r="CA3537" t="s">
        <v>120</v>
      </c>
      <c r="CB3537">
        <v>22.88</v>
      </c>
      <c r="CC3537">
        <v>19.600000000000001</v>
      </c>
      <c r="CD3537">
        <v>0</v>
      </c>
      <c r="CE3537">
        <v>7.93</v>
      </c>
      <c r="CF3537">
        <v>1.84</v>
      </c>
      <c r="CG3537">
        <v>7.92</v>
      </c>
      <c r="CH3537">
        <v>6.96</v>
      </c>
      <c r="CI3537">
        <v>6.95</v>
      </c>
      <c r="CJ3537">
        <v>-0.03</v>
      </c>
      <c r="CK3537">
        <v>6.8</v>
      </c>
      <c r="CL3537">
        <v>10.91</v>
      </c>
      <c r="CM3537">
        <v>-36.07</v>
      </c>
      <c r="CN3537">
        <v>-18.579999999999998</v>
      </c>
      <c r="CO3537">
        <v>44019</v>
      </c>
      <c r="CP3537">
        <v>28140</v>
      </c>
      <c r="CQ3537" t="s">
        <v>14657</v>
      </c>
      <c r="CR3537">
        <v>17.190000000000001</v>
      </c>
      <c r="CS3537">
        <v>1.84</v>
      </c>
      <c r="CT3537">
        <v>0.77</v>
      </c>
      <c r="CU3537">
        <v>-2.67</v>
      </c>
      <c r="CV3537">
        <v>4.91</v>
      </c>
      <c r="CW3537">
        <v>2.79</v>
      </c>
      <c r="CX3537" t="s">
        <v>1980</v>
      </c>
      <c r="CY3537">
        <v>6.92</v>
      </c>
      <c r="CZ3537">
        <v>6.92</v>
      </c>
      <c r="DA3537">
        <v>1.27</v>
      </c>
      <c r="DB3537">
        <v>0.61</v>
      </c>
      <c r="DC3537">
        <v>-2</v>
      </c>
      <c r="DD3537">
        <v>8.2799999999999994</v>
      </c>
      <c r="DE3537" t="s">
        <v>5126</v>
      </c>
      <c r="DF3537" t="s">
        <v>120</v>
      </c>
      <c r="DG3537">
        <v>40.46</v>
      </c>
      <c r="DH3537">
        <v>35.450000000000003</v>
      </c>
      <c r="DI3537" t="s">
        <v>120</v>
      </c>
      <c r="DJ3537">
        <v>1829</v>
      </c>
      <c r="DK3537">
        <v>603323</v>
      </c>
      <c r="DL3537" t="s">
        <v>120</v>
      </c>
      <c r="DM3537" t="s">
        <v>120</v>
      </c>
      <c r="DN3537" t="s">
        <v>120</v>
      </c>
    </row>
    <row r="3538" spans="1:118">
      <c r="A3538" t="str">
        <f>"603324"</f>
        <v>603324</v>
      </c>
      <c r="B3538" t="s">
        <v>14919</v>
      </c>
      <c r="C3538">
        <v>-7.45</v>
      </c>
      <c r="D3538">
        <v>-0.01</v>
      </c>
      <c r="E3538">
        <v>-0.09</v>
      </c>
      <c r="F3538">
        <v>273</v>
      </c>
      <c r="G3538" t="s">
        <v>3369</v>
      </c>
      <c r="H3538">
        <v>10441.75</v>
      </c>
      <c r="I3538">
        <v>31.92</v>
      </c>
      <c r="J3538" t="s">
        <v>120</v>
      </c>
      <c r="K3538" t="s">
        <v>3369</v>
      </c>
      <c r="L3538">
        <v>5.31</v>
      </c>
      <c r="M3538">
        <v>61.6</v>
      </c>
      <c r="N3538">
        <v>0.74</v>
      </c>
      <c r="O3538">
        <v>1.35</v>
      </c>
      <c r="P3538">
        <v>67.459999999999994</v>
      </c>
      <c r="Q3538">
        <v>-8.31</v>
      </c>
      <c r="R3538">
        <v>61.03</v>
      </c>
      <c r="S3538">
        <v>66.5</v>
      </c>
      <c r="T3538">
        <v>16443</v>
      </c>
      <c r="U3538">
        <v>61.61</v>
      </c>
      <c r="V3538">
        <v>66.56</v>
      </c>
      <c r="W3538">
        <v>73.89</v>
      </c>
      <c r="X3538" t="s">
        <v>318</v>
      </c>
      <c r="Y3538" t="s">
        <v>1510</v>
      </c>
      <c r="Z3538">
        <v>9.66</v>
      </c>
      <c r="AA3538">
        <v>63.5</v>
      </c>
      <c r="AB3538">
        <v>11124</v>
      </c>
      <c r="AC3538">
        <v>5319</v>
      </c>
      <c r="AD3538">
        <v>2.09</v>
      </c>
      <c r="AE3538">
        <v>3</v>
      </c>
      <c r="AF3538">
        <v>109</v>
      </c>
      <c r="AG3538" t="s">
        <v>120</v>
      </c>
      <c r="AH3538">
        <v>0.02</v>
      </c>
      <c r="AI3538" t="s">
        <v>120</v>
      </c>
      <c r="AJ3538">
        <v>0.31</v>
      </c>
      <c r="AK3538" t="s">
        <v>14920</v>
      </c>
      <c r="AL3538">
        <v>-6.11</v>
      </c>
      <c r="AM3538">
        <v>2304</v>
      </c>
      <c r="AN3538">
        <v>7</v>
      </c>
      <c r="AO3538">
        <v>2.3E-3</v>
      </c>
      <c r="AP3538">
        <v>-1</v>
      </c>
      <c r="AQ3538">
        <v>2.5099999999999998</v>
      </c>
      <c r="AR3538">
        <v>-8.7899999999999991</v>
      </c>
      <c r="AS3538">
        <v>-23.35</v>
      </c>
      <c r="AT3538">
        <v>91.19</v>
      </c>
      <c r="AU3538">
        <v>214.69</v>
      </c>
      <c r="AV3538">
        <v>9</v>
      </c>
      <c r="AW3538">
        <v>5.31</v>
      </c>
      <c r="AX3538">
        <v>25.01</v>
      </c>
      <c r="AY3538">
        <v>66.83</v>
      </c>
      <c r="AZ3538">
        <v>67.8</v>
      </c>
      <c r="BA3538">
        <v>0.25</v>
      </c>
      <c r="BB3538" t="s">
        <v>143</v>
      </c>
      <c r="BF3538">
        <v>-4.59</v>
      </c>
      <c r="BG3538">
        <v>-7.37</v>
      </c>
      <c r="BH3538">
        <v>-8.69</v>
      </c>
      <c r="BI3538">
        <v>0.93</v>
      </c>
      <c r="BJ3538">
        <v>20210825</v>
      </c>
      <c r="BK3538">
        <v>20210407</v>
      </c>
      <c r="BL3538">
        <v>1.24</v>
      </c>
      <c r="BM3538" t="s">
        <v>120</v>
      </c>
      <c r="BN3538" t="s">
        <v>120</v>
      </c>
      <c r="BO3538">
        <v>19.14</v>
      </c>
      <c r="BP3538">
        <v>61.59</v>
      </c>
      <c r="BQ3538">
        <v>12.78</v>
      </c>
      <c r="BR3538" t="s">
        <v>120</v>
      </c>
      <c r="BS3538">
        <v>33.26</v>
      </c>
      <c r="BT3538">
        <v>16.260000000000002</v>
      </c>
      <c r="BU3538">
        <v>0.84</v>
      </c>
      <c r="BV3538">
        <v>0.37</v>
      </c>
      <c r="BW3538">
        <v>6.23</v>
      </c>
      <c r="BX3538">
        <v>4.49</v>
      </c>
      <c r="BY3538">
        <v>1.82</v>
      </c>
      <c r="BZ3538">
        <v>5.83</v>
      </c>
      <c r="CA3538" t="s">
        <v>120</v>
      </c>
      <c r="CB3538">
        <v>7.55</v>
      </c>
      <c r="CC3538">
        <v>4.45</v>
      </c>
      <c r="CD3538">
        <v>3.17</v>
      </c>
      <c r="CE3538">
        <v>0.61</v>
      </c>
      <c r="CF3538">
        <v>0.01</v>
      </c>
      <c r="CG3538">
        <v>0.61</v>
      </c>
      <c r="CH3538">
        <v>0.52</v>
      </c>
      <c r="CI3538">
        <v>0.52</v>
      </c>
      <c r="CJ3538">
        <v>-4.96</v>
      </c>
      <c r="CK3538">
        <v>0.45</v>
      </c>
      <c r="CL3538">
        <v>3.77</v>
      </c>
      <c r="CM3538">
        <v>-1.92</v>
      </c>
      <c r="CN3538">
        <v>0.78</v>
      </c>
      <c r="CO3538">
        <v>17693</v>
      </c>
      <c r="CP3538">
        <v>1751</v>
      </c>
      <c r="CQ3538" t="s">
        <v>14921</v>
      </c>
      <c r="CR3538">
        <v>3.56</v>
      </c>
      <c r="CS3538">
        <v>17.86</v>
      </c>
      <c r="CT3538">
        <v>5.97</v>
      </c>
      <c r="CU3538">
        <v>-39.82</v>
      </c>
      <c r="CV3538">
        <v>17.14</v>
      </c>
      <c r="CW3538">
        <v>0.44</v>
      </c>
      <c r="CX3538" t="s">
        <v>780</v>
      </c>
      <c r="CY3538">
        <v>10.31</v>
      </c>
      <c r="CZ3538">
        <v>0</v>
      </c>
      <c r="DA3538">
        <v>6.1</v>
      </c>
      <c r="DB3538">
        <v>3.04</v>
      </c>
      <c r="DC3538">
        <v>-1.55</v>
      </c>
      <c r="DD3538">
        <v>66.739999999999995</v>
      </c>
      <c r="DE3538" t="s">
        <v>7205</v>
      </c>
      <c r="DF3538">
        <v>28.74</v>
      </c>
      <c r="DG3538">
        <v>13.73</v>
      </c>
      <c r="DH3538">
        <v>11.6</v>
      </c>
      <c r="DI3538">
        <v>0.21</v>
      </c>
      <c r="DJ3538">
        <v>676</v>
      </c>
      <c r="DK3538">
        <v>603324</v>
      </c>
      <c r="DL3538">
        <v>20210913</v>
      </c>
      <c r="DM3538">
        <v>67.540000000000006</v>
      </c>
      <c r="DN3538">
        <v>-8.7899999999999991</v>
      </c>
    </row>
    <row r="3539" spans="1:118">
      <c r="A3539" t="str">
        <f>"603326"</f>
        <v>603326</v>
      </c>
      <c r="B3539" t="s">
        <v>14922</v>
      </c>
      <c r="C3539">
        <v>-1.97</v>
      </c>
      <c r="D3539">
        <v>0.1</v>
      </c>
      <c r="E3539">
        <v>-0.1</v>
      </c>
      <c r="F3539">
        <v>2</v>
      </c>
      <c r="G3539" t="s">
        <v>14844</v>
      </c>
      <c r="H3539">
        <v>415.27</v>
      </c>
      <c r="I3539">
        <v>0</v>
      </c>
      <c r="J3539" t="s">
        <v>120</v>
      </c>
      <c r="K3539" t="s">
        <v>14923</v>
      </c>
      <c r="L3539">
        <v>0.13</v>
      </c>
      <c r="M3539">
        <v>9.9499999999999993</v>
      </c>
      <c r="N3539">
        <v>0.81</v>
      </c>
      <c r="O3539">
        <v>1.97</v>
      </c>
      <c r="P3539">
        <v>10.35</v>
      </c>
      <c r="Q3539">
        <v>-2.0699999999999998</v>
      </c>
      <c r="R3539">
        <v>9.94</v>
      </c>
      <c r="S3539">
        <v>10.14</v>
      </c>
      <c r="T3539">
        <v>4106</v>
      </c>
      <c r="U3539">
        <v>9.9499999999999993</v>
      </c>
      <c r="V3539">
        <v>10.15</v>
      </c>
      <c r="W3539">
        <v>30.51</v>
      </c>
      <c r="X3539" t="s">
        <v>2409</v>
      </c>
      <c r="Y3539" t="s">
        <v>319</v>
      </c>
      <c r="Z3539">
        <v>4.04</v>
      </c>
      <c r="AA3539">
        <v>10.11</v>
      </c>
      <c r="AB3539">
        <v>2280</v>
      </c>
      <c r="AC3539">
        <v>1826</v>
      </c>
      <c r="AD3539">
        <v>1.25</v>
      </c>
      <c r="AE3539">
        <v>189</v>
      </c>
      <c r="AF3539">
        <v>632</v>
      </c>
      <c r="AG3539" t="s">
        <v>120</v>
      </c>
      <c r="AH3539">
        <v>0</v>
      </c>
      <c r="AI3539" t="s">
        <v>120</v>
      </c>
      <c r="AJ3539">
        <v>3.15</v>
      </c>
      <c r="AK3539" t="s">
        <v>8662</v>
      </c>
      <c r="AL3539">
        <v>-0.63</v>
      </c>
      <c r="AM3539">
        <v>479</v>
      </c>
      <c r="AN3539">
        <v>9</v>
      </c>
      <c r="AO3539">
        <v>2.9999999999999997E-4</v>
      </c>
      <c r="AP3539">
        <v>-2</v>
      </c>
      <c r="AQ3539">
        <v>-0.49</v>
      </c>
      <c r="AR3539">
        <v>-2.4500000000000002</v>
      </c>
      <c r="AS3539">
        <v>0.81</v>
      </c>
      <c r="AT3539">
        <v>-9.4600000000000009</v>
      </c>
      <c r="AU3539">
        <v>15.17</v>
      </c>
      <c r="AV3539">
        <v>3</v>
      </c>
      <c r="AW3539">
        <v>0.56000000000000005</v>
      </c>
      <c r="AX3539">
        <v>22.95</v>
      </c>
      <c r="AY3539">
        <v>14.55</v>
      </c>
      <c r="AZ3539">
        <v>14.89</v>
      </c>
      <c r="BA3539">
        <v>0.5</v>
      </c>
      <c r="BB3539" t="s">
        <v>143</v>
      </c>
      <c r="BF3539">
        <v>-0.37</v>
      </c>
      <c r="BG3539">
        <v>-1.87</v>
      </c>
      <c r="BH3539">
        <v>-3.86</v>
      </c>
      <c r="BI3539">
        <v>0.1</v>
      </c>
      <c r="BJ3539">
        <v>20210909</v>
      </c>
      <c r="BK3539">
        <v>20170616</v>
      </c>
      <c r="BL3539">
        <v>3.22</v>
      </c>
      <c r="BM3539" t="s">
        <v>120</v>
      </c>
      <c r="BN3539" t="s">
        <v>120</v>
      </c>
      <c r="BO3539">
        <v>22.74</v>
      </c>
      <c r="BP3539">
        <v>9.94</v>
      </c>
      <c r="BQ3539">
        <v>10.88</v>
      </c>
      <c r="BR3539" t="s">
        <v>120</v>
      </c>
      <c r="BS3539">
        <v>52.17</v>
      </c>
      <c r="BT3539">
        <v>11.91</v>
      </c>
      <c r="BU3539">
        <v>7.66</v>
      </c>
      <c r="BV3539">
        <v>0.56999999999999995</v>
      </c>
      <c r="BW3539">
        <v>9.31</v>
      </c>
      <c r="BX3539">
        <v>3.22</v>
      </c>
      <c r="BY3539">
        <v>1</v>
      </c>
      <c r="BZ3539">
        <v>2.2400000000000002</v>
      </c>
      <c r="CA3539">
        <v>0.86</v>
      </c>
      <c r="CB3539">
        <v>3.01</v>
      </c>
      <c r="CC3539">
        <v>7.45</v>
      </c>
      <c r="CD3539">
        <v>4.4000000000000004</v>
      </c>
      <c r="CE3539">
        <v>0.59</v>
      </c>
      <c r="CF3539">
        <v>0</v>
      </c>
      <c r="CG3539">
        <v>0.59</v>
      </c>
      <c r="CH3539">
        <v>0.53</v>
      </c>
      <c r="CI3539">
        <v>0.53</v>
      </c>
      <c r="CJ3539">
        <v>-0.2</v>
      </c>
      <c r="CK3539">
        <v>0.3</v>
      </c>
      <c r="CL3539">
        <v>4.6100000000000003</v>
      </c>
      <c r="CM3539">
        <v>-0.87</v>
      </c>
      <c r="CN3539">
        <v>0.32</v>
      </c>
      <c r="CO3539">
        <v>6644</v>
      </c>
      <c r="CP3539">
        <v>11126</v>
      </c>
      <c r="CQ3539" t="s">
        <v>9426</v>
      </c>
      <c r="CR3539">
        <v>10.91</v>
      </c>
      <c r="CS3539">
        <v>38.380000000000003</v>
      </c>
      <c r="CT3539">
        <v>2.95</v>
      </c>
      <c r="CU3539">
        <v>-36.81</v>
      </c>
      <c r="CV3539">
        <v>4.3</v>
      </c>
      <c r="CW3539">
        <v>2.96</v>
      </c>
      <c r="CX3539" t="s">
        <v>1091</v>
      </c>
      <c r="CY3539">
        <v>3.38</v>
      </c>
      <c r="CZ3539">
        <v>3.38</v>
      </c>
      <c r="DA3539">
        <v>0.94</v>
      </c>
      <c r="DB3539">
        <v>1.43</v>
      </c>
      <c r="DC3539">
        <v>-0.27</v>
      </c>
      <c r="DD3539">
        <v>47.83</v>
      </c>
      <c r="DE3539" t="s">
        <v>1072</v>
      </c>
      <c r="DF3539">
        <v>40.950000000000003</v>
      </c>
      <c r="DG3539">
        <v>7.95</v>
      </c>
      <c r="DH3539">
        <v>7.05</v>
      </c>
      <c r="DI3539">
        <v>0.37</v>
      </c>
      <c r="DJ3539">
        <v>2342</v>
      </c>
      <c r="DK3539">
        <v>603326</v>
      </c>
      <c r="DL3539" t="s">
        <v>120</v>
      </c>
      <c r="DM3539" t="s">
        <v>120</v>
      </c>
      <c r="DN3539" t="s">
        <v>120</v>
      </c>
    </row>
    <row r="3540" spans="1:118">
      <c r="A3540" t="str">
        <f>"603327"</f>
        <v>603327</v>
      </c>
      <c r="B3540" t="s">
        <v>14924</v>
      </c>
      <c r="C3540">
        <v>-2.29</v>
      </c>
      <c r="D3540">
        <v>-0.05</v>
      </c>
      <c r="E3540">
        <v>-0.12</v>
      </c>
      <c r="F3540">
        <v>371</v>
      </c>
      <c r="G3540" t="s">
        <v>9615</v>
      </c>
      <c r="H3540">
        <v>3257.49</v>
      </c>
      <c r="I3540">
        <v>9.7899999999999991</v>
      </c>
      <c r="J3540" t="s">
        <v>120</v>
      </c>
      <c r="K3540" t="s">
        <v>11404</v>
      </c>
      <c r="L3540">
        <v>1.93</v>
      </c>
      <c r="M3540">
        <v>16.239999999999998</v>
      </c>
      <c r="N3540">
        <v>0.7</v>
      </c>
      <c r="O3540">
        <v>1.5</v>
      </c>
      <c r="P3540">
        <v>16.87</v>
      </c>
      <c r="Q3540">
        <v>-2.77</v>
      </c>
      <c r="R3540">
        <v>16.16</v>
      </c>
      <c r="S3540">
        <v>16.600000000000001</v>
      </c>
      <c r="T3540">
        <v>19788</v>
      </c>
      <c r="U3540">
        <v>16.239999999999998</v>
      </c>
      <c r="V3540">
        <v>16.62</v>
      </c>
      <c r="W3540">
        <v>25.43</v>
      </c>
      <c r="X3540" t="s">
        <v>229</v>
      </c>
      <c r="Y3540" t="s">
        <v>578</v>
      </c>
      <c r="Z3540">
        <v>4.2699999999999996</v>
      </c>
      <c r="AA3540">
        <v>16.46</v>
      </c>
      <c r="AB3540">
        <v>13115</v>
      </c>
      <c r="AC3540">
        <v>6673</v>
      </c>
      <c r="AD3540">
        <v>1.97</v>
      </c>
      <c r="AE3540">
        <v>26</v>
      </c>
      <c r="AF3540">
        <v>15</v>
      </c>
      <c r="AG3540" t="s">
        <v>120</v>
      </c>
      <c r="AH3540">
        <v>0.01</v>
      </c>
      <c r="AI3540" t="s">
        <v>120</v>
      </c>
      <c r="AJ3540">
        <v>1.02</v>
      </c>
      <c r="AK3540" t="s">
        <v>14925</v>
      </c>
      <c r="AL3540">
        <v>-0.94</v>
      </c>
      <c r="AM3540">
        <v>1341</v>
      </c>
      <c r="AN3540">
        <v>15</v>
      </c>
      <c r="AO3540">
        <v>1.4E-3</v>
      </c>
      <c r="AP3540">
        <v>-3</v>
      </c>
      <c r="AQ3540">
        <v>-0.3</v>
      </c>
      <c r="AR3540">
        <v>-7.57</v>
      </c>
      <c r="AS3540">
        <v>6.42</v>
      </c>
      <c r="AT3540">
        <v>3.05</v>
      </c>
      <c r="AU3540">
        <v>-15.11</v>
      </c>
      <c r="AV3540">
        <v>1</v>
      </c>
      <c r="AW3540">
        <v>2.89</v>
      </c>
      <c r="AX3540">
        <v>17.079999999999998</v>
      </c>
      <c r="AY3540">
        <v>22.15</v>
      </c>
      <c r="AZ3540">
        <v>20.98</v>
      </c>
      <c r="BA3540">
        <v>1.06</v>
      </c>
      <c r="BB3540" t="s">
        <v>240</v>
      </c>
      <c r="BF3540">
        <v>-0.95</v>
      </c>
      <c r="BG3540">
        <v>-2.17</v>
      </c>
      <c r="BH3540">
        <v>-3.73</v>
      </c>
      <c r="BI3540">
        <v>0.5</v>
      </c>
      <c r="BJ3540">
        <v>20210915</v>
      </c>
      <c r="BK3540">
        <v>20190523</v>
      </c>
      <c r="BL3540">
        <v>4.01</v>
      </c>
      <c r="BM3540" t="s">
        <v>120</v>
      </c>
      <c r="BN3540" t="s">
        <v>120</v>
      </c>
      <c r="BO3540">
        <v>16.53</v>
      </c>
      <c r="BP3540">
        <v>16.23</v>
      </c>
      <c r="BQ3540">
        <v>14.81</v>
      </c>
      <c r="BR3540" t="s">
        <v>120</v>
      </c>
      <c r="BS3540">
        <v>10.44</v>
      </c>
      <c r="BT3540">
        <v>10.24</v>
      </c>
      <c r="BU3540">
        <v>5.07</v>
      </c>
      <c r="BV3540">
        <v>0.48</v>
      </c>
      <c r="BW3540">
        <v>1.65</v>
      </c>
      <c r="BX3540">
        <v>1.58</v>
      </c>
      <c r="BY3540">
        <v>2.4</v>
      </c>
      <c r="BZ3540">
        <v>2.87</v>
      </c>
      <c r="CA3540">
        <v>0.01</v>
      </c>
      <c r="CB3540">
        <v>3.62</v>
      </c>
      <c r="CC3540">
        <v>7.76</v>
      </c>
      <c r="CD3540">
        <v>5.9</v>
      </c>
      <c r="CE3540">
        <v>1.49</v>
      </c>
      <c r="CF3540">
        <v>0.02</v>
      </c>
      <c r="CG3540">
        <v>1.51</v>
      </c>
      <c r="CH3540">
        <v>1.28</v>
      </c>
      <c r="CI3540">
        <v>1.28</v>
      </c>
      <c r="CJ3540">
        <v>-0.38</v>
      </c>
      <c r="CK3540">
        <v>1.24</v>
      </c>
      <c r="CL3540">
        <v>6.03</v>
      </c>
      <c r="CM3540">
        <v>2.58</v>
      </c>
      <c r="CN3540">
        <v>-0.65</v>
      </c>
      <c r="CO3540">
        <v>19400</v>
      </c>
      <c r="CP3540">
        <v>3531</v>
      </c>
      <c r="CQ3540" t="s">
        <v>1461</v>
      </c>
      <c r="CR3540">
        <v>-11.58</v>
      </c>
      <c r="CS3540">
        <v>20.83</v>
      </c>
      <c r="CT3540">
        <v>4.4000000000000004</v>
      </c>
      <c r="CU3540">
        <v>25.23</v>
      </c>
      <c r="CV3540">
        <v>8.39</v>
      </c>
      <c r="CW3540">
        <v>2.17</v>
      </c>
      <c r="CX3540" t="s">
        <v>14926</v>
      </c>
      <c r="CY3540">
        <v>3.69</v>
      </c>
      <c r="CZ3540">
        <v>0</v>
      </c>
      <c r="DA3540">
        <v>0.9</v>
      </c>
      <c r="DB3540">
        <v>1.5</v>
      </c>
      <c r="DC3540">
        <v>0.64</v>
      </c>
      <c r="DD3540">
        <v>89.56</v>
      </c>
      <c r="DE3540" t="s">
        <v>14927</v>
      </c>
      <c r="DF3540">
        <v>24</v>
      </c>
      <c r="DG3540">
        <v>19.18</v>
      </c>
      <c r="DH3540">
        <v>16.489999999999998</v>
      </c>
      <c r="DI3540">
        <v>7.0000000000000007E-2</v>
      </c>
      <c r="DJ3540">
        <v>727</v>
      </c>
      <c r="DK3540">
        <v>603327</v>
      </c>
      <c r="DL3540" t="s">
        <v>120</v>
      </c>
      <c r="DM3540" t="s">
        <v>120</v>
      </c>
      <c r="DN3540" t="s">
        <v>120</v>
      </c>
    </row>
    <row r="3541" spans="1:118">
      <c r="A3541" t="str">
        <f>"603328"</f>
        <v>603328</v>
      </c>
      <c r="B3541" t="s">
        <v>14928</v>
      </c>
      <c r="C3541">
        <v>-0.91</v>
      </c>
      <c r="D3541">
        <v>0</v>
      </c>
      <c r="E3541">
        <v>-0.39</v>
      </c>
      <c r="F3541">
        <v>1006</v>
      </c>
      <c r="G3541" t="s">
        <v>7854</v>
      </c>
      <c r="H3541">
        <v>2926.53</v>
      </c>
      <c r="I3541">
        <v>23.09</v>
      </c>
      <c r="J3541" t="s">
        <v>120</v>
      </c>
      <c r="K3541" t="s">
        <v>3099</v>
      </c>
      <c r="L3541">
        <v>0.38</v>
      </c>
      <c r="M3541">
        <v>7.63</v>
      </c>
      <c r="N3541">
        <v>0.25</v>
      </c>
      <c r="O3541">
        <v>0.65</v>
      </c>
      <c r="P3541">
        <v>7.75</v>
      </c>
      <c r="Q3541">
        <v>-1.04</v>
      </c>
      <c r="R3541">
        <v>7.62</v>
      </c>
      <c r="S3541">
        <v>7.67</v>
      </c>
      <c r="T3541">
        <v>38139</v>
      </c>
      <c r="U3541">
        <v>7.63</v>
      </c>
      <c r="V3541">
        <v>7.7</v>
      </c>
      <c r="W3541">
        <v>51.08</v>
      </c>
      <c r="X3541" t="s">
        <v>229</v>
      </c>
      <c r="Y3541" t="s">
        <v>547</v>
      </c>
      <c r="Z3541">
        <v>1.69</v>
      </c>
      <c r="AA3541">
        <v>7.67</v>
      </c>
      <c r="AB3541">
        <v>22749</v>
      </c>
      <c r="AC3541">
        <v>15390</v>
      </c>
      <c r="AD3541">
        <v>1.48</v>
      </c>
      <c r="AE3541">
        <v>245</v>
      </c>
      <c r="AF3541">
        <v>182</v>
      </c>
      <c r="AG3541" t="s">
        <v>120</v>
      </c>
      <c r="AH3541">
        <v>0.01</v>
      </c>
      <c r="AI3541" t="s">
        <v>120</v>
      </c>
      <c r="AJ3541">
        <v>9.98</v>
      </c>
      <c r="AK3541" t="s">
        <v>3099</v>
      </c>
      <c r="AL3541">
        <v>0.43</v>
      </c>
      <c r="AM3541">
        <v>1415</v>
      </c>
      <c r="AN3541">
        <v>27</v>
      </c>
      <c r="AO3541">
        <v>2.9999999999999997E-4</v>
      </c>
      <c r="AP3541">
        <v>-1</v>
      </c>
      <c r="AQ3541">
        <v>0.92</v>
      </c>
      <c r="AR3541">
        <v>-2.8</v>
      </c>
      <c r="AS3541">
        <v>0.8</v>
      </c>
      <c r="AT3541">
        <v>3.95</v>
      </c>
      <c r="AU3541">
        <v>-2.8</v>
      </c>
      <c r="AV3541">
        <v>1</v>
      </c>
      <c r="AW3541">
        <v>1.04</v>
      </c>
      <c r="AX3541">
        <v>36.590000000000003</v>
      </c>
      <c r="AY3541">
        <v>43.69</v>
      </c>
      <c r="AZ3541">
        <v>34.25</v>
      </c>
      <c r="BA3541">
        <v>0.38</v>
      </c>
      <c r="BB3541" t="s">
        <v>143</v>
      </c>
      <c r="BF3541">
        <v>-0.35</v>
      </c>
      <c r="BG3541">
        <v>-0.52</v>
      </c>
      <c r="BH3541">
        <v>-1.55</v>
      </c>
      <c r="BI3541">
        <v>0.13</v>
      </c>
      <c r="BJ3541">
        <v>20210826</v>
      </c>
      <c r="BK3541">
        <v>20140701</v>
      </c>
      <c r="BL3541">
        <v>9.98</v>
      </c>
      <c r="BM3541" t="s">
        <v>120</v>
      </c>
      <c r="BN3541" t="s">
        <v>120</v>
      </c>
      <c r="BO3541">
        <v>43.43</v>
      </c>
      <c r="BP3541">
        <v>7.62</v>
      </c>
      <c r="BQ3541">
        <v>32.94</v>
      </c>
      <c r="BR3541" t="s">
        <v>120</v>
      </c>
      <c r="BS3541">
        <v>24.16</v>
      </c>
      <c r="BT3541">
        <v>29.91</v>
      </c>
      <c r="BU3541">
        <v>10.84</v>
      </c>
      <c r="BV3541">
        <v>7.0000000000000007E-2</v>
      </c>
      <c r="BW3541">
        <v>10.02</v>
      </c>
      <c r="BX3541">
        <v>15.6</v>
      </c>
      <c r="BY3541">
        <v>3.92</v>
      </c>
      <c r="BZ3541">
        <v>9.44</v>
      </c>
      <c r="CA3541" t="s">
        <v>120</v>
      </c>
      <c r="CB3541">
        <v>10.19</v>
      </c>
      <c r="CC3541">
        <v>13.08</v>
      </c>
      <c r="CD3541">
        <v>11.09</v>
      </c>
      <c r="CE3541">
        <v>0.9</v>
      </c>
      <c r="CF3541">
        <v>0</v>
      </c>
      <c r="CG3541">
        <v>0.88</v>
      </c>
      <c r="CH3541">
        <v>0.75</v>
      </c>
      <c r="CI3541">
        <v>0.75</v>
      </c>
      <c r="CJ3541">
        <v>-7.0000000000000007E-2</v>
      </c>
      <c r="CK3541">
        <v>0.72</v>
      </c>
      <c r="CL3541">
        <v>8.41</v>
      </c>
      <c r="CM3541">
        <v>1.53</v>
      </c>
      <c r="CN3541">
        <v>-1.59</v>
      </c>
      <c r="CO3541">
        <v>37724</v>
      </c>
      <c r="CP3541">
        <v>9684</v>
      </c>
      <c r="CQ3541" t="s">
        <v>939</v>
      </c>
      <c r="CR3541">
        <v>-39.43</v>
      </c>
      <c r="CS3541">
        <v>19.63</v>
      </c>
      <c r="CT3541">
        <v>2.31</v>
      </c>
      <c r="CU3541">
        <v>49.75</v>
      </c>
      <c r="CV3541">
        <v>5.82</v>
      </c>
      <c r="CW3541">
        <v>1.3</v>
      </c>
      <c r="CX3541" t="s">
        <v>679</v>
      </c>
      <c r="CY3541">
        <v>3.3</v>
      </c>
      <c r="CZ3541">
        <v>0</v>
      </c>
      <c r="DA3541">
        <v>1.02</v>
      </c>
      <c r="DB3541">
        <v>0.84</v>
      </c>
      <c r="DC3541">
        <v>0.15</v>
      </c>
      <c r="DD3541">
        <v>75.84</v>
      </c>
      <c r="DE3541" t="s">
        <v>6253</v>
      </c>
      <c r="DF3541">
        <v>15.19</v>
      </c>
      <c r="DG3541">
        <v>6.86</v>
      </c>
      <c r="DH3541">
        <v>5.7</v>
      </c>
      <c r="DI3541">
        <v>0.48</v>
      </c>
      <c r="DJ3541">
        <v>4810</v>
      </c>
      <c r="DK3541">
        <v>603328</v>
      </c>
      <c r="DL3541" t="s">
        <v>120</v>
      </c>
      <c r="DM3541" t="s">
        <v>120</v>
      </c>
      <c r="DN3541" t="s">
        <v>120</v>
      </c>
    </row>
    <row r="3542" spans="1:118">
      <c r="A3542" t="str">
        <f>"603329"</f>
        <v>603329</v>
      </c>
      <c r="B3542" t="s">
        <v>14929</v>
      </c>
      <c r="C3542">
        <v>-1.58</v>
      </c>
      <c r="D3542">
        <v>0</v>
      </c>
      <c r="E3542">
        <v>0</v>
      </c>
      <c r="F3542">
        <v>351</v>
      </c>
      <c r="G3542" t="s">
        <v>11065</v>
      </c>
      <c r="H3542">
        <v>2851.88</v>
      </c>
      <c r="I3542">
        <v>6.39</v>
      </c>
      <c r="J3542" t="s">
        <v>120</v>
      </c>
      <c r="K3542" t="s">
        <v>14930</v>
      </c>
      <c r="L3542">
        <v>1.55</v>
      </c>
      <c r="M3542">
        <v>13.68</v>
      </c>
      <c r="N3542">
        <v>1.0900000000000001</v>
      </c>
      <c r="O3542">
        <v>2.52</v>
      </c>
      <c r="P3542">
        <v>14.25</v>
      </c>
      <c r="Q3542">
        <v>-1.65</v>
      </c>
      <c r="R3542">
        <v>13.67</v>
      </c>
      <c r="S3542">
        <v>13.9</v>
      </c>
      <c r="T3542">
        <v>20482</v>
      </c>
      <c r="U3542">
        <v>13.7</v>
      </c>
      <c r="V3542">
        <v>13.9</v>
      </c>
      <c r="W3542">
        <v>15.1</v>
      </c>
      <c r="X3542" t="s">
        <v>2775</v>
      </c>
      <c r="Y3542" t="s">
        <v>1510</v>
      </c>
      <c r="Z3542">
        <v>4.17</v>
      </c>
      <c r="AA3542">
        <v>13.92</v>
      </c>
      <c r="AB3542">
        <v>11238</v>
      </c>
      <c r="AC3542">
        <v>9244</v>
      </c>
      <c r="AD3542">
        <v>1.22</v>
      </c>
      <c r="AE3542">
        <v>769</v>
      </c>
      <c r="AF3542">
        <v>24</v>
      </c>
      <c r="AG3542" t="s">
        <v>120</v>
      </c>
      <c r="AH3542">
        <v>0.01</v>
      </c>
      <c r="AI3542" t="s">
        <v>120</v>
      </c>
      <c r="AJ3542">
        <v>1.32</v>
      </c>
      <c r="AK3542" t="s">
        <v>14931</v>
      </c>
      <c r="AL3542">
        <v>-0.24</v>
      </c>
      <c r="AM3542">
        <v>1339</v>
      </c>
      <c r="AN3542">
        <v>15</v>
      </c>
      <c r="AO3542">
        <v>1.1999999999999999E-3</v>
      </c>
      <c r="AP3542">
        <v>-1</v>
      </c>
      <c r="AQ3542">
        <v>2.06</v>
      </c>
      <c r="AR3542">
        <v>-0.51</v>
      </c>
      <c r="AS3542">
        <v>14.76</v>
      </c>
      <c r="AT3542">
        <v>11.03</v>
      </c>
      <c r="AU3542">
        <v>10.86</v>
      </c>
      <c r="AV3542">
        <v>0</v>
      </c>
      <c r="AW3542">
        <v>3.16</v>
      </c>
      <c r="AX3542">
        <v>40.770000000000003</v>
      </c>
      <c r="AY3542">
        <v>20.13</v>
      </c>
      <c r="AZ3542">
        <v>34.340000000000003</v>
      </c>
      <c r="BA3542">
        <v>0.81</v>
      </c>
      <c r="BB3542" t="s">
        <v>184</v>
      </c>
      <c r="BF3542">
        <v>0.17</v>
      </c>
      <c r="BG3542">
        <v>-1.58</v>
      </c>
      <c r="BH3542">
        <v>-4</v>
      </c>
      <c r="BI3542">
        <v>7.0000000000000007E-2</v>
      </c>
      <c r="BJ3542">
        <v>20210826</v>
      </c>
      <c r="BK3542">
        <v>20171229</v>
      </c>
      <c r="BL3542">
        <v>1.59</v>
      </c>
      <c r="BM3542" t="s">
        <v>120</v>
      </c>
      <c r="BN3542" t="s">
        <v>120</v>
      </c>
      <c r="BO3542">
        <v>17.21</v>
      </c>
      <c r="BP3542">
        <v>13.68</v>
      </c>
      <c r="BQ3542">
        <v>9.66</v>
      </c>
      <c r="BR3542">
        <v>1.45</v>
      </c>
      <c r="BS3542">
        <v>35.44</v>
      </c>
      <c r="BT3542">
        <v>8.18</v>
      </c>
      <c r="BU3542">
        <v>1.95</v>
      </c>
      <c r="BV3542">
        <v>0.93</v>
      </c>
      <c r="BW3542">
        <v>3.41</v>
      </c>
      <c r="BX3542">
        <v>2.99</v>
      </c>
      <c r="BY3542">
        <v>1.74</v>
      </c>
      <c r="BZ3542">
        <v>1.17</v>
      </c>
      <c r="CA3542">
        <v>0.01</v>
      </c>
      <c r="CB3542">
        <v>5.82</v>
      </c>
      <c r="CC3542">
        <v>9.7100000000000009</v>
      </c>
      <c r="CD3542">
        <v>8.34</v>
      </c>
      <c r="CE3542">
        <v>0.81</v>
      </c>
      <c r="CF3542">
        <v>0</v>
      </c>
      <c r="CG3542">
        <v>0.82</v>
      </c>
      <c r="CH3542">
        <v>0.7</v>
      </c>
      <c r="CI3542">
        <v>0.72</v>
      </c>
      <c r="CJ3542">
        <v>-0.22</v>
      </c>
      <c r="CK3542">
        <v>0.72</v>
      </c>
      <c r="CL3542">
        <v>2</v>
      </c>
      <c r="CM3542">
        <v>-0.52</v>
      </c>
      <c r="CN3542">
        <v>0.48</v>
      </c>
      <c r="CO3542">
        <v>12765</v>
      </c>
      <c r="CP3542">
        <v>5070</v>
      </c>
      <c r="CQ3542" t="s">
        <v>5975</v>
      </c>
      <c r="CR3542">
        <v>171.02</v>
      </c>
      <c r="CS3542">
        <v>33.520000000000003</v>
      </c>
      <c r="CT3542">
        <v>2.25</v>
      </c>
      <c r="CU3542">
        <v>-41.67</v>
      </c>
      <c r="CV3542">
        <v>2.2400000000000002</v>
      </c>
      <c r="CW3542">
        <v>1.08</v>
      </c>
      <c r="CX3542" t="s">
        <v>3347</v>
      </c>
      <c r="CY3542">
        <v>6.08</v>
      </c>
      <c r="CZ3542">
        <v>0</v>
      </c>
      <c r="DA3542">
        <v>3.67</v>
      </c>
      <c r="DB3542">
        <v>1.26</v>
      </c>
      <c r="DC3542">
        <v>-0.33</v>
      </c>
      <c r="DD3542">
        <v>56.14</v>
      </c>
      <c r="DE3542" t="s">
        <v>4803</v>
      </c>
      <c r="DF3542">
        <v>14.08</v>
      </c>
      <c r="DG3542">
        <v>8.3800000000000008</v>
      </c>
      <c r="DH3542">
        <v>7.41</v>
      </c>
      <c r="DI3542" t="s">
        <v>120</v>
      </c>
      <c r="DJ3542">
        <v>392</v>
      </c>
      <c r="DK3542">
        <v>603329</v>
      </c>
      <c r="DL3542" t="s">
        <v>120</v>
      </c>
      <c r="DM3542" t="s">
        <v>120</v>
      </c>
      <c r="DN3542" t="s">
        <v>120</v>
      </c>
    </row>
    <row r="3543" spans="1:118">
      <c r="A3543" t="str">
        <f>"603330"</f>
        <v>603330</v>
      </c>
      <c r="B3543" t="s">
        <v>14932</v>
      </c>
      <c r="C3543">
        <v>8.18</v>
      </c>
      <c r="D3543">
        <v>-0.1</v>
      </c>
      <c r="E3543">
        <v>1.1200000000000001</v>
      </c>
      <c r="F3543">
        <v>635</v>
      </c>
      <c r="G3543" t="s">
        <v>2199</v>
      </c>
      <c r="H3543">
        <v>19991.55</v>
      </c>
      <c r="I3543">
        <v>24.07</v>
      </c>
      <c r="J3543" t="s">
        <v>120</v>
      </c>
      <c r="K3543" t="s">
        <v>14933</v>
      </c>
      <c r="L3543">
        <v>5.1100000000000003</v>
      </c>
      <c r="M3543">
        <v>18.39</v>
      </c>
      <c r="N3543">
        <v>2.06</v>
      </c>
      <c r="O3543">
        <v>10</v>
      </c>
      <c r="P3543">
        <v>18.7</v>
      </c>
      <c r="Q3543">
        <v>0.06</v>
      </c>
      <c r="R3543">
        <v>17.010000000000002</v>
      </c>
      <c r="S3543">
        <v>17.190000000000001</v>
      </c>
      <c r="T3543">
        <v>109395</v>
      </c>
      <c r="U3543">
        <v>18.399999999999999</v>
      </c>
      <c r="V3543">
        <v>17</v>
      </c>
      <c r="W3543">
        <v>32.159999999999997</v>
      </c>
      <c r="X3543" t="s">
        <v>2211</v>
      </c>
      <c r="Y3543" t="s">
        <v>1510</v>
      </c>
      <c r="Z3543">
        <v>9.94</v>
      </c>
      <c r="AA3543">
        <v>18.27</v>
      </c>
      <c r="AB3543">
        <v>57956</v>
      </c>
      <c r="AC3543">
        <v>51439</v>
      </c>
      <c r="AD3543">
        <v>1.1299999999999999</v>
      </c>
      <c r="AE3543">
        <v>193</v>
      </c>
      <c r="AF3543">
        <v>380</v>
      </c>
      <c r="AG3543" t="s">
        <v>120</v>
      </c>
      <c r="AH3543">
        <v>0.02</v>
      </c>
      <c r="AI3543" t="s">
        <v>120</v>
      </c>
      <c r="AJ3543">
        <v>2.14</v>
      </c>
      <c r="AK3543" t="s">
        <v>14934</v>
      </c>
      <c r="AL3543">
        <v>9.52</v>
      </c>
      <c r="AM3543">
        <v>2650</v>
      </c>
      <c r="AN3543">
        <v>41</v>
      </c>
      <c r="AO3543">
        <v>1.9E-3</v>
      </c>
      <c r="AP3543">
        <v>1</v>
      </c>
      <c r="AQ3543">
        <v>-0.76</v>
      </c>
      <c r="AR3543">
        <v>6.3</v>
      </c>
      <c r="AS3543">
        <v>16.61</v>
      </c>
      <c r="AT3543">
        <v>-8.34</v>
      </c>
      <c r="AU3543">
        <v>-14.77</v>
      </c>
      <c r="AV3543">
        <v>4</v>
      </c>
      <c r="AW3543">
        <v>11.96</v>
      </c>
      <c r="AX3543">
        <v>38.479999999999997</v>
      </c>
      <c r="AY3543">
        <v>36.369999999999997</v>
      </c>
      <c r="AZ3543">
        <v>78.040000000000006</v>
      </c>
      <c r="BA3543">
        <v>0.64</v>
      </c>
      <c r="BB3543" t="s">
        <v>143</v>
      </c>
      <c r="BF3543">
        <v>7.5</v>
      </c>
      <c r="BG3543">
        <v>6.98</v>
      </c>
      <c r="BH3543">
        <v>-1.66</v>
      </c>
      <c r="BI3543">
        <v>8.11</v>
      </c>
      <c r="BJ3543">
        <v>20210827</v>
      </c>
      <c r="BK3543">
        <v>20170213</v>
      </c>
      <c r="BL3543">
        <v>2.38</v>
      </c>
      <c r="BM3543" t="s">
        <v>120</v>
      </c>
      <c r="BN3543" t="s">
        <v>120</v>
      </c>
      <c r="BO3543">
        <v>17.71</v>
      </c>
      <c r="BP3543">
        <v>18.39</v>
      </c>
      <c r="BQ3543">
        <v>10.61</v>
      </c>
      <c r="BR3543">
        <v>0.57999999999999996</v>
      </c>
      <c r="BS3543">
        <v>36.82</v>
      </c>
      <c r="BT3543">
        <v>9.7799999999999994</v>
      </c>
      <c r="BU3543">
        <v>5.33</v>
      </c>
      <c r="BV3543">
        <v>0.74</v>
      </c>
      <c r="BW3543">
        <v>4.8</v>
      </c>
      <c r="BX3543">
        <v>1.06</v>
      </c>
      <c r="BY3543">
        <v>2.5099999999999998</v>
      </c>
      <c r="BZ3543">
        <v>2.12</v>
      </c>
      <c r="CA3543">
        <v>0</v>
      </c>
      <c r="CB3543">
        <v>6.33</v>
      </c>
      <c r="CC3543">
        <v>4.47</v>
      </c>
      <c r="CD3543">
        <v>3.24</v>
      </c>
      <c r="CE3543">
        <v>0.9</v>
      </c>
      <c r="CF3543">
        <v>0</v>
      </c>
      <c r="CG3543">
        <v>0.89</v>
      </c>
      <c r="CH3543">
        <v>0.66</v>
      </c>
      <c r="CI3543">
        <v>0.68</v>
      </c>
      <c r="CJ3543">
        <v>1.39</v>
      </c>
      <c r="CK3543">
        <v>0.15</v>
      </c>
      <c r="CL3543">
        <v>2.2999999999999998</v>
      </c>
      <c r="CM3543">
        <v>-0.31</v>
      </c>
      <c r="CN3543">
        <v>0.48</v>
      </c>
      <c r="CO3543">
        <v>5992</v>
      </c>
      <c r="CP3543">
        <v>15269</v>
      </c>
      <c r="CQ3543" t="s">
        <v>14935</v>
      </c>
      <c r="CR3543">
        <v>685.8</v>
      </c>
      <c r="CS3543">
        <v>73.349999999999994</v>
      </c>
      <c r="CT3543">
        <v>4.12</v>
      </c>
      <c r="CU3543">
        <v>-141.51</v>
      </c>
      <c r="CV3543">
        <v>9.7799999999999994</v>
      </c>
      <c r="CW3543">
        <v>0.51</v>
      </c>
      <c r="CX3543" t="s">
        <v>6234</v>
      </c>
      <c r="CY3543">
        <v>4.46</v>
      </c>
      <c r="CZ3543">
        <v>0</v>
      </c>
      <c r="DA3543">
        <v>2.66</v>
      </c>
      <c r="DB3543">
        <v>0.97</v>
      </c>
      <c r="DC3543">
        <v>-0.13</v>
      </c>
      <c r="DD3543">
        <v>59.93</v>
      </c>
      <c r="DE3543" t="s">
        <v>8910</v>
      </c>
      <c r="DF3543">
        <v>27.47</v>
      </c>
      <c r="DG3543">
        <v>20.149999999999999</v>
      </c>
      <c r="DH3543">
        <v>15.21</v>
      </c>
      <c r="DI3543">
        <v>0.16</v>
      </c>
      <c r="DJ3543">
        <v>751</v>
      </c>
      <c r="DK3543">
        <v>603330</v>
      </c>
      <c r="DL3543" t="s">
        <v>120</v>
      </c>
      <c r="DM3543" t="s">
        <v>120</v>
      </c>
      <c r="DN3543" t="s">
        <v>120</v>
      </c>
    </row>
    <row r="3544" spans="1:118">
      <c r="A3544" t="str">
        <f>"603331"</f>
        <v>603331</v>
      </c>
      <c r="B3544" t="s">
        <v>14936</v>
      </c>
      <c r="C3544">
        <v>-1.34</v>
      </c>
      <c r="D3544">
        <v>0</v>
      </c>
      <c r="E3544">
        <v>0.33</v>
      </c>
      <c r="F3544">
        <v>106</v>
      </c>
      <c r="G3544" t="s">
        <v>6582</v>
      </c>
      <c r="H3544">
        <v>2729.13</v>
      </c>
      <c r="I3544">
        <v>1.2</v>
      </c>
      <c r="J3544" t="s">
        <v>120</v>
      </c>
      <c r="K3544" t="s">
        <v>1892</v>
      </c>
      <c r="L3544">
        <v>1.26</v>
      </c>
      <c r="M3544">
        <v>11.8</v>
      </c>
      <c r="N3544">
        <v>1.46</v>
      </c>
      <c r="O3544">
        <v>8.0299999999999994</v>
      </c>
      <c r="P3544">
        <v>12.92</v>
      </c>
      <c r="Q3544">
        <v>-1.59</v>
      </c>
      <c r="R3544">
        <v>11.77</v>
      </c>
      <c r="S3544">
        <v>12</v>
      </c>
      <c r="T3544">
        <v>22381</v>
      </c>
      <c r="U3544">
        <v>11.81</v>
      </c>
      <c r="V3544">
        <v>11.96</v>
      </c>
      <c r="W3544">
        <v>19.64</v>
      </c>
      <c r="X3544" t="s">
        <v>675</v>
      </c>
      <c r="Y3544" t="s">
        <v>585</v>
      </c>
      <c r="Z3544">
        <v>9.6199999999999992</v>
      </c>
      <c r="AA3544">
        <v>12.19</v>
      </c>
      <c r="AB3544">
        <v>13132</v>
      </c>
      <c r="AC3544">
        <v>9249</v>
      </c>
      <c r="AD3544">
        <v>1.42</v>
      </c>
      <c r="AE3544">
        <v>148</v>
      </c>
      <c r="AF3544">
        <v>13</v>
      </c>
      <c r="AG3544" t="s">
        <v>120</v>
      </c>
      <c r="AH3544">
        <v>0</v>
      </c>
      <c r="AI3544" t="s">
        <v>120</v>
      </c>
      <c r="AJ3544">
        <v>1.78</v>
      </c>
      <c r="AK3544" t="s">
        <v>1892</v>
      </c>
      <c r="AL3544">
        <v>0.01</v>
      </c>
      <c r="AM3544">
        <v>1168</v>
      </c>
      <c r="AN3544">
        <v>19</v>
      </c>
      <c r="AO3544">
        <v>1.1000000000000001E-3</v>
      </c>
      <c r="AP3544">
        <v>-5</v>
      </c>
      <c r="AQ3544">
        <v>-1.24</v>
      </c>
      <c r="AR3544">
        <v>-4.45</v>
      </c>
      <c r="AS3544">
        <v>-0.92</v>
      </c>
      <c r="AT3544">
        <v>13.79</v>
      </c>
      <c r="AU3544">
        <v>15.68</v>
      </c>
      <c r="AV3544">
        <v>0</v>
      </c>
      <c r="AW3544">
        <v>3.79</v>
      </c>
      <c r="AX3544">
        <v>33.14</v>
      </c>
      <c r="AY3544">
        <v>18.57</v>
      </c>
      <c r="AZ3544">
        <v>26.15</v>
      </c>
      <c r="BA3544">
        <v>0.46</v>
      </c>
      <c r="BB3544" t="s">
        <v>143</v>
      </c>
      <c r="BF3544">
        <v>1.96</v>
      </c>
      <c r="BG3544">
        <v>-1.67</v>
      </c>
      <c r="BH3544">
        <v>-8.67</v>
      </c>
      <c r="BI3544">
        <v>0.25</v>
      </c>
      <c r="BJ3544">
        <v>20210830</v>
      </c>
      <c r="BK3544">
        <v>20170705</v>
      </c>
      <c r="BL3544">
        <v>1.78</v>
      </c>
      <c r="BM3544" t="s">
        <v>120</v>
      </c>
      <c r="BN3544" t="s">
        <v>120</v>
      </c>
      <c r="BO3544">
        <v>19.96</v>
      </c>
      <c r="BP3544">
        <v>11.8</v>
      </c>
      <c r="BQ3544">
        <v>8.91</v>
      </c>
      <c r="BR3544">
        <v>0.76</v>
      </c>
      <c r="BS3544">
        <v>51.53</v>
      </c>
      <c r="BT3544">
        <v>9.2799999999999994</v>
      </c>
      <c r="BU3544">
        <v>7.12</v>
      </c>
      <c r="BV3544">
        <v>0.79</v>
      </c>
      <c r="BW3544">
        <v>7.05</v>
      </c>
      <c r="BX3544">
        <v>1.35</v>
      </c>
      <c r="BY3544">
        <v>2.83</v>
      </c>
      <c r="BZ3544">
        <v>3.22</v>
      </c>
      <c r="CA3544" t="s">
        <v>120</v>
      </c>
      <c r="CB3544">
        <v>2.6</v>
      </c>
      <c r="CC3544">
        <v>6.05</v>
      </c>
      <c r="CD3544">
        <v>4.5</v>
      </c>
      <c r="CE3544">
        <v>0.67</v>
      </c>
      <c r="CF3544">
        <v>0</v>
      </c>
      <c r="CG3544">
        <v>0.67</v>
      </c>
      <c r="CH3544">
        <v>0.53</v>
      </c>
      <c r="CI3544">
        <v>0.54</v>
      </c>
      <c r="CJ3544">
        <v>-0.16</v>
      </c>
      <c r="CK3544">
        <v>0.49</v>
      </c>
      <c r="CL3544">
        <v>3.5</v>
      </c>
      <c r="CM3544">
        <v>-0.17</v>
      </c>
      <c r="CN3544">
        <v>-0.64</v>
      </c>
      <c r="CO3544">
        <v>7565</v>
      </c>
      <c r="CP3544">
        <v>7805</v>
      </c>
      <c r="CQ3544" t="s">
        <v>14937</v>
      </c>
      <c r="CR3544">
        <v>164.18</v>
      </c>
      <c r="CS3544">
        <v>60.83</v>
      </c>
      <c r="CT3544">
        <v>2.5299999999999998</v>
      </c>
      <c r="CU3544">
        <v>-121.33</v>
      </c>
      <c r="CV3544">
        <v>3.47</v>
      </c>
      <c r="CW3544">
        <v>1.67</v>
      </c>
      <c r="CX3544" t="s">
        <v>1340</v>
      </c>
      <c r="CY3544">
        <v>4.67</v>
      </c>
      <c r="CZ3544">
        <v>4.67</v>
      </c>
      <c r="DA3544">
        <v>1.46</v>
      </c>
      <c r="DB3544">
        <v>1.96</v>
      </c>
      <c r="DC3544">
        <v>-0.1</v>
      </c>
      <c r="DD3544">
        <v>44.65</v>
      </c>
      <c r="DE3544" t="s">
        <v>1002</v>
      </c>
      <c r="DF3544">
        <v>25.68</v>
      </c>
      <c r="DG3544">
        <v>11.02</v>
      </c>
      <c r="DH3544">
        <v>8.84</v>
      </c>
      <c r="DI3544">
        <v>0.17</v>
      </c>
      <c r="DJ3544">
        <v>2301</v>
      </c>
      <c r="DK3544">
        <v>603331</v>
      </c>
      <c r="DL3544" t="s">
        <v>120</v>
      </c>
      <c r="DM3544" t="s">
        <v>120</v>
      </c>
      <c r="DN3544" t="s">
        <v>120</v>
      </c>
    </row>
    <row r="3545" spans="1:118">
      <c r="A3545" t="str">
        <f>"603332"</f>
        <v>603332</v>
      </c>
      <c r="B3545" t="s">
        <v>14938</v>
      </c>
      <c r="C3545">
        <v>-1.03</v>
      </c>
      <c r="D3545">
        <v>0</v>
      </c>
      <c r="E3545">
        <v>0</v>
      </c>
      <c r="F3545">
        <v>157</v>
      </c>
      <c r="G3545" t="s">
        <v>4490</v>
      </c>
      <c r="H3545">
        <v>4241.26</v>
      </c>
      <c r="I3545">
        <v>0</v>
      </c>
      <c r="J3545" t="s">
        <v>120</v>
      </c>
      <c r="K3545" t="s">
        <v>4490</v>
      </c>
      <c r="L3545">
        <v>8.5399999999999991</v>
      </c>
      <c r="M3545">
        <v>16.3</v>
      </c>
      <c r="N3545">
        <v>1.76</v>
      </c>
      <c r="O3545">
        <v>3.04</v>
      </c>
      <c r="P3545">
        <v>16.97</v>
      </c>
      <c r="Q3545">
        <v>-1.21</v>
      </c>
      <c r="R3545">
        <v>16.27</v>
      </c>
      <c r="S3545">
        <v>16.47</v>
      </c>
      <c r="T3545">
        <v>25406</v>
      </c>
      <c r="U3545">
        <v>16.309999999999999</v>
      </c>
      <c r="V3545">
        <v>16.47</v>
      </c>
      <c r="W3545">
        <v>65.900000000000006</v>
      </c>
      <c r="X3545" t="s">
        <v>623</v>
      </c>
      <c r="Y3545" t="s">
        <v>319</v>
      </c>
      <c r="Z3545">
        <v>4.25</v>
      </c>
      <c r="AA3545">
        <v>16.690000000000001</v>
      </c>
      <c r="AB3545">
        <v>13619</v>
      </c>
      <c r="AC3545">
        <v>11787</v>
      </c>
      <c r="AD3545">
        <v>1.1599999999999999</v>
      </c>
      <c r="AE3545">
        <v>169</v>
      </c>
      <c r="AF3545">
        <v>47</v>
      </c>
      <c r="AG3545" t="s">
        <v>120</v>
      </c>
      <c r="AH3545">
        <v>0</v>
      </c>
      <c r="AI3545" t="s">
        <v>120</v>
      </c>
      <c r="AJ3545">
        <v>0.3</v>
      </c>
      <c r="AK3545" t="s">
        <v>5306</v>
      </c>
      <c r="AL3545">
        <v>0.31</v>
      </c>
      <c r="AM3545">
        <v>1634</v>
      </c>
      <c r="AN3545">
        <v>16</v>
      </c>
      <c r="AO3545">
        <v>5.1999999999999998E-3</v>
      </c>
      <c r="AP3545">
        <v>-1</v>
      </c>
      <c r="AQ3545">
        <v>1.04</v>
      </c>
      <c r="AR3545">
        <v>-1.81</v>
      </c>
      <c r="AS3545">
        <v>-9.39</v>
      </c>
      <c r="AT3545">
        <v>-2.2200000000000002</v>
      </c>
      <c r="AU3545">
        <v>-6.49</v>
      </c>
      <c r="AV3545">
        <v>6</v>
      </c>
      <c r="AW3545">
        <v>8.5399999999999991</v>
      </c>
      <c r="AX3545">
        <v>25</v>
      </c>
      <c r="AY3545">
        <v>44.81</v>
      </c>
      <c r="AZ3545">
        <v>54.71</v>
      </c>
      <c r="BA3545">
        <v>0.71</v>
      </c>
      <c r="BB3545" t="s">
        <v>125</v>
      </c>
      <c r="BF3545">
        <v>1.36</v>
      </c>
      <c r="BG3545">
        <v>-1.03</v>
      </c>
      <c r="BH3545">
        <v>-3.95</v>
      </c>
      <c r="BI3545">
        <v>0.18</v>
      </c>
      <c r="BJ3545">
        <v>20210824</v>
      </c>
      <c r="BK3545">
        <v>20190117</v>
      </c>
      <c r="BL3545">
        <v>1.19</v>
      </c>
      <c r="BM3545" t="s">
        <v>120</v>
      </c>
      <c r="BN3545" t="s">
        <v>120</v>
      </c>
      <c r="BO3545">
        <v>14.83</v>
      </c>
      <c r="BP3545">
        <v>16.3</v>
      </c>
      <c r="BQ3545">
        <v>13.33</v>
      </c>
      <c r="BR3545" t="s">
        <v>120</v>
      </c>
      <c r="BS3545">
        <v>10.119999999999999</v>
      </c>
      <c r="BT3545">
        <v>9.56</v>
      </c>
      <c r="BU3545">
        <v>1.61</v>
      </c>
      <c r="BV3545">
        <v>0.3</v>
      </c>
      <c r="BW3545">
        <v>1.5</v>
      </c>
      <c r="BX3545">
        <v>3.48</v>
      </c>
      <c r="BY3545">
        <v>1.99</v>
      </c>
      <c r="BZ3545">
        <v>0.01</v>
      </c>
      <c r="CA3545" t="s">
        <v>120</v>
      </c>
      <c r="CB3545">
        <v>6.76</v>
      </c>
      <c r="CC3545">
        <v>4.3099999999999996</v>
      </c>
      <c r="CD3545">
        <v>3.85</v>
      </c>
      <c r="CE3545">
        <v>0.17</v>
      </c>
      <c r="CF3545">
        <v>0.12</v>
      </c>
      <c r="CG3545">
        <v>0.17</v>
      </c>
      <c r="CH3545">
        <v>0.15</v>
      </c>
      <c r="CI3545">
        <v>0.15</v>
      </c>
      <c r="CJ3545">
        <v>-0.17</v>
      </c>
      <c r="CK3545">
        <v>0.04</v>
      </c>
      <c r="CL3545">
        <v>4.59</v>
      </c>
      <c r="CM3545">
        <v>-0.3</v>
      </c>
      <c r="CN3545">
        <v>-0.03</v>
      </c>
      <c r="CO3545">
        <v>12155</v>
      </c>
      <c r="CP3545">
        <v>2446</v>
      </c>
      <c r="CQ3545" t="s">
        <v>7252</v>
      </c>
      <c r="CR3545">
        <v>116.35</v>
      </c>
      <c r="CS3545">
        <v>37.19</v>
      </c>
      <c r="CT3545">
        <v>1.45</v>
      </c>
      <c r="CU3545">
        <v>-63.95</v>
      </c>
      <c r="CV3545">
        <v>4.5</v>
      </c>
      <c r="CW3545">
        <v>0.91</v>
      </c>
      <c r="CX3545" t="s">
        <v>850</v>
      </c>
      <c r="CY3545">
        <v>11.21</v>
      </c>
      <c r="CZ3545">
        <v>0</v>
      </c>
      <c r="DA3545">
        <v>5.69</v>
      </c>
      <c r="DB3545">
        <v>3.86</v>
      </c>
      <c r="DC3545">
        <v>-0.25</v>
      </c>
      <c r="DD3545">
        <v>89.88</v>
      </c>
      <c r="DE3545" t="s">
        <v>3324</v>
      </c>
      <c r="DF3545">
        <v>10.5</v>
      </c>
      <c r="DG3545">
        <v>4.0199999999999996</v>
      </c>
      <c r="DH3545">
        <v>3.42</v>
      </c>
      <c r="DI3545">
        <v>0.22</v>
      </c>
      <c r="DJ3545">
        <v>1209</v>
      </c>
      <c r="DK3545">
        <v>603332</v>
      </c>
      <c r="DL3545" t="s">
        <v>120</v>
      </c>
      <c r="DM3545" t="s">
        <v>120</v>
      </c>
      <c r="DN3545" t="s">
        <v>120</v>
      </c>
    </row>
    <row r="3546" spans="1:118">
      <c r="A3546" t="str">
        <f>"603333"</f>
        <v>603333</v>
      </c>
      <c r="B3546" t="s">
        <v>14939</v>
      </c>
      <c r="C3546">
        <v>-3.05</v>
      </c>
      <c r="D3546">
        <v>0</v>
      </c>
      <c r="E3546">
        <v>-1.02</v>
      </c>
      <c r="F3546">
        <v>984</v>
      </c>
      <c r="G3546" t="s">
        <v>1304</v>
      </c>
      <c r="H3546">
        <v>4593.37</v>
      </c>
      <c r="I3546">
        <v>1.97</v>
      </c>
      <c r="J3546" t="s">
        <v>120</v>
      </c>
      <c r="K3546" t="s">
        <v>8333</v>
      </c>
      <c r="L3546">
        <v>1.32</v>
      </c>
      <c r="M3546">
        <v>6.67</v>
      </c>
      <c r="N3546">
        <v>0.84</v>
      </c>
      <c r="O3546">
        <v>1.89</v>
      </c>
      <c r="P3546">
        <v>7.01</v>
      </c>
      <c r="Q3546">
        <v>-3.78</v>
      </c>
      <c r="R3546">
        <v>6.62</v>
      </c>
      <c r="S3546">
        <v>6.81</v>
      </c>
      <c r="T3546">
        <v>68035</v>
      </c>
      <c r="U3546">
        <v>6.68</v>
      </c>
      <c r="V3546">
        <v>6.88</v>
      </c>
      <c r="W3546">
        <v>121.79</v>
      </c>
      <c r="X3546" t="s">
        <v>394</v>
      </c>
      <c r="Y3546" t="s">
        <v>578</v>
      </c>
      <c r="Z3546">
        <v>5.67</v>
      </c>
      <c r="AA3546">
        <v>6.75</v>
      </c>
      <c r="AB3546">
        <v>42442</v>
      </c>
      <c r="AC3546">
        <v>25593</v>
      </c>
      <c r="AD3546">
        <v>1.66</v>
      </c>
      <c r="AE3546">
        <v>398</v>
      </c>
      <c r="AF3546">
        <v>31</v>
      </c>
      <c r="AG3546" t="s">
        <v>120</v>
      </c>
      <c r="AH3546">
        <v>0</v>
      </c>
      <c r="AI3546" t="s">
        <v>120</v>
      </c>
      <c r="AJ3546">
        <v>5.17</v>
      </c>
      <c r="AK3546" t="s">
        <v>8333</v>
      </c>
      <c r="AL3546">
        <v>-1.71</v>
      </c>
      <c r="AM3546">
        <v>1637</v>
      </c>
      <c r="AN3546">
        <v>42</v>
      </c>
      <c r="AO3546">
        <v>8.0000000000000004E-4</v>
      </c>
      <c r="AP3546">
        <v>-1</v>
      </c>
      <c r="AQ3546">
        <v>4.24</v>
      </c>
      <c r="AR3546">
        <v>-6.32</v>
      </c>
      <c r="AS3546">
        <v>-0.6</v>
      </c>
      <c r="AT3546">
        <v>19.54</v>
      </c>
      <c r="AU3546">
        <v>15.4</v>
      </c>
      <c r="AV3546">
        <v>7</v>
      </c>
      <c r="AW3546">
        <v>3.2</v>
      </c>
      <c r="AX3546">
        <v>41.11</v>
      </c>
      <c r="AY3546">
        <v>306.49</v>
      </c>
      <c r="AZ3546">
        <v>215.15</v>
      </c>
      <c r="BA3546">
        <v>0.77</v>
      </c>
      <c r="BB3546" t="s">
        <v>143</v>
      </c>
      <c r="BF3546">
        <v>-1.87</v>
      </c>
      <c r="BG3546">
        <v>-2.06</v>
      </c>
      <c r="BH3546">
        <v>-4.8499999999999996</v>
      </c>
      <c r="BI3546">
        <v>0.76</v>
      </c>
      <c r="BJ3546">
        <v>20210820</v>
      </c>
      <c r="BK3546">
        <v>20120507</v>
      </c>
      <c r="BL3546">
        <v>5.17</v>
      </c>
      <c r="BM3546" t="s">
        <v>120</v>
      </c>
      <c r="BN3546" t="s">
        <v>120</v>
      </c>
      <c r="BO3546">
        <v>30.69</v>
      </c>
      <c r="BP3546">
        <v>6.67</v>
      </c>
      <c r="BQ3546">
        <v>14.87</v>
      </c>
      <c r="BR3546">
        <v>7.0000000000000007E-2</v>
      </c>
      <c r="BS3546">
        <v>51.31</v>
      </c>
      <c r="BT3546">
        <v>23.02</v>
      </c>
      <c r="BU3546">
        <v>5.61</v>
      </c>
      <c r="BV3546">
        <v>0.6</v>
      </c>
      <c r="BW3546">
        <v>15.14</v>
      </c>
      <c r="BX3546">
        <v>3.25</v>
      </c>
      <c r="BY3546">
        <v>3.54</v>
      </c>
      <c r="BZ3546">
        <v>10.62</v>
      </c>
      <c r="CA3546" t="s">
        <v>120</v>
      </c>
      <c r="CB3546">
        <v>6.39</v>
      </c>
      <c r="CC3546">
        <v>10.050000000000001</v>
      </c>
      <c r="CD3546">
        <v>8.3800000000000008</v>
      </c>
      <c r="CE3546">
        <v>0.16</v>
      </c>
      <c r="CF3546">
        <v>0</v>
      </c>
      <c r="CG3546">
        <v>0.17</v>
      </c>
      <c r="CH3546">
        <v>0.13</v>
      </c>
      <c r="CI3546">
        <v>0.14000000000000001</v>
      </c>
      <c r="CJ3546">
        <v>-0.21</v>
      </c>
      <c r="CK3546">
        <v>0.08</v>
      </c>
      <c r="CL3546">
        <v>3.35</v>
      </c>
      <c r="CM3546">
        <v>-3.31</v>
      </c>
      <c r="CN3546">
        <v>-2.65</v>
      </c>
      <c r="CO3546">
        <v>20344</v>
      </c>
      <c r="CP3546">
        <v>10443</v>
      </c>
      <c r="CQ3546" t="s">
        <v>4926</v>
      </c>
      <c r="CR3546">
        <v>-25.82</v>
      </c>
      <c r="CS3546">
        <v>8.4</v>
      </c>
      <c r="CT3546">
        <v>2.3199999999999998</v>
      </c>
      <c r="CU3546">
        <v>-10.41</v>
      </c>
      <c r="CV3546">
        <v>3.43</v>
      </c>
      <c r="CW3546">
        <v>0</v>
      </c>
      <c r="CX3546" t="s">
        <v>2074</v>
      </c>
      <c r="CY3546">
        <v>2.88</v>
      </c>
      <c r="CZ3546">
        <v>0</v>
      </c>
      <c r="DA3546">
        <v>1.24</v>
      </c>
      <c r="DB3546">
        <v>0.65</v>
      </c>
      <c r="DC3546">
        <v>-0.64</v>
      </c>
      <c r="DD3546">
        <v>48.47</v>
      </c>
      <c r="DE3546" t="s">
        <v>344</v>
      </c>
      <c r="DF3546">
        <v>16.670000000000002</v>
      </c>
      <c r="DG3546">
        <v>1.58</v>
      </c>
      <c r="DH3546">
        <v>1.41</v>
      </c>
      <c r="DI3546">
        <v>0.37</v>
      </c>
      <c r="DJ3546">
        <v>1374</v>
      </c>
      <c r="DK3546">
        <v>603333</v>
      </c>
      <c r="DL3546" t="s">
        <v>120</v>
      </c>
      <c r="DM3546" t="s">
        <v>120</v>
      </c>
      <c r="DN3546" t="s">
        <v>120</v>
      </c>
    </row>
    <row r="3547" spans="1:118">
      <c r="A3547" t="str">
        <f>"603335"</f>
        <v>603335</v>
      </c>
      <c r="B3547" t="s">
        <v>14940</v>
      </c>
      <c r="C3547">
        <v>-1.98</v>
      </c>
      <c r="D3547">
        <v>0</v>
      </c>
      <c r="E3547">
        <v>0.2</v>
      </c>
      <c r="F3547">
        <v>379</v>
      </c>
      <c r="G3547" t="s">
        <v>14941</v>
      </c>
      <c r="H3547">
        <v>3467.34</v>
      </c>
      <c r="I3547">
        <v>15.99</v>
      </c>
      <c r="J3547" t="s">
        <v>120</v>
      </c>
      <c r="K3547" t="s">
        <v>1184</v>
      </c>
      <c r="L3547">
        <v>1.61</v>
      </c>
      <c r="M3547">
        <v>4.95</v>
      </c>
      <c r="N3547">
        <v>0.97</v>
      </c>
      <c r="O3547">
        <v>1.98</v>
      </c>
      <c r="P3547">
        <v>5.15</v>
      </c>
      <c r="Q3547">
        <v>-2.38</v>
      </c>
      <c r="R3547">
        <v>4.93</v>
      </c>
      <c r="S3547">
        <v>5.0599999999999996</v>
      </c>
      <c r="T3547">
        <v>68868</v>
      </c>
      <c r="U3547">
        <v>4.95</v>
      </c>
      <c r="V3547">
        <v>5.05</v>
      </c>
      <c r="W3547">
        <v>31.18</v>
      </c>
      <c r="X3547" t="s">
        <v>289</v>
      </c>
      <c r="Y3547" t="s">
        <v>547</v>
      </c>
      <c r="Z3547">
        <v>4.3600000000000003</v>
      </c>
      <c r="AA3547">
        <v>5.03</v>
      </c>
      <c r="AB3547">
        <v>43001</v>
      </c>
      <c r="AC3547">
        <v>25867</v>
      </c>
      <c r="AD3547">
        <v>1.66</v>
      </c>
      <c r="AE3547">
        <v>166</v>
      </c>
      <c r="AF3547">
        <v>1068</v>
      </c>
      <c r="AG3547" t="s">
        <v>120</v>
      </c>
      <c r="AH3547">
        <v>0.02</v>
      </c>
      <c r="AI3547" t="s">
        <v>120</v>
      </c>
      <c r="AJ3547">
        <v>4.28</v>
      </c>
      <c r="AK3547" t="s">
        <v>1184</v>
      </c>
      <c r="AL3547">
        <v>-0.64</v>
      </c>
      <c r="AM3547">
        <v>1513</v>
      </c>
      <c r="AN3547">
        <v>46</v>
      </c>
      <c r="AO3547">
        <v>1.1000000000000001E-3</v>
      </c>
      <c r="AP3547">
        <v>-1</v>
      </c>
      <c r="AQ3547">
        <v>0.8</v>
      </c>
      <c r="AR3547">
        <v>-0.6</v>
      </c>
      <c r="AS3547">
        <v>5.55</v>
      </c>
      <c r="AT3547">
        <v>10.99</v>
      </c>
      <c r="AU3547">
        <v>7.67</v>
      </c>
      <c r="AV3547">
        <v>1</v>
      </c>
      <c r="AW3547">
        <v>3.42</v>
      </c>
      <c r="AX3547">
        <v>47.03</v>
      </c>
      <c r="AY3547">
        <v>42.75</v>
      </c>
      <c r="AZ3547">
        <v>35.94</v>
      </c>
      <c r="BA3547">
        <v>0.76</v>
      </c>
      <c r="BB3547" t="s">
        <v>184</v>
      </c>
      <c r="BF3547">
        <v>-0.3</v>
      </c>
      <c r="BG3547">
        <v>-2.17</v>
      </c>
      <c r="BH3547">
        <v>-3.88</v>
      </c>
      <c r="BI3547">
        <v>0.41</v>
      </c>
      <c r="BJ3547">
        <v>20210908</v>
      </c>
      <c r="BK3547">
        <v>20170620</v>
      </c>
      <c r="BL3547">
        <v>4.28</v>
      </c>
      <c r="BM3547" t="s">
        <v>120</v>
      </c>
      <c r="BN3547" t="s">
        <v>120</v>
      </c>
      <c r="BO3547">
        <v>10.23</v>
      </c>
      <c r="BP3547">
        <v>4.9400000000000004</v>
      </c>
      <c r="BQ3547">
        <v>6.13</v>
      </c>
      <c r="BR3547">
        <v>0.67</v>
      </c>
      <c r="BS3547">
        <v>33.61</v>
      </c>
      <c r="BT3547">
        <v>5.98</v>
      </c>
      <c r="BU3547">
        <v>1.3</v>
      </c>
      <c r="BV3547">
        <v>0.97</v>
      </c>
      <c r="BW3547">
        <v>2.13</v>
      </c>
      <c r="BX3547">
        <v>2.75</v>
      </c>
      <c r="BY3547">
        <v>2.48</v>
      </c>
      <c r="BZ3547">
        <v>0.61</v>
      </c>
      <c r="CA3547" t="s">
        <v>120</v>
      </c>
      <c r="CB3547">
        <v>0.19</v>
      </c>
      <c r="CC3547">
        <v>5.91</v>
      </c>
      <c r="CD3547">
        <v>4.3600000000000003</v>
      </c>
      <c r="CE3547">
        <v>0.68</v>
      </c>
      <c r="CF3547">
        <v>-0.01</v>
      </c>
      <c r="CG3547">
        <v>0.69</v>
      </c>
      <c r="CH3547">
        <v>0.48</v>
      </c>
      <c r="CI3547">
        <v>0.34</v>
      </c>
      <c r="CJ3547">
        <v>-0.1</v>
      </c>
      <c r="CK3547">
        <v>0.27</v>
      </c>
      <c r="CL3547">
        <v>1.46</v>
      </c>
      <c r="CM3547">
        <v>0.66</v>
      </c>
      <c r="CN3547">
        <v>0.46</v>
      </c>
      <c r="CO3547">
        <v>16881</v>
      </c>
      <c r="CP3547">
        <v>11929</v>
      </c>
      <c r="CQ3547" t="s">
        <v>3869</v>
      </c>
      <c r="CR3547">
        <v>-21.99</v>
      </c>
      <c r="CS3547">
        <v>30.23</v>
      </c>
      <c r="CT3547">
        <v>3.46</v>
      </c>
      <c r="CU3547">
        <v>32.1</v>
      </c>
      <c r="CV3547">
        <v>3.58</v>
      </c>
      <c r="CW3547">
        <v>0.85</v>
      </c>
      <c r="CX3547" t="s">
        <v>535</v>
      </c>
      <c r="CY3547">
        <v>1.43</v>
      </c>
      <c r="CZ3547">
        <v>0</v>
      </c>
      <c r="DA3547">
        <v>0.05</v>
      </c>
      <c r="DB3547">
        <v>0.34</v>
      </c>
      <c r="DC3547">
        <v>0.15</v>
      </c>
      <c r="DD3547">
        <v>59.86</v>
      </c>
      <c r="DE3547" t="s">
        <v>9961</v>
      </c>
      <c r="DF3547">
        <v>26.26</v>
      </c>
      <c r="DG3547">
        <v>11.55</v>
      </c>
      <c r="DH3547">
        <v>5.75</v>
      </c>
      <c r="DI3547">
        <v>0.06</v>
      </c>
      <c r="DJ3547">
        <v>607</v>
      </c>
      <c r="DK3547">
        <v>603335</v>
      </c>
      <c r="DL3547" t="s">
        <v>120</v>
      </c>
      <c r="DM3547" t="s">
        <v>120</v>
      </c>
      <c r="DN3547" t="s">
        <v>120</v>
      </c>
    </row>
    <row r="3548" spans="1:118">
      <c r="A3548" t="str">
        <f>"603336"</f>
        <v>603336</v>
      </c>
      <c r="B3548" t="s">
        <v>14942</v>
      </c>
      <c r="C3548">
        <v>1.67</v>
      </c>
      <c r="D3548">
        <v>0.15</v>
      </c>
      <c r="E3548">
        <v>0</v>
      </c>
      <c r="F3548">
        <v>580</v>
      </c>
      <c r="G3548" t="s">
        <v>2355</v>
      </c>
      <c r="H3548">
        <v>6773.26</v>
      </c>
      <c r="I3548">
        <v>0.46</v>
      </c>
      <c r="J3548" t="s">
        <v>120</v>
      </c>
      <c r="K3548" t="s">
        <v>5138</v>
      </c>
      <c r="L3548">
        <v>2.29</v>
      </c>
      <c r="M3548">
        <v>6.71</v>
      </c>
      <c r="N3548">
        <v>2.2599999999999998</v>
      </c>
      <c r="O3548">
        <v>3.94</v>
      </c>
      <c r="P3548">
        <v>6.86</v>
      </c>
      <c r="Q3548">
        <v>-0.3</v>
      </c>
      <c r="R3548">
        <v>6.58</v>
      </c>
      <c r="S3548">
        <v>6.6</v>
      </c>
      <c r="T3548">
        <v>100490</v>
      </c>
      <c r="U3548">
        <v>6.72</v>
      </c>
      <c r="V3548">
        <v>6.6</v>
      </c>
      <c r="W3548">
        <v>58.71</v>
      </c>
      <c r="X3548" t="s">
        <v>447</v>
      </c>
      <c r="Y3548" t="s">
        <v>547</v>
      </c>
      <c r="Z3548">
        <v>4.24</v>
      </c>
      <c r="AA3548">
        <v>6.74</v>
      </c>
      <c r="AB3548">
        <v>45231</v>
      </c>
      <c r="AC3548">
        <v>55259</v>
      </c>
      <c r="AD3548">
        <v>0.82</v>
      </c>
      <c r="AE3548">
        <v>343</v>
      </c>
      <c r="AF3548">
        <v>310</v>
      </c>
      <c r="AG3548" t="s">
        <v>120</v>
      </c>
      <c r="AH3548">
        <v>0</v>
      </c>
      <c r="AI3548" t="s">
        <v>120</v>
      </c>
      <c r="AJ3548">
        <v>4.3899999999999997</v>
      </c>
      <c r="AK3548" t="s">
        <v>5138</v>
      </c>
      <c r="AL3548">
        <v>3.01</v>
      </c>
      <c r="AM3548">
        <v>1818</v>
      </c>
      <c r="AN3548">
        <v>55</v>
      </c>
      <c r="AO3548">
        <v>1.2999999999999999E-3</v>
      </c>
      <c r="AP3548">
        <v>1</v>
      </c>
      <c r="AQ3548">
        <v>-0.3</v>
      </c>
      <c r="AR3548">
        <v>0.3</v>
      </c>
      <c r="AS3548">
        <v>-0.59</v>
      </c>
      <c r="AT3548">
        <v>-7.71</v>
      </c>
      <c r="AU3548">
        <v>-16.96</v>
      </c>
      <c r="AV3548">
        <v>5</v>
      </c>
      <c r="AW3548">
        <v>4.8099999999999996</v>
      </c>
      <c r="AX3548">
        <v>47.64</v>
      </c>
      <c r="AY3548">
        <v>50.2</v>
      </c>
      <c r="AZ3548">
        <v>39.58</v>
      </c>
      <c r="BA3548">
        <v>0.53</v>
      </c>
      <c r="BB3548" t="s">
        <v>125</v>
      </c>
      <c r="BF3548">
        <v>2.12</v>
      </c>
      <c r="BG3548">
        <v>1.67</v>
      </c>
      <c r="BH3548">
        <v>-2.19</v>
      </c>
      <c r="BI3548">
        <v>1.98</v>
      </c>
      <c r="BJ3548">
        <v>20210828</v>
      </c>
      <c r="BK3548">
        <v>20161124</v>
      </c>
      <c r="BL3548">
        <v>4.3899999999999997</v>
      </c>
      <c r="BM3548" t="s">
        <v>120</v>
      </c>
      <c r="BN3548" t="s">
        <v>120</v>
      </c>
      <c r="BO3548">
        <v>14.98</v>
      </c>
      <c r="BP3548">
        <v>6.71</v>
      </c>
      <c r="BQ3548">
        <v>10.71</v>
      </c>
      <c r="BR3548">
        <v>0.03</v>
      </c>
      <c r="BS3548">
        <v>28.32</v>
      </c>
      <c r="BT3548">
        <v>8.64</v>
      </c>
      <c r="BU3548">
        <v>3.07</v>
      </c>
      <c r="BV3548">
        <v>1.1100000000000001</v>
      </c>
      <c r="BW3548">
        <v>2.2200000000000002</v>
      </c>
      <c r="BX3548">
        <v>0.65</v>
      </c>
      <c r="BY3548">
        <v>3.1</v>
      </c>
      <c r="BZ3548">
        <v>3.96</v>
      </c>
      <c r="CA3548" t="s">
        <v>120</v>
      </c>
      <c r="CB3548">
        <v>1.61</v>
      </c>
      <c r="CC3548">
        <v>4.46</v>
      </c>
      <c r="CD3548">
        <v>3.97</v>
      </c>
      <c r="CE3548">
        <v>0.25</v>
      </c>
      <c r="CF3548">
        <v>0</v>
      </c>
      <c r="CG3548">
        <v>0.25</v>
      </c>
      <c r="CH3548">
        <v>0.25</v>
      </c>
      <c r="CI3548">
        <v>0.25</v>
      </c>
      <c r="CJ3548">
        <v>0.11</v>
      </c>
      <c r="CK3548">
        <v>0.24</v>
      </c>
      <c r="CL3548">
        <v>4.07</v>
      </c>
      <c r="CM3548">
        <v>0.39</v>
      </c>
      <c r="CN3548">
        <v>-0.63</v>
      </c>
      <c r="CO3548">
        <v>39629</v>
      </c>
      <c r="CP3548">
        <v>5273</v>
      </c>
      <c r="CQ3548" t="s">
        <v>11453</v>
      </c>
      <c r="CR3548">
        <v>-38.18</v>
      </c>
      <c r="CS3548">
        <v>0.33</v>
      </c>
      <c r="CT3548">
        <v>2.86</v>
      </c>
      <c r="CU3548">
        <v>75.62</v>
      </c>
      <c r="CV3548">
        <v>6.6</v>
      </c>
      <c r="CW3548">
        <v>0.76</v>
      </c>
      <c r="CX3548" t="s">
        <v>679</v>
      </c>
      <c r="CY3548">
        <v>2.35</v>
      </c>
      <c r="CZ3548">
        <v>2.35</v>
      </c>
      <c r="DA3548">
        <v>0.37</v>
      </c>
      <c r="DB3548">
        <v>0.93</v>
      </c>
      <c r="DC3548">
        <v>0.09</v>
      </c>
      <c r="DD3548">
        <v>71.489999999999995</v>
      </c>
      <c r="DE3548" t="s">
        <v>14943</v>
      </c>
      <c r="DF3548">
        <v>10.92</v>
      </c>
      <c r="DG3548">
        <v>5.59</v>
      </c>
      <c r="DH3548">
        <v>5.62</v>
      </c>
      <c r="DI3548" t="s">
        <v>120</v>
      </c>
      <c r="DJ3548">
        <v>614</v>
      </c>
      <c r="DK3548">
        <v>603336</v>
      </c>
      <c r="DL3548" t="s">
        <v>120</v>
      </c>
      <c r="DM3548" t="s">
        <v>120</v>
      </c>
      <c r="DN3548" t="s">
        <v>120</v>
      </c>
    </row>
    <row r="3549" spans="1:118">
      <c r="A3549" t="str">
        <f>"603337"</f>
        <v>603337</v>
      </c>
      <c r="B3549" t="s">
        <v>14944</v>
      </c>
      <c r="C3549">
        <v>-1.18</v>
      </c>
      <c r="D3549">
        <v>-0.08</v>
      </c>
      <c r="E3549">
        <v>0.04</v>
      </c>
      <c r="F3549">
        <v>82</v>
      </c>
      <c r="G3549" t="s">
        <v>1970</v>
      </c>
      <c r="H3549">
        <v>4402.67</v>
      </c>
      <c r="I3549">
        <v>5.03</v>
      </c>
      <c r="J3549" t="s">
        <v>120</v>
      </c>
      <c r="K3549" t="s">
        <v>14945</v>
      </c>
      <c r="L3549">
        <v>0.44</v>
      </c>
      <c r="M3549">
        <v>22.6</v>
      </c>
      <c r="N3549">
        <v>0.9</v>
      </c>
      <c r="O3549">
        <v>0.52</v>
      </c>
      <c r="P3549">
        <v>22.99</v>
      </c>
      <c r="Q3549">
        <v>-2.8</v>
      </c>
      <c r="R3549">
        <v>22.23</v>
      </c>
      <c r="S3549">
        <v>22.88</v>
      </c>
      <c r="T3549">
        <v>19451</v>
      </c>
      <c r="U3549">
        <v>22.62</v>
      </c>
      <c r="V3549">
        <v>22.87</v>
      </c>
      <c r="W3549">
        <v>19.61</v>
      </c>
      <c r="X3549" t="s">
        <v>3820</v>
      </c>
      <c r="Y3549" t="s">
        <v>585</v>
      </c>
      <c r="Z3549">
        <v>3.32</v>
      </c>
      <c r="AA3549">
        <v>22.64</v>
      </c>
      <c r="AB3549">
        <v>10947</v>
      </c>
      <c r="AC3549">
        <v>8504</v>
      </c>
      <c r="AD3549">
        <v>1.29</v>
      </c>
      <c r="AE3549">
        <v>24</v>
      </c>
      <c r="AF3549">
        <v>18</v>
      </c>
      <c r="AG3549" t="s">
        <v>120</v>
      </c>
      <c r="AH3549">
        <v>0</v>
      </c>
      <c r="AI3549" t="s">
        <v>120</v>
      </c>
      <c r="AJ3549">
        <v>4.4400000000000004</v>
      </c>
      <c r="AK3549" t="s">
        <v>14946</v>
      </c>
      <c r="AL3549">
        <v>0.16</v>
      </c>
      <c r="AM3549">
        <v>2140</v>
      </c>
      <c r="AN3549">
        <v>9</v>
      </c>
      <c r="AO3549">
        <v>2.0000000000000001E-4</v>
      </c>
      <c r="AP3549">
        <v>-1</v>
      </c>
      <c r="AQ3549">
        <v>0.26</v>
      </c>
      <c r="AR3549">
        <v>0.62</v>
      </c>
      <c r="AS3549">
        <v>-11.37</v>
      </c>
      <c r="AT3549">
        <v>-14.46</v>
      </c>
      <c r="AU3549">
        <v>-25.07</v>
      </c>
      <c r="AV3549">
        <v>2</v>
      </c>
      <c r="AW3549">
        <v>1.48</v>
      </c>
      <c r="AX3549">
        <v>29.46</v>
      </c>
      <c r="AY3549">
        <v>20.94</v>
      </c>
      <c r="AZ3549">
        <v>32.51</v>
      </c>
      <c r="BA3549">
        <v>0.08</v>
      </c>
      <c r="BB3549" t="s">
        <v>143</v>
      </c>
      <c r="BF3549">
        <v>-1.03</v>
      </c>
      <c r="BG3549">
        <v>-1.22</v>
      </c>
      <c r="BH3549">
        <v>-1.7</v>
      </c>
      <c r="BI3549">
        <v>1.66</v>
      </c>
      <c r="BJ3549">
        <v>20210821</v>
      </c>
      <c r="BK3549">
        <v>20170119</v>
      </c>
      <c r="BL3549">
        <v>4.46</v>
      </c>
      <c r="BM3549" t="s">
        <v>120</v>
      </c>
      <c r="BN3549" t="s">
        <v>120</v>
      </c>
      <c r="BO3549">
        <v>60.25</v>
      </c>
      <c r="BP3549">
        <v>22.6</v>
      </c>
      <c r="BQ3549">
        <v>30.68</v>
      </c>
      <c r="BR3549">
        <v>0.76</v>
      </c>
      <c r="BS3549">
        <v>47.8</v>
      </c>
      <c r="BT3549">
        <v>31.44</v>
      </c>
      <c r="BU3549">
        <v>13.47</v>
      </c>
      <c r="BV3549">
        <v>3.5</v>
      </c>
      <c r="BW3549">
        <v>26.47</v>
      </c>
      <c r="BX3549">
        <v>3.09</v>
      </c>
      <c r="BY3549">
        <v>13.17</v>
      </c>
      <c r="BZ3549">
        <v>9.74</v>
      </c>
      <c r="CA3549" t="s">
        <v>120</v>
      </c>
      <c r="CB3549">
        <v>6.32</v>
      </c>
      <c r="CC3549">
        <v>33.68</v>
      </c>
      <c r="CD3549">
        <v>26.12</v>
      </c>
      <c r="CE3549">
        <v>2.94</v>
      </c>
      <c r="CF3549">
        <v>0.2</v>
      </c>
      <c r="CG3549">
        <v>2.95</v>
      </c>
      <c r="CH3549">
        <v>2.63</v>
      </c>
      <c r="CI3549">
        <v>2.57</v>
      </c>
      <c r="CJ3549">
        <v>-0.27</v>
      </c>
      <c r="CK3549">
        <v>2.46</v>
      </c>
      <c r="CL3549">
        <v>17.96</v>
      </c>
      <c r="CM3549">
        <v>1.23</v>
      </c>
      <c r="CN3549">
        <v>-3.99</v>
      </c>
      <c r="CO3549">
        <v>8349</v>
      </c>
      <c r="CP3549">
        <v>15734</v>
      </c>
      <c r="CQ3549" t="s">
        <v>14947</v>
      </c>
      <c r="CR3549">
        <v>206.87</v>
      </c>
      <c r="CS3549">
        <v>105.2</v>
      </c>
      <c r="CT3549">
        <v>3.28</v>
      </c>
      <c r="CU3549">
        <v>82.04</v>
      </c>
      <c r="CV3549">
        <v>2.99</v>
      </c>
      <c r="CW3549">
        <v>1.1399999999999999</v>
      </c>
      <c r="CX3549" t="s">
        <v>597</v>
      </c>
      <c r="CY3549">
        <v>6.88</v>
      </c>
      <c r="CZ3549">
        <v>0</v>
      </c>
      <c r="DA3549">
        <v>1.42</v>
      </c>
      <c r="DB3549">
        <v>4.03</v>
      </c>
      <c r="DC3549">
        <v>0.28000000000000003</v>
      </c>
      <c r="DD3549">
        <v>50.93</v>
      </c>
      <c r="DE3549" t="s">
        <v>6475</v>
      </c>
      <c r="DF3549">
        <v>22.46</v>
      </c>
      <c r="DG3549">
        <v>8.73</v>
      </c>
      <c r="DH3549">
        <v>7.63</v>
      </c>
      <c r="DI3549">
        <v>1.54</v>
      </c>
      <c r="DJ3549">
        <v>6491</v>
      </c>
      <c r="DK3549">
        <v>603337</v>
      </c>
      <c r="DL3549" t="s">
        <v>120</v>
      </c>
      <c r="DM3549" t="s">
        <v>120</v>
      </c>
      <c r="DN3549" t="s">
        <v>120</v>
      </c>
    </row>
    <row r="3550" spans="1:118">
      <c r="A3550" t="str">
        <f>"603338"</f>
        <v>603338</v>
      </c>
      <c r="B3550" t="s">
        <v>14948</v>
      </c>
      <c r="C3550">
        <v>-0.48</v>
      </c>
      <c r="D3550">
        <v>-0.01</v>
      </c>
      <c r="E3550">
        <v>0.14000000000000001</v>
      </c>
      <c r="F3550">
        <v>828</v>
      </c>
      <c r="G3550" t="s">
        <v>14949</v>
      </c>
      <c r="H3550">
        <v>39121.57</v>
      </c>
      <c r="I3550">
        <v>56.01</v>
      </c>
      <c r="J3550" t="s">
        <v>120</v>
      </c>
      <c r="K3550" t="s">
        <v>14950</v>
      </c>
      <c r="L3550">
        <v>1.29</v>
      </c>
      <c r="M3550">
        <v>62.54</v>
      </c>
      <c r="N3550">
        <v>1.1100000000000001</v>
      </c>
      <c r="O3550">
        <v>1.78</v>
      </c>
      <c r="P3550">
        <v>63.96</v>
      </c>
      <c r="Q3550">
        <v>-2.61</v>
      </c>
      <c r="R3550">
        <v>61.2</v>
      </c>
      <c r="S3550">
        <v>62.93</v>
      </c>
      <c r="T3550">
        <v>62694</v>
      </c>
      <c r="U3550">
        <v>62.55</v>
      </c>
      <c r="V3550">
        <v>62.84</v>
      </c>
      <c r="W3550">
        <v>29.96</v>
      </c>
      <c r="X3550" t="s">
        <v>675</v>
      </c>
      <c r="Y3550" t="s">
        <v>585</v>
      </c>
      <c r="Z3550">
        <v>4.3899999999999997</v>
      </c>
      <c r="AA3550">
        <v>62.4</v>
      </c>
      <c r="AB3550">
        <v>34131</v>
      </c>
      <c r="AC3550">
        <v>28563</v>
      </c>
      <c r="AD3550">
        <v>1.19</v>
      </c>
      <c r="AE3550">
        <v>4</v>
      </c>
      <c r="AF3550">
        <v>68</v>
      </c>
      <c r="AG3550" t="s">
        <v>120</v>
      </c>
      <c r="AH3550">
        <v>0</v>
      </c>
      <c r="AI3550" t="s">
        <v>120</v>
      </c>
      <c r="AJ3550">
        <v>4.8499999999999996</v>
      </c>
      <c r="AK3550" t="s">
        <v>14950</v>
      </c>
      <c r="AL3550">
        <v>0.87</v>
      </c>
      <c r="AM3550">
        <v>4037</v>
      </c>
      <c r="AN3550">
        <v>16</v>
      </c>
      <c r="AO3550">
        <v>2.9999999999999997E-4</v>
      </c>
      <c r="AP3550">
        <v>-4</v>
      </c>
      <c r="AQ3550">
        <v>-3.62</v>
      </c>
      <c r="AR3550">
        <v>-6.94</v>
      </c>
      <c r="AS3550">
        <v>-7.29</v>
      </c>
      <c r="AT3550">
        <v>7.96</v>
      </c>
      <c r="AU3550">
        <v>-38.04</v>
      </c>
      <c r="AV3550">
        <v>4</v>
      </c>
      <c r="AW3550">
        <v>3.19</v>
      </c>
      <c r="AX3550">
        <v>40.44</v>
      </c>
      <c r="AY3550">
        <v>40.020000000000003</v>
      </c>
      <c r="AZ3550">
        <v>45.94</v>
      </c>
      <c r="BA3550">
        <v>2.33</v>
      </c>
      <c r="BB3550" t="s">
        <v>1723</v>
      </c>
      <c r="BF3550">
        <v>-0.7</v>
      </c>
      <c r="BG3550">
        <v>-0.62</v>
      </c>
      <c r="BH3550">
        <v>-2.2200000000000002</v>
      </c>
      <c r="BI3550">
        <v>2.19</v>
      </c>
      <c r="BJ3550">
        <v>20210827</v>
      </c>
      <c r="BK3550">
        <v>20150325</v>
      </c>
      <c r="BL3550">
        <v>4.8499999999999996</v>
      </c>
      <c r="BM3550" t="s">
        <v>120</v>
      </c>
      <c r="BN3550" t="s">
        <v>120</v>
      </c>
      <c r="BO3550">
        <v>69.05</v>
      </c>
      <c r="BP3550">
        <v>62.54</v>
      </c>
      <c r="BQ3550">
        <v>42.5</v>
      </c>
      <c r="BR3550" t="s">
        <v>120</v>
      </c>
      <c r="BS3550">
        <v>38.450000000000003</v>
      </c>
      <c r="BT3550">
        <v>49.9</v>
      </c>
      <c r="BU3550">
        <v>8.3699999999999992</v>
      </c>
      <c r="BV3550">
        <v>1.56</v>
      </c>
      <c r="BW3550">
        <v>23.59</v>
      </c>
      <c r="BX3550">
        <v>15.01</v>
      </c>
      <c r="BY3550">
        <v>10.58</v>
      </c>
      <c r="BZ3550">
        <v>15.44</v>
      </c>
      <c r="CA3550" t="s">
        <v>120</v>
      </c>
      <c r="CB3550">
        <v>9.15</v>
      </c>
      <c r="CC3550">
        <v>25.77</v>
      </c>
      <c r="CD3550">
        <v>18.25</v>
      </c>
      <c r="CE3550">
        <v>5.98</v>
      </c>
      <c r="CF3550">
        <v>0.17</v>
      </c>
      <c r="CG3550">
        <v>5.98</v>
      </c>
      <c r="CH3550">
        <v>5.07</v>
      </c>
      <c r="CI3550">
        <v>5.07</v>
      </c>
      <c r="CJ3550">
        <v>-0.3</v>
      </c>
      <c r="CK3550">
        <v>4.9000000000000004</v>
      </c>
      <c r="CL3550">
        <v>25.85</v>
      </c>
      <c r="CM3550">
        <v>-0.96</v>
      </c>
      <c r="CN3550">
        <v>3.12</v>
      </c>
      <c r="CO3550">
        <v>33303</v>
      </c>
      <c r="CP3550">
        <v>5895</v>
      </c>
      <c r="CQ3550" t="s">
        <v>14951</v>
      </c>
      <c r="CR3550">
        <v>24.05</v>
      </c>
      <c r="CS3550">
        <v>71.7</v>
      </c>
      <c r="CT3550">
        <v>7.14</v>
      </c>
      <c r="CU3550">
        <v>-315</v>
      </c>
      <c r="CV3550">
        <v>11.78</v>
      </c>
      <c r="CW3550">
        <v>0.41</v>
      </c>
      <c r="CX3550" t="s">
        <v>3739</v>
      </c>
      <c r="CY3550">
        <v>8.75</v>
      </c>
      <c r="CZ3550">
        <v>0</v>
      </c>
      <c r="DA3550">
        <v>1.88</v>
      </c>
      <c r="DB3550">
        <v>5.32</v>
      </c>
      <c r="DC3550">
        <v>-0.2</v>
      </c>
      <c r="DD3550">
        <v>61.55</v>
      </c>
      <c r="DE3550" t="s">
        <v>14863</v>
      </c>
      <c r="DF3550">
        <v>29.2</v>
      </c>
      <c r="DG3550">
        <v>23.19</v>
      </c>
      <c r="DH3550">
        <v>19.66</v>
      </c>
      <c r="DI3550">
        <v>0.61</v>
      </c>
      <c r="DJ3550">
        <v>1441</v>
      </c>
      <c r="DK3550">
        <v>603338</v>
      </c>
      <c r="DL3550" t="s">
        <v>120</v>
      </c>
      <c r="DM3550" t="s">
        <v>120</v>
      </c>
      <c r="DN3550" t="s">
        <v>120</v>
      </c>
    </row>
    <row r="3551" spans="1:118">
      <c r="A3551" t="str">
        <f>"603339"</f>
        <v>603339</v>
      </c>
      <c r="B3551" t="s">
        <v>14952</v>
      </c>
      <c r="C3551">
        <v>0.69</v>
      </c>
      <c r="D3551">
        <v>0.17</v>
      </c>
      <c r="E3551">
        <v>0.17</v>
      </c>
      <c r="F3551">
        <v>1049</v>
      </c>
      <c r="G3551" t="s">
        <v>1132</v>
      </c>
      <c r="H3551">
        <v>8763.5499999999993</v>
      </c>
      <c r="I3551">
        <v>55.29</v>
      </c>
      <c r="J3551" t="s">
        <v>120</v>
      </c>
      <c r="K3551" t="s">
        <v>14953</v>
      </c>
      <c r="L3551">
        <v>2.42</v>
      </c>
      <c r="M3551">
        <v>11.63</v>
      </c>
      <c r="N3551">
        <v>1.92</v>
      </c>
      <c r="O3551">
        <v>4.24</v>
      </c>
      <c r="P3551">
        <v>12.04</v>
      </c>
      <c r="Q3551">
        <v>-0.87</v>
      </c>
      <c r="R3551">
        <v>11.45</v>
      </c>
      <c r="S3551">
        <v>11.57</v>
      </c>
      <c r="T3551">
        <v>74773</v>
      </c>
      <c r="U3551">
        <v>11.64</v>
      </c>
      <c r="V3551">
        <v>11.55</v>
      </c>
      <c r="W3551">
        <v>22.71</v>
      </c>
      <c r="X3551" t="s">
        <v>675</v>
      </c>
      <c r="Y3551" t="s">
        <v>319</v>
      </c>
      <c r="Z3551">
        <v>5.1100000000000003</v>
      </c>
      <c r="AA3551">
        <v>11.72</v>
      </c>
      <c r="AB3551">
        <v>36097</v>
      </c>
      <c r="AC3551">
        <v>38676</v>
      </c>
      <c r="AD3551">
        <v>0.93</v>
      </c>
      <c r="AE3551">
        <v>135</v>
      </c>
      <c r="AF3551">
        <v>92</v>
      </c>
      <c r="AG3551" t="s">
        <v>120</v>
      </c>
      <c r="AH3551">
        <v>0.03</v>
      </c>
      <c r="AI3551" t="s">
        <v>120</v>
      </c>
      <c r="AJ3551">
        <v>3.09</v>
      </c>
      <c r="AK3551" t="s">
        <v>14953</v>
      </c>
      <c r="AL3551">
        <v>2.04</v>
      </c>
      <c r="AM3551">
        <v>2191</v>
      </c>
      <c r="AN3551">
        <v>34</v>
      </c>
      <c r="AO3551">
        <v>1.1000000000000001E-3</v>
      </c>
      <c r="AP3551">
        <v>2</v>
      </c>
      <c r="AQ3551">
        <v>4.1500000000000004</v>
      </c>
      <c r="AR3551">
        <v>3.84</v>
      </c>
      <c r="AS3551">
        <v>12.26</v>
      </c>
      <c r="AT3551">
        <v>19.53</v>
      </c>
      <c r="AU3551">
        <v>5.59</v>
      </c>
      <c r="AV3551">
        <v>1</v>
      </c>
      <c r="AW3551">
        <v>4.2</v>
      </c>
      <c r="AX3551">
        <v>57.47</v>
      </c>
      <c r="AY3551">
        <v>28.17</v>
      </c>
      <c r="AZ3551">
        <v>33.58</v>
      </c>
      <c r="BA3551">
        <v>0.65</v>
      </c>
      <c r="BB3551" t="s">
        <v>168</v>
      </c>
      <c r="BF3551">
        <v>1.47</v>
      </c>
      <c r="BG3551">
        <v>0.52</v>
      </c>
      <c r="BH3551">
        <v>-3.41</v>
      </c>
      <c r="BI3551">
        <v>1.57</v>
      </c>
      <c r="BJ3551">
        <v>20210819</v>
      </c>
      <c r="BK3551">
        <v>20160519</v>
      </c>
      <c r="BL3551">
        <v>3.09</v>
      </c>
      <c r="BM3551" t="s">
        <v>120</v>
      </c>
      <c r="BN3551" t="s">
        <v>120</v>
      </c>
      <c r="BO3551">
        <v>25.22</v>
      </c>
      <c r="BP3551">
        <v>11.63</v>
      </c>
      <c r="BQ3551">
        <v>18.559999999999999</v>
      </c>
      <c r="BR3551" t="s">
        <v>120</v>
      </c>
      <c r="BS3551">
        <v>26.39</v>
      </c>
      <c r="BT3551">
        <v>15.95</v>
      </c>
      <c r="BU3551">
        <v>6.32</v>
      </c>
      <c r="BV3551">
        <v>1.26</v>
      </c>
      <c r="BW3551">
        <v>6.36</v>
      </c>
      <c r="BX3551">
        <v>5.69</v>
      </c>
      <c r="BY3551">
        <v>7.26</v>
      </c>
      <c r="BZ3551">
        <v>0.37</v>
      </c>
      <c r="CA3551" t="s">
        <v>120</v>
      </c>
      <c r="CB3551">
        <v>4.5199999999999996</v>
      </c>
      <c r="CC3551">
        <v>7.18</v>
      </c>
      <c r="CD3551">
        <v>5.64</v>
      </c>
      <c r="CE3551">
        <v>0.9</v>
      </c>
      <c r="CF3551">
        <v>0</v>
      </c>
      <c r="CG3551">
        <v>0.88</v>
      </c>
      <c r="CH3551">
        <v>0.79</v>
      </c>
      <c r="CI3551">
        <v>0.79</v>
      </c>
      <c r="CJ3551">
        <v>0.08</v>
      </c>
      <c r="CK3551">
        <v>0.76</v>
      </c>
      <c r="CL3551">
        <v>10.33</v>
      </c>
      <c r="CM3551">
        <v>-2</v>
      </c>
      <c r="CN3551">
        <v>-2.68</v>
      </c>
      <c r="CO3551">
        <v>18066</v>
      </c>
      <c r="CP3551">
        <v>9844</v>
      </c>
      <c r="CQ3551" t="s">
        <v>2352</v>
      </c>
      <c r="CR3551">
        <v>34.71</v>
      </c>
      <c r="CS3551">
        <v>29.3</v>
      </c>
      <c r="CT3551">
        <v>1.94</v>
      </c>
      <c r="CU3551">
        <v>-17.95</v>
      </c>
      <c r="CV3551">
        <v>5.01</v>
      </c>
      <c r="CW3551">
        <v>0.91</v>
      </c>
      <c r="CX3551" t="s">
        <v>670</v>
      </c>
      <c r="CY3551">
        <v>6</v>
      </c>
      <c r="CZ3551">
        <v>0</v>
      </c>
      <c r="DA3551">
        <v>1.46</v>
      </c>
      <c r="DB3551">
        <v>3.34</v>
      </c>
      <c r="DC3551">
        <v>-0.65</v>
      </c>
      <c r="DD3551">
        <v>73.61</v>
      </c>
      <c r="DE3551" t="s">
        <v>2110</v>
      </c>
      <c r="DF3551">
        <v>21.47</v>
      </c>
      <c r="DG3551">
        <v>12.52</v>
      </c>
      <c r="DH3551">
        <v>11.04</v>
      </c>
      <c r="DI3551">
        <v>0.35</v>
      </c>
      <c r="DJ3551">
        <v>1350</v>
      </c>
      <c r="DK3551">
        <v>603339</v>
      </c>
      <c r="DL3551" t="s">
        <v>120</v>
      </c>
      <c r="DM3551" t="s">
        <v>120</v>
      </c>
      <c r="DN3551" t="s">
        <v>120</v>
      </c>
    </row>
    <row r="3552" spans="1:118">
      <c r="A3552" t="str">
        <f>"603345"</f>
        <v>603345</v>
      </c>
      <c r="B3552" t="s">
        <v>14954</v>
      </c>
      <c r="C3552">
        <v>-1.95</v>
      </c>
      <c r="D3552">
        <v>-0.2</v>
      </c>
      <c r="E3552">
        <v>-0.22</v>
      </c>
      <c r="F3552">
        <v>207</v>
      </c>
      <c r="G3552" t="s">
        <v>14955</v>
      </c>
      <c r="H3552">
        <v>28090.29</v>
      </c>
      <c r="I3552">
        <v>10.57</v>
      </c>
      <c r="J3552" t="s">
        <v>120</v>
      </c>
      <c r="K3552" t="s">
        <v>14956</v>
      </c>
      <c r="L3552">
        <v>0.68</v>
      </c>
      <c r="M3552">
        <v>173.06</v>
      </c>
      <c r="N3552">
        <v>1.19</v>
      </c>
      <c r="O3552">
        <v>0.21</v>
      </c>
      <c r="P3552">
        <v>176.88</v>
      </c>
      <c r="Q3552">
        <v>-4.82</v>
      </c>
      <c r="R3552">
        <v>168.01</v>
      </c>
      <c r="S3552">
        <v>176.13</v>
      </c>
      <c r="T3552">
        <v>16274</v>
      </c>
      <c r="U3552">
        <v>173.1</v>
      </c>
      <c r="V3552">
        <v>176.51</v>
      </c>
      <c r="W3552">
        <v>60.8</v>
      </c>
      <c r="X3552" t="s">
        <v>847</v>
      </c>
      <c r="Y3552" t="s">
        <v>937</v>
      </c>
      <c r="Z3552">
        <v>5.03</v>
      </c>
      <c r="AA3552">
        <v>172.61</v>
      </c>
      <c r="AB3552">
        <v>8802</v>
      </c>
      <c r="AC3552">
        <v>7472</v>
      </c>
      <c r="AD3552">
        <v>1.18</v>
      </c>
      <c r="AE3552">
        <v>60</v>
      </c>
      <c r="AF3552">
        <v>2</v>
      </c>
      <c r="AG3552" t="s">
        <v>120</v>
      </c>
      <c r="AH3552">
        <v>0</v>
      </c>
      <c r="AI3552" t="s">
        <v>120</v>
      </c>
      <c r="AJ3552">
        <v>2.4</v>
      </c>
      <c r="AK3552" t="s">
        <v>14957</v>
      </c>
      <c r="AL3552">
        <v>-0.61</v>
      </c>
      <c r="AM3552">
        <v>2783</v>
      </c>
      <c r="AN3552">
        <v>6</v>
      </c>
      <c r="AO3552">
        <v>2.0000000000000001E-4</v>
      </c>
      <c r="AP3552">
        <v>-1</v>
      </c>
      <c r="AQ3552">
        <v>4.0999999999999996</v>
      </c>
      <c r="AR3552">
        <v>4.46</v>
      </c>
      <c r="AS3552">
        <v>1.81</v>
      </c>
      <c r="AT3552">
        <v>-28.86</v>
      </c>
      <c r="AU3552">
        <v>-9.93</v>
      </c>
      <c r="AV3552">
        <v>3</v>
      </c>
      <c r="AW3552">
        <v>1.23</v>
      </c>
      <c r="AX3552">
        <v>53.93</v>
      </c>
      <c r="AY3552">
        <v>62.37</v>
      </c>
      <c r="AZ3552">
        <v>71.45</v>
      </c>
      <c r="BA3552">
        <v>1.76</v>
      </c>
      <c r="BB3552" t="s">
        <v>168</v>
      </c>
      <c r="BF3552">
        <v>-2.21</v>
      </c>
      <c r="BG3552">
        <v>-1.74</v>
      </c>
      <c r="BH3552">
        <v>-2.16</v>
      </c>
      <c r="BI3552">
        <v>3.01</v>
      </c>
      <c r="BJ3552">
        <v>20210903</v>
      </c>
      <c r="BK3552">
        <v>20170222</v>
      </c>
      <c r="BL3552">
        <v>2.44</v>
      </c>
      <c r="BM3552" t="s">
        <v>120</v>
      </c>
      <c r="BN3552" t="s">
        <v>120</v>
      </c>
      <c r="BO3552">
        <v>70.16</v>
      </c>
      <c r="BP3552">
        <v>173.06</v>
      </c>
      <c r="BQ3552">
        <v>47.14</v>
      </c>
      <c r="BR3552">
        <v>0.01</v>
      </c>
      <c r="BS3552">
        <v>32.799999999999997</v>
      </c>
      <c r="BT3552">
        <v>37.9</v>
      </c>
      <c r="BU3552">
        <v>22.24</v>
      </c>
      <c r="BV3552">
        <v>2.12</v>
      </c>
      <c r="BW3552">
        <v>21.21</v>
      </c>
      <c r="BX3552">
        <v>10.48</v>
      </c>
      <c r="BY3552">
        <v>17.829999999999998</v>
      </c>
      <c r="BZ3552">
        <v>1.88</v>
      </c>
      <c r="CA3552" t="s">
        <v>120</v>
      </c>
      <c r="CB3552">
        <v>24.05</v>
      </c>
      <c r="CC3552">
        <v>38.94</v>
      </c>
      <c r="CD3552">
        <v>29.57</v>
      </c>
      <c r="CE3552">
        <v>4.38</v>
      </c>
      <c r="CF3552">
        <v>0.06</v>
      </c>
      <c r="CG3552">
        <v>4.54</v>
      </c>
      <c r="CH3552">
        <v>3.48</v>
      </c>
      <c r="CI3552">
        <v>3.48</v>
      </c>
      <c r="CJ3552">
        <v>-3.45</v>
      </c>
      <c r="CK3552">
        <v>3.04</v>
      </c>
      <c r="CL3552">
        <v>20.72</v>
      </c>
      <c r="CM3552">
        <v>0.56000000000000005</v>
      </c>
      <c r="CN3552">
        <v>2.0099999999999998</v>
      </c>
      <c r="CO3552">
        <v>9606</v>
      </c>
      <c r="CP3552">
        <v>13722</v>
      </c>
      <c r="CQ3552" t="s">
        <v>14958</v>
      </c>
      <c r="CR3552">
        <v>33.83</v>
      </c>
      <c r="CS3552">
        <v>36.49</v>
      </c>
      <c r="CT3552">
        <v>8.9700000000000006</v>
      </c>
      <c r="CU3552">
        <v>759.38</v>
      </c>
      <c r="CV3552">
        <v>10.86</v>
      </c>
      <c r="CW3552">
        <v>0.42</v>
      </c>
      <c r="CX3552" t="s">
        <v>14050</v>
      </c>
      <c r="CY3552">
        <v>19.29</v>
      </c>
      <c r="CZ3552">
        <v>0</v>
      </c>
      <c r="DA3552">
        <v>9.84</v>
      </c>
      <c r="DB3552">
        <v>8.48</v>
      </c>
      <c r="DC3552">
        <v>0.23</v>
      </c>
      <c r="DD3552">
        <v>67.19</v>
      </c>
      <c r="DE3552" t="s">
        <v>8734</v>
      </c>
      <c r="DF3552">
        <v>24.05</v>
      </c>
      <c r="DG3552">
        <v>11.26</v>
      </c>
      <c r="DH3552">
        <v>8.93</v>
      </c>
      <c r="DI3552">
        <v>0.38</v>
      </c>
      <c r="DJ3552">
        <v>13225</v>
      </c>
      <c r="DK3552">
        <v>603345</v>
      </c>
      <c r="DL3552" t="s">
        <v>120</v>
      </c>
      <c r="DM3552" t="s">
        <v>120</v>
      </c>
      <c r="DN3552" t="s">
        <v>120</v>
      </c>
    </row>
    <row r="3553" spans="1:118">
      <c r="A3553" t="str">
        <f>"603348"</f>
        <v>603348</v>
      </c>
      <c r="B3553" t="s">
        <v>14959</v>
      </c>
      <c r="C3553">
        <v>-2.82</v>
      </c>
      <c r="D3553">
        <v>0</v>
      </c>
      <c r="E3553">
        <v>2.08</v>
      </c>
      <c r="F3553">
        <v>400</v>
      </c>
      <c r="G3553" t="s">
        <v>2345</v>
      </c>
      <c r="H3553">
        <v>15765.48</v>
      </c>
      <c r="I3553">
        <v>61.85</v>
      </c>
      <c r="J3553" t="s">
        <v>120</v>
      </c>
      <c r="K3553" t="s">
        <v>14568</v>
      </c>
      <c r="L3553">
        <v>1.97</v>
      </c>
      <c r="M3553">
        <v>31.32</v>
      </c>
      <c r="N3553">
        <v>1.43</v>
      </c>
      <c r="O3553">
        <v>2.08</v>
      </c>
      <c r="P3553">
        <v>32.9</v>
      </c>
      <c r="Q3553">
        <v>-5.93</v>
      </c>
      <c r="R3553">
        <v>30.32</v>
      </c>
      <c r="S3553">
        <v>32.9</v>
      </c>
      <c r="T3553">
        <v>50713</v>
      </c>
      <c r="U3553">
        <v>31.33</v>
      </c>
      <c r="V3553">
        <v>32.229999999999997</v>
      </c>
      <c r="W3553">
        <v>56.02</v>
      </c>
      <c r="X3553" t="s">
        <v>289</v>
      </c>
      <c r="Y3553" t="s">
        <v>547</v>
      </c>
      <c r="Z3553">
        <v>8</v>
      </c>
      <c r="AA3553">
        <v>31.09</v>
      </c>
      <c r="AB3553">
        <v>31730</v>
      </c>
      <c r="AC3553">
        <v>18983</v>
      </c>
      <c r="AD3553">
        <v>1.67</v>
      </c>
      <c r="AE3553">
        <v>36</v>
      </c>
      <c r="AF3553">
        <v>95</v>
      </c>
      <c r="AG3553" t="s">
        <v>120</v>
      </c>
      <c r="AH3553">
        <v>0.02</v>
      </c>
      <c r="AI3553" t="s">
        <v>120</v>
      </c>
      <c r="AJ3553">
        <v>2.57</v>
      </c>
      <c r="AK3553" t="s">
        <v>14960</v>
      </c>
      <c r="AL3553">
        <v>-1.48</v>
      </c>
      <c r="AM3553">
        <v>2856</v>
      </c>
      <c r="AN3553">
        <v>18</v>
      </c>
      <c r="AO3553">
        <v>6.9999999999999999E-4</v>
      </c>
      <c r="AP3553">
        <v>-4</v>
      </c>
      <c r="AQ3553">
        <v>-1.71</v>
      </c>
      <c r="AR3553">
        <v>-6.42</v>
      </c>
      <c r="AS3553">
        <v>-15.01</v>
      </c>
      <c r="AT3553">
        <v>-5.26</v>
      </c>
      <c r="AU3553">
        <v>14.94</v>
      </c>
      <c r="AV3553">
        <v>8</v>
      </c>
      <c r="AW3553">
        <v>4.72</v>
      </c>
      <c r="AX3553">
        <v>40.97</v>
      </c>
      <c r="AY3553">
        <v>68.87</v>
      </c>
      <c r="AZ3553">
        <v>100.82</v>
      </c>
      <c r="BA3553">
        <v>0.28999999999999998</v>
      </c>
      <c r="BB3553" t="s">
        <v>2725</v>
      </c>
      <c r="BF3553">
        <v>-3.55</v>
      </c>
      <c r="BG3553">
        <v>-4.8</v>
      </c>
      <c r="BH3553">
        <v>-4.8</v>
      </c>
      <c r="BI3553">
        <v>3.3</v>
      </c>
      <c r="BJ3553">
        <v>20210825</v>
      </c>
      <c r="BK3553">
        <v>20180426</v>
      </c>
      <c r="BL3553">
        <v>2.62</v>
      </c>
      <c r="BM3553" t="s">
        <v>120</v>
      </c>
      <c r="BN3553" t="s">
        <v>120</v>
      </c>
      <c r="BO3553">
        <v>56.02</v>
      </c>
      <c r="BP3553">
        <v>31.32</v>
      </c>
      <c r="BQ3553">
        <v>26.72</v>
      </c>
      <c r="BR3553" t="s">
        <v>120</v>
      </c>
      <c r="BS3553">
        <v>52.3</v>
      </c>
      <c r="BT3553">
        <v>20.260000000000002</v>
      </c>
      <c r="BU3553">
        <v>21.01</v>
      </c>
      <c r="BV3553">
        <v>3.4</v>
      </c>
      <c r="BW3553">
        <v>16.600000000000001</v>
      </c>
      <c r="BX3553">
        <v>5.33</v>
      </c>
      <c r="BY3553">
        <v>4.5999999999999996</v>
      </c>
      <c r="BZ3553">
        <v>8.2100000000000009</v>
      </c>
      <c r="CA3553" t="s">
        <v>120</v>
      </c>
      <c r="CB3553">
        <v>17.68</v>
      </c>
      <c r="CC3553">
        <v>20.329999999999998</v>
      </c>
      <c r="CD3553">
        <v>16.37</v>
      </c>
      <c r="CE3553">
        <v>0.8</v>
      </c>
      <c r="CF3553">
        <v>0</v>
      </c>
      <c r="CG3553">
        <v>0.79</v>
      </c>
      <c r="CH3553">
        <v>0.73</v>
      </c>
      <c r="CI3553">
        <v>0.73</v>
      </c>
      <c r="CJ3553">
        <v>-0.91</v>
      </c>
      <c r="CK3553">
        <v>0.7</v>
      </c>
      <c r="CL3553">
        <v>6.67</v>
      </c>
      <c r="CM3553">
        <v>2.2599999999999998</v>
      </c>
      <c r="CN3553">
        <v>-1.7</v>
      </c>
      <c r="CO3553">
        <v>13384</v>
      </c>
      <c r="CP3553">
        <v>8026</v>
      </c>
      <c r="CQ3553" t="s">
        <v>14961</v>
      </c>
      <c r="CR3553">
        <v>112.95</v>
      </c>
      <c r="CS3553">
        <v>215.37</v>
      </c>
      <c r="CT3553">
        <v>3.11</v>
      </c>
      <c r="CU3553">
        <v>36.26</v>
      </c>
      <c r="CV3553">
        <v>4.04</v>
      </c>
      <c r="CW3553">
        <v>0.46</v>
      </c>
      <c r="CX3553" t="s">
        <v>293</v>
      </c>
      <c r="CY3553">
        <v>10.08</v>
      </c>
      <c r="CZ3553">
        <v>10.08</v>
      </c>
      <c r="DA3553">
        <v>6.74</v>
      </c>
      <c r="DB3553">
        <v>2.54</v>
      </c>
      <c r="DC3553">
        <v>0.86</v>
      </c>
      <c r="DD3553">
        <v>47.7</v>
      </c>
      <c r="DE3553" t="s">
        <v>746</v>
      </c>
      <c r="DF3553">
        <v>19.48</v>
      </c>
      <c r="DG3553">
        <v>3.95</v>
      </c>
      <c r="DH3553">
        <v>3.61</v>
      </c>
      <c r="DI3553">
        <v>0.62</v>
      </c>
      <c r="DJ3553">
        <v>5611</v>
      </c>
      <c r="DK3553">
        <v>603348</v>
      </c>
      <c r="DL3553" t="s">
        <v>120</v>
      </c>
      <c r="DM3553" t="s">
        <v>120</v>
      </c>
      <c r="DN3553" t="s">
        <v>120</v>
      </c>
    </row>
    <row r="3554" spans="1:118">
      <c r="A3554" t="str">
        <f>"603351"</f>
        <v>603351</v>
      </c>
      <c r="B3554" t="s">
        <v>14962</v>
      </c>
      <c r="C3554">
        <v>-1.63</v>
      </c>
      <c r="D3554">
        <v>0</v>
      </c>
      <c r="E3554">
        <v>1.1599999999999999</v>
      </c>
      <c r="F3554">
        <v>717</v>
      </c>
      <c r="G3554" t="s">
        <v>1382</v>
      </c>
      <c r="H3554">
        <v>12764.72</v>
      </c>
      <c r="I3554">
        <v>296.83</v>
      </c>
      <c r="J3554" t="s">
        <v>120</v>
      </c>
      <c r="K3554" t="s">
        <v>10210</v>
      </c>
      <c r="L3554">
        <v>7.79</v>
      </c>
      <c r="M3554">
        <v>27.18</v>
      </c>
      <c r="N3554">
        <v>0.55000000000000004</v>
      </c>
      <c r="O3554">
        <v>3.11</v>
      </c>
      <c r="P3554">
        <v>28.49</v>
      </c>
      <c r="Q3554">
        <v>-2.64</v>
      </c>
      <c r="R3554">
        <v>26.9</v>
      </c>
      <c r="S3554">
        <v>27.95</v>
      </c>
      <c r="T3554">
        <v>46460</v>
      </c>
      <c r="U3554">
        <v>27.19</v>
      </c>
      <c r="V3554">
        <v>27.63</v>
      </c>
      <c r="W3554">
        <v>32.590000000000003</v>
      </c>
      <c r="X3554" t="s">
        <v>569</v>
      </c>
      <c r="Y3554" t="s">
        <v>319</v>
      </c>
      <c r="Z3554">
        <v>5.75</v>
      </c>
      <c r="AA3554">
        <v>27.47</v>
      </c>
      <c r="AB3554">
        <v>24098</v>
      </c>
      <c r="AC3554">
        <v>22362</v>
      </c>
      <c r="AD3554">
        <v>1.08</v>
      </c>
      <c r="AE3554">
        <v>14</v>
      </c>
      <c r="AF3554">
        <v>2</v>
      </c>
      <c r="AG3554" t="s">
        <v>120</v>
      </c>
      <c r="AH3554">
        <v>0.21</v>
      </c>
      <c r="AI3554" t="s">
        <v>120</v>
      </c>
      <c r="AJ3554">
        <v>0.6</v>
      </c>
      <c r="AK3554" t="s">
        <v>6442</v>
      </c>
      <c r="AL3554">
        <v>-0.28000000000000003</v>
      </c>
      <c r="AM3554">
        <v>2820</v>
      </c>
      <c r="AN3554">
        <v>16</v>
      </c>
      <c r="AO3554">
        <v>2.8E-3</v>
      </c>
      <c r="AP3554">
        <v>-1</v>
      </c>
      <c r="AQ3554">
        <v>3.79</v>
      </c>
      <c r="AR3554">
        <v>-6.31</v>
      </c>
      <c r="AS3554">
        <v>44.19</v>
      </c>
      <c r="AT3554">
        <v>34.549999999999997</v>
      </c>
      <c r="AU3554">
        <v>20.8</v>
      </c>
      <c r="AV3554">
        <v>4</v>
      </c>
      <c r="AW3554">
        <v>9.07</v>
      </c>
      <c r="AX3554">
        <v>37.81</v>
      </c>
      <c r="AY3554">
        <v>37.619999999999997</v>
      </c>
      <c r="AZ3554">
        <v>37.270000000000003</v>
      </c>
      <c r="BA3554">
        <v>0.86</v>
      </c>
      <c r="BB3554" t="s">
        <v>184</v>
      </c>
      <c r="BF3554">
        <v>-0.56000000000000005</v>
      </c>
      <c r="BG3554">
        <v>-2.75</v>
      </c>
      <c r="BH3554">
        <v>-4.5999999999999996</v>
      </c>
      <c r="BI3554">
        <v>1.04</v>
      </c>
      <c r="BJ3554">
        <v>20210806</v>
      </c>
      <c r="BK3554">
        <v>20190130</v>
      </c>
      <c r="BL3554">
        <v>1.35</v>
      </c>
      <c r="BM3554" t="s">
        <v>120</v>
      </c>
      <c r="BN3554" t="s">
        <v>120</v>
      </c>
      <c r="BO3554">
        <v>16.84</v>
      </c>
      <c r="BP3554">
        <v>27.18</v>
      </c>
      <c r="BQ3554">
        <v>13.18</v>
      </c>
      <c r="BR3554" t="s">
        <v>120</v>
      </c>
      <c r="BS3554">
        <v>21.74</v>
      </c>
      <c r="BT3554">
        <v>4.3</v>
      </c>
      <c r="BU3554">
        <v>2.89</v>
      </c>
      <c r="BV3554">
        <v>0.78</v>
      </c>
      <c r="BW3554">
        <v>3.48</v>
      </c>
      <c r="BX3554">
        <v>0.72</v>
      </c>
      <c r="BY3554">
        <v>1.4</v>
      </c>
      <c r="BZ3554">
        <v>1.1299999999999999</v>
      </c>
      <c r="CA3554" t="s">
        <v>120</v>
      </c>
      <c r="CB3554">
        <v>8.42</v>
      </c>
      <c r="CC3554">
        <v>4.8499999999999996</v>
      </c>
      <c r="CD3554">
        <v>3.33</v>
      </c>
      <c r="CE3554">
        <v>0.76</v>
      </c>
      <c r="CF3554">
        <v>0</v>
      </c>
      <c r="CG3554">
        <v>0.76</v>
      </c>
      <c r="CH3554">
        <v>0.56000000000000005</v>
      </c>
      <c r="CI3554">
        <v>0.56000000000000005</v>
      </c>
      <c r="CJ3554">
        <v>-0.45</v>
      </c>
      <c r="CK3554">
        <v>0.56000000000000005</v>
      </c>
      <c r="CL3554">
        <v>2.97</v>
      </c>
      <c r="CM3554">
        <v>-0.56000000000000005</v>
      </c>
      <c r="CN3554">
        <v>-0.04</v>
      </c>
      <c r="CO3554">
        <v>10689</v>
      </c>
      <c r="CP3554">
        <v>4792</v>
      </c>
      <c r="CQ3554" t="s">
        <v>6389</v>
      </c>
      <c r="CR3554">
        <v>-1.66</v>
      </c>
      <c r="CS3554">
        <v>45.9</v>
      </c>
      <c r="CT3554">
        <v>2.7</v>
      </c>
      <c r="CU3554">
        <v>-65.72</v>
      </c>
      <c r="CV3554">
        <v>7.6</v>
      </c>
      <c r="CW3554">
        <v>1.05</v>
      </c>
      <c r="CX3554" t="s">
        <v>1462</v>
      </c>
      <c r="CY3554">
        <v>10.09</v>
      </c>
      <c r="CZ3554">
        <v>10.09</v>
      </c>
      <c r="DA3554">
        <v>6.22</v>
      </c>
      <c r="DB3554">
        <v>2.2000000000000002</v>
      </c>
      <c r="DC3554">
        <v>-0.41</v>
      </c>
      <c r="DD3554">
        <v>78.260000000000005</v>
      </c>
      <c r="DE3554" t="s">
        <v>967</v>
      </c>
      <c r="DF3554">
        <v>31.4</v>
      </c>
      <c r="DG3554">
        <v>15.72</v>
      </c>
      <c r="DH3554">
        <v>11.65</v>
      </c>
      <c r="DI3554">
        <v>0.2</v>
      </c>
      <c r="DJ3554">
        <v>559</v>
      </c>
      <c r="DK3554">
        <v>603351</v>
      </c>
      <c r="DL3554">
        <v>20210909</v>
      </c>
      <c r="DM3554">
        <v>25.17</v>
      </c>
      <c r="DN3554">
        <v>7.99</v>
      </c>
    </row>
    <row r="3555" spans="1:118">
      <c r="A3555" t="str">
        <f>"603353"</f>
        <v>603353</v>
      </c>
      <c r="B3555" t="s">
        <v>14963</v>
      </c>
      <c r="C3555">
        <v>-4.0999999999999996</v>
      </c>
      <c r="D3555">
        <v>0.04</v>
      </c>
      <c r="E3555">
        <v>0.11</v>
      </c>
      <c r="F3555">
        <v>238</v>
      </c>
      <c r="G3555" t="s">
        <v>14964</v>
      </c>
      <c r="H3555">
        <v>8967.9599999999991</v>
      </c>
      <c r="I3555">
        <v>41.97</v>
      </c>
      <c r="J3555" t="s">
        <v>120</v>
      </c>
      <c r="K3555" t="s">
        <v>8363</v>
      </c>
      <c r="L3555">
        <v>5.49</v>
      </c>
      <c r="M3555">
        <v>25.72</v>
      </c>
      <c r="N3555">
        <v>0.81</v>
      </c>
      <c r="O3555">
        <v>1.27</v>
      </c>
      <c r="P3555">
        <v>27.16</v>
      </c>
      <c r="Q3555">
        <v>-4.33</v>
      </c>
      <c r="R3555">
        <v>25.66</v>
      </c>
      <c r="S3555">
        <v>26.85</v>
      </c>
      <c r="T3555">
        <v>33909</v>
      </c>
      <c r="U3555">
        <v>25.74</v>
      </c>
      <c r="V3555">
        <v>26.82</v>
      </c>
      <c r="W3555">
        <v>37.130000000000003</v>
      </c>
      <c r="X3555" t="s">
        <v>532</v>
      </c>
      <c r="Y3555" t="s">
        <v>594</v>
      </c>
      <c r="Z3555">
        <v>5.59</v>
      </c>
      <c r="AA3555">
        <v>26.45</v>
      </c>
      <c r="AB3555">
        <v>20441</v>
      </c>
      <c r="AC3555">
        <v>13468</v>
      </c>
      <c r="AD3555">
        <v>1.52</v>
      </c>
      <c r="AE3555">
        <v>92</v>
      </c>
      <c r="AF3555">
        <v>10</v>
      </c>
      <c r="AG3555" t="s">
        <v>120</v>
      </c>
      <c r="AH3555">
        <v>0.04</v>
      </c>
      <c r="AI3555" t="s">
        <v>120</v>
      </c>
      <c r="AJ3555">
        <v>0.62</v>
      </c>
      <c r="AK3555" t="s">
        <v>13030</v>
      </c>
      <c r="AL3555">
        <v>-2.76</v>
      </c>
      <c r="AM3555">
        <v>2429</v>
      </c>
      <c r="AN3555">
        <v>14</v>
      </c>
      <c r="AO3555">
        <v>2.3E-3</v>
      </c>
      <c r="AP3555">
        <v>-1</v>
      </c>
      <c r="AQ3555">
        <v>1.71</v>
      </c>
      <c r="AR3555">
        <v>2.06</v>
      </c>
      <c r="AS3555">
        <v>6.19</v>
      </c>
      <c r="AT3555">
        <v>-9.3800000000000008</v>
      </c>
      <c r="AU3555">
        <v>-11.54</v>
      </c>
      <c r="AV3555">
        <v>6</v>
      </c>
      <c r="AW3555">
        <v>7.81</v>
      </c>
      <c r="AX3555">
        <v>25.03</v>
      </c>
      <c r="AY3555">
        <v>28.22</v>
      </c>
      <c r="AZ3555">
        <v>27.28</v>
      </c>
      <c r="BA3555">
        <v>0.65</v>
      </c>
      <c r="BB3555" t="s">
        <v>143</v>
      </c>
      <c r="BF3555">
        <v>-1.39</v>
      </c>
      <c r="BG3555">
        <v>-4.21</v>
      </c>
      <c r="BH3555">
        <v>-5.3</v>
      </c>
      <c r="BI3555">
        <v>0.23</v>
      </c>
      <c r="BJ3555">
        <v>20210826</v>
      </c>
      <c r="BK3555">
        <v>20200407</v>
      </c>
      <c r="BL3555">
        <v>1.73</v>
      </c>
      <c r="BM3555" t="s">
        <v>120</v>
      </c>
      <c r="BN3555" t="s">
        <v>120</v>
      </c>
      <c r="BO3555">
        <v>20.98</v>
      </c>
      <c r="BP3555">
        <v>25.72</v>
      </c>
      <c r="BQ3555">
        <v>16.34</v>
      </c>
      <c r="BR3555">
        <v>0.05</v>
      </c>
      <c r="BS3555">
        <v>21.89</v>
      </c>
      <c r="BT3555">
        <v>10.45</v>
      </c>
      <c r="BU3555">
        <v>1.36</v>
      </c>
      <c r="BV3555">
        <v>3.39</v>
      </c>
      <c r="BW3555">
        <v>3.81</v>
      </c>
      <c r="BX3555">
        <v>5.23</v>
      </c>
      <c r="BY3555">
        <v>3.21</v>
      </c>
      <c r="BZ3555">
        <v>0.04</v>
      </c>
      <c r="CA3555" t="s">
        <v>120</v>
      </c>
      <c r="CB3555">
        <v>8.44</v>
      </c>
      <c r="CC3555">
        <v>15.25</v>
      </c>
      <c r="CD3555">
        <v>13.54</v>
      </c>
      <c r="CE3555">
        <v>0.81</v>
      </c>
      <c r="CF3555">
        <v>0.05</v>
      </c>
      <c r="CG3555">
        <v>0.81</v>
      </c>
      <c r="CH3555">
        <v>0.6</v>
      </c>
      <c r="CI3555">
        <v>0.6</v>
      </c>
      <c r="CJ3555">
        <v>-1.1000000000000001</v>
      </c>
      <c r="CK3555">
        <v>0.55000000000000004</v>
      </c>
      <c r="CL3555">
        <v>5.43</v>
      </c>
      <c r="CM3555">
        <v>-2.54</v>
      </c>
      <c r="CN3555">
        <v>-2.85</v>
      </c>
      <c r="CO3555">
        <v>12695</v>
      </c>
      <c r="CP3555">
        <v>3418</v>
      </c>
      <c r="CQ3555" t="s">
        <v>14194</v>
      </c>
      <c r="CR3555">
        <v>-8.6199999999999992</v>
      </c>
      <c r="CS3555">
        <v>100.28</v>
      </c>
      <c r="CT3555">
        <v>2.73</v>
      </c>
      <c r="CU3555">
        <v>-17.579999999999998</v>
      </c>
      <c r="CV3555">
        <v>2.92</v>
      </c>
      <c r="CW3555">
        <v>1.43</v>
      </c>
      <c r="CX3555" t="s">
        <v>269</v>
      </c>
      <c r="CY3555">
        <v>9.42</v>
      </c>
      <c r="CZ3555">
        <v>0</v>
      </c>
      <c r="DA3555">
        <v>4.8600000000000003</v>
      </c>
      <c r="DB3555">
        <v>3.13</v>
      </c>
      <c r="DC3555">
        <v>-1.46</v>
      </c>
      <c r="DD3555">
        <v>77.87</v>
      </c>
      <c r="DE3555" t="s">
        <v>2778</v>
      </c>
      <c r="DF3555">
        <v>11.22</v>
      </c>
      <c r="DG3555">
        <v>5.34</v>
      </c>
      <c r="DH3555">
        <v>3.94</v>
      </c>
      <c r="DI3555" t="s">
        <v>120</v>
      </c>
      <c r="DJ3555">
        <v>722</v>
      </c>
      <c r="DK3555">
        <v>603353</v>
      </c>
      <c r="DL3555" t="s">
        <v>120</v>
      </c>
      <c r="DM3555" t="s">
        <v>120</v>
      </c>
      <c r="DN3555" t="s">
        <v>120</v>
      </c>
    </row>
    <row r="3556" spans="1:118">
      <c r="A3556" t="str">
        <f>"603355"</f>
        <v>603355</v>
      </c>
      <c r="B3556" t="s">
        <v>14965</v>
      </c>
      <c r="C3556">
        <v>-3.28</v>
      </c>
      <c r="D3556">
        <v>-0.78</v>
      </c>
      <c r="E3556">
        <v>-0.04</v>
      </c>
      <c r="F3556">
        <v>3873</v>
      </c>
      <c r="G3556" t="s">
        <v>14966</v>
      </c>
      <c r="H3556">
        <v>4630.93</v>
      </c>
      <c r="I3556">
        <v>8.4</v>
      </c>
      <c r="J3556" t="s">
        <v>120</v>
      </c>
      <c r="K3556" t="s">
        <v>14967</v>
      </c>
      <c r="L3556">
        <v>0.31</v>
      </c>
      <c r="M3556">
        <v>26.21</v>
      </c>
      <c r="N3556">
        <v>1.25</v>
      </c>
      <c r="O3556">
        <v>1.1100000000000001</v>
      </c>
      <c r="P3556">
        <v>27.4</v>
      </c>
      <c r="Q3556">
        <v>-3.28</v>
      </c>
      <c r="R3556">
        <v>26.21</v>
      </c>
      <c r="S3556">
        <v>27.09</v>
      </c>
      <c r="T3556">
        <v>17392</v>
      </c>
      <c r="U3556">
        <v>26.41</v>
      </c>
      <c r="V3556">
        <v>27.1</v>
      </c>
      <c r="W3556">
        <v>22.72</v>
      </c>
      <c r="X3556" t="s">
        <v>205</v>
      </c>
      <c r="Y3556" t="s">
        <v>319</v>
      </c>
      <c r="Z3556">
        <v>4.3899999999999997</v>
      </c>
      <c r="AA3556">
        <v>26.63</v>
      </c>
      <c r="AB3556">
        <v>9661</v>
      </c>
      <c r="AC3556">
        <v>7731</v>
      </c>
      <c r="AD3556">
        <v>1.25</v>
      </c>
      <c r="AE3556">
        <v>454</v>
      </c>
      <c r="AF3556">
        <v>10</v>
      </c>
      <c r="AG3556" t="s">
        <v>120</v>
      </c>
      <c r="AH3556">
        <v>0</v>
      </c>
      <c r="AI3556" t="s">
        <v>120</v>
      </c>
      <c r="AJ3556">
        <v>5.61</v>
      </c>
      <c r="AK3556" t="s">
        <v>14968</v>
      </c>
      <c r="AL3556">
        <v>-1.94</v>
      </c>
      <c r="AM3556">
        <v>1866</v>
      </c>
      <c r="AN3556">
        <v>9</v>
      </c>
      <c r="AO3556">
        <v>2.0000000000000001E-4</v>
      </c>
      <c r="AP3556">
        <v>-4</v>
      </c>
      <c r="AQ3556">
        <v>-0.73</v>
      </c>
      <c r="AR3556">
        <v>-6.19</v>
      </c>
      <c r="AS3556">
        <v>-11.93</v>
      </c>
      <c r="AT3556">
        <v>-38.14</v>
      </c>
      <c r="AU3556">
        <v>29.99</v>
      </c>
      <c r="AV3556">
        <v>1</v>
      </c>
      <c r="AW3556">
        <v>1.78</v>
      </c>
      <c r="AX3556">
        <v>17.03</v>
      </c>
      <c r="AY3556">
        <v>38.22</v>
      </c>
      <c r="AZ3556">
        <v>47.51</v>
      </c>
      <c r="BA3556">
        <v>0.44</v>
      </c>
      <c r="BB3556" t="s">
        <v>143</v>
      </c>
      <c r="BF3556">
        <v>-1.75</v>
      </c>
      <c r="BG3556">
        <v>-3.25</v>
      </c>
      <c r="BH3556">
        <v>-4.34</v>
      </c>
      <c r="BI3556">
        <v>0</v>
      </c>
      <c r="BJ3556">
        <v>20210828</v>
      </c>
      <c r="BK3556">
        <v>20150513</v>
      </c>
      <c r="BL3556">
        <v>5.75</v>
      </c>
      <c r="BM3556" t="s">
        <v>120</v>
      </c>
      <c r="BN3556" t="s">
        <v>120</v>
      </c>
      <c r="BO3556">
        <v>78.48</v>
      </c>
      <c r="BP3556">
        <v>26.21</v>
      </c>
      <c r="BQ3556">
        <v>30.16</v>
      </c>
      <c r="BR3556">
        <v>0.02</v>
      </c>
      <c r="BS3556">
        <v>61.55</v>
      </c>
      <c r="BT3556">
        <v>65.47</v>
      </c>
      <c r="BU3556">
        <v>9.44</v>
      </c>
      <c r="BV3556">
        <v>1.46</v>
      </c>
      <c r="BW3556">
        <v>40.67</v>
      </c>
      <c r="BX3556">
        <v>38.159999999999997</v>
      </c>
      <c r="BY3556">
        <v>10.09</v>
      </c>
      <c r="BZ3556">
        <v>15.05</v>
      </c>
      <c r="CA3556" t="s">
        <v>120</v>
      </c>
      <c r="CB3556">
        <v>9.68</v>
      </c>
      <c r="CC3556">
        <v>40.700000000000003</v>
      </c>
      <c r="CD3556">
        <v>31.82</v>
      </c>
      <c r="CE3556">
        <v>3.56</v>
      </c>
      <c r="CF3556">
        <v>0</v>
      </c>
      <c r="CG3556">
        <v>3.62</v>
      </c>
      <c r="CH3556">
        <v>3.32</v>
      </c>
      <c r="CI3556">
        <v>3.32</v>
      </c>
      <c r="CJ3556">
        <v>-0.89</v>
      </c>
      <c r="CK3556">
        <v>3.12</v>
      </c>
      <c r="CL3556">
        <v>15.36</v>
      </c>
      <c r="CM3556">
        <v>1.93</v>
      </c>
      <c r="CN3556">
        <v>11.71</v>
      </c>
      <c r="CO3556">
        <v>9858</v>
      </c>
      <c r="CP3556">
        <v>9931</v>
      </c>
      <c r="CQ3556" t="s">
        <v>14969</v>
      </c>
      <c r="CR3556">
        <v>31.65</v>
      </c>
      <c r="CS3556">
        <v>60.59</v>
      </c>
      <c r="CT3556">
        <v>5</v>
      </c>
      <c r="CU3556">
        <v>78.22</v>
      </c>
      <c r="CV3556">
        <v>3.7</v>
      </c>
      <c r="CW3556">
        <v>5.27</v>
      </c>
      <c r="CX3556" t="s">
        <v>5694</v>
      </c>
      <c r="CY3556">
        <v>5.24</v>
      </c>
      <c r="CZ3556">
        <v>0</v>
      </c>
      <c r="DA3556">
        <v>1.68</v>
      </c>
      <c r="DB3556">
        <v>2.67</v>
      </c>
      <c r="DC3556">
        <v>0.34</v>
      </c>
      <c r="DD3556">
        <v>38.43</v>
      </c>
      <c r="DE3556" t="s">
        <v>6290</v>
      </c>
      <c r="DF3556">
        <v>21.82</v>
      </c>
      <c r="DG3556">
        <v>8.75</v>
      </c>
      <c r="DH3556">
        <v>8.15</v>
      </c>
      <c r="DI3556">
        <v>1.9</v>
      </c>
      <c r="DJ3556">
        <v>7622</v>
      </c>
      <c r="DK3556">
        <v>603355</v>
      </c>
      <c r="DL3556" t="s">
        <v>120</v>
      </c>
      <c r="DM3556" t="s">
        <v>120</v>
      </c>
      <c r="DN3556" t="s">
        <v>120</v>
      </c>
    </row>
    <row r="3557" spans="1:118">
      <c r="A3557" t="str">
        <f>"603356"</f>
        <v>603356</v>
      </c>
      <c r="B3557" t="s">
        <v>14970</v>
      </c>
      <c r="C3557">
        <v>5.72</v>
      </c>
      <c r="D3557">
        <v>0.39</v>
      </c>
      <c r="E3557">
        <v>0.17</v>
      </c>
      <c r="F3557">
        <v>972</v>
      </c>
      <c r="G3557" t="s">
        <v>14971</v>
      </c>
      <c r="H3557">
        <v>9514.42</v>
      </c>
      <c r="I3557">
        <v>19.690000000000001</v>
      </c>
      <c r="J3557" t="s">
        <v>120</v>
      </c>
      <c r="K3557" t="s">
        <v>14972</v>
      </c>
      <c r="L3557">
        <v>5.6</v>
      </c>
      <c r="M3557">
        <v>12.75</v>
      </c>
      <c r="N3557">
        <v>1.6</v>
      </c>
      <c r="O3557">
        <v>8.9600000000000009</v>
      </c>
      <c r="P3557">
        <v>13.14</v>
      </c>
      <c r="Q3557">
        <v>-0.83</v>
      </c>
      <c r="R3557">
        <v>11.96</v>
      </c>
      <c r="S3557">
        <v>12.08</v>
      </c>
      <c r="T3557">
        <v>74660</v>
      </c>
      <c r="U3557">
        <v>12.75</v>
      </c>
      <c r="V3557">
        <v>12.06</v>
      </c>
      <c r="W3557" t="s">
        <v>120</v>
      </c>
      <c r="X3557" t="s">
        <v>157</v>
      </c>
      <c r="Y3557" t="s">
        <v>570</v>
      </c>
      <c r="Z3557">
        <v>9.7799999999999994</v>
      </c>
      <c r="AA3557">
        <v>12.74</v>
      </c>
      <c r="AB3557">
        <v>33688</v>
      </c>
      <c r="AC3557">
        <v>40972</v>
      </c>
      <c r="AD3557">
        <v>0.82</v>
      </c>
      <c r="AE3557">
        <v>16</v>
      </c>
      <c r="AF3557">
        <v>340</v>
      </c>
      <c r="AG3557" t="s">
        <v>120</v>
      </c>
      <c r="AH3557">
        <v>0.02</v>
      </c>
      <c r="AI3557" t="s">
        <v>120</v>
      </c>
      <c r="AJ3557">
        <v>1.33</v>
      </c>
      <c r="AK3557" t="s">
        <v>14972</v>
      </c>
      <c r="AL3557">
        <v>7.07</v>
      </c>
      <c r="AM3557">
        <v>2348</v>
      </c>
      <c r="AN3557">
        <v>32</v>
      </c>
      <c r="AO3557">
        <v>2.3999999999999998E-3</v>
      </c>
      <c r="AP3557">
        <v>2</v>
      </c>
      <c r="AQ3557">
        <v>1.94</v>
      </c>
      <c r="AR3557">
        <v>7.69</v>
      </c>
      <c r="AS3557">
        <v>22.83</v>
      </c>
      <c r="AT3557">
        <v>26.36</v>
      </c>
      <c r="AU3557">
        <v>12.23</v>
      </c>
      <c r="AV3557">
        <v>0</v>
      </c>
      <c r="AW3557">
        <v>9.26</v>
      </c>
      <c r="AX3557">
        <v>60.46</v>
      </c>
      <c r="AY3557">
        <v>58.44</v>
      </c>
      <c r="AZ3557">
        <v>21.83</v>
      </c>
      <c r="BA3557">
        <v>0.7</v>
      </c>
      <c r="BB3557" t="s">
        <v>184</v>
      </c>
      <c r="BF3557">
        <v>5.67</v>
      </c>
      <c r="BG3557">
        <v>5.55</v>
      </c>
      <c r="BH3557">
        <v>-2.97</v>
      </c>
      <c r="BI3557">
        <v>6.61</v>
      </c>
      <c r="BJ3557">
        <v>20210826</v>
      </c>
      <c r="BK3557">
        <v>20180124</v>
      </c>
      <c r="BL3557">
        <v>1.33</v>
      </c>
      <c r="BM3557" t="s">
        <v>120</v>
      </c>
      <c r="BN3557" t="s">
        <v>120</v>
      </c>
      <c r="BO3557">
        <v>19.57</v>
      </c>
      <c r="BP3557">
        <v>12.71</v>
      </c>
      <c r="BQ3557">
        <v>7.72</v>
      </c>
      <c r="BR3557">
        <v>0.82</v>
      </c>
      <c r="BS3557">
        <v>56.36</v>
      </c>
      <c r="BT3557">
        <v>13.91</v>
      </c>
      <c r="BU3557">
        <v>3.35</v>
      </c>
      <c r="BV3557">
        <v>0.82</v>
      </c>
      <c r="BW3557">
        <v>7.13</v>
      </c>
      <c r="BX3557">
        <v>1.69</v>
      </c>
      <c r="BY3557">
        <v>2.39</v>
      </c>
      <c r="BZ3557">
        <v>7.9</v>
      </c>
      <c r="CA3557" t="s">
        <v>120</v>
      </c>
      <c r="CB3557">
        <v>3.12</v>
      </c>
      <c r="CC3557">
        <v>9.9600000000000009</v>
      </c>
      <c r="CD3557">
        <v>9.2100000000000009</v>
      </c>
      <c r="CE3557">
        <v>-0.03</v>
      </c>
      <c r="CF3557">
        <v>0</v>
      </c>
      <c r="CG3557">
        <v>-0.03</v>
      </c>
      <c r="CH3557">
        <v>-7.0000000000000007E-2</v>
      </c>
      <c r="CI3557">
        <v>-0.09</v>
      </c>
      <c r="CJ3557">
        <v>0.69</v>
      </c>
      <c r="CK3557">
        <v>-0.18</v>
      </c>
      <c r="CL3557">
        <v>3.07</v>
      </c>
      <c r="CM3557">
        <v>-0.71</v>
      </c>
      <c r="CN3557">
        <v>0.11</v>
      </c>
      <c r="CO3557">
        <v>11819</v>
      </c>
      <c r="CP3557">
        <v>6821</v>
      </c>
      <c r="CQ3557" t="s">
        <v>6489</v>
      </c>
      <c r="CR3557">
        <v>-123.86</v>
      </c>
      <c r="CS3557">
        <v>34.200000000000003</v>
      </c>
      <c r="CT3557">
        <v>2.2000000000000002</v>
      </c>
      <c r="CU3557">
        <v>-24.1</v>
      </c>
      <c r="CV3557">
        <v>1.71</v>
      </c>
      <c r="CW3557">
        <v>0</v>
      </c>
      <c r="CX3557" t="s">
        <v>809</v>
      </c>
      <c r="CY3557">
        <v>5.79</v>
      </c>
      <c r="CZ3557">
        <v>0</v>
      </c>
      <c r="DA3557">
        <v>2.34</v>
      </c>
      <c r="DB3557">
        <v>2.31</v>
      </c>
      <c r="DC3557">
        <v>-0.53</v>
      </c>
      <c r="DD3557">
        <v>39.47</v>
      </c>
      <c r="DE3557" t="s">
        <v>14973</v>
      </c>
      <c r="DF3557">
        <v>7.48</v>
      </c>
      <c r="DG3557">
        <v>-0.31</v>
      </c>
      <c r="DH3557">
        <v>-0.89</v>
      </c>
      <c r="DI3557">
        <v>0.19</v>
      </c>
      <c r="DJ3557">
        <v>1547</v>
      </c>
      <c r="DK3557">
        <v>603356</v>
      </c>
      <c r="DL3557" t="s">
        <v>120</v>
      </c>
      <c r="DM3557" t="s">
        <v>120</v>
      </c>
      <c r="DN3557" t="s">
        <v>120</v>
      </c>
    </row>
    <row r="3558" spans="1:118">
      <c r="A3558" t="str">
        <f>"603357"</f>
        <v>603357</v>
      </c>
      <c r="B3558" t="s">
        <v>14974</v>
      </c>
      <c r="C3558">
        <v>-0.32</v>
      </c>
      <c r="D3558">
        <v>-0.21</v>
      </c>
      <c r="E3558">
        <v>0</v>
      </c>
      <c r="F3558">
        <v>293</v>
      </c>
      <c r="G3558" t="s">
        <v>9286</v>
      </c>
      <c r="H3558">
        <v>3060.25</v>
      </c>
      <c r="I3558">
        <v>2.78</v>
      </c>
      <c r="J3558" t="s">
        <v>120</v>
      </c>
      <c r="K3558" t="s">
        <v>5048</v>
      </c>
      <c r="L3558">
        <v>0.72</v>
      </c>
      <c r="M3558">
        <v>9.23</v>
      </c>
      <c r="N3558">
        <v>1.1399999999999999</v>
      </c>
      <c r="O3558">
        <v>2.38</v>
      </c>
      <c r="P3558">
        <v>9.48</v>
      </c>
      <c r="Q3558">
        <v>-0.43</v>
      </c>
      <c r="R3558">
        <v>9.2200000000000006</v>
      </c>
      <c r="S3558">
        <v>9.26</v>
      </c>
      <c r="T3558">
        <v>32726</v>
      </c>
      <c r="U3558">
        <v>9.24</v>
      </c>
      <c r="V3558">
        <v>9.26</v>
      </c>
      <c r="W3558">
        <v>9.89</v>
      </c>
      <c r="X3558" t="s">
        <v>175</v>
      </c>
      <c r="Y3558" t="s">
        <v>570</v>
      </c>
      <c r="Z3558">
        <v>2.81</v>
      </c>
      <c r="AA3558">
        <v>9.35</v>
      </c>
      <c r="AB3558">
        <v>13069</v>
      </c>
      <c r="AC3558">
        <v>19657</v>
      </c>
      <c r="AD3558">
        <v>0.66</v>
      </c>
      <c r="AE3558">
        <v>224</v>
      </c>
      <c r="AF3558">
        <v>20</v>
      </c>
      <c r="AG3558" t="s">
        <v>120</v>
      </c>
      <c r="AH3558">
        <v>0</v>
      </c>
      <c r="AI3558" t="s">
        <v>120</v>
      </c>
      <c r="AJ3558">
        <v>4.55</v>
      </c>
      <c r="AK3558" t="s">
        <v>5048</v>
      </c>
      <c r="AL3558">
        <v>1.02</v>
      </c>
      <c r="AM3558">
        <v>2096</v>
      </c>
      <c r="AN3558">
        <v>16</v>
      </c>
      <c r="AO3558">
        <v>2.9999999999999997E-4</v>
      </c>
      <c r="AP3558">
        <v>-1</v>
      </c>
      <c r="AQ3558">
        <v>0.65</v>
      </c>
      <c r="AR3558">
        <v>-2.2200000000000002</v>
      </c>
      <c r="AS3558">
        <v>6.95</v>
      </c>
      <c r="AT3558">
        <v>5.25</v>
      </c>
      <c r="AU3558">
        <v>2.33</v>
      </c>
      <c r="AV3558">
        <v>0</v>
      </c>
      <c r="AW3558">
        <v>1.4</v>
      </c>
      <c r="AX3558">
        <v>51.37</v>
      </c>
      <c r="AY3558">
        <v>11.16</v>
      </c>
      <c r="AZ3558">
        <v>11.59</v>
      </c>
      <c r="BA3558">
        <v>0.72</v>
      </c>
      <c r="BB3558" t="s">
        <v>143</v>
      </c>
      <c r="BF3558">
        <v>0.98</v>
      </c>
      <c r="BG3558">
        <v>-0.32</v>
      </c>
      <c r="BH3558">
        <v>-2.64</v>
      </c>
      <c r="BI3558">
        <v>0.11</v>
      </c>
      <c r="BJ3558">
        <v>20210821</v>
      </c>
      <c r="BK3558">
        <v>20170801</v>
      </c>
      <c r="BL3558">
        <v>4.55</v>
      </c>
      <c r="BM3558" t="s">
        <v>120</v>
      </c>
      <c r="BN3558" t="s">
        <v>120</v>
      </c>
      <c r="BO3558">
        <v>41.36</v>
      </c>
      <c r="BP3558">
        <v>9.23</v>
      </c>
      <c r="BQ3558">
        <v>27.08</v>
      </c>
      <c r="BR3558">
        <v>0.05</v>
      </c>
      <c r="BS3558">
        <v>34.42</v>
      </c>
      <c r="BT3558">
        <v>34.89</v>
      </c>
      <c r="BU3558">
        <v>1.37</v>
      </c>
      <c r="BV3558">
        <v>0.87</v>
      </c>
      <c r="BW3558">
        <v>14.13</v>
      </c>
      <c r="BX3558">
        <v>7.05</v>
      </c>
      <c r="BY3558">
        <v>0</v>
      </c>
      <c r="BZ3558">
        <v>8.26</v>
      </c>
      <c r="CA3558" t="s">
        <v>120</v>
      </c>
      <c r="CB3558">
        <v>7.51</v>
      </c>
      <c r="CC3558">
        <v>11.13</v>
      </c>
      <c r="CD3558">
        <v>7.37</v>
      </c>
      <c r="CE3558">
        <v>2.5099999999999998</v>
      </c>
      <c r="CF3558">
        <v>0.05</v>
      </c>
      <c r="CG3558">
        <v>2.5099999999999998</v>
      </c>
      <c r="CH3558">
        <v>2.12</v>
      </c>
      <c r="CI3558">
        <v>2.12</v>
      </c>
      <c r="CJ3558">
        <v>-0.03</v>
      </c>
      <c r="CK3558">
        <v>2.04</v>
      </c>
      <c r="CL3558">
        <v>13.61</v>
      </c>
      <c r="CM3558">
        <v>-1.63</v>
      </c>
      <c r="CN3558">
        <v>-4.2300000000000004</v>
      </c>
      <c r="CO3558">
        <v>25971</v>
      </c>
      <c r="CP3558">
        <v>8991</v>
      </c>
      <c r="CQ3558" t="s">
        <v>10562</v>
      </c>
      <c r="CR3558">
        <v>7.11</v>
      </c>
      <c r="CS3558">
        <v>42.32</v>
      </c>
      <c r="CT3558">
        <v>1.55</v>
      </c>
      <c r="CU3558">
        <v>-25.78</v>
      </c>
      <c r="CV3558">
        <v>3.77</v>
      </c>
      <c r="CW3558">
        <v>2.7</v>
      </c>
      <c r="CX3558" t="s">
        <v>1071</v>
      </c>
      <c r="CY3558">
        <v>5.96</v>
      </c>
      <c r="CZ3558">
        <v>0</v>
      </c>
      <c r="DA3558">
        <v>1.65</v>
      </c>
      <c r="DB3558">
        <v>2.99</v>
      </c>
      <c r="DC3558">
        <v>-0.36</v>
      </c>
      <c r="DD3558">
        <v>65.47</v>
      </c>
      <c r="DE3558" t="s">
        <v>1427</v>
      </c>
      <c r="DF3558">
        <v>33.79</v>
      </c>
      <c r="DG3558">
        <v>22.54</v>
      </c>
      <c r="DH3558">
        <v>19.04</v>
      </c>
      <c r="DI3558">
        <v>0.38</v>
      </c>
      <c r="DJ3558">
        <v>1850</v>
      </c>
      <c r="DK3558">
        <v>603357</v>
      </c>
      <c r="DL3558" t="s">
        <v>120</v>
      </c>
      <c r="DM3558" t="s">
        <v>120</v>
      </c>
      <c r="DN3558" t="s">
        <v>120</v>
      </c>
    </row>
    <row r="3559" spans="1:118">
      <c r="A3559" t="str">
        <f>"603358"</f>
        <v>603358</v>
      </c>
      <c r="B3559" t="s">
        <v>14975</v>
      </c>
      <c r="C3559">
        <v>2.08</v>
      </c>
      <c r="D3559">
        <v>-0.05</v>
      </c>
      <c r="E3559">
        <v>0</v>
      </c>
      <c r="F3559">
        <v>308</v>
      </c>
      <c r="G3559" t="s">
        <v>4614</v>
      </c>
      <c r="H3559">
        <v>5013.33</v>
      </c>
      <c r="I3559">
        <v>0</v>
      </c>
      <c r="J3559" t="s">
        <v>120</v>
      </c>
      <c r="K3559" t="s">
        <v>1033</v>
      </c>
      <c r="L3559">
        <v>0.69</v>
      </c>
      <c r="M3559">
        <v>16.68</v>
      </c>
      <c r="N3559">
        <v>1.54</v>
      </c>
      <c r="O3559">
        <v>2.2599999999999998</v>
      </c>
      <c r="P3559">
        <v>16.71</v>
      </c>
      <c r="Q3559">
        <v>-1.59</v>
      </c>
      <c r="R3559">
        <v>16.079999999999998</v>
      </c>
      <c r="S3559">
        <v>16.34</v>
      </c>
      <c r="T3559">
        <v>30300</v>
      </c>
      <c r="U3559">
        <v>16.690000000000001</v>
      </c>
      <c r="V3559">
        <v>16.34</v>
      </c>
      <c r="W3559">
        <v>21.48</v>
      </c>
      <c r="X3559" t="s">
        <v>289</v>
      </c>
      <c r="Y3559" t="s">
        <v>319</v>
      </c>
      <c r="Z3559">
        <v>3.86</v>
      </c>
      <c r="AA3559">
        <v>16.55</v>
      </c>
      <c r="AB3559">
        <v>17174</v>
      </c>
      <c r="AC3559">
        <v>13126</v>
      </c>
      <c r="AD3559">
        <v>1.31</v>
      </c>
      <c r="AE3559">
        <v>244</v>
      </c>
      <c r="AF3559">
        <v>25</v>
      </c>
      <c r="AG3559" t="s">
        <v>120</v>
      </c>
      <c r="AH3559">
        <v>0</v>
      </c>
      <c r="AI3559" t="s">
        <v>120</v>
      </c>
      <c r="AJ3559">
        <v>4.3899999999999997</v>
      </c>
      <c r="AK3559" t="s">
        <v>1033</v>
      </c>
      <c r="AL3559">
        <v>3.42</v>
      </c>
      <c r="AM3559">
        <v>1590</v>
      </c>
      <c r="AN3559">
        <v>19</v>
      </c>
      <c r="AO3559">
        <v>4.0000000000000002E-4</v>
      </c>
      <c r="AP3559">
        <v>2</v>
      </c>
      <c r="AQ3559">
        <v>0.12</v>
      </c>
      <c r="AR3559">
        <v>0.91</v>
      </c>
      <c r="AS3559">
        <v>0.18</v>
      </c>
      <c r="AT3559">
        <v>-7.74</v>
      </c>
      <c r="AU3559">
        <v>26.43</v>
      </c>
      <c r="AV3559">
        <v>0</v>
      </c>
      <c r="AW3559">
        <v>2.14</v>
      </c>
      <c r="AX3559">
        <v>32.31</v>
      </c>
      <c r="AY3559">
        <v>22.35</v>
      </c>
      <c r="AZ3559">
        <v>31.31</v>
      </c>
      <c r="BA3559">
        <v>0</v>
      </c>
      <c r="BB3559" t="s">
        <v>143</v>
      </c>
      <c r="BF3559">
        <v>1.26</v>
      </c>
      <c r="BG3559">
        <v>2.08</v>
      </c>
      <c r="BH3559">
        <v>-0.18</v>
      </c>
      <c r="BI3559">
        <v>3.73</v>
      </c>
      <c r="BJ3559">
        <v>20210914</v>
      </c>
      <c r="BK3559">
        <v>20170125</v>
      </c>
      <c r="BL3559">
        <v>4.3899999999999997</v>
      </c>
      <c r="BM3559" t="s">
        <v>120</v>
      </c>
      <c r="BN3559" t="s">
        <v>120</v>
      </c>
      <c r="BO3559">
        <v>51.42</v>
      </c>
      <c r="BP3559">
        <v>16.68</v>
      </c>
      <c r="BQ3559">
        <v>28.23</v>
      </c>
      <c r="BR3559">
        <v>1.74</v>
      </c>
      <c r="BS3559">
        <v>41.72</v>
      </c>
      <c r="BT3559">
        <v>32.090000000000003</v>
      </c>
      <c r="BU3559">
        <v>11.72</v>
      </c>
      <c r="BV3559">
        <v>2.16</v>
      </c>
      <c r="BW3559">
        <v>20.47</v>
      </c>
      <c r="BX3559">
        <v>11.14</v>
      </c>
      <c r="BY3559">
        <v>11.67</v>
      </c>
      <c r="BZ3559">
        <v>6.91</v>
      </c>
      <c r="CA3559" t="s">
        <v>120</v>
      </c>
      <c r="CB3559">
        <v>12.47</v>
      </c>
      <c r="CC3559">
        <v>21.92</v>
      </c>
      <c r="CD3559">
        <v>17.87</v>
      </c>
      <c r="CE3559">
        <v>2.1</v>
      </c>
      <c r="CF3559">
        <v>0.12</v>
      </c>
      <c r="CG3559">
        <v>2.11</v>
      </c>
      <c r="CH3559">
        <v>1.82</v>
      </c>
      <c r="CI3559">
        <v>1.7</v>
      </c>
      <c r="CJ3559">
        <v>0.34</v>
      </c>
      <c r="CK3559">
        <v>1.57</v>
      </c>
      <c r="CL3559">
        <v>10.039999999999999</v>
      </c>
      <c r="CM3559">
        <v>2.66</v>
      </c>
      <c r="CN3559">
        <v>0.96</v>
      </c>
      <c r="CO3559">
        <v>9416</v>
      </c>
      <c r="CP3559">
        <v>15067</v>
      </c>
      <c r="CQ3559" t="s">
        <v>14976</v>
      </c>
      <c r="CR3559">
        <v>116.91</v>
      </c>
      <c r="CS3559">
        <v>45.7</v>
      </c>
      <c r="CT3559">
        <v>2.59</v>
      </c>
      <c r="CU3559">
        <v>27.57</v>
      </c>
      <c r="CV3559">
        <v>3.34</v>
      </c>
      <c r="CW3559">
        <v>1.88</v>
      </c>
      <c r="CX3559" t="s">
        <v>1980</v>
      </c>
      <c r="CY3559">
        <v>6.43</v>
      </c>
      <c r="CZ3559">
        <v>0</v>
      </c>
      <c r="DA3559">
        <v>2.84</v>
      </c>
      <c r="DB3559">
        <v>2.29</v>
      </c>
      <c r="DC3559">
        <v>0.6</v>
      </c>
      <c r="DD3559">
        <v>54.9</v>
      </c>
      <c r="DE3559" t="s">
        <v>8793</v>
      </c>
      <c r="DF3559">
        <v>18.47</v>
      </c>
      <c r="DG3559">
        <v>9.59</v>
      </c>
      <c r="DH3559">
        <v>7.78</v>
      </c>
      <c r="DI3559">
        <v>0.61</v>
      </c>
      <c r="DJ3559">
        <v>2401</v>
      </c>
      <c r="DK3559">
        <v>603358</v>
      </c>
      <c r="DL3559" t="s">
        <v>120</v>
      </c>
      <c r="DM3559" t="s">
        <v>120</v>
      </c>
      <c r="DN3559" t="s">
        <v>120</v>
      </c>
    </row>
    <row r="3560" spans="1:118">
      <c r="A3560" t="str">
        <f>"603359"</f>
        <v>603359</v>
      </c>
      <c r="B3560" t="s">
        <v>14977</v>
      </c>
      <c r="C3560">
        <v>0</v>
      </c>
      <c r="D3560">
        <v>0.48</v>
      </c>
      <c r="E3560">
        <v>0.66</v>
      </c>
      <c r="F3560">
        <v>722</v>
      </c>
      <c r="G3560" t="s">
        <v>14978</v>
      </c>
      <c r="H3560">
        <v>3989.66</v>
      </c>
      <c r="I3560">
        <v>5.83</v>
      </c>
      <c r="J3560" t="s">
        <v>120</v>
      </c>
      <c r="K3560" t="s">
        <v>539</v>
      </c>
      <c r="L3560">
        <v>0.84</v>
      </c>
      <c r="M3560">
        <v>10.53</v>
      </c>
      <c r="N3560">
        <v>0.56000000000000005</v>
      </c>
      <c r="O3560">
        <v>1.8</v>
      </c>
      <c r="P3560">
        <v>10.72</v>
      </c>
      <c r="Q3560">
        <v>-0.66</v>
      </c>
      <c r="R3560">
        <v>10.46</v>
      </c>
      <c r="S3560">
        <v>10.6</v>
      </c>
      <c r="T3560">
        <v>37684</v>
      </c>
      <c r="U3560">
        <v>10.53</v>
      </c>
      <c r="V3560">
        <v>10.53</v>
      </c>
      <c r="W3560">
        <v>8.4700000000000006</v>
      </c>
      <c r="X3560" t="s">
        <v>318</v>
      </c>
      <c r="Y3560" t="s">
        <v>319</v>
      </c>
      <c r="Z3560">
        <v>2.4700000000000002</v>
      </c>
      <c r="AA3560">
        <v>10.59</v>
      </c>
      <c r="AB3560">
        <v>20882</v>
      </c>
      <c r="AC3560">
        <v>16802</v>
      </c>
      <c r="AD3560">
        <v>1.24</v>
      </c>
      <c r="AE3560">
        <v>5</v>
      </c>
      <c r="AF3560">
        <v>95</v>
      </c>
      <c r="AG3560" t="s">
        <v>120</v>
      </c>
      <c r="AH3560">
        <v>0</v>
      </c>
      <c r="AI3560" t="s">
        <v>120</v>
      </c>
      <c r="AJ3560">
        <v>4.46</v>
      </c>
      <c r="AK3560" t="s">
        <v>539</v>
      </c>
      <c r="AL3560">
        <v>1.34</v>
      </c>
      <c r="AM3560">
        <v>1428</v>
      </c>
      <c r="AN3560">
        <v>26</v>
      </c>
      <c r="AO3560">
        <v>5.9999999999999995E-4</v>
      </c>
      <c r="AP3560">
        <v>0</v>
      </c>
      <c r="AQ3560">
        <v>-0.38</v>
      </c>
      <c r="AR3560">
        <v>-3.75</v>
      </c>
      <c r="AS3560">
        <v>2.73</v>
      </c>
      <c r="AT3560">
        <v>-9.06</v>
      </c>
      <c r="AU3560">
        <v>-6.64</v>
      </c>
      <c r="AV3560">
        <v>0</v>
      </c>
      <c r="AW3560">
        <v>1.76</v>
      </c>
      <c r="AX3560">
        <v>47.94</v>
      </c>
      <c r="AY3560">
        <v>11.47</v>
      </c>
      <c r="AZ3560">
        <v>12.35</v>
      </c>
      <c r="BA3560">
        <v>1.01</v>
      </c>
      <c r="BB3560" t="s">
        <v>143</v>
      </c>
      <c r="BF3560">
        <v>0.54</v>
      </c>
      <c r="BG3560">
        <v>-0.66</v>
      </c>
      <c r="BH3560">
        <v>-1.77</v>
      </c>
      <c r="BI3560">
        <v>0.67</v>
      </c>
      <c r="BJ3560">
        <v>20210820</v>
      </c>
      <c r="BK3560">
        <v>20170901</v>
      </c>
      <c r="BL3560">
        <v>4.46</v>
      </c>
      <c r="BM3560" t="s">
        <v>120</v>
      </c>
      <c r="BN3560" t="s">
        <v>120</v>
      </c>
      <c r="BO3560">
        <v>79.709999999999994</v>
      </c>
      <c r="BP3560">
        <v>10.52</v>
      </c>
      <c r="BQ3560">
        <v>34.049999999999997</v>
      </c>
      <c r="BR3560">
        <v>0.95</v>
      </c>
      <c r="BS3560">
        <v>56.1</v>
      </c>
      <c r="BT3560">
        <v>67.77</v>
      </c>
      <c r="BU3560">
        <v>0.24</v>
      </c>
      <c r="BV3560">
        <v>0.12</v>
      </c>
      <c r="BW3560">
        <v>44.71</v>
      </c>
      <c r="BX3560">
        <v>6.68</v>
      </c>
      <c r="BY3560">
        <v>0.09</v>
      </c>
      <c r="BZ3560">
        <v>8.2799999999999994</v>
      </c>
      <c r="CA3560" t="s">
        <v>120</v>
      </c>
      <c r="CB3560">
        <v>9.4499999999999993</v>
      </c>
      <c r="CC3560">
        <v>12.77</v>
      </c>
      <c r="CD3560">
        <v>8.7799999999999994</v>
      </c>
      <c r="CE3560">
        <v>3.26</v>
      </c>
      <c r="CF3560">
        <v>0.01</v>
      </c>
      <c r="CG3560">
        <v>3.26</v>
      </c>
      <c r="CH3560">
        <v>2.79</v>
      </c>
      <c r="CI3560">
        <v>2.77</v>
      </c>
      <c r="CJ3560">
        <v>0</v>
      </c>
      <c r="CK3560">
        <v>2.75</v>
      </c>
      <c r="CL3560">
        <v>18.809999999999999</v>
      </c>
      <c r="CM3560">
        <v>-2.73</v>
      </c>
      <c r="CN3560">
        <v>-3.25</v>
      </c>
      <c r="CO3560">
        <v>20136</v>
      </c>
      <c r="CP3560">
        <v>10621</v>
      </c>
      <c r="CQ3560" t="s">
        <v>14979</v>
      </c>
      <c r="CR3560">
        <v>11.79</v>
      </c>
      <c r="CS3560">
        <v>5.57</v>
      </c>
      <c r="CT3560">
        <v>1.38</v>
      </c>
      <c r="CU3560">
        <v>-17.23</v>
      </c>
      <c r="CV3560">
        <v>3.68</v>
      </c>
      <c r="CW3560">
        <v>1.36</v>
      </c>
      <c r="CX3560" t="s">
        <v>14980</v>
      </c>
      <c r="CY3560">
        <v>7.63</v>
      </c>
      <c r="CZ3560">
        <v>0</v>
      </c>
      <c r="DA3560">
        <v>2.12</v>
      </c>
      <c r="DB3560">
        <v>4.22</v>
      </c>
      <c r="DC3560">
        <v>-0.61</v>
      </c>
      <c r="DD3560">
        <v>42.72</v>
      </c>
      <c r="DE3560" t="s">
        <v>8916</v>
      </c>
      <c r="DF3560">
        <v>31.28</v>
      </c>
      <c r="DG3560">
        <v>25.56</v>
      </c>
      <c r="DH3560">
        <v>21.72</v>
      </c>
      <c r="DI3560">
        <v>0.31</v>
      </c>
      <c r="DJ3560">
        <v>461</v>
      </c>
      <c r="DK3560">
        <v>603359</v>
      </c>
      <c r="DL3560" t="s">
        <v>120</v>
      </c>
      <c r="DM3560" t="s">
        <v>120</v>
      </c>
      <c r="DN3560" t="s">
        <v>120</v>
      </c>
    </row>
    <row r="3561" spans="1:118">
      <c r="A3561" t="str">
        <f>"603360"</f>
        <v>603360</v>
      </c>
      <c r="B3561" t="s">
        <v>14981</v>
      </c>
      <c r="C3561">
        <v>0.21</v>
      </c>
      <c r="D3561">
        <v>-0.06</v>
      </c>
      <c r="E3561">
        <v>-7.0000000000000007E-2</v>
      </c>
      <c r="F3561">
        <v>258</v>
      </c>
      <c r="G3561" t="s">
        <v>8816</v>
      </c>
      <c r="H3561">
        <v>5680.98</v>
      </c>
      <c r="I3561">
        <v>7.74</v>
      </c>
      <c r="J3561" t="s">
        <v>120</v>
      </c>
      <c r="K3561" t="s">
        <v>2923</v>
      </c>
      <c r="L3561">
        <v>1.52</v>
      </c>
      <c r="M3561">
        <v>14.37</v>
      </c>
      <c r="N3561">
        <v>1.1599999999999999</v>
      </c>
      <c r="O3561">
        <v>3.56</v>
      </c>
      <c r="P3561">
        <v>14.85</v>
      </c>
      <c r="Q3561">
        <v>-0.28000000000000003</v>
      </c>
      <c r="R3561">
        <v>14.3</v>
      </c>
      <c r="S3561">
        <v>14.33</v>
      </c>
      <c r="T3561">
        <v>38986</v>
      </c>
      <c r="U3561">
        <v>14.37</v>
      </c>
      <c r="V3561">
        <v>14.34</v>
      </c>
      <c r="W3561">
        <v>15.25</v>
      </c>
      <c r="X3561" t="s">
        <v>868</v>
      </c>
      <c r="Y3561" t="s">
        <v>432</v>
      </c>
      <c r="Z3561">
        <v>3.84</v>
      </c>
      <c r="AA3561">
        <v>14.57</v>
      </c>
      <c r="AB3561">
        <v>17235</v>
      </c>
      <c r="AC3561">
        <v>21751</v>
      </c>
      <c r="AD3561">
        <v>0.79</v>
      </c>
      <c r="AE3561">
        <v>25</v>
      </c>
      <c r="AF3561">
        <v>14</v>
      </c>
      <c r="AG3561" t="s">
        <v>120</v>
      </c>
      <c r="AH3561">
        <v>0.01</v>
      </c>
      <c r="AI3561" t="s">
        <v>120</v>
      </c>
      <c r="AJ3561">
        <v>2.56</v>
      </c>
      <c r="AK3561" t="s">
        <v>3829</v>
      </c>
      <c r="AL3561">
        <v>1.55</v>
      </c>
      <c r="AM3561">
        <v>2162</v>
      </c>
      <c r="AN3561">
        <v>18</v>
      </c>
      <c r="AO3561">
        <v>6.9999999999999999E-4</v>
      </c>
      <c r="AP3561">
        <v>2</v>
      </c>
      <c r="AQ3561">
        <v>2.5</v>
      </c>
      <c r="AR3561">
        <v>0.7</v>
      </c>
      <c r="AS3561">
        <v>17.3</v>
      </c>
      <c r="AT3561">
        <v>2.79</v>
      </c>
      <c r="AU3561">
        <v>-1.98</v>
      </c>
      <c r="AV3561">
        <v>0</v>
      </c>
      <c r="AW3561">
        <v>3.65</v>
      </c>
      <c r="AX3561">
        <v>40.869999999999997</v>
      </c>
      <c r="AY3561">
        <v>17.28</v>
      </c>
      <c r="AZ3561">
        <v>16.899999999999999</v>
      </c>
      <c r="BA3561">
        <v>0.76</v>
      </c>
      <c r="BB3561" t="s">
        <v>184</v>
      </c>
      <c r="BF3561">
        <v>1.62</v>
      </c>
      <c r="BG3561">
        <v>0.28000000000000003</v>
      </c>
      <c r="BH3561">
        <v>-3.23</v>
      </c>
      <c r="BI3561">
        <v>0.49</v>
      </c>
      <c r="BJ3561">
        <v>20210824</v>
      </c>
      <c r="BK3561">
        <v>20170206</v>
      </c>
      <c r="BL3561">
        <v>2.61</v>
      </c>
      <c r="BM3561" t="s">
        <v>120</v>
      </c>
      <c r="BN3561" t="s">
        <v>120</v>
      </c>
      <c r="BO3561">
        <v>14.87</v>
      </c>
      <c r="BP3561">
        <v>14.36</v>
      </c>
      <c r="BQ3561">
        <v>9.1999999999999993</v>
      </c>
      <c r="BR3561" t="s">
        <v>120</v>
      </c>
      <c r="BS3561">
        <v>38.15</v>
      </c>
      <c r="BT3561">
        <v>5.41</v>
      </c>
      <c r="BU3561">
        <v>3.64</v>
      </c>
      <c r="BV3561">
        <v>0.92</v>
      </c>
      <c r="BW3561">
        <v>5.24</v>
      </c>
      <c r="BX3561">
        <v>2.4500000000000002</v>
      </c>
      <c r="BY3561">
        <v>0.82</v>
      </c>
      <c r="BZ3561">
        <v>1.72</v>
      </c>
      <c r="CA3561" t="s">
        <v>120</v>
      </c>
      <c r="CB3561">
        <v>1.37</v>
      </c>
      <c r="CC3561">
        <v>4.75</v>
      </c>
      <c r="CD3561">
        <v>2.6</v>
      </c>
      <c r="CE3561">
        <v>1.45</v>
      </c>
      <c r="CF3561">
        <v>0</v>
      </c>
      <c r="CG3561">
        <v>1.45</v>
      </c>
      <c r="CH3561">
        <v>1.23</v>
      </c>
      <c r="CI3561">
        <v>1.23</v>
      </c>
      <c r="CJ3561">
        <v>0.03</v>
      </c>
      <c r="CK3561">
        <v>1.2</v>
      </c>
      <c r="CL3561">
        <v>5.48</v>
      </c>
      <c r="CM3561">
        <v>0.93</v>
      </c>
      <c r="CN3561">
        <v>-0.21</v>
      </c>
      <c r="CO3561">
        <v>14580</v>
      </c>
      <c r="CP3561">
        <v>7326</v>
      </c>
      <c r="CQ3561" t="s">
        <v>14660</v>
      </c>
      <c r="CR3561">
        <v>-3.79</v>
      </c>
      <c r="CS3561">
        <v>19.48</v>
      </c>
      <c r="CT3561">
        <v>4.08</v>
      </c>
      <c r="CU3561">
        <v>40.51</v>
      </c>
      <c r="CV3561">
        <v>7.9</v>
      </c>
      <c r="CW3561">
        <v>4.01</v>
      </c>
      <c r="CX3561" t="s">
        <v>1071</v>
      </c>
      <c r="CY3561">
        <v>3.52</v>
      </c>
      <c r="CZ3561">
        <v>0</v>
      </c>
      <c r="DA3561">
        <v>0.53</v>
      </c>
      <c r="DB3561">
        <v>2.1</v>
      </c>
      <c r="DC3561">
        <v>0.35</v>
      </c>
      <c r="DD3561">
        <v>61.85</v>
      </c>
      <c r="DE3561" t="s">
        <v>14982</v>
      </c>
      <c r="DF3561">
        <v>45.31</v>
      </c>
      <c r="DG3561">
        <v>30.49</v>
      </c>
      <c r="DH3561">
        <v>25.91</v>
      </c>
      <c r="DI3561">
        <v>0.14000000000000001</v>
      </c>
      <c r="DJ3561">
        <v>869</v>
      </c>
      <c r="DK3561">
        <v>603360</v>
      </c>
      <c r="DL3561" t="s">
        <v>120</v>
      </c>
      <c r="DM3561" t="s">
        <v>120</v>
      </c>
      <c r="DN3561" t="s">
        <v>120</v>
      </c>
    </row>
    <row r="3562" spans="1:118">
      <c r="A3562" t="str">
        <f>"603363"</f>
        <v>603363</v>
      </c>
      <c r="B3562" t="s">
        <v>14983</v>
      </c>
      <c r="C3562">
        <v>4.16</v>
      </c>
      <c r="D3562">
        <v>-0.11</v>
      </c>
      <c r="E3562">
        <v>-0.24</v>
      </c>
      <c r="F3562">
        <v>1154</v>
      </c>
      <c r="G3562" t="s">
        <v>1860</v>
      </c>
      <c r="H3562">
        <v>12856.19</v>
      </c>
      <c r="I3562">
        <v>9.5399999999999991</v>
      </c>
      <c r="J3562" t="s">
        <v>120</v>
      </c>
      <c r="K3562" t="s">
        <v>2723</v>
      </c>
      <c r="L3562">
        <v>2.38</v>
      </c>
      <c r="M3562">
        <v>8.51</v>
      </c>
      <c r="N3562">
        <v>2.54</v>
      </c>
      <c r="O3562">
        <v>6.24</v>
      </c>
      <c r="P3562">
        <v>8.68</v>
      </c>
      <c r="Q3562">
        <v>-0.49</v>
      </c>
      <c r="R3562">
        <v>8.1300000000000008</v>
      </c>
      <c r="S3562">
        <v>8.15</v>
      </c>
      <c r="T3562">
        <v>151498</v>
      </c>
      <c r="U3562">
        <v>8.52</v>
      </c>
      <c r="V3562">
        <v>8.17</v>
      </c>
      <c r="W3562" t="s">
        <v>120</v>
      </c>
      <c r="X3562" t="s">
        <v>386</v>
      </c>
      <c r="Y3562" t="s">
        <v>937</v>
      </c>
      <c r="Z3562">
        <v>6.73</v>
      </c>
      <c r="AA3562">
        <v>8.49</v>
      </c>
      <c r="AB3562">
        <v>67864</v>
      </c>
      <c r="AC3562">
        <v>83634</v>
      </c>
      <c r="AD3562">
        <v>0.81</v>
      </c>
      <c r="AE3562">
        <v>216</v>
      </c>
      <c r="AF3562">
        <v>1131</v>
      </c>
      <c r="AG3562" t="s">
        <v>120</v>
      </c>
      <c r="AH3562">
        <v>0</v>
      </c>
      <c r="AI3562" t="s">
        <v>120</v>
      </c>
      <c r="AJ3562">
        <v>6.36</v>
      </c>
      <c r="AK3562" t="s">
        <v>14801</v>
      </c>
      <c r="AL3562">
        <v>5.51</v>
      </c>
      <c r="AM3562">
        <v>2941</v>
      </c>
      <c r="AN3562">
        <v>52</v>
      </c>
      <c r="AO3562">
        <v>8.0000000000000004E-4</v>
      </c>
      <c r="AP3562">
        <v>1</v>
      </c>
      <c r="AQ3562">
        <v>-0.61</v>
      </c>
      <c r="AR3562">
        <v>0.82</v>
      </c>
      <c r="AS3562">
        <v>-1.73</v>
      </c>
      <c r="AT3562">
        <v>-11.26</v>
      </c>
      <c r="AU3562">
        <v>-30.47</v>
      </c>
      <c r="AV3562">
        <v>4</v>
      </c>
      <c r="AW3562">
        <v>4.68</v>
      </c>
      <c r="AX3562">
        <v>47.2</v>
      </c>
      <c r="AY3562">
        <v>77.260000000000005</v>
      </c>
      <c r="AZ3562">
        <v>9.77</v>
      </c>
      <c r="BA3562">
        <v>0.54</v>
      </c>
      <c r="BB3562" t="s">
        <v>134</v>
      </c>
      <c r="BF3562">
        <v>3.87</v>
      </c>
      <c r="BG3562">
        <v>4.42</v>
      </c>
      <c r="BH3562">
        <v>-1.96</v>
      </c>
      <c r="BI3562">
        <v>4.67</v>
      </c>
      <c r="BJ3562">
        <v>20210831</v>
      </c>
      <c r="BK3562">
        <v>20170926</v>
      </c>
      <c r="BL3562">
        <v>6.85</v>
      </c>
      <c r="BM3562" t="s">
        <v>120</v>
      </c>
      <c r="BN3562" t="s">
        <v>120</v>
      </c>
      <c r="BO3562">
        <v>165.92</v>
      </c>
      <c r="BP3562">
        <v>8.51</v>
      </c>
      <c r="BQ3562">
        <v>26.62</v>
      </c>
      <c r="BR3562" t="s">
        <v>120</v>
      </c>
      <c r="BS3562">
        <v>83.96</v>
      </c>
      <c r="BT3562">
        <v>45.06</v>
      </c>
      <c r="BU3562">
        <v>48.94</v>
      </c>
      <c r="BV3562">
        <v>4.01</v>
      </c>
      <c r="BW3562">
        <v>82.57</v>
      </c>
      <c r="BX3562">
        <v>5.14</v>
      </c>
      <c r="BY3562">
        <v>24.61</v>
      </c>
      <c r="BZ3562">
        <v>6.03</v>
      </c>
      <c r="CA3562" t="s">
        <v>120</v>
      </c>
      <c r="CB3562">
        <v>15.31</v>
      </c>
      <c r="CC3562">
        <v>82.2</v>
      </c>
      <c r="CD3562">
        <v>74.53</v>
      </c>
      <c r="CE3562">
        <v>-1.0900000000000001</v>
      </c>
      <c r="CF3562">
        <v>0.06</v>
      </c>
      <c r="CG3562">
        <v>-1.05</v>
      </c>
      <c r="CH3562">
        <v>-0.97</v>
      </c>
      <c r="CI3562">
        <v>-1.63</v>
      </c>
      <c r="CJ3562">
        <v>0.34</v>
      </c>
      <c r="CK3562">
        <v>-1.79</v>
      </c>
      <c r="CL3562">
        <v>4.24</v>
      </c>
      <c r="CM3562">
        <v>2.5099999999999998</v>
      </c>
      <c r="CN3562">
        <v>-0.82</v>
      </c>
      <c r="CO3562">
        <v>47995</v>
      </c>
      <c r="CP3562">
        <v>6739</v>
      </c>
      <c r="CQ3562" t="s">
        <v>1461</v>
      </c>
      <c r="CR3562">
        <v>-148.12</v>
      </c>
      <c r="CS3562">
        <v>101.06</v>
      </c>
      <c r="CT3562">
        <v>2.3199999999999998</v>
      </c>
      <c r="CU3562">
        <v>23.23</v>
      </c>
      <c r="CV3562">
        <v>0.71</v>
      </c>
      <c r="CW3562">
        <v>1.84</v>
      </c>
      <c r="CX3562" t="s">
        <v>12865</v>
      </c>
      <c r="CY3562">
        <v>3.67</v>
      </c>
      <c r="CZ3562">
        <v>3.67</v>
      </c>
      <c r="DA3562">
        <v>2.23</v>
      </c>
      <c r="DB3562">
        <v>0.62</v>
      </c>
      <c r="DC3562">
        <v>0.37</v>
      </c>
      <c r="DD3562">
        <v>16.04</v>
      </c>
      <c r="DE3562" t="s">
        <v>14984</v>
      </c>
      <c r="DF3562">
        <v>9.34</v>
      </c>
      <c r="DG3562">
        <v>-1.33</v>
      </c>
      <c r="DH3562">
        <v>-1.98</v>
      </c>
      <c r="DI3562">
        <v>0.52</v>
      </c>
      <c r="DJ3562">
        <v>9233</v>
      </c>
      <c r="DK3562">
        <v>603363</v>
      </c>
      <c r="DL3562" t="s">
        <v>120</v>
      </c>
      <c r="DM3562" t="s">
        <v>120</v>
      </c>
      <c r="DN3562" t="s">
        <v>120</v>
      </c>
    </row>
    <row r="3563" spans="1:118">
      <c r="A3563" t="str">
        <f>"603365"</f>
        <v>603365</v>
      </c>
      <c r="B3563" t="s">
        <v>14985</v>
      </c>
      <c r="C3563">
        <v>0.18</v>
      </c>
      <c r="D3563">
        <v>-0.05</v>
      </c>
      <c r="E3563">
        <v>0.85</v>
      </c>
      <c r="F3563">
        <v>96</v>
      </c>
      <c r="G3563" t="s">
        <v>251</v>
      </c>
      <c r="H3563">
        <v>2562.9299999999998</v>
      </c>
      <c r="I3563">
        <v>0.99</v>
      </c>
      <c r="J3563" t="s">
        <v>120</v>
      </c>
      <c r="K3563" t="s">
        <v>14986</v>
      </c>
      <c r="L3563">
        <v>0.56999999999999995</v>
      </c>
      <c r="M3563">
        <v>16.41</v>
      </c>
      <c r="N3563">
        <v>1.52</v>
      </c>
      <c r="O3563">
        <v>5.01</v>
      </c>
      <c r="P3563">
        <v>17.2</v>
      </c>
      <c r="Q3563">
        <v>-0.24</v>
      </c>
      <c r="R3563">
        <v>16.34</v>
      </c>
      <c r="S3563">
        <v>16.52</v>
      </c>
      <c r="T3563">
        <v>15306</v>
      </c>
      <c r="U3563">
        <v>16.420000000000002</v>
      </c>
      <c r="V3563">
        <v>16.38</v>
      </c>
      <c r="W3563">
        <v>13.32</v>
      </c>
      <c r="X3563" t="s">
        <v>1766</v>
      </c>
      <c r="Y3563" t="s">
        <v>1510</v>
      </c>
      <c r="Z3563">
        <v>5.25</v>
      </c>
      <c r="AA3563">
        <v>16.739999999999998</v>
      </c>
      <c r="AB3563">
        <v>7368</v>
      </c>
      <c r="AC3563">
        <v>7938</v>
      </c>
      <c r="AD3563">
        <v>0.93</v>
      </c>
      <c r="AE3563">
        <v>31</v>
      </c>
      <c r="AF3563">
        <v>36</v>
      </c>
      <c r="AG3563" t="s">
        <v>120</v>
      </c>
      <c r="AH3563">
        <v>0</v>
      </c>
      <c r="AI3563" t="s">
        <v>120</v>
      </c>
      <c r="AJ3563">
        <v>2.67</v>
      </c>
      <c r="AK3563" t="s">
        <v>14986</v>
      </c>
      <c r="AL3563">
        <v>1.53</v>
      </c>
      <c r="AM3563">
        <v>1389</v>
      </c>
      <c r="AN3563">
        <v>11</v>
      </c>
      <c r="AO3563">
        <v>4.0000000000000002E-4</v>
      </c>
      <c r="AP3563">
        <v>1</v>
      </c>
      <c r="AQ3563">
        <v>-0.43</v>
      </c>
      <c r="AR3563">
        <v>-2.56</v>
      </c>
      <c r="AS3563">
        <v>14.28</v>
      </c>
      <c r="AT3563">
        <v>17.64</v>
      </c>
      <c r="AU3563">
        <v>26.72</v>
      </c>
      <c r="AV3563">
        <v>0</v>
      </c>
      <c r="AW3563">
        <v>1.42</v>
      </c>
      <c r="AX3563">
        <v>40.299999999999997</v>
      </c>
      <c r="AY3563">
        <v>12.72</v>
      </c>
      <c r="AZ3563">
        <v>15.91</v>
      </c>
      <c r="BA3563">
        <v>0.57999999999999996</v>
      </c>
      <c r="BB3563" t="s">
        <v>240</v>
      </c>
      <c r="BF3563">
        <v>2.23</v>
      </c>
      <c r="BG3563">
        <v>-0.67</v>
      </c>
      <c r="BH3563">
        <v>-4.59</v>
      </c>
      <c r="BI3563">
        <v>0.43</v>
      </c>
      <c r="BJ3563">
        <v>20210818</v>
      </c>
      <c r="BK3563">
        <v>20171120</v>
      </c>
      <c r="BL3563">
        <v>2.67</v>
      </c>
      <c r="BM3563" t="s">
        <v>120</v>
      </c>
      <c r="BN3563" t="s">
        <v>120</v>
      </c>
      <c r="BO3563">
        <v>31.98</v>
      </c>
      <c r="BP3563">
        <v>16.41</v>
      </c>
      <c r="BQ3563">
        <v>24.15</v>
      </c>
      <c r="BR3563" t="s">
        <v>120</v>
      </c>
      <c r="BS3563">
        <v>24.46</v>
      </c>
      <c r="BT3563">
        <v>23.66</v>
      </c>
      <c r="BU3563">
        <v>4.1399999999999997</v>
      </c>
      <c r="BV3563">
        <v>1.26</v>
      </c>
      <c r="BW3563">
        <v>6.79</v>
      </c>
      <c r="BX3563">
        <v>8.07</v>
      </c>
      <c r="BY3563">
        <v>9.94</v>
      </c>
      <c r="BZ3563">
        <v>1.71</v>
      </c>
      <c r="CA3563">
        <v>0</v>
      </c>
      <c r="CB3563">
        <v>8.9499999999999993</v>
      </c>
      <c r="CC3563">
        <v>16.190000000000001</v>
      </c>
      <c r="CD3563">
        <v>9.9700000000000006</v>
      </c>
      <c r="CE3563">
        <v>1.97</v>
      </c>
      <c r="CF3563">
        <v>0</v>
      </c>
      <c r="CG3563">
        <v>2.0499999999999998</v>
      </c>
      <c r="CH3563">
        <v>1.64</v>
      </c>
      <c r="CI3563">
        <v>1.64</v>
      </c>
      <c r="CJ3563">
        <v>0.03</v>
      </c>
      <c r="CK3563">
        <v>1.53</v>
      </c>
      <c r="CL3563">
        <v>11.43</v>
      </c>
      <c r="CM3563">
        <v>-0.35</v>
      </c>
      <c r="CN3563">
        <v>-2.0699999999999998</v>
      </c>
      <c r="CO3563">
        <v>9064</v>
      </c>
      <c r="CP3563">
        <v>11856</v>
      </c>
      <c r="CQ3563" t="s">
        <v>13841</v>
      </c>
      <c r="CR3563">
        <v>72.430000000000007</v>
      </c>
      <c r="CS3563">
        <v>38.799999999999997</v>
      </c>
      <c r="CT3563">
        <v>1.81</v>
      </c>
      <c r="CU3563">
        <v>-124.1</v>
      </c>
      <c r="CV3563">
        <v>2.7</v>
      </c>
      <c r="CW3563">
        <v>2.4300000000000002</v>
      </c>
      <c r="CX3563" t="s">
        <v>8995</v>
      </c>
      <c r="CY3563">
        <v>9.06</v>
      </c>
      <c r="CZ3563">
        <v>0</v>
      </c>
      <c r="DA3563">
        <v>3.36</v>
      </c>
      <c r="DB3563">
        <v>4.29</v>
      </c>
      <c r="DC3563">
        <v>-0.13</v>
      </c>
      <c r="DD3563">
        <v>75.540000000000006</v>
      </c>
      <c r="DE3563" t="s">
        <v>1948</v>
      </c>
      <c r="DF3563">
        <v>38.44</v>
      </c>
      <c r="DG3563">
        <v>12.19</v>
      </c>
      <c r="DH3563">
        <v>10.14</v>
      </c>
      <c r="DI3563">
        <v>0.3</v>
      </c>
      <c r="DJ3563">
        <v>3296</v>
      </c>
      <c r="DK3563">
        <v>603365</v>
      </c>
      <c r="DL3563" t="s">
        <v>120</v>
      </c>
      <c r="DM3563" t="s">
        <v>120</v>
      </c>
      <c r="DN3563" t="s">
        <v>120</v>
      </c>
    </row>
    <row r="3564" spans="1:118">
      <c r="A3564" t="str">
        <f>"603366"</f>
        <v>603366</v>
      </c>
      <c r="B3564" t="s">
        <v>14987</v>
      </c>
      <c r="C3564">
        <v>-1.25</v>
      </c>
      <c r="D3564">
        <v>-0.2</v>
      </c>
      <c r="E3564">
        <v>-0.21</v>
      </c>
      <c r="F3564">
        <v>257</v>
      </c>
      <c r="G3564" t="s">
        <v>12377</v>
      </c>
      <c r="H3564">
        <v>4804.75</v>
      </c>
      <c r="I3564">
        <v>12.52</v>
      </c>
      <c r="J3564" t="s">
        <v>120</v>
      </c>
      <c r="K3564" t="s">
        <v>14988</v>
      </c>
      <c r="L3564">
        <v>1.26</v>
      </c>
      <c r="M3564">
        <v>4.7300000000000004</v>
      </c>
      <c r="N3564">
        <v>1.1000000000000001</v>
      </c>
      <c r="O3564">
        <v>0.84</v>
      </c>
      <c r="P3564">
        <v>4.83</v>
      </c>
      <c r="Q3564">
        <v>-1.88</v>
      </c>
      <c r="R3564">
        <v>4.7</v>
      </c>
      <c r="S3564">
        <v>4.78</v>
      </c>
      <c r="T3564">
        <v>101005</v>
      </c>
      <c r="U3564">
        <v>4.7300000000000004</v>
      </c>
      <c r="V3564">
        <v>4.79</v>
      </c>
      <c r="W3564">
        <v>54.34</v>
      </c>
      <c r="X3564" t="s">
        <v>205</v>
      </c>
      <c r="Y3564" t="s">
        <v>319</v>
      </c>
      <c r="Z3564">
        <v>2.71</v>
      </c>
      <c r="AA3564">
        <v>4.76</v>
      </c>
      <c r="AB3564">
        <v>62164</v>
      </c>
      <c r="AC3564">
        <v>38841</v>
      </c>
      <c r="AD3564">
        <v>1.6</v>
      </c>
      <c r="AE3564">
        <v>952</v>
      </c>
      <c r="AF3564">
        <v>191</v>
      </c>
      <c r="AG3564" t="s">
        <v>120</v>
      </c>
      <c r="AH3564">
        <v>0.01</v>
      </c>
      <c r="AI3564" t="s">
        <v>120</v>
      </c>
      <c r="AJ3564">
        <v>8</v>
      </c>
      <c r="AK3564" t="s">
        <v>14988</v>
      </c>
      <c r="AL3564">
        <v>0.09</v>
      </c>
      <c r="AM3564">
        <v>1819</v>
      </c>
      <c r="AN3564">
        <v>56</v>
      </c>
      <c r="AO3564">
        <v>6.9999999999999999E-4</v>
      </c>
      <c r="AP3564">
        <v>-1</v>
      </c>
      <c r="AQ3564">
        <v>5.27</v>
      </c>
      <c r="AR3564">
        <v>0.21</v>
      </c>
      <c r="AS3564">
        <v>10.26</v>
      </c>
      <c r="AT3564">
        <v>-2.0699999999999998</v>
      </c>
      <c r="AU3564">
        <v>-6.61</v>
      </c>
      <c r="AV3564">
        <v>4</v>
      </c>
      <c r="AW3564">
        <v>3.28</v>
      </c>
      <c r="AX3564">
        <v>38.54</v>
      </c>
      <c r="AY3564">
        <v>21.72</v>
      </c>
      <c r="AZ3564">
        <v>22.53</v>
      </c>
      <c r="BA3564">
        <v>0.88</v>
      </c>
      <c r="BB3564" t="s">
        <v>184</v>
      </c>
      <c r="BF3564">
        <v>-0.69</v>
      </c>
      <c r="BG3564">
        <v>-1.05</v>
      </c>
      <c r="BH3564">
        <v>-2.0699999999999998</v>
      </c>
      <c r="BI3564">
        <v>0.64</v>
      </c>
      <c r="BJ3564">
        <v>20210819</v>
      </c>
      <c r="BK3564">
        <v>20120521</v>
      </c>
      <c r="BL3564">
        <v>8</v>
      </c>
      <c r="BM3564" t="s">
        <v>120</v>
      </c>
      <c r="BN3564" t="s">
        <v>120</v>
      </c>
      <c r="BO3564">
        <v>57.98</v>
      </c>
      <c r="BP3564">
        <v>4.72</v>
      </c>
      <c r="BQ3564">
        <v>32.78</v>
      </c>
      <c r="BR3564">
        <v>0.59</v>
      </c>
      <c r="BS3564">
        <v>42.45</v>
      </c>
      <c r="BT3564">
        <v>19.54</v>
      </c>
      <c r="BU3564">
        <v>10.71</v>
      </c>
      <c r="BV3564">
        <v>4.87</v>
      </c>
      <c r="BW3564">
        <v>22.95</v>
      </c>
      <c r="BX3564">
        <v>5.26</v>
      </c>
      <c r="BY3564">
        <v>6.03</v>
      </c>
      <c r="BZ3564">
        <v>2.74</v>
      </c>
      <c r="CA3564" t="s">
        <v>120</v>
      </c>
      <c r="CB3564">
        <v>18.010000000000002</v>
      </c>
      <c r="CC3564">
        <v>18.510000000000002</v>
      </c>
      <c r="CD3564">
        <v>12.62</v>
      </c>
      <c r="CE3564">
        <v>0.44</v>
      </c>
      <c r="CF3564">
        <v>0.16</v>
      </c>
      <c r="CG3564">
        <v>0.41</v>
      </c>
      <c r="CH3564">
        <v>0.34</v>
      </c>
      <c r="CI3564">
        <v>0.35</v>
      </c>
      <c r="CJ3564">
        <v>-0.06</v>
      </c>
      <c r="CK3564">
        <v>0.11</v>
      </c>
      <c r="CL3564">
        <v>4.71</v>
      </c>
      <c r="CM3564">
        <v>-0.56000000000000005</v>
      </c>
      <c r="CN3564">
        <v>-3.28</v>
      </c>
      <c r="CO3564">
        <v>41828</v>
      </c>
      <c r="CP3564">
        <v>7371</v>
      </c>
      <c r="CQ3564" t="s">
        <v>14989</v>
      </c>
      <c r="CR3564">
        <v>22.01</v>
      </c>
      <c r="CS3564">
        <v>29.96</v>
      </c>
      <c r="CT3564">
        <v>1.1499999999999999</v>
      </c>
      <c r="CU3564">
        <v>-67.900000000000006</v>
      </c>
      <c r="CV3564">
        <v>2.04</v>
      </c>
      <c r="CW3564">
        <v>2.61</v>
      </c>
      <c r="CX3564" t="s">
        <v>520</v>
      </c>
      <c r="CY3564">
        <v>4.0999999999999996</v>
      </c>
      <c r="CZ3564">
        <v>0</v>
      </c>
      <c r="DA3564">
        <v>2.25</v>
      </c>
      <c r="DB3564">
        <v>0.59</v>
      </c>
      <c r="DC3564">
        <v>-7.0000000000000007E-2</v>
      </c>
      <c r="DD3564">
        <v>56.54</v>
      </c>
      <c r="DE3564" t="s">
        <v>4331</v>
      </c>
      <c r="DF3564">
        <v>31.85</v>
      </c>
      <c r="DG3564">
        <v>2.36</v>
      </c>
      <c r="DH3564">
        <v>1.88</v>
      </c>
      <c r="DI3564">
        <v>0.46</v>
      </c>
      <c r="DJ3564">
        <v>4002</v>
      </c>
      <c r="DK3564">
        <v>603366</v>
      </c>
      <c r="DL3564" t="s">
        <v>120</v>
      </c>
      <c r="DM3564" t="s">
        <v>120</v>
      </c>
      <c r="DN3564" t="s">
        <v>120</v>
      </c>
    </row>
    <row r="3565" spans="1:118">
      <c r="A3565" t="str">
        <f>"603367"</f>
        <v>603367</v>
      </c>
      <c r="B3565" t="s">
        <v>14990</v>
      </c>
      <c r="C3565">
        <v>0.62</v>
      </c>
      <c r="D3565">
        <v>0.08</v>
      </c>
      <c r="E3565">
        <v>0.39</v>
      </c>
      <c r="F3565">
        <v>110</v>
      </c>
      <c r="G3565" t="s">
        <v>9625</v>
      </c>
      <c r="H3565">
        <v>2301.5700000000002</v>
      </c>
      <c r="I3565">
        <v>18.71</v>
      </c>
      <c r="J3565" t="s">
        <v>120</v>
      </c>
      <c r="K3565" t="s">
        <v>14991</v>
      </c>
      <c r="L3565">
        <v>0.4</v>
      </c>
      <c r="M3565">
        <v>12.93</v>
      </c>
      <c r="N3565">
        <v>1.04</v>
      </c>
      <c r="O3565">
        <v>1.71</v>
      </c>
      <c r="P3565">
        <v>13.07</v>
      </c>
      <c r="Q3565">
        <v>0.08</v>
      </c>
      <c r="R3565">
        <v>12.86</v>
      </c>
      <c r="S3565">
        <v>12.9</v>
      </c>
      <c r="T3565">
        <v>17743</v>
      </c>
      <c r="U3565">
        <v>12.93</v>
      </c>
      <c r="V3565">
        <v>12.85</v>
      </c>
      <c r="W3565">
        <v>16.04</v>
      </c>
      <c r="X3565" t="s">
        <v>569</v>
      </c>
      <c r="Y3565" t="s">
        <v>638</v>
      </c>
      <c r="Z3565">
        <v>1.63</v>
      </c>
      <c r="AA3565">
        <v>12.97</v>
      </c>
      <c r="AB3565">
        <v>8870</v>
      </c>
      <c r="AC3565">
        <v>8873</v>
      </c>
      <c r="AD3565">
        <v>1</v>
      </c>
      <c r="AE3565">
        <v>17</v>
      </c>
      <c r="AF3565">
        <v>7</v>
      </c>
      <c r="AG3565" t="s">
        <v>120</v>
      </c>
      <c r="AH3565">
        <v>0.01</v>
      </c>
      <c r="AI3565" t="s">
        <v>120</v>
      </c>
      <c r="AJ3565">
        <v>4.4800000000000004</v>
      </c>
      <c r="AK3565" t="s">
        <v>14992</v>
      </c>
      <c r="AL3565">
        <v>1.97</v>
      </c>
      <c r="AM3565">
        <v>1142</v>
      </c>
      <c r="AN3565">
        <v>16</v>
      </c>
      <c r="AO3565">
        <v>2.9999999999999997E-4</v>
      </c>
      <c r="AP3565">
        <v>2</v>
      </c>
      <c r="AQ3565">
        <v>0.63</v>
      </c>
      <c r="AR3565">
        <v>-0.15</v>
      </c>
      <c r="AS3565">
        <v>-1.52</v>
      </c>
      <c r="AT3565">
        <v>5.87</v>
      </c>
      <c r="AU3565">
        <v>-5.3</v>
      </c>
      <c r="AV3565">
        <v>0</v>
      </c>
      <c r="AW3565">
        <v>1.02</v>
      </c>
      <c r="AX3565">
        <v>38.200000000000003</v>
      </c>
      <c r="AY3565">
        <v>13.19</v>
      </c>
      <c r="AZ3565">
        <v>13.28</v>
      </c>
      <c r="BA3565">
        <v>0.35</v>
      </c>
      <c r="BB3565" t="s">
        <v>4676</v>
      </c>
      <c r="BF3565">
        <v>0.95</v>
      </c>
      <c r="BG3565">
        <v>0.23</v>
      </c>
      <c r="BH3565">
        <v>-1.07</v>
      </c>
      <c r="BI3565">
        <v>0.54</v>
      </c>
      <c r="BJ3565">
        <v>20210819</v>
      </c>
      <c r="BK3565">
        <v>20170929</v>
      </c>
      <c r="BL3565">
        <v>4.53</v>
      </c>
      <c r="BM3565" t="s">
        <v>120</v>
      </c>
      <c r="BN3565" t="s">
        <v>120</v>
      </c>
      <c r="BO3565">
        <v>59.94</v>
      </c>
      <c r="BP3565">
        <v>12.92</v>
      </c>
      <c r="BQ3565">
        <v>48.67</v>
      </c>
      <c r="BR3565">
        <v>0.01</v>
      </c>
      <c r="BS3565">
        <v>18.79</v>
      </c>
      <c r="BT3565">
        <v>36.96</v>
      </c>
      <c r="BU3565">
        <v>13.25</v>
      </c>
      <c r="BV3565">
        <v>2.04</v>
      </c>
      <c r="BW3565">
        <v>10.51</v>
      </c>
      <c r="BX3565">
        <v>3.58</v>
      </c>
      <c r="BY3565">
        <v>6.68</v>
      </c>
      <c r="BZ3565">
        <v>6.09</v>
      </c>
      <c r="CA3565" t="s">
        <v>120</v>
      </c>
      <c r="CB3565">
        <v>18.440000000000001</v>
      </c>
      <c r="CC3565">
        <v>18.32</v>
      </c>
      <c r="CD3565">
        <v>7.71</v>
      </c>
      <c r="CE3565">
        <v>1.96</v>
      </c>
      <c r="CF3565">
        <v>0.21</v>
      </c>
      <c r="CG3565">
        <v>1.96</v>
      </c>
      <c r="CH3565">
        <v>1.83</v>
      </c>
      <c r="CI3565">
        <v>1.83</v>
      </c>
      <c r="CJ3565">
        <v>0.08</v>
      </c>
      <c r="CK3565">
        <v>1.7</v>
      </c>
      <c r="CL3565">
        <v>23.96</v>
      </c>
      <c r="CM3565">
        <v>0.38</v>
      </c>
      <c r="CN3565">
        <v>-3.02</v>
      </c>
      <c r="CO3565">
        <v>30125</v>
      </c>
      <c r="CP3565">
        <v>5749</v>
      </c>
      <c r="CQ3565" t="s">
        <v>6497</v>
      </c>
      <c r="CR3565">
        <v>1.69</v>
      </c>
      <c r="CS3565">
        <v>10.46</v>
      </c>
      <c r="CT3565">
        <v>1.2</v>
      </c>
      <c r="CU3565">
        <v>155.13999999999999</v>
      </c>
      <c r="CV3565">
        <v>3.2</v>
      </c>
      <c r="CW3565">
        <v>1.99</v>
      </c>
      <c r="CX3565" t="s">
        <v>3527</v>
      </c>
      <c r="CY3565">
        <v>10.74</v>
      </c>
      <c r="CZ3565">
        <v>0</v>
      </c>
      <c r="DA3565">
        <v>4.07</v>
      </c>
      <c r="DB3565">
        <v>5.29</v>
      </c>
      <c r="DC3565">
        <v>0.08</v>
      </c>
      <c r="DD3565">
        <v>81.2</v>
      </c>
      <c r="DE3565" t="s">
        <v>6886</v>
      </c>
      <c r="DF3565">
        <v>57.91</v>
      </c>
      <c r="DG3565">
        <v>10.71</v>
      </c>
      <c r="DH3565">
        <v>9.9700000000000006</v>
      </c>
      <c r="DI3565">
        <v>1.58</v>
      </c>
      <c r="DJ3565">
        <v>3074</v>
      </c>
      <c r="DK3565">
        <v>603367</v>
      </c>
      <c r="DL3565" t="s">
        <v>120</v>
      </c>
      <c r="DM3565" t="s">
        <v>120</v>
      </c>
      <c r="DN3565" t="s">
        <v>120</v>
      </c>
    </row>
    <row r="3566" spans="1:118">
      <c r="A3566" t="str">
        <f>"603368"</f>
        <v>603368</v>
      </c>
      <c r="B3566" t="s">
        <v>14993</v>
      </c>
      <c r="C3566">
        <v>0</v>
      </c>
      <c r="D3566">
        <v>0</v>
      </c>
      <c r="E3566">
        <v>0.3</v>
      </c>
      <c r="F3566">
        <v>174</v>
      </c>
      <c r="G3566" t="s">
        <v>4517</v>
      </c>
      <c r="H3566">
        <v>4369.42</v>
      </c>
      <c r="I3566">
        <v>31.87</v>
      </c>
      <c r="J3566" t="s">
        <v>120</v>
      </c>
      <c r="K3566" t="s">
        <v>14994</v>
      </c>
      <c r="L3566">
        <v>0.72</v>
      </c>
      <c r="M3566">
        <v>16.55</v>
      </c>
      <c r="N3566">
        <v>1.07</v>
      </c>
      <c r="O3566">
        <v>1.87</v>
      </c>
      <c r="P3566">
        <v>16.86</v>
      </c>
      <c r="Q3566">
        <v>-0.06</v>
      </c>
      <c r="R3566">
        <v>16.54</v>
      </c>
      <c r="S3566">
        <v>16.600000000000001</v>
      </c>
      <c r="T3566">
        <v>26166</v>
      </c>
      <c r="U3566">
        <v>16.559999999999999</v>
      </c>
      <c r="V3566">
        <v>16.55</v>
      </c>
      <c r="W3566">
        <v>9.1</v>
      </c>
      <c r="X3566" t="s">
        <v>274</v>
      </c>
      <c r="Y3566" t="s">
        <v>945</v>
      </c>
      <c r="Z3566">
        <v>1.93</v>
      </c>
      <c r="AA3566">
        <v>16.7</v>
      </c>
      <c r="AB3566">
        <v>13582</v>
      </c>
      <c r="AC3566">
        <v>12584</v>
      </c>
      <c r="AD3566">
        <v>1.08</v>
      </c>
      <c r="AE3566">
        <v>387</v>
      </c>
      <c r="AF3566">
        <v>168</v>
      </c>
      <c r="AG3566" t="s">
        <v>120</v>
      </c>
      <c r="AH3566">
        <v>0.01</v>
      </c>
      <c r="AI3566" t="s">
        <v>120</v>
      </c>
      <c r="AJ3566">
        <v>3.61</v>
      </c>
      <c r="AK3566" t="s">
        <v>14995</v>
      </c>
      <c r="AL3566">
        <v>1.34</v>
      </c>
      <c r="AM3566">
        <v>1317</v>
      </c>
      <c r="AN3566">
        <v>20</v>
      </c>
      <c r="AO3566">
        <v>5.0000000000000001E-4</v>
      </c>
      <c r="AP3566">
        <v>0</v>
      </c>
      <c r="AQ3566">
        <v>-1.19</v>
      </c>
      <c r="AR3566">
        <v>-1.89</v>
      </c>
      <c r="AS3566">
        <v>-6.6</v>
      </c>
      <c r="AT3566">
        <v>-14.6</v>
      </c>
      <c r="AU3566">
        <v>-20.96</v>
      </c>
      <c r="AV3566">
        <v>0</v>
      </c>
      <c r="AW3566">
        <v>1</v>
      </c>
      <c r="AX3566">
        <v>71.86</v>
      </c>
      <c r="AY3566">
        <v>9.2799999999999994</v>
      </c>
      <c r="AZ3566">
        <v>8.43</v>
      </c>
      <c r="BA3566">
        <v>0.56000000000000005</v>
      </c>
      <c r="BB3566" t="s">
        <v>125</v>
      </c>
      <c r="BF3566">
        <v>0.9</v>
      </c>
      <c r="BG3566">
        <v>-0.3</v>
      </c>
      <c r="BH3566">
        <v>-1.84</v>
      </c>
      <c r="BI3566">
        <v>0.06</v>
      </c>
      <c r="BJ3566">
        <v>20210819</v>
      </c>
      <c r="BK3566">
        <v>20141204</v>
      </c>
      <c r="BL3566">
        <v>3.62</v>
      </c>
      <c r="BM3566" t="s">
        <v>120</v>
      </c>
      <c r="BN3566" t="s">
        <v>120</v>
      </c>
      <c r="BO3566">
        <v>163.16999999999999</v>
      </c>
      <c r="BP3566">
        <v>16.55</v>
      </c>
      <c r="BQ3566">
        <v>52.11</v>
      </c>
      <c r="BR3566">
        <v>3.6</v>
      </c>
      <c r="BS3566">
        <v>65.86</v>
      </c>
      <c r="BT3566">
        <v>139.26</v>
      </c>
      <c r="BU3566">
        <v>7.21</v>
      </c>
      <c r="BV3566">
        <v>2.1</v>
      </c>
      <c r="BW3566">
        <v>92.18</v>
      </c>
      <c r="BX3566">
        <v>25.16</v>
      </c>
      <c r="BY3566">
        <v>18.07</v>
      </c>
      <c r="BZ3566">
        <v>83.25</v>
      </c>
      <c r="CA3566" t="s">
        <v>120</v>
      </c>
      <c r="CB3566">
        <v>19.649999999999999</v>
      </c>
      <c r="CC3566">
        <v>83.23</v>
      </c>
      <c r="CD3566">
        <v>73.31</v>
      </c>
      <c r="CE3566">
        <v>4.28</v>
      </c>
      <c r="CF3566">
        <v>0.01</v>
      </c>
      <c r="CG3566">
        <v>4.3</v>
      </c>
      <c r="CH3566">
        <v>3.64</v>
      </c>
      <c r="CI3566">
        <v>3.29</v>
      </c>
      <c r="CJ3566">
        <v>0</v>
      </c>
      <c r="CK3566">
        <v>3.15</v>
      </c>
      <c r="CL3566">
        <v>24.74</v>
      </c>
      <c r="CM3566">
        <v>-11.16</v>
      </c>
      <c r="CN3566">
        <v>-11.48</v>
      </c>
      <c r="CO3566">
        <v>32364</v>
      </c>
      <c r="CP3566">
        <v>8047</v>
      </c>
      <c r="CQ3566" t="s">
        <v>14996</v>
      </c>
      <c r="CR3566">
        <v>-16.579999999999998</v>
      </c>
      <c r="CS3566">
        <v>9.9</v>
      </c>
      <c r="CT3566">
        <v>1.19</v>
      </c>
      <c r="CU3566">
        <v>-5.38</v>
      </c>
      <c r="CV3566">
        <v>0.72</v>
      </c>
      <c r="CW3566">
        <v>3.63</v>
      </c>
      <c r="CX3566" t="s">
        <v>2983</v>
      </c>
      <c r="CY3566">
        <v>13.95</v>
      </c>
      <c r="CZ3566">
        <v>13.95</v>
      </c>
      <c r="DA3566">
        <v>5.42</v>
      </c>
      <c r="DB3566">
        <v>6.83</v>
      </c>
      <c r="DC3566">
        <v>-3.08</v>
      </c>
      <c r="DD3566">
        <v>31.93</v>
      </c>
      <c r="DE3566" t="s">
        <v>1421</v>
      </c>
      <c r="DF3566">
        <v>11.91</v>
      </c>
      <c r="DG3566">
        <v>5.14</v>
      </c>
      <c r="DH3566">
        <v>3.96</v>
      </c>
      <c r="DI3566">
        <v>0.06</v>
      </c>
      <c r="DJ3566">
        <v>4706</v>
      </c>
      <c r="DK3566">
        <v>603368</v>
      </c>
      <c r="DL3566" t="s">
        <v>120</v>
      </c>
      <c r="DM3566" t="s">
        <v>120</v>
      </c>
      <c r="DN3566" t="s">
        <v>120</v>
      </c>
    </row>
    <row r="3567" spans="1:118">
      <c r="A3567" t="str">
        <f>"603369"</f>
        <v>603369</v>
      </c>
      <c r="B3567" t="s">
        <v>14997</v>
      </c>
      <c r="C3567">
        <v>0.47</v>
      </c>
      <c r="D3567">
        <v>-0.08</v>
      </c>
      <c r="E3567">
        <v>-0.14000000000000001</v>
      </c>
      <c r="F3567">
        <v>808</v>
      </c>
      <c r="G3567" t="s">
        <v>14998</v>
      </c>
      <c r="H3567">
        <v>37399.589999999997</v>
      </c>
      <c r="I3567">
        <v>369.57</v>
      </c>
      <c r="J3567" t="s">
        <v>120</v>
      </c>
      <c r="K3567" t="s">
        <v>14999</v>
      </c>
      <c r="L3567">
        <v>0.7</v>
      </c>
      <c r="M3567">
        <v>42.4</v>
      </c>
      <c r="N3567">
        <v>1.01</v>
      </c>
      <c r="O3567">
        <v>2.75</v>
      </c>
      <c r="P3567">
        <v>43.36</v>
      </c>
      <c r="Q3567">
        <v>-1.1100000000000001</v>
      </c>
      <c r="R3567">
        <v>41.73</v>
      </c>
      <c r="S3567">
        <v>42.14</v>
      </c>
      <c r="T3567">
        <v>87909</v>
      </c>
      <c r="U3567">
        <v>42.42</v>
      </c>
      <c r="V3567">
        <v>42.2</v>
      </c>
      <c r="W3567">
        <v>19.93</v>
      </c>
      <c r="X3567" t="s">
        <v>1165</v>
      </c>
      <c r="Y3567" t="s">
        <v>319</v>
      </c>
      <c r="Z3567">
        <v>3.86</v>
      </c>
      <c r="AA3567">
        <v>42.54</v>
      </c>
      <c r="AB3567">
        <v>43124</v>
      </c>
      <c r="AC3567">
        <v>44785</v>
      </c>
      <c r="AD3567">
        <v>0.96</v>
      </c>
      <c r="AE3567">
        <v>38</v>
      </c>
      <c r="AF3567">
        <v>2</v>
      </c>
      <c r="AG3567" t="s">
        <v>120</v>
      </c>
      <c r="AH3567">
        <v>0.01</v>
      </c>
      <c r="AI3567" t="s">
        <v>120</v>
      </c>
      <c r="AJ3567">
        <v>12.55</v>
      </c>
      <c r="AK3567" t="s">
        <v>14999</v>
      </c>
      <c r="AL3567">
        <v>1.82</v>
      </c>
      <c r="AM3567">
        <v>4036</v>
      </c>
      <c r="AN3567">
        <v>22</v>
      </c>
      <c r="AO3567">
        <v>2.0000000000000001E-4</v>
      </c>
      <c r="AP3567">
        <v>1</v>
      </c>
      <c r="AQ3567">
        <v>-3.72</v>
      </c>
      <c r="AR3567">
        <v>-3.42</v>
      </c>
      <c r="AS3567">
        <v>-0.21</v>
      </c>
      <c r="AT3567">
        <v>-19.91</v>
      </c>
      <c r="AU3567">
        <v>-25.52</v>
      </c>
      <c r="AV3567">
        <v>2</v>
      </c>
      <c r="AW3567">
        <v>1.27</v>
      </c>
      <c r="AX3567">
        <v>55.28</v>
      </c>
      <c r="AY3567">
        <v>28.13</v>
      </c>
      <c r="AZ3567">
        <v>33.79</v>
      </c>
      <c r="BA3567">
        <v>2.2000000000000002</v>
      </c>
      <c r="BB3567" t="s">
        <v>143</v>
      </c>
      <c r="BF3567">
        <v>0.81</v>
      </c>
      <c r="BG3567">
        <v>0.62</v>
      </c>
      <c r="BH3567">
        <v>-2.21</v>
      </c>
      <c r="BI3567">
        <v>1.61</v>
      </c>
      <c r="BJ3567">
        <v>20210825</v>
      </c>
      <c r="BK3567">
        <v>20140703</v>
      </c>
      <c r="BL3567">
        <v>12.55</v>
      </c>
      <c r="BM3567" t="s">
        <v>120</v>
      </c>
      <c r="BN3567" t="s">
        <v>120</v>
      </c>
      <c r="BO3567">
        <v>121.62</v>
      </c>
      <c r="BP3567">
        <v>42.4</v>
      </c>
      <c r="BQ3567">
        <v>90.38</v>
      </c>
      <c r="BR3567" t="s">
        <v>120</v>
      </c>
      <c r="BS3567">
        <v>25.69</v>
      </c>
      <c r="BT3567">
        <v>82.82</v>
      </c>
      <c r="BU3567">
        <v>9.99</v>
      </c>
      <c r="BV3567">
        <v>1.7</v>
      </c>
      <c r="BW3567">
        <v>30.08</v>
      </c>
      <c r="BX3567">
        <v>26.06</v>
      </c>
      <c r="BY3567">
        <v>26.26</v>
      </c>
      <c r="BZ3567">
        <v>0.56000000000000005</v>
      </c>
      <c r="CA3567" t="s">
        <v>120</v>
      </c>
      <c r="CB3567">
        <v>7.17</v>
      </c>
      <c r="CC3567">
        <v>38.51</v>
      </c>
      <c r="CD3567">
        <v>11.33</v>
      </c>
      <c r="CE3567">
        <v>17.77</v>
      </c>
      <c r="CF3567">
        <v>0.67</v>
      </c>
      <c r="CG3567">
        <v>17.77</v>
      </c>
      <c r="CH3567">
        <v>13.35</v>
      </c>
      <c r="CI3567">
        <v>13.35</v>
      </c>
      <c r="CJ3567">
        <v>0.2</v>
      </c>
      <c r="CK3567">
        <v>13.33</v>
      </c>
      <c r="CL3567">
        <v>64.17</v>
      </c>
      <c r="CM3567">
        <v>11.61</v>
      </c>
      <c r="CN3567">
        <v>-8.02</v>
      </c>
      <c r="CO3567">
        <v>63989</v>
      </c>
      <c r="CP3567">
        <v>10837</v>
      </c>
      <c r="CQ3567" t="s">
        <v>15000</v>
      </c>
      <c r="CR3567">
        <v>30.92</v>
      </c>
      <c r="CS3567">
        <v>32.200000000000003</v>
      </c>
      <c r="CT3567">
        <v>5.89</v>
      </c>
      <c r="CU3567">
        <v>45.83</v>
      </c>
      <c r="CV3567">
        <v>13.81</v>
      </c>
      <c r="CW3567">
        <v>1.07</v>
      </c>
      <c r="CX3567" t="s">
        <v>15001</v>
      </c>
      <c r="CY3567">
        <v>7.2</v>
      </c>
      <c r="CZ3567">
        <v>0</v>
      </c>
      <c r="DA3567">
        <v>0.56999999999999995</v>
      </c>
      <c r="DB3567">
        <v>5.12</v>
      </c>
      <c r="DC3567">
        <v>0.93</v>
      </c>
      <c r="DD3567">
        <v>74.31</v>
      </c>
      <c r="DE3567" t="s">
        <v>1489</v>
      </c>
      <c r="DF3567">
        <v>70.58</v>
      </c>
      <c r="DG3567">
        <v>46.16</v>
      </c>
      <c r="DH3567">
        <v>34.659999999999997</v>
      </c>
      <c r="DI3567">
        <v>0.09</v>
      </c>
      <c r="DJ3567">
        <v>3621</v>
      </c>
      <c r="DK3567">
        <v>603369</v>
      </c>
      <c r="DL3567" t="s">
        <v>120</v>
      </c>
      <c r="DM3567" t="s">
        <v>120</v>
      </c>
      <c r="DN3567" t="s">
        <v>120</v>
      </c>
    </row>
    <row r="3568" spans="1:118">
      <c r="A3568" t="str">
        <f>"603377"</f>
        <v>603377</v>
      </c>
      <c r="B3568" t="s">
        <v>15002</v>
      </c>
      <c r="C3568">
        <v>-1.23</v>
      </c>
      <c r="D3568">
        <v>-0.11</v>
      </c>
      <c r="E3568">
        <v>-0.37</v>
      </c>
      <c r="F3568">
        <v>1582</v>
      </c>
      <c r="G3568" t="s">
        <v>15003</v>
      </c>
      <c r="H3568">
        <v>6786.91</v>
      </c>
      <c r="I3568">
        <v>18.13</v>
      </c>
      <c r="J3568" t="s">
        <v>120</v>
      </c>
      <c r="K3568" t="s">
        <v>10885</v>
      </c>
      <c r="L3568">
        <v>1.1499999999999999</v>
      </c>
      <c r="M3568">
        <v>8.06</v>
      </c>
      <c r="N3568">
        <v>0.84</v>
      </c>
      <c r="O3568">
        <v>0.37</v>
      </c>
      <c r="P3568">
        <v>8.19</v>
      </c>
      <c r="Q3568">
        <v>-1.23</v>
      </c>
      <c r="R3568">
        <v>8.06</v>
      </c>
      <c r="S3568">
        <v>8.1300000000000008</v>
      </c>
      <c r="T3568">
        <v>83710</v>
      </c>
      <c r="U3568">
        <v>8.07</v>
      </c>
      <c r="V3568">
        <v>8.16</v>
      </c>
      <c r="W3568">
        <v>34.76</v>
      </c>
      <c r="X3568" t="s">
        <v>253</v>
      </c>
      <c r="Y3568" t="s">
        <v>158</v>
      </c>
      <c r="Z3568">
        <v>1.59</v>
      </c>
      <c r="AA3568">
        <v>8.11</v>
      </c>
      <c r="AB3568">
        <v>56144</v>
      </c>
      <c r="AC3568">
        <v>27566</v>
      </c>
      <c r="AD3568">
        <v>2.04</v>
      </c>
      <c r="AE3568">
        <v>1173</v>
      </c>
      <c r="AF3568">
        <v>66</v>
      </c>
      <c r="AG3568" t="s">
        <v>120</v>
      </c>
      <c r="AH3568">
        <v>0.01</v>
      </c>
      <c r="AI3568" t="s">
        <v>120</v>
      </c>
      <c r="AJ3568">
        <v>7.28</v>
      </c>
      <c r="AK3568" t="s">
        <v>10885</v>
      </c>
      <c r="AL3568">
        <v>0.12</v>
      </c>
      <c r="AM3568">
        <v>2473</v>
      </c>
      <c r="AN3568">
        <v>34</v>
      </c>
      <c r="AO3568">
        <v>5.0000000000000001E-4</v>
      </c>
      <c r="AP3568">
        <v>-1</v>
      </c>
      <c r="AQ3568">
        <v>0.12</v>
      </c>
      <c r="AR3568">
        <v>-3.02</v>
      </c>
      <c r="AS3568">
        <v>-2.1800000000000002</v>
      </c>
      <c r="AT3568">
        <v>-20.98</v>
      </c>
      <c r="AU3568">
        <v>-49.82</v>
      </c>
      <c r="AV3568">
        <v>0</v>
      </c>
      <c r="AW3568">
        <v>2.58</v>
      </c>
      <c r="AX3568">
        <v>44.54</v>
      </c>
      <c r="AY3568">
        <v>26.29</v>
      </c>
      <c r="AZ3568">
        <v>36.880000000000003</v>
      </c>
      <c r="BA3568">
        <v>0.93</v>
      </c>
      <c r="BB3568" t="s">
        <v>143</v>
      </c>
      <c r="BF3568">
        <v>-0.64</v>
      </c>
      <c r="BG3568">
        <v>-0.86</v>
      </c>
      <c r="BH3568">
        <v>-1.59</v>
      </c>
      <c r="BI3568">
        <v>0</v>
      </c>
      <c r="BJ3568">
        <v>20210914</v>
      </c>
      <c r="BK3568">
        <v>20160205</v>
      </c>
      <c r="BL3568">
        <v>7.28</v>
      </c>
      <c r="BM3568" t="s">
        <v>120</v>
      </c>
      <c r="BN3568" t="s">
        <v>120</v>
      </c>
      <c r="BO3568">
        <v>45.82</v>
      </c>
      <c r="BP3568">
        <v>8.06</v>
      </c>
      <c r="BQ3568">
        <v>20.98</v>
      </c>
      <c r="BR3568">
        <v>2.64</v>
      </c>
      <c r="BS3568">
        <v>48.46</v>
      </c>
      <c r="BT3568">
        <v>5.73</v>
      </c>
      <c r="BU3568">
        <v>12.61</v>
      </c>
      <c r="BV3568">
        <v>7.82</v>
      </c>
      <c r="BW3568">
        <v>18.88</v>
      </c>
      <c r="BX3568">
        <v>3.63</v>
      </c>
      <c r="BY3568">
        <v>0.49</v>
      </c>
      <c r="BZ3568">
        <v>0.18</v>
      </c>
      <c r="CA3568" t="s">
        <v>120</v>
      </c>
      <c r="CB3568">
        <v>8.19</v>
      </c>
      <c r="CC3568">
        <v>5.48</v>
      </c>
      <c r="CD3568">
        <v>2.75</v>
      </c>
      <c r="CE3568">
        <v>0.95</v>
      </c>
      <c r="CF3568">
        <v>-0.01</v>
      </c>
      <c r="CG3568">
        <v>1.1100000000000001</v>
      </c>
      <c r="CH3568">
        <v>0.8</v>
      </c>
      <c r="CI3568">
        <v>0.84</v>
      </c>
      <c r="CJ3568">
        <v>-0.1</v>
      </c>
      <c r="CK3568">
        <v>0.59</v>
      </c>
      <c r="CL3568">
        <v>6.08</v>
      </c>
      <c r="CM3568">
        <v>2.2999999999999998</v>
      </c>
      <c r="CN3568">
        <v>-2.2400000000000002</v>
      </c>
      <c r="CO3568">
        <v>19427</v>
      </c>
      <c r="CP3568">
        <v>16688</v>
      </c>
      <c r="CQ3568" t="s">
        <v>2412</v>
      </c>
      <c r="CR3568">
        <v>332.35</v>
      </c>
      <c r="CS3568">
        <v>128.69999999999999</v>
      </c>
      <c r="CT3568">
        <v>2.82</v>
      </c>
      <c r="CU3568">
        <v>25.46</v>
      </c>
      <c r="CV3568">
        <v>10.7</v>
      </c>
      <c r="CW3568">
        <v>0.84</v>
      </c>
      <c r="CX3568" t="s">
        <v>1147</v>
      </c>
      <c r="CY3568">
        <v>2.86</v>
      </c>
      <c r="CZ3568">
        <v>2.86</v>
      </c>
      <c r="DA3568">
        <v>1.1299999999999999</v>
      </c>
      <c r="DB3568">
        <v>0.84</v>
      </c>
      <c r="DC3568">
        <v>0.32</v>
      </c>
      <c r="DD3568">
        <v>45.78</v>
      </c>
      <c r="DE3568" t="s">
        <v>1363</v>
      </c>
      <c r="DF3568">
        <v>49.85</v>
      </c>
      <c r="DG3568">
        <v>17.329999999999998</v>
      </c>
      <c r="DH3568">
        <v>15.4</v>
      </c>
      <c r="DI3568">
        <v>0.14000000000000001</v>
      </c>
      <c r="DJ3568">
        <v>3994</v>
      </c>
      <c r="DK3568">
        <v>603377</v>
      </c>
      <c r="DL3568" t="s">
        <v>120</v>
      </c>
      <c r="DM3568" t="s">
        <v>120</v>
      </c>
      <c r="DN3568" t="s">
        <v>120</v>
      </c>
    </row>
    <row r="3569" spans="1:118">
      <c r="A3569" t="str">
        <f>"603378"</f>
        <v>603378</v>
      </c>
      <c r="B3569" t="s">
        <v>15004</v>
      </c>
      <c r="C3569">
        <v>-3.32</v>
      </c>
      <c r="D3569">
        <v>0.2</v>
      </c>
      <c r="E3569">
        <v>-0.31</v>
      </c>
      <c r="F3569">
        <v>144</v>
      </c>
      <c r="G3569" t="s">
        <v>9175</v>
      </c>
      <c r="H3569">
        <v>6612.55</v>
      </c>
      <c r="I3569">
        <v>16.59</v>
      </c>
      <c r="J3569" t="s">
        <v>120</v>
      </c>
      <c r="K3569" t="s">
        <v>15005</v>
      </c>
      <c r="L3569">
        <v>0.93</v>
      </c>
      <c r="M3569">
        <v>24.76</v>
      </c>
      <c r="N3569">
        <v>0.88</v>
      </c>
      <c r="O3569">
        <v>3.98</v>
      </c>
      <c r="P3569">
        <v>26.63</v>
      </c>
      <c r="Q3569">
        <v>-3.94</v>
      </c>
      <c r="R3569">
        <v>24.6</v>
      </c>
      <c r="S3569">
        <v>25.53</v>
      </c>
      <c r="T3569">
        <v>25960</v>
      </c>
      <c r="U3569">
        <v>24.76</v>
      </c>
      <c r="V3569">
        <v>25.61</v>
      </c>
      <c r="W3569">
        <v>61.86</v>
      </c>
      <c r="X3569" t="s">
        <v>1145</v>
      </c>
      <c r="Y3569" t="s">
        <v>1510</v>
      </c>
      <c r="Z3569">
        <v>7.93</v>
      </c>
      <c r="AA3569">
        <v>25.47</v>
      </c>
      <c r="AB3569">
        <v>15153</v>
      </c>
      <c r="AC3569">
        <v>10807</v>
      </c>
      <c r="AD3569">
        <v>1.4</v>
      </c>
      <c r="AE3569">
        <v>60</v>
      </c>
      <c r="AF3569">
        <v>63</v>
      </c>
      <c r="AG3569" t="s">
        <v>120</v>
      </c>
      <c r="AH3569">
        <v>0.01</v>
      </c>
      <c r="AI3569" t="s">
        <v>120</v>
      </c>
      <c r="AJ3569">
        <v>2.79</v>
      </c>
      <c r="AK3569" t="s">
        <v>15006</v>
      </c>
      <c r="AL3569">
        <v>-1.98</v>
      </c>
      <c r="AM3569">
        <v>2470</v>
      </c>
      <c r="AN3569">
        <v>11</v>
      </c>
      <c r="AO3569">
        <v>4.0000000000000002E-4</v>
      </c>
      <c r="AP3569">
        <v>-3</v>
      </c>
      <c r="AQ3569">
        <v>-4.72</v>
      </c>
      <c r="AR3569">
        <v>-12.69</v>
      </c>
      <c r="AS3569">
        <v>-27.34</v>
      </c>
      <c r="AT3569">
        <v>-36.020000000000003</v>
      </c>
      <c r="AU3569">
        <v>-15.03</v>
      </c>
      <c r="AV3569">
        <v>3</v>
      </c>
      <c r="AW3569">
        <v>2.69</v>
      </c>
      <c r="AX3569">
        <v>32.33</v>
      </c>
      <c r="AY3569">
        <v>28.93</v>
      </c>
      <c r="AZ3569">
        <v>24.26</v>
      </c>
      <c r="BA3569">
        <v>0.83</v>
      </c>
      <c r="BB3569" t="s">
        <v>134</v>
      </c>
      <c r="BF3569">
        <v>-0.54</v>
      </c>
      <c r="BG3569">
        <v>-3.02</v>
      </c>
      <c r="BH3569">
        <v>-7.02</v>
      </c>
      <c r="BI3569">
        <v>0.65</v>
      </c>
      <c r="BJ3569">
        <v>20210818</v>
      </c>
      <c r="BK3569">
        <v>20170928</v>
      </c>
      <c r="BL3569">
        <v>2.99</v>
      </c>
      <c r="BM3569" t="s">
        <v>120</v>
      </c>
      <c r="BN3569" t="s">
        <v>120</v>
      </c>
      <c r="BO3569">
        <v>67.86</v>
      </c>
      <c r="BP3569">
        <v>24.73</v>
      </c>
      <c r="BQ3569">
        <v>20.29</v>
      </c>
      <c r="BR3569" t="s">
        <v>120</v>
      </c>
      <c r="BS3569">
        <v>70.099999999999994</v>
      </c>
      <c r="BT3569">
        <v>46.42</v>
      </c>
      <c r="BU3569">
        <v>6.93</v>
      </c>
      <c r="BV3569">
        <v>5.87</v>
      </c>
      <c r="BW3569">
        <v>42.4</v>
      </c>
      <c r="BX3569">
        <v>6.02</v>
      </c>
      <c r="BY3569">
        <v>3.45</v>
      </c>
      <c r="BZ3569">
        <v>21.44</v>
      </c>
      <c r="CA3569">
        <v>0.02</v>
      </c>
      <c r="CB3569">
        <v>9.81</v>
      </c>
      <c r="CC3569">
        <v>23.04</v>
      </c>
      <c r="CD3569">
        <v>17.36</v>
      </c>
      <c r="CE3569">
        <v>0.67</v>
      </c>
      <c r="CF3569">
        <v>0.01</v>
      </c>
      <c r="CG3569">
        <v>0.66</v>
      </c>
      <c r="CH3569">
        <v>0.6</v>
      </c>
      <c r="CI3569">
        <v>0.6</v>
      </c>
      <c r="CJ3569">
        <v>-0.85</v>
      </c>
      <c r="CK3569">
        <v>0.25</v>
      </c>
      <c r="CL3569">
        <v>8.49</v>
      </c>
      <c r="CM3569">
        <v>-6.78</v>
      </c>
      <c r="CN3569">
        <v>-8.42</v>
      </c>
      <c r="CO3569">
        <v>10375</v>
      </c>
      <c r="CP3569">
        <v>9316</v>
      </c>
      <c r="CQ3569" t="s">
        <v>15007</v>
      </c>
      <c r="CR3569">
        <v>-45.99</v>
      </c>
      <c r="CS3569">
        <v>81.22</v>
      </c>
      <c r="CT3569">
        <v>3.65</v>
      </c>
      <c r="CU3569">
        <v>-10.92</v>
      </c>
      <c r="CV3569">
        <v>3.21</v>
      </c>
      <c r="CW3569">
        <v>1.24</v>
      </c>
      <c r="CX3569" t="s">
        <v>492</v>
      </c>
      <c r="CY3569">
        <v>6.79</v>
      </c>
      <c r="CZ3569">
        <v>0</v>
      </c>
      <c r="DA3569">
        <v>3.28</v>
      </c>
      <c r="DB3569">
        <v>2.84</v>
      </c>
      <c r="DC3569">
        <v>-2.27</v>
      </c>
      <c r="DD3569">
        <v>29.9</v>
      </c>
      <c r="DE3569" t="s">
        <v>2859</v>
      </c>
      <c r="DF3569">
        <v>24.63</v>
      </c>
      <c r="DG3569">
        <v>2.91</v>
      </c>
      <c r="DH3569">
        <v>2.6</v>
      </c>
      <c r="DI3569">
        <v>0.44</v>
      </c>
      <c r="DJ3569">
        <v>4445</v>
      </c>
      <c r="DK3569">
        <v>603378</v>
      </c>
      <c r="DL3569" t="s">
        <v>120</v>
      </c>
      <c r="DM3569" t="s">
        <v>120</v>
      </c>
      <c r="DN3569" t="s">
        <v>120</v>
      </c>
    </row>
    <row r="3570" spans="1:118">
      <c r="A3570" t="str">
        <f>"603379"</f>
        <v>603379</v>
      </c>
      <c r="B3570" t="s">
        <v>15008</v>
      </c>
      <c r="C3570">
        <v>-2.0699999999999998</v>
      </c>
      <c r="D3570">
        <v>-0.63</v>
      </c>
      <c r="E3570">
        <v>4.55</v>
      </c>
      <c r="F3570">
        <v>3921</v>
      </c>
      <c r="G3570" t="s">
        <v>15009</v>
      </c>
      <c r="H3570">
        <v>93252.15</v>
      </c>
      <c r="I3570">
        <v>2197.44</v>
      </c>
      <c r="J3570" t="s">
        <v>120</v>
      </c>
      <c r="K3570" t="s">
        <v>15010</v>
      </c>
      <c r="L3570">
        <v>13.2</v>
      </c>
      <c r="M3570">
        <v>35.5</v>
      </c>
      <c r="N3570">
        <v>1.28</v>
      </c>
      <c r="O3570">
        <v>4.83</v>
      </c>
      <c r="P3570">
        <v>38</v>
      </c>
      <c r="Q3570">
        <v>-2.62</v>
      </c>
      <c r="R3570">
        <v>35.299999999999997</v>
      </c>
      <c r="S3570">
        <v>37.9</v>
      </c>
      <c r="T3570">
        <v>254828</v>
      </c>
      <c r="U3570">
        <v>35.549999999999997</v>
      </c>
      <c r="V3570">
        <v>36.25</v>
      </c>
      <c r="W3570">
        <v>76.58</v>
      </c>
      <c r="X3570" t="s">
        <v>868</v>
      </c>
      <c r="Y3570" t="s">
        <v>585</v>
      </c>
      <c r="Z3570">
        <v>7.45</v>
      </c>
      <c r="AA3570">
        <v>36.590000000000003</v>
      </c>
      <c r="AB3570">
        <v>130768</v>
      </c>
      <c r="AC3570">
        <v>124060</v>
      </c>
      <c r="AD3570">
        <v>1.05</v>
      </c>
      <c r="AE3570">
        <v>229</v>
      </c>
      <c r="AF3570">
        <v>600</v>
      </c>
      <c r="AG3570" t="s">
        <v>120</v>
      </c>
      <c r="AH3570">
        <v>0.31</v>
      </c>
      <c r="AI3570" t="s">
        <v>120</v>
      </c>
      <c r="AJ3570">
        <v>1.93</v>
      </c>
      <c r="AK3570" t="s">
        <v>15011</v>
      </c>
      <c r="AL3570">
        <v>-0.73</v>
      </c>
      <c r="AM3570">
        <v>4254</v>
      </c>
      <c r="AN3570">
        <v>60</v>
      </c>
      <c r="AO3570">
        <v>3.0999999999999999E-3</v>
      </c>
      <c r="AP3570">
        <v>-1</v>
      </c>
      <c r="AQ3570">
        <v>10.02</v>
      </c>
      <c r="AR3570">
        <v>9.23</v>
      </c>
      <c r="AS3570">
        <v>29.09</v>
      </c>
      <c r="AT3570">
        <v>110.81</v>
      </c>
      <c r="AU3570">
        <v>86.94</v>
      </c>
      <c r="AV3570">
        <v>7</v>
      </c>
      <c r="AW3570">
        <v>13.49</v>
      </c>
      <c r="AX3570">
        <v>30.95</v>
      </c>
      <c r="AY3570">
        <v>116.07</v>
      </c>
      <c r="AZ3570">
        <v>99.75</v>
      </c>
      <c r="BA3570">
        <v>1.81</v>
      </c>
      <c r="BB3570" t="s">
        <v>700</v>
      </c>
      <c r="BF3570">
        <v>0.95</v>
      </c>
      <c r="BG3570">
        <v>-6.33</v>
      </c>
      <c r="BH3570">
        <v>-6.58</v>
      </c>
      <c r="BI3570">
        <v>0.56999999999999995</v>
      </c>
      <c r="BJ3570">
        <v>20210827</v>
      </c>
      <c r="BK3570">
        <v>20190402</v>
      </c>
      <c r="BL3570">
        <v>6.1</v>
      </c>
      <c r="BM3570" t="s">
        <v>120</v>
      </c>
      <c r="BN3570" t="s">
        <v>120</v>
      </c>
      <c r="BO3570">
        <v>56.02</v>
      </c>
      <c r="BP3570">
        <v>35.5</v>
      </c>
      <c r="BQ3570">
        <v>50.61</v>
      </c>
      <c r="BR3570" t="s">
        <v>120</v>
      </c>
      <c r="BS3570">
        <v>9.67</v>
      </c>
      <c r="BT3570">
        <v>44.31</v>
      </c>
      <c r="BU3570">
        <v>6.98</v>
      </c>
      <c r="BV3570">
        <v>1.32</v>
      </c>
      <c r="BW3570">
        <v>5.16</v>
      </c>
      <c r="BX3570">
        <v>15.2</v>
      </c>
      <c r="BY3570">
        <v>3.84</v>
      </c>
      <c r="BZ3570">
        <v>3.94</v>
      </c>
      <c r="CA3570">
        <v>0.02</v>
      </c>
      <c r="CB3570">
        <v>16</v>
      </c>
      <c r="CC3570">
        <v>17.68</v>
      </c>
      <c r="CD3570">
        <v>14.54</v>
      </c>
      <c r="CE3570">
        <v>2.2799999999999998</v>
      </c>
      <c r="CF3570">
        <v>0</v>
      </c>
      <c r="CG3570">
        <v>1.9</v>
      </c>
      <c r="CH3570">
        <v>1.41</v>
      </c>
      <c r="CI3570">
        <v>1.41</v>
      </c>
      <c r="CJ3570">
        <v>-0.75</v>
      </c>
      <c r="CK3570">
        <v>1.45</v>
      </c>
      <c r="CL3570">
        <v>25.24</v>
      </c>
      <c r="CM3570">
        <v>0.85</v>
      </c>
      <c r="CN3570">
        <v>-9.82</v>
      </c>
      <c r="CO3570">
        <v>24817</v>
      </c>
      <c r="CP3570">
        <v>7613</v>
      </c>
      <c r="CQ3570" t="s">
        <v>15012</v>
      </c>
      <c r="CR3570">
        <v>-18.059999999999999</v>
      </c>
      <c r="CS3570">
        <v>24.46</v>
      </c>
      <c r="CT3570">
        <v>4.28</v>
      </c>
      <c r="CU3570">
        <v>255.65</v>
      </c>
      <c r="CV3570">
        <v>12.26</v>
      </c>
      <c r="CW3570">
        <v>0.3</v>
      </c>
      <c r="CX3570" t="s">
        <v>694</v>
      </c>
      <c r="CY3570">
        <v>8.2899999999999991</v>
      </c>
      <c r="CZ3570">
        <v>0</v>
      </c>
      <c r="DA3570">
        <v>2.62</v>
      </c>
      <c r="DB3570">
        <v>4.1399999999999997</v>
      </c>
      <c r="DC3570">
        <v>0.14000000000000001</v>
      </c>
      <c r="DD3570">
        <v>90.33</v>
      </c>
      <c r="DE3570" t="s">
        <v>2028</v>
      </c>
      <c r="DF3570">
        <v>17.79</v>
      </c>
      <c r="DG3570">
        <v>12.91</v>
      </c>
      <c r="DH3570">
        <v>8</v>
      </c>
      <c r="DI3570">
        <v>0.13</v>
      </c>
      <c r="DJ3570">
        <v>1704</v>
      </c>
      <c r="DK3570">
        <v>603379</v>
      </c>
      <c r="DL3570">
        <v>20210910</v>
      </c>
      <c r="DM3570">
        <v>31.14</v>
      </c>
      <c r="DN3570">
        <v>14</v>
      </c>
    </row>
    <row r="3571" spans="1:118">
      <c r="A3571" t="str">
        <f>"603380"</f>
        <v>603380</v>
      </c>
      <c r="B3571" t="s">
        <v>15013</v>
      </c>
      <c r="C3571">
        <v>-6.78</v>
      </c>
      <c r="D3571">
        <v>-0.2</v>
      </c>
      <c r="E3571">
        <v>-0.74</v>
      </c>
      <c r="F3571">
        <v>209</v>
      </c>
      <c r="G3571" t="s">
        <v>791</v>
      </c>
      <c r="H3571">
        <v>6810.86</v>
      </c>
      <c r="I3571">
        <v>60.22</v>
      </c>
      <c r="J3571" t="s">
        <v>120</v>
      </c>
      <c r="K3571" t="s">
        <v>4983</v>
      </c>
      <c r="L3571">
        <v>1.43</v>
      </c>
      <c r="M3571">
        <v>29</v>
      </c>
      <c r="N3571">
        <v>1.49</v>
      </c>
      <c r="O3571">
        <v>0.13</v>
      </c>
      <c r="P3571">
        <v>31.15</v>
      </c>
      <c r="Q3571">
        <v>-7.39</v>
      </c>
      <c r="R3571">
        <v>28.81</v>
      </c>
      <c r="S3571">
        <v>30.88</v>
      </c>
      <c r="T3571">
        <v>22935</v>
      </c>
      <c r="U3571">
        <v>29.03</v>
      </c>
      <c r="V3571">
        <v>31.11</v>
      </c>
      <c r="W3571">
        <v>21.66</v>
      </c>
      <c r="X3571" t="s">
        <v>229</v>
      </c>
      <c r="Y3571" t="s">
        <v>319</v>
      </c>
      <c r="Z3571">
        <v>7.52</v>
      </c>
      <c r="AA3571">
        <v>29.7</v>
      </c>
      <c r="AB3571">
        <v>15757</v>
      </c>
      <c r="AC3571">
        <v>7178</v>
      </c>
      <c r="AD3571">
        <v>2.2000000000000002</v>
      </c>
      <c r="AE3571">
        <v>13</v>
      </c>
      <c r="AF3571">
        <v>35</v>
      </c>
      <c r="AG3571" t="s">
        <v>120</v>
      </c>
      <c r="AH3571">
        <v>0.03</v>
      </c>
      <c r="AI3571" t="s">
        <v>120</v>
      </c>
      <c r="AJ3571">
        <v>1.6</v>
      </c>
      <c r="AK3571" t="s">
        <v>15014</v>
      </c>
      <c r="AL3571">
        <v>-5.44</v>
      </c>
      <c r="AM3571">
        <v>2034</v>
      </c>
      <c r="AN3571">
        <v>11</v>
      </c>
      <c r="AO3571">
        <v>6.9999999999999999E-4</v>
      </c>
      <c r="AP3571">
        <v>-1</v>
      </c>
      <c r="AQ3571">
        <v>1.67</v>
      </c>
      <c r="AR3571">
        <v>-6.81</v>
      </c>
      <c r="AS3571">
        <v>7.53</v>
      </c>
      <c r="AT3571">
        <v>17.989999999999998</v>
      </c>
      <c r="AU3571">
        <v>44.42</v>
      </c>
      <c r="AV3571">
        <v>4</v>
      </c>
      <c r="AW3571">
        <v>4.05</v>
      </c>
      <c r="AX3571">
        <v>35.15</v>
      </c>
      <c r="AY3571">
        <v>25.01</v>
      </c>
      <c r="AZ3571">
        <v>30.3</v>
      </c>
      <c r="BA3571">
        <v>1.1200000000000001</v>
      </c>
      <c r="BB3571" t="s">
        <v>143</v>
      </c>
      <c r="BF3571">
        <v>-4.54</v>
      </c>
      <c r="BG3571">
        <v>-6.09</v>
      </c>
      <c r="BH3571">
        <v>-6.9</v>
      </c>
      <c r="BI3571">
        <v>0.66</v>
      </c>
      <c r="BJ3571">
        <v>20210827</v>
      </c>
      <c r="BK3571">
        <v>20170622</v>
      </c>
      <c r="BL3571">
        <v>1.61</v>
      </c>
      <c r="BM3571" t="s">
        <v>120</v>
      </c>
      <c r="BN3571" t="s">
        <v>120</v>
      </c>
      <c r="BO3571">
        <v>16.38</v>
      </c>
      <c r="BP3571">
        <v>29</v>
      </c>
      <c r="BQ3571">
        <v>10.38</v>
      </c>
      <c r="BR3571">
        <v>0.05</v>
      </c>
      <c r="BS3571">
        <v>36.340000000000003</v>
      </c>
      <c r="BT3571">
        <v>11.94</v>
      </c>
      <c r="BU3571">
        <v>2.3199999999999998</v>
      </c>
      <c r="BV3571">
        <v>0.25</v>
      </c>
      <c r="BW3571">
        <v>5.76</v>
      </c>
      <c r="BX3571">
        <v>2.9</v>
      </c>
      <c r="BY3571">
        <v>3.18</v>
      </c>
      <c r="BZ3571">
        <v>3.17</v>
      </c>
      <c r="CA3571" t="s">
        <v>120</v>
      </c>
      <c r="CB3571">
        <v>3.84</v>
      </c>
      <c r="CC3571">
        <v>7.61</v>
      </c>
      <c r="CD3571">
        <v>5.39</v>
      </c>
      <c r="CE3571">
        <v>1.3</v>
      </c>
      <c r="CF3571">
        <v>0.05</v>
      </c>
      <c r="CG3571">
        <v>1.3</v>
      </c>
      <c r="CH3571">
        <v>1.0900000000000001</v>
      </c>
      <c r="CI3571">
        <v>1.08</v>
      </c>
      <c r="CJ3571">
        <v>-2.11</v>
      </c>
      <c r="CK3571">
        <v>1.03</v>
      </c>
      <c r="CL3571">
        <v>4.4800000000000004</v>
      </c>
      <c r="CM3571">
        <v>0.79</v>
      </c>
      <c r="CN3571">
        <v>0.51</v>
      </c>
      <c r="CO3571">
        <v>9700</v>
      </c>
      <c r="CP3571">
        <v>5845</v>
      </c>
      <c r="CQ3571" t="s">
        <v>15015</v>
      </c>
      <c r="CR3571">
        <v>48.02</v>
      </c>
      <c r="CS3571">
        <v>26.2</v>
      </c>
      <c r="CT3571">
        <v>4.51</v>
      </c>
      <c r="CU3571">
        <v>59.56</v>
      </c>
      <c r="CV3571">
        <v>6.15</v>
      </c>
      <c r="CW3571">
        <v>1.03</v>
      </c>
      <c r="CX3571" t="s">
        <v>1469</v>
      </c>
      <c r="CY3571">
        <v>6.44</v>
      </c>
      <c r="CZ3571">
        <v>0</v>
      </c>
      <c r="DA3571">
        <v>2.38</v>
      </c>
      <c r="DB3571">
        <v>2.78</v>
      </c>
      <c r="DC3571">
        <v>0.49</v>
      </c>
      <c r="DD3571">
        <v>63.37</v>
      </c>
      <c r="DE3571" t="s">
        <v>15016</v>
      </c>
      <c r="DF3571">
        <v>29.15</v>
      </c>
      <c r="DG3571">
        <v>17.09</v>
      </c>
      <c r="DH3571">
        <v>14.19</v>
      </c>
      <c r="DI3571">
        <v>0.35</v>
      </c>
      <c r="DJ3571">
        <v>1400</v>
      </c>
      <c r="DK3571">
        <v>603380</v>
      </c>
      <c r="DL3571" t="s">
        <v>120</v>
      </c>
      <c r="DM3571" t="s">
        <v>120</v>
      </c>
      <c r="DN3571" t="s">
        <v>120</v>
      </c>
    </row>
    <row r="3572" spans="1:118">
      <c r="A3572" t="str">
        <f>"603383"</f>
        <v>603383</v>
      </c>
      <c r="B3572" t="s">
        <v>15017</v>
      </c>
      <c r="C3572">
        <v>-2.41</v>
      </c>
      <c r="D3572">
        <v>0.24</v>
      </c>
      <c r="E3572">
        <v>0</v>
      </c>
      <c r="F3572">
        <v>474</v>
      </c>
      <c r="G3572" t="s">
        <v>6353</v>
      </c>
      <c r="H3572">
        <v>7358.78</v>
      </c>
      <c r="I3572">
        <v>11.8</v>
      </c>
      <c r="J3572" t="s">
        <v>120</v>
      </c>
      <c r="K3572" t="s">
        <v>14467</v>
      </c>
      <c r="L3572">
        <v>1.46</v>
      </c>
      <c r="M3572">
        <v>29.52</v>
      </c>
      <c r="N3572">
        <v>0.78</v>
      </c>
      <c r="O3572">
        <v>0.96</v>
      </c>
      <c r="P3572">
        <v>30.54</v>
      </c>
      <c r="Q3572">
        <v>-3.14</v>
      </c>
      <c r="R3572">
        <v>29.3</v>
      </c>
      <c r="S3572">
        <v>30.25</v>
      </c>
      <c r="T3572">
        <v>24639</v>
      </c>
      <c r="U3572">
        <v>29.52</v>
      </c>
      <c r="V3572">
        <v>30.25</v>
      </c>
      <c r="W3572">
        <v>56.78</v>
      </c>
      <c r="X3572" t="s">
        <v>141</v>
      </c>
      <c r="Y3572" t="s">
        <v>937</v>
      </c>
      <c r="Z3572">
        <v>4.0999999999999996</v>
      </c>
      <c r="AA3572">
        <v>29.87</v>
      </c>
      <c r="AB3572">
        <v>13862</v>
      </c>
      <c r="AC3572">
        <v>10777</v>
      </c>
      <c r="AD3572">
        <v>1.29</v>
      </c>
      <c r="AE3572">
        <v>34</v>
      </c>
      <c r="AF3572">
        <v>64</v>
      </c>
      <c r="AG3572" t="s">
        <v>120</v>
      </c>
      <c r="AH3572">
        <v>0.01</v>
      </c>
      <c r="AI3572" t="s">
        <v>120</v>
      </c>
      <c r="AJ3572">
        <v>1.68</v>
      </c>
      <c r="AK3572" t="s">
        <v>14467</v>
      </c>
      <c r="AL3572">
        <v>-1.07</v>
      </c>
      <c r="AM3572">
        <v>2008</v>
      </c>
      <c r="AN3572">
        <v>12</v>
      </c>
      <c r="AO3572">
        <v>6.9999999999999999E-4</v>
      </c>
      <c r="AP3572">
        <v>-3</v>
      </c>
      <c r="AQ3572">
        <v>-2.42</v>
      </c>
      <c r="AR3572">
        <v>-8.6300000000000008</v>
      </c>
      <c r="AS3572">
        <v>2.75</v>
      </c>
      <c r="AT3572">
        <v>4.97</v>
      </c>
      <c r="AU3572">
        <v>-4.99</v>
      </c>
      <c r="AV3572">
        <v>3</v>
      </c>
      <c r="AW3572">
        <v>3.18</v>
      </c>
      <c r="AX3572">
        <v>46.03</v>
      </c>
      <c r="AY3572">
        <v>43.4</v>
      </c>
      <c r="AZ3572">
        <v>46.91</v>
      </c>
      <c r="BA3572">
        <v>1.01</v>
      </c>
      <c r="BB3572" t="s">
        <v>143</v>
      </c>
      <c r="BF3572">
        <v>-1.27</v>
      </c>
      <c r="BG3572">
        <v>-2.41</v>
      </c>
      <c r="BH3572">
        <v>-3.34</v>
      </c>
      <c r="BI3572">
        <v>0.75</v>
      </c>
      <c r="BJ3572">
        <v>20210821</v>
      </c>
      <c r="BK3572">
        <v>20170522</v>
      </c>
      <c r="BL3572">
        <v>1.68</v>
      </c>
      <c r="BM3572" t="s">
        <v>120</v>
      </c>
      <c r="BN3572" t="s">
        <v>120</v>
      </c>
      <c r="BO3572">
        <v>13.64</v>
      </c>
      <c r="BP3572">
        <v>29.46</v>
      </c>
      <c r="BQ3572">
        <v>11.54</v>
      </c>
      <c r="BR3572">
        <v>0.09</v>
      </c>
      <c r="BS3572">
        <v>14.76</v>
      </c>
      <c r="BT3572">
        <v>11.75</v>
      </c>
      <c r="BU3572">
        <v>1.03</v>
      </c>
      <c r="BV3572">
        <v>0.13</v>
      </c>
      <c r="BW3572">
        <v>2.0099999999999998</v>
      </c>
      <c r="BX3572">
        <v>6.08</v>
      </c>
      <c r="BY3572">
        <v>1.1399999999999999</v>
      </c>
      <c r="BZ3572">
        <v>0.62</v>
      </c>
      <c r="CA3572" t="s">
        <v>120</v>
      </c>
      <c r="CB3572">
        <v>4.0599999999999996</v>
      </c>
      <c r="CC3572">
        <v>1.96</v>
      </c>
      <c r="CD3572">
        <v>0.56999999999999995</v>
      </c>
      <c r="CE3572">
        <v>0.46</v>
      </c>
      <c r="CF3572">
        <v>0.06</v>
      </c>
      <c r="CG3572">
        <v>0.46</v>
      </c>
      <c r="CH3572">
        <v>0.44</v>
      </c>
      <c r="CI3572">
        <v>0.44</v>
      </c>
      <c r="CJ3572">
        <v>-0.73</v>
      </c>
      <c r="CK3572">
        <v>0.35</v>
      </c>
      <c r="CL3572">
        <v>5.1100000000000003</v>
      </c>
      <c r="CM3572">
        <v>-1.1499999999999999</v>
      </c>
      <c r="CN3572">
        <v>-0.27</v>
      </c>
      <c r="CO3572">
        <v>21518</v>
      </c>
      <c r="CP3572">
        <v>3599</v>
      </c>
      <c r="CQ3572" t="s">
        <v>10166</v>
      </c>
      <c r="CR3572">
        <v>25.09</v>
      </c>
      <c r="CS3572">
        <v>43.71</v>
      </c>
      <c r="CT3572">
        <v>4.3</v>
      </c>
      <c r="CU3572">
        <v>-43.12</v>
      </c>
      <c r="CV3572">
        <v>25.29</v>
      </c>
      <c r="CW3572">
        <v>1.32</v>
      </c>
      <c r="CX3572" t="s">
        <v>670</v>
      </c>
      <c r="CY3572">
        <v>6.86</v>
      </c>
      <c r="CZ3572">
        <v>0</v>
      </c>
      <c r="DA3572">
        <v>2.41</v>
      </c>
      <c r="DB3572">
        <v>3.04</v>
      </c>
      <c r="DC3572">
        <v>-0.68</v>
      </c>
      <c r="DD3572">
        <v>84.59</v>
      </c>
      <c r="DE3572" t="s">
        <v>6448</v>
      </c>
      <c r="DF3572">
        <v>70.900000000000006</v>
      </c>
      <c r="DG3572">
        <v>23.64</v>
      </c>
      <c r="DH3572">
        <v>22.27</v>
      </c>
      <c r="DI3572">
        <v>0.56000000000000005</v>
      </c>
      <c r="DJ3572">
        <v>1490</v>
      </c>
      <c r="DK3572">
        <v>603383</v>
      </c>
      <c r="DL3572" t="s">
        <v>120</v>
      </c>
      <c r="DM3572" t="s">
        <v>120</v>
      </c>
      <c r="DN3572" t="s">
        <v>120</v>
      </c>
    </row>
    <row r="3573" spans="1:118">
      <c r="A3573" t="str">
        <f>"603385"</f>
        <v>603385</v>
      </c>
      <c r="B3573" t="s">
        <v>15018</v>
      </c>
      <c r="C3573">
        <v>0.23</v>
      </c>
      <c r="D3573">
        <v>0</v>
      </c>
      <c r="E3573">
        <v>0.11</v>
      </c>
      <c r="F3573">
        <v>258</v>
      </c>
      <c r="G3573" t="s">
        <v>3660</v>
      </c>
      <c r="H3573">
        <v>1957.03</v>
      </c>
      <c r="I3573">
        <v>9.01</v>
      </c>
      <c r="J3573" t="s">
        <v>120</v>
      </c>
      <c r="K3573" t="s">
        <v>9255</v>
      </c>
      <c r="L3573">
        <v>0.59</v>
      </c>
      <c r="M3573">
        <v>8.9</v>
      </c>
      <c r="N3573">
        <v>1.18</v>
      </c>
      <c r="O3573">
        <v>2.7</v>
      </c>
      <c r="P3573">
        <v>9.1199999999999992</v>
      </c>
      <c r="Q3573">
        <v>0</v>
      </c>
      <c r="R3573">
        <v>8.8800000000000008</v>
      </c>
      <c r="S3573">
        <v>8.89</v>
      </c>
      <c r="T3573">
        <v>21723</v>
      </c>
      <c r="U3573">
        <v>8.9</v>
      </c>
      <c r="V3573">
        <v>8.8800000000000008</v>
      </c>
      <c r="W3573">
        <v>15.29</v>
      </c>
      <c r="X3573" t="s">
        <v>2409</v>
      </c>
      <c r="Y3573" t="s">
        <v>602</v>
      </c>
      <c r="Z3573">
        <v>2.7</v>
      </c>
      <c r="AA3573">
        <v>9.01</v>
      </c>
      <c r="AB3573">
        <v>10943</v>
      </c>
      <c r="AC3573">
        <v>10780</v>
      </c>
      <c r="AD3573">
        <v>1.02</v>
      </c>
      <c r="AE3573">
        <v>172</v>
      </c>
      <c r="AF3573">
        <v>177</v>
      </c>
      <c r="AG3573" t="s">
        <v>120</v>
      </c>
      <c r="AH3573">
        <v>0.01</v>
      </c>
      <c r="AI3573" t="s">
        <v>120</v>
      </c>
      <c r="AJ3573">
        <v>3.69</v>
      </c>
      <c r="AK3573" t="s">
        <v>8746</v>
      </c>
      <c r="AL3573">
        <v>1.57</v>
      </c>
      <c r="AM3573">
        <v>962</v>
      </c>
      <c r="AN3573">
        <v>23</v>
      </c>
      <c r="AO3573">
        <v>5.9999999999999995E-4</v>
      </c>
      <c r="AP3573">
        <v>1</v>
      </c>
      <c r="AQ3573">
        <v>-0.22</v>
      </c>
      <c r="AR3573">
        <v>-2.41</v>
      </c>
      <c r="AS3573">
        <v>-7.19</v>
      </c>
      <c r="AT3573">
        <v>-11</v>
      </c>
      <c r="AU3573">
        <v>-16.41</v>
      </c>
      <c r="AV3573">
        <v>0</v>
      </c>
      <c r="AW3573">
        <v>1.27</v>
      </c>
      <c r="AX3573">
        <v>44.46</v>
      </c>
      <c r="AY3573">
        <v>11.73</v>
      </c>
      <c r="AZ3573">
        <v>11.1</v>
      </c>
      <c r="BA3573">
        <v>0.56999999999999995</v>
      </c>
      <c r="BB3573" t="s">
        <v>143</v>
      </c>
      <c r="BF3573">
        <v>1.46</v>
      </c>
      <c r="BG3573">
        <v>0.11</v>
      </c>
      <c r="BH3573">
        <v>-2.41</v>
      </c>
      <c r="BI3573">
        <v>0.23</v>
      </c>
      <c r="BJ3573">
        <v>20210821</v>
      </c>
      <c r="BK3573">
        <v>20170405</v>
      </c>
      <c r="BL3573">
        <v>3.84</v>
      </c>
      <c r="BM3573" t="s">
        <v>120</v>
      </c>
      <c r="BN3573" t="s">
        <v>120</v>
      </c>
      <c r="BO3573">
        <v>61.62</v>
      </c>
      <c r="BP3573">
        <v>8.89</v>
      </c>
      <c r="BQ3573">
        <v>37.42</v>
      </c>
      <c r="BR3573">
        <v>1.62</v>
      </c>
      <c r="BS3573">
        <v>36.64</v>
      </c>
      <c r="BT3573">
        <v>39.89</v>
      </c>
      <c r="BU3573">
        <v>15.87</v>
      </c>
      <c r="BV3573">
        <v>2.2200000000000002</v>
      </c>
      <c r="BW3573">
        <v>17.87</v>
      </c>
      <c r="BX3573">
        <v>8.5399999999999991</v>
      </c>
      <c r="BY3573">
        <v>8.93</v>
      </c>
      <c r="BZ3573">
        <v>7.12</v>
      </c>
      <c r="CA3573" t="s">
        <v>120</v>
      </c>
      <c r="CB3573">
        <v>10.119999999999999</v>
      </c>
      <c r="CC3573">
        <v>17.43</v>
      </c>
      <c r="CD3573">
        <v>12.52</v>
      </c>
      <c r="CE3573">
        <v>1.46</v>
      </c>
      <c r="CF3573">
        <v>0.3</v>
      </c>
      <c r="CG3573">
        <v>1.46</v>
      </c>
      <c r="CH3573">
        <v>1.23</v>
      </c>
      <c r="CI3573">
        <v>1.1200000000000001</v>
      </c>
      <c r="CJ3573">
        <v>0.02</v>
      </c>
      <c r="CK3573">
        <v>0.91</v>
      </c>
      <c r="CL3573">
        <v>21.92</v>
      </c>
      <c r="CM3573">
        <v>-1.37</v>
      </c>
      <c r="CN3573">
        <v>2.08</v>
      </c>
      <c r="CO3573">
        <v>19388</v>
      </c>
      <c r="CP3573">
        <v>8811</v>
      </c>
      <c r="CQ3573" t="s">
        <v>14834</v>
      </c>
      <c r="CR3573">
        <v>-12.94</v>
      </c>
      <c r="CS3573">
        <v>32.380000000000003</v>
      </c>
      <c r="CT3573">
        <v>0.91</v>
      </c>
      <c r="CU3573">
        <v>-24.99</v>
      </c>
      <c r="CV3573">
        <v>1.96</v>
      </c>
      <c r="CW3573">
        <v>2.7</v>
      </c>
      <c r="CX3573" t="s">
        <v>293</v>
      </c>
      <c r="CY3573">
        <v>9.73</v>
      </c>
      <c r="CZ3573">
        <v>9.73</v>
      </c>
      <c r="DA3573">
        <v>2.63</v>
      </c>
      <c r="DB3573">
        <v>5.7</v>
      </c>
      <c r="DC3573">
        <v>-0.36</v>
      </c>
      <c r="DD3573">
        <v>60.72</v>
      </c>
      <c r="DE3573" t="s">
        <v>243</v>
      </c>
      <c r="DF3573">
        <v>28.19</v>
      </c>
      <c r="DG3573">
        <v>8.36</v>
      </c>
      <c r="DH3573">
        <v>6.41</v>
      </c>
      <c r="DI3573">
        <v>0.78</v>
      </c>
      <c r="DJ3573">
        <v>9043</v>
      </c>
      <c r="DK3573">
        <v>603385</v>
      </c>
      <c r="DL3573" t="s">
        <v>120</v>
      </c>
      <c r="DM3573" t="s">
        <v>120</v>
      </c>
      <c r="DN3573" t="s">
        <v>120</v>
      </c>
    </row>
    <row r="3574" spans="1:118">
      <c r="A3574" t="str">
        <f>"603386"</f>
        <v>603386</v>
      </c>
      <c r="B3574" t="s">
        <v>15019</v>
      </c>
      <c r="C3574">
        <v>-3.8</v>
      </c>
      <c r="D3574">
        <v>-0.16</v>
      </c>
      <c r="E3574">
        <v>1.68</v>
      </c>
      <c r="F3574">
        <v>672</v>
      </c>
      <c r="G3574" t="s">
        <v>13879</v>
      </c>
      <c r="H3574">
        <v>3706.3</v>
      </c>
      <c r="I3574">
        <v>9.93</v>
      </c>
      <c r="J3574" t="s">
        <v>120</v>
      </c>
      <c r="K3574" t="s">
        <v>11885</v>
      </c>
      <c r="L3574">
        <v>0.92</v>
      </c>
      <c r="M3574">
        <v>17.73</v>
      </c>
      <c r="N3574">
        <v>0.91</v>
      </c>
      <c r="O3574">
        <v>1.68</v>
      </c>
      <c r="P3574">
        <v>18.739999999999998</v>
      </c>
      <c r="Q3574">
        <v>-3.8</v>
      </c>
      <c r="R3574">
        <v>17.73</v>
      </c>
      <c r="S3574">
        <v>18.739999999999998</v>
      </c>
      <c r="T3574">
        <v>20485</v>
      </c>
      <c r="U3574">
        <v>17.73</v>
      </c>
      <c r="V3574">
        <v>18.43</v>
      </c>
      <c r="W3574">
        <v>17.14</v>
      </c>
      <c r="X3574" t="s">
        <v>229</v>
      </c>
      <c r="Y3574" t="s">
        <v>547</v>
      </c>
      <c r="Z3574">
        <v>5.48</v>
      </c>
      <c r="AA3574">
        <v>18.09</v>
      </c>
      <c r="AB3574">
        <v>13494</v>
      </c>
      <c r="AC3574">
        <v>6991</v>
      </c>
      <c r="AD3574">
        <v>1.93</v>
      </c>
      <c r="AE3574">
        <v>15</v>
      </c>
      <c r="AF3574">
        <v>340</v>
      </c>
      <c r="AG3574" t="s">
        <v>120</v>
      </c>
      <c r="AH3574">
        <v>0.01</v>
      </c>
      <c r="AI3574" t="s">
        <v>120</v>
      </c>
      <c r="AJ3574">
        <v>2.2200000000000002</v>
      </c>
      <c r="AK3574" t="s">
        <v>15020</v>
      </c>
      <c r="AL3574">
        <v>-2.4500000000000002</v>
      </c>
      <c r="AM3574">
        <v>1424</v>
      </c>
      <c r="AN3574">
        <v>14</v>
      </c>
      <c r="AO3574">
        <v>5.9999999999999995E-4</v>
      </c>
      <c r="AP3574">
        <v>-1</v>
      </c>
      <c r="AQ3574">
        <v>1.94</v>
      </c>
      <c r="AR3574">
        <v>-4.57</v>
      </c>
      <c r="AS3574">
        <v>-10.220000000000001</v>
      </c>
      <c r="AT3574">
        <v>-2.3199999999999998</v>
      </c>
      <c r="AU3574">
        <v>15.58</v>
      </c>
      <c r="AV3574">
        <v>6</v>
      </c>
      <c r="AW3574">
        <v>3.2</v>
      </c>
      <c r="AX3574">
        <v>28.7</v>
      </c>
      <c r="AY3574">
        <v>20.79</v>
      </c>
      <c r="AZ3574">
        <v>34.270000000000003</v>
      </c>
      <c r="BA3574">
        <v>0.72</v>
      </c>
      <c r="BB3574" t="s">
        <v>143</v>
      </c>
      <c r="BF3574">
        <v>-1.83</v>
      </c>
      <c r="BG3574">
        <v>-5.39</v>
      </c>
      <c r="BH3574">
        <v>-5.39</v>
      </c>
      <c r="BI3574">
        <v>0</v>
      </c>
      <c r="BJ3574">
        <v>20210810</v>
      </c>
      <c r="BK3574">
        <v>20170912</v>
      </c>
      <c r="BL3574">
        <v>2.23</v>
      </c>
      <c r="BM3574" t="s">
        <v>120</v>
      </c>
      <c r="BN3574" t="s">
        <v>120</v>
      </c>
      <c r="BO3574">
        <v>31.25</v>
      </c>
      <c r="BP3574">
        <v>17.72</v>
      </c>
      <c r="BQ3574">
        <v>11.85</v>
      </c>
      <c r="BR3574" t="s">
        <v>120</v>
      </c>
      <c r="BS3574">
        <v>62.08</v>
      </c>
      <c r="BT3574">
        <v>13.59</v>
      </c>
      <c r="BU3574">
        <v>9.91</v>
      </c>
      <c r="BV3574">
        <v>1.2</v>
      </c>
      <c r="BW3574">
        <v>16.59</v>
      </c>
      <c r="BX3574">
        <v>1.65</v>
      </c>
      <c r="BY3574">
        <v>4.6900000000000004</v>
      </c>
      <c r="BZ3574">
        <v>5.49</v>
      </c>
      <c r="CA3574" t="s">
        <v>120</v>
      </c>
      <c r="CB3574">
        <v>5.86</v>
      </c>
      <c r="CC3574">
        <v>12.41</v>
      </c>
      <c r="CD3574">
        <v>9.5</v>
      </c>
      <c r="CE3574">
        <v>1.25</v>
      </c>
      <c r="CF3574">
        <v>0</v>
      </c>
      <c r="CG3574">
        <v>1.26</v>
      </c>
      <c r="CH3574">
        <v>1.1499999999999999</v>
      </c>
      <c r="CI3574">
        <v>1.1499999999999999</v>
      </c>
      <c r="CJ3574">
        <v>-0.7</v>
      </c>
      <c r="CK3574">
        <v>1.02</v>
      </c>
      <c r="CL3574">
        <v>3.69</v>
      </c>
      <c r="CM3574">
        <v>0.82</v>
      </c>
      <c r="CN3574">
        <v>-0.8</v>
      </c>
      <c r="CO3574">
        <v>13575</v>
      </c>
      <c r="CP3574">
        <v>4720</v>
      </c>
      <c r="CQ3574" t="s">
        <v>7268</v>
      </c>
      <c r="CR3574">
        <v>207.39</v>
      </c>
      <c r="CS3574">
        <v>39.090000000000003</v>
      </c>
      <c r="CT3574">
        <v>3.34</v>
      </c>
      <c r="CU3574">
        <v>48.39</v>
      </c>
      <c r="CV3574">
        <v>3.19</v>
      </c>
      <c r="CW3574">
        <v>1.2</v>
      </c>
      <c r="CX3574" t="s">
        <v>948</v>
      </c>
      <c r="CY3574">
        <v>5.31</v>
      </c>
      <c r="CZ3574">
        <v>0</v>
      </c>
      <c r="DA3574">
        <v>2.63</v>
      </c>
      <c r="DB3574">
        <v>1.65</v>
      </c>
      <c r="DC3574">
        <v>0.37</v>
      </c>
      <c r="DD3574">
        <v>37.92</v>
      </c>
      <c r="DE3574" t="s">
        <v>5392</v>
      </c>
      <c r="DF3574">
        <v>23.46</v>
      </c>
      <c r="DG3574">
        <v>10.1</v>
      </c>
      <c r="DH3574">
        <v>9.3000000000000007</v>
      </c>
      <c r="DI3574">
        <v>0.6</v>
      </c>
      <c r="DJ3574">
        <v>4905</v>
      </c>
      <c r="DK3574">
        <v>603386</v>
      </c>
      <c r="DL3574" t="s">
        <v>120</v>
      </c>
      <c r="DM3574" t="s">
        <v>120</v>
      </c>
      <c r="DN3574" t="s">
        <v>120</v>
      </c>
    </row>
    <row r="3575" spans="1:118">
      <c r="A3575" t="str">
        <f>"603387"</f>
        <v>603387</v>
      </c>
      <c r="B3575" t="s">
        <v>15021</v>
      </c>
      <c r="C3575">
        <v>-2.2999999999999998</v>
      </c>
      <c r="D3575">
        <v>-0.04</v>
      </c>
      <c r="E3575">
        <v>-0.1</v>
      </c>
      <c r="F3575">
        <v>257</v>
      </c>
      <c r="G3575" t="s">
        <v>15022</v>
      </c>
      <c r="H3575">
        <v>8066.32</v>
      </c>
      <c r="I3575">
        <v>15.87</v>
      </c>
      <c r="J3575" t="s">
        <v>120</v>
      </c>
      <c r="K3575" t="s">
        <v>15023</v>
      </c>
      <c r="L3575">
        <v>1.17</v>
      </c>
      <c r="M3575">
        <v>18.7</v>
      </c>
      <c r="N3575">
        <v>1.32</v>
      </c>
      <c r="O3575">
        <v>1.1000000000000001</v>
      </c>
      <c r="P3575">
        <v>19.350000000000001</v>
      </c>
      <c r="Q3575">
        <v>-2.87</v>
      </c>
      <c r="R3575">
        <v>18.59</v>
      </c>
      <c r="S3575">
        <v>19.12</v>
      </c>
      <c r="T3575">
        <v>42648</v>
      </c>
      <c r="U3575">
        <v>18.7</v>
      </c>
      <c r="V3575">
        <v>19.14</v>
      </c>
      <c r="W3575">
        <v>19.91</v>
      </c>
      <c r="X3575" t="s">
        <v>555</v>
      </c>
      <c r="Y3575" t="s">
        <v>319</v>
      </c>
      <c r="Z3575">
        <v>3.97</v>
      </c>
      <c r="AA3575">
        <v>18.91</v>
      </c>
      <c r="AB3575">
        <v>25062</v>
      </c>
      <c r="AC3575">
        <v>17586</v>
      </c>
      <c r="AD3575">
        <v>1.43</v>
      </c>
      <c r="AE3575">
        <v>46</v>
      </c>
      <c r="AF3575">
        <v>7</v>
      </c>
      <c r="AG3575" t="s">
        <v>120</v>
      </c>
      <c r="AH3575">
        <v>0</v>
      </c>
      <c r="AI3575" t="s">
        <v>120</v>
      </c>
      <c r="AJ3575">
        <v>3.64</v>
      </c>
      <c r="AK3575" t="s">
        <v>15023</v>
      </c>
      <c r="AL3575">
        <v>-0.96</v>
      </c>
      <c r="AM3575">
        <v>2029</v>
      </c>
      <c r="AN3575">
        <v>21</v>
      </c>
      <c r="AO3575">
        <v>5.9999999999999995E-4</v>
      </c>
      <c r="AP3575">
        <v>-4</v>
      </c>
      <c r="AQ3575">
        <v>-0.16</v>
      </c>
      <c r="AR3575">
        <v>-4.25</v>
      </c>
      <c r="AS3575">
        <v>-3.26</v>
      </c>
      <c r="AT3575">
        <v>-13.94</v>
      </c>
      <c r="AU3575">
        <v>-22.71</v>
      </c>
      <c r="AV3575">
        <v>2</v>
      </c>
      <c r="AW3575">
        <v>2.14</v>
      </c>
      <c r="AX3575">
        <v>54.89</v>
      </c>
      <c r="AY3575">
        <v>18.34</v>
      </c>
      <c r="AZ3575">
        <v>22.85</v>
      </c>
      <c r="BA3575">
        <v>0.83</v>
      </c>
      <c r="BB3575" t="s">
        <v>143</v>
      </c>
      <c r="BF3575">
        <v>-1.18</v>
      </c>
      <c r="BG3575">
        <v>-2.2000000000000002</v>
      </c>
      <c r="BH3575">
        <v>-3.36</v>
      </c>
      <c r="BI3575">
        <v>0.59</v>
      </c>
      <c r="BJ3575">
        <v>20210915</v>
      </c>
      <c r="BK3575">
        <v>20170717</v>
      </c>
      <c r="BL3575">
        <v>3.64</v>
      </c>
      <c r="BM3575" t="s">
        <v>120</v>
      </c>
      <c r="BN3575" t="s">
        <v>120</v>
      </c>
      <c r="BO3575">
        <v>27.54</v>
      </c>
      <c r="BP3575">
        <v>18.68</v>
      </c>
      <c r="BQ3575">
        <v>18.739999999999998</v>
      </c>
      <c r="BR3575">
        <v>1.76</v>
      </c>
      <c r="BS3575">
        <v>25.56</v>
      </c>
      <c r="BT3575">
        <v>20.78</v>
      </c>
      <c r="BU3575">
        <v>3.38</v>
      </c>
      <c r="BV3575">
        <v>0.65</v>
      </c>
      <c r="BW3575">
        <v>6.66</v>
      </c>
      <c r="BX3575">
        <v>9.34</v>
      </c>
      <c r="BY3575">
        <v>2.41</v>
      </c>
      <c r="BZ3575">
        <v>4.3099999999999996</v>
      </c>
      <c r="CA3575" t="s">
        <v>120</v>
      </c>
      <c r="CB3575">
        <v>5.09</v>
      </c>
      <c r="CC3575">
        <v>6</v>
      </c>
      <c r="CD3575">
        <v>2.0699999999999998</v>
      </c>
      <c r="CE3575">
        <v>1.95</v>
      </c>
      <c r="CF3575">
        <v>0.16</v>
      </c>
      <c r="CG3575">
        <v>1.95</v>
      </c>
      <c r="CH3575">
        <v>1.77</v>
      </c>
      <c r="CI3575">
        <v>1.71</v>
      </c>
      <c r="CJ3575">
        <v>-0.44</v>
      </c>
      <c r="CK3575">
        <v>1.56</v>
      </c>
      <c r="CL3575">
        <v>9.26</v>
      </c>
      <c r="CM3575">
        <v>1.22</v>
      </c>
      <c r="CN3575">
        <v>1.39</v>
      </c>
      <c r="CO3575">
        <v>22504</v>
      </c>
      <c r="CP3575">
        <v>8874</v>
      </c>
      <c r="CQ3575" t="s">
        <v>15024</v>
      </c>
      <c r="CR3575">
        <v>78.08</v>
      </c>
      <c r="CS3575">
        <v>58.02</v>
      </c>
      <c r="CT3575">
        <v>3.63</v>
      </c>
      <c r="CU3575">
        <v>55.54</v>
      </c>
      <c r="CV3575">
        <v>11.33</v>
      </c>
      <c r="CW3575">
        <v>1.34</v>
      </c>
      <c r="CX3575" t="s">
        <v>1071</v>
      </c>
      <c r="CY3575">
        <v>5.15</v>
      </c>
      <c r="CZ3575">
        <v>0</v>
      </c>
      <c r="DA3575">
        <v>1.4</v>
      </c>
      <c r="DB3575">
        <v>2.54</v>
      </c>
      <c r="DC3575">
        <v>0.34</v>
      </c>
      <c r="DD3575">
        <v>68.05</v>
      </c>
      <c r="DE3575" t="s">
        <v>10393</v>
      </c>
      <c r="DF3575">
        <v>65.430000000000007</v>
      </c>
      <c r="DG3575">
        <v>32.49</v>
      </c>
      <c r="DH3575">
        <v>28.46</v>
      </c>
      <c r="DI3575">
        <v>0.78</v>
      </c>
      <c r="DJ3575">
        <v>1830</v>
      </c>
      <c r="DK3575">
        <v>603387</v>
      </c>
      <c r="DL3575" t="s">
        <v>120</v>
      </c>
      <c r="DM3575" t="s">
        <v>120</v>
      </c>
      <c r="DN3575" t="s">
        <v>120</v>
      </c>
    </row>
    <row r="3576" spans="1:118">
      <c r="A3576" t="str">
        <f>"603388"</f>
        <v>603388</v>
      </c>
      <c r="B3576" t="s">
        <v>15025</v>
      </c>
      <c r="C3576">
        <v>-0.87</v>
      </c>
      <c r="D3576">
        <v>-0.28000000000000003</v>
      </c>
      <c r="E3576">
        <v>0</v>
      </c>
      <c r="F3576">
        <v>167</v>
      </c>
      <c r="G3576" t="s">
        <v>11900</v>
      </c>
      <c r="H3576">
        <v>1502.89</v>
      </c>
      <c r="I3576">
        <v>0</v>
      </c>
      <c r="J3576" t="s">
        <v>120</v>
      </c>
      <c r="K3576" t="s">
        <v>15026</v>
      </c>
      <c r="L3576">
        <v>0.76</v>
      </c>
      <c r="M3576">
        <v>6.85</v>
      </c>
      <c r="N3576">
        <v>1.1299999999999999</v>
      </c>
      <c r="O3576">
        <v>1.45</v>
      </c>
      <c r="P3576">
        <v>7.01</v>
      </c>
      <c r="Q3576">
        <v>-1.59</v>
      </c>
      <c r="R3576">
        <v>6.8</v>
      </c>
      <c r="S3576">
        <v>6.91</v>
      </c>
      <c r="T3576">
        <v>21737</v>
      </c>
      <c r="U3576">
        <v>6.85</v>
      </c>
      <c r="V3576">
        <v>6.91</v>
      </c>
      <c r="W3576">
        <v>27.48</v>
      </c>
      <c r="X3576" t="s">
        <v>175</v>
      </c>
      <c r="Y3576" t="s">
        <v>585</v>
      </c>
      <c r="Z3576">
        <v>3.04</v>
      </c>
      <c r="AA3576">
        <v>6.91</v>
      </c>
      <c r="AB3576">
        <v>10022</v>
      </c>
      <c r="AC3576">
        <v>11715</v>
      </c>
      <c r="AD3576">
        <v>0.86</v>
      </c>
      <c r="AE3576">
        <v>268</v>
      </c>
      <c r="AF3576">
        <v>220</v>
      </c>
      <c r="AG3576" t="s">
        <v>120</v>
      </c>
      <c r="AH3576">
        <v>0</v>
      </c>
      <c r="AI3576" t="s">
        <v>120</v>
      </c>
      <c r="AJ3576">
        <v>2.85</v>
      </c>
      <c r="AK3576" t="s">
        <v>15026</v>
      </c>
      <c r="AL3576">
        <v>0.48</v>
      </c>
      <c r="AM3576">
        <v>718</v>
      </c>
      <c r="AN3576">
        <v>30</v>
      </c>
      <c r="AO3576">
        <v>1.1000000000000001E-3</v>
      </c>
      <c r="AP3576">
        <v>-1</v>
      </c>
      <c r="AQ3576">
        <v>1.32</v>
      </c>
      <c r="AR3576">
        <v>-1.02</v>
      </c>
      <c r="AS3576">
        <v>0.59</v>
      </c>
      <c r="AT3576">
        <v>12.11</v>
      </c>
      <c r="AU3576">
        <v>2.23</v>
      </c>
      <c r="AV3576">
        <v>0</v>
      </c>
      <c r="AW3576">
        <v>1.5</v>
      </c>
      <c r="AX3576">
        <v>50.68</v>
      </c>
      <c r="AY3576">
        <v>23.23</v>
      </c>
      <c r="AZ3576">
        <v>21.21</v>
      </c>
      <c r="BA3576">
        <v>0.28000000000000003</v>
      </c>
      <c r="BB3576" t="s">
        <v>143</v>
      </c>
      <c r="BF3576">
        <v>0.06</v>
      </c>
      <c r="BG3576">
        <v>-0.87</v>
      </c>
      <c r="BH3576">
        <v>-2.2799999999999998</v>
      </c>
      <c r="BI3576">
        <v>0.74</v>
      </c>
      <c r="BJ3576">
        <v>20210825</v>
      </c>
      <c r="BK3576">
        <v>20170324</v>
      </c>
      <c r="BL3576">
        <v>2.85</v>
      </c>
      <c r="BM3576" t="s">
        <v>120</v>
      </c>
      <c r="BN3576" t="s">
        <v>120</v>
      </c>
      <c r="BO3576">
        <v>34.979999999999997</v>
      </c>
      <c r="BP3576">
        <v>6.84</v>
      </c>
      <c r="BQ3576">
        <v>10.99</v>
      </c>
      <c r="BR3576">
        <v>2.81</v>
      </c>
      <c r="BS3576">
        <v>60.57</v>
      </c>
      <c r="BT3576">
        <v>16.38</v>
      </c>
      <c r="BU3576">
        <v>0.61</v>
      </c>
      <c r="BV3576">
        <v>0.6</v>
      </c>
      <c r="BW3576">
        <v>19.63</v>
      </c>
      <c r="BX3576">
        <v>0.63</v>
      </c>
      <c r="BY3576">
        <v>0.48</v>
      </c>
      <c r="BZ3576">
        <v>3.06</v>
      </c>
      <c r="CA3576">
        <v>0</v>
      </c>
      <c r="CB3576">
        <v>2.17</v>
      </c>
      <c r="CC3576">
        <v>2.76</v>
      </c>
      <c r="CD3576">
        <v>2.12</v>
      </c>
      <c r="CE3576">
        <v>0.41</v>
      </c>
      <c r="CF3576">
        <v>0.12</v>
      </c>
      <c r="CG3576">
        <v>0.41</v>
      </c>
      <c r="CH3576">
        <v>0.36</v>
      </c>
      <c r="CI3576">
        <v>0.36</v>
      </c>
      <c r="CJ3576">
        <v>-0.06</v>
      </c>
      <c r="CK3576">
        <v>0.18</v>
      </c>
      <c r="CL3576">
        <v>5.39</v>
      </c>
      <c r="CM3576">
        <v>1.33</v>
      </c>
      <c r="CN3576">
        <v>-0.72</v>
      </c>
      <c r="CO3576">
        <v>8704</v>
      </c>
      <c r="CP3576">
        <v>16603</v>
      </c>
      <c r="CQ3576" t="s">
        <v>2619</v>
      </c>
      <c r="CR3576">
        <v>-18.57</v>
      </c>
      <c r="CS3576">
        <v>-15.07</v>
      </c>
      <c r="CT3576">
        <v>1.78</v>
      </c>
      <c r="CU3576">
        <v>14.69</v>
      </c>
      <c r="CV3576">
        <v>7.07</v>
      </c>
      <c r="CW3576">
        <v>0.87</v>
      </c>
      <c r="CX3576" t="s">
        <v>850</v>
      </c>
      <c r="CY3576">
        <v>3.85</v>
      </c>
      <c r="CZ3576">
        <v>0</v>
      </c>
      <c r="DA3576">
        <v>0.76</v>
      </c>
      <c r="DB3576">
        <v>1.89</v>
      </c>
      <c r="DC3576">
        <v>0.47</v>
      </c>
      <c r="DD3576">
        <v>31.4</v>
      </c>
      <c r="DE3576" t="s">
        <v>1482</v>
      </c>
      <c r="DF3576">
        <v>23.13</v>
      </c>
      <c r="DG3576">
        <v>14.77</v>
      </c>
      <c r="DH3576">
        <v>12.86</v>
      </c>
      <c r="DI3576">
        <v>0.1</v>
      </c>
      <c r="DJ3576">
        <v>421</v>
      </c>
      <c r="DK3576">
        <v>603388</v>
      </c>
      <c r="DL3576" t="s">
        <v>120</v>
      </c>
      <c r="DM3576" t="s">
        <v>120</v>
      </c>
      <c r="DN3576" t="s">
        <v>120</v>
      </c>
    </row>
    <row r="3577" spans="1:118">
      <c r="A3577" t="str">
        <f>"603389"</f>
        <v>603389</v>
      </c>
      <c r="B3577" t="s">
        <v>15027</v>
      </c>
      <c r="C3577">
        <v>1.51</v>
      </c>
      <c r="D3577">
        <v>-0.15</v>
      </c>
      <c r="E3577">
        <v>0</v>
      </c>
      <c r="F3577">
        <v>749</v>
      </c>
      <c r="G3577" t="s">
        <v>15028</v>
      </c>
      <c r="H3577">
        <v>2548.5500000000002</v>
      </c>
      <c r="I3577">
        <v>4.05</v>
      </c>
      <c r="J3577" t="s">
        <v>120</v>
      </c>
      <c r="K3577" t="s">
        <v>8363</v>
      </c>
      <c r="L3577">
        <v>1.61</v>
      </c>
      <c r="M3577">
        <v>6.05</v>
      </c>
      <c r="N3577">
        <v>1.1000000000000001</v>
      </c>
      <c r="O3577">
        <v>2.85</v>
      </c>
      <c r="P3577">
        <v>6.13</v>
      </c>
      <c r="Q3577">
        <v>-1.34</v>
      </c>
      <c r="R3577">
        <v>5.88</v>
      </c>
      <c r="S3577">
        <v>5.96</v>
      </c>
      <c r="T3577">
        <v>42331</v>
      </c>
      <c r="U3577">
        <v>6.06</v>
      </c>
      <c r="V3577">
        <v>5.96</v>
      </c>
      <c r="W3577" t="s">
        <v>120</v>
      </c>
      <c r="X3577" t="s">
        <v>2409</v>
      </c>
      <c r="Y3577" t="s">
        <v>319</v>
      </c>
      <c r="Z3577">
        <v>4.1900000000000004</v>
      </c>
      <c r="AA3577">
        <v>6.02</v>
      </c>
      <c r="AB3577">
        <v>19770</v>
      </c>
      <c r="AC3577">
        <v>22561</v>
      </c>
      <c r="AD3577">
        <v>0.88</v>
      </c>
      <c r="AE3577">
        <v>45</v>
      </c>
      <c r="AF3577">
        <v>152</v>
      </c>
      <c r="AG3577" t="s">
        <v>120</v>
      </c>
      <c r="AH3577">
        <v>0.01</v>
      </c>
      <c r="AI3577" t="s">
        <v>120</v>
      </c>
      <c r="AJ3577">
        <v>2.63</v>
      </c>
      <c r="AK3577" t="s">
        <v>8363</v>
      </c>
      <c r="AL3577">
        <v>2.85</v>
      </c>
      <c r="AM3577">
        <v>1719</v>
      </c>
      <c r="AN3577">
        <v>25</v>
      </c>
      <c r="AO3577">
        <v>8.9999999999999998E-4</v>
      </c>
      <c r="AP3577">
        <v>4</v>
      </c>
      <c r="AQ3577">
        <v>2.0499999999999998</v>
      </c>
      <c r="AR3577">
        <v>5.03</v>
      </c>
      <c r="AS3577">
        <v>25.78</v>
      </c>
      <c r="AT3577">
        <v>35.340000000000003</v>
      </c>
      <c r="AU3577">
        <v>75.88</v>
      </c>
      <c r="AV3577">
        <v>5</v>
      </c>
      <c r="AW3577">
        <v>5.6</v>
      </c>
      <c r="AX3577">
        <v>28.75</v>
      </c>
      <c r="AY3577">
        <v>94.07</v>
      </c>
      <c r="AZ3577">
        <v>93.7</v>
      </c>
      <c r="BA3577">
        <v>0.2</v>
      </c>
      <c r="BB3577" t="s">
        <v>184</v>
      </c>
      <c r="BF3577">
        <v>1.02</v>
      </c>
      <c r="BG3577">
        <v>1.51</v>
      </c>
      <c r="BH3577">
        <v>-1.31</v>
      </c>
      <c r="BI3577">
        <v>2.89</v>
      </c>
      <c r="BJ3577">
        <v>20210825</v>
      </c>
      <c r="BK3577">
        <v>20161215</v>
      </c>
      <c r="BL3577">
        <v>2.63</v>
      </c>
      <c r="BM3577" t="s">
        <v>120</v>
      </c>
      <c r="BN3577" t="s">
        <v>120</v>
      </c>
      <c r="BO3577">
        <v>9</v>
      </c>
      <c r="BP3577">
        <v>6.05</v>
      </c>
      <c r="BQ3577">
        <v>6.49</v>
      </c>
      <c r="BR3577">
        <v>-0.11</v>
      </c>
      <c r="BS3577">
        <v>29.15</v>
      </c>
      <c r="BT3577">
        <v>4</v>
      </c>
      <c r="BU3577">
        <v>1.63</v>
      </c>
      <c r="BV3577">
        <v>0.52</v>
      </c>
      <c r="BW3577">
        <v>1.25</v>
      </c>
      <c r="BX3577">
        <v>0.83</v>
      </c>
      <c r="BY3577">
        <v>2.09</v>
      </c>
      <c r="BZ3577">
        <v>0.35</v>
      </c>
      <c r="CA3577" t="s">
        <v>120</v>
      </c>
      <c r="CB3577">
        <v>3.34</v>
      </c>
      <c r="CC3577">
        <v>1.28</v>
      </c>
      <c r="CD3577">
        <v>0.56999999999999995</v>
      </c>
      <c r="CE3577">
        <v>-0.25</v>
      </c>
      <c r="CF3577">
        <v>0.03</v>
      </c>
      <c r="CG3577">
        <v>-0.21</v>
      </c>
      <c r="CH3577">
        <v>-0.19</v>
      </c>
      <c r="CI3577">
        <v>-0.18</v>
      </c>
      <c r="CJ3577">
        <v>0.09</v>
      </c>
      <c r="CK3577">
        <v>-0.27</v>
      </c>
      <c r="CL3577">
        <v>0.19</v>
      </c>
      <c r="CM3577">
        <v>-0.61</v>
      </c>
      <c r="CN3577">
        <v>-0.56000000000000005</v>
      </c>
      <c r="CO3577">
        <v>10551</v>
      </c>
      <c r="CP3577">
        <v>7161</v>
      </c>
      <c r="CQ3577" t="s">
        <v>2301</v>
      </c>
      <c r="CR3577">
        <v>-0.36</v>
      </c>
      <c r="CS3577">
        <v>27.93</v>
      </c>
      <c r="CT3577">
        <v>2.4500000000000002</v>
      </c>
      <c r="CU3577">
        <v>-25.86</v>
      </c>
      <c r="CV3577">
        <v>12.38</v>
      </c>
      <c r="CW3577">
        <v>0.67</v>
      </c>
      <c r="CX3577" t="s">
        <v>809</v>
      </c>
      <c r="CY3577">
        <v>2.4700000000000002</v>
      </c>
      <c r="CZ3577">
        <v>0</v>
      </c>
      <c r="DA3577">
        <v>1.27</v>
      </c>
      <c r="DB3577">
        <v>7.0000000000000007E-2</v>
      </c>
      <c r="DC3577">
        <v>-0.23</v>
      </c>
      <c r="DD3577">
        <v>72.06</v>
      </c>
      <c r="DE3577" t="s">
        <v>15029</v>
      </c>
      <c r="DF3577">
        <v>55.22</v>
      </c>
      <c r="DG3577">
        <v>-19.68</v>
      </c>
      <c r="DH3577">
        <v>-14.24</v>
      </c>
      <c r="DI3577">
        <v>0.06</v>
      </c>
      <c r="DJ3577">
        <v>1226</v>
      </c>
      <c r="DK3577">
        <v>603389</v>
      </c>
      <c r="DL3577" t="s">
        <v>120</v>
      </c>
      <c r="DM3577" t="s">
        <v>120</v>
      </c>
      <c r="DN3577" t="s">
        <v>120</v>
      </c>
    </row>
    <row r="3578" spans="1:118">
      <c r="A3578" t="str">
        <f>"603390"</f>
        <v>603390</v>
      </c>
      <c r="B3578" t="s">
        <v>15030</v>
      </c>
      <c r="C3578">
        <v>-1.63</v>
      </c>
      <c r="D3578">
        <v>0.11</v>
      </c>
      <c r="E3578">
        <v>-0.11</v>
      </c>
      <c r="F3578">
        <v>313</v>
      </c>
      <c r="G3578" t="s">
        <v>15031</v>
      </c>
      <c r="H3578">
        <v>2094.13</v>
      </c>
      <c r="I3578">
        <v>1.01</v>
      </c>
      <c r="J3578" t="s">
        <v>120</v>
      </c>
      <c r="K3578" t="s">
        <v>15031</v>
      </c>
      <c r="L3578">
        <v>1.78</v>
      </c>
      <c r="M3578">
        <v>9.0399999999999991</v>
      </c>
      <c r="N3578">
        <v>1.21</v>
      </c>
      <c r="O3578">
        <v>0.76</v>
      </c>
      <c r="P3578">
        <v>9.26</v>
      </c>
      <c r="Q3578">
        <v>-1.85</v>
      </c>
      <c r="R3578">
        <v>9.02</v>
      </c>
      <c r="S3578">
        <v>9.18</v>
      </c>
      <c r="T3578">
        <v>22937</v>
      </c>
      <c r="U3578">
        <v>9.0500000000000007</v>
      </c>
      <c r="V3578">
        <v>9.19</v>
      </c>
      <c r="W3578">
        <v>171.14</v>
      </c>
      <c r="X3578" t="s">
        <v>289</v>
      </c>
      <c r="Y3578" t="s">
        <v>547</v>
      </c>
      <c r="Z3578">
        <v>2.61</v>
      </c>
      <c r="AA3578">
        <v>9.1300000000000008</v>
      </c>
      <c r="AB3578">
        <v>14491</v>
      </c>
      <c r="AC3578">
        <v>8446</v>
      </c>
      <c r="AD3578">
        <v>1.72</v>
      </c>
      <c r="AE3578">
        <v>217</v>
      </c>
      <c r="AF3578">
        <v>26</v>
      </c>
      <c r="AG3578" t="s">
        <v>120</v>
      </c>
      <c r="AH3578">
        <v>0</v>
      </c>
      <c r="AI3578" t="s">
        <v>120</v>
      </c>
      <c r="AJ3578">
        <v>1.29</v>
      </c>
      <c r="AK3578" t="s">
        <v>4665</v>
      </c>
      <c r="AL3578">
        <v>-0.28999999999999998</v>
      </c>
      <c r="AM3578">
        <v>905</v>
      </c>
      <c r="AN3578">
        <v>25</v>
      </c>
      <c r="AO3578">
        <v>2E-3</v>
      </c>
      <c r="AP3578">
        <v>-1</v>
      </c>
      <c r="AQ3578">
        <v>0.44</v>
      </c>
      <c r="AR3578">
        <v>-2.58</v>
      </c>
      <c r="AS3578">
        <v>0.55000000000000004</v>
      </c>
      <c r="AT3578">
        <v>-5.05</v>
      </c>
      <c r="AU3578">
        <v>-13.5</v>
      </c>
      <c r="AV3578">
        <v>4</v>
      </c>
      <c r="AW3578">
        <v>1.78</v>
      </c>
      <c r="AX3578">
        <v>36.549999999999997</v>
      </c>
      <c r="AY3578">
        <v>77.87</v>
      </c>
      <c r="AZ3578">
        <v>69.2</v>
      </c>
      <c r="BA3578">
        <v>1.07</v>
      </c>
      <c r="BB3578" t="s">
        <v>143</v>
      </c>
      <c r="BF3578">
        <v>-0.65</v>
      </c>
      <c r="BG3578">
        <v>-1.53</v>
      </c>
      <c r="BH3578">
        <v>-2.38</v>
      </c>
      <c r="BI3578">
        <v>0.22</v>
      </c>
      <c r="BJ3578">
        <v>20210817</v>
      </c>
      <c r="BK3578">
        <v>20191125</v>
      </c>
      <c r="BL3578">
        <v>3.52</v>
      </c>
      <c r="BM3578" t="s">
        <v>120</v>
      </c>
      <c r="BN3578" t="s">
        <v>120</v>
      </c>
      <c r="BO3578">
        <v>20.84</v>
      </c>
      <c r="BP3578">
        <v>9.0399999999999991</v>
      </c>
      <c r="BQ3578">
        <v>16.899999999999999</v>
      </c>
      <c r="BR3578">
        <v>0.27</v>
      </c>
      <c r="BS3578">
        <v>17.64</v>
      </c>
      <c r="BT3578">
        <v>12.62</v>
      </c>
      <c r="BU3578">
        <v>4.62</v>
      </c>
      <c r="BV3578">
        <v>0.85</v>
      </c>
      <c r="BW3578">
        <v>3.65</v>
      </c>
      <c r="BX3578">
        <v>2.93</v>
      </c>
      <c r="BY3578">
        <v>2.02</v>
      </c>
      <c r="BZ3578">
        <v>3.22</v>
      </c>
      <c r="CA3578" t="s">
        <v>120</v>
      </c>
      <c r="CB3578">
        <v>9.1300000000000008</v>
      </c>
      <c r="CC3578">
        <v>2.2400000000000002</v>
      </c>
      <c r="CD3578">
        <v>1.59</v>
      </c>
      <c r="CE3578">
        <v>0.06</v>
      </c>
      <c r="CF3578">
        <v>0.01</v>
      </c>
      <c r="CG3578">
        <v>0.05</v>
      </c>
      <c r="CH3578">
        <v>0.08</v>
      </c>
      <c r="CI3578">
        <v>0.09</v>
      </c>
      <c r="CJ3578">
        <v>-0.15</v>
      </c>
      <c r="CK3578">
        <v>0.04</v>
      </c>
      <c r="CL3578">
        <v>3.75</v>
      </c>
      <c r="CM3578">
        <v>0.13</v>
      </c>
      <c r="CN3578">
        <v>-3.28</v>
      </c>
      <c r="CO3578">
        <v>24704</v>
      </c>
      <c r="CP3578">
        <v>5203</v>
      </c>
      <c r="CQ3578" t="s">
        <v>5667</v>
      </c>
      <c r="CR3578">
        <v>-35.89</v>
      </c>
      <c r="CS3578">
        <v>-15.84</v>
      </c>
      <c r="CT3578">
        <v>1.88</v>
      </c>
      <c r="CU3578">
        <v>240.53</v>
      </c>
      <c r="CV3578">
        <v>14.18</v>
      </c>
      <c r="CW3578">
        <v>1.08</v>
      </c>
      <c r="CX3578" t="s">
        <v>2074</v>
      </c>
      <c r="CY3578">
        <v>4.8</v>
      </c>
      <c r="CZ3578">
        <v>0</v>
      </c>
      <c r="DA3578">
        <v>2.6</v>
      </c>
      <c r="DB3578">
        <v>1.07</v>
      </c>
      <c r="DC3578">
        <v>0.04</v>
      </c>
      <c r="DD3578">
        <v>81.08</v>
      </c>
      <c r="DE3578" t="s">
        <v>2369</v>
      </c>
      <c r="DF3578">
        <v>29.15</v>
      </c>
      <c r="DG3578">
        <v>2.5099999999999998</v>
      </c>
      <c r="DH3578">
        <v>4.1399999999999997</v>
      </c>
      <c r="DI3578">
        <v>0.34</v>
      </c>
      <c r="DJ3578">
        <v>1079</v>
      </c>
      <c r="DK3578">
        <v>603390</v>
      </c>
      <c r="DL3578" t="s">
        <v>120</v>
      </c>
      <c r="DM3578" t="s">
        <v>120</v>
      </c>
      <c r="DN3578" t="s">
        <v>120</v>
      </c>
    </row>
    <row r="3579" spans="1:118">
      <c r="A3579" t="str">
        <f>"603392"</f>
        <v>603392</v>
      </c>
      <c r="B3579" t="s">
        <v>15032</v>
      </c>
      <c r="C3579">
        <v>-2.35</v>
      </c>
      <c r="D3579">
        <v>-0.05</v>
      </c>
      <c r="E3579">
        <v>0</v>
      </c>
      <c r="F3579">
        <v>433</v>
      </c>
      <c r="G3579" t="s">
        <v>15033</v>
      </c>
      <c r="H3579">
        <v>25740.21</v>
      </c>
      <c r="I3579">
        <v>96.66</v>
      </c>
      <c r="J3579" t="s">
        <v>120</v>
      </c>
      <c r="K3579" t="s">
        <v>15033</v>
      </c>
      <c r="L3579">
        <v>0.97</v>
      </c>
      <c r="M3579">
        <v>174.8</v>
      </c>
      <c r="N3579">
        <v>0.86</v>
      </c>
      <c r="O3579">
        <v>0.56000000000000005</v>
      </c>
      <c r="P3579">
        <v>180</v>
      </c>
      <c r="Q3579">
        <v>-2.74</v>
      </c>
      <c r="R3579">
        <v>174.1</v>
      </c>
      <c r="S3579">
        <v>179</v>
      </c>
      <c r="T3579">
        <v>14617</v>
      </c>
      <c r="U3579">
        <v>174.82</v>
      </c>
      <c r="V3579">
        <v>179</v>
      </c>
      <c r="W3579">
        <v>73.53</v>
      </c>
      <c r="X3579" t="s">
        <v>555</v>
      </c>
      <c r="Y3579" t="s">
        <v>158</v>
      </c>
      <c r="Z3579">
        <v>3.3</v>
      </c>
      <c r="AA3579">
        <v>176.1</v>
      </c>
      <c r="AB3579">
        <v>7420</v>
      </c>
      <c r="AC3579">
        <v>7197</v>
      </c>
      <c r="AD3579">
        <v>1.03</v>
      </c>
      <c r="AE3579">
        <v>13</v>
      </c>
      <c r="AF3579">
        <v>1</v>
      </c>
      <c r="AG3579" t="s">
        <v>120</v>
      </c>
      <c r="AH3579">
        <v>0</v>
      </c>
      <c r="AI3579" t="s">
        <v>120</v>
      </c>
      <c r="AJ3579">
        <v>1.51</v>
      </c>
      <c r="AK3579" t="s">
        <v>15034</v>
      </c>
      <c r="AL3579">
        <v>-1</v>
      </c>
      <c r="AM3579">
        <v>2828</v>
      </c>
      <c r="AN3579">
        <v>5</v>
      </c>
      <c r="AO3579">
        <v>2.9999999999999997E-4</v>
      </c>
      <c r="AP3579">
        <v>-5</v>
      </c>
      <c r="AQ3579">
        <v>-0.83</v>
      </c>
      <c r="AR3579">
        <v>-5.65</v>
      </c>
      <c r="AS3579">
        <v>-26.95</v>
      </c>
      <c r="AT3579">
        <v>-30.64</v>
      </c>
      <c r="AU3579">
        <v>21.58</v>
      </c>
      <c r="AV3579">
        <v>4</v>
      </c>
      <c r="AW3579">
        <v>0.97</v>
      </c>
      <c r="AX3579">
        <v>24.84</v>
      </c>
      <c r="AY3579">
        <v>94.1</v>
      </c>
      <c r="AZ3579">
        <v>160.5</v>
      </c>
      <c r="BA3579">
        <v>1.32</v>
      </c>
      <c r="BB3579" t="s">
        <v>168</v>
      </c>
      <c r="BF3579">
        <v>-1.62</v>
      </c>
      <c r="BG3579">
        <v>-2.35</v>
      </c>
      <c r="BH3579">
        <v>-2.89</v>
      </c>
      <c r="BI3579">
        <v>0.4</v>
      </c>
      <c r="BJ3579">
        <v>20210818</v>
      </c>
      <c r="BK3579">
        <v>20200429</v>
      </c>
      <c r="BL3579">
        <v>6.07</v>
      </c>
      <c r="BM3579" t="s">
        <v>120</v>
      </c>
      <c r="BN3579" t="s">
        <v>120</v>
      </c>
      <c r="BO3579">
        <v>44.08</v>
      </c>
      <c r="BP3579">
        <v>174.8</v>
      </c>
      <c r="BQ3579">
        <v>31.67</v>
      </c>
      <c r="BR3579">
        <v>0.35</v>
      </c>
      <c r="BS3579">
        <v>27.37</v>
      </c>
      <c r="BT3579">
        <v>25.28</v>
      </c>
      <c r="BU3579">
        <v>5.68</v>
      </c>
      <c r="BV3579">
        <v>2.91</v>
      </c>
      <c r="BW3579">
        <v>10.98</v>
      </c>
      <c r="BX3579">
        <v>7.15</v>
      </c>
      <c r="BY3579">
        <v>5.0999999999999996</v>
      </c>
      <c r="BZ3579">
        <v>11.81</v>
      </c>
      <c r="CA3579" t="s">
        <v>120</v>
      </c>
      <c r="CB3579">
        <v>4.46</v>
      </c>
      <c r="CC3579">
        <v>19.64</v>
      </c>
      <c r="CD3579">
        <v>2.9</v>
      </c>
      <c r="CE3579">
        <v>8.2200000000000006</v>
      </c>
      <c r="CF3579">
        <v>0.05</v>
      </c>
      <c r="CG3579">
        <v>8.2200000000000006</v>
      </c>
      <c r="CH3579">
        <v>7.28</v>
      </c>
      <c r="CI3579">
        <v>7.22</v>
      </c>
      <c r="CJ3579">
        <v>-4.2</v>
      </c>
      <c r="CK3579">
        <v>6.92</v>
      </c>
      <c r="CL3579">
        <v>18.86</v>
      </c>
      <c r="CM3579">
        <v>3.77</v>
      </c>
      <c r="CN3579">
        <v>0.13</v>
      </c>
      <c r="CO3579">
        <v>18716</v>
      </c>
      <c r="CP3579">
        <v>8058</v>
      </c>
      <c r="CQ3579" t="s">
        <v>15035</v>
      </c>
      <c r="CR3579">
        <v>195.92</v>
      </c>
      <c r="CS3579">
        <v>132.78</v>
      </c>
      <c r="CT3579">
        <v>33.51</v>
      </c>
      <c r="CU3579">
        <v>281.41000000000003</v>
      </c>
      <c r="CV3579">
        <v>54.03</v>
      </c>
      <c r="CW3579">
        <v>0.1</v>
      </c>
      <c r="CX3579" t="s">
        <v>15036</v>
      </c>
      <c r="CY3579">
        <v>5.22</v>
      </c>
      <c r="CZ3579">
        <v>0</v>
      </c>
      <c r="DA3579">
        <v>0.74</v>
      </c>
      <c r="DB3579">
        <v>3.11</v>
      </c>
      <c r="DC3579">
        <v>0.62</v>
      </c>
      <c r="DD3579">
        <v>71.84</v>
      </c>
      <c r="DE3579" t="s">
        <v>15037</v>
      </c>
      <c r="DF3579">
        <v>85.22</v>
      </c>
      <c r="DG3579">
        <v>41.86</v>
      </c>
      <c r="DH3579">
        <v>36.74</v>
      </c>
      <c r="DI3579">
        <v>2.04</v>
      </c>
      <c r="DJ3579">
        <v>2582</v>
      </c>
      <c r="DK3579">
        <v>603392</v>
      </c>
      <c r="DL3579" t="s">
        <v>120</v>
      </c>
      <c r="DM3579" t="s">
        <v>120</v>
      </c>
      <c r="DN3579" t="s">
        <v>120</v>
      </c>
    </row>
    <row r="3580" spans="1:118">
      <c r="A3580" t="str">
        <f>"603393"</f>
        <v>603393</v>
      </c>
      <c r="B3580" t="s">
        <v>15038</v>
      </c>
      <c r="C3580">
        <v>-2.63</v>
      </c>
      <c r="D3580">
        <v>0</v>
      </c>
      <c r="E3580">
        <v>2.6</v>
      </c>
      <c r="F3580">
        <v>2768</v>
      </c>
      <c r="G3580" t="s">
        <v>15039</v>
      </c>
      <c r="H3580">
        <v>165539.67000000001</v>
      </c>
      <c r="I3580">
        <v>1683.05</v>
      </c>
      <c r="J3580" t="s">
        <v>120</v>
      </c>
      <c r="K3580" t="s">
        <v>15040</v>
      </c>
      <c r="L3580">
        <v>10.89</v>
      </c>
      <c r="M3580">
        <v>38.909999999999997</v>
      </c>
      <c r="N3580">
        <v>1.01</v>
      </c>
      <c r="O3580">
        <v>4.9800000000000004</v>
      </c>
      <c r="P3580">
        <v>41.95</v>
      </c>
      <c r="Q3580">
        <v>-3.65</v>
      </c>
      <c r="R3580">
        <v>38.5</v>
      </c>
      <c r="S3580">
        <v>41</v>
      </c>
      <c r="T3580">
        <v>409498</v>
      </c>
      <c r="U3580">
        <v>38.909999999999997</v>
      </c>
      <c r="V3580">
        <v>39.96</v>
      </c>
      <c r="W3580">
        <v>9.11</v>
      </c>
      <c r="X3580" t="s">
        <v>684</v>
      </c>
      <c r="Y3580" t="s">
        <v>609</v>
      </c>
      <c r="Z3580">
        <v>8.6300000000000008</v>
      </c>
      <c r="AA3580">
        <v>40.43</v>
      </c>
      <c r="AB3580">
        <v>220244</v>
      </c>
      <c r="AC3580">
        <v>189254</v>
      </c>
      <c r="AD3580">
        <v>1.1599999999999999</v>
      </c>
      <c r="AE3580">
        <v>70</v>
      </c>
      <c r="AF3580">
        <v>65</v>
      </c>
      <c r="AG3580" t="s">
        <v>120</v>
      </c>
      <c r="AH3580">
        <v>0.19</v>
      </c>
      <c r="AI3580" t="s">
        <v>120</v>
      </c>
      <c r="AJ3580">
        <v>3.76</v>
      </c>
      <c r="AK3580" t="s">
        <v>15040</v>
      </c>
      <c r="AL3580">
        <v>-1.28</v>
      </c>
      <c r="AM3580">
        <v>4658</v>
      </c>
      <c r="AN3580">
        <v>88</v>
      </c>
      <c r="AO3580">
        <v>2.3E-3</v>
      </c>
      <c r="AP3580">
        <v>-1</v>
      </c>
      <c r="AQ3580">
        <v>2.46</v>
      </c>
      <c r="AR3580">
        <v>-5.07</v>
      </c>
      <c r="AS3580">
        <v>77.59</v>
      </c>
      <c r="AT3580">
        <v>108.85</v>
      </c>
      <c r="AU3580">
        <v>102.84</v>
      </c>
      <c r="AV3580">
        <v>3</v>
      </c>
      <c r="AW3580">
        <v>18.510000000000002</v>
      </c>
      <c r="AX3580">
        <v>58.83</v>
      </c>
      <c r="AY3580">
        <v>15.21</v>
      </c>
      <c r="AZ3580">
        <v>41.87</v>
      </c>
      <c r="BA3580">
        <v>1.37</v>
      </c>
      <c r="BB3580" t="s">
        <v>184</v>
      </c>
      <c r="BF3580">
        <v>1.1599999999999999</v>
      </c>
      <c r="BG3580">
        <v>-5.0999999999999996</v>
      </c>
      <c r="BH3580">
        <v>-7.25</v>
      </c>
      <c r="BI3580">
        <v>1.06</v>
      </c>
      <c r="BJ3580">
        <v>20210830</v>
      </c>
      <c r="BK3580">
        <v>20160912</v>
      </c>
      <c r="BL3580">
        <v>3.76</v>
      </c>
      <c r="BM3580" t="s">
        <v>120</v>
      </c>
      <c r="BN3580" t="s">
        <v>120</v>
      </c>
      <c r="BO3580">
        <v>95.88</v>
      </c>
      <c r="BP3580">
        <v>38.9</v>
      </c>
      <c r="BQ3580">
        <v>33.299999999999997</v>
      </c>
      <c r="BR3580">
        <v>32.299999999999997</v>
      </c>
      <c r="BS3580">
        <v>31.59</v>
      </c>
      <c r="BT3580">
        <v>38.78</v>
      </c>
      <c r="BU3580">
        <v>2.56</v>
      </c>
      <c r="BV3580">
        <v>0.34</v>
      </c>
      <c r="BW3580">
        <v>12.13</v>
      </c>
      <c r="BX3580">
        <v>18.559999999999999</v>
      </c>
      <c r="BY3580">
        <v>0.27</v>
      </c>
      <c r="BZ3580">
        <v>5.83</v>
      </c>
      <c r="CA3580" t="s">
        <v>120</v>
      </c>
      <c r="CB3580">
        <v>10.52</v>
      </c>
      <c r="CC3580">
        <v>11.33</v>
      </c>
      <c r="CD3580">
        <v>6.05</v>
      </c>
      <c r="CE3580">
        <v>11.59</v>
      </c>
      <c r="CF3580">
        <v>5.82</v>
      </c>
      <c r="CG3580">
        <v>11.6</v>
      </c>
      <c r="CH3580">
        <v>10.17</v>
      </c>
      <c r="CI3580">
        <v>8.0399999999999991</v>
      </c>
      <c r="CJ3580">
        <v>-1.05</v>
      </c>
      <c r="CK3580">
        <v>2.4900000000000002</v>
      </c>
      <c r="CL3580">
        <v>16.489999999999998</v>
      </c>
      <c r="CM3580">
        <v>2.2599999999999998</v>
      </c>
      <c r="CN3580">
        <v>-6.09</v>
      </c>
      <c r="CO3580">
        <v>39089</v>
      </c>
      <c r="CP3580">
        <v>5661</v>
      </c>
      <c r="CQ3580" t="s">
        <v>15041</v>
      </c>
      <c r="CR3580">
        <v>360.3</v>
      </c>
      <c r="CS3580">
        <v>18.329999999999998</v>
      </c>
      <c r="CT3580">
        <v>4.3899999999999997</v>
      </c>
      <c r="CU3580">
        <v>64.739999999999995</v>
      </c>
      <c r="CV3580">
        <v>12.92</v>
      </c>
      <c r="CW3580">
        <v>1.25</v>
      </c>
      <c r="CX3580" t="s">
        <v>15042</v>
      </c>
      <c r="CY3580">
        <v>8.85</v>
      </c>
      <c r="CZ3580">
        <v>0</v>
      </c>
      <c r="DA3580">
        <v>2.8</v>
      </c>
      <c r="DB3580">
        <v>4.38</v>
      </c>
      <c r="DC3580">
        <v>0.6</v>
      </c>
      <c r="DD3580">
        <v>34.729999999999997</v>
      </c>
      <c r="DE3580" t="s">
        <v>15043</v>
      </c>
      <c r="DF3580">
        <v>46.61</v>
      </c>
      <c r="DG3580">
        <v>102.35</v>
      </c>
      <c r="DH3580">
        <v>70.95</v>
      </c>
      <c r="DI3580" t="s">
        <v>120</v>
      </c>
      <c r="DJ3580">
        <v>838</v>
      </c>
      <c r="DK3580">
        <v>603393</v>
      </c>
      <c r="DL3580">
        <v>20210909</v>
      </c>
      <c r="DM3580">
        <v>33.409999999999997</v>
      </c>
      <c r="DN3580">
        <v>16.46</v>
      </c>
    </row>
    <row r="3581" spans="1:118">
      <c r="A3581" t="str">
        <f>"603396"</f>
        <v>603396</v>
      </c>
      <c r="B3581" t="s">
        <v>15044</v>
      </c>
      <c r="C3581">
        <v>-4.57</v>
      </c>
      <c r="D3581">
        <v>0</v>
      </c>
      <c r="E3581">
        <v>-0.36</v>
      </c>
      <c r="F3581">
        <v>345</v>
      </c>
      <c r="G3581" t="s">
        <v>6611</v>
      </c>
      <c r="H3581">
        <v>110162.57</v>
      </c>
      <c r="I3581">
        <v>998.52</v>
      </c>
      <c r="J3581" t="s">
        <v>120</v>
      </c>
      <c r="K3581" t="s">
        <v>15045</v>
      </c>
      <c r="L3581">
        <v>6.6</v>
      </c>
      <c r="M3581">
        <v>152.29</v>
      </c>
      <c r="N3581">
        <v>1.19</v>
      </c>
      <c r="O3581">
        <v>5.78</v>
      </c>
      <c r="P3581">
        <v>168.8</v>
      </c>
      <c r="Q3581">
        <v>-8.3800000000000008</v>
      </c>
      <c r="R3581">
        <v>146.21</v>
      </c>
      <c r="S3581">
        <v>159</v>
      </c>
      <c r="T3581">
        <v>69827</v>
      </c>
      <c r="U3581">
        <v>152.30000000000001</v>
      </c>
      <c r="V3581">
        <v>159.58000000000001</v>
      </c>
      <c r="W3581">
        <v>164.82</v>
      </c>
      <c r="X3581" t="s">
        <v>675</v>
      </c>
      <c r="Y3581" t="s">
        <v>432</v>
      </c>
      <c r="Z3581">
        <v>14.16</v>
      </c>
      <c r="AA3581">
        <v>157.77000000000001</v>
      </c>
      <c r="AB3581">
        <v>36523</v>
      </c>
      <c r="AC3581">
        <v>33304</v>
      </c>
      <c r="AD3581">
        <v>1.1000000000000001</v>
      </c>
      <c r="AE3581">
        <v>242</v>
      </c>
      <c r="AF3581">
        <v>23</v>
      </c>
      <c r="AG3581" t="s">
        <v>120</v>
      </c>
      <c r="AH3581">
        <v>0.14000000000000001</v>
      </c>
      <c r="AI3581" t="s">
        <v>120</v>
      </c>
      <c r="AJ3581">
        <v>1.06</v>
      </c>
      <c r="AK3581" t="s">
        <v>15046</v>
      </c>
      <c r="AL3581">
        <v>-3.22</v>
      </c>
      <c r="AM3581">
        <v>4183</v>
      </c>
      <c r="AN3581">
        <v>17</v>
      </c>
      <c r="AO3581">
        <v>1.6000000000000001E-3</v>
      </c>
      <c r="AP3581">
        <v>-1</v>
      </c>
      <c r="AQ3581">
        <v>10</v>
      </c>
      <c r="AR3581">
        <v>8.31</v>
      </c>
      <c r="AS3581">
        <v>14.82</v>
      </c>
      <c r="AT3581">
        <v>246.98</v>
      </c>
      <c r="AU3581">
        <v>237.15</v>
      </c>
      <c r="AV3581">
        <v>24</v>
      </c>
      <c r="AW3581">
        <v>15.73</v>
      </c>
      <c r="AX3581">
        <v>38.270000000000003</v>
      </c>
      <c r="AY3581">
        <v>197</v>
      </c>
      <c r="AZ3581">
        <v>224.22</v>
      </c>
      <c r="BA3581">
        <v>0</v>
      </c>
      <c r="BB3581" t="s">
        <v>143</v>
      </c>
      <c r="BF3581">
        <v>-1.1399999999999999</v>
      </c>
      <c r="BG3581">
        <v>-4.22</v>
      </c>
      <c r="BH3581">
        <v>-9.7799999999999994</v>
      </c>
      <c r="BI3581">
        <v>4.16</v>
      </c>
      <c r="BJ3581">
        <v>20210906</v>
      </c>
      <c r="BK3581">
        <v>20171018</v>
      </c>
      <c r="BL3581">
        <v>1.1599999999999999</v>
      </c>
      <c r="BM3581" t="s">
        <v>120</v>
      </c>
      <c r="BN3581" t="s">
        <v>120</v>
      </c>
      <c r="BO3581">
        <v>28.3</v>
      </c>
      <c r="BP3581">
        <v>152.29</v>
      </c>
      <c r="BQ3581">
        <v>13.9</v>
      </c>
      <c r="BR3581">
        <v>0.38</v>
      </c>
      <c r="BS3581">
        <v>49.55</v>
      </c>
      <c r="BT3581">
        <v>25.24</v>
      </c>
      <c r="BU3581">
        <v>1.98</v>
      </c>
      <c r="BV3581">
        <v>0.09</v>
      </c>
      <c r="BW3581">
        <v>13.91</v>
      </c>
      <c r="BX3581">
        <v>5.97</v>
      </c>
      <c r="BY3581">
        <v>8.41</v>
      </c>
      <c r="BZ3581">
        <v>6.37</v>
      </c>
      <c r="CA3581" t="s">
        <v>120</v>
      </c>
      <c r="CB3581">
        <v>7.83</v>
      </c>
      <c r="CC3581">
        <v>7.06</v>
      </c>
      <c r="CD3581">
        <v>4.8899999999999997</v>
      </c>
      <c r="CE3581">
        <v>0.7</v>
      </c>
      <c r="CF3581">
        <v>-0.01</v>
      </c>
      <c r="CG3581">
        <v>0.71</v>
      </c>
      <c r="CH3581">
        <v>0.57999999999999996</v>
      </c>
      <c r="CI3581">
        <v>0.54</v>
      </c>
      <c r="CJ3581">
        <v>-7.29</v>
      </c>
      <c r="CK3581">
        <v>0.49</v>
      </c>
      <c r="CL3581">
        <v>4.38</v>
      </c>
      <c r="CM3581">
        <v>0.03</v>
      </c>
      <c r="CN3581">
        <v>3.59</v>
      </c>
      <c r="CO3581">
        <v>17418</v>
      </c>
      <c r="CP3581">
        <v>2549</v>
      </c>
      <c r="CQ3581" t="s">
        <v>15047</v>
      </c>
      <c r="CR3581">
        <v>27.04</v>
      </c>
      <c r="CS3581">
        <v>55.5</v>
      </c>
      <c r="CT3581">
        <v>12.71</v>
      </c>
      <c r="CU3581">
        <v>5961.87</v>
      </c>
      <c r="CV3581">
        <v>25.03</v>
      </c>
      <c r="CW3581">
        <v>0.14000000000000001</v>
      </c>
      <c r="CX3581" t="s">
        <v>1001</v>
      </c>
      <c r="CY3581">
        <v>11.99</v>
      </c>
      <c r="CZ3581">
        <v>0</v>
      </c>
      <c r="DA3581">
        <v>6.75</v>
      </c>
      <c r="DB3581">
        <v>3.77</v>
      </c>
      <c r="DC3581">
        <v>0.03</v>
      </c>
      <c r="DD3581">
        <v>49.12</v>
      </c>
      <c r="DE3581" t="s">
        <v>6494</v>
      </c>
      <c r="DF3581">
        <v>30.65</v>
      </c>
      <c r="DG3581">
        <v>9.98</v>
      </c>
      <c r="DH3581">
        <v>7.59</v>
      </c>
      <c r="DI3581">
        <v>0.41</v>
      </c>
      <c r="DJ3581">
        <v>1134</v>
      </c>
      <c r="DK3581">
        <v>603396</v>
      </c>
      <c r="DL3581">
        <v>20210630</v>
      </c>
      <c r="DM3581">
        <v>57.11</v>
      </c>
      <c r="DN3581">
        <v>166.66</v>
      </c>
    </row>
    <row r="3582" spans="1:118">
      <c r="A3582" t="str">
        <f>"603398"</f>
        <v>603398</v>
      </c>
      <c r="B3582" t="s">
        <v>15048</v>
      </c>
      <c r="C3582">
        <v>1.05</v>
      </c>
      <c r="D3582">
        <v>0</v>
      </c>
      <c r="E3582">
        <v>0</v>
      </c>
      <c r="F3582">
        <v>496</v>
      </c>
      <c r="G3582" t="s">
        <v>6600</v>
      </c>
      <c r="H3582">
        <v>3765.3</v>
      </c>
      <c r="I3582">
        <v>12.87</v>
      </c>
      <c r="J3582" t="s">
        <v>120</v>
      </c>
      <c r="K3582" t="s">
        <v>8795</v>
      </c>
      <c r="L3582">
        <v>1.31</v>
      </c>
      <c r="M3582">
        <v>9.65</v>
      </c>
      <c r="N3582">
        <v>1.06</v>
      </c>
      <c r="O3582">
        <v>2.93</v>
      </c>
      <c r="P3582">
        <v>9.83</v>
      </c>
      <c r="Q3582">
        <v>-0.42</v>
      </c>
      <c r="R3582">
        <v>9.51</v>
      </c>
      <c r="S3582">
        <v>9.5500000000000007</v>
      </c>
      <c r="T3582">
        <v>38838</v>
      </c>
      <c r="U3582">
        <v>9.66</v>
      </c>
      <c r="V3582">
        <v>9.5500000000000007</v>
      </c>
      <c r="W3582">
        <v>58.78</v>
      </c>
      <c r="X3582" t="s">
        <v>213</v>
      </c>
      <c r="Y3582" t="s">
        <v>547</v>
      </c>
      <c r="Z3582">
        <v>3.35</v>
      </c>
      <c r="AA3582">
        <v>9.69</v>
      </c>
      <c r="AB3582">
        <v>18958</v>
      </c>
      <c r="AC3582">
        <v>19880</v>
      </c>
      <c r="AD3582">
        <v>0.95</v>
      </c>
      <c r="AE3582">
        <v>60</v>
      </c>
      <c r="AF3582">
        <v>363</v>
      </c>
      <c r="AG3582" t="s">
        <v>120</v>
      </c>
      <c r="AH3582">
        <v>0.01</v>
      </c>
      <c r="AI3582" t="s">
        <v>120</v>
      </c>
      <c r="AJ3582">
        <v>2.96</v>
      </c>
      <c r="AK3582" t="s">
        <v>9785</v>
      </c>
      <c r="AL3582">
        <v>2.39</v>
      </c>
      <c r="AM3582">
        <v>1335</v>
      </c>
      <c r="AN3582">
        <v>29</v>
      </c>
      <c r="AO3582">
        <v>1E-3</v>
      </c>
      <c r="AP3582">
        <v>2</v>
      </c>
      <c r="AQ3582">
        <v>0.42</v>
      </c>
      <c r="AR3582">
        <v>0.42</v>
      </c>
      <c r="AS3582">
        <v>7.1</v>
      </c>
      <c r="AT3582">
        <v>5.21</v>
      </c>
      <c r="AU3582">
        <v>-6.78</v>
      </c>
      <c r="AV3582">
        <v>3</v>
      </c>
      <c r="AW3582">
        <v>2.96</v>
      </c>
      <c r="AX3582">
        <v>38.25</v>
      </c>
      <c r="AY3582">
        <v>97.66</v>
      </c>
      <c r="AZ3582">
        <v>81.97</v>
      </c>
      <c r="BA3582">
        <v>0.53</v>
      </c>
      <c r="BB3582" t="s">
        <v>143</v>
      </c>
      <c r="BF3582">
        <v>1.52</v>
      </c>
      <c r="BG3582">
        <v>1.05</v>
      </c>
      <c r="BH3582">
        <v>-1.83</v>
      </c>
      <c r="BI3582">
        <v>1.47</v>
      </c>
      <c r="BJ3582">
        <v>20210827</v>
      </c>
      <c r="BK3582">
        <v>20151209</v>
      </c>
      <c r="BL3582">
        <v>3.43</v>
      </c>
      <c r="BM3582" t="s">
        <v>120</v>
      </c>
      <c r="BN3582" t="s">
        <v>120</v>
      </c>
      <c r="BO3582">
        <v>11.98</v>
      </c>
      <c r="BP3582">
        <v>9.65</v>
      </c>
      <c r="BQ3582">
        <v>11.11</v>
      </c>
      <c r="BR3582" t="s">
        <v>120</v>
      </c>
      <c r="BS3582">
        <v>7.22</v>
      </c>
      <c r="BT3582">
        <v>5.31</v>
      </c>
      <c r="BU3582">
        <v>3.43</v>
      </c>
      <c r="BV3582">
        <v>0.05</v>
      </c>
      <c r="BW3582">
        <v>0.81</v>
      </c>
      <c r="BX3582">
        <v>0.86</v>
      </c>
      <c r="BY3582">
        <v>2.06</v>
      </c>
      <c r="BZ3582">
        <v>1.34</v>
      </c>
      <c r="CA3582" t="s">
        <v>120</v>
      </c>
      <c r="CB3582">
        <v>4.13</v>
      </c>
      <c r="CC3582">
        <v>2.15</v>
      </c>
      <c r="CD3582">
        <v>1.57</v>
      </c>
      <c r="CE3582">
        <v>0.12</v>
      </c>
      <c r="CF3582">
        <v>0</v>
      </c>
      <c r="CG3582">
        <v>0.33</v>
      </c>
      <c r="CH3582">
        <v>0.28000000000000003</v>
      </c>
      <c r="CI3582">
        <v>0.28000000000000003</v>
      </c>
      <c r="CJ3582">
        <v>0.1</v>
      </c>
      <c r="CK3582">
        <v>0.09</v>
      </c>
      <c r="CL3582">
        <v>3.1</v>
      </c>
      <c r="CM3582">
        <v>-0.49</v>
      </c>
      <c r="CN3582">
        <v>0.43</v>
      </c>
      <c r="CO3582">
        <v>13302</v>
      </c>
      <c r="CP3582">
        <v>9852</v>
      </c>
      <c r="CQ3582" t="s">
        <v>4767</v>
      </c>
      <c r="CR3582">
        <v>-18.57</v>
      </c>
      <c r="CS3582">
        <v>-15.12</v>
      </c>
      <c r="CT3582">
        <v>2.98</v>
      </c>
      <c r="CU3582">
        <v>-67.599999999999994</v>
      </c>
      <c r="CV3582">
        <v>15.38</v>
      </c>
      <c r="CW3582">
        <v>0.61</v>
      </c>
      <c r="CX3582" t="s">
        <v>329</v>
      </c>
      <c r="CY3582">
        <v>3.24</v>
      </c>
      <c r="CZ3582">
        <v>0</v>
      </c>
      <c r="DA3582">
        <v>1.21</v>
      </c>
      <c r="DB3582">
        <v>0.9</v>
      </c>
      <c r="DC3582">
        <v>-0.14000000000000001</v>
      </c>
      <c r="DD3582">
        <v>92.78</v>
      </c>
      <c r="DE3582" t="s">
        <v>5930</v>
      </c>
      <c r="DF3582">
        <v>26.94</v>
      </c>
      <c r="DG3582">
        <v>5.59</v>
      </c>
      <c r="DH3582">
        <v>13.08</v>
      </c>
      <c r="DI3582">
        <v>0.09</v>
      </c>
      <c r="DJ3582">
        <v>571</v>
      </c>
      <c r="DK3582">
        <v>603398</v>
      </c>
      <c r="DL3582" t="s">
        <v>120</v>
      </c>
      <c r="DM3582" t="s">
        <v>120</v>
      </c>
      <c r="DN3582" t="s">
        <v>120</v>
      </c>
    </row>
    <row r="3583" spans="1:118">
      <c r="A3583" t="str">
        <f>"603399"</f>
        <v>603399</v>
      </c>
      <c r="B3583" t="s">
        <v>15049</v>
      </c>
      <c r="C3583">
        <v>-3.53</v>
      </c>
      <c r="D3583">
        <v>0.28999999999999998</v>
      </c>
      <c r="E3583">
        <v>-0.28000000000000003</v>
      </c>
      <c r="F3583">
        <v>2209</v>
      </c>
      <c r="G3583" t="s">
        <v>13465</v>
      </c>
      <c r="H3583">
        <v>16419.189999999999</v>
      </c>
      <c r="I3583">
        <v>61.7</v>
      </c>
      <c r="J3583" t="s">
        <v>120</v>
      </c>
      <c r="K3583" t="s">
        <v>5455</v>
      </c>
      <c r="L3583">
        <v>4.57</v>
      </c>
      <c r="M3583">
        <v>6.83</v>
      </c>
      <c r="N3583">
        <v>1.07</v>
      </c>
      <c r="O3583">
        <v>4.0999999999999996</v>
      </c>
      <c r="P3583">
        <v>7.37</v>
      </c>
      <c r="Q3583">
        <v>-3.81</v>
      </c>
      <c r="R3583">
        <v>6.81</v>
      </c>
      <c r="S3583">
        <v>7.06</v>
      </c>
      <c r="T3583">
        <v>232399</v>
      </c>
      <c r="U3583">
        <v>6.84</v>
      </c>
      <c r="V3583">
        <v>7.08</v>
      </c>
      <c r="W3583">
        <v>368.36</v>
      </c>
      <c r="X3583" t="s">
        <v>1390</v>
      </c>
      <c r="Y3583" t="s">
        <v>432</v>
      </c>
      <c r="Z3583">
        <v>7.91</v>
      </c>
      <c r="AA3583">
        <v>7.07</v>
      </c>
      <c r="AB3583">
        <v>117407</v>
      </c>
      <c r="AC3583">
        <v>114992</v>
      </c>
      <c r="AD3583">
        <v>1.02</v>
      </c>
      <c r="AE3583">
        <v>332</v>
      </c>
      <c r="AF3583">
        <v>767</v>
      </c>
      <c r="AG3583" t="s">
        <v>120</v>
      </c>
      <c r="AH3583">
        <v>0.04</v>
      </c>
      <c r="AI3583" t="s">
        <v>120</v>
      </c>
      <c r="AJ3583">
        <v>5.08</v>
      </c>
      <c r="AK3583" t="s">
        <v>7558</v>
      </c>
      <c r="AL3583">
        <v>-2.19</v>
      </c>
      <c r="AM3583">
        <v>3386</v>
      </c>
      <c r="AN3583">
        <v>69</v>
      </c>
      <c r="AO3583">
        <v>1.4E-3</v>
      </c>
      <c r="AP3583">
        <v>-1</v>
      </c>
      <c r="AQ3583">
        <v>2.91</v>
      </c>
      <c r="AR3583">
        <v>-5.66</v>
      </c>
      <c r="AS3583">
        <v>8.07</v>
      </c>
      <c r="AT3583">
        <v>34.19</v>
      </c>
      <c r="AU3583">
        <v>42.89</v>
      </c>
      <c r="AV3583">
        <v>14</v>
      </c>
      <c r="AW3583">
        <v>10.16</v>
      </c>
      <c r="AX3583">
        <v>44.8</v>
      </c>
      <c r="AY3583" t="s">
        <v>120</v>
      </c>
      <c r="AZ3583" t="s">
        <v>120</v>
      </c>
      <c r="BA3583">
        <v>0.95</v>
      </c>
      <c r="BB3583" t="s">
        <v>168</v>
      </c>
      <c r="BF3583">
        <v>-0.21</v>
      </c>
      <c r="BG3583">
        <v>-3.26</v>
      </c>
      <c r="BH3583">
        <v>-7.33</v>
      </c>
      <c r="BI3583">
        <v>0.28999999999999998</v>
      </c>
      <c r="BJ3583">
        <v>20210831</v>
      </c>
      <c r="BK3583">
        <v>20120824</v>
      </c>
      <c r="BL3583">
        <v>5.1100000000000003</v>
      </c>
      <c r="BM3583" t="s">
        <v>120</v>
      </c>
      <c r="BN3583" t="s">
        <v>120</v>
      </c>
      <c r="BO3583">
        <v>27.21</v>
      </c>
      <c r="BP3583">
        <v>6.83</v>
      </c>
      <c r="BQ3583">
        <v>19.079999999999998</v>
      </c>
      <c r="BR3583">
        <v>-0.01</v>
      </c>
      <c r="BS3583">
        <v>29.91</v>
      </c>
      <c r="BT3583">
        <v>17.62</v>
      </c>
      <c r="BU3583">
        <v>2.65</v>
      </c>
      <c r="BV3583">
        <v>3.51</v>
      </c>
      <c r="BW3583">
        <v>7.82</v>
      </c>
      <c r="BX3583">
        <v>2.77</v>
      </c>
      <c r="BY3583">
        <v>6.02</v>
      </c>
      <c r="BZ3583">
        <v>4.05</v>
      </c>
      <c r="CA3583" t="s">
        <v>120</v>
      </c>
      <c r="CB3583">
        <v>14.11</v>
      </c>
      <c r="CC3583">
        <v>18.059999999999999</v>
      </c>
      <c r="CD3583">
        <v>17.13</v>
      </c>
      <c r="CE3583">
        <v>0.09</v>
      </c>
      <c r="CF3583">
        <v>0</v>
      </c>
      <c r="CG3583">
        <v>0.1</v>
      </c>
      <c r="CH3583">
        <v>0.05</v>
      </c>
      <c r="CI3583">
        <v>0.05</v>
      </c>
      <c r="CJ3583">
        <v>-0.25</v>
      </c>
      <c r="CK3583">
        <v>0.04</v>
      </c>
      <c r="CL3583">
        <v>-1.42</v>
      </c>
      <c r="CM3583">
        <v>2.91</v>
      </c>
      <c r="CN3583">
        <v>0.64</v>
      </c>
      <c r="CO3583">
        <v>24934</v>
      </c>
      <c r="CP3583">
        <v>9172</v>
      </c>
      <c r="CQ3583" t="s">
        <v>8119</v>
      </c>
      <c r="CR3583">
        <v>103.91</v>
      </c>
      <c r="CS3583">
        <v>67.650000000000006</v>
      </c>
      <c r="CT3583">
        <v>1.83</v>
      </c>
      <c r="CU3583">
        <v>11.96</v>
      </c>
      <c r="CV3583">
        <v>1.93</v>
      </c>
      <c r="CW3583">
        <v>0</v>
      </c>
      <c r="CX3583" t="s">
        <v>178</v>
      </c>
      <c r="CY3583">
        <v>3.74</v>
      </c>
      <c r="CZ3583">
        <v>0</v>
      </c>
      <c r="DA3583">
        <v>2.76</v>
      </c>
      <c r="DB3583">
        <v>-0.28000000000000003</v>
      </c>
      <c r="DC3583">
        <v>0.56999999999999995</v>
      </c>
      <c r="DD3583">
        <v>70.11</v>
      </c>
      <c r="DE3583" t="s">
        <v>1875</v>
      </c>
      <c r="DF3583">
        <v>5.19</v>
      </c>
      <c r="DG3583">
        <v>0.47</v>
      </c>
      <c r="DH3583">
        <v>0.26</v>
      </c>
      <c r="DI3583">
        <v>0.01</v>
      </c>
      <c r="DJ3583">
        <v>273</v>
      </c>
      <c r="DK3583">
        <v>603399</v>
      </c>
      <c r="DL3583" t="s">
        <v>120</v>
      </c>
      <c r="DM3583" t="s">
        <v>120</v>
      </c>
      <c r="DN3583" t="s">
        <v>120</v>
      </c>
    </row>
    <row r="3584" spans="1:118">
      <c r="A3584" t="str">
        <f>"603408"</f>
        <v>603408</v>
      </c>
      <c r="B3584" t="s">
        <v>15050</v>
      </c>
      <c r="C3584">
        <v>-0.14000000000000001</v>
      </c>
      <c r="D3584">
        <v>-0.06</v>
      </c>
      <c r="E3584">
        <v>-0.28999999999999998</v>
      </c>
      <c r="F3584">
        <v>128</v>
      </c>
      <c r="G3584" t="s">
        <v>4769</v>
      </c>
      <c r="H3584">
        <v>1170.25</v>
      </c>
      <c r="I3584">
        <v>8.98</v>
      </c>
      <c r="J3584" t="s">
        <v>120</v>
      </c>
      <c r="K3584" t="s">
        <v>4769</v>
      </c>
      <c r="L3584">
        <v>0.85</v>
      </c>
      <c r="M3584">
        <v>13.84</v>
      </c>
      <c r="N3584">
        <v>0.68</v>
      </c>
      <c r="O3584">
        <v>0.28999999999999998</v>
      </c>
      <c r="P3584">
        <v>13.9</v>
      </c>
      <c r="Q3584">
        <v>-0.43</v>
      </c>
      <c r="R3584">
        <v>13.8</v>
      </c>
      <c r="S3584">
        <v>13.82</v>
      </c>
      <c r="T3584">
        <v>8449</v>
      </c>
      <c r="U3584">
        <v>13.84</v>
      </c>
      <c r="V3584">
        <v>13.86</v>
      </c>
      <c r="W3584">
        <v>15.37</v>
      </c>
      <c r="X3584" t="s">
        <v>2409</v>
      </c>
      <c r="Y3584" t="s">
        <v>937</v>
      </c>
      <c r="Z3584">
        <v>0.72</v>
      </c>
      <c r="AA3584">
        <v>13.85</v>
      </c>
      <c r="AB3584">
        <v>5004</v>
      </c>
      <c r="AC3584">
        <v>3445</v>
      </c>
      <c r="AD3584">
        <v>1.45</v>
      </c>
      <c r="AE3584">
        <v>357</v>
      </c>
      <c r="AF3584">
        <v>63</v>
      </c>
      <c r="AG3584" t="s">
        <v>120</v>
      </c>
      <c r="AH3584">
        <v>0.01</v>
      </c>
      <c r="AI3584" t="s">
        <v>120</v>
      </c>
      <c r="AJ3584">
        <v>0.99</v>
      </c>
      <c r="AK3584" t="s">
        <v>15051</v>
      </c>
      <c r="AL3584">
        <v>1.2</v>
      </c>
      <c r="AM3584">
        <v>589</v>
      </c>
      <c r="AN3584">
        <v>14</v>
      </c>
      <c r="AO3584">
        <v>1.4E-3</v>
      </c>
      <c r="AP3584">
        <v>-1</v>
      </c>
      <c r="AQ3584">
        <v>0.14000000000000001</v>
      </c>
      <c r="AR3584">
        <v>-1.56</v>
      </c>
      <c r="AS3584">
        <v>-0.43</v>
      </c>
      <c r="AT3584">
        <v>-7.54</v>
      </c>
      <c r="AU3584">
        <v>-13.1</v>
      </c>
      <c r="AV3584">
        <v>1</v>
      </c>
      <c r="AW3584">
        <v>0.85</v>
      </c>
      <c r="AX3584">
        <v>22.2</v>
      </c>
      <c r="AY3584">
        <v>15.5</v>
      </c>
      <c r="AZ3584">
        <v>16.96</v>
      </c>
      <c r="BA3584">
        <v>0.42</v>
      </c>
      <c r="BB3584" t="s">
        <v>4676</v>
      </c>
      <c r="BF3584">
        <v>-7.0000000000000007E-2</v>
      </c>
      <c r="BG3584">
        <v>0.14000000000000001</v>
      </c>
      <c r="BH3584">
        <v>-0.43</v>
      </c>
      <c r="BI3584">
        <v>0.28999999999999998</v>
      </c>
      <c r="BJ3584">
        <v>20210821</v>
      </c>
      <c r="BK3584">
        <v>20200730</v>
      </c>
      <c r="BL3584">
        <v>4.47</v>
      </c>
      <c r="BM3584" t="s">
        <v>120</v>
      </c>
      <c r="BN3584" t="s">
        <v>120</v>
      </c>
      <c r="BO3584">
        <v>40.369999999999997</v>
      </c>
      <c r="BP3584">
        <v>13.83</v>
      </c>
      <c r="BQ3584">
        <v>24.21</v>
      </c>
      <c r="BR3584" t="s">
        <v>120</v>
      </c>
      <c r="BS3584">
        <v>40.04</v>
      </c>
      <c r="BT3584">
        <v>28.36</v>
      </c>
      <c r="BU3584">
        <v>7.38</v>
      </c>
      <c r="BV3584">
        <v>0.87</v>
      </c>
      <c r="BW3584">
        <v>14.52</v>
      </c>
      <c r="BX3584">
        <v>5.85</v>
      </c>
      <c r="BY3584">
        <v>7.1</v>
      </c>
      <c r="BZ3584">
        <v>9.2799999999999994</v>
      </c>
      <c r="CA3584" t="s">
        <v>120</v>
      </c>
      <c r="CB3584">
        <v>10.210000000000001</v>
      </c>
      <c r="CC3584">
        <v>22.94</v>
      </c>
      <c r="CD3584">
        <v>17.36</v>
      </c>
      <c r="CE3584">
        <v>2.48</v>
      </c>
      <c r="CF3584">
        <v>0.23</v>
      </c>
      <c r="CG3584">
        <v>2.4700000000000002</v>
      </c>
      <c r="CH3584">
        <v>2.0099999999999998</v>
      </c>
      <c r="CI3584">
        <v>2.0099999999999998</v>
      </c>
      <c r="CJ3584">
        <v>-0.02</v>
      </c>
      <c r="CK3584">
        <v>1.79</v>
      </c>
      <c r="CL3584">
        <v>8.84</v>
      </c>
      <c r="CM3584">
        <v>0.5</v>
      </c>
      <c r="CN3584">
        <v>-1.9</v>
      </c>
      <c r="CO3584">
        <v>15400</v>
      </c>
      <c r="CP3584">
        <v>6439</v>
      </c>
      <c r="CQ3584" t="s">
        <v>3105</v>
      </c>
      <c r="CR3584">
        <v>20.59</v>
      </c>
      <c r="CS3584">
        <v>41.29</v>
      </c>
      <c r="CT3584">
        <v>2.5499999999999998</v>
      </c>
      <c r="CU3584">
        <v>124.26</v>
      </c>
      <c r="CV3584">
        <v>2.69</v>
      </c>
      <c r="CW3584">
        <v>2.78</v>
      </c>
      <c r="CX3584" t="s">
        <v>1520</v>
      </c>
      <c r="CY3584">
        <v>5.42</v>
      </c>
      <c r="CZ3584">
        <v>0</v>
      </c>
      <c r="DA3584">
        <v>2.2799999999999998</v>
      </c>
      <c r="DB3584">
        <v>1.98</v>
      </c>
      <c r="DC3584">
        <v>0.11</v>
      </c>
      <c r="DD3584">
        <v>59.96</v>
      </c>
      <c r="DE3584" t="s">
        <v>4193</v>
      </c>
      <c r="DF3584">
        <v>24.34</v>
      </c>
      <c r="DG3584">
        <v>10.82</v>
      </c>
      <c r="DH3584">
        <v>8.76</v>
      </c>
      <c r="DI3584">
        <v>1.17</v>
      </c>
      <c r="DJ3584">
        <v>6743</v>
      </c>
      <c r="DK3584">
        <v>603408</v>
      </c>
      <c r="DL3584" t="s">
        <v>120</v>
      </c>
      <c r="DM3584" t="s">
        <v>120</v>
      </c>
      <c r="DN3584" t="s">
        <v>120</v>
      </c>
    </row>
    <row r="3585" spans="1:118">
      <c r="A3585" t="str">
        <f>"603416"</f>
        <v>603416</v>
      </c>
      <c r="B3585" t="s">
        <v>15052</v>
      </c>
      <c r="C3585">
        <v>-1.76</v>
      </c>
      <c r="D3585">
        <v>0.04</v>
      </c>
      <c r="E3585">
        <v>0</v>
      </c>
      <c r="F3585">
        <v>78</v>
      </c>
      <c r="G3585" t="s">
        <v>3154</v>
      </c>
      <c r="H3585">
        <v>3868.96</v>
      </c>
      <c r="I3585">
        <v>41.49</v>
      </c>
      <c r="J3585" t="s">
        <v>120</v>
      </c>
      <c r="K3585" t="s">
        <v>10536</v>
      </c>
      <c r="L3585">
        <v>0.87</v>
      </c>
      <c r="M3585">
        <v>48.52</v>
      </c>
      <c r="N3585">
        <v>0.95</v>
      </c>
      <c r="O3585">
        <v>0.22</v>
      </c>
      <c r="P3585">
        <v>49.5</v>
      </c>
      <c r="Q3585">
        <v>-3.08</v>
      </c>
      <c r="R3585">
        <v>47.87</v>
      </c>
      <c r="S3585">
        <v>49.39</v>
      </c>
      <c r="T3585">
        <v>7966</v>
      </c>
      <c r="U3585">
        <v>48.52</v>
      </c>
      <c r="V3585">
        <v>49.39</v>
      </c>
      <c r="W3585">
        <v>21.95</v>
      </c>
      <c r="X3585" t="s">
        <v>394</v>
      </c>
      <c r="Y3585" t="s">
        <v>319</v>
      </c>
      <c r="Z3585">
        <v>3.3</v>
      </c>
      <c r="AA3585">
        <v>48.57</v>
      </c>
      <c r="AB3585">
        <v>5109</v>
      </c>
      <c r="AC3585">
        <v>2857</v>
      </c>
      <c r="AD3585">
        <v>1.79</v>
      </c>
      <c r="AE3585">
        <v>18</v>
      </c>
      <c r="AF3585">
        <v>87</v>
      </c>
      <c r="AG3585" t="s">
        <v>120</v>
      </c>
      <c r="AH3585">
        <v>0.01</v>
      </c>
      <c r="AI3585" t="s">
        <v>120</v>
      </c>
      <c r="AJ3585">
        <v>0.91</v>
      </c>
      <c r="AK3585" t="s">
        <v>15053</v>
      </c>
      <c r="AL3585">
        <v>-0.42</v>
      </c>
      <c r="AM3585">
        <v>1188</v>
      </c>
      <c r="AN3585">
        <v>7</v>
      </c>
      <c r="AO3585">
        <v>6.9999999999999999E-4</v>
      </c>
      <c r="AP3585">
        <v>-1</v>
      </c>
      <c r="AQ3585">
        <v>3.05</v>
      </c>
      <c r="AR3585">
        <v>1.89</v>
      </c>
      <c r="AS3585">
        <v>-11.78</v>
      </c>
      <c r="AT3585">
        <v>-19.3</v>
      </c>
      <c r="AU3585">
        <v>-46.42</v>
      </c>
      <c r="AV3585">
        <v>4</v>
      </c>
      <c r="AW3585">
        <v>1.34</v>
      </c>
      <c r="AX3585">
        <v>42.2</v>
      </c>
      <c r="AY3585">
        <v>20.190000000000001</v>
      </c>
      <c r="AZ3585">
        <v>20.93</v>
      </c>
      <c r="BA3585">
        <v>1.1599999999999999</v>
      </c>
      <c r="BB3585" t="s">
        <v>143</v>
      </c>
      <c r="BF3585">
        <v>-1.67</v>
      </c>
      <c r="BG3585">
        <v>-1.76</v>
      </c>
      <c r="BH3585">
        <v>-1.98</v>
      </c>
      <c r="BI3585">
        <v>1.36</v>
      </c>
      <c r="BJ3585">
        <v>20210814</v>
      </c>
      <c r="BK3585">
        <v>20161221</v>
      </c>
      <c r="BL3585">
        <v>1.41</v>
      </c>
      <c r="BM3585" t="s">
        <v>120</v>
      </c>
      <c r="BN3585" t="s">
        <v>120</v>
      </c>
      <c r="BO3585">
        <v>22.23</v>
      </c>
      <c r="BP3585">
        <v>48.51</v>
      </c>
      <c r="BQ3585">
        <v>16.28</v>
      </c>
      <c r="BR3585">
        <v>0.01</v>
      </c>
      <c r="BS3585">
        <v>26.7</v>
      </c>
      <c r="BT3585">
        <v>16.440000000000001</v>
      </c>
      <c r="BU3585">
        <v>1.39</v>
      </c>
      <c r="BV3585">
        <v>0.61</v>
      </c>
      <c r="BW3585">
        <v>5.76</v>
      </c>
      <c r="BX3585">
        <v>1.58</v>
      </c>
      <c r="BY3585">
        <v>5.64</v>
      </c>
      <c r="BZ3585">
        <v>0.53</v>
      </c>
      <c r="CA3585" t="s">
        <v>120</v>
      </c>
      <c r="CB3585">
        <v>3.7</v>
      </c>
      <c r="CC3585">
        <v>6.34</v>
      </c>
      <c r="CD3585">
        <v>3.75</v>
      </c>
      <c r="CE3585">
        <v>1.75</v>
      </c>
      <c r="CF3585">
        <v>0.24</v>
      </c>
      <c r="CG3585">
        <v>1.75</v>
      </c>
      <c r="CH3585">
        <v>1.55</v>
      </c>
      <c r="CI3585">
        <v>1.55</v>
      </c>
      <c r="CJ3585">
        <v>-0.87</v>
      </c>
      <c r="CK3585">
        <v>1.37</v>
      </c>
      <c r="CL3585">
        <v>10.47</v>
      </c>
      <c r="CM3585">
        <v>-0.04</v>
      </c>
      <c r="CN3585">
        <v>0.65</v>
      </c>
      <c r="CO3585">
        <v>10244</v>
      </c>
      <c r="CP3585">
        <v>5791</v>
      </c>
      <c r="CQ3585" t="s">
        <v>15054</v>
      </c>
      <c r="CR3585">
        <v>8.51</v>
      </c>
      <c r="CS3585">
        <v>27.59</v>
      </c>
      <c r="CT3585">
        <v>4.1900000000000004</v>
      </c>
      <c r="CU3585">
        <v>-1861.55</v>
      </c>
      <c r="CV3585">
        <v>10.76</v>
      </c>
      <c r="CW3585">
        <v>0.56999999999999995</v>
      </c>
      <c r="CX3585" t="s">
        <v>14116</v>
      </c>
      <c r="CY3585">
        <v>11.58</v>
      </c>
      <c r="CZ3585">
        <v>0</v>
      </c>
      <c r="DA3585">
        <v>2.63</v>
      </c>
      <c r="DB3585">
        <v>7.45</v>
      </c>
      <c r="DC3585">
        <v>-0.03</v>
      </c>
      <c r="DD3585">
        <v>73.239999999999995</v>
      </c>
      <c r="DE3585" t="s">
        <v>14839</v>
      </c>
      <c r="DF3585">
        <v>40.840000000000003</v>
      </c>
      <c r="DG3585">
        <v>27.56</v>
      </c>
      <c r="DH3585">
        <v>24.51</v>
      </c>
      <c r="DI3585">
        <v>0.51</v>
      </c>
      <c r="DJ3585">
        <v>1506</v>
      </c>
      <c r="DK3585">
        <v>603416</v>
      </c>
      <c r="DL3585" t="s">
        <v>120</v>
      </c>
      <c r="DM3585" t="s">
        <v>120</v>
      </c>
      <c r="DN3585" t="s">
        <v>120</v>
      </c>
    </row>
    <row r="3586" spans="1:118">
      <c r="A3586" t="str">
        <f>"603421"</f>
        <v>603421</v>
      </c>
      <c r="B3586" t="s">
        <v>15055</v>
      </c>
      <c r="C3586">
        <v>-1.45</v>
      </c>
      <c r="D3586">
        <v>0</v>
      </c>
      <c r="E3586">
        <v>0.26</v>
      </c>
      <c r="F3586">
        <v>63</v>
      </c>
      <c r="G3586" t="s">
        <v>9739</v>
      </c>
      <c r="H3586">
        <v>1276.8599999999999</v>
      </c>
      <c r="I3586">
        <v>1.98</v>
      </c>
      <c r="J3586" t="s">
        <v>120</v>
      </c>
      <c r="K3586" t="s">
        <v>15056</v>
      </c>
      <c r="L3586">
        <v>0.26</v>
      </c>
      <c r="M3586">
        <v>7.47</v>
      </c>
      <c r="N3586">
        <v>1.01</v>
      </c>
      <c r="O3586">
        <v>0.79</v>
      </c>
      <c r="P3586">
        <v>7.64</v>
      </c>
      <c r="Q3586">
        <v>-1.58</v>
      </c>
      <c r="R3586">
        <v>7.46</v>
      </c>
      <c r="S3586">
        <v>7.6</v>
      </c>
      <c r="T3586">
        <v>16908</v>
      </c>
      <c r="U3586">
        <v>7.48</v>
      </c>
      <c r="V3586">
        <v>7.58</v>
      </c>
      <c r="W3586" t="s">
        <v>120</v>
      </c>
      <c r="X3586" t="s">
        <v>462</v>
      </c>
      <c r="Y3586" t="s">
        <v>638</v>
      </c>
      <c r="Z3586">
        <v>2.37</v>
      </c>
      <c r="AA3586">
        <v>7.55</v>
      </c>
      <c r="AB3586">
        <v>9865</v>
      </c>
      <c r="AC3586">
        <v>7043</v>
      </c>
      <c r="AD3586">
        <v>1.4</v>
      </c>
      <c r="AE3586">
        <v>171</v>
      </c>
      <c r="AF3586">
        <v>348</v>
      </c>
      <c r="AG3586" t="s">
        <v>120</v>
      </c>
      <c r="AH3586">
        <v>0</v>
      </c>
      <c r="AI3586" t="s">
        <v>120</v>
      </c>
      <c r="AJ3586">
        <v>6.52</v>
      </c>
      <c r="AK3586" t="s">
        <v>2463</v>
      </c>
      <c r="AL3586">
        <v>-0.11</v>
      </c>
      <c r="AM3586">
        <v>823</v>
      </c>
      <c r="AN3586">
        <v>21</v>
      </c>
      <c r="AO3586">
        <v>2.9999999999999997E-4</v>
      </c>
      <c r="AP3586">
        <v>-1</v>
      </c>
      <c r="AQ3586">
        <v>0.66</v>
      </c>
      <c r="AR3586">
        <v>-3.11</v>
      </c>
      <c r="AS3586">
        <v>-8.67</v>
      </c>
      <c r="AT3586">
        <v>-1.79</v>
      </c>
      <c r="AU3586">
        <v>-18.850000000000001</v>
      </c>
      <c r="AV3586">
        <v>0</v>
      </c>
      <c r="AW3586">
        <v>0.59</v>
      </c>
      <c r="AX3586">
        <v>43.62</v>
      </c>
      <c r="AY3586">
        <v>59.23</v>
      </c>
      <c r="AZ3586">
        <v>27.35</v>
      </c>
      <c r="BA3586">
        <v>0.37</v>
      </c>
      <c r="BB3586" t="s">
        <v>143</v>
      </c>
      <c r="BF3586">
        <v>-0.37</v>
      </c>
      <c r="BG3586">
        <v>-1.71</v>
      </c>
      <c r="BH3586">
        <v>-2.23</v>
      </c>
      <c r="BI3586">
        <v>0.13</v>
      </c>
      <c r="BJ3586">
        <v>20210826</v>
      </c>
      <c r="BK3586">
        <v>20161011</v>
      </c>
      <c r="BL3586">
        <v>6.53</v>
      </c>
      <c r="BM3586" t="s">
        <v>120</v>
      </c>
      <c r="BN3586" t="s">
        <v>120</v>
      </c>
      <c r="BO3586">
        <v>42.83</v>
      </c>
      <c r="BP3586">
        <v>7.47</v>
      </c>
      <c r="BQ3586">
        <v>31.04</v>
      </c>
      <c r="BR3586" t="s">
        <v>120</v>
      </c>
      <c r="BS3586">
        <v>27.53</v>
      </c>
      <c r="BT3586">
        <v>27.46</v>
      </c>
      <c r="BU3586">
        <v>11.64</v>
      </c>
      <c r="BV3586">
        <v>0.79</v>
      </c>
      <c r="BW3586">
        <v>11.59</v>
      </c>
      <c r="BX3586">
        <v>1.31</v>
      </c>
      <c r="BY3586">
        <v>11.48</v>
      </c>
      <c r="BZ3586">
        <v>9.84</v>
      </c>
      <c r="CA3586" t="s">
        <v>120</v>
      </c>
      <c r="CB3586">
        <v>9.9499999999999993</v>
      </c>
      <c r="CC3586">
        <v>7.16</v>
      </c>
      <c r="CD3586">
        <v>4.2</v>
      </c>
      <c r="CE3586">
        <v>-0.7</v>
      </c>
      <c r="CF3586">
        <v>0.01</v>
      </c>
      <c r="CG3586">
        <v>-0.55000000000000004</v>
      </c>
      <c r="CH3586">
        <v>-0.54</v>
      </c>
      <c r="CI3586">
        <v>-0.54</v>
      </c>
      <c r="CJ3586">
        <v>-0.11</v>
      </c>
      <c r="CK3586">
        <v>-0.66</v>
      </c>
      <c r="CL3586">
        <v>12.23</v>
      </c>
      <c r="CM3586">
        <v>-0.59</v>
      </c>
      <c r="CN3586">
        <v>-1.49</v>
      </c>
      <c r="CO3586">
        <v>22086</v>
      </c>
      <c r="CP3586">
        <v>12901</v>
      </c>
      <c r="CQ3586" t="s">
        <v>587</v>
      </c>
      <c r="CR3586">
        <v>-222.13</v>
      </c>
      <c r="CS3586">
        <v>12.79</v>
      </c>
      <c r="CT3586">
        <v>1.57</v>
      </c>
      <c r="CU3586">
        <v>-82.33</v>
      </c>
      <c r="CV3586">
        <v>6.81</v>
      </c>
      <c r="CW3586">
        <v>1.1100000000000001</v>
      </c>
      <c r="CX3586" t="s">
        <v>1320</v>
      </c>
      <c r="CY3586">
        <v>4.75</v>
      </c>
      <c r="CZ3586">
        <v>0</v>
      </c>
      <c r="DA3586">
        <v>1.52</v>
      </c>
      <c r="DB3586">
        <v>1.87</v>
      </c>
      <c r="DC3586">
        <v>-0.09</v>
      </c>
      <c r="DD3586">
        <v>72.47</v>
      </c>
      <c r="DE3586" t="s">
        <v>15057</v>
      </c>
      <c r="DF3586">
        <v>41.35</v>
      </c>
      <c r="DG3586">
        <v>-9.73</v>
      </c>
      <c r="DH3586">
        <v>-7.48</v>
      </c>
      <c r="DI3586">
        <v>1.48</v>
      </c>
      <c r="DJ3586">
        <v>3350</v>
      </c>
      <c r="DK3586">
        <v>603421</v>
      </c>
      <c r="DL3586" t="s">
        <v>120</v>
      </c>
      <c r="DM3586" t="s">
        <v>120</v>
      </c>
      <c r="DN3586" t="s">
        <v>120</v>
      </c>
    </row>
    <row r="3587" spans="1:118">
      <c r="A3587" t="str">
        <f>"603429"</f>
        <v>603429</v>
      </c>
      <c r="B3587" t="s">
        <v>15058</v>
      </c>
      <c r="C3587">
        <v>-2.99</v>
      </c>
      <c r="D3587">
        <v>0.18</v>
      </c>
      <c r="E3587">
        <v>0.55000000000000004</v>
      </c>
      <c r="F3587">
        <v>173</v>
      </c>
      <c r="G3587" t="s">
        <v>15059</v>
      </c>
      <c r="H3587">
        <v>3089.15</v>
      </c>
      <c r="I3587">
        <v>1.65</v>
      </c>
      <c r="J3587" t="s">
        <v>120</v>
      </c>
      <c r="K3587" t="s">
        <v>7460</v>
      </c>
      <c r="L3587">
        <v>0.36</v>
      </c>
      <c r="M3587">
        <v>22.75</v>
      </c>
      <c r="N3587">
        <v>0.82</v>
      </c>
      <c r="O3587">
        <v>0.55000000000000004</v>
      </c>
      <c r="P3587">
        <v>23.58</v>
      </c>
      <c r="Q3587">
        <v>-3.33</v>
      </c>
      <c r="R3587">
        <v>22.67</v>
      </c>
      <c r="S3587">
        <v>23.58</v>
      </c>
      <c r="T3587">
        <v>13408</v>
      </c>
      <c r="U3587">
        <v>22.8</v>
      </c>
      <c r="V3587">
        <v>23.45</v>
      </c>
      <c r="W3587">
        <v>82.64</v>
      </c>
      <c r="X3587" t="s">
        <v>339</v>
      </c>
      <c r="Y3587" t="s">
        <v>570</v>
      </c>
      <c r="Z3587">
        <v>3.88</v>
      </c>
      <c r="AA3587">
        <v>23.04</v>
      </c>
      <c r="AB3587">
        <v>6903</v>
      </c>
      <c r="AC3587">
        <v>6505</v>
      </c>
      <c r="AD3587">
        <v>1.06</v>
      </c>
      <c r="AE3587">
        <v>27</v>
      </c>
      <c r="AF3587">
        <v>48</v>
      </c>
      <c r="AG3587" t="s">
        <v>120</v>
      </c>
      <c r="AH3587">
        <v>0</v>
      </c>
      <c r="AI3587" t="s">
        <v>120</v>
      </c>
      <c r="AJ3587">
        <v>3.73</v>
      </c>
      <c r="AK3587" t="s">
        <v>15060</v>
      </c>
      <c r="AL3587">
        <v>-1.64</v>
      </c>
      <c r="AM3587">
        <v>1341</v>
      </c>
      <c r="AN3587">
        <v>10</v>
      </c>
      <c r="AO3587">
        <v>2.9999999999999997E-4</v>
      </c>
      <c r="AP3587">
        <v>-5</v>
      </c>
      <c r="AQ3587">
        <v>-1.26</v>
      </c>
      <c r="AR3587">
        <v>-5.8</v>
      </c>
      <c r="AS3587">
        <v>-6.15</v>
      </c>
      <c r="AT3587">
        <v>-27.08</v>
      </c>
      <c r="AU3587">
        <v>-23.16</v>
      </c>
      <c r="AV3587">
        <v>2</v>
      </c>
      <c r="AW3587">
        <v>0.61</v>
      </c>
      <c r="AX3587">
        <v>57.54</v>
      </c>
      <c r="AY3587">
        <v>91.17</v>
      </c>
      <c r="AZ3587">
        <v>124.23</v>
      </c>
      <c r="BA3587">
        <v>0.95</v>
      </c>
      <c r="BB3587" t="s">
        <v>143</v>
      </c>
      <c r="BF3587">
        <v>-1.75</v>
      </c>
      <c r="BG3587">
        <v>-3.52</v>
      </c>
      <c r="BH3587">
        <v>-3.52</v>
      </c>
      <c r="BI3587">
        <v>0.35</v>
      </c>
      <c r="BJ3587">
        <v>20210728</v>
      </c>
      <c r="BK3587">
        <v>20170124</v>
      </c>
      <c r="BL3587">
        <v>3.8</v>
      </c>
      <c r="BM3587" t="s">
        <v>120</v>
      </c>
      <c r="BN3587" t="s">
        <v>120</v>
      </c>
      <c r="BO3587">
        <v>16.98</v>
      </c>
      <c r="BP3587">
        <v>22.75</v>
      </c>
      <c r="BQ3587">
        <v>12.24</v>
      </c>
      <c r="BR3587">
        <v>0.3</v>
      </c>
      <c r="BS3587">
        <v>26.1</v>
      </c>
      <c r="BT3587">
        <v>9.84</v>
      </c>
      <c r="BU3587">
        <v>5.24</v>
      </c>
      <c r="BV3587">
        <v>0.33</v>
      </c>
      <c r="BW3587">
        <v>4.07</v>
      </c>
      <c r="BX3587">
        <v>6.33</v>
      </c>
      <c r="BY3587">
        <v>1.48</v>
      </c>
      <c r="BZ3587">
        <v>0.92</v>
      </c>
      <c r="CA3587">
        <v>0.02</v>
      </c>
      <c r="CB3587">
        <v>4.8099999999999996</v>
      </c>
      <c r="CC3587">
        <v>2.79</v>
      </c>
      <c r="CD3587">
        <v>1.75</v>
      </c>
      <c r="CE3587">
        <v>0.6</v>
      </c>
      <c r="CF3587">
        <v>0</v>
      </c>
      <c r="CG3587">
        <v>0.6</v>
      </c>
      <c r="CH3587">
        <v>0.51</v>
      </c>
      <c r="CI3587">
        <v>0.52</v>
      </c>
      <c r="CJ3587">
        <v>-0.7</v>
      </c>
      <c r="CK3587">
        <v>0.48</v>
      </c>
      <c r="CL3587">
        <v>4.29</v>
      </c>
      <c r="CM3587">
        <v>1.2</v>
      </c>
      <c r="CN3587">
        <v>-0.04</v>
      </c>
      <c r="CO3587">
        <v>10263</v>
      </c>
      <c r="CP3587">
        <v>21317</v>
      </c>
      <c r="CQ3587" t="s">
        <v>15061</v>
      </c>
      <c r="CR3587">
        <v>98.88</v>
      </c>
      <c r="CS3587">
        <v>33.78</v>
      </c>
      <c r="CT3587">
        <v>7.06</v>
      </c>
      <c r="CU3587">
        <v>72.040000000000006</v>
      </c>
      <c r="CV3587">
        <v>30.96</v>
      </c>
      <c r="CW3587">
        <v>0.43</v>
      </c>
      <c r="CX3587" t="s">
        <v>300</v>
      </c>
      <c r="CY3587">
        <v>3.22</v>
      </c>
      <c r="CZ3587">
        <v>0</v>
      </c>
      <c r="DA3587">
        <v>1.26</v>
      </c>
      <c r="DB3587">
        <v>1.1299999999999999</v>
      </c>
      <c r="DC3587">
        <v>0.32</v>
      </c>
      <c r="DD3587">
        <v>72.13</v>
      </c>
      <c r="DE3587" t="s">
        <v>2110</v>
      </c>
      <c r="DF3587">
        <v>37.369999999999997</v>
      </c>
      <c r="DG3587">
        <v>21.33</v>
      </c>
      <c r="DH3587">
        <v>18.73</v>
      </c>
      <c r="DI3587">
        <v>0.19</v>
      </c>
      <c r="DJ3587">
        <v>951</v>
      </c>
      <c r="DK3587">
        <v>603429</v>
      </c>
      <c r="DL3587" t="s">
        <v>120</v>
      </c>
      <c r="DM3587" t="s">
        <v>120</v>
      </c>
      <c r="DN3587" t="s">
        <v>120</v>
      </c>
    </row>
    <row r="3588" spans="1:118">
      <c r="A3588" t="str">
        <f>"603439"</f>
        <v>603439</v>
      </c>
      <c r="B3588" t="s">
        <v>15062</v>
      </c>
      <c r="C3588">
        <v>-1.04</v>
      </c>
      <c r="D3588">
        <v>7.0000000000000007E-2</v>
      </c>
      <c r="E3588">
        <v>1.41</v>
      </c>
      <c r="F3588">
        <v>557</v>
      </c>
      <c r="G3588" t="s">
        <v>11548</v>
      </c>
      <c r="H3588">
        <v>6428.15</v>
      </c>
      <c r="I3588">
        <v>12.6</v>
      </c>
      <c r="J3588" t="s">
        <v>120</v>
      </c>
      <c r="K3588" t="s">
        <v>8882</v>
      </c>
      <c r="L3588">
        <v>2.92</v>
      </c>
      <c r="M3588">
        <v>13.37</v>
      </c>
      <c r="N3588">
        <v>0.65</v>
      </c>
      <c r="O3588">
        <v>2.29</v>
      </c>
      <c r="P3588">
        <v>13.82</v>
      </c>
      <c r="Q3588">
        <v>-1.18</v>
      </c>
      <c r="R3588">
        <v>13.35</v>
      </c>
      <c r="S3588">
        <v>13.7</v>
      </c>
      <c r="T3588">
        <v>47309</v>
      </c>
      <c r="U3588">
        <v>13.37</v>
      </c>
      <c r="V3588">
        <v>13.51</v>
      </c>
      <c r="W3588">
        <v>39.24</v>
      </c>
      <c r="X3588" t="s">
        <v>771</v>
      </c>
      <c r="Y3588" t="s">
        <v>1021</v>
      </c>
      <c r="Z3588">
        <v>3.48</v>
      </c>
      <c r="AA3588">
        <v>13.59</v>
      </c>
      <c r="AB3588">
        <v>27739</v>
      </c>
      <c r="AC3588">
        <v>19570</v>
      </c>
      <c r="AD3588">
        <v>1.42</v>
      </c>
      <c r="AE3588">
        <v>639</v>
      </c>
      <c r="AF3588">
        <v>176</v>
      </c>
      <c r="AG3588" t="s">
        <v>120</v>
      </c>
      <c r="AH3588">
        <v>0.01</v>
      </c>
      <c r="AI3588" t="s">
        <v>120</v>
      </c>
      <c r="AJ3588">
        <v>1.62</v>
      </c>
      <c r="AK3588" t="s">
        <v>1288</v>
      </c>
      <c r="AL3588">
        <v>0.31</v>
      </c>
      <c r="AM3588">
        <v>2316</v>
      </c>
      <c r="AN3588">
        <v>20</v>
      </c>
      <c r="AO3588">
        <v>1.2999999999999999E-3</v>
      </c>
      <c r="AP3588">
        <v>-3</v>
      </c>
      <c r="AQ3588">
        <v>-1.67</v>
      </c>
      <c r="AR3588">
        <v>-9.23</v>
      </c>
      <c r="AS3588">
        <v>-2.69</v>
      </c>
      <c r="AT3588">
        <v>-5.92</v>
      </c>
      <c r="AU3588">
        <v>-33.18</v>
      </c>
      <c r="AV3588">
        <v>11</v>
      </c>
      <c r="AW3588">
        <v>4.3600000000000003</v>
      </c>
      <c r="AX3588">
        <v>26.63</v>
      </c>
      <c r="AY3588">
        <v>47.09</v>
      </c>
      <c r="AZ3588">
        <v>58.57</v>
      </c>
      <c r="BA3588">
        <v>0.56999999999999995</v>
      </c>
      <c r="BB3588" t="s">
        <v>143</v>
      </c>
      <c r="BF3588">
        <v>0.56999999999999995</v>
      </c>
      <c r="BG3588">
        <v>-2.41</v>
      </c>
      <c r="BH3588">
        <v>-3.26</v>
      </c>
      <c r="BI3588">
        <v>0.15</v>
      </c>
      <c r="BJ3588">
        <v>20210817</v>
      </c>
      <c r="BK3588">
        <v>20200428</v>
      </c>
      <c r="BL3588">
        <v>4.07</v>
      </c>
      <c r="BM3588" t="s">
        <v>120</v>
      </c>
      <c r="BN3588" t="s">
        <v>120</v>
      </c>
      <c r="BO3588">
        <v>12.32</v>
      </c>
      <c r="BP3588">
        <v>13.36</v>
      </c>
      <c r="BQ3588">
        <v>9.49</v>
      </c>
      <c r="BR3588">
        <v>0</v>
      </c>
      <c r="BS3588">
        <v>22.96</v>
      </c>
      <c r="BT3588">
        <v>9.33</v>
      </c>
      <c r="BU3588">
        <v>1.52</v>
      </c>
      <c r="BV3588">
        <v>0.19</v>
      </c>
      <c r="BW3588">
        <v>2.7</v>
      </c>
      <c r="BX3588">
        <v>5.81</v>
      </c>
      <c r="BY3588">
        <v>0.53</v>
      </c>
      <c r="BZ3588">
        <v>2.52</v>
      </c>
      <c r="CA3588" t="s">
        <v>120</v>
      </c>
      <c r="CB3588">
        <v>2.0099999999999998</v>
      </c>
      <c r="CC3588">
        <v>3.77</v>
      </c>
      <c r="CD3588">
        <v>1.1200000000000001</v>
      </c>
      <c r="CE3588">
        <v>0.84</v>
      </c>
      <c r="CF3588">
        <v>0.16</v>
      </c>
      <c r="CG3588">
        <v>0.83</v>
      </c>
      <c r="CH3588">
        <v>0.69</v>
      </c>
      <c r="CI3588">
        <v>0.69</v>
      </c>
      <c r="CJ3588">
        <v>-0.14000000000000001</v>
      </c>
      <c r="CK3588">
        <v>0.56000000000000005</v>
      </c>
      <c r="CL3588">
        <v>2.86</v>
      </c>
      <c r="CM3588">
        <v>0.84</v>
      </c>
      <c r="CN3588">
        <v>1.31</v>
      </c>
      <c r="CO3588">
        <v>30872</v>
      </c>
      <c r="CP3588">
        <v>3514</v>
      </c>
      <c r="CQ3588" t="s">
        <v>5667</v>
      </c>
      <c r="CR3588">
        <v>49.29</v>
      </c>
      <c r="CS3588">
        <v>33.72</v>
      </c>
      <c r="CT3588">
        <v>5.74</v>
      </c>
      <c r="CU3588">
        <v>64.52</v>
      </c>
      <c r="CV3588">
        <v>14.45</v>
      </c>
      <c r="CW3588">
        <v>1.85</v>
      </c>
      <c r="CX3588" t="s">
        <v>1193</v>
      </c>
      <c r="CY3588">
        <v>2.33</v>
      </c>
      <c r="CZ3588">
        <v>0</v>
      </c>
      <c r="DA3588">
        <v>0.49</v>
      </c>
      <c r="DB3588">
        <v>0.7</v>
      </c>
      <c r="DC3588">
        <v>0.21</v>
      </c>
      <c r="DD3588">
        <v>77.05</v>
      </c>
      <c r="DE3588" t="s">
        <v>3058</v>
      </c>
      <c r="DF3588">
        <v>70.209999999999994</v>
      </c>
      <c r="DG3588">
        <v>22.25</v>
      </c>
      <c r="DH3588">
        <v>18.41</v>
      </c>
      <c r="DI3588">
        <v>0</v>
      </c>
      <c r="DJ3588">
        <v>884</v>
      </c>
      <c r="DK3588">
        <v>603439</v>
      </c>
      <c r="DL3588" t="s">
        <v>120</v>
      </c>
      <c r="DM3588" t="s">
        <v>120</v>
      </c>
      <c r="DN3588" t="s">
        <v>120</v>
      </c>
    </row>
    <row r="3589" spans="1:118">
      <c r="A3589" t="str">
        <f>"603444"</f>
        <v>603444</v>
      </c>
      <c r="B3589" t="s">
        <v>15063</v>
      </c>
      <c r="C3589">
        <v>-1.51</v>
      </c>
      <c r="D3589">
        <v>-0.21</v>
      </c>
      <c r="E3589">
        <v>-0.04</v>
      </c>
      <c r="F3589">
        <v>138</v>
      </c>
      <c r="G3589" t="s">
        <v>15064</v>
      </c>
      <c r="H3589">
        <v>29379.05</v>
      </c>
      <c r="I3589">
        <v>105.56</v>
      </c>
      <c r="J3589" t="s">
        <v>120</v>
      </c>
      <c r="K3589" t="s">
        <v>15065</v>
      </c>
      <c r="L3589">
        <v>1.02</v>
      </c>
      <c r="M3589">
        <v>400.03</v>
      </c>
      <c r="N3589">
        <v>0.71</v>
      </c>
      <c r="O3589">
        <v>0.67</v>
      </c>
      <c r="P3589">
        <v>408.89</v>
      </c>
      <c r="Q3589">
        <v>-3.22</v>
      </c>
      <c r="R3589">
        <v>393.1</v>
      </c>
      <c r="S3589">
        <v>406</v>
      </c>
      <c r="T3589">
        <v>7354</v>
      </c>
      <c r="U3589">
        <v>400.9</v>
      </c>
      <c r="V3589">
        <v>406.16</v>
      </c>
      <c r="W3589">
        <v>15.96</v>
      </c>
      <c r="X3589" t="s">
        <v>1531</v>
      </c>
      <c r="Y3589" t="s">
        <v>937</v>
      </c>
      <c r="Z3589">
        <v>3.89</v>
      </c>
      <c r="AA3589">
        <v>399.51</v>
      </c>
      <c r="AB3589">
        <v>3148</v>
      </c>
      <c r="AC3589">
        <v>4206</v>
      </c>
      <c r="AD3589">
        <v>0.75</v>
      </c>
      <c r="AE3589">
        <v>4</v>
      </c>
      <c r="AF3589">
        <v>2</v>
      </c>
      <c r="AG3589" t="s">
        <v>120</v>
      </c>
      <c r="AH3589">
        <v>0.01</v>
      </c>
      <c r="AI3589" t="s">
        <v>120</v>
      </c>
      <c r="AJ3589">
        <v>0.72</v>
      </c>
      <c r="AK3589" t="s">
        <v>15065</v>
      </c>
      <c r="AL3589">
        <v>-0.17</v>
      </c>
      <c r="AM3589">
        <v>2440</v>
      </c>
      <c r="AN3589">
        <v>3</v>
      </c>
      <c r="AO3589">
        <v>4.0000000000000002E-4</v>
      </c>
      <c r="AP3589">
        <v>-1</v>
      </c>
      <c r="AQ3589">
        <v>0.22</v>
      </c>
      <c r="AR3589">
        <v>-1.02</v>
      </c>
      <c r="AS3589">
        <v>-4.26</v>
      </c>
      <c r="AT3589">
        <v>-25.09</v>
      </c>
      <c r="AU3589">
        <v>-3.37</v>
      </c>
      <c r="AV3589">
        <v>2</v>
      </c>
      <c r="AW3589">
        <v>1.75</v>
      </c>
      <c r="AX3589">
        <v>58.44</v>
      </c>
      <c r="AY3589">
        <v>20.89</v>
      </c>
      <c r="AZ3589">
        <v>27.89</v>
      </c>
      <c r="BA3589">
        <v>1.02</v>
      </c>
      <c r="BB3589" t="s">
        <v>143</v>
      </c>
      <c r="BF3589">
        <v>-1.64</v>
      </c>
      <c r="BG3589">
        <v>-1.47</v>
      </c>
      <c r="BH3589">
        <v>-2.17</v>
      </c>
      <c r="BI3589">
        <v>1.76</v>
      </c>
      <c r="BJ3589">
        <v>20210813</v>
      </c>
      <c r="BK3589">
        <v>20170104</v>
      </c>
      <c r="BL3589">
        <v>0.72</v>
      </c>
      <c r="BM3589" t="s">
        <v>120</v>
      </c>
      <c r="BN3589" t="s">
        <v>120</v>
      </c>
      <c r="BO3589">
        <v>60.94</v>
      </c>
      <c r="BP3589">
        <v>400.03</v>
      </c>
      <c r="BQ3589">
        <v>39.32</v>
      </c>
      <c r="BR3589">
        <v>3.94</v>
      </c>
      <c r="BS3589">
        <v>29.01</v>
      </c>
      <c r="BT3589">
        <v>34.47</v>
      </c>
      <c r="BU3589">
        <v>8.3699999999999992</v>
      </c>
      <c r="BV3589">
        <v>0.06</v>
      </c>
      <c r="BW3589">
        <v>15.12</v>
      </c>
      <c r="BX3589">
        <v>19.78</v>
      </c>
      <c r="BY3589">
        <v>0</v>
      </c>
      <c r="BZ3589">
        <v>5.9</v>
      </c>
      <c r="CA3589" t="s">
        <v>120</v>
      </c>
      <c r="CB3589">
        <v>12.3</v>
      </c>
      <c r="CC3589">
        <v>23.87</v>
      </c>
      <c r="CD3589">
        <v>4.32</v>
      </c>
      <c r="CE3589">
        <v>12.6</v>
      </c>
      <c r="CF3589">
        <v>3.34</v>
      </c>
      <c r="CG3589">
        <v>12.59</v>
      </c>
      <c r="CH3589">
        <v>10.53</v>
      </c>
      <c r="CI3589">
        <v>9.01</v>
      </c>
      <c r="CJ3589">
        <v>-6.13</v>
      </c>
      <c r="CK3589">
        <v>7.05</v>
      </c>
      <c r="CL3589">
        <v>26.04</v>
      </c>
      <c r="CM3589">
        <v>10.32</v>
      </c>
      <c r="CN3589">
        <v>-1.51</v>
      </c>
      <c r="CO3589">
        <v>17913</v>
      </c>
      <c r="CP3589">
        <v>2344</v>
      </c>
      <c r="CQ3589" t="s">
        <v>15066</v>
      </c>
      <c r="CR3589">
        <v>63.77</v>
      </c>
      <c r="CS3589">
        <v>69.41</v>
      </c>
      <c r="CT3589">
        <v>7.31</v>
      </c>
      <c r="CU3589">
        <v>27.86</v>
      </c>
      <c r="CV3589">
        <v>12.04</v>
      </c>
      <c r="CW3589">
        <v>2.95</v>
      </c>
      <c r="CX3589" t="s">
        <v>15067</v>
      </c>
      <c r="CY3589">
        <v>54.72</v>
      </c>
      <c r="CZ3589">
        <v>0</v>
      </c>
      <c r="DA3589">
        <v>17.12</v>
      </c>
      <c r="DB3589">
        <v>36.24</v>
      </c>
      <c r="DC3589">
        <v>14.36</v>
      </c>
      <c r="DD3589">
        <v>64.52</v>
      </c>
      <c r="DE3589" t="s">
        <v>15068</v>
      </c>
      <c r="DF3589">
        <v>81.900000000000006</v>
      </c>
      <c r="DG3589">
        <v>52.79</v>
      </c>
      <c r="DH3589">
        <v>37.729999999999997</v>
      </c>
      <c r="DI3589">
        <v>3.25</v>
      </c>
      <c r="DJ3589">
        <v>751</v>
      </c>
      <c r="DK3589">
        <v>603444</v>
      </c>
      <c r="DL3589" t="s">
        <v>120</v>
      </c>
      <c r="DM3589" t="s">
        <v>120</v>
      </c>
      <c r="DN3589" t="s">
        <v>120</v>
      </c>
    </row>
    <row r="3590" spans="1:118">
      <c r="A3590" t="str">
        <f>"603456"</f>
        <v>603456</v>
      </c>
      <c r="B3590" t="s">
        <v>15069</v>
      </c>
      <c r="C3590">
        <v>2.85</v>
      </c>
      <c r="D3590">
        <v>1.21</v>
      </c>
      <c r="E3590">
        <v>-0.1</v>
      </c>
      <c r="F3590">
        <v>4850</v>
      </c>
      <c r="G3590" t="s">
        <v>15070</v>
      </c>
      <c r="H3590">
        <v>76184.479999999996</v>
      </c>
      <c r="I3590">
        <v>763.96</v>
      </c>
      <c r="J3590" t="s">
        <v>120</v>
      </c>
      <c r="K3590" t="s">
        <v>15071</v>
      </c>
      <c r="L3590">
        <v>1.85</v>
      </c>
      <c r="M3590">
        <v>50.1</v>
      </c>
      <c r="N3590">
        <v>2.2400000000000002</v>
      </c>
      <c r="O3590">
        <v>3.9</v>
      </c>
      <c r="P3590">
        <v>50.61</v>
      </c>
      <c r="Q3590">
        <v>-0.66</v>
      </c>
      <c r="R3590">
        <v>48.39</v>
      </c>
      <c r="S3590">
        <v>48.66</v>
      </c>
      <c r="T3590">
        <v>153472</v>
      </c>
      <c r="U3590">
        <v>50.1</v>
      </c>
      <c r="V3590">
        <v>48.71</v>
      </c>
      <c r="W3590">
        <v>75.89</v>
      </c>
      <c r="X3590" t="s">
        <v>569</v>
      </c>
      <c r="Y3590" t="s">
        <v>585</v>
      </c>
      <c r="Z3590">
        <v>4.5599999999999996</v>
      </c>
      <c r="AA3590">
        <v>49.64</v>
      </c>
      <c r="AB3590">
        <v>63701</v>
      </c>
      <c r="AC3590">
        <v>89771</v>
      </c>
      <c r="AD3590">
        <v>0.71</v>
      </c>
      <c r="AE3590">
        <v>12</v>
      </c>
      <c r="AF3590">
        <v>104</v>
      </c>
      <c r="AG3590" t="s">
        <v>120</v>
      </c>
      <c r="AH3590">
        <v>0.04</v>
      </c>
      <c r="AI3590" t="s">
        <v>120</v>
      </c>
      <c r="AJ3590">
        <v>8.2899999999999991</v>
      </c>
      <c r="AK3590" t="s">
        <v>15072</v>
      </c>
      <c r="AL3590">
        <v>4.2</v>
      </c>
      <c r="AM3590">
        <v>4248</v>
      </c>
      <c r="AN3590">
        <v>36</v>
      </c>
      <c r="AO3590">
        <v>4.0000000000000002E-4</v>
      </c>
      <c r="AP3590">
        <v>3</v>
      </c>
      <c r="AQ3590">
        <v>10</v>
      </c>
      <c r="AR3590">
        <v>17.489999999999998</v>
      </c>
      <c r="AS3590">
        <v>2.67</v>
      </c>
      <c r="AT3590">
        <v>4.4800000000000004</v>
      </c>
      <c r="AU3590">
        <v>40.729999999999997</v>
      </c>
      <c r="AV3590">
        <v>4</v>
      </c>
      <c r="AW3590">
        <v>3.68</v>
      </c>
      <c r="AX3590">
        <v>50.14</v>
      </c>
      <c r="AY3590">
        <v>77.11</v>
      </c>
      <c r="AZ3590">
        <v>106.56</v>
      </c>
      <c r="BA3590">
        <v>0.72</v>
      </c>
      <c r="BB3590" t="s">
        <v>700</v>
      </c>
      <c r="BF3590">
        <v>1.91</v>
      </c>
      <c r="BG3590">
        <v>2.96</v>
      </c>
      <c r="BH3590">
        <v>-1.01</v>
      </c>
      <c r="BI3590">
        <v>3.53</v>
      </c>
      <c r="BJ3590">
        <v>20210817</v>
      </c>
      <c r="BK3590">
        <v>20141010</v>
      </c>
      <c r="BL3590">
        <v>8.33</v>
      </c>
      <c r="BM3590" t="s">
        <v>120</v>
      </c>
      <c r="BN3590" t="s">
        <v>120</v>
      </c>
      <c r="BO3590">
        <v>61.69</v>
      </c>
      <c r="BP3590">
        <v>50</v>
      </c>
      <c r="BQ3590">
        <v>41.9</v>
      </c>
      <c r="BR3590" t="s">
        <v>120</v>
      </c>
      <c r="BS3590">
        <v>32.08</v>
      </c>
      <c r="BT3590">
        <v>32.69</v>
      </c>
      <c r="BU3590">
        <v>19.52</v>
      </c>
      <c r="BV3590">
        <v>3.46</v>
      </c>
      <c r="BW3590">
        <v>18.25</v>
      </c>
      <c r="BX3590">
        <v>9.32</v>
      </c>
      <c r="BY3590">
        <v>14.3</v>
      </c>
      <c r="BZ3590">
        <v>7.03</v>
      </c>
      <c r="CA3590" t="s">
        <v>120</v>
      </c>
      <c r="CB3590">
        <v>19.45</v>
      </c>
      <c r="CC3590">
        <v>18.68</v>
      </c>
      <c r="CD3590">
        <v>12.7</v>
      </c>
      <c r="CE3590">
        <v>3.29</v>
      </c>
      <c r="CF3590">
        <v>0.31</v>
      </c>
      <c r="CG3590">
        <v>3.23</v>
      </c>
      <c r="CH3590">
        <v>2.75</v>
      </c>
      <c r="CI3590">
        <v>2.75</v>
      </c>
      <c r="CJ3590">
        <v>1.39</v>
      </c>
      <c r="CK3590">
        <v>2.46</v>
      </c>
      <c r="CL3590">
        <v>12.38</v>
      </c>
      <c r="CM3590">
        <v>1.38</v>
      </c>
      <c r="CN3590">
        <v>5.23</v>
      </c>
      <c r="CO3590">
        <v>16051</v>
      </c>
      <c r="CP3590">
        <v>26007</v>
      </c>
      <c r="CQ3590" t="s">
        <v>15073</v>
      </c>
      <c r="CR3590">
        <v>112.32</v>
      </c>
      <c r="CS3590">
        <v>85.34</v>
      </c>
      <c r="CT3590">
        <v>9.94</v>
      </c>
      <c r="CU3590">
        <v>303.27</v>
      </c>
      <c r="CV3590">
        <v>22.33</v>
      </c>
      <c r="CW3590">
        <v>0.41</v>
      </c>
      <c r="CX3590" t="s">
        <v>2443</v>
      </c>
      <c r="CY3590">
        <v>5.04</v>
      </c>
      <c r="CZ3590">
        <v>5.04</v>
      </c>
      <c r="DA3590">
        <v>2.34</v>
      </c>
      <c r="DB3590">
        <v>1.49</v>
      </c>
      <c r="DC3590">
        <v>0.17</v>
      </c>
      <c r="DD3590">
        <v>67.92</v>
      </c>
      <c r="DE3590" t="s">
        <v>3004</v>
      </c>
      <c r="DF3590">
        <v>31.99</v>
      </c>
      <c r="DG3590">
        <v>17.62</v>
      </c>
      <c r="DH3590">
        <v>14.71</v>
      </c>
      <c r="DI3590">
        <v>0.82</v>
      </c>
      <c r="DJ3590">
        <v>3586</v>
      </c>
      <c r="DK3590">
        <v>603456</v>
      </c>
      <c r="DL3590" t="s">
        <v>120</v>
      </c>
      <c r="DM3590" t="s">
        <v>120</v>
      </c>
      <c r="DN3590" t="s">
        <v>120</v>
      </c>
    </row>
    <row r="3591" spans="1:118">
      <c r="A3591" t="str">
        <f>"603458"</f>
        <v>603458</v>
      </c>
      <c r="B3591" t="s">
        <v>15074</v>
      </c>
      <c r="C3591">
        <v>0.62</v>
      </c>
      <c r="D3591">
        <v>-0.08</v>
      </c>
      <c r="E3591">
        <v>-0.53</v>
      </c>
      <c r="F3591">
        <v>580</v>
      </c>
      <c r="G3591" t="s">
        <v>2722</v>
      </c>
      <c r="H3591">
        <v>6663.84</v>
      </c>
      <c r="I3591">
        <v>9.92</v>
      </c>
      <c r="J3591" t="s">
        <v>120</v>
      </c>
      <c r="K3591" t="s">
        <v>1854</v>
      </c>
      <c r="L3591">
        <v>1.87</v>
      </c>
      <c r="M3591">
        <v>11.4</v>
      </c>
      <c r="N3591">
        <v>0.84</v>
      </c>
      <c r="O3591">
        <v>4.1500000000000004</v>
      </c>
      <c r="P3591">
        <v>11.8</v>
      </c>
      <c r="Q3591">
        <v>-0.53</v>
      </c>
      <c r="R3591">
        <v>11.27</v>
      </c>
      <c r="S3591">
        <v>11.27</v>
      </c>
      <c r="T3591">
        <v>57558</v>
      </c>
      <c r="U3591">
        <v>11.41</v>
      </c>
      <c r="V3591">
        <v>11.33</v>
      </c>
      <c r="W3591">
        <v>11.7</v>
      </c>
      <c r="X3591" t="s">
        <v>175</v>
      </c>
      <c r="Y3591" t="s">
        <v>1021</v>
      </c>
      <c r="Z3591">
        <v>4.68</v>
      </c>
      <c r="AA3591">
        <v>11.58</v>
      </c>
      <c r="AB3591">
        <v>26564</v>
      </c>
      <c r="AC3591">
        <v>30994</v>
      </c>
      <c r="AD3591">
        <v>0.86</v>
      </c>
      <c r="AE3591">
        <v>945</v>
      </c>
      <c r="AF3591">
        <v>15</v>
      </c>
      <c r="AG3591" t="s">
        <v>120</v>
      </c>
      <c r="AH3591">
        <v>0</v>
      </c>
      <c r="AI3591" t="s">
        <v>120</v>
      </c>
      <c r="AJ3591">
        <v>3.08</v>
      </c>
      <c r="AK3591" t="s">
        <v>376</v>
      </c>
      <c r="AL3591">
        <v>1.96</v>
      </c>
      <c r="AM3591">
        <v>1891</v>
      </c>
      <c r="AN3591">
        <v>30</v>
      </c>
      <c r="AO3591">
        <v>1E-3</v>
      </c>
      <c r="AP3591">
        <v>1</v>
      </c>
      <c r="AQ3591">
        <v>0</v>
      </c>
      <c r="AR3591">
        <v>-2.4</v>
      </c>
      <c r="AS3591">
        <v>5.27</v>
      </c>
      <c r="AT3591">
        <v>-3.7</v>
      </c>
      <c r="AU3591">
        <v>8.57</v>
      </c>
      <c r="AV3591">
        <v>0</v>
      </c>
      <c r="AW3591">
        <v>2.0699999999999998</v>
      </c>
      <c r="AX3591">
        <v>88.77</v>
      </c>
      <c r="AY3591">
        <v>6.88</v>
      </c>
      <c r="AZ3591">
        <v>6.92</v>
      </c>
      <c r="BA3591">
        <v>0.63</v>
      </c>
      <c r="BB3591" t="s">
        <v>143</v>
      </c>
      <c r="BF3591">
        <v>2.19</v>
      </c>
      <c r="BG3591">
        <v>1.1499999999999999</v>
      </c>
      <c r="BH3591">
        <v>-3.39</v>
      </c>
      <c r="BI3591">
        <v>1.1499999999999999</v>
      </c>
      <c r="BJ3591">
        <v>20210907</v>
      </c>
      <c r="BK3591">
        <v>20170809</v>
      </c>
      <c r="BL3591">
        <v>3.14</v>
      </c>
      <c r="BM3591" t="s">
        <v>120</v>
      </c>
      <c r="BN3591" t="s">
        <v>120</v>
      </c>
      <c r="BO3591">
        <v>75.459999999999994</v>
      </c>
      <c r="BP3591">
        <v>11.4</v>
      </c>
      <c r="BQ3591">
        <v>30.45</v>
      </c>
      <c r="BR3591">
        <v>0.49</v>
      </c>
      <c r="BS3591">
        <v>59</v>
      </c>
      <c r="BT3591">
        <v>53.2</v>
      </c>
      <c r="BU3591">
        <v>4.21</v>
      </c>
      <c r="BV3591">
        <v>0.26</v>
      </c>
      <c r="BW3591">
        <v>38.33</v>
      </c>
      <c r="BX3591">
        <v>9.32</v>
      </c>
      <c r="BY3591">
        <v>2.7</v>
      </c>
      <c r="BZ3591">
        <v>20.34</v>
      </c>
      <c r="CA3591">
        <v>0</v>
      </c>
      <c r="CB3591">
        <v>7.34</v>
      </c>
      <c r="CC3591">
        <v>15.05</v>
      </c>
      <c r="CD3591">
        <v>10.55</v>
      </c>
      <c r="CE3591">
        <v>1.83</v>
      </c>
      <c r="CF3591">
        <v>0.12</v>
      </c>
      <c r="CG3591">
        <v>1.83</v>
      </c>
      <c r="CH3591">
        <v>1.52</v>
      </c>
      <c r="CI3591">
        <v>1.53</v>
      </c>
      <c r="CJ3591">
        <v>7.0000000000000007E-2</v>
      </c>
      <c r="CK3591">
        <v>1.38</v>
      </c>
      <c r="CL3591">
        <v>18.03</v>
      </c>
      <c r="CM3591">
        <v>-2.2200000000000002</v>
      </c>
      <c r="CN3591">
        <v>1.75</v>
      </c>
      <c r="CO3591">
        <v>24107</v>
      </c>
      <c r="CP3591">
        <v>11557</v>
      </c>
      <c r="CQ3591" t="s">
        <v>15075</v>
      </c>
      <c r="CR3591">
        <v>2.38</v>
      </c>
      <c r="CS3591">
        <v>54.37</v>
      </c>
      <c r="CT3591">
        <v>1.18</v>
      </c>
      <c r="CU3591">
        <v>-16.09</v>
      </c>
      <c r="CV3591">
        <v>2.38</v>
      </c>
      <c r="CW3591">
        <v>4.3499999999999996</v>
      </c>
      <c r="CX3591" t="s">
        <v>404</v>
      </c>
      <c r="CY3591">
        <v>9.6999999999999993</v>
      </c>
      <c r="CZ3591">
        <v>0</v>
      </c>
      <c r="DA3591">
        <v>2.34</v>
      </c>
      <c r="DB3591">
        <v>5.74</v>
      </c>
      <c r="DC3591">
        <v>-0.71</v>
      </c>
      <c r="DD3591">
        <v>40.35</v>
      </c>
      <c r="DE3591" t="s">
        <v>4704</v>
      </c>
      <c r="DF3591">
        <v>29.9</v>
      </c>
      <c r="DG3591">
        <v>12.18</v>
      </c>
      <c r="DH3591">
        <v>10.16</v>
      </c>
      <c r="DI3591">
        <v>0.39</v>
      </c>
      <c r="DJ3591">
        <v>3018</v>
      </c>
      <c r="DK3591">
        <v>603458</v>
      </c>
      <c r="DL3591" t="s">
        <v>120</v>
      </c>
      <c r="DM3591" t="s">
        <v>120</v>
      </c>
      <c r="DN3591" t="s">
        <v>120</v>
      </c>
    </row>
    <row r="3592" spans="1:118">
      <c r="A3592" t="str">
        <f>"603466"</f>
        <v>603466</v>
      </c>
      <c r="B3592" t="s">
        <v>15076</v>
      </c>
      <c r="C3592">
        <v>1.22</v>
      </c>
      <c r="D3592">
        <v>-0.17</v>
      </c>
      <c r="E3592">
        <v>0.18</v>
      </c>
      <c r="F3592">
        <v>816</v>
      </c>
      <c r="G3592" t="s">
        <v>8368</v>
      </c>
      <c r="H3592">
        <v>14028.08</v>
      </c>
      <c r="I3592">
        <v>50.57</v>
      </c>
      <c r="J3592" t="s">
        <v>120</v>
      </c>
      <c r="K3592" t="s">
        <v>15077</v>
      </c>
      <c r="L3592">
        <v>2</v>
      </c>
      <c r="M3592">
        <v>16.59</v>
      </c>
      <c r="N3592">
        <v>0.75</v>
      </c>
      <c r="O3592">
        <v>3.97</v>
      </c>
      <c r="P3592">
        <v>17.04</v>
      </c>
      <c r="Q3592">
        <v>-0.55000000000000004</v>
      </c>
      <c r="R3592">
        <v>16.3</v>
      </c>
      <c r="S3592">
        <v>16.420000000000002</v>
      </c>
      <c r="T3592">
        <v>84135</v>
      </c>
      <c r="U3592">
        <v>16.600000000000001</v>
      </c>
      <c r="V3592">
        <v>16.39</v>
      </c>
      <c r="W3592">
        <v>12.48</v>
      </c>
      <c r="X3592" t="s">
        <v>213</v>
      </c>
      <c r="Y3592" t="s">
        <v>1510</v>
      </c>
      <c r="Z3592">
        <v>4.51</v>
      </c>
      <c r="AA3592">
        <v>16.670000000000002</v>
      </c>
      <c r="AB3592">
        <v>42489</v>
      </c>
      <c r="AC3592">
        <v>41646</v>
      </c>
      <c r="AD3592">
        <v>1.02</v>
      </c>
      <c r="AE3592">
        <v>85</v>
      </c>
      <c r="AF3592">
        <v>346</v>
      </c>
      <c r="AG3592" t="s">
        <v>120</v>
      </c>
      <c r="AH3592">
        <v>0.02</v>
      </c>
      <c r="AI3592" t="s">
        <v>120</v>
      </c>
      <c r="AJ3592">
        <v>4.2</v>
      </c>
      <c r="AK3592" t="s">
        <v>15078</v>
      </c>
      <c r="AL3592">
        <v>2.56</v>
      </c>
      <c r="AM3592">
        <v>2988</v>
      </c>
      <c r="AN3592">
        <v>28</v>
      </c>
      <c r="AO3592">
        <v>6.9999999999999999E-4</v>
      </c>
      <c r="AP3592">
        <v>2</v>
      </c>
      <c r="AQ3592">
        <v>1.86</v>
      </c>
      <c r="AR3592">
        <v>-1.2</v>
      </c>
      <c r="AS3592">
        <v>13.01</v>
      </c>
      <c r="AT3592">
        <v>-2.93</v>
      </c>
      <c r="AU3592">
        <v>6.53</v>
      </c>
      <c r="AV3592">
        <v>2</v>
      </c>
      <c r="AW3592">
        <v>5.96</v>
      </c>
      <c r="AX3592">
        <v>33.44</v>
      </c>
      <c r="AY3592">
        <v>14.63</v>
      </c>
      <c r="AZ3592">
        <v>20.190000000000001</v>
      </c>
      <c r="BA3592">
        <v>1.1100000000000001</v>
      </c>
      <c r="BB3592" t="s">
        <v>143</v>
      </c>
      <c r="BF3592">
        <v>1.73</v>
      </c>
      <c r="BG3592">
        <v>1.04</v>
      </c>
      <c r="BH3592">
        <v>-2.64</v>
      </c>
      <c r="BI3592">
        <v>1.78</v>
      </c>
      <c r="BJ3592">
        <v>20210830</v>
      </c>
      <c r="BK3592">
        <v>20171020</v>
      </c>
      <c r="BL3592">
        <v>4.22</v>
      </c>
      <c r="BM3592" t="s">
        <v>120</v>
      </c>
      <c r="BN3592" t="s">
        <v>120</v>
      </c>
      <c r="BO3592">
        <v>44.8</v>
      </c>
      <c r="BP3592">
        <v>16.59</v>
      </c>
      <c r="BQ3592">
        <v>21.3</v>
      </c>
      <c r="BR3592">
        <v>0</v>
      </c>
      <c r="BS3592">
        <v>52.44</v>
      </c>
      <c r="BT3592">
        <v>39.78</v>
      </c>
      <c r="BU3592">
        <v>1.83</v>
      </c>
      <c r="BV3592">
        <v>0.22</v>
      </c>
      <c r="BW3592">
        <v>22.68</v>
      </c>
      <c r="BX3592">
        <v>11.72</v>
      </c>
      <c r="BY3592">
        <v>7.89</v>
      </c>
      <c r="BZ3592">
        <v>14.41</v>
      </c>
      <c r="CA3592" t="s">
        <v>120</v>
      </c>
      <c r="CB3592">
        <v>6.54</v>
      </c>
      <c r="CC3592">
        <v>14.42</v>
      </c>
      <c r="CD3592">
        <v>9.18</v>
      </c>
      <c r="CE3592">
        <v>3.34</v>
      </c>
      <c r="CF3592">
        <v>0.04</v>
      </c>
      <c r="CG3592">
        <v>3.3</v>
      </c>
      <c r="CH3592">
        <v>2.8</v>
      </c>
      <c r="CI3592">
        <v>2.8</v>
      </c>
      <c r="CJ3592">
        <v>0.2</v>
      </c>
      <c r="CK3592">
        <v>2.72</v>
      </c>
      <c r="CL3592">
        <v>9.8800000000000008</v>
      </c>
      <c r="CM3592">
        <v>1.08</v>
      </c>
      <c r="CN3592">
        <v>-1.52</v>
      </c>
      <c r="CO3592">
        <v>22395</v>
      </c>
      <c r="CP3592">
        <v>6300</v>
      </c>
      <c r="CQ3592" t="s">
        <v>10986</v>
      </c>
      <c r="CR3592">
        <v>86.54</v>
      </c>
      <c r="CS3592">
        <v>42.93</v>
      </c>
      <c r="CT3592">
        <v>3.29</v>
      </c>
      <c r="CU3592">
        <v>65.02</v>
      </c>
      <c r="CV3592">
        <v>4.8499999999999996</v>
      </c>
      <c r="CW3592">
        <v>2.1</v>
      </c>
      <c r="CX3592" t="s">
        <v>2533</v>
      </c>
      <c r="CY3592">
        <v>5.05</v>
      </c>
      <c r="CZ3592">
        <v>5.05</v>
      </c>
      <c r="DA3592">
        <v>1.55</v>
      </c>
      <c r="DB3592">
        <v>2.34</v>
      </c>
      <c r="DC3592">
        <v>0.26</v>
      </c>
      <c r="DD3592">
        <v>47.56</v>
      </c>
      <c r="DE3592" t="s">
        <v>15079</v>
      </c>
      <c r="DF3592">
        <v>36.33</v>
      </c>
      <c r="DG3592">
        <v>23.15</v>
      </c>
      <c r="DH3592">
        <v>19.440000000000001</v>
      </c>
      <c r="DI3592">
        <v>0.44</v>
      </c>
      <c r="DJ3592">
        <v>1532</v>
      </c>
      <c r="DK3592">
        <v>603466</v>
      </c>
      <c r="DL3592" t="s">
        <v>120</v>
      </c>
      <c r="DM3592" t="s">
        <v>120</v>
      </c>
      <c r="DN3592" t="s">
        <v>120</v>
      </c>
    </row>
    <row r="3593" spans="1:118">
      <c r="A3593" t="str">
        <f>"603477"</f>
        <v>603477</v>
      </c>
      <c r="B3593" t="s">
        <v>15080</v>
      </c>
      <c r="C3593">
        <v>6.87</v>
      </c>
      <c r="D3593">
        <v>0.08</v>
      </c>
      <c r="E3593">
        <v>-0.26</v>
      </c>
      <c r="F3593">
        <v>3147</v>
      </c>
      <c r="G3593" t="s">
        <v>15081</v>
      </c>
      <c r="H3593">
        <v>27695.21</v>
      </c>
      <c r="I3593">
        <v>33.47</v>
      </c>
      <c r="J3593" t="s">
        <v>120</v>
      </c>
      <c r="K3593" t="s">
        <v>15082</v>
      </c>
      <c r="L3593">
        <v>5.09</v>
      </c>
      <c r="M3593">
        <v>12.45</v>
      </c>
      <c r="N3593">
        <v>2.69</v>
      </c>
      <c r="O3593">
        <v>9.6999999999999993</v>
      </c>
      <c r="P3593">
        <v>12.78</v>
      </c>
      <c r="Q3593">
        <v>-1.1200000000000001</v>
      </c>
      <c r="R3593">
        <v>11.52</v>
      </c>
      <c r="S3593">
        <v>11.62</v>
      </c>
      <c r="T3593">
        <v>225706</v>
      </c>
      <c r="U3593">
        <v>12.46</v>
      </c>
      <c r="V3593">
        <v>11.65</v>
      </c>
      <c r="W3593">
        <v>10.93</v>
      </c>
      <c r="X3593" t="s">
        <v>1766</v>
      </c>
      <c r="Y3593" t="s">
        <v>578</v>
      </c>
      <c r="Z3593">
        <v>10.82</v>
      </c>
      <c r="AA3593">
        <v>12.27</v>
      </c>
      <c r="AB3593">
        <v>93053</v>
      </c>
      <c r="AC3593">
        <v>132653</v>
      </c>
      <c r="AD3593">
        <v>0.7</v>
      </c>
      <c r="AE3593">
        <v>546</v>
      </c>
      <c r="AF3593">
        <v>205</v>
      </c>
      <c r="AG3593" t="s">
        <v>120</v>
      </c>
      <c r="AH3593">
        <v>0.02</v>
      </c>
      <c r="AI3593" t="s">
        <v>120</v>
      </c>
      <c r="AJ3593">
        <v>4.4400000000000004</v>
      </c>
      <c r="AK3593" t="s">
        <v>15083</v>
      </c>
      <c r="AL3593">
        <v>8.2100000000000009</v>
      </c>
      <c r="AM3593">
        <v>3883</v>
      </c>
      <c r="AN3593">
        <v>58</v>
      </c>
      <c r="AO3593">
        <v>1.2999999999999999E-3</v>
      </c>
      <c r="AP3593">
        <v>2</v>
      </c>
      <c r="AQ3593">
        <v>1.22</v>
      </c>
      <c r="AR3593">
        <v>3.24</v>
      </c>
      <c r="AS3593">
        <v>14.54</v>
      </c>
      <c r="AT3593">
        <v>4.2699999999999996</v>
      </c>
      <c r="AU3593">
        <v>14.87</v>
      </c>
      <c r="AV3593">
        <v>2</v>
      </c>
      <c r="AW3593">
        <v>13.36</v>
      </c>
      <c r="AX3593">
        <v>33.39</v>
      </c>
      <c r="AY3593">
        <v>13.51</v>
      </c>
      <c r="AZ3593">
        <v>46.18</v>
      </c>
      <c r="BA3593">
        <v>0.98</v>
      </c>
      <c r="BB3593" t="s">
        <v>240</v>
      </c>
      <c r="BF3593">
        <v>5.33</v>
      </c>
      <c r="BG3593">
        <v>7.14</v>
      </c>
      <c r="BH3593">
        <v>-2.58</v>
      </c>
      <c r="BI3593">
        <v>8.07</v>
      </c>
      <c r="BJ3593">
        <v>20210728</v>
      </c>
      <c r="BK3593">
        <v>20171218</v>
      </c>
      <c r="BL3593">
        <v>5.0599999999999996</v>
      </c>
      <c r="BM3593" t="s">
        <v>120</v>
      </c>
      <c r="BN3593" t="s">
        <v>120</v>
      </c>
      <c r="BO3593">
        <v>55.51</v>
      </c>
      <c r="BP3593">
        <v>12.45</v>
      </c>
      <c r="BQ3593">
        <v>33.159999999999997</v>
      </c>
      <c r="BR3593">
        <v>0.56000000000000005</v>
      </c>
      <c r="BS3593">
        <v>39.26</v>
      </c>
      <c r="BT3593">
        <v>22.28</v>
      </c>
      <c r="BU3593">
        <v>15.76</v>
      </c>
      <c r="BV3593">
        <v>1.1299999999999999</v>
      </c>
      <c r="BW3593">
        <v>15.72</v>
      </c>
      <c r="BX3593">
        <v>7.28</v>
      </c>
      <c r="BY3593">
        <v>12.26</v>
      </c>
      <c r="BZ3593">
        <v>1.66</v>
      </c>
      <c r="CA3593" t="s">
        <v>120</v>
      </c>
      <c r="CB3593">
        <v>22.06</v>
      </c>
      <c r="CC3593">
        <v>14.54</v>
      </c>
      <c r="CD3593">
        <v>9.91</v>
      </c>
      <c r="CE3593">
        <v>3.1</v>
      </c>
      <c r="CF3593">
        <v>0.04</v>
      </c>
      <c r="CG3593">
        <v>3.05</v>
      </c>
      <c r="CH3593">
        <v>2.97</v>
      </c>
      <c r="CI3593">
        <v>2.88</v>
      </c>
      <c r="CJ3593">
        <v>0.8</v>
      </c>
      <c r="CK3593">
        <v>2.92</v>
      </c>
      <c r="CL3593">
        <v>5.79</v>
      </c>
      <c r="CM3593">
        <v>3.1</v>
      </c>
      <c r="CN3593">
        <v>2.91</v>
      </c>
      <c r="CO3593">
        <v>15765</v>
      </c>
      <c r="CP3593">
        <v>10720</v>
      </c>
      <c r="CQ3593" t="s">
        <v>3112</v>
      </c>
      <c r="CR3593">
        <v>1503.87</v>
      </c>
      <c r="CS3593">
        <v>805.62</v>
      </c>
      <c r="CT3593">
        <v>1.9</v>
      </c>
      <c r="CU3593">
        <v>20.36</v>
      </c>
      <c r="CV3593">
        <v>4.33</v>
      </c>
      <c r="CW3593">
        <v>0.65</v>
      </c>
      <c r="CX3593" t="s">
        <v>8995</v>
      </c>
      <c r="CY3593">
        <v>6.55</v>
      </c>
      <c r="CZ3593">
        <v>0</v>
      </c>
      <c r="DA3593">
        <v>4.3600000000000003</v>
      </c>
      <c r="DB3593">
        <v>1.1399999999999999</v>
      </c>
      <c r="DC3593">
        <v>0.61</v>
      </c>
      <c r="DD3593">
        <v>59.74</v>
      </c>
      <c r="DE3593" t="s">
        <v>466</v>
      </c>
      <c r="DF3593">
        <v>31.86</v>
      </c>
      <c r="DG3593">
        <v>21.33</v>
      </c>
      <c r="DH3593">
        <v>19.809999999999999</v>
      </c>
      <c r="DI3593">
        <v>0.1</v>
      </c>
      <c r="DJ3593">
        <v>3074</v>
      </c>
      <c r="DK3593">
        <v>603477</v>
      </c>
      <c r="DL3593" t="s">
        <v>120</v>
      </c>
      <c r="DM3593" t="s">
        <v>120</v>
      </c>
      <c r="DN3593" t="s">
        <v>120</v>
      </c>
    </row>
    <row r="3594" spans="1:118">
      <c r="A3594" t="str">
        <f>"603486"</f>
        <v>603486</v>
      </c>
      <c r="B3594" t="s">
        <v>15084</v>
      </c>
      <c r="C3594">
        <v>9.09</v>
      </c>
      <c r="D3594">
        <v>0.5</v>
      </c>
      <c r="E3594">
        <v>2.0299999999999998</v>
      </c>
      <c r="F3594">
        <v>458</v>
      </c>
      <c r="G3594" t="s">
        <v>15085</v>
      </c>
      <c r="H3594">
        <v>116963.88</v>
      </c>
      <c r="I3594">
        <v>205</v>
      </c>
      <c r="J3594" t="s">
        <v>120</v>
      </c>
      <c r="K3594" t="s">
        <v>15086</v>
      </c>
      <c r="L3594">
        <v>1.33</v>
      </c>
      <c r="M3594">
        <v>157.69</v>
      </c>
      <c r="N3594">
        <v>2.15</v>
      </c>
      <c r="O3594">
        <v>10</v>
      </c>
      <c r="P3594">
        <v>159.01</v>
      </c>
      <c r="Q3594">
        <v>1.08</v>
      </c>
      <c r="R3594">
        <v>146.11000000000001</v>
      </c>
      <c r="S3594">
        <v>147.47999999999999</v>
      </c>
      <c r="T3594">
        <v>74286</v>
      </c>
      <c r="U3594">
        <v>157.69</v>
      </c>
      <c r="V3594">
        <v>144.55000000000001</v>
      </c>
      <c r="W3594">
        <v>53.08</v>
      </c>
      <c r="X3594" t="s">
        <v>205</v>
      </c>
      <c r="Y3594" t="s">
        <v>319</v>
      </c>
      <c r="Z3594">
        <v>8.92</v>
      </c>
      <c r="AA3594">
        <v>157.44999999999999</v>
      </c>
      <c r="AB3594">
        <v>38953</v>
      </c>
      <c r="AC3594">
        <v>35333</v>
      </c>
      <c r="AD3594">
        <v>1.1000000000000001</v>
      </c>
      <c r="AE3594">
        <v>2</v>
      </c>
      <c r="AF3594">
        <v>118</v>
      </c>
      <c r="AG3594" t="s">
        <v>120</v>
      </c>
      <c r="AH3594">
        <v>0.01</v>
      </c>
      <c r="AI3594" t="s">
        <v>120</v>
      </c>
      <c r="AJ3594">
        <v>5.6</v>
      </c>
      <c r="AK3594" t="s">
        <v>15087</v>
      </c>
      <c r="AL3594">
        <v>10.43</v>
      </c>
      <c r="AM3594">
        <v>3365</v>
      </c>
      <c r="AN3594">
        <v>22</v>
      </c>
      <c r="AO3594">
        <v>4.0000000000000002E-4</v>
      </c>
      <c r="AP3594">
        <v>1</v>
      </c>
      <c r="AQ3594">
        <v>-3.44</v>
      </c>
      <c r="AR3594">
        <v>6.76</v>
      </c>
      <c r="AS3594">
        <v>-11.35</v>
      </c>
      <c r="AT3594">
        <v>-26.76</v>
      </c>
      <c r="AU3594">
        <v>79.209999999999994</v>
      </c>
      <c r="AV3594">
        <v>10</v>
      </c>
      <c r="AW3594">
        <v>3.95</v>
      </c>
      <c r="AX3594">
        <v>32.89</v>
      </c>
      <c r="AY3594">
        <v>60.86</v>
      </c>
      <c r="AZ3594">
        <v>129.01</v>
      </c>
      <c r="BA3594">
        <v>2.34</v>
      </c>
      <c r="BB3594" t="s">
        <v>134</v>
      </c>
      <c r="BF3594">
        <v>8.93</v>
      </c>
      <c r="BG3594">
        <v>6.92</v>
      </c>
      <c r="BH3594">
        <v>-0.83</v>
      </c>
      <c r="BI3594">
        <v>7.93</v>
      </c>
      <c r="BJ3594">
        <v>20210901</v>
      </c>
      <c r="BK3594">
        <v>20180528</v>
      </c>
      <c r="BL3594">
        <v>5.72</v>
      </c>
      <c r="BM3594" t="s">
        <v>120</v>
      </c>
      <c r="BN3594" t="s">
        <v>120</v>
      </c>
      <c r="BO3594">
        <v>76.040000000000006</v>
      </c>
      <c r="BP3594">
        <v>157.68</v>
      </c>
      <c r="BQ3594">
        <v>37.11</v>
      </c>
      <c r="BR3594">
        <v>0.14000000000000001</v>
      </c>
      <c r="BS3594">
        <v>51.01</v>
      </c>
      <c r="BT3594">
        <v>62.76</v>
      </c>
      <c r="BU3594">
        <v>7.8</v>
      </c>
      <c r="BV3594">
        <v>0.86</v>
      </c>
      <c r="BW3594">
        <v>38.65</v>
      </c>
      <c r="BX3594">
        <v>20.2</v>
      </c>
      <c r="BY3594">
        <v>22.81</v>
      </c>
      <c r="BZ3594">
        <v>12.87</v>
      </c>
      <c r="CA3594" t="s">
        <v>120</v>
      </c>
      <c r="CB3594">
        <v>14.12</v>
      </c>
      <c r="CC3594">
        <v>53.59</v>
      </c>
      <c r="CD3594">
        <v>26.64</v>
      </c>
      <c r="CE3594">
        <v>9.6999999999999993</v>
      </c>
      <c r="CF3594">
        <v>0.03</v>
      </c>
      <c r="CG3594">
        <v>9.73</v>
      </c>
      <c r="CH3594">
        <v>8.5299999999999994</v>
      </c>
      <c r="CI3594">
        <v>8.5</v>
      </c>
      <c r="CJ3594">
        <v>13.14</v>
      </c>
      <c r="CK3594">
        <v>8.15</v>
      </c>
      <c r="CL3594">
        <v>20.63</v>
      </c>
      <c r="CM3594">
        <v>3.53</v>
      </c>
      <c r="CN3594">
        <v>0.65</v>
      </c>
      <c r="CO3594">
        <v>19020</v>
      </c>
      <c r="CP3594">
        <v>9896</v>
      </c>
      <c r="CQ3594" t="s">
        <v>15088</v>
      </c>
      <c r="CR3594">
        <v>543.25</v>
      </c>
      <c r="CS3594">
        <v>123.11</v>
      </c>
      <c r="CT3594">
        <v>24.33</v>
      </c>
      <c r="CU3594">
        <v>255.73</v>
      </c>
      <c r="CV3594">
        <v>16.84</v>
      </c>
      <c r="CW3594">
        <v>0.35</v>
      </c>
      <c r="CX3594" t="s">
        <v>10312</v>
      </c>
      <c r="CY3594">
        <v>6.48</v>
      </c>
      <c r="CZ3594">
        <v>6.48</v>
      </c>
      <c r="DA3594">
        <v>2.4700000000000002</v>
      </c>
      <c r="DB3594">
        <v>3.61</v>
      </c>
      <c r="DC3594">
        <v>0.62</v>
      </c>
      <c r="DD3594">
        <v>48.8</v>
      </c>
      <c r="DE3594" t="s">
        <v>15068</v>
      </c>
      <c r="DF3594">
        <v>50.28</v>
      </c>
      <c r="DG3594">
        <v>18.100000000000001</v>
      </c>
      <c r="DH3594">
        <v>15.86</v>
      </c>
      <c r="DI3594">
        <v>2.02</v>
      </c>
      <c r="DJ3594">
        <v>6550</v>
      </c>
      <c r="DK3594">
        <v>603486</v>
      </c>
      <c r="DL3594" t="s">
        <v>120</v>
      </c>
      <c r="DM3594" t="s">
        <v>120</v>
      </c>
      <c r="DN3594" t="s">
        <v>120</v>
      </c>
    </row>
    <row r="3595" spans="1:118">
      <c r="A3595" t="str">
        <f>"603488"</f>
        <v>603488</v>
      </c>
      <c r="B3595" t="s">
        <v>15089</v>
      </c>
      <c r="C3595">
        <v>-1.51</v>
      </c>
      <c r="D3595">
        <v>-0.13</v>
      </c>
      <c r="E3595">
        <v>1.23</v>
      </c>
      <c r="F3595">
        <v>519</v>
      </c>
      <c r="G3595" t="s">
        <v>10407</v>
      </c>
      <c r="H3595">
        <v>1679.62</v>
      </c>
      <c r="I3595">
        <v>25.35</v>
      </c>
      <c r="J3595" t="s">
        <v>120</v>
      </c>
      <c r="K3595" t="s">
        <v>6279</v>
      </c>
      <c r="L3595">
        <v>0.79</v>
      </c>
      <c r="M3595">
        <v>7.19</v>
      </c>
      <c r="N3595">
        <v>0.84</v>
      </c>
      <c r="O3595">
        <v>1.37</v>
      </c>
      <c r="P3595">
        <v>7.4</v>
      </c>
      <c r="Q3595">
        <v>-1.51</v>
      </c>
      <c r="R3595">
        <v>7.19</v>
      </c>
      <c r="S3595">
        <v>7.39</v>
      </c>
      <c r="T3595">
        <v>23062</v>
      </c>
      <c r="U3595">
        <v>7.19</v>
      </c>
      <c r="V3595">
        <v>7.3</v>
      </c>
      <c r="W3595">
        <v>27.49</v>
      </c>
      <c r="X3595" t="s">
        <v>394</v>
      </c>
      <c r="Y3595" t="s">
        <v>319</v>
      </c>
      <c r="Z3595">
        <v>2.88</v>
      </c>
      <c r="AA3595">
        <v>7.28</v>
      </c>
      <c r="AB3595">
        <v>13695</v>
      </c>
      <c r="AC3595">
        <v>9367</v>
      </c>
      <c r="AD3595">
        <v>1.46</v>
      </c>
      <c r="AE3595">
        <v>140</v>
      </c>
      <c r="AF3595">
        <v>554</v>
      </c>
      <c r="AG3595" t="s">
        <v>120</v>
      </c>
      <c r="AH3595">
        <v>0.03</v>
      </c>
      <c r="AI3595" t="s">
        <v>120</v>
      </c>
      <c r="AJ3595">
        <v>2.92</v>
      </c>
      <c r="AK3595" t="s">
        <v>6279</v>
      </c>
      <c r="AL3595">
        <v>-0.16</v>
      </c>
      <c r="AM3595">
        <v>782</v>
      </c>
      <c r="AN3595">
        <v>29</v>
      </c>
      <c r="AO3595">
        <v>1E-3</v>
      </c>
      <c r="AP3595">
        <v>-1</v>
      </c>
      <c r="AQ3595">
        <v>0.83</v>
      </c>
      <c r="AR3595">
        <v>-3.23</v>
      </c>
      <c r="AS3595">
        <v>0.7</v>
      </c>
      <c r="AT3595">
        <v>1.41</v>
      </c>
      <c r="AU3595">
        <v>-27.67</v>
      </c>
      <c r="AV3595">
        <v>2</v>
      </c>
      <c r="AW3595">
        <v>1.78</v>
      </c>
      <c r="AX3595">
        <v>44.42</v>
      </c>
      <c r="AY3595">
        <v>21.16</v>
      </c>
      <c r="AZ3595">
        <v>20.53</v>
      </c>
      <c r="BA3595">
        <v>0.37</v>
      </c>
      <c r="BB3595" t="s">
        <v>143</v>
      </c>
      <c r="BF3595">
        <v>-0.23</v>
      </c>
      <c r="BG3595">
        <v>-2.71</v>
      </c>
      <c r="BH3595">
        <v>-2.84</v>
      </c>
      <c r="BI3595">
        <v>0</v>
      </c>
      <c r="BJ3595">
        <v>20210827</v>
      </c>
      <c r="BK3595">
        <v>20170516</v>
      </c>
      <c r="BL3595">
        <v>2.92</v>
      </c>
      <c r="BM3595" t="s">
        <v>120</v>
      </c>
      <c r="BN3595" t="s">
        <v>120</v>
      </c>
      <c r="BO3595">
        <v>11.4</v>
      </c>
      <c r="BP3595">
        <v>7.18</v>
      </c>
      <c r="BQ3595">
        <v>9.7100000000000009</v>
      </c>
      <c r="BR3595" t="s">
        <v>120</v>
      </c>
      <c r="BS3595">
        <v>14.78</v>
      </c>
      <c r="BT3595">
        <v>9.3699999999999992</v>
      </c>
      <c r="BU3595">
        <v>1.1100000000000001</v>
      </c>
      <c r="BV3595">
        <v>0.43</v>
      </c>
      <c r="BW3595">
        <v>1.65</v>
      </c>
      <c r="BX3595">
        <v>1.63</v>
      </c>
      <c r="BY3595">
        <v>0.62</v>
      </c>
      <c r="BZ3595">
        <v>1.52</v>
      </c>
      <c r="CA3595" t="s">
        <v>120</v>
      </c>
      <c r="CB3595">
        <v>2.57</v>
      </c>
      <c r="CC3595">
        <v>2.13</v>
      </c>
      <c r="CD3595">
        <v>1.56</v>
      </c>
      <c r="CE3595">
        <v>0.45</v>
      </c>
      <c r="CF3595">
        <v>0.04</v>
      </c>
      <c r="CG3595">
        <v>0.45</v>
      </c>
      <c r="CH3595">
        <v>0.38</v>
      </c>
      <c r="CI3595">
        <v>0.38</v>
      </c>
      <c r="CJ3595">
        <v>-0.11</v>
      </c>
      <c r="CK3595">
        <v>0.3</v>
      </c>
      <c r="CL3595">
        <v>3.5</v>
      </c>
      <c r="CM3595">
        <v>0.31</v>
      </c>
      <c r="CN3595">
        <v>-1.71</v>
      </c>
      <c r="CO3595">
        <v>12946</v>
      </c>
      <c r="CP3595">
        <v>10020</v>
      </c>
      <c r="CQ3595" t="s">
        <v>14502</v>
      </c>
      <c r="CR3595">
        <v>-7.47</v>
      </c>
      <c r="CS3595">
        <v>35.1</v>
      </c>
      <c r="CT3595">
        <v>2.17</v>
      </c>
      <c r="CU3595">
        <v>68.72</v>
      </c>
      <c r="CV3595">
        <v>9.85</v>
      </c>
      <c r="CW3595">
        <v>2.74</v>
      </c>
      <c r="CX3595" t="s">
        <v>986</v>
      </c>
      <c r="CY3595">
        <v>3.32</v>
      </c>
      <c r="CZ3595">
        <v>3.32</v>
      </c>
      <c r="DA3595">
        <v>0.88</v>
      </c>
      <c r="DB3595">
        <v>1.2</v>
      </c>
      <c r="DC3595">
        <v>0.1</v>
      </c>
      <c r="DD3595">
        <v>85.22</v>
      </c>
      <c r="DE3595" t="s">
        <v>4245</v>
      </c>
      <c r="DF3595">
        <v>26.84</v>
      </c>
      <c r="DG3595">
        <v>21.11</v>
      </c>
      <c r="DH3595">
        <v>17.920000000000002</v>
      </c>
      <c r="DI3595">
        <v>7.0000000000000007E-2</v>
      </c>
      <c r="DJ3595">
        <v>497</v>
      </c>
      <c r="DK3595">
        <v>603488</v>
      </c>
      <c r="DL3595" t="s">
        <v>120</v>
      </c>
      <c r="DM3595" t="s">
        <v>120</v>
      </c>
      <c r="DN3595" t="s">
        <v>120</v>
      </c>
    </row>
    <row r="3596" spans="1:118">
      <c r="A3596" t="str">
        <f>"603489"</f>
        <v>603489</v>
      </c>
      <c r="B3596" t="s">
        <v>15090</v>
      </c>
      <c r="C3596">
        <v>-2.39</v>
      </c>
      <c r="D3596">
        <v>0.3</v>
      </c>
      <c r="E3596">
        <v>0.36</v>
      </c>
      <c r="F3596">
        <v>59</v>
      </c>
      <c r="G3596" t="s">
        <v>15091</v>
      </c>
      <c r="H3596">
        <v>8784.23</v>
      </c>
      <c r="I3596">
        <v>33.409999999999997</v>
      </c>
      <c r="J3596" t="s">
        <v>120</v>
      </c>
      <c r="K3596" t="s">
        <v>15092</v>
      </c>
      <c r="L3596">
        <v>0.49</v>
      </c>
      <c r="M3596">
        <v>250</v>
      </c>
      <c r="N3596">
        <v>0.67</v>
      </c>
      <c r="O3596">
        <v>0.72</v>
      </c>
      <c r="P3596">
        <v>257.97000000000003</v>
      </c>
      <c r="Q3596">
        <v>-4.34</v>
      </c>
      <c r="R3596">
        <v>245</v>
      </c>
      <c r="S3596">
        <v>257.02999999999997</v>
      </c>
      <c r="T3596">
        <v>3522</v>
      </c>
      <c r="U3596">
        <v>250</v>
      </c>
      <c r="V3596">
        <v>256.12</v>
      </c>
      <c r="W3596">
        <v>48.6</v>
      </c>
      <c r="X3596" t="s">
        <v>394</v>
      </c>
      <c r="Y3596" t="s">
        <v>319</v>
      </c>
      <c r="Z3596">
        <v>5.0599999999999996</v>
      </c>
      <c r="AA3596">
        <v>249.44</v>
      </c>
      <c r="AB3596">
        <v>1693</v>
      </c>
      <c r="AC3596">
        <v>1829</v>
      </c>
      <c r="AD3596">
        <v>0.93</v>
      </c>
      <c r="AE3596">
        <v>2</v>
      </c>
      <c r="AF3596">
        <v>13</v>
      </c>
      <c r="AG3596" t="s">
        <v>120</v>
      </c>
      <c r="AH3596">
        <v>0</v>
      </c>
      <c r="AI3596" t="s">
        <v>120</v>
      </c>
      <c r="AJ3596">
        <v>0.71</v>
      </c>
      <c r="AK3596" t="s">
        <v>15093</v>
      </c>
      <c r="AL3596">
        <v>-1.05</v>
      </c>
      <c r="AM3596">
        <v>1180</v>
      </c>
      <c r="AN3596">
        <v>3</v>
      </c>
      <c r="AO3596">
        <v>4.0000000000000002E-4</v>
      </c>
      <c r="AP3596">
        <v>-1</v>
      </c>
      <c r="AQ3596">
        <v>3.42</v>
      </c>
      <c r="AR3596">
        <v>0.21</v>
      </c>
      <c r="AS3596">
        <v>24.13</v>
      </c>
      <c r="AT3596">
        <v>3.31</v>
      </c>
      <c r="AU3596">
        <v>32.770000000000003</v>
      </c>
      <c r="AV3596">
        <v>2</v>
      </c>
      <c r="AW3596">
        <v>1.0900000000000001</v>
      </c>
      <c r="AX3596">
        <v>26.93</v>
      </c>
      <c r="AY3596">
        <v>58.02</v>
      </c>
      <c r="AZ3596">
        <v>76.599999999999994</v>
      </c>
      <c r="BA3596">
        <v>1.1599999999999999</v>
      </c>
      <c r="BB3596" t="s">
        <v>184</v>
      </c>
      <c r="BF3596">
        <v>-2.61</v>
      </c>
      <c r="BG3596">
        <v>-2.74</v>
      </c>
      <c r="BH3596">
        <v>-3.09</v>
      </c>
      <c r="BI3596">
        <v>2.04</v>
      </c>
      <c r="BJ3596">
        <v>20210827</v>
      </c>
      <c r="BK3596">
        <v>20191111</v>
      </c>
      <c r="BL3596">
        <v>1.2</v>
      </c>
      <c r="BM3596" t="s">
        <v>120</v>
      </c>
      <c r="BN3596" t="s">
        <v>120</v>
      </c>
      <c r="BO3596">
        <v>31.84</v>
      </c>
      <c r="BP3596">
        <v>249.06</v>
      </c>
      <c r="BQ3596">
        <v>23.76</v>
      </c>
      <c r="BR3596" t="s">
        <v>120</v>
      </c>
      <c r="BS3596">
        <v>25.37</v>
      </c>
      <c r="BT3596">
        <v>27.4</v>
      </c>
      <c r="BU3596">
        <v>0.36</v>
      </c>
      <c r="BV3596">
        <v>0.31</v>
      </c>
      <c r="BW3596">
        <v>7.51</v>
      </c>
      <c r="BX3596">
        <v>13.63</v>
      </c>
      <c r="BY3596">
        <v>3.35</v>
      </c>
      <c r="BZ3596">
        <v>4.91</v>
      </c>
      <c r="CA3596" t="s">
        <v>120</v>
      </c>
      <c r="CB3596">
        <v>14.08</v>
      </c>
      <c r="CC3596">
        <v>12.32</v>
      </c>
      <c r="CD3596">
        <v>7.85</v>
      </c>
      <c r="CE3596">
        <v>3.63</v>
      </c>
      <c r="CF3596">
        <v>0.01</v>
      </c>
      <c r="CG3596">
        <v>3.63</v>
      </c>
      <c r="CH3596">
        <v>3.09</v>
      </c>
      <c r="CI3596">
        <v>3.09</v>
      </c>
      <c r="CJ3596">
        <v>-6.12</v>
      </c>
      <c r="CK3596">
        <v>3.05</v>
      </c>
      <c r="CL3596">
        <v>7.88</v>
      </c>
      <c r="CM3596">
        <v>1.84</v>
      </c>
      <c r="CN3596">
        <v>-4.9400000000000004</v>
      </c>
      <c r="CO3596">
        <v>6238</v>
      </c>
      <c r="CP3596">
        <v>5194</v>
      </c>
      <c r="CQ3596" t="s">
        <v>15094</v>
      </c>
      <c r="CR3596">
        <v>71.33</v>
      </c>
      <c r="CS3596">
        <v>114.49</v>
      </c>
      <c r="CT3596">
        <v>12.66</v>
      </c>
      <c r="CU3596">
        <v>163.84</v>
      </c>
      <c r="CV3596">
        <v>24.42</v>
      </c>
      <c r="CW3596">
        <v>0.78</v>
      </c>
      <c r="CX3596" t="s">
        <v>15095</v>
      </c>
      <c r="CY3596">
        <v>19.75</v>
      </c>
      <c r="CZ3596">
        <v>0</v>
      </c>
      <c r="DA3596">
        <v>11.71</v>
      </c>
      <c r="DB3596">
        <v>6.55</v>
      </c>
      <c r="DC3596">
        <v>1.53</v>
      </c>
      <c r="DD3596">
        <v>74.63</v>
      </c>
      <c r="DE3596" t="s">
        <v>15096</v>
      </c>
      <c r="DF3596">
        <v>36.29</v>
      </c>
      <c r="DG3596">
        <v>29.48</v>
      </c>
      <c r="DH3596">
        <v>25.12</v>
      </c>
      <c r="DI3596">
        <v>0.24</v>
      </c>
      <c r="DJ3596">
        <v>659</v>
      </c>
      <c r="DK3596">
        <v>603489</v>
      </c>
      <c r="DL3596" t="s">
        <v>120</v>
      </c>
      <c r="DM3596" t="s">
        <v>120</v>
      </c>
      <c r="DN3596" t="s">
        <v>120</v>
      </c>
    </row>
    <row r="3597" spans="1:118">
      <c r="A3597" t="str">
        <f>"603496"</f>
        <v>603496</v>
      </c>
      <c r="B3597" t="s">
        <v>15097</v>
      </c>
      <c r="C3597">
        <v>-5.42</v>
      </c>
      <c r="D3597">
        <v>0</v>
      </c>
      <c r="E3597">
        <v>-0.74</v>
      </c>
      <c r="F3597">
        <v>290</v>
      </c>
      <c r="G3597" t="s">
        <v>1094</v>
      </c>
      <c r="H3597">
        <v>4932.71</v>
      </c>
      <c r="I3597">
        <v>3.13</v>
      </c>
      <c r="J3597" t="s">
        <v>120</v>
      </c>
      <c r="K3597" t="s">
        <v>4318</v>
      </c>
      <c r="L3597">
        <v>1.46</v>
      </c>
      <c r="M3597">
        <v>16.59</v>
      </c>
      <c r="N3597">
        <v>0.95</v>
      </c>
      <c r="O3597">
        <v>0.68</v>
      </c>
      <c r="P3597">
        <v>17.66</v>
      </c>
      <c r="Q3597">
        <v>-5.59</v>
      </c>
      <c r="R3597">
        <v>16.559999999999999</v>
      </c>
      <c r="S3597">
        <v>17.41</v>
      </c>
      <c r="T3597">
        <v>29087</v>
      </c>
      <c r="U3597">
        <v>16.600000000000001</v>
      </c>
      <c r="V3597">
        <v>17.54</v>
      </c>
      <c r="W3597">
        <v>121.44</v>
      </c>
      <c r="X3597" t="s">
        <v>238</v>
      </c>
      <c r="Y3597" t="s">
        <v>1510</v>
      </c>
      <c r="Z3597">
        <v>6.27</v>
      </c>
      <c r="AA3597">
        <v>16.96</v>
      </c>
      <c r="AB3597">
        <v>16048</v>
      </c>
      <c r="AC3597">
        <v>13039</v>
      </c>
      <c r="AD3597">
        <v>1.23</v>
      </c>
      <c r="AE3597">
        <v>19</v>
      </c>
      <c r="AF3597">
        <v>18</v>
      </c>
      <c r="AG3597" t="s">
        <v>120</v>
      </c>
      <c r="AH3597">
        <v>0</v>
      </c>
      <c r="AI3597" t="s">
        <v>120</v>
      </c>
      <c r="AJ3597">
        <v>1.99</v>
      </c>
      <c r="AK3597" t="s">
        <v>15098</v>
      </c>
      <c r="AL3597">
        <v>-4.07</v>
      </c>
      <c r="AM3597">
        <v>2245</v>
      </c>
      <c r="AN3597">
        <v>13</v>
      </c>
      <c r="AO3597">
        <v>6.9999999999999999E-4</v>
      </c>
      <c r="AP3597">
        <v>-1</v>
      </c>
      <c r="AQ3597">
        <v>0.75</v>
      </c>
      <c r="AR3597">
        <v>-5.41</v>
      </c>
      <c r="AS3597">
        <v>14.18</v>
      </c>
      <c r="AT3597">
        <v>15.36</v>
      </c>
      <c r="AU3597">
        <v>4.67</v>
      </c>
      <c r="AV3597">
        <v>2</v>
      </c>
      <c r="AW3597">
        <v>2.58</v>
      </c>
      <c r="AX3597">
        <v>49.39</v>
      </c>
      <c r="AY3597">
        <v>55.29</v>
      </c>
      <c r="AZ3597">
        <v>109.87</v>
      </c>
      <c r="BA3597">
        <v>0.68</v>
      </c>
      <c r="BB3597" t="s">
        <v>168</v>
      </c>
      <c r="BF3597">
        <v>-3.32</v>
      </c>
      <c r="BG3597">
        <v>-4.71</v>
      </c>
      <c r="BH3597">
        <v>-6.06</v>
      </c>
      <c r="BI3597">
        <v>0.18</v>
      </c>
      <c r="BJ3597">
        <v>20210902</v>
      </c>
      <c r="BK3597">
        <v>20170607</v>
      </c>
      <c r="BL3597">
        <v>2.2799999999999998</v>
      </c>
      <c r="BM3597" t="s">
        <v>120</v>
      </c>
      <c r="BN3597" t="s">
        <v>120</v>
      </c>
      <c r="BO3597">
        <v>12.28</v>
      </c>
      <c r="BP3597">
        <v>16.59</v>
      </c>
      <c r="BQ3597">
        <v>8.31</v>
      </c>
      <c r="BR3597">
        <v>0</v>
      </c>
      <c r="BS3597">
        <v>32.29</v>
      </c>
      <c r="BT3597">
        <v>9.2100000000000009</v>
      </c>
      <c r="BU3597">
        <v>1.62</v>
      </c>
      <c r="BV3597">
        <v>0.17</v>
      </c>
      <c r="BW3597">
        <v>3.91</v>
      </c>
      <c r="BX3597">
        <v>2.31</v>
      </c>
      <c r="BY3597">
        <v>3.76</v>
      </c>
      <c r="BZ3597">
        <v>2.67</v>
      </c>
      <c r="CA3597" t="s">
        <v>120</v>
      </c>
      <c r="CB3597">
        <v>2.94</v>
      </c>
      <c r="CC3597">
        <v>3.36</v>
      </c>
      <c r="CD3597">
        <v>1.97</v>
      </c>
      <c r="CE3597">
        <v>0.18</v>
      </c>
      <c r="CF3597">
        <v>0.03</v>
      </c>
      <c r="CG3597">
        <v>0.18</v>
      </c>
      <c r="CH3597">
        <v>0.13</v>
      </c>
      <c r="CI3597">
        <v>0.16</v>
      </c>
      <c r="CJ3597">
        <v>-0.95</v>
      </c>
      <c r="CK3597">
        <v>0.15</v>
      </c>
      <c r="CL3597">
        <v>3.04</v>
      </c>
      <c r="CM3597">
        <v>0.36</v>
      </c>
      <c r="CN3597">
        <v>0.3</v>
      </c>
      <c r="CO3597">
        <v>15289</v>
      </c>
      <c r="CP3597">
        <v>7364</v>
      </c>
      <c r="CQ3597" t="s">
        <v>9010</v>
      </c>
      <c r="CR3597">
        <v>176.51</v>
      </c>
      <c r="CS3597">
        <v>98.29</v>
      </c>
      <c r="CT3597">
        <v>3.97</v>
      </c>
      <c r="CU3597">
        <v>104.57</v>
      </c>
      <c r="CV3597">
        <v>11.26</v>
      </c>
      <c r="CW3597">
        <v>0.28999999999999998</v>
      </c>
      <c r="CX3597" t="s">
        <v>535</v>
      </c>
      <c r="CY3597">
        <v>4.18</v>
      </c>
      <c r="CZ3597">
        <v>4.18</v>
      </c>
      <c r="DA3597">
        <v>1.29</v>
      </c>
      <c r="DB3597">
        <v>1.33</v>
      </c>
      <c r="DC3597">
        <v>0.16</v>
      </c>
      <c r="DD3597">
        <v>67.69</v>
      </c>
      <c r="DE3597" t="s">
        <v>1030</v>
      </c>
      <c r="DF3597">
        <v>41.45</v>
      </c>
      <c r="DG3597">
        <v>5.38</v>
      </c>
      <c r="DH3597">
        <v>4.63</v>
      </c>
      <c r="DI3597">
        <v>0.71</v>
      </c>
      <c r="DJ3597">
        <v>550</v>
      </c>
      <c r="DK3597">
        <v>603496</v>
      </c>
      <c r="DL3597" t="s">
        <v>120</v>
      </c>
      <c r="DM3597" t="s">
        <v>120</v>
      </c>
      <c r="DN3597" t="s">
        <v>120</v>
      </c>
    </row>
    <row r="3598" spans="1:118">
      <c r="A3598" t="str">
        <f>"603499"</f>
        <v>603499</v>
      </c>
      <c r="B3598" t="s">
        <v>15099</v>
      </c>
      <c r="C3598">
        <v>0</v>
      </c>
      <c r="D3598">
        <v>-0.26</v>
      </c>
      <c r="E3598">
        <v>0.14000000000000001</v>
      </c>
      <c r="F3598">
        <v>129</v>
      </c>
      <c r="G3598" t="s">
        <v>15100</v>
      </c>
      <c r="H3598">
        <v>533.6</v>
      </c>
      <c r="I3598">
        <v>0</v>
      </c>
      <c r="J3598" t="s">
        <v>120</v>
      </c>
      <c r="K3598" t="s">
        <v>13220</v>
      </c>
      <c r="L3598">
        <v>0.36</v>
      </c>
      <c r="M3598">
        <v>7.36</v>
      </c>
      <c r="N3598">
        <v>0.65</v>
      </c>
      <c r="O3598">
        <v>0.82</v>
      </c>
      <c r="P3598">
        <v>7.42</v>
      </c>
      <c r="Q3598">
        <v>-0.54</v>
      </c>
      <c r="R3598">
        <v>7.32</v>
      </c>
      <c r="S3598">
        <v>7.37</v>
      </c>
      <c r="T3598">
        <v>7230</v>
      </c>
      <c r="U3598">
        <v>7.36</v>
      </c>
      <c r="V3598">
        <v>7.36</v>
      </c>
      <c r="W3598" t="s">
        <v>120</v>
      </c>
      <c r="X3598" t="s">
        <v>339</v>
      </c>
      <c r="Y3598" t="s">
        <v>1510</v>
      </c>
      <c r="Z3598">
        <v>1.36</v>
      </c>
      <c r="AA3598">
        <v>7.38</v>
      </c>
      <c r="AB3598">
        <v>3723</v>
      </c>
      <c r="AC3598">
        <v>3507</v>
      </c>
      <c r="AD3598">
        <v>1.06</v>
      </c>
      <c r="AE3598">
        <v>80</v>
      </c>
      <c r="AF3598">
        <v>136</v>
      </c>
      <c r="AG3598" t="s">
        <v>120</v>
      </c>
      <c r="AH3598">
        <v>0</v>
      </c>
      <c r="AI3598" t="s">
        <v>120</v>
      </c>
      <c r="AJ3598">
        <v>2.0099999999999998</v>
      </c>
      <c r="AK3598" t="s">
        <v>15101</v>
      </c>
      <c r="AL3598">
        <v>1.34</v>
      </c>
      <c r="AM3598">
        <v>616</v>
      </c>
      <c r="AN3598">
        <v>12</v>
      </c>
      <c r="AO3598">
        <v>5.9999999999999995E-4</v>
      </c>
      <c r="AP3598">
        <v>0</v>
      </c>
      <c r="AQ3598">
        <v>0.14000000000000001</v>
      </c>
      <c r="AR3598">
        <v>-1.33</v>
      </c>
      <c r="AS3598">
        <v>2.5099999999999998</v>
      </c>
      <c r="AT3598">
        <v>-4.42</v>
      </c>
      <c r="AU3598">
        <v>-8.8000000000000007</v>
      </c>
      <c r="AV3598">
        <v>4</v>
      </c>
      <c r="AW3598">
        <v>1.23</v>
      </c>
      <c r="AX3598">
        <v>29.1</v>
      </c>
      <c r="AY3598" t="s">
        <v>120</v>
      </c>
      <c r="AZ3598">
        <v>186.41</v>
      </c>
      <c r="BA3598">
        <v>0.72</v>
      </c>
      <c r="BB3598" t="s">
        <v>143</v>
      </c>
      <c r="BF3598">
        <v>0.28000000000000003</v>
      </c>
      <c r="BG3598">
        <v>-0.14000000000000001</v>
      </c>
      <c r="BH3598">
        <v>-0.81</v>
      </c>
      <c r="BI3598">
        <v>0.55000000000000004</v>
      </c>
      <c r="BJ3598">
        <v>20210830</v>
      </c>
      <c r="BK3598">
        <v>20171016</v>
      </c>
      <c r="BL3598">
        <v>2.0099999999999998</v>
      </c>
      <c r="BM3598" t="s">
        <v>120</v>
      </c>
      <c r="BN3598" t="s">
        <v>120</v>
      </c>
      <c r="BO3598">
        <v>11.14</v>
      </c>
      <c r="BP3598">
        <v>7.35</v>
      </c>
      <c r="BQ3598">
        <v>5.97</v>
      </c>
      <c r="BR3598">
        <v>0.21</v>
      </c>
      <c r="BS3598">
        <v>44.52</v>
      </c>
      <c r="BT3598">
        <v>4.7300000000000004</v>
      </c>
      <c r="BU3598">
        <v>3.43</v>
      </c>
      <c r="BV3598">
        <v>0.86</v>
      </c>
      <c r="BW3598">
        <v>2.39</v>
      </c>
      <c r="BX3598">
        <v>1.05</v>
      </c>
      <c r="BY3598">
        <v>1.02</v>
      </c>
      <c r="BZ3598">
        <v>2.17</v>
      </c>
      <c r="CA3598">
        <v>0</v>
      </c>
      <c r="CB3598">
        <v>2.38</v>
      </c>
      <c r="CC3598">
        <v>2.88</v>
      </c>
      <c r="CD3598">
        <v>2.5099999999999998</v>
      </c>
      <c r="CE3598">
        <v>-7.0000000000000007E-2</v>
      </c>
      <c r="CF3598">
        <v>0</v>
      </c>
      <c r="CG3598">
        <v>-7.0000000000000007E-2</v>
      </c>
      <c r="CH3598">
        <v>-7.0000000000000007E-2</v>
      </c>
      <c r="CI3598">
        <v>-0.08</v>
      </c>
      <c r="CJ3598">
        <v>0</v>
      </c>
      <c r="CK3598">
        <v>-0.1</v>
      </c>
      <c r="CL3598">
        <v>1.0900000000000001</v>
      </c>
      <c r="CM3598">
        <v>0.25</v>
      </c>
      <c r="CN3598">
        <v>-0.56000000000000005</v>
      </c>
      <c r="CO3598">
        <v>10491</v>
      </c>
      <c r="CP3598">
        <v>5582</v>
      </c>
      <c r="CQ3598" t="s">
        <v>12477</v>
      </c>
      <c r="CR3598">
        <v>-338.43</v>
      </c>
      <c r="CS3598">
        <v>42.63</v>
      </c>
      <c r="CT3598">
        <v>2.61</v>
      </c>
      <c r="CU3598">
        <v>59.7</v>
      </c>
      <c r="CV3598">
        <v>5.14</v>
      </c>
      <c r="CW3598">
        <v>0</v>
      </c>
      <c r="CX3598" t="s">
        <v>1255</v>
      </c>
      <c r="CY3598">
        <v>2.82</v>
      </c>
      <c r="CZ3598">
        <v>2.82</v>
      </c>
      <c r="DA3598">
        <v>1.18</v>
      </c>
      <c r="DB3598">
        <v>0.54</v>
      </c>
      <c r="DC3598">
        <v>0.12</v>
      </c>
      <c r="DD3598">
        <v>53.57</v>
      </c>
      <c r="DE3598" t="s">
        <v>12507</v>
      </c>
      <c r="DF3598">
        <v>12.8</v>
      </c>
      <c r="DG3598">
        <v>-2.5099999999999998</v>
      </c>
      <c r="DH3598">
        <v>-2.85</v>
      </c>
      <c r="DI3598">
        <v>0.16</v>
      </c>
      <c r="DJ3598">
        <v>1083</v>
      </c>
      <c r="DK3598">
        <v>603499</v>
      </c>
      <c r="DL3598" t="s">
        <v>120</v>
      </c>
      <c r="DM3598" t="s">
        <v>120</v>
      </c>
      <c r="DN3598" t="s">
        <v>120</v>
      </c>
    </row>
    <row r="3599" spans="1:118">
      <c r="A3599" t="str">
        <f>"603500"</f>
        <v>603500</v>
      </c>
      <c r="B3599" t="s">
        <v>15102</v>
      </c>
      <c r="C3599">
        <v>-1.55</v>
      </c>
      <c r="D3599">
        <v>0.11</v>
      </c>
      <c r="E3599">
        <v>0.41</v>
      </c>
      <c r="F3599">
        <v>179</v>
      </c>
      <c r="G3599" t="s">
        <v>7221</v>
      </c>
      <c r="H3599">
        <v>3739.08</v>
      </c>
      <c r="I3599">
        <v>1.07</v>
      </c>
      <c r="J3599" t="s">
        <v>120</v>
      </c>
      <c r="K3599" t="s">
        <v>5149</v>
      </c>
      <c r="L3599">
        <v>1.56</v>
      </c>
      <c r="M3599">
        <v>9.5</v>
      </c>
      <c r="N3599">
        <v>1.23</v>
      </c>
      <c r="O3599">
        <v>3.32</v>
      </c>
      <c r="P3599">
        <v>9.9700000000000006</v>
      </c>
      <c r="Q3599">
        <v>-1.66</v>
      </c>
      <c r="R3599">
        <v>9.49</v>
      </c>
      <c r="S3599">
        <v>9.69</v>
      </c>
      <c r="T3599">
        <v>38342</v>
      </c>
      <c r="U3599">
        <v>9.5</v>
      </c>
      <c r="V3599">
        <v>9.65</v>
      </c>
      <c r="W3599">
        <v>37.47</v>
      </c>
      <c r="X3599" t="s">
        <v>157</v>
      </c>
      <c r="Y3599" t="s">
        <v>585</v>
      </c>
      <c r="Z3599">
        <v>4.97</v>
      </c>
      <c r="AA3599">
        <v>9.75</v>
      </c>
      <c r="AB3599">
        <v>21037</v>
      </c>
      <c r="AC3599">
        <v>17305</v>
      </c>
      <c r="AD3599">
        <v>1.22</v>
      </c>
      <c r="AE3599">
        <v>215</v>
      </c>
      <c r="AF3599">
        <v>74</v>
      </c>
      <c r="AG3599" t="s">
        <v>120</v>
      </c>
      <c r="AH3599">
        <v>0</v>
      </c>
      <c r="AI3599" t="s">
        <v>120</v>
      </c>
      <c r="AJ3599">
        <v>2.46</v>
      </c>
      <c r="AK3599" t="s">
        <v>5149</v>
      </c>
      <c r="AL3599">
        <v>-0.21</v>
      </c>
      <c r="AM3599">
        <v>1397</v>
      </c>
      <c r="AN3599">
        <v>27</v>
      </c>
      <c r="AO3599">
        <v>1.1000000000000001E-3</v>
      </c>
      <c r="AP3599">
        <v>-1</v>
      </c>
      <c r="AQ3599">
        <v>0.1</v>
      </c>
      <c r="AR3599">
        <v>-3.46</v>
      </c>
      <c r="AS3599">
        <v>-1.86</v>
      </c>
      <c r="AT3599">
        <v>4.74</v>
      </c>
      <c r="AU3599">
        <v>19.489999999999998</v>
      </c>
      <c r="AV3599">
        <v>8</v>
      </c>
      <c r="AW3599">
        <v>5.14</v>
      </c>
      <c r="AX3599">
        <v>30.4</v>
      </c>
      <c r="AY3599">
        <v>32.92</v>
      </c>
      <c r="AZ3599">
        <v>41.9</v>
      </c>
      <c r="BA3599">
        <v>0.74</v>
      </c>
      <c r="BB3599" t="s">
        <v>143</v>
      </c>
      <c r="BF3599">
        <v>1.06</v>
      </c>
      <c r="BG3599">
        <v>-1.96</v>
      </c>
      <c r="BH3599">
        <v>-4.71</v>
      </c>
      <c r="BI3599">
        <v>0.11</v>
      </c>
      <c r="BJ3599">
        <v>20210810</v>
      </c>
      <c r="BK3599">
        <v>20170904</v>
      </c>
      <c r="BL3599">
        <v>2.46</v>
      </c>
      <c r="BM3599" t="s">
        <v>120</v>
      </c>
      <c r="BN3599" t="s">
        <v>120</v>
      </c>
      <c r="BO3599">
        <v>10.220000000000001</v>
      </c>
      <c r="BP3599">
        <v>9.49</v>
      </c>
      <c r="BQ3599">
        <v>8.44</v>
      </c>
      <c r="BR3599">
        <v>0.14000000000000001</v>
      </c>
      <c r="BS3599">
        <v>16.04</v>
      </c>
      <c r="BT3599">
        <v>6.73</v>
      </c>
      <c r="BU3599">
        <v>2.78</v>
      </c>
      <c r="BV3599">
        <v>0.31</v>
      </c>
      <c r="BW3599">
        <v>1.62</v>
      </c>
      <c r="BX3599">
        <v>2.5299999999999998</v>
      </c>
      <c r="BY3599">
        <v>1.0900000000000001</v>
      </c>
      <c r="BZ3599">
        <v>2.87</v>
      </c>
      <c r="CA3599" t="s">
        <v>120</v>
      </c>
      <c r="CB3599">
        <v>3.81</v>
      </c>
      <c r="CC3599">
        <v>2.0099999999999998</v>
      </c>
      <c r="CD3599">
        <v>1.38</v>
      </c>
      <c r="CE3599">
        <v>0.36</v>
      </c>
      <c r="CF3599">
        <v>0.01</v>
      </c>
      <c r="CG3599">
        <v>0.36</v>
      </c>
      <c r="CH3599">
        <v>0.31</v>
      </c>
      <c r="CI3599">
        <v>0.31</v>
      </c>
      <c r="CJ3599">
        <v>-0.15</v>
      </c>
      <c r="CK3599">
        <v>0.28999999999999998</v>
      </c>
      <c r="CL3599">
        <v>2.27</v>
      </c>
      <c r="CM3599">
        <v>-0.17</v>
      </c>
      <c r="CN3599">
        <v>-0.31</v>
      </c>
      <c r="CO3599">
        <v>11096</v>
      </c>
      <c r="CP3599">
        <v>6728</v>
      </c>
      <c r="CQ3599" t="s">
        <v>6502</v>
      </c>
      <c r="CR3599">
        <v>98.21</v>
      </c>
      <c r="CS3599">
        <v>154.62</v>
      </c>
      <c r="CT3599">
        <v>2.76</v>
      </c>
      <c r="CU3599">
        <v>-134.93</v>
      </c>
      <c r="CV3599">
        <v>11.62</v>
      </c>
      <c r="CW3599">
        <v>1.46</v>
      </c>
      <c r="CX3599" t="s">
        <v>986</v>
      </c>
      <c r="CY3599">
        <v>3.44</v>
      </c>
      <c r="CZ3599">
        <v>0</v>
      </c>
      <c r="DA3599">
        <v>1.55</v>
      </c>
      <c r="DB3599">
        <v>0.93</v>
      </c>
      <c r="DC3599">
        <v>-7.0000000000000007E-2</v>
      </c>
      <c r="DD3599">
        <v>82.6</v>
      </c>
      <c r="DE3599" t="s">
        <v>270</v>
      </c>
      <c r="DF3599">
        <v>31.43</v>
      </c>
      <c r="DG3599">
        <v>17.93</v>
      </c>
      <c r="DH3599">
        <v>15.51</v>
      </c>
      <c r="DI3599">
        <v>7.0000000000000007E-2</v>
      </c>
      <c r="DJ3599">
        <v>448</v>
      </c>
      <c r="DK3599">
        <v>603500</v>
      </c>
      <c r="DL3599" t="s">
        <v>120</v>
      </c>
      <c r="DM3599" t="s">
        <v>120</v>
      </c>
      <c r="DN3599" t="s">
        <v>120</v>
      </c>
    </row>
    <row r="3600" spans="1:118">
      <c r="A3600" t="str">
        <f>"603501"</f>
        <v>603501</v>
      </c>
      <c r="B3600" t="s">
        <v>15103</v>
      </c>
      <c r="C3600">
        <v>-2.15</v>
      </c>
      <c r="D3600">
        <v>-0.08</v>
      </c>
      <c r="E3600">
        <v>0.35</v>
      </c>
      <c r="F3600">
        <v>986</v>
      </c>
      <c r="G3600" t="s">
        <v>15104</v>
      </c>
      <c r="H3600">
        <v>151036.44</v>
      </c>
      <c r="I3600">
        <v>267.73</v>
      </c>
      <c r="J3600" t="s">
        <v>120</v>
      </c>
      <c r="K3600" t="s">
        <v>15105</v>
      </c>
      <c r="L3600">
        <v>0.84</v>
      </c>
      <c r="M3600">
        <v>227</v>
      </c>
      <c r="N3600">
        <v>0.87</v>
      </c>
      <c r="O3600">
        <v>1</v>
      </c>
      <c r="P3600">
        <v>234.3</v>
      </c>
      <c r="Q3600">
        <v>-2.79</v>
      </c>
      <c r="R3600">
        <v>225.51</v>
      </c>
      <c r="S3600">
        <v>232.81</v>
      </c>
      <c r="T3600">
        <v>65928</v>
      </c>
      <c r="U3600">
        <v>227.11</v>
      </c>
      <c r="V3600">
        <v>231.99</v>
      </c>
      <c r="W3600">
        <v>43.94</v>
      </c>
      <c r="X3600" t="s">
        <v>3245</v>
      </c>
      <c r="Y3600" t="s">
        <v>1510</v>
      </c>
      <c r="Z3600">
        <v>3.79</v>
      </c>
      <c r="AA3600">
        <v>229.09</v>
      </c>
      <c r="AB3600">
        <v>33997</v>
      </c>
      <c r="AC3600">
        <v>31931</v>
      </c>
      <c r="AD3600">
        <v>1.06</v>
      </c>
      <c r="AE3600">
        <v>736</v>
      </c>
      <c r="AF3600">
        <v>1</v>
      </c>
      <c r="AG3600" t="s">
        <v>120</v>
      </c>
      <c r="AH3600">
        <v>0</v>
      </c>
      <c r="AI3600" t="s">
        <v>120</v>
      </c>
      <c r="AJ3600">
        <v>7.85</v>
      </c>
      <c r="AK3600" t="s">
        <v>15106</v>
      </c>
      <c r="AL3600">
        <v>-0.81</v>
      </c>
      <c r="AM3600">
        <v>4505</v>
      </c>
      <c r="AN3600">
        <v>15</v>
      </c>
      <c r="AO3600">
        <v>2.0000000000000001E-4</v>
      </c>
      <c r="AP3600">
        <v>-5</v>
      </c>
      <c r="AQ3600">
        <v>-1.24</v>
      </c>
      <c r="AR3600">
        <v>-4.3600000000000003</v>
      </c>
      <c r="AS3600">
        <v>-14.33</v>
      </c>
      <c r="AT3600">
        <v>-21.36</v>
      </c>
      <c r="AU3600">
        <v>-1.64</v>
      </c>
      <c r="AV3600">
        <v>3</v>
      </c>
      <c r="AW3600">
        <v>1.29</v>
      </c>
      <c r="AX3600">
        <v>58.95</v>
      </c>
      <c r="AY3600">
        <v>50.89</v>
      </c>
      <c r="AZ3600">
        <v>74.459999999999994</v>
      </c>
      <c r="BA3600">
        <v>0.59</v>
      </c>
      <c r="BB3600" t="s">
        <v>240</v>
      </c>
      <c r="BF3600">
        <v>-1.25</v>
      </c>
      <c r="BG3600">
        <v>-2.5</v>
      </c>
      <c r="BH3600">
        <v>-3.12</v>
      </c>
      <c r="BI3600">
        <v>0.66</v>
      </c>
      <c r="BJ3600">
        <v>20210827</v>
      </c>
      <c r="BK3600">
        <v>20170504</v>
      </c>
      <c r="BL3600">
        <v>8.69</v>
      </c>
      <c r="BM3600" t="s">
        <v>120</v>
      </c>
      <c r="BN3600" t="s">
        <v>120</v>
      </c>
      <c r="BO3600">
        <v>278.23</v>
      </c>
      <c r="BP3600">
        <v>227</v>
      </c>
      <c r="BQ3600">
        <v>133.22</v>
      </c>
      <c r="BR3600">
        <v>3.99</v>
      </c>
      <c r="BS3600">
        <v>50.68</v>
      </c>
      <c r="BT3600">
        <v>177.02</v>
      </c>
      <c r="BU3600">
        <v>17.829999999999998</v>
      </c>
      <c r="BV3600">
        <v>16.649999999999999</v>
      </c>
      <c r="BW3600">
        <v>76.53</v>
      </c>
      <c r="BX3600">
        <v>72.84</v>
      </c>
      <c r="BY3600">
        <v>60.67</v>
      </c>
      <c r="BZ3600">
        <v>35.74</v>
      </c>
      <c r="CA3600" t="s">
        <v>120</v>
      </c>
      <c r="CB3600">
        <v>72.41</v>
      </c>
      <c r="CC3600">
        <v>124.48</v>
      </c>
      <c r="CD3600">
        <v>83.29</v>
      </c>
      <c r="CE3600">
        <v>25.34</v>
      </c>
      <c r="CF3600">
        <v>1.75</v>
      </c>
      <c r="CG3600">
        <v>25.34</v>
      </c>
      <c r="CH3600">
        <v>23.16</v>
      </c>
      <c r="CI3600">
        <v>22.44</v>
      </c>
      <c r="CJ3600">
        <v>-4.99</v>
      </c>
      <c r="CK3600">
        <v>19.66</v>
      </c>
      <c r="CL3600">
        <v>58.65</v>
      </c>
      <c r="CM3600">
        <v>11.1</v>
      </c>
      <c r="CN3600">
        <v>18.7</v>
      </c>
      <c r="CO3600">
        <v>54813</v>
      </c>
      <c r="CP3600">
        <v>9341</v>
      </c>
      <c r="CQ3600" t="s">
        <v>15107</v>
      </c>
      <c r="CR3600">
        <v>126.6</v>
      </c>
      <c r="CS3600">
        <v>54.77</v>
      </c>
      <c r="CT3600">
        <v>15.06</v>
      </c>
      <c r="CU3600">
        <v>177.63</v>
      </c>
      <c r="CV3600">
        <v>15.84</v>
      </c>
      <c r="CW3600">
        <v>0.14000000000000001</v>
      </c>
      <c r="CX3600" t="s">
        <v>15108</v>
      </c>
      <c r="CY3600">
        <v>15.07</v>
      </c>
      <c r="CZ3600">
        <v>15.07</v>
      </c>
      <c r="DA3600">
        <v>8.34</v>
      </c>
      <c r="DB3600">
        <v>6.75</v>
      </c>
      <c r="DC3600">
        <v>1.28</v>
      </c>
      <c r="DD3600">
        <v>47.88</v>
      </c>
      <c r="DE3600" t="s">
        <v>15109</v>
      </c>
      <c r="DF3600">
        <v>33.090000000000003</v>
      </c>
      <c r="DG3600">
        <v>20.36</v>
      </c>
      <c r="DH3600">
        <v>18.02</v>
      </c>
      <c r="DI3600">
        <v>10.06</v>
      </c>
      <c r="DJ3600">
        <v>3291</v>
      </c>
      <c r="DK3600">
        <v>603501</v>
      </c>
      <c r="DL3600" t="s">
        <v>120</v>
      </c>
      <c r="DM3600" t="s">
        <v>120</v>
      </c>
      <c r="DN3600" t="s">
        <v>120</v>
      </c>
    </row>
    <row r="3601" spans="1:118">
      <c r="A3601" t="str">
        <f>"603505"</f>
        <v>603505</v>
      </c>
      <c r="B3601" t="s">
        <v>15110</v>
      </c>
      <c r="C3601">
        <v>-3.44</v>
      </c>
      <c r="D3601">
        <v>-0.27</v>
      </c>
      <c r="E3601">
        <v>2.16</v>
      </c>
      <c r="F3601">
        <v>1458</v>
      </c>
      <c r="G3601" t="s">
        <v>15111</v>
      </c>
      <c r="H3601">
        <v>87797.69</v>
      </c>
      <c r="I3601">
        <v>511.6</v>
      </c>
      <c r="J3601" t="s">
        <v>120</v>
      </c>
      <c r="K3601" t="s">
        <v>15112</v>
      </c>
      <c r="L3601">
        <v>5.05</v>
      </c>
      <c r="M3601">
        <v>54.15</v>
      </c>
      <c r="N3601">
        <v>1.19</v>
      </c>
      <c r="O3601">
        <v>7.97</v>
      </c>
      <c r="P3601">
        <v>60.55</v>
      </c>
      <c r="Q3601">
        <v>-4.42</v>
      </c>
      <c r="R3601">
        <v>53.6</v>
      </c>
      <c r="S3601">
        <v>57.29</v>
      </c>
      <c r="T3601">
        <v>156195</v>
      </c>
      <c r="U3601">
        <v>54.15</v>
      </c>
      <c r="V3601">
        <v>56.08</v>
      </c>
      <c r="W3601">
        <v>84.21</v>
      </c>
      <c r="X3601" t="s">
        <v>1991</v>
      </c>
      <c r="Y3601" t="s">
        <v>585</v>
      </c>
      <c r="Z3601">
        <v>12.39</v>
      </c>
      <c r="AA3601">
        <v>56.21</v>
      </c>
      <c r="AB3601">
        <v>80746</v>
      </c>
      <c r="AC3601">
        <v>75449</v>
      </c>
      <c r="AD3601">
        <v>1.07</v>
      </c>
      <c r="AE3601">
        <v>1</v>
      </c>
      <c r="AF3601">
        <v>631</v>
      </c>
      <c r="AG3601" t="s">
        <v>120</v>
      </c>
      <c r="AH3601">
        <v>0.06</v>
      </c>
      <c r="AI3601" t="s">
        <v>120</v>
      </c>
      <c r="AJ3601">
        <v>3.09</v>
      </c>
      <c r="AK3601" t="s">
        <v>15113</v>
      </c>
      <c r="AL3601">
        <v>-2.1</v>
      </c>
      <c r="AM3601">
        <v>4275</v>
      </c>
      <c r="AN3601">
        <v>37</v>
      </c>
      <c r="AO3601">
        <v>1.1999999999999999E-3</v>
      </c>
      <c r="AP3601">
        <v>-1</v>
      </c>
      <c r="AQ3601">
        <v>10</v>
      </c>
      <c r="AR3601">
        <v>0.13</v>
      </c>
      <c r="AS3601">
        <v>84.24</v>
      </c>
      <c r="AT3601">
        <v>167.25</v>
      </c>
      <c r="AU3601">
        <v>141.08000000000001</v>
      </c>
      <c r="AV3601">
        <v>10</v>
      </c>
      <c r="AW3601">
        <v>11.13</v>
      </c>
      <c r="AX3601">
        <v>45.02</v>
      </c>
      <c r="AY3601">
        <v>70.510000000000005</v>
      </c>
      <c r="AZ3601">
        <v>73.44</v>
      </c>
      <c r="BA3601">
        <v>1.49</v>
      </c>
      <c r="BB3601" t="s">
        <v>168</v>
      </c>
      <c r="BF3601">
        <v>0.23</v>
      </c>
      <c r="BG3601">
        <v>-5.48</v>
      </c>
      <c r="BH3601">
        <v>-10.57</v>
      </c>
      <c r="BI3601">
        <v>1.03</v>
      </c>
      <c r="BJ3601">
        <v>20210819</v>
      </c>
      <c r="BK3601">
        <v>20170503</v>
      </c>
      <c r="BL3601">
        <v>3.12</v>
      </c>
      <c r="BM3601" t="s">
        <v>120</v>
      </c>
      <c r="BN3601" t="s">
        <v>120</v>
      </c>
      <c r="BO3601">
        <v>20.3</v>
      </c>
      <c r="BP3601">
        <v>54.14</v>
      </c>
      <c r="BQ3601">
        <v>11.36</v>
      </c>
      <c r="BR3601">
        <v>0.25</v>
      </c>
      <c r="BS3601">
        <v>42.83</v>
      </c>
      <c r="BT3601">
        <v>6.71</v>
      </c>
      <c r="BU3601">
        <v>7.4</v>
      </c>
      <c r="BV3601">
        <v>4.55</v>
      </c>
      <c r="BW3601">
        <v>6.46</v>
      </c>
      <c r="BX3601">
        <v>2.66</v>
      </c>
      <c r="BY3601">
        <v>1.1599999999999999</v>
      </c>
      <c r="BZ3601">
        <v>1.27</v>
      </c>
      <c r="CA3601">
        <v>0.31</v>
      </c>
      <c r="CB3601">
        <v>0.92</v>
      </c>
      <c r="CC3601">
        <v>4.17</v>
      </c>
      <c r="CD3601">
        <v>2.09</v>
      </c>
      <c r="CE3601">
        <v>1.29</v>
      </c>
      <c r="CF3601">
        <v>0</v>
      </c>
      <c r="CG3601">
        <v>1.25</v>
      </c>
      <c r="CH3601">
        <v>1.02</v>
      </c>
      <c r="CI3601">
        <v>1</v>
      </c>
      <c r="CJ3601">
        <v>-1.93</v>
      </c>
      <c r="CK3601">
        <v>1.01</v>
      </c>
      <c r="CL3601">
        <v>7.42</v>
      </c>
      <c r="CM3601">
        <v>1.29</v>
      </c>
      <c r="CN3601">
        <v>-0.09</v>
      </c>
      <c r="CO3601">
        <v>14635</v>
      </c>
      <c r="CP3601">
        <v>9585</v>
      </c>
      <c r="CQ3601" t="s">
        <v>5662</v>
      </c>
      <c r="CR3601">
        <v>10.95</v>
      </c>
      <c r="CS3601">
        <v>28.69</v>
      </c>
      <c r="CT3601">
        <v>14.86</v>
      </c>
      <c r="CU3601">
        <v>131.13999999999999</v>
      </c>
      <c r="CV3601">
        <v>40.49</v>
      </c>
      <c r="CW3601">
        <v>0.41</v>
      </c>
      <c r="CX3601" t="s">
        <v>2443</v>
      </c>
      <c r="CY3601">
        <v>3.64</v>
      </c>
      <c r="CZ3601">
        <v>0</v>
      </c>
      <c r="DA3601">
        <v>0.3</v>
      </c>
      <c r="DB3601">
        <v>2.38</v>
      </c>
      <c r="DC3601">
        <v>0.41</v>
      </c>
      <c r="DD3601">
        <v>55.94</v>
      </c>
      <c r="DE3601" t="s">
        <v>15114</v>
      </c>
      <c r="DF3601">
        <v>49.96</v>
      </c>
      <c r="DG3601">
        <v>31.08</v>
      </c>
      <c r="DH3601">
        <v>24.04</v>
      </c>
      <c r="DI3601">
        <v>0.08</v>
      </c>
      <c r="DJ3601">
        <v>914</v>
      </c>
      <c r="DK3601">
        <v>603505</v>
      </c>
      <c r="DL3601">
        <v>20210723</v>
      </c>
      <c r="DM3601">
        <v>29.68</v>
      </c>
      <c r="DN3601">
        <v>82.45</v>
      </c>
    </row>
    <row r="3602" spans="1:118">
      <c r="A3602" t="str">
        <f>"603506"</f>
        <v>603506</v>
      </c>
      <c r="B3602" t="s">
        <v>15115</v>
      </c>
      <c r="C3602">
        <v>-2.25</v>
      </c>
      <c r="D3602">
        <v>-0.2</v>
      </c>
      <c r="E3602">
        <v>-7.0000000000000007E-2</v>
      </c>
      <c r="F3602">
        <v>43</v>
      </c>
      <c r="G3602" t="s">
        <v>6566</v>
      </c>
      <c r="H3602">
        <v>1216.6500000000001</v>
      </c>
      <c r="I3602">
        <v>0.59</v>
      </c>
      <c r="J3602" t="s">
        <v>120</v>
      </c>
      <c r="K3602" t="s">
        <v>13332</v>
      </c>
      <c r="L3602">
        <v>0.45</v>
      </c>
      <c r="M3602">
        <v>14.33</v>
      </c>
      <c r="N3602">
        <v>1.1000000000000001</v>
      </c>
      <c r="O3602">
        <v>0.82</v>
      </c>
      <c r="P3602">
        <v>14.78</v>
      </c>
      <c r="Q3602">
        <v>-3.27</v>
      </c>
      <c r="R3602">
        <v>14.18</v>
      </c>
      <c r="S3602">
        <v>14.65</v>
      </c>
      <c r="T3602">
        <v>8428</v>
      </c>
      <c r="U3602">
        <v>14.36</v>
      </c>
      <c r="V3602">
        <v>14.66</v>
      </c>
      <c r="W3602">
        <v>15.89</v>
      </c>
      <c r="X3602" t="s">
        <v>416</v>
      </c>
      <c r="Y3602" t="s">
        <v>585</v>
      </c>
      <c r="Z3602">
        <v>4.09</v>
      </c>
      <c r="AA3602">
        <v>14.44</v>
      </c>
      <c r="AB3602">
        <v>4005</v>
      </c>
      <c r="AC3602">
        <v>4423</v>
      </c>
      <c r="AD3602">
        <v>0.91</v>
      </c>
      <c r="AE3602">
        <v>31</v>
      </c>
      <c r="AF3602">
        <v>16</v>
      </c>
      <c r="AG3602" t="s">
        <v>120</v>
      </c>
      <c r="AH3602">
        <v>0</v>
      </c>
      <c r="AI3602" t="s">
        <v>120</v>
      </c>
      <c r="AJ3602">
        <v>1.88</v>
      </c>
      <c r="AK3602" t="s">
        <v>13332</v>
      </c>
      <c r="AL3602">
        <v>-0.91</v>
      </c>
      <c r="AM3602">
        <v>967</v>
      </c>
      <c r="AN3602">
        <v>9</v>
      </c>
      <c r="AO3602">
        <v>5.0000000000000001E-4</v>
      </c>
      <c r="AP3602">
        <v>-1</v>
      </c>
      <c r="AQ3602">
        <v>7.0000000000000007E-2</v>
      </c>
      <c r="AR3602">
        <v>-3.95</v>
      </c>
      <c r="AS3602">
        <v>7.75</v>
      </c>
      <c r="AT3602">
        <v>-4.91</v>
      </c>
      <c r="AU3602">
        <v>2.87</v>
      </c>
      <c r="AV3602">
        <v>1</v>
      </c>
      <c r="AW3602">
        <v>1.1499999999999999</v>
      </c>
      <c r="AX3602">
        <v>39.18</v>
      </c>
      <c r="AY3602">
        <v>17.809999999999999</v>
      </c>
      <c r="AZ3602">
        <v>19.97</v>
      </c>
      <c r="BA3602">
        <v>0.87</v>
      </c>
      <c r="BB3602" t="s">
        <v>143</v>
      </c>
      <c r="BF3602">
        <v>-1.53</v>
      </c>
      <c r="BG3602">
        <v>-2.1800000000000002</v>
      </c>
      <c r="BH3602">
        <v>-3.04</v>
      </c>
      <c r="BI3602">
        <v>1.06</v>
      </c>
      <c r="BJ3602">
        <v>20210823</v>
      </c>
      <c r="BK3602">
        <v>20180201</v>
      </c>
      <c r="BL3602">
        <v>1.88</v>
      </c>
      <c r="BM3602" t="s">
        <v>120</v>
      </c>
      <c r="BN3602" t="s">
        <v>120</v>
      </c>
      <c r="BO3602">
        <v>20.84</v>
      </c>
      <c r="BP3602">
        <v>14.33</v>
      </c>
      <c r="BQ3602">
        <v>8.69</v>
      </c>
      <c r="BR3602">
        <v>0.19</v>
      </c>
      <c r="BS3602">
        <v>57.4</v>
      </c>
      <c r="BT3602">
        <v>13.76</v>
      </c>
      <c r="BU3602">
        <v>0.42</v>
      </c>
      <c r="BV3602">
        <v>0.01</v>
      </c>
      <c r="BW3602">
        <v>10.33</v>
      </c>
      <c r="BX3602">
        <v>3.22</v>
      </c>
      <c r="BY3602">
        <v>0.12</v>
      </c>
      <c r="BZ3602">
        <v>4.71</v>
      </c>
      <c r="CA3602">
        <v>0.03</v>
      </c>
      <c r="CB3602">
        <v>2.59</v>
      </c>
      <c r="CC3602">
        <v>7.64</v>
      </c>
      <c r="CD3602">
        <v>5.83</v>
      </c>
      <c r="CE3602">
        <v>1.28</v>
      </c>
      <c r="CF3602">
        <v>0.06</v>
      </c>
      <c r="CG3602">
        <v>1.28</v>
      </c>
      <c r="CH3602">
        <v>0.89</v>
      </c>
      <c r="CI3602">
        <v>0.85</v>
      </c>
      <c r="CJ3602">
        <v>-0.33</v>
      </c>
      <c r="CK3602">
        <v>0.71</v>
      </c>
      <c r="CL3602">
        <v>3.72</v>
      </c>
      <c r="CM3602">
        <v>0.48</v>
      </c>
      <c r="CN3602">
        <v>0.13</v>
      </c>
      <c r="CO3602">
        <v>6326</v>
      </c>
      <c r="CP3602">
        <v>11629</v>
      </c>
      <c r="CQ3602" t="s">
        <v>2466</v>
      </c>
      <c r="CR3602">
        <v>24.55</v>
      </c>
      <c r="CS3602">
        <v>15.79</v>
      </c>
      <c r="CT3602">
        <v>3.1</v>
      </c>
      <c r="CU3602">
        <v>56.63</v>
      </c>
      <c r="CV3602">
        <v>3.52</v>
      </c>
      <c r="CW3602">
        <v>1.5</v>
      </c>
      <c r="CX3602" t="s">
        <v>1520</v>
      </c>
      <c r="CY3602">
        <v>4.63</v>
      </c>
      <c r="CZ3602">
        <v>0</v>
      </c>
      <c r="DA3602">
        <v>1.38</v>
      </c>
      <c r="DB3602">
        <v>1.98</v>
      </c>
      <c r="DC3602">
        <v>0.25</v>
      </c>
      <c r="DD3602">
        <v>41.69</v>
      </c>
      <c r="DE3602" t="s">
        <v>8898</v>
      </c>
      <c r="DF3602">
        <v>23.69</v>
      </c>
      <c r="DG3602">
        <v>16.760000000000002</v>
      </c>
      <c r="DH3602">
        <v>11.08</v>
      </c>
      <c r="DI3602">
        <v>0.01</v>
      </c>
      <c r="DJ3602">
        <v>9086</v>
      </c>
      <c r="DK3602">
        <v>603506</v>
      </c>
      <c r="DL3602" t="s">
        <v>120</v>
      </c>
      <c r="DM3602" t="s">
        <v>120</v>
      </c>
      <c r="DN3602" t="s">
        <v>120</v>
      </c>
    </row>
    <row r="3603" spans="1:118">
      <c r="A3603" t="str">
        <f>"603507"</f>
        <v>603507</v>
      </c>
      <c r="B3603" t="s">
        <v>15116</v>
      </c>
      <c r="C3603">
        <v>4.4800000000000004</v>
      </c>
      <c r="D3603">
        <v>0.05</v>
      </c>
      <c r="E3603">
        <v>-0.05</v>
      </c>
      <c r="F3603">
        <v>763</v>
      </c>
      <c r="G3603" t="s">
        <v>1430</v>
      </c>
      <c r="H3603">
        <v>36244.53</v>
      </c>
      <c r="I3603">
        <v>534.71</v>
      </c>
      <c r="J3603" t="s">
        <v>120</v>
      </c>
      <c r="K3603" t="s">
        <v>15117</v>
      </c>
      <c r="L3603">
        <v>7.11</v>
      </c>
      <c r="M3603">
        <v>40.799999999999997</v>
      </c>
      <c r="N3603">
        <v>0.89</v>
      </c>
      <c r="O3603">
        <v>9.0399999999999991</v>
      </c>
      <c r="P3603">
        <v>42.58</v>
      </c>
      <c r="Q3603">
        <v>-0.05</v>
      </c>
      <c r="R3603">
        <v>39.03</v>
      </c>
      <c r="S3603">
        <v>39.03</v>
      </c>
      <c r="T3603">
        <v>88396</v>
      </c>
      <c r="U3603">
        <v>40.799999999999997</v>
      </c>
      <c r="V3603">
        <v>39.049999999999997</v>
      </c>
      <c r="W3603">
        <v>29.15</v>
      </c>
      <c r="X3603" t="s">
        <v>1925</v>
      </c>
      <c r="Y3603" t="s">
        <v>319</v>
      </c>
      <c r="Z3603">
        <v>9.09</v>
      </c>
      <c r="AA3603">
        <v>41</v>
      </c>
      <c r="AB3603">
        <v>39813</v>
      </c>
      <c r="AC3603">
        <v>48583</v>
      </c>
      <c r="AD3603">
        <v>0.82</v>
      </c>
      <c r="AE3603">
        <v>55</v>
      </c>
      <c r="AF3603">
        <v>367</v>
      </c>
      <c r="AG3603" t="s">
        <v>120</v>
      </c>
      <c r="AH3603">
        <v>0.22</v>
      </c>
      <c r="AI3603" t="s">
        <v>120</v>
      </c>
      <c r="AJ3603">
        <v>1.24</v>
      </c>
      <c r="AK3603" t="s">
        <v>15118</v>
      </c>
      <c r="AL3603">
        <v>5.83</v>
      </c>
      <c r="AM3603">
        <v>3867</v>
      </c>
      <c r="AN3603">
        <v>23</v>
      </c>
      <c r="AO3603">
        <v>1.8E-3</v>
      </c>
      <c r="AP3603">
        <v>4</v>
      </c>
      <c r="AQ3603">
        <v>10</v>
      </c>
      <c r="AR3603">
        <v>17.100000000000001</v>
      </c>
      <c r="AS3603">
        <v>54.42</v>
      </c>
      <c r="AT3603">
        <v>96.72</v>
      </c>
      <c r="AU3603">
        <v>72.45</v>
      </c>
      <c r="AV3603">
        <v>7</v>
      </c>
      <c r="AW3603">
        <v>14.19</v>
      </c>
      <c r="AX3603">
        <v>49.6</v>
      </c>
      <c r="AY3603">
        <v>40.770000000000003</v>
      </c>
      <c r="AZ3603">
        <v>72.84</v>
      </c>
      <c r="BA3603">
        <v>0.64</v>
      </c>
      <c r="BB3603" t="s">
        <v>168</v>
      </c>
      <c r="BF3603">
        <v>5</v>
      </c>
      <c r="BG3603">
        <v>4.53</v>
      </c>
      <c r="BH3603">
        <v>-4.18</v>
      </c>
      <c r="BI3603">
        <v>4.53</v>
      </c>
      <c r="BJ3603">
        <v>20210830</v>
      </c>
      <c r="BK3603">
        <v>20171106</v>
      </c>
      <c r="BL3603">
        <v>1.26</v>
      </c>
      <c r="BM3603" t="s">
        <v>120</v>
      </c>
      <c r="BN3603" t="s">
        <v>120</v>
      </c>
      <c r="BO3603">
        <v>40.92</v>
      </c>
      <c r="BP3603">
        <v>40.79</v>
      </c>
      <c r="BQ3603">
        <v>15.22</v>
      </c>
      <c r="BR3603">
        <v>0.36</v>
      </c>
      <c r="BS3603">
        <v>61.92</v>
      </c>
      <c r="BT3603">
        <v>19.809999999999999</v>
      </c>
      <c r="BU3603">
        <v>14.38</v>
      </c>
      <c r="BV3603">
        <v>1.32</v>
      </c>
      <c r="BW3603">
        <v>20.6</v>
      </c>
      <c r="BX3603">
        <v>2.68</v>
      </c>
      <c r="BY3603">
        <v>6.1</v>
      </c>
      <c r="BZ3603">
        <v>5.44</v>
      </c>
      <c r="CA3603">
        <v>1.22</v>
      </c>
      <c r="CB3603">
        <v>9.48</v>
      </c>
      <c r="CC3603">
        <v>12.52</v>
      </c>
      <c r="CD3603">
        <v>9.44</v>
      </c>
      <c r="CE3603">
        <v>1.25</v>
      </c>
      <c r="CF3603">
        <v>0.11</v>
      </c>
      <c r="CG3603">
        <v>1.08</v>
      </c>
      <c r="CH3603">
        <v>0.9</v>
      </c>
      <c r="CI3603">
        <v>0.88</v>
      </c>
      <c r="CJ3603">
        <v>1.75</v>
      </c>
      <c r="CK3603">
        <v>0.93</v>
      </c>
      <c r="CL3603">
        <v>4.53</v>
      </c>
      <c r="CM3603">
        <v>0.82</v>
      </c>
      <c r="CN3603">
        <v>-0.22</v>
      </c>
      <c r="CO3603">
        <v>8627</v>
      </c>
      <c r="CP3603">
        <v>7223</v>
      </c>
      <c r="CQ3603" t="s">
        <v>15119</v>
      </c>
      <c r="CR3603">
        <v>151.66</v>
      </c>
      <c r="CS3603">
        <v>39.090000000000003</v>
      </c>
      <c r="CT3603">
        <v>3.37</v>
      </c>
      <c r="CU3603">
        <v>62.26</v>
      </c>
      <c r="CV3603">
        <v>4.09</v>
      </c>
      <c r="CW3603">
        <v>0</v>
      </c>
      <c r="CX3603" t="s">
        <v>2021</v>
      </c>
      <c r="CY3603">
        <v>12.11</v>
      </c>
      <c r="CZ3603">
        <v>0</v>
      </c>
      <c r="DA3603">
        <v>7.55</v>
      </c>
      <c r="DB3603">
        <v>3.61</v>
      </c>
      <c r="DC3603">
        <v>0.66</v>
      </c>
      <c r="DD3603">
        <v>37.19</v>
      </c>
      <c r="DE3603" t="s">
        <v>8366</v>
      </c>
      <c r="DF3603">
        <v>24.58</v>
      </c>
      <c r="DG3603">
        <v>9.9700000000000006</v>
      </c>
      <c r="DH3603">
        <v>7.02</v>
      </c>
      <c r="DI3603">
        <v>0.47</v>
      </c>
      <c r="DJ3603">
        <v>2746</v>
      </c>
      <c r="DK3603">
        <v>603507</v>
      </c>
      <c r="DL3603">
        <v>20200901</v>
      </c>
      <c r="DM3603">
        <v>36.1</v>
      </c>
      <c r="DN3603">
        <v>13.02</v>
      </c>
    </row>
    <row r="3604" spans="1:118">
      <c r="A3604" t="str">
        <f>"603508"</f>
        <v>603508</v>
      </c>
      <c r="B3604" t="s">
        <v>15120</v>
      </c>
      <c r="C3604">
        <v>-2.4500000000000002</v>
      </c>
      <c r="D3604">
        <v>-0.08</v>
      </c>
      <c r="E3604">
        <v>-1.05</v>
      </c>
      <c r="F3604">
        <v>279</v>
      </c>
      <c r="G3604" t="s">
        <v>6894</v>
      </c>
      <c r="H3604">
        <v>4825.42</v>
      </c>
      <c r="I3604">
        <v>38.69</v>
      </c>
      <c r="J3604" t="s">
        <v>120</v>
      </c>
      <c r="K3604" t="s">
        <v>9195</v>
      </c>
      <c r="L3604">
        <v>0.9</v>
      </c>
      <c r="M3604">
        <v>23.12</v>
      </c>
      <c r="N3604">
        <v>0.62</v>
      </c>
      <c r="O3604">
        <v>1.01</v>
      </c>
      <c r="P3604">
        <v>23.94</v>
      </c>
      <c r="Q3604">
        <v>-2.4500000000000002</v>
      </c>
      <c r="R3604">
        <v>23.12</v>
      </c>
      <c r="S3604">
        <v>23.45</v>
      </c>
      <c r="T3604">
        <v>20496</v>
      </c>
      <c r="U3604">
        <v>23.13</v>
      </c>
      <c r="V3604">
        <v>23.7</v>
      </c>
      <c r="W3604">
        <v>15.82</v>
      </c>
      <c r="X3604" t="s">
        <v>141</v>
      </c>
      <c r="Y3604" t="s">
        <v>645</v>
      </c>
      <c r="Z3604">
        <v>3.46</v>
      </c>
      <c r="AA3604">
        <v>23.54</v>
      </c>
      <c r="AB3604">
        <v>12143</v>
      </c>
      <c r="AC3604">
        <v>8353</v>
      </c>
      <c r="AD3604">
        <v>1.45</v>
      </c>
      <c r="AE3604">
        <v>17</v>
      </c>
      <c r="AF3604">
        <v>13</v>
      </c>
      <c r="AG3604" t="s">
        <v>120</v>
      </c>
      <c r="AH3604">
        <v>0.02</v>
      </c>
      <c r="AI3604" t="s">
        <v>120</v>
      </c>
      <c r="AJ3604">
        <v>2.2799999999999998</v>
      </c>
      <c r="AK3604" t="s">
        <v>14869</v>
      </c>
      <c r="AL3604">
        <v>-1.1000000000000001</v>
      </c>
      <c r="AM3604">
        <v>1698</v>
      </c>
      <c r="AN3604">
        <v>12</v>
      </c>
      <c r="AO3604">
        <v>5.0000000000000001E-4</v>
      </c>
      <c r="AP3604">
        <v>-1</v>
      </c>
      <c r="AQ3604">
        <v>0.47</v>
      </c>
      <c r="AR3604">
        <v>-7.07</v>
      </c>
      <c r="AS3604">
        <v>3.68</v>
      </c>
      <c r="AT3604">
        <v>17.73</v>
      </c>
      <c r="AU3604">
        <v>-3.66</v>
      </c>
      <c r="AV3604">
        <v>2</v>
      </c>
      <c r="AW3604">
        <v>1.99</v>
      </c>
      <c r="AX3604">
        <v>37.86</v>
      </c>
      <c r="AY3604" t="s">
        <v>120</v>
      </c>
      <c r="AZ3604" t="s">
        <v>120</v>
      </c>
      <c r="BA3604">
        <v>0.61</v>
      </c>
      <c r="BB3604" t="s">
        <v>143</v>
      </c>
      <c r="BF3604">
        <v>-0.66</v>
      </c>
      <c r="BG3604">
        <v>-1.41</v>
      </c>
      <c r="BH3604">
        <v>-3.43</v>
      </c>
      <c r="BI3604">
        <v>0</v>
      </c>
      <c r="BJ3604">
        <v>20210820</v>
      </c>
      <c r="BK3604">
        <v>20151224</v>
      </c>
      <c r="BL3604">
        <v>2.72</v>
      </c>
      <c r="BM3604" t="s">
        <v>120</v>
      </c>
      <c r="BN3604" t="s">
        <v>120</v>
      </c>
      <c r="BO3604">
        <v>44.26</v>
      </c>
      <c r="BP3604">
        <v>23.12</v>
      </c>
      <c r="BQ3604">
        <v>40.03</v>
      </c>
      <c r="BR3604">
        <v>0.67</v>
      </c>
      <c r="BS3604">
        <v>8.0399999999999991</v>
      </c>
      <c r="BT3604">
        <v>24.19</v>
      </c>
      <c r="BU3604">
        <v>2.23</v>
      </c>
      <c r="BV3604">
        <v>0.9</v>
      </c>
      <c r="BW3604">
        <v>3.48</v>
      </c>
      <c r="BX3604">
        <v>14.65</v>
      </c>
      <c r="BY3604">
        <v>2.8</v>
      </c>
      <c r="BZ3604">
        <v>5</v>
      </c>
      <c r="CA3604" t="s">
        <v>120</v>
      </c>
      <c r="CB3604">
        <v>24.3</v>
      </c>
      <c r="CC3604">
        <v>5.03</v>
      </c>
      <c r="CD3604">
        <v>2</v>
      </c>
      <c r="CE3604">
        <v>2.33</v>
      </c>
      <c r="CF3604">
        <v>0</v>
      </c>
      <c r="CG3604">
        <v>2.33</v>
      </c>
      <c r="CH3604">
        <v>2</v>
      </c>
      <c r="CI3604">
        <v>1.99</v>
      </c>
      <c r="CJ3604">
        <v>-0.57999999999999996</v>
      </c>
      <c r="CK3604">
        <v>1.91</v>
      </c>
      <c r="CL3604">
        <v>12.43</v>
      </c>
      <c r="CM3604">
        <v>0.15</v>
      </c>
      <c r="CN3604">
        <v>-0.89</v>
      </c>
      <c r="CO3604">
        <v>24184</v>
      </c>
      <c r="CP3604">
        <v>4265</v>
      </c>
      <c r="CQ3604" t="s">
        <v>3830</v>
      </c>
      <c r="CR3604">
        <v>49.79</v>
      </c>
      <c r="CS3604">
        <v>34.39</v>
      </c>
      <c r="CT3604">
        <v>1.57</v>
      </c>
      <c r="CU3604">
        <v>407.43</v>
      </c>
      <c r="CV3604">
        <v>12.51</v>
      </c>
      <c r="CW3604">
        <v>1.32</v>
      </c>
      <c r="CX3604" t="s">
        <v>10740</v>
      </c>
      <c r="CY3604">
        <v>14.69</v>
      </c>
      <c r="CZ3604">
        <v>0</v>
      </c>
      <c r="DA3604">
        <v>8.92</v>
      </c>
      <c r="DB3604">
        <v>4.5599999999999996</v>
      </c>
      <c r="DC3604">
        <v>0.06</v>
      </c>
      <c r="DD3604">
        <v>90.45</v>
      </c>
      <c r="DE3604" t="s">
        <v>5005</v>
      </c>
      <c r="DF3604">
        <v>60.26</v>
      </c>
      <c r="DG3604">
        <v>46.23</v>
      </c>
      <c r="DH3604">
        <v>39.549999999999997</v>
      </c>
      <c r="DI3604">
        <v>0.51</v>
      </c>
      <c r="DJ3604">
        <v>809</v>
      </c>
      <c r="DK3604">
        <v>603508</v>
      </c>
      <c r="DL3604" t="s">
        <v>120</v>
      </c>
      <c r="DM3604" t="s">
        <v>120</v>
      </c>
      <c r="DN3604" t="s">
        <v>120</v>
      </c>
    </row>
    <row r="3605" spans="1:118">
      <c r="A3605" t="str">
        <f>"603511"</f>
        <v>603511</v>
      </c>
      <c r="B3605" t="s">
        <v>15121</v>
      </c>
      <c r="C3605">
        <v>-0.38</v>
      </c>
      <c r="D3605">
        <v>0</v>
      </c>
      <c r="E3605">
        <v>-0.64</v>
      </c>
      <c r="F3605">
        <v>115</v>
      </c>
      <c r="G3605" t="s">
        <v>10671</v>
      </c>
      <c r="H3605">
        <v>3137.72</v>
      </c>
      <c r="I3605">
        <v>55.5</v>
      </c>
      <c r="J3605" t="s">
        <v>120</v>
      </c>
      <c r="K3605" t="s">
        <v>10671</v>
      </c>
      <c r="L3605">
        <v>2.96</v>
      </c>
      <c r="M3605">
        <v>26.5</v>
      </c>
      <c r="N3605">
        <v>0.62</v>
      </c>
      <c r="O3605">
        <v>0.45</v>
      </c>
      <c r="P3605">
        <v>26.72</v>
      </c>
      <c r="Q3605">
        <v>-0.9</v>
      </c>
      <c r="R3605">
        <v>26.36</v>
      </c>
      <c r="S3605">
        <v>26.43</v>
      </c>
      <c r="T3605">
        <v>11824</v>
      </c>
      <c r="U3605">
        <v>26.51</v>
      </c>
      <c r="V3605">
        <v>26.6</v>
      </c>
      <c r="W3605">
        <v>20.76</v>
      </c>
      <c r="X3605" t="s">
        <v>2806</v>
      </c>
      <c r="Y3605" t="s">
        <v>158</v>
      </c>
      <c r="Z3605">
        <v>1.35</v>
      </c>
      <c r="AA3605">
        <v>26.54</v>
      </c>
      <c r="AB3605">
        <v>6025</v>
      </c>
      <c r="AC3605">
        <v>5799</v>
      </c>
      <c r="AD3605">
        <v>1.04</v>
      </c>
      <c r="AE3605">
        <v>77</v>
      </c>
      <c r="AF3605">
        <v>3</v>
      </c>
      <c r="AG3605" t="s">
        <v>120</v>
      </c>
      <c r="AH3605">
        <v>0.05</v>
      </c>
      <c r="AI3605" t="s">
        <v>120</v>
      </c>
      <c r="AJ3605">
        <v>0.4</v>
      </c>
      <c r="AK3605" t="s">
        <v>15122</v>
      </c>
      <c r="AL3605">
        <v>0.97</v>
      </c>
      <c r="AM3605">
        <v>1205</v>
      </c>
      <c r="AN3605">
        <v>10</v>
      </c>
      <c r="AO3605">
        <v>2.5000000000000001E-3</v>
      </c>
      <c r="AP3605">
        <v>-5</v>
      </c>
      <c r="AQ3605">
        <v>-0.93</v>
      </c>
      <c r="AR3605">
        <v>-2.71</v>
      </c>
      <c r="AS3605">
        <v>-2.3199999999999998</v>
      </c>
      <c r="AT3605">
        <v>-21.72</v>
      </c>
      <c r="AU3605">
        <v>26.25</v>
      </c>
      <c r="AV3605">
        <v>2</v>
      </c>
      <c r="AW3605">
        <v>2.96</v>
      </c>
      <c r="AX3605">
        <v>10</v>
      </c>
      <c r="AY3605">
        <v>19.75</v>
      </c>
      <c r="AZ3605">
        <v>23.94</v>
      </c>
      <c r="BA3605">
        <v>1.1000000000000001</v>
      </c>
      <c r="BB3605" t="s">
        <v>143</v>
      </c>
      <c r="BF3605">
        <v>-0.24</v>
      </c>
      <c r="BG3605">
        <v>0.26</v>
      </c>
      <c r="BH3605">
        <v>-0.82</v>
      </c>
      <c r="BI3605">
        <v>0.53</v>
      </c>
      <c r="BJ3605">
        <v>20210826</v>
      </c>
      <c r="BK3605">
        <v>20210531</v>
      </c>
      <c r="BL3605">
        <v>4</v>
      </c>
      <c r="BM3605" t="s">
        <v>120</v>
      </c>
      <c r="BN3605" t="s">
        <v>120</v>
      </c>
      <c r="BO3605">
        <v>51.89</v>
      </c>
      <c r="BP3605">
        <v>26.5</v>
      </c>
      <c r="BQ3605">
        <v>44.63</v>
      </c>
      <c r="BR3605">
        <v>7.0000000000000007E-2</v>
      </c>
      <c r="BS3605">
        <v>13.87</v>
      </c>
      <c r="BT3605">
        <v>35.86</v>
      </c>
      <c r="BU3605">
        <v>6.98</v>
      </c>
      <c r="BV3605">
        <v>1.07</v>
      </c>
      <c r="BW3605">
        <v>6.32</v>
      </c>
      <c r="BX3605">
        <v>10.82</v>
      </c>
      <c r="BY3605">
        <v>9.4499999999999993</v>
      </c>
      <c r="BZ3605">
        <v>1.86</v>
      </c>
      <c r="CA3605" t="s">
        <v>120</v>
      </c>
      <c r="CB3605">
        <v>23.65</v>
      </c>
      <c r="CC3605">
        <v>17.329999999999998</v>
      </c>
      <c r="CD3605">
        <v>5.35</v>
      </c>
      <c r="CE3605">
        <v>2.96</v>
      </c>
      <c r="CF3605">
        <v>0.2</v>
      </c>
      <c r="CG3605">
        <v>2.96</v>
      </c>
      <c r="CH3605">
        <v>2.5499999999999998</v>
      </c>
      <c r="CI3605">
        <v>2.5499999999999998</v>
      </c>
      <c r="CJ3605">
        <v>-0.1</v>
      </c>
      <c r="CK3605">
        <v>2.19</v>
      </c>
      <c r="CL3605">
        <v>15.05</v>
      </c>
      <c r="CM3605">
        <v>4.34</v>
      </c>
      <c r="CN3605">
        <v>8.57</v>
      </c>
      <c r="CO3605">
        <v>23440</v>
      </c>
      <c r="CP3605">
        <v>1707</v>
      </c>
      <c r="CQ3605" t="s">
        <v>5804</v>
      </c>
      <c r="CR3605">
        <v>0</v>
      </c>
      <c r="CS3605">
        <v>0</v>
      </c>
      <c r="CT3605">
        <v>2.38</v>
      </c>
      <c r="CU3605">
        <v>24.44</v>
      </c>
      <c r="CV3605">
        <v>6.12</v>
      </c>
      <c r="CW3605">
        <v>1.69</v>
      </c>
      <c r="CX3605" t="s">
        <v>2021</v>
      </c>
      <c r="CY3605">
        <v>11.16</v>
      </c>
      <c r="CZ3605">
        <v>0</v>
      </c>
      <c r="DA3605">
        <v>5.91</v>
      </c>
      <c r="DB3605">
        <v>3.76</v>
      </c>
      <c r="DC3605">
        <v>1.08</v>
      </c>
      <c r="DD3605">
        <v>86</v>
      </c>
      <c r="DE3605" t="s">
        <v>3074</v>
      </c>
      <c r="DF3605">
        <v>69.150000000000006</v>
      </c>
      <c r="DG3605">
        <v>17.079999999999998</v>
      </c>
      <c r="DH3605">
        <v>14.73</v>
      </c>
      <c r="DI3605">
        <v>0.5</v>
      </c>
      <c r="DJ3605">
        <v>9417</v>
      </c>
      <c r="DK3605">
        <v>603511</v>
      </c>
      <c r="DL3605" t="s">
        <v>120</v>
      </c>
      <c r="DM3605" t="s">
        <v>120</v>
      </c>
      <c r="DN3605" t="s">
        <v>120</v>
      </c>
    </row>
    <row r="3606" spans="1:118">
      <c r="A3606" t="str">
        <f>"603515"</f>
        <v>603515</v>
      </c>
      <c r="B3606" t="s">
        <v>15123</v>
      </c>
      <c r="C3606">
        <v>-0.71</v>
      </c>
      <c r="D3606">
        <v>0.04</v>
      </c>
      <c r="E3606">
        <v>-0.04</v>
      </c>
      <c r="F3606">
        <v>270</v>
      </c>
      <c r="G3606" t="s">
        <v>13071</v>
      </c>
      <c r="H3606">
        <v>5189.63</v>
      </c>
      <c r="I3606">
        <v>9.1999999999999993</v>
      </c>
      <c r="J3606" t="s">
        <v>120</v>
      </c>
      <c r="K3606" t="s">
        <v>15124</v>
      </c>
      <c r="L3606">
        <v>0.31</v>
      </c>
      <c r="M3606">
        <v>22.3</v>
      </c>
      <c r="N3606">
        <v>0.83</v>
      </c>
      <c r="O3606">
        <v>0.53</v>
      </c>
      <c r="P3606">
        <v>22.58</v>
      </c>
      <c r="Q3606">
        <v>-0.85</v>
      </c>
      <c r="R3606">
        <v>22.27</v>
      </c>
      <c r="S3606">
        <v>22.45</v>
      </c>
      <c r="T3606">
        <v>23147</v>
      </c>
      <c r="U3606">
        <v>22.32</v>
      </c>
      <c r="V3606">
        <v>22.46</v>
      </c>
      <c r="W3606">
        <v>19.04</v>
      </c>
      <c r="X3606" t="s">
        <v>394</v>
      </c>
      <c r="Y3606" t="s">
        <v>1510</v>
      </c>
      <c r="Z3606">
        <v>1.38</v>
      </c>
      <c r="AA3606">
        <v>22.42</v>
      </c>
      <c r="AB3606">
        <v>15097</v>
      </c>
      <c r="AC3606">
        <v>8050</v>
      </c>
      <c r="AD3606">
        <v>1.88</v>
      </c>
      <c r="AE3606">
        <v>30</v>
      </c>
      <c r="AF3606">
        <v>113</v>
      </c>
      <c r="AG3606" t="s">
        <v>120</v>
      </c>
      <c r="AH3606">
        <v>0</v>
      </c>
      <c r="AI3606" t="s">
        <v>120</v>
      </c>
      <c r="AJ3606">
        <v>7.54</v>
      </c>
      <c r="AK3606" t="s">
        <v>15125</v>
      </c>
      <c r="AL3606">
        <v>0.63</v>
      </c>
      <c r="AM3606">
        <v>2026</v>
      </c>
      <c r="AN3606">
        <v>11</v>
      </c>
      <c r="AO3606">
        <v>2.0000000000000001E-4</v>
      </c>
      <c r="AP3606">
        <v>-5</v>
      </c>
      <c r="AQ3606">
        <v>-1.49</v>
      </c>
      <c r="AR3606">
        <v>-3.34</v>
      </c>
      <c r="AS3606">
        <v>-5.67</v>
      </c>
      <c r="AT3606">
        <v>-10.8</v>
      </c>
      <c r="AU3606">
        <v>-24.94</v>
      </c>
      <c r="AV3606">
        <v>0</v>
      </c>
      <c r="AW3606">
        <v>1.8</v>
      </c>
      <c r="AX3606">
        <v>17.010000000000002</v>
      </c>
      <c r="AY3606">
        <v>17.09</v>
      </c>
      <c r="AZ3606">
        <v>21.19</v>
      </c>
      <c r="BA3606">
        <v>0.59</v>
      </c>
      <c r="BB3606" t="s">
        <v>1723</v>
      </c>
      <c r="BF3606">
        <v>-0.18</v>
      </c>
      <c r="BG3606">
        <v>-0.67</v>
      </c>
      <c r="BH3606">
        <v>-1.24</v>
      </c>
      <c r="BI3606">
        <v>0.13</v>
      </c>
      <c r="BJ3606">
        <v>20210827</v>
      </c>
      <c r="BK3606">
        <v>20160819</v>
      </c>
      <c r="BL3606">
        <v>7.55</v>
      </c>
      <c r="BM3606" t="s">
        <v>120</v>
      </c>
      <c r="BN3606" t="s">
        <v>120</v>
      </c>
      <c r="BO3606">
        <v>86.6</v>
      </c>
      <c r="BP3606">
        <v>22.3</v>
      </c>
      <c r="BQ3606">
        <v>53.25</v>
      </c>
      <c r="BR3606">
        <v>0.41</v>
      </c>
      <c r="BS3606">
        <v>38.04</v>
      </c>
      <c r="BT3606">
        <v>66.58</v>
      </c>
      <c r="BU3606">
        <v>8.8699999999999992</v>
      </c>
      <c r="BV3606">
        <v>3.38</v>
      </c>
      <c r="BW3606">
        <v>32.65</v>
      </c>
      <c r="BX3606">
        <v>5.59</v>
      </c>
      <c r="BY3606">
        <v>11.39</v>
      </c>
      <c r="BZ3606">
        <v>4.21</v>
      </c>
      <c r="CA3606" t="s">
        <v>120</v>
      </c>
      <c r="CB3606">
        <v>9.36</v>
      </c>
      <c r="CC3606">
        <v>39.630000000000003</v>
      </c>
      <c r="CD3606">
        <v>24.75</v>
      </c>
      <c r="CE3606">
        <v>5.22</v>
      </c>
      <c r="CF3606">
        <v>0.83</v>
      </c>
      <c r="CG3606">
        <v>5.31</v>
      </c>
      <c r="CH3606">
        <v>4.43</v>
      </c>
      <c r="CI3606">
        <v>4.42</v>
      </c>
      <c r="CJ3606">
        <v>-0.16</v>
      </c>
      <c r="CK3606">
        <v>3.16</v>
      </c>
      <c r="CL3606">
        <v>33.9</v>
      </c>
      <c r="CM3606">
        <v>-3.08</v>
      </c>
      <c r="CN3606">
        <v>2.87</v>
      </c>
      <c r="CO3606">
        <v>15842</v>
      </c>
      <c r="CP3606">
        <v>8105</v>
      </c>
      <c r="CQ3606" t="s">
        <v>15126</v>
      </c>
      <c r="CR3606">
        <v>76.95</v>
      </c>
      <c r="CS3606">
        <v>31.68</v>
      </c>
      <c r="CT3606">
        <v>3.16</v>
      </c>
      <c r="CU3606">
        <v>-54.59</v>
      </c>
      <c r="CV3606">
        <v>4.25</v>
      </c>
      <c r="CW3606">
        <v>2.2000000000000002</v>
      </c>
      <c r="CX3606" t="s">
        <v>597</v>
      </c>
      <c r="CY3606">
        <v>7.06</v>
      </c>
      <c r="CZ3606">
        <v>0</v>
      </c>
      <c r="DA3606">
        <v>1.24</v>
      </c>
      <c r="DB3606">
        <v>4.49</v>
      </c>
      <c r="DC3606">
        <v>-0.41</v>
      </c>
      <c r="DD3606">
        <v>61.48</v>
      </c>
      <c r="DE3606" t="s">
        <v>7126</v>
      </c>
      <c r="DF3606">
        <v>37.549999999999997</v>
      </c>
      <c r="DG3606">
        <v>13.16</v>
      </c>
      <c r="DH3606">
        <v>11.15</v>
      </c>
      <c r="DI3606">
        <v>1.62</v>
      </c>
      <c r="DJ3606">
        <v>5199</v>
      </c>
      <c r="DK3606">
        <v>603515</v>
      </c>
      <c r="DL3606" t="s">
        <v>120</v>
      </c>
      <c r="DM3606" t="s">
        <v>120</v>
      </c>
      <c r="DN3606" t="s">
        <v>120</v>
      </c>
    </row>
    <row r="3607" spans="1:118">
      <c r="A3607" t="str">
        <f>"603516"</f>
        <v>603516</v>
      </c>
      <c r="B3607" t="s">
        <v>15127</v>
      </c>
      <c r="C3607">
        <v>-0.27</v>
      </c>
      <c r="D3607">
        <v>-0.15</v>
      </c>
      <c r="E3607">
        <v>0.11</v>
      </c>
      <c r="F3607">
        <v>7</v>
      </c>
      <c r="G3607" t="s">
        <v>10666</v>
      </c>
      <c r="H3607">
        <v>1432.2</v>
      </c>
      <c r="I3607">
        <v>0</v>
      </c>
      <c r="J3607" t="s">
        <v>120</v>
      </c>
      <c r="K3607" t="s">
        <v>2168</v>
      </c>
      <c r="L3607">
        <v>0.43</v>
      </c>
      <c r="M3607">
        <v>18.149999999999999</v>
      </c>
      <c r="N3607">
        <v>0.82</v>
      </c>
      <c r="O3607">
        <v>0.71</v>
      </c>
      <c r="P3607">
        <v>18.329999999999998</v>
      </c>
      <c r="Q3607">
        <v>-0.66</v>
      </c>
      <c r="R3607">
        <v>18.079999999999998</v>
      </c>
      <c r="S3607">
        <v>18.22</v>
      </c>
      <c r="T3607">
        <v>7878</v>
      </c>
      <c r="U3607">
        <v>18.170000000000002</v>
      </c>
      <c r="V3607">
        <v>18.2</v>
      </c>
      <c r="W3607">
        <v>61.11</v>
      </c>
      <c r="X3607" t="s">
        <v>462</v>
      </c>
      <c r="Y3607" t="s">
        <v>158</v>
      </c>
      <c r="Z3607">
        <v>1.37</v>
      </c>
      <c r="AA3607">
        <v>18.18</v>
      </c>
      <c r="AB3607">
        <v>4821</v>
      </c>
      <c r="AC3607">
        <v>3057</v>
      </c>
      <c r="AD3607">
        <v>1.58</v>
      </c>
      <c r="AE3607">
        <v>34</v>
      </c>
      <c r="AF3607">
        <v>10</v>
      </c>
      <c r="AG3607" t="s">
        <v>120</v>
      </c>
      <c r="AH3607">
        <v>0</v>
      </c>
      <c r="AI3607" t="s">
        <v>120</v>
      </c>
      <c r="AJ3607">
        <v>1.84</v>
      </c>
      <c r="AK3607" t="s">
        <v>5905</v>
      </c>
      <c r="AL3607">
        <v>1.07</v>
      </c>
      <c r="AM3607">
        <v>645</v>
      </c>
      <c r="AN3607">
        <v>12</v>
      </c>
      <c r="AO3607">
        <v>6.9999999999999999E-4</v>
      </c>
      <c r="AP3607">
        <v>-6</v>
      </c>
      <c r="AQ3607">
        <v>-0.66</v>
      </c>
      <c r="AR3607">
        <v>-2</v>
      </c>
      <c r="AS3607">
        <v>0.16</v>
      </c>
      <c r="AT3607">
        <v>-15.06</v>
      </c>
      <c r="AU3607">
        <v>-20.350000000000001</v>
      </c>
      <c r="AV3607">
        <v>0</v>
      </c>
      <c r="AW3607">
        <v>0.93</v>
      </c>
      <c r="AX3607">
        <v>45.38</v>
      </c>
      <c r="AY3607">
        <v>29.36</v>
      </c>
      <c r="AZ3607">
        <v>26.47</v>
      </c>
      <c r="BA3607">
        <v>1.1399999999999999</v>
      </c>
      <c r="BB3607" t="s">
        <v>143</v>
      </c>
      <c r="BF3607">
        <v>-0.11</v>
      </c>
      <c r="BG3607">
        <v>-0.38</v>
      </c>
      <c r="BH3607">
        <v>-0.98</v>
      </c>
      <c r="BI3607">
        <v>0.39</v>
      </c>
      <c r="BJ3607">
        <v>20210811</v>
      </c>
      <c r="BK3607">
        <v>20180202</v>
      </c>
      <c r="BL3607">
        <v>1.87</v>
      </c>
      <c r="BM3607" t="s">
        <v>120</v>
      </c>
      <c r="BN3607" t="s">
        <v>120</v>
      </c>
      <c r="BO3607">
        <v>13.74</v>
      </c>
      <c r="BP3607">
        <v>18.149999999999999</v>
      </c>
      <c r="BQ3607">
        <v>10.19</v>
      </c>
      <c r="BR3607" t="s">
        <v>120</v>
      </c>
      <c r="BS3607">
        <v>25.81</v>
      </c>
      <c r="BT3607">
        <v>9.39</v>
      </c>
      <c r="BU3607">
        <v>3.01</v>
      </c>
      <c r="BV3607">
        <v>0.22</v>
      </c>
      <c r="BW3607">
        <v>1.03</v>
      </c>
      <c r="BX3607">
        <v>1.86</v>
      </c>
      <c r="BY3607">
        <v>0.91</v>
      </c>
      <c r="BZ3607">
        <v>2.33</v>
      </c>
      <c r="CA3607" t="s">
        <v>120</v>
      </c>
      <c r="CB3607">
        <v>4.8600000000000003</v>
      </c>
      <c r="CC3607">
        <v>2.06</v>
      </c>
      <c r="CD3607">
        <v>0.79</v>
      </c>
      <c r="CE3607">
        <v>0.38</v>
      </c>
      <c r="CF3607">
        <v>0.04</v>
      </c>
      <c r="CG3607">
        <v>0.38</v>
      </c>
      <c r="CH3607">
        <v>0.28000000000000003</v>
      </c>
      <c r="CI3607">
        <v>0.28000000000000003</v>
      </c>
      <c r="CJ3607">
        <v>-0.05</v>
      </c>
      <c r="CK3607">
        <v>0.24</v>
      </c>
      <c r="CL3607">
        <v>2.67</v>
      </c>
      <c r="CM3607">
        <v>0.09</v>
      </c>
      <c r="CN3607">
        <v>-2.74</v>
      </c>
      <c r="CO3607">
        <v>12468</v>
      </c>
      <c r="CP3607">
        <v>6789</v>
      </c>
      <c r="CQ3607" t="s">
        <v>15128</v>
      </c>
      <c r="CR3607">
        <v>-31.36</v>
      </c>
      <c r="CS3607">
        <v>27.56</v>
      </c>
      <c r="CT3607">
        <v>3.59</v>
      </c>
      <c r="CU3607">
        <v>386.08</v>
      </c>
      <c r="CV3607">
        <v>16.46</v>
      </c>
      <c r="CW3607">
        <v>1.57</v>
      </c>
      <c r="CX3607" t="s">
        <v>1091</v>
      </c>
      <c r="CY3607">
        <v>5.0599999999999996</v>
      </c>
      <c r="CZ3607">
        <v>5.0599999999999996</v>
      </c>
      <c r="DA3607">
        <v>2.6</v>
      </c>
      <c r="DB3607">
        <v>1.43</v>
      </c>
      <c r="DC3607">
        <v>0.05</v>
      </c>
      <c r="DD3607">
        <v>74.19</v>
      </c>
      <c r="DE3607" t="s">
        <v>6285</v>
      </c>
      <c r="DF3607">
        <v>61.48</v>
      </c>
      <c r="DG3607">
        <v>18.43</v>
      </c>
      <c r="DH3607">
        <v>13.47</v>
      </c>
      <c r="DI3607">
        <v>0.31</v>
      </c>
      <c r="DJ3607">
        <v>600</v>
      </c>
      <c r="DK3607">
        <v>603516</v>
      </c>
      <c r="DL3607" t="s">
        <v>120</v>
      </c>
      <c r="DM3607" t="s">
        <v>120</v>
      </c>
      <c r="DN3607" t="s">
        <v>120</v>
      </c>
    </row>
    <row r="3608" spans="1:118">
      <c r="A3608" t="str">
        <f>"603517"</f>
        <v>603517</v>
      </c>
      <c r="B3608" t="s">
        <v>15129</v>
      </c>
      <c r="C3608">
        <v>-2.36</v>
      </c>
      <c r="D3608">
        <v>-0.09</v>
      </c>
      <c r="E3608">
        <v>-0.59</v>
      </c>
      <c r="F3608">
        <v>263</v>
      </c>
      <c r="G3608" t="s">
        <v>15130</v>
      </c>
      <c r="H3608">
        <v>17013.919999999998</v>
      </c>
      <c r="I3608">
        <v>18.93</v>
      </c>
      <c r="J3608" t="s">
        <v>120</v>
      </c>
      <c r="K3608" t="s">
        <v>15131</v>
      </c>
      <c r="L3608">
        <v>0.46</v>
      </c>
      <c r="M3608">
        <v>59.98</v>
      </c>
      <c r="N3608">
        <v>0.86</v>
      </c>
      <c r="O3608">
        <v>-0.24</v>
      </c>
      <c r="P3608">
        <v>61.28</v>
      </c>
      <c r="Q3608">
        <v>-2.98</v>
      </c>
      <c r="R3608">
        <v>59.6</v>
      </c>
      <c r="S3608">
        <v>61.07</v>
      </c>
      <c r="T3608">
        <v>28234</v>
      </c>
      <c r="U3608">
        <v>59.98</v>
      </c>
      <c r="V3608">
        <v>61.43</v>
      </c>
      <c r="W3608">
        <v>36.700000000000003</v>
      </c>
      <c r="X3608" t="s">
        <v>847</v>
      </c>
      <c r="Y3608" t="s">
        <v>594</v>
      </c>
      <c r="Z3608">
        <v>2.73</v>
      </c>
      <c r="AA3608">
        <v>60.26</v>
      </c>
      <c r="AB3608">
        <v>15743</v>
      </c>
      <c r="AC3608">
        <v>12491</v>
      </c>
      <c r="AD3608">
        <v>1.26</v>
      </c>
      <c r="AE3608">
        <v>2</v>
      </c>
      <c r="AF3608">
        <v>12</v>
      </c>
      <c r="AG3608" t="s">
        <v>120</v>
      </c>
      <c r="AH3608">
        <v>0</v>
      </c>
      <c r="AI3608" t="s">
        <v>120</v>
      </c>
      <c r="AJ3608">
        <v>6.09</v>
      </c>
      <c r="AK3608" t="s">
        <v>15132</v>
      </c>
      <c r="AL3608">
        <v>-1.02</v>
      </c>
      <c r="AM3608">
        <v>3222</v>
      </c>
      <c r="AN3608">
        <v>9</v>
      </c>
      <c r="AO3608">
        <v>1E-4</v>
      </c>
      <c r="AP3608">
        <v>-1</v>
      </c>
      <c r="AQ3608">
        <v>1.2</v>
      </c>
      <c r="AR3608">
        <v>-2.0299999999999998</v>
      </c>
      <c r="AS3608">
        <v>-12.82</v>
      </c>
      <c r="AT3608">
        <v>-18.64</v>
      </c>
      <c r="AU3608">
        <v>-22.14</v>
      </c>
      <c r="AV3608">
        <v>3</v>
      </c>
      <c r="AW3608">
        <v>0.93</v>
      </c>
      <c r="AX3608">
        <v>49.3</v>
      </c>
      <c r="AY3608">
        <v>40.619999999999997</v>
      </c>
      <c r="AZ3608">
        <v>53.8</v>
      </c>
      <c r="BA3608">
        <v>1.42</v>
      </c>
      <c r="BB3608" t="s">
        <v>143</v>
      </c>
      <c r="BF3608">
        <v>-1.9</v>
      </c>
      <c r="BG3608">
        <v>-1.78</v>
      </c>
      <c r="BH3608">
        <v>-2.12</v>
      </c>
      <c r="BI3608">
        <v>0.64</v>
      </c>
      <c r="BJ3608">
        <v>20210831</v>
      </c>
      <c r="BK3608">
        <v>20170317</v>
      </c>
      <c r="BL3608">
        <v>6.14</v>
      </c>
      <c r="BM3608" t="s">
        <v>120</v>
      </c>
      <c r="BN3608" t="s">
        <v>120</v>
      </c>
      <c r="BO3608">
        <v>65.64</v>
      </c>
      <c r="BP3608">
        <v>59.95</v>
      </c>
      <c r="BQ3608">
        <v>51.92</v>
      </c>
      <c r="BR3608">
        <v>0.16</v>
      </c>
      <c r="BS3608">
        <v>20.65</v>
      </c>
      <c r="BT3608">
        <v>23.58</v>
      </c>
      <c r="BU3608">
        <v>17.63</v>
      </c>
      <c r="BV3608">
        <v>2.13</v>
      </c>
      <c r="BW3608">
        <v>12.33</v>
      </c>
      <c r="BX3608">
        <v>10.17</v>
      </c>
      <c r="BY3608">
        <v>6.59</v>
      </c>
      <c r="BZ3608">
        <v>0.47</v>
      </c>
      <c r="CA3608" t="s">
        <v>120</v>
      </c>
      <c r="CB3608">
        <v>18.440000000000001</v>
      </c>
      <c r="CC3608">
        <v>31.44</v>
      </c>
      <c r="CD3608">
        <v>20.56</v>
      </c>
      <c r="CE3608">
        <v>6.62</v>
      </c>
      <c r="CF3608">
        <v>-0.04</v>
      </c>
      <c r="CG3608">
        <v>6.7</v>
      </c>
      <c r="CH3608">
        <v>4.91</v>
      </c>
      <c r="CI3608">
        <v>5.0199999999999996</v>
      </c>
      <c r="CJ3608">
        <v>-1.45</v>
      </c>
      <c r="CK3608">
        <v>4.8</v>
      </c>
      <c r="CL3608">
        <v>26.55</v>
      </c>
      <c r="CM3608">
        <v>8.49</v>
      </c>
      <c r="CN3608">
        <v>-0.65</v>
      </c>
      <c r="CO3608">
        <v>15419</v>
      </c>
      <c r="CP3608">
        <v>19639</v>
      </c>
      <c r="CQ3608" t="s">
        <v>15133</v>
      </c>
      <c r="CR3608">
        <v>82.91</v>
      </c>
      <c r="CS3608">
        <v>30.27</v>
      </c>
      <c r="CT3608">
        <v>7.1</v>
      </c>
      <c r="CU3608">
        <v>43.41</v>
      </c>
      <c r="CV3608">
        <v>11.72</v>
      </c>
      <c r="CW3608">
        <v>0.81</v>
      </c>
      <c r="CX3608" t="s">
        <v>8985</v>
      </c>
      <c r="CY3608">
        <v>8.4499999999999993</v>
      </c>
      <c r="CZ3608">
        <v>0</v>
      </c>
      <c r="DA3608">
        <v>3</v>
      </c>
      <c r="DB3608">
        <v>4.32</v>
      </c>
      <c r="DC3608">
        <v>1.38</v>
      </c>
      <c r="DD3608">
        <v>79.11</v>
      </c>
      <c r="DE3608" t="s">
        <v>15134</v>
      </c>
      <c r="DF3608">
        <v>34.61</v>
      </c>
      <c r="DG3608">
        <v>21.06</v>
      </c>
      <c r="DH3608">
        <v>15.97</v>
      </c>
      <c r="DI3608">
        <v>7.0000000000000007E-2</v>
      </c>
      <c r="DJ3608">
        <v>4380</v>
      </c>
      <c r="DK3608">
        <v>603517</v>
      </c>
      <c r="DL3608" t="s">
        <v>120</v>
      </c>
      <c r="DM3608" t="s">
        <v>120</v>
      </c>
      <c r="DN3608" t="s">
        <v>120</v>
      </c>
    </row>
    <row r="3609" spans="1:118">
      <c r="A3609" t="str">
        <f>"603518"</f>
        <v>603518</v>
      </c>
      <c r="B3609" t="s">
        <v>15135</v>
      </c>
      <c r="C3609">
        <v>-6.71</v>
      </c>
      <c r="D3609">
        <v>-0.25</v>
      </c>
      <c r="E3609">
        <v>-1.48</v>
      </c>
      <c r="F3609">
        <v>679</v>
      </c>
      <c r="G3609" t="s">
        <v>5558</v>
      </c>
      <c r="H3609">
        <v>13114.98</v>
      </c>
      <c r="I3609">
        <v>33.92</v>
      </c>
      <c r="J3609" t="s">
        <v>120</v>
      </c>
      <c r="K3609" t="s">
        <v>15136</v>
      </c>
      <c r="L3609">
        <v>3.04</v>
      </c>
      <c r="M3609">
        <v>15.15</v>
      </c>
      <c r="N3609">
        <v>1.04</v>
      </c>
      <c r="O3609">
        <v>-0.25</v>
      </c>
      <c r="P3609">
        <v>16.2</v>
      </c>
      <c r="Q3609">
        <v>-9.48</v>
      </c>
      <c r="R3609">
        <v>14.7</v>
      </c>
      <c r="S3609">
        <v>16</v>
      </c>
      <c r="T3609">
        <v>85930</v>
      </c>
      <c r="U3609">
        <v>15.18</v>
      </c>
      <c r="V3609">
        <v>16.239999999999998</v>
      </c>
      <c r="W3609">
        <v>16.09</v>
      </c>
      <c r="X3609" t="s">
        <v>2806</v>
      </c>
      <c r="Y3609" t="s">
        <v>319</v>
      </c>
      <c r="Z3609">
        <v>9.24</v>
      </c>
      <c r="AA3609">
        <v>15.26</v>
      </c>
      <c r="AB3609">
        <v>52280</v>
      </c>
      <c r="AC3609">
        <v>33650</v>
      </c>
      <c r="AD3609">
        <v>1.55</v>
      </c>
      <c r="AE3609">
        <v>314</v>
      </c>
      <c r="AF3609">
        <v>11</v>
      </c>
      <c r="AG3609" t="s">
        <v>120</v>
      </c>
      <c r="AH3609">
        <v>0.01</v>
      </c>
      <c r="AI3609" t="s">
        <v>120</v>
      </c>
      <c r="AJ3609">
        <v>2.83</v>
      </c>
      <c r="AK3609" t="s">
        <v>15136</v>
      </c>
      <c r="AL3609">
        <v>-5.37</v>
      </c>
      <c r="AM3609">
        <v>3342</v>
      </c>
      <c r="AN3609">
        <v>26</v>
      </c>
      <c r="AO3609">
        <v>8.9999999999999998E-4</v>
      </c>
      <c r="AP3609">
        <v>-2</v>
      </c>
      <c r="AQ3609">
        <v>-3.1</v>
      </c>
      <c r="AR3609">
        <v>-2.57</v>
      </c>
      <c r="AS3609">
        <v>13.57</v>
      </c>
      <c r="AT3609">
        <v>-27.52</v>
      </c>
      <c r="AU3609">
        <v>194.74</v>
      </c>
      <c r="AV3609">
        <v>19</v>
      </c>
      <c r="AW3609">
        <v>5.91</v>
      </c>
      <c r="AX3609">
        <v>51.4</v>
      </c>
      <c r="AY3609" t="s">
        <v>120</v>
      </c>
      <c r="AZ3609" t="s">
        <v>120</v>
      </c>
      <c r="BA3609">
        <v>0.52</v>
      </c>
      <c r="BB3609" t="s">
        <v>143</v>
      </c>
      <c r="BF3609">
        <v>-6.02</v>
      </c>
      <c r="BG3609">
        <v>-5.31</v>
      </c>
      <c r="BH3609">
        <v>-6.48</v>
      </c>
      <c r="BI3609">
        <v>3.06</v>
      </c>
      <c r="BJ3609">
        <v>20210825</v>
      </c>
      <c r="BK3609">
        <v>20141203</v>
      </c>
      <c r="BL3609">
        <v>2.83</v>
      </c>
      <c r="BM3609" t="s">
        <v>120</v>
      </c>
      <c r="BN3609" t="s">
        <v>120</v>
      </c>
      <c r="BO3609">
        <v>54.24</v>
      </c>
      <c r="BP3609">
        <v>15.15</v>
      </c>
      <c r="BQ3609">
        <v>23.45</v>
      </c>
      <c r="BR3609" t="s">
        <v>120</v>
      </c>
      <c r="BS3609">
        <v>56.76</v>
      </c>
      <c r="BT3609">
        <v>17.420000000000002</v>
      </c>
      <c r="BU3609">
        <v>0.86</v>
      </c>
      <c r="BV3609">
        <v>12.79</v>
      </c>
      <c r="BW3609">
        <v>15.27</v>
      </c>
      <c r="BX3609">
        <v>5.04</v>
      </c>
      <c r="BY3609">
        <v>7.55</v>
      </c>
      <c r="BZ3609">
        <v>3.62</v>
      </c>
      <c r="CA3609" t="s">
        <v>120</v>
      </c>
      <c r="CB3609">
        <v>15.05</v>
      </c>
      <c r="CC3609">
        <v>19.63</v>
      </c>
      <c r="CD3609">
        <v>5.7</v>
      </c>
      <c r="CE3609">
        <v>1.64</v>
      </c>
      <c r="CF3609">
        <v>0</v>
      </c>
      <c r="CG3609">
        <v>1.84</v>
      </c>
      <c r="CH3609">
        <v>1.33</v>
      </c>
      <c r="CI3609">
        <v>1.33</v>
      </c>
      <c r="CJ3609">
        <v>-1.0900000000000001</v>
      </c>
      <c r="CK3609">
        <v>1.1299999999999999</v>
      </c>
      <c r="CL3609">
        <v>5.0999999999999996</v>
      </c>
      <c r="CM3609">
        <v>3.46</v>
      </c>
      <c r="CN3609">
        <v>-2.9</v>
      </c>
      <c r="CO3609">
        <v>21698</v>
      </c>
      <c r="CP3609">
        <v>6705</v>
      </c>
      <c r="CQ3609" t="s">
        <v>6029</v>
      </c>
      <c r="CR3609">
        <v>5400.15</v>
      </c>
      <c r="CS3609">
        <v>73.739999999999995</v>
      </c>
      <c r="CT3609">
        <v>1.89</v>
      </c>
      <c r="CU3609">
        <v>12.4</v>
      </c>
      <c r="CV3609">
        <v>2.1800000000000002</v>
      </c>
      <c r="CW3609">
        <v>0</v>
      </c>
      <c r="CX3609" t="s">
        <v>1001</v>
      </c>
      <c r="CY3609">
        <v>8.01</v>
      </c>
      <c r="CZ3609">
        <v>8.01</v>
      </c>
      <c r="DA3609">
        <v>5.32</v>
      </c>
      <c r="DB3609">
        <v>1.8</v>
      </c>
      <c r="DC3609">
        <v>1.22</v>
      </c>
      <c r="DD3609">
        <v>43.24</v>
      </c>
      <c r="DE3609" t="s">
        <v>7050</v>
      </c>
      <c r="DF3609">
        <v>70.930000000000007</v>
      </c>
      <c r="DG3609">
        <v>8.36</v>
      </c>
      <c r="DH3609">
        <v>6.79</v>
      </c>
      <c r="DI3609">
        <v>0.43</v>
      </c>
      <c r="DJ3609">
        <v>2365</v>
      </c>
      <c r="DK3609">
        <v>603518</v>
      </c>
      <c r="DL3609">
        <v>20210824</v>
      </c>
      <c r="DM3609">
        <v>15.08</v>
      </c>
      <c r="DN3609">
        <v>0.46</v>
      </c>
    </row>
    <row r="3610" spans="1:118">
      <c r="A3610" t="str">
        <f>"603519"</f>
        <v>603519</v>
      </c>
      <c r="B3610" t="s">
        <v>15137</v>
      </c>
      <c r="C3610">
        <v>0.77</v>
      </c>
      <c r="D3610">
        <v>0</v>
      </c>
      <c r="E3610">
        <v>1.01</v>
      </c>
      <c r="F3610">
        <v>112</v>
      </c>
      <c r="G3610" t="s">
        <v>6086</v>
      </c>
      <c r="H3610">
        <v>3083.98</v>
      </c>
      <c r="I3610">
        <v>23.47</v>
      </c>
      <c r="J3610" t="s">
        <v>120</v>
      </c>
      <c r="K3610" t="s">
        <v>15138</v>
      </c>
      <c r="L3610">
        <v>0.89</v>
      </c>
      <c r="M3610">
        <v>13.01</v>
      </c>
      <c r="N3610">
        <v>1.0900000000000001</v>
      </c>
      <c r="O3610">
        <v>2.17</v>
      </c>
      <c r="P3610">
        <v>13.19</v>
      </c>
      <c r="Q3610">
        <v>0.39</v>
      </c>
      <c r="R3610">
        <v>12.96</v>
      </c>
      <c r="S3610">
        <v>13.04</v>
      </c>
      <c r="T3610">
        <v>23633</v>
      </c>
      <c r="U3610">
        <v>13.01</v>
      </c>
      <c r="V3610">
        <v>12.91</v>
      </c>
      <c r="W3610">
        <v>33.31</v>
      </c>
      <c r="X3610" t="s">
        <v>205</v>
      </c>
      <c r="Y3610" t="s">
        <v>319</v>
      </c>
      <c r="Z3610">
        <v>1.78</v>
      </c>
      <c r="AA3610">
        <v>13.05</v>
      </c>
      <c r="AB3610">
        <v>12479</v>
      </c>
      <c r="AC3610">
        <v>11154</v>
      </c>
      <c r="AD3610">
        <v>1.1200000000000001</v>
      </c>
      <c r="AE3610">
        <v>106</v>
      </c>
      <c r="AF3610">
        <v>10</v>
      </c>
      <c r="AG3610" t="s">
        <v>120</v>
      </c>
      <c r="AH3610">
        <v>0.02</v>
      </c>
      <c r="AI3610" t="s">
        <v>120</v>
      </c>
      <c r="AJ3610">
        <v>2.66</v>
      </c>
      <c r="AK3610" t="s">
        <v>15138</v>
      </c>
      <c r="AL3610">
        <v>2.12</v>
      </c>
      <c r="AM3610">
        <v>877</v>
      </c>
      <c r="AN3610">
        <v>27</v>
      </c>
      <c r="AO3610">
        <v>1E-3</v>
      </c>
      <c r="AP3610">
        <v>2</v>
      </c>
      <c r="AQ3610">
        <v>0.16</v>
      </c>
      <c r="AR3610">
        <v>-1.1299999999999999</v>
      </c>
      <c r="AS3610">
        <v>-0.84</v>
      </c>
      <c r="AT3610">
        <v>-11.26</v>
      </c>
      <c r="AU3610">
        <v>18.989999999999998</v>
      </c>
      <c r="AV3610">
        <v>1</v>
      </c>
      <c r="AW3610">
        <v>2.09</v>
      </c>
      <c r="AX3610">
        <v>42.52</v>
      </c>
      <c r="AY3610">
        <v>35.880000000000003</v>
      </c>
      <c r="AZ3610">
        <v>35.950000000000003</v>
      </c>
      <c r="BA3610">
        <v>0.41</v>
      </c>
      <c r="BB3610" t="s">
        <v>143</v>
      </c>
      <c r="BF3610">
        <v>1.08</v>
      </c>
      <c r="BG3610">
        <v>-0.23</v>
      </c>
      <c r="BH3610">
        <v>-1.36</v>
      </c>
      <c r="BI3610">
        <v>0.39</v>
      </c>
      <c r="BJ3610">
        <v>20210825</v>
      </c>
      <c r="BK3610">
        <v>20150319</v>
      </c>
      <c r="BL3610">
        <v>2.66</v>
      </c>
      <c r="BM3610" t="s">
        <v>120</v>
      </c>
      <c r="BN3610" t="s">
        <v>120</v>
      </c>
      <c r="BO3610">
        <v>13.35</v>
      </c>
      <c r="BP3610">
        <v>13</v>
      </c>
      <c r="BQ3610">
        <v>7.68</v>
      </c>
      <c r="BR3610" t="s">
        <v>120</v>
      </c>
      <c r="BS3610">
        <v>42.42</v>
      </c>
      <c r="BT3610">
        <v>9.7799999999999994</v>
      </c>
      <c r="BU3610">
        <v>0.97</v>
      </c>
      <c r="BV3610">
        <v>0.19</v>
      </c>
      <c r="BW3610">
        <v>5.64</v>
      </c>
      <c r="BX3610">
        <v>1.45</v>
      </c>
      <c r="BY3610">
        <v>1.23</v>
      </c>
      <c r="BZ3610">
        <v>2.75</v>
      </c>
      <c r="CA3610" t="s">
        <v>120</v>
      </c>
      <c r="CB3610">
        <v>0.45</v>
      </c>
      <c r="CC3610">
        <v>7.45</v>
      </c>
      <c r="CD3610">
        <v>6.49</v>
      </c>
      <c r="CE3610">
        <v>0.59</v>
      </c>
      <c r="CF3610">
        <v>-0.02</v>
      </c>
      <c r="CG3610">
        <v>0.57999999999999996</v>
      </c>
      <c r="CH3610">
        <v>0.52</v>
      </c>
      <c r="CI3610">
        <v>0.52</v>
      </c>
      <c r="CJ3610">
        <v>0.1</v>
      </c>
      <c r="CK3610">
        <v>0.52</v>
      </c>
      <c r="CL3610">
        <v>3.77</v>
      </c>
      <c r="CM3610">
        <v>-0.11</v>
      </c>
      <c r="CN3610">
        <v>-0.89</v>
      </c>
      <c r="CO3610">
        <v>6654</v>
      </c>
      <c r="CP3610">
        <v>17019</v>
      </c>
      <c r="CQ3610" t="s">
        <v>15139</v>
      </c>
      <c r="CR3610">
        <v>0.36</v>
      </c>
      <c r="CS3610">
        <v>45.29</v>
      </c>
      <c r="CT3610">
        <v>4.51</v>
      </c>
      <c r="CU3610">
        <v>-307.02</v>
      </c>
      <c r="CV3610">
        <v>4.6500000000000004</v>
      </c>
      <c r="CW3610">
        <v>1.29</v>
      </c>
      <c r="CX3610" t="s">
        <v>492</v>
      </c>
      <c r="CY3610">
        <v>2.89</v>
      </c>
      <c r="CZ3610">
        <v>0</v>
      </c>
      <c r="DA3610">
        <v>0.17</v>
      </c>
      <c r="DB3610">
        <v>1.42</v>
      </c>
      <c r="DC3610">
        <v>-0.04</v>
      </c>
      <c r="DD3610">
        <v>57.58</v>
      </c>
      <c r="DE3610" t="s">
        <v>5015</v>
      </c>
      <c r="DF3610">
        <v>12.93</v>
      </c>
      <c r="DG3610">
        <v>7.88</v>
      </c>
      <c r="DH3610">
        <v>6.98</v>
      </c>
      <c r="DI3610">
        <v>0.22</v>
      </c>
      <c r="DJ3610">
        <v>310</v>
      </c>
      <c r="DK3610">
        <v>603519</v>
      </c>
      <c r="DL3610" t="s">
        <v>120</v>
      </c>
      <c r="DM3610" t="s">
        <v>120</v>
      </c>
      <c r="DN3610" t="s">
        <v>120</v>
      </c>
    </row>
    <row r="3611" spans="1:118">
      <c r="A3611" t="str">
        <f>"603520"</f>
        <v>603520</v>
      </c>
      <c r="B3611" t="s">
        <v>15140</v>
      </c>
      <c r="C3611">
        <v>-0.89</v>
      </c>
      <c r="D3611">
        <v>0</v>
      </c>
      <c r="E3611">
        <v>-1.89</v>
      </c>
      <c r="F3611">
        <v>711</v>
      </c>
      <c r="G3611" t="s">
        <v>3409</v>
      </c>
      <c r="H3611">
        <v>27886.26</v>
      </c>
      <c r="I3611">
        <v>180.31</v>
      </c>
      <c r="J3611" t="s">
        <v>120</v>
      </c>
      <c r="K3611" t="s">
        <v>15141</v>
      </c>
      <c r="L3611">
        <v>2.19</v>
      </c>
      <c r="M3611">
        <v>52.53</v>
      </c>
      <c r="N3611">
        <v>0.69</v>
      </c>
      <c r="O3611">
        <v>0.66</v>
      </c>
      <c r="P3611">
        <v>53.35</v>
      </c>
      <c r="Q3611">
        <v>-3.77</v>
      </c>
      <c r="R3611">
        <v>51</v>
      </c>
      <c r="S3611">
        <v>52</v>
      </c>
      <c r="T3611">
        <v>53443</v>
      </c>
      <c r="U3611">
        <v>52.55</v>
      </c>
      <c r="V3611">
        <v>53</v>
      </c>
      <c r="W3611">
        <v>41.32</v>
      </c>
      <c r="X3611" t="s">
        <v>569</v>
      </c>
      <c r="Y3611" t="s">
        <v>585</v>
      </c>
      <c r="Z3611">
        <v>4.43</v>
      </c>
      <c r="AA3611">
        <v>52.18</v>
      </c>
      <c r="AB3611">
        <v>28193</v>
      </c>
      <c r="AC3611">
        <v>25250</v>
      </c>
      <c r="AD3611">
        <v>1.1200000000000001</v>
      </c>
      <c r="AE3611">
        <v>63</v>
      </c>
      <c r="AF3611">
        <v>5</v>
      </c>
      <c r="AG3611" t="s">
        <v>120</v>
      </c>
      <c r="AH3611">
        <v>0.02</v>
      </c>
      <c r="AI3611" t="s">
        <v>120</v>
      </c>
      <c r="AJ3611">
        <v>2.44</v>
      </c>
      <c r="AK3611" t="s">
        <v>9007</v>
      </c>
      <c r="AL3611">
        <v>0.46</v>
      </c>
      <c r="AM3611">
        <v>3668</v>
      </c>
      <c r="AN3611">
        <v>15</v>
      </c>
      <c r="AO3611">
        <v>5.9999999999999995E-4</v>
      </c>
      <c r="AP3611">
        <v>-1</v>
      </c>
      <c r="AQ3611">
        <v>6.43</v>
      </c>
      <c r="AR3611">
        <v>4.51</v>
      </c>
      <c r="AS3611">
        <v>22.11</v>
      </c>
      <c r="AT3611">
        <v>-21.44</v>
      </c>
      <c r="AU3611">
        <v>-19.59</v>
      </c>
      <c r="AV3611">
        <v>2</v>
      </c>
      <c r="AW3611">
        <v>3.79</v>
      </c>
      <c r="AX3611">
        <v>57.6</v>
      </c>
      <c r="AY3611">
        <v>50.96</v>
      </c>
      <c r="AZ3611">
        <v>54.36</v>
      </c>
      <c r="BA3611">
        <v>1.49</v>
      </c>
      <c r="BB3611" t="s">
        <v>184</v>
      </c>
      <c r="BF3611">
        <v>-1.55</v>
      </c>
      <c r="BG3611">
        <v>1.02</v>
      </c>
      <c r="BH3611">
        <v>-1.54</v>
      </c>
      <c r="BI3611">
        <v>3</v>
      </c>
      <c r="BJ3611">
        <v>20210909</v>
      </c>
      <c r="BK3611">
        <v>20160309</v>
      </c>
      <c r="BL3611">
        <v>2.4500000000000002</v>
      </c>
      <c r="BM3611" t="s">
        <v>120</v>
      </c>
      <c r="BN3611" t="s">
        <v>120</v>
      </c>
      <c r="BO3611">
        <v>43.5</v>
      </c>
      <c r="BP3611">
        <v>52.53</v>
      </c>
      <c r="BQ3611">
        <v>20.05</v>
      </c>
      <c r="BR3611">
        <v>0.06</v>
      </c>
      <c r="BS3611">
        <v>53.79</v>
      </c>
      <c r="BT3611">
        <v>18.149999999999999</v>
      </c>
      <c r="BU3611">
        <v>14.04</v>
      </c>
      <c r="BV3611">
        <v>1.93</v>
      </c>
      <c r="BW3611">
        <v>14.3</v>
      </c>
      <c r="BX3611">
        <v>5.56</v>
      </c>
      <c r="BY3611">
        <v>4.91</v>
      </c>
      <c r="BZ3611">
        <v>4.0599999999999996</v>
      </c>
      <c r="CA3611" t="s">
        <v>120</v>
      </c>
      <c r="CB3611">
        <v>11.27</v>
      </c>
      <c r="CC3611">
        <v>8.5500000000000007</v>
      </c>
      <c r="CD3611">
        <v>4.9000000000000004</v>
      </c>
      <c r="CE3611">
        <v>2.02</v>
      </c>
      <c r="CF3611">
        <v>0.03</v>
      </c>
      <c r="CG3611">
        <v>1.98</v>
      </c>
      <c r="CH3611">
        <v>1.53</v>
      </c>
      <c r="CI3611">
        <v>1.56</v>
      </c>
      <c r="CJ3611">
        <v>-0.47</v>
      </c>
      <c r="CK3611">
        <v>1.64</v>
      </c>
      <c r="CL3611">
        <v>5.6</v>
      </c>
      <c r="CM3611">
        <v>1.5</v>
      </c>
      <c r="CN3611">
        <v>-2.94</v>
      </c>
      <c r="CO3611">
        <v>18153</v>
      </c>
      <c r="CP3611">
        <v>7770</v>
      </c>
      <c r="CQ3611" t="s">
        <v>15142</v>
      </c>
      <c r="CR3611">
        <v>11.43</v>
      </c>
      <c r="CS3611">
        <v>18.43</v>
      </c>
      <c r="CT3611">
        <v>6.42</v>
      </c>
      <c r="CU3611">
        <v>85.99</v>
      </c>
      <c r="CV3611">
        <v>15.04</v>
      </c>
      <c r="CW3611">
        <v>0.94</v>
      </c>
      <c r="CX3611" t="s">
        <v>2039</v>
      </c>
      <c r="CY3611">
        <v>8.19</v>
      </c>
      <c r="CZ3611">
        <v>0</v>
      </c>
      <c r="DA3611">
        <v>4.5999999999999996</v>
      </c>
      <c r="DB3611">
        <v>2.29</v>
      </c>
      <c r="DC3611">
        <v>0.61</v>
      </c>
      <c r="DD3611">
        <v>46.09</v>
      </c>
      <c r="DE3611" t="s">
        <v>15143</v>
      </c>
      <c r="DF3611">
        <v>42.75</v>
      </c>
      <c r="DG3611">
        <v>23.58</v>
      </c>
      <c r="DH3611">
        <v>18.2</v>
      </c>
      <c r="DI3611">
        <v>0.53</v>
      </c>
      <c r="DJ3611">
        <v>1729</v>
      </c>
      <c r="DK3611">
        <v>603520</v>
      </c>
      <c r="DL3611" t="s">
        <v>120</v>
      </c>
      <c r="DM3611" t="s">
        <v>120</v>
      </c>
      <c r="DN3611" t="s">
        <v>120</v>
      </c>
    </row>
    <row r="3612" spans="1:118">
      <c r="A3612" t="str">
        <f>"603527"</f>
        <v>603527</v>
      </c>
      <c r="B3612" t="s">
        <v>15144</v>
      </c>
      <c r="C3612">
        <v>-4.05</v>
      </c>
      <c r="D3612">
        <v>0.1</v>
      </c>
      <c r="E3612">
        <v>0</v>
      </c>
      <c r="F3612">
        <v>602</v>
      </c>
      <c r="G3612" t="s">
        <v>9489</v>
      </c>
      <c r="H3612">
        <v>7188</v>
      </c>
      <c r="I3612">
        <v>28.36</v>
      </c>
      <c r="J3612" t="s">
        <v>120</v>
      </c>
      <c r="K3612" t="s">
        <v>1711</v>
      </c>
      <c r="L3612">
        <v>2.84</v>
      </c>
      <c r="M3612">
        <v>10.19</v>
      </c>
      <c r="N3612">
        <v>0.92</v>
      </c>
      <c r="O3612">
        <v>0.94</v>
      </c>
      <c r="P3612">
        <v>10.72</v>
      </c>
      <c r="Q3612">
        <v>-4.71</v>
      </c>
      <c r="R3612">
        <v>10.119999999999999</v>
      </c>
      <c r="S3612">
        <v>10.62</v>
      </c>
      <c r="T3612">
        <v>69332</v>
      </c>
      <c r="U3612">
        <v>10.19</v>
      </c>
      <c r="V3612">
        <v>10.62</v>
      </c>
      <c r="W3612">
        <v>20.74</v>
      </c>
      <c r="X3612" t="s">
        <v>1398</v>
      </c>
      <c r="Y3612" t="s">
        <v>570</v>
      </c>
      <c r="Z3612">
        <v>5.65</v>
      </c>
      <c r="AA3612">
        <v>10.37</v>
      </c>
      <c r="AB3612">
        <v>41447</v>
      </c>
      <c r="AC3612">
        <v>27885</v>
      </c>
      <c r="AD3612">
        <v>1.49</v>
      </c>
      <c r="AE3612">
        <v>57</v>
      </c>
      <c r="AF3612">
        <v>276</v>
      </c>
      <c r="AG3612" t="s">
        <v>120</v>
      </c>
      <c r="AH3612">
        <v>0.03</v>
      </c>
      <c r="AI3612" t="s">
        <v>120</v>
      </c>
      <c r="AJ3612">
        <v>2.44</v>
      </c>
      <c r="AK3612" t="s">
        <v>1711</v>
      </c>
      <c r="AL3612">
        <v>-2.71</v>
      </c>
      <c r="AM3612">
        <v>3132</v>
      </c>
      <c r="AN3612">
        <v>22</v>
      </c>
      <c r="AO3612">
        <v>8.9999999999999998E-4</v>
      </c>
      <c r="AP3612">
        <v>-1</v>
      </c>
      <c r="AQ3612">
        <v>6.41</v>
      </c>
      <c r="AR3612">
        <v>-3.23</v>
      </c>
      <c r="AS3612">
        <v>6.7</v>
      </c>
      <c r="AT3612">
        <v>32.51</v>
      </c>
      <c r="AU3612">
        <v>28.82</v>
      </c>
      <c r="AV3612">
        <v>3</v>
      </c>
      <c r="AW3612">
        <v>6.51</v>
      </c>
      <c r="AX3612">
        <v>43.67</v>
      </c>
      <c r="AY3612">
        <v>28.07</v>
      </c>
      <c r="AZ3612">
        <v>41.3</v>
      </c>
      <c r="BA3612">
        <v>0.55000000000000004</v>
      </c>
      <c r="BB3612" t="s">
        <v>168</v>
      </c>
      <c r="BF3612">
        <v>-2.38</v>
      </c>
      <c r="BG3612">
        <v>-4.05</v>
      </c>
      <c r="BH3612">
        <v>-4.9400000000000004</v>
      </c>
      <c r="BI3612">
        <v>0.69</v>
      </c>
      <c r="BJ3612">
        <v>20210816</v>
      </c>
      <c r="BK3612">
        <v>20170907</v>
      </c>
      <c r="BL3612">
        <v>2.44</v>
      </c>
      <c r="BM3612" t="s">
        <v>120</v>
      </c>
      <c r="BN3612" t="s">
        <v>120</v>
      </c>
      <c r="BO3612">
        <v>17.100000000000001</v>
      </c>
      <c r="BP3612">
        <v>10.18</v>
      </c>
      <c r="BQ3612">
        <v>9.7799999999999994</v>
      </c>
      <c r="BR3612">
        <v>0.05</v>
      </c>
      <c r="BS3612">
        <v>42.5</v>
      </c>
      <c r="BT3612">
        <v>13.3</v>
      </c>
      <c r="BU3612">
        <v>2.62</v>
      </c>
      <c r="BV3612">
        <v>0.4</v>
      </c>
      <c r="BW3612">
        <v>7.08</v>
      </c>
      <c r="BX3612">
        <v>1.26</v>
      </c>
      <c r="BY3612">
        <v>4.22</v>
      </c>
      <c r="BZ3612">
        <v>5.71</v>
      </c>
      <c r="CA3612" t="s">
        <v>120</v>
      </c>
      <c r="CB3612">
        <v>2.98</v>
      </c>
      <c r="CC3612">
        <v>30.97</v>
      </c>
      <c r="CD3612">
        <v>29.55</v>
      </c>
      <c r="CE3612">
        <v>0.71</v>
      </c>
      <c r="CF3612">
        <v>-0.01</v>
      </c>
      <c r="CG3612">
        <v>0.71</v>
      </c>
      <c r="CH3612">
        <v>0.6</v>
      </c>
      <c r="CI3612">
        <v>0.6</v>
      </c>
      <c r="CJ3612">
        <v>-0.43</v>
      </c>
      <c r="CK3612">
        <v>0.56999999999999995</v>
      </c>
      <c r="CL3612">
        <v>3.63</v>
      </c>
      <c r="CM3612">
        <v>-1.17</v>
      </c>
      <c r="CN3612">
        <v>0.15</v>
      </c>
      <c r="CO3612">
        <v>13865</v>
      </c>
      <c r="CP3612">
        <v>7680</v>
      </c>
      <c r="CQ3612" t="s">
        <v>972</v>
      </c>
      <c r="CR3612">
        <v>97.51</v>
      </c>
      <c r="CS3612">
        <v>100.47</v>
      </c>
      <c r="CT3612">
        <v>2.54</v>
      </c>
      <c r="CU3612">
        <v>-21.24</v>
      </c>
      <c r="CV3612">
        <v>0.8</v>
      </c>
      <c r="CW3612">
        <v>1.1299999999999999</v>
      </c>
      <c r="CX3612" t="s">
        <v>863</v>
      </c>
      <c r="CY3612">
        <v>4.01</v>
      </c>
      <c r="CZ3612">
        <v>0</v>
      </c>
      <c r="DA3612">
        <v>1.22</v>
      </c>
      <c r="DB3612">
        <v>1.49</v>
      </c>
      <c r="DC3612">
        <v>-0.48</v>
      </c>
      <c r="DD3612">
        <v>57.23</v>
      </c>
      <c r="DE3612" t="s">
        <v>1386</v>
      </c>
      <c r="DF3612">
        <v>4.59</v>
      </c>
      <c r="DG3612">
        <v>2.29</v>
      </c>
      <c r="DH3612">
        <v>1.93</v>
      </c>
      <c r="DI3612">
        <v>0.28999999999999998</v>
      </c>
      <c r="DJ3612">
        <v>700</v>
      </c>
      <c r="DK3612">
        <v>603527</v>
      </c>
      <c r="DL3612" t="s">
        <v>120</v>
      </c>
      <c r="DM3612" t="s">
        <v>120</v>
      </c>
      <c r="DN3612" t="s">
        <v>120</v>
      </c>
    </row>
    <row r="3613" spans="1:118">
      <c r="A3613" t="str">
        <f>"603528"</f>
        <v>603528</v>
      </c>
      <c r="B3613" t="s">
        <v>15145</v>
      </c>
      <c r="C3613">
        <v>-1.72</v>
      </c>
      <c r="D3613">
        <v>0</v>
      </c>
      <c r="E3613">
        <v>0</v>
      </c>
      <c r="F3613">
        <v>518</v>
      </c>
      <c r="G3613" t="s">
        <v>1932</v>
      </c>
      <c r="H3613">
        <v>3357.98</v>
      </c>
      <c r="I3613">
        <v>28.05</v>
      </c>
      <c r="J3613" t="s">
        <v>120</v>
      </c>
      <c r="K3613" t="s">
        <v>12279</v>
      </c>
      <c r="L3613">
        <v>0.72</v>
      </c>
      <c r="M3613">
        <v>7.43</v>
      </c>
      <c r="N3613">
        <v>0.93</v>
      </c>
      <c r="O3613">
        <v>0.79</v>
      </c>
      <c r="P3613">
        <v>7.62</v>
      </c>
      <c r="Q3613">
        <v>-1.98</v>
      </c>
      <c r="R3613">
        <v>7.41</v>
      </c>
      <c r="S3613">
        <v>7.56</v>
      </c>
      <c r="T3613">
        <v>44645</v>
      </c>
      <c r="U3613">
        <v>7.44</v>
      </c>
      <c r="V3613">
        <v>7.56</v>
      </c>
      <c r="W3613">
        <v>77.89</v>
      </c>
      <c r="X3613" t="s">
        <v>141</v>
      </c>
      <c r="Y3613" t="s">
        <v>319</v>
      </c>
      <c r="Z3613">
        <v>2.78</v>
      </c>
      <c r="AA3613">
        <v>7.52</v>
      </c>
      <c r="AB3613">
        <v>27889</v>
      </c>
      <c r="AC3613">
        <v>16756</v>
      </c>
      <c r="AD3613">
        <v>1.66</v>
      </c>
      <c r="AE3613">
        <v>225</v>
      </c>
      <c r="AF3613">
        <v>4806</v>
      </c>
      <c r="AG3613" t="s">
        <v>120</v>
      </c>
      <c r="AH3613">
        <v>0.02</v>
      </c>
      <c r="AI3613" t="s">
        <v>120</v>
      </c>
      <c r="AJ3613">
        <v>6.24</v>
      </c>
      <c r="AK3613" t="s">
        <v>11383</v>
      </c>
      <c r="AL3613">
        <v>-0.38</v>
      </c>
      <c r="AM3613">
        <v>1415</v>
      </c>
      <c r="AN3613">
        <v>32</v>
      </c>
      <c r="AO3613">
        <v>5.0000000000000001E-4</v>
      </c>
      <c r="AP3613">
        <v>-3</v>
      </c>
      <c r="AQ3613">
        <v>-0.79</v>
      </c>
      <c r="AR3613">
        <v>-3.88</v>
      </c>
      <c r="AS3613">
        <v>-8.84</v>
      </c>
      <c r="AT3613">
        <v>-14.69</v>
      </c>
      <c r="AU3613">
        <v>-17.809999999999999</v>
      </c>
      <c r="AV3613">
        <v>2</v>
      </c>
      <c r="AW3613">
        <v>2.19</v>
      </c>
      <c r="AX3613">
        <v>32.61</v>
      </c>
      <c r="AY3613">
        <v>50.6</v>
      </c>
      <c r="AZ3613">
        <v>59.55</v>
      </c>
      <c r="BA3613">
        <v>1.1000000000000001</v>
      </c>
      <c r="BB3613" t="s">
        <v>134</v>
      </c>
      <c r="BF3613">
        <v>-0.51</v>
      </c>
      <c r="BG3613">
        <v>-1.72</v>
      </c>
      <c r="BH3613">
        <v>-2.4900000000000002</v>
      </c>
      <c r="BI3613">
        <v>0.27</v>
      </c>
      <c r="BJ3613">
        <v>20210901</v>
      </c>
      <c r="BK3613">
        <v>20160503</v>
      </c>
      <c r="BL3613">
        <v>6.27</v>
      </c>
      <c r="BM3613" t="s">
        <v>120</v>
      </c>
      <c r="BN3613" t="s">
        <v>120</v>
      </c>
      <c r="BO3613">
        <v>30.95</v>
      </c>
      <c r="BP3613">
        <v>7.43</v>
      </c>
      <c r="BQ3613">
        <v>17.809999999999999</v>
      </c>
      <c r="BR3613">
        <v>1.1299999999999999</v>
      </c>
      <c r="BS3613">
        <v>38.82</v>
      </c>
      <c r="BT3613">
        <v>18.62</v>
      </c>
      <c r="BU3613">
        <v>3.84</v>
      </c>
      <c r="BV3613">
        <v>1.1499999999999999</v>
      </c>
      <c r="BW3613">
        <v>5.03</v>
      </c>
      <c r="BX3613">
        <v>6.28</v>
      </c>
      <c r="BY3613">
        <v>2.61</v>
      </c>
      <c r="BZ3613">
        <v>4.3</v>
      </c>
      <c r="CA3613" t="s">
        <v>120</v>
      </c>
      <c r="CB3613">
        <v>2.08</v>
      </c>
      <c r="CC3613">
        <v>4.4000000000000004</v>
      </c>
      <c r="CD3613">
        <v>2.5</v>
      </c>
      <c r="CE3613">
        <v>0.41</v>
      </c>
      <c r="CF3613">
        <v>-0.01</v>
      </c>
      <c r="CG3613">
        <v>0.42</v>
      </c>
      <c r="CH3613">
        <v>0.36</v>
      </c>
      <c r="CI3613">
        <v>0.3</v>
      </c>
      <c r="CJ3613">
        <v>-0.13</v>
      </c>
      <c r="CK3613">
        <v>0.18</v>
      </c>
      <c r="CL3613">
        <v>6.68</v>
      </c>
      <c r="CM3613">
        <v>0.3</v>
      </c>
      <c r="CN3613">
        <v>-4.09</v>
      </c>
      <c r="CO3613">
        <v>28496</v>
      </c>
      <c r="CP3613">
        <v>7169</v>
      </c>
      <c r="CQ3613" t="s">
        <v>5037</v>
      </c>
      <c r="CR3613">
        <v>88.94</v>
      </c>
      <c r="CS3613">
        <v>113.83</v>
      </c>
      <c r="CT3613">
        <v>2.82</v>
      </c>
      <c r="CU3613">
        <v>156.62</v>
      </c>
      <c r="CV3613">
        <v>10.58</v>
      </c>
      <c r="CW3613">
        <v>0.53</v>
      </c>
      <c r="CX3613" t="s">
        <v>1248</v>
      </c>
      <c r="CY3613">
        <v>2.63</v>
      </c>
      <c r="CZ3613">
        <v>2.63</v>
      </c>
      <c r="DA3613">
        <v>0.33</v>
      </c>
      <c r="DB3613">
        <v>1.07</v>
      </c>
      <c r="DC3613">
        <v>0.05</v>
      </c>
      <c r="DD3613">
        <v>57.54</v>
      </c>
      <c r="DE3613" t="s">
        <v>1249</v>
      </c>
      <c r="DF3613">
        <v>43.1</v>
      </c>
      <c r="DG3613">
        <v>9.4</v>
      </c>
      <c r="DH3613">
        <v>6.79</v>
      </c>
      <c r="DI3613">
        <v>0.28000000000000003</v>
      </c>
      <c r="DJ3613">
        <v>1614</v>
      </c>
      <c r="DK3613">
        <v>603528</v>
      </c>
      <c r="DL3613" t="s">
        <v>120</v>
      </c>
      <c r="DM3613" t="s">
        <v>120</v>
      </c>
      <c r="DN3613" t="s">
        <v>120</v>
      </c>
    </row>
    <row r="3614" spans="1:118">
      <c r="A3614" t="str">
        <f>"603529"</f>
        <v>603529</v>
      </c>
      <c r="B3614" t="s">
        <v>15146</v>
      </c>
      <c r="C3614">
        <v>-3.2</v>
      </c>
      <c r="D3614">
        <v>-0.04</v>
      </c>
      <c r="E3614">
        <v>-0.88</v>
      </c>
      <c r="F3614">
        <v>728</v>
      </c>
      <c r="G3614" t="s">
        <v>9424</v>
      </c>
      <c r="H3614">
        <v>10764.24</v>
      </c>
      <c r="I3614">
        <v>85.51</v>
      </c>
      <c r="J3614" t="s">
        <v>120</v>
      </c>
      <c r="K3614" t="s">
        <v>9424</v>
      </c>
      <c r="L3614">
        <v>4.0199999999999996</v>
      </c>
      <c r="M3614">
        <v>40.54</v>
      </c>
      <c r="N3614">
        <v>1.02</v>
      </c>
      <c r="O3614">
        <v>-0.1</v>
      </c>
      <c r="P3614">
        <v>41.84</v>
      </c>
      <c r="Q3614">
        <v>-3.2</v>
      </c>
      <c r="R3614">
        <v>40.54</v>
      </c>
      <c r="S3614">
        <v>41.51</v>
      </c>
      <c r="T3614">
        <v>26158</v>
      </c>
      <c r="U3614">
        <v>40.54</v>
      </c>
      <c r="V3614">
        <v>41.88</v>
      </c>
      <c r="W3614">
        <v>26.07</v>
      </c>
      <c r="X3614" t="s">
        <v>2427</v>
      </c>
      <c r="Y3614" t="s">
        <v>997</v>
      </c>
      <c r="Z3614">
        <v>3.1</v>
      </c>
      <c r="AA3614">
        <v>41.15</v>
      </c>
      <c r="AB3614">
        <v>16755</v>
      </c>
      <c r="AC3614">
        <v>9403</v>
      </c>
      <c r="AD3614">
        <v>1.78</v>
      </c>
      <c r="AE3614">
        <v>31</v>
      </c>
      <c r="AF3614">
        <v>156</v>
      </c>
      <c r="AG3614" t="s">
        <v>120</v>
      </c>
      <c r="AH3614">
        <v>0.03</v>
      </c>
      <c r="AI3614" t="s">
        <v>120</v>
      </c>
      <c r="AJ3614">
        <v>0.65</v>
      </c>
      <c r="AK3614" t="s">
        <v>15147</v>
      </c>
      <c r="AL3614">
        <v>-1.86</v>
      </c>
      <c r="AM3614">
        <v>2279</v>
      </c>
      <c r="AN3614">
        <v>11</v>
      </c>
      <c r="AO3614">
        <v>1.8E-3</v>
      </c>
      <c r="AP3614">
        <v>-1</v>
      </c>
      <c r="AQ3614">
        <v>2.5</v>
      </c>
      <c r="AR3614">
        <v>0.02</v>
      </c>
      <c r="AS3614">
        <v>-8.9600000000000009</v>
      </c>
      <c r="AT3614">
        <v>-48.13</v>
      </c>
      <c r="AU3614">
        <v>45.51</v>
      </c>
      <c r="AV3614">
        <v>1</v>
      </c>
      <c r="AW3614">
        <v>4.0199999999999996</v>
      </c>
      <c r="AX3614">
        <v>16.100000000000001</v>
      </c>
      <c r="AY3614">
        <v>29.28</v>
      </c>
      <c r="AZ3614">
        <v>28.24</v>
      </c>
      <c r="BA3614">
        <v>1.08</v>
      </c>
      <c r="BB3614" t="s">
        <v>143</v>
      </c>
      <c r="BF3614">
        <v>-1.74</v>
      </c>
      <c r="BG3614">
        <v>-2.34</v>
      </c>
      <c r="BH3614">
        <v>-3.11</v>
      </c>
      <c r="BI3614">
        <v>0</v>
      </c>
      <c r="BJ3614">
        <v>20210828</v>
      </c>
      <c r="BK3614">
        <v>20210615</v>
      </c>
      <c r="BL3614">
        <v>4.04</v>
      </c>
      <c r="BM3614" t="s">
        <v>120</v>
      </c>
      <c r="BN3614" t="s">
        <v>120</v>
      </c>
      <c r="BO3614">
        <v>119.65</v>
      </c>
      <c r="BP3614">
        <v>40.53</v>
      </c>
      <c r="BQ3614">
        <v>46.25</v>
      </c>
      <c r="BR3614">
        <v>0.05</v>
      </c>
      <c r="BS3614">
        <v>61.31</v>
      </c>
      <c r="BT3614">
        <v>56.95</v>
      </c>
      <c r="BU3614">
        <v>17.010000000000002</v>
      </c>
      <c r="BV3614">
        <v>3.06</v>
      </c>
      <c r="BW3614">
        <v>72.13</v>
      </c>
      <c r="BX3614">
        <v>28.2</v>
      </c>
      <c r="BY3614">
        <v>7.22</v>
      </c>
      <c r="BZ3614">
        <v>3.73</v>
      </c>
      <c r="CA3614">
        <v>0.08</v>
      </c>
      <c r="CB3614">
        <v>19.350000000000001</v>
      </c>
      <c r="CC3614">
        <v>73.12</v>
      </c>
      <c r="CD3614">
        <v>64.8</v>
      </c>
      <c r="CE3614">
        <v>3.83</v>
      </c>
      <c r="CF3614">
        <v>0.06</v>
      </c>
      <c r="CG3614">
        <v>3.9</v>
      </c>
      <c r="CH3614">
        <v>3.14</v>
      </c>
      <c r="CI3614">
        <v>3.14</v>
      </c>
      <c r="CJ3614">
        <v>-1.34</v>
      </c>
      <c r="CK3614">
        <v>3</v>
      </c>
      <c r="CL3614">
        <v>20.95</v>
      </c>
      <c r="CM3614">
        <v>5.68</v>
      </c>
      <c r="CN3614">
        <v>17.2</v>
      </c>
      <c r="CO3614">
        <v>61007</v>
      </c>
      <c r="CP3614">
        <v>1065</v>
      </c>
      <c r="CQ3614" t="s">
        <v>1796</v>
      </c>
      <c r="CR3614">
        <v>0</v>
      </c>
      <c r="CS3614">
        <v>0</v>
      </c>
      <c r="CT3614">
        <v>3.54</v>
      </c>
      <c r="CU3614">
        <v>28.79</v>
      </c>
      <c r="CV3614">
        <v>2.2400000000000002</v>
      </c>
      <c r="CW3614">
        <v>0</v>
      </c>
      <c r="CX3614" t="s">
        <v>2877</v>
      </c>
      <c r="CY3614">
        <v>11.46</v>
      </c>
      <c r="CZ3614">
        <v>0</v>
      </c>
      <c r="DA3614">
        <v>4.79</v>
      </c>
      <c r="DB3614">
        <v>5.19</v>
      </c>
      <c r="DC3614">
        <v>1.41</v>
      </c>
      <c r="DD3614">
        <v>38.65</v>
      </c>
      <c r="DE3614" t="s">
        <v>3051</v>
      </c>
      <c r="DF3614">
        <v>11.37</v>
      </c>
      <c r="DG3614">
        <v>5.23</v>
      </c>
      <c r="DH3614">
        <v>4.29</v>
      </c>
      <c r="DI3614">
        <v>1.42</v>
      </c>
      <c r="DJ3614">
        <v>6554</v>
      </c>
      <c r="DK3614">
        <v>603529</v>
      </c>
      <c r="DL3614" t="s">
        <v>120</v>
      </c>
      <c r="DM3614" t="s">
        <v>120</v>
      </c>
      <c r="DN3614" t="s">
        <v>120</v>
      </c>
    </row>
    <row r="3615" spans="1:118">
      <c r="A3615" t="str">
        <f>"603530"</f>
        <v>603530</v>
      </c>
      <c r="B3615" t="s">
        <v>15148</v>
      </c>
      <c r="C3615">
        <v>-2.08</v>
      </c>
      <c r="D3615">
        <v>-0.1</v>
      </c>
      <c r="E3615">
        <v>-1.17</v>
      </c>
      <c r="F3615">
        <v>778</v>
      </c>
      <c r="G3615" t="s">
        <v>15149</v>
      </c>
      <c r="H3615">
        <v>7603.04</v>
      </c>
      <c r="I3615">
        <v>93.39</v>
      </c>
      <c r="J3615" t="s">
        <v>120</v>
      </c>
      <c r="K3615" t="s">
        <v>15149</v>
      </c>
      <c r="L3615">
        <v>10.199999999999999</v>
      </c>
      <c r="M3615">
        <v>18.36</v>
      </c>
      <c r="N3615">
        <v>0.73</v>
      </c>
      <c r="O3615">
        <v>3.47</v>
      </c>
      <c r="P3615">
        <v>19.399999999999999</v>
      </c>
      <c r="Q3615">
        <v>-3.41</v>
      </c>
      <c r="R3615">
        <v>18.11</v>
      </c>
      <c r="S3615">
        <v>18.53</v>
      </c>
      <c r="T3615">
        <v>40865</v>
      </c>
      <c r="U3615">
        <v>18.36</v>
      </c>
      <c r="V3615">
        <v>18.75</v>
      </c>
      <c r="W3615">
        <v>91.45</v>
      </c>
      <c r="X3615" t="s">
        <v>394</v>
      </c>
      <c r="Y3615" t="s">
        <v>319</v>
      </c>
      <c r="Z3615">
        <v>6.88</v>
      </c>
      <c r="AA3615">
        <v>18.61</v>
      </c>
      <c r="AB3615">
        <v>23363</v>
      </c>
      <c r="AC3615">
        <v>17502</v>
      </c>
      <c r="AD3615">
        <v>1.33</v>
      </c>
      <c r="AE3615">
        <v>54</v>
      </c>
      <c r="AF3615">
        <v>67</v>
      </c>
      <c r="AG3615" t="s">
        <v>120</v>
      </c>
      <c r="AH3615">
        <v>0.13</v>
      </c>
      <c r="AI3615" t="s">
        <v>120</v>
      </c>
      <c r="AJ3615">
        <v>0.4</v>
      </c>
      <c r="AK3615" t="s">
        <v>15150</v>
      </c>
      <c r="AL3615">
        <v>-0.74</v>
      </c>
      <c r="AM3615">
        <v>2288</v>
      </c>
      <c r="AN3615">
        <v>18</v>
      </c>
      <c r="AO3615">
        <v>4.4999999999999997E-3</v>
      </c>
      <c r="AP3615">
        <v>-1</v>
      </c>
      <c r="AQ3615">
        <v>2.97</v>
      </c>
      <c r="AR3615">
        <v>-5.1100000000000003</v>
      </c>
      <c r="AS3615">
        <v>12.77</v>
      </c>
      <c r="AT3615">
        <v>2.29</v>
      </c>
      <c r="AU3615">
        <v>-19.47</v>
      </c>
      <c r="AV3615">
        <v>4</v>
      </c>
      <c r="AW3615">
        <v>10.199999999999999</v>
      </c>
      <c r="AX3615">
        <v>9.26</v>
      </c>
      <c r="AY3615">
        <v>69.19</v>
      </c>
      <c r="AZ3615">
        <v>62.01</v>
      </c>
      <c r="BA3615">
        <v>1.04</v>
      </c>
      <c r="BB3615" t="s">
        <v>125</v>
      </c>
      <c r="BF3615">
        <v>-0.77</v>
      </c>
      <c r="BG3615">
        <v>-0.92</v>
      </c>
      <c r="BH3615">
        <v>-5.36</v>
      </c>
      <c r="BI3615">
        <v>1.38</v>
      </c>
      <c r="BJ3615">
        <v>20210826</v>
      </c>
      <c r="BK3615">
        <v>20190805</v>
      </c>
      <c r="BL3615">
        <v>4.32</v>
      </c>
      <c r="BM3615" t="s">
        <v>120</v>
      </c>
      <c r="BN3615" t="s">
        <v>120</v>
      </c>
      <c r="BO3615">
        <v>13.93</v>
      </c>
      <c r="BP3615">
        <v>18.350000000000001</v>
      </c>
      <c r="BQ3615">
        <v>11.09</v>
      </c>
      <c r="BR3615" t="s">
        <v>120</v>
      </c>
      <c r="BS3615">
        <v>20.350000000000001</v>
      </c>
      <c r="BT3615">
        <v>7.97</v>
      </c>
      <c r="BU3615">
        <v>3.54</v>
      </c>
      <c r="BV3615">
        <v>1.31</v>
      </c>
      <c r="BW3615">
        <v>2.2200000000000002</v>
      </c>
      <c r="BX3615">
        <v>2.46</v>
      </c>
      <c r="BY3615">
        <v>1.1499999999999999</v>
      </c>
      <c r="BZ3615">
        <v>3.34</v>
      </c>
      <c r="CA3615" t="s">
        <v>120</v>
      </c>
      <c r="CB3615">
        <v>1.66</v>
      </c>
      <c r="CC3615">
        <v>3.3</v>
      </c>
      <c r="CD3615">
        <v>1.97</v>
      </c>
      <c r="CE3615">
        <v>0.59</v>
      </c>
      <c r="CF3615">
        <v>0.01</v>
      </c>
      <c r="CG3615">
        <v>0.59</v>
      </c>
      <c r="CH3615">
        <v>0.43</v>
      </c>
      <c r="CI3615">
        <v>0.43</v>
      </c>
      <c r="CJ3615">
        <v>-0.39</v>
      </c>
      <c r="CK3615">
        <v>0.41</v>
      </c>
      <c r="CL3615">
        <v>4.5999999999999996</v>
      </c>
      <c r="CM3615">
        <v>0.3</v>
      </c>
      <c r="CN3615">
        <v>0.25</v>
      </c>
      <c r="CO3615">
        <v>15423</v>
      </c>
      <c r="CP3615">
        <v>2596</v>
      </c>
      <c r="CQ3615" t="s">
        <v>4952</v>
      </c>
      <c r="CR3615">
        <v>-23.82</v>
      </c>
      <c r="CS3615">
        <v>14.97</v>
      </c>
      <c r="CT3615">
        <v>6.62</v>
      </c>
      <c r="CU3615">
        <v>266.72000000000003</v>
      </c>
      <c r="CV3615">
        <v>24.07</v>
      </c>
      <c r="CW3615">
        <v>0.64</v>
      </c>
      <c r="CX3615" t="s">
        <v>1147</v>
      </c>
      <c r="CY3615">
        <v>2.77</v>
      </c>
      <c r="CZ3615">
        <v>2.77</v>
      </c>
      <c r="DA3615">
        <v>0.38</v>
      </c>
      <c r="DB3615">
        <v>1.06</v>
      </c>
      <c r="DC3615">
        <v>7.0000000000000007E-2</v>
      </c>
      <c r="DD3615">
        <v>79.650000000000006</v>
      </c>
      <c r="DE3615" t="s">
        <v>2916</v>
      </c>
      <c r="DF3615">
        <v>40.35</v>
      </c>
      <c r="DG3615">
        <v>17.93</v>
      </c>
      <c r="DH3615">
        <v>13.16</v>
      </c>
      <c r="DI3615">
        <v>0.13</v>
      </c>
      <c r="DJ3615">
        <v>1198</v>
      </c>
      <c r="DK3615">
        <v>603530</v>
      </c>
      <c r="DL3615" t="s">
        <v>120</v>
      </c>
      <c r="DM3615" t="s">
        <v>120</v>
      </c>
      <c r="DN3615" t="s">
        <v>120</v>
      </c>
    </row>
    <row r="3616" spans="1:118">
      <c r="A3616" t="str">
        <f>"603533"</f>
        <v>603533</v>
      </c>
      <c r="B3616" t="s">
        <v>15151</v>
      </c>
      <c r="C3616">
        <v>1.02</v>
      </c>
      <c r="D3616">
        <v>0.97</v>
      </c>
      <c r="E3616">
        <v>-0.44</v>
      </c>
      <c r="F3616">
        <v>2377</v>
      </c>
      <c r="G3616" t="s">
        <v>7092</v>
      </c>
      <c r="H3616">
        <v>10252.92</v>
      </c>
      <c r="I3616">
        <v>11.91</v>
      </c>
      <c r="J3616" t="s">
        <v>120</v>
      </c>
      <c r="K3616" t="s">
        <v>15152</v>
      </c>
      <c r="L3616">
        <v>1.1200000000000001</v>
      </c>
      <c r="M3616">
        <v>20.84</v>
      </c>
      <c r="N3616">
        <v>0.84</v>
      </c>
      <c r="O3616">
        <v>3.25</v>
      </c>
      <c r="P3616">
        <v>21.3</v>
      </c>
      <c r="Q3616">
        <v>-0.48</v>
      </c>
      <c r="R3616">
        <v>20.53</v>
      </c>
      <c r="S3616">
        <v>20.54</v>
      </c>
      <c r="T3616">
        <v>49021</v>
      </c>
      <c r="U3616">
        <v>20.85</v>
      </c>
      <c r="V3616">
        <v>20.63</v>
      </c>
      <c r="W3616">
        <v>34.18</v>
      </c>
      <c r="X3616" t="s">
        <v>1531</v>
      </c>
      <c r="Y3616" t="s">
        <v>158</v>
      </c>
      <c r="Z3616">
        <v>3.73</v>
      </c>
      <c r="AA3616">
        <v>20.92</v>
      </c>
      <c r="AB3616">
        <v>25926</v>
      </c>
      <c r="AC3616">
        <v>23095</v>
      </c>
      <c r="AD3616">
        <v>1.1200000000000001</v>
      </c>
      <c r="AE3616">
        <v>8392</v>
      </c>
      <c r="AF3616">
        <v>5</v>
      </c>
      <c r="AG3616" t="s">
        <v>120</v>
      </c>
      <c r="AH3616">
        <v>0</v>
      </c>
      <c r="AI3616" t="s">
        <v>120</v>
      </c>
      <c r="AJ3616">
        <v>4.3899999999999997</v>
      </c>
      <c r="AK3616" t="s">
        <v>15152</v>
      </c>
      <c r="AL3616">
        <v>2.36</v>
      </c>
      <c r="AM3616">
        <v>2574</v>
      </c>
      <c r="AN3616">
        <v>19</v>
      </c>
      <c r="AO3616">
        <v>4.0000000000000002E-4</v>
      </c>
      <c r="AP3616">
        <v>1</v>
      </c>
      <c r="AQ3616">
        <v>-2.1800000000000002</v>
      </c>
      <c r="AR3616">
        <v>-2.25</v>
      </c>
      <c r="AS3616">
        <v>-2.16</v>
      </c>
      <c r="AT3616">
        <v>-27.14</v>
      </c>
      <c r="AU3616">
        <v>-37.79</v>
      </c>
      <c r="AV3616">
        <v>12</v>
      </c>
      <c r="AW3616">
        <v>2.86</v>
      </c>
      <c r="AX3616">
        <v>39.1</v>
      </c>
      <c r="AY3616">
        <v>31.5</v>
      </c>
      <c r="AZ3616">
        <v>34.28</v>
      </c>
      <c r="BA3616">
        <v>1.33</v>
      </c>
      <c r="BB3616" t="s">
        <v>143</v>
      </c>
      <c r="BF3616">
        <v>1.38</v>
      </c>
      <c r="BG3616">
        <v>1.46</v>
      </c>
      <c r="BH3616">
        <v>-2.16</v>
      </c>
      <c r="BI3616">
        <v>1.51</v>
      </c>
      <c r="BJ3616">
        <v>20210817</v>
      </c>
      <c r="BK3616">
        <v>20170921</v>
      </c>
      <c r="BL3616">
        <v>4.3899999999999997</v>
      </c>
      <c r="BM3616" t="s">
        <v>120</v>
      </c>
      <c r="BN3616" t="s">
        <v>120</v>
      </c>
      <c r="BO3616">
        <v>33.92</v>
      </c>
      <c r="BP3616">
        <v>20.84</v>
      </c>
      <c r="BQ3616">
        <v>25.31</v>
      </c>
      <c r="BR3616">
        <v>7.0000000000000007E-2</v>
      </c>
      <c r="BS3616">
        <v>25.17</v>
      </c>
      <c r="BT3616">
        <v>27.97</v>
      </c>
      <c r="BU3616">
        <v>0.25</v>
      </c>
      <c r="BV3616">
        <v>0.45</v>
      </c>
      <c r="BW3616">
        <v>8.1999999999999993</v>
      </c>
      <c r="BX3616">
        <v>23.76</v>
      </c>
      <c r="BY3616">
        <v>0.01</v>
      </c>
      <c r="BZ3616">
        <v>3.24</v>
      </c>
      <c r="CA3616" t="s">
        <v>120</v>
      </c>
      <c r="CB3616">
        <v>13.39</v>
      </c>
      <c r="CC3616">
        <v>10.94</v>
      </c>
      <c r="CD3616">
        <v>5.71</v>
      </c>
      <c r="CE3616">
        <v>1.65</v>
      </c>
      <c r="CF3616">
        <v>0.13</v>
      </c>
      <c r="CG3616">
        <v>1.61</v>
      </c>
      <c r="CH3616">
        <v>1.35</v>
      </c>
      <c r="CI3616">
        <v>1.34</v>
      </c>
      <c r="CJ3616">
        <v>0.21</v>
      </c>
      <c r="CK3616">
        <v>1.32</v>
      </c>
      <c r="CL3616">
        <v>6.81</v>
      </c>
      <c r="CM3616">
        <v>1.21</v>
      </c>
      <c r="CN3616">
        <v>6.54</v>
      </c>
      <c r="CO3616">
        <v>45638</v>
      </c>
      <c r="CP3616">
        <v>3760</v>
      </c>
      <c r="CQ3616" t="s">
        <v>14834</v>
      </c>
      <c r="CR3616">
        <v>21.1</v>
      </c>
      <c r="CS3616">
        <v>11.64</v>
      </c>
      <c r="CT3616">
        <v>3.61</v>
      </c>
      <c r="CU3616">
        <v>75.47</v>
      </c>
      <c r="CV3616">
        <v>8.36</v>
      </c>
      <c r="CW3616">
        <v>0.48</v>
      </c>
      <c r="CX3616" t="s">
        <v>2752</v>
      </c>
      <c r="CY3616">
        <v>5.77</v>
      </c>
      <c r="CZ3616">
        <v>0</v>
      </c>
      <c r="DA3616">
        <v>3.05</v>
      </c>
      <c r="DB3616">
        <v>1.55</v>
      </c>
      <c r="DC3616">
        <v>0.28000000000000003</v>
      </c>
      <c r="DD3616">
        <v>74.61</v>
      </c>
      <c r="DE3616" t="s">
        <v>12110</v>
      </c>
      <c r="DF3616">
        <v>47.82</v>
      </c>
      <c r="DG3616">
        <v>15.1</v>
      </c>
      <c r="DH3616">
        <v>12.23</v>
      </c>
      <c r="DI3616">
        <v>0.84</v>
      </c>
      <c r="DJ3616">
        <v>876</v>
      </c>
      <c r="DK3616">
        <v>603533</v>
      </c>
      <c r="DL3616" t="s">
        <v>120</v>
      </c>
      <c r="DM3616" t="s">
        <v>120</v>
      </c>
      <c r="DN3616" t="s">
        <v>120</v>
      </c>
    </row>
    <row r="3617" spans="1:118">
      <c r="A3617" t="str">
        <f>"603535"</f>
        <v>603535</v>
      </c>
      <c r="B3617" t="s">
        <v>15153</v>
      </c>
      <c r="C3617">
        <v>-1.1000000000000001</v>
      </c>
      <c r="D3617">
        <v>-0.27</v>
      </c>
      <c r="E3617">
        <v>0.68</v>
      </c>
      <c r="F3617">
        <v>493</v>
      </c>
      <c r="G3617" t="s">
        <v>6138</v>
      </c>
      <c r="H3617">
        <v>3503.1</v>
      </c>
      <c r="I3617">
        <v>0.36</v>
      </c>
      <c r="J3617" t="s">
        <v>120</v>
      </c>
      <c r="K3617" t="s">
        <v>15154</v>
      </c>
      <c r="L3617">
        <v>0.66</v>
      </c>
      <c r="M3617">
        <v>35.1</v>
      </c>
      <c r="N3617">
        <v>1.01</v>
      </c>
      <c r="O3617">
        <v>2.23</v>
      </c>
      <c r="P3617">
        <v>36.28</v>
      </c>
      <c r="Q3617">
        <v>-3.07</v>
      </c>
      <c r="R3617">
        <v>34.4</v>
      </c>
      <c r="S3617">
        <v>35.729999999999997</v>
      </c>
      <c r="T3617">
        <v>9931</v>
      </c>
      <c r="U3617">
        <v>35.1</v>
      </c>
      <c r="V3617">
        <v>35.49</v>
      </c>
      <c r="W3617">
        <v>28.06</v>
      </c>
      <c r="X3617" t="s">
        <v>2775</v>
      </c>
      <c r="Y3617" t="s">
        <v>547</v>
      </c>
      <c r="Z3617">
        <v>5.3</v>
      </c>
      <c r="AA3617">
        <v>35.270000000000003</v>
      </c>
      <c r="AB3617">
        <v>5762</v>
      </c>
      <c r="AC3617">
        <v>4169</v>
      </c>
      <c r="AD3617">
        <v>1.38</v>
      </c>
      <c r="AE3617">
        <v>100</v>
      </c>
      <c r="AF3617">
        <v>164</v>
      </c>
      <c r="AG3617" t="s">
        <v>120</v>
      </c>
      <c r="AH3617">
        <v>0</v>
      </c>
      <c r="AI3617" t="s">
        <v>120</v>
      </c>
      <c r="AJ3617">
        <v>1.5</v>
      </c>
      <c r="AK3617" t="s">
        <v>15155</v>
      </c>
      <c r="AL3617">
        <v>0.24</v>
      </c>
      <c r="AM3617">
        <v>843</v>
      </c>
      <c r="AN3617">
        <v>12</v>
      </c>
      <c r="AO3617">
        <v>8.0000000000000004E-4</v>
      </c>
      <c r="AP3617">
        <v>-7</v>
      </c>
      <c r="AQ3617">
        <v>-2.98</v>
      </c>
      <c r="AR3617">
        <v>-4.5199999999999996</v>
      </c>
      <c r="AS3617">
        <v>0.6</v>
      </c>
      <c r="AT3617">
        <v>4.93</v>
      </c>
      <c r="AU3617">
        <v>-17.7</v>
      </c>
      <c r="AV3617">
        <v>4</v>
      </c>
      <c r="AW3617">
        <v>1.86</v>
      </c>
      <c r="AX3617">
        <v>33.130000000000003</v>
      </c>
      <c r="AY3617">
        <v>31.54</v>
      </c>
      <c r="AZ3617">
        <v>35.32</v>
      </c>
      <c r="BA3617">
        <v>0.25</v>
      </c>
      <c r="BB3617" t="s">
        <v>143</v>
      </c>
      <c r="BF3617">
        <v>-0.61</v>
      </c>
      <c r="BG3617">
        <v>-1.76</v>
      </c>
      <c r="BH3617">
        <v>-3.25</v>
      </c>
      <c r="BI3617">
        <v>2.0299999999999998</v>
      </c>
      <c r="BJ3617">
        <v>20210908</v>
      </c>
      <c r="BK3617">
        <v>20170808</v>
      </c>
      <c r="BL3617">
        <v>1.61</v>
      </c>
      <c r="BM3617" t="s">
        <v>120</v>
      </c>
      <c r="BN3617" t="s">
        <v>120</v>
      </c>
      <c r="BO3617">
        <v>24.92</v>
      </c>
      <c r="BP3617">
        <v>35.049999999999997</v>
      </c>
      <c r="BQ3617">
        <v>18.260000000000002</v>
      </c>
      <c r="BR3617">
        <v>7.0000000000000007E-2</v>
      </c>
      <c r="BS3617">
        <v>26.46</v>
      </c>
      <c r="BT3617">
        <v>11.64</v>
      </c>
      <c r="BU3617">
        <v>3.1</v>
      </c>
      <c r="BV3617">
        <v>1.53</v>
      </c>
      <c r="BW3617">
        <v>6.23</v>
      </c>
      <c r="BX3617">
        <v>3.88</v>
      </c>
      <c r="BY3617">
        <v>1.82</v>
      </c>
      <c r="BZ3617">
        <v>3.62</v>
      </c>
      <c r="CA3617" t="s">
        <v>120</v>
      </c>
      <c r="CB3617">
        <v>6.31</v>
      </c>
      <c r="CC3617">
        <v>5.96</v>
      </c>
      <c r="CD3617">
        <v>4.25</v>
      </c>
      <c r="CE3617">
        <v>1.1599999999999999</v>
      </c>
      <c r="CF3617">
        <v>0.02</v>
      </c>
      <c r="CG3617">
        <v>1.21</v>
      </c>
      <c r="CH3617">
        <v>1.01</v>
      </c>
      <c r="CI3617">
        <v>1.01</v>
      </c>
      <c r="CJ3617">
        <v>-0.39</v>
      </c>
      <c r="CK3617">
        <v>0.94</v>
      </c>
      <c r="CL3617">
        <v>9.49</v>
      </c>
      <c r="CM3617">
        <v>0.6</v>
      </c>
      <c r="CN3617">
        <v>-1.35</v>
      </c>
      <c r="CO3617">
        <v>6119</v>
      </c>
      <c r="CP3617">
        <v>8710</v>
      </c>
      <c r="CQ3617" t="s">
        <v>15156</v>
      </c>
      <c r="CR3617">
        <v>23.89</v>
      </c>
      <c r="CS3617">
        <v>19.72</v>
      </c>
      <c r="CT3617">
        <v>2.89</v>
      </c>
      <c r="CU3617">
        <v>94.28</v>
      </c>
      <c r="CV3617">
        <v>9.4700000000000006</v>
      </c>
      <c r="CW3617">
        <v>0.28999999999999998</v>
      </c>
      <c r="CX3617" t="s">
        <v>1469</v>
      </c>
      <c r="CY3617">
        <v>12.14</v>
      </c>
      <c r="CZ3617">
        <v>12.14</v>
      </c>
      <c r="DA3617">
        <v>3.92</v>
      </c>
      <c r="DB3617">
        <v>5.9</v>
      </c>
      <c r="DC3617">
        <v>0.37</v>
      </c>
      <c r="DD3617">
        <v>73.25</v>
      </c>
      <c r="DE3617" t="s">
        <v>15157</v>
      </c>
      <c r="DF3617">
        <v>28.67</v>
      </c>
      <c r="DG3617">
        <v>19.510000000000002</v>
      </c>
      <c r="DH3617">
        <v>16.87</v>
      </c>
      <c r="DI3617">
        <v>0.08</v>
      </c>
      <c r="DJ3617">
        <v>1086</v>
      </c>
      <c r="DK3617">
        <v>603535</v>
      </c>
      <c r="DL3617" t="s">
        <v>120</v>
      </c>
      <c r="DM3617" t="s">
        <v>120</v>
      </c>
      <c r="DN3617" t="s">
        <v>120</v>
      </c>
    </row>
    <row r="3618" spans="1:118">
      <c r="A3618" t="str">
        <f>"603536"</f>
        <v>603536</v>
      </c>
      <c r="B3618" t="s">
        <v>15158</v>
      </c>
      <c r="C3618">
        <v>-1.04</v>
      </c>
      <c r="D3618">
        <v>0</v>
      </c>
      <c r="E3618">
        <v>-1.98</v>
      </c>
      <c r="F3618">
        <v>238</v>
      </c>
      <c r="G3618" t="s">
        <v>10973</v>
      </c>
      <c r="H3618">
        <v>2047.79</v>
      </c>
      <c r="I3618">
        <v>28.95</v>
      </c>
      <c r="J3618" t="s">
        <v>120</v>
      </c>
      <c r="K3618" t="s">
        <v>15159</v>
      </c>
      <c r="L3618">
        <v>1.27</v>
      </c>
      <c r="M3618">
        <v>9.52</v>
      </c>
      <c r="N3618">
        <v>1.25</v>
      </c>
      <c r="O3618">
        <v>1.77</v>
      </c>
      <c r="P3618">
        <v>9.7899999999999991</v>
      </c>
      <c r="Q3618">
        <v>-1.98</v>
      </c>
      <c r="R3618">
        <v>9.43</v>
      </c>
      <c r="S3618">
        <v>9.43</v>
      </c>
      <c r="T3618">
        <v>21337</v>
      </c>
      <c r="U3618">
        <v>9.5299999999999994</v>
      </c>
      <c r="V3618">
        <v>9.6199999999999992</v>
      </c>
      <c r="W3618" t="s">
        <v>120</v>
      </c>
      <c r="X3618" t="s">
        <v>847</v>
      </c>
      <c r="Y3618" t="s">
        <v>638</v>
      </c>
      <c r="Z3618">
        <v>3.74</v>
      </c>
      <c r="AA3618">
        <v>9.6</v>
      </c>
      <c r="AB3618">
        <v>12880</v>
      </c>
      <c r="AC3618">
        <v>8457</v>
      </c>
      <c r="AD3618">
        <v>1.52</v>
      </c>
      <c r="AE3618">
        <v>71</v>
      </c>
      <c r="AF3618">
        <v>240</v>
      </c>
      <c r="AG3618" t="s">
        <v>120</v>
      </c>
      <c r="AH3618">
        <v>0.05</v>
      </c>
      <c r="AI3618" t="s">
        <v>120</v>
      </c>
      <c r="AJ3618">
        <v>1.68</v>
      </c>
      <c r="AK3618" t="s">
        <v>15160</v>
      </c>
      <c r="AL3618">
        <v>0.3</v>
      </c>
      <c r="AM3618">
        <v>1236</v>
      </c>
      <c r="AN3618">
        <v>17</v>
      </c>
      <c r="AO3618">
        <v>1E-3</v>
      </c>
      <c r="AP3618">
        <v>-1</v>
      </c>
      <c r="AQ3618">
        <v>1.48</v>
      </c>
      <c r="AR3618">
        <v>-1.95</v>
      </c>
      <c r="AS3618">
        <v>2.2599999999999998</v>
      </c>
      <c r="AT3618">
        <v>-25.51</v>
      </c>
      <c r="AU3618">
        <v>-47.22</v>
      </c>
      <c r="AV3618">
        <v>5</v>
      </c>
      <c r="AW3618">
        <v>3.54</v>
      </c>
      <c r="AX3618">
        <v>35.049999999999997</v>
      </c>
      <c r="AY3618" t="s">
        <v>120</v>
      </c>
      <c r="AZ3618">
        <v>71.66</v>
      </c>
      <c r="BA3618">
        <v>1.1200000000000001</v>
      </c>
      <c r="BB3618" t="s">
        <v>143</v>
      </c>
      <c r="BF3618">
        <v>-0.24</v>
      </c>
      <c r="BG3618">
        <v>0.95</v>
      </c>
      <c r="BH3618">
        <v>-2.76</v>
      </c>
      <c r="BI3618">
        <v>0.95</v>
      </c>
      <c r="BJ3618">
        <v>20210821</v>
      </c>
      <c r="BK3618">
        <v>20170613</v>
      </c>
      <c r="BL3618">
        <v>1.72</v>
      </c>
      <c r="BM3618" t="s">
        <v>120</v>
      </c>
      <c r="BN3618" t="s">
        <v>120</v>
      </c>
      <c r="BO3618">
        <v>14.44</v>
      </c>
      <c r="BP3618">
        <v>9.52</v>
      </c>
      <c r="BQ3618">
        <v>6.09</v>
      </c>
      <c r="BR3618">
        <v>0.11</v>
      </c>
      <c r="BS3618">
        <v>57.01</v>
      </c>
      <c r="BT3618">
        <v>6.72</v>
      </c>
      <c r="BU3618">
        <v>5.0199999999999996</v>
      </c>
      <c r="BV3618">
        <v>0.82</v>
      </c>
      <c r="BW3618">
        <v>7.61</v>
      </c>
      <c r="BX3618">
        <v>2.5299999999999998</v>
      </c>
      <c r="BY3618">
        <v>2.29</v>
      </c>
      <c r="BZ3618">
        <v>1.43</v>
      </c>
      <c r="CA3618" t="s">
        <v>120</v>
      </c>
      <c r="CB3618">
        <v>2.2999999999999998</v>
      </c>
      <c r="CC3618">
        <v>7.32</v>
      </c>
      <c r="CD3618">
        <v>6.18</v>
      </c>
      <c r="CE3618">
        <v>-0.77</v>
      </c>
      <c r="CF3618">
        <v>0</v>
      </c>
      <c r="CG3618">
        <v>-0.78</v>
      </c>
      <c r="CH3618">
        <v>-0.66</v>
      </c>
      <c r="CI3618">
        <v>-0.66</v>
      </c>
      <c r="CJ3618">
        <v>-0.1</v>
      </c>
      <c r="CK3618">
        <v>-0.68</v>
      </c>
      <c r="CL3618">
        <v>2.11</v>
      </c>
      <c r="CM3618">
        <v>-0.21</v>
      </c>
      <c r="CN3618">
        <v>-0.66</v>
      </c>
      <c r="CO3618">
        <v>10546</v>
      </c>
      <c r="CP3618">
        <v>5713</v>
      </c>
      <c r="CQ3618" t="s">
        <v>11579</v>
      </c>
      <c r="CR3618">
        <v>-1060.0899999999999</v>
      </c>
      <c r="CS3618">
        <v>53.42</v>
      </c>
      <c r="CT3618">
        <v>2.69</v>
      </c>
      <c r="CU3618">
        <v>-79.13</v>
      </c>
      <c r="CV3618">
        <v>2.23</v>
      </c>
      <c r="CW3618">
        <v>0.94</v>
      </c>
      <c r="CX3618" t="s">
        <v>9305</v>
      </c>
      <c r="CY3618">
        <v>3.55</v>
      </c>
      <c r="CZ3618">
        <v>0</v>
      </c>
      <c r="DA3618">
        <v>1.34</v>
      </c>
      <c r="DB3618">
        <v>1.23</v>
      </c>
      <c r="DC3618">
        <v>-0.12</v>
      </c>
      <c r="DD3618">
        <v>42.21</v>
      </c>
      <c r="DE3618" t="s">
        <v>15161</v>
      </c>
      <c r="DF3618">
        <v>15.6</v>
      </c>
      <c r="DG3618">
        <v>-10.54</v>
      </c>
      <c r="DH3618">
        <v>-8.9600000000000009</v>
      </c>
      <c r="DI3618">
        <v>0.1</v>
      </c>
      <c r="DJ3618">
        <v>1983</v>
      </c>
      <c r="DK3618">
        <v>603536</v>
      </c>
      <c r="DL3618" t="s">
        <v>120</v>
      </c>
      <c r="DM3618" t="s">
        <v>120</v>
      </c>
      <c r="DN3618" t="s">
        <v>120</v>
      </c>
    </row>
    <row r="3619" spans="1:118">
      <c r="A3619" t="str">
        <f>"603538"</f>
        <v>603538</v>
      </c>
      <c r="B3619" t="s">
        <v>15162</v>
      </c>
      <c r="C3619">
        <v>1.26</v>
      </c>
      <c r="D3619">
        <v>0.16</v>
      </c>
      <c r="E3619">
        <v>-0.06</v>
      </c>
      <c r="F3619">
        <v>193</v>
      </c>
      <c r="G3619" t="s">
        <v>14414</v>
      </c>
      <c r="H3619">
        <v>20076.39</v>
      </c>
      <c r="I3619">
        <v>3.17</v>
      </c>
      <c r="J3619" t="s">
        <v>120</v>
      </c>
      <c r="K3619" t="s">
        <v>15163</v>
      </c>
      <c r="L3619">
        <v>4.16</v>
      </c>
      <c r="M3619">
        <v>32.07</v>
      </c>
      <c r="N3619">
        <v>2.4500000000000002</v>
      </c>
      <c r="O3619">
        <v>4.83</v>
      </c>
      <c r="P3619">
        <v>33.200000000000003</v>
      </c>
      <c r="Q3619">
        <v>-0.16</v>
      </c>
      <c r="R3619">
        <v>31.62</v>
      </c>
      <c r="S3619">
        <v>31.65</v>
      </c>
      <c r="T3619">
        <v>61645</v>
      </c>
      <c r="U3619">
        <v>32.1</v>
      </c>
      <c r="V3619">
        <v>31.67</v>
      </c>
      <c r="W3619">
        <v>20.62</v>
      </c>
      <c r="X3619" t="s">
        <v>569</v>
      </c>
      <c r="Y3619" t="s">
        <v>585</v>
      </c>
      <c r="Z3619">
        <v>4.99</v>
      </c>
      <c r="AA3619">
        <v>32.57</v>
      </c>
      <c r="AB3619">
        <v>25253</v>
      </c>
      <c r="AC3619">
        <v>36392</v>
      </c>
      <c r="AD3619">
        <v>0.69</v>
      </c>
      <c r="AE3619">
        <v>26</v>
      </c>
      <c r="AF3619">
        <v>56</v>
      </c>
      <c r="AG3619" t="s">
        <v>120</v>
      </c>
      <c r="AH3619">
        <v>0</v>
      </c>
      <c r="AI3619" t="s">
        <v>120</v>
      </c>
      <c r="AJ3619">
        <v>1.48</v>
      </c>
      <c r="AK3619" t="s">
        <v>10965</v>
      </c>
      <c r="AL3619">
        <v>2.61</v>
      </c>
      <c r="AM3619">
        <v>2761</v>
      </c>
      <c r="AN3619">
        <v>22</v>
      </c>
      <c r="AO3619">
        <v>1.5E-3</v>
      </c>
      <c r="AP3619">
        <v>1</v>
      </c>
      <c r="AQ3619">
        <v>-0.44</v>
      </c>
      <c r="AR3619">
        <v>0.06</v>
      </c>
      <c r="AS3619">
        <v>-2.02</v>
      </c>
      <c r="AT3619">
        <v>-29.79</v>
      </c>
      <c r="AU3619">
        <v>-13.63</v>
      </c>
      <c r="AV3619">
        <v>6</v>
      </c>
      <c r="AW3619">
        <v>6.19</v>
      </c>
      <c r="AX3619">
        <v>66.56</v>
      </c>
      <c r="AY3619">
        <v>26.65</v>
      </c>
      <c r="AZ3619">
        <v>28.31</v>
      </c>
      <c r="BA3619">
        <v>1.19</v>
      </c>
      <c r="BB3619" t="s">
        <v>231</v>
      </c>
      <c r="BF3619">
        <v>2.83</v>
      </c>
      <c r="BG3619">
        <v>1.33</v>
      </c>
      <c r="BH3619">
        <v>-3.4</v>
      </c>
      <c r="BI3619">
        <v>1.42</v>
      </c>
      <c r="BJ3619">
        <v>20210915</v>
      </c>
      <c r="BK3619">
        <v>20170407</v>
      </c>
      <c r="BL3619">
        <v>1.5</v>
      </c>
      <c r="BM3619" t="s">
        <v>120</v>
      </c>
      <c r="BN3619" t="s">
        <v>120</v>
      </c>
      <c r="BO3619">
        <v>36.159999999999997</v>
      </c>
      <c r="BP3619">
        <v>32.07</v>
      </c>
      <c r="BQ3619">
        <v>17.989999999999998</v>
      </c>
      <c r="BR3619">
        <v>2.21</v>
      </c>
      <c r="BS3619">
        <v>44.12</v>
      </c>
      <c r="BT3619">
        <v>16.170000000000002</v>
      </c>
      <c r="BU3619">
        <v>7.33</v>
      </c>
      <c r="BV3619">
        <v>1.98</v>
      </c>
      <c r="BW3619">
        <v>9.77</v>
      </c>
      <c r="BX3619">
        <v>2.83</v>
      </c>
      <c r="BY3619">
        <v>4.82</v>
      </c>
      <c r="BZ3619">
        <v>2.11</v>
      </c>
      <c r="CA3619" t="s">
        <v>120</v>
      </c>
      <c r="CB3619">
        <v>5.62</v>
      </c>
      <c r="CC3619">
        <v>6.92</v>
      </c>
      <c r="CD3619">
        <v>4.3499999999999996</v>
      </c>
      <c r="CE3619">
        <v>1.47</v>
      </c>
      <c r="CF3619">
        <v>0.98</v>
      </c>
      <c r="CG3619">
        <v>1.46</v>
      </c>
      <c r="CH3619">
        <v>1.26</v>
      </c>
      <c r="CI3619">
        <v>1.1599999999999999</v>
      </c>
      <c r="CJ3619">
        <v>0.4</v>
      </c>
      <c r="CK3619">
        <v>0.98</v>
      </c>
      <c r="CL3619">
        <v>9.2899999999999991</v>
      </c>
      <c r="CM3619">
        <v>1.1100000000000001</v>
      </c>
      <c r="CN3619">
        <v>0.42</v>
      </c>
      <c r="CO3619">
        <v>24563</v>
      </c>
      <c r="CP3619">
        <v>4053</v>
      </c>
      <c r="CQ3619" t="s">
        <v>7574</v>
      </c>
      <c r="CR3619">
        <v>9.84</v>
      </c>
      <c r="CS3619">
        <v>6.21</v>
      </c>
      <c r="CT3619">
        <v>2.89</v>
      </c>
      <c r="CU3619">
        <v>43.11</v>
      </c>
      <c r="CV3619">
        <v>6.94</v>
      </c>
      <c r="CW3619">
        <v>0</v>
      </c>
      <c r="CX3619" t="s">
        <v>3050</v>
      </c>
      <c r="CY3619">
        <v>11.08</v>
      </c>
      <c r="CZ3619">
        <v>11.08</v>
      </c>
      <c r="DA3619">
        <v>3.76</v>
      </c>
      <c r="DB3619">
        <v>6.21</v>
      </c>
      <c r="DC3619">
        <v>0.74</v>
      </c>
      <c r="DD3619">
        <v>49.76</v>
      </c>
      <c r="DE3619" t="s">
        <v>8411</v>
      </c>
      <c r="DF3619">
        <v>37.08</v>
      </c>
      <c r="DG3619">
        <v>21.27</v>
      </c>
      <c r="DH3619">
        <v>16.82</v>
      </c>
      <c r="DI3619">
        <v>0.26</v>
      </c>
      <c r="DJ3619">
        <v>2432</v>
      </c>
      <c r="DK3619">
        <v>603538</v>
      </c>
      <c r="DL3619" t="s">
        <v>120</v>
      </c>
      <c r="DM3619" t="s">
        <v>120</v>
      </c>
      <c r="DN3619" t="s">
        <v>120</v>
      </c>
    </row>
    <row r="3620" spans="1:118">
      <c r="A3620" t="str">
        <f>"603551"</f>
        <v>603551</v>
      </c>
      <c r="B3620" t="s">
        <v>15164</v>
      </c>
      <c r="C3620">
        <v>-1.43</v>
      </c>
      <c r="D3620">
        <v>0</v>
      </c>
      <c r="E3620">
        <v>-0.45</v>
      </c>
      <c r="F3620">
        <v>114</v>
      </c>
      <c r="G3620" t="s">
        <v>6463</v>
      </c>
      <c r="H3620">
        <v>729.82</v>
      </c>
      <c r="I3620">
        <v>4.22</v>
      </c>
      <c r="J3620" t="s">
        <v>120</v>
      </c>
      <c r="K3620" t="s">
        <v>15165</v>
      </c>
      <c r="L3620">
        <v>0.49</v>
      </c>
      <c r="M3620">
        <v>11</v>
      </c>
      <c r="N3620">
        <v>0.83</v>
      </c>
      <c r="O3620">
        <v>0.72</v>
      </c>
      <c r="P3620">
        <v>11.24</v>
      </c>
      <c r="Q3620">
        <v>-1.52</v>
      </c>
      <c r="R3620">
        <v>10.99</v>
      </c>
      <c r="S3620">
        <v>11.11</v>
      </c>
      <c r="T3620">
        <v>6567</v>
      </c>
      <c r="U3620">
        <v>11</v>
      </c>
      <c r="V3620">
        <v>11.16</v>
      </c>
      <c r="W3620">
        <v>25.76</v>
      </c>
      <c r="X3620" t="s">
        <v>2409</v>
      </c>
      <c r="Y3620" t="s">
        <v>585</v>
      </c>
      <c r="Z3620">
        <v>2.2400000000000002</v>
      </c>
      <c r="AA3620">
        <v>11.11</v>
      </c>
      <c r="AB3620">
        <v>3751</v>
      </c>
      <c r="AC3620">
        <v>2816</v>
      </c>
      <c r="AD3620">
        <v>1.33</v>
      </c>
      <c r="AE3620">
        <v>62</v>
      </c>
      <c r="AF3620">
        <v>27</v>
      </c>
      <c r="AG3620" t="s">
        <v>120</v>
      </c>
      <c r="AH3620">
        <v>0</v>
      </c>
      <c r="AI3620" t="s">
        <v>120</v>
      </c>
      <c r="AJ3620">
        <v>1.34</v>
      </c>
      <c r="AK3620" t="s">
        <v>846</v>
      </c>
      <c r="AL3620">
        <v>-0.09</v>
      </c>
      <c r="AM3620">
        <v>490</v>
      </c>
      <c r="AN3620">
        <v>13</v>
      </c>
      <c r="AO3620">
        <v>1E-3</v>
      </c>
      <c r="AP3620">
        <v>-5</v>
      </c>
      <c r="AQ3620">
        <v>-0.27</v>
      </c>
      <c r="AR3620">
        <v>-3.85</v>
      </c>
      <c r="AS3620">
        <v>1.57</v>
      </c>
      <c r="AT3620">
        <v>-8.41</v>
      </c>
      <c r="AU3620">
        <v>-24.19</v>
      </c>
      <c r="AV3620">
        <v>0</v>
      </c>
      <c r="AW3620">
        <v>0.56999999999999995</v>
      </c>
      <c r="AX3620">
        <v>28.66</v>
      </c>
      <c r="AY3620">
        <v>20.32</v>
      </c>
      <c r="AZ3620">
        <v>23.96</v>
      </c>
      <c r="BA3620">
        <v>0.76</v>
      </c>
      <c r="BB3620" t="s">
        <v>240</v>
      </c>
      <c r="BF3620">
        <v>-0.42</v>
      </c>
      <c r="BG3620">
        <v>-0.99</v>
      </c>
      <c r="BH3620">
        <v>-2.14</v>
      </c>
      <c r="BI3620">
        <v>0.09</v>
      </c>
      <c r="BJ3620">
        <v>20210830</v>
      </c>
      <c r="BK3620">
        <v>20200115</v>
      </c>
      <c r="BL3620">
        <v>4.0599999999999996</v>
      </c>
      <c r="BM3620" t="s">
        <v>120</v>
      </c>
      <c r="BN3620" t="s">
        <v>120</v>
      </c>
      <c r="BO3620">
        <v>25.71</v>
      </c>
      <c r="BP3620">
        <v>10.99</v>
      </c>
      <c r="BQ3620">
        <v>17.13</v>
      </c>
      <c r="BR3620">
        <v>0.47</v>
      </c>
      <c r="BS3620">
        <v>31.55</v>
      </c>
      <c r="BT3620">
        <v>19.07</v>
      </c>
      <c r="BU3620">
        <v>4.26</v>
      </c>
      <c r="BV3620">
        <v>1.2</v>
      </c>
      <c r="BW3620">
        <v>7.78</v>
      </c>
      <c r="BX3620">
        <v>12.65</v>
      </c>
      <c r="BY3620">
        <v>2.98</v>
      </c>
      <c r="BZ3620">
        <v>1.17</v>
      </c>
      <c r="CA3620" t="s">
        <v>120</v>
      </c>
      <c r="CB3620">
        <v>7.45</v>
      </c>
      <c r="CC3620">
        <v>9.0500000000000007</v>
      </c>
      <c r="CD3620">
        <v>5.23</v>
      </c>
      <c r="CE3620">
        <v>1.02</v>
      </c>
      <c r="CF3620">
        <v>0.02</v>
      </c>
      <c r="CG3620">
        <v>1.03</v>
      </c>
      <c r="CH3620">
        <v>0.91</v>
      </c>
      <c r="CI3620">
        <v>0.87</v>
      </c>
      <c r="CJ3620">
        <v>-0.16</v>
      </c>
      <c r="CK3620">
        <v>0.81</v>
      </c>
      <c r="CL3620">
        <v>4.8099999999999996</v>
      </c>
      <c r="CM3620">
        <v>1.57</v>
      </c>
      <c r="CN3620">
        <v>-0.19</v>
      </c>
      <c r="CO3620">
        <v>11435</v>
      </c>
      <c r="CP3620">
        <v>10164</v>
      </c>
      <c r="CQ3620" t="s">
        <v>14979</v>
      </c>
      <c r="CR3620">
        <v>64.06</v>
      </c>
      <c r="CS3620">
        <v>51.1</v>
      </c>
      <c r="CT3620">
        <v>2.6</v>
      </c>
      <c r="CU3620">
        <v>28.49</v>
      </c>
      <c r="CV3620">
        <v>4.93</v>
      </c>
      <c r="CW3620">
        <v>3.58</v>
      </c>
      <c r="CX3620" t="s">
        <v>2097</v>
      </c>
      <c r="CY3620">
        <v>4.2300000000000004</v>
      </c>
      <c r="CZ3620">
        <v>0</v>
      </c>
      <c r="DA3620">
        <v>1.84</v>
      </c>
      <c r="DB3620">
        <v>1.19</v>
      </c>
      <c r="DC3620">
        <v>0.39</v>
      </c>
      <c r="DD3620">
        <v>66.63</v>
      </c>
      <c r="DE3620" t="s">
        <v>710</v>
      </c>
      <c r="DF3620">
        <v>42.15</v>
      </c>
      <c r="DG3620">
        <v>11.26</v>
      </c>
      <c r="DH3620">
        <v>9.57</v>
      </c>
      <c r="DI3620">
        <v>0.44</v>
      </c>
      <c r="DJ3620">
        <v>1571</v>
      </c>
      <c r="DK3620">
        <v>603551</v>
      </c>
      <c r="DL3620" t="s">
        <v>120</v>
      </c>
      <c r="DM3620" t="s">
        <v>120</v>
      </c>
      <c r="DN3620" t="s">
        <v>120</v>
      </c>
    </row>
    <row r="3621" spans="1:118">
      <c r="A3621" t="str">
        <f>"603556"</f>
        <v>603556</v>
      </c>
      <c r="B3621" t="s">
        <v>15166</v>
      </c>
      <c r="C3621">
        <v>-2.15</v>
      </c>
      <c r="D3621">
        <v>-0.15</v>
      </c>
      <c r="E3621">
        <v>0.08</v>
      </c>
      <c r="F3621">
        <v>431</v>
      </c>
      <c r="G3621" t="s">
        <v>13499</v>
      </c>
      <c r="H3621">
        <v>3659.71</v>
      </c>
      <c r="I3621">
        <v>5.85</v>
      </c>
      <c r="J3621" t="s">
        <v>120</v>
      </c>
      <c r="K3621" t="s">
        <v>9329</v>
      </c>
      <c r="L3621">
        <v>0.57999999999999996</v>
      </c>
      <c r="M3621">
        <v>12.72</v>
      </c>
      <c r="N3621">
        <v>0.8</v>
      </c>
      <c r="O3621">
        <v>1</v>
      </c>
      <c r="P3621">
        <v>13.13</v>
      </c>
      <c r="Q3621">
        <v>-2.31</v>
      </c>
      <c r="R3621">
        <v>12.7</v>
      </c>
      <c r="S3621">
        <v>13.01</v>
      </c>
      <c r="T3621">
        <v>28354</v>
      </c>
      <c r="U3621">
        <v>12.75</v>
      </c>
      <c r="V3621">
        <v>13</v>
      </c>
      <c r="W3621">
        <v>20.079999999999998</v>
      </c>
      <c r="X3621" t="s">
        <v>2717</v>
      </c>
      <c r="Y3621" t="s">
        <v>585</v>
      </c>
      <c r="Z3621">
        <v>3.31</v>
      </c>
      <c r="AA3621">
        <v>12.91</v>
      </c>
      <c r="AB3621">
        <v>18061</v>
      </c>
      <c r="AC3621">
        <v>10293</v>
      </c>
      <c r="AD3621">
        <v>1.75</v>
      </c>
      <c r="AE3621">
        <v>16</v>
      </c>
      <c r="AF3621">
        <v>29</v>
      </c>
      <c r="AG3621" t="s">
        <v>120</v>
      </c>
      <c r="AH3621">
        <v>0</v>
      </c>
      <c r="AI3621" t="s">
        <v>120</v>
      </c>
      <c r="AJ3621">
        <v>4.8899999999999997</v>
      </c>
      <c r="AK3621" t="s">
        <v>9329</v>
      </c>
      <c r="AL3621">
        <v>-0.81</v>
      </c>
      <c r="AM3621">
        <v>1469</v>
      </c>
      <c r="AN3621">
        <v>19</v>
      </c>
      <c r="AO3621">
        <v>4.0000000000000002E-4</v>
      </c>
      <c r="AP3621">
        <v>-1</v>
      </c>
      <c r="AQ3621">
        <v>1.48</v>
      </c>
      <c r="AR3621">
        <v>-3.57</v>
      </c>
      <c r="AS3621">
        <v>-1.39</v>
      </c>
      <c r="AT3621">
        <v>7.52</v>
      </c>
      <c r="AU3621">
        <v>-4</v>
      </c>
      <c r="AV3621">
        <v>2</v>
      </c>
      <c r="AW3621">
        <v>1.6</v>
      </c>
      <c r="AX3621">
        <v>36.29</v>
      </c>
      <c r="AY3621">
        <v>16.03</v>
      </c>
      <c r="AZ3621">
        <v>13.2</v>
      </c>
      <c r="BA3621">
        <v>0.69</v>
      </c>
      <c r="BB3621" t="s">
        <v>143</v>
      </c>
      <c r="BF3621">
        <v>-0.71</v>
      </c>
      <c r="BG3621">
        <v>-2.23</v>
      </c>
      <c r="BH3621">
        <v>-3.12</v>
      </c>
      <c r="BI3621">
        <v>0.16</v>
      </c>
      <c r="BJ3621">
        <v>20210901</v>
      </c>
      <c r="BK3621">
        <v>20161110</v>
      </c>
      <c r="BL3621">
        <v>4.8899999999999997</v>
      </c>
      <c r="BM3621" t="s">
        <v>120</v>
      </c>
      <c r="BN3621" t="s">
        <v>120</v>
      </c>
      <c r="BO3621">
        <v>70.11</v>
      </c>
      <c r="BP3621">
        <v>12.72</v>
      </c>
      <c r="BQ3621">
        <v>53.05</v>
      </c>
      <c r="BR3621">
        <v>7.0000000000000007E-2</v>
      </c>
      <c r="BS3621">
        <v>24.23</v>
      </c>
      <c r="BT3621">
        <v>58.76</v>
      </c>
      <c r="BU3621">
        <v>4.74</v>
      </c>
      <c r="BV3621">
        <v>1.66</v>
      </c>
      <c r="BW3621">
        <v>15.43</v>
      </c>
      <c r="BX3621">
        <v>23.62</v>
      </c>
      <c r="BY3621">
        <v>7.12</v>
      </c>
      <c r="BZ3621">
        <v>9.27</v>
      </c>
      <c r="CA3621" t="s">
        <v>120</v>
      </c>
      <c r="CB3621">
        <v>23.78</v>
      </c>
      <c r="CC3621">
        <v>10.93</v>
      </c>
      <c r="CD3621">
        <v>7.22</v>
      </c>
      <c r="CE3621">
        <v>1.68</v>
      </c>
      <c r="CF3621">
        <v>0.61</v>
      </c>
      <c r="CG3621">
        <v>1.7</v>
      </c>
      <c r="CH3621">
        <v>1.54</v>
      </c>
      <c r="CI3621">
        <v>1.55</v>
      </c>
      <c r="CJ3621">
        <v>-0.28000000000000003</v>
      </c>
      <c r="CK3621">
        <v>0.7</v>
      </c>
      <c r="CL3621">
        <v>22.17</v>
      </c>
      <c r="CM3621">
        <v>-1.87</v>
      </c>
      <c r="CN3621">
        <v>-8.2799999999999994</v>
      </c>
      <c r="CO3621">
        <v>23498</v>
      </c>
      <c r="CP3621">
        <v>7548</v>
      </c>
      <c r="CQ3621" t="s">
        <v>14535</v>
      </c>
      <c r="CR3621">
        <v>-35.4</v>
      </c>
      <c r="CS3621">
        <v>-14.34</v>
      </c>
      <c r="CT3621">
        <v>1.17</v>
      </c>
      <c r="CU3621">
        <v>-33.24</v>
      </c>
      <c r="CV3621">
        <v>5.69</v>
      </c>
      <c r="CW3621">
        <v>3.85</v>
      </c>
      <c r="CX3621" t="s">
        <v>966</v>
      </c>
      <c r="CY3621">
        <v>10.86</v>
      </c>
      <c r="CZ3621">
        <v>0</v>
      </c>
      <c r="DA3621">
        <v>4.87</v>
      </c>
      <c r="DB3621">
        <v>4.54</v>
      </c>
      <c r="DC3621">
        <v>-0.38</v>
      </c>
      <c r="DD3621">
        <v>75.67</v>
      </c>
      <c r="DE3621" t="s">
        <v>5751</v>
      </c>
      <c r="DF3621">
        <v>33.950000000000003</v>
      </c>
      <c r="DG3621">
        <v>15.33</v>
      </c>
      <c r="DH3621">
        <v>14.16</v>
      </c>
      <c r="DI3621">
        <v>1.18</v>
      </c>
      <c r="DJ3621">
        <v>3376</v>
      </c>
      <c r="DK3621">
        <v>603556</v>
      </c>
      <c r="DL3621" t="s">
        <v>120</v>
      </c>
      <c r="DM3621" t="s">
        <v>120</v>
      </c>
      <c r="DN3621" t="s">
        <v>120</v>
      </c>
    </row>
    <row r="3622" spans="1:118">
      <c r="A3622" t="str">
        <f>"603558"</f>
        <v>603558</v>
      </c>
      <c r="B3622" t="s">
        <v>15167</v>
      </c>
      <c r="C3622">
        <v>-0.49</v>
      </c>
      <c r="D3622">
        <v>0.2</v>
      </c>
      <c r="E3622">
        <v>-0.79</v>
      </c>
      <c r="F3622">
        <v>119</v>
      </c>
      <c r="G3622" t="s">
        <v>1316</v>
      </c>
      <c r="H3622">
        <v>4441.88</v>
      </c>
      <c r="I3622">
        <v>13.04</v>
      </c>
      <c r="J3622" t="s">
        <v>120</v>
      </c>
      <c r="K3622" t="s">
        <v>11814</v>
      </c>
      <c r="L3622">
        <v>1.1100000000000001</v>
      </c>
      <c r="M3622">
        <v>10.06</v>
      </c>
      <c r="N3622">
        <v>0.81</v>
      </c>
      <c r="O3622">
        <v>3.36</v>
      </c>
      <c r="P3622">
        <v>10.45</v>
      </c>
      <c r="Q3622">
        <v>-1.98</v>
      </c>
      <c r="R3622">
        <v>9.91</v>
      </c>
      <c r="S3622">
        <v>10.029999999999999</v>
      </c>
      <c r="T3622">
        <v>43558</v>
      </c>
      <c r="U3622">
        <v>10.07</v>
      </c>
      <c r="V3622">
        <v>10.11</v>
      </c>
      <c r="W3622">
        <v>18.27</v>
      </c>
      <c r="X3622" t="s">
        <v>1766</v>
      </c>
      <c r="Y3622" t="s">
        <v>585</v>
      </c>
      <c r="Z3622">
        <v>5.34</v>
      </c>
      <c r="AA3622">
        <v>10.199999999999999</v>
      </c>
      <c r="AB3622">
        <v>19953</v>
      </c>
      <c r="AC3622">
        <v>23605</v>
      </c>
      <c r="AD3622">
        <v>0.85</v>
      </c>
      <c r="AE3622">
        <v>22</v>
      </c>
      <c r="AF3622">
        <v>40</v>
      </c>
      <c r="AG3622" t="s">
        <v>120</v>
      </c>
      <c r="AH3622">
        <v>0.01</v>
      </c>
      <c r="AI3622" t="s">
        <v>120</v>
      </c>
      <c r="AJ3622">
        <v>3.93</v>
      </c>
      <c r="AK3622" t="s">
        <v>11814</v>
      </c>
      <c r="AL3622">
        <v>0.85</v>
      </c>
      <c r="AM3622">
        <v>1618</v>
      </c>
      <c r="AN3622">
        <v>27</v>
      </c>
      <c r="AO3622">
        <v>6.9999999999999999E-4</v>
      </c>
      <c r="AP3622">
        <v>-3</v>
      </c>
      <c r="AQ3622">
        <v>-0.2</v>
      </c>
      <c r="AR3622">
        <v>-2.33</v>
      </c>
      <c r="AS3622">
        <v>15.11</v>
      </c>
      <c r="AT3622">
        <v>27.18</v>
      </c>
      <c r="AU3622">
        <v>25.44</v>
      </c>
      <c r="AV3622">
        <v>2</v>
      </c>
      <c r="AW3622">
        <v>2.15</v>
      </c>
      <c r="AX3622">
        <v>51.58</v>
      </c>
      <c r="AY3622" t="s">
        <v>120</v>
      </c>
      <c r="AZ3622" t="s">
        <v>120</v>
      </c>
      <c r="BA3622">
        <v>0.71</v>
      </c>
      <c r="BB3622" t="s">
        <v>143</v>
      </c>
      <c r="BF3622">
        <v>0.87</v>
      </c>
      <c r="BG3622">
        <v>0.3</v>
      </c>
      <c r="BH3622">
        <v>-3.73</v>
      </c>
      <c r="BI3622">
        <v>1.51</v>
      </c>
      <c r="BJ3622">
        <v>20210816</v>
      </c>
      <c r="BK3622">
        <v>20150127</v>
      </c>
      <c r="BL3622">
        <v>3.93</v>
      </c>
      <c r="BM3622" t="s">
        <v>120</v>
      </c>
      <c r="BN3622" t="s">
        <v>120</v>
      </c>
      <c r="BO3622">
        <v>36.659999999999997</v>
      </c>
      <c r="BP3622">
        <v>10.06</v>
      </c>
      <c r="BQ3622">
        <v>22.67</v>
      </c>
      <c r="BR3622">
        <v>0</v>
      </c>
      <c r="BS3622">
        <v>38.17</v>
      </c>
      <c r="BT3622">
        <v>15.99</v>
      </c>
      <c r="BU3622">
        <v>13.02</v>
      </c>
      <c r="BV3622">
        <v>2.54</v>
      </c>
      <c r="BW3622">
        <v>11.94</v>
      </c>
      <c r="BX3622">
        <v>5.22</v>
      </c>
      <c r="BY3622">
        <v>5.71</v>
      </c>
      <c r="BZ3622">
        <v>4.1900000000000004</v>
      </c>
      <c r="CA3622">
        <v>7.0000000000000007E-2</v>
      </c>
      <c r="CB3622">
        <v>16.46</v>
      </c>
      <c r="CC3622">
        <v>9.11</v>
      </c>
      <c r="CD3622">
        <v>6.58</v>
      </c>
      <c r="CE3622">
        <v>1.22</v>
      </c>
      <c r="CF3622">
        <v>0.06</v>
      </c>
      <c r="CG3622">
        <v>1.21</v>
      </c>
      <c r="CH3622">
        <v>1.08</v>
      </c>
      <c r="CI3622">
        <v>1.08</v>
      </c>
      <c r="CJ3622">
        <v>-0.05</v>
      </c>
      <c r="CK3622">
        <v>1</v>
      </c>
      <c r="CL3622">
        <v>2.4900000000000002</v>
      </c>
      <c r="CM3622">
        <v>0.08</v>
      </c>
      <c r="CN3622">
        <v>0.14000000000000001</v>
      </c>
      <c r="CO3622">
        <v>10267</v>
      </c>
      <c r="CP3622">
        <v>19740</v>
      </c>
      <c r="CQ3622" t="s">
        <v>15168</v>
      </c>
      <c r="CR3622">
        <v>96.4</v>
      </c>
      <c r="CS3622">
        <v>25.1</v>
      </c>
      <c r="CT3622">
        <v>1.74</v>
      </c>
      <c r="CU3622">
        <v>483.48</v>
      </c>
      <c r="CV3622">
        <v>4.34</v>
      </c>
      <c r="CW3622">
        <v>0</v>
      </c>
      <c r="CX3622" t="s">
        <v>1054</v>
      </c>
      <c r="CY3622">
        <v>5.77</v>
      </c>
      <c r="CZ3622">
        <v>0</v>
      </c>
      <c r="DA3622">
        <v>4.1900000000000004</v>
      </c>
      <c r="DB3622">
        <v>0.63</v>
      </c>
      <c r="DC3622">
        <v>0.02</v>
      </c>
      <c r="DD3622">
        <v>61.83</v>
      </c>
      <c r="DE3622" t="s">
        <v>649</v>
      </c>
      <c r="DF3622">
        <v>27.75</v>
      </c>
      <c r="DG3622">
        <v>13.38</v>
      </c>
      <c r="DH3622">
        <v>11.88</v>
      </c>
      <c r="DI3622">
        <v>0.26</v>
      </c>
      <c r="DJ3622">
        <v>8847</v>
      </c>
      <c r="DK3622">
        <v>603558</v>
      </c>
      <c r="DL3622" t="s">
        <v>120</v>
      </c>
      <c r="DM3622" t="s">
        <v>120</v>
      </c>
      <c r="DN3622" t="s">
        <v>120</v>
      </c>
    </row>
    <row r="3623" spans="1:118">
      <c r="A3623" t="str">
        <f>"603559"</f>
        <v>603559</v>
      </c>
      <c r="B3623" t="s">
        <v>15169</v>
      </c>
      <c r="C3623">
        <v>-2.41</v>
      </c>
      <c r="D3623">
        <v>-7.0000000000000007E-2</v>
      </c>
      <c r="E3623">
        <v>0.47</v>
      </c>
      <c r="F3623">
        <v>373</v>
      </c>
      <c r="G3623" t="s">
        <v>8221</v>
      </c>
      <c r="H3623">
        <v>2696.87</v>
      </c>
      <c r="I3623">
        <v>6.07</v>
      </c>
      <c r="J3623" t="s">
        <v>120</v>
      </c>
      <c r="K3623" t="s">
        <v>15170</v>
      </c>
      <c r="L3623">
        <v>1.48</v>
      </c>
      <c r="M3623">
        <v>12.54</v>
      </c>
      <c r="N3623">
        <v>0.78</v>
      </c>
      <c r="O3623">
        <v>0.78</v>
      </c>
      <c r="P3623">
        <v>12.95</v>
      </c>
      <c r="Q3623">
        <v>-2.72</v>
      </c>
      <c r="R3623">
        <v>12.5</v>
      </c>
      <c r="S3623">
        <v>12.91</v>
      </c>
      <c r="T3623">
        <v>21220</v>
      </c>
      <c r="U3623">
        <v>12.55</v>
      </c>
      <c r="V3623">
        <v>12.85</v>
      </c>
      <c r="W3623" t="s">
        <v>120</v>
      </c>
      <c r="X3623" t="s">
        <v>462</v>
      </c>
      <c r="Y3623" t="s">
        <v>290</v>
      </c>
      <c r="Z3623">
        <v>3.5</v>
      </c>
      <c r="AA3623">
        <v>12.71</v>
      </c>
      <c r="AB3623">
        <v>14511</v>
      </c>
      <c r="AC3623">
        <v>6709</v>
      </c>
      <c r="AD3623">
        <v>2.16</v>
      </c>
      <c r="AE3623">
        <v>60</v>
      </c>
      <c r="AF3623">
        <v>183</v>
      </c>
      <c r="AG3623" t="s">
        <v>120</v>
      </c>
      <c r="AH3623">
        <v>0</v>
      </c>
      <c r="AI3623" t="s">
        <v>120</v>
      </c>
      <c r="AJ3623">
        <v>1.43</v>
      </c>
      <c r="AK3623" t="s">
        <v>15170</v>
      </c>
      <c r="AL3623">
        <v>-1.07</v>
      </c>
      <c r="AM3623">
        <v>1117</v>
      </c>
      <c r="AN3623">
        <v>19</v>
      </c>
      <c r="AO3623">
        <v>1.2999999999999999E-3</v>
      </c>
      <c r="AP3623">
        <v>-1</v>
      </c>
      <c r="AQ3623">
        <v>1.02</v>
      </c>
      <c r="AR3623">
        <v>-2.41</v>
      </c>
      <c r="AS3623">
        <v>-10.87</v>
      </c>
      <c r="AT3623">
        <v>-1.72</v>
      </c>
      <c r="AU3623">
        <v>-19.41</v>
      </c>
      <c r="AV3623">
        <v>6</v>
      </c>
      <c r="AW3623">
        <v>1.63</v>
      </c>
      <c r="AX3623">
        <v>90.89</v>
      </c>
      <c r="AY3623" t="s">
        <v>120</v>
      </c>
      <c r="AZ3623" t="s">
        <v>120</v>
      </c>
      <c r="BA3623">
        <v>0.13</v>
      </c>
      <c r="BB3623" t="s">
        <v>143</v>
      </c>
      <c r="BF3623">
        <v>-1.1000000000000001</v>
      </c>
      <c r="BG3623">
        <v>-2.87</v>
      </c>
      <c r="BH3623">
        <v>-3.17</v>
      </c>
      <c r="BI3623">
        <v>0.32</v>
      </c>
      <c r="BJ3623">
        <v>20210830</v>
      </c>
      <c r="BK3623">
        <v>20161202</v>
      </c>
      <c r="BL3623">
        <v>1.43</v>
      </c>
      <c r="BM3623" t="s">
        <v>120</v>
      </c>
      <c r="BN3623" t="s">
        <v>120</v>
      </c>
      <c r="BO3623">
        <v>18.23</v>
      </c>
      <c r="BP3623">
        <v>12.54</v>
      </c>
      <c r="BQ3623">
        <v>8.5</v>
      </c>
      <c r="BR3623">
        <v>-0.05</v>
      </c>
      <c r="BS3623">
        <v>53.62</v>
      </c>
      <c r="BT3623">
        <v>13.53</v>
      </c>
      <c r="BU3623">
        <v>0.55000000000000004</v>
      </c>
      <c r="BV3623">
        <v>0.27</v>
      </c>
      <c r="BW3623">
        <v>8.7100000000000009</v>
      </c>
      <c r="BX3623">
        <v>1.64</v>
      </c>
      <c r="BY3623">
        <v>3.93</v>
      </c>
      <c r="BZ3623">
        <v>5.82</v>
      </c>
      <c r="CA3623" t="s">
        <v>120</v>
      </c>
      <c r="CB3623">
        <v>4.5199999999999996</v>
      </c>
      <c r="CC3623">
        <v>1.95</v>
      </c>
      <c r="CD3623">
        <v>1.69</v>
      </c>
      <c r="CE3623">
        <v>-0.28000000000000003</v>
      </c>
      <c r="CF3623">
        <v>0</v>
      </c>
      <c r="CG3623">
        <v>-0.28000000000000003</v>
      </c>
      <c r="CH3623">
        <v>-0.28000000000000003</v>
      </c>
      <c r="CI3623">
        <v>-0.28000000000000003</v>
      </c>
      <c r="CJ3623">
        <v>-0.31</v>
      </c>
      <c r="CK3623">
        <v>-0.28999999999999998</v>
      </c>
      <c r="CL3623">
        <v>1.97</v>
      </c>
      <c r="CM3623">
        <v>-0.53</v>
      </c>
      <c r="CN3623">
        <v>-0.66</v>
      </c>
      <c r="CO3623">
        <v>28939</v>
      </c>
      <c r="CP3623">
        <v>4501</v>
      </c>
      <c r="CQ3623" t="s">
        <v>9740</v>
      </c>
      <c r="CR3623">
        <v>-64.28</v>
      </c>
      <c r="CS3623">
        <v>-10.199999999999999</v>
      </c>
      <c r="CT3623">
        <v>2.11</v>
      </c>
      <c r="CU3623">
        <v>-34.03</v>
      </c>
      <c r="CV3623">
        <v>9.23</v>
      </c>
      <c r="CW3623">
        <v>0</v>
      </c>
      <c r="CX3623" t="s">
        <v>716</v>
      </c>
      <c r="CY3623">
        <v>5.93</v>
      </c>
      <c r="CZ3623">
        <v>0</v>
      </c>
      <c r="DA3623">
        <v>3.15</v>
      </c>
      <c r="DB3623">
        <v>1.37</v>
      </c>
      <c r="DC3623">
        <v>-0.37</v>
      </c>
      <c r="DD3623">
        <v>46.63</v>
      </c>
      <c r="DE3623" t="s">
        <v>15171</v>
      </c>
      <c r="DF3623">
        <v>13.2</v>
      </c>
      <c r="DG3623">
        <v>-14.59</v>
      </c>
      <c r="DH3623">
        <v>-14.18</v>
      </c>
      <c r="DI3623">
        <v>0.03</v>
      </c>
      <c r="DJ3623">
        <v>1153</v>
      </c>
      <c r="DK3623">
        <v>603559</v>
      </c>
      <c r="DL3623" t="s">
        <v>120</v>
      </c>
      <c r="DM3623" t="s">
        <v>120</v>
      </c>
      <c r="DN3623" t="s">
        <v>120</v>
      </c>
    </row>
    <row r="3624" spans="1:118">
      <c r="A3624" t="str">
        <f>"603565"</f>
        <v>603565</v>
      </c>
      <c r="B3624" t="s">
        <v>15172</v>
      </c>
      <c r="C3624">
        <v>-3.03</v>
      </c>
      <c r="D3624">
        <v>0</v>
      </c>
      <c r="E3624">
        <v>0.05</v>
      </c>
      <c r="F3624">
        <v>307</v>
      </c>
      <c r="G3624" t="s">
        <v>707</v>
      </c>
      <c r="H3624">
        <v>7856.2</v>
      </c>
      <c r="I3624">
        <v>42.95</v>
      </c>
      <c r="J3624" t="s">
        <v>120</v>
      </c>
      <c r="K3624" t="s">
        <v>15173</v>
      </c>
      <c r="L3624">
        <v>2.46</v>
      </c>
      <c r="M3624">
        <v>35.89</v>
      </c>
      <c r="N3624">
        <v>0.78</v>
      </c>
      <c r="O3624">
        <v>2.35</v>
      </c>
      <c r="P3624">
        <v>37.880000000000003</v>
      </c>
      <c r="Q3624">
        <v>-3.03</v>
      </c>
      <c r="R3624">
        <v>35.89</v>
      </c>
      <c r="S3624">
        <v>37.03</v>
      </c>
      <c r="T3624">
        <v>21355</v>
      </c>
      <c r="U3624">
        <v>35.89</v>
      </c>
      <c r="V3624">
        <v>37.01</v>
      </c>
      <c r="W3624">
        <v>15.63</v>
      </c>
      <c r="X3624" t="s">
        <v>2775</v>
      </c>
      <c r="Y3624" t="s">
        <v>1510</v>
      </c>
      <c r="Z3624">
        <v>5.38</v>
      </c>
      <c r="AA3624">
        <v>36.79</v>
      </c>
      <c r="AB3624">
        <v>12982</v>
      </c>
      <c r="AC3624">
        <v>8373</v>
      </c>
      <c r="AD3624">
        <v>1.55</v>
      </c>
      <c r="AE3624">
        <v>7</v>
      </c>
      <c r="AF3624">
        <v>95</v>
      </c>
      <c r="AG3624" t="s">
        <v>120</v>
      </c>
      <c r="AH3624">
        <v>0.01</v>
      </c>
      <c r="AI3624" t="s">
        <v>120</v>
      </c>
      <c r="AJ3624">
        <v>0.87</v>
      </c>
      <c r="AK3624" t="s">
        <v>15174</v>
      </c>
      <c r="AL3624">
        <v>-1.68</v>
      </c>
      <c r="AM3624">
        <v>2094</v>
      </c>
      <c r="AN3624">
        <v>10</v>
      </c>
      <c r="AO3624">
        <v>1.1999999999999999E-3</v>
      </c>
      <c r="AP3624">
        <v>-1</v>
      </c>
      <c r="AQ3624">
        <v>0.79</v>
      </c>
      <c r="AR3624">
        <v>-7.67</v>
      </c>
      <c r="AS3624">
        <v>-12.8</v>
      </c>
      <c r="AT3624">
        <v>12.47</v>
      </c>
      <c r="AU3624">
        <v>112.94</v>
      </c>
      <c r="AV3624">
        <v>9</v>
      </c>
      <c r="AW3624">
        <v>2.54</v>
      </c>
      <c r="AX3624">
        <v>8.75</v>
      </c>
      <c r="AY3624">
        <v>18.96</v>
      </c>
      <c r="AZ3624">
        <v>34.83</v>
      </c>
      <c r="BA3624">
        <v>0.44</v>
      </c>
      <c r="BB3624" t="s">
        <v>143</v>
      </c>
      <c r="BF3624">
        <v>-0.6</v>
      </c>
      <c r="BG3624">
        <v>-3.08</v>
      </c>
      <c r="BH3624">
        <v>-5.25</v>
      </c>
      <c r="BI3624">
        <v>0</v>
      </c>
      <c r="BJ3624">
        <v>20210910</v>
      </c>
      <c r="BK3624">
        <v>20200925</v>
      </c>
      <c r="BL3624">
        <v>9.59</v>
      </c>
      <c r="BM3624" t="s">
        <v>120</v>
      </c>
      <c r="BN3624" t="s">
        <v>120</v>
      </c>
      <c r="BO3624">
        <v>119.28</v>
      </c>
      <c r="BP3624">
        <v>35.880000000000003</v>
      </c>
      <c r="BQ3624">
        <v>56.72</v>
      </c>
      <c r="BR3624">
        <v>0.31</v>
      </c>
      <c r="BS3624">
        <v>52.18</v>
      </c>
      <c r="BT3624">
        <v>57.93</v>
      </c>
      <c r="BU3624">
        <v>36.21</v>
      </c>
      <c r="BV3624">
        <v>2.15</v>
      </c>
      <c r="BW3624">
        <v>34.26</v>
      </c>
      <c r="BX3624">
        <v>16.38</v>
      </c>
      <c r="BY3624">
        <v>0.85</v>
      </c>
      <c r="BZ3624">
        <v>4.88</v>
      </c>
      <c r="CA3624" t="s">
        <v>120</v>
      </c>
      <c r="CB3624">
        <v>18.5</v>
      </c>
      <c r="CC3624">
        <v>56.04</v>
      </c>
      <c r="CD3624">
        <v>46.85</v>
      </c>
      <c r="CE3624">
        <v>14.7</v>
      </c>
      <c r="CF3624">
        <v>0.5</v>
      </c>
      <c r="CG3624">
        <v>14.69</v>
      </c>
      <c r="CH3624">
        <v>11.02</v>
      </c>
      <c r="CI3624">
        <v>11.01</v>
      </c>
      <c r="CJ3624">
        <v>-1.1200000000000001</v>
      </c>
      <c r="CK3624">
        <v>5.39</v>
      </c>
      <c r="CL3624">
        <v>26.96</v>
      </c>
      <c r="CM3624">
        <v>8.7100000000000009</v>
      </c>
      <c r="CN3624">
        <v>-17.77</v>
      </c>
      <c r="CO3624">
        <v>12000</v>
      </c>
      <c r="CP3624">
        <v>6992</v>
      </c>
      <c r="CQ3624" t="s">
        <v>15175</v>
      </c>
      <c r="CR3624">
        <v>342.9</v>
      </c>
      <c r="CS3624">
        <v>26.23</v>
      </c>
      <c r="CT3624">
        <v>5.48</v>
      </c>
      <c r="CU3624">
        <v>39.5</v>
      </c>
      <c r="CV3624">
        <v>6.14</v>
      </c>
      <c r="CW3624">
        <v>1.69</v>
      </c>
      <c r="CX3624" t="s">
        <v>15176</v>
      </c>
      <c r="CY3624">
        <v>6.55</v>
      </c>
      <c r="CZ3624">
        <v>6.55</v>
      </c>
      <c r="DA3624">
        <v>1.93</v>
      </c>
      <c r="DB3624">
        <v>2.81</v>
      </c>
      <c r="DC3624">
        <v>0.91</v>
      </c>
      <c r="DD3624">
        <v>47.55</v>
      </c>
      <c r="DE3624" t="s">
        <v>15177</v>
      </c>
      <c r="DF3624">
        <v>16.399999999999999</v>
      </c>
      <c r="DG3624">
        <v>26.22</v>
      </c>
      <c r="DH3624">
        <v>19.649999999999999</v>
      </c>
      <c r="DI3624">
        <v>0.1</v>
      </c>
      <c r="DJ3624">
        <v>1451</v>
      </c>
      <c r="DK3624">
        <v>603565</v>
      </c>
      <c r="DL3624" t="s">
        <v>120</v>
      </c>
      <c r="DM3624" t="s">
        <v>120</v>
      </c>
      <c r="DN3624" t="s">
        <v>120</v>
      </c>
    </row>
    <row r="3625" spans="1:118">
      <c r="A3625" t="str">
        <f>"603566"</f>
        <v>603566</v>
      </c>
      <c r="B3625" t="s">
        <v>15178</v>
      </c>
      <c r="C3625">
        <v>1.67</v>
      </c>
      <c r="D3625">
        <v>0</v>
      </c>
      <c r="E3625">
        <v>0</v>
      </c>
      <c r="F3625">
        <v>276</v>
      </c>
      <c r="G3625" t="s">
        <v>5455</v>
      </c>
      <c r="H3625">
        <v>4366.38</v>
      </c>
      <c r="I3625">
        <v>10.199999999999999</v>
      </c>
      <c r="J3625" t="s">
        <v>120</v>
      </c>
      <c r="K3625" t="s">
        <v>15179</v>
      </c>
      <c r="L3625">
        <v>0.72</v>
      </c>
      <c r="M3625">
        <v>18.86</v>
      </c>
      <c r="N3625">
        <v>1.04</v>
      </c>
      <c r="O3625">
        <v>3.07</v>
      </c>
      <c r="P3625">
        <v>19.12</v>
      </c>
      <c r="Q3625">
        <v>0</v>
      </c>
      <c r="R3625">
        <v>18.55</v>
      </c>
      <c r="S3625">
        <v>18.55</v>
      </c>
      <c r="T3625">
        <v>23128</v>
      </c>
      <c r="U3625">
        <v>18.87</v>
      </c>
      <c r="V3625">
        <v>18.55</v>
      </c>
      <c r="W3625">
        <v>18.53</v>
      </c>
      <c r="X3625" t="s">
        <v>666</v>
      </c>
      <c r="Y3625" t="s">
        <v>645</v>
      </c>
      <c r="Z3625">
        <v>3.07</v>
      </c>
      <c r="AA3625">
        <v>18.88</v>
      </c>
      <c r="AB3625">
        <v>11478</v>
      </c>
      <c r="AC3625">
        <v>11650</v>
      </c>
      <c r="AD3625">
        <v>0.99</v>
      </c>
      <c r="AE3625">
        <v>86</v>
      </c>
      <c r="AF3625">
        <v>123</v>
      </c>
      <c r="AG3625" t="s">
        <v>120</v>
      </c>
      <c r="AH3625">
        <v>0</v>
      </c>
      <c r="AI3625" t="s">
        <v>120</v>
      </c>
      <c r="AJ3625">
        <v>3.21</v>
      </c>
      <c r="AK3625" t="s">
        <v>15179</v>
      </c>
      <c r="AL3625">
        <v>3.01</v>
      </c>
      <c r="AM3625">
        <v>1770</v>
      </c>
      <c r="AN3625">
        <v>13</v>
      </c>
      <c r="AO3625">
        <v>4.0000000000000002E-4</v>
      </c>
      <c r="AP3625">
        <v>1</v>
      </c>
      <c r="AQ3625">
        <v>-1.1200000000000001</v>
      </c>
      <c r="AR3625">
        <v>0.8</v>
      </c>
      <c r="AS3625">
        <v>-3.33</v>
      </c>
      <c r="AT3625">
        <v>-21.08</v>
      </c>
      <c r="AU3625">
        <v>-6.77</v>
      </c>
      <c r="AV3625">
        <v>0</v>
      </c>
      <c r="AW3625">
        <v>1.26</v>
      </c>
      <c r="AX3625">
        <v>57.22</v>
      </c>
      <c r="AY3625">
        <v>21.98</v>
      </c>
      <c r="AZ3625">
        <v>26.19</v>
      </c>
      <c r="BA3625">
        <v>0.53</v>
      </c>
      <c r="BB3625" t="s">
        <v>143</v>
      </c>
      <c r="BF3625">
        <v>1.77</v>
      </c>
      <c r="BG3625">
        <v>1.67</v>
      </c>
      <c r="BH3625">
        <v>-1.36</v>
      </c>
      <c r="BI3625">
        <v>1.67</v>
      </c>
      <c r="BJ3625">
        <v>20210803</v>
      </c>
      <c r="BK3625">
        <v>20150518</v>
      </c>
      <c r="BL3625">
        <v>3.21</v>
      </c>
      <c r="BM3625" t="s">
        <v>120</v>
      </c>
      <c r="BN3625" t="s">
        <v>120</v>
      </c>
      <c r="BO3625">
        <v>20.61</v>
      </c>
      <c r="BP3625">
        <v>18.86</v>
      </c>
      <c r="BQ3625">
        <v>17.16</v>
      </c>
      <c r="BR3625" t="s">
        <v>120</v>
      </c>
      <c r="BS3625">
        <v>16.739999999999998</v>
      </c>
      <c r="BT3625">
        <v>8.52</v>
      </c>
      <c r="BU3625">
        <v>4.07</v>
      </c>
      <c r="BV3625">
        <v>2.2200000000000002</v>
      </c>
      <c r="BW3625">
        <v>3.17</v>
      </c>
      <c r="BX3625">
        <v>1.47</v>
      </c>
      <c r="BY3625">
        <v>2.0299999999999998</v>
      </c>
      <c r="BZ3625">
        <v>3.19</v>
      </c>
      <c r="CA3625" t="s">
        <v>120</v>
      </c>
      <c r="CB3625">
        <v>4.6900000000000004</v>
      </c>
      <c r="CC3625">
        <v>5.79</v>
      </c>
      <c r="CD3625">
        <v>1.87</v>
      </c>
      <c r="CE3625">
        <v>1.78</v>
      </c>
      <c r="CF3625">
        <v>0.05</v>
      </c>
      <c r="CG3625">
        <v>1.91</v>
      </c>
      <c r="CH3625">
        <v>1.64</v>
      </c>
      <c r="CI3625">
        <v>1.64</v>
      </c>
      <c r="CJ3625">
        <v>0.31</v>
      </c>
      <c r="CK3625">
        <v>1.47</v>
      </c>
      <c r="CL3625">
        <v>9.24</v>
      </c>
      <c r="CM3625">
        <v>0.24</v>
      </c>
      <c r="CN3625">
        <v>-1.06</v>
      </c>
      <c r="CO3625">
        <v>11688</v>
      </c>
      <c r="CP3625">
        <v>15739</v>
      </c>
      <c r="CQ3625" t="s">
        <v>15180</v>
      </c>
      <c r="CR3625">
        <v>36.299999999999997</v>
      </c>
      <c r="CS3625">
        <v>37.340000000000003</v>
      </c>
      <c r="CT3625">
        <v>3.53</v>
      </c>
      <c r="CU3625">
        <v>257.83999999999997</v>
      </c>
      <c r="CV3625">
        <v>10.47</v>
      </c>
      <c r="CW3625">
        <v>2.64</v>
      </c>
      <c r="CX3625" t="s">
        <v>948</v>
      </c>
      <c r="CY3625">
        <v>5.34</v>
      </c>
      <c r="CZ3625">
        <v>0</v>
      </c>
      <c r="DA3625">
        <v>1.46</v>
      </c>
      <c r="DB3625">
        <v>2.87</v>
      </c>
      <c r="DC3625">
        <v>7.0000000000000007E-2</v>
      </c>
      <c r="DD3625">
        <v>83.26</v>
      </c>
      <c r="DE3625" t="s">
        <v>8483</v>
      </c>
      <c r="DF3625">
        <v>67.66</v>
      </c>
      <c r="DG3625">
        <v>30.82</v>
      </c>
      <c r="DH3625">
        <v>28.24</v>
      </c>
      <c r="DI3625">
        <v>0.4</v>
      </c>
      <c r="DJ3625">
        <v>1678</v>
      </c>
      <c r="DK3625">
        <v>603566</v>
      </c>
      <c r="DL3625" t="s">
        <v>120</v>
      </c>
      <c r="DM3625" t="s">
        <v>120</v>
      </c>
      <c r="DN3625" t="s">
        <v>120</v>
      </c>
    </row>
    <row r="3626" spans="1:118">
      <c r="A3626" t="str">
        <f>"603567"</f>
        <v>603567</v>
      </c>
      <c r="B3626" t="s">
        <v>15181</v>
      </c>
      <c r="C3626">
        <v>0.06</v>
      </c>
      <c r="D3626">
        <v>0.06</v>
      </c>
      <c r="E3626">
        <v>0</v>
      </c>
      <c r="F3626">
        <v>431</v>
      </c>
      <c r="G3626" t="s">
        <v>1224</v>
      </c>
      <c r="H3626">
        <v>3710.89</v>
      </c>
      <c r="I3626">
        <v>0</v>
      </c>
      <c r="J3626" t="s">
        <v>120</v>
      </c>
      <c r="K3626" t="s">
        <v>15182</v>
      </c>
      <c r="L3626">
        <v>0.26</v>
      </c>
      <c r="M3626">
        <v>16.63</v>
      </c>
      <c r="N3626">
        <v>0.76</v>
      </c>
      <c r="O3626">
        <v>0.9</v>
      </c>
      <c r="P3626">
        <v>16.77</v>
      </c>
      <c r="Q3626">
        <v>-0.54</v>
      </c>
      <c r="R3626">
        <v>16.53</v>
      </c>
      <c r="S3626">
        <v>16.62</v>
      </c>
      <c r="T3626">
        <v>22325</v>
      </c>
      <c r="U3626">
        <v>16.63</v>
      </c>
      <c r="V3626">
        <v>16.62</v>
      </c>
      <c r="W3626">
        <v>25.56</v>
      </c>
      <c r="X3626" t="s">
        <v>771</v>
      </c>
      <c r="Y3626" t="s">
        <v>1686</v>
      </c>
      <c r="Z3626">
        <v>1.44</v>
      </c>
      <c r="AA3626">
        <v>16.62</v>
      </c>
      <c r="AB3626">
        <v>6491</v>
      </c>
      <c r="AC3626">
        <v>15834</v>
      </c>
      <c r="AD3626">
        <v>0.41</v>
      </c>
      <c r="AE3626">
        <v>109</v>
      </c>
      <c r="AF3626">
        <v>450</v>
      </c>
      <c r="AG3626" t="s">
        <v>120</v>
      </c>
      <c r="AH3626">
        <v>0</v>
      </c>
      <c r="AI3626" t="s">
        <v>120</v>
      </c>
      <c r="AJ3626">
        <v>8.49</v>
      </c>
      <c r="AK3626" t="s">
        <v>15182</v>
      </c>
      <c r="AL3626">
        <v>1.4</v>
      </c>
      <c r="AM3626">
        <v>2054</v>
      </c>
      <c r="AN3626">
        <v>11</v>
      </c>
      <c r="AO3626">
        <v>1E-4</v>
      </c>
      <c r="AP3626">
        <v>1</v>
      </c>
      <c r="AQ3626">
        <v>-0.89</v>
      </c>
      <c r="AR3626">
        <v>-0.65</v>
      </c>
      <c r="AS3626">
        <v>6.67</v>
      </c>
      <c r="AT3626">
        <v>3.55</v>
      </c>
      <c r="AU3626">
        <v>49.01</v>
      </c>
      <c r="AV3626">
        <v>0</v>
      </c>
      <c r="AW3626">
        <v>1.78</v>
      </c>
      <c r="AX3626">
        <v>14.75</v>
      </c>
      <c r="AY3626">
        <v>26.72</v>
      </c>
      <c r="AZ3626">
        <v>32.35</v>
      </c>
      <c r="BA3626">
        <v>0.31</v>
      </c>
      <c r="BB3626" t="s">
        <v>143</v>
      </c>
      <c r="BF3626">
        <v>0.01</v>
      </c>
      <c r="BG3626">
        <v>0.06</v>
      </c>
      <c r="BH3626">
        <v>-0.83</v>
      </c>
      <c r="BI3626">
        <v>0.6</v>
      </c>
      <c r="BJ3626">
        <v>20210821</v>
      </c>
      <c r="BK3626">
        <v>20150424</v>
      </c>
      <c r="BL3626">
        <v>8.49</v>
      </c>
      <c r="BM3626" t="s">
        <v>120</v>
      </c>
      <c r="BN3626" t="s">
        <v>120</v>
      </c>
      <c r="BO3626">
        <v>100.6</v>
      </c>
      <c r="BP3626">
        <v>16.62</v>
      </c>
      <c r="BQ3626">
        <v>57.71</v>
      </c>
      <c r="BR3626">
        <v>0.1</v>
      </c>
      <c r="BS3626">
        <v>42.53</v>
      </c>
      <c r="BT3626">
        <v>55.96</v>
      </c>
      <c r="BU3626">
        <v>13.44</v>
      </c>
      <c r="BV3626">
        <v>2.4300000000000002</v>
      </c>
      <c r="BW3626">
        <v>18.07</v>
      </c>
      <c r="BX3626">
        <v>7.08</v>
      </c>
      <c r="BY3626">
        <v>13.37</v>
      </c>
      <c r="BZ3626">
        <v>26.45</v>
      </c>
      <c r="CA3626">
        <v>0.01</v>
      </c>
      <c r="CB3626">
        <v>12.25</v>
      </c>
      <c r="CC3626">
        <v>16.3</v>
      </c>
      <c r="CD3626">
        <v>8.07</v>
      </c>
      <c r="CE3626">
        <v>3.48</v>
      </c>
      <c r="CF3626">
        <v>1.45</v>
      </c>
      <c r="CG3626">
        <v>3.49</v>
      </c>
      <c r="CH3626">
        <v>2.78</v>
      </c>
      <c r="CI3626">
        <v>2.76</v>
      </c>
      <c r="CJ3626">
        <v>0.01</v>
      </c>
      <c r="CK3626">
        <v>1.7</v>
      </c>
      <c r="CL3626">
        <v>32.700000000000003</v>
      </c>
      <c r="CM3626">
        <v>-4.01</v>
      </c>
      <c r="CN3626">
        <v>-8.39</v>
      </c>
      <c r="CO3626">
        <v>17636</v>
      </c>
      <c r="CP3626">
        <v>7103</v>
      </c>
      <c r="CQ3626" t="s">
        <v>3231</v>
      </c>
      <c r="CR3626">
        <v>49.77</v>
      </c>
      <c r="CS3626">
        <v>19.579999999999998</v>
      </c>
      <c r="CT3626">
        <v>2.4500000000000002</v>
      </c>
      <c r="CU3626">
        <v>-35.22</v>
      </c>
      <c r="CV3626">
        <v>8.66</v>
      </c>
      <c r="CW3626">
        <v>0</v>
      </c>
      <c r="CX3626" t="s">
        <v>10585</v>
      </c>
      <c r="CY3626">
        <v>6.8</v>
      </c>
      <c r="CZ3626">
        <v>0</v>
      </c>
      <c r="DA3626">
        <v>1.44</v>
      </c>
      <c r="DB3626">
        <v>3.85</v>
      </c>
      <c r="DC3626">
        <v>-0.47</v>
      </c>
      <c r="DD3626">
        <v>57.37</v>
      </c>
      <c r="DE3626" t="s">
        <v>1943</v>
      </c>
      <c r="DF3626">
        <v>50.47</v>
      </c>
      <c r="DG3626">
        <v>21.33</v>
      </c>
      <c r="DH3626">
        <v>16.95</v>
      </c>
      <c r="DI3626">
        <v>0.24</v>
      </c>
      <c r="DJ3626">
        <v>3321</v>
      </c>
      <c r="DK3626">
        <v>603567</v>
      </c>
      <c r="DL3626" t="s">
        <v>120</v>
      </c>
      <c r="DM3626" t="s">
        <v>120</v>
      </c>
      <c r="DN3626" t="s">
        <v>120</v>
      </c>
    </row>
    <row r="3627" spans="1:118">
      <c r="A3627" t="str">
        <f>"603568"</f>
        <v>603568</v>
      </c>
      <c r="B3627" t="s">
        <v>15183</v>
      </c>
      <c r="C3627">
        <v>-2.35</v>
      </c>
      <c r="D3627">
        <v>0</v>
      </c>
      <c r="E3627">
        <v>0</v>
      </c>
      <c r="F3627">
        <v>341</v>
      </c>
      <c r="G3627" t="s">
        <v>15184</v>
      </c>
      <c r="H3627">
        <v>12825.81</v>
      </c>
      <c r="I3627">
        <v>70.680000000000007</v>
      </c>
      <c r="J3627" t="s">
        <v>120</v>
      </c>
      <c r="K3627" t="s">
        <v>15185</v>
      </c>
      <c r="L3627">
        <v>0.38</v>
      </c>
      <c r="M3627">
        <v>27</v>
      </c>
      <c r="N3627">
        <v>1.21</v>
      </c>
      <c r="O3627">
        <v>1.45</v>
      </c>
      <c r="P3627">
        <v>28.05</v>
      </c>
      <c r="Q3627">
        <v>-2.5299999999999998</v>
      </c>
      <c r="R3627">
        <v>26.95</v>
      </c>
      <c r="S3627">
        <v>27.65</v>
      </c>
      <c r="T3627">
        <v>47183</v>
      </c>
      <c r="U3627">
        <v>27</v>
      </c>
      <c r="V3627">
        <v>27.65</v>
      </c>
      <c r="W3627">
        <v>21.82</v>
      </c>
      <c r="X3627" t="s">
        <v>318</v>
      </c>
      <c r="Y3627" t="s">
        <v>585</v>
      </c>
      <c r="Z3627">
        <v>3.98</v>
      </c>
      <c r="AA3627">
        <v>27.18</v>
      </c>
      <c r="AB3627">
        <v>23529</v>
      </c>
      <c r="AC3627">
        <v>23654</v>
      </c>
      <c r="AD3627">
        <v>0.99</v>
      </c>
      <c r="AE3627">
        <v>29</v>
      </c>
      <c r="AF3627">
        <v>23</v>
      </c>
      <c r="AG3627" t="s">
        <v>120</v>
      </c>
      <c r="AH3627">
        <v>0.01</v>
      </c>
      <c r="AI3627" t="s">
        <v>120</v>
      </c>
      <c r="AJ3627">
        <v>12.57</v>
      </c>
      <c r="AK3627" t="s">
        <v>15185</v>
      </c>
      <c r="AL3627">
        <v>-1.01</v>
      </c>
      <c r="AM3627">
        <v>2585</v>
      </c>
      <c r="AN3627">
        <v>18</v>
      </c>
      <c r="AO3627">
        <v>1E-4</v>
      </c>
      <c r="AP3627">
        <v>-2</v>
      </c>
      <c r="AQ3627">
        <v>-3.29</v>
      </c>
      <c r="AR3627">
        <v>-5.54</v>
      </c>
      <c r="AS3627">
        <v>-2.42</v>
      </c>
      <c r="AT3627">
        <v>23.55</v>
      </c>
      <c r="AU3627">
        <v>44.97</v>
      </c>
      <c r="AV3627">
        <v>0</v>
      </c>
      <c r="AW3627">
        <v>1.38</v>
      </c>
      <c r="AX3627">
        <v>27.22</v>
      </c>
      <c r="AY3627">
        <v>22.66</v>
      </c>
      <c r="AZ3627">
        <v>27.63</v>
      </c>
      <c r="BA3627">
        <v>0.09</v>
      </c>
      <c r="BB3627" t="s">
        <v>143</v>
      </c>
      <c r="BF3627">
        <v>-1.69</v>
      </c>
      <c r="BG3627">
        <v>-2.35</v>
      </c>
      <c r="BH3627">
        <v>-3.74</v>
      </c>
      <c r="BI3627">
        <v>0.19</v>
      </c>
      <c r="BJ3627">
        <v>20210821</v>
      </c>
      <c r="BK3627">
        <v>20150528</v>
      </c>
      <c r="BL3627">
        <v>12.57</v>
      </c>
      <c r="BM3627" t="s">
        <v>120</v>
      </c>
      <c r="BN3627" t="s">
        <v>120</v>
      </c>
      <c r="BO3627">
        <v>120.1</v>
      </c>
      <c r="BP3627">
        <v>26.98</v>
      </c>
      <c r="BQ3627">
        <v>57.75</v>
      </c>
      <c r="BR3627">
        <v>1.01</v>
      </c>
      <c r="BS3627">
        <v>51.07</v>
      </c>
      <c r="BT3627">
        <v>27.92</v>
      </c>
      <c r="BU3627">
        <v>8.08</v>
      </c>
      <c r="BV3627">
        <v>74.06</v>
      </c>
      <c r="BW3627">
        <v>19.850000000000001</v>
      </c>
      <c r="BX3627">
        <v>7.92</v>
      </c>
      <c r="BY3627">
        <v>1.5</v>
      </c>
      <c r="BZ3627">
        <v>8.6</v>
      </c>
      <c r="CA3627" t="s">
        <v>120</v>
      </c>
      <c r="CB3627">
        <v>4.95</v>
      </c>
      <c r="CC3627">
        <v>20.9</v>
      </c>
      <c r="CD3627">
        <v>11.04</v>
      </c>
      <c r="CE3627">
        <v>8.7100000000000009</v>
      </c>
      <c r="CF3627">
        <v>0</v>
      </c>
      <c r="CG3627">
        <v>8.75</v>
      </c>
      <c r="CH3627">
        <v>7.83</v>
      </c>
      <c r="CI3627">
        <v>7.77</v>
      </c>
      <c r="CJ3627">
        <v>-0.65</v>
      </c>
      <c r="CK3627">
        <v>7.4</v>
      </c>
      <c r="CL3627">
        <v>37.6</v>
      </c>
      <c r="CM3627">
        <v>4.92</v>
      </c>
      <c r="CN3627">
        <v>-1.48</v>
      </c>
      <c r="CO3627">
        <v>30439</v>
      </c>
      <c r="CP3627">
        <v>11235</v>
      </c>
      <c r="CQ3627" t="s">
        <v>15186</v>
      </c>
      <c r="CR3627">
        <v>55</v>
      </c>
      <c r="CS3627">
        <v>82.53</v>
      </c>
      <c r="CT3627">
        <v>5.99</v>
      </c>
      <c r="CU3627">
        <v>68.94</v>
      </c>
      <c r="CV3627">
        <v>16.23</v>
      </c>
      <c r="CW3627">
        <v>1.1000000000000001</v>
      </c>
      <c r="CX3627" t="s">
        <v>8995</v>
      </c>
      <c r="CY3627">
        <v>4.51</v>
      </c>
      <c r="CZ3627">
        <v>4.51</v>
      </c>
      <c r="DA3627">
        <v>0.39</v>
      </c>
      <c r="DB3627">
        <v>2.99</v>
      </c>
      <c r="DC3627">
        <v>0.39</v>
      </c>
      <c r="DD3627">
        <v>48.08</v>
      </c>
      <c r="DE3627" t="s">
        <v>7974</v>
      </c>
      <c r="DF3627">
        <v>47.17</v>
      </c>
      <c r="DG3627">
        <v>41.66</v>
      </c>
      <c r="DH3627">
        <v>37.19</v>
      </c>
      <c r="DI3627">
        <v>0.27</v>
      </c>
      <c r="DJ3627">
        <v>2439</v>
      </c>
      <c r="DK3627">
        <v>603568</v>
      </c>
      <c r="DL3627" t="s">
        <v>120</v>
      </c>
      <c r="DM3627" t="s">
        <v>120</v>
      </c>
      <c r="DN3627" t="s">
        <v>120</v>
      </c>
    </row>
    <row r="3628" spans="1:118">
      <c r="A3628" t="str">
        <f>"603569"</f>
        <v>603569</v>
      </c>
      <c r="B3628" t="s">
        <v>15187</v>
      </c>
      <c r="C3628">
        <v>0</v>
      </c>
      <c r="D3628">
        <v>-0.27</v>
      </c>
      <c r="E3628">
        <v>0</v>
      </c>
      <c r="F3628">
        <v>110</v>
      </c>
      <c r="G3628" t="s">
        <v>2584</v>
      </c>
      <c r="H3628">
        <v>847.84</v>
      </c>
      <c r="I3628">
        <v>0.63</v>
      </c>
      <c r="J3628" t="s">
        <v>120</v>
      </c>
      <c r="K3628" t="s">
        <v>15188</v>
      </c>
      <c r="L3628">
        <v>0.21</v>
      </c>
      <c r="M3628">
        <v>7.03</v>
      </c>
      <c r="N3628">
        <v>1.19</v>
      </c>
      <c r="O3628">
        <v>1.1399999999999999</v>
      </c>
      <c r="P3628">
        <v>7.11</v>
      </c>
      <c r="Q3628">
        <v>-0.56999999999999995</v>
      </c>
      <c r="R3628">
        <v>6.99</v>
      </c>
      <c r="S3628">
        <v>7.03</v>
      </c>
      <c r="T3628">
        <v>12009</v>
      </c>
      <c r="U3628">
        <v>7.04</v>
      </c>
      <c r="V3628">
        <v>7.03</v>
      </c>
      <c r="W3628">
        <v>38.86</v>
      </c>
      <c r="X3628" t="s">
        <v>2775</v>
      </c>
      <c r="Y3628" t="s">
        <v>158</v>
      </c>
      <c r="Z3628">
        <v>1.71</v>
      </c>
      <c r="AA3628">
        <v>7.06</v>
      </c>
      <c r="AB3628">
        <v>6162</v>
      </c>
      <c r="AC3628">
        <v>5847</v>
      </c>
      <c r="AD3628">
        <v>1.05</v>
      </c>
      <c r="AE3628">
        <v>61</v>
      </c>
      <c r="AF3628">
        <v>3</v>
      </c>
      <c r="AG3628" t="s">
        <v>120</v>
      </c>
      <c r="AH3628">
        <v>0</v>
      </c>
      <c r="AI3628" t="s">
        <v>120</v>
      </c>
      <c r="AJ3628">
        <v>5.6</v>
      </c>
      <c r="AK3628" t="s">
        <v>15188</v>
      </c>
      <c r="AL3628">
        <v>1.34</v>
      </c>
      <c r="AM3628">
        <v>653</v>
      </c>
      <c r="AN3628">
        <v>18</v>
      </c>
      <c r="AO3628">
        <v>2.9999999999999997E-4</v>
      </c>
      <c r="AP3628">
        <v>0</v>
      </c>
      <c r="AQ3628">
        <v>0.14000000000000001</v>
      </c>
      <c r="AR3628">
        <v>-1.4</v>
      </c>
      <c r="AS3628">
        <v>3.84</v>
      </c>
      <c r="AT3628">
        <v>-8.82</v>
      </c>
      <c r="AU3628">
        <v>-9.56</v>
      </c>
      <c r="AV3628">
        <v>1</v>
      </c>
      <c r="AW3628">
        <v>0.96</v>
      </c>
      <c r="AX3628">
        <v>22.22</v>
      </c>
      <c r="AY3628">
        <v>31.57</v>
      </c>
      <c r="AZ3628">
        <v>32.840000000000003</v>
      </c>
      <c r="BA3628">
        <v>0.69</v>
      </c>
      <c r="BB3628" t="s">
        <v>143</v>
      </c>
      <c r="BF3628">
        <v>0.43</v>
      </c>
      <c r="BG3628">
        <v>0</v>
      </c>
      <c r="BH3628">
        <v>-1.1299999999999999</v>
      </c>
      <c r="BI3628">
        <v>0.56999999999999995</v>
      </c>
      <c r="BJ3628">
        <v>20210830</v>
      </c>
      <c r="BK3628">
        <v>20160810</v>
      </c>
      <c r="BL3628">
        <v>5.6</v>
      </c>
      <c r="BM3628" t="s">
        <v>120</v>
      </c>
      <c r="BN3628" t="s">
        <v>120</v>
      </c>
      <c r="BO3628">
        <v>54.4</v>
      </c>
      <c r="BP3628">
        <v>7.03</v>
      </c>
      <c r="BQ3628">
        <v>23.43</v>
      </c>
      <c r="BR3628">
        <v>1.71</v>
      </c>
      <c r="BS3628">
        <v>53.79</v>
      </c>
      <c r="BT3628">
        <v>27.14</v>
      </c>
      <c r="BU3628">
        <v>6.28</v>
      </c>
      <c r="BV3628">
        <v>5.04</v>
      </c>
      <c r="BW3628">
        <v>21.3</v>
      </c>
      <c r="BX3628">
        <v>7.78</v>
      </c>
      <c r="BY3628">
        <v>0.06</v>
      </c>
      <c r="BZ3628">
        <v>14.06</v>
      </c>
      <c r="CA3628">
        <v>0.01</v>
      </c>
      <c r="CB3628">
        <v>3.73</v>
      </c>
      <c r="CC3628">
        <v>22.56</v>
      </c>
      <c r="CD3628">
        <v>21.12</v>
      </c>
      <c r="CE3628">
        <v>0.56000000000000005</v>
      </c>
      <c r="CF3628">
        <v>0.02</v>
      </c>
      <c r="CG3628">
        <v>0.74</v>
      </c>
      <c r="CH3628">
        <v>0.55000000000000004</v>
      </c>
      <c r="CI3628">
        <v>0.51</v>
      </c>
      <c r="CJ3628">
        <v>0</v>
      </c>
      <c r="CK3628">
        <v>0.36</v>
      </c>
      <c r="CL3628">
        <v>10.09</v>
      </c>
      <c r="CM3628">
        <v>0.27</v>
      </c>
      <c r="CN3628">
        <v>-1.72</v>
      </c>
      <c r="CO3628">
        <v>13114</v>
      </c>
      <c r="CP3628">
        <v>9495</v>
      </c>
      <c r="CQ3628" t="s">
        <v>4615</v>
      </c>
      <c r="CR3628">
        <v>10.59</v>
      </c>
      <c r="CS3628">
        <v>28.41</v>
      </c>
      <c r="CT3628">
        <v>1.85</v>
      </c>
      <c r="CU3628">
        <v>145.32</v>
      </c>
      <c r="CV3628">
        <v>1.75</v>
      </c>
      <c r="CW3628">
        <v>1.52</v>
      </c>
      <c r="CX3628" t="s">
        <v>329</v>
      </c>
      <c r="CY3628">
        <v>3.8</v>
      </c>
      <c r="CZ3628">
        <v>3.8</v>
      </c>
      <c r="DA3628">
        <v>0.67</v>
      </c>
      <c r="DB3628">
        <v>1.8</v>
      </c>
      <c r="DC3628">
        <v>0.05</v>
      </c>
      <c r="DD3628">
        <v>43.06</v>
      </c>
      <c r="DE3628" t="s">
        <v>2347</v>
      </c>
      <c r="DF3628">
        <v>6.4</v>
      </c>
      <c r="DG3628">
        <v>2.5</v>
      </c>
      <c r="DH3628">
        <v>2.25</v>
      </c>
      <c r="DI3628">
        <v>0.04</v>
      </c>
      <c r="DJ3628">
        <v>1508</v>
      </c>
      <c r="DK3628">
        <v>603569</v>
      </c>
      <c r="DL3628" t="s">
        <v>120</v>
      </c>
      <c r="DM3628" t="s">
        <v>120</v>
      </c>
      <c r="DN3628" t="s">
        <v>120</v>
      </c>
    </row>
    <row r="3629" spans="1:118">
      <c r="A3629" t="str">
        <f>"603577"</f>
        <v>603577</v>
      </c>
      <c r="B3629" t="s">
        <v>15189</v>
      </c>
      <c r="C3629">
        <v>1.33</v>
      </c>
      <c r="D3629">
        <v>-0.39</v>
      </c>
      <c r="E3629">
        <v>0.72</v>
      </c>
      <c r="F3629">
        <v>3538</v>
      </c>
      <c r="G3629" t="s">
        <v>10665</v>
      </c>
      <c r="H3629">
        <v>8961.77</v>
      </c>
      <c r="I3629">
        <v>48.51</v>
      </c>
      <c r="J3629" t="s">
        <v>120</v>
      </c>
      <c r="K3629" t="s">
        <v>13603</v>
      </c>
      <c r="L3629">
        <v>3.73</v>
      </c>
      <c r="M3629">
        <v>9.9</v>
      </c>
      <c r="N3629">
        <v>0.71</v>
      </c>
      <c r="O3629">
        <v>2.87</v>
      </c>
      <c r="P3629">
        <v>10.050000000000001</v>
      </c>
      <c r="Q3629">
        <v>-2.25</v>
      </c>
      <c r="R3629">
        <v>9.5500000000000007</v>
      </c>
      <c r="S3629">
        <v>9.84</v>
      </c>
      <c r="T3629">
        <v>91459</v>
      </c>
      <c r="U3629">
        <v>9.91</v>
      </c>
      <c r="V3629">
        <v>9.77</v>
      </c>
      <c r="W3629">
        <v>27.45</v>
      </c>
      <c r="X3629" t="s">
        <v>1925</v>
      </c>
      <c r="Y3629" t="s">
        <v>638</v>
      </c>
      <c r="Z3629">
        <v>5.12</v>
      </c>
      <c r="AA3629">
        <v>9.8000000000000007</v>
      </c>
      <c r="AB3629">
        <v>49563</v>
      </c>
      <c r="AC3629">
        <v>41896</v>
      </c>
      <c r="AD3629">
        <v>1.18</v>
      </c>
      <c r="AE3629">
        <v>110</v>
      </c>
      <c r="AF3629">
        <v>204</v>
      </c>
      <c r="AG3629" t="s">
        <v>120</v>
      </c>
      <c r="AH3629">
        <v>0.04</v>
      </c>
      <c r="AI3629" t="s">
        <v>120</v>
      </c>
      <c r="AJ3629">
        <v>2.4500000000000002</v>
      </c>
      <c r="AK3629" t="s">
        <v>15190</v>
      </c>
      <c r="AL3629">
        <v>2.67</v>
      </c>
      <c r="AM3629">
        <v>2368</v>
      </c>
      <c r="AN3629">
        <v>39</v>
      </c>
      <c r="AO3629">
        <v>1.6000000000000001E-3</v>
      </c>
      <c r="AP3629">
        <v>1</v>
      </c>
      <c r="AQ3629">
        <v>-0.1</v>
      </c>
      <c r="AR3629">
        <v>-5.53</v>
      </c>
      <c r="AS3629">
        <v>10.61</v>
      </c>
      <c r="AT3629">
        <v>10.14</v>
      </c>
      <c r="AU3629">
        <v>8.09</v>
      </c>
      <c r="AV3629">
        <v>1</v>
      </c>
      <c r="AW3629">
        <v>7.94</v>
      </c>
      <c r="AX3629">
        <v>39.97</v>
      </c>
      <c r="AY3629">
        <v>28.43</v>
      </c>
      <c r="AZ3629">
        <v>26.58</v>
      </c>
      <c r="BA3629">
        <v>0.78</v>
      </c>
      <c r="BB3629" t="s">
        <v>341</v>
      </c>
      <c r="BF3629">
        <v>0.28999999999999998</v>
      </c>
      <c r="BG3629">
        <v>0.61</v>
      </c>
      <c r="BH3629">
        <v>-1.49</v>
      </c>
      <c r="BI3629">
        <v>3.66</v>
      </c>
      <c r="BJ3629">
        <v>20210831</v>
      </c>
      <c r="BK3629">
        <v>20161222</v>
      </c>
      <c r="BL3629">
        <v>2.88</v>
      </c>
      <c r="BM3629" t="s">
        <v>120</v>
      </c>
      <c r="BN3629" t="s">
        <v>120</v>
      </c>
      <c r="BO3629">
        <v>31.1</v>
      </c>
      <c r="BP3629">
        <v>9.9</v>
      </c>
      <c r="BQ3629">
        <v>13.69</v>
      </c>
      <c r="BR3629">
        <v>0.13</v>
      </c>
      <c r="BS3629">
        <v>55.58</v>
      </c>
      <c r="BT3629">
        <v>24.39</v>
      </c>
      <c r="BU3629">
        <v>4.58</v>
      </c>
      <c r="BV3629">
        <v>1.05</v>
      </c>
      <c r="BW3629">
        <v>15.84</v>
      </c>
      <c r="BX3629">
        <v>2.25</v>
      </c>
      <c r="BY3629">
        <v>10.39</v>
      </c>
      <c r="BZ3629">
        <v>6.59</v>
      </c>
      <c r="CA3629">
        <v>0.05</v>
      </c>
      <c r="CB3629">
        <v>6.48</v>
      </c>
      <c r="CC3629">
        <v>10.68</v>
      </c>
      <c r="CD3629">
        <v>9.0299999999999994</v>
      </c>
      <c r="CE3629">
        <v>0.54</v>
      </c>
      <c r="CF3629">
        <v>0.01</v>
      </c>
      <c r="CG3629">
        <v>0.53</v>
      </c>
      <c r="CH3629">
        <v>0.52</v>
      </c>
      <c r="CI3629">
        <v>0.52</v>
      </c>
      <c r="CJ3629">
        <v>0.13</v>
      </c>
      <c r="CK3629">
        <v>0.44</v>
      </c>
      <c r="CL3629">
        <v>3.88</v>
      </c>
      <c r="CM3629">
        <v>0.23</v>
      </c>
      <c r="CN3629">
        <v>1.04</v>
      </c>
      <c r="CO3629">
        <v>13853</v>
      </c>
      <c r="CP3629">
        <v>8317</v>
      </c>
      <c r="CQ3629" t="s">
        <v>5888</v>
      </c>
      <c r="CR3629">
        <v>-11.72</v>
      </c>
      <c r="CS3629">
        <v>0.45</v>
      </c>
      <c r="CT3629">
        <v>2.09</v>
      </c>
      <c r="CU3629">
        <v>125.28</v>
      </c>
      <c r="CV3629">
        <v>2.67</v>
      </c>
      <c r="CW3629">
        <v>1.1399999999999999</v>
      </c>
      <c r="CX3629" t="s">
        <v>242</v>
      </c>
      <c r="CY3629">
        <v>4.75</v>
      </c>
      <c r="CZ3629">
        <v>0</v>
      </c>
      <c r="DA3629">
        <v>2.25</v>
      </c>
      <c r="DB3629">
        <v>1.35</v>
      </c>
      <c r="DC3629">
        <v>0.08</v>
      </c>
      <c r="DD3629">
        <v>44</v>
      </c>
      <c r="DE3629" t="s">
        <v>8945</v>
      </c>
      <c r="DF3629">
        <v>15.44</v>
      </c>
      <c r="DG3629">
        <v>5.0199999999999996</v>
      </c>
      <c r="DH3629">
        <v>4.87</v>
      </c>
      <c r="DI3629">
        <v>0.34</v>
      </c>
      <c r="DJ3629">
        <v>1643</v>
      </c>
      <c r="DK3629">
        <v>603577</v>
      </c>
      <c r="DL3629" t="s">
        <v>120</v>
      </c>
      <c r="DM3629" t="s">
        <v>120</v>
      </c>
      <c r="DN3629" t="s">
        <v>120</v>
      </c>
    </row>
    <row r="3630" spans="1:118">
      <c r="A3630" t="str">
        <f>"603578"</f>
        <v>603578</v>
      </c>
      <c r="B3630" t="s">
        <v>15191</v>
      </c>
      <c r="C3630">
        <v>-1.95</v>
      </c>
      <c r="D3630">
        <v>0</v>
      </c>
      <c r="E3630">
        <v>0.31</v>
      </c>
      <c r="F3630">
        <v>259</v>
      </c>
      <c r="G3630" t="s">
        <v>10621</v>
      </c>
      <c r="H3630">
        <v>1800.07</v>
      </c>
      <c r="I3630">
        <v>11.15</v>
      </c>
      <c r="J3630" t="s">
        <v>120</v>
      </c>
      <c r="K3630" t="s">
        <v>15192</v>
      </c>
      <c r="L3630">
        <v>0.89</v>
      </c>
      <c r="M3630">
        <v>15.57</v>
      </c>
      <c r="N3630">
        <v>0.67</v>
      </c>
      <c r="O3630">
        <v>0.69</v>
      </c>
      <c r="P3630">
        <v>15.99</v>
      </c>
      <c r="Q3630">
        <v>-2.02</v>
      </c>
      <c r="R3630">
        <v>15.56</v>
      </c>
      <c r="S3630">
        <v>15.93</v>
      </c>
      <c r="T3630">
        <v>11399</v>
      </c>
      <c r="U3630">
        <v>15.58</v>
      </c>
      <c r="V3630">
        <v>15.88</v>
      </c>
      <c r="W3630">
        <v>15.26</v>
      </c>
      <c r="X3630" t="s">
        <v>191</v>
      </c>
      <c r="Y3630" t="s">
        <v>585</v>
      </c>
      <c r="Z3630">
        <v>2.71</v>
      </c>
      <c r="AA3630">
        <v>15.79</v>
      </c>
      <c r="AB3630">
        <v>6371</v>
      </c>
      <c r="AC3630">
        <v>5028</v>
      </c>
      <c r="AD3630">
        <v>1.27</v>
      </c>
      <c r="AE3630">
        <v>7</v>
      </c>
      <c r="AF3630">
        <v>3</v>
      </c>
      <c r="AG3630" t="s">
        <v>120</v>
      </c>
      <c r="AH3630">
        <v>0.01</v>
      </c>
      <c r="AI3630" t="s">
        <v>120</v>
      </c>
      <c r="AJ3630">
        <v>1.28</v>
      </c>
      <c r="AK3630" t="s">
        <v>4545</v>
      </c>
      <c r="AL3630">
        <v>-0.61</v>
      </c>
      <c r="AM3630">
        <v>1117</v>
      </c>
      <c r="AN3630">
        <v>10</v>
      </c>
      <c r="AO3630">
        <v>8.0000000000000004E-4</v>
      </c>
      <c r="AP3630">
        <v>-3</v>
      </c>
      <c r="AQ3630">
        <v>-0.13</v>
      </c>
      <c r="AR3630">
        <v>-2.4500000000000002</v>
      </c>
      <c r="AS3630">
        <v>13.4</v>
      </c>
      <c r="AT3630">
        <v>6.06</v>
      </c>
      <c r="AU3630">
        <v>-0.51</v>
      </c>
      <c r="AV3630">
        <v>0</v>
      </c>
      <c r="AW3630">
        <v>2.2999999999999998</v>
      </c>
      <c r="AX3630">
        <v>38.520000000000003</v>
      </c>
      <c r="AY3630">
        <v>19.09</v>
      </c>
      <c r="AZ3630">
        <v>23.85</v>
      </c>
      <c r="BA3630">
        <v>0.76</v>
      </c>
      <c r="BB3630" t="s">
        <v>143</v>
      </c>
      <c r="BF3630">
        <v>-0.56000000000000005</v>
      </c>
      <c r="BG3630">
        <v>-2.2599999999999998</v>
      </c>
      <c r="BH3630">
        <v>-2.63</v>
      </c>
      <c r="BI3630">
        <v>0.06</v>
      </c>
      <c r="BJ3630">
        <v>20210826</v>
      </c>
      <c r="BK3630">
        <v>20170306</v>
      </c>
      <c r="BL3630">
        <v>1.28</v>
      </c>
      <c r="BM3630" t="s">
        <v>120</v>
      </c>
      <c r="BN3630" t="s">
        <v>120</v>
      </c>
      <c r="BO3630">
        <v>12.09</v>
      </c>
      <c r="BP3630">
        <v>15.57</v>
      </c>
      <c r="BQ3630">
        <v>7.86</v>
      </c>
      <c r="BR3630" t="s">
        <v>120</v>
      </c>
      <c r="BS3630">
        <v>34.97</v>
      </c>
      <c r="BT3630">
        <v>9.2200000000000006</v>
      </c>
      <c r="BU3630">
        <v>1.81</v>
      </c>
      <c r="BV3630">
        <v>0.23</v>
      </c>
      <c r="BW3630">
        <v>2.85</v>
      </c>
      <c r="BX3630">
        <v>1.2</v>
      </c>
      <c r="BY3630">
        <v>0.64</v>
      </c>
      <c r="BZ3630">
        <v>2.52</v>
      </c>
      <c r="CA3630" t="s">
        <v>120</v>
      </c>
      <c r="CB3630">
        <v>2.96</v>
      </c>
      <c r="CC3630">
        <v>3.7</v>
      </c>
      <c r="CD3630">
        <v>2.76</v>
      </c>
      <c r="CE3630">
        <v>0.73</v>
      </c>
      <c r="CF3630">
        <v>0.11</v>
      </c>
      <c r="CG3630">
        <v>0.73</v>
      </c>
      <c r="CH3630">
        <v>0.65</v>
      </c>
      <c r="CI3630">
        <v>0.65</v>
      </c>
      <c r="CJ3630">
        <v>-0.31</v>
      </c>
      <c r="CK3630">
        <v>0.54</v>
      </c>
      <c r="CL3630">
        <v>2.95</v>
      </c>
      <c r="CM3630">
        <v>0.25</v>
      </c>
      <c r="CN3630">
        <v>-0.28999999999999998</v>
      </c>
      <c r="CO3630">
        <v>10987</v>
      </c>
      <c r="CP3630">
        <v>4502</v>
      </c>
      <c r="CQ3630" t="s">
        <v>8990</v>
      </c>
      <c r="CR3630">
        <v>48.16</v>
      </c>
      <c r="CS3630">
        <v>84.95</v>
      </c>
      <c r="CT3630">
        <v>2.63</v>
      </c>
      <c r="CU3630">
        <v>81.16</v>
      </c>
      <c r="CV3630">
        <v>5.4</v>
      </c>
      <c r="CW3630">
        <v>1.26</v>
      </c>
      <c r="CX3630" t="s">
        <v>1001</v>
      </c>
      <c r="CY3630">
        <v>5.92</v>
      </c>
      <c r="CZ3630">
        <v>5.92</v>
      </c>
      <c r="DA3630">
        <v>2.31</v>
      </c>
      <c r="DB3630">
        <v>2.2999999999999998</v>
      </c>
      <c r="DC3630">
        <v>0.19</v>
      </c>
      <c r="DD3630">
        <v>65.03</v>
      </c>
      <c r="DE3630" t="s">
        <v>2948</v>
      </c>
      <c r="DF3630">
        <v>25.48</v>
      </c>
      <c r="DG3630">
        <v>19.73</v>
      </c>
      <c r="DH3630">
        <v>17.7</v>
      </c>
      <c r="DI3630">
        <v>0.13</v>
      </c>
      <c r="DJ3630">
        <v>602</v>
      </c>
      <c r="DK3630">
        <v>603578</v>
      </c>
      <c r="DL3630" t="s">
        <v>120</v>
      </c>
      <c r="DM3630" t="s">
        <v>120</v>
      </c>
      <c r="DN3630" t="s">
        <v>120</v>
      </c>
    </row>
    <row r="3631" spans="1:118">
      <c r="A3631" t="str">
        <f>"603579"</f>
        <v>603579</v>
      </c>
      <c r="B3631" t="s">
        <v>15193</v>
      </c>
      <c r="C3631">
        <v>-1</v>
      </c>
      <c r="D3631">
        <v>0</v>
      </c>
      <c r="E3631">
        <v>-0.28000000000000003</v>
      </c>
      <c r="F3631">
        <v>50</v>
      </c>
      <c r="G3631" t="s">
        <v>3415</v>
      </c>
      <c r="H3631">
        <v>3098.99</v>
      </c>
      <c r="I3631">
        <v>0</v>
      </c>
      <c r="J3631" t="s">
        <v>120</v>
      </c>
      <c r="K3631" t="s">
        <v>8576</v>
      </c>
      <c r="L3631">
        <v>0.76</v>
      </c>
      <c r="M3631">
        <v>28.69</v>
      </c>
      <c r="N3631">
        <v>1.0900000000000001</v>
      </c>
      <c r="O3631">
        <v>1.38</v>
      </c>
      <c r="P3631">
        <v>29.38</v>
      </c>
      <c r="Q3631">
        <v>-1.17</v>
      </c>
      <c r="R3631">
        <v>28.64</v>
      </c>
      <c r="S3631">
        <v>28.9</v>
      </c>
      <c r="T3631">
        <v>10686</v>
      </c>
      <c r="U3631">
        <v>28.69</v>
      </c>
      <c r="V3631">
        <v>28.98</v>
      </c>
      <c r="W3631">
        <v>14.31</v>
      </c>
      <c r="X3631" t="s">
        <v>555</v>
      </c>
      <c r="Y3631" t="s">
        <v>1510</v>
      </c>
      <c r="Z3631">
        <v>2.5499999999999998</v>
      </c>
      <c r="AA3631">
        <v>29</v>
      </c>
      <c r="AB3631">
        <v>6572</v>
      </c>
      <c r="AC3631">
        <v>4114</v>
      </c>
      <c r="AD3631">
        <v>1.6</v>
      </c>
      <c r="AE3631">
        <v>39</v>
      </c>
      <c r="AF3631">
        <v>50</v>
      </c>
      <c r="AG3631" t="s">
        <v>120</v>
      </c>
      <c r="AH3631">
        <v>0</v>
      </c>
      <c r="AI3631" t="s">
        <v>120</v>
      </c>
      <c r="AJ3631">
        <v>1.4</v>
      </c>
      <c r="AK3631" t="s">
        <v>8576</v>
      </c>
      <c r="AL3631">
        <v>0.34</v>
      </c>
      <c r="AM3631">
        <v>1188</v>
      </c>
      <c r="AN3631">
        <v>9</v>
      </c>
      <c r="AO3631">
        <v>5.9999999999999995E-4</v>
      </c>
      <c r="AP3631">
        <v>-3</v>
      </c>
      <c r="AQ3631">
        <v>-1.8</v>
      </c>
      <c r="AR3631">
        <v>-4.72</v>
      </c>
      <c r="AS3631">
        <v>-1</v>
      </c>
      <c r="AT3631">
        <v>-25.77</v>
      </c>
      <c r="AU3631">
        <v>-3.31</v>
      </c>
      <c r="AV3631">
        <v>0</v>
      </c>
      <c r="AW3631">
        <v>1.67</v>
      </c>
      <c r="AX3631">
        <v>45.57</v>
      </c>
      <c r="AY3631">
        <v>17.32</v>
      </c>
      <c r="AZ3631">
        <v>21.02</v>
      </c>
      <c r="BA3631">
        <v>0.69</v>
      </c>
      <c r="BB3631" t="s">
        <v>143</v>
      </c>
      <c r="BF3631">
        <v>7.0000000000000007E-2</v>
      </c>
      <c r="BG3631">
        <v>-0.73</v>
      </c>
      <c r="BH3631">
        <v>-2.35</v>
      </c>
      <c r="BI3631">
        <v>0.17</v>
      </c>
      <c r="BJ3631">
        <v>20210902</v>
      </c>
      <c r="BK3631">
        <v>20170111</v>
      </c>
      <c r="BL3631">
        <v>1.4</v>
      </c>
      <c r="BM3631" t="s">
        <v>120</v>
      </c>
      <c r="BN3631" t="s">
        <v>120</v>
      </c>
      <c r="BO3631">
        <v>31.63</v>
      </c>
      <c r="BP3631">
        <v>28.68</v>
      </c>
      <c r="BQ3631">
        <v>17.18</v>
      </c>
      <c r="BR3631">
        <v>-0.1</v>
      </c>
      <c r="BS3631">
        <v>45.97</v>
      </c>
      <c r="BT3631">
        <v>20.32</v>
      </c>
      <c r="BU3631">
        <v>3.8</v>
      </c>
      <c r="BV3631">
        <v>0.71</v>
      </c>
      <c r="BW3631">
        <v>8.49</v>
      </c>
      <c r="BX3631">
        <v>10.08</v>
      </c>
      <c r="BY3631">
        <v>3.42</v>
      </c>
      <c r="BZ3631">
        <v>1.1299999999999999</v>
      </c>
      <c r="CA3631" t="s">
        <v>120</v>
      </c>
      <c r="CB3631">
        <v>7.11</v>
      </c>
      <c r="CC3631">
        <v>12.48</v>
      </c>
      <c r="CD3631">
        <v>8.9499999999999993</v>
      </c>
      <c r="CE3631">
        <v>1.55</v>
      </c>
      <c r="CF3631">
        <v>0.27</v>
      </c>
      <c r="CG3631">
        <v>1.54</v>
      </c>
      <c r="CH3631">
        <v>1.4</v>
      </c>
      <c r="CI3631">
        <v>1.4</v>
      </c>
      <c r="CJ3631">
        <v>-0.28999999999999998</v>
      </c>
      <c r="CK3631">
        <v>1.1200000000000001</v>
      </c>
      <c r="CL3631">
        <v>8.69</v>
      </c>
      <c r="CM3631">
        <v>1.88</v>
      </c>
      <c r="CN3631">
        <v>1.27</v>
      </c>
      <c r="CO3631">
        <v>9052</v>
      </c>
      <c r="CP3631">
        <v>7048</v>
      </c>
      <c r="CQ3631" t="s">
        <v>5391</v>
      </c>
      <c r="CR3631">
        <v>41.66</v>
      </c>
      <c r="CS3631">
        <v>42.05</v>
      </c>
      <c r="CT3631">
        <v>2.4</v>
      </c>
      <c r="CU3631">
        <v>21.36</v>
      </c>
      <c r="CV3631">
        <v>3.22</v>
      </c>
      <c r="CW3631">
        <v>1.68</v>
      </c>
      <c r="CX3631" t="s">
        <v>3130</v>
      </c>
      <c r="CY3631">
        <v>11.97</v>
      </c>
      <c r="CZ3631">
        <v>11.97</v>
      </c>
      <c r="DA3631">
        <v>5.08</v>
      </c>
      <c r="DB3631">
        <v>6.21</v>
      </c>
      <c r="DC3631">
        <v>1.34</v>
      </c>
      <c r="DD3631">
        <v>54.34</v>
      </c>
      <c r="DE3631" t="s">
        <v>264</v>
      </c>
      <c r="DF3631">
        <v>28.32</v>
      </c>
      <c r="DG3631">
        <v>12.4</v>
      </c>
      <c r="DH3631">
        <v>11.24</v>
      </c>
      <c r="DI3631">
        <v>0.57999999999999996</v>
      </c>
      <c r="DJ3631">
        <v>1369</v>
      </c>
      <c r="DK3631">
        <v>603579</v>
      </c>
      <c r="DL3631" t="s">
        <v>120</v>
      </c>
      <c r="DM3631" t="s">
        <v>120</v>
      </c>
      <c r="DN3631" t="s">
        <v>120</v>
      </c>
    </row>
    <row r="3632" spans="1:118">
      <c r="A3632" t="str">
        <f>"603580"</f>
        <v>603580</v>
      </c>
      <c r="B3632" t="s">
        <v>15194</v>
      </c>
      <c r="C3632">
        <v>-1.73</v>
      </c>
      <c r="D3632">
        <v>0.09</v>
      </c>
      <c r="E3632">
        <v>0</v>
      </c>
      <c r="F3632">
        <v>212</v>
      </c>
      <c r="G3632" t="s">
        <v>15195</v>
      </c>
      <c r="H3632">
        <v>1321.36</v>
      </c>
      <c r="I3632">
        <v>7.58</v>
      </c>
      <c r="J3632" t="s">
        <v>120</v>
      </c>
      <c r="K3632" t="s">
        <v>10573</v>
      </c>
      <c r="L3632">
        <v>0.92</v>
      </c>
      <c r="M3632">
        <v>10.79</v>
      </c>
      <c r="N3632">
        <v>1.17</v>
      </c>
      <c r="O3632">
        <v>1</v>
      </c>
      <c r="P3632">
        <v>11.09</v>
      </c>
      <c r="Q3632">
        <v>-1.82</v>
      </c>
      <c r="R3632">
        <v>10.78</v>
      </c>
      <c r="S3632">
        <v>10.98</v>
      </c>
      <c r="T3632">
        <v>12062</v>
      </c>
      <c r="U3632">
        <v>10.8</v>
      </c>
      <c r="V3632">
        <v>10.98</v>
      </c>
      <c r="W3632">
        <v>36.69</v>
      </c>
      <c r="X3632" t="s">
        <v>868</v>
      </c>
      <c r="Y3632" t="s">
        <v>1510</v>
      </c>
      <c r="Z3632">
        <v>2.82</v>
      </c>
      <c r="AA3632">
        <v>10.95</v>
      </c>
      <c r="AB3632">
        <v>5675</v>
      </c>
      <c r="AC3632">
        <v>6387</v>
      </c>
      <c r="AD3632">
        <v>0.89</v>
      </c>
      <c r="AE3632">
        <v>38</v>
      </c>
      <c r="AF3632">
        <v>3</v>
      </c>
      <c r="AG3632" t="s">
        <v>120</v>
      </c>
      <c r="AH3632">
        <v>0.02</v>
      </c>
      <c r="AI3632" t="s">
        <v>120</v>
      </c>
      <c r="AJ3632">
        <v>1.31</v>
      </c>
      <c r="AK3632" t="s">
        <v>10573</v>
      </c>
      <c r="AL3632">
        <v>-0.39</v>
      </c>
      <c r="AM3632">
        <v>1046</v>
      </c>
      <c r="AN3632">
        <v>12</v>
      </c>
      <c r="AO3632">
        <v>8.9999999999999998E-4</v>
      </c>
      <c r="AP3632">
        <v>-1</v>
      </c>
      <c r="AQ3632">
        <v>3</v>
      </c>
      <c r="AR3632">
        <v>0.28000000000000003</v>
      </c>
      <c r="AS3632">
        <v>5.27</v>
      </c>
      <c r="AT3632">
        <v>0.86</v>
      </c>
      <c r="AU3632">
        <v>-5.34</v>
      </c>
      <c r="AV3632">
        <v>2</v>
      </c>
      <c r="AW3632">
        <v>2.79</v>
      </c>
      <c r="AX3632">
        <v>33.07</v>
      </c>
      <c r="AY3632">
        <v>43.12</v>
      </c>
      <c r="AZ3632">
        <v>46.94</v>
      </c>
      <c r="BA3632">
        <v>0.56000000000000005</v>
      </c>
      <c r="BB3632" t="s">
        <v>184</v>
      </c>
      <c r="BF3632">
        <v>-0.23</v>
      </c>
      <c r="BG3632">
        <v>-1.73</v>
      </c>
      <c r="BH3632">
        <v>-2.71</v>
      </c>
      <c r="BI3632">
        <v>0.09</v>
      </c>
      <c r="BJ3632">
        <v>20210825</v>
      </c>
      <c r="BK3632">
        <v>20170525</v>
      </c>
      <c r="BL3632">
        <v>1.31</v>
      </c>
      <c r="BM3632" t="s">
        <v>120</v>
      </c>
      <c r="BN3632" t="s">
        <v>120</v>
      </c>
      <c r="BO3632">
        <v>5.48</v>
      </c>
      <c r="BP3632">
        <v>10.79</v>
      </c>
      <c r="BQ3632">
        <v>4.58</v>
      </c>
      <c r="BR3632">
        <v>0.2</v>
      </c>
      <c r="BS3632">
        <v>12.77</v>
      </c>
      <c r="BT3632">
        <v>3.17</v>
      </c>
      <c r="BU3632">
        <v>0.78</v>
      </c>
      <c r="BV3632">
        <v>0.37</v>
      </c>
      <c r="BW3632">
        <v>0.68</v>
      </c>
      <c r="BX3632">
        <v>1.2</v>
      </c>
      <c r="BY3632">
        <v>0.87</v>
      </c>
      <c r="BZ3632">
        <v>0.93</v>
      </c>
      <c r="CA3632" t="s">
        <v>120</v>
      </c>
      <c r="CB3632">
        <v>0.76</v>
      </c>
      <c r="CC3632">
        <v>1.3</v>
      </c>
      <c r="CD3632">
        <v>0.81</v>
      </c>
      <c r="CE3632">
        <v>0.23</v>
      </c>
      <c r="CF3632">
        <v>0.01</v>
      </c>
      <c r="CG3632">
        <v>0.22</v>
      </c>
      <c r="CH3632">
        <v>0.19</v>
      </c>
      <c r="CI3632">
        <v>0.19</v>
      </c>
      <c r="CJ3632">
        <v>-0.19</v>
      </c>
      <c r="CK3632">
        <v>0.18</v>
      </c>
      <c r="CL3632">
        <v>2.29</v>
      </c>
      <c r="CM3632">
        <v>0.06</v>
      </c>
      <c r="CN3632">
        <v>-0.18</v>
      </c>
      <c r="CO3632">
        <v>6171</v>
      </c>
      <c r="CP3632">
        <v>7002</v>
      </c>
      <c r="CQ3632" t="s">
        <v>3623</v>
      </c>
      <c r="CR3632">
        <v>16.43</v>
      </c>
      <c r="CS3632">
        <v>54.25</v>
      </c>
      <c r="CT3632">
        <v>3.08</v>
      </c>
      <c r="CU3632">
        <v>249.73</v>
      </c>
      <c r="CV3632">
        <v>10.87</v>
      </c>
      <c r="CW3632">
        <v>0.75</v>
      </c>
      <c r="CX3632" t="s">
        <v>3585</v>
      </c>
      <c r="CY3632">
        <v>3.5</v>
      </c>
      <c r="CZ3632">
        <v>0</v>
      </c>
      <c r="DA3632">
        <v>0.57999999999999996</v>
      </c>
      <c r="DB3632">
        <v>1.75</v>
      </c>
      <c r="DC3632">
        <v>0.04</v>
      </c>
      <c r="DD3632">
        <v>83.61</v>
      </c>
      <c r="DE3632" t="s">
        <v>4391</v>
      </c>
      <c r="DF3632">
        <v>37.32</v>
      </c>
      <c r="DG3632">
        <v>17.36</v>
      </c>
      <c r="DH3632">
        <v>14.81</v>
      </c>
      <c r="DI3632">
        <v>0.04</v>
      </c>
      <c r="DJ3632">
        <v>253</v>
      </c>
      <c r="DK3632">
        <v>603580</v>
      </c>
      <c r="DL3632" t="s">
        <v>120</v>
      </c>
      <c r="DM3632" t="s">
        <v>120</v>
      </c>
      <c r="DN3632" t="s">
        <v>120</v>
      </c>
    </row>
    <row r="3633" spans="1:118">
      <c r="A3633" t="str">
        <f>"603583"</f>
        <v>603583</v>
      </c>
      <c r="B3633" t="s">
        <v>15196</v>
      </c>
      <c r="C3633">
        <v>-2.5</v>
      </c>
      <c r="D3633">
        <v>0.02</v>
      </c>
      <c r="E3633">
        <v>-0.54</v>
      </c>
      <c r="F3633">
        <v>338</v>
      </c>
      <c r="G3633" t="s">
        <v>15197</v>
      </c>
      <c r="H3633">
        <v>7421.41</v>
      </c>
      <c r="I3633">
        <v>45.06</v>
      </c>
      <c r="J3633" t="s">
        <v>120</v>
      </c>
      <c r="K3633" t="s">
        <v>15198</v>
      </c>
      <c r="L3633">
        <v>0.72</v>
      </c>
      <c r="M3633">
        <v>41.67</v>
      </c>
      <c r="N3633">
        <v>0.63</v>
      </c>
      <c r="O3633">
        <v>1.59</v>
      </c>
      <c r="P3633">
        <v>43.42</v>
      </c>
      <c r="Q3633">
        <v>-2.57</v>
      </c>
      <c r="R3633">
        <v>41.64</v>
      </c>
      <c r="S3633">
        <v>42.51</v>
      </c>
      <c r="T3633">
        <v>17470</v>
      </c>
      <c r="U3633">
        <v>41.69</v>
      </c>
      <c r="V3633">
        <v>42.74</v>
      </c>
      <c r="W3633">
        <v>51.75</v>
      </c>
      <c r="X3633" t="s">
        <v>394</v>
      </c>
      <c r="Y3633" t="s">
        <v>585</v>
      </c>
      <c r="Z3633">
        <v>4.16</v>
      </c>
      <c r="AA3633">
        <v>42.48</v>
      </c>
      <c r="AB3633">
        <v>10860</v>
      </c>
      <c r="AC3633">
        <v>6610</v>
      </c>
      <c r="AD3633">
        <v>1.64</v>
      </c>
      <c r="AE3633">
        <v>16</v>
      </c>
      <c r="AF3633">
        <v>45</v>
      </c>
      <c r="AG3633" t="s">
        <v>120</v>
      </c>
      <c r="AH3633">
        <v>0.01</v>
      </c>
      <c r="AI3633" t="s">
        <v>120</v>
      </c>
      <c r="AJ3633">
        <v>2.41</v>
      </c>
      <c r="AK3633" t="s">
        <v>15199</v>
      </c>
      <c r="AL3633">
        <v>-1.1599999999999999</v>
      </c>
      <c r="AM3633">
        <v>2381</v>
      </c>
      <c r="AN3633">
        <v>7</v>
      </c>
      <c r="AO3633">
        <v>2.9999999999999997E-4</v>
      </c>
      <c r="AP3633">
        <v>-2</v>
      </c>
      <c r="AQ3633">
        <v>-2.86</v>
      </c>
      <c r="AR3633">
        <v>-2.84</v>
      </c>
      <c r="AS3633">
        <v>-20.63</v>
      </c>
      <c r="AT3633">
        <v>-11.9</v>
      </c>
      <c r="AU3633">
        <v>-24.09</v>
      </c>
      <c r="AV3633">
        <v>0</v>
      </c>
      <c r="AW3633">
        <v>1</v>
      </c>
      <c r="AX3633">
        <v>45.92</v>
      </c>
      <c r="AY3633">
        <v>52.22</v>
      </c>
      <c r="AZ3633">
        <v>40.26</v>
      </c>
      <c r="BA3633">
        <v>0.72</v>
      </c>
      <c r="BB3633" t="s">
        <v>125</v>
      </c>
      <c r="BF3633">
        <v>-0.61</v>
      </c>
      <c r="BG3633">
        <v>-1.98</v>
      </c>
      <c r="BH3633">
        <v>-4.03</v>
      </c>
      <c r="BI3633">
        <v>7.0000000000000007E-2</v>
      </c>
      <c r="BJ3633">
        <v>20210825</v>
      </c>
      <c r="BK3633">
        <v>20180921</v>
      </c>
      <c r="BL3633">
        <v>3.82</v>
      </c>
      <c r="BM3633" t="s">
        <v>120</v>
      </c>
      <c r="BN3633" t="s">
        <v>120</v>
      </c>
      <c r="BO3633">
        <v>56.86</v>
      </c>
      <c r="BP3633">
        <v>41.67</v>
      </c>
      <c r="BQ3633">
        <v>36.200000000000003</v>
      </c>
      <c r="BR3633">
        <v>0.02</v>
      </c>
      <c r="BS3633">
        <v>36.29</v>
      </c>
      <c r="BT3633">
        <v>46.99</v>
      </c>
      <c r="BU3633">
        <v>7.14</v>
      </c>
      <c r="BV3633">
        <v>1.04</v>
      </c>
      <c r="BW3633">
        <v>13.39</v>
      </c>
      <c r="BX3633">
        <v>25.65</v>
      </c>
      <c r="BY3633">
        <v>5.5</v>
      </c>
      <c r="BZ3633">
        <v>2.33</v>
      </c>
      <c r="CA3633" t="s">
        <v>120</v>
      </c>
      <c r="CB3633">
        <v>22.44</v>
      </c>
      <c r="CC3633">
        <v>10.08</v>
      </c>
      <c r="CD3633">
        <v>7.08</v>
      </c>
      <c r="CE3633">
        <v>1.8</v>
      </c>
      <c r="CF3633">
        <v>0.03</v>
      </c>
      <c r="CG3633">
        <v>1.78</v>
      </c>
      <c r="CH3633">
        <v>1.53</v>
      </c>
      <c r="CI3633">
        <v>1.54</v>
      </c>
      <c r="CJ3633">
        <v>-1.07</v>
      </c>
      <c r="CK3633">
        <v>1.38</v>
      </c>
      <c r="CL3633">
        <v>9.31</v>
      </c>
      <c r="CM3633">
        <v>-0.96</v>
      </c>
      <c r="CN3633">
        <v>-2.04</v>
      </c>
      <c r="CO3633">
        <v>10487</v>
      </c>
      <c r="CP3633">
        <v>16722</v>
      </c>
      <c r="CQ3633" t="s">
        <v>15200</v>
      </c>
      <c r="CR3633">
        <v>-37.65</v>
      </c>
      <c r="CS3633">
        <v>19.09</v>
      </c>
      <c r="CT3633">
        <v>4.4000000000000004</v>
      </c>
      <c r="CU3633">
        <v>-166.44</v>
      </c>
      <c r="CV3633">
        <v>15.78</v>
      </c>
      <c r="CW3633">
        <v>0.67</v>
      </c>
      <c r="CX3633" t="s">
        <v>194</v>
      </c>
      <c r="CY3633">
        <v>9.48</v>
      </c>
      <c r="CZ3633">
        <v>0</v>
      </c>
      <c r="DA3633">
        <v>5.87</v>
      </c>
      <c r="DB3633">
        <v>2.44</v>
      </c>
      <c r="DC3633">
        <v>-0.25</v>
      </c>
      <c r="DD3633">
        <v>63.67</v>
      </c>
      <c r="DE3633" t="s">
        <v>3181</v>
      </c>
      <c r="DF3633">
        <v>29.79</v>
      </c>
      <c r="DG3633">
        <v>17.82</v>
      </c>
      <c r="DH3633">
        <v>15.25</v>
      </c>
      <c r="DI3633">
        <v>0.72</v>
      </c>
      <c r="DJ3633">
        <v>2323</v>
      </c>
      <c r="DK3633">
        <v>603583</v>
      </c>
      <c r="DL3633" t="s">
        <v>120</v>
      </c>
      <c r="DM3633" t="s">
        <v>120</v>
      </c>
      <c r="DN3633" t="s">
        <v>120</v>
      </c>
    </row>
    <row r="3634" spans="1:118">
      <c r="A3634" t="str">
        <f>"603585"</f>
        <v>603585</v>
      </c>
      <c r="B3634" t="s">
        <v>15201</v>
      </c>
      <c r="C3634">
        <v>0.67</v>
      </c>
      <c r="D3634">
        <v>-0.05</v>
      </c>
      <c r="E3634">
        <v>-1.56</v>
      </c>
      <c r="F3634">
        <v>706</v>
      </c>
      <c r="G3634" t="s">
        <v>12376</v>
      </c>
      <c r="H3634">
        <v>9281.24</v>
      </c>
      <c r="I3634">
        <v>62.3</v>
      </c>
      <c r="J3634" t="s">
        <v>120</v>
      </c>
      <c r="K3634" t="s">
        <v>15202</v>
      </c>
      <c r="L3634">
        <v>2.83</v>
      </c>
      <c r="M3634">
        <v>18.100000000000001</v>
      </c>
      <c r="N3634">
        <v>2.2799999999999998</v>
      </c>
      <c r="O3634">
        <v>5.01</v>
      </c>
      <c r="P3634">
        <v>18.88</v>
      </c>
      <c r="Q3634">
        <v>-2.56</v>
      </c>
      <c r="R3634">
        <v>17.52</v>
      </c>
      <c r="S3634">
        <v>17.7</v>
      </c>
      <c r="T3634">
        <v>50996</v>
      </c>
      <c r="U3634">
        <v>18.100000000000001</v>
      </c>
      <c r="V3634">
        <v>17.98</v>
      </c>
      <c r="W3634">
        <v>16.809999999999999</v>
      </c>
      <c r="X3634" t="s">
        <v>868</v>
      </c>
      <c r="Y3634" t="s">
        <v>319</v>
      </c>
      <c r="Z3634">
        <v>7.56</v>
      </c>
      <c r="AA3634">
        <v>18.2</v>
      </c>
      <c r="AB3634">
        <v>26636</v>
      </c>
      <c r="AC3634">
        <v>24360</v>
      </c>
      <c r="AD3634">
        <v>1.0900000000000001</v>
      </c>
      <c r="AE3634">
        <v>134</v>
      </c>
      <c r="AF3634">
        <v>227</v>
      </c>
      <c r="AG3634" t="s">
        <v>120</v>
      </c>
      <c r="AH3634">
        <v>7.0000000000000007E-2</v>
      </c>
      <c r="AI3634" t="s">
        <v>120</v>
      </c>
      <c r="AJ3634">
        <v>1.8</v>
      </c>
      <c r="AK3634" t="s">
        <v>15202</v>
      </c>
      <c r="AL3634">
        <v>2.0099999999999998</v>
      </c>
      <c r="AM3634">
        <v>2600</v>
      </c>
      <c r="AN3634">
        <v>20</v>
      </c>
      <c r="AO3634">
        <v>1.1000000000000001E-3</v>
      </c>
      <c r="AP3634">
        <v>4</v>
      </c>
      <c r="AQ3634">
        <v>4.53</v>
      </c>
      <c r="AR3634">
        <v>6.72</v>
      </c>
      <c r="AS3634">
        <v>15.95</v>
      </c>
      <c r="AT3634">
        <v>20.99</v>
      </c>
      <c r="AU3634">
        <v>-1.0900000000000001</v>
      </c>
      <c r="AV3634">
        <v>0</v>
      </c>
      <c r="AW3634">
        <v>9.44</v>
      </c>
      <c r="AX3634">
        <v>30</v>
      </c>
      <c r="AY3634">
        <v>17.45</v>
      </c>
      <c r="AZ3634">
        <v>18.52</v>
      </c>
      <c r="BA3634">
        <v>0.56999999999999995</v>
      </c>
      <c r="BB3634" t="s">
        <v>184</v>
      </c>
      <c r="BF3634">
        <v>1.22</v>
      </c>
      <c r="BG3634">
        <v>2.2599999999999998</v>
      </c>
      <c r="BH3634">
        <v>-4.13</v>
      </c>
      <c r="BI3634">
        <v>3.31</v>
      </c>
      <c r="BJ3634">
        <v>20210812</v>
      </c>
      <c r="BK3634">
        <v>20161214</v>
      </c>
      <c r="BL3634">
        <v>1.8</v>
      </c>
      <c r="BM3634" t="s">
        <v>120</v>
      </c>
      <c r="BN3634" t="s">
        <v>120</v>
      </c>
      <c r="BO3634">
        <v>33.22</v>
      </c>
      <c r="BP3634">
        <v>18.09</v>
      </c>
      <c r="BQ3634">
        <v>20.71</v>
      </c>
      <c r="BR3634">
        <v>4.8099999999999996</v>
      </c>
      <c r="BS3634">
        <v>23.17</v>
      </c>
      <c r="BT3634">
        <v>20.309999999999999</v>
      </c>
      <c r="BU3634">
        <v>7.86</v>
      </c>
      <c r="BV3634">
        <v>1.34</v>
      </c>
      <c r="BW3634">
        <v>7.52</v>
      </c>
      <c r="BX3634">
        <v>10.72</v>
      </c>
      <c r="BY3634">
        <v>2.85</v>
      </c>
      <c r="BZ3634">
        <v>2.68</v>
      </c>
      <c r="CA3634" t="s">
        <v>120</v>
      </c>
      <c r="CB3634">
        <v>6.88</v>
      </c>
      <c r="CC3634">
        <v>9.74</v>
      </c>
      <c r="CD3634">
        <v>7.45</v>
      </c>
      <c r="CE3634">
        <v>1.39</v>
      </c>
      <c r="CF3634">
        <v>0.04</v>
      </c>
      <c r="CG3634">
        <v>1.39</v>
      </c>
      <c r="CH3634">
        <v>1.1599999999999999</v>
      </c>
      <c r="CI3634">
        <v>0.97</v>
      </c>
      <c r="CJ3634">
        <v>0.12</v>
      </c>
      <c r="CK3634">
        <v>0.93</v>
      </c>
      <c r="CL3634">
        <v>10.63</v>
      </c>
      <c r="CM3634">
        <v>1.1599999999999999</v>
      </c>
      <c r="CN3634">
        <v>-0.28000000000000003</v>
      </c>
      <c r="CO3634">
        <v>10406</v>
      </c>
      <c r="CP3634">
        <v>5189</v>
      </c>
      <c r="CQ3634" t="s">
        <v>2213</v>
      </c>
      <c r="CR3634">
        <v>12.5</v>
      </c>
      <c r="CS3634">
        <v>46.19</v>
      </c>
      <c r="CT3634">
        <v>1.57</v>
      </c>
      <c r="CU3634">
        <v>28.16</v>
      </c>
      <c r="CV3634">
        <v>3.34</v>
      </c>
      <c r="CW3634">
        <v>1.67</v>
      </c>
      <c r="CX3634" t="s">
        <v>263</v>
      </c>
      <c r="CY3634">
        <v>11.51</v>
      </c>
      <c r="CZ3634">
        <v>0</v>
      </c>
      <c r="DA3634">
        <v>3.82</v>
      </c>
      <c r="DB3634">
        <v>5.91</v>
      </c>
      <c r="DC3634">
        <v>0.64</v>
      </c>
      <c r="DD3634">
        <v>62.34</v>
      </c>
      <c r="DE3634" t="s">
        <v>7055</v>
      </c>
      <c r="DF3634">
        <v>23.56</v>
      </c>
      <c r="DG3634">
        <v>14.22</v>
      </c>
      <c r="DH3634">
        <v>9.9499999999999993</v>
      </c>
      <c r="DI3634">
        <v>0.54</v>
      </c>
      <c r="DJ3634">
        <v>1088</v>
      </c>
      <c r="DK3634">
        <v>603585</v>
      </c>
      <c r="DL3634" t="s">
        <v>120</v>
      </c>
      <c r="DM3634" t="s">
        <v>120</v>
      </c>
      <c r="DN3634" t="s">
        <v>120</v>
      </c>
    </row>
    <row r="3635" spans="1:118">
      <c r="A3635" t="str">
        <f>"603586"</f>
        <v>603586</v>
      </c>
      <c r="B3635" t="s">
        <v>15203</v>
      </c>
      <c r="C3635">
        <v>-1.9</v>
      </c>
      <c r="D3635">
        <v>-7.0000000000000007E-2</v>
      </c>
      <c r="E3635">
        <v>-0.83</v>
      </c>
      <c r="F3635">
        <v>6</v>
      </c>
      <c r="G3635" t="s">
        <v>1931</v>
      </c>
      <c r="H3635">
        <v>1212.9100000000001</v>
      </c>
      <c r="I3635">
        <v>77.7</v>
      </c>
      <c r="J3635" t="s">
        <v>120</v>
      </c>
      <c r="K3635" t="s">
        <v>1956</v>
      </c>
      <c r="L3635">
        <v>0.5</v>
      </c>
      <c r="M3635">
        <v>11.88</v>
      </c>
      <c r="N3635">
        <v>1.41</v>
      </c>
      <c r="O3635">
        <v>-0.57999999999999996</v>
      </c>
      <c r="P3635">
        <v>12.04</v>
      </c>
      <c r="Q3635">
        <v>-2.15</v>
      </c>
      <c r="R3635">
        <v>11.85</v>
      </c>
      <c r="S3635">
        <v>12.01</v>
      </c>
      <c r="T3635">
        <v>10136</v>
      </c>
      <c r="U3635">
        <v>11.89</v>
      </c>
      <c r="V3635">
        <v>12.11</v>
      </c>
      <c r="W3635" t="s">
        <v>120</v>
      </c>
      <c r="X3635" t="s">
        <v>289</v>
      </c>
      <c r="Y3635" t="s">
        <v>638</v>
      </c>
      <c r="Z3635">
        <v>1.57</v>
      </c>
      <c r="AA3635">
        <v>11.97</v>
      </c>
      <c r="AB3635">
        <v>6825</v>
      </c>
      <c r="AC3635">
        <v>3311</v>
      </c>
      <c r="AD3635">
        <v>2.06</v>
      </c>
      <c r="AE3635">
        <v>82</v>
      </c>
      <c r="AF3635">
        <v>62</v>
      </c>
      <c r="AG3635" t="s">
        <v>120</v>
      </c>
      <c r="AH3635">
        <v>0.08</v>
      </c>
      <c r="AI3635" t="s">
        <v>120</v>
      </c>
      <c r="AJ3635">
        <v>2.02</v>
      </c>
      <c r="AK3635" t="s">
        <v>3661</v>
      </c>
      <c r="AL3635">
        <v>-0.56000000000000005</v>
      </c>
      <c r="AM3635">
        <v>618</v>
      </c>
      <c r="AN3635">
        <v>16</v>
      </c>
      <c r="AO3635">
        <v>8.0000000000000004E-4</v>
      </c>
      <c r="AP3635">
        <v>-1</v>
      </c>
      <c r="AQ3635">
        <v>0.5</v>
      </c>
      <c r="AR3635">
        <v>-3.17</v>
      </c>
      <c r="AS3635">
        <v>0.17</v>
      </c>
      <c r="AT3635">
        <v>-0.75</v>
      </c>
      <c r="AU3635">
        <v>-16.100000000000001</v>
      </c>
      <c r="AV3635">
        <v>0</v>
      </c>
      <c r="AW3635">
        <v>1.19</v>
      </c>
      <c r="AX3635">
        <v>41.84</v>
      </c>
      <c r="AY3635">
        <v>69.959999999999994</v>
      </c>
      <c r="AZ3635">
        <v>15.11</v>
      </c>
      <c r="BA3635">
        <v>0.99</v>
      </c>
      <c r="BB3635" t="s">
        <v>143</v>
      </c>
      <c r="BF3635">
        <v>-1.19</v>
      </c>
      <c r="BG3635">
        <v>-1.08</v>
      </c>
      <c r="BH3635">
        <v>-1.33</v>
      </c>
      <c r="BI3635">
        <v>0.25</v>
      </c>
      <c r="BJ3635">
        <v>20210821</v>
      </c>
      <c r="BK3635">
        <v>20170406</v>
      </c>
      <c r="BL3635">
        <v>2.0299999999999998</v>
      </c>
      <c r="BM3635" t="s">
        <v>120</v>
      </c>
      <c r="BN3635" t="s">
        <v>120</v>
      </c>
      <c r="BO3635">
        <v>26.12</v>
      </c>
      <c r="BP3635">
        <v>11.88</v>
      </c>
      <c r="BQ3635">
        <v>20</v>
      </c>
      <c r="BR3635">
        <v>0.02</v>
      </c>
      <c r="BS3635">
        <v>23.34</v>
      </c>
      <c r="BT3635">
        <v>14.97</v>
      </c>
      <c r="BU3635">
        <v>7.31</v>
      </c>
      <c r="BV3635">
        <v>1.28</v>
      </c>
      <c r="BW3635">
        <v>5.09</v>
      </c>
      <c r="BX3635">
        <v>7.14</v>
      </c>
      <c r="BY3635">
        <v>3.19</v>
      </c>
      <c r="BZ3635">
        <v>3.43</v>
      </c>
      <c r="CA3635" t="s">
        <v>120</v>
      </c>
      <c r="CB3635">
        <v>12.04</v>
      </c>
      <c r="CC3635">
        <v>6.3</v>
      </c>
      <c r="CD3635">
        <v>5.0599999999999996</v>
      </c>
      <c r="CE3635">
        <v>-0.56999999999999995</v>
      </c>
      <c r="CF3635">
        <v>-0.9</v>
      </c>
      <c r="CG3635">
        <v>-0.56999999999999995</v>
      </c>
      <c r="CH3635">
        <v>-0.4</v>
      </c>
      <c r="CI3635">
        <v>-0.4</v>
      </c>
      <c r="CJ3635">
        <v>-0.23</v>
      </c>
      <c r="CK3635">
        <v>0.23</v>
      </c>
      <c r="CL3635">
        <v>6.01</v>
      </c>
      <c r="CM3635">
        <v>-0.1</v>
      </c>
      <c r="CN3635">
        <v>-1.49</v>
      </c>
      <c r="CO3635">
        <v>15613</v>
      </c>
      <c r="CP3635">
        <v>5452</v>
      </c>
      <c r="CQ3635" t="s">
        <v>2340</v>
      </c>
      <c r="CR3635">
        <v>-145.38999999999999</v>
      </c>
      <c r="CS3635">
        <v>-6.68</v>
      </c>
      <c r="CT3635">
        <v>1.21</v>
      </c>
      <c r="CU3635">
        <v>-234.4</v>
      </c>
      <c r="CV3635">
        <v>3.83</v>
      </c>
      <c r="CW3635">
        <v>5.78</v>
      </c>
      <c r="CX3635" t="s">
        <v>4368</v>
      </c>
      <c r="CY3635">
        <v>9.83</v>
      </c>
      <c r="CZ3635">
        <v>0</v>
      </c>
      <c r="DA3635">
        <v>5.92</v>
      </c>
      <c r="DB3635">
        <v>2.96</v>
      </c>
      <c r="DC3635">
        <v>-0.05</v>
      </c>
      <c r="DD3635">
        <v>76.569999999999993</v>
      </c>
      <c r="DE3635" t="s">
        <v>15204</v>
      </c>
      <c r="DF3635">
        <v>19.77</v>
      </c>
      <c r="DG3635">
        <v>-9.0299999999999994</v>
      </c>
      <c r="DH3635">
        <v>-6.33</v>
      </c>
      <c r="DI3635">
        <v>0.3</v>
      </c>
      <c r="DJ3635">
        <v>3006</v>
      </c>
      <c r="DK3635">
        <v>603586</v>
      </c>
      <c r="DL3635" t="s">
        <v>120</v>
      </c>
      <c r="DM3635" t="s">
        <v>120</v>
      </c>
      <c r="DN3635" t="s">
        <v>120</v>
      </c>
    </row>
    <row r="3636" spans="1:118">
      <c r="A3636" t="str">
        <f>"603587"</f>
        <v>603587</v>
      </c>
      <c r="B3636" t="s">
        <v>15205</v>
      </c>
      <c r="C3636">
        <v>-3.08</v>
      </c>
      <c r="D3636">
        <v>0</v>
      </c>
      <c r="E3636">
        <v>-0.68</v>
      </c>
      <c r="F3636">
        <v>498</v>
      </c>
      <c r="G3636" t="s">
        <v>2819</v>
      </c>
      <c r="H3636">
        <v>5485.29</v>
      </c>
      <c r="I3636">
        <v>13.14</v>
      </c>
      <c r="J3636" t="s">
        <v>120</v>
      </c>
      <c r="K3636" t="s">
        <v>7232</v>
      </c>
      <c r="L3636">
        <v>1.59</v>
      </c>
      <c r="M3636">
        <v>21.37</v>
      </c>
      <c r="N3636">
        <v>0.9</v>
      </c>
      <c r="O3636">
        <v>1.81</v>
      </c>
      <c r="P3636">
        <v>22.45</v>
      </c>
      <c r="Q3636">
        <v>-3.4</v>
      </c>
      <c r="R3636">
        <v>21.3</v>
      </c>
      <c r="S3636">
        <v>21.9</v>
      </c>
      <c r="T3636">
        <v>25119</v>
      </c>
      <c r="U3636">
        <v>21.38</v>
      </c>
      <c r="V3636">
        <v>22.05</v>
      </c>
      <c r="W3636">
        <v>13.18</v>
      </c>
      <c r="X3636" t="s">
        <v>2806</v>
      </c>
      <c r="Y3636" t="s">
        <v>1510</v>
      </c>
      <c r="Z3636">
        <v>5.22</v>
      </c>
      <c r="AA3636">
        <v>21.84</v>
      </c>
      <c r="AB3636">
        <v>15877</v>
      </c>
      <c r="AC3636">
        <v>9242</v>
      </c>
      <c r="AD3636">
        <v>1.72</v>
      </c>
      <c r="AE3636">
        <v>388</v>
      </c>
      <c r="AF3636">
        <v>2</v>
      </c>
      <c r="AG3636" t="s">
        <v>120</v>
      </c>
      <c r="AH3636">
        <v>0.01</v>
      </c>
      <c r="AI3636" t="s">
        <v>120</v>
      </c>
      <c r="AJ3636">
        <v>1.58</v>
      </c>
      <c r="AK3636" t="s">
        <v>15206</v>
      </c>
      <c r="AL3636">
        <v>-1.74</v>
      </c>
      <c r="AM3636">
        <v>2038</v>
      </c>
      <c r="AN3636">
        <v>12</v>
      </c>
      <c r="AO3636">
        <v>8.0000000000000004E-4</v>
      </c>
      <c r="AP3636">
        <v>-6</v>
      </c>
      <c r="AQ3636">
        <v>-1.3</v>
      </c>
      <c r="AR3636">
        <v>-6.69</v>
      </c>
      <c r="AS3636">
        <v>3.44</v>
      </c>
      <c r="AT3636">
        <v>-0.09</v>
      </c>
      <c r="AU3636">
        <v>16.97</v>
      </c>
      <c r="AV3636">
        <v>1</v>
      </c>
      <c r="AW3636">
        <v>2.29</v>
      </c>
      <c r="AX3636">
        <v>22.77</v>
      </c>
      <c r="AY3636">
        <v>14.7</v>
      </c>
      <c r="AZ3636">
        <v>16.850000000000001</v>
      </c>
      <c r="BA3636">
        <v>0.77</v>
      </c>
      <c r="BB3636" t="s">
        <v>143</v>
      </c>
      <c r="BF3636">
        <v>-0.96</v>
      </c>
      <c r="BG3636">
        <v>-2.42</v>
      </c>
      <c r="BH3636">
        <v>-4.8099999999999996</v>
      </c>
      <c r="BI3636">
        <v>0.33</v>
      </c>
      <c r="BJ3636">
        <v>20210826</v>
      </c>
      <c r="BK3636">
        <v>20180622</v>
      </c>
      <c r="BL3636">
        <v>4.8099999999999996</v>
      </c>
      <c r="BM3636" t="s">
        <v>120</v>
      </c>
      <c r="BN3636" t="s">
        <v>120</v>
      </c>
      <c r="BO3636">
        <v>47.99</v>
      </c>
      <c r="BP3636">
        <v>21.37</v>
      </c>
      <c r="BQ3636">
        <v>38.25</v>
      </c>
      <c r="BR3636">
        <v>0.02</v>
      </c>
      <c r="BS3636">
        <v>20.260000000000002</v>
      </c>
      <c r="BT3636">
        <v>39.44</v>
      </c>
      <c r="BU3636">
        <v>5.66</v>
      </c>
      <c r="BV3636">
        <v>0.32</v>
      </c>
      <c r="BW3636">
        <v>9.19</v>
      </c>
      <c r="BX3636">
        <v>19.87</v>
      </c>
      <c r="BY3636">
        <v>3.05</v>
      </c>
      <c r="BZ3636">
        <v>0.59</v>
      </c>
      <c r="CA3636" t="s">
        <v>120</v>
      </c>
      <c r="CB3636">
        <v>14.62</v>
      </c>
      <c r="CC3636">
        <v>13.53</v>
      </c>
      <c r="CD3636">
        <v>3.06</v>
      </c>
      <c r="CE3636">
        <v>4.84</v>
      </c>
      <c r="CF3636">
        <v>7.0000000000000007E-2</v>
      </c>
      <c r="CG3636">
        <v>5.22</v>
      </c>
      <c r="CH3636">
        <v>3.9</v>
      </c>
      <c r="CI3636">
        <v>3.9</v>
      </c>
      <c r="CJ3636">
        <v>-0.68</v>
      </c>
      <c r="CK3636">
        <v>3.5</v>
      </c>
      <c r="CL3636">
        <v>16.98</v>
      </c>
      <c r="CM3636">
        <v>4.24</v>
      </c>
      <c r="CN3636">
        <v>1.61</v>
      </c>
      <c r="CO3636">
        <v>15626</v>
      </c>
      <c r="CP3636">
        <v>7013</v>
      </c>
      <c r="CQ3636" t="s">
        <v>15207</v>
      </c>
      <c r="CR3636">
        <v>30.93</v>
      </c>
      <c r="CS3636">
        <v>37.18</v>
      </c>
      <c r="CT3636">
        <v>2.69</v>
      </c>
      <c r="CU3636">
        <v>24.24</v>
      </c>
      <c r="CV3636">
        <v>7.6</v>
      </c>
      <c r="CW3636">
        <v>3.62</v>
      </c>
      <c r="CX3636" t="s">
        <v>8985</v>
      </c>
      <c r="CY3636">
        <v>7.95</v>
      </c>
      <c r="CZ3636">
        <v>0</v>
      </c>
      <c r="DA3636">
        <v>3.04</v>
      </c>
      <c r="DB3636">
        <v>3.53</v>
      </c>
      <c r="DC3636">
        <v>0.88</v>
      </c>
      <c r="DD3636">
        <v>79.709999999999994</v>
      </c>
      <c r="DE3636" t="s">
        <v>9837</v>
      </c>
      <c r="DF3636">
        <v>77.349999999999994</v>
      </c>
      <c r="DG3636">
        <v>35.76</v>
      </c>
      <c r="DH3636">
        <v>28.84</v>
      </c>
      <c r="DI3636">
        <v>0.28999999999999998</v>
      </c>
      <c r="DJ3636">
        <v>2249</v>
      </c>
      <c r="DK3636">
        <v>603587</v>
      </c>
      <c r="DL3636" t="s">
        <v>120</v>
      </c>
      <c r="DM3636" t="s">
        <v>120</v>
      </c>
      <c r="DN3636" t="s">
        <v>120</v>
      </c>
    </row>
    <row r="3637" spans="1:118">
      <c r="A3637" t="str">
        <f>"603588"</f>
        <v>603588</v>
      </c>
      <c r="B3637" t="s">
        <v>15208</v>
      </c>
      <c r="C3637">
        <v>-3.94</v>
      </c>
      <c r="D3637">
        <v>0.06</v>
      </c>
      <c r="E3637">
        <v>-0.27</v>
      </c>
      <c r="F3637">
        <v>1736</v>
      </c>
      <c r="G3637" t="s">
        <v>15209</v>
      </c>
      <c r="H3637">
        <v>33264.86</v>
      </c>
      <c r="I3637">
        <v>78</v>
      </c>
      <c r="J3637" t="s">
        <v>120</v>
      </c>
      <c r="K3637" t="s">
        <v>15210</v>
      </c>
      <c r="L3637">
        <v>1.8</v>
      </c>
      <c r="M3637">
        <v>18.059999999999999</v>
      </c>
      <c r="N3637">
        <v>1.08</v>
      </c>
      <c r="O3637">
        <v>1.28</v>
      </c>
      <c r="P3637">
        <v>19.04</v>
      </c>
      <c r="Q3637">
        <v>-5.16</v>
      </c>
      <c r="R3637">
        <v>17.829999999999998</v>
      </c>
      <c r="S3637">
        <v>18.75</v>
      </c>
      <c r="T3637">
        <v>181929</v>
      </c>
      <c r="U3637">
        <v>18.07</v>
      </c>
      <c r="V3637">
        <v>18.8</v>
      </c>
      <c r="W3637">
        <v>24.44</v>
      </c>
      <c r="X3637" t="s">
        <v>318</v>
      </c>
      <c r="Y3637" t="s">
        <v>158</v>
      </c>
      <c r="Z3637">
        <v>6.44</v>
      </c>
      <c r="AA3637">
        <v>18.28</v>
      </c>
      <c r="AB3637">
        <v>101711</v>
      </c>
      <c r="AC3637">
        <v>80218</v>
      </c>
      <c r="AD3637">
        <v>1.27</v>
      </c>
      <c r="AE3637">
        <v>187</v>
      </c>
      <c r="AF3637">
        <v>41</v>
      </c>
      <c r="AG3637" t="s">
        <v>120</v>
      </c>
      <c r="AH3637">
        <v>0.01</v>
      </c>
      <c r="AI3637" t="s">
        <v>120</v>
      </c>
      <c r="AJ3637">
        <v>10.130000000000001</v>
      </c>
      <c r="AK3637" t="s">
        <v>15211</v>
      </c>
      <c r="AL3637">
        <v>-2.59</v>
      </c>
      <c r="AM3637">
        <v>3725</v>
      </c>
      <c r="AN3637">
        <v>49</v>
      </c>
      <c r="AO3637">
        <v>5.0000000000000001E-4</v>
      </c>
      <c r="AP3637">
        <v>-1</v>
      </c>
      <c r="AQ3637">
        <v>0.53</v>
      </c>
      <c r="AR3637">
        <v>-2.75</v>
      </c>
      <c r="AS3637">
        <v>12.11</v>
      </c>
      <c r="AT3637">
        <v>29.27</v>
      </c>
      <c r="AU3637">
        <v>68.3</v>
      </c>
      <c r="AV3637">
        <v>1</v>
      </c>
      <c r="AW3637">
        <v>2.33</v>
      </c>
      <c r="AX3637">
        <v>74</v>
      </c>
      <c r="AY3637">
        <v>29.61</v>
      </c>
      <c r="AZ3637">
        <v>36.130000000000003</v>
      </c>
      <c r="BA3637">
        <v>1.46</v>
      </c>
      <c r="BB3637" t="s">
        <v>143</v>
      </c>
      <c r="BF3637">
        <v>-2.74</v>
      </c>
      <c r="BG3637">
        <v>-3.68</v>
      </c>
      <c r="BH3637">
        <v>-5.15</v>
      </c>
      <c r="BI3637">
        <v>1.29</v>
      </c>
      <c r="BJ3637">
        <v>20210818</v>
      </c>
      <c r="BK3637">
        <v>20141229</v>
      </c>
      <c r="BL3637">
        <v>10.57</v>
      </c>
      <c r="BM3637" t="s">
        <v>120</v>
      </c>
      <c r="BN3637" t="s">
        <v>120</v>
      </c>
      <c r="BO3637">
        <v>169.19</v>
      </c>
      <c r="BP3637">
        <v>18.059999999999999</v>
      </c>
      <c r="BQ3637">
        <v>51.19</v>
      </c>
      <c r="BR3637">
        <v>6.07</v>
      </c>
      <c r="BS3637">
        <v>66.16</v>
      </c>
      <c r="BT3637">
        <v>68.900000000000006</v>
      </c>
      <c r="BU3637">
        <v>9.98</v>
      </c>
      <c r="BV3637">
        <v>66.11</v>
      </c>
      <c r="BW3637">
        <v>60.08</v>
      </c>
      <c r="BX3637">
        <v>7.11</v>
      </c>
      <c r="BY3637">
        <v>17.09</v>
      </c>
      <c r="BZ3637">
        <v>10.34</v>
      </c>
      <c r="CA3637" t="s">
        <v>120</v>
      </c>
      <c r="CB3637">
        <v>16.03</v>
      </c>
      <c r="CC3637">
        <v>33.71</v>
      </c>
      <c r="CD3637">
        <v>25.25</v>
      </c>
      <c r="CE3637">
        <v>4.79</v>
      </c>
      <c r="CF3637">
        <v>0.65</v>
      </c>
      <c r="CG3637">
        <v>4.6100000000000003</v>
      </c>
      <c r="CH3637">
        <v>4.26</v>
      </c>
      <c r="CI3637">
        <v>3.91</v>
      </c>
      <c r="CJ3637">
        <v>-0.74</v>
      </c>
      <c r="CK3637">
        <v>3.82</v>
      </c>
      <c r="CL3637">
        <v>23.6</v>
      </c>
      <c r="CM3637">
        <v>0.99</v>
      </c>
      <c r="CN3637">
        <v>-5.76</v>
      </c>
      <c r="CO3637">
        <v>27895</v>
      </c>
      <c r="CP3637">
        <v>28043</v>
      </c>
      <c r="CQ3637" t="s">
        <v>15212</v>
      </c>
      <c r="CR3637">
        <v>44.91</v>
      </c>
      <c r="CS3637">
        <v>28.53</v>
      </c>
      <c r="CT3637">
        <v>3.73</v>
      </c>
      <c r="CU3637">
        <v>193.53</v>
      </c>
      <c r="CV3637">
        <v>5.66</v>
      </c>
      <c r="CW3637">
        <v>0.28999999999999998</v>
      </c>
      <c r="CX3637" t="s">
        <v>709</v>
      </c>
      <c r="CY3637">
        <v>4.84</v>
      </c>
      <c r="CZ3637">
        <v>0</v>
      </c>
      <c r="DA3637">
        <v>1.52</v>
      </c>
      <c r="DB3637">
        <v>2.23</v>
      </c>
      <c r="DC3637">
        <v>0.09</v>
      </c>
      <c r="DD3637">
        <v>30.26</v>
      </c>
      <c r="DE3637" t="s">
        <v>4898</v>
      </c>
      <c r="DF3637">
        <v>25.1</v>
      </c>
      <c r="DG3637">
        <v>14.21</v>
      </c>
      <c r="DH3637">
        <v>11.58</v>
      </c>
      <c r="DI3637">
        <v>0.77</v>
      </c>
      <c r="DJ3637">
        <v>3184</v>
      </c>
      <c r="DK3637">
        <v>603588</v>
      </c>
      <c r="DL3637" t="s">
        <v>120</v>
      </c>
      <c r="DM3637" t="s">
        <v>120</v>
      </c>
      <c r="DN3637" t="s">
        <v>120</v>
      </c>
    </row>
    <row r="3638" spans="1:118">
      <c r="A3638" t="str">
        <f>"603589"</f>
        <v>603589</v>
      </c>
      <c r="B3638" t="s">
        <v>15213</v>
      </c>
      <c r="C3638">
        <v>0.41</v>
      </c>
      <c r="D3638">
        <v>-0.27</v>
      </c>
      <c r="E3638">
        <v>-1.01</v>
      </c>
      <c r="F3638">
        <v>1459</v>
      </c>
      <c r="G3638" t="s">
        <v>15214</v>
      </c>
      <c r="H3638">
        <v>43415.97</v>
      </c>
      <c r="I3638">
        <v>156.65</v>
      </c>
      <c r="J3638" t="s">
        <v>120</v>
      </c>
      <c r="K3638" t="s">
        <v>15215</v>
      </c>
      <c r="L3638">
        <v>1.45</v>
      </c>
      <c r="M3638">
        <v>49.5</v>
      </c>
      <c r="N3638">
        <v>1.04</v>
      </c>
      <c r="O3638">
        <v>2.37</v>
      </c>
      <c r="P3638">
        <v>50.47</v>
      </c>
      <c r="Q3638">
        <v>-1.05</v>
      </c>
      <c r="R3638">
        <v>48.78</v>
      </c>
      <c r="S3638">
        <v>48.8</v>
      </c>
      <c r="T3638">
        <v>87286</v>
      </c>
      <c r="U3638">
        <v>49.58</v>
      </c>
      <c r="V3638">
        <v>49.3</v>
      </c>
      <c r="W3638">
        <v>21.6</v>
      </c>
      <c r="X3638" t="s">
        <v>1165</v>
      </c>
      <c r="Y3638" t="s">
        <v>570</v>
      </c>
      <c r="Z3638">
        <v>3.43</v>
      </c>
      <c r="AA3638">
        <v>49.74</v>
      </c>
      <c r="AB3638">
        <v>44297</v>
      </c>
      <c r="AC3638">
        <v>42989</v>
      </c>
      <c r="AD3638">
        <v>1.03</v>
      </c>
      <c r="AE3638">
        <v>471</v>
      </c>
      <c r="AF3638">
        <v>1</v>
      </c>
      <c r="AG3638" t="s">
        <v>120</v>
      </c>
      <c r="AH3638">
        <v>0.01</v>
      </c>
      <c r="AI3638" t="s">
        <v>120</v>
      </c>
      <c r="AJ3638">
        <v>6</v>
      </c>
      <c r="AK3638" t="s">
        <v>15215</v>
      </c>
      <c r="AL3638">
        <v>1.75</v>
      </c>
      <c r="AM3638">
        <v>4098</v>
      </c>
      <c r="AN3638">
        <v>21</v>
      </c>
      <c r="AO3638">
        <v>4.0000000000000002E-4</v>
      </c>
      <c r="AP3638">
        <v>1</v>
      </c>
      <c r="AQ3638">
        <v>-2.76</v>
      </c>
      <c r="AR3638">
        <v>-3.41</v>
      </c>
      <c r="AS3638">
        <v>-9.2899999999999991</v>
      </c>
      <c r="AT3638">
        <v>-29.39</v>
      </c>
      <c r="AU3638">
        <v>-26.88</v>
      </c>
      <c r="AV3638">
        <v>2</v>
      </c>
      <c r="AW3638">
        <v>2.44</v>
      </c>
      <c r="AX3638">
        <v>59.51</v>
      </c>
      <c r="AY3638">
        <v>20.03</v>
      </c>
      <c r="AZ3638">
        <v>23.19</v>
      </c>
      <c r="BA3638">
        <v>1.76</v>
      </c>
      <c r="BB3638" t="s">
        <v>134</v>
      </c>
      <c r="BF3638">
        <v>0.89</v>
      </c>
      <c r="BG3638">
        <v>1.43</v>
      </c>
      <c r="BH3638">
        <v>-1.92</v>
      </c>
      <c r="BI3638">
        <v>1.48</v>
      </c>
      <c r="BJ3638">
        <v>20210827</v>
      </c>
      <c r="BK3638">
        <v>20150629</v>
      </c>
      <c r="BL3638">
        <v>6</v>
      </c>
      <c r="BM3638" t="s">
        <v>120</v>
      </c>
      <c r="BN3638" t="s">
        <v>120</v>
      </c>
      <c r="BO3638">
        <v>90.46</v>
      </c>
      <c r="BP3638">
        <v>49.5</v>
      </c>
      <c r="BQ3638">
        <v>72.099999999999994</v>
      </c>
      <c r="BR3638" t="s">
        <v>120</v>
      </c>
      <c r="BS3638">
        <v>20.3</v>
      </c>
      <c r="BT3638">
        <v>56.07</v>
      </c>
      <c r="BU3638">
        <v>18.079999999999998</v>
      </c>
      <c r="BV3638">
        <v>4.28</v>
      </c>
      <c r="BW3638">
        <v>16.920000000000002</v>
      </c>
      <c r="BX3638">
        <v>9.27</v>
      </c>
      <c r="BY3638">
        <v>32.44</v>
      </c>
      <c r="BZ3638">
        <v>0.02</v>
      </c>
      <c r="CA3638" t="s">
        <v>120</v>
      </c>
      <c r="CB3638">
        <v>9.77</v>
      </c>
      <c r="CC3638">
        <v>22.43</v>
      </c>
      <c r="CD3638">
        <v>5.66</v>
      </c>
      <c r="CE3638">
        <v>9.26</v>
      </c>
      <c r="CF3638">
        <v>0.26</v>
      </c>
      <c r="CG3638">
        <v>9.27</v>
      </c>
      <c r="CH3638">
        <v>6.87</v>
      </c>
      <c r="CI3638">
        <v>6.87</v>
      </c>
      <c r="CJ3638">
        <v>0.2</v>
      </c>
      <c r="CK3638">
        <v>6.55</v>
      </c>
      <c r="CL3638">
        <v>54.22</v>
      </c>
      <c r="CM3638">
        <v>-2.5299999999999998</v>
      </c>
      <c r="CN3638">
        <v>-5.52</v>
      </c>
      <c r="CO3638">
        <v>54710</v>
      </c>
      <c r="CP3638">
        <v>6526</v>
      </c>
      <c r="CQ3638" t="s">
        <v>15216</v>
      </c>
      <c r="CR3638">
        <v>41.34</v>
      </c>
      <c r="CS3638">
        <v>42.9</v>
      </c>
      <c r="CT3638">
        <v>4.12</v>
      </c>
      <c r="CU3638">
        <v>-117.24</v>
      </c>
      <c r="CV3638">
        <v>13.24</v>
      </c>
      <c r="CW3638">
        <v>2.42</v>
      </c>
      <c r="CX3638" t="s">
        <v>11458</v>
      </c>
      <c r="CY3638">
        <v>12.02</v>
      </c>
      <c r="CZ3638">
        <v>0</v>
      </c>
      <c r="DA3638">
        <v>1.63</v>
      </c>
      <c r="DB3638">
        <v>9.0399999999999991</v>
      </c>
      <c r="DC3638">
        <v>-0.42</v>
      </c>
      <c r="DD3638">
        <v>79.7</v>
      </c>
      <c r="DE3638" t="s">
        <v>8483</v>
      </c>
      <c r="DF3638">
        <v>74.760000000000005</v>
      </c>
      <c r="DG3638">
        <v>41.27</v>
      </c>
      <c r="DH3638">
        <v>30.65</v>
      </c>
      <c r="DI3638">
        <v>0.09</v>
      </c>
      <c r="DJ3638">
        <v>3931</v>
      </c>
      <c r="DK3638">
        <v>603589</v>
      </c>
      <c r="DL3638" t="s">
        <v>120</v>
      </c>
      <c r="DM3638" t="s">
        <v>120</v>
      </c>
      <c r="DN3638" t="s">
        <v>120</v>
      </c>
    </row>
    <row r="3639" spans="1:118">
      <c r="A3639" t="str">
        <f>"603590"</f>
        <v>603590</v>
      </c>
      <c r="B3639" t="s">
        <v>15217</v>
      </c>
      <c r="C3639">
        <v>-1.17</v>
      </c>
      <c r="D3639">
        <v>0</v>
      </c>
      <c r="E3639">
        <v>0</v>
      </c>
      <c r="F3639">
        <v>31</v>
      </c>
      <c r="G3639" t="s">
        <v>5072</v>
      </c>
      <c r="H3639">
        <v>2442.33</v>
      </c>
      <c r="I3639">
        <v>0</v>
      </c>
      <c r="J3639" t="s">
        <v>120</v>
      </c>
      <c r="K3639" t="s">
        <v>15218</v>
      </c>
      <c r="L3639">
        <v>0.45</v>
      </c>
      <c r="M3639">
        <v>33.799999999999997</v>
      </c>
      <c r="N3639">
        <v>0.67</v>
      </c>
      <c r="O3639">
        <v>0.73</v>
      </c>
      <c r="P3639">
        <v>34.450000000000003</v>
      </c>
      <c r="Q3639">
        <v>-1.58</v>
      </c>
      <c r="R3639">
        <v>33.659999999999997</v>
      </c>
      <c r="S3639">
        <v>34.200000000000003</v>
      </c>
      <c r="T3639">
        <v>7203</v>
      </c>
      <c r="U3639">
        <v>33.81</v>
      </c>
      <c r="V3639">
        <v>34.200000000000003</v>
      </c>
      <c r="W3639">
        <v>27.03</v>
      </c>
      <c r="X3639" t="s">
        <v>569</v>
      </c>
      <c r="Y3639" t="s">
        <v>158</v>
      </c>
      <c r="Z3639">
        <v>2.31</v>
      </c>
      <c r="AA3639">
        <v>33.909999999999997</v>
      </c>
      <c r="AB3639">
        <v>4138</v>
      </c>
      <c r="AC3639">
        <v>3065</v>
      </c>
      <c r="AD3639">
        <v>1.35</v>
      </c>
      <c r="AE3639">
        <v>13</v>
      </c>
      <c r="AF3639">
        <v>9</v>
      </c>
      <c r="AG3639" t="s">
        <v>120</v>
      </c>
      <c r="AH3639">
        <v>0</v>
      </c>
      <c r="AI3639" t="s">
        <v>120</v>
      </c>
      <c r="AJ3639">
        <v>1.6</v>
      </c>
      <c r="AK3639" t="s">
        <v>15218</v>
      </c>
      <c r="AL3639">
        <v>0.17</v>
      </c>
      <c r="AM3639">
        <v>1114</v>
      </c>
      <c r="AN3639">
        <v>6</v>
      </c>
      <c r="AO3639">
        <v>4.0000000000000002E-4</v>
      </c>
      <c r="AP3639">
        <v>-3</v>
      </c>
      <c r="AQ3639">
        <v>-0.98</v>
      </c>
      <c r="AR3639">
        <v>-4.4400000000000004</v>
      </c>
      <c r="AS3639">
        <v>4.2300000000000004</v>
      </c>
      <c r="AT3639">
        <v>-7.83</v>
      </c>
      <c r="AU3639">
        <v>-7.72</v>
      </c>
      <c r="AV3639">
        <v>0</v>
      </c>
      <c r="AW3639">
        <v>0.89</v>
      </c>
      <c r="AX3639">
        <v>50.86</v>
      </c>
      <c r="AY3639">
        <v>30.35</v>
      </c>
      <c r="AZ3639">
        <v>29.84</v>
      </c>
      <c r="BA3639">
        <v>0.46</v>
      </c>
      <c r="BB3639" t="s">
        <v>125</v>
      </c>
      <c r="BF3639">
        <v>-0.86</v>
      </c>
      <c r="BG3639">
        <v>-1.17</v>
      </c>
      <c r="BH3639">
        <v>-1.89</v>
      </c>
      <c r="BI3639">
        <v>0.42</v>
      </c>
      <c r="BJ3639">
        <v>20210826</v>
      </c>
      <c r="BK3639">
        <v>20180827</v>
      </c>
      <c r="BL3639">
        <v>1.6</v>
      </c>
      <c r="BM3639" t="s">
        <v>120</v>
      </c>
      <c r="BN3639" t="s">
        <v>120</v>
      </c>
      <c r="BO3639">
        <v>35.08</v>
      </c>
      <c r="BP3639">
        <v>33.799999999999997</v>
      </c>
      <c r="BQ3639">
        <v>28.74</v>
      </c>
      <c r="BR3639">
        <v>0.1</v>
      </c>
      <c r="BS3639">
        <v>17.79</v>
      </c>
      <c r="BT3639">
        <v>14.78</v>
      </c>
      <c r="BU3639">
        <v>2.69</v>
      </c>
      <c r="BV3639">
        <v>8.17</v>
      </c>
      <c r="BW3639">
        <v>5.41</v>
      </c>
      <c r="BX3639">
        <v>10.64</v>
      </c>
      <c r="BY3639">
        <v>0.4</v>
      </c>
      <c r="BZ3639">
        <v>2.9</v>
      </c>
      <c r="CA3639" t="s">
        <v>120</v>
      </c>
      <c r="CB3639">
        <v>9.75</v>
      </c>
      <c r="CC3639">
        <v>4.5599999999999996</v>
      </c>
      <c r="CD3639">
        <v>0.55000000000000004</v>
      </c>
      <c r="CE3639">
        <v>1.1200000000000001</v>
      </c>
      <c r="CF3639">
        <v>7.0000000000000007E-2</v>
      </c>
      <c r="CG3639">
        <v>1.1200000000000001</v>
      </c>
      <c r="CH3639">
        <v>1</v>
      </c>
      <c r="CI3639">
        <v>1</v>
      </c>
      <c r="CJ3639">
        <v>-0.4</v>
      </c>
      <c r="CK3639">
        <v>0.87</v>
      </c>
      <c r="CL3639">
        <v>17.47</v>
      </c>
      <c r="CM3639">
        <v>-0.3</v>
      </c>
      <c r="CN3639">
        <v>-1.29</v>
      </c>
      <c r="CO3639">
        <v>16862</v>
      </c>
      <c r="CP3639">
        <v>4826</v>
      </c>
      <c r="CQ3639" t="s">
        <v>15219</v>
      </c>
      <c r="CR3639">
        <v>-2.94</v>
      </c>
      <c r="CS3639">
        <v>30.91</v>
      </c>
      <c r="CT3639">
        <v>1.88</v>
      </c>
      <c r="CU3639">
        <v>-182.8</v>
      </c>
      <c r="CV3639">
        <v>11.87</v>
      </c>
      <c r="CW3639">
        <v>1.01</v>
      </c>
      <c r="CX3639" t="s">
        <v>4650</v>
      </c>
      <c r="CY3639">
        <v>17.96</v>
      </c>
      <c r="CZ3639">
        <v>0</v>
      </c>
      <c r="DA3639">
        <v>6.09</v>
      </c>
      <c r="DB3639">
        <v>10.92</v>
      </c>
      <c r="DC3639">
        <v>-0.18</v>
      </c>
      <c r="DD3639">
        <v>81.93</v>
      </c>
      <c r="DE3639" t="s">
        <v>1437</v>
      </c>
      <c r="DF3639">
        <v>87.94</v>
      </c>
      <c r="DG3639">
        <v>24.67</v>
      </c>
      <c r="DH3639">
        <v>21.96</v>
      </c>
      <c r="DI3639">
        <v>0.54</v>
      </c>
      <c r="DJ3639">
        <v>432</v>
      </c>
      <c r="DK3639">
        <v>603590</v>
      </c>
      <c r="DL3639" t="s">
        <v>120</v>
      </c>
      <c r="DM3639" t="s">
        <v>120</v>
      </c>
      <c r="DN3639" t="s">
        <v>120</v>
      </c>
    </row>
    <row r="3640" spans="1:118">
      <c r="A3640" t="str">
        <f>"603595"</f>
        <v>603595</v>
      </c>
      <c r="B3640" t="s">
        <v>15220</v>
      </c>
      <c r="C3640">
        <v>-4.03</v>
      </c>
      <c r="D3640">
        <v>-0.02</v>
      </c>
      <c r="E3640">
        <v>-0.5</v>
      </c>
      <c r="F3640">
        <v>165</v>
      </c>
      <c r="G3640" t="s">
        <v>6772</v>
      </c>
      <c r="H3640">
        <v>8348.9</v>
      </c>
      <c r="I3640">
        <v>16.87</v>
      </c>
      <c r="J3640" t="s">
        <v>120</v>
      </c>
      <c r="K3640" t="s">
        <v>10812</v>
      </c>
      <c r="L3640">
        <v>1.74</v>
      </c>
      <c r="M3640">
        <v>29.05</v>
      </c>
      <c r="N3640">
        <v>0.78</v>
      </c>
      <c r="O3640">
        <v>2.35</v>
      </c>
      <c r="P3640">
        <v>30.98</v>
      </c>
      <c r="Q3640">
        <v>-4.53</v>
      </c>
      <c r="R3640">
        <v>28.9</v>
      </c>
      <c r="S3640">
        <v>30.12</v>
      </c>
      <c r="T3640">
        <v>28047</v>
      </c>
      <c r="U3640">
        <v>29.06</v>
      </c>
      <c r="V3640">
        <v>30.27</v>
      </c>
      <c r="W3640">
        <v>205.03</v>
      </c>
      <c r="X3640" t="s">
        <v>229</v>
      </c>
      <c r="Y3640" t="s">
        <v>585</v>
      </c>
      <c r="Z3640">
        <v>6.87</v>
      </c>
      <c r="AA3640">
        <v>29.77</v>
      </c>
      <c r="AB3640">
        <v>14984</v>
      </c>
      <c r="AC3640">
        <v>13063</v>
      </c>
      <c r="AD3640">
        <v>1.1499999999999999</v>
      </c>
      <c r="AE3640">
        <v>71</v>
      </c>
      <c r="AF3640">
        <v>221</v>
      </c>
      <c r="AG3640" t="s">
        <v>120</v>
      </c>
      <c r="AH3640">
        <v>0.01</v>
      </c>
      <c r="AI3640" t="s">
        <v>120</v>
      </c>
      <c r="AJ3640">
        <v>1.61</v>
      </c>
      <c r="AK3640" t="s">
        <v>15221</v>
      </c>
      <c r="AL3640">
        <v>-2.69</v>
      </c>
      <c r="AM3640">
        <v>2164</v>
      </c>
      <c r="AN3640">
        <v>13</v>
      </c>
      <c r="AO3640">
        <v>8.0000000000000004E-4</v>
      </c>
      <c r="AP3640">
        <v>-3</v>
      </c>
      <c r="AQ3640">
        <v>-4.03</v>
      </c>
      <c r="AR3640">
        <v>-10.75</v>
      </c>
      <c r="AS3640">
        <v>-8.85</v>
      </c>
      <c r="AT3640">
        <v>9.09</v>
      </c>
      <c r="AU3640">
        <v>44.98</v>
      </c>
      <c r="AV3640">
        <v>6</v>
      </c>
      <c r="AW3640">
        <v>3.3</v>
      </c>
      <c r="AX3640">
        <v>39.94</v>
      </c>
      <c r="AY3640">
        <v>192.11</v>
      </c>
      <c r="AZ3640">
        <v>134.74</v>
      </c>
      <c r="BA3640">
        <v>1.46</v>
      </c>
      <c r="BB3640" t="s">
        <v>143</v>
      </c>
      <c r="BF3640">
        <v>-1.66</v>
      </c>
      <c r="BG3640">
        <v>-3.55</v>
      </c>
      <c r="BH3640">
        <v>-6.23</v>
      </c>
      <c r="BI3640">
        <v>0.52</v>
      </c>
      <c r="BJ3640">
        <v>20210821</v>
      </c>
      <c r="BK3640">
        <v>20170712</v>
      </c>
      <c r="BL3640">
        <v>2.13</v>
      </c>
      <c r="BM3640" t="s">
        <v>120</v>
      </c>
      <c r="BN3640" t="s">
        <v>120</v>
      </c>
      <c r="BO3640">
        <v>25.69</v>
      </c>
      <c r="BP3640">
        <v>29.05</v>
      </c>
      <c r="BQ3640">
        <v>11.19</v>
      </c>
      <c r="BR3640" t="s">
        <v>120</v>
      </c>
      <c r="BS3640">
        <v>56.44</v>
      </c>
      <c r="BT3640">
        <v>9.7100000000000009</v>
      </c>
      <c r="BU3640">
        <v>9.7100000000000009</v>
      </c>
      <c r="BV3640">
        <v>0.63</v>
      </c>
      <c r="BW3640">
        <v>9.64</v>
      </c>
      <c r="BX3640">
        <v>2.27</v>
      </c>
      <c r="BY3640">
        <v>2.79</v>
      </c>
      <c r="BZ3640">
        <v>3.61</v>
      </c>
      <c r="CA3640" t="s">
        <v>120</v>
      </c>
      <c r="CB3640">
        <v>6.46</v>
      </c>
      <c r="CC3640">
        <v>5.01</v>
      </c>
      <c r="CD3640">
        <v>4.0999999999999996</v>
      </c>
      <c r="CE3640">
        <v>0.12</v>
      </c>
      <c r="CF3640">
        <v>0</v>
      </c>
      <c r="CG3640">
        <v>0.13</v>
      </c>
      <c r="CH3640">
        <v>0.15</v>
      </c>
      <c r="CI3640">
        <v>0.15</v>
      </c>
      <c r="CJ3640">
        <v>-1.22</v>
      </c>
      <c r="CK3640">
        <v>0.04</v>
      </c>
      <c r="CL3640">
        <v>2.15</v>
      </c>
      <c r="CM3640">
        <v>1.23</v>
      </c>
      <c r="CN3640">
        <v>1.1000000000000001</v>
      </c>
      <c r="CO3640">
        <v>19054</v>
      </c>
      <c r="CP3640">
        <v>4463</v>
      </c>
      <c r="CQ3640" t="s">
        <v>12099</v>
      </c>
      <c r="CR3640">
        <v>-48.64</v>
      </c>
      <c r="CS3640">
        <v>72.91</v>
      </c>
      <c r="CT3640">
        <v>5.53</v>
      </c>
      <c r="CU3640">
        <v>50.19</v>
      </c>
      <c r="CV3640">
        <v>12.34</v>
      </c>
      <c r="CW3640">
        <v>7.0000000000000007E-2</v>
      </c>
      <c r="CX3640" t="s">
        <v>679</v>
      </c>
      <c r="CY3640">
        <v>5.26</v>
      </c>
      <c r="CZ3640">
        <v>0</v>
      </c>
      <c r="DA3640">
        <v>3.03</v>
      </c>
      <c r="DB3640">
        <v>1.01</v>
      </c>
      <c r="DC3640">
        <v>0.57999999999999996</v>
      </c>
      <c r="DD3640">
        <v>43.56</v>
      </c>
      <c r="DE3640" t="s">
        <v>11738</v>
      </c>
      <c r="DF3640">
        <v>18.23</v>
      </c>
      <c r="DG3640">
        <v>2.42</v>
      </c>
      <c r="DH3640">
        <v>3.01</v>
      </c>
      <c r="DI3640">
        <v>0.39</v>
      </c>
      <c r="DJ3640">
        <v>1470</v>
      </c>
      <c r="DK3640">
        <v>603595</v>
      </c>
      <c r="DL3640" t="s">
        <v>120</v>
      </c>
      <c r="DM3640" t="s">
        <v>120</v>
      </c>
      <c r="DN3640" t="s">
        <v>120</v>
      </c>
    </row>
    <row r="3641" spans="1:118">
      <c r="A3641" t="str">
        <f>"603596"</f>
        <v>603596</v>
      </c>
      <c r="B3641" t="s">
        <v>15222</v>
      </c>
      <c r="C3641">
        <v>-5.96</v>
      </c>
      <c r="D3641">
        <v>-0.44</v>
      </c>
      <c r="E3641">
        <v>-0.04</v>
      </c>
      <c r="F3641">
        <v>231</v>
      </c>
      <c r="G3641" t="s">
        <v>15223</v>
      </c>
      <c r="H3641">
        <v>9908.16</v>
      </c>
      <c r="I3641">
        <v>13.43</v>
      </c>
      <c r="J3641" t="s">
        <v>120</v>
      </c>
      <c r="K3641" t="s">
        <v>15224</v>
      </c>
      <c r="L3641">
        <v>0.49</v>
      </c>
      <c r="M3641">
        <v>48.58</v>
      </c>
      <c r="N3641">
        <v>0.65</v>
      </c>
      <c r="O3641">
        <v>0</v>
      </c>
      <c r="P3641">
        <v>51.66</v>
      </c>
      <c r="Q3641">
        <v>-6.31</v>
      </c>
      <c r="R3641">
        <v>48.4</v>
      </c>
      <c r="S3641">
        <v>51.64</v>
      </c>
      <c r="T3641">
        <v>19957</v>
      </c>
      <c r="U3641">
        <v>48.78</v>
      </c>
      <c r="V3641">
        <v>51.66</v>
      </c>
      <c r="W3641">
        <v>41.19</v>
      </c>
      <c r="X3641" t="s">
        <v>289</v>
      </c>
      <c r="Y3641" t="s">
        <v>570</v>
      </c>
      <c r="Z3641">
        <v>6.31</v>
      </c>
      <c r="AA3641">
        <v>49.65</v>
      </c>
      <c r="AB3641">
        <v>10853</v>
      </c>
      <c r="AC3641">
        <v>9104</v>
      </c>
      <c r="AD3641">
        <v>1.19</v>
      </c>
      <c r="AE3641">
        <v>11</v>
      </c>
      <c r="AF3641">
        <v>1</v>
      </c>
      <c r="AG3641" t="s">
        <v>120</v>
      </c>
      <c r="AH3641">
        <v>0</v>
      </c>
      <c r="AI3641" t="s">
        <v>120</v>
      </c>
      <c r="AJ3641">
        <v>4.07</v>
      </c>
      <c r="AK3641" t="s">
        <v>15225</v>
      </c>
      <c r="AL3641">
        <v>-4.62</v>
      </c>
      <c r="AM3641">
        <v>2164</v>
      </c>
      <c r="AN3641">
        <v>9</v>
      </c>
      <c r="AO3641">
        <v>2.0000000000000001E-4</v>
      </c>
      <c r="AP3641">
        <v>-2</v>
      </c>
      <c r="AQ3641">
        <v>-0.23</v>
      </c>
      <c r="AR3641">
        <v>-1.36</v>
      </c>
      <c r="AS3641">
        <v>12.74</v>
      </c>
      <c r="AT3641">
        <v>34.200000000000003</v>
      </c>
      <c r="AU3641">
        <v>42.46</v>
      </c>
      <c r="AV3641">
        <v>1</v>
      </c>
      <c r="AW3641">
        <v>1.1599999999999999</v>
      </c>
      <c r="AX3641">
        <v>41.95</v>
      </c>
      <c r="AY3641">
        <v>39.44</v>
      </c>
      <c r="AZ3641">
        <v>45.74</v>
      </c>
      <c r="BA3641">
        <v>0.85</v>
      </c>
      <c r="BB3641" t="s">
        <v>184</v>
      </c>
      <c r="BF3641">
        <v>-3.89</v>
      </c>
      <c r="BG3641">
        <v>-5.93</v>
      </c>
      <c r="BH3641">
        <v>-5.96</v>
      </c>
      <c r="BI3641">
        <v>0.37</v>
      </c>
      <c r="BJ3641">
        <v>20210830</v>
      </c>
      <c r="BK3641">
        <v>20180427</v>
      </c>
      <c r="BL3641">
        <v>4.09</v>
      </c>
      <c r="BM3641" t="s">
        <v>120</v>
      </c>
      <c r="BN3641" t="s">
        <v>120</v>
      </c>
      <c r="BO3641">
        <v>48.83</v>
      </c>
      <c r="BP3641">
        <v>48.58</v>
      </c>
      <c r="BQ3641">
        <v>30.33</v>
      </c>
      <c r="BR3641" t="s">
        <v>120</v>
      </c>
      <c r="BS3641">
        <v>37.89</v>
      </c>
      <c r="BT3641">
        <v>36.94</v>
      </c>
      <c r="BU3641">
        <v>8.6199999999999992</v>
      </c>
      <c r="BV3641">
        <v>0.69</v>
      </c>
      <c r="BW3641">
        <v>16.16</v>
      </c>
      <c r="BX3641">
        <v>13.79</v>
      </c>
      <c r="BY3641">
        <v>3.37</v>
      </c>
      <c r="BZ3641">
        <v>8.61</v>
      </c>
      <c r="CA3641" t="s">
        <v>120</v>
      </c>
      <c r="CB3641">
        <v>8.0299999999999994</v>
      </c>
      <c r="CC3641">
        <v>15.41</v>
      </c>
      <c r="CD3641">
        <v>11.47</v>
      </c>
      <c r="CE3641">
        <v>2.97</v>
      </c>
      <c r="CF3641">
        <v>0</v>
      </c>
      <c r="CG3641">
        <v>3</v>
      </c>
      <c r="CH3641">
        <v>2.64</v>
      </c>
      <c r="CI3641">
        <v>2.41</v>
      </c>
      <c r="CJ3641">
        <v>-3.08</v>
      </c>
      <c r="CK3641">
        <v>2.1800000000000002</v>
      </c>
      <c r="CL3641">
        <v>16.55</v>
      </c>
      <c r="CM3641">
        <v>0.04</v>
      </c>
      <c r="CN3641">
        <v>-0.68</v>
      </c>
      <c r="CO3641">
        <v>10347</v>
      </c>
      <c r="CP3641">
        <v>16565</v>
      </c>
      <c r="CQ3641" t="s">
        <v>15226</v>
      </c>
      <c r="CR3641">
        <v>44.1</v>
      </c>
      <c r="CS3641">
        <v>32.75</v>
      </c>
      <c r="CT3641">
        <v>6.54</v>
      </c>
      <c r="CU3641">
        <v>5013.1099999999997</v>
      </c>
      <c r="CV3641">
        <v>12.88</v>
      </c>
      <c r="CW3641">
        <v>0.23</v>
      </c>
      <c r="CX3641" t="s">
        <v>597</v>
      </c>
      <c r="CY3641">
        <v>7.42</v>
      </c>
      <c r="CZ3641">
        <v>0</v>
      </c>
      <c r="DA3641">
        <v>1.96</v>
      </c>
      <c r="DB3641">
        <v>4.05</v>
      </c>
      <c r="DC3641">
        <v>0.01</v>
      </c>
      <c r="DD3641">
        <v>62.11</v>
      </c>
      <c r="DE3641" t="s">
        <v>15227</v>
      </c>
      <c r="DF3641">
        <v>25.57</v>
      </c>
      <c r="DG3641">
        <v>19.27</v>
      </c>
      <c r="DH3641">
        <v>15.63</v>
      </c>
      <c r="DI3641">
        <v>0.9</v>
      </c>
      <c r="DJ3641">
        <v>2064</v>
      </c>
      <c r="DK3641">
        <v>603596</v>
      </c>
      <c r="DL3641" t="s">
        <v>120</v>
      </c>
      <c r="DM3641" t="s">
        <v>120</v>
      </c>
      <c r="DN3641" t="s">
        <v>120</v>
      </c>
    </row>
    <row r="3642" spans="1:118">
      <c r="A3642" t="str">
        <f>"603598"</f>
        <v>603598</v>
      </c>
      <c r="B3642" t="s">
        <v>15228</v>
      </c>
      <c r="C3642">
        <v>-2.09</v>
      </c>
      <c r="D3642">
        <v>-0.1</v>
      </c>
      <c r="E3642">
        <v>0.22</v>
      </c>
      <c r="F3642">
        <v>257</v>
      </c>
      <c r="G3642" t="s">
        <v>15229</v>
      </c>
      <c r="H3642">
        <v>1958.1</v>
      </c>
      <c r="I3642">
        <v>0</v>
      </c>
      <c r="J3642" t="s">
        <v>120</v>
      </c>
      <c r="K3642" t="s">
        <v>9278</v>
      </c>
      <c r="L3642">
        <v>0.81</v>
      </c>
      <c r="M3642">
        <v>8.89</v>
      </c>
      <c r="N3642">
        <v>0.81</v>
      </c>
      <c r="O3642">
        <v>1.1000000000000001</v>
      </c>
      <c r="P3642">
        <v>9.18</v>
      </c>
      <c r="Q3642">
        <v>-2.09</v>
      </c>
      <c r="R3642">
        <v>8.89</v>
      </c>
      <c r="S3642">
        <v>9.1</v>
      </c>
      <c r="T3642">
        <v>21703</v>
      </c>
      <c r="U3642">
        <v>8.9</v>
      </c>
      <c r="V3642">
        <v>9.08</v>
      </c>
      <c r="W3642">
        <v>52.28</v>
      </c>
      <c r="X3642" t="s">
        <v>584</v>
      </c>
      <c r="Y3642" t="s">
        <v>158</v>
      </c>
      <c r="Z3642">
        <v>3.19</v>
      </c>
      <c r="AA3642">
        <v>9.02</v>
      </c>
      <c r="AB3642">
        <v>12939</v>
      </c>
      <c r="AC3642">
        <v>8764</v>
      </c>
      <c r="AD3642">
        <v>1.48</v>
      </c>
      <c r="AE3642">
        <v>194</v>
      </c>
      <c r="AF3642">
        <v>62</v>
      </c>
      <c r="AG3642" t="s">
        <v>120</v>
      </c>
      <c r="AH3642">
        <v>0</v>
      </c>
      <c r="AI3642" t="s">
        <v>120</v>
      </c>
      <c r="AJ3642">
        <v>2.68</v>
      </c>
      <c r="AK3642" t="s">
        <v>9278</v>
      </c>
      <c r="AL3642">
        <v>-0.75</v>
      </c>
      <c r="AM3642">
        <v>1121</v>
      </c>
      <c r="AN3642">
        <v>19</v>
      </c>
      <c r="AO3642">
        <v>6.9999999999999999E-4</v>
      </c>
      <c r="AP3642">
        <v>-1</v>
      </c>
      <c r="AQ3642">
        <v>0.22</v>
      </c>
      <c r="AR3642">
        <v>-4.6100000000000003</v>
      </c>
      <c r="AS3642">
        <v>1.72</v>
      </c>
      <c r="AT3642">
        <v>-17.91</v>
      </c>
      <c r="AU3642">
        <v>-18.440000000000001</v>
      </c>
      <c r="AV3642">
        <v>4</v>
      </c>
      <c r="AW3642">
        <v>1.91</v>
      </c>
      <c r="AX3642">
        <v>42.31</v>
      </c>
      <c r="AY3642">
        <v>24.95</v>
      </c>
      <c r="AZ3642">
        <v>23.81</v>
      </c>
      <c r="BA3642">
        <v>1.07</v>
      </c>
      <c r="BB3642" t="s">
        <v>143</v>
      </c>
      <c r="BF3642">
        <v>-0.64</v>
      </c>
      <c r="BG3642">
        <v>-2.31</v>
      </c>
      <c r="BH3642">
        <v>-3.16</v>
      </c>
      <c r="BI3642">
        <v>0</v>
      </c>
      <c r="BJ3642">
        <v>20210831</v>
      </c>
      <c r="BK3642">
        <v>20150527</v>
      </c>
      <c r="BL3642">
        <v>2.68</v>
      </c>
      <c r="BM3642" t="s">
        <v>120</v>
      </c>
      <c r="BN3642" t="s">
        <v>120</v>
      </c>
      <c r="BO3642">
        <v>16.899999999999999</v>
      </c>
      <c r="BP3642">
        <v>8.8800000000000008</v>
      </c>
      <c r="BQ3642">
        <v>4.78</v>
      </c>
      <c r="BR3642">
        <v>0</v>
      </c>
      <c r="BS3642">
        <v>71.709999999999994</v>
      </c>
      <c r="BT3642">
        <v>13.48</v>
      </c>
      <c r="BU3642">
        <v>7.0000000000000007E-2</v>
      </c>
      <c r="BV3642">
        <v>0.05</v>
      </c>
      <c r="BW3642">
        <v>11.81</v>
      </c>
      <c r="BX3642">
        <v>2.37</v>
      </c>
      <c r="BY3642">
        <v>0</v>
      </c>
      <c r="BZ3642">
        <v>8.6199999999999992</v>
      </c>
      <c r="CA3642" t="s">
        <v>120</v>
      </c>
      <c r="CB3642">
        <v>0.09</v>
      </c>
      <c r="CC3642">
        <v>26.9</v>
      </c>
      <c r="CD3642">
        <v>25.68</v>
      </c>
      <c r="CE3642">
        <v>0.3</v>
      </c>
      <c r="CF3642">
        <v>0</v>
      </c>
      <c r="CG3642">
        <v>0.3</v>
      </c>
      <c r="CH3642">
        <v>0.23</v>
      </c>
      <c r="CI3642">
        <v>0.23</v>
      </c>
      <c r="CJ3642">
        <v>-0.19</v>
      </c>
      <c r="CK3642">
        <v>0.12</v>
      </c>
      <c r="CL3642">
        <v>2.12</v>
      </c>
      <c r="CM3642">
        <v>0.95</v>
      </c>
      <c r="CN3642">
        <v>0.28999999999999998</v>
      </c>
      <c r="CO3642">
        <v>30377</v>
      </c>
      <c r="CP3642">
        <v>3731</v>
      </c>
      <c r="CQ3642" t="s">
        <v>11073</v>
      </c>
      <c r="CR3642">
        <v>-17</v>
      </c>
      <c r="CS3642">
        <v>36.6</v>
      </c>
      <c r="CT3642">
        <v>5.03</v>
      </c>
      <c r="CU3642">
        <v>25.17</v>
      </c>
      <c r="CV3642">
        <v>0.89</v>
      </c>
      <c r="CW3642">
        <v>0</v>
      </c>
      <c r="CX3642" t="s">
        <v>535</v>
      </c>
      <c r="CY3642">
        <v>1.77</v>
      </c>
      <c r="CZ3642">
        <v>1.77</v>
      </c>
      <c r="DA3642">
        <v>0.03</v>
      </c>
      <c r="DB3642">
        <v>0.79</v>
      </c>
      <c r="DC3642">
        <v>0.35</v>
      </c>
      <c r="DD3642">
        <v>28.31</v>
      </c>
      <c r="DE3642" t="s">
        <v>1375</v>
      </c>
      <c r="DF3642">
        <v>4.5199999999999996</v>
      </c>
      <c r="DG3642">
        <v>1.1100000000000001</v>
      </c>
      <c r="DH3642">
        <v>0.85</v>
      </c>
      <c r="DI3642">
        <v>0.15</v>
      </c>
      <c r="DJ3642">
        <v>807</v>
      </c>
      <c r="DK3642">
        <v>603598</v>
      </c>
      <c r="DL3642" t="s">
        <v>120</v>
      </c>
      <c r="DM3642" t="s">
        <v>120</v>
      </c>
      <c r="DN3642" t="s">
        <v>120</v>
      </c>
    </row>
    <row r="3643" spans="1:118">
      <c r="A3643" t="str">
        <f>"603599"</f>
        <v>603599</v>
      </c>
      <c r="B3643" t="s">
        <v>15230</v>
      </c>
      <c r="C3643">
        <v>-2.5299999999999998</v>
      </c>
      <c r="D3643">
        <v>0.05</v>
      </c>
      <c r="E3643">
        <v>0.43</v>
      </c>
      <c r="F3643">
        <v>560</v>
      </c>
      <c r="G3643" t="s">
        <v>15231</v>
      </c>
      <c r="H3643">
        <v>62298.89</v>
      </c>
      <c r="I3643">
        <v>319.60000000000002</v>
      </c>
      <c r="J3643" t="s">
        <v>120</v>
      </c>
      <c r="K3643" t="s">
        <v>15232</v>
      </c>
      <c r="L3643">
        <v>3.45</v>
      </c>
      <c r="M3643">
        <v>38.200000000000003</v>
      </c>
      <c r="N3643">
        <v>1.3</v>
      </c>
      <c r="O3643">
        <v>3.98</v>
      </c>
      <c r="P3643">
        <v>40.75</v>
      </c>
      <c r="Q3643">
        <v>-3.6</v>
      </c>
      <c r="R3643">
        <v>37.78</v>
      </c>
      <c r="S3643">
        <v>39.36</v>
      </c>
      <c r="T3643">
        <v>159170</v>
      </c>
      <c r="U3643">
        <v>38.270000000000003</v>
      </c>
      <c r="V3643">
        <v>39.19</v>
      </c>
      <c r="W3643">
        <v>14.08</v>
      </c>
      <c r="X3643" t="s">
        <v>690</v>
      </c>
      <c r="Y3643" t="s">
        <v>570</v>
      </c>
      <c r="Z3643">
        <v>7.58</v>
      </c>
      <c r="AA3643">
        <v>39.14</v>
      </c>
      <c r="AB3643">
        <v>84812</v>
      </c>
      <c r="AC3643">
        <v>74358</v>
      </c>
      <c r="AD3643">
        <v>1.1399999999999999</v>
      </c>
      <c r="AE3643">
        <v>430</v>
      </c>
      <c r="AF3643">
        <v>20</v>
      </c>
      <c r="AG3643" t="s">
        <v>120</v>
      </c>
      <c r="AH3643">
        <v>0.04</v>
      </c>
      <c r="AI3643" t="s">
        <v>120</v>
      </c>
      <c r="AJ3643">
        <v>4.62</v>
      </c>
      <c r="AK3643" t="s">
        <v>15233</v>
      </c>
      <c r="AL3643">
        <v>-1.18</v>
      </c>
      <c r="AM3643">
        <v>4279</v>
      </c>
      <c r="AN3643">
        <v>37</v>
      </c>
      <c r="AO3643">
        <v>8.0000000000000004E-4</v>
      </c>
      <c r="AP3643">
        <v>-1</v>
      </c>
      <c r="AQ3643">
        <v>7.66</v>
      </c>
      <c r="AR3643">
        <v>4.0599999999999996</v>
      </c>
      <c r="AS3643">
        <v>19.559999999999999</v>
      </c>
      <c r="AT3643">
        <v>32.409999999999997</v>
      </c>
      <c r="AU3643">
        <v>62.27</v>
      </c>
      <c r="AV3643">
        <v>2</v>
      </c>
      <c r="AW3643">
        <v>6.92</v>
      </c>
      <c r="AX3643">
        <v>49.5</v>
      </c>
      <c r="AY3643">
        <v>19.47</v>
      </c>
      <c r="AZ3643">
        <v>30.93</v>
      </c>
      <c r="BA3643">
        <v>1.0900000000000001</v>
      </c>
      <c r="BB3643" t="s">
        <v>700</v>
      </c>
      <c r="BF3643">
        <v>-0.13</v>
      </c>
      <c r="BG3643">
        <v>-2.95</v>
      </c>
      <c r="BH3643">
        <v>-6.26</v>
      </c>
      <c r="BI3643">
        <v>1.1100000000000001</v>
      </c>
      <c r="BJ3643">
        <v>20210913</v>
      </c>
      <c r="BK3643">
        <v>20150513</v>
      </c>
      <c r="BL3643">
        <v>4.6500000000000004</v>
      </c>
      <c r="BM3643" t="s">
        <v>120</v>
      </c>
      <c r="BN3643" t="s">
        <v>120</v>
      </c>
      <c r="BO3643">
        <v>81.44</v>
      </c>
      <c r="BP3643">
        <v>38.200000000000003</v>
      </c>
      <c r="BQ3643">
        <v>60.99</v>
      </c>
      <c r="BR3643" t="s">
        <v>120</v>
      </c>
      <c r="BS3643">
        <v>25.12</v>
      </c>
      <c r="BT3643">
        <v>57.74</v>
      </c>
      <c r="BU3643">
        <v>13.16</v>
      </c>
      <c r="BV3643">
        <v>2.08</v>
      </c>
      <c r="BW3643">
        <v>19.760000000000002</v>
      </c>
      <c r="BX3643">
        <v>21.93</v>
      </c>
      <c r="BY3643">
        <v>9.15</v>
      </c>
      <c r="BZ3643">
        <v>2.99</v>
      </c>
      <c r="CA3643" t="s">
        <v>120</v>
      </c>
      <c r="CB3643">
        <v>21.44</v>
      </c>
      <c r="CC3643">
        <v>25.09</v>
      </c>
      <c r="CD3643">
        <v>14.88</v>
      </c>
      <c r="CE3643">
        <v>7.14</v>
      </c>
      <c r="CF3643">
        <v>0.23</v>
      </c>
      <c r="CG3643">
        <v>7.16</v>
      </c>
      <c r="CH3643">
        <v>6.3</v>
      </c>
      <c r="CI3643">
        <v>6.3</v>
      </c>
      <c r="CJ3643">
        <v>-0.99</v>
      </c>
      <c r="CK3643">
        <v>5.79</v>
      </c>
      <c r="CL3643">
        <v>31.49</v>
      </c>
      <c r="CM3643">
        <v>7.28</v>
      </c>
      <c r="CN3643">
        <v>5.48</v>
      </c>
      <c r="CO3643">
        <v>18776</v>
      </c>
      <c r="CP3643">
        <v>12249</v>
      </c>
      <c r="CQ3643" t="s">
        <v>15234</v>
      </c>
      <c r="CR3643">
        <v>121.98</v>
      </c>
      <c r="CS3643">
        <v>41.92</v>
      </c>
      <c r="CT3643">
        <v>2.91</v>
      </c>
      <c r="CU3643">
        <v>24.38</v>
      </c>
      <c r="CV3643">
        <v>7.07</v>
      </c>
      <c r="CW3643">
        <v>1.1000000000000001</v>
      </c>
      <c r="CX3643" t="s">
        <v>13041</v>
      </c>
      <c r="CY3643">
        <v>13.13</v>
      </c>
      <c r="CZ3643">
        <v>0</v>
      </c>
      <c r="DA3643">
        <v>4.6100000000000003</v>
      </c>
      <c r="DB3643">
        <v>6.78</v>
      </c>
      <c r="DC3643">
        <v>1.57</v>
      </c>
      <c r="DD3643">
        <v>74.88</v>
      </c>
      <c r="DE3643" t="s">
        <v>14093</v>
      </c>
      <c r="DF3643">
        <v>40.71</v>
      </c>
      <c r="DG3643">
        <v>28.47</v>
      </c>
      <c r="DH3643">
        <v>25.12</v>
      </c>
      <c r="DI3643">
        <v>1.38</v>
      </c>
      <c r="DJ3643">
        <v>1761</v>
      </c>
      <c r="DK3643">
        <v>603599</v>
      </c>
      <c r="DL3643">
        <v>20210916</v>
      </c>
      <c r="DM3643">
        <v>39.19</v>
      </c>
      <c r="DN3643">
        <v>-2.5299999999999998</v>
      </c>
    </row>
    <row r="3644" spans="1:118">
      <c r="A3644" t="str">
        <f>"603600"</f>
        <v>603600</v>
      </c>
      <c r="B3644" t="s">
        <v>15235</v>
      </c>
      <c r="C3644">
        <v>-0.75</v>
      </c>
      <c r="D3644">
        <v>0</v>
      </c>
      <c r="E3644">
        <v>0.56000000000000005</v>
      </c>
      <c r="F3644">
        <v>291</v>
      </c>
      <c r="G3644" t="s">
        <v>8988</v>
      </c>
      <c r="H3644">
        <v>1667.03</v>
      </c>
      <c r="I3644">
        <v>2.15</v>
      </c>
      <c r="J3644" t="s">
        <v>120</v>
      </c>
      <c r="K3644" t="s">
        <v>15236</v>
      </c>
      <c r="L3644">
        <v>0.51</v>
      </c>
      <c r="M3644">
        <v>10.62</v>
      </c>
      <c r="N3644">
        <v>0.56000000000000005</v>
      </c>
      <c r="O3644">
        <v>1.21</v>
      </c>
      <c r="P3644">
        <v>10.83</v>
      </c>
      <c r="Q3644">
        <v>-0.84</v>
      </c>
      <c r="R3644">
        <v>10.61</v>
      </c>
      <c r="S3644">
        <v>10.76</v>
      </c>
      <c r="T3644">
        <v>15548</v>
      </c>
      <c r="U3644">
        <v>10.63</v>
      </c>
      <c r="V3644">
        <v>10.7</v>
      </c>
      <c r="W3644">
        <v>14.09</v>
      </c>
      <c r="X3644" t="s">
        <v>2409</v>
      </c>
      <c r="Y3644" t="s">
        <v>585</v>
      </c>
      <c r="Z3644">
        <v>2.06</v>
      </c>
      <c r="AA3644">
        <v>10.72</v>
      </c>
      <c r="AB3644">
        <v>7262</v>
      </c>
      <c r="AC3644">
        <v>8286</v>
      </c>
      <c r="AD3644">
        <v>0.88</v>
      </c>
      <c r="AE3644">
        <v>8</v>
      </c>
      <c r="AF3644">
        <v>39</v>
      </c>
      <c r="AG3644" t="s">
        <v>120</v>
      </c>
      <c r="AH3644">
        <v>0</v>
      </c>
      <c r="AI3644" t="s">
        <v>120</v>
      </c>
      <c r="AJ3644">
        <v>3.03</v>
      </c>
      <c r="AK3644" t="s">
        <v>15236</v>
      </c>
      <c r="AL3644">
        <v>0.6</v>
      </c>
      <c r="AM3644">
        <v>966</v>
      </c>
      <c r="AN3644">
        <v>16</v>
      </c>
      <c r="AO3644">
        <v>5.0000000000000001E-4</v>
      </c>
      <c r="AP3644">
        <v>-1</v>
      </c>
      <c r="AQ3644">
        <v>0.66</v>
      </c>
      <c r="AR3644">
        <v>-3.28</v>
      </c>
      <c r="AS3644">
        <v>-0.28000000000000003</v>
      </c>
      <c r="AT3644">
        <v>2.11</v>
      </c>
      <c r="AU3644">
        <v>-18.489999999999998</v>
      </c>
      <c r="AV3644">
        <v>2</v>
      </c>
      <c r="AW3644">
        <v>1.1299999999999999</v>
      </c>
      <c r="AX3644">
        <v>45.47</v>
      </c>
      <c r="AY3644">
        <v>13.41</v>
      </c>
      <c r="AZ3644">
        <v>13.92</v>
      </c>
      <c r="BA3644">
        <v>0.81</v>
      </c>
      <c r="BB3644" t="s">
        <v>143</v>
      </c>
      <c r="BF3644">
        <v>0.2</v>
      </c>
      <c r="BG3644">
        <v>-1.3</v>
      </c>
      <c r="BH3644">
        <v>-1.94</v>
      </c>
      <c r="BI3644">
        <v>0.09</v>
      </c>
      <c r="BJ3644">
        <v>20210901</v>
      </c>
      <c r="BK3644">
        <v>20150123</v>
      </c>
      <c r="BL3644">
        <v>3.03</v>
      </c>
      <c r="BM3644" t="s">
        <v>120</v>
      </c>
      <c r="BN3644" t="s">
        <v>120</v>
      </c>
      <c r="BO3644">
        <v>35.81</v>
      </c>
      <c r="BP3644">
        <v>10.62</v>
      </c>
      <c r="BQ3644">
        <v>14.28</v>
      </c>
      <c r="BR3644">
        <v>0.1</v>
      </c>
      <c r="BS3644">
        <v>59.85</v>
      </c>
      <c r="BT3644">
        <v>24.07</v>
      </c>
      <c r="BU3644">
        <v>7.41</v>
      </c>
      <c r="BV3644">
        <v>1.98</v>
      </c>
      <c r="BW3644">
        <v>21.07</v>
      </c>
      <c r="BX3644">
        <v>6.9</v>
      </c>
      <c r="BY3644">
        <v>8.24</v>
      </c>
      <c r="BZ3644">
        <v>6.18</v>
      </c>
      <c r="CA3644">
        <v>0.02</v>
      </c>
      <c r="CB3644">
        <v>5.45</v>
      </c>
      <c r="CC3644">
        <v>24.04</v>
      </c>
      <c r="CD3644">
        <v>20.57</v>
      </c>
      <c r="CE3644">
        <v>1.23</v>
      </c>
      <c r="CF3644">
        <v>0.11</v>
      </c>
      <c r="CG3644">
        <v>1.23</v>
      </c>
      <c r="CH3644">
        <v>1.1399999999999999</v>
      </c>
      <c r="CI3644">
        <v>1.1399999999999999</v>
      </c>
      <c r="CJ3644">
        <v>-0.08</v>
      </c>
      <c r="CK3644">
        <v>0.96</v>
      </c>
      <c r="CL3644">
        <v>5.24</v>
      </c>
      <c r="CM3644">
        <v>0.87</v>
      </c>
      <c r="CN3644">
        <v>3.37</v>
      </c>
      <c r="CO3644">
        <v>15558</v>
      </c>
      <c r="CP3644">
        <v>8841</v>
      </c>
      <c r="CQ3644" t="s">
        <v>2213</v>
      </c>
      <c r="CR3644">
        <v>8.4600000000000009</v>
      </c>
      <c r="CS3644">
        <v>96.86</v>
      </c>
      <c r="CT3644">
        <v>2.25</v>
      </c>
      <c r="CU3644">
        <v>36.880000000000003</v>
      </c>
      <c r="CV3644">
        <v>1.34</v>
      </c>
      <c r="CW3644">
        <v>2.34</v>
      </c>
      <c r="CX3644" t="s">
        <v>2429</v>
      </c>
      <c r="CY3644">
        <v>4.72</v>
      </c>
      <c r="CZ3644">
        <v>0</v>
      </c>
      <c r="DA3644">
        <v>1.8</v>
      </c>
      <c r="DB3644">
        <v>1.73</v>
      </c>
      <c r="DC3644">
        <v>0.28999999999999998</v>
      </c>
      <c r="DD3644">
        <v>39.880000000000003</v>
      </c>
      <c r="DE3644" t="s">
        <v>6910</v>
      </c>
      <c r="DF3644">
        <v>14.42</v>
      </c>
      <c r="DG3644">
        <v>5.13</v>
      </c>
      <c r="DH3644">
        <v>4.74</v>
      </c>
      <c r="DI3644">
        <v>0.6</v>
      </c>
      <c r="DJ3644">
        <v>8136</v>
      </c>
      <c r="DK3644">
        <v>603600</v>
      </c>
      <c r="DL3644" t="s">
        <v>120</v>
      </c>
      <c r="DM3644" t="s">
        <v>120</v>
      </c>
      <c r="DN3644" t="s">
        <v>120</v>
      </c>
    </row>
    <row r="3645" spans="1:118">
      <c r="A3645" t="str">
        <f>"603601"</f>
        <v>603601</v>
      </c>
      <c r="B3645" t="s">
        <v>15237</v>
      </c>
      <c r="C3645">
        <v>-1.81</v>
      </c>
      <c r="D3645">
        <v>0</v>
      </c>
      <c r="E3645">
        <v>-0.55000000000000004</v>
      </c>
      <c r="F3645">
        <v>451</v>
      </c>
      <c r="G3645" t="s">
        <v>8872</v>
      </c>
      <c r="H3645">
        <v>8125.36</v>
      </c>
      <c r="I3645">
        <v>8.32</v>
      </c>
      <c r="J3645" t="s">
        <v>120</v>
      </c>
      <c r="K3645" t="s">
        <v>11142</v>
      </c>
      <c r="L3645">
        <v>0.9</v>
      </c>
      <c r="M3645">
        <v>12.45</v>
      </c>
      <c r="N3645">
        <v>1.43</v>
      </c>
      <c r="O3645">
        <v>1.34</v>
      </c>
      <c r="P3645">
        <v>12.85</v>
      </c>
      <c r="Q3645">
        <v>-2.6</v>
      </c>
      <c r="R3645">
        <v>12.35</v>
      </c>
      <c r="S3645">
        <v>12.61</v>
      </c>
      <c r="T3645">
        <v>64670</v>
      </c>
      <c r="U3645">
        <v>12.46</v>
      </c>
      <c r="V3645">
        <v>12.68</v>
      </c>
      <c r="W3645">
        <v>32.11</v>
      </c>
      <c r="X3645" t="s">
        <v>191</v>
      </c>
      <c r="Y3645" t="s">
        <v>883</v>
      </c>
      <c r="Z3645">
        <v>3.94</v>
      </c>
      <c r="AA3645">
        <v>12.56</v>
      </c>
      <c r="AB3645">
        <v>37171</v>
      </c>
      <c r="AC3645">
        <v>27499</v>
      </c>
      <c r="AD3645">
        <v>1.35</v>
      </c>
      <c r="AE3645">
        <v>110</v>
      </c>
      <c r="AF3645">
        <v>1143</v>
      </c>
      <c r="AG3645" t="s">
        <v>120</v>
      </c>
      <c r="AH3645">
        <v>0</v>
      </c>
      <c r="AI3645" t="s">
        <v>120</v>
      </c>
      <c r="AJ3645">
        <v>7.22</v>
      </c>
      <c r="AK3645" t="s">
        <v>11142</v>
      </c>
      <c r="AL3645">
        <v>-0.47</v>
      </c>
      <c r="AM3645">
        <v>2108</v>
      </c>
      <c r="AN3645">
        <v>31</v>
      </c>
      <c r="AO3645">
        <v>4.0000000000000002E-4</v>
      </c>
      <c r="AP3645">
        <v>-5</v>
      </c>
      <c r="AQ3645">
        <v>-0.16</v>
      </c>
      <c r="AR3645">
        <v>-4.5999999999999996</v>
      </c>
      <c r="AS3645">
        <v>-6.95</v>
      </c>
      <c r="AT3645">
        <v>13.29</v>
      </c>
      <c r="AU3645">
        <v>-7.43</v>
      </c>
      <c r="AV3645">
        <v>0</v>
      </c>
      <c r="AW3645">
        <v>1.57</v>
      </c>
      <c r="AX3645">
        <v>56.99</v>
      </c>
      <c r="AY3645">
        <v>32.93</v>
      </c>
      <c r="AZ3645">
        <v>25.46</v>
      </c>
      <c r="BA3645">
        <v>0.94</v>
      </c>
      <c r="BB3645" t="s">
        <v>143</v>
      </c>
      <c r="BF3645">
        <v>-0.91</v>
      </c>
      <c r="BG3645">
        <v>-1.27</v>
      </c>
      <c r="BH3645">
        <v>-3.11</v>
      </c>
      <c r="BI3645">
        <v>0.81</v>
      </c>
      <c r="BJ3645">
        <v>20210826</v>
      </c>
      <c r="BK3645">
        <v>20150122</v>
      </c>
      <c r="BL3645">
        <v>7.22</v>
      </c>
      <c r="BM3645" t="s">
        <v>120</v>
      </c>
      <c r="BN3645" t="s">
        <v>120</v>
      </c>
      <c r="BO3645">
        <v>27.93</v>
      </c>
      <c r="BP3645">
        <v>12.45</v>
      </c>
      <c r="BQ3645">
        <v>19.510000000000002</v>
      </c>
      <c r="BR3645">
        <v>0.81</v>
      </c>
      <c r="BS3645">
        <v>27.24</v>
      </c>
      <c r="BT3645">
        <v>12.9</v>
      </c>
      <c r="BU3645">
        <v>7.96</v>
      </c>
      <c r="BV3645">
        <v>1.91</v>
      </c>
      <c r="BW3645">
        <v>6.47</v>
      </c>
      <c r="BX3645">
        <v>2.79</v>
      </c>
      <c r="BY3645">
        <v>2.11</v>
      </c>
      <c r="BZ3645">
        <v>5.6</v>
      </c>
      <c r="CA3645" t="s">
        <v>120</v>
      </c>
      <c r="CB3645">
        <v>4.57</v>
      </c>
      <c r="CC3645">
        <v>7.89</v>
      </c>
      <c r="CD3645">
        <v>5.32</v>
      </c>
      <c r="CE3645">
        <v>1.44</v>
      </c>
      <c r="CF3645">
        <v>0.04</v>
      </c>
      <c r="CG3645">
        <v>1.44</v>
      </c>
      <c r="CH3645">
        <v>1.43</v>
      </c>
      <c r="CI3645">
        <v>1.4</v>
      </c>
      <c r="CJ3645">
        <v>-0.23</v>
      </c>
      <c r="CK3645">
        <v>1.3</v>
      </c>
      <c r="CL3645">
        <v>6.96</v>
      </c>
      <c r="CM3645">
        <v>0.85</v>
      </c>
      <c r="CN3645">
        <v>-1.52</v>
      </c>
      <c r="CO3645">
        <v>34814</v>
      </c>
      <c r="CP3645">
        <v>11823</v>
      </c>
      <c r="CQ3645" t="s">
        <v>15238</v>
      </c>
      <c r="CR3645">
        <v>-36.799999999999997</v>
      </c>
      <c r="CS3645">
        <v>-7.86</v>
      </c>
      <c r="CT3645">
        <v>4.6100000000000003</v>
      </c>
      <c r="CU3645">
        <v>106.07</v>
      </c>
      <c r="CV3645">
        <v>11.4</v>
      </c>
      <c r="CW3645">
        <v>1.18</v>
      </c>
      <c r="CX3645" t="s">
        <v>442</v>
      </c>
      <c r="CY3645">
        <v>2.7</v>
      </c>
      <c r="CZ3645">
        <v>0</v>
      </c>
      <c r="DA3645">
        <v>0.63</v>
      </c>
      <c r="DB3645">
        <v>0.96</v>
      </c>
      <c r="DC3645">
        <v>0.12</v>
      </c>
      <c r="DD3645">
        <v>69.84</v>
      </c>
      <c r="DE3645" t="s">
        <v>7938</v>
      </c>
      <c r="DF3645">
        <v>32.590000000000003</v>
      </c>
      <c r="DG3645">
        <v>18.27</v>
      </c>
      <c r="DH3645">
        <v>17.75</v>
      </c>
      <c r="DI3645">
        <v>0.46</v>
      </c>
      <c r="DJ3645">
        <v>1485</v>
      </c>
      <c r="DK3645">
        <v>603601</v>
      </c>
      <c r="DL3645" t="s">
        <v>120</v>
      </c>
      <c r="DM3645" t="s">
        <v>120</v>
      </c>
      <c r="DN3645" t="s">
        <v>120</v>
      </c>
    </row>
    <row r="3646" spans="1:118">
      <c r="A3646" t="str">
        <f>"603602"</f>
        <v>603602</v>
      </c>
      <c r="B3646" t="s">
        <v>15239</v>
      </c>
      <c r="C3646">
        <v>-1.47</v>
      </c>
      <c r="D3646">
        <v>0.1</v>
      </c>
      <c r="E3646">
        <v>0.59</v>
      </c>
      <c r="F3646">
        <v>189</v>
      </c>
      <c r="G3646" t="s">
        <v>6450</v>
      </c>
      <c r="H3646">
        <v>2469.52</v>
      </c>
      <c r="I3646">
        <v>4.3</v>
      </c>
      <c r="J3646" t="s">
        <v>120</v>
      </c>
      <c r="K3646" t="s">
        <v>15240</v>
      </c>
      <c r="L3646">
        <v>1.2</v>
      </c>
      <c r="M3646">
        <v>10.029999999999999</v>
      </c>
      <c r="N3646">
        <v>1.1599999999999999</v>
      </c>
      <c r="O3646">
        <v>0.59</v>
      </c>
      <c r="P3646">
        <v>10.24</v>
      </c>
      <c r="Q3646">
        <v>-1.77</v>
      </c>
      <c r="R3646">
        <v>10</v>
      </c>
      <c r="S3646">
        <v>10.24</v>
      </c>
      <c r="T3646">
        <v>24426</v>
      </c>
      <c r="U3646">
        <v>10.029999999999999</v>
      </c>
      <c r="V3646">
        <v>10.18</v>
      </c>
      <c r="W3646">
        <v>459.25</v>
      </c>
      <c r="X3646" t="s">
        <v>462</v>
      </c>
      <c r="Y3646" t="s">
        <v>585</v>
      </c>
      <c r="Z3646">
        <v>2.36</v>
      </c>
      <c r="AA3646">
        <v>10.11</v>
      </c>
      <c r="AB3646">
        <v>16316</v>
      </c>
      <c r="AC3646">
        <v>8110</v>
      </c>
      <c r="AD3646">
        <v>2.0099999999999998</v>
      </c>
      <c r="AE3646">
        <v>70</v>
      </c>
      <c r="AF3646">
        <v>83</v>
      </c>
      <c r="AG3646" t="s">
        <v>120</v>
      </c>
      <c r="AH3646">
        <v>0</v>
      </c>
      <c r="AI3646" t="s">
        <v>120</v>
      </c>
      <c r="AJ3646">
        <v>2.04</v>
      </c>
      <c r="AK3646" t="s">
        <v>15240</v>
      </c>
      <c r="AL3646">
        <v>-0.13</v>
      </c>
      <c r="AM3646">
        <v>1147</v>
      </c>
      <c r="AN3646">
        <v>21</v>
      </c>
      <c r="AO3646">
        <v>1E-3</v>
      </c>
      <c r="AP3646">
        <v>-3</v>
      </c>
      <c r="AQ3646">
        <v>-0.2</v>
      </c>
      <c r="AR3646">
        <v>-4.3</v>
      </c>
      <c r="AS3646">
        <v>-6.96</v>
      </c>
      <c r="AT3646">
        <v>-7.04</v>
      </c>
      <c r="AU3646">
        <v>-17.989999999999998</v>
      </c>
      <c r="AV3646">
        <v>2</v>
      </c>
      <c r="AW3646">
        <v>1.86</v>
      </c>
      <c r="AX3646">
        <v>64.42</v>
      </c>
      <c r="AY3646">
        <v>49.87</v>
      </c>
      <c r="AZ3646">
        <v>124.94</v>
      </c>
      <c r="BA3646">
        <v>0.61</v>
      </c>
      <c r="BB3646" t="s">
        <v>143</v>
      </c>
      <c r="BF3646">
        <v>-0.69</v>
      </c>
      <c r="BG3646">
        <v>-2.0499999999999998</v>
      </c>
      <c r="BH3646">
        <v>-2.0499999999999998</v>
      </c>
      <c r="BI3646">
        <v>0.3</v>
      </c>
      <c r="BJ3646">
        <v>20210826</v>
      </c>
      <c r="BK3646">
        <v>20170810</v>
      </c>
      <c r="BL3646">
        <v>2.04</v>
      </c>
      <c r="BM3646" t="s">
        <v>120</v>
      </c>
      <c r="BN3646" t="s">
        <v>120</v>
      </c>
      <c r="BO3646">
        <v>15.33</v>
      </c>
      <c r="BP3646">
        <v>10.02</v>
      </c>
      <c r="BQ3646">
        <v>7.25</v>
      </c>
      <c r="BR3646">
        <v>-0.01</v>
      </c>
      <c r="BS3646">
        <v>52.82</v>
      </c>
      <c r="BT3646">
        <v>12.77</v>
      </c>
      <c r="BU3646">
        <v>0.11</v>
      </c>
      <c r="BV3646">
        <v>0.1</v>
      </c>
      <c r="BW3646">
        <v>5.41</v>
      </c>
      <c r="BX3646">
        <v>4.22</v>
      </c>
      <c r="BY3646">
        <v>3.46</v>
      </c>
      <c r="BZ3646">
        <v>3.36</v>
      </c>
      <c r="CA3646">
        <v>0.01</v>
      </c>
      <c r="CB3646">
        <v>1.21</v>
      </c>
      <c r="CC3646">
        <v>4.03</v>
      </c>
      <c r="CD3646">
        <v>3.57</v>
      </c>
      <c r="CE3646">
        <v>0.01</v>
      </c>
      <c r="CF3646">
        <v>0.03</v>
      </c>
      <c r="CG3646">
        <v>0.01</v>
      </c>
      <c r="CH3646">
        <v>0</v>
      </c>
      <c r="CI3646">
        <v>0.02</v>
      </c>
      <c r="CJ3646">
        <v>-0.15</v>
      </c>
      <c r="CK3646">
        <v>0</v>
      </c>
      <c r="CL3646">
        <v>3.33</v>
      </c>
      <c r="CM3646">
        <v>-0.88</v>
      </c>
      <c r="CN3646">
        <v>-1.07</v>
      </c>
      <c r="CO3646">
        <v>21028</v>
      </c>
      <c r="CP3646">
        <v>6245</v>
      </c>
      <c r="CQ3646" t="s">
        <v>8119</v>
      </c>
      <c r="CR3646">
        <v>109.77</v>
      </c>
      <c r="CS3646">
        <v>67.47</v>
      </c>
      <c r="CT3646">
        <v>2.88</v>
      </c>
      <c r="CU3646">
        <v>-23.12</v>
      </c>
      <c r="CV3646">
        <v>5.07</v>
      </c>
      <c r="CW3646">
        <v>0.28999999999999998</v>
      </c>
      <c r="CX3646" t="s">
        <v>178</v>
      </c>
      <c r="CY3646">
        <v>3.48</v>
      </c>
      <c r="CZ3646">
        <v>3.48</v>
      </c>
      <c r="DA3646">
        <v>0.6</v>
      </c>
      <c r="DB3646">
        <v>1.63</v>
      </c>
      <c r="DC3646">
        <v>-0.43</v>
      </c>
      <c r="DD3646">
        <v>47.27</v>
      </c>
      <c r="DE3646" t="s">
        <v>6978</v>
      </c>
      <c r="DF3646">
        <v>11.48</v>
      </c>
      <c r="DG3646">
        <v>0.18</v>
      </c>
      <c r="DH3646">
        <v>0.55000000000000004</v>
      </c>
      <c r="DI3646">
        <v>0.21</v>
      </c>
      <c r="DJ3646">
        <v>788</v>
      </c>
      <c r="DK3646">
        <v>603602</v>
      </c>
      <c r="DL3646" t="s">
        <v>120</v>
      </c>
      <c r="DM3646" t="s">
        <v>120</v>
      </c>
      <c r="DN3646" t="s">
        <v>120</v>
      </c>
    </row>
    <row r="3647" spans="1:118">
      <c r="A3647" t="str">
        <f>"603603"</f>
        <v>603603</v>
      </c>
      <c r="B3647" t="s">
        <v>15241</v>
      </c>
      <c r="C3647">
        <v>3.6</v>
      </c>
      <c r="D3647">
        <v>0</v>
      </c>
      <c r="E3647">
        <v>0.34</v>
      </c>
      <c r="F3647">
        <v>4994</v>
      </c>
      <c r="G3647" t="s">
        <v>10455</v>
      </c>
      <c r="H3647">
        <v>13229.15</v>
      </c>
      <c r="I3647">
        <v>120.36</v>
      </c>
      <c r="J3647" t="s">
        <v>120</v>
      </c>
      <c r="K3647" t="s">
        <v>12074</v>
      </c>
      <c r="L3647">
        <v>8.74</v>
      </c>
      <c r="M3647">
        <v>6.05</v>
      </c>
      <c r="N3647">
        <v>1.1599999999999999</v>
      </c>
      <c r="O3647">
        <v>3.94</v>
      </c>
      <c r="P3647">
        <v>6.07</v>
      </c>
      <c r="Q3647">
        <v>-1.54</v>
      </c>
      <c r="R3647">
        <v>5.75</v>
      </c>
      <c r="S3647">
        <v>5.86</v>
      </c>
      <c r="T3647">
        <v>223989</v>
      </c>
      <c r="U3647">
        <v>6.06</v>
      </c>
      <c r="V3647">
        <v>5.84</v>
      </c>
      <c r="W3647" t="s">
        <v>120</v>
      </c>
      <c r="X3647" t="s">
        <v>318</v>
      </c>
      <c r="Y3647" t="s">
        <v>158</v>
      </c>
      <c r="Z3647">
        <v>5.48</v>
      </c>
      <c r="AA3647">
        <v>5.91</v>
      </c>
      <c r="AB3647">
        <v>107993</v>
      </c>
      <c r="AC3647">
        <v>115996</v>
      </c>
      <c r="AD3647">
        <v>0.93</v>
      </c>
      <c r="AE3647">
        <v>158</v>
      </c>
      <c r="AF3647">
        <v>1628</v>
      </c>
      <c r="AG3647" t="s">
        <v>120</v>
      </c>
      <c r="AH3647">
        <v>0.11</v>
      </c>
      <c r="AI3647" t="s">
        <v>120</v>
      </c>
      <c r="AJ3647">
        <v>2.56</v>
      </c>
      <c r="AK3647" t="s">
        <v>6576</v>
      </c>
      <c r="AL3647">
        <v>4.9400000000000004</v>
      </c>
      <c r="AM3647">
        <v>3166</v>
      </c>
      <c r="AN3647">
        <v>71</v>
      </c>
      <c r="AO3647">
        <v>2.8E-3</v>
      </c>
      <c r="AP3647">
        <v>1</v>
      </c>
      <c r="AQ3647">
        <v>-0.68</v>
      </c>
      <c r="AR3647">
        <v>5.59</v>
      </c>
      <c r="AS3647">
        <v>18.86</v>
      </c>
      <c r="AT3647">
        <v>12.25</v>
      </c>
      <c r="AU3647">
        <v>19.57</v>
      </c>
      <c r="AV3647">
        <v>16</v>
      </c>
      <c r="AW3647">
        <v>12.07</v>
      </c>
      <c r="AX3647">
        <v>44.4</v>
      </c>
      <c r="AY3647" t="s">
        <v>120</v>
      </c>
      <c r="AZ3647" t="s">
        <v>120</v>
      </c>
      <c r="BA3647">
        <v>0.73</v>
      </c>
      <c r="BB3647" t="s">
        <v>184</v>
      </c>
      <c r="BF3647">
        <v>1.1299999999999999</v>
      </c>
      <c r="BG3647">
        <v>3.24</v>
      </c>
      <c r="BH3647">
        <v>-0.33</v>
      </c>
      <c r="BI3647">
        <v>5.22</v>
      </c>
      <c r="BJ3647">
        <v>20210827</v>
      </c>
      <c r="BK3647">
        <v>20170217</v>
      </c>
      <c r="BL3647">
        <v>4.18</v>
      </c>
      <c r="BM3647" t="s">
        <v>120</v>
      </c>
      <c r="BN3647" t="s">
        <v>120</v>
      </c>
      <c r="BO3647">
        <v>121.11</v>
      </c>
      <c r="BP3647">
        <v>6.05</v>
      </c>
      <c r="BQ3647">
        <v>4.4400000000000004</v>
      </c>
      <c r="BR3647">
        <v>8.33</v>
      </c>
      <c r="BS3647">
        <v>89.46</v>
      </c>
      <c r="BT3647">
        <v>32.979999999999997</v>
      </c>
      <c r="BU3647">
        <v>1.63</v>
      </c>
      <c r="BV3647">
        <v>24.55</v>
      </c>
      <c r="BW3647">
        <v>69.790000000000006</v>
      </c>
      <c r="BX3647">
        <v>3.49</v>
      </c>
      <c r="BY3647">
        <v>2.4900000000000002</v>
      </c>
      <c r="BZ3647">
        <v>15.94</v>
      </c>
      <c r="CA3647" t="s">
        <v>120</v>
      </c>
      <c r="CB3647">
        <v>6</v>
      </c>
      <c r="CC3647">
        <v>10.94</v>
      </c>
      <c r="CD3647">
        <v>9.02</v>
      </c>
      <c r="CE3647">
        <v>-0.85</v>
      </c>
      <c r="CF3647">
        <v>0.23</v>
      </c>
      <c r="CG3647">
        <v>-0.9</v>
      </c>
      <c r="CH3647">
        <v>-0.86</v>
      </c>
      <c r="CI3647">
        <v>-0.84</v>
      </c>
      <c r="CJ3647">
        <v>0.21</v>
      </c>
      <c r="CK3647">
        <v>-1.1100000000000001</v>
      </c>
      <c r="CL3647">
        <v>-6.15</v>
      </c>
      <c r="CM3647">
        <v>1.52</v>
      </c>
      <c r="CN3647">
        <v>-1.36</v>
      </c>
      <c r="CO3647">
        <v>29983</v>
      </c>
      <c r="CP3647">
        <v>6187</v>
      </c>
      <c r="CQ3647" t="s">
        <v>2596</v>
      </c>
      <c r="CR3647">
        <v>3.81</v>
      </c>
      <c r="CS3647">
        <v>81.75</v>
      </c>
      <c r="CT3647">
        <v>5.69</v>
      </c>
      <c r="CU3647">
        <v>16.649999999999999</v>
      </c>
      <c r="CV3647">
        <v>2.31</v>
      </c>
      <c r="CW3647">
        <v>0</v>
      </c>
      <c r="CX3647" t="s">
        <v>4368</v>
      </c>
      <c r="CY3647">
        <v>1.06</v>
      </c>
      <c r="CZ3647">
        <v>0</v>
      </c>
      <c r="DA3647">
        <v>1.44</v>
      </c>
      <c r="DB3647">
        <v>-1.47</v>
      </c>
      <c r="DC3647">
        <v>0.36</v>
      </c>
      <c r="DD3647">
        <v>3.67</v>
      </c>
      <c r="DE3647" t="s">
        <v>15242</v>
      </c>
      <c r="DF3647">
        <v>17.53</v>
      </c>
      <c r="DG3647">
        <v>-7.82</v>
      </c>
      <c r="DH3647">
        <v>-7.64</v>
      </c>
      <c r="DI3647">
        <v>0.23</v>
      </c>
      <c r="DJ3647">
        <v>994</v>
      </c>
      <c r="DK3647">
        <v>603603</v>
      </c>
      <c r="DL3647" t="s">
        <v>120</v>
      </c>
      <c r="DM3647" t="s">
        <v>120</v>
      </c>
      <c r="DN3647" t="s">
        <v>120</v>
      </c>
    </row>
    <row r="3648" spans="1:118">
      <c r="A3648" t="str">
        <f>"603605"</f>
        <v>603605</v>
      </c>
      <c r="B3648" t="s">
        <v>15243</v>
      </c>
      <c r="C3648">
        <v>-1.62</v>
      </c>
      <c r="D3648">
        <v>-0.49</v>
      </c>
      <c r="E3648">
        <v>-0.06</v>
      </c>
      <c r="F3648">
        <v>489</v>
      </c>
      <c r="G3648" t="s">
        <v>15244</v>
      </c>
      <c r="H3648">
        <v>17697.8</v>
      </c>
      <c r="I3648">
        <v>32.81</v>
      </c>
      <c r="J3648" t="s">
        <v>120</v>
      </c>
      <c r="K3648" t="s">
        <v>15245</v>
      </c>
      <c r="L3648">
        <v>0.52</v>
      </c>
      <c r="M3648">
        <v>170</v>
      </c>
      <c r="N3648">
        <v>1.1399999999999999</v>
      </c>
      <c r="O3648">
        <v>1.2</v>
      </c>
      <c r="P3648">
        <v>174.88</v>
      </c>
      <c r="Q3648">
        <v>-2.08</v>
      </c>
      <c r="R3648">
        <v>169.21</v>
      </c>
      <c r="S3648">
        <v>172.7</v>
      </c>
      <c r="T3648">
        <v>10378</v>
      </c>
      <c r="U3648">
        <v>170</v>
      </c>
      <c r="V3648">
        <v>172.8</v>
      </c>
      <c r="W3648">
        <v>75.61</v>
      </c>
      <c r="X3648" t="s">
        <v>1817</v>
      </c>
      <c r="Y3648" t="s">
        <v>585</v>
      </c>
      <c r="Z3648">
        <v>3.28</v>
      </c>
      <c r="AA3648">
        <v>170.53</v>
      </c>
      <c r="AB3648">
        <v>5925</v>
      </c>
      <c r="AC3648">
        <v>4453</v>
      </c>
      <c r="AD3648">
        <v>1.33</v>
      </c>
      <c r="AE3648">
        <v>1</v>
      </c>
      <c r="AF3648">
        <v>16</v>
      </c>
      <c r="AG3648" t="s">
        <v>120</v>
      </c>
      <c r="AH3648">
        <v>0</v>
      </c>
      <c r="AI3648" t="s">
        <v>120</v>
      </c>
      <c r="AJ3648">
        <v>2.0099999999999998</v>
      </c>
      <c r="AK3648" t="s">
        <v>15246</v>
      </c>
      <c r="AL3648">
        <v>-0.28000000000000003</v>
      </c>
      <c r="AM3648">
        <v>2205</v>
      </c>
      <c r="AN3648">
        <v>5</v>
      </c>
      <c r="AO3648">
        <v>2.0000000000000001E-4</v>
      </c>
      <c r="AP3648">
        <v>-4</v>
      </c>
      <c r="AQ3648">
        <v>-0.33</v>
      </c>
      <c r="AR3648">
        <v>-2.95</v>
      </c>
      <c r="AS3648">
        <v>-7.03</v>
      </c>
      <c r="AT3648">
        <v>-7.1</v>
      </c>
      <c r="AU3648">
        <v>-4.1100000000000003</v>
      </c>
      <c r="AV3648">
        <v>2</v>
      </c>
      <c r="AW3648">
        <v>1.2</v>
      </c>
      <c r="AX3648">
        <v>43.05</v>
      </c>
      <c r="AY3648">
        <v>66.41</v>
      </c>
      <c r="AZ3648">
        <v>73.010000000000005</v>
      </c>
      <c r="BA3648">
        <v>0.85</v>
      </c>
      <c r="BB3648" t="s">
        <v>143</v>
      </c>
      <c r="BF3648">
        <v>-1.32</v>
      </c>
      <c r="BG3648">
        <v>-1.56</v>
      </c>
      <c r="BH3648">
        <v>-2.79</v>
      </c>
      <c r="BI3648">
        <v>0.47</v>
      </c>
      <c r="BJ3648">
        <v>20210825</v>
      </c>
      <c r="BK3648">
        <v>20171115</v>
      </c>
      <c r="BL3648">
        <v>2.0099999999999998</v>
      </c>
      <c r="BM3648" t="s">
        <v>120</v>
      </c>
      <c r="BN3648" t="s">
        <v>120</v>
      </c>
      <c r="BO3648">
        <v>33.78</v>
      </c>
      <c r="BP3648">
        <v>169.98</v>
      </c>
      <c r="BQ3648">
        <v>24.82</v>
      </c>
      <c r="BR3648">
        <v>0.11</v>
      </c>
      <c r="BS3648">
        <v>26.21</v>
      </c>
      <c r="BT3648">
        <v>19.54</v>
      </c>
      <c r="BU3648">
        <v>5.54</v>
      </c>
      <c r="BV3648">
        <v>3.81</v>
      </c>
      <c r="BW3648">
        <v>8.66</v>
      </c>
      <c r="BX3648">
        <v>12.36</v>
      </c>
      <c r="BY3648">
        <v>3.56</v>
      </c>
      <c r="BZ3648">
        <v>1.74</v>
      </c>
      <c r="CA3648" t="s">
        <v>120</v>
      </c>
      <c r="CB3648">
        <v>8.41</v>
      </c>
      <c r="CC3648">
        <v>19.18</v>
      </c>
      <c r="CD3648">
        <v>6.96</v>
      </c>
      <c r="CE3648">
        <v>2.52</v>
      </c>
      <c r="CF3648">
        <v>-0.02</v>
      </c>
      <c r="CG3648">
        <v>2.52</v>
      </c>
      <c r="CH3648">
        <v>2.09</v>
      </c>
      <c r="CI3648">
        <v>2.2599999999999998</v>
      </c>
      <c r="CJ3648">
        <v>-2.8</v>
      </c>
      <c r="CK3648">
        <v>2.2000000000000002</v>
      </c>
      <c r="CL3648">
        <v>13.47</v>
      </c>
      <c r="CM3648">
        <v>2.66</v>
      </c>
      <c r="CN3648">
        <v>-1.73</v>
      </c>
      <c r="CO3648">
        <v>17050</v>
      </c>
      <c r="CP3648">
        <v>5078</v>
      </c>
      <c r="CQ3648" t="s">
        <v>15247</v>
      </c>
      <c r="CR3648">
        <v>26.48</v>
      </c>
      <c r="CS3648">
        <v>38.53</v>
      </c>
      <c r="CT3648">
        <v>13.78</v>
      </c>
      <c r="CU3648">
        <v>128.44999999999999</v>
      </c>
      <c r="CV3648">
        <v>17.829999999999998</v>
      </c>
      <c r="CW3648">
        <v>0.42</v>
      </c>
      <c r="CX3648" t="s">
        <v>15248</v>
      </c>
      <c r="CY3648">
        <v>12.34</v>
      </c>
      <c r="CZ3648">
        <v>0</v>
      </c>
      <c r="DA3648">
        <v>4.18</v>
      </c>
      <c r="DB3648">
        <v>6.7</v>
      </c>
      <c r="DC3648">
        <v>1.32</v>
      </c>
      <c r="DD3648">
        <v>73.47</v>
      </c>
      <c r="DE3648" t="s">
        <v>14190</v>
      </c>
      <c r="DF3648">
        <v>63.73</v>
      </c>
      <c r="DG3648">
        <v>13.14</v>
      </c>
      <c r="DH3648">
        <v>11.79</v>
      </c>
      <c r="DI3648">
        <v>0.31</v>
      </c>
      <c r="DJ3648">
        <v>2898</v>
      </c>
      <c r="DK3648">
        <v>603605</v>
      </c>
      <c r="DL3648" t="s">
        <v>120</v>
      </c>
      <c r="DM3648" t="s">
        <v>120</v>
      </c>
      <c r="DN3648" t="s">
        <v>120</v>
      </c>
    </row>
    <row r="3649" spans="1:118">
      <c r="A3649" t="str">
        <f>"603606"</f>
        <v>603606</v>
      </c>
      <c r="B3649" t="s">
        <v>15249</v>
      </c>
      <c r="C3649">
        <v>-3.13</v>
      </c>
      <c r="D3649">
        <v>0.5</v>
      </c>
      <c r="E3649">
        <v>-0.24</v>
      </c>
      <c r="F3649">
        <v>2323</v>
      </c>
      <c r="G3649" t="s">
        <v>291</v>
      </c>
      <c r="H3649">
        <v>106715.59</v>
      </c>
      <c r="I3649">
        <v>1604.57</v>
      </c>
      <c r="J3649" t="s">
        <v>120</v>
      </c>
      <c r="K3649" t="s">
        <v>15250</v>
      </c>
      <c r="L3649">
        <v>5.67</v>
      </c>
      <c r="M3649">
        <v>28.16</v>
      </c>
      <c r="N3649">
        <v>1.59</v>
      </c>
      <c r="O3649">
        <v>2.72</v>
      </c>
      <c r="P3649">
        <v>29.86</v>
      </c>
      <c r="Q3649">
        <v>-4.78</v>
      </c>
      <c r="R3649">
        <v>27.68</v>
      </c>
      <c r="S3649">
        <v>29</v>
      </c>
      <c r="T3649">
        <v>371146</v>
      </c>
      <c r="U3649">
        <v>28.16</v>
      </c>
      <c r="V3649">
        <v>29.07</v>
      </c>
      <c r="W3649">
        <v>14.46</v>
      </c>
      <c r="X3649" t="s">
        <v>394</v>
      </c>
      <c r="Y3649" t="s">
        <v>585</v>
      </c>
      <c r="Z3649">
        <v>7.5</v>
      </c>
      <c r="AA3649">
        <v>28.75</v>
      </c>
      <c r="AB3649">
        <v>189598</v>
      </c>
      <c r="AC3649">
        <v>181548</v>
      </c>
      <c r="AD3649">
        <v>1.04</v>
      </c>
      <c r="AE3649">
        <v>303</v>
      </c>
      <c r="AF3649">
        <v>29</v>
      </c>
      <c r="AG3649" t="s">
        <v>120</v>
      </c>
      <c r="AH3649">
        <v>0.14000000000000001</v>
      </c>
      <c r="AI3649" t="s">
        <v>120</v>
      </c>
      <c r="AJ3649">
        <v>6.54</v>
      </c>
      <c r="AK3649" t="s">
        <v>15250</v>
      </c>
      <c r="AL3649">
        <v>-1.79</v>
      </c>
      <c r="AM3649">
        <v>4431</v>
      </c>
      <c r="AN3649">
        <v>84</v>
      </c>
      <c r="AO3649">
        <v>1.2999999999999999E-3</v>
      </c>
      <c r="AP3649">
        <v>-1</v>
      </c>
      <c r="AQ3649">
        <v>9.99</v>
      </c>
      <c r="AR3649">
        <v>3.95</v>
      </c>
      <c r="AS3649">
        <v>21.38</v>
      </c>
      <c r="AT3649">
        <v>39.130000000000003</v>
      </c>
      <c r="AU3649">
        <v>13.92</v>
      </c>
      <c r="AV3649">
        <v>3</v>
      </c>
      <c r="AW3649">
        <v>9.68</v>
      </c>
      <c r="AX3649">
        <v>58.59</v>
      </c>
      <c r="AY3649">
        <v>16.399999999999999</v>
      </c>
      <c r="AZ3649">
        <v>21.43</v>
      </c>
      <c r="BA3649">
        <v>0.89</v>
      </c>
      <c r="BB3649" t="s">
        <v>168</v>
      </c>
      <c r="BF3649">
        <v>-1.0900000000000001</v>
      </c>
      <c r="BG3649">
        <v>-2.9</v>
      </c>
      <c r="BH3649">
        <v>-5.69</v>
      </c>
      <c r="BI3649">
        <v>1.73</v>
      </c>
      <c r="BJ3649">
        <v>20210729</v>
      </c>
      <c r="BK3649">
        <v>20141015</v>
      </c>
      <c r="BL3649">
        <v>6.54</v>
      </c>
      <c r="BM3649" t="s">
        <v>120</v>
      </c>
      <c r="BN3649" t="s">
        <v>120</v>
      </c>
      <c r="BO3649">
        <v>70.56</v>
      </c>
      <c r="BP3649">
        <v>28.15</v>
      </c>
      <c r="BQ3649">
        <v>36.380000000000003</v>
      </c>
      <c r="BR3649">
        <v>0.04</v>
      </c>
      <c r="BS3649">
        <v>48.39</v>
      </c>
      <c r="BT3649">
        <v>50.72</v>
      </c>
      <c r="BU3649">
        <v>4.9000000000000004</v>
      </c>
      <c r="BV3649">
        <v>2.83</v>
      </c>
      <c r="BW3649">
        <v>22.71</v>
      </c>
      <c r="BX3649">
        <v>9.69</v>
      </c>
      <c r="BY3649">
        <v>13.35</v>
      </c>
      <c r="BZ3649">
        <v>20.82</v>
      </c>
      <c r="CA3649" t="s">
        <v>120</v>
      </c>
      <c r="CB3649">
        <v>5.2</v>
      </c>
      <c r="CC3649">
        <v>33.869999999999997</v>
      </c>
      <c r="CD3649">
        <v>23.79</v>
      </c>
      <c r="CE3649">
        <v>7.38</v>
      </c>
      <c r="CF3649">
        <v>-0.01</v>
      </c>
      <c r="CG3649">
        <v>7.38</v>
      </c>
      <c r="CH3649">
        <v>6.37</v>
      </c>
      <c r="CI3649">
        <v>6.37</v>
      </c>
      <c r="CJ3649">
        <v>-0.91</v>
      </c>
      <c r="CK3649">
        <v>6.32</v>
      </c>
      <c r="CL3649">
        <v>20.79</v>
      </c>
      <c r="CM3649">
        <v>-1.77</v>
      </c>
      <c r="CN3649">
        <v>-3.29</v>
      </c>
      <c r="CO3649">
        <v>52702</v>
      </c>
      <c r="CP3649">
        <v>7271</v>
      </c>
      <c r="CQ3649" t="s">
        <v>15251</v>
      </c>
      <c r="CR3649">
        <v>74.430000000000007</v>
      </c>
      <c r="CS3649">
        <v>59.57</v>
      </c>
      <c r="CT3649">
        <v>5.21</v>
      </c>
      <c r="CU3649">
        <v>-103.91</v>
      </c>
      <c r="CV3649">
        <v>5.44</v>
      </c>
      <c r="CW3649">
        <v>0.79</v>
      </c>
      <c r="CX3649" t="s">
        <v>3944</v>
      </c>
      <c r="CY3649">
        <v>5.4</v>
      </c>
      <c r="CZ3649">
        <v>5.4</v>
      </c>
      <c r="DA3649">
        <v>0.8</v>
      </c>
      <c r="DB3649">
        <v>3.18</v>
      </c>
      <c r="DC3649">
        <v>-0.27</v>
      </c>
      <c r="DD3649">
        <v>51.55</v>
      </c>
      <c r="DE3649" t="s">
        <v>15252</v>
      </c>
      <c r="DF3649">
        <v>29.77</v>
      </c>
      <c r="DG3649">
        <v>21.8</v>
      </c>
      <c r="DH3649">
        <v>18.809999999999999</v>
      </c>
      <c r="DI3649">
        <v>1.1599999999999999</v>
      </c>
      <c r="DJ3649">
        <v>1138</v>
      </c>
      <c r="DK3649">
        <v>603606</v>
      </c>
      <c r="DL3649" t="s">
        <v>120</v>
      </c>
      <c r="DM3649" t="s">
        <v>120</v>
      </c>
      <c r="DN3649" t="s">
        <v>120</v>
      </c>
    </row>
    <row r="3650" spans="1:118">
      <c r="A3650" t="str">
        <f>"603607"</f>
        <v>603607</v>
      </c>
      <c r="B3650" t="s">
        <v>15253</v>
      </c>
      <c r="C3650">
        <v>1.4</v>
      </c>
      <c r="D3650">
        <v>0.06</v>
      </c>
      <c r="E3650">
        <v>0.06</v>
      </c>
      <c r="F3650">
        <v>612</v>
      </c>
      <c r="G3650" t="s">
        <v>9711</v>
      </c>
      <c r="H3650">
        <v>6833.28</v>
      </c>
      <c r="I3650">
        <v>39.659999999999997</v>
      </c>
      <c r="J3650" t="s">
        <v>120</v>
      </c>
      <c r="K3650" t="s">
        <v>7047</v>
      </c>
      <c r="L3650">
        <v>2.2999999999999998</v>
      </c>
      <c r="M3650">
        <v>16.61</v>
      </c>
      <c r="N3650">
        <v>1.19</v>
      </c>
      <c r="O3650">
        <v>3.48</v>
      </c>
      <c r="P3650">
        <v>16.95</v>
      </c>
      <c r="Q3650">
        <v>-0.06</v>
      </c>
      <c r="R3650">
        <v>16.37</v>
      </c>
      <c r="S3650">
        <v>16.39</v>
      </c>
      <c r="T3650">
        <v>40988</v>
      </c>
      <c r="U3650">
        <v>16.62</v>
      </c>
      <c r="V3650">
        <v>16.38</v>
      </c>
      <c r="W3650">
        <v>24.48</v>
      </c>
      <c r="X3650" t="s">
        <v>814</v>
      </c>
      <c r="Y3650" t="s">
        <v>585</v>
      </c>
      <c r="Z3650">
        <v>3.54</v>
      </c>
      <c r="AA3650">
        <v>16.670000000000002</v>
      </c>
      <c r="AB3650">
        <v>20892</v>
      </c>
      <c r="AC3650">
        <v>20096</v>
      </c>
      <c r="AD3650">
        <v>1.04</v>
      </c>
      <c r="AE3650">
        <v>164</v>
      </c>
      <c r="AF3650">
        <v>263</v>
      </c>
      <c r="AG3650" t="s">
        <v>120</v>
      </c>
      <c r="AH3650">
        <v>0.03</v>
      </c>
      <c r="AI3650" t="s">
        <v>120</v>
      </c>
      <c r="AJ3650">
        <v>1.79</v>
      </c>
      <c r="AK3650" t="s">
        <v>7047</v>
      </c>
      <c r="AL3650">
        <v>2.75</v>
      </c>
      <c r="AM3650">
        <v>1878</v>
      </c>
      <c r="AN3650">
        <v>22</v>
      </c>
      <c r="AO3650">
        <v>1.1999999999999999E-3</v>
      </c>
      <c r="AP3650">
        <v>1</v>
      </c>
      <c r="AQ3650">
        <v>-2.62</v>
      </c>
      <c r="AR3650">
        <v>0.54</v>
      </c>
      <c r="AS3650">
        <v>10.51</v>
      </c>
      <c r="AT3650">
        <v>13.77</v>
      </c>
      <c r="AU3650">
        <v>14.08</v>
      </c>
      <c r="AV3650">
        <v>2</v>
      </c>
      <c r="AW3650">
        <v>4.4400000000000004</v>
      </c>
      <c r="AX3650">
        <v>51.69</v>
      </c>
      <c r="AY3650">
        <v>23.89</v>
      </c>
      <c r="AZ3650">
        <v>27.16</v>
      </c>
      <c r="BA3650">
        <v>0.69</v>
      </c>
      <c r="BB3650" t="s">
        <v>240</v>
      </c>
      <c r="BF3650">
        <v>1.78</v>
      </c>
      <c r="BG3650">
        <v>1.34</v>
      </c>
      <c r="BH3650">
        <v>-2.0099999999999998</v>
      </c>
      <c r="BI3650">
        <v>1.47</v>
      </c>
      <c r="BJ3650">
        <v>20210830</v>
      </c>
      <c r="BK3650">
        <v>20171025</v>
      </c>
      <c r="BL3650">
        <v>1.79</v>
      </c>
      <c r="BM3650" t="s">
        <v>120</v>
      </c>
      <c r="BN3650" t="s">
        <v>120</v>
      </c>
      <c r="BO3650">
        <v>11.35</v>
      </c>
      <c r="BP3650">
        <v>16.61</v>
      </c>
      <c r="BQ3650">
        <v>9.18</v>
      </c>
      <c r="BR3650">
        <v>0.02</v>
      </c>
      <c r="BS3650">
        <v>18.98</v>
      </c>
      <c r="BT3650">
        <v>7.11</v>
      </c>
      <c r="BU3650">
        <v>2.4700000000000002</v>
      </c>
      <c r="BV3650">
        <v>0.45</v>
      </c>
      <c r="BW3650">
        <v>2.0699999999999998</v>
      </c>
      <c r="BX3650">
        <v>1.85</v>
      </c>
      <c r="BY3650">
        <v>1.29</v>
      </c>
      <c r="BZ3650">
        <v>1.82</v>
      </c>
      <c r="CA3650" t="s">
        <v>120</v>
      </c>
      <c r="CB3650">
        <v>3.73</v>
      </c>
      <c r="CC3650">
        <v>4.22</v>
      </c>
      <c r="CD3650">
        <v>2.91</v>
      </c>
      <c r="CE3650">
        <v>0.64</v>
      </c>
      <c r="CF3650">
        <v>0.04</v>
      </c>
      <c r="CG3650">
        <v>0.64</v>
      </c>
      <c r="CH3650">
        <v>0.6</v>
      </c>
      <c r="CI3650">
        <v>0.61</v>
      </c>
      <c r="CJ3650">
        <v>0.23</v>
      </c>
      <c r="CK3650">
        <v>0.53</v>
      </c>
      <c r="CL3650">
        <v>3.3</v>
      </c>
      <c r="CM3650">
        <v>0.76</v>
      </c>
      <c r="CN3650">
        <v>0.84</v>
      </c>
      <c r="CO3650">
        <v>11370</v>
      </c>
      <c r="CP3650">
        <v>8116</v>
      </c>
      <c r="CQ3650" t="s">
        <v>7827</v>
      </c>
      <c r="CR3650">
        <v>32.07</v>
      </c>
      <c r="CS3650">
        <v>38.1</v>
      </c>
      <c r="CT3650">
        <v>3.23</v>
      </c>
      <c r="CU3650">
        <v>39.17</v>
      </c>
      <c r="CV3650">
        <v>7.03</v>
      </c>
      <c r="CW3650">
        <v>1.53</v>
      </c>
      <c r="CX3650" t="s">
        <v>1574</v>
      </c>
      <c r="CY3650">
        <v>5.14</v>
      </c>
      <c r="CZ3650">
        <v>0</v>
      </c>
      <c r="DA3650">
        <v>2.09</v>
      </c>
      <c r="DB3650">
        <v>1.85</v>
      </c>
      <c r="DC3650">
        <v>0.42</v>
      </c>
      <c r="DD3650">
        <v>80.84</v>
      </c>
      <c r="DE3650" t="s">
        <v>15254</v>
      </c>
      <c r="DF3650">
        <v>31.04</v>
      </c>
      <c r="DG3650">
        <v>15.09</v>
      </c>
      <c r="DH3650">
        <v>14.36</v>
      </c>
      <c r="DI3650">
        <v>0.43</v>
      </c>
      <c r="DJ3650">
        <v>567</v>
      </c>
      <c r="DK3650">
        <v>603607</v>
      </c>
      <c r="DL3650" t="s">
        <v>120</v>
      </c>
      <c r="DM3650" t="s">
        <v>120</v>
      </c>
      <c r="DN3650" t="s">
        <v>120</v>
      </c>
    </row>
    <row r="3651" spans="1:118">
      <c r="A3651" t="str">
        <f>"603608"</f>
        <v>603608</v>
      </c>
      <c r="B3651" t="s">
        <v>15255</v>
      </c>
      <c r="C3651">
        <v>-1.52</v>
      </c>
      <c r="D3651">
        <v>-0.16</v>
      </c>
      <c r="E3651">
        <v>-1.01</v>
      </c>
      <c r="F3651">
        <v>647</v>
      </c>
      <c r="G3651" t="s">
        <v>10888</v>
      </c>
      <c r="H3651">
        <v>1535.27</v>
      </c>
      <c r="I3651">
        <v>9.69</v>
      </c>
      <c r="J3651" t="s">
        <v>120</v>
      </c>
      <c r="K3651" t="s">
        <v>4702</v>
      </c>
      <c r="L3651">
        <v>0.61</v>
      </c>
      <c r="M3651">
        <v>5.84</v>
      </c>
      <c r="N3651">
        <v>1.27</v>
      </c>
      <c r="O3651">
        <v>1.18</v>
      </c>
      <c r="P3651">
        <v>6</v>
      </c>
      <c r="Q3651">
        <v>-1.69</v>
      </c>
      <c r="R3651">
        <v>5.83</v>
      </c>
      <c r="S3651">
        <v>5.87</v>
      </c>
      <c r="T3651">
        <v>25996</v>
      </c>
      <c r="U3651">
        <v>5.85</v>
      </c>
      <c r="V3651">
        <v>5.93</v>
      </c>
      <c r="W3651">
        <v>30.28</v>
      </c>
      <c r="X3651" t="s">
        <v>2806</v>
      </c>
      <c r="Y3651" t="s">
        <v>547</v>
      </c>
      <c r="Z3651">
        <v>2.87</v>
      </c>
      <c r="AA3651">
        <v>5.91</v>
      </c>
      <c r="AB3651">
        <v>14003</v>
      </c>
      <c r="AC3651">
        <v>11993</v>
      </c>
      <c r="AD3651">
        <v>1.17</v>
      </c>
      <c r="AE3651">
        <v>495</v>
      </c>
      <c r="AF3651">
        <v>422</v>
      </c>
      <c r="AG3651" t="s">
        <v>120</v>
      </c>
      <c r="AH3651">
        <v>0.01</v>
      </c>
      <c r="AI3651" t="s">
        <v>120</v>
      </c>
      <c r="AJ3651">
        <v>4.29</v>
      </c>
      <c r="AK3651" t="s">
        <v>4702</v>
      </c>
      <c r="AL3651">
        <v>-0.17</v>
      </c>
      <c r="AM3651">
        <v>989</v>
      </c>
      <c r="AN3651">
        <v>26</v>
      </c>
      <c r="AO3651">
        <v>5.9999999999999995E-4</v>
      </c>
      <c r="AP3651">
        <v>-1</v>
      </c>
      <c r="AQ3651">
        <v>0.51</v>
      </c>
      <c r="AR3651">
        <v>-2.67</v>
      </c>
      <c r="AS3651">
        <v>0.87</v>
      </c>
      <c r="AT3651">
        <v>-6.26</v>
      </c>
      <c r="AU3651">
        <v>-6.86</v>
      </c>
      <c r="AV3651">
        <v>6</v>
      </c>
      <c r="AW3651">
        <v>1.33</v>
      </c>
      <c r="AX3651">
        <v>45.73</v>
      </c>
      <c r="AY3651" t="s">
        <v>120</v>
      </c>
      <c r="AZ3651" t="s">
        <v>120</v>
      </c>
      <c r="BA3651">
        <v>1.03</v>
      </c>
      <c r="BB3651" t="s">
        <v>143</v>
      </c>
      <c r="BF3651">
        <v>-0.41</v>
      </c>
      <c r="BG3651">
        <v>-0.51</v>
      </c>
      <c r="BH3651">
        <v>-2.67</v>
      </c>
      <c r="BI3651">
        <v>0.17</v>
      </c>
      <c r="BJ3651">
        <v>20210821</v>
      </c>
      <c r="BK3651">
        <v>20160218</v>
      </c>
      <c r="BL3651">
        <v>4.29</v>
      </c>
      <c r="BM3651" t="s">
        <v>120</v>
      </c>
      <c r="BN3651" t="s">
        <v>120</v>
      </c>
      <c r="BO3651">
        <v>27.78</v>
      </c>
      <c r="BP3651">
        <v>5.84</v>
      </c>
      <c r="BQ3651">
        <v>16.86</v>
      </c>
      <c r="BR3651">
        <v>0.16</v>
      </c>
      <c r="BS3651">
        <v>38.74</v>
      </c>
      <c r="BT3651">
        <v>18.399999999999999</v>
      </c>
      <c r="BU3651">
        <v>3.2</v>
      </c>
      <c r="BV3651">
        <v>0.68</v>
      </c>
      <c r="BW3651">
        <v>5.46</v>
      </c>
      <c r="BX3651">
        <v>8.02</v>
      </c>
      <c r="BY3651">
        <v>4.4400000000000004</v>
      </c>
      <c r="BZ3651">
        <v>2.46</v>
      </c>
      <c r="CA3651" t="s">
        <v>120</v>
      </c>
      <c r="CB3651">
        <v>10.92</v>
      </c>
      <c r="CC3651">
        <v>9.89</v>
      </c>
      <c r="CD3651">
        <v>4.1100000000000003</v>
      </c>
      <c r="CE3651">
        <v>0.61</v>
      </c>
      <c r="CF3651">
        <v>0.05</v>
      </c>
      <c r="CG3651">
        <v>0.61</v>
      </c>
      <c r="CH3651">
        <v>0.42</v>
      </c>
      <c r="CI3651">
        <v>0.41</v>
      </c>
      <c r="CJ3651">
        <v>-0.09</v>
      </c>
      <c r="CK3651">
        <v>0.27</v>
      </c>
      <c r="CL3651">
        <v>0.8</v>
      </c>
      <c r="CM3651">
        <v>0.36</v>
      </c>
      <c r="CN3651">
        <v>3.74</v>
      </c>
      <c r="CO3651">
        <v>25995</v>
      </c>
      <c r="CP3651">
        <v>7545</v>
      </c>
      <c r="CQ3651" t="s">
        <v>12042</v>
      </c>
      <c r="CR3651">
        <v>10</v>
      </c>
      <c r="CS3651">
        <v>15.01</v>
      </c>
      <c r="CT3651">
        <v>1.58</v>
      </c>
      <c r="CU3651">
        <v>69.39</v>
      </c>
      <c r="CV3651">
        <v>2.5299999999999998</v>
      </c>
      <c r="CW3651">
        <v>2.48</v>
      </c>
      <c r="CX3651" t="s">
        <v>411</v>
      </c>
      <c r="CY3651">
        <v>3.69</v>
      </c>
      <c r="CZ3651">
        <v>3.69</v>
      </c>
      <c r="DA3651">
        <v>2.54</v>
      </c>
      <c r="DB3651">
        <v>0.19</v>
      </c>
      <c r="DC3651">
        <v>0.08</v>
      </c>
      <c r="DD3651">
        <v>60.69</v>
      </c>
      <c r="DE3651" t="s">
        <v>2665</v>
      </c>
      <c r="DF3651">
        <v>58.51</v>
      </c>
      <c r="DG3651">
        <v>6.14</v>
      </c>
      <c r="DH3651">
        <v>4.18</v>
      </c>
      <c r="DI3651">
        <v>0.25</v>
      </c>
      <c r="DJ3651">
        <v>5108</v>
      </c>
      <c r="DK3651">
        <v>603608</v>
      </c>
      <c r="DL3651" t="s">
        <v>120</v>
      </c>
      <c r="DM3651" t="s">
        <v>120</v>
      </c>
      <c r="DN3651" t="s">
        <v>120</v>
      </c>
    </row>
    <row r="3652" spans="1:118">
      <c r="A3652" t="str">
        <f>"603609"</f>
        <v>603609</v>
      </c>
      <c r="B3652" t="s">
        <v>15256</v>
      </c>
      <c r="C3652">
        <v>3.3</v>
      </c>
      <c r="D3652">
        <v>0</v>
      </c>
      <c r="E3652">
        <v>-0.21</v>
      </c>
      <c r="F3652">
        <v>1130</v>
      </c>
      <c r="G3652" t="s">
        <v>5764</v>
      </c>
      <c r="H3652">
        <v>8677.1</v>
      </c>
      <c r="I3652">
        <v>1.41</v>
      </c>
      <c r="J3652" t="s">
        <v>120</v>
      </c>
      <c r="K3652" t="s">
        <v>4255</v>
      </c>
      <c r="L3652">
        <v>0.99</v>
      </c>
      <c r="M3652">
        <v>9.6999999999999993</v>
      </c>
      <c r="N3652">
        <v>2.77</v>
      </c>
      <c r="O3652">
        <v>4.1500000000000004</v>
      </c>
      <c r="P3652">
        <v>9.7799999999999994</v>
      </c>
      <c r="Q3652">
        <v>-0.32</v>
      </c>
      <c r="R3652">
        <v>9.36</v>
      </c>
      <c r="S3652">
        <v>9.3699999999999992</v>
      </c>
      <c r="T3652">
        <v>89837</v>
      </c>
      <c r="U3652">
        <v>9.6999999999999993</v>
      </c>
      <c r="V3652">
        <v>9.39</v>
      </c>
      <c r="W3652">
        <v>17.79</v>
      </c>
      <c r="X3652" t="s">
        <v>386</v>
      </c>
      <c r="Y3652" t="s">
        <v>432</v>
      </c>
      <c r="Z3652">
        <v>4.47</v>
      </c>
      <c r="AA3652">
        <v>9.66</v>
      </c>
      <c r="AB3652">
        <v>36153</v>
      </c>
      <c r="AC3652">
        <v>53684</v>
      </c>
      <c r="AD3652">
        <v>0.67</v>
      </c>
      <c r="AE3652">
        <v>1320</v>
      </c>
      <c r="AF3652">
        <v>783</v>
      </c>
      <c r="AG3652" t="s">
        <v>120</v>
      </c>
      <c r="AH3652">
        <v>0</v>
      </c>
      <c r="AI3652" t="s">
        <v>120</v>
      </c>
      <c r="AJ3652">
        <v>9.09</v>
      </c>
      <c r="AK3652" t="s">
        <v>10127</v>
      </c>
      <c r="AL3652">
        <v>4.6500000000000004</v>
      </c>
      <c r="AM3652">
        <v>2263</v>
      </c>
      <c r="AN3652">
        <v>40</v>
      </c>
      <c r="AO3652">
        <v>4.0000000000000002E-4</v>
      </c>
      <c r="AP3652">
        <v>2</v>
      </c>
      <c r="AQ3652">
        <v>0.75</v>
      </c>
      <c r="AR3652">
        <v>2.3199999999999998</v>
      </c>
      <c r="AS3652">
        <v>5.55</v>
      </c>
      <c r="AT3652">
        <v>-7.27</v>
      </c>
      <c r="AU3652">
        <v>-16.38</v>
      </c>
      <c r="AV3652">
        <v>0</v>
      </c>
      <c r="AW3652">
        <v>2.4900000000000002</v>
      </c>
      <c r="AX3652">
        <v>39.19</v>
      </c>
      <c r="AY3652">
        <v>9.83</v>
      </c>
      <c r="AZ3652">
        <v>7.01</v>
      </c>
      <c r="BA3652">
        <v>0.53</v>
      </c>
      <c r="BB3652" t="s">
        <v>143</v>
      </c>
      <c r="BF3652">
        <v>2.86</v>
      </c>
      <c r="BG3652">
        <v>3.52</v>
      </c>
      <c r="BH3652">
        <v>-0.82</v>
      </c>
      <c r="BI3652">
        <v>3.63</v>
      </c>
      <c r="BJ3652">
        <v>20210831</v>
      </c>
      <c r="BK3652">
        <v>20140808</v>
      </c>
      <c r="BL3652">
        <v>9.2200000000000006</v>
      </c>
      <c r="BM3652" t="s">
        <v>120</v>
      </c>
      <c r="BN3652" t="s">
        <v>120</v>
      </c>
      <c r="BO3652">
        <v>129.29</v>
      </c>
      <c r="BP3652">
        <v>9.69</v>
      </c>
      <c r="BQ3652">
        <v>68.16</v>
      </c>
      <c r="BR3652">
        <v>11.2</v>
      </c>
      <c r="BS3652">
        <v>38.619999999999997</v>
      </c>
      <c r="BT3652">
        <v>54.93</v>
      </c>
      <c r="BU3652">
        <v>29.51</v>
      </c>
      <c r="BV3652">
        <v>2.95</v>
      </c>
      <c r="BW3652">
        <v>37.03</v>
      </c>
      <c r="BX3652">
        <v>11.8</v>
      </c>
      <c r="BY3652">
        <v>27.88</v>
      </c>
      <c r="BZ3652">
        <v>8.82</v>
      </c>
      <c r="CA3652">
        <v>0.71</v>
      </c>
      <c r="CB3652">
        <v>8.86</v>
      </c>
      <c r="CC3652">
        <v>136.43</v>
      </c>
      <c r="CD3652">
        <v>126.6</v>
      </c>
      <c r="CE3652">
        <v>3.3</v>
      </c>
      <c r="CF3652">
        <v>0.31</v>
      </c>
      <c r="CG3652">
        <v>3.1</v>
      </c>
      <c r="CH3652">
        <v>2.3199999999999998</v>
      </c>
      <c r="CI3652">
        <v>2.5099999999999998</v>
      </c>
      <c r="CJ3652">
        <v>0.31</v>
      </c>
      <c r="CK3652">
        <v>2.6</v>
      </c>
      <c r="CL3652">
        <v>46.21</v>
      </c>
      <c r="CM3652">
        <v>-2.5299999999999998</v>
      </c>
      <c r="CN3652">
        <v>-0.35</v>
      </c>
      <c r="CO3652">
        <v>37804</v>
      </c>
      <c r="CP3652">
        <v>9559</v>
      </c>
      <c r="CQ3652" t="s">
        <v>15257</v>
      </c>
      <c r="CR3652">
        <v>-58.52</v>
      </c>
      <c r="CS3652">
        <v>38.53</v>
      </c>
      <c r="CT3652">
        <v>1.31</v>
      </c>
      <c r="CU3652">
        <v>-35.39</v>
      </c>
      <c r="CV3652">
        <v>0.66</v>
      </c>
      <c r="CW3652">
        <v>2.34</v>
      </c>
      <c r="CX3652" t="s">
        <v>1233</v>
      </c>
      <c r="CY3652">
        <v>7.39</v>
      </c>
      <c r="CZ3652">
        <v>0</v>
      </c>
      <c r="DA3652">
        <v>0.96</v>
      </c>
      <c r="DB3652">
        <v>5.01</v>
      </c>
      <c r="DC3652">
        <v>-0.27</v>
      </c>
      <c r="DD3652">
        <v>52.72</v>
      </c>
      <c r="DE3652" t="s">
        <v>270</v>
      </c>
      <c r="DF3652">
        <v>7.21</v>
      </c>
      <c r="DG3652">
        <v>2.42</v>
      </c>
      <c r="DH3652">
        <v>1.84</v>
      </c>
      <c r="DI3652">
        <v>0.44</v>
      </c>
      <c r="DJ3652">
        <v>7205</v>
      </c>
      <c r="DK3652">
        <v>603609</v>
      </c>
      <c r="DL3652" t="s">
        <v>120</v>
      </c>
      <c r="DM3652" t="s">
        <v>120</v>
      </c>
      <c r="DN3652" t="s">
        <v>120</v>
      </c>
    </row>
    <row r="3653" spans="1:118">
      <c r="A3653" t="str">
        <f>"603610"</f>
        <v>603610</v>
      </c>
      <c r="B3653" t="s">
        <v>15258</v>
      </c>
      <c r="C3653">
        <v>5.99</v>
      </c>
      <c r="D3653">
        <v>-0.03</v>
      </c>
      <c r="E3653">
        <v>0</v>
      </c>
      <c r="F3653">
        <v>493</v>
      </c>
      <c r="G3653" t="s">
        <v>6247</v>
      </c>
      <c r="H3653">
        <v>15054.77</v>
      </c>
      <c r="I3653">
        <v>37.979999999999997</v>
      </c>
      <c r="J3653" t="s">
        <v>120</v>
      </c>
      <c r="K3653" t="s">
        <v>15259</v>
      </c>
      <c r="L3653">
        <v>3.66</v>
      </c>
      <c r="M3653">
        <v>25.48</v>
      </c>
      <c r="N3653">
        <v>1.1499999999999999</v>
      </c>
      <c r="O3653">
        <v>8.11</v>
      </c>
      <c r="P3653">
        <v>25.99</v>
      </c>
      <c r="Q3653">
        <v>-1</v>
      </c>
      <c r="R3653">
        <v>23.8</v>
      </c>
      <c r="S3653">
        <v>24.04</v>
      </c>
      <c r="T3653">
        <v>59463</v>
      </c>
      <c r="U3653">
        <v>25.48</v>
      </c>
      <c r="V3653">
        <v>24.04</v>
      </c>
      <c r="W3653">
        <v>26.46</v>
      </c>
      <c r="X3653" t="s">
        <v>2409</v>
      </c>
      <c r="Y3653" t="s">
        <v>585</v>
      </c>
      <c r="Z3653">
        <v>9.11</v>
      </c>
      <c r="AA3653">
        <v>25.32</v>
      </c>
      <c r="AB3653">
        <v>25486</v>
      </c>
      <c r="AC3653">
        <v>33977</v>
      </c>
      <c r="AD3653">
        <v>0.75</v>
      </c>
      <c r="AE3653">
        <v>6</v>
      </c>
      <c r="AF3653">
        <v>212</v>
      </c>
      <c r="AG3653" t="s">
        <v>120</v>
      </c>
      <c r="AH3653">
        <v>0.01</v>
      </c>
      <c r="AI3653" t="s">
        <v>120</v>
      </c>
      <c r="AJ3653">
        <v>1.63</v>
      </c>
      <c r="AK3653" t="s">
        <v>15260</v>
      </c>
      <c r="AL3653">
        <v>7.33</v>
      </c>
      <c r="AM3653">
        <v>2831</v>
      </c>
      <c r="AN3653">
        <v>21</v>
      </c>
      <c r="AO3653">
        <v>1.2999999999999999E-3</v>
      </c>
      <c r="AP3653">
        <v>10</v>
      </c>
      <c r="AQ3653">
        <v>0.33</v>
      </c>
      <c r="AR3653">
        <v>6.87</v>
      </c>
      <c r="AS3653">
        <v>43.8</v>
      </c>
      <c r="AT3653">
        <v>35.75</v>
      </c>
      <c r="AU3653">
        <v>45.32</v>
      </c>
      <c r="AV3653">
        <v>2</v>
      </c>
      <c r="AW3653">
        <v>5.12</v>
      </c>
      <c r="AX3653">
        <v>41.46</v>
      </c>
      <c r="AY3653">
        <v>24.07</v>
      </c>
      <c r="AZ3653">
        <v>24.62</v>
      </c>
      <c r="BA3653">
        <v>0.59</v>
      </c>
      <c r="BB3653" t="s">
        <v>143</v>
      </c>
      <c r="BF3653">
        <v>5.32</v>
      </c>
      <c r="BG3653">
        <v>5.99</v>
      </c>
      <c r="BH3653">
        <v>-1.96</v>
      </c>
      <c r="BI3653">
        <v>7.06</v>
      </c>
      <c r="BJ3653">
        <v>20210821</v>
      </c>
      <c r="BK3653">
        <v>20191029</v>
      </c>
      <c r="BL3653">
        <v>2.8</v>
      </c>
      <c r="BM3653" t="s">
        <v>120</v>
      </c>
      <c r="BN3653" t="s">
        <v>120</v>
      </c>
      <c r="BO3653">
        <v>38.56</v>
      </c>
      <c r="BP3653">
        <v>25.47</v>
      </c>
      <c r="BQ3653">
        <v>29.88</v>
      </c>
      <c r="BR3653">
        <v>0</v>
      </c>
      <c r="BS3653">
        <v>22.53</v>
      </c>
      <c r="BT3653">
        <v>26.62</v>
      </c>
      <c r="BU3653">
        <v>7.12</v>
      </c>
      <c r="BV3653">
        <v>1.22</v>
      </c>
      <c r="BW3653">
        <v>7.83</v>
      </c>
      <c r="BX3653">
        <v>9.66</v>
      </c>
      <c r="BY3653">
        <v>6.19</v>
      </c>
      <c r="BZ3653">
        <v>4.2300000000000004</v>
      </c>
      <c r="CA3653" t="s">
        <v>120</v>
      </c>
      <c r="CB3653">
        <v>19.04</v>
      </c>
      <c r="CC3653">
        <v>13.27</v>
      </c>
      <c r="CD3653">
        <v>8.74</v>
      </c>
      <c r="CE3653">
        <v>1.64</v>
      </c>
      <c r="CF3653">
        <v>0.05</v>
      </c>
      <c r="CG3653">
        <v>1.63</v>
      </c>
      <c r="CH3653">
        <v>1.33</v>
      </c>
      <c r="CI3653">
        <v>1.35</v>
      </c>
      <c r="CJ3653">
        <v>1.44</v>
      </c>
      <c r="CK3653">
        <v>1.28</v>
      </c>
      <c r="CL3653">
        <v>7.12</v>
      </c>
      <c r="CM3653">
        <v>0.22</v>
      </c>
      <c r="CN3653">
        <v>-2.6</v>
      </c>
      <c r="CO3653">
        <v>17044</v>
      </c>
      <c r="CP3653">
        <v>6814</v>
      </c>
      <c r="CQ3653" t="s">
        <v>13939</v>
      </c>
      <c r="CR3653">
        <v>4.91</v>
      </c>
      <c r="CS3653">
        <v>33.21</v>
      </c>
      <c r="CT3653">
        <v>2.39</v>
      </c>
      <c r="CU3653">
        <v>318.52999999999997</v>
      </c>
      <c r="CV3653">
        <v>5.38</v>
      </c>
      <c r="CW3653">
        <v>1.54</v>
      </c>
      <c r="CX3653" t="s">
        <v>780</v>
      </c>
      <c r="CY3653">
        <v>10.67</v>
      </c>
      <c r="CZ3653">
        <v>0</v>
      </c>
      <c r="DA3653">
        <v>6.8</v>
      </c>
      <c r="DB3653">
        <v>2.54</v>
      </c>
      <c r="DC3653">
        <v>0.08</v>
      </c>
      <c r="DD3653">
        <v>77.48</v>
      </c>
      <c r="DE3653" t="s">
        <v>7300</v>
      </c>
      <c r="DF3653">
        <v>34.14</v>
      </c>
      <c r="DG3653">
        <v>12.33</v>
      </c>
      <c r="DH3653">
        <v>10.16</v>
      </c>
      <c r="DI3653">
        <v>0.66</v>
      </c>
      <c r="DJ3653">
        <v>2878</v>
      </c>
      <c r="DK3653">
        <v>603610</v>
      </c>
      <c r="DL3653" t="s">
        <v>120</v>
      </c>
      <c r="DM3653" t="s">
        <v>120</v>
      </c>
      <c r="DN3653" t="s">
        <v>120</v>
      </c>
    </row>
    <row r="3654" spans="1:118">
      <c r="A3654" t="str">
        <f>"603611"</f>
        <v>603611</v>
      </c>
      <c r="B3654" t="s">
        <v>15261</v>
      </c>
      <c r="C3654">
        <v>-8.09</v>
      </c>
      <c r="D3654">
        <v>-0.04</v>
      </c>
      <c r="E3654">
        <v>-0.34</v>
      </c>
      <c r="F3654">
        <v>1102</v>
      </c>
      <c r="G3654" t="s">
        <v>5187</v>
      </c>
      <c r="H3654">
        <v>24987.71</v>
      </c>
      <c r="I3654">
        <v>91.08</v>
      </c>
      <c r="J3654" t="s">
        <v>120</v>
      </c>
      <c r="K3654" t="s">
        <v>15262</v>
      </c>
      <c r="L3654">
        <v>4.71</v>
      </c>
      <c r="M3654">
        <v>19.09</v>
      </c>
      <c r="N3654">
        <v>1.32</v>
      </c>
      <c r="O3654">
        <v>-0.34</v>
      </c>
      <c r="P3654">
        <v>20.7</v>
      </c>
      <c r="Q3654">
        <v>-8.7100000000000009</v>
      </c>
      <c r="R3654">
        <v>18.96</v>
      </c>
      <c r="S3654">
        <v>20.7</v>
      </c>
      <c r="T3654">
        <v>125795</v>
      </c>
      <c r="U3654">
        <v>19.09</v>
      </c>
      <c r="V3654">
        <v>20.77</v>
      </c>
      <c r="W3654">
        <v>14.9</v>
      </c>
      <c r="X3654" t="s">
        <v>157</v>
      </c>
      <c r="Y3654" t="s">
        <v>585</v>
      </c>
      <c r="Z3654">
        <v>8.3800000000000008</v>
      </c>
      <c r="AA3654">
        <v>19.86</v>
      </c>
      <c r="AB3654">
        <v>82402</v>
      </c>
      <c r="AC3654">
        <v>43393</v>
      </c>
      <c r="AD3654">
        <v>1.9</v>
      </c>
      <c r="AE3654">
        <v>80</v>
      </c>
      <c r="AF3654">
        <v>474</v>
      </c>
      <c r="AG3654" t="s">
        <v>120</v>
      </c>
      <c r="AH3654">
        <v>0.03</v>
      </c>
      <c r="AI3654" t="s">
        <v>120</v>
      </c>
      <c r="AJ3654">
        <v>2.67</v>
      </c>
      <c r="AK3654" t="s">
        <v>15262</v>
      </c>
      <c r="AL3654">
        <v>-6.74</v>
      </c>
      <c r="AM3654">
        <v>3409</v>
      </c>
      <c r="AN3654">
        <v>37</v>
      </c>
      <c r="AO3654">
        <v>1.4E-3</v>
      </c>
      <c r="AP3654">
        <v>-1</v>
      </c>
      <c r="AQ3654">
        <v>3.49</v>
      </c>
      <c r="AR3654">
        <v>-4.5</v>
      </c>
      <c r="AS3654">
        <v>22.92</v>
      </c>
      <c r="AT3654">
        <v>32.57</v>
      </c>
      <c r="AU3654">
        <v>35.39</v>
      </c>
      <c r="AV3654">
        <v>4</v>
      </c>
      <c r="AW3654">
        <v>8.25</v>
      </c>
      <c r="AX3654">
        <v>57.05</v>
      </c>
      <c r="AY3654">
        <v>19.690000000000001</v>
      </c>
      <c r="AZ3654">
        <v>22.89</v>
      </c>
      <c r="BA3654">
        <v>0.9</v>
      </c>
      <c r="BB3654" t="s">
        <v>184</v>
      </c>
      <c r="BF3654">
        <v>-4.3600000000000003</v>
      </c>
      <c r="BG3654">
        <v>-7.78</v>
      </c>
      <c r="BH3654">
        <v>-7.78</v>
      </c>
      <c r="BI3654">
        <v>0.69</v>
      </c>
      <c r="BJ3654">
        <v>20210824</v>
      </c>
      <c r="BK3654">
        <v>20150128</v>
      </c>
      <c r="BL3654">
        <v>2.67</v>
      </c>
      <c r="BM3654" t="s">
        <v>120</v>
      </c>
      <c r="BN3654" t="s">
        <v>120</v>
      </c>
      <c r="BO3654">
        <v>65.06</v>
      </c>
      <c r="BP3654">
        <v>19.079999999999998</v>
      </c>
      <c r="BQ3654">
        <v>19.489999999999998</v>
      </c>
      <c r="BR3654">
        <v>0.44</v>
      </c>
      <c r="BS3654">
        <v>69.37</v>
      </c>
      <c r="BT3654">
        <v>47.56</v>
      </c>
      <c r="BU3654">
        <v>5.44</v>
      </c>
      <c r="BV3654">
        <v>1.84</v>
      </c>
      <c r="BW3654">
        <v>38.9</v>
      </c>
      <c r="BX3654">
        <v>8.86</v>
      </c>
      <c r="BY3654">
        <v>17.86</v>
      </c>
      <c r="BZ3654">
        <v>12.59</v>
      </c>
      <c r="CA3654" t="s">
        <v>120</v>
      </c>
      <c r="CB3654">
        <v>6.91</v>
      </c>
      <c r="CC3654">
        <v>28.04</v>
      </c>
      <c r="CD3654">
        <v>22.3</v>
      </c>
      <c r="CE3654">
        <v>2.0499999999999998</v>
      </c>
      <c r="CF3654">
        <v>-0.01</v>
      </c>
      <c r="CG3654">
        <v>2.04</v>
      </c>
      <c r="CH3654">
        <v>1.71</v>
      </c>
      <c r="CI3654">
        <v>1.71</v>
      </c>
      <c r="CJ3654">
        <v>-1.68</v>
      </c>
      <c r="CK3654">
        <v>1.48</v>
      </c>
      <c r="CL3654">
        <v>10.45</v>
      </c>
      <c r="CM3654">
        <v>-2.2599999999999998</v>
      </c>
      <c r="CN3654">
        <v>1.52</v>
      </c>
      <c r="CO3654">
        <v>19640</v>
      </c>
      <c r="CP3654">
        <v>7761</v>
      </c>
      <c r="CQ3654" t="s">
        <v>15263</v>
      </c>
      <c r="CR3654">
        <v>30</v>
      </c>
      <c r="CS3654">
        <v>45.59</v>
      </c>
      <c r="CT3654">
        <v>2.62</v>
      </c>
      <c r="CU3654">
        <v>-22.6</v>
      </c>
      <c r="CV3654">
        <v>1.82</v>
      </c>
      <c r="CW3654">
        <v>1.39</v>
      </c>
      <c r="CX3654" t="s">
        <v>2039</v>
      </c>
      <c r="CY3654">
        <v>7.3</v>
      </c>
      <c r="CZ3654">
        <v>0</v>
      </c>
      <c r="DA3654">
        <v>2.59</v>
      </c>
      <c r="DB3654">
        <v>3.91</v>
      </c>
      <c r="DC3654">
        <v>-0.84</v>
      </c>
      <c r="DD3654">
        <v>29.96</v>
      </c>
      <c r="DE3654" t="s">
        <v>15264</v>
      </c>
      <c r="DF3654">
        <v>20.48</v>
      </c>
      <c r="DG3654">
        <v>7.32</v>
      </c>
      <c r="DH3654">
        <v>6.1</v>
      </c>
      <c r="DI3654">
        <v>1</v>
      </c>
      <c r="DJ3654">
        <v>3564</v>
      </c>
      <c r="DK3654">
        <v>603611</v>
      </c>
      <c r="DL3654" t="s">
        <v>120</v>
      </c>
      <c r="DM3654" t="s">
        <v>120</v>
      </c>
      <c r="DN3654" t="s">
        <v>120</v>
      </c>
    </row>
    <row r="3655" spans="1:118">
      <c r="A3655" t="str">
        <f>"603612"</f>
        <v>603612</v>
      </c>
      <c r="B3655" t="s">
        <v>15265</v>
      </c>
      <c r="C3655">
        <v>0.23</v>
      </c>
      <c r="D3655">
        <v>0</v>
      </c>
      <c r="E3655">
        <v>1.29</v>
      </c>
      <c r="F3655">
        <v>1453</v>
      </c>
      <c r="G3655" t="s">
        <v>15266</v>
      </c>
      <c r="H3655">
        <v>77243.42</v>
      </c>
      <c r="I3655">
        <v>404.43</v>
      </c>
      <c r="J3655" t="s">
        <v>120</v>
      </c>
      <c r="K3655" t="s">
        <v>15267</v>
      </c>
      <c r="L3655">
        <v>5.68</v>
      </c>
      <c r="M3655">
        <v>31.07</v>
      </c>
      <c r="N3655">
        <v>0.65</v>
      </c>
      <c r="O3655">
        <v>5.77</v>
      </c>
      <c r="P3655">
        <v>32.79</v>
      </c>
      <c r="Q3655">
        <v>-1.23</v>
      </c>
      <c r="R3655">
        <v>30.62</v>
      </c>
      <c r="S3655">
        <v>31.4</v>
      </c>
      <c r="T3655">
        <v>244333</v>
      </c>
      <c r="U3655">
        <v>31.08</v>
      </c>
      <c r="V3655">
        <v>31</v>
      </c>
      <c r="W3655">
        <v>24.52</v>
      </c>
      <c r="X3655" t="s">
        <v>1991</v>
      </c>
      <c r="Y3655" t="s">
        <v>638</v>
      </c>
      <c r="Z3655">
        <v>7</v>
      </c>
      <c r="AA3655">
        <v>31.61</v>
      </c>
      <c r="AB3655">
        <v>135048</v>
      </c>
      <c r="AC3655">
        <v>109285</v>
      </c>
      <c r="AD3655">
        <v>1.24</v>
      </c>
      <c r="AE3655">
        <v>149</v>
      </c>
      <c r="AF3655">
        <v>107</v>
      </c>
      <c r="AG3655" t="s">
        <v>120</v>
      </c>
      <c r="AH3655">
        <v>0.05</v>
      </c>
      <c r="AI3655" t="s">
        <v>120</v>
      </c>
      <c r="AJ3655">
        <v>4.3</v>
      </c>
      <c r="AK3655" t="s">
        <v>15268</v>
      </c>
      <c r="AL3655">
        <v>1.57</v>
      </c>
      <c r="AM3655">
        <v>4485</v>
      </c>
      <c r="AN3655">
        <v>54</v>
      </c>
      <c r="AO3655">
        <v>1.2999999999999999E-3</v>
      </c>
      <c r="AP3655">
        <v>1</v>
      </c>
      <c r="AQ3655">
        <v>-2.08</v>
      </c>
      <c r="AR3655">
        <v>-9.42</v>
      </c>
      <c r="AS3655">
        <v>45.39</v>
      </c>
      <c r="AT3655">
        <v>89.69</v>
      </c>
      <c r="AU3655">
        <v>130.66</v>
      </c>
      <c r="AV3655">
        <v>8</v>
      </c>
      <c r="AW3655">
        <v>8.9700000000000006</v>
      </c>
      <c r="AX3655">
        <v>59.22</v>
      </c>
      <c r="AY3655">
        <v>32.15</v>
      </c>
      <c r="AZ3655">
        <v>66.61</v>
      </c>
      <c r="BA3655">
        <v>1.43</v>
      </c>
      <c r="BB3655" t="s">
        <v>143</v>
      </c>
      <c r="BF3655">
        <v>1.98</v>
      </c>
      <c r="BG3655">
        <v>-1.05</v>
      </c>
      <c r="BH3655">
        <v>-5.25</v>
      </c>
      <c r="BI3655">
        <v>1.47</v>
      </c>
      <c r="BJ3655">
        <v>20210913</v>
      </c>
      <c r="BK3655">
        <v>20170718</v>
      </c>
      <c r="BL3655">
        <v>4.5999999999999996</v>
      </c>
      <c r="BM3655" t="s">
        <v>120</v>
      </c>
      <c r="BN3655" t="s">
        <v>120</v>
      </c>
      <c r="BO3655">
        <v>110.02</v>
      </c>
      <c r="BP3655">
        <v>31.07</v>
      </c>
      <c r="BQ3655">
        <v>39.049999999999997</v>
      </c>
      <c r="BR3655">
        <v>7.86</v>
      </c>
      <c r="BS3655">
        <v>57.37</v>
      </c>
      <c r="BT3655">
        <v>61.01</v>
      </c>
      <c r="BU3655">
        <v>30.96</v>
      </c>
      <c r="BV3655">
        <v>3.77</v>
      </c>
      <c r="BW3655">
        <v>49.36</v>
      </c>
      <c r="BX3655">
        <v>21.79</v>
      </c>
      <c r="BY3655">
        <v>20.64</v>
      </c>
      <c r="BZ3655">
        <v>9.98</v>
      </c>
      <c r="CA3655" t="s">
        <v>120</v>
      </c>
      <c r="CB3655">
        <v>19.149999999999999</v>
      </c>
      <c r="CC3655">
        <v>39.26</v>
      </c>
      <c r="CD3655">
        <v>31.96</v>
      </c>
      <c r="CE3655">
        <v>4.7</v>
      </c>
      <c r="CF3655">
        <v>-0.14000000000000001</v>
      </c>
      <c r="CG3655">
        <v>4.6399999999999997</v>
      </c>
      <c r="CH3655">
        <v>3.63</v>
      </c>
      <c r="CI3655">
        <v>2.91</v>
      </c>
      <c r="CJ3655">
        <v>7.0000000000000007E-2</v>
      </c>
      <c r="CK3655">
        <v>2.87</v>
      </c>
      <c r="CL3655">
        <v>14.98</v>
      </c>
      <c r="CM3655">
        <v>-1.52</v>
      </c>
      <c r="CN3655">
        <v>7.7</v>
      </c>
      <c r="CO3655">
        <v>25346</v>
      </c>
      <c r="CP3655">
        <v>10746</v>
      </c>
      <c r="CQ3655" t="s">
        <v>15269</v>
      </c>
      <c r="CR3655">
        <v>370.59</v>
      </c>
      <c r="CS3655">
        <v>49.36</v>
      </c>
      <c r="CT3655">
        <v>3.46</v>
      </c>
      <c r="CU3655">
        <v>-93.76</v>
      </c>
      <c r="CV3655">
        <v>3.64</v>
      </c>
      <c r="CW3655">
        <v>0.61</v>
      </c>
      <c r="CX3655" t="s">
        <v>1469</v>
      </c>
      <c r="CY3655">
        <v>8.98</v>
      </c>
      <c r="CZ3655">
        <v>8.98</v>
      </c>
      <c r="DA3655">
        <v>4.16</v>
      </c>
      <c r="DB3655">
        <v>3.26</v>
      </c>
      <c r="DC3655">
        <v>-0.33</v>
      </c>
      <c r="DD3655">
        <v>35.49</v>
      </c>
      <c r="DE3655" t="s">
        <v>8502</v>
      </c>
      <c r="DF3655">
        <v>18.600000000000001</v>
      </c>
      <c r="DG3655">
        <v>11.98</v>
      </c>
      <c r="DH3655">
        <v>7.42</v>
      </c>
      <c r="DI3655">
        <v>0.57999999999999996</v>
      </c>
      <c r="DJ3655">
        <v>3208</v>
      </c>
      <c r="DK3655">
        <v>603612</v>
      </c>
      <c r="DL3655">
        <v>20210901</v>
      </c>
      <c r="DM3655">
        <v>27.13</v>
      </c>
      <c r="DN3655">
        <v>14.52</v>
      </c>
    </row>
    <row r="3656" spans="1:118">
      <c r="A3656" t="str">
        <f>"603613"</f>
        <v>603613</v>
      </c>
      <c r="B3656" t="s">
        <v>15270</v>
      </c>
      <c r="C3656">
        <v>-0.35</v>
      </c>
      <c r="D3656">
        <v>0.01</v>
      </c>
      <c r="E3656">
        <v>-0.16</v>
      </c>
      <c r="F3656">
        <v>462</v>
      </c>
      <c r="G3656" t="s">
        <v>15271</v>
      </c>
      <c r="H3656">
        <v>16616.349999999999</v>
      </c>
      <c r="I3656">
        <v>129.96</v>
      </c>
      <c r="J3656" t="s">
        <v>120</v>
      </c>
      <c r="K3656" t="s">
        <v>15271</v>
      </c>
      <c r="L3656">
        <v>0.65</v>
      </c>
      <c r="M3656">
        <v>114.8</v>
      </c>
      <c r="N3656">
        <v>0.56000000000000005</v>
      </c>
      <c r="O3656">
        <v>2.4300000000000002</v>
      </c>
      <c r="P3656">
        <v>118</v>
      </c>
      <c r="Q3656">
        <v>-1.04</v>
      </c>
      <c r="R3656">
        <v>114</v>
      </c>
      <c r="S3656">
        <v>115.01</v>
      </c>
      <c r="T3656">
        <v>14386</v>
      </c>
      <c r="U3656">
        <v>114.81</v>
      </c>
      <c r="V3656">
        <v>115.2</v>
      </c>
      <c r="W3656">
        <v>91.32</v>
      </c>
      <c r="X3656" t="s">
        <v>1531</v>
      </c>
      <c r="Y3656" t="s">
        <v>158</v>
      </c>
      <c r="Z3656">
        <v>3.47</v>
      </c>
      <c r="AA3656">
        <v>115.51</v>
      </c>
      <c r="AB3656">
        <v>8098</v>
      </c>
      <c r="AC3656">
        <v>6288</v>
      </c>
      <c r="AD3656">
        <v>1.29</v>
      </c>
      <c r="AE3656">
        <v>2</v>
      </c>
      <c r="AF3656">
        <v>2</v>
      </c>
      <c r="AG3656" t="s">
        <v>120</v>
      </c>
      <c r="AH3656">
        <v>0.01</v>
      </c>
      <c r="AI3656" t="s">
        <v>120</v>
      </c>
      <c r="AJ3656">
        <v>2.2200000000000002</v>
      </c>
      <c r="AK3656" t="s">
        <v>15272</v>
      </c>
      <c r="AL3656">
        <v>1</v>
      </c>
      <c r="AM3656">
        <v>2244</v>
      </c>
      <c r="AN3656">
        <v>6</v>
      </c>
      <c r="AO3656">
        <v>2.9999999999999997E-4</v>
      </c>
      <c r="AP3656">
        <v>-1</v>
      </c>
      <c r="AQ3656">
        <v>1.33</v>
      </c>
      <c r="AR3656">
        <v>-2.78</v>
      </c>
      <c r="AS3656">
        <v>19.02</v>
      </c>
      <c r="AT3656">
        <v>20.21</v>
      </c>
      <c r="AU3656">
        <v>30.1</v>
      </c>
      <c r="AV3656">
        <v>3</v>
      </c>
      <c r="AW3656">
        <v>0.65</v>
      </c>
      <c r="AX3656">
        <v>64.59</v>
      </c>
      <c r="AY3656">
        <v>97.36</v>
      </c>
      <c r="AZ3656">
        <v>130.11000000000001</v>
      </c>
      <c r="BA3656">
        <v>1.0900000000000001</v>
      </c>
      <c r="BB3656" t="s">
        <v>184</v>
      </c>
      <c r="BF3656">
        <v>0.27</v>
      </c>
      <c r="BG3656">
        <v>-0.18</v>
      </c>
      <c r="BH3656">
        <v>-2.71</v>
      </c>
      <c r="BI3656">
        <v>0.7</v>
      </c>
      <c r="BJ3656">
        <v>20210820</v>
      </c>
      <c r="BK3656">
        <v>20190730</v>
      </c>
      <c r="BL3656">
        <v>3.44</v>
      </c>
      <c r="BM3656" t="s">
        <v>120</v>
      </c>
      <c r="BN3656" t="s">
        <v>120</v>
      </c>
      <c r="BO3656">
        <v>73.91</v>
      </c>
      <c r="BP3656">
        <v>114.8</v>
      </c>
      <c r="BQ3656">
        <v>39.65</v>
      </c>
      <c r="BR3656">
        <v>1.88</v>
      </c>
      <c r="BS3656">
        <v>43.81</v>
      </c>
      <c r="BT3656">
        <v>71.84</v>
      </c>
      <c r="BU3656">
        <v>1.08</v>
      </c>
      <c r="BV3656">
        <v>0.36</v>
      </c>
      <c r="BW3656">
        <v>32.380000000000003</v>
      </c>
      <c r="BX3656">
        <v>26.17</v>
      </c>
      <c r="BY3656">
        <v>0.65</v>
      </c>
      <c r="BZ3656">
        <v>2.0499999999999998</v>
      </c>
      <c r="CA3656">
        <v>0.23</v>
      </c>
      <c r="CB3656">
        <v>27.99</v>
      </c>
      <c r="CC3656">
        <v>140.34</v>
      </c>
      <c r="CD3656">
        <v>135.63999999999999</v>
      </c>
      <c r="CE3656">
        <v>3.46</v>
      </c>
      <c r="CF3656">
        <v>0.05</v>
      </c>
      <c r="CG3656">
        <v>3.47</v>
      </c>
      <c r="CH3656">
        <v>2.62</v>
      </c>
      <c r="CI3656">
        <v>2.16</v>
      </c>
      <c r="CJ3656">
        <v>-0.4</v>
      </c>
      <c r="CK3656">
        <v>2</v>
      </c>
      <c r="CL3656">
        <v>8.0500000000000007</v>
      </c>
      <c r="CM3656">
        <v>5.33</v>
      </c>
      <c r="CN3656">
        <v>-3.21</v>
      </c>
      <c r="CO3656">
        <v>13320</v>
      </c>
      <c r="CP3656">
        <v>16677</v>
      </c>
      <c r="CQ3656" t="s">
        <v>15273</v>
      </c>
      <c r="CR3656">
        <v>90.06</v>
      </c>
      <c r="CS3656">
        <v>141.65</v>
      </c>
      <c r="CT3656">
        <v>9.9600000000000009</v>
      </c>
      <c r="CU3656">
        <v>74.05</v>
      </c>
      <c r="CV3656">
        <v>2.81</v>
      </c>
      <c r="CW3656">
        <v>0.08</v>
      </c>
      <c r="CX3656" t="s">
        <v>4650</v>
      </c>
      <c r="CY3656">
        <v>11.53</v>
      </c>
      <c r="CZ3656">
        <v>0</v>
      </c>
      <c r="DA3656">
        <v>8.14</v>
      </c>
      <c r="DB3656">
        <v>2.34</v>
      </c>
      <c r="DC3656">
        <v>1.55</v>
      </c>
      <c r="DD3656">
        <v>53.64</v>
      </c>
      <c r="DE3656" t="s">
        <v>3549</v>
      </c>
      <c r="DF3656">
        <v>3.35</v>
      </c>
      <c r="DG3656">
        <v>2.46</v>
      </c>
      <c r="DH3656">
        <v>1.54</v>
      </c>
      <c r="DI3656">
        <v>0.19</v>
      </c>
      <c r="DJ3656">
        <v>806</v>
      </c>
      <c r="DK3656">
        <v>603613</v>
      </c>
      <c r="DL3656" t="s">
        <v>120</v>
      </c>
      <c r="DM3656" t="s">
        <v>120</v>
      </c>
      <c r="DN3656" t="s">
        <v>120</v>
      </c>
    </row>
    <row r="3657" spans="1:118">
      <c r="A3657" t="str">
        <f>"603615"</f>
        <v>603615</v>
      </c>
      <c r="B3657" t="s">
        <v>15274</v>
      </c>
      <c r="C3657">
        <v>10.02</v>
      </c>
      <c r="D3657">
        <v>0</v>
      </c>
      <c r="E3657">
        <v>-2</v>
      </c>
      <c r="F3657">
        <v>954</v>
      </c>
      <c r="G3657" t="s">
        <v>15275</v>
      </c>
      <c r="H3657">
        <v>14586.12</v>
      </c>
      <c r="I3657">
        <v>234.34</v>
      </c>
      <c r="J3657">
        <v>977.03</v>
      </c>
      <c r="K3657" t="s">
        <v>7223</v>
      </c>
      <c r="L3657">
        <v>6.22</v>
      </c>
      <c r="M3657">
        <v>9.8800000000000008</v>
      </c>
      <c r="N3657">
        <v>6.4</v>
      </c>
      <c r="O3657">
        <v>10.02</v>
      </c>
      <c r="P3657">
        <v>9.8800000000000008</v>
      </c>
      <c r="Q3657">
        <v>-2</v>
      </c>
      <c r="R3657">
        <v>8.8000000000000007</v>
      </c>
      <c r="S3657">
        <v>8.8000000000000007</v>
      </c>
      <c r="T3657">
        <v>150443</v>
      </c>
      <c r="U3657" t="s">
        <v>120</v>
      </c>
      <c r="V3657">
        <v>8.98</v>
      </c>
      <c r="W3657">
        <v>163.59</v>
      </c>
      <c r="X3657" t="s">
        <v>2409</v>
      </c>
      <c r="Y3657" t="s">
        <v>937</v>
      </c>
      <c r="Z3657">
        <v>12.03</v>
      </c>
      <c r="AA3657">
        <v>9.6999999999999993</v>
      </c>
      <c r="AB3657">
        <v>83061</v>
      </c>
      <c r="AC3657">
        <v>67382</v>
      </c>
      <c r="AD3657">
        <v>1.23</v>
      </c>
      <c r="AE3657">
        <v>9889</v>
      </c>
      <c r="AF3657">
        <v>0</v>
      </c>
      <c r="AG3657" t="s">
        <v>120</v>
      </c>
      <c r="AH3657">
        <v>0.32</v>
      </c>
      <c r="AI3657">
        <v>7.0000000000000007E-2</v>
      </c>
      <c r="AJ3657">
        <v>2.42</v>
      </c>
      <c r="AK3657" t="s">
        <v>567</v>
      </c>
      <c r="AL3657">
        <v>11.37</v>
      </c>
      <c r="AM3657">
        <v>1709</v>
      </c>
      <c r="AN3657">
        <v>88</v>
      </c>
      <c r="AO3657">
        <v>3.5999999999999999E-3</v>
      </c>
      <c r="AP3657">
        <v>2</v>
      </c>
      <c r="AQ3657">
        <v>4.0599999999999996</v>
      </c>
      <c r="AR3657">
        <v>13.44</v>
      </c>
      <c r="AS3657">
        <v>10.76</v>
      </c>
      <c r="AT3657">
        <v>-2.66</v>
      </c>
      <c r="AU3657">
        <v>-4.91</v>
      </c>
      <c r="AV3657">
        <v>11</v>
      </c>
      <c r="AW3657">
        <v>18.11</v>
      </c>
      <c r="AX3657">
        <v>34.17</v>
      </c>
      <c r="AY3657">
        <v>85.56</v>
      </c>
      <c r="AZ3657">
        <v>58.93</v>
      </c>
      <c r="BA3657">
        <v>0.91</v>
      </c>
      <c r="BB3657" t="s">
        <v>143</v>
      </c>
      <c r="BF3657">
        <v>7.97</v>
      </c>
      <c r="BG3657">
        <v>12.27</v>
      </c>
      <c r="BH3657">
        <v>0</v>
      </c>
      <c r="BI3657">
        <v>12.27</v>
      </c>
      <c r="BJ3657">
        <v>20210830</v>
      </c>
      <c r="BK3657">
        <v>20170213</v>
      </c>
      <c r="BL3657">
        <v>2.4300000000000002</v>
      </c>
      <c r="BM3657" t="s">
        <v>120</v>
      </c>
      <c r="BN3657" t="s">
        <v>120</v>
      </c>
      <c r="BO3657">
        <v>13.99</v>
      </c>
      <c r="BP3657">
        <v>9.8800000000000008</v>
      </c>
      <c r="BQ3657">
        <v>12.52</v>
      </c>
      <c r="BR3657">
        <v>0.02</v>
      </c>
      <c r="BS3657">
        <v>10.34</v>
      </c>
      <c r="BT3657">
        <v>6.93</v>
      </c>
      <c r="BU3657">
        <v>5.63</v>
      </c>
      <c r="BV3657">
        <v>0.38</v>
      </c>
      <c r="BW3657">
        <v>1.28</v>
      </c>
      <c r="BX3657">
        <v>2.88</v>
      </c>
      <c r="BY3657">
        <v>2.56</v>
      </c>
      <c r="BZ3657">
        <v>1.18</v>
      </c>
      <c r="CA3657" t="s">
        <v>120</v>
      </c>
      <c r="CB3657">
        <v>7.01</v>
      </c>
      <c r="CC3657">
        <v>3.97</v>
      </c>
      <c r="CD3657">
        <v>2.95</v>
      </c>
      <c r="CE3657">
        <v>0.1</v>
      </c>
      <c r="CF3657">
        <v>0</v>
      </c>
      <c r="CG3657">
        <v>0.09</v>
      </c>
      <c r="CH3657">
        <v>7.0000000000000007E-2</v>
      </c>
      <c r="CI3657">
        <v>7.0000000000000007E-2</v>
      </c>
      <c r="CJ3657">
        <v>0.9</v>
      </c>
      <c r="CK3657">
        <v>0.06</v>
      </c>
      <c r="CL3657">
        <v>2.71</v>
      </c>
      <c r="CM3657">
        <v>-0.33</v>
      </c>
      <c r="CN3657">
        <v>-1.43</v>
      </c>
      <c r="CO3657">
        <v>17775</v>
      </c>
      <c r="CP3657">
        <v>4674</v>
      </c>
      <c r="CQ3657" t="s">
        <v>3282</v>
      </c>
      <c r="CR3657">
        <v>-61.09</v>
      </c>
      <c r="CS3657">
        <v>36.71</v>
      </c>
      <c r="CT3657">
        <v>1.93</v>
      </c>
      <c r="CU3657">
        <v>-73.33</v>
      </c>
      <c r="CV3657">
        <v>6.06</v>
      </c>
      <c r="CW3657">
        <v>1.68</v>
      </c>
      <c r="CX3657" t="s">
        <v>2074</v>
      </c>
      <c r="CY3657">
        <v>5.12</v>
      </c>
      <c r="CZ3657">
        <v>5.12</v>
      </c>
      <c r="DA3657">
        <v>2.88</v>
      </c>
      <c r="DB3657">
        <v>1.1100000000000001</v>
      </c>
      <c r="DC3657">
        <v>-0.13</v>
      </c>
      <c r="DD3657">
        <v>89.52</v>
      </c>
      <c r="DE3657" t="s">
        <v>4476</v>
      </c>
      <c r="DF3657">
        <v>25.61</v>
      </c>
      <c r="DG3657">
        <v>2.41</v>
      </c>
      <c r="DH3657">
        <v>1.85</v>
      </c>
      <c r="DI3657">
        <v>0.05</v>
      </c>
      <c r="DJ3657">
        <v>1565</v>
      </c>
      <c r="DK3657">
        <v>603615</v>
      </c>
      <c r="DL3657" t="s">
        <v>120</v>
      </c>
      <c r="DM3657" t="s">
        <v>120</v>
      </c>
      <c r="DN3657" t="s">
        <v>120</v>
      </c>
    </row>
    <row r="3658" spans="1:118">
      <c r="A3658" t="str">
        <f>"603616"</f>
        <v>603616</v>
      </c>
      <c r="B3658" t="s">
        <v>15276</v>
      </c>
      <c r="C3658">
        <v>0.31</v>
      </c>
      <c r="D3658">
        <v>-0.14000000000000001</v>
      </c>
      <c r="E3658">
        <v>1.24</v>
      </c>
      <c r="F3658">
        <v>241</v>
      </c>
      <c r="G3658" t="s">
        <v>3349</v>
      </c>
      <c r="H3658">
        <v>4447.09</v>
      </c>
      <c r="I3658">
        <v>7</v>
      </c>
      <c r="J3658" t="s">
        <v>120</v>
      </c>
      <c r="K3658" t="s">
        <v>9689</v>
      </c>
      <c r="L3658">
        <v>2.3199999999999998</v>
      </c>
      <c r="M3658">
        <v>6.48</v>
      </c>
      <c r="N3658">
        <v>0.86</v>
      </c>
      <c r="O3658">
        <v>2.94</v>
      </c>
      <c r="P3658">
        <v>6.65</v>
      </c>
      <c r="Q3658">
        <v>-0.15</v>
      </c>
      <c r="R3658">
        <v>6.45</v>
      </c>
      <c r="S3658">
        <v>6.54</v>
      </c>
      <c r="T3658">
        <v>67986</v>
      </c>
      <c r="U3658">
        <v>6.48</v>
      </c>
      <c r="V3658">
        <v>6.46</v>
      </c>
      <c r="W3658">
        <v>45.47</v>
      </c>
      <c r="X3658" t="s">
        <v>247</v>
      </c>
      <c r="Y3658" t="s">
        <v>158</v>
      </c>
      <c r="Z3658">
        <v>3.1</v>
      </c>
      <c r="AA3658">
        <v>6.54</v>
      </c>
      <c r="AB3658">
        <v>33750</v>
      </c>
      <c r="AC3658">
        <v>34236</v>
      </c>
      <c r="AD3658">
        <v>0.99</v>
      </c>
      <c r="AE3658">
        <v>120</v>
      </c>
      <c r="AF3658">
        <v>44</v>
      </c>
      <c r="AG3658" t="s">
        <v>120</v>
      </c>
      <c r="AH3658">
        <v>0.01</v>
      </c>
      <c r="AI3658" t="s">
        <v>120</v>
      </c>
      <c r="AJ3658">
        <v>2.93</v>
      </c>
      <c r="AK3658" t="s">
        <v>7767</v>
      </c>
      <c r="AL3658">
        <v>1.65</v>
      </c>
      <c r="AM3658">
        <v>2592</v>
      </c>
      <c r="AN3658">
        <v>26</v>
      </c>
      <c r="AO3658">
        <v>8.9999999999999998E-4</v>
      </c>
      <c r="AP3658">
        <v>2</v>
      </c>
      <c r="AQ3658">
        <v>1.73</v>
      </c>
      <c r="AR3658">
        <v>1.73</v>
      </c>
      <c r="AS3658">
        <v>19.78</v>
      </c>
      <c r="AT3658">
        <v>19.34</v>
      </c>
      <c r="AU3658">
        <v>10.58</v>
      </c>
      <c r="AV3658">
        <v>6</v>
      </c>
      <c r="AW3658">
        <v>4.6100000000000003</v>
      </c>
      <c r="AX3658">
        <v>38.700000000000003</v>
      </c>
      <c r="AY3658">
        <v>22.75</v>
      </c>
      <c r="AZ3658">
        <v>86.52</v>
      </c>
      <c r="BA3658">
        <v>0.68</v>
      </c>
      <c r="BB3658" t="s">
        <v>184</v>
      </c>
      <c r="BF3658">
        <v>1.26</v>
      </c>
      <c r="BG3658">
        <v>-0.92</v>
      </c>
      <c r="BH3658">
        <v>-2.56</v>
      </c>
      <c r="BI3658">
        <v>0.47</v>
      </c>
      <c r="BJ3658">
        <v>20210830</v>
      </c>
      <c r="BK3658">
        <v>20150611</v>
      </c>
      <c r="BL3658">
        <v>3.81</v>
      </c>
      <c r="BM3658" t="s">
        <v>120</v>
      </c>
      <c r="BN3658" t="s">
        <v>120</v>
      </c>
      <c r="BO3658">
        <v>22.85</v>
      </c>
      <c r="BP3658">
        <v>6.47</v>
      </c>
      <c r="BQ3658">
        <v>7.76</v>
      </c>
      <c r="BR3658">
        <v>0.33</v>
      </c>
      <c r="BS3658">
        <v>64.61</v>
      </c>
      <c r="BT3658">
        <v>13.68</v>
      </c>
      <c r="BU3658">
        <v>2.3199999999999998</v>
      </c>
      <c r="BV3658">
        <v>0.6</v>
      </c>
      <c r="BW3658">
        <v>14.68</v>
      </c>
      <c r="BX3658">
        <v>0.62</v>
      </c>
      <c r="BY3658">
        <v>3.93</v>
      </c>
      <c r="BZ3658">
        <v>5.15</v>
      </c>
      <c r="CA3658" t="s">
        <v>120</v>
      </c>
      <c r="CB3658">
        <v>2.5299999999999998</v>
      </c>
      <c r="CC3658">
        <v>4.29</v>
      </c>
      <c r="CD3658">
        <v>3.59</v>
      </c>
      <c r="CE3658">
        <v>0.36</v>
      </c>
      <c r="CF3658">
        <v>-0.03</v>
      </c>
      <c r="CG3658">
        <v>0.35</v>
      </c>
      <c r="CH3658">
        <v>0.28999999999999998</v>
      </c>
      <c r="CI3658">
        <v>0.27</v>
      </c>
      <c r="CJ3658">
        <v>0.02</v>
      </c>
      <c r="CK3658">
        <v>0.28000000000000003</v>
      </c>
      <c r="CL3658">
        <v>1.92</v>
      </c>
      <c r="CM3658">
        <v>0.59</v>
      </c>
      <c r="CN3658">
        <v>-1.4</v>
      </c>
      <c r="CO3658">
        <v>25544</v>
      </c>
      <c r="CP3658">
        <v>5777</v>
      </c>
      <c r="CQ3658" t="s">
        <v>2596</v>
      </c>
      <c r="CR3658">
        <v>151.63</v>
      </c>
      <c r="CS3658">
        <v>159.41</v>
      </c>
      <c r="CT3658">
        <v>2.4500000000000002</v>
      </c>
      <c r="CU3658">
        <v>41.89</v>
      </c>
      <c r="CV3658">
        <v>5.76</v>
      </c>
      <c r="CW3658">
        <v>0</v>
      </c>
      <c r="CX3658" t="s">
        <v>329</v>
      </c>
      <c r="CY3658">
        <v>2.64</v>
      </c>
      <c r="CZ3658">
        <v>2.64</v>
      </c>
      <c r="DA3658">
        <v>0.66</v>
      </c>
      <c r="DB3658">
        <v>0.5</v>
      </c>
      <c r="DC3658">
        <v>0.15</v>
      </c>
      <c r="DD3658">
        <v>33.94</v>
      </c>
      <c r="DE3658" t="s">
        <v>12064</v>
      </c>
      <c r="DF3658">
        <v>16.41</v>
      </c>
      <c r="DG3658">
        <v>8.31</v>
      </c>
      <c r="DH3658">
        <v>6.34</v>
      </c>
      <c r="DI3658">
        <v>0.06</v>
      </c>
      <c r="DJ3658">
        <v>596</v>
      </c>
      <c r="DK3658">
        <v>603616</v>
      </c>
      <c r="DL3658" t="s">
        <v>120</v>
      </c>
      <c r="DM3658" t="s">
        <v>120</v>
      </c>
      <c r="DN3658" t="s">
        <v>120</v>
      </c>
    </row>
    <row r="3659" spans="1:118">
      <c r="A3659" t="str">
        <f>"603617"</f>
        <v>603617</v>
      </c>
      <c r="B3659" t="s">
        <v>15277</v>
      </c>
      <c r="C3659">
        <v>0.68</v>
      </c>
      <c r="D3659">
        <v>0.48</v>
      </c>
      <c r="E3659">
        <v>0.19</v>
      </c>
      <c r="F3659">
        <v>304</v>
      </c>
      <c r="G3659" t="s">
        <v>15278</v>
      </c>
      <c r="H3659">
        <v>2062.38</v>
      </c>
      <c r="I3659">
        <v>4.04</v>
      </c>
      <c r="J3659" t="s">
        <v>120</v>
      </c>
      <c r="K3659" t="s">
        <v>9471</v>
      </c>
      <c r="L3659">
        <v>0.99</v>
      </c>
      <c r="M3659">
        <v>10.4</v>
      </c>
      <c r="N3659">
        <v>1.1399999999999999</v>
      </c>
      <c r="O3659">
        <v>2.81</v>
      </c>
      <c r="P3659">
        <v>10.62</v>
      </c>
      <c r="Q3659">
        <v>-0.57999999999999996</v>
      </c>
      <c r="R3659">
        <v>10.27</v>
      </c>
      <c r="S3659">
        <v>10.35</v>
      </c>
      <c r="T3659">
        <v>19743</v>
      </c>
      <c r="U3659">
        <v>10.4</v>
      </c>
      <c r="V3659">
        <v>10.33</v>
      </c>
      <c r="W3659">
        <v>18.73</v>
      </c>
      <c r="X3659" t="s">
        <v>675</v>
      </c>
      <c r="Y3659" t="s">
        <v>585</v>
      </c>
      <c r="Z3659">
        <v>3.39</v>
      </c>
      <c r="AA3659">
        <v>10.45</v>
      </c>
      <c r="AB3659">
        <v>10917</v>
      </c>
      <c r="AC3659">
        <v>8826</v>
      </c>
      <c r="AD3659">
        <v>1.24</v>
      </c>
      <c r="AE3659">
        <v>18</v>
      </c>
      <c r="AF3659">
        <v>17</v>
      </c>
      <c r="AG3659" t="s">
        <v>120</v>
      </c>
      <c r="AH3659">
        <v>0.01</v>
      </c>
      <c r="AI3659" t="s">
        <v>120</v>
      </c>
      <c r="AJ3659">
        <v>1.99</v>
      </c>
      <c r="AK3659" t="s">
        <v>9471</v>
      </c>
      <c r="AL3659">
        <v>2.02</v>
      </c>
      <c r="AM3659">
        <v>1114</v>
      </c>
      <c r="AN3659">
        <v>18</v>
      </c>
      <c r="AO3659">
        <v>8.9999999999999998E-4</v>
      </c>
      <c r="AP3659">
        <v>2</v>
      </c>
      <c r="AQ3659">
        <v>0.28999999999999998</v>
      </c>
      <c r="AR3659">
        <v>-2.16</v>
      </c>
      <c r="AS3659">
        <v>-1.33</v>
      </c>
      <c r="AT3659">
        <v>3.59</v>
      </c>
      <c r="AU3659">
        <v>7.66</v>
      </c>
      <c r="AV3659">
        <v>0</v>
      </c>
      <c r="AW3659">
        <v>3.2</v>
      </c>
      <c r="AX3659">
        <v>30.91</v>
      </c>
      <c r="AY3659">
        <v>20.059999999999999</v>
      </c>
      <c r="AZ3659">
        <v>21.17</v>
      </c>
      <c r="BA3659">
        <v>0.42</v>
      </c>
      <c r="BB3659" t="s">
        <v>143</v>
      </c>
      <c r="BF3659">
        <v>1.1200000000000001</v>
      </c>
      <c r="BG3659">
        <v>0.48</v>
      </c>
      <c r="BH3659">
        <v>-2.0699999999999998</v>
      </c>
      <c r="BI3659">
        <v>1.27</v>
      </c>
      <c r="BJ3659">
        <v>20210810</v>
      </c>
      <c r="BK3659">
        <v>20170703</v>
      </c>
      <c r="BL3659">
        <v>1.99</v>
      </c>
      <c r="BM3659" t="s">
        <v>120</v>
      </c>
      <c r="BN3659" t="s">
        <v>120</v>
      </c>
      <c r="BO3659">
        <v>14.85</v>
      </c>
      <c r="BP3659">
        <v>10.35</v>
      </c>
      <c r="BQ3659">
        <v>7.24</v>
      </c>
      <c r="BR3659" t="s">
        <v>120</v>
      </c>
      <c r="BS3659">
        <v>51.23</v>
      </c>
      <c r="BT3659">
        <v>9.39</v>
      </c>
      <c r="BU3659">
        <v>1.38</v>
      </c>
      <c r="BV3659">
        <v>0.77</v>
      </c>
      <c r="BW3659">
        <v>5.84</v>
      </c>
      <c r="BX3659">
        <v>4.78</v>
      </c>
      <c r="BY3659">
        <v>2.31</v>
      </c>
      <c r="BZ3659">
        <v>1.4</v>
      </c>
      <c r="CA3659" t="s">
        <v>120</v>
      </c>
      <c r="CB3659">
        <v>1.31</v>
      </c>
      <c r="CC3659">
        <v>4.16</v>
      </c>
      <c r="CD3659">
        <v>3.24</v>
      </c>
      <c r="CE3659">
        <v>0.62</v>
      </c>
      <c r="CF3659">
        <v>0.05</v>
      </c>
      <c r="CG3659">
        <v>0.62</v>
      </c>
      <c r="CH3659">
        <v>0.55000000000000004</v>
      </c>
      <c r="CI3659">
        <v>0.55000000000000004</v>
      </c>
      <c r="CJ3659">
        <v>7.0000000000000007E-2</v>
      </c>
      <c r="CK3659">
        <v>0.42</v>
      </c>
      <c r="CL3659">
        <v>3.07</v>
      </c>
      <c r="CM3659">
        <v>0.49</v>
      </c>
      <c r="CN3659">
        <v>0.42</v>
      </c>
      <c r="CO3659">
        <v>7509</v>
      </c>
      <c r="CP3659">
        <v>8210</v>
      </c>
      <c r="CQ3659" t="s">
        <v>9163</v>
      </c>
      <c r="CR3659">
        <v>10.77</v>
      </c>
      <c r="CS3659">
        <v>20.87</v>
      </c>
      <c r="CT3659">
        <v>3.06</v>
      </c>
      <c r="CU3659">
        <v>42.4</v>
      </c>
      <c r="CV3659">
        <v>4.99</v>
      </c>
      <c r="CW3659">
        <v>2.9</v>
      </c>
      <c r="CX3659" t="s">
        <v>1054</v>
      </c>
      <c r="CY3659">
        <v>3.4</v>
      </c>
      <c r="CZ3659">
        <v>3.4</v>
      </c>
      <c r="DA3659">
        <v>0.66</v>
      </c>
      <c r="DB3659">
        <v>1.54</v>
      </c>
      <c r="DC3659">
        <v>0.25</v>
      </c>
      <c r="DD3659">
        <v>48.77</v>
      </c>
      <c r="DE3659" t="s">
        <v>2103</v>
      </c>
      <c r="DF3659">
        <v>22.07</v>
      </c>
      <c r="DG3659">
        <v>14.85</v>
      </c>
      <c r="DH3659">
        <v>13.32</v>
      </c>
      <c r="DI3659">
        <v>0.11</v>
      </c>
      <c r="DJ3659">
        <v>987</v>
      </c>
      <c r="DK3659">
        <v>603617</v>
      </c>
      <c r="DL3659" t="s">
        <v>120</v>
      </c>
      <c r="DM3659" t="s">
        <v>120</v>
      </c>
      <c r="DN3659" t="s">
        <v>120</v>
      </c>
    </row>
    <row r="3660" spans="1:118">
      <c r="A3660" t="str">
        <f>"603618"</f>
        <v>603618</v>
      </c>
      <c r="B3660" t="s">
        <v>15279</v>
      </c>
      <c r="C3660">
        <v>-3.14</v>
      </c>
      <c r="D3660">
        <v>0</v>
      </c>
      <c r="E3660">
        <v>0</v>
      </c>
      <c r="F3660">
        <v>1546</v>
      </c>
      <c r="G3660" t="s">
        <v>1245</v>
      </c>
      <c r="H3660">
        <v>11603.74</v>
      </c>
      <c r="I3660">
        <v>151.69999999999999</v>
      </c>
      <c r="J3660" t="s">
        <v>120</v>
      </c>
      <c r="K3660" t="s">
        <v>7977</v>
      </c>
      <c r="L3660">
        <v>2.44</v>
      </c>
      <c r="M3660">
        <v>6.79</v>
      </c>
      <c r="N3660">
        <v>0.95</v>
      </c>
      <c r="O3660">
        <v>0.14000000000000001</v>
      </c>
      <c r="P3660">
        <v>7.02</v>
      </c>
      <c r="Q3660">
        <v>-3.71</v>
      </c>
      <c r="R3660">
        <v>6.75</v>
      </c>
      <c r="S3660">
        <v>7.01</v>
      </c>
      <c r="T3660">
        <v>168701</v>
      </c>
      <c r="U3660">
        <v>6.8</v>
      </c>
      <c r="V3660">
        <v>7.01</v>
      </c>
      <c r="W3660">
        <v>35.630000000000003</v>
      </c>
      <c r="X3660" t="s">
        <v>394</v>
      </c>
      <c r="Y3660" t="s">
        <v>585</v>
      </c>
      <c r="Z3660">
        <v>3.85</v>
      </c>
      <c r="AA3660">
        <v>6.88</v>
      </c>
      <c r="AB3660">
        <v>110720</v>
      </c>
      <c r="AC3660">
        <v>57981</v>
      </c>
      <c r="AD3660">
        <v>1.91</v>
      </c>
      <c r="AE3660">
        <v>42</v>
      </c>
      <c r="AF3660">
        <v>393</v>
      </c>
      <c r="AG3660" t="s">
        <v>120</v>
      </c>
      <c r="AH3660">
        <v>7.0000000000000007E-2</v>
      </c>
      <c r="AI3660" t="s">
        <v>120</v>
      </c>
      <c r="AJ3660">
        <v>6.91</v>
      </c>
      <c r="AK3660" t="s">
        <v>7977</v>
      </c>
      <c r="AL3660">
        <v>-1.79</v>
      </c>
      <c r="AM3660">
        <v>2454</v>
      </c>
      <c r="AN3660">
        <v>69</v>
      </c>
      <c r="AO3660">
        <v>1E-3</v>
      </c>
      <c r="AP3660">
        <v>-1</v>
      </c>
      <c r="AQ3660">
        <v>1.89</v>
      </c>
      <c r="AR3660">
        <v>0.28999999999999998</v>
      </c>
      <c r="AS3660">
        <v>9.8699999999999992</v>
      </c>
      <c r="AT3660">
        <v>1.96</v>
      </c>
      <c r="AU3660">
        <v>21.46</v>
      </c>
      <c r="AV3660">
        <v>4</v>
      </c>
      <c r="AW3660">
        <v>5.0999999999999996</v>
      </c>
      <c r="AX3660">
        <v>47.9</v>
      </c>
      <c r="AY3660">
        <v>32.83</v>
      </c>
      <c r="AZ3660">
        <v>41.06</v>
      </c>
      <c r="BA3660">
        <v>0.66</v>
      </c>
      <c r="BB3660" t="s">
        <v>184</v>
      </c>
      <c r="BF3660">
        <v>-1.88</v>
      </c>
      <c r="BG3660">
        <v>-3.14</v>
      </c>
      <c r="BH3660">
        <v>-3.28</v>
      </c>
      <c r="BI3660">
        <v>0.59</v>
      </c>
      <c r="BJ3660">
        <v>20210901</v>
      </c>
      <c r="BK3660">
        <v>20150217</v>
      </c>
      <c r="BL3660">
        <v>6.91</v>
      </c>
      <c r="BM3660" t="s">
        <v>120</v>
      </c>
      <c r="BN3660" t="s">
        <v>120</v>
      </c>
      <c r="BO3660">
        <v>89.13</v>
      </c>
      <c r="BP3660">
        <v>6.79</v>
      </c>
      <c r="BQ3660">
        <v>28.46</v>
      </c>
      <c r="BR3660">
        <v>0.71</v>
      </c>
      <c r="BS3660">
        <v>67.28</v>
      </c>
      <c r="BT3660">
        <v>68.17</v>
      </c>
      <c r="BU3660">
        <v>12.79</v>
      </c>
      <c r="BV3660">
        <v>2.13</v>
      </c>
      <c r="BW3660">
        <v>43.88</v>
      </c>
      <c r="BX3660">
        <v>12.86</v>
      </c>
      <c r="BY3660">
        <v>19.350000000000001</v>
      </c>
      <c r="BZ3660">
        <v>24.77</v>
      </c>
      <c r="CA3660">
        <v>0</v>
      </c>
      <c r="CB3660">
        <v>11.23</v>
      </c>
      <c r="CC3660">
        <v>30.72</v>
      </c>
      <c r="CD3660">
        <v>26.02</v>
      </c>
      <c r="CE3660">
        <v>0.8</v>
      </c>
      <c r="CF3660">
        <v>-0.02</v>
      </c>
      <c r="CG3660">
        <v>0.8</v>
      </c>
      <c r="CH3660">
        <v>0.71</v>
      </c>
      <c r="CI3660">
        <v>0.66</v>
      </c>
      <c r="CJ3660">
        <v>-0.22</v>
      </c>
      <c r="CK3660">
        <v>0.49</v>
      </c>
      <c r="CL3660">
        <v>6.12</v>
      </c>
      <c r="CM3660">
        <v>-6.91</v>
      </c>
      <c r="CN3660">
        <v>-1.24</v>
      </c>
      <c r="CO3660">
        <v>38698</v>
      </c>
      <c r="CP3660">
        <v>8555</v>
      </c>
      <c r="CQ3660" t="s">
        <v>448</v>
      </c>
      <c r="CR3660">
        <v>81.48</v>
      </c>
      <c r="CS3660">
        <v>10.49</v>
      </c>
      <c r="CT3660">
        <v>1.74</v>
      </c>
      <c r="CU3660">
        <v>-6.79</v>
      </c>
      <c r="CV3660">
        <v>1.53</v>
      </c>
      <c r="CW3660">
        <v>0.86</v>
      </c>
      <c r="CX3660" t="s">
        <v>411</v>
      </c>
      <c r="CY3660">
        <v>3.91</v>
      </c>
      <c r="CZ3660">
        <v>3.91</v>
      </c>
      <c r="DA3660">
        <v>1.62</v>
      </c>
      <c r="DB3660">
        <v>0.89</v>
      </c>
      <c r="DC3660">
        <v>-1</v>
      </c>
      <c r="DD3660">
        <v>31.93</v>
      </c>
      <c r="DE3660" t="s">
        <v>11796</v>
      </c>
      <c r="DF3660">
        <v>15.28</v>
      </c>
      <c r="DG3660">
        <v>2.59</v>
      </c>
      <c r="DH3660">
        <v>2.14</v>
      </c>
      <c r="DI3660">
        <v>0.97</v>
      </c>
      <c r="DJ3660">
        <v>1664</v>
      </c>
      <c r="DK3660">
        <v>603618</v>
      </c>
      <c r="DL3660" t="s">
        <v>120</v>
      </c>
      <c r="DM3660" t="s">
        <v>120</v>
      </c>
      <c r="DN3660" t="s">
        <v>120</v>
      </c>
    </row>
    <row r="3661" spans="1:118">
      <c r="A3661" t="str">
        <f>"603619"</f>
        <v>603619</v>
      </c>
      <c r="B3661" t="s">
        <v>15280</v>
      </c>
      <c r="C3661">
        <v>4.05</v>
      </c>
      <c r="D3661">
        <v>-0.13</v>
      </c>
      <c r="E3661">
        <v>3.22</v>
      </c>
      <c r="F3661">
        <v>2988</v>
      </c>
      <c r="G3661" t="s">
        <v>15240</v>
      </c>
      <c r="H3661">
        <v>54419.15</v>
      </c>
      <c r="I3661">
        <v>332.55</v>
      </c>
      <c r="J3661" t="s">
        <v>120</v>
      </c>
      <c r="K3661" t="s">
        <v>15281</v>
      </c>
      <c r="L3661">
        <v>9.7200000000000006</v>
      </c>
      <c r="M3661">
        <v>13.88</v>
      </c>
      <c r="N3661">
        <v>1.18</v>
      </c>
      <c r="O3661">
        <v>9.4499999999999993</v>
      </c>
      <c r="P3661">
        <v>14.6</v>
      </c>
      <c r="Q3661">
        <v>0.15</v>
      </c>
      <c r="R3661">
        <v>13.36</v>
      </c>
      <c r="S3661">
        <v>13.77</v>
      </c>
      <c r="T3661">
        <v>388840</v>
      </c>
      <c r="U3661">
        <v>13.89</v>
      </c>
      <c r="V3661">
        <v>13.34</v>
      </c>
      <c r="W3661">
        <v>142.78</v>
      </c>
      <c r="X3661" t="s">
        <v>3867</v>
      </c>
      <c r="Y3661" t="s">
        <v>1510</v>
      </c>
      <c r="Z3661">
        <v>9.3000000000000007</v>
      </c>
      <c r="AA3661">
        <v>14</v>
      </c>
      <c r="AB3661">
        <v>193274</v>
      </c>
      <c r="AC3661">
        <v>195566</v>
      </c>
      <c r="AD3661">
        <v>0.99</v>
      </c>
      <c r="AE3661">
        <v>87</v>
      </c>
      <c r="AF3661">
        <v>415</v>
      </c>
      <c r="AG3661" t="s">
        <v>120</v>
      </c>
      <c r="AH3661">
        <v>0.16</v>
      </c>
      <c r="AI3661" t="s">
        <v>120</v>
      </c>
      <c r="AJ3661">
        <v>4</v>
      </c>
      <c r="AK3661" t="s">
        <v>15281</v>
      </c>
      <c r="AL3661">
        <v>5.39</v>
      </c>
      <c r="AM3661">
        <v>4377</v>
      </c>
      <c r="AN3661">
        <v>89</v>
      </c>
      <c r="AO3661">
        <v>2.2000000000000001E-3</v>
      </c>
      <c r="AP3661">
        <v>2</v>
      </c>
      <c r="AQ3661">
        <v>0.38</v>
      </c>
      <c r="AR3661">
        <v>-2.25</v>
      </c>
      <c r="AS3661">
        <v>57.01</v>
      </c>
      <c r="AT3661">
        <v>35.81</v>
      </c>
      <c r="AU3661">
        <v>52.52</v>
      </c>
      <c r="AV3661">
        <v>9</v>
      </c>
      <c r="AW3661">
        <v>26.39</v>
      </c>
      <c r="AX3661">
        <v>36.83</v>
      </c>
      <c r="AY3661" t="s">
        <v>120</v>
      </c>
      <c r="AZ3661" t="s">
        <v>120</v>
      </c>
      <c r="BA3661">
        <v>1.21</v>
      </c>
      <c r="BB3661" t="s">
        <v>143</v>
      </c>
      <c r="BF3661">
        <v>4.91</v>
      </c>
      <c r="BG3661">
        <v>0.8</v>
      </c>
      <c r="BH3661">
        <v>-4.93</v>
      </c>
      <c r="BI3661">
        <v>3.89</v>
      </c>
      <c r="BJ3661">
        <v>20210831</v>
      </c>
      <c r="BK3661">
        <v>20171117</v>
      </c>
      <c r="BL3661">
        <v>4</v>
      </c>
      <c r="BM3661" t="s">
        <v>120</v>
      </c>
      <c r="BN3661" t="s">
        <v>120</v>
      </c>
      <c r="BO3661">
        <v>51.23</v>
      </c>
      <c r="BP3661">
        <v>13.88</v>
      </c>
      <c r="BQ3661">
        <v>19.23</v>
      </c>
      <c r="BR3661">
        <v>-0.02</v>
      </c>
      <c r="BS3661">
        <v>62.49</v>
      </c>
      <c r="BT3661">
        <v>17.68</v>
      </c>
      <c r="BU3661">
        <v>16.66</v>
      </c>
      <c r="BV3661">
        <v>0.53</v>
      </c>
      <c r="BW3661">
        <v>27.74</v>
      </c>
      <c r="BX3661">
        <v>2.5299999999999998</v>
      </c>
      <c r="BY3661">
        <v>3.87</v>
      </c>
      <c r="BZ3661">
        <v>5.1100000000000003</v>
      </c>
      <c r="CA3661" t="s">
        <v>120</v>
      </c>
      <c r="CB3661">
        <v>10.14</v>
      </c>
      <c r="CC3661">
        <v>7.44</v>
      </c>
      <c r="CD3661">
        <v>5.32</v>
      </c>
      <c r="CE3661">
        <v>0.23</v>
      </c>
      <c r="CF3661">
        <v>0.01</v>
      </c>
      <c r="CG3661">
        <v>0.23</v>
      </c>
      <c r="CH3661">
        <v>0.19</v>
      </c>
      <c r="CI3661">
        <v>0.19</v>
      </c>
      <c r="CJ3661">
        <v>0.54</v>
      </c>
      <c r="CK3661">
        <v>0.17</v>
      </c>
      <c r="CL3661">
        <v>4.1100000000000003</v>
      </c>
      <c r="CM3661">
        <v>2.2000000000000002</v>
      </c>
      <c r="CN3661">
        <v>-0.43</v>
      </c>
      <c r="CO3661">
        <v>24629</v>
      </c>
      <c r="CP3661">
        <v>5982</v>
      </c>
      <c r="CQ3661" t="s">
        <v>10562</v>
      </c>
      <c r="CR3661">
        <v>115.61</v>
      </c>
      <c r="CS3661">
        <v>-16.12</v>
      </c>
      <c r="CT3661">
        <v>2.89</v>
      </c>
      <c r="CU3661">
        <v>25.2</v>
      </c>
      <c r="CV3661">
        <v>7.47</v>
      </c>
      <c r="CW3661">
        <v>0</v>
      </c>
      <c r="CX3661" t="s">
        <v>1248</v>
      </c>
      <c r="CY3661">
        <v>4.8099999999999996</v>
      </c>
      <c r="CZ3661">
        <v>0</v>
      </c>
      <c r="DA3661">
        <v>2.5299999999999998</v>
      </c>
      <c r="DB3661">
        <v>1.03</v>
      </c>
      <c r="DC3661">
        <v>0.55000000000000004</v>
      </c>
      <c r="DD3661">
        <v>37.54</v>
      </c>
      <c r="DE3661" t="s">
        <v>3341</v>
      </c>
      <c r="DF3661">
        <v>28.4</v>
      </c>
      <c r="DG3661">
        <v>3.12</v>
      </c>
      <c r="DH3661">
        <v>2.62</v>
      </c>
      <c r="DI3661">
        <v>0.23</v>
      </c>
      <c r="DJ3661">
        <v>2653</v>
      </c>
      <c r="DK3661">
        <v>603619</v>
      </c>
      <c r="DL3661">
        <v>20210908</v>
      </c>
      <c r="DM3661">
        <v>14.2</v>
      </c>
      <c r="DN3661">
        <v>-2.25</v>
      </c>
    </row>
    <row r="3662" spans="1:118">
      <c r="A3662" t="str">
        <f>"603626"</f>
        <v>603626</v>
      </c>
      <c r="B3662" t="s">
        <v>15282</v>
      </c>
      <c r="C3662">
        <v>10.029999999999999</v>
      </c>
      <c r="D3662">
        <v>0</v>
      </c>
      <c r="E3662">
        <v>8.73</v>
      </c>
      <c r="F3662">
        <v>435</v>
      </c>
      <c r="G3662" t="s">
        <v>8102</v>
      </c>
      <c r="H3662">
        <v>36052.36</v>
      </c>
      <c r="I3662">
        <v>3238.97</v>
      </c>
      <c r="J3662">
        <v>3954.96</v>
      </c>
      <c r="K3662" t="s">
        <v>15283</v>
      </c>
      <c r="L3662">
        <v>5.9</v>
      </c>
      <c r="M3662">
        <v>12.73</v>
      </c>
      <c r="N3662">
        <v>1.9</v>
      </c>
      <c r="O3662">
        <v>10.029999999999999</v>
      </c>
      <c r="P3662">
        <v>12.73</v>
      </c>
      <c r="Q3662">
        <v>3.8</v>
      </c>
      <c r="R3662">
        <v>12.01</v>
      </c>
      <c r="S3662">
        <v>12.58</v>
      </c>
      <c r="T3662">
        <v>286089</v>
      </c>
      <c r="U3662" t="s">
        <v>120</v>
      </c>
      <c r="V3662">
        <v>11.57</v>
      </c>
      <c r="W3662">
        <v>10.49</v>
      </c>
      <c r="X3662" t="s">
        <v>675</v>
      </c>
      <c r="Y3662" t="s">
        <v>319</v>
      </c>
      <c r="Z3662">
        <v>6.22</v>
      </c>
      <c r="AA3662">
        <v>12.6</v>
      </c>
      <c r="AB3662">
        <v>176619</v>
      </c>
      <c r="AC3662">
        <v>109470</v>
      </c>
      <c r="AD3662">
        <v>1.61</v>
      </c>
      <c r="AE3662">
        <v>31068</v>
      </c>
      <c r="AF3662">
        <v>0</v>
      </c>
      <c r="AG3662" t="s">
        <v>120</v>
      </c>
      <c r="AH3662">
        <v>0.97</v>
      </c>
      <c r="AI3662">
        <v>0.11</v>
      </c>
      <c r="AJ3662">
        <v>4.8499999999999996</v>
      </c>
      <c r="AK3662" t="s">
        <v>15284</v>
      </c>
      <c r="AL3662">
        <v>11.37</v>
      </c>
      <c r="AM3662">
        <v>1554</v>
      </c>
      <c r="AN3662">
        <v>184</v>
      </c>
      <c r="AO3662">
        <v>3.8E-3</v>
      </c>
      <c r="AP3662">
        <v>2</v>
      </c>
      <c r="AQ3662">
        <v>2.39</v>
      </c>
      <c r="AR3662">
        <v>9.93</v>
      </c>
      <c r="AS3662">
        <v>32.47</v>
      </c>
      <c r="AT3662">
        <v>35.28</v>
      </c>
      <c r="AU3662">
        <v>10.6</v>
      </c>
      <c r="AV3662">
        <v>2</v>
      </c>
      <c r="AW3662">
        <v>10.79</v>
      </c>
      <c r="AX3662">
        <v>47.51</v>
      </c>
      <c r="AY3662">
        <v>25.32</v>
      </c>
      <c r="AZ3662" t="s">
        <v>120</v>
      </c>
      <c r="BA3662">
        <v>1.1200000000000001</v>
      </c>
      <c r="BB3662" t="s">
        <v>143</v>
      </c>
      <c r="BF3662">
        <v>8.92</v>
      </c>
      <c r="BG3662">
        <v>1.19</v>
      </c>
      <c r="BH3662">
        <v>0</v>
      </c>
      <c r="BI3662">
        <v>6</v>
      </c>
      <c r="BJ3662">
        <v>20210830</v>
      </c>
      <c r="BK3662">
        <v>20170209</v>
      </c>
      <c r="BL3662">
        <v>5.58</v>
      </c>
      <c r="BM3662" t="s">
        <v>120</v>
      </c>
      <c r="BN3662" t="s">
        <v>120</v>
      </c>
      <c r="BO3662">
        <v>56.17</v>
      </c>
      <c r="BP3662">
        <v>12.73</v>
      </c>
      <c r="BQ3662">
        <v>24.63</v>
      </c>
      <c r="BR3662" t="s">
        <v>120</v>
      </c>
      <c r="BS3662">
        <v>56.15</v>
      </c>
      <c r="BT3662">
        <v>23.79</v>
      </c>
      <c r="BU3662">
        <v>26.34</v>
      </c>
      <c r="BV3662">
        <v>1.7</v>
      </c>
      <c r="BW3662">
        <v>22.1</v>
      </c>
      <c r="BX3662">
        <v>4.55</v>
      </c>
      <c r="BY3662">
        <v>3.64</v>
      </c>
      <c r="BZ3662">
        <v>14.66</v>
      </c>
      <c r="CA3662" t="s">
        <v>120</v>
      </c>
      <c r="CB3662">
        <v>13.16</v>
      </c>
      <c r="CC3662">
        <v>18.89</v>
      </c>
      <c r="CD3662">
        <v>14.97</v>
      </c>
      <c r="CE3662">
        <v>3.22</v>
      </c>
      <c r="CF3662">
        <v>2.5499999999999998</v>
      </c>
      <c r="CG3662">
        <v>3.51</v>
      </c>
      <c r="CH3662">
        <v>3.39</v>
      </c>
      <c r="CI3662">
        <v>3.39</v>
      </c>
      <c r="CJ3662">
        <v>1.1599999999999999</v>
      </c>
      <c r="CK3662">
        <v>0.61</v>
      </c>
      <c r="CL3662">
        <v>6.18</v>
      </c>
      <c r="CM3662">
        <v>1.77</v>
      </c>
      <c r="CN3662">
        <v>1.77</v>
      </c>
      <c r="CO3662">
        <v>24136</v>
      </c>
      <c r="CP3662">
        <v>10985</v>
      </c>
      <c r="CQ3662" t="s">
        <v>15285</v>
      </c>
      <c r="CR3662">
        <v>839.75</v>
      </c>
      <c r="CS3662">
        <v>38.369999999999997</v>
      </c>
      <c r="CT3662">
        <v>2.54</v>
      </c>
      <c r="CU3662">
        <v>40.17</v>
      </c>
      <c r="CV3662">
        <v>3.76</v>
      </c>
      <c r="CW3662">
        <v>0</v>
      </c>
      <c r="CX3662" t="s">
        <v>2797</v>
      </c>
      <c r="CY3662">
        <v>5.0199999999999996</v>
      </c>
      <c r="CZ3662">
        <v>5.0199999999999996</v>
      </c>
      <c r="DA3662">
        <v>2.36</v>
      </c>
      <c r="DB3662">
        <v>1.1100000000000001</v>
      </c>
      <c r="DC3662">
        <v>0.32</v>
      </c>
      <c r="DD3662">
        <v>43.85</v>
      </c>
      <c r="DE3662" t="s">
        <v>15286</v>
      </c>
      <c r="DF3662">
        <v>20.76</v>
      </c>
      <c r="DG3662">
        <v>17.03</v>
      </c>
      <c r="DH3662">
        <v>17.93</v>
      </c>
      <c r="DI3662">
        <v>1.26</v>
      </c>
      <c r="DJ3662">
        <v>7030</v>
      </c>
      <c r="DK3662">
        <v>603626</v>
      </c>
      <c r="DL3662">
        <v>20210811</v>
      </c>
      <c r="DM3662">
        <v>10.18</v>
      </c>
      <c r="DN3662">
        <v>25.05</v>
      </c>
    </row>
    <row r="3663" spans="1:118">
      <c r="A3663" t="str">
        <f>"603628"</f>
        <v>603628</v>
      </c>
      <c r="B3663" t="s">
        <v>15287</v>
      </c>
      <c r="C3663">
        <v>-4.66</v>
      </c>
      <c r="D3663">
        <v>0</v>
      </c>
      <c r="E3663">
        <v>3.67</v>
      </c>
      <c r="F3663">
        <v>915</v>
      </c>
      <c r="G3663" t="s">
        <v>9715</v>
      </c>
      <c r="H3663">
        <v>19952.86</v>
      </c>
      <c r="I3663">
        <v>361.27</v>
      </c>
      <c r="J3663" t="s">
        <v>120</v>
      </c>
      <c r="K3663" t="s">
        <v>15288</v>
      </c>
      <c r="L3663">
        <v>5.21</v>
      </c>
      <c r="M3663">
        <v>13.5</v>
      </c>
      <c r="N3663">
        <v>2.2799999999999998</v>
      </c>
      <c r="O3663">
        <v>3.81</v>
      </c>
      <c r="P3663">
        <v>14.7</v>
      </c>
      <c r="Q3663">
        <v>-5.58</v>
      </c>
      <c r="R3663">
        <v>13.37</v>
      </c>
      <c r="S3663">
        <v>14.68</v>
      </c>
      <c r="T3663">
        <v>142685</v>
      </c>
      <c r="U3663">
        <v>13.5</v>
      </c>
      <c r="V3663">
        <v>14.16</v>
      </c>
      <c r="W3663">
        <v>52.18</v>
      </c>
      <c r="X3663" t="s">
        <v>394</v>
      </c>
      <c r="Y3663" t="s">
        <v>937</v>
      </c>
      <c r="Z3663">
        <v>9.39</v>
      </c>
      <c r="AA3663">
        <v>13.98</v>
      </c>
      <c r="AB3663">
        <v>83032</v>
      </c>
      <c r="AC3663">
        <v>59653</v>
      </c>
      <c r="AD3663">
        <v>1.39</v>
      </c>
      <c r="AE3663">
        <v>145</v>
      </c>
      <c r="AF3663">
        <v>385</v>
      </c>
      <c r="AG3663" t="s">
        <v>120</v>
      </c>
      <c r="AH3663">
        <v>0.27</v>
      </c>
      <c r="AI3663" t="s">
        <v>120</v>
      </c>
      <c r="AJ3663">
        <v>2.74</v>
      </c>
      <c r="AK3663" t="s">
        <v>15288</v>
      </c>
      <c r="AL3663">
        <v>-3.32</v>
      </c>
      <c r="AM3663">
        <v>2982</v>
      </c>
      <c r="AN3663">
        <v>48</v>
      </c>
      <c r="AO3663">
        <v>1.6999999999999999E-3</v>
      </c>
      <c r="AP3663">
        <v>-1</v>
      </c>
      <c r="AQ3663">
        <v>10.02</v>
      </c>
      <c r="AR3663">
        <v>6.21</v>
      </c>
      <c r="AS3663">
        <v>25.58</v>
      </c>
      <c r="AT3663">
        <v>54.11</v>
      </c>
      <c r="AU3663">
        <v>27.6</v>
      </c>
      <c r="AV3663">
        <v>10</v>
      </c>
      <c r="AW3663">
        <v>15.37</v>
      </c>
      <c r="AX3663">
        <v>33.909999999999997</v>
      </c>
      <c r="AY3663">
        <v>51.39</v>
      </c>
      <c r="AZ3663">
        <v>56.66</v>
      </c>
      <c r="BA3663">
        <v>1.41</v>
      </c>
      <c r="BB3663" t="s">
        <v>168</v>
      </c>
      <c r="BF3663">
        <v>-1.24</v>
      </c>
      <c r="BG3663">
        <v>-8.0399999999999991</v>
      </c>
      <c r="BH3663">
        <v>-8.16</v>
      </c>
      <c r="BI3663">
        <v>0.97</v>
      </c>
      <c r="BJ3663">
        <v>20210901</v>
      </c>
      <c r="BK3663">
        <v>20170112</v>
      </c>
      <c r="BL3663">
        <v>2.74</v>
      </c>
      <c r="BM3663" t="s">
        <v>120</v>
      </c>
      <c r="BN3663" t="s">
        <v>120</v>
      </c>
      <c r="BO3663">
        <v>19.559999999999999</v>
      </c>
      <c r="BP3663">
        <v>13.49</v>
      </c>
      <c r="BQ3663">
        <v>9.77</v>
      </c>
      <c r="BR3663">
        <v>7.0000000000000007E-2</v>
      </c>
      <c r="BS3663">
        <v>49.68</v>
      </c>
      <c r="BT3663">
        <v>10.11</v>
      </c>
      <c r="BU3663">
        <v>7.39</v>
      </c>
      <c r="BV3663">
        <v>0.13</v>
      </c>
      <c r="BW3663">
        <v>6.32</v>
      </c>
      <c r="BX3663">
        <v>2.23</v>
      </c>
      <c r="BY3663">
        <v>1.31</v>
      </c>
      <c r="BZ3663">
        <v>4.7</v>
      </c>
      <c r="CA3663" t="s">
        <v>120</v>
      </c>
      <c r="CB3663">
        <v>3.95</v>
      </c>
      <c r="CC3663">
        <v>5.16</v>
      </c>
      <c r="CD3663">
        <v>3.8</v>
      </c>
      <c r="CE3663">
        <v>0.47</v>
      </c>
      <c r="CF3663">
        <v>0.02</v>
      </c>
      <c r="CG3663">
        <v>0.48</v>
      </c>
      <c r="CH3663">
        <v>0.36</v>
      </c>
      <c r="CI3663">
        <v>0.35</v>
      </c>
      <c r="CJ3663">
        <v>-0.66</v>
      </c>
      <c r="CK3663">
        <v>0.34</v>
      </c>
      <c r="CL3663">
        <v>2.9</v>
      </c>
      <c r="CM3663">
        <v>-0.57999999999999996</v>
      </c>
      <c r="CN3663">
        <v>-1.7</v>
      </c>
      <c r="CO3663">
        <v>25580</v>
      </c>
      <c r="CP3663">
        <v>3630</v>
      </c>
      <c r="CQ3663" t="s">
        <v>6079</v>
      </c>
      <c r="CR3663">
        <v>24.7</v>
      </c>
      <c r="CS3663">
        <v>40</v>
      </c>
      <c r="CT3663">
        <v>3.78</v>
      </c>
      <c r="CU3663">
        <v>-63.87</v>
      </c>
      <c r="CV3663">
        <v>7.17</v>
      </c>
      <c r="CW3663">
        <v>0.35</v>
      </c>
      <c r="CX3663" t="s">
        <v>449</v>
      </c>
      <c r="CY3663">
        <v>3.57</v>
      </c>
      <c r="CZ3663">
        <v>0</v>
      </c>
      <c r="DA3663">
        <v>1.44</v>
      </c>
      <c r="DB3663">
        <v>1.06</v>
      </c>
      <c r="DC3663">
        <v>-0.21</v>
      </c>
      <c r="DD3663">
        <v>49.96</v>
      </c>
      <c r="DE3663" t="s">
        <v>8072</v>
      </c>
      <c r="DF3663">
        <v>26.23</v>
      </c>
      <c r="DG3663">
        <v>9.1199999999999992</v>
      </c>
      <c r="DH3663">
        <v>6.87</v>
      </c>
      <c r="DI3663">
        <v>0.06</v>
      </c>
      <c r="DJ3663">
        <v>470</v>
      </c>
      <c r="DK3663">
        <v>603628</v>
      </c>
      <c r="DL3663">
        <v>20210712</v>
      </c>
      <c r="DM3663">
        <v>10.95</v>
      </c>
      <c r="DN3663">
        <v>23.29</v>
      </c>
    </row>
    <row r="3664" spans="1:118">
      <c r="A3664" t="str">
        <f>"603629"</f>
        <v>603629</v>
      </c>
      <c r="B3664" t="s">
        <v>15289</v>
      </c>
      <c r="C3664">
        <v>-3.23</v>
      </c>
      <c r="D3664">
        <v>-0.04</v>
      </c>
      <c r="E3664">
        <v>-0.25</v>
      </c>
      <c r="F3664">
        <v>139</v>
      </c>
      <c r="G3664" t="s">
        <v>15290</v>
      </c>
      <c r="H3664">
        <v>3925.29</v>
      </c>
      <c r="I3664">
        <v>2.0099999999999998</v>
      </c>
      <c r="J3664" t="s">
        <v>120</v>
      </c>
      <c r="K3664" t="s">
        <v>15290</v>
      </c>
      <c r="L3664">
        <v>6.64</v>
      </c>
      <c r="M3664">
        <v>19.48</v>
      </c>
      <c r="N3664">
        <v>1.28</v>
      </c>
      <c r="O3664">
        <v>-0.15</v>
      </c>
      <c r="P3664">
        <v>20.100000000000001</v>
      </c>
      <c r="Q3664">
        <v>-3.58</v>
      </c>
      <c r="R3664">
        <v>19.41</v>
      </c>
      <c r="S3664">
        <v>20.079999999999998</v>
      </c>
      <c r="T3664">
        <v>19928</v>
      </c>
      <c r="U3664">
        <v>19.489999999999998</v>
      </c>
      <c r="V3664">
        <v>20.13</v>
      </c>
      <c r="W3664">
        <v>38.229999999999997</v>
      </c>
      <c r="X3664" t="s">
        <v>229</v>
      </c>
      <c r="Y3664" t="s">
        <v>319</v>
      </c>
      <c r="Z3664">
        <v>3.43</v>
      </c>
      <c r="AA3664">
        <v>19.7</v>
      </c>
      <c r="AB3664">
        <v>13973</v>
      </c>
      <c r="AC3664">
        <v>5955</v>
      </c>
      <c r="AD3664">
        <v>2.35</v>
      </c>
      <c r="AE3664">
        <v>252</v>
      </c>
      <c r="AF3664">
        <v>45</v>
      </c>
      <c r="AG3664" t="s">
        <v>120</v>
      </c>
      <c r="AH3664">
        <v>0</v>
      </c>
      <c r="AI3664" t="s">
        <v>120</v>
      </c>
      <c r="AJ3664">
        <v>0.3</v>
      </c>
      <c r="AK3664" t="s">
        <v>6686</v>
      </c>
      <c r="AL3664">
        <v>-1.89</v>
      </c>
      <c r="AM3664">
        <v>1747</v>
      </c>
      <c r="AN3664">
        <v>11</v>
      </c>
      <c r="AO3664">
        <v>3.8E-3</v>
      </c>
      <c r="AP3664">
        <v>-1</v>
      </c>
      <c r="AQ3664">
        <v>1.26</v>
      </c>
      <c r="AR3664">
        <v>-2.99</v>
      </c>
      <c r="AS3664">
        <v>-3.47</v>
      </c>
      <c r="AT3664">
        <v>-4.47</v>
      </c>
      <c r="AU3664">
        <v>-42.14</v>
      </c>
      <c r="AV3664">
        <v>5</v>
      </c>
      <c r="AW3664">
        <v>6.64</v>
      </c>
      <c r="AX3664">
        <v>30</v>
      </c>
      <c r="AY3664">
        <v>39.299999999999997</v>
      </c>
      <c r="AZ3664">
        <v>43.42</v>
      </c>
      <c r="BA3664">
        <v>0.94</v>
      </c>
      <c r="BB3664" t="s">
        <v>143</v>
      </c>
      <c r="BF3664">
        <v>-2.15</v>
      </c>
      <c r="BG3664">
        <v>-2.99</v>
      </c>
      <c r="BH3664">
        <v>-3.08</v>
      </c>
      <c r="BI3664">
        <v>0.36</v>
      </c>
      <c r="BJ3664">
        <v>20210820</v>
      </c>
      <c r="BK3664">
        <v>20181224</v>
      </c>
      <c r="BL3664">
        <v>1</v>
      </c>
      <c r="BM3664" t="s">
        <v>120</v>
      </c>
      <c r="BN3664" t="s">
        <v>120</v>
      </c>
      <c r="BO3664">
        <v>24.27</v>
      </c>
      <c r="BP3664">
        <v>19.48</v>
      </c>
      <c r="BQ3664">
        <v>10.34</v>
      </c>
      <c r="BR3664" t="s">
        <v>120</v>
      </c>
      <c r="BS3664">
        <v>57.39</v>
      </c>
      <c r="BT3664">
        <v>16.940000000000001</v>
      </c>
      <c r="BU3664">
        <v>4.08</v>
      </c>
      <c r="BV3664">
        <v>0.76</v>
      </c>
      <c r="BW3664">
        <v>13.61</v>
      </c>
      <c r="BX3664">
        <v>2.5299999999999998</v>
      </c>
      <c r="BY3664">
        <v>4.12</v>
      </c>
      <c r="BZ3664">
        <v>3.71</v>
      </c>
      <c r="CA3664" t="s">
        <v>120</v>
      </c>
      <c r="CB3664">
        <v>6.41</v>
      </c>
      <c r="CC3664">
        <v>8.09</v>
      </c>
      <c r="CD3664">
        <v>6.85</v>
      </c>
      <c r="CE3664">
        <v>0.3</v>
      </c>
      <c r="CF3664">
        <v>0</v>
      </c>
      <c r="CG3664">
        <v>0.28999999999999998</v>
      </c>
      <c r="CH3664">
        <v>0.25</v>
      </c>
      <c r="CI3664">
        <v>0.25</v>
      </c>
      <c r="CJ3664">
        <v>-0.65</v>
      </c>
      <c r="CK3664">
        <v>0.18</v>
      </c>
      <c r="CL3664">
        <v>2.63</v>
      </c>
      <c r="CM3664">
        <v>0.09</v>
      </c>
      <c r="CN3664">
        <v>1.05</v>
      </c>
      <c r="CO3664">
        <v>12848</v>
      </c>
      <c r="CP3664">
        <v>2335</v>
      </c>
      <c r="CQ3664" t="s">
        <v>9365</v>
      </c>
      <c r="CR3664">
        <v>23.56</v>
      </c>
      <c r="CS3664">
        <v>22.28</v>
      </c>
      <c r="CT3664">
        <v>1.88</v>
      </c>
      <c r="CU3664">
        <v>221.44</v>
      </c>
      <c r="CV3664">
        <v>2.41</v>
      </c>
      <c r="CW3664">
        <v>0</v>
      </c>
      <c r="CX3664" t="s">
        <v>863</v>
      </c>
      <c r="CY3664">
        <v>10.34</v>
      </c>
      <c r="CZ3664">
        <v>0</v>
      </c>
      <c r="DA3664">
        <v>6.41</v>
      </c>
      <c r="DB3664">
        <v>2.63</v>
      </c>
      <c r="DC3664">
        <v>0.09</v>
      </c>
      <c r="DD3664">
        <v>42.61</v>
      </c>
      <c r="DE3664" t="s">
        <v>3782</v>
      </c>
      <c r="DF3664">
        <v>15.36</v>
      </c>
      <c r="DG3664">
        <v>3.66</v>
      </c>
      <c r="DH3664">
        <v>3.15</v>
      </c>
      <c r="DI3664">
        <v>0.31</v>
      </c>
      <c r="DJ3664">
        <v>3648</v>
      </c>
      <c r="DK3664">
        <v>603629</v>
      </c>
      <c r="DL3664" t="s">
        <v>120</v>
      </c>
      <c r="DM3664" t="s">
        <v>120</v>
      </c>
      <c r="DN3664" t="s">
        <v>120</v>
      </c>
    </row>
    <row r="3665" spans="1:118">
      <c r="A3665" t="str">
        <f>"603630"</f>
        <v>603630</v>
      </c>
      <c r="B3665" t="s">
        <v>15291</v>
      </c>
      <c r="C3665">
        <v>0.59</v>
      </c>
      <c r="D3665">
        <v>0.1</v>
      </c>
      <c r="E3665">
        <v>1.33</v>
      </c>
      <c r="F3665">
        <v>527</v>
      </c>
      <c r="G3665" t="s">
        <v>5539</v>
      </c>
      <c r="H3665">
        <v>14774.29</v>
      </c>
      <c r="I3665">
        <v>82.81</v>
      </c>
      <c r="J3665" t="s">
        <v>120</v>
      </c>
      <c r="K3665" t="s">
        <v>15292</v>
      </c>
      <c r="L3665">
        <v>3.2</v>
      </c>
      <c r="M3665">
        <v>20.45</v>
      </c>
      <c r="N3665">
        <v>1.1599999999999999</v>
      </c>
      <c r="O3665">
        <v>3.25</v>
      </c>
      <c r="P3665">
        <v>20.99</v>
      </c>
      <c r="Q3665">
        <v>-1.62</v>
      </c>
      <c r="R3665">
        <v>20</v>
      </c>
      <c r="S3665">
        <v>20.6</v>
      </c>
      <c r="T3665">
        <v>72184</v>
      </c>
      <c r="U3665">
        <v>20.45</v>
      </c>
      <c r="V3665">
        <v>20.329999999999998</v>
      </c>
      <c r="W3665">
        <v>43.99</v>
      </c>
      <c r="X3665" t="s">
        <v>1817</v>
      </c>
      <c r="Y3665" t="s">
        <v>547</v>
      </c>
      <c r="Z3665">
        <v>4.87</v>
      </c>
      <c r="AA3665">
        <v>20.47</v>
      </c>
      <c r="AB3665">
        <v>38346</v>
      </c>
      <c r="AC3665">
        <v>33838</v>
      </c>
      <c r="AD3665">
        <v>1.1299999999999999</v>
      </c>
      <c r="AE3665">
        <v>404</v>
      </c>
      <c r="AF3665">
        <v>560</v>
      </c>
      <c r="AG3665" t="s">
        <v>120</v>
      </c>
      <c r="AH3665">
        <v>0.05</v>
      </c>
      <c r="AI3665" t="s">
        <v>120</v>
      </c>
      <c r="AJ3665">
        <v>2.2599999999999998</v>
      </c>
      <c r="AK3665" t="s">
        <v>4670</v>
      </c>
      <c r="AL3665">
        <v>1.93</v>
      </c>
      <c r="AM3665">
        <v>2973</v>
      </c>
      <c r="AN3665">
        <v>24</v>
      </c>
      <c r="AO3665">
        <v>1.1000000000000001E-3</v>
      </c>
      <c r="AP3665">
        <v>2</v>
      </c>
      <c r="AQ3665">
        <v>3.36</v>
      </c>
      <c r="AR3665">
        <v>2.66</v>
      </c>
      <c r="AS3665">
        <v>22.9</v>
      </c>
      <c r="AT3665">
        <v>-11.62</v>
      </c>
      <c r="AU3665">
        <v>27.26</v>
      </c>
      <c r="AV3665">
        <v>10</v>
      </c>
      <c r="AW3665">
        <v>8.6999999999999993</v>
      </c>
      <c r="AX3665">
        <v>36.6</v>
      </c>
      <c r="AY3665">
        <v>37.799999999999997</v>
      </c>
      <c r="AZ3665">
        <v>39.39</v>
      </c>
      <c r="BA3665">
        <v>1.29</v>
      </c>
      <c r="BB3665" t="s">
        <v>184</v>
      </c>
      <c r="BF3665">
        <v>0.68</v>
      </c>
      <c r="BG3665">
        <v>-0.73</v>
      </c>
      <c r="BH3665">
        <v>-2.57</v>
      </c>
      <c r="BI3665">
        <v>2.25</v>
      </c>
      <c r="BJ3665">
        <v>20210903</v>
      </c>
      <c r="BK3665">
        <v>20170313</v>
      </c>
      <c r="BL3665">
        <v>2.27</v>
      </c>
      <c r="BM3665" t="s">
        <v>120</v>
      </c>
      <c r="BN3665" t="s">
        <v>120</v>
      </c>
      <c r="BO3665">
        <v>20.81</v>
      </c>
      <c r="BP3665">
        <v>20.440000000000001</v>
      </c>
      <c r="BQ3665">
        <v>18.62</v>
      </c>
      <c r="BR3665">
        <v>0.37</v>
      </c>
      <c r="BS3665">
        <v>8.73</v>
      </c>
      <c r="BT3665">
        <v>14.85</v>
      </c>
      <c r="BU3665">
        <v>0.71</v>
      </c>
      <c r="BV3665">
        <v>0.86</v>
      </c>
      <c r="BW3665">
        <v>1.75</v>
      </c>
      <c r="BX3665">
        <v>9.61</v>
      </c>
      <c r="BY3665">
        <v>2.0299999999999998</v>
      </c>
      <c r="BZ3665">
        <v>1.37</v>
      </c>
      <c r="CA3665" t="s">
        <v>120</v>
      </c>
      <c r="CB3665">
        <v>8.17</v>
      </c>
      <c r="CC3665">
        <v>5.0599999999999996</v>
      </c>
      <c r="CD3665">
        <v>2.36</v>
      </c>
      <c r="CE3665">
        <v>0.48</v>
      </c>
      <c r="CF3665">
        <v>0.1</v>
      </c>
      <c r="CG3665">
        <v>0.5</v>
      </c>
      <c r="CH3665">
        <v>0.5</v>
      </c>
      <c r="CI3665">
        <v>0.53</v>
      </c>
      <c r="CJ3665">
        <v>0.12</v>
      </c>
      <c r="CK3665">
        <v>-0.06</v>
      </c>
      <c r="CL3665">
        <v>7.39</v>
      </c>
      <c r="CM3665">
        <v>-0.86</v>
      </c>
      <c r="CN3665">
        <v>-1.84</v>
      </c>
      <c r="CO3665">
        <v>22351</v>
      </c>
      <c r="CP3665">
        <v>3712</v>
      </c>
      <c r="CQ3665" t="s">
        <v>5188</v>
      </c>
      <c r="CR3665">
        <v>10.3</v>
      </c>
      <c r="CS3665">
        <v>25.23</v>
      </c>
      <c r="CT3665">
        <v>2.4900000000000002</v>
      </c>
      <c r="CU3665">
        <v>-53.59</v>
      </c>
      <c r="CV3665">
        <v>9.17</v>
      </c>
      <c r="CW3665">
        <v>0.44</v>
      </c>
      <c r="CX3665" t="s">
        <v>694</v>
      </c>
      <c r="CY3665">
        <v>8.2200000000000006</v>
      </c>
      <c r="CZ3665">
        <v>0</v>
      </c>
      <c r="DA3665">
        <v>3.6</v>
      </c>
      <c r="DB3665">
        <v>3.26</v>
      </c>
      <c r="DC3665">
        <v>-0.38</v>
      </c>
      <c r="DD3665">
        <v>89.48</v>
      </c>
      <c r="DE3665" t="s">
        <v>2379</v>
      </c>
      <c r="DF3665">
        <v>53.4</v>
      </c>
      <c r="DG3665">
        <v>9.52</v>
      </c>
      <c r="DH3665">
        <v>10.42</v>
      </c>
      <c r="DI3665">
        <v>0.16</v>
      </c>
      <c r="DJ3665">
        <v>1432</v>
      </c>
      <c r="DK3665">
        <v>603630</v>
      </c>
      <c r="DL3665" t="s">
        <v>120</v>
      </c>
      <c r="DM3665" t="s">
        <v>120</v>
      </c>
      <c r="DN3665" t="s">
        <v>120</v>
      </c>
    </row>
    <row r="3666" spans="1:118">
      <c r="A3666" t="str">
        <f>"603633"</f>
        <v>603633</v>
      </c>
      <c r="B3666" t="s">
        <v>15293</v>
      </c>
      <c r="C3666">
        <v>-3.53</v>
      </c>
      <c r="D3666">
        <v>0.18</v>
      </c>
      <c r="E3666">
        <v>0</v>
      </c>
      <c r="F3666">
        <v>414</v>
      </c>
      <c r="G3666" t="s">
        <v>6271</v>
      </c>
      <c r="H3666">
        <v>3756.57</v>
      </c>
      <c r="I3666">
        <v>0.23</v>
      </c>
      <c r="J3666" t="s">
        <v>120</v>
      </c>
      <c r="K3666" t="s">
        <v>13348</v>
      </c>
      <c r="L3666">
        <v>1.25</v>
      </c>
      <c r="M3666">
        <v>11.22</v>
      </c>
      <c r="N3666">
        <v>0.57999999999999996</v>
      </c>
      <c r="O3666">
        <v>1.1200000000000001</v>
      </c>
      <c r="P3666">
        <v>11.76</v>
      </c>
      <c r="Q3666">
        <v>-4.5599999999999996</v>
      </c>
      <c r="R3666">
        <v>11.1</v>
      </c>
      <c r="S3666">
        <v>11.63</v>
      </c>
      <c r="T3666">
        <v>32840</v>
      </c>
      <c r="U3666">
        <v>11.23</v>
      </c>
      <c r="V3666">
        <v>11.63</v>
      </c>
      <c r="W3666">
        <v>53.74</v>
      </c>
      <c r="X3666" t="s">
        <v>229</v>
      </c>
      <c r="Y3666" t="s">
        <v>1510</v>
      </c>
      <c r="Z3666">
        <v>5.67</v>
      </c>
      <c r="AA3666">
        <v>11.44</v>
      </c>
      <c r="AB3666">
        <v>21012</v>
      </c>
      <c r="AC3666">
        <v>11828</v>
      </c>
      <c r="AD3666">
        <v>1.78</v>
      </c>
      <c r="AE3666">
        <v>308</v>
      </c>
      <c r="AF3666">
        <v>47</v>
      </c>
      <c r="AG3666" t="s">
        <v>120</v>
      </c>
      <c r="AH3666">
        <v>0</v>
      </c>
      <c r="AI3666" t="s">
        <v>120</v>
      </c>
      <c r="AJ3666">
        <v>2.64</v>
      </c>
      <c r="AK3666" t="s">
        <v>13348</v>
      </c>
      <c r="AL3666">
        <v>-2.1800000000000002</v>
      </c>
      <c r="AM3666">
        <v>1336</v>
      </c>
      <c r="AN3666">
        <v>25</v>
      </c>
      <c r="AO3666">
        <v>8.9999999999999998E-4</v>
      </c>
      <c r="AP3666">
        <v>-1</v>
      </c>
      <c r="AQ3666">
        <v>0.69</v>
      </c>
      <c r="AR3666">
        <v>-5.4</v>
      </c>
      <c r="AS3666">
        <v>1.97</v>
      </c>
      <c r="AT3666">
        <v>-0.91</v>
      </c>
      <c r="AU3666">
        <v>17.7</v>
      </c>
      <c r="AV3666">
        <v>5</v>
      </c>
      <c r="AW3666">
        <v>2.4500000000000002</v>
      </c>
      <c r="AX3666">
        <v>50.85</v>
      </c>
      <c r="AY3666">
        <v>60.3</v>
      </c>
      <c r="AZ3666">
        <v>71.459999999999994</v>
      </c>
      <c r="BA3666">
        <v>0</v>
      </c>
      <c r="BB3666" t="s">
        <v>143</v>
      </c>
      <c r="BF3666">
        <v>-1.64</v>
      </c>
      <c r="BG3666">
        <v>-3.53</v>
      </c>
      <c r="BH3666">
        <v>-4.59</v>
      </c>
      <c r="BI3666">
        <v>1.08</v>
      </c>
      <c r="BJ3666">
        <v>20210831</v>
      </c>
      <c r="BK3666">
        <v>20161117</v>
      </c>
      <c r="BL3666">
        <v>2.64</v>
      </c>
      <c r="BM3666" t="s">
        <v>120</v>
      </c>
      <c r="BN3666" t="s">
        <v>120</v>
      </c>
      <c r="BO3666">
        <v>18.59</v>
      </c>
      <c r="BP3666">
        <v>11.22</v>
      </c>
      <c r="BQ3666">
        <v>11.23</v>
      </c>
      <c r="BR3666" t="s">
        <v>120</v>
      </c>
      <c r="BS3666">
        <v>39.590000000000003</v>
      </c>
      <c r="BT3666">
        <v>8.6199999999999992</v>
      </c>
      <c r="BU3666">
        <v>6.65</v>
      </c>
      <c r="BV3666">
        <v>0.28000000000000003</v>
      </c>
      <c r="BW3666">
        <v>7.03</v>
      </c>
      <c r="BX3666">
        <v>0.6</v>
      </c>
      <c r="BY3666">
        <v>4.18</v>
      </c>
      <c r="BZ3666">
        <v>3.03</v>
      </c>
      <c r="CA3666" t="s">
        <v>120</v>
      </c>
      <c r="CB3666">
        <v>2.8</v>
      </c>
      <c r="CC3666">
        <v>3.26</v>
      </c>
      <c r="CD3666">
        <v>2.39</v>
      </c>
      <c r="CE3666">
        <v>0.3</v>
      </c>
      <c r="CF3666">
        <v>0</v>
      </c>
      <c r="CG3666">
        <v>0.3</v>
      </c>
      <c r="CH3666">
        <v>0.28000000000000003</v>
      </c>
      <c r="CI3666">
        <v>0.28000000000000003</v>
      </c>
      <c r="CJ3666">
        <v>-0.41</v>
      </c>
      <c r="CK3666">
        <v>0.25</v>
      </c>
      <c r="CL3666">
        <v>4.62</v>
      </c>
      <c r="CM3666">
        <v>0.7</v>
      </c>
      <c r="CN3666">
        <v>-0.23</v>
      </c>
      <c r="CO3666">
        <v>22988</v>
      </c>
      <c r="CP3666">
        <v>5828</v>
      </c>
      <c r="CQ3666" t="s">
        <v>5409</v>
      </c>
      <c r="CR3666">
        <v>40.549999999999997</v>
      </c>
      <c r="CS3666">
        <v>49.89</v>
      </c>
      <c r="CT3666">
        <v>2.63</v>
      </c>
      <c r="CU3666">
        <v>42.14</v>
      </c>
      <c r="CV3666">
        <v>9.08</v>
      </c>
      <c r="CW3666">
        <v>0.83</v>
      </c>
      <c r="CX3666" t="s">
        <v>411</v>
      </c>
      <c r="CY3666">
        <v>4.26</v>
      </c>
      <c r="CZ3666">
        <v>0</v>
      </c>
      <c r="DA3666">
        <v>1.06</v>
      </c>
      <c r="DB3666">
        <v>1.75</v>
      </c>
      <c r="DC3666">
        <v>0.27</v>
      </c>
      <c r="DD3666">
        <v>60.41</v>
      </c>
      <c r="DE3666" t="s">
        <v>2665</v>
      </c>
      <c r="DF3666">
        <v>26.48</v>
      </c>
      <c r="DG3666">
        <v>9.1300000000000008</v>
      </c>
      <c r="DH3666">
        <v>8.4499999999999993</v>
      </c>
      <c r="DI3666">
        <v>0.2</v>
      </c>
      <c r="DJ3666">
        <v>1498</v>
      </c>
      <c r="DK3666">
        <v>603633</v>
      </c>
      <c r="DL3666" t="s">
        <v>120</v>
      </c>
      <c r="DM3666" t="s">
        <v>120</v>
      </c>
      <c r="DN3666" t="s">
        <v>120</v>
      </c>
    </row>
    <row r="3667" spans="1:118">
      <c r="A3667" t="str">
        <f>"603636"</f>
        <v>603636</v>
      </c>
      <c r="B3667" t="s">
        <v>15294</v>
      </c>
      <c r="C3667">
        <v>-0.44</v>
      </c>
      <c r="D3667">
        <v>0.11</v>
      </c>
      <c r="E3667">
        <v>-0.33</v>
      </c>
      <c r="F3667">
        <v>283</v>
      </c>
      <c r="G3667" t="s">
        <v>9332</v>
      </c>
      <c r="H3667">
        <v>3829.9</v>
      </c>
      <c r="I3667">
        <v>27.39</v>
      </c>
      <c r="J3667" t="s">
        <v>120</v>
      </c>
      <c r="K3667" t="s">
        <v>15295</v>
      </c>
      <c r="L3667">
        <v>0.71</v>
      </c>
      <c r="M3667">
        <v>9.06</v>
      </c>
      <c r="N3667">
        <v>0.82</v>
      </c>
      <c r="O3667">
        <v>1.1000000000000001</v>
      </c>
      <c r="P3667">
        <v>9.1999999999999993</v>
      </c>
      <c r="Q3667">
        <v>-0.88</v>
      </c>
      <c r="R3667">
        <v>9.02</v>
      </c>
      <c r="S3667">
        <v>9.07</v>
      </c>
      <c r="T3667">
        <v>41964</v>
      </c>
      <c r="U3667">
        <v>9.06</v>
      </c>
      <c r="V3667">
        <v>9.1</v>
      </c>
      <c r="W3667">
        <v>739.16</v>
      </c>
      <c r="X3667" t="s">
        <v>141</v>
      </c>
      <c r="Y3667" t="s">
        <v>937</v>
      </c>
      <c r="Z3667">
        <v>1.98</v>
      </c>
      <c r="AA3667">
        <v>9.1300000000000008</v>
      </c>
      <c r="AB3667">
        <v>23465</v>
      </c>
      <c r="AC3667">
        <v>18499</v>
      </c>
      <c r="AD3667">
        <v>1.27</v>
      </c>
      <c r="AE3667">
        <v>98</v>
      </c>
      <c r="AF3667">
        <v>141</v>
      </c>
      <c r="AG3667" t="s">
        <v>120</v>
      </c>
      <c r="AH3667">
        <v>0.01</v>
      </c>
      <c r="AI3667" t="s">
        <v>120</v>
      </c>
      <c r="AJ3667">
        <v>5.91</v>
      </c>
      <c r="AK3667" t="s">
        <v>15295</v>
      </c>
      <c r="AL3667">
        <v>0.9</v>
      </c>
      <c r="AM3667">
        <v>1475</v>
      </c>
      <c r="AN3667">
        <v>28</v>
      </c>
      <c r="AO3667">
        <v>5.0000000000000001E-4</v>
      </c>
      <c r="AP3667">
        <v>-3</v>
      </c>
      <c r="AQ3667">
        <v>-0.87</v>
      </c>
      <c r="AR3667">
        <v>-1.41</v>
      </c>
      <c r="AS3667">
        <v>-0.88</v>
      </c>
      <c r="AT3667">
        <v>-6.5</v>
      </c>
      <c r="AU3667">
        <v>-1.31</v>
      </c>
      <c r="AV3667">
        <v>1</v>
      </c>
      <c r="AW3667">
        <v>1.44</v>
      </c>
      <c r="AX3667">
        <v>49.39</v>
      </c>
      <c r="AY3667">
        <v>22.17</v>
      </c>
      <c r="AZ3667">
        <v>22.45</v>
      </c>
      <c r="BA3667">
        <v>0.61</v>
      </c>
      <c r="BB3667" t="s">
        <v>125</v>
      </c>
      <c r="BF3667">
        <v>0.28999999999999998</v>
      </c>
      <c r="BG3667">
        <v>-0.11</v>
      </c>
      <c r="BH3667">
        <v>-1.52</v>
      </c>
      <c r="BI3667">
        <v>0.44</v>
      </c>
      <c r="BJ3667">
        <v>20210826</v>
      </c>
      <c r="BK3667">
        <v>20141230</v>
      </c>
      <c r="BL3667">
        <v>5.91</v>
      </c>
      <c r="BM3667" t="s">
        <v>120</v>
      </c>
      <c r="BN3667" t="s">
        <v>120</v>
      </c>
      <c r="BO3667">
        <v>45.55</v>
      </c>
      <c r="BP3667">
        <v>9.0500000000000007</v>
      </c>
      <c r="BQ3667">
        <v>25.29</v>
      </c>
      <c r="BR3667">
        <v>0.7</v>
      </c>
      <c r="BS3667">
        <v>42.94</v>
      </c>
      <c r="BT3667">
        <v>23.66</v>
      </c>
      <c r="BU3667">
        <v>1.96</v>
      </c>
      <c r="BV3667">
        <v>1.31</v>
      </c>
      <c r="BW3667">
        <v>18.53</v>
      </c>
      <c r="BX3667">
        <v>3.24</v>
      </c>
      <c r="BY3667">
        <v>5.16</v>
      </c>
      <c r="BZ3667">
        <v>8.73</v>
      </c>
      <c r="CA3667" t="s">
        <v>120</v>
      </c>
      <c r="CB3667">
        <v>13.22</v>
      </c>
      <c r="CC3667">
        <v>4.5999999999999996</v>
      </c>
      <c r="CD3667">
        <v>3.03</v>
      </c>
      <c r="CE3667">
        <v>0.02</v>
      </c>
      <c r="CF3667">
        <v>-0.04</v>
      </c>
      <c r="CG3667">
        <v>0.03</v>
      </c>
      <c r="CH3667">
        <v>0.06</v>
      </c>
      <c r="CI3667">
        <v>0.04</v>
      </c>
      <c r="CJ3667">
        <v>-0.04</v>
      </c>
      <c r="CK3667">
        <v>-7.0000000000000007E-2</v>
      </c>
      <c r="CL3667">
        <v>6.34</v>
      </c>
      <c r="CM3667">
        <v>-5.25</v>
      </c>
      <c r="CN3667">
        <v>0.46</v>
      </c>
      <c r="CO3667">
        <v>29421</v>
      </c>
      <c r="CP3667">
        <v>9919</v>
      </c>
      <c r="CQ3667" t="s">
        <v>6951</v>
      </c>
      <c r="CR3667">
        <v>430.4</v>
      </c>
      <c r="CS3667">
        <v>62.03</v>
      </c>
      <c r="CT3667">
        <v>2.12</v>
      </c>
      <c r="CU3667">
        <v>-10.199999999999999</v>
      </c>
      <c r="CV3667">
        <v>11.63</v>
      </c>
      <c r="CW3667">
        <v>1.3</v>
      </c>
      <c r="CX3667" t="s">
        <v>178</v>
      </c>
      <c r="CY3667">
        <v>4.28</v>
      </c>
      <c r="CZ3667">
        <v>0</v>
      </c>
      <c r="DA3667">
        <v>2.2400000000000002</v>
      </c>
      <c r="DB3667">
        <v>1.07</v>
      </c>
      <c r="DC3667">
        <v>-0.89</v>
      </c>
      <c r="DD3667">
        <v>55.52</v>
      </c>
      <c r="DE3667" t="s">
        <v>5537</v>
      </c>
      <c r="DF3667">
        <v>34.22</v>
      </c>
      <c r="DG3667">
        <v>0.43</v>
      </c>
      <c r="DH3667">
        <v>0.79</v>
      </c>
      <c r="DI3667">
        <v>0.35</v>
      </c>
      <c r="DJ3667">
        <v>2703</v>
      </c>
      <c r="DK3667">
        <v>603636</v>
      </c>
      <c r="DL3667" t="s">
        <v>120</v>
      </c>
      <c r="DM3667" t="s">
        <v>120</v>
      </c>
      <c r="DN3667" t="s">
        <v>120</v>
      </c>
    </row>
    <row r="3668" spans="1:118">
      <c r="A3668" t="str">
        <f>"603637"</f>
        <v>603637</v>
      </c>
      <c r="B3668" t="s">
        <v>15296</v>
      </c>
      <c r="C3668">
        <v>0.39</v>
      </c>
      <c r="D3668">
        <v>-0.25</v>
      </c>
      <c r="E3668">
        <v>0.13</v>
      </c>
      <c r="F3668">
        <v>563</v>
      </c>
      <c r="G3668" t="s">
        <v>6874</v>
      </c>
      <c r="H3668">
        <v>4263.68</v>
      </c>
      <c r="I3668">
        <v>2.83</v>
      </c>
      <c r="J3668" t="s">
        <v>120</v>
      </c>
      <c r="K3668" t="s">
        <v>6138</v>
      </c>
      <c r="L3668">
        <v>2.2400000000000002</v>
      </c>
      <c r="M3668">
        <v>7.68</v>
      </c>
      <c r="N3668">
        <v>1.56</v>
      </c>
      <c r="O3668">
        <v>3.92</v>
      </c>
      <c r="P3668">
        <v>7.95</v>
      </c>
      <c r="Q3668">
        <v>-0.52</v>
      </c>
      <c r="R3668">
        <v>7.61</v>
      </c>
      <c r="S3668">
        <v>7.66</v>
      </c>
      <c r="T3668">
        <v>54509</v>
      </c>
      <c r="U3668">
        <v>7.68</v>
      </c>
      <c r="V3668">
        <v>7.65</v>
      </c>
      <c r="W3668">
        <v>27.23</v>
      </c>
      <c r="X3668" t="s">
        <v>175</v>
      </c>
      <c r="Y3668" t="s">
        <v>585</v>
      </c>
      <c r="Z3668">
        <v>4.4400000000000004</v>
      </c>
      <c r="AA3668">
        <v>7.82</v>
      </c>
      <c r="AB3668">
        <v>28528</v>
      </c>
      <c r="AC3668">
        <v>25981</v>
      </c>
      <c r="AD3668">
        <v>1.1000000000000001</v>
      </c>
      <c r="AE3668">
        <v>2</v>
      </c>
      <c r="AF3668">
        <v>45</v>
      </c>
      <c r="AG3668" t="s">
        <v>120</v>
      </c>
      <c r="AH3668">
        <v>0</v>
      </c>
      <c r="AI3668" t="s">
        <v>120</v>
      </c>
      <c r="AJ3668">
        <v>2.44</v>
      </c>
      <c r="AK3668" t="s">
        <v>15297</v>
      </c>
      <c r="AL3668">
        <v>1.74</v>
      </c>
      <c r="AM3668">
        <v>1746</v>
      </c>
      <c r="AN3668">
        <v>31</v>
      </c>
      <c r="AO3668">
        <v>1.2999999999999999E-3</v>
      </c>
      <c r="AP3668">
        <v>2</v>
      </c>
      <c r="AQ3668">
        <v>1.59</v>
      </c>
      <c r="AR3668">
        <v>-0.13</v>
      </c>
      <c r="AS3668">
        <v>0.92</v>
      </c>
      <c r="AT3668">
        <v>6.07</v>
      </c>
      <c r="AU3668">
        <v>-2.17</v>
      </c>
      <c r="AV3668">
        <v>2</v>
      </c>
      <c r="AW3668">
        <v>3.06</v>
      </c>
      <c r="AX3668">
        <v>73.069999999999993</v>
      </c>
      <c r="AY3668">
        <v>24.06</v>
      </c>
      <c r="AZ3668">
        <v>28.63</v>
      </c>
      <c r="BA3668">
        <v>0.43</v>
      </c>
      <c r="BB3668" t="s">
        <v>143</v>
      </c>
      <c r="BF3668">
        <v>2.25</v>
      </c>
      <c r="BG3668">
        <v>0.26</v>
      </c>
      <c r="BH3668">
        <v>-3.4</v>
      </c>
      <c r="BI3668">
        <v>0.92</v>
      </c>
      <c r="BJ3668">
        <v>20210820</v>
      </c>
      <c r="BK3668">
        <v>20170208</v>
      </c>
      <c r="BL3668">
        <v>2.44</v>
      </c>
      <c r="BM3668" t="s">
        <v>120</v>
      </c>
      <c r="BN3668" t="s">
        <v>120</v>
      </c>
      <c r="BO3668">
        <v>13.99</v>
      </c>
      <c r="BP3668">
        <v>7.67</v>
      </c>
      <c r="BQ3668">
        <v>7.72</v>
      </c>
      <c r="BR3668" t="s">
        <v>120</v>
      </c>
      <c r="BS3668">
        <v>44.8</v>
      </c>
      <c r="BT3668">
        <v>13</v>
      </c>
      <c r="BU3668">
        <v>0.53</v>
      </c>
      <c r="BV3668">
        <v>0.27</v>
      </c>
      <c r="BW3668">
        <v>6.19</v>
      </c>
      <c r="BX3668">
        <v>7.63</v>
      </c>
      <c r="BY3668">
        <v>7.0000000000000007E-2</v>
      </c>
      <c r="BZ3668">
        <v>1.36</v>
      </c>
      <c r="CA3668">
        <v>0</v>
      </c>
      <c r="CB3668">
        <v>1.92</v>
      </c>
      <c r="CC3668">
        <v>4.63</v>
      </c>
      <c r="CD3668">
        <v>4.25</v>
      </c>
      <c r="CE3668">
        <v>0.4</v>
      </c>
      <c r="CF3668">
        <v>0.11</v>
      </c>
      <c r="CG3668">
        <v>0.4</v>
      </c>
      <c r="CH3668">
        <v>0.34</v>
      </c>
      <c r="CI3668">
        <v>0.34</v>
      </c>
      <c r="CJ3668">
        <v>0.03</v>
      </c>
      <c r="CK3668">
        <v>0.24</v>
      </c>
      <c r="CL3668">
        <v>2.73</v>
      </c>
      <c r="CM3668">
        <v>1.36</v>
      </c>
      <c r="CN3668">
        <v>1.5</v>
      </c>
      <c r="CO3668">
        <v>10031</v>
      </c>
      <c r="CP3668">
        <v>17751</v>
      </c>
      <c r="CQ3668" t="s">
        <v>15298</v>
      </c>
      <c r="CR3668">
        <v>56.08</v>
      </c>
      <c r="CS3668">
        <v>35.19</v>
      </c>
      <c r="CT3668">
        <v>2.42</v>
      </c>
      <c r="CU3668">
        <v>13.78</v>
      </c>
      <c r="CV3668">
        <v>4.04</v>
      </c>
      <c r="CW3668">
        <v>1.92</v>
      </c>
      <c r="CX3668" t="s">
        <v>300</v>
      </c>
      <c r="CY3668">
        <v>3.17</v>
      </c>
      <c r="CZ3668">
        <v>0</v>
      </c>
      <c r="DA3668">
        <v>0.79</v>
      </c>
      <c r="DB3668">
        <v>1.1200000000000001</v>
      </c>
      <c r="DC3668">
        <v>0.56000000000000005</v>
      </c>
      <c r="DD3668">
        <v>55.2</v>
      </c>
      <c r="DE3668" t="s">
        <v>13330</v>
      </c>
      <c r="DF3668">
        <v>8.3800000000000008</v>
      </c>
      <c r="DG3668">
        <v>8.6300000000000008</v>
      </c>
      <c r="DH3668">
        <v>7.42</v>
      </c>
      <c r="DI3668">
        <v>0.1</v>
      </c>
      <c r="DJ3668">
        <v>346</v>
      </c>
      <c r="DK3668">
        <v>603637</v>
      </c>
      <c r="DL3668" t="s">
        <v>120</v>
      </c>
      <c r="DM3668" t="s">
        <v>120</v>
      </c>
      <c r="DN3668" t="s">
        <v>120</v>
      </c>
    </row>
    <row r="3669" spans="1:118">
      <c r="A3669" t="str">
        <f>"603638"</f>
        <v>603638</v>
      </c>
      <c r="B3669" t="s">
        <v>15299</v>
      </c>
      <c r="C3669">
        <v>-1.62</v>
      </c>
      <c r="D3669">
        <v>-0.78</v>
      </c>
      <c r="E3669">
        <v>0.27</v>
      </c>
      <c r="F3669">
        <v>1211</v>
      </c>
      <c r="G3669" t="s">
        <v>10391</v>
      </c>
      <c r="H3669">
        <v>6904.14</v>
      </c>
      <c r="I3669">
        <v>14.51</v>
      </c>
      <c r="J3669" t="s">
        <v>120</v>
      </c>
      <c r="K3669" t="s">
        <v>15300</v>
      </c>
      <c r="L3669">
        <v>0.24</v>
      </c>
      <c r="M3669">
        <v>36.5</v>
      </c>
      <c r="N3669">
        <v>0.93</v>
      </c>
      <c r="O3669">
        <v>0.54</v>
      </c>
      <c r="P3669">
        <v>37.299999999999997</v>
      </c>
      <c r="Q3669">
        <v>-1.89</v>
      </c>
      <c r="R3669">
        <v>36.4</v>
      </c>
      <c r="S3669">
        <v>37.200000000000003</v>
      </c>
      <c r="T3669">
        <v>18748</v>
      </c>
      <c r="U3669">
        <v>36.79</v>
      </c>
      <c r="V3669">
        <v>37.1</v>
      </c>
      <c r="W3669">
        <v>45.55</v>
      </c>
      <c r="X3669" t="s">
        <v>675</v>
      </c>
      <c r="Y3669" t="s">
        <v>638</v>
      </c>
      <c r="Z3669">
        <v>2.4300000000000002</v>
      </c>
      <c r="AA3669">
        <v>36.83</v>
      </c>
      <c r="AB3669">
        <v>8325</v>
      </c>
      <c r="AC3669">
        <v>10423</v>
      </c>
      <c r="AD3669">
        <v>0.8</v>
      </c>
      <c r="AE3669">
        <v>38</v>
      </c>
      <c r="AF3669">
        <v>3</v>
      </c>
      <c r="AG3669" t="s">
        <v>120</v>
      </c>
      <c r="AH3669">
        <v>0</v>
      </c>
      <c r="AI3669" t="s">
        <v>120</v>
      </c>
      <c r="AJ3669">
        <v>7.83</v>
      </c>
      <c r="AK3669" t="s">
        <v>15301</v>
      </c>
      <c r="AL3669">
        <v>-0.27</v>
      </c>
      <c r="AM3669">
        <v>1738</v>
      </c>
      <c r="AN3669">
        <v>11</v>
      </c>
      <c r="AO3669">
        <v>1E-4</v>
      </c>
      <c r="AP3669">
        <v>-2</v>
      </c>
      <c r="AQ3669">
        <v>-1.85</v>
      </c>
      <c r="AR3669">
        <v>-1.32</v>
      </c>
      <c r="AS3669">
        <v>-14.68</v>
      </c>
      <c r="AT3669">
        <v>-10.99</v>
      </c>
      <c r="AU3669">
        <v>-25.68</v>
      </c>
      <c r="AV3669">
        <v>0</v>
      </c>
      <c r="AW3669">
        <v>0.84</v>
      </c>
      <c r="AX3669">
        <v>26.39</v>
      </c>
      <c r="AY3669">
        <v>55.85</v>
      </c>
      <c r="AZ3669">
        <v>60.5</v>
      </c>
      <c r="BA3669">
        <v>0.78</v>
      </c>
      <c r="BB3669" t="s">
        <v>134</v>
      </c>
      <c r="BF3669">
        <v>-0.74</v>
      </c>
      <c r="BG3669">
        <v>-1.88</v>
      </c>
      <c r="BH3669">
        <v>-2.14</v>
      </c>
      <c r="BI3669">
        <v>0.27</v>
      </c>
      <c r="BJ3669">
        <v>20210831</v>
      </c>
      <c r="BK3669">
        <v>20170120</v>
      </c>
      <c r="BL3669">
        <v>8.42</v>
      </c>
      <c r="BM3669" t="s">
        <v>120</v>
      </c>
      <c r="BN3669" t="s">
        <v>120</v>
      </c>
      <c r="BO3669">
        <v>44.01</v>
      </c>
      <c r="BP3669">
        <v>36.5</v>
      </c>
      <c r="BQ3669">
        <v>26.84</v>
      </c>
      <c r="BR3669" t="s">
        <v>120</v>
      </c>
      <c r="BS3669">
        <v>39.01</v>
      </c>
      <c r="BT3669">
        <v>23.29</v>
      </c>
      <c r="BU3669">
        <v>12.81</v>
      </c>
      <c r="BV3669">
        <v>2.12</v>
      </c>
      <c r="BW3669">
        <v>16.059999999999999</v>
      </c>
      <c r="BX3669">
        <v>3.75</v>
      </c>
      <c r="BY3669">
        <v>7.86</v>
      </c>
      <c r="BZ3669">
        <v>4.91</v>
      </c>
      <c r="CA3669" t="s">
        <v>120</v>
      </c>
      <c r="CB3669">
        <v>4.68</v>
      </c>
      <c r="CC3669">
        <v>16.440000000000001</v>
      </c>
      <c r="CD3669">
        <v>10.46</v>
      </c>
      <c r="CE3669">
        <v>3.86</v>
      </c>
      <c r="CF3669">
        <v>0</v>
      </c>
      <c r="CG3669">
        <v>3.86</v>
      </c>
      <c r="CH3669">
        <v>3.37</v>
      </c>
      <c r="CI3669">
        <v>3.37</v>
      </c>
      <c r="CJ3669">
        <v>-0.6</v>
      </c>
      <c r="CK3669">
        <v>3.33</v>
      </c>
      <c r="CL3669">
        <v>13.36</v>
      </c>
      <c r="CM3669">
        <v>1.52</v>
      </c>
      <c r="CN3669">
        <v>-2.83</v>
      </c>
      <c r="CO3669">
        <v>12870</v>
      </c>
      <c r="CP3669">
        <v>17258</v>
      </c>
      <c r="CQ3669" t="s">
        <v>15302</v>
      </c>
      <c r="CR3669">
        <v>14.61</v>
      </c>
      <c r="CS3669">
        <v>50.25</v>
      </c>
      <c r="CT3669">
        <v>11.44</v>
      </c>
      <c r="CU3669">
        <v>202.46</v>
      </c>
      <c r="CV3669">
        <v>18.68</v>
      </c>
      <c r="CW3669">
        <v>0.35</v>
      </c>
      <c r="CX3669" t="s">
        <v>3527</v>
      </c>
      <c r="CY3669">
        <v>3.19</v>
      </c>
      <c r="CZ3669">
        <v>0</v>
      </c>
      <c r="DA3669">
        <v>0.56000000000000005</v>
      </c>
      <c r="DB3669">
        <v>1.59</v>
      </c>
      <c r="DC3669">
        <v>0.18</v>
      </c>
      <c r="DD3669">
        <v>60.99</v>
      </c>
      <c r="DE3669" t="s">
        <v>15303</v>
      </c>
      <c r="DF3669">
        <v>36.36</v>
      </c>
      <c r="DG3669">
        <v>23.47</v>
      </c>
      <c r="DH3669">
        <v>20.51</v>
      </c>
      <c r="DI3669">
        <v>0.85</v>
      </c>
      <c r="DJ3669">
        <v>2345</v>
      </c>
      <c r="DK3669">
        <v>603638</v>
      </c>
      <c r="DL3669" t="s">
        <v>120</v>
      </c>
      <c r="DM3669" t="s">
        <v>120</v>
      </c>
      <c r="DN3669" t="s">
        <v>120</v>
      </c>
    </row>
    <row r="3670" spans="1:118">
      <c r="A3670" t="str">
        <f>"603639"</f>
        <v>603639</v>
      </c>
      <c r="B3670" t="s">
        <v>15304</v>
      </c>
      <c r="C3670">
        <v>-4.57</v>
      </c>
      <c r="D3670">
        <v>-0.46</v>
      </c>
      <c r="E3670">
        <v>-2.31</v>
      </c>
      <c r="F3670">
        <v>2216</v>
      </c>
      <c r="G3670" t="s">
        <v>2568</v>
      </c>
      <c r="H3670">
        <v>24344.14</v>
      </c>
      <c r="I3670">
        <v>222.7</v>
      </c>
      <c r="J3670" t="s">
        <v>120</v>
      </c>
      <c r="K3670" t="s">
        <v>15305</v>
      </c>
      <c r="L3670">
        <v>3.34</v>
      </c>
      <c r="M3670">
        <v>21.1</v>
      </c>
      <c r="N3670">
        <v>1</v>
      </c>
      <c r="O3670">
        <v>3.98</v>
      </c>
      <c r="P3670">
        <v>22.99</v>
      </c>
      <c r="Q3670">
        <v>-5.7</v>
      </c>
      <c r="R3670">
        <v>20.85</v>
      </c>
      <c r="S3670">
        <v>21.6</v>
      </c>
      <c r="T3670">
        <v>110858</v>
      </c>
      <c r="U3670">
        <v>21.1</v>
      </c>
      <c r="V3670">
        <v>22.11</v>
      </c>
      <c r="W3670">
        <v>15.7</v>
      </c>
      <c r="X3670" t="s">
        <v>690</v>
      </c>
      <c r="Y3670" t="s">
        <v>638</v>
      </c>
      <c r="Z3670">
        <v>9.68</v>
      </c>
      <c r="AA3670">
        <v>21.96</v>
      </c>
      <c r="AB3670">
        <v>57442</v>
      </c>
      <c r="AC3670">
        <v>53416</v>
      </c>
      <c r="AD3670">
        <v>1.08</v>
      </c>
      <c r="AE3670">
        <v>307</v>
      </c>
      <c r="AF3670">
        <v>751</v>
      </c>
      <c r="AG3670" t="s">
        <v>120</v>
      </c>
      <c r="AH3670">
        <v>0.1</v>
      </c>
      <c r="AI3670" t="s">
        <v>120</v>
      </c>
      <c r="AJ3670">
        <v>3.32</v>
      </c>
      <c r="AK3670" t="s">
        <v>15306</v>
      </c>
      <c r="AL3670">
        <v>-3.22</v>
      </c>
      <c r="AM3670">
        <v>3128</v>
      </c>
      <c r="AN3670">
        <v>35</v>
      </c>
      <c r="AO3670">
        <v>1.1000000000000001E-3</v>
      </c>
      <c r="AP3670">
        <v>-1</v>
      </c>
      <c r="AQ3670">
        <v>6.81</v>
      </c>
      <c r="AR3670">
        <v>4.82</v>
      </c>
      <c r="AS3670">
        <v>23.32</v>
      </c>
      <c r="AT3670">
        <v>16.7</v>
      </c>
      <c r="AU3670">
        <v>47.04</v>
      </c>
      <c r="AV3670">
        <v>1</v>
      </c>
      <c r="AW3670">
        <v>10.28</v>
      </c>
      <c r="AX3670">
        <v>31.72</v>
      </c>
      <c r="AY3670">
        <v>19.63</v>
      </c>
      <c r="AZ3670">
        <v>18.489999999999998</v>
      </c>
      <c r="BA3670">
        <v>0.51</v>
      </c>
      <c r="BB3670" t="s">
        <v>184</v>
      </c>
      <c r="BF3670">
        <v>-0.68</v>
      </c>
      <c r="BG3670">
        <v>-2.31</v>
      </c>
      <c r="BH3670">
        <v>-8.2200000000000006</v>
      </c>
      <c r="BI3670">
        <v>1.2</v>
      </c>
      <c r="BJ3670">
        <v>20210901</v>
      </c>
      <c r="BK3670">
        <v>20170112</v>
      </c>
      <c r="BL3670">
        <v>3.4</v>
      </c>
      <c r="BM3670" t="s">
        <v>120</v>
      </c>
      <c r="BN3670" t="s">
        <v>120</v>
      </c>
      <c r="BO3670">
        <v>43.37</v>
      </c>
      <c r="BP3670">
        <v>21.09</v>
      </c>
      <c r="BQ3670">
        <v>27.97</v>
      </c>
      <c r="BR3670" t="s">
        <v>120</v>
      </c>
      <c r="BS3670">
        <v>35.51</v>
      </c>
      <c r="BT3670">
        <v>25.01</v>
      </c>
      <c r="BU3670">
        <v>8.08</v>
      </c>
      <c r="BV3670">
        <v>5.79</v>
      </c>
      <c r="BW3670">
        <v>14.08</v>
      </c>
      <c r="BX3670">
        <v>7.96</v>
      </c>
      <c r="BY3670">
        <v>5.21</v>
      </c>
      <c r="BZ3670">
        <v>7.01</v>
      </c>
      <c r="CA3670" t="s">
        <v>120</v>
      </c>
      <c r="CB3670">
        <v>6.42</v>
      </c>
      <c r="CC3670">
        <v>19.59</v>
      </c>
      <c r="CD3670">
        <v>13.85</v>
      </c>
      <c r="CE3670">
        <v>2.82</v>
      </c>
      <c r="CF3670">
        <v>0.11</v>
      </c>
      <c r="CG3670">
        <v>2.78</v>
      </c>
      <c r="CH3670">
        <v>2.2799999999999998</v>
      </c>
      <c r="CI3670">
        <v>2.2799999999999998</v>
      </c>
      <c r="CJ3670">
        <v>-1.01</v>
      </c>
      <c r="CK3670">
        <v>2.16</v>
      </c>
      <c r="CL3670">
        <v>17.420000000000002</v>
      </c>
      <c r="CM3670">
        <v>0.82</v>
      </c>
      <c r="CN3670">
        <v>1.1000000000000001</v>
      </c>
      <c r="CO3670">
        <v>11546</v>
      </c>
      <c r="CP3670">
        <v>9341</v>
      </c>
      <c r="CQ3670" t="s">
        <v>15307</v>
      </c>
      <c r="CR3670">
        <v>-9.3800000000000008</v>
      </c>
      <c r="CS3670">
        <v>2.76</v>
      </c>
      <c r="CT3670">
        <v>2.56</v>
      </c>
      <c r="CU3670">
        <v>87.14</v>
      </c>
      <c r="CV3670">
        <v>3.66</v>
      </c>
      <c r="CW3670">
        <v>0.97</v>
      </c>
      <c r="CX3670" t="s">
        <v>527</v>
      </c>
      <c r="CY3670">
        <v>8.23</v>
      </c>
      <c r="CZ3670">
        <v>0</v>
      </c>
      <c r="DA3670">
        <v>1.89</v>
      </c>
      <c r="DB3670">
        <v>5.12</v>
      </c>
      <c r="DC3670">
        <v>0.24</v>
      </c>
      <c r="DD3670">
        <v>64.489999999999995</v>
      </c>
      <c r="DE3670" t="s">
        <v>264</v>
      </c>
      <c r="DF3670">
        <v>29.32</v>
      </c>
      <c r="DG3670">
        <v>14.37</v>
      </c>
      <c r="DH3670">
        <v>11.66</v>
      </c>
      <c r="DI3670">
        <v>0.78</v>
      </c>
      <c r="DJ3670">
        <v>2511</v>
      </c>
      <c r="DK3670">
        <v>603639</v>
      </c>
      <c r="DL3670" t="s">
        <v>120</v>
      </c>
      <c r="DM3670" t="s">
        <v>120</v>
      </c>
      <c r="DN3670" t="s">
        <v>120</v>
      </c>
    </row>
    <row r="3671" spans="1:118">
      <c r="A3671" t="str">
        <f>"603648"</f>
        <v>603648</v>
      </c>
      <c r="B3671" t="s">
        <v>15308</v>
      </c>
      <c r="C3671">
        <v>-0.73</v>
      </c>
      <c r="D3671">
        <v>-0.11</v>
      </c>
      <c r="E3671">
        <v>0.36</v>
      </c>
      <c r="F3671">
        <v>95</v>
      </c>
      <c r="G3671" t="s">
        <v>15309</v>
      </c>
      <c r="H3671">
        <v>1706.07</v>
      </c>
      <c r="I3671">
        <v>10.56</v>
      </c>
      <c r="J3671" t="s">
        <v>120</v>
      </c>
      <c r="K3671" t="s">
        <v>8476</v>
      </c>
      <c r="L3671">
        <v>0.56000000000000005</v>
      </c>
      <c r="M3671">
        <v>8.16</v>
      </c>
      <c r="N3671">
        <v>1.1100000000000001</v>
      </c>
      <c r="O3671">
        <v>1.7</v>
      </c>
      <c r="P3671">
        <v>8.36</v>
      </c>
      <c r="Q3671">
        <v>-0.73</v>
      </c>
      <c r="R3671">
        <v>8.16</v>
      </c>
      <c r="S3671">
        <v>8.25</v>
      </c>
      <c r="T3671">
        <v>20599</v>
      </c>
      <c r="U3671">
        <v>8.17</v>
      </c>
      <c r="V3671">
        <v>8.2200000000000006</v>
      </c>
      <c r="W3671">
        <v>20.02</v>
      </c>
      <c r="X3671" t="s">
        <v>2775</v>
      </c>
      <c r="Y3671" t="s">
        <v>1510</v>
      </c>
      <c r="Z3671">
        <v>2.4300000000000002</v>
      </c>
      <c r="AA3671">
        <v>8.2799999999999994</v>
      </c>
      <c r="AB3671">
        <v>9716</v>
      </c>
      <c r="AC3671">
        <v>10883</v>
      </c>
      <c r="AD3671">
        <v>0.89</v>
      </c>
      <c r="AE3671">
        <v>306</v>
      </c>
      <c r="AF3671">
        <v>30</v>
      </c>
      <c r="AG3671" t="s">
        <v>120</v>
      </c>
      <c r="AH3671">
        <v>0.01</v>
      </c>
      <c r="AI3671" t="s">
        <v>120</v>
      </c>
      <c r="AJ3671">
        <v>3.69</v>
      </c>
      <c r="AK3671" t="s">
        <v>8476</v>
      </c>
      <c r="AL3671">
        <v>0.61</v>
      </c>
      <c r="AM3671">
        <v>811</v>
      </c>
      <c r="AN3671">
        <v>25</v>
      </c>
      <c r="AO3671">
        <v>6.9999999999999999E-4</v>
      </c>
      <c r="AP3671">
        <v>-1</v>
      </c>
      <c r="AQ3671">
        <v>0.74</v>
      </c>
      <c r="AR3671">
        <v>-2.04</v>
      </c>
      <c r="AS3671">
        <v>4.4800000000000004</v>
      </c>
      <c r="AT3671">
        <v>0</v>
      </c>
      <c r="AU3671">
        <v>-1.8</v>
      </c>
      <c r="AV3671">
        <v>1</v>
      </c>
      <c r="AW3671">
        <v>1.0900000000000001</v>
      </c>
      <c r="AX3671">
        <v>51.34</v>
      </c>
      <c r="AY3671">
        <v>23.55</v>
      </c>
      <c r="AZ3671">
        <v>27.24</v>
      </c>
      <c r="BA3671">
        <v>0.76</v>
      </c>
      <c r="BB3671" t="s">
        <v>143</v>
      </c>
      <c r="BF3671">
        <v>0.76</v>
      </c>
      <c r="BG3671">
        <v>-1.0900000000000001</v>
      </c>
      <c r="BH3671">
        <v>-2.39</v>
      </c>
      <c r="BI3671">
        <v>0</v>
      </c>
      <c r="BJ3671">
        <v>20210830</v>
      </c>
      <c r="BK3671">
        <v>20170913</v>
      </c>
      <c r="BL3671">
        <v>3.69</v>
      </c>
      <c r="BM3671" t="s">
        <v>120</v>
      </c>
      <c r="BN3671" t="s">
        <v>120</v>
      </c>
      <c r="BO3671">
        <v>22.7</v>
      </c>
      <c r="BP3671">
        <v>8.16</v>
      </c>
      <c r="BQ3671">
        <v>17.5</v>
      </c>
      <c r="BR3671">
        <v>0.1</v>
      </c>
      <c r="BS3671">
        <v>22.49</v>
      </c>
      <c r="BT3671">
        <v>11.38</v>
      </c>
      <c r="BU3671">
        <v>6.44</v>
      </c>
      <c r="BV3671">
        <v>1.52</v>
      </c>
      <c r="BW3671">
        <v>3.07</v>
      </c>
      <c r="BX3671">
        <v>1.68</v>
      </c>
      <c r="BY3671">
        <v>0.33</v>
      </c>
      <c r="BZ3671">
        <v>2.27</v>
      </c>
      <c r="CA3671" t="s">
        <v>120</v>
      </c>
      <c r="CB3671">
        <v>9.06</v>
      </c>
      <c r="CC3671">
        <v>8.02</v>
      </c>
      <c r="CD3671">
        <v>6.39</v>
      </c>
      <c r="CE3671">
        <v>0.96</v>
      </c>
      <c r="CF3671">
        <v>0.09</v>
      </c>
      <c r="CG3671">
        <v>0.96</v>
      </c>
      <c r="CH3671">
        <v>0.77</v>
      </c>
      <c r="CI3671">
        <v>0.75</v>
      </c>
      <c r="CJ3671">
        <v>-0.06</v>
      </c>
      <c r="CK3671">
        <v>0.74</v>
      </c>
      <c r="CL3671">
        <v>3.8</v>
      </c>
      <c r="CM3671">
        <v>0.36</v>
      </c>
      <c r="CN3671">
        <v>-0.74</v>
      </c>
      <c r="CO3671">
        <v>22048</v>
      </c>
      <c r="CP3671">
        <v>8585</v>
      </c>
      <c r="CQ3671" t="s">
        <v>8990</v>
      </c>
      <c r="CR3671">
        <v>30.26</v>
      </c>
      <c r="CS3671">
        <v>-0.89</v>
      </c>
      <c r="CT3671">
        <v>1.72</v>
      </c>
      <c r="CU3671">
        <v>82.74</v>
      </c>
      <c r="CV3671">
        <v>3.75</v>
      </c>
      <c r="CW3671">
        <v>2.19</v>
      </c>
      <c r="CX3671" t="s">
        <v>573</v>
      </c>
      <c r="CY3671">
        <v>4.75</v>
      </c>
      <c r="CZ3671">
        <v>0</v>
      </c>
      <c r="DA3671">
        <v>2.46</v>
      </c>
      <c r="DB3671">
        <v>1.03</v>
      </c>
      <c r="DC3671">
        <v>0.1</v>
      </c>
      <c r="DD3671">
        <v>77.09</v>
      </c>
      <c r="DE3671" t="s">
        <v>967</v>
      </c>
      <c r="DF3671">
        <v>20.25</v>
      </c>
      <c r="DG3671">
        <v>11.95</v>
      </c>
      <c r="DH3671">
        <v>9.3699999999999992</v>
      </c>
      <c r="DI3671">
        <v>0.15</v>
      </c>
      <c r="DJ3671">
        <v>1580</v>
      </c>
      <c r="DK3671">
        <v>603648</v>
      </c>
      <c r="DL3671" t="s">
        <v>120</v>
      </c>
      <c r="DM3671" t="s">
        <v>120</v>
      </c>
      <c r="DN3671" t="s">
        <v>120</v>
      </c>
    </row>
    <row r="3672" spans="1:118">
      <c r="A3672" t="str">
        <f>"603650"</f>
        <v>603650</v>
      </c>
      <c r="B3672" t="s">
        <v>15310</v>
      </c>
      <c r="C3672">
        <v>-8.39</v>
      </c>
      <c r="D3672">
        <v>0.04</v>
      </c>
      <c r="E3672">
        <v>0.37</v>
      </c>
      <c r="F3672">
        <v>438</v>
      </c>
      <c r="G3672" t="s">
        <v>14775</v>
      </c>
      <c r="H3672">
        <v>48304.35</v>
      </c>
      <c r="I3672">
        <v>151.6</v>
      </c>
      <c r="J3672" t="s">
        <v>120</v>
      </c>
      <c r="K3672" t="s">
        <v>15311</v>
      </c>
      <c r="L3672">
        <v>1.43</v>
      </c>
      <c r="M3672">
        <v>54.05</v>
      </c>
      <c r="N3672">
        <v>0.98</v>
      </c>
      <c r="O3672">
        <v>3.46</v>
      </c>
      <c r="P3672">
        <v>61.04</v>
      </c>
      <c r="Q3672">
        <v>-8.9499999999999993</v>
      </c>
      <c r="R3672">
        <v>53.72</v>
      </c>
      <c r="S3672">
        <v>59.22</v>
      </c>
      <c r="T3672">
        <v>84537</v>
      </c>
      <c r="U3672">
        <v>54.09</v>
      </c>
      <c r="V3672">
        <v>59</v>
      </c>
      <c r="W3672">
        <v>67.64</v>
      </c>
      <c r="X3672" t="s">
        <v>868</v>
      </c>
      <c r="Y3672" t="s">
        <v>1510</v>
      </c>
      <c r="Z3672">
        <v>12.41</v>
      </c>
      <c r="AA3672">
        <v>57.14</v>
      </c>
      <c r="AB3672">
        <v>48687</v>
      </c>
      <c r="AC3672">
        <v>35850</v>
      </c>
      <c r="AD3672">
        <v>1.36</v>
      </c>
      <c r="AE3672">
        <v>93</v>
      </c>
      <c r="AF3672">
        <v>10</v>
      </c>
      <c r="AG3672" t="s">
        <v>120</v>
      </c>
      <c r="AH3672">
        <v>0.02</v>
      </c>
      <c r="AI3672" t="s">
        <v>120</v>
      </c>
      <c r="AJ3672">
        <v>5.93</v>
      </c>
      <c r="AK3672" t="s">
        <v>15311</v>
      </c>
      <c r="AL3672">
        <v>-7.05</v>
      </c>
      <c r="AM3672">
        <v>4038</v>
      </c>
      <c r="AN3672">
        <v>21</v>
      </c>
      <c r="AO3672">
        <v>4.0000000000000002E-4</v>
      </c>
      <c r="AP3672">
        <v>-1</v>
      </c>
      <c r="AQ3672">
        <v>2.08</v>
      </c>
      <c r="AR3672">
        <v>-3.75</v>
      </c>
      <c r="AS3672">
        <v>-4.05</v>
      </c>
      <c r="AT3672">
        <v>14.95</v>
      </c>
      <c r="AU3672">
        <v>76.290000000000006</v>
      </c>
      <c r="AV3672">
        <v>10</v>
      </c>
      <c r="AW3672">
        <v>6.1</v>
      </c>
      <c r="AX3672">
        <v>23.37</v>
      </c>
      <c r="AY3672">
        <v>74.86</v>
      </c>
      <c r="AZ3672">
        <v>85.27</v>
      </c>
      <c r="BA3672">
        <v>0.63</v>
      </c>
      <c r="BB3672" t="s">
        <v>751</v>
      </c>
      <c r="BF3672">
        <v>-3.15</v>
      </c>
      <c r="BG3672">
        <v>-8.73</v>
      </c>
      <c r="BH3672">
        <v>-11.45</v>
      </c>
      <c r="BI3672">
        <v>0.61</v>
      </c>
      <c r="BJ3672">
        <v>20210821</v>
      </c>
      <c r="BK3672">
        <v>20180627</v>
      </c>
      <c r="BL3672">
        <v>5.93</v>
      </c>
      <c r="BM3672" t="s">
        <v>120</v>
      </c>
      <c r="BN3672" t="s">
        <v>120</v>
      </c>
      <c r="BO3672">
        <v>55.06</v>
      </c>
      <c r="BP3672">
        <v>54.05</v>
      </c>
      <c r="BQ3672">
        <v>24.74</v>
      </c>
      <c r="BR3672">
        <v>0.74</v>
      </c>
      <c r="BS3672">
        <v>53.72</v>
      </c>
      <c r="BT3672">
        <v>23.59</v>
      </c>
      <c r="BU3672">
        <v>4.96</v>
      </c>
      <c r="BV3672">
        <v>3.29</v>
      </c>
      <c r="BW3672">
        <v>18.29</v>
      </c>
      <c r="BX3672">
        <v>10.09</v>
      </c>
      <c r="BY3672">
        <v>2.66</v>
      </c>
      <c r="BZ3672">
        <v>5.93</v>
      </c>
      <c r="CA3672" t="s">
        <v>120</v>
      </c>
      <c r="CB3672">
        <v>6.22</v>
      </c>
      <c r="CC3672">
        <v>11.72</v>
      </c>
      <c r="CD3672">
        <v>8.0399999999999991</v>
      </c>
      <c r="CE3672">
        <v>2.72</v>
      </c>
      <c r="CF3672">
        <v>1.18</v>
      </c>
      <c r="CG3672">
        <v>2.72</v>
      </c>
      <c r="CH3672">
        <v>2.3199999999999998</v>
      </c>
      <c r="CI3672">
        <v>2.37</v>
      </c>
      <c r="CJ3672">
        <v>-4.95</v>
      </c>
      <c r="CK3672">
        <v>1.87</v>
      </c>
      <c r="CL3672">
        <v>11.15</v>
      </c>
      <c r="CM3672">
        <v>1.17</v>
      </c>
      <c r="CN3672">
        <v>3.72</v>
      </c>
      <c r="CO3672">
        <v>19814</v>
      </c>
      <c r="CP3672">
        <v>6998</v>
      </c>
      <c r="CQ3672" t="s">
        <v>15312</v>
      </c>
      <c r="CR3672">
        <v>31.72</v>
      </c>
      <c r="CS3672">
        <v>24.3</v>
      </c>
      <c r="CT3672">
        <v>13.29</v>
      </c>
      <c r="CU3672">
        <v>274.83</v>
      </c>
      <c r="CV3672">
        <v>27.36</v>
      </c>
      <c r="CW3672">
        <v>0.56999999999999995</v>
      </c>
      <c r="CX3672" t="s">
        <v>3527</v>
      </c>
      <c r="CY3672">
        <v>4.07</v>
      </c>
      <c r="CZ3672">
        <v>4.07</v>
      </c>
      <c r="DA3672">
        <v>1.05</v>
      </c>
      <c r="DB3672">
        <v>1.88</v>
      </c>
      <c r="DC3672">
        <v>0.2</v>
      </c>
      <c r="DD3672">
        <v>44.94</v>
      </c>
      <c r="DE3672" t="s">
        <v>3916</v>
      </c>
      <c r="DF3672">
        <v>31.35</v>
      </c>
      <c r="DG3672">
        <v>23.2</v>
      </c>
      <c r="DH3672">
        <v>20.22</v>
      </c>
      <c r="DI3672">
        <v>0.59</v>
      </c>
      <c r="DJ3672">
        <v>609</v>
      </c>
      <c r="DK3672">
        <v>603650</v>
      </c>
      <c r="DL3672">
        <v>20210910</v>
      </c>
      <c r="DM3672">
        <v>58</v>
      </c>
      <c r="DN3672">
        <v>-6.81</v>
      </c>
    </row>
    <row r="3673" spans="1:118">
      <c r="A3673" t="str">
        <f>"603655"</f>
        <v>603655</v>
      </c>
      <c r="B3673" t="s">
        <v>15313</v>
      </c>
      <c r="C3673">
        <v>1.7</v>
      </c>
      <c r="D3673">
        <v>0</v>
      </c>
      <c r="E3673">
        <v>-0.23</v>
      </c>
      <c r="F3673">
        <v>155</v>
      </c>
      <c r="G3673" t="s">
        <v>15314</v>
      </c>
      <c r="H3673">
        <v>4312.68</v>
      </c>
      <c r="I3673">
        <v>0.53</v>
      </c>
      <c r="J3673" t="s">
        <v>120</v>
      </c>
      <c r="K3673" t="s">
        <v>7982</v>
      </c>
      <c r="L3673">
        <v>1.5</v>
      </c>
      <c r="M3673">
        <v>26.95</v>
      </c>
      <c r="N3673">
        <v>0.82</v>
      </c>
      <c r="O3673">
        <v>4.57</v>
      </c>
      <c r="P3673">
        <v>27.71</v>
      </c>
      <c r="Q3673">
        <v>-0.23</v>
      </c>
      <c r="R3673">
        <v>26.44</v>
      </c>
      <c r="S3673">
        <v>26.44</v>
      </c>
      <c r="T3673">
        <v>15912</v>
      </c>
      <c r="U3673">
        <v>26.95</v>
      </c>
      <c r="V3673">
        <v>26.5</v>
      </c>
      <c r="W3673">
        <v>102.3</v>
      </c>
      <c r="X3673" t="s">
        <v>289</v>
      </c>
      <c r="Y3673" t="s">
        <v>319</v>
      </c>
      <c r="Z3673">
        <v>4.79</v>
      </c>
      <c r="AA3673">
        <v>27.1</v>
      </c>
      <c r="AB3673">
        <v>8094</v>
      </c>
      <c r="AC3673">
        <v>7818</v>
      </c>
      <c r="AD3673">
        <v>1.04</v>
      </c>
      <c r="AE3673">
        <v>10</v>
      </c>
      <c r="AF3673">
        <v>51</v>
      </c>
      <c r="AG3673" t="s">
        <v>120</v>
      </c>
      <c r="AH3673">
        <v>0</v>
      </c>
      <c r="AI3673" t="s">
        <v>120</v>
      </c>
      <c r="AJ3673">
        <v>1.06</v>
      </c>
      <c r="AK3673" t="s">
        <v>7982</v>
      </c>
      <c r="AL3673">
        <v>3.04</v>
      </c>
      <c r="AM3673">
        <v>1579</v>
      </c>
      <c r="AN3673">
        <v>10</v>
      </c>
      <c r="AO3673">
        <v>1E-3</v>
      </c>
      <c r="AP3673">
        <v>1</v>
      </c>
      <c r="AQ3673">
        <v>-1.85</v>
      </c>
      <c r="AR3673">
        <v>-2</v>
      </c>
      <c r="AS3673">
        <v>7.59</v>
      </c>
      <c r="AT3673">
        <v>30.13</v>
      </c>
      <c r="AU3673">
        <v>25.59</v>
      </c>
      <c r="AV3673">
        <v>14</v>
      </c>
      <c r="AW3673">
        <v>4.6399999999999997</v>
      </c>
      <c r="AX3673">
        <v>32.36</v>
      </c>
      <c r="AY3673">
        <v>100.28</v>
      </c>
      <c r="AZ3673">
        <v>124.66</v>
      </c>
      <c r="BA3673">
        <v>0</v>
      </c>
      <c r="BB3673" t="s">
        <v>125</v>
      </c>
      <c r="BF3673">
        <v>2.2799999999999998</v>
      </c>
      <c r="BG3673">
        <v>1.93</v>
      </c>
      <c r="BH3673">
        <v>-2.74</v>
      </c>
      <c r="BI3673">
        <v>1.93</v>
      </c>
      <c r="BJ3673">
        <v>20210830</v>
      </c>
      <c r="BK3673">
        <v>20171229</v>
      </c>
      <c r="BL3673">
        <v>1.06</v>
      </c>
      <c r="BM3673" t="s">
        <v>120</v>
      </c>
      <c r="BN3673" t="s">
        <v>120</v>
      </c>
      <c r="BO3673">
        <v>5.52</v>
      </c>
      <c r="BP3673">
        <v>26.93</v>
      </c>
      <c r="BQ3673">
        <v>5.22</v>
      </c>
      <c r="BR3673" t="s">
        <v>120</v>
      </c>
      <c r="BS3673">
        <v>5.36</v>
      </c>
      <c r="BT3673">
        <v>3.89</v>
      </c>
      <c r="BU3673">
        <v>1.35</v>
      </c>
      <c r="BV3673">
        <v>0.18</v>
      </c>
      <c r="BW3673">
        <v>0.25</v>
      </c>
      <c r="BX3673">
        <v>1.35</v>
      </c>
      <c r="BY3673">
        <v>0.23</v>
      </c>
      <c r="BZ3673">
        <v>0.88</v>
      </c>
      <c r="CA3673" t="s">
        <v>120</v>
      </c>
      <c r="CB3673">
        <v>2.84</v>
      </c>
      <c r="CC3673">
        <v>0.94</v>
      </c>
      <c r="CD3673">
        <v>0.54</v>
      </c>
      <c r="CE3673">
        <v>0.16</v>
      </c>
      <c r="CF3673">
        <v>0</v>
      </c>
      <c r="CG3673">
        <v>0.16</v>
      </c>
      <c r="CH3673">
        <v>0.14000000000000001</v>
      </c>
      <c r="CI3673">
        <v>0.14000000000000001</v>
      </c>
      <c r="CJ3673">
        <v>0.45</v>
      </c>
      <c r="CK3673">
        <v>0.13</v>
      </c>
      <c r="CL3673">
        <v>1.17</v>
      </c>
      <c r="CM3673">
        <v>0.17</v>
      </c>
      <c r="CN3673">
        <v>0.13</v>
      </c>
      <c r="CO3673">
        <v>16212</v>
      </c>
      <c r="CP3673">
        <v>2116</v>
      </c>
      <c r="CQ3673" t="s">
        <v>5224</v>
      </c>
      <c r="CR3673">
        <v>64.58</v>
      </c>
      <c r="CS3673">
        <v>35.06</v>
      </c>
      <c r="CT3673">
        <v>5.47</v>
      </c>
      <c r="CU3673">
        <v>166.44</v>
      </c>
      <c r="CV3673">
        <v>30.34</v>
      </c>
      <c r="CW3673">
        <v>0.38</v>
      </c>
      <c r="CX3673" t="s">
        <v>986</v>
      </c>
      <c r="CY3673">
        <v>4.93</v>
      </c>
      <c r="CZ3673">
        <v>0</v>
      </c>
      <c r="DA3673">
        <v>2.68</v>
      </c>
      <c r="DB3673">
        <v>1.1100000000000001</v>
      </c>
      <c r="DC3673">
        <v>0.16</v>
      </c>
      <c r="DD3673">
        <v>94.64</v>
      </c>
      <c r="DE3673" t="s">
        <v>1846</v>
      </c>
      <c r="DF3673">
        <v>42.5</v>
      </c>
      <c r="DG3673">
        <v>17.48</v>
      </c>
      <c r="DH3673">
        <v>14.83</v>
      </c>
      <c r="DI3673">
        <v>0.04</v>
      </c>
      <c r="DJ3673">
        <v>489</v>
      </c>
      <c r="DK3673">
        <v>603655</v>
      </c>
      <c r="DL3673" t="s">
        <v>120</v>
      </c>
      <c r="DM3673" t="s">
        <v>120</v>
      </c>
      <c r="DN3673" t="s">
        <v>120</v>
      </c>
    </row>
    <row r="3674" spans="1:118">
      <c r="A3674" t="str">
        <f>"603656"</f>
        <v>603656</v>
      </c>
      <c r="B3674" t="s">
        <v>15315</v>
      </c>
      <c r="C3674">
        <v>-1.62</v>
      </c>
      <c r="D3674">
        <v>0.15</v>
      </c>
      <c r="E3674">
        <v>-7.0000000000000007E-2</v>
      </c>
      <c r="F3674">
        <v>481</v>
      </c>
      <c r="G3674" t="s">
        <v>10773</v>
      </c>
      <c r="H3674">
        <v>1925.84</v>
      </c>
      <c r="I3674">
        <v>7.08</v>
      </c>
      <c r="J3674" t="s">
        <v>120</v>
      </c>
      <c r="K3674" t="s">
        <v>4497</v>
      </c>
      <c r="L3674">
        <v>0.95</v>
      </c>
      <c r="M3674">
        <v>13.4</v>
      </c>
      <c r="N3674">
        <v>0.6</v>
      </c>
      <c r="O3674">
        <v>0.59</v>
      </c>
      <c r="P3674">
        <v>13.7</v>
      </c>
      <c r="Q3674">
        <v>-2.42</v>
      </c>
      <c r="R3674">
        <v>13.29</v>
      </c>
      <c r="S3674">
        <v>13.61</v>
      </c>
      <c r="T3674">
        <v>14327</v>
      </c>
      <c r="U3674">
        <v>13.41</v>
      </c>
      <c r="V3674">
        <v>13.62</v>
      </c>
      <c r="W3674">
        <v>847.06</v>
      </c>
      <c r="X3674" t="s">
        <v>675</v>
      </c>
      <c r="Y3674" t="s">
        <v>570</v>
      </c>
      <c r="Z3674">
        <v>3.01</v>
      </c>
      <c r="AA3674">
        <v>13.44</v>
      </c>
      <c r="AB3674">
        <v>8710</v>
      </c>
      <c r="AC3674">
        <v>5617</v>
      </c>
      <c r="AD3674">
        <v>1.55</v>
      </c>
      <c r="AE3674">
        <v>19</v>
      </c>
      <c r="AF3674">
        <v>100</v>
      </c>
      <c r="AG3674" t="s">
        <v>120</v>
      </c>
      <c r="AH3674">
        <v>0.01</v>
      </c>
      <c r="AI3674" t="s">
        <v>120</v>
      </c>
      <c r="AJ3674">
        <v>1.5</v>
      </c>
      <c r="AK3674" t="s">
        <v>15316</v>
      </c>
      <c r="AL3674">
        <v>-0.27</v>
      </c>
      <c r="AM3674">
        <v>793</v>
      </c>
      <c r="AN3674">
        <v>18</v>
      </c>
      <c r="AO3674">
        <v>1.1999999999999999E-3</v>
      </c>
      <c r="AP3674">
        <v>-1</v>
      </c>
      <c r="AQ3674">
        <v>0.22</v>
      </c>
      <c r="AR3674">
        <v>-2.34</v>
      </c>
      <c r="AS3674">
        <v>4.9400000000000004</v>
      </c>
      <c r="AT3674">
        <v>-7.9</v>
      </c>
      <c r="AU3674">
        <v>-8.09</v>
      </c>
      <c r="AV3674">
        <v>1</v>
      </c>
      <c r="AW3674">
        <v>2.11</v>
      </c>
      <c r="AX3674">
        <v>44.09</v>
      </c>
      <c r="AY3674">
        <v>78.88</v>
      </c>
      <c r="AZ3674">
        <v>48.25</v>
      </c>
      <c r="BA3674">
        <v>0.89</v>
      </c>
      <c r="BB3674" t="s">
        <v>143</v>
      </c>
      <c r="BF3674">
        <v>-1.31</v>
      </c>
      <c r="BG3674">
        <v>-1.54</v>
      </c>
      <c r="BH3674">
        <v>-2.19</v>
      </c>
      <c r="BI3674">
        <v>0.83</v>
      </c>
      <c r="BJ3674">
        <v>20210831</v>
      </c>
      <c r="BK3674">
        <v>20170321</v>
      </c>
      <c r="BL3674">
        <v>1.54</v>
      </c>
      <c r="BM3674" t="s">
        <v>120</v>
      </c>
      <c r="BN3674" t="s">
        <v>120</v>
      </c>
      <c r="BO3674">
        <v>12.01</v>
      </c>
      <c r="BP3674">
        <v>13.4</v>
      </c>
      <c r="BQ3674">
        <v>9.5500000000000007</v>
      </c>
      <c r="BR3674">
        <v>0.02</v>
      </c>
      <c r="BS3674">
        <v>20.329999999999998</v>
      </c>
      <c r="BT3674">
        <v>7.7</v>
      </c>
      <c r="BU3674">
        <v>2.19</v>
      </c>
      <c r="BV3674">
        <v>1.1399999999999999</v>
      </c>
      <c r="BW3674">
        <v>1.78</v>
      </c>
      <c r="BX3674">
        <v>1.43</v>
      </c>
      <c r="BY3674">
        <v>1.88</v>
      </c>
      <c r="BZ3674">
        <v>1.36</v>
      </c>
      <c r="CA3674">
        <v>0</v>
      </c>
      <c r="CB3674">
        <v>3.74</v>
      </c>
      <c r="CC3674">
        <v>2.1800000000000002</v>
      </c>
      <c r="CD3674">
        <v>1.19</v>
      </c>
      <c r="CE3674">
        <v>-0.05</v>
      </c>
      <c r="CF3674">
        <v>0.04</v>
      </c>
      <c r="CG3674">
        <v>-0.01</v>
      </c>
      <c r="CH3674">
        <v>0</v>
      </c>
      <c r="CI3674">
        <v>0.01</v>
      </c>
      <c r="CJ3674">
        <v>-0.22</v>
      </c>
      <c r="CK3674">
        <v>-0.08</v>
      </c>
      <c r="CL3674">
        <v>4.05</v>
      </c>
      <c r="CM3674">
        <v>-0.32</v>
      </c>
      <c r="CN3674">
        <v>-0.31</v>
      </c>
      <c r="CO3674">
        <v>8096</v>
      </c>
      <c r="CP3674">
        <v>8376</v>
      </c>
      <c r="CQ3674" t="s">
        <v>3467</v>
      </c>
      <c r="CR3674">
        <v>-93.27</v>
      </c>
      <c r="CS3674">
        <v>19.579999999999998</v>
      </c>
      <c r="CT3674">
        <v>2.16</v>
      </c>
      <c r="CU3674">
        <v>-64.53</v>
      </c>
      <c r="CV3674">
        <v>9.4600000000000009</v>
      </c>
      <c r="CW3674">
        <v>0.73</v>
      </c>
      <c r="CX3674" t="s">
        <v>2587</v>
      </c>
      <c r="CY3674">
        <v>6.21</v>
      </c>
      <c r="CZ3674">
        <v>0</v>
      </c>
      <c r="DA3674">
        <v>2.4300000000000002</v>
      </c>
      <c r="DB3674">
        <v>2.63</v>
      </c>
      <c r="DC3674">
        <v>-0.21</v>
      </c>
      <c r="DD3674">
        <v>79.489999999999995</v>
      </c>
      <c r="DE3674" t="s">
        <v>5960</v>
      </c>
      <c r="DF3674">
        <v>45.25</v>
      </c>
      <c r="DG3674">
        <v>-2.12</v>
      </c>
      <c r="DH3674">
        <v>0.56000000000000005</v>
      </c>
      <c r="DI3674">
        <v>0.3</v>
      </c>
      <c r="DJ3674">
        <v>1205</v>
      </c>
      <c r="DK3674">
        <v>603656</v>
      </c>
      <c r="DL3674" t="s">
        <v>120</v>
      </c>
      <c r="DM3674" t="s">
        <v>120</v>
      </c>
      <c r="DN3674" t="s">
        <v>120</v>
      </c>
    </row>
    <row r="3675" spans="1:118">
      <c r="A3675" t="str">
        <f>"603657"</f>
        <v>603657</v>
      </c>
      <c r="B3675" t="s">
        <v>15317</v>
      </c>
      <c r="C3675">
        <v>-1.68</v>
      </c>
      <c r="D3675">
        <v>0.09</v>
      </c>
      <c r="E3675">
        <v>3.28</v>
      </c>
      <c r="F3675">
        <v>42</v>
      </c>
      <c r="G3675" t="s">
        <v>10874</v>
      </c>
      <c r="H3675">
        <v>2608.41</v>
      </c>
      <c r="I3675">
        <v>132.06</v>
      </c>
      <c r="J3675" t="s">
        <v>120</v>
      </c>
      <c r="K3675" t="s">
        <v>15318</v>
      </c>
      <c r="L3675">
        <v>0.88</v>
      </c>
      <c r="M3675">
        <v>21.6</v>
      </c>
      <c r="N3675">
        <v>0.78</v>
      </c>
      <c r="O3675">
        <v>3.28</v>
      </c>
      <c r="P3675">
        <v>22.69</v>
      </c>
      <c r="Q3675">
        <v>-2.41</v>
      </c>
      <c r="R3675">
        <v>21.44</v>
      </c>
      <c r="S3675">
        <v>22.69</v>
      </c>
      <c r="T3675">
        <v>11856</v>
      </c>
      <c r="U3675">
        <v>21.6</v>
      </c>
      <c r="V3675">
        <v>21.97</v>
      </c>
      <c r="W3675">
        <v>22.19</v>
      </c>
      <c r="X3675" t="s">
        <v>205</v>
      </c>
      <c r="Y3675" t="s">
        <v>585</v>
      </c>
      <c r="Z3675">
        <v>5.69</v>
      </c>
      <c r="AA3675">
        <v>22</v>
      </c>
      <c r="AB3675">
        <v>7719</v>
      </c>
      <c r="AC3675">
        <v>4137</v>
      </c>
      <c r="AD3675">
        <v>1.87</v>
      </c>
      <c r="AE3675">
        <v>15</v>
      </c>
      <c r="AF3675">
        <v>37</v>
      </c>
      <c r="AG3675" t="s">
        <v>120</v>
      </c>
      <c r="AH3675">
        <v>0.14000000000000001</v>
      </c>
      <c r="AI3675" t="s">
        <v>120</v>
      </c>
      <c r="AJ3675">
        <v>1.34</v>
      </c>
      <c r="AK3675" t="s">
        <v>15318</v>
      </c>
      <c r="AL3675">
        <v>-0.34</v>
      </c>
      <c r="AM3675">
        <v>1177</v>
      </c>
      <c r="AN3675">
        <v>10</v>
      </c>
      <c r="AO3675">
        <v>6.9999999999999999E-4</v>
      </c>
      <c r="AP3675">
        <v>-1</v>
      </c>
      <c r="AQ3675">
        <v>0.64</v>
      </c>
      <c r="AR3675">
        <v>-1.82</v>
      </c>
      <c r="AS3675">
        <v>-2.35</v>
      </c>
      <c r="AT3675">
        <v>-17.75</v>
      </c>
      <c r="AU3675">
        <v>27.81</v>
      </c>
      <c r="AV3675">
        <v>7</v>
      </c>
      <c r="AW3675">
        <v>2.88</v>
      </c>
      <c r="AX3675">
        <v>30.66</v>
      </c>
      <c r="AY3675">
        <v>18.559999999999999</v>
      </c>
      <c r="AZ3675">
        <v>20.73</v>
      </c>
      <c r="BA3675">
        <v>1.18</v>
      </c>
      <c r="BB3675" t="s">
        <v>143</v>
      </c>
      <c r="BF3675">
        <v>0.14000000000000001</v>
      </c>
      <c r="BG3675">
        <v>-4.8</v>
      </c>
      <c r="BH3675">
        <v>-4.8</v>
      </c>
      <c r="BI3675">
        <v>0.75</v>
      </c>
      <c r="BJ3675">
        <v>20210810</v>
      </c>
      <c r="BK3675">
        <v>20180730</v>
      </c>
      <c r="BL3675">
        <v>1.34</v>
      </c>
      <c r="BM3675" t="s">
        <v>120</v>
      </c>
      <c r="BN3675" t="s">
        <v>120</v>
      </c>
      <c r="BO3675">
        <v>15.28</v>
      </c>
      <c r="BP3675">
        <v>21.59</v>
      </c>
      <c r="BQ3675">
        <v>9.5500000000000007</v>
      </c>
      <c r="BR3675">
        <v>0.15</v>
      </c>
      <c r="BS3675">
        <v>36.47</v>
      </c>
      <c r="BT3675">
        <v>11.36</v>
      </c>
      <c r="BU3675">
        <v>2.2999999999999998</v>
      </c>
      <c r="BV3675">
        <v>0.68</v>
      </c>
      <c r="BW3675">
        <v>5.52</v>
      </c>
      <c r="BX3675">
        <v>4.37</v>
      </c>
      <c r="BY3675">
        <v>2.09</v>
      </c>
      <c r="BZ3675">
        <v>3.09</v>
      </c>
      <c r="CA3675" t="s">
        <v>120</v>
      </c>
      <c r="CB3675">
        <v>4.8</v>
      </c>
      <c r="CC3675">
        <v>5.61</v>
      </c>
      <c r="CD3675">
        <v>4.22</v>
      </c>
      <c r="CE3675">
        <v>0.72</v>
      </c>
      <c r="CF3675">
        <v>0</v>
      </c>
      <c r="CG3675">
        <v>0.73</v>
      </c>
      <c r="CH3675">
        <v>0.64</v>
      </c>
      <c r="CI3675">
        <v>0.65</v>
      </c>
      <c r="CJ3675">
        <v>-0.37</v>
      </c>
      <c r="CK3675">
        <v>0.64</v>
      </c>
      <c r="CL3675">
        <v>3.01</v>
      </c>
      <c r="CM3675">
        <v>0.28000000000000003</v>
      </c>
      <c r="CN3675">
        <v>0.9</v>
      </c>
      <c r="CO3675">
        <v>7447</v>
      </c>
      <c r="CP3675">
        <v>5533</v>
      </c>
      <c r="CQ3675" t="s">
        <v>10174</v>
      </c>
      <c r="CR3675">
        <v>34.08</v>
      </c>
      <c r="CS3675">
        <v>86.09</v>
      </c>
      <c r="CT3675">
        <v>3.04</v>
      </c>
      <c r="CU3675">
        <v>105.48</v>
      </c>
      <c r="CV3675">
        <v>5.18</v>
      </c>
      <c r="CW3675">
        <v>2.2799999999999998</v>
      </c>
      <c r="CX3675" t="s">
        <v>3347</v>
      </c>
      <c r="CY3675">
        <v>7.11</v>
      </c>
      <c r="CZ3675">
        <v>0</v>
      </c>
      <c r="DA3675">
        <v>3.57</v>
      </c>
      <c r="DB3675">
        <v>2.2400000000000002</v>
      </c>
      <c r="DC3675">
        <v>0.2</v>
      </c>
      <c r="DD3675">
        <v>62.52</v>
      </c>
      <c r="DE3675" t="s">
        <v>6444</v>
      </c>
      <c r="DF3675">
        <v>24.65</v>
      </c>
      <c r="DG3675">
        <v>12.9</v>
      </c>
      <c r="DH3675">
        <v>11.67</v>
      </c>
      <c r="DI3675">
        <v>0.17</v>
      </c>
      <c r="DJ3675">
        <v>1939</v>
      </c>
      <c r="DK3675">
        <v>603657</v>
      </c>
      <c r="DL3675" t="s">
        <v>120</v>
      </c>
      <c r="DM3675" t="s">
        <v>120</v>
      </c>
      <c r="DN3675" t="s">
        <v>120</v>
      </c>
    </row>
    <row r="3676" spans="1:118">
      <c r="A3676" t="str">
        <f>"603658"</f>
        <v>603658</v>
      </c>
      <c r="B3676" t="s">
        <v>15319</v>
      </c>
      <c r="C3676">
        <v>-1.64</v>
      </c>
      <c r="D3676">
        <v>0.04</v>
      </c>
      <c r="E3676">
        <v>0.53</v>
      </c>
      <c r="F3676">
        <v>719</v>
      </c>
      <c r="G3676" t="s">
        <v>15320</v>
      </c>
      <c r="H3676">
        <v>23613.29</v>
      </c>
      <c r="I3676">
        <v>91.7</v>
      </c>
      <c r="J3676" t="s">
        <v>120</v>
      </c>
      <c r="K3676" t="s">
        <v>15321</v>
      </c>
      <c r="L3676">
        <v>0.83</v>
      </c>
      <c r="M3676">
        <v>48.5</v>
      </c>
      <c r="N3676">
        <v>1.51</v>
      </c>
      <c r="O3676">
        <v>0.53</v>
      </c>
      <c r="P3676">
        <v>49.57</v>
      </c>
      <c r="Q3676">
        <v>-2.0099999999999998</v>
      </c>
      <c r="R3676">
        <v>48.32</v>
      </c>
      <c r="S3676">
        <v>49.57</v>
      </c>
      <c r="T3676">
        <v>48440</v>
      </c>
      <c r="U3676">
        <v>48.5</v>
      </c>
      <c r="V3676">
        <v>49.31</v>
      </c>
      <c r="W3676">
        <v>34.450000000000003</v>
      </c>
      <c r="X3676" t="s">
        <v>555</v>
      </c>
      <c r="Y3676" t="s">
        <v>645</v>
      </c>
      <c r="Z3676">
        <v>2.5299999999999998</v>
      </c>
      <c r="AA3676">
        <v>48.75</v>
      </c>
      <c r="AB3676">
        <v>28252</v>
      </c>
      <c r="AC3676">
        <v>20188</v>
      </c>
      <c r="AD3676">
        <v>1.4</v>
      </c>
      <c r="AE3676">
        <v>7</v>
      </c>
      <c r="AF3676">
        <v>28</v>
      </c>
      <c r="AG3676" t="s">
        <v>120</v>
      </c>
      <c r="AH3676">
        <v>0.01</v>
      </c>
      <c r="AI3676" t="s">
        <v>120</v>
      </c>
      <c r="AJ3676">
        <v>5.86</v>
      </c>
      <c r="AK3676" t="s">
        <v>15321</v>
      </c>
      <c r="AL3676">
        <v>-0.3</v>
      </c>
      <c r="AM3676">
        <v>3524</v>
      </c>
      <c r="AN3676">
        <v>14</v>
      </c>
      <c r="AO3676">
        <v>2.0000000000000001E-4</v>
      </c>
      <c r="AP3676">
        <v>-3</v>
      </c>
      <c r="AQ3676">
        <v>-1.3</v>
      </c>
      <c r="AR3676">
        <v>-3.86</v>
      </c>
      <c r="AS3676">
        <v>-20.75</v>
      </c>
      <c r="AT3676">
        <v>-37.840000000000003</v>
      </c>
      <c r="AU3676">
        <v>-56.32</v>
      </c>
      <c r="AV3676">
        <v>1</v>
      </c>
      <c r="AW3676">
        <v>2.61</v>
      </c>
      <c r="AX3676">
        <v>31.65</v>
      </c>
      <c r="AY3676">
        <v>32.61</v>
      </c>
      <c r="AZ3676">
        <v>38.659999999999997</v>
      </c>
      <c r="BA3676">
        <v>1.17</v>
      </c>
      <c r="BB3676" t="s">
        <v>125</v>
      </c>
      <c r="BF3676">
        <v>-1.1399999999999999</v>
      </c>
      <c r="BG3676">
        <v>-2.16</v>
      </c>
      <c r="BH3676">
        <v>-2.16</v>
      </c>
      <c r="BI3676">
        <v>0.37</v>
      </c>
      <c r="BJ3676">
        <v>20210818</v>
      </c>
      <c r="BK3676">
        <v>20160901</v>
      </c>
      <c r="BL3676">
        <v>5.86</v>
      </c>
      <c r="BM3676" t="s">
        <v>120</v>
      </c>
      <c r="BN3676" t="s">
        <v>120</v>
      </c>
      <c r="BO3676">
        <v>84.57</v>
      </c>
      <c r="BP3676">
        <v>48.49</v>
      </c>
      <c r="BQ3676">
        <v>67.150000000000006</v>
      </c>
      <c r="BR3676">
        <v>1.26</v>
      </c>
      <c r="BS3676">
        <v>19.100000000000001</v>
      </c>
      <c r="BT3676">
        <v>51.58</v>
      </c>
      <c r="BU3676">
        <v>17.03</v>
      </c>
      <c r="BV3676">
        <v>2.4</v>
      </c>
      <c r="BW3676">
        <v>12.25</v>
      </c>
      <c r="BX3676">
        <v>5.68</v>
      </c>
      <c r="BY3676">
        <v>5.48</v>
      </c>
      <c r="BZ3676">
        <v>9.09</v>
      </c>
      <c r="CA3676" t="s">
        <v>120</v>
      </c>
      <c r="CB3676">
        <v>41.01</v>
      </c>
      <c r="CC3676">
        <v>16.78</v>
      </c>
      <c r="CD3676">
        <v>6.73</v>
      </c>
      <c r="CE3676">
        <v>4.58</v>
      </c>
      <c r="CF3676">
        <v>0.55000000000000004</v>
      </c>
      <c r="CG3676">
        <v>4.57</v>
      </c>
      <c r="CH3676">
        <v>4.1900000000000004</v>
      </c>
      <c r="CI3676">
        <v>4.13</v>
      </c>
      <c r="CJ3676">
        <v>-0.81</v>
      </c>
      <c r="CK3676">
        <v>4.03</v>
      </c>
      <c r="CL3676">
        <v>18.02</v>
      </c>
      <c r="CM3676">
        <v>5.22</v>
      </c>
      <c r="CN3676">
        <v>2.36</v>
      </c>
      <c r="CO3676">
        <v>35427</v>
      </c>
      <c r="CP3676">
        <v>5238</v>
      </c>
      <c r="CQ3676" t="s">
        <v>13410</v>
      </c>
      <c r="CR3676">
        <v>50.63</v>
      </c>
      <c r="CS3676">
        <v>39.130000000000003</v>
      </c>
      <c r="CT3676">
        <v>4.2300000000000004</v>
      </c>
      <c r="CU3676">
        <v>54.42</v>
      </c>
      <c r="CV3676">
        <v>16.95</v>
      </c>
      <c r="CW3676">
        <v>1.33</v>
      </c>
      <c r="CX3676" t="s">
        <v>2021</v>
      </c>
      <c r="CY3676">
        <v>11.45</v>
      </c>
      <c r="CZ3676">
        <v>0</v>
      </c>
      <c r="DA3676">
        <v>6.99</v>
      </c>
      <c r="DB3676">
        <v>3.07</v>
      </c>
      <c r="DC3676">
        <v>0.89</v>
      </c>
      <c r="DD3676">
        <v>79.400000000000006</v>
      </c>
      <c r="DE3676" t="s">
        <v>15322</v>
      </c>
      <c r="DF3676">
        <v>59.89</v>
      </c>
      <c r="DG3676">
        <v>27.29</v>
      </c>
      <c r="DH3676">
        <v>24.6</v>
      </c>
      <c r="DI3676">
        <v>2.2599999999999998</v>
      </c>
      <c r="DJ3676">
        <v>4544</v>
      </c>
      <c r="DK3676">
        <v>603658</v>
      </c>
      <c r="DL3676" t="s">
        <v>120</v>
      </c>
      <c r="DM3676" t="s">
        <v>120</v>
      </c>
      <c r="DN3676" t="s">
        <v>120</v>
      </c>
    </row>
    <row r="3677" spans="1:118">
      <c r="A3677" t="str">
        <f>"603659"</f>
        <v>603659</v>
      </c>
      <c r="B3677" t="s">
        <v>15323</v>
      </c>
      <c r="C3677">
        <v>-1.47</v>
      </c>
      <c r="D3677">
        <v>0.6</v>
      </c>
      <c r="E3677">
        <v>-2.6</v>
      </c>
      <c r="F3677">
        <v>1872</v>
      </c>
      <c r="G3677" t="s">
        <v>15324</v>
      </c>
      <c r="H3677">
        <v>265481.8</v>
      </c>
      <c r="I3677">
        <v>5083.2</v>
      </c>
      <c r="J3677" t="s">
        <v>120</v>
      </c>
      <c r="K3677" t="s">
        <v>15325</v>
      </c>
      <c r="L3677">
        <v>2.1</v>
      </c>
      <c r="M3677">
        <v>182.09</v>
      </c>
      <c r="N3677">
        <v>1.6</v>
      </c>
      <c r="O3677">
        <v>3.9</v>
      </c>
      <c r="P3677">
        <v>192</v>
      </c>
      <c r="Q3677">
        <v>-5.54</v>
      </c>
      <c r="R3677">
        <v>174.57</v>
      </c>
      <c r="S3677">
        <v>180</v>
      </c>
      <c r="T3677">
        <v>145520</v>
      </c>
      <c r="U3677">
        <v>182.16</v>
      </c>
      <c r="V3677">
        <v>184.8</v>
      </c>
      <c r="W3677">
        <v>81.59</v>
      </c>
      <c r="X3677" t="s">
        <v>868</v>
      </c>
      <c r="Y3677" t="s">
        <v>1510</v>
      </c>
      <c r="Z3677">
        <v>9.43</v>
      </c>
      <c r="AA3677">
        <v>182.44</v>
      </c>
      <c r="AB3677">
        <v>75634</v>
      </c>
      <c r="AC3677">
        <v>69886</v>
      </c>
      <c r="AD3677">
        <v>1.08</v>
      </c>
      <c r="AE3677">
        <v>104</v>
      </c>
      <c r="AF3677">
        <v>1</v>
      </c>
      <c r="AG3677" t="s">
        <v>120</v>
      </c>
      <c r="AH3677">
        <v>0.09</v>
      </c>
      <c r="AI3677" t="s">
        <v>120</v>
      </c>
      <c r="AJ3677">
        <v>6.92</v>
      </c>
      <c r="AK3677" t="s">
        <v>15326</v>
      </c>
      <c r="AL3677">
        <v>-0.12</v>
      </c>
      <c r="AM3677">
        <v>4693</v>
      </c>
      <c r="AN3677">
        <v>31</v>
      </c>
      <c r="AO3677">
        <v>4.0000000000000002E-4</v>
      </c>
      <c r="AP3677">
        <v>-1</v>
      </c>
      <c r="AQ3677">
        <v>4.83</v>
      </c>
      <c r="AR3677">
        <v>13.62</v>
      </c>
      <c r="AS3677">
        <v>16.739999999999998</v>
      </c>
      <c r="AT3677">
        <v>42.23</v>
      </c>
      <c r="AU3677">
        <v>127.65</v>
      </c>
      <c r="AV3677">
        <v>6</v>
      </c>
      <c r="AW3677">
        <v>4.84</v>
      </c>
      <c r="AX3677">
        <v>43.29</v>
      </c>
      <c r="AY3677">
        <v>103.01</v>
      </c>
      <c r="AZ3677">
        <v>192.22</v>
      </c>
      <c r="BA3677">
        <v>0.98</v>
      </c>
      <c r="BB3677" t="s">
        <v>143</v>
      </c>
      <c r="BF3677">
        <v>-1.28</v>
      </c>
      <c r="BG3677">
        <v>1.1599999999999999</v>
      </c>
      <c r="BH3677">
        <v>-5.16</v>
      </c>
      <c r="BI3677">
        <v>4.3099999999999996</v>
      </c>
      <c r="BJ3677">
        <v>20210806</v>
      </c>
      <c r="BK3677">
        <v>20171103</v>
      </c>
      <c r="BL3677">
        <v>6.94</v>
      </c>
      <c r="BM3677" t="s">
        <v>120</v>
      </c>
      <c r="BN3677" t="s">
        <v>120</v>
      </c>
      <c r="BO3677">
        <v>172.79</v>
      </c>
      <c r="BP3677">
        <v>182.09</v>
      </c>
      <c r="BQ3677">
        <v>95.03</v>
      </c>
      <c r="BR3677">
        <v>0.06</v>
      </c>
      <c r="BS3677">
        <v>44.97</v>
      </c>
      <c r="BT3677">
        <v>116.23</v>
      </c>
      <c r="BU3677">
        <v>30.99</v>
      </c>
      <c r="BV3677">
        <v>3.4</v>
      </c>
      <c r="BW3677">
        <v>69.569999999999993</v>
      </c>
      <c r="BX3677">
        <v>46.73</v>
      </c>
      <c r="BY3677">
        <v>33.11</v>
      </c>
      <c r="BZ3677">
        <v>16.45</v>
      </c>
      <c r="CA3677" t="s">
        <v>120</v>
      </c>
      <c r="CB3677">
        <v>59.14</v>
      </c>
      <c r="CC3677">
        <v>39.229999999999997</v>
      </c>
      <c r="CD3677">
        <v>24.72</v>
      </c>
      <c r="CE3677">
        <v>9.23</v>
      </c>
      <c r="CF3677">
        <v>0.03</v>
      </c>
      <c r="CG3677">
        <v>9.19</v>
      </c>
      <c r="CH3677">
        <v>7.76</v>
      </c>
      <c r="CI3677">
        <v>7.75</v>
      </c>
      <c r="CJ3677">
        <v>-2.71</v>
      </c>
      <c r="CK3677">
        <v>7.16</v>
      </c>
      <c r="CL3677">
        <v>28.36</v>
      </c>
      <c r="CM3677">
        <v>12.06</v>
      </c>
      <c r="CN3677">
        <v>-3.9</v>
      </c>
      <c r="CO3677">
        <v>17184</v>
      </c>
      <c r="CP3677">
        <v>17494</v>
      </c>
      <c r="CQ3677" t="s">
        <v>15327</v>
      </c>
      <c r="CR3677">
        <v>293.93</v>
      </c>
      <c r="CS3677">
        <v>107.82</v>
      </c>
      <c r="CT3677">
        <v>13.31</v>
      </c>
      <c r="CU3677">
        <v>104.83</v>
      </c>
      <c r="CV3677">
        <v>32.229999999999997</v>
      </c>
      <c r="CW3677">
        <v>0.16</v>
      </c>
      <c r="CX3677" t="s">
        <v>3404</v>
      </c>
      <c r="CY3677">
        <v>13.68</v>
      </c>
      <c r="CZ3677">
        <v>0</v>
      </c>
      <c r="DA3677">
        <v>8.52</v>
      </c>
      <c r="DB3677">
        <v>4.08</v>
      </c>
      <c r="DC3677">
        <v>1.74</v>
      </c>
      <c r="DD3677">
        <v>54.99</v>
      </c>
      <c r="DE3677" t="s">
        <v>8916</v>
      </c>
      <c r="DF3677">
        <v>36.99</v>
      </c>
      <c r="DG3677">
        <v>23.54</v>
      </c>
      <c r="DH3677">
        <v>19.75</v>
      </c>
      <c r="DI3677">
        <v>2.29</v>
      </c>
      <c r="DJ3677">
        <v>4944</v>
      </c>
      <c r="DK3677">
        <v>603659</v>
      </c>
      <c r="DL3677">
        <v>20210916</v>
      </c>
      <c r="DM3677">
        <v>184.8</v>
      </c>
      <c r="DN3677">
        <v>-1.47</v>
      </c>
    </row>
    <row r="3678" spans="1:118">
      <c r="A3678" t="str">
        <f>"603660"</f>
        <v>603660</v>
      </c>
      <c r="B3678" t="s">
        <v>15328</v>
      </c>
      <c r="C3678">
        <v>1.03</v>
      </c>
      <c r="D3678">
        <v>0.15</v>
      </c>
      <c r="E3678">
        <v>0.44</v>
      </c>
      <c r="F3678">
        <v>347</v>
      </c>
      <c r="G3678" t="s">
        <v>6484</v>
      </c>
      <c r="H3678">
        <v>4006.71</v>
      </c>
      <c r="I3678">
        <v>5.78</v>
      </c>
      <c r="J3678" t="s">
        <v>120</v>
      </c>
      <c r="K3678" t="s">
        <v>8720</v>
      </c>
      <c r="L3678">
        <v>1.18</v>
      </c>
      <c r="M3678">
        <v>6.84</v>
      </c>
      <c r="N3678">
        <v>1.65</v>
      </c>
      <c r="O3678">
        <v>3.1</v>
      </c>
      <c r="P3678">
        <v>6.98</v>
      </c>
      <c r="Q3678">
        <v>0.15</v>
      </c>
      <c r="R3678">
        <v>6.78</v>
      </c>
      <c r="S3678">
        <v>6.8</v>
      </c>
      <c r="T3678">
        <v>58282</v>
      </c>
      <c r="U3678">
        <v>6.84</v>
      </c>
      <c r="V3678">
        <v>6.77</v>
      </c>
      <c r="W3678" t="s">
        <v>120</v>
      </c>
      <c r="X3678" t="s">
        <v>462</v>
      </c>
      <c r="Y3678" t="s">
        <v>319</v>
      </c>
      <c r="Z3678">
        <v>2.95</v>
      </c>
      <c r="AA3678">
        <v>6.87</v>
      </c>
      <c r="AB3678">
        <v>29167</v>
      </c>
      <c r="AC3678">
        <v>29115</v>
      </c>
      <c r="AD3678">
        <v>1</v>
      </c>
      <c r="AE3678">
        <v>157</v>
      </c>
      <c r="AF3678">
        <v>178</v>
      </c>
      <c r="AG3678" t="s">
        <v>120</v>
      </c>
      <c r="AH3678">
        <v>0</v>
      </c>
      <c r="AI3678" t="s">
        <v>120</v>
      </c>
      <c r="AJ3678">
        <v>4.9400000000000004</v>
      </c>
      <c r="AK3678" t="s">
        <v>8720</v>
      </c>
      <c r="AL3678">
        <v>2.38</v>
      </c>
      <c r="AM3678">
        <v>1841</v>
      </c>
      <c r="AN3678">
        <v>32</v>
      </c>
      <c r="AO3678">
        <v>5.9999999999999995E-4</v>
      </c>
      <c r="AP3678">
        <v>2</v>
      </c>
      <c r="AQ3678">
        <v>0.45</v>
      </c>
      <c r="AR3678">
        <v>-0.28999999999999998</v>
      </c>
      <c r="AS3678">
        <v>-1.02</v>
      </c>
      <c r="AT3678">
        <v>-1.44</v>
      </c>
      <c r="AU3678">
        <v>-5.79</v>
      </c>
      <c r="AV3678">
        <v>0</v>
      </c>
      <c r="AW3678">
        <v>1.6</v>
      </c>
      <c r="AX3678">
        <v>73.73</v>
      </c>
      <c r="AY3678">
        <v>21.86</v>
      </c>
      <c r="AZ3678">
        <v>39.369999999999997</v>
      </c>
      <c r="BA3678">
        <v>0.57999999999999996</v>
      </c>
      <c r="BB3678" t="s">
        <v>143</v>
      </c>
      <c r="BF3678">
        <v>1.55</v>
      </c>
      <c r="BG3678">
        <v>0.59</v>
      </c>
      <c r="BH3678">
        <v>-2.0099999999999998</v>
      </c>
      <c r="BI3678">
        <v>0.88</v>
      </c>
      <c r="BJ3678">
        <v>20210824</v>
      </c>
      <c r="BK3678">
        <v>20161201</v>
      </c>
      <c r="BL3678">
        <v>4.9400000000000004</v>
      </c>
      <c r="BM3678" t="s">
        <v>120</v>
      </c>
      <c r="BN3678" t="s">
        <v>120</v>
      </c>
      <c r="BO3678">
        <v>32.020000000000003</v>
      </c>
      <c r="BP3678">
        <v>6.83</v>
      </c>
      <c r="BQ3678">
        <v>18.03</v>
      </c>
      <c r="BR3678">
        <v>0.18</v>
      </c>
      <c r="BS3678">
        <v>43.15</v>
      </c>
      <c r="BT3678">
        <v>25.49</v>
      </c>
      <c r="BU3678">
        <v>2.12</v>
      </c>
      <c r="BV3678">
        <v>0.54</v>
      </c>
      <c r="BW3678">
        <v>8</v>
      </c>
      <c r="BX3678">
        <v>2.23</v>
      </c>
      <c r="BY3678">
        <v>6.69</v>
      </c>
      <c r="BZ3678">
        <v>12.24</v>
      </c>
      <c r="CA3678" t="s">
        <v>120</v>
      </c>
      <c r="CB3678">
        <v>1.56</v>
      </c>
      <c r="CC3678">
        <v>11.27</v>
      </c>
      <c r="CD3678">
        <v>4.79</v>
      </c>
      <c r="CE3678">
        <v>-0.54</v>
      </c>
      <c r="CF3678">
        <v>0.03</v>
      </c>
      <c r="CG3678">
        <v>-0.53</v>
      </c>
      <c r="CH3678">
        <v>-0.56000000000000005</v>
      </c>
      <c r="CI3678">
        <v>-0.52</v>
      </c>
      <c r="CJ3678">
        <v>7.0000000000000007E-2</v>
      </c>
      <c r="CK3678">
        <v>-0.59</v>
      </c>
      <c r="CL3678">
        <v>11.21</v>
      </c>
      <c r="CM3678">
        <v>-2.8</v>
      </c>
      <c r="CN3678">
        <v>-3.73</v>
      </c>
      <c r="CO3678">
        <v>28430</v>
      </c>
      <c r="CP3678">
        <v>12816</v>
      </c>
      <c r="CQ3678" t="s">
        <v>4466</v>
      </c>
      <c r="CR3678">
        <v>56.59</v>
      </c>
      <c r="CS3678">
        <v>41.82</v>
      </c>
      <c r="CT3678">
        <v>1.93</v>
      </c>
      <c r="CU3678">
        <v>-12.07</v>
      </c>
      <c r="CV3678">
        <v>3</v>
      </c>
      <c r="CW3678">
        <v>0.57999999999999996</v>
      </c>
      <c r="CX3678" t="s">
        <v>200</v>
      </c>
      <c r="CY3678">
        <v>3.54</v>
      </c>
      <c r="CZ3678">
        <v>3.54</v>
      </c>
      <c r="DA3678">
        <v>0.32</v>
      </c>
      <c r="DB3678">
        <v>2.27</v>
      </c>
      <c r="DC3678">
        <v>-0.56999999999999995</v>
      </c>
      <c r="DD3678">
        <v>56.29</v>
      </c>
      <c r="DE3678" t="s">
        <v>7716</v>
      </c>
      <c r="DF3678">
        <v>57.48</v>
      </c>
      <c r="DG3678">
        <v>-4.8099999999999996</v>
      </c>
      <c r="DH3678">
        <v>-4.63</v>
      </c>
      <c r="DI3678">
        <v>3.69</v>
      </c>
      <c r="DJ3678">
        <v>5027</v>
      </c>
      <c r="DK3678">
        <v>603660</v>
      </c>
      <c r="DL3678" t="s">
        <v>120</v>
      </c>
      <c r="DM3678" t="s">
        <v>120</v>
      </c>
      <c r="DN3678" t="s">
        <v>120</v>
      </c>
    </row>
    <row r="3679" spans="1:118">
      <c r="A3679" t="str">
        <f>"603661"</f>
        <v>603661</v>
      </c>
      <c r="B3679" t="s">
        <v>15329</v>
      </c>
      <c r="C3679">
        <v>-1.07</v>
      </c>
      <c r="D3679">
        <v>0</v>
      </c>
      <c r="E3679">
        <v>0.32</v>
      </c>
      <c r="F3679">
        <v>70</v>
      </c>
      <c r="G3679" t="s">
        <v>15330</v>
      </c>
      <c r="H3679">
        <v>1462.17</v>
      </c>
      <c r="I3679">
        <v>1.23</v>
      </c>
      <c r="J3679" t="s">
        <v>120</v>
      </c>
      <c r="K3679" t="s">
        <v>15331</v>
      </c>
      <c r="L3679">
        <v>0.36</v>
      </c>
      <c r="M3679">
        <v>40.5</v>
      </c>
      <c r="N3679">
        <v>1.07</v>
      </c>
      <c r="O3679">
        <v>0.95</v>
      </c>
      <c r="P3679">
        <v>41.33</v>
      </c>
      <c r="Q3679">
        <v>-1.32</v>
      </c>
      <c r="R3679">
        <v>40.4</v>
      </c>
      <c r="S3679">
        <v>41.07</v>
      </c>
      <c r="T3679">
        <v>3589</v>
      </c>
      <c r="U3679">
        <v>40.51</v>
      </c>
      <c r="V3679">
        <v>40.94</v>
      </c>
      <c r="W3679">
        <v>12.17</v>
      </c>
      <c r="X3679" t="s">
        <v>2409</v>
      </c>
      <c r="Y3679" t="s">
        <v>585</v>
      </c>
      <c r="Z3679">
        <v>2.27</v>
      </c>
      <c r="AA3679">
        <v>40.74</v>
      </c>
      <c r="AB3679">
        <v>2731</v>
      </c>
      <c r="AC3679">
        <v>858</v>
      </c>
      <c r="AD3679">
        <v>3.18</v>
      </c>
      <c r="AE3679">
        <v>21</v>
      </c>
      <c r="AF3679">
        <v>2</v>
      </c>
      <c r="AG3679" t="s">
        <v>120</v>
      </c>
      <c r="AH3679">
        <v>0</v>
      </c>
      <c r="AI3679" t="s">
        <v>120</v>
      </c>
      <c r="AJ3679">
        <v>1</v>
      </c>
      <c r="AK3679" t="s">
        <v>15331</v>
      </c>
      <c r="AL3679">
        <v>0.27</v>
      </c>
      <c r="AM3679">
        <v>713</v>
      </c>
      <c r="AN3679">
        <v>5</v>
      </c>
      <c r="AO3679">
        <v>5.0000000000000001E-4</v>
      </c>
      <c r="AP3679">
        <v>-3</v>
      </c>
      <c r="AQ3679">
        <v>-1.21</v>
      </c>
      <c r="AR3679">
        <v>-3.6</v>
      </c>
      <c r="AS3679">
        <v>-12.43</v>
      </c>
      <c r="AT3679">
        <v>-20.82</v>
      </c>
      <c r="AU3679">
        <v>-25.47</v>
      </c>
      <c r="AV3679">
        <v>3</v>
      </c>
      <c r="AW3679">
        <v>1.24</v>
      </c>
      <c r="AX3679">
        <v>28.96</v>
      </c>
      <c r="AY3679">
        <v>10.97</v>
      </c>
      <c r="AZ3679">
        <v>11.27</v>
      </c>
      <c r="BA3679">
        <v>0.6</v>
      </c>
      <c r="BB3679" t="s">
        <v>143</v>
      </c>
      <c r="BF3679">
        <v>-0.5</v>
      </c>
      <c r="BG3679">
        <v>-1.39</v>
      </c>
      <c r="BH3679">
        <v>-2.0099999999999998</v>
      </c>
      <c r="BI3679">
        <v>0.25</v>
      </c>
      <c r="BJ3679">
        <v>20210830</v>
      </c>
      <c r="BK3679">
        <v>20171121</v>
      </c>
      <c r="BL3679">
        <v>1</v>
      </c>
      <c r="BM3679" t="s">
        <v>120</v>
      </c>
      <c r="BN3679" t="s">
        <v>120</v>
      </c>
      <c r="BO3679">
        <v>60.28</v>
      </c>
      <c r="BP3679">
        <v>40.5</v>
      </c>
      <c r="BQ3679">
        <v>28.27</v>
      </c>
      <c r="BR3679">
        <v>0.24</v>
      </c>
      <c r="BS3679">
        <v>52.7</v>
      </c>
      <c r="BT3679">
        <v>31.81</v>
      </c>
      <c r="BU3679">
        <v>11.83</v>
      </c>
      <c r="BV3679">
        <v>2.59</v>
      </c>
      <c r="BW3679">
        <v>24.37</v>
      </c>
      <c r="BX3679">
        <v>9.18</v>
      </c>
      <c r="BY3679">
        <v>12.03</v>
      </c>
      <c r="BZ3679">
        <v>5.95</v>
      </c>
      <c r="CA3679" t="s">
        <v>120</v>
      </c>
      <c r="CB3679">
        <v>12.52</v>
      </c>
      <c r="CC3679">
        <v>24.08</v>
      </c>
      <c r="CD3679">
        <v>18.97</v>
      </c>
      <c r="CE3679">
        <v>1.92</v>
      </c>
      <c r="CF3679">
        <v>0.56000000000000005</v>
      </c>
      <c r="CG3679">
        <v>1.92</v>
      </c>
      <c r="CH3679">
        <v>1.67</v>
      </c>
      <c r="CI3679">
        <v>1.66</v>
      </c>
      <c r="CJ3679">
        <v>-0.44</v>
      </c>
      <c r="CK3679">
        <v>1.43</v>
      </c>
      <c r="CL3679">
        <v>14.75</v>
      </c>
      <c r="CM3679">
        <v>-1.44</v>
      </c>
      <c r="CN3679">
        <v>0.37</v>
      </c>
      <c r="CO3679">
        <v>9398</v>
      </c>
      <c r="CP3679">
        <v>3081</v>
      </c>
      <c r="CQ3679" t="s">
        <v>15332</v>
      </c>
      <c r="CR3679">
        <v>6.38</v>
      </c>
      <c r="CS3679">
        <v>34.74</v>
      </c>
      <c r="CT3679">
        <v>1.43</v>
      </c>
      <c r="CU3679">
        <v>-28.16</v>
      </c>
      <c r="CV3679">
        <v>1.68</v>
      </c>
      <c r="CW3679">
        <v>0</v>
      </c>
      <c r="CX3679" t="s">
        <v>14737</v>
      </c>
      <c r="CY3679">
        <v>28.27</v>
      </c>
      <c r="CZ3679">
        <v>0</v>
      </c>
      <c r="DA3679">
        <v>12.52</v>
      </c>
      <c r="DB3679">
        <v>14.75</v>
      </c>
      <c r="DC3679">
        <v>-1.44</v>
      </c>
      <c r="DD3679">
        <v>46.9</v>
      </c>
      <c r="DE3679" t="s">
        <v>15333</v>
      </c>
      <c r="DF3679">
        <v>21.22</v>
      </c>
      <c r="DG3679">
        <v>7.99</v>
      </c>
      <c r="DH3679">
        <v>6.91</v>
      </c>
      <c r="DI3679">
        <v>0.88</v>
      </c>
      <c r="DJ3679">
        <v>7801</v>
      </c>
      <c r="DK3679">
        <v>603661</v>
      </c>
      <c r="DL3679" t="s">
        <v>120</v>
      </c>
      <c r="DM3679" t="s">
        <v>120</v>
      </c>
      <c r="DN3679" t="s">
        <v>120</v>
      </c>
    </row>
    <row r="3680" spans="1:118">
      <c r="A3680" t="str">
        <f>"603662"</f>
        <v>603662</v>
      </c>
      <c r="B3680" t="s">
        <v>15334</v>
      </c>
      <c r="C3680">
        <v>-5.09</v>
      </c>
      <c r="D3680">
        <v>0.12</v>
      </c>
      <c r="E3680">
        <v>0.15</v>
      </c>
      <c r="F3680">
        <v>545</v>
      </c>
      <c r="G3680" t="s">
        <v>7272</v>
      </c>
      <c r="H3680">
        <v>8809.7900000000009</v>
      </c>
      <c r="I3680">
        <v>59.26</v>
      </c>
      <c r="J3680" t="s">
        <v>120</v>
      </c>
      <c r="K3680" t="s">
        <v>7272</v>
      </c>
      <c r="L3680">
        <v>3.26</v>
      </c>
      <c r="M3680">
        <v>24.63</v>
      </c>
      <c r="N3680">
        <v>0.73</v>
      </c>
      <c r="O3680">
        <v>2.04</v>
      </c>
      <c r="P3680">
        <v>26.48</v>
      </c>
      <c r="Q3680">
        <v>-5.59</v>
      </c>
      <c r="R3680">
        <v>24.5</v>
      </c>
      <c r="S3680">
        <v>25.99</v>
      </c>
      <c r="T3680">
        <v>34744</v>
      </c>
      <c r="U3680">
        <v>24.69</v>
      </c>
      <c r="V3680">
        <v>25.95</v>
      </c>
      <c r="W3680">
        <v>23.3</v>
      </c>
      <c r="X3680" t="s">
        <v>2717</v>
      </c>
      <c r="Y3680" t="s">
        <v>585</v>
      </c>
      <c r="Z3680">
        <v>7.63</v>
      </c>
      <c r="AA3680">
        <v>25.36</v>
      </c>
      <c r="AB3680">
        <v>18193</v>
      </c>
      <c r="AC3680">
        <v>16551</v>
      </c>
      <c r="AD3680">
        <v>1.1000000000000001</v>
      </c>
      <c r="AE3680">
        <v>55</v>
      </c>
      <c r="AF3680">
        <v>47</v>
      </c>
      <c r="AG3680" t="s">
        <v>120</v>
      </c>
      <c r="AH3680">
        <v>0.02</v>
      </c>
      <c r="AI3680" t="s">
        <v>120</v>
      </c>
      <c r="AJ3680">
        <v>1.07</v>
      </c>
      <c r="AK3680" t="s">
        <v>13705</v>
      </c>
      <c r="AL3680">
        <v>-3.74</v>
      </c>
      <c r="AM3680">
        <v>2500</v>
      </c>
      <c r="AN3680">
        <v>14</v>
      </c>
      <c r="AO3680">
        <v>1.2999999999999999E-3</v>
      </c>
      <c r="AP3680">
        <v>-1</v>
      </c>
      <c r="AQ3680">
        <v>5.79</v>
      </c>
      <c r="AR3680">
        <v>0.56999999999999995</v>
      </c>
      <c r="AS3680">
        <v>4.9000000000000004</v>
      </c>
      <c r="AT3680">
        <v>22.75</v>
      </c>
      <c r="AU3680">
        <v>21.07</v>
      </c>
      <c r="AV3680">
        <v>4</v>
      </c>
      <c r="AW3680">
        <v>3.26</v>
      </c>
      <c r="AX3680">
        <v>45.58</v>
      </c>
      <c r="AY3680">
        <v>24.6</v>
      </c>
      <c r="AZ3680">
        <v>27.6</v>
      </c>
      <c r="BA3680">
        <v>0.46</v>
      </c>
      <c r="BB3680" t="s">
        <v>168</v>
      </c>
      <c r="BF3680">
        <v>-2.29</v>
      </c>
      <c r="BG3680">
        <v>-5.23</v>
      </c>
      <c r="BH3680">
        <v>-6.99</v>
      </c>
      <c r="BI3680">
        <v>0.53</v>
      </c>
      <c r="BJ3680">
        <v>20210826</v>
      </c>
      <c r="BK3680">
        <v>20190806</v>
      </c>
      <c r="BL3680">
        <v>2.34</v>
      </c>
      <c r="BM3680" t="s">
        <v>120</v>
      </c>
      <c r="BN3680" t="s">
        <v>120</v>
      </c>
      <c r="BO3680">
        <v>25.48</v>
      </c>
      <c r="BP3680">
        <v>24.63</v>
      </c>
      <c r="BQ3680">
        <v>20.350000000000001</v>
      </c>
      <c r="BR3680">
        <v>0.21</v>
      </c>
      <c r="BS3680">
        <v>19.29</v>
      </c>
      <c r="BT3680">
        <v>17.88</v>
      </c>
      <c r="BU3680">
        <v>3.46</v>
      </c>
      <c r="BV3680">
        <v>1.05</v>
      </c>
      <c r="BW3680">
        <v>4.68</v>
      </c>
      <c r="BX3680">
        <v>2.67</v>
      </c>
      <c r="BY3680">
        <v>2.42</v>
      </c>
      <c r="BZ3680">
        <v>1.84</v>
      </c>
      <c r="CA3680" t="s">
        <v>120</v>
      </c>
      <c r="CB3680">
        <v>8.9700000000000006</v>
      </c>
      <c r="CC3680">
        <v>4.88</v>
      </c>
      <c r="CD3680">
        <v>2.96</v>
      </c>
      <c r="CE3680">
        <v>1.44</v>
      </c>
      <c r="CF3680">
        <v>0.22</v>
      </c>
      <c r="CG3680">
        <v>1.45</v>
      </c>
      <c r="CH3680">
        <v>1.27</v>
      </c>
      <c r="CI3680">
        <v>1.24</v>
      </c>
      <c r="CJ3680">
        <v>-1.32</v>
      </c>
      <c r="CK3680">
        <v>0.91</v>
      </c>
      <c r="CL3680">
        <v>8.92</v>
      </c>
      <c r="CM3680">
        <v>0.61</v>
      </c>
      <c r="CN3680">
        <v>1.63</v>
      </c>
      <c r="CO3680">
        <v>14729</v>
      </c>
      <c r="CP3680">
        <v>7241</v>
      </c>
      <c r="CQ3680" t="s">
        <v>15335</v>
      </c>
      <c r="CR3680">
        <v>27.62</v>
      </c>
      <c r="CS3680">
        <v>38.83</v>
      </c>
      <c r="CT3680">
        <v>2.83</v>
      </c>
      <c r="CU3680">
        <v>94.52</v>
      </c>
      <c r="CV3680">
        <v>11.82</v>
      </c>
      <c r="CW3680">
        <v>1.1000000000000001</v>
      </c>
      <c r="CX3680" t="s">
        <v>15336</v>
      </c>
      <c r="CY3680">
        <v>8.6999999999999993</v>
      </c>
      <c r="CZ3680">
        <v>0</v>
      </c>
      <c r="DA3680">
        <v>3.83</v>
      </c>
      <c r="DB3680">
        <v>3.81</v>
      </c>
      <c r="DC3680">
        <v>0.26</v>
      </c>
      <c r="DD3680">
        <v>79.87</v>
      </c>
      <c r="DE3680" t="s">
        <v>15337</v>
      </c>
      <c r="DF3680">
        <v>39.35</v>
      </c>
      <c r="DG3680">
        <v>29.47</v>
      </c>
      <c r="DH3680">
        <v>25.35</v>
      </c>
      <c r="DI3680">
        <v>0.26</v>
      </c>
      <c r="DJ3680">
        <v>1835</v>
      </c>
      <c r="DK3680">
        <v>603662</v>
      </c>
      <c r="DL3680" t="s">
        <v>120</v>
      </c>
      <c r="DM3680" t="s">
        <v>120</v>
      </c>
      <c r="DN3680" t="s">
        <v>120</v>
      </c>
    </row>
    <row r="3681" spans="1:118">
      <c r="A3681" t="str">
        <f>"603663"</f>
        <v>603663</v>
      </c>
      <c r="B3681" t="s">
        <v>15338</v>
      </c>
      <c r="C3681">
        <v>-6.87</v>
      </c>
      <c r="D3681">
        <v>0</v>
      </c>
      <c r="E3681">
        <v>-0.35</v>
      </c>
      <c r="F3681">
        <v>434</v>
      </c>
      <c r="G3681" t="s">
        <v>228</v>
      </c>
      <c r="H3681">
        <v>13909.65</v>
      </c>
      <c r="I3681">
        <v>98.55</v>
      </c>
      <c r="J3681" t="s">
        <v>120</v>
      </c>
      <c r="K3681" t="s">
        <v>8175</v>
      </c>
      <c r="L3681">
        <v>2.89</v>
      </c>
      <c r="M3681">
        <v>23.74</v>
      </c>
      <c r="N3681">
        <v>1.08</v>
      </c>
      <c r="O3681">
        <v>-0.35</v>
      </c>
      <c r="P3681">
        <v>25.4</v>
      </c>
      <c r="Q3681">
        <v>-6.87</v>
      </c>
      <c r="R3681">
        <v>23.74</v>
      </c>
      <c r="S3681">
        <v>25.4</v>
      </c>
      <c r="T3681">
        <v>56574</v>
      </c>
      <c r="U3681">
        <v>23.77</v>
      </c>
      <c r="V3681">
        <v>25.49</v>
      </c>
      <c r="W3681">
        <v>52.39</v>
      </c>
      <c r="X3681" t="s">
        <v>1991</v>
      </c>
      <c r="Y3681" t="s">
        <v>937</v>
      </c>
      <c r="Z3681">
        <v>6.51</v>
      </c>
      <c r="AA3681">
        <v>24.59</v>
      </c>
      <c r="AB3681">
        <v>33938</v>
      </c>
      <c r="AC3681">
        <v>22636</v>
      </c>
      <c r="AD3681">
        <v>1.5</v>
      </c>
      <c r="AE3681">
        <v>159</v>
      </c>
      <c r="AF3681">
        <v>20</v>
      </c>
      <c r="AG3681" t="s">
        <v>120</v>
      </c>
      <c r="AH3681">
        <v>0.06</v>
      </c>
      <c r="AI3681" t="s">
        <v>120</v>
      </c>
      <c r="AJ3681">
        <v>1.96</v>
      </c>
      <c r="AK3681" t="s">
        <v>15339</v>
      </c>
      <c r="AL3681">
        <v>-5.52</v>
      </c>
      <c r="AM3681">
        <v>3075</v>
      </c>
      <c r="AN3681">
        <v>18</v>
      </c>
      <c r="AO3681">
        <v>8.9999999999999998E-4</v>
      </c>
      <c r="AP3681">
        <v>-1</v>
      </c>
      <c r="AQ3681">
        <v>10.01</v>
      </c>
      <c r="AR3681">
        <v>-1.91</v>
      </c>
      <c r="AS3681">
        <v>12.73</v>
      </c>
      <c r="AT3681">
        <v>55.16</v>
      </c>
      <c r="AU3681">
        <v>59.33</v>
      </c>
      <c r="AV3681">
        <v>3</v>
      </c>
      <c r="AW3681">
        <v>8.15</v>
      </c>
      <c r="AX3681">
        <v>33.43</v>
      </c>
      <c r="AY3681">
        <v>69.86</v>
      </c>
      <c r="AZ3681">
        <v>81.599999999999994</v>
      </c>
      <c r="BA3681">
        <v>1.1499999999999999</v>
      </c>
      <c r="BB3681" t="s">
        <v>168</v>
      </c>
      <c r="BF3681">
        <v>-3.54</v>
      </c>
      <c r="BG3681">
        <v>-6.54</v>
      </c>
      <c r="BH3681">
        <v>-6.54</v>
      </c>
      <c r="BI3681">
        <v>0</v>
      </c>
      <c r="BJ3681">
        <v>20210915</v>
      </c>
      <c r="BK3681">
        <v>20160801</v>
      </c>
      <c r="BL3681">
        <v>2.08</v>
      </c>
      <c r="BM3681" t="s">
        <v>120</v>
      </c>
      <c r="BN3681" t="s">
        <v>120</v>
      </c>
      <c r="BO3681">
        <v>14.07</v>
      </c>
      <c r="BP3681">
        <v>23.74</v>
      </c>
      <c r="BQ3681">
        <v>6.86</v>
      </c>
      <c r="BR3681">
        <v>1.06</v>
      </c>
      <c r="BS3681">
        <v>43.74</v>
      </c>
      <c r="BT3681">
        <v>4.67</v>
      </c>
      <c r="BU3681">
        <v>4.32</v>
      </c>
      <c r="BV3681">
        <v>1.2</v>
      </c>
      <c r="BW3681">
        <v>3.07</v>
      </c>
      <c r="BX3681">
        <v>0.63</v>
      </c>
      <c r="BY3681">
        <v>1.43</v>
      </c>
      <c r="BZ3681">
        <v>1.07</v>
      </c>
      <c r="CA3681" t="s">
        <v>120</v>
      </c>
      <c r="CB3681">
        <v>0.84</v>
      </c>
      <c r="CC3681">
        <v>4.34</v>
      </c>
      <c r="CD3681">
        <v>3.13</v>
      </c>
      <c r="CE3681">
        <v>0.63</v>
      </c>
      <c r="CF3681">
        <v>0</v>
      </c>
      <c r="CG3681">
        <v>0.63</v>
      </c>
      <c r="CH3681">
        <v>0.55000000000000004</v>
      </c>
      <c r="CI3681">
        <v>0.47</v>
      </c>
      <c r="CJ3681">
        <v>-1.75</v>
      </c>
      <c r="CK3681">
        <v>0.45</v>
      </c>
      <c r="CL3681">
        <v>3.26</v>
      </c>
      <c r="CM3681">
        <v>1</v>
      </c>
      <c r="CN3681">
        <v>-0.04</v>
      </c>
      <c r="CO3681">
        <v>11542</v>
      </c>
      <c r="CP3681">
        <v>6012</v>
      </c>
      <c r="CQ3681" t="s">
        <v>3291</v>
      </c>
      <c r="CR3681">
        <v>30.15</v>
      </c>
      <c r="CS3681">
        <v>26.37</v>
      </c>
      <c r="CT3681">
        <v>7.08</v>
      </c>
      <c r="CU3681">
        <v>49.31</v>
      </c>
      <c r="CV3681">
        <v>11.34</v>
      </c>
      <c r="CW3681">
        <v>0.36</v>
      </c>
      <c r="CX3681" t="s">
        <v>863</v>
      </c>
      <c r="CY3681">
        <v>3.35</v>
      </c>
      <c r="CZ3681">
        <v>3.35</v>
      </c>
      <c r="DA3681">
        <v>0.4</v>
      </c>
      <c r="DB3681">
        <v>1.57</v>
      </c>
      <c r="DC3681">
        <v>0.48</v>
      </c>
      <c r="DD3681">
        <v>48.71</v>
      </c>
      <c r="DE3681" t="s">
        <v>294</v>
      </c>
      <c r="DF3681">
        <v>27.91</v>
      </c>
      <c r="DG3681">
        <v>14.62</v>
      </c>
      <c r="DH3681">
        <v>10.83</v>
      </c>
      <c r="DI3681">
        <v>0.19</v>
      </c>
      <c r="DJ3681">
        <v>865</v>
      </c>
      <c r="DK3681">
        <v>603663</v>
      </c>
      <c r="DL3681">
        <v>20210915</v>
      </c>
      <c r="DM3681">
        <v>25.49</v>
      </c>
      <c r="DN3681">
        <v>-6.87</v>
      </c>
    </row>
    <row r="3682" spans="1:118">
      <c r="A3682" t="str">
        <f>"603665"</f>
        <v>603665</v>
      </c>
      <c r="B3682" t="s">
        <v>15340</v>
      </c>
      <c r="C3682">
        <v>3.1</v>
      </c>
      <c r="D3682">
        <v>0.34</v>
      </c>
      <c r="E3682">
        <v>-0.14000000000000001</v>
      </c>
      <c r="F3682">
        <v>768</v>
      </c>
      <c r="G3682" t="s">
        <v>10099</v>
      </c>
      <c r="H3682">
        <v>9338.57</v>
      </c>
      <c r="I3682">
        <v>436.55</v>
      </c>
      <c r="J3682" t="s">
        <v>120</v>
      </c>
      <c r="K3682" t="s">
        <v>15341</v>
      </c>
      <c r="L3682">
        <v>4.13</v>
      </c>
      <c r="M3682">
        <v>14.62</v>
      </c>
      <c r="N3682">
        <v>1.72</v>
      </c>
      <c r="O3682">
        <v>4.16</v>
      </c>
      <c r="P3682">
        <v>14.77</v>
      </c>
      <c r="Q3682">
        <v>-3.03</v>
      </c>
      <c r="R3682">
        <v>13.75</v>
      </c>
      <c r="S3682">
        <v>14.16</v>
      </c>
      <c r="T3682">
        <v>65380</v>
      </c>
      <c r="U3682">
        <v>14.63</v>
      </c>
      <c r="V3682">
        <v>14.18</v>
      </c>
      <c r="W3682">
        <v>56.47</v>
      </c>
      <c r="X3682" t="s">
        <v>1766</v>
      </c>
      <c r="Y3682" t="s">
        <v>585</v>
      </c>
      <c r="Z3682">
        <v>7.19</v>
      </c>
      <c r="AA3682">
        <v>14.28</v>
      </c>
      <c r="AB3682">
        <v>32896</v>
      </c>
      <c r="AC3682">
        <v>32484</v>
      </c>
      <c r="AD3682">
        <v>1.01</v>
      </c>
      <c r="AE3682">
        <v>374</v>
      </c>
      <c r="AF3682">
        <v>8</v>
      </c>
      <c r="AG3682" t="s">
        <v>120</v>
      </c>
      <c r="AH3682">
        <v>0.47</v>
      </c>
      <c r="AI3682" t="s">
        <v>120</v>
      </c>
      <c r="AJ3682">
        <v>1.58</v>
      </c>
      <c r="AK3682" t="s">
        <v>15341</v>
      </c>
      <c r="AL3682">
        <v>4.45</v>
      </c>
      <c r="AM3682">
        <v>2564</v>
      </c>
      <c r="AN3682">
        <v>25</v>
      </c>
      <c r="AO3682">
        <v>1.6000000000000001E-3</v>
      </c>
      <c r="AP3682">
        <v>1</v>
      </c>
      <c r="AQ3682">
        <v>-0.14000000000000001</v>
      </c>
      <c r="AR3682">
        <v>13.24</v>
      </c>
      <c r="AS3682">
        <v>28.69</v>
      </c>
      <c r="AT3682">
        <v>1.81</v>
      </c>
      <c r="AU3682">
        <v>-33.49</v>
      </c>
      <c r="AV3682">
        <v>3</v>
      </c>
      <c r="AW3682">
        <v>10.029999999999999</v>
      </c>
      <c r="AX3682">
        <v>41.19</v>
      </c>
      <c r="AY3682">
        <v>39.97</v>
      </c>
      <c r="AZ3682">
        <v>29.22</v>
      </c>
      <c r="BA3682">
        <v>0</v>
      </c>
      <c r="BB3682" t="s">
        <v>143</v>
      </c>
      <c r="BF3682">
        <v>0.73</v>
      </c>
      <c r="BG3682">
        <v>3.25</v>
      </c>
      <c r="BH3682">
        <v>-1.02</v>
      </c>
      <c r="BI3682">
        <v>6.33</v>
      </c>
      <c r="BJ3682">
        <v>20210910</v>
      </c>
      <c r="BK3682">
        <v>20170313</v>
      </c>
      <c r="BL3682">
        <v>1.58</v>
      </c>
      <c r="BM3682" t="s">
        <v>120</v>
      </c>
      <c r="BN3682" t="s">
        <v>120</v>
      </c>
      <c r="BO3682">
        <v>24.6</v>
      </c>
      <c r="BP3682">
        <v>14.62</v>
      </c>
      <c r="BQ3682">
        <v>10.8</v>
      </c>
      <c r="BR3682">
        <v>0.16</v>
      </c>
      <c r="BS3682">
        <v>55.43</v>
      </c>
      <c r="BT3682">
        <v>14.25</v>
      </c>
      <c r="BU3682">
        <v>3.78</v>
      </c>
      <c r="BV3682">
        <v>0.84</v>
      </c>
      <c r="BW3682">
        <v>11.03</v>
      </c>
      <c r="BX3682">
        <v>3.35</v>
      </c>
      <c r="BY3682">
        <v>6.94</v>
      </c>
      <c r="BZ3682">
        <v>1.28</v>
      </c>
      <c r="CA3682" t="s">
        <v>120</v>
      </c>
      <c r="CB3682">
        <v>6.88</v>
      </c>
      <c r="CC3682">
        <v>4.8499999999999996</v>
      </c>
      <c r="CD3682">
        <v>3.7</v>
      </c>
      <c r="CE3682">
        <v>0.22</v>
      </c>
      <c r="CF3682">
        <v>0.03</v>
      </c>
      <c r="CG3682">
        <v>0.22</v>
      </c>
      <c r="CH3682">
        <v>0.16</v>
      </c>
      <c r="CI3682">
        <v>0.2</v>
      </c>
      <c r="CJ3682">
        <v>0.44</v>
      </c>
      <c r="CK3682">
        <v>-0.2</v>
      </c>
      <c r="CL3682">
        <v>2.33</v>
      </c>
      <c r="CM3682">
        <v>-0.26</v>
      </c>
      <c r="CN3682">
        <v>-0.17</v>
      </c>
      <c r="CO3682">
        <v>10183</v>
      </c>
      <c r="CP3682">
        <v>6401</v>
      </c>
      <c r="CQ3682" t="s">
        <v>11192</v>
      </c>
      <c r="CR3682">
        <v>-50.2</v>
      </c>
      <c r="CS3682">
        <v>5.84</v>
      </c>
      <c r="CT3682">
        <v>2.15</v>
      </c>
      <c r="CU3682">
        <v>-90.44</v>
      </c>
      <c r="CV3682">
        <v>4.7699999999999996</v>
      </c>
      <c r="CW3682">
        <v>0</v>
      </c>
      <c r="CX3682" t="s">
        <v>986</v>
      </c>
      <c r="CY3682">
        <v>6.8</v>
      </c>
      <c r="CZ3682">
        <v>6.8</v>
      </c>
      <c r="DA3682">
        <v>4.3499999999999996</v>
      </c>
      <c r="DB3682">
        <v>1.47</v>
      </c>
      <c r="DC3682">
        <v>-0.16</v>
      </c>
      <c r="DD3682">
        <v>43.92</v>
      </c>
      <c r="DE3682" t="s">
        <v>5446</v>
      </c>
      <c r="DF3682">
        <v>23.71</v>
      </c>
      <c r="DG3682">
        <v>4.63</v>
      </c>
      <c r="DH3682">
        <v>4.22</v>
      </c>
      <c r="DI3682">
        <v>0.19</v>
      </c>
      <c r="DJ3682">
        <v>2243</v>
      </c>
      <c r="DK3682">
        <v>603665</v>
      </c>
      <c r="DL3682">
        <v>20210914</v>
      </c>
      <c r="DM3682">
        <v>14.2</v>
      </c>
      <c r="DN3682">
        <v>2.96</v>
      </c>
    </row>
    <row r="3683" spans="1:118">
      <c r="A3683" t="str">
        <f>"603666"</f>
        <v>603666</v>
      </c>
      <c r="B3683" t="s">
        <v>15342</v>
      </c>
      <c r="C3683">
        <v>-1.74</v>
      </c>
      <c r="D3683">
        <v>0</v>
      </c>
      <c r="E3683">
        <v>0.04</v>
      </c>
      <c r="F3683">
        <v>7</v>
      </c>
      <c r="G3683" t="s">
        <v>5363</v>
      </c>
      <c r="H3683">
        <v>2541.39</v>
      </c>
      <c r="I3683">
        <v>0</v>
      </c>
      <c r="J3683" t="s">
        <v>120</v>
      </c>
      <c r="K3683" t="s">
        <v>15343</v>
      </c>
      <c r="L3683">
        <v>0.25</v>
      </c>
      <c r="M3683">
        <v>53.01</v>
      </c>
      <c r="N3683">
        <v>0.73</v>
      </c>
      <c r="O3683">
        <v>1.2</v>
      </c>
      <c r="P3683">
        <v>54.6</v>
      </c>
      <c r="Q3683">
        <v>-1.76</v>
      </c>
      <c r="R3683">
        <v>53</v>
      </c>
      <c r="S3683">
        <v>53.97</v>
      </c>
      <c r="T3683">
        <v>4727</v>
      </c>
      <c r="U3683">
        <v>53.01</v>
      </c>
      <c r="V3683">
        <v>53.95</v>
      </c>
      <c r="W3683">
        <v>59.54</v>
      </c>
      <c r="X3683" t="s">
        <v>675</v>
      </c>
      <c r="Y3683" t="s">
        <v>319</v>
      </c>
      <c r="Z3683">
        <v>2.97</v>
      </c>
      <c r="AA3683">
        <v>53.77</v>
      </c>
      <c r="AB3683">
        <v>3143</v>
      </c>
      <c r="AC3683">
        <v>1584</v>
      </c>
      <c r="AD3683">
        <v>1.98</v>
      </c>
      <c r="AE3683">
        <v>49</v>
      </c>
      <c r="AF3683">
        <v>29</v>
      </c>
      <c r="AG3683" t="s">
        <v>120</v>
      </c>
      <c r="AH3683">
        <v>0</v>
      </c>
      <c r="AI3683" t="s">
        <v>120</v>
      </c>
      <c r="AJ3683">
        <v>1.93</v>
      </c>
      <c r="AK3683" t="s">
        <v>15344</v>
      </c>
      <c r="AL3683">
        <v>-0.4</v>
      </c>
      <c r="AM3683">
        <v>731</v>
      </c>
      <c r="AN3683">
        <v>6</v>
      </c>
      <c r="AO3683">
        <v>2.9999999999999997E-4</v>
      </c>
      <c r="AP3683">
        <v>-1</v>
      </c>
      <c r="AQ3683">
        <v>0.84</v>
      </c>
      <c r="AR3683">
        <v>-2.2000000000000002</v>
      </c>
      <c r="AS3683">
        <v>-8.6</v>
      </c>
      <c r="AT3683">
        <v>-17.84</v>
      </c>
      <c r="AU3683">
        <v>-22.31</v>
      </c>
      <c r="AV3683">
        <v>2</v>
      </c>
      <c r="AW3683">
        <v>0.6</v>
      </c>
      <c r="AX3683">
        <v>37.86</v>
      </c>
      <c r="AY3683">
        <v>32.450000000000003</v>
      </c>
      <c r="AZ3683">
        <v>33.15</v>
      </c>
      <c r="BA3683">
        <v>0.67</v>
      </c>
      <c r="BB3683" t="s">
        <v>143</v>
      </c>
      <c r="BF3683">
        <v>-0.34</v>
      </c>
      <c r="BG3683">
        <v>-1.78</v>
      </c>
      <c r="BH3683">
        <v>-2.91</v>
      </c>
      <c r="BI3683">
        <v>0.02</v>
      </c>
      <c r="BJ3683">
        <v>20210819</v>
      </c>
      <c r="BK3683">
        <v>20180612</v>
      </c>
      <c r="BL3683">
        <v>2.0699999999999998</v>
      </c>
      <c r="BM3683" t="s">
        <v>120</v>
      </c>
      <c r="BN3683" t="s">
        <v>120</v>
      </c>
      <c r="BO3683">
        <v>28.4</v>
      </c>
      <c r="BP3683">
        <v>53</v>
      </c>
      <c r="BQ3683">
        <v>23.18</v>
      </c>
      <c r="BR3683">
        <v>0.16</v>
      </c>
      <c r="BS3683">
        <v>17.809999999999999</v>
      </c>
      <c r="BT3683">
        <v>22.32</v>
      </c>
      <c r="BU3683">
        <v>0.45</v>
      </c>
      <c r="BV3683">
        <v>0.9</v>
      </c>
      <c r="BW3683">
        <v>4.53</v>
      </c>
      <c r="BX3683">
        <v>4.46</v>
      </c>
      <c r="BY3683">
        <v>2.3199999999999998</v>
      </c>
      <c r="BZ3683">
        <v>4.22</v>
      </c>
      <c r="CA3683" t="s">
        <v>120</v>
      </c>
      <c r="CB3683">
        <v>12.6</v>
      </c>
      <c r="CC3683">
        <v>3.5</v>
      </c>
      <c r="CD3683">
        <v>1.44</v>
      </c>
      <c r="CE3683">
        <v>0.71</v>
      </c>
      <c r="CF3683">
        <v>0.14000000000000001</v>
      </c>
      <c r="CG3683">
        <v>1.01</v>
      </c>
      <c r="CH3683">
        <v>0.94</v>
      </c>
      <c r="CI3683">
        <v>0.92</v>
      </c>
      <c r="CJ3683">
        <v>-0.94</v>
      </c>
      <c r="CK3683">
        <v>0.65</v>
      </c>
      <c r="CL3683">
        <v>8.61</v>
      </c>
      <c r="CM3683">
        <v>1.4</v>
      </c>
      <c r="CN3683">
        <v>1.1000000000000001</v>
      </c>
      <c r="CO3683">
        <v>7683</v>
      </c>
      <c r="CP3683">
        <v>10188</v>
      </c>
      <c r="CQ3683" t="s">
        <v>15345</v>
      </c>
      <c r="CR3683">
        <v>8.58</v>
      </c>
      <c r="CS3683">
        <v>9.0399999999999991</v>
      </c>
      <c r="CT3683">
        <v>4.7300000000000004</v>
      </c>
      <c r="CU3683">
        <v>78.13</v>
      </c>
      <c r="CV3683">
        <v>31.28</v>
      </c>
      <c r="CW3683">
        <v>0.49</v>
      </c>
      <c r="CX3683" t="s">
        <v>15346</v>
      </c>
      <c r="CY3683">
        <v>11.21</v>
      </c>
      <c r="CZ3683">
        <v>0</v>
      </c>
      <c r="DA3683">
        <v>6.09</v>
      </c>
      <c r="DB3683">
        <v>4.17</v>
      </c>
      <c r="DC3683">
        <v>0.68</v>
      </c>
      <c r="DD3683">
        <v>81.62</v>
      </c>
      <c r="DE3683" t="s">
        <v>1307</v>
      </c>
      <c r="DF3683">
        <v>58.87</v>
      </c>
      <c r="DG3683">
        <v>20.16</v>
      </c>
      <c r="DH3683">
        <v>26.27</v>
      </c>
      <c r="DI3683">
        <v>0.81</v>
      </c>
      <c r="DJ3683">
        <v>656</v>
      </c>
      <c r="DK3683">
        <v>603666</v>
      </c>
      <c r="DL3683" t="s">
        <v>120</v>
      </c>
      <c r="DM3683" t="s">
        <v>120</v>
      </c>
      <c r="DN3683" t="s">
        <v>120</v>
      </c>
    </row>
    <row r="3684" spans="1:118">
      <c r="A3684" t="str">
        <f>"603667"</f>
        <v>603667</v>
      </c>
      <c r="B3684" t="s">
        <v>15347</v>
      </c>
      <c r="C3684">
        <v>10.01</v>
      </c>
      <c r="D3684">
        <v>0</v>
      </c>
      <c r="E3684">
        <v>4.18</v>
      </c>
      <c r="F3684">
        <v>106</v>
      </c>
      <c r="G3684" t="s">
        <v>10101</v>
      </c>
      <c r="H3684">
        <v>35899.71</v>
      </c>
      <c r="I3684">
        <v>970.62</v>
      </c>
      <c r="J3684">
        <v>2107.09</v>
      </c>
      <c r="K3684" t="s">
        <v>5543</v>
      </c>
      <c r="L3684">
        <v>6.51</v>
      </c>
      <c r="M3684">
        <v>20.78</v>
      </c>
      <c r="N3684">
        <v>1.19</v>
      </c>
      <c r="O3684">
        <v>10.01</v>
      </c>
      <c r="P3684">
        <v>20.78</v>
      </c>
      <c r="Q3684">
        <v>2.06</v>
      </c>
      <c r="R3684">
        <v>19.28</v>
      </c>
      <c r="S3684">
        <v>19.68</v>
      </c>
      <c r="T3684">
        <v>175246</v>
      </c>
      <c r="U3684" t="s">
        <v>120</v>
      </c>
      <c r="V3684">
        <v>18.89</v>
      </c>
      <c r="W3684">
        <v>37.049999999999997</v>
      </c>
      <c r="X3684" t="s">
        <v>959</v>
      </c>
      <c r="Y3684" t="s">
        <v>585</v>
      </c>
      <c r="Z3684">
        <v>7.94</v>
      </c>
      <c r="AA3684">
        <v>20.49</v>
      </c>
      <c r="AB3684">
        <v>96031</v>
      </c>
      <c r="AC3684">
        <v>79215</v>
      </c>
      <c r="AD3684">
        <v>1.21</v>
      </c>
      <c r="AE3684">
        <v>10140</v>
      </c>
      <c r="AF3684">
        <v>0</v>
      </c>
      <c r="AG3684" t="s">
        <v>120</v>
      </c>
      <c r="AH3684">
        <v>0.35</v>
      </c>
      <c r="AI3684">
        <v>0.06</v>
      </c>
      <c r="AJ3684">
        <v>2.69</v>
      </c>
      <c r="AK3684" t="s">
        <v>15348</v>
      </c>
      <c r="AL3684">
        <v>11.35</v>
      </c>
      <c r="AM3684">
        <v>2191</v>
      </c>
      <c r="AN3684">
        <v>80</v>
      </c>
      <c r="AO3684">
        <v>3.0000000000000001E-3</v>
      </c>
      <c r="AP3684">
        <v>2</v>
      </c>
      <c r="AQ3684">
        <v>10.02</v>
      </c>
      <c r="AR3684">
        <v>19.559999999999999</v>
      </c>
      <c r="AS3684">
        <v>61.21</v>
      </c>
      <c r="AT3684">
        <v>129.61000000000001</v>
      </c>
      <c r="AU3684">
        <v>180.44</v>
      </c>
      <c r="AV3684">
        <v>6</v>
      </c>
      <c r="AW3684">
        <v>12.47</v>
      </c>
      <c r="AX3684">
        <v>47.19</v>
      </c>
      <c r="AY3684">
        <v>48.36</v>
      </c>
      <c r="AZ3684">
        <v>90.55</v>
      </c>
      <c r="BA3684">
        <v>1.51</v>
      </c>
      <c r="BB3684" t="s">
        <v>700</v>
      </c>
      <c r="BF3684">
        <v>8.4499999999999993</v>
      </c>
      <c r="BG3684">
        <v>5.59</v>
      </c>
      <c r="BH3684">
        <v>0</v>
      </c>
      <c r="BI3684">
        <v>7.78</v>
      </c>
      <c r="BJ3684">
        <v>20210831</v>
      </c>
      <c r="BK3684">
        <v>20161025</v>
      </c>
      <c r="BL3684">
        <v>2.98</v>
      </c>
      <c r="BM3684" t="s">
        <v>120</v>
      </c>
      <c r="BN3684" t="s">
        <v>120</v>
      </c>
      <c r="BO3684">
        <v>37.909999999999997</v>
      </c>
      <c r="BP3684">
        <v>20.78</v>
      </c>
      <c r="BQ3684">
        <v>18.329999999999998</v>
      </c>
      <c r="BR3684">
        <v>0.97</v>
      </c>
      <c r="BS3684">
        <v>49.08</v>
      </c>
      <c r="BT3684">
        <v>19.579999999999998</v>
      </c>
      <c r="BU3684">
        <v>9.08</v>
      </c>
      <c r="BV3684">
        <v>2.5499999999999998</v>
      </c>
      <c r="BW3684">
        <v>14.91</v>
      </c>
      <c r="BX3684">
        <v>3.29</v>
      </c>
      <c r="BY3684">
        <v>6.98</v>
      </c>
      <c r="BZ3684">
        <v>5.59</v>
      </c>
      <c r="CA3684">
        <v>0.03</v>
      </c>
      <c r="CB3684">
        <v>9.33</v>
      </c>
      <c r="CC3684">
        <v>11.96</v>
      </c>
      <c r="CD3684">
        <v>9.52</v>
      </c>
      <c r="CE3684">
        <v>1.05</v>
      </c>
      <c r="CF3684">
        <v>0.03</v>
      </c>
      <c r="CG3684">
        <v>1.06</v>
      </c>
      <c r="CH3684">
        <v>0.88</v>
      </c>
      <c r="CI3684">
        <v>0.83</v>
      </c>
      <c r="CJ3684">
        <v>1.89</v>
      </c>
      <c r="CK3684">
        <v>0.71</v>
      </c>
      <c r="CL3684">
        <v>5.3</v>
      </c>
      <c r="CM3684">
        <v>0.43</v>
      </c>
      <c r="CN3684">
        <v>-0.21</v>
      </c>
      <c r="CO3684">
        <v>15952</v>
      </c>
      <c r="CP3684">
        <v>8807</v>
      </c>
      <c r="CQ3684" t="s">
        <v>15349</v>
      </c>
      <c r="CR3684">
        <v>184.86</v>
      </c>
      <c r="CS3684">
        <v>53.47</v>
      </c>
      <c r="CT3684">
        <v>3.42</v>
      </c>
      <c r="CU3684">
        <v>142.77000000000001</v>
      </c>
      <c r="CV3684">
        <v>5.17</v>
      </c>
      <c r="CW3684">
        <v>0.86</v>
      </c>
      <c r="CX3684" t="s">
        <v>293</v>
      </c>
      <c r="CY3684">
        <v>6.07</v>
      </c>
      <c r="CZ3684">
        <v>6.07</v>
      </c>
      <c r="DA3684">
        <v>3.13</v>
      </c>
      <c r="DB3684">
        <v>1.78</v>
      </c>
      <c r="DC3684">
        <v>0.15</v>
      </c>
      <c r="DD3684">
        <v>48.36</v>
      </c>
      <c r="DE3684" t="s">
        <v>13909</v>
      </c>
      <c r="DF3684">
        <v>20.38</v>
      </c>
      <c r="DG3684">
        <v>8.77</v>
      </c>
      <c r="DH3684">
        <v>6.98</v>
      </c>
      <c r="DI3684">
        <v>0.34</v>
      </c>
      <c r="DJ3684">
        <v>3953</v>
      </c>
      <c r="DK3684">
        <v>603667</v>
      </c>
      <c r="DL3684">
        <v>20210811</v>
      </c>
      <c r="DM3684">
        <v>12.82</v>
      </c>
      <c r="DN3684">
        <v>62.09</v>
      </c>
    </row>
    <row r="3685" spans="1:118">
      <c r="A3685" t="str">
        <f>"603668"</f>
        <v>603668</v>
      </c>
      <c r="B3685" t="s">
        <v>15350</v>
      </c>
      <c r="C3685">
        <v>2.0099999999999998</v>
      </c>
      <c r="D3685">
        <v>0.26</v>
      </c>
      <c r="E3685">
        <v>0.8</v>
      </c>
      <c r="F3685">
        <v>1184</v>
      </c>
      <c r="G3685" t="s">
        <v>15351</v>
      </c>
      <c r="H3685">
        <v>9278.43</v>
      </c>
      <c r="I3685">
        <v>3.24</v>
      </c>
      <c r="J3685" t="s">
        <v>120</v>
      </c>
      <c r="K3685" t="s">
        <v>8575</v>
      </c>
      <c r="L3685">
        <v>3.55</v>
      </c>
      <c r="M3685">
        <v>7.63</v>
      </c>
      <c r="N3685">
        <v>2.89</v>
      </c>
      <c r="O3685">
        <v>5.08</v>
      </c>
      <c r="P3685">
        <v>7.86</v>
      </c>
      <c r="Q3685">
        <v>0</v>
      </c>
      <c r="R3685">
        <v>7.48</v>
      </c>
      <c r="S3685">
        <v>7.54</v>
      </c>
      <c r="T3685">
        <v>120522</v>
      </c>
      <c r="U3685">
        <v>7.64</v>
      </c>
      <c r="V3685">
        <v>7.48</v>
      </c>
      <c r="W3685">
        <v>27.34</v>
      </c>
      <c r="X3685" t="s">
        <v>386</v>
      </c>
      <c r="Y3685" t="s">
        <v>937</v>
      </c>
      <c r="Z3685">
        <v>5.08</v>
      </c>
      <c r="AA3685">
        <v>7.7</v>
      </c>
      <c r="AB3685">
        <v>50285</v>
      </c>
      <c r="AC3685">
        <v>70237</v>
      </c>
      <c r="AD3685">
        <v>0.72</v>
      </c>
      <c r="AE3685">
        <v>257</v>
      </c>
      <c r="AF3685">
        <v>55</v>
      </c>
      <c r="AG3685" t="s">
        <v>120</v>
      </c>
      <c r="AH3685">
        <v>0</v>
      </c>
      <c r="AI3685" t="s">
        <v>120</v>
      </c>
      <c r="AJ3685">
        <v>3.39</v>
      </c>
      <c r="AK3685" t="s">
        <v>9580</v>
      </c>
      <c r="AL3685">
        <v>3.35</v>
      </c>
      <c r="AM3685">
        <v>2457</v>
      </c>
      <c r="AN3685">
        <v>49</v>
      </c>
      <c r="AO3685">
        <v>1.4E-3</v>
      </c>
      <c r="AP3685">
        <v>2</v>
      </c>
      <c r="AQ3685">
        <v>0.13</v>
      </c>
      <c r="AR3685">
        <v>1.06</v>
      </c>
      <c r="AS3685">
        <v>8.23</v>
      </c>
      <c r="AT3685">
        <v>6.12</v>
      </c>
      <c r="AU3685">
        <v>-2.4300000000000002</v>
      </c>
      <c r="AV3685">
        <v>2</v>
      </c>
      <c r="AW3685">
        <v>5.26</v>
      </c>
      <c r="AX3685">
        <v>52.49</v>
      </c>
      <c r="AY3685">
        <v>44.6</v>
      </c>
      <c r="AZ3685">
        <v>47.34</v>
      </c>
      <c r="BA3685">
        <v>0.5</v>
      </c>
      <c r="BB3685" t="s">
        <v>143</v>
      </c>
      <c r="BF3685">
        <v>2.92</v>
      </c>
      <c r="BG3685">
        <v>1.19</v>
      </c>
      <c r="BH3685">
        <v>-2.93</v>
      </c>
      <c r="BI3685">
        <v>2.0099999999999998</v>
      </c>
      <c r="BJ3685">
        <v>20210831</v>
      </c>
      <c r="BK3685">
        <v>20170117</v>
      </c>
      <c r="BL3685">
        <v>4.3600000000000003</v>
      </c>
      <c r="BM3685" t="s">
        <v>120</v>
      </c>
      <c r="BN3685" t="s">
        <v>120</v>
      </c>
      <c r="BO3685">
        <v>43.94</v>
      </c>
      <c r="BP3685">
        <v>7.63</v>
      </c>
      <c r="BQ3685">
        <v>12.77</v>
      </c>
      <c r="BR3685">
        <v>3.57</v>
      </c>
      <c r="BS3685">
        <v>62.8</v>
      </c>
      <c r="BT3685">
        <v>24.16</v>
      </c>
      <c r="BU3685">
        <v>10.43</v>
      </c>
      <c r="BV3685">
        <v>2.2000000000000002</v>
      </c>
      <c r="BW3685">
        <v>23.38</v>
      </c>
      <c r="BX3685">
        <v>4.88</v>
      </c>
      <c r="BY3685">
        <v>9.32</v>
      </c>
      <c r="BZ3685">
        <v>7.61</v>
      </c>
      <c r="CA3685">
        <v>0.01</v>
      </c>
      <c r="CB3685">
        <v>4.33</v>
      </c>
      <c r="CC3685">
        <v>24.3</v>
      </c>
      <c r="CD3685">
        <v>21.57</v>
      </c>
      <c r="CE3685">
        <v>1.1000000000000001</v>
      </c>
      <c r="CF3685">
        <v>-0.09</v>
      </c>
      <c r="CG3685">
        <v>1.1000000000000001</v>
      </c>
      <c r="CH3685">
        <v>0.88</v>
      </c>
      <c r="CI3685">
        <v>0.61</v>
      </c>
      <c r="CJ3685">
        <v>0.15</v>
      </c>
      <c r="CK3685">
        <v>0.55000000000000004</v>
      </c>
      <c r="CL3685">
        <v>4.79</v>
      </c>
      <c r="CM3685">
        <v>2.34</v>
      </c>
      <c r="CN3685">
        <v>-0.46</v>
      </c>
      <c r="CO3685">
        <v>26124</v>
      </c>
      <c r="CP3685">
        <v>8767</v>
      </c>
      <c r="CQ3685" t="s">
        <v>4802</v>
      </c>
      <c r="CR3685">
        <v>7.46</v>
      </c>
      <c r="CS3685">
        <v>39.25</v>
      </c>
      <c r="CT3685">
        <v>2.0299999999999998</v>
      </c>
      <c r="CU3685">
        <v>14.24</v>
      </c>
      <c r="CV3685">
        <v>1.37</v>
      </c>
      <c r="CW3685">
        <v>0</v>
      </c>
      <c r="CX3685" t="s">
        <v>242</v>
      </c>
      <c r="CY3685">
        <v>3.76</v>
      </c>
      <c r="CZ3685">
        <v>3.76</v>
      </c>
      <c r="DA3685">
        <v>0.99</v>
      </c>
      <c r="DB3685">
        <v>1.1000000000000001</v>
      </c>
      <c r="DC3685">
        <v>0.54</v>
      </c>
      <c r="DD3685">
        <v>29.06</v>
      </c>
      <c r="DE3685" t="s">
        <v>649</v>
      </c>
      <c r="DF3685">
        <v>11.24</v>
      </c>
      <c r="DG3685">
        <v>4.53</v>
      </c>
      <c r="DH3685">
        <v>2.5</v>
      </c>
      <c r="DI3685">
        <v>0.4</v>
      </c>
      <c r="DJ3685">
        <v>1321</v>
      </c>
      <c r="DK3685">
        <v>603668</v>
      </c>
      <c r="DL3685" t="s">
        <v>120</v>
      </c>
      <c r="DM3685" t="s">
        <v>120</v>
      </c>
      <c r="DN3685" t="s">
        <v>120</v>
      </c>
    </row>
    <row r="3686" spans="1:118">
      <c r="A3686" t="str">
        <f>"603669"</f>
        <v>603669</v>
      </c>
      <c r="B3686" t="s">
        <v>15352</v>
      </c>
      <c r="C3686">
        <v>-4.54</v>
      </c>
      <c r="D3686">
        <v>-0.11</v>
      </c>
      <c r="E3686">
        <v>-0.11</v>
      </c>
      <c r="F3686">
        <v>331</v>
      </c>
      <c r="G3686" t="s">
        <v>15353</v>
      </c>
      <c r="H3686">
        <v>3570.54</v>
      </c>
      <c r="I3686">
        <v>5.9</v>
      </c>
      <c r="J3686" t="s">
        <v>120</v>
      </c>
      <c r="K3686" t="s">
        <v>15354</v>
      </c>
      <c r="L3686">
        <v>0.57999999999999996</v>
      </c>
      <c r="M3686">
        <v>8.41</v>
      </c>
      <c r="N3686">
        <v>1.95</v>
      </c>
      <c r="O3686">
        <v>0.45</v>
      </c>
      <c r="P3686">
        <v>8.85</v>
      </c>
      <c r="Q3686">
        <v>-4.88</v>
      </c>
      <c r="R3686">
        <v>8.3800000000000008</v>
      </c>
      <c r="S3686">
        <v>8.8000000000000007</v>
      </c>
      <c r="T3686">
        <v>41597</v>
      </c>
      <c r="U3686">
        <v>8.42</v>
      </c>
      <c r="V3686">
        <v>8.81</v>
      </c>
      <c r="W3686">
        <v>43.62</v>
      </c>
      <c r="X3686" t="s">
        <v>569</v>
      </c>
      <c r="Y3686" t="s">
        <v>1886</v>
      </c>
      <c r="Z3686">
        <v>5.33</v>
      </c>
      <c r="AA3686">
        <v>8.58</v>
      </c>
      <c r="AB3686">
        <v>31521</v>
      </c>
      <c r="AC3686">
        <v>10076</v>
      </c>
      <c r="AD3686">
        <v>3.13</v>
      </c>
      <c r="AE3686">
        <v>259</v>
      </c>
      <c r="AF3686">
        <v>94</v>
      </c>
      <c r="AG3686" t="s">
        <v>120</v>
      </c>
      <c r="AH3686">
        <v>0</v>
      </c>
      <c r="AI3686" t="s">
        <v>120</v>
      </c>
      <c r="AJ3686">
        <v>7.13</v>
      </c>
      <c r="AK3686" t="s">
        <v>15354</v>
      </c>
      <c r="AL3686">
        <v>-3.2</v>
      </c>
      <c r="AM3686">
        <v>1252</v>
      </c>
      <c r="AN3686">
        <v>33</v>
      </c>
      <c r="AO3686">
        <v>5.0000000000000001E-4</v>
      </c>
      <c r="AP3686">
        <v>-1</v>
      </c>
      <c r="AQ3686">
        <v>0</v>
      </c>
      <c r="AR3686">
        <v>-5.07</v>
      </c>
      <c r="AS3686">
        <v>-12.12</v>
      </c>
      <c r="AT3686">
        <v>2.93</v>
      </c>
      <c r="AU3686">
        <v>-0.12</v>
      </c>
      <c r="AV3686">
        <v>0</v>
      </c>
      <c r="AW3686">
        <v>1.42</v>
      </c>
      <c r="AX3686">
        <v>41</v>
      </c>
      <c r="AY3686">
        <v>41.2</v>
      </c>
      <c r="AZ3686">
        <v>39.270000000000003</v>
      </c>
      <c r="BA3686">
        <v>0.66</v>
      </c>
      <c r="BB3686" t="s">
        <v>143</v>
      </c>
      <c r="BF3686">
        <v>-2.57</v>
      </c>
      <c r="BG3686">
        <v>-4.43</v>
      </c>
      <c r="BH3686">
        <v>-4.97</v>
      </c>
      <c r="BI3686">
        <v>0.36</v>
      </c>
      <c r="BJ3686">
        <v>20210821</v>
      </c>
      <c r="BK3686">
        <v>20150528</v>
      </c>
      <c r="BL3686">
        <v>7.13</v>
      </c>
      <c r="BM3686" t="s">
        <v>120</v>
      </c>
      <c r="BN3686" t="s">
        <v>120</v>
      </c>
      <c r="BO3686">
        <v>27.7</v>
      </c>
      <c r="BP3686">
        <v>8.41</v>
      </c>
      <c r="BQ3686">
        <v>14.06</v>
      </c>
      <c r="BR3686" t="s">
        <v>120</v>
      </c>
      <c r="BS3686">
        <v>49.25</v>
      </c>
      <c r="BT3686">
        <v>20.91</v>
      </c>
      <c r="BU3686">
        <v>2.99</v>
      </c>
      <c r="BV3686">
        <v>1.01</v>
      </c>
      <c r="BW3686">
        <v>9.27</v>
      </c>
      <c r="BX3686">
        <v>9.99</v>
      </c>
      <c r="BY3686">
        <v>0.76</v>
      </c>
      <c r="BZ3686">
        <v>1.89</v>
      </c>
      <c r="CA3686" t="s">
        <v>120</v>
      </c>
      <c r="CB3686">
        <v>1.94</v>
      </c>
      <c r="CC3686">
        <v>4.78</v>
      </c>
      <c r="CD3686">
        <v>0.75</v>
      </c>
      <c r="CE3686">
        <v>0.77</v>
      </c>
      <c r="CF3686">
        <v>0.01</v>
      </c>
      <c r="CG3686">
        <v>0.77</v>
      </c>
      <c r="CH3686">
        <v>0.69</v>
      </c>
      <c r="CI3686">
        <v>0.69</v>
      </c>
      <c r="CJ3686">
        <v>-0.4</v>
      </c>
      <c r="CK3686">
        <v>0.39</v>
      </c>
      <c r="CL3686">
        <v>2.54</v>
      </c>
      <c r="CM3686">
        <v>0.44</v>
      </c>
      <c r="CN3686">
        <v>-5.8</v>
      </c>
      <c r="CO3686">
        <v>16187</v>
      </c>
      <c r="CP3686">
        <v>18073</v>
      </c>
      <c r="CQ3686" t="s">
        <v>15355</v>
      </c>
      <c r="CR3686">
        <v>-9.84</v>
      </c>
      <c r="CS3686">
        <v>0.88</v>
      </c>
      <c r="CT3686">
        <v>4.62</v>
      </c>
      <c r="CU3686">
        <v>136.47999999999999</v>
      </c>
      <c r="CV3686">
        <v>12.55</v>
      </c>
      <c r="CW3686">
        <v>2.27</v>
      </c>
      <c r="CX3686" t="s">
        <v>411</v>
      </c>
      <c r="CY3686">
        <v>1.82</v>
      </c>
      <c r="CZ3686">
        <v>1.82</v>
      </c>
      <c r="DA3686">
        <v>0.27</v>
      </c>
      <c r="DB3686">
        <v>0.36</v>
      </c>
      <c r="DC3686">
        <v>0.06</v>
      </c>
      <c r="DD3686">
        <v>50.75</v>
      </c>
      <c r="DE3686" t="s">
        <v>4482</v>
      </c>
      <c r="DF3686">
        <v>84.22</v>
      </c>
      <c r="DG3686">
        <v>16.04</v>
      </c>
      <c r="DH3686">
        <v>14.39</v>
      </c>
      <c r="DI3686">
        <v>0.12</v>
      </c>
      <c r="DJ3686">
        <v>701</v>
      </c>
      <c r="DK3686">
        <v>603669</v>
      </c>
      <c r="DL3686" t="s">
        <v>120</v>
      </c>
      <c r="DM3686" t="s">
        <v>120</v>
      </c>
      <c r="DN3686" t="s">
        <v>120</v>
      </c>
    </row>
    <row r="3687" spans="1:118">
      <c r="A3687" t="str">
        <f>"603676"</f>
        <v>603676</v>
      </c>
      <c r="B3687" t="s">
        <v>15356</v>
      </c>
      <c r="C3687">
        <v>1.8</v>
      </c>
      <c r="D3687">
        <v>-0.46</v>
      </c>
      <c r="E3687">
        <v>-0.12</v>
      </c>
      <c r="F3687">
        <v>1030</v>
      </c>
      <c r="G3687" t="s">
        <v>10720</v>
      </c>
      <c r="H3687">
        <v>4716.33</v>
      </c>
      <c r="I3687">
        <v>1.58</v>
      </c>
      <c r="J3687" t="s">
        <v>120</v>
      </c>
      <c r="K3687" t="s">
        <v>8479</v>
      </c>
      <c r="L3687">
        <v>1.29</v>
      </c>
      <c r="M3687">
        <v>8.48</v>
      </c>
      <c r="N3687">
        <v>2.2200000000000002</v>
      </c>
      <c r="O3687">
        <v>7.44</v>
      </c>
      <c r="P3687">
        <v>8.9499999999999993</v>
      </c>
      <c r="Q3687">
        <v>-0.84</v>
      </c>
      <c r="R3687">
        <v>8.26</v>
      </c>
      <c r="S3687">
        <v>8.32</v>
      </c>
      <c r="T3687">
        <v>54378</v>
      </c>
      <c r="U3687">
        <v>8.48</v>
      </c>
      <c r="V3687">
        <v>8.33</v>
      </c>
      <c r="W3687">
        <v>34.54</v>
      </c>
      <c r="X3687" t="s">
        <v>569</v>
      </c>
      <c r="Y3687" t="s">
        <v>1886</v>
      </c>
      <c r="Z3687">
        <v>8.2799999999999994</v>
      </c>
      <c r="AA3687">
        <v>8.67</v>
      </c>
      <c r="AB3687">
        <v>25501</v>
      </c>
      <c r="AC3687">
        <v>28877</v>
      </c>
      <c r="AD3687">
        <v>0.88</v>
      </c>
      <c r="AE3687">
        <v>11</v>
      </c>
      <c r="AF3687">
        <v>1282</v>
      </c>
      <c r="AG3687" t="s">
        <v>120</v>
      </c>
      <c r="AH3687">
        <v>0</v>
      </c>
      <c r="AI3687" t="s">
        <v>120</v>
      </c>
      <c r="AJ3687">
        <v>4.2300000000000004</v>
      </c>
      <c r="AK3687" t="s">
        <v>8006</v>
      </c>
      <c r="AL3687">
        <v>3.14</v>
      </c>
      <c r="AM3687">
        <v>2270</v>
      </c>
      <c r="AN3687">
        <v>24</v>
      </c>
      <c r="AO3687">
        <v>5.9999999999999995E-4</v>
      </c>
      <c r="AP3687">
        <v>2</v>
      </c>
      <c r="AQ3687">
        <v>0.97</v>
      </c>
      <c r="AR3687">
        <v>-2.19</v>
      </c>
      <c r="AS3687">
        <v>-4.5</v>
      </c>
      <c r="AT3687">
        <v>6.53</v>
      </c>
      <c r="AU3687">
        <v>-4.66</v>
      </c>
      <c r="AV3687">
        <v>2</v>
      </c>
      <c r="AW3687">
        <v>7.67</v>
      </c>
      <c r="AX3687">
        <v>16.32</v>
      </c>
      <c r="AY3687">
        <v>43.95</v>
      </c>
      <c r="AZ3687">
        <v>61.94</v>
      </c>
      <c r="BA3687">
        <v>0.84</v>
      </c>
      <c r="BB3687" t="s">
        <v>143</v>
      </c>
      <c r="BF3687">
        <v>4.12</v>
      </c>
      <c r="BG3687">
        <v>1.92</v>
      </c>
      <c r="BH3687">
        <v>-5.25</v>
      </c>
      <c r="BI3687">
        <v>2.66</v>
      </c>
      <c r="BJ3687">
        <v>20210818</v>
      </c>
      <c r="BK3687">
        <v>20170721</v>
      </c>
      <c r="BL3687">
        <v>4.34</v>
      </c>
      <c r="BM3687" t="s">
        <v>120</v>
      </c>
      <c r="BN3687" t="s">
        <v>120</v>
      </c>
      <c r="BO3687">
        <v>14.71</v>
      </c>
      <c r="BP3687">
        <v>8.4700000000000006</v>
      </c>
      <c r="BQ3687">
        <v>9.99</v>
      </c>
      <c r="BR3687" t="s">
        <v>120</v>
      </c>
      <c r="BS3687">
        <v>32.07</v>
      </c>
      <c r="BT3687">
        <v>10</v>
      </c>
      <c r="BU3687">
        <v>2.85</v>
      </c>
      <c r="BV3687">
        <v>0.17</v>
      </c>
      <c r="BW3687">
        <v>4.62</v>
      </c>
      <c r="BX3687">
        <v>1.53</v>
      </c>
      <c r="BY3687">
        <v>0.21</v>
      </c>
      <c r="BZ3687">
        <v>2.72</v>
      </c>
      <c r="CA3687" t="s">
        <v>120</v>
      </c>
      <c r="CB3687">
        <v>2.6</v>
      </c>
      <c r="CC3687">
        <v>5</v>
      </c>
      <c r="CD3687">
        <v>2.5</v>
      </c>
      <c r="CE3687">
        <v>0.66</v>
      </c>
      <c r="CF3687">
        <v>0.05</v>
      </c>
      <c r="CG3687">
        <v>0.66</v>
      </c>
      <c r="CH3687">
        <v>0.53</v>
      </c>
      <c r="CI3687">
        <v>0.53</v>
      </c>
      <c r="CJ3687">
        <v>0.15</v>
      </c>
      <c r="CK3687">
        <v>0.52</v>
      </c>
      <c r="CL3687">
        <v>2.73</v>
      </c>
      <c r="CM3687">
        <v>0.63</v>
      </c>
      <c r="CN3687">
        <v>-0.67</v>
      </c>
      <c r="CO3687">
        <v>16991</v>
      </c>
      <c r="CP3687">
        <v>4172</v>
      </c>
      <c r="CQ3687" t="s">
        <v>11453</v>
      </c>
      <c r="CR3687">
        <v>81.33</v>
      </c>
      <c r="CS3687">
        <v>77.680000000000007</v>
      </c>
      <c r="CT3687">
        <v>3.59</v>
      </c>
      <c r="CU3687">
        <v>58.48</v>
      </c>
      <c r="CV3687">
        <v>7.37</v>
      </c>
      <c r="CW3687">
        <v>1.1100000000000001</v>
      </c>
      <c r="CX3687" t="s">
        <v>986</v>
      </c>
      <c r="CY3687">
        <v>2.36</v>
      </c>
      <c r="CZ3687">
        <v>2.36</v>
      </c>
      <c r="DA3687">
        <v>0.6</v>
      </c>
      <c r="DB3687">
        <v>0.63</v>
      </c>
      <c r="DC3687">
        <v>0.15</v>
      </c>
      <c r="DD3687">
        <v>67.930000000000007</v>
      </c>
      <c r="DE3687" t="s">
        <v>695</v>
      </c>
      <c r="DF3687">
        <v>50.09</v>
      </c>
      <c r="DG3687">
        <v>13.13</v>
      </c>
      <c r="DH3687">
        <v>10.67</v>
      </c>
      <c r="DI3687">
        <v>0.12</v>
      </c>
      <c r="DJ3687">
        <v>500</v>
      </c>
      <c r="DK3687">
        <v>603676</v>
      </c>
      <c r="DL3687" t="s">
        <v>120</v>
      </c>
      <c r="DM3687" t="s">
        <v>120</v>
      </c>
      <c r="DN3687" t="s">
        <v>120</v>
      </c>
    </row>
    <row r="3688" spans="1:118">
      <c r="A3688" t="str">
        <f>"603677"</f>
        <v>603677</v>
      </c>
      <c r="B3688" t="s">
        <v>15357</v>
      </c>
      <c r="C3688">
        <v>-0.42</v>
      </c>
      <c r="D3688">
        <v>0.08</v>
      </c>
      <c r="E3688">
        <v>0.08</v>
      </c>
      <c r="F3688">
        <v>94</v>
      </c>
      <c r="G3688" t="s">
        <v>15358</v>
      </c>
      <c r="H3688">
        <v>2714.02</v>
      </c>
      <c r="I3688">
        <v>8.7200000000000006</v>
      </c>
      <c r="J3688" t="s">
        <v>120</v>
      </c>
      <c r="K3688" t="s">
        <v>15359</v>
      </c>
      <c r="L3688">
        <v>1.18</v>
      </c>
      <c r="M3688">
        <v>11.89</v>
      </c>
      <c r="N3688">
        <v>1.35</v>
      </c>
      <c r="O3688">
        <v>2.09</v>
      </c>
      <c r="P3688">
        <v>12.19</v>
      </c>
      <c r="Q3688">
        <v>-0.75</v>
      </c>
      <c r="R3688">
        <v>11.85</v>
      </c>
      <c r="S3688">
        <v>11.95</v>
      </c>
      <c r="T3688">
        <v>22601</v>
      </c>
      <c r="U3688">
        <v>11.89</v>
      </c>
      <c r="V3688">
        <v>11.94</v>
      </c>
      <c r="W3688">
        <v>22.93</v>
      </c>
      <c r="X3688" t="s">
        <v>959</v>
      </c>
      <c r="Y3688" t="s">
        <v>585</v>
      </c>
      <c r="Z3688">
        <v>2.85</v>
      </c>
      <c r="AA3688">
        <v>12.01</v>
      </c>
      <c r="AB3688">
        <v>13561</v>
      </c>
      <c r="AC3688">
        <v>9040</v>
      </c>
      <c r="AD3688">
        <v>1.5</v>
      </c>
      <c r="AE3688">
        <v>115</v>
      </c>
      <c r="AF3688">
        <v>51</v>
      </c>
      <c r="AG3688" t="s">
        <v>120</v>
      </c>
      <c r="AH3688">
        <v>0.01</v>
      </c>
      <c r="AI3688" t="s">
        <v>120</v>
      </c>
      <c r="AJ3688">
        <v>1.92</v>
      </c>
      <c r="AK3688" t="s">
        <v>15359</v>
      </c>
      <c r="AL3688">
        <v>0.92</v>
      </c>
      <c r="AM3688">
        <v>1547</v>
      </c>
      <c r="AN3688">
        <v>15</v>
      </c>
      <c r="AO3688">
        <v>8.0000000000000004E-4</v>
      </c>
      <c r="AP3688">
        <v>-6</v>
      </c>
      <c r="AQ3688">
        <v>-0.25</v>
      </c>
      <c r="AR3688">
        <v>-2.38</v>
      </c>
      <c r="AS3688">
        <v>0.09</v>
      </c>
      <c r="AT3688">
        <v>6.73</v>
      </c>
      <c r="AU3688">
        <v>5.69</v>
      </c>
      <c r="AV3688">
        <v>1</v>
      </c>
      <c r="AW3688">
        <v>4.5199999999999996</v>
      </c>
      <c r="AX3688">
        <v>26.05</v>
      </c>
      <c r="AY3688">
        <v>30.45</v>
      </c>
      <c r="AZ3688">
        <v>40.82</v>
      </c>
      <c r="BA3688">
        <v>0.65</v>
      </c>
      <c r="BB3688" t="s">
        <v>143</v>
      </c>
      <c r="BF3688">
        <v>0.56999999999999995</v>
      </c>
      <c r="BG3688">
        <v>-0.5</v>
      </c>
      <c r="BH3688">
        <v>-2.46</v>
      </c>
      <c r="BI3688">
        <v>0.34</v>
      </c>
      <c r="BJ3688">
        <v>20210818</v>
      </c>
      <c r="BK3688">
        <v>20170206</v>
      </c>
      <c r="BL3688">
        <v>1.92</v>
      </c>
      <c r="BM3688" t="s">
        <v>120</v>
      </c>
      <c r="BN3688" t="s">
        <v>120</v>
      </c>
      <c r="BO3688">
        <v>19.059999999999999</v>
      </c>
      <c r="BP3688">
        <v>11.88</v>
      </c>
      <c r="BQ3688">
        <v>10.68</v>
      </c>
      <c r="BR3688" t="s">
        <v>120</v>
      </c>
      <c r="BS3688">
        <v>43.94</v>
      </c>
      <c r="BT3688">
        <v>12.27</v>
      </c>
      <c r="BU3688">
        <v>5.43</v>
      </c>
      <c r="BV3688">
        <v>0.82</v>
      </c>
      <c r="BW3688">
        <v>5.34</v>
      </c>
      <c r="BX3688">
        <v>2.5</v>
      </c>
      <c r="BY3688">
        <v>3.89</v>
      </c>
      <c r="BZ3688">
        <v>3.75</v>
      </c>
      <c r="CA3688">
        <v>0.01</v>
      </c>
      <c r="CB3688">
        <v>4.46</v>
      </c>
      <c r="CC3688">
        <v>9.8800000000000008</v>
      </c>
      <c r="CD3688">
        <v>8.3800000000000008</v>
      </c>
      <c r="CE3688">
        <v>0.54</v>
      </c>
      <c r="CF3688">
        <v>0.01</v>
      </c>
      <c r="CG3688">
        <v>0.53</v>
      </c>
      <c r="CH3688">
        <v>0.5</v>
      </c>
      <c r="CI3688">
        <v>0.5</v>
      </c>
      <c r="CJ3688">
        <v>-0.05</v>
      </c>
      <c r="CK3688">
        <v>0.47</v>
      </c>
      <c r="CL3688">
        <v>2.96</v>
      </c>
      <c r="CM3688">
        <v>0.35</v>
      </c>
      <c r="CN3688">
        <v>0.21</v>
      </c>
      <c r="CO3688">
        <v>7192</v>
      </c>
      <c r="CP3688">
        <v>6959</v>
      </c>
      <c r="CQ3688" t="s">
        <v>870</v>
      </c>
      <c r="CR3688">
        <v>62.34</v>
      </c>
      <c r="CS3688">
        <v>55.38</v>
      </c>
      <c r="CT3688">
        <v>2.2999999999999998</v>
      </c>
      <c r="CU3688">
        <v>65.89</v>
      </c>
      <c r="CV3688">
        <v>2.31</v>
      </c>
      <c r="CW3688">
        <v>0.84</v>
      </c>
      <c r="CX3688" t="s">
        <v>670</v>
      </c>
      <c r="CY3688">
        <v>5.16</v>
      </c>
      <c r="CZ3688">
        <v>5.16</v>
      </c>
      <c r="DA3688">
        <v>2.3199999999999998</v>
      </c>
      <c r="DB3688">
        <v>1.54</v>
      </c>
      <c r="DC3688">
        <v>0.18</v>
      </c>
      <c r="DD3688">
        <v>56.06</v>
      </c>
      <c r="DE3688" t="s">
        <v>128</v>
      </c>
      <c r="DF3688">
        <v>15.15</v>
      </c>
      <c r="DG3688">
        <v>5.47</v>
      </c>
      <c r="DH3688">
        <v>5.04</v>
      </c>
      <c r="DI3688">
        <v>0.36</v>
      </c>
      <c r="DJ3688">
        <v>2546</v>
      </c>
      <c r="DK3688">
        <v>603677</v>
      </c>
      <c r="DL3688" t="s">
        <v>120</v>
      </c>
      <c r="DM3688" t="s">
        <v>120</v>
      </c>
      <c r="DN3688" t="s">
        <v>120</v>
      </c>
    </row>
    <row r="3689" spans="1:118">
      <c r="A3689" t="str">
        <f>"603678"</f>
        <v>603678</v>
      </c>
      <c r="B3689" t="s">
        <v>15360</v>
      </c>
      <c r="C3689">
        <v>-2.84</v>
      </c>
      <c r="D3689">
        <v>0</v>
      </c>
      <c r="E3689">
        <v>-0.37</v>
      </c>
      <c r="F3689">
        <v>220</v>
      </c>
      <c r="G3689" t="s">
        <v>15361</v>
      </c>
      <c r="H3689">
        <v>53344.29</v>
      </c>
      <c r="I3689">
        <v>50.9</v>
      </c>
      <c r="J3689" t="s">
        <v>120</v>
      </c>
      <c r="K3689" t="s">
        <v>15362</v>
      </c>
      <c r="L3689">
        <v>1.67</v>
      </c>
      <c r="M3689">
        <v>67.989999999999995</v>
      </c>
      <c r="N3689">
        <v>1.4</v>
      </c>
      <c r="O3689">
        <v>3.39</v>
      </c>
      <c r="P3689">
        <v>72.349999999999994</v>
      </c>
      <c r="Q3689">
        <v>-2.84</v>
      </c>
      <c r="R3689">
        <v>67.989999999999995</v>
      </c>
      <c r="S3689">
        <v>69.72</v>
      </c>
      <c r="T3689">
        <v>76456</v>
      </c>
      <c r="U3689">
        <v>68</v>
      </c>
      <c r="V3689">
        <v>69.98</v>
      </c>
      <c r="W3689">
        <v>28.39</v>
      </c>
      <c r="X3689" t="s">
        <v>229</v>
      </c>
      <c r="Y3689" t="s">
        <v>937</v>
      </c>
      <c r="Z3689">
        <v>6.23</v>
      </c>
      <c r="AA3689">
        <v>69.77</v>
      </c>
      <c r="AB3689">
        <v>35108</v>
      </c>
      <c r="AC3689">
        <v>41348</v>
      </c>
      <c r="AD3689">
        <v>0.85</v>
      </c>
      <c r="AE3689">
        <v>263</v>
      </c>
      <c r="AF3689">
        <v>123</v>
      </c>
      <c r="AG3689" t="s">
        <v>120</v>
      </c>
      <c r="AH3689">
        <v>0</v>
      </c>
      <c r="AI3689" t="s">
        <v>120</v>
      </c>
      <c r="AJ3689">
        <v>4.59</v>
      </c>
      <c r="AK3689" t="s">
        <v>15363</v>
      </c>
      <c r="AL3689">
        <v>-1.5</v>
      </c>
      <c r="AM3689">
        <v>3878</v>
      </c>
      <c r="AN3689">
        <v>20</v>
      </c>
      <c r="AO3689">
        <v>4.0000000000000002E-4</v>
      </c>
      <c r="AP3689">
        <v>-2</v>
      </c>
      <c r="AQ3689">
        <v>-0.99</v>
      </c>
      <c r="AR3689">
        <v>-3.35</v>
      </c>
      <c r="AS3689">
        <v>-17.88</v>
      </c>
      <c r="AT3689">
        <v>5.16</v>
      </c>
      <c r="AU3689">
        <v>-5.52</v>
      </c>
      <c r="AV3689">
        <v>3</v>
      </c>
      <c r="AW3689">
        <v>2.86</v>
      </c>
      <c r="AX3689">
        <v>58.22</v>
      </c>
      <c r="AY3689">
        <v>36.340000000000003</v>
      </c>
      <c r="AZ3689">
        <v>52.8</v>
      </c>
      <c r="BA3689">
        <v>1.22</v>
      </c>
      <c r="BB3689" t="s">
        <v>134</v>
      </c>
      <c r="BF3689">
        <v>-0.3</v>
      </c>
      <c r="BG3689">
        <v>-2.48</v>
      </c>
      <c r="BH3689">
        <v>-6.03</v>
      </c>
      <c r="BI3689">
        <v>0</v>
      </c>
      <c r="BJ3689">
        <v>20210825</v>
      </c>
      <c r="BK3689">
        <v>20150126</v>
      </c>
      <c r="BL3689">
        <v>4.5999999999999996</v>
      </c>
      <c r="BM3689" t="s">
        <v>120</v>
      </c>
      <c r="BN3689" t="s">
        <v>120</v>
      </c>
      <c r="BO3689">
        <v>64.319999999999993</v>
      </c>
      <c r="BP3689">
        <v>67.989999999999995</v>
      </c>
      <c r="BQ3689">
        <v>42.66</v>
      </c>
      <c r="BR3689">
        <v>1.37</v>
      </c>
      <c r="BS3689">
        <v>31.55</v>
      </c>
      <c r="BT3689">
        <v>45.88</v>
      </c>
      <c r="BU3689">
        <v>10.6</v>
      </c>
      <c r="BV3689">
        <v>1.42</v>
      </c>
      <c r="BW3689">
        <v>15.18</v>
      </c>
      <c r="BX3689">
        <v>11.19</v>
      </c>
      <c r="BY3689">
        <v>10.27</v>
      </c>
      <c r="BZ3689">
        <v>18.07</v>
      </c>
      <c r="CA3689">
        <v>0</v>
      </c>
      <c r="CB3689">
        <v>12.83</v>
      </c>
      <c r="CC3689">
        <v>24.12</v>
      </c>
      <c r="CD3689">
        <v>15.34</v>
      </c>
      <c r="CE3689">
        <v>6.79</v>
      </c>
      <c r="CF3689">
        <v>-0.03</v>
      </c>
      <c r="CG3689">
        <v>6.76</v>
      </c>
      <c r="CH3689">
        <v>5.64</v>
      </c>
      <c r="CI3689">
        <v>5.51</v>
      </c>
      <c r="CJ3689">
        <v>-1.99</v>
      </c>
      <c r="CK3689">
        <v>5.42</v>
      </c>
      <c r="CL3689">
        <v>23.29</v>
      </c>
      <c r="CM3689">
        <v>3.83</v>
      </c>
      <c r="CN3689">
        <v>2.74</v>
      </c>
      <c r="CO3689">
        <v>31694</v>
      </c>
      <c r="CP3689">
        <v>8447</v>
      </c>
      <c r="CQ3689" t="s">
        <v>15364</v>
      </c>
      <c r="CR3689">
        <v>100.55</v>
      </c>
      <c r="CS3689">
        <v>60.92</v>
      </c>
      <c r="CT3689">
        <v>7.44</v>
      </c>
      <c r="CU3689">
        <v>81.56</v>
      </c>
      <c r="CV3689">
        <v>12.96</v>
      </c>
      <c r="CW3689">
        <v>0.48</v>
      </c>
      <c r="CX3689" t="s">
        <v>11280</v>
      </c>
      <c r="CY3689">
        <v>9.1300000000000008</v>
      </c>
      <c r="CZ3689">
        <v>9.1300000000000008</v>
      </c>
      <c r="DA3689">
        <v>2.79</v>
      </c>
      <c r="DB3689">
        <v>5.0599999999999996</v>
      </c>
      <c r="DC3689">
        <v>0.83</v>
      </c>
      <c r="DD3689">
        <v>66.33</v>
      </c>
      <c r="DE3689" t="s">
        <v>15365</v>
      </c>
      <c r="DF3689">
        <v>36.42</v>
      </c>
      <c r="DG3689">
        <v>28.13</v>
      </c>
      <c r="DH3689">
        <v>22.83</v>
      </c>
      <c r="DI3689">
        <v>0.4</v>
      </c>
      <c r="DJ3689">
        <v>1826</v>
      </c>
      <c r="DK3689">
        <v>603678</v>
      </c>
      <c r="DL3689" t="s">
        <v>120</v>
      </c>
      <c r="DM3689" t="s">
        <v>120</v>
      </c>
      <c r="DN3689" t="s">
        <v>120</v>
      </c>
    </row>
    <row r="3690" spans="1:118">
      <c r="A3690" t="str">
        <f>"603679"</f>
        <v>603679</v>
      </c>
      <c r="B3690" t="s">
        <v>15366</v>
      </c>
      <c r="C3690">
        <v>1.38</v>
      </c>
      <c r="D3690">
        <v>0</v>
      </c>
      <c r="E3690">
        <v>0.65</v>
      </c>
      <c r="F3690">
        <v>160</v>
      </c>
      <c r="G3690" t="s">
        <v>15367</v>
      </c>
      <c r="H3690">
        <v>1580.41</v>
      </c>
      <c r="I3690">
        <v>0</v>
      </c>
      <c r="J3690" t="s">
        <v>120</v>
      </c>
      <c r="K3690" t="s">
        <v>5665</v>
      </c>
      <c r="L3690">
        <v>0.72</v>
      </c>
      <c r="M3690">
        <v>15.48</v>
      </c>
      <c r="N3690">
        <v>0.85</v>
      </c>
      <c r="O3690">
        <v>1.96</v>
      </c>
      <c r="P3690">
        <v>15.57</v>
      </c>
      <c r="Q3690">
        <v>-0.79</v>
      </c>
      <c r="R3690">
        <v>15.15</v>
      </c>
      <c r="S3690">
        <v>15.37</v>
      </c>
      <c r="T3690">
        <v>10252</v>
      </c>
      <c r="U3690">
        <v>15.48</v>
      </c>
      <c r="V3690">
        <v>15.27</v>
      </c>
      <c r="W3690">
        <v>35.799999999999997</v>
      </c>
      <c r="X3690" t="s">
        <v>394</v>
      </c>
      <c r="Y3690" t="s">
        <v>578</v>
      </c>
      <c r="Z3690">
        <v>2.75</v>
      </c>
      <c r="AA3690">
        <v>15.42</v>
      </c>
      <c r="AB3690">
        <v>4571</v>
      </c>
      <c r="AC3690">
        <v>5681</v>
      </c>
      <c r="AD3690">
        <v>0.8</v>
      </c>
      <c r="AE3690">
        <v>41</v>
      </c>
      <c r="AF3690">
        <v>33</v>
      </c>
      <c r="AG3690" t="s">
        <v>120</v>
      </c>
      <c r="AH3690">
        <v>0</v>
      </c>
      <c r="AI3690" t="s">
        <v>120</v>
      </c>
      <c r="AJ3690">
        <v>1.42</v>
      </c>
      <c r="AK3690" t="s">
        <v>6765</v>
      </c>
      <c r="AL3690">
        <v>2.72</v>
      </c>
      <c r="AM3690">
        <v>961</v>
      </c>
      <c r="AN3690">
        <v>11</v>
      </c>
      <c r="AO3690">
        <v>8.0000000000000004E-4</v>
      </c>
      <c r="AP3690">
        <v>1</v>
      </c>
      <c r="AQ3690">
        <v>-1.42</v>
      </c>
      <c r="AR3690">
        <v>-0.06</v>
      </c>
      <c r="AS3690">
        <v>-3.79</v>
      </c>
      <c r="AT3690">
        <v>-13.48</v>
      </c>
      <c r="AU3690">
        <v>-31.65</v>
      </c>
      <c r="AV3690">
        <v>3</v>
      </c>
      <c r="AW3690">
        <v>1.45</v>
      </c>
      <c r="AX3690">
        <v>49.73</v>
      </c>
      <c r="AY3690">
        <v>34.549999999999997</v>
      </c>
      <c r="AZ3690">
        <v>32.799999999999997</v>
      </c>
      <c r="BA3690">
        <v>0.14000000000000001</v>
      </c>
      <c r="BB3690" t="s">
        <v>134</v>
      </c>
      <c r="BF3690">
        <v>0.95</v>
      </c>
      <c r="BG3690">
        <v>0.72</v>
      </c>
      <c r="BH3690">
        <v>-0.57999999999999996</v>
      </c>
      <c r="BI3690">
        <v>2.1800000000000002</v>
      </c>
      <c r="BJ3690">
        <v>20210821</v>
      </c>
      <c r="BK3690">
        <v>20170621</v>
      </c>
      <c r="BL3690">
        <v>1.42</v>
      </c>
      <c r="BM3690" t="s">
        <v>120</v>
      </c>
      <c r="BN3690" t="s">
        <v>120</v>
      </c>
      <c r="BO3690">
        <v>15.58</v>
      </c>
      <c r="BP3690">
        <v>15.47</v>
      </c>
      <c r="BQ3690">
        <v>7.93</v>
      </c>
      <c r="BR3690">
        <v>0.16</v>
      </c>
      <c r="BS3690">
        <v>48.09</v>
      </c>
      <c r="BT3690">
        <v>9.5399999999999991</v>
      </c>
      <c r="BU3690">
        <v>0.88</v>
      </c>
      <c r="BV3690">
        <v>0.45</v>
      </c>
      <c r="BW3690">
        <v>5.0999999999999996</v>
      </c>
      <c r="BX3690">
        <v>1.94</v>
      </c>
      <c r="BY3690">
        <v>1.17</v>
      </c>
      <c r="BZ3690">
        <v>4.0999999999999996</v>
      </c>
      <c r="CA3690">
        <v>0.04</v>
      </c>
      <c r="CB3690">
        <v>1.97</v>
      </c>
      <c r="CC3690">
        <v>3.47</v>
      </c>
      <c r="CD3690">
        <v>2.58</v>
      </c>
      <c r="CE3690">
        <v>0.31</v>
      </c>
      <c r="CF3690">
        <v>0.04</v>
      </c>
      <c r="CG3690">
        <v>0.33</v>
      </c>
      <c r="CH3690">
        <v>0.31</v>
      </c>
      <c r="CI3690">
        <v>0.31</v>
      </c>
      <c r="CJ3690">
        <v>0.21</v>
      </c>
      <c r="CK3690">
        <v>0.27</v>
      </c>
      <c r="CL3690">
        <v>3.98</v>
      </c>
      <c r="CM3690">
        <v>0.32</v>
      </c>
      <c r="CN3690">
        <v>-1.04</v>
      </c>
      <c r="CO3690">
        <v>10624</v>
      </c>
      <c r="CP3690">
        <v>6648</v>
      </c>
      <c r="CQ3690" t="s">
        <v>15368</v>
      </c>
      <c r="CR3690">
        <v>-9.8000000000000007</v>
      </c>
      <c r="CS3690">
        <v>-5.3</v>
      </c>
      <c r="CT3690">
        <v>2.87</v>
      </c>
      <c r="CU3690">
        <v>67.790000000000006</v>
      </c>
      <c r="CV3690">
        <v>6.33</v>
      </c>
      <c r="CW3690">
        <v>0.53</v>
      </c>
      <c r="CX3690" t="s">
        <v>3361</v>
      </c>
      <c r="CY3690">
        <v>5.39</v>
      </c>
      <c r="CZ3690">
        <v>5.39</v>
      </c>
      <c r="DA3690">
        <v>1.39</v>
      </c>
      <c r="DB3690">
        <v>2.81</v>
      </c>
      <c r="DC3690">
        <v>0.23</v>
      </c>
      <c r="DD3690">
        <v>50.87</v>
      </c>
      <c r="DE3690" t="s">
        <v>1148</v>
      </c>
      <c r="DF3690">
        <v>25.65</v>
      </c>
      <c r="DG3690">
        <v>9.06</v>
      </c>
      <c r="DH3690">
        <v>8.85</v>
      </c>
      <c r="DI3690">
        <v>0.13</v>
      </c>
      <c r="DJ3690">
        <v>791</v>
      </c>
      <c r="DK3690">
        <v>603679</v>
      </c>
      <c r="DL3690" t="s">
        <v>120</v>
      </c>
      <c r="DM3690" t="s">
        <v>120</v>
      </c>
      <c r="DN3690" t="s">
        <v>120</v>
      </c>
    </row>
    <row r="3691" spans="1:118">
      <c r="A3691" t="str">
        <f>"603680"</f>
        <v>603680</v>
      </c>
      <c r="B3691" t="s">
        <v>15369</v>
      </c>
      <c r="C3691">
        <v>-0.39</v>
      </c>
      <c r="D3691">
        <v>-0.09</v>
      </c>
      <c r="E3691">
        <v>0.2</v>
      </c>
      <c r="F3691">
        <v>94</v>
      </c>
      <c r="G3691" t="s">
        <v>15370</v>
      </c>
      <c r="H3691">
        <v>1678.54</v>
      </c>
      <c r="I3691">
        <v>5.7</v>
      </c>
      <c r="J3691" t="s">
        <v>120</v>
      </c>
      <c r="K3691" t="s">
        <v>15371</v>
      </c>
      <c r="L3691">
        <v>0.21</v>
      </c>
      <c r="M3691">
        <v>10.11</v>
      </c>
      <c r="N3691">
        <v>0.78</v>
      </c>
      <c r="O3691">
        <v>2.46</v>
      </c>
      <c r="P3691">
        <v>10.4</v>
      </c>
      <c r="Q3691">
        <v>-0.89</v>
      </c>
      <c r="R3691">
        <v>10.06</v>
      </c>
      <c r="S3691">
        <v>10.17</v>
      </c>
      <c r="T3691">
        <v>16467</v>
      </c>
      <c r="U3691">
        <v>10.119999999999999</v>
      </c>
      <c r="V3691">
        <v>10.15</v>
      </c>
      <c r="W3691">
        <v>23.42</v>
      </c>
      <c r="X3691" t="s">
        <v>157</v>
      </c>
      <c r="Y3691" t="s">
        <v>319</v>
      </c>
      <c r="Z3691">
        <v>3.35</v>
      </c>
      <c r="AA3691">
        <v>10.19</v>
      </c>
      <c r="AB3691">
        <v>9916</v>
      </c>
      <c r="AC3691">
        <v>6551</v>
      </c>
      <c r="AD3691">
        <v>1.51</v>
      </c>
      <c r="AE3691">
        <v>50</v>
      </c>
      <c r="AF3691">
        <v>52</v>
      </c>
      <c r="AG3691" t="s">
        <v>120</v>
      </c>
      <c r="AH3691">
        <v>0.01</v>
      </c>
      <c r="AI3691" t="s">
        <v>120</v>
      </c>
      <c r="AJ3691">
        <v>7.78</v>
      </c>
      <c r="AK3691" t="s">
        <v>15372</v>
      </c>
      <c r="AL3691">
        <v>0.95</v>
      </c>
      <c r="AM3691">
        <v>970</v>
      </c>
      <c r="AN3691">
        <v>17</v>
      </c>
      <c r="AO3691">
        <v>2.0000000000000001E-4</v>
      </c>
      <c r="AP3691">
        <v>-2</v>
      </c>
      <c r="AQ3691">
        <v>-2.96</v>
      </c>
      <c r="AR3691">
        <v>-1.36</v>
      </c>
      <c r="AS3691">
        <v>-1.07</v>
      </c>
      <c r="AT3691">
        <v>-9.17</v>
      </c>
      <c r="AU3691">
        <v>-28.95</v>
      </c>
      <c r="AV3691">
        <v>1</v>
      </c>
      <c r="AW3691">
        <v>1.84</v>
      </c>
      <c r="AX3691">
        <v>11.35</v>
      </c>
      <c r="AY3691">
        <v>18.57</v>
      </c>
      <c r="AZ3691">
        <v>18.96</v>
      </c>
      <c r="BA3691">
        <v>1.05</v>
      </c>
      <c r="BB3691" t="s">
        <v>125</v>
      </c>
      <c r="BF3691">
        <v>0.43</v>
      </c>
      <c r="BG3691">
        <v>-0.59</v>
      </c>
      <c r="BH3691">
        <v>-2.79</v>
      </c>
      <c r="BI3691">
        <v>0.5</v>
      </c>
      <c r="BJ3691">
        <v>20210830</v>
      </c>
      <c r="BK3691">
        <v>20180227</v>
      </c>
      <c r="BL3691">
        <v>7.9</v>
      </c>
      <c r="BM3691" t="s">
        <v>120</v>
      </c>
      <c r="BN3691" t="s">
        <v>120</v>
      </c>
      <c r="BO3691">
        <v>90.46</v>
      </c>
      <c r="BP3691">
        <v>10.11</v>
      </c>
      <c r="BQ3691">
        <v>45.57</v>
      </c>
      <c r="BR3691">
        <v>-0.13</v>
      </c>
      <c r="BS3691">
        <v>49.77</v>
      </c>
      <c r="BT3691">
        <v>63.03</v>
      </c>
      <c r="BU3691">
        <v>13.04</v>
      </c>
      <c r="BV3691">
        <v>3</v>
      </c>
      <c r="BW3691">
        <v>31.24</v>
      </c>
      <c r="BX3691">
        <v>4.95</v>
      </c>
      <c r="BY3691">
        <v>16.3</v>
      </c>
      <c r="BZ3691">
        <v>28.2</v>
      </c>
      <c r="CA3691" t="s">
        <v>120</v>
      </c>
      <c r="CB3691">
        <v>16.72</v>
      </c>
      <c r="CC3691">
        <v>19.829999999999998</v>
      </c>
      <c r="CD3691">
        <v>13.7</v>
      </c>
      <c r="CE3691">
        <v>1.86</v>
      </c>
      <c r="CF3691">
        <v>0.37</v>
      </c>
      <c r="CG3691">
        <v>1.86</v>
      </c>
      <c r="CH3691">
        <v>1.59</v>
      </c>
      <c r="CI3691">
        <v>1.7</v>
      </c>
      <c r="CJ3691">
        <v>-0.04</v>
      </c>
      <c r="CK3691">
        <v>1.49</v>
      </c>
      <c r="CL3691">
        <v>18.079999999999998</v>
      </c>
      <c r="CM3691">
        <v>-2.2599999999999998</v>
      </c>
      <c r="CN3691">
        <v>-6.88</v>
      </c>
      <c r="CO3691">
        <v>13703</v>
      </c>
      <c r="CP3691">
        <v>6541</v>
      </c>
      <c r="CQ3691" t="s">
        <v>13320</v>
      </c>
      <c r="CR3691">
        <v>5.43</v>
      </c>
      <c r="CS3691">
        <v>17.22</v>
      </c>
      <c r="CT3691">
        <v>1.75</v>
      </c>
      <c r="CU3691">
        <v>-35.369999999999997</v>
      </c>
      <c r="CV3691">
        <v>4.03</v>
      </c>
      <c r="CW3691">
        <v>1.67</v>
      </c>
      <c r="CX3691" t="s">
        <v>3361</v>
      </c>
      <c r="CY3691">
        <v>5.77</v>
      </c>
      <c r="CZ3691">
        <v>0</v>
      </c>
      <c r="DA3691">
        <v>2.12</v>
      </c>
      <c r="DB3691">
        <v>2.29</v>
      </c>
      <c r="DC3691">
        <v>-0.28999999999999998</v>
      </c>
      <c r="DD3691">
        <v>50.37</v>
      </c>
      <c r="DE3691" t="s">
        <v>5491</v>
      </c>
      <c r="DF3691">
        <v>30.9</v>
      </c>
      <c r="DG3691">
        <v>9.36</v>
      </c>
      <c r="DH3691">
        <v>8.6</v>
      </c>
      <c r="DI3691">
        <v>0.91</v>
      </c>
      <c r="DJ3691">
        <v>8418</v>
      </c>
      <c r="DK3691">
        <v>603680</v>
      </c>
      <c r="DL3691" t="s">
        <v>120</v>
      </c>
      <c r="DM3691" t="s">
        <v>120</v>
      </c>
      <c r="DN3691" t="s">
        <v>120</v>
      </c>
    </row>
    <row r="3692" spans="1:118">
      <c r="A3692" t="str">
        <f>"603681"</f>
        <v>603681</v>
      </c>
      <c r="B3692" t="s">
        <v>15373</v>
      </c>
      <c r="C3692">
        <v>-4.3600000000000003</v>
      </c>
      <c r="D3692">
        <v>-7.0000000000000007E-2</v>
      </c>
      <c r="E3692">
        <v>-0.25</v>
      </c>
      <c r="F3692">
        <v>263</v>
      </c>
      <c r="G3692" t="s">
        <v>6187</v>
      </c>
      <c r="H3692">
        <v>13678.2</v>
      </c>
      <c r="I3692">
        <v>39.159999999999997</v>
      </c>
      <c r="J3692" t="s">
        <v>120</v>
      </c>
      <c r="K3692" t="s">
        <v>6187</v>
      </c>
      <c r="L3692">
        <v>4.1399999999999997</v>
      </c>
      <c r="M3692">
        <v>37.76</v>
      </c>
      <c r="N3692">
        <v>0.82</v>
      </c>
      <c r="O3692">
        <v>1.57</v>
      </c>
      <c r="P3692">
        <v>40.1</v>
      </c>
      <c r="Q3692">
        <v>-6.16</v>
      </c>
      <c r="R3692">
        <v>37.049999999999997</v>
      </c>
      <c r="S3692">
        <v>39.380000000000003</v>
      </c>
      <c r="T3692">
        <v>35709</v>
      </c>
      <c r="U3692">
        <v>37.79</v>
      </c>
      <c r="V3692">
        <v>39.479999999999997</v>
      </c>
      <c r="W3692">
        <v>27.59</v>
      </c>
      <c r="X3692" t="s">
        <v>868</v>
      </c>
      <c r="Y3692" t="s">
        <v>1510</v>
      </c>
      <c r="Z3692">
        <v>7.73</v>
      </c>
      <c r="AA3692">
        <v>38.299999999999997</v>
      </c>
      <c r="AB3692">
        <v>15890</v>
      </c>
      <c r="AC3692">
        <v>19819</v>
      </c>
      <c r="AD3692">
        <v>0.8</v>
      </c>
      <c r="AE3692">
        <v>1</v>
      </c>
      <c r="AF3692">
        <v>1</v>
      </c>
      <c r="AG3692" t="s">
        <v>120</v>
      </c>
      <c r="AH3692">
        <v>0.01</v>
      </c>
      <c r="AI3692" t="s">
        <v>120</v>
      </c>
      <c r="AJ3692">
        <v>0.86</v>
      </c>
      <c r="AK3692" t="s">
        <v>15374</v>
      </c>
      <c r="AL3692">
        <v>-3.01</v>
      </c>
      <c r="AM3692">
        <v>2719</v>
      </c>
      <c r="AN3692">
        <v>13</v>
      </c>
      <c r="AO3692">
        <v>1.5E-3</v>
      </c>
      <c r="AP3692">
        <v>-2</v>
      </c>
      <c r="AQ3692">
        <v>-1.45</v>
      </c>
      <c r="AR3692">
        <v>-4.5599999999999996</v>
      </c>
      <c r="AS3692">
        <v>29.76</v>
      </c>
      <c r="AT3692">
        <v>46.47</v>
      </c>
      <c r="AU3692">
        <v>91.68</v>
      </c>
      <c r="AV3692">
        <v>0</v>
      </c>
      <c r="AW3692">
        <v>4.1399999999999997</v>
      </c>
      <c r="AX3692">
        <v>45.1</v>
      </c>
      <c r="AY3692">
        <v>31.76</v>
      </c>
      <c r="AZ3692">
        <v>43</v>
      </c>
      <c r="BA3692">
        <v>0.9</v>
      </c>
      <c r="BB3692" t="s">
        <v>125</v>
      </c>
      <c r="BF3692">
        <v>-2.98</v>
      </c>
      <c r="BG3692">
        <v>-4.1100000000000003</v>
      </c>
      <c r="BH3692">
        <v>-5.84</v>
      </c>
      <c r="BI3692">
        <v>1.92</v>
      </c>
      <c r="BJ3692">
        <v>20210913</v>
      </c>
      <c r="BK3692">
        <v>20190326</v>
      </c>
      <c r="BL3692">
        <v>1.91</v>
      </c>
      <c r="BM3692" t="s">
        <v>120</v>
      </c>
      <c r="BN3692" t="s">
        <v>120</v>
      </c>
      <c r="BO3692">
        <v>37.950000000000003</v>
      </c>
      <c r="BP3692">
        <v>37.76</v>
      </c>
      <c r="BQ3692">
        <v>16.54</v>
      </c>
      <c r="BR3692">
        <v>0</v>
      </c>
      <c r="BS3692">
        <v>56.4</v>
      </c>
      <c r="BT3692">
        <v>21.39</v>
      </c>
      <c r="BU3692">
        <v>9.17</v>
      </c>
      <c r="BV3692">
        <v>0.79</v>
      </c>
      <c r="BW3692">
        <v>13.5</v>
      </c>
      <c r="BX3692">
        <v>8.5500000000000007</v>
      </c>
      <c r="BY3692">
        <v>5.32</v>
      </c>
      <c r="BZ3692">
        <v>4.79</v>
      </c>
      <c r="CA3692" t="s">
        <v>120</v>
      </c>
      <c r="CB3692">
        <v>6.65</v>
      </c>
      <c r="CC3692">
        <v>16.77</v>
      </c>
      <c r="CD3692">
        <v>14.4</v>
      </c>
      <c r="CE3692">
        <v>1.46</v>
      </c>
      <c r="CF3692">
        <v>0.09</v>
      </c>
      <c r="CG3692">
        <v>1.46</v>
      </c>
      <c r="CH3692">
        <v>1.31</v>
      </c>
      <c r="CI3692">
        <v>1.31</v>
      </c>
      <c r="CJ3692">
        <v>-1.72</v>
      </c>
      <c r="CK3692">
        <v>1.04</v>
      </c>
      <c r="CL3692">
        <v>7.22</v>
      </c>
      <c r="CM3692">
        <v>-0.56000000000000005</v>
      </c>
      <c r="CN3692">
        <v>-3.52</v>
      </c>
      <c r="CO3692">
        <v>10437</v>
      </c>
      <c r="CP3692">
        <v>8259</v>
      </c>
      <c r="CQ3692" t="s">
        <v>15375</v>
      </c>
      <c r="CR3692">
        <v>90.49</v>
      </c>
      <c r="CS3692">
        <v>55.8</v>
      </c>
      <c r="CT3692">
        <v>3.91</v>
      </c>
      <c r="CU3692">
        <v>-129.57</v>
      </c>
      <c r="CV3692">
        <v>4.3</v>
      </c>
      <c r="CW3692">
        <v>0.44</v>
      </c>
      <c r="CX3692" t="s">
        <v>3050</v>
      </c>
      <c r="CY3692">
        <v>9.67</v>
      </c>
      <c r="CZ3692">
        <v>9.67</v>
      </c>
      <c r="DA3692">
        <v>3.48</v>
      </c>
      <c r="DB3692">
        <v>3.78</v>
      </c>
      <c r="DC3692">
        <v>-0.28999999999999998</v>
      </c>
      <c r="DD3692">
        <v>43.59</v>
      </c>
      <c r="DE3692" t="s">
        <v>11026</v>
      </c>
      <c r="DF3692">
        <v>14.11</v>
      </c>
      <c r="DG3692">
        <v>8.7100000000000009</v>
      </c>
      <c r="DH3692">
        <v>7.8</v>
      </c>
      <c r="DI3692">
        <v>0.62</v>
      </c>
      <c r="DJ3692">
        <v>1802</v>
      </c>
      <c r="DK3692">
        <v>603681</v>
      </c>
      <c r="DL3692" t="s">
        <v>120</v>
      </c>
      <c r="DM3692" t="s">
        <v>120</v>
      </c>
      <c r="DN3692" t="s">
        <v>120</v>
      </c>
    </row>
    <row r="3693" spans="1:118">
      <c r="A3693" t="str">
        <f>"603682"</f>
        <v>603682</v>
      </c>
      <c r="B3693" t="s">
        <v>15376</v>
      </c>
      <c r="C3693">
        <v>-0.67</v>
      </c>
      <c r="D3693">
        <v>-0.16</v>
      </c>
      <c r="E3693">
        <v>0.33</v>
      </c>
      <c r="F3693">
        <v>529</v>
      </c>
      <c r="G3693" t="s">
        <v>9763</v>
      </c>
      <c r="H3693">
        <v>1275.25</v>
      </c>
      <c r="I3693">
        <v>1.38</v>
      </c>
      <c r="J3693" t="s">
        <v>120</v>
      </c>
      <c r="K3693" t="s">
        <v>6804</v>
      </c>
      <c r="L3693">
        <v>1.19</v>
      </c>
      <c r="M3693">
        <v>5.94</v>
      </c>
      <c r="N3693">
        <v>0.6</v>
      </c>
      <c r="O3693">
        <v>1</v>
      </c>
      <c r="P3693">
        <v>6.04</v>
      </c>
      <c r="Q3693">
        <v>-0.84</v>
      </c>
      <c r="R3693">
        <v>5.93</v>
      </c>
      <c r="S3693">
        <v>6</v>
      </c>
      <c r="T3693">
        <v>21326</v>
      </c>
      <c r="U3693">
        <v>5.94</v>
      </c>
      <c r="V3693">
        <v>5.98</v>
      </c>
      <c r="W3693">
        <v>21.05</v>
      </c>
      <c r="X3693" t="s">
        <v>416</v>
      </c>
      <c r="Y3693" t="s">
        <v>1510</v>
      </c>
      <c r="Z3693">
        <v>1.84</v>
      </c>
      <c r="AA3693">
        <v>5.98</v>
      </c>
      <c r="AB3693">
        <v>12615</v>
      </c>
      <c r="AC3693">
        <v>8711</v>
      </c>
      <c r="AD3693">
        <v>1.45</v>
      </c>
      <c r="AE3693">
        <v>545</v>
      </c>
      <c r="AF3693">
        <v>80</v>
      </c>
      <c r="AG3693" t="s">
        <v>120</v>
      </c>
      <c r="AH3693">
        <v>0</v>
      </c>
      <c r="AI3693" t="s">
        <v>120</v>
      </c>
      <c r="AJ3693">
        <v>1.8</v>
      </c>
      <c r="AK3693" t="s">
        <v>6246</v>
      </c>
      <c r="AL3693">
        <v>0.67</v>
      </c>
      <c r="AM3693">
        <v>732</v>
      </c>
      <c r="AN3693">
        <v>29</v>
      </c>
      <c r="AO3693">
        <v>1.6000000000000001E-3</v>
      </c>
      <c r="AP3693">
        <v>-3</v>
      </c>
      <c r="AQ3693">
        <v>-0.5</v>
      </c>
      <c r="AR3693">
        <v>-2.79</v>
      </c>
      <c r="AS3693">
        <v>4.9400000000000004</v>
      </c>
      <c r="AT3693">
        <v>-10.27</v>
      </c>
      <c r="AU3693">
        <v>-26.94</v>
      </c>
      <c r="AV3693">
        <v>0</v>
      </c>
      <c r="AW3693">
        <v>1.41</v>
      </c>
      <c r="AX3693">
        <v>32</v>
      </c>
      <c r="AY3693">
        <v>19.71</v>
      </c>
      <c r="AZ3693">
        <v>18.100000000000001</v>
      </c>
      <c r="BA3693">
        <v>0.89</v>
      </c>
      <c r="BB3693" t="s">
        <v>143</v>
      </c>
      <c r="BF3693">
        <v>0</v>
      </c>
      <c r="BG3693">
        <v>-1</v>
      </c>
      <c r="BH3693">
        <v>-1.66</v>
      </c>
      <c r="BI3693">
        <v>0.17</v>
      </c>
      <c r="BJ3693">
        <v>20210830</v>
      </c>
      <c r="BK3693">
        <v>20200421</v>
      </c>
      <c r="BL3693">
        <v>4.7300000000000004</v>
      </c>
      <c r="BM3693" t="s">
        <v>120</v>
      </c>
      <c r="BN3693" t="s">
        <v>120</v>
      </c>
      <c r="BO3693">
        <v>52.21</v>
      </c>
      <c r="BP3693">
        <v>5.93</v>
      </c>
      <c r="BQ3693">
        <v>10.210000000000001</v>
      </c>
      <c r="BR3693">
        <v>0.8</v>
      </c>
      <c r="BS3693">
        <v>78.91</v>
      </c>
      <c r="BT3693">
        <v>5.03</v>
      </c>
      <c r="BU3693">
        <v>7.0000000000000007E-2</v>
      </c>
      <c r="BV3693">
        <v>0.08</v>
      </c>
      <c r="BW3693">
        <v>7.81</v>
      </c>
      <c r="BX3693">
        <v>3.5</v>
      </c>
      <c r="BY3693">
        <v>0</v>
      </c>
      <c r="BZ3693">
        <v>0.49</v>
      </c>
      <c r="CA3693">
        <v>0.43</v>
      </c>
      <c r="CB3693">
        <v>5.98</v>
      </c>
      <c r="CC3693">
        <v>4.0999999999999996</v>
      </c>
      <c r="CD3693">
        <v>2.36</v>
      </c>
      <c r="CE3693">
        <v>0.68</v>
      </c>
      <c r="CF3693">
        <v>7.0000000000000007E-2</v>
      </c>
      <c r="CG3693">
        <v>0.87</v>
      </c>
      <c r="CH3693">
        <v>0.67</v>
      </c>
      <c r="CI3693">
        <v>0.67</v>
      </c>
      <c r="CJ3693">
        <v>-0.04</v>
      </c>
      <c r="CK3693">
        <v>0.46</v>
      </c>
      <c r="CL3693">
        <v>-1.44</v>
      </c>
      <c r="CM3693">
        <v>0.93</v>
      </c>
      <c r="CN3693">
        <v>-2.79</v>
      </c>
      <c r="CO3693">
        <v>20789</v>
      </c>
      <c r="CP3693">
        <v>7273</v>
      </c>
      <c r="CQ3693" t="s">
        <v>1796</v>
      </c>
      <c r="CR3693">
        <v>-16.079999999999998</v>
      </c>
      <c r="CS3693">
        <v>9.7100000000000009</v>
      </c>
      <c r="CT3693">
        <v>2.75</v>
      </c>
      <c r="CU3693">
        <v>30.04</v>
      </c>
      <c r="CV3693">
        <v>6.85</v>
      </c>
      <c r="CW3693">
        <v>3.68</v>
      </c>
      <c r="CX3693" t="s">
        <v>300</v>
      </c>
      <c r="CY3693">
        <v>2.16</v>
      </c>
      <c r="CZ3693">
        <v>0</v>
      </c>
      <c r="DA3693">
        <v>1.27</v>
      </c>
      <c r="DB3693">
        <v>-0.31</v>
      </c>
      <c r="DC3693">
        <v>0.2</v>
      </c>
      <c r="DD3693">
        <v>19.55</v>
      </c>
      <c r="DE3693" t="s">
        <v>4574</v>
      </c>
      <c r="DF3693">
        <v>42.42</v>
      </c>
      <c r="DG3693">
        <v>16.489999999999998</v>
      </c>
      <c r="DH3693">
        <v>16.27</v>
      </c>
      <c r="DI3693">
        <v>0</v>
      </c>
      <c r="DJ3693">
        <v>464</v>
      </c>
      <c r="DK3693">
        <v>603682</v>
      </c>
      <c r="DL3693" t="s">
        <v>120</v>
      </c>
      <c r="DM3693" t="s">
        <v>120</v>
      </c>
      <c r="DN3693" t="s">
        <v>120</v>
      </c>
    </row>
    <row r="3694" spans="1:118">
      <c r="A3694" t="str">
        <f>"603683"</f>
        <v>603683</v>
      </c>
      <c r="B3694" t="s">
        <v>15377</v>
      </c>
      <c r="C3694">
        <v>-1.23</v>
      </c>
      <c r="D3694">
        <v>-7.0000000000000007E-2</v>
      </c>
      <c r="E3694">
        <v>0.08</v>
      </c>
      <c r="F3694">
        <v>292</v>
      </c>
      <c r="G3694" t="s">
        <v>15370</v>
      </c>
      <c r="H3694">
        <v>5498.36</v>
      </c>
      <c r="I3694">
        <v>15.17</v>
      </c>
      <c r="J3694" t="s">
        <v>120</v>
      </c>
      <c r="K3694" t="s">
        <v>15378</v>
      </c>
      <c r="L3694">
        <v>2.34</v>
      </c>
      <c r="M3694">
        <v>12.8</v>
      </c>
      <c r="N3694">
        <v>1.31</v>
      </c>
      <c r="O3694">
        <v>6.1</v>
      </c>
      <c r="P3694">
        <v>13.75</v>
      </c>
      <c r="Q3694">
        <v>-1.47</v>
      </c>
      <c r="R3694">
        <v>12.77</v>
      </c>
      <c r="S3694">
        <v>12.97</v>
      </c>
      <c r="T3694">
        <v>41576</v>
      </c>
      <c r="U3694">
        <v>12.8</v>
      </c>
      <c r="V3694">
        <v>12.96</v>
      </c>
      <c r="W3694">
        <v>49.18</v>
      </c>
      <c r="X3694" t="s">
        <v>868</v>
      </c>
      <c r="Y3694" t="s">
        <v>1510</v>
      </c>
      <c r="Z3694">
        <v>7.56</v>
      </c>
      <c r="AA3694">
        <v>13.22</v>
      </c>
      <c r="AB3694">
        <v>23529</v>
      </c>
      <c r="AC3694">
        <v>18047</v>
      </c>
      <c r="AD3694">
        <v>1.3</v>
      </c>
      <c r="AE3694">
        <v>108</v>
      </c>
      <c r="AF3694">
        <v>96</v>
      </c>
      <c r="AG3694" t="s">
        <v>120</v>
      </c>
      <c r="AH3694">
        <v>0.02</v>
      </c>
      <c r="AI3694" t="s">
        <v>120</v>
      </c>
      <c r="AJ3694">
        <v>1.77</v>
      </c>
      <c r="AK3694" t="s">
        <v>4346</v>
      </c>
      <c r="AL3694">
        <v>0.11</v>
      </c>
      <c r="AM3694">
        <v>2241</v>
      </c>
      <c r="AN3694">
        <v>19</v>
      </c>
      <c r="AO3694">
        <v>1E-3</v>
      </c>
      <c r="AP3694">
        <v>-1</v>
      </c>
      <c r="AQ3694">
        <v>3.51</v>
      </c>
      <c r="AR3694">
        <v>-1.39</v>
      </c>
      <c r="AS3694">
        <v>-16.55</v>
      </c>
      <c r="AT3694">
        <v>31.42</v>
      </c>
      <c r="AU3694">
        <v>40.880000000000003</v>
      </c>
      <c r="AV3694">
        <v>5</v>
      </c>
      <c r="AW3694">
        <v>5.87</v>
      </c>
      <c r="AX3694">
        <v>38.64</v>
      </c>
      <c r="AY3694">
        <v>14.32</v>
      </c>
      <c r="AZ3694">
        <v>15.26</v>
      </c>
      <c r="BA3694">
        <v>0.91</v>
      </c>
      <c r="BB3694" t="s">
        <v>143</v>
      </c>
      <c r="BF3694">
        <v>2.04</v>
      </c>
      <c r="BG3694">
        <v>-1.31</v>
      </c>
      <c r="BH3694">
        <v>-6.91</v>
      </c>
      <c r="BI3694">
        <v>0.23</v>
      </c>
      <c r="BJ3694">
        <v>20210913</v>
      </c>
      <c r="BK3694">
        <v>20171020</v>
      </c>
      <c r="BL3694">
        <v>1.83</v>
      </c>
      <c r="BM3694" t="s">
        <v>120</v>
      </c>
      <c r="BN3694" t="s">
        <v>120</v>
      </c>
      <c r="BO3694">
        <v>16.989999999999998</v>
      </c>
      <c r="BP3694">
        <v>12.79</v>
      </c>
      <c r="BQ3694">
        <v>9.51</v>
      </c>
      <c r="BR3694">
        <v>0.36</v>
      </c>
      <c r="BS3694">
        <v>41.94</v>
      </c>
      <c r="BT3694">
        <v>7.66</v>
      </c>
      <c r="BU3694">
        <v>6.35</v>
      </c>
      <c r="BV3694">
        <v>0.99</v>
      </c>
      <c r="BW3694">
        <v>5.36</v>
      </c>
      <c r="BX3694">
        <v>2.16</v>
      </c>
      <c r="BY3694">
        <v>2.5</v>
      </c>
      <c r="BZ3694">
        <v>1.88</v>
      </c>
      <c r="CA3694" t="s">
        <v>120</v>
      </c>
      <c r="CB3694">
        <v>3.5</v>
      </c>
      <c r="CC3694">
        <v>6.48</v>
      </c>
      <c r="CD3694">
        <v>5.35</v>
      </c>
      <c r="CE3694">
        <v>0.3</v>
      </c>
      <c r="CF3694">
        <v>-0.01</v>
      </c>
      <c r="CG3694">
        <v>0.3</v>
      </c>
      <c r="CH3694">
        <v>0.24</v>
      </c>
      <c r="CI3694">
        <v>0.24</v>
      </c>
      <c r="CJ3694">
        <v>-0.16</v>
      </c>
      <c r="CK3694">
        <v>0.22</v>
      </c>
      <c r="CL3694">
        <v>4.18</v>
      </c>
      <c r="CM3694">
        <v>0</v>
      </c>
      <c r="CN3694">
        <v>-0.32</v>
      </c>
      <c r="CO3694">
        <v>11647</v>
      </c>
      <c r="CP3694">
        <v>6076</v>
      </c>
      <c r="CQ3694" t="s">
        <v>5329</v>
      </c>
      <c r="CR3694">
        <v>74.63</v>
      </c>
      <c r="CS3694">
        <v>61.08</v>
      </c>
      <c r="CT3694">
        <v>2.46</v>
      </c>
      <c r="CU3694">
        <v>-9078.43</v>
      </c>
      <c r="CV3694">
        <v>3.62</v>
      </c>
      <c r="CW3694">
        <v>0.27</v>
      </c>
      <c r="CX3694" t="s">
        <v>986</v>
      </c>
      <c r="CY3694">
        <v>5.2</v>
      </c>
      <c r="CZ3694">
        <v>5.2</v>
      </c>
      <c r="DA3694">
        <v>1.91</v>
      </c>
      <c r="DB3694">
        <v>2.2799999999999998</v>
      </c>
      <c r="DC3694">
        <v>0</v>
      </c>
      <c r="DD3694">
        <v>55.96</v>
      </c>
      <c r="DE3694" t="s">
        <v>5258</v>
      </c>
      <c r="DF3694">
        <v>17.489999999999998</v>
      </c>
      <c r="DG3694">
        <v>4.6500000000000004</v>
      </c>
      <c r="DH3694">
        <v>3.68</v>
      </c>
      <c r="DI3694">
        <v>0.25</v>
      </c>
      <c r="DJ3694">
        <v>1430</v>
      </c>
      <c r="DK3694">
        <v>603683</v>
      </c>
      <c r="DL3694" t="s">
        <v>120</v>
      </c>
      <c r="DM3694" t="s">
        <v>120</v>
      </c>
      <c r="DN3694" t="s">
        <v>120</v>
      </c>
    </row>
    <row r="3695" spans="1:118">
      <c r="A3695" t="str">
        <f>"603685"</f>
        <v>603685</v>
      </c>
      <c r="B3695" t="s">
        <v>15379</v>
      </c>
      <c r="C3695">
        <v>-1.2</v>
      </c>
      <c r="D3695">
        <v>0</v>
      </c>
      <c r="E3695">
        <v>-0.08</v>
      </c>
      <c r="F3695">
        <v>171</v>
      </c>
      <c r="G3695" t="s">
        <v>15380</v>
      </c>
      <c r="H3695">
        <v>1718.61</v>
      </c>
      <c r="I3695">
        <v>4.92</v>
      </c>
      <c r="J3695" t="s">
        <v>120</v>
      </c>
      <c r="K3695" t="s">
        <v>7071</v>
      </c>
      <c r="L3695">
        <v>0.76</v>
      </c>
      <c r="M3695">
        <v>13.15</v>
      </c>
      <c r="N3695">
        <v>0.91</v>
      </c>
      <c r="O3695">
        <v>1.28</v>
      </c>
      <c r="P3695">
        <v>13.48</v>
      </c>
      <c r="Q3695">
        <v>-1.28</v>
      </c>
      <c r="R3695">
        <v>13.14</v>
      </c>
      <c r="S3695">
        <v>13.3</v>
      </c>
      <c r="T3695">
        <v>12915</v>
      </c>
      <c r="U3695">
        <v>13.16</v>
      </c>
      <c r="V3695">
        <v>13.31</v>
      </c>
      <c r="W3695">
        <v>16.05</v>
      </c>
      <c r="X3695" t="s">
        <v>394</v>
      </c>
      <c r="Y3695" t="s">
        <v>585</v>
      </c>
      <c r="Z3695">
        <v>2.5499999999999998</v>
      </c>
      <c r="AA3695">
        <v>13.31</v>
      </c>
      <c r="AB3695">
        <v>7028</v>
      </c>
      <c r="AC3695">
        <v>5887</v>
      </c>
      <c r="AD3695">
        <v>1.19</v>
      </c>
      <c r="AE3695">
        <v>93</v>
      </c>
      <c r="AF3695">
        <v>67</v>
      </c>
      <c r="AG3695" t="s">
        <v>120</v>
      </c>
      <c r="AH3695">
        <v>0.01</v>
      </c>
      <c r="AI3695" t="s">
        <v>120</v>
      </c>
      <c r="AJ3695">
        <v>1.69</v>
      </c>
      <c r="AK3695" t="s">
        <v>7071</v>
      </c>
      <c r="AL3695">
        <v>0.14000000000000001</v>
      </c>
      <c r="AM3695">
        <v>853</v>
      </c>
      <c r="AN3695">
        <v>15</v>
      </c>
      <c r="AO3695">
        <v>8.9999999999999998E-4</v>
      </c>
      <c r="AP3695">
        <v>-1</v>
      </c>
      <c r="AQ3695">
        <v>1.68</v>
      </c>
      <c r="AR3695">
        <v>-1.1299999999999999</v>
      </c>
      <c r="AS3695">
        <v>-8.3000000000000007</v>
      </c>
      <c r="AT3695">
        <v>3.71</v>
      </c>
      <c r="AU3695">
        <v>21.09</v>
      </c>
      <c r="AV3695">
        <v>2</v>
      </c>
      <c r="AW3695">
        <v>3.06</v>
      </c>
      <c r="AX3695">
        <v>25</v>
      </c>
      <c r="AY3695">
        <v>17.39</v>
      </c>
      <c r="AZ3695">
        <v>22.17</v>
      </c>
      <c r="BA3695">
        <v>0.24</v>
      </c>
      <c r="BB3695" t="s">
        <v>7600</v>
      </c>
      <c r="BF3695">
        <v>-0.02</v>
      </c>
      <c r="BG3695">
        <v>-1.1299999999999999</v>
      </c>
      <c r="BH3695">
        <v>-2.4500000000000002</v>
      </c>
      <c r="BI3695">
        <v>0.08</v>
      </c>
      <c r="BJ3695">
        <v>20210826</v>
      </c>
      <c r="BK3695">
        <v>20171127</v>
      </c>
      <c r="BL3695">
        <v>1.69</v>
      </c>
      <c r="BM3695" t="s">
        <v>120</v>
      </c>
      <c r="BN3695" t="s">
        <v>120</v>
      </c>
      <c r="BO3695">
        <v>20.34</v>
      </c>
      <c r="BP3695">
        <v>13.15</v>
      </c>
      <c r="BQ3695">
        <v>11.07</v>
      </c>
      <c r="BR3695">
        <v>0.43</v>
      </c>
      <c r="BS3695">
        <v>43.49</v>
      </c>
      <c r="BT3695">
        <v>12.04</v>
      </c>
      <c r="BU3695">
        <v>4.82</v>
      </c>
      <c r="BV3695">
        <v>1.29</v>
      </c>
      <c r="BW3695">
        <v>8.25</v>
      </c>
      <c r="BX3695">
        <v>3.24</v>
      </c>
      <c r="BY3695">
        <v>4.0599999999999996</v>
      </c>
      <c r="BZ3695">
        <v>3.49</v>
      </c>
      <c r="CA3695" t="s">
        <v>120</v>
      </c>
      <c r="CB3695">
        <v>5.05</v>
      </c>
      <c r="CC3695">
        <v>7.66</v>
      </c>
      <c r="CD3695">
        <v>6.03</v>
      </c>
      <c r="CE3695">
        <v>0.85</v>
      </c>
      <c r="CF3695">
        <v>0.04</v>
      </c>
      <c r="CG3695">
        <v>0.85</v>
      </c>
      <c r="CH3695">
        <v>0.75</v>
      </c>
      <c r="CI3695">
        <v>0.69</v>
      </c>
      <c r="CJ3695">
        <v>-0.16</v>
      </c>
      <c r="CK3695">
        <v>0.64</v>
      </c>
      <c r="CL3695">
        <v>3.92</v>
      </c>
      <c r="CM3695">
        <v>0.15</v>
      </c>
      <c r="CN3695">
        <v>0.45</v>
      </c>
      <c r="CO3695">
        <v>9786</v>
      </c>
      <c r="CP3695">
        <v>4317</v>
      </c>
      <c r="CQ3695" t="s">
        <v>15381</v>
      </c>
      <c r="CR3695">
        <v>67.52</v>
      </c>
      <c r="CS3695">
        <v>71.36</v>
      </c>
      <c r="CT3695">
        <v>2.0099999999999998</v>
      </c>
      <c r="CU3695">
        <v>146.15</v>
      </c>
      <c r="CV3695">
        <v>2.9</v>
      </c>
      <c r="CW3695">
        <v>1.5</v>
      </c>
      <c r="CX3695" t="s">
        <v>803</v>
      </c>
      <c r="CY3695">
        <v>6.55</v>
      </c>
      <c r="CZ3695">
        <v>0</v>
      </c>
      <c r="DA3695">
        <v>2.99</v>
      </c>
      <c r="DB3695">
        <v>2.3199999999999998</v>
      </c>
      <c r="DC3695">
        <v>0.09</v>
      </c>
      <c r="DD3695">
        <v>54.41</v>
      </c>
      <c r="DE3695" t="s">
        <v>2129</v>
      </c>
      <c r="DF3695">
        <v>21.27</v>
      </c>
      <c r="DG3695">
        <v>11.12</v>
      </c>
      <c r="DH3695">
        <v>9.0399999999999991</v>
      </c>
      <c r="DI3695">
        <v>0.34</v>
      </c>
      <c r="DJ3695">
        <v>1572</v>
      </c>
      <c r="DK3695">
        <v>603685</v>
      </c>
      <c r="DL3695" t="s">
        <v>120</v>
      </c>
      <c r="DM3695" t="s">
        <v>120</v>
      </c>
      <c r="DN3695" t="s">
        <v>120</v>
      </c>
    </row>
    <row r="3696" spans="1:118">
      <c r="A3696" t="str">
        <f>"603686"</f>
        <v>603686</v>
      </c>
      <c r="B3696" t="s">
        <v>15382</v>
      </c>
      <c r="C3696">
        <v>-1.04</v>
      </c>
      <c r="D3696">
        <v>-0.28999999999999998</v>
      </c>
      <c r="E3696">
        <v>-7.0000000000000007E-2</v>
      </c>
      <c r="F3696">
        <v>1974</v>
      </c>
      <c r="G3696" t="s">
        <v>15383</v>
      </c>
      <c r="H3696">
        <v>6948.82</v>
      </c>
      <c r="I3696">
        <v>4.99</v>
      </c>
      <c r="J3696" t="s">
        <v>120</v>
      </c>
      <c r="K3696" t="s">
        <v>4959</v>
      </c>
      <c r="L3696">
        <v>1.24</v>
      </c>
      <c r="M3696">
        <v>13.36</v>
      </c>
      <c r="N3696">
        <v>0.86</v>
      </c>
      <c r="O3696">
        <v>1.33</v>
      </c>
      <c r="P3696">
        <v>13.68</v>
      </c>
      <c r="Q3696">
        <v>-1.19</v>
      </c>
      <c r="R3696">
        <v>13.34</v>
      </c>
      <c r="S3696">
        <v>13.49</v>
      </c>
      <c r="T3696">
        <v>51474</v>
      </c>
      <c r="U3696">
        <v>13.38</v>
      </c>
      <c r="V3696">
        <v>13.5</v>
      </c>
      <c r="W3696">
        <v>13.15</v>
      </c>
      <c r="X3696" t="s">
        <v>318</v>
      </c>
      <c r="Y3696" t="s">
        <v>937</v>
      </c>
      <c r="Z3696">
        <v>2.52</v>
      </c>
      <c r="AA3696">
        <v>13.5</v>
      </c>
      <c r="AB3696">
        <v>31552</v>
      </c>
      <c r="AC3696">
        <v>19922</v>
      </c>
      <c r="AD3696">
        <v>1.58</v>
      </c>
      <c r="AE3696">
        <v>270</v>
      </c>
      <c r="AF3696">
        <v>40</v>
      </c>
      <c r="AG3696" t="s">
        <v>120</v>
      </c>
      <c r="AH3696">
        <v>0</v>
      </c>
      <c r="AI3696" t="s">
        <v>120</v>
      </c>
      <c r="AJ3696">
        <v>4.16</v>
      </c>
      <c r="AK3696" t="s">
        <v>4959</v>
      </c>
      <c r="AL3696">
        <v>0.31</v>
      </c>
      <c r="AM3696">
        <v>2017</v>
      </c>
      <c r="AN3696">
        <v>26</v>
      </c>
      <c r="AO3696">
        <v>5.9999999999999995E-4</v>
      </c>
      <c r="AP3696">
        <v>-3</v>
      </c>
      <c r="AQ3696">
        <v>-0.59</v>
      </c>
      <c r="AR3696">
        <v>-3.75</v>
      </c>
      <c r="AS3696">
        <v>-3.25</v>
      </c>
      <c r="AT3696">
        <v>-12.05</v>
      </c>
      <c r="AU3696">
        <v>-14.9</v>
      </c>
      <c r="AV3696">
        <v>0</v>
      </c>
      <c r="AW3696">
        <v>1.52</v>
      </c>
      <c r="AX3696">
        <v>81.709999999999994</v>
      </c>
      <c r="AY3696">
        <v>12.24</v>
      </c>
      <c r="AZ3696">
        <v>12.68</v>
      </c>
      <c r="BA3696">
        <v>0.91</v>
      </c>
      <c r="BB3696" t="s">
        <v>143</v>
      </c>
      <c r="BF3696">
        <v>0</v>
      </c>
      <c r="BG3696">
        <v>-0.96</v>
      </c>
      <c r="BH3696">
        <v>-2.34</v>
      </c>
      <c r="BI3696">
        <v>0.15</v>
      </c>
      <c r="BJ3696">
        <v>20210813</v>
      </c>
      <c r="BK3696">
        <v>20150126</v>
      </c>
      <c r="BL3696">
        <v>4.16</v>
      </c>
      <c r="BM3696" t="s">
        <v>120</v>
      </c>
      <c r="BN3696" t="s">
        <v>120</v>
      </c>
      <c r="BO3696">
        <v>53.67</v>
      </c>
      <c r="BP3696">
        <v>13.36</v>
      </c>
      <c r="BQ3696">
        <v>29.08</v>
      </c>
      <c r="BR3696">
        <v>2.52</v>
      </c>
      <c r="BS3696">
        <v>41.14</v>
      </c>
      <c r="BT3696">
        <v>35.01</v>
      </c>
      <c r="BU3696">
        <v>8.39</v>
      </c>
      <c r="BV3696">
        <v>4.34</v>
      </c>
      <c r="BW3696">
        <v>19.55</v>
      </c>
      <c r="BX3696">
        <v>6.67</v>
      </c>
      <c r="BY3696">
        <v>5.45</v>
      </c>
      <c r="BZ3696">
        <v>13.26</v>
      </c>
      <c r="CA3696" t="s">
        <v>120</v>
      </c>
      <c r="CB3696">
        <v>8.6300000000000008</v>
      </c>
      <c r="CC3696">
        <v>27.72</v>
      </c>
      <c r="CD3696">
        <v>21.36</v>
      </c>
      <c r="CE3696">
        <v>3.06</v>
      </c>
      <c r="CF3696">
        <v>0.03</v>
      </c>
      <c r="CG3696">
        <v>3.06</v>
      </c>
      <c r="CH3696">
        <v>2.62</v>
      </c>
      <c r="CI3696">
        <v>2.11</v>
      </c>
      <c r="CJ3696">
        <v>-0.14000000000000001</v>
      </c>
      <c r="CK3696">
        <v>1.93</v>
      </c>
      <c r="CL3696">
        <v>14.4</v>
      </c>
      <c r="CM3696">
        <v>-3.2</v>
      </c>
      <c r="CN3696">
        <v>-5.74</v>
      </c>
      <c r="CO3696">
        <v>44935</v>
      </c>
      <c r="CP3696">
        <v>7558</v>
      </c>
      <c r="CQ3696" t="s">
        <v>1480</v>
      </c>
      <c r="CR3696">
        <v>8.1199999999999992</v>
      </c>
      <c r="CS3696">
        <v>14.78</v>
      </c>
      <c r="CT3696">
        <v>1.91</v>
      </c>
      <c r="CU3696">
        <v>-17.329999999999998</v>
      </c>
      <c r="CV3696">
        <v>2</v>
      </c>
      <c r="CW3696">
        <v>2.78</v>
      </c>
      <c r="CX3696" t="s">
        <v>1001</v>
      </c>
      <c r="CY3696">
        <v>7</v>
      </c>
      <c r="CZ3696">
        <v>0</v>
      </c>
      <c r="DA3696">
        <v>2.08</v>
      </c>
      <c r="DB3696">
        <v>3.46</v>
      </c>
      <c r="DC3696">
        <v>-0.77</v>
      </c>
      <c r="DD3696">
        <v>54.17</v>
      </c>
      <c r="DE3696" t="s">
        <v>4627</v>
      </c>
      <c r="DF3696">
        <v>22.94</v>
      </c>
      <c r="DG3696">
        <v>11.04</v>
      </c>
      <c r="DH3696">
        <v>7.62</v>
      </c>
      <c r="DI3696">
        <v>0.27</v>
      </c>
      <c r="DJ3696">
        <v>44246</v>
      </c>
      <c r="DK3696">
        <v>603686</v>
      </c>
      <c r="DL3696" t="s">
        <v>120</v>
      </c>
      <c r="DM3696" t="s">
        <v>120</v>
      </c>
      <c r="DN3696" t="s">
        <v>120</v>
      </c>
    </row>
    <row r="3697" spans="1:118">
      <c r="A3697" t="str">
        <f>"603687"</f>
        <v>603687</v>
      </c>
      <c r="B3697" t="s">
        <v>15384</v>
      </c>
      <c r="C3697">
        <v>-0.11</v>
      </c>
      <c r="D3697">
        <v>-0.55000000000000004</v>
      </c>
      <c r="E3697">
        <v>0.11</v>
      </c>
      <c r="F3697">
        <v>581</v>
      </c>
      <c r="G3697" t="s">
        <v>15385</v>
      </c>
      <c r="H3697">
        <v>3393.74</v>
      </c>
      <c r="I3697">
        <v>1.07</v>
      </c>
      <c r="J3697" t="s">
        <v>120</v>
      </c>
      <c r="K3697" t="s">
        <v>1858</v>
      </c>
      <c r="L3697">
        <v>2.67</v>
      </c>
      <c r="M3697">
        <v>8.8800000000000008</v>
      </c>
      <c r="N3697">
        <v>0.92</v>
      </c>
      <c r="O3697">
        <v>2.36</v>
      </c>
      <c r="P3697">
        <v>9.1</v>
      </c>
      <c r="Q3697">
        <v>-0.56000000000000005</v>
      </c>
      <c r="R3697">
        <v>8.84</v>
      </c>
      <c r="S3697">
        <v>8.9</v>
      </c>
      <c r="T3697">
        <v>37908</v>
      </c>
      <c r="U3697">
        <v>8.8800000000000008</v>
      </c>
      <c r="V3697">
        <v>8.89</v>
      </c>
      <c r="W3697">
        <v>55.07</v>
      </c>
      <c r="X3697" t="s">
        <v>339</v>
      </c>
      <c r="Y3697" t="s">
        <v>585</v>
      </c>
      <c r="Z3697">
        <v>2.92</v>
      </c>
      <c r="AA3697">
        <v>8.9499999999999993</v>
      </c>
      <c r="AB3697">
        <v>21123</v>
      </c>
      <c r="AC3697">
        <v>16785</v>
      </c>
      <c r="AD3697">
        <v>1.26</v>
      </c>
      <c r="AE3697">
        <v>119</v>
      </c>
      <c r="AF3697">
        <v>2</v>
      </c>
      <c r="AG3697" t="s">
        <v>120</v>
      </c>
      <c r="AH3697">
        <v>0</v>
      </c>
      <c r="AI3697" t="s">
        <v>120</v>
      </c>
      <c r="AJ3697">
        <v>1.42</v>
      </c>
      <c r="AK3697" t="s">
        <v>15386</v>
      </c>
      <c r="AL3697">
        <v>1.23</v>
      </c>
      <c r="AM3697">
        <v>1382</v>
      </c>
      <c r="AN3697">
        <v>27</v>
      </c>
      <c r="AO3697">
        <v>1.9E-3</v>
      </c>
      <c r="AP3697">
        <v>-2</v>
      </c>
      <c r="AQ3697">
        <v>-0.34</v>
      </c>
      <c r="AR3697">
        <v>0.22</v>
      </c>
      <c r="AS3697">
        <v>19.36</v>
      </c>
      <c r="AT3697">
        <v>11.69</v>
      </c>
      <c r="AU3697">
        <v>-1.79</v>
      </c>
      <c r="AV3697">
        <v>4</v>
      </c>
      <c r="AW3697">
        <v>5.18</v>
      </c>
      <c r="AX3697">
        <v>17.82</v>
      </c>
      <c r="AY3697">
        <v>17.48</v>
      </c>
      <c r="AZ3697">
        <v>13.1</v>
      </c>
      <c r="BA3697">
        <v>0</v>
      </c>
      <c r="BB3697" t="s">
        <v>143</v>
      </c>
      <c r="BF3697">
        <v>0.7</v>
      </c>
      <c r="BG3697">
        <v>-0.22</v>
      </c>
      <c r="BH3697">
        <v>-2.42</v>
      </c>
      <c r="BI3697">
        <v>0.45</v>
      </c>
      <c r="BJ3697">
        <v>20210913</v>
      </c>
      <c r="BK3697">
        <v>20190726</v>
      </c>
      <c r="BL3697">
        <v>4.1100000000000003</v>
      </c>
      <c r="BM3697" t="s">
        <v>120</v>
      </c>
      <c r="BN3697" t="s">
        <v>120</v>
      </c>
      <c r="BO3697">
        <v>28.47</v>
      </c>
      <c r="BP3697">
        <v>8.8699999999999992</v>
      </c>
      <c r="BQ3697">
        <v>18.13</v>
      </c>
      <c r="BR3697">
        <v>0.06</v>
      </c>
      <c r="BS3697">
        <v>36.11</v>
      </c>
      <c r="BT3697">
        <v>17.29</v>
      </c>
      <c r="BU3697">
        <v>6.9</v>
      </c>
      <c r="BV3697">
        <v>1.85</v>
      </c>
      <c r="BW3697">
        <v>3.87</v>
      </c>
      <c r="BX3697">
        <v>9</v>
      </c>
      <c r="BY3697">
        <v>2</v>
      </c>
      <c r="BZ3697">
        <v>3.51</v>
      </c>
      <c r="CA3697" t="s">
        <v>120</v>
      </c>
      <c r="CB3697">
        <v>6.64</v>
      </c>
      <c r="CC3697">
        <v>7.55</v>
      </c>
      <c r="CD3697">
        <v>6.64</v>
      </c>
      <c r="CE3697">
        <v>0.33</v>
      </c>
      <c r="CF3697">
        <v>0.08</v>
      </c>
      <c r="CG3697">
        <v>0.33</v>
      </c>
      <c r="CH3697">
        <v>0.33</v>
      </c>
      <c r="CI3697">
        <v>0.33</v>
      </c>
      <c r="CJ3697">
        <v>-0.01</v>
      </c>
      <c r="CK3697">
        <v>0.26</v>
      </c>
      <c r="CL3697">
        <v>5.87</v>
      </c>
      <c r="CM3697">
        <v>0.34</v>
      </c>
      <c r="CN3697">
        <v>0.49</v>
      </c>
      <c r="CO3697">
        <v>15194</v>
      </c>
      <c r="CP3697">
        <v>4818</v>
      </c>
      <c r="CQ3697" t="s">
        <v>5115</v>
      </c>
      <c r="CR3697">
        <v>-67.84</v>
      </c>
      <c r="CS3697">
        <v>31.31</v>
      </c>
      <c r="CT3697">
        <v>2.12</v>
      </c>
      <c r="CU3697">
        <v>107.6</v>
      </c>
      <c r="CV3697">
        <v>4.83</v>
      </c>
      <c r="CW3697">
        <v>0.76</v>
      </c>
      <c r="CX3697" t="s">
        <v>535</v>
      </c>
      <c r="CY3697">
        <v>4.1900000000000004</v>
      </c>
      <c r="CZ3697">
        <v>4.1900000000000004</v>
      </c>
      <c r="DA3697">
        <v>1.62</v>
      </c>
      <c r="DB3697">
        <v>1.43</v>
      </c>
      <c r="DC3697">
        <v>0.08</v>
      </c>
      <c r="DD3697">
        <v>63.68</v>
      </c>
      <c r="DE3697" t="s">
        <v>7359</v>
      </c>
      <c r="DF3697">
        <v>11.99</v>
      </c>
      <c r="DG3697">
        <v>4.3499999999999996</v>
      </c>
      <c r="DH3697">
        <v>4.3899999999999997</v>
      </c>
      <c r="DI3697">
        <v>0.23</v>
      </c>
      <c r="DJ3697">
        <v>1823</v>
      </c>
      <c r="DK3697">
        <v>603687</v>
      </c>
      <c r="DL3697" t="s">
        <v>120</v>
      </c>
      <c r="DM3697" t="s">
        <v>120</v>
      </c>
      <c r="DN3697" t="s">
        <v>120</v>
      </c>
    </row>
    <row r="3698" spans="1:118">
      <c r="A3698" t="str">
        <f>"603688"</f>
        <v>603688</v>
      </c>
      <c r="B3698" t="s">
        <v>15387</v>
      </c>
      <c r="C3698">
        <v>3.7</v>
      </c>
      <c r="D3698">
        <v>1.24</v>
      </c>
      <c r="E3698">
        <v>0.27</v>
      </c>
      <c r="F3698">
        <v>907</v>
      </c>
      <c r="G3698" t="s">
        <v>15388</v>
      </c>
      <c r="H3698">
        <v>69637.11</v>
      </c>
      <c r="I3698">
        <v>144.71</v>
      </c>
      <c r="J3698" t="s">
        <v>120</v>
      </c>
      <c r="K3698" t="s">
        <v>15389</v>
      </c>
      <c r="L3698">
        <v>4.2</v>
      </c>
      <c r="M3698">
        <v>45.63</v>
      </c>
      <c r="N3698">
        <v>1.48</v>
      </c>
      <c r="O3698">
        <v>10</v>
      </c>
      <c r="P3698">
        <v>48.4</v>
      </c>
      <c r="Q3698">
        <v>0.27</v>
      </c>
      <c r="R3698">
        <v>44.12</v>
      </c>
      <c r="S3698">
        <v>44.12</v>
      </c>
      <c r="T3698">
        <v>148314</v>
      </c>
      <c r="U3698">
        <v>45.65</v>
      </c>
      <c r="V3698">
        <v>44</v>
      </c>
      <c r="W3698">
        <v>71.55</v>
      </c>
      <c r="X3698" t="s">
        <v>1991</v>
      </c>
      <c r="Y3698" t="s">
        <v>319</v>
      </c>
      <c r="Z3698">
        <v>9.73</v>
      </c>
      <c r="AA3698">
        <v>46.95</v>
      </c>
      <c r="AB3698">
        <v>88432</v>
      </c>
      <c r="AC3698">
        <v>59882</v>
      </c>
      <c r="AD3698">
        <v>1.48</v>
      </c>
      <c r="AE3698">
        <v>176</v>
      </c>
      <c r="AF3698">
        <v>12</v>
      </c>
      <c r="AG3698" t="s">
        <v>120</v>
      </c>
      <c r="AH3698">
        <v>0.02</v>
      </c>
      <c r="AI3698" t="s">
        <v>120</v>
      </c>
      <c r="AJ3698">
        <v>3.53</v>
      </c>
      <c r="AK3698" t="s">
        <v>15389</v>
      </c>
      <c r="AL3698">
        <v>5.05</v>
      </c>
      <c r="AM3698">
        <v>3879</v>
      </c>
      <c r="AN3698">
        <v>38</v>
      </c>
      <c r="AO3698">
        <v>1.1000000000000001E-3</v>
      </c>
      <c r="AP3698">
        <v>1</v>
      </c>
      <c r="AQ3698">
        <v>-2</v>
      </c>
      <c r="AR3698">
        <v>-1.1599999999999999</v>
      </c>
      <c r="AS3698">
        <v>45.23</v>
      </c>
      <c r="AT3698">
        <v>100.22</v>
      </c>
      <c r="AU3698">
        <v>95.42</v>
      </c>
      <c r="AV3698">
        <v>5</v>
      </c>
      <c r="AW3698">
        <v>9.26</v>
      </c>
      <c r="AX3698">
        <v>45.38</v>
      </c>
      <c r="AY3698">
        <v>86.54</v>
      </c>
      <c r="AZ3698">
        <v>82.56</v>
      </c>
      <c r="BA3698">
        <v>1.4</v>
      </c>
      <c r="BB3698" t="s">
        <v>240</v>
      </c>
      <c r="BF3698">
        <v>6.71</v>
      </c>
      <c r="BG3698">
        <v>3.42</v>
      </c>
      <c r="BH3698">
        <v>-5.72</v>
      </c>
      <c r="BI3698">
        <v>3.42</v>
      </c>
      <c r="BJ3698">
        <v>20210821</v>
      </c>
      <c r="BK3698">
        <v>20141031</v>
      </c>
      <c r="BL3698">
        <v>3.53</v>
      </c>
      <c r="BM3698" t="s">
        <v>120</v>
      </c>
      <c r="BN3698" t="s">
        <v>120</v>
      </c>
      <c r="BO3698">
        <v>22.42</v>
      </c>
      <c r="BP3698">
        <v>45.63</v>
      </c>
      <c r="BQ3698">
        <v>20.07</v>
      </c>
      <c r="BR3698" t="s">
        <v>120</v>
      </c>
      <c r="BS3698">
        <v>10.48</v>
      </c>
      <c r="BT3698">
        <v>13.19</v>
      </c>
      <c r="BU3698">
        <v>5.77</v>
      </c>
      <c r="BV3698">
        <v>0.76</v>
      </c>
      <c r="BW3698">
        <v>0.98</v>
      </c>
      <c r="BX3698">
        <v>1.51</v>
      </c>
      <c r="BY3698">
        <v>3.29</v>
      </c>
      <c r="BZ3698">
        <v>1.7</v>
      </c>
      <c r="CA3698" t="s">
        <v>120</v>
      </c>
      <c r="CB3698">
        <v>7.21</v>
      </c>
      <c r="CC3698">
        <v>4.41</v>
      </c>
      <c r="CD3698">
        <v>2.52</v>
      </c>
      <c r="CE3698">
        <v>1.28</v>
      </c>
      <c r="CF3698">
        <v>0.09</v>
      </c>
      <c r="CG3698">
        <v>1.28</v>
      </c>
      <c r="CH3698">
        <v>1.1299999999999999</v>
      </c>
      <c r="CI3698">
        <v>1.1299999999999999</v>
      </c>
      <c r="CJ3698">
        <v>1.63</v>
      </c>
      <c r="CK3698">
        <v>1.03</v>
      </c>
      <c r="CL3698">
        <v>7.99</v>
      </c>
      <c r="CM3698">
        <v>0.12</v>
      </c>
      <c r="CN3698">
        <v>-2.2999999999999998</v>
      </c>
      <c r="CO3698">
        <v>17967</v>
      </c>
      <c r="CP3698">
        <v>8916</v>
      </c>
      <c r="CQ3698" t="s">
        <v>15390</v>
      </c>
      <c r="CR3698">
        <v>-7.13</v>
      </c>
      <c r="CS3698">
        <v>42.63</v>
      </c>
      <c r="CT3698">
        <v>8.11</v>
      </c>
      <c r="CU3698">
        <v>1384.58</v>
      </c>
      <c r="CV3698">
        <v>36.51</v>
      </c>
      <c r="CW3698">
        <v>0.39</v>
      </c>
      <c r="CX3698" t="s">
        <v>966</v>
      </c>
      <c r="CY3698">
        <v>5.63</v>
      </c>
      <c r="CZ3698">
        <v>5.63</v>
      </c>
      <c r="DA3698">
        <v>2.04</v>
      </c>
      <c r="DB3698">
        <v>2.2599999999999998</v>
      </c>
      <c r="DC3698">
        <v>0.03</v>
      </c>
      <c r="DD3698">
        <v>89.52</v>
      </c>
      <c r="DE3698" t="s">
        <v>1234</v>
      </c>
      <c r="DF3698">
        <v>42.92</v>
      </c>
      <c r="DG3698">
        <v>28.92</v>
      </c>
      <c r="DH3698">
        <v>25.51</v>
      </c>
      <c r="DI3698">
        <v>0.17</v>
      </c>
      <c r="DJ3698">
        <v>1115</v>
      </c>
      <c r="DK3698">
        <v>603688</v>
      </c>
      <c r="DL3698">
        <v>20210726</v>
      </c>
      <c r="DM3698">
        <v>32.68</v>
      </c>
      <c r="DN3698">
        <v>39.630000000000003</v>
      </c>
    </row>
    <row r="3699" spans="1:118">
      <c r="A3699" t="str">
        <f>"603689"</f>
        <v>603689</v>
      </c>
      <c r="B3699" t="s">
        <v>15391</v>
      </c>
      <c r="C3699">
        <v>1.96</v>
      </c>
      <c r="D3699">
        <v>-0.16</v>
      </c>
      <c r="E3699">
        <v>0.43</v>
      </c>
      <c r="F3699">
        <v>349</v>
      </c>
      <c r="G3699" t="s">
        <v>6186</v>
      </c>
      <c r="H3699">
        <v>10730.55</v>
      </c>
      <c r="I3699">
        <v>30.04</v>
      </c>
      <c r="J3699" t="s">
        <v>120</v>
      </c>
      <c r="K3699" t="s">
        <v>7552</v>
      </c>
      <c r="L3699">
        <v>2.62</v>
      </c>
      <c r="M3699">
        <v>11.96</v>
      </c>
      <c r="N3699">
        <v>1.1599999999999999</v>
      </c>
      <c r="O3699">
        <v>6.56</v>
      </c>
      <c r="P3699">
        <v>12.5</v>
      </c>
      <c r="Q3699">
        <v>0.43</v>
      </c>
      <c r="R3699">
        <v>11.78</v>
      </c>
      <c r="S3699">
        <v>11.78</v>
      </c>
      <c r="T3699">
        <v>87995</v>
      </c>
      <c r="U3699">
        <v>11.96</v>
      </c>
      <c r="V3699">
        <v>11.73</v>
      </c>
      <c r="W3699">
        <v>16.48</v>
      </c>
      <c r="X3699" t="s">
        <v>684</v>
      </c>
      <c r="Y3699" t="s">
        <v>570</v>
      </c>
      <c r="Z3699">
        <v>6.14</v>
      </c>
      <c r="AA3699">
        <v>12.19</v>
      </c>
      <c r="AB3699">
        <v>42471</v>
      </c>
      <c r="AC3699">
        <v>45524</v>
      </c>
      <c r="AD3699">
        <v>0.93</v>
      </c>
      <c r="AE3699">
        <v>15</v>
      </c>
      <c r="AF3699">
        <v>382</v>
      </c>
      <c r="AG3699" t="s">
        <v>120</v>
      </c>
      <c r="AH3699">
        <v>0.03</v>
      </c>
      <c r="AI3699" t="s">
        <v>120</v>
      </c>
      <c r="AJ3699">
        <v>3.36</v>
      </c>
      <c r="AK3699" t="s">
        <v>7552</v>
      </c>
      <c r="AL3699">
        <v>3.3</v>
      </c>
      <c r="AM3699">
        <v>2734</v>
      </c>
      <c r="AN3699">
        <v>32</v>
      </c>
      <c r="AO3699">
        <v>1E-3</v>
      </c>
      <c r="AP3699">
        <v>2</v>
      </c>
      <c r="AQ3699">
        <v>1.65</v>
      </c>
      <c r="AR3699">
        <v>0.93</v>
      </c>
      <c r="AS3699">
        <v>21.91</v>
      </c>
      <c r="AT3699">
        <v>23.81</v>
      </c>
      <c r="AU3699">
        <v>-1.88</v>
      </c>
      <c r="AV3699">
        <v>0</v>
      </c>
      <c r="AW3699">
        <v>8.84</v>
      </c>
      <c r="AX3699">
        <v>29.63</v>
      </c>
      <c r="AY3699">
        <v>16.96</v>
      </c>
      <c r="AZ3699">
        <v>18.850000000000001</v>
      </c>
      <c r="BA3699">
        <v>0.82</v>
      </c>
      <c r="BB3699" t="s">
        <v>184</v>
      </c>
      <c r="BF3699">
        <v>3.96</v>
      </c>
      <c r="BG3699">
        <v>1.53</v>
      </c>
      <c r="BH3699">
        <v>-4.32</v>
      </c>
      <c r="BI3699">
        <v>1.53</v>
      </c>
      <c r="BJ3699">
        <v>20210826</v>
      </c>
      <c r="BK3699">
        <v>20170110</v>
      </c>
      <c r="BL3699">
        <v>3.36</v>
      </c>
      <c r="BM3699" t="s">
        <v>120</v>
      </c>
      <c r="BN3699" t="s">
        <v>120</v>
      </c>
      <c r="BO3699">
        <v>37.03</v>
      </c>
      <c r="BP3699">
        <v>11.95</v>
      </c>
      <c r="BQ3699">
        <v>24.13</v>
      </c>
      <c r="BR3699">
        <v>2.92</v>
      </c>
      <c r="BS3699">
        <v>26.94</v>
      </c>
      <c r="BT3699">
        <v>7.55</v>
      </c>
      <c r="BU3699">
        <v>22.33</v>
      </c>
      <c r="BV3699">
        <v>1.55</v>
      </c>
      <c r="BW3699">
        <v>5.35</v>
      </c>
      <c r="BX3699">
        <v>3.79</v>
      </c>
      <c r="BY3699">
        <v>0.24</v>
      </c>
      <c r="BZ3699">
        <v>1.29</v>
      </c>
      <c r="CA3699" t="s">
        <v>120</v>
      </c>
      <c r="CB3699">
        <v>9.94</v>
      </c>
      <c r="CC3699">
        <v>24.72</v>
      </c>
      <c r="CD3699">
        <v>22.25</v>
      </c>
      <c r="CE3699">
        <v>1.68</v>
      </c>
      <c r="CF3699">
        <v>0</v>
      </c>
      <c r="CG3699">
        <v>1.68</v>
      </c>
      <c r="CH3699">
        <v>1.23</v>
      </c>
      <c r="CI3699">
        <v>1.22</v>
      </c>
      <c r="CJ3699">
        <v>0.23</v>
      </c>
      <c r="CK3699">
        <v>1.19</v>
      </c>
      <c r="CL3699">
        <v>9.3000000000000007</v>
      </c>
      <c r="CM3699">
        <v>2.1</v>
      </c>
      <c r="CN3699">
        <v>-1.46</v>
      </c>
      <c r="CO3699">
        <v>17388</v>
      </c>
      <c r="CP3699">
        <v>5725</v>
      </c>
      <c r="CQ3699" t="s">
        <v>3506</v>
      </c>
      <c r="CR3699">
        <v>23.66</v>
      </c>
      <c r="CS3699">
        <v>20.88</v>
      </c>
      <c r="CT3699">
        <v>1.67</v>
      </c>
      <c r="CU3699">
        <v>19.170000000000002</v>
      </c>
      <c r="CV3699">
        <v>1.63</v>
      </c>
      <c r="CW3699">
        <v>1.62</v>
      </c>
      <c r="CX3699" t="s">
        <v>472</v>
      </c>
      <c r="CY3699">
        <v>7.18</v>
      </c>
      <c r="CZ3699">
        <v>0</v>
      </c>
      <c r="DA3699">
        <v>2.96</v>
      </c>
      <c r="DB3699">
        <v>2.77</v>
      </c>
      <c r="DC3699">
        <v>0.62</v>
      </c>
      <c r="DD3699">
        <v>65.17</v>
      </c>
      <c r="DE3699" t="s">
        <v>710</v>
      </c>
      <c r="DF3699">
        <v>10.01</v>
      </c>
      <c r="DG3699">
        <v>6.8</v>
      </c>
      <c r="DH3699">
        <v>4.93</v>
      </c>
      <c r="DI3699">
        <v>0.16</v>
      </c>
      <c r="DJ3699">
        <v>916</v>
      </c>
      <c r="DK3699">
        <v>603689</v>
      </c>
      <c r="DL3699" t="s">
        <v>120</v>
      </c>
      <c r="DM3699" t="s">
        <v>120</v>
      </c>
      <c r="DN3699" t="s">
        <v>120</v>
      </c>
    </row>
    <row r="3700" spans="1:118">
      <c r="A3700" t="str">
        <f>"603690"</f>
        <v>603690</v>
      </c>
      <c r="B3700" t="s">
        <v>15392</v>
      </c>
      <c r="C3700">
        <v>-9.99</v>
      </c>
      <c r="D3700">
        <v>0.02</v>
      </c>
      <c r="E3700">
        <v>-4.57</v>
      </c>
      <c r="F3700">
        <v>544</v>
      </c>
      <c r="G3700" t="s">
        <v>15393</v>
      </c>
      <c r="H3700">
        <v>76323.539999999994</v>
      </c>
      <c r="I3700">
        <v>1137.8800000000001</v>
      </c>
      <c r="J3700" t="s">
        <v>120</v>
      </c>
      <c r="K3700" t="s">
        <v>874</v>
      </c>
      <c r="L3700">
        <v>5.18</v>
      </c>
      <c r="M3700">
        <v>46.32</v>
      </c>
      <c r="N3700">
        <v>1.32</v>
      </c>
      <c r="O3700">
        <v>-2.33</v>
      </c>
      <c r="P3700">
        <v>50.26</v>
      </c>
      <c r="Q3700">
        <v>-10.01</v>
      </c>
      <c r="R3700">
        <v>46.31</v>
      </c>
      <c r="S3700">
        <v>49.11</v>
      </c>
      <c r="T3700">
        <v>159164</v>
      </c>
      <c r="U3700">
        <v>46.32</v>
      </c>
      <c r="V3700">
        <v>51.46</v>
      </c>
      <c r="W3700">
        <v>49.03</v>
      </c>
      <c r="X3700" t="s">
        <v>675</v>
      </c>
      <c r="Y3700" t="s">
        <v>1510</v>
      </c>
      <c r="Z3700">
        <v>7.68</v>
      </c>
      <c r="AA3700">
        <v>47.95</v>
      </c>
      <c r="AB3700">
        <v>86694</v>
      </c>
      <c r="AC3700">
        <v>72470</v>
      </c>
      <c r="AD3700">
        <v>1.2</v>
      </c>
      <c r="AE3700">
        <v>298</v>
      </c>
      <c r="AF3700">
        <v>32890</v>
      </c>
      <c r="AG3700" t="s">
        <v>120</v>
      </c>
      <c r="AH3700">
        <v>0.12</v>
      </c>
      <c r="AI3700" t="s">
        <v>120</v>
      </c>
      <c r="AJ3700">
        <v>3.08</v>
      </c>
      <c r="AK3700" t="s">
        <v>15394</v>
      </c>
      <c r="AL3700">
        <v>-8.64</v>
      </c>
      <c r="AM3700">
        <v>4469</v>
      </c>
      <c r="AN3700">
        <v>36</v>
      </c>
      <c r="AO3700">
        <v>1.1999999999999999E-3</v>
      </c>
      <c r="AP3700">
        <v>-1</v>
      </c>
      <c r="AQ3700">
        <v>1.84</v>
      </c>
      <c r="AR3700">
        <v>-4.3</v>
      </c>
      <c r="AS3700">
        <v>-19.41</v>
      </c>
      <c r="AT3700">
        <v>18.72</v>
      </c>
      <c r="AU3700">
        <v>18.29</v>
      </c>
      <c r="AV3700">
        <v>8</v>
      </c>
      <c r="AW3700">
        <v>8.1300000000000008</v>
      </c>
      <c r="AX3700">
        <v>61.5</v>
      </c>
      <c r="AY3700">
        <v>43.05</v>
      </c>
      <c r="AZ3700">
        <v>62.89</v>
      </c>
      <c r="BA3700">
        <v>0.62</v>
      </c>
      <c r="BB3700" t="s">
        <v>143</v>
      </c>
      <c r="BF3700">
        <v>-6.82</v>
      </c>
      <c r="BG3700">
        <v>-5.68</v>
      </c>
      <c r="BH3700">
        <v>-7.84</v>
      </c>
      <c r="BI3700">
        <v>0.02</v>
      </c>
      <c r="BJ3700">
        <v>20210831</v>
      </c>
      <c r="BK3700">
        <v>20170113</v>
      </c>
      <c r="BL3700">
        <v>3.19</v>
      </c>
      <c r="BM3700" t="s">
        <v>120</v>
      </c>
      <c r="BN3700" t="s">
        <v>120</v>
      </c>
      <c r="BO3700">
        <v>65.180000000000007</v>
      </c>
      <c r="BP3700">
        <v>46.31</v>
      </c>
      <c r="BQ3700">
        <v>34.83</v>
      </c>
      <c r="BR3700">
        <v>0.21</v>
      </c>
      <c r="BS3700">
        <v>46.24</v>
      </c>
      <c r="BT3700">
        <v>38.869999999999997</v>
      </c>
      <c r="BU3700">
        <v>5.33</v>
      </c>
      <c r="BV3700">
        <v>1.91</v>
      </c>
      <c r="BW3700">
        <v>22.98</v>
      </c>
      <c r="BX3700">
        <v>9.86</v>
      </c>
      <c r="BY3700">
        <v>9.75</v>
      </c>
      <c r="BZ3700">
        <v>12.05</v>
      </c>
      <c r="CA3700" t="s">
        <v>120</v>
      </c>
      <c r="CB3700">
        <v>25.61</v>
      </c>
      <c r="CC3700">
        <v>9.1999999999999993</v>
      </c>
      <c r="CD3700">
        <v>6.36</v>
      </c>
      <c r="CE3700">
        <v>1.89</v>
      </c>
      <c r="CF3700">
        <v>0.13</v>
      </c>
      <c r="CG3700">
        <v>1.92</v>
      </c>
      <c r="CH3700">
        <v>1.49</v>
      </c>
      <c r="CI3700">
        <v>1.5</v>
      </c>
      <c r="CJ3700">
        <v>-5.14</v>
      </c>
      <c r="CK3700">
        <v>0.43</v>
      </c>
      <c r="CL3700">
        <v>5.8</v>
      </c>
      <c r="CM3700">
        <v>-1.7</v>
      </c>
      <c r="CN3700">
        <v>-5.49</v>
      </c>
      <c r="CO3700">
        <v>40268</v>
      </c>
      <c r="CP3700">
        <v>4864</v>
      </c>
      <c r="CQ3700" t="s">
        <v>15395</v>
      </c>
      <c r="CR3700">
        <v>395.51</v>
      </c>
      <c r="CS3700">
        <v>76.510000000000005</v>
      </c>
      <c r="CT3700">
        <v>4.24</v>
      </c>
      <c r="CU3700">
        <v>-86.92</v>
      </c>
      <c r="CV3700">
        <v>16.03</v>
      </c>
      <c r="CW3700">
        <v>0.32</v>
      </c>
      <c r="CX3700" t="s">
        <v>780</v>
      </c>
      <c r="CY3700">
        <v>10.93</v>
      </c>
      <c r="CZ3700">
        <v>10.93</v>
      </c>
      <c r="DA3700">
        <v>8.0399999999999991</v>
      </c>
      <c r="DB3700">
        <v>1.82</v>
      </c>
      <c r="DC3700">
        <v>-0.53</v>
      </c>
      <c r="DD3700">
        <v>53.43</v>
      </c>
      <c r="DE3700" t="s">
        <v>2237</v>
      </c>
      <c r="DF3700">
        <v>30.87</v>
      </c>
      <c r="DG3700">
        <v>20.55</v>
      </c>
      <c r="DH3700">
        <v>16.34</v>
      </c>
      <c r="DI3700">
        <v>0.49</v>
      </c>
      <c r="DJ3700">
        <v>1286</v>
      </c>
      <c r="DK3700">
        <v>603690</v>
      </c>
      <c r="DL3700" t="s">
        <v>120</v>
      </c>
      <c r="DM3700" t="s">
        <v>120</v>
      </c>
      <c r="DN3700" t="s">
        <v>120</v>
      </c>
    </row>
    <row r="3701" spans="1:118">
      <c r="A3701" t="str">
        <f>"603693"</f>
        <v>603693</v>
      </c>
      <c r="B3701" t="s">
        <v>15396</v>
      </c>
      <c r="C3701">
        <v>4.2300000000000004</v>
      </c>
      <c r="D3701">
        <v>0.14000000000000001</v>
      </c>
      <c r="E3701">
        <v>1.1000000000000001</v>
      </c>
      <c r="F3701">
        <v>2025</v>
      </c>
      <c r="G3701" t="s">
        <v>6772</v>
      </c>
      <c r="H3701">
        <v>46035.85</v>
      </c>
      <c r="I3701">
        <v>692.43</v>
      </c>
      <c r="J3701" t="s">
        <v>120</v>
      </c>
      <c r="K3701" t="s">
        <v>15397</v>
      </c>
      <c r="L3701">
        <v>3.62</v>
      </c>
      <c r="M3701">
        <v>20.93</v>
      </c>
      <c r="N3701">
        <v>1.87</v>
      </c>
      <c r="O3701">
        <v>6.03</v>
      </c>
      <c r="P3701">
        <v>21.29</v>
      </c>
      <c r="Q3701">
        <v>-1.99</v>
      </c>
      <c r="R3701">
        <v>19.68</v>
      </c>
      <c r="S3701">
        <v>20.3</v>
      </c>
      <c r="T3701">
        <v>223993</v>
      </c>
      <c r="U3701">
        <v>20.94</v>
      </c>
      <c r="V3701">
        <v>20.079999999999998</v>
      </c>
      <c r="W3701">
        <v>21.54</v>
      </c>
      <c r="X3701" t="s">
        <v>356</v>
      </c>
      <c r="Y3701" t="s">
        <v>319</v>
      </c>
      <c r="Z3701">
        <v>8.02</v>
      </c>
      <c r="AA3701">
        <v>20.55</v>
      </c>
      <c r="AB3701">
        <v>102913</v>
      </c>
      <c r="AC3701">
        <v>121080</v>
      </c>
      <c r="AD3701">
        <v>0.85</v>
      </c>
      <c r="AE3701">
        <v>67</v>
      </c>
      <c r="AF3701">
        <v>69</v>
      </c>
      <c r="AG3701" t="s">
        <v>120</v>
      </c>
      <c r="AH3701">
        <v>0.28999999999999998</v>
      </c>
      <c r="AI3701" t="s">
        <v>120</v>
      </c>
      <c r="AJ3701">
        <v>6.18</v>
      </c>
      <c r="AK3701" t="s">
        <v>15397</v>
      </c>
      <c r="AL3701">
        <v>5.58</v>
      </c>
      <c r="AM3701">
        <v>4019</v>
      </c>
      <c r="AN3701">
        <v>56</v>
      </c>
      <c r="AO3701">
        <v>8.9999999999999998E-4</v>
      </c>
      <c r="AP3701">
        <v>2</v>
      </c>
      <c r="AQ3701">
        <v>10.029999999999999</v>
      </c>
      <c r="AR3701">
        <v>6.57</v>
      </c>
      <c r="AS3701">
        <v>45.96</v>
      </c>
      <c r="AT3701">
        <v>64.8</v>
      </c>
      <c r="AU3701">
        <v>64.42</v>
      </c>
      <c r="AV3701">
        <v>9</v>
      </c>
      <c r="AW3701">
        <v>18.98</v>
      </c>
      <c r="AX3701">
        <v>19.09</v>
      </c>
      <c r="AY3701">
        <v>81.7</v>
      </c>
      <c r="AZ3701">
        <v>80.73</v>
      </c>
      <c r="BA3701">
        <v>1.48</v>
      </c>
      <c r="BB3701" t="s">
        <v>168</v>
      </c>
      <c r="BF3701">
        <v>2.35</v>
      </c>
      <c r="BG3701">
        <v>3.1</v>
      </c>
      <c r="BH3701">
        <v>-1.69</v>
      </c>
      <c r="BI3701">
        <v>6.35</v>
      </c>
      <c r="BJ3701">
        <v>20210830</v>
      </c>
      <c r="BK3701">
        <v>20180703</v>
      </c>
      <c r="BL3701">
        <v>6.18</v>
      </c>
      <c r="BM3701" t="s">
        <v>120</v>
      </c>
      <c r="BN3701" t="s">
        <v>120</v>
      </c>
      <c r="BO3701">
        <v>127.08</v>
      </c>
      <c r="BP3701">
        <v>20.93</v>
      </c>
      <c r="BQ3701">
        <v>48.6</v>
      </c>
      <c r="BR3701">
        <v>5.59</v>
      </c>
      <c r="BS3701">
        <v>57.36</v>
      </c>
      <c r="BT3701">
        <v>30.81</v>
      </c>
      <c r="BU3701">
        <v>55.94</v>
      </c>
      <c r="BV3701">
        <v>0.57999999999999996</v>
      </c>
      <c r="BW3701">
        <v>13.02</v>
      </c>
      <c r="BX3701">
        <v>8.5500000000000007</v>
      </c>
      <c r="BY3701">
        <v>0.26</v>
      </c>
      <c r="BZ3701">
        <v>16.850000000000001</v>
      </c>
      <c r="CA3701">
        <v>0</v>
      </c>
      <c r="CB3701">
        <v>31.5</v>
      </c>
      <c r="CC3701">
        <v>9.5500000000000007</v>
      </c>
      <c r="CD3701">
        <v>4.4000000000000004</v>
      </c>
      <c r="CE3701">
        <v>4.09</v>
      </c>
      <c r="CF3701">
        <v>0.03</v>
      </c>
      <c r="CG3701">
        <v>4.09</v>
      </c>
      <c r="CH3701">
        <v>3.53</v>
      </c>
      <c r="CI3701">
        <v>3</v>
      </c>
      <c r="CJ3701">
        <v>0.85</v>
      </c>
      <c r="CK3701">
        <v>2.94</v>
      </c>
      <c r="CL3701">
        <v>9.9499999999999993</v>
      </c>
      <c r="CM3701">
        <v>3.63</v>
      </c>
      <c r="CN3701">
        <v>-1.68</v>
      </c>
      <c r="CO3701">
        <v>35480</v>
      </c>
      <c r="CP3701">
        <v>3326</v>
      </c>
      <c r="CQ3701" t="s">
        <v>5355</v>
      </c>
      <c r="CR3701">
        <v>-0.61</v>
      </c>
      <c r="CS3701">
        <v>10.6</v>
      </c>
      <c r="CT3701">
        <v>2.66</v>
      </c>
      <c r="CU3701">
        <v>35.67</v>
      </c>
      <c r="CV3701">
        <v>13.55</v>
      </c>
      <c r="CW3701">
        <v>0.75</v>
      </c>
      <c r="CX3701" t="s">
        <v>3347</v>
      </c>
      <c r="CY3701">
        <v>7.86</v>
      </c>
      <c r="CZ3701">
        <v>0</v>
      </c>
      <c r="DA3701">
        <v>5.0999999999999996</v>
      </c>
      <c r="DB3701">
        <v>1.61</v>
      </c>
      <c r="DC3701">
        <v>0.59</v>
      </c>
      <c r="DD3701">
        <v>38.24</v>
      </c>
      <c r="DE3701" t="s">
        <v>9543</v>
      </c>
      <c r="DF3701">
        <v>53.87</v>
      </c>
      <c r="DG3701">
        <v>42.86</v>
      </c>
      <c r="DH3701">
        <v>31.45</v>
      </c>
      <c r="DI3701">
        <v>0.01</v>
      </c>
      <c r="DJ3701">
        <v>654</v>
      </c>
      <c r="DK3701">
        <v>603693</v>
      </c>
      <c r="DL3701" t="s">
        <v>120</v>
      </c>
      <c r="DM3701" t="s">
        <v>120</v>
      </c>
      <c r="DN3701" t="s">
        <v>120</v>
      </c>
    </row>
    <row r="3702" spans="1:118">
      <c r="A3702" t="str">
        <f>"603696"</f>
        <v>603696</v>
      </c>
      <c r="B3702" t="s">
        <v>15398</v>
      </c>
      <c r="C3702">
        <v>3.26</v>
      </c>
      <c r="D3702">
        <v>-0.1</v>
      </c>
      <c r="E3702">
        <v>0</v>
      </c>
      <c r="F3702">
        <v>875</v>
      </c>
      <c r="G3702" t="s">
        <v>15399</v>
      </c>
      <c r="H3702">
        <v>3507.88</v>
      </c>
      <c r="I3702">
        <v>0.92</v>
      </c>
      <c r="J3702" t="s">
        <v>120</v>
      </c>
      <c r="K3702" t="s">
        <v>6678</v>
      </c>
      <c r="L3702">
        <v>1.58</v>
      </c>
      <c r="M3702">
        <v>9.5</v>
      </c>
      <c r="N3702">
        <v>2.27</v>
      </c>
      <c r="O3702">
        <v>3.8</v>
      </c>
      <c r="P3702">
        <v>9.5500000000000007</v>
      </c>
      <c r="Q3702">
        <v>-0.54</v>
      </c>
      <c r="R3702">
        <v>9.15</v>
      </c>
      <c r="S3702">
        <v>9.1999999999999993</v>
      </c>
      <c r="T3702">
        <v>37076</v>
      </c>
      <c r="U3702">
        <v>9.51</v>
      </c>
      <c r="V3702">
        <v>9.1999999999999993</v>
      </c>
      <c r="W3702">
        <v>41.69</v>
      </c>
      <c r="X3702" t="s">
        <v>847</v>
      </c>
      <c r="Y3702" t="s">
        <v>937</v>
      </c>
      <c r="Z3702">
        <v>4.3499999999999996</v>
      </c>
      <c r="AA3702">
        <v>9.4600000000000009</v>
      </c>
      <c r="AB3702">
        <v>15205</v>
      </c>
      <c r="AC3702">
        <v>21871</v>
      </c>
      <c r="AD3702">
        <v>0.7</v>
      </c>
      <c r="AE3702">
        <v>293</v>
      </c>
      <c r="AF3702">
        <v>191</v>
      </c>
      <c r="AG3702" t="s">
        <v>120</v>
      </c>
      <c r="AH3702">
        <v>0</v>
      </c>
      <c r="AI3702" t="s">
        <v>120</v>
      </c>
      <c r="AJ3702">
        <v>2.35</v>
      </c>
      <c r="AK3702" t="s">
        <v>6678</v>
      </c>
      <c r="AL3702">
        <v>4.5999999999999996</v>
      </c>
      <c r="AM3702">
        <v>1469</v>
      </c>
      <c r="AN3702">
        <v>25</v>
      </c>
      <c r="AO3702">
        <v>1.1000000000000001E-3</v>
      </c>
      <c r="AP3702">
        <v>1</v>
      </c>
      <c r="AQ3702">
        <v>-0.86</v>
      </c>
      <c r="AR3702">
        <v>0.11</v>
      </c>
      <c r="AS3702">
        <v>1.83</v>
      </c>
      <c r="AT3702">
        <v>-11.71</v>
      </c>
      <c r="AU3702">
        <v>-16.670000000000002</v>
      </c>
      <c r="AV3702">
        <v>2</v>
      </c>
      <c r="AW3702">
        <v>4.7699999999999996</v>
      </c>
      <c r="AX3702">
        <v>33.06</v>
      </c>
      <c r="AY3702">
        <v>38.770000000000003</v>
      </c>
      <c r="AZ3702">
        <v>40.97</v>
      </c>
      <c r="BA3702">
        <v>1.22</v>
      </c>
      <c r="BB3702" t="s">
        <v>143</v>
      </c>
      <c r="BF3702">
        <v>2.84</v>
      </c>
      <c r="BG3702">
        <v>3.26</v>
      </c>
      <c r="BH3702">
        <v>-0.52</v>
      </c>
      <c r="BI3702">
        <v>3.83</v>
      </c>
      <c r="BJ3702">
        <v>20210825</v>
      </c>
      <c r="BK3702">
        <v>20151209</v>
      </c>
      <c r="BL3702">
        <v>2.35</v>
      </c>
      <c r="BM3702" t="s">
        <v>120</v>
      </c>
      <c r="BN3702" t="s">
        <v>120</v>
      </c>
      <c r="BO3702">
        <v>6.09</v>
      </c>
      <c r="BP3702">
        <v>9.5</v>
      </c>
      <c r="BQ3702">
        <v>5.33</v>
      </c>
      <c r="BR3702" t="s">
        <v>120</v>
      </c>
      <c r="BS3702">
        <v>12.53</v>
      </c>
      <c r="BT3702">
        <v>3.44</v>
      </c>
      <c r="BU3702">
        <v>0.57999999999999996</v>
      </c>
      <c r="BV3702">
        <v>0.38</v>
      </c>
      <c r="BW3702">
        <v>0.75</v>
      </c>
      <c r="BX3702">
        <v>0.88</v>
      </c>
      <c r="BY3702">
        <v>0.56000000000000005</v>
      </c>
      <c r="BZ3702">
        <v>0.22</v>
      </c>
      <c r="CA3702" t="s">
        <v>120</v>
      </c>
      <c r="CB3702">
        <v>2.08</v>
      </c>
      <c r="CC3702">
        <v>2.5499999999999998</v>
      </c>
      <c r="CD3702">
        <v>1.97</v>
      </c>
      <c r="CE3702">
        <v>0.31</v>
      </c>
      <c r="CF3702">
        <v>0.01</v>
      </c>
      <c r="CG3702">
        <v>0.31</v>
      </c>
      <c r="CH3702">
        <v>0.27</v>
      </c>
      <c r="CI3702">
        <v>0.27</v>
      </c>
      <c r="CJ3702">
        <v>0.3</v>
      </c>
      <c r="CK3702">
        <v>0.22</v>
      </c>
      <c r="CL3702">
        <v>0.51</v>
      </c>
      <c r="CM3702">
        <v>0.28999999999999998</v>
      </c>
      <c r="CN3702">
        <v>-0.01</v>
      </c>
      <c r="CO3702">
        <v>18223</v>
      </c>
      <c r="CP3702">
        <v>4266</v>
      </c>
      <c r="CQ3702" t="s">
        <v>1306</v>
      </c>
      <c r="CR3702">
        <v>12.6</v>
      </c>
      <c r="CS3702">
        <v>42.92</v>
      </c>
      <c r="CT3702">
        <v>4.1900000000000004</v>
      </c>
      <c r="CU3702">
        <v>76.78</v>
      </c>
      <c r="CV3702">
        <v>8.77</v>
      </c>
      <c r="CW3702">
        <v>2.72</v>
      </c>
      <c r="CX3702" t="s">
        <v>1147</v>
      </c>
      <c r="CY3702">
        <v>2.27</v>
      </c>
      <c r="CZ3702">
        <v>0</v>
      </c>
      <c r="DA3702">
        <v>0.88</v>
      </c>
      <c r="DB3702">
        <v>0.22</v>
      </c>
      <c r="DC3702">
        <v>0.12</v>
      </c>
      <c r="DD3702">
        <v>87.47</v>
      </c>
      <c r="DE3702" t="s">
        <v>3260</v>
      </c>
      <c r="DF3702">
        <v>22.9</v>
      </c>
      <c r="DG3702">
        <v>12.27</v>
      </c>
      <c r="DH3702">
        <v>10.51</v>
      </c>
      <c r="DI3702">
        <v>0.06</v>
      </c>
      <c r="DJ3702">
        <v>342</v>
      </c>
      <c r="DK3702">
        <v>603696</v>
      </c>
      <c r="DL3702" t="s">
        <v>120</v>
      </c>
      <c r="DM3702" t="s">
        <v>120</v>
      </c>
      <c r="DN3702" t="s">
        <v>120</v>
      </c>
    </row>
    <row r="3703" spans="1:118">
      <c r="A3703" t="str">
        <f>"603697"</f>
        <v>603697</v>
      </c>
      <c r="B3703" t="s">
        <v>15400</v>
      </c>
      <c r="C3703">
        <v>-0.65</v>
      </c>
      <c r="D3703">
        <v>-0.05</v>
      </c>
      <c r="E3703">
        <v>-0.3</v>
      </c>
      <c r="F3703">
        <v>381</v>
      </c>
      <c r="G3703" t="s">
        <v>15401</v>
      </c>
      <c r="H3703">
        <v>3098.85</v>
      </c>
      <c r="I3703">
        <v>1.18</v>
      </c>
      <c r="J3703" t="s">
        <v>120</v>
      </c>
      <c r="K3703" t="s">
        <v>15401</v>
      </c>
      <c r="L3703">
        <v>2.0299999999999998</v>
      </c>
      <c r="M3703">
        <v>16.829999999999998</v>
      </c>
      <c r="N3703">
        <v>0.94</v>
      </c>
      <c r="O3703">
        <v>1.3</v>
      </c>
      <c r="P3703">
        <v>17.16</v>
      </c>
      <c r="Q3703">
        <v>-0.77</v>
      </c>
      <c r="R3703">
        <v>16.809999999999999</v>
      </c>
      <c r="S3703">
        <v>16.89</v>
      </c>
      <c r="T3703">
        <v>18261</v>
      </c>
      <c r="U3703">
        <v>16.829999999999998</v>
      </c>
      <c r="V3703">
        <v>16.940000000000001</v>
      </c>
      <c r="W3703">
        <v>19.98</v>
      </c>
      <c r="X3703" t="s">
        <v>847</v>
      </c>
      <c r="Y3703" t="s">
        <v>883</v>
      </c>
      <c r="Z3703">
        <v>2.0699999999999998</v>
      </c>
      <c r="AA3703">
        <v>16.97</v>
      </c>
      <c r="AB3703">
        <v>9923</v>
      </c>
      <c r="AC3703">
        <v>8338</v>
      </c>
      <c r="AD3703">
        <v>1.19</v>
      </c>
      <c r="AE3703">
        <v>112</v>
      </c>
      <c r="AF3703">
        <v>155</v>
      </c>
      <c r="AG3703" t="s">
        <v>120</v>
      </c>
      <c r="AH3703">
        <v>0</v>
      </c>
      <c r="AI3703" t="s">
        <v>120</v>
      </c>
      <c r="AJ3703">
        <v>0.9</v>
      </c>
      <c r="AK3703" t="s">
        <v>15402</v>
      </c>
      <c r="AL3703">
        <v>0.69</v>
      </c>
      <c r="AM3703">
        <v>958</v>
      </c>
      <c r="AN3703">
        <v>19</v>
      </c>
      <c r="AO3703">
        <v>2.0999999999999999E-3</v>
      </c>
      <c r="AP3703">
        <v>-2</v>
      </c>
      <c r="AQ3703">
        <v>-1.51</v>
      </c>
      <c r="AR3703">
        <v>0.9</v>
      </c>
      <c r="AS3703">
        <v>-3.44</v>
      </c>
      <c r="AT3703">
        <v>-16.48</v>
      </c>
      <c r="AU3703">
        <v>-12.93</v>
      </c>
      <c r="AV3703">
        <v>2</v>
      </c>
      <c r="AW3703">
        <v>2.0299999999999998</v>
      </c>
      <c r="AX3703">
        <v>29.18</v>
      </c>
      <c r="AY3703">
        <v>23.07</v>
      </c>
      <c r="AZ3703">
        <v>23.11</v>
      </c>
      <c r="BA3703">
        <v>0.5</v>
      </c>
      <c r="BB3703" t="s">
        <v>143</v>
      </c>
      <c r="BF3703">
        <v>0.18</v>
      </c>
      <c r="BG3703">
        <v>-0.36</v>
      </c>
      <c r="BH3703">
        <v>-1.92</v>
      </c>
      <c r="BI3703">
        <v>0.12</v>
      </c>
      <c r="BJ3703">
        <v>20210818</v>
      </c>
      <c r="BK3703">
        <v>20190508</v>
      </c>
      <c r="BL3703">
        <v>3.08</v>
      </c>
      <c r="BM3703" t="s">
        <v>120</v>
      </c>
      <c r="BN3703" t="s">
        <v>120</v>
      </c>
      <c r="BO3703">
        <v>19.79</v>
      </c>
      <c r="BP3703">
        <v>16.82</v>
      </c>
      <c r="BQ3703">
        <v>18.05</v>
      </c>
      <c r="BR3703" t="s">
        <v>120</v>
      </c>
      <c r="BS3703">
        <v>8.7899999999999991</v>
      </c>
      <c r="BT3703">
        <v>15.11</v>
      </c>
      <c r="BU3703">
        <v>2.81</v>
      </c>
      <c r="BV3703">
        <v>0.56000000000000005</v>
      </c>
      <c r="BW3703">
        <v>1.41</v>
      </c>
      <c r="BX3703">
        <v>1.53</v>
      </c>
      <c r="BY3703">
        <v>2.4300000000000002</v>
      </c>
      <c r="BZ3703">
        <v>0.03</v>
      </c>
      <c r="CA3703">
        <v>0</v>
      </c>
      <c r="CB3703">
        <v>5.24</v>
      </c>
      <c r="CC3703">
        <v>6.04</v>
      </c>
      <c r="CD3703">
        <v>3.95</v>
      </c>
      <c r="CE3703">
        <v>1.51</v>
      </c>
      <c r="CF3703">
        <v>0.17</v>
      </c>
      <c r="CG3703">
        <v>1.52</v>
      </c>
      <c r="CH3703">
        <v>1.3</v>
      </c>
      <c r="CI3703">
        <v>1.3</v>
      </c>
      <c r="CJ3703">
        <v>-0.11</v>
      </c>
      <c r="CK3703">
        <v>1.18</v>
      </c>
      <c r="CL3703">
        <v>9.33</v>
      </c>
      <c r="CM3703">
        <v>1.71</v>
      </c>
      <c r="CN3703">
        <v>-2.85</v>
      </c>
      <c r="CO3703">
        <v>24006</v>
      </c>
      <c r="CP3703">
        <v>3745</v>
      </c>
      <c r="CQ3703" t="s">
        <v>4921</v>
      </c>
      <c r="CR3703">
        <v>0.33</v>
      </c>
      <c r="CS3703">
        <v>10.89</v>
      </c>
      <c r="CT3703">
        <v>2.87</v>
      </c>
      <c r="CU3703">
        <v>30.39</v>
      </c>
      <c r="CV3703">
        <v>8.59</v>
      </c>
      <c r="CW3703">
        <v>1.89</v>
      </c>
      <c r="CX3703" t="s">
        <v>1327</v>
      </c>
      <c r="CY3703">
        <v>5.86</v>
      </c>
      <c r="CZ3703">
        <v>0</v>
      </c>
      <c r="DA3703">
        <v>1.7</v>
      </c>
      <c r="DB3703">
        <v>3.03</v>
      </c>
      <c r="DC3703">
        <v>0.55000000000000004</v>
      </c>
      <c r="DD3703">
        <v>91.21</v>
      </c>
      <c r="DE3703" t="s">
        <v>9377</v>
      </c>
      <c r="DF3703">
        <v>34.58</v>
      </c>
      <c r="DG3703">
        <v>25.07</v>
      </c>
      <c r="DH3703">
        <v>21.5</v>
      </c>
      <c r="DI3703">
        <v>0.01</v>
      </c>
      <c r="DJ3703">
        <v>1486</v>
      </c>
      <c r="DK3703">
        <v>603697</v>
      </c>
      <c r="DL3703" t="s">
        <v>120</v>
      </c>
      <c r="DM3703" t="s">
        <v>120</v>
      </c>
      <c r="DN3703" t="s">
        <v>120</v>
      </c>
    </row>
    <row r="3704" spans="1:118">
      <c r="A3704" t="str">
        <f>"603698"</f>
        <v>603698</v>
      </c>
      <c r="B3704" t="s">
        <v>15403</v>
      </c>
      <c r="C3704">
        <v>-0.16</v>
      </c>
      <c r="D3704">
        <v>0</v>
      </c>
      <c r="E3704">
        <v>0.1</v>
      </c>
      <c r="F3704">
        <v>1325</v>
      </c>
      <c r="G3704" t="s">
        <v>10442</v>
      </c>
      <c r="H3704">
        <v>31552.91</v>
      </c>
      <c r="I3704">
        <v>178.93</v>
      </c>
      <c r="J3704" t="s">
        <v>120</v>
      </c>
      <c r="K3704" t="s">
        <v>15404</v>
      </c>
      <c r="L3704">
        <v>3.02</v>
      </c>
      <c r="M3704">
        <v>19.190000000000001</v>
      </c>
      <c r="N3704">
        <v>1.53</v>
      </c>
      <c r="O3704">
        <v>3.8</v>
      </c>
      <c r="P3704">
        <v>19.95</v>
      </c>
      <c r="Q3704">
        <v>-0.83</v>
      </c>
      <c r="R3704">
        <v>19.059999999999999</v>
      </c>
      <c r="S3704">
        <v>19.239999999999998</v>
      </c>
      <c r="T3704">
        <v>161972</v>
      </c>
      <c r="U3704">
        <v>19.190000000000001</v>
      </c>
      <c r="V3704">
        <v>19.22</v>
      </c>
      <c r="W3704">
        <v>83.7</v>
      </c>
      <c r="X3704" t="s">
        <v>675</v>
      </c>
      <c r="Y3704" t="s">
        <v>158</v>
      </c>
      <c r="Z3704">
        <v>4.63</v>
      </c>
      <c r="AA3704">
        <v>19.48</v>
      </c>
      <c r="AB3704">
        <v>91003</v>
      </c>
      <c r="AC3704">
        <v>70969</v>
      </c>
      <c r="AD3704">
        <v>1.28</v>
      </c>
      <c r="AE3704">
        <v>107</v>
      </c>
      <c r="AF3704">
        <v>1047</v>
      </c>
      <c r="AG3704" t="s">
        <v>120</v>
      </c>
      <c r="AH3704">
        <v>7.0000000000000007E-2</v>
      </c>
      <c r="AI3704" t="s">
        <v>120</v>
      </c>
      <c r="AJ3704">
        <v>5.36</v>
      </c>
      <c r="AK3704" t="s">
        <v>15404</v>
      </c>
      <c r="AL3704">
        <v>1.19</v>
      </c>
      <c r="AM3704">
        <v>3676</v>
      </c>
      <c r="AN3704">
        <v>44</v>
      </c>
      <c r="AO3704">
        <v>8.0000000000000004E-4</v>
      </c>
      <c r="AP3704">
        <v>-1</v>
      </c>
      <c r="AQ3704">
        <v>6.01</v>
      </c>
      <c r="AR3704">
        <v>3.39</v>
      </c>
      <c r="AS3704">
        <v>13.62</v>
      </c>
      <c r="AT3704">
        <v>9.4700000000000006</v>
      </c>
      <c r="AU3704">
        <v>66.16</v>
      </c>
      <c r="AV3704">
        <v>11</v>
      </c>
      <c r="AW3704">
        <v>12.98</v>
      </c>
      <c r="AX3704">
        <v>23.28</v>
      </c>
      <c r="AY3704">
        <v>46.7</v>
      </c>
      <c r="AZ3704">
        <v>57.44</v>
      </c>
      <c r="BA3704">
        <v>0.97</v>
      </c>
      <c r="BB3704" t="s">
        <v>700</v>
      </c>
      <c r="BF3704">
        <v>1.35</v>
      </c>
      <c r="BG3704">
        <v>-0.26</v>
      </c>
      <c r="BH3704">
        <v>-3.81</v>
      </c>
      <c r="BI3704">
        <v>0.68</v>
      </c>
      <c r="BJ3704">
        <v>20210830</v>
      </c>
      <c r="BK3704">
        <v>20150128</v>
      </c>
      <c r="BL3704">
        <v>5.36</v>
      </c>
      <c r="BM3704" t="s">
        <v>120</v>
      </c>
      <c r="BN3704" t="s">
        <v>120</v>
      </c>
      <c r="BO3704">
        <v>46.91</v>
      </c>
      <c r="BP3704">
        <v>19.18</v>
      </c>
      <c r="BQ3704">
        <v>29.27</v>
      </c>
      <c r="BR3704" t="s">
        <v>120</v>
      </c>
      <c r="BS3704">
        <v>37.61</v>
      </c>
      <c r="BT3704">
        <v>37.83</v>
      </c>
      <c r="BU3704">
        <v>5.6</v>
      </c>
      <c r="BV3704">
        <v>0.77</v>
      </c>
      <c r="BW3704">
        <v>17</v>
      </c>
      <c r="BX3704">
        <v>19.37</v>
      </c>
      <c r="BY3704">
        <v>2.4900000000000002</v>
      </c>
      <c r="BZ3704">
        <v>3.87</v>
      </c>
      <c r="CA3704" t="s">
        <v>120</v>
      </c>
      <c r="CB3704">
        <v>9.36</v>
      </c>
      <c r="CC3704">
        <v>6.34</v>
      </c>
      <c r="CD3704">
        <v>4.8499999999999996</v>
      </c>
      <c r="CE3704">
        <v>0.63</v>
      </c>
      <c r="CF3704">
        <v>0</v>
      </c>
      <c r="CG3704">
        <v>0.63</v>
      </c>
      <c r="CH3704">
        <v>0.61</v>
      </c>
      <c r="CI3704">
        <v>0.61</v>
      </c>
      <c r="CJ3704">
        <v>-0.03</v>
      </c>
      <c r="CK3704">
        <v>0.59</v>
      </c>
      <c r="CL3704">
        <v>12.51</v>
      </c>
      <c r="CM3704">
        <v>3.55</v>
      </c>
      <c r="CN3704">
        <v>2.91</v>
      </c>
      <c r="CO3704">
        <v>36238</v>
      </c>
      <c r="CP3704">
        <v>3444</v>
      </c>
      <c r="CQ3704" t="s">
        <v>13320</v>
      </c>
      <c r="CR3704">
        <v>204.64</v>
      </c>
      <c r="CS3704">
        <v>48.63</v>
      </c>
      <c r="CT3704">
        <v>3.51</v>
      </c>
      <c r="CU3704">
        <v>29</v>
      </c>
      <c r="CV3704">
        <v>16.23</v>
      </c>
      <c r="CW3704">
        <v>0.53</v>
      </c>
      <c r="CX3704" t="s">
        <v>1147</v>
      </c>
      <c r="CY3704">
        <v>5.46</v>
      </c>
      <c r="CZ3704">
        <v>0</v>
      </c>
      <c r="DA3704">
        <v>1.75</v>
      </c>
      <c r="DB3704">
        <v>2.33</v>
      </c>
      <c r="DC3704">
        <v>0.66</v>
      </c>
      <c r="DD3704">
        <v>62.39</v>
      </c>
      <c r="DE3704" t="s">
        <v>7908</v>
      </c>
      <c r="DF3704">
        <v>23.47</v>
      </c>
      <c r="DG3704">
        <v>9.94</v>
      </c>
      <c r="DH3704">
        <v>9.69</v>
      </c>
      <c r="DI3704">
        <v>0.44</v>
      </c>
      <c r="DJ3704">
        <v>607</v>
      </c>
      <c r="DK3704">
        <v>603698</v>
      </c>
      <c r="DL3704" t="s">
        <v>120</v>
      </c>
      <c r="DM3704" t="s">
        <v>120</v>
      </c>
      <c r="DN3704" t="s">
        <v>120</v>
      </c>
    </row>
    <row r="3705" spans="1:118">
      <c r="A3705" t="str">
        <f>"603699"</f>
        <v>603699</v>
      </c>
      <c r="B3705" t="s">
        <v>15405</v>
      </c>
      <c r="C3705">
        <v>-2.2000000000000002</v>
      </c>
      <c r="D3705">
        <v>-0.08</v>
      </c>
      <c r="E3705">
        <v>0.97</v>
      </c>
      <c r="F3705">
        <v>395</v>
      </c>
      <c r="G3705" t="s">
        <v>15406</v>
      </c>
      <c r="H3705">
        <v>5362.96</v>
      </c>
      <c r="I3705">
        <v>18.73</v>
      </c>
      <c r="J3705" t="s">
        <v>120</v>
      </c>
      <c r="K3705" t="s">
        <v>15407</v>
      </c>
      <c r="L3705">
        <v>0.64</v>
      </c>
      <c r="M3705">
        <v>11.13</v>
      </c>
      <c r="N3705">
        <v>0.71</v>
      </c>
      <c r="O3705">
        <v>1.58</v>
      </c>
      <c r="P3705">
        <v>11.56</v>
      </c>
      <c r="Q3705">
        <v>-2.9</v>
      </c>
      <c r="R3705">
        <v>11.05</v>
      </c>
      <c r="S3705">
        <v>11.49</v>
      </c>
      <c r="T3705">
        <v>47789</v>
      </c>
      <c r="U3705">
        <v>11.14</v>
      </c>
      <c r="V3705">
        <v>11.38</v>
      </c>
      <c r="W3705">
        <v>19.809999999999999</v>
      </c>
      <c r="X3705" t="s">
        <v>675</v>
      </c>
      <c r="Y3705" t="s">
        <v>319</v>
      </c>
      <c r="Z3705">
        <v>4.4800000000000004</v>
      </c>
      <c r="AA3705">
        <v>11.22</v>
      </c>
      <c r="AB3705">
        <v>31801</v>
      </c>
      <c r="AC3705">
        <v>15988</v>
      </c>
      <c r="AD3705">
        <v>1.99</v>
      </c>
      <c r="AE3705">
        <v>171</v>
      </c>
      <c r="AF3705">
        <v>151</v>
      </c>
      <c r="AG3705" t="s">
        <v>120</v>
      </c>
      <c r="AH3705">
        <v>0.01</v>
      </c>
      <c r="AI3705" t="s">
        <v>120</v>
      </c>
      <c r="AJ3705">
        <v>7.5</v>
      </c>
      <c r="AK3705" t="s">
        <v>15407</v>
      </c>
      <c r="AL3705">
        <v>-0.85</v>
      </c>
      <c r="AM3705">
        <v>1915</v>
      </c>
      <c r="AN3705">
        <v>25</v>
      </c>
      <c r="AO3705">
        <v>2.9999999999999997E-4</v>
      </c>
      <c r="AP3705">
        <v>-1</v>
      </c>
      <c r="AQ3705">
        <v>3.45</v>
      </c>
      <c r="AR3705">
        <v>-2.72</v>
      </c>
      <c r="AS3705">
        <v>15.46</v>
      </c>
      <c r="AT3705">
        <v>7.22</v>
      </c>
      <c r="AU3705">
        <v>-7.48</v>
      </c>
      <c r="AV3705">
        <v>1</v>
      </c>
      <c r="AW3705">
        <v>1.97</v>
      </c>
      <c r="AX3705">
        <v>32.33</v>
      </c>
      <c r="AY3705">
        <v>17.79</v>
      </c>
      <c r="AZ3705">
        <v>16.18</v>
      </c>
      <c r="BA3705">
        <v>0.14000000000000001</v>
      </c>
      <c r="BB3705" t="s">
        <v>184</v>
      </c>
      <c r="BF3705">
        <v>-1.39</v>
      </c>
      <c r="BG3705">
        <v>-3.13</v>
      </c>
      <c r="BH3705">
        <v>-3.72</v>
      </c>
      <c r="BI3705">
        <v>0.72</v>
      </c>
      <c r="BJ3705">
        <v>20210830</v>
      </c>
      <c r="BK3705">
        <v>20140117</v>
      </c>
      <c r="BL3705">
        <v>7.5</v>
      </c>
      <c r="BM3705" t="s">
        <v>120</v>
      </c>
      <c r="BN3705" t="s">
        <v>120</v>
      </c>
      <c r="BO3705">
        <v>56.75</v>
      </c>
      <c r="BP3705">
        <v>11.13</v>
      </c>
      <c r="BQ3705">
        <v>27.43</v>
      </c>
      <c r="BR3705">
        <v>0.54</v>
      </c>
      <c r="BS3705">
        <v>50.71</v>
      </c>
      <c r="BT3705">
        <v>39.89</v>
      </c>
      <c r="BU3705">
        <v>12.04</v>
      </c>
      <c r="BV3705">
        <v>1.59</v>
      </c>
      <c r="BW3705">
        <v>28.06</v>
      </c>
      <c r="BX3705">
        <v>4.04</v>
      </c>
      <c r="BY3705">
        <v>15.39</v>
      </c>
      <c r="BZ3705">
        <v>15.09</v>
      </c>
      <c r="CA3705" t="s">
        <v>120</v>
      </c>
      <c r="CB3705">
        <v>7.81</v>
      </c>
      <c r="CC3705">
        <v>19.28</v>
      </c>
      <c r="CD3705">
        <v>14</v>
      </c>
      <c r="CE3705">
        <v>2.44</v>
      </c>
      <c r="CF3705">
        <v>0.01</v>
      </c>
      <c r="CG3705">
        <v>2.46</v>
      </c>
      <c r="CH3705">
        <v>2.15</v>
      </c>
      <c r="CI3705">
        <v>2.11</v>
      </c>
      <c r="CJ3705">
        <v>-0.25</v>
      </c>
      <c r="CK3705">
        <v>2.0099999999999998</v>
      </c>
      <c r="CL3705">
        <v>8.49</v>
      </c>
      <c r="CM3705">
        <v>2.2000000000000002</v>
      </c>
      <c r="CN3705">
        <v>0.2</v>
      </c>
      <c r="CO3705">
        <v>16672</v>
      </c>
      <c r="CP3705">
        <v>14544</v>
      </c>
      <c r="CQ3705" t="s">
        <v>8739</v>
      </c>
      <c r="CR3705">
        <v>-18.5</v>
      </c>
      <c r="CS3705">
        <v>13.51</v>
      </c>
      <c r="CT3705">
        <v>3.04</v>
      </c>
      <c r="CU3705">
        <v>38</v>
      </c>
      <c r="CV3705">
        <v>4.33</v>
      </c>
      <c r="CW3705">
        <v>4.04</v>
      </c>
      <c r="CX3705" t="s">
        <v>1054</v>
      </c>
      <c r="CY3705">
        <v>3.66</v>
      </c>
      <c r="CZ3705">
        <v>0</v>
      </c>
      <c r="DA3705">
        <v>1.04</v>
      </c>
      <c r="DB3705">
        <v>1.1299999999999999</v>
      </c>
      <c r="DC3705">
        <v>0.28999999999999998</v>
      </c>
      <c r="DD3705">
        <v>48.34</v>
      </c>
      <c r="DE3705" t="s">
        <v>4067</v>
      </c>
      <c r="DF3705">
        <v>27.39</v>
      </c>
      <c r="DG3705">
        <v>12.67</v>
      </c>
      <c r="DH3705">
        <v>10.93</v>
      </c>
      <c r="DI3705">
        <v>0.56999999999999995</v>
      </c>
      <c r="DJ3705">
        <v>3495</v>
      </c>
      <c r="DK3705">
        <v>603699</v>
      </c>
      <c r="DL3705" t="s">
        <v>120</v>
      </c>
      <c r="DM3705" t="s">
        <v>120</v>
      </c>
      <c r="DN3705" t="s">
        <v>120</v>
      </c>
    </row>
    <row r="3706" spans="1:118">
      <c r="A3706" t="str">
        <f>"603700"</f>
        <v>603700</v>
      </c>
      <c r="B3706" t="s">
        <v>15408</v>
      </c>
      <c r="C3706">
        <v>-1.5</v>
      </c>
      <c r="D3706">
        <v>0.25</v>
      </c>
      <c r="E3706">
        <v>0.15</v>
      </c>
      <c r="F3706">
        <v>541</v>
      </c>
      <c r="G3706" t="s">
        <v>7839</v>
      </c>
      <c r="H3706">
        <v>1924.94</v>
      </c>
      <c r="I3706">
        <v>1.41</v>
      </c>
      <c r="J3706" t="s">
        <v>120</v>
      </c>
      <c r="K3706" t="s">
        <v>7839</v>
      </c>
      <c r="L3706">
        <v>0.94</v>
      </c>
      <c r="M3706">
        <v>19.75</v>
      </c>
      <c r="N3706">
        <v>0.36</v>
      </c>
      <c r="O3706">
        <v>0.25</v>
      </c>
      <c r="P3706">
        <v>20.100000000000001</v>
      </c>
      <c r="Q3706">
        <v>-1.75</v>
      </c>
      <c r="R3706">
        <v>19.7</v>
      </c>
      <c r="S3706">
        <v>20.079999999999998</v>
      </c>
      <c r="T3706">
        <v>9717</v>
      </c>
      <c r="U3706">
        <v>19.760000000000002</v>
      </c>
      <c r="V3706">
        <v>20.05</v>
      </c>
      <c r="W3706">
        <v>17.059999999999999</v>
      </c>
      <c r="X3706" t="s">
        <v>2717</v>
      </c>
      <c r="Y3706" t="s">
        <v>585</v>
      </c>
      <c r="Z3706">
        <v>2</v>
      </c>
      <c r="AA3706">
        <v>19.809999999999999</v>
      </c>
      <c r="AB3706">
        <v>6642</v>
      </c>
      <c r="AC3706">
        <v>3075</v>
      </c>
      <c r="AD3706">
        <v>2.16</v>
      </c>
      <c r="AE3706">
        <v>39</v>
      </c>
      <c r="AF3706">
        <v>2</v>
      </c>
      <c r="AG3706" t="s">
        <v>120</v>
      </c>
      <c r="AH3706">
        <v>0</v>
      </c>
      <c r="AI3706" t="s">
        <v>120</v>
      </c>
      <c r="AJ3706">
        <v>1.03</v>
      </c>
      <c r="AK3706" t="s">
        <v>8158</v>
      </c>
      <c r="AL3706">
        <v>-0.15</v>
      </c>
      <c r="AM3706">
        <v>815</v>
      </c>
      <c r="AN3706">
        <v>12</v>
      </c>
      <c r="AO3706">
        <v>1.1999999999999999E-3</v>
      </c>
      <c r="AP3706">
        <v>-1</v>
      </c>
      <c r="AQ3706">
        <v>0.05</v>
      </c>
      <c r="AR3706">
        <v>-1.79</v>
      </c>
      <c r="AS3706">
        <v>-2.52</v>
      </c>
      <c r="AT3706">
        <v>-16.87</v>
      </c>
      <c r="AU3706">
        <v>-31.35</v>
      </c>
      <c r="AV3706">
        <v>1</v>
      </c>
      <c r="AW3706">
        <v>0.94</v>
      </c>
      <c r="AX3706">
        <v>50.84</v>
      </c>
      <c r="AY3706">
        <v>14.9</v>
      </c>
      <c r="AZ3706">
        <v>14.92</v>
      </c>
      <c r="BA3706">
        <v>0.61</v>
      </c>
      <c r="BB3706" t="s">
        <v>143</v>
      </c>
      <c r="BF3706">
        <v>-1.2</v>
      </c>
      <c r="BG3706">
        <v>-1.64</v>
      </c>
      <c r="BH3706">
        <v>-1.74</v>
      </c>
      <c r="BI3706">
        <v>0.25</v>
      </c>
      <c r="BJ3706">
        <v>20210818</v>
      </c>
      <c r="BK3706">
        <v>20190122</v>
      </c>
      <c r="BL3706">
        <v>2.0299999999999998</v>
      </c>
      <c r="BM3706" t="s">
        <v>120</v>
      </c>
      <c r="BN3706" t="s">
        <v>120</v>
      </c>
      <c r="BO3706">
        <v>20.72</v>
      </c>
      <c r="BP3706">
        <v>19.75</v>
      </c>
      <c r="BQ3706">
        <v>14.95</v>
      </c>
      <c r="BR3706">
        <v>0</v>
      </c>
      <c r="BS3706">
        <v>27.84</v>
      </c>
      <c r="BT3706">
        <v>17.8</v>
      </c>
      <c r="BU3706">
        <v>0.84</v>
      </c>
      <c r="BV3706">
        <v>0.45</v>
      </c>
      <c r="BW3706">
        <v>5.67</v>
      </c>
      <c r="BX3706">
        <v>3.49</v>
      </c>
      <c r="BY3706">
        <v>3.26</v>
      </c>
      <c r="BZ3706">
        <v>7.13</v>
      </c>
      <c r="CA3706" t="s">
        <v>120</v>
      </c>
      <c r="CB3706">
        <v>4.95</v>
      </c>
      <c r="CC3706">
        <v>7.4</v>
      </c>
      <c r="CD3706">
        <v>5</v>
      </c>
      <c r="CE3706">
        <v>1.25</v>
      </c>
      <c r="CF3706">
        <v>0.05</v>
      </c>
      <c r="CG3706">
        <v>1.36</v>
      </c>
      <c r="CH3706">
        <v>1.17</v>
      </c>
      <c r="CI3706">
        <v>1.18</v>
      </c>
      <c r="CJ3706">
        <v>-0.3</v>
      </c>
      <c r="CK3706">
        <v>1.01</v>
      </c>
      <c r="CL3706">
        <v>6.74</v>
      </c>
      <c r="CM3706">
        <v>-1.46</v>
      </c>
      <c r="CN3706">
        <v>-1.49</v>
      </c>
      <c r="CO3706">
        <v>12825</v>
      </c>
      <c r="CP3706">
        <v>8056</v>
      </c>
      <c r="CQ3706" t="s">
        <v>15409</v>
      </c>
      <c r="CR3706">
        <v>0.28999999999999998</v>
      </c>
      <c r="CS3706">
        <v>12.79</v>
      </c>
      <c r="CT3706">
        <v>2.69</v>
      </c>
      <c r="CU3706">
        <v>-27.44</v>
      </c>
      <c r="CV3706">
        <v>5.42</v>
      </c>
      <c r="CW3706">
        <v>2</v>
      </c>
      <c r="CX3706" t="s">
        <v>2614</v>
      </c>
      <c r="CY3706">
        <v>7.35</v>
      </c>
      <c r="CZ3706">
        <v>0</v>
      </c>
      <c r="DA3706">
        <v>2.4300000000000002</v>
      </c>
      <c r="DB3706">
        <v>3.31</v>
      </c>
      <c r="DC3706">
        <v>-0.72</v>
      </c>
      <c r="DD3706">
        <v>72.150000000000006</v>
      </c>
      <c r="DE3706" t="s">
        <v>2499</v>
      </c>
      <c r="DF3706">
        <v>32.42</v>
      </c>
      <c r="DG3706">
        <v>16.91</v>
      </c>
      <c r="DH3706">
        <v>15.9</v>
      </c>
      <c r="DI3706">
        <v>0.32</v>
      </c>
      <c r="DJ3706">
        <v>1190</v>
      </c>
      <c r="DK3706">
        <v>603700</v>
      </c>
      <c r="DL3706" t="s">
        <v>120</v>
      </c>
      <c r="DM3706" t="s">
        <v>120</v>
      </c>
      <c r="DN3706" t="s">
        <v>120</v>
      </c>
    </row>
    <row r="3707" spans="1:118">
      <c r="A3707" t="str">
        <f>"603701"</f>
        <v>603701</v>
      </c>
      <c r="B3707" t="s">
        <v>15410</v>
      </c>
      <c r="C3707">
        <v>-0.11</v>
      </c>
      <c r="D3707">
        <v>0</v>
      </c>
      <c r="E3707">
        <v>-0.22</v>
      </c>
      <c r="F3707">
        <v>714</v>
      </c>
      <c r="G3707" t="s">
        <v>15411</v>
      </c>
      <c r="H3707">
        <v>3605.16</v>
      </c>
      <c r="I3707">
        <v>0.64</v>
      </c>
      <c r="J3707" t="s">
        <v>120</v>
      </c>
      <c r="K3707" t="s">
        <v>938</v>
      </c>
      <c r="L3707">
        <v>1.49</v>
      </c>
      <c r="M3707">
        <v>9.1999999999999993</v>
      </c>
      <c r="N3707">
        <v>1.22</v>
      </c>
      <c r="O3707">
        <v>1.95</v>
      </c>
      <c r="P3707">
        <v>9.39</v>
      </c>
      <c r="Q3707">
        <v>-1.19</v>
      </c>
      <c r="R3707">
        <v>9.1</v>
      </c>
      <c r="S3707">
        <v>9.19</v>
      </c>
      <c r="T3707">
        <v>38961</v>
      </c>
      <c r="U3707">
        <v>9.1999999999999993</v>
      </c>
      <c r="V3707">
        <v>9.2100000000000009</v>
      </c>
      <c r="W3707">
        <v>48.82</v>
      </c>
      <c r="X3707" t="s">
        <v>289</v>
      </c>
      <c r="Y3707" t="s">
        <v>585</v>
      </c>
      <c r="Z3707">
        <v>3.15</v>
      </c>
      <c r="AA3707">
        <v>9.25</v>
      </c>
      <c r="AB3707">
        <v>20785</v>
      </c>
      <c r="AC3707">
        <v>18176</v>
      </c>
      <c r="AD3707">
        <v>1.1399999999999999</v>
      </c>
      <c r="AE3707">
        <v>182</v>
      </c>
      <c r="AF3707">
        <v>136</v>
      </c>
      <c r="AG3707" t="s">
        <v>120</v>
      </c>
      <c r="AH3707">
        <v>0</v>
      </c>
      <c r="AI3707" t="s">
        <v>120</v>
      </c>
      <c r="AJ3707">
        <v>2.61</v>
      </c>
      <c r="AK3707" t="s">
        <v>938</v>
      </c>
      <c r="AL3707">
        <v>1.24</v>
      </c>
      <c r="AM3707">
        <v>1256</v>
      </c>
      <c r="AN3707">
        <v>31</v>
      </c>
      <c r="AO3707">
        <v>1.1999999999999999E-3</v>
      </c>
      <c r="AP3707">
        <v>-1</v>
      </c>
      <c r="AQ3707">
        <v>1.66</v>
      </c>
      <c r="AR3707">
        <v>-0.53</v>
      </c>
      <c r="AS3707">
        <v>4.79</v>
      </c>
      <c r="AT3707">
        <v>0.33</v>
      </c>
      <c r="AU3707">
        <v>6.97</v>
      </c>
      <c r="AV3707">
        <v>4</v>
      </c>
      <c r="AW3707">
        <v>2.99</v>
      </c>
      <c r="AX3707">
        <v>49.83</v>
      </c>
      <c r="AY3707">
        <v>41.51</v>
      </c>
      <c r="AZ3707">
        <v>37.909999999999997</v>
      </c>
      <c r="BA3707">
        <v>1.1599999999999999</v>
      </c>
      <c r="BB3707" t="s">
        <v>184</v>
      </c>
      <c r="BF3707">
        <v>0.47</v>
      </c>
      <c r="BG3707">
        <v>0.11</v>
      </c>
      <c r="BH3707">
        <v>-2.02</v>
      </c>
      <c r="BI3707">
        <v>1.1000000000000001</v>
      </c>
      <c r="BJ3707">
        <v>20210825</v>
      </c>
      <c r="BK3707">
        <v>20160412</v>
      </c>
      <c r="BL3707">
        <v>2.61</v>
      </c>
      <c r="BM3707" t="s">
        <v>120</v>
      </c>
      <c r="BN3707" t="s">
        <v>120</v>
      </c>
      <c r="BO3707">
        <v>9.91</v>
      </c>
      <c r="BP3707">
        <v>9.17</v>
      </c>
      <c r="BQ3707">
        <v>7.3</v>
      </c>
      <c r="BR3707">
        <v>0</v>
      </c>
      <c r="BS3707">
        <v>26.33</v>
      </c>
      <c r="BT3707">
        <v>5.86</v>
      </c>
      <c r="BU3707">
        <v>2.72</v>
      </c>
      <c r="BV3707">
        <v>0.3</v>
      </c>
      <c r="BW3707">
        <v>2.11</v>
      </c>
      <c r="BX3707">
        <v>0.99</v>
      </c>
      <c r="BY3707">
        <v>1.22</v>
      </c>
      <c r="BZ3707">
        <v>2.4</v>
      </c>
      <c r="CA3707" t="s">
        <v>120</v>
      </c>
      <c r="CB3707">
        <v>1.1100000000000001</v>
      </c>
      <c r="CC3707">
        <v>3.16</v>
      </c>
      <c r="CD3707">
        <v>2.4300000000000002</v>
      </c>
      <c r="CE3707">
        <v>0.26</v>
      </c>
      <c r="CF3707">
        <v>0.02</v>
      </c>
      <c r="CG3707">
        <v>0.26</v>
      </c>
      <c r="CH3707">
        <v>0.24</v>
      </c>
      <c r="CI3707">
        <v>0.25</v>
      </c>
      <c r="CJ3707">
        <v>-0.01</v>
      </c>
      <c r="CK3707">
        <v>0.22</v>
      </c>
      <c r="CL3707">
        <v>2.94</v>
      </c>
      <c r="CM3707">
        <v>7.0000000000000007E-2</v>
      </c>
      <c r="CN3707">
        <v>0.03</v>
      </c>
      <c r="CO3707">
        <v>18759</v>
      </c>
      <c r="CP3707">
        <v>6942</v>
      </c>
      <c r="CQ3707" t="s">
        <v>6502</v>
      </c>
      <c r="CR3707">
        <v>-18.25</v>
      </c>
      <c r="CS3707">
        <v>25.72</v>
      </c>
      <c r="CT3707">
        <v>3.29</v>
      </c>
      <c r="CU3707">
        <v>362.18</v>
      </c>
      <c r="CV3707">
        <v>7.61</v>
      </c>
      <c r="CW3707">
        <v>0.54</v>
      </c>
      <c r="CX3707" t="s">
        <v>329</v>
      </c>
      <c r="CY3707">
        <v>2.79</v>
      </c>
      <c r="CZ3707">
        <v>0</v>
      </c>
      <c r="DA3707">
        <v>0.42</v>
      </c>
      <c r="DB3707">
        <v>1.1200000000000001</v>
      </c>
      <c r="DC3707">
        <v>0.03</v>
      </c>
      <c r="DD3707">
        <v>73.67</v>
      </c>
      <c r="DE3707" t="s">
        <v>2737</v>
      </c>
      <c r="DF3707">
        <v>23.15</v>
      </c>
      <c r="DG3707">
        <v>8.34</v>
      </c>
      <c r="DH3707">
        <v>7.79</v>
      </c>
      <c r="DI3707">
        <v>0.11</v>
      </c>
      <c r="DJ3707">
        <v>429</v>
      </c>
      <c r="DK3707">
        <v>603701</v>
      </c>
      <c r="DL3707" t="s">
        <v>120</v>
      </c>
      <c r="DM3707" t="s">
        <v>120</v>
      </c>
      <c r="DN3707" t="s">
        <v>120</v>
      </c>
    </row>
    <row r="3708" spans="1:118">
      <c r="A3708" t="str">
        <f>"603703"</f>
        <v>603703</v>
      </c>
      <c r="B3708" t="s">
        <v>15412</v>
      </c>
      <c r="C3708">
        <v>-1.03</v>
      </c>
      <c r="D3708">
        <v>0.09</v>
      </c>
      <c r="E3708">
        <v>0.69</v>
      </c>
      <c r="F3708">
        <v>351</v>
      </c>
      <c r="G3708" t="s">
        <v>15378</v>
      </c>
      <c r="H3708">
        <v>3300.89</v>
      </c>
      <c r="I3708">
        <v>10.4</v>
      </c>
      <c r="J3708" t="s">
        <v>120</v>
      </c>
      <c r="K3708" t="s">
        <v>8196</v>
      </c>
      <c r="L3708">
        <v>0.96</v>
      </c>
      <c r="M3708">
        <v>11.48</v>
      </c>
      <c r="N3708">
        <v>0.55000000000000004</v>
      </c>
      <c r="O3708">
        <v>0.86</v>
      </c>
      <c r="P3708">
        <v>11.7</v>
      </c>
      <c r="Q3708">
        <v>-1.47</v>
      </c>
      <c r="R3708">
        <v>11.43</v>
      </c>
      <c r="S3708">
        <v>11.68</v>
      </c>
      <c r="T3708">
        <v>28551</v>
      </c>
      <c r="U3708">
        <v>11.48</v>
      </c>
      <c r="V3708">
        <v>11.6</v>
      </c>
      <c r="W3708">
        <v>113.99</v>
      </c>
      <c r="X3708" t="s">
        <v>462</v>
      </c>
      <c r="Y3708" t="s">
        <v>585</v>
      </c>
      <c r="Z3708">
        <v>2.33</v>
      </c>
      <c r="AA3708">
        <v>11.56</v>
      </c>
      <c r="AB3708">
        <v>18370</v>
      </c>
      <c r="AC3708">
        <v>10181</v>
      </c>
      <c r="AD3708">
        <v>1.8</v>
      </c>
      <c r="AE3708">
        <v>218</v>
      </c>
      <c r="AF3708">
        <v>795</v>
      </c>
      <c r="AG3708" t="s">
        <v>120</v>
      </c>
      <c r="AH3708">
        <v>0</v>
      </c>
      <c r="AI3708" t="s">
        <v>120</v>
      </c>
      <c r="AJ3708">
        <v>2.99</v>
      </c>
      <c r="AK3708" t="s">
        <v>8196</v>
      </c>
      <c r="AL3708">
        <v>0.31</v>
      </c>
      <c r="AM3708">
        <v>1583</v>
      </c>
      <c r="AN3708">
        <v>18</v>
      </c>
      <c r="AO3708">
        <v>5.9999999999999995E-4</v>
      </c>
      <c r="AP3708">
        <v>-5</v>
      </c>
      <c r="AQ3708">
        <v>-0.26</v>
      </c>
      <c r="AR3708">
        <v>-3.94</v>
      </c>
      <c r="AS3708">
        <v>2.04</v>
      </c>
      <c r="AT3708">
        <v>-11.01</v>
      </c>
      <c r="AU3708">
        <v>-7.57</v>
      </c>
      <c r="AV3708">
        <v>2</v>
      </c>
      <c r="AW3708">
        <v>1.44</v>
      </c>
      <c r="AX3708">
        <v>66.22</v>
      </c>
      <c r="AY3708">
        <v>204.12</v>
      </c>
      <c r="AZ3708">
        <v>660.03</v>
      </c>
      <c r="BA3708">
        <v>0.54</v>
      </c>
      <c r="BB3708" t="s">
        <v>143</v>
      </c>
      <c r="BF3708">
        <v>-0.33</v>
      </c>
      <c r="BG3708">
        <v>-1.71</v>
      </c>
      <c r="BH3708">
        <v>-1.88</v>
      </c>
      <c r="BI3708">
        <v>0.44</v>
      </c>
      <c r="BJ3708">
        <v>20210828</v>
      </c>
      <c r="BK3708">
        <v>20150423</v>
      </c>
      <c r="BL3708">
        <v>2.99</v>
      </c>
      <c r="BM3708" t="s">
        <v>120</v>
      </c>
      <c r="BN3708" t="s">
        <v>120</v>
      </c>
      <c r="BO3708">
        <v>18.34</v>
      </c>
      <c r="BP3708">
        <v>11.47</v>
      </c>
      <c r="BQ3708">
        <v>10.98</v>
      </c>
      <c r="BR3708">
        <v>1.1100000000000001</v>
      </c>
      <c r="BS3708">
        <v>34.1</v>
      </c>
      <c r="BT3708">
        <v>11.22</v>
      </c>
      <c r="BU3708">
        <v>3.5</v>
      </c>
      <c r="BV3708">
        <v>1.0900000000000001</v>
      </c>
      <c r="BW3708">
        <v>4.63</v>
      </c>
      <c r="BX3708">
        <v>4.4400000000000004</v>
      </c>
      <c r="BY3708">
        <v>2.92</v>
      </c>
      <c r="BZ3708">
        <v>2.69</v>
      </c>
      <c r="CA3708">
        <v>0.08</v>
      </c>
      <c r="CB3708">
        <v>6.6</v>
      </c>
      <c r="CC3708">
        <v>4.95</v>
      </c>
      <c r="CD3708">
        <v>3.9</v>
      </c>
      <c r="CE3708">
        <v>0.25</v>
      </c>
      <c r="CF3708">
        <v>0.11</v>
      </c>
      <c r="CG3708">
        <v>0.26</v>
      </c>
      <c r="CH3708">
        <v>0.24</v>
      </c>
      <c r="CI3708">
        <v>0.15</v>
      </c>
      <c r="CJ3708">
        <v>-0.12</v>
      </c>
      <c r="CK3708">
        <v>0.15</v>
      </c>
      <c r="CL3708">
        <v>1.1399999999999999</v>
      </c>
      <c r="CM3708">
        <v>0.53</v>
      </c>
      <c r="CN3708">
        <v>-4.22</v>
      </c>
      <c r="CO3708">
        <v>18751</v>
      </c>
      <c r="CP3708">
        <v>10546</v>
      </c>
      <c r="CQ3708" t="s">
        <v>4532</v>
      </c>
      <c r="CR3708">
        <v>353.5</v>
      </c>
      <c r="CS3708">
        <v>36.619999999999997</v>
      </c>
      <c r="CT3708">
        <v>3.12</v>
      </c>
      <c r="CU3708">
        <v>65.010000000000005</v>
      </c>
      <c r="CV3708">
        <v>6.92</v>
      </c>
      <c r="CW3708">
        <v>0</v>
      </c>
      <c r="CX3708" t="s">
        <v>1248</v>
      </c>
      <c r="CY3708">
        <v>3.68</v>
      </c>
      <c r="CZ3708">
        <v>0</v>
      </c>
      <c r="DA3708">
        <v>2.21</v>
      </c>
      <c r="DB3708">
        <v>0.38</v>
      </c>
      <c r="DC3708">
        <v>0.18</v>
      </c>
      <c r="DD3708">
        <v>59.84</v>
      </c>
      <c r="DE3708" t="s">
        <v>7979</v>
      </c>
      <c r="DF3708">
        <v>21.34</v>
      </c>
      <c r="DG3708">
        <v>5.0599999999999996</v>
      </c>
      <c r="DH3708">
        <v>3.04</v>
      </c>
      <c r="DI3708">
        <v>0.23</v>
      </c>
      <c r="DJ3708">
        <v>1426</v>
      </c>
      <c r="DK3708">
        <v>603703</v>
      </c>
      <c r="DL3708" t="s">
        <v>120</v>
      </c>
      <c r="DM3708" t="s">
        <v>120</v>
      </c>
      <c r="DN3708" t="s">
        <v>120</v>
      </c>
    </row>
    <row r="3709" spans="1:118">
      <c r="A3709" t="str">
        <f>"603706"</f>
        <v>603706</v>
      </c>
      <c r="B3709" t="s">
        <v>15413</v>
      </c>
      <c r="C3709">
        <v>0.46</v>
      </c>
      <c r="D3709">
        <v>0</v>
      </c>
      <c r="E3709">
        <v>0.91</v>
      </c>
      <c r="F3709">
        <v>409</v>
      </c>
      <c r="G3709" t="s">
        <v>15414</v>
      </c>
      <c r="H3709">
        <v>5907.44</v>
      </c>
      <c r="I3709">
        <v>14.87</v>
      </c>
      <c r="J3709" t="s">
        <v>120</v>
      </c>
      <c r="K3709" t="s">
        <v>6161</v>
      </c>
      <c r="L3709">
        <v>2.34</v>
      </c>
      <c r="M3709">
        <v>15.42</v>
      </c>
      <c r="N3709">
        <v>1.36</v>
      </c>
      <c r="O3709">
        <v>4.8899999999999997</v>
      </c>
      <c r="P3709">
        <v>16.100000000000001</v>
      </c>
      <c r="Q3709">
        <v>0.33</v>
      </c>
      <c r="R3709">
        <v>15.4</v>
      </c>
      <c r="S3709">
        <v>15.49</v>
      </c>
      <c r="T3709">
        <v>37491</v>
      </c>
      <c r="U3709">
        <v>15.42</v>
      </c>
      <c r="V3709">
        <v>15.35</v>
      </c>
      <c r="W3709">
        <v>18.899999999999999</v>
      </c>
      <c r="X3709" t="s">
        <v>684</v>
      </c>
      <c r="Y3709" t="s">
        <v>609</v>
      </c>
      <c r="Z3709">
        <v>4.5599999999999996</v>
      </c>
      <c r="AA3709">
        <v>15.76</v>
      </c>
      <c r="AB3709">
        <v>17753</v>
      </c>
      <c r="AC3709">
        <v>19738</v>
      </c>
      <c r="AD3709">
        <v>0.9</v>
      </c>
      <c r="AE3709">
        <v>156</v>
      </c>
      <c r="AF3709">
        <v>89</v>
      </c>
      <c r="AG3709" t="s">
        <v>120</v>
      </c>
      <c r="AH3709">
        <v>0.02</v>
      </c>
      <c r="AI3709" t="s">
        <v>120</v>
      </c>
      <c r="AJ3709">
        <v>1.6</v>
      </c>
      <c r="AK3709" t="s">
        <v>1538</v>
      </c>
      <c r="AL3709">
        <v>1.8</v>
      </c>
      <c r="AM3709">
        <v>2027</v>
      </c>
      <c r="AN3709">
        <v>18</v>
      </c>
      <c r="AO3709">
        <v>1.1999999999999999E-3</v>
      </c>
      <c r="AP3709">
        <v>2</v>
      </c>
      <c r="AQ3709">
        <v>2.33</v>
      </c>
      <c r="AR3709">
        <v>-0.19</v>
      </c>
      <c r="AS3709">
        <v>12.39</v>
      </c>
      <c r="AT3709">
        <v>12.72</v>
      </c>
      <c r="AU3709">
        <v>-1.72</v>
      </c>
      <c r="AV3709">
        <v>1</v>
      </c>
      <c r="AW3709">
        <v>6.35</v>
      </c>
      <c r="AX3709">
        <v>31.17</v>
      </c>
      <c r="AY3709">
        <v>23.53</v>
      </c>
      <c r="AZ3709">
        <v>27.81</v>
      </c>
      <c r="BA3709">
        <v>0.89</v>
      </c>
      <c r="BB3709" t="s">
        <v>240</v>
      </c>
      <c r="BF3709">
        <v>2.65</v>
      </c>
      <c r="BG3709">
        <v>-0.45</v>
      </c>
      <c r="BH3709">
        <v>-4.22</v>
      </c>
      <c r="BI3709">
        <v>0.13</v>
      </c>
      <c r="BJ3709">
        <v>20210913</v>
      </c>
      <c r="BK3709">
        <v>20180709</v>
      </c>
      <c r="BL3709">
        <v>1.89</v>
      </c>
      <c r="BM3709" t="s">
        <v>120</v>
      </c>
      <c r="BN3709" t="s">
        <v>120</v>
      </c>
      <c r="BO3709">
        <v>23.6</v>
      </c>
      <c r="BP3709">
        <v>15.41</v>
      </c>
      <c r="BQ3709">
        <v>15.09</v>
      </c>
      <c r="BR3709">
        <v>1.36</v>
      </c>
      <c r="BS3709">
        <v>30.32</v>
      </c>
      <c r="BT3709">
        <v>9.65</v>
      </c>
      <c r="BU3709">
        <v>9.93</v>
      </c>
      <c r="BV3709">
        <v>1.18</v>
      </c>
      <c r="BW3709">
        <v>3.04</v>
      </c>
      <c r="BX3709">
        <v>3.47</v>
      </c>
      <c r="BY3709">
        <v>0.56000000000000005</v>
      </c>
      <c r="BZ3709">
        <v>0.97</v>
      </c>
      <c r="CA3709">
        <v>0.01</v>
      </c>
      <c r="CB3709">
        <v>9.25</v>
      </c>
      <c r="CC3709">
        <v>5.08</v>
      </c>
      <c r="CD3709">
        <v>3.79</v>
      </c>
      <c r="CE3709">
        <v>0.99</v>
      </c>
      <c r="CF3709">
        <v>7.0000000000000007E-2</v>
      </c>
      <c r="CG3709">
        <v>0.99</v>
      </c>
      <c r="CH3709">
        <v>0.83</v>
      </c>
      <c r="CI3709">
        <v>0.77</v>
      </c>
      <c r="CJ3709">
        <v>7.0000000000000007E-2</v>
      </c>
      <c r="CK3709">
        <v>0.71</v>
      </c>
      <c r="CL3709">
        <v>2.95</v>
      </c>
      <c r="CM3709">
        <v>0.6</v>
      </c>
      <c r="CN3709">
        <v>-3.22</v>
      </c>
      <c r="CO3709">
        <v>14035</v>
      </c>
      <c r="CP3709">
        <v>4205</v>
      </c>
      <c r="CQ3709" t="s">
        <v>2340</v>
      </c>
      <c r="CR3709">
        <v>32.67</v>
      </c>
      <c r="CS3709">
        <v>29.89</v>
      </c>
      <c r="CT3709">
        <v>1.94</v>
      </c>
      <c r="CU3709">
        <v>48.75</v>
      </c>
      <c r="CV3709">
        <v>5.75</v>
      </c>
      <c r="CW3709">
        <v>3.91</v>
      </c>
      <c r="CX3709" t="s">
        <v>803</v>
      </c>
      <c r="CY3709">
        <v>7.97</v>
      </c>
      <c r="CZ3709">
        <v>0</v>
      </c>
      <c r="DA3709">
        <v>4.8899999999999997</v>
      </c>
      <c r="DB3709">
        <v>1.56</v>
      </c>
      <c r="DC3709">
        <v>0.32</v>
      </c>
      <c r="DD3709">
        <v>63.93</v>
      </c>
      <c r="DE3709" t="s">
        <v>3575</v>
      </c>
      <c r="DF3709">
        <v>25.27</v>
      </c>
      <c r="DG3709">
        <v>19.59</v>
      </c>
      <c r="DH3709">
        <v>15.23</v>
      </c>
      <c r="DI3709" t="s">
        <v>120</v>
      </c>
      <c r="DJ3709">
        <v>874</v>
      </c>
      <c r="DK3709">
        <v>603706</v>
      </c>
      <c r="DL3709" t="s">
        <v>120</v>
      </c>
      <c r="DM3709" t="s">
        <v>120</v>
      </c>
      <c r="DN3709" t="s">
        <v>120</v>
      </c>
    </row>
    <row r="3710" spans="1:118">
      <c r="A3710" t="str">
        <f>"603707"</f>
        <v>603707</v>
      </c>
      <c r="B3710" t="s">
        <v>15415</v>
      </c>
      <c r="C3710">
        <v>-0.67</v>
      </c>
      <c r="D3710">
        <v>0.13</v>
      </c>
      <c r="E3710">
        <v>-0.17</v>
      </c>
      <c r="F3710">
        <v>1138</v>
      </c>
      <c r="G3710" t="s">
        <v>15416</v>
      </c>
      <c r="H3710">
        <v>12095.56</v>
      </c>
      <c r="I3710">
        <v>24.73</v>
      </c>
      <c r="J3710" t="s">
        <v>120</v>
      </c>
      <c r="K3710" t="s">
        <v>15417</v>
      </c>
      <c r="L3710">
        <v>0.33</v>
      </c>
      <c r="M3710">
        <v>29.8</v>
      </c>
      <c r="N3710">
        <v>1.1100000000000001</v>
      </c>
      <c r="O3710">
        <v>4.2</v>
      </c>
      <c r="P3710">
        <v>31.26</v>
      </c>
      <c r="Q3710">
        <v>-1.73</v>
      </c>
      <c r="R3710">
        <v>29.48</v>
      </c>
      <c r="S3710">
        <v>29.95</v>
      </c>
      <c r="T3710">
        <v>39796</v>
      </c>
      <c r="U3710">
        <v>29.83</v>
      </c>
      <c r="V3710">
        <v>30</v>
      </c>
      <c r="W3710">
        <v>32.64</v>
      </c>
      <c r="X3710" t="s">
        <v>569</v>
      </c>
      <c r="Y3710" t="s">
        <v>319</v>
      </c>
      <c r="Z3710">
        <v>5.93</v>
      </c>
      <c r="AA3710">
        <v>30.39</v>
      </c>
      <c r="AB3710">
        <v>19627</v>
      </c>
      <c r="AC3710">
        <v>20169</v>
      </c>
      <c r="AD3710">
        <v>0.97</v>
      </c>
      <c r="AE3710">
        <v>585</v>
      </c>
      <c r="AF3710">
        <v>2</v>
      </c>
      <c r="AG3710" t="s">
        <v>120</v>
      </c>
      <c r="AH3710">
        <v>0</v>
      </c>
      <c r="AI3710" t="s">
        <v>120</v>
      </c>
      <c r="AJ3710">
        <v>12.14</v>
      </c>
      <c r="AK3710" t="s">
        <v>15418</v>
      </c>
      <c r="AL3710">
        <v>0.68</v>
      </c>
      <c r="AM3710">
        <v>2821</v>
      </c>
      <c r="AN3710">
        <v>14</v>
      </c>
      <c r="AO3710">
        <v>1E-4</v>
      </c>
      <c r="AP3710">
        <v>-1</v>
      </c>
      <c r="AQ3710">
        <v>2.74</v>
      </c>
      <c r="AR3710">
        <v>1.36</v>
      </c>
      <c r="AS3710">
        <v>-1.98</v>
      </c>
      <c r="AT3710">
        <v>-6.54</v>
      </c>
      <c r="AU3710">
        <v>10.75</v>
      </c>
      <c r="AV3710">
        <v>2</v>
      </c>
      <c r="AW3710">
        <v>1.0900000000000001</v>
      </c>
      <c r="AX3710">
        <v>30</v>
      </c>
      <c r="AY3710">
        <v>38.299999999999997</v>
      </c>
      <c r="AZ3710">
        <v>45.29</v>
      </c>
      <c r="BA3710">
        <v>0.88</v>
      </c>
      <c r="BB3710" t="s">
        <v>143</v>
      </c>
      <c r="BF3710">
        <v>1.31</v>
      </c>
      <c r="BG3710">
        <v>-0.5</v>
      </c>
      <c r="BH3710">
        <v>-4.67</v>
      </c>
      <c r="BI3710">
        <v>1.0900000000000001</v>
      </c>
      <c r="BJ3710">
        <v>20210803</v>
      </c>
      <c r="BK3710">
        <v>20170719</v>
      </c>
      <c r="BL3710">
        <v>12.17</v>
      </c>
      <c r="BM3710" t="s">
        <v>120</v>
      </c>
      <c r="BN3710" t="s">
        <v>120</v>
      </c>
      <c r="BO3710">
        <v>87.05</v>
      </c>
      <c r="BP3710">
        <v>29.8</v>
      </c>
      <c r="BQ3710">
        <v>41.53</v>
      </c>
      <c r="BR3710">
        <v>0.2</v>
      </c>
      <c r="BS3710">
        <v>52.07</v>
      </c>
      <c r="BT3710">
        <v>76.540000000000006</v>
      </c>
      <c r="BU3710">
        <v>4.09</v>
      </c>
      <c r="BV3710">
        <v>1.08</v>
      </c>
      <c r="BW3710">
        <v>33.42</v>
      </c>
      <c r="BX3710">
        <v>11.03</v>
      </c>
      <c r="BY3710">
        <v>48.01</v>
      </c>
      <c r="BZ3710">
        <v>8.35</v>
      </c>
      <c r="CA3710">
        <v>0.09</v>
      </c>
      <c r="CB3710">
        <v>2.0299999999999998</v>
      </c>
      <c r="CC3710">
        <v>17.510000000000002</v>
      </c>
      <c r="CD3710">
        <v>7.45</v>
      </c>
      <c r="CE3710">
        <v>6.24</v>
      </c>
      <c r="CF3710">
        <v>0.06</v>
      </c>
      <c r="CG3710">
        <v>6.39</v>
      </c>
      <c r="CH3710">
        <v>5.54</v>
      </c>
      <c r="CI3710">
        <v>5.56</v>
      </c>
      <c r="CJ3710">
        <v>-0.2</v>
      </c>
      <c r="CK3710">
        <v>5.37</v>
      </c>
      <c r="CL3710">
        <v>26.44</v>
      </c>
      <c r="CM3710">
        <v>1.47</v>
      </c>
      <c r="CN3710">
        <v>5.9</v>
      </c>
      <c r="CO3710">
        <v>14674</v>
      </c>
      <c r="CP3710">
        <v>24880</v>
      </c>
      <c r="CQ3710" t="s">
        <v>15419</v>
      </c>
      <c r="CR3710">
        <v>36</v>
      </c>
      <c r="CS3710">
        <v>25.47</v>
      </c>
      <c r="CT3710">
        <v>8.73</v>
      </c>
      <c r="CU3710">
        <v>246.74</v>
      </c>
      <c r="CV3710">
        <v>20.71</v>
      </c>
      <c r="CW3710">
        <v>0.38</v>
      </c>
      <c r="CX3710" t="s">
        <v>12034</v>
      </c>
      <c r="CY3710">
        <v>3.41</v>
      </c>
      <c r="CZ3710">
        <v>0</v>
      </c>
      <c r="DA3710">
        <v>0.17</v>
      </c>
      <c r="DB3710">
        <v>2.17</v>
      </c>
      <c r="DC3710">
        <v>0.12</v>
      </c>
      <c r="DD3710">
        <v>47.7</v>
      </c>
      <c r="DE3710" t="s">
        <v>14982</v>
      </c>
      <c r="DF3710">
        <v>57.47</v>
      </c>
      <c r="DG3710">
        <v>35.659999999999997</v>
      </c>
      <c r="DH3710">
        <v>31.72</v>
      </c>
      <c r="DI3710">
        <v>0.96</v>
      </c>
      <c r="DJ3710">
        <v>953</v>
      </c>
      <c r="DK3710">
        <v>603707</v>
      </c>
      <c r="DL3710" t="s">
        <v>120</v>
      </c>
      <c r="DM3710" t="s">
        <v>120</v>
      </c>
      <c r="DN3710" t="s">
        <v>120</v>
      </c>
    </row>
    <row r="3711" spans="1:118">
      <c r="A3711" t="str">
        <f>"603708"</f>
        <v>603708</v>
      </c>
      <c r="B3711" t="s">
        <v>15420</v>
      </c>
      <c r="C3711">
        <v>-0.39</v>
      </c>
      <c r="D3711">
        <v>0.78</v>
      </c>
      <c r="E3711">
        <v>0</v>
      </c>
      <c r="F3711">
        <v>1565</v>
      </c>
      <c r="G3711" t="s">
        <v>2154</v>
      </c>
      <c r="H3711">
        <v>3136.7</v>
      </c>
      <c r="I3711">
        <v>5.58</v>
      </c>
      <c r="J3711" t="s">
        <v>120</v>
      </c>
      <c r="K3711" t="s">
        <v>2290</v>
      </c>
      <c r="L3711">
        <v>0.34</v>
      </c>
      <c r="M3711">
        <v>15.44</v>
      </c>
      <c r="N3711">
        <v>0.62</v>
      </c>
      <c r="O3711">
        <v>0.39</v>
      </c>
      <c r="P3711">
        <v>15.56</v>
      </c>
      <c r="Q3711">
        <v>-1.68</v>
      </c>
      <c r="R3711">
        <v>15.24</v>
      </c>
      <c r="S3711">
        <v>15.5</v>
      </c>
      <c r="T3711">
        <v>20389</v>
      </c>
      <c r="U3711">
        <v>15.44</v>
      </c>
      <c r="V3711">
        <v>15.5</v>
      </c>
      <c r="W3711">
        <v>25.58</v>
      </c>
      <c r="X3711" t="s">
        <v>1872</v>
      </c>
      <c r="Y3711" t="s">
        <v>638</v>
      </c>
      <c r="Z3711">
        <v>2.06</v>
      </c>
      <c r="AA3711">
        <v>15.38</v>
      </c>
      <c r="AB3711">
        <v>13443</v>
      </c>
      <c r="AC3711">
        <v>6946</v>
      </c>
      <c r="AD3711">
        <v>1.94</v>
      </c>
      <c r="AE3711">
        <v>65</v>
      </c>
      <c r="AF3711">
        <v>10</v>
      </c>
      <c r="AG3711" t="s">
        <v>120</v>
      </c>
      <c r="AH3711">
        <v>0</v>
      </c>
      <c r="AI3711" t="s">
        <v>120</v>
      </c>
      <c r="AJ3711">
        <v>6.08</v>
      </c>
      <c r="AK3711" t="s">
        <v>2290</v>
      </c>
      <c r="AL3711">
        <v>0.96</v>
      </c>
      <c r="AM3711">
        <v>1921</v>
      </c>
      <c r="AN3711">
        <v>11</v>
      </c>
      <c r="AO3711">
        <v>2.0000000000000001E-4</v>
      </c>
      <c r="AP3711">
        <v>-5</v>
      </c>
      <c r="AQ3711">
        <v>-0.06</v>
      </c>
      <c r="AR3711">
        <v>-2.4</v>
      </c>
      <c r="AS3711">
        <v>-7.0000000000000007E-2</v>
      </c>
      <c r="AT3711">
        <v>-11.17</v>
      </c>
      <c r="AU3711">
        <v>-25.95</v>
      </c>
      <c r="AV3711">
        <v>3</v>
      </c>
      <c r="AW3711">
        <v>1.03</v>
      </c>
      <c r="AX3711">
        <v>32.54</v>
      </c>
      <c r="AY3711">
        <v>29.12</v>
      </c>
      <c r="AZ3711">
        <v>22.05</v>
      </c>
      <c r="BA3711">
        <v>0.69</v>
      </c>
      <c r="BB3711" t="s">
        <v>143</v>
      </c>
      <c r="BF3711">
        <v>-0.75</v>
      </c>
      <c r="BG3711">
        <v>-0.39</v>
      </c>
      <c r="BH3711">
        <v>-0.77</v>
      </c>
      <c r="BI3711">
        <v>1.31</v>
      </c>
      <c r="BJ3711">
        <v>20210827</v>
      </c>
      <c r="BK3711">
        <v>20161213</v>
      </c>
      <c r="BL3711">
        <v>6.08</v>
      </c>
      <c r="BM3711" t="s">
        <v>120</v>
      </c>
      <c r="BN3711" t="s">
        <v>120</v>
      </c>
      <c r="BO3711">
        <v>134.36000000000001</v>
      </c>
      <c r="BP3711">
        <v>15.4</v>
      </c>
      <c r="BQ3711">
        <v>26.79</v>
      </c>
      <c r="BR3711">
        <v>1.7</v>
      </c>
      <c r="BS3711">
        <v>78.790000000000006</v>
      </c>
      <c r="BT3711">
        <v>42.25</v>
      </c>
      <c r="BU3711">
        <v>29.21</v>
      </c>
      <c r="BV3711">
        <v>4.63</v>
      </c>
      <c r="BW3711">
        <v>63.22</v>
      </c>
      <c r="BX3711">
        <v>14.97</v>
      </c>
      <c r="BY3711">
        <v>18.75</v>
      </c>
      <c r="BZ3711">
        <v>1.18</v>
      </c>
      <c r="CA3711">
        <v>0.6</v>
      </c>
      <c r="CB3711">
        <v>11.63</v>
      </c>
      <c r="CC3711">
        <v>88</v>
      </c>
      <c r="CD3711">
        <v>66.75</v>
      </c>
      <c r="CE3711">
        <v>2.2000000000000002</v>
      </c>
      <c r="CF3711">
        <v>0.01</v>
      </c>
      <c r="CG3711">
        <v>2.34</v>
      </c>
      <c r="CH3711">
        <v>1.52</v>
      </c>
      <c r="CI3711">
        <v>1.84</v>
      </c>
      <c r="CJ3711">
        <v>-0.06</v>
      </c>
      <c r="CK3711">
        <v>1.53</v>
      </c>
      <c r="CL3711">
        <v>8.36</v>
      </c>
      <c r="CM3711">
        <v>7.31</v>
      </c>
      <c r="CN3711">
        <v>-5.9</v>
      </c>
      <c r="CO3711">
        <v>32232</v>
      </c>
      <c r="CP3711">
        <v>6142</v>
      </c>
      <c r="CQ3711" t="s">
        <v>15421</v>
      </c>
      <c r="CR3711">
        <v>-36.119999999999997</v>
      </c>
      <c r="CS3711">
        <v>-4.82</v>
      </c>
      <c r="CT3711">
        <v>3.63</v>
      </c>
      <c r="CU3711">
        <v>12.86</v>
      </c>
      <c r="CV3711">
        <v>1.07</v>
      </c>
      <c r="CW3711">
        <v>2.86</v>
      </c>
      <c r="CX3711" t="s">
        <v>2752</v>
      </c>
      <c r="CY3711">
        <v>4.25</v>
      </c>
      <c r="CZ3711">
        <v>4.25</v>
      </c>
      <c r="DA3711">
        <v>1.91</v>
      </c>
      <c r="DB3711">
        <v>1.37</v>
      </c>
      <c r="DC3711">
        <v>1.2</v>
      </c>
      <c r="DD3711">
        <v>19.940000000000001</v>
      </c>
      <c r="DE3711" t="s">
        <v>6444</v>
      </c>
      <c r="DF3711">
        <v>24.16</v>
      </c>
      <c r="DG3711">
        <v>2.5</v>
      </c>
      <c r="DH3711">
        <v>2.09</v>
      </c>
      <c r="DI3711" t="s">
        <v>120</v>
      </c>
      <c r="DJ3711">
        <v>27049</v>
      </c>
      <c r="DK3711">
        <v>603708</v>
      </c>
      <c r="DL3711" t="s">
        <v>120</v>
      </c>
      <c r="DM3711" t="s">
        <v>120</v>
      </c>
      <c r="DN3711" t="s">
        <v>120</v>
      </c>
    </row>
    <row r="3712" spans="1:118">
      <c r="A3712" t="str">
        <f>"603709"</f>
        <v>603709</v>
      </c>
      <c r="B3712" t="s">
        <v>15422</v>
      </c>
      <c r="C3712">
        <v>0</v>
      </c>
      <c r="D3712">
        <v>-0.05</v>
      </c>
      <c r="E3712">
        <v>-0.42</v>
      </c>
      <c r="F3712">
        <v>72</v>
      </c>
      <c r="G3712" t="s">
        <v>15423</v>
      </c>
      <c r="H3712">
        <v>1436.25</v>
      </c>
      <c r="I3712">
        <v>3.52</v>
      </c>
      <c r="J3712" t="s">
        <v>120</v>
      </c>
      <c r="K3712" t="s">
        <v>741</v>
      </c>
      <c r="L3712">
        <v>1.06</v>
      </c>
      <c r="M3712">
        <v>16.850000000000001</v>
      </c>
      <c r="N3712">
        <v>1.53</v>
      </c>
      <c r="O3712">
        <v>1.96</v>
      </c>
      <c r="P3712">
        <v>17.18</v>
      </c>
      <c r="Q3712">
        <v>-0.42</v>
      </c>
      <c r="R3712">
        <v>16.78</v>
      </c>
      <c r="S3712">
        <v>16.78</v>
      </c>
      <c r="T3712">
        <v>8462</v>
      </c>
      <c r="U3712">
        <v>16.86</v>
      </c>
      <c r="V3712">
        <v>16.850000000000001</v>
      </c>
      <c r="W3712">
        <v>63.93</v>
      </c>
      <c r="X3712" t="s">
        <v>2409</v>
      </c>
      <c r="Y3712" t="s">
        <v>585</v>
      </c>
      <c r="Z3712">
        <v>2.37</v>
      </c>
      <c r="AA3712">
        <v>16.97</v>
      </c>
      <c r="AB3712">
        <v>3638</v>
      </c>
      <c r="AC3712">
        <v>4824</v>
      </c>
      <c r="AD3712">
        <v>0.75</v>
      </c>
      <c r="AE3712">
        <v>130</v>
      </c>
      <c r="AF3712">
        <v>13</v>
      </c>
      <c r="AG3712" t="s">
        <v>120</v>
      </c>
      <c r="AH3712">
        <v>0.01</v>
      </c>
      <c r="AI3712" t="s">
        <v>120</v>
      </c>
      <c r="AJ3712">
        <v>0.8</v>
      </c>
      <c r="AK3712" t="s">
        <v>741</v>
      </c>
      <c r="AL3712">
        <v>1.34</v>
      </c>
      <c r="AM3712">
        <v>764</v>
      </c>
      <c r="AN3712">
        <v>11</v>
      </c>
      <c r="AO3712">
        <v>1.4E-3</v>
      </c>
      <c r="AP3712">
        <v>0</v>
      </c>
      <c r="AQ3712">
        <v>0.9</v>
      </c>
      <c r="AR3712">
        <v>-0.7</v>
      </c>
      <c r="AS3712">
        <v>2.93</v>
      </c>
      <c r="AT3712">
        <v>-6.18</v>
      </c>
      <c r="AU3712">
        <v>-19.18</v>
      </c>
      <c r="AV3712">
        <v>1</v>
      </c>
      <c r="AW3712">
        <v>4.22</v>
      </c>
      <c r="AX3712">
        <v>25.07</v>
      </c>
      <c r="AY3712">
        <v>43.18</v>
      </c>
      <c r="AZ3712">
        <v>32.31</v>
      </c>
      <c r="BA3712">
        <v>0.65</v>
      </c>
      <c r="BB3712" t="s">
        <v>125</v>
      </c>
      <c r="BF3712">
        <v>0.73</v>
      </c>
      <c r="BG3712">
        <v>0.42</v>
      </c>
      <c r="BH3712">
        <v>-1.92</v>
      </c>
      <c r="BI3712">
        <v>0.42</v>
      </c>
      <c r="BJ3712">
        <v>20210827</v>
      </c>
      <c r="BK3712">
        <v>20180208</v>
      </c>
      <c r="BL3712">
        <v>0.8</v>
      </c>
      <c r="BM3712" t="s">
        <v>120</v>
      </c>
      <c r="BN3712" t="s">
        <v>120</v>
      </c>
      <c r="BO3712">
        <v>10.34</v>
      </c>
      <c r="BP3712">
        <v>16.850000000000001</v>
      </c>
      <c r="BQ3712">
        <v>6.4</v>
      </c>
      <c r="BR3712" t="s">
        <v>120</v>
      </c>
      <c r="BS3712">
        <v>38.1</v>
      </c>
      <c r="BT3712">
        <v>5.04</v>
      </c>
      <c r="BU3712">
        <v>3.05</v>
      </c>
      <c r="BV3712">
        <v>0.78</v>
      </c>
      <c r="BW3712">
        <v>3.92</v>
      </c>
      <c r="BX3712">
        <v>1.41</v>
      </c>
      <c r="BY3712">
        <v>1.8</v>
      </c>
      <c r="BZ3712">
        <v>1.59</v>
      </c>
      <c r="CA3712">
        <v>0.02</v>
      </c>
      <c r="CB3712">
        <v>3.42</v>
      </c>
      <c r="CC3712">
        <v>5.15</v>
      </c>
      <c r="CD3712">
        <v>4.26</v>
      </c>
      <c r="CE3712">
        <v>0.11</v>
      </c>
      <c r="CF3712">
        <v>0.02</v>
      </c>
      <c r="CG3712">
        <v>0.12</v>
      </c>
      <c r="CH3712">
        <v>0.11</v>
      </c>
      <c r="CI3712">
        <v>0.11</v>
      </c>
      <c r="CJ3712">
        <v>0</v>
      </c>
      <c r="CK3712">
        <v>0.06</v>
      </c>
      <c r="CL3712">
        <v>1.81</v>
      </c>
      <c r="CM3712">
        <v>-0.44</v>
      </c>
      <c r="CN3712">
        <v>-1.44</v>
      </c>
      <c r="CO3712">
        <v>9057</v>
      </c>
      <c r="CP3712">
        <v>2215</v>
      </c>
      <c r="CQ3712" t="s">
        <v>1608</v>
      </c>
      <c r="CR3712">
        <v>-49.9</v>
      </c>
      <c r="CS3712">
        <v>3.27</v>
      </c>
      <c r="CT3712">
        <v>2.11</v>
      </c>
      <c r="CU3712">
        <v>-30.84</v>
      </c>
      <c r="CV3712">
        <v>2.62</v>
      </c>
      <c r="CW3712">
        <v>0.65</v>
      </c>
      <c r="CX3712" t="s">
        <v>986</v>
      </c>
      <c r="CY3712">
        <v>8</v>
      </c>
      <c r="CZ3712">
        <v>0</v>
      </c>
      <c r="DA3712">
        <v>4.28</v>
      </c>
      <c r="DB3712">
        <v>2.27</v>
      </c>
      <c r="DC3712">
        <v>-0.55000000000000004</v>
      </c>
      <c r="DD3712">
        <v>61.9</v>
      </c>
      <c r="DE3712" t="s">
        <v>8007</v>
      </c>
      <c r="DF3712">
        <v>17.32</v>
      </c>
      <c r="DG3712">
        <v>2.1800000000000002</v>
      </c>
      <c r="DH3712">
        <v>2.0499999999999998</v>
      </c>
      <c r="DI3712">
        <v>0.14000000000000001</v>
      </c>
      <c r="DJ3712">
        <v>1947</v>
      </c>
      <c r="DK3712">
        <v>603709</v>
      </c>
      <c r="DL3712" t="s">
        <v>120</v>
      </c>
      <c r="DM3712" t="s">
        <v>120</v>
      </c>
      <c r="DN3712" t="s">
        <v>120</v>
      </c>
    </row>
    <row r="3713" spans="1:118">
      <c r="A3713" t="str">
        <f>"603711"</f>
        <v>603711</v>
      </c>
      <c r="B3713" t="s">
        <v>15424</v>
      </c>
      <c r="C3713">
        <v>-0.77</v>
      </c>
      <c r="D3713">
        <v>-0.06</v>
      </c>
      <c r="E3713">
        <v>-0.28000000000000003</v>
      </c>
      <c r="F3713">
        <v>280</v>
      </c>
      <c r="G3713" t="s">
        <v>10901</v>
      </c>
      <c r="H3713">
        <v>1569.67</v>
      </c>
      <c r="I3713">
        <v>0.43</v>
      </c>
      <c r="J3713" t="s">
        <v>120</v>
      </c>
      <c r="K3713" t="s">
        <v>15425</v>
      </c>
      <c r="L3713">
        <v>0.27</v>
      </c>
      <c r="M3713">
        <v>14.17</v>
      </c>
      <c r="N3713">
        <v>1.07</v>
      </c>
      <c r="O3713">
        <v>1.1200000000000001</v>
      </c>
      <c r="P3713">
        <v>14.44</v>
      </c>
      <c r="Q3713">
        <v>-1.47</v>
      </c>
      <c r="R3713">
        <v>14.07</v>
      </c>
      <c r="S3713">
        <v>14.24</v>
      </c>
      <c r="T3713">
        <v>11017</v>
      </c>
      <c r="U3713">
        <v>14.18</v>
      </c>
      <c r="V3713">
        <v>14.28</v>
      </c>
      <c r="W3713" t="s">
        <v>120</v>
      </c>
      <c r="X3713" t="s">
        <v>2180</v>
      </c>
      <c r="Y3713" t="s">
        <v>585</v>
      </c>
      <c r="Z3713">
        <v>2.59</v>
      </c>
      <c r="AA3713">
        <v>14.25</v>
      </c>
      <c r="AB3713">
        <v>7014</v>
      </c>
      <c r="AC3713">
        <v>4003</v>
      </c>
      <c r="AD3713">
        <v>1.75</v>
      </c>
      <c r="AE3713">
        <v>103</v>
      </c>
      <c r="AF3713">
        <v>53</v>
      </c>
      <c r="AG3713" t="s">
        <v>120</v>
      </c>
      <c r="AH3713">
        <v>0</v>
      </c>
      <c r="AI3713" t="s">
        <v>120</v>
      </c>
      <c r="AJ3713">
        <v>4.07</v>
      </c>
      <c r="AK3713" t="s">
        <v>12239</v>
      </c>
      <c r="AL3713">
        <v>0.56999999999999995</v>
      </c>
      <c r="AM3713">
        <v>1266</v>
      </c>
      <c r="AN3713">
        <v>9</v>
      </c>
      <c r="AO3713">
        <v>2.0000000000000001E-4</v>
      </c>
      <c r="AP3713">
        <v>-3</v>
      </c>
      <c r="AQ3713">
        <v>-0.63</v>
      </c>
      <c r="AR3713">
        <v>-3.15</v>
      </c>
      <c r="AS3713">
        <v>-5.22</v>
      </c>
      <c r="AT3713">
        <v>-16.98</v>
      </c>
      <c r="AU3713">
        <v>-32.01</v>
      </c>
      <c r="AV3713">
        <v>3</v>
      </c>
      <c r="AW3713">
        <v>2.09</v>
      </c>
      <c r="AX3713">
        <v>12.68</v>
      </c>
      <c r="AY3713">
        <v>16.52</v>
      </c>
      <c r="AZ3713">
        <v>16.59</v>
      </c>
      <c r="BA3713">
        <v>1.07</v>
      </c>
      <c r="BB3713" t="s">
        <v>134</v>
      </c>
      <c r="BF3713">
        <v>-0.23</v>
      </c>
      <c r="BG3713">
        <v>-0.49</v>
      </c>
      <c r="BH3713">
        <v>-1.87</v>
      </c>
      <c r="BI3713">
        <v>0.71</v>
      </c>
      <c r="BJ3713">
        <v>20210828</v>
      </c>
      <c r="BK3713">
        <v>20171130</v>
      </c>
      <c r="BL3713">
        <v>4.16</v>
      </c>
      <c r="BM3713" t="s">
        <v>120</v>
      </c>
      <c r="BN3713" t="s">
        <v>120</v>
      </c>
      <c r="BO3713">
        <v>41.03</v>
      </c>
      <c r="BP3713">
        <v>14.17</v>
      </c>
      <c r="BQ3713">
        <v>26.81</v>
      </c>
      <c r="BR3713" t="s">
        <v>120</v>
      </c>
      <c r="BS3713">
        <v>34.65</v>
      </c>
      <c r="BT3713">
        <v>19.39</v>
      </c>
      <c r="BU3713">
        <v>11.66</v>
      </c>
      <c r="BV3713">
        <v>1.99</v>
      </c>
      <c r="BW3713">
        <v>13.21</v>
      </c>
      <c r="BX3713">
        <v>12.79</v>
      </c>
      <c r="BY3713">
        <v>1.1100000000000001</v>
      </c>
      <c r="BZ3713">
        <v>0.03</v>
      </c>
      <c r="CA3713" t="s">
        <v>120</v>
      </c>
      <c r="CB3713">
        <v>6.9</v>
      </c>
      <c r="CC3713">
        <v>10.88</v>
      </c>
      <c r="CD3713">
        <v>7.83</v>
      </c>
      <c r="CE3713">
        <v>-0.9</v>
      </c>
      <c r="CF3713">
        <v>0.16</v>
      </c>
      <c r="CG3713">
        <v>-0.91</v>
      </c>
      <c r="CH3713">
        <v>-0.62</v>
      </c>
      <c r="CI3713">
        <v>-0.62</v>
      </c>
      <c r="CJ3713">
        <v>-0.11</v>
      </c>
      <c r="CK3713">
        <v>-0.98</v>
      </c>
      <c r="CL3713">
        <v>14.65</v>
      </c>
      <c r="CM3713">
        <v>-4.41</v>
      </c>
      <c r="CN3713">
        <v>0.03</v>
      </c>
      <c r="CO3713">
        <v>14228</v>
      </c>
      <c r="CP3713">
        <v>3712</v>
      </c>
      <c r="CQ3713" t="s">
        <v>7799</v>
      </c>
      <c r="CR3713">
        <v>2.5499999999999998</v>
      </c>
      <c r="CS3713">
        <v>9.7899999999999991</v>
      </c>
      <c r="CT3713">
        <v>2.2000000000000002</v>
      </c>
      <c r="CU3713">
        <v>-13.38</v>
      </c>
      <c r="CV3713">
        <v>5.42</v>
      </c>
      <c r="CW3713">
        <v>2.1</v>
      </c>
      <c r="CX3713" t="s">
        <v>795</v>
      </c>
      <c r="CY3713">
        <v>6.44</v>
      </c>
      <c r="CZ3713">
        <v>0</v>
      </c>
      <c r="DA3713">
        <v>1.66</v>
      </c>
      <c r="DB3713">
        <v>3.52</v>
      </c>
      <c r="DC3713">
        <v>-1.06</v>
      </c>
      <c r="DD3713">
        <v>65.349999999999994</v>
      </c>
      <c r="DE3713" t="s">
        <v>13594</v>
      </c>
      <c r="DF3713">
        <v>28</v>
      </c>
      <c r="DG3713">
        <v>-8.24</v>
      </c>
      <c r="DH3713">
        <v>-5.72</v>
      </c>
      <c r="DI3713">
        <v>0.14000000000000001</v>
      </c>
      <c r="DJ3713">
        <v>4323</v>
      </c>
      <c r="DK3713">
        <v>603711</v>
      </c>
      <c r="DL3713" t="s">
        <v>120</v>
      </c>
      <c r="DM3713" t="s">
        <v>120</v>
      </c>
      <c r="DN3713" t="s">
        <v>120</v>
      </c>
    </row>
    <row r="3714" spans="1:118">
      <c r="A3714" t="str">
        <f>"603712"</f>
        <v>603712</v>
      </c>
      <c r="B3714" t="s">
        <v>15426</v>
      </c>
      <c r="C3714">
        <v>-2.86</v>
      </c>
      <c r="D3714">
        <v>-0.09</v>
      </c>
      <c r="E3714">
        <v>-0.85</v>
      </c>
      <c r="F3714">
        <v>681</v>
      </c>
      <c r="G3714" t="s">
        <v>3493</v>
      </c>
      <c r="H3714">
        <v>15964.5</v>
      </c>
      <c r="I3714">
        <v>20.149999999999999</v>
      </c>
      <c r="J3714" t="s">
        <v>120</v>
      </c>
      <c r="K3714" t="s">
        <v>15427</v>
      </c>
      <c r="L3714">
        <v>0.52</v>
      </c>
      <c r="M3714">
        <v>38.700000000000003</v>
      </c>
      <c r="N3714">
        <v>1.1100000000000001</v>
      </c>
      <c r="O3714">
        <v>2.81</v>
      </c>
      <c r="P3714">
        <v>40.96</v>
      </c>
      <c r="Q3714">
        <v>-3.44</v>
      </c>
      <c r="R3714">
        <v>38.47</v>
      </c>
      <c r="S3714">
        <v>39.5</v>
      </c>
      <c r="T3714">
        <v>40306</v>
      </c>
      <c r="U3714">
        <v>38.71</v>
      </c>
      <c r="V3714">
        <v>39.840000000000003</v>
      </c>
      <c r="W3714">
        <v>94.1</v>
      </c>
      <c r="X3714" t="s">
        <v>462</v>
      </c>
      <c r="Y3714" t="s">
        <v>997</v>
      </c>
      <c r="Z3714">
        <v>6.25</v>
      </c>
      <c r="AA3714">
        <v>39.61</v>
      </c>
      <c r="AB3714">
        <v>23629</v>
      </c>
      <c r="AC3714">
        <v>16677</v>
      </c>
      <c r="AD3714">
        <v>1.42</v>
      </c>
      <c r="AE3714">
        <v>228</v>
      </c>
      <c r="AF3714">
        <v>42</v>
      </c>
      <c r="AG3714" t="s">
        <v>120</v>
      </c>
      <c r="AH3714">
        <v>0</v>
      </c>
      <c r="AI3714" t="s">
        <v>120</v>
      </c>
      <c r="AJ3714">
        <v>7.72</v>
      </c>
      <c r="AK3714" t="s">
        <v>15427</v>
      </c>
      <c r="AL3714">
        <v>-1.52</v>
      </c>
      <c r="AM3714">
        <v>2897</v>
      </c>
      <c r="AN3714">
        <v>14</v>
      </c>
      <c r="AO3714">
        <v>2.0000000000000001E-4</v>
      </c>
      <c r="AP3714">
        <v>-1</v>
      </c>
      <c r="AQ3714">
        <v>1.97</v>
      </c>
      <c r="AR3714">
        <v>-2.4900000000000002</v>
      </c>
      <c r="AS3714">
        <v>-13.85</v>
      </c>
      <c r="AT3714">
        <v>7.09</v>
      </c>
      <c r="AU3714">
        <v>-6.86</v>
      </c>
      <c r="AV3714">
        <v>2</v>
      </c>
      <c r="AW3714">
        <v>1.43</v>
      </c>
      <c r="AX3714">
        <v>36.39</v>
      </c>
      <c r="AY3714">
        <v>53.16</v>
      </c>
      <c r="AZ3714">
        <v>58.8</v>
      </c>
      <c r="BA3714">
        <v>0.39</v>
      </c>
      <c r="BB3714" t="s">
        <v>168</v>
      </c>
      <c r="BF3714">
        <v>-0.57999999999999996</v>
      </c>
      <c r="BG3714">
        <v>-2.0299999999999998</v>
      </c>
      <c r="BH3714">
        <v>-5.52</v>
      </c>
      <c r="BI3714">
        <v>0.6</v>
      </c>
      <c r="BJ3714">
        <v>20210818</v>
      </c>
      <c r="BK3714">
        <v>20180226</v>
      </c>
      <c r="BL3714">
        <v>7.72</v>
      </c>
      <c r="BM3714" t="s">
        <v>120</v>
      </c>
      <c r="BN3714" t="s">
        <v>120</v>
      </c>
      <c r="BO3714">
        <v>77.44</v>
      </c>
      <c r="BP3714">
        <v>38.700000000000003</v>
      </c>
      <c r="BQ3714">
        <v>30.86</v>
      </c>
      <c r="BR3714" t="s">
        <v>120</v>
      </c>
      <c r="BS3714">
        <v>60.16</v>
      </c>
      <c r="BT3714">
        <v>68.08</v>
      </c>
      <c r="BU3714">
        <v>5.76</v>
      </c>
      <c r="BV3714">
        <v>0.6</v>
      </c>
      <c r="BW3714">
        <v>45.76</v>
      </c>
      <c r="BX3714">
        <v>2.44</v>
      </c>
      <c r="BY3714">
        <v>34.03</v>
      </c>
      <c r="BZ3714">
        <v>14.88</v>
      </c>
      <c r="CA3714" t="s">
        <v>120</v>
      </c>
      <c r="CB3714">
        <v>9.35</v>
      </c>
      <c r="CC3714">
        <v>10.92</v>
      </c>
      <c r="CD3714">
        <v>6.04</v>
      </c>
      <c r="CE3714">
        <v>1.52</v>
      </c>
      <c r="CF3714">
        <v>0.1</v>
      </c>
      <c r="CG3714">
        <v>1.52</v>
      </c>
      <c r="CH3714">
        <v>1.59</v>
      </c>
      <c r="CI3714">
        <v>1.59</v>
      </c>
      <c r="CJ3714">
        <v>-1.1399999999999999</v>
      </c>
      <c r="CK3714">
        <v>1.39</v>
      </c>
      <c r="CL3714">
        <v>12.29</v>
      </c>
      <c r="CM3714">
        <v>5.6</v>
      </c>
      <c r="CN3714">
        <v>-5.48</v>
      </c>
      <c r="CO3714">
        <v>22162</v>
      </c>
      <c r="CP3714">
        <v>12677</v>
      </c>
      <c r="CQ3714" t="s">
        <v>15428</v>
      </c>
      <c r="CR3714">
        <v>53.74</v>
      </c>
      <c r="CS3714">
        <v>30.01</v>
      </c>
      <c r="CT3714">
        <v>9.68</v>
      </c>
      <c r="CU3714">
        <v>53.38</v>
      </c>
      <c r="CV3714">
        <v>27.36</v>
      </c>
      <c r="CW3714">
        <v>0.25</v>
      </c>
      <c r="CX3714" t="s">
        <v>492</v>
      </c>
      <c r="CY3714">
        <v>4</v>
      </c>
      <c r="CZ3714">
        <v>0</v>
      </c>
      <c r="DA3714">
        <v>1.21</v>
      </c>
      <c r="DB3714">
        <v>1.59</v>
      </c>
      <c r="DC3714">
        <v>0.72</v>
      </c>
      <c r="DD3714">
        <v>39.840000000000003</v>
      </c>
      <c r="DE3714" t="s">
        <v>3095</v>
      </c>
      <c r="DF3714">
        <v>44.65</v>
      </c>
      <c r="DG3714">
        <v>13.89</v>
      </c>
      <c r="DH3714">
        <v>14.54</v>
      </c>
      <c r="DI3714">
        <v>2.68</v>
      </c>
      <c r="DJ3714">
        <v>2106</v>
      </c>
      <c r="DK3714">
        <v>603712</v>
      </c>
      <c r="DL3714" t="s">
        <v>120</v>
      </c>
      <c r="DM3714" t="s">
        <v>120</v>
      </c>
      <c r="DN3714" t="s">
        <v>120</v>
      </c>
    </row>
    <row r="3715" spans="1:118">
      <c r="A3715" t="str">
        <f>"603713"</f>
        <v>603713</v>
      </c>
      <c r="B3715" t="s">
        <v>15429</v>
      </c>
      <c r="C3715">
        <v>-0.78</v>
      </c>
      <c r="D3715">
        <v>0.33</v>
      </c>
      <c r="E3715">
        <v>0.33</v>
      </c>
      <c r="F3715">
        <v>67</v>
      </c>
      <c r="G3715" t="s">
        <v>12946</v>
      </c>
      <c r="H3715">
        <v>2755.04</v>
      </c>
      <c r="I3715">
        <v>1.01</v>
      </c>
      <c r="J3715" t="s">
        <v>120</v>
      </c>
      <c r="K3715" t="s">
        <v>15430</v>
      </c>
      <c r="L3715">
        <v>0.18</v>
      </c>
      <c r="M3715">
        <v>99.49</v>
      </c>
      <c r="N3715">
        <v>0.64</v>
      </c>
      <c r="O3715">
        <v>0.61</v>
      </c>
      <c r="P3715">
        <v>100.88</v>
      </c>
      <c r="Q3715">
        <v>-1.29</v>
      </c>
      <c r="R3715">
        <v>98.98</v>
      </c>
      <c r="S3715">
        <v>100.6</v>
      </c>
      <c r="T3715">
        <v>2768</v>
      </c>
      <c r="U3715">
        <v>99.49</v>
      </c>
      <c r="V3715">
        <v>100.27</v>
      </c>
      <c r="W3715">
        <v>44.56</v>
      </c>
      <c r="X3715" t="s">
        <v>2775</v>
      </c>
      <c r="Y3715" t="s">
        <v>1510</v>
      </c>
      <c r="Z3715">
        <v>1.89</v>
      </c>
      <c r="AA3715">
        <v>99.52</v>
      </c>
      <c r="AB3715">
        <v>1681</v>
      </c>
      <c r="AC3715">
        <v>1087</v>
      </c>
      <c r="AD3715">
        <v>1.55</v>
      </c>
      <c r="AE3715">
        <v>3</v>
      </c>
      <c r="AF3715">
        <v>1</v>
      </c>
      <c r="AG3715" t="s">
        <v>120</v>
      </c>
      <c r="AH3715">
        <v>0</v>
      </c>
      <c r="AI3715" t="s">
        <v>120</v>
      </c>
      <c r="AJ3715">
        <v>1.53</v>
      </c>
      <c r="AK3715" t="s">
        <v>15431</v>
      </c>
      <c r="AL3715">
        <v>0.56999999999999995</v>
      </c>
      <c r="AM3715">
        <v>943</v>
      </c>
      <c r="AN3715">
        <v>3</v>
      </c>
      <c r="AO3715">
        <v>2.0000000000000001E-4</v>
      </c>
      <c r="AP3715">
        <v>-4</v>
      </c>
      <c r="AQ3715">
        <v>-0.41</v>
      </c>
      <c r="AR3715">
        <v>-1.4</v>
      </c>
      <c r="AS3715">
        <v>-1.38</v>
      </c>
      <c r="AT3715">
        <v>-7.66</v>
      </c>
      <c r="AU3715">
        <v>-23.9</v>
      </c>
      <c r="AV3715">
        <v>2</v>
      </c>
      <c r="AW3715">
        <v>0.51</v>
      </c>
      <c r="AX3715">
        <v>33.14</v>
      </c>
      <c r="AY3715">
        <v>49.77</v>
      </c>
      <c r="AZ3715">
        <v>57.17</v>
      </c>
      <c r="BA3715">
        <v>1.4</v>
      </c>
      <c r="BB3715" t="s">
        <v>143</v>
      </c>
      <c r="BF3715">
        <v>-0.74</v>
      </c>
      <c r="BG3715">
        <v>-1.1000000000000001</v>
      </c>
      <c r="BH3715">
        <v>-1.38</v>
      </c>
      <c r="BI3715">
        <v>0.52</v>
      </c>
      <c r="BJ3715">
        <v>20210812</v>
      </c>
      <c r="BK3715">
        <v>20180713</v>
      </c>
      <c r="BL3715">
        <v>1.64</v>
      </c>
      <c r="BM3715" t="s">
        <v>120</v>
      </c>
      <c r="BN3715" t="s">
        <v>120</v>
      </c>
      <c r="BO3715">
        <v>56.56</v>
      </c>
      <c r="BP3715">
        <v>99.19</v>
      </c>
      <c r="BQ3715">
        <v>29.49</v>
      </c>
      <c r="BR3715">
        <v>0.67</v>
      </c>
      <c r="BS3715">
        <v>46.68</v>
      </c>
      <c r="BT3715">
        <v>33.57</v>
      </c>
      <c r="BU3715">
        <v>8.24</v>
      </c>
      <c r="BV3715">
        <v>5.31</v>
      </c>
      <c r="BW3715">
        <v>19.989999999999998</v>
      </c>
      <c r="BX3715">
        <v>4.03</v>
      </c>
      <c r="BY3715">
        <v>0.61</v>
      </c>
      <c r="BZ3715">
        <v>15.53</v>
      </c>
      <c r="CA3715">
        <v>0.03</v>
      </c>
      <c r="CB3715">
        <v>17.8</v>
      </c>
      <c r="CC3715">
        <v>34.619999999999997</v>
      </c>
      <c r="CD3715">
        <v>30.94</v>
      </c>
      <c r="CE3715">
        <v>2.15</v>
      </c>
      <c r="CF3715">
        <v>0</v>
      </c>
      <c r="CG3715">
        <v>2.09</v>
      </c>
      <c r="CH3715">
        <v>1.83</v>
      </c>
      <c r="CI3715">
        <v>1.84</v>
      </c>
      <c r="CJ3715">
        <v>-0.78</v>
      </c>
      <c r="CK3715">
        <v>1.85</v>
      </c>
      <c r="CL3715">
        <v>9.84</v>
      </c>
      <c r="CM3715">
        <v>2.23</v>
      </c>
      <c r="CN3715">
        <v>2.61</v>
      </c>
      <c r="CO3715">
        <v>10203</v>
      </c>
      <c r="CP3715">
        <v>5343</v>
      </c>
      <c r="CQ3715" t="s">
        <v>6048</v>
      </c>
      <c r="CR3715">
        <v>30.46</v>
      </c>
      <c r="CS3715">
        <v>133.06</v>
      </c>
      <c r="CT3715">
        <v>5.55</v>
      </c>
      <c r="CU3715">
        <v>73.27</v>
      </c>
      <c r="CV3715">
        <v>4.7300000000000004</v>
      </c>
      <c r="CW3715">
        <v>0.26</v>
      </c>
      <c r="CX3715" t="s">
        <v>11458</v>
      </c>
      <c r="CY3715">
        <v>17.93</v>
      </c>
      <c r="CZ3715">
        <v>0</v>
      </c>
      <c r="DA3715">
        <v>10.82</v>
      </c>
      <c r="DB3715">
        <v>5.98</v>
      </c>
      <c r="DC3715">
        <v>1.36</v>
      </c>
      <c r="DD3715">
        <v>52.14</v>
      </c>
      <c r="DE3715" t="s">
        <v>3273</v>
      </c>
      <c r="DF3715">
        <v>10.63</v>
      </c>
      <c r="DG3715">
        <v>6.22</v>
      </c>
      <c r="DH3715">
        <v>5.3</v>
      </c>
      <c r="DI3715">
        <v>0.12</v>
      </c>
      <c r="DJ3715">
        <v>2661</v>
      </c>
      <c r="DK3715">
        <v>603713</v>
      </c>
      <c r="DL3715" t="s">
        <v>120</v>
      </c>
      <c r="DM3715" t="s">
        <v>120</v>
      </c>
      <c r="DN3715" t="s">
        <v>120</v>
      </c>
    </row>
    <row r="3716" spans="1:118">
      <c r="A3716" t="str">
        <f>"603716"</f>
        <v>603716</v>
      </c>
      <c r="B3716" t="s">
        <v>15432</v>
      </c>
      <c r="C3716">
        <v>-0.9</v>
      </c>
      <c r="D3716">
        <v>0</v>
      </c>
      <c r="E3716">
        <v>0.09</v>
      </c>
      <c r="F3716">
        <v>105</v>
      </c>
      <c r="G3716" t="s">
        <v>6768</v>
      </c>
      <c r="H3716">
        <v>1750.79</v>
      </c>
      <c r="I3716">
        <v>1.99</v>
      </c>
      <c r="J3716" t="s">
        <v>120</v>
      </c>
      <c r="K3716" t="s">
        <v>15433</v>
      </c>
      <c r="L3716">
        <v>0.79</v>
      </c>
      <c r="M3716">
        <v>10.96</v>
      </c>
      <c r="N3716">
        <v>1.02</v>
      </c>
      <c r="O3716">
        <v>0.81</v>
      </c>
      <c r="P3716">
        <v>11.15</v>
      </c>
      <c r="Q3716">
        <v>-1.18</v>
      </c>
      <c r="R3716">
        <v>10.93</v>
      </c>
      <c r="S3716">
        <v>11.07</v>
      </c>
      <c r="T3716">
        <v>15850</v>
      </c>
      <c r="U3716">
        <v>10.97</v>
      </c>
      <c r="V3716">
        <v>11.06</v>
      </c>
      <c r="W3716">
        <v>344.32</v>
      </c>
      <c r="X3716" t="s">
        <v>274</v>
      </c>
      <c r="Y3716" t="s">
        <v>763</v>
      </c>
      <c r="Z3716">
        <v>1.99</v>
      </c>
      <c r="AA3716">
        <v>11.05</v>
      </c>
      <c r="AB3716">
        <v>10087</v>
      </c>
      <c r="AC3716">
        <v>5763</v>
      </c>
      <c r="AD3716">
        <v>1.75</v>
      </c>
      <c r="AE3716">
        <v>40</v>
      </c>
      <c r="AF3716">
        <v>60</v>
      </c>
      <c r="AG3716" t="s">
        <v>120</v>
      </c>
      <c r="AH3716">
        <v>0</v>
      </c>
      <c r="AI3716" t="s">
        <v>120</v>
      </c>
      <c r="AJ3716">
        <v>2.0099999999999998</v>
      </c>
      <c r="AK3716" t="s">
        <v>561</v>
      </c>
      <c r="AL3716">
        <v>0.44</v>
      </c>
      <c r="AM3716">
        <v>883</v>
      </c>
      <c r="AN3716">
        <v>18</v>
      </c>
      <c r="AO3716">
        <v>8.9999999999999998E-4</v>
      </c>
      <c r="AP3716">
        <v>-3</v>
      </c>
      <c r="AQ3716">
        <v>-1.34</v>
      </c>
      <c r="AR3716">
        <v>-3.01</v>
      </c>
      <c r="AS3716">
        <v>-9.64</v>
      </c>
      <c r="AT3716">
        <v>-21.99</v>
      </c>
      <c r="AU3716">
        <v>-33.46</v>
      </c>
      <c r="AV3716">
        <v>1</v>
      </c>
      <c r="AW3716">
        <v>1.51</v>
      </c>
      <c r="AX3716">
        <v>51.14</v>
      </c>
      <c r="AY3716">
        <v>42.69</v>
      </c>
      <c r="AZ3716">
        <v>39.39</v>
      </c>
      <c r="BA3716">
        <v>0.59</v>
      </c>
      <c r="BB3716" t="s">
        <v>125</v>
      </c>
      <c r="BF3716">
        <v>-0.13</v>
      </c>
      <c r="BG3716">
        <v>-0.99</v>
      </c>
      <c r="BH3716">
        <v>-1.7</v>
      </c>
      <c r="BI3716">
        <v>0.27</v>
      </c>
      <c r="BJ3716">
        <v>20210825</v>
      </c>
      <c r="BK3716">
        <v>20161031</v>
      </c>
      <c r="BL3716">
        <v>2.0499999999999998</v>
      </c>
      <c r="BM3716" t="s">
        <v>120</v>
      </c>
      <c r="BN3716" t="s">
        <v>120</v>
      </c>
      <c r="BO3716">
        <v>39.61</v>
      </c>
      <c r="BP3716">
        <v>10.96</v>
      </c>
      <c r="BQ3716">
        <v>16.02</v>
      </c>
      <c r="BR3716">
        <v>1.81</v>
      </c>
      <c r="BS3716">
        <v>54.99</v>
      </c>
      <c r="BT3716">
        <v>28.84</v>
      </c>
      <c r="BU3716">
        <v>2.27</v>
      </c>
      <c r="BV3716">
        <v>0.31</v>
      </c>
      <c r="BW3716">
        <v>13.05</v>
      </c>
      <c r="BX3716">
        <v>3.67</v>
      </c>
      <c r="BY3716">
        <v>4.8600000000000003</v>
      </c>
      <c r="BZ3716">
        <v>16.559999999999999</v>
      </c>
      <c r="CA3716" t="s">
        <v>120</v>
      </c>
      <c r="CB3716">
        <v>8.59</v>
      </c>
      <c r="CC3716">
        <v>11.98</v>
      </c>
      <c r="CD3716">
        <v>9.42</v>
      </c>
      <c r="CE3716">
        <v>0.33</v>
      </c>
      <c r="CF3716">
        <v>-0.1</v>
      </c>
      <c r="CG3716">
        <v>0.32</v>
      </c>
      <c r="CH3716">
        <v>0.2</v>
      </c>
      <c r="CI3716">
        <v>0.03</v>
      </c>
      <c r="CJ3716">
        <v>-0.1</v>
      </c>
      <c r="CK3716">
        <v>0.01</v>
      </c>
      <c r="CL3716">
        <v>6.02</v>
      </c>
      <c r="CM3716">
        <v>-0.91</v>
      </c>
      <c r="CN3716">
        <v>-2.9</v>
      </c>
      <c r="CO3716">
        <v>11473</v>
      </c>
      <c r="CP3716">
        <v>9139</v>
      </c>
      <c r="CQ3716" t="s">
        <v>6233</v>
      </c>
      <c r="CR3716">
        <v>-57.66</v>
      </c>
      <c r="CS3716">
        <v>55.23</v>
      </c>
      <c r="CT3716">
        <v>1.49</v>
      </c>
      <c r="CU3716">
        <v>-24.69</v>
      </c>
      <c r="CV3716">
        <v>1.88</v>
      </c>
      <c r="CW3716">
        <v>0</v>
      </c>
      <c r="CX3716" t="s">
        <v>499</v>
      </c>
      <c r="CY3716">
        <v>7.36</v>
      </c>
      <c r="CZ3716">
        <v>7.36</v>
      </c>
      <c r="DA3716">
        <v>4.1900000000000004</v>
      </c>
      <c r="DB3716">
        <v>2.94</v>
      </c>
      <c r="DC3716">
        <v>-0.44</v>
      </c>
      <c r="DD3716">
        <v>40.450000000000003</v>
      </c>
      <c r="DE3716" t="s">
        <v>7749</v>
      </c>
      <c r="DF3716">
        <v>21.36</v>
      </c>
      <c r="DG3716">
        <v>2.72</v>
      </c>
      <c r="DH3716">
        <v>0.27</v>
      </c>
      <c r="DI3716">
        <v>0.18</v>
      </c>
      <c r="DJ3716">
        <v>1390</v>
      </c>
      <c r="DK3716">
        <v>603716</v>
      </c>
      <c r="DL3716" t="s">
        <v>120</v>
      </c>
      <c r="DM3716" t="s">
        <v>120</v>
      </c>
      <c r="DN3716" t="s">
        <v>120</v>
      </c>
    </row>
    <row r="3717" spans="1:118">
      <c r="A3717" t="str">
        <f>"603717"</f>
        <v>603717</v>
      </c>
      <c r="B3717" t="s">
        <v>15434</v>
      </c>
      <c r="C3717">
        <v>0.72</v>
      </c>
      <c r="D3717">
        <v>-7.0000000000000007E-2</v>
      </c>
      <c r="E3717">
        <v>-0.16</v>
      </c>
      <c r="F3717">
        <v>562</v>
      </c>
      <c r="G3717" t="s">
        <v>2320</v>
      </c>
      <c r="H3717">
        <v>5201.79</v>
      </c>
      <c r="I3717">
        <v>9.2799999999999994</v>
      </c>
      <c r="J3717" t="s">
        <v>120</v>
      </c>
      <c r="K3717" t="s">
        <v>10673</v>
      </c>
      <c r="L3717">
        <v>1.7</v>
      </c>
      <c r="M3717">
        <v>12.65</v>
      </c>
      <c r="N3717">
        <v>1.7</v>
      </c>
      <c r="O3717">
        <v>1.35</v>
      </c>
      <c r="P3717">
        <v>12.73</v>
      </c>
      <c r="Q3717">
        <v>-0.32</v>
      </c>
      <c r="R3717">
        <v>12.52</v>
      </c>
      <c r="S3717">
        <v>12.54</v>
      </c>
      <c r="T3717">
        <v>41137</v>
      </c>
      <c r="U3717">
        <v>12.65</v>
      </c>
      <c r="V3717">
        <v>12.56</v>
      </c>
      <c r="W3717" t="s">
        <v>120</v>
      </c>
      <c r="X3717" t="s">
        <v>318</v>
      </c>
      <c r="Y3717" t="s">
        <v>883</v>
      </c>
      <c r="Z3717">
        <v>1.67</v>
      </c>
      <c r="AA3717">
        <v>12.65</v>
      </c>
      <c r="AB3717">
        <v>13757</v>
      </c>
      <c r="AC3717">
        <v>27380</v>
      </c>
      <c r="AD3717">
        <v>0.5</v>
      </c>
      <c r="AE3717">
        <v>260</v>
      </c>
      <c r="AF3717">
        <v>170</v>
      </c>
      <c r="AG3717" t="s">
        <v>120</v>
      </c>
      <c r="AH3717">
        <v>0</v>
      </c>
      <c r="AI3717" t="s">
        <v>120</v>
      </c>
      <c r="AJ3717">
        <v>2.42</v>
      </c>
      <c r="AK3717" t="s">
        <v>15435</v>
      </c>
      <c r="AL3717">
        <v>2.06</v>
      </c>
      <c r="AM3717">
        <v>949</v>
      </c>
      <c r="AN3717">
        <v>43</v>
      </c>
      <c r="AO3717">
        <v>1.8E-3</v>
      </c>
      <c r="AP3717">
        <v>2</v>
      </c>
      <c r="AQ3717">
        <v>0.08</v>
      </c>
      <c r="AR3717">
        <v>0.8</v>
      </c>
      <c r="AS3717">
        <v>-5.53</v>
      </c>
      <c r="AT3717">
        <v>-12.03</v>
      </c>
      <c r="AU3717">
        <v>48.82</v>
      </c>
      <c r="AV3717">
        <v>3</v>
      </c>
      <c r="AW3717">
        <v>2.75</v>
      </c>
      <c r="AX3717">
        <v>51.51</v>
      </c>
      <c r="AY3717" t="s">
        <v>120</v>
      </c>
      <c r="AZ3717" t="s">
        <v>120</v>
      </c>
      <c r="BA3717">
        <v>0.09</v>
      </c>
      <c r="BB3717" t="s">
        <v>143</v>
      </c>
      <c r="BF3717">
        <v>0.68</v>
      </c>
      <c r="BG3717">
        <v>0.88</v>
      </c>
      <c r="BH3717">
        <v>-0.63</v>
      </c>
      <c r="BI3717">
        <v>1.04</v>
      </c>
      <c r="BJ3717">
        <v>20210827</v>
      </c>
      <c r="BK3717">
        <v>20170327</v>
      </c>
      <c r="BL3717">
        <v>2.9</v>
      </c>
      <c r="BM3717" t="s">
        <v>120</v>
      </c>
      <c r="BN3717" t="s">
        <v>120</v>
      </c>
      <c r="BO3717">
        <v>34.729999999999997</v>
      </c>
      <c r="BP3717">
        <v>12.62</v>
      </c>
      <c r="BQ3717">
        <v>15.97</v>
      </c>
      <c r="BR3717">
        <v>1.39</v>
      </c>
      <c r="BS3717">
        <v>50.03</v>
      </c>
      <c r="BT3717">
        <v>23.39</v>
      </c>
      <c r="BU3717">
        <v>1.6</v>
      </c>
      <c r="BV3717">
        <v>1.03</v>
      </c>
      <c r="BW3717">
        <v>15.06</v>
      </c>
      <c r="BX3717">
        <v>4.26</v>
      </c>
      <c r="BY3717">
        <v>0.82</v>
      </c>
      <c r="BZ3717">
        <v>7.23</v>
      </c>
      <c r="CA3717" t="s">
        <v>120</v>
      </c>
      <c r="CB3717">
        <v>9.31</v>
      </c>
      <c r="CC3717">
        <v>3.08</v>
      </c>
      <c r="CD3717">
        <v>2.59</v>
      </c>
      <c r="CE3717">
        <v>-0.42</v>
      </c>
      <c r="CF3717">
        <v>0.01</v>
      </c>
      <c r="CG3717">
        <v>-0.38</v>
      </c>
      <c r="CH3717">
        <v>-0.39</v>
      </c>
      <c r="CI3717">
        <v>-0.37</v>
      </c>
      <c r="CJ3717">
        <v>0.09</v>
      </c>
      <c r="CK3717">
        <v>-0.51</v>
      </c>
      <c r="CL3717">
        <v>3.3</v>
      </c>
      <c r="CM3717">
        <v>-0.37</v>
      </c>
      <c r="CN3717">
        <v>2.69</v>
      </c>
      <c r="CO3717">
        <v>11344</v>
      </c>
      <c r="CP3717">
        <v>13175</v>
      </c>
      <c r="CQ3717" t="s">
        <v>9556</v>
      </c>
      <c r="CR3717">
        <v>-96.76</v>
      </c>
      <c r="CS3717">
        <v>35.11</v>
      </c>
      <c r="CT3717">
        <v>2.2999999999999998</v>
      </c>
      <c r="CU3717">
        <v>-98.21</v>
      </c>
      <c r="CV3717">
        <v>11.93</v>
      </c>
      <c r="CW3717">
        <v>0</v>
      </c>
      <c r="CX3717" t="s">
        <v>795</v>
      </c>
      <c r="CY3717">
        <v>5.5</v>
      </c>
      <c r="CZ3717">
        <v>0</v>
      </c>
      <c r="DA3717">
        <v>3.21</v>
      </c>
      <c r="DB3717">
        <v>1.1399999999999999</v>
      </c>
      <c r="DC3717">
        <v>-0.13</v>
      </c>
      <c r="DD3717">
        <v>45.98</v>
      </c>
      <c r="DE3717" t="s">
        <v>15436</v>
      </c>
      <c r="DF3717">
        <v>15.9</v>
      </c>
      <c r="DG3717">
        <v>-13.7</v>
      </c>
      <c r="DH3717">
        <v>-11.96</v>
      </c>
      <c r="DI3717">
        <v>0.05</v>
      </c>
      <c r="DJ3717">
        <v>428</v>
      </c>
      <c r="DK3717">
        <v>603717</v>
      </c>
      <c r="DL3717" t="s">
        <v>120</v>
      </c>
      <c r="DM3717" t="s">
        <v>120</v>
      </c>
      <c r="DN3717" t="s">
        <v>120</v>
      </c>
    </row>
    <row r="3718" spans="1:118">
      <c r="A3718" t="str">
        <f>"603718"</f>
        <v>603718</v>
      </c>
      <c r="B3718" t="s">
        <v>15437</v>
      </c>
      <c r="C3718">
        <v>-1.19</v>
      </c>
      <c r="D3718">
        <v>7.0000000000000007E-2</v>
      </c>
      <c r="E3718">
        <v>0</v>
      </c>
      <c r="F3718">
        <v>481</v>
      </c>
      <c r="G3718" t="s">
        <v>3523</v>
      </c>
      <c r="H3718">
        <v>7077.38</v>
      </c>
      <c r="I3718">
        <v>16.899999999999999</v>
      </c>
      <c r="J3718" t="s">
        <v>120</v>
      </c>
      <c r="K3718" t="s">
        <v>7515</v>
      </c>
      <c r="L3718">
        <v>0.77</v>
      </c>
      <c r="M3718">
        <v>14.15</v>
      </c>
      <c r="N3718">
        <v>0.71</v>
      </c>
      <c r="O3718">
        <v>0.77</v>
      </c>
      <c r="P3718">
        <v>14.43</v>
      </c>
      <c r="Q3718">
        <v>-1.47</v>
      </c>
      <c r="R3718">
        <v>14.11</v>
      </c>
      <c r="S3718">
        <v>14.32</v>
      </c>
      <c r="T3718">
        <v>49619</v>
      </c>
      <c r="U3718">
        <v>14.16</v>
      </c>
      <c r="V3718">
        <v>14.32</v>
      </c>
      <c r="W3718">
        <v>173.38</v>
      </c>
      <c r="X3718" t="s">
        <v>666</v>
      </c>
      <c r="Y3718" t="s">
        <v>1510</v>
      </c>
      <c r="Z3718">
        <v>2.23</v>
      </c>
      <c r="AA3718">
        <v>14.26</v>
      </c>
      <c r="AB3718">
        <v>29689</v>
      </c>
      <c r="AC3718">
        <v>19930</v>
      </c>
      <c r="AD3718">
        <v>1.49</v>
      </c>
      <c r="AE3718">
        <v>555</v>
      </c>
      <c r="AF3718">
        <v>54</v>
      </c>
      <c r="AG3718" t="s">
        <v>120</v>
      </c>
      <c r="AH3718">
        <v>0</v>
      </c>
      <c r="AI3718" t="s">
        <v>120</v>
      </c>
      <c r="AJ3718">
        <v>6.44</v>
      </c>
      <c r="AK3718" t="s">
        <v>7515</v>
      </c>
      <c r="AL3718">
        <v>0.16</v>
      </c>
      <c r="AM3718">
        <v>2221</v>
      </c>
      <c r="AN3718">
        <v>22</v>
      </c>
      <c r="AO3718">
        <v>2.9999999999999997E-4</v>
      </c>
      <c r="AP3718">
        <v>-4</v>
      </c>
      <c r="AQ3718">
        <v>-0.97</v>
      </c>
      <c r="AR3718">
        <v>-7.52</v>
      </c>
      <c r="AS3718">
        <v>6.96</v>
      </c>
      <c r="AT3718">
        <v>-4.37</v>
      </c>
      <c r="AU3718">
        <v>12.25</v>
      </c>
      <c r="AV3718">
        <v>8</v>
      </c>
      <c r="AW3718">
        <v>1.81</v>
      </c>
      <c r="AX3718">
        <v>42.63</v>
      </c>
      <c r="AY3718">
        <v>275.51</v>
      </c>
      <c r="AZ3718">
        <v>1033.0999999999999</v>
      </c>
      <c r="BA3718">
        <v>0.22</v>
      </c>
      <c r="BB3718" t="s">
        <v>143</v>
      </c>
      <c r="BF3718">
        <v>-0.39</v>
      </c>
      <c r="BG3718">
        <v>-1.19</v>
      </c>
      <c r="BH3718">
        <v>-1.94</v>
      </c>
      <c r="BI3718">
        <v>0.28000000000000003</v>
      </c>
      <c r="BJ3718">
        <v>20210830</v>
      </c>
      <c r="BK3718">
        <v>20150515</v>
      </c>
      <c r="BL3718">
        <v>6.44</v>
      </c>
      <c r="BM3718" t="s">
        <v>120</v>
      </c>
      <c r="BN3718" t="s">
        <v>120</v>
      </c>
      <c r="BO3718">
        <v>17.78</v>
      </c>
      <c r="BP3718">
        <v>14.15</v>
      </c>
      <c r="BQ3718">
        <v>10.01</v>
      </c>
      <c r="BR3718">
        <v>-0.24</v>
      </c>
      <c r="BS3718">
        <v>45.02</v>
      </c>
      <c r="BT3718">
        <v>7.57</v>
      </c>
      <c r="BU3718">
        <v>3.56</v>
      </c>
      <c r="BV3718">
        <v>1.05</v>
      </c>
      <c r="BW3718">
        <v>6.16</v>
      </c>
      <c r="BX3718">
        <v>0.88</v>
      </c>
      <c r="BY3718">
        <v>1.3</v>
      </c>
      <c r="BZ3718">
        <v>0.86</v>
      </c>
      <c r="CA3718" t="s">
        <v>120</v>
      </c>
      <c r="CB3718">
        <v>0.65</v>
      </c>
      <c r="CC3718">
        <v>1.68</v>
      </c>
      <c r="CD3718">
        <v>0.75</v>
      </c>
      <c r="CE3718">
        <v>0.28999999999999998</v>
      </c>
      <c r="CF3718">
        <v>0.13</v>
      </c>
      <c r="CG3718">
        <v>0.28999999999999998</v>
      </c>
      <c r="CH3718">
        <v>0.23</v>
      </c>
      <c r="CI3718">
        <v>0.26</v>
      </c>
      <c r="CJ3718">
        <v>-0.17</v>
      </c>
      <c r="CK3718">
        <v>0.18</v>
      </c>
      <c r="CL3718">
        <v>2.23</v>
      </c>
      <c r="CM3718">
        <v>0.21</v>
      </c>
      <c r="CN3718">
        <v>0.7</v>
      </c>
      <c r="CO3718">
        <v>39141</v>
      </c>
      <c r="CP3718">
        <v>7014</v>
      </c>
      <c r="CQ3718" t="s">
        <v>15438</v>
      </c>
      <c r="CR3718">
        <v>1416.45</v>
      </c>
      <c r="CS3718">
        <v>41.73</v>
      </c>
      <c r="CT3718">
        <v>9.11</v>
      </c>
      <c r="CU3718">
        <v>444.1</v>
      </c>
      <c r="CV3718">
        <v>54.2</v>
      </c>
      <c r="CW3718">
        <v>0.03</v>
      </c>
      <c r="CX3718" t="s">
        <v>1409</v>
      </c>
      <c r="CY3718">
        <v>1.55</v>
      </c>
      <c r="CZ3718">
        <v>0</v>
      </c>
      <c r="DA3718">
        <v>0.1</v>
      </c>
      <c r="DB3718">
        <v>0.35</v>
      </c>
      <c r="DC3718">
        <v>0.03</v>
      </c>
      <c r="DD3718">
        <v>56.3</v>
      </c>
      <c r="DE3718" t="s">
        <v>1861</v>
      </c>
      <c r="DF3718">
        <v>55.47</v>
      </c>
      <c r="DG3718">
        <v>17.07</v>
      </c>
      <c r="DH3718">
        <v>15.63</v>
      </c>
      <c r="DI3718">
        <v>0.12</v>
      </c>
      <c r="DJ3718">
        <v>518</v>
      </c>
      <c r="DK3718">
        <v>603718</v>
      </c>
      <c r="DL3718" t="s">
        <v>120</v>
      </c>
      <c r="DM3718" t="s">
        <v>120</v>
      </c>
      <c r="DN3718" t="s">
        <v>120</v>
      </c>
    </row>
    <row r="3719" spans="1:118">
      <c r="A3719" t="str">
        <f>"603719"</f>
        <v>603719</v>
      </c>
      <c r="B3719" t="s">
        <v>15439</v>
      </c>
      <c r="C3719">
        <v>1.92</v>
      </c>
      <c r="D3719">
        <v>0</v>
      </c>
      <c r="E3719">
        <v>-0.5</v>
      </c>
      <c r="F3719">
        <v>189</v>
      </c>
      <c r="G3719" t="s">
        <v>15440</v>
      </c>
      <c r="H3719">
        <v>5249.13</v>
      </c>
      <c r="I3719">
        <v>3.37</v>
      </c>
      <c r="J3719" t="s">
        <v>120</v>
      </c>
      <c r="K3719" t="s">
        <v>3184</v>
      </c>
      <c r="L3719">
        <v>0.68</v>
      </c>
      <c r="M3719">
        <v>34.5</v>
      </c>
      <c r="N3719">
        <v>1.1200000000000001</v>
      </c>
      <c r="O3719">
        <v>3.01</v>
      </c>
      <c r="P3719">
        <v>34.869999999999997</v>
      </c>
      <c r="Q3719">
        <v>-0.86</v>
      </c>
      <c r="R3719">
        <v>33.56</v>
      </c>
      <c r="S3719">
        <v>33.68</v>
      </c>
      <c r="T3719">
        <v>15271</v>
      </c>
      <c r="U3719">
        <v>34.51</v>
      </c>
      <c r="V3719">
        <v>33.85</v>
      </c>
      <c r="W3719">
        <v>36.03</v>
      </c>
      <c r="X3719" t="s">
        <v>847</v>
      </c>
      <c r="Y3719" t="s">
        <v>763</v>
      </c>
      <c r="Z3719">
        <v>3.87</v>
      </c>
      <c r="AA3719">
        <v>34.369999999999997</v>
      </c>
      <c r="AB3719">
        <v>7012</v>
      </c>
      <c r="AC3719">
        <v>8259</v>
      </c>
      <c r="AD3719">
        <v>0.85</v>
      </c>
      <c r="AE3719">
        <v>73</v>
      </c>
      <c r="AF3719">
        <v>31</v>
      </c>
      <c r="AG3719" t="s">
        <v>120</v>
      </c>
      <c r="AH3719">
        <v>0</v>
      </c>
      <c r="AI3719" t="s">
        <v>120</v>
      </c>
      <c r="AJ3719">
        <v>2.2400000000000002</v>
      </c>
      <c r="AK3719" t="s">
        <v>15441</v>
      </c>
      <c r="AL3719">
        <v>3.26</v>
      </c>
      <c r="AM3719">
        <v>1832</v>
      </c>
      <c r="AN3719">
        <v>8</v>
      </c>
      <c r="AO3719">
        <v>4.0000000000000002E-4</v>
      </c>
      <c r="AP3719">
        <v>1</v>
      </c>
      <c r="AQ3719">
        <v>-1.37</v>
      </c>
      <c r="AR3719">
        <v>-0.89</v>
      </c>
      <c r="AS3719">
        <v>3.72</v>
      </c>
      <c r="AT3719">
        <v>-22.21</v>
      </c>
      <c r="AU3719">
        <v>-40.94</v>
      </c>
      <c r="AV3719">
        <v>0</v>
      </c>
      <c r="AW3719">
        <v>1.92</v>
      </c>
      <c r="AX3719">
        <v>19.8</v>
      </c>
      <c r="AY3719">
        <v>36.229999999999997</v>
      </c>
      <c r="AZ3719">
        <v>39.51</v>
      </c>
      <c r="BA3719">
        <v>0.88</v>
      </c>
      <c r="BB3719" t="s">
        <v>125</v>
      </c>
      <c r="BF3719">
        <v>1.54</v>
      </c>
      <c r="BG3719">
        <v>2.4300000000000002</v>
      </c>
      <c r="BH3719">
        <v>-1.06</v>
      </c>
      <c r="BI3719">
        <v>2.8</v>
      </c>
      <c r="BJ3719">
        <v>20210818</v>
      </c>
      <c r="BK3719">
        <v>20200224</v>
      </c>
      <c r="BL3719">
        <v>4.01</v>
      </c>
      <c r="BM3719" t="s">
        <v>120</v>
      </c>
      <c r="BN3719" t="s">
        <v>120</v>
      </c>
      <c r="BO3719">
        <v>42.54</v>
      </c>
      <c r="BP3719">
        <v>34.5</v>
      </c>
      <c r="BQ3719">
        <v>21.56</v>
      </c>
      <c r="BR3719">
        <v>0.06</v>
      </c>
      <c r="BS3719">
        <v>49.16</v>
      </c>
      <c r="BT3719">
        <v>30.4</v>
      </c>
      <c r="BU3719">
        <v>4.49</v>
      </c>
      <c r="BV3719">
        <v>1.38</v>
      </c>
      <c r="BW3719">
        <v>18.989999999999998</v>
      </c>
      <c r="BX3719">
        <v>17.8</v>
      </c>
      <c r="BY3719">
        <v>4.68</v>
      </c>
      <c r="BZ3719">
        <v>3.48</v>
      </c>
      <c r="CA3719">
        <v>0</v>
      </c>
      <c r="CB3719">
        <v>8.0299999999999994</v>
      </c>
      <c r="CC3719">
        <v>44.21</v>
      </c>
      <c r="CD3719">
        <v>30.1</v>
      </c>
      <c r="CE3719">
        <v>2.5299999999999998</v>
      </c>
      <c r="CF3719">
        <v>0.01</v>
      </c>
      <c r="CG3719">
        <v>2.5499999999999998</v>
      </c>
      <c r="CH3719">
        <v>1.94</v>
      </c>
      <c r="CI3719">
        <v>1.92</v>
      </c>
      <c r="CJ3719">
        <v>0.65</v>
      </c>
      <c r="CK3719">
        <v>1.55</v>
      </c>
      <c r="CL3719">
        <v>9.24</v>
      </c>
      <c r="CM3719">
        <v>1.37</v>
      </c>
      <c r="CN3719">
        <v>-1.9</v>
      </c>
      <c r="CO3719">
        <v>25284</v>
      </c>
      <c r="CP3719">
        <v>3140</v>
      </c>
      <c r="CQ3719" t="s">
        <v>12010</v>
      </c>
      <c r="CR3719">
        <v>19.29</v>
      </c>
      <c r="CS3719">
        <v>22.45</v>
      </c>
      <c r="CT3719">
        <v>6.42</v>
      </c>
      <c r="CU3719">
        <v>100.82</v>
      </c>
      <c r="CV3719">
        <v>3.13</v>
      </c>
      <c r="CW3719">
        <v>0.76</v>
      </c>
      <c r="CX3719" t="s">
        <v>780</v>
      </c>
      <c r="CY3719">
        <v>5.38</v>
      </c>
      <c r="CZ3719">
        <v>0</v>
      </c>
      <c r="DA3719">
        <v>2</v>
      </c>
      <c r="DB3719">
        <v>2.2999999999999998</v>
      </c>
      <c r="DC3719">
        <v>0.34</v>
      </c>
      <c r="DD3719">
        <v>50.69</v>
      </c>
      <c r="DE3719" t="s">
        <v>10697</v>
      </c>
      <c r="DF3719">
        <v>31.9</v>
      </c>
      <c r="DG3719">
        <v>5.73</v>
      </c>
      <c r="DH3719">
        <v>4.34</v>
      </c>
      <c r="DI3719">
        <v>0.19</v>
      </c>
      <c r="DJ3719">
        <v>11226</v>
      </c>
      <c r="DK3719">
        <v>603719</v>
      </c>
      <c r="DL3719" t="s">
        <v>120</v>
      </c>
      <c r="DM3719" t="s">
        <v>120</v>
      </c>
      <c r="DN3719" t="s">
        <v>120</v>
      </c>
    </row>
    <row r="3720" spans="1:118">
      <c r="A3720" t="str">
        <f>"603721"</f>
        <v>603721</v>
      </c>
      <c r="B3720" t="s">
        <v>15442</v>
      </c>
      <c r="C3720">
        <v>-0.81</v>
      </c>
      <c r="D3720">
        <v>0</v>
      </c>
      <c r="E3720">
        <v>-0.44</v>
      </c>
      <c r="F3720">
        <v>205</v>
      </c>
      <c r="G3720" t="s">
        <v>5186</v>
      </c>
      <c r="H3720">
        <v>4156.7</v>
      </c>
      <c r="I3720">
        <v>16.95</v>
      </c>
      <c r="J3720" t="s">
        <v>120</v>
      </c>
      <c r="K3720" t="s">
        <v>4799</v>
      </c>
      <c r="L3720">
        <v>2.36</v>
      </c>
      <c r="M3720">
        <v>13.4</v>
      </c>
      <c r="N3720">
        <v>0.73</v>
      </c>
      <c r="O3720">
        <v>1.78</v>
      </c>
      <c r="P3720">
        <v>13.75</v>
      </c>
      <c r="Q3720">
        <v>-1.04</v>
      </c>
      <c r="R3720">
        <v>13.37</v>
      </c>
      <c r="S3720">
        <v>13.45</v>
      </c>
      <c r="T3720">
        <v>30686</v>
      </c>
      <c r="U3720">
        <v>13.41</v>
      </c>
      <c r="V3720">
        <v>13.51</v>
      </c>
      <c r="W3720">
        <v>105.54</v>
      </c>
      <c r="X3720" t="s">
        <v>584</v>
      </c>
      <c r="Y3720" t="s">
        <v>594</v>
      </c>
      <c r="Z3720">
        <v>2.81</v>
      </c>
      <c r="AA3720">
        <v>13.55</v>
      </c>
      <c r="AB3720">
        <v>17879</v>
      </c>
      <c r="AC3720">
        <v>12807</v>
      </c>
      <c r="AD3720">
        <v>1.4</v>
      </c>
      <c r="AE3720">
        <v>784</v>
      </c>
      <c r="AF3720">
        <v>11</v>
      </c>
      <c r="AG3720" t="s">
        <v>120</v>
      </c>
      <c r="AH3720">
        <v>0.02</v>
      </c>
      <c r="AI3720" t="s">
        <v>120</v>
      </c>
      <c r="AJ3720">
        <v>1.3</v>
      </c>
      <c r="AK3720" t="s">
        <v>4799</v>
      </c>
      <c r="AL3720">
        <v>0.53</v>
      </c>
      <c r="AM3720">
        <v>1967</v>
      </c>
      <c r="AN3720">
        <v>16</v>
      </c>
      <c r="AO3720">
        <v>1.1999999999999999E-3</v>
      </c>
      <c r="AP3720">
        <v>-1</v>
      </c>
      <c r="AQ3720">
        <v>2.19</v>
      </c>
      <c r="AR3720">
        <v>-2.2599999999999998</v>
      </c>
      <c r="AS3720">
        <v>2.84</v>
      </c>
      <c r="AT3720">
        <v>-30.1</v>
      </c>
      <c r="AU3720">
        <v>6.44</v>
      </c>
      <c r="AV3720">
        <v>12</v>
      </c>
      <c r="AW3720">
        <v>4.76</v>
      </c>
      <c r="AX3720">
        <v>49.62</v>
      </c>
      <c r="AY3720" t="s">
        <v>120</v>
      </c>
      <c r="AZ3720" t="s">
        <v>120</v>
      </c>
      <c r="BA3720">
        <v>1.25</v>
      </c>
      <c r="BB3720" t="s">
        <v>143</v>
      </c>
      <c r="BF3720">
        <v>0.27</v>
      </c>
      <c r="BG3720">
        <v>-0.37</v>
      </c>
      <c r="BH3720">
        <v>-2.5499999999999998</v>
      </c>
      <c r="BI3720">
        <v>0.22</v>
      </c>
      <c r="BJ3720">
        <v>20210828</v>
      </c>
      <c r="BK3720">
        <v>20170811</v>
      </c>
      <c r="BL3720">
        <v>1.3</v>
      </c>
      <c r="BM3720" t="s">
        <v>120</v>
      </c>
      <c r="BN3720" t="s">
        <v>120</v>
      </c>
      <c r="BO3720">
        <v>6.08</v>
      </c>
      <c r="BP3720">
        <v>13.4</v>
      </c>
      <c r="BQ3720">
        <v>5.28</v>
      </c>
      <c r="BR3720" t="s">
        <v>120</v>
      </c>
      <c r="BS3720">
        <v>13.2</v>
      </c>
      <c r="BT3720">
        <v>3.93</v>
      </c>
      <c r="BU3720">
        <v>0.11</v>
      </c>
      <c r="BV3720">
        <v>0.02</v>
      </c>
      <c r="BW3720">
        <v>0.7</v>
      </c>
      <c r="BX3720">
        <v>0.67</v>
      </c>
      <c r="BY3720">
        <v>0.5</v>
      </c>
      <c r="BZ3720">
        <v>1.1399999999999999</v>
      </c>
      <c r="CA3720" t="s">
        <v>120</v>
      </c>
      <c r="CB3720">
        <v>2.2599999999999998</v>
      </c>
      <c r="CC3720">
        <v>1.17</v>
      </c>
      <c r="CD3720">
        <v>0.85</v>
      </c>
      <c r="CE3720">
        <v>0.08</v>
      </c>
      <c r="CF3720">
        <v>0</v>
      </c>
      <c r="CG3720">
        <v>0.08</v>
      </c>
      <c r="CH3720">
        <v>0.08</v>
      </c>
      <c r="CI3720">
        <v>0.08</v>
      </c>
      <c r="CJ3720">
        <v>-0.11</v>
      </c>
      <c r="CK3720">
        <v>0.06</v>
      </c>
      <c r="CL3720">
        <v>1.48</v>
      </c>
      <c r="CM3720">
        <v>0.01</v>
      </c>
      <c r="CN3720">
        <v>-0.2</v>
      </c>
      <c r="CO3720">
        <v>26527</v>
      </c>
      <c r="CP3720">
        <v>2432</v>
      </c>
      <c r="CQ3720" t="s">
        <v>2635</v>
      </c>
      <c r="CR3720">
        <v>300.02</v>
      </c>
      <c r="CS3720">
        <v>18.12</v>
      </c>
      <c r="CT3720">
        <v>3.3</v>
      </c>
      <c r="CU3720">
        <v>1620.01</v>
      </c>
      <c r="CV3720">
        <v>14.94</v>
      </c>
      <c r="CW3720">
        <v>0</v>
      </c>
      <c r="CX3720" t="s">
        <v>1064</v>
      </c>
      <c r="CY3720">
        <v>4.0599999999999996</v>
      </c>
      <c r="CZ3720">
        <v>0</v>
      </c>
      <c r="DA3720">
        <v>1.74</v>
      </c>
      <c r="DB3720">
        <v>1.1399999999999999</v>
      </c>
      <c r="DC3720">
        <v>0.01</v>
      </c>
      <c r="DD3720">
        <v>86.8</v>
      </c>
      <c r="DE3720" t="s">
        <v>7740</v>
      </c>
      <c r="DF3720">
        <v>26.98</v>
      </c>
      <c r="DG3720">
        <v>6.72</v>
      </c>
      <c r="DH3720">
        <v>7.08</v>
      </c>
      <c r="DI3720">
        <v>0.02</v>
      </c>
      <c r="DJ3720">
        <v>442</v>
      </c>
      <c r="DK3720">
        <v>603721</v>
      </c>
      <c r="DL3720" t="s">
        <v>120</v>
      </c>
      <c r="DM3720" t="s">
        <v>120</v>
      </c>
      <c r="DN3720" t="s">
        <v>120</v>
      </c>
    </row>
    <row r="3721" spans="1:118">
      <c r="A3721" t="str">
        <f>"603722"</f>
        <v>603722</v>
      </c>
      <c r="B3721" t="s">
        <v>15443</v>
      </c>
      <c r="C3721">
        <v>-5.99</v>
      </c>
      <c r="D3721">
        <v>0.24</v>
      </c>
      <c r="E3721">
        <v>0</v>
      </c>
      <c r="F3721">
        <v>83</v>
      </c>
      <c r="G3721" t="s">
        <v>13163</v>
      </c>
      <c r="H3721">
        <v>11259.2</v>
      </c>
      <c r="I3721">
        <v>46.09</v>
      </c>
      <c r="J3721" t="s">
        <v>120</v>
      </c>
      <c r="K3721" t="s">
        <v>15444</v>
      </c>
      <c r="L3721">
        <v>2.4900000000000002</v>
      </c>
      <c r="M3721">
        <v>50.97</v>
      </c>
      <c r="N3721">
        <v>1.39</v>
      </c>
      <c r="O3721">
        <v>0.61</v>
      </c>
      <c r="P3721">
        <v>54.55</v>
      </c>
      <c r="Q3721">
        <v>-6.31</v>
      </c>
      <c r="R3721">
        <v>50.8</v>
      </c>
      <c r="S3721">
        <v>54.22</v>
      </c>
      <c r="T3721">
        <v>21705</v>
      </c>
      <c r="U3721">
        <v>51.07</v>
      </c>
      <c r="V3721">
        <v>54.22</v>
      </c>
      <c r="W3721">
        <v>43.97</v>
      </c>
      <c r="X3721" t="s">
        <v>868</v>
      </c>
      <c r="Y3721" t="s">
        <v>319</v>
      </c>
      <c r="Z3721">
        <v>6.92</v>
      </c>
      <c r="AA3721">
        <v>51.87</v>
      </c>
      <c r="AB3721">
        <v>13946</v>
      </c>
      <c r="AC3721">
        <v>7759</v>
      </c>
      <c r="AD3721">
        <v>1.8</v>
      </c>
      <c r="AE3721">
        <v>5</v>
      </c>
      <c r="AF3721">
        <v>7</v>
      </c>
      <c r="AG3721" t="s">
        <v>120</v>
      </c>
      <c r="AH3721">
        <v>0.02</v>
      </c>
      <c r="AI3721" t="s">
        <v>120</v>
      </c>
      <c r="AJ3721">
        <v>0.87</v>
      </c>
      <c r="AK3721" t="s">
        <v>15445</v>
      </c>
      <c r="AL3721">
        <v>-4.6500000000000004</v>
      </c>
      <c r="AM3721">
        <v>2083</v>
      </c>
      <c r="AN3721">
        <v>10</v>
      </c>
      <c r="AO3721">
        <v>1.1999999999999999E-3</v>
      </c>
      <c r="AP3721">
        <v>-1</v>
      </c>
      <c r="AQ3721">
        <v>7.43</v>
      </c>
      <c r="AR3721">
        <v>-2.92</v>
      </c>
      <c r="AS3721">
        <v>19.71</v>
      </c>
      <c r="AT3721">
        <v>3.62</v>
      </c>
      <c r="AU3721">
        <v>88.85</v>
      </c>
      <c r="AV3721">
        <v>7</v>
      </c>
      <c r="AW3721">
        <v>4.78</v>
      </c>
      <c r="AX3721">
        <v>51.61</v>
      </c>
      <c r="AY3721">
        <v>61.44</v>
      </c>
      <c r="AZ3721">
        <v>92.08</v>
      </c>
      <c r="BA3721">
        <v>1.06</v>
      </c>
      <c r="BB3721" t="s">
        <v>168</v>
      </c>
      <c r="BF3721">
        <v>-4.33</v>
      </c>
      <c r="BG3721">
        <v>-5.99</v>
      </c>
      <c r="BH3721">
        <v>-6.56</v>
      </c>
      <c r="BI3721">
        <v>0.33</v>
      </c>
      <c r="BJ3721">
        <v>20210823</v>
      </c>
      <c r="BK3721">
        <v>20171025</v>
      </c>
      <c r="BL3721">
        <v>0.88</v>
      </c>
      <c r="BM3721" t="s">
        <v>120</v>
      </c>
      <c r="BN3721" t="s">
        <v>120</v>
      </c>
      <c r="BO3721">
        <v>8.34</v>
      </c>
      <c r="BP3721">
        <v>50.97</v>
      </c>
      <c r="BQ3721">
        <v>6.01</v>
      </c>
      <c r="BR3721">
        <v>0.04</v>
      </c>
      <c r="BS3721">
        <v>27.59</v>
      </c>
      <c r="BT3721">
        <v>4.62</v>
      </c>
      <c r="BU3721">
        <v>2.2000000000000002</v>
      </c>
      <c r="BV3721">
        <v>0.36</v>
      </c>
      <c r="BW3721">
        <v>2.2400000000000002</v>
      </c>
      <c r="BX3721">
        <v>2.0699999999999998</v>
      </c>
      <c r="BY3721">
        <v>0.69</v>
      </c>
      <c r="BZ3721">
        <v>0.93</v>
      </c>
      <c r="CA3721">
        <v>0.01</v>
      </c>
      <c r="CB3721">
        <v>2.78</v>
      </c>
      <c r="CC3721">
        <v>4.16</v>
      </c>
      <c r="CD3721">
        <v>3.12</v>
      </c>
      <c r="CE3721">
        <v>0.6</v>
      </c>
      <c r="CF3721">
        <v>0</v>
      </c>
      <c r="CG3721">
        <v>0.6</v>
      </c>
      <c r="CH3721">
        <v>0.51</v>
      </c>
      <c r="CI3721">
        <v>0.51</v>
      </c>
      <c r="CJ3721">
        <v>-3.25</v>
      </c>
      <c r="CK3721">
        <v>0.49</v>
      </c>
      <c r="CL3721">
        <v>2.19</v>
      </c>
      <c r="CM3721">
        <v>0.45</v>
      </c>
      <c r="CN3721">
        <v>-0.02</v>
      </c>
      <c r="CO3721">
        <v>8175</v>
      </c>
      <c r="CP3721">
        <v>5552</v>
      </c>
      <c r="CQ3721" t="s">
        <v>15446</v>
      </c>
      <c r="CR3721">
        <v>102.78</v>
      </c>
      <c r="CS3721">
        <v>84</v>
      </c>
      <c r="CT3721">
        <v>7.46</v>
      </c>
      <c r="CU3721">
        <v>100.24</v>
      </c>
      <c r="CV3721">
        <v>10.77</v>
      </c>
      <c r="CW3721">
        <v>0.74</v>
      </c>
      <c r="CX3721" t="s">
        <v>2614</v>
      </c>
      <c r="CY3721">
        <v>6.83</v>
      </c>
      <c r="CZ3721">
        <v>0</v>
      </c>
      <c r="DA3721">
        <v>3.16</v>
      </c>
      <c r="DB3721">
        <v>2.4900000000000002</v>
      </c>
      <c r="DC3721">
        <v>0.51</v>
      </c>
      <c r="DD3721">
        <v>71.98</v>
      </c>
      <c r="DE3721" t="s">
        <v>11104</v>
      </c>
      <c r="DF3721">
        <v>25.1</v>
      </c>
      <c r="DG3721">
        <v>14.39</v>
      </c>
      <c r="DH3721">
        <v>12.25</v>
      </c>
      <c r="DI3721">
        <v>0.17</v>
      </c>
      <c r="DJ3721">
        <v>210</v>
      </c>
      <c r="DK3721">
        <v>603722</v>
      </c>
      <c r="DL3721" t="s">
        <v>120</v>
      </c>
      <c r="DM3721" t="s">
        <v>120</v>
      </c>
      <c r="DN3721" t="s">
        <v>120</v>
      </c>
    </row>
    <row r="3722" spans="1:118">
      <c r="A3722" t="str">
        <f>"603725"</f>
        <v>603725</v>
      </c>
      <c r="B3722" t="s">
        <v>15447</v>
      </c>
      <c r="C3722">
        <v>-2.04</v>
      </c>
      <c r="D3722">
        <v>0</v>
      </c>
      <c r="E3722">
        <v>0.91</v>
      </c>
      <c r="F3722">
        <v>198</v>
      </c>
      <c r="G3722" t="s">
        <v>4399</v>
      </c>
      <c r="H3722">
        <v>2978.34</v>
      </c>
      <c r="I3722">
        <v>14.79</v>
      </c>
      <c r="J3722" t="s">
        <v>120</v>
      </c>
      <c r="K3722" t="s">
        <v>4765</v>
      </c>
      <c r="L3722">
        <v>1.66</v>
      </c>
      <c r="M3722">
        <v>8.65</v>
      </c>
      <c r="N3722">
        <v>0.97</v>
      </c>
      <c r="O3722">
        <v>1.1299999999999999</v>
      </c>
      <c r="P3722">
        <v>8.93</v>
      </c>
      <c r="Q3722">
        <v>-2.6</v>
      </c>
      <c r="R3722">
        <v>8.6</v>
      </c>
      <c r="S3722">
        <v>8.91</v>
      </c>
      <c r="T3722">
        <v>34085</v>
      </c>
      <c r="U3722">
        <v>8.65</v>
      </c>
      <c r="V3722">
        <v>8.83</v>
      </c>
      <c r="W3722">
        <v>30.49</v>
      </c>
      <c r="X3722" t="s">
        <v>2211</v>
      </c>
      <c r="Y3722" t="s">
        <v>547</v>
      </c>
      <c r="Z3722">
        <v>3.74</v>
      </c>
      <c r="AA3722">
        <v>8.74</v>
      </c>
      <c r="AB3722">
        <v>18955</v>
      </c>
      <c r="AC3722">
        <v>15130</v>
      </c>
      <c r="AD3722">
        <v>1.25</v>
      </c>
      <c r="AE3722">
        <v>20</v>
      </c>
      <c r="AF3722">
        <v>15</v>
      </c>
      <c r="AG3722" t="s">
        <v>120</v>
      </c>
      <c r="AH3722">
        <v>0.01</v>
      </c>
      <c r="AI3722" t="s">
        <v>120</v>
      </c>
      <c r="AJ3722">
        <v>2.0499999999999998</v>
      </c>
      <c r="AK3722" t="s">
        <v>4265</v>
      </c>
      <c r="AL3722">
        <v>-0.69</v>
      </c>
      <c r="AM3722">
        <v>1620</v>
      </c>
      <c r="AN3722">
        <v>21</v>
      </c>
      <c r="AO3722">
        <v>1E-3</v>
      </c>
      <c r="AP3722">
        <v>-1</v>
      </c>
      <c r="AQ3722">
        <v>4.99</v>
      </c>
      <c r="AR3722">
        <v>0.34</v>
      </c>
      <c r="AS3722">
        <v>11.9</v>
      </c>
      <c r="AT3722">
        <v>20.47</v>
      </c>
      <c r="AU3722">
        <v>22.87</v>
      </c>
      <c r="AV3722">
        <v>4</v>
      </c>
      <c r="AW3722">
        <v>2.77</v>
      </c>
      <c r="AX3722">
        <v>58.82</v>
      </c>
      <c r="AY3722">
        <v>27.06</v>
      </c>
      <c r="AZ3722">
        <v>48.3</v>
      </c>
      <c r="BA3722">
        <v>1</v>
      </c>
      <c r="BB3722" t="s">
        <v>168</v>
      </c>
      <c r="BF3722">
        <v>-1.04</v>
      </c>
      <c r="BG3722">
        <v>-2.92</v>
      </c>
      <c r="BH3722">
        <v>-3.14</v>
      </c>
      <c r="BI3722">
        <v>0.57999999999999996</v>
      </c>
      <c r="BJ3722">
        <v>20210831</v>
      </c>
      <c r="BK3722">
        <v>20170906</v>
      </c>
      <c r="BL3722">
        <v>2.09</v>
      </c>
      <c r="BM3722" t="s">
        <v>120</v>
      </c>
      <c r="BN3722" t="s">
        <v>120</v>
      </c>
      <c r="BO3722">
        <v>17.72</v>
      </c>
      <c r="BP3722">
        <v>8.6300000000000008</v>
      </c>
      <c r="BQ3722">
        <v>8.4600000000000009</v>
      </c>
      <c r="BR3722">
        <v>0.5</v>
      </c>
      <c r="BS3722">
        <v>49.42</v>
      </c>
      <c r="BT3722">
        <v>8.1999999999999993</v>
      </c>
      <c r="BU3722">
        <v>5.33</v>
      </c>
      <c r="BV3722">
        <v>0.98</v>
      </c>
      <c r="BW3722">
        <v>7.77</v>
      </c>
      <c r="BX3722">
        <v>2.48</v>
      </c>
      <c r="BY3722">
        <v>1.95</v>
      </c>
      <c r="BZ3722">
        <v>2.83</v>
      </c>
      <c r="CA3722" t="s">
        <v>120</v>
      </c>
      <c r="CB3722">
        <v>3.75</v>
      </c>
      <c r="CC3722">
        <v>6.26</v>
      </c>
      <c r="CD3722">
        <v>4.8</v>
      </c>
      <c r="CE3722">
        <v>0.39</v>
      </c>
      <c r="CF3722">
        <v>0</v>
      </c>
      <c r="CG3722">
        <v>0.39</v>
      </c>
      <c r="CH3722">
        <v>0.32</v>
      </c>
      <c r="CI3722">
        <v>0.3</v>
      </c>
      <c r="CJ3722">
        <v>-0.18</v>
      </c>
      <c r="CK3722">
        <v>0.25</v>
      </c>
      <c r="CL3722">
        <v>2.31</v>
      </c>
      <c r="CM3722">
        <v>0.5</v>
      </c>
      <c r="CN3722">
        <v>-0.28000000000000003</v>
      </c>
      <c r="CO3722">
        <v>12245</v>
      </c>
      <c r="CP3722">
        <v>10060</v>
      </c>
      <c r="CQ3722" t="s">
        <v>6489</v>
      </c>
      <c r="CR3722">
        <v>8732</v>
      </c>
      <c r="CS3722">
        <v>108.03</v>
      </c>
      <c r="CT3722">
        <v>2.14</v>
      </c>
      <c r="CU3722">
        <v>36.049999999999997</v>
      </c>
      <c r="CV3722">
        <v>2.89</v>
      </c>
      <c r="CW3722">
        <v>1.1299999999999999</v>
      </c>
      <c r="CX3722" t="s">
        <v>300</v>
      </c>
      <c r="CY3722">
        <v>4.04</v>
      </c>
      <c r="CZ3722">
        <v>0</v>
      </c>
      <c r="DA3722">
        <v>1.79</v>
      </c>
      <c r="DB3722">
        <v>1.1000000000000001</v>
      </c>
      <c r="DC3722">
        <v>0.24</v>
      </c>
      <c r="DD3722">
        <v>47.75</v>
      </c>
      <c r="DE3722" t="s">
        <v>9578</v>
      </c>
      <c r="DF3722">
        <v>23.35</v>
      </c>
      <c r="DG3722">
        <v>6.26</v>
      </c>
      <c r="DH3722">
        <v>4.75</v>
      </c>
      <c r="DI3722">
        <v>0.3</v>
      </c>
      <c r="DJ3722">
        <v>1111</v>
      </c>
      <c r="DK3722">
        <v>603725</v>
      </c>
      <c r="DL3722" t="s">
        <v>120</v>
      </c>
      <c r="DM3722" t="s">
        <v>120</v>
      </c>
      <c r="DN3722" t="s">
        <v>120</v>
      </c>
    </row>
    <row r="3723" spans="1:118">
      <c r="A3723" t="str">
        <f>"603726"</f>
        <v>603726</v>
      </c>
      <c r="B3723" t="s">
        <v>15448</v>
      </c>
      <c r="C3723">
        <v>2.4700000000000002</v>
      </c>
      <c r="D3723">
        <v>-0.06</v>
      </c>
      <c r="E3723">
        <v>-0.14000000000000001</v>
      </c>
      <c r="F3723">
        <v>545</v>
      </c>
      <c r="G3723" t="s">
        <v>15449</v>
      </c>
      <c r="H3723">
        <v>7918.43</v>
      </c>
      <c r="I3723">
        <v>1.46</v>
      </c>
      <c r="J3723" t="s">
        <v>120</v>
      </c>
      <c r="K3723" t="s">
        <v>15450</v>
      </c>
      <c r="L3723">
        <v>2.79</v>
      </c>
      <c r="M3723">
        <v>14.95</v>
      </c>
      <c r="N3723">
        <v>3.54</v>
      </c>
      <c r="O3723">
        <v>7.95</v>
      </c>
      <c r="P3723">
        <v>15.75</v>
      </c>
      <c r="Q3723">
        <v>-0.82</v>
      </c>
      <c r="R3723">
        <v>14.47</v>
      </c>
      <c r="S3723">
        <v>14.57</v>
      </c>
      <c r="T3723">
        <v>51844</v>
      </c>
      <c r="U3723">
        <v>14.96</v>
      </c>
      <c r="V3723">
        <v>14.59</v>
      </c>
      <c r="W3723">
        <v>15.6</v>
      </c>
      <c r="X3723" t="s">
        <v>959</v>
      </c>
      <c r="Y3723" t="s">
        <v>585</v>
      </c>
      <c r="Z3723">
        <v>8.77</v>
      </c>
      <c r="AA3723">
        <v>15.27</v>
      </c>
      <c r="AB3723">
        <v>23634</v>
      </c>
      <c r="AC3723">
        <v>28210</v>
      </c>
      <c r="AD3723">
        <v>0.84</v>
      </c>
      <c r="AE3723">
        <v>46</v>
      </c>
      <c r="AF3723">
        <v>19</v>
      </c>
      <c r="AG3723" t="s">
        <v>120</v>
      </c>
      <c r="AH3723">
        <v>0</v>
      </c>
      <c r="AI3723" t="s">
        <v>120</v>
      </c>
      <c r="AJ3723">
        <v>1.86</v>
      </c>
      <c r="AK3723" t="s">
        <v>15450</v>
      </c>
      <c r="AL3723">
        <v>3.81</v>
      </c>
      <c r="AM3723">
        <v>2612</v>
      </c>
      <c r="AN3723">
        <v>20</v>
      </c>
      <c r="AO3723">
        <v>1.1000000000000001E-3</v>
      </c>
      <c r="AP3723">
        <v>1</v>
      </c>
      <c r="AQ3723">
        <v>-1.95</v>
      </c>
      <c r="AR3723">
        <v>1.35</v>
      </c>
      <c r="AS3723">
        <v>5.5</v>
      </c>
      <c r="AT3723">
        <v>6.4</v>
      </c>
      <c r="AU3723">
        <v>27.89</v>
      </c>
      <c r="AV3723">
        <v>4</v>
      </c>
      <c r="AW3723">
        <v>7.76</v>
      </c>
      <c r="AX3723">
        <v>35.979999999999997</v>
      </c>
      <c r="AY3723">
        <v>16.690000000000001</v>
      </c>
      <c r="AZ3723">
        <v>24.29</v>
      </c>
      <c r="BA3723">
        <v>0.69</v>
      </c>
      <c r="BB3723" t="s">
        <v>240</v>
      </c>
      <c r="BF3723">
        <v>4.6900000000000004</v>
      </c>
      <c r="BG3723">
        <v>2.61</v>
      </c>
      <c r="BH3723">
        <v>-5.08</v>
      </c>
      <c r="BI3723">
        <v>3.32</v>
      </c>
      <c r="BJ3723">
        <v>20210828</v>
      </c>
      <c r="BK3723">
        <v>20160421</v>
      </c>
      <c r="BL3723">
        <v>1.86</v>
      </c>
      <c r="BM3723" t="s">
        <v>120</v>
      </c>
      <c r="BN3723" t="s">
        <v>120</v>
      </c>
      <c r="BO3723">
        <v>19.600000000000001</v>
      </c>
      <c r="BP3723">
        <v>14.95</v>
      </c>
      <c r="BQ3723">
        <v>10.29</v>
      </c>
      <c r="BR3723">
        <v>0</v>
      </c>
      <c r="BS3723">
        <v>47.5</v>
      </c>
      <c r="BT3723">
        <v>11.11</v>
      </c>
      <c r="BU3723">
        <v>4.84</v>
      </c>
      <c r="BV3723">
        <v>0.96</v>
      </c>
      <c r="BW3723">
        <v>8.7100000000000009</v>
      </c>
      <c r="BX3723">
        <v>1.96</v>
      </c>
      <c r="BY3723">
        <v>3.27</v>
      </c>
      <c r="BZ3723">
        <v>4.29</v>
      </c>
      <c r="CA3723" t="s">
        <v>120</v>
      </c>
      <c r="CB3723">
        <v>1.74</v>
      </c>
      <c r="CC3723">
        <v>9.49</v>
      </c>
      <c r="CD3723">
        <v>7.37</v>
      </c>
      <c r="CE3723">
        <v>1.0900000000000001</v>
      </c>
      <c r="CF3723">
        <v>0.08</v>
      </c>
      <c r="CG3723">
        <v>1.07</v>
      </c>
      <c r="CH3723">
        <v>0.89</v>
      </c>
      <c r="CI3723">
        <v>0.89</v>
      </c>
      <c r="CJ3723">
        <v>0.36</v>
      </c>
      <c r="CK3723">
        <v>0.86</v>
      </c>
      <c r="CL3723">
        <v>6.17</v>
      </c>
      <c r="CM3723">
        <v>0.5</v>
      </c>
      <c r="CN3723">
        <v>-0.01</v>
      </c>
      <c r="CO3723">
        <v>11951</v>
      </c>
      <c r="CP3723">
        <v>5589</v>
      </c>
      <c r="CQ3723" t="s">
        <v>2096</v>
      </c>
      <c r="CR3723">
        <v>133.02000000000001</v>
      </c>
      <c r="CS3723">
        <v>51.13</v>
      </c>
      <c r="CT3723">
        <v>2.7</v>
      </c>
      <c r="CU3723">
        <v>55.63</v>
      </c>
      <c r="CV3723">
        <v>2.92</v>
      </c>
      <c r="CW3723">
        <v>2.74</v>
      </c>
      <c r="CX3723" t="s">
        <v>780</v>
      </c>
      <c r="CY3723">
        <v>5.54</v>
      </c>
      <c r="CZ3723">
        <v>0</v>
      </c>
      <c r="DA3723">
        <v>0.94</v>
      </c>
      <c r="DB3723">
        <v>3.32</v>
      </c>
      <c r="DC3723">
        <v>0.27</v>
      </c>
      <c r="DD3723">
        <v>52.5</v>
      </c>
      <c r="DE3723" t="s">
        <v>14927</v>
      </c>
      <c r="DF3723">
        <v>22.38</v>
      </c>
      <c r="DG3723">
        <v>11.45</v>
      </c>
      <c r="DH3723">
        <v>9.3699999999999992</v>
      </c>
      <c r="DI3723">
        <v>0.43</v>
      </c>
      <c r="DJ3723">
        <v>2841</v>
      </c>
      <c r="DK3723">
        <v>603726</v>
      </c>
      <c r="DL3723" t="s">
        <v>120</v>
      </c>
      <c r="DM3723" t="s">
        <v>120</v>
      </c>
      <c r="DN3723" t="s">
        <v>120</v>
      </c>
    </row>
    <row r="3724" spans="1:118">
      <c r="A3724" t="str">
        <f>"603727"</f>
        <v>603727</v>
      </c>
      <c r="B3724" t="s">
        <v>15451</v>
      </c>
      <c r="C3724">
        <v>5.56</v>
      </c>
      <c r="D3724">
        <v>-0.16</v>
      </c>
      <c r="E3724">
        <v>1.55</v>
      </c>
      <c r="F3724">
        <v>1281</v>
      </c>
      <c r="G3724" t="s">
        <v>5897</v>
      </c>
      <c r="H3724">
        <v>63122.87</v>
      </c>
      <c r="I3724">
        <v>939.39</v>
      </c>
      <c r="J3724" t="s">
        <v>120</v>
      </c>
      <c r="K3724" t="s">
        <v>1990</v>
      </c>
      <c r="L3724">
        <v>9</v>
      </c>
      <c r="M3724">
        <v>30</v>
      </c>
      <c r="N3724">
        <v>2.0099999999999998</v>
      </c>
      <c r="O3724">
        <v>9.64</v>
      </c>
      <c r="P3724">
        <v>31.16</v>
      </c>
      <c r="Q3724">
        <v>0</v>
      </c>
      <c r="R3724">
        <v>28.42</v>
      </c>
      <c r="S3724">
        <v>28.86</v>
      </c>
      <c r="T3724">
        <v>210831</v>
      </c>
      <c r="U3724">
        <v>30.01</v>
      </c>
      <c r="V3724">
        <v>28.42</v>
      </c>
      <c r="W3724">
        <v>29.62</v>
      </c>
      <c r="X3724" t="s">
        <v>3867</v>
      </c>
      <c r="Y3724" t="s">
        <v>997</v>
      </c>
      <c r="Z3724">
        <v>9.64</v>
      </c>
      <c r="AA3724">
        <v>29.94</v>
      </c>
      <c r="AB3724">
        <v>91098</v>
      </c>
      <c r="AC3724">
        <v>119733</v>
      </c>
      <c r="AD3724">
        <v>0.76</v>
      </c>
      <c r="AE3724">
        <v>686</v>
      </c>
      <c r="AF3724">
        <v>76</v>
      </c>
      <c r="AG3724" t="s">
        <v>120</v>
      </c>
      <c r="AH3724">
        <v>0.34</v>
      </c>
      <c r="AI3724" t="s">
        <v>120</v>
      </c>
      <c r="AJ3724">
        <v>2.34</v>
      </c>
      <c r="AK3724" t="s">
        <v>15452</v>
      </c>
      <c r="AL3724">
        <v>6.9</v>
      </c>
      <c r="AM3724">
        <v>4218</v>
      </c>
      <c r="AN3724">
        <v>50</v>
      </c>
      <c r="AO3724">
        <v>2.0999999999999999E-3</v>
      </c>
      <c r="AP3724">
        <v>4</v>
      </c>
      <c r="AQ3724">
        <v>9.98</v>
      </c>
      <c r="AR3724">
        <v>24.22</v>
      </c>
      <c r="AS3724">
        <v>54.8</v>
      </c>
      <c r="AT3724">
        <v>58.48</v>
      </c>
      <c r="AU3724">
        <v>91.94</v>
      </c>
      <c r="AV3724">
        <v>1</v>
      </c>
      <c r="AW3724">
        <v>22.21</v>
      </c>
      <c r="AX3724">
        <v>33.11</v>
      </c>
      <c r="AY3724">
        <v>34.71</v>
      </c>
      <c r="AZ3724">
        <v>61.91</v>
      </c>
      <c r="BA3724">
        <v>0.98</v>
      </c>
      <c r="BB3724" t="s">
        <v>184</v>
      </c>
      <c r="BF3724">
        <v>5.35</v>
      </c>
      <c r="BG3724">
        <v>3.95</v>
      </c>
      <c r="BH3724">
        <v>-3.72</v>
      </c>
      <c r="BI3724">
        <v>5.56</v>
      </c>
      <c r="BJ3724">
        <v>20210730</v>
      </c>
      <c r="BK3724">
        <v>20161122</v>
      </c>
      <c r="BL3724">
        <v>2.87</v>
      </c>
      <c r="BM3724" t="s">
        <v>120</v>
      </c>
      <c r="BN3724" t="s">
        <v>120</v>
      </c>
      <c r="BO3724">
        <v>46.33</v>
      </c>
      <c r="BP3724">
        <v>30</v>
      </c>
      <c r="BQ3724">
        <v>25.33</v>
      </c>
      <c r="BR3724">
        <v>0</v>
      </c>
      <c r="BS3724">
        <v>45.32</v>
      </c>
      <c r="BT3724">
        <v>28.3</v>
      </c>
      <c r="BU3724">
        <v>10.14</v>
      </c>
      <c r="BV3724">
        <v>3.97</v>
      </c>
      <c r="BW3724">
        <v>20.07</v>
      </c>
      <c r="BX3724">
        <v>8.16</v>
      </c>
      <c r="BY3724">
        <v>3.94</v>
      </c>
      <c r="BZ3724">
        <v>1.95</v>
      </c>
      <c r="CA3724" t="s">
        <v>120</v>
      </c>
      <c r="CB3724">
        <v>15.05</v>
      </c>
      <c r="CC3724">
        <v>19.95</v>
      </c>
      <c r="CD3724">
        <v>17.23</v>
      </c>
      <c r="CE3724">
        <v>1.62</v>
      </c>
      <c r="CF3724">
        <v>0.02</v>
      </c>
      <c r="CG3724">
        <v>1.58</v>
      </c>
      <c r="CH3724">
        <v>1.45</v>
      </c>
      <c r="CI3724">
        <v>1.45</v>
      </c>
      <c r="CJ3724">
        <v>1.58</v>
      </c>
      <c r="CK3724">
        <v>1.33</v>
      </c>
      <c r="CL3724">
        <v>8.32</v>
      </c>
      <c r="CM3724">
        <v>1.46</v>
      </c>
      <c r="CN3724">
        <v>1.65</v>
      </c>
      <c r="CO3724">
        <v>18852</v>
      </c>
      <c r="CP3724">
        <v>5036</v>
      </c>
      <c r="CQ3724" t="s">
        <v>6693</v>
      </c>
      <c r="CR3724">
        <v>244.92</v>
      </c>
      <c r="CS3724">
        <v>106.36</v>
      </c>
      <c r="CT3724">
        <v>2.77</v>
      </c>
      <c r="CU3724">
        <v>59.08</v>
      </c>
      <c r="CV3724">
        <v>4.3099999999999996</v>
      </c>
      <c r="CW3724">
        <v>0.7</v>
      </c>
      <c r="CX3724" t="s">
        <v>2039</v>
      </c>
      <c r="CY3724">
        <v>10.82</v>
      </c>
      <c r="CZ3724">
        <v>10.82</v>
      </c>
      <c r="DA3724">
        <v>5.25</v>
      </c>
      <c r="DB3724">
        <v>2.9</v>
      </c>
      <c r="DC3724">
        <v>0.51</v>
      </c>
      <c r="DD3724">
        <v>54.68</v>
      </c>
      <c r="DE3724" t="s">
        <v>6718</v>
      </c>
      <c r="DF3724">
        <v>13.66</v>
      </c>
      <c r="DG3724">
        <v>8.11</v>
      </c>
      <c r="DH3724">
        <v>7.28</v>
      </c>
      <c r="DI3724">
        <v>0.77</v>
      </c>
      <c r="DJ3724">
        <v>1248</v>
      </c>
      <c r="DK3724">
        <v>603727</v>
      </c>
      <c r="DL3724" t="s">
        <v>120</v>
      </c>
      <c r="DM3724" t="s">
        <v>120</v>
      </c>
      <c r="DN3724" t="s">
        <v>120</v>
      </c>
    </row>
    <row r="3725" spans="1:118">
      <c r="A3725" t="str">
        <f>"603728"</f>
        <v>603728</v>
      </c>
      <c r="B3725" t="s">
        <v>15453</v>
      </c>
      <c r="C3725">
        <v>-1.0900000000000001</v>
      </c>
      <c r="D3725">
        <v>0.11</v>
      </c>
      <c r="E3725">
        <v>0.82</v>
      </c>
      <c r="F3725">
        <v>116</v>
      </c>
      <c r="G3725" t="s">
        <v>15454</v>
      </c>
      <c r="H3725">
        <v>4340.78</v>
      </c>
      <c r="I3725">
        <v>10.7</v>
      </c>
      <c r="J3725" t="s">
        <v>120</v>
      </c>
      <c r="K3725" t="s">
        <v>15455</v>
      </c>
      <c r="L3725">
        <v>0.57999999999999996</v>
      </c>
      <c r="M3725">
        <v>18.09</v>
      </c>
      <c r="N3725">
        <v>0.74</v>
      </c>
      <c r="O3725">
        <v>1.26</v>
      </c>
      <c r="P3725">
        <v>18.52</v>
      </c>
      <c r="Q3725">
        <v>-2.08</v>
      </c>
      <c r="R3725">
        <v>17.91</v>
      </c>
      <c r="S3725">
        <v>18.440000000000001</v>
      </c>
      <c r="T3725">
        <v>23928</v>
      </c>
      <c r="U3725">
        <v>18.100000000000001</v>
      </c>
      <c r="V3725">
        <v>18.29</v>
      </c>
      <c r="W3725">
        <v>29.48</v>
      </c>
      <c r="X3725" t="s">
        <v>394</v>
      </c>
      <c r="Y3725" t="s">
        <v>1510</v>
      </c>
      <c r="Z3725">
        <v>3.34</v>
      </c>
      <c r="AA3725">
        <v>18.14</v>
      </c>
      <c r="AB3725">
        <v>12912</v>
      </c>
      <c r="AC3725">
        <v>11016</v>
      </c>
      <c r="AD3725">
        <v>1.17</v>
      </c>
      <c r="AE3725">
        <v>115</v>
      </c>
      <c r="AF3725">
        <v>13</v>
      </c>
      <c r="AG3725" t="s">
        <v>120</v>
      </c>
      <c r="AH3725">
        <v>0</v>
      </c>
      <c r="AI3725" t="s">
        <v>120</v>
      </c>
      <c r="AJ3725">
        <v>4.16</v>
      </c>
      <c r="AK3725" t="s">
        <v>15456</v>
      </c>
      <c r="AL3725">
        <v>0.25</v>
      </c>
      <c r="AM3725">
        <v>1781</v>
      </c>
      <c r="AN3725">
        <v>13</v>
      </c>
      <c r="AO3725">
        <v>2.9999999999999997E-4</v>
      </c>
      <c r="AP3725">
        <v>-1</v>
      </c>
      <c r="AQ3725">
        <v>0.66</v>
      </c>
      <c r="AR3725">
        <v>-2.48</v>
      </c>
      <c r="AS3725">
        <v>6.66</v>
      </c>
      <c r="AT3725">
        <v>8.52</v>
      </c>
      <c r="AU3725">
        <v>16.47</v>
      </c>
      <c r="AV3725">
        <v>4</v>
      </c>
      <c r="AW3725">
        <v>1.73</v>
      </c>
      <c r="AX3725">
        <v>32.85</v>
      </c>
      <c r="AY3725">
        <v>30.69</v>
      </c>
      <c r="AZ3725">
        <v>38.270000000000003</v>
      </c>
      <c r="BA3725">
        <v>1.59</v>
      </c>
      <c r="BB3725" t="s">
        <v>143</v>
      </c>
      <c r="BF3725">
        <v>-0.82</v>
      </c>
      <c r="BG3725">
        <v>-1.9</v>
      </c>
      <c r="BH3725">
        <v>-2.3199999999999998</v>
      </c>
      <c r="BI3725">
        <v>1.01</v>
      </c>
      <c r="BJ3725">
        <v>20210830</v>
      </c>
      <c r="BK3725">
        <v>20170509</v>
      </c>
      <c r="BL3725">
        <v>4.2</v>
      </c>
      <c r="BM3725" t="s">
        <v>120</v>
      </c>
      <c r="BN3725" t="s">
        <v>120</v>
      </c>
      <c r="BO3725">
        <v>29.74</v>
      </c>
      <c r="BP3725">
        <v>18.09</v>
      </c>
      <c r="BQ3725">
        <v>22.82</v>
      </c>
      <c r="BR3725">
        <v>0.03</v>
      </c>
      <c r="BS3725">
        <v>23.17</v>
      </c>
      <c r="BT3725">
        <v>17.72</v>
      </c>
      <c r="BU3725">
        <v>2.35</v>
      </c>
      <c r="BV3725">
        <v>0.97</v>
      </c>
      <c r="BW3725">
        <v>6.09</v>
      </c>
      <c r="BX3725">
        <v>5.94</v>
      </c>
      <c r="BY3725">
        <v>4.8099999999999996</v>
      </c>
      <c r="BZ3725">
        <v>5.23</v>
      </c>
      <c r="CA3725" t="s">
        <v>120</v>
      </c>
      <c r="CB3725">
        <v>7.67</v>
      </c>
      <c r="CC3725">
        <v>12.92</v>
      </c>
      <c r="CD3725">
        <v>8</v>
      </c>
      <c r="CE3725">
        <v>1.51</v>
      </c>
      <c r="CF3725">
        <v>0</v>
      </c>
      <c r="CG3725">
        <v>1.51</v>
      </c>
      <c r="CH3725">
        <v>1.3</v>
      </c>
      <c r="CI3725">
        <v>1.29</v>
      </c>
      <c r="CJ3725">
        <v>-0.2</v>
      </c>
      <c r="CK3725">
        <v>1.22</v>
      </c>
      <c r="CL3725">
        <v>10.74</v>
      </c>
      <c r="CM3725">
        <v>0.57999999999999996</v>
      </c>
      <c r="CN3725">
        <v>-0.94</v>
      </c>
      <c r="CO3725">
        <v>11884</v>
      </c>
      <c r="CP3725">
        <v>11613</v>
      </c>
      <c r="CQ3725" t="s">
        <v>1374</v>
      </c>
      <c r="CR3725">
        <v>62.53</v>
      </c>
      <c r="CS3725">
        <v>30.75</v>
      </c>
      <c r="CT3725">
        <v>3.33</v>
      </c>
      <c r="CU3725">
        <v>130.16999999999999</v>
      </c>
      <c r="CV3725">
        <v>5.88</v>
      </c>
      <c r="CW3725">
        <v>0.27</v>
      </c>
      <c r="CX3725" t="s">
        <v>2752</v>
      </c>
      <c r="CY3725">
        <v>5.43</v>
      </c>
      <c r="CZ3725">
        <v>0</v>
      </c>
      <c r="DA3725">
        <v>1.83</v>
      </c>
      <c r="DB3725">
        <v>2.56</v>
      </c>
      <c r="DC3725">
        <v>0.14000000000000001</v>
      </c>
      <c r="DD3725">
        <v>76.73</v>
      </c>
      <c r="DE3725" t="s">
        <v>4488</v>
      </c>
      <c r="DF3725">
        <v>38.1</v>
      </c>
      <c r="DG3725">
        <v>11.69</v>
      </c>
      <c r="DH3725">
        <v>9.9700000000000006</v>
      </c>
      <c r="DI3725">
        <v>0.9</v>
      </c>
      <c r="DJ3725">
        <v>3101</v>
      </c>
      <c r="DK3725">
        <v>603728</v>
      </c>
      <c r="DL3725" t="s">
        <v>120</v>
      </c>
      <c r="DM3725" t="s">
        <v>120</v>
      </c>
      <c r="DN3725" t="s">
        <v>120</v>
      </c>
    </row>
    <row r="3726" spans="1:118">
      <c r="A3726" t="str">
        <f>"603730"</f>
        <v>603730</v>
      </c>
      <c r="B3726" t="s">
        <v>15457</v>
      </c>
      <c r="C3726">
        <v>3.09</v>
      </c>
      <c r="D3726">
        <v>0.06</v>
      </c>
      <c r="E3726">
        <v>0.5</v>
      </c>
      <c r="F3726">
        <v>73</v>
      </c>
      <c r="G3726" t="s">
        <v>6557</v>
      </c>
      <c r="H3726">
        <v>3250.42</v>
      </c>
      <c r="I3726">
        <v>3.09</v>
      </c>
      <c r="J3726" t="s">
        <v>120</v>
      </c>
      <c r="K3726" t="s">
        <v>15458</v>
      </c>
      <c r="L3726">
        <v>0.27</v>
      </c>
      <c r="M3726">
        <v>16.66</v>
      </c>
      <c r="N3726">
        <v>0.98</v>
      </c>
      <c r="O3726">
        <v>4.95</v>
      </c>
      <c r="P3726">
        <v>16.96</v>
      </c>
      <c r="Q3726">
        <v>-0.19</v>
      </c>
      <c r="R3726">
        <v>16.13</v>
      </c>
      <c r="S3726">
        <v>16.239999999999998</v>
      </c>
      <c r="T3726">
        <v>19487</v>
      </c>
      <c r="U3726">
        <v>16.670000000000002</v>
      </c>
      <c r="V3726">
        <v>16.16</v>
      </c>
      <c r="W3726">
        <v>20.02</v>
      </c>
      <c r="X3726" t="s">
        <v>289</v>
      </c>
      <c r="Y3726" t="s">
        <v>1510</v>
      </c>
      <c r="Z3726">
        <v>5.14</v>
      </c>
      <c r="AA3726">
        <v>16.68</v>
      </c>
      <c r="AB3726">
        <v>8713</v>
      </c>
      <c r="AC3726">
        <v>10774</v>
      </c>
      <c r="AD3726">
        <v>0.81</v>
      </c>
      <c r="AE3726">
        <v>26</v>
      </c>
      <c r="AF3726">
        <v>49</v>
      </c>
      <c r="AG3726" t="s">
        <v>120</v>
      </c>
      <c r="AH3726">
        <v>0</v>
      </c>
      <c r="AI3726" t="s">
        <v>120</v>
      </c>
      <c r="AJ3726">
        <v>7.24</v>
      </c>
      <c r="AK3726" t="s">
        <v>15458</v>
      </c>
      <c r="AL3726">
        <v>4.4400000000000004</v>
      </c>
      <c r="AM3726">
        <v>1734</v>
      </c>
      <c r="AN3726">
        <v>11</v>
      </c>
      <c r="AO3726">
        <v>2.0000000000000001E-4</v>
      </c>
      <c r="AP3726">
        <v>1</v>
      </c>
      <c r="AQ3726">
        <v>-2.1800000000000002</v>
      </c>
      <c r="AR3726">
        <v>-3.7</v>
      </c>
      <c r="AS3726">
        <v>4.9800000000000004</v>
      </c>
      <c r="AT3726">
        <v>-12.41</v>
      </c>
      <c r="AU3726">
        <v>-25.76</v>
      </c>
      <c r="AV3726">
        <v>1</v>
      </c>
      <c r="AW3726">
        <v>1.4</v>
      </c>
      <c r="AX3726">
        <v>19.22</v>
      </c>
      <c r="AY3726">
        <v>21.93</v>
      </c>
      <c r="AZ3726">
        <v>29.78</v>
      </c>
      <c r="BA3726">
        <v>1.08</v>
      </c>
      <c r="BB3726" t="s">
        <v>2725</v>
      </c>
      <c r="BF3726">
        <v>3.22</v>
      </c>
      <c r="BG3726">
        <v>2.59</v>
      </c>
      <c r="BH3726">
        <v>-1.77</v>
      </c>
      <c r="BI3726">
        <v>3.29</v>
      </c>
      <c r="BJ3726">
        <v>20210827</v>
      </c>
      <c r="BK3726">
        <v>20170728</v>
      </c>
      <c r="BL3726">
        <v>7.24</v>
      </c>
      <c r="BM3726" t="s">
        <v>120</v>
      </c>
      <c r="BN3726" t="s">
        <v>120</v>
      </c>
      <c r="BO3726">
        <v>52.24</v>
      </c>
      <c r="BP3726">
        <v>16.66</v>
      </c>
      <c r="BQ3726">
        <v>39.1</v>
      </c>
      <c r="BR3726">
        <v>0.04</v>
      </c>
      <c r="BS3726">
        <v>25.09</v>
      </c>
      <c r="BT3726">
        <v>32.19</v>
      </c>
      <c r="BU3726">
        <v>9.7799999999999994</v>
      </c>
      <c r="BV3726">
        <v>3.23</v>
      </c>
      <c r="BW3726">
        <v>10.19</v>
      </c>
      <c r="BX3726">
        <v>5.25</v>
      </c>
      <c r="BY3726">
        <v>12.88</v>
      </c>
      <c r="BZ3726">
        <v>9.0299999999999994</v>
      </c>
      <c r="CA3726" t="s">
        <v>120</v>
      </c>
      <c r="CB3726">
        <v>5.99</v>
      </c>
      <c r="CC3726">
        <v>22.03</v>
      </c>
      <c r="CD3726">
        <v>15.5</v>
      </c>
      <c r="CE3726">
        <v>3.79</v>
      </c>
      <c r="CF3726">
        <v>0.83</v>
      </c>
      <c r="CG3726">
        <v>3.64</v>
      </c>
      <c r="CH3726">
        <v>3.01</v>
      </c>
      <c r="CI3726">
        <v>3.01</v>
      </c>
      <c r="CJ3726">
        <v>0.5</v>
      </c>
      <c r="CK3726">
        <v>2.8</v>
      </c>
      <c r="CL3726">
        <v>22.72</v>
      </c>
      <c r="CM3726">
        <v>0.77</v>
      </c>
      <c r="CN3726">
        <v>-1.93</v>
      </c>
      <c r="CO3726">
        <v>8542</v>
      </c>
      <c r="CP3726">
        <v>16299</v>
      </c>
      <c r="CQ3726" t="s">
        <v>15459</v>
      </c>
      <c r="CR3726">
        <v>87.56</v>
      </c>
      <c r="CS3726">
        <v>32.32</v>
      </c>
      <c r="CT3726">
        <v>3.09</v>
      </c>
      <c r="CU3726">
        <v>157.59</v>
      </c>
      <c r="CV3726">
        <v>5.48</v>
      </c>
      <c r="CW3726">
        <v>2.48</v>
      </c>
      <c r="CX3726" t="s">
        <v>1327</v>
      </c>
      <c r="CY3726">
        <v>5.4</v>
      </c>
      <c r="CZ3726">
        <v>0</v>
      </c>
      <c r="DA3726">
        <v>0.83</v>
      </c>
      <c r="DB3726">
        <v>3.14</v>
      </c>
      <c r="DC3726">
        <v>0.11</v>
      </c>
      <c r="DD3726">
        <v>74.84</v>
      </c>
      <c r="DE3726" t="s">
        <v>10155</v>
      </c>
      <c r="DF3726">
        <v>29.63</v>
      </c>
      <c r="DG3726">
        <v>17.18</v>
      </c>
      <c r="DH3726">
        <v>13.68</v>
      </c>
      <c r="DI3726">
        <v>0.84</v>
      </c>
      <c r="DJ3726">
        <v>8038</v>
      </c>
      <c r="DK3726">
        <v>603730</v>
      </c>
      <c r="DL3726" t="s">
        <v>120</v>
      </c>
      <c r="DM3726" t="s">
        <v>120</v>
      </c>
      <c r="DN3726" t="s">
        <v>120</v>
      </c>
    </row>
    <row r="3727" spans="1:118">
      <c r="A3727" t="str">
        <f>"603733"</f>
        <v>603733</v>
      </c>
      <c r="B3727" t="s">
        <v>15460</v>
      </c>
      <c r="C3727">
        <v>-2.94</v>
      </c>
      <c r="D3727">
        <v>0.09</v>
      </c>
      <c r="E3727">
        <v>0.56000000000000005</v>
      </c>
      <c r="F3727">
        <v>347</v>
      </c>
      <c r="G3727" t="s">
        <v>15461</v>
      </c>
      <c r="H3727">
        <v>11207.09</v>
      </c>
      <c r="I3727">
        <v>31.12</v>
      </c>
      <c r="J3727" t="s">
        <v>120</v>
      </c>
      <c r="K3727" t="s">
        <v>15462</v>
      </c>
      <c r="L3727">
        <v>0.47</v>
      </c>
      <c r="M3727">
        <v>33.01</v>
      </c>
      <c r="N3727">
        <v>1.0900000000000001</v>
      </c>
      <c r="O3727">
        <v>0.85</v>
      </c>
      <c r="P3727">
        <v>34.299999999999997</v>
      </c>
      <c r="Q3727">
        <v>-3.12</v>
      </c>
      <c r="R3727">
        <v>32.950000000000003</v>
      </c>
      <c r="S3727">
        <v>34.200000000000003</v>
      </c>
      <c r="T3727">
        <v>33504</v>
      </c>
      <c r="U3727">
        <v>33.01</v>
      </c>
      <c r="V3727">
        <v>34.01</v>
      </c>
      <c r="W3727">
        <v>19.14</v>
      </c>
      <c r="X3727" t="s">
        <v>814</v>
      </c>
      <c r="Y3727" t="s">
        <v>585</v>
      </c>
      <c r="Z3727">
        <v>3.97</v>
      </c>
      <c r="AA3727">
        <v>33.450000000000003</v>
      </c>
      <c r="AB3727">
        <v>16957</v>
      </c>
      <c r="AC3727">
        <v>16547</v>
      </c>
      <c r="AD3727">
        <v>1.02</v>
      </c>
      <c r="AE3727">
        <v>5</v>
      </c>
      <c r="AF3727">
        <v>28</v>
      </c>
      <c r="AG3727" t="s">
        <v>120</v>
      </c>
      <c r="AH3727">
        <v>0.01</v>
      </c>
      <c r="AI3727" t="s">
        <v>120</v>
      </c>
      <c r="AJ3727">
        <v>7.06</v>
      </c>
      <c r="AK3727" t="s">
        <v>15462</v>
      </c>
      <c r="AL3727">
        <v>-1.6</v>
      </c>
      <c r="AM3727">
        <v>2613</v>
      </c>
      <c r="AN3727">
        <v>13</v>
      </c>
      <c r="AO3727">
        <v>2.0000000000000001E-4</v>
      </c>
      <c r="AP3727">
        <v>-6</v>
      </c>
      <c r="AQ3727">
        <v>-1.31</v>
      </c>
      <c r="AR3727">
        <v>-4.82</v>
      </c>
      <c r="AS3727">
        <v>-11.31</v>
      </c>
      <c r="AT3727">
        <v>0.98</v>
      </c>
      <c r="AU3727">
        <v>33.700000000000003</v>
      </c>
      <c r="AV3727">
        <v>2</v>
      </c>
      <c r="AW3727">
        <v>2.15</v>
      </c>
      <c r="AX3727">
        <v>22.09</v>
      </c>
      <c r="AY3727">
        <v>23.01</v>
      </c>
      <c r="AZ3727">
        <v>33.479999999999997</v>
      </c>
      <c r="BA3727">
        <v>0.59</v>
      </c>
      <c r="BB3727" t="s">
        <v>134</v>
      </c>
      <c r="BF3727">
        <v>-1.65</v>
      </c>
      <c r="BG3727">
        <v>-3.48</v>
      </c>
      <c r="BH3727">
        <v>-3.76</v>
      </c>
      <c r="BI3727">
        <v>0.18</v>
      </c>
      <c r="BJ3727">
        <v>20210806</v>
      </c>
      <c r="BK3727">
        <v>20180420</v>
      </c>
      <c r="BL3727">
        <v>7.06</v>
      </c>
      <c r="BM3727" t="s">
        <v>120</v>
      </c>
      <c r="BN3727" t="s">
        <v>120</v>
      </c>
      <c r="BO3727">
        <v>83.24</v>
      </c>
      <c r="BP3727">
        <v>33</v>
      </c>
      <c r="BQ3727">
        <v>57.45</v>
      </c>
      <c r="BR3727">
        <v>0.27</v>
      </c>
      <c r="BS3727">
        <v>30.66</v>
      </c>
      <c r="BT3727">
        <v>40.72</v>
      </c>
      <c r="BU3727">
        <v>25.02</v>
      </c>
      <c r="BV3727">
        <v>5.1100000000000003</v>
      </c>
      <c r="BW3727">
        <v>21.94</v>
      </c>
      <c r="BX3727">
        <v>3.83</v>
      </c>
      <c r="BY3727">
        <v>14.13</v>
      </c>
      <c r="BZ3727">
        <v>10.86</v>
      </c>
      <c r="CA3727" t="s">
        <v>120</v>
      </c>
      <c r="CB3727">
        <v>30.64</v>
      </c>
      <c r="CC3727">
        <v>28.86</v>
      </c>
      <c r="CD3727">
        <v>21.66</v>
      </c>
      <c r="CE3727">
        <v>7.02</v>
      </c>
      <c r="CF3727">
        <v>1.58</v>
      </c>
      <c r="CG3727">
        <v>7.04</v>
      </c>
      <c r="CH3727">
        <v>6.1</v>
      </c>
      <c r="CI3727">
        <v>6.09</v>
      </c>
      <c r="CJ3727">
        <v>-1</v>
      </c>
      <c r="CK3727">
        <v>5.88</v>
      </c>
      <c r="CL3727">
        <v>18.149999999999999</v>
      </c>
      <c r="CM3727">
        <v>5.13</v>
      </c>
      <c r="CN3727">
        <v>-1.21</v>
      </c>
      <c r="CO3727">
        <v>19066</v>
      </c>
      <c r="CP3727">
        <v>8181</v>
      </c>
      <c r="CQ3727" t="s">
        <v>693</v>
      </c>
      <c r="CR3727">
        <v>115.58</v>
      </c>
      <c r="CS3727">
        <v>42.02</v>
      </c>
      <c r="CT3727">
        <v>4.0599999999999996</v>
      </c>
      <c r="CU3727">
        <v>45.47</v>
      </c>
      <c r="CV3727">
        <v>8.07</v>
      </c>
      <c r="CW3727">
        <v>0.91</v>
      </c>
      <c r="CX3727" t="s">
        <v>10202</v>
      </c>
      <c r="CY3727">
        <v>8.14</v>
      </c>
      <c r="CZ3727">
        <v>0</v>
      </c>
      <c r="DA3727">
        <v>4.34</v>
      </c>
      <c r="DB3727">
        <v>2.57</v>
      </c>
      <c r="DC3727">
        <v>0.73</v>
      </c>
      <c r="DD3727">
        <v>69.010000000000005</v>
      </c>
      <c r="DE3727" t="s">
        <v>15463</v>
      </c>
      <c r="DF3727">
        <v>24.96</v>
      </c>
      <c r="DG3727">
        <v>24.33</v>
      </c>
      <c r="DH3727">
        <v>21.1</v>
      </c>
      <c r="DI3727">
        <v>0.81</v>
      </c>
      <c r="DJ3727">
        <v>3517</v>
      </c>
      <c r="DK3727">
        <v>603733</v>
      </c>
      <c r="DL3727" t="s">
        <v>120</v>
      </c>
      <c r="DM3727" t="s">
        <v>120</v>
      </c>
      <c r="DN3727" t="s">
        <v>120</v>
      </c>
    </row>
    <row r="3728" spans="1:118">
      <c r="A3728" t="str">
        <f>"603737"</f>
        <v>603737</v>
      </c>
      <c r="B3728" t="s">
        <v>15464</v>
      </c>
      <c r="C3728">
        <v>-5.82</v>
      </c>
      <c r="D3728">
        <v>0</v>
      </c>
      <c r="E3728">
        <v>-0.79</v>
      </c>
      <c r="F3728">
        <v>797</v>
      </c>
      <c r="G3728" t="s">
        <v>14129</v>
      </c>
      <c r="H3728">
        <v>89697.16</v>
      </c>
      <c r="I3728">
        <v>231.76</v>
      </c>
      <c r="J3728" t="s">
        <v>120</v>
      </c>
      <c r="K3728" t="s">
        <v>15465</v>
      </c>
      <c r="L3728">
        <v>2.23</v>
      </c>
      <c r="M3728">
        <v>110</v>
      </c>
      <c r="N3728">
        <v>3.15</v>
      </c>
      <c r="O3728">
        <v>0.09</v>
      </c>
      <c r="P3728">
        <v>116.91</v>
      </c>
      <c r="Q3728">
        <v>-8.77</v>
      </c>
      <c r="R3728">
        <v>106.56</v>
      </c>
      <c r="S3728">
        <v>115.88</v>
      </c>
      <c r="T3728">
        <v>81532</v>
      </c>
      <c r="U3728">
        <v>110.01</v>
      </c>
      <c r="V3728">
        <v>116.8</v>
      </c>
      <c r="W3728">
        <v>183.18</v>
      </c>
      <c r="X3728" t="s">
        <v>1145</v>
      </c>
      <c r="Y3728" t="s">
        <v>937</v>
      </c>
      <c r="Z3728">
        <v>8.86</v>
      </c>
      <c r="AA3728">
        <v>110.01</v>
      </c>
      <c r="AB3728">
        <v>37579</v>
      </c>
      <c r="AC3728">
        <v>43953</v>
      </c>
      <c r="AD3728">
        <v>0.85</v>
      </c>
      <c r="AE3728">
        <v>25</v>
      </c>
      <c r="AF3728">
        <v>12</v>
      </c>
      <c r="AG3728" t="s">
        <v>120</v>
      </c>
      <c r="AH3728">
        <v>0.02</v>
      </c>
      <c r="AI3728" t="s">
        <v>120</v>
      </c>
      <c r="AJ3728">
        <v>3.65</v>
      </c>
      <c r="AK3728" t="s">
        <v>15466</v>
      </c>
      <c r="AL3728">
        <v>-4.4800000000000004</v>
      </c>
      <c r="AM3728">
        <v>4285</v>
      </c>
      <c r="AN3728">
        <v>19</v>
      </c>
      <c r="AO3728">
        <v>5.0000000000000001E-4</v>
      </c>
      <c r="AP3728">
        <v>-8</v>
      </c>
      <c r="AQ3728">
        <v>-3.47</v>
      </c>
      <c r="AR3728">
        <v>-14.83</v>
      </c>
      <c r="AS3728">
        <v>-29.09</v>
      </c>
      <c r="AT3728">
        <v>-39.1</v>
      </c>
      <c r="AU3728">
        <v>2.0299999999999998</v>
      </c>
      <c r="AV3728">
        <v>4</v>
      </c>
      <c r="AW3728">
        <v>6.57</v>
      </c>
      <c r="AX3728">
        <v>32.979999999999997</v>
      </c>
      <c r="AY3728">
        <v>86.89</v>
      </c>
      <c r="AZ3728">
        <v>87.63</v>
      </c>
      <c r="BA3728">
        <v>0.96</v>
      </c>
      <c r="BB3728" t="s">
        <v>1723</v>
      </c>
      <c r="BF3728">
        <v>-5.81</v>
      </c>
      <c r="BG3728">
        <v>-5.07</v>
      </c>
      <c r="BH3728">
        <v>-5.91</v>
      </c>
      <c r="BI3728">
        <v>3.23</v>
      </c>
      <c r="BJ3728">
        <v>20210731</v>
      </c>
      <c r="BK3728">
        <v>20160603</v>
      </c>
      <c r="BL3728">
        <v>3.76</v>
      </c>
      <c r="BM3728" t="s">
        <v>120</v>
      </c>
      <c r="BN3728" t="s">
        <v>120</v>
      </c>
      <c r="BO3728">
        <v>113.99</v>
      </c>
      <c r="BP3728">
        <v>110</v>
      </c>
      <c r="BQ3728">
        <v>24.68</v>
      </c>
      <c r="BR3728">
        <v>2.52</v>
      </c>
      <c r="BS3728">
        <v>76.14</v>
      </c>
      <c r="BT3728">
        <v>67.59</v>
      </c>
      <c r="BU3728">
        <v>17.64</v>
      </c>
      <c r="BV3728">
        <v>4.33</v>
      </c>
      <c r="BW3728">
        <v>74.2</v>
      </c>
      <c r="BX3728">
        <v>7.78</v>
      </c>
      <c r="BY3728">
        <v>7.78</v>
      </c>
      <c r="BZ3728">
        <v>32.82</v>
      </c>
      <c r="CA3728" t="s">
        <v>120</v>
      </c>
      <c r="CB3728">
        <v>5.57</v>
      </c>
      <c r="CC3728">
        <v>46.83</v>
      </c>
      <c r="CD3728">
        <v>34.82</v>
      </c>
      <c r="CE3728">
        <v>1.52</v>
      </c>
      <c r="CF3728">
        <v>0</v>
      </c>
      <c r="CG3728">
        <v>1.52</v>
      </c>
      <c r="CH3728">
        <v>1.32</v>
      </c>
      <c r="CI3728">
        <v>1.1299999999999999</v>
      </c>
      <c r="CJ3728">
        <v>-6.8</v>
      </c>
      <c r="CK3728">
        <v>0.12</v>
      </c>
      <c r="CL3728">
        <v>14.16</v>
      </c>
      <c r="CM3728">
        <v>1.4</v>
      </c>
      <c r="CN3728">
        <v>-6.31</v>
      </c>
      <c r="CO3728">
        <v>12172</v>
      </c>
      <c r="CP3728">
        <v>10201</v>
      </c>
      <c r="CQ3728" t="s">
        <v>15467</v>
      </c>
      <c r="CR3728">
        <v>3.92</v>
      </c>
      <c r="CS3728">
        <v>80.510000000000005</v>
      </c>
      <c r="CT3728">
        <v>16.78</v>
      </c>
      <c r="CU3728">
        <v>295.88</v>
      </c>
      <c r="CV3728">
        <v>8.84</v>
      </c>
      <c r="CW3728">
        <v>0.35</v>
      </c>
      <c r="CX3728" t="s">
        <v>1340</v>
      </c>
      <c r="CY3728">
        <v>6.56</v>
      </c>
      <c r="CZ3728">
        <v>0</v>
      </c>
      <c r="DA3728">
        <v>1.48</v>
      </c>
      <c r="DB3728">
        <v>3.76</v>
      </c>
      <c r="DC3728">
        <v>0.37</v>
      </c>
      <c r="DD3728">
        <v>21.65</v>
      </c>
      <c r="DE3728" t="s">
        <v>6891</v>
      </c>
      <c r="DF3728">
        <v>25.65</v>
      </c>
      <c r="DG3728">
        <v>3.26</v>
      </c>
      <c r="DH3728">
        <v>2.41</v>
      </c>
      <c r="DI3728">
        <v>1.05</v>
      </c>
      <c r="DJ3728">
        <v>8094</v>
      </c>
      <c r="DK3728">
        <v>603737</v>
      </c>
      <c r="DL3728" t="s">
        <v>120</v>
      </c>
      <c r="DM3728" t="s">
        <v>120</v>
      </c>
      <c r="DN3728" t="s">
        <v>120</v>
      </c>
    </row>
    <row r="3729" spans="1:118">
      <c r="A3729" t="str">
        <f>"603738"</f>
        <v>603738</v>
      </c>
      <c r="B3729" t="s">
        <v>15468</v>
      </c>
      <c r="C3729">
        <v>-4.38</v>
      </c>
      <c r="D3729">
        <v>0.02</v>
      </c>
      <c r="E3729">
        <v>0.1</v>
      </c>
      <c r="F3729">
        <v>345</v>
      </c>
      <c r="G3729" t="s">
        <v>869</v>
      </c>
      <c r="H3729">
        <v>27810.26</v>
      </c>
      <c r="I3729">
        <v>57.21</v>
      </c>
      <c r="J3729" t="s">
        <v>120</v>
      </c>
      <c r="K3729" t="s">
        <v>10608</v>
      </c>
      <c r="L3729">
        <v>3.44</v>
      </c>
      <c r="M3729">
        <v>47.11</v>
      </c>
      <c r="N3729">
        <v>1</v>
      </c>
      <c r="O3729">
        <v>0.85</v>
      </c>
      <c r="P3729">
        <v>49.69</v>
      </c>
      <c r="Q3729">
        <v>-6.49</v>
      </c>
      <c r="R3729">
        <v>46.07</v>
      </c>
      <c r="S3729">
        <v>49.32</v>
      </c>
      <c r="T3729">
        <v>58551</v>
      </c>
      <c r="U3729">
        <v>47.2</v>
      </c>
      <c r="V3729">
        <v>49.27</v>
      </c>
      <c r="W3729">
        <v>48.81</v>
      </c>
      <c r="X3729" t="s">
        <v>229</v>
      </c>
      <c r="Y3729" t="s">
        <v>763</v>
      </c>
      <c r="Z3729">
        <v>7.35</v>
      </c>
      <c r="AA3729">
        <v>47.5</v>
      </c>
      <c r="AB3729">
        <v>34249</v>
      </c>
      <c r="AC3729">
        <v>24302</v>
      </c>
      <c r="AD3729">
        <v>1.41</v>
      </c>
      <c r="AE3729">
        <v>77</v>
      </c>
      <c r="AF3729">
        <v>10</v>
      </c>
      <c r="AG3729" t="s">
        <v>120</v>
      </c>
      <c r="AH3729">
        <v>0.01</v>
      </c>
      <c r="AI3729" t="s">
        <v>120</v>
      </c>
      <c r="AJ3729">
        <v>1.7</v>
      </c>
      <c r="AK3729" t="s">
        <v>15469</v>
      </c>
      <c r="AL3729">
        <v>-3.04</v>
      </c>
      <c r="AM3729">
        <v>3728</v>
      </c>
      <c r="AN3729">
        <v>16</v>
      </c>
      <c r="AO3729">
        <v>8.9999999999999998E-4</v>
      </c>
      <c r="AP3729">
        <v>-1</v>
      </c>
      <c r="AQ3729">
        <v>1.8</v>
      </c>
      <c r="AR3729">
        <v>-2.7</v>
      </c>
      <c r="AS3729">
        <v>12.67</v>
      </c>
      <c r="AT3729">
        <v>52.96</v>
      </c>
      <c r="AU3729">
        <v>130.93</v>
      </c>
      <c r="AV3729">
        <v>7</v>
      </c>
      <c r="AW3729">
        <v>6.09</v>
      </c>
      <c r="AX3729">
        <v>48.61</v>
      </c>
      <c r="AY3729">
        <v>75.650000000000006</v>
      </c>
      <c r="AZ3729">
        <v>252.51</v>
      </c>
      <c r="BA3729">
        <v>1.51</v>
      </c>
      <c r="BB3729" t="s">
        <v>143</v>
      </c>
      <c r="BF3729">
        <v>-3.6</v>
      </c>
      <c r="BG3729">
        <v>-4.4800000000000004</v>
      </c>
      <c r="BH3729">
        <v>-5.19</v>
      </c>
      <c r="BI3729">
        <v>2.2599999999999998</v>
      </c>
      <c r="BJ3729">
        <v>20210831</v>
      </c>
      <c r="BK3729">
        <v>20160928</v>
      </c>
      <c r="BL3729">
        <v>1.98</v>
      </c>
      <c r="BM3729" t="s">
        <v>120</v>
      </c>
      <c r="BN3729" t="s">
        <v>120</v>
      </c>
      <c r="BO3729">
        <v>15.14</v>
      </c>
      <c r="BP3729">
        <v>47.11</v>
      </c>
      <c r="BQ3729">
        <v>8.98</v>
      </c>
      <c r="BR3729">
        <v>0.12</v>
      </c>
      <c r="BS3729">
        <v>39.86</v>
      </c>
      <c r="BT3729">
        <v>6.05</v>
      </c>
      <c r="BU3729">
        <v>7.34</v>
      </c>
      <c r="BV3729">
        <v>0.33</v>
      </c>
      <c r="BW3729">
        <v>5.05</v>
      </c>
      <c r="BX3729">
        <v>1.03</v>
      </c>
      <c r="BY3729">
        <v>1.56</v>
      </c>
      <c r="BZ3729">
        <v>2.97</v>
      </c>
      <c r="CA3729" t="s">
        <v>120</v>
      </c>
      <c r="CB3729">
        <v>3.91</v>
      </c>
      <c r="CC3729">
        <v>5.63</v>
      </c>
      <c r="CD3729">
        <v>3.79</v>
      </c>
      <c r="CE3729">
        <v>1.1000000000000001</v>
      </c>
      <c r="CF3729">
        <v>0.01</v>
      </c>
      <c r="CG3729">
        <v>1.1100000000000001</v>
      </c>
      <c r="CH3729">
        <v>0.94</v>
      </c>
      <c r="CI3729">
        <v>0.96</v>
      </c>
      <c r="CJ3729">
        <v>-2.16</v>
      </c>
      <c r="CK3729">
        <v>0.92</v>
      </c>
      <c r="CL3729">
        <v>3.35</v>
      </c>
      <c r="CM3729">
        <v>1.1399999999999999</v>
      </c>
      <c r="CN3729">
        <v>-0.83</v>
      </c>
      <c r="CO3729">
        <v>16121</v>
      </c>
      <c r="CP3729">
        <v>5967</v>
      </c>
      <c r="CQ3729" t="s">
        <v>15470</v>
      </c>
      <c r="CR3729">
        <v>1725.81</v>
      </c>
      <c r="CS3729">
        <v>131.37</v>
      </c>
      <c r="CT3729">
        <v>9.09</v>
      </c>
      <c r="CU3729">
        <v>81.87</v>
      </c>
      <c r="CV3729">
        <v>16.55</v>
      </c>
      <c r="CW3729">
        <v>0.73</v>
      </c>
      <c r="CX3729" t="s">
        <v>1581</v>
      </c>
      <c r="CY3729">
        <v>5.18</v>
      </c>
      <c r="CZ3729">
        <v>5.18</v>
      </c>
      <c r="DA3729">
        <v>1.98</v>
      </c>
      <c r="DB3729">
        <v>1.69</v>
      </c>
      <c r="DC3729">
        <v>0.57999999999999996</v>
      </c>
      <c r="DD3729">
        <v>59.36</v>
      </c>
      <c r="DE3729" t="s">
        <v>1954</v>
      </c>
      <c r="DF3729">
        <v>32.69</v>
      </c>
      <c r="DG3729">
        <v>19.61</v>
      </c>
      <c r="DH3729">
        <v>16.95</v>
      </c>
      <c r="DI3729">
        <v>0.25</v>
      </c>
      <c r="DJ3729">
        <v>1965</v>
      </c>
      <c r="DK3729">
        <v>603738</v>
      </c>
      <c r="DL3729" t="s">
        <v>120</v>
      </c>
      <c r="DM3729" t="s">
        <v>120</v>
      </c>
      <c r="DN3729" t="s">
        <v>120</v>
      </c>
    </row>
    <row r="3730" spans="1:118">
      <c r="A3730" t="str">
        <f>"603739"</f>
        <v>603739</v>
      </c>
      <c r="B3730" t="s">
        <v>15471</v>
      </c>
      <c r="C3730">
        <v>2.38</v>
      </c>
      <c r="D3730">
        <v>-0.05</v>
      </c>
      <c r="E3730">
        <v>-0.42</v>
      </c>
      <c r="F3730">
        <v>313</v>
      </c>
      <c r="G3730" t="s">
        <v>3148</v>
      </c>
      <c r="H3730">
        <v>7918.62</v>
      </c>
      <c r="I3730">
        <v>0</v>
      </c>
      <c r="J3730" t="s">
        <v>120</v>
      </c>
      <c r="K3730" t="s">
        <v>3148</v>
      </c>
      <c r="L3730">
        <v>4.37</v>
      </c>
      <c r="M3730">
        <v>17.18</v>
      </c>
      <c r="N3730">
        <v>2.88</v>
      </c>
      <c r="O3730">
        <v>6.97</v>
      </c>
      <c r="P3730">
        <v>17.95</v>
      </c>
      <c r="Q3730">
        <v>-0.42</v>
      </c>
      <c r="R3730">
        <v>16.71</v>
      </c>
      <c r="S3730">
        <v>16.71</v>
      </c>
      <c r="T3730">
        <v>45547</v>
      </c>
      <c r="U3730">
        <v>17.190000000000001</v>
      </c>
      <c r="V3730">
        <v>16.78</v>
      </c>
      <c r="W3730">
        <v>35.299999999999997</v>
      </c>
      <c r="X3730" t="s">
        <v>447</v>
      </c>
      <c r="Y3730" t="s">
        <v>638</v>
      </c>
      <c r="Z3730">
        <v>7.39</v>
      </c>
      <c r="AA3730">
        <v>17.39</v>
      </c>
      <c r="AB3730">
        <v>18782</v>
      </c>
      <c r="AC3730">
        <v>26765</v>
      </c>
      <c r="AD3730">
        <v>0.7</v>
      </c>
      <c r="AE3730">
        <v>38</v>
      </c>
      <c r="AF3730">
        <v>92</v>
      </c>
      <c r="AG3730" t="s">
        <v>120</v>
      </c>
      <c r="AH3730">
        <v>0</v>
      </c>
      <c r="AI3730" t="s">
        <v>120</v>
      </c>
      <c r="AJ3730">
        <v>1.04</v>
      </c>
      <c r="AK3730" t="s">
        <v>8631</v>
      </c>
      <c r="AL3730">
        <v>3.73</v>
      </c>
      <c r="AM3730">
        <v>2018</v>
      </c>
      <c r="AN3730">
        <v>23</v>
      </c>
      <c r="AO3730">
        <v>2.2000000000000001E-3</v>
      </c>
      <c r="AP3730">
        <v>1</v>
      </c>
      <c r="AQ3730">
        <v>-0.71</v>
      </c>
      <c r="AR3730">
        <v>0.7</v>
      </c>
      <c r="AS3730">
        <v>5.59</v>
      </c>
      <c r="AT3730">
        <v>4.12</v>
      </c>
      <c r="AU3730">
        <v>8.0500000000000007</v>
      </c>
      <c r="AV3730">
        <v>2</v>
      </c>
      <c r="AW3730">
        <v>4.37</v>
      </c>
      <c r="AX3730">
        <v>41.31</v>
      </c>
      <c r="AY3730">
        <v>33.479999999999997</v>
      </c>
      <c r="AZ3730">
        <v>38.82</v>
      </c>
      <c r="BA3730">
        <v>0.38</v>
      </c>
      <c r="BB3730" t="s">
        <v>143</v>
      </c>
      <c r="BF3730">
        <v>3.61</v>
      </c>
      <c r="BG3730">
        <v>2.81</v>
      </c>
      <c r="BH3730">
        <v>-4.29</v>
      </c>
      <c r="BI3730">
        <v>2.81</v>
      </c>
      <c r="BJ3730">
        <v>20210817</v>
      </c>
      <c r="BK3730">
        <v>20190116</v>
      </c>
      <c r="BL3730">
        <v>2.52</v>
      </c>
      <c r="BM3730" t="s">
        <v>120</v>
      </c>
      <c r="BN3730" t="s">
        <v>120</v>
      </c>
      <c r="BO3730">
        <v>19.23</v>
      </c>
      <c r="BP3730">
        <v>17.18</v>
      </c>
      <c r="BQ3730">
        <v>15.55</v>
      </c>
      <c r="BR3730">
        <v>0.87</v>
      </c>
      <c r="BS3730">
        <v>14.57</v>
      </c>
      <c r="BT3730">
        <v>10.34</v>
      </c>
      <c r="BU3730">
        <v>3.68</v>
      </c>
      <c r="BV3730">
        <v>1.24</v>
      </c>
      <c r="BW3730">
        <v>2.17</v>
      </c>
      <c r="BX3730">
        <v>1.87</v>
      </c>
      <c r="BY3730">
        <v>1.46</v>
      </c>
      <c r="BZ3730">
        <v>2.36</v>
      </c>
      <c r="CA3730" t="s">
        <v>120</v>
      </c>
      <c r="CB3730">
        <v>7.07</v>
      </c>
      <c r="CC3730">
        <v>5.49</v>
      </c>
      <c r="CD3730">
        <v>2.94</v>
      </c>
      <c r="CE3730">
        <v>0.79</v>
      </c>
      <c r="CF3730">
        <v>0.02</v>
      </c>
      <c r="CG3730">
        <v>0.79</v>
      </c>
      <c r="CH3730">
        <v>0.69</v>
      </c>
      <c r="CI3730">
        <v>0.61</v>
      </c>
      <c r="CJ3730">
        <v>0.4</v>
      </c>
      <c r="CK3730">
        <v>0.48</v>
      </c>
      <c r="CL3730">
        <v>5.57</v>
      </c>
      <c r="CM3730">
        <v>0.16</v>
      </c>
      <c r="CN3730">
        <v>-0.63</v>
      </c>
      <c r="CO3730">
        <v>13399</v>
      </c>
      <c r="CP3730">
        <v>7771</v>
      </c>
      <c r="CQ3730" t="s">
        <v>3112</v>
      </c>
      <c r="CR3730">
        <v>39.54</v>
      </c>
      <c r="CS3730">
        <v>27.27</v>
      </c>
      <c r="CT3730">
        <v>2.78</v>
      </c>
      <c r="CU3730">
        <v>267.32</v>
      </c>
      <c r="CV3730">
        <v>7.89</v>
      </c>
      <c r="CW3730">
        <v>0.85</v>
      </c>
      <c r="CX3730" t="s">
        <v>670</v>
      </c>
      <c r="CY3730">
        <v>6.17</v>
      </c>
      <c r="CZ3730">
        <v>0</v>
      </c>
      <c r="DA3730">
        <v>2.8</v>
      </c>
      <c r="DB3730">
        <v>2.21</v>
      </c>
      <c r="DC3730">
        <v>0.06</v>
      </c>
      <c r="DD3730">
        <v>80.900000000000006</v>
      </c>
      <c r="DE3730" t="s">
        <v>4916</v>
      </c>
      <c r="DF3730">
        <v>46.4</v>
      </c>
      <c r="DG3730">
        <v>14.42</v>
      </c>
      <c r="DH3730">
        <v>11.17</v>
      </c>
      <c r="DI3730">
        <v>0.47</v>
      </c>
      <c r="DJ3730">
        <v>1430</v>
      </c>
      <c r="DK3730">
        <v>603739</v>
      </c>
      <c r="DL3730" t="s">
        <v>120</v>
      </c>
      <c r="DM3730" t="s">
        <v>120</v>
      </c>
      <c r="DN3730" t="s">
        <v>120</v>
      </c>
    </row>
    <row r="3731" spans="1:118">
      <c r="A3731" t="str">
        <f>"603755"</f>
        <v>603755</v>
      </c>
      <c r="B3731" t="s">
        <v>15472</v>
      </c>
      <c r="C3731">
        <v>1.91</v>
      </c>
      <c r="D3731">
        <v>-0.12</v>
      </c>
      <c r="E3731">
        <v>0.65</v>
      </c>
      <c r="F3731">
        <v>82</v>
      </c>
      <c r="G3731" t="s">
        <v>2042</v>
      </c>
      <c r="H3731">
        <v>1995.38</v>
      </c>
      <c r="I3731">
        <v>8.98</v>
      </c>
      <c r="J3731" t="s">
        <v>120</v>
      </c>
      <c r="K3731" t="s">
        <v>2042</v>
      </c>
      <c r="L3731">
        <v>1.55</v>
      </c>
      <c r="M3731">
        <v>37.869999999999997</v>
      </c>
      <c r="N3731">
        <v>1</v>
      </c>
      <c r="O3731">
        <v>2.58</v>
      </c>
      <c r="P3731">
        <v>38.119999999999997</v>
      </c>
      <c r="Q3731">
        <v>-0.73</v>
      </c>
      <c r="R3731">
        <v>36.89</v>
      </c>
      <c r="S3731">
        <v>37.4</v>
      </c>
      <c r="T3731">
        <v>5304</v>
      </c>
      <c r="U3731">
        <v>37.869999999999997</v>
      </c>
      <c r="V3731">
        <v>37.159999999999997</v>
      </c>
      <c r="W3731">
        <v>54.93</v>
      </c>
      <c r="X3731" t="s">
        <v>847</v>
      </c>
      <c r="Y3731" t="s">
        <v>638</v>
      </c>
      <c r="Z3731">
        <v>3.31</v>
      </c>
      <c r="AA3731">
        <v>37.619999999999997</v>
      </c>
      <c r="AB3731">
        <v>1695</v>
      </c>
      <c r="AC3731">
        <v>3609</v>
      </c>
      <c r="AD3731">
        <v>0.47</v>
      </c>
      <c r="AE3731">
        <v>14</v>
      </c>
      <c r="AF3731">
        <v>40</v>
      </c>
      <c r="AG3731" t="s">
        <v>120</v>
      </c>
      <c r="AH3731">
        <v>0.01</v>
      </c>
      <c r="AI3731" t="s">
        <v>120</v>
      </c>
      <c r="AJ3731">
        <v>0.34</v>
      </c>
      <c r="AK3731" t="s">
        <v>417</v>
      </c>
      <c r="AL3731">
        <v>3.25</v>
      </c>
      <c r="AM3731">
        <v>936</v>
      </c>
      <c r="AN3731">
        <v>6</v>
      </c>
      <c r="AO3731">
        <v>1.6999999999999999E-3</v>
      </c>
      <c r="AP3731">
        <v>1</v>
      </c>
      <c r="AQ3731">
        <v>-3.9</v>
      </c>
      <c r="AR3731">
        <v>-1.4</v>
      </c>
      <c r="AS3731">
        <v>-21.3</v>
      </c>
      <c r="AT3731">
        <v>-38.65</v>
      </c>
      <c r="AU3731">
        <v>-51.34</v>
      </c>
      <c r="AV3731">
        <v>3</v>
      </c>
      <c r="AW3731">
        <v>1.55</v>
      </c>
      <c r="AX3731">
        <v>34.68</v>
      </c>
      <c r="AY3731">
        <v>46.19</v>
      </c>
      <c r="AZ3731">
        <v>45.1</v>
      </c>
      <c r="BA3731">
        <v>0.77</v>
      </c>
      <c r="BB3731" t="s">
        <v>134</v>
      </c>
      <c r="BF3731">
        <v>1.24</v>
      </c>
      <c r="BG3731">
        <v>1.26</v>
      </c>
      <c r="BH3731">
        <v>-0.66</v>
      </c>
      <c r="BI3731">
        <v>2.66</v>
      </c>
      <c r="BJ3731">
        <v>20210827</v>
      </c>
      <c r="BK3731">
        <v>20190828</v>
      </c>
      <c r="BL3731">
        <v>0.99</v>
      </c>
      <c r="BM3731" t="s">
        <v>120</v>
      </c>
      <c r="BN3731" t="s">
        <v>120</v>
      </c>
      <c r="BO3731">
        <v>7.51</v>
      </c>
      <c r="BP3731">
        <v>37.86</v>
      </c>
      <c r="BQ3731">
        <v>6.13</v>
      </c>
      <c r="BR3731" t="s">
        <v>120</v>
      </c>
      <c r="BS3731">
        <v>18.37</v>
      </c>
      <c r="BT3731">
        <v>5.36</v>
      </c>
      <c r="BU3731">
        <v>0.48</v>
      </c>
      <c r="BV3731">
        <v>0.38</v>
      </c>
      <c r="BW3731">
        <v>0.97</v>
      </c>
      <c r="BX3731">
        <v>4.45</v>
      </c>
      <c r="BY3731">
        <v>0.28999999999999998</v>
      </c>
      <c r="BZ3731">
        <v>0.56000000000000005</v>
      </c>
      <c r="CA3731" t="s">
        <v>120</v>
      </c>
      <c r="CB3731">
        <v>3.47</v>
      </c>
      <c r="CC3731">
        <v>1.45</v>
      </c>
      <c r="CD3731">
        <v>0.81</v>
      </c>
      <c r="CE3731">
        <v>0.4</v>
      </c>
      <c r="CF3731">
        <v>0.04</v>
      </c>
      <c r="CG3731">
        <v>0.4</v>
      </c>
      <c r="CH3731">
        <v>0.34</v>
      </c>
      <c r="CI3731">
        <v>0.34</v>
      </c>
      <c r="CJ3731">
        <v>0.71</v>
      </c>
      <c r="CK3731">
        <v>0.28999999999999998</v>
      </c>
      <c r="CL3731">
        <v>1.35</v>
      </c>
      <c r="CM3731">
        <v>0.11</v>
      </c>
      <c r="CN3731">
        <v>0.28000000000000003</v>
      </c>
      <c r="CO3731">
        <v>3831</v>
      </c>
      <c r="CP3731">
        <v>8927</v>
      </c>
      <c r="CQ3731" t="s">
        <v>15473</v>
      </c>
      <c r="CR3731">
        <v>-5.34</v>
      </c>
      <c r="CS3731">
        <v>35.75</v>
      </c>
      <c r="CT3731">
        <v>6.09</v>
      </c>
      <c r="CU3731">
        <v>346.85</v>
      </c>
      <c r="CV3731">
        <v>25.67</v>
      </c>
      <c r="CW3731">
        <v>0.81</v>
      </c>
      <c r="CX3731" t="s">
        <v>1574</v>
      </c>
      <c r="CY3731">
        <v>6.22</v>
      </c>
      <c r="CZ3731">
        <v>0</v>
      </c>
      <c r="DA3731">
        <v>3.52</v>
      </c>
      <c r="DB3731">
        <v>1.37</v>
      </c>
      <c r="DC3731">
        <v>0.11</v>
      </c>
      <c r="DD3731">
        <v>81.63</v>
      </c>
      <c r="DE3731" t="s">
        <v>9768</v>
      </c>
      <c r="DF3731">
        <v>44.17</v>
      </c>
      <c r="DG3731">
        <v>27.69</v>
      </c>
      <c r="DH3731">
        <v>23.37</v>
      </c>
      <c r="DI3731">
        <v>0.05</v>
      </c>
      <c r="DJ3731">
        <v>372</v>
      </c>
      <c r="DK3731">
        <v>603755</v>
      </c>
      <c r="DL3731" t="s">
        <v>120</v>
      </c>
      <c r="DM3731" t="s">
        <v>120</v>
      </c>
      <c r="DN3731" t="s">
        <v>120</v>
      </c>
    </row>
    <row r="3732" spans="1:118">
      <c r="A3732" t="str">
        <f>"603757"</f>
        <v>603757</v>
      </c>
      <c r="B3732" t="s">
        <v>15474</v>
      </c>
      <c r="C3732">
        <v>-2.79</v>
      </c>
      <c r="D3732">
        <v>-0.47</v>
      </c>
      <c r="E3732">
        <v>0.63</v>
      </c>
      <c r="F3732">
        <v>1340</v>
      </c>
      <c r="G3732" t="s">
        <v>6569</v>
      </c>
      <c r="H3732">
        <v>3705.06</v>
      </c>
      <c r="I3732">
        <v>4.78</v>
      </c>
      <c r="J3732" t="s">
        <v>120</v>
      </c>
      <c r="K3732" t="s">
        <v>3083</v>
      </c>
      <c r="L3732">
        <v>1.2</v>
      </c>
      <c r="M3732">
        <v>18.47</v>
      </c>
      <c r="N3732">
        <v>0.7</v>
      </c>
      <c r="O3732">
        <v>1.1100000000000001</v>
      </c>
      <c r="P3732">
        <v>19.21</v>
      </c>
      <c r="Q3732">
        <v>-2.79</v>
      </c>
      <c r="R3732">
        <v>18.47</v>
      </c>
      <c r="S3732">
        <v>19.12</v>
      </c>
      <c r="T3732">
        <v>19726</v>
      </c>
      <c r="U3732">
        <v>18.55</v>
      </c>
      <c r="V3732">
        <v>19</v>
      </c>
      <c r="W3732">
        <v>21.07</v>
      </c>
      <c r="X3732" t="s">
        <v>675</v>
      </c>
      <c r="Y3732" t="s">
        <v>585</v>
      </c>
      <c r="Z3732">
        <v>3.89</v>
      </c>
      <c r="AA3732">
        <v>18.78</v>
      </c>
      <c r="AB3732">
        <v>13344</v>
      </c>
      <c r="AC3732">
        <v>6382</v>
      </c>
      <c r="AD3732">
        <v>2.09</v>
      </c>
      <c r="AE3732">
        <v>40</v>
      </c>
      <c r="AF3732">
        <v>5</v>
      </c>
      <c r="AG3732" t="s">
        <v>120</v>
      </c>
      <c r="AH3732">
        <v>0</v>
      </c>
      <c r="AI3732" t="s">
        <v>120</v>
      </c>
      <c r="AJ3732">
        <v>1.64</v>
      </c>
      <c r="AK3732" t="s">
        <v>3777</v>
      </c>
      <c r="AL3732">
        <v>-1.45</v>
      </c>
      <c r="AM3732">
        <v>1624</v>
      </c>
      <c r="AN3732">
        <v>12</v>
      </c>
      <c r="AO3732">
        <v>6.9999999999999999E-4</v>
      </c>
      <c r="AP3732">
        <v>-4</v>
      </c>
      <c r="AQ3732">
        <v>-3.16</v>
      </c>
      <c r="AR3732">
        <v>-10.47</v>
      </c>
      <c r="AS3732">
        <v>-18.57</v>
      </c>
      <c r="AT3732">
        <v>1.71</v>
      </c>
      <c r="AU3732">
        <v>4.9400000000000004</v>
      </c>
      <c r="AV3732">
        <v>0</v>
      </c>
      <c r="AW3732">
        <v>3.35</v>
      </c>
      <c r="AX3732">
        <v>35.11</v>
      </c>
      <c r="AY3732">
        <v>17</v>
      </c>
      <c r="AZ3732">
        <v>14.91</v>
      </c>
      <c r="BA3732">
        <v>0.86</v>
      </c>
      <c r="BB3732" t="s">
        <v>143</v>
      </c>
      <c r="BF3732">
        <v>-1.1399999999999999</v>
      </c>
      <c r="BG3732">
        <v>-3.4</v>
      </c>
      <c r="BH3732">
        <v>-3.85</v>
      </c>
      <c r="BI3732">
        <v>0</v>
      </c>
      <c r="BJ3732">
        <v>20210831</v>
      </c>
      <c r="BK3732">
        <v>20170711</v>
      </c>
      <c r="BL3732">
        <v>1.67</v>
      </c>
      <c r="BM3732" t="s">
        <v>120</v>
      </c>
      <c r="BN3732" t="s">
        <v>120</v>
      </c>
      <c r="BO3732">
        <v>15.17</v>
      </c>
      <c r="BP3732">
        <v>18.47</v>
      </c>
      <c r="BQ3732">
        <v>11.81</v>
      </c>
      <c r="BR3732" t="s">
        <v>120</v>
      </c>
      <c r="BS3732">
        <v>22.18</v>
      </c>
      <c r="BT3732">
        <v>11.66</v>
      </c>
      <c r="BU3732">
        <v>2.97</v>
      </c>
      <c r="BV3732">
        <v>0.23</v>
      </c>
      <c r="BW3732">
        <v>3.15</v>
      </c>
      <c r="BX3732">
        <v>4.68</v>
      </c>
      <c r="BY3732">
        <v>2.89</v>
      </c>
      <c r="BZ3732">
        <v>2.37</v>
      </c>
      <c r="CA3732" t="s">
        <v>120</v>
      </c>
      <c r="CB3732">
        <v>4.5599999999999996</v>
      </c>
      <c r="CC3732">
        <v>6.71</v>
      </c>
      <c r="CD3732">
        <v>4.95</v>
      </c>
      <c r="CE3732">
        <v>0.82</v>
      </c>
      <c r="CF3732">
        <v>0.04</v>
      </c>
      <c r="CG3732">
        <v>0.82</v>
      </c>
      <c r="CH3732">
        <v>0.73</v>
      </c>
      <c r="CI3732">
        <v>0.73</v>
      </c>
      <c r="CJ3732">
        <v>-0.53</v>
      </c>
      <c r="CK3732">
        <v>0.69</v>
      </c>
      <c r="CL3732">
        <v>5.24</v>
      </c>
      <c r="CM3732">
        <v>0.61</v>
      </c>
      <c r="CN3732">
        <v>-1.44</v>
      </c>
      <c r="CO3732">
        <v>8395</v>
      </c>
      <c r="CP3732">
        <v>7004</v>
      </c>
      <c r="CQ3732" t="s">
        <v>15475</v>
      </c>
      <c r="CR3732">
        <v>-26.28</v>
      </c>
      <c r="CS3732">
        <v>15.17</v>
      </c>
      <c r="CT3732">
        <v>2.62</v>
      </c>
      <c r="CU3732">
        <v>50.35</v>
      </c>
      <c r="CV3732">
        <v>4.6100000000000003</v>
      </c>
      <c r="CW3732">
        <v>5.27</v>
      </c>
      <c r="CX3732" t="s">
        <v>1520</v>
      </c>
      <c r="CY3732">
        <v>7.05</v>
      </c>
      <c r="CZ3732">
        <v>7.05</v>
      </c>
      <c r="DA3732">
        <v>2.72</v>
      </c>
      <c r="DB3732">
        <v>3.13</v>
      </c>
      <c r="DC3732">
        <v>0.37</v>
      </c>
      <c r="DD3732">
        <v>77.819999999999993</v>
      </c>
      <c r="DE3732" t="s">
        <v>10741</v>
      </c>
      <c r="DF3732">
        <v>26.22</v>
      </c>
      <c r="DG3732">
        <v>12.24</v>
      </c>
      <c r="DH3732">
        <v>10.93</v>
      </c>
      <c r="DI3732">
        <v>0.26</v>
      </c>
      <c r="DJ3732">
        <v>1823</v>
      </c>
      <c r="DK3732">
        <v>603757</v>
      </c>
      <c r="DL3732" t="s">
        <v>120</v>
      </c>
      <c r="DM3732" t="s">
        <v>120</v>
      </c>
      <c r="DN3732" t="s">
        <v>120</v>
      </c>
    </row>
    <row r="3733" spans="1:118">
      <c r="A3733" t="str">
        <f>"603758"</f>
        <v>603758</v>
      </c>
      <c r="B3733" t="s">
        <v>15476</v>
      </c>
      <c r="C3733">
        <v>-1.23</v>
      </c>
      <c r="D3733">
        <v>-0.22</v>
      </c>
      <c r="E3733">
        <v>0</v>
      </c>
      <c r="F3733">
        <v>715</v>
      </c>
      <c r="G3733" t="s">
        <v>3336</v>
      </c>
      <c r="H3733">
        <v>3082.53</v>
      </c>
      <c r="I3733">
        <v>5.47</v>
      </c>
      <c r="J3733" t="s">
        <v>120</v>
      </c>
      <c r="K3733" t="s">
        <v>11465</v>
      </c>
      <c r="L3733">
        <v>0.81</v>
      </c>
      <c r="M3733">
        <v>8.86</v>
      </c>
      <c r="N3733">
        <v>2.2200000000000002</v>
      </c>
      <c r="O3733">
        <v>4.24</v>
      </c>
      <c r="P3733">
        <v>9.35</v>
      </c>
      <c r="Q3733">
        <v>-2.4500000000000002</v>
      </c>
      <c r="R3733">
        <v>8.75</v>
      </c>
      <c r="S3733">
        <v>8.9700000000000006</v>
      </c>
      <c r="T3733">
        <v>34132</v>
      </c>
      <c r="U3733">
        <v>8.8699999999999992</v>
      </c>
      <c r="V3733">
        <v>8.9700000000000006</v>
      </c>
      <c r="W3733">
        <v>17.82</v>
      </c>
      <c r="X3733" t="s">
        <v>289</v>
      </c>
      <c r="Y3733" t="s">
        <v>883</v>
      </c>
      <c r="Z3733">
        <v>6.69</v>
      </c>
      <c r="AA3733">
        <v>9.0299999999999994</v>
      </c>
      <c r="AB3733">
        <v>20492</v>
      </c>
      <c r="AC3733">
        <v>13640</v>
      </c>
      <c r="AD3733">
        <v>1.5</v>
      </c>
      <c r="AE3733">
        <v>1168</v>
      </c>
      <c r="AF3733">
        <v>121</v>
      </c>
      <c r="AG3733" t="s">
        <v>120</v>
      </c>
      <c r="AH3733">
        <v>0</v>
      </c>
      <c r="AI3733" t="s">
        <v>120</v>
      </c>
      <c r="AJ3733">
        <v>4.2</v>
      </c>
      <c r="AK3733" t="s">
        <v>2024</v>
      </c>
      <c r="AL3733">
        <v>0.12</v>
      </c>
      <c r="AM3733">
        <v>1525</v>
      </c>
      <c r="AN3733">
        <v>22</v>
      </c>
      <c r="AO3733">
        <v>5.0000000000000001E-4</v>
      </c>
      <c r="AP3733">
        <v>-3</v>
      </c>
      <c r="AQ3733">
        <v>-0.88</v>
      </c>
      <c r="AR3733">
        <v>-3.05</v>
      </c>
      <c r="AS3733">
        <v>-4.43</v>
      </c>
      <c r="AT3733">
        <v>10.06</v>
      </c>
      <c r="AU3733">
        <v>-8.57</v>
      </c>
      <c r="AV3733">
        <v>6</v>
      </c>
      <c r="AW3733">
        <v>2.67</v>
      </c>
      <c r="AX3733">
        <v>29.18</v>
      </c>
      <c r="AY3733">
        <v>21.51</v>
      </c>
      <c r="AZ3733">
        <v>12.12</v>
      </c>
      <c r="BA3733">
        <v>0.67</v>
      </c>
      <c r="BB3733" t="s">
        <v>168</v>
      </c>
      <c r="BF3733">
        <v>0.68</v>
      </c>
      <c r="BG3733">
        <v>-1.23</v>
      </c>
      <c r="BH3733">
        <v>-5.24</v>
      </c>
      <c r="BI3733">
        <v>1.26</v>
      </c>
      <c r="BJ3733">
        <v>20210814</v>
      </c>
      <c r="BK3733">
        <v>20170517</v>
      </c>
      <c r="BL3733">
        <v>4.3899999999999997</v>
      </c>
      <c r="BM3733" t="s">
        <v>120</v>
      </c>
      <c r="BN3733" t="s">
        <v>120</v>
      </c>
      <c r="BO3733">
        <v>30.98</v>
      </c>
      <c r="BP3733">
        <v>8.86</v>
      </c>
      <c r="BQ3733">
        <v>27.1</v>
      </c>
      <c r="BR3733" t="s">
        <v>120</v>
      </c>
      <c r="BS3733">
        <v>12.54</v>
      </c>
      <c r="BT3733">
        <v>20.37</v>
      </c>
      <c r="BU3733">
        <v>7.55</v>
      </c>
      <c r="BV3733">
        <v>1.3</v>
      </c>
      <c r="BW3733">
        <v>3.72</v>
      </c>
      <c r="BX3733">
        <v>10.97</v>
      </c>
      <c r="BY3733">
        <v>2.72</v>
      </c>
      <c r="BZ3733">
        <v>2.4700000000000002</v>
      </c>
      <c r="CA3733" t="s">
        <v>120</v>
      </c>
      <c r="CB3733">
        <v>7.44</v>
      </c>
      <c r="CC3733">
        <v>6.59</v>
      </c>
      <c r="CD3733">
        <v>4.96</v>
      </c>
      <c r="CE3733">
        <v>1.46</v>
      </c>
      <c r="CF3733">
        <v>0.69</v>
      </c>
      <c r="CG3733">
        <v>1.45</v>
      </c>
      <c r="CH3733">
        <v>1.0900000000000001</v>
      </c>
      <c r="CI3733">
        <v>1.0900000000000001</v>
      </c>
      <c r="CJ3733">
        <v>-0.11</v>
      </c>
      <c r="CK3733">
        <v>0.7</v>
      </c>
      <c r="CL3733">
        <v>15.5</v>
      </c>
      <c r="CM3733">
        <v>0.89</v>
      </c>
      <c r="CN3733">
        <v>0.99</v>
      </c>
      <c r="CO3733">
        <v>14902</v>
      </c>
      <c r="CP3733">
        <v>8593</v>
      </c>
      <c r="CQ3733" t="s">
        <v>2108</v>
      </c>
      <c r="CR3733">
        <v>-56.53</v>
      </c>
      <c r="CS3733">
        <v>105.81</v>
      </c>
      <c r="CT3733">
        <v>1.43</v>
      </c>
      <c r="CU3733">
        <v>43.83</v>
      </c>
      <c r="CV3733">
        <v>5.9</v>
      </c>
      <c r="CW3733">
        <v>0</v>
      </c>
      <c r="CX3733" t="s">
        <v>863</v>
      </c>
      <c r="CY3733">
        <v>6.17</v>
      </c>
      <c r="CZ3733">
        <v>0</v>
      </c>
      <c r="DA3733">
        <v>1.7</v>
      </c>
      <c r="DB3733">
        <v>3.53</v>
      </c>
      <c r="DC3733">
        <v>0.2</v>
      </c>
      <c r="DD3733">
        <v>87.46</v>
      </c>
      <c r="DE3733" t="s">
        <v>10699</v>
      </c>
      <c r="DF3733">
        <v>24.72</v>
      </c>
      <c r="DG3733">
        <v>22.21</v>
      </c>
      <c r="DH3733">
        <v>16.55</v>
      </c>
      <c r="DI3733">
        <v>0.2</v>
      </c>
      <c r="DJ3733">
        <v>1854</v>
      </c>
      <c r="DK3733">
        <v>603758</v>
      </c>
      <c r="DL3733" t="s">
        <v>120</v>
      </c>
      <c r="DM3733" t="s">
        <v>120</v>
      </c>
      <c r="DN3733" t="s">
        <v>120</v>
      </c>
    </row>
    <row r="3734" spans="1:118">
      <c r="A3734" t="str">
        <f>"603759"</f>
        <v>603759</v>
      </c>
      <c r="B3734" t="s">
        <v>15477</v>
      </c>
      <c r="C3734">
        <v>-2.5299999999999998</v>
      </c>
      <c r="D3734">
        <v>-0.05</v>
      </c>
      <c r="E3734">
        <v>-0.06</v>
      </c>
      <c r="F3734">
        <v>725</v>
      </c>
      <c r="G3734" t="s">
        <v>9868</v>
      </c>
      <c r="H3734">
        <v>5250.46</v>
      </c>
      <c r="I3734">
        <v>6.22</v>
      </c>
      <c r="J3734" t="s">
        <v>120</v>
      </c>
      <c r="K3734" t="s">
        <v>9868</v>
      </c>
      <c r="L3734">
        <v>3.83</v>
      </c>
      <c r="M3734">
        <v>17.32</v>
      </c>
      <c r="N3734">
        <v>0.55000000000000004</v>
      </c>
      <c r="O3734">
        <v>0.96</v>
      </c>
      <c r="P3734">
        <v>17.940000000000001</v>
      </c>
      <c r="Q3734">
        <v>-2.59</v>
      </c>
      <c r="R3734">
        <v>17.309999999999999</v>
      </c>
      <c r="S3734">
        <v>17.760000000000002</v>
      </c>
      <c r="T3734">
        <v>29852</v>
      </c>
      <c r="U3734">
        <v>17.329999999999998</v>
      </c>
      <c r="V3734">
        <v>17.77</v>
      </c>
      <c r="W3734">
        <v>35.1</v>
      </c>
      <c r="X3734" t="s">
        <v>1271</v>
      </c>
      <c r="Y3734" t="s">
        <v>578</v>
      </c>
      <c r="Z3734">
        <v>3.55</v>
      </c>
      <c r="AA3734">
        <v>17.59</v>
      </c>
      <c r="AB3734">
        <v>18914</v>
      </c>
      <c r="AC3734">
        <v>10938</v>
      </c>
      <c r="AD3734">
        <v>1.73</v>
      </c>
      <c r="AE3734">
        <v>177</v>
      </c>
      <c r="AF3734">
        <v>119</v>
      </c>
      <c r="AG3734" t="s">
        <v>120</v>
      </c>
      <c r="AH3734">
        <v>0</v>
      </c>
      <c r="AI3734" t="s">
        <v>120</v>
      </c>
      <c r="AJ3734">
        <v>0.78</v>
      </c>
      <c r="AK3734" t="s">
        <v>15478</v>
      </c>
      <c r="AL3734">
        <v>-1.19</v>
      </c>
      <c r="AM3734">
        <v>2077</v>
      </c>
      <c r="AN3734">
        <v>14</v>
      </c>
      <c r="AO3734">
        <v>1.8E-3</v>
      </c>
      <c r="AP3734">
        <v>-3</v>
      </c>
      <c r="AQ3734">
        <v>-0.17</v>
      </c>
      <c r="AR3734">
        <v>-5.41</v>
      </c>
      <c r="AS3734">
        <v>-15.31</v>
      </c>
      <c r="AT3734">
        <v>-20.440000000000001</v>
      </c>
      <c r="AU3734">
        <v>56.87</v>
      </c>
      <c r="AV3734">
        <v>6</v>
      </c>
      <c r="AW3734">
        <v>3.83</v>
      </c>
      <c r="AX3734">
        <v>25</v>
      </c>
      <c r="AY3734">
        <v>27.93</v>
      </c>
      <c r="AZ3734">
        <v>31.72</v>
      </c>
      <c r="BA3734">
        <v>1.08</v>
      </c>
      <c r="BB3734" t="s">
        <v>143</v>
      </c>
      <c r="BF3734">
        <v>-1.02</v>
      </c>
      <c r="BG3734">
        <v>-2.48</v>
      </c>
      <c r="BH3734">
        <v>-3.46</v>
      </c>
      <c r="BI3734">
        <v>0.06</v>
      </c>
      <c r="BJ3734">
        <v>20210816</v>
      </c>
      <c r="BK3734">
        <v>20210326</v>
      </c>
      <c r="BL3734">
        <v>3.12</v>
      </c>
      <c r="BM3734" t="s">
        <v>120</v>
      </c>
      <c r="BN3734" t="s">
        <v>120</v>
      </c>
      <c r="BO3734">
        <v>50.67</v>
      </c>
      <c r="BP3734">
        <v>17.32</v>
      </c>
      <c r="BQ3734">
        <v>20.67</v>
      </c>
      <c r="BR3734">
        <v>1.31</v>
      </c>
      <c r="BS3734">
        <v>56.63</v>
      </c>
      <c r="BT3734">
        <v>12.61</v>
      </c>
      <c r="BU3734">
        <v>6.71</v>
      </c>
      <c r="BV3734">
        <v>22.78</v>
      </c>
      <c r="BW3734">
        <v>11.03</v>
      </c>
      <c r="BX3734">
        <v>7.32</v>
      </c>
      <c r="BY3734">
        <v>0.72</v>
      </c>
      <c r="BZ3734">
        <v>3.16</v>
      </c>
      <c r="CA3734" t="s">
        <v>120</v>
      </c>
      <c r="CB3734">
        <v>10.61</v>
      </c>
      <c r="CC3734">
        <v>4.55</v>
      </c>
      <c r="CD3734">
        <v>2.42</v>
      </c>
      <c r="CE3734">
        <v>1.01</v>
      </c>
      <c r="CF3734">
        <v>0.02</v>
      </c>
      <c r="CG3734">
        <v>1.03</v>
      </c>
      <c r="CH3734">
        <v>0.79</v>
      </c>
      <c r="CI3734">
        <v>0.77</v>
      </c>
      <c r="CJ3734">
        <v>-0.45</v>
      </c>
      <c r="CK3734">
        <v>0.7</v>
      </c>
      <c r="CL3734">
        <v>6.53</v>
      </c>
      <c r="CM3734">
        <v>0.98</v>
      </c>
      <c r="CN3734">
        <v>4.37</v>
      </c>
      <c r="CO3734">
        <v>43520</v>
      </c>
      <c r="CP3734">
        <v>1792</v>
      </c>
      <c r="CQ3734" t="s">
        <v>1455</v>
      </c>
      <c r="CR3734">
        <v>44.55</v>
      </c>
      <c r="CS3734">
        <v>17</v>
      </c>
      <c r="CT3734">
        <v>2.61</v>
      </c>
      <c r="CU3734">
        <v>55.29</v>
      </c>
      <c r="CV3734">
        <v>11.89</v>
      </c>
      <c r="CW3734">
        <v>0.95</v>
      </c>
      <c r="CX3734" t="s">
        <v>1054</v>
      </c>
      <c r="CY3734">
        <v>6.62</v>
      </c>
      <c r="CZ3734">
        <v>0</v>
      </c>
      <c r="DA3734">
        <v>3.4</v>
      </c>
      <c r="DB3734">
        <v>2.09</v>
      </c>
      <c r="DC3734">
        <v>0.31</v>
      </c>
      <c r="DD3734">
        <v>40.79</v>
      </c>
      <c r="DE3734" t="s">
        <v>9024</v>
      </c>
      <c r="DF3734">
        <v>46.8</v>
      </c>
      <c r="DG3734">
        <v>22.23</v>
      </c>
      <c r="DH3734">
        <v>16.93</v>
      </c>
      <c r="DI3734">
        <v>0.02</v>
      </c>
      <c r="DJ3734">
        <v>1148</v>
      </c>
      <c r="DK3734">
        <v>603759</v>
      </c>
      <c r="DL3734" t="s">
        <v>120</v>
      </c>
      <c r="DM3734" t="s">
        <v>120</v>
      </c>
      <c r="DN3734" t="s">
        <v>120</v>
      </c>
    </row>
    <row r="3735" spans="1:118">
      <c r="A3735" t="str">
        <f>"603766"</f>
        <v>603766</v>
      </c>
      <c r="B3735" t="s">
        <v>15479</v>
      </c>
      <c r="C3735">
        <v>-0.7</v>
      </c>
      <c r="D3735">
        <v>0</v>
      </c>
      <c r="E3735">
        <v>0</v>
      </c>
      <c r="F3735">
        <v>2158</v>
      </c>
      <c r="G3735" t="s">
        <v>15480</v>
      </c>
      <c r="H3735">
        <v>10201.540000000001</v>
      </c>
      <c r="I3735">
        <v>35.950000000000003</v>
      </c>
      <c r="J3735" t="s">
        <v>120</v>
      </c>
      <c r="K3735" t="s">
        <v>15481</v>
      </c>
      <c r="L3735">
        <v>1.1499999999999999</v>
      </c>
      <c r="M3735">
        <v>4.28</v>
      </c>
      <c r="N3735">
        <v>0.59</v>
      </c>
      <c r="O3735">
        <v>2.5499999999999998</v>
      </c>
      <c r="P3735">
        <v>4.42</v>
      </c>
      <c r="Q3735">
        <v>-1.39</v>
      </c>
      <c r="R3735">
        <v>4.25</v>
      </c>
      <c r="S3735">
        <v>4.3099999999999996</v>
      </c>
      <c r="T3735">
        <v>236271</v>
      </c>
      <c r="U3735">
        <v>4.29</v>
      </c>
      <c r="V3735">
        <v>4.3099999999999996</v>
      </c>
      <c r="W3735">
        <v>8.51</v>
      </c>
      <c r="X3735" t="s">
        <v>2427</v>
      </c>
      <c r="Y3735" t="s">
        <v>883</v>
      </c>
      <c r="Z3735">
        <v>3.94</v>
      </c>
      <c r="AA3735">
        <v>4.32</v>
      </c>
      <c r="AB3735">
        <v>127872</v>
      </c>
      <c r="AC3735">
        <v>108399</v>
      </c>
      <c r="AD3735">
        <v>1.18</v>
      </c>
      <c r="AE3735">
        <v>131</v>
      </c>
      <c r="AF3735">
        <v>1160</v>
      </c>
      <c r="AG3735" t="s">
        <v>120</v>
      </c>
      <c r="AH3735">
        <v>0.01</v>
      </c>
      <c r="AI3735" t="s">
        <v>120</v>
      </c>
      <c r="AJ3735">
        <v>20.54</v>
      </c>
      <c r="AK3735" t="s">
        <v>15481</v>
      </c>
      <c r="AL3735">
        <v>0.65</v>
      </c>
      <c r="AM3735">
        <v>3035</v>
      </c>
      <c r="AN3735">
        <v>78</v>
      </c>
      <c r="AO3735">
        <v>4.0000000000000002E-4</v>
      </c>
      <c r="AP3735">
        <v>-1</v>
      </c>
      <c r="AQ3735">
        <v>0.94</v>
      </c>
      <c r="AR3735">
        <v>-1.1599999999999999</v>
      </c>
      <c r="AS3735">
        <v>21.25</v>
      </c>
      <c r="AT3735">
        <v>13.52</v>
      </c>
      <c r="AU3735">
        <v>25.14</v>
      </c>
      <c r="AV3735">
        <v>0</v>
      </c>
      <c r="AW3735">
        <v>2.2999999999999998</v>
      </c>
      <c r="AX3735">
        <v>49.93</v>
      </c>
      <c r="AY3735">
        <v>13.09</v>
      </c>
      <c r="AZ3735">
        <v>18.440000000000001</v>
      </c>
      <c r="BA3735">
        <v>0.95</v>
      </c>
      <c r="BB3735" t="s">
        <v>143</v>
      </c>
      <c r="BF3735">
        <v>0.18</v>
      </c>
      <c r="BG3735">
        <v>-0.7</v>
      </c>
      <c r="BH3735">
        <v>-3.17</v>
      </c>
      <c r="BI3735">
        <v>0.71</v>
      </c>
      <c r="BJ3735">
        <v>20210914</v>
      </c>
      <c r="BK3735">
        <v>20120810</v>
      </c>
      <c r="BL3735">
        <v>20.54</v>
      </c>
      <c r="BM3735" t="s">
        <v>120</v>
      </c>
      <c r="BN3735" t="s">
        <v>120</v>
      </c>
      <c r="BO3735">
        <v>134.9</v>
      </c>
      <c r="BP3735">
        <v>4.28</v>
      </c>
      <c r="BQ3735">
        <v>75.38</v>
      </c>
      <c r="BR3735">
        <v>3.44</v>
      </c>
      <c r="BS3735">
        <v>41.57</v>
      </c>
      <c r="BT3735">
        <v>81.38</v>
      </c>
      <c r="BU3735">
        <v>27.05</v>
      </c>
      <c r="BV3735">
        <v>7.67</v>
      </c>
      <c r="BW3735">
        <v>51.19</v>
      </c>
      <c r="BX3735">
        <v>22.81</v>
      </c>
      <c r="BY3735">
        <v>10.039999999999999</v>
      </c>
      <c r="BZ3735">
        <v>23.27</v>
      </c>
      <c r="CA3735" t="s">
        <v>120</v>
      </c>
      <c r="CB3735">
        <v>0.23</v>
      </c>
      <c r="CC3735">
        <v>61.54</v>
      </c>
      <c r="CD3735">
        <v>53.27</v>
      </c>
      <c r="CE3735">
        <v>5.63</v>
      </c>
      <c r="CF3735">
        <v>2.75</v>
      </c>
      <c r="CG3735">
        <v>5.89</v>
      </c>
      <c r="CH3735">
        <v>5.19</v>
      </c>
      <c r="CI3735">
        <v>5.16</v>
      </c>
      <c r="CJ3735">
        <v>-0.03</v>
      </c>
      <c r="CK3735">
        <v>2.4300000000000002</v>
      </c>
      <c r="CL3735">
        <v>48.49</v>
      </c>
      <c r="CM3735">
        <v>5.35</v>
      </c>
      <c r="CN3735">
        <v>-3.54</v>
      </c>
      <c r="CO3735">
        <v>43542</v>
      </c>
      <c r="CP3735">
        <v>23548</v>
      </c>
      <c r="CQ3735" t="s">
        <v>6843</v>
      </c>
      <c r="CR3735">
        <v>61.43</v>
      </c>
      <c r="CS3735">
        <v>40.869999999999997</v>
      </c>
      <c r="CT3735">
        <v>1.17</v>
      </c>
      <c r="CU3735">
        <v>16.440000000000001</v>
      </c>
      <c r="CV3735">
        <v>1.43</v>
      </c>
      <c r="CW3735">
        <v>1.86</v>
      </c>
      <c r="CX3735" t="s">
        <v>9612</v>
      </c>
      <c r="CY3735">
        <v>3.67</v>
      </c>
      <c r="CZ3735">
        <v>0</v>
      </c>
      <c r="DA3735">
        <v>0.01</v>
      </c>
      <c r="DB3735">
        <v>2.36</v>
      </c>
      <c r="DC3735">
        <v>0.26</v>
      </c>
      <c r="DD3735">
        <v>55.88</v>
      </c>
      <c r="DE3735" t="s">
        <v>6444</v>
      </c>
      <c r="DF3735">
        <v>13.44</v>
      </c>
      <c r="DG3735">
        <v>9.15</v>
      </c>
      <c r="DH3735">
        <v>8.39</v>
      </c>
      <c r="DI3735">
        <v>1.92</v>
      </c>
      <c r="DJ3735">
        <v>8665</v>
      </c>
      <c r="DK3735">
        <v>603766</v>
      </c>
      <c r="DL3735" t="s">
        <v>120</v>
      </c>
      <c r="DM3735" t="s">
        <v>120</v>
      </c>
      <c r="DN3735" t="s">
        <v>120</v>
      </c>
    </row>
    <row r="3736" spans="1:118">
      <c r="A3736" t="str">
        <f>"603767"</f>
        <v>603767</v>
      </c>
      <c r="B3736" t="s">
        <v>15482</v>
      </c>
      <c r="C3736">
        <v>0</v>
      </c>
      <c r="D3736">
        <v>0</v>
      </c>
      <c r="E3736">
        <v>0</v>
      </c>
      <c r="F3736">
        <v>335</v>
      </c>
      <c r="G3736" t="s">
        <v>11061</v>
      </c>
      <c r="H3736">
        <v>1839.44</v>
      </c>
      <c r="I3736">
        <v>1.1299999999999999</v>
      </c>
      <c r="J3736" t="s">
        <v>120</v>
      </c>
      <c r="K3736" t="s">
        <v>8929</v>
      </c>
      <c r="L3736">
        <v>0.85</v>
      </c>
      <c r="M3736">
        <v>7.05</v>
      </c>
      <c r="N3736">
        <v>1.21</v>
      </c>
      <c r="O3736">
        <v>2.84</v>
      </c>
      <c r="P3736">
        <v>7.25</v>
      </c>
      <c r="Q3736">
        <v>-0.28000000000000003</v>
      </c>
      <c r="R3736">
        <v>7.03</v>
      </c>
      <c r="S3736">
        <v>7.05</v>
      </c>
      <c r="T3736">
        <v>25763</v>
      </c>
      <c r="U3736">
        <v>7.05</v>
      </c>
      <c r="V3736">
        <v>7.05</v>
      </c>
      <c r="W3736">
        <v>33.43</v>
      </c>
      <c r="X3736" t="s">
        <v>289</v>
      </c>
      <c r="Y3736" t="s">
        <v>585</v>
      </c>
      <c r="Z3736">
        <v>3.12</v>
      </c>
      <c r="AA3736">
        <v>7.14</v>
      </c>
      <c r="AB3736">
        <v>12549</v>
      </c>
      <c r="AC3736">
        <v>13214</v>
      </c>
      <c r="AD3736">
        <v>0.95</v>
      </c>
      <c r="AE3736">
        <v>28</v>
      </c>
      <c r="AF3736">
        <v>258</v>
      </c>
      <c r="AG3736" t="s">
        <v>120</v>
      </c>
      <c r="AH3736">
        <v>0</v>
      </c>
      <c r="AI3736" t="s">
        <v>120</v>
      </c>
      <c r="AJ3736">
        <v>3.02</v>
      </c>
      <c r="AK3736" t="s">
        <v>8930</v>
      </c>
      <c r="AL3736">
        <v>1.34</v>
      </c>
      <c r="AM3736">
        <v>978</v>
      </c>
      <c r="AN3736">
        <v>26</v>
      </c>
      <c r="AO3736">
        <v>8.9999999999999998E-4</v>
      </c>
      <c r="AP3736">
        <v>0</v>
      </c>
      <c r="AQ3736">
        <v>1</v>
      </c>
      <c r="AR3736">
        <v>-0.85</v>
      </c>
      <c r="AS3736">
        <v>-1.67</v>
      </c>
      <c r="AT3736">
        <v>4.4400000000000004</v>
      </c>
      <c r="AU3736">
        <v>-0.42</v>
      </c>
      <c r="AV3736">
        <v>3</v>
      </c>
      <c r="AW3736">
        <v>2.64</v>
      </c>
      <c r="AX3736">
        <v>31.92</v>
      </c>
      <c r="AY3736">
        <v>35.92</v>
      </c>
      <c r="AZ3736">
        <v>39.06</v>
      </c>
      <c r="BA3736">
        <v>0.4</v>
      </c>
      <c r="BB3736" t="s">
        <v>143</v>
      </c>
      <c r="BF3736">
        <v>1.27</v>
      </c>
      <c r="BG3736">
        <v>0</v>
      </c>
      <c r="BH3736">
        <v>-2.76</v>
      </c>
      <c r="BI3736">
        <v>0.28000000000000003</v>
      </c>
      <c r="BJ3736">
        <v>20210821</v>
      </c>
      <c r="BK3736">
        <v>20170613</v>
      </c>
      <c r="BL3736">
        <v>3.06</v>
      </c>
      <c r="BM3736" t="s">
        <v>120</v>
      </c>
      <c r="BN3736" t="s">
        <v>120</v>
      </c>
      <c r="BO3736">
        <v>19.45</v>
      </c>
      <c r="BP3736">
        <v>7.04</v>
      </c>
      <c r="BQ3736">
        <v>14.51</v>
      </c>
      <c r="BR3736" t="s">
        <v>120</v>
      </c>
      <c r="BS3736">
        <v>25.37</v>
      </c>
      <c r="BT3736">
        <v>10.56</v>
      </c>
      <c r="BU3736">
        <v>7.11</v>
      </c>
      <c r="BV3736">
        <v>1.05</v>
      </c>
      <c r="BW3736">
        <v>4.2300000000000004</v>
      </c>
      <c r="BX3736">
        <v>3.93</v>
      </c>
      <c r="BY3736">
        <v>1.91</v>
      </c>
      <c r="BZ3736">
        <v>2.81</v>
      </c>
      <c r="CA3736" t="s">
        <v>120</v>
      </c>
      <c r="CB3736">
        <v>6.78</v>
      </c>
      <c r="CC3736">
        <v>5.28</v>
      </c>
      <c r="CD3736">
        <v>4.41</v>
      </c>
      <c r="CE3736">
        <v>0.34</v>
      </c>
      <c r="CF3736">
        <v>0</v>
      </c>
      <c r="CG3736">
        <v>0.34</v>
      </c>
      <c r="CH3736">
        <v>0.32</v>
      </c>
      <c r="CI3736">
        <v>0.32</v>
      </c>
      <c r="CJ3736">
        <v>0</v>
      </c>
      <c r="CK3736">
        <v>0.3</v>
      </c>
      <c r="CL3736">
        <v>3.75</v>
      </c>
      <c r="CM3736">
        <v>1.18</v>
      </c>
      <c r="CN3736">
        <v>0.19</v>
      </c>
      <c r="CO3736">
        <v>14786</v>
      </c>
      <c r="CP3736">
        <v>6609</v>
      </c>
      <c r="CQ3736" t="s">
        <v>3644</v>
      </c>
      <c r="CR3736">
        <v>17.62</v>
      </c>
      <c r="CS3736">
        <v>19.829999999999998</v>
      </c>
      <c r="CT3736">
        <v>1.49</v>
      </c>
      <c r="CU3736">
        <v>18.239999999999998</v>
      </c>
      <c r="CV3736">
        <v>4.09</v>
      </c>
      <c r="CW3736">
        <v>2.13</v>
      </c>
      <c r="CX3736" t="s">
        <v>1147</v>
      </c>
      <c r="CY3736">
        <v>4.74</v>
      </c>
      <c r="CZ3736">
        <v>0</v>
      </c>
      <c r="DA3736">
        <v>2.2200000000000002</v>
      </c>
      <c r="DB3736">
        <v>1.23</v>
      </c>
      <c r="DC3736">
        <v>0.39</v>
      </c>
      <c r="DD3736">
        <v>74.63</v>
      </c>
      <c r="DE3736" t="s">
        <v>5792</v>
      </c>
      <c r="DF3736">
        <v>16.5</v>
      </c>
      <c r="DG3736">
        <v>6.35</v>
      </c>
      <c r="DH3736">
        <v>6.11</v>
      </c>
      <c r="DI3736">
        <v>0.23</v>
      </c>
      <c r="DJ3736">
        <v>1090</v>
      </c>
      <c r="DK3736">
        <v>603767</v>
      </c>
      <c r="DL3736" t="s">
        <v>120</v>
      </c>
      <c r="DM3736" t="s">
        <v>120</v>
      </c>
      <c r="DN3736" t="s">
        <v>120</v>
      </c>
    </row>
    <row r="3737" spans="1:118">
      <c r="A3737" t="str">
        <f>"603768"</f>
        <v>603768</v>
      </c>
      <c r="B3737" t="s">
        <v>15483</v>
      </c>
      <c r="C3737">
        <v>-1.48</v>
      </c>
      <c r="D3737">
        <v>0.13</v>
      </c>
      <c r="E3737">
        <v>0</v>
      </c>
      <c r="F3737">
        <v>60</v>
      </c>
      <c r="G3737" t="s">
        <v>14431</v>
      </c>
      <c r="H3737">
        <v>877.13</v>
      </c>
      <c r="I3737">
        <v>1.1299999999999999</v>
      </c>
      <c r="J3737" t="s">
        <v>120</v>
      </c>
      <c r="K3737" t="s">
        <v>820</v>
      </c>
      <c r="L3737">
        <v>0.27</v>
      </c>
      <c r="M3737">
        <v>15.96</v>
      </c>
      <c r="N3737">
        <v>0.46</v>
      </c>
      <c r="O3737">
        <v>0.93</v>
      </c>
      <c r="P3737">
        <v>16.350000000000001</v>
      </c>
      <c r="Q3737">
        <v>-1.85</v>
      </c>
      <c r="R3737">
        <v>15.9</v>
      </c>
      <c r="S3737">
        <v>16.2</v>
      </c>
      <c r="T3737">
        <v>5431</v>
      </c>
      <c r="U3737">
        <v>15.97</v>
      </c>
      <c r="V3737">
        <v>16.2</v>
      </c>
      <c r="W3737">
        <v>21.62</v>
      </c>
      <c r="X3737" t="s">
        <v>289</v>
      </c>
      <c r="Y3737" t="s">
        <v>570</v>
      </c>
      <c r="Z3737">
        <v>2.78</v>
      </c>
      <c r="AA3737">
        <v>16.149999999999999</v>
      </c>
      <c r="AB3737">
        <v>3151</v>
      </c>
      <c r="AC3737">
        <v>2280</v>
      </c>
      <c r="AD3737">
        <v>1.38</v>
      </c>
      <c r="AE3737">
        <v>38</v>
      </c>
      <c r="AF3737">
        <v>21</v>
      </c>
      <c r="AG3737" t="s">
        <v>120</v>
      </c>
      <c r="AH3737">
        <v>0</v>
      </c>
      <c r="AI3737" t="s">
        <v>120</v>
      </c>
      <c r="AJ3737">
        <v>2.04</v>
      </c>
      <c r="AK3737" t="s">
        <v>820</v>
      </c>
      <c r="AL3737">
        <v>-0.14000000000000001</v>
      </c>
      <c r="AM3737">
        <v>526</v>
      </c>
      <c r="AN3737">
        <v>10</v>
      </c>
      <c r="AO3737">
        <v>5.0000000000000001E-4</v>
      </c>
      <c r="AP3737">
        <v>-1</v>
      </c>
      <c r="AQ3737">
        <v>1.38</v>
      </c>
      <c r="AR3737">
        <v>-2.44</v>
      </c>
      <c r="AS3737">
        <v>-8.64</v>
      </c>
      <c r="AT3737">
        <v>6.97</v>
      </c>
      <c r="AU3737">
        <v>1.1499999999999999</v>
      </c>
      <c r="AV3737">
        <v>1</v>
      </c>
      <c r="AW3737">
        <v>0.96</v>
      </c>
      <c r="AX3737">
        <v>27.86</v>
      </c>
      <c r="AY3737">
        <v>30.64</v>
      </c>
      <c r="AZ3737">
        <v>43.96</v>
      </c>
      <c r="BA3737">
        <v>0.77</v>
      </c>
      <c r="BB3737" t="s">
        <v>168</v>
      </c>
      <c r="BF3737">
        <v>-0.31</v>
      </c>
      <c r="BG3737">
        <v>-1.48</v>
      </c>
      <c r="BH3737">
        <v>-2.39</v>
      </c>
      <c r="BI3737">
        <v>0.38</v>
      </c>
      <c r="BJ3737">
        <v>20210830</v>
      </c>
      <c r="BK3737">
        <v>20170324</v>
      </c>
      <c r="BL3737">
        <v>2.04</v>
      </c>
      <c r="BM3737" t="s">
        <v>120</v>
      </c>
      <c r="BN3737" t="s">
        <v>120</v>
      </c>
      <c r="BO3737">
        <v>37.630000000000003</v>
      </c>
      <c r="BP3737">
        <v>15.96</v>
      </c>
      <c r="BQ3737">
        <v>18.170000000000002</v>
      </c>
      <c r="BR3737" t="s">
        <v>120</v>
      </c>
      <c r="BS3737">
        <v>51.72</v>
      </c>
      <c r="BT3737">
        <v>17.38</v>
      </c>
      <c r="BU3737">
        <v>12.51</v>
      </c>
      <c r="BV3737">
        <v>3</v>
      </c>
      <c r="BW3737">
        <v>16.97</v>
      </c>
      <c r="BX3737">
        <v>2.46</v>
      </c>
      <c r="BY3737">
        <v>4.91</v>
      </c>
      <c r="BZ3737">
        <v>5.54</v>
      </c>
      <c r="CA3737">
        <v>0.1</v>
      </c>
      <c r="CB3737">
        <v>7.97</v>
      </c>
      <c r="CC3737">
        <v>15.91</v>
      </c>
      <c r="CD3737">
        <v>13.39</v>
      </c>
      <c r="CE3737">
        <v>0.86</v>
      </c>
      <c r="CF3737">
        <v>0</v>
      </c>
      <c r="CG3737">
        <v>0.87</v>
      </c>
      <c r="CH3737">
        <v>0.75</v>
      </c>
      <c r="CI3737">
        <v>0.75</v>
      </c>
      <c r="CJ3737">
        <v>-0.24</v>
      </c>
      <c r="CK3737">
        <v>0.68</v>
      </c>
      <c r="CL3737">
        <v>7.41</v>
      </c>
      <c r="CM3737">
        <v>-1.59</v>
      </c>
      <c r="CN3737">
        <v>-2.06</v>
      </c>
      <c r="CO3737">
        <v>8749</v>
      </c>
      <c r="CP3737">
        <v>6495</v>
      </c>
      <c r="CQ3737" t="s">
        <v>15484</v>
      </c>
      <c r="CR3737">
        <v>76.72</v>
      </c>
      <c r="CS3737">
        <v>53.47</v>
      </c>
      <c r="CT3737">
        <v>1.79</v>
      </c>
      <c r="CU3737">
        <v>-20.53</v>
      </c>
      <c r="CV3737">
        <v>2.0499999999999998</v>
      </c>
      <c r="CW3737">
        <v>0.69</v>
      </c>
      <c r="CX3737" t="s">
        <v>709</v>
      </c>
      <c r="CY3737">
        <v>8.91</v>
      </c>
      <c r="CZ3737">
        <v>0</v>
      </c>
      <c r="DA3737">
        <v>3.91</v>
      </c>
      <c r="DB3737">
        <v>3.63</v>
      </c>
      <c r="DC3737">
        <v>-0.78</v>
      </c>
      <c r="DD3737">
        <v>48.28</v>
      </c>
      <c r="DE3737" t="s">
        <v>15485</v>
      </c>
      <c r="DF3737">
        <v>15.87</v>
      </c>
      <c r="DG3737">
        <v>5.43</v>
      </c>
      <c r="DH3737">
        <v>4.7300000000000004</v>
      </c>
      <c r="DI3737">
        <v>0.4</v>
      </c>
      <c r="DJ3737">
        <v>3021</v>
      </c>
      <c r="DK3737">
        <v>603768</v>
      </c>
      <c r="DL3737" t="s">
        <v>120</v>
      </c>
      <c r="DM3737" t="s">
        <v>120</v>
      </c>
      <c r="DN3737" t="s">
        <v>120</v>
      </c>
    </row>
    <row r="3738" spans="1:118">
      <c r="A3738" t="str">
        <f>"603773"</f>
        <v>603773</v>
      </c>
      <c r="B3738" t="s">
        <v>15486</v>
      </c>
      <c r="C3738">
        <v>1.1299999999999999</v>
      </c>
      <c r="D3738">
        <v>0</v>
      </c>
      <c r="E3738">
        <v>-0.05</v>
      </c>
      <c r="F3738">
        <v>111</v>
      </c>
      <c r="G3738" t="s">
        <v>15487</v>
      </c>
      <c r="H3738">
        <v>2663</v>
      </c>
      <c r="I3738">
        <v>2.79</v>
      </c>
      <c r="J3738" t="s">
        <v>120</v>
      </c>
      <c r="K3738" t="s">
        <v>15488</v>
      </c>
      <c r="L3738">
        <v>1.1499999999999999</v>
      </c>
      <c r="M3738">
        <v>18.829999999999998</v>
      </c>
      <c r="N3738">
        <v>1.73</v>
      </c>
      <c r="O3738">
        <v>3.11</v>
      </c>
      <c r="P3738">
        <v>19.2</v>
      </c>
      <c r="Q3738">
        <v>-0.21</v>
      </c>
      <c r="R3738">
        <v>18.579999999999998</v>
      </c>
      <c r="S3738">
        <v>18.61</v>
      </c>
      <c r="T3738">
        <v>14088</v>
      </c>
      <c r="U3738">
        <v>18.84</v>
      </c>
      <c r="V3738">
        <v>18.62</v>
      </c>
      <c r="W3738">
        <v>469.05</v>
      </c>
      <c r="X3738" t="s">
        <v>229</v>
      </c>
      <c r="Y3738" t="s">
        <v>676</v>
      </c>
      <c r="Z3738">
        <v>3.33</v>
      </c>
      <c r="AA3738">
        <v>18.899999999999999</v>
      </c>
      <c r="AB3738">
        <v>5534</v>
      </c>
      <c r="AC3738">
        <v>8554</v>
      </c>
      <c r="AD3738">
        <v>0.65</v>
      </c>
      <c r="AE3738">
        <v>204</v>
      </c>
      <c r="AF3738">
        <v>4</v>
      </c>
      <c r="AG3738" t="s">
        <v>120</v>
      </c>
      <c r="AH3738">
        <v>0</v>
      </c>
      <c r="AI3738" t="s">
        <v>120</v>
      </c>
      <c r="AJ3738">
        <v>1.22</v>
      </c>
      <c r="AK3738" t="s">
        <v>15488</v>
      </c>
      <c r="AL3738">
        <v>2.4700000000000002</v>
      </c>
      <c r="AM3738">
        <v>1496</v>
      </c>
      <c r="AN3738">
        <v>9</v>
      </c>
      <c r="AO3738">
        <v>8.0000000000000004E-4</v>
      </c>
      <c r="AP3738">
        <v>2</v>
      </c>
      <c r="AQ3738">
        <v>0.32</v>
      </c>
      <c r="AR3738">
        <v>0.1</v>
      </c>
      <c r="AS3738">
        <v>-11.63</v>
      </c>
      <c r="AT3738">
        <v>-7.76</v>
      </c>
      <c r="AU3738">
        <v>-9.4</v>
      </c>
      <c r="AV3738">
        <v>0</v>
      </c>
      <c r="AW3738">
        <v>2.09</v>
      </c>
      <c r="AX3738">
        <v>55.04</v>
      </c>
      <c r="AY3738">
        <v>301.77999999999997</v>
      </c>
      <c r="AZ3738">
        <v>161.46</v>
      </c>
      <c r="BA3738">
        <v>0.89</v>
      </c>
      <c r="BB3738" t="s">
        <v>125</v>
      </c>
      <c r="BF3738">
        <v>1.52</v>
      </c>
      <c r="BG3738">
        <v>1.18</v>
      </c>
      <c r="BH3738">
        <v>-1.93</v>
      </c>
      <c r="BI3738">
        <v>1.35</v>
      </c>
      <c r="BJ3738">
        <v>20210826</v>
      </c>
      <c r="BK3738">
        <v>20180417</v>
      </c>
      <c r="BL3738">
        <v>1.22</v>
      </c>
      <c r="BM3738" t="s">
        <v>120</v>
      </c>
      <c r="BN3738" t="s">
        <v>120</v>
      </c>
      <c r="BO3738">
        <v>22.65</v>
      </c>
      <c r="BP3738">
        <v>18.829999999999998</v>
      </c>
      <c r="BQ3738">
        <v>15.6</v>
      </c>
      <c r="BR3738">
        <v>0.3</v>
      </c>
      <c r="BS3738">
        <v>29.81</v>
      </c>
      <c r="BT3738">
        <v>9.6999999999999993</v>
      </c>
      <c r="BU3738">
        <v>9.18</v>
      </c>
      <c r="BV3738">
        <v>1.1000000000000001</v>
      </c>
      <c r="BW3738">
        <v>6.29</v>
      </c>
      <c r="BX3738">
        <v>3.52</v>
      </c>
      <c r="BY3738">
        <v>0.57999999999999996</v>
      </c>
      <c r="BZ3738">
        <v>3.89</v>
      </c>
      <c r="CA3738" t="s">
        <v>120</v>
      </c>
      <c r="CB3738">
        <v>9.64</v>
      </c>
      <c r="CC3738">
        <v>4.0199999999999996</v>
      </c>
      <c r="CD3738">
        <v>2.93</v>
      </c>
      <c r="CE3738">
        <v>7.0000000000000007E-2</v>
      </c>
      <c r="CF3738">
        <v>0</v>
      </c>
      <c r="CG3738">
        <v>0.06</v>
      </c>
      <c r="CH3738">
        <v>0.03</v>
      </c>
      <c r="CI3738">
        <v>0.02</v>
      </c>
      <c r="CJ3738">
        <v>0.21</v>
      </c>
      <c r="CK3738">
        <v>0</v>
      </c>
      <c r="CL3738">
        <v>5.07</v>
      </c>
      <c r="CM3738">
        <v>-0.46</v>
      </c>
      <c r="CN3738">
        <v>-0.56999999999999995</v>
      </c>
      <c r="CO3738">
        <v>13512</v>
      </c>
      <c r="CP3738">
        <v>4984</v>
      </c>
      <c r="CQ3738" t="s">
        <v>15489</v>
      </c>
      <c r="CR3738">
        <v>-72.760000000000005</v>
      </c>
      <c r="CS3738">
        <v>49.13</v>
      </c>
      <c r="CT3738">
        <v>1.48</v>
      </c>
      <c r="CU3738">
        <v>-50.38</v>
      </c>
      <c r="CV3738">
        <v>5.73</v>
      </c>
      <c r="CW3738">
        <v>0.21</v>
      </c>
      <c r="CX3738" t="s">
        <v>499</v>
      </c>
      <c r="CY3738">
        <v>12.75</v>
      </c>
      <c r="CZ3738">
        <v>0</v>
      </c>
      <c r="DA3738">
        <v>7.88</v>
      </c>
      <c r="DB3738">
        <v>4.1399999999999997</v>
      </c>
      <c r="DC3738">
        <v>-0.37</v>
      </c>
      <c r="DD3738">
        <v>68.87</v>
      </c>
      <c r="DE3738" t="s">
        <v>1098</v>
      </c>
      <c r="DF3738">
        <v>27.21</v>
      </c>
      <c r="DG3738">
        <v>1.65</v>
      </c>
      <c r="DH3738">
        <v>0.61</v>
      </c>
      <c r="DI3738">
        <v>0.22</v>
      </c>
      <c r="DJ3738">
        <v>2512</v>
      </c>
      <c r="DK3738">
        <v>603773</v>
      </c>
      <c r="DL3738" t="s">
        <v>120</v>
      </c>
      <c r="DM3738" t="s">
        <v>120</v>
      </c>
      <c r="DN3738" t="s">
        <v>120</v>
      </c>
    </row>
    <row r="3739" spans="1:118">
      <c r="A3739" t="str">
        <f>"603776"</f>
        <v>603776</v>
      </c>
      <c r="B3739" t="s">
        <v>15490</v>
      </c>
      <c r="C3739">
        <v>-5.38</v>
      </c>
      <c r="D3739">
        <v>-0.05</v>
      </c>
      <c r="E3739">
        <v>-0.45</v>
      </c>
      <c r="F3739">
        <v>1455</v>
      </c>
      <c r="G3739" t="s">
        <v>9703</v>
      </c>
      <c r="H3739">
        <v>10280.4</v>
      </c>
      <c r="I3739">
        <v>6.04</v>
      </c>
      <c r="J3739" t="s">
        <v>120</v>
      </c>
      <c r="K3739" t="s">
        <v>15491</v>
      </c>
      <c r="L3739">
        <v>2.5499999999999998</v>
      </c>
      <c r="M3739">
        <v>16.89</v>
      </c>
      <c r="N3739">
        <v>1.37</v>
      </c>
      <c r="O3739">
        <v>1.46</v>
      </c>
      <c r="P3739">
        <v>18.11</v>
      </c>
      <c r="Q3739">
        <v>-5.43</v>
      </c>
      <c r="R3739">
        <v>16.88</v>
      </c>
      <c r="S3739">
        <v>17.77</v>
      </c>
      <c r="T3739">
        <v>59297</v>
      </c>
      <c r="U3739">
        <v>16.899999999999999</v>
      </c>
      <c r="V3739">
        <v>17.850000000000001</v>
      </c>
      <c r="W3739">
        <v>24.06</v>
      </c>
      <c r="X3739" t="s">
        <v>5789</v>
      </c>
      <c r="Y3739" t="s">
        <v>319</v>
      </c>
      <c r="Z3739">
        <v>6.89</v>
      </c>
      <c r="AA3739">
        <v>17.34</v>
      </c>
      <c r="AB3739">
        <v>37379</v>
      </c>
      <c r="AC3739">
        <v>21918</v>
      </c>
      <c r="AD3739">
        <v>1.71</v>
      </c>
      <c r="AE3739">
        <v>272</v>
      </c>
      <c r="AF3739">
        <v>100</v>
      </c>
      <c r="AG3739" t="s">
        <v>120</v>
      </c>
      <c r="AH3739">
        <v>0</v>
      </c>
      <c r="AI3739" t="s">
        <v>120</v>
      </c>
      <c r="AJ3739">
        <v>2.33</v>
      </c>
      <c r="AK3739" t="s">
        <v>5485</v>
      </c>
      <c r="AL3739">
        <v>-4.03</v>
      </c>
      <c r="AM3739">
        <v>2428</v>
      </c>
      <c r="AN3739">
        <v>24</v>
      </c>
      <c r="AO3739">
        <v>1E-3</v>
      </c>
      <c r="AP3739">
        <v>-3</v>
      </c>
      <c r="AQ3739">
        <v>-0.11</v>
      </c>
      <c r="AR3739">
        <v>-9.5299999999999994</v>
      </c>
      <c r="AS3739">
        <v>-5.17</v>
      </c>
      <c r="AT3739">
        <v>-9.1</v>
      </c>
      <c r="AU3739">
        <v>27.26</v>
      </c>
      <c r="AV3739">
        <v>5</v>
      </c>
      <c r="AW3739">
        <v>4.49</v>
      </c>
      <c r="AX3739">
        <v>56.58</v>
      </c>
      <c r="AY3739">
        <v>8.25</v>
      </c>
      <c r="AZ3739">
        <v>8.42</v>
      </c>
      <c r="BA3739">
        <v>0.85</v>
      </c>
      <c r="BB3739" t="s">
        <v>143</v>
      </c>
      <c r="BF3739">
        <v>-2.87</v>
      </c>
      <c r="BG3739">
        <v>-4.95</v>
      </c>
      <c r="BH3739">
        <v>-6.74</v>
      </c>
      <c r="BI3739">
        <v>0.06</v>
      </c>
      <c r="BJ3739">
        <v>20210825</v>
      </c>
      <c r="BK3739">
        <v>20170817</v>
      </c>
      <c r="BL3739">
        <v>2.33</v>
      </c>
      <c r="BM3739" t="s">
        <v>120</v>
      </c>
      <c r="BN3739" t="s">
        <v>120</v>
      </c>
      <c r="BO3739">
        <v>48.31</v>
      </c>
      <c r="BP3739">
        <v>16.89</v>
      </c>
      <c r="BQ3739">
        <v>34.200000000000003</v>
      </c>
      <c r="BR3739">
        <v>0.03</v>
      </c>
      <c r="BS3739">
        <v>29.14</v>
      </c>
      <c r="BT3739">
        <v>39.83</v>
      </c>
      <c r="BU3739">
        <v>5.76</v>
      </c>
      <c r="BV3739">
        <v>0.53</v>
      </c>
      <c r="BW3739">
        <v>5.44</v>
      </c>
      <c r="BX3739">
        <v>4.59</v>
      </c>
      <c r="BY3739">
        <v>0.82</v>
      </c>
      <c r="BZ3739">
        <v>7.68</v>
      </c>
      <c r="CA3739" t="s">
        <v>120</v>
      </c>
      <c r="CB3739">
        <v>7.39</v>
      </c>
      <c r="CC3739">
        <v>4.34</v>
      </c>
      <c r="CD3739">
        <v>3.35</v>
      </c>
      <c r="CE3739">
        <v>0.95</v>
      </c>
      <c r="CF3739">
        <v>0.03</v>
      </c>
      <c r="CG3739">
        <v>0.94</v>
      </c>
      <c r="CH3739">
        <v>0.81</v>
      </c>
      <c r="CI3739">
        <v>0.82</v>
      </c>
      <c r="CJ3739">
        <v>-0.96</v>
      </c>
      <c r="CK3739">
        <v>0.51</v>
      </c>
      <c r="CL3739">
        <v>22.11</v>
      </c>
      <c r="CM3739">
        <v>1.29</v>
      </c>
      <c r="CN3739">
        <v>-7.68</v>
      </c>
      <c r="CO3739">
        <v>15531</v>
      </c>
      <c r="CP3739">
        <v>8504</v>
      </c>
      <c r="CQ3739" t="s">
        <v>15492</v>
      </c>
      <c r="CR3739">
        <v>15.05</v>
      </c>
      <c r="CS3739">
        <v>6.53</v>
      </c>
      <c r="CT3739">
        <v>1.22</v>
      </c>
      <c r="CU3739">
        <v>30.57</v>
      </c>
      <c r="CV3739">
        <v>9.09</v>
      </c>
      <c r="CW3739">
        <v>2.87</v>
      </c>
      <c r="CX3739" t="s">
        <v>709</v>
      </c>
      <c r="CY3739">
        <v>13.82</v>
      </c>
      <c r="CZ3739">
        <v>13.82</v>
      </c>
      <c r="DA3739">
        <v>3.16</v>
      </c>
      <c r="DB3739">
        <v>9.4700000000000006</v>
      </c>
      <c r="DC3739">
        <v>0.55000000000000004</v>
      </c>
      <c r="DD3739">
        <v>70.8</v>
      </c>
      <c r="DE3739" t="s">
        <v>507</v>
      </c>
      <c r="DF3739">
        <v>22.67</v>
      </c>
      <c r="DG3739">
        <v>21.96</v>
      </c>
      <c r="DH3739">
        <v>18.89</v>
      </c>
      <c r="DI3739">
        <v>0.18</v>
      </c>
      <c r="DJ3739">
        <v>5301</v>
      </c>
      <c r="DK3739">
        <v>603776</v>
      </c>
      <c r="DL3739" t="s">
        <v>120</v>
      </c>
      <c r="DM3739" t="s">
        <v>120</v>
      </c>
      <c r="DN3739" t="s">
        <v>120</v>
      </c>
    </row>
    <row r="3740" spans="1:118">
      <c r="A3740" t="str">
        <f>"603777"</f>
        <v>603777</v>
      </c>
      <c r="B3740" t="s">
        <v>15493</v>
      </c>
      <c r="C3740">
        <v>5.83</v>
      </c>
      <c r="D3740">
        <v>0.06</v>
      </c>
      <c r="E3740">
        <v>0</v>
      </c>
      <c r="F3740">
        <v>3441</v>
      </c>
      <c r="G3740" t="s">
        <v>7822</v>
      </c>
      <c r="H3740">
        <v>27676.11</v>
      </c>
      <c r="I3740">
        <v>5.97</v>
      </c>
      <c r="J3740" t="s">
        <v>120</v>
      </c>
      <c r="K3740" t="s">
        <v>15494</v>
      </c>
      <c r="L3740">
        <v>5.42</v>
      </c>
      <c r="M3740">
        <v>15.42</v>
      </c>
      <c r="N3740">
        <v>3.34</v>
      </c>
      <c r="O3740">
        <v>9.4700000000000006</v>
      </c>
      <c r="P3740">
        <v>15.95</v>
      </c>
      <c r="Q3740">
        <v>-1.3</v>
      </c>
      <c r="R3740">
        <v>14.38</v>
      </c>
      <c r="S3740">
        <v>14.57</v>
      </c>
      <c r="T3740">
        <v>182562</v>
      </c>
      <c r="U3740">
        <v>15.43</v>
      </c>
      <c r="V3740">
        <v>14.57</v>
      </c>
      <c r="W3740">
        <v>23.97</v>
      </c>
      <c r="X3740" t="s">
        <v>847</v>
      </c>
      <c r="Y3740" t="s">
        <v>1510</v>
      </c>
      <c r="Z3740">
        <v>10.78</v>
      </c>
      <c r="AA3740">
        <v>15.16</v>
      </c>
      <c r="AB3740">
        <v>83205</v>
      </c>
      <c r="AC3740">
        <v>99357</v>
      </c>
      <c r="AD3740">
        <v>0.84</v>
      </c>
      <c r="AE3740">
        <v>294</v>
      </c>
      <c r="AF3740">
        <v>21</v>
      </c>
      <c r="AG3740" t="s">
        <v>120</v>
      </c>
      <c r="AH3740">
        <v>0</v>
      </c>
      <c r="AI3740" t="s">
        <v>120</v>
      </c>
      <c r="AJ3740">
        <v>3.37</v>
      </c>
      <c r="AK3740" t="s">
        <v>10727</v>
      </c>
      <c r="AL3740">
        <v>7.18</v>
      </c>
      <c r="AM3740">
        <v>3643</v>
      </c>
      <c r="AN3740">
        <v>50</v>
      </c>
      <c r="AO3740">
        <v>1.5E-3</v>
      </c>
      <c r="AP3740">
        <v>2</v>
      </c>
      <c r="AQ3740">
        <v>0.76</v>
      </c>
      <c r="AR3740">
        <v>5.33</v>
      </c>
      <c r="AS3740">
        <v>7.69</v>
      </c>
      <c r="AT3740">
        <v>-7.66</v>
      </c>
      <c r="AU3740">
        <v>24.56</v>
      </c>
      <c r="AV3740">
        <v>6</v>
      </c>
      <c r="AW3740">
        <v>15.92</v>
      </c>
      <c r="AX3740">
        <v>34.06</v>
      </c>
      <c r="AY3740">
        <v>159.41999999999999</v>
      </c>
      <c r="AZ3740" t="s">
        <v>120</v>
      </c>
      <c r="BA3740">
        <v>0.53</v>
      </c>
      <c r="BB3740" t="s">
        <v>143</v>
      </c>
      <c r="BF3740">
        <v>4.05</v>
      </c>
      <c r="BG3740">
        <v>5.83</v>
      </c>
      <c r="BH3740">
        <v>-3.32</v>
      </c>
      <c r="BI3740">
        <v>7.23</v>
      </c>
      <c r="BJ3740">
        <v>20210828</v>
      </c>
      <c r="BK3740">
        <v>20161012</v>
      </c>
      <c r="BL3740">
        <v>3.37</v>
      </c>
      <c r="BM3740" t="s">
        <v>120</v>
      </c>
      <c r="BN3740" t="s">
        <v>120</v>
      </c>
      <c r="BO3740">
        <v>31.21</v>
      </c>
      <c r="BP3740">
        <v>15.42</v>
      </c>
      <c r="BQ3740">
        <v>17.739999999999998</v>
      </c>
      <c r="BR3740" t="s">
        <v>120</v>
      </c>
      <c r="BS3740">
        <v>43.16</v>
      </c>
      <c r="BT3740">
        <v>17.03</v>
      </c>
      <c r="BU3740">
        <v>5.24</v>
      </c>
      <c r="BV3740">
        <v>0.28999999999999998</v>
      </c>
      <c r="BW3740">
        <v>11.11</v>
      </c>
      <c r="BX3740">
        <v>8.4700000000000006</v>
      </c>
      <c r="BY3740">
        <v>1.92</v>
      </c>
      <c r="BZ3740">
        <v>0.25</v>
      </c>
      <c r="CA3740">
        <v>0.03</v>
      </c>
      <c r="CB3740">
        <v>9.2200000000000006</v>
      </c>
      <c r="CC3740">
        <v>21</v>
      </c>
      <c r="CD3740">
        <v>11.47</v>
      </c>
      <c r="CE3740">
        <v>1.54</v>
      </c>
      <c r="CF3740">
        <v>0.68</v>
      </c>
      <c r="CG3740">
        <v>1.57</v>
      </c>
      <c r="CH3740">
        <v>1.08</v>
      </c>
      <c r="CI3740">
        <v>1.08</v>
      </c>
      <c r="CJ3740">
        <v>0.85</v>
      </c>
      <c r="CK3740">
        <v>0.42</v>
      </c>
      <c r="CL3740">
        <v>4.82</v>
      </c>
      <c r="CM3740">
        <v>2.73</v>
      </c>
      <c r="CN3740">
        <v>1.3</v>
      </c>
      <c r="CO3740">
        <v>38134</v>
      </c>
      <c r="CP3740">
        <v>3008</v>
      </c>
      <c r="CQ3740" t="s">
        <v>13262</v>
      </c>
      <c r="CR3740">
        <v>777.59</v>
      </c>
      <c r="CS3740">
        <v>-1.72</v>
      </c>
      <c r="CT3740">
        <v>2.93</v>
      </c>
      <c r="CU3740">
        <v>19</v>
      </c>
      <c r="CV3740">
        <v>2.4700000000000002</v>
      </c>
      <c r="CW3740">
        <v>0</v>
      </c>
      <c r="CX3740" t="s">
        <v>966</v>
      </c>
      <c r="CY3740">
        <v>5.26</v>
      </c>
      <c r="CZ3740">
        <v>5.26</v>
      </c>
      <c r="DA3740">
        <v>2.74</v>
      </c>
      <c r="DB3740">
        <v>1.43</v>
      </c>
      <c r="DC3740">
        <v>0.81</v>
      </c>
      <c r="DD3740">
        <v>56.84</v>
      </c>
      <c r="DE3740" t="s">
        <v>6461</v>
      </c>
      <c r="DF3740">
        <v>45.37</v>
      </c>
      <c r="DG3740">
        <v>7.33</v>
      </c>
      <c r="DH3740">
        <v>5.16</v>
      </c>
      <c r="DI3740">
        <v>0.02</v>
      </c>
      <c r="DJ3740">
        <v>7937</v>
      </c>
      <c r="DK3740">
        <v>603777</v>
      </c>
      <c r="DL3740" t="s">
        <v>120</v>
      </c>
      <c r="DM3740" t="s">
        <v>120</v>
      </c>
      <c r="DN3740" t="s">
        <v>120</v>
      </c>
    </row>
    <row r="3741" spans="1:118">
      <c r="A3741" t="str">
        <f>"603778"</f>
        <v>603778</v>
      </c>
      <c r="B3741" t="s">
        <v>15495</v>
      </c>
      <c r="C3741">
        <v>-1.1499999999999999</v>
      </c>
      <c r="D3741">
        <v>0.47</v>
      </c>
      <c r="E3741">
        <v>1.61</v>
      </c>
      <c r="F3741">
        <v>2029</v>
      </c>
      <c r="G3741" t="s">
        <v>11523</v>
      </c>
      <c r="H3741">
        <v>4689.4799999999996</v>
      </c>
      <c r="I3741">
        <v>70.680000000000007</v>
      </c>
      <c r="J3741" t="s">
        <v>120</v>
      </c>
      <c r="K3741" t="s">
        <v>6742</v>
      </c>
      <c r="L3741">
        <v>1.69</v>
      </c>
      <c r="M3741">
        <v>4.3</v>
      </c>
      <c r="N3741">
        <v>1.06</v>
      </c>
      <c r="O3741">
        <v>2.0699999999999998</v>
      </c>
      <c r="P3741">
        <v>4.4400000000000004</v>
      </c>
      <c r="Q3741">
        <v>-2.76</v>
      </c>
      <c r="R3741">
        <v>4.2300000000000004</v>
      </c>
      <c r="S3741">
        <v>4.42</v>
      </c>
      <c r="T3741">
        <v>108769</v>
      </c>
      <c r="U3741">
        <v>4.3</v>
      </c>
      <c r="V3741">
        <v>4.3499999999999996</v>
      </c>
      <c r="W3741" t="s">
        <v>120</v>
      </c>
      <c r="X3741" t="s">
        <v>175</v>
      </c>
      <c r="Y3741" t="s">
        <v>158</v>
      </c>
      <c r="Z3741">
        <v>4.83</v>
      </c>
      <c r="AA3741">
        <v>4.3099999999999996</v>
      </c>
      <c r="AB3741">
        <v>64269</v>
      </c>
      <c r="AC3741">
        <v>44500</v>
      </c>
      <c r="AD3741">
        <v>1.44</v>
      </c>
      <c r="AE3741">
        <v>40</v>
      </c>
      <c r="AF3741">
        <v>73</v>
      </c>
      <c r="AG3741" t="s">
        <v>120</v>
      </c>
      <c r="AH3741">
        <v>0.05</v>
      </c>
      <c r="AI3741" t="s">
        <v>120</v>
      </c>
      <c r="AJ3741">
        <v>6.43</v>
      </c>
      <c r="AK3741" t="s">
        <v>6742</v>
      </c>
      <c r="AL3741">
        <v>0.19</v>
      </c>
      <c r="AM3741">
        <v>2122</v>
      </c>
      <c r="AN3741">
        <v>51</v>
      </c>
      <c r="AO3741">
        <v>8.0000000000000004E-4</v>
      </c>
      <c r="AP3741">
        <v>-1</v>
      </c>
      <c r="AQ3741">
        <v>4.07</v>
      </c>
      <c r="AR3741">
        <v>3.12</v>
      </c>
      <c r="AS3741">
        <v>17.48</v>
      </c>
      <c r="AT3741">
        <v>1.66</v>
      </c>
      <c r="AU3741">
        <v>1.17</v>
      </c>
      <c r="AV3741">
        <v>9</v>
      </c>
      <c r="AW3741">
        <v>3.54</v>
      </c>
      <c r="AX3741">
        <v>47.75</v>
      </c>
      <c r="AY3741" t="s">
        <v>120</v>
      </c>
      <c r="AZ3741" t="s">
        <v>120</v>
      </c>
      <c r="BA3741">
        <v>0.76</v>
      </c>
      <c r="BB3741" t="s">
        <v>168</v>
      </c>
      <c r="BF3741">
        <v>-0.89</v>
      </c>
      <c r="BG3741">
        <v>-2.71</v>
      </c>
      <c r="BH3741">
        <v>-3.15</v>
      </c>
      <c r="BI3741">
        <v>1.65</v>
      </c>
      <c r="BJ3741">
        <v>20210828</v>
      </c>
      <c r="BK3741">
        <v>20151231</v>
      </c>
      <c r="BL3741">
        <v>6.43</v>
      </c>
      <c r="BM3741" t="s">
        <v>120</v>
      </c>
      <c r="BN3741" t="s">
        <v>120</v>
      </c>
      <c r="BO3741">
        <v>21.37</v>
      </c>
      <c r="BP3741">
        <v>4.29</v>
      </c>
      <c r="BQ3741">
        <v>14.03</v>
      </c>
      <c r="BR3741">
        <v>1.1200000000000001</v>
      </c>
      <c r="BS3741">
        <v>29.16</v>
      </c>
      <c r="BT3741">
        <v>11.42</v>
      </c>
      <c r="BU3741">
        <v>0.56000000000000005</v>
      </c>
      <c r="BV3741">
        <v>1.77</v>
      </c>
      <c r="BW3741">
        <v>5.12</v>
      </c>
      <c r="BX3741">
        <v>1.1499999999999999</v>
      </c>
      <c r="BY3741">
        <v>0.04</v>
      </c>
      <c r="BZ3741">
        <v>2.27</v>
      </c>
      <c r="CA3741">
        <v>0</v>
      </c>
      <c r="CB3741">
        <v>3.85</v>
      </c>
      <c r="CC3741">
        <v>0.89</v>
      </c>
      <c r="CD3741">
        <v>0.75</v>
      </c>
      <c r="CE3741">
        <v>-0.24</v>
      </c>
      <c r="CF3741">
        <v>0.13</v>
      </c>
      <c r="CG3741">
        <v>-0.24</v>
      </c>
      <c r="CH3741">
        <v>-0.21</v>
      </c>
      <c r="CI3741">
        <v>-0.18</v>
      </c>
      <c r="CJ3741">
        <v>-0.05</v>
      </c>
      <c r="CK3741">
        <v>-0.2</v>
      </c>
      <c r="CL3741">
        <v>3.32</v>
      </c>
      <c r="CM3741">
        <v>-1.03</v>
      </c>
      <c r="CN3741">
        <v>-2.74</v>
      </c>
      <c r="CO3741">
        <v>38308</v>
      </c>
      <c r="CP3741">
        <v>8012</v>
      </c>
      <c r="CQ3741" t="s">
        <v>15496</v>
      </c>
      <c r="CR3741">
        <v>-67.8</v>
      </c>
      <c r="CS3741">
        <v>-21.05</v>
      </c>
      <c r="CT3741">
        <v>1.97</v>
      </c>
      <c r="CU3741">
        <v>-26.8</v>
      </c>
      <c r="CV3741">
        <v>31.04</v>
      </c>
      <c r="CW3741">
        <v>0</v>
      </c>
      <c r="CX3741" t="s">
        <v>479</v>
      </c>
      <c r="CY3741">
        <v>2.1800000000000002</v>
      </c>
      <c r="CZ3741">
        <v>0</v>
      </c>
      <c r="DA3741">
        <v>0.6</v>
      </c>
      <c r="DB3741">
        <v>0.52</v>
      </c>
      <c r="DC3741">
        <v>-0.16</v>
      </c>
      <c r="DD3741">
        <v>65.62</v>
      </c>
      <c r="DE3741" t="s">
        <v>15497</v>
      </c>
      <c r="DF3741">
        <v>15.76</v>
      </c>
      <c r="DG3741">
        <v>-26.88</v>
      </c>
      <c r="DH3741">
        <v>-20.56</v>
      </c>
      <c r="DI3741">
        <v>0.03</v>
      </c>
      <c r="DJ3741">
        <v>193</v>
      </c>
      <c r="DK3741">
        <v>603778</v>
      </c>
      <c r="DL3741" t="s">
        <v>120</v>
      </c>
      <c r="DM3741" t="s">
        <v>120</v>
      </c>
      <c r="DN3741" t="s">
        <v>120</v>
      </c>
    </row>
    <row r="3742" spans="1:118">
      <c r="A3742" t="str">
        <f>"603779"</f>
        <v>603779</v>
      </c>
      <c r="B3742" t="s">
        <v>15498</v>
      </c>
      <c r="C3742">
        <v>-1.47</v>
      </c>
      <c r="D3742">
        <v>0.12</v>
      </c>
      <c r="E3742">
        <v>-0.98</v>
      </c>
      <c r="F3742">
        <v>359</v>
      </c>
      <c r="G3742" t="s">
        <v>10058</v>
      </c>
      <c r="H3742">
        <v>3969.6</v>
      </c>
      <c r="I3742">
        <v>9.89</v>
      </c>
      <c r="J3742" t="s">
        <v>120</v>
      </c>
      <c r="K3742" t="s">
        <v>2744</v>
      </c>
      <c r="L3742">
        <v>1.59</v>
      </c>
      <c r="M3742">
        <v>8.07</v>
      </c>
      <c r="N3742">
        <v>1.1200000000000001</v>
      </c>
      <c r="O3742">
        <v>1.71</v>
      </c>
      <c r="P3742">
        <v>8.33</v>
      </c>
      <c r="Q3742">
        <v>-1.71</v>
      </c>
      <c r="R3742">
        <v>8.0500000000000007</v>
      </c>
      <c r="S3742">
        <v>8.11</v>
      </c>
      <c r="T3742">
        <v>48533</v>
      </c>
      <c r="U3742">
        <v>8.08</v>
      </c>
      <c r="V3742">
        <v>8.19</v>
      </c>
      <c r="W3742" t="s">
        <v>120</v>
      </c>
      <c r="X3742" t="s">
        <v>2247</v>
      </c>
      <c r="Y3742" t="s">
        <v>638</v>
      </c>
      <c r="Z3742">
        <v>3.42</v>
      </c>
      <c r="AA3742">
        <v>8.18</v>
      </c>
      <c r="AB3742">
        <v>26877</v>
      </c>
      <c r="AC3742">
        <v>21656</v>
      </c>
      <c r="AD3742">
        <v>1.24</v>
      </c>
      <c r="AE3742">
        <v>176</v>
      </c>
      <c r="AF3742">
        <v>127</v>
      </c>
      <c r="AG3742" t="s">
        <v>120</v>
      </c>
      <c r="AH3742">
        <v>0.01</v>
      </c>
      <c r="AI3742" t="s">
        <v>120</v>
      </c>
      <c r="AJ3742">
        <v>3.05</v>
      </c>
      <c r="AK3742" t="s">
        <v>15499</v>
      </c>
      <c r="AL3742">
        <v>-0.12</v>
      </c>
      <c r="AM3742">
        <v>1823</v>
      </c>
      <c r="AN3742">
        <v>27</v>
      </c>
      <c r="AO3742">
        <v>8.9999999999999998E-4</v>
      </c>
      <c r="AP3742">
        <v>-1</v>
      </c>
      <c r="AQ3742">
        <v>0.74</v>
      </c>
      <c r="AR3742">
        <v>-2.1800000000000002</v>
      </c>
      <c r="AS3742">
        <v>-14.06</v>
      </c>
      <c r="AT3742">
        <v>-12.76</v>
      </c>
      <c r="AU3742">
        <v>37.01</v>
      </c>
      <c r="AV3742">
        <v>24</v>
      </c>
      <c r="AW3742">
        <v>4.28</v>
      </c>
      <c r="AX3742">
        <v>34.1</v>
      </c>
      <c r="AY3742" t="s">
        <v>120</v>
      </c>
      <c r="AZ3742" t="s">
        <v>120</v>
      </c>
      <c r="BA3742">
        <v>1.24</v>
      </c>
      <c r="BB3742" t="s">
        <v>168</v>
      </c>
      <c r="BF3742">
        <v>-0.13</v>
      </c>
      <c r="BG3742">
        <v>-0.49</v>
      </c>
      <c r="BH3742">
        <v>-3.12</v>
      </c>
      <c r="BI3742">
        <v>0.25</v>
      </c>
      <c r="BJ3742">
        <v>20210827</v>
      </c>
      <c r="BK3742">
        <v>20160516</v>
      </c>
      <c r="BL3742">
        <v>3.33</v>
      </c>
      <c r="BM3742" t="s">
        <v>120</v>
      </c>
      <c r="BN3742" t="s">
        <v>120</v>
      </c>
      <c r="BO3742">
        <v>18.41</v>
      </c>
      <c r="BP3742">
        <v>8.07</v>
      </c>
      <c r="BQ3742">
        <v>11.25</v>
      </c>
      <c r="BR3742" t="s">
        <v>120</v>
      </c>
      <c r="BS3742">
        <v>38.869999999999997</v>
      </c>
      <c r="BT3742">
        <v>8.07</v>
      </c>
      <c r="BU3742">
        <v>6.66</v>
      </c>
      <c r="BV3742">
        <v>0.42</v>
      </c>
      <c r="BW3742">
        <v>5.75</v>
      </c>
      <c r="BX3742">
        <v>0.21</v>
      </c>
      <c r="BY3742">
        <v>7.09</v>
      </c>
      <c r="BZ3742">
        <v>0.28999999999999998</v>
      </c>
      <c r="CA3742" t="s">
        <v>120</v>
      </c>
      <c r="CB3742">
        <v>5.75</v>
      </c>
      <c r="CC3742">
        <v>2.4300000000000002</v>
      </c>
      <c r="CD3742">
        <v>1.26</v>
      </c>
      <c r="CE3742">
        <v>0.05</v>
      </c>
      <c r="CF3742">
        <v>0</v>
      </c>
      <c r="CG3742">
        <v>0.05</v>
      </c>
      <c r="CH3742">
        <v>-0.01</v>
      </c>
      <c r="CI3742">
        <v>-0.01</v>
      </c>
      <c r="CJ3742">
        <v>-0.12</v>
      </c>
      <c r="CK3742">
        <v>-0.04</v>
      </c>
      <c r="CL3742">
        <v>1.76</v>
      </c>
      <c r="CM3742">
        <v>0.08</v>
      </c>
      <c r="CN3742">
        <v>-0.48</v>
      </c>
      <c r="CO3742">
        <v>13486</v>
      </c>
      <c r="CP3742">
        <v>8414</v>
      </c>
      <c r="CQ3742" t="s">
        <v>3500</v>
      </c>
      <c r="CR3742">
        <v>99.12</v>
      </c>
      <c r="CS3742">
        <v>44.44</v>
      </c>
      <c r="CT3742">
        <v>2.39</v>
      </c>
      <c r="CU3742">
        <v>344.86</v>
      </c>
      <c r="CV3742">
        <v>11.04</v>
      </c>
      <c r="CW3742">
        <v>0</v>
      </c>
      <c r="CX3742" t="s">
        <v>7881</v>
      </c>
      <c r="CY3742">
        <v>3.38</v>
      </c>
      <c r="CZ3742">
        <v>0</v>
      </c>
      <c r="DA3742">
        <v>1.73</v>
      </c>
      <c r="DB3742">
        <v>0.53</v>
      </c>
      <c r="DC3742">
        <v>0.02</v>
      </c>
      <c r="DD3742">
        <v>61.13</v>
      </c>
      <c r="DE3742" t="s">
        <v>9500</v>
      </c>
      <c r="DF3742">
        <v>48.27</v>
      </c>
      <c r="DG3742">
        <v>2.23</v>
      </c>
      <c r="DH3742">
        <v>-0.5</v>
      </c>
      <c r="DI3742">
        <v>0.02</v>
      </c>
      <c r="DJ3742">
        <v>949</v>
      </c>
      <c r="DK3742">
        <v>603779</v>
      </c>
      <c r="DL3742" t="s">
        <v>120</v>
      </c>
      <c r="DM3742" t="s">
        <v>120</v>
      </c>
      <c r="DN3742" t="s">
        <v>120</v>
      </c>
    </row>
    <row r="3743" spans="1:118">
      <c r="A3743" t="str">
        <f>"603786"</f>
        <v>603786</v>
      </c>
      <c r="B3743" t="s">
        <v>15500</v>
      </c>
      <c r="C3743">
        <v>-2.4900000000000002</v>
      </c>
      <c r="D3743">
        <v>0.21</v>
      </c>
      <c r="E3743">
        <v>0.64</v>
      </c>
      <c r="F3743">
        <v>378</v>
      </c>
      <c r="G3743" t="s">
        <v>15501</v>
      </c>
      <c r="H3743">
        <v>3682.96</v>
      </c>
      <c r="I3743">
        <v>6.94</v>
      </c>
      <c r="J3743" t="s">
        <v>120</v>
      </c>
      <c r="K3743" t="s">
        <v>15501</v>
      </c>
      <c r="L3743">
        <v>1.49</v>
      </c>
      <c r="M3743">
        <v>61.14</v>
      </c>
      <c r="N3743">
        <v>0.55000000000000004</v>
      </c>
      <c r="O3743">
        <v>1.53</v>
      </c>
      <c r="P3743">
        <v>63.66</v>
      </c>
      <c r="Q3743">
        <v>-2.78</v>
      </c>
      <c r="R3743">
        <v>60.96</v>
      </c>
      <c r="S3743">
        <v>63.1</v>
      </c>
      <c r="T3743">
        <v>5965</v>
      </c>
      <c r="U3743">
        <v>61.14</v>
      </c>
      <c r="V3743">
        <v>62.7</v>
      </c>
      <c r="W3743">
        <v>53.08</v>
      </c>
      <c r="X3743" t="s">
        <v>289</v>
      </c>
      <c r="Y3743" t="s">
        <v>1510</v>
      </c>
      <c r="Z3743">
        <v>4.3099999999999996</v>
      </c>
      <c r="AA3743">
        <v>61.75</v>
      </c>
      <c r="AB3743">
        <v>4166</v>
      </c>
      <c r="AC3743">
        <v>1799</v>
      </c>
      <c r="AD3743">
        <v>2.3199999999999998</v>
      </c>
      <c r="AE3743">
        <v>5</v>
      </c>
      <c r="AF3743">
        <v>18</v>
      </c>
      <c r="AG3743" t="s">
        <v>120</v>
      </c>
      <c r="AH3743">
        <v>0</v>
      </c>
      <c r="AI3743" t="s">
        <v>120</v>
      </c>
      <c r="AJ3743">
        <v>0.4</v>
      </c>
      <c r="AK3743" t="s">
        <v>15502</v>
      </c>
      <c r="AL3743">
        <v>-1.1399999999999999</v>
      </c>
      <c r="AM3743">
        <v>1283</v>
      </c>
      <c r="AN3743">
        <v>5</v>
      </c>
      <c r="AO3743">
        <v>1.1999999999999999E-3</v>
      </c>
      <c r="AP3743">
        <v>-1</v>
      </c>
      <c r="AQ3743">
        <v>3.64</v>
      </c>
      <c r="AR3743">
        <v>-0.68</v>
      </c>
      <c r="AS3743">
        <v>7.02</v>
      </c>
      <c r="AT3743">
        <v>-17.05</v>
      </c>
      <c r="AU3743">
        <v>-8.91</v>
      </c>
      <c r="AV3743">
        <v>1</v>
      </c>
      <c r="AW3743">
        <v>1.49</v>
      </c>
      <c r="AX3743">
        <v>10.02</v>
      </c>
      <c r="AY3743">
        <v>46.76</v>
      </c>
      <c r="AZ3743">
        <v>48.74</v>
      </c>
      <c r="BA3743">
        <v>1.64</v>
      </c>
      <c r="BB3743" t="s">
        <v>143</v>
      </c>
      <c r="BF3743">
        <v>-1.52</v>
      </c>
      <c r="BG3743">
        <v>-3.11</v>
      </c>
      <c r="BH3743">
        <v>-3.96</v>
      </c>
      <c r="BI3743">
        <v>0.3</v>
      </c>
      <c r="BJ3743">
        <v>20210827</v>
      </c>
      <c r="BK3743">
        <v>20191015</v>
      </c>
      <c r="BL3743">
        <v>4</v>
      </c>
      <c r="BM3743" t="s">
        <v>120</v>
      </c>
      <c r="BN3743" t="s">
        <v>120</v>
      </c>
      <c r="BO3743">
        <v>46.78</v>
      </c>
      <c r="BP3743">
        <v>61.05</v>
      </c>
      <c r="BQ3743">
        <v>38.86</v>
      </c>
      <c r="BR3743">
        <v>1.1100000000000001</v>
      </c>
      <c r="BS3743">
        <v>14.56</v>
      </c>
      <c r="BT3743">
        <v>33.93</v>
      </c>
      <c r="BU3743">
        <v>5.21</v>
      </c>
      <c r="BV3743">
        <v>1.18</v>
      </c>
      <c r="BW3743">
        <v>6.21</v>
      </c>
      <c r="BX3743">
        <v>5.16</v>
      </c>
      <c r="BY3743">
        <v>8.3699999999999992</v>
      </c>
      <c r="BZ3743">
        <v>7.91</v>
      </c>
      <c r="CA3743" t="s">
        <v>120</v>
      </c>
      <c r="CB3743">
        <v>18.59</v>
      </c>
      <c r="CC3743">
        <v>14.58</v>
      </c>
      <c r="CD3743">
        <v>9.3800000000000008</v>
      </c>
      <c r="CE3743">
        <v>2.73</v>
      </c>
      <c r="CF3743">
        <v>0.14000000000000001</v>
      </c>
      <c r="CG3743">
        <v>2.75</v>
      </c>
      <c r="CH3743">
        <v>2.48</v>
      </c>
      <c r="CI3743">
        <v>2.2999999999999998</v>
      </c>
      <c r="CJ3743">
        <v>-1.56</v>
      </c>
      <c r="CK3743">
        <v>2.09</v>
      </c>
      <c r="CL3743">
        <v>15.32</v>
      </c>
      <c r="CM3743">
        <v>1.76</v>
      </c>
      <c r="CN3743">
        <v>0.89</v>
      </c>
      <c r="CO3743">
        <v>10095</v>
      </c>
      <c r="CP3743">
        <v>3972</v>
      </c>
      <c r="CQ3743" t="s">
        <v>15503</v>
      </c>
      <c r="CR3743">
        <v>10.46</v>
      </c>
      <c r="CS3743">
        <v>17.829999999999998</v>
      </c>
      <c r="CT3743">
        <v>6.29</v>
      </c>
      <c r="CU3743">
        <v>139.02000000000001</v>
      </c>
      <c r="CV3743">
        <v>16.78</v>
      </c>
      <c r="CW3743">
        <v>0.8</v>
      </c>
      <c r="CX3743" t="s">
        <v>12707</v>
      </c>
      <c r="CY3743">
        <v>9.7100000000000009</v>
      </c>
      <c r="CZ3743">
        <v>0</v>
      </c>
      <c r="DA3743">
        <v>4.6500000000000004</v>
      </c>
      <c r="DB3743">
        <v>3.83</v>
      </c>
      <c r="DC3743">
        <v>0.44</v>
      </c>
      <c r="DD3743">
        <v>83.08</v>
      </c>
      <c r="DE3743" t="s">
        <v>15504</v>
      </c>
      <c r="DF3743">
        <v>35.64</v>
      </c>
      <c r="DG3743">
        <v>18.75</v>
      </c>
      <c r="DH3743">
        <v>15.81</v>
      </c>
      <c r="DI3743">
        <v>1.41</v>
      </c>
      <c r="DJ3743">
        <v>2027</v>
      </c>
      <c r="DK3743">
        <v>603786</v>
      </c>
      <c r="DL3743" t="s">
        <v>120</v>
      </c>
      <c r="DM3743" t="s">
        <v>120</v>
      </c>
      <c r="DN3743" t="s">
        <v>120</v>
      </c>
    </row>
    <row r="3744" spans="1:118">
      <c r="A3744" t="str">
        <f>"603787"</f>
        <v>603787</v>
      </c>
      <c r="B3744" t="s">
        <v>15505</v>
      </c>
      <c r="C3744">
        <v>-3.51</v>
      </c>
      <c r="D3744">
        <v>0.28999999999999998</v>
      </c>
      <c r="E3744">
        <v>-0.5</v>
      </c>
      <c r="F3744">
        <v>160</v>
      </c>
      <c r="G3744" t="s">
        <v>15506</v>
      </c>
      <c r="H3744">
        <v>4878.96</v>
      </c>
      <c r="I3744">
        <v>40.880000000000003</v>
      </c>
      <c r="J3744" t="s">
        <v>120</v>
      </c>
      <c r="K3744" t="s">
        <v>1989</v>
      </c>
      <c r="L3744">
        <v>1.37</v>
      </c>
      <c r="M3744">
        <v>17.309999999999999</v>
      </c>
      <c r="N3744">
        <v>1.21</v>
      </c>
      <c r="O3744">
        <v>-0.5</v>
      </c>
      <c r="P3744">
        <v>17.850000000000001</v>
      </c>
      <c r="Q3744">
        <v>-4.5199999999999996</v>
      </c>
      <c r="R3744">
        <v>17.13</v>
      </c>
      <c r="S3744">
        <v>17.850000000000001</v>
      </c>
      <c r="T3744">
        <v>27896</v>
      </c>
      <c r="U3744">
        <v>17.32</v>
      </c>
      <c r="V3744">
        <v>17.940000000000001</v>
      </c>
      <c r="W3744">
        <v>144.79</v>
      </c>
      <c r="X3744" t="s">
        <v>2427</v>
      </c>
      <c r="Y3744" t="s">
        <v>319</v>
      </c>
      <c r="Z3744">
        <v>4.01</v>
      </c>
      <c r="AA3744">
        <v>17.489999999999998</v>
      </c>
      <c r="AB3744">
        <v>18193</v>
      </c>
      <c r="AC3744">
        <v>9703</v>
      </c>
      <c r="AD3744">
        <v>1.87</v>
      </c>
      <c r="AE3744">
        <v>6</v>
      </c>
      <c r="AF3744">
        <v>29</v>
      </c>
      <c r="AG3744" t="s">
        <v>120</v>
      </c>
      <c r="AH3744">
        <v>0.04</v>
      </c>
      <c r="AI3744" t="s">
        <v>120</v>
      </c>
      <c r="AJ3744">
        <v>2.04</v>
      </c>
      <c r="AK3744" t="s">
        <v>1989</v>
      </c>
      <c r="AL3744">
        <v>-2.17</v>
      </c>
      <c r="AM3744">
        <v>1916</v>
      </c>
      <c r="AN3744">
        <v>15</v>
      </c>
      <c r="AO3744">
        <v>6.9999999999999999E-4</v>
      </c>
      <c r="AP3744">
        <v>-1</v>
      </c>
      <c r="AQ3744">
        <v>6.85</v>
      </c>
      <c r="AR3744">
        <v>2.73</v>
      </c>
      <c r="AS3744">
        <v>-0.4</v>
      </c>
      <c r="AT3744">
        <v>-39.03</v>
      </c>
      <c r="AU3744">
        <v>-41</v>
      </c>
      <c r="AV3744">
        <v>9</v>
      </c>
      <c r="AW3744">
        <v>5.08</v>
      </c>
      <c r="AX3744">
        <v>26.94</v>
      </c>
      <c r="AY3744">
        <v>49.32</v>
      </c>
      <c r="AZ3744">
        <v>35.840000000000003</v>
      </c>
      <c r="BA3744">
        <v>1.1000000000000001</v>
      </c>
      <c r="BB3744" t="s">
        <v>168</v>
      </c>
      <c r="BF3744">
        <v>-2.5099999999999998</v>
      </c>
      <c r="BG3744">
        <v>-3.03</v>
      </c>
      <c r="BH3744">
        <v>-3.03</v>
      </c>
      <c r="BI3744">
        <v>1.05</v>
      </c>
      <c r="BJ3744">
        <v>20210817</v>
      </c>
      <c r="BK3744">
        <v>20170427</v>
      </c>
      <c r="BL3744">
        <v>2.04</v>
      </c>
      <c r="BM3744" t="s">
        <v>120</v>
      </c>
      <c r="BN3744" t="s">
        <v>120</v>
      </c>
      <c r="BO3744">
        <v>27.33</v>
      </c>
      <c r="BP3744">
        <v>17.309999999999999</v>
      </c>
      <c r="BQ3744">
        <v>10</v>
      </c>
      <c r="BR3744">
        <v>0.03</v>
      </c>
      <c r="BS3744">
        <v>63.29</v>
      </c>
      <c r="BT3744">
        <v>19.260000000000002</v>
      </c>
      <c r="BU3744">
        <v>3.49</v>
      </c>
      <c r="BV3744">
        <v>2.0699999999999998</v>
      </c>
      <c r="BW3744">
        <v>17.13</v>
      </c>
      <c r="BX3744">
        <v>12.4</v>
      </c>
      <c r="BY3744">
        <v>2.39</v>
      </c>
      <c r="BZ3744">
        <v>2.72</v>
      </c>
      <c r="CA3744">
        <v>0.04</v>
      </c>
      <c r="CB3744">
        <v>2.2200000000000002</v>
      </c>
      <c r="CC3744">
        <v>20.3</v>
      </c>
      <c r="CD3744">
        <v>17.649999999999999</v>
      </c>
      <c r="CE3744">
        <v>0.05</v>
      </c>
      <c r="CF3744">
        <v>0.02</v>
      </c>
      <c r="CG3744">
        <v>0.16</v>
      </c>
      <c r="CH3744">
        <v>0.11</v>
      </c>
      <c r="CI3744">
        <v>0.12</v>
      </c>
      <c r="CJ3744">
        <v>-0.63</v>
      </c>
      <c r="CK3744">
        <v>-0.03</v>
      </c>
      <c r="CL3744">
        <v>4.97</v>
      </c>
      <c r="CM3744">
        <v>2.61</v>
      </c>
      <c r="CN3744">
        <v>0.98</v>
      </c>
      <c r="CO3744">
        <v>15665</v>
      </c>
      <c r="CP3744">
        <v>3509</v>
      </c>
      <c r="CQ3744" t="s">
        <v>1035</v>
      </c>
      <c r="CR3744">
        <v>-69.59</v>
      </c>
      <c r="CS3744">
        <v>0.59</v>
      </c>
      <c r="CT3744">
        <v>3.53</v>
      </c>
      <c r="CU3744">
        <v>13.55</v>
      </c>
      <c r="CV3744">
        <v>1.74</v>
      </c>
      <c r="CW3744">
        <v>1.39</v>
      </c>
      <c r="CX3744" t="s">
        <v>1064</v>
      </c>
      <c r="CY3744">
        <v>4.9000000000000004</v>
      </c>
      <c r="CZ3744">
        <v>0</v>
      </c>
      <c r="DA3744">
        <v>1.0900000000000001</v>
      </c>
      <c r="DB3744">
        <v>2.44</v>
      </c>
      <c r="DC3744">
        <v>1.28</v>
      </c>
      <c r="DD3744">
        <v>36.6</v>
      </c>
      <c r="DE3744" t="s">
        <v>1703</v>
      </c>
      <c r="DF3744">
        <v>13.07</v>
      </c>
      <c r="DG3744">
        <v>0.23</v>
      </c>
      <c r="DH3744">
        <v>0.6</v>
      </c>
      <c r="DI3744">
        <v>0.4</v>
      </c>
      <c r="DJ3744">
        <v>2773</v>
      </c>
      <c r="DK3744">
        <v>603787</v>
      </c>
      <c r="DL3744" t="s">
        <v>120</v>
      </c>
      <c r="DM3744" t="s">
        <v>120</v>
      </c>
      <c r="DN3744" t="s">
        <v>120</v>
      </c>
    </row>
    <row r="3745" spans="1:118">
      <c r="A3745" t="str">
        <f>"603788"</f>
        <v>603788</v>
      </c>
      <c r="B3745" t="s">
        <v>15507</v>
      </c>
      <c r="C3745">
        <v>-1.64</v>
      </c>
      <c r="D3745">
        <v>0</v>
      </c>
      <c r="E3745">
        <v>0</v>
      </c>
      <c r="F3745">
        <v>206</v>
      </c>
      <c r="G3745" t="s">
        <v>15508</v>
      </c>
      <c r="H3745">
        <v>2707.33</v>
      </c>
      <c r="I3745">
        <v>1.8</v>
      </c>
      <c r="J3745" t="s">
        <v>120</v>
      </c>
      <c r="K3745" t="s">
        <v>15509</v>
      </c>
      <c r="L3745">
        <v>0.95</v>
      </c>
      <c r="M3745">
        <v>12.63</v>
      </c>
      <c r="N3745">
        <v>0.89</v>
      </c>
      <c r="O3745">
        <v>1.0900000000000001</v>
      </c>
      <c r="P3745">
        <v>12.98</v>
      </c>
      <c r="Q3745">
        <v>-2.02</v>
      </c>
      <c r="R3745">
        <v>12.58</v>
      </c>
      <c r="S3745">
        <v>12.84</v>
      </c>
      <c r="T3745">
        <v>21177</v>
      </c>
      <c r="U3745">
        <v>12.64</v>
      </c>
      <c r="V3745">
        <v>12.84</v>
      </c>
      <c r="W3745">
        <v>15.48</v>
      </c>
      <c r="X3745" t="s">
        <v>289</v>
      </c>
      <c r="Y3745" t="s">
        <v>585</v>
      </c>
      <c r="Z3745">
        <v>3.12</v>
      </c>
      <c r="AA3745">
        <v>12.78</v>
      </c>
      <c r="AB3745">
        <v>13052</v>
      </c>
      <c r="AC3745">
        <v>8125</v>
      </c>
      <c r="AD3745">
        <v>1.61</v>
      </c>
      <c r="AE3745">
        <v>24</v>
      </c>
      <c r="AF3745">
        <v>13</v>
      </c>
      <c r="AG3745" t="s">
        <v>120</v>
      </c>
      <c r="AH3745">
        <v>0</v>
      </c>
      <c r="AI3745" t="s">
        <v>120</v>
      </c>
      <c r="AJ3745">
        <v>2.23</v>
      </c>
      <c r="AK3745" t="s">
        <v>15509</v>
      </c>
      <c r="AL3745">
        <v>-0.28999999999999998</v>
      </c>
      <c r="AM3745">
        <v>987</v>
      </c>
      <c r="AN3745">
        <v>21</v>
      </c>
      <c r="AO3745">
        <v>1E-3</v>
      </c>
      <c r="AP3745">
        <v>-1</v>
      </c>
      <c r="AQ3745">
        <v>0.23</v>
      </c>
      <c r="AR3745">
        <v>-3.74</v>
      </c>
      <c r="AS3745">
        <v>-0.4</v>
      </c>
      <c r="AT3745">
        <v>0.23</v>
      </c>
      <c r="AU3745">
        <v>-5.18</v>
      </c>
      <c r="AV3745">
        <v>0</v>
      </c>
      <c r="AW3745">
        <v>2.1800000000000002</v>
      </c>
      <c r="AX3745">
        <v>43.58</v>
      </c>
      <c r="AY3745">
        <v>15.41</v>
      </c>
      <c r="AZ3745">
        <v>15.97</v>
      </c>
      <c r="BA3745">
        <v>0.53</v>
      </c>
      <c r="BB3745" t="s">
        <v>143</v>
      </c>
      <c r="BF3745">
        <v>-0.43</v>
      </c>
      <c r="BG3745">
        <v>-1.64</v>
      </c>
      <c r="BH3745">
        <v>-2.7</v>
      </c>
      <c r="BI3745">
        <v>0.4</v>
      </c>
      <c r="BJ3745">
        <v>20210821</v>
      </c>
      <c r="BK3745">
        <v>20150120</v>
      </c>
      <c r="BL3745">
        <v>2.23</v>
      </c>
      <c r="BM3745" t="s">
        <v>120</v>
      </c>
      <c r="BN3745" t="s">
        <v>120</v>
      </c>
      <c r="BO3745">
        <v>21.62</v>
      </c>
      <c r="BP3745">
        <v>12.63</v>
      </c>
      <c r="BQ3745">
        <v>18.66</v>
      </c>
      <c r="BR3745" t="s">
        <v>120</v>
      </c>
      <c r="BS3745">
        <v>13.66</v>
      </c>
      <c r="BT3745">
        <v>18.489999999999998</v>
      </c>
      <c r="BU3745">
        <v>1.54</v>
      </c>
      <c r="BV3745">
        <v>0.22</v>
      </c>
      <c r="BW3745">
        <v>2.71</v>
      </c>
      <c r="BX3745">
        <v>10.130000000000001</v>
      </c>
      <c r="BY3745">
        <v>1.52</v>
      </c>
      <c r="BZ3745">
        <v>1.91</v>
      </c>
      <c r="CA3745" t="s">
        <v>120</v>
      </c>
      <c r="CB3745">
        <v>10.69</v>
      </c>
      <c r="CC3745">
        <v>4.72</v>
      </c>
      <c r="CD3745">
        <v>3.36</v>
      </c>
      <c r="CE3745">
        <v>1.06</v>
      </c>
      <c r="CF3745">
        <v>0.04</v>
      </c>
      <c r="CG3745">
        <v>1.06</v>
      </c>
      <c r="CH3745">
        <v>0.91</v>
      </c>
      <c r="CI3745">
        <v>0.91</v>
      </c>
      <c r="CJ3745">
        <v>-0.21</v>
      </c>
      <c r="CK3745">
        <v>0.84</v>
      </c>
      <c r="CL3745">
        <v>4.34</v>
      </c>
      <c r="CM3745">
        <v>-0.27</v>
      </c>
      <c r="CN3745">
        <v>-0.11</v>
      </c>
      <c r="CO3745">
        <v>11918</v>
      </c>
      <c r="CP3745">
        <v>8157</v>
      </c>
      <c r="CQ3745" t="s">
        <v>1232</v>
      </c>
      <c r="CR3745">
        <v>7.7</v>
      </c>
      <c r="CS3745">
        <v>20.55</v>
      </c>
      <c r="CT3745">
        <v>1.51</v>
      </c>
      <c r="CU3745">
        <v>-104.15</v>
      </c>
      <c r="CV3745">
        <v>5.97</v>
      </c>
      <c r="CW3745">
        <v>4.67</v>
      </c>
      <c r="CX3745" t="s">
        <v>803</v>
      </c>
      <c r="CY3745">
        <v>8.3699999999999992</v>
      </c>
      <c r="CZ3745">
        <v>0</v>
      </c>
      <c r="DA3745">
        <v>4.79</v>
      </c>
      <c r="DB3745">
        <v>1.95</v>
      </c>
      <c r="DC3745">
        <v>-0.12</v>
      </c>
      <c r="DD3745">
        <v>86.34</v>
      </c>
      <c r="DE3745" t="s">
        <v>1206</v>
      </c>
      <c r="DF3745">
        <v>28.82</v>
      </c>
      <c r="DG3745">
        <v>22.39</v>
      </c>
      <c r="DH3745">
        <v>19.28</v>
      </c>
      <c r="DI3745">
        <v>0.23</v>
      </c>
      <c r="DJ3745">
        <v>1380</v>
      </c>
      <c r="DK3745">
        <v>603788</v>
      </c>
      <c r="DL3745" t="s">
        <v>120</v>
      </c>
      <c r="DM3745" t="s">
        <v>120</v>
      </c>
      <c r="DN3745" t="s">
        <v>120</v>
      </c>
    </row>
    <row r="3746" spans="1:118">
      <c r="A3746" t="str">
        <f>"603789"</f>
        <v>603789</v>
      </c>
      <c r="B3746" t="s">
        <v>15510</v>
      </c>
      <c r="C3746">
        <v>0.79</v>
      </c>
      <c r="D3746">
        <v>0.24</v>
      </c>
      <c r="E3746">
        <v>0</v>
      </c>
      <c r="F3746">
        <v>1417</v>
      </c>
      <c r="G3746" t="s">
        <v>11146</v>
      </c>
      <c r="H3746">
        <v>5768.9</v>
      </c>
      <c r="I3746">
        <v>14.52</v>
      </c>
      <c r="J3746" t="s">
        <v>120</v>
      </c>
      <c r="K3746" t="s">
        <v>6163</v>
      </c>
      <c r="L3746">
        <v>1.75</v>
      </c>
      <c r="M3746">
        <v>12.73</v>
      </c>
      <c r="N3746">
        <v>2.21</v>
      </c>
      <c r="O3746">
        <v>1.19</v>
      </c>
      <c r="P3746">
        <v>12.78</v>
      </c>
      <c r="Q3746">
        <v>-0.08</v>
      </c>
      <c r="R3746">
        <v>12.62</v>
      </c>
      <c r="S3746">
        <v>12.63</v>
      </c>
      <c r="T3746">
        <v>45516</v>
      </c>
      <c r="U3746">
        <v>12.73</v>
      </c>
      <c r="V3746">
        <v>12.63</v>
      </c>
      <c r="W3746" t="s">
        <v>120</v>
      </c>
      <c r="X3746" t="s">
        <v>2079</v>
      </c>
      <c r="Y3746" t="s">
        <v>585</v>
      </c>
      <c r="Z3746">
        <v>1.27</v>
      </c>
      <c r="AA3746">
        <v>12.67</v>
      </c>
      <c r="AB3746">
        <v>16661</v>
      </c>
      <c r="AC3746">
        <v>28855</v>
      </c>
      <c r="AD3746">
        <v>0.57999999999999996</v>
      </c>
      <c r="AE3746">
        <v>25</v>
      </c>
      <c r="AF3746">
        <v>432</v>
      </c>
      <c r="AG3746" t="s">
        <v>120</v>
      </c>
      <c r="AH3746">
        <v>0.01</v>
      </c>
      <c r="AI3746" t="s">
        <v>120</v>
      </c>
      <c r="AJ3746">
        <v>2.6</v>
      </c>
      <c r="AK3746" t="s">
        <v>6163</v>
      </c>
      <c r="AL3746">
        <v>2.14</v>
      </c>
      <c r="AM3746">
        <v>1061</v>
      </c>
      <c r="AN3746">
        <v>43</v>
      </c>
      <c r="AO3746">
        <v>1.6000000000000001E-3</v>
      </c>
      <c r="AP3746">
        <v>1</v>
      </c>
      <c r="AQ3746">
        <v>0</v>
      </c>
      <c r="AR3746">
        <v>0.63</v>
      </c>
      <c r="AS3746">
        <v>0.79</v>
      </c>
      <c r="AT3746">
        <v>-0.16</v>
      </c>
      <c r="AU3746">
        <v>-2.37</v>
      </c>
      <c r="AV3746">
        <v>0</v>
      </c>
      <c r="AW3746">
        <v>3.84</v>
      </c>
      <c r="AX3746">
        <v>45.62</v>
      </c>
      <c r="AY3746" t="s">
        <v>120</v>
      </c>
      <c r="AZ3746" t="s">
        <v>120</v>
      </c>
      <c r="BA3746">
        <v>0</v>
      </c>
      <c r="BB3746" t="s">
        <v>4676</v>
      </c>
      <c r="BF3746">
        <v>0.35</v>
      </c>
      <c r="BG3746">
        <v>0.79</v>
      </c>
      <c r="BH3746">
        <v>-0.39</v>
      </c>
      <c r="BI3746">
        <v>0.87</v>
      </c>
      <c r="BJ3746">
        <v>20210830</v>
      </c>
      <c r="BK3746">
        <v>20150427</v>
      </c>
      <c r="BL3746">
        <v>2.6</v>
      </c>
      <c r="BM3746" t="s">
        <v>120</v>
      </c>
      <c r="BN3746" t="s">
        <v>120</v>
      </c>
      <c r="BO3746">
        <v>14.44</v>
      </c>
      <c r="BP3746">
        <v>12.72</v>
      </c>
      <c r="BQ3746">
        <v>7.4</v>
      </c>
      <c r="BR3746">
        <v>0.92</v>
      </c>
      <c r="BS3746">
        <v>42.33</v>
      </c>
      <c r="BT3746">
        <v>8.6199999999999992</v>
      </c>
      <c r="BU3746">
        <v>3.66</v>
      </c>
      <c r="BV3746">
        <v>0.9</v>
      </c>
      <c r="BW3746">
        <v>5.12</v>
      </c>
      <c r="BX3746">
        <v>0.56000000000000005</v>
      </c>
      <c r="BY3746">
        <v>1.86</v>
      </c>
      <c r="BZ3746">
        <v>5.41</v>
      </c>
      <c r="CA3746">
        <v>0.03</v>
      </c>
      <c r="CB3746">
        <v>5.37</v>
      </c>
      <c r="CC3746">
        <v>2.79</v>
      </c>
      <c r="CD3746">
        <v>2.4500000000000002</v>
      </c>
      <c r="CE3746">
        <v>-0.46</v>
      </c>
      <c r="CF3746">
        <v>-0.01</v>
      </c>
      <c r="CG3746">
        <v>-0.46</v>
      </c>
      <c r="CH3746">
        <v>-0.43</v>
      </c>
      <c r="CI3746">
        <v>-0.45</v>
      </c>
      <c r="CJ3746">
        <v>0.1</v>
      </c>
      <c r="CK3746">
        <v>-0.48</v>
      </c>
      <c r="CL3746">
        <v>-1.34</v>
      </c>
      <c r="CM3746">
        <v>0.04</v>
      </c>
      <c r="CN3746">
        <v>-0.42</v>
      </c>
      <c r="CO3746">
        <v>18319</v>
      </c>
      <c r="CP3746">
        <v>6474</v>
      </c>
      <c r="CQ3746" t="s">
        <v>8037</v>
      </c>
      <c r="CR3746">
        <v>11.28</v>
      </c>
      <c r="CS3746">
        <v>102.52</v>
      </c>
      <c r="CT3746">
        <v>4.47</v>
      </c>
      <c r="CU3746">
        <v>923.6</v>
      </c>
      <c r="CV3746">
        <v>11.85</v>
      </c>
      <c r="CW3746">
        <v>0</v>
      </c>
      <c r="CX3746" t="s">
        <v>15511</v>
      </c>
      <c r="CY3746">
        <v>2.85</v>
      </c>
      <c r="CZ3746">
        <v>0</v>
      </c>
      <c r="DA3746">
        <v>2.06</v>
      </c>
      <c r="DB3746">
        <v>-0.52</v>
      </c>
      <c r="DC3746">
        <v>0.01</v>
      </c>
      <c r="DD3746">
        <v>51.27</v>
      </c>
      <c r="DE3746" t="s">
        <v>894</v>
      </c>
      <c r="DF3746">
        <v>12.23</v>
      </c>
      <c r="DG3746">
        <v>-16.600000000000001</v>
      </c>
      <c r="DH3746">
        <v>-16.25</v>
      </c>
      <c r="DI3746">
        <v>0.15</v>
      </c>
      <c r="DJ3746">
        <v>569</v>
      </c>
      <c r="DK3746">
        <v>603789</v>
      </c>
      <c r="DL3746" t="s">
        <v>120</v>
      </c>
      <c r="DM3746" t="s">
        <v>120</v>
      </c>
      <c r="DN3746" t="s">
        <v>120</v>
      </c>
    </row>
    <row r="3747" spans="1:118">
      <c r="A3747" t="str">
        <f>"603790"</f>
        <v>603790</v>
      </c>
      <c r="B3747" t="s">
        <v>15512</v>
      </c>
      <c r="C3747">
        <v>-1.42</v>
      </c>
      <c r="D3747">
        <v>-0.08</v>
      </c>
      <c r="E3747">
        <v>0</v>
      </c>
      <c r="F3747">
        <v>114</v>
      </c>
      <c r="G3747" t="s">
        <v>15513</v>
      </c>
      <c r="H3747">
        <v>2528.88</v>
      </c>
      <c r="I3747">
        <v>6.55</v>
      </c>
      <c r="J3747" t="s">
        <v>120</v>
      </c>
      <c r="K3747" t="s">
        <v>15514</v>
      </c>
      <c r="L3747">
        <v>1.17</v>
      </c>
      <c r="M3747">
        <v>11.14</v>
      </c>
      <c r="N3747">
        <v>1.02</v>
      </c>
      <c r="O3747">
        <v>1.77</v>
      </c>
      <c r="P3747">
        <v>11.5</v>
      </c>
      <c r="Q3747">
        <v>-2.04</v>
      </c>
      <c r="R3747">
        <v>11.07</v>
      </c>
      <c r="S3747">
        <v>11.3</v>
      </c>
      <c r="T3747">
        <v>22434</v>
      </c>
      <c r="U3747">
        <v>11.15</v>
      </c>
      <c r="V3747">
        <v>11.3</v>
      </c>
      <c r="W3747">
        <v>20.61</v>
      </c>
      <c r="X3747" t="s">
        <v>1145</v>
      </c>
      <c r="Y3747" t="s">
        <v>1510</v>
      </c>
      <c r="Z3747">
        <v>3.81</v>
      </c>
      <c r="AA3747">
        <v>11.27</v>
      </c>
      <c r="AB3747">
        <v>12736</v>
      </c>
      <c r="AC3747">
        <v>9698</v>
      </c>
      <c r="AD3747">
        <v>1.31</v>
      </c>
      <c r="AE3747">
        <v>5</v>
      </c>
      <c r="AF3747">
        <v>13</v>
      </c>
      <c r="AG3747" t="s">
        <v>120</v>
      </c>
      <c r="AH3747">
        <v>0.01</v>
      </c>
      <c r="AI3747" t="s">
        <v>120</v>
      </c>
      <c r="AJ3747">
        <v>1.91</v>
      </c>
      <c r="AK3747" t="s">
        <v>15514</v>
      </c>
      <c r="AL3747">
        <v>-7.0000000000000007E-2</v>
      </c>
      <c r="AM3747">
        <v>1361</v>
      </c>
      <c r="AN3747">
        <v>16</v>
      </c>
      <c r="AO3747">
        <v>8.9999999999999998E-4</v>
      </c>
      <c r="AP3747">
        <v>-1</v>
      </c>
      <c r="AQ3747">
        <v>2.54</v>
      </c>
      <c r="AR3747">
        <v>0.18</v>
      </c>
      <c r="AS3747">
        <v>10.08</v>
      </c>
      <c r="AT3747">
        <v>6.81</v>
      </c>
      <c r="AU3747">
        <v>-0.98</v>
      </c>
      <c r="AV3747">
        <v>1</v>
      </c>
      <c r="AW3747">
        <v>3.64</v>
      </c>
      <c r="AX3747">
        <v>32.18</v>
      </c>
      <c r="AY3747">
        <v>30.19</v>
      </c>
      <c r="AZ3747">
        <v>39.28</v>
      </c>
      <c r="BA3747">
        <v>0.84</v>
      </c>
      <c r="BB3747" t="s">
        <v>700</v>
      </c>
      <c r="BF3747">
        <v>-0.24</v>
      </c>
      <c r="BG3747">
        <v>-1.42</v>
      </c>
      <c r="BH3747">
        <v>-3.13</v>
      </c>
      <c r="BI3747">
        <v>0.63</v>
      </c>
      <c r="BJ3747">
        <v>20210910</v>
      </c>
      <c r="BK3747">
        <v>20180912</v>
      </c>
      <c r="BL3747">
        <v>1.91</v>
      </c>
      <c r="BM3747" t="s">
        <v>120</v>
      </c>
      <c r="BN3747" t="s">
        <v>120</v>
      </c>
      <c r="BO3747">
        <v>15.33</v>
      </c>
      <c r="BP3747">
        <v>11.14</v>
      </c>
      <c r="BQ3747">
        <v>11.46</v>
      </c>
      <c r="BR3747">
        <v>0.87</v>
      </c>
      <c r="BS3747">
        <v>19.53</v>
      </c>
      <c r="BT3747">
        <v>10.28</v>
      </c>
      <c r="BU3747">
        <v>0.92</v>
      </c>
      <c r="BV3747">
        <v>1.28</v>
      </c>
      <c r="BW3747">
        <v>2.78</v>
      </c>
      <c r="BX3747">
        <v>1.72</v>
      </c>
      <c r="BY3747">
        <v>3.87</v>
      </c>
      <c r="BZ3747">
        <v>2.76</v>
      </c>
      <c r="CA3747">
        <v>0</v>
      </c>
      <c r="CB3747">
        <v>3.09</v>
      </c>
      <c r="CC3747">
        <v>4.71</v>
      </c>
      <c r="CD3747">
        <v>3.26</v>
      </c>
      <c r="CE3747">
        <v>0.59</v>
      </c>
      <c r="CF3747">
        <v>0</v>
      </c>
      <c r="CG3747">
        <v>0.6</v>
      </c>
      <c r="CH3747">
        <v>0.52</v>
      </c>
      <c r="CI3747">
        <v>0.52</v>
      </c>
      <c r="CJ3747">
        <v>-0.16</v>
      </c>
      <c r="CK3747">
        <v>0.49</v>
      </c>
      <c r="CL3747">
        <v>6.06</v>
      </c>
      <c r="CM3747">
        <v>0.12</v>
      </c>
      <c r="CN3747">
        <v>0.54</v>
      </c>
      <c r="CO3747">
        <v>11582</v>
      </c>
      <c r="CP3747">
        <v>5317</v>
      </c>
      <c r="CQ3747" t="s">
        <v>2706</v>
      </c>
      <c r="CR3747">
        <v>47.11</v>
      </c>
      <c r="CS3747">
        <v>26.51</v>
      </c>
      <c r="CT3747">
        <v>1.86</v>
      </c>
      <c r="CU3747">
        <v>173.96</v>
      </c>
      <c r="CV3747">
        <v>4.53</v>
      </c>
      <c r="CW3747">
        <v>0.87</v>
      </c>
      <c r="CX3747" t="s">
        <v>1233</v>
      </c>
      <c r="CY3747">
        <v>5.99</v>
      </c>
      <c r="CZ3747">
        <v>0</v>
      </c>
      <c r="DA3747">
        <v>1.62</v>
      </c>
      <c r="DB3747">
        <v>3.17</v>
      </c>
      <c r="DC3747">
        <v>0.06</v>
      </c>
      <c r="DD3747">
        <v>74.790000000000006</v>
      </c>
      <c r="DE3747" t="s">
        <v>7300</v>
      </c>
      <c r="DF3747">
        <v>30.65</v>
      </c>
      <c r="DG3747">
        <v>12.64</v>
      </c>
      <c r="DH3747">
        <v>10.99</v>
      </c>
      <c r="DI3747">
        <v>0.19</v>
      </c>
      <c r="DJ3747">
        <v>565</v>
      </c>
      <c r="DK3747">
        <v>603790</v>
      </c>
      <c r="DL3747" t="s">
        <v>120</v>
      </c>
      <c r="DM3747" t="s">
        <v>120</v>
      </c>
      <c r="DN3747" t="s">
        <v>120</v>
      </c>
    </row>
    <row r="3748" spans="1:118">
      <c r="A3748" t="str">
        <f>"603797"</f>
        <v>603797</v>
      </c>
      <c r="B3748" t="s">
        <v>15515</v>
      </c>
      <c r="C3748">
        <v>-1.27</v>
      </c>
      <c r="D3748">
        <v>0</v>
      </c>
      <c r="E3748">
        <v>0</v>
      </c>
      <c r="F3748">
        <v>101</v>
      </c>
      <c r="G3748" t="s">
        <v>15516</v>
      </c>
      <c r="H3748">
        <v>1110.69</v>
      </c>
      <c r="I3748">
        <v>0</v>
      </c>
      <c r="J3748" t="s">
        <v>120</v>
      </c>
      <c r="K3748" t="s">
        <v>15517</v>
      </c>
      <c r="L3748">
        <v>0.35</v>
      </c>
      <c r="M3748">
        <v>7</v>
      </c>
      <c r="N3748">
        <v>0.81</v>
      </c>
      <c r="O3748">
        <v>1.41</v>
      </c>
      <c r="P3748">
        <v>7.19</v>
      </c>
      <c r="Q3748">
        <v>-1.41</v>
      </c>
      <c r="R3748">
        <v>6.99</v>
      </c>
      <c r="S3748">
        <v>7.09</v>
      </c>
      <c r="T3748">
        <v>15674</v>
      </c>
      <c r="U3748">
        <v>7.01</v>
      </c>
      <c r="V3748">
        <v>7.09</v>
      </c>
      <c r="W3748">
        <v>17.940000000000001</v>
      </c>
      <c r="X3748" t="s">
        <v>318</v>
      </c>
      <c r="Y3748" t="s">
        <v>547</v>
      </c>
      <c r="Z3748">
        <v>2.82</v>
      </c>
      <c r="AA3748">
        <v>7.09</v>
      </c>
      <c r="AB3748">
        <v>9307</v>
      </c>
      <c r="AC3748">
        <v>6367</v>
      </c>
      <c r="AD3748">
        <v>1.46</v>
      </c>
      <c r="AE3748">
        <v>244</v>
      </c>
      <c r="AF3748">
        <v>117</v>
      </c>
      <c r="AG3748" t="s">
        <v>120</v>
      </c>
      <c r="AH3748">
        <v>0</v>
      </c>
      <c r="AI3748" t="s">
        <v>120</v>
      </c>
      <c r="AJ3748">
        <v>4.5</v>
      </c>
      <c r="AK3748" t="s">
        <v>15518</v>
      </c>
      <c r="AL3748">
        <v>7.0000000000000007E-2</v>
      </c>
      <c r="AM3748">
        <v>691</v>
      </c>
      <c r="AN3748">
        <v>23</v>
      </c>
      <c r="AO3748">
        <v>5.0000000000000001E-4</v>
      </c>
      <c r="AP3748">
        <v>-1</v>
      </c>
      <c r="AQ3748">
        <v>0.42</v>
      </c>
      <c r="AR3748">
        <v>-3.72</v>
      </c>
      <c r="AS3748">
        <v>5.27</v>
      </c>
      <c r="AT3748">
        <v>-6.92</v>
      </c>
      <c r="AU3748">
        <v>-11.39</v>
      </c>
      <c r="AV3748">
        <v>0</v>
      </c>
      <c r="AW3748">
        <v>0.99</v>
      </c>
      <c r="AX3748">
        <v>27.07</v>
      </c>
      <c r="AY3748">
        <v>16.93</v>
      </c>
      <c r="AZ3748">
        <v>17.36</v>
      </c>
      <c r="BA3748">
        <v>0.61</v>
      </c>
      <c r="BB3748" t="s">
        <v>143</v>
      </c>
      <c r="BF3748">
        <v>-0.06</v>
      </c>
      <c r="BG3748">
        <v>-1.27</v>
      </c>
      <c r="BH3748">
        <v>-2.64</v>
      </c>
      <c r="BI3748">
        <v>0.14000000000000001</v>
      </c>
      <c r="BJ3748">
        <v>20210827</v>
      </c>
      <c r="BK3748">
        <v>20170413</v>
      </c>
      <c r="BL3748">
        <v>5.84</v>
      </c>
      <c r="BM3748" t="s">
        <v>120</v>
      </c>
      <c r="BN3748" t="s">
        <v>120</v>
      </c>
      <c r="BO3748">
        <v>100.55</v>
      </c>
      <c r="BP3748">
        <v>7</v>
      </c>
      <c r="BQ3748">
        <v>26.17</v>
      </c>
      <c r="BR3748">
        <v>2.75</v>
      </c>
      <c r="BS3748">
        <v>71.239999999999995</v>
      </c>
      <c r="BT3748">
        <v>19.39</v>
      </c>
      <c r="BU3748">
        <v>0.21</v>
      </c>
      <c r="BV3748">
        <v>37.65</v>
      </c>
      <c r="BW3748">
        <v>16.809999999999999</v>
      </c>
      <c r="BX3748">
        <v>13.64</v>
      </c>
      <c r="BY3748">
        <v>0.05</v>
      </c>
      <c r="BZ3748">
        <v>1.61</v>
      </c>
      <c r="CA3748" t="s">
        <v>120</v>
      </c>
      <c r="CB3748">
        <v>11.51</v>
      </c>
      <c r="CC3748">
        <v>3.66</v>
      </c>
      <c r="CD3748">
        <v>1.08</v>
      </c>
      <c r="CE3748">
        <v>1.45</v>
      </c>
      <c r="CF3748">
        <v>0.01</v>
      </c>
      <c r="CG3748">
        <v>1.42</v>
      </c>
      <c r="CH3748">
        <v>1.17</v>
      </c>
      <c r="CI3748">
        <v>1.1399999999999999</v>
      </c>
      <c r="CJ3748">
        <v>-0.09</v>
      </c>
      <c r="CK3748">
        <v>1.1599999999999999</v>
      </c>
      <c r="CL3748">
        <v>8.17</v>
      </c>
      <c r="CM3748">
        <v>-2.5099999999999998</v>
      </c>
      <c r="CN3748">
        <v>9.57</v>
      </c>
      <c r="CO3748">
        <v>16975</v>
      </c>
      <c r="CP3748">
        <v>9313</v>
      </c>
      <c r="CQ3748" t="s">
        <v>1533</v>
      </c>
      <c r="CR3748">
        <v>5.6</v>
      </c>
      <c r="CS3748">
        <v>28.93</v>
      </c>
      <c r="CT3748">
        <v>1.58</v>
      </c>
      <c r="CU3748">
        <v>-16.309999999999999</v>
      </c>
      <c r="CV3748">
        <v>11.16</v>
      </c>
      <c r="CW3748">
        <v>2.82</v>
      </c>
      <c r="CX3748" t="s">
        <v>863</v>
      </c>
      <c r="CY3748">
        <v>4.42</v>
      </c>
      <c r="CZ3748">
        <v>4.42</v>
      </c>
      <c r="DA3748">
        <v>1.97</v>
      </c>
      <c r="DB3748">
        <v>1.4</v>
      </c>
      <c r="DC3748">
        <v>-0.43</v>
      </c>
      <c r="DD3748">
        <v>26.02</v>
      </c>
      <c r="DE3748" t="s">
        <v>9334</v>
      </c>
      <c r="DF3748">
        <v>70.56</v>
      </c>
      <c r="DG3748">
        <v>39.43</v>
      </c>
      <c r="DH3748">
        <v>31.09</v>
      </c>
      <c r="DI3748">
        <v>0</v>
      </c>
      <c r="DJ3748">
        <v>629</v>
      </c>
      <c r="DK3748">
        <v>603797</v>
      </c>
      <c r="DL3748" t="s">
        <v>120</v>
      </c>
      <c r="DM3748" t="s">
        <v>120</v>
      </c>
      <c r="DN3748" t="s">
        <v>120</v>
      </c>
    </row>
    <row r="3749" spans="1:118">
      <c r="A3749" t="str">
        <f>"603798"</f>
        <v>603798</v>
      </c>
      <c r="B3749" t="s">
        <v>15519</v>
      </c>
      <c r="C3749">
        <v>-2.92</v>
      </c>
      <c r="D3749">
        <v>0.09</v>
      </c>
      <c r="E3749">
        <v>-0.09</v>
      </c>
      <c r="F3749">
        <v>242</v>
      </c>
      <c r="G3749" t="s">
        <v>15520</v>
      </c>
      <c r="H3749">
        <v>4458.43</v>
      </c>
      <c r="I3749">
        <v>25.45</v>
      </c>
      <c r="J3749" t="s">
        <v>120</v>
      </c>
      <c r="K3749" t="s">
        <v>15521</v>
      </c>
      <c r="L3749">
        <v>2.0299999999999998</v>
      </c>
      <c r="M3749">
        <v>10.99</v>
      </c>
      <c r="N3749">
        <v>1.1100000000000001</v>
      </c>
      <c r="O3749">
        <v>0.62</v>
      </c>
      <c r="P3749">
        <v>11.39</v>
      </c>
      <c r="Q3749">
        <v>-3.18</v>
      </c>
      <c r="R3749">
        <v>10.96</v>
      </c>
      <c r="S3749">
        <v>11.31</v>
      </c>
      <c r="T3749">
        <v>39987</v>
      </c>
      <c r="U3749">
        <v>10.99</v>
      </c>
      <c r="V3749">
        <v>11.32</v>
      </c>
      <c r="W3749">
        <v>13.6</v>
      </c>
      <c r="X3749" t="s">
        <v>431</v>
      </c>
      <c r="Y3749" t="s">
        <v>638</v>
      </c>
      <c r="Z3749">
        <v>3.8</v>
      </c>
      <c r="AA3749">
        <v>11.15</v>
      </c>
      <c r="AB3749">
        <v>26855</v>
      </c>
      <c r="AC3749">
        <v>13132</v>
      </c>
      <c r="AD3749">
        <v>2.0499999999999998</v>
      </c>
      <c r="AE3749">
        <v>775</v>
      </c>
      <c r="AF3749">
        <v>402</v>
      </c>
      <c r="AG3749" t="s">
        <v>120</v>
      </c>
      <c r="AH3749">
        <v>0.03</v>
      </c>
      <c r="AI3749" t="s">
        <v>120</v>
      </c>
      <c r="AJ3749">
        <v>1.97</v>
      </c>
      <c r="AK3749" t="s">
        <v>6765</v>
      </c>
      <c r="AL3749">
        <v>-1.57</v>
      </c>
      <c r="AM3749">
        <v>1699</v>
      </c>
      <c r="AN3749">
        <v>24</v>
      </c>
      <c r="AO3749">
        <v>1.1999999999999999E-3</v>
      </c>
      <c r="AP3749">
        <v>-1</v>
      </c>
      <c r="AQ3749">
        <v>3.66</v>
      </c>
      <c r="AR3749">
        <v>0.18</v>
      </c>
      <c r="AS3749">
        <v>7.11</v>
      </c>
      <c r="AT3749">
        <v>3.29</v>
      </c>
      <c r="AU3749">
        <v>15.56</v>
      </c>
      <c r="AV3749">
        <v>0</v>
      </c>
      <c r="AW3749">
        <v>4.67</v>
      </c>
      <c r="AX3749">
        <v>42.79</v>
      </c>
      <c r="AY3749">
        <v>18.850000000000001</v>
      </c>
      <c r="AZ3749">
        <v>21.55</v>
      </c>
      <c r="BA3749">
        <v>0.82</v>
      </c>
      <c r="BB3749" t="s">
        <v>700</v>
      </c>
      <c r="BF3749">
        <v>-1.5</v>
      </c>
      <c r="BG3749">
        <v>-2.83</v>
      </c>
      <c r="BH3749">
        <v>-3.51</v>
      </c>
      <c r="BI3749">
        <v>0.27</v>
      </c>
      <c r="BJ3749">
        <v>20210830</v>
      </c>
      <c r="BK3749">
        <v>20160406</v>
      </c>
      <c r="BL3749">
        <v>2</v>
      </c>
      <c r="BM3749" t="s">
        <v>120</v>
      </c>
      <c r="BN3749" t="s">
        <v>120</v>
      </c>
      <c r="BO3749">
        <v>12.89</v>
      </c>
      <c r="BP3749">
        <v>10.98</v>
      </c>
      <c r="BQ3749">
        <v>10.65</v>
      </c>
      <c r="BR3749">
        <v>-0.02</v>
      </c>
      <c r="BS3749">
        <v>17.52</v>
      </c>
      <c r="BT3749">
        <v>8.9700000000000006</v>
      </c>
      <c r="BU3749">
        <v>3.04</v>
      </c>
      <c r="BV3749">
        <v>0.49</v>
      </c>
      <c r="BW3749">
        <v>2.0499999999999998</v>
      </c>
      <c r="BX3749">
        <v>1.76</v>
      </c>
      <c r="BY3749">
        <v>1.04</v>
      </c>
      <c r="BZ3749">
        <v>0.82</v>
      </c>
      <c r="CA3749" t="s">
        <v>120</v>
      </c>
      <c r="CB3749">
        <v>2.62</v>
      </c>
      <c r="CC3749">
        <v>6.92</v>
      </c>
      <c r="CD3749">
        <v>4.66</v>
      </c>
      <c r="CE3749">
        <v>1.01</v>
      </c>
      <c r="CF3749">
        <v>0.02</v>
      </c>
      <c r="CG3749">
        <v>1.02</v>
      </c>
      <c r="CH3749">
        <v>0.81</v>
      </c>
      <c r="CI3749">
        <v>0.81</v>
      </c>
      <c r="CJ3749">
        <v>-0.33</v>
      </c>
      <c r="CK3749">
        <v>0.77</v>
      </c>
      <c r="CL3749">
        <v>5.71</v>
      </c>
      <c r="CM3749">
        <v>1.27</v>
      </c>
      <c r="CN3749">
        <v>-0.42</v>
      </c>
      <c r="CO3749">
        <v>12535</v>
      </c>
      <c r="CP3749">
        <v>6827</v>
      </c>
      <c r="CQ3749" t="s">
        <v>7391</v>
      </c>
      <c r="CR3749">
        <v>22.89</v>
      </c>
      <c r="CS3749">
        <v>39.369999999999997</v>
      </c>
      <c r="CT3749">
        <v>2.06</v>
      </c>
      <c r="CU3749">
        <v>17.239999999999998</v>
      </c>
      <c r="CV3749">
        <v>3.17</v>
      </c>
      <c r="CW3749">
        <v>1.05</v>
      </c>
      <c r="CX3749" t="s">
        <v>803</v>
      </c>
      <c r="CY3749">
        <v>5.32</v>
      </c>
      <c r="CZ3749">
        <v>0</v>
      </c>
      <c r="DA3749">
        <v>1.31</v>
      </c>
      <c r="DB3749">
        <v>2.86</v>
      </c>
      <c r="DC3749">
        <v>0.64</v>
      </c>
      <c r="DD3749">
        <v>82.61</v>
      </c>
      <c r="DE3749" t="s">
        <v>5401</v>
      </c>
      <c r="DF3749">
        <v>32.67</v>
      </c>
      <c r="DG3749">
        <v>14.64</v>
      </c>
      <c r="DH3749">
        <v>11.68</v>
      </c>
      <c r="DI3749">
        <v>0.19</v>
      </c>
      <c r="DJ3749">
        <v>328</v>
      </c>
      <c r="DK3749">
        <v>603798</v>
      </c>
      <c r="DL3749" t="s">
        <v>120</v>
      </c>
      <c r="DM3749" t="s">
        <v>120</v>
      </c>
      <c r="DN3749" t="s">
        <v>120</v>
      </c>
    </row>
    <row r="3750" spans="1:118">
      <c r="A3750" t="str">
        <f>"603799"</f>
        <v>603799</v>
      </c>
      <c r="B3750" t="s">
        <v>15522</v>
      </c>
      <c r="C3750">
        <v>-7.25</v>
      </c>
      <c r="D3750">
        <v>-0.93</v>
      </c>
      <c r="E3750">
        <v>0</v>
      </c>
      <c r="F3750">
        <v>4739</v>
      </c>
      <c r="G3750" t="s">
        <v>15523</v>
      </c>
      <c r="H3750">
        <v>452628.78</v>
      </c>
      <c r="I3750">
        <v>1510.18</v>
      </c>
      <c r="J3750" t="s">
        <v>120</v>
      </c>
      <c r="K3750" t="s">
        <v>15524</v>
      </c>
      <c r="L3750">
        <v>3.4</v>
      </c>
      <c r="M3750">
        <v>107.5</v>
      </c>
      <c r="N3750">
        <v>1.1200000000000001</v>
      </c>
      <c r="O3750">
        <v>0.03</v>
      </c>
      <c r="P3750">
        <v>115.93</v>
      </c>
      <c r="Q3750">
        <v>-8.02</v>
      </c>
      <c r="R3750">
        <v>106.6</v>
      </c>
      <c r="S3750">
        <v>115.9</v>
      </c>
      <c r="T3750">
        <v>411611</v>
      </c>
      <c r="U3750">
        <v>107.6</v>
      </c>
      <c r="V3750">
        <v>115.9</v>
      </c>
      <c r="W3750">
        <v>44.65</v>
      </c>
      <c r="X3750" t="s">
        <v>1390</v>
      </c>
      <c r="Y3750" t="s">
        <v>585</v>
      </c>
      <c r="Z3750">
        <v>8.0500000000000007</v>
      </c>
      <c r="AA3750">
        <v>109.97</v>
      </c>
      <c r="AB3750">
        <v>203852</v>
      </c>
      <c r="AC3750">
        <v>207759</v>
      </c>
      <c r="AD3750">
        <v>0.98</v>
      </c>
      <c r="AE3750">
        <v>91</v>
      </c>
      <c r="AF3750">
        <v>1</v>
      </c>
      <c r="AG3750" t="s">
        <v>120</v>
      </c>
      <c r="AH3750">
        <v>0.02</v>
      </c>
      <c r="AI3750" t="s">
        <v>120</v>
      </c>
      <c r="AJ3750">
        <v>12.11</v>
      </c>
      <c r="AK3750" t="s">
        <v>15525</v>
      </c>
      <c r="AL3750">
        <v>-5.9</v>
      </c>
      <c r="AM3750">
        <v>4738</v>
      </c>
      <c r="AN3750">
        <v>87</v>
      </c>
      <c r="AO3750">
        <v>6.9999999999999999E-4</v>
      </c>
      <c r="AP3750">
        <v>-1</v>
      </c>
      <c r="AQ3750">
        <v>1.28</v>
      </c>
      <c r="AR3750">
        <v>-4.87</v>
      </c>
      <c r="AS3750">
        <v>-17.87</v>
      </c>
      <c r="AT3750">
        <v>8.81</v>
      </c>
      <c r="AU3750">
        <v>35.9</v>
      </c>
      <c r="AV3750">
        <v>7</v>
      </c>
      <c r="AW3750">
        <v>4.8099999999999996</v>
      </c>
      <c r="AX3750">
        <v>70.11</v>
      </c>
      <c r="AY3750">
        <v>61.91</v>
      </c>
      <c r="AZ3750">
        <v>121.36</v>
      </c>
      <c r="BA3750">
        <v>1.82</v>
      </c>
      <c r="BB3750" t="s">
        <v>168</v>
      </c>
      <c r="BF3750">
        <v>-5.12</v>
      </c>
      <c r="BG3750">
        <v>-7.25</v>
      </c>
      <c r="BH3750">
        <v>-7.27</v>
      </c>
      <c r="BI3750">
        <v>0.84</v>
      </c>
      <c r="BJ3750">
        <v>20210817</v>
      </c>
      <c r="BK3750">
        <v>20150129</v>
      </c>
      <c r="BL3750">
        <v>12.2</v>
      </c>
      <c r="BM3750" t="s">
        <v>120</v>
      </c>
      <c r="BN3750" t="s">
        <v>120</v>
      </c>
      <c r="BO3750">
        <v>376.53</v>
      </c>
      <c r="BP3750">
        <v>107.5</v>
      </c>
      <c r="BQ3750">
        <v>169.8</v>
      </c>
      <c r="BR3750">
        <v>27.19</v>
      </c>
      <c r="BS3750">
        <v>47.68</v>
      </c>
      <c r="BT3750">
        <v>158.36000000000001</v>
      </c>
      <c r="BU3750">
        <v>88.8</v>
      </c>
      <c r="BV3750">
        <v>7.21</v>
      </c>
      <c r="BW3750">
        <v>150.82</v>
      </c>
      <c r="BX3750">
        <v>64.3</v>
      </c>
      <c r="BY3750">
        <v>47.48</v>
      </c>
      <c r="BZ3750">
        <v>14.75</v>
      </c>
      <c r="CA3750">
        <v>0.03</v>
      </c>
      <c r="CB3750">
        <v>100.22</v>
      </c>
      <c r="CC3750">
        <v>142.94</v>
      </c>
      <c r="CD3750">
        <v>113.54</v>
      </c>
      <c r="CE3750">
        <v>20.36</v>
      </c>
      <c r="CF3750">
        <v>2.12</v>
      </c>
      <c r="CG3750">
        <v>20.059999999999999</v>
      </c>
      <c r="CH3750">
        <v>15.31</v>
      </c>
      <c r="CI3750">
        <v>14.68</v>
      </c>
      <c r="CJ3750">
        <v>-8.4</v>
      </c>
      <c r="CK3750">
        <v>14.16</v>
      </c>
      <c r="CL3750">
        <v>60.33</v>
      </c>
      <c r="CM3750">
        <v>16.12</v>
      </c>
      <c r="CN3750">
        <v>41.12</v>
      </c>
      <c r="CO3750">
        <v>89135</v>
      </c>
      <c r="CP3750">
        <v>9594</v>
      </c>
      <c r="CQ3750" t="s">
        <v>15526</v>
      </c>
      <c r="CR3750">
        <v>319.91000000000003</v>
      </c>
      <c r="CS3750">
        <v>57.91</v>
      </c>
      <c r="CT3750">
        <v>7.72</v>
      </c>
      <c r="CU3750">
        <v>81.36</v>
      </c>
      <c r="CV3750">
        <v>9.17</v>
      </c>
      <c r="CW3750">
        <v>0.17</v>
      </c>
      <c r="CX3750" t="s">
        <v>12054</v>
      </c>
      <c r="CY3750">
        <v>13.92</v>
      </c>
      <c r="CZ3750">
        <v>0</v>
      </c>
      <c r="DA3750">
        <v>8.2200000000000006</v>
      </c>
      <c r="DB3750">
        <v>4.95</v>
      </c>
      <c r="DC3750">
        <v>1.32</v>
      </c>
      <c r="DD3750">
        <v>45.1</v>
      </c>
      <c r="DE3750" t="s">
        <v>14927</v>
      </c>
      <c r="DF3750">
        <v>20.56</v>
      </c>
      <c r="DG3750">
        <v>14.25</v>
      </c>
      <c r="DH3750">
        <v>10.27</v>
      </c>
      <c r="DI3750">
        <v>2.82</v>
      </c>
      <c r="DJ3750">
        <v>8079</v>
      </c>
      <c r="DK3750">
        <v>603799</v>
      </c>
      <c r="DL3750" t="s">
        <v>120</v>
      </c>
      <c r="DM3750" t="s">
        <v>120</v>
      </c>
      <c r="DN3750" t="s">
        <v>120</v>
      </c>
    </row>
    <row r="3751" spans="1:118">
      <c r="A3751" t="str">
        <f>"603800"</f>
        <v>603800</v>
      </c>
      <c r="B3751" t="s">
        <v>15527</v>
      </c>
      <c r="C3751">
        <v>1.46</v>
      </c>
      <c r="D3751">
        <v>0.33</v>
      </c>
      <c r="E3751">
        <v>0</v>
      </c>
      <c r="F3751">
        <v>471</v>
      </c>
      <c r="G3751" t="s">
        <v>4290</v>
      </c>
      <c r="H3751">
        <v>3990.43</v>
      </c>
      <c r="I3751">
        <v>0.6</v>
      </c>
      <c r="J3751" t="s">
        <v>120</v>
      </c>
      <c r="K3751" t="s">
        <v>15528</v>
      </c>
      <c r="L3751">
        <v>1.24</v>
      </c>
      <c r="M3751">
        <v>15.3</v>
      </c>
      <c r="N3751">
        <v>0.78</v>
      </c>
      <c r="O3751">
        <v>5.31</v>
      </c>
      <c r="P3751">
        <v>15.88</v>
      </c>
      <c r="Q3751">
        <v>0</v>
      </c>
      <c r="R3751">
        <v>15.08</v>
      </c>
      <c r="S3751">
        <v>15.08</v>
      </c>
      <c r="T3751">
        <v>25772</v>
      </c>
      <c r="U3751">
        <v>15.32</v>
      </c>
      <c r="V3751">
        <v>15.08</v>
      </c>
      <c r="W3751" t="s">
        <v>120</v>
      </c>
      <c r="X3751" t="s">
        <v>675</v>
      </c>
      <c r="Y3751" t="s">
        <v>319</v>
      </c>
      <c r="Z3751">
        <v>5.31</v>
      </c>
      <c r="AA3751">
        <v>15.48</v>
      </c>
      <c r="AB3751">
        <v>12436</v>
      </c>
      <c r="AC3751">
        <v>13336</v>
      </c>
      <c r="AD3751">
        <v>0.93</v>
      </c>
      <c r="AE3751">
        <v>135</v>
      </c>
      <c r="AF3751">
        <v>166</v>
      </c>
      <c r="AG3751" t="s">
        <v>120</v>
      </c>
      <c r="AH3751">
        <v>0</v>
      </c>
      <c r="AI3751" t="s">
        <v>120</v>
      </c>
      <c r="AJ3751">
        <v>2.08</v>
      </c>
      <c r="AK3751" t="s">
        <v>15528</v>
      </c>
      <c r="AL3751">
        <v>2.8</v>
      </c>
      <c r="AM3751">
        <v>2031</v>
      </c>
      <c r="AN3751">
        <v>13</v>
      </c>
      <c r="AO3751">
        <v>5.9999999999999995E-4</v>
      </c>
      <c r="AP3751">
        <v>2</v>
      </c>
      <c r="AQ3751">
        <v>0.13</v>
      </c>
      <c r="AR3751">
        <v>0</v>
      </c>
      <c r="AS3751">
        <v>11.68</v>
      </c>
      <c r="AT3751">
        <v>58.71</v>
      </c>
      <c r="AU3751">
        <v>55.45</v>
      </c>
      <c r="AV3751">
        <v>4</v>
      </c>
      <c r="AW3751">
        <v>3.67</v>
      </c>
      <c r="AX3751">
        <v>33.770000000000003</v>
      </c>
      <c r="AY3751" t="s">
        <v>120</v>
      </c>
      <c r="AZ3751">
        <v>722.58</v>
      </c>
      <c r="BA3751">
        <v>0.42</v>
      </c>
      <c r="BB3751" t="s">
        <v>143</v>
      </c>
      <c r="BF3751">
        <v>2.68</v>
      </c>
      <c r="BG3751">
        <v>1.46</v>
      </c>
      <c r="BH3751">
        <v>-3.65</v>
      </c>
      <c r="BI3751">
        <v>1.46</v>
      </c>
      <c r="BJ3751">
        <v>20210831</v>
      </c>
      <c r="BK3751">
        <v>20151210</v>
      </c>
      <c r="BL3751">
        <v>2.08</v>
      </c>
      <c r="BM3751" t="s">
        <v>120</v>
      </c>
      <c r="BN3751" t="s">
        <v>120</v>
      </c>
      <c r="BO3751">
        <v>18.37</v>
      </c>
      <c r="BP3751">
        <v>15.3</v>
      </c>
      <c r="BQ3751">
        <v>8.65</v>
      </c>
      <c r="BR3751">
        <v>0.19</v>
      </c>
      <c r="BS3751">
        <v>51.87</v>
      </c>
      <c r="BT3751">
        <v>13.83</v>
      </c>
      <c r="BU3751">
        <v>3.12</v>
      </c>
      <c r="BV3751">
        <v>0.54</v>
      </c>
      <c r="BW3751">
        <v>8.9700000000000006</v>
      </c>
      <c r="BX3751">
        <v>2.87</v>
      </c>
      <c r="BY3751">
        <v>4.58</v>
      </c>
      <c r="BZ3751">
        <v>3.47</v>
      </c>
      <c r="CA3751" t="s">
        <v>120</v>
      </c>
      <c r="CB3751">
        <v>4.9800000000000004</v>
      </c>
      <c r="CC3751">
        <v>4.7300000000000004</v>
      </c>
      <c r="CD3751">
        <v>4.2300000000000004</v>
      </c>
      <c r="CE3751">
        <v>-0.38</v>
      </c>
      <c r="CF3751">
        <v>0.03</v>
      </c>
      <c r="CG3751">
        <v>-0.37</v>
      </c>
      <c r="CH3751">
        <v>-0.4</v>
      </c>
      <c r="CI3751">
        <v>-0.4</v>
      </c>
      <c r="CJ3751">
        <v>0.22</v>
      </c>
      <c r="CK3751">
        <v>-0.45</v>
      </c>
      <c r="CL3751">
        <v>1.25</v>
      </c>
      <c r="CM3751">
        <v>-0.94</v>
      </c>
      <c r="CN3751">
        <v>0.14000000000000001</v>
      </c>
      <c r="CO3751">
        <v>13628</v>
      </c>
      <c r="CP3751">
        <v>5155</v>
      </c>
      <c r="CQ3751" t="s">
        <v>3100</v>
      </c>
      <c r="CR3751">
        <v>-8047.03</v>
      </c>
      <c r="CS3751">
        <v>32.01</v>
      </c>
      <c r="CT3751">
        <v>3.68</v>
      </c>
      <c r="CU3751">
        <v>-33.72</v>
      </c>
      <c r="CV3751">
        <v>6.73</v>
      </c>
      <c r="CW3751">
        <v>0.05</v>
      </c>
      <c r="CX3751" t="s">
        <v>15529</v>
      </c>
      <c r="CY3751">
        <v>4.16</v>
      </c>
      <c r="CZ3751">
        <v>0</v>
      </c>
      <c r="DA3751">
        <v>2.39</v>
      </c>
      <c r="DB3751">
        <v>0.6</v>
      </c>
      <c r="DC3751">
        <v>-0.45</v>
      </c>
      <c r="DD3751">
        <v>47.11</v>
      </c>
      <c r="DE3751" t="s">
        <v>15530</v>
      </c>
      <c r="DF3751">
        <v>10.63</v>
      </c>
      <c r="DG3751">
        <v>-7.98</v>
      </c>
      <c r="DH3751">
        <v>-8.4499999999999993</v>
      </c>
      <c r="DI3751">
        <v>0.19</v>
      </c>
      <c r="DJ3751">
        <v>1012</v>
      </c>
      <c r="DK3751">
        <v>603800</v>
      </c>
      <c r="DL3751" t="s">
        <v>120</v>
      </c>
      <c r="DM3751" t="s">
        <v>120</v>
      </c>
      <c r="DN3751" t="s">
        <v>120</v>
      </c>
    </row>
    <row r="3752" spans="1:118">
      <c r="A3752" t="str">
        <f>"603801"</f>
        <v>603801</v>
      </c>
      <c r="B3752" t="s">
        <v>15531</v>
      </c>
      <c r="C3752">
        <v>-2.1800000000000002</v>
      </c>
      <c r="D3752">
        <v>0.44</v>
      </c>
      <c r="E3752">
        <v>0.04</v>
      </c>
      <c r="F3752">
        <v>312</v>
      </c>
      <c r="G3752" t="s">
        <v>7694</v>
      </c>
      <c r="H3752">
        <v>7785.71</v>
      </c>
      <c r="I3752">
        <v>7.92</v>
      </c>
      <c r="J3752" t="s">
        <v>120</v>
      </c>
      <c r="K3752" t="s">
        <v>7869</v>
      </c>
      <c r="L3752">
        <v>1.1100000000000001</v>
      </c>
      <c r="M3752">
        <v>22.92</v>
      </c>
      <c r="N3752">
        <v>1.36</v>
      </c>
      <c r="O3752">
        <v>0.9</v>
      </c>
      <c r="P3752">
        <v>23.64</v>
      </c>
      <c r="Q3752">
        <v>-3.2</v>
      </c>
      <c r="R3752">
        <v>22.68</v>
      </c>
      <c r="S3752">
        <v>23.44</v>
      </c>
      <c r="T3752">
        <v>33899</v>
      </c>
      <c r="U3752">
        <v>22.92</v>
      </c>
      <c r="V3752">
        <v>23.43</v>
      </c>
      <c r="W3752">
        <v>23.6</v>
      </c>
      <c r="X3752" t="s">
        <v>2409</v>
      </c>
      <c r="Y3752" t="s">
        <v>570</v>
      </c>
      <c r="Z3752">
        <v>4.0999999999999996</v>
      </c>
      <c r="AA3752">
        <v>22.97</v>
      </c>
      <c r="AB3752">
        <v>21362</v>
      </c>
      <c r="AC3752">
        <v>12537</v>
      </c>
      <c r="AD3752">
        <v>1.7</v>
      </c>
      <c r="AE3752">
        <v>3</v>
      </c>
      <c r="AF3752">
        <v>91</v>
      </c>
      <c r="AG3752" t="s">
        <v>120</v>
      </c>
      <c r="AH3752">
        <v>0</v>
      </c>
      <c r="AI3752" t="s">
        <v>120</v>
      </c>
      <c r="AJ3752">
        <v>3.05</v>
      </c>
      <c r="AK3752" t="s">
        <v>15532</v>
      </c>
      <c r="AL3752">
        <v>-0.83</v>
      </c>
      <c r="AM3752">
        <v>2262</v>
      </c>
      <c r="AN3752">
        <v>15</v>
      </c>
      <c r="AO3752">
        <v>5.0000000000000001E-4</v>
      </c>
      <c r="AP3752">
        <v>-6</v>
      </c>
      <c r="AQ3752">
        <v>-1.06</v>
      </c>
      <c r="AR3752">
        <v>-3.82</v>
      </c>
      <c r="AS3752">
        <v>-7.28</v>
      </c>
      <c r="AT3752">
        <v>-35.6</v>
      </c>
      <c r="AU3752">
        <v>-4.8099999999999996</v>
      </c>
      <c r="AV3752">
        <v>4</v>
      </c>
      <c r="AW3752">
        <v>2.2599999999999998</v>
      </c>
      <c r="AX3752">
        <v>48.05</v>
      </c>
      <c r="AY3752">
        <v>14.75</v>
      </c>
      <c r="AZ3752">
        <v>18.510000000000002</v>
      </c>
      <c r="BA3752">
        <v>0.94</v>
      </c>
      <c r="BB3752" t="s">
        <v>134</v>
      </c>
      <c r="BF3752">
        <v>-1.97</v>
      </c>
      <c r="BG3752">
        <v>-2.2200000000000002</v>
      </c>
      <c r="BH3752">
        <v>-3.05</v>
      </c>
      <c r="BI3752">
        <v>1.06</v>
      </c>
      <c r="BJ3752">
        <v>20210902</v>
      </c>
      <c r="BK3752">
        <v>20170630</v>
      </c>
      <c r="BL3752">
        <v>3.12</v>
      </c>
      <c r="BM3752" t="s">
        <v>120</v>
      </c>
      <c r="BN3752" t="s">
        <v>120</v>
      </c>
      <c r="BO3752">
        <v>45.41</v>
      </c>
      <c r="BP3752">
        <v>22.91</v>
      </c>
      <c r="BQ3752">
        <v>22.12</v>
      </c>
      <c r="BR3752" t="s">
        <v>120</v>
      </c>
      <c r="BS3752">
        <v>51.29</v>
      </c>
      <c r="BT3752">
        <v>27.01</v>
      </c>
      <c r="BU3752">
        <v>12.23</v>
      </c>
      <c r="BV3752">
        <v>1.34</v>
      </c>
      <c r="BW3752">
        <v>22.35</v>
      </c>
      <c r="BX3752">
        <v>8.86</v>
      </c>
      <c r="BY3752">
        <v>4.63</v>
      </c>
      <c r="BZ3752">
        <v>1.3</v>
      </c>
      <c r="CA3752" t="s">
        <v>120</v>
      </c>
      <c r="CB3752">
        <v>8.43</v>
      </c>
      <c r="CC3752">
        <v>19.079999999999998</v>
      </c>
      <c r="CD3752">
        <v>12.02</v>
      </c>
      <c r="CE3752">
        <v>1.73</v>
      </c>
      <c r="CF3752">
        <v>0.01</v>
      </c>
      <c r="CG3752">
        <v>1.73</v>
      </c>
      <c r="CH3752">
        <v>1.52</v>
      </c>
      <c r="CI3752">
        <v>1.52</v>
      </c>
      <c r="CJ3752">
        <v>-0.51</v>
      </c>
      <c r="CK3752">
        <v>1.46</v>
      </c>
      <c r="CL3752">
        <v>10.76</v>
      </c>
      <c r="CM3752">
        <v>1.66</v>
      </c>
      <c r="CN3752">
        <v>0.38</v>
      </c>
      <c r="CO3752">
        <v>14126</v>
      </c>
      <c r="CP3752">
        <v>10628</v>
      </c>
      <c r="CQ3752" t="s">
        <v>15533</v>
      </c>
      <c r="CR3752">
        <v>199.42</v>
      </c>
      <c r="CS3752">
        <v>55.84</v>
      </c>
      <c r="CT3752">
        <v>3.24</v>
      </c>
      <c r="CU3752">
        <v>43.18</v>
      </c>
      <c r="CV3752">
        <v>3.75</v>
      </c>
      <c r="CW3752">
        <v>2.44</v>
      </c>
      <c r="CX3752" t="s">
        <v>1631</v>
      </c>
      <c r="CY3752">
        <v>7.08</v>
      </c>
      <c r="CZ3752">
        <v>0</v>
      </c>
      <c r="DA3752">
        <v>2.7</v>
      </c>
      <c r="DB3752">
        <v>3.44</v>
      </c>
      <c r="DC3752">
        <v>0.53</v>
      </c>
      <c r="DD3752">
        <v>48.71</v>
      </c>
      <c r="DE3752" t="s">
        <v>294</v>
      </c>
      <c r="DF3752">
        <v>36.99</v>
      </c>
      <c r="DG3752">
        <v>9.07</v>
      </c>
      <c r="DH3752">
        <v>7.95</v>
      </c>
      <c r="DI3752">
        <v>1.39</v>
      </c>
      <c r="DJ3752">
        <v>4379</v>
      </c>
      <c r="DK3752">
        <v>603801</v>
      </c>
      <c r="DL3752" t="s">
        <v>120</v>
      </c>
      <c r="DM3752" t="s">
        <v>120</v>
      </c>
      <c r="DN3752" t="s">
        <v>120</v>
      </c>
    </row>
    <row r="3753" spans="1:118">
      <c r="A3753" t="str">
        <f>"603803"</f>
        <v>603803</v>
      </c>
      <c r="B3753" t="s">
        <v>15534</v>
      </c>
      <c r="C3753">
        <v>-1.43</v>
      </c>
      <c r="D3753">
        <v>0.16</v>
      </c>
      <c r="E3753">
        <v>0</v>
      </c>
      <c r="F3753">
        <v>321</v>
      </c>
      <c r="G3753" t="s">
        <v>12771</v>
      </c>
      <c r="H3753">
        <v>2321.65</v>
      </c>
      <c r="I3753">
        <v>0.69</v>
      </c>
      <c r="J3753" t="s">
        <v>120</v>
      </c>
      <c r="K3753" t="s">
        <v>14405</v>
      </c>
      <c r="L3753">
        <v>0.88</v>
      </c>
      <c r="M3753">
        <v>6.22</v>
      </c>
      <c r="N3753">
        <v>1.01</v>
      </c>
      <c r="O3753">
        <v>2.2200000000000002</v>
      </c>
      <c r="P3753">
        <v>6.45</v>
      </c>
      <c r="Q3753">
        <v>-2.2200000000000002</v>
      </c>
      <c r="R3753">
        <v>6.17</v>
      </c>
      <c r="S3753">
        <v>6.31</v>
      </c>
      <c r="T3753">
        <v>36849</v>
      </c>
      <c r="U3753">
        <v>6.22</v>
      </c>
      <c r="V3753">
        <v>6.31</v>
      </c>
      <c r="W3753" t="s">
        <v>120</v>
      </c>
      <c r="X3753" t="s">
        <v>462</v>
      </c>
      <c r="Y3753" t="s">
        <v>158</v>
      </c>
      <c r="Z3753">
        <v>4.4400000000000004</v>
      </c>
      <c r="AA3753">
        <v>6.3</v>
      </c>
      <c r="AB3753">
        <v>21788</v>
      </c>
      <c r="AC3753">
        <v>15061</v>
      </c>
      <c r="AD3753">
        <v>1.45</v>
      </c>
      <c r="AE3753">
        <v>259</v>
      </c>
      <c r="AF3753">
        <v>267</v>
      </c>
      <c r="AG3753" t="s">
        <v>120</v>
      </c>
      <c r="AH3753">
        <v>0</v>
      </c>
      <c r="AI3753" t="s">
        <v>120</v>
      </c>
      <c r="AJ3753">
        <v>4.21</v>
      </c>
      <c r="AK3753" t="s">
        <v>14405</v>
      </c>
      <c r="AL3753">
        <v>-0.08</v>
      </c>
      <c r="AM3753">
        <v>1378</v>
      </c>
      <c r="AN3753">
        <v>27</v>
      </c>
      <c r="AO3753">
        <v>5.9999999999999995E-4</v>
      </c>
      <c r="AP3753">
        <v>-1</v>
      </c>
      <c r="AQ3753">
        <v>0.64</v>
      </c>
      <c r="AR3753">
        <v>-2.35</v>
      </c>
      <c r="AS3753">
        <v>-7.58</v>
      </c>
      <c r="AT3753">
        <v>-32.75</v>
      </c>
      <c r="AU3753">
        <v>-43.14</v>
      </c>
      <c r="AV3753">
        <v>2</v>
      </c>
      <c r="AW3753">
        <v>1.85</v>
      </c>
      <c r="AX3753">
        <v>47.2</v>
      </c>
      <c r="AY3753" t="s">
        <v>120</v>
      </c>
      <c r="AZ3753">
        <v>19.23</v>
      </c>
      <c r="BA3753">
        <v>1.1499999999999999</v>
      </c>
      <c r="BB3753" t="s">
        <v>143</v>
      </c>
      <c r="BF3753">
        <v>-0.15</v>
      </c>
      <c r="BG3753">
        <v>-1.43</v>
      </c>
      <c r="BH3753">
        <v>-3.57</v>
      </c>
      <c r="BI3753">
        <v>0.81</v>
      </c>
      <c r="BJ3753">
        <v>20210831</v>
      </c>
      <c r="BK3753">
        <v>20170420</v>
      </c>
      <c r="BL3753">
        <v>4.21</v>
      </c>
      <c r="BM3753" t="s">
        <v>120</v>
      </c>
      <c r="BN3753" t="s">
        <v>120</v>
      </c>
      <c r="BO3753">
        <v>29.95</v>
      </c>
      <c r="BP3753">
        <v>6.21</v>
      </c>
      <c r="BQ3753">
        <v>18.760000000000002</v>
      </c>
      <c r="BR3753">
        <v>-0.02</v>
      </c>
      <c r="BS3753">
        <v>37.450000000000003</v>
      </c>
      <c r="BT3753">
        <v>24.6</v>
      </c>
      <c r="BU3753">
        <v>2.58</v>
      </c>
      <c r="BV3753">
        <v>1.1499999999999999</v>
      </c>
      <c r="BW3753">
        <v>10.96</v>
      </c>
      <c r="BX3753">
        <v>6.59</v>
      </c>
      <c r="BY3753">
        <v>8.52</v>
      </c>
      <c r="BZ3753">
        <v>8.5500000000000007</v>
      </c>
      <c r="CA3753" t="s">
        <v>120</v>
      </c>
      <c r="CB3753">
        <v>7.13</v>
      </c>
      <c r="CC3753">
        <v>7.93</v>
      </c>
      <c r="CD3753">
        <v>4.68</v>
      </c>
      <c r="CE3753">
        <v>-7.66</v>
      </c>
      <c r="CF3753">
        <v>-0.05</v>
      </c>
      <c r="CG3753">
        <v>-7.66</v>
      </c>
      <c r="CH3753">
        <v>-7.73</v>
      </c>
      <c r="CI3753">
        <v>-7.72</v>
      </c>
      <c r="CJ3753">
        <v>-0.09</v>
      </c>
      <c r="CK3753">
        <v>-7.74</v>
      </c>
      <c r="CL3753">
        <v>5.55</v>
      </c>
      <c r="CM3753">
        <v>-2.4300000000000002</v>
      </c>
      <c r="CN3753">
        <v>-1.77</v>
      </c>
      <c r="CO3753">
        <v>23106</v>
      </c>
      <c r="CP3753">
        <v>8601</v>
      </c>
      <c r="CQ3753" t="s">
        <v>2603</v>
      </c>
      <c r="CR3753">
        <v>-6858.5</v>
      </c>
      <c r="CS3753">
        <v>14.52</v>
      </c>
      <c r="CT3753">
        <v>1.4</v>
      </c>
      <c r="CU3753">
        <v>-10.77</v>
      </c>
      <c r="CV3753">
        <v>3.3</v>
      </c>
      <c r="CW3753">
        <v>1.74</v>
      </c>
      <c r="CX3753" t="s">
        <v>15535</v>
      </c>
      <c r="CY3753">
        <v>4.46</v>
      </c>
      <c r="CZ3753">
        <v>0</v>
      </c>
      <c r="DA3753">
        <v>1.69</v>
      </c>
      <c r="DB3753">
        <v>1.32</v>
      </c>
      <c r="DC3753">
        <v>-0.57999999999999996</v>
      </c>
      <c r="DD3753">
        <v>62.63</v>
      </c>
      <c r="DE3753" t="s">
        <v>15536</v>
      </c>
      <c r="DF3753">
        <v>40.92</v>
      </c>
      <c r="DG3753">
        <v>-96.62</v>
      </c>
      <c r="DH3753">
        <v>-97.39</v>
      </c>
      <c r="DI3753">
        <v>1.23</v>
      </c>
      <c r="DJ3753">
        <v>1786</v>
      </c>
      <c r="DK3753">
        <v>603803</v>
      </c>
      <c r="DL3753" t="s">
        <v>120</v>
      </c>
      <c r="DM3753" t="s">
        <v>120</v>
      </c>
      <c r="DN3753" t="s">
        <v>120</v>
      </c>
    </row>
    <row r="3754" spans="1:118">
      <c r="A3754" t="str">
        <f>"603806"</f>
        <v>603806</v>
      </c>
      <c r="B3754" t="s">
        <v>15537</v>
      </c>
      <c r="C3754">
        <v>-6.36</v>
      </c>
      <c r="D3754">
        <v>0.47</v>
      </c>
      <c r="E3754">
        <v>3.08</v>
      </c>
      <c r="F3754">
        <v>1066</v>
      </c>
      <c r="G3754" t="s">
        <v>15538</v>
      </c>
      <c r="H3754">
        <v>158818.23999999999</v>
      </c>
      <c r="I3754">
        <v>1899.29</v>
      </c>
      <c r="J3754" t="s">
        <v>120</v>
      </c>
      <c r="K3754" t="s">
        <v>15539</v>
      </c>
      <c r="L3754">
        <v>1.18</v>
      </c>
      <c r="M3754">
        <v>133.9</v>
      </c>
      <c r="N3754">
        <v>1.29</v>
      </c>
      <c r="O3754">
        <v>6.91</v>
      </c>
      <c r="P3754">
        <v>152.88</v>
      </c>
      <c r="Q3754">
        <v>-7.24</v>
      </c>
      <c r="R3754">
        <v>132.65</v>
      </c>
      <c r="S3754">
        <v>147.41</v>
      </c>
      <c r="T3754">
        <v>112490</v>
      </c>
      <c r="U3754">
        <v>133.9</v>
      </c>
      <c r="V3754">
        <v>143</v>
      </c>
      <c r="W3754">
        <v>70.47</v>
      </c>
      <c r="X3754" t="s">
        <v>2211</v>
      </c>
      <c r="Y3754" t="s">
        <v>585</v>
      </c>
      <c r="Z3754">
        <v>14.15</v>
      </c>
      <c r="AA3754">
        <v>141.18</v>
      </c>
      <c r="AB3754">
        <v>57262</v>
      </c>
      <c r="AC3754">
        <v>55228</v>
      </c>
      <c r="AD3754">
        <v>1.04</v>
      </c>
      <c r="AE3754">
        <v>2</v>
      </c>
      <c r="AF3754">
        <v>19</v>
      </c>
      <c r="AG3754" t="s">
        <v>120</v>
      </c>
      <c r="AH3754">
        <v>0.04</v>
      </c>
      <c r="AI3754" t="s">
        <v>120</v>
      </c>
      <c r="AJ3754">
        <v>9.51</v>
      </c>
      <c r="AK3754" t="s">
        <v>15539</v>
      </c>
      <c r="AL3754">
        <v>-5.0199999999999996</v>
      </c>
      <c r="AM3754">
        <v>4527</v>
      </c>
      <c r="AN3754">
        <v>25</v>
      </c>
      <c r="AO3754">
        <v>2.9999999999999997E-4</v>
      </c>
      <c r="AP3754">
        <v>-1</v>
      </c>
      <c r="AQ3754">
        <v>3.83</v>
      </c>
      <c r="AR3754">
        <v>-2.62</v>
      </c>
      <c r="AS3754">
        <v>6.91</v>
      </c>
      <c r="AT3754">
        <v>32.94</v>
      </c>
      <c r="AU3754">
        <v>89.15</v>
      </c>
      <c r="AV3754">
        <v>5</v>
      </c>
      <c r="AW3754">
        <v>3.15</v>
      </c>
      <c r="AX3754">
        <v>37.51</v>
      </c>
      <c r="AY3754">
        <v>67.58</v>
      </c>
      <c r="AZ3754">
        <v>86.91</v>
      </c>
      <c r="BA3754">
        <v>1.63</v>
      </c>
      <c r="BB3754" t="s">
        <v>168</v>
      </c>
      <c r="BF3754">
        <v>-1.27</v>
      </c>
      <c r="BG3754">
        <v>-9.16</v>
      </c>
      <c r="BH3754">
        <v>-12.41</v>
      </c>
      <c r="BI3754">
        <v>0.94</v>
      </c>
      <c r="BJ3754">
        <v>20210818</v>
      </c>
      <c r="BK3754">
        <v>20140905</v>
      </c>
      <c r="BL3754">
        <v>9.51</v>
      </c>
      <c r="BM3754" t="s">
        <v>120</v>
      </c>
      <c r="BN3754" t="s">
        <v>120</v>
      </c>
      <c r="BO3754">
        <v>122.75</v>
      </c>
      <c r="BP3754">
        <v>133.88999999999999</v>
      </c>
      <c r="BQ3754">
        <v>98.36</v>
      </c>
      <c r="BR3754">
        <v>0.03</v>
      </c>
      <c r="BS3754">
        <v>19.850000000000001</v>
      </c>
      <c r="BT3754">
        <v>96.89</v>
      </c>
      <c r="BU3754">
        <v>17.57</v>
      </c>
      <c r="BV3754">
        <v>3.04</v>
      </c>
      <c r="BW3754">
        <v>13.21</v>
      </c>
      <c r="BX3754">
        <v>21.15</v>
      </c>
      <c r="BY3754">
        <v>15.03</v>
      </c>
      <c r="BZ3754">
        <v>23.43</v>
      </c>
      <c r="CA3754" t="s">
        <v>120</v>
      </c>
      <c r="CB3754">
        <v>24.76</v>
      </c>
      <c r="CC3754">
        <v>57.16</v>
      </c>
      <c r="CD3754">
        <v>42.74</v>
      </c>
      <c r="CE3754">
        <v>10.51</v>
      </c>
      <c r="CF3754">
        <v>0.14000000000000001</v>
      </c>
      <c r="CG3754">
        <v>10.51</v>
      </c>
      <c r="CH3754">
        <v>9.0500000000000007</v>
      </c>
      <c r="CI3754">
        <v>9.0399999999999991</v>
      </c>
      <c r="CJ3754">
        <v>-9.1</v>
      </c>
      <c r="CK3754">
        <v>8.75</v>
      </c>
      <c r="CL3754">
        <v>57.33</v>
      </c>
      <c r="CM3754">
        <v>-6.32</v>
      </c>
      <c r="CN3754">
        <v>4.09</v>
      </c>
      <c r="CO3754">
        <v>20245</v>
      </c>
      <c r="CP3754">
        <v>17620</v>
      </c>
      <c r="CQ3754" t="s">
        <v>15540</v>
      </c>
      <c r="CR3754">
        <v>98.08</v>
      </c>
      <c r="CS3754">
        <v>69.290000000000006</v>
      </c>
      <c r="CT3754">
        <v>13.01</v>
      </c>
      <c r="CU3754">
        <v>-201.61</v>
      </c>
      <c r="CV3754">
        <v>22.28</v>
      </c>
      <c r="CW3754">
        <v>0.25</v>
      </c>
      <c r="CX3754" t="s">
        <v>2436</v>
      </c>
      <c r="CY3754">
        <v>10.29</v>
      </c>
      <c r="CZ3754">
        <v>10.29</v>
      </c>
      <c r="DA3754">
        <v>2.6</v>
      </c>
      <c r="DB3754">
        <v>6.03</v>
      </c>
      <c r="DC3754">
        <v>-0.66</v>
      </c>
      <c r="DD3754">
        <v>80.13</v>
      </c>
      <c r="DE3754" t="s">
        <v>8352</v>
      </c>
      <c r="DF3754">
        <v>25.22</v>
      </c>
      <c r="DG3754">
        <v>18.39</v>
      </c>
      <c r="DH3754">
        <v>15.81</v>
      </c>
      <c r="DI3754">
        <v>1.86</v>
      </c>
      <c r="DJ3754">
        <v>2525</v>
      </c>
      <c r="DK3754">
        <v>603806</v>
      </c>
      <c r="DL3754" t="s">
        <v>120</v>
      </c>
      <c r="DM3754" t="s">
        <v>120</v>
      </c>
      <c r="DN3754" t="s">
        <v>120</v>
      </c>
    </row>
    <row r="3755" spans="1:118">
      <c r="A3755" t="str">
        <f>"603808"</f>
        <v>603808</v>
      </c>
      <c r="B3755" t="s">
        <v>15541</v>
      </c>
      <c r="C3755">
        <v>-1.21</v>
      </c>
      <c r="D3755">
        <v>0</v>
      </c>
      <c r="E3755">
        <v>0.2</v>
      </c>
      <c r="F3755">
        <v>215</v>
      </c>
      <c r="G3755" t="s">
        <v>9689</v>
      </c>
      <c r="H3755">
        <v>2484.1</v>
      </c>
      <c r="I3755">
        <v>15.95</v>
      </c>
      <c r="J3755" t="s">
        <v>120</v>
      </c>
      <c r="K3755" t="s">
        <v>333</v>
      </c>
      <c r="L3755">
        <v>0.5</v>
      </c>
      <c r="M3755">
        <v>14.7</v>
      </c>
      <c r="N3755">
        <v>0.68</v>
      </c>
      <c r="O3755">
        <v>1.01</v>
      </c>
      <c r="P3755">
        <v>15.03</v>
      </c>
      <c r="Q3755">
        <v>-1.34</v>
      </c>
      <c r="R3755">
        <v>14.68</v>
      </c>
      <c r="S3755">
        <v>14.91</v>
      </c>
      <c r="T3755">
        <v>16759</v>
      </c>
      <c r="U3755">
        <v>14.7</v>
      </c>
      <c r="V3755">
        <v>14.88</v>
      </c>
      <c r="W3755">
        <v>14.55</v>
      </c>
      <c r="X3755" t="s">
        <v>2806</v>
      </c>
      <c r="Y3755" t="s">
        <v>123</v>
      </c>
      <c r="Z3755">
        <v>2.35</v>
      </c>
      <c r="AA3755">
        <v>14.82</v>
      </c>
      <c r="AB3755">
        <v>10070</v>
      </c>
      <c r="AC3755">
        <v>6689</v>
      </c>
      <c r="AD3755">
        <v>1.51</v>
      </c>
      <c r="AE3755">
        <v>169</v>
      </c>
      <c r="AF3755">
        <v>25</v>
      </c>
      <c r="AG3755" t="s">
        <v>120</v>
      </c>
      <c r="AH3755">
        <v>0.01</v>
      </c>
      <c r="AI3755" t="s">
        <v>120</v>
      </c>
      <c r="AJ3755">
        <v>3.33</v>
      </c>
      <c r="AK3755" t="s">
        <v>14523</v>
      </c>
      <c r="AL3755">
        <v>0.13</v>
      </c>
      <c r="AM3755">
        <v>1669</v>
      </c>
      <c r="AN3755">
        <v>10</v>
      </c>
      <c r="AO3755">
        <v>2.9999999999999997E-4</v>
      </c>
      <c r="AP3755">
        <v>-3</v>
      </c>
      <c r="AQ3755">
        <v>-1.2</v>
      </c>
      <c r="AR3755">
        <v>-5.1100000000000003</v>
      </c>
      <c r="AS3755">
        <v>2.23</v>
      </c>
      <c r="AT3755">
        <v>-6.13</v>
      </c>
      <c r="AU3755">
        <v>14.75</v>
      </c>
      <c r="AV3755">
        <v>0</v>
      </c>
      <c r="AW3755">
        <v>1.3</v>
      </c>
      <c r="AX3755">
        <v>35.03</v>
      </c>
      <c r="AY3755">
        <v>14.88</v>
      </c>
      <c r="AZ3755">
        <v>12.34</v>
      </c>
      <c r="BA3755">
        <v>1.01</v>
      </c>
      <c r="BB3755" t="s">
        <v>143</v>
      </c>
      <c r="BF3755">
        <v>-0.39</v>
      </c>
      <c r="BG3755">
        <v>-1.41</v>
      </c>
      <c r="BH3755">
        <v>-2.2000000000000002</v>
      </c>
      <c r="BI3755">
        <v>0.14000000000000001</v>
      </c>
      <c r="BJ3755">
        <v>20210830</v>
      </c>
      <c r="BK3755">
        <v>20150422</v>
      </c>
      <c r="BL3755">
        <v>3.69</v>
      </c>
      <c r="BM3755" t="s">
        <v>120</v>
      </c>
      <c r="BN3755" t="s">
        <v>120</v>
      </c>
      <c r="BO3755">
        <v>37.32</v>
      </c>
      <c r="BP3755">
        <v>14.69</v>
      </c>
      <c r="BQ3755">
        <v>22.73</v>
      </c>
      <c r="BR3755">
        <v>0.59</v>
      </c>
      <c r="BS3755">
        <v>37.51</v>
      </c>
      <c r="BT3755">
        <v>16.559999999999999</v>
      </c>
      <c r="BU3755">
        <v>1.65</v>
      </c>
      <c r="BV3755">
        <v>6.1</v>
      </c>
      <c r="BW3755">
        <v>8.44</v>
      </c>
      <c r="BX3755">
        <v>5.32</v>
      </c>
      <c r="BY3755">
        <v>5.84</v>
      </c>
      <c r="BZ3755">
        <v>2.67</v>
      </c>
      <c r="CA3755" t="s">
        <v>120</v>
      </c>
      <c r="CB3755">
        <v>3.23</v>
      </c>
      <c r="CC3755">
        <v>10.99</v>
      </c>
      <c r="CD3755">
        <v>3.47</v>
      </c>
      <c r="CE3755">
        <v>2.34</v>
      </c>
      <c r="CF3755">
        <v>0.25</v>
      </c>
      <c r="CG3755">
        <v>2.41</v>
      </c>
      <c r="CH3755">
        <v>2.04</v>
      </c>
      <c r="CI3755">
        <v>1.86</v>
      </c>
      <c r="CJ3755">
        <v>-0.18</v>
      </c>
      <c r="CK3755">
        <v>1.75</v>
      </c>
      <c r="CL3755">
        <v>15.63</v>
      </c>
      <c r="CM3755">
        <v>1.27</v>
      </c>
      <c r="CN3755">
        <v>-2.0499999999999998</v>
      </c>
      <c r="CO3755">
        <v>11763</v>
      </c>
      <c r="CP3755">
        <v>10993</v>
      </c>
      <c r="CQ3755" t="s">
        <v>12125</v>
      </c>
      <c r="CR3755">
        <v>-28.92</v>
      </c>
      <c r="CS3755">
        <v>35.020000000000003</v>
      </c>
      <c r="CT3755">
        <v>2.15</v>
      </c>
      <c r="CU3755">
        <v>42.87</v>
      </c>
      <c r="CV3755">
        <v>4.93</v>
      </c>
      <c r="CW3755">
        <v>2.36</v>
      </c>
      <c r="CX3755" t="s">
        <v>1426</v>
      </c>
      <c r="CY3755">
        <v>6.84</v>
      </c>
      <c r="CZ3755">
        <v>6.84</v>
      </c>
      <c r="DA3755">
        <v>0.87</v>
      </c>
      <c r="DB3755">
        <v>4.2300000000000004</v>
      </c>
      <c r="DC3755">
        <v>0.34</v>
      </c>
      <c r="DD3755">
        <v>60.91</v>
      </c>
      <c r="DE3755" t="s">
        <v>901</v>
      </c>
      <c r="DF3755">
        <v>68.430000000000007</v>
      </c>
      <c r="DG3755">
        <v>21.28</v>
      </c>
      <c r="DH3755">
        <v>16.96</v>
      </c>
      <c r="DI3755">
        <v>0.25</v>
      </c>
      <c r="DJ3755">
        <v>2654</v>
      </c>
      <c r="DK3755">
        <v>603808</v>
      </c>
      <c r="DL3755" t="s">
        <v>120</v>
      </c>
      <c r="DM3755" t="s">
        <v>120</v>
      </c>
      <c r="DN3755" t="s">
        <v>120</v>
      </c>
    </row>
    <row r="3756" spans="1:118">
      <c r="A3756" t="str">
        <f>"603809"</f>
        <v>603809</v>
      </c>
      <c r="B3756" t="s">
        <v>15542</v>
      </c>
      <c r="C3756">
        <v>-2.54</v>
      </c>
      <c r="D3756">
        <v>0.23</v>
      </c>
      <c r="E3756">
        <v>0</v>
      </c>
      <c r="F3756">
        <v>425</v>
      </c>
      <c r="G3756" t="s">
        <v>15543</v>
      </c>
      <c r="H3756">
        <v>9177.51</v>
      </c>
      <c r="I3756">
        <v>11.33</v>
      </c>
      <c r="J3756" t="s">
        <v>120</v>
      </c>
      <c r="K3756" t="s">
        <v>15544</v>
      </c>
      <c r="L3756">
        <v>1.79</v>
      </c>
      <c r="M3756">
        <v>17.25</v>
      </c>
      <c r="N3756">
        <v>1.45</v>
      </c>
      <c r="O3756">
        <v>0.11</v>
      </c>
      <c r="P3756">
        <v>17.72</v>
      </c>
      <c r="Q3756">
        <v>-2.88</v>
      </c>
      <c r="R3756">
        <v>17.190000000000001</v>
      </c>
      <c r="S3756">
        <v>17.7</v>
      </c>
      <c r="T3756">
        <v>52531</v>
      </c>
      <c r="U3756">
        <v>17.25</v>
      </c>
      <c r="V3756">
        <v>17.7</v>
      </c>
      <c r="W3756">
        <v>20.22</v>
      </c>
      <c r="X3756" t="s">
        <v>289</v>
      </c>
      <c r="Y3756" t="s">
        <v>578</v>
      </c>
      <c r="Z3756">
        <v>2.99</v>
      </c>
      <c r="AA3756">
        <v>17.47</v>
      </c>
      <c r="AB3756">
        <v>24878</v>
      </c>
      <c r="AC3756">
        <v>27653</v>
      </c>
      <c r="AD3756">
        <v>0.9</v>
      </c>
      <c r="AE3756">
        <v>1</v>
      </c>
      <c r="AF3756">
        <v>91</v>
      </c>
      <c r="AG3756" t="s">
        <v>120</v>
      </c>
      <c r="AH3756">
        <v>0</v>
      </c>
      <c r="AI3756" t="s">
        <v>120</v>
      </c>
      <c r="AJ3756">
        <v>2.93</v>
      </c>
      <c r="AK3756" t="s">
        <v>15545</v>
      </c>
      <c r="AL3756">
        <v>-1.2</v>
      </c>
      <c r="AM3756">
        <v>1869</v>
      </c>
      <c r="AN3756">
        <v>28</v>
      </c>
      <c r="AO3756">
        <v>1E-3</v>
      </c>
      <c r="AP3756">
        <v>-1</v>
      </c>
      <c r="AQ3756">
        <v>1.26</v>
      </c>
      <c r="AR3756">
        <v>-3.79</v>
      </c>
      <c r="AS3756">
        <v>3.98</v>
      </c>
      <c r="AT3756">
        <v>29.02</v>
      </c>
      <c r="AU3756">
        <v>18.440000000000001</v>
      </c>
      <c r="AV3756">
        <v>6</v>
      </c>
      <c r="AW3756">
        <v>3.07</v>
      </c>
      <c r="AX3756">
        <v>56.5</v>
      </c>
      <c r="AY3756">
        <v>23.86</v>
      </c>
      <c r="AZ3756">
        <v>30.32</v>
      </c>
      <c r="BA3756">
        <v>1.75</v>
      </c>
      <c r="BB3756" t="s">
        <v>143</v>
      </c>
      <c r="BF3756">
        <v>-1.3</v>
      </c>
      <c r="BG3756">
        <v>-2.54</v>
      </c>
      <c r="BH3756">
        <v>-2.65</v>
      </c>
      <c r="BI3756">
        <v>0.35</v>
      </c>
      <c r="BJ3756">
        <v>20210817</v>
      </c>
      <c r="BK3756">
        <v>20171128</v>
      </c>
      <c r="BL3756">
        <v>3.03</v>
      </c>
      <c r="BM3756" t="s">
        <v>120</v>
      </c>
      <c r="BN3756" t="s">
        <v>120</v>
      </c>
      <c r="BO3756">
        <v>36.24</v>
      </c>
      <c r="BP3756">
        <v>17.23</v>
      </c>
      <c r="BQ3756">
        <v>18.2</v>
      </c>
      <c r="BR3756">
        <v>1.84</v>
      </c>
      <c r="BS3756">
        <v>44.68</v>
      </c>
      <c r="BT3756">
        <v>15.07</v>
      </c>
      <c r="BU3756">
        <v>11.8</v>
      </c>
      <c r="BV3756">
        <v>1.54</v>
      </c>
      <c r="BW3756">
        <v>11.04</v>
      </c>
      <c r="BX3756">
        <v>1.48</v>
      </c>
      <c r="BY3756">
        <v>4.8099999999999996</v>
      </c>
      <c r="BZ3756">
        <v>3.38</v>
      </c>
      <c r="CA3756" t="s">
        <v>120</v>
      </c>
      <c r="CB3756">
        <v>4.58</v>
      </c>
      <c r="CC3756">
        <v>7.3</v>
      </c>
      <c r="CD3756">
        <v>4.37</v>
      </c>
      <c r="CE3756">
        <v>1.65</v>
      </c>
      <c r="CF3756">
        <v>0.04</v>
      </c>
      <c r="CG3756">
        <v>1.65</v>
      </c>
      <c r="CH3756">
        <v>1.43</v>
      </c>
      <c r="CI3756">
        <v>1.29</v>
      </c>
      <c r="CJ3756">
        <v>-0.45</v>
      </c>
      <c r="CK3756">
        <v>1.24</v>
      </c>
      <c r="CL3756">
        <v>10.45</v>
      </c>
      <c r="CM3756">
        <v>1.75</v>
      </c>
      <c r="CN3756">
        <v>-1.36</v>
      </c>
      <c r="CO3756">
        <v>9932</v>
      </c>
      <c r="CP3756">
        <v>17231</v>
      </c>
      <c r="CQ3756" t="s">
        <v>15546</v>
      </c>
      <c r="CR3756">
        <v>58.96</v>
      </c>
      <c r="CS3756">
        <v>50.31</v>
      </c>
      <c r="CT3756">
        <v>2.87</v>
      </c>
      <c r="CU3756">
        <v>29.88</v>
      </c>
      <c r="CV3756">
        <v>7.16</v>
      </c>
      <c r="CW3756">
        <v>1.21</v>
      </c>
      <c r="CX3756" t="s">
        <v>648</v>
      </c>
      <c r="CY3756">
        <v>6.01</v>
      </c>
      <c r="CZ3756">
        <v>0</v>
      </c>
      <c r="DA3756">
        <v>1.51</v>
      </c>
      <c r="DB3756">
        <v>3.45</v>
      </c>
      <c r="DC3756">
        <v>0.57999999999999996</v>
      </c>
      <c r="DD3756">
        <v>50.24</v>
      </c>
      <c r="DE3756" t="s">
        <v>11086</v>
      </c>
      <c r="DF3756">
        <v>40.07</v>
      </c>
      <c r="DG3756">
        <v>22.55</v>
      </c>
      <c r="DH3756">
        <v>17.7</v>
      </c>
      <c r="DI3756">
        <v>0.4</v>
      </c>
      <c r="DJ3756">
        <v>2103</v>
      </c>
      <c r="DK3756">
        <v>603809</v>
      </c>
      <c r="DL3756" t="s">
        <v>120</v>
      </c>
      <c r="DM3756" t="s">
        <v>120</v>
      </c>
      <c r="DN3756" t="s">
        <v>120</v>
      </c>
    </row>
    <row r="3757" spans="1:118">
      <c r="A3757" t="str">
        <f>"603810"</f>
        <v>603810</v>
      </c>
      <c r="B3757" t="s">
        <v>15547</v>
      </c>
      <c r="C3757">
        <v>4.07</v>
      </c>
      <c r="D3757">
        <v>7.0000000000000007E-2</v>
      </c>
      <c r="E3757">
        <v>-0.28000000000000003</v>
      </c>
      <c r="F3757">
        <v>353</v>
      </c>
      <c r="G3757" t="s">
        <v>3780</v>
      </c>
      <c r="H3757">
        <v>8472.94</v>
      </c>
      <c r="I3757">
        <v>9.68</v>
      </c>
      <c r="J3757" t="s">
        <v>120</v>
      </c>
      <c r="K3757" t="s">
        <v>6369</v>
      </c>
      <c r="L3757">
        <v>6.98</v>
      </c>
      <c r="M3757">
        <v>15.08</v>
      </c>
      <c r="N3757">
        <v>2.6</v>
      </c>
      <c r="O3757">
        <v>8.35</v>
      </c>
      <c r="P3757">
        <v>15.7</v>
      </c>
      <c r="Q3757">
        <v>-0.28000000000000003</v>
      </c>
      <c r="R3757">
        <v>14.45</v>
      </c>
      <c r="S3757">
        <v>14.45</v>
      </c>
      <c r="T3757">
        <v>55641</v>
      </c>
      <c r="U3757">
        <v>15.08</v>
      </c>
      <c r="V3757">
        <v>14.49</v>
      </c>
      <c r="W3757">
        <v>14.8</v>
      </c>
      <c r="X3757" t="s">
        <v>690</v>
      </c>
      <c r="Y3757" t="s">
        <v>319</v>
      </c>
      <c r="Z3757">
        <v>8.6300000000000008</v>
      </c>
      <c r="AA3757">
        <v>15.23</v>
      </c>
      <c r="AB3757">
        <v>28465</v>
      </c>
      <c r="AC3757">
        <v>27176</v>
      </c>
      <c r="AD3757">
        <v>1.05</v>
      </c>
      <c r="AE3757">
        <v>121</v>
      </c>
      <c r="AF3757">
        <v>64</v>
      </c>
      <c r="AG3757" t="s">
        <v>120</v>
      </c>
      <c r="AH3757">
        <v>0.01</v>
      </c>
      <c r="AI3757" t="s">
        <v>120</v>
      </c>
      <c r="AJ3757">
        <v>0.8</v>
      </c>
      <c r="AK3757" t="s">
        <v>4347</v>
      </c>
      <c r="AL3757">
        <v>5.42</v>
      </c>
      <c r="AM3757">
        <v>2055</v>
      </c>
      <c r="AN3757">
        <v>27</v>
      </c>
      <c r="AO3757">
        <v>3.3999999999999998E-3</v>
      </c>
      <c r="AP3757">
        <v>1</v>
      </c>
      <c r="AQ3757">
        <v>0</v>
      </c>
      <c r="AR3757">
        <v>1.55</v>
      </c>
      <c r="AS3757">
        <v>14.24</v>
      </c>
      <c r="AT3757">
        <v>-1.89</v>
      </c>
      <c r="AU3757">
        <v>-9.1999999999999993</v>
      </c>
      <c r="AV3757">
        <v>1</v>
      </c>
      <c r="AW3757">
        <v>7.77</v>
      </c>
      <c r="AX3757">
        <v>44.01</v>
      </c>
      <c r="AY3757">
        <v>14.96</v>
      </c>
      <c r="AZ3757">
        <v>10</v>
      </c>
      <c r="BA3757">
        <v>1</v>
      </c>
      <c r="BB3757" t="s">
        <v>184</v>
      </c>
      <c r="BF3757">
        <v>5.09</v>
      </c>
      <c r="BG3757">
        <v>4.3600000000000003</v>
      </c>
      <c r="BH3757">
        <v>-3.95</v>
      </c>
      <c r="BI3757">
        <v>4.3600000000000003</v>
      </c>
      <c r="BJ3757">
        <v>20210816</v>
      </c>
      <c r="BK3757">
        <v>20180917</v>
      </c>
      <c r="BL3757">
        <v>1.63</v>
      </c>
      <c r="BM3757" t="s">
        <v>120</v>
      </c>
      <c r="BN3757" t="s">
        <v>120</v>
      </c>
      <c r="BO3757">
        <v>20.07</v>
      </c>
      <c r="BP3757">
        <v>15.07</v>
      </c>
      <c r="BQ3757">
        <v>13.67</v>
      </c>
      <c r="BR3757" t="s">
        <v>120</v>
      </c>
      <c r="BS3757">
        <v>31.88</v>
      </c>
      <c r="BT3757">
        <v>12.79</v>
      </c>
      <c r="BU3757">
        <v>4.8</v>
      </c>
      <c r="BV3757">
        <v>0.52</v>
      </c>
      <c r="BW3757">
        <v>5.95</v>
      </c>
      <c r="BX3757">
        <v>2.8</v>
      </c>
      <c r="BY3757">
        <v>2.9</v>
      </c>
      <c r="BZ3757">
        <v>3.33</v>
      </c>
      <c r="CA3757" t="s">
        <v>120</v>
      </c>
      <c r="CB3757">
        <v>6.4</v>
      </c>
      <c r="CC3757">
        <v>8.5</v>
      </c>
      <c r="CD3757">
        <v>6.62</v>
      </c>
      <c r="CE3757">
        <v>0.97</v>
      </c>
      <c r="CF3757">
        <v>7.0000000000000007E-2</v>
      </c>
      <c r="CG3757">
        <v>0.97</v>
      </c>
      <c r="CH3757">
        <v>0.83</v>
      </c>
      <c r="CI3757">
        <v>0.83</v>
      </c>
      <c r="CJ3757">
        <v>0.59</v>
      </c>
      <c r="CK3757">
        <v>0.78</v>
      </c>
      <c r="CL3757">
        <v>5.49</v>
      </c>
      <c r="CM3757">
        <v>-1.43</v>
      </c>
      <c r="CN3757">
        <v>-3.58</v>
      </c>
      <c r="CO3757">
        <v>11327</v>
      </c>
      <c r="CP3757">
        <v>6321</v>
      </c>
      <c r="CQ3757" t="s">
        <v>7855</v>
      </c>
      <c r="CR3757">
        <v>-48.52</v>
      </c>
      <c r="CS3757">
        <v>-3.16</v>
      </c>
      <c r="CT3757">
        <v>1.79</v>
      </c>
      <c r="CU3757">
        <v>-17.21</v>
      </c>
      <c r="CV3757">
        <v>2.89</v>
      </c>
      <c r="CW3757">
        <v>2.46</v>
      </c>
      <c r="CX3757" t="s">
        <v>948</v>
      </c>
      <c r="CY3757">
        <v>8.4</v>
      </c>
      <c r="CZ3757">
        <v>0</v>
      </c>
      <c r="DA3757">
        <v>3.94</v>
      </c>
      <c r="DB3757">
        <v>3.37</v>
      </c>
      <c r="DC3757">
        <v>-0.88</v>
      </c>
      <c r="DD3757">
        <v>68.12</v>
      </c>
      <c r="DE3757" t="s">
        <v>1598</v>
      </c>
      <c r="DF3757">
        <v>22.14</v>
      </c>
      <c r="DG3757">
        <v>11.47</v>
      </c>
      <c r="DH3757">
        <v>9.75</v>
      </c>
      <c r="DI3757">
        <v>0.22</v>
      </c>
      <c r="DJ3757">
        <v>1371</v>
      </c>
      <c r="DK3757">
        <v>603810</v>
      </c>
      <c r="DL3757" t="s">
        <v>120</v>
      </c>
      <c r="DM3757" t="s">
        <v>120</v>
      </c>
      <c r="DN3757" t="s">
        <v>120</v>
      </c>
    </row>
    <row r="3758" spans="1:118">
      <c r="A3758" t="str">
        <f>"603811"</f>
        <v>603811</v>
      </c>
      <c r="B3758" t="s">
        <v>15548</v>
      </c>
      <c r="C3758">
        <v>4.9000000000000004</v>
      </c>
      <c r="D3758">
        <v>7.0000000000000007E-2</v>
      </c>
      <c r="E3758">
        <v>-0.56000000000000005</v>
      </c>
      <c r="F3758">
        <v>1020</v>
      </c>
      <c r="G3758" t="s">
        <v>15549</v>
      </c>
      <c r="H3758">
        <v>15810.03</v>
      </c>
      <c r="I3758">
        <v>54.95</v>
      </c>
      <c r="J3758" t="s">
        <v>120</v>
      </c>
      <c r="K3758" t="s">
        <v>736</v>
      </c>
      <c r="L3758">
        <v>4.59</v>
      </c>
      <c r="M3758">
        <v>14.98</v>
      </c>
      <c r="N3758">
        <v>1.8</v>
      </c>
      <c r="O3758">
        <v>8.89</v>
      </c>
      <c r="P3758">
        <v>15.55</v>
      </c>
      <c r="Q3758">
        <v>-1.96</v>
      </c>
      <c r="R3758">
        <v>14</v>
      </c>
      <c r="S3758">
        <v>14.2</v>
      </c>
      <c r="T3758">
        <v>107406</v>
      </c>
      <c r="U3758">
        <v>14.99</v>
      </c>
      <c r="V3758">
        <v>14.28</v>
      </c>
      <c r="W3758">
        <v>22.35</v>
      </c>
      <c r="X3758" t="s">
        <v>569</v>
      </c>
      <c r="Y3758" t="s">
        <v>585</v>
      </c>
      <c r="Z3758">
        <v>10.85</v>
      </c>
      <c r="AA3758">
        <v>14.72</v>
      </c>
      <c r="AB3758">
        <v>50539</v>
      </c>
      <c r="AC3758">
        <v>56867</v>
      </c>
      <c r="AD3758">
        <v>0.89</v>
      </c>
      <c r="AE3758">
        <v>633</v>
      </c>
      <c r="AF3758">
        <v>91</v>
      </c>
      <c r="AG3758" t="s">
        <v>120</v>
      </c>
      <c r="AH3758">
        <v>0.02</v>
      </c>
      <c r="AI3758" t="s">
        <v>120</v>
      </c>
      <c r="AJ3758">
        <v>2.34</v>
      </c>
      <c r="AK3758" t="s">
        <v>736</v>
      </c>
      <c r="AL3758">
        <v>6.25</v>
      </c>
      <c r="AM3758">
        <v>3288</v>
      </c>
      <c r="AN3758">
        <v>33</v>
      </c>
      <c r="AO3758">
        <v>1.4E-3</v>
      </c>
      <c r="AP3758">
        <v>1</v>
      </c>
      <c r="AQ3758">
        <v>0</v>
      </c>
      <c r="AR3758">
        <v>15.41</v>
      </c>
      <c r="AS3758">
        <v>7.53</v>
      </c>
      <c r="AT3758">
        <v>-11.93</v>
      </c>
      <c r="AU3758">
        <v>-7.81</v>
      </c>
      <c r="AV3758">
        <v>2</v>
      </c>
      <c r="AW3758">
        <v>6.72</v>
      </c>
      <c r="AX3758">
        <v>68.349999999999994</v>
      </c>
      <c r="AY3758">
        <v>18.52</v>
      </c>
      <c r="AZ3758">
        <v>20.22</v>
      </c>
      <c r="BA3758">
        <v>0.26</v>
      </c>
      <c r="BB3758" t="s">
        <v>143</v>
      </c>
      <c r="BF3758">
        <v>3.08</v>
      </c>
      <c r="BG3758">
        <v>5.49</v>
      </c>
      <c r="BH3758">
        <v>-3.67</v>
      </c>
      <c r="BI3758">
        <v>7</v>
      </c>
      <c r="BJ3758">
        <v>20210821</v>
      </c>
      <c r="BK3758">
        <v>20170315</v>
      </c>
      <c r="BL3758">
        <v>2.34</v>
      </c>
      <c r="BM3758" t="s">
        <v>120</v>
      </c>
      <c r="BN3758" t="s">
        <v>120</v>
      </c>
      <c r="BO3758">
        <v>12.38</v>
      </c>
      <c r="BP3758">
        <v>14.98</v>
      </c>
      <c r="BQ3758">
        <v>8.94</v>
      </c>
      <c r="BR3758">
        <v>0.12</v>
      </c>
      <c r="BS3758">
        <v>26.77</v>
      </c>
      <c r="BT3758">
        <v>3.28</v>
      </c>
      <c r="BU3758">
        <v>5.49</v>
      </c>
      <c r="BV3758">
        <v>0.72</v>
      </c>
      <c r="BW3758">
        <v>2.39</v>
      </c>
      <c r="BX3758">
        <v>1.23</v>
      </c>
      <c r="BY3758">
        <v>1.01</v>
      </c>
      <c r="BZ3758">
        <v>0.8</v>
      </c>
      <c r="CA3758" t="s">
        <v>120</v>
      </c>
      <c r="CB3758">
        <v>2.38</v>
      </c>
      <c r="CC3758">
        <v>3.58</v>
      </c>
      <c r="CD3758">
        <v>0.96</v>
      </c>
      <c r="CE3758">
        <v>0.94</v>
      </c>
      <c r="CF3758">
        <v>0.21</v>
      </c>
      <c r="CG3758">
        <v>0.92</v>
      </c>
      <c r="CH3758">
        <v>0.79</v>
      </c>
      <c r="CI3758">
        <v>0.78</v>
      </c>
      <c r="CJ3758">
        <v>0.7</v>
      </c>
      <c r="CK3758">
        <v>0.79</v>
      </c>
      <c r="CL3758">
        <v>3.51</v>
      </c>
      <c r="CM3758">
        <v>0.54</v>
      </c>
      <c r="CN3758">
        <v>0.51</v>
      </c>
      <c r="CO3758">
        <v>11982</v>
      </c>
      <c r="CP3758">
        <v>13335</v>
      </c>
      <c r="CQ3758" t="s">
        <v>15550</v>
      </c>
      <c r="CR3758">
        <v>23.87</v>
      </c>
      <c r="CS3758">
        <v>8.41</v>
      </c>
      <c r="CT3758">
        <v>3.92</v>
      </c>
      <c r="CU3758">
        <v>64.819999999999993</v>
      </c>
      <c r="CV3758">
        <v>9.7899999999999991</v>
      </c>
      <c r="CW3758">
        <v>1.75</v>
      </c>
      <c r="CX3758" t="s">
        <v>1574</v>
      </c>
      <c r="CY3758">
        <v>3.82</v>
      </c>
      <c r="CZ3758">
        <v>0</v>
      </c>
      <c r="DA3758">
        <v>1.02</v>
      </c>
      <c r="DB3758">
        <v>1.5</v>
      </c>
      <c r="DC3758">
        <v>0.23</v>
      </c>
      <c r="DD3758">
        <v>72.22</v>
      </c>
      <c r="DE3758" t="s">
        <v>15551</v>
      </c>
      <c r="DF3758">
        <v>73.099999999999994</v>
      </c>
      <c r="DG3758">
        <v>26.25</v>
      </c>
      <c r="DH3758">
        <v>21.89</v>
      </c>
      <c r="DI3758">
        <v>0.2</v>
      </c>
      <c r="DJ3758">
        <v>690</v>
      </c>
      <c r="DK3758">
        <v>603811</v>
      </c>
      <c r="DL3758" t="s">
        <v>120</v>
      </c>
      <c r="DM3758" t="s">
        <v>120</v>
      </c>
      <c r="DN3758" t="s">
        <v>120</v>
      </c>
    </row>
    <row r="3759" spans="1:118">
      <c r="A3759" t="str">
        <f>"603813"</f>
        <v>603813</v>
      </c>
      <c r="B3759" t="s">
        <v>15552</v>
      </c>
      <c r="C3759">
        <v>-0.42</v>
      </c>
      <c r="D3759">
        <v>0.28000000000000003</v>
      </c>
      <c r="E3759">
        <v>0.42</v>
      </c>
      <c r="F3759">
        <v>4</v>
      </c>
      <c r="G3759" t="s">
        <v>15553</v>
      </c>
      <c r="H3759">
        <v>452.84</v>
      </c>
      <c r="I3759">
        <v>0</v>
      </c>
      <c r="J3759" t="s">
        <v>120</v>
      </c>
      <c r="K3759" t="s">
        <v>10938</v>
      </c>
      <c r="L3759">
        <v>0.36</v>
      </c>
      <c r="M3759">
        <v>14.14</v>
      </c>
      <c r="N3759">
        <v>0.63</v>
      </c>
      <c r="O3759">
        <v>1.06</v>
      </c>
      <c r="P3759">
        <v>14.35</v>
      </c>
      <c r="Q3759">
        <v>-0.99</v>
      </c>
      <c r="R3759">
        <v>14.06</v>
      </c>
      <c r="S3759">
        <v>14.26</v>
      </c>
      <c r="T3759">
        <v>3184</v>
      </c>
      <c r="U3759">
        <v>14.09</v>
      </c>
      <c r="V3759">
        <v>14.2</v>
      </c>
      <c r="W3759">
        <v>59.79</v>
      </c>
      <c r="X3759" t="s">
        <v>2775</v>
      </c>
      <c r="Y3759" t="s">
        <v>547</v>
      </c>
      <c r="Z3759">
        <v>2.04</v>
      </c>
      <c r="AA3759">
        <v>14.22</v>
      </c>
      <c r="AB3759">
        <v>1752</v>
      </c>
      <c r="AC3759">
        <v>1432</v>
      </c>
      <c r="AD3759">
        <v>1.22</v>
      </c>
      <c r="AE3759">
        <v>29</v>
      </c>
      <c r="AF3759">
        <v>8</v>
      </c>
      <c r="AG3759" t="s">
        <v>120</v>
      </c>
      <c r="AH3759">
        <v>0</v>
      </c>
      <c r="AI3759" t="s">
        <v>120</v>
      </c>
      <c r="AJ3759">
        <v>0.89</v>
      </c>
      <c r="AK3759" t="s">
        <v>10938</v>
      </c>
      <c r="AL3759">
        <v>0.92</v>
      </c>
      <c r="AM3759">
        <v>631</v>
      </c>
      <c r="AN3759">
        <v>5</v>
      </c>
      <c r="AO3759">
        <v>5.9999999999999995E-4</v>
      </c>
      <c r="AP3759">
        <v>-1</v>
      </c>
      <c r="AQ3759">
        <v>1.65</v>
      </c>
      <c r="AR3759">
        <v>-0.76</v>
      </c>
      <c r="AS3759">
        <v>8.6</v>
      </c>
      <c r="AT3759">
        <v>3.13</v>
      </c>
      <c r="AU3759">
        <v>-4.4000000000000004</v>
      </c>
      <c r="AV3759">
        <v>0</v>
      </c>
      <c r="AW3759">
        <v>0.94</v>
      </c>
      <c r="AX3759">
        <v>38.130000000000003</v>
      </c>
      <c r="AY3759" t="s">
        <v>120</v>
      </c>
      <c r="AZ3759" t="s">
        <v>120</v>
      </c>
      <c r="BA3759">
        <v>0.68</v>
      </c>
      <c r="BB3759" t="s">
        <v>184</v>
      </c>
      <c r="BF3759">
        <v>0.16</v>
      </c>
      <c r="BG3759">
        <v>-0.84</v>
      </c>
      <c r="BH3759">
        <v>-1.46</v>
      </c>
      <c r="BI3759">
        <v>0.56999999999999995</v>
      </c>
      <c r="BJ3759">
        <v>20210825</v>
      </c>
      <c r="BK3759">
        <v>20170918</v>
      </c>
      <c r="BL3759">
        <v>0.89</v>
      </c>
      <c r="BM3759" t="s">
        <v>120</v>
      </c>
      <c r="BN3759" t="s">
        <v>120</v>
      </c>
      <c r="BO3759">
        <v>11.3</v>
      </c>
      <c r="BP3759">
        <v>14.07</v>
      </c>
      <c r="BQ3759">
        <v>5</v>
      </c>
      <c r="BR3759">
        <v>0</v>
      </c>
      <c r="BS3759">
        <v>55.67</v>
      </c>
      <c r="BT3759">
        <v>2.13</v>
      </c>
      <c r="BU3759">
        <v>3.17</v>
      </c>
      <c r="BV3759">
        <v>0.59</v>
      </c>
      <c r="BW3759">
        <v>1.55</v>
      </c>
      <c r="BX3759">
        <v>0.98</v>
      </c>
      <c r="BY3759">
        <v>0</v>
      </c>
      <c r="BZ3759">
        <v>0.96</v>
      </c>
      <c r="CA3759" t="s">
        <v>120</v>
      </c>
      <c r="CB3759">
        <v>2.4900000000000002</v>
      </c>
      <c r="CC3759">
        <v>2.15</v>
      </c>
      <c r="CD3759">
        <v>1.64</v>
      </c>
      <c r="CE3759">
        <v>0.14000000000000001</v>
      </c>
      <c r="CF3759">
        <v>0</v>
      </c>
      <c r="CG3759">
        <v>0.14000000000000001</v>
      </c>
      <c r="CH3759">
        <v>0.11</v>
      </c>
      <c r="CI3759">
        <v>0.1</v>
      </c>
      <c r="CJ3759">
        <v>-0.06</v>
      </c>
      <c r="CK3759">
        <v>0.09</v>
      </c>
      <c r="CL3759">
        <v>1.31</v>
      </c>
      <c r="CM3759">
        <v>1.06</v>
      </c>
      <c r="CN3759">
        <v>0.3</v>
      </c>
      <c r="CO3759">
        <v>6678</v>
      </c>
      <c r="CP3759">
        <v>5069</v>
      </c>
      <c r="CQ3759" t="s">
        <v>1414</v>
      </c>
      <c r="CR3759">
        <v>613.67999999999995</v>
      </c>
      <c r="CS3759">
        <v>-9.31</v>
      </c>
      <c r="CT3759">
        <v>2.5099999999999998</v>
      </c>
      <c r="CU3759">
        <v>11.79</v>
      </c>
      <c r="CV3759">
        <v>5.83</v>
      </c>
      <c r="CW3759">
        <v>0</v>
      </c>
      <c r="CX3759" t="s">
        <v>850</v>
      </c>
      <c r="CY3759">
        <v>5.64</v>
      </c>
      <c r="CZ3759">
        <v>0</v>
      </c>
      <c r="DA3759">
        <v>2.81</v>
      </c>
      <c r="DB3759">
        <v>1.48</v>
      </c>
      <c r="DC3759">
        <v>1.2</v>
      </c>
      <c r="DD3759">
        <v>44.31</v>
      </c>
      <c r="DE3759" t="s">
        <v>7908</v>
      </c>
      <c r="DF3759">
        <v>23.69</v>
      </c>
      <c r="DG3759">
        <v>6.39</v>
      </c>
      <c r="DH3759">
        <v>4.87</v>
      </c>
      <c r="DI3759">
        <v>0.08</v>
      </c>
      <c r="DJ3759">
        <v>1235</v>
      </c>
      <c r="DK3759">
        <v>603813</v>
      </c>
      <c r="DL3759" t="s">
        <v>120</v>
      </c>
      <c r="DM3759" t="s">
        <v>120</v>
      </c>
      <c r="DN3759" t="s">
        <v>120</v>
      </c>
    </row>
    <row r="3760" spans="1:118">
      <c r="A3760" t="str">
        <f>"603815"</f>
        <v>603815</v>
      </c>
      <c r="B3760" t="s">
        <v>15554</v>
      </c>
      <c r="C3760">
        <v>-1.77</v>
      </c>
      <c r="D3760">
        <v>-0.1</v>
      </c>
      <c r="E3760">
        <v>0.99</v>
      </c>
      <c r="F3760">
        <v>977</v>
      </c>
      <c r="G3760" t="s">
        <v>15555</v>
      </c>
      <c r="H3760">
        <v>4367.3500000000004</v>
      </c>
      <c r="I3760">
        <v>26.35</v>
      </c>
      <c r="J3760" t="s">
        <v>120</v>
      </c>
      <c r="K3760" t="s">
        <v>15555</v>
      </c>
      <c r="L3760">
        <v>2.95</v>
      </c>
      <c r="M3760">
        <v>8.9</v>
      </c>
      <c r="N3760">
        <v>0.65</v>
      </c>
      <c r="O3760">
        <v>2.21</v>
      </c>
      <c r="P3760">
        <v>9.26</v>
      </c>
      <c r="Q3760">
        <v>-1.77</v>
      </c>
      <c r="R3760">
        <v>8.9</v>
      </c>
      <c r="S3760">
        <v>9.15</v>
      </c>
      <c r="T3760">
        <v>48105</v>
      </c>
      <c r="U3760">
        <v>8.91</v>
      </c>
      <c r="V3760">
        <v>9.06</v>
      </c>
      <c r="W3760">
        <v>55.93</v>
      </c>
      <c r="X3760" t="s">
        <v>175</v>
      </c>
      <c r="Y3760" t="s">
        <v>570</v>
      </c>
      <c r="Z3760">
        <v>3.97</v>
      </c>
      <c r="AA3760">
        <v>9.08</v>
      </c>
      <c r="AB3760">
        <v>28265</v>
      </c>
      <c r="AC3760">
        <v>19840</v>
      </c>
      <c r="AD3760">
        <v>1.42</v>
      </c>
      <c r="AE3760">
        <v>232</v>
      </c>
      <c r="AF3760">
        <v>361</v>
      </c>
      <c r="AG3760" t="s">
        <v>120</v>
      </c>
      <c r="AH3760">
        <v>0.02</v>
      </c>
      <c r="AI3760" t="s">
        <v>120</v>
      </c>
      <c r="AJ3760">
        <v>1.63</v>
      </c>
      <c r="AK3760" t="s">
        <v>15556</v>
      </c>
      <c r="AL3760">
        <v>-0.42</v>
      </c>
      <c r="AM3760">
        <v>1675</v>
      </c>
      <c r="AN3760">
        <v>29</v>
      </c>
      <c r="AO3760">
        <v>1.8E-3</v>
      </c>
      <c r="AP3760">
        <v>-1</v>
      </c>
      <c r="AQ3760">
        <v>0.78</v>
      </c>
      <c r="AR3760">
        <v>-4.5</v>
      </c>
      <c r="AS3760">
        <v>-1.23</v>
      </c>
      <c r="AT3760">
        <v>-1.23</v>
      </c>
      <c r="AU3760">
        <v>-13.5</v>
      </c>
      <c r="AV3760">
        <v>3</v>
      </c>
      <c r="AW3760">
        <v>2.95</v>
      </c>
      <c r="AX3760">
        <v>26.38</v>
      </c>
      <c r="AY3760">
        <v>52.2</v>
      </c>
      <c r="AZ3760">
        <v>57.74</v>
      </c>
      <c r="BA3760">
        <v>0.54</v>
      </c>
      <c r="BB3760" t="s">
        <v>143</v>
      </c>
      <c r="BF3760">
        <v>0.21</v>
      </c>
      <c r="BG3760">
        <v>-2.73</v>
      </c>
      <c r="BH3760">
        <v>-3.89</v>
      </c>
      <c r="BI3760">
        <v>0</v>
      </c>
      <c r="BJ3760">
        <v>20210827</v>
      </c>
      <c r="BK3760">
        <v>20191021</v>
      </c>
      <c r="BL3760">
        <v>6.19</v>
      </c>
      <c r="BM3760" t="s">
        <v>120</v>
      </c>
      <c r="BN3760" t="s">
        <v>120</v>
      </c>
      <c r="BO3760">
        <v>64.7</v>
      </c>
      <c r="BP3760">
        <v>8.9</v>
      </c>
      <c r="BQ3760">
        <v>20.079999999999998</v>
      </c>
      <c r="BR3760">
        <v>0.62</v>
      </c>
      <c r="BS3760">
        <v>68</v>
      </c>
      <c r="BT3760">
        <v>48.25</v>
      </c>
      <c r="BU3760">
        <v>0.39</v>
      </c>
      <c r="BV3760">
        <v>0.01</v>
      </c>
      <c r="BW3760">
        <v>35.76</v>
      </c>
      <c r="BX3760">
        <v>13.08</v>
      </c>
      <c r="BY3760">
        <v>0.37</v>
      </c>
      <c r="BZ3760">
        <v>20.7</v>
      </c>
      <c r="CA3760" t="s">
        <v>120</v>
      </c>
      <c r="CB3760">
        <v>9.51</v>
      </c>
      <c r="CC3760">
        <v>15.78</v>
      </c>
      <c r="CD3760">
        <v>14.3</v>
      </c>
      <c r="CE3760">
        <v>0.72</v>
      </c>
      <c r="CF3760">
        <v>0</v>
      </c>
      <c r="CG3760">
        <v>0.72</v>
      </c>
      <c r="CH3760">
        <v>0.51</v>
      </c>
      <c r="CI3760">
        <v>0.49</v>
      </c>
      <c r="CJ3760">
        <v>-0.16</v>
      </c>
      <c r="CK3760">
        <v>0.49</v>
      </c>
      <c r="CL3760">
        <v>3.78</v>
      </c>
      <c r="CM3760">
        <v>-3.14</v>
      </c>
      <c r="CN3760">
        <v>5.41</v>
      </c>
      <c r="CO3760">
        <v>24935</v>
      </c>
      <c r="CP3760">
        <v>6549</v>
      </c>
      <c r="CQ3760" t="s">
        <v>678</v>
      </c>
      <c r="CR3760">
        <v>26.45</v>
      </c>
      <c r="CS3760">
        <v>28.77</v>
      </c>
      <c r="CT3760">
        <v>2.74</v>
      </c>
      <c r="CU3760">
        <v>-17.53</v>
      </c>
      <c r="CV3760">
        <v>3.49</v>
      </c>
      <c r="CW3760">
        <v>0.53</v>
      </c>
      <c r="CX3760" t="s">
        <v>535</v>
      </c>
      <c r="CY3760">
        <v>3.24</v>
      </c>
      <c r="CZ3760">
        <v>0</v>
      </c>
      <c r="DA3760">
        <v>1.54</v>
      </c>
      <c r="DB3760">
        <v>0.61</v>
      </c>
      <c r="DC3760">
        <v>-0.51</v>
      </c>
      <c r="DD3760">
        <v>31.04</v>
      </c>
      <c r="DE3760" t="s">
        <v>2665</v>
      </c>
      <c r="DF3760">
        <v>9.3699999999999992</v>
      </c>
      <c r="DG3760">
        <v>4.55</v>
      </c>
      <c r="DH3760">
        <v>3.12</v>
      </c>
      <c r="DI3760" t="s">
        <v>120</v>
      </c>
      <c r="DJ3760">
        <v>898</v>
      </c>
      <c r="DK3760">
        <v>603815</v>
      </c>
      <c r="DL3760" t="s">
        <v>120</v>
      </c>
      <c r="DM3760" t="s">
        <v>120</v>
      </c>
      <c r="DN3760" t="s">
        <v>120</v>
      </c>
    </row>
    <row r="3761" spans="1:118">
      <c r="A3761" t="str">
        <f>"603816"</f>
        <v>603816</v>
      </c>
      <c r="B3761" t="s">
        <v>15557</v>
      </c>
      <c r="C3761">
        <v>-0.28999999999999998</v>
      </c>
      <c r="D3761">
        <v>1.58</v>
      </c>
      <c r="E3761">
        <v>0.69</v>
      </c>
      <c r="F3761">
        <v>3548</v>
      </c>
      <c r="G3761" t="s">
        <v>15558</v>
      </c>
      <c r="H3761">
        <v>23559.69</v>
      </c>
      <c r="I3761">
        <v>48.57</v>
      </c>
      <c r="J3761" t="s">
        <v>120</v>
      </c>
      <c r="K3761" t="s">
        <v>15559</v>
      </c>
      <c r="L3761">
        <v>0.57999999999999996</v>
      </c>
      <c r="M3761">
        <v>65</v>
      </c>
      <c r="N3761">
        <v>1.55</v>
      </c>
      <c r="O3761">
        <v>3.68</v>
      </c>
      <c r="P3761">
        <v>67.59</v>
      </c>
      <c r="Q3761">
        <v>-3.05</v>
      </c>
      <c r="R3761">
        <v>63.2</v>
      </c>
      <c r="S3761">
        <v>65.64</v>
      </c>
      <c r="T3761">
        <v>36340</v>
      </c>
      <c r="U3761">
        <v>65.010000000000005</v>
      </c>
      <c r="V3761">
        <v>65.19</v>
      </c>
      <c r="W3761">
        <v>26.6</v>
      </c>
      <c r="X3761" t="s">
        <v>2409</v>
      </c>
      <c r="Y3761" t="s">
        <v>585</v>
      </c>
      <c r="Z3761">
        <v>6.73</v>
      </c>
      <c r="AA3761">
        <v>64.83</v>
      </c>
      <c r="AB3761">
        <v>19875</v>
      </c>
      <c r="AC3761">
        <v>16465</v>
      </c>
      <c r="AD3761">
        <v>1.21</v>
      </c>
      <c r="AE3761">
        <v>3087</v>
      </c>
      <c r="AF3761">
        <v>2</v>
      </c>
      <c r="AG3761" t="s">
        <v>120</v>
      </c>
      <c r="AH3761">
        <v>0</v>
      </c>
      <c r="AI3761" t="s">
        <v>120</v>
      </c>
      <c r="AJ3761">
        <v>6.31</v>
      </c>
      <c r="AK3761" t="s">
        <v>15560</v>
      </c>
      <c r="AL3761">
        <v>1.05</v>
      </c>
      <c r="AM3761">
        <v>3554</v>
      </c>
      <c r="AN3761">
        <v>10</v>
      </c>
      <c r="AO3761">
        <v>2.0000000000000001E-4</v>
      </c>
      <c r="AP3761">
        <v>-2</v>
      </c>
      <c r="AQ3761">
        <v>-3.06</v>
      </c>
      <c r="AR3761">
        <v>-1.31</v>
      </c>
      <c r="AS3761">
        <v>-12.4</v>
      </c>
      <c r="AT3761">
        <v>-19.95</v>
      </c>
      <c r="AU3761">
        <v>-6.73</v>
      </c>
      <c r="AV3761">
        <v>1</v>
      </c>
      <c r="AW3761">
        <v>1.26</v>
      </c>
      <c r="AX3761">
        <v>45.57</v>
      </c>
      <c r="AY3761">
        <v>39.549999999999997</v>
      </c>
      <c r="AZ3761">
        <v>48.75</v>
      </c>
      <c r="BA3761">
        <v>0.74</v>
      </c>
      <c r="BB3761" t="s">
        <v>134</v>
      </c>
      <c r="BF3761">
        <v>-0.55000000000000004</v>
      </c>
      <c r="BG3761">
        <v>-0.98</v>
      </c>
      <c r="BH3761">
        <v>-3.83</v>
      </c>
      <c r="BI3761">
        <v>2.85</v>
      </c>
      <c r="BJ3761">
        <v>20210831</v>
      </c>
      <c r="BK3761">
        <v>20161014</v>
      </c>
      <c r="BL3761">
        <v>6.32</v>
      </c>
      <c r="BM3761" t="s">
        <v>120</v>
      </c>
      <c r="BN3761" t="s">
        <v>120</v>
      </c>
      <c r="BO3761">
        <v>129.96</v>
      </c>
      <c r="BP3761">
        <v>65</v>
      </c>
      <c r="BQ3761">
        <v>69.75</v>
      </c>
      <c r="BR3761">
        <v>3.76</v>
      </c>
      <c r="BS3761">
        <v>43.44</v>
      </c>
      <c r="BT3761">
        <v>59</v>
      </c>
      <c r="BU3761">
        <v>28.11</v>
      </c>
      <c r="BV3761">
        <v>7.58</v>
      </c>
      <c r="BW3761">
        <v>52.76</v>
      </c>
      <c r="BX3761">
        <v>20.09</v>
      </c>
      <c r="BY3761">
        <v>18.920000000000002</v>
      </c>
      <c r="BZ3761">
        <v>12.46</v>
      </c>
      <c r="CA3761" t="s">
        <v>120</v>
      </c>
      <c r="CB3761">
        <v>34.590000000000003</v>
      </c>
      <c r="CC3761">
        <v>80.16</v>
      </c>
      <c r="CD3761">
        <v>57.04</v>
      </c>
      <c r="CE3761">
        <v>8.83</v>
      </c>
      <c r="CF3761">
        <v>0.28000000000000003</v>
      </c>
      <c r="CG3761">
        <v>9.93</v>
      </c>
      <c r="CH3761">
        <v>7.83</v>
      </c>
      <c r="CI3761">
        <v>7.72</v>
      </c>
      <c r="CJ3761">
        <v>-0.19</v>
      </c>
      <c r="CK3761">
        <v>6.66</v>
      </c>
      <c r="CL3761">
        <v>29.63</v>
      </c>
      <c r="CM3761">
        <v>4.29</v>
      </c>
      <c r="CN3761">
        <v>-2.35</v>
      </c>
      <c r="CO3761">
        <v>10558</v>
      </c>
      <c r="CP3761">
        <v>27291</v>
      </c>
      <c r="CQ3761" t="s">
        <v>15561</v>
      </c>
      <c r="CR3761">
        <v>34.15</v>
      </c>
      <c r="CS3761">
        <v>64.89</v>
      </c>
      <c r="CT3761">
        <v>5.89</v>
      </c>
      <c r="CU3761">
        <v>95.85</v>
      </c>
      <c r="CV3761">
        <v>5.13</v>
      </c>
      <c r="CW3761">
        <v>1.24</v>
      </c>
      <c r="CX3761" t="s">
        <v>12054</v>
      </c>
      <c r="CY3761">
        <v>11.03</v>
      </c>
      <c r="CZ3761">
        <v>11.03</v>
      </c>
      <c r="DA3761">
        <v>5.47</v>
      </c>
      <c r="DB3761">
        <v>4.6900000000000004</v>
      </c>
      <c r="DC3761">
        <v>0.68</v>
      </c>
      <c r="DD3761">
        <v>53.67</v>
      </c>
      <c r="DE3761" t="s">
        <v>15562</v>
      </c>
      <c r="DF3761">
        <v>28.84</v>
      </c>
      <c r="DG3761">
        <v>11.01</v>
      </c>
      <c r="DH3761">
        <v>9.64</v>
      </c>
      <c r="DI3761">
        <v>1.22</v>
      </c>
      <c r="DJ3761">
        <v>16250</v>
      </c>
      <c r="DK3761">
        <v>603816</v>
      </c>
      <c r="DL3761" t="s">
        <v>120</v>
      </c>
      <c r="DM3761" t="s">
        <v>120</v>
      </c>
      <c r="DN3761" t="s">
        <v>120</v>
      </c>
    </row>
    <row r="3762" spans="1:118">
      <c r="A3762" t="str">
        <f>"603817"</f>
        <v>603817</v>
      </c>
      <c r="B3762" t="s">
        <v>15563</v>
      </c>
      <c r="C3762">
        <v>-1.18</v>
      </c>
      <c r="D3762">
        <v>0</v>
      </c>
      <c r="E3762">
        <v>0</v>
      </c>
      <c r="F3762">
        <v>229</v>
      </c>
      <c r="G3762" t="s">
        <v>15564</v>
      </c>
      <c r="H3762">
        <v>2537.35</v>
      </c>
      <c r="I3762">
        <v>1.54</v>
      </c>
      <c r="J3762" t="s">
        <v>120</v>
      </c>
      <c r="K3762" t="s">
        <v>15565</v>
      </c>
      <c r="L3762">
        <v>0.95</v>
      </c>
      <c r="M3762">
        <v>5.85</v>
      </c>
      <c r="N3762">
        <v>0.73</v>
      </c>
      <c r="O3762">
        <v>1.01</v>
      </c>
      <c r="P3762">
        <v>5.98</v>
      </c>
      <c r="Q3762">
        <v>-1.18</v>
      </c>
      <c r="R3762">
        <v>5.85</v>
      </c>
      <c r="S3762">
        <v>5.92</v>
      </c>
      <c r="T3762">
        <v>42807</v>
      </c>
      <c r="U3762">
        <v>5.86</v>
      </c>
      <c r="V3762">
        <v>5.92</v>
      </c>
      <c r="W3762">
        <v>19.23</v>
      </c>
      <c r="X3762" t="s">
        <v>318</v>
      </c>
      <c r="Y3762" t="s">
        <v>937</v>
      </c>
      <c r="Z3762">
        <v>2.2000000000000002</v>
      </c>
      <c r="AA3762">
        <v>5.93</v>
      </c>
      <c r="AB3762">
        <v>21456</v>
      </c>
      <c r="AC3762">
        <v>21351</v>
      </c>
      <c r="AD3762">
        <v>1</v>
      </c>
      <c r="AE3762">
        <v>687</v>
      </c>
      <c r="AF3762">
        <v>163</v>
      </c>
      <c r="AG3762" t="s">
        <v>120</v>
      </c>
      <c r="AH3762">
        <v>0</v>
      </c>
      <c r="AI3762" t="s">
        <v>120</v>
      </c>
      <c r="AJ3762">
        <v>4.5</v>
      </c>
      <c r="AK3762" t="s">
        <v>15565</v>
      </c>
      <c r="AL3762">
        <v>0.16</v>
      </c>
      <c r="AM3762">
        <v>1368</v>
      </c>
      <c r="AN3762">
        <v>31</v>
      </c>
      <c r="AO3762">
        <v>6.9999999999999999E-4</v>
      </c>
      <c r="AP3762">
        <v>-1</v>
      </c>
      <c r="AQ3762">
        <v>0.68</v>
      </c>
      <c r="AR3762">
        <v>-3.94</v>
      </c>
      <c r="AS3762">
        <v>3.35</v>
      </c>
      <c r="AT3762">
        <v>3.35</v>
      </c>
      <c r="AU3762">
        <v>-1.55</v>
      </c>
      <c r="AV3762">
        <v>3</v>
      </c>
      <c r="AW3762">
        <v>2.54</v>
      </c>
      <c r="AX3762">
        <v>37.47</v>
      </c>
      <c r="AY3762">
        <v>20.29</v>
      </c>
      <c r="AZ3762">
        <v>20.49</v>
      </c>
      <c r="BA3762">
        <v>0.74</v>
      </c>
      <c r="BB3762" t="s">
        <v>143</v>
      </c>
      <c r="BF3762">
        <v>0.13</v>
      </c>
      <c r="BG3762">
        <v>-1.18</v>
      </c>
      <c r="BH3762">
        <v>-2.17</v>
      </c>
      <c r="BI3762">
        <v>0</v>
      </c>
      <c r="BJ3762">
        <v>20210810</v>
      </c>
      <c r="BK3762">
        <v>20170220</v>
      </c>
      <c r="BL3762">
        <v>4.5</v>
      </c>
      <c r="BM3762" t="s">
        <v>120</v>
      </c>
      <c r="BN3762" t="s">
        <v>120</v>
      </c>
      <c r="BO3762">
        <v>45.55</v>
      </c>
      <c r="BP3762">
        <v>5.85</v>
      </c>
      <c r="BQ3762">
        <v>18.59</v>
      </c>
      <c r="BR3762">
        <v>2.39</v>
      </c>
      <c r="BS3762">
        <v>53.93</v>
      </c>
      <c r="BT3762">
        <v>10.98</v>
      </c>
      <c r="BU3762">
        <v>14.7</v>
      </c>
      <c r="BV3762">
        <v>11.79</v>
      </c>
      <c r="BW3762">
        <v>11.42</v>
      </c>
      <c r="BX3762">
        <v>2.79</v>
      </c>
      <c r="BY3762">
        <v>0.28999999999999998</v>
      </c>
      <c r="BZ3762">
        <v>4.07</v>
      </c>
      <c r="CA3762">
        <v>0</v>
      </c>
      <c r="CB3762">
        <v>6.27</v>
      </c>
      <c r="CC3762">
        <v>4.04</v>
      </c>
      <c r="CD3762">
        <v>2.36</v>
      </c>
      <c r="CE3762">
        <v>0.8</v>
      </c>
      <c r="CF3762">
        <v>-0.02</v>
      </c>
      <c r="CG3762">
        <v>0.81</v>
      </c>
      <c r="CH3762">
        <v>0.65</v>
      </c>
      <c r="CI3762">
        <v>0.68</v>
      </c>
      <c r="CJ3762">
        <v>-7.0000000000000007E-2</v>
      </c>
      <c r="CK3762">
        <v>0.66</v>
      </c>
      <c r="CL3762">
        <v>6.41</v>
      </c>
      <c r="CM3762">
        <v>1.46</v>
      </c>
      <c r="CN3762">
        <v>-0.74</v>
      </c>
      <c r="CO3762">
        <v>32115</v>
      </c>
      <c r="CP3762">
        <v>5253</v>
      </c>
      <c r="CQ3762" t="s">
        <v>10911</v>
      </c>
      <c r="CR3762">
        <v>1.91</v>
      </c>
      <c r="CS3762">
        <v>24.28</v>
      </c>
      <c r="CT3762">
        <v>1.48</v>
      </c>
      <c r="CU3762">
        <v>18.05</v>
      </c>
      <c r="CV3762">
        <v>6.53</v>
      </c>
      <c r="CW3762">
        <v>0.98</v>
      </c>
      <c r="CX3762" t="s">
        <v>15566</v>
      </c>
      <c r="CY3762">
        <v>3.96</v>
      </c>
      <c r="CZ3762">
        <v>3.96</v>
      </c>
      <c r="DA3762">
        <v>1.39</v>
      </c>
      <c r="DB3762">
        <v>1.42</v>
      </c>
      <c r="DC3762">
        <v>0.32</v>
      </c>
      <c r="DD3762">
        <v>40.82</v>
      </c>
      <c r="DE3762" t="s">
        <v>2778</v>
      </c>
      <c r="DF3762">
        <v>41.61</v>
      </c>
      <c r="DG3762">
        <v>19.91</v>
      </c>
      <c r="DH3762">
        <v>16.97</v>
      </c>
      <c r="DI3762">
        <v>0.08</v>
      </c>
      <c r="DJ3762">
        <v>838</v>
      </c>
      <c r="DK3762">
        <v>603817</v>
      </c>
      <c r="DL3762" t="s">
        <v>120</v>
      </c>
      <c r="DM3762" t="s">
        <v>120</v>
      </c>
      <c r="DN3762" t="s">
        <v>120</v>
      </c>
    </row>
    <row r="3763" spans="1:118">
      <c r="A3763" t="str">
        <f>"603818"</f>
        <v>603818</v>
      </c>
      <c r="B3763" t="s">
        <v>15567</v>
      </c>
      <c r="C3763">
        <v>-1.43</v>
      </c>
      <c r="D3763">
        <v>0</v>
      </c>
      <c r="E3763">
        <v>0</v>
      </c>
      <c r="F3763">
        <v>326</v>
      </c>
      <c r="G3763" t="s">
        <v>5298</v>
      </c>
      <c r="H3763">
        <v>3358.87</v>
      </c>
      <c r="I3763">
        <v>20.03</v>
      </c>
      <c r="J3763" t="s">
        <v>120</v>
      </c>
      <c r="K3763" t="s">
        <v>15568</v>
      </c>
      <c r="L3763">
        <v>0.59</v>
      </c>
      <c r="M3763">
        <v>9.68</v>
      </c>
      <c r="N3763">
        <v>1.1100000000000001</v>
      </c>
      <c r="O3763">
        <v>2.85</v>
      </c>
      <c r="P3763">
        <v>10.1</v>
      </c>
      <c r="Q3763">
        <v>-1.63</v>
      </c>
      <c r="R3763">
        <v>9.66</v>
      </c>
      <c r="S3763">
        <v>9.82</v>
      </c>
      <c r="T3763">
        <v>33999</v>
      </c>
      <c r="U3763">
        <v>9.6999999999999993</v>
      </c>
      <c r="V3763">
        <v>9.82</v>
      </c>
      <c r="W3763">
        <v>21.89</v>
      </c>
      <c r="X3763" t="s">
        <v>2409</v>
      </c>
      <c r="Y3763" t="s">
        <v>158</v>
      </c>
      <c r="Z3763">
        <v>4.4800000000000004</v>
      </c>
      <c r="AA3763">
        <v>9.8800000000000008</v>
      </c>
      <c r="AB3763">
        <v>15790</v>
      </c>
      <c r="AC3763">
        <v>18209</v>
      </c>
      <c r="AD3763">
        <v>0.87</v>
      </c>
      <c r="AE3763">
        <v>1003</v>
      </c>
      <c r="AF3763">
        <v>181</v>
      </c>
      <c r="AG3763" t="s">
        <v>120</v>
      </c>
      <c r="AH3763">
        <v>0.01</v>
      </c>
      <c r="AI3763" t="s">
        <v>120</v>
      </c>
      <c r="AJ3763">
        <v>5.8</v>
      </c>
      <c r="AK3763" t="s">
        <v>15568</v>
      </c>
      <c r="AL3763">
        <v>-0.08</v>
      </c>
      <c r="AM3763">
        <v>1715</v>
      </c>
      <c r="AN3763">
        <v>20</v>
      </c>
      <c r="AO3763">
        <v>2.9999999999999997E-4</v>
      </c>
      <c r="AP3763">
        <v>-1</v>
      </c>
      <c r="AQ3763">
        <v>0.82</v>
      </c>
      <c r="AR3763">
        <v>-3.68</v>
      </c>
      <c r="AS3763">
        <v>-3.2</v>
      </c>
      <c r="AT3763">
        <v>-1.43</v>
      </c>
      <c r="AU3763">
        <v>14.97</v>
      </c>
      <c r="AV3763">
        <v>1</v>
      </c>
      <c r="AW3763">
        <v>1.44</v>
      </c>
      <c r="AX3763">
        <v>40.65</v>
      </c>
      <c r="AY3763">
        <v>20.84</v>
      </c>
      <c r="AZ3763">
        <v>54.88</v>
      </c>
      <c r="BA3763">
        <v>0</v>
      </c>
      <c r="BB3763" t="s">
        <v>143</v>
      </c>
      <c r="BF3763">
        <v>0.6</v>
      </c>
      <c r="BG3763">
        <v>-1.43</v>
      </c>
      <c r="BH3763">
        <v>-4.16</v>
      </c>
      <c r="BI3763">
        <v>0.21</v>
      </c>
      <c r="BJ3763">
        <v>20210826</v>
      </c>
      <c r="BK3763">
        <v>20150422</v>
      </c>
      <c r="BL3763">
        <v>5.8</v>
      </c>
      <c r="BM3763" t="s">
        <v>120</v>
      </c>
      <c r="BN3763" t="s">
        <v>120</v>
      </c>
      <c r="BO3763">
        <v>80.739999999999995</v>
      </c>
      <c r="BP3763">
        <v>9.68</v>
      </c>
      <c r="BQ3763">
        <v>22.43</v>
      </c>
      <c r="BR3763">
        <v>4.42</v>
      </c>
      <c r="BS3763">
        <v>66.739999999999995</v>
      </c>
      <c r="BT3763">
        <v>25.04</v>
      </c>
      <c r="BU3763">
        <v>16.079999999999998</v>
      </c>
      <c r="BV3763">
        <v>22.74</v>
      </c>
      <c r="BW3763">
        <v>15.27</v>
      </c>
      <c r="BX3763">
        <v>7.79</v>
      </c>
      <c r="BY3763">
        <v>9.93</v>
      </c>
      <c r="BZ3763">
        <v>5.16</v>
      </c>
      <c r="CA3763">
        <v>0.5</v>
      </c>
      <c r="CB3763">
        <v>8.77</v>
      </c>
      <c r="CC3763">
        <v>25.13</v>
      </c>
      <c r="CD3763">
        <v>14.74</v>
      </c>
      <c r="CE3763">
        <v>1.72</v>
      </c>
      <c r="CF3763">
        <v>0.16</v>
      </c>
      <c r="CG3763">
        <v>1.73</v>
      </c>
      <c r="CH3763">
        <v>1.43</v>
      </c>
      <c r="CI3763">
        <v>1.28</v>
      </c>
      <c r="CJ3763">
        <v>-0.14000000000000001</v>
      </c>
      <c r="CK3763">
        <v>1.1599999999999999</v>
      </c>
      <c r="CL3763">
        <v>8.84</v>
      </c>
      <c r="CM3763">
        <v>1.5</v>
      </c>
      <c r="CN3763">
        <v>0.68</v>
      </c>
      <c r="CO3763">
        <v>16970</v>
      </c>
      <c r="CP3763">
        <v>13904</v>
      </c>
      <c r="CQ3763" t="s">
        <v>15569</v>
      </c>
      <c r="CR3763">
        <v>410.6</v>
      </c>
      <c r="CS3763">
        <v>42.97</v>
      </c>
      <c r="CT3763">
        <v>2.5099999999999998</v>
      </c>
      <c r="CU3763">
        <v>37.49</v>
      </c>
      <c r="CV3763">
        <v>2.2400000000000002</v>
      </c>
      <c r="CW3763">
        <v>0</v>
      </c>
      <c r="CX3763" t="s">
        <v>3361</v>
      </c>
      <c r="CY3763">
        <v>3.85</v>
      </c>
      <c r="CZ3763">
        <v>3.85</v>
      </c>
      <c r="DA3763">
        <v>1.51</v>
      </c>
      <c r="DB3763">
        <v>1.52</v>
      </c>
      <c r="DC3763">
        <v>0.26</v>
      </c>
      <c r="DD3763">
        <v>27.79</v>
      </c>
      <c r="DE3763" t="s">
        <v>3074</v>
      </c>
      <c r="DF3763">
        <v>41.35</v>
      </c>
      <c r="DG3763">
        <v>6.84</v>
      </c>
      <c r="DH3763">
        <v>5.1100000000000003</v>
      </c>
      <c r="DI3763">
        <v>0.48</v>
      </c>
      <c r="DJ3763">
        <v>3931</v>
      </c>
      <c r="DK3763">
        <v>603818</v>
      </c>
      <c r="DL3763" t="s">
        <v>120</v>
      </c>
      <c r="DM3763" t="s">
        <v>120</v>
      </c>
      <c r="DN3763" t="s">
        <v>120</v>
      </c>
    </row>
    <row r="3764" spans="1:118">
      <c r="A3764" t="str">
        <f>"603819"</f>
        <v>603819</v>
      </c>
      <c r="B3764" t="s">
        <v>15570</v>
      </c>
      <c r="C3764">
        <v>-1.66</v>
      </c>
      <c r="D3764">
        <v>0.11</v>
      </c>
      <c r="E3764">
        <v>0</v>
      </c>
      <c r="F3764">
        <v>110</v>
      </c>
      <c r="G3764" t="s">
        <v>6989</v>
      </c>
      <c r="H3764">
        <v>2657.87</v>
      </c>
      <c r="I3764">
        <v>27.89</v>
      </c>
      <c r="J3764" t="s">
        <v>120</v>
      </c>
      <c r="K3764" t="s">
        <v>15571</v>
      </c>
      <c r="L3764">
        <v>1.26</v>
      </c>
      <c r="M3764">
        <v>9.49</v>
      </c>
      <c r="N3764">
        <v>0.8</v>
      </c>
      <c r="O3764">
        <v>3.11</v>
      </c>
      <c r="P3764">
        <v>9.9499999999999993</v>
      </c>
      <c r="Q3764">
        <v>-2.0699999999999998</v>
      </c>
      <c r="R3764">
        <v>9.4499999999999993</v>
      </c>
      <c r="S3764">
        <v>9.65</v>
      </c>
      <c r="T3764">
        <v>27345</v>
      </c>
      <c r="U3764">
        <v>9.49</v>
      </c>
      <c r="V3764">
        <v>9.65</v>
      </c>
      <c r="W3764">
        <v>212.22</v>
      </c>
      <c r="X3764" t="s">
        <v>394</v>
      </c>
      <c r="Y3764" t="s">
        <v>319</v>
      </c>
      <c r="Z3764">
        <v>5.18</v>
      </c>
      <c r="AA3764">
        <v>9.7200000000000006</v>
      </c>
      <c r="AB3764">
        <v>17976</v>
      </c>
      <c r="AC3764">
        <v>9369</v>
      </c>
      <c r="AD3764">
        <v>1.92</v>
      </c>
      <c r="AE3764">
        <v>107</v>
      </c>
      <c r="AF3764">
        <v>107</v>
      </c>
      <c r="AG3764" t="s">
        <v>120</v>
      </c>
      <c r="AH3764">
        <v>0.03</v>
      </c>
      <c r="AI3764" t="s">
        <v>120</v>
      </c>
      <c r="AJ3764">
        <v>2.17</v>
      </c>
      <c r="AK3764" t="s">
        <v>8427</v>
      </c>
      <c r="AL3764">
        <v>-0.31</v>
      </c>
      <c r="AM3764">
        <v>1299</v>
      </c>
      <c r="AN3764">
        <v>21</v>
      </c>
      <c r="AO3764">
        <v>1E-3</v>
      </c>
      <c r="AP3764">
        <v>-1</v>
      </c>
      <c r="AQ3764">
        <v>1.47</v>
      </c>
      <c r="AR3764">
        <v>-3.66</v>
      </c>
      <c r="AS3764">
        <v>13.11</v>
      </c>
      <c r="AT3764">
        <v>2.59</v>
      </c>
      <c r="AU3764">
        <v>-16.89</v>
      </c>
      <c r="AV3764">
        <v>3</v>
      </c>
      <c r="AW3764">
        <v>3.08</v>
      </c>
      <c r="AX3764">
        <v>40.770000000000003</v>
      </c>
      <c r="AY3764">
        <v>284.68</v>
      </c>
      <c r="AZ3764">
        <v>139.36000000000001</v>
      </c>
      <c r="BA3764">
        <v>1.06</v>
      </c>
      <c r="BB3764" t="s">
        <v>341</v>
      </c>
      <c r="BF3764">
        <v>0.72</v>
      </c>
      <c r="BG3764">
        <v>-1.66</v>
      </c>
      <c r="BH3764">
        <v>-4.62</v>
      </c>
      <c r="BI3764">
        <v>0.42</v>
      </c>
      <c r="BJ3764">
        <v>20210830</v>
      </c>
      <c r="BK3764">
        <v>20161125</v>
      </c>
      <c r="BL3764">
        <v>2.1800000000000002</v>
      </c>
      <c r="BM3764" t="s">
        <v>120</v>
      </c>
      <c r="BN3764" t="s">
        <v>120</v>
      </c>
      <c r="BO3764">
        <v>15.92</v>
      </c>
      <c r="BP3764">
        <v>9.48</v>
      </c>
      <c r="BQ3764">
        <v>7.67</v>
      </c>
      <c r="BR3764">
        <v>0.84</v>
      </c>
      <c r="BS3764">
        <v>46.55</v>
      </c>
      <c r="BT3764">
        <v>9.3699999999999992</v>
      </c>
      <c r="BU3764">
        <v>2.97</v>
      </c>
      <c r="BV3764">
        <v>1.58</v>
      </c>
      <c r="BW3764">
        <v>7.16</v>
      </c>
      <c r="BX3764">
        <v>1.18</v>
      </c>
      <c r="BY3764">
        <v>3</v>
      </c>
      <c r="BZ3764">
        <v>3.76</v>
      </c>
      <c r="CA3764" t="s">
        <v>120</v>
      </c>
      <c r="CB3764">
        <v>3.24</v>
      </c>
      <c r="CC3764">
        <v>6.86</v>
      </c>
      <c r="CD3764">
        <v>5.99</v>
      </c>
      <c r="CE3764">
        <v>0.11</v>
      </c>
      <c r="CF3764">
        <v>0</v>
      </c>
      <c r="CG3764">
        <v>0.11</v>
      </c>
      <c r="CH3764">
        <v>0.08</v>
      </c>
      <c r="CI3764">
        <v>0.05</v>
      </c>
      <c r="CJ3764">
        <v>-0.16</v>
      </c>
      <c r="CK3764">
        <v>0.05</v>
      </c>
      <c r="CL3764">
        <v>1.8</v>
      </c>
      <c r="CM3764">
        <v>-0.95</v>
      </c>
      <c r="CN3764">
        <v>-1.5</v>
      </c>
      <c r="CO3764">
        <v>8604</v>
      </c>
      <c r="CP3764">
        <v>10318</v>
      </c>
      <c r="CQ3764" t="s">
        <v>6481</v>
      </c>
      <c r="CR3764">
        <v>-61.25</v>
      </c>
      <c r="CS3764">
        <v>46.57</v>
      </c>
      <c r="CT3764">
        <v>2.69</v>
      </c>
      <c r="CU3764">
        <v>-21.83</v>
      </c>
      <c r="CV3764">
        <v>3.01</v>
      </c>
      <c r="CW3764">
        <v>0.22</v>
      </c>
      <c r="CX3764" t="s">
        <v>1241</v>
      </c>
      <c r="CY3764">
        <v>3.52</v>
      </c>
      <c r="CZ3764">
        <v>0</v>
      </c>
      <c r="DA3764">
        <v>1.49</v>
      </c>
      <c r="DB3764">
        <v>0.82</v>
      </c>
      <c r="DC3764">
        <v>-0.43</v>
      </c>
      <c r="DD3764">
        <v>48.19</v>
      </c>
      <c r="DE3764" t="s">
        <v>731</v>
      </c>
      <c r="DF3764">
        <v>12.67</v>
      </c>
      <c r="DG3764">
        <v>1.65</v>
      </c>
      <c r="DH3764">
        <v>0.71</v>
      </c>
      <c r="DI3764">
        <v>0.04</v>
      </c>
      <c r="DJ3764">
        <v>644</v>
      </c>
      <c r="DK3764">
        <v>603819</v>
      </c>
      <c r="DL3764" t="s">
        <v>120</v>
      </c>
      <c r="DM3764" t="s">
        <v>120</v>
      </c>
      <c r="DN3764" t="s">
        <v>120</v>
      </c>
    </row>
    <row r="3765" spans="1:118">
      <c r="A3765" t="str">
        <f>"603822"</f>
        <v>603822</v>
      </c>
      <c r="B3765" t="s">
        <v>15572</v>
      </c>
      <c r="C3765">
        <v>4.29</v>
      </c>
      <c r="D3765">
        <v>0</v>
      </c>
      <c r="E3765">
        <v>-0.54</v>
      </c>
      <c r="F3765">
        <v>311</v>
      </c>
      <c r="G3765" t="s">
        <v>1491</v>
      </c>
      <c r="H3765">
        <v>15813.96</v>
      </c>
      <c r="I3765">
        <v>18.350000000000001</v>
      </c>
      <c r="J3765" t="s">
        <v>120</v>
      </c>
      <c r="K3765" t="s">
        <v>11882</v>
      </c>
      <c r="L3765">
        <v>4.49</v>
      </c>
      <c r="M3765">
        <v>48.11</v>
      </c>
      <c r="N3765">
        <v>2.15</v>
      </c>
      <c r="O3765">
        <v>7.85</v>
      </c>
      <c r="P3765">
        <v>49.75</v>
      </c>
      <c r="Q3765">
        <v>-0.54</v>
      </c>
      <c r="R3765">
        <v>45.88</v>
      </c>
      <c r="S3765">
        <v>45.88</v>
      </c>
      <c r="T3765">
        <v>32974</v>
      </c>
      <c r="U3765">
        <v>48.12</v>
      </c>
      <c r="V3765">
        <v>46.13</v>
      </c>
      <c r="W3765">
        <v>40.409999999999997</v>
      </c>
      <c r="X3765" t="s">
        <v>318</v>
      </c>
      <c r="Y3765" t="s">
        <v>585</v>
      </c>
      <c r="Z3765">
        <v>8.39</v>
      </c>
      <c r="AA3765">
        <v>47.96</v>
      </c>
      <c r="AB3765">
        <v>16199</v>
      </c>
      <c r="AC3765">
        <v>16775</v>
      </c>
      <c r="AD3765">
        <v>0.97</v>
      </c>
      <c r="AE3765">
        <v>46</v>
      </c>
      <c r="AF3765">
        <v>14</v>
      </c>
      <c r="AG3765" t="s">
        <v>120</v>
      </c>
      <c r="AH3765">
        <v>0.01</v>
      </c>
      <c r="AI3765" t="s">
        <v>120</v>
      </c>
      <c r="AJ3765">
        <v>0.73</v>
      </c>
      <c r="AK3765" t="s">
        <v>11882</v>
      </c>
      <c r="AL3765">
        <v>5.64</v>
      </c>
      <c r="AM3765">
        <v>2601</v>
      </c>
      <c r="AN3765">
        <v>13</v>
      </c>
      <c r="AO3765">
        <v>1.6999999999999999E-3</v>
      </c>
      <c r="AP3765">
        <v>1</v>
      </c>
      <c r="AQ3765">
        <v>-0.13</v>
      </c>
      <c r="AR3765">
        <v>2.4500000000000002</v>
      </c>
      <c r="AS3765">
        <v>17.34</v>
      </c>
      <c r="AT3765">
        <v>76.3</v>
      </c>
      <c r="AU3765">
        <v>161.21</v>
      </c>
      <c r="AV3765">
        <v>9</v>
      </c>
      <c r="AW3765">
        <v>9.43</v>
      </c>
      <c r="AX3765">
        <v>47.68</v>
      </c>
      <c r="AY3765">
        <v>57.85</v>
      </c>
      <c r="AZ3765">
        <v>91.06</v>
      </c>
      <c r="BA3765">
        <v>0.46</v>
      </c>
      <c r="BB3765" t="s">
        <v>143</v>
      </c>
      <c r="BF3765">
        <v>3.97</v>
      </c>
      <c r="BG3765">
        <v>4.8600000000000003</v>
      </c>
      <c r="BH3765">
        <v>-3.3</v>
      </c>
      <c r="BI3765">
        <v>4.8600000000000003</v>
      </c>
      <c r="BJ3765">
        <v>20210903</v>
      </c>
      <c r="BK3765">
        <v>20160428</v>
      </c>
      <c r="BL3765">
        <v>0.73</v>
      </c>
      <c r="BM3765" t="s">
        <v>120</v>
      </c>
      <c r="BN3765" t="s">
        <v>120</v>
      </c>
      <c r="BO3765">
        <v>20.71</v>
      </c>
      <c r="BP3765">
        <v>48.11</v>
      </c>
      <c r="BQ3765">
        <v>8.5500000000000007</v>
      </c>
      <c r="BR3765">
        <v>0.33</v>
      </c>
      <c r="BS3765">
        <v>57.13</v>
      </c>
      <c r="BT3765">
        <v>9.2799999999999994</v>
      </c>
      <c r="BU3765">
        <v>5.2</v>
      </c>
      <c r="BV3765">
        <v>1.1499999999999999</v>
      </c>
      <c r="BW3765">
        <v>7.66</v>
      </c>
      <c r="BX3765">
        <v>1.58</v>
      </c>
      <c r="BY3765">
        <v>4.58</v>
      </c>
      <c r="BZ3765">
        <v>0.72</v>
      </c>
      <c r="CA3765" t="s">
        <v>120</v>
      </c>
      <c r="CB3765">
        <v>2.5499999999999998</v>
      </c>
      <c r="CC3765">
        <v>7.23</v>
      </c>
      <c r="CD3765">
        <v>5.79</v>
      </c>
      <c r="CE3765">
        <v>0.51</v>
      </c>
      <c r="CF3765">
        <v>0</v>
      </c>
      <c r="CG3765">
        <v>0.51</v>
      </c>
      <c r="CH3765">
        <v>0.44</v>
      </c>
      <c r="CI3765">
        <v>0.44</v>
      </c>
      <c r="CJ3765">
        <v>1.98</v>
      </c>
      <c r="CK3765">
        <v>0.43</v>
      </c>
      <c r="CL3765">
        <v>4.4800000000000004</v>
      </c>
      <c r="CM3765">
        <v>-0.04</v>
      </c>
      <c r="CN3765">
        <v>-1.71</v>
      </c>
      <c r="CO3765">
        <v>8339</v>
      </c>
      <c r="CP3765">
        <v>4194</v>
      </c>
      <c r="CQ3765" t="s">
        <v>15573</v>
      </c>
      <c r="CR3765">
        <v>95.51</v>
      </c>
      <c r="CS3765">
        <v>57.29</v>
      </c>
      <c r="CT3765">
        <v>4.33</v>
      </c>
      <c r="CU3765">
        <v>-804.19</v>
      </c>
      <c r="CV3765">
        <v>4.88</v>
      </c>
      <c r="CW3765">
        <v>0.33</v>
      </c>
      <c r="CX3765" t="s">
        <v>817</v>
      </c>
      <c r="CY3765">
        <v>11.1</v>
      </c>
      <c r="CZ3765">
        <v>11.1</v>
      </c>
      <c r="DA3765">
        <v>3.47</v>
      </c>
      <c r="DB3765">
        <v>6.11</v>
      </c>
      <c r="DC3765">
        <v>-0.06</v>
      </c>
      <c r="DD3765">
        <v>41.29</v>
      </c>
      <c r="DE3765" t="s">
        <v>4904</v>
      </c>
      <c r="DF3765">
        <v>19.940000000000001</v>
      </c>
      <c r="DG3765">
        <v>7.04</v>
      </c>
      <c r="DH3765">
        <v>6.04</v>
      </c>
      <c r="DI3765">
        <v>0.28999999999999998</v>
      </c>
      <c r="DJ3765">
        <v>563</v>
      </c>
      <c r="DK3765">
        <v>603822</v>
      </c>
      <c r="DL3765">
        <v>20210722</v>
      </c>
      <c r="DM3765">
        <v>40.1</v>
      </c>
      <c r="DN3765">
        <v>19.98</v>
      </c>
    </row>
    <row r="3766" spans="1:118">
      <c r="A3766" t="str">
        <f>"603823"</f>
        <v>603823</v>
      </c>
      <c r="B3766" t="s">
        <v>15574</v>
      </c>
      <c r="C3766">
        <v>-0.61</v>
      </c>
      <c r="D3766">
        <v>-0.1</v>
      </c>
      <c r="E3766">
        <v>-0.55000000000000004</v>
      </c>
      <c r="F3766">
        <v>429</v>
      </c>
      <c r="G3766" t="s">
        <v>11417</v>
      </c>
      <c r="H3766">
        <v>11511.15</v>
      </c>
      <c r="I3766">
        <v>10.62</v>
      </c>
      <c r="J3766" t="s">
        <v>120</v>
      </c>
      <c r="K3766" t="s">
        <v>4320</v>
      </c>
      <c r="L3766">
        <v>1.99</v>
      </c>
      <c r="M3766">
        <v>17.989999999999998</v>
      </c>
      <c r="N3766">
        <v>1.56</v>
      </c>
      <c r="O3766">
        <v>3.04</v>
      </c>
      <c r="P3766">
        <v>18.649999999999999</v>
      </c>
      <c r="Q3766">
        <v>-1.49</v>
      </c>
      <c r="R3766">
        <v>17.829999999999998</v>
      </c>
      <c r="S3766">
        <v>18</v>
      </c>
      <c r="T3766">
        <v>62748</v>
      </c>
      <c r="U3766">
        <v>18</v>
      </c>
      <c r="V3766">
        <v>18.100000000000001</v>
      </c>
      <c r="W3766">
        <v>18.190000000000001</v>
      </c>
      <c r="X3766" t="s">
        <v>1145</v>
      </c>
      <c r="Y3766" t="s">
        <v>585</v>
      </c>
      <c r="Z3766">
        <v>4.53</v>
      </c>
      <c r="AA3766">
        <v>18.350000000000001</v>
      </c>
      <c r="AB3766">
        <v>31774</v>
      </c>
      <c r="AC3766">
        <v>30974</v>
      </c>
      <c r="AD3766">
        <v>1.03</v>
      </c>
      <c r="AE3766">
        <v>23</v>
      </c>
      <c r="AF3766">
        <v>92</v>
      </c>
      <c r="AG3766" t="s">
        <v>120</v>
      </c>
      <c r="AH3766">
        <v>0.01</v>
      </c>
      <c r="AI3766" t="s">
        <v>120</v>
      </c>
      <c r="AJ3766">
        <v>3.15</v>
      </c>
      <c r="AK3766" t="s">
        <v>3998</v>
      </c>
      <c r="AL3766">
        <v>0.74</v>
      </c>
      <c r="AM3766">
        <v>2700</v>
      </c>
      <c r="AN3766">
        <v>23</v>
      </c>
      <c r="AO3766">
        <v>6.9999999999999999E-4</v>
      </c>
      <c r="AP3766">
        <v>-1</v>
      </c>
      <c r="AQ3766">
        <v>0.95</v>
      </c>
      <c r="AR3766">
        <v>-1.8</v>
      </c>
      <c r="AS3766">
        <v>10.91</v>
      </c>
      <c r="AT3766">
        <v>19.78</v>
      </c>
      <c r="AU3766">
        <v>24.59</v>
      </c>
      <c r="AV3766">
        <v>1</v>
      </c>
      <c r="AW3766">
        <v>6.37</v>
      </c>
      <c r="AX3766">
        <v>31</v>
      </c>
      <c r="AY3766">
        <v>18.34</v>
      </c>
      <c r="AZ3766">
        <v>22.15</v>
      </c>
      <c r="BA3766">
        <v>0.26</v>
      </c>
      <c r="BB3766" t="s">
        <v>240</v>
      </c>
      <c r="BF3766">
        <v>1.35</v>
      </c>
      <c r="BG3766">
        <v>-0.06</v>
      </c>
      <c r="BH3766">
        <v>-3.54</v>
      </c>
      <c r="BI3766">
        <v>0.9</v>
      </c>
      <c r="BJ3766">
        <v>20210826</v>
      </c>
      <c r="BK3766">
        <v>20161220</v>
      </c>
      <c r="BL3766">
        <v>3.18</v>
      </c>
      <c r="BM3766" t="s">
        <v>120</v>
      </c>
      <c r="BN3766" t="s">
        <v>120</v>
      </c>
      <c r="BO3766">
        <v>32.450000000000003</v>
      </c>
      <c r="BP3766">
        <v>17.989999999999998</v>
      </c>
      <c r="BQ3766">
        <v>18.600000000000001</v>
      </c>
      <c r="BR3766">
        <v>2.4300000000000002</v>
      </c>
      <c r="BS3766">
        <v>35.200000000000003</v>
      </c>
      <c r="BT3766">
        <v>19.64</v>
      </c>
      <c r="BU3766">
        <v>10.1</v>
      </c>
      <c r="BV3766">
        <v>0.8</v>
      </c>
      <c r="BW3766">
        <v>10</v>
      </c>
      <c r="BX3766">
        <v>4.0999999999999996</v>
      </c>
      <c r="BY3766">
        <v>5.54</v>
      </c>
      <c r="BZ3766">
        <v>5.46</v>
      </c>
      <c r="CA3766" t="s">
        <v>120</v>
      </c>
      <c r="CB3766">
        <v>3.63</v>
      </c>
      <c r="CC3766">
        <v>12.38</v>
      </c>
      <c r="CD3766">
        <v>9.09</v>
      </c>
      <c r="CE3766">
        <v>2</v>
      </c>
      <c r="CF3766">
        <v>0.02</v>
      </c>
      <c r="CG3766">
        <v>2.06</v>
      </c>
      <c r="CH3766">
        <v>1.73</v>
      </c>
      <c r="CI3766">
        <v>1.57</v>
      </c>
      <c r="CJ3766">
        <v>-0.11</v>
      </c>
      <c r="CK3766">
        <v>1.5</v>
      </c>
      <c r="CL3766">
        <v>10.72</v>
      </c>
      <c r="CM3766">
        <v>0.85</v>
      </c>
      <c r="CN3766">
        <v>-0.35</v>
      </c>
      <c r="CO3766">
        <v>11601</v>
      </c>
      <c r="CP3766">
        <v>8489</v>
      </c>
      <c r="CQ3766" t="s">
        <v>15575</v>
      </c>
      <c r="CR3766">
        <v>52.25</v>
      </c>
      <c r="CS3766">
        <v>36.72</v>
      </c>
      <c r="CT3766">
        <v>3.07</v>
      </c>
      <c r="CU3766">
        <v>67.150000000000006</v>
      </c>
      <c r="CV3766">
        <v>4.62</v>
      </c>
      <c r="CW3766">
        <v>1.38</v>
      </c>
      <c r="CX3766" t="s">
        <v>550</v>
      </c>
      <c r="CY3766">
        <v>5.85</v>
      </c>
      <c r="CZ3766">
        <v>0</v>
      </c>
      <c r="DA3766">
        <v>1.1399999999999999</v>
      </c>
      <c r="DB3766">
        <v>3.37</v>
      </c>
      <c r="DC3766">
        <v>0.27</v>
      </c>
      <c r="DD3766">
        <v>57.33</v>
      </c>
      <c r="DE3766" t="s">
        <v>9397</v>
      </c>
      <c r="DF3766">
        <v>26.59</v>
      </c>
      <c r="DG3766">
        <v>16.14</v>
      </c>
      <c r="DH3766">
        <v>12.7</v>
      </c>
      <c r="DI3766">
        <v>0.45</v>
      </c>
      <c r="DJ3766">
        <v>1604</v>
      </c>
      <c r="DK3766">
        <v>603823</v>
      </c>
      <c r="DL3766" t="s">
        <v>120</v>
      </c>
      <c r="DM3766" t="s">
        <v>120</v>
      </c>
      <c r="DN3766" t="s">
        <v>120</v>
      </c>
    </row>
    <row r="3767" spans="1:118">
      <c r="A3767" t="str">
        <f>"603825"</f>
        <v>603825</v>
      </c>
      <c r="B3767" t="s">
        <v>15576</v>
      </c>
      <c r="C3767">
        <v>-3.96</v>
      </c>
      <c r="D3767">
        <v>-0.05</v>
      </c>
      <c r="E3767">
        <v>-0.3</v>
      </c>
      <c r="F3767">
        <v>133</v>
      </c>
      <c r="G3767" t="s">
        <v>2768</v>
      </c>
      <c r="H3767">
        <v>5727.64</v>
      </c>
      <c r="I3767">
        <v>36.06</v>
      </c>
      <c r="J3767" t="s">
        <v>120</v>
      </c>
      <c r="K3767" t="s">
        <v>5737</v>
      </c>
      <c r="L3767">
        <v>1.53</v>
      </c>
      <c r="M3767">
        <v>16.23</v>
      </c>
      <c r="N3767">
        <v>0.93</v>
      </c>
      <c r="O3767">
        <v>-0.24</v>
      </c>
      <c r="P3767">
        <v>16.86</v>
      </c>
      <c r="Q3767">
        <v>-4.1399999999999997</v>
      </c>
      <c r="R3767">
        <v>16.2</v>
      </c>
      <c r="S3767">
        <v>16.850000000000001</v>
      </c>
      <c r="T3767">
        <v>34709</v>
      </c>
      <c r="U3767">
        <v>16.23</v>
      </c>
      <c r="V3767">
        <v>16.899999999999999</v>
      </c>
      <c r="W3767">
        <v>23.08</v>
      </c>
      <c r="X3767" t="s">
        <v>1531</v>
      </c>
      <c r="Y3767" t="s">
        <v>158</v>
      </c>
      <c r="Z3767">
        <v>3.91</v>
      </c>
      <c r="AA3767">
        <v>16.5</v>
      </c>
      <c r="AB3767">
        <v>22209</v>
      </c>
      <c r="AC3767">
        <v>12500</v>
      </c>
      <c r="AD3767">
        <v>1.78</v>
      </c>
      <c r="AE3767">
        <v>18</v>
      </c>
      <c r="AF3767">
        <v>6</v>
      </c>
      <c r="AG3767" t="s">
        <v>120</v>
      </c>
      <c r="AH3767">
        <v>0.02</v>
      </c>
      <c r="AI3767" t="s">
        <v>120</v>
      </c>
      <c r="AJ3767">
        <v>2.2599999999999998</v>
      </c>
      <c r="AK3767" t="s">
        <v>5737</v>
      </c>
      <c r="AL3767">
        <v>-2.62</v>
      </c>
      <c r="AM3767">
        <v>2527</v>
      </c>
      <c r="AN3767">
        <v>14</v>
      </c>
      <c r="AO3767">
        <v>5.9999999999999995E-4</v>
      </c>
      <c r="AP3767">
        <v>-1</v>
      </c>
      <c r="AQ3767">
        <v>2.99</v>
      </c>
      <c r="AR3767">
        <v>-3.57</v>
      </c>
      <c r="AS3767">
        <v>-7.73</v>
      </c>
      <c r="AT3767">
        <v>-18.850000000000001</v>
      </c>
      <c r="AU3767">
        <v>-11.07</v>
      </c>
      <c r="AV3767">
        <v>6</v>
      </c>
      <c r="AW3767">
        <v>3.43</v>
      </c>
      <c r="AX3767">
        <v>44.64</v>
      </c>
      <c r="AY3767">
        <v>17.13</v>
      </c>
      <c r="AZ3767">
        <v>18.260000000000002</v>
      </c>
      <c r="BA3767">
        <v>1.45</v>
      </c>
      <c r="BB3767" t="s">
        <v>168</v>
      </c>
      <c r="BF3767">
        <v>-2.36</v>
      </c>
      <c r="BG3767">
        <v>-3.68</v>
      </c>
      <c r="BH3767">
        <v>-3.74</v>
      </c>
      <c r="BI3767">
        <v>0.19</v>
      </c>
      <c r="BJ3767">
        <v>20210818</v>
      </c>
      <c r="BK3767">
        <v>20170802</v>
      </c>
      <c r="BL3767">
        <v>2.2599999999999998</v>
      </c>
      <c r="BM3767" t="s">
        <v>120</v>
      </c>
      <c r="BN3767" t="s">
        <v>120</v>
      </c>
      <c r="BO3767">
        <v>78.28</v>
      </c>
      <c r="BP3767">
        <v>16.22</v>
      </c>
      <c r="BQ3767">
        <v>18.09</v>
      </c>
      <c r="BR3767">
        <v>0.04</v>
      </c>
      <c r="BS3767">
        <v>76.849999999999994</v>
      </c>
      <c r="BT3767">
        <v>72.69</v>
      </c>
      <c r="BU3767">
        <v>0.28999999999999998</v>
      </c>
      <c r="BV3767">
        <v>0.31</v>
      </c>
      <c r="BW3767">
        <v>59.69</v>
      </c>
      <c r="BX3767">
        <v>5.08</v>
      </c>
      <c r="BY3767">
        <v>4.07</v>
      </c>
      <c r="BZ3767">
        <v>53.9</v>
      </c>
      <c r="CA3767" t="s">
        <v>120</v>
      </c>
      <c r="CB3767">
        <v>6.02</v>
      </c>
      <c r="CC3767">
        <v>55.04</v>
      </c>
      <c r="CD3767">
        <v>48.7</v>
      </c>
      <c r="CE3767">
        <v>0.94</v>
      </c>
      <c r="CF3767">
        <v>-0.1</v>
      </c>
      <c r="CG3767">
        <v>0.94</v>
      </c>
      <c r="CH3767">
        <v>0.78</v>
      </c>
      <c r="CI3767">
        <v>0.8</v>
      </c>
      <c r="CJ3767">
        <v>-0.67</v>
      </c>
      <c r="CK3767">
        <v>0.81</v>
      </c>
      <c r="CL3767">
        <v>8.82</v>
      </c>
      <c r="CM3767">
        <v>2.48</v>
      </c>
      <c r="CN3767">
        <v>1.32</v>
      </c>
      <c r="CO3767">
        <v>23023</v>
      </c>
      <c r="CP3767">
        <v>4390</v>
      </c>
      <c r="CQ3767" t="s">
        <v>7933</v>
      </c>
      <c r="CR3767">
        <v>21.04</v>
      </c>
      <c r="CS3767">
        <v>15.07</v>
      </c>
      <c r="CT3767">
        <v>2.0499999999999998</v>
      </c>
      <c r="CU3767">
        <v>14.82</v>
      </c>
      <c r="CV3767">
        <v>0.67</v>
      </c>
      <c r="CW3767">
        <v>1.67</v>
      </c>
      <c r="CX3767" t="s">
        <v>269</v>
      </c>
      <c r="CY3767">
        <v>7.92</v>
      </c>
      <c r="CZ3767">
        <v>7.92</v>
      </c>
      <c r="DA3767">
        <v>2.66</v>
      </c>
      <c r="DB3767">
        <v>3.89</v>
      </c>
      <c r="DC3767">
        <v>1.1000000000000001</v>
      </c>
      <c r="DD3767">
        <v>23.11</v>
      </c>
      <c r="DE3767" t="s">
        <v>1194</v>
      </c>
      <c r="DF3767">
        <v>11.52</v>
      </c>
      <c r="DG3767">
        <v>1.71</v>
      </c>
      <c r="DH3767">
        <v>1.45</v>
      </c>
      <c r="DI3767">
        <v>1.21</v>
      </c>
      <c r="DJ3767">
        <v>2115</v>
      </c>
      <c r="DK3767">
        <v>603825</v>
      </c>
      <c r="DL3767" t="s">
        <v>120</v>
      </c>
      <c r="DM3767" t="s">
        <v>120</v>
      </c>
      <c r="DN3767" t="s">
        <v>120</v>
      </c>
    </row>
    <row r="3768" spans="1:118">
      <c r="A3768" t="str">
        <f>"603826"</f>
        <v>603826</v>
      </c>
      <c r="B3768" t="s">
        <v>15577</v>
      </c>
      <c r="C3768">
        <v>-2.46</v>
      </c>
      <c r="D3768">
        <v>-0.14000000000000001</v>
      </c>
      <c r="E3768">
        <v>0.25</v>
      </c>
      <c r="F3768">
        <v>101</v>
      </c>
      <c r="G3768" t="s">
        <v>11289</v>
      </c>
      <c r="H3768">
        <v>5004.83</v>
      </c>
      <c r="I3768">
        <v>11.43</v>
      </c>
      <c r="J3768" t="s">
        <v>120</v>
      </c>
      <c r="K3768" t="s">
        <v>15578</v>
      </c>
      <c r="L3768">
        <v>0.27</v>
      </c>
      <c r="M3768">
        <v>39.72</v>
      </c>
      <c r="N3768">
        <v>0.67</v>
      </c>
      <c r="O3768">
        <v>0.66</v>
      </c>
      <c r="P3768">
        <v>40.99</v>
      </c>
      <c r="Q3768">
        <v>-3.83</v>
      </c>
      <c r="R3768">
        <v>39.159999999999997</v>
      </c>
      <c r="S3768">
        <v>40.82</v>
      </c>
      <c r="T3768">
        <v>12512</v>
      </c>
      <c r="U3768">
        <v>39.72</v>
      </c>
      <c r="V3768">
        <v>40.72</v>
      </c>
      <c r="W3768">
        <v>106.97</v>
      </c>
      <c r="X3768" t="s">
        <v>1145</v>
      </c>
      <c r="Y3768" t="s">
        <v>937</v>
      </c>
      <c r="Z3768">
        <v>4.49</v>
      </c>
      <c r="AA3768">
        <v>40</v>
      </c>
      <c r="AB3768">
        <v>7613</v>
      </c>
      <c r="AC3768">
        <v>4899</v>
      </c>
      <c r="AD3768">
        <v>1.55</v>
      </c>
      <c r="AE3768">
        <v>31</v>
      </c>
      <c r="AF3768">
        <v>23</v>
      </c>
      <c r="AG3768" t="s">
        <v>120</v>
      </c>
      <c r="AH3768">
        <v>0</v>
      </c>
      <c r="AI3768" t="s">
        <v>120</v>
      </c>
      <c r="AJ3768">
        <v>4.68</v>
      </c>
      <c r="AK3768" t="s">
        <v>15578</v>
      </c>
      <c r="AL3768">
        <v>-1.1100000000000001</v>
      </c>
      <c r="AM3768">
        <v>1527</v>
      </c>
      <c r="AN3768">
        <v>8</v>
      </c>
      <c r="AO3768">
        <v>2.0000000000000001E-4</v>
      </c>
      <c r="AP3768">
        <v>-1</v>
      </c>
      <c r="AQ3768">
        <v>1.55</v>
      </c>
      <c r="AR3768">
        <v>3.28</v>
      </c>
      <c r="AS3768">
        <v>17.2</v>
      </c>
      <c r="AT3768">
        <v>1.88</v>
      </c>
      <c r="AU3768">
        <v>10.06</v>
      </c>
      <c r="AV3768">
        <v>3</v>
      </c>
      <c r="AW3768">
        <v>0.96</v>
      </c>
      <c r="AX3768">
        <v>27.8</v>
      </c>
      <c r="AY3768">
        <v>107.86</v>
      </c>
      <c r="AZ3768">
        <v>121.36</v>
      </c>
      <c r="BA3768">
        <v>0.43</v>
      </c>
      <c r="BB3768" t="s">
        <v>184</v>
      </c>
      <c r="BF3768">
        <v>-1.77</v>
      </c>
      <c r="BG3768">
        <v>-2.69</v>
      </c>
      <c r="BH3768">
        <v>-3.1</v>
      </c>
      <c r="BI3768">
        <v>1.43</v>
      </c>
      <c r="BJ3768">
        <v>20210826</v>
      </c>
      <c r="BK3768">
        <v>20170414</v>
      </c>
      <c r="BL3768">
        <v>4.68</v>
      </c>
      <c r="BM3768" t="s">
        <v>120</v>
      </c>
      <c r="BN3768" t="s">
        <v>120</v>
      </c>
      <c r="BO3768">
        <v>26.15</v>
      </c>
      <c r="BP3768">
        <v>39.700000000000003</v>
      </c>
      <c r="BQ3768">
        <v>16.55</v>
      </c>
      <c r="BR3768">
        <v>0.1</v>
      </c>
      <c r="BS3768">
        <v>36.340000000000003</v>
      </c>
      <c r="BT3768">
        <v>8.3699999999999992</v>
      </c>
      <c r="BU3768">
        <v>7.76</v>
      </c>
      <c r="BV3768">
        <v>2.66</v>
      </c>
      <c r="BW3768">
        <v>4.9400000000000004</v>
      </c>
      <c r="BX3768">
        <v>0.82</v>
      </c>
      <c r="BY3768">
        <v>4.66</v>
      </c>
      <c r="BZ3768">
        <v>1.73</v>
      </c>
      <c r="CA3768" t="s">
        <v>120</v>
      </c>
      <c r="CB3768">
        <v>3.84</v>
      </c>
      <c r="CC3768">
        <v>4.5599999999999996</v>
      </c>
      <c r="CD3768">
        <v>2.86</v>
      </c>
      <c r="CE3768">
        <v>1.03</v>
      </c>
      <c r="CF3768">
        <v>0.05</v>
      </c>
      <c r="CG3768">
        <v>1.03</v>
      </c>
      <c r="CH3768">
        <v>0.9</v>
      </c>
      <c r="CI3768">
        <v>0.87</v>
      </c>
      <c r="CJ3768">
        <v>-1</v>
      </c>
      <c r="CK3768">
        <v>0.85</v>
      </c>
      <c r="CL3768">
        <v>6.86</v>
      </c>
      <c r="CM3768">
        <v>0.71</v>
      </c>
      <c r="CN3768">
        <v>0.3</v>
      </c>
      <c r="CO3768">
        <v>9004</v>
      </c>
      <c r="CP3768">
        <v>14449</v>
      </c>
      <c r="CQ3768" t="s">
        <v>15579</v>
      </c>
      <c r="CR3768">
        <v>29.23</v>
      </c>
      <c r="CS3768">
        <v>36.94</v>
      </c>
      <c r="CT3768">
        <v>11.23</v>
      </c>
      <c r="CU3768">
        <v>261.75</v>
      </c>
      <c r="CV3768">
        <v>40.799999999999997</v>
      </c>
      <c r="CW3768">
        <v>0</v>
      </c>
      <c r="CX3768" t="s">
        <v>15580</v>
      </c>
      <c r="CY3768">
        <v>3.54</v>
      </c>
      <c r="CZ3768">
        <v>0</v>
      </c>
      <c r="DA3768">
        <v>0.82</v>
      </c>
      <c r="DB3768">
        <v>1.47</v>
      </c>
      <c r="DC3768">
        <v>0.15</v>
      </c>
      <c r="DD3768">
        <v>63.28</v>
      </c>
      <c r="DE3768" t="s">
        <v>2474</v>
      </c>
      <c r="DF3768">
        <v>37.21</v>
      </c>
      <c r="DG3768">
        <v>22.66</v>
      </c>
      <c r="DH3768">
        <v>19.07</v>
      </c>
      <c r="DI3768">
        <v>0.17</v>
      </c>
      <c r="DJ3768">
        <v>653</v>
      </c>
      <c r="DK3768">
        <v>603826</v>
      </c>
      <c r="DL3768" t="s">
        <v>120</v>
      </c>
      <c r="DM3768" t="s">
        <v>120</v>
      </c>
      <c r="DN3768" t="s">
        <v>120</v>
      </c>
    </row>
    <row r="3769" spans="1:118">
      <c r="A3769" t="str">
        <f>"603828"</f>
        <v>603828</v>
      </c>
      <c r="B3769" t="s">
        <v>15581</v>
      </c>
      <c r="C3769">
        <v>-0.48</v>
      </c>
      <c r="D3769">
        <v>-0.47</v>
      </c>
      <c r="E3769">
        <v>0</v>
      </c>
      <c r="F3769">
        <v>1629</v>
      </c>
      <c r="G3769" t="s">
        <v>7289</v>
      </c>
      <c r="H3769">
        <v>1496.79</v>
      </c>
      <c r="I3769">
        <v>0.62</v>
      </c>
      <c r="J3769" t="s">
        <v>120</v>
      </c>
      <c r="K3769" t="s">
        <v>2071</v>
      </c>
      <c r="L3769">
        <v>0.61</v>
      </c>
      <c r="M3769">
        <v>4.1100000000000003</v>
      </c>
      <c r="N3769">
        <v>0.97</v>
      </c>
      <c r="O3769">
        <v>0.73</v>
      </c>
      <c r="P3769">
        <v>4.16</v>
      </c>
      <c r="Q3769">
        <v>-0.48</v>
      </c>
      <c r="R3769">
        <v>4.1100000000000003</v>
      </c>
      <c r="S3769">
        <v>4.13</v>
      </c>
      <c r="T3769">
        <v>36162</v>
      </c>
      <c r="U3769">
        <v>4.1100000000000003</v>
      </c>
      <c r="V3769">
        <v>4.13</v>
      </c>
      <c r="W3769">
        <v>45.95</v>
      </c>
      <c r="X3769" t="s">
        <v>3122</v>
      </c>
      <c r="Y3769" t="s">
        <v>319</v>
      </c>
      <c r="Z3769">
        <v>1.21</v>
      </c>
      <c r="AA3769">
        <v>4.1399999999999997</v>
      </c>
      <c r="AB3769">
        <v>22409</v>
      </c>
      <c r="AC3769">
        <v>13753</v>
      </c>
      <c r="AD3769">
        <v>1.63</v>
      </c>
      <c r="AE3769">
        <v>525</v>
      </c>
      <c r="AF3769">
        <v>453</v>
      </c>
      <c r="AG3769" t="s">
        <v>120</v>
      </c>
      <c r="AH3769">
        <v>0</v>
      </c>
      <c r="AI3769" t="s">
        <v>120</v>
      </c>
      <c r="AJ3769">
        <v>5.96</v>
      </c>
      <c r="AK3769" t="s">
        <v>706</v>
      </c>
      <c r="AL3769">
        <v>0.86</v>
      </c>
      <c r="AM3769">
        <v>615</v>
      </c>
      <c r="AN3769">
        <v>59</v>
      </c>
      <c r="AO3769">
        <v>1E-3</v>
      </c>
      <c r="AP3769">
        <v>-1</v>
      </c>
      <c r="AQ3769">
        <v>0.73</v>
      </c>
      <c r="AR3769">
        <v>-0.96</v>
      </c>
      <c r="AS3769">
        <v>4.8499999999999996</v>
      </c>
      <c r="AT3769">
        <v>-5.3</v>
      </c>
      <c r="AU3769">
        <v>-5.52</v>
      </c>
      <c r="AV3769">
        <v>2</v>
      </c>
      <c r="AW3769">
        <v>1.1200000000000001</v>
      </c>
      <c r="AX3769">
        <v>53.06</v>
      </c>
      <c r="AY3769">
        <v>125.31</v>
      </c>
      <c r="AZ3769">
        <v>131.94999999999999</v>
      </c>
      <c r="BA3769">
        <v>0.39</v>
      </c>
      <c r="BB3769" t="s">
        <v>184</v>
      </c>
      <c r="BF3769">
        <v>0.22</v>
      </c>
      <c r="BG3769">
        <v>-0.48</v>
      </c>
      <c r="BH3769">
        <v>-1.2</v>
      </c>
      <c r="BI3769">
        <v>0</v>
      </c>
      <c r="BJ3769">
        <v>20210830</v>
      </c>
      <c r="BK3769">
        <v>20150226</v>
      </c>
      <c r="BL3769">
        <v>6.1</v>
      </c>
      <c r="BM3769" t="s">
        <v>120</v>
      </c>
      <c r="BN3769" t="s">
        <v>120</v>
      </c>
      <c r="BO3769">
        <v>51.29</v>
      </c>
      <c r="BP3769">
        <v>4.0999999999999996</v>
      </c>
      <c r="BQ3769">
        <v>16.309999999999999</v>
      </c>
      <c r="BR3769">
        <v>0.46</v>
      </c>
      <c r="BS3769">
        <v>67.3</v>
      </c>
      <c r="BT3769">
        <v>35.6</v>
      </c>
      <c r="BU3769">
        <v>3.87</v>
      </c>
      <c r="BV3769">
        <v>4.4400000000000004</v>
      </c>
      <c r="BW3769">
        <v>28.1</v>
      </c>
      <c r="BX3769">
        <v>4.9000000000000004</v>
      </c>
      <c r="BY3769">
        <v>0.26</v>
      </c>
      <c r="BZ3769">
        <v>9.85</v>
      </c>
      <c r="CA3769">
        <v>0.02</v>
      </c>
      <c r="CB3769">
        <v>2.9</v>
      </c>
      <c r="CC3769">
        <v>12.04</v>
      </c>
      <c r="CD3769">
        <v>10.45</v>
      </c>
      <c r="CE3769">
        <v>0.37</v>
      </c>
      <c r="CF3769">
        <v>0.04</v>
      </c>
      <c r="CG3769">
        <v>0.36</v>
      </c>
      <c r="CH3769">
        <v>0.31</v>
      </c>
      <c r="CI3769">
        <v>0.27</v>
      </c>
      <c r="CJ3769">
        <v>-0.02</v>
      </c>
      <c r="CK3769">
        <v>0.34</v>
      </c>
      <c r="CL3769">
        <v>7.07</v>
      </c>
      <c r="CM3769">
        <v>-2.5099999999999998</v>
      </c>
      <c r="CN3769">
        <v>-2.0299999999999998</v>
      </c>
      <c r="CO3769">
        <v>13926</v>
      </c>
      <c r="CP3769">
        <v>23260</v>
      </c>
      <c r="CQ3769" t="s">
        <v>15582</v>
      </c>
      <c r="CR3769">
        <v>3.85</v>
      </c>
      <c r="CS3769">
        <v>12.62</v>
      </c>
      <c r="CT3769">
        <v>1.54</v>
      </c>
      <c r="CU3769">
        <v>-9.99</v>
      </c>
      <c r="CV3769">
        <v>2.08</v>
      </c>
      <c r="CW3769">
        <v>0.24</v>
      </c>
      <c r="CX3769" t="s">
        <v>1248</v>
      </c>
      <c r="CY3769">
        <v>2.67</v>
      </c>
      <c r="CZ3769">
        <v>2.67</v>
      </c>
      <c r="DA3769">
        <v>0.48</v>
      </c>
      <c r="DB3769">
        <v>1.1599999999999999</v>
      </c>
      <c r="DC3769">
        <v>-0.41</v>
      </c>
      <c r="DD3769">
        <v>31.81</v>
      </c>
      <c r="DE3769" t="s">
        <v>662</v>
      </c>
      <c r="DF3769">
        <v>13.2</v>
      </c>
      <c r="DG3769">
        <v>3.08</v>
      </c>
      <c r="DH3769">
        <v>2.27</v>
      </c>
      <c r="DI3769">
        <v>0.39</v>
      </c>
      <c r="DJ3769">
        <v>1166</v>
      </c>
      <c r="DK3769">
        <v>603828</v>
      </c>
      <c r="DL3769" t="s">
        <v>120</v>
      </c>
      <c r="DM3769" t="s">
        <v>120</v>
      </c>
      <c r="DN3769" t="s">
        <v>120</v>
      </c>
    </row>
    <row r="3770" spans="1:118">
      <c r="A3770" t="str">
        <f>"603829"</f>
        <v>603829</v>
      </c>
      <c r="B3770" t="s">
        <v>15583</v>
      </c>
      <c r="C3770">
        <v>-3.25</v>
      </c>
      <c r="D3770">
        <v>0.27</v>
      </c>
      <c r="E3770">
        <v>-0.18</v>
      </c>
      <c r="F3770">
        <v>32</v>
      </c>
      <c r="G3770" t="s">
        <v>15584</v>
      </c>
      <c r="H3770">
        <v>2523.0700000000002</v>
      </c>
      <c r="I3770">
        <v>11.94</v>
      </c>
      <c r="J3770" t="s">
        <v>120</v>
      </c>
      <c r="K3770" t="s">
        <v>15585</v>
      </c>
      <c r="L3770">
        <v>1.41</v>
      </c>
      <c r="M3770">
        <v>11.02</v>
      </c>
      <c r="N3770">
        <v>1.31</v>
      </c>
      <c r="O3770">
        <v>0</v>
      </c>
      <c r="P3770">
        <v>11.39</v>
      </c>
      <c r="Q3770">
        <v>-3.95</v>
      </c>
      <c r="R3770">
        <v>10.94</v>
      </c>
      <c r="S3770">
        <v>11.37</v>
      </c>
      <c r="T3770">
        <v>22615</v>
      </c>
      <c r="U3770">
        <v>11.03</v>
      </c>
      <c r="V3770">
        <v>11.39</v>
      </c>
      <c r="W3770">
        <v>38.22</v>
      </c>
      <c r="X3770" t="s">
        <v>394</v>
      </c>
      <c r="Y3770" t="s">
        <v>319</v>
      </c>
      <c r="Z3770">
        <v>3.95</v>
      </c>
      <c r="AA3770">
        <v>11.16</v>
      </c>
      <c r="AB3770">
        <v>14526</v>
      </c>
      <c r="AC3770">
        <v>8089</v>
      </c>
      <c r="AD3770">
        <v>1.8</v>
      </c>
      <c r="AE3770">
        <v>20</v>
      </c>
      <c r="AF3770">
        <v>4</v>
      </c>
      <c r="AG3770" t="s">
        <v>120</v>
      </c>
      <c r="AH3770">
        <v>0.03</v>
      </c>
      <c r="AI3770" t="s">
        <v>120</v>
      </c>
      <c r="AJ3770">
        <v>1.6</v>
      </c>
      <c r="AK3770" t="s">
        <v>15585</v>
      </c>
      <c r="AL3770">
        <v>-1.9</v>
      </c>
      <c r="AM3770">
        <v>1188</v>
      </c>
      <c r="AN3770">
        <v>19</v>
      </c>
      <c r="AO3770">
        <v>1.1999999999999999E-3</v>
      </c>
      <c r="AP3770">
        <v>-1</v>
      </c>
      <c r="AQ3770">
        <v>4.59</v>
      </c>
      <c r="AR3770">
        <v>-0.46</v>
      </c>
      <c r="AS3770">
        <v>-9.23</v>
      </c>
      <c r="AT3770">
        <v>2.99</v>
      </c>
      <c r="AU3770">
        <v>1.38</v>
      </c>
      <c r="AV3770">
        <v>0</v>
      </c>
      <c r="AW3770">
        <v>5.62</v>
      </c>
      <c r="AX3770">
        <v>25.13</v>
      </c>
      <c r="AY3770">
        <v>28.54</v>
      </c>
      <c r="AZ3770">
        <v>28.52</v>
      </c>
      <c r="BA3770">
        <v>0.33</v>
      </c>
      <c r="BB3770" t="s">
        <v>143</v>
      </c>
      <c r="BF3770">
        <v>-2.0499999999999998</v>
      </c>
      <c r="BG3770">
        <v>-3.08</v>
      </c>
      <c r="BH3770">
        <v>-3.25</v>
      </c>
      <c r="BI3770">
        <v>0.73</v>
      </c>
      <c r="BJ3770">
        <v>20210901</v>
      </c>
      <c r="BK3770">
        <v>20171017</v>
      </c>
      <c r="BL3770">
        <v>1.6</v>
      </c>
      <c r="BM3770" t="s">
        <v>120</v>
      </c>
      <c r="BN3770" t="s">
        <v>120</v>
      </c>
      <c r="BO3770">
        <v>14.65</v>
      </c>
      <c r="BP3770">
        <v>11.02</v>
      </c>
      <c r="BQ3770">
        <v>7.39</v>
      </c>
      <c r="BR3770">
        <v>0.94</v>
      </c>
      <c r="BS3770">
        <v>43.15</v>
      </c>
      <c r="BT3770">
        <v>10.48</v>
      </c>
      <c r="BU3770">
        <v>2.42</v>
      </c>
      <c r="BV3770">
        <v>0.98</v>
      </c>
      <c r="BW3770">
        <v>5.86</v>
      </c>
      <c r="BX3770">
        <v>1.1599999999999999</v>
      </c>
      <c r="BY3770">
        <v>2.5</v>
      </c>
      <c r="BZ3770">
        <v>4.84</v>
      </c>
      <c r="CA3770" t="s">
        <v>120</v>
      </c>
      <c r="CB3770">
        <v>3.39</v>
      </c>
      <c r="CC3770">
        <v>5.03</v>
      </c>
      <c r="CD3770">
        <v>4.0199999999999996</v>
      </c>
      <c r="CE3770">
        <v>0.36</v>
      </c>
      <c r="CF3770">
        <v>0</v>
      </c>
      <c r="CG3770">
        <v>0.36</v>
      </c>
      <c r="CH3770">
        <v>0.32</v>
      </c>
      <c r="CI3770">
        <v>0.23</v>
      </c>
      <c r="CJ3770">
        <v>-0.37</v>
      </c>
      <c r="CK3770">
        <v>0.23</v>
      </c>
      <c r="CL3770">
        <v>2.1</v>
      </c>
      <c r="CM3770">
        <v>-0.41</v>
      </c>
      <c r="CN3770">
        <v>-0.57999999999999996</v>
      </c>
      <c r="CO3770">
        <v>9030</v>
      </c>
      <c r="CP3770">
        <v>4453</v>
      </c>
      <c r="CQ3770" t="s">
        <v>3333</v>
      </c>
      <c r="CR3770">
        <v>-0.18</v>
      </c>
      <c r="CS3770">
        <v>59.12</v>
      </c>
      <c r="CT3770">
        <v>2.39</v>
      </c>
      <c r="CU3770">
        <v>-42.99</v>
      </c>
      <c r="CV3770">
        <v>3.5</v>
      </c>
      <c r="CW3770">
        <v>0.88</v>
      </c>
      <c r="CX3770" t="s">
        <v>300</v>
      </c>
      <c r="CY3770">
        <v>4.62</v>
      </c>
      <c r="CZ3770">
        <v>0</v>
      </c>
      <c r="DA3770">
        <v>2.12</v>
      </c>
      <c r="DB3770">
        <v>1.31</v>
      </c>
      <c r="DC3770">
        <v>-0.26</v>
      </c>
      <c r="DD3770">
        <v>50.44</v>
      </c>
      <c r="DE3770" t="s">
        <v>8404</v>
      </c>
      <c r="DF3770">
        <v>20.13</v>
      </c>
      <c r="DG3770">
        <v>7.12</v>
      </c>
      <c r="DH3770">
        <v>4.58</v>
      </c>
      <c r="DI3770">
        <v>0.21</v>
      </c>
      <c r="DJ3770">
        <v>965</v>
      </c>
      <c r="DK3770">
        <v>603829</v>
      </c>
      <c r="DL3770" t="s">
        <v>120</v>
      </c>
      <c r="DM3770" t="s">
        <v>120</v>
      </c>
      <c r="DN3770" t="s">
        <v>120</v>
      </c>
    </row>
    <row r="3771" spans="1:118">
      <c r="A3771" t="str">
        <f>"603833"</f>
        <v>603833</v>
      </c>
      <c r="B3771" t="s">
        <v>15586</v>
      </c>
      <c r="C3771">
        <v>-2.5099999999999998</v>
      </c>
      <c r="D3771">
        <v>-0.27</v>
      </c>
      <c r="E3771">
        <v>0.6</v>
      </c>
      <c r="F3771">
        <v>133</v>
      </c>
      <c r="G3771" t="s">
        <v>15587</v>
      </c>
      <c r="H3771">
        <v>21003.22</v>
      </c>
      <c r="I3771">
        <v>71.930000000000007</v>
      </c>
      <c r="J3771" t="s">
        <v>120</v>
      </c>
      <c r="K3771" t="s">
        <v>15588</v>
      </c>
      <c r="L3771">
        <v>0.25</v>
      </c>
      <c r="M3771">
        <v>134.05000000000001</v>
      </c>
      <c r="N3771">
        <v>0.91</v>
      </c>
      <c r="O3771">
        <v>2.14</v>
      </c>
      <c r="P3771">
        <v>140.44</v>
      </c>
      <c r="Q3771">
        <v>-2.91</v>
      </c>
      <c r="R3771">
        <v>133.5</v>
      </c>
      <c r="S3771">
        <v>138.33000000000001</v>
      </c>
      <c r="T3771">
        <v>15444</v>
      </c>
      <c r="U3771">
        <v>134.25</v>
      </c>
      <c r="V3771">
        <v>137.5</v>
      </c>
      <c r="W3771">
        <v>40.33</v>
      </c>
      <c r="X3771" t="s">
        <v>2409</v>
      </c>
      <c r="Y3771" t="s">
        <v>547</v>
      </c>
      <c r="Z3771">
        <v>5.05</v>
      </c>
      <c r="AA3771">
        <v>136</v>
      </c>
      <c r="AB3771">
        <v>8439</v>
      </c>
      <c r="AC3771">
        <v>7005</v>
      </c>
      <c r="AD3771">
        <v>1.2</v>
      </c>
      <c r="AE3771">
        <v>6</v>
      </c>
      <c r="AF3771">
        <v>1</v>
      </c>
      <c r="AG3771" t="s">
        <v>120</v>
      </c>
      <c r="AH3771">
        <v>0</v>
      </c>
      <c r="AI3771" t="s">
        <v>120</v>
      </c>
      <c r="AJ3771">
        <v>6.09</v>
      </c>
      <c r="AK3771" t="s">
        <v>15588</v>
      </c>
      <c r="AL3771">
        <v>-1.17</v>
      </c>
      <c r="AM3771">
        <v>2893</v>
      </c>
      <c r="AN3771">
        <v>5</v>
      </c>
      <c r="AO3771">
        <v>1E-4</v>
      </c>
      <c r="AP3771">
        <v>-4</v>
      </c>
      <c r="AQ3771">
        <v>-4.41</v>
      </c>
      <c r="AR3771">
        <v>-8.18</v>
      </c>
      <c r="AS3771">
        <v>-9.98</v>
      </c>
      <c r="AT3771">
        <v>-11.41</v>
      </c>
      <c r="AU3771">
        <v>0.56000000000000005</v>
      </c>
      <c r="AV3771">
        <v>0</v>
      </c>
      <c r="AW3771">
        <v>1</v>
      </c>
      <c r="AX3771">
        <v>25.34</v>
      </c>
      <c r="AY3771">
        <v>32.39</v>
      </c>
      <c r="AZ3771">
        <v>40.61</v>
      </c>
      <c r="BA3771">
        <v>1.17</v>
      </c>
      <c r="BB3771" t="s">
        <v>143</v>
      </c>
      <c r="BF3771">
        <v>-1.0900000000000001</v>
      </c>
      <c r="BG3771">
        <v>-3.09</v>
      </c>
      <c r="BH3771">
        <v>-4.55</v>
      </c>
      <c r="BI3771">
        <v>0.41</v>
      </c>
      <c r="BJ3771">
        <v>20210827</v>
      </c>
      <c r="BK3771">
        <v>20170328</v>
      </c>
      <c r="BL3771">
        <v>6.09</v>
      </c>
      <c r="BM3771" t="s">
        <v>120</v>
      </c>
      <c r="BN3771" t="s">
        <v>120</v>
      </c>
      <c r="BO3771">
        <v>219.83</v>
      </c>
      <c r="BP3771">
        <v>134.05000000000001</v>
      </c>
      <c r="BQ3771">
        <v>124.75</v>
      </c>
      <c r="BR3771">
        <v>0.01</v>
      </c>
      <c r="BS3771">
        <v>43.25</v>
      </c>
      <c r="BT3771">
        <v>108.47</v>
      </c>
      <c r="BU3771">
        <v>60.5</v>
      </c>
      <c r="BV3771">
        <v>14.38</v>
      </c>
      <c r="BW3771">
        <v>86.96</v>
      </c>
      <c r="BX3771">
        <v>71.86</v>
      </c>
      <c r="BY3771">
        <v>10.65</v>
      </c>
      <c r="BZ3771">
        <v>7.79</v>
      </c>
      <c r="CA3771">
        <v>6.62</v>
      </c>
      <c r="CB3771">
        <v>40.71</v>
      </c>
      <c r="CC3771">
        <v>82</v>
      </c>
      <c r="CD3771">
        <v>55.51</v>
      </c>
      <c r="CE3771">
        <v>11.92</v>
      </c>
      <c r="CF3771">
        <v>0.08</v>
      </c>
      <c r="CG3771">
        <v>12.04</v>
      </c>
      <c r="CH3771">
        <v>10.119999999999999</v>
      </c>
      <c r="CI3771">
        <v>10.119999999999999</v>
      </c>
      <c r="CJ3771">
        <v>-3.45</v>
      </c>
      <c r="CK3771">
        <v>9.4499999999999993</v>
      </c>
      <c r="CL3771">
        <v>74.37</v>
      </c>
      <c r="CM3771">
        <v>18.920000000000002</v>
      </c>
      <c r="CN3771">
        <v>26.32</v>
      </c>
      <c r="CO3771">
        <v>12865</v>
      </c>
      <c r="CP3771">
        <v>12000</v>
      </c>
      <c r="CQ3771" t="s">
        <v>15589</v>
      </c>
      <c r="CR3771">
        <v>106.98</v>
      </c>
      <c r="CS3771">
        <v>65.14</v>
      </c>
      <c r="CT3771">
        <v>6.54</v>
      </c>
      <c r="CU3771">
        <v>43.17</v>
      </c>
      <c r="CV3771">
        <v>9.9600000000000009</v>
      </c>
      <c r="CW3771">
        <v>0.87</v>
      </c>
      <c r="CX3771" t="s">
        <v>15590</v>
      </c>
      <c r="CY3771">
        <v>20.51</v>
      </c>
      <c r="CZ3771">
        <v>20.51</v>
      </c>
      <c r="DA3771">
        <v>6.68</v>
      </c>
      <c r="DB3771">
        <v>12.21</v>
      </c>
      <c r="DC3771">
        <v>3.11</v>
      </c>
      <c r="DD3771">
        <v>56.75</v>
      </c>
      <c r="DE3771" t="s">
        <v>6561</v>
      </c>
      <c r="DF3771">
        <v>32.299999999999997</v>
      </c>
      <c r="DG3771">
        <v>14.53</v>
      </c>
      <c r="DH3771">
        <v>12.35</v>
      </c>
      <c r="DI3771">
        <v>3.69</v>
      </c>
      <c r="DJ3771">
        <v>20022</v>
      </c>
      <c r="DK3771">
        <v>603833</v>
      </c>
      <c r="DL3771" t="s">
        <v>120</v>
      </c>
      <c r="DM3771" t="s">
        <v>120</v>
      </c>
      <c r="DN3771" t="s">
        <v>120</v>
      </c>
    </row>
    <row r="3772" spans="1:118">
      <c r="A3772" t="str">
        <f>"603836"</f>
        <v>603836</v>
      </c>
      <c r="B3772" t="s">
        <v>15591</v>
      </c>
      <c r="C3772">
        <v>-3.05</v>
      </c>
      <c r="D3772">
        <v>-0.09</v>
      </c>
      <c r="E3772">
        <v>-0.05</v>
      </c>
      <c r="F3772">
        <v>458</v>
      </c>
      <c r="G3772" t="s">
        <v>6004</v>
      </c>
      <c r="H3772">
        <v>3867.21</v>
      </c>
      <c r="I3772">
        <v>11.61</v>
      </c>
      <c r="J3772" t="s">
        <v>120</v>
      </c>
      <c r="K3772" t="s">
        <v>6004</v>
      </c>
      <c r="L3772">
        <v>3.82</v>
      </c>
      <c r="M3772">
        <v>19.41</v>
      </c>
      <c r="N3772">
        <v>1.03</v>
      </c>
      <c r="O3772">
        <v>0.45</v>
      </c>
      <c r="P3772">
        <v>20.11</v>
      </c>
      <c r="Q3772">
        <v>-3.05</v>
      </c>
      <c r="R3772">
        <v>19.41</v>
      </c>
      <c r="S3772">
        <v>20.010000000000002</v>
      </c>
      <c r="T3772">
        <v>19584</v>
      </c>
      <c r="U3772">
        <v>19.41</v>
      </c>
      <c r="V3772">
        <v>20.02</v>
      </c>
      <c r="W3772">
        <v>12.11</v>
      </c>
      <c r="X3772" t="s">
        <v>2775</v>
      </c>
      <c r="Y3772" t="s">
        <v>638</v>
      </c>
      <c r="Z3772">
        <v>3.5</v>
      </c>
      <c r="AA3772">
        <v>19.75</v>
      </c>
      <c r="AB3772">
        <v>13706</v>
      </c>
      <c r="AC3772">
        <v>5878</v>
      </c>
      <c r="AD3772">
        <v>2.33</v>
      </c>
      <c r="AE3772">
        <v>110</v>
      </c>
      <c r="AF3772">
        <v>12</v>
      </c>
      <c r="AG3772" t="s">
        <v>120</v>
      </c>
      <c r="AH3772">
        <v>0.01</v>
      </c>
      <c r="AI3772" t="s">
        <v>120</v>
      </c>
      <c r="AJ3772">
        <v>0.51</v>
      </c>
      <c r="AK3772" t="s">
        <v>15592</v>
      </c>
      <c r="AL3772">
        <v>-1.7</v>
      </c>
      <c r="AM3772">
        <v>1319</v>
      </c>
      <c r="AN3772">
        <v>15</v>
      </c>
      <c r="AO3772">
        <v>2.8999999999999998E-3</v>
      </c>
      <c r="AP3772">
        <v>-1</v>
      </c>
      <c r="AQ3772">
        <v>0.05</v>
      </c>
      <c r="AR3772">
        <v>-5.87</v>
      </c>
      <c r="AS3772">
        <v>-0.05</v>
      </c>
      <c r="AT3772">
        <v>-14.64</v>
      </c>
      <c r="AU3772">
        <v>15.26</v>
      </c>
      <c r="AV3772">
        <v>0</v>
      </c>
      <c r="AW3772">
        <v>3.82</v>
      </c>
      <c r="AX3772">
        <v>25</v>
      </c>
      <c r="AY3772">
        <v>16.190000000000001</v>
      </c>
      <c r="AZ3772">
        <v>22.18</v>
      </c>
      <c r="BA3772">
        <v>0.85</v>
      </c>
      <c r="BB3772" t="s">
        <v>143</v>
      </c>
      <c r="BF3772">
        <v>-1.36</v>
      </c>
      <c r="BG3772">
        <v>-3</v>
      </c>
      <c r="BH3772">
        <v>-3.48</v>
      </c>
      <c r="BI3772">
        <v>0</v>
      </c>
      <c r="BJ3772">
        <v>20210913</v>
      </c>
      <c r="BK3772">
        <v>20210526</v>
      </c>
      <c r="BL3772">
        <v>2.0499999999999998</v>
      </c>
      <c r="BM3772" t="s">
        <v>120</v>
      </c>
      <c r="BN3772" t="s">
        <v>120</v>
      </c>
      <c r="BO3772">
        <v>34.9</v>
      </c>
      <c r="BP3772">
        <v>19.399999999999999</v>
      </c>
      <c r="BQ3772">
        <v>18.03</v>
      </c>
      <c r="BR3772">
        <v>1.42</v>
      </c>
      <c r="BS3772">
        <v>44.26</v>
      </c>
      <c r="BT3772">
        <v>32.369999999999997</v>
      </c>
      <c r="BU3772">
        <v>0.54</v>
      </c>
      <c r="BV3772">
        <v>0.26</v>
      </c>
      <c r="BW3772">
        <v>15</v>
      </c>
      <c r="BX3772">
        <v>12.69</v>
      </c>
      <c r="BY3772">
        <v>0</v>
      </c>
      <c r="BZ3772">
        <v>17.899999999999999</v>
      </c>
      <c r="CA3772" t="s">
        <v>120</v>
      </c>
      <c r="CB3772">
        <v>10.07</v>
      </c>
      <c r="CC3772">
        <v>47.43</v>
      </c>
      <c r="CD3772">
        <v>41.89</v>
      </c>
      <c r="CE3772">
        <v>3.02</v>
      </c>
      <c r="CF3772">
        <v>0.05</v>
      </c>
      <c r="CG3772">
        <v>3.1</v>
      </c>
      <c r="CH3772">
        <v>2.35</v>
      </c>
      <c r="CI3772">
        <v>1.65</v>
      </c>
      <c r="CJ3772">
        <v>-0.61</v>
      </c>
      <c r="CK3772">
        <v>1.56</v>
      </c>
      <c r="CL3772">
        <v>5.84</v>
      </c>
      <c r="CM3772">
        <v>0.21</v>
      </c>
      <c r="CN3772">
        <v>7.54</v>
      </c>
      <c r="CO3772">
        <v>22973</v>
      </c>
      <c r="CP3772">
        <v>2233</v>
      </c>
      <c r="CQ3772" t="s">
        <v>3950</v>
      </c>
      <c r="CR3772">
        <v>0</v>
      </c>
      <c r="CS3772">
        <v>0</v>
      </c>
      <c r="CT3772">
        <v>2.21</v>
      </c>
      <c r="CU3772">
        <v>185.67</v>
      </c>
      <c r="CV3772">
        <v>0.84</v>
      </c>
      <c r="CW3772">
        <v>0</v>
      </c>
      <c r="CX3772" t="s">
        <v>15593</v>
      </c>
      <c r="CY3772">
        <v>8.7899999999999991</v>
      </c>
      <c r="CZ3772">
        <v>0</v>
      </c>
      <c r="DA3772">
        <v>4.91</v>
      </c>
      <c r="DB3772">
        <v>2.85</v>
      </c>
      <c r="DC3772">
        <v>0.1</v>
      </c>
      <c r="DD3772">
        <v>51.68</v>
      </c>
      <c r="DE3772" t="s">
        <v>10393</v>
      </c>
      <c r="DF3772">
        <v>11.69</v>
      </c>
      <c r="DG3772">
        <v>6.37</v>
      </c>
      <c r="DH3772">
        <v>3.47</v>
      </c>
      <c r="DI3772">
        <v>0.01</v>
      </c>
      <c r="DJ3772">
        <v>2084</v>
      </c>
      <c r="DK3772">
        <v>603836</v>
      </c>
      <c r="DL3772" t="s">
        <v>120</v>
      </c>
      <c r="DM3772" t="s">
        <v>120</v>
      </c>
      <c r="DN3772" t="s">
        <v>120</v>
      </c>
    </row>
    <row r="3773" spans="1:118">
      <c r="A3773" t="str">
        <f>"603838"</f>
        <v>603838</v>
      </c>
      <c r="B3773" t="s">
        <v>15594</v>
      </c>
      <c r="C3773">
        <v>10.050000000000001</v>
      </c>
      <c r="D3773">
        <v>0</v>
      </c>
      <c r="E3773">
        <v>0.22</v>
      </c>
      <c r="F3773">
        <v>466</v>
      </c>
      <c r="G3773" t="s">
        <v>6268</v>
      </c>
      <c r="H3773">
        <v>11439.39</v>
      </c>
      <c r="I3773">
        <v>22.93</v>
      </c>
      <c r="J3773">
        <v>579.63</v>
      </c>
      <c r="K3773" t="s">
        <v>607</v>
      </c>
      <c r="L3773">
        <v>4.0199999999999996</v>
      </c>
      <c r="M3773">
        <v>10.07</v>
      </c>
      <c r="N3773">
        <v>1.1100000000000001</v>
      </c>
      <c r="O3773">
        <v>10.050000000000001</v>
      </c>
      <c r="P3773">
        <v>10.07</v>
      </c>
      <c r="Q3773">
        <v>-0.11</v>
      </c>
      <c r="R3773">
        <v>9.14</v>
      </c>
      <c r="S3773">
        <v>9.17</v>
      </c>
      <c r="T3773">
        <v>114450</v>
      </c>
      <c r="U3773" t="s">
        <v>120</v>
      </c>
      <c r="V3773">
        <v>9.15</v>
      </c>
      <c r="W3773">
        <v>52.19</v>
      </c>
      <c r="X3773" t="s">
        <v>3653</v>
      </c>
      <c r="Y3773" t="s">
        <v>547</v>
      </c>
      <c r="Z3773">
        <v>10.16</v>
      </c>
      <c r="AA3773">
        <v>10</v>
      </c>
      <c r="AB3773">
        <v>91333</v>
      </c>
      <c r="AC3773">
        <v>23117</v>
      </c>
      <c r="AD3773">
        <v>3.95</v>
      </c>
      <c r="AE3773">
        <v>5756</v>
      </c>
      <c r="AF3773">
        <v>0</v>
      </c>
      <c r="AG3773" t="s">
        <v>120</v>
      </c>
      <c r="AH3773">
        <v>0.02</v>
      </c>
      <c r="AI3773">
        <v>0.05</v>
      </c>
      <c r="AJ3773">
        <v>2.85</v>
      </c>
      <c r="AK3773" t="s">
        <v>10723</v>
      </c>
      <c r="AL3773">
        <v>11.4</v>
      </c>
      <c r="AM3773">
        <v>1658</v>
      </c>
      <c r="AN3773">
        <v>69</v>
      </c>
      <c r="AO3773">
        <v>2.3999999999999998E-3</v>
      </c>
      <c r="AP3773">
        <v>1</v>
      </c>
      <c r="AQ3773">
        <v>-0.11</v>
      </c>
      <c r="AR3773">
        <v>6.56</v>
      </c>
      <c r="AS3773">
        <v>45.31</v>
      </c>
      <c r="AT3773">
        <v>56.61</v>
      </c>
      <c r="AU3773">
        <v>44.69</v>
      </c>
      <c r="AV3773">
        <v>5</v>
      </c>
      <c r="AW3773">
        <v>9.6199999999999992</v>
      </c>
      <c r="AX3773">
        <v>37.159999999999997</v>
      </c>
      <c r="AY3773">
        <v>110.56</v>
      </c>
      <c r="AZ3773" t="s">
        <v>120</v>
      </c>
      <c r="BA3773">
        <v>0.8</v>
      </c>
      <c r="BB3773" t="s">
        <v>143</v>
      </c>
      <c r="BF3773">
        <v>9.24</v>
      </c>
      <c r="BG3773">
        <v>9.81</v>
      </c>
      <c r="BH3773">
        <v>0</v>
      </c>
      <c r="BI3773">
        <v>10.18</v>
      </c>
      <c r="BJ3773">
        <v>20210813</v>
      </c>
      <c r="BK3773">
        <v>20150701</v>
      </c>
      <c r="BL3773">
        <v>3.2</v>
      </c>
      <c r="BM3773" t="s">
        <v>120</v>
      </c>
      <c r="BN3773" t="s">
        <v>120</v>
      </c>
      <c r="BO3773">
        <v>12.11</v>
      </c>
      <c r="BP3773">
        <v>10.07</v>
      </c>
      <c r="BQ3773">
        <v>10.83</v>
      </c>
      <c r="BR3773" t="s">
        <v>120</v>
      </c>
      <c r="BS3773">
        <v>10.6</v>
      </c>
      <c r="BT3773">
        <v>7.36</v>
      </c>
      <c r="BU3773">
        <v>3.08</v>
      </c>
      <c r="BV3773">
        <v>0.77</v>
      </c>
      <c r="BW3773">
        <v>0.33</v>
      </c>
      <c r="BX3773">
        <v>2.09</v>
      </c>
      <c r="BY3773">
        <v>1.41</v>
      </c>
      <c r="BZ3773">
        <v>0.93</v>
      </c>
      <c r="CA3773" t="s">
        <v>120</v>
      </c>
      <c r="CB3773">
        <v>4.1399999999999997</v>
      </c>
      <c r="CC3773">
        <v>1.95</v>
      </c>
      <c r="CD3773">
        <v>1.53</v>
      </c>
      <c r="CE3773">
        <v>0.35</v>
      </c>
      <c r="CF3773">
        <v>0.31</v>
      </c>
      <c r="CG3773">
        <v>0.35</v>
      </c>
      <c r="CH3773">
        <v>0.31</v>
      </c>
      <c r="CI3773">
        <v>0.31</v>
      </c>
      <c r="CJ3773">
        <v>0.92</v>
      </c>
      <c r="CK3773">
        <v>0.02</v>
      </c>
      <c r="CL3773">
        <v>3.11</v>
      </c>
      <c r="CM3773">
        <v>0.38</v>
      </c>
      <c r="CN3773">
        <v>1.31</v>
      </c>
      <c r="CO3773">
        <v>12989</v>
      </c>
      <c r="CP3773">
        <v>9155</v>
      </c>
      <c r="CQ3773" t="s">
        <v>10246</v>
      </c>
      <c r="CR3773">
        <v>6416.47</v>
      </c>
      <c r="CS3773">
        <v>78.97</v>
      </c>
      <c r="CT3773">
        <v>2.98</v>
      </c>
      <c r="CU3773">
        <v>83.95</v>
      </c>
      <c r="CV3773">
        <v>16.53</v>
      </c>
      <c r="CW3773">
        <v>0.22</v>
      </c>
      <c r="CX3773" t="s">
        <v>7777</v>
      </c>
      <c r="CY3773">
        <v>3.38</v>
      </c>
      <c r="CZ3773">
        <v>0</v>
      </c>
      <c r="DA3773">
        <v>1.29</v>
      </c>
      <c r="DB3773">
        <v>0.97</v>
      </c>
      <c r="DC3773">
        <v>0.12</v>
      </c>
      <c r="DD3773">
        <v>89.4</v>
      </c>
      <c r="DE3773" t="s">
        <v>1113</v>
      </c>
      <c r="DF3773">
        <v>21.65</v>
      </c>
      <c r="DG3773">
        <v>17.96</v>
      </c>
      <c r="DH3773">
        <v>15.83</v>
      </c>
      <c r="DI3773">
        <v>7.0000000000000007E-2</v>
      </c>
      <c r="DJ3773">
        <v>1480</v>
      </c>
      <c r="DK3773">
        <v>603838</v>
      </c>
      <c r="DL3773">
        <v>20210902</v>
      </c>
      <c r="DM3773">
        <v>9.16</v>
      </c>
      <c r="DN3773">
        <v>9.93</v>
      </c>
    </row>
    <row r="3774" spans="1:118">
      <c r="A3774" t="str">
        <f>"603839"</f>
        <v>603839</v>
      </c>
      <c r="B3774" t="s">
        <v>15595</v>
      </c>
      <c r="C3774">
        <v>-0.24</v>
      </c>
      <c r="D3774">
        <v>0</v>
      </c>
      <c r="E3774">
        <v>0.12</v>
      </c>
      <c r="F3774">
        <v>140</v>
      </c>
      <c r="G3774" t="s">
        <v>15596</v>
      </c>
      <c r="H3774">
        <v>1230.8900000000001</v>
      </c>
      <c r="I3774">
        <v>3.48</v>
      </c>
      <c r="J3774" t="s">
        <v>120</v>
      </c>
      <c r="K3774" t="s">
        <v>5964</v>
      </c>
      <c r="L3774">
        <v>0.37</v>
      </c>
      <c r="M3774">
        <v>8.26</v>
      </c>
      <c r="N3774">
        <v>0.78</v>
      </c>
      <c r="O3774">
        <v>1.45</v>
      </c>
      <c r="P3774">
        <v>8.4</v>
      </c>
      <c r="Q3774">
        <v>-0.36</v>
      </c>
      <c r="R3774">
        <v>8.25</v>
      </c>
      <c r="S3774">
        <v>8.2899999999999991</v>
      </c>
      <c r="T3774">
        <v>14815</v>
      </c>
      <c r="U3774">
        <v>8.27</v>
      </c>
      <c r="V3774">
        <v>8.2799999999999994</v>
      </c>
      <c r="W3774">
        <v>20.59</v>
      </c>
      <c r="X3774" t="s">
        <v>2806</v>
      </c>
      <c r="Y3774" t="s">
        <v>585</v>
      </c>
      <c r="Z3774">
        <v>1.81</v>
      </c>
      <c r="AA3774">
        <v>8.31</v>
      </c>
      <c r="AB3774">
        <v>7640</v>
      </c>
      <c r="AC3774">
        <v>7175</v>
      </c>
      <c r="AD3774">
        <v>1.06</v>
      </c>
      <c r="AE3774">
        <v>56</v>
      </c>
      <c r="AF3774">
        <v>291</v>
      </c>
      <c r="AG3774" t="s">
        <v>120</v>
      </c>
      <c r="AH3774">
        <v>0</v>
      </c>
      <c r="AI3774" t="s">
        <v>120</v>
      </c>
      <c r="AJ3774">
        <v>4</v>
      </c>
      <c r="AK3774" t="s">
        <v>5964</v>
      </c>
      <c r="AL3774">
        <v>1.1000000000000001</v>
      </c>
      <c r="AM3774">
        <v>779</v>
      </c>
      <c r="AN3774">
        <v>19</v>
      </c>
      <c r="AO3774">
        <v>5.0000000000000001E-4</v>
      </c>
      <c r="AP3774">
        <v>-3</v>
      </c>
      <c r="AQ3774">
        <v>-0.72</v>
      </c>
      <c r="AR3774">
        <v>-2.59</v>
      </c>
      <c r="AS3774">
        <v>-9.5299999999999994</v>
      </c>
      <c r="AT3774">
        <v>-12.96</v>
      </c>
      <c r="AU3774">
        <v>-13.14</v>
      </c>
      <c r="AV3774">
        <v>6</v>
      </c>
      <c r="AW3774">
        <v>1.42</v>
      </c>
      <c r="AX3774">
        <v>26.07</v>
      </c>
      <c r="AY3774">
        <v>17.600000000000001</v>
      </c>
      <c r="AZ3774">
        <v>16.77</v>
      </c>
      <c r="BA3774">
        <v>0.46</v>
      </c>
      <c r="BB3774" t="s">
        <v>134</v>
      </c>
      <c r="BF3774">
        <v>0.34</v>
      </c>
      <c r="BG3774">
        <v>-0.36</v>
      </c>
      <c r="BH3774">
        <v>-1.67</v>
      </c>
      <c r="BI3774">
        <v>0.12</v>
      </c>
      <c r="BJ3774">
        <v>20210825</v>
      </c>
      <c r="BK3774">
        <v>20170214</v>
      </c>
      <c r="BL3774">
        <v>4</v>
      </c>
      <c r="BM3774" t="s">
        <v>120</v>
      </c>
      <c r="BN3774" t="s">
        <v>120</v>
      </c>
      <c r="BO3774">
        <v>42.81</v>
      </c>
      <c r="BP3774">
        <v>8.26</v>
      </c>
      <c r="BQ3774">
        <v>26.76</v>
      </c>
      <c r="BR3774">
        <v>2.73</v>
      </c>
      <c r="BS3774">
        <v>31.1</v>
      </c>
      <c r="BT3774">
        <v>25.06</v>
      </c>
      <c r="BU3774">
        <v>4.97</v>
      </c>
      <c r="BV3774">
        <v>0.7</v>
      </c>
      <c r="BW3774">
        <v>12.13</v>
      </c>
      <c r="BX3774">
        <v>6.7</v>
      </c>
      <c r="BY3774">
        <v>11.87</v>
      </c>
      <c r="BZ3774">
        <v>2.89</v>
      </c>
      <c r="CA3774" t="s">
        <v>120</v>
      </c>
      <c r="CB3774">
        <v>9.58</v>
      </c>
      <c r="CC3774">
        <v>15.39</v>
      </c>
      <c r="CD3774">
        <v>7.78</v>
      </c>
      <c r="CE3774">
        <v>1.06</v>
      </c>
      <c r="CF3774">
        <v>0.18</v>
      </c>
      <c r="CG3774">
        <v>1.07</v>
      </c>
      <c r="CH3774">
        <v>0.89</v>
      </c>
      <c r="CI3774">
        <v>0.8</v>
      </c>
      <c r="CJ3774">
        <v>-0.02</v>
      </c>
      <c r="CK3774">
        <v>0.7</v>
      </c>
      <c r="CL3774">
        <v>12.32</v>
      </c>
      <c r="CM3774">
        <v>1.5</v>
      </c>
      <c r="CN3774">
        <v>-1.7</v>
      </c>
      <c r="CO3774">
        <v>19680</v>
      </c>
      <c r="CP3774">
        <v>5299</v>
      </c>
      <c r="CQ3774" t="s">
        <v>4492</v>
      </c>
      <c r="CR3774">
        <v>-10.38</v>
      </c>
      <c r="CS3774">
        <v>22.45</v>
      </c>
      <c r="CT3774">
        <v>1.23</v>
      </c>
      <c r="CU3774">
        <v>22.04</v>
      </c>
      <c r="CV3774">
        <v>2.15</v>
      </c>
      <c r="CW3774">
        <v>4.13</v>
      </c>
      <c r="CX3774" t="s">
        <v>2097</v>
      </c>
      <c r="CY3774">
        <v>6.69</v>
      </c>
      <c r="CZ3774">
        <v>0</v>
      </c>
      <c r="DA3774">
        <v>2.39</v>
      </c>
      <c r="DB3774">
        <v>3.08</v>
      </c>
      <c r="DC3774">
        <v>0.37</v>
      </c>
      <c r="DD3774">
        <v>62.52</v>
      </c>
      <c r="DE3774" t="s">
        <v>2643</v>
      </c>
      <c r="DF3774">
        <v>49.45</v>
      </c>
      <c r="DG3774">
        <v>6.88</v>
      </c>
      <c r="DH3774">
        <v>5.21</v>
      </c>
      <c r="DI3774">
        <v>0.38</v>
      </c>
      <c r="DJ3774">
        <v>4790</v>
      </c>
      <c r="DK3774">
        <v>603839</v>
      </c>
      <c r="DL3774" t="s">
        <v>120</v>
      </c>
      <c r="DM3774" t="s">
        <v>120</v>
      </c>
      <c r="DN3774" t="s">
        <v>120</v>
      </c>
    </row>
    <row r="3775" spans="1:118">
      <c r="A3775" t="str">
        <f>"603843"</f>
        <v>603843</v>
      </c>
      <c r="B3775" t="s">
        <v>15597</v>
      </c>
      <c r="C3775">
        <v>5.66</v>
      </c>
      <c r="D3775">
        <v>-0.91</v>
      </c>
      <c r="E3775">
        <v>-2.34</v>
      </c>
      <c r="F3775">
        <v>8193</v>
      </c>
      <c r="G3775" t="s">
        <v>15598</v>
      </c>
      <c r="H3775">
        <v>32359.38</v>
      </c>
      <c r="I3775">
        <v>343</v>
      </c>
      <c r="J3775" t="s">
        <v>120</v>
      </c>
      <c r="K3775" t="s">
        <v>9079</v>
      </c>
      <c r="L3775">
        <v>10.85</v>
      </c>
      <c r="M3775">
        <v>5.41</v>
      </c>
      <c r="N3775">
        <v>1.92</v>
      </c>
      <c r="O3775">
        <v>9.9600000000000009</v>
      </c>
      <c r="P3775">
        <v>5.63</v>
      </c>
      <c r="Q3775">
        <v>-4.3</v>
      </c>
      <c r="R3775">
        <v>4.9000000000000004</v>
      </c>
      <c r="S3775">
        <v>5</v>
      </c>
      <c r="T3775">
        <v>607363</v>
      </c>
      <c r="U3775">
        <v>5.42</v>
      </c>
      <c r="V3775">
        <v>5.12</v>
      </c>
      <c r="W3775">
        <v>43.82</v>
      </c>
      <c r="X3775" t="s">
        <v>175</v>
      </c>
      <c r="Y3775" t="s">
        <v>691</v>
      </c>
      <c r="Z3775">
        <v>14.26</v>
      </c>
      <c r="AA3775">
        <v>5.33</v>
      </c>
      <c r="AB3775">
        <v>269892</v>
      </c>
      <c r="AC3775">
        <v>337471</v>
      </c>
      <c r="AD3775">
        <v>0.8</v>
      </c>
      <c r="AE3775">
        <v>2497</v>
      </c>
      <c r="AF3775">
        <v>70</v>
      </c>
      <c r="AG3775" t="s">
        <v>120</v>
      </c>
      <c r="AH3775">
        <v>0.27</v>
      </c>
      <c r="AI3775" t="s">
        <v>120</v>
      </c>
      <c r="AJ3775">
        <v>5.6</v>
      </c>
      <c r="AK3775" t="s">
        <v>11743</v>
      </c>
      <c r="AL3775">
        <v>7.01</v>
      </c>
      <c r="AM3775">
        <v>3998</v>
      </c>
      <c r="AN3775">
        <v>152</v>
      </c>
      <c r="AO3775">
        <v>2.7000000000000001E-3</v>
      </c>
      <c r="AP3775">
        <v>9</v>
      </c>
      <c r="AQ3775">
        <v>8.94</v>
      </c>
      <c r="AR3775">
        <v>19.16</v>
      </c>
      <c r="AS3775">
        <v>42.74</v>
      </c>
      <c r="AT3775">
        <v>29.73</v>
      </c>
      <c r="AU3775">
        <v>42.74</v>
      </c>
      <c r="AV3775">
        <v>5</v>
      </c>
      <c r="AW3775">
        <v>24.25</v>
      </c>
      <c r="AX3775">
        <v>35.799999999999997</v>
      </c>
      <c r="AY3775">
        <v>32.25</v>
      </c>
      <c r="AZ3775">
        <v>32.47</v>
      </c>
      <c r="BA3775">
        <v>0.65</v>
      </c>
      <c r="BB3775" t="s">
        <v>168</v>
      </c>
      <c r="BF3775">
        <v>4.0599999999999996</v>
      </c>
      <c r="BG3775">
        <v>8.1999999999999993</v>
      </c>
      <c r="BH3775">
        <v>-3.91</v>
      </c>
      <c r="BI3775">
        <v>10.41</v>
      </c>
      <c r="BJ3775">
        <v>20210827</v>
      </c>
      <c r="BK3775">
        <v>20160905</v>
      </c>
      <c r="BL3775">
        <v>7</v>
      </c>
      <c r="BM3775" t="s">
        <v>120</v>
      </c>
      <c r="BN3775" t="s">
        <v>120</v>
      </c>
      <c r="BO3775">
        <v>77.34</v>
      </c>
      <c r="BP3775">
        <v>5.41</v>
      </c>
      <c r="BQ3775">
        <v>15.38</v>
      </c>
      <c r="BR3775">
        <v>2.92</v>
      </c>
      <c r="BS3775">
        <v>76.34</v>
      </c>
      <c r="BT3775">
        <v>57.41</v>
      </c>
      <c r="BU3775">
        <v>5.48</v>
      </c>
      <c r="BV3775">
        <v>2.59</v>
      </c>
      <c r="BW3775">
        <v>53.37</v>
      </c>
      <c r="BX3775">
        <v>6.27</v>
      </c>
      <c r="BY3775">
        <v>0.93</v>
      </c>
      <c r="BZ3775">
        <v>5.28</v>
      </c>
      <c r="CA3775">
        <v>0.37</v>
      </c>
      <c r="CB3775">
        <v>2.29</v>
      </c>
      <c r="CC3775">
        <v>18.260000000000002</v>
      </c>
      <c r="CD3775">
        <v>16.559999999999999</v>
      </c>
      <c r="CE3775">
        <v>0.57999999999999996</v>
      </c>
      <c r="CF3775">
        <v>0</v>
      </c>
      <c r="CG3775">
        <v>0.57999999999999996</v>
      </c>
      <c r="CH3775">
        <v>0.45</v>
      </c>
      <c r="CI3775">
        <v>0.43</v>
      </c>
      <c r="CJ3775">
        <v>0.28999999999999998</v>
      </c>
      <c r="CK3775">
        <v>0.42</v>
      </c>
      <c r="CL3775">
        <v>5.92</v>
      </c>
      <c r="CM3775">
        <v>-4.38</v>
      </c>
      <c r="CN3775">
        <v>-1.75</v>
      </c>
      <c r="CO3775">
        <v>27048</v>
      </c>
      <c r="CP3775">
        <v>9261</v>
      </c>
      <c r="CQ3775" t="s">
        <v>11419</v>
      </c>
      <c r="CR3775">
        <v>1.76</v>
      </c>
      <c r="CS3775">
        <v>-5.99</v>
      </c>
      <c r="CT3775">
        <v>1.97</v>
      </c>
      <c r="CU3775">
        <v>-8.64</v>
      </c>
      <c r="CV3775">
        <v>2.0699999999999998</v>
      </c>
      <c r="CW3775">
        <v>0.47</v>
      </c>
      <c r="CX3775" t="s">
        <v>535</v>
      </c>
      <c r="CY3775">
        <v>2.75</v>
      </c>
      <c r="CZ3775">
        <v>2.75</v>
      </c>
      <c r="DA3775">
        <v>0.33</v>
      </c>
      <c r="DB3775">
        <v>0.85</v>
      </c>
      <c r="DC3775">
        <v>-0.63</v>
      </c>
      <c r="DD3775">
        <v>19.88</v>
      </c>
      <c r="DE3775" t="s">
        <v>3586</v>
      </c>
      <c r="DF3775">
        <v>9.31</v>
      </c>
      <c r="DG3775">
        <v>3.16</v>
      </c>
      <c r="DH3775">
        <v>2.36</v>
      </c>
      <c r="DI3775">
        <v>0.01</v>
      </c>
      <c r="DJ3775">
        <v>1586</v>
      </c>
      <c r="DK3775">
        <v>603843</v>
      </c>
      <c r="DL3775" t="s">
        <v>120</v>
      </c>
      <c r="DM3775" t="s">
        <v>120</v>
      </c>
      <c r="DN3775" t="s">
        <v>120</v>
      </c>
    </row>
    <row r="3776" spans="1:118">
      <c r="A3776" t="str">
        <f>"603848"</f>
        <v>603848</v>
      </c>
      <c r="B3776" t="s">
        <v>15599</v>
      </c>
      <c r="C3776">
        <v>-0.39</v>
      </c>
      <c r="D3776">
        <v>0</v>
      </c>
      <c r="E3776">
        <v>0</v>
      </c>
      <c r="F3776">
        <v>190</v>
      </c>
      <c r="G3776" t="s">
        <v>7293</v>
      </c>
      <c r="H3776">
        <v>1042.9100000000001</v>
      </c>
      <c r="I3776">
        <v>0.52</v>
      </c>
      <c r="J3776" t="s">
        <v>120</v>
      </c>
      <c r="K3776" t="s">
        <v>15600</v>
      </c>
      <c r="L3776">
        <v>0.2</v>
      </c>
      <c r="M3776">
        <v>12.88</v>
      </c>
      <c r="N3776">
        <v>0.67</v>
      </c>
      <c r="O3776">
        <v>1.86</v>
      </c>
      <c r="P3776">
        <v>13.17</v>
      </c>
      <c r="Q3776">
        <v>-0.46</v>
      </c>
      <c r="R3776">
        <v>12.87</v>
      </c>
      <c r="S3776">
        <v>12.93</v>
      </c>
      <c r="T3776">
        <v>8034</v>
      </c>
      <c r="U3776">
        <v>12.89</v>
      </c>
      <c r="V3776">
        <v>12.93</v>
      </c>
      <c r="W3776">
        <v>20.22</v>
      </c>
      <c r="X3776" t="s">
        <v>2409</v>
      </c>
      <c r="Y3776" t="s">
        <v>547</v>
      </c>
      <c r="Z3776">
        <v>2.3199999999999998</v>
      </c>
      <c r="AA3776">
        <v>12.98</v>
      </c>
      <c r="AB3776">
        <v>4510</v>
      </c>
      <c r="AC3776">
        <v>3524</v>
      </c>
      <c r="AD3776">
        <v>1.28</v>
      </c>
      <c r="AE3776">
        <v>220</v>
      </c>
      <c r="AF3776">
        <v>25</v>
      </c>
      <c r="AG3776" t="s">
        <v>120</v>
      </c>
      <c r="AH3776">
        <v>0</v>
      </c>
      <c r="AI3776" t="s">
        <v>120</v>
      </c>
      <c r="AJ3776">
        <v>4.01</v>
      </c>
      <c r="AK3776" t="s">
        <v>15600</v>
      </c>
      <c r="AL3776">
        <v>0.96</v>
      </c>
      <c r="AM3776">
        <v>778</v>
      </c>
      <c r="AN3776">
        <v>10</v>
      </c>
      <c r="AO3776">
        <v>2.9999999999999997E-4</v>
      </c>
      <c r="AP3776">
        <v>-3</v>
      </c>
      <c r="AQ3776">
        <v>-1</v>
      </c>
      <c r="AR3776">
        <v>-2.4300000000000002</v>
      </c>
      <c r="AS3776">
        <v>-0.08</v>
      </c>
      <c r="AT3776">
        <v>0.78</v>
      </c>
      <c r="AU3776">
        <v>4.63</v>
      </c>
      <c r="AV3776">
        <v>1</v>
      </c>
      <c r="AW3776">
        <v>1.65</v>
      </c>
      <c r="AX3776">
        <v>12.12</v>
      </c>
      <c r="AY3776">
        <v>16.55</v>
      </c>
      <c r="AZ3776">
        <v>19.510000000000002</v>
      </c>
      <c r="BA3776">
        <v>0.62</v>
      </c>
      <c r="BB3776" t="s">
        <v>143</v>
      </c>
      <c r="BF3776">
        <v>0.4</v>
      </c>
      <c r="BG3776">
        <v>-0.39</v>
      </c>
      <c r="BH3776">
        <v>-2.2000000000000002</v>
      </c>
      <c r="BI3776">
        <v>0.08</v>
      </c>
      <c r="BJ3776">
        <v>20210821</v>
      </c>
      <c r="BK3776">
        <v>20171201</v>
      </c>
      <c r="BL3776">
        <v>4.01</v>
      </c>
      <c r="BM3776" t="s">
        <v>120</v>
      </c>
      <c r="BN3776" t="s">
        <v>120</v>
      </c>
      <c r="BO3776">
        <v>21.58</v>
      </c>
      <c r="BP3776">
        <v>12.88</v>
      </c>
      <c r="BQ3776">
        <v>16.86</v>
      </c>
      <c r="BR3776">
        <v>0.09</v>
      </c>
      <c r="BS3776">
        <v>21.43</v>
      </c>
      <c r="BT3776">
        <v>13.85</v>
      </c>
      <c r="BU3776">
        <v>0.51</v>
      </c>
      <c r="BV3776">
        <v>1.05</v>
      </c>
      <c r="BW3776">
        <v>4.57</v>
      </c>
      <c r="BX3776">
        <v>1.53</v>
      </c>
      <c r="BY3776">
        <v>1.37</v>
      </c>
      <c r="BZ3776">
        <v>1.1100000000000001</v>
      </c>
      <c r="CA3776" t="s">
        <v>120</v>
      </c>
      <c r="CB3776">
        <v>3.38</v>
      </c>
      <c r="CC3776">
        <v>5.79</v>
      </c>
      <c r="CD3776">
        <v>3.17</v>
      </c>
      <c r="CE3776">
        <v>1.52</v>
      </c>
      <c r="CF3776">
        <v>0.2</v>
      </c>
      <c r="CG3776">
        <v>1.52</v>
      </c>
      <c r="CH3776">
        <v>1.3</v>
      </c>
      <c r="CI3776">
        <v>1.28</v>
      </c>
      <c r="CJ3776">
        <v>-0.05</v>
      </c>
      <c r="CK3776">
        <v>1.06</v>
      </c>
      <c r="CL3776">
        <v>8.0399999999999991</v>
      </c>
      <c r="CM3776">
        <v>0.83</v>
      </c>
      <c r="CN3776">
        <v>0.73</v>
      </c>
      <c r="CO3776">
        <v>8991</v>
      </c>
      <c r="CP3776">
        <v>5406</v>
      </c>
      <c r="CQ3776" t="s">
        <v>5355</v>
      </c>
      <c r="CR3776">
        <v>59.3</v>
      </c>
      <c r="CS3776">
        <v>55.12</v>
      </c>
      <c r="CT3776">
        <v>3.06</v>
      </c>
      <c r="CU3776">
        <v>62.55</v>
      </c>
      <c r="CV3776">
        <v>8.92</v>
      </c>
      <c r="CW3776">
        <v>1.93</v>
      </c>
      <c r="CX3776" t="s">
        <v>966</v>
      </c>
      <c r="CY3776">
        <v>4.21</v>
      </c>
      <c r="CZ3776">
        <v>0</v>
      </c>
      <c r="DA3776">
        <v>0.84</v>
      </c>
      <c r="DB3776">
        <v>2</v>
      </c>
      <c r="DC3776">
        <v>0.21</v>
      </c>
      <c r="DD3776">
        <v>78.14</v>
      </c>
      <c r="DE3776" t="s">
        <v>8580</v>
      </c>
      <c r="DF3776">
        <v>45.21</v>
      </c>
      <c r="DG3776">
        <v>26.23</v>
      </c>
      <c r="DH3776">
        <v>22.06</v>
      </c>
      <c r="DI3776">
        <v>0.17</v>
      </c>
      <c r="DJ3776">
        <v>1264</v>
      </c>
      <c r="DK3776">
        <v>603848</v>
      </c>
      <c r="DL3776" t="s">
        <v>120</v>
      </c>
      <c r="DM3776" t="s">
        <v>120</v>
      </c>
      <c r="DN3776" t="s">
        <v>120</v>
      </c>
    </row>
    <row r="3777" spans="1:118">
      <c r="A3777" t="str">
        <f>"603855"</f>
        <v>603855</v>
      </c>
      <c r="B3777" t="s">
        <v>15601</v>
      </c>
      <c r="C3777">
        <v>-0.66</v>
      </c>
      <c r="D3777">
        <v>-0.08</v>
      </c>
      <c r="E3777">
        <v>-0.09</v>
      </c>
      <c r="F3777">
        <v>308</v>
      </c>
      <c r="G3777" t="s">
        <v>2047</v>
      </c>
      <c r="H3777">
        <v>6716.23</v>
      </c>
      <c r="I3777">
        <v>21.7</v>
      </c>
      <c r="J3777" t="s">
        <v>120</v>
      </c>
      <c r="K3777" t="s">
        <v>8755</v>
      </c>
      <c r="L3777">
        <v>0.9</v>
      </c>
      <c r="M3777">
        <v>22.47</v>
      </c>
      <c r="N3777">
        <v>0.53</v>
      </c>
      <c r="O3777">
        <v>1.24</v>
      </c>
      <c r="P3777">
        <v>22.9</v>
      </c>
      <c r="Q3777">
        <v>-1.99</v>
      </c>
      <c r="R3777">
        <v>22.17</v>
      </c>
      <c r="S3777">
        <v>22.6</v>
      </c>
      <c r="T3777">
        <v>29879</v>
      </c>
      <c r="U3777">
        <v>22.47</v>
      </c>
      <c r="V3777">
        <v>22.62</v>
      </c>
      <c r="W3777">
        <v>22.21</v>
      </c>
      <c r="X3777" t="s">
        <v>675</v>
      </c>
      <c r="Y3777" t="s">
        <v>1510</v>
      </c>
      <c r="Z3777">
        <v>3.23</v>
      </c>
      <c r="AA3777">
        <v>22.48</v>
      </c>
      <c r="AB3777">
        <v>16434</v>
      </c>
      <c r="AC3777">
        <v>13445</v>
      </c>
      <c r="AD3777">
        <v>1.22</v>
      </c>
      <c r="AE3777">
        <v>28</v>
      </c>
      <c r="AF3777">
        <v>6</v>
      </c>
      <c r="AG3777" t="s">
        <v>120</v>
      </c>
      <c r="AH3777">
        <v>0.01</v>
      </c>
      <c r="AI3777" t="s">
        <v>120</v>
      </c>
      <c r="AJ3777">
        <v>3.34</v>
      </c>
      <c r="AK3777" t="s">
        <v>10482</v>
      </c>
      <c r="AL3777">
        <v>0.68</v>
      </c>
      <c r="AM3777">
        <v>1986</v>
      </c>
      <c r="AN3777">
        <v>15</v>
      </c>
      <c r="AO3777">
        <v>5.0000000000000001E-4</v>
      </c>
      <c r="AP3777">
        <v>-1</v>
      </c>
      <c r="AQ3777">
        <v>2.77</v>
      </c>
      <c r="AR3777">
        <v>5.44</v>
      </c>
      <c r="AS3777">
        <v>2.33</v>
      </c>
      <c r="AT3777">
        <v>33.909999999999997</v>
      </c>
      <c r="AU3777">
        <v>43.67</v>
      </c>
      <c r="AV3777">
        <v>3</v>
      </c>
      <c r="AW3777">
        <v>1.99</v>
      </c>
      <c r="AX3777">
        <v>44.5</v>
      </c>
      <c r="AY3777">
        <v>24.67</v>
      </c>
      <c r="AZ3777">
        <v>29.3</v>
      </c>
      <c r="BA3777">
        <v>1</v>
      </c>
      <c r="BB3777" t="s">
        <v>143</v>
      </c>
      <c r="BF3777">
        <v>-0.63</v>
      </c>
      <c r="BG3777">
        <v>-0.57999999999999996</v>
      </c>
      <c r="BH3777">
        <v>-1.88</v>
      </c>
      <c r="BI3777">
        <v>1.35</v>
      </c>
      <c r="BJ3777">
        <v>20210827</v>
      </c>
      <c r="BK3777">
        <v>20170524</v>
      </c>
      <c r="BL3777">
        <v>3.38</v>
      </c>
      <c r="BM3777" t="s">
        <v>120</v>
      </c>
      <c r="BN3777" t="s">
        <v>120</v>
      </c>
      <c r="BO3777">
        <v>34.340000000000003</v>
      </c>
      <c r="BP3777">
        <v>22.46</v>
      </c>
      <c r="BQ3777">
        <v>15.45</v>
      </c>
      <c r="BR3777">
        <v>0.32</v>
      </c>
      <c r="BS3777">
        <v>54.07</v>
      </c>
      <c r="BT3777">
        <v>27.22</v>
      </c>
      <c r="BU3777">
        <v>2.98</v>
      </c>
      <c r="BV3777">
        <v>0.86</v>
      </c>
      <c r="BW3777">
        <v>18.29</v>
      </c>
      <c r="BX3777">
        <v>4.9800000000000004</v>
      </c>
      <c r="BY3777">
        <v>5.91</v>
      </c>
      <c r="BZ3777">
        <v>10.45</v>
      </c>
      <c r="CA3777" t="s">
        <v>120</v>
      </c>
      <c r="CB3777">
        <v>7.29</v>
      </c>
      <c r="CC3777">
        <v>11.96</v>
      </c>
      <c r="CD3777">
        <v>5.88</v>
      </c>
      <c r="CE3777">
        <v>1.97</v>
      </c>
      <c r="CF3777">
        <v>0</v>
      </c>
      <c r="CG3777">
        <v>2.0299999999999998</v>
      </c>
      <c r="CH3777">
        <v>1.73</v>
      </c>
      <c r="CI3777">
        <v>1.71</v>
      </c>
      <c r="CJ3777">
        <v>-0.15</v>
      </c>
      <c r="CK3777">
        <v>1.55</v>
      </c>
      <c r="CL3777">
        <v>4.54</v>
      </c>
      <c r="CM3777">
        <v>1.89</v>
      </c>
      <c r="CN3777">
        <v>-1.85</v>
      </c>
      <c r="CO3777">
        <v>9842</v>
      </c>
      <c r="CP3777">
        <v>15267</v>
      </c>
      <c r="CQ3777" t="s">
        <v>15602</v>
      </c>
      <c r="CR3777">
        <v>40.15</v>
      </c>
      <c r="CS3777">
        <v>35.479999999999997</v>
      </c>
      <c r="CT3777">
        <v>4.91</v>
      </c>
      <c r="CU3777">
        <v>40.22</v>
      </c>
      <c r="CV3777">
        <v>6.34</v>
      </c>
      <c r="CW3777">
        <v>2.17</v>
      </c>
      <c r="CX3777" t="s">
        <v>1001</v>
      </c>
      <c r="CY3777">
        <v>4.58</v>
      </c>
      <c r="CZ3777">
        <v>0</v>
      </c>
      <c r="DA3777">
        <v>2.16</v>
      </c>
      <c r="DB3777">
        <v>1.35</v>
      </c>
      <c r="DC3777">
        <v>0.56000000000000005</v>
      </c>
      <c r="DD3777">
        <v>44.99</v>
      </c>
      <c r="DE3777" t="s">
        <v>15603</v>
      </c>
      <c r="DF3777">
        <v>50.81</v>
      </c>
      <c r="DG3777">
        <v>16.47</v>
      </c>
      <c r="DH3777">
        <v>14.28</v>
      </c>
      <c r="DI3777">
        <v>0.48</v>
      </c>
      <c r="DJ3777">
        <v>2026</v>
      </c>
      <c r="DK3777">
        <v>603855</v>
      </c>
      <c r="DL3777" t="s">
        <v>120</v>
      </c>
      <c r="DM3777" t="s">
        <v>120</v>
      </c>
      <c r="DN3777" t="s">
        <v>120</v>
      </c>
    </row>
    <row r="3778" spans="1:118">
      <c r="A3778" t="str">
        <f>"603856"</f>
        <v>603856</v>
      </c>
      <c r="B3778" t="s">
        <v>15604</v>
      </c>
      <c r="C3778">
        <v>1.55</v>
      </c>
      <c r="D3778">
        <v>-7.0000000000000007E-2</v>
      </c>
      <c r="E3778">
        <v>0.6</v>
      </c>
      <c r="F3778">
        <v>627</v>
      </c>
      <c r="G3778" t="s">
        <v>7304</v>
      </c>
      <c r="H3778">
        <v>3050.39</v>
      </c>
      <c r="I3778">
        <v>12.93</v>
      </c>
      <c r="J3778" t="s">
        <v>120</v>
      </c>
      <c r="K3778" t="s">
        <v>15605</v>
      </c>
      <c r="L3778">
        <v>1.01</v>
      </c>
      <c r="M3778">
        <v>11.76</v>
      </c>
      <c r="N3778">
        <v>1.46</v>
      </c>
      <c r="O3778">
        <v>2.16</v>
      </c>
      <c r="P3778">
        <v>11.83</v>
      </c>
      <c r="Q3778">
        <v>0</v>
      </c>
      <c r="R3778">
        <v>11.58</v>
      </c>
      <c r="S3778">
        <v>11.65</v>
      </c>
      <c r="T3778">
        <v>25914</v>
      </c>
      <c r="U3778">
        <v>11.77</v>
      </c>
      <c r="V3778">
        <v>11.58</v>
      </c>
      <c r="W3778">
        <v>12.28</v>
      </c>
      <c r="X3778" t="s">
        <v>2211</v>
      </c>
      <c r="Y3778" t="s">
        <v>638</v>
      </c>
      <c r="Z3778">
        <v>2.16</v>
      </c>
      <c r="AA3778">
        <v>11.77</v>
      </c>
      <c r="AB3778">
        <v>11622</v>
      </c>
      <c r="AC3778">
        <v>14292</v>
      </c>
      <c r="AD3778">
        <v>0.81</v>
      </c>
      <c r="AE3778">
        <v>132</v>
      </c>
      <c r="AF3778">
        <v>406</v>
      </c>
      <c r="AG3778" t="s">
        <v>120</v>
      </c>
      <c r="AH3778">
        <v>0.01</v>
      </c>
      <c r="AI3778" t="s">
        <v>120</v>
      </c>
      <c r="AJ3778">
        <v>2.56</v>
      </c>
      <c r="AK3778" t="s">
        <v>3083</v>
      </c>
      <c r="AL3778">
        <v>2.9</v>
      </c>
      <c r="AM3778">
        <v>1358</v>
      </c>
      <c r="AN3778">
        <v>19</v>
      </c>
      <c r="AO3778">
        <v>6.9999999999999999E-4</v>
      </c>
      <c r="AP3778">
        <v>2</v>
      </c>
      <c r="AQ3778">
        <v>0.17</v>
      </c>
      <c r="AR3778">
        <v>-0.08</v>
      </c>
      <c r="AS3778">
        <v>4.72</v>
      </c>
      <c r="AT3778">
        <v>4.4400000000000004</v>
      </c>
      <c r="AU3778">
        <v>0.52</v>
      </c>
      <c r="AV3778">
        <v>3</v>
      </c>
      <c r="AW3778">
        <v>3.05</v>
      </c>
      <c r="AX3778">
        <v>32.94</v>
      </c>
      <c r="AY3778">
        <v>9.76</v>
      </c>
      <c r="AZ3778">
        <v>9.3800000000000008</v>
      </c>
      <c r="BA3778">
        <v>0.96</v>
      </c>
      <c r="BB3778" t="s">
        <v>143</v>
      </c>
      <c r="BF3778">
        <v>1.65</v>
      </c>
      <c r="BG3778">
        <v>0.94</v>
      </c>
      <c r="BH3778">
        <v>-0.59</v>
      </c>
      <c r="BI3778">
        <v>1.55</v>
      </c>
      <c r="BJ3778">
        <v>20210817</v>
      </c>
      <c r="BK3778">
        <v>20171106</v>
      </c>
      <c r="BL3778">
        <v>2.58</v>
      </c>
      <c r="BM3778" t="s">
        <v>120</v>
      </c>
      <c r="BN3778" t="s">
        <v>120</v>
      </c>
      <c r="BO3778">
        <v>29.84</v>
      </c>
      <c r="BP3778">
        <v>11.76</v>
      </c>
      <c r="BQ3778">
        <v>19.87</v>
      </c>
      <c r="BR3778" t="s">
        <v>120</v>
      </c>
      <c r="BS3778">
        <v>33.4</v>
      </c>
      <c r="BT3778">
        <v>20.61</v>
      </c>
      <c r="BU3778">
        <v>3.37</v>
      </c>
      <c r="BV3778">
        <v>1.31</v>
      </c>
      <c r="BW3778">
        <v>9.25</v>
      </c>
      <c r="BX3778">
        <v>1.96</v>
      </c>
      <c r="BY3778">
        <v>2.5</v>
      </c>
      <c r="BZ3778">
        <v>12.5</v>
      </c>
      <c r="CA3778" t="s">
        <v>120</v>
      </c>
      <c r="CB3778">
        <v>6.63</v>
      </c>
      <c r="CC3778">
        <v>11.24</v>
      </c>
      <c r="CD3778">
        <v>8.52</v>
      </c>
      <c r="CE3778">
        <v>1.43</v>
      </c>
      <c r="CF3778">
        <v>0</v>
      </c>
      <c r="CG3778">
        <v>1.43</v>
      </c>
      <c r="CH3778">
        <v>1.24</v>
      </c>
      <c r="CI3778">
        <v>1.24</v>
      </c>
      <c r="CJ3778">
        <v>0.18</v>
      </c>
      <c r="CK3778">
        <v>1.17</v>
      </c>
      <c r="CL3778">
        <v>9.4700000000000006</v>
      </c>
      <c r="CM3778">
        <v>-0.6</v>
      </c>
      <c r="CN3778">
        <v>-1.24</v>
      </c>
      <c r="CO3778">
        <v>17617</v>
      </c>
      <c r="CP3778">
        <v>4825</v>
      </c>
      <c r="CQ3778" t="s">
        <v>4356</v>
      </c>
      <c r="CR3778">
        <v>-9</v>
      </c>
      <c r="CS3778">
        <v>7.83</v>
      </c>
      <c r="CT3778">
        <v>1.53</v>
      </c>
      <c r="CU3778">
        <v>-50.47</v>
      </c>
      <c r="CV3778">
        <v>2.7</v>
      </c>
      <c r="CW3778">
        <v>3.2</v>
      </c>
      <c r="CX3778" t="s">
        <v>780</v>
      </c>
      <c r="CY3778">
        <v>7.7</v>
      </c>
      <c r="CZ3778">
        <v>0</v>
      </c>
      <c r="DA3778">
        <v>2.57</v>
      </c>
      <c r="DB3778">
        <v>3.67</v>
      </c>
      <c r="DC3778">
        <v>-0.23</v>
      </c>
      <c r="DD3778">
        <v>66.599999999999994</v>
      </c>
      <c r="DE3778" t="s">
        <v>10741</v>
      </c>
      <c r="DF3778">
        <v>24.16</v>
      </c>
      <c r="DG3778">
        <v>12.74</v>
      </c>
      <c r="DH3778">
        <v>10.99</v>
      </c>
      <c r="DI3778">
        <v>0.25</v>
      </c>
      <c r="DJ3778">
        <v>1421</v>
      </c>
      <c r="DK3778">
        <v>603856</v>
      </c>
      <c r="DL3778" t="s">
        <v>120</v>
      </c>
      <c r="DM3778" t="s">
        <v>120</v>
      </c>
      <c r="DN3778" t="s">
        <v>120</v>
      </c>
    </row>
    <row r="3779" spans="1:118">
      <c r="A3779" t="str">
        <f>"603858"</f>
        <v>603858</v>
      </c>
      <c r="B3779" t="s">
        <v>15606</v>
      </c>
      <c r="C3779">
        <v>-0.78</v>
      </c>
      <c r="D3779">
        <v>0.05</v>
      </c>
      <c r="E3779">
        <v>0.21</v>
      </c>
      <c r="F3779">
        <v>1381</v>
      </c>
      <c r="G3779" t="s">
        <v>15607</v>
      </c>
      <c r="H3779">
        <v>8323.1299999999992</v>
      </c>
      <c r="I3779">
        <v>27.07</v>
      </c>
      <c r="J3779" t="s">
        <v>120</v>
      </c>
      <c r="K3779" t="s">
        <v>15608</v>
      </c>
      <c r="L3779">
        <v>0.38</v>
      </c>
      <c r="M3779">
        <v>19.010000000000002</v>
      </c>
      <c r="N3779">
        <v>0.94</v>
      </c>
      <c r="O3779">
        <v>1.25</v>
      </c>
      <c r="P3779">
        <v>19.399999999999999</v>
      </c>
      <c r="Q3779">
        <v>-0.99</v>
      </c>
      <c r="R3779">
        <v>18.97</v>
      </c>
      <c r="S3779">
        <v>19.2</v>
      </c>
      <c r="T3779">
        <v>43416</v>
      </c>
      <c r="U3779">
        <v>19.010000000000002</v>
      </c>
      <c r="V3779">
        <v>19.16</v>
      </c>
      <c r="W3779">
        <v>11.47</v>
      </c>
      <c r="X3779" t="s">
        <v>771</v>
      </c>
      <c r="Y3779" t="s">
        <v>638</v>
      </c>
      <c r="Z3779">
        <v>2.2400000000000002</v>
      </c>
      <c r="AA3779">
        <v>19.170000000000002</v>
      </c>
      <c r="AB3779">
        <v>23784</v>
      </c>
      <c r="AC3779">
        <v>19632</v>
      </c>
      <c r="AD3779">
        <v>1.21</v>
      </c>
      <c r="AE3779">
        <v>57</v>
      </c>
      <c r="AF3779">
        <v>13</v>
      </c>
      <c r="AG3779" t="s">
        <v>120</v>
      </c>
      <c r="AH3779">
        <v>0</v>
      </c>
      <c r="AI3779" t="s">
        <v>120</v>
      </c>
      <c r="AJ3779">
        <v>11.42</v>
      </c>
      <c r="AK3779" t="s">
        <v>15608</v>
      </c>
      <c r="AL3779">
        <v>0.56000000000000005</v>
      </c>
      <c r="AM3779">
        <v>2146</v>
      </c>
      <c r="AN3779">
        <v>20</v>
      </c>
      <c r="AO3779">
        <v>2.0000000000000001E-4</v>
      </c>
      <c r="AP3779">
        <v>-1</v>
      </c>
      <c r="AQ3779">
        <v>0.31</v>
      </c>
      <c r="AR3779">
        <v>-1.97</v>
      </c>
      <c r="AS3779">
        <v>1.71</v>
      </c>
      <c r="AT3779">
        <v>-12</v>
      </c>
      <c r="AU3779">
        <v>-15.68</v>
      </c>
      <c r="AV3779">
        <v>0</v>
      </c>
      <c r="AW3779">
        <v>0.79</v>
      </c>
      <c r="AX3779">
        <v>47.96</v>
      </c>
      <c r="AY3779">
        <v>11.48</v>
      </c>
      <c r="AZ3779">
        <v>11.75</v>
      </c>
      <c r="BA3779">
        <v>0.41</v>
      </c>
      <c r="BB3779" t="s">
        <v>143</v>
      </c>
      <c r="BF3779">
        <v>0.06</v>
      </c>
      <c r="BG3779">
        <v>-0.99</v>
      </c>
      <c r="BH3779">
        <v>-2.0099999999999998</v>
      </c>
      <c r="BI3779">
        <v>0.21</v>
      </c>
      <c r="BJ3779">
        <v>20210828</v>
      </c>
      <c r="BK3779">
        <v>20161118</v>
      </c>
      <c r="BL3779">
        <v>11.42</v>
      </c>
      <c r="BM3779" t="s">
        <v>120</v>
      </c>
      <c r="BN3779" t="s">
        <v>120</v>
      </c>
      <c r="BO3779">
        <v>234.47</v>
      </c>
      <c r="BP3779">
        <v>19</v>
      </c>
      <c r="BQ3779">
        <v>140.79</v>
      </c>
      <c r="BR3779">
        <v>0.65</v>
      </c>
      <c r="BS3779">
        <v>39.68</v>
      </c>
      <c r="BT3779">
        <v>82.88</v>
      </c>
      <c r="BU3779">
        <v>24.01</v>
      </c>
      <c r="BV3779">
        <v>12.63</v>
      </c>
      <c r="BW3779">
        <v>71.09</v>
      </c>
      <c r="BX3779">
        <v>19.86</v>
      </c>
      <c r="BY3779">
        <v>30.71</v>
      </c>
      <c r="BZ3779">
        <v>12.63</v>
      </c>
      <c r="CA3779" t="s">
        <v>120</v>
      </c>
      <c r="CB3779">
        <v>33.85</v>
      </c>
      <c r="CC3779">
        <v>73.86</v>
      </c>
      <c r="CD3779">
        <v>19.43</v>
      </c>
      <c r="CE3779">
        <v>11.6</v>
      </c>
      <c r="CF3779">
        <v>0.39</v>
      </c>
      <c r="CG3779">
        <v>11.5</v>
      </c>
      <c r="CH3779">
        <v>9.23</v>
      </c>
      <c r="CI3779">
        <v>9.4600000000000009</v>
      </c>
      <c r="CJ3779">
        <v>-0.15</v>
      </c>
      <c r="CK3779">
        <v>8.1300000000000008</v>
      </c>
      <c r="CL3779">
        <v>99.15</v>
      </c>
      <c r="CM3779">
        <v>5.73</v>
      </c>
      <c r="CN3779">
        <v>7.35</v>
      </c>
      <c r="CO3779">
        <v>82846</v>
      </c>
      <c r="CP3779">
        <v>6608</v>
      </c>
      <c r="CQ3779" t="s">
        <v>5693</v>
      </c>
      <c r="CR3779">
        <v>4.9400000000000004</v>
      </c>
      <c r="CS3779">
        <v>4.9800000000000004</v>
      </c>
      <c r="CT3779">
        <v>1.54</v>
      </c>
      <c r="CU3779">
        <v>37.85</v>
      </c>
      <c r="CV3779">
        <v>2.94</v>
      </c>
      <c r="CW3779">
        <v>2.66</v>
      </c>
      <c r="CX3779" t="s">
        <v>10202</v>
      </c>
      <c r="CY3779">
        <v>12.33</v>
      </c>
      <c r="CZ3779">
        <v>0</v>
      </c>
      <c r="DA3779">
        <v>2.96</v>
      </c>
      <c r="DB3779">
        <v>8.69</v>
      </c>
      <c r="DC3779">
        <v>0.5</v>
      </c>
      <c r="DD3779">
        <v>60.05</v>
      </c>
      <c r="DE3779" t="s">
        <v>15609</v>
      </c>
      <c r="DF3779">
        <v>73.69</v>
      </c>
      <c r="DG3779">
        <v>15.7</v>
      </c>
      <c r="DH3779">
        <v>12.81</v>
      </c>
      <c r="DI3779">
        <v>1.71</v>
      </c>
      <c r="DJ3779">
        <v>8191</v>
      </c>
      <c r="DK3779">
        <v>603858</v>
      </c>
      <c r="DL3779" t="s">
        <v>120</v>
      </c>
      <c r="DM3779" t="s">
        <v>120</v>
      </c>
      <c r="DN3779" t="s">
        <v>120</v>
      </c>
    </row>
    <row r="3780" spans="1:118">
      <c r="A3780" t="str">
        <f>"603859"</f>
        <v>603859</v>
      </c>
      <c r="B3780" t="s">
        <v>15610</v>
      </c>
      <c r="C3780">
        <v>-1.83</v>
      </c>
      <c r="D3780">
        <v>0.03</v>
      </c>
      <c r="E3780">
        <v>-0.03</v>
      </c>
      <c r="F3780">
        <v>169</v>
      </c>
      <c r="G3780" t="s">
        <v>9047</v>
      </c>
      <c r="H3780">
        <v>6991.12</v>
      </c>
      <c r="I3780">
        <v>0</v>
      </c>
      <c r="J3780" t="s">
        <v>120</v>
      </c>
      <c r="K3780" t="s">
        <v>7098</v>
      </c>
      <c r="L3780">
        <v>1.49</v>
      </c>
      <c r="M3780">
        <v>35.35</v>
      </c>
      <c r="N3780">
        <v>0.88</v>
      </c>
      <c r="O3780">
        <v>0.72</v>
      </c>
      <c r="P3780">
        <v>36.270000000000003</v>
      </c>
      <c r="Q3780">
        <v>-3.5</v>
      </c>
      <c r="R3780">
        <v>34.75</v>
      </c>
      <c r="S3780">
        <v>36</v>
      </c>
      <c r="T3780">
        <v>19762</v>
      </c>
      <c r="U3780">
        <v>35.35</v>
      </c>
      <c r="V3780">
        <v>36.01</v>
      </c>
      <c r="W3780">
        <v>52.76</v>
      </c>
      <c r="X3780" t="s">
        <v>141</v>
      </c>
      <c r="Y3780" t="s">
        <v>158</v>
      </c>
      <c r="Z3780">
        <v>4.22</v>
      </c>
      <c r="AA3780">
        <v>35.380000000000003</v>
      </c>
      <c r="AB3780">
        <v>11044</v>
      </c>
      <c r="AC3780">
        <v>8718</v>
      </c>
      <c r="AD3780">
        <v>1.27</v>
      </c>
      <c r="AE3780">
        <v>15</v>
      </c>
      <c r="AF3780">
        <v>108</v>
      </c>
      <c r="AG3780" t="s">
        <v>120</v>
      </c>
      <c r="AH3780">
        <v>0</v>
      </c>
      <c r="AI3780" t="s">
        <v>120</v>
      </c>
      <c r="AJ3780">
        <v>1.32</v>
      </c>
      <c r="AK3780" t="s">
        <v>15611</v>
      </c>
      <c r="AL3780">
        <v>-0.49</v>
      </c>
      <c r="AM3780">
        <v>2130</v>
      </c>
      <c r="AN3780">
        <v>9</v>
      </c>
      <c r="AO3780">
        <v>6.9999999999999999E-4</v>
      </c>
      <c r="AP3780">
        <v>-2</v>
      </c>
      <c r="AQ3780">
        <v>-0.47</v>
      </c>
      <c r="AR3780">
        <v>-1.59</v>
      </c>
      <c r="AS3780">
        <v>-12.94</v>
      </c>
      <c r="AT3780">
        <v>-1.72</v>
      </c>
      <c r="AU3780">
        <v>0</v>
      </c>
      <c r="AV3780">
        <v>1</v>
      </c>
      <c r="AW3780">
        <v>2.4300000000000002</v>
      </c>
      <c r="AX3780">
        <v>48.74</v>
      </c>
      <c r="AY3780">
        <v>44.57</v>
      </c>
      <c r="AZ3780">
        <v>49.92</v>
      </c>
      <c r="BA3780">
        <v>1.1000000000000001</v>
      </c>
      <c r="BB3780" t="s">
        <v>143</v>
      </c>
      <c r="BF3780">
        <v>-1.76</v>
      </c>
      <c r="BG3780">
        <v>-1.81</v>
      </c>
      <c r="BH3780">
        <v>-2.54</v>
      </c>
      <c r="BI3780">
        <v>1.73</v>
      </c>
      <c r="BJ3780">
        <v>20210825</v>
      </c>
      <c r="BK3780">
        <v>20161021</v>
      </c>
      <c r="BL3780">
        <v>1.67</v>
      </c>
      <c r="BM3780" t="s">
        <v>120</v>
      </c>
      <c r="BN3780" t="s">
        <v>120</v>
      </c>
      <c r="BO3780">
        <v>28.07</v>
      </c>
      <c r="BP3780">
        <v>35.340000000000003</v>
      </c>
      <c r="BQ3780">
        <v>22.48</v>
      </c>
      <c r="BR3780">
        <v>0.39</v>
      </c>
      <c r="BS3780">
        <v>18.510000000000002</v>
      </c>
      <c r="BT3780">
        <v>19.61</v>
      </c>
      <c r="BU3780">
        <v>1.7</v>
      </c>
      <c r="BV3780">
        <v>2.29</v>
      </c>
      <c r="BW3780">
        <v>4.78</v>
      </c>
      <c r="BX3780">
        <v>8.31</v>
      </c>
      <c r="BY3780">
        <v>1.1599999999999999</v>
      </c>
      <c r="BZ3780">
        <v>7.59</v>
      </c>
      <c r="CA3780" t="s">
        <v>120</v>
      </c>
      <c r="CB3780">
        <v>15.18</v>
      </c>
      <c r="CC3780">
        <v>5.25</v>
      </c>
      <c r="CD3780">
        <v>3.29</v>
      </c>
      <c r="CE3780">
        <v>0.7</v>
      </c>
      <c r="CF3780">
        <v>0</v>
      </c>
      <c r="CG3780">
        <v>0.7</v>
      </c>
      <c r="CH3780">
        <v>0.57999999999999996</v>
      </c>
      <c r="CI3780">
        <v>0.56000000000000005</v>
      </c>
      <c r="CJ3780">
        <v>-0.66</v>
      </c>
      <c r="CK3780">
        <v>0.54</v>
      </c>
      <c r="CL3780">
        <v>5.25</v>
      </c>
      <c r="CM3780">
        <v>-0.76</v>
      </c>
      <c r="CN3780">
        <v>6.25</v>
      </c>
      <c r="CO3780">
        <v>13777</v>
      </c>
      <c r="CP3780">
        <v>5892</v>
      </c>
      <c r="CQ3780" t="s">
        <v>5063</v>
      </c>
      <c r="CR3780">
        <v>34.840000000000003</v>
      </c>
      <c r="CS3780">
        <v>31.76</v>
      </c>
      <c r="CT3780">
        <v>2.62</v>
      </c>
      <c r="CU3780">
        <v>-77.900000000000006</v>
      </c>
      <c r="CV3780">
        <v>11.22</v>
      </c>
      <c r="CW3780">
        <v>0</v>
      </c>
      <c r="CX3780" t="s">
        <v>3527</v>
      </c>
      <c r="CY3780">
        <v>13.5</v>
      </c>
      <c r="CZ3780">
        <v>0</v>
      </c>
      <c r="DA3780">
        <v>9.11</v>
      </c>
      <c r="DB3780">
        <v>3.15</v>
      </c>
      <c r="DC3780">
        <v>-0.45</v>
      </c>
      <c r="DD3780">
        <v>80.09</v>
      </c>
      <c r="DE3780" t="s">
        <v>1959</v>
      </c>
      <c r="DF3780">
        <v>37.29</v>
      </c>
      <c r="DG3780">
        <v>13.43</v>
      </c>
      <c r="DH3780">
        <v>10.64</v>
      </c>
      <c r="DI3780">
        <v>0.53</v>
      </c>
      <c r="DJ3780">
        <v>849</v>
      </c>
      <c r="DK3780">
        <v>603859</v>
      </c>
      <c r="DL3780" t="s">
        <v>120</v>
      </c>
      <c r="DM3780" t="s">
        <v>120</v>
      </c>
      <c r="DN3780" t="s">
        <v>120</v>
      </c>
    </row>
    <row r="3781" spans="1:118">
      <c r="A3781" t="str">
        <f>"603860"</f>
        <v>603860</v>
      </c>
      <c r="B3781" t="s">
        <v>15612</v>
      </c>
      <c r="C3781">
        <v>-0.52</v>
      </c>
      <c r="D3781">
        <v>0.43</v>
      </c>
      <c r="E3781">
        <v>0</v>
      </c>
      <c r="F3781">
        <v>5</v>
      </c>
      <c r="G3781" t="s">
        <v>15613</v>
      </c>
      <c r="H3781">
        <v>754.23</v>
      </c>
      <c r="I3781">
        <v>2.94</v>
      </c>
      <c r="J3781" t="s">
        <v>120</v>
      </c>
      <c r="K3781" t="s">
        <v>1382</v>
      </c>
      <c r="L3781">
        <v>0.54</v>
      </c>
      <c r="M3781">
        <v>20.87</v>
      </c>
      <c r="N3781">
        <v>1.1499999999999999</v>
      </c>
      <c r="O3781">
        <v>2</v>
      </c>
      <c r="P3781">
        <v>21.4</v>
      </c>
      <c r="Q3781">
        <v>-1</v>
      </c>
      <c r="R3781">
        <v>20.77</v>
      </c>
      <c r="S3781">
        <v>20.98</v>
      </c>
      <c r="T3781">
        <v>3576</v>
      </c>
      <c r="U3781">
        <v>20.87</v>
      </c>
      <c r="V3781">
        <v>20.98</v>
      </c>
      <c r="W3781" t="s">
        <v>120</v>
      </c>
      <c r="X3781" t="s">
        <v>800</v>
      </c>
      <c r="Y3781" t="s">
        <v>158</v>
      </c>
      <c r="Z3781">
        <v>3</v>
      </c>
      <c r="AA3781">
        <v>21.09</v>
      </c>
      <c r="AB3781">
        <v>1867</v>
      </c>
      <c r="AC3781">
        <v>1709</v>
      </c>
      <c r="AD3781">
        <v>1.0900000000000001</v>
      </c>
      <c r="AE3781">
        <v>4</v>
      </c>
      <c r="AF3781">
        <v>9</v>
      </c>
      <c r="AG3781" t="s">
        <v>120</v>
      </c>
      <c r="AH3781">
        <v>0.01</v>
      </c>
      <c r="AI3781" t="s">
        <v>120</v>
      </c>
      <c r="AJ3781">
        <v>0.67</v>
      </c>
      <c r="AK3781" t="s">
        <v>1382</v>
      </c>
      <c r="AL3781">
        <v>0.82</v>
      </c>
      <c r="AM3781">
        <v>540</v>
      </c>
      <c r="AN3781">
        <v>7</v>
      </c>
      <c r="AO3781">
        <v>1E-3</v>
      </c>
      <c r="AP3781">
        <v>-1</v>
      </c>
      <c r="AQ3781">
        <v>1.99</v>
      </c>
      <c r="AR3781">
        <v>-0.62</v>
      </c>
      <c r="AS3781">
        <v>3.41</v>
      </c>
      <c r="AT3781">
        <v>0.28999999999999998</v>
      </c>
      <c r="AU3781">
        <v>-5.67</v>
      </c>
      <c r="AV3781">
        <v>1</v>
      </c>
      <c r="AW3781">
        <v>1.33</v>
      </c>
      <c r="AX3781">
        <v>40.26</v>
      </c>
      <c r="AY3781">
        <v>36.94</v>
      </c>
      <c r="AZ3781">
        <v>39.92</v>
      </c>
      <c r="BA3781">
        <v>0.48</v>
      </c>
      <c r="BB3781" t="s">
        <v>184</v>
      </c>
      <c r="BF3781">
        <v>0.53</v>
      </c>
      <c r="BG3781">
        <v>-0.52</v>
      </c>
      <c r="BH3781">
        <v>-2.48</v>
      </c>
      <c r="BI3781">
        <v>0.48</v>
      </c>
      <c r="BJ3781">
        <v>20210831</v>
      </c>
      <c r="BK3781">
        <v>20170802</v>
      </c>
      <c r="BL3781">
        <v>0.67</v>
      </c>
      <c r="BM3781" t="s">
        <v>120</v>
      </c>
      <c r="BN3781" t="s">
        <v>120</v>
      </c>
      <c r="BO3781">
        <v>7.52</v>
      </c>
      <c r="BP3781">
        <v>20.78</v>
      </c>
      <c r="BQ3781">
        <v>6.49</v>
      </c>
      <c r="BR3781">
        <v>0.05</v>
      </c>
      <c r="BS3781">
        <v>12.94</v>
      </c>
      <c r="BT3781">
        <v>3.52</v>
      </c>
      <c r="BU3781">
        <v>1.64</v>
      </c>
      <c r="BV3781">
        <v>0.33</v>
      </c>
      <c r="BW3781">
        <v>0.67</v>
      </c>
      <c r="BX3781">
        <v>1.72</v>
      </c>
      <c r="BY3781">
        <v>0.45</v>
      </c>
      <c r="BZ3781">
        <v>0.97</v>
      </c>
      <c r="CA3781" t="s">
        <v>120</v>
      </c>
      <c r="CB3781">
        <v>2.21</v>
      </c>
      <c r="CC3781">
        <v>0.52</v>
      </c>
      <c r="CD3781">
        <v>0.35</v>
      </c>
      <c r="CE3781">
        <v>-0.1</v>
      </c>
      <c r="CF3781">
        <v>0</v>
      </c>
      <c r="CG3781">
        <v>-0.1</v>
      </c>
      <c r="CH3781">
        <v>-0.1</v>
      </c>
      <c r="CI3781">
        <v>-0.09</v>
      </c>
      <c r="CJ3781">
        <v>-0.11</v>
      </c>
      <c r="CK3781">
        <v>-0.11</v>
      </c>
      <c r="CL3781">
        <v>3.26</v>
      </c>
      <c r="CM3781">
        <v>-0.32</v>
      </c>
      <c r="CN3781">
        <v>-0.8</v>
      </c>
      <c r="CO3781">
        <v>4768</v>
      </c>
      <c r="CP3781">
        <v>5631</v>
      </c>
      <c r="CQ3781" t="s">
        <v>15614</v>
      </c>
      <c r="CR3781">
        <v>24.35</v>
      </c>
      <c r="CS3781">
        <v>28.57</v>
      </c>
      <c r="CT3781">
        <v>2.14</v>
      </c>
      <c r="CU3781">
        <v>-43.44</v>
      </c>
      <c r="CV3781">
        <v>26.57</v>
      </c>
      <c r="CW3781">
        <v>0.5</v>
      </c>
      <c r="CX3781" t="s">
        <v>359</v>
      </c>
      <c r="CY3781">
        <v>9.73</v>
      </c>
      <c r="CZ3781">
        <v>0</v>
      </c>
      <c r="DA3781">
        <v>3.31</v>
      </c>
      <c r="DB3781">
        <v>4.8899999999999997</v>
      </c>
      <c r="DC3781">
        <v>-0.48</v>
      </c>
      <c r="DD3781">
        <v>86.33</v>
      </c>
      <c r="DE3781" t="s">
        <v>1494</v>
      </c>
      <c r="DF3781">
        <v>32.46</v>
      </c>
      <c r="DG3781">
        <v>-19.309999999999999</v>
      </c>
      <c r="DH3781">
        <v>-16.77</v>
      </c>
      <c r="DI3781">
        <v>7.0000000000000007E-2</v>
      </c>
      <c r="DJ3781">
        <v>218</v>
      </c>
      <c r="DK3781">
        <v>603860</v>
      </c>
      <c r="DL3781" t="s">
        <v>120</v>
      </c>
      <c r="DM3781" t="s">
        <v>120</v>
      </c>
      <c r="DN3781" t="s">
        <v>120</v>
      </c>
    </row>
    <row r="3782" spans="1:118">
      <c r="A3782" t="str">
        <f>"603861"</f>
        <v>603861</v>
      </c>
      <c r="B3782" t="s">
        <v>15615</v>
      </c>
      <c r="C3782">
        <v>10.02</v>
      </c>
      <c r="D3782">
        <v>0</v>
      </c>
      <c r="E3782">
        <v>0</v>
      </c>
      <c r="F3782">
        <v>60</v>
      </c>
      <c r="G3782" t="s">
        <v>756</v>
      </c>
      <c r="H3782">
        <v>30561.23</v>
      </c>
      <c r="I3782">
        <v>147.66999999999999</v>
      </c>
      <c r="J3782">
        <v>2726.92</v>
      </c>
      <c r="K3782" t="s">
        <v>13159</v>
      </c>
      <c r="L3782">
        <v>5.78</v>
      </c>
      <c r="M3782">
        <v>13.07</v>
      </c>
      <c r="N3782">
        <v>1.64</v>
      </c>
      <c r="O3782">
        <v>10.02</v>
      </c>
      <c r="P3782">
        <v>13.07</v>
      </c>
      <c r="Q3782">
        <v>-2.27</v>
      </c>
      <c r="R3782">
        <v>11.61</v>
      </c>
      <c r="S3782">
        <v>11.88</v>
      </c>
      <c r="T3782">
        <v>238739</v>
      </c>
      <c r="U3782" t="s">
        <v>120</v>
      </c>
      <c r="V3782">
        <v>11.88</v>
      </c>
      <c r="W3782">
        <v>61.05</v>
      </c>
      <c r="X3782" t="s">
        <v>394</v>
      </c>
      <c r="Y3782" t="s">
        <v>547</v>
      </c>
      <c r="Z3782">
        <v>12.29</v>
      </c>
      <c r="AA3782">
        <v>12.8</v>
      </c>
      <c r="AB3782">
        <v>120375</v>
      </c>
      <c r="AC3782">
        <v>118364</v>
      </c>
      <c r="AD3782">
        <v>1.02</v>
      </c>
      <c r="AE3782">
        <v>20864</v>
      </c>
      <c r="AF3782">
        <v>0</v>
      </c>
      <c r="AG3782" t="s">
        <v>120</v>
      </c>
      <c r="AH3782">
        <v>0.12</v>
      </c>
      <c r="AI3782">
        <v>0.09</v>
      </c>
      <c r="AJ3782">
        <v>4.13</v>
      </c>
      <c r="AK3782" t="s">
        <v>15616</v>
      </c>
      <c r="AL3782">
        <v>11.36</v>
      </c>
      <c r="AM3782">
        <v>3213</v>
      </c>
      <c r="AN3782">
        <v>74</v>
      </c>
      <c r="AO3782">
        <v>1.8E-3</v>
      </c>
      <c r="AP3782">
        <v>2</v>
      </c>
      <c r="AQ3782">
        <v>4.12</v>
      </c>
      <c r="AR3782">
        <v>12.58</v>
      </c>
      <c r="AS3782">
        <v>50.23</v>
      </c>
      <c r="AT3782">
        <v>61.08</v>
      </c>
      <c r="AU3782">
        <v>59.7</v>
      </c>
      <c r="AV3782">
        <v>2</v>
      </c>
      <c r="AW3782">
        <v>23.25</v>
      </c>
      <c r="AX3782">
        <v>23.39</v>
      </c>
      <c r="AY3782">
        <v>22.21</v>
      </c>
      <c r="AZ3782">
        <v>55.39</v>
      </c>
      <c r="BA3782">
        <v>0.27</v>
      </c>
      <c r="BB3782" t="s">
        <v>184</v>
      </c>
      <c r="BF3782">
        <v>7.75</v>
      </c>
      <c r="BG3782">
        <v>10.02</v>
      </c>
      <c r="BH3782">
        <v>0</v>
      </c>
      <c r="BI3782">
        <v>12.58</v>
      </c>
      <c r="BJ3782">
        <v>20210828</v>
      </c>
      <c r="BK3782">
        <v>20160322</v>
      </c>
      <c r="BL3782">
        <v>4.3899999999999997</v>
      </c>
      <c r="BM3782" t="s">
        <v>120</v>
      </c>
      <c r="BN3782" t="s">
        <v>120</v>
      </c>
      <c r="BO3782">
        <v>79.25</v>
      </c>
      <c r="BP3782">
        <v>13.07</v>
      </c>
      <c r="BQ3782">
        <v>26.6</v>
      </c>
      <c r="BR3782">
        <v>2.4500000000000002</v>
      </c>
      <c r="BS3782">
        <v>63.33</v>
      </c>
      <c r="BT3782">
        <v>51.52</v>
      </c>
      <c r="BU3782">
        <v>12.98</v>
      </c>
      <c r="BV3782">
        <v>4.24</v>
      </c>
      <c r="BW3782">
        <v>33.97</v>
      </c>
      <c r="BX3782">
        <v>12.54</v>
      </c>
      <c r="BY3782">
        <v>15.78</v>
      </c>
      <c r="BZ3782">
        <v>18.16</v>
      </c>
      <c r="CA3782" t="s">
        <v>120</v>
      </c>
      <c r="CB3782">
        <v>3.05</v>
      </c>
      <c r="CC3782">
        <v>12.34</v>
      </c>
      <c r="CD3782">
        <v>10.35</v>
      </c>
      <c r="CE3782">
        <v>0.56000000000000005</v>
      </c>
      <c r="CF3782">
        <v>0.15</v>
      </c>
      <c r="CG3782">
        <v>0.56000000000000005</v>
      </c>
      <c r="CH3782">
        <v>0.43</v>
      </c>
      <c r="CI3782">
        <v>0.47</v>
      </c>
      <c r="CJ3782">
        <v>1.19</v>
      </c>
      <c r="CK3782">
        <v>0.36</v>
      </c>
      <c r="CL3782">
        <v>15.71</v>
      </c>
      <c r="CM3782">
        <v>-1.49</v>
      </c>
      <c r="CN3782">
        <v>1.6</v>
      </c>
      <c r="CO3782">
        <v>16143</v>
      </c>
      <c r="CP3782">
        <v>6361</v>
      </c>
      <c r="CQ3782" t="s">
        <v>3146</v>
      </c>
      <c r="CR3782">
        <v>150.16999999999999</v>
      </c>
      <c r="CS3782">
        <v>1.35</v>
      </c>
      <c r="CT3782">
        <v>2.27</v>
      </c>
      <c r="CU3782">
        <v>-38.520000000000003</v>
      </c>
      <c r="CV3782">
        <v>4.6500000000000004</v>
      </c>
      <c r="CW3782">
        <v>0.56000000000000005</v>
      </c>
      <c r="CX3782" t="s">
        <v>1147</v>
      </c>
      <c r="CY3782">
        <v>5.75</v>
      </c>
      <c r="CZ3782">
        <v>5.75</v>
      </c>
      <c r="DA3782">
        <v>0.69</v>
      </c>
      <c r="DB3782">
        <v>3.58</v>
      </c>
      <c r="DC3782">
        <v>-0.34</v>
      </c>
      <c r="DD3782">
        <v>33.57</v>
      </c>
      <c r="DE3782" t="s">
        <v>8055</v>
      </c>
      <c r="DF3782">
        <v>16.059999999999999</v>
      </c>
      <c r="DG3782">
        <v>4.55</v>
      </c>
      <c r="DH3782">
        <v>3.81</v>
      </c>
      <c r="DI3782">
        <v>0.49</v>
      </c>
      <c r="DJ3782">
        <v>2717</v>
      </c>
      <c r="DK3782">
        <v>603861</v>
      </c>
      <c r="DL3782">
        <v>20210916</v>
      </c>
      <c r="DM3782">
        <v>13.07</v>
      </c>
      <c r="DN3782">
        <v>0</v>
      </c>
    </row>
    <row r="3783" spans="1:118">
      <c r="A3783" t="str">
        <f>"603866"</f>
        <v>603866</v>
      </c>
      <c r="B3783" t="s">
        <v>15617</v>
      </c>
      <c r="C3783">
        <v>1.64</v>
      </c>
      <c r="D3783">
        <v>1.08</v>
      </c>
      <c r="E3783">
        <v>7.0000000000000007E-2</v>
      </c>
      <c r="F3783">
        <v>797</v>
      </c>
      <c r="G3783" t="s">
        <v>15618</v>
      </c>
      <c r="H3783">
        <v>6668.03</v>
      </c>
      <c r="I3783">
        <v>10.8</v>
      </c>
      <c r="J3783" t="s">
        <v>120</v>
      </c>
      <c r="K3783" t="s">
        <v>15619</v>
      </c>
      <c r="L3783">
        <v>0.25</v>
      </c>
      <c r="M3783">
        <v>27.97</v>
      </c>
      <c r="N3783">
        <v>0.96</v>
      </c>
      <c r="O3783">
        <v>3.05</v>
      </c>
      <c r="P3783">
        <v>28.36</v>
      </c>
      <c r="Q3783">
        <v>-1.02</v>
      </c>
      <c r="R3783">
        <v>27.24</v>
      </c>
      <c r="S3783">
        <v>27.54</v>
      </c>
      <c r="T3783">
        <v>23993</v>
      </c>
      <c r="U3783">
        <v>27.97</v>
      </c>
      <c r="V3783">
        <v>27.52</v>
      </c>
      <c r="W3783">
        <v>36.06</v>
      </c>
      <c r="X3783" t="s">
        <v>847</v>
      </c>
      <c r="Y3783" t="s">
        <v>432</v>
      </c>
      <c r="Z3783">
        <v>4.07</v>
      </c>
      <c r="AA3783">
        <v>27.79</v>
      </c>
      <c r="AB3783">
        <v>10908</v>
      </c>
      <c r="AC3783">
        <v>13085</v>
      </c>
      <c r="AD3783">
        <v>0.83</v>
      </c>
      <c r="AE3783">
        <v>64</v>
      </c>
      <c r="AF3783">
        <v>67</v>
      </c>
      <c r="AG3783" t="s">
        <v>120</v>
      </c>
      <c r="AH3783">
        <v>0</v>
      </c>
      <c r="AI3783" t="s">
        <v>120</v>
      </c>
      <c r="AJ3783">
        <v>9.52</v>
      </c>
      <c r="AK3783" t="s">
        <v>15619</v>
      </c>
      <c r="AL3783">
        <v>2.98</v>
      </c>
      <c r="AM3783">
        <v>2524</v>
      </c>
      <c r="AN3783">
        <v>10</v>
      </c>
      <c r="AO3783">
        <v>1E-4</v>
      </c>
      <c r="AP3783">
        <v>1</v>
      </c>
      <c r="AQ3783">
        <v>-4.1100000000000003</v>
      </c>
      <c r="AR3783">
        <v>-2.64</v>
      </c>
      <c r="AS3783">
        <v>-11.98</v>
      </c>
      <c r="AT3783">
        <v>-13.54</v>
      </c>
      <c r="AU3783">
        <v>-32.61</v>
      </c>
      <c r="AV3783">
        <v>0</v>
      </c>
      <c r="AW3783">
        <v>0.66</v>
      </c>
      <c r="AX3783">
        <v>38.46</v>
      </c>
      <c r="AY3783">
        <v>31.4</v>
      </c>
      <c r="AZ3783">
        <v>29.68</v>
      </c>
      <c r="BA3783">
        <v>0.82</v>
      </c>
      <c r="BB3783" t="s">
        <v>125</v>
      </c>
      <c r="BF3783">
        <v>0.99</v>
      </c>
      <c r="BG3783">
        <v>1.56</v>
      </c>
      <c r="BH3783">
        <v>-1.38</v>
      </c>
      <c r="BI3783">
        <v>2.68</v>
      </c>
      <c r="BJ3783">
        <v>20210811</v>
      </c>
      <c r="BK3783">
        <v>20151222</v>
      </c>
      <c r="BL3783">
        <v>9.52</v>
      </c>
      <c r="BM3783" t="s">
        <v>120</v>
      </c>
      <c r="BN3783" t="s">
        <v>120</v>
      </c>
      <c r="BO3783">
        <v>54.08</v>
      </c>
      <c r="BP3783">
        <v>27.95</v>
      </c>
      <c r="BQ3783">
        <v>45.3</v>
      </c>
      <c r="BR3783" t="s">
        <v>120</v>
      </c>
      <c r="BS3783">
        <v>16.23</v>
      </c>
      <c r="BT3783">
        <v>16.55</v>
      </c>
      <c r="BU3783">
        <v>19.920000000000002</v>
      </c>
      <c r="BV3783">
        <v>3.4</v>
      </c>
      <c r="BW3783">
        <v>8.75</v>
      </c>
      <c r="BX3783">
        <v>5.78</v>
      </c>
      <c r="BY3783">
        <v>1.39</v>
      </c>
      <c r="BZ3783">
        <v>4.6900000000000004</v>
      </c>
      <c r="CA3783" t="s">
        <v>120</v>
      </c>
      <c r="CB3783">
        <v>17.71</v>
      </c>
      <c r="CC3783">
        <v>29.39</v>
      </c>
      <c r="CD3783">
        <v>21.59</v>
      </c>
      <c r="CE3783">
        <v>4.67</v>
      </c>
      <c r="CF3783">
        <v>0</v>
      </c>
      <c r="CG3783">
        <v>4.74</v>
      </c>
      <c r="CH3783">
        <v>3.69</v>
      </c>
      <c r="CI3783">
        <v>3.69</v>
      </c>
      <c r="CJ3783">
        <v>0.45</v>
      </c>
      <c r="CK3783">
        <v>3.38</v>
      </c>
      <c r="CL3783">
        <v>15.22</v>
      </c>
      <c r="CM3783">
        <v>4.91</v>
      </c>
      <c r="CN3783">
        <v>-1.36</v>
      </c>
      <c r="CO3783">
        <v>28024</v>
      </c>
      <c r="CP3783">
        <v>13067</v>
      </c>
      <c r="CQ3783" t="s">
        <v>6314</v>
      </c>
      <c r="CR3783">
        <v>-11.59</v>
      </c>
      <c r="CS3783">
        <v>7.32</v>
      </c>
      <c r="CT3783">
        <v>5.88</v>
      </c>
      <c r="CU3783">
        <v>54.23</v>
      </c>
      <c r="CV3783">
        <v>9.06</v>
      </c>
      <c r="CW3783">
        <v>2.6</v>
      </c>
      <c r="CX3783" t="s">
        <v>15620</v>
      </c>
      <c r="CY3783">
        <v>4.76</v>
      </c>
      <c r="CZ3783">
        <v>0</v>
      </c>
      <c r="DA3783">
        <v>1.86</v>
      </c>
      <c r="DB3783">
        <v>1.6</v>
      </c>
      <c r="DC3783">
        <v>0.52</v>
      </c>
      <c r="DD3783">
        <v>83.77</v>
      </c>
      <c r="DE3783" t="s">
        <v>8916</v>
      </c>
      <c r="DF3783">
        <v>26.56</v>
      </c>
      <c r="DG3783">
        <v>15.89</v>
      </c>
      <c r="DH3783">
        <v>12.56</v>
      </c>
      <c r="DI3783">
        <v>7.0000000000000007E-2</v>
      </c>
      <c r="DJ3783">
        <v>11877</v>
      </c>
      <c r="DK3783">
        <v>603866</v>
      </c>
      <c r="DL3783" t="s">
        <v>120</v>
      </c>
      <c r="DM3783" t="s">
        <v>120</v>
      </c>
      <c r="DN3783" t="s">
        <v>120</v>
      </c>
    </row>
    <row r="3784" spans="1:118">
      <c r="A3784" t="str">
        <f>"603867"</f>
        <v>603867</v>
      </c>
      <c r="B3784" t="s">
        <v>15621</v>
      </c>
      <c r="C3784">
        <v>5.63</v>
      </c>
      <c r="D3784">
        <v>-0.21</v>
      </c>
      <c r="E3784">
        <v>7.94</v>
      </c>
      <c r="F3784">
        <v>3627</v>
      </c>
      <c r="G3784" t="s">
        <v>15622</v>
      </c>
      <c r="H3784">
        <v>121127.33</v>
      </c>
      <c r="I3784">
        <v>2079.58</v>
      </c>
      <c r="J3784" t="s">
        <v>120</v>
      </c>
      <c r="K3784" t="s">
        <v>15622</v>
      </c>
      <c r="L3784">
        <v>38.46</v>
      </c>
      <c r="M3784">
        <v>36.200000000000003</v>
      </c>
      <c r="N3784">
        <v>3.35</v>
      </c>
      <c r="O3784">
        <v>10.01</v>
      </c>
      <c r="P3784">
        <v>37.700000000000003</v>
      </c>
      <c r="Q3784">
        <v>2.13</v>
      </c>
      <c r="R3784">
        <v>35</v>
      </c>
      <c r="S3784">
        <v>36.99</v>
      </c>
      <c r="T3784">
        <v>325745</v>
      </c>
      <c r="U3784">
        <v>36.200000000000003</v>
      </c>
      <c r="V3784">
        <v>34.270000000000003</v>
      </c>
      <c r="W3784">
        <v>26.23</v>
      </c>
      <c r="X3784" t="s">
        <v>868</v>
      </c>
      <c r="Y3784" t="s">
        <v>585</v>
      </c>
      <c r="Z3784">
        <v>7.88</v>
      </c>
      <c r="AA3784">
        <v>37.18</v>
      </c>
      <c r="AB3784">
        <v>186778</v>
      </c>
      <c r="AC3784">
        <v>138967</v>
      </c>
      <c r="AD3784">
        <v>1.34</v>
      </c>
      <c r="AE3784">
        <v>1</v>
      </c>
      <c r="AF3784">
        <v>2822</v>
      </c>
      <c r="AG3784" t="s">
        <v>120</v>
      </c>
      <c r="AH3784">
        <v>0.66</v>
      </c>
      <c r="AI3784" t="s">
        <v>120</v>
      </c>
      <c r="AJ3784">
        <v>0.85</v>
      </c>
      <c r="AK3784" t="s">
        <v>15262</v>
      </c>
      <c r="AL3784">
        <v>6.98</v>
      </c>
      <c r="AM3784">
        <v>3684</v>
      </c>
      <c r="AN3784">
        <v>88</v>
      </c>
      <c r="AO3784">
        <v>1.04E-2</v>
      </c>
      <c r="AP3784">
        <v>4</v>
      </c>
      <c r="AQ3784">
        <v>3.32</v>
      </c>
      <c r="AR3784">
        <v>20.07</v>
      </c>
      <c r="AS3784">
        <v>19.350000000000001</v>
      </c>
      <c r="AT3784">
        <v>43.26</v>
      </c>
      <c r="AU3784">
        <v>58.15</v>
      </c>
      <c r="AV3784">
        <v>5</v>
      </c>
      <c r="AW3784">
        <v>38.46</v>
      </c>
      <c r="AX3784">
        <v>60.12</v>
      </c>
      <c r="AY3784">
        <v>27.01</v>
      </c>
      <c r="AZ3784">
        <v>23.49</v>
      </c>
      <c r="BA3784">
        <v>1.24</v>
      </c>
      <c r="BB3784" t="s">
        <v>4512</v>
      </c>
      <c r="BF3784">
        <v>8.51</v>
      </c>
      <c r="BG3784">
        <v>-2.14</v>
      </c>
      <c r="BH3784">
        <v>-3.98</v>
      </c>
      <c r="BI3784">
        <v>3.43</v>
      </c>
      <c r="BJ3784">
        <v>20210827</v>
      </c>
      <c r="BK3784">
        <v>20190627</v>
      </c>
      <c r="BL3784">
        <v>1.41</v>
      </c>
      <c r="BM3784" t="s">
        <v>120</v>
      </c>
      <c r="BN3784" t="s">
        <v>120</v>
      </c>
      <c r="BO3784">
        <v>26.38</v>
      </c>
      <c r="BP3784">
        <v>36.15</v>
      </c>
      <c r="BQ3784">
        <v>15.28</v>
      </c>
      <c r="BR3784">
        <v>0.94</v>
      </c>
      <c r="BS3784">
        <v>38.53</v>
      </c>
      <c r="BT3784">
        <v>15.14</v>
      </c>
      <c r="BU3784">
        <v>7.1</v>
      </c>
      <c r="BV3784">
        <v>1.54</v>
      </c>
      <c r="BW3784">
        <v>8.5299999999999994</v>
      </c>
      <c r="BX3784">
        <v>3.53</v>
      </c>
      <c r="BY3784">
        <v>2.92</v>
      </c>
      <c r="BZ3784">
        <v>2.38</v>
      </c>
      <c r="CA3784" t="s">
        <v>120</v>
      </c>
      <c r="CB3784">
        <v>5.1100000000000003</v>
      </c>
      <c r="CC3784">
        <v>13.29</v>
      </c>
      <c r="CD3784">
        <v>11.01</v>
      </c>
      <c r="CE3784">
        <v>1.22</v>
      </c>
      <c r="CF3784">
        <v>0.06</v>
      </c>
      <c r="CG3784">
        <v>1.21</v>
      </c>
      <c r="CH3784">
        <v>1.05</v>
      </c>
      <c r="CI3784">
        <v>0.97</v>
      </c>
      <c r="CJ3784">
        <v>1.93</v>
      </c>
      <c r="CK3784">
        <v>0.84</v>
      </c>
      <c r="CL3784">
        <v>8.08</v>
      </c>
      <c r="CM3784">
        <v>0.16</v>
      </c>
      <c r="CN3784">
        <v>0.28999999999999998</v>
      </c>
      <c r="CO3784">
        <v>16326</v>
      </c>
      <c r="CP3784">
        <v>5188</v>
      </c>
      <c r="CQ3784" t="s">
        <v>4830</v>
      </c>
      <c r="CR3784">
        <v>-21.58</v>
      </c>
      <c r="CS3784">
        <v>24.24</v>
      </c>
      <c r="CT3784">
        <v>3.34</v>
      </c>
      <c r="CU3784">
        <v>327.36</v>
      </c>
      <c r="CV3784">
        <v>3.84</v>
      </c>
      <c r="CW3784">
        <v>1.31</v>
      </c>
      <c r="CX3784" t="s">
        <v>2797</v>
      </c>
      <c r="CY3784">
        <v>10.84</v>
      </c>
      <c r="CZ3784">
        <v>0</v>
      </c>
      <c r="DA3784">
        <v>3.63</v>
      </c>
      <c r="DB3784">
        <v>5.74</v>
      </c>
      <c r="DC3784">
        <v>0.11</v>
      </c>
      <c r="DD3784">
        <v>57.92</v>
      </c>
      <c r="DE3784" t="s">
        <v>987</v>
      </c>
      <c r="DF3784">
        <v>17.18</v>
      </c>
      <c r="DG3784">
        <v>9.16</v>
      </c>
      <c r="DH3784">
        <v>7.31</v>
      </c>
      <c r="DI3784">
        <v>0.45</v>
      </c>
      <c r="DJ3784">
        <v>899</v>
      </c>
      <c r="DK3784">
        <v>603867</v>
      </c>
      <c r="DL3784" t="s">
        <v>120</v>
      </c>
      <c r="DM3784" t="s">
        <v>120</v>
      </c>
      <c r="DN3784" t="s">
        <v>120</v>
      </c>
    </row>
    <row r="3785" spans="1:118">
      <c r="A3785" t="str">
        <f>"603868"</f>
        <v>603868</v>
      </c>
      <c r="B3785" t="s">
        <v>15623</v>
      </c>
      <c r="C3785">
        <v>2.85</v>
      </c>
      <c r="D3785">
        <v>0.51</v>
      </c>
      <c r="E3785">
        <v>-0.49</v>
      </c>
      <c r="F3785">
        <v>277</v>
      </c>
      <c r="G3785" t="s">
        <v>422</v>
      </c>
      <c r="H3785">
        <v>2743.87</v>
      </c>
      <c r="I3785">
        <v>5.76</v>
      </c>
      <c r="J3785" t="s">
        <v>120</v>
      </c>
      <c r="K3785" t="s">
        <v>15624</v>
      </c>
      <c r="L3785">
        <v>0.16</v>
      </c>
      <c r="M3785">
        <v>39.700000000000003</v>
      </c>
      <c r="N3785">
        <v>1.32</v>
      </c>
      <c r="O3785">
        <v>3.29</v>
      </c>
      <c r="P3785">
        <v>39.869999999999997</v>
      </c>
      <c r="Q3785">
        <v>-0.65</v>
      </c>
      <c r="R3785">
        <v>38.35</v>
      </c>
      <c r="S3785">
        <v>38.409999999999997</v>
      </c>
      <c r="T3785">
        <v>6989</v>
      </c>
      <c r="U3785">
        <v>39.700000000000003</v>
      </c>
      <c r="V3785">
        <v>38.6</v>
      </c>
      <c r="W3785">
        <v>27.55</v>
      </c>
      <c r="X3785" t="s">
        <v>205</v>
      </c>
      <c r="Y3785" t="s">
        <v>1510</v>
      </c>
      <c r="Z3785">
        <v>3.94</v>
      </c>
      <c r="AA3785">
        <v>39.26</v>
      </c>
      <c r="AB3785">
        <v>3100</v>
      </c>
      <c r="AC3785">
        <v>3889</v>
      </c>
      <c r="AD3785">
        <v>0.8</v>
      </c>
      <c r="AE3785">
        <v>10</v>
      </c>
      <c r="AF3785">
        <v>88</v>
      </c>
      <c r="AG3785" t="s">
        <v>120</v>
      </c>
      <c r="AH3785">
        <v>0</v>
      </c>
      <c r="AI3785" t="s">
        <v>120</v>
      </c>
      <c r="AJ3785">
        <v>4.3600000000000003</v>
      </c>
      <c r="AK3785" t="s">
        <v>15624</v>
      </c>
      <c r="AL3785">
        <v>4.1900000000000004</v>
      </c>
      <c r="AM3785">
        <v>1051</v>
      </c>
      <c r="AN3785">
        <v>7</v>
      </c>
      <c r="AO3785">
        <v>2.0000000000000001E-4</v>
      </c>
      <c r="AP3785">
        <v>1</v>
      </c>
      <c r="AQ3785">
        <v>0</v>
      </c>
      <c r="AR3785">
        <v>0.43</v>
      </c>
      <c r="AS3785">
        <v>0.64</v>
      </c>
      <c r="AT3785">
        <v>-6.06</v>
      </c>
      <c r="AU3785">
        <v>-13.28</v>
      </c>
      <c r="AV3785">
        <v>0</v>
      </c>
      <c r="AW3785">
        <v>1.6</v>
      </c>
      <c r="AX3785">
        <v>10.01</v>
      </c>
      <c r="AY3785">
        <v>25.25</v>
      </c>
      <c r="AZ3785">
        <v>26.34</v>
      </c>
      <c r="BA3785">
        <v>0.54</v>
      </c>
      <c r="BB3785" t="s">
        <v>143</v>
      </c>
      <c r="BF3785">
        <v>1.71</v>
      </c>
      <c r="BG3785">
        <v>3.36</v>
      </c>
      <c r="BH3785">
        <v>-0.43</v>
      </c>
      <c r="BI3785">
        <v>3.52</v>
      </c>
      <c r="BJ3785">
        <v>20210902</v>
      </c>
      <c r="BK3785">
        <v>20160418</v>
      </c>
      <c r="BL3785">
        <v>4.3600000000000003</v>
      </c>
      <c r="BM3785" t="s">
        <v>120</v>
      </c>
      <c r="BN3785" t="s">
        <v>120</v>
      </c>
      <c r="BO3785">
        <v>37.14</v>
      </c>
      <c r="BP3785">
        <v>39.549999999999997</v>
      </c>
      <c r="BQ3785">
        <v>27.13</v>
      </c>
      <c r="BR3785">
        <v>0.02</v>
      </c>
      <c r="BS3785">
        <v>26.91</v>
      </c>
      <c r="BT3785">
        <v>19.39</v>
      </c>
      <c r="BU3785">
        <v>6.18</v>
      </c>
      <c r="BV3785">
        <v>2.04</v>
      </c>
      <c r="BW3785">
        <v>9.07</v>
      </c>
      <c r="BX3785">
        <v>5.0999999999999996</v>
      </c>
      <c r="BY3785">
        <v>5.79</v>
      </c>
      <c r="BZ3785">
        <v>4.82</v>
      </c>
      <c r="CA3785" t="s">
        <v>120</v>
      </c>
      <c r="CB3785">
        <v>6.91</v>
      </c>
      <c r="CC3785">
        <v>17.510000000000002</v>
      </c>
      <c r="CD3785">
        <v>9.41</v>
      </c>
      <c r="CE3785">
        <v>3.8</v>
      </c>
      <c r="CF3785">
        <v>7.0000000000000007E-2</v>
      </c>
      <c r="CG3785">
        <v>4.1900000000000004</v>
      </c>
      <c r="CH3785">
        <v>3.13</v>
      </c>
      <c r="CI3785">
        <v>3.14</v>
      </c>
      <c r="CJ3785">
        <v>1.1000000000000001</v>
      </c>
      <c r="CK3785">
        <v>2.74</v>
      </c>
      <c r="CL3785">
        <v>13.69</v>
      </c>
      <c r="CM3785">
        <v>2.14</v>
      </c>
      <c r="CN3785">
        <v>0.97</v>
      </c>
      <c r="CO3785">
        <v>9293</v>
      </c>
      <c r="CP3785">
        <v>4692</v>
      </c>
      <c r="CQ3785" t="s">
        <v>15625</v>
      </c>
      <c r="CR3785">
        <v>9.6300000000000008</v>
      </c>
      <c r="CS3785">
        <v>17.72</v>
      </c>
      <c r="CT3785">
        <v>6.37</v>
      </c>
      <c r="CU3785">
        <v>80.680000000000007</v>
      </c>
      <c r="CV3785">
        <v>9.8800000000000008</v>
      </c>
      <c r="CW3785">
        <v>2.59</v>
      </c>
      <c r="CX3785" t="s">
        <v>3301</v>
      </c>
      <c r="CY3785">
        <v>6.23</v>
      </c>
      <c r="CZ3785">
        <v>0</v>
      </c>
      <c r="DA3785">
        <v>1.59</v>
      </c>
      <c r="DB3785">
        <v>3.14</v>
      </c>
      <c r="DC3785">
        <v>0.49</v>
      </c>
      <c r="DD3785">
        <v>73.05</v>
      </c>
      <c r="DE3785" t="s">
        <v>12185</v>
      </c>
      <c r="DF3785">
        <v>46.24</v>
      </c>
      <c r="DG3785">
        <v>21.69</v>
      </c>
      <c r="DH3785">
        <v>17.93</v>
      </c>
      <c r="DI3785">
        <v>0.53</v>
      </c>
      <c r="DJ3785">
        <v>2996</v>
      </c>
      <c r="DK3785">
        <v>603868</v>
      </c>
      <c r="DL3785" t="s">
        <v>120</v>
      </c>
      <c r="DM3785" t="s">
        <v>120</v>
      </c>
      <c r="DN3785" t="s">
        <v>120</v>
      </c>
    </row>
    <row r="3786" spans="1:118">
      <c r="A3786" t="str">
        <f>"603869"</f>
        <v>603869</v>
      </c>
      <c r="B3786" t="s">
        <v>15626</v>
      </c>
      <c r="C3786">
        <v>-3.12</v>
      </c>
      <c r="D3786">
        <v>-0.28000000000000003</v>
      </c>
      <c r="E3786">
        <v>-0.85</v>
      </c>
      <c r="F3786">
        <v>225</v>
      </c>
      <c r="G3786" t="s">
        <v>5462</v>
      </c>
      <c r="H3786">
        <v>5180.05</v>
      </c>
      <c r="I3786">
        <v>6.72</v>
      </c>
      <c r="J3786" t="s">
        <v>120</v>
      </c>
      <c r="K3786" t="s">
        <v>15627</v>
      </c>
      <c r="L3786">
        <v>0.98</v>
      </c>
      <c r="M3786">
        <v>10.26</v>
      </c>
      <c r="N3786">
        <v>0.74</v>
      </c>
      <c r="O3786">
        <v>0.66</v>
      </c>
      <c r="P3786">
        <v>10.66</v>
      </c>
      <c r="Q3786">
        <v>-3.12</v>
      </c>
      <c r="R3786">
        <v>10.26</v>
      </c>
      <c r="S3786">
        <v>10.5</v>
      </c>
      <c r="T3786">
        <v>49529</v>
      </c>
      <c r="U3786">
        <v>10.29</v>
      </c>
      <c r="V3786">
        <v>10.59</v>
      </c>
      <c r="W3786">
        <v>31.21</v>
      </c>
      <c r="X3786" t="s">
        <v>141</v>
      </c>
      <c r="Y3786" t="s">
        <v>945</v>
      </c>
      <c r="Z3786">
        <v>3.78</v>
      </c>
      <c r="AA3786">
        <v>10.46</v>
      </c>
      <c r="AB3786">
        <v>28522</v>
      </c>
      <c r="AC3786">
        <v>21007</v>
      </c>
      <c r="AD3786">
        <v>1.36</v>
      </c>
      <c r="AE3786">
        <v>123</v>
      </c>
      <c r="AF3786">
        <v>3</v>
      </c>
      <c r="AG3786" t="s">
        <v>120</v>
      </c>
      <c r="AH3786">
        <v>0</v>
      </c>
      <c r="AI3786" t="s">
        <v>120</v>
      </c>
      <c r="AJ3786">
        <v>5.05</v>
      </c>
      <c r="AK3786" t="s">
        <v>15627</v>
      </c>
      <c r="AL3786">
        <v>-1.77</v>
      </c>
      <c r="AM3786">
        <v>2099</v>
      </c>
      <c r="AN3786">
        <v>24</v>
      </c>
      <c r="AO3786">
        <v>5.0000000000000001E-4</v>
      </c>
      <c r="AP3786">
        <v>-1</v>
      </c>
      <c r="AQ3786">
        <v>3.02</v>
      </c>
      <c r="AR3786">
        <v>3.01</v>
      </c>
      <c r="AS3786">
        <v>13.88</v>
      </c>
      <c r="AT3786">
        <v>14.89</v>
      </c>
      <c r="AU3786">
        <v>5.34</v>
      </c>
      <c r="AV3786">
        <v>0</v>
      </c>
      <c r="AW3786">
        <v>2.48</v>
      </c>
      <c r="AX3786">
        <v>39.65</v>
      </c>
      <c r="AY3786">
        <v>22.12</v>
      </c>
      <c r="AZ3786">
        <v>315.24</v>
      </c>
      <c r="BA3786">
        <v>0.62</v>
      </c>
      <c r="BB3786" t="s">
        <v>751</v>
      </c>
      <c r="BF3786">
        <v>-1.24</v>
      </c>
      <c r="BG3786">
        <v>-2.29</v>
      </c>
      <c r="BH3786">
        <v>-3.75</v>
      </c>
      <c r="BI3786">
        <v>0</v>
      </c>
      <c r="BJ3786">
        <v>20210901</v>
      </c>
      <c r="BK3786">
        <v>20150326</v>
      </c>
      <c r="BL3786">
        <v>5.05</v>
      </c>
      <c r="BM3786" t="s">
        <v>120</v>
      </c>
      <c r="BN3786" t="s">
        <v>120</v>
      </c>
      <c r="BO3786">
        <v>54.79</v>
      </c>
      <c r="BP3786">
        <v>10.26</v>
      </c>
      <c r="BQ3786">
        <v>40.46</v>
      </c>
      <c r="BR3786">
        <v>0.23</v>
      </c>
      <c r="BS3786">
        <v>25.74</v>
      </c>
      <c r="BT3786">
        <v>38.92</v>
      </c>
      <c r="BU3786">
        <v>3.47</v>
      </c>
      <c r="BV3786">
        <v>1.99</v>
      </c>
      <c r="BW3786">
        <v>13.89</v>
      </c>
      <c r="BX3786">
        <v>16.850000000000001</v>
      </c>
      <c r="BY3786">
        <v>1.7</v>
      </c>
      <c r="BZ3786">
        <v>16.05</v>
      </c>
      <c r="CA3786" t="s">
        <v>120</v>
      </c>
      <c r="CB3786">
        <v>25.47</v>
      </c>
      <c r="CC3786">
        <v>3.47</v>
      </c>
      <c r="CD3786">
        <v>2.02</v>
      </c>
      <c r="CE3786">
        <v>0.82</v>
      </c>
      <c r="CF3786">
        <v>0.48</v>
      </c>
      <c r="CG3786">
        <v>0.81</v>
      </c>
      <c r="CH3786">
        <v>0.85</v>
      </c>
      <c r="CI3786">
        <v>0.83</v>
      </c>
      <c r="CJ3786">
        <v>-0.33</v>
      </c>
      <c r="CK3786">
        <v>0.2</v>
      </c>
      <c r="CL3786">
        <v>10.28</v>
      </c>
      <c r="CM3786">
        <v>1.75</v>
      </c>
      <c r="CN3786">
        <v>-0.45</v>
      </c>
      <c r="CO3786">
        <v>16691</v>
      </c>
      <c r="CP3786">
        <v>11986</v>
      </c>
      <c r="CQ3786" t="s">
        <v>2498</v>
      </c>
      <c r="CR3786">
        <v>158.53</v>
      </c>
      <c r="CS3786">
        <v>-5.79</v>
      </c>
      <c r="CT3786">
        <v>1.28</v>
      </c>
      <c r="CU3786">
        <v>29.65</v>
      </c>
      <c r="CV3786">
        <v>14.92</v>
      </c>
      <c r="CW3786">
        <v>0.09</v>
      </c>
      <c r="CX3786" t="s">
        <v>1193</v>
      </c>
      <c r="CY3786">
        <v>8.02</v>
      </c>
      <c r="CZ3786">
        <v>0</v>
      </c>
      <c r="DA3786">
        <v>5.05</v>
      </c>
      <c r="DB3786">
        <v>2.04</v>
      </c>
      <c r="DC3786">
        <v>0.35</v>
      </c>
      <c r="DD3786">
        <v>73.849999999999994</v>
      </c>
      <c r="DE3786" t="s">
        <v>234</v>
      </c>
      <c r="DF3786">
        <v>41.65</v>
      </c>
      <c r="DG3786">
        <v>23.7</v>
      </c>
      <c r="DH3786">
        <v>23.9</v>
      </c>
      <c r="DI3786">
        <v>0.67</v>
      </c>
      <c r="DJ3786">
        <v>588</v>
      </c>
      <c r="DK3786">
        <v>603869</v>
      </c>
      <c r="DL3786" t="s">
        <v>120</v>
      </c>
      <c r="DM3786" t="s">
        <v>120</v>
      </c>
      <c r="DN3786" t="s">
        <v>120</v>
      </c>
    </row>
    <row r="3787" spans="1:118">
      <c r="A3787" t="str">
        <f>"603871"</f>
        <v>603871</v>
      </c>
      <c r="B3787" t="s">
        <v>15628</v>
      </c>
      <c r="C3787">
        <v>-1.67</v>
      </c>
      <c r="D3787">
        <v>-0.28000000000000003</v>
      </c>
      <c r="E3787">
        <v>-0.06</v>
      </c>
      <c r="F3787">
        <v>285</v>
      </c>
      <c r="G3787" t="s">
        <v>9188</v>
      </c>
      <c r="H3787">
        <v>1437.68</v>
      </c>
      <c r="I3787">
        <v>0.17</v>
      </c>
      <c r="J3787" t="s">
        <v>120</v>
      </c>
      <c r="K3787" t="s">
        <v>13644</v>
      </c>
      <c r="L3787">
        <v>0.28999999999999998</v>
      </c>
      <c r="M3787">
        <v>17.059999999999999</v>
      </c>
      <c r="N3787">
        <v>0.77</v>
      </c>
      <c r="O3787">
        <v>2.02</v>
      </c>
      <c r="P3787">
        <v>17.7</v>
      </c>
      <c r="Q3787">
        <v>-1.9</v>
      </c>
      <c r="R3787">
        <v>17.02</v>
      </c>
      <c r="S3787">
        <v>17.34</v>
      </c>
      <c r="T3787">
        <v>8330</v>
      </c>
      <c r="U3787">
        <v>17.079999999999998</v>
      </c>
      <c r="V3787">
        <v>17.350000000000001</v>
      </c>
      <c r="W3787">
        <v>15.52</v>
      </c>
      <c r="X3787" t="s">
        <v>2775</v>
      </c>
      <c r="Y3787" t="s">
        <v>158</v>
      </c>
      <c r="Z3787">
        <v>3.92</v>
      </c>
      <c r="AA3787">
        <v>17.260000000000002</v>
      </c>
      <c r="AB3787">
        <v>5478</v>
      </c>
      <c r="AC3787">
        <v>2852</v>
      </c>
      <c r="AD3787">
        <v>1.92</v>
      </c>
      <c r="AE3787">
        <v>4</v>
      </c>
      <c r="AF3787">
        <v>15</v>
      </c>
      <c r="AG3787" t="s">
        <v>120</v>
      </c>
      <c r="AH3787">
        <v>0</v>
      </c>
      <c r="AI3787" t="s">
        <v>120</v>
      </c>
      <c r="AJ3787">
        <v>2.85</v>
      </c>
      <c r="AK3787" t="s">
        <v>13644</v>
      </c>
      <c r="AL3787">
        <v>-0.33</v>
      </c>
      <c r="AM3787">
        <v>980</v>
      </c>
      <c r="AN3787">
        <v>9</v>
      </c>
      <c r="AO3787">
        <v>2.9999999999999997E-4</v>
      </c>
      <c r="AP3787">
        <v>-3</v>
      </c>
      <c r="AQ3787">
        <v>-1.25</v>
      </c>
      <c r="AR3787">
        <v>-5.22</v>
      </c>
      <c r="AS3787">
        <v>0.3</v>
      </c>
      <c r="AT3787">
        <v>5.04</v>
      </c>
      <c r="AU3787">
        <v>8.1300000000000008</v>
      </c>
      <c r="AV3787">
        <v>1</v>
      </c>
      <c r="AW3787">
        <v>1.02</v>
      </c>
      <c r="AX3787">
        <v>28.75</v>
      </c>
      <c r="AY3787">
        <v>13.64</v>
      </c>
      <c r="AZ3787">
        <v>13.75</v>
      </c>
      <c r="BA3787">
        <v>0.76</v>
      </c>
      <c r="BB3787" t="s">
        <v>125</v>
      </c>
      <c r="BF3787">
        <v>-0.53</v>
      </c>
      <c r="BG3787">
        <v>-1.61</v>
      </c>
      <c r="BH3787">
        <v>-3.62</v>
      </c>
      <c r="BI3787">
        <v>0.24</v>
      </c>
      <c r="BJ3787">
        <v>20210830</v>
      </c>
      <c r="BK3787">
        <v>20180206</v>
      </c>
      <c r="BL3787">
        <v>2.85</v>
      </c>
      <c r="BM3787" t="s">
        <v>120</v>
      </c>
      <c r="BN3787" t="s">
        <v>120</v>
      </c>
      <c r="BO3787">
        <v>35.76</v>
      </c>
      <c r="BP3787">
        <v>17.059999999999999</v>
      </c>
      <c r="BQ3787">
        <v>20.94</v>
      </c>
      <c r="BR3787">
        <v>0.7</v>
      </c>
      <c r="BS3787">
        <v>39.47</v>
      </c>
      <c r="BT3787">
        <v>20.190000000000001</v>
      </c>
      <c r="BU3787">
        <v>4.8499999999999996</v>
      </c>
      <c r="BV3787">
        <v>1.43</v>
      </c>
      <c r="BW3787">
        <v>7.4</v>
      </c>
      <c r="BX3787">
        <v>10.029999999999999</v>
      </c>
      <c r="BY3787">
        <v>1.9</v>
      </c>
      <c r="BZ3787">
        <v>2.2599999999999998</v>
      </c>
      <c r="CA3787" t="s">
        <v>120</v>
      </c>
      <c r="CB3787">
        <v>6.86</v>
      </c>
      <c r="CC3787">
        <v>14.94</v>
      </c>
      <c r="CD3787">
        <v>12.8</v>
      </c>
      <c r="CE3787">
        <v>1.82</v>
      </c>
      <c r="CF3787">
        <v>0.04</v>
      </c>
      <c r="CG3787">
        <v>1.81</v>
      </c>
      <c r="CH3787">
        <v>1.57</v>
      </c>
      <c r="CI3787">
        <v>1.57</v>
      </c>
      <c r="CJ3787">
        <v>-0.28999999999999998</v>
      </c>
      <c r="CK3787">
        <v>1.49</v>
      </c>
      <c r="CL3787">
        <v>9.6999999999999993</v>
      </c>
      <c r="CM3787">
        <v>-3.13</v>
      </c>
      <c r="CN3787">
        <v>-6.15</v>
      </c>
      <c r="CO3787">
        <v>9792</v>
      </c>
      <c r="CP3787">
        <v>8380</v>
      </c>
      <c r="CQ3787" t="s">
        <v>433</v>
      </c>
      <c r="CR3787">
        <v>1.82</v>
      </c>
      <c r="CS3787">
        <v>4.5</v>
      </c>
      <c r="CT3787">
        <v>2.44</v>
      </c>
      <c r="CU3787">
        <v>-15.55</v>
      </c>
      <c r="CV3787">
        <v>3.26</v>
      </c>
      <c r="CW3787">
        <v>4.43</v>
      </c>
      <c r="CX3787" t="s">
        <v>1581</v>
      </c>
      <c r="CY3787">
        <v>6.98</v>
      </c>
      <c r="CZ3787">
        <v>6.98</v>
      </c>
      <c r="DA3787">
        <v>2.4</v>
      </c>
      <c r="DB3787">
        <v>3.4</v>
      </c>
      <c r="DC3787">
        <v>-1.1000000000000001</v>
      </c>
      <c r="DD3787">
        <v>58.56</v>
      </c>
      <c r="DE3787" t="s">
        <v>11768</v>
      </c>
      <c r="DF3787">
        <v>14.35</v>
      </c>
      <c r="DG3787">
        <v>12.16</v>
      </c>
      <c r="DH3787">
        <v>10.5</v>
      </c>
      <c r="DI3787">
        <v>0.05</v>
      </c>
      <c r="DJ3787">
        <v>489</v>
      </c>
      <c r="DK3787">
        <v>603871</v>
      </c>
      <c r="DL3787" t="s">
        <v>120</v>
      </c>
      <c r="DM3787" t="s">
        <v>120</v>
      </c>
      <c r="DN3787" t="s">
        <v>120</v>
      </c>
    </row>
    <row r="3788" spans="1:118">
      <c r="A3788" t="str">
        <f>"603876"</f>
        <v>603876</v>
      </c>
      <c r="B3788" t="s">
        <v>15629</v>
      </c>
      <c r="C3788">
        <v>-5.19</v>
      </c>
      <c r="D3788">
        <v>0.21</v>
      </c>
      <c r="E3788">
        <v>0.02</v>
      </c>
      <c r="F3788">
        <v>1442</v>
      </c>
      <c r="G3788" t="s">
        <v>15630</v>
      </c>
      <c r="H3788">
        <v>36694.29</v>
      </c>
      <c r="I3788">
        <v>113.73</v>
      </c>
      <c r="J3788" t="s">
        <v>120</v>
      </c>
      <c r="K3788" t="s">
        <v>15631</v>
      </c>
      <c r="L3788">
        <v>1.58</v>
      </c>
      <c r="M3788">
        <v>47.28</v>
      </c>
      <c r="N3788">
        <v>0.92</v>
      </c>
      <c r="O3788">
        <v>0.06</v>
      </c>
      <c r="P3788">
        <v>49.9</v>
      </c>
      <c r="Q3788">
        <v>-7.76</v>
      </c>
      <c r="R3788">
        <v>46</v>
      </c>
      <c r="S3788">
        <v>49.88</v>
      </c>
      <c r="T3788">
        <v>76282</v>
      </c>
      <c r="U3788">
        <v>47.3</v>
      </c>
      <c r="V3788">
        <v>49.87</v>
      </c>
      <c r="W3788">
        <v>75.19</v>
      </c>
      <c r="X3788" t="s">
        <v>1325</v>
      </c>
      <c r="Y3788" t="s">
        <v>319</v>
      </c>
      <c r="Z3788">
        <v>7.82</v>
      </c>
      <c r="AA3788">
        <v>48.1</v>
      </c>
      <c r="AB3788">
        <v>43975</v>
      </c>
      <c r="AC3788">
        <v>32307</v>
      </c>
      <c r="AD3788">
        <v>1.36</v>
      </c>
      <c r="AE3788">
        <v>288</v>
      </c>
      <c r="AF3788">
        <v>35</v>
      </c>
      <c r="AG3788" t="s">
        <v>120</v>
      </c>
      <c r="AH3788">
        <v>0.01</v>
      </c>
      <c r="AI3788" t="s">
        <v>120</v>
      </c>
      <c r="AJ3788">
        <v>4.84</v>
      </c>
      <c r="AK3788" t="s">
        <v>15631</v>
      </c>
      <c r="AL3788">
        <v>-3.85</v>
      </c>
      <c r="AM3788">
        <v>3250</v>
      </c>
      <c r="AN3788">
        <v>23</v>
      </c>
      <c r="AO3788">
        <v>5.0000000000000001E-4</v>
      </c>
      <c r="AP3788">
        <v>-1</v>
      </c>
      <c r="AQ3788">
        <v>2.82</v>
      </c>
      <c r="AR3788">
        <v>-0.4</v>
      </c>
      <c r="AS3788">
        <v>27.27</v>
      </c>
      <c r="AT3788">
        <v>66.069999999999993</v>
      </c>
      <c r="AU3788">
        <v>209.22</v>
      </c>
      <c r="AV3788">
        <v>11</v>
      </c>
      <c r="AW3788">
        <v>3.61</v>
      </c>
      <c r="AX3788">
        <v>43.65</v>
      </c>
      <c r="AY3788">
        <v>161.22</v>
      </c>
      <c r="AZ3788" t="s">
        <v>120</v>
      </c>
      <c r="BA3788">
        <v>0.56000000000000005</v>
      </c>
      <c r="BB3788" t="s">
        <v>184</v>
      </c>
      <c r="BF3788">
        <v>-3.54</v>
      </c>
      <c r="BG3788">
        <v>-5.21</v>
      </c>
      <c r="BH3788">
        <v>-5.25</v>
      </c>
      <c r="BI3788">
        <v>2.78</v>
      </c>
      <c r="BJ3788">
        <v>20210909</v>
      </c>
      <c r="BK3788">
        <v>20180418</v>
      </c>
      <c r="BL3788">
        <v>4.84</v>
      </c>
      <c r="BM3788" t="s">
        <v>120</v>
      </c>
      <c r="BN3788" t="s">
        <v>120</v>
      </c>
      <c r="BO3788">
        <v>162.87</v>
      </c>
      <c r="BP3788">
        <v>47.28</v>
      </c>
      <c r="BQ3788">
        <v>44.66</v>
      </c>
      <c r="BR3788">
        <v>0.12</v>
      </c>
      <c r="BS3788">
        <v>72.510000000000005</v>
      </c>
      <c r="BT3788">
        <v>100.78</v>
      </c>
      <c r="BU3788">
        <v>45.39</v>
      </c>
      <c r="BV3788">
        <v>3.35</v>
      </c>
      <c r="BW3788">
        <v>91.93</v>
      </c>
      <c r="BX3788">
        <v>25.14</v>
      </c>
      <c r="BY3788">
        <v>31.86</v>
      </c>
      <c r="BZ3788">
        <v>20.9</v>
      </c>
      <c r="CA3788" t="s">
        <v>120</v>
      </c>
      <c r="CB3788">
        <v>21.47</v>
      </c>
      <c r="CC3788">
        <v>80.489999999999995</v>
      </c>
      <c r="CD3788">
        <v>71.680000000000007</v>
      </c>
      <c r="CE3788">
        <v>1.91</v>
      </c>
      <c r="CF3788">
        <v>-0.65</v>
      </c>
      <c r="CG3788">
        <v>1.87</v>
      </c>
      <c r="CH3788">
        <v>1.51</v>
      </c>
      <c r="CI3788">
        <v>1.52</v>
      </c>
      <c r="CJ3788">
        <v>-2.59</v>
      </c>
      <c r="CK3788">
        <v>1.3</v>
      </c>
      <c r="CL3788">
        <v>15.88</v>
      </c>
      <c r="CM3788">
        <v>-0.88</v>
      </c>
      <c r="CN3788">
        <v>2.73</v>
      </c>
      <c r="CO3788">
        <v>27813</v>
      </c>
      <c r="CP3788">
        <v>7590</v>
      </c>
      <c r="CQ3788" t="s">
        <v>15632</v>
      </c>
      <c r="CR3788">
        <v>1311.65</v>
      </c>
      <c r="CS3788">
        <v>42.49</v>
      </c>
      <c r="CT3788">
        <v>5.12</v>
      </c>
      <c r="CU3788">
        <v>-259.75</v>
      </c>
      <c r="CV3788">
        <v>2.84</v>
      </c>
      <c r="CW3788">
        <v>0</v>
      </c>
      <c r="CX3788" t="s">
        <v>817</v>
      </c>
      <c r="CY3788">
        <v>9.23</v>
      </c>
      <c r="CZ3788">
        <v>9.23</v>
      </c>
      <c r="DA3788">
        <v>4.4400000000000004</v>
      </c>
      <c r="DB3788">
        <v>3.28</v>
      </c>
      <c r="DC3788">
        <v>-0.18</v>
      </c>
      <c r="DD3788">
        <v>27.42</v>
      </c>
      <c r="DE3788" t="s">
        <v>14516</v>
      </c>
      <c r="DF3788">
        <v>10.94</v>
      </c>
      <c r="DG3788">
        <v>2.37</v>
      </c>
      <c r="DH3788">
        <v>1.89</v>
      </c>
      <c r="DI3788">
        <v>2.78</v>
      </c>
      <c r="DJ3788">
        <v>4982</v>
      </c>
      <c r="DK3788">
        <v>603876</v>
      </c>
      <c r="DL3788">
        <v>20210607</v>
      </c>
      <c r="DM3788">
        <v>19.440000000000001</v>
      </c>
      <c r="DN3788">
        <v>143.21</v>
      </c>
    </row>
    <row r="3789" spans="1:118">
      <c r="A3789" t="str">
        <f>"603877"</f>
        <v>603877</v>
      </c>
      <c r="B3789" t="s">
        <v>15633</v>
      </c>
      <c r="C3789">
        <v>-2.72</v>
      </c>
      <c r="D3789">
        <v>0</v>
      </c>
      <c r="E3789">
        <v>2.44</v>
      </c>
      <c r="F3789">
        <v>60</v>
      </c>
      <c r="G3789" t="s">
        <v>5908</v>
      </c>
      <c r="H3789">
        <v>4401.51</v>
      </c>
      <c r="I3789">
        <v>30.88</v>
      </c>
      <c r="J3789" t="s">
        <v>120</v>
      </c>
      <c r="K3789" t="s">
        <v>15634</v>
      </c>
      <c r="L3789">
        <v>0.2</v>
      </c>
      <c r="M3789">
        <v>45.11</v>
      </c>
      <c r="N3789">
        <v>0.66</v>
      </c>
      <c r="O3789">
        <v>2.87</v>
      </c>
      <c r="P3789">
        <v>47.7</v>
      </c>
      <c r="Q3789">
        <v>-2.91</v>
      </c>
      <c r="R3789">
        <v>45.02</v>
      </c>
      <c r="S3789">
        <v>47.5</v>
      </c>
      <c r="T3789">
        <v>9607</v>
      </c>
      <c r="U3789">
        <v>45.16</v>
      </c>
      <c r="V3789">
        <v>46.37</v>
      </c>
      <c r="W3789">
        <v>26.16</v>
      </c>
      <c r="X3789" t="s">
        <v>2806</v>
      </c>
      <c r="Y3789" t="s">
        <v>585</v>
      </c>
      <c r="Z3789">
        <v>5.78</v>
      </c>
      <c r="AA3789">
        <v>45.82</v>
      </c>
      <c r="AB3789">
        <v>6246</v>
      </c>
      <c r="AC3789">
        <v>3361</v>
      </c>
      <c r="AD3789">
        <v>1.86</v>
      </c>
      <c r="AE3789">
        <v>7</v>
      </c>
      <c r="AF3789">
        <v>30</v>
      </c>
      <c r="AG3789" t="s">
        <v>120</v>
      </c>
      <c r="AH3789">
        <v>0.01</v>
      </c>
      <c r="AI3789" t="s">
        <v>120</v>
      </c>
      <c r="AJ3789">
        <v>4.7699999999999996</v>
      </c>
      <c r="AK3789" t="s">
        <v>15634</v>
      </c>
      <c r="AL3789">
        <v>-1.37</v>
      </c>
      <c r="AM3789">
        <v>1812</v>
      </c>
      <c r="AN3789">
        <v>5</v>
      </c>
      <c r="AO3789">
        <v>1E-4</v>
      </c>
      <c r="AP3789">
        <v>-3</v>
      </c>
      <c r="AQ3789">
        <v>-1.05</v>
      </c>
      <c r="AR3789">
        <v>-6.03</v>
      </c>
      <c r="AS3789">
        <v>-11.55</v>
      </c>
      <c r="AT3789">
        <v>-6.99</v>
      </c>
      <c r="AU3789">
        <v>54.48</v>
      </c>
      <c r="AV3789">
        <v>6</v>
      </c>
      <c r="AW3789">
        <v>1.01</v>
      </c>
      <c r="AX3789">
        <v>19.899999999999999</v>
      </c>
      <c r="AY3789">
        <v>22.04</v>
      </c>
      <c r="AZ3789">
        <v>31.01</v>
      </c>
      <c r="BA3789">
        <v>0.6</v>
      </c>
      <c r="BB3789" t="s">
        <v>143</v>
      </c>
      <c r="BF3789">
        <v>-1.19</v>
      </c>
      <c r="BG3789">
        <v>-5.03</v>
      </c>
      <c r="BH3789">
        <v>-5.43</v>
      </c>
      <c r="BI3789">
        <v>0.2</v>
      </c>
      <c r="BJ3789">
        <v>20210831</v>
      </c>
      <c r="BK3789">
        <v>20170109</v>
      </c>
      <c r="BL3789">
        <v>4.7699999999999996</v>
      </c>
      <c r="BM3789" t="s">
        <v>120</v>
      </c>
      <c r="BN3789" t="s">
        <v>120</v>
      </c>
      <c r="BO3789">
        <v>85.13</v>
      </c>
      <c r="BP3789">
        <v>45.11</v>
      </c>
      <c r="BQ3789">
        <v>39.31</v>
      </c>
      <c r="BR3789">
        <v>0.02</v>
      </c>
      <c r="BS3789">
        <v>53.79</v>
      </c>
      <c r="BT3789">
        <v>52.94</v>
      </c>
      <c r="BU3789">
        <v>13.51</v>
      </c>
      <c r="BV3789">
        <v>1.78</v>
      </c>
      <c r="BW3789">
        <v>39.51</v>
      </c>
      <c r="BX3789">
        <v>3.32</v>
      </c>
      <c r="BY3789">
        <v>23.64</v>
      </c>
      <c r="BZ3789">
        <v>4.76</v>
      </c>
      <c r="CA3789" t="s">
        <v>120</v>
      </c>
      <c r="CB3789">
        <v>13.48</v>
      </c>
      <c r="CC3789">
        <v>50.15</v>
      </c>
      <c r="CD3789">
        <v>22.42</v>
      </c>
      <c r="CE3789">
        <v>5.62</v>
      </c>
      <c r="CF3789">
        <v>0.21</v>
      </c>
      <c r="CG3789">
        <v>5.6</v>
      </c>
      <c r="CH3789">
        <v>4.0999999999999996</v>
      </c>
      <c r="CI3789">
        <v>4.1100000000000003</v>
      </c>
      <c r="CJ3789">
        <v>-1.26</v>
      </c>
      <c r="CK3789">
        <v>2.91</v>
      </c>
      <c r="CL3789">
        <v>19.329999999999998</v>
      </c>
      <c r="CM3789">
        <v>0.45</v>
      </c>
      <c r="CN3789">
        <v>-3.02</v>
      </c>
      <c r="CO3789">
        <v>6514</v>
      </c>
      <c r="CP3789">
        <v>14563</v>
      </c>
      <c r="CQ3789" t="s">
        <v>15635</v>
      </c>
      <c r="CR3789">
        <v>240.52</v>
      </c>
      <c r="CS3789">
        <v>55.88</v>
      </c>
      <c r="CT3789">
        <v>5.47</v>
      </c>
      <c r="CU3789">
        <v>476.79</v>
      </c>
      <c r="CV3789">
        <v>4.29</v>
      </c>
      <c r="CW3789">
        <v>1.71</v>
      </c>
      <c r="CX3789" t="s">
        <v>2847</v>
      </c>
      <c r="CY3789">
        <v>8.25</v>
      </c>
      <c r="CZ3789">
        <v>0</v>
      </c>
      <c r="DA3789">
        <v>2.83</v>
      </c>
      <c r="DB3789">
        <v>4.05</v>
      </c>
      <c r="DC3789">
        <v>0.09</v>
      </c>
      <c r="DD3789">
        <v>46.18</v>
      </c>
      <c r="DE3789" t="s">
        <v>10429</v>
      </c>
      <c r="DF3789">
        <v>55.29</v>
      </c>
      <c r="DG3789">
        <v>11.21</v>
      </c>
      <c r="DH3789">
        <v>8.1999999999999993</v>
      </c>
      <c r="DI3789">
        <v>0.68</v>
      </c>
      <c r="DJ3789">
        <v>12081</v>
      </c>
      <c r="DK3789">
        <v>603877</v>
      </c>
      <c r="DL3789" t="s">
        <v>120</v>
      </c>
      <c r="DM3789" t="s">
        <v>120</v>
      </c>
      <c r="DN3789" t="s">
        <v>120</v>
      </c>
    </row>
    <row r="3790" spans="1:118">
      <c r="A3790" t="str">
        <f>"603878"</f>
        <v>603878</v>
      </c>
      <c r="B3790" t="s">
        <v>15636</v>
      </c>
      <c r="C3790">
        <v>8.42</v>
      </c>
      <c r="D3790">
        <v>-0.12</v>
      </c>
      <c r="E3790">
        <v>3.65</v>
      </c>
      <c r="F3790">
        <v>1943</v>
      </c>
      <c r="G3790" t="s">
        <v>7021</v>
      </c>
      <c r="H3790">
        <v>22810.16</v>
      </c>
      <c r="I3790">
        <v>136.35</v>
      </c>
      <c r="J3790" t="s">
        <v>120</v>
      </c>
      <c r="K3790" t="s">
        <v>142</v>
      </c>
      <c r="L3790">
        <v>7.32</v>
      </c>
      <c r="M3790">
        <v>7.73</v>
      </c>
      <c r="N3790">
        <v>4.8899999999999997</v>
      </c>
      <c r="O3790">
        <v>9.9600000000000009</v>
      </c>
      <c r="P3790">
        <v>7.84</v>
      </c>
      <c r="Q3790">
        <v>3.65</v>
      </c>
      <c r="R3790">
        <v>7.39</v>
      </c>
      <c r="S3790">
        <v>7.39</v>
      </c>
      <c r="T3790">
        <v>293234</v>
      </c>
      <c r="U3790">
        <v>7.73</v>
      </c>
      <c r="V3790">
        <v>7.13</v>
      </c>
      <c r="W3790">
        <v>15.52</v>
      </c>
      <c r="X3790" t="s">
        <v>1925</v>
      </c>
      <c r="Y3790" t="s">
        <v>319</v>
      </c>
      <c r="Z3790">
        <v>6.31</v>
      </c>
      <c r="AA3790">
        <v>7.78</v>
      </c>
      <c r="AB3790">
        <v>192671</v>
      </c>
      <c r="AC3790">
        <v>100563</v>
      </c>
      <c r="AD3790">
        <v>1.92</v>
      </c>
      <c r="AE3790">
        <v>111</v>
      </c>
      <c r="AF3790">
        <v>308</v>
      </c>
      <c r="AG3790" t="s">
        <v>120</v>
      </c>
      <c r="AH3790">
        <v>0.09</v>
      </c>
      <c r="AI3790" t="s">
        <v>120</v>
      </c>
      <c r="AJ3790">
        <v>4.01</v>
      </c>
      <c r="AK3790" t="s">
        <v>142</v>
      </c>
      <c r="AL3790">
        <v>9.76</v>
      </c>
      <c r="AM3790">
        <v>2674</v>
      </c>
      <c r="AN3790">
        <v>110</v>
      </c>
      <c r="AO3790">
        <v>2.7000000000000001E-3</v>
      </c>
      <c r="AP3790">
        <v>1</v>
      </c>
      <c r="AQ3790">
        <v>0</v>
      </c>
      <c r="AR3790">
        <v>4.5999999999999996</v>
      </c>
      <c r="AS3790">
        <v>13.51</v>
      </c>
      <c r="AT3790">
        <v>7.36</v>
      </c>
      <c r="AU3790">
        <v>5.17</v>
      </c>
      <c r="AV3790">
        <v>0</v>
      </c>
      <c r="AW3790">
        <v>14.86</v>
      </c>
      <c r="AX3790">
        <v>49.23</v>
      </c>
      <c r="AY3790">
        <v>15.39</v>
      </c>
      <c r="AZ3790">
        <v>12.96</v>
      </c>
      <c r="BA3790">
        <v>0.59</v>
      </c>
      <c r="BB3790" t="s">
        <v>240</v>
      </c>
      <c r="BF3790">
        <v>9.1</v>
      </c>
      <c r="BG3790">
        <v>4.5999999999999996</v>
      </c>
      <c r="BH3790">
        <v>-1.4</v>
      </c>
      <c r="BI3790">
        <v>4.5999999999999996</v>
      </c>
      <c r="BJ3790">
        <v>20210825</v>
      </c>
      <c r="BK3790">
        <v>20161219</v>
      </c>
      <c r="BL3790">
        <v>4.01</v>
      </c>
      <c r="BM3790" t="s">
        <v>120</v>
      </c>
      <c r="BN3790" t="s">
        <v>120</v>
      </c>
      <c r="BO3790">
        <v>36.4</v>
      </c>
      <c r="BP3790">
        <v>7.72</v>
      </c>
      <c r="BQ3790">
        <v>23.95</v>
      </c>
      <c r="BR3790" t="s">
        <v>120</v>
      </c>
      <c r="BS3790">
        <v>34.19</v>
      </c>
      <c r="BT3790">
        <v>27.35</v>
      </c>
      <c r="BU3790">
        <v>5.36</v>
      </c>
      <c r="BV3790">
        <v>0.87</v>
      </c>
      <c r="BW3790">
        <v>12.07</v>
      </c>
      <c r="BX3790">
        <v>5.27</v>
      </c>
      <c r="BY3790">
        <v>9.07</v>
      </c>
      <c r="BZ3790">
        <v>5.33</v>
      </c>
      <c r="CA3790" t="s">
        <v>120</v>
      </c>
      <c r="CB3790">
        <v>9.0299999999999994</v>
      </c>
      <c r="CC3790">
        <v>13.45</v>
      </c>
      <c r="CD3790">
        <v>11.45</v>
      </c>
      <c r="CE3790">
        <v>1.1299999999999999</v>
      </c>
      <c r="CF3790">
        <v>7.0000000000000007E-2</v>
      </c>
      <c r="CG3790">
        <v>1.1399999999999999</v>
      </c>
      <c r="CH3790">
        <v>1</v>
      </c>
      <c r="CI3790">
        <v>1</v>
      </c>
      <c r="CJ3790">
        <v>0.6</v>
      </c>
      <c r="CK3790">
        <v>0.86</v>
      </c>
      <c r="CL3790">
        <v>9.3000000000000007</v>
      </c>
      <c r="CM3790">
        <v>2.86</v>
      </c>
      <c r="CN3790">
        <v>0.83</v>
      </c>
      <c r="CO3790">
        <v>17347</v>
      </c>
      <c r="CP3790">
        <v>11373</v>
      </c>
      <c r="CQ3790" t="s">
        <v>14194</v>
      </c>
      <c r="CR3790">
        <v>-25.81</v>
      </c>
      <c r="CS3790">
        <v>15.44</v>
      </c>
      <c r="CT3790">
        <v>1.29</v>
      </c>
      <c r="CU3790">
        <v>10.85</v>
      </c>
      <c r="CV3790">
        <v>2.2999999999999998</v>
      </c>
      <c r="CW3790">
        <v>3.79</v>
      </c>
      <c r="CX3790" t="s">
        <v>863</v>
      </c>
      <c r="CY3790">
        <v>5.98</v>
      </c>
      <c r="CZ3790">
        <v>0</v>
      </c>
      <c r="DA3790">
        <v>2.25</v>
      </c>
      <c r="DB3790">
        <v>2.3199999999999998</v>
      </c>
      <c r="DC3790">
        <v>0.71</v>
      </c>
      <c r="DD3790">
        <v>65.81</v>
      </c>
      <c r="DE3790" t="s">
        <v>14259</v>
      </c>
      <c r="DF3790">
        <v>14.84</v>
      </c>
      <c r="DG3790">
        <v>8.39</v>
      </c>
      <c r="DH3790">
        <v>7.42</v>
      </c>
      <c r="DI3790">
        <v>0.18</v>
      </c>
      <c r="DJ3790">
        <v>1426</v>
      </c>
      <c r="DK3790">
        <v>603878</v>
      </c>
      <c r="DL3790">
        <v>20210916</v>
      </c>
      <c r="DM3790">
        <v>7.84</v>
      </c>
      <c r="DN3790">
        <v>-1.4</v>
      </c>
    </row>
    <row r="3791" spans="1:118">
      <c r="A3791" t="str">
        <f>"603879"</f>
        <v>603879</v>
      </c>
      <c r="B3791" t="s">
        <v>15637</v>
      </c>
      <c r="C3791">
        <v>-1.99</v>
      </c>
      <c r="D3791">
        <v>0</v>
      </c>
      <c r="E3791">
        <v>-0.14000000000000001</v>
      </c>
      <c r="F3791">
        <v>68</v>
      </c>
      <c r="G3791" t="s">
        <v>6316</v>
      </c>
      <c r="H3791">
        <v>2884.86</v>
      </c>
      <c r="I3791">
        <v>1.1200000000000001</v>
      </c>
      <c r="J3791" t="s">
        <v>120</v>
      </c>
      <c r="K3791" t="s">
        <v>3510</v>
      </c>
      <c r="L3791">
        <v>1.1299999999999999</v>
      </c>
      <c r="M3791">
        <v>6.9</v>
      </c>
      <c r="N3791">
        <v>1.06</v>
      </c>
      <c r="O3791">
        <v>1.28</v>
      </c>
      <c r="P3791">
        <v>7.13</v>
      </c>
      <c r="Q3791">
        <v>-2.27</v>
      </c>
      <c r="R3791">
        <v>6.88</v>
      </c>
      <c r="S3791">
        <v>7.03</v>
      </c>
      <c r="T3791">
        <v>41122</v>
      </c>
      <c r="U3791">
        <v>6.91</v>
      </c>
      <c r="V3791">
        <v>7.04</v>
      </c>
      <c r="W3791">
        <v>182.71</v>
      </c>
      <c r="X3791" t="s">
        <v>868</v>
      </c>
      <c r="Y3791" t="s">
        <v>937</v>
      </c>
      <c r="Z3791">
        <v>3.55</v>
      </c>
      <c r="AA3791">
        <v>7.02</v>
      </c>
      <c r="AB3791">
        <v>22680</v>
      </c>
      <c r="AC3791">
        <v>18442</v>
      </c>
      <c r="AD3791">
        <v>1.23</v>
      </c>
      <c r="AE3791">
        <v>55</v>
      </c>
      <c r="AF3791">
        <v>135</v>
      </c>
      <c r="AG3791" t="s">
        <v>120</v>
      </c>
      <c r="AH3791">
        <v>0</v>
      </c>
      <c r="AI3791" t="s">
        <v>120</v>
      </c>
      <c r="AJ3791">
        <v>3.62</v>
      </c>
      <c r="AK3791" t="s">
        <v>3510</v>
      </c>
      <c r="AL3791">
        <v>-0.64</v>
      </c>
      <c r="AM3791">
        <v>1246</v>
      </c>
      <c r="AN3791">
        <v>33</v>
      </c>
      <c r="AO3791">
        <v>8.9999999999999998E-4</v>
      </c>
      <c r="AP3791">
        <v>-3</v>
      </c>
      <c r="AQ3791">
        <v>-0.14000000000000001</v>
      </c>
      <c r="AR3791">
        <v>-3.09</v>
      </c>
      <c r="AS3791">
        <v>-1.85</v>
      </c>
      <c r="AT3791">
        <v>0.54</v>
      </c>
      <c r="AU3791">
        <v>18.309999999999999</v>
      </c>
      <c r="AV3791">
        <v>4</v>
      </c>
      <c r="AW3791">
        <v>2.57</v>
      </c>
      <c r="AX3791">
        <v>44.18</v>
      </c>
      <c r="AY3791">
        <v>219.76</v>
      </c>
      <c r="AZ3791">
        <v>408.02</v>
      </c>
      <c r="BA3791">
        <v>1.1299999999999999</v>
      </c>
      <c r="BB3791" t="s">
        <v>143</v>
      </c>
      <c r="BF3791">
        <v>-0.35</v>
      </c>
      <c r="BG3791">
        <v>-1.85</v>
      </c>
      <c r="BH3791">
        <v>-3.23</v>
      </c>
      <c r="BI3791">
        <v>0.28999999999999998</v>
      </c>
      <c r="BJ3791">
        <v>20210821</v>
      </c>
      <c r="BK3791">
        <v>20170614</v>
      </c>
      <c r="BL3791">
        <v>3.62</v>
      </c>
      <c r="BM3791" t="s">
        <v>120</v>
      </c>
      <c r="BN3791" t="s">
        <v>120</v>
      </c>
      <c r="BO3791">
        <v>5.84</v>
      </c>
      <c r="BP3791">
        <v>6.9</v>
      </c>
      <c r="BQ3791">
        <v>5.3</v>
      </c>
      <c r="BR3791">
        <v>0.09</v>
      </c>
      <c r="BS3791">
        <v>7.77</v>
      </c>
      <c r="BT3791">
        <v>4.87</v>
      </c>
      <c r="BU3791">
        <v>0.66</v>
      </c>
      <c r="BV3791">
        <v>0.23</v>
      </c>
      <c r="BW3791">
        <v>0.45</v>
      </c>
      <c r="BX3791">
        <v>2</v>
      </c>
      <c r="BY3791">
        <v>0.39</v>
      </c>
      <c r="BZ3791">
        <v>1.75</v>
      </c>
      <c r="CA3791" t="s">
        <v>120</v>
      </c>
      <c r="CB3791">
        <v>0.24</v>
      </c>
      <c r="CC3791">
        <v>2.09</v>
      </c>
      <c r="CD3791">
        <v>1.83</v>
      </c>
      <c r="CE3791">
        <v>0.06</v>
      </c>
      <c r="CF3791">
        <v>0.01</v>
      </c>
      <c r="CG3791">
        <v>0.06</v>
      </c>
      <c r="CH3791">
        <v>0.06</v>
      </c>
      <c r="CI3791">
        <v>7.0000000000000007E-2</v>
      </c>
      <c r="CJ3791">
        <v>-0.14000000000000001</v>
      </c>
      <c r="CK3791">
        <v>0.04</v>
      </c>
      <c r="CL3791">
        <v>1.28</v>
      </c>
      <c r="CM3791">
        <v>0.06</v>
      </c>
      <c r="CN3791">
        <v>1.23</v>
      </c>
      <c r="CO3791">
        <v>15158</v>
      </c>
      <c r="CP3791">
        <v>10561</v>
      </c>
      <c r="CQ3791" t="s">
        <v>6990</v>
      </c>
      <c r="CR3791">
        <v>360.44</v>
      </c>
      <c r="CS3791">
        <v>49.08</v>
      </c>
      <c r="CT3791">
        <v>4.72</v>
      </c>
      <c r="CU3791">
        <v>418.22</v>
      </c>
      <c r="CV3791">
        <v>11.96</v>
      </c>
      <c r="CW3791">
        <v>0.09</v>
      </c>
      <c r="CX3791" t="s">
        <v>753</v>
      </c>
      <c r="CY3791">
        <v>1.46</v>
      </c>
      <c r="CZ3791">
        <v>0</v>
      </c>
      <c r="DA3791">
        <v>7.0000000000000007E-2</v>
      </c>
      <c r="DB3791">
        <v>0.35</v>
      </c>
      <c r="DC3791">
        <v>0.02</v>
      </c>
      <c r="DD3791">
        <v>90.7</v>
      </c>
      <c r="DE3791" t="s">
        <v>4937</v>
      </c>
      <c r="DF3791">
        <v>12.47</v>
      </c>
      <c r="DG3791">
        <v>3.09</v>
      </c>
      <c r="DH3791">
        <v>3.27</v>
      </c>
      <c r="DI3791">
        <v>7.0000000000000007E-2</v>
      </c>
      <c r="DJ3791">
        <v>153</v>
      </c>
      <c r="DK3791">
        <v>603879</v>
      </c>
      <c r="DL3791" t="s">
        <v>120</v>
      </c>
      <c r="DM3791" t="s">
        <v>120</v>
      </c>
      <c r="DN3791" t="s">
        <v>120</v>
      </c>
    </row>
    <row r="3792" spans="1:118">
      <c r="A3792" t="str">
        <f>"603880"</f>
        <v>603880</v>
      </c>
      <c r="B3792" t="s">
        <v>15638</v>
      </c>
      <c r="C3792">
        <v>-0.61</v>
      </c>
      <c r="D3792">
        <v>0</v>
      </c>
      <c r="E3792">
        <v>-0.15</v>
      </c>
      <c r="F3792">
        <v>166</v>
      </c>
      <c r="G3792" t="s">
        <v>15639</v>
      </c>
      <c r="H3792">
        <v>710.5</v>
      </c>
      <c r="I3792">
        <v>0.33</v>
      </c>
      <c r="J3792" t="s">
        <v>120</v>
      </c>
      <c r="K3792" t="s">
        <v>1094</v>
      </c>
      <c r="L3792">
        <v>0.38</v>
      </c>
      <c r="M3792">
        <v>6.54</v>
      </c>
      <c r="N3792">
        <v>1</v>
      </c>
      <c r="O3792">
        <v>1.37</v>
      </c>
      <c r="P3792">
        <v>6.67</v>
      </c>
      <c r="Q3792">
        <v>-0.61</v>
      </c>
      <c r="R3792">
        <v>6.54</v>
      </c>
      <c r="S3792">
        <v>6.57</v>
      </c>
      <c r="T3792">
        <v>10760</v>
      </c>
      <c r="U3792">
        <v>6.56</v>
      </c>
      <c r="V3792">
        <v>6.58</v>
      </c>
      <c r="W3792">
        <v>85.34</v>
      </c>
      <c r="X3792" t="s">
        <v>555</v>
      </c>
      <c r="Y3792" t="s">
        <v>319</v>
      </c>
      <c r="Z3792">
        <v>1.98</v>
      </c>
      <c r="AA3792">
        <v>6.6</v>
      </c>
      <c r="AB3792">
        <v>5489</v>
      </c>
      <c r="AC3792">
        <v>5271</v>
      </c>
      <c r="AD3792">
        <v>1.04</v>
      </c>
      <c r="AE3792">
        <v>59</v>
      </c>
      <c r="AF3792">
        <v>533</v>
      </c>
      <c r="AG3792" t="s">
        <v>120</v>
      </c>
      <c r="AH3792">
        <v>0</v>
      </c>
      <c r="AI3792" t="s">
        <v>120</v>
      </c>
      <c r="AJ3792">
        <v>2.86</v>
      </c>
      <c r="AK3792" t="s">
        <v>15640</v>
      </c>
      <c r="AL3792">
        <v>0.74</v>
      </c>
      <c r="AM3792">
        <v>520</v>
      </c>
      <c r="AN3792">
        <v>21</v>
      </c>
      <c r="AO3792">
        <v>6.9999999999999999E-4</v>
      </c>
      <c r="AP3792">
        <v>-1</v>
      </c>
      <c r="AQ3792">
        <v>0.15</v>
      </c>
      <c r="AR3792">
        <v>-2.2400000000000002</v>
      </c>
      <c r="AS3792">
        <v>-2.1</v>
      </c>
      <c r="AT3792">
        <v>-11.5</v>
      </c>
      <c r="AU3792">
        <v>-32.15</v>
      </c>
      <c r="AV3792">
        <v>1</v>
      </c>
      <c r="AW3792">
        <v>1.05</v>
      </c>
      <c r="AX3792">
        <v>35.090000000000003</v>
      </c>
      <c r="AY3792">
        <v>73.89</v>
      </c>
      <c r="AZ3792">
        <v>19.64</v>
      </c>
      <c r="BA3792">
        <v>0.46</v>
      </c>
      <c r="BB3792" t="s">
        <v>143</v>
      </c>
      <c r="BF3792">
        <v>0.35</v>
      </c>
      <c r="BG3792">
        <v>-0.46</v>
      </c>
      <c r="BH3792">
        <v>-1.95</v>
      </c>
      <c r="BI3792">
        <v>0</v>
      </c>
      <c r="BJ3792">
        <v>20210825</v>
      </c>
      <c r="BK3792">
        <v>20170807</v>
      </c>
      <c r="BL3792">
        <v>2.93</v>
      </c>
      <c r="BM3792" t="s">
        <v>120</v>
      </c>
      <c r="BN3792" t="s">
        <v>120</v>
      </c>
      <c r="BO3792">
        <v>12.17</v>
      </c>
      <c r="BP3792">
        <v>6.54</v>
      </c>
      <c r="BQ3792">
        <v>6.85</v>
      </c>
      <c r="BR3792">
        <v>0.05</v>
      </c>
      <c r="BS3792">
        <v>43.26</v>
      </c>
      <c r="BT3792">
        <v>6.54</v>
      </c>
      <c r="BU3792">
        <v>3.12</v>
      </c>
      <c r="BV3792">
        <v>0.37</v>
      </c>
      <c r="BW3792">
        <v>5.14</v>
      </c>
      <c r="BX3792">
        <v>2.8</v>
      </c>
      <c r="BY3792">
        <v>1.51</v>
      </c>
      <c r="BZ3792">
        <v>1.18</v>
      </c>
      <c r="CA3792">
        <v>0</v>
      </c>
      <c r="CB3792">
        <v>1.22</v>
      </c>
      <c r="CC3792">
        <v>2.62</v>
      </c>
      <c r="CD3792">
        <v>2.0299999999999998</v>
      </c>
      <c r="CE3792">
        <v>0.14000000000000001</v>
      </c>
      <c r="CF3792">
        <v>0.04</v>
      </c>
      <c r="CG3792">
        <v>0.13</v>
      </c>
      <c r="CH3792">
        <v>0.11</v>
      </c>
      <c r="CI3792">
        <v>0.11</v>
      </c>
      <c r="CJ3792">
        <v>-0.04</v>
      </c>
      <c r="CK3792">
        <v>7.0000000000000007E-2</v>
      </c>
      <c r="CL3792">
        <v>2.2799999999999998</v>
      </c>
      <c r="CM3792">
        <v>-0.31</v>
      </c>
      <c r="CN3792">
        <v>-0.56999999999999995</v>
      </c>
      <c r="CO3792">
        <v>18415</v>
      </c>
      <c r="CP3792">
        <v>5578</v>
      </c>
      <c r="CQ3792" t="s">
        <v>925</v>
      </c>
      <c r="CR3792">
        <v>-86.52</v>
      </c>
      <c r="CS3792">
        <v>-64.010000000000005</v>
      </c>
      <c r="CT3792">
        <v>2.79</v>
      </c>
      <c r="CU3792">
        <v>-62.56</v>
      </c>
      <c r="CV3792">
        <v>7.3</v>
      </c>
      <c r="CW3792">
        <v>1.75</v>
      </c>
      <c r="CX3792" t="s">
        <v>145</v>
      </c>
      <c r="CY3792">
        <v>2.34</v>
      </c>
      <c r="CZ3792">
        <v>0</v>
      </c>
      <c r="DA3792">
        <v>0.42</v>
      </c>
      <c r="DB3792">
        <v>0.78</v>
      </c>
      <c r="DC3792">
        <v>-0.1</v>
      </c>
      <c r="DD3792">
        <v>56.31</v>
      </c>
      <c r="DE3792" t="s">
        <v>2961</v>
      </c>
      <c r="DF3792">
        <v>22.78</v>
      </c>
      <c r="DG3792">
        <v>5.22</v>
      </c>
      <c r="DH3792">
        <v>4.28</v>
      </c>
      <c r="DI3792">
        <v>0.14000000000000001</v>
      </c>
      <c r="DJ3792">
        <v>827</v>
      </c>
      <c r="DK3792">
        <v>603880</v>
      </c>
      <c r="DL3792" t="s">
        <v>120</v>
      </c>
      <c r="DM3792" t="s">
        <v>120</v>
      </c>
      <c r="DN3792" t="s">
        <v>120</v>
      </c>
    </row>
    <row r="3793" spans="1:118">
      <c r="A3793" t="str">
        <f>"603881"</f>
        <v>603881</v>
      </c>
      <c r="B3793" t="s">
        <v>15641</v>
      </c>
      <c r="C3793">
        <v>-5.24</v>
      </c>
      <c r="D3793">
        <v>0.03</v>
      </c>
      <c r="E3793">
        <v>-0.25</v>
      </c>
      <c r="F3793">
        <v>1099</v>
      </c>
      <c r="G3793" t="s">
        <v>15642</v>
      </c>
      <c r="H3793">
        <v>29585.200000000001</v>
      </c>
      <c r="I3793">
        <v>44.01</v>
      </c>
      <c r="J3793" t="s">
        <v>120</v>
      </c>
      <c r="K3793" t="s">
        <v>15643</v>
      </c>
      <c r="L3793">
        <v>2.62</v>
      </c>
      <c r="M3793">
        <v>33.450000000000003</v>
      </c>
      <c r="N3793">
        <v>1.03</v>
      </c>
      <c r="O3793">
        <v>0.51</v>
      </c>
      <c r="P3793">
        <v>35.479999999999997</v>
      </c>
      <c r="Q3793">
        <v>-5.3</v>
      </c>
      <c r="R3793">
        <v>33.43</v>
      </c>
      <c r="S3793">
        <v>35.21</v>
      </c>
      <c r="T3793">
        <v>86128</v>
      </c>
      <c r="U3793">
        <v>33.46</v>
      </c>
      <c r="V3793">
        <v>35.299999999999997</v>
      </c>
      <c r="W3793">
        <v>90.48</v>
      </c>
      <c r="X3793" t="s">
        <v>3322</v>
      </c>
      <c r="Y3793" t="s">
        <v>1510</v>
      </c>
      <c r="Z3793">
        <v>5.81</v>
      </c>
      <c r="AA3793">
        <v>34.35</v>
      </c>
      <c r="AB3793">
        <v>49403</v>
      </c>
      <c r="AC3793">
        <v>36725</v>
      </c>
      <c r="AD3793">
        <v>1.35</v>
      </c>
      <c r="AE3793">
        <v>188</v>
      </c>
      <c r="AF3793">
        <v>150</v>
      </c>
      <c r="AG3793" t="s">
        <v>120</v>
      </c>
      <c r="AH3793">
        <v>0.01</v>
      </c>
      <c r="AI3793" t="s">
        <v>120</v>
      </c>
      <c r="AJ3793">
        <v>3.29</v>
      </c>
      <c r="AK3793" t="s">
        <v>15643</v>
      </c>
      <c r="AL3793">
        <v>-3.9</v>
      </c>
      <c r="AM3793">
        <v>3486</v>
      </c>
      <c r="AN3793">
        <v>25</v>
      </c>
      <c r="AO3793">
        <v>8.0000000000000004E-4</v>
      </c>
      <c r="AP3793">
        <v>-2</v>
      </c>
      <c r="AQ3793">
        <v>-0.48</v>
      </c>
      <c r="AR3793">
        <v>-5.7</v>
      </c>
      <c r="AS3793">
        <v>3.21</v>
      </c>
      <c r="AT3793">
        <v>-4.7</v>
      </c>
      <c r="AU3793">
        <v>-22.01</v>
      </c>
      <c r="AV3793">
        <v>3</v>
      </c>
      <c r="AW3793">
        <v>5.39</v>
      </c>
      <c r="AX3793">
        <v>48.59</v>
      </c>
      <c r="AY3793">
        <v>84.96</v>
      </c>
      <c r="AZ3793">
        <v>85.15</v>
      </c>
      <c r="BA3793">
        <v>1.34</v>
      </c>
      <c r="BB3793" t="s">
        <v>240</v>
      </c>
      <c r="BF3793">
        <v>-2.69</v>
      </c>
      <c r="BG3793">
        <v>-5</v>
      </c>
      <c r="BH3793">
        <v>-5.72</v>
      </c>
      <c r="BI3793">
        <v>0.06</v>
      </c>
      <c r="BJ3793">
        <v>20210821</v>
      </c>
      <c r="BK3793">
        <v>20170208</v>
      </c>
      <c r="BL3793">
        <v>3.29</v>
      </c>
      <c r="BM3793" t="s">
        <v>120</v>
      </c>
      <c r="BN3793" t="s">
        <v>120</v>
      </c>
      <c r="BO3793">
        <v>82.2</v>
      </c>
      <c r="BP3793">
        <v>33.450000000000003</v>
      </c>
      <c r="BQ3793">
        <v>29.38</v>
      </c>
      <c r="BR3793">
        <v>0.02</v>
      </c>
      <c r="BS3793">
        <v>64.23</v>
      </c>
      <c r="BT3793">
        <v>16.11</v>
      </c>
      <c r="BU3793">
        <v>34.24</v>
      </c>
      <c r="BV3793">
        <v>0.35</v>
      </c>
      <c r="BW3793">
        <v>27.39</v>
      </c>
      <c r="BX3793">
        <v>11.21</v>
      </c>
      <c r="BY3793">
        <v>0.08</v>
      </c>
      <c r="BZ3793">
        <v>1.08</v>
      </c>
      <c r="CA3793" t="s">
        <v>120</v>
      </c>
      <c r="CB3793">
        <v>19.170000000000002</v>
      </c>
      <c r="CC3793">
        <v>5.5</v>
      </c>
      <c r="CD3793">
        <v>3.45</v>
      </c>
      <c r="CE3793">
        <v>0.7</v>
      </c>
      <c r="CF3793">
        <v>0</v>
      </c>
      <c r="CG3793">
        <v>0.71</v>
      </c>
      <c r="CH3793">
        <v>0.56000000000000005</v>
      </c>
      <c r="CI3793">
        <v>0.61</v>
      </c>
      <c r="CJ3793">
        <v>-1.85</v>
      </c>
      <c r="CK3793">
        <v>0.56000000000000005</v>
      </c>
      <c r="CL3793">
        <v>6.54</v>
      </c>
      <c r="CM3793">
        <v>2.56</v>
      </c>
      <c r="CN3793">
        <v>-4.38</v>
      </c>
      <c r="CO3793">
        <v>44298</v>
      </c>
      <c r="CP3793">
        <v>3608</v>
      </c>
      <c r="CQ3793" t="s">
        <v>6305</v>
      </c>
      <c r="CR3793">
        <v>0.5</v>
      </c>
      <c r="CS3793">
        <v>39.72</v>
      </c>
      <c r="CT3793">
        <v>3.74</v>
      </c>
      <c r="CU3793">
        <v>42.97</v>
      </c>
      <c r="CV3793">
        <v>20.010000000000002</v>
      </c>
      <c r="CW3793">
        <v>0.12</v>
      </c>
      <c r="CX3793" t="s">
        <v>242</v>
      </c>
      <c r="CY3793">
        <v>8.93</v>
      </c>
      <c r="CZ3793">
        <v>0</v>
      </c>
      <c r="DA3793">
        <v>5.83</v>
      </c>
      <c r="DB3793">
        <v>1.99</v>
      </c>
      <c r="DC3793">
        <v>0.78</v>
      </c>
      <c r="DD3793">
        <v>35.75</v>
      </c>
      <c r="DE3793" t="s">
        <v>6112</v>
      </c>
      <c r="DF3793">
        <v>37.200000000000003</v>
      </c>
      <c r="DG3793">
        <v>12.71</v>
      </c>
      <c r="DH3793">
        <v>11.06</v>
      </c>
      <c r="DI3793">
        <v>0.3</v>
      </c>
      <c r="DJ3793">
        <v>491</v>
      </c>
      <c r="DK3793">
        <v>603881</v>
      </c>
      <c r="DL3793" t="s">
        <v>120</v>
      </c>
      <c r="DM3793" t="s">
        <v>120</v>
      </c>
      <c r="DN3793" t="s">
        <v>120</v>
      </c>
    </row>
    <row r="3794" spans="1:118">
      <c r="A3794" t="str">
        <f>"603882"</f>
        <v>603882</v>
      </c>
      <c r="B3794" t="s">
        <v>15644</v>
      </c>
      <c r="C3794">
        <v>-1.96</v>
      </c>
      <c r="D3794">
        <v>-0.03</v>
      </c>
      <c r="E3794">
        <v>-0.14000000000000001</v>
      </c>
      <c r="F3794">
        <v>405</v>
      </c>
      <c r="G3794" t="s">
        <v>5755</v>
      </c>
      <c r="H3794">
        <v>50091.040000000001</v>
      </c>
      <c r="I3794">
        <v>73.48</v>
      </c>
      <c r="J3794" t="s">
        <v>120</v>
      </c>
      <c r="K3794" t="s">
        <v>15645</v>
      </c>
      <c r="L3794">
        <v>1.1599999999999999</v>
      </c>
      <c r="M3794">
        <v>92.48</v>
      </c>
      <c r="N3794">
        <v>0.91</v>
      </c>
      <c r="O3794">
        <v>1.24</v>
      </c>
      <c r="P3794">
        <v>95.5</v>
      </c>
      <c r="Q3794">
        <v>-2.2599999999999998</v>
      </c>
      <c r="R3794">
        <v>92.2</v>
      </c>
      <c r="S3794">
        <v>94.2</v>
      </c>
      <c r="T3794">
        <v>53500</v>
      </c>
      <c r="U3794">
        <v>92.49</v>
      </c>
      <c r="V3794">
        <v>94.33</v>
      </c>
      <c r="W3794">
        <v>20.25</v>
      </c>
      <c r="X3794" t="s">
        <v>555</v>
      </c>
      <c r="Y3794" t="s">
        <v>547</v>
      </c>
      <c r="Z3794">
        <v>3.5</v>
      </c>
      <c r="AA3794">
        <v>93.63</v>
      </c>
      <c r="AB3794">
        <v>30870</v>
      </c>
      <c r="AC3794">
        <v>22630</v>
      </c>
      <c r="AD3794">
        <v>1.36</v>
      </c>
      <c r="AE3794">
        <v>98</v>
      </c>
      <c r="AF3794">
        <v>1</v>
      </c>
      <c r="AG3794" t="s">
        <v>120</v>
      </c>
      <c r="AH3794">
        <v>0</v>
      </c>
      <c r="AI3794" t="s">
        <v>120</v>
      </c>
      <c r="AJ3794">
        <v>4.6100000000000003</v>
      </c>
      <c r="AK3794" t="s">
        <v>15646</v>
      </c>
      <c r="AL3794">
        <v>-0.62</v>
      </c>
      <c r="AM3794">
        <v>4266</v>
      </c>
      <c r="AN3794">
        <v>13</v>
      </c>
      <c r="AO3794">
        <v>2.9999999999999997E-4</v>
      </c>
      <c r="AP3794">
        <v>-2</v>
      </c>
      <c r="AQ3794">
        <v>-3.25</v>
      </c>
      <c r="AR3794">
        <v>-5.04</v>
      </c>
      <c r="AS3794">
        <v>-27.32</v>
      </c>
      <c r="AT3794">
        <v>-34.49</v>
      </c>
      <c r="AU3794">
        <v>-27.63</v>
      </c>
      <c r="AV3794">
        <v>2</v>
      </c>
      <c r="AW3794">
        <v>2.0699999999999998</v>
      </c>
      <c r="AX3794">
        <v>55.73</v>
      </c>
      <c r="AY3794">
        <v>21.74</v>
      </c>
      <c r="AZ3794">
        <v>28.99</v>
      </c>
      <c r="BA3794">
        <v>2.02</v>
      </c>
      <c r="BB3794" t="s">
        <v>134</v>
      </c>
      <c r="BF3794">
        <v>-0.74</v>
      </c>
      <c r="BG3794">
        <v>-1.83</v>
      </c>
      <c r="BH3794">
        <v>-3.16</v>
      </c>
      <c r="BI3794">
        <v>0.3</v>
      </c>
      <c r="BJ3794">
        <v>20210914</v>
      </c>
      <c r="BK3794">
        <v>20170908</v>
      </c>
      <c r="BL3794">
        <v>4.6399999999999997</v>
      </c>
      <c r="BM3794" t="s">
        <v>120</v>
      </c>
      <c r="BN3794" t="s">
        <v>120</v>
      </c>
      <c r="BO3794">
        <v>86.4</v>
      </c>
      <c r="BP3794">
        <v>92.48</v>
      </c>
      <c r="BQ3794">
        <v>48.92</v>
      </c>
      <c r="BR3794">
        <v>1.36</v>
      </c>
      <c r="BS3794">
        <v>41.8</v>
      </c>
      <c r="BT3794">
        <v>62.48</v>
      </c>
      <c r="BU3794">
        <v>13.74</v>
      </c>
      <c r="BV3794">
        <v>1.32</v>
      </c>
      <c r="BW3794">
        <v>31.05</v>
      </c>
      <c r="BX3794">
        <v>17.88</v>
      </c>
      <c r="BY3794">
        <v>2.79</v>
      </c>
      <c r="BZ3794">
        <v>39.47</v>
      </c>
      <c r="CA3794" t="s">
        <v>120</v>
      </c>
      <c r="CB3794">
        <v>11.2</v>
      </c>
      <c r="CC3794">
        <v>54.55</v>
      </c>
      <c r="CD3794">
        <v>29.26</v>
      </c>
      <c r="CE3794">
        <v>12.75</v>
      </c>
      <c r="CF3794">
        <v>-0.04</v>
      </c>
      <c r="CG3794">
        <v>12.73</v>
      </c>
      <c r="CH3794">
        <v>11.03</v>
      </c>
      <c r="CI3794">
        <v>10.59</v>
      </c>
      <c r="CJ3794">
        <v>-1.85</v>
      </c>
      <c r="CK3794">
        <v>10.29</v>
      </c>
      <c r="CL3794">
        <v>32.06</v>
      </c>
      <c r="CM3794">
        <v>6.16</v>
      </c>
      <c r="CN3794">
        <v>1.52</v>
      </c>
      <c r="CO3794">
        <v>26416</v>
      </c>
      <c r="CP3794">
        <v>9788</v>
      </c>
      <c r="CQ3794" t="s">
        <v>10627</v>
      </c>
      <c r="CR3794">
        <v>90.55</v>
      </c>
      <c r="CS3794">
        <v>57.01</v>
      </c>
      <c r="CT3794">
        <v>8.75</v>
      </c>
      <c r="CU3794">
        <v>69.67</v>
      </c>
      <c r="CV3794">
        <v>7.86</v>
      </c>
      <c r="CW3794">
        <v>0.35</v>
      </c>
      <c r="CX3794" t="s">
        <v>15647</v>
      </c>
      <c r="CY3794">
        <v>10.57</v>
      </c>
      <c r="CZ3794">
        <v>10.57</v>
      </c>
      <c r="DA3794">
        <v>2.41</v>
      </c>
      <c r="DB3794">
        <v>6.91</v>
      </c>
      <c r="DC3794">
        <v>1.33</v>
      </c>
      <c r="DD3794">
        <v>56.62</v>
      </c>
      <c r="DE3794" t="s">
        <v>15648</v>
      </c>
      <c r="DF3794">
        <v>46.36</v>
      </c>
      <c r="DG3794">
        <v>23.38</v>
      </c>
      <c r="DH3794">
        <v>19.420000000000002</v>
      </c>
      <c r="DI3794">
        <v>2.25</v>
      </c>
      <c r="DJ3794">
        <v>10714</v>
      </c>
      <c r="DK3794">
        <v>603882</v>
      </c>
      <c r="DL3794" t="s">
        <v>120</v>
      </c>
      <c r="DM3794" t="s">
        <v>120</v>
      </c>
      <c r="DN3794" t="s">
        <v>120</v>
      </c>
    </row>
    <row r="3795" spans="1:118">
      <c r="A3795" t="str">
        <f>"603883"</f>
        <v>603883</v>
      </c>
      <c r="B3795" t="s">
        <v>15649</v>
      </c>
      <c r="C3795">
        <v>-0.74</v>
      </c>
      <c r="D3795">
        <v>-0.06</v>
      </c>
      <c r="E3795">
        <v>7.0000000000000007E-2</v>
      </c>
      <c r="F3795">
        <v>186</v>
      </c>
      <c r="G3795" t="s">
        <v>15650</v>
      </c>
      <c r="H3795">
        <v>6381.46</v>
      </c>
      <c r="I3795">
        <v>12.8</v>
      </c>
      <c r="J3795" t="s">
        <v>120</v>
      </c>
      <c r="K3795" t="s">
        <v>15651</v>
      </c>
      <c r="L3795">
        <v>0.34</v>
      </c>
      <c r="M3795">
        <v>45.36</v>
      </c>
      <c r="N3795">
        <v>0.76</v>
      </c>
      <c r="O3795">
        <v>1.2</v>
      </c>
      <c r="P3795">
        <v>46.25</v>
      </c>
      <c r="Q3795">
        <v>-0.9</v>
      </c>
      <c r="R3795">
        <v>45.29</v>
      </c>
      <c r="S3795">
        <v>45.73</v>
      </c>
      <c r="T3795">
        <v>13964</v>
      </c>
      <c r="U3795">
        <v>45.39</v>
      </c>
      <c r="V3795">
        <v>45.7</v>
      </c>
      <c r="W3795">
        <v>22.84</v>
      </c>
      <c r="X3795" t="s">
        <v>274</v>
      </c>
      <c r="Y3795" t="s">
        <v>594</v>
      </c>
      <c r="Z3795">
        <v>2.1</v>
      </c>
      <c r="AA3795">
        <v>45.7</v>
      </c>
      <c r="AB3795">
        <v>7488</v>
      </c>
      <c r="AC3795">
        <v>6476</v>
      </c>
      <c r="AD3795">
        <v>1.1599999999999999</v>
      </c>
      <c r="AE3795">
        <v>264</v>
      </c>
      <c r="AF3795">
        <v>2</v>
      </c>
      <c r="AG3795" t="s">
        <v>120</v>
      </c>
      <c r="AH3795">
        <v>0</v>
      </c>
      <c r="AI3795" t="s">
        <v>120</v>
      </c>
      <c r="AJ3795">
        <v>4.08</v>
      </c>
      <c r="AK3795" t="s">
        <v>15652</v>
      </c>
      <c r="AL3795">
        <v>0.6</v>
      </c>
      <c r="AM3795">
        <v>2216</v>
      </c>
      <c r="AN3795">
        <v>6</v>
      </c>
      <c r="AO3795">
        <v>2.0000000000000001E-4</v>
      </c>
      <c r="AP3795">
        <v>-2</v>
      </c>
      <c r="AQ3795">
        <v>-3.65</v>
      </c>
      <c r="AR3795">
        <v>-4.37</v>
      </c>
      <c r="AS3795">
        <v>-13.72</v>
      </c>
      <c r="AT3795">
        <v>-19.559999999999999</v>
      </c>
      <c r="AU3795">
        <v>-27.4</v>
      </c>
      <c r="AV3795">
        <v>1</v>
      </c>
      <c r="AW3795">
        <v>0.77</v>
      </c>
      <c r="AX3795">
        <v>44.56</v>
      </c>
      <c r="AY3795">
        <v>27.03</v>
      </c>
      <c r="AZ3795">
        <v>30.07</v>
      </c>
      <c r="BA3795">
        <v>0.91</v>
      </c>
      <c r="BB3795" t="s">
        <v>1723</v>
      </c>
      <c r="BF3795">
        <v>0</v>
      </c>
      <c r="BG3795">
        <v>-0.81</v>
      </c>
      <c r="BH3795">
        <v>-1.92</v>
      </c>
      <c r="BI3795">
        <v>0.15</v>
      </c>
      <c r="BJ3795">
        <v>20210818</v>
      </c>
      <c r="BK3795">
        <v>20150423</v>
      </c>
      <c r="BL3795">
        <v>4.09</v>
      </c>
      <c r="BM3795" t="s">
        <v>120</v>
      </c>
      <c r="BN3795" t="s">
        <v>120</v>
      </c>
      <c r="BO3795">
        <v>140.31</v>
      </c>
      <c r="BP3795">
        <v>45.36</v>
      </c>
      <c r="BQ3795">
        <v>42.87</v>
      </c>
      <c r="BR3795">
        <v>5.01</v>
      </c>
      <c r="BS3795">
        <v>65.87</v>
      </c>
      <c r="BT3795">
        <v>52.58</v>
      </c>
      <c r="BU3795">
        <v>10.45</v>
      </c>
      <c r="BV3795">
        <v>4.3499999999999996</v>
      </c>
      <c r="BW3795">
        <v>67.31</v>
      </c>
      <c r="BX3795">
        <v>10.199999999999999</v>
      </c>
      <c r="BY3795">
        <v>25.4</v>
      </c>
      <c r="BZ3795">
        <v>12.81</v>
      </c>
      <c r="CA3795">
        <v>0.21</v>
      </c>
      <c r="CB3795">
        <v>13.2</v>
      </c>
      <c r="CC3795">
        <v>74.61</v>
      </c>
      <c r="CD3795">
        <v>49.69</v>
      </c>
      <c r="CE3795">
        <v>5.72</v>
      </c>
      <c r="CF3795">
        <v>0</v>
      </c>
      <c r="CG3795">
        <v>5.76</v>
      </c>
      <c r="CH3795">
        <v>4.6500000000000004</v>
      </c>
      <c r="CI3795">
        <v>4.0599999999999996</v>
      </c>
      <c r="CJ3795">
        <v>-0.34</v>
      </c>
      <c r="CK3795">
        <v>3.63</v>
      </c>
      <c r="CL3795">
        <v>23.96</v>
      </c>
      <c r="CM3795">
        <v>10.63</v>
      </c>
      <c r="CN3795">
        <v>-2.35</v>
      </c>
      <c r="CO3795">
        <v>20909</v>
      </c>
      <c r="CP3795">
        <v>8710</v>
      </c>
      <c r="CQ3795" t="s">
        <v>14736</v>
      </c>
      <c r="CR3795">
        <v>20.79</v>
      </c>
      <c r="CS3795">
        <v>11.58</v>
      </c>
      <c r="CT3795">
        <v>4.32</v>
      </c>
      <c r="CU3795">
        <v>17.43</v>
      </c>
      <c r="CV3795">
        <v>2.48</v>
      </c>
      <c r="CW3795">
        <v>0.77</v>
      </c>
      <c r="CX3795" t="s">
        <v>9562</v>
      </c>
      <c r="CY3795">
        <v>10.49</v>
      </c>
      <c r="CZ3795">
        <v>0</v>
      </c>
      <c r="DA3795">
        <v>3.23</v>
      </c>
      <c r="DB3795">
        <v>5.86</v>
      </c>
      <c r="DC3795">
        <v>2.6</v>
      </c>
      <c r="DD3795">
        <v>30.56</v>
      </c>
      <c r="DE3795" t="s">
        <v>6639</v>
      </c>
      <c r="DF3795">
        <v>33.4</v>
      </c>
      <c r="DG3795">
        <v>7.67</v>
      </c>
      <c r="DH3795">
        <v>5.44</v>
      </c>
      <c r="DI3795" t="s">
        <v>120</v>
      </c>
      <c r="DJ3795">
        <v>27212</v>
      </c>
      <c r="DK3795">
        <v>603883</v>
      </c>
      <c r="DL3795" t="s">
        <v>120</v>
      </c>
      <c r="DM3795" t="s">
        <v>120</v>
      </c>
      <c r="DN3795" t="s">
        <v>120</v>
      </c>
    </row>
    <row r="3796" spans="1:118">
      <c r="A3796" t="str">
        <f>"603885"</f>
        <v>603885</v>
      </c>
      <c r="B3796" t="s">
        <v>15653</v>
      </c>
      <c r="C3796">
        <v>-0.33</v>
      </c>
      <c r="D3796">
        <v>-0.77</v>
      </c>
      <c r="E3796">
        <v>7.0000000000000007E-2</v>
      </c>
      <c r="F3796">
        <v>1776</v>
      </c>
      <c r="G3796" t="s">
        <v>15654</v>
      </c>
      <c r="H3796">
        <v>10185.879999999999</v>
      </c>
      <c r="I3796">
        <v>28.99</v>
      </c>
      <c r="J3796" t="s">
        <v>120</v>
      </c>
      <c r="K3796" t="s">
        <v>15655</v>
      </c>
      <c r="L3796">
        <v>0.37</v>
      </c>
      <c r="M3796">
        <v>15.2</v>
      </c>
      <c r="N3796">
        <v>0.59</v>
      </c>
      <c r="O3796">
        <v>2.16</v>
      </c>
      <c r="P3796">
        <v>15.58</v>
      </c>
      <c r="Q3796">
        <v>-0.98</v>
      </c>
      <c r="R3796">
        <v>15.1</v>
      </c>
      <c r="S3796">
        <v>15.26</v>
      </c>
      <c r="T3796">
        <v>66482</v>
      </c>
      <c r="U3796">
        <v>15.25</v>
      </c>
      <c r="V3796">
        <v>15.25</v>
      </c>
      <c r="W3796">
        <v>146.30000000000001</v>
      </c>
      <c r="X3796" t="s">
        <v>540</v>
      </c>
      <c r="Y3796" t="s">
        <v>1510</v>
      </c>
      <c r="Z3796">
        <v>3.15</v>
      </c>
      <c r="AA3796">
        <v>15.32</v>
      </c>
      <c r="AB3796">
        <v>27994</v>
      </c>
      <c r="AC3796">
        <v>38488</v>
      </c>
      <c r="AD3796">
        <v>0.73</v>
      </c>
      <c r="AE3796">
        <v>43</v>
      </c>
      <c r="AF3796">
        <v>491</v>
      </c>
      <c r="AG3796" t="s">
        <v>120</v>
      </c>
      <c r="AH3796">
        <v>0</v>
      </c>
      <c r="AI3796" t="s">
        <v>120</v>
      </c>
      <c r="AJ3796">
        <v>17.97</v>
      </c>
      <c r="AK3796" t="s">
        <v>15656</v>
      </c>
      <c r="AL3796">
        <v>1.02</v>
      </c>
      <c r="AM3796">
        <v>3184</v>
      </c>
      <c r="AN3796">
        <v>21</v>
      </c>
      <c r="AO3796">
        <v>1E-4</v>
      </c>
      <c r="AP3796">
        <v>-5</v>
      </c>
      <c r="AQ3796">
        <v>-2.8</v>
      </c>
      <c r="AR3796">
        <v>-4.21</v>
      </c>
      <c r="AS3796">
        <v>11.68</v>
      </c>
      <c r="AT3796">
        <v>-4.1100000000000003</v>
      </c>
      <c r="AU3796">
        <v>34.869999999999997</v>
      </c>
      <c r="AV3796">
        <v>0</v>
      </c>
      <c r="AW3796">
        <v>1.24</v>
      </c>
      <c r="AX3796">
        <v>27.34</v>
      </c>
      <c r="AY3796">
        <v>98.7</v>
      </c>
      <c r="AZ3796" t="s">
        <v>120</v>
      </c>
      <c r="BA3796">
        <v>0.34</v>
      </c>
      <c r="BB3796" t="s">
        <v>143</v>
      </c>
      <c r="BF3796">
        <v>0.47</v>
      </c>
      <c r="BG3796">
        <v>-0.39</v>
      </c>
      <c r="BH3796">
        <v>-2.44</v>
      </c>
      <c r="BI3796">
        <v>0.66</v>
      </c>
      <c r="BJ3796">
        <v>20210803</v>
      </c>
      <c r="BK3796">
        <v>20150527</v>
      </c>
      <c r="BL3796">
        <v>19.66</v>
      </c>
      <c r="BM3796" t="s">
        <v>120</v>
      </c>
      <c r="BN3796" t="s">
        <v>120</v>
      </c>
      <c r="BO3796">
        <v>425.79</v>
      </c>
      <c r="BP3796">
        <v>15.2</v>
      </c>
      <c r="BQ3796">
        <v>105.28</v>
      </c>
      <c r="BR3796">
        <v>0.31</v>
      </c>
      <c r="BS3796">
        <v>75.2</v>
      </c>
      <c r="BT3796">
        <v>56.73</v>
      </c>
      <c r="BU3796">
        <v>93.34</v>
      </c>
      <c r="BV3796">
        <v>8.6</v>
      </c>
      <c r="BW3796">
        <v>140.43</v>
      </c>
      <c r="BX3796">
        <v>30.05</v>
      </c>
      <c r="BY3796">
        <v>2.13</v>
      </c>
      <c r="BZ3796">
        <v>5.76</v>
      </c>
      <c r="CA3796" t="s">
        <v>120</v>
      </c>
      <c r="CB3796">
        <v>51.11</v>
      </c>
      <c r="CC3796">
        <v>60.49</v>
      </c>
      <c r="CD3796">
        <v>57.42</v>
      </c>
      <c r="CE3796">
        <v>1.49</v>
      </c>
      <c r="CF3796">
        <v>-0.36</v>
      </c>
      <c r="CG3796">
        <v>1.49</v>
      </c>
      <c r="CH3796">
        <v>1.04</v>
      </c>
      <c r="CI3796">
        <v>1.02</v>
      </c>
      <c r="CJ3796">
        <v>-0.05</v>
      </c>
      <c r="CK3796">
        <v>1</v>
      </c>
      <c r="CL3796">
        <v>38.46</v>
      </c>
      <c r="CM3796">
        <v>9.32</v>
      </c>
      <c r="CN3796">
        <v>14.13</v>
      </c>
      <c r="CO3796">
        <v>21372</v>
      </c>
      <c r="CP3796">
        <v>25148</v>
      </c>
      <c r="CQ3796" t="s">
        <v>15657</v>
      </c>
      <c r="CR3796">
        <v>115.12</v>
      </c>
      <c r="CS3796">
        <v>45.08</v>
      </c>
      <c r="CT3796">
        <v>2.84</v>
      </c>
      <c r="CU3796">
        <v>32.06</v>
      </c>
      <c r="CV3796">
        <v>4.9400000000000004</v>
      </c>
      <c r="CW3796">
        <v>0.65</v>
      </c>
      <c r="CX3796" t="s">
        <v>1248</v>
      </c>
      <c r="CY3796">
        <v>5.35</v>
      </c>
      <c r="CZ3796">
        <v>0</v>
      </c>
      <c r="DA3796">
        <v>2.6</v>
      </c>
      <c r="DB3796">
        <v>1.96</v>
      </c>
      <c r="DC3796">
        <v>0.47</v>
      </c>
      <c r="DD3796">
        <v>24.73</v>
      </c>
      <c r="DE3796" t="s">
        <v>2075</v>
      </c>
      <c r="DF3796">
        <v>5.08</v>
      </c>
      <c r="DG3796">
        <v>2.46</v>
      </c>
      <c r="DH3796">
        <v>1.69</v>
      </c>
      <c r="DI3796">
        <v>0.36</v>
      </c>
      <c r="DJ3796">
        <v>8990</v>
      </c>
      <c r="DK3796">
        <v>603885</v>
      </c>
      <c r="DL3796" t="s">
        <v>120</v>
      </c>
      <c r="DM3796" t="s">
        <v>120</v>
      </c>
      <c r="DN3796" t="s">
        <v>120</v>
      </c>
    </row>
    <row r="3797" spans="1:118">
      <c r="A3797" t="str">
        <f>"603886"</f>
        <v>603886</v>
      </c>
      <c r="B3797" t="s">
        <v>15658</v>
      </c>
      <c r="C3797">
        <v>-1.3</v>
      </c>
      <c r="D3797">
        <v>0</v>
      </c>
      <c r="E3797">
        <v>0</v>
      </c>
      <c r="F3797">
        <v>221</v>
      </c>
      <c r="G3797" t="s">
        <v>15309</v>
      </c>
      <c r="H3797">
        <v>3871.63</v>
      </c>
      <c r="I3797">
        <v>1.29</v>
      </c>
      <c r="J3797" t="s">
        <v>120</v>
      </c>
      <c r="K3797" t="s">
        <v>15659</v>
      </c>
      <c r="L3797">
        <v>0.88</v>
      </c>
      <c r="M3797">
        <v>18.16</v>
      </c>
      <c r="N3797">
        <v>0.82</v>
      </c>
      <c r="O3797">
        <v>1.36</v>
      </c>
      <c r="P3797">
        <v>18.649999999999999</v>
      </c>
      <c r="Q3797">
        <v>-1.63</v>
      </c>
      <c r="R3797">
        <v>18.100000000000001</v>
      </c>
      <c r="S3797">
        <v>18.399999999999999</v>
      </c>
      <c r="T3797">
        <v>21079</v>
      </c>
      <c r="U3797">
        <v>18.16</v>
      </c>
      <c r="V3797">
        <v>18.399999999999999</v>
      </c>
      <c r="W3797">
        <v>35.28</v>
      </c>
      <c r="X3797" t="s">
        <v>847</v>
      </c>
      <c r="Y3797" t="s">
        <v>1510</v>
      </c>
      <c r="Z3797">
        <v>2.99</v>
      </c>
      <c r="AA3797">
        <v>18.37</v>
      </c>
      <c r="AB3797">
        <v>11505</v>
      </c>
      <c r="AC3797">
        <v>9574</v>
      </c>
      <c r="AD3797">
        <v>1.2</v>
      </c>
      <c r="AE3797">
        <v>9</v>
      </c>
      <c r="AF3797">
        <v>30</v>
      </c>
      <c r="AG3797" t="s">
        <v>120</v>
      </c>
      <c r="AH3797">
        <v>0</v>
      </c>
      <c r="AI3797" t="s">
        <v>120</v>
      </c>
      <c r="AJ3797">
        <v>2.4</v>
      </c>
      <c r="AK3797" t="s">
        <v>15659</v>
      </c>
      <c r="AL3797">
        <v>0.04</v>
      </c>
      <c r="AM3797">
        <v>1943</v>
      </c>
      <c r="AN3797">
        <v>11</v>
      </c>
      <c r="AO3797">
        <v>5.0000000000000001E-4</v>
      </c>
      <c r="AP3797">
        <v>-4</v>
      </c>
      <c r="AQ3797">
        <v>-1.34</v>
      </c>
      <c r="AR3797">
        <v>-3.77</v>
      </c>
      <c r="AS3797">
        <v>14.58</v>
      </c>
      <c r="AT3797">
        <v>1.45</v>
      </c>
      <c r="AU3797">
        <v>13.21</v>
      </c>
      <c r="AV3797">
        <v>1</v>
      </c>
      <c r="AW3797">
        <v>2.48</v>
      </c>
      <c r="AX3797">
        <v>35.43</v>
      </c>
      <c r="AY3797">
        <v>13.13</v>
      </c>
      <c r="AZ3797">
        <v>14.72</v>
      </c>
      <c r="BA3797">
        <v>0.62</v>
      </c>
      <c r="BB3797" t="s">
        <v>143</v>
      </c>
      <c r="BF3797">
        <v>-0.18</v>
      </c>
      <c r="BG3797">
        <v>-1.3</v>
      </c>
      <c r="BH3797">
        <v>-2.63</v>
      </c>
      <c r="BI3797">
        <v>0.33</v>
      </c>
      <c r="BJ3797">
        <v>20210826</v>
      </c>
      <c r="BK3797">
        <v>20161228</v>
      </c>
      <c r="BL3797">
        <v>2.4</v>
      </c>
      <c r="BM3797" t="s">
        <v>120</v>
      </c>
      <c r="BN3797" t="s">
        <v>120</v>
      </c>
      <c r="BO3797">
        <v>29.23</v>
      </c>
      <c r="BP3797">
        <v>18.149999999999999</v>
      </c>
      <c r="BQ3797">
        <v>13.18</v>
      </c>
      <c r="BR3797">
        <v>0.01</v>
      </c>
      <c r="BS3797">
        <v>54.91</v>
      </c>
      <c r="BT3797">
        <v>15.38</v>
      </c>
      <c r="BU3797">
        <v>3.27</v>
      </c>
      <c r="BV3797">
        <v>0.21</v>
      </c>
      <c r="BW3797">
        <v>13.45</v>
      </c>
      <c r="BX3797">
        <v>1.88</v>
      </c>
      <c r="BY3797">
        <v>0.5</v>
      </c>
      <c r="BZ3797">
        <v>1.26</v>
      </c>
      <c r="CA3797">
        <v>0.13</v>
      </c>
      <c r="CB3797">
        <v>5.15</v>
      </c>
      <c r="CC3797">
        <v>10.029999999999999</v>
      </c>
      <c r="CD3797">
        <v>3.59</v>
      </c>
      <c r="CE3797">
        <v>0.89</v>
      </c>
      <c r="CF3797">
        <v>-0.09</v>
      </c>
      <c r="CG3797">
        <v>0.85</v>
      </c>
      <c r="CH3797">
        <v>0.62</v>
      </c>
      <c r="CI3797">
        <v>0.62</v>
      </c>
      <c r="CJ3797">
        <v>-0.24</v>
      </c>
      <c r="CK3797">
        <v>0.46</v>
      </c>
      <c r="CL3797">
        <v>4.13</v>
      </c>
      <c r="CM3797">
        <v>1.92</v>
      </c>
      <c r="CN3797">
        <v>-0.8</v>
      </c>
      <c r="CO3797">
        <v>26815</v>
      </c>
      <c r="CP3797">
        <v>3171</v>
      </c>
      <c r="CQ3797" t="s">
        <v>5032</v>
      </c>
      <c r="CR3797">
        <v>143.04</v>
      </c>
      <c r="CS3797">
        <v>20.09</v>
      </c>
      <c r="CT3797">
        <v>3.31</v>
      </c>
      <c r="CU3797">
        <v>22.69</v>
      </c>
      <c r="CV3797">
        <v>4.3499999999999996</v>
      </c>
      <c r="CW3797">
        <v>5.43</v>
      </c>
      <c r="CX3797" t="s">
        <v>670</v>
      </c>
      <c r="CY3797">
        <v>5.49</v>
      </c>
      <c r="CZ3797">
        <v>0</v>
      </c>
      <c r="DA3797">
        <v>2.15</v>
      </c>
      <c r="DB3797">
        <v>1.72</v>
      </c>
      <c r="DC3797">
        <v>0.8</v>
      </c>
      <c r="DD3797">
        <v>45.07</v>
      </c>
      <c r="DE3797" t="s">
        <v>8875</v>
      </c>
      <c r="DF3797">
        <v>64.209999999999994</v>
      </c>
      <c r="DG3797">
        <v>8.89</v>
      </c>
      <c r="DH3797">
        <v>6.16</v>
      </c>
      <c r="DI3797">
        <v>7.0000000000000007E-2</v>
      </c>
      <c r="DJ3797">
        <v>4792</v>
      </c>
      <c r="DK3797">
        <v>603886</v>
      </c>
      <c r="DL3797" t="s">
        <v>120</v>
      </c>
      <c r="DM3797" t="s">
        <v>120</v>
      </c>
      <c r="DN3797" t="s">
        <v>120</v>
      </c>
    </row>
    <row r="3798" spans="1:118">
      <c r="A3798" t="str">
        <f>"603887"</f>
        <v>603887</v>
      </c>
      <c r="B3798" t="s">
        <v>15660</v>
      </c>
      <c r="C3798">
        <v>-1.26</v>
      </c>
      <c r="D3798">
        <v>0</v>
      </c>
      <c r="E3798">
        <v>0</v>
      </c>
      <c r="F3798">
        <v>528</v>
      </c>
      <c r="G3798" t="s">
        <v>8522</v>
      </c>
      <c r="H3798">
        <v>3756.78</v>
      </c>
      <c r="I3798">
        <v>0.44</v>
      </c>
      <c r="J3798" t="s">
        <v>120</v>
      </c>
      <c r="K3798" t="s">
        <v>10062</v>
      </c>
      <c r="L3798">
        <v>1.22</v>
      </c>
      <c r="M3798">
        <v>8.6300000000000008</v>
      </c>
      <c r="N3798">
        <v>1.03</v>
      </c>
      <c r="O3798">
        <v>1.03</v>
      </c>
      <c r="P3798">
        <v>8.83</v>
      </c>
      <c r="Q3798">
        <v>-1.37</v>
      </c>
      <c r="R3798">
        <v>8.6199999999999992</v>
      </c>
      <c r="S3798">
        <v>8.74</v>
      </c>
      <c r="T3798">
        <v>43068</v>
      </c>
      <c r="U3798">
        <v>8.64</v>
      </c>
      <c r="V3798">
        <v>8.74</v>
      </c>
      <c r="W3798">
        <v>18.559999999999999</v>
      </c>
      <c r="X3798" t="s">
        <v>141</v>
      </c>
      <c r="Y3798" t="s">
        <v>1510</v>
      </c>
      <c r="Z3798">
        <v>2.4</v>
      </c>
      <c r="AA3798">
        <v>8.7200000000000006</v>
      </c>
      <c r="AB3798">
        <v>20028</v>
      </c>
      <c r="AC3798">
        <v>23040</v>
      </c>
      <c r="AD3798">
        <v>0.87</v>
      </c>
      <c r="AE3798">
        <v>401</v>
      </c>
      <c r="AF3798">
        <v>108</v>
      </c>
      <c r="AG3798" t="s">
        <v>120</v>
      </c>
      <c r="AH3798">
        <v>0</v>
      </c>
      <c r="AI3798" t="s">
        <v>120</v>
      </c>
      <c r="AJ3798">
        <v>3.54</v>
      </c>
      <c r="AK3798" t="s">
        <v>5623</v>
      </c>
      <c r="AL3798">
        <v>0.09</v>
      </c>
      <c r="AM3798">
        <v>1366</v>
      </c>
      <c r="AN3798">
        <v>32</v>
      </c>
      <c r="AO3798">
        <v>8.9999999999999998E-4</v>
      </c>
      <c r="AP3798">
        <v>-1</v>
      </c>
      <c r="AQ3798">
        <v>0.92</v>
      </c>
      <c r="AR3798">
        <v>-1.93</v>
      </c>
      <c r="AS3798">
        <v>-5.99</v>
      </c>
      <c r="AT3798">
        <v>-16.62</v>
      </c>
      <c r="AU3798">
        <v>-40.69</v>
      </c>
      <c r="AV3798">
        <v>1</v>
      </c>
      <c r="AW3798">
        <v>1.66</v>
      </c>
      <c r="AX3798">
        <v>57.5</v>
      </c>
      <c r="AY3798">
        <v>12.67</v>
      </c>
      <c r="AZ3798">
        <v>10.029999999999999</v>
      </c>
      <c r="BA3798">
        <v>0.71</v>
      </c>
      <c r="BB3798" t="s">
        <v>143</v>
      </c>
      <c r="BF3798">
        <v>-0.2</v>
      </c>
      <c r="BG3798">
        <v>-1.26</v>
      </c>
      <c r="BH3798">
        <v>-2.27</v>
      </c>
      <c r="BI3798">
        <v>0.12</v>
      </c>
      <c r="BJ3798">
        <v>20210827</v>
      </c>
      <c r="BK3798">
        <v>20161010</v>
      </c>
      <c r="BL3798">
        <v>4.51</v>
      </c>
      <c r="BM3798" t="s">
        <v>120</v>
      </c>
      <c r="BN3798" t="s">
        <v>120</v>
      </c>
      <c r="BO3798">
        <v>83.35</v>
      </c>
      <c r="BP3798">
        <v>8.6300000000000008</v>
      </c>
      <c r="BQ3798">
        <v>41.24</v>
      </c>
      <c r="BR3798" t="s">
        <v>120</v>
      </c>
      <c r="BS3798">
        <v>50.53</v>
      </c>
      <c r="BT3798">
        <v>55.65</v>
      </c>
      <c r="BU3798">
        <v>5.75</v>
      </c>
      <c r="BV3798">
        <v>1.23</v>
      </c>
      <c r="BW3798">
        <v>28.78</v>
      </c>
      <c r="BX3798">
        <v>17.78</v>
      </c>
      <c r="BY3798">
        <v>4.7699999999999996</v>
      </c>
      <c r="BZ3798">
        <v>18.239999999999998</v>
      </c>
      <c r="CA3798" t="s">
        <v>120</v>
      </c>
      <c r="CB3798">
        <v>22.39</v>
      </c>
      <c r="CC3798">
        <v>12.5</v>
      </c>
      <c r="CD3798">
        <v>9.42</v>
      </c>
      <c r="CE3798">
        <v>0.9</v>
      </c>
      <c r="CF3798">
        <v>0</v>
      </c>
      <c r="CG3798">
        <v>1.18</v>
      </c>
      <c r="CH3798">
        <v>1.05</v>
      </c>
      <c r="CI3798">
        <v>1.05</v>
      </c>
      <c r="CJ3798">
        <v>-0.11</v>
      </c>
      <c r="CK3798">
        <v>0.79</v>
      </c>
      <c r="CL3798">
        <v>10.47</v>
      </c>
      <c r="CM3798">
        <v>-3.01</v>
      </c>
      <c r="CN3798">
        <v>-8.91</v>
      </c>
      <c r="CO3798">
        <v>26986</v>
      </c>
      <c r="CP3798">
        <v>9603</v>
      </c>
      <c r="CQ3798" t="s">
        <v>9368</v>
      </c>
      <c r="CR3798">
        <v>-43.8</v>
      </c>
      <c r="CS3798">
        <v>-19.829999999999998</v>
      </c>
      <c r="CT3798">
        <v>1.02</v>
      </c>
      <c r="CU3798">
        <v>-12.92</v>
      </c>
      <c r="CV3798">
        <v>3.11</v>
      </c>
      <c r="CW3798">
        <v>0.95</v>
      </c>
      <c r="CX3798" t="s">
        <v>694</v>
      </c>
      <c r="CY3798">
        <v>8.43</v>
      </c>
      <c r="CZ3798">
        <v>8.43</v>
      </c>
      <c r="DA3798">
        <v>4.97</v>
      </c>
      <c r="DB3798">
        <v>2.3199999999999998</v>
      </c>
      <c r="DC3798">
        <v>-0.67</v>
      </c>
      <c r="DD3798">
        <v>49.47</v>
      </c>
      <c r="DE3798" t="s">
        <v>3064</v>
      </c>
      <c r="DF3798">
        <v>24.61</v>
      </c>
      <c r="DG3798">
        <v>7.16</v>
      </c>
      <c r="DH3798">
        <v>8.3800000000000008</v>
      </c>
      <c r="DI3798">
        <v>0.4</v>
      </c>
      <c r="DJ3798">
        <v>1154</v>
      </c>
      <c r="DK3798">
        <v>603887</v>
      </c>
      <c r="DL3798" t="s">
        <v>120</v>
      </c>
      <c r="DM3798" t="s">
        <v>120</v>
      </c>
      <c r="DN3798" t="s">
        <v>120</v>
      </c>
    </row>
    <row r="3799" spans="1:118">
      <c r="A3799" t="str">
        <f>"603888"</f>
        <v>603888</v>
      </c>
      <c r="B3799" t="s">
        <v>15661</v>
      </c>
      <c r="C3799">
        <v>-2.73</v>
      </c>
      <c r="D3799">
        <v>-0.1</v>
      </c>
      <c r="E3799">
        <v>-0.63</v>
      </c>
      <c r="F3799">
        <v>1467</v>
      </c>
      <c r="G3799" t="s">
        <v>4505</v>
      </c>
      <c r="H3799">
        <v>10624.95</v>
      </c>
      <c r="I3799">
        <v>93.37</v>
      </c>
      <c r="J3799" t="s">
        <v>120</v>
      </c>
      <c r="K3799" t="s">
        <v>15662</v>
      </c>
      <c r="L3799">
        <v>1.1000000000000001</v>
      </c>
      <c r="M3799">
        <v>18.5</v>
      </c>
      <c r="N3799">
        <v>0.85</v>
      </c>
      <c r="O3799">
        <v>0.42</v>
      </c>
      <c r="P3799">
        <v>19.100000000000001</v>
      </c>
      <c r="Q3799">
        <v>-3.21</v>
      </c>
      <c r="R3799">
        <v>18.41</v>
      </c>
      <c r="S3799">
        <v>18.899999999999999</v>
      </c>
      <c r="T3799">
        <v>56850</v>
      </c>
      <c r="U3799">
        <v>18.510000000000002</v>
      </c>
      <c r="V3799">
        <v>19.02</v>
      </c>
      <c r="W3799">
        <v>58.23</v>
      </c>
      <c r="X3799" t="s">
        <v>1531</v>
      </c>
      <c r="Y3799" t="s">
        <v>158</v>
      </c>
      <c r="Z3799">
        <v>3.63</v>
      </c>
      <c r="AA3799">
        <v>18.690000000000001</v>
      </c>
      <c r="AB3799">
        <v>35517</v>
      </c>
      <c r="AC3799">
        <v>21333</v>
      </c>
      <c r="AD3799">
        <v>1.66</v>
      </c>
      <c r="AE3799">
        <v>175</v>
      </c>
      <c r="AF3799">
        <v>44</v>
      </c>
      <c r="AG3799" t="s">
        <v>120</v>
      </c>
      <c r="AH3799">
        <v>0.03</v>
      </c>
      <c r="AI3799" t="s">
        <v>120</v>
      </c>
      <c r="AJ3799">
        <v>5.19</v>
      </c>
      <c r="AK3799" t="s">
        <v>15662</v>
      </c>
      <c r="AL3799">
        <v>-1.39</v>
      </c>
      <c r="AM3799">
        <v>2684</v>
      </c>
      <c r="AN3799">
        <v>21</v>
      </c>
      <c r="AO3799">
        <v>4.0000000000000002E-4</v>
      </c>
      <c r="AP3799">
        <v>-1</v>
      </c>
      <c r="AQ3799">
        <v>3.88</v>
      </c>
      <c r="AR3799">
        <v>-2.21</v>
      </c>
      <c r="AS3799">
        <v>6.88</v>
      </c>
      <c r="AT3799">
        <v>-12.87</v>
      </c>
      <c r="AU3799">
        <v>-1.98</v>
      </c>
      <c r="AV3799">
        <v>2</v>
      </c>
      <c r="AW3799">
        <v>2.94</v>
      </c>
      <c r="AX3799">
        <v>37.200000000000003</v>
      </c>
      <c r="AY3799">
        <v>40.49</v>
      </c>
      <c r="AZ3799">
        <v>59.85</v>
      </c>
      <c r="BA3799">
        <v>1.06</v>
      </c>
      <c r="BB3799" t="s">
        <v>143</v>
      </c>
      <c r="BF3799">
        <v>-1.74</v>
      </c>
      <c r="BG3799">
        <v>-2.12</v>
      </c>
      <c r="BH3799">
        <v>-3.14</v>
      </c>
      <c r="BI3799">
        <v>0.49</v>
      </c>
      <c r="BJ3799">
        <v>20210826</v>
      </c>
      <c r="BK3799">
        <v>20161028</v>
      </c>
      <c r="BL3799">
        <v>5.19</v>
      </c>
      <c r="BM3799" t="s">
        <v>120</v>
      </c>
      <c r="BN3799" t="s">
        <v>120</v>
      </c>
      <c r="BO3799">
        <v>45.65</v>
      </c>
      <c r="BP3799">
        <v>18.5</v>
      </c>
      <c r="BQ3799">
        <v>30</v>
      </c>
      <c r="BR3799" t="s">
        <v>120</v>
      </c>
      <c r="BS3799">
        <v>34.28</v>
      </c>
      <c r="BT3799">
        <v>32.159999999999997</v>
      </c>
      <c r="BU3799">
        <v>2.48</v>
      </c>
      <c r="BV3799">
        <v>0.56000000000000005</v>
      </c>
      <c r="BW3799">
        <v>7.43</v>
      </c>
      <c r="BX3799">
        <v>17.91</v>
      </c>
      <c r="BY3799">
        <v>0.03</v>
      </c>
      <c r="BZ3799">
        <v>4.83</v>
      </c>
      <c r="CA3799">
        <v>0.01</v>
      </c>
      <c r="CB3799">
        <v>14.99</v>
      </c>
      <c r="CC3799">
        <v>6.36</v>
      </c>
      <c r="CD3799">
        <v>4.58</v>
      </c>
      <c r="CE3799">
        <v>0.92</v>
      </c>
      <c r="CF3799">
        <v>0.67</v>
      </c>
      <c r="CG3799">
        <v>0.8</v>
      </c>
      <c r="CH3799">
        <v>0.82</v>
      </c>
      <c r="CI3799">
        <v>0.82</v>
      </c>
      <c r="CJ3799">
        <v>-0.52</v>
      </c>
      <c r="CK3799">
        <v>-0.36</v>
      </c>
      <c r="CL3799">
        <v>8.06</v>
      </c>
      <c r="CM3799">
        <v>-0.72</v>
      </c>
      <c r="CN3799">
        <v>-3.1</v>
      </c>
      <c r="CO3799">
        <v>42562</v>
      </c>
      <c r="CP3799">
        <v>4536</v>
      </c>
      <c r="CQ3799" t="s">
        <v>1442</v>
      </c>
      <c r="CR3799">
        <v>2220.14</v>
      </c>
      <c r="CS3799">
        <v>43.46</v>
      </c>
      <c r="CT3799">
        <v>3.2</v>
      </c>
      <c r="CU3799">
        <v>-132.5</v>
      </c>
      <c r="CV3799">
        <v>15.1</v>
      </c>
      <c r="CW3799">
        <v>0.67</v>
      </c>
      <c r="CX3799" t="s">
        <v>4104</v>
      </c>
      <c r="CY3799">
        <v>5.78</v>
      </c>
      <c r="CZ3799">
        <v>0</v>
      </c>
      <c r="DA3799">
        <v>2.89</v>
      </c>
      <c r="DB3799">
        <v>1.55</v>
      </c>
      <c r="DC3799">
        <v>-0.14000000000000001</v>
      </c>
      <c r="DD3799">
        <v>65.72</v>
      </c>
      <c r="DE3799" t="s">
        <v>1868</v>
      </c>
      <c r="DF3799">
        <v>28.03</v>
      </c>
      <c r="DG3799">
        <v>14.43</v>
      </c>
      <c r="DH3799">
        <v>12.97</v>
      </c>
      <c r="DI3799">
        <v>0.26</v>
      </c>
      <c r="DJ3799">
        <v>1853</v>
      </c>
      <c r="DK3799">
        <v>603888</v>
      </c>
      <c r="DL3799" t="s">
        <v>120</v>
      </c>
      <c r="DM3799" t="s">
        <v>120</v>
      </c>
      <c r="DN3799" t="s">
        <v>120</v>
      </c>
    </row>
    <row r="3800" spans="1:118">
      <c r="A3800" t="str">
        <f>"603889"</f>
        <v>603889</v>
      </c>
      <c r="B3800" t="s">
        <v>15663</v>
      </c>
      <c r="C3800">
        <v>-3.09</v>
      </c>
      <c r="D3800">
        <v>-0.39</v>
      </c>
      <c r="E3800">
        <v>1.68</v>
      </c>
      <c r="F3800">
        <v>482</v>
      </c>
      <c r="G3800" t="s">
        <v>6451</v>
      </c>
      <c r="H3800">
        <v>4125.66</v>
      </c>
      <c r="I3800">
        <v>158.27000000000001</v>
      </c>
      <c r="J3800" t="s">
        <v>120</v>
      </c>
      <c r="K3800" t="s">
        <v>8248</v>
      </c>
      <c r="L3800">
        <v>1.05</v>
      </c>
      <c r="M3800">
        <v>7.52</v>
      </c>
      <c r="N3800">
        <v>0.56999999999999995</v>
      </c>
      <c r="O3800">
        <v>1.68</v>
      </c>
      <c r="P3800">
        <v>7.89</v>
      </c>
      <c r="Q3800">
        <v>-3.35</v>
      </c>
      <c r="R3800">
        <v>7.5</v>
      </c>
      <c r="S3800">
        <v>7.89</v>
      </c>
      <c r="T3800">
        <v>53742</v>
      </c>
      <c r="U3800">
        <v>7.54</v>
      </c>
      <c r="V3800">
        <v>7.76</v>
      </c>
      <c r="W3800">
        <v>11.15</v>
      </c>
      <c r="X3800" t="s">
        <v>1766</v>
      </c>
      <c r="Y3800" t="s">
        <v>585</v>
      </c>
      <c r="Z3800">
        <v>5.03</v>
      </c>
      <c r="AA3800">
        <v>7.68</v>
      </c>
      <c r="AB3800">
        <v>28599</v>
      </c>
      <c r="AC3800">
        <v>25143</v>
      </c>
      <c r="AD3800">
        <v>1.1399999999999999</v>
      </c>
      <c r="AE3800">
        <v>104</v>
      </c>
      <c r="AF3800">
        <v>15</v>
      </c>
      <c r="AG3800" t="s">
        <v>120</v>
      </c>
      <c r="AH3800">
        <v>7.0000000000000007E-2</v>
      </c>
      <c r="AI3800" t="s">
        <v>120</v>
      </c>
      <c r="AJ3800">
        <v>5.12</v>
      </c>
      <c r="AK3800" t="s">
        <v>8248</v>
      </c>
      <c r="AL3800">
        <v>-1.75</v>
      </c>
      <c r="AM3800">
        <v>2562</v>
      </c>
      <c r="AN3800">
        <v>21</v>
      </c>
      <c r="AO3800">
        <v>4.0000000000000002E-4</v>
      </c>
      <c r="AP3800">
        <v>-1</v>
      </c>
      <c r="AQ3800">
        <v>3.74</v>
      </c>
      <c r="AR3800">
        <v>-5.29</v>
      </c>
      <c r="AS3800">
        <v>-1.45</v>
      </c>
      <c r="AT3800">
        <v>34.53</v>
      </c>
      <c r="AU3800">
        <v>63.12</v>
      </c>
      <c r="AV3800">
        <v>2</v>
      </c>
      <c r="AW3800">
        <v>1.93</v>
      </c>
      <c r="AX3800">
        <v>54.41</v>
      </c>
      <c r="AY3800">
        <v>17.04</v>
      </c>
      <c r="AZ3800">
        <v>26.22</v>
      </c>
      <c r="BA3800">
        <v>1.1200000000000001</v>
      </c>
      <c r="BB3800" t="s">
        <v>143</v>
      </c>
      <c r="BF3800">
        <v>-1.07</v>
      </c>
      <c r="BG3800">
        <v>-4.6900000000000004</v>
      </c>
      <c r="BH3800">
        <v>-4.6900000000000004</v>
      </c>
      <c r="BI3800">
        <v>0.27</v>
      </c>
      <c r="BJ3800">
        <v>20210812</v>
      </c>
      <c r="BK3800">
        <v>20141231</v>
      </c>
      <c r="BL3800">
        <v>5.12</v>
      </c>
      <c r="BM3800" t="s">
        <v>120</v>
      </c>
      <c r="BN3800" t="s">
        <v>120</v>
      </c>
      <c r="BO3800">
        <v>39.630000000000003</v>
      </c>
      <c r="BP3800">
        <v>7.52</v>
      </c>
      <c r="BQ3800">
        <v>25.99</v>
      </c>
      <c r="BR3800">
        <v>0.55000000000000004</v>
      </c>
      <c r="BS3800">
        <v>33.04</v>
      </c>
      <c r="BT3800">
        <v>26.13</v>
      </c>
      <c r="BU3800">
        <v>10.89</v>
      </c>
      <c r="BV3800">
        <v>0.99</v>
      </c>
      <c r="BW3800">
        <v>12.85</v>
      </c>
      <c r="BX3800">
        <v>6.23</v>
      </c>
      <c r="BY3800">
        <v>14.15</v>
      </c>
      <c r="BZ3800">
        <v>4.76</v>
      </c>
      <c r="CA3800" t="s">
        <v>120</v>
      </c>
      <c r="CB3800">
        <v>10.45</v>
      </c>
      <c r="CC3800">
        <v>17.600000000000001</v>
      </c>
      <c r="CD3800">
        <v>14.06</v>
      </c>
      <c r="CE3800">
        <v>2.09</v>
      </c>
      <c r="CF3800">
        <v>0</v>
      </c>
      <c r="CG3800">
        <v>2.1</v>
      </c>
      <c r="CH3800">
        <v>1.83</v>
      </c>
      <c r="CI3800">
        <v>1.73</v>
      </c>
      <c r="CJ3800">
        <v>-0.24</v>
      </c>
      <c r="CK3800">
        <v>1.65</v>
      </c>
      <c r="CL3800">
        <v>9.3000000000000007</v>
      </c>
      <c r="CM3800">
        <v>-3.99</v>
      </c>
      <c r="CN3800">
        <v>-0.96</v>
      </c>
      <c r="CO3800">
        <v>12338</v>
      </c>
      <c r="CP3800">
        <v>22567</v>
      </c>
      <c r="CQ3800" t="s">
        <v>15664</v>
      </c>
      <c r="CR3800">
        <v>89.73</v>
      </c>
      <c r="CS3800">
        <v>63.45</v>
      </c>
      <c r="CT3800">
        <v>1.48</v>
      </c>
      <c r="CU3800">
        <v>-9.66</v>
      </c>
      <c r="CV3800">
        <v>2.19</v>
      </c>
      <c r="CW3800">
        <v>2.58</v>
      </c>
      <c r="CX3800" t="s">
        <v>1574</v>
      </c>
      <c r="CY3800">
        <v>5.08</v>
      </c>
      <c r="CZ3800">
        <v>0</v>
      </c>
      <c r="DA3800">
        <v>2.04</v>
      </c>
      <c r="DB3800">
        <v>1.82</v>
      </c>
      <c r="DC3800">
        <v>-0.78</v>
      </c>
      <c r="DD3800">
        <v>65.569999999999993</v>
      </c>
      <c r="DE3800" t="s">
        <v>4135</v>
      </c>
      <c r="DF3800">
        <v>20.14</v>
      </c>
      <c r="DG3800">
        <v>11.85</v>
      </c>
      <c r="DH3800">
        <v>9.81</v>
      </c>
      <c r="DI3800">
        <v>0.52</v>
      </c>
      <c r="DJ3800">
        <v>3219</v>
      </c>
      <c r="DK3800">
        <v>603889</v>
      </c>
      <c r="DL3800" t="s">
        <v>120</v>
      </c>
      <c r="DM3800" t="s">
        <v>120</v>
      </c>
      <c r="DN3800" t="s">
        <v>120</v>
      </c>
    </row>
    <row r="3801" spans="1:118">
      <c r="A3801" t="str">
        <f>"603890"</f>
        <v>603890</v>
      </c>
      <c r="B3801" t="s">
        <v>15665</v>
      </c>
      <c r="C3801">
        <v>1.65</v>
      </c>
      <c r="D3801">
        <v>0.24</v>
      </c>
      <c r="E3801">
        <v>-0.33</v>
      </c>
      <c r="F3801">
        <v>1214</v>
      </c>
      <c r="G3801" t="s">
        <v>15666</v>
      </c>
      <c r="H3801">
        <v>7362.84</v>
      </c>
      <c r="I3801">
        <v>1.21</v>
      </c>
      <c r="J3801" t="s">
        <v>120</v>
      </c>
      <c r="K3801" t="s">
        <v>15667</v>
      </c>
      <c r="L3801">
        <v>1.54</v>
      </c>
      <c r="M3801">
        <v>12.32</v>
      </c>
      <c r="N3801">
        <v>2.13</v>
      </c>
      <c r="O3801">
        <v>3.96</v>
      </c>
      <c r="P3801">
        <v>12.6</v>
      </c>
      <c r="Q3801">
        <v>-0.66</v>
      </c>
      <c r="R3801">
        <v>12.04</v>
      </c>
      <c r="S3801">
        <v>12.08</v>
      </c>
      <c r="T3801">
        <v>59702</v>
      </c>
      <c r="U3801">
        <v>12.32</v>
      </c>
      <c r="V3801">
        <v>12.12</v>
      </c>
      <c r="W3801">
        <v>15.7</v>
      </c>
      <c r="X3801" t="s">
        <v>229</v>
      </c>
      <c r="Y3801" t="s">
        <v>319</v>
      </c>
      <c r="Z3801">
        <v>4.62</v>
      </c>
      <c r="AA3801">
        <v>12.33</v>
      </c>
      <c r="AB3801">
        <v>25952</v>
      </c>
      <c r="AC3801">
        <v>33750</v>
      </c>
      <c r="AD3801">
        <v>0.77</v>
      </c>
      <c r="AE3801">
        <v>5</v>
      </c>
      <c r="AF3801">
        <v>80</v>
      </c>
      <c r="AG3801" t="s">
        <v>120</v>
      </c>
      <c r="AH3801">
        <v>0</v>
      </c>
      <c r="AI3801" t="s">
        <v>120</v>
      </c>
      <c r="AJ3801">
        <v>3.87</v>
      </c>
      <c r="AK3801" t="s">
        <v>15668</v>
      </c>
      <c r="AL3801">
        <v>2.99</v>
      </c>
      <c r="AM3801">
        <v>1456</v>
      </c>
      <c r="AN3801">
        <v>41</v>
      </c>
      <c r="AO3801">
        <v>1.1000000000000001E-3</v>
      </c>
      <c r="AP3801">
        <v>1</v>
      </c>
      <c r="AQ3801">
        <v>-0.49</v>
      </c>
      <c r="AR3801">
        <v>0.33</v>
      </c>
      <c r="AS3801">
        <v>0.33</v>
      </c>
      <c r="AT3801">
        <v>-7.99</v>
      </c>
      <c r="AU3801">
        <v>7.88</v>
      </c>
      <c r="AV3801">
        <v>2</v>
      </c>
      <c r="AW3801">
        <v>2.97</v>
      </c>
      <c r="AX3801">
        <v>45.74</v>
      </c>
      <c r="AY3801">
        <v>18.97</v>
      </c>
      <c r="AZ3801">
        <v>21.6</v>
      </c>
      <c r="BA3801">
        <v>0.16</v>
      </c>
      <c r="BB3801" t="s">
        <v>125</v>
      </c>
      <c r="BF3801">
        <v>1.76</v>
      </c>
      <c r="BG3801">
        <v>1.99</v>
      </c>
      <c r="BH3801">
        <v>-2.2200000000000002</v>
      </c>
      <c r="BI3801">
        <v>2.33</v>
      </c>
      <c r="BJ3801">
        <v>20210826</v>
      </c>
      <c r="BK3801">
        <v>20171212</v>
      </c>
      <c r="BL3801">
        <v>4.3899999999999997</v>
      </c>
      <c r="BM3801" t="s">
        <v>120</v>
      </c>
      <c r="BN3801" t="s">
        <v>120</v>
      </c>
      <c r="BO3801">
        <v>45.3</v>
      </c>
      <c r="BP3801">
        <v>12.31</v>
      </c>
      <c r="BQ3801">
        <v>19.36</v>
      </c>
      <c r="BR3801">
        <v>7.0000000000000007E-2</v>
      </c>
      <c r="BS3801">
        <v>57.12</v>
      </c>
      <c r="BT3801">
        <v>29.29</v>
      </c>
      <c r="BU3801">
        <v>12.44</v>
      </c>
      <c r="BV3801">
        <v>0.55000000000000004</v>
      </c>
      <c r="BW3801">
        <v>22.24</v>
      </c>
      <c r="BX3801">
        <v>5.93</v>
      </c>
      <c r="BY3801">
        <v>8.65</v>
      </c>
      <c r="BZ3801">
        <v>13.16</v>
      </c>
      <c r="CA3801" t="s">
        <v>120</v>
      </c>
      <c r="CB3801">
        <v>7.56</v>
      </c>
      <c r="CC3801">
        <v>20.59</v>
      </c>
      <c r="CD3801">
        <v>17.37</v>
      </c>
      <c r="CE3801">
        <v>1.62</v>
      </c>
      <c r="CF3801">
        <v>0.04</v>
      </c>
      <c r="CG3801">
        <v>2.0299999999999998</v>
      </c>
      <c r="CH3801">
        <v>1.71</v>
      </c>
      <c r="CI3801">
        <v>1.72</v>
      </c>
      <c r="CJ3801">
        <v>0.2</v>
      </c>
      <c r="CK3801">
        <v>1.33</v>
      </c>
      <c r="CL3801">
        <v>7.61</v>
      </c>
      <c r="CM3801">
        <v>1.1599999999999999</v>
      </c>
      <c r="CN3801">
        <v>-0.03</v>
      </c>
      <c r="CO3801">
        <v>23674</v>
      </c>
      <c r="CP3801">
        <v>8484</v>
      </c>
      <c r="CQ3801" t="s">
        <v>10986</v>
      </c>
      <c r="CR3801">
        <v>24.74</v>
      </c>
      <c r="CS3801">
        <v>51.59</v>
      </c>
      <c r="CT3801">
        <v>2.52</v>
      </c>
      <c r="CU3801">
        <v>46.57</v>
      </c>
      <c r="CV3801">
        <v>2.63</v>
      </c>
      <c r="CW3801">
        <v>1.47</v>
      </c>
      <c r="CX3801" t="s">
        <v>194</v>
      </c>
      <c r="CY3801">
        <v>4.8899999999999997</v>
      </c>
      <c r="CZ3801">
        <v>4.8899999999999997</v>
      </c>
      <c r="DA3801">
        <v>1.72</v>
      </c>
      <c r="DB3801">
        <v>1.73</v>
      </c>
      <c r="DC3801">
        <v>0.26</v>
      </c>
      <c r="DD3801">
        <v>42.73</v>
      </c>
      <c r="DE3801" t="s">
        <v>10697</v>
      </c>
      <c r="DF3801">
        <v>15.65</v>
      </c>
      <c r="DG3801">
        <v>7.84</v>
      </c>
      <c r="DH3801">
        <v>8.3699999999999992</v>
      </c>
      <c r="DI3801">
        <v>0.7</v>
      </c>
      <c r="DJ3801">
        <v>4087</v>
      </c>
      <c r="DK3801">
        <v>603890</v>
      </c>
      <c r="DL3801" t="s">
        <v>120</v>
      </c>
      <c r="DM3801" t="s">
        <v>120</v>
      </c>
      <c r="DN3801" t="s">
        <v>120</v>
      </c>
    </row>
    <row r="3802" spans="1:118">
      <c r="A3802" t="str">
        <f>"603893"</f>
        <v>603893</v>
      </c>
      <c r="B3802" t="s">
        <v>15669</v>
      </c>
      <c r="C3802">
        <v>-4.32</v>
      </c>
      <c r="D3802">
        <v>-7.0000000000000007E-2</v>
      </c>
      <c r="E3802">
        <v>-1.51</v>
      </c>
      <c r="F3802">
        <v>184</v>
      </c>
      <c r="G3802" t="s">
        <v>15670</v>
      </c>
      <c r="H3802">
        <v>30963.94</v>
      </c>
      <c r="I3802">
        <v>235.32</v>
      </c>
      <c r="J3802" t="s">
        <v>120</v>
      </c>
      <c r="K3802" t="s">
        <v>15671</v>
      </c>
      <c r="L3802">
        <v>1.27</v>
      </c>
      <c r="M3802">
        <v>126.3</v>
      </c>
      <c r="N3802">
        <v>0.67</v>
      </c>
      <c r="O3802">
        <v>0.91</v>
      </c>
      <c r="P3802">
        <v>133.19999999999999</v>
      </c>
      <c r="Q3802">
        <v>-4.32</v>
      </c>
      <c r="R3802">
        <v>126.3</v>
      </c>
      <c r="S3802">
        <v>130.01</v>
      </c>
      <c r="T3802">
        <v>23919</v>
      </c>
      <c r="U3802">
        <v>126.3</v>
      </c>
      <c r="V3802">
        <v>132</v>
      </c>
      <c r="W3802">
        <v>99.38</v>
      </c>
      <c r="X3802" t="s">
        <v>3245</v>
      </c>
      <c r="Y3802" t="s">
        <v>937</v>
      </c>
      <c r="Z3802">
        <v>5.23</v>
      </c>
      <c r="AA3802">
        <v>129.44999999999999</v>
      </c>
      <c r="AB3802">
        <v>14319</v>
      </c>
      <c r="AC3802">
        <v>9600</v>
      </c>
      <c r="AD3802">
        <v>1.49</v>
      </c>
      <c r="AE3802">
        <v>2</v>
      </c>
      <c r="AF3802">
        <v>10</v>
      </c>
      <c r="AG3802" t="s">
        <v>120</v>
      </c>
      <c r="AH3802">
        <v>0.01</v>
      </c>
      <c r="AI3802" t="s">
        <v>120</v>
      </c>
      <c r="AJ3802">
        <v>1.88</v>
      </c>
      <c r="AK3802" t="s">
        <v>15672</v>
      </c>
      <c r="AL3802">
        <v>-2.97</v>
      </c>
      <c r="AM3802">
        <v>3249</v>
      </c>
      <c r="AN3802">
        <v>7</v>
      </c>
      <c r="AO3802">
        <v>4.0000000000000002E-4</v>
      </c>
      <c r="AP3802">
        <v>-2</v>
      </c>
      <c r="AQ3802">
        <v>-4.74</v>
      </c>
      <c r="AR3802">
        <v>-3.41</v>
      </c>
      <c r="AS3802">
        <v>-14.95</v>
      </c>
      <c r="AT3802">
        <v>-9.14</v>
      </c>
      <c r="AU3802">
        <v>75.790000000000006</v>
      </c>
      <c r="AV3802">
        <v>7</v>
      </c>
      <c r="AW3802">
        <v>1.84</v>
      </c>
      <c r="AX3802">
        <v>31.19</v>
      </c>
      <c r="AY3802">
        <v>111.87</v>
      </c>
      <c r="AZ3802">
        <v>171.95</v>
      </c>
      <c r="BA3802">
        <v>0.86</v>
      </c>
      <c r="BB3802" t="s">
        <v>143</v>
      </c>
      <c r="BF3802">
        <v>-1.93</v>
      </c>
      <c r="BG3802">
        <v>-2.85</v>
      </c>
      <c r="BH3802">
        <v>-5.18</v>
      </c>
      <c r="BI3802">
        <v>0</v>
      </c>
      <c r="BJ3802">
        <v>20210827</v>
      </c>
      <c r="BK3802">
        <v>20200207</v>
      </c>
      <c r="BL3802">
        <v>4.17</v>
      </c>
      <c r="BM3802" t="s">
        <v>120</v>
      </c>
      <c r="BN3802" t="s">
        <v>120</v>
      </c>
      <c r="BO3802">
        <v>28.99</v>
      </c>
      <c r="BP3802">
        <v>126.28</v>
      </c>
      <c r="BQ3802">
        <v>23.74</v>
      </c>
      <c r="BR3802" t="s">
        <v>120</v>
      </c>
      <c r="BS3802">
        <v>18.12</v>
      </c>
      <c r="BT3802">
        <v>25.4</v>
      </c>
      <c r="BU3802">
        <v>0.61</v>
      </c>
      <c r="BV3802">
        <v>1.1599999999999999</v>
      </c>
      <c r="BW3802">
        <v>4.76</v>
      </c>
      <c r="BX3802">
        <v>8.44</v>
      </c>
      <c r="BY3802">
        <v>3</v>
      </c>
      <c r="BZ3802">
        <v>2.72</v>
      </c>
      <c r="CA3802" t="s">
        <v>120</v>
      </c>
      <c r="CB3802">
        <v>12.33</v>
      </c>
      <c r="CC3802">
        <v>13.78</v>
      </c>
      <c r="CD3802">
        <v>8.25</v>
      </c>
      <c r="CE3802">
        <v>2.83</v>
      </c>
      <c r="CF3802">
        <v>0.12</v>
      </c>
      <c r="CG3802">
        <v>2.83</v>
      </c>
      <c r="CH3802">
        <v>2.65</v>
      </c>
      <c r="CI3802">
        <v>2.65</v>
      </c>
      <c r="CJ3802">
        <v>-5.7</v>
      </c>
      <c r="CK3802">
        <v>2.1800000000000002</v>
      </c>
      <c r="CL3802">
        <v>7.73</v>
      </c>
      <c r="CM3802">
        <v>1.1599999999999999</v>
      </c>
      <c r="CN3802">
        <v>-6.41</v>
      </c>
      <c r="CO3802">
        <v>33554</v>
      </c>
      <c r="CP3802">
        <v>3874</v>
      </c>
      <c r="CQ3802" t="s">
        <v>15673</v>
      </c>
      <c r="CR3802">
        <v>184.7</v>
      </c>
      <c r="CS3802">
        <v>104.5</v>
      </c>
      <c r="CT3802">
        <v>22.17</v>
      </c>
      <c r="CU3802">
        <v>454.43</v>
      </c>
      <c r="CV3802">
        <v>38.19</v>
      </c>
      <c r="CW3802">
        <v>0.38</v>
      </c>
      <c r="CX3802" t="s">
        <v>2039</v>
      </c>
      <c r="CY3802">
        <v>5.7</v>
      </c>
      <c r="CZ3802">
        <v>0</v>
      </c>
      <c r="DA3802">
        <v>2.96</v>
      </c>
      <c r="DB3802">
        <v>1.85</v>
      </c>
      <c r="DC3802">
        <v>0.28000000000000003</v>
      </c>
      <c r="DD3802">
        <v>81.88</v>
      </c>
      <c r="DE3802" t="s">
        <v>15674</v>
      </c>
      <c r="DF3802">
        <v>40.119999999999997</v>
      </c>
      <c r="DG3802">
        <v>20.55</v>
      </c>
      <c r="DH3802">
        <v>19.21</v>
      </c>
      <c r="DI3802">
        <v>2.5499999999999998</v>
      </c>
      <c r="DJ3802">
        <v>810</v>
      </c>
      <c r="DK3802">
        <v>603893</v>
      </c>
      <c r="DL3802" t="s">
        <v>120</v>
      </c>
      <c r="DM3802" t="s">
        <v>120</v>
      </c>
      <c r="DN3802" t="s">
        <v>120</v>
      </c>
    </row>
    <row r="3803" spans="1:118">
      <c r="A3803" t="str">
        <f>"603895"</f>
        <v>603895</v>
      </c>
      <c r="B3803" t="s">
        <v>15675</v>
      </c>
      <c r="C3803">
        <v>1.73</v>
      </c>
      <c r="D3803">
        <v>0</v>
      </c>
      <c r="E3803">
        <v>0</v>
      </c>
      <c r="F3803">
        <v>209</v>
      </c>
      <c r="G3803" t="s">
        <v>15676</v>
      </c>
      <c r="H3803">
        <v>3364.15</v>
      </c>
      <c r="I3803">
        <v>0</v>
      </c>
      <c r="J3803" t="s">
        <v>120</v>
      </c>
      <c r="K3803" t="s">
        <v>6832</v>
      </c>
      <c r="L3803">
        <v>1.68</v>
      </c>
      <c r="M3803">
        <v>18.18</v>
      </c>
      <c r="N3803">
        <v>2.0499999999999998</v>
      </c>
      <c r="O3803">
        <v>6.99</v>
      </c>
      <c r="P3803">
        <v>19.12</v>
      </c>
      <c r="Q3803">
        <v>0</v>
      </c>
      <c r="R3803">
        <v>17.87</v>
      </c>
      <c r="S3803">
        <v>17.87</v>
      </c>
      <c r="T3803">
        <v>18206</v>
      </c>
      <c r="U3803">
        <v>18.18</v>
      </c>
      <c r="V3803">
        <v>17.87</v>
      </c>
      <c r="W3803">
        <v>86.07</v>
      </c>
      <c r="X3803" t="s">
        <v>675</v>
      </c>
      <c r="Y3803" t="s">
        <v>1510</v>
      </c>
      <c r="Z3803">
        <v>6.99</v>
      </c>
      <c r="AA3803">
        <v>18.48</v>
      </c>
      <c r="AB3803">
        <v>9047</v>
      </c>
      <c r="AC3803">
        <v>9159</v>
      </c>
      <c r="AD3803">
        <v>0.99</v>
      </c>
      <c r="AE3803">
        <v>24</v>
      </c>
      <c r="AF3803">
        <v>26</v>
      </c>
      <c r="AG3803" t="s">
        <v>120</v>
      </c>
      <c r="AH3803">
        <v>0</v>
      </c>
      <c r="AI3803" t="s">
        <v>120</v>
      </c>
      <c r="AJ3803">
        <v>1.08</v>
      </c>
      <c r="AK3803" t="s">
        <v>6832</v>
      </c>
      <c r="AL3803">
        <v>3.08</v>
      </c>
      <c r="AM3803">
        <v>1332</v>
      </c>
      <c r="AN3803">
        <v>14</v>
      </c>
      <c r="AO3803">
        <v>1.2999999999999999E-3</v>
      </c>
      <c r="AP3803">
        <v>2</v>
      </c>
      <c r="AQ3803">
        <v>0.39</v>
      </c>
      <c r="AR3803">
        <v>1.96</v>
      </c>
      <c r="AS3803">
        <v>5.08</v>
      </c>
      <c r="AT3803">
        <v>-5.0199999999999996</v>
      </c>
      <c r="AU3803">
        <v>7.2</v>
      </c>
      <c r="AV3803">
        <v>2</v>
      </c>
      <c r="AW3803">
        <v>5.56</v>
      </c>
      <c r="AX3803">
        <v>30.32</v>
      </c>
      <c r="AY3803">
        <v>224.12</v>
      </c>
      <c r="AZ3803">
        <v>158.26</v>
      </c>
      <c r="BA3803">
        <v>0.72</v>
      </c>
      <c r="BB3803" t="s">
        <v>143</v>
      </c>
      <c r="BF3803">
        <v>3.4</v>
      </c>
      <c r="BG3803">
        <v>1.73</v>
      </c>
      <c r="BH3803">
        <v>-4.92</v>
      </c>
      <c r="BI3803">
        <v>1.73</v>
      </c>
      <c r="BJ3803">
        <v>20210902</v>
      </c>
      <c r="BK3803">
        <v>20180122</v>
      </c>
      <c r="BL3803">
        <v>1.08</v>
      </c>
      <c r="BM3803" t="s">
        <v>120</v>
      </c>
      <c r="BN3803" t="s">
        <v>120</v>
      </c>
      <c r="BO3803">
        <v>13.89</v>
      </c>
      <c r="BP3803">
        <v>18.170000000000002</v>
      </c>
      <c r="BQ3803">
        <v>6.06</v>
      </c>
      <c r="BR3803" t="s">
        <v>120</v>
      </c>
      <c r="BS3803">
        <v>56.35</v>
      </c>
      <c r="BT3803">
        <v>12.44</v>
      </c>
      <c r="BU3803">
        <v>0.59</v>
      </c>
      <c r="BV3803">
        <v>0.16</v>
      </c>
      <c r="BW3803">
        <v>7.82</v>
      </c>
      <c r="BX3803">
        <v>1.88</v>
      </c>
      <c r="BY3803">
        <v>5.24</v>
      </c>
      <c r="BZ3803">
        <v>2.38</v>
      </c>
      <c r="CA3803" t="s">
        <v>120</v>
      </c>
      <c r="CB3803">
        <v>3.76</v>
      </c>
      <c r="CC3803">
        <v>2.4</v>
      </c>
      <c r="CD3803">
        <v>1.82</v>
      </c>
      <c r="CE3803">
        <v>0.11</v>
      </c>
      <c r="CF3803">
        <v>0</v>
      </c>
      <c r="CG3803">
        <v>0.11</v>
      </c>
      <c r="CH3803">
        <v>0.11</v>
      </c>
      <c r="CI3803">
        <v>0.11</v>
      </c>
      <c r="CJ3803">
        <v>0.31</v>
      </c>
      <c r="CK3803">
        <v>0.08</v>
      </c>
      <c r="CL3803">
        <v>1.03</v>
      </c>
      <c r="CM3803">
        <v>-0.73</v>
      </c>
      <c r="CN3803">
        <v>-0.17</v>
      </c>
      <c r="CO3803">
        <v>7474</v>
      </c>
      <c r="CP3803">
        <v>4384</v>
      </c>
      <c r="CQ3803" t="s">
        <v>1124</v>
      </c>
      <c r="CR3803">
        <v>-23.91</v>
      </c>
      <c r="CS3803">
        <v>-4.9800000000000004</v>
      </c>
      <c r="CT3803">
        <v>3.24</v>
      </c>
      <c r="CU3803">
        <v>-27.04</v>
      </c>
      <c r="CV3803">
        <v>8.1999999999999993</v>
      </c>
      <c r="CW3803">
        <v>0.11</v>
      </c>
      <c r="CX3803" t="s">
        <v>1147</v>
      </c>
      <c r="CY3803">
        <v>5.61</v>
      </c>
      <c r="CZ3803">
        <v>0</v>
      </c>
      <c r="DA3803">
        <v>3.48</v>
      </c>
      <c r="DB3803">
        <v>0.95</v>
      </c>
      <c r="DC3803">
        <v>-0.67</v>
      </c>
      <c r="DD3803">
        <v>43.65</v>
      </c>
      <c r="DE3803" t="s">
        <v>7411</v>
      </c>
      <c r="DF3803">
        <v>24.21</v>
      </c>
      <c r="DG3803">
        <v>4.68</v>
      </c>
      <c r="DH3803">
        <v>4.7699999999999996</v>
      </c>
      <c r="DI3803">
        <v>0.25</v>
      </c>
      <c r="DJ3803">
        <v>639</v>
      </c>
      <c r="DK3803">
        <v>603895</v>
      </c>
      <c r="DL3803" t="s">
        <v>120</v>
      </c>
      <c r="DM3803" t="s">
        <v>120</v>
      </c>
      <c r="DN3803" t="s">
        <v>120</v>
      </c>
    </row>
    <row r="3804" spans="1:118">
      <c r="A3804" t="str">
        <f>"603896"</f>
        <v>603896</v>
      </c>
      <c r="B3804" t="s">
        <v>15677</v>
      </c>
      <c r="C3804">
        <v>0.84</v>
      </c>
      <c r="D3804">
        <v>0.37</v>
      </c>
      <c r="E3804">
        <v>0.69</v>
      </c>
      <c r="F3804">
        <v>22</v>
      </c>
      <c r="G3804" t="s">
        <v>4329</v>
      </c>
      <c r="H3804">
        <v>3632.86</v>
      </c>
      <c r="I3804">
        <v>6.14</v>
      </c>
      <c r="J3804" t="s">
        <v>120</v>
      </c>
      <c r="K3804" t="s">
        <v>15678</v>
      </c>
      <c r="L3804">
        <v>0.57999999999999996</v>
      </c>
      <c r="M3804">
        <v>40.97</v>
      </c>
      <c r="N3804">
        <v>1.1200000000000001</v>
      </c>
      <c r="O3804">
        <v>3.1</v>
      </c>
      <c r="P3804">
        <v>41.89</v>
      </c>
      <c r="Q3804">
        <v>-7.0000000000000007E-2</v>
      </c>
      <c r="R3804">
        <v>40.6</v>
      </c>
      <c r="S3804">
        <v>40.909999999999997</v>
      </c>
      <c r="T3804">
        <v>8840</v>
      </c>
      <c r="U3804">
        <v>40.97</v>
      </c>
      <c r="V3804">
        <v>40.630000000000003</v>
      </c>
      <c r="W3804">
        <v>56.48</v>
      </c>
      <c r="X3804" t="s">
        <v>771</v>
      </c>
      <c r="Y3804" t="s">
        <v>585</v>
      </c>
      <c r="Z3804">
        <v>3.17</v>
      </c>
      <c r="AA3804">
        <v>41.1</v>
      </c>
      <c r="AB3804">
        <v>4767</v>
      </c>
      <c r="AC3804">
        <v>4073</v>
      </c>
      <c r="AD3804">
        <v>1.17</v>
      </c>
      <c r="AE3804">
        <v>19</v>
      </c>
      <c r="AF3804">
        <v>4</v>
      </c>
      <c r="AG3804" t="s">
        <v>120</v>
      </c>
      <c r="AH3804">
        <v>0</v>
      </c>
      <c r="AI3804" t="s">
        <v>120</v>
      </c>
      <c r="AJ3804">
        <v>1.52</v>
      </c>
      <c r="AK3804" t="s">
        <v>15678</v>
      </c>
      <c r="AL3804">
        <v>2.1800000000000002</v>
      </c>
      <c r="AM3804">
        <v>1013</v>
      </c>
      <c r="AN3804">
        <v>9</v>
      </c>
      <c r="AO3804">
        <v>5.9999999999999995E-4</v>
      </c>
      <c r="AP3804">
        <v>1</v>
      </c>
      <c r="AQ3804">
        <v>-3.05</v>
      </c>
      <c r="AR3804">
        <v>-1.32</v>
      </c>
      <c r="AS3804">
        <v>-0.94</v>
      </c>
      <c r="AT3804">
        <v>12.19</v>
      </c>
      <c r="AU3804">
        <v>17.670000000000002</v>
      </c>
      <c r="AV3804">
        <v>1</v>
      </c>
      <c r="AW3804">
        <v>1.05</v>
      </c>
      <c r="AX3804">
        <v>55.33</v>
      </c>
      <c r="AY3804">
        <v>37.479999999999997</v>
      </c>
      <c r="AZ3804">
        <v>40.61</v>
      </c>
      <c r="BA3804">
        <v>0.21</v>
      </c>
      <c r="BB3804" t="s">
        <v>143</v>
      </c>
      <c r="BF3804">
        <v>1.1499999999999999</v>
      </c>
      <c r="BG3804">
        <v>0.15</v>
      </c>
      <c r="BH3804">
        <v>-2.2000000000000002</v>
      </c>
      <c r="BI3804">
        <v>0.91</v>
      </c>
      <c r="BJ3804">
        <v>20210825</v>
      </c>
      <c r="BK3804">
        <v>20170510</v>
      </c>
      <c r="BL3804">
        <v>1.52</v>
      </c>
      <c r="BM3804" t="s">
        <v>120</v>
      </c>
      <c r="BN3804" t="s">
        <v>120</v>
      </c>
      <c r="BO3804">
        <v>18.09</v>
      </c>
      <c r="BP3804">
        <v>40.82</v>
      </c>
      <c r="BQ3804">
        <v>14.31</v>
      </c>
      <c r="BR3804" t="s">
        <v>120</v>
      </c>
      <c r="BS3804">
        <v>20.89</v>
      </c>
      <c r="BT3804">
        <v>9.76</v>
      </c>
      <c r="BU3804">
        <v>3.6</v>
      </c>
      <c r="BV3804">
        <v>0.77</v>
      </c>
      <c r="BW3804">
        <v>2.33</v>
      </c>
      <c r="BX3804">
        <v>7.01</v>
      </c>
      <c r="BY3804">
        <v>1.48</v>
      </c>
      <c r="BZ3804">
        <v>0.43</v>
      </c>
      <c r="CA3804" t="s">
        <v>120</v>
      </c>
      <c r="CB3804">
        <v>8.75</v>
      </c>
      <c r="CC3804">
        <v>3.17</v>
      </c>
      <c r="CD3804">
        <v>0.55000000000000004</v>
      </c>
      <c r="CE3804">
        <v>0.56000000000000005</v>
      </c>
      <c r="CF3804">
        <v>0.04</v>
      </c>
      <c r="CG3804">
        <v>0.55000000000000004</v>
      </c>
      <c r="CH3804">
        <v>0.55000000000000004</v>
      </c>
      <c r="CI3804">
        <v>0.55000000000000004</v>
      </c>
      <c r="CJ3804">
        <v>0.34</v>
      </c>
      <c r="CK3804">
        <v>0.45</v>
      </c>
      <c r="CL3804">
        <v>4.78</v>
      </c>
      <c r="CM3804">
        <v>1.42</v>
      </c>
      <c r="CN3804">
        <v>0.32</v>
      </c>
      <c r="CO3804">
        <v>9737</v>
      </c>
      <c r="CP3804">
        <v>8616</v>
      </c>
      <c r="CQ3804" t="s">
        <v>15679</v>
      </c>
      <c r="CR3804">
        <v>29.86</v>
      </c>
      <c r="CS3804">
        <v>34.4</v>
      </c>
      <c r="CT3804">
        <v>4.41</v>
      </c>
      <c r="CU3804">
        <v>43.7</v>
      </c>
      <c r="CV3804">
        <v>19.57</v>
      </c>
      <c r="CW3804">
        <v>0.75</v>
      </c>
      <c r="CX3804" t="s">
        <v>709</v>
      </c>
      <c r="CY3804">
        <v>9.2799999999999994</v>
      </c>
      <c r="CZ3804">
        <v>9.2799999999999994</v>
      </c>
      <c r="DA3804">
        <v>5.77</v>
      </c>
      <c r="DB3804">
        <v>3.15</v>
      </c>
      <c r="DC3804">
        <v>0.94</v>
      </c>
      <c r="DD3804">
        <v>79.11</v>
      </c>
      <c r="DE3804" t="s">
        <v>11137</v>
      </c>
      <c r="DF3804">
        <v>82.66</v>
      </c>
      <c r="DG3804">
        <v>17.760000000000002</v>
      </c>
      <c r="DH3804">
        <v>17.32</v>
      </c>
      <c r="DI3804">
        <v>0.22</v>
      </c>
      <c r="DJ3804">
        <v>1017</v>
      </c>
      <c r="DK3804">
        <v>603896</v>
      </c>
      <c r="DL3804" t="s">
        <v>120</v>
      </c>
      <c r="DM3804" t="s">
        <v>120</v>
      </c>
      <c r="DN3804" t="s">
        <v>120</v>
      </c>
    </row>
    <row r="3805" spans="1:118">
      <c r="A3805" t="str">
        <f>"603897"</f>
        <v>603897</v>
      </c>
      <c r="B3805" t="s">
        <v>15680</v>
      </c>
      <c r="C3805">
        <v>-6.13</v>
      </c>
      <c r="D3805">
        <v>0.09</v>
      </c>
      <c r="E3805">
        <v>1.96</v>
      </c>
      <c r="F3805">
        <v>350</v>
      </c>
      <c r="G3805" t="s">
        <v>12845</v>
      </c>
      <c r="H3805">
        <v>29157.59</v>
      </c>
      <c r="I3805">
        <v>196.66</v>
      </c>
      <c r="J3805" t="s">
        <v>120</v>
      </c>
      <c r="K3805" t="s">
        <v>15681</v>
      </c>
      <c r="L3805">
        <v>3.46</v>
      </c>
      <c r="M3805">
        <v>46.07</v>
      </c>
      <c r="N3805">
        <v>0.71</v>
      </c>
      <c r="O3805">
        <v>1.96</v>
      </c>
      <c r="P3805">
        <v>50.04</v>
      </c>
      <c r="Q3805">
        <v>-6.52</v>
      </c>
      <c r="R3805">
        <v>45.88</v>
      </c>
      <c r="S3805">
        <v>50.04</v>
      </c>
      <c r="T3805">
        <v>61743</v>
      </c>
      <c r="U3805">
        <v>46.18</v>
      </c>
      <c r="V3805">
        <v>49.08</v>
      </c>
      <c r="W3805">
        <v>19.55</v>
      </c>
      <c r="X3805" t="s">
        <v>394</v>
      </c>
      <c r="Y3805" t="s">
        <v>585</v>
      </c>
      <c r="Z3805">
        <v>8.48</v>
      </c>
      <c r="AA3805">
        <v>47.22</v>
      </c>
      <c r="AB3805">
        <v>32727</v>
      </c>
      <c r="AC3805">
        <v>29016</v>
      </c>
      <c r="AD3805">
        <v>1.1299999999999999</v>
      </c>
      <c r="AE3805">
        <v>81</v>
      </c>
      <c r="AF3805">
        <v>4</v>
      </c>
      <c r="AG3805" t="s">
        <v>120</v>
      </c>
      <c r="AH3805">
        <v>7.0000000000000007E-2</v>
      </c>
      <c r="AI3805" t="s">
        <v>120</v>
      </c>
      <c r="AJ3805">
        <v>1.78</v>
      </c>
      <c r="AK3805" t="s">
        <v>15681</v>
      </c>
      <c r="AL3805">
        <v>-4.79</v>
      </c>
      <c r="AM3805">
        <v>3838</v>
      </c>
      <c r="AN3805">
        <v>16</v>
      </c>
      <c r="AO3805">
        <v>8.9999999999999998E-4</v>
      </c>
      <c r="AP3805">
        <v>-4</v>
      </c>
      <c r="AQ3805">
        <v>-2.5</v>
      </c>
      <c r="AR3805">
        <v>-10.36</v>
      </c>
      <c r="AS3805">
        <v>21.27</v>
      </c>
      <c r="AT3805">
        <v>92.2</v>
      </c>
      <c r="AU3805">
        <v>159.99</v>
      </c>
      <c r="AV3805">
        <v>8</v>
      </c>
      <c r="AW3805">
        <v>11.04</v>
      </c>
      <c r="AX3805">
        <v>31.34</v>
      </c>
      <c r="AY3805">
        <v>28.31</v>
      </c>
      <c r="AZ3805">
        <v>50.26</v>
      </c>
      <c r="BA3805">
        <v>2.0299999999999998</v>
      </c>
      <c r="BB3805" t="s">
        <v>125</v>
      </c>
      <c r="BF3805">
        <v>-3.78</v>
      </c>
      <c r="BG3805">
        <v>-7.93</v>
      </c>
      <c r="BH3805">
        <v>-7.93</v>
      </c>
      <c r="BI3805">
        <v>0.41</v>
      </c>
      <c r="BJ3805">
        <v>20210827</v>
      </c>
      <c r="BK3805">
        <v>20180410</v>
      </c>
      <c r="BL3805">
        <v>1.78</v>
      </c>
      <c r="BM3805" t="s">
        <v>120</v>
      </c>
      <c r="BN3805" t="s">
        <v>120</v>
      </c>
      <c r="BO3805">
        <v>42.08</v>
      </c>
      <c r="BP3805">
        <v>46.07</v>
      </c>
      <c r="BQ3805">
        <v>21.83</v>
      </c>
      <c r="BR3805" t="s">
        <v>120</v>
      </c>
      <c r="BS3805">
        <v>48.13</v>
      </c>
      <c r="BT3805">
        <v>34.49</v>
      </c>
      <c r="BU3805">
        <v>5.62</v>
      </c>
      <c r="BV3805">
        <v>1.42</v>
      </c>
      <c r="BW3805">
        <v>13.97</v>
      </c>
      <c r="BX3805">
        <v>5.37</v>
      </c>
      <c r="BY3805">
        <v>10.65</v>
      </c>
      <c r="BZ3805">
        <v>14.94</v>
      </c>
      <c r="CA3805" t="s">
        <v>120</v>
      </c>
      <c r="CB3805">
        <v>9.26</v>
      </c>
      <c r="CC3805">
        <v>50.65</v>
      </c>
      <c r="CD3805">
        <v>47.26</v>
      </c>
      <c r="CE3805">
        <v>2.5</v>
      </c>
      <c r="CF3805">
        <v>0.13</v>
      </c>
      <c r="CG3805">
        <v>2.4900000000000002</v>
      </c>
      <c r="CH3805">
        <v>2.1</v>
      </c>
      <c r="CI3805">
        <v>2.1</v>
      </c>
      <c r="CJ3805">
        <v>-3.01</v>
      </c>
      <c r="CK3805">
        <v>1.6</v>
      </c>
      <c r="CL3805">
        <v>8.85</v>
      </c>
      <c r="CM3805">
        <v>-4.13</v>
      </c>
      <c r="CN3805">
        <v>-0.96</v>
      </c>
      <c r="CO3805">
        <v>16636</v>
      </c>
      <c r="CP3805">
        <v>3361</v>
      </c>
      <c r="CQ3805" t="s">
        <v>15682</v>
      </c>
      <c r="CR3805">
        <v>179.66</v>
      </c>
      <c r="CS3805">
        <v>126.76</v>
      </c>
      <c r="CT3805">
        <v>3.96</v>
      </c>
      <c r="CU3805">
        <v>-19.920000000000002</v>
      </c>
      <c r="CV3805">
        <v>1.62</v>
      </c>
      <c r="CW3805">
        <v>2.2400000000000002</v>
      </c>
      <c r="CX3805" t="s">
        <v>6435</v>
      </c>
      <c r="CY3805">
        <v>11.62</v>
      </c>
      <c r="CZ3805">
        <v>11.62</v>
      </c>
      <c r="DA3805">
        <v>5.19</v>
      </c>
      <c r="DB3805">
        <v>4.96</v>
      </c>
      <c r="DC3805">
        <v>-2.31</v>
      </c>
      <c r="DD3805">
        <v>51.87</v>
      </c>
      <c r="DE3805" t="s">
        <v>13140</v>
      </c>
      <c r="DF3805">
        <v>6.69</v>
      </c>
      <c r="DG3805">
        <v>4.93</v>
      </c>
      <c r="DH3805">
        <v>4.1500000000000004</v>
      </c>
      <c r="DI3805">
        <v>0.81</v>
      </c>
      <c r="DJ3805">
        <v>818</v>
      </c>
      <c r="DK3805">
        <v>603897</v>
      </c>
      <c r="DL3805">
        <v>20210804</v>
      </c>
      <c r="DM3805">
        <v>33.79</v>
      </c>
      <c r="DN3805">
        <v>36.340000000000003</v>
      </c>
    </row>
    <row r="3806" spans="1:118">
      <c r="A3806" t="str">
        <f>"603898"</f>
        <v>603898</v>
      </c>
      <c r="B3806" t="s">
        <v>15683</v>
      </c>
      <c r="C3806">
        <v>-0.64</v>
      </c>
      <c r="D3806">
        <v>0</v>
      </c>
      <c r="E3806">
        <v>0</v>
      </c>
      <c r="F3806">
        <v>106</v>
      </c>
      <c r="G3806" t="s">
        <v>15684</v>
      </c>
      <c r="H3806">
        <v>1968.55</v>
      </c>
      <c r="I3806">
        <v>0</v>
      </c>
      <c r="J3806" t="s">
        <v>120</v>
      </c>
      <c r="K3806" t="s">
        <v>5840</v>
      </c>
      <c r="L3806">
        <v>0.5</v>
      </c>
      <c r="M3806">
        <v>12.45</v>
      </c>
      <c r="N3806">
        <v>0.92</v>
      </c>
      <c r="O3806">
        <v>1.6</v>
      </c>
      <c r="P3806">
        <v>12.73</v>
      </c>
      <c r="Q3806">
        <v>-1.44</v>
      </c>
      <c r="R3806">
        <v>12.35</v>
      </c>
      <c r="S3806">
        <v>12.53</v>
      </c>
      <c r="T3806">
        <v>15688</v>
      </c>
      <c r="U3806">
        <v>12.46</v>
      </c>
      <c r="V3806">
        <v>12.53</v>
      </c>
      <c r="W3806">
        <v>14.03</v>
      </c>
      <c r="X3806" t="s">
        <v>2409</v>
      </c>
      <c r="Y3806" t="s">
        <v>547</v>
      </c>
      <c r="Z3806">
        <v>3.03</v>
      </c>
      <c r="AA3806">
        <v>12.55</v>
      </c>
      <c r="AB3806">
        <v>8485</v>
      </c>
      <c r="AC3806">
        <v>7203</v>
      </c>
      <c r="AD3806">
        <v>1.18</v>
      </c>
      <c r="AE3806">
        <v>69</v>
      </c>
      <c r="AF3806">
        <v>9</v>
      </c>
      <c r="AG3806" t="s">
        <v>120</v>
      </c>
      <c r="AH3806">
        <v>0</v>
      </c>
      <c r="AI3806" t="s">
        <v>120</v>
      </c>
      <c r="AJ3806">
        <v>3.11</v>
      </c>
      <c r="AK3806" t="s">
        <v>5840</v>
      </c>
      <c r="AL3806">
        <v>0.71</v>
      </c>
      <c r="AM3806">
        <v>1273</v>
      </c>
      <c r="AN3806">
        <v>12</v>
      </c>
      <c r="AO3806">
        <v>4.0000000000000002E-4</v>
      </c>
      <c r="AP3806">
        <v>-2</v>
      </c>
      <c r="AQ3806">
        <v>-2.94</v>
      </c>
      <c r="AR3806">
        <v>-3.11</v>
      </c>
      <c r="AS3806">
        <v>3.57</v>
      </c>
      <c r="AT3806">
        <v>-13.36</v>
      </c>
      <c r="AU3806">
        <v>-22.1</v>
      </c>
      <c r="AV3806">
        <v>0</v>
      </c>
      <c r="AW3806">
        <v>1.52</v>
      </c>
      <c r="AX3806">
        <v>33.21</v>
      </c>
      <c r="AY3806">
        <v>11.55</v>
      </c>
      <c r="AZ3806">
        <v>14.12</v>
      </c>
      <c r="BA3806">
        <v>0.72</v>
      </c>
      <c r="BB3806" t="s">
        <v>143</v>
      </c>
      <c r="BF3806">
        <v>0.15</v>
      </c>
      <c r="BG3806">
        <v>-0.64</v>
      </c>
      <c r="BH3806">
        <v>-2.2000000000000002</v>
      </c>
      <c r="BI3806">
        <v>0.81</v>
      </c>
      <c r="BJ3806">
        <v>20210824</v>
      </c>
      <c r="BK3806">
        <v>20150217</v>
      </c>
      <c r="BL3806">
        <v>3.11</v>
      </c>
      <c r="BM3806" t="s">
        <v>120</v>
      </c>
      <c r="BN3806" t="s">
        <v>120</v>
      </c>
      <c r="BO3806">
        <v>53.67</v>
      </c>
      <c r="BP3806">
        <v>12.45</v>
      </c>
      <c r="BQ3806">
        <v>27.28</v>
      </c>
      <c r="BR3806">
        <v>2.52</v>
      </c>
      <c r="BS3806">
        <v>44.47</v>
      </c>
      <c r="BT3806">
        <v>25.28</v>
      </c>
      <c r="BU3806">
        <v>16.579999999999998</v>
      </c>
      <c r="BV3806">
        <v>2.0299999999999998</v>
      </c>
      <c r="BW3806">
        <v>17.760000000000002</v>
      </c>
      <c r="BX3806">
        <v>5.17</v>
      </c>
      <c r="BY3806">
        <v>7.58</v>
      </c>
      <c r="BZ3806">
        <v>1.6</v>
      </c>
      <c r="CA3806" t="s">
        <v>120</v>
      </c>
      <c r="CB3806">
        <v>8.14</v>
      </c>
      <c r="CC3806">
        <v>15.24</v>
      </c>
      <c r="CD3806">
        <v>10.039999999999999</v>
      </c>
      <c r="CE3806">
        <v>2.09</v>
      </c>
      <c r="CF3806">
        <v>0.01</v>
      </c>
      <c r="CG3806">
        <v>2.09</v>
      </c>
      <c r="CH3806">
        <v>1.82</v>
      </c>
      <c r="CI3806">
        <v>1.38</v>
      </c>
      <c r="CJ3806">
        <v>-0.08</v>
      </c>
      <c r="CK3806">
        <v>1.3</v>
      </c>
      <c r="CL3806">
        <v>15.23</v>
      </c>
      <c r="CM3806">
        <v>0.26</v>
      </c>
      <c r="CN3806">
        <v>-1.54</v>
      </c>
      <c r="CO3806">
        <v>10530</v>
      </c>
      <c r="CP3806">
        <v>9819</v>
      </c>
      <c r="CQ3806" t="s">
        <v>9010</v>
      </c>
      <c r="CR3806">
        <v>80.06</v>
      </c>
      <c r="CS3806">
        <v>105.79</v>
      </c>
      <c r="CT3806">
        <v>1.47</v>
      </c>
      <c r="CU3806">
        <v>148.79</v>
      </c>
      <c r="CV3806">
        <v>2.54</v>
      </c>
      <c r="CW3806">
        <v>1.06</v>
      </c>
      <c r="CX3806" t="s">
        <v>194</v>
      </c>
      <c r="CY3806">
        <v>8.4499999999999993</v>
      </c>
      <c r="CZ3806">
        <v>8.4499999999999993</v>
      </c>
      <c r="DA3806">
        <v>2.62</v>
      </c>
      <c r="DB3806">
        <v>4.8899999999999997</v>
      </c>
      <c r="DC3806">
        <v>0.08</v>
      </c>
      <c r="DD3806">
        <v>50.84</v>
      </c>
      <c r="DE3806" t="s">
        <v>1394</v>
      </c>
      <c r="DF3806">
        <v>34.11</v>
      </c>
      <c r="DG3806">
        <v>13.73</v>
      </c>
      <c r="DH3806">
        <v>9.06</v>
      </c>
      <c r="DI3806">
        <v>0.66</v>
      </c>
      <c r="DJ3806">
        <v>5481</v>
      </c>
      <c r="DK3806">
        <v>603898</v>
      </c>
      <c r="DL3806" t="s">
        <v>120</v>
      </c>
      <c r="DM3806" t="s">
        <v>120</v>
      </c>
      <c r="DN3806" t="s">
        <v>120</v>
      </c>
    </row>
    <row r="3807" spans="1:118">
      <c r="A3807" t="str">
        <f>"603899"</f>
        <v>603899</v>
      </c>
      <c r="B3807" t="s">
        <v>15685</v>
      </c>
      <c r="C3807">
        <v>0.48</v>
      </c>
      <c r="D3807">
        <v>-0.19</v>
      </c>
      <c r="E3807">
        <v>-0.35</v>
      </c>
      <c r="F3807">
        <v>809</v>
      </c>
      <c r="G3807" t="s">
        <v>15686</v>
      </c>
      <c r="H3807">
        <v>21282.23</v>
      </c>
      <c r="I3807">
        <v>11.93</v>
      </c>
      <c r="J3807" t="s">
        <v>120</v>
      </c>
      <c r="K3807" t="s">
        <v>15687</v>
      </c>
      <c r="L3807">
        <v>0.36</v>
      </c>
      <c r="M3807">
        <v>63.3</v>
      </c>
      <c r="N3807">
        <v>1.08</v>
      </c>
      <c r="O3807">
        <v>2</v>
      </c>
      <c r="P3807">
        <v>64.260000000000005</v>
      </c>
      <c r="Q3807">
        <v>-1.43</v>
      </c>
      <c r="R3807">
        <v>62.1</v>
      </c>
      <c r="S3807">
        <v>62.78</v>
      </c>
      <c r="T3807">
        <v>33615</v>
      </c>
      <c r="U3807">
        <v>63.33</v>
      </c>
      <c r="V3807">
        <v>63</v>
      </c>
      <c r="W3807">
        <v>44.07</v>
      </c>
      <c r="X3807" t="s">
        <v>213</v>
      </c>
      <c r="Y3807" t="s">
        <v>1510</v>
      </c>
      <c r="Z3807">
        <v>3.43</v>
      </c>
      <c r="AA3807">
        <v>63.31</v>
      </c>
      <c r="AB3807">
        <v>15104</v>
      </c>
      <c r="AC3807">
        <v>18511</v>
      </c>
      <c r="AD3807">
        <v>0.82</v>
      </c>
      <c r="AE3807">
        <v>373</v>
      </c>
      <c r="AF3807">
        <v>15</v>
      </c>
      <c r="AG3807" t="s">
        <v>120</v>
      </c>
      <c r="AH3807">
        <v>0</v>
      </c>
      <c r="AI3807" t="s">
        <v>120</v>
      </c>
      <c r="AJ3807">
        <v>9.2200000000000006</v>
      </c>
      <c r="AK3807" t="s">
        <v>15688</v>
      </c>
      <c r="AL3807">
        <v>1.82</v>
      </c>
      <c r="AM3807">
        <v>3555</v>
      </c>
      <c r="AN3807">
        <v>9</v>
      </c>
      <c r="AO3807">
        <v>1E-4</v>
      </c>
      <c r="AP3807">
        <v>1</v>
      </c>
      <c r="AQ3807">
        <v>-1.91</v>
      </c>
      <c r="AR3807">
        <v>-0.74</v>
      </c>
      <c r="AS3807">
        <v>-13.64</v>
      </c>
      <c r="AT3807">
        <v>-23.77</v>
      </c>
      <c r="AU3807">
        <v>-28.12</v>
      </c>
      <c r="AV3807">
        <v>0</v>
      </c>
      <c r="AW3807">
        <v>1.04</v>
      </c>
      <c r="AX3807">
        <v>34.979999999999997</v>
      </c>
      <c r="AY3807">
        <v>40.11</v>
      </c>
      <c r="AZ3807">
        <v>46.56</v>
      </c>
      <c r="BA3807">
        <v>0.76</v>
      </c>
      <c r="BB3807" t="s">
        <v>134</v>
      </c>
      <c r="BF3807">
        <v>0.49</v>
      </c>
      <c r="BG3807">
        <v>0.83</v>
      </c>
      <c r="BH3807">
        <v>-1.49</v>
      </c>
      <c r="BI3807">
        <v>1.93</v>
      </c>
      <c r="BJ3807">
        <v>20210827</v>
      </c>
      <c r="BK3807">
        <v>20150127</v>
      </c>
      <c r="BL3807">
        <v>9.2799999999999994</v>
      </c>
      <c r="BM3807" t="s">
        <v>120</v>
      </c>
      <c r="BN3807" t="s">
        <v>120</v>
      </c>
      <c r="BO3807">
        <v>93.33</v>
      </c>
      <c r="BP3807">
        <v>63.3</v>
      </c>
      <c r="BQ3807">
        <v>52.14</v>
      </c>
      <c r="BR3807">
        <v>3.04</v>
      </c>
      <c r="BS3807">
        <v>40.869999999999997</v>
      </c>
      <c r="BT3807">
        <v>65.42</v>
      </c>
      <c r="BU3807">
        <v>18.2</v>
      </c>
      <c r="BV3807">
        <v>3.17</v>
      </c>
      <c r="BW3807">
        <v>35.590000000000003</v>
      </c>
      <c r="BX3807">
        <v>11.77</v>
      </c>
      <c r="BY3807">
        <v>15.12</v>
      </c>
      <c r="BZ3807">
        <v>20.46</v>
      </c>
      <c r="CA3807" t="s">
        <v>120</v>
      </c>
      <c r="CB3807">
        <v>3.73</v>
      </c>
      <c r="CC3807">
        <v>76.86</v>
      </c>
      <c r="CD3807">
        <v>58.4</v>
      </c>
      <c r="CE3807">
        <v>7.91</v>
      </c>
      <c r="CF3807">
        <v>0.01</v>
      </c>
      <c r="CG3807">
        <v>8.1199999999999992</v>
      </c>
      <c r="CH3807">
        <v>6.64</v>
      </c>
      <c r="CI3807">
        <v>6.66</v>
      </c>
      <c r="CJ3807">
        <v>0.3</v>
      </c>
      <c r="CK3807">
        <v>6.13</v>
      </c>
      <c r="CL3807">
        <v>36.450000000000003</v>
      </c>
      <c r="CM3807">
        <v>3.6</v>
      </c>
      <c r="CN3807">
        <v>-4.5199999999999996</v>
      </c>
      <c r="CO3807">
        <v>27172</v>
      </c>
      <c r="CP3807">
        <v>11944</v>
      </c>
      <c r="CQ3807" t="s">
        <v>15689</v>
      </c>
      <c r="CR3807">
        <v>43.43</v>
      </c>
      <c r="CS3807">
        <v>61.43</v>
      </c>
      <c r="CT3807">
        <v>11.26</v>
      </c>
      <c r="CU3807">
        <v>163.08000000000001</v>
      </c>
      <c r="CV3807">
        <v>7.64</v>
      </c>
      <c r="CW3807">
        <v>0.79</v>
      </c>
      <c r="CX3807" t="s">
        <v>3301</v>
      </c>
      <c r="CY3807">
        <v>5.62</v>
      </c>
      <c r="CZ3807">
        <v>0</v>
      </c>
      <c r="DA3807">
        <v>0.4</v>
      </c>
      <c r="DB3807">
        <v>3.93</v>
      </c>
      <c r="DC3807">
        <v>0.39</v>
      </c>
      <c r="DD3807">
        <v>55.87</v>
      </c>
      <c r="DE3807" t="s">
        <v>15690</v>
      </c>
      <c r="DF3807">
        <v>24.01</v>
      </c>
      <c r="DG3807">
        <v>10.29</v>
      </c>
      <c r="DH3807">
        <v>8.67</v>
      </c>
      <c r="DI3807">
        <v>0.94</v>
      </c>
      <c r="DJ3807">
        <v>5689</v>
      </c>
      <c r="DK3807">
        <v>603899</v>
      </c>
      <c r="DL3807" t="s">
        <v>120</v>
      </c>
      <c r="DM3807" t="s">
        <v>120</v>
      </c>
      <c r="DN3807" t="s">
        <v>120</v>
      </c>
    </row>
    <row r="3808" spans="1:118">
      <c r="A3808" t="str">
        <f>"603900"</f>
        <v>603900</v>
      </c>
      <c r="B3808" t="s">
        <v>15691</v>
      </c>
      <c r="C3808">
        <v>-2.1</v>
      </c>
      <c r="D3808">
        <v>0</v>
      </c>
      <c r="E3808">
        <v>0</v>
      </c>
      <c r="F3808">
        <v>386</v>
      </c>
      <c r="G3808" t="s">
        <v>15692</v>
      </c>
      <c r="H3808">
        <v>2458.9699999999998</v>
      </c>
      <c r="I3808">
        <v>0.4</v>
      </c>
      <c r="J3808" t="s">
        <v>120</v>
      </c>
      <c r="K3808" t="s">
        <v>6629</v>
      </c>
      <c r="L3808">
        <v>0.9</v>
      </c>
      <c r="M3808">
        <v>7.91</v>
      </c>
      <c r="N3808">
        <v>0.54</v>
      </c>
      <c r="O3808">
        <v>0.74</v>
      </c>
      <c r="P3808">
        <v>8.14</v>
      </c>
      <c r="Q3808">
        <v>-2.72</v>
      </c>
      <c r="R3808">
        <v>7.86</v>
      </c>
      <c r="S3808">
        <v>8.08</v>
      </c>
      <c r="T3808">
        <v>30777</v>
      </c>
      <c r="U3808">
        <v>7.91</v>
      </c>
      <c r="V3808">
        <v>8.08</v>
      </c>
      <c r="W3808">
        <v>13.35</v>
      </c>
      <c r="X3808" t="s">
        <v>2806</v>
      </c>
      <c r="Y3808" t="s">
        <v>319</v>
      </c>
      <c r="Z3808">
        <v>3.47</v>
      </c>
      <c r="AA3808">
        <v>7.99</v>
      </c>
      <c r="AB3808">
        <v>18839</v>
      </c>
      <c r="AC3808">
        <v>11938</v>
      </c>
      <c r="AD3808">
        <v>1.58</v>
      </c>
      <c r="AE3808">
        <v>435</v>
      </c>
      <c r="AF3808">
        <v>64</v>
      </c>
      <c r="AG3808" t="s">
        <v>120</v>
      </c>
      <c r="AH3808">
        <v>0</v>
      </c>
      <c r="AI3808" t="s">
        <v>120</v>
      </c>
      <c r="AJ3808">
        <v>3.4</v>
      </c>
      <c r="AK3808" t="s">
        <v>6629</v>
      </c>
      <c r="AL3808">
        <v>-0.76</v>
      </c>
      <c r="AM3808">
        <v>1376</v>
      </c>
      <c r="AN3808">
        <v>22</v>
      </c>
      <c r="AO3808">
        <v>6.9999999999999999E-4</v>
      </c>
      <c r="AP3808">
        <v>-1</v>
      </c>
      <c r="AQ3808">
        <v>0.75</v>
      </c>
      <c r="AR3808">
        <v>-3.18</v>
      </c>
      <c r="AS3808">
        <v>7.91</v>
      </c>
      <c r="AT3808">
        <v>5.04</v>
      </c>
      <c r="AU3808">
        <v>17.02</v>
      </c>
      <c r="AV3808">
        <v>7</v>
      </c>
      <c r="AW3808">
        <v>2.93</v>
      </c>
      <c r="AX3808">
        <v>30.9</v>
      </c>
      <c r="AY3808">
        <v>19.75</v>
      </c>
      <c r="AZ3808">
        <v>26.37</v>
      </c>
      <c r="BA3808">
        <v>0.67</v>
      </c>
      <c r="BB3808" t="s">
        <v>184</v>
      </c>
      <c r="BF3808">
        <v>-1.1200000000000001</v>
      </c>
      <c r="BG3808">
        <v>-2.1</v>
      </c>
      <c r="BH3808">
        <v>-2.83</v>
      </c>
      <c r="BI3808">
        <v>0.64</v>
      </c>
      <c r="BJ3808">
        <v>20210901</v>
      </c>
      <c r="BK3808">
        <v>20161123</v>
      </c>
      <c r="BL3808">
        <v>3.4</v>
      </c>
      <c r="BM3808" t="s">
        <v>120</v>
      </c>
      <c r="BN3808" t="s">
        <v>120</v>
      </c>
      <c r="BO3808">
        <v>27.67</v>
      </c>
      <c r="BP3808">
        <v>7.9</v>
      </c>
      <c r="BQ3808">
        <v>23.16</v>
      </c>
      <c r="BR3808">
        <v>0</v>
      </c>
      <c r="BS3808">
        <v>16.29</v>
      </c>
      <c r="BT3808">
        <v>24.78</v>
      </c>
      <c r="BU3808">
        <v>0.56000000000000005</v>
      </c>
      <c r="BV3808">
        <v>0.2</v>
      </c>
      <c r="BW3808">
        <v>4.07</v>
      </c>
      <c r="BX3808">
        <v>3.71</v>
      </c>
      <c r="BY3808">
        <v>15.22</v>
      </c>
      <c r="BZ3808">
        <v>0.99</v>
      </c>
      <c r="CA3808" t="s">
        <v>120</v>
      </c>
      <c r="CB3808">
        <v>10.9</v>
      </c>
      <c r="CC3808">
        <v>7.9</v>
      </c>
      <c r="CD3808">
        <v>3.39</v>
      </c>
      <c r="CE3808">
        <v>1.28</v>
      </c>
      <c r="CF3808">
        <v>0.06</v>
      </c>
      <c r="CG3808">
        <v>1.35</v>
      </c>
      <c r="CH3808">
        <v>1.01</v>
      </c>
      <c r="CI3808">
        <v>1.01</v>
      </c>
      <c r="CJ3808">
        <v>-0.17</v>
      </c>
      <c r="CK3808">
        <v>0.88</v>
      </c>
      <c r="CL3808">
        <v>7.56</v>
      </c>
      <c r="CM3808">
        <v>-0.34</v>
      </c>
      <c r="CN3808">
        <v>1.1000000000000001</v>
      </c>
      <c r="CO3808">
        <v>17260</v>
      </c>
      <c r="CP3808">
        <v>6095</v>
      </c>
      <c r="CQ3808" t="s">
        <v>5525</v>
      </c>
      <c r="CR3808">
        <v>53.03</v>
      </c>
      <c r="CS3808">
        <v>46.46</v>
      </c>
      <c r="CT3808">
        <v>1.1599999999999999</v>
      </c>
      <c r="CU3808">
        <v>-80.37</v>
      </c>
      <c r="CV3808">
        <v>3.41</v>
      </c>
      <c r="CW3808">
        <v>3.71</v>
      </c>
      <c r="CX3808" t="s">
        <v>9183</v>
      </c>
      <c r="CY3808">
        <v>6.8</v>
      </c>
      <c r="CZ3808">
        <v>0</v>
      </c>
      <c r="DA3808">
        <v>3.2</v>
      </c>
      <c r="DB3808">
        <v>2.2200000000000002</v>
      </c>
      <c r="DC3808">
        <v>-0.1</v>
      </c>
      <c r="DD3808">
        <v>83.7</v>
      </c>
      <c r="DE3808" t="s">
        <v>4651</v>
      </c>
      <c r="DF3808">
        <v>57.12</v>
      </c>
      <c r="DG3808">
        <v>16.18</v>
      </c>
      <c r="DH3808">
        <v>12.78</v>
      </c>
      <c r="DI3808">
        <v>0</v>
      </c>
      <c r="DJ3808">
        <v>2206</v>
      </c>
      <c r="DK3808">
        <v>603900</v>
      </c>
      <c r="DL3808" t="s">
        <v>120</v>
      </c>
      <c r="DM3808" t="s">
        <v>120</v>
      </c>
      <c r="DN3808" t="s">
        <v>120</v>
      </c>
    </row>
    <row r="3809" spans="1:118">
      <c r="A3809" t="str">
        <f>"603901"</f>
        <v>603901</v>
      </c>
      <c r="B3809" t="s">
        <v>15693</v>
      </c>
      <c r="C3809">
        <v>2.08</v>
      </c>
      <c r="D3809">
        <v>0</v>
      </c>
      <c r="E3809">
        <v>-0.78</v>
      </c>
      <c r="F3809">
        <v>868</v>
      </c>
      <c r="G3809" t="s">
        <v>10685</v>
      </c>
      <c r="H3809">
        <v>8898.4599999999991</v>
      </c>
      <c r="I3809">
        <v>29.03</v>
      </c>
      <c r="J3809" t="s">
        <v>120</v>
      </c>
      <c r="K3809" t="s">
        <v>15694</v>
      </c>
      <c r="L3809">
        <v>1.1599999999999999</v>
      </c>
      <c r="M3809">
        <v>15.72</v>
      </c>
      <c r="N3809">
        <v>0.94</v>
      </c>
      <c r="O3809">
        <v>5.32</v>
      </c>
      <c r="P3809">
        <v>16.22</v>
      </c>
      <c r="Q3809">
        <v>-0.78</v>
      </c>
      <c r="R3809">
        <v>15.28</v>
      </c>
      <c r="S3809">
        <v>15.28</v>
      </c>
      <c r="T3809">
        <v>56082</v>
      </c>
      <c r="U3809">
        <v>15.72</v>
      </c>
      <c r="V3809">
        <v>15.4</v>
      </c>
      <c r="W3809">
        <v>28.92</v>
      </c>
      <c r="X3809" t="s">
        <v>675</v>
      </c>
      <c r="Y3809" t="s">
        <v>585</v>
      </c>
      <c r="Z3809">
        <v>6.1</v>
      </c>
      <c r="AA3809">
        <v>15.87</v>
      </c>
      <c r="AB3809">
        <v>19730</v>
      </c>
      <c r="AC3809">
        <v>36352</v>
      </c>
      <c r="AD3809">
        <v>0.54</v>
      </c>
      <c r="AE3809">
        <v>86</v>
      </c>
      <c r="AF3809">
        <v>161</v>
      </c>
      <c r="AG3809" t="s">
        <v>120</v>
      </c>
      <c r="AH3809">
        <v>0.01</v>
      </c>
      <c r="AI3809" t="s">
        <v>120</v>
      </c>
      <c r="AJ3809">
        <v>4.82</v>
      </c>
      <c r="AK3809" t="s">
        <v>9811</v>
      </c>
      <c r="AL3809">
        <v>3.42</v>
      </c>
      <c r="AM3809">
        <v>2405</v>
      </c>
      <c r="AN3809">
        <v>23</v>
      </c>
      <c r="AO3809">
        <v>5.0000000000000001E-4</v>
      </c>
      <c r="AP3809">
        <v>1</v>
      </c>
      <c r="AQ3809">
        <v>-5.23</v>
      </c>
      <c r="AR3809">
        <v>-1.99</v>
      </c>
      <c r="AS3809">
        <v>13.75</v>
      </c>
      <c r="AT3809">
        <v>-4.03</v>
      </c>
      <c r="AU3809">
        <v>82.58</v>
      </c>
      <c r="AV3809">
        <v>5</v>
      </c>
      <c r="AW3809">
        <v>2.35</v>
      </c>
      <c r="AX3809">
        <v>48.85</v>
      </c>
      <c r="AY3809">
        <v>34.58</v>
      </c>
      <c r="AZ3809">
        <v>44.09</v>
      </c>
      <c r="BA3809">
        <v>1.32</v>
      </c>
      <c r="BB3809" t="s">
        <v>125</v>
      </c>
      <c r="BF3809">
        <v>3.03</v>
      </c>
      <c r="BG3809">
        <v>2.88</v>
      </c>
      <c r="BH3809">
        <v>-3.08</v>
      </c>
      <c r="BI3809">
        <v>2.88</v>
      </c>
      <c r="BJ3809">
        <v>20210817</v>
      </c>
      <c r="BK3809">
        <v>20150529</v>
      </c>
      <c r="BL3809">
        <v>4.8899999999999997</v>
      </c>
      <c r="BM3809" t="s">
        <v>120</v>
      </c>
      <c r="BN3809" t="s">
        <v>120</v>
      </c>
      <c r="BO3809">
        <v>41.84</v>
      </c>
      <c r="BP3809">
        <v>15.7</v>
      </c>
      <c r="BQ3809">
        <v>20.239999999999998</v>
      </c>
      <c r="BR3809">
        <v>0.49</v>
      </c>
      <c r="BS3809">
        <v>50.43</v>
      </c>
      <c r="BT3809">
        <v>31.08</v>
      </c>
      <c r="BU3809">
        <v>4.29</v>
      </c>
      <c r="BV3809">
        <v>2.33</v>
      </c>
      <c r="BW3809">
        <v>20.96</v>
      </c>
      <c r="BX3809">
        <v>5.9</v>
      </c>
      <c r="BY3809">
        <v>15.92</v>
      </c>
      <c r="BZ3809">
        <v>4.29</v>
      </c>
      <c r="CA3809" t="s">
        <v>120</v>
      </c>
      <c r="CB3809">
        <v>9.07</v>
      </c>
      <c r="CC3809">
        <v>12.4</v>
      </c>
      <c r="CD3809">
        <v>8.31</v>
      </c>
      <c r="CE3809">
        <v>1.61</v>
      </c>
      <c r="CF3809">
        <v>0.03</v>
      </c>
      <c r="CG3809">
        <v>1.53</v>
      </c>
      <c r="CH3809">
        <v>1.32</v>
      </c>
      <c r="CI3809">
        <v>1.33</v>
      </c>
      <c r="CJ3809">
        <v>0.32</v>
      </c>
      <c r="CK3809">
        <v>1.3</v>
      </c>
      <c r="CL3809">
        <v>6.54</v>
      </c>
      <c r="CM3809">
        <v>0.1</v>
      </c>
      <c r="CN3809">
        <v>-1.73</v>
      </c>
      <c r="CO3809">
        <v>14673</v>
      </c>
      <c r="CP3809">
        <v>16262</v>
      </c>
      <c r="CQ3809" t="s">
        <v>15695</v>
      </c>
      <c r="CR3809">
        <v>54.67</v>
      </c>
      <c r="CS3809">
        <v>60.59</v>
      </c>
      <c r="CT3809">
        <v>3.79</v>
      </c>
      <c r="CU3809">
        <v>746.41</v>
      </c>
      <c r="CV3809">
        <v>6.19</v>
      </c>
      <c r="CW3809">
        <v>0.77</v>
      </c>
      <c r="CX3809" t="s">
        <v>1340</v>
      </c>
      <c r="CY3809">
        <v>4.1399999999999997</v>
      </c>
      <c r="CZ3809">
        <v>0</v>
      </c>
      <c r="DA3809">
        <v>1.86</v>
      </c>
      <c r="DB3809">
        <v>1.34</v>
      </c>
      <c r="DC3809">
        <v>0.02</v>
      </c>
      <c r="DD3809">
        <v>48.39</v>
      </c>
      <c r="DE3809" t="s">
        <v>3004</v>
      </c>
      <c r="DF3809">
        <v>33</v>
      </c>
      <c r="DG3809">
        <v>13.02</v>
      </c>
      <c r="DH3809">
        <v>10.7</v>
      </c>
      <c r="DI3809">
        <v>0.68</v>
      </c>
      <c r="DJ3809">
        <v>3422</v>
      </c>
      <c r="DK3809">
        <v>603901</v>
      </c>
      <c r="DL3809" t="s">
        <v>120</v>
      </c>
      <c r="DM3809" t="s">
        <v>120</v>
      </c>
      <c r="DN3809" t="s">
        <v>120</v>
      </c>
    </row>
    <row r="3810" spans="1:118">
      <c r="A3810" t="str">
        <f>"603903"</f>
        <v>603903</v>
      </c>
      <c r="B3810" t="s">
        <v>15696</v>
      </c>
      <c r="C3810">
        <v>-0.66</v>
      </c>
      <c r="D3810">
        <v>0.09</v>
      </c>
      <c r="E3810">
        <v>0.47</v>
      </c>
      <c r="F3810">
        <v>121</v>
      </c>
      <c r="G3810" t="s">
        <v>15697</v>
      </c>
      <c r="H3810">
        <v>1482.99</v>
      </c>
      <c r="I3810">
        <v>4.29</v>
      </c>
      <c r="J3810" t="s">
        <v>120</v>
      </c>
      <c r="K3810" t="s">
        <v>15698</v>
      </c>
      <c r="L3810">
        <v>0.68</v>
      </c>
      <c r="M3810">
        <v>10.61</v>
      </c>
      <c r="N3810">
        <v>0.61</v>
      </c>
      <c r="O3810">
        <v>1.59</v>
      </c>
      <c r="P3810">
        <v>10.85</v>
      </c>
      <c r="Q3810">
        <v>-0.84</v>
      </c>
      <c r="R3810">
        <v>10.59</v>
      </c>
      <c r="S3810">
        <v>10.73</v>
      </c>
      <c r="T3810">
        <v>13849</v>
      </c>
      <c r="U3810">
        <v>10.61</v>
      </c>
      <c r="V3810">
        <v>10.68</v>
      </c>
      <c r="W3810">
        <v>15.44</v>
      </c>
      <c r="X3810" t="s">
        <v>318</v>
      </c>
      <c r="Y3810" t="s">
        <v>158</v>
      </c>
      <c r="Z3810">
        <v>2.4300000000000002</v>
      </c>
      <c r="AA3810">
        <v>10.71</v>
      </c>
      <c r="AB3810">
        <v>7725</v>
      </c>
      <c r="AC3810">
        <v>6124</v>
      </c>
      <c r="AD3810">
        <v>1.26</v>
      </c>
      <c r="AE3810">
        <v>170</v>
      </c>
      <c r="AF3810">
        <v>77</v>
      </c>
      <c r="AG3810" t="s">
        <v>120</v>
      </c>
      <c r="AH3810">
        <v>0</v>
      </c>
      <c r="AI3810" t="s">
        <v>120</v>
      </c>
      <c r="AJ3810">
        <v>2.02</v>
      </c>
      <c r="AK3810" t="s">
        <v>15698</v>
      </c>
      <c r="AL3810">
        <v>0.69</v>
      </c>
      <c r="AM3810">
        <v>965</v>
      </c>
      <c r="AN3810">
        <v>14</v>
      </c>
      <c r="AO3810">
        <v>6.9999999999999999E-4</v>
      </c>
      <c r="AP3810">
        <v>-1</v>
      </c>
      <c r="AQ3810">
        <v>0.66</v>
      </c>
      <c r="AR3810">
        <v>-3.19</v>
      </c>
      <c r="AS3810">
        <v>5.46</v>
      </c>
      <c r="AT3810">
        <v>6.85</v>
      </c>
      <c r="AU3810">
        <v>-2.93</v>
      </c>
      <c r="AV3810">
        <v>1</v>
      </c>
      <c r="AW3810">
        <v>1.23</v>
      </c>
      <c r="AX3810">
        <v>55.62</v>
      </c>
      <c r="AY3810">
        <v>14.43</v>
      </c>
      <c r="AZ3810">
        <v>15.7</v>
      </c>
      <c r="BA3810">
        <v>0.7</v>
      </c>
      <c r="BB3810" t="s">
        <v>143</v>
      </c>
      <c r="BF3810">
        <v>0.26</v>
      </c>
      <c r="BG3810">
        <v>-1.1200000000000001</v>
      </c>
      <c r="BH3810">
        <v>-2.21</v>
      </c>
      <c r="BI3810">
        <v>0.19</v>
      </c>
      <c r="BJ3810">
        <v>20210913</v>
      </c>
      <c r="BK3810">
        <v>20170314</v>
      </c>
      <c r="BL3810">
        <v>2.02</v>
      </c>
      <c r="BM3810" t="s">
        <v>120</v>
      </c>
      <c r="BN3810" t="s">
        <v>120</v>
      </c>
      <c r="BO3810">
        <v>32.4</v>
      </c>
      <c r="BP3810">
        <v>10.6</v>
      </c>
      <c r="BQ3810">
        <v>10.42</v>
      </c>
      <c r="BR3810">
        <v>1.28</v>
      </c>
      <c r="BS3810">
        <v>63.89</v>
      </c>
      <c r="BT3810">
        <v>11.79</v>
      </c>
      <c r="BU3810">
        <v>0.3</v>
      </c>
      <c r="BV3810">
        <v>9.75</v>
      </c>
      <c r="BW3810">
        <v>12.93</v>
      </c>
      <c r="BX3810">
        <v>1.53</v>
      </c>
      <c r="BY3810">
        <v>0.34</v>
      </c>
      <c r="BZ3810">
        <v>4.62</v>
      </c>
      <c r="CA3810" t="s">
        <v>120</v>
      </c>
      <c r="CB3810">
        <v>2.92</v>
      </c>
      <c r="CC3810">
        <v>5.1100000000000003</v>
      </c>
      <c r="CD3810">
        <v>3.17</v>
      </c>
      <c r="CE3810">
        <v>0.89</v>
      </c>
      <c r="CF3810">
        <v>0.09</v>
      </c>
      <c r="CG3810">
        <v>0.87</v>
      </c>
      <c r="CH3810">
        <v>0.77</v>
      </c>
      <c r="CI3810">
        <v>0.7</v>
      </c>
      <c r="CJ3810">
        <v>-7.0000000000000007E-2</v>
      </c>
      <c r="CK3810">
        <v>0.71</v>
      </c>
      <c r="CL3810">
        <v>5.16</v>
      </c>
      <c r="CM3810">
        <v>-0.16</v>
      </c>
      <c r="CN3810">
        <v>-0.49</v>
      </c>
      <c r="CO3810">
        <v>14523</v>
      </c>
      <c r="CP3810">
        <v>7748</v>
      </c>
      <c r="CQ3810" t="s">
        <v>6999</v>
      </c>
      <c r="CR3810">
        <v>21.15</v>
      </c>
      <c r="CS3810">
        <v>2.61</v>
      </c>
      <c r="CT3810">
        <v>2.06</v>
      </c>
      <c r="CU3810">
        <v>-132.1</v>
      </c>
      <c r="CV3810">
        <v>4.2</v>
      </c>
      <c r="CW3810">
        <v>0.66</v>
      </c>
      <c r="CX3810" t="s">
        <v>1574</v>
      </c>
      <c r="CY3810">
        <v>5.15</v>
      </c>
      <c r="CZ3810">
        <v>0</v>
      </c>
      <c r="DA3810">
        <v>1.44</v>
      </c>
      <c r="DB3810">
        <v>2.5499999999999998</v>
      </c>
      <c r="DC3810">
        <v>-0.08</v>
      </c>
      <c r="DD3810">
        <v>32.17</v>
      </c>
      <c r="DE3810" t="s">
        <v>3774</v>
      </c>
      <c r="DF3810">
        <v>37.950000000000003</v>
      </c>
      <c r="DG3810">
        <v>17.420000000000002</v>
      </c>
      <c r="DH3810">
        <v>13.6</v>
      </c>
      <c r="DI3810">
        <v>0.15</v>
      </c>
      <c r="DJ3810">
        <v>1276</v>
      </c>
      <c r="DK3810">
        <v>603903</v>
      </c>
      <c r="DL3810" t="s">
        <v>120</v>
      </c>
      <c r="DM3810" t="s">
        <v>120</v>
      </c>
      <c r="DN3810" t="s">
        <v>120</v>
      </c>
    </row>
    <row r="3811" spans="1:118">
      <c r="A3811" t="str">
        <f>"603906"</f>
        <v>603906</v>
      </c>
      <c r="B3811" t="s">
        <v>15699</v>
      </c>
      <c r="C3811">
        <v>-7.19</v>
      </c>
      <c r="D3811">
        <v>0.59</v>
      </c>
      <c r="E3811">
        <v>4.7</v>
      </c>
      <c r="F3811">
        <v>1244</v>
      </c>
      <c r="G3811" t="s">
        <v>15700</v>
      </c>
      <c r="H3811">
        <v>99612.479999999996</v>
      </c>
      <c r="I3811">
        <v>1291.01</v>
      </c>
      <c r="J3811" t="s">
        <v>120</v>
      </c>
      <c r="K3811" t="s">
        <v>15701</v>
      </c>
      <c r="L3811">
        <v>4.25</v>
      </c>
      <c r="M3811">
        <v>46.37</v>
      </c>
      <c r="N3811">
        <v>1.29</v>
      </c>
      <c r="O3811">
        <v>7.01</v>
      </c>
      <c r="P3811">
        <v>53.46</v>
      </c>
      <c r="Q3811">
        <v>-8.19</v>
      </c>
      <c r="R3811">
        <v>45.87</v>
      </c>
      <c r="S3811">
        <v>52.31</v>
      </c>
      <c r="T3811">
        <v>205054</v>
      </c>
      <c r="U3811">
        <v>46.37</v>
      </c>
      <c r="V3811">
        <v>49.96</v>
      </c>
      <c r="W3811">
        <v>76.44</v>
      </c>
      <c r="X3811" t="s">
        <v>868</v>
      </c>
      <c r="Y3811" t="s">
        <v>319</v>
      </c>
      <c r="Z3811">
        <v>15.19</v>
      </c>
      <c r="AA3811">
        <v>48.58</v>
      </c>
      <c r="AB3811">
        <v>106812</v>
      </c>
      <c r="AC3811">
        <v>98242</v>
      </c>
      <c r="AD3811">
        <v>1.0900000000000001</v>
      </c>
      <c r="AE3811">
        <v>22</v>
      </c>
      <c r="AF3811">
        <v>89</v>
      </c>
      <c r="AG3811" t="s">
        <v>120</v>
      </c>
      <c r="AH3811">
        <v>0.1</v>
      </c>
      <c r="AI3811" t="s">
        <v>120</v>
      </c>
      <c r="AJ3811">
        <v>4.82</v>
      </c>
      <c r="AK3811" t="s">
        <v>15701</v>
      </c>
      <c r="AL3811">
        <v>-5.84</v>
      </c>
      <c r="AM3811">
        <v>4357</v>
      </c>
      <c r="AN3811">
        <v>47</v>
      </c>
      <c r="AO3811">
        <v>1E-3</v>
      </c>
      <c r="AP3811">
        <v>-1</v>
      </c>
      <c r="AQ3811">
        <v>10</v>
      </c>
      <c r="AR3811">
        <v>5.97</v>
      </c>
      <c r="AS3811">
        <v>15.46</v>
      </c>
      <c r="AT3811">
        <v>48.58</v>
      </c>
      <c r="AU3811">
        <v>93.94</v>
      </c>
      <c r="AV3811">
        <v>14</v>
      </c>
      <c r="AW3811">
        <v>8.6199999999999992</v>
      </c>
      <c r="AX3811">
        <v>49.36</v>
      </c>
      <c r="AY3811">
        <v>93.29</v>
      </c>
      <c r="AZ3811">
        <v>118.75</v>
      </c>
      <c r="BA3811">
        <v>1.92</v>
      </c>
      <c r="BB3811" t="s">
        <v>143</v>
      </c>
      <c r="BF3811">
        <v>-2.76</v>
      </c>
      <c r="BG3811">
        <v>-11.36</v>
      </c>
      <c r="BH3811">
        <v>-13.26</v>
      </c>
      <c r="BI3811">
        <v>1.0900000000000001</v>
      </c>
      <c r="BJ3811">
        <v>20210803</v>
      </c>
      <c r="BK3811">
        <v>20170410</v>
      </c>
      <c r="BL3811">
        <v>4.82</v>
      </c>
      <c r="BM3811" t="s">
        <v>120</v>
      </c>
      <c r="BN3811" t="s">
        <v>120</v>
      </c>
      <c r="BO3811">
        <v>43.94</v>
      </c>
      <c r="BP3811">
        <v>46.34</v>
      </c>
      <c r="BQ3811">
        <v>20.21</v>
      </c>
      <c r="BR3811">
        <v>2.27</v>
      </c>
      <c r="BS3811">
        <v>48.84</v>
      </c>
      <c r="BT3811">
        <v>23.87</v>
      </c>
      <c r="BU3811">
        <v>8.48</v>
      </c>
      <c r="BV3811">
        <v>2.59</v>
      </c>
      <c r="BW3811">
        <v>14.89</v>
      </c>
      <c r="BX3811">
        <v>7.21</v>
      </c>
      <c r="BY3811">
        <v>6.13</v>
      </c>
      <c r="BZ3811">
        <v>4.8099999999999996</v>
      </c>
      <c r="CA3811" t="s">
        <v>120</v>
      </c>
      <c r="CB3811">
        <v>8.07</v>
      </c>
      <c r="CC3811">
        <v>12.76</v>
      </c>
      <c r="CD3811">
        <v>8.15</v>
      </c>
      <c r="CE3811">
        <v>1.76</v>
      </c>
      <c r="CF3811">
        <v>0.06</v>
      </c>
      <c r="CG3811">
        <v>1.81</v>
      </c>
      <c r="CH3811">
        <v>1.63</v>
      </c>
      <c r="CI3811">
        <v>1.46</v>
      </c>
      <c r="CJ3811">
        <v>-3.59</v>
      </c>
      <c r="CK3811">
        <v>1.35</v>
      </c>
      <c r="CL3811">
        <v>6.74</v>
      </c>
      <c r="CM3811">
        <v>0.62</v>
      </c>
      <c r="CN3811">
        <v>-1.97</v>
      </c>
      <c r="CO3811">
        <v>12421</v>
      </c>
      <c r="CP3811">
        <v>19158</v>
      </c>
      <c r="CQ3811" t="s">
        <v>15702</v>
      </c>
      <c r="CR3811">
        <v>60.89</v>
      </c>
      <c r="CS3811">
        <v>55.67</v>
      </c>
      <c r="CT3811">
        <v>11.06</v>
      </c>
      <c r="CU3811">
        <v>361.79</v>
      </c>
      <c r="CV3811">
        <v>17.52</v>
      </c>
      <c r="CW3811">
        <v>0.25</v>
      </c>
      <c r="CX3811" t="s">
        <v>1340</v>
      </c>
      <c r="CY3811">
        <v>4.1900000000000004</v>
      </c>
      <c r="CZ3811">
        <v>0</v>
      </c>
      <c r="DA3811">
        <v>1.67</v>
      </c>
      <c r="DB3811">
        <v>1.4</v>
      </c>
      <c r="DC3811">
        <v>0.13</v>
      </c>
      <c r="DD3811">
        <v>45.99</v>
      </c>
      <c r="DE3811" t="s">
        <v>7785</v>
      </c>
      <c r="DF3811">
        <v>36.119999999999997</v>
      </c>
      <c r="DG3811">
        <v>13.76</v>
      </c>
      <c r="DH3811">
        <v>11.46</v>
      </c>
      <c r="DI3811">
        <v>0.51</v>
      </c>
      <c r="DJ3811">
        <v>969</v>
      </c>
      <c r="DK3811">
        <v>603906</v>
      </c>
      <c r="DL3811">
        <v>20210913</v>
      </c>
      <c r="DM3811">
        <v>43.76</v>
      </c>
      <c r="DN3811">
        <v>5.96</v>
      </c>
    </row>
    <row r="3812" spans="1:118">
      <c r="A3812" t="str">
        <f>"603908"</f>
        <v>603908</v>
      </c>
      <c r="B3812" t="s">
        <v>15703</v>
      </c>
      <c r="C3812">
        <v>-0.42</v>
      </c>
      <c r="D3812">
        <v>0.37</v>
      </c>
      <c r="E3812">
        <v>-0.64</v>
      </c>
      <c r="F3812">
        <v>86</v>
      </c>
      <c r="G3812" t="s">
        <v>9448</v>
      </c>
      <c r="H3812">
        <v>6107.25</v>
      </c>
      <c r="I3812">
        <v>51.83</v>
      </c>
      <c r="J3812" t="s">
        <v>120</v>
      </c>
      <c r="K3812" t="s">
        <v>2634</v>
      </c>
      <c r="L3812">
        <v>2.2799999999999998</v>
      </c>
      <c r="M3812">
        <v>40.270000000000003</v>
      </c>
      <c r="N3812">
        <v>0.78</v>
      </c>
      <c r="O3812">
        <v>2.27</v>
      </c>
      <c r="P3812">
        <v>41.36</v>
      </c>
      <c r="Q3812">
        <v>-4.55</v>
      </c>
      <c r="R3812">
        <v>38.6</v>
      </c>
      <c r="S3812">
        <v>40.18</v>
      </c>
      <c r="T3812">
        <v>15183</v>
      </c>
      <c r="U3812">
        <v>40.299999999999997</v>
      </c>
      <c r="V3812">
        <v>40.44</v>
      </c>
      <c r="W3812">
        <v>25.13</v>
      </c>
      <c r="X3812" t="s">
        <v>1766</v>
      </c>
      <c r="Y3812" t="s">
        <v>585</v>
      </c>
      <c r="Z3812">
        <v>6.82</v>
      </c>
      <c r="AA3812">
        <v>40.22</v>
      </c>
      <c r="AB3812">
        <v>6681</v>
      </c>
      <c r="AC3812">
        <v>8502</v>
      </c>
      <c r="AD3812">
        <v>0.79</v>
      </c>
      <c r="AE3812">
        <v>1</v>
      </c>
      <c r="AF3812">
        <v>81</v>
      </c>
      <c r="AG3812" t="s">
        <v>120</v>
      </c>
      <c r="AH3812">
        <v>0.06</v>
      </c>
      <c r="AI3812" t="s">
        <v>120</v>
      </c>
      <c r="AJ3812">
        <v>0.67</v>
      </c>
      <c r="AK3812" t="s">
        <v>2634</v>
      </c>
      <c r="AL3812">
        <v>0.92</v>
      </c>
      <c r="AM3812">
        <v>2115</v>
      </c>
      <c r="AN3812">
        <v>7</v>
      </c>
      <c r="AO3812">
        <v>1.1000000000000001E-3</v>
      </c>
      <c r="AP3812">
        <v>-8</v>
      </c>
      <c r="AQ3812">
        <v>-7.0000000000000007E-2</v>
      </c>
      <c r="AR3812">
        <v>-2.75</v>
      </c>
      <c r="AS3812">
        <v>20.82</v>
      </c>
      <c r="AT3812">
        <v>76.77</v>
      </c>
      <c r="AU3812">
        <v>78.819999999999993</v>
      </c>
      <c r="AV3812">
        <v>5</v>
      </c>
      <c r="AW3812">
        <v>6.69</v>
      </c>
      <c r="AX3812">
        <v>34.03</v>
      </c>
      <c r="AY3812">
        <v>43.69</v>
      </c>
      <c r="AZ3812">
        <v>58.66</v>
      </c>
      <c r="BA3812">
        <v>0.49</v>
      </c>
      <c r="BB3812" t="s">
        <v>143</v>
      </c>
      <c r="BF3812">
        <v>-0.53</v>
      </c>
      <c r="BG3812">
        <v>0.22</v>
      </c>
      <c r="BH3812">
        <v>-2.64</v>
      </c>
      <c r="BI3812">
        <v>4.33</v>
      </c>
      <c r="BJ3812">
        <v>20210902</v>
      </c>
      <c r="BK3812">
        <v>20170307</v>
      </c>
      <c r="BL3812">
        <v>0.67</v>
      </c>
      <c r="BM3812" t="s">
        <v>120</v>
      </c>
      <c r="BN3812" t="s">
        <v>120</v>
      </c>
      <c r="BO3812">
        <v>11.08</v>
      </c>
      <c r="BP3812">
        <v>40.270000000000003</v>
      </c>
      <c r="BQ3812">
        <v>4.43</v>
      </c>
      <c r="BR3812" t="s">
        <v>120</v>
      </c>
      <c r="BS3812">
        <v>59.98</v>
      </c>
      <c r="BT3812">
        <v>10.28</v>
      </c>
      <c r="BU3812">
        <v>0.36</v>
      </c>
      <c r="BV3812">
        <v>0.11</v>
      </c>
      <c r="BW3812">
        <v>6.42</v>
      </c>
      <c r="BX3812">
        <v>3.13</v>
      </c>
      <c r="BY3812">
        <v>2.61</v>
      </c>
      <c r="BZ3812">
        <v>1.85</v>
      </c>
      <c r="CA3812" t="s">
        <v>120</v>
      </c>
      <c r="CB3812">
        <v>2.29</v>
      </c>
      <c r="CC3812">
        <v>5.38</v>
      </c>
      <c r="CD3812">
        <v>4.08</v>
      </c>
      <c r="CE3812">
        <v>0.71</v>
      </c>
      <c r="CF3812">
        <v>0.05</v>
      </c>
      <c r="CG3812">
        <v>0.71</v>
      </c>
      <c r="CH3812">
        <v>0.53</v>
      </c>
      <c r="CI3812">
        <v>0.53</v>
      </c>
      <c r="CJ3812">
        <v>-0.17</v>
      </c>
      <c r="CK3812">
        <v>0.46</v>
      </c>
      <c r="CL3812">
        <v>1.05</v>
      </c>
      <c r="CM3812">
        <v>-0.26</v>
      </c>
      <c r="CN3812">
        <v>0.72</v>
      </c>
      <c r="CO3812">
        <v>8413</v>
      </c>
      <c r="CP3812">
        <v>2697</v>
      </c>
      <c r="CQ3812" t="s">
        <v>5704</v>
      </c>
      <c r="CR3812">
        <v>41.82</v>
      </c>
      <c r="CS3812">
        <v>43.8</v>
      </c>
      <c r="CT3812">
        <v>6.06</v>
      </c>
      <c r="CU3812">
        <v>-103.59</v>
      </c>
      <c r="CV3812">
        <v>5</v>
      </c>
      <c r="CW3812">
        <v>1.85</v>
      </c>
      <c r="CX3812" t="s">
        <v>127</v>
      </c>
      <c r="CY3812">
        <v>6.65</v>
      </c>
      <c r="CZ3812">
        <v>0</v>
      </c>
      <c r="DA3812">
        <v>3.44</v>
      </c>
      <c r="DB3812">
        <v>1.58</v>
      </c>
      <c r="DC3812">
        <v>-0.39</v>
      </c>
      <c r="DD3812">
        <v>40.020000000000003</v>
      </c>
      <c r="DE3812" t="s">
        <v>15704</v>
      </c>
      <c r="DF3812">
        <v>24.09</v>
      </c>
      <c r="DG3812">
        <v>13.23</v>
      </c>
      <c r="DH3812">
        <v>9.94</v>
      </c>
      <c r="DI3812">
        <v>0.11</v>
      </c>
      <c r="DJ3812">
        <v>3190</v>
      </c>
      <c r="DK3812">
        <v>603908</v>
      </c>
      <c r="DL3812">
        <v>20210822</v>
      </c>
      <c r="DM3812">
        <v>34.65</v>
      </c>
      <c r="DN3812">
        <v>16.22</v>
      </c>
    </row>
    <row r="3813" spans="1:118">
      <c r="A3813" t="str">
        <f>"603909"</f>
        <v>603909</v>
      </c>
      <c r="B3813" t="s">
        <v>15705</v>
      </c>
      <c r="C3813">
        <v>-0.67</v>
      </c>
      <c r="D3813">
        <v>0.31</v>
      </c>
      <c r="E3813">
        <v>-0.06</v>
      </c>
      <c r="F3813">
        <v>162</v>
      </c>
      <c r="G3813" t="s">
        <v>9625</v>
      </c>
      <c r="H3813">
        <v>2353.8000000000002</v>
      </c>
      <c r="I3813">
        <v>0.5</v>
      </c>
      <c r="J3813" t="s">
        <v>120</v>
      </c>
      <c r="K3813" t="s">
        <v>9255</v>
      </c>
      <c r="L3813">
        <v>0.71</v>
      </c>
      <c r="M3813">
        <v>16.399999999999999</v>
      </c>
      <c r="N3813">
        <v>0.78</v>
      </c>
      <c r="O3813">
        <v>0.79</v>
      </c>
      <c r="P3813">
        <v>16.64</v>
      </c>
      <c r="Q3813">
        <v>-0.97</v>
      </c>
      <c r="R3813">
        <v>16.350000000000001</v>
      </c>
      <c r="S3813">
        <v>16.5</v>
      </c>
      <c r="T3813">
        <v>14260</v>
      </c>
      <c r="U3813">
        <v>16.41</v>
      </c>
      <c r="V3813">
        <v>16.510000000000002</v>
      </c>
      <c r="W3813">
        <v>84.93</v>
      </c>
      <c r="X3813" t="s">
        <v>175</v>
      </c>
      <c r="Y3813" t="s">
        <v>937</v>
      </c>
      <c r="Z3813">
        <v>1.76</v>
      </c>
      <c r="AA3813">
        <v>16.510000000000002</v>
      </c>
      <c r="AB3813">
        <v>6714</v>
      </c>
      <c r="AC3813">
        <v>7546</v>
      </c>
      <c r="AD3813">
        <v>0.89</v>
      </c>
      <c r="AE3813">
        <v>7</v>
      </c>
      <c r="AF3813">
        <v>221</v>
      </c>
      <c r="AG3813" t="s">
        <v>120</v>
      </c>
      <c r="AH3813">
        <v>0</v>
      </c>
      <c r="AI3813" t="s">
        <v>120</v>
      </c>
      <c r="AJ3813">
        <v>2.0099999999999998</v>
      </c>
      <c r="AK3813" t="s">
        <v>9255</v>
      </c>
      <c r="AL3813">
        <v>0.68</v>
      </c>
      <c r="AM3813">
        <v>724</v>
      </c>
      <c r="AN3813">
        <v>20</v>
      </c>
      <c r="AO3813">
        <v>1E-3</v>
      </c>
      <c r="AP3813">
        <v>-1</v>
      </c>
      <c r="AQ3813">
        <v>0.55000000000000004</v>
      </c>
      <c r="AR3813">
        <v>0.99</v>
      </c>
      <c r="AS3813">
        <v>-1.8</v>
      </c>
      <c r="AT3813">
        <v>7.97</v>
      </c>
      <c r="AU3813">
        <v>49.84</v>
      </c>
      <c r="AV3813">
        <v>0</v>
      </c>
      <c r="AW3813">
        <v>1.04</v>
      </c>
      <c r="AX3813">
        <v>68.099999999999994</v>
      </c>
      <c r="AY3813">
        <v>64.319999999999993</v>
      </c>
      <c r="AZ3813">
        <v>70.14</v>
      </c>
      <c r="BA3813">
        <v>0.25</v>
      </c>
      <c r="BB3813" t="s">
        <v>143</v>
      </c>
      <c r="BF3813">
        <v>-0.02</v>
      </c>
      <c r="BG3813">
        <v>-0.61</v>
      </c>
      <c r="BH3813">
        <v>-1.44</v>
      </c>
      <c r="BI3813">
        <v>0.31</v>
      </c>
      <c r="BJ3813">
        <v>20210810</v>
      </c>
      <c r="BK3813">
        <v>20160628</v>
      </c>
      <c r="BL3813">
        <v>2.0099999999999998</v>
      </c>
      <c r="BM3813" t="s">
        <v>120</v>
      </c>
      <c r="BN3813" t="s">
        <v>120</v>
      </c>
      <c r="BO3813">
        <v>13.98</v>
      </c>
      <c r="BP3813">
        <v>16.399999999999999</v>
      </c>
      <c r="BQ3813">
        <v>8.57</v>
      </c>
      <c r="BR3813">
        <v>0.8</v>
      </c>
      <c r="BS3813">
        <v>32.92</v>
      </c>
      <c r="BT3813">
        <v>10.14</v>
      </c>
      <c r="BU3813">
        <v>1.17</v>
      </c>
      <c r="BV3813">
        <v>0.21</v>
      </c>
      <c r="BW3813">
        <v>4.03</v>
      </c>
      <c r="BX3813">
        <v>1.3</v>
      </c>
      <c r="BY3813">
        <v>0.19</v>
      </c>
      <c r="BZ3813">
        <v>6.47</v>
      </c>
      <c r="CA3813" t="s">
        <v>120</v>
      </c>
      <c r="CB3813">
        <v>1.7</v>
      </c>
      <c r="CC3813">
        <v>3.47</v>
      </c>
      <c r="CD3813">
        <v>2.4500000000000002</v>
      </c>
      <c r="CE3813">
        <v>0.27</v>
      </c>
      <c r="CF3813">
        <v>0</v>
      </c>
      <c r="CG3813">
        <v>0.24</v>
      </c>
      <c r="CH3813">
        <v>0.22</v>
      </c>
      <c r="CI3813">
        <v>0.19</v>
      </c>
      <c r="CJ3813">
        <v>-0.11</v>
      </c>
      <c r="CK3813">
        <v>0.19</v>
      </c>
      <c r="CL3813">
        <v>4.55</v>
      </c>
      <c r="CM3813">
        <v>-0.46</v>
      </c>
      <c r="CN3813">
        <v>-0.86</v>
      </c>
      <c r="CO3813">
        <v>6098</v>
      </c>
      <c r="CP3813">
        <v>22392</v>
      </c>
      <c r="CQ3813" t="s">
        <v>15706</v>
      </c>
      <c r="CR3813">
        <v>28.34</v>
      </c>
      <c r="CS3813">
        <v>22.79</v>
      </c>
      <c r="CT3813">
        <v>3.84</v>
      </c>
      <c r="CU3813">
        <v>-70.900000000000006</v>
      </c>
      <c r="CV3813">
        <v>9.4700000000000006</v>
      </c>
      <c r="CW3813">
        <v>0.28999999999999998</v>
      </c>
      <c r="CX3813" t="s">
        <v>4020</v>
      </c>
      <c r="CY3813">
        <v>4.2699999999999996</v>
      </c>
      <c r="CZ3813">
        <v>0</v>
      </c>
      <c r="DA3813">
        <v>0.85</v>
      </c>
      <c r="DB3813">
        <v>2.27</v>
      </c>
      <c r="DC3813">
        <v>-0.23</v>
      </c>
      <c r="DD3813">
        <v>61.33</v>
      </c>
      <c r="DE3813" t="s">
        <v>6253</v>
      </c>
      <c r="DF3813">
        <v>29.53</v>
      </c>
      <c r="DG3813">
        <v>7.67</v>
      </c>
      <c r="DH3813">
        <v>5.57</v>
      </c>
      <c r="DI3813">
        <v>0.14000000000000001</v>
      </c>
      <c r="DJ3813">
        <v>2087</v>
      </c>
      <c r="DK3813">
        <v>603909</v>
      </c>
      <c r="DL3813" t="s">
        <v>120</v>
      </c>
      <c r="DM3813" t="s">
        <v>120</v>
      </c>
      <c r="DN3813" t="s">
        <v>120</v>
      </c>
    </row>
    <row r="3814" spans="1:118">
      <c r="A3814" t="str">
        <f>"603912"</f>
        <v>603912</v>
      </c>
      <c r="B3814" t="s">
        <v>15707</v>
      </c>
      <c r="C3814">
        <v>-6.69</v>
      </c>
      <c r="D3814">
        <v>-0.17</v>
      </c>
      <c r="E3814">
        <v>-0.45</v>
      </c>
      <c r="F3814">
        <v>883</v>
      </c>
      <c r="G3814" t="s">
        <v>3880</v>
      </c>
      <c r="H3814">
        <v>8404.85</v>
      </c>
      <c r="I3814">
        <v>15.98</v>
      </c>
      <c r="J3814" t="s">
        <v>120</v>
      </c>
      <c r="K3814" t="s">
        <v>4303</v>
      </c>
      <c r="L3814">
        <v>2.27</v>
      </c>
      <c r="M3814">
        <v>16.46</v>
      </c>
      <c r="N3814">
        <v>1.05</v>
      </c>
      <c r="O3814">
        <v>0.56999999999999995</v>
      </c>
      <c r="P3814">
        <v>17.739999999999998</v>
      </c>
      <c r="Q3814">
        <v>-6.69</v>
      </c>
      <c r="R3814">
        <v>16.46</v>
      </c>
      <c r="S3814">
        <v>17.559999999999999</v>
      </c>
      <c r="T3814">
        <v>49146</v>
      </c>
      <c r="U3814">
        <v>16.46</v>
      </c>
      <c r="V3814">
        <v>17.64</v>
      </c>
      <c r="W3814">
        <v>33.590000000000003</v>
      </c>
      <c r="X3814" t="s">
        <v>675</v>
      </c>
      <c r="Y3814" t="s">
        <v>319</v>
      </c>
      <c r="Z3814">
        <v>7.26</v>
      </c>
      <c r="AA3814">
        <v>17.100000000000001</v>
      </c>
      <c r="AB3814">
        <v>32534</v>
      </c>
      <c r="AC3814">
        <v>16612</v>
      </c>
      <c r="AD3814">
        <v>1.96</v>
      </c>
      <c r="AE3814">
        <v>119</v>
      </c>
      <c r="AF3814">
        <v>399</v>
      </c>
      <c r="AG3814" t="s">
        <v>120</v>
      </c>
      <c r="AH3814">
        <v>0.01</v>
      </c>
      <c r="AI3814" t="s">
        <v>120</v>
      </c>
      <c r="AJ3814">
        <v>2.17</v>
      </c>
      <c r="AK3814" t="s">
        <v>4303</v>
      </c>
      <c r="AL3814">
        <v>-5.35</v>
      </c>
      <c r="AM3814">
        <v>2119</v>
      </c>
      <c r="AN3814">
        <v>23</v>
      </c>
      <c r="AO3814">
        <v>1.1000000000000001E-3</v>
      </c>
      <c r="AP3814">
        <v>-2</v>
      </c>
      <c r="AQ3814">
        <v>-1.1200000000000001</v>
      </c>
      <c r="AR3814">
        <v>-5.78</v>
      </c>
      <c r="AS3814">
        <v>2.74</v>
      </c>
      <c r="AT3814">
        <v>-3.74</v>
      </c>
      <c r="AU3814">
        <v>16.98</v>
      </c>
      <c r="AV3814">
        <v>4</v>
      </c>
      <c r="AW3814">
        <v>5.84</v>
      </c>
      <c r="AX3814">
        <v>38.82</v>
      </c>
      <c r="AY3814">
        <v>29.23</v>
      </c>
      <c r="AZ3814">
        <v>33.1</v>
      </c>
      <c r="BA3814">
        <v>0.81</v>
      </c>
      <c r="BB3814" t="s">
        <v>143</v>
      </c>
      <c r="BF3814">
        <v>-3.05</v>
      </c>
      <c r="BG3814">
        <v>-6.26</v>
      </c>
      <c r="BH3814">
        <v>-7.22</v>
      </c>
      <c r="BI3814">
        <v>0</v>
      </c>
      <c r="BJ3814">
        <v>20210824</v>
      </c>
      <c r="BK3814">
        <v>20171101</v>
      </c>
      <c r="BL3814">
        <v>2.17</v>
      </c>
      <c r="BM3814" t="s">
        <v>120</v>
      </c>
      <c r="BN3814" t="s">
        <v>120</v>
      </c>
      <c r="BO3814">
        <v>17.18</v>
      </c>
      <c r="BP3814">
        <v>16.45</v>
      </c>
      <c r="BQ3814">
        <v>9.85</v>
      </c>
      <c r="BR3814" t="s">
        <v>120</v>
      </c>
      <c r="BS3814">
        <v>42.65</v>
      </c>
      <c r="BT3814">
        <v>14.49</v>
      </c>
      <c r="BU3814">
        <v>0.71</v>
      </c>
      <c r="BV3814">
        <v>0.6</v>
      </c>
      <c r="BW3814">
        <v>4.4400000000000004</v>
      </c>
      <c r="BX3814">
        <v>3.94</v>
      </c>
      <c r="BY3814">
        <v>2.48</v>
      </c>
      <c r="BZ3814">
        <v>3.09</v>
      </c>
      <c r="CA3814" t="s">
        <v>120</v>
      </c>
      <c r="CB3814">
        <v>4.21</v>
      </c>
      <c r="CC3814">
        <v>3.25</v>
      </c>
      <c r="CD3814">
        <v>2.08</v>
      </c>
      <c r="CE3814">
        <v>0.64</v>
      </c>
      <c r="CF3814">
        <v>0.05</v>
      </c>
      <c r="CG3814">
        <v>0.63</v>
      </c>
      <c r="CH3814">
        <v>0.53</v>
      </c>
      <c r="CI3814">
        <v>0.53</v>
      </c>
      <c r="CJ3814">
        <v>-1.18</v>
      </c>
      <c r="CK3814">
        <v>0.51</v>
      </c>
      <c r="CL3814">
        <v>2.5499999999999998</v>
      </c>
      <c r="CM3814">
        <v>-0.1</v>
      </c>
      <c r="CN3814">
        <v>-2.62</v>
      </c>
      <c r="CO3814">
        <v>20747</v>
      </c>
      <c r="CP3814">
        <v>4059</v>
      </c>
      <c r="CQ3814" t="s">
        <v>4615</v>
      </c>
      <c r="CR3814">
        <v>40.409999999999997</v>
      </c>
      <c r="CS3814">
        <v>30.64</v>
      </c>
      <c r="CT3814">
        <v>3.81</v>
      </c>
      <c r="CU3814">
        <v>-347.42</v>
      </c>
      <c r="CV3814">
        <v>10.99</v>
      </c>
      <c r="CW3814">
        <v>1.42</v>
      </c>
      <c r="CX3814" t="s">
        <v>626</v>
      </c>
      <c r="CY3814">
        <v>4.32</v>
      </c>
      <c r="CZ3814">
        <v>4.32</v>
      </c>
      <c r="DA3814">
        <v>1.94</v>
      </c>
      <c r="DB3814">
        <v>1.18</v>
      </c>
      <c r="DC3814">
        <v>-0.05</v>
      </c>
      <c r="DD3814">
        <v>57.35</v>
      </c>
      <c r="DE3814" t="s">
        <v>2423</v>
      </c>
      <c r="DF3814">
        <v>36.049999999999997</v>
      </c>
      <c r="DG3814">
        <v>19.579999999999998</v>
      </c>
      <c r="DH3814">
        <v>16.36</v>
      </c>
      <c r="DI3814">
        <v>0.13</v>
      </c>
      <c r="DJ3814">
        <v>490</v>
      </c>
      <c r="DK3814">
        <v>603912</v>
      </c>
      <c r="DL3814" t="s">
        <v>120</v>
      </c>
      <c r="DM3814" t="s">
        <v>120</v>
      </c>
      <c r="DN3814" t="s">
        <v>120</v>
      </c>
    </row>
    <row r="3815" spans="1:118">
      <c r="A3815" t="str">
        <f>"603915"</f>
        <v>603915</v>
      </c>
      <c r="B3815" t="s">
        <v>15708</v>
      </c>
      <c r="C3815">
        <v>-3.22</v>
      </c>
      <c r="D3815">
        <v>-0.15</v>
      </c>
      <c r="E3815">
        <v>0.04</v>
      </c>
      <c r="F3815">
        <v>683</v>
      </c>
      <c r="G3815" t="s">
        <v>14670</v>
      </c>
      <c r="H3815">
        <v>10174.09</v>
      </c>
      <c r="I3815">
        <v>16.559999999999999</v>
      </c>
      <c r="J3815" t="s">
        <v>120</v>
      </c>
      <c r="K3815" t="s">
        <v>14670</v>
      </c>
      <c r="L3815">
        <v>1.79</v>
      </c>
      <c r="M3815">
        <v>44.5</v>
      </c>
      <c r="N3815">
        <v>0.43</v>
      </c>
      <c r="O3815">
        <v>0.39</v>
      </c>
      <c r="P3815">
        <v>46.16</v>
      </c>
      <c r="Q3815">
        <v>-4.18</v>
      </c>
      <c r="R3815">
        <v>44.06</v>
      </c>
      <c r="S3815">
        <v>46</v>
      </c>
      <c r="T3815">
        <v>22683</v>
      </c>
      <c r="U3815">
        <v>44.56</v>
      </c>
      <c r="V3815">
        <v>45.98</v>
      </c>
      <c r="W3815">
        <v>50.6</v>
      </c>
      <c r="X3815" t="s">
        <v>959</v>
      </c>
      <c r="Y3815" t="s">
        <v>319</v>
      </c>
      <c r="Z3815">
        <v>4.57</v>
      </c>
      <c r="AA3815">
        <v>44.85</v>
      </c>
      <c r="AB3815">
        <v>15879</v>
      </c>
      <c r="AC3815">
        <v>6804</v>
      </c>
      <c r="AD3815">
        <v>2.33</v>
      </c>
      <c r="AE3815">
        <v>528</v>
      </c>
      <c r="AF3815">
        <v>14</v>
      </c>
      <c r="AG3815" t="s">
        <v>120</v>
      </c>
      <c r="AH3815">
        <v>0</v>
      </c>
      <c r="AI3815" t="s">
        <v>120</v>
      </c>
      <c r="AJ3815">
        <v>1.27</v>
      </c>
      <c r="AK3815" t="s">
        <v>15709</v>
      </c>
      <c r="AL3815">
        <v>-1.88</v>
      </c>
      <c r="AM3815">
        <v>2397</v>
      </c>
      <c r="AN3815">
        <v>9</v>
      </c>
      <c r="AO3815">
        <v>6.9999999999999999E-4</v>
      </c>
      <c r="AP3815">
        <v>-1</v>
      </c>
      <c r="AQ3815">
        <v>0.39</v>
      </c>
      <c r="AR3815">
        <v>-1.6</v>
      </c>
      <c r="AS3815">
        <v>3.73</v>
      </c>
      <c r="AT3815">
        <v>21.26</v>
      </c>
      <c r="AU3815">
        <v>69.010000000000005</v>
      </c>
      <c r="AV3815">
        <v>4</v>
      </c>
      <c r="AW3815">
        <v>1.79</v>
      </c>
      <c r="AX3815">
        <v>26.79</v>
      </c>
      <c r="AY3815">
        <v>52.35</v>
      </c>
      <c r="AZ3815">
        <v>60.59</v>
      </c>
      <c r="BA3815">
        <v>1.21</v>
      </c>
      <c r="BB3815" t="s">
        <v>143</v>
      </c>
      <c r="BF3815">
        <v>-2.4500000000000002</v>
      </c>
      <c r="BG3815">
        <v>-3.26</v>
      </c>
      <c r="BH3815">
        <v>-3.6</v>
      </c>
      <c r="BI3815">
        <v>1</v>
      </c>
      <c r="BJ3815">
        <v>20210915</v>
      </c>
      <c r="BK3815">
        <v>20190614</v>
      </c>
      <c r="BL3815">
        <v>4.7300000000000004</v>
      </c>
      <c r="BM3815" t="s">
        <v>120</v>
      </c>
      <c r="BN3815" t="s">
        <v>120</v>
      </c>
      <c r="BO3815">
        <v>44.35</v>
      </c>
      <c r="BP3815">
        <v>44.5</v>
      </c>
      <c r="BQ3815">
        <v>26.55</v>
      </c>
      <c r="BR3815">
        <v>0.08</v>
      </c>
      <c r="BS3815">
        <v>39.96</v>
      </c>
      <c r="BT3815">
        <v>30.46</v>
      </c>
      <c r="BU3815">
        <v>8.2100000000000009</v>
      </c>
      <c r="BV3815">
        <v>1.59</v>
      </c>
      <c r="BW3815">
        <v>17.12</v>
      </c>
      <c r="BX3815">
        <v>13.38</v>
      </c>
      <c r="BY3815">
        <v>6.89</v>
      </c>
      <c r="BZ3815">
        <v>3.79</v>
      </c>
      <c r="CA3815">
        <v>0.76</v>
      </c>
      <c r="CB3815">
        <v>12.4</v>
      </c>
      <c r="CC3815">
        <v>14.81</v>
      </c>
      <c r="CD3815">
        <v>10.95</v>
      </c>
      <c r="CE3815">
        <v>2.38</v>
      </c>
      <c r="CF3815">
        <v>0.25</v>
      </c>
      <c r="CG3815">
        <v>2.38</v>
      </c>
      <c r="CH3815">
        <v>2.09</v>
      </c>
      <c r="CI3815">
        <v>2.08</v>
      </c>
      <c r="CJ3815">
        <v>-1.48</v>
      </c>
      <c r="CK3815">
        <v>1.91</v>
      </c>
      <c r="CL3815">
        <v>9.26</v>
      </c>
      <c r="CM3815">
        <v>1.3</v>
      </c>
      <c r="CN3815">
        <v>2.19</v>
      </c>
      <c r="CO3815">
        <v>8955</v>
      </c>
      <c r="CP3815">
        <v>14155</v>
      </c>
      <c r="CQ3815" t="s">
        <v>15302</v>
      </c>
      <c r="CR3815">
        <v>37.28</v>
      </c>
      <c r="CS3815">
        <v>49.32</v>
      </c>
      <c r="CT3815">
        <v>7.92</v>
      </c>
      <c r="CU3815">
        <v>162.52000000000001</v>
      </c>
      <c r="CV3815">
        <v>14.22</v>
      </c>
      <c r="CW3815">
        <v>0.54</v>
      </c>
      <c r="CX3815" t="s">
        <v>1520</v>
      </c>
      <c r="CY3815">
        <v>5.62</v>
      </c>
      <c r="CZ3815">
        <v>5.62</v>
      </c>
      <c r="DA3815">
        <v>2.62</v>
      </c>
      <c r="DB3815">
        <v>1.96</v>
      </c>
      <c r="DC3815">
        <v>0.27</v>
      </c>
      <c r="DD3815">
        <v>59.87</v>
      </c>
      <c r="DE3815" t="s">
        <v>5688</v>
      </c>
      <c r="DF3815">
        <v>26.09</v>
      </c>
      <c r="DG3815">
        <v>16.04</v>
      </c>
      <c r="DH3815">
        <v>14.05</v>
      </c>
      <c r="DI3815">
        <v>0.52</v>
      </c>
      <c r="DJ3815">
        <v>2241</v>
      </c>
      <c r="DK3815">
        <v>603915</v>
      </c>
      <c r="DL3815" t="s">
        <v>120</v>
      </c>
      <c r="DM3815" t="s">
        <v>120</v>
      </c>
      <c r="DN3815" t="s">
        <v>120</v>
      </c>
    </row>
    <row r="3816" spans="1:118">
      <c r="A3816" t="str">
        <f>"603916"</f>
        <v>603916</v>
      </c>
      <c r="B3816" t="s">
        <v>15710</v>
      </c>
      <c r="C3816">
        <v>0.97</v>
      </c>
      <c r="D3816">
        <v>0.74</v>
      </c>
      <c r="E3816">
        <v>-0.14000000000000001</v>
      </c>
      <c r="F3816">
        <v>856</v>
      </c>
      <c r="G3816" t="s">
        <v>15711</v>
      </c>
      <c r="H3816">
        <v>11283.58</v>
      </c>
      <c r="I3816">
        <v>50.81</v>
      </c>
      <c r="J3816" t="s">
        <v>120</v>
      </c>
      <c r="K3816" t="s">
        <v>15393</v>
      </c>
      <c r="L3816">
        <v>1.23</v>
      </c>
      <c r="M3816">
        <v>21.77</v>
      </c>
      <c r="N3816">
        <v>0.83</v>
      </c>
      <c r="O3816">
        <v>5.71</v>
      </c>
      <c r="P3816">
        <v>22.79</v>
      </c>
      <c r="Q3816">
        <v>-0.83</v>
      </c>
      <c r="R3816">
        <v>21.38</v>
      </c>
      <c r="S3816">
        <v>21.53</v>
      </c>
      <c r="T3816">
        <v>51368</v>
      </c>
      <c r="U3816">
        <v>21.78</v>
      </c>
      <c r="V3816">
        <v>21.56</v>
      </c>
      <c r="W3816">
        <v>21.19</v>
      </c>
      <c r="X3816" t="s">
        <v>868</v>
      </c>
      <c r="Y3816" t="s">
        <v>319</v>
      </c>
      <c r="Z3816">
        <v>6.54</v>
      </c>
      <c r="AA3816">
        <v>21.97</v>
      </c>
      <c r="AB3816">
        <v>25537</v>
      </c>
      <c r="AC3816">
        <v>25831</v>
      </c>
      <c r="AD3816">
        <v>0.99</v>
      </c>
      <c r="AE3816">
        <v>60</v>
      </c>
      <c r="AF3816">
        <v>129</v>
      </c>
      <c r="AG3816" t="s">
        <v>120</v>
      </c>
      <c r="AH3816">
        <v>0.01</v>
      </c>
      <c r="AI3816" t="s">
        <v>120</v>
      </c>
      <c r="AJ3816">
        <v>4.17</v>
      </c>
      <c r="AK3816" t="s">
        <v>15712</v>
      </c>
      <c r="AL3816">
        <v>2.3199999999999998</v>
      </c>
      <c r="AM3816">
        <v>2658</v>
      </c>
      <c r="AN3816">
        <v>19</v>
      </c>
      <c r="AO3816">
        <v>5.0000000000000001E-4</v>
      </c>
      <c r="AP3816">
        <v>1</v>
      </c>
      <c r="AQ3816">
        <v>-3.23</v>
      </c>
      <c r="AR3816">
        <v>-6.36</v>
      </c>
      <c r="AS3816">
        <v>2.69</v>
      </c>
      <c r="AT3816">
        <v>4.76</v>
      </c>
      <c r="AU3816">
        <v>15.54</v>
      </c>
      <c r="AV3816">
        <v>3</v>
      </c>
      <c r="AW3816">
        <v>2.48</v>
      </c>
      <c r="AX3816">
        <v>49.18</v>
      </c>
      <c r="AY3816">
        <v>18.5</v>
      </c>
      <c r="AZ3816">
        <v>20.56</v>
      </c>
      <c r="BA3816">
        <v>1.89</v>
      </c>
      <c r="BB3816" t="s">
        <v>2411</v>
      </c>
      <c r="BF3816">
        <v>1.88</v>
      </c>
      <c r="BG3816">
        <v>1.1100000000000001</v>
      </c>
      <c r="BH3816">
        <v>-4.4800000000000004</v>
      </c>
      <c r="BI3816">
        <v>1.82</v>
      </c>
      <c r="BJ3816">
        <v>20210907</v>
      </c>
      <c r="BK3816">
        <v>20171110</v>
      </c>
      <c r="BL3816">
        <v>4.2</v>
      </c>
      <c r="BM3816" t="s">
        <v>120</v>
      </c>
      <c r="BN3816" t="s">
        <v>120</v>
      </c>
      <c r="BO3816">
        <v>67.45</v>
      </c>
      <c r="BP3816">
        <v>21.77</v>
      </c>
      <c r="BQ3816">
        <v>35.65</v>
      </c>
      <c r="BR3816">
        <v>3.03</v>
      </c>
      <c r="BS3816">
        <v>42.66</v>
      </c>
      <c r="BT3816">
        <v>44.34</v>
      </c>
      <c r="BU3816">
        <v>15.07</v>
      </c>
      <c r="BV3816">
        <v>2.4500000000000002</v>
      </c>
      <c r="BW3816">
        <v>27.25</v>
      </c>
      <c r="BX3816">
        <v>7.64</v>
      </c>
      <c r="BY3816">
        <v>4.09</v>
      </c>
      <c r="BZ3816">
        <v>20.190000000000001</v>
      </c>
      <c r="CA3816" t="s">
        <v>120</v>
      </c>
      <c r="CB3816">
        <v>17.239999999999998</v>
      </c>
      <c r="CC3816">
        <v>20.47</v>
      </c>
      <c r="CD3816">
        <v>13.41</v>
      </c>
      <c r="CE3816">
        <v>2.91</v>
      </c>
      <c r="CF3816">
        <v>0.02</v>
      </c>
      <c r="CG3816">
        <v>2.91</v>
      </c>
      <c r="CH3816">
        <v>2.48</v>
      </c>
      <c r="CI3816">
        <v>2.16</v>
      </c>
      <c r="CJ3816">
        <v>0.21</v>
      </c>
      <c r="CK3816">
        <v>2.0499999999999998</v>
      </c>
      <c r="CL3816">
        <v>13.28</v>
      </c>
      <c r="CM3816">
        <v>-1.32</v>
      </c>
      <c r="CN3816">
        <v>-1.78</v>
      </c>
      <c r="CO3816">
        <v>15397</v>
      </c>
      <c r="CP3816">
        <v>13426</v>
      </c>
      <c r="CQ3816" t="s">
        <v>15713</v>
      </c>
      <c r="CR3816">
        <v>29.49</v>
      </c>
      <c r="CS3816">
        <v>43.02</v>
      </c>
      <c r="CT3816">
        <v>2.57</v>
      </c>
      <c r="CU3816">
        <v>-69.540000000000006</v>
      </c>
      <c r="CV3816">
        <v>4.47</v>
      </c>
      <c r="CW3816">
        <v>1.39</v>
      </c>
      <c r="CX3816" t="s">
        <v>1001</v>
      </c>
      <c r="CY3816">
        <v>8.48</v>
      </c>
      <c r="CZ3816">
        <v>0</v>
      </c>
      <c r="DA3816">
        <v>4.0999999999999996</v>
      </c>
      <c r="DB3816">
        <v>3.16</v>
      </c>
      <c r="DC3816">
        <v>-0.31</v>
      </c>
      <c r="DD3816">
        <v>52.86</v>
      </c>
      <c r="DE3816" t="s">
        <v>5611</v>
      </c>
      <c r="DF3816">
        <v>34.520000000000003</v>
      </c>
      <c r="DG3816">
        <v>14.2</v>
      </c>
      <c r="DH3816">
        <v>10.54</v>
      </c>
      <c r="DI3816">
        <v>0.93</v>
      </c>
      <c r="DJ3816">
        <v>2536</v>
      </c>
      <c r="DK3816">
        <v>603916</v>
      </c>
      <c r="DL3816" t="s">
        <v>120</v>
      </c>
      <c r="DM3816" t="s">
        <v>120</v>
      </c>
      <c r="DN3816" t="s">
        <v>120</v>
      </c>
    </row>
    <row r="3817" spans="1:118">
      <c r="A3817" t="str">
        <f>"603917"</f>
        <v>603917</v>
      </c>
      <c r="B3817" t="s">
        <v>15714</v>
      </c>
      <c r="C3817">
        <v>0.1</v>
      </c>
      <c r="D3817">
        <v>0</v>
      </c>
      <c r="E3817">
        <v>-0.1</v>
      </c>
      <c r="F3817">
        <v>121</v>
      </c>
      <c r="G3817" t="s">
        <v>2805</v>
      </c>
      <c r="H3817">
        <v>1675.89</v>
      </c>
      <c r="I3817">
        <v>1.29</v>
      </c>
      <c r="J3817" t="s">
        <v>120</v>
      </c>
      <c r="K3817" t="s">
        <v>9803</v>
      </c>
      <c r="L3817">
        <v>1.07</v>
      </c>
      <c r="M3817">
        <v>9.98</v>
      </c>
      <c r="N3817">
        <v>1.22</v>
      </c>
      <c r="O3817">
        <v>1.3</v>
      </c>
      <c r="P3817">
        <v>10.1</v>
      </c>
      <c r="Q3817">
        <v>-0.6</v>
      </c>
      <c r="R3817">
        <v>9.91</v>
      </c>
      <c r="S3817">
        <v>9.9600000000000009</v>
      </c>
      <c r="T3817">
        <v>16718</v>
      </c>
      <c r="U3817">
        <v>9.98</v>
      </c>
      <c r="V3817">
        <v>9.9700000000000006</v>
      </c>
      <c r="W3817">
        <v>20.98</v>
      </c>
      <c r="X3817" t="s">
        <v>289</v>
      </c>
      <c r="Y3817" t="s">
        <v>585</v>
      </c>
      <c r="Z3817">
        <v>1.91</v>
      </c>
      <c r="AA3817">
        <v>10.02</v>
      </c>
      <c r="AB3817">
        <v>9250</v>
      </c>
      <c r="AC3817">
        <v>7468</v>
      </c>
      <c r="AD3817">
        <v>1.24</v>
      </c>
      <c r="AE3817">
        <v>16</v>
      </c>
      <c r="AF3817">
        <v>63</v>
      </c>
      <c r="AG3817" t="s">
        <v>120</v>
      </c>
      <c r="AH3817">
        <v>0</v>
      </c>
      <c r="AI3817" t="s">
        <v>120</v>
      </c>
      <c r="AJ3817">
        <v>1.57</v>
      </c>
      <c r="AK3817" t="s">
        <v>9803</v>
      </c>
      <c r="AL3817">
        <v>1.44</v>
      </c>
      <c r="AM3817">
        <v>1026</v>
      </c>
      <c r="AN3817">
        <v>16</v>
      </c>
      <c r="AO3817">
        <v>1E-3</v>
      </c>
      <c r="AP3817">
        <v>2</v>
      </c>
      <c r="AQ3817">
        <v>1.84</v>
      </c>
      <c r="AR3817">
        <v>0.5</v>
      </c>
      <c r="AS3817">
        <v>5.84</v>
      </c>
      <c r="AT3817">
        <v>5.17</v>
      </c>
      <c r="AU3817">
        <v>4.17</v>
      </c>
      <c r="AV3817">
        <v>1</v>
      </c>
      <c r="AW3817">
        <v>2.59</v>
      </c>
      <c r="AX3817">
        <v>41.09</v>
      </c>
      <c r="AY3817">
        <v>23.51</v>
      </c>
      <c r="AZ3817">
        <v>21.15</v>
      </c>
      <c r="BA3817">
        <v>0.56999999999999995</v>
      </c>
      <c r="BB3817" t="s">
        <v>143</v>
      </c>
      <c r="BF3817">
        <v>0.54</v>
      </c>
      <c r="BG3817">
        <v>0.2</v>
      </c>
      <c r="BH3817">
        <v>-1.19</v>
      </c>
      <c r="BI3817">
        <v>0.71</v>
      </c>
      <c r="BJ3817">
        <v>20210827</v>
      </c>
      <c r="BK3817">
        <v>20171204</v>
      </c>
      <c r="BL3817">
        <v>1.57</v>
      </c>
      <c r="BM3817" t="s">
        <v>120</v>
      </c>
      <c r="BN3817" t="s">
        <v>120</v>
      </c>
      <c r="BO3817">
        <v>14.65</v>
      </c>
      <c r="BP3817">
        <v>9.9700000000000006</v>
      </c>
      <c r="BQ3817">
        <v>10.050000000000001</v>
      </c>
      <c r="BR3817" t="s">
        <v>120</v>
      </c>
      <c r="BS3817">
        <v>31.41</v>
      </c>
      <c r="BT3817">
        <v>8.7200000000000006</v>
      </c>
      <c r="BU3817">
        <v>4.5599999999999996</v>
      </c>
      <c r="BV3817">
        <v>0.43</v>
      </c>
      <c r="BW3817">
        <v>3.66</v>
      </c>
      <c r="BX3817">
        <v>0.86</v>
      </c>
      <c r="BY3817">
        <v>4.04</v>
      </c>
      <c r="BZ3817">
        <v>3.23</v>
      </c>
      <c r="CA3817" t="s">
        <v>120</v>
      </c>
      <c r="CB3817">
        <v>2.2200000000000002</v>
      </c>
      <c r="CC3817">
        <v>3.52</v>
      </c>
      <c r="CD3817">
        <v>2.59</v>
      </c>
      <c r="CE3817">
        <v>0.42</v>
      </c>
      <c r="CF3817">
        <v>0</v>
      </c>
      <c r="CG3817">
        <v>0.42</v>
      </c>
      <c r="CH3817">
        <v>0.37</v>
      </c>
      <c r="CI3817">
        <v>0.37</v>
      </c>
      <c r="CJ3817">
        <v>0.01</v>
      </c>
      <c r="CK3817">
        <v>0.27</v>
      </c>
      <c r="CL3817">
        <v>5.44</v>
      </c>
      <c r="CM3817">
        <v>0.59</v>
      </c>
      <c r="CN3817">
        <v>0.3</v>
      </c>
      <c r="CO3817">
        <v>12411</v>
      </c>
      <c r="CP3817">
        <v>5191</v>
      </c>
      <c r="CQ3817" t="s">
        <v>177</v>
      </c>
      <c r="CR3817">
        <v>-16.59</v>
      </c>
      <c r="CS3817">
        <v>7.94</v>
      </c>
      <c r="CT3817">
        <v>1.56</v>
      </c>
      <c r="CU3817">
        <v>26.47</v>
      </c>
      <c r="CV3817">
        <v>4.45</v>
      </c>
      <c r="CW3817">
        <v>2.0099999999999998</v>
      </c>
      <c r="CX3817" t="s">
        <v>15715</v>
      </c>
      <c r="CY3817">
        <v>6.41</v>
      </c>
      <c r="CZ3817">
        <v>0</v>
      </c>
      <c r="DA3817">
        <v>1.42</v>
      </c>
      <c r="DB3817">
        <v>3.47</v>
      </c>
      <c r="DC3817">
        <v>0.38</v>
      </c>
      <c r="DD3817">
        <v>68.59</v>
      </c>
      <c r="DE3817" t="s">
        <v>3172</v>
      </c>
      <c r="DF3817">
        <v>26.2</v>
      </c>
      <c r="DG3817">
        <v>11.96</v>
      </c>
      <c r="DH3817">
        <v>10.61</v>
      </c>
      <c r="DI3817">
        <v>0.16</v>
      </c>
      <c r="DJ3817">
        <v>698</v>
      </c>
      <c r="DK3817">
        <v>603917</v>
      </c>
      <c r="DL3817" t="s">
        <v>120</v>
      </c>
      <c r="DM3817" t="s">
        <v>120</v>
      </c>
      <c r="DN3817" t="s">
        <v>120</v>
      </c>
    </row>
    <row r="3818" spans="1:118">
      <c r="A3818" t="str">
        <f>"603918"</f>
        <v>603918</v>
      </c>
      <c r="B3818" t="s">
        <v>15716</v>
      </c>
      <c r="C3818">
        <v>-1.1399999999999999</v>
      </c>
      <c r="D3818">
        <v>0.13</v>
      </c>
      <c r="E3818">
        <v>0.13</v>
      </c>
      <c r="F3818">
        <v>769</v>
      </c>
      <c r="G3818" t="s">
        <v>10693</v>
      </c>
      <c r="H3818">
        <v>4653.8100000000004</v>
      </c>
      <c r="I3818">
        <v>26.09</v>
      </c>
      <c r="J3818" t="s">
        <v>120</v>
      </c>
      <c r="K3818" t="s">
        <v>5223</v>
      </c>
      <c r="L3818">
        <v>1.96</v>
      </c>
      <c r="M3818">
        <v>7.83</v>
      </c>
      <c r="N3818">
        <v>0.93</v>
      </c>
      <c r="O3818">
        <v>0.63</v>
      </c>
      <c r="P3818">
        <v>7.97</v>
      </c>
      <c r="Q3818">
        <v>-2.27</v>
      </c>
      <c r="R3818">
        <v>7.74</v>
      </c>
      <c r="S3818">
        <v>7.93</v>
      </c>
      <c r="T3818">
        <v>59292</v>
      </c>
      <c r="U3818">
        <v>7.84</v>
      </c>
      <c r="V3818">
        <v>7.92</v>
      </c>
      <c r="W3818">
        <v>60.19</v>
      </c>
      <c r="X3818" t="s">
        <v>141</v>
      </c>
      <c r="Y3818" t="s">
        <v>1510</v>
      </c>
      <c r="Z3818">
        <v>2.9</v>
      </c>
      <c r="AA3818">
        <v>7.85</v>
      </c>
      <c r="AB3818">
        <v>37510</v>
      </c>
      <c r="AC3818">
        <v>21782</v>
      </c>
      <c r="AD3818">
        <v>1.72</v>
      </c>
      <c r="AE3818">
        <v>364</v>
      </c>
      <c r="AF3818">
        <v>249</v>
      </c>
      <c r="AG3818" t="s">
        <v>120</v>
      </c>
      <c r="AH3818">
        <v>0.02</v>
      </c>
      <c r="AI3818" t="s">
        <v>120</v>
      </c>
      <c r="AJ3818">
        <v>3.03</v>
      </c>
      <c r="AK3818" t="s">
        <v>1641</v>
      </c>
      <c r="AL3818">
        <v>0.21</v>
      </c>
      <c r="AM3818">
        <v>1614</v>
      </c>
      <c r="AN3818">
        <v>37</v>
      </c>
      <c r="AO3818">
        <v>1.1999999999999999E-3</v>
      </c>
      <c r="AP3818">
        <v>-1</v>
      </c>
      <c r="AQ3818">
        <v>2.59</v>
      </c>
      <c r="AR3818">
        <v>2.4900000000000002</v>
      </c>
      <c r="AS3818">
        <v>3.03</v>
      </c>
      <c r="AT3818">
        <v>-2.13</v>
      </c>
      <c r="AU3818">
        <v>-0.03</v>
      </c>
      <c r="AV3818">
        <v>3</v>
      </c>
      <c r="AW3818">
        <v>3.36</v>
      </c>
      <c r="AX3818">
        <v>48.1</v>
      </c>
      <c r="AY3818">
        <v>28.41</v>
      </c>
      <c r="AZ3818">
        <v>32.82</v>
      </c>
      <c r="BA3818">
        <v>0.39</v>
      </c>
      <c r="BB3818" t="s">
        <v>700</v>
      </c>
      <c r="BF3818">
        <v>-0.9</v>
      </c>
      <c r="BG3818">
        <v>-1.26</v>
      </c>
      <c r="BH3818">
        <v>-1.76</v>
      </c>
      <c r="BI3818">
        <v>1.1599999999999999</v>
      </c>
      <c r="BJ3818">
        <v>20210913</v>
      </c>
      <c r="BK3818">
        <v>20150528</v>
      </c>
      <c r="BL3818">
        <v>3.67</v>
      </c>
      <c r="BM3818" t="s">
        <v>120</v>
      </c>
      <c r="BN3818" t="s">
        <v>120</v>
      </c>
      <c r="BO3818">
        <v>16.29</v>
      </c>
      <c r="BP3818">
        <v>7.83</v>
      </c>
      <c r="BQ3818">
        <v>10.55</v>
      </c>
      <c r="BR3818" t="s">
        <v>120</v>
      </c>
      <c r="BS3818">
        <v>35.25</v>
      </c>
      <c r="BT3818">
        <v>14.67</v>
      </c>
      <c r="BU3818">
        <v>0.54</v>
      </c>
      <c r="BV3818">
        <v>0.14000000000000001</v>
      </c>
      <c r="BW3818">
        <v>5.74</v>
      </c>
      <c r="BX3818">
        <v>2.54</v>
      </c>
      <c r="BY3818">
        <v>3.88</v>
      </c>
      <c r="BZ3818">
        <v>3.75</v>
      </c>
      <c r="CA3818" t="s">
        <v>120</v>
      </c>
      <c r="CB3818">
        <v>3.57</v>
      </c>
      <c r="CC3818">
        <v>3.96</v>
      </c>
      <c r="CD3818">
        <v>2.61</v>
      </c>
      <c r="CE3818">
        <v>0.28999999999999998</v>
      </c>
      <c r="CF3818">
        <v>-0.02</v>
      </c>
      <c r="CG3818">
        <v>0.28999999999999998</v>
      </c>
      <c r="CH3818">
        <v>0.24</v>
      </c>
      <c r="CI3818">
        <v>0.24</v>
      </c>
      <c r="CJ3818">
        <v>-0.09</v>
      </c>
      <c r="CK3818">
        <v>0.23</v>
      </c>
      <c r="CL3818">
        <v>2.98</v>
      </c>
      <c r="CM3818">
        <v>-0.56000000000000005</v>
      </c>
      <c r="CN3818">
        <v>-1.46</v>
      </c>
      <c r="CO3818">
        <v>25804</v>
      </c>
      <c r="CP3818">
        <v>6838</v>
      </c>
      <c r="CQ3818" t="s">
        <v>2603</v>
      </c>
      <c r="CR3818">
        <v>135.69</v>
      </c>
      <c r="CS3818">
        <v>31.26</v>
      </c>
      <c r="CT3818">
        <v>2.72</v>
      </c>
      <c r="CU3818">
        <v>-51.26</v>
      </c>
      <c r="CV3818">
        <v>7.25</v>
      </c>
      <c r="CW3818">
        <v>1.53</v>
      </c>
      <c r="CX3818" t="s">
        <v>679</v>
      </c>
      <c r="CY3818">
        <v>2.88</v>
      </c>
      <c r="CZ3818">
        <v>0</v>
      </c>
      <c r="DA3818">
        <v>0.97</v>
      </c>
      <c r="DB3818">
        <v>0.81</v>
      </c>
      <c r="DC3818">
        <v>-0.15</v>
      </c>
      <c r="DD3818">
        <v>64.75</v>
      </c>
      <c r="DE3818" t="s">
        <v>6253</v>
      </c>
      <c r="DF3818">
        <v>34.18</v>
      </c>
      <c r="DG3818">
        <v>7.32</v>
      </c>
      <c r="DH3818">
        <v>6.02</v>
      </c>
      <c r="DI3818">
        <v>0.16</v>
      </c>
      <c r="DJ3818">
        <v>689</v>
      </c>
      <c r="DK3818">
        <v>603918</v>
      </c>
      <c r="DL3818" t="s">
        <v>120</v>
      </c>
      <c r="DM3818" t="s">
        <v>120</v>
      </c>
      <c r="DN3818" t="s">
        <v>120</v>
      </c>
    </row>
    <row r="3819" spans="1:118">
      <c r="A3819" t="str">
        <f>"603919"</f>
        <v>603919</v>
      </c>
      <c r="B3819" t="s">
        <v>15717</v>
      </c>
      <c r="C3819">
        <v>-0.03</v>
      </c>
      <c r="D3819">
        <v>0</v>
      </c>
      <c r="E3819">
        <v>0.06</v>
      </c>
      <c r="F3819">
        <v>1911</v>
      </c>
      <c r="G3819" t="s">
        <v>9067</v>
      </c>
      <c r="H3819">
        <v>18498.7</v>
      </c>
      <c r="I3819">
        <v>41.96</v>
      </c>
      <c r="J3819" t="s">
        <v>120</v>
      </c>
      <c r="K3819" t="s">
        <v>15718</v>
      </c>
      <c r="L3819">
        <v>1.0900000000000001</v>
      </c>
      <c r="M3819">
        <v>34.36</v>
      </c>
      <c r="N3819">
        <v>1.04</v>
      </c>
      <c r="O3819">
        <v>2.71</v>
      </c>
      <c r="P3819">
        <v>35.299999999999997</v>
      </c>
      <c r="Q3819">
        <v>-0.7</v>
      </c>
      <c r="R3819">
        <v>34.130000000000003</v>
      </c>
      <c r="S3819">
        <v>34.39</v>
      </c>
      <c r="T3819">
        <v>53375</v>
      </c>
      <c r="U3819">
        <v>34.369999999999997</v>
      </c>
      <c r="V3819">
        <v>34.369999999999997</v>
      </c>
      <c r="W3819">
        <v>46.5</v>
      </c>
      <c r="X3819" t="s">
        <v>1165</v>
      </c>
      <c r="Y3819" t="s">
        <v>1082</v>
      </c>
      <c r="Z3819">
        <v>3.4</v>
      </c>
      <c r="AA3819">
        <v>34.659999999999997</v>
      </c>
      <c r="AB3819">
        <v>27012</v>
      </c>
      <c r="AC3819">
        <v>26363</v>
      </c>
      <c r="AD3819">
        <v>1.02</v>
      </c>
      <c r="AE3819">
        <v>203</v>
      </c>
      <c r="AF3819">
        <v>124</v>
      </c>
      <c r="AG3819" t="s">
        <v>120</v>
      </c>
      <c r="AH3819">
        <v>0.01</v>
      </c>
      <c r="AI3819" t="s">
        <v>120</v>
      </c>
      <c r="AJ3819">
        <v>4.91</v>
      </c>
      <c r="AK3819" t="s">
        <v>15719</v>
      </c>
      <c r="AL3819">
        <v>1.31</v>
      </c>
      <c r="AM3819">
        <v>3381</v>
      </c>
      <c r="AN3819">
        <v>16</v>
      </c>
      <c r="AO3819">
        <v>2.9999999999999997E-4</v>
      </c>
      <c r="AP3819">
        <v>-4</v>
      </c>
      <c r="AQ3819">
        <v>-1.69</v>
      </c>
      <c r="AR3819">
        <v>-2.52</v>
      </c>
      <c r="AS3819">
        <v>-4.45</v>
      </c>
      <c r="AT3819">
        <v>-15.74</v>
      </c>
      <c r="AU3819">
        <v>-14.63</v>
      </c>
      <c r="AV3819">
        <v>17</v>
      </c>
      <c r="AW3819">
        <v>3.74</v>
      </c>
      <c r="AX3819">
        <v>28.1</v>
      </c>
      <c r="AY3819">
        <v>43.75</v>
      </c>
      <c r="AZ3819">
        <v>52.62</v>
      </c>
      <c r="BA3819">
        <v>1.82</v>
      </c>
      <c r="BB3819" t="s">
        <v>143</v>
      </c>
      <c r="BF3819">
        <v>0.84</v>
      </c>
      <c r="BG3819">
        <v>-0.09</v>
      </c>
      <c r="BH3819">
        <v>-2.66</v>
      </c>
      <c r="BI3819">
        <v>0.67</v>
      </c>
      <c r="BJ3819">
        <v>20210818</v>
      </c>
      <c r="BK3819">
        <v>20160310</v>
      </c>
      <c r="BL3819">
        <v>5.07</v>
      </c>
      <c r="BM3819" t="s">
        <v>120</v>
      </c>
      <c r="BN3819" t="s">
        <v>120</v>
      </c>
      <c r="BO3819">
        <v>34.79</v>
      </c>
      <c r="BP3819">
        <v>34.36</v>
      </c>
      <c r="BQ3819">
        <v>28.44</v>
      </c>
      <c r="BR3819" t="s">
        <v>120</v>
      </c>
      <c r="BS3819">
        <v>18.260000000000002</v>
      </c>
      <c r="BT3819">
        <v>17.21</v>
      </c>
      <c r="BU3819">
        <v>15.29</v>
      </c>
      <c r="BV3819">
        <v>1.85</v>
      </c>
      <c r="BW3819">
        <v>5.88</v>
      </c>
      <c r="BX3819">
        <v>5.01</v>
      </c>
      <c r="BY3819">
        <v>11.95</v>
      </c>
      <c r="BZ3819">
        <v>0.08</v>
      </c>
      <c r="CA3819" t="s">
        <v>120</v>
      </c>
      <c r="CB3819">
        <v>8.7100000000000009</v>
      </c>
      <c r="CC3819">
        <v>9.7200000000000006</v>
      </c>
      <c r="CD3819">
        <v>3.34</v>
      </c>
      <c r="CE3819">
        <v>2.4</v>
      </c>
      <c r="CF3819">
        <v>0</v>
      </c>
      <c r="CG3819">
        <v>2.4</v>
      </c>
      <c r="CH3819">
        <v>1.87</v>
      </c>
      <c r="CI3819">
        <v>1.87</v>
      </c>
      <c r="CJ3819">
        <v>-0.01</v>
      </c>
      <c r="CK3819">
        <v>1.86</v>
      </c>
      <c r="CL3819">
        <v>12.95</v>
      </c>
      <c r="CM3819">
        <v>0.85</v>
      </c>
      <c r="CN3819">
        <v>-0.59</v>
      </c>
      <c r="CO3819">
        <v>76650</v>
      </c>
      <c r="CP3819">
        <v>1860</v>
      </c>
      <c r="CQ3819" t="s">
        <v>6502</v>
      </c>
      <c r="CR3819">
        <v>55.89</v>
      </c>
      <c r="CS3819">
        <v>36.590000000000003</v>
      </c>
      <c r="CT3819">
        <v>6.13</v>
      </c>
      <c r="CU3819">
        <v>204.84</v>
      </c>
      <c r="CV3819">
        <v>17.93</v>
      </c>
      <c r="CW3819">
        <v>0.7</v>
      </c>
      <c r="CX3819" t="s">
        <v>709</v>
      </c>
      <c r="CY3819">
        <v>5.61</v>
      </c>
      <c r="CZ3819">
        <v>0</v>
      </c>
      <c r="DA3819">
        <v>1.72</v>
      </c>
      <c r="DB3819">
        <v>2.5499999999999998</v>
      </c>
      <c r="DC3819">
        <v>0.17</v>
      </c>
      <c r="DD3819">
        <v>81.739999999999995</v>
      </c>
      <c r="DE3819" t="s">
        <v>11694</v>
      </c>
      <c r="DF3819">
        <v>65.680000000000007</v>
      </c>
      <c r="DG3819">
        <v>24.73</v>
      </c>
      <c r="DH3819">
        <v>19.28</v>
      </c>
      <c r="DI3819">
        <v>0.13</v>
      </c>
      <c r="DJ3819">
        <v>2168</v>
      </c>
      <c r="DK3819">
        <v>603919</v>
      </c>
      <c r="DL3819" t="s">
        <v>120</v>
      </c>
      <c r="DM3819" t="s">
        <v>120</v>
      </c>
      <c r="DN3819" t="s">
        <v>120</v>
      </c>
    </row>
    <row r="3820" spans="1:118">
      <c r="A3820" t="str">
        <f>"603920"</f>
        <v>603920</v>
      </c>
      <c r="B3820" t="s">
        <v>15720</v>
      </c>
      <c r="C3820">
        <v>-3.7</v>
      </c>
      <c r="D3820">
        <v>0</v>
      </c>
      <c r="E3820">
        <v>0.21</v>
      </c>
      <c r="F3820">
        <v>1469</v>
      </c>
      <c r="G3820" t="s">
        <v>9237</v>
      </c>
      <c r="H3820">
        <v>16407.240000000002</v>
      </c>
      <c r="I3820">
        <v>76.81</v>
      </c>
      <c r="J3820" t="s">
        <v>120</v>
      </c>
      <c r="K3820" t="s">
        <v>1266</v>
      </c>
      <c r="L3820">
        <v>2.19</v>
      </c>
      <c r="M3820">
        <v>14.06</v>
      </c>
      <c r="N3820">
        <v>0.67</v>
      </c>
      <c r="O3820">
        <v>0.34</v>
      </c>
      <c r="P3820">
        <v>14.65</v>
      </c>
      <c r="Q3820">
        <v>-5.27</v>
      </c>
      <c r="R3820">
        <v>13.83</v>
      </c>
      <c r="S3820">
        <v>14.63</v>
      </c>
      <c r="T3820">
        <v>115960</v>
      </c>
      <c r="U3820">
        <v>14.06</v>
      </c>
      <c r="V3820">
        <v>14.6</v>
      </c>
      <c r="W3820">
        <v>47.81</v>
      </c>
      <c r="X3820" t="s">
        <v>229</v>
      </c>
      <c r="Y3820" t="s">
        <v>547</v>
      </c>
      <c r="Z3820">
        <v>5.62</v>
      </c>
      <c r="AA3820">
        <v>14.15</v>
      </c>
      <c r="AB3820">
        <v>64158</v>
      </c>
      <c r="AC3820">
        <v>51802</v>
      </c>
      <c r="AD3820">
        <v>1.24</v>
      </c>
      <c r="AE3820">
        <v>161</v>
      </c>
      <c r="AF3820">
        <v>363</v>
      </c>
      <c r="AG3820" t="s">
        <v>120</v>
      </c>
      <c r="AH3820">
        <v>0.03</v>
      </c>
      <c r="AI3820" t="s">
        <v>120</v>
      </c>
      <c r="AJ3820">
        <v>5.29</v>
      </c>
      <c r="AK3820" t="s">
        <v>11384</v>
      </c>
      <c r="AL3820">
        <v>-2.35</v>
      </c>
      <c r="AM3820">
        <v>3268</v>
      </c>
      <c r="AN3820">
        <v>35</v>
      </c>
      <c r="AO3820">
        <v>6.9999999999999999E-4</v>
      </c>
      <c r="AP3820">
        <v>-4</v>
      </c>
      <c r="AQ3820">
        <v>-1.02</v>
      </c>
      <c r="AR3820">
        <v>-10.85</v>
      </c>
      <c r="AS3820">
        <v>11.85</v>
      </c>
      <c r="AT3820">
        <v>-2.97</v>
      </c>
      <c r="AU3820">
        <v>-28.49</v>
      </c>
      <c r="AV3820">
        <v>6</v>
      </c>
      <c r="AW3820">
        <v>5.87</v>
      </c>
      <c r="AX3820">
        <v>37.14</v>
      </c>
      <c r="AY3820">
        <v>32.46</v>
      </c>
      <c r="AZ3820">
        <v>25.58</v>
      </c>
      <c r="BA3820">
        <v>0.75</v>
      </c>
      <c r="BB3820" t="s">
        <v>341</v>
      </c>
      <c r="BF3820">
        <v>-3.09</v>
      </c>
      <c r="BG3820">
        <v>-3.9</v>
      </c>
      <c r="BH3820">
        <v>-4.03</v>
      </c>
      <c r="BI3820">
        <v>1.66</v>
      </c>
      <c r="BJ3820">
        <v>20210823</v>
      </c>
      <c r="BK3820">
        <v>20170426</v>
      </c>
      <c r="BL3820">
        <v>5.32</v>
      </c>
      <c r="BM3820" t="s">
        <v>120</v>
      </c>
      <c r="BN3820" t="s">
        <v>120</v>
      </c>
      <c r="BO3820">
        <v>50.13</v>
      </c>
      <c r="BP3820">
        <v>14.05</v>
      </c>
      <c r="BQ3820">
        <v>26.5</v>
      </c>
      <c r="BR3820">
        <v>0.02</v>
      </c>
      <c r="BS3820">
        <v>47.1</v>
      </c>
      <c r="BT3820">
        <v>34.78</v>
      </c>
      <c r="BU3820">
        <v>12.99</v>
      </c>
      <c r="BV3820">
        <v>0.38</v>
      </c>
      <c r="BW3820">
        <v>13.1</v>
      </c>
      <c r="BX3820">
        <v>19.510000000000002</v>
      </c>
      <c r="BY3820">
        <v>4.13</v>
      </c>
      <c r="BZ3820">
        <v>7.51</v>
      </c>
      <c r="CA3820" t="s">
        <v>120</v>
      </c>
      <c r="CB3820">
        <v>12.78</v>
      </c>
      <c r="CC3820">
        <v>15.01</v>
      </c>
      <c r="CD3820">
        <v>12.59</v>
      </c>
      <c r="CE3820">
        <v>0.93</v>
      </c>
      <c r="CF3820">
        <v>0.01</v>
      </c>
      <c r="CG3820">
        <v>0.93</v>
      </c>
      <c r="CH3820">
        <v>0.78</v>
      </c>
      <c r="CI3820">
        <v>0.78</v>
      </c>
      <c r="CJ3820">
        <v>-0.54</v>
      </c>
      <c r="CK3820">
        <v>0.81</v>
      </c>
      <c r="CL3820">
        <v>5.94</v>
      </c>
      <c r="CM3820">
        <v>1.7</v>
      </c>
      <c r="CN3820">
        <v>7.01</v>
      </c>
      <c r="CO3820">
        <v>32565</v>
      </c>
      <c r="CP3820">
        <v>6070</v>
      </c>
      <c r="CQ3820" t="s">
        <v>6956</v>
      </c>
      <c r="CR3820">
        <v>-45.11</v>
      </c>
      <c r="CS3820">
        <v>33.549999999999997</v>
      </c>
      <c r="CT3820">
        <v>2.96</v>
      </c>
      <c r="CU3820">
        <v>44.15</v>
      </c>
      <c r="CV3820">
        <v>4.99</v>
      </c>
      <c r="CW3820">
        <v>3.16</v>
      </c>
      <c r="CX3820" t="s">
        <v>373</v>
      </c>
      <c r="CY3820">
        <v>4.75</v>
      </c>
      <c r="CZ3820">
        <v>4.75</v>
      </c>
      <c r="DA3820">
        <v>2.4</v>
      </c>
      <c r="DB3820">
        <v>1.1200000000000001</v>
      </c>
      <c r="DC3820">
        <v>0.32</v>
      </c>
      <c r="DD3820">
        <v>52.87</v>
      </c>
      <c r="DE3820" t="s">
        <v>2859</v>
      </c>
      <c r="DF3820">
        <v>16.12</v>
      </c>
      <c r="DG3820">
        <v>6.22</v>
      </c>
      <c r="DH3820">
        <v>5.21</v>
      </c>
      <c r="DI3820">
        <v>0.55000000000000004</v>
      </c>
      <c r="DJ3820">
        <v>4913</v>
      </c>
      <c r="DK3820">
        <v>603920</v>
      </c>
      <c r="DL3820" t="s">
        <v>120</v>
      </c>
      <c r="DM3820" t="s">
        <v>120</v>
      </c>
      <c r="DN3820" t="s">
        <v>120</v>
      </c>
    </row>
    <row r="3821" spans="1:118">
      <c r="A3821" t="str">
        <f>"603922"</f>
        <v>603922</v>
      </c>
      <c r="B3821" t="s">
        <v>15721</v>
      </c>
      <c r="C3821">
        <v>-4.33</v>
      </c>
      <c r="D3821">
        <v>0.06</v>
      </c>
      <c r="E3821">
        <v>-0.06</v>
      </c>
      <c r="F3821">
        <v>124</v>
      </c>
      <c r="G3821" t="s">
        <v>7340</v>
      </c>
      <c r="H3821">
        <v>3137.52</v>
      </c>
      <c r="I3821">
        <v>4.88</v>
      </c>
      <c r="J3821" t="s">
        <v>120</v>
      </c>
      <c r="K3821" t="s">
        <v>9627</v>
      </c>
      <c r="L3821">
        <v>1.5</v>
      </c>
      <c r="M3821">
        <v>16.11</v>
      </c>
      <c r="N3821">
        <v>1.33</v>
      </c>
      <c r="O3821">
        <v>1.1299999999999999</v>
      </c>
      <c r="P3821">
        <v>17.03</v>
      </c>
      <c r="Q3821">
        <v>-5.17</v>
      </c>
      <c r="R3821">
        <v>15.97</v>
      </c>
      <c r="S3821">
        <v>16.829999999999998</v>
      </c>
      <c r="T3821">
        <v>19140</v>
      </c>
      <c r="U3821">
        <v>16.14</v>
      </c>
      <c r="V3821">
        <v>16.84</v>
      </c>
      <c r="W3821" t="s">
        <v>120</v>
      </c>
      <c r="X3821" t="s">
        <v>289</v>
      </c>
      <c r="Y3821" t="s">
        <v>319</v>
      </c>
      <c r="Z3821">
        <v>6.29</v>
      </c>
      <c r="AA3821">
        <v>16.39</v>
      </c>
      <c r="AB3821">
        <v>12714</v>
      </c>
      <c r="AC3821">
        <v>6426</v>
      </c>
      <c r="AD3821">
        <v>1.98</v>
      </c>
      <c r="AE3821">
        <v>149</v>
      </c>
      <c r="AF3821">
        <v>16</v>
      </c>
      <c r="AG3821" t="s">
        <v>120</v>
      </c>
      <c r="AH3821">
        <v>0.01</v>
      </c>
      <c r="AI3821" t="s">
        <v>120</v>
      </c>
      <c r="AJ3821">
        <v>1.28</v>
      </c>
      <c r="AK3821" t="s">
        <v>9627</v>
      </c>
      <c r="AL3821">
        <v>-2.99</v>
      </c>
      <c r="AM3821">
        <v>895</v>
      </c>
      <c r="AN3821">
        <v>21</v>
      </c>
      <c r="AO3821">
        <v>1.6999999999999999E-3</v>
      </c>
      <c r="AP3821">
        <v>-2</v>
      </c>
      <c r="AQ3821">
        <v>-1.64</v>
      </c>
      <c r="AR3821">
        <v>-5.79</v>
      </c>
      <c r="AS3821">
        <v>-7.63</v>
      </c>
      <c r="AT3821">
        <v>6.55</v>
      </c>
      <c r="AU3821">
        <v>17.16</v>
      </c>
      <c r="AV3821">
        <v>0</v>
      </c>
      <c r="AW3821">
        <v>5.39</v>
      </c>
      <c r="AX3821">
        <v>27.76</v>
      </c>
      <c r="AY3821">
        <v>133.09</v>
      </c>
      <c r="AZ3821">
        <v>284.57</v>
      </c>
      <c r="BA3821">
        <v>0.09</v>
      </c>
      <c r="BB3821" t="s">
        <v>134</v>
      </c>
      <c r="BF3821">
        <v>-2.66</v>
      </c>
      <c r="BG3821">
        <v>-4.28</v>
      </c>
      <c r="BH3821">
        <v>-5.4</v>
      </c>
      <c r="BI3821">
        <v>0.88</v>
      </c>
      <c r="BJ3821">
        <v>20210901</v>
      </c>
      <c r="BK3821">
        <v>20171023</v>
      </c>
      <c r="BL3821">
        <v>1.28</v>
      </c>
      <c r="BM3821" t="s">
        <v>120</v>
      </c>
      <c r="BN3821" t="s">
        <v>120</v>
      </c>
      <c r="BO3821">
        <v>11.57</v>
      </c>
      <c r="BP3821">
        <v>16.11</v>
      </c>
      <c r="BQ3821">
        <v>10.3</v>
      </c>
      <c r="BR3821" t="s">
        <v>120</v>
      </c>
      <c r="BS3821">
        <v>10.97</v>
      </c>
      <c r="BT3821">
        <v>7.88</v>
      </c>
      <c r="BU3821">
        <v>2.31</v>
      </c>
      <c r="BV3821">
        <v>0.77</v>
      </c>
      <c r="BW3821">
        <v>1.17</v>
      </c>
      <c r="BX3821">
        <v>2.16</v>
      </c>
      <c r="BY3821">
        <v>2.79</v>
      </c>
      <c r="BZ3821">
        <v>1.62</v>
      </c>
      <c r="CA3821" t="s">
        <v>120</v>
      </c>
      <c r="CB3821">
        <v>7.31</v>
      </c>
      <c r="CC3821">
        <v>2.42</v>
      </c>
      <c r="CD3821">
        <v>2.04</v>
      </c>
      <c r="CE3821">
        <v>-0.05</v>
      </c>
      <c r="CF3821">
        <v>0.01</v>
      </c>
      <c r="CG3821">
        <v>-0.05</v>
      </c>
      <c r="CH3821">
        <v>-0.06</v>
      </c>
      <c r="CI3821">
        <v>-0.06</v>
      </c>
      <c r="CJ3821">
        <v>-0.73</v>
      </c>
      <c r="CK3821">
        <v>-0.1</v>
      </c>
      <c r="CL3821">
        <v>1.37</v>
      </c>
      <c r="CM3821">
        <v>0.52</v>
      </c>
      <c r="CN3821">
        <v>0.3</v>
      </c>
      <c r="CO3821">
        <v>6663</v>
      </c>
      <c r="CP3821">
        <v>5333</v>
      </c>
      <c r="CQ3821" t="s">
        <v>15722</v>
      </c>
      <c r="CR3821">
        <v>57.38</v>
      </c>
      <c r="CS3821">
        <v>30.71</v>
      </c>
      <c r="CT3821">
        <v>2</v>
      </c>
      <c r="CU3821">
        <v>39.770000000000003</v>
      </c>
      <c r="CV3821">
        <v>8.5399999999999991</v>
      </c>
      <c r="CW3821">
        <v>0.12</v>
      </c>
      <c r="CX3821" t="s">
        <v>161</v>
      </c>
      <c r="CY3821">
        <v>8.0500000000000007</v>
      </c>
      <c r="CZ3821">
        <v>0</v>
      </c>
      <c r="DA3821">
        <v>5.71</v>
      </c>
      <c r="DB3821">
        <v>1.07</v>
      </c>
      <c r="DC3821">
        <v>0.41</v>
      </c>
      <c r="DD3821">
        <v>89.03</v>
      </c>
      <c r="DE3821" t="s">
        <v>15723</v>
      </c>
      <c r="DF3821">
        <v>15.39</v>
      </c>
      <c r="DG3821">
        <v>-2.08</v>
      </c>
      <c r="DH3821">
        <v>-2.65</v>
      </c>
      <c r="DI3821">
        <v>0.13</v>
      </c>
      <c r="DJ3821">
        <v>810</v>
      </c>
      <c r="DK3821">
        <v>603922</v>
      </c>
      <c r="DL3821" t="s">
        <v>120</v>
      </c>
      <c r="DM3821" t="s">
        <v>120</v>
      </c>
      <c r="DN3821" t="s">
        <v>120</v>
      </c>
    </row>
    <row r="3822" spans="1:118">
      <c r="A3822" t="str">
        <f>"603926"</f>
        <v>603926</v>
      </c>
      <c r="B3822" t="s">
        <v>15724</v>
      </c>
      <c r="C3822">
        <v>-1.01</v>
      </c>
      <c r="D3822">
        <v>0</v>
      </c>
      <c r="E3822">
        <v>-0.19</v>
      </c>
      <c r="F3822">
        <v>150</v>
      </c>
      <c r="G3822" t="s">
        <v>1244</v>
      </c>
      <c r="H3822">
        <v>3264.85</v>
      </c>
      <c r="I3822">
        <v>5.55</v>
      </c>
      <c r="J3822" t="s">
        <v>120</v>
      </c>
      <c r="K3822" t="s">
        <v>4093</v>
      </c>
      <c r="L3822">
        <v>1.28</v>
      </c>
      <c r="M3822">
        <v>15.73</v>
      </c>
      <c r="N3822">
        <v>0.81</v>
      </c>
      <c r="O3822">
        <v>2.71</v>
      </c>
      <c r="P3822">
        <v>16.32</v>
      </c>
      <c r="Q3822">
        <v>-1.51</v>
      </c>
      <c r="R3822">
        <v>15.65</v>
      </c>
      <c r="S3822">
        <v>15.86</v>
      </c>
      <c r="T3822">
        <v>20465</v>
      </c>
      <c r="U3822">
        <v>15.73</v>
      </c>
      <c r="V3822">
        <v>15.89</v>
      </c>
      <c r="W3822">
        <v>13.13</v>
      </c>
      <c r="X3822" t="s">
        <v>289</v>
      </c>
      <c r="Y3822" t="s">
        <v>585</v>
      </c>
      <c r="Z3822">
        <v>4.22</v>
      </c>
      <c r="AA3822">
        <v>15.95</v>
      </c>
      <c r="AB3822">
        <v>12542</v>
      </c>
      <c r="AC3822">
        <v>7923</v>
      </c>
      <c r="AD3822">
        <v>1.58</v>
      </c>
      <c r="AE3822">
        <v>15</v>
      </c>
      <c r="AF3822">
        <v>37</v>
      </c>
      <c r="AG3822" t="s">
        <v>120</v>
      </c>
      <c r="AH3822">
        <v>0</v>
      </c>
      <c r="AI3822" t="s">
        <v>120</v>
      </c>
      <c r="AJ3822">
        <v>1.6</v>
      </c>
      <c r="AK3822" t="s">
        <v>15725</v>
      </c>
      <c r="AL3822">
        <v>0.34</v>
      </c>
      <c r="AM3822">
        <v>1384</v>
      </c>
      <c r="AN3822">
        <v>15</v>
      </c>
      <c r="AO3822">
        <v>8.9999999999999998E-4</v>
      </c>
      <c r="AP3822">
        <v>-1</v>
      </c>
      <c r="AQ3822">
        <v>1.4</v>
      </c>
      <c r="AR3822">
        <v>-4.2699999999999996</v>
      </c>
      <c r="AS3822">
        <v>6.71</v>
      </c>
      <c r="AT3822">
        <v>-3.5</v>
      </c>
      <c r="AU3822">
        <v>41.58</v>
      </c>
      <c r="AV3822">
        <v>2</v>
      </c>
      <c r="AW3822">
        <v>2.5299999999999998</v>
      </c>
      <c r="AX3822">
        <v>45.85</v>
      </c>
      <c r="AY3822">
        <v>13.52</v>
      </c>
      <c r="AZ3822">
        <v>17.39</v>
      </c>
      <c r="BA3822">
        <v>1.29</v>
      </c>
      <c r="BB3822" t="s">
        <v>143</v>
      </c>
      <c r="BF3822">
        <v>0.4</v>
      </c>
      <c r="BG3822">
        <v>-0.82</v>
      </c>
      <c r="BH3822">
        <v>-3.62</v>
      </c>
      <c r="BI3822">
        <v>0.51</v>
      </c>
      <c r="BJ3822">
        <v>20210824</v>
      </c>
      <c r="BK3822">
        <v>20170510</v>
      </c>
      <c r="BL3822">
        <v>1.77</v>
      </c>
      <c r="BM3822" t="s">
        <v>120</v>
      </c>
      <c r="BN3822" t="s">
        <v>120</v>
      </c>
      <c r="BO3822">
        <v>21.23</v>
      </c>
      <c r="BP3822">
        <v>15.72</v>
      </c>
      <c r="BQ3822">
        <v>13.01</v>
      </c>
      <c r="BR3822">
        <v>0.17</v>
      </c>
      <c r="BS3822">
        <v>37.93</v>
      </c>
      <c r="BT3822">
        <v>11.98</v>
      </c>
      <c r="BU3822">
        <v>6.71</v>
      </c>
      <c r="BV3822">
        <v>1.2</v>
      </c>
      <c r="BW3822">
        <v>5.73</v>
      </c>
      <c r="BX3822">
        <v>3.22</v>
      </c>
      <c r="BY3822">
        <v>3.41</v>
      </c>
      <c r="BZ3822">
        <v>3.35</v>
      </c>
      <c r="CA3822" t="s">
        <v>120</v>
      </c>
      <c r="CB3822">
        <v>4.83</v>
      </c>
      <c r="CC3822">
        <v>9.01</v>
      </c>
      <c r="CD3822">
        <v>6.57</v>
      </c>
      <c r="CE3822">
        <v>1.1499999999999999</v>
      </c>
      <c r="CF3822">
        <v>0</v>
      </c>
      <c r="CG3822">
        <v>1.1599999999999999</v>
      </c>
      <c r="CH3822">
        <v>1.05</v>
      </c>
      <c r="CI3822">
        <v>1.06</v>
      </c>
      <c r="CJ3822">
        <v>-0.16</v>
      </c>
      <c r="CK3822">
        <v>1.01</v>
      </c>
      <c r="CL3822">
        <v>5.77</v>
      </c>
      <c r="CM3822">
        <v>0.2</v>
      </c>
      <c r="CN3822">
        <v>-1.96</v>
      </c>
      <c r="CO3822">
        <v>10409</v>
      </c>
      <c r="CP3822">
        <v>7778</v>
      </c>
      <c r="CQ3822" t="s">
        <v>8806</v>
      </c>
      <c r="CR3822">
        <v>77.34</v>
      </c>
      <c r="CS3822">
        <v>35.49</v>
      </c>
      <c r="CT3822">
        <v>1.94</v>
      </c>
      <c r="CU3822">
        <v>139.07</v>
      </c>
      <c r="CV3822">
        <v>3.08</v>
      </c>
      <c r="CW3822">
        <v>2.86</v>
      </c>
      <c r="CX3822" t="s">
        <v>1469</v>
      </c>
      <c r="CY3822">
        <v>8.1199999999999992</v>
      </c>
      <c r="CZ3822">
        <v>8.1199999999999992</v>
      </c>
      <c r="DA3822">
        <v>2.73</v>
      </c>
      <c r="DB3822">
        <v>3.27</v>
      </c>
      <c r="DC3822">
        <v>0.11</v>
      </c>
      <c r="DD3822">
        <v>61.26</v>
      </c>
      <c r="DE3822" t="s">
        <v>7852</v>
      </c>
      <c r="DF3822">
        <v>27.08</v>
      </c>
      <c r="DG3822">
        <v>12.73</v>
      </c>
      <c r="DH3822">
        <v>11.74</v>
      </c>
      <c r="DI3822">
        <v>0.28000000000000003</v>
      </c>
      <c r="DJ3822">
        <v>1652</v>
      </c>
      <c r="DK3822">
        <v>603926</v>
      </c>
      <c r="DL3822" t="s">
        <v>120</v>
      </c>
      <c r="DM3822" t="s">
        <v>120</v>
      </c>
      <c r="DN3822" t="s">
        <v>120</v>
      </c>
    </row>
    <row r="3823" spans="1:118">
      <c r="A3823" t="str">
        <f>"603927"</f>
        <v>603927</v>
      </c>
      <c r="B3823" t="s">
        <v>15726</v>
      </c>
      <c r="C3823">
        <v>0.08</v>
      </c>
      <c r="D3823">
        <v>0.97</v>
      </c>
      <c r="E3823">
        <v>0.6</v>
      </c>
      <c r="F3823">
        <v>2170</v>
      </c>
      <c r="G3823" t="s">
        <v>15727</v>
      </c>
      <c r="H3823">
        <v>8419.42</v>
      </c>
      <c r="I3823">
        <v>21</v>
      </c>
      <c r="J3823" t="s">
        <v>120</v>
      </c>
      <c r="K3823" t="s">
        <v>15728</v>
      </c>
      <c r="L3823">
        <v>0.74</v>
      </c>
      <c r="M3823">
        <v>24.93</v>
      </c>
      <c r="N3823">
        <v>0.76</v>
      </c>
      <c r="O3823">
        <v>1.08</v>
      </c>
      <c r="P3823">
        <v>25.18</v>
      </c>
      <c r="Q3823">
        <v>-1</v>
      </c>
      <c r="R3823">
        <v>24.66</v>
      </c>
      <c r="S3823">
        <v>25.06</v>
      </c>
      <c r="T3823">
        <v>33847</v>
      </c>
      <c r="U3823">
        <v>24.94</v>
      </c>
      <c r="V3823">
        <v>24.91</v>
      </c>
      <c r="W3823">
        <v>43.31</v>
      </c>
      <c r="X3823" t="s">
        <v>141</v>
      </c>
      <c r="Y3823" t="s">
        <v>158</v>
      </c>
      <c r="Z3823">
        <v>2.09</v>
      </c>
      <c r="AA3823">
        <v>24.87</v>
      </c>
      <c r="AB3823">
        <v>19723</v>
      </c>
      <c r="AC3823">
        <v>14124</v>
      </c>
      <c r="AD3823">
        <v>1.4</v>
      </c>
      <c r="AE3823">
        <v>7861</v>
      </c>
      <c r="AF3823">
        <v>2</v>
      </c>
      <c r="AG3823" t="s">
        <v>120</v>
      </c>
      <c r="AH3823">
        <v>0</v>
      </c>
      <c r="AI3823" t="s">
        <v>120</v>
      </c>
      <c r="AJ3823">
        <v>4.54</v>
      </c>
      <c r="AK3823" t="s">
        <v>6101</v>
      </c>
      <c r="AL3823">
        <v>1.42</v>
      </c>
      <c r="AM3823">
        <v>2377</v>
      </c>
      <c r="AN3823">
        <v>14</v>
      </c>
      <c r="AO3823">
        <v>2.9999999999999997E-4</v>
      </c>
      <c r="AP3823">
        <v>1</v>
      </c>
      <c r="AQ3823">
        <v>-3.04</v>
      </c>
      <c r="AR3823">
        <v>-1.27</v>
      </c>
      <c r="AS3823">
        <v>0.85</v>
      </c>
      <c r="AT3823">
        <v>-17.97</v>
      </c>
      <c r="AU3823">
        <v>-11.73</v>
      </c>
      <c r="AV3823">
        <v>3</v>
      </c>
      <c r="AW3823">
        <v>0.93</v>
      </c>
      <c r="AX3823">
        <v>61.54</v>
      </c>
      <c r="AY3823">
        <v>28.66</v>
      </c>
      <c r="AZ3823">
        <v>31.02</v>
      </c>
      <c r="BA3823">
        <v>0.64</v>
      </c>
      <c r="BB3823" t="s">
        <v>143</v>
      </c>
      <c r="BF3823">
        <v>-0.14000000000000001</v>
      </c>
      <c r="BG3823">
        <v>-0.52</v>
      </c>
      <c r="BH3823">
        <v>-0.99</v>
      </c>
      <c r="BI3823">
        <v>1.0900000000000001</v>
      </c>
      <c r="BJ3823">
        <v>20210827</v>
      </c>
      <c r="BK3823">
        <v>20190909</v>
      </c>
      <c r="BL3823">
        <v>5.94</v>
      </c>
      <c r="BM3823" t="s">
        <v>120</v>
      </c>
      <c r="BN3823" t="s">
        <v>120</v>
      </c>
      <c r="BO3823">
        <v>59.5</v>
      </c>
      <c r="BP3823">
        <v>24.93</v>
      </c>
      <c r="BQ3823">
        <v>24.43</v>
      </c>
      <c r="BR3823" t="s">
        <v>120</v>
      </c>
      <c r="BS3823">
        <v>58.94</v>
      </c>
      <c r="BT3823">
        <v>56.26</v>
      </c>
      <c r="BU3823">
        <v>1.39</v>
      </c>
      <c r="BV3823">
        <v>0.06</v>
      </c>
      <c r="BW3823">
        <v>34.369999999999997</v>
      </c>
      <c r="BX3823">
        <v>20.63</v>
      </c>
      <c r="BY3823">
        <v>5.73</v>
      </c>
      <c r="BZ3823">
        <v>10.15</v>
      </c>
      <c r="CA3823" t="s">
        <v>120</v>
      </c>
      <c r="CB3823">
        <v>5.64</v>
      </c>
      <c r="CC3823">
        <v>26.13</v>
      </c>
      <c r="CD3823">
        <v>18.38</v>
      </c>
      <c r="CE3823">
        <v>1.85</v>
      </c>
      <c r="CF3823">
        <v>0</v>
      </c>
      <c r="CG3823">
        <v>1.87</v>
      </c>
      <c r="CH3823">
        <v>1.71</v>
      </c>
      <c r="CI3823">
        <v>1.71</v>
      </c>
      <c r="CJ3823">
        <v>0.02</v>
      </c>
      <c r="CK3823">
        <v>1.67</v>
      </c>
      <c r="CL3823">
        <v>12.2</v>
      </c>
      <c r="CM3823">
        <v>-12.03</v>
      </c>
      <c r="CN3823">
        <v>-12.71</v>
      </c>
      <c r="CO3823">
        <v>42142</v>
      </c>
      <c r="CP3823">
        <v>8669</v>
      </c>
      <c r="CQ3823" t="s">
        <v>15729</v>
      </c>
      <c r="CR3823">
        <v>29.9</v>
      </c>
      <c r="CS3823">
        <v>10.06</v>
      </c>
      <c r="CT3823">
        <v>6.06</v>
      </c>
      <c r="CU3823">
        <v>-12.3</v>
      </c>
      <c r="CV3823">
        <v>5.66</v>
      </c>
      <c r="CW3823">
        <v>1.58</v>
      </c>
      <c r="CX3823" t="s">
        <v>4326</v>
      </c>
      <c r="CY3823">
        <v>4.12</v>
      </c>
      <c r="CZ3823">
        <v>0</v>
      </c>
      <c r="DA3823">
        <v>0.95</v>
      </c>
      <c r="DB3823">
        <v>2.06</v>
      </c>
      <c r="DC3823">
        <v>-2.0299999999999998</v>
      </c>
      <c r="DD3823">
        <v>41.06</v>
      </c>
      <c r="DE3823" t="s">
        <v>14479</v>
      </c>
      <c r="DF3823">
        <v>29.65</v>
      </c>
      <c r="DG3823">
        <v>7.08</v>
      </c>
      <c r="DH3823">
        <v>6.54</v>
      </c>
      <c r="DI3823">
        <v>3.94</v>
      </c>
      <c r="DJ3823">
        <v>18226</v>
      </c>
      <c r="DK3823">
        <v>603927</v>
      </c>
      <c r="DL3823" t="s">
        <v>120</v>
      </c>
      <c r="DM3823" t="s">
        <v>120</v>
      </c>
      <c r="DN3823" t="s">
        <v>120</v>
      </c>
    </row>
    <row r="3824" spans="1:118">
      <c r="A3824" t="str">
        <f>"603928"</f>
        <v>603928</v>
      </c>
      <c r="B3824" t="s">
        <v>15730</v>
      </c>
      <c r="C3824">
        <v>0.34</v>
      </c>
      <c r="D3824">
        <v>0.25</v>
      </c>
      <c r="E3824">
        <v>-0.17</v>
      </c>
      <c r="F3824">
        <v>234</v>
      </c>
      <c r="G3824" t="s">
        <v>15731</v>
      </c>
      <c r="H3824">
        <v>4034.96</v>
      </c>
      <c r="I3824">
        <v>40.97</v>
      </c>
      <c r="J3824" t="s">
        <v>120</v>
      </c>
      <c r="K3824" t="s">
        <v>4350</v>
      </c>
      <c r="L3824">
        <v>1.67</v>
      </c>
      <c r="M3824">
        <v>11.8</v>
      </c>
      <c r="N3824">
        <v>1.82</v>
      </c>
      <c r="O3824">
        <v>4.25</v>
      </c>
      <c r="P3824">
        <v>12.26</v>
      </c>
      <c r="Q3824">
        <v>-0.26</v>
      </c>
      <c r="R3824">
        <v>11.73</v>
      </c>
      <c r="S3824">
        <v>11.74</v>
      </c>
      <c r="T3824">
        <v>33642</v>
      </c>
      <c r="U3824">
        <v>11.82</v>
      </c>
      <c r="V3824">
        <v>11.76</v>
      </c>
      <c r="W3824">
        <v>21.98</v>
      </c>
      <c r="X3824" t="s">
        <v>868</v>
      </c>
      <c r="Y3824" t="s">
        <v>319</v>
      </c>
      <c r="Z3824">
        <v>4.51</v>
      </c>
      <c r="AA3824">
        <v>11.99</v>
      </c>
      <c r="AB3824">
        <v>16706</v>
      </c>
      <c r="AC3824">
        <v>16936</v>
      </c>
      <c r="AD3824">
        <v>0.99</v>
      </c>
      <c r="AE3824">
        <v>192</v>
      </c>
      <c r="AF3824">
        <v>64</v>
      </c>
      <c r="AG3824" t="s">
        <v>120</v>
      </c>
      <c r="AH3824">
        <v>0.05</v>
      </c>
      <c r="AI3824" t="s">
        <v>120</v>
      </c>
      <c r="AJ3824">
        <v>2.02</v>
      </c>
      <c r="AK3824" t="s">
        <v>4350</v>
      </c>
      <c r="AL3824">
        <v>1.68</v>
      </c>
      <c r="AM3824">
        <v>1712</v>
      </c>
      <c r="AN3824">
        <v>20</v>
      </c>
      <c r="AO3824">
        <v>1E-3</v>
      </c>
      <c r="AP3824">
        <v>2</v>
      </c>
      <c r="AQ3824">
        <v>3.7</v>
      </c>
      <c r="AR3824">
        <v>1.9</v>
      </c>
      <c r="AS3824">
        <v>10.7</v>
      </c>
      <c r="AT3824">
        <v>11.53</v>
      </c>
      <c r="AU3824">
        <v>5.08</v>
      </c>
      <c r="AV3824">
        <v>0</v>
      </c>
      <c r="AW3824">
        <v>5.28</v>
      </c>
      <c r="AX3824">
        <v>31.59</v>
      </c>
      <c r="AY3824">
        <v>23.11</v>
      </c>
      <c r="AZ3824">
        <v>19.79</v>
      </c>
      <c r="BA3824">
        <v>0.68</v>
      </c>
      <c r="BB3824" t="s">
        <v>168</v>
      </c>
      <c r="BF3824">
        <v>1.99</v>
      </c>
      <c r="BG3824">
        <v>0.51</v>
      </c>
      <c r="BH3824">
        <v>-3.75</v>
      </c>
      <c r="BI3824">
        <v>0.6</v>
      </c>
      <c r="BJ3824">
        <v>20210825</v>
      </c>
      <c r="BK3824">
        <v>20161212</v>
      </c>
      <c r="BL3824">
        <v>2.02</v>
      </c>
      <c r="BM3824" t="s">
        <v>120</v>
      </c>
      <c r="BN3824" t="s">
        <v>120</v>
      </c>
      <c r="BO3824">
        <v>17.649999999999999</v>
      </c>
      <c r="BP3824">
        <v>11.8</v>
      </c>
      <c r="BQ3824">
        <v>14.24</v>
      </c>
      <c r="BR3824" t="s">
        <v>120</v>
      </c>
      <c r="BS3824">
        <v>19.309999999999999</v>
      </c>
      <c r="BT3824">
        <v>11.83</v>
      </c>
      <c r="BU3824">
        <v>4.21</v>
      </c>
      <c r="BV3824">
        <v>0.52</v>
      </c>
      <c r="BW3824">
        <v>3.26</v>
      </c>
      <c r="BX3824">
        <v>0.47</v>
      </c>
      <c r="BY3824">
        <v>0.95</v>
      </c>
      <c r="BZ3824">
        <v>6.4</v>
      </c>
      <c r="CA3824" t="s">
        <v>120</v>
      </c>
      <c r="CB3824">
        <v>5.48</v>
      </c>
      <c r="CC3824">
        <v>9.16</v>
      </c>
      <c r="CD3824">
        <v>7.86</v>
      </c>
      <c r="CE3824">
        <v>0.66</v>
      </c>
      <c r="CF3824">
        <v>0.02</v>
      </c>
      <c r="CG3824">
        <v>0.66</v>
      </c>
      <c r="CH3824">
        <v>0.54</v>
      </c>
      <c r="CI3824">
        <v>0.54</v>
      </c>
      <c r="CJ3824">
        <v>0.04</v>
      </c>
      <c r="CK3824">
        <v>0.49</v>
      </c>
      <c r="CL3824">
        <v>5.77</v>
      </c>
      <c r="CM3824">
        <v>0.27</v>
      </c>
      <c r="CN3824">
        <v>0.3</v>
      </c>
      <c r="CO3824">
        <v>11695</v>
      </c>
      <c r="CP3824">
        <v>5445</v>
      </c>
      <c r="CQ3824" t="s">
        <v>5423</v>
      </c>
      <c r="CR3824">
        <v>-24.13</v>
      </c>
      <c r="CS3824">
        <v>41.31</v>
      </c>
      <c r="CT3824">
        <v>1.67</v>
      </c>
      <c r="CU3824">
        <v>86.64</v>
      </c>
      <c r="CV3824">
        <v>2.6</v>
      </c>
      <c r="CW3824">
        <v>1.28</v>
      </c>
      <c r="CX3824" t="s">
        <v>1233</v>
      </c>
      <c r="CY3824">
        <v>7.07</v>
      </c>
      <c r="CZ3824">
        <v>0</v>
      </c>
      <c r="DA3824">
        <v>2.72</v>
      </c>
      <c r="DB3824">
        <v>2.86</v>
      </c>
      <c r="DC3824">
        <v>0.14000000000000001</v>
      </c>
      <c r="DD3824">
        <v>80.69</v>
      </c>
      <c r="DE3824" t="s">
        <v>8945</v>
      </c>
      <c r="DF3824">
        <v>14.14</v>
      </c>
      <c r="DG3824">
        <v>7.2</v>
      </c>
      <c r="DH3824">
        <v>5.91</v>
      </c>
      <c r="DI3824">
        <v>0.31</v>
      </c>
      <c r="DJ3824">
        <v>673</v>
      </c>
      <c r="DK3824">
        <v>603928</v>
      </c>
      <c r="DL3824" t="s">
        <v>120</v>
      </c>
      <c r="DM3824" t="s">
        <v>120</v>
      </c>
      <c r="DN3824" t="s">
        <v>120</v>
      </c>
    </row>
    <row r="3825" spans="1:118">
      <c r="A3825" t="str">
        <f>"603929"</f>
        <v>603929</v>
      </c>
      <c r="B3825" t="s">
        <v>15732</v>
      </c>
      <c r="C3825">
        <v>-1.21</v>
      </c>
      <c r="D3825">
        <v>-0.08</v>
      </c>
      <c r="E3825">
        <v>-0.52</v>
      </c>
      <c r="F3825">
        <v>428</v>
      </c>
      <c r="G3825" t="s">
        <v>6973</v>
      </c>
      <c r="H3825">
        <v>3170.04</v>
      </c>
      <c r="I3825">
        <v>14.76</v>
      </c>
      <c r="J3825" t="s">
        <v>120</v>
      </c>
      <c r="K3825" t="s">
        <v>15733</v>
      </c>
      <c r="L3825">
        <v>1.28</v>
      </c>
      <c r="M3825">
        <v>11.45</v>
      </c>
      <c r="N3825">
        <v>0.6</v>
      </c>
      <c r="O3825">
        <v>2.0699999999999998</v>
      </c>
      <c r="P3825">
        <v>11.83</v>
      </c>
      <c r="Q3825">
        <v>-1.38</v>
      </c>
      <c r="R3825">
        <v>11.43</v>
      </c>
      <c r="S3825">
        <v>11.53</v>
      </c>
      <c r="T3825">
        <v>27205</v>
      </c>
      <c r="U3825">
        <v>11.45</v>
      </c>
      <c r="V3825">
        <v>11.59</v>
      </c>
      <c r="W3825">
        <v>314.94</v>
      </c>
      <c r="X3825" t="s">
        <v>3122</v>
      </c>
      <c r="Y3825" t="s">
        <v>319</v>
      </c>
      <c r="Z3825">
        <v>3.45</v>
      </c>
      <c r="AA3825">
        <v>11.65</v>
      </c>
      <c r="AB3825">
        <v>13089</v>
      </c>
      <c r="AC3825">
        <v>14116</v>
      </c>
      <c r="AD3825">
        <v>0.93</v>
      </c>
      <c r="AE3825">
        <v>16</v>
      </c>
      <c r="AF3825">
        <v>85</v>
      </c>
      <c r="AG3825" t="s">
        <v>120</v>
      </c>
      <c r="AH3825">
        <v>0.02</v>
      </c>
      <c r="AI3825" t="s">
        <v>120</v>
      </c>
      <c r="AJ3825">
        <v>2.13</v>
      </c>
      <c r="AK3825" t="s">
        <v>15733</v>
      </c>
      <c r="AL3825">
        <v>0.14000000000000001</v>
      </c>
      <c r="AM3825">
        <v>1549</v>
      </c>
      <c r="AN3825">
        <v>18</v>
      </c>
      <c r="AO3825">
        <v>8.0000000000000004E-4</v>
      </c>
      <c r="AP3825">
        <v>-1</v>
      </c>
      <c r="AQ3825">
        <v>0.7</v>
      </c>
      <c r="AR3825">
        <v>-2.71</v>
      </c>
      <c r="AS3825">
        <v>1.96</v>
      </c>
      <c r="AT3825">
        <v>3.34</v>
      </c>
      <c r="AU3825">
        <v>1.78</v>
      </c>
      <c r="AV3825">
        <v>8</v>
      </c>
      <c r="AW3825">
        <v>3.72</v>
      </c>
      <c r="AX3825">
        <v>34.24</v>
      </c>
      <c r="AY3825" t="s">
        <v>120</v>
      </c>
      <c r="AZ3825" t="s">
        <v>120</v>
      </c>
      <c r="BA3825">
        <v>0.5</v>
      </c>
      <c r="BB3825" t="s">
        <v>143</v>
      </c>
      <c r="BF3825">
        <v>0.54</v>
      </c>
      <c r="BG3825">
        <v>-0.69</v>
      </c>
      <c r="BH3825">
        <v>-3.21</v>
      </c>
      <c r="BI3825">
        <v>0.17</v>
      </c>
      <c r="BJ3825">
        <v>20210901</v>
      </c>
      <c r="BK3825">
        <v>20161230</v>
      </c>
      <c r="BL3825">
        <v>2.13</v>
      </c>
      <c r="BM3825" t="s">
        <v>120</v>
      </c>
      <c r="BN3825" t="s">
        <v>120</v>
      </c>
      <c r="BO3825">
        <v>20.260000000000002</v>
      </c>
      <c r="BP3825">
        <v>11.44</v>
      </c>
      <c r="BQ3825">
        <v>10.17</v>
      </c>
      <c r="BR3825">
        <v>0.16</v>
      </c>
      <c r="BS3825">
        <v>48.98</v>
      </c>
      <c r="BT3825">
        <v>18.190000000000001</v>
      </c>
      <c r="BU3825">
        <v>0.57999999999999996</v>
      </c>
      <c r="BV3825">
        <v>0.04</v>
      </c>
      <c r="BW3825">
        <v>9.51</v>
      </c>
      <c r="BX3825">
        <v>1.94</v>
      </c>
      <c r="BY3825">
        <v>0.49</v>
      </c>
      <c r="BZ3825">
        <v>3.23</v>
      </c>
      <c r="CA3825" t="s">
        <v>120</v>
      </c>
      <c r="CB3825">
        <v>2.56</v>
      </c>
      <c r="CC3825">
        <v>9.8000000000000007</v>
      </c>
      <c r="CD3825">
        <v>9.01</v>
      </c>
      <c r="CE3825">
        <v>-0.02</v>
      </c>
      <c r="CF3825">
        <v>0.01</v>
      </c>
      <c r="CG3825">
        <v>0.02</v>
      </c>
      <c r="CH3825">
        <v>0.05</v>
      </c>
      <c r="CI3825">
        <v>0.04</v>
      </c>
      <c r="CJ3825">
        <v>-0.14000000000000001</v>
      </c>
      <c r="CK3825">
        <v>0</v>
      </c>
      <c r="CL3825">
        <v>4.6500000000000004</v>
      </c>
      <c r="CM3825">
        <v>-1.96</v>
      </c>
      <c r="CN3825">
        <v>-2.08</v>
      </c>
      <c r="CO3825">
        <v>17652</v>
      </c>
      <c r="CP3825">
        <v>4139</v>
      </c>
      <c r="CQ3825" t="s">
        <v>5861</v>
      </c>
      <c r="CR3825">
        <v>-0.94</v>
      </c>
      <c r="CS3825">
        <v>242.54</v>
      </c>
      <c r="CT3825">
        <v>2.4</v>
      </c>
      <c r="CU3825">
        <v>-12.49</v>
      </c>
      <c r="CV3825">
        <v>2.4900000000000002</v>
      </c>
      <c r="CW3825">
        <v>0.86</v>
      </c>
      <c r="CX3825" t="s">
        <v>1819</v>
      </c>
      <c r="CY3825">
        <v>4.7699999999999996</v>
      </c>
      <c r="CZ3825">
        <v>0</v>
      </c>
      <c r="DA3825">
        <v>1.2</v>
      </c>
      <c r="DB3825">
        <v>2.1800000000000002</v>
      </c>
      <c r="DC3825">
        <v>-0.92</v>
      </c>
      <c r="DD3825">
        <v>50.21</v>
      </c>
      <c r="DE3825" t="s">
        <v>4357</v>
      </c>
      <c r="DF3825">
        <v>8.09</v>
      </c>
      <c r="DG3825">
        <v>-0.17</v>
      </c>
      <c r="DH3825">
        <v>0.4</v>
      </c>
      <c r="DI3825">
        <v>0.16</v>
      </c>
      <c r="DJ3825">
        <v>535</v>
      </c>
      <c r="DK3825">
        <v>603929</v>
      </c>
      <c r="DL3825">
        <v>20210902</v>
      </c>
      <c r="DM3825">
        <v>12.32</v>
      </c>
      <c r="DN3825">
        <v>-7.06</v>
      </c>
    </row>
    <row r="3826" spans="1:118">
      <c r="A3826" t="str">
        <f>"603931"</f>
        <v>603931</v>
      </c>
      <c r="B3826" t="s">
        <v>15734</v>
      </c>
      <c r="C3826">
        <v>-2.17</v>
      </c>
      <c r="D3826">
        <v>0</v>
      </c>
      <c r="E3826">
        <v>-0.03</v>
      </c>
      <c r="F3826">
        <v>76</v>
      </c>
      <c r="G3826" t="s">
        <v>1684</v>
      </c>
      <c r="H3826">
        <v>3550.84</v>
      </c>
      <c r="I3826">
        <v>25.56</v>
      </c>
      <c r="J3826" t="s">
        <v>120</v>
      </c>
      <c r="K3826" t="s">
        <v>1403</v>
      </c>
      <c r="L3826">
        <v>1.31</v>
      </c>
      <c r="M3826">
        <v>32.479999999999997</v>
      </c>
      <c r="N3826">
        <v>0.57999999999999996</v>
      </c>
      <c r="O3826">
        <v>0.99</v>
      </c>
      <c r="P3826">
        <v>33.53</v>
      </c>
      <c r="Q3826">
        <v>-2.2599999999999998</v>
      </c>
      <c r="R3826">
        <v>32.450000000000003</v>
      </c>
      <c r="S3826">
        <v>33.19</v>
      </c>
      <c r="T3826">
        <v>10777</v>
      </c>
      <c r="U3826">
        <v>32.479999999999997</v>
      </c>
      <c r="V3826">
        <v>33.200000000000003</v>
      </c>
      <c r="W3826">
        <v>36.99</v>
      </c>
      <c r="X3826" t="s">
        <v>868</v>
      </c>
      <c r="Y3826" t="s">
        <v>585</v>
      </c>
      <c r="Z3826">
        <v>3.25</v>
      </c>
      <c r="AA3826">
        <v>32.950000000000003</v>
      </c>
      <c r="AB3826">
        <v>6893</v>
      </c>
      <c r="AC3826">
        <v>3884</v>
      </c>
      <c r="AD3826">
        <v>1.77</v>
      </c>
      <c r="AE3826">
        <v>8</v>
      </c>
      <c r="AF3826">
        <v>18</v>
      </c>
      <c r="AG3826" t="s">
        <v>120</v>
      </c>
      <c r="AH3826">
        <v>0.02</v>
      </c>
      <c r="AI3826" t="s">
        <v>120</v>
      </c>
      <c r="AJ3826">
        <v>0.83</v>
      </c>
      <c r="AK3826" t="s">
        <v>2419</v>
      </c>
      <c r="AL3826">
        <v>-0.82</v>
      </c>
      <c r="AM3826">
        <v>1364</v>
      </c>
      <c r="AN3826">
        <v>8</v>
      </c>
      <c r="AO3826">
        <v>1E-3</v>
      </c>
      <c r="AP3826">
        <v>-1</v>
      </c>
      <c r="AQ3826">
        <v>0.48</v>
      </c>
      <c r="AR3826">
        <v>-4.2</v>
      </c>
      <c r="AS3826">
        <v>-5.69</v>
      </c>
      <c r="AT3826">
        <v>2.88</v>
      </c>
      <c r="AU3826">
        <v>12.39</v>
      </c>
      <c r="AV3826">
        <v>6</v>
      </c>
      <c r="AW3826">
        <v>2.4500000000000002</v>
      </c>
      <c r="AX3826">
        <v>30.9</v>
      </c>
      <c r="AY3826">
        <v>42.38</v>
      </c>
      <c r="AZ3826">
        <v>46.93</v>
      </c>
      <c r="BA3826">
        <v>0.09</v>
      </c>
      <c r="BB3826" t="s">
        <v>143</v>
      </c>
      <c r="BF3826">
        <v>-0.76</v>
      </c>
      <c r="BG3826">
        <v>-2.14</v>
      </c>
      <c r="BH3826">
        <v>-3.13</v>
      </c>
      <c r="BI3826">
        <v>0.09</v>
      </c>
      <c r="BJ3826">
        <v>20210820</v>
      </c>
      <c r="BK3826">
        <v>20200819</v>
      </c>
      <c r="BL3826">
        <v>1.43</v>
      </c>
      <c r="BM3826" t="s">
        <v>120</v>
      </c>
      <c r="BN3826" t="s">
        <v>120</v>
      </c>
      <c r="BO3826">
        <v>12.53</v>
      </c>
      <c r="BP3826">
        <v>32.46</v>
      </c>
      <c r="BQ3826">
        <v>11.39</v>
      </c>
      <c r="BR3826" t="s">
        <v>120</v>
      </c>
      <c r="BS3826">
        <v>9.08</v>
      </c>
      <c r="BT3826">
        <v>9.1999999999999993</v>
      </c>
      <c r="BU3826">
        <v>1.81</v>
      </c>
      <c r="BV3826">
        <v>0.75</v>
      </c>
      <c r="BW3826">
        <v>1.07</v>
      </c>
      <c r="BX3826">
        <v>5.41</v>
      </c>
      <c r="BY3826">
        <v>0.47</v>
      </c>
      <c r="BZ3826">
        <v>1.74</v>
      </c>
      <c r="CA3826" t="s">
        <v>120</v>
      </c>
      <c r="CB3826">
        <v>6.72</v>
      </c>
      <c r="CC3826">
        <v>3.33</v>
      </c>
      <c r="CD3826">
        <v>2.42</v>
      </c>
      <c r="CE3826">
        <v>0.72</v>
      </c>
      <c r="CF3826">
        <v>-0.01</v>
      </c>
      <c r="CG3826">
        <v>0.72</v>
      </c>
      <c r="CH3826">
        <v>0.63</v>
      </c>
      <c r="CI3826">
        <v>0.63</v>
      </c>
      <c r="CJ3826">
        <v>-0.72</v>
      </c>
      <c r="CK3826">
        <v>0.56000000000000005</v>
      </c>
      <c r="CL3826">
        <v>2.5</v>
      </c>
      <c r="CM3826">
        <v>0.37</v>
      </c>
      <c r="CN3826">
        <v>-1.57</v>
      </c>
      <c r="CO3826">
        <v>16790</v>
      </c>
      <c r="CP3826">
        <v>2623</v>
      </c>
      <c r="CQ3826" t="s">
        <v>836</v>
      </c>
      <c r="CR3826">
        <v>20.92</v>
      </c>
      <c r="CS3826">
        <v>25.96</v>
      </c>
      <c r="CT3826">
        <v>4.0599999999999996</v>
      </c>
      <c r="CU3826">
        <v>125.17</v>
      </c>
      <c r="CV3826">
        <v>13.92</v>
      </c>
      <c r="CW3826">
        <v>0.65</v>
      </c>
      <c r="CX3826" t="s">
        <v>194</v>
      </c>
      <c r="CY3826">
        <v>7.99</v>
      </c>
      <c r="CZ3826">
        <v>0</v>
      </c>
      <c r="DA3826">
        <v>4.72</v>
      </c>
      <c r="DB3826">
        <v>1.76</v>
      </c>
      <c r="DC3826">
        <v>0.26</v>
      </c>
      <c r="DD3826">
        <v>90.92</v>
      </c>
      <c r="DE3826" t="s">
        <v>4988</v>
      </c>
      <c r="DF3826">
        <v>27.22</v>
      </c>
      <c r="DG3826">
        <v>21.64</v>
      </c>
      <c r="DH3826">
        <v>18.809999999999999</v>
      </c>
      <c r="DI3826">
        <v>0.09</v>
      </c>
      <c r="DJ3826">
        <v>192</v>
      </c>
      <c r="DK3826">
        <v>603931</v>
      </c>
      <c r="DL3826" t="s">
        <v>120</v>
      </c>
      <c r="DM3826" t="s">
        <v>120</v>
      </c>
      <c r="DN3826" t="s">
        <v>120</v>
      </c>
    </row>
    <row r="3827" spans="1:118">
      <c r="A3827" t="str">
        <f>"603933"</f>
        <v>603933</v>
      </c>
      <c r="B3827" t="s">
        <v>15735</v>
      </c>
      <c r="C3827">
        <v>-4.58</v>
      </c>
      <c r="D3827">
        <v>-0.28000000000000003</v>
      </c>
      <c r="E3827">
        <v>-0.21</v>
      </c>
      <c r="F3827">
        <v>496</v>
      </c>
      <c r="G3827" t="s">
        <v>10775</v>
      </c>
      <c r="H3827">
        <v>5261.82</v>
      </c>
      <c r="I3827">
        <v>9.49</v>
      </c>
      <c r="J3827" t="s">
        <v>120</v>
      </c>
      <c r="K3827" t="s">
        <v>15736</v>
      </c>
      <c r="L3827">
        <v>1.83</v>
      </c>
      <c r="M3827">
        <v>13.96</v>
      </c>
      <c r="N3827">
        <v>0.72</v>
      </c>
      <c r="O3827">
        <v>0.34</v>
      </c>
      <c r="P3827">
        <v>14.68</v>
      </c>
      <c r="Q3827">
        <v>-4.72</v>
      </c>
      <c r="R3827">
        <v>13.94</v>
      </c>
      <c r="S3827">
        <v>14.6</v>
      </c>
      <c r="T3827">
        <v>36876</v>
      </c>
      <c r="U3827">
        <v>13.96</v>
      </c>
      <c r="V3827">
        <v>14.63</v>
      </c>
      <c r="W3827">
        <v>23.43</v>
      </c>
      <c r="X3827" t="s">
        <v>3820</v>
      </c>
      <c r="Y3827" t="s">
        <v>937</v>
      </c>
      <c r="Z3827">
        <v>5.0599999999999996</v>
      </c>
      <c r="AA3827">
        <v>14.27</v>
      </c>
      <c r="AB3827">
        <v>21759</v>
      </c>
      <c r="AC3827">
        <v>15117</v>
      </c>
      <c r="AD3827">
        <v>1.44</v>
      </c>
      <c r="AE3827">
        <v>79</v>
      </c>
      <c r="AF3827">
        <v>109</v>
      </c>
      <c r="AG3827" t="s">
        <v>120</v>
      </c>
      <c r="AH3827">
        <v>0.01</v>
      </c>
      <c r="AI3827" t="s">
        <v>120</v>
      </c>
      <c r="AJ3827">
        <v>2.0099999999999998</v>
      </c>
      <c r="AK3827" t="s">
        <v>15736</v>
      </c>
      <c r="AL3827">
        <v>-3.24</v>
      </c>
      <c r="AM3827">
        <v>2310</v>
      </c>
      <c r="AN3827">
        <v>16</v>
      </c>
      <c r="AO3827">
        <v>8.0000000000000004E-4</v>
      </c>
      <c r="AP3827">
        <v>-1</v>
      </c>
      <c r="AQ3827">
        <v>2.31</v>
      </c>
      <c r="AR3827">
        <v>-5.73</v>
      </c>
      <c r="AS3827">
        <v>1.6</v>
      </c>
      <c r="AT3827">
        <v>-2.99</v>
      </c>
      <c r="AU3827">
        <v>26.22</v>
      </c>
      <c r="AV3827">
        <v>10</v>
      </c>
      <c r="AW3827">
        <v>7.33</v>
      </c>
      <c r="AX3827">
        <v>25</v>
      </c>
      <c r="AY3827">
        <v>41.55</v>
      </c>
      <c r="AZ3827">
        <v>116.97</v>
      </c>
      <c r="BA3827">
        <v>0.61</v>
      </c>
      <c r="BB3827" t="s">
        <v>143</v>
      </c>
      <c r="BF3827">
        <v>-2.4700000000000002</v>
      </c>
      <c r="BG3827">
        <v>-4.38</v>
      </c>
      <c r="BH3827">
        <v>-4.9000000000000004</v>
      </c>
      <c r="BI3827">
        <v>0.14000000000000001</v>
      </c>
      <c r="BJ3827">
        <v>20210826</v>
      </c>
      <c r="BK3827">
        <v>20170706</v>
      </c>
      <c r="BL3827">
        <v>2.0099999999999998</v>
      </c>
      <c r="BM3827" t="s">
        <v>120</v>
      </c>
      <c r="BN3827" t="s">
        <v>120</v>
      </c>
      <c r="BO3827">
        <v>17.920000000000002</v>
      </c>
      <c r="BP3827">
        <v>13.95</v>
      </c>
      <c r="BQ3827">
        <v>10.77</v>
      </c>
      <c r="BR3827">
        <v>0.22</v>
      </c>
      <c r="BS3827">
        <v>38.659999999999997</v>
      </c>
      <c r="BT3827">
        <v>14.29</v>
      </c>
      <c r="BU3827">
        <v>0.79</v>
      </c>
      <c r="BV3827">
        <v>0.53</v>
      </c>
      <c r="BW3827">
        <v>5.85</v>
      </c>
      <c r="BX3827">
        <v>1.34</v>
      </c>
      <c r="BY3827">
        <v>3.78</v>
      </c>
      <c r="BZ3827">
        <v>4.71</v>
      </c>
      <c r="CA3827" t="s">
        <v>120</v>
      </c>
      <c r="CB3827">
        <v>3.98</v>
      </c>
      <c r="CC3827">
        <v>10.57</v>
      </c>
      <c r="CD3827">
        <v>8.61</v>
      </c>
      <c r="CE3827">
        <v>0.74</v>
      </c>
      <c r="CF3827">
        <v>0.06</v>
      </c>
      <c r="CG3827">
        <v>0.72</v>
      </c>
      <c r="CH3827">
        <v>0.56000000000000005</v>
      </c>
      <c r="CI3827">
        <v>0.6</v>
      </c>
      <c r="CJ3827">
        <v>-0.67</v>
      </c>
      <c r="CK3827">
        <v>0.56000000000000005</v>
      </c>
      <c r="CL3827">
        <v>4.46</v>
      </c>
      <c r="CM3827">
        <v>0.62</v>
      </c>
      <c r="CN3827">
        <v>0</v>
      </c>
      <c r="CO3827">
        <v>18645</v>
      </c>
      <c r="CP3827">
        <v>2698</v>
      </c>
      <c r="CQ3827" t="s">
        <v>7338</v>
      </c>
      <c r="CR3827">
        <v>320.66000000000003</v>
      </c>
      <c r="CS3827">
        <v>57.28</v>
      </c>
      <c r="CT3827">
        <v>2.61</v>
      </c>
      <c r="CU3827">
        <v>45.33</v>
      </c>
      <c r="CV3827">
        <v>2.66</v>
      </c>
      <c r="CW3827">
        <v>0.34</v>
      </c>
      <c r="CX3827" t="s">
        <v>15737</v>
      </c>
      <c r="CY3827">
        <v>5.35</v>
      </c>
      <c r="CZ3827">
        <v>0</v>
      </c>
      <c r="DA3827">
        <v>1.98</v>
      </c>
      <c r="DB3827">
        <v>2.21</v>
      </c>
      <c r="DC3827">
        <v>0.31</v>
      </c>
      <c r="DD3827">
        <v>60.1</v>
      </c>
      <c r="DE3827" t="s">
        <v>5126</v>
      </c>
      <c r="DF3827">
        <v>18.559999999999999</v>
      </c>
      <c r="DG3827">
        <v>6.96</v>
      </c>
      <c r="DH3827">
        <v>5.67</v>
      </c>
      <c r="DI3827">
        <v>0.33</v>
      </c>
      <c r="DJ3827">
        <v>646</v>
      </c>
      <c r="DK3827">
        <v>603933</v>
      </c>
      <c r="DL3827" t="s">
        <v>120</v>
      </c>
      <c r="DM3827" t="s">
        <v>120</v>
      </c>
      <c r="DN3827" t="s">
        <v>120</v>
      </c>
    </row>
    <row r="3828" spans="1:118">
      <c r="A3828" t="str">
        <f>"603936"</f>
        <v>603936</v>
      </c>
      <c r="B3828" t="s">
        <v>15738</v>
      </c>
      <c r="C3828">
        <v>-3.99</v>
      </c>
      <c r="D3828">
        <v>-0.06</v>
      </c>
      <c r="E3828">
        <v>-7.0000000000000007E-2</v>
      </c>
      <c r="F3828">
        <v>2555</v>
      </c>
      <c r="G3828" t="s">
        <v>6199</v>
      </c>
      <c r="H3828">
        <v>22105.1</v>
      </c>
      <c r="I3828">
        <v>80</v>
      </c>
      <c r="J3828" t="s">
        <v>120</v>
      </c>
      <c r="K3828" t="s">
        <v>15739</v>
      </c>
      <c r="L3828">
        <v>3.14</v>
      </c>
      <c r="M3828">
        <v>13.46</v>
      </c>
      <c r="N3828">
        <v>0.86</v>
      </c>
      <c r="O3828">
        <v>2.78</v>
      </c>
      <c r="P3828">
        <v>14.41</v>
      </c>
      <c r="Q3828">
        <v>-3.99</v>
      </c>
      <c r="R3828">
        <v>13.46</v>
      </c>
      <c r="S3828">
        <v>14.01</v>
      </c>
      <c r="T3828">
        <v>158644</v>
      </c>
      <c r="U3828">
        <v>13.47</v>
      </c>
      <c r="V3828">
        <v>14.02</v>
      </c>
      <c r="W3828">
        <v>22.51</v>
      </c>
      <c r="X3828" t="s">
        <v>229</v>
      </c>
      <c r="Y3828" t="s">
        <v>547</v>
      </c>
      <c r="Z3828">
        <v>6.78</v>
      </c>
      <c r="AA3828">
        <v>13.93</v>
      </c>
      <c r="AB3828">
        <v>84091</v>
      </c>
      <c r="AC3828">
        <v>74553</v>
      </c>
      <c r="AD3828">
        <v>1.1299999999999999</v>
      </c>
      <c r="AE3828">
        <v>702</v>
      </c>
      <c r="AF3828">
        <v>49</v>
      </c>
      <c r="AG3828" t="s">
        <v>120</v>
      </c>
      <c r="AH3828">
        <v>0.02</v>
      </c>
      <c r="AI3828" t="s">
        <v>120</v>
      </c>
      <c r="AJ3828">
        <v>5.05</v>
      </c>
      <c r="AK3828" t="s">
        <v>15740</v>
      </c>
      <c r="AL3828">
        <v>-2.65</v>
      </c>
      <c r="AM3828">
        <v>3169</v>
      </c>
      <c r="AN3828">
        <v>50</v>
      </c>
      <c r="AO3828">
        <v>1E-3</v>
      </c>
      <c r="AP3828">
        <v>-1</v>
      </c>
      <c r="AQ3828">
        <v>3.09</v>
      </c>
      <c r="AR3828">
        <v>-4.9400000000000004</v>
      </c>
      <c r="AS3828">
        <v>1.66</v>
      </c>
      <c r="AT3828">
        <v>16.14</v>
      </c>
      <c r="AU3828">
        <v>7.68</v>
      </c>
      <c r="AV3828">
        <v>3</v>
      </c>
      <c r="AW3828">
        <v>4.7699999999999996</v>
      </c>
      <c r="AX3828">
        <v>65.03</v>
      </c>
      <c r="AY3828">
        <v>26.11</v>
      </c>
      <c r="AZ3828">
        <v>29.04</v>
      </c>
      <c r="BA3828">
        <v>0.52</v>
      </c>
      <c r="BB3828" t="s">
        <v>143</v>
      </c>
      <c r="BF3828">
        <v>-0.62</v>
      </c>
      <c r="BG3828">
        <v>-3.93</v>
      </c>
      <c r="BH3828">
        <v>-6.59</v>
      </c>
      <c r="BI3828">
        <v>0</v>
      </c>
      <c r="BJ3828">
        <v>20210810</v>
      </c>
      <c r="BK3828">
        <v>20151209</v>
      </c>
      <c r="BL3828">
        <v>5.1100000000000003</v>
      </c>
      <c r="BM3828" t="s">
        <v>120</v>
      </c>
      <c r="BN3828" t="s">
        <v>120</v>
      </c>
      <c r="BO3828">
        <v>60.99</v>
      </c>
      <c r="BP3828">
        <v>13.46</v>
      </c>
      <c r="BQ3828">
        <v>35.39</v>
      </c>
      <c r="BR3828">
        <v>0.1</v>
      </c>
      <c r="BS3828">
        <v>41.81</v>
      </c>
      <c r="BT3828">
        <v>26.92</v>
      </c>
      <c r="BU3828">
        <v>14.56</v>
      </c>
      <c r="BV3828">
        <v>0.98</v>
      </c>
      <c r="BW3828">
        <v>21.67</v>
      </c>
      <c r="BX3828">
        <v>4.5199999999999996</v>
      </c>
      <c r="BY3828">
        <v>6.32</v>
      </c>
      <c r="BZ3828">
        <v>10.5</v>
      </c>
      <c r="CA3828" t="s">
        <v>120</v>
      </c>
      <c r="CB3828">
        <v>20.079999999999998</v>
      </c>
      <c r="CC3828">
        <v>16.46</v>
      </c>
      <c r="CD3828">
        <v>13.08</v>
      </c>
      <c r="CE3828">
        <v>1.7</v>
      </c>
      <c r="CF3828">
        <v>0.02</v>
      </c>
      <c r="CG3828">
        <v>1.71</v>
      </c>
      <c r="CH3828">
        <v>1.53</v>
      </c>
      <c r="CI3828">
        <v>1.53</v>
      </c>
      <c r="CJ3828">
        <v>-0.56000000000000005</v>
      </c>
      <c r="CK3828">
        <v>1.41</v>
      </c>
      <c r="CL3828">
        <v>10.5</v>
      </c>
      <c r="CM3828">
        <v>0.72</v>
      </c>
      <c r="CN3828">
        <v>-0.74</v>
      </c>
      <c r="CO3828">
        <v>35418</v>
      </c>
      <c r="CP3828">
        <v>9383</v>
      </c>
      <c r="CQ3828" t="s">
        <v>15741</v>
      </c>
      <c r="CR3828">
        <v>22.12</v>
      </c>
      <c r="CS3828">
        <v>26.32</v>
      </c>
      <c r="CT3828">
        <v>1.94</v>
      </c>
      <c r="CU3828">
        <v>95.51</v>
      </c>
      <c r="CV3828">
        <v>4.18</v>
      </c>
      <c r="CW3828">
        <v>0.42</v>
      </c>
      <c r="CX3828" t="s">
        <v>1340</v>
      </c>
      <c r="CY3828">
        <v>6.93</v>
      </c>
      <c r="CZ3828">
        <v>0</v>
      </c>
      <c r="DA3828">
        <v>3.93</v>
      </c>
      <c r="DB3828">
        <v>2.0499999999999998</v>
      </c>
      <c r="DC3828">
        <v>0.14000000000000001</v>
      </c>
      <c r="DD3828">
        <v>58.03</v>
      </c>
      <c r="DE3828" t="s">
        <v>2237</v>
      </c>
      <c r="DF3828">
        <v>20.55</v>
      </c>
      <c r="DG3828">
        <v>10.34</v>
      </c>
      <c r="DH3828">
        <v>9.2799999999999994</v>
      </c>
      <c r="DI3828">
        <v>0.65</v>
      </c>
      <c r="DJ3828">
        <v>4160</v>
      </c>
      <c r="DK3828">
        <v>603936</v>
      </c>
      <c r="DL3828" t="s">
        <v>120</v>
      </c>
      <c r="DM3828" t="s">
        <v>120</v>
      </c>
      <c r="DN3828" t="s">
        <v>120</v>
      </c>
    </row>
    <row r="3829" spans="1:118">
      <c r="A3829" t="str">
        <f>"603937"</f>
        <v>603937</v>
      </c>
      <c r="B3829" t="s">
        <v>15742</v>
      </c>
      <c r="C3829">
        <v>-1.07</v>
      </c>
      <c r="D3829">
        <v>0</v>
      </c>
      <c r="E3829">
        <v>-0.36</v>
      </c>
      <c r="F3829">
        <v>239</v>
      </c>
      <c r="G3829" t="s">
        <v>6154</v>
      </c>
      <c r="H3829">
        <v>4596.07</v>
      </c>
      <c r="I3829">
        <v>2.0099999999999998</v>
      </c>
      <c r="J3829" t="s">
        <v>120</v>
      </c>
      <c r="K3829" t="s">
        <v>15743</v>
      </c>
      <c r="L3829">
        <v>1.95</v>
      </c>
      <c r="M3829">
        <v>11.11</v>
      </c>
      <c r="N3829">
        <v>0.89</v>
      </c>
      <c r="O3829">
        <v>2.4</v>
      </c>
      <c r="P3829">
        <v>11.5</v>
      </c>
      <c r="Q3829">
        <v>-1.34</v>
      </c>
      <c r="R3829">
        <v>11.08</v>
      </c>
      <c r="S3829">
        <v>11.19</v>
      </c>
      <c r="T3829">
        <v>40791</v>
      </c>
      <c r="U3829">
        <v>11.12</v>
      </c>
      <c r="V3829">
        <v>11.23</v>
      </c>
      <c r="W3829">
        <v>18.64</v>
      </c>
      <c r="X3829" t="s">
        <v>1325</v>
      </c>
      <c r="Y3829" t="s">
        <v>319</v>
      </c>
      <c r="Z3829">
        <v>3.74</v>
      </c>
      <c r="AA3829">
        <v>11.27</v>
      </c>
      <c r="AB3829">
        <v>19615</v>
      </c>
      <c r="AC3829">
        <v>21176</v>
      </c>
      <c r="AD3829">
        <v>0.93</v>
      </c>
      <c r="AE3829">
        <v>137</v>
      </c>
      <c r="AF3829">
        <v>137</v>
      </c>
      <c r="AG3829" t="s">
        <v>120</v>
      </c>
      <c r="AH3829">
        <v>0</v>
      </c>
      <c r="AI3829" t="s">
        <v>120</v>
      </c>
      <c r="AJ3829">
        <v>2.09</v>
      </c>
      <c r="AK3829" t="s">
        <v>15743</v>
      </c>
      <c r="AL3829">
        <v>0.28000000000000003</v>
      </c>
      <c r="AM3829">
        <v>1740</v>
      </c>
      <c r="AN3829">
        <v>23</v>
      </c>
      <c r="AO3829">
        <v>1.1000000000000001E-3</v>
      </c>
      <c r="AP3829">
        <v>-1</v>
      </c>
      <c r="AQ3829">
        <v>0.99</v>
      </c>
      <c r="AR3829">
        <v>-3.48</v>
      </c>
      <c r="AS3829">
        <v>-3.06</v>
      </c>
      <c r="AT3829">
        <v>-7.49</v>
      </c>
      <c r="AU3829">
        <v>17.940000000000001</v>
      </c>
      <c r="AV3829">
        <v>4</v>
      </c>
      <c r="AW3829">
        <v>5.29</v>
      </c>
      <c r="AX3829">
        <v>36.93</v>
      </c>
      <c r="AY3829">
        <v>17.07</v>
      </c>
      <c r="AZ3829">
        <v>20.440000000000001</v>
      </c>
      <c r="BA3829">
        <v>0.87</v>
      </c>
      <c r="BB3829" t="s">
        <v>751</v>
      </c>
      <c r="BF3829">
        <v>0.33</v>
      </c>
      <c r="BG3829">
        <v>-0.71</v>
      </c>
      <c r="BH3829">
        <v>-3.39</v>
      </c>
      <c r="BI3829">
        <v>0.27</v>
      </c>
      <c r="BJ3829">
        <v>20210914</v>
      </c>
      <c r="BK3829">
        <v>20171102</v>
      </c>
      <c r="BL3829">
        <v>2.09</v>
      </c>
      <c r="BM3829" t="s">
        <v>120</v>
      </c>
      <c r="BN3829" t="s">
        <v>120</v>
      </c>
      <c r="BO3829">
        <v>18.39</v>
      </c>
      <c r="BP3829">
        <v>11.11</v>
      </c>
      <c r="BQ3829">
        <v>14.55</v>
      </c>
      <c r="BR3829" t="s">
        <v>120</v>
      </c>
      <c r="BS3829">
        <v>20.87</v>
      </c>
      <c r="BT3829">
        <v>14.85</v>
      </c>
      <c r="BU3829">
        <v>2.17</v>
      </c>
      <c r="BV3829">
        <v>0.74</v>
      </c>
      <c r="BW3829">
        <v>3.83</v>
      </c>
      <c r="BX3829">
        <v>4.62</v>
      </c>
      <c r="BY3829">
        <v>3.6</v>
      </c>
      <c r="BZ3829">
        <v>2.4300000000000002</v>
      </c>
      <c r="CA3829" t="s">
        <v>120</v>
      </c>
      <c r="CB3829">
        <v>5.52</v>
      </c>
      <c r="CC3829">
        <v>8.69</v>
      </c>
      <c r="CD3829">
        <v>7.49</v>
      </c>
      <c r="CE3829">
        <v>0.82</v>
      </c>
      <c r="CF3829">
        <v>0.01</v>
      </c>
      <c r="CG3829">
        <v>0.82</v>
      </c>
      <c r="CH3829">
        <v>0.62</v>
      </c>
      <c r="CI3829">
        <v>0.62</v>
      </c>
      <c r="CJ3829">
        <v>-0.12</v>
      </c>
      <c r="CK3829">
        <v>0.61</v>
      </c>
      <c r="CL3829">
        <v>6.22</v>
      </c>
      <c r="CM3829">
        <v>-0.21</v>
      </c>
      <c r="CN3829">
        <v>-0.01</v>
      </c>
      <c r="CO3829">
        <v>17872</v>
      </c>
      <c r="CP3829">
        <v>4317</v>
      </c>
      <c r="CQ3829" t="s">
        <v>11906</v>
      </c>
      <c r="CR3829">
        <v>57.04</v>
      </c>
      <c r="CS3829">
        <v>63.51</v>
      </c>
      <c r="CT3829">
        <v>1.59</v>
      </c>
      <c r="CU3829">
        <v>-107.99</v>
      </c>
      <c r="CV3829">
        <v>2.67</v>
      </c>
      <c r="CW3829">
        <v>4.45</v>
      </c>
      <c r="CX3829" t="s">
        <v>1340</v>
      </c>
      <c r="CY3829">
        <v>6.97</v>
      </c>
      <c r="CZ3829">
        <v>0</v>
      </c>
      <c r="DA3829">
        <v>2.64</v>
      </c>
      <c r="DB3829">
        <v>2.98</v>
      </c>
      <c r="DC3829">
        <v>-0.1</v>
      </c>
      <c r="DD3829">
        <v>79.13</v>
      </c>
      <c r="DE3829" t="s">
        <v>5343</v>
      </c>
      <c r="DF3829">
        <v>13.73</v>
      </c>
      <c r="DG3829">
        <v>9.48</v>
      </c>
      <c r="DH3829">
        <v>7.17</v>
      </c>
      <c r="DI3829">
        <v>0.11</v>
      </c>
      <c r="DJ3829">
        <v>382</v>
      </c>
      <c r="DK3829">
        <v>603937</v>
      </c>
      <c r="DL3829" t="s">
        <v>120</v>
      </c>
      <c r="DM3829" t="s">
        <v>120</v>
      </c>
      <c r="DN3829" t="s">
        <v>120</v>
      </c>
    </row>
    <row r="3830" spans="1:118">
      <c r="A3830" t="str">
        <f>"603938"</f>
        <v>603938</v>
      </c>
      <c r="B3830" t="s">
        <v>15744</v>
      </c>
      <c r="C3830">
        <v>-5.5</v>
      </c>
      <c r="D3830">
        <v>-0.02</v>
      </c>
      <c r="E3830">
        <v>0.16</v>
      </c>
      <c r="F3830">
        <v>451</v>
      </c>
      <c r="G3830" t="s">
        <v>15745</v>
      </c>
      <c r="H3830">
        <v>44966.93</v>
      </c>
      <c r="I3830">
        <v>248.03</v>
      </c>
      <c r="J3830" t="s">
        <v>120</v>
      </c>
      <c r="K3830" t="s">
        <v>15746</v>
      </c>
      <c r="L3830">
        <v>3.8</v>
      </c>
      <c r="M3830">
        <v>58.8</v>
      </c>
      <c r="N3830">
        <v>0.86</v>
      </c>
      <c r="O3830">
        <v>2.31</v>
      </c>
      <c r="P3830">
        <v>63.66</v>
      </c>
      <c r="Q3830">
        <v>-5.95</v>
      </c>
      <c r="R3830">
        <v>58.52</v>
      </c>
      <c r="S3830">
        <v>62.32</v>
      </c>
      <c r="T3830">
        <v>74210</v>
      </c>
      <c r="U3830">
        <v>58.8</v>
      </c>
      <c r="V3830">
        <v>62.22</v>
      </c>
      <c r="W3830">
        <v>38.82</v>
      </c>
      <c r="X3830" t="s">
        <v>868</v>
      </c>
      <c r="Y3830" t="s">
        <v>602</v>
      </c>
      <c r="Z3830">
        <v>8.26</v>
      </c>
      <c r="AA3830">
        <v>60.59</v>
      </c>
      <c r="AB3830">
        <v>39706</v>
      </c>
      <c r="AC3830">
        <v>34504</v>
      </c>
      <c r="AD3830">
        <v>1.1499999999999999</v>
      </c>
      <c r="AE3830">
        <v>1</v>
      </c>
      <c r="AF3830">
        <v>78</v>
      </c>
      <c r="AG3830" t="s">
        <v>120</v>
      </c>
      <c r="AH3830">
        <v>0.06</v>
      </c>
      <c r="AI3830" t="s">
        <v>120</v>
      </c>
      <c r="AJ3830">
        <v>1.95</v>
      </c>
      <c r="AK3830" t="s">
        <v>15746</v>
      </c>
      <c r="AL3830">
        <v>-4.1500000000000004</v>
      </c>
      <c r="AM3830">
        <v>4294</v>
      </c>
      <c r="AN3830">
        <v>17</v>
      </c>
      <c r="AO3830">
        <v>8.9999999999999998E-4</v>
      </c>
      <c r="AP3830">
        <v>-3</v>
      </c>
      <c r="AQ3830">
        <v>-5.61</v>
      </c>
      <c r="AR3830">
        <v>-17.170000000000002</v>
      </c>
      <c r="AS3830">
        <v>-8.23</v>
      </c>
      <c r="AT3830">
        <v>108.36</v>
      </c>
      <c r="AU3830">
        <v>254.22</v>
      </c>
      <c r="AV3830">
        <v>14</v>
      </c>
      <c r="AW3830">
        <v>11.15</v>
      </c>
      <c r="AX3830">
        <v>34.08</v>
      </c>
      <c r="AY3830">
        <v>58.33</v>
      </c>
      <c r="AZ3830">
        <v>124.76</v>
      </c>
      <c r="BA3830">
        <v>2.14</v>
      </c>
      <c r="BB3830" t="s">
        <v>143</v>
      </c>
      <c r="BF3830">
        <v>-2.61</v>
      </c>
      <c r="BG3830">
        <v>-5.65</v>
      </c>
      <c r="BH3830">
        <v>-7.63</v>
      </c>
      <c r="BI3830">
        <v>0.48</v>
      </c>
      <c r="BJ3830">
        <v>20210813</v>
      </c>
      <c r="BK3830">
        <v>20170628</v>
      </c>
      <c r="BL3830">
        <v>1.95</v>
      </c>
      <c r="BM3830" t="s">
        <v>120</v>
      </c>
      <c r="BN3830" t="s">
        <v>120</v>
      </c>
      <c r="BO3830">
        <v>18.309999999999999</v>
      </c>
      <c r="BP3830">
        <v>58.79</v>
      </c>
      <c r="BQ3830">
        <v>13.65</v>
      </c>
      <c r="BR3830">
        <v>0.2</v>
      </c>
      <c r="BS3830">
        <v>24.38</v>
      </c>
      <c r="BT3830">
        <v>8.33</v>
      </c>
      <c r="BU3830">
        <v>4.43</v>
      </c>
      <c r="BV3830">
        <v>1.31</v>
      </c>
      <c r="BW3830">
        <v>2.2799999999999998</v>
      </c>
      <c r="BX3830">
        <v>2.41</v>
      </c>
      <c r="BY3830">
        <v>0.94</v>
      </c>
      <c r="BZ3830">
        <v>0.38</v>
      </c>
      <c r="CA3830" t="s">
        <v>120</v>
      </c>
      <c r="CB3830">
        <v>3.88</v>
      </c>
      <c r="CC3830">
        <v>6.35</v>
      </c>
      <c r="CD3830">
        <v>4.1900000000000004</v>
      </c>
      <c r="CE3830">
        <v>1.74</v>
      </c>
      <c r="CF3830">
        <v>0.02</v>
      </c>
      <c r="CG3830">
        <v>1.74</v>
      </c>
      <c r="CH3830">
        <v>1.47</v>
      </c>
      <c r="CI3830">
        <v>1.48</v>
      </c>
      <c r="CJ3830">
        <v>-3.42</v>
      </c>
      <c r="CK3830">
        <v>1.45</v>
      </c>
      <c r="CL3830">
        <v>6.81</v>
      </c>
      <c r="CM3830">
        <v>0.75</v>
      </c>
      <c r="CN3830">
        <v>-0.06</v>
      </c>
      <c r="CO3830">
        <v>10779</v>
      </c>
      <c r="CP3830">
        <v>6172</v>
      </c>
      <c r="CQ3830" t="s">
        <v>15747</v>
      </c>
      <c r="CR3830">
        <v>299.8</v>
      </c>
      <c r="CS3830">
        <v>30.86</v>
      </c>
      <c r="CT3830">
        <v>8.41</v>
      </c>
      <c r="CU3830">
        <v>152.35</v>
      </c>
      <c r="CV3830">
        <v>18.09</v>
      </c>
      <c r="CW3830">
        <v>0.1</v>
      </c>
      <c r="CX3830" t="s">
        <v>2809</v>
      </c>
      <c r="CY3830">
        <v>6.99</v>
      </c>
      <c r="CZ3830">
        <v>0</v>
      </c>
      <c r="DA3830">
        <v>1.99</v>
      </c>
      <c r="DB3830">
        <v>3.49</v>
      </c>
      <c r="DC3830">
        <v>0.39</v>
      </c>
      <c r="DD3830">
        <v>74.53</v>
      </c>
      <c r="DE3830" t="s">
        <v>15748</v>
      </c>
      <c r="DF3830">
        <v>33.909999999999997</v>
      </c>
      <c r="DG3830">
        <v>27.44</v>
      </c>
      <c r="DH3830">
        <v>23.3</v>
      </c>
      <c r="DI3830">
        <v>0.12</v>
      </c>
      <c r="DJ3830">
        <v>775</v>
      </c>
      <c r="DK3830">
        <v>603938</v>
      </c>
      <c r="DL3830">
        <v>20210701</v>
      </c>
      <c r="DM3830">
        <v>33.770000000000003</v>
      </c>
      <c r="DN3830">
        <v>74.12</v>
      </c>
    </row>
    <row r="3831" spans="1:118">
      <c r="A3831" t="str">
        <f>"603939"</f>
        <v>603939</v>
      </c>
      <c r="B3831" t="s">
        <v>15749</v>
      </c>
      <c r="C3831">
        <v>-0.39</v>
      </c>
      <c r="D3831">
        <v>-0.05</v>
      </c>
      <c r="E3831">
        <v>0</v>
      </c>
      <c r="F3831">
        <v>666</v>
      </c>
      <c r="G3831" t="s">
        <v>9179</v>
      </c>
      <c r="H3831">
        <v>16147.63</v>
      </c>
      <c r="I3831">
        <v>10.130000000000001</v>
      </c>
      <c r="J3831" t="s">
        <v>120</v>
      </c>
      <c r="K3831" t="s">
        <v>15750</v>
      </c>
      <c r="L3831">
        <v>0.46</v>
      </c>
      <c r="M3831">
        <v>50.45</v>
      </c>
      <c r="N3831">
        <v>0.74</v>
      </c>
      <c r="O3831">
        <v>1.28</v>
      </c>
      <c r="P3831">
        <v>51.3</v>
      </c>
      <c r="Q3831">
        <v>-2.27</v>
      </c>
      <c r="R3831">
        <v>49.5</v>
      </c>
      <c r="S3831">
        <v>50.65</v>
      </c>
      <c r="T3831">
        <v>32016</v>
      </c>
      <c r="U3831">
        <v>50.46</v>
      </c>
      <c r="V3831">
        <v>50.65</v>
      </c>
      <c r="W3831">
        <v>35.92</v>
      </c>
      <c r="X3831" t="s">
        <v>274</v>
      </c>
      <c r="Y3831" t="s">
        <v>594</v>
      </c>
      <c r="Z3831">
        <v>3.55</v>
      </c>
      <c r="AA3831">
        <v>50.44</v>
      </c>
      <c r="AB3831">
        <v>15442</v>
      </c>
      <c r="AC3831">
        <v>16574</v>
      </c>
      <c r="AD3831">
        <v>0.93</v>
      </c>
      <c r="AE3831">
        <v>96</v>
      </c>
      <c r="AF3831">
        <v>10</v>
      </c>
      <c r="AG3831" t="s">
        <v>120</v>
      </c>
      <c r="AH3831">
        <v>0</v>
      </c>
      <c r="AI3831" t="s">
        <v>120</v>
      </c>
      <c r="AJ3831">
        <v>6.99</v>
      </c>
      <c r="AK3831" t="s">
        <v>15418</v>
      </c>
      <c r="AL3831">
        <v>0.95</v>
      </c>
      <c r="AM3831">
        <v>3004</v>
      </c>
      <c r="AN3831">
        <v>11</v>
      </c>
      <c r="AO3831">
        <v>2.0000000000000001E-4</v>
      </c>
      <c r="AP3831">
        <v>-2</v>
      </c>
      <c r="AQ3831">
        <v>-1.69</v>
      </c>
      <c r="AR3831">
        <v>-1.81</v>
      </c>
      <c r="AS3831">
        <v>-8.82</v>
      </c>
      <c r="AT3831">
        <v>-6.92</v>
      </c>
      <c r="AU3831">
        <v>-27.04</v>
      </c>
      <c r="AV3831">
        <v>3</v>
      </c>
      <c r="AW3831">
        <v>1.07</v>
      </c>
      <c r="AX3831">
        <v>41.64</v>
      </c>
      <c r="AY3831">
        <v>41.78</v>
      </c>
      <c r="AZ3831">
        <v>47.39</v>
      </c>
      <c r="BA3831">
        <v>1.42</v>
      </c>
      <c r="BB3831" t="s">
        <v>143</v>
      </c>
      <c r="BF3831">
        <v>-0.42</v>
      </c>
      <c r="BG3831">
        <v>-0.39</v>
      </c>
      <c r="BH3831">
        <v>-1.66</v>
      </c>
      <c r="BI3831">
        <v>1.92</v>
      </c>
      <c r="BJ3831">
        <v>20210827</v>
      </c>
      <c r="BK3831">
        <v>20150217</v>
      </c>
      <c r="BL3831">
        <v>7.19</v>
      </c>
      <c r="BM3831" t="s">
        <v>120</v>
      </c>
      <c r="BN3831" t="s">
        <v>120</v>
      </c>
      <c r="BO3831">
        <v>158.12</v>
      </c>
      <c r="BP3831">
        <v>50.45</v>
      </c>
      <c r="BQ3831">
        <v>70.5</v>
      </c>
      <c r="BR3831">
        <v>3.51</v>
      </c>
      <c r="BS3831">
        <v>53.19</v>
      </c>
      <c r="BT3831">
        <v>72.62</v>
      </c>
      <c r="BU3831">
        <v>6.32</v>
      </c>
      <c r="BV3831">
        <v>3.6</v>
      </c>
      <c r="BW3831">
        <v>57.32</v>
      </c>
      <c r="BX3831">
        <v>23.24</v>
      </c>
      <c r="BY3831">
        <v>24.52</v>
      </c>
      <c r="BZ3831">
        <v>9.26</v>
      </c>
      <c r="CA3831">
        <v>7.0000000000000007E-2</v>
      </c>
      <c r="CB3831">
        <v>39.799999999999997</v>
      </c>
      <c r="CC3831">
        <v>73.459999999999994</v>
      </c>
      <c r="CD3831">
        <v>43.46</v>
      </c>
      <c r="CE3831">
        <v>7.45</v>
      </c>
      <c r="CF3831">
        <v>0.2</v>
      </c>
      <c r="CG3831">
        <v>7.44</v>
      </c>
      <c r="CH3831">
        <v>5.55</v>
      </c>
      <c r="CI3831">
        <v>5.05</v>
      </c>
      <c r="CJ3831">
        <v>-0.2</v>
      </c>
      <c r="CK3831">
        <v>4.9400000000000004</v>
      </c>
      <c r="CL3831">
        <v>23.21</v>
      </c>
      <c r="CM3831">
        <v>9.7799999999999994</v>
      </c>
      <c r="CN3831">
        <v>-8.6</v>
      </c>
      <c r="CO3831">
        <v>23292</v>
      </c>
      <c r="CP3831">
        <v>12851</v>
      </c>
      <c r="CQ3831" t="s">
        <v>15751</v>
      </c>
      <c r="CR3831">
        <v>25.66</v>
      </c>
      <c r="CS3831">
        <v>16.739999999999998</v>
      </c>
      <c r="CT3831">
        <v>5.14</v>
      </c>
      <c r="CU3831">
        <v>37.06</v>
      </c>
      <c r="CV3831">
        <v>4.9400000000000004</v>
      </c>
      <c r="CW3831">
        <v>0.46</v>
      </c>
      <c r="CX3831" t="s">
        <v>6967</v>
      </c>
      <c r="CY3831">
        <v>9.81</v>
      </c>
      <c r="CZ3831">
        <v>0</v>
      </c>
      <c r="DA3831">
        <v>5.54</v>
      </c>
      <c r="DB3831">
        <v>3.23</v>
      </c>
      <c r="DC3831">
        <v>1.36</v>
      </c>
      <c r="DD3831">
        <v>44.59</v>
      </c>
      <c r="DE3831" t="s">
        <v>9053</v>
      </c>
      <c r="DF3831">
        <v>40.840000000000003</v>
      </c>
      <c r="DG3831">
        <v>10.14</v>
      </c>
      <c r="DH3831">
        <v>6.87</v>
      </c>
      <c r="DI3831">
        <v>0.06</v>
      </c>
      <c r="DJ3831">
        <v>28655</v>
      </c>
      <c r="DK3831">
        <v>603939</v>
      </c>
      <c r="DL3831" t="s">
        <v>120</v>
      </c>
      <c r="DM3831" t="s">
        <v>120</v>
      </c>
      <c r="DN3831" t="s">
        <v>120</v>
      </c>
    </row>
    <row r="3832" spans="1:118">
      <c r="A3832" t="str">
        <f>"603948"</f>
        <v>603948</v>
      </c>
      <c r="B3832" t="s">
        <v>15752</v>
      </c>
      <c r="C3832">
        <v>10</v>
      </c>
      <c r="D3832">
        <v>0</v>
      </c>
      <c r="E3832">
        <v>10</v>
      </c>
      <c r="F3832">
        <v>120</v>
      </c>
      <c r="G3832" t="s">
        <v>10617</v>
      </c>
      <c r="H3832">
        <v>18256.36</v>
      </c>
      <c r="I3832">
        <v>1283</v>
      </c>
      <c r="J3832">
        <v>5778.55</v>
      </c>
      <c r="K3832" t="s">
        <v>8258</v>
      </c>
      <c r="L3832">
        <v>8.7100000000000009</v>
      </c>
      <c r="M3832">
        <v>27.94</v>
      </c>
      <c r="N3832">
        <v>2.5</v>
      </c>
      <c r="O3832">
        <v>10</v>
      </c>
      <c r="P3832">
        <v>27.94</v>
      </c>
      <c r="Q3832">
        <v>8.98</v>
      </c>
      <c r="R3832">
        <v>27.68</v>
      </c>
      <c r="S3832">
        <v>27.94</v>
      </c>
      <c r="T3832">
        <v>65347</v>
      </c>
      <c r="U3832" t="s">
        <v>120</v>
      </c>
      <c r="V3832">
        <v>25.4</v>
      </c>
      <c r="W3832">
        <v>20.64</v>
      </c>
      <c r="X3832" t="s">
        <v>868</v>
      </c>
      <c r="Y3832" t="s">
        <v>585</v>
      </c>
      <c r="Z3832">
        <v>1.02</v>
      </c>
      <c r="AA3832">
        <v>27.94</v>
      </c>
      <c r="AB3832">
        <v>55867</v>
      </c>
      <c r="AC3832">
        <v>9480</v>
      </c>
      <c r="AD3832">
        <v>5.89</v>
      </c>
      <c r="AE3832">
        <v>20682</v>
      </c>
      <c r="AF3832">
        <v>0</v>
      </c>
      <c r="AG3832" t="s">
        <v>120</v>
      </c>
      <c r="AH3832">
        <v>1.1100000000000001</v>
      </c>
      <c r="AI3832">
        <v>0.32</v>
      </c>
      <c r="AJ3832">
        <v>0.75</v>
      </c>
      <c r="AK3832" t="s">
        <v>15753</v>
      </c>
      <c r="AL3832">
        <v>11.34</v>
      </c>
      <c r="AM3832">
        <v>614</v>
      </c>
      <c r="AN3832">
        <v>106</v>
      </c>
      <c r="AO3832">
        <v>1.4200000000000001E-2</v>
      </c>
      <c r="AP3832">
        <v>5</v>
      </c>
      <c r="AQ3832">
        <v>10</v>
      </c>
      <c r="AR3832">
        <v>23.63</v>
      </c>
      <c r="AS3832">
        <v>36.159999999999997</v>
      </c>
      <c r="AT3832">
        <v>42.48</v>
      </c>
      <c r="AU3832">
        <v>46.82</v>
      </c>
      <c r="AV3832">
        <v>3</v>
      </c>
      <c r="AW3832">
        <v>15.84</v>
      </c>
      <c r="AX3832">
        <v>25.78</v>
      </c>
      <c r="AY3832">
        <v>24.42</v>
      </c>
      <c r="AZ3832">
        <v>32.33</v>
      </c>
      <c r="BA3832">
        <v>0.49</v>
      </c>
      <c r="BB3832" t="s">
        <v>184</v>
      </c>
      <c r="BF3832">
        <v>9.99</v>
      </c>
      <c r="BG3832">
        <v>0</v>
      </c>
      <c r="BH3832">
        <v>0</v>
      </c>
      <c r="BI3832">
        <v>0.94</v>
      </c>
      <c r="BJ3832">
        <v>20210826</v>
      </c>
      <c r="BK3832">
        <v>20200302</v>
      </c>
      <c r="BL3832">
        <v>1.6</v>
      </c>
      <c r="BM3832" t="s">
        <v>120</v>
      </c>
      <c r="BN3832" t="s">
        <v>120</v>
      </c>
      <c r="BO3832">
        <v>21.18</v>
      </c>
      <c r="BP3832">
        <v>27.94</v>
      </c>
      <c r="BQ3832">
        <v>14.84</v>
      </c>
      <c r="BR3832" t="s">
        <v>120</v>
      </c>
      <c r="BS3832">
        <v>29.96</v>
      </c>
      <c r="BT3832">
        <v>15.28</v>
      </c>
      <c r="BU3832">
        <v>3.81</v>
      </c>
      <c r="BV3832">
        <v>0.99</v>
      </c>
      <c r="BW3832">
        <v>5.53</v>
      </c>
      <c r="BX3832">
        <v>5.89</v>
      </c>
      <c r="BY3832">
        <v>2.19</v>
      </c>
      <c r="BZ3832">
        <v>1.92</v>
      </c>
      <c r="CA3832" t="s">
        <v>120</v>
      </c>
      <c r="CB3832">
        <v>5.07</v>
      </c>
      <c r="CC3832">
        <v>13.01</v>
      </c>
      <c r="CD3832">
        <v>10.9</v>
      </c>
      <c r="CE3832">
        <v>1.24</v>
      </c>
      <c r="CF3832">
        <v>0.02</v>
      </c>
      <c r="CG3832">
        <v>1.28</v>
      </c>
      <c r="CH3832">
        <v>1.08</v>
      </c>
      <c r="CI3832">
        <v>1.08</v>
      </c>
      <c r="CJ3832">
        <v>2.54</v>
      </c>
      <c r="CK3832">
        <v>1.03</v>
      </c>
      <c r="CL3832">
        <v>7.45</v>
      </c>
      <c r="CM3832">
        <v>0.17</v>
      </c>
      <c r="CN3832">
        <v>-1.1399999999999999</v>
      </c>
      <c r="CO3832">
        <v>12896</v>
      </c>
      <c r="CP3832">
        <v>3199</v>
      </c>
      <c r="CQ3832" t="s">
        <v>5257</v>
      </c>
      <c r="CR3832">
        <v>60.26</v>
      </c>
      <c r="CS3832">
        <v>68.98</v>
      </c>
      <c r="CT3832">
        <v>3.01</v>
      </c>
      <c r="CU3832">
        <v>263.68</v>
      </c>
      <c r="CV3832">
        <v>3.44</v>
      </c>
      <c r="CW3832">
        <v>0.79</v>
      </c>
      <c r="CX3832" t="s">
        <v>527</v>
      </c>
      <c r="CY3832">
        <v>9.27</v>
      </c>
      <c r="CZ3832">
        <v>0</v>
      </c>
      <c r="DA3832">
        <v>3.17</v>
      </c>
      <c r="DB3832">
        <v>4.66</v>
      </c>
      <c r="DC3832">
        <v>0.11</v>
      </c>
      <c r="DD3832">
        <v>70.040000000000006</v>
      </c>
      <c r="DE3832" t="s">
        <v>10203</v>
      </c>
      <c r="DF3832">
        <v>16.190000000000001</v>
      </c>
      <c r="DG3832">
        <v>9.49</v>
      </c>
      <c r="DH3832">
        <v>8.32</v>
      </c>
      <c r="DI3832">
        <v>0.41</v>
      </c>
      <c r="DJ3832">
        <v>589</v>
      </c>
      <c r="DK3832">
        <v>603948</v>
      </c>
      <c r="DL3832" t="s">
        <v>120</v>
      </c>
      <c r="DM3832" t="s">
        <v>120</v>
      </c>
      <c r="DN3832" t="s">
        <v>120</v>
      </c>
    </row>
    <row r="3833" spans="1:118">
      <c r="A3833" t="str">
        <f>"603949"</f>
        <v>603949</v>
      </c>
      <c r="B3833" t="s">
        <v>15754</v>
      </c>
      <c r="C3833">
        <v>0.98</v>
      </c>
      <c r="D3833">
        <v>0</v>
      </c>
      <c r="E3833">
        <v>-0.33</v>
      </c>
      <c r="F3833">
        <v>200</v>
      </c>
      <c r="G3833" t="s">
        <v>11022</v>
      </c>
      <c r="H3833">
        <v>4306.13</v>
      </c>
      <c r="I3833">
        <v>18.88</v>
      </c>
      <c r="J3833" t="s">
        <v>120</v>
      </c>
      <c r="K3833" t="s">
        <v>11022</v>
      </c>
      <c r="L3833">
        <v>4.42</v>
      </c>
      <c r="M3833">
        <v>18.57</v>
      </c>
      <c r="N3833">
        <v>0.64</v>
      </c>
      <c r="O3833">
        <v>2.99</v>
      </c>
      <c r="P3833">
        <v>18.940000000000001</v>
      </c>
      <c r="Q3833">
        <v>-1.41</v>
      </c>
      <c r="R3833">
        <v>18.13</v>
      </c>
      <c r="S3833">
        <v>18.329999999999998</v>
      </c>
      <c r="T3833">
        <v>23190</v>
      </c>
      <c r="U3833">
        <v>18.57</v>
      </c>
      <c r="V3833">
        <v>18.39</v>
      </c>
      <c r="W3833">
        <v>24.25</v>
      </c>
      <c r="X3833" t="s">
        <v>289</v>
      </c>
      <c r="Y3833" t="s">
        <v>585</v>
      </c>
      <c r="Z3833">
        <v>4.4000000000000004</v>
      </c>
      <c r="AA3833">
        <v>18.57</v>
      </c>
      <c r="AB3833">
        <v>12613</v>
      </c>
      <c r="AC3833">
        <v>10577</v>
      </c>
      <c r="AD3833">
        <v>1.19</v>
      </c>
      <c r="AE3833">
        <v>96</v>
      </c>
      <c r="AF3833">
        <v>4</v>
      </c>
      <c r="AG3833" t="s">
        <v>120</v>
      </c>
      <c r="AH3833">
        <v>0.02</v>
      </c>
      <c r="AI3833" t="s">
        <v>120</v>
      </c>
      <c r="AJ3833">
        <v>0.52</v>
      </c>
      <c r="AK3833" t="s">
        <v>7746</v>
      </c>
      <c r="AL3833">
        <v>2.3199999999999998</v>
      </c>
      <c r="AM3833">
        <v>1474</v>
      </c>
      <c r="AN3833">
        <v>16</v>
      </c>
      <c r="AO3833">
        <v>3.0000000000000001E-3</v>
      </c>
      <c r="AP3833">
        <v>1</v>
      </c>
      <c r="AQ3833">
        <v>-3.21</v>
      </c>
      <c r="AR3833">
        <v>-2.83</v>
      </c>
      <c r="AS3833">
        <v>9.89</v>
      </c>
      <c r="AT3833">
        <v>30.49</v>
      </c>
      <c r="AU3833">
        <v>25.22</v>
      </c>
      <c r="AV3833">
        <v>3</v>
      </c>
      <c r="AW3833">
        <v>4.42</v>
      </c>
      <c r="AX3833">
        <v>25</v>
      </c>
      <c r="AY3833">
        <v>23.19</v>
      </c>
      <c r="AZ3833">
        <v>26.41</v>
      </c>
      <c r="BA3833">
        <v>0.28000000000000003</v>
      </c>
      <c r="BB3833" t="s">
        <v>240</v>
      </c>
      <c r="BF3833">
        <v>0.97</v>
      </c>
      <c r="BG3833">
        <v>1.31</v>
      </c>
      <c r="BH3833">
        <v>-1.95</v>
      </c>
      <c r="BI3833">
        <v>2.4300000000000002</v>
      </c>
      <c r="BJ3833">
        <v>20210824</v>
      </c>
      <c r="BK3833">
        <v>20200310</v>
      </c>
      <c r="BL3833">
        <v>2.1</v>
      </c>
      <c r="BM3833" t="s">
        <v>120</v>
      </c>
      <c r="BN3833" t="s">
        <v>120</v>
      </c>
      <c r="BO3833">
        <v>11.36</v>
      </c>
      <c r="BP3833">
        <v>18.559999999999999</v>
      </c>
      <c r="BQ3833">
        <v>9.7899999999999991</v>
      </c>
      <c r="BR3833" t="s">
        <v>120</v>
      </c>
      <c r="BS3833">
        <v>13.87</v>
      </c>
      <c r="BT3833">
        <v>8.76</v>
      </c>
      <c r="BU3833">
        <v>2.1</v>
      </c>
      <c r="BV3833">
        <v>0.13</v>
      </c>
      <c r="BW3833">
        <v>1.22</v>
      </c>
      <c r="BX3833">
        <v>0.5</v>
      </c>
      <c r="BY3833">
        <v>0.87</v>
      </c>
      <c r="BZ3833">
        <v>1.96</v>
      </c>
      <c r="CA3833" t="s">
        <v>120</v>
      </c>
      <c r="CB3833">
        <v>3.55</v>
      </c>
      <c r="CC3833">
        <v>2.78</v>
      </c>
      <c r="CD3833">
        <v>1.44</v>
      </c>
      <c r="CE3833">
        <v>0.93</v>
      </c>
      <c r="CF3833">
        <v>0.06</v>
      </c>
      <c r="CG3833">
        <v>0.93</v>
      </c>
      <c r="CH3833">
        <v>0.8</v>
      </c>
      <c r="CI3833">
        <v>0.8</v>
      </c>
      <c r="CJ3833">
        <v>0.18</v>
      </c>
      <c r="CK3833">
        <v>0.72</v>
      </c>
      <c r="CL3833">
        <v>3.42</v>
      </c>
      <c r="CM3833">
        <v>0.59</v>
      </c>
      <c r="CN3833">
        <v>-0.66</v>
      </c>
      <c r="CO3833">
        <v>14180</v>
      </c>
      <c r="CP3833">
        <v>3699</v>
      </c>
      <c r="CQ3833" t="s">
        <v>3999</v>
      </c>
      <c r="CR3833">
        <v>33.68</v>
      </c>
      <c r="CS3833">
        <v>25.94</v>
      </c>
      <c r="CT3833">
        <v>3.98</v>
      </c>
      <c r="CU3833">
        <v>65.760000000000005</v>
      </c>
      <c r="CV3833">
        <v>14.03</v>
      </c>
      <c r="CW3833">
        <v>1.63</v>
      </c>
      <c r="CX3833" t="s">
        <v>2429</v>
      </c>
      <c r="CY3833">
        <v>4.67</v>
      </c>
      <c r="CZ3833">
        <v>0</v>
      </c>
      <c r="DA3833">
        <v>1.69</v>
      </c>
      <c r="DB3833">
        <v>1.63</v>
      </c>
      <c r="DC3833">
        <v>0.28000000000000003</v>
      </c>
      <c r="DD3833">
        <v>86.13</v>
      </c>
      <c r="DE3833" t="s">
        <v>7498</v>
      </c>
      <c r="DF3833">
        <v>48.2</v>
      </c>
      <c r="DG3833">
        <v>33.57</v>
      </c>
      <c r="DH3833">
        <v>28.93</v>
      </c>
      <c r="DI3833">
        <v>0.11</v>
      </c>
      <c r="DJ3833">
        <v>460</v>
      </c>
      <c r="DK3833">
        <v>603949</v>
      </c>
      <c r="DL3833" t="s">
        <v>120</v>
      </c>
      <c r="DM3833" t="s">
        <v>120</v>
      </c>
      <c r="DN3833" t="s">
        <v>120</v>
      </c>
    </row>
    <row r="3834" spans="1:118">
      <c r="A3834" t="str">
        <f>"603950"</f>
        <v>603950</v>
      </c>
      <c r="B3834" t="s">
        <v>15755</v>
      </c>
      <c r="C3834">
        <v>0.76</v>
      </c>
      <c r="D3834">
        <v>0</v>
      </c>
      <c r="E3834">
        <v>0</v>
      </c>
      <c r="F3834">
        <v>308</v>
      </c>
      <c r="G3834" t="s">
        <v>12922</v>
      </c>
      <c r="H3834">
        <v>3273.28</v>
      </c>
      <c r="I3834">
        <v>2.38</v>
      </c>
      <c r="J3834" t="s">
        <v>120</v>
      </c>
      <c r="K3834" t="s">
        <v>15756</v>
      </c>
      <c r="L3834">
        <v>1.86</v>
      </c>
      <c r="M3834">
        <v>19.97</v>
      </c>
      <c r="N3834">
        <v>0.66</v>
      </c>
      <c r="O3834">
        <v>2.27</v>
      </c>
      <c r="P3834">
        <v>20.27</v>
      </c>
      <c r="Q3834">
        <v>-0.2</v>
      </c>
      <c r="R3834">
        <v>19.78</v>
      </c>
      <c r="S3834">
        <v>19.82</v>
      </c>
      <c r="T3834">
        <v>16348</v>
      </c>
      <c r="U3834">
        <v>19.98</v>
      </c>
      <c r="V3834">
        <v>19.82</v>
      </c>
      <c r="W3834">
        <v>11.86</v>
      </c>
      <c r="X3834" t="s">
        <v>289</v>
      </c>
      <c r="Y3834" t="s">
        <v>763</v>
      </c>
      <c r="Z3834">
        <v>2.4700000000000002</v>
      </c>
      <c r="AA3834">
        <v>20.02</v>
      </c>
      <c r="AB3834">
        <v>8919</v>
      </c>
      <c r="AC3834">
        <v>7429</v>
      </c>
      <c r="AD3834">
        <v>1.2</v>
      </c>
      <c r="AE3834">
        <v>60</v>
      </c>
      <c r="AF3834">
        <v>19</v>
      </c>
      <c r="AG3834" t="s">
        <v>120</v>
      </c>
      <c r="AH3834">
        <v>0</v>
      </c>
      <c r="AI3834" t="s">
        <v>120</v>
      </c>
      <c r="AJ3834">
        <v>0.88</v>
      </c>
      <c r="AK3834" t="s">
        <v>15757</v>
      </c>
      <c r="AL3834">
        <v>2.1</v>
      </c>
      <c r="AM3834">
        <v>1149</v>
      </c>
      <c r="AN3834">
        <v>14</v>
      </c>
      <c r="AO3834">
        <v>1.6000000000000001E-3</v>
      </c>
      <c r="AP3834">
        <v>1</v>
      </c>
      <c r="AQ3834">
        <v>-0.3</v>
      </c>
      <c r="AR3834">
        <v>-0.6</v>
      </c>
      <c r="AS3834">
        <v>7.71</v>
      </c>
      <c r="AT3834">
        <v>6.23</v>
      </c>
      <c r="AU3834">
        <v>-10.039999999999999</v>
      </c>
      <c r="AV3834">
        <v>0</v>
      </c>
      <c r="AW3834">
        <v>2.2000000000000002</v>
      </c>
      <c r="AX3834">
        <v>32.090000000000003</v>
      </c>
      <c r="AY3834">
        <v>12.93</v>
      </c>
      <c r="AZ3834">
        <v>14.59</v>
      </c>
      <c r="BA3834">
        <v>0.7</v>
      </c>
      <c r="BB3834" t="s">
        <v>143</v>
      </c>
      <c r="BF3834">
        <v>1.02</v>
      </c>
      <c r="BG3834">
        <v>0.76</v>
      </c>
      <c r="BH3834">
        <v>-1.48</v>
      </c>
      <c r="BI3834">
        <v>0.96</v>
      </c>
      <c r="BJ3834">
        <v>20210812</v>
      </c>
      <c r="BK3834">
        <v>20200526</v>
      </c>
      <c r="BL3834">
        <v>2.3199999999999998</v>
      </c>
      <c r="BM3834" t="s">
        <v>120</v>
      </c>
      <c r="BN3834" t="s">
        <v>120</v>
      </c>
      <c r="BO3834">
        <v>37.979999999999997</v>
      </c>
      <c r="BP3834">
        <v>19.97</v>
      </c>
      <c r="BQ3834">
        <v>21.98</v>
      </c>
      <c r="BR3834">
        <v>0.13</v>
      </c>
      <c r="BS3834">
        <v>41.78</v>
      </c>
      <c r="BT3834">
        <v>19.05</v>
      </c>
      <c r="BU3834">
        <v>14.18</v>
      </c>
      <c r="BV3834">
        <v>1.25</v>
      </c>
      <c r="BW3834">
        <v>9.59</v>
      </c>
      <c r="BX3834">
        <v>6.56</v>
      </c>
      <c r="BY3834">
        <v>2.66</v>
      </c>
      <c r="BZ3834">
        <v>4.91</v>
      </c>
      <c r="CA3834" t="s">
        <v>120</v>
      </c>
      <c r="CB3834">
        <v>10.7</v>
      </c>
      <c r="CC3834">
        <v>9.65</v>
      </c>
      <c r="CD3834">
        <v>6.39</v>
      </c>
      <c r="CE3834">
        <v>2.31</v>
      </c>
      <c r="CF3834">
        <v>0.01</v>
      </c>
      <c r="CG3834">
        <v>2.3199999999999998</v>
      </c>
      <c r="CH3834">
        <v>1.97</v>
      </c>
      <c r="CI3834">
        <v>1.95</v>
      </c>
      <c r="CJ3834">
        <v>0.15</v>
      </c>
      <c r="CK3834">
        <v>1.9</v>
      </c>
      <c r="CL3834">
        <v>8.01</v>
      </c>
      <c r="CM3834">
        <v>2.59</v>
      </c>
      <c r="CN3834">
        <v>1</v>
      </c>
      <c r="CO3834">
        <v>16940</v>
      </c>
      <c r="CP3834">
        <v>4386</v>
      </c>
      <c r="CQ3834" t="s">
        <v>8294</v>
      </c>
      <c r="CR3834">
        <v>26.19</v>
      </c>
      <c r="CS3834">
        <v>28.12</v>
      </c>
      <c r="CT3834">
        <v>2.1</v>
      </c>
      <c r="CU3834">
        <v>17.87</v>
      </c>
      <c r="CV3834">
        <v>4.79</v>
      </c>
      <c r="CW3834">
        <v>0</v>
      </c>
      <c r="CX3834" t="s">
        <v>1362</v>
      </c>
      <c r="CY3834">
        <v>9.49</v>
      </c>
      <c r="CZ3834">
        <v>0</v>
      </c>
      <c r="DA3834">
        <v>4.62</v>
      </c>
      <c r="DB3834">
        <v>3.46</v>
      </c>
      <c r="DC3834">
        <v>1.1200000000000001</v>
      </c>
      <c r="DD3834">
        <v>57.87</v>
      </c>
      <c r="DE3834" t="s">
        <v>2810</v>
      </c>
      <c r="DF3834">
        <v>33.76</v>
      </c>
      <c r="DG3834">
        <v>23.97</v>
      </c>
      <c r="DH3834">
        <v>20.2</v>
      </c>
      <c r="DI3834">
        <v>0.41</v>
      </c>
      <c r="DJ3834">
        <v>1817</v>
      </c>
      <c r="DK3834">
        <v>603950</v>
      </c>
      <c r="DL3834" t="s">
        <v>120</v>
      </c>
      <c r="DM3834" t="s">
        <v>120</v>
      </c>
      <c r="DN3834" t="s">
        <v>120</v>
      </c>
    </row>
    <row r="3835" spans="1:118">
      <c r="A3835" t="str">
        <f>"603955"</f>
        <v>603955</v>
      </c>
      <c r="B3835" t="s">
        <v>15758</v>
      </c>
      <c r="C3835">
        <v>-0.46</v>
      </c>
      <c r="D3835">
        <v>0.15</v>
      </c>
      <c r="E3835">
        <v>0</v>
      </c>
      <c r="F3835">
        <v>173</v>
      </c>
      <c r="G3835" t="s">
        <v>15759</v>
      </c>
      <c r="H3835">
        <v>1674.64</v>
      </c>
      <c r="I3835">
        <v>4.34</v>
      </c>
      <c r="J3835" t="s">
        <v>120</v>
      </c>
      <c r="K3835" t="s">
        <v>15760</v>
      </c>
      <c r="L3835">
        <v>0.93</v>
      </c>
      <c r="M3835">
        <v>13.1</v>
      </c>
      <c r="N3835">
        <v>1.23</v>
      </c>
      <c r="O3835">
        <v>1.52</v>
      </c>
      <c r="P3835">
        <v>13.36</v>
      </c>
      <c r="Q3835">
        <v>-1.06</v>
      </c>
      <c r="R3835">
        <v>13.02</v>
      </c>
      <c r="S3835">
        <v>13.16</v>
      </c>
      <c r="T3835">
        <v>12658</v>
      </c>
      <c r="U3835">
        <v>13.11</v>
      </c>
      <c r="V3835">
        <v>13.16</v>
      </c>
      <c r="W3835">
        <v>23.11</v>
      </c>
      <c r="X3835" t="s">
        <v>318</v>
      </c>
      <c r="Y3835" t="s">
        <v>319</v>
      </c>
      <c r="Z3835">
        <v>2.58</v>
      </c>
      <c r="AA3835">
        <v>13.23</v>
      </c>
      <c r="AB3835">
        <v>6041</v>
      </c>
      <c r="AC3835">
        <v>6617</v>
      </c>
      <c r="AD3835">
        <v>0.91</v>
      </c>
      <c r="AE3835">
        <v>176</v>
      </c>
      <c r="AF3835">
        <v>35</v>
      </c>
      <c r="AG3835" t="s">
        <v>120</v>
      </c>
      <c r="AH3835">
        <v>0.01</v>
      </c>
      <c r="AI3835" t="s">
        <v>120</v>
      </c>
      <c r="AJ3835">
        <v>1.36</v>
      </c>
      <c r="AK3835" t="s">
        <v>15760</v>
      </c>
      <c r="AL3835">
        <v>0.89</v>
      </c>
      <c r="AM3835">
        <v>892</v>
      </c>
      <c r="AN3835">
        <v>14</v>
      </c>
      <c r="AO3835">
        <v>1E-3</v>
      </c>
      <c r="AP3835">
        <v>-1</v>
      </c>
      <c r="AQ3835">
        <v>1.78</v>
      </c>
      <c r="AR3835">
        <v>-0.9</v>
      </c>
      <c r="AS3835">
        <v>0.69</v>
      </c>
      <c r="AT3835">
        <v>-5.69</v>
      </c>
      <c r="AU3835">
        <v>-9.5299999999999994</v>
      </c>
      <c r="AV3835">
        <v>2</v>
      </c>
      <c r="AW3835">
        <v>2.21</v>
      </c>
      <c r="AX3835">
        <v>42.13</v>
      </c>
      <c r="AY3835">
        <v>19.260000000000002</v>
      </c>
      <c r="AZ3835">
        <v>17.489999999999998</v>
      </c>
      <c r="BA3835">
        <v>0.75</v>
      </c>
      <c r="BB3835" t="s">
        <v>168</v>
      </c>
      <c r="BF3835">
        <v>0.53</v>
      </c>
      <c r="BG3835">
        <v>-0.46</v>
      </c>
      <c r="BH3835">
        <v>-1.95</v>
      </c>
      <c r="BI3835">
        <v>0.61</v>
      </c>
      <c r="BJ3835">
        <v>20210914</v>
      </c>
      <c r="BK3835">
        <v>20170310</v>
      </c>
      <c r="BL3835">
        <v>1.36</v>
      </c>
      <c r="BM3835" t="s">
        <v>120</v>
      </c>
      <c r="BN3835" t="s">
        <v>120</v>
      </c>
      <c r="BO3835">
        <v>37.270000000000003</v>
      </c>
      <c r="BP3835">
        <v>13.1</v>
      </c>
      <c r="BQ3835">
        <v>15.91</v>
      </c>
      <c r="BR3835">
        <v>1.8</v>
      </c>
      <c r="BS3835">
        <v>52.5</v>
      </c>
      <c r="BT3835">
        <v>20.9</v>
      </c>
      <c r="BU3835">
        <v>0.52</v>
      </c>
      <c r="BV3835">
        <v>0.03</v>
      </c>
      <c r="BW3835">
        <v>11.85</v>
      </c>
      <c r="BX3835">
        <v>7.79</v>
      </c>
      <c r="BY3835">
        <v>0.45</v>
      </c>
      <c r="BZ3835">
        <v>3.08</v>
      </c>
      <c r="CA3835">
        <v>0.01</v>
      </c>
      <c r="CB3835">
        <v>8.3699999999999992</v>
      </c>
      <c r="CC3835">
        <v>2.64</v>
      </c>
      <c r="CD3835">
        <v>1.92</v>
      </c>
      <c r="CE3835">
        <v>0.56999999999999995</v>
      </c>
      <c r="CF3835">
        <v>0.02</v>
      </c>
      <c r="CG3835">
        <v>0.56000000000000005</v>
      </c>
      <c r="CH3835">
        <v>0.45</v>
      </c>
      <c r="CI3835">
        <v>0.38</v>
      </c>
      <c r="CJ3835">
        <v>-0.06</v>
      </c>
      <c r="CK3835">
        <v>0.28000000000000003</v>
      </c>
      <c r="CL3835">
        <v>5.55</v>
      </c>
      <c r="CM3835">
        <v>0.06</v>
      </c>
      <c r="CN3835">
        <v>2.16</v>
      </c>
      <c r="CO3835">
        <v>10923</v>
      </c>
      <c r="CP3835">
        <v>5234</v>
      </c>
      <c r="CQ3835" t="s">
        <v>8183</v>
      </c>
      <c r="CR3835">
        <v>-19.55</v>
      </c>
      <c r="CS3835">
        <v>-37.07</v>
      </c>
      <c r="CT3835">
        <v>1.1200000000000001</v>
      </c>
      <c r="CU3835">
        <v>287.26</v>
      </c>
      <c r="CV3835">
        <v>6.73</v>
      </c>
      <c r="CW3835">
        <v>0</v>
      </c>
      <c r="CX3835" t="s">
        <v>15761</v>
      </c>
      <c r="CY3835">
        <v>11.72</v>
      </c>
      <c r="CZ3835">
        <v>0</v>
      </c>
      <c r="DA3835">
        <v>6.16</v>
      </c>
      <c r="DB3835">
        <v>4.09</v>
      </c>
      <c r="DC3835">
        <v>0.05</v>
      </c>
      <c r="DD3835">
        <v>42.68</v>
      </c>
      <c r="DE3835" t="s">
        <v>15762</v>
      </c>
      <c r="DF3835">
        <v>27.39</v>
      </c>
      <c r="DG3835">
        <v>21.44</v>
      </c>
      <c r="DH3835">
        <v>14.56</v>
      </c>
      <c r="DI3835">
        <v>0.12</v>
      </c>
      <c r="DJ3835">
        <v>467</v>
      </c>
      <c r="DK3835">
        <v>603955</v>
      </c>
      <c r="DL3835" t="s">
        <v>120</v>
      </c>
      <c r="DM3835" t="s">
        <v>120</v>
      </c>
      <c r="DN3835" t="s">
        <v>120</v>
      </c>
    </row>
    <row r="3836" spans="1:118">
      <c r="A3836" t="str">
        <f>"603956"</f>
        <v>603956</v>
      </c>
      <c r="B3836" t="s">
        <v>15763</v>
      </c>
      <c r="C3836">
        <v>-1.83</v>
      </c>
      <c r="D3836">
        <v>0</v>
      </c>
      <c r="E3836">
        <v>0</v>
      </c>
      <c r="F3836">
        <v>406</v>
      </c>
      <c r="G3836" t="s">
        <v>15764</v>
      </c>
      <c r="H3836">
        <v>4609.33</v>
      </c>
      <c r="I3836">
        <v>38.29</v>
      </c>
      <c r="J3836" t="s">
        <v>120</v>
      </c>
      <c r="K3836" t="s">
        <v>15765</v>
      </c>
      <c r="L3836">
        <v>2.92</v>
      </c>
      <c r="M3836">
        <v>17.73</v>
      </c>
      <c r="N3836">
        <v>0.79</v>
      </c>
      <c r="O3836">
        <v>1.1599999999999999</v>
      </c>
      <c r="P3836">
        <v>18.27</v>
      </c>
      <c r="Q3836">
        <v>-2.21</v>
      </c>
      <c r="R3836">
        <v>17.66</v>
      </c>
      <c r="S3836">
        <v>18.059999999999999</v>
      </c>
      <c r="T3836">
        <v>25649</v>
      </c>
      <c r="U3836">
        <v>17.739999999999998</v>
      </c>
      <c r="V3836">
        <v>18.059999999999999</v>
      </c>
      <c r="W3836">
        <v>53.78</v>
      </c>
      <c r="X3836" t="s">
        <v>675</v>
      </c>
      <c r="Y3836" t="s">
        <v>1510</v>
      </c>
      <c r="Z3836">
        <v>3.38</v>
      </c>
      <c r="AA3836">
        <v>17.97</v>
      </c>
      <c r="AB3836">
        <v>13493</v>
      </c>
      <c r="AC3836">
        <v>12156</v>
      </c>
      <c r="AD3836">
        <v>1.1100000000000001</v>
      </c>
      <c r="AE3836">
        <v>37</v>
      </c>
      <c r="AF3836">
        <v>9</v>
      </c>
      <c r="AG3836" t="s">
        <v>120</v>
      </c>
      <c r="AH3836">
        <v>0.03</v>
      </c>
      <c r="AI3836" t="s">
        <v>120</v>
      </c>
      <c r="AJ3836">
        <v>0.88</v>
      </c>
      <c r="AK3836" t="s">
        <v>15766</v>
      </c>
      <c r="AL3836">
        <v>-0.48</v>
      </c>
      <c r="AM3836">
        <v>1725</v>
      </c>
      <c r="AN3836">
        <v>15</v>
      </c>
      <c r="AO3836">
        <v>1.6999999999999999E-3</v>
      </c>
      <c r="AP3836">
        <v>-1</v>
      </c>
      <c r="AQ3836">
        <v>3.91</v>
      </c>
      <c r="AR3836">
        <v>-0.22</v>
      </c>
      <c r="AS3836">
        <v>6.04</v>
      </c>
      <c r="AT3836">
        <v>-0.73</v>
      </c>
      <c r="AU3836">
        <v>18.07</v>
      </c>
      <c r="AV3836">
        <v>2</v>
      </c>
      <c r="AW3836">
        <v>4.2</v>
      </c>
      <c r="AX3836">
        <v>14.32</v>
      </c>
      <c r="AY3836">
        <v>35.799999999999997</v>
      </c>
      <c r="AZ3836">
        <v>45.03</v>
      </c>
      <c r="BA3836">
        <v>0.85</v>
      </c>
      <c r="BB3836" t="s">
        <v>184</v>
      </c>
      <c r="BF3836">
        <v>-0.49</v>
      </c>
      <c r="BG3836">
        <v>-1.83</v>
      </c>
      <c r="BH3836">
        <v>-2.96</v>
      </c>
      <c r="BI3836">
        <v>0.4</v>
      </c>
      <c r="BJ3836">
        <v>20210827</v>
      </c>
      <c r="BK3836">
        <v>20190222</v>
      </c>
      <c r="BL3836">
        <v>4.26</v>
      </c>
      <c r="BM3836" t="s">
        <v>120</v>
      </c>
      <c r="BN3836" t="s">
        <v>120</v>
      </c>
      <c r="BO3836">
        <v>19.850000000000001</v>
      </c>
      <c r="BP3836">
        <v>17.73</v>
      </c>
      <c r="BQ3836">
        <v>12.05</v>
      </c>
      <c r="BR3836">
        <v>0.03</v>
      </c>
      <c r="BS3836">
        <v>39.159999999999997</v>
      </c>
      <c r="BT3836">
        <v>13.13</v>
      </c>
      <c r="BU3836">
        <v>2.73</v>
      </c>
      <c r="BV3836">
        <v>0.83</v>
      </c>
      <c r="BW3836">
        <v>4.1500000000000004</v>
      </c>
      <c r="BX3836">
        <v>4.5599999999999996</v>
      </c>
      <c r="BY3836">
        <v>1.32</v>
      </c>
      <c r="BZ3836">
        <v>6.41</v>
      </c>
      <c r="CA3836" t="s">
        <v>120</v>
      </c>
      <c r="CB3836">
        <v>3</v>
      </c>
      <c r="CC3836">
        <v>4.46</v>
      </c>
      <c r="CD3836">
        <v>1.54</v>
      </c>
      <c r="CE3836">
        <v>0.76</v>
      </c>
      <c r="CF3836">
        <v>0</v>
      </c>
      <c r="CG3836">
        <v>0.76</v>
      </c>
      <c r="CH3836">
        <v>0.7</v>
      </c>
      <c r="CI3836">
        <v>0.7</v>
      </c>
      <c r="CJ3836">
        <v>-0.33</v>
      </c>
      <c r="CK3836">
        <v>0.59</v>
      </c>
      <c r="CL3836">
        <v>4.3499999999999996</v>
      </c>
      <c r="CM3836">
        <v>-1</v>
      </c>
      <c r="CN3836">
        <v>-2.41</v>
      </c>
      <c r="CO3836">
        <v>9372</v>
      </c>
      <c r="CP3836">
        <v>6511</v>
      </c>
      <c r="CQ3836" t="s">
        <v>2609</v>
      </c>
      <c r="CR3836">
        <v>168.46</v>
      </c>
      <c r="CS3836">
        <v>42.68</v>
      </c>
      <c r="CT3836">
        <v>6.79</v>
      </c>
      <c r="CU3836">
        <v>-75.87</v>
      </c>
      <c r="CV3836">
        <v>16.95</v>
      </c>
      <c r="CW3836">
        <v>0.89</v>
      </c>
      <c r="CX3836" t="s">
        <v>1193</v>
      </c>
      <c r="CY3836">
        <v>2.61</v>
      </c>
      <c r="CZ3836">
        <v>2.61</v>
      </c>
      <c r="DA3836">
        <v>0.7</v>
      </c>
      <c r="DB3836">
        <v>1.02</v>
      </c>
      <c r="DC3836">
        <v>-0.23</v>
      </c>
      <c r="DD3836">
        <v>60.67</v>
      </c>
      <c r="DE3836" t="s">
        <v>1929</v>
      </c>
      <c r="DF3836">
        <v>65.489999999999995</v>
      </c>
      <c r="DG3836">
        <v>17.059999999999999</v>
      </c>
      <c r="DH3836">
        <v>15.76</v>
      </c>
      <c r="DI3836">
        <v>0.38</v>
      </c>
      <c r="DJ3836">
        <v>1979</v>
      </c>
      <c r="DK3836">
        <v>603956</v>
      </c>
      <c r="DL3836" t="s">
        <v>120</v>
      </c>
      <c r="DM3836" t="s">
        <v>120</v>
      </c>
      <c r="DN3836" t="s">
        <v>120</v>
      </c>
    </row>
    <row r="3837" spans="1:118">
      <c r="A3837" t="str">
        <f>"603958"</f>
        <v>603958</v>
      </c>
      <c r="B3837" t="s">
        <v>15767</v>
      </c>
      <c r="C3837">
        <v>-1.73</v>
      </c>
      <c r="D3837">
        <v>0</v>
      </c>
      <c r="E3837">
        <v>0.27</v>
      </c>
      <c r="F3837">
        <v>627</v>
      </c>
      <c r="G3837" t="s">
        <v>15768</v>
      </c>
      <c r="H3837">
        <v>2308.21</v>
      </c>
      <c r="I3837">
        <v>26.69</v>
      </c>
      <c r="J3837" t="s">
        <v>120</v>
      </c>
      <c r="K3837" t="s">
        <v>7642</v>
      </c>
      <c r="L3837">
        <v>1.41</v>
      </c>
      <c r="M3837">
        <v>7.39</v>
      </c>
      <c r="N3837">
        <v>1.27</v>
      </c>
      <c r="O3837">
        <v>2.66</v>
      </c>
      <c r="P3837">
        <v>7.72</v>
      </c>
      <c r="Q3837">
        <v>-1.73</v>
      </c>
      <c r="R3837">
        <v>7.39</v>
      </c>
      <c r="S3837">
        <v>7.54</v>
      </c>
      <c r="T3837">
        <v>30571</v>
      </c>
      <c r="U3837">
        <v>7.4</v>
      </c>
      <c r="V3837">
        <v>7.52</v>
      </c>
      <c r="W3837">
        <v>132.80000000000001</v>
      </c>
      <c r="X3837" t="s">
        <v>2806</v>
      </c>
      <c r="Y3837" t="s">
        <v>319</v>
      </c>
      <c r="Z3837">
        <v>4.3899999999999997</v>
      </c>
      <c r="AA3837">
        <v>7.55</v>
      </c>
      <c r="AB3837">
        <v>16745</v>
      </c>
      <c r="AC3837">
        <v>13826</v>
      </c>
      <c r="AD3837">
        <v>1.21</v>
      </c>
      <c r="AE3837">
        <v>35</v>
      </c>
      <c r="AF3837">
        <v>30</v>
      </c>
      <c r="AG3837" t="s">
        <v>120</v>
      </c>
      <c r="AH3837">
        <v>0.05</v>
      </c>
      <c r="AI3837" t="s">
        <v>120</v>
      </c>
      <c r="AJ3837">
        <v>2.17</v>
      </c>
      <c r="AK3837" t="s">
        <v>7642</v>
      </c>
      <c r="AL3837">
        <v>-0.38</v>
      </c>
      <c r="AM3837">
        <v>1249</v>
      </c>
      <c r="AN3837">
        <v>24</v>
      </c>
      <c r="AO3837">
        <v>1.1000000000000001E-3</v>
      </c>
      <c r="AP3837">
        <v>-1</v>
      </c>
      <c r="AQ3837">
        <v>0.27</v>
      </c>
      <c r="AR3837">
        <v>-3.65</v>
      </c>
      <c r="AS3837">
        <v>2.78</v>
      </c>
      <c r="AT3837">
        <v>9.48</v>
      </c>
      <c r="AU3837">
        <v>19.97</v>
      </c>
      <c r="AV3837">
        <v>5</v>
      </c>
      <c r="AW3837">
        <v>4.63</v>
      </c>
      <c r="AX3837">
        <v>30.36</v>
      </c>
      <c r="AY3837" t="s">
        <v>120</v>
      </c>
      <c r="AZ3837" t="s">
        <v>120</v>
      </c>
      <c r="BA3837">
        <v>1.34</v>
      </c>
      <c r="BB3837" t="s">
        <v>143</v>
      </c>
      <c r="BF3837">
        <v>0.4</v>
      </c>
      <c r="BG3837">
        <v>-1.99</v>
      </c>
      <c r="BH3837">
        <v>-4.2699999999999996</v>
      </c>
      <c r="BI3837">
        <v>0</v>
      </c>
      <c r="BJ3837">
        <v>20210828</v>
      </c>
      <c r="BK3837">
        <v>20160629</v>
      </c>
      <c r="BL3837">
        <v>2.17</v>
      </c>
      <c r="BM3837" t="s">
        <v>120</v>
      </c>
      <c r="BN3837" t="s">
        <v>120</v>
      </c>
      <c r="BO3837">
        <v>10.85</v>
      </c>
      <c r="BP3837">
        <v>7.39</v>
      </c>
      <c r="BQ3837">
        <v>9.7899999999999991</v>
      </c>
      <c r="BR3837">
        <v>0</v>
      </c>
      <c r="BS3837">
        <v>9.76</v>
      </c>
      <c r="BT3837">
        <v>8.7899999999999991</v>
      </c>
      <c r="BU3837">
        <v>0.87</v>
      </c>
      <c r="BV3837">
        <v>0.41</v>
      </c>
      <c r="BW3837">
        <v>1.05</v>
      </c>
      <c r="BX3837">
        <v>3.32</v>
      </c>
      <c r="BY3837">
        <v>3.65</v>
      </c>
      <c r="BZ3837">
        <v>0.75</v>
      </c>
      <c r="CA3837" t="s">
        <v>120</v>
      </c>
      <c r="CB3837">
        <v>4.62</v>
      </c>
      <c r="CC3837">
        <v>4.7699999999999996</v>
      </c>
      <c r="CD3837">
        <v>2.09</v>
      </c>
      <c r="CE3837">
        <v>0.08</v>
      </c>
      <c r="CF3837">
        <v>0</v>
      </c>
      <c r="CG3837">
        <v>0.06</v>
      </c>
      <c r="CH3837">
        <v>0.06</v>
      </c>
      <c r="CI3837">
        <v>0.06</v>
      </c>
      <c r="CJ3837">
        <v>-0.13</v>
      </c>
      <c r="CK3837">
        <v>0.05</v>
      </c>
      <c r="CL3837">
        <v>2.2400000000000002</v>
      </c>
      <c r="CM3837">
        <v>-0.21</v>
      </c>
      <c r="CN3837">
        <v>-0.78</v>
      </c>
      <c r="CO3837">
        <v>14483</v>
      </c>
      <c r="CP3837">
        <v>4557</v>
      </c>
      <c r="CQ3837" t="s">
        <v>12820</v>
      </c>
      <c r="CR3837">
        <v>125.7</v>
      </c>
      <c r="CS3837">
        <v>22.9</v>
      </c>
      <c r="CT3837">
        <v>1.64</v>
      </c>
      <c r="CU3837">
        <v>-77.23</v>
      </c>
      <c r="CV3837">
        <v>3.37</v>
      </c>
      <c r="CW3837">
        <v>0</v>
      </c>
      <c r="CX3837" t="s">
        <v>2074</v>
      </c>
      <c r="CY3837">
        <v>4.51</v>
      </c>
      <c r="CZ3837">
        <v>0</v>
      </c>
      <c r="DA3837">
        <v>2.13</v>
      </c>
      <c r="DB3837">
        <v>1.03</v>
      </c>
      <c r="DC3837">
        <v>-0.1</v>
      </c>
      <c r="DD3837">
        <v>90.23</v>
      </c>
      <c r="DE3837" t="s">
        <v>8740</v>
      </c>
      <c r="DF3837">
        <v>56.17</v>
      </c>
      <c r="DG3837">
        <v>1.64</v>
      </c>
      <c r="DH3837">
        <v>1.27</v>
      </c>
      <c r="DI3837">
        <v>0</v>
      </c>
      <c r="DJ3837">
        <v>4390</v>
      </c>
      <c r="DK3837">
        <v>603958</v>
      </c>
      <c r="DL3837" t="s">
        <v>120</v>
      </c>
      <c r="DM3837" t="s">
        <v>120</v>
      </c>
      <c r="DN3837" t="s">
        <v>120</v>
      </c>
    </row>
    <row r="3838" spans="1:118">
      <c r="A3838" t="str">
        <f>"603959"</f>
        <v>603959</v>
      </c>
      <c r="B3838" t="s">
        <v>15769</v>
      </c>
      <c r="C3838">
        <v>1.54</v>
      </c>
      <c r="D3838">
        <v>0.06</v>
      </c>
      <c r="E3838">
        <v>-0.95</v>
      </c>
      <c r="F3838">
        <v>1596</v>
      </c>
      <c r="G3838" t="s">
        <v>15770</v>
      </c>
      <c r="H3838">
        <v>21515.71</v>
      </c>
      <c r="I3838">
        <v>166.4</v>
      </c>
      <c r="J3838" t="s">
        <v>120</v>
      </c>
      <c r="K3838" t="s">
        <v>15771</v>
      </c>
      <c r="L3838">
        <v>2.5499999999999998</v>
      </c>
      <c r="M3838">
        <v>17.16</v>
      </c>
      <c r="N3838">
        <v>1.74</v>
      </c>
      <c r="O3838">
        <v>4.62</v>
      </c>
      <c r="P3838">
        <v>17.68</v>
      </c>
      <c r="Q3838">
        <v>-1.18</v>
      </c>
      <c r="R3838">
        <v>16.7</v>
      </c>
      <c r="S3838">
        <v>16.739999999999998</v>
      </c>
      <c r="T3838">
        <v>125159</v>
      </c>
      <c r="U3838">
        <v>17.16</v>
      </c>
      <c r="V3838">
        <v>16.899999999999999</v>
      </c>
      <c r="W3838">
        <v>114.46</v>
      </c>
      <c r="X3838" t="s">
        <v>175</v>
      </c>
      <c r="Y3838" t="s">
        <v>594</v>
      </c>
      <c r="Z3838">
        <v>5.8</v>
      </c>
      <c r="AA3838">
        <v>17.190000000000001</v>
      </c>
      <c r="AB3838">
        <v>60192</v>
      </c>
      <c r="AC3838">
        <v>64967</v>
      </c>
      <c r="AD3838">
        <v>0.93</v>
      </c>
      <c r="AE3838">
        <v>539</v>
      </c>
      <c r="AF3838">
        <v>1</v>
      </c>
      <c r="AG3838" t="s">
        <v>120</v>
      </c>
      <c r="AH3838">
        <v>0.04</v>
      </c>
      <c r="AI3838" t="s">
        <v>120</v>
      </c>
      <c r="AJ3838">
        <v>4.9000000000000004</v>
      </c>
      <c r="AK3838" t="s">
        <v>15771</v>
      </c>
      <c r="AL3838">
        <v>2.88</v>
      </c>
      <c r="AM3838">
        <v>3119</v>
      </c>
      <c r="AN3838">
        <v>40</v>
      </c>
      <c r="AO3838">
        <v>8.0000000000000004E-4</v>
      </c>
      <c r="AP3838">
        <v>4</v>
      </c>
      <c r="AQ3838">
        <v>2.0499999999999998</v>
      </c>
      <c r="AR3838">
        <v>3.81</v>
      </c>
      <c r="AS3838">
        <v>5.28</v>
      </c>
      <c r="AT3838">
        <v>63.59</v>
      </c>
      <c r="AU3838">
        <v>38.83</v>
      </c>
      <c r="AV3838">
        <v>3</v>
      </c>
      <c r="AW3838">
        <v>4.55</v>
      </c>
      <c r="AX3838">
        <v>56.12</v>
      </c>
      <c r="AY3838">
        <v>166.64</v>
      </c>
      <c r="AZ3838">
        <v>350.42</v>
      </c>
      <c r="BA3838">
        <v>0.76</v>
      </c>
      <c r="BB3838" t="s">
        <v>143</v>
      </c>
      <c r="BF3838">
        <v>1.72</v>
      </c>
      <c r="BG3838">
        <v>2.5099999999999998</v>
      </c>
      <c r="BH3838">
        <v>-2.94</v>
      </c>
      <c r="BI3838">
        <v>2.75</v>
      </c>
      <c r="BJ3838">
        <v>20210826</v>
      </c>
      <c r="BK3838">
        <v>20160517</v>
      </c>
      <c r="BL3838">
        <v>4.9000000000000004</v>
      </c>
      <c r="BM3838" t="s">
        <v>120</v>
      </c>
      <c r="BN3838" t="s">
        <v>120</v>
      </c>
      <c r="BO3838">
        <v>26.97</v>
      </c>
      <c r="BP3838">
        <v>17.149999999999999</v>
      </c>
      <c r="BQ3838">
        <v>6.57</v>
      </c>
      <c r="BR3838">
        <v>0.27</v>
      </c>
      <c r="BS3838">
        <v>74.64</v>
      </c>
      <c r="BT3838">
        <v>17.97</v>
      </c>
      <c r="BU3838">
        <v>0.38</v>
      </c>
      <c r="BV3838">
        <v>0.82</v>
      </c>
      <c r="BW3838">
        <v>20.02</v>
      </c>
      <c r="BX3838">
        <v>2.39</v>
      </c>
      <c r="BY3838">
        <v>1.27</v>
      </c>
      <c r="BZ3838">
        <v>6</v>
      </c>
      <c r="CA3838" t="s">
        <v>120</v>
      </c>
      <c r="CB3838">
        <v>2.82</v>
      </c>
      <c r="CC3838">
        <v>3.45</v>
      </c>
      <c r="CD3838">
        <v>2.62</v>
      </c>
      <c r="CE3838">
        <v>0.39</v>
      </c>
      <c r="CF3838">
        <v>0.23</v>
      </c>
      <c r="CG3838">
        <v>0.39</v>
      </c>
      <c r="CH3838">
        <v>0.38</v>
      </c>
      <c r="CI3838">
        <v>0.37</v>
      </c>
      <c r="CJ3838">
        <v>0.26</v>
      </c>
      <c r="CK3838">
        <v>0.35</v>
      </c>
      <c r="CL3838">
        <v>-1.73</v>
      </c>
      <c r="CM3838">
        <v>2.58</v>
      </c>
      <c r="CN3838">
        <v>-0.16</v>
      </c>
      <c r="CO3838">
        <v>12456</v>
      </c>
      <c r="CP3838">
        <v>22091</v>
      </c>
      <c r="CQ3838" t="s">
        <v>15772</v>
      </c>
      <c r="CR3838">
        <v>244.28</v>
      </c>
      <c r="CS3838">
        <v>-56.1</v>
      </c>
      <c r="CT3838">
        <v>12.8</v>
      </c>
      <c r="CU3838">
        <v>32.67</v>
      </c>
      <c r="CV3838">
        <v>24.38</v>
      </c>
      <c r="CW3838">
        <v>0</v>
      </c>
      <c r="CX3838" t="s">
        <v>679</v>
      </c>
      <c r="CY3838">
        <v>1.34</v>
      </c>
      <c r="CZ3838">
        <v>0</v>
      </c>
      <c r="DA3838">
        <v>0.56999999999999995</v>
      </c>
      <c r="DB3838">
        <v>-0.35</v>
      </c>
      <c r="DC3838">
        <v>0.53</v>
      </c>
      <c r="DD3838">
        <v>24.37</v>
      </c>
      <c r="DE3838" t="s">
        <v>7117</v>
      </c>
      <c r="DF3838">
        <v>24.1</v>
      </c>
      <c r="DG3838">
        <v>11.25</v>
      </c>
      <c r="DH3838">
        <v>10.65</v>
      </c>
      <c r="DI3838">
        <v>0.33</v>
      </c>
      <c r="DJ3838">
        <v>703</v>
      </c>
      <c r="DK3838">
        <v>603959</v>
      </c>
      <c r="DL3838" t="s">
        <v>120</v>
      </c>
      <c r="DM3838" t="s">
        <v>120</v>
      </c>
      <c r="DN3838" t="s">
        <v>120</v>
      </c>
    </row>
    <row r="3839" spans="1:118">
      <c r="A3839" t="str">
        <f>"603960"</f>
        <v>603960</v>
      </c>
      <c r="B3839" t="s">
        <v>15773</v>
      </c>
      <c r="C3839">
        <v>-0.78</v>
      </c>
      <c r="D3839">
        <v>-0.02</v>
      </c>
      <c r="E3839">
        <v>0.09</v>
      </c>
      <c r="F3839">
        <v>424</v>
      </c>
      <c r="G3839" t="s">
        <v>15774</v>
      </c>
      <c r="H3839">
        <v>8663.86</v>
      </c>
      <c r="I3839">
        <v>58.94</v>
      </c>
      <c r="J3839" t="s">
        <v>120</v>
      </c>
      <c r="K3839" t="s">
        <v>9064</v>
      </c>
      <c r="L3839">
        <v>1.04</v>
      </c>
      <c r="M3839">
        <v>31.75</v>
      </c>
      <c r="N3839">
        <v>0.68</v>
      </c>
      <c r="O3839">
        <v>2.5299999999999998</v>
      </c>
      <c r="P3839">
        <v>32.81</v>
      </c>
      <c r="Q3839">
        <v>-1.19</v>
      </c>
      <c r="R3839">
        <v>31.62</v>
      </c>
      <c r="S3839">
        <v>32.03</v>
      </c>
      <c r="T3839">
        <v>27055</v>
      </c>
      <c r="U3839">
        <v>31.76</v>
      </c>
      <c r="V3839">
        <v>32</v>
      </c>
      <c r="W3839">
        <v>107.49</v>
      </c>
      <c r="X3839" t="s">
        <v>675</v>
      </c>
      <c r="Y3839" t="s">
        <v>1510</v>
      </c>
      <c r="Z3839">
        <v>3.72</v>
      </c>
      <c r="AA3839">
        <v>32.020000000000003</v>
      </c>
      <c r="AB3839">
        <v>13007</v>
      </c>
      <c r="AC3839">
        <v>14048</v>
      </c>
      <c r="AD3839">
        <v>0.93</v>
      </c>
      <c r="AE3839">
        <v>319</v>
      </c>
      <c r="AF3839">
        <v>25</v>
      </c>
      <c r="AG3839" t="s">
        <v>120</v>
      </c>
      <c r="AH3839">
        <v>0.01</v>
      </c>
      <c r="AI3839" t="s">
        <v>120</v>
      </c>
      <c r="AJ3839">
        <v>2.6</v>
      </c>
      <c r="AK3839" t="s">
        <v>15775</v>
      </c>
      <c r="AL3839">
        <v>0.56000000000000005</v>
      </c>
      <c r="AM3839">
        <v>1861</v>
      </c>
      <c r="AN3839">
        <v>15</v>
      </c>
      <c r="AO3839">
        <v>5.9999999999999995E-4</v>
      </c>
      <c r="AP3839">
        <v>-1</v>
      </c>
      <c r="AQ3839">
        <v>0.19</v>
      </c>
      <c r="AR3839">
        <v>-0.43</v>
      </c>
      <c r="AS3839">
        <v>10.71</v>
      </c>
      <c r="AT3839">
        <v>-8.4700000000000006</v>
      </c>
      <c r="AU3839">
        <v>-32.159999999999997</v>
      </c>
      <c r="AV3839">
        <v>4</v>
      </c>
      <c r="AW3839">
        <v>1.68</v>
      </c>
      <c r="AX3839">
        <v>61.79</v>
      </c>
      <c r="AY3839">
        <v>86.42</v>
      </c>
      <c r="AZ3839">
        <v>64.63</v>
      </c>
      <c r="BA3839">
        <v>1.42</v>
      </c>
      <c r="BB3839" t="s">
        <v>1103</v>
      </c>
      <c r="BF3839">
        <v>7.0000000000000007E-2</v>
      </c>
      <c r="BG3839">
        <v>-0.87</v>
      </c>
      <c r="BH3839">
        <v>-3.23</v>
      </c>
      <c r="BI3839">
        <v>0.41</v>
      </c>
      <c r="BJ3839">
        <v>20210830</v>
      </c>
      <c r="BK3839">
        <v>20170314</v>
      </c>
      <c r="BL3839">
        <v>2.61</v>
      </c>
      <c r="BM3839" t="s">
        <v>120</v>
      </c>
      <c r="BN3839" t="s">
        <v>120</v>
      </c>
      <c r="BO3839">
        <v>11.67</v>
      </c>
      <c r="BP3839">
        <v>31.75</v>
      </c>
      <c r="BQ3839">
        <v>9.57</v>
      </c>
      <c r="BR3839">
        <v>0.52</v>
      </c>
      <c r="BS3839">
        <v>13.6</v>
      </c>
      <c r="BT3839">
        <v>7.34</v>
      </c>
      <c r="BU3839">
        <v>1.54</v>
      </c>
      <c r="BV3839">
        <v>0.79</v>
      </c>
      <c r="BW3839">
        <v>1.57</v>
      </c>
      <c r="BX3839">
        <v>3.91</v>
      </c>
      <c r="BY3839">
        <v>1.19</v>
      </c>
      <c r="BZ3839">
        <v>1.56</v>
      </c>
      <c r="CA3839" t="s">
        <v>120</v>
      </c>
      <c r="CB3839">
        <v>3.13</v>
      </c>
      <c r="CC3839">
        <v>2.8</v>
      </c>
      <c r="CD3839">
        <v>1.96</v>
      </c>
      <c r="CE3839">
        <v>0.4</v>
      </c>
      <c r="CF3839">
        <v>0</v>
      </c>
      <c r="CG3839">
        <v>0.44</v>
      </c>
      <c r="CH3839">
        <v>0.41</v>
      </c>
      <c r="CI3839">
        <v>0.39</v>
      </c>
      <c r="CJ3839">
        <v>-0.25</v>
      </c>
      <c r="CK3839">
        <v>0.35</v>
      </c>
      <c r="CL3839">
        <v>3.47</v>
      </c>
      <c r="CM3839">
        <v>-0.43</v>
      </c>
      <c r="CN3839">
        <v>-1.1000000000000001</v>
      </c>
      <c r="CO3839">
        <v>13352</v>
      </c>
      <c r="CP3839">
        <v>12077</v>
      </c>
      <c r="CQ3839" t="s">
        <v>15776</v>
      </c>
      <c r="CR3839">
        <v>-45.8</v>
      </c>
      <c r="CS3839">
        <v>-27.45</v>
      </c>
      <c r="CT3839">
        <v>8.66</v>
      </c>
      <c r="CU3839">
        <v>-191.86</v>
      </c>
      <c r="CV3839">
        <v>29.59</v>
      </c>
      <c r="CW3839">
        <v>0.47</v>
      </c>
      <c r="CX3839" t="s">
        <v>373</v>
      </c>
      <c r="CY3839">
        <v>3.67</v>
      </c>
      <c r="CZ3839">
        <v>0</v>
      </c>
      <c r="DA3839">
        <v>1.2</v>
      </c>
      <c r="DB3839">
        <v>1.33</v>
      </c>
      <c r="DC3839">
        <v>-0.17</v>
      </c>
      <c r="DD3839">
        <v>81.95</v>
      </c>
      <c r="DE3839" t="s">
        <v>10699</v>
      </c>
      <c r="DF3839">
        <v>29.83</v>
      </c>
      <c r="DG3839">
        <v>14.32</v>
      </c>
      <c r="DH3839">
        <v>13.76</v>
      </c>
      <c r="DI3839">
        <v>0.22</v>
      </c>
      <c r="DJ3839">
        <v>701</v>
      </c>
      <c r="DK3839">
        <v>603960</v>
      </c>
      <c r="DL3839" t="s">
        <v>120</v>
      </c>
      <c r="DM3839" t="s">
        <v>120</v>
      </c>
      <c r="DN3839" t="s">
        <v>120</v>
      </c>
    </row>
    <row r="3840" spans="1:118">
      <c r="A3840" t="str">
        <f>"603963"</f>
        <v>603963</v>
      </c>
      <c r="B3840" t="s">
        <v>15777</v>
      </c>
      <c r="C3840">
        <v>-0.82</v>
      </c>
      <c r="D3840">
        <v>0</v>
      </c>
      <c r="E3840">
        <v>-0.27</v>
      </c>
      <c r="F3840">
        <v>87</v>
      </c>
      <c r="G3840" t="s">
        <v>15778</v>
      </c>
      <c r="H3840">
        <v>828.44</v>
      </c>
      <c r="I3840">
        <v>0.44</v>
      </c>
      <c r="J3840" t="s">
        <v>120</v>
      </c>
      <c r="K3840" t="s">
        <v>13724</v>
      </c>
      <c r="L3840">
        <v>0.51</v>
      </c>
      <c r="M3840">
        <v>7.26</v>
      </c>
      <c r="N3840">
        <v>1.1000000000000001</v>
      </c>
      <c r="O3840">
        <v>1.37</v>
      </c>
      <c r="P3840">
        <v>7.42</v>
      </c>
      <c r="Q3840">
        <v>-1.64</v>
      </c>
      <c r="R3840">
        <v>7.2</v>
      </c>
      <c r="S3840">
        <v>7.3</v>
      </c>
      <c r="T3840">
        <v>11308</v>
      </c>
      <c r="U3840">
        <v>7.27</v>
      </c>
      <c r="V3840">
        <v>7.32</v>
      </c>
      <c r="W3840" t="s">
        <v>120</v>
      </c>
      <c r="X3840" t="s">
        <v>569</v>
      </c>
      <c r="Y3840" t="s">
        <v>1006</v>
      </c>
      <c r="Z3840">
        <v>3.01</v>
      </c>
      <c r="AA3840">
        <v>7.33</v>
      </c>
      <c r="AB3840">
        <v>6076</v>
      </c>
      <c r="AC3840">
        <v>5232</v>
      </c>
      <c r="AD3840">
        <v>1.1599999999999999</v>
      </c>
      <c r="AE3840">
        <v>41</v>
      </c>
      <c r="AF3840">
        <v>76</v>
      </c>
      <c r="AG3840" t="s">
        <v>120</v>
      </c>
      <c r="AH3840">
        <v>0</v>
      </c>
      <c r="AI3840" t="s">
        <v>120</v>
      </c>
      <c r="AJ3840">
        <v>2.2000000000000002</v>
      </c>
      <c r="AK3840" t="s">
        <v>13724</v>
      </c>
      <c r="AL3840">
        <v>0.52</v>
      </c>
      <c r="AM3840">
        <v>578</v>
      </c>
      <c r="AN3840">
        <v>20</v>
      </c>
      <c r="AO3840">
        <v>8.9999999999999998E-4</v>
      </c>
      <c r="AP3840">
        <v>-1</v>
      </c>
      <c r="AQ3840">
        <v>0</v>
      </c>
      <c r="AR3840">
        <v>-1.23</v>
      </c>
      <c r="AS3840">
        <v>-3.2</v>
      </c>
      <c r="AT3840">
        <v>-5.59</v>
      </c>
      <c r="AU3840">
        <v>-6.37</v>
      </c>
      <c r="AV3840">
        <v>2</v>
      </c>
      <c r="AW3840">
        <v>1.94</v>
      </c>
      <c r="AX3840">
        <v>26.5</v>
      </c>
      <c r="AY3840">
        <v>1062.93</v>
      </c>
      <c r="AZ3840">
        <v>497.64</v>
      </c>
      <c r="BA3840">
        <v>0.56999999999999995</v>
      </c>
      <c r="BB3840" t="s">
        <v>143</v>
      </c>
      <c r="BF3840">
        <v>0.09</v>
      </c>
      <c r="BG3840">
        <v>-0.55000000000000004</v>
      </c>
      <c r="BH3840">
        <v>-2.16</v>
      </c>
      <c r="BI3840">
        <v>0.83</v>
      </c>
      <c r="BJ3840">
        <v>20210825</v>
      </c>
      <c r="BK3840">
        <v>20170922</v>
      </c>
      <c r="BL3840">
        <v>2.2000000000000002</v>
      </c>
      <c r="BM3840" t="s">
        <v>120</v>
      </c>
      <c r="BN3840" t="s">
        <v>120</v>
      </c>
      <c r="BO3840">
        <v>5.65</v>
      </c>
      <c r="BP3840">
        <v>7.26</v>
      </c>
      <c r="BQ3840">
        <v>4.5999999999999996</v>
      </c>
      <c r="BR3840" t="s">
        <v>120</v>
      </c>
      <c r="BS3840">
        <v>18.66</v>
      </c>
      <c r="BT3840">
        <v>3.66</v>
      </c>
      <c r="BU3840">
        <v>0.62</v>
      </c>
      <c r="BV3840">
        <v>0.55000000000000004</v>
      </c>
      <c r="BW3840">
        <v>0.82</v>
      </c>
      <c r="BX3840">
        <v>0.42</v>
      </c>
      <c r="BY3840">
        <v>0.68</v>
      </c>
      <c r="BZ3840">
        <v>0.08</v>
      </c>
      <c r="CA3840" t="s">
        <v>120</v>
      </c>
      <c r="CB3840">
        <v>1.18</v>
      </c>
      <c r="CC3840">
        <v>0.92</v>
      </c>
      <c r="CD3840">
        <v>0.22</v>
      </c>
      <c r="CE3840">
        <v>-0.01</v>
      </c>
      <c r="CF3840">
        <v>0.04</v>
      </c>
      <c r="CG3840">
        <v>-0.01</v>
      </c>
      <c r="CH3840">
        <v>-0.01</v>
      </c>
      <c r="CI3840">
        <v>-0.01</v>
      </c>
      <c r="CJ3840">
        <v>-0.06</v>
      </c>
      <c r="CK3840">
        <v>-0.04</v>
      </c>
      <c r="CL3840">
        <v>0.89</v>
      </c>
      <c r="CM3840">
        <v>-0.08</v>
      </c>
      <c r="CN3840">
        <v>-0.21</v>
      </c>
      <c r="CO3840">
        <v>14484</v>
      </c>
      <c r="CP3840">
        <v>4020</v>
      </c>
      <c r="CQ3840" t="s">
        <v>3702</v>
      </c>
      <c r="CR3840">
        <v>-314.98</v>
      </c>
      <c r="CS3840">
        <v>-11.37</v>
      </c>
      <c r="CT3840">
        <v>3.47</v>
      </c>
      <c r="CU3840">
        <v>-189.74</v>
      </c>
      <c r="CV3840">
        <v>17.329999999999998</v>
      </c>
      <c r="CW3840">
        <v>0.63</v>
      </c>
      <c r="CX3840" t="s">
        <v>7668</v>
      </c>
      <c r="CY3840">
        <v>2.09</v>
      </c>
      <c r="CZ3840">
        <v>0</v>
      </c>
      <c r="DA3840">
        <v>0.54</v>
      </c>
      <c r="DB3840">
        <v>0.41</v>
      </c>
      <c r="DC3840">
        <v>-0.04</v>
      </c>
      <c r="DD3840">
        <v>81.34</v>
      </c>
      <c r="DE3840" t="s">
        <v>15779</v>
      </c>
      <c r="DF3840">
        <v>75.89</v>
      </c>
      <c r="DG3840">
        <v>-1.28</v>
      </c>
      <c r="DH3840">
        <v>-1.27</v>
      </c>
      <c r="DI3840">
        <v>0.01</v>
      </c>
      <c r="DJ3840">
        <v>298</v>
      </c>
      <c r="DK3840">
        <v>603963</v>
      </c>
      <c r="DL3840" t="s">
        <v>120</v>
      </c>
      <c r="DM3840" t="s">
        <v>120</v>
      </c>
      <c r="DN3840" t="s">
        <v>120</v>
      </c>
    </row>
    <row r="3841" spans="1:118">
      <c r="A3841" t="str">
        <f>"603966"</f>
        <v>603966</v>
      </c>
      <c r="B3841" t="s">
        <v>15780</v>
      </c>
      <c r="C3841">
        <v>-0.54</v>
      </c>
      <c r="D3841">
        <v>-0.1</v>
      </c>
      <c r="E3841">
        <v>0.11</v>
      </c>
      <c r="F3841">
        <v>329</v>
      </c>
      <c r="G3841" t="s">
        <v>6245</v>
      </c>
      <c r="H3841">
        <v>2046.19</v>
      </c>
      <c r="I3841">
        <v>6.81</v>
      </c>
      <c r="J3841" t="s">
        <v>120</v>
      </c>
      <c r="K3841" t="s">
        <v>8361</v>
      </c>
      <c r="L3841">
        <v>0.75</v>
      </c>
      <c r="M3841">
        <v>9.14</v>
      </c>
      <c r="N3841">
        <v>0.55000000000000004</v>
      </c>
      <c r="O3841">
        <v>0.76</v>
      </c>
      <c r="P3841">
        <v>9.26</v>
      </c>
      <c r="Q3841">
        <v>-1.2</v>
      </c>
      <c r="R3841">
        <v>9.08</v>
      </c>
      <c r="S3841">
        <v>9.1999999999999993</v>
      </c>
      <c r="T3841">
        <v>22328</v>
      </c>
      <c r="U3841">
        <v>9.14</v>
      </c>
      <c r="V3841">
        <v>9.19</v>
      </c>
      <c r="W3841">
        <v>15.64</v>
      </c>
      <c r="X3841" t="s">
        <v>959</v>
      </c>
      <c r="Y3841" t="s">
        <v>319</v>
      </c>
      <c r="Z3841">
        <v>1.96</v>
      </c>
      <c r="AA3841">
        <v>9.16</v>
      </c>
      <c r="AB3841">
        <v>13353</v>
      </c>
      <c r="AC3841">
        <v>8975</v>
      </c>
      <c r="AD3841">
        <v>1.49</v>
      </c>
      <c r="AE3841">
        <v>20</v>
      </c>
      <c r="AF3841">
        <v>36</v>
      </c>
      <c r="AG3841" t="s">
        <v>120</v>
      </c>
      <c r="AH3841">
        <v>0</v>
      </c>
      <c r="AI3841" t="s">
        <v>120</v>
      </c>
      <c r="AJ3841">
        <v>2.99</v>
      </c>
      <c r="AK3841" t="s">
        <v>14713</v>
      </c>
      <c r="AL3841">
        <v>0.8</v>
      </c>
      <c r="AM3841">
        <v>1145</v>
      </c>
      <c r="AN3841">
        <v>20</v>
      </c>
      <c r="AO3841">
        <v>6.9999999999999999E-4</v>
      </c>
      <c r="AP3841">
        <v>-6</v>
      </c>
      <c r="AQ3841">
        <v>-0.54</v>
      </c>
      <c r="AR3841">
        <v>-1.62</v>
      </c>
      <c r="AS3841">
        <v>16.43</v>
      </c>
      <c r="AT3841">
        <v>6.28</v>
      </c>
      <c r="AU3841">
        <v>-15.09</v>
      </c>
      <c r="AV3841">
        <v>1</v>
      </c>
      <c r="AW3841">
        <v>1.49</v>
      </c>
      <c r="AX3841">
        <v>49.76</v>
      </c>
      <c r="AY3841">
        <v>15.71</v>
      </c>
      <c r="AZ3841">
        <v>17.829999999999998</v>
      </c>
      <c r="BA3841">
        <v>1.08</v>
      </c>
      <c r="BB3841" t="s">
        <v>143</v>
      </c>
      <c r="BF3841">
        <v>-0.28000000000000003</v>
      </c>
      <c r="BG3841">
        <v>-0.65</v>
      </c>
      <c r="BH3841">
        <v>-1.3</v>
      </c>
      <c r="BI3841">
        <v>0.66</v>
      </c>
      <c r="BJ3841">
        <v>20210824</v>
      </c>
      <c r="BK3841">
        <v>20170125</v>
      </c>
      <c r="BL3841">
        <v>3</v>
      </c>
      <c r="BM3841" t="s">
        <v>120</v>
      </c>
      <c r="BN3841" t="s">
        <v>120</v>
      </c>
      <c r="BO3841">
        <v>29.37</v>
      </c>
      <c r="BP3841">
        <v>9.11</v>
      </c>
      <c r="BQ3841">
        <v>12.26</v>
      </c>
      <c r="BR3841">
        <v>0.02</v>
      </c>
      <c r="BS3841">
        <v>58.2</v>
      </c>
      <c r="BT3841">
        <v>19.510000000000002</v>
      </c>
      <c r="BU3841">
        <v>2.76</v>
      </c>
      <c r="BV3841">
        <v>0.96</v>
      </c>
      <c r="BW3841">
        <v>12.88</v>
      </c>
      <c r="BX3841">
        <v>7.77</v>
      </c>
      <c r="BY3841">
        <v>6.56</v>
      </c>
      <c r="BZ3841">
        <v>2.72</v>
      </c>
      <c r="CA3841" t="s">
        <v>120</v>
      </c>
      <c r="CB3841">
        <v>3.64</v>
      </c>
      <c r="CC3841">
        <v>7.33</v>
      </c>
      <c r="CD3841">
        <v>5.37</v>
      </c>
      <c r="CE3841">
        <v>1.07</v>
      </c>
      <c r="CF3841">
        <v>0.09</v>
      </c>
      <c r="CG3841">
        <v>1.07</v>
      </c>
      <c r="CH3841">
        <v>0.88</v>
      </c>
      <c r="CI3841">
        <v>0.88</v>
      </c>
      <c r="CJ3841">
        <v>-0.05</v>
      </c>
      <c r="CK3841">
        <v>0.79</v>
      </c>
      <c r="CL3841">
        <v>5.22</v>
      </c>
      <c r="CM3841">
        <v>0.33</v>
      </c>
      <c r="CN3841">
        <v>0.9</v>
      </c>
      <c r="CO3841">
        <v>15336</v>
      </c>
      <c r="CP3841">
        <v>9745</v>
      </c>
      <c r="CQ3841" t="s">
        <v>3105</v>
      </c>
      <c r="CR3841">
        <v>31.37</v>
      </c>
      <c r="CS3841">
        <v>39.020000000000003</v>
      </c>
      <c r="CT3841">
        <v>2.2400000000000002</v>
      </c>
      <c r="CU3841">
        <v>82.45</v>
      </c>
      <c r="CV3841">
        <v>3.75</v>
      </c>
      <c r="CW3841">
        <v>2.3199999999999998</v>
      </c>
      <c r="CX3841" t="s">
        <v>2504</v>
      </c>
      <c r="CY3841">
        <v>4.08</v>
      </c>
      <c r="CZ3841">
        <v>0</v>
      </c>
      <c r="DA3841">
        <v>1.21</v>
      </c>
      <c r="DB3841">
        <v>1.74</v>
      </c>
      <c r="DC3841">
        <v>0.11</v>
      </c>
      <c r="DD3841">
        <v>41.73</v>
      </c>
      <c r="DE3841" t="s">
        <v>9053</v>
      </c>
      <c r="DF3841">
        <v>26.68</v>
      </c>
      <c r="DG3841">
        <v>14.64</v>
      </c>
      <c r="DH3841">
        <v>11.98</v>
      </c>
      <c r="DI3841">
        <v>0.31</v>
      </c>
      <c r="DJ3841">
        <v>1195</v>
      </c>
      <c r="DK3841">
        <v>603966</v>
      </c>
      <c r="DL3841" t="s">
        <v>120</v>
      </c>
      <c r="DM3841" t="s">
        <v>120</v>
      </c>
      <c r="DN3841" t="s">
        <v>120</v>
      </c>
    </row>
    <row r="3842" spans="1:118">
      <c r="A3842" t="str">
        <f>"603967"</f>
        <v>603967</v>
      </c>
      <c r="B3842" t="s">
        <v>15781</v>
      </c>
      <c r="C3842">
        <v>2.62</v>
      </c>
      <c r="D3842">
        <v>-7.0000000000000007E-2</v>
      </c>
      <c r="E3842">
        <v>-0.17</v>
      </c>
      <c r="F3842">
        <v>663</v>
      </c>
      <c r="G3842" t="s">
        <v>15782</v>
      </c>
      <c r="H3842">
        <v>7364.12</v>
      </c>
      <c r="I3842">
        <v>0.59</v>
      </c>
      <c r="J3842" t="s">
        <v>120</v>
      </c>
      <c r="K3842" t="s">
        <v>15782</v>
      </c>
      <c r="L3842">
        <v>6.44</v>
      </c>
      <c r="M3842">
        <v>12.13</v>
      </c>
      <c r="N3842">
        <v>3.8</v>
      </c>
      <c r="O3842">
        <v>5.75</v>
      </c>
      <c r="P3842">
        <v>12.5</v>
      </c>
      <c r="Q3842">
        <v>-0.17</v>
      </c>
      <c r="R3842">
        <v>11.8</v>
      </c>
      <c r="S3842">
        <v>11.8</v>
      </c>
      <c r="T3842">
        <v>60121</v>
      </c>
      <c r="U3842">
        <v>12.14</v>
      </c>
      <c r="V3842">
        <v>11.82</v>
      </c>
      <c r="W3842">
        <v>15.77</v>
      </c>
      <c r="X3842" t="s">
        <v>2775</v>
      </c>
      <c r="Y3842" t="s">
        <v>638</v>
      </c>
      <c r="Z3842">
        <v>5.92</v>
      </c>
      <c r="AA3842">
        <v>12.25</v>
      </c>
      <c r="AB3842">
        <v>28488</v>
      </c>
      <c r="AC3842">
        <v>31633</v>
      </c>
      <c r="AD3842">
        <v>0.9</v>
      </c>
      <c r="AE3842">
        <v>424</v>
      </c>
      <c r="AF3842">
        <v>34</v>
      </c>
      <c r="AG3842" t="s">
        <v>120</v>
      </c>
      <c r="AH3842">
        <v>0</v>
      </c>
      <c r="AI3842" t="s">
        <v>120</v>
      </c>
      <c r="AJ3842">
        <v>0.93</v>
      </c>
      <c r="AK3842" t="s">
        <v>4682</v>
      </c>
      <c r="AL3842">
        <v>3.97</v>
      </c>
      <c r="AM3842">
        <v>2144</v>
      </c>
      <c r="AN3842">
        <v>28</v>
      </c>
      <c r="AO3842">
        <v>3.0000000000000001E-3</v>
      </c>
      <c r="AP3842">
        <v>2</v>
      </c>
      <c r="AQ3842">
        <v>0.51</v>
      </c>
      <c r="AR3842">
        <v>1.25</v>
      </c>
      <c r="AS3842">
        <v>6.5</v>
      </c>
      <c r="AT3842">
        <v>3.24</v>
      </c>
      <c r="AU3842">
        <v>-7.3</v>
      </c>
      <c r="AV3842">
        <v>1</v>
      </c>
      <c r="AW3842">
        <v>6.44</v>
      </c>
      <c r="AX3842">
        <v>34.99</v>
      </c>
      <c r="AY3842">
        <v>16.510000000000002</v>
      </c>
      <c r="AZ3842">
        <v>17.88</v>
      </c>
      <c r="BA3842">
        <v>0.62</v>
      </c>
      <c r="BB3842" t="s">
        <v>143</v>
      </c>
      <c r="BF3842">
        <v>3.63</v>
      </c>
      <c r="BG3842">
        <v>2.8</v>
      </c>
      <c r="BH3842">
        <v>-2.96</v>
      </c>
      <c r="BI3842">
        <v>2.8</v>
      </c>
      <c r="BJ3842">
        <v>20210816</v>
      </c>
      <c r="BK3842">
        <v>20190429</v>
      </c>
      <c r="BL3842">
        <v>2.67</v>
      </c>
      <c r="BM3842" t="s">
        <v>120</v>
      </c>
      <c r="BN3842" t="s">
        <v>120</v>
      </c>
      <c r="BO3842">
        <v>33.11</v>
      </c>
      <c r="BP3842">
        <v>12.13</v>
      </c>
      <c r="BQ3842">
        <v>19.809999999999999</v>
      </c>
      <c r="BR3842">
        <v>1.04</v>
      </c>
      <c r="BS3842">
        <v>37.03</v>
      </c>
      <c r="BT3842">
        <v>18.46</v>
      </c>
      <c r="BU3842">
        <v>3.94</v>
      </c>
      <c r="BV3842">
        <v>4.25</v>
      </c>
      <c r="BW3842">
        <v>10.45</v>
      </c>
      <c r="BX3842">
        <v>2.73</v>
      </c>
      <c r="BY3842">
        <v>0.1</v>
      </c>
      <c r="BZ3842">
        <v>12.02</v>
      </c>
      <c r="CA3842">
        <v>7.0000000000000007E-2</v>
      </c>
      <c r="CB3842">
        <v>8.9600000000000009</v>
      </c>
      <c r="CC3842">
        <v>47.54</v>
      </c>
      <c r="CD3842">
        <v>45.43</v>
      </c>
      <c r="CE3842">
        <v>1.55</v>
      </c>
      <c r="CF3842">
        <v>0.2</v>
      </c>
      <c r="CG3842">
        <v>1.57</v>
      </c>
      <c r="CH3842">
        <v>1.23</v>
      </c>
      <c r="CI3842">
        <v>1.03</v>
      </c>
      <c r="CJ3842">
        <v>0.31</v>
      </c>
      <c r="CK3842">
        <v>0.94</v>
      </c>
      <c r="CL3842">
        <v>6.86</v>
      </c>
      <c r="CM3842">
        <v>-1.1399999999999999</v>
      </c>
      <c r="CN3842">
        <v>-2.31</v>
      </c>
      <c r="CO3842">
        <v>18542</v>
      </c>
      <c r="CP3842">
        <v>5032</v>
      </c>
      <c r="CQ3842" t="s">
        <v>6421</v>
      </c>
      <c r="CR3842">
        <v>16.600000000000001</v>
      </c>
      <c r="CS3842">
        <v>109.99</v>
      </c>
      <c r="CT3842">
        <v>1.63</v>
      </c>
      <c r="CU3842">
        <v>-28.35</v>
      </c>
      <c r="CV3842">
        <v>0.68</v>
      </c>
      <c r="CW3842">
        <v>3.17</v>
      </c>
      <c r="CX3842" t="s">
        <v>2429</v>
      </c>
      <c r="CY3842">
        <v>7.43</v>
      </c>
      <c r="CZ3842">
        <v>0</v>
      </c>
      <c r="DA3842">
        <v>3.36</v>
      </c>
      <c r="DB3842">
        <v>2.57</v>
      </c>
      <c r="DC3842">
        <v>-0.43</v>
      </c>
      <c r="DD3842">
        <v>59.83</v>
      </c>
      <c r="DE3842" t="s">
        <v>153</v>
      </c>
      <c r="DF3842">
        <v>4.4400000000000004</v>
      </c>
      <c r="DG3842">
        <v>3.26</v>
      </c>
      <c r="DH3842">
        <v>2.16</v>
      </c>
      <c r="DI3842">
        <v>0.01</v>
      </c>
      <c r="DJ3842">
        <v>1377</v>
      </c>
      <c r="DK3842">
        <v>603967</v>
      </c>
      <c r="DL3842" t="s">
        <v>120</v>
      </c>
      <c r="DM3842" t="s">
        <v>120</v>
      </c>
      <c r="DN3842" t="s">
        <v>120</v>
      </c>
    </row>
    <row r="3843" spans="1:118">
      <c r="A3843" t="str">
        <f>"603968"</f>
        <v>603968</v>
      </c>
      <c r="B3843" t="s">
        <v>15783</v>
      </c>
      <c r="C3843">
        <v>1.51</v>
      </c>
      <c r="D3843">
        <v>-0.09</v>
      </c>
      <c r="E3843">
        <v>-1.41</v>
      </c>
      <c r="F3843">
        <v>770</v>
      </c>
      <c r="G3843" t="s">
        <v>9066</v>
      </c>
      <c r="H3843">
        <v>19807.02</v>
      </c>
      <c r="I3843">
        <v>112.27</v>
      </c>
      <c r="J3843" t="s">
        <v>120</v>
      </c>
      <c r="K3843" t="s">
        <v>3642</v>
      </c>
      <c r="L3843">
        <v>4.95</v>
      </c>
      <c r="M3843">
        <v>19.46</v>
      </c>
      <c r="N3843">
        <v>0.93</v>
      </c>
      <c r="O3843">
        <v>5.48</v>
      </c>
      <c r="P3843">
        <v>20.22</v>
      </c>
      <c r="Q3843">
        <v>-3.23</v>
      </c>
      <c r="R3843">
        <v>18.55</v>
      </c>
      <c r="S3843">
        <v>18.899999999999999</v>
      </c>
      <c r="T3843">
        <v>101299</v>
      </c>
      <c r="U3843">
        <v>19.47</v>
      </c>
      <c r="V3843">
        <v>19.170000000000002</v>
      </c>
      <c r="W3843">
        <v>24.66</v>
      </c>
      <c r="X3843" t="s">
        <v>868</v>
      </c>
      <c r="Y3843" t="s">
        <v>319</v>
      </c>
      <c r="Z3843">
        <v>8.7100000000000009</v>
      </c>
      <c r="AA3843">
        <v>19.55</v>
      </c>
      <c r="AB3843">
        <v>52353</v>
      </c>
      <c r="AC3843">
        <v>48946</v>
      </c>
      <c r="AD3843">
        <v>1.07</v>
      </c>
      <c r="AE3843">
        <v>1</v>
      </c>
      <c r="AF3843">
        <v>104</v>
      </c>
      <c r="AG3843" t="s">
        <v>120</v>
      </c>
      <c r="AH3843">
        <v>0.06</v>
      </c>
      <c r="AI3843" t="s">
        <v>120</v>
      </c>
      <c r="AJ3843">
        <v>2.04</v>
      </c>
      <c r="AK3843" t="s">
        <v>3642</v>
      </c>
      <c r="AL3843">
        <v>2.86</v>
      </c>
      <c r="AM3843">
        <v>3100</v>
      </c>
      <c r="AN3843">
        <v>33</v>
      </c>
      <c r="AO3843">
        <v>1.6000000000000001E-3</v>
      </c>
      <c r="AP3843">
        <v>2</v>
      </c>
      <c r="AQ3843">
        <v>9.17</v>
      </c>
      <c r="AR3843">
        <v>6.17</v>
      </c>
      <c r="AS3843">
        <v>39</v>
      </c>
      <c r="AT3843">
        <v>38.020000000000003</v>
      </c>
      <c r="AU3843">
        <v>20.05</v>
      </c>
      <c r="AV3843">
        <v>2</v>
      </c>
      <c r="AW3843">
        <v>10.38</v>
      </c>
      <c r="AX3843">
        <v>47.72</v>
      </c>
      <c r="AY3843">
        <v>19.7</v>
      </c>
      <c r="AZ3843">
        <v>15.83</v>
      </c>
      <c r="BA3843">
        <v>0.74</v>
      </c>
      <c r="BB3843" t="s">
        <v>700</v>
      </c>
      <c r="BF3843">
        <v>2</v>
      </c>
      <c r="BG3843">
        <v>2.96</v>
      </c>
      <c r="BH3843">
        <v>-3.76</v>
      </c>
      <c r="BI3843">
        <v>4.91</v>
      </c>
      <c r="BJ3843">
        <v>20210818</v>
      </c>
      <c r="BK3843">
        <v>20150518</v>
      </c>
      <c r="BL3843">
        <v>2.04</v>
      </c>
      <c r="BM3843" t="s">
        <v>120</v>
      </c>
      <c r="BN3843" t="s">
        <v>120</v>
      </c>
      <c r="BO3843">
        <v>25.76</v>
      </c>
      <c r="BP3843">
        <v>19.46</v>
      </c>
      <c r="BQ3843">
        <v>17.079999999999998</v>
      </c>
      <c r="BR3843" t="s">
        <v>120</v>
      </c>
      <c r="BS3843">
        <v>33.69</v>
      </c>
      <c r="BT3843">
        <v>18.28</v>
      </c>
      <c r="BU3843">
        <v>3.92</v>
      </c>
      <c r="BV3843">
        <v>0.92</v>
      </c>
      <c r="BW3843">
        <v>8.1199999999999992</v>
      </c>
      <c r="BX3843">
        <v>4.7</v>
      </c>
      <c r="BY3843">
        <v>1.9</v>
      </c>
      <c r="BZ3843">
        <v>4.0599999999999996</v>
      </c>
      <c r="CA3843" t="s">
        <v>120</v>
      </c>
      <c r="CB3843">
        <v>3.97</v>
      </c>
      <c r="CC3843">
        <v>14.11</v>
      </c>
      <c r="CD3843">
        <v>12.43</v>
      </c>
      <c r="CE3843">
        <v>0.96</v>
      </c>
      <c r="CF3843">
        <v>0.25</v>
      </c>
      <c r="CG3843">
        <v>0.95</v>
      </c>
      <c r="CH3843">
        <v>0.81</v>
      </c>
      <c r="CI3843">
        <v>0.81</v>
      </c>
      <c r="CJ3843">
        <v>0.28999999999999998</v>
      </c>
      <c r="CK3843">
        <v>0.6</v>
      </c>
      <c r="CL3843">
        <v>10.06</v>
      </c>
      <c r="CM3843">
        <v>0.28999999999999998</v>
      </c>
      <c r="CN3843">
        <v>-4.2300000000000004</v>
      </c>
      <c r="CO3843">
        <v>15528</v>
      </c>
      <c r="CP3843">
        <v>6284</v>
      </c>
      <c r="CQ3843" t="s">
        <v>8806</v>
      </c>
      <c r="CR3843">
        <v>-37.56</v>
      </c>
      <c r="CS3843">
        <v>23.02</v>
      </c>
      <c r="CT3843">
        <v>2.33</v>
      </c>
      <c r="CU3843">
        <v>138.87</v>
      </c>
      <c r="CV3843">
        <v>2.82</v>
      </c>
      <c r="CW3843">
        <v>2.61</v>
      </c>
      <c r="CX3843" t="s">
        <v>1980</v>
      </c>
      <c r="CY3843">
        <v>8.35</v>
      </c>
      <c r="CZ3843">
        <v>0</v>
      </c>
      <c r="DA3843">
        <v>1.94</v>
      </c>
      <c r="DB3843">
        <v>4.92</v>
      </c>
      <c r="DC3843">
        <v>0.14000000000000001</v>
      </c>
      <c r="DD3843">
        <v>66.31</v>
      </c>
      <c r="DE3843" t="s">
        <v>2571</v>
      </c>
      <c r="DF3843">
        <v>11.9</v>
      </c>
      <c r="DG3843">
        <v>6.8</v>
      </c>
      <c r="DH3843">
        <v>5.72</v>
      </c>
      <c r="DI3843">
        <v>0.12</v>
      </c>
      <c r="DJ3843">
        <v>761</v>
      </c>
      <c r="DK3843">
        <v>603968</v>
      </c>
      <c r="DL3843" t="s">
        <v>120</v>
      </c>
      <c r="DM3843" t="s">
        <v>120</v>
      </c>
      <c r="DN3843" t="s">
        <v>120</v>
      </c>
    </row>
    <row r="3844" spans="1:118">
      <c r="A3844" t="str">
        <f>"603969"</f>
        <v>603969</v>
      </c>
      <c r="B3844" t="s">
        <v>15784</v>
      </c>
      <c r="C3844">
        <v>-1.9</v>
      </c>
      <c r="D3844">
        <v>0</v>
      </c>
      <c r="E3844">
        <v>-0.42</v>
      </c>
      <c r="F3844">
        <v>3034</v>
      </c>
      <c r="G3844" t="s">
        <v>15785</v>
      </c>
      <c r="H3844">
        <v>16168.51</v>
      </c>
      <c r="I3844">
        <v>54.17</v>
      </c>
      <c r="J3844" t="s">
        <v>120</v>
      </c>
      <c r="K3844" t="s">
        <v>7368</v>
      </c>
      <c r="L3844">
        <v>4.1100000000000003</v>
      </c>
      <c r="M3844">
        <v>4.6399999999999997</v>
      </c>
      <c r="N3844">
        <v>1.02</v>
      </c>
      <c r="O3844">
        <v>1.06</v>
      </c>
      <c r="P3844">
        <v>4.78</v>
      </c>
      <c r="Q3844">
        <v>-3.38</v>
      </c>
      <c r="R3844">
        <v>4.57</v>
      </c>
      <c r="S3844">
        <v>4.71</v>
      </c>
      <c r="T3844">
        <v>345676</v>
      </c>
      <c r="U3844">
        <v>4.6500000000000004</v>
      </c>
      <c r="V3844">
        <v>4.7300000000000004</v>
      </c>
      <c r="W3844">
        <v>18.399999999999999</v>
      </c>
      <c r="X3844" t="s">
        <v>247</v>
      </c>
      <c r="Y3844" t="s">
        <v>997</v>
      </c>
      <c r="Z3844">
        <v>4.4400000000000004</v>
      </c>
      <c r="AA3844">
        <v>4.68</v>
      </c>
      <c r="AB3844">
        <v>193072</v>
      </c>
      <c r="AC3844">
        <v>152604</v>
      </c>
      <c r="AD3844">
        <v>1.27</v>
      </c>
      <c r="AE3844">
        <v>350</v>
      </c>
      <c r="AF3844">
        <v>1103</v>
      </c>
      <c r="AG3844" t="s">
        <v>120</v>
      </c>
      <c r="AH3844">
        <v>0.03</v>
      </c>
      <c r="AI3844" t="s">
        <v>120</v>
      </c>
      <c r="AJ3844">
        <v>8.41</v>
      </c>
      <c r="AK3844" t="s">
        <v>7368</v>
      </c>
      <c r="AL3844">
        <v>-0.56000000000000005</v>
      </c>
      <c r="AM3844">
        <v>3245</v>
      </c>
      <c r="AN3844">
        <v>107</v>
      </c>
      <c r="AO3844">
        <v>1.2999999999999999E-3</v>
      </c>
      <c r="AP3844">
        <v>-1</v>
      </c>
      <c r="AQ3844">
        <v>3.05</v>
      </c>
      <c r="AR3844">
        <v>-0.43</v>
      </c>
      <c r="AS3844">
        <v>24.06</v>
      </c>
      <c r="AT3844">
        <v>11.01</v>
      </c>
      <c r="AU3844">
        <v>18.97</v>
      </c>
      <c r="AV3844">
        <v>2</v>
      </c>
      <c r="AW3844">
        <v>8.51</v>
      </c>
      <c r="AX3844">
        <v>48.32</v>
      </c>
      <c r="AY3844">
        <v>20.72</v>
      </c>
      <c r="AZ3844">
        <v>29.13</v>
      </c>
      <c r="BA3844">
        <v>0.75</v>
      </c>
      <c r="BB3844" t="s">
        <v>184</v>
      </c>
      <c r="BF3844">
        <v>-1.1100000000000001</v>
      </c>
      <c r="BG3844">
        <v>-1.49</v>
      </c>
      <c r="BH3844">
        <v>-2.93</v>
      </c>
      <c r="BI3844">
        <v>1.53</v>
      </c>
      <c r="BJ3844">
        <v>20210825</v>
      </c>
      <c r="BK3844">
        <v>20150227</v>
      </c>
      <c r="BL3844">
        <v>8.41</v>
      </c>
      <c r="BM3844" t="s">
        <v>120</v>
      </c>
      <c r="BN3844" t="s">
        <v>120</v>
      </c>
      <c r="BO3844">
        <v>29.03</v>
      </c>
      <c r="BP3844">
        <v>4.6399999999999997</v>
      </c>
      <c r="BQ3844">
        <v>20.100000000000001</v>
      </c>
      <c r="BR3844">
        <v>0.17</v>
      </c>
      <c r="BS3844">
        <v>30.16</v>
      </c>
      <c r="BT3844">
        <v>23.03</v>
      </c>
      <c r="BU3844">
        <v>3.42</v>
      </c>
      <c r="BV3844">
        <v>0.93</v>
      </c>
      <c r="BW3844">
        <v>8.07</v>
      </c>
      <c r="BX3844">
        <v>2.35</v>
      </c>
      <c r="BY3844">
        <v>4.34</v>
      </c>
      <c r="BZ3844">
        <v>12.99</v>
      </c>
      <c r="CA3844" t="s">
        <v>120</v>
      </c>
      <c r="CB3844">
        <v>2.31</v>
      </c>
      <c r="CC3844">
        <v>15.72</v>
      </c>
      <c r="CD3844">
        <v>13.38</v>
      </c>
      <c r="CE3844">
        <v>1.33</v>
      </c>
      <c r="CF3844">
        <v>0.01</v>
      </c>
      <c r="CG3844">
        <v>1.33</v>
      </c>
      <c r="CH3844">
        <v>1.1000000000000001</v>
      </c>
      <c r="CI3844">
        <v>1.06</v>
      </c>
      <c r="CJ3844">
        <v>-0.09</v>
      </c>
      <c r="CK3844">
        <v>1.04</v>
      </c>
      <c r="CL3844">
        <v>8.06</v>
      </c>
      <c r="CM3844">
        <v>-0.56000000000000005</v>
      </c>
      <c r="CN3844">
        <v>-0.21</v>
      </c>
      <c r="CO3844">
        <v>33224</v>
      </c>
      <c r="CP3844">
        <v>12230</v>
      </c>
      <c r="CQ3844" t="s">
        <v>4356</v>
      </c>
      <c r="CR3844">
        <v>109.51</v>
      </c>
      <c r="CS3844">
        <v>47.61</v>
      </c>
      <c r="CT3844">
        <v>1.94</v>
      </c>
      <c r="CU3844">
        <v>-70.069999999999993</v>
      </c>
      <c r="CV3844">
        <v>2.48</v>
      </c>
      <c r="CW3844">
        <v>1.47</v>
      </c>
      <c r="CX3844" t="s">
        <v>986</v>
      </c>
      <c r="CY3844">
        <v>2.39</v>
      </c>
      <c r="CZ3844">
        <v>0</v>
      </c>
      <c r="DA3844">
        <v>0.27</v>
      </c>
      <c r="DB3844">
        <v>0.96</v>
      </c>
      <c r="DC3844">
        <v>-7.0000000000000007E-2</v>
      </c>
      <c r="DD3844">
        <v>69.239999999999995</v>
      </c>
      <c r="DE3844" t="s">
        <v>443</v>
      </c>
      <c r="DF3844">
        <v>14.92</v>
      </c>
      <c r="DG3844">
        <v>8.4600000000000009</v>
      </c>
      <c r="DH3844">
        <v>6.75</v>
      </c>
      <c r="DI3844">
        <v>0.28000000000000003</v>
      </c>
      <c r="DJ3844">
        <v>855</v>
      </c>
      <c r="DK3844">
        <v>603969</v>
      </c>
      <c r="DL3844" t="s">
        <v>120</v>
      </c>
      <c r="DM3844" t="s">
        <v>120</v>
      </c>
      <c r="DN3844" t="s">
        <v>120</v>
      </c>
    </row>
    <row r="3845" spans="1:118">
      <c r="A3845" t="str">
        <f>"603970"</f>
        <v>603970</v>
      </c>
      <c r="B3845" t="s">
        <v>15786</v>
      </c>
      <c r="C3845">
        <v>0.44</v>
      </c>
      <c r="D3845">
        <v>0.2</v>
      </c>
      <c r="E3845">
        <v>-0.15</v>
      </c>
      <c r="F3845">
        <v>380</v>
      </c>
      <c r="G3845" t="s">
        <v>5929</v>
      </c>
      <c r="H3845">
        <v>2752.11</v>
      </c>
      <c r="I3845">
        <v>0.2</v>
      </c>
      <c r="J3845" t="s">
        <v>120</v>
      </c>
      <c r="K3845" t="s">
        <v>6686</v>
      </c>
      <c r="L3845">
        <v>1.41</v>
      </c>
      <c r="M3845">
        <v>20.39</v>
      </c>
      <c r="N3845">
        <v>0.76</v>
      </c>
      <c r="O3845">
        <v>1.33</v>
      </c>
      <c r="P3845">
        <v>20.57</v>
      </c>
      <c r="Q3845">
        <v>-0.64</v>
      </c>
      <c r="R3845">
        <v>20.170000000000002</v>
      </c>
      <c r="S3845">
        <v>20.27</v>
      </c>
      <c r="T3845">
        <v>13507</v>
      </c>
      <c r="U3845">
        <v>20.39</v>
      </c>
      <c r="V3845">
        <v>20.3</v>
      </c>
      <c r="W3845">
        <v>17.52</v>
      </c>
      <c r="X3845" t="s">
        <v>221</v>
      </c>
      <c r="Y3845" t="s">
        <v>158</v>
      </c>
      <c r="Z3845">
        <v>1.97</v>
      </c>
      <c r="AA3845">
        <v>20.37</v>
      </c>
      <c r="AB3845">
        <v>6312</v>
      </c>
      <c r="AC3845">
        <v>7195</v>
      </c>
      <c r="AD3845">
        <v>0.88</v>
      </c>
      <c r="AE3845">
        <v>502</v>
      </c>
      <c r="AF3845">
        <v>161</v>
      </c>
      <c r="AG3845" t="s">
        <v>120</v>
      </c>
      <c r="AH3845">
        <v>0</v>
      </c>
      <c r="AI3845" t="s">
        <v>120</v>
      </c>
      <c r="AJ3845">
        <v>0.96</v>
      </c>
      <c r="AK3845" t="s">
        <v>155</v>
      </c>
      <c r="AL3845">
        <v>1.79</v>
      </c>
      <c r="AM3845">
        <v>932</v>
      </c>
      <c r="AN3845">
        <v>14</v>
      </c>
      <c r="AO3845">
        <v>1.5E-3</v>
      </c>
      <c r="AP3845">
        <v>2</v>
      </c>
      <c r="AQ3845">
        <v>1.5</v>
      </c>
      <c r="AR3845">
        <v>-0.87</v>
      </c>
      <c r="AS3845">
        <v>8.52</v>
      </c>
      <c r="AT3845">
        <v>-1.5</v>
      </c>
      <c r="AU3845">
        <v>-1.97</v>
      </c>
      <c r="AV3845">
        <v>1</v>
      </c>
      <c r="AW3845">
        <v>1.75</v>
      </c>
      <c r="AX3845">
        <v>40.299999999999997</v>
      </c>
      <c r="AY3845">
        <v>25.72</v>
      </c>
      <c r="AZ3845">
        <v>29.43</v>
      </c>
      <c r="BA3845">
        <v>0.74</v>
      </c>
      <c r="BB3845" t="s">
        <v>143</v>
      </c>
      <c r="BF3845">
        <v>0.37</v>
      </c>
      <c r="BG3845">
        <v>0.59</v>
      </c>
      <c r="BH3845">
        <v>-0.88</v>
      </c>
      <c r="BI3845">
        <v>1.0900000000000001</v>
      </c>
      <c r="BJ3845">
        <v>20210826</v>
      </c>
      <c r="BK3845">
        <v>20171116</v>
      </c>
      <c r="BL3845">
        <v>1.92</v>
      </c>
      <c r="BM3845" t="s">
        <v>120</v>
      </c>
      <c r="BN3845" t="s">
        <v>120</v>
      </c>
      <c r="BO3845">
        <v>52.61</v>
      </c>
      <c r="BP3845">
        <v>20.38</v>
      </c>
      <c r="BQ3845">
        <v>11.25</v>
      </c>
      <c r="BR3845">
        <v>1.1499999999999999</v>
      </c>
      <c r="BS3845">
        <v>76.42</v>
      </c>
      <c r="BT3845">
        <v>50.47</v>
      </c>
      <c r="BU3845">
        <v>0.26</v>
      </c>
      <c r="BV3845">
        <v>0.52</v>
      </c>
      <c r="BW3845">
        <v>39.85</v>
      </c>
      <c r="BX3845">
        <v>5.5</v>
      </c>
      <c r="BY3845">
        <v>19.149999999999999</v>
      </c>
      <c r="BZ3845">
        <v>6.94</v>
      </c>
      <c r="CA3845" t="s">
        <v>120</v>
      </c>
      <c r="CB3845">
        <v>2.98</v>
      </c>
      <c r="CC3845">
        <v>48.77</v>
      </c>
      <c r="CD3845">
        <v>45.67</v>
      </c>
      <c r="CE3845">
        <v>1.76</v>
      </c>
      <c r="CF3845">
        <v>0.54</v>
      </c>
      <c r="CG3845">
        <v>1.77</v>
      </c>
      <c r="CH3845">
        <v>1.32</v>
      </c>
      <c r="CI3845">
        <v>1.1200000000000001</v>
      </c>
      <c r="CJ3845">
        <v>0.09</v>
      </c>
      <c r="CK3845">
        <v>1.03</v>
      </c>
      <c r="CL3845">
        <v>4.93</v>
      </c>
      <c r="CM3845">
        <v>-4.6900000000000004</v>
      </c>
      <c r="CN3845">
        <v>-5.78</v>
      </c>
      <c r="CO3845">
        <v>6362</v>
      </c>
      <c r="CP3845">
        <v>12162</v>
      </c>
      <c r="CQ3845" t="s">
        <v>15787</v>
      </c>
      <c r="CR3845">
        <v>20.59</v>
      </c>
      <c r="CS3845">
        <v>37.770000000000003</v>
      </c>
      <c r="CT3845">
        <v>3.48</v>
      </c>
      <c r="CU3845">
        <v>-8.36</v>
      </c>
      <c r="CV3845">
        <v>0.8</v>
      </c>
      <c r="CW3845">
        <v>1.48</v>
      </c>
      <c r="CX3845" t="s">
        <v>15788</v>
      </c>
      <c r="CY3845">
        <v>5.86</v>
      </c>
      <c r="CZ3845">
        <v>0</v>
      </c>
      <c r="DA3845">
        <v>1.55</v>
      </c>
      <c r="DB3845">
        <v>2.57</v>
      </c>
      <c r="DC3845">
        <v>-2.44</v>
      </c>
      <c r="DD3845">
        <v>21.39</v>
      </c>
      <c r="DE3845" t="s">
        <v>15789</v>
      </c>
      <c r="DF3845">
        <v>6.36</v>
      </c>
      <c r="DG3845">
        <v>3.6</v>
      </c>
      <c r="DH3845">
        <v>2.29</v>
      </c>
      <c r="DI3845">
        <v>0.1</v>
      </c>
      <c r="DJ3845">
        <v>885</v>
      </c>
      <c r="DK3845">
        <v>603970</v>
      </c>
      <c r="DL3845" t="s">
        <v>120</v>
      </c>
      <c r="DM3845" t="s">
        <v>120</v>
      </c>
      <c r="DN3845" t="s">
        <v>120</v>
      </c>
    </row>
    <row r="3846" spans="1:118">
      <c r="A3846" t="str">
        <f>"603976"</f>
        <v>603976</v>
      </c>
      <c r="B3846" t="s">
        <v>15790</v>
      </c>
      <c r="C3846">
        <v>-0.25</v>
      </c>
      <c r="D3846">
        <v>0</v>
      </c>
      <c r="E3846">
        <v>-1.77</v>
      </c>
      <c r="F3846">
        <v>133</v>
      </c>
      <c r="G3846" t="s">
        <v>15791</v>
      </c>
      <c r="H3846">
        <v>3632.41</v>
      </c>
      <c r="I3846">
        <v>59.52</v>
      </c>
      <c r="J3846" t="s">
        <v>120</v>
      </c>
      <c r="K3846" t="s">
        <v>5009</v>
      </c>
      <c r="L3846">
        <v>0.76</v>
      </c>
      <c r="M3846">
        <v>31.48</v>
      </c>
      <c r="N3846">
        <v>1.06</v>
      </c>
      <c r="O3846">
        <v>2.0299999999999998</v>
      </c>
      <c r="P3846">
        <v>32.200000000000003</v>
      </c>
      <c r="Q3846">
        <v>-1.77</v>
      </c>
      <c r="R3846">
        <v>31</v>
      </c>
      <c r="S3846">
        <v>31</v>
      </c>
      <c r="T3846">
        <v>11449</v>
      </c>
      <c r="U3846">
        <v>31.49</v>
      </c>
      <c r="V3846">
        <v>31.56</v>
      </c>
      <c r="W3846">
        <v>61.41</v>
      </c>
      <c r="X3846" t="s">
        <v>555</v>
      </c>
      <c r="Y3846" t="s">
        <v>883</v>
      </c>
      <c r="Z3846">
        <v>3.8</v>
      </c>
      <c r="AA3846">
        <v>31.73</v>
      </c>
      <c r="AB3846">
        <v>5784</v>
      </c>
      <c r="AC3846">
        <v>5665</v>
      </c>
      <c r="AD3846">
        <v>1.02</v>
      </c>
      <c r="AE3846">
        <v>55</v>
      </c>
      <c r="AF3846">
        <v>45</v>
      </c>
      <c r="AG3846" t="s">
        <v>120</v>
      </c>
      <c r="AH3846">
        <v>0.04</v>
      </c>
      <c r="AI3846" t="s">
        <v>120</v>
      </c>
      <c r="AJ3846">
        <v>1.51</v>
      </c>
      <c r="AK3846" t="s">
        <v>5009</v>
      </c>
      <c r="AL3846">
        <v>1.0900000000000001</v>
      </c>
      <c r="AM3846">
        <v>1398</v>
      </c>
      <c r="AN3846">
        <v>8</v>
      </c>
      <c r="AO3846">
        <v>5.0000000000000001E-4</v>
      </c>
      <c r="AP3846">
        <v>-3</v>
      </c>
      <c r="AQ3846">
        <v>-2.3199999999999998</v>
      </c>
      <c r="AR3846">
        <v>-4.17</v>
      </c>
      <c r="AS3846">
        <v>-7.42</v>
      </c>
      <c r="AT3846">
        <v>-19.059999999999999</v>
      </c>
      <c r="AU3846">
        <v>-56.73</v>
      </c>
      <c r="AV3846">
        <v>17</v>
      </c>
      <c r="AW3846">
        <v>2.65</v>
      </c>
      <c r="AX3846">
        <v>28.57</v>
      </c>
      <c r="AY3846">
        <v>83.89</v>
      </c>
      <c r="AZ3846">
        <v>89.95</v>
      </c>
      <c r="BA3846">
        <v>1.0900000000000001</v>
      </c>
      <c r="BB3846" t="s">
        <v>240</v>
      </c>
      <c r="BF3846">
        <v>0.53</v>
      </c>
      <c r="BG3846">
        <v>1.55</v>
      </c>
      <c r="BH3846">
        <v>-2.2400000000000002</v>
      </c>
      <c r="BI3846">
        <v>1.55</v>
      </c>
      <c r="BJ3846">
        <v>20210824</v>
      </c>
      <c r="BK3846">
        <v>20170822</v>
      </c>
      <c r="BL3846">
        <v>1.51</v>
      </c>
      <c r="BM3846" t="s">
        <v>120</v>
      </c>
      <c r="BN3846" t="s">
        <v>120</v>
      </c>
      <c r="BO3846">
        <v>18.48</v>
      </c>
      <c r="BP3846">
        <v>31.48</v>
      </c>
      <c r="BQ3846">
        <v>11.02</v>
      </c>
      <c r="BR3846" t="s">
        <v>120</v>
      </c>
      <c r="BS3846">
        <v>40.380000000000003</v>
      </c>
      <c r="BT3846">
        <v>11.06</v>
      </c>
      <c r="BU3846">
        <v>5.51</v>
      </c>
      <c r="BV3846">
        <v>0.41</v>
      </c>
      <c r="BW3846">
        <v>3.46</v>
      </c>
      <c r="BX3846">
        <v>6.79</v>
      </c>
      <c r="BY3846">
        <v>1.67</v>
      </c>
      <c r="BZ3846">
        <v>1.43</v>
      </c>
      <c r="CA3846" t="s">
        <v>120</v>
      </c>
      <c r="CB3846">
        <v>5.56</v>
      </c>
      <c r="CC3846">
        <v>3.24</v>
      </c>
      <c r="CD3846">
        <v>2.38</v>
      </c>
      <c r="CE3846">
        <v>0.43</v>
      </c>
      <c r="CF3846">
        <v>0</v>
      </c>
      <c r="CG3846">
        <v>0.46</v>
      </c>
      <c r="CH3846">
        <v>0.39</v>
      </c>
      <c r="CI3846">
        <v>0.39</v>
      </c>
      <c r="CJ3846">
        <v>-0.08</v>
      </c>
      <c r="CK3846">
        <v>0.33</v>
      </c>
      <c r="CL3846">
        <v>3.19</v>
      </c>
      <c r="CM3846">
        <v>0.83</v>
      </c>
      <c r="CN3846">
        <v>3.99</v>
      </c>
      <c r="CO3846">
        <v>36404</v>
      </c>
      <c r="CP3846">
        <v>1187</v>
      </c>
      <c r="CQ3846" t="s">
        <v>2596</v>
      </c>
      <c r="CR3846">
        <v>10.98</v>
      </c>
      <c r="CS3846">
        <v>26.57</v>
      </c>
      <c r="CT3846">
        <v>4.43</v>
      </c>
      <c r="CU3846">
        <v>57.47</v>
      </c>
      <c r="CV3846">
        <v>14.69</v>
      </c>
      <c r="CW3846">
        <v>0.11</v>
      </c>
      <c r="CX3846" t="s">
        <v>670</v>
      </c>
      <c r="CY3846">
        <v>7.1</v>
      </c>
      <c r="CZ3846">
        <v>7.1</v>
      </c>
      <c r="DA3846">
        <v>3.67</v>
      </c>
      <c r="DB3846">
        <v>2.11</v>
      </c>
      <c r="DC3846">
        <v>0.55000000000000004</v>
      </c>
      <c r="DD3846">
        <v>59.62</v>
      </c>
      <c r="DE3846" t="s">
        <v>4021</v>
      </c>
      <c r="DF3846">
        <v>26.59</v>
      </c>
      <c r="DG3846">
        <v>13.27</v>
      </c>
      <c r="DH3846">
        <v>11.96</v>
      </c>
      <c r="DI3846">
        <v>0.06</v>
      </c>
      <c r="DJ3846">
        <v>1656</v>
      </c>
      <c r="DK3846">
        <v>603976</v>
      </c>
      <c r="DL3846" t="s">
        <v>120</v>
      </c>
      <c r="DM3846" t="s">
        <v>120</v>
      </c>
      <c r="DN3846" t="s">
        <v>120</v>
      </c>
    </row>
    <row r="3847" spans="1:118">
      <c r="A3847" t="str">
        <f>"603977"</f>
        <v>603977</v>
      </c>
      <c r="B3847" t="s">
        <v>15792</v>
      </c>
      <c r="C3847">
        <v>-2.0699999999999998</v>
      </c>
      <c r="D3847">
        <v>-0.08</v>
      </c>
      <c r="E3847">
        <v>0</v>
      </c>
      <c r="F3847">
        <v>439</v>
      </c>
      <c r="G3847" t="s">
        <v>8222</v>
      </c>
      <c r="H3847">
        <v>7489.1</v>
      </c>
      <c r="I3847">
        <v>33.93</v>
      </c>
      <c r="J3847" t="s">
        <v>120</v>
      </c>
      <c r="K3847" t="s">
        <v>6578</v>
      </c>
      <c r="L3847">
        <v>1.49</v>
      </c>
      <c r="M3847">
        <v>11.38</v>
      </c>
      <c r="N3847">
        <v>0.77</v>
      </c>
      <c r="O3847">
        <v>2.3199999999999998</v>
      </c>
      <c r="P3847">
        <v>11.89</v>
      </c>
      <c r="Q3847">
        <v>-2.5</v>
      </c>
      <c r="R3847">
        <v>11.33</v>
      </c>
      <c r="S3847">
        <v>11.62</v>
      </c>
      <c r="T3847">
        <v>64527</v>
      </c>
      <c r="U3847">
        <v>11.39</v>
      </c>
      <c r="V3847">
        <v>11.62</v>
      </c>
      <c r="W3847">
        <v>35.64</v>
      </c>
      <c r="X3847" t="s">
        <v>868</v>
      </c>
      <c r="Y3847" t="s">
        <v>676</v>
      </c>
      <c r="Z3847">
        <v>4.82</v>
      </c>
      <c r="AA3847">
        <v>11.61</v>
      </c>
      <c r="AB3847">
        <v>41043</v>
      </c>
      <c r="AC3847">
        <v>23484</v>
      </c>
      <c r="AD3847">
        <v>1.75</v>
      </c>
      <c r="AE3847">
        <v>94</v>
      </c>
      <c r="AF3847">
        <v>86</v>
      </c>
      <c r="AG3847" t="s">
        <v>120</v>
      </c>
      <c r="AH3847">
        <v>0.02</v>
      </c>
      <c r="AI3847" t="s">
        <v>120</v>
      </c>
      <c r="AJ3847">
        <v>4.33</v>
      </c>
      <c r="AK3847" t="s">
        <v>15793</v>
      </c>
      <c r="AL3847">
        <v>-0.72</v>
      </c>
      <c r="AM3847">
        <v>2252</v>
      </c>
      <c r="AN3847">
        <v>29</v>
      </c>
      <c r="AO3847">
        <v>6.9999999999999999E-4</v>
      </c>
      <c r="AP3847">
        <v>-1</v>
      </c>
      <c r="AQ3847">
        <v>2.56</v>
      </c>
      <c r="AR3847">
        <v>-0.69</v>
      </c>
      <c r="AS3847">
        <v>12.67</v>
      </c>
      <c r="AT3847">
        <v>53.37</v>
      </c>
      <c r="AU3847">
        <v>63.74</v>
      </c>
      <c r="AV3847">
        <v>3</v>
      </c>
      <c r="AW3847">
        <v>3.85</v>
      </c>
      <c r="AX3847">
        <v>30.4</v>
      </c>
      <c r="AY3847">
        <v>32.43</v>
      </c>
      <c r="AZ3847">
        <v>33.15</v>
      </c>
      <c r="BA3847">
        <v>1.0900000000000001</v>
      </c>
      <c r="BB3847" t="s">
        <v>143</v>
      </c>
      <c r="BF3847">
        <v>-0.12</v>
      </c>
      <c r="BG3847">
        <v>-2.0699999999999998</v>
      </c>
      <c r="BH3847">
        <v>-4.29</v>
      </c>
      <c r="BI3847">
        <v>0.44</v>
      </c>
      <c r="BJ3847">
        <v>20210818</v>
      </c>
      <c r="BK3847">
        <v>20161111</v>
      </c>
      <c r="BL3847">
        <v>5.52</v>
      </c>
      <c r="BM3847" t="s">
        <v>120</v>
      </c>
      <c r="BN3847" t="s">
        <v>120</v>
      </c>
      <c r="BO3847">
        <v>37.89</v>
      </c>
      <c r="BP3847">
        <v>11.38</v>
      </c>
      <c r="BQ3847">
        <v>22.26</v>
      </c>
      <c r="BR3847">
        <v>4.34</v>
      </c>
      <c r="BS3847">
        <v>29.79</v>
      </c>
      <c r="BT3847">
        <v>12.44</v>
      </c>
      <c r="BU3847">
        <v>9.15</v>
      </c>
      <c r="BV3847">
        <v>3.78</v>
      </c>
      <c r="BW3847">
        <v>5.46</v>
      </c>
      <c r="BX3847">
        <v>2.0099999999999998</v>
      </c>
      <c r="BY3847">
        <v>1.68</v>
      </c>
      <c r="BZ3847">
        <v>4.79</v>
      </c>
      <c r="CA3847">
        <v>0.03</v>
      </c>
      <c r="CB3847">
        <v>9.0299999999999994</v>
      </c>
      <c r="CC3847">
        <v>8.14</v>
      </c>
      <c r="CD3847">
        <v>5.26</v>
      </c>
      <c r="CE3847">
        <v>1.22</v>
      </c>
      <c r="CF3847">
        <v>0</v>
      </c>
      <c r="CG3847">
        <v>1.22</v>
      </c>
      <c r="CH3847">
        <v>1.03</v>
      </c>
      <c r="CI3847">
        <v>0.88</v>
      </c>
      <c r="CJ3847">
        <v>-0.24</v>
      </c>
      <c r="CK3847">
        <v>0.8</v>
      </c>
      <c r="CL3847">
        <v>5.99</v>
      </c>
      <c r="CM3847">
        <v>0.13</v>
      </c>
      <c r="CN3847">
        <v>-2.76</v>
      </c>
      <c r="CO3847">
        <v>13880</v>
      </c>
      <c r="CP3847">
        <v>12079</v>
      </c>
      <c r="CQ3847" t="s">
        <v>15794</v>
      </c>
      <c r="CR3847">
        <v>5.0999999999999996</v>
      </c>
      <c r="CS3847">
        <v>18.5</v>
      </c>
      <c r="CT3847">
        <v>2.89</v>
      </c>
      <c r="CU3847">
        <v>470.15</v>
      </c>
      <c r="CV3847">
        <v>7.72</v>
      </c>
      <c r="CW3847">
        <v>0.86</v>
      </c>
      <c r="CX3847" t="s">
        <v>1091</v>
      </c>
      <c r="CY3847">
        <v>3.93</v>
      </c>
      <c r="CZ3847">
        <v>3.93</v>
      </c>
      <c r="DA3847">
        <v>1.64</v>
      </c>
      <c r="DB3847">
        <v>1.0900000000000001</v>
      </c>
      <c r="DC3847">
        <v>0.02</v>
      </c>
      <c r="DD3847">
        <v>58.75</v>
      </c>
      <c r="DE3847" t="s">
        <v>2871</v>
      </c>
      <c r="DF3847">
        <v>35.39</v>
      </c>
      <c r="DG3847">
        <v>14.94</v>
      </c>
      <c r="DH3847">
        <v>10.82</v>
      </c>
      <c r="DI3847">
        <v>0.43</v>
      </c>
      <c r="DJ3847">
        <v>2326</v>
      </c>
      <c r="DK3847">
        <v>603977</v>
      </c>
      <c r="DL3847">
        <v>20210806</v>
      </c>
      <c r="DM3847">
        <v>9.31</v>
      </c>
      <c r="DN3847">
        <v>22.23</v>
      </c>
    </row>
    <row r="3848" spans="1:118">
      <c r="A3848" t="str">
        <f>"603978"</f>
        <v>603978</v>
      </c>
      <c r="B3848" t="s">
        <v>15795</v>
      </c>
      <c r="C3848">
        <v>1.83</v>
      </c>
      <c r="D3848">
        <v>0.27</v>
      </c>
      <c r="E3848">
        <v>-0.82</v>
      </c>
      <c r="F3848">
        <v>1204</v>
      </c>
      <c r="G3848" t="s">
        <v>12736</v>
      </c>
      <c r="H3848">
        <v>21167.439999999999</v>
      </c>
      <c r="I3848">
        <v>134.66</v>
      </c>
      <c r="J3848" t="s">
        <v>120</v>
      </c>
      <c r="K3848" t="s">
        <v>15796</v>
      </c>
      <c r="L3848">
        <v>6</v>
      </c>
      <c r="M3848">
        <v>22.23</v>
      </c>
      <c r="N3848">
        <v>1.3</v>
      </c>
      <c r="O3848">
        <v>4.54</v>
      </c>
      <c r="P3848">
        <v>22.82</v>
      </c>
      <c r="Q3848">
        <v>-2.89</v>
      </c>
      <c r="R3848">
        <v>21.2</v>
      </c>
      <c r="S3848">
        <v>21.65</v>
      </c>
      <c r="T3848">
        <v>95999</v>
      </c>
      <c r="U3848">
        <v>22.23</v>
      </c>
      <c r="V3848">
        <v>21.83</v>
      </c>
      <c r="W3848">
        <v>56.55</v>
      </c>
      <c r="X3848" t="s">
        <v>1325</v>
      </c>
      <c r="Y3848" t="s">
        <v>123</v>
      </c>
      <c r="Z3848">
        <v>7.42</v>
      </c>
      <c r="AA3848">
        <v>22.05</v>
      </c>
      <c r="AB3848">
        <v>51094</v>
      </c>
      <c r="AC3848">
        <v>44905</v>
      </c>
      <c r="AD3848">
        <v>1.1399999999999999</v>
      </c>
      <c r="AE3848">
        <v>28</v>
      </c>
      <c r="AF3848">
        <v>52</v>
      </c>
      <c r="AG3848" t="s">
        <v>120</v>
      </c>
      <c r="AH3848">
        <v>0.09</v>
      </c>
      <c r="AI3848" t="s">
        <v>120</v>
      </c>
      <c r="AJ3848">
        <v>1.6</v>
      </c>
      <c r="AK3848" t="s">
        <v>15796</v>
      </c>
      <c r="AL3848">
        <v>3.18</v>
      </c>
      <c r="AM3848">
        <v>3392</v>
      </c>
      <c r="AN3848">
        <v>28</v>
      </c>
      <c r="AO3848">
        <v>1.8E-3</v>
      </c>
      <c r="AP3848">
        <v>1</v>
      </c>
      <c r="AQ3848">
        <v>-0.46</v>
      </c>
      <c r="AR3848">
        <v>-2.29</v>
      </c>
      <c r="AS3848">
        <v>23.16</v>
      </c>
      <c r="AT3848">
        <v>24.05</v>
      </c>
      <c r="AU3848">
        <v>28.94</v>
      </c>
      <c r="AV3848">
        <v>2</v>
      </c>
      <c r="AW3848">
        <v>13.23</v>
      </c>
      <c r="AX3848">
        <v>45.36</v>
      </c>
      <c r="AY3848">
        <v>92.01</v>
      </c>
      <c r="AZ3848">
        <v>124.18</v>
      </c>
      <c r="BA3848">
        <v>0.8</v>
      </c>
      <c r="BB3848" t="s">
        <v>143</v>
      </c>
      <c r="BF3848">
        <v>1.01</v>
      </c>
      <c r="BG3848">
        <v>2.68</v>
      </c>
      <c r="BH3848">
        <v>-2.59</v>
      </c>
      <c r="BI3848">
        <v>4.8600000000000003</v>
      </c>
      <c r="BJ3848">
        <v>20210914</v>
      </c>
      <c r="BK3848">
        <v>20170807</v>
      </c>
      <c r="BL3848">
        <v>1.6</v>
      </c>
      <c r="BM3848" t="s">
        <v>120</v>
      </c>
      <c r="BN3848" t="s">
        <v>120</v>
      </c>
      <c r="BO3848">
        <v>24.13</v>
      </c>
      <c r="BP3848">
        <v>22.22</v>
      </c>
      <c r="BQ3848">
        <v>16.71</v>
      </c>
      <c r="BR3848" t="s">
        <v>120</v>
      </c>
      <c r="BS3848">
        <v>30.76</v>
      </c>
      <c r="BT3848">
        <v>11.93</v>
      </c>
      <c r="BU3848">
        <v>9.36</v>
      </c>
      <c r="BV3848">
        <v>1.1499999999999999</v>
      </c>
      <c r="BW3848">
        <v>1.32</v>
      </c>
      <c r="BX3848">
        <v>1.82</v>
      </c>
      <c r="BY3848">
        <v>1.1399999999999999</v>
      </c>
      <c r="BZ3848">
        <v>3.78</v>
      </c>
      <c r="CA3848" t="s">
        <v>120</v>
      </c>
      <c r="CB3848">
        <v>5.81</v>
      </c>
      <c r="CC3848">
        <v>6.42</v>
      </c>
      <c r="CD3848">
        <v>5.61</v>
      </c>
      <c r="CE3848">
        <v>0.33</v>
      </c>
      <c r="CF3848">
        <v>0.2</v>
      </c>
      <c r="CG3848">
        <v>0.33</v>
      </c>
      <c r="CH3848">
        <v>0.31</v>
      </c>
      <c r="CI3848">
        <v>0.31</v>
      </c>
      <c r="CJ3848">
        <v>0.4</v>
      </c>
      <c r="CK3848">
        <v>0.12</v>
      </c>
      <c r="CL3848">
        <v>7.51</v>
      </c>
      <c r="CM3848">
        <v>-1.05</v>
      </c>
      <c r="CN3848">
        <v>-4.0599999999999996</v>
      </c>
      <c r="CO3848">
        <v>13001</v>
      </c>
      <c r="CP3848">
        <v>5582</v>
      </c>
      <c r="CQ3848" t="s">
        <v>6477</v>
      </c>
      <c r="CR3848">
        <v>45.51</v>
      </c>
      <c r="CS3848">
        <v>50.82</v>
      </c>
      <c r="CT3848">
        <v>2.34</v>
      </c>
      <c r="CU3848">
        <v>-34</v>
      </c>
      <c r="CV3848">
        <v>5.54</v>
      </c>
      <c r="CW3848">
        <v>0</v>
      </c>
      <c r="CX3848" t="s">
        <v>492</v>
      </c>
      <c r="CY3848">
        <v>9.5</v>
      </c>
      <c r="CZ3848">
        <v>9.5</v>
      </c>
      <c r="DA3848">
        <v>3.63</v>
      </c>
      <c r="DB3848">
        <v>4.6900000000000004</v>
      </c>
      <c r="DC3848">
        <v>-0.65</v>
      </c>
      <c r="DD3848">
        <v>69.239999999999995</v>
      </c>
      <c r="DE3848" t="s">
        <v>7411</v>
      </c>
      <c r="DF3848">
        <v>12.57</v>
      </c>
      <c r="DG3848">
        <v>5.19</v>
      </c>
      <c r="DH3848">
        <v>4.9000000000000004</v>
      </c>
      <c r="DI3848">
        <v>0.27</v>
      </c>
      <c r="DJ3848">
        <v>525</v>
      </c>
      <c r="DK3848">
        <v>603978</v>
      </c>
      <c r="DL3848">
        <v>20210913</v>
      </c>
      <c r="DM3848">
        <v>22.75</v>
      </c>
      <c r="DN3848">
        <v>-2.29</v>
      </c>
    </row>
    <row r="3849" spans="1:118">
      <c r="A3849" t="str">
        <f>"603979"</f>
        <v>603979</v>
      </c>
      <c r="B3849" t="s">
        <v>15797</v>
      </c>
      <c r="C3849">
        <v>-8.24</v>
      </c>
      <c r="D3849">
        <v>-0.3</v>
      </c>
      <c r="E3849">
        <v>7.0000000000000007E-2</v>
      </c>
      <c r="F3849">
        <v>2003</v>
      </c>
      <c r="G3849" t="s">
        <v>15798</v>
      </c>
      <c r="H3849">
        <v>53675.25</v>
      </c>
      <c r="I3849">
        <v>411.62</v>
      </c>
      <c r="J3849" t="s">
        <v>120</v>
      </c>
      <c r="K3849" t="s">
        <v>15799</v>
      </c>
      <c r="L3849">
        <v>3.49</v>
      </c>
      <c r="M3849">
        <v>25.5</v>
      </c>
      <c r="N3849">
        <v>0.82</v>
      </c>
      <c r="O3849">
        <v>1.1200000000000001</v>
      </c>
      <c r="P3849">
        <v>28.1</v>
      </c>
      <c r="Q3849">
        <v>-9.32</v>
      </c>
      <c r="R3849">
        <v>25.2</v>
      </c>
      <c r="S3849">
        <v>27.81</v>
      </c>
      <c r="T3849">
        <v>203847</v>
      </c>
      <c r="U3849">
        <v>25.5</v>
      </c>
      <c r="V3849">
        <v>27.79</v>
      </c>
      <c r="W3849">
        <v>31.39</v>
      </c>
      <c r="X3849" t="s">
        <v>175</v>
      </c>
      <c r="Y3849" t="s">
        <v>158</v>
      </c>
      <c r="Z3849">
        <v>10.44</v>
      </c>
      <c r="AA3849">
        <v>26.33</v>
      </c>
      <c r="AB3849">
        <v>121476</v>
      </c>
      <c r="AC3849">
        <v>82371</v>
      </c>
      <c r="AD3849">
        <v>1.47</v>
      </c>
      <c r="AE3849">
        <v>67</v>
      </c>
      <c r="AF3849">
        <v>103</v>
      </c>
      <c r="AG3849" t="s">
        <v>120</v>
      </c>
      <c r="AH3849">
        <v>0.05</v>
      </c>
      <c r="AI3849" t="s">
        <v>120</v>
      </c>
      <c r="AJ3849">
        <v>5.83</v>
      </c>
      <c r="AK3849" t="s">
        <v>15799</v>
      </c>
      <c r="AL3849">
        <v>-6.9</v>
      </c>
      <c r="AM3849">
        <v>4524</v>
      </c>
      <c r="AN3849">
        <v>45</v>
      </c>
      <c r="AO3849">
        <v>8.0000000000000004E-4</v>
      </c>
      <c r="AP3849">
        <v>-2</v>
      </c>
      <c r="AQ3849">
        <v>-1.98</v>
      </c>
      <c r="AR3849">
        <v>-9.61</v>
      </c>
      <c r="AS3849">
        <v>21.89</v>
      </c>
      <c r="AT3849">
        <v>42.37</v>
      </c>
      <c r="AU3849">
        <v>106.64</v>
      </c>
      <c r="AV3849">
        <v>4</v>
      </c>
      <c r="AW3849">
        <v>6.59</v>
      </c>
      <c r="AX3849">
        <v>53.02</v>
      </c>
      <c r="AY3849">
        <v>39.869999999999997</v>
      </c>
      <c r="AZ3849">
        <v>44.39</v>
      </c>
      <c r="BA3849">
        <v>0.26</v>
      </c>
      <c r="BB3849" t="s">
        <v>143</v>
      </c>
      <c r="BF3849">
        <v>-5.25</v>
      </c>
      <c r="BG3849">
        <v>-8.31</v>
      </c>
      <c r="BH3849">
        <v>-9.25</v>
      </c>
      <c r="BI3849">
        <v>1.19</v>
      </c>
      <c r="BJ3849">
        <v>20210817</v>
      </c>
      <c r="BK3849">
        <v>20150630</v>
      </c>
      <c r="BL3849">
        <v>5.83</v>
      </c>
      <c r="BM3849" t="s">
        <v>120</v>
      </c>
      <c r="BN3849" t="s">
        <v>120</v>
      </c>
      <c r="BO3849">
        <v>80.17</v>
      </c>
      <c r="BP3849">
        <v>25.49</v>
      </c>
      <c r="BQ3849">
        <v>49.42</v>
      </c>
      <c r="BR3849">
        <v>0.77</v>
      </c>
      <c r="BS3849">
        <v>37.39</v>
      </c>
      <c r="BT3849">
        <v>54.15</v>
      </c>
      <c r="BU3849">
        <v>13.01</v>
      </c>
      <c r="BV3849">
        <v>6.35</v>
      </c>
      <c r="BW3849">
        <v>18.850000000000001</v>
      </c>
      <c r="BX3849">
        <v>14.53</v>
      </c>
      <c r="BY3849">
        <v>6.69</v>
      </c>
      <c r="BZ3849">
        <v>21.05</v>
      </c>
      <c r="CA3849">
        <v>0</v>
      </c>
      <c r="CB3849">
        <v>15.97</v>
      </c>
      <c r="CC3849">
        <v>21.36</v>
      </c>
      <c r="CD3849">
        <v>15.53</v>
      </c>
      <c r="CE3849">
        <v>3.41</v>
      </c>
      <c r="CF3849">
        <v>-0.1</v>
      </c>
      <c r="CG3849">
        <v>3.39</v>
      </c>
      <c r="CH3849">
        <v>2.35</v>
      </c>
      <c r="CI3849">
        <v>2.37</v>
      </c>
      <c r="CJ3849">
        <v>-2.29</v>
      </c>
      <c r="CK3849">
        <v>2.37</v>
      </c>
      <c r="CL3849">
        <v>24.24</v>
      </c>
      <c r="CM3849">
        <v>1.42</v>
      </c>
      <c r="CN3849">
        <v>-5.99</v>
      </c>
      <c r="CO3849">
        <v>17286</v>
      </c>
      <c r="CP3849">
        <v>17894</v>
      </c>
      <c r="CQ3849" t="s">
        <v>15800</v>
      </c>
      <c r="CR3849">
        <v>21.15</v>
      </c>
      <c r="CS3849">
        <v>19.93</v>
      </c>
      <c r="CT3849">
        <v>3.16</v>
      </c>
      <c r="CU3849">
        <v>104.74</v>
      </c>
      <c r="CV3849">
        <v>6.96</v>
      </c>
      <c r="CW3849">
        <v>0.28000000000000003</v>
      </c>
      <c r="CX3849" t="s">
        <v>803</v>
      </c>
      <c r="CY3849">
        <v>8.07</v>
      </c>
      <c r="CZ3849">
        <v>8.07</v>
      </c>
      <c r="DA3849">
        <v>2.74</v>
      </c>
      <c r="DB3849">
        <v>4.1500000000000004</v>
      </c>
      <c r="DC3849">
        <v>0.24</v>
      </c>
      <c r="DD3849">
        <v>61.65</v>
      </c>
      <c r="DE3849" t="s">
        <v>1943</v>
      </c>
      <c r="DF3849">
        <v>27.29</v>
      </c>
      <c r="DG3849">
        <v>15.97</v>
      </c>
      <c r="DH3849">
        <v>11.09</v>
      </c>
      <c r="DI3849">
        <v>0.3</v>
      </c>
      <c r="DJ3849">
        <v>6313</v>
      </c>
      <c r="DK3849">
        <v>603979</v>
      </c>
      <c r="DL3849">
        <v>20210914</v>
      </c>
      <c r="DM3849">
        <v>28.21</v>
      </c>
      <c r="DN3849">
        <v>-9.61</v>
      </c>
    </row>
    <row r="3850" spans="1:118">
      <c r="A3850" t="str">
        <f>"603980"</f>
        <v>603980</v>
      </c>
      <c r="B3850" t="s">
        <v>15801</v>
      </c>
      <c r="C3850">
        <v>-1.5</v>
      </c>
      <c r="D3850">
        <v>-0.13</v>
      </c>
      <c r="E3850">
        <v>0.14000000000000001</v>
      </c>
      <c r="F3850">
        <v>773</v>
      </c>
      <c r="G3850" t="s">
        <v>8720</v>
      </c>
      <c r="H3850">
        <v>9739.74</v>
      </c>
      <c r="I3850">
        <v>33.86</v>
      </c>
      <c r="J3850" t="s">
        <v>120</v>
      </c>
      <c r="K3850" t="s">
        <v>13519</v>
      </c>
      <c r="L3850">
        <v>1.88</v>
      </c>
      <c r="M3850">
        <v>7.24</v>
      </c>
      <c r="N3850">
        <v>1.1100000000000001</v>
      </c>
      <c r="O3850">
        <v>2.04</v>
      </c>
      <c r="P3850">
        <v>7.5</v>
      </c>
      <c r="Q3850">
        <v>-1.63</v>
      </c>
      <c r="R3850">
        <v>7.23</v>
      </c>
      <c r="S3850">
        <v>7.36</v>
      </c>
      <c r="T3850">
        <v>131860</v>
      </c>
      <c r="U3850">
        <v>7.25</v>
      </c>
      <c r="V3850">
        <v>7.35</v>
      </c>
      <c r="W3850">
        <v>18.149999999999999</v>
      </c>
      <c r="X3850" t="s">
        <v>1145</v>
      </c>
      <c r="Y3850" t="s">
        <v>585</v>
      </c>
      <c r="Z3850">
        <v>3.67</v>
      </c>
      <c r="AA3850">
        <v>7.39</v>
      </c>
      <c r="AB3850">
        <v>65831</v>
      </c>
      <c r="AC3850">
        <v>66029</v>
      </c>
      <c r="AD3850">
        <v>1</v>
      </c>
      <c r="AE3850">
        <v>705</v>
      </c>
      <c r="AF3850">
        <v>114</v>
      </c>
      <c r="AG3850" t="s">
        <v>120</v>
      </c>
      <c r="AH3850">
        <v>0.01</v>
      </c>
      <c r="AI3850" t="s">
        <v>120</v>
      </c>
      <c r="AJ3850">
        <v>7</v>
      </c>
      <c r="AK3850" t="s">
        <v>13519</v>
      </c>
      <c r="AL3850">
        <v>-0.15</v>
      </c>
      <c r="AM3850">
        <v>2648</v>
      </c>
      <c r="AN3850">
        <v>50</v>
      </c>
      <c r="AO3850">
        <v>6.9999999999999999E-4</v>
      </c>
      <c r="AP3850">
        <v>-1</v>
      </c>
      <c r="AQ3850">
        <v>2.8</v>
      </c>
      <c r="AR3850">
        <v>-0.96</v>
      </c>
      <c r="AS3850">
        <v>4.18</v>
      </c>
      <c r="AT3850">
        <v>8.8800000000000008</v>
      </c>
      <c r="AU3850">
        <v>14.83</v>
      </c>
      <c r="AV3850">
        <v>0</v>
      </c>
      <c r="AW3850">
        <v>2.82</v>
      </c>
      <c r="AX3850">
        <v>66.7</v>
      </c>
      <c r="AY3850">
        <v>17.670000000000002</v>
      </c>
      <c r="AZ3850">
        <v>22.32</v>
      </c>
      <c r="BA3850">
        <v>0.42</v>
      </c>
      <c r="BB3850" t="s">
        <v>184</v>
      </c>
      <c r="BF3850">
        <v>0.5</v>
      </c>
      <c r="BG3850">
        <v>-1.63</v>
      </c>
      <c r="BH3850">
        <v>-3.47</v>
      </c>
      <c r="BI3850">
        <v>0.14000000000000001</v>
      </c>
      <c r="BJ3850">
        <v>20210825</v>
      </c>
      <c r="BK3850">
        <v>20170615</v>
      </c>
      <c r="BL3850">
        <v>7</v>
      </c>
      <c r="BM3850" t="s">
        <v>120</v>
      </c>
      <c r="BN3850" t="s">
        <v>120</v>
      </c>
      <c r="BO3850">
        <v>53.04</v>
      </c>
      <c r="BP3850">
        <v>7.24</v>
      </c>
      <c r="BQ3850">
        <v>44.91</v>
      </c>
      <c r="BR3850">
        <v>0.33</v>
      </c>
      <c r="BS3850">
        <v>14.72</v>
      </c>
      <c r="BT3850">
        <v>35.200000000000003</v>
      </c>
      <c r="BU3850">
        <v>12.39</v>
      </c>
      <c r="BV3850">
        <v>1.18</v>
      </c>
      <c r="BW3850">
        <v>6.87</v>
      </c>
      <c r="BX3850">
        <v>5.0599999999999996</v>
      </c>
      <c r="BY3850">
        <v>7.1</v>
      </c>
      <c r="BZ3850">
        <v>4.76</v>
      </c>
      <c r="CA3850">
        <v>0.03</v>
      </c>
      <c r="CB3850">
        <v>11.43</v>
      </c>
      <c r="CC3850">
        <v>11.61</v>
      </c>
      <c r="CD3850">
        <v>9.2200000000000006</v>
      </c>
      <c r="CE3850">
        <v>1.81</v>
      </c>
      <c r="CF3850">
        <v>1.42</v>
      </c>
      <c r="CG3850">
        <v>1.81</v>
      </c>
      <c r="CH3850">
        <v>1.39</v>
      </c>
      <c r="CI3850">
        <v>1.4</v>
      </c>
      <c r="CJ3850">
        <v>-0.11</v>
      </c>
      <c r="CK3850">
        <v>0.42</v>
      </c>
      <c r="CL3850">
        <v>23.81</v>
      </c>
      <c r="CM3850">
        <v>-0.57999999999999996</v>
      </c>
      <c r="CN3850">
        <v>-1.79</v>
      </c>
      <c r="CO3850">
        <v>26137</v>
      </c>
      <c r="CP3850">
        <v>17862</v>
      </c>
      <c r="CQ3850" t="s">
        <v>2472</v>
      </c>
      <c r="CR3850">
        <v>76.900000000000006</v>
      </c>
      <c r="CS3850">
        <v>54.71</v>
      </c>
      <c r="CT3850">
        <v>1.1299999999999999</v>
      </c>
      <c r="CU3850">
        <v>-87.55</v>
      </c>
      <c r="CV3850">
        <v>4.3600000000000003</v>
      </c>
      <c r="CW3850">
        <v>2.2400000000000002</v>
      </c>
      <c r="CX3850" t="s">
        <v>492</v>
      </c>
      <c r="CY3850">
        <v>6.42</v>
      </c>
      <c r="CZ3850">
        <v>0</v>
      </c>
      <c r="DA3850">
        <v>1.63</v>
      </c>
      <c r="DB3850">
        <v>3.4</v>
      </c>
      <c r="DC3850">
        <v>-0.08</v>
      </c>
      <c r="DD3850">
        <v>84.66</v>
      </c>
      <c r="DE3850" t="s">
        <v>7537</v>
      </c>
      <c r="DF3850">
        <v>20.63</v>
      </c>
      <c r="DG3850">
        <v>15.61</v>
      </c>
      <c r="DH3850">
        <v>12.02</v>
      </c>
      <c r="DI3850">
        <v>0.46</v>
      </c>
      <c r="DJ3850">
        <v>1705</v>
      </c>
      <c r="DK3850">
        <v>603980</v>
      </c>
      <c r="DL3850" t="s">
        <v>120</v>
      </c>
      <c r="DM3850" t="s">
        <v>120</v>
      </c>
      <c r="DN3850" t="s">
        <v>120</v>
      </c>
    </row>
    <row r="3851" spans="1:118">
      <c r="A3851" t="str">
        <f>"603982"</f>
        <v>603982</v>
      </c>
      <c r="B3851" t="s">
        <v>15802</v>
      </c>
      <c r="C3851">
        <v>-3.25</v>
      </c>
      <c r="D3851">
        <v>-0.36</v>
      </c>
      <c r="E3851">
        <v>0.18</v>
      </c>
      <c r="F3851">
        <v>482</v>
      </c>
      <c r="G3851" t="s">
        <v>4540</v>
      </c>
      <c r="H3851">
        <v>8052.31</v>
      </c>
      <c r="I3851">
        <v>111.47</v>
      </c>
      <c r="J3851" t="s">
        <v>120</v>
      </c>
      <c r="K3851" t="s">
        <v>10260</v>
      </c>
      <c r="L3851">
        <v>4.47</v>
      </c>
      <c r="M3851">
        <v>21.75</v>
      </c>
      <c r="N3851">
        <v>0.49</v>
      </c>
      <c r="O3851">
        <v>0.22</v>
      </c>
      <c r="P3851">
        <v>22.53</v>
      </c>
      <c r="Q3851">
        <v>-3.25</v>
      </c>
      <c r="R3851">
        <v>21.75</v>
      </c>
      <c r="S3851">
        <v>22.52</v>
      </c>
      <c r="T3851">
        <v>36515</v>
      </c>
      <c r="U3851">
        <v>21.76</v>
      </c>
      <c r="V3851">
        <v>22.48</v>
      </c>
      <c r="W3851">
        <v>27.95</v>
      </c>
      <c r="X3851" t="s">
        <v>289</v>
      </c>
      <c r="Y3851" t="s">
        <v>319</v>
      </c>
      <c r="Z3851">
        <v>3.47</v>
      </c>
      <c r="AA3851">
        <v>22.05</v>
      </c>
      <c r="AB3851">
        <v>17187</v>
      </c>
      <c r="AC3851">
        <v>19328</v>
      </c>
      <c r="AD3851">
        <v>0.89</v>
      </c>
      <c r="AE3851">
        <v>84</v>
      </c>
      <c r="AF3851">
        <v>2</v>
      </c>
      <c r="AG3851" t="s">
        <v>120</v>
      </c>
      <c r="AH3851">
        <v>7.0000000000000007E-2</v>
      </c>
      <c r="AI3851" t="s">
        <v>120</v>
      </c>
      <c r="AJ3851">
        <v>0.82</v>
      </c>
      <c r="AK3851" t="s">
        <v>9593</v>
      </c>
      <c r="AL3851">
        <v>-1.9</v>
      </c>
      <c r="AM3851">
        <v>3101</v>
      </c>
      <c r="AN3851">
        <v>12</v>
      </c>
      <c r="AO3851">
        <v>1.4E-3</v>
      </c>
      <c r="AP3851">
        <v>-1</v>
      </c>
      <c r="AQ3851">
        <v>1.58</v>
      </c>
      <c r="AR3851">
        <v>-7.02</v>
      </c>
      <c r="AS3851">
        <v>35.6</v>
      </c>
      <c r="AT3851">
        <v>29.23</v>
      </c>
      <c r="AU3851">
        <v>8.4499999999999993</v>
      </c>
      <c r="AV3851">
        <v>4</v>
      </c>
      <c r="AW3851">
        <v>5.13</v>
      </c>
      <c r="AX3851">
        <v>35.369999999999997</v>
      </c>
      <c r="AY3851">
        <v>25.45</v>
      </c>
      <c r="AZ3851">
        <v>37.44</v>
      </c>
      <c r="BA3851">
        <v>1.26</v>
      </c>
      <c r="BB3851" t="s">
        <v>240</v>
      </c>
      <c r="BF3851">
        <v>-1.9</v>
      </c>
      <c r="BG3851">
        <v>-3.42</v>
      </c>
      <c r="BH3851">
        <v>-3.46</v>
      </c>
      <c r="BI3851">
        <v>0</v>
      </c>
      <c r="BJ3851">
        <v>20210821</v>
      </c>
      <c r="BK3851">
        <v>20190522</v>
      </c>
      <c r="BL3851">
        <v>2.0099999999999998</v>
      </c>
      <c r="BM3851" t="s">
        <v>120</v>
      </c>
      <c r="BN3851" t="s">
        <v>120</v>
      </c>
      <c r="BO3851">
        <v>25.32</v>
      </c>
      <c r="BP3851">
        <v>21.75</v>
      </c>
      <c r="BQ3851">
        <v>16.28</v>
      </c>
      <c r="BR3851" t="s">
        <v>120</v>
      </c>
      <c r="BS3851">
        <v>35.69</v>
      </c>
      <c r="BT3851">
        <v>12.15</v>
      </c>
      <c r="BU3851">
        <v>9.48</v>
      </c>
      <c r="BV3851">
        <v>1.45</v>
      </c>
      <c r="BW3851">
        <v>8.66</v>
      </c>
      <c r="BX3851">
        <v>2.93</v>
      </c>
      <c r="BY3851">
        <v>3.85</v>
      </c>
      <c r="BZ3851">
        <v>3.53</v>
      </c>
      <c r="CA3851" t="s">
        <v>120</v>
      </c>
      <c r="CB3851">
        <v>9.9600000000000009</v>
      </c>
      <c r="CC3851">
        <v>8.06</v>
      </c>
      <c r="CD3851">
        <v>5.95</v>
      </c>
      <c r="CE3851">
        <v>0.88</v>
      </c>
      <c r="CF3851">
        <v>0</v>
      </c>
      <c r="CG3851">
        <v>0.89</v>
      </c>
      <c r="CH3851">
        <v>0.78</v>
      </c>
      <c r="CI3851">
        <v>0.78</v>
      </c>
      <c r="CJ3851">
        <v>-0.73</v>
      </c>
      <c r="CK3851">
        <v>0.59</v>
      </c>
      <c r="CL3851">
        <v>3.91</v>
      </c>
      <c r="CM3851">
        <v>1.1299999999999999</v>
      </c>
      <c r="CN3851">
        <v>0.12</v>
      </c>
      <c r="CO3851">
        <v>18030</v>
      </c>
      <c r="CP3851">
        <v>3951</v>
      </c>
      <c r="CQ3851" t="s">
        <v>15722</v>
      </c>
      <c r="CR3851">
        <v>266.39</v>
      </c>
      <c r="CS3851">
        <v>57.13</v>
      </c>
      <c r="CT3851">
        <v>2.69</v>
      </c>
      <c r="CU3851">
        <v>38.65</v>
      </c>
      <c r="CV3851">
        <v>5.44</v>
      </c>
      <c r="CW3851">
        <v>0.33</v>
      </c>
      <c r="CX3851" t="s">
        <v>1980</v>
      </c>
      <c r="CY3851">
        <v>8.08</v>
      </c>
      <c r="CZ3851">
        <v>0</v>
      </c>
      <c r="DA3851">
        <v>4.9400000000000004</v>
      </c>
      <c r="DB3851">
        <v>1.94</v>
      </c>
      <c r="DC3851">
        <v>0.56000000000000005</v>
      </c>
      <c r="DD3851">
        <v>64.31</v>
      </c>
      <c r="DE3851" t="s">
        <v>8264</v>
      </c>
      <c r="DF3851">
        <v>26.08</v>
      </c>
      <c r="DG3851">
        <v>10.97</v>
      </c>
      <c r="DH3851">
        <v>9.73</v>
      </c>
      <c r="DI3851">
        <v>0.62</v>
      </c>
      <c r="DJ3851">
        <v>1951</v>
      </c>
      <c r="DK3851">
        <v>603982</v>
      </c>
      <c r="DL3851" t="s">
        <v>120</v>
      </c>
      <c r="DM3851" t="s">
        <v>120</v>
      </c>
      <c r="DN3851" t="s">
        <v>120</v>
      </c>
    </row>
    <row r="3852" spans="1:118">
      <c r="A3852" t="str">
        <f>"603983"</f>
        <v>603983</v>
      </c>
      <c r="B3852" t="s">
        <v>15803</v>
      </c>
      <c r="C3852">
        <v>10.01</v>
      </c>
      <c r="D3852">
        <v>0</v>
      </c>
      <c r="E3852">
        <v>0.24</v>
      </c>
      <c r="F3852">
        <v>104</v>
      </c>
      <c r="G3852" t="s">
        <v>3042</v>
      </c>
      <c r="H3852">
        <v>13543.37</v>
      </c>
      <c r="I3852">
        <v>11.31</v>
      </c>
      <c r="J3852">
        <v>3940.19</v>
      </c>
      <c r="K3852" t="s">
        <v>2314</v>
      </c>
      <c r="L3852">
        <v>4.9400000000000004</v>
      </c>
      <c r="M3852">
        <v>36.49</v>
      </c>
      <c r="N3852">
        <v>2.2599999999999998</v>
      </c>
      <c r="O3852">
        <v>10.01</v>
      </c>
      <c r="P3852">
        <v>36.49</v>
      </c>
      <c r="Q3852">
        <v>0.24</v>
      </c>
      <c r="R3852">
        <v>33.25</v>
      </c>
      <c r="S3852">
        <v>33.25</v>
      </c>
      <c r="T3852">
        <v>38050</v>
      </c>
      <c r="U3852" t="s">
        <v>120</v>
      </c>
      <c r="V3852">
        <v>33.17</v>
      </c>
      <c r="W3852">
        <v>38.76</v>
      </c>
      <c r="X3852" t="s">
        <v>1817</v>
      </c>
      <c r="Y3852" t="s">
        <v>547</v>
      </c>
      <c r="Z3852">
        <v>9.77</v>
      </c>
      <c r="AA3852">
        <v>35.590000000000003</v>
      </c>
      <c r="AB3852">
        <v>20529</v>
      </c>
      <c r="AC3852">
        <v>17521</v>
      </c>
      <c r="AD3852">
        <v>1.17</v>
      </c>
      <c r="AE3852">
        <v>10798</v>
      </c>
      <c r="AF3852">
        <v>0</v>
      </c>
      <c r="AG3852" t="s">
        <v>120</v>
      </c>
      <c r="AH3852">
        <v>0.01</v>
      </c>
      <c r="AI3852">
        <v>0.28000000000000003</v>
      </c>
      <c r="AJ3852">
        <v>0.77</v>
      </c>
      <c r="AK3852" t="s">
        <v>15804</v>
      </c>
      <c r="AL3852">
        <v>11.35</v>
      </c>
      <c r="AM3852">
        <v>1652</v>
      </c>
      <c r="AN3852">
        <v>23</v>
      </c>
      <c r="AO3852">
        <v>3.0000000000000001E-3</v>
      </c>
      <c r="AP3852">
        <v>1</v>
      </c>
      <c r="AQ3852">
        <v>-1.78</v>
      </c>
      <c r="AR3852">
        <v>4.7</v>
      </c>
      <c r="AS3852">
        <v>3.2</v>
      </c>
      <c r="AT3852">
        <v>-28.3</v>
      </c>
      <c r="AU3852">
        <v>-29.64</v>
      </c>
      <c r="AV3852">
        <v>2</v>
      </c>
      <c r="AW3852">
        <v>7.61</v>
      </c>
      <c r="AX3852">
        <v>12.44</v>
      </c>
      <c r="AY3852">
        <v>34.58</v>
      </c>
      <c r="AZ3852">
        <v>28.7</v>
      </c>
      <c r="BA3852">
        <v>1.05</v>
      </c>
      <c r="BB3852" t="s">
        <v>125</v>
      </c>
      <c r="BF3852">
        <v>7.31</v>
      </c>
      <c r="BG3852">
        <v>9.74</v>
      </c>
      <c r="BH3852">
        <v>0</v>
      </c>
      <c r="BI3852">
        <v>9.74</v>
      </c>
      <c r="BJ3852">
        <v>20210830</v>
      </c>
      <c r="BK3852">
        <v>20190725</v>
      </c>
      <c r="BL3852">
        <v>4.0199999999999996</v>
      </c>
      <c r="BM3852" t="s">
        <v>120</v>
      </c>
      <c r="BN3852" t="s">
        <v>120</v>
      </c>
      <c r="BO3852">
        <v>38.659999999999997</v>
      </c>
      <c r="BP3852">
        <v>36.49</v>
      </c>
      <c r="BQ3852">
        <v>30.26</v>
      </c>
      <c r="BR3852">
        <v>0.42</v>
      </c>
      <c r="BS3852">
        <v>20.63</v>
      </c>
      <c r="BT3852">
        <v>27.16</v>
      </c>
      <c r="BU3852">
        <v>2.46</v>
      </c>
      <c r="BV3852">
        <v>7.74</v>
      </c>
      <c r="BW3852">
        <v>7.78</v>
      </c>
      <c r="BX3852">
        <v>16.37</v>
      </c>
      <c r="BY3852">
        <v>1.79</v>
      </c>
      <c r="BZ3852">
        <v>0.31</v>
      </c>
      <c r="CA3852" t="s">
        <v>120</v>
      </c>
      <c r="CB3852">
        <v>7.8</v>
      </c>
      <c r="CC3852">
        <v>8.74</v>
      </c>
      <c r="CD3852">
        <v>3.14</v>
      </c>
      <c r="CE3852">
        <v>2.11</v>
      </c>
      <c r="CF3852">
        <v>-0.01</v>
      </c>
      <c r="CG3852">
        <v>2.2200000000000002</v>
      </c>
      <c r="CH3852">
        <v>1.86</v>
      </c>
      <c r="CI3852">
        <v>1.89</v>
      </c>
      <c r="CJ3852">
        <v>3.32</v>
      </c>
      <c r="CK3852">
        <v>1.59</v>
      </c>
      <c r="CL3852">
        <v>16.71</v>
      </c>
      <c r="CM3852">
        <v>-0.43</v>
      </c>
      <c r="CN3852">
        <v>-0.4</v>
      </c>
      <c r="CO3852">
        <v>24774</v>
      </c>
      <c r="CP3852">
        <v>2018</v>
      </c>
      <c r="CQ3852" t="s">
        <v>3812</v>
      </c>
      <c r="CR3852">
        <v>-29.46</v>
      </c>
      <c r="CS3852">
        <v>10.09</v>
      </c>
      <c r="CT3852">
        <v>4.8499999999999996</v>
      </c>
      <c r="CU3852">
        <v>-344.92</v>
      </c>
      <c r="CV3852">
        <v>16.78</v>
      </c>
      <c r="CW3852">
        <v>1.06</v>
      </c>
      <c r="CX3852" t="s">
        <v>1071</v>
      </c>
      <c r="CY3852">
        <v>7.53</v>
      </c>
      <c r="CZ3852">
        <v>0</v>
      </c>
      <c r="DA3852">
        <v>1.94</v>
      </c>
      <c r="DB3852">
        <v>4.16</v>
      </c>
      <c r="DC3852">
        <v>-0.11</v>
      </c>
      <c r="DD3852">
        <v>78.27</v>
      </c>
      <c r="DE3852" t="s">
        <v>15805</v>
      </c>
      <c r="DF3852">
        <v>64.06</v>
      </c>
      <c r="DG3852">
        <v>24.16</v>
      </c>
      <c r="DH3852">
        <v>21.65</v>
      </c>
      <c r="DI3852">
        <v>0.25</v>
      </c>
      <c r="DJ3852">
        <v>950</v>
      </c>
      <c r="DK3852">
        <v>603983</v>
      </c>
      <c r="DL3852" t="s">
        <v>120</v>
      </c>
      <c r="DM3852" t="s">
        <v>120</v>
      </c>
      <c r="DN3852" t="s">
        <v>120</v>
      </c>
    </row>
    <row r="3853" spans="1:118">
      <c r="A3853" t="str">
        <f>"603985"</f>
        <v>603985</v>
      </c>
      <c r="B3853" t="s">
        <v>15806</v>
      </c>
      <c r="C3853">
        <v>10</v>
      </c>
      <c r="D3853">
        <v>0</v>
      </c>
      <c r="E3853">
        <v>5.94</v>
      </c>
      <c r="F3853">
        <v>124</v>
      </c>
      <c r="G3853" t="s">
        <v>15807</v>
      </c>
      <c r="H3853">
        <v>23221.91</v>
      </c>
      <c r="I3853">
        <v>2153.79</v>
      </c>
      <c r="J3853">
        <v>4711.3599999999997</v>
      </c>
      <c r="K3853" t="s">
        <v>15808</v>
      </c>
      <c r="L3853">
        <v>2.64</v>
      </c>
      <c r="M3853">
        <v>33.54</v>
      </c>
      <c r="N3853">
        <v>0.38</v>
      </c>
      <c r="O3853">
        <v>10</v>
      </c>
      <c r="P3853">
        <v>33.54</v>
      </c>
      <c r="Q3853">
        <v>5.94</v>
      </c>
      <c r="R3853">
        <v>32.299999999999997</v>
      </c>
      <c r="S3853">
        <v>32.299999999999997</v>
      </c>
      <c r="T3853">
        <v>69982</v>
      </c>
      <c r="U3853" t="s">
        <v>120</v>
      </c>
      <c r="V3853">
        <v>30.49</v>
      </c>
      <c r="W3853">
        <v>18.27</v>
      </c>
      <c r="X3853" t="s">
        <v>959</v>
      </c>
      <c r="Y3853" t="s">
        <v>319</v>
      </c>
      <c r="Z3853">
        <v>4.07</v>
      </c>
      <c r="AA3853">
        <v>33.18</v>
      </c>
      <c r="AB3853">
        <v>42863</v>
      </c>
      <c r="AC3853">
        <v>27119</v>
      </c>
      <c r="AD3853">
        <v>1.58</v>
      </c>
      <c r="AE3853">
        <v>14047</v>
      </c>
      <c r="AF3853">
        <v>0</v>
      </c>
      <c r="AG3853" t="s">
        <v>120</v>
      </c>
      <c r="AH3853">
        <v>0.46</v>
      </c>
      <c r="AI3853">
        <v>0.2</v>
      </c>
      <c r="AJ3853">
        <v>2.65</v>
      </c>
      <c r="AK3853" t="s">
        <v>15808</v>
      </c>
      <c r="AL3853">
        <v>11.35</v>
      </c>
      <c r="AM3853">
        <v>1163</v>
      </c>
      <c r="AN3853">
        <v>60</v>
      </c>
      <c r="AO3853">
        <v>2.3E-3</v>
      </c>
      <c r="AP3853">
        <v>4</v>
      </c>
      <c r="AQ3853">
        <v>9.99</v>
      </c>
      <c r="AR3853">
        <v>24.86</v>
      </c>
      <c r="AS3853">
        <v>65.3</v>
      </c>
      <c r="AT3853">
        <v>90.24</v>
      </c>
      <c r="AU3853">
        <v>33.71</v>
      </c>
      <c r="AV3853">
        <v>7</v>
      </c>
      <c r="AW3853">
        <v>4.8</v>
      </c>
      <c r="AX3853">
        <v>55.05</v>
      </c>
      <c r="AY3853">
        <v>15.28</v>
      </c>
      <c r="AZ3853">
        <v>17.45</v>
      </c>
      <c r="BA3853">
        <v>1.3</v>
      </c>
      <c r="BB3853" t="s">
        <v>700</v>
      </c>
      <c r="BF3853">
        <v>8.83</v>
      </c>
      <c r="BG3853">
        <v>3.84</v>
      </c>
      <c r="BH3853">
        <v>0</v>
      </c>
      <c r="BI3853">
        <v>3.84</v>
      </c>
      <c r="BJ3853">
        <v>20210830</v>
      </c>
      <c r="BK3853">
        <v>20170505</v>
      </c>
      <c r="BL3853">
        <v>2.65</v>
      </c>
      <c r="BM3853" t="s">
        <v>120</v>
      </c>
      <c r="BN3853" t="s">
        <v>120</v>
      </c>
      <c r="BO3853">
        <v>26.97</v>
      </c>
      <c r="BP3853">
        <v>33.54</v>
      </c>
      <c r="BQ3853">
        <v>16.850000000000001</v>
      </c>
      <c r="BR3853">
        <v>0.25</v>
      </c>
      <c r="BS3853">
        <v>36.61</v>
      </c>
      <c r="BT3853">
        <v>14.68</v>
      </c>
      <c r="BU3853">
        <v>5.69</v>
      </c>
      <c r="BV3853">
        <v>0.83</v>
      </c>
      <c r="BW3853">
        <v>8.68</v>
      </c>
      <c r="BX3853">
        <v>2.65</v>
      </c>
      <c r="BY3853">
        <v>4.08</v>
      </c>
      <c r="BZ3853">
        <v>3.7</v>
      </c>
      <c r="CA3853">
        <v>0.02</v>
      </c>
      <c r="CB3853">
        <v>4.1900000000000004</v>
      </c>
      <c r="CC3853">
        <v>11.92</v>
      </c>
      <c r="CD3853">
        <v>7.91</v>
      </c>
      <c r="CE3853">
        <v>2.88</v>
      </c>
      <c r="CF3853">
        <v>-0.03</v>
      </c>
      <c r="CG3853">
        <v>2.89</v>
      </c>
      <c r="CH3853">
        <v>2.44</v>
      </c>
      <c r="CI3853">
        <v>2.4300000000000002</v>
      </c>
      <c r="CJ3853">
        <v>3.05</v>
      </c>
      <c r="CK3853">
        <v>2.41</v>
      </c>
      <c r="CL3853">
        <v>9.57</v>
      </c>
      <c r="CM3853">
        <v>0.98</v>
      </c>
      <c r="CN3853">
        <v>0.47</v>
      </c>
      <c r="CO3853">
        <v>17123</v>
      </c>
      <c r="CP3853">
        <v>8519</v>
      </c>
      <c r="CQ3853" t="s">
        <v>15809</v>
      </c>
      <c r="CR3853">
        <v>36.869999999999997</v>
      </c>
      <c r="CS3853">
        <v>13.51</v>
      </c>
      <c r="CT3853">
        <v>5.28</v>
      </c>
      <c r="CU3853">
        <v>90.94</v>
      </c>
      <c r="CV3853">
        <v>7.46</v>
      </c>
      <c r="CW3853">
        <v>1.01</v>
      </c>
      <c r="CX3853" t="s">
        <v>15810</v>
      </c>
      <c r="CY3853">
        <v>6.36</v>
      </c>
      <c r="CZ3853">
        <v>0</v>
      </c>
      <c r="DA3853">
        <v>1.58</v>
      </c>
      <c r="DB3853">
        <v>3.61</v>
      </c>
      <c r="DC3853">
        <v>0.37</v>
      </c>
      <c r="DD3853">
        <v>62.46</v>
      </c>
      <c r="DE3853" t="s">
        <v>15811</v>
      </c>
      <c r="DF3853">
        <v>33.65</v>
      </c>
      <c r="DG3853">
        <v>24.12</v>
      </c>
      <c r="DH3853">
        <v>20.41</v>
      </c>
      <c r="DI3853">
        <v>0.44</v>
      </c>
      <c r="DJ3853">
        <v>1146</v>
      </c>
      <c r="DK3853">
        <v>603985</v>
      </c>
      <c r="DL3853" t="s">
        <v>120</v>
      </c>
      <c r="DM3853" t="s">
        <v>120</v>
      </c>
      <c r="DN3853" t="s">
        <v>120</v>
      </c>
    </row>
    <row r="3854" spans="1:118">
      <c r="A3854" t="str">
        <f>"603986"</f>
        <v>603986</v>
      </c>
      <c r="B3854" t="s">
        <v>15812</v>
      </c>
      <c r="C3854">
        <v>-2.41</v>
      </c>
      <c r="D3854">
        <v>-0.06</v>
      </c>
      <c r="E3854">
        <v>-0.1</v>
      </c>
      <c r="F3854">
        <v>1303</v>
      </c>
      <c r="G3854" t="s">
        <v>15813</v>
      </c>
      <c r="H3854">
        <v>221539.58</v>
      </c>
      <c r="I3854">
        <v>428.46</v>
      </c>
      <c r="J3854" t="s">
        <v>120</v>
      </c>
      <c r="K3854" t="s">
        <v>15814</v>
      </c>
      <c r="L3854">
        <v>2.4</v>
      </c>
      <c r="M3854">
        <v>147.9</v>
      </c>
      <c r="N3854">
        <v>1.1599999999999999</v>
      </c>
      <c r="O3854">
        <v>1.25</v>
      </c>
      <c r="P3854">
        <v>153.44</v>
      </c>
      <c r="Q3854">
        <v>-2.8</v>
      </c>
      <c r="R3854">
        <v>147.30000000000001</v>
      </c>
      <c r="S3854">
        <v>151.4</v>
      </c>
      <c r="T3854">
        <v>147555</v>
      </c>
      <c r="U3854">
        <v>147.91999999999999</v>
      </c>
      <c r="V3854">
        <v>151.55000000000001</v>
      </c>
      <c r="W3854">
        <v>62.66</v>
      </c>
      <c r="X3854" t="s">
        <v>3245</v>
      </c>
      <c r="Y3854" t="s">
        <v>158</v>
      </c>
      <c r="Z3854">
        <v>4.05</v>
      </c>
      <c r="AA3854">
        <v>150.13999999999999</v>
      </c>
      <c r="AB3854">
        <v>72083</v>
      </c>
      <c r="AC3854">
        <v>75472</v>
      </c>
      <c r="AD3854">
        <v>0.96</v>
      </c>
      <c r="AE3854">
        <v>155</v>
      </c>
      <c r="AF3854">
        <v>6</v>
      </c>
      <c r="AG3854" t="s">
        <v>120</v>
      </c>
      <c r="AH3854">
        <v>0.01</v>
      </c>
      <c r="AI3854" t="s">
        <v>120</v>
      </c>
      <c r="AJ3854">
        <v>6.15</v>
      </c>
      <c r="AK3854" t="s">
        <v>15815</v>
      </c>
      <c r="AL3854">
        <v>-1.06</v>
      </c>
      <c r="AM3854">
        <v>4683</v>
      </c>
      <c r="AN3854">
        <v>32</v>
      </c>
      <c r="AO3854">
        <v>5.0000000000000001E-4</v>
      </c>
      <c r="AP3854">
        <v>-4</v>
      </c>
      <c r="AQ3854">
        <v>-2</v>
      </c>
      <c r="AR3854">
        <v>-4.76</v>
      </c>
      <c r="AS3854">
        <v>-11.45</v>
      </c>
      <c r="AT3854">
        <v>-14.48</v>
      </c>
      <c r="AU3854">
        <v>5.14</v>
      </c>
      <c r="AV3854">
        <v>2</v>
      </c>
      <c r="AW3854">
        <v>3.02</v>
      </c>
      <c r="AX3854">
        <v>73.39</v>
      </c>
      <c r="AY3854">
        <v>77.42</v>
      </c>
      <c r="AZ3854">
        <v>114.56</v>
      </c>
      <c r="BA3854">
        <v>0.52</v>
      </c>
      <c r="BB3854" t="s">
        <v>143</v>
      </c>
      <c r="BF3854">
        <v>-0.93</v>
      </c>
      <c r="BG3854">
        <v>-2.31</v>
      </c>
      <c r="BH3854">
        <v>-3.61</v>
      </c>
      <c r="BI3854">
        <v>0.41</v>
      </c>
      <c r="BJ3854">
        <v>20210910</v>
      </c>
      <c r="BK3854">
        <v>20160818</v>
      </c>
      <c r="BL3854">
        <v>6.66</v>
      </c>
      <c r="BM3854" t="s">
        <v>120</v>
      </c>
      <c r="BN3854" t="s">
        <v>120</v>
      </c>
      <c r="BO3854">
        <v>130.1</v>
      </c>
      <c r="BP3854">
        <v>147.9</v>
      </c>
      <c r="BQ3854">
        <v>113.29</v>
      </c>
      <c r="BR3854" t="s">
        <v>120</v>
      </c>
      <c r="BS3854">
        <v>12.93</v>
      </c>
      <c r="BT3854">
        <v>97.22</v>
      </c>
      <c r="BU3854">
        <v>7.51</v>
      </c>
      <c r="BV3854">
        <v>2.7</v>
      </c>
      <c r="BW3854">
        <v>13.63</v>
      </c>
      <c r="BX3854">
        <v>59.32</v>
      </c>
      <c r="BY3854">
        <v>11.06</v>
      </c>
      <c r="BZ3854">
        <v>2.65</v>
      </c>
      <c r="CA3854" t="s">
        <v>120</v>
      </c>
      <c r="CB3854">
        <v>77.25</v>
      </c>
      <c r="CC3854">
        <v>36.409999999999997</v>
      </c>
      <c r="CD3854">
        <v>21.75</v>
      </c>
      <c r="CE3854">
        <v>6.5</v>
      </c>
      <c r="CF3854">
        <v>0.01</v>
      </c>
      <c r="CG3854">
        <v>8.7799999999999994</v>
      </c>
      <c r="CH3854">
        <v>7.86</v>
      </c>
      <c r="CI3854">
        <v>7.86</v>
      </c>
      <c r="CJ3854">
        <v>-3.65</v>
      </c>
      <c r="CK3854">
        <v>7.4</v>
      </c>
      <c r="CL3854">
        <v>30.31</v>
      </c>
      <c r="CM3854">
        <v>8.08</v>
      </c>
      <c r="CN3854">
        <v>-14.45</v>
      </c>
      <c r="CO3854">
        <v>108839</v>
      </c>
      <c r="CP3854">
        <v>4489</v>
      </c>
      <c r="CQ3854" t="s">
        <v>15816</v>
      </c>
      <c r="CR3854">
        <v>116.32</v>
      </c>
      <c r="CS3854">
        <v>119.62</v>
      </c>
      <c r="CT3854">
        <v>8.67</v>
      </c>
      <c r="CU3854">
        <v>121.83</v>
      </c>
      <c r="CV3854">
        <v>27.04</v>
      </c>
      <c r="CW3854">
        <v>0.26</v>
      </c>
      <c r="CX3854" t="s">
        <v>10916</v>
      </c>
      <c r="CY3854">
        <v>17.05</v>
      </c>
      <c r="CZ3854">
        <v>17.05</v>
      </c>
      <c r="DA3854">
        <v>11.6</v>
      </c>
      <c r="DB3854">
        <v>4.55</v>
      </c>
      <c r="DC3854">
        <v>1.21</v>
      </c>
      <c r="DD3854">
        <v>87.07</v>
      </c>
      <c r="DE3854" t="s">
        <v>15817</v>
      </c>
      <c r="DF3854">
        <v>40.270000000000003</v>
      </c>
      <c r="DG3854">
        <v>17.86</v>
      </c>
      <c r="DH3854">
        <v>21.58</v>
      </c>
      <c r="DI3854">
        <v>3.67</v>
      </c>
      <c r="DJ3854">
        <v>1129</v>
      </c>
      <c r="DK3854">
        <v>603986</v>
      </c>
      <c r="DL3854" t="s">
        <v>120</v>
      </c>
      <c r="DM3854" t="s">
        <v>120</v>
      </c>
      <c r="DN3854" t="s">
        <v>120</v>
      </c>
    </row>
    <row r="3855" spans="1:118">
      <c r="A3855" t="str">
        <f>"603987"</f>
        <v>603987</v>
      </c>
      <c r="B3855" t="s">
        <v>15818</v>
      </c>
      <c r="C3855">
        <v>2.93</v>
      </c>
      <c r="D3855">
        <v>0</v>
      </c>
      <c r="E3855">
        <v>-0.44</v>
      </c>
      <c r="F3855">
        <v>982</v>
      </c>
      <c r="G3855" t="s">
        <v>1151</v>
      </c>
      <c r="H3855">
        <v>18149.89</v>
      </c>
      <c r="I3855">
        <v>5.0999999999999996</v>
      </c>
      <c r="J3855" t="s">
        <v>120</v>
      </c>
      <c r="K3855" t="s">
        <v>15819</v>
      </c>
      <c r="L3855">
        <v>1.96</v>
      </c>
      <c r="M3855">
        <v>21.09</v>
      </c>
      <c r="N3855">
        <v>1.48</v>
      </c>
      <c r="O3855">
        <v>5.08</v>
      </c>
      <c r="P3855">
        <v>21.53</v>
      </c>
      <c r="Q3855">
        <v>-0.98</v>
      </c>
      <c r="R3855">
        <v>20.29</v>
      </c>
      <c r="S3855">
        <v>20.399999999999999</v>
      </c>
      <c r="T3855">
        <v>85745</v>
      </c>
      <c r="U3855">
        <v>21.09</v>
      </c>
      <c r="V3855">
        <v>20.49</v>
      </c>
      <c r="W3855">
        <v>36.74</v>
      </c>
      <c r="X3855" t="s">
        <v>555</v>
      </c>
      <c r="Y3855" t="s">
        <v>1510</v>
      </c>
      <c r="Z3855">
        <v>6.05</v>
      </c>
      <c r="AA3855">
        <v>21.17</v>
      </c>
      <c r="AB3855">
        <v>34890</v>
      </c>
      <c r="AC3855">
        <v>50855</v>
      </c>
      <c r="AD3855">
        <v>0.69</v>
      </c>
      <c r="AE3855">
        <v>135</v>
      </c>
      <c r="AF3855">
        <v>181</v>
      </c>
      <c r="AG3855" t="s">
        <v>120</v>
      </c>
      <c r="AH3855">
        <v>0</v>
      </c>
      <c r="AI3855" t="s">
        <v>120</v>
      </c>
      <c r="AJ3855">
        <v>4.38</v>
      </c>
      <c r="AK3855" t="s">
        <v>15820</v>
      </c>
      <c r="AL3855">
        <v>4.2699999999999996</v>
      </c>
      <c r="AM3855">
        <v>3167</v>
      </c>
      <c r="AN3855">
        <v>27</v>
      </c>
      <c r="AO3855">
        <v>5.9999999999999995E-4</v>
      </c>
      <c r="AP3855">
        <v>2</v>
      </c>
      <c r="AQ3855">
        <v>2.09</v>
      </c>
      <c r="AR3855">
        <v>4.46</v>
      </c>
      <c r="AS3855">
        <v>3.84</v>
      </c>
      <c r="AT3855">
        <v>-11.16</v>
      </c>
      <c r="AU3855">
        <v>34.409999999999997</v>
      </c>
      <c r="AV3855">
        <v>4</v>
      </c>
      <c r="AW3855">
        <v>3.27</v>
      </c>
      <c r="AX3855">
        <v>59.44</v>
      </c>
      <c r="AY3855">
        <v>38.450000000000003</v>
      </c>
      <c r="AZ3855">
        <v>44.62</v>
      </c>
      <c r="BA3855">
        <v>1.43</v>
      </c>
      <c r="BB3855" t="s">
        <v>143</v>
      </c>
      <c r="BF3855">
        <v>3.3</v>
      </c>
      <c r="BG3855">
        <v>3.38</v>
      </c>
      <c r="BH3855">
        <v>-2.04</v>
      </c>
      <c r="BI3855">
        <v>3.94</v>
      </c>
      <c r="BJ3855">
        <v>20210826</v>
      </c>
      <c r="BK3855">
        <v>20161121</v>
      </c>
      <c r="BL3855">
        <v>4.42</v>
      </c>
      <c r="BM3855" t="s">
        <v>120</v>
      </c>
      <c r="BN3855" t="s">
        <v>120</v>
      </c>
      <c r="BO3855">
        <v>43.81</v>
      </c>
      <c r="BP3855">
        <v>21.08</v>
      </c>
      <c r="BQ3855">
        <v>18.66</v>
      </c>
      <c r="BR3855">
        <v>12.24</v>
      </c>
      <c r="BS3855">
        <v>29.47</v>
      </c>
      <c r="BT3855">
        <v>24.67</v>
      </c>
      <c r="BU3855">
        <v>10.220000000000001</v>
      </c>
      <c r="BV3855">
        <v>2.42</v>
      </c>
      <c r="BW3855">
        <v>11.65</v>
      </c>
      <c r="BX3855">
        <v>9.76</v>
      </c>
      <c r="BY3855">
        <v>4.87</v>
      </c>
      <c r="BZ3855">
        <v>8.01</v>
      </c>
      <c r="CA3855" t="s">
        <v>120</v>
      </c>
      <c r="CB3855">
        <v>5.69</v>
      </c>
      <c r="CC3855">
        <v>14.22</v>
      </c>
      <c r="CD3855">
        <v>8.7200000000000006</v>
      </c>
      <c r="CE3855">
        <v>2.08</v>
      </c>
      <c r="CF3855">
        <v>0.06</v>
      </c>
      <c r="CG3855">
        <v>2.09</v>
      </c>
      <c r="CH3855">
        <v>1.83</v>
      </c>
      <c r="CI3855">
        <v>1.27</v>
      </c>
      <c r="CJ3855">
        <v>0.6</v>
      </c>
      <c r="CK3855">
        <v>1.1599999999999999</v>
      </c>
      <c r="CL3855">
        <v>8.09</v>
      </c>
      <c r="CM3855">
        <v>0.01</v>
      </c>
      <c r="CN3855">
        <v>-2.5499999999999998</v>
      </c>
      <c r="CO3855">
        <v>28695</v>
      </c>
      <c r="CP3855">
        <v>9146</v>
      </c>
      <c r="CQ3855" t="s">
        <v>15821</v>
      </c>
      <c r="CR3855">
        <v>34.56</v>
      </c>
      <c r="CS3855">
        <v>17.25</v>
      </c>
      <c r="CT3855">
        <v>4.99</v>
      </c>
      <c r="CU3855">
        <v>8551.6</v>
      </c>
      <c r="CV3855">
        <v>6.55</v>
      </c>
      <c r="CW3855">
        <v>0</v>
      </c>
      <c r="CX3855" t="s">
        <v>1054</v>
      </c>
      <c r="CY3855">
        <v>4.2300000000000004</v>
      </c>
      <c r="CZ3855">
        <v>0</v>
      </c>
      <c r="DA3855">
        <v>1.29</v>
      </c>
      <c r="DB3855">
        <v>1.83</v>
      </c>
      <c r="DC3855">
        <v>0</v>
      </c>
      <c r="DD3855">
        <v>42.6</v>
      </c>
      <c r="DE3855" t="s">
        <v>3051</v>
      </c>
      <c r="DF3855">
        <v>38.64</v>
      </c>
      <c r="DG3855">
        <v>14.61</v>
      </c>
      <c r="DH3855">
        <v>8.91</v>
      </c>
      <c r="DI3855">
        <v>0.8</v>
      </c>
      <c r="DJ3855">
        <v>5040</v>
      </c>
      <c r="DK3855">
        <v>603987</v>
      </c>
      <c r="DL3855" t="s">
        <v>120</v>
      </c>
      <c r="DM3855" t="s">
        <v>120</v>
      </c>
      <c r="DN3855" t="s">
        <v>120</v>
      </c>
    </row>
    <row r="3856" spans="1:118">
      <c r="A3856" t="str">
        <f>"603988"</f>
        <v>603988</v>
      </c>
      <c r="B3856" t="s">
        <v>15822</v>
      </c>
      <c r="C3856">
        <v>-2.64</v>
      </c>
      <c r="D3856">
        <v>0</v>
      </c>
      <c r="E3856">
        <v>-0.74</v>
      </c>
      <c r="F3856">
        <v>492</v>
      </c>
      <c r="G3856" t="s">
        <v>14378</v>
      </c>
      <c r="H3856">
        <v>7789.99</v>
      </c>
      <c r="I3856">
        <v>26</v>
      </c>
      <c r="J3856" t="s">
        <v>120</v>
      </c>
      <c r="K3856" t="s">
        <v>15823</v>
      </c>
      <c r="L3856">
        <v>2.0699999999999998</v>
      </c>
      <c r="M3856">
        <v>15.84</v>
      </c>
      <c r="N3856">
        <v>0.82</v>
      </c>
      <c r="O3856">
        <v>0.31</v>
      </c>
      <c r="P3856">
        <v>16.32</v>
      </c>
      <c r="Q3856">
        <v>-3.01</v>
      </c>
      <c r="R3856">
        <v>15.78</v>
      </c>
      <c r="S3856">
        <v>16.149999999999999</v>
      </c>
      <c r="T3856">
        <v>48747</v>
      </c>
      <c r="U3856">
        <v>15.85</v>
      </c>
      <c r="V3856">
        <v>16.27</v>
      </c>
      <c r="W3856">
        <v>37.729999999999997</v>
      </c>
      <c r="X3856" t="s">
        <v>394</v>
      </c>
      <c r="Y3856" t="s">
        <v>319</v>
      </c>
      <c r="Z3856">
        <v>3.32</v>
      </c>
      <c r="AA3856">
        <v>15.98</v>
      </c>
      <c r="AB3856">
        <v>28889</v>
      </c>
      <c r="AC3856">
        <v>19858</v>
      </c>
      <c r="AD3856">
        <v>1.45</v>
      </c>
      <c r="AE3856">
        <v>163</v>
      </c>
      <c r="AF3856">
        <v>37</v>
      </c>
      <c r="AG3856" t="s">
        <v>120</v>
      </c>
      <c r="AH3856">
        <v>0.02</v>
      </c>
      <c r="AI3856" t="s">
        <v>120</v>
      </c>
      <c r="AJ3856">
        <v>2.35</v>
      </c>
      <c r="AK3856" t="s">
        <v>15823</v>
      </c>
      <c r="AL3856">
        <v>-1.3</v>
      </c>
      <c r="AM3856">
        <v>2156</v>
      </c>
      <c r="AN3856">
        <v>23</v>
      </c>
      <c r="AO3856">
        <v>1E-3</v>
      </c>
      <c r="AP3856">
        <v>-1</v>
      </c>
      <c r="AQ3856">
        <v>1.94</v>
      </c>
      <c r="AR3856">
        <v>1.1499999999999999</v>
      </c>
      <c r="AS3856">
        <v>-2.4</v>
      </c>
      <c r="AT3856">
        <v>4.6900000000000004</v>
      </c>
      <c r="AU3856">
        <v>38.1</v>
      </c>
      <c r="AV3856">
        <v>9</v>
      </c>
      <c r="AW3856">
        <v>5.24</v>
      </c>
      <c r="AX3856">
        <v>39.58</v>
      </c>
      <c r="AY3856">
        <v>126.98</v>
      </c>
      <c r="AZ3856">
        <v>22.35</v>
      </c>
      <c r="BA3856">
        <v>0.1</v>
      </c>
      <c r="BB3856" t="s">
        <v>143</v>
      </c>
      <c r="BF3856">
        <v>-1.78</v>
      </c>
      <c r="BG3856">
        <v>-1.92</v>
      </c>
      <c r="BH3856">
        <v>-2.94</v>
      </c>
      <c r="BI3856">
        <v>0.38</v>
      </c>
      <c r="BJ3856">
        <v>20210821</v>
      </c>
      <c r="BK3856">
        <v>20141104</v>
      </c>
      <c r="BL3856">
        <v>2.35</v>
      </c>
      <c r="BM3856" t="s">
        <v>120</v>
      </c>
      <c r="BN3856" t="s">
        <v>120</v>
      </c>
      <c r="BO3856">
        <v>10.59</v>
      </c>
      <c r="BP3856">
        <v>15.84</v>
      </c>
      <c r="BQ3856">
        <v>6.01</v>
      </c>
      <c r="BR3856" t="s">
        <v>120</v>
      </c>
      <c r="BS3856">
        <v>43.21</v>
      </c>
      <c r="BT3856">
        <v>8.93</v>
      </c>
      <c r="BU3856">
        <v>1.24</v>
      </c>
      <c r="BV3856">
        <v>0.28000000000000003</v>
      </c>
      <c r="BW3856">
        <v>4.29</v>
      </c>
      <c r="BX3856">
        <v>1.03</v>
      </c>
      <c r="BY3856">
        <v>3.31</v>
      </c>
      <c r="BZ3856">
        <v>2.37</v>
      </c>
      <c r="CA3856" t="s">
        <v>120</v>
      </c>
      <c r="CB3856">
        <v>1.73</v>
      </c>
      <c r="CC3856">
        <v>3.49</v>
      </c>
      <c r="CD3856">
        <v>2.52</v>
      </c>
      <c r="CE3856">
        <v>0.5</v>
      </c>
      <c r="CF3856">
        <v>0.46</v>
      </c>
      <c r="CG3856">
        <v>0.5</v>
      </c>
      <c r="CH3856">
        <v>0.49</v>
      </c>
      <c r="CI3856">
        <v>0.49</v>
      </c>
      <c r="CJ3856">
        <v>-0.43</v>
      </c>
      <c r="CK3856">
        <v>0.27</v>
      </c>
      <c r="CL3856">
        <v>1.34</v>
      </c>
      <c r="CM3856">
        <v>0</v>
      </c>
      <c r="CN3856">
        <v>0.23</v>
      </c>
      <c r="CO3856">
        <v>28942</v>
      </c>
      <c r="CP3856">
        <v>3216</v>
      </c>
      <c r="CQ3856" t="s">
        <v>5131</v>
      </c>
      <c r="CR3856">
        <v>-74.08</v>
      </c>
      <c r="CS3856">
        <v>-0.69</v>
      </c>
      <c r="CT3856">
        <v>6.2</v>
      </c>
      <c r="CU3856">
        <v>8501.98</v>
      </c>
      <c r="CV3856">
        <v>10.67</v>
      </c>
      <c r="CW3856">
        <v>5.41</v>
      </c>
      <c r="CX3856" t="s">
        <v>2097</v>
      </c>
      <c r="CY3856">
        <v>2.56</v>
      </c>
      <c r="CZ3856">
        <v>0</v>
      </c>
      <c r="DA3856">
        <v>0.73</v>
      </c>
      <c r="DB3856">
        <v>0.56999999999999995</v>
      </c>
      <c r="DC3856">
        <v>0</v>
      </c>
      <c r="DD3856">
        <v>56.79</v>
      </c>
      <c r="DE3856" t="s">
        <v>7498</v>
      </c>
      <c r="DF3856">
        <v>28</v>
      </c>
      <c r="DG3856">
        <v>14.35</v>
      </c>
      <c r="DH3856">
        <v>14.13</v>
      </c>
      <c r="DI3856">
        <v>0.11</v>
      </c>
      <c r="DJ3856">
        <v>739</v>
      </c>
      <c r="DK3856">
        <v>603988</v>
      </c>
      <c r="DL3856" t="s">
        <v>120</v>
      </c>
      <c r="DM3856" t="s">
        <v>120</v>
      </c>
      <c r="DN3856" t="s">
        <v>120</v>
      </c>
    </row>
    <row r="3857" spans="1:118">
      <c r="A3857" t="str">
        <f>"603989"</f>
        <v>603989</v>
      </c>
      <c r="B3857" t="s">
        <v>15824</v>
      </c>
      <c r="C3857">
        <v>-3.98</v>
      </c>
      <c r="D3857">
        <v>0</v>
      </c>
      <c r="E3857">
        <v>0.06</v>
      </c>
      <c r="F3857">
        <v>408</v>
      </c>
      <c r="G3857" t="s">
        <v>2958</v>
      </c>
      <c r="H3857">
        <v>12976.44</v>
      </c>
      <c r="I3857">
        <v>19.2</v>
      </c>
      <c r="J3857" t="s">
        <v>120</v>
      </c>
      <c r="K3857" t="s">
        <v>15825</v>
      </c>
      <c r="L3857">
        <v>1</v>
      </c>
      <c r="M3857">
        <v>32.32</v>
      </c>
      <c r="N3857">
        <v>1.42</v>
      </c>
      <c r="O3857">
        <v>0.36</v>
      </c>
      <c r="P3857">
        <v>33.78</v>
      </c>
      <c r="Q3857">
        <v>-5.76</v>
      </c>
      <c r="R3857">
        <v>31.72</v>
      </c>
      <c r="S3857">
        <v>33.68</v>
      </c>
      <c r="T3857">
        <v>39984</v>
      </c>
      <c r="U3857">
        <v>32.32</v>
      </c>
      <c r="V3857">
        <v>33.659999999999997</v>
      </c>
      <c r="W3857">
        <v>27.84</v>
      </c>
      <c r="X3857" t="s">
        <v>229</v>
      </c>
      <c r="Y3857" t="s">
        <v>594</v>
      </c>
      <c r="Z3857">
        <v>6.12</v>
      </c>
      <c r="AA3857">
        <v>32.450000000000003</v>
      </c>
      <c r="AB3857">
        <v>24048</v>
      </c>
      <c r="AC3857">
        <v>15936</v>
      </c>
      <c r="AD3857">
        <v>1.51</v>
      </c>
      <c r="AE3857">
        <v>35</v>
      </c>
      <c r="AF3857">
        <v>51</v>
      </c>
      <c r="AG3857" t="s">
        <v>120</v>
      </c>
      <c r="AH3857">
        <v>0</v>
      </c>
      <c r="AI3857" t="s">
        <v>120</v>
      </c>
      <c r="AJ3857">
        <v>4</v>
      </c>
      <c r="AK3857" t="s">
        <v>15825</v>
      </c>
      <c r="AL3857">
        <v>-2.64</v>
      </c>
      <c r="AM3857">
        <v>2141</v>
      </c>
      <c r="AN3857">
        <v>19</v>
      </c>
      <c r="AO3857">
        <v>5.0000000000000001E-4</v>
      </c>
      <c r="AP3857">
        <v>-2</v>
      </c>
      <c r="AQ3857">
        <v>-0.18</v>
      </c>
      <c r="AR3857">
        <v>-1.37</v>
      </c>
      <c r="AS3857">
        <v>-2.15</v>
      </c>
      <c r="AT3857">
        <v>4.1900000000000004</v>
      </c>
      <c r="AU3857">
        <v>22.05</v>
      </c>
      <c r="AV3857">
        <v>0</v>
      </c>
      <c r="AW3857">
        <v>2.87</v>
      </c>
      <c r="AX3857">
        <v>34.86</v>
      </c>
      <c r="AY3857">
        <v>30.84</v>
      </c>
      <c r="AZ3857">
        <v>35.33</v>
      </c>
      <c r="BA3857">
        <v>0.87</v>
      </c>
      <c r="BB3857" t="s">
        <v>143</v>
      </c>
      <c r="BF3857">
        <v>-3.58</v>
      </c>
      <c r="BG3857">
        <v>-4.04</v>
      </c>
      <c r="BH3857">
        <v>-4.32</v>
      </c>
      <c r="BI3857">
        <v>1.89</v>
      </c>
      <c r="BJ3857">
        <v>20210804</v>
      </c>
      <c r="BK3857">
        <v>20150515</v>
      </c>
      <c r="BL3857">
        <v>4</v>
      </c>
      <c r="BM3857" t="s">
        <v>120</v>
      </c>
      <c r="BN3857" t="s">
        <v>120</v>
      </c>
      <c r="BO3857">
        <v>45.36</v>
      </c>
      <c r="BP3857">
        <v>32.299999999999997</v>
      </c>
      <c r="BQ3857">
        <v>28.22</v>
      </c>
      <c r="BR3857">
        <v>0.41</v>
      </c>
      <c r="BS3857">
        <v>36.880000000000003</v>
      </c>
      <c r="BT3857">
        <v>31.92</v>
      </c>
      <c r="BU3857">
        <v>9.07</v>
      </c>
      <c r="BV3857">
        <v>0.55000000000000004</v>
      </c>
      <c r="BW3857">
        <v>11.6</v>
      </c>
      <c r="BX3857">
        <v>0.99</v>
      </c>
      <c r="BY3857">
        <v>5.99</v>
      </c>
      <c r="BZ3857">
        <v>8.85</v>
      </c>
      <c r="CA3857" t="s">
        <v>120</v>
      </c>
      <c r="CB3857">
        <v>10.57</v>
      </c>
      <c r="CC3857">
        <v>15.14</v>
      </c>
      <c r="CD3857">
        <v>10.45</v>
      </c>
      <c r="CE3857">
        <v>2.73</v>
      </c>
      <c r="CF3857">
        <v>0.2</v>
      </c>
      <c r="CG3857">
        <v>2.74</v>
      </c>
      <c r="CH3857">
        <v>2.34</v>
      </c>
      <c r="CI3857">
        <v>2.3199999999999998</v>
      </c>
      <c r="CJ3857">
        <v>-1.34</v>
      </c>
      <c r="CK3857">
        <v>1.84</v>
      </c>
      <c r="CL3857">
        <v>10.6</v>
      </c>
      <c r="CM3857">
        <v>1.28</v>
      </c>
      <c r="CN3857">
        <v>-2.48</v>
      </c>
      <c r="CO3857">
        <v>15472</v>
      </c>
      <c r="CP3857">
        <v>9002</v>
      </c>
      <c r="CQ3857" t="s">
        <v>15826</v>
      </c>
      <c r="CR3857">
        <v>31.47</v>
      </c>
      <c r="CS3857">
        <v>40.47</v>
      </c>
      <c r="CT3857">
        <v>4.76</v>
      </c>
      <c r="CU3857">
        <v>100.7</v>
      </c>
      <c r="CV3857">
        <v>8.5299999999999994</v>
      </c>
      <c r="CW3857">
        <v>0.95</v>
      </c>
      <c r="CX3857" t="s">
        <v>2614</v>
      </c>
      <c r="CY3857">
        <v>6.8</v>
      </c>
      <c r="CZ3857">
        <v>6.8</v>
      </c>
      <c r="DA3857">
        <v>2.65</v>
      </c>
      <c r="DB3857">
        <v>2.65</v>
      </c>
      <c r="DC3857">
        <v>0.32</v>
      </c>
      <c r="DD3857">
        <v>62.21</v>
      </c>
      <c r="DE3857" t="s">
        <v>9875</v>
      </c>
      <c r="DF3857">
        <v>30.98</v>
      </c>
      <c r="DG3857">
        <v>18.05</v>
      </c>
      <c r="DH3857">
        <v>15.32</v>
      </c>
      <c r="DI3857">
        <v>0.92</v>
      </c>
      <c r="DJ3857">
        <v>4203</v>
      </c>
      <c r="DK3857">
        <v>603989</v>
      </c>
      <c r="DL3857" t="s">
        <v>120</v>
      </c>
      <c r="DM3857" t="s">
        <v>120</v>
      </c>
      <c r="DN3857" t="s">
        <v>120</v>
      </c>
    </row>
    <row r="3858" spans="1:118">
      <c r="A3858" t="str">
        <f>"603990"</f>
        <v>603990</v>
      </c>
      <c r="B3858" t="s">
        <v>15827</v>
      </c>
      <c r="C3858">
        <v>-2.79</v>
      </c>
      <c r="D3858">
        <v>0.05</v>
      </c>
      <c r="E3858">
        <v>0</v>
      </c>
      <c r="F3858">
        <v>346</v>
      </c>
      <c r="G3858" t="s">
        <v>4524</v>
      </c>
      <c r="H3858">
        <v>6826.89</v>
      </c>
      <c r="I3858">
        <v>38.33</v>
      </c>
      <c r="J3858" t="s">
        <v>120</v>
      </c>
      <c r="K3858" t="s">
        <v>9413</v>
      </c>
      <c r="L3858">
        <v>2.09</v>
      </c>
      <c r="M3858">
        <v>19.510000000000002</v>
      </c>
      <c r="N3858">
        <v>0.91</v>
      </c>
      <c r="O3858">
        <v>0</v>
      </c>
      <c r="P3858">
        <v>20.07</v>
      </c>
      <c r="Q3858">
        <v>-3.14</v>
      </c>
      <c r="R3858">
        <v>19.440000000000001</v>
      </c>
      <c r="S3858">
        <v>20.07</v>
      </c>
      <c r="T3858">
        <v>34616</v>
      </c>
      <c r="U3858">
        <v>19.52</v>
      </c>
      <c r="V3858">
        <v>20.07</v>
      </c>
      <c r="W3858">
        <v>98.23</v>
      </c>
      <c r="X3858" t="s">
        <v>141</v>
      </c>
      <c r="Y3858" t="s">
        <v>319</v>
      </c>
      <c r="Z3858">
        <v>3.14</v>
      </c>
      <c r="AA3858">
        <v>19.72</v>
      </c>
      <c r="AB3858">
        <v>22570</v>
      </c>
      <c r="AC3858">
        <v>12046</v>
      </c>
      <c r="AD3858">
        <v>1.87</v>
      </c>
      <c r="AE3858">
        <v>7</v>
      </c>
      <c r="AF3858">
        <v>25</v>
      </c>
      <c r="AG3858" t="s">
        <v>120</v>
      </c>
      <c r="AH3858">
        <v>0.01</v>
      </c>
      <c r="AI3858" t="s">
        <v>120</v>
      </c>
      <c r="AJ3858">
        <v>1.65</v>
      </c>
      <c r="AK3858" t="s">
        <v>9413</v>
      </c>
      <c r="AL3858">
        <v>-1.45</v>
      </c>
      <c r="AM3858">
        <v>2022</v>
      </c>
      <c r="AN3858">
        <v>17</v>
      </c>
      <c r="AO3858">
        <v>1E-3</v>
      </c>
      <c r="AP3858">
        <v>-1</v>
      </c>
      <c r="AQ3858">
        <v>2.29</v>
      </c>
      <c r="AR3858">
        <v>-3.13</v>
      </c>
      <c r="AS3858">
        <v>-11.32</v>
      </c>
      <c r="AT3858">
        <v>-24.16</v>
      </c>
      <c r="AU3858">
        <v>-39.159999999999997</v>
      </c>
      <c r="AV3858">
        <v>6</v>
      </c>
      <c r="AW3858">
        <v>2.68</v>
      </c>
      <c r="AX3858">
        <v>78.010000000000005</v>
      </c>
      <c r="AY3858">
        <v>55.73</v>
      </c>
      <c r="AZ3858">
        <v>93.7</v>
      </c>
      <c r="BA3858">
        <v>1.03</v>
      </c>
      <c r="BB3858" t="s">
        <v>168</v>
      </c>
      <c r="BF3858">
        <v>-1.74</v>
      </c>
      <c r="BG3858">
        <v>-2.79</v>
      </c>
      <c r="BH3858">
        <v>-2.79</v>
      </c>
      <c r="BI3858">
        <v>0.36</v>
      </c>
      <c r="BJ3858">
        <v>20210821</v>
      </c>
      <c r="BK3858">
        <v>20161208</v>
      </c>
      <c r="BL3858">
        <v>1.65</v>
      </c>
      <c r="BM3858" t="s">
        <v>120</v>
      </c>
      <c r="BN3858" t="s">
        <v>120</v>
      </c>
      <c r="BO3858">
        <v>13.18</v>
      </c>
      <c r="BP3858">
        <v>19.510000000000002</v>
      </c>
      <c r="BQ3858">
        <v>10.66</v>
      </c>
      <c r="BR3858">
        <v>0.01</v>
      </c>
      <c r="BS3858">
        <v>19.07</v>
      </c>
      <c r="BT3858">
        <v>10.14</v>
      </c>
      <c r="BU3858">
        <v>2.13</v>
      </c>
      <c r="BV3858">
        <v>0.06</v>
      </c>
      <c r="BW3858">
        <v>2.42</v>
      </c>
      <c r="BX3858">
        <v>3.16</v>
      </c>
      <c r="BY3858">
        <v>0.34</v>
      </c>
      <c r="BZ3858">
        <v>2.39</v>
      </c>
      <c r="CA3858" t="s">
        <v>120</v>
      </c>
      <c r="CB3858">
        <v>6.75</v>
      </c>
      <c r="CC3858">
        <v>1.51</v>
      </c>
      <c r="CD3858">
        <v>0.53</v>
      </c>
      <c r="CE3858">
        <v>0.22</v>
      </c>
      <c r="CF3858">
        <v>-0.01</v>
      </c>
      <c r="CG3858">
        <v>0.22</v>
      </c>
      <c r="CH3858">
        <v>0.18</v>
      </c>
      <c r="CI3858">
        <v>0.16</v>
      </c>
      <c r="CJ3858">
        <v>-0.56000000000000005</v>
      </c>
      <c r="CK3858">
        <v>0.14000000000000001</v>
      </c>
      <c r="CL3858">
        <v>2.64</v>
      </c>
      <c r="CM3858">
        <v>0.06</v>
      </c>
      <c r="CN3858">
        <v>-5.9</v>
      </c>
      <c r="CO3858">
        <v>35519</v>
      </c>
      <c r="CP3858">
        <v>3634</v>
      </c>
      <c r="CQ3858" t="s">
        <v>3515</v>
      </c>
      <c r="CR3858">
        <v>313.17</v>
      </c>
      <c r="CS3858">
        <v>70.010000000000005</v>
      </c>
      <c r="CT3858">
        <v>3.03</v>
      </c>
      <c r="CU3858">
        <v>582.88</v>
      </c>
      <c r="CV3858">
        <v>21.32</v>
      </c>
      <c r="CW3858">
        <v>0.32</v>
      </c>
      <c r="CX3858" t="s">
        <v>411</v>
      </c>
      <c r="CY3858">
        <v>6.44</v>
      </c>
      <c r="CZ3858">
        <v>0</v>
      </c>
      <c r="DA3858">
        <v>4.08</v>
      </c>
      <c r="DB3858">
        <v>1.6</v>
      </c>
      <c r="DC3858">
        <v>0.03</v>
      </c>
      <c r="DD3858">
        <v>80.849999999999994</v>
      </c>
      <c r="DE3858" t="s">
        <v>6427</v>
      </c>
      <c r="DF3858">
        <v>64.95</v>
      </c>
      <c r="DG3858">
        <v>14.5</v>
      </c>
      <c r="DH3858">
        <v>10.85</v>
      </c>
      <c r="DI3858">
        <v>0.14000000000000001</v>
      </c>
      <c r="DJ3858">
        <v>678</v>
      </c>
      <c r="DK3858">
        <v>603990</v>
      </c>
      <c r="DL3858" t="s">
        <v>120</v>
      </c>
      <c r="DM3858" t="s">
        <v>120</v>
      </c>
      <c r="DN3858" t="s">
        <v>120</v>
      </c>
    </row>
    <row r="3859" spans="1:118">
      <c r="A3859" t="str">
        <f>"603991"</f>
        <v>603991</v>
      </c>
      <c r="B3859" t="s">
        <v>15828</v>
      </c>
      <c r="C3859">
        <v>-2.4900000000000002</v>
      </c>
      <c r="D3859">
        <v>-0.01</v>
      </c>
      <c r="E3859">
        <v>1.81</v>
      </c>
      <c r="F3859">
        <v>85</v>
      </c>
      <c r="G3859" t="s">
        <v>6426</v>
      </c>
      <c r="H3859">
        <v>2491.7199999999998</v>
      </c>
      <c r="I3859">
        <v>12.45</v>
      </c>
      <c r="J3859" t="s">
        <v>120</v>
      </c>
      <c r="K3859" t="s">
        <v>287</v>
      </c>
      <c r="L3859">
        <v>0.75</v>
      </c>
      <c r="M3859">
        <v>44.17</v>
      </c>
      <c r="N3859">
        <v>0.66</v>
      </c>
      <c r="O3859">
        <v>1.85</v>
      </c>
      <c r="P3859">
        <v>46.14</v>
      </c>
      <c r="Q3859">
        <v>-2.87</v>
      </c>
      <c r="R3859">
        <v>44</v>
      </c>
      <c r="S3859">
        <v>46.12</v>
      </c>
      <c r="T3859">
        <v>5570</v>
      </c>
      <c r="U3859">
        <v>44.2</v>
      </c>
      <c r="V3859">
        <v>45.3</v>
      </c>
      <c r="W3859" t="s">
        <v>120</v>
      </c>
      <c r="X3859" t="s">
        <v>2211</v>
      </c>
      <c r="Y3859" t="s">
        <v>123</v>
      </c>
      <c r="Z3859">
        <v>4.72</v>
      </c>
      <c r="AA3859">
        <v>44.73</v>
      </c>
      <c r="AB3859">
        <v>3591</v>
      </c>
      <c r="AC3859">
        <v>1979</v>
      </c>
      <c r="AD3859">
        <v>1.81</v>
      </c>
      <c r="AE3859">
        <v>77</v>
      </c>
      <c r="AF3859">
        <v>5</v>
      </c>
      <c r="AG3859" t="s">
        <v>120</v>
      </c>
      <c r="AH3859">
        <v>0.01</v>
      </c>
      <c r="AI3859" t="s">
        <v>120</v>
      </c>
      <c r="AJ3859">
        <v>0.75</v>
      </c>
      <c r="AK3859" t="s">
        <v>287</v>
      </c>
      <c r="AL3859">
        <v>-1.1499999999999999</v>
      </c>
      <c r="AM3859">
        <v>635</v>
      </c>
      <c r="AN3859">
        <v>9</v>
      </c>
      <c r="AO3859">
        <v>1.1999999999999999E-3</v>
      </c>
      <c r="AP3859">
        <v>-1</v>
      </c>
      <c r="AQ3859">
        <v>2.12</v>
      </c>
      <c r="AR3859">
        <v>-3.34</v>
      </c>
      <c r="AS3859">
        <v>-11.32</v>
      </c>
      <c r="AT3859">
        <v>-12.19</v>
      </c>
      <c r="AU3859">
        <v>12.13</v>
      </c>
      <c r="AV3859">
        <v>2</v>
      </c>
      <c r="AW3859">
        <v>1.31</v>
      </c>
      <c r="AX3859">
        <v>56.98</v>
      </c>
      <c r="AY3859" t="s">
        <v>120</v>
      </c>
      <c r="AZ3859" t="s">
        <v>120</v>
      </c>
      <c r="BA3859">
        <v>0.17</v>
      </c>
      <c r="BB3859" t="s">
        <v>143</v>
      </c>
      <c r="BF3859">
        <v>-1.25</v>
      </c>
      <c r="BG3859">
        <v>-4.2300000000000004</v>
      </c>
      <c r="BH3859">
        <v>-4.2699999999999996</v>
      </c>
      <c r="BI3859">
        <v>0.39</v>
      </c>
      <c r="BJ3859">
        <v>20210830</v>
      </c>
      <c r="BK3859">
        <v>20170308</v>
      </c>
      <c r="BL3859">
        <v>0.75</v>
      </c>
      <c r="BM3859" t="s">
        <v>120</v>
      </c>
      <c r="BN3859" t="s">
        <v>120</v>
      </c>
      <c r="BO3859">
        <v>5.1100000000000003</v>
      </c>
      <c r="BP3859">
        <v>44.17</v>
      </c>
      <c r="BQ3859">
        <v>3.6</v>
      </c>
      <c r="BR3859" t="s">
        <v>120</v>
      </c>
      <c r="BS3859">
        <v>29.47</v>
      </c>
      <c r="BT3859">
        <v>2.5299999999999998</v>
      </c>
      <c r="BU3859">
        <v>2.14</v>
      </c>
      <c r="BV3859">
        <v>0.25</v>
      </c>
      <c r="BW3859">
        <v>0.99</v>
      </c>
      <c r="BX3859">
        <v>0.22</v>
      </c>
      <c r="BY3859">
        <v>0.34</v>
      </c>
      <c r="BZ3859">
        <v>1.23</v>
      </c>
      <c r="CA3859" t="s">
        <v>120</v>
      </c>
      <c r="CB3859">
        <v>2.48</v>
      </c>
      <c r="CC3859">
        <v>0.61</v>
      </c>
      <c r="CD3859">
        <v>0.56000000000000005</v>
      </c>
      <c r="CE3859">
        <v>-0.11</v>
      </c>
      <c r="CF3859">
        <v>0</v>
      </c>
      <c r="CG3859">
        <v>-0.11</v>
      </c>
      <c r="CH3859">
        <v>-0.11</v>
      </c>
      <c r="CI3859">
        <v>-0.11</v>
      </c>
      <c r="CJ3859">
        <v>-1.1299999999999999</v>
      </c>
      <c r="CK3859">
        <v>-0.12</v>
      </c>
      <c r="CL3859">
        <v>0.21</v>
      </c>
      <c r="CM3859">
        <v>0.49</v>
      </c>
      <c r="CN3859">
        <v>0.12</v>
      </c>
      <c r="CO3859">
        <v>3737</v>
      </c>
      <c r="CP3859">
        <v>11365</v>
      </c>
      <c r="CQ3859" t="s">
        <v>15829</v>
      </c>
      <c r="CR3859">
        <v>59.25</v>
      </c>
      <c r="CS3859">
        <v>-66.84</v>
      </c>
      <c r="CT3859">
        <v>9.14</v>
      </c>
      <c r="CU3859">
        <v>67.239999999999995</v>
      </c>
      <c r="CV3859">
        <v>53.64</v>
      </c>
      <c r="CW3859">
        <v>0</v>
      </c>
      <c r="CX3859" t="s">
        <v>932</v>
      </c>
      <c r="CY3859">
        <v>4.84</v>
      </c>
      <c r="CZ3859">
        <v>0</v>
      </c>
      <c r="DA3859">
        <v>3.32</v>
      </c>
      <c r="DB3859">
        <v>0.28000000000000003</v>
      </c>
      <c r="DC3859">
        <v>0.66</v>
      </c>
      <c r="DD3859">
        <v>70.53</v>
      </c>
      <c r="DE3859" t="s">
        <v>15830</v>
      </c>
      <c r="DF3859">
        <v>9.08</v>
      </c>
      <c r="DG3859">
        <v>-17.62</v>
      </c>
      <c r="DH3859">
        <v>-17.32</v>
      </c>
      <c r="DI3859">
        <v>0.04</v>
      </c>
      <c r="DJ3859">
        <v>207</v>
      </c>
      <c r="DK3859">
        <v>603991</v>
      </c>
      <c r="DL3859" t="s">
        <v>120</v>
      </c>
      <c r="DM3859" t="s">
        <v>120</v>
      </c>
      <c r="DN3859" t="s">
        <v>120</v>
      </c>
    </row>
    <row r="3860" spans="1:118">
      <c r="A3860" t="str">
        <f>"603992"</f>
        <v>603992</v>
      </c>
      <c r="B3860" t="s">
        <v>15831</v>
      </c>
      <c r="C3860">
        <v>-3.91</v>
      </c>
      <c r="D3860">
        <v>-0.05</v>
      </c>
      <c r="E3860">
        <v>-0.05</v>
      </c>
      <c r="F3860">
        <v>113</v>
      </c>
      <c r="G3860" t="s">
        <v>15832</v>
      </c>
      <c r="H3860">
        <v>2984.59</v>
      </c>
      <c r="I3860">
        <v>5.15</v>
      </c>
      <c r="J3860" t="s">
        <v>120</v>
      </c>
      <c r="K3860" t="s">
        <v>15832</v>
      </c>
      <c r="L3860">
        <v>3.7</v>
      </c>
      <c r="M3860">
        <v>17.690000000000001</v>
      </c>
      <c r="N3860">
        <v>1.41</v>
      </c>
      <c r="O3860">
        <v>1.58</v>
      </c>
      <c r="P3860">
        <v>18.7</v>
      </c>
      <c r="Q3860">
        <v>-4.13</v>
      </c>
      <c r="R3860">
        <v>17.649999999999999</v>
      </c>
      <c r="S3860">
        <v>18.399999999999999</v>
      </c>
      <c r="T3860">
        <v>16557</v>
      </c>
      <c r="U3860">
        <v>17.690000000000001</v>
      </c>
      <c r="V3860">
        <v>18.41</v>
      </c>
      <c r="W3860">
        <v>26.17</v>
      </c>
      <c r="X3860" t="s">
        <v>2409</v>
      </c>
      <c r="Y3860" t="s">
        <v>937</v>
      </c>
      <c r="Z3860">
        <v>5.7</v>
      </c>
      <c r="AA3860">
        <v>18.03</v>
      </c>
      <c r="AB3860">
        <v>11200</v>
      </c>
      <c r="AC3860">
        <v>5357</v>
      </c>
      <c r="AD3860">
        <v>2.09</v>
      </c>
      <c r="AE3860">
        <v>13</v>
      </c>
      <c r="AF3860">
        <v>12</v>
      </c>
      <c r="AG3860" t="s">
        <v>120</v>
      </c>
      <c r="AH3860">
        <v>0.01</v>
      </c>
      <c r="AI3860" t="s">
        <v>120</v>
      </c>
      <c r="AJ3860">
        <v>0.45</v>
      </c>
      <c r="AK3860" t="s">
        <v>15833</v>
      </c>
      <c r="AL3860">
        <v>-2.57</v>
      </c>
      <c r="AM3860">
        <v>1693</v>
      </c>
      <c r="AN3860">
        <v>10</v>
      </c>
      <c r="AO3860">
        <v>2.2000000000000001E-3</v>
      </c>
      <c r="AP3860">
        <v>-4</v>
      </c>
      <c r="AQ3860">
        <v>-3.86</v>
      </c>
      <c r="AR3860">
        <v>-8.2899999999999991</v>
      </c>
      <c r="AS3860">
        <v>-23.02</v>
      </c>
      <c r="AT3860">
        <v>-1.39</v>
      </c>
      <c r="AU3860">
        <v>-2.46</v>
      </c>
      <c r="AV3860">
        <v>2</v>
      </c>
      <c r="AW3860">
        <v>3.7</v>
      </c>
      <c r="AX3860">
        <v>11.17</v>
      </c>
      <c r="AY3860">
        <v>24.98</v>
      </c>
      <c r="AZ3860">
        <v>27.29</v>
      </c>
      <c r="BA3860">
        <v>0.09</v>
      </c>
      <c r="BB3860" t="s">
        <v>1723</v>
      </c>
      <c r="BF3860">
        <v>-2.08</v>
      </c>
      <c r="BG3860">
        <v>-3.86</v>
      </c>
      <c r="BH3860">
        <v>-5.4</v>
      </c>
      <c r="BI3860">
        <v>0.23</v>
      </c>
      <c r="BJ3860">
        <v>20210824</v>
      </c>
      <c r="BK3860">
        <v>20190826</v>
      </c>
      <c r="BL3860">
        <v>4.01</v>
      </c>
      <c r="BM3860" t="s">
        <v>120</v>
      </c>
      <c r="BN3860" t="s">
        <v>120</v>
      </c>
      <c r="BO3860">
        <v>31.85</v>
      </c>
      <c r="BP3860">
        <v>17.68</v>
      </c>
      <c r="BQ3860">
        <v>20.61</v>
      </c>
      <c r="BR3860" t="s">
        <v>120</v>
      </c>
      <c r="BS3860">
        <v>35.31</v>
      </c>
      <c r="BT3860">
        <v>16.559999999999999</v>
      </c>
      <c r="BU3860">
        <v>6.98</v>
      </c>
      <c r="BV3860">
        <v>0.98</v>
      </c>
      <c r="BW3860">
        <v>7.72</v>
      </c>
      <c r="BX3860">
        <v>6.46</v>
      </c>
      <c r="BY3860">
        <v>3.64</v>
      </c>
      <c r="BZ3860">
        <v>4.92</v>
      </c>
      <c r="CA3860">
        <v>0</v>
      </c>
      <c r="CB3860">
        <v>10</v>
      </c>
      <c r="CC3860">
        <v>12.02</v>
      </c>
      <c r="CD3860">
        <v>8.26</v>
      </c>
      <c r="CE3860">
        <v>1.6</v>
      </c>
      <c r="CF3860">
        <v>0.2</v>
      </c>
      <c r="CG3860">
        <v>1.6</v>
      </c>
      <c r="CH3860">
        <v>1.36</v>
      </c>
      <c r="CI3860">
        <v>1.36</v>
      </c>
      <c r="CJ3860">
        <v>-0.72</v>
      </c>
      <c r="CK3860">
        <v>1.22</v>
      </c>
      <c r="CL3860">
        <v>5.68</v>
      </c>
      <c r="CM3860">
        <v>0.74</v>
      </c>
      <c r="CN3860">
        <v>-0.7</v>
      </c>
      <c r="CO3860">
        <v>10800</v>
      </c>
      <c r="CP3860">
        <v>4148</v>
      </c>
      <c r="CQ3860" t="s">
        <v>7198</v>
      </c>
      <c r="CR3860">
        <v>22.63</v>
      </c>
      <c r="CS3860">
        <v>43.87</v>
      </c>
      <c r="CT3860">
        <v>3.44</v>
      </c>
      <c r="CU3860">
        <v>95.85</v>
      </c>
      <c r="CV3860">
        <v>5.9</v>
      </c>
      <c r="CW3860">
        <v>1.1000000000000001</v>
      </c>
      <c r="CX3860" t="s">
        <v>1574</v>
      </c>
      <c r="CY3860">
        <v>5.14</v>
      </c>
      <c r="CZ3860">
        <v>0</v>
      </c>
      <c r="DA3860">
        <v>2.4900000000000002</v>
      </c>
      <c r="DB3860">
        <v>1.42</v>
      </c>
      <c r="DC3860">
        <v>0.18</v>
      </c>
      <c r="DD3860">
        <v>64.69</v>
      </c>
      <c r="DE3860" t="s">
        <v>6987</v>
      </c>
      <c r="DF3860">
        <v>31.26</v>
      </c>
      <c r="DG3860">
        <v>13.33</v>
      </c>
      <c r="DH3860">
        <v>11.28</v>
      </c>
      <c r="DI3860">
        <v>0.72</v>
      </c>
      <c r="DJ3860">
        <v>3727</v>
      </c>
      <c r="DK3860">
        <v>603992</v>
      </c>
      <c r="DL3860" t="s">
        <v>120</v>
      </c>
      <c r="DM3860" t="s">
        <v>120</v>
      </c>
      <c r="DN3860" t="s">
        <v>120</v>
      </c>
    </row>
    <row r="3861" spans="1:118">
      <c r="A3861" t="str">
        <f>"603993"</f>
        <v>603993</v>
      </c>
      <c r="B3861" t="s">
        <v>15834</v>
      </c>
      <c r="C3861">
        <v>-3.68</v>
      </c>
      <c r="D3861">
        <v>-0.25</v>
      </c>
      <c r="E3861">
        <v>0.13</v>
      </c>
      <c r="F3861">
        <v>42902</v>
      </c>
      <c r="G3861" t="s">
        <v>15835</v>
      </c>
      <c r="H3861">
        <v>383732.06</v>
      </c>
      <c r="I3861">
        <v>3082.78</v>
      </c>
      <c r="J3861" t="s">
        <v>120</v>
      </c>
      <c r="K3861" t="s">
        <v>15836</v>
      </c>
      <c r="L3861">
        <v>2.79</v>
      </c>
      <c r="M3861">
        <v>7.59</v>
      </c>
      <c r="N3861">
        <v>0.63</v>
      </c>
      <c r="O3861">
        <v>2.41</v>
      </c>
      <c r="P3861">
        <v>8.07</v>
      </c>
      <c r="Q3861">
        <v>-4.3099999999999996</v>
      </c>
      <c r="R3861">
        <v>7.54</v>
      </c>
      <c r="S3861">
        <v>7.89</v>
      </c>
      <c r="T3861">
        <v>4921679</v>
      </c>
      <c r="U3861">
        <v>7.6</v>
      </c>
      <c r="V3861">
        <v>7.88</v>
      </c>
      <c r="W3861">
        <v>34.03</v>
      </c>
      <c r="X3861" t="s">
        <v>1390</v>
      </c>
      <c r="Y3861" t="s">
        <v>645</v>
      </c>
      <c r="Z3861">
        <v>6.73</v>
      </c>
      <c r="AA3861">
        <v>7.8</v>
      </c>
      <c r="AB3861">
        <v>2480697</v>
      </c>
      <c r="AC3861">
        <v>2440982</v>
      </c>
      <c r="AD3861">
        <v>1.02</v>
      </c>
      <c r="AE3861">
        <v>13578</v>
      </c>
      <c r="AF3861">
        <v>3496</v>
      </c>
      <c r="AG3861" t="s">
        <v>120</v>
      </c>
      <c r="AH3861">
        <v>0.06</v>
      </c>
      <c r="AI3861" t="s">
        <v>120</v>
      </c>
      <c r="AJ3861">
        <v>176.66</v>
      </c>
      <c r="AK3861" t="s">
        <v>15836</v>
      </c>
      <c r="AL3861">
        <v>-2.34</v>
      </c>
      <c r="AM3861">
        <v>4746</v>
      </c>
      <c r="AN3861">
        <v>1037</v>
      </c>
      <c r="AO3861">
        <v>5.9999999999999995E-4</v>
      </c>
      <c r="AP3861">
        <v>-3</v>
      </c>
      <c r="AQ3861">
        <v>-0.13</v>
      </c>
      <c r="AR3861">
        <v>-10.39</v>
      </c>
      <c r="AS3861">
        <v>12.61</v>
      </c>
      <c r="AT3861">
        <v>48.04</v>
      </c>
      <c r="AU3861">
        <v>22.09</v>
      </c>
      <c r="AV3861">
        <v>5</v>
      </c>
      <c r="AW3861">
        <v>7.03</v>
      </c>
      <c r="AX3861">
        <v>39.64</v>
      </c>
      <c r="AY3861">
        <v>45.64</v>
      </c>
      <c r="AZ3861">
        <v>73.09</v>
      </c>
      <c r="BA3861">
        <v>1.23</v>
      </c>
      <c r="BB3861" t="s">
        <v>143</v>
      </c>
      <c r="BF3861">
        <v>-1.06</v>
      </c>
      <c r="BG3861">
        <v>-3.8</v>
      </c>
      <c r="BH3861">
        <v>-5.95</v>
      </c>
      <c r="BI3861">
        <v>0.66</v>
      </c>
      <c r="BJ3861">
        <v>20210823</v>
      </c>
      <c r="BK3861">
        <v>20121009</v>
      </c>
      <c r="BL3861">
        <v>215.99</v>
      </c>
      <c r="BM3861" t="s">
        <v>120</v>
      </c>
      <c r="BN3861">
        <v>39.33</v>
      </c>
      <c r="BO3861">
        <v>1270.08</v>
      </c>
      <c r="BP3861">
        <v>7.59</v>
      </c>
      <c r="BQ3861">
        <v>383.45</v>
      </c>
      <c r="BR3861">
        <v>86.2</v>
      </c>
      <c r="BS3861">
        <v>63.02</v>
      </c>
      <c r="BT3861">
        <v>630.16</v>
      </c>
      <c r="BU3861">
        <v>221.67</v>
      </c>
      <c r="BV3861">
        <v>204.74</v>
      </c>
      <c r="BW3861">
        <v>470.4</v>
      </c>
      <c r="BX3861">
        <v>194.27</v>
      </c>
      <c r="BY3861">
        <v>242.19</v>
      </c>
      <c r="BZ3861">
        <v>9.92</v>
      </c>
      <c r="CA3861" t="s">
        <v>120</v>
      </c>
      <c r="CB3861">
        <v>274.95</v>
      </c>
      <c r="CC3861">
        <v>848.16</v>
      </c>
      <c r="CD3861">
        <v>758.17</v>
      </c>
      <c r="CE3861">
        <v>43.6</v>
      </c>
      <c r="CF3861">
        <v>1.01</v>
      </c>
      <c r="CG3861">
        <v>43.6</v>
      </c>
      <c r="CH3861">
        <v>28.33</v>
      </c>
      <c r="CI3861">
        <v>24.09</v>
      </c>
      <c r="CJ3861">
        <v>-0.28999999999999998</v>
      </c>
      <c r="CK3861">
        <v>14.01</v>
      </c>
      <c r="CL3861">
        <v>111.69</v>
      </c>
      <c r="CM3861">
        <v>13.19</v>
      </c>
      <c r="CN3861">
        <v>12.12</v>
      </c>
      <c r="CO3861">
        <v>449978</v>
      </c>
      <c r="CP3861">
        <v>15562</v>
      </c>
      <c r="CQ3861" t="s">
        <v>3231</v>
      </c>
      <c r="CR3861">
        <v>138.99</v>
      </c>
      <c r="CS3861">
        <v>81.45</v>
      </c>
      <c r="CT3861">
        <v>4.28</v>
      </c>
      <c r="CU3861">
        <v>124.32</v>
      </c>
      <c r="CV3861">
        <v>1.93</v>
      </c>
      <c r="CW3861">
        <v>0.42</v>
      </c>
      <c r="CX3861" t="s">
        <v>1147</v>
      </c>
      <c r="CY3861">
        <v>1.78</v>
      </c>
      <c r="CZ3861">
        <v>0</v>
      </c>
      <c r="DA3861">
        <v>1.27</v>
      </c>
      <c r="DB3861">
        <v>0.52</v>
      </c>
      <c r="DC3861">
        <v>0.06</v>
      </c>
      <c r="DD3861">
        <v>30.19</v>
      </c>
      <c r="DE3861" t="s">
        <v>12734</v>
      </c>
      <c r="DF3861">
        <v>10.61</v>
      </c>
      <c r="DG3861">
        <v>5.14</v>
      </c>
      <c r="DH3861">
        <v>2.84</v>
      </c>
      <c r="DI3861">
        <v>0.64</v>
      </c>
      <c r="DJ3861">
        <v>10956</v>
      </c>
      <c r="DK3861">
        <v>603993</v>
      </c>
      <c r="DL3861" t="s">
        <v>120</v>
      </c>
      <c r="DM3861" t="s">
        <v>120</v>
      </c>
      <c r="DN3861" t="s">
        <v>120</v>
      </c>
    </row>
    <row r="3862" spans="1:118">
      <c r="A3862" t="str">
        <f>"603995"</f>
        <v>603995</v>
      </c>
      <c r="B3862" t="s">
        <v>15837</v>
      </c>
      <c r="C3862">
        <v>-7</v>
      </c>
      <c r="D3862">
        <v>0.32</v>
      </c>
      <c r="E3862">
        <v>1.49</v>
      </c>
      <c r="F3862">
        <v>233</v>
      </c>
      <c r="G3862" t="s">
        <v>15838</v>
      </c>
      <c r="H3862">
        <v>23349.39</v>
      </c>
      <c r="I3862">
        <v>87.31</v>
      </c>
      <c r="J3862" t="s">
        <v>120</v>
      </c>
      <c r="K3862" t="s">
        <v>15838</v>
      </c>
      <c r="L3862">
        <v>4.2699999999999996</v>
      </c>
      <c r="M3862">
        <v>46.79</v>
      </c>
      <c r="N3862">
        <v>1.73</v>
      </c>
      <c r="O3862">
        <v>3.34</v>
      </c>
      <c r="P3862">
        <v>51.99</v>
      </c>
      <c r="Q3862">
        <v>-7.37</v>
      </c>
      <c r="R3862">
        <v>46.6</v>
      </c>
      <c r="S3862">
        <v>51.06</v>
      </c>
      <c r="T3862">
        <v>47750</v>
      </c>
      <c r="U3862">
        <v>46.8</v>
      </c>
      <c r="V3862">
        <v>50.31</v>
      </c>
      <c r="W3862">
        <v>19.16</v>
      </c>
      <c r="X3862" t="s">
        <v>1667</v>
      </c>
      <c r="Y3862" t="s">
        <v>585</v>
      </c>
      <c r="Z3862">
        <v>10.71</v>
      </c>
      <c r="AA3862">
        <v>48.9</v>
      </c>
      <c r="AB3862">
        <v>26918</v>
      </c>
      <c r="AC3862">
        <v>20832</v>
      </c>
      <c r="AD3862">
        <v>1.29</v>
      </c>
      <c r="AE3862">
        <v>45</v>
      </c>
      <c r="AF3862">
        <v>81</v>
      </c>
      <c r="AG3862" t="s">
        <v>120</v>
      </c>
      <c r="AH3862">
        <v>0.02</v>
      </c>
      <c r="AI3862" t="s">
        <v>120</v>
      </c>
      <c r="AJ3862">
        <v>1.1200000000000001</v>
      </c>
      <c r="AK3862" t="s">
        <v>15839</v>
      </c>
      <c r="AL3862">
        <v>-5.65</v>
      </c>
      <c r="AM3862">
        <v>3046</v>
      </c>
      <c r="AN3862">
        <v>16</v>
      </c>
      <c r="AO3862">
        <v>1.4E-3</v>
      </c>
      <c r="AP3862">
        <v>-5</v>
      </c>
      <c r="AQ3862">
        <v>-2.73</v>
      </c>
      <c r="AR3862">
        <v>-13.48</v>
      </c>
      <c r="AS3862">
        <v>5.62</v>
      </c>
      <c r="AT3862">
        <v>24.44</v>
      </c>
      <c r="AU3862">
        <v>84.8</v>
      </c>
      <c r="AV3862">
        <v>3</v>
      </c>
      <c r="AW3862">
        <v>4.2699999999999996</v>
      </c>
      <c r="AX3862">
        <v>47.97</v>
      </c>
      <c r="AY3862">
        <v>21.62</v>
      </c>
      <c r="AZ3862">
        <v>28.3</v>
      </c>
      <c r="BA3862">
        <v>1.52</v>
      </c>
      <c r="BB3862" t="s">
        <v>240</v>
      </c>
      <c r="BF3862">
        <v>-2.8</v>
      </c>
      <c r="BG3862">
        <v>-8.36</v>
      </c>
      <c r="BH3862">
        <v>-10</v>
      </c>
      <c r="BI3862">
        <v>0.41</v>
      </c>
      <c r="BJ3862">
        <v>20210825</v>
      </c>
      <c r="BK3862">
        <v>20191224</v>
      </c>
      <c r="BL3862">
        <v>2.33</v>
      </c>
      <c r="BM3862" t="s">
        <v>120</v>
      </c>
      <c r="BN3862" t="s">
        <v>120</v>
      </c>
      <c r="BO3862">
        <v>76.3</v>
      </c>
      <c r="BP3862">
        <v>46.79</v>
      </c>
      <c r="BQ3862">
        <v>32.770000000000003</v>
      </c>
      <c r="BR3862">
        <v>5.35</v>
      </c>
      <c r="BS3862">
        <v>50.04</v>
      </c>
      <c r="BT3862">
        <v>30.45</v>
      </c>
      <c r="BU3862">
        <v>26.9</v>
      </c>
      <c r="BV3862">
        <v>3.63</v>
      </c>
      <c r="BW3862">
        <v>29.42</v>
      </c>
      <c r="BX3862">
        <v>11.54</v>
      </c>
      <c r="BY3862">
        <v>10.81</v>
      </c>
      <c r="BZ3862">
        <v>1.99</v>
      </c>
      <c r="CA3862">
        <v>1.1000000000000001</v>
      </c>
      <c r="CB3862">
        <v>13.72</v>
      </c>
      <c r="CC3862">
        <v>141.35</v>
      </c>
      <c r="CD3862">
        <v>134.69999999999999</v>
      </c>
      <c r="CE3862">
        <v>4.28</v>
      </c>
      <c r="CF3862">
        <v>0.02</v>
      </c>
      <c r="CG3862">
        <v>4.2699999999999996</v>
      </c>
      <c r="CH3862">
        <v>3.38</v>
      </c>
      <c r="CI3862">
        <v>2.85</v>
      </c>
      <c r="CJ3862">
        <v>-3.52</v>
      </c>
      <c r="CK3862">
        <v>2.72</v>
      </c>
      <c r="CL3862">
        <v>16</v>
      </c>
      <c r="CM3862">
        <v>5.91</v>
      </c>
      <c r="CN3862">
        <v>-3.27</v>
      </c>
      <c r="CO3862">
        <v>8209</v>
      </c>
      <c r="CP3862">
        <v>13622</v>
      </c>
      <c r="CQ3862" t="s">
        <v>15840</v>
      </c>
      <c r="CR3862">
        <v>81.67</v>
      </c>
      <c r="CS3862">
        <v>78.34</v>
      </c>
      <c r="CT3862">
        <v>3.33</v>
      </c>
      <c r="CU3862">
        <v>18.46</v>
      </c>
      <c r="CV3862">
        <v>0.77</v>
      </c>
      <c r="CW3862">
        <v>1.39</v>
      </c>
      <c r="CX3862" t="s">
        <v>10844</v>
      </c>
      <c r="CY3862">
        <v>14.06</v>
      </c>
      <c r="CZ3862">
        <v>0</v>
      </c>
      <c r="DA3862">
        <v>5.89</v>
      </c>
      <c r="DB3862">
        <v>6.86</v>
      </c>
      <c r="DC3862">
        <v>2.5299999999999998</v>
      </c>
      <c r="DD3862">
        <v>42.96</v>
      </c>
      <c r="DE3862" t="s">
        <v>818</v>
      </c>
      <c r="DF3862">
        <v>4.7</v>
      </c>
      <c r="DG3862">
        <v>3.03</v>
      </c>
      <c r="DH3862">
        <v>2.0099999999999998</v>
      </c>
      <c r="DI3862">
        <v>1.42</v>
      </c>
      <c r="DJ3862">
        <v>2012</v>
      </c>
      <c r="DK3862">
        <v>603995</v>
      </c>
      <c r="DL3862" t="s">
        <v>120</v>
      </c>
      <c r="DM3862" t="s">
        <v>120</v>
      </c>
      <c r="DN3862" t="s">
        <v>120</v>
      </c>
    </row>
    <row r="3863" spans="1:118">
      <c r="A3863" t="str">
        <f>"603997"</f>
        <v>603997</v>
      </c>
      <c r="B3863" t="s">
        <v>15841</v>
      </c>
      <c r="C3863">
        <v>0.94</v>
      </c>
      <c r="D3863">
        <v>-0.09</v>
      </c>
      <c r="E3863">
        <v>-0.42</v>
      </c>
      <c r="F3863">
        <v>691</v>
      </c>
      <c r="G3863" t="s">
        <v>15842</v>
      </c>
      <c r="H3863">
        <v>9016.5499999999993</v>
      </c>
      <c r="I3863">
        <v>1.53</v>
      </c>
      <c r="J3863" t="s">
        <v>120</v>
      </c>
      <c r="K3863" t="s">
        <v>15843</v>
      </c>
      <c r="L3863">
        <v>1.07</v>
      </c>
      <c r="M3863">
        <v>9.68</v>
      </c>
      <c r="N3863">
        <v>1.6</v>
      </c>
      <c r="O3863">
        <v>4.8</v>
      </c>
      <c r="P3863">
        <v>10.050000000000001</v>
      </c>
      <c r="Q3863">
        <v>-0.94</v>
      </c>
      <c r="R3863">
        <v>9.5</v>
      </c>
      <c r="S3863">
        <v>9.5500000000000007</v>
      </c>
      <c r="T3863">
        <v>91931</v>
      </c>
      <c r="U3863">
        <v>9.68</v>
      </c>
      <c r="V3863">
        <v>9.59</v>
      </c>
      <c r="W3863">
        <v>28.04</v>
      </c>
      <c r="X3863" t="s">
        <v>289</v>
      </c>
      <c r="Y3863" t="s">
        <v>585</v>
      </c>
      <c r="Z3863">
        <v>5.74</v>
      </c>
      <c r="AA3863">
        <v>9.81</v>
      </c>
      <c r="AB3863">
        <v>45963</v>
      </c>
      <c r="AC3863">
        <v>45968</v>
      </c>
      <c r="AD3863">
        <v>1</v>
      </c>
      <c r="AE3863">
        <v>478</v>
      </c>
      <c r="AF3863">
        <v>41</v>
      </c>
      <c r="AG3863" t="s">
        <v>120</v>
      </c>
      <c r="AH3863">
        <v>0</v>
      </c>
      <c r="AI3863" t="s">
        <v>120</v>
      </c>
      <c r="AJ3863">
        <v>8.56</v>
      </c>
      <c r="AK3863" t="s">
        <v>15844</v>
      </c>
      <c r="AL3863">
        <v>2.2799999999999998</v>
      </c>
      <c r="AM3863">
        <v>1914</v>
      </c>
      <c r="AN3863">
        <v>48</v>
      </c>
      <c r="AO3863">
        <v>5.9999999999999995E-4</v>
      </c>
      <c r="AP3863">
        <v>1</v>
      </c>
      <c r="AQ3863">
        <v>-1.64</v>
      </c>
      <c r="AR3863">
        <v>-1.83</v>
      </c>
      <c r="AS3863">
        <v>2.76</v>
      </c>
      <c r="AT3863">
        <v>9.8699999999999992</v>
      </c>
      <c r="AU3863">
        <v>31.52</v>
      </c>
      <c r="AV3863">
        <v>1</v>
      </c>
      <c r="AW3863">
        <v>2.2999999999999998</v>
      </c>
      <c r="AX3863">
        <v>36.56</v>
      </c>
      <c r="AY3863">
        <v>36.53</v>
      </c>
      <c r="AZ3863" t="s">
        <v>120</v>
      </c>
      <c r="BA3863">
        <v>0.43</v>
      </c>
      <c r="BB3863" t="s">
        <v>240</v>
      </c>
      <c r="BF3863">
        <v>2.27</v>
      </c>
      <c r="BG3863">
        <v>1.36</v>
      </c>
      <c r="BH3863">
        <v>-3.68</v>
      </c>
      <c r="BI3863">
        <v>1.89</v>
      </c>
      <c r="BJ3863">
        <v>20210907</v>
      </c>
      <c r="BK3863">
        <v>20150302</v>
      </c>
      <c r="BL3863">
        <v>10.94</v>
      </c>
      <c r="BM3863" t="s">
        <v>120</v>
      </c>
      <c r="BN3863" t="s">
        <v>120</v>
      </c>
      <c r="BO3863">
        <v>169.36</v>
      </c>
      <c r="BP3863">
        <v>9.67</v>
      </c>
      <c r="BQ3863">
        <v>46.64</v>
      </c>
      <c r="BR3863">
        <v>3.45</v>
      </c>
      <c r="BS3863">
        <v>70.430000000000007</v>
      </c>
      <c r="BT3863">
        <v>67.91</v>
      </c>
      <c r="BU3863">
        <v>35.69</v>
      </c>
      <c r="BV3863">
        <v>15.94</v>
      </c>
      <c r="BW3863">
        <v>60.58</v>
      </c>
      <c r="BX3863">
        <v>9.68</v>
      </c>
      <c r="BY3863">
        <v>17.72</v>
      </c>
      <c r="BZ3863">
        <v>27.19</v>
      </c>
      <c r="CA3863" t="s">
        <v>120</v>
      </c>
      <c r="CB3863">
        <v>31.1</v>
      </c>
      <c r="CC3863">
        <v>87.24</v>
      </c>
      <c r="CD3863">
        <v>73.16</v>
      </c>
      <c r="CE3863">
        <v>2.38</v>
      </c>
      <c r="CF3863">
        <v>-0.28999999999999998</v>
      </c>
      <c r="CG3863">
        <v>2.7</v>
      </c>
      <c r="CH3863">
        <v>2.0699999999999998</v>
      </c>
      <c r="CI3863">
        <v>1.89</v>
      </c>
      <c r="CJ3863">
        <v>0.09</v>
      </c>
      <c r="CK3863">
        <v>1.78</v>
      </c>
      <c r="CL3863">
        <v>5.45</v>
      </c>
      <c r="CM3863">
        <v>-1.25</v>
      </c>
      <c r="CN3863">
        <v>-5.88</v>
      </c>
      <c r="CO3863">
        <v>15760</v>
      </c>
      <c r="CP3863">
        <v>25377</v>
      </c>
      <c r="CQ3863" t="s">
        <v>15845</v>
      </c>
      <c r="CR3863">
        <v>152.97</v>
      </c>
      <c r="CS3863">
        <v>30.77</v>
      </c>
      <c r="CT3863">
        <v>2.21</v>
      </c>
      <c r="CU3863">
        <v>-84.85</v>
      </c>
      <c r="CV3863">
        <v>1.21</v>
      </c>
      <c r="CW3863">
        <v>1.88</v>
      </c>
      <c r="CX3863" t="s">
        <v>242</v>
      </c>
      <c r="CY3863">
        <v>4.3899999999999997</v>
      </c>
      <c r="CZ3863">
        <v>4.3899999999999997</v>
      </c>
      <c r="DA3863">
        <v>2.84</v>
      </c>
      <c r="DB3863">
        <v>0.5</v>
      </c>
      <c r="DC3863">
        <v>-0.11</v>
      </c>
      <c r="DD3863">
        <v>27.54</v>
      </c>
      <c r="DE3863" t="s">
        <v>3624</v>
      </c>
      <c r="DF3863">
        <v>16.149999999999999</v>
      </c>
      <c r="DG3863">
        <v>2.73</v>
      </c>
      <c r="DH3863">
        <v>2.16</v>
      </c>
      <c r="DI3863">
        <v>1.61</v>
      </c>
      <c r="DJ3863">
        <v>17709</v>
      </c>
      <c r="DK3863">
        <v>603997</v>
      </c>
      <c r="DL3863" t="s">
        <v>120</v>
      </c>
      <c r="DM3863" t="s">
        <v>120</v>
      </c>
      <c r="DN3863" t="s">
        <v>120</v>
      </c>
    </row>
    <row r="3864" spans="1:118">
      <c r="A3864" t="str">
        <f>"603998"</f>
        <v>603998</v>
      </c>
      <c r="B3864" t="s">
        <v>15846</v>
      </c>
      <c r="C3864">
        <v>0</v>
      </c>
      <c r="D3864">
        <v>0</v>
      </c>
      <c r="E3864">
        <v>0.18</v>
      </c>
      <c r="F3864">
        <v>311</v>
      </c>
      <c r="G3864" t="s">
        <v>4783</v>
      </c>
      <c r="H3864">
        <v>2708.05</v>
      </c>
      <c r="I3864">
        <v>0.11</v>
      </c>
      <c r="J3864" t="s">
        <v>120</v>
      </c>
      <c r="K3864" t="s">
        <v>7123</v>
      </c>
      <c r="L3864">
        <v>1.1000000000000001</v>
      </c>
      <c r="M3864">
        <v>5.68</v>
      </c>
      <c r="N3864">
        <v>1.74</v>
      </c>
      <c r="O3864">
        <v>2.82</v>
      </c>
      <c r="P3864">
        <v>5.84</v>
      </c>
      <c r="Q3864">
        <v>-0.18</v>
      </c>
      <c r="R3864">
        <v>5.67</v>
      </c>
      <c r="S3864">
        <v>5.69</v>
      </c>
      <c r="T3864">
        <v>47145</v>
      </c>
      <c r="U3864">
        <v>5.68</v>
      </c>
      <c r="V3864">
        <v>5.68</v>
      </c>
      <c r="W3864">
        <v>28.77</v>
      </c>
      <c r="X3864" t="s">
        <v>771</v>
      </c>
      <c r="Y3864" t="s">
        <v>594</v>
      </c>
      <c r="Z3864">
        <v>2.99</v>
      </c>
      <c r="AA3864">
        <v>5.74</v>
      </c>
      <c r="AB3864">
        <v>21272</v>
      </c>
      <c r="AC3864">
        <v>25873</v>
      </c>
      <c r="AD3864">
        <v>0.82</v>
      </c>
      <c r="AE3864">
        <v>756</v>
      </c>
      <c r="AF3864">
        <v>111</v>
      </c>
      <c r="AG3864" t="s">
        <v>120</v>
      </c>
      <c r="AH3864">
        <v>0</v>
      </c>
      <c r="AI3864" t="s">
        <v>120</v>
      </c>
      <c r="AJ3864">
        <v>4.29</v>
      </c>
      <c r="AK3864" t="s">
        <v>7123</v>
      </c>
      <c r="AL3864">
        <v>1.34</v>
      </c>
      <c r="AM3864">
        <v>1425</v>
      </c>
      <c r="AN3864">
        <v>33</v>
      </c>
      <c r="AO3864">
        <v>8.0000000000000004E-4</v>
      </c>
      <c r="AP3864">
        <v>0</v>
      </c>
      <c r="AQ3864">
        <v>0.18</v>
      </c>
      <c r="AR3864">
        <v>-1.72</v>
      </c>
      <c r="AS3864">
        <v>4.8</v>
      </c>
      <c r="AT3864">
        <v>-5.65</v>
      </c>
      <c r="AU3864">
        <v>-4.22</v>
      </c>
      <c r="AV3864">
        <v>3</v>
      </c>
      <c r="AW3864">
        <v>2.02</v>
      </c>
      <c r="AX3864">
        <v>54.24</v>
      </c>
      <c r="AY3864">
        <v>35.950000000000003</v>
      </c>
      <c r="AZ3864">
        <v>38.24</v>
      </c>
      <c r="BA3864">
        <v>0.56999999999999995</v>
      </c>
      <c r="BB3864" t="s">
        <v>143</v>
      </c>
      <c r="BF3864">
        <v>1.1299999999999999</v>
      </c>
      <c r="BG3864">
        <v>-0.18</v>
      </c>
      <c r="BH3864">
        <v>-2.74</v>
      </c>
      <c r="BI3864">
        <v>0.18</v>
      </c>
      <c r="BJ3864">
        <v>20210827</v>
      </c>
      <c r="BK3864">
        <v>20141205</v>
      </c>
      <c r="BL3864">
        <v>4.29</v>
      </c>
      <c r="BM3864" t="s">
        <v>120</v>
      </c>
      <c r="BN3864" t="s">
        <v>120</v>
      </c>
      <c r="BO3864">
        <v>24.1</v>
      </c>
      <c r="BP3864">
        <v>5.67</v>
      </c>
      <c r="BQ3864">
        <v>11.68</v>
      </c>
      <c r="BR3864">
        <v>1.3</v>
      </c>
      <c r="BS3864">
        <v>46.14</v>
      </c>
      <c r="BT3864">
        <v>8.91</v>
      </c>
      <c r="BU3864">
        <v>5.3</v>
      </c>
      <c r="BV3864">
        <v>2.2000000000000002</v>
      </c>
      <c r="BW3864">
        <v>10.130000000000001</v>
      </c>
      <c r="BX3864">
        <v>2.39</v>
      </c>
      <c r="BY3864">
        <v>2.4900000000000002</v>
      </c>
      <c r="BZ3864">
        <v>2.39</v>
      </c>
      <c r="CA3864">
        <v>0</v>
      </c>
      <c r="CB3864">
        <v>1.32</v>
      </c>
      <c r="CC3864">
        <v>7.3</v>
      </c>
      <c r="CD3864">
        <v>2.66</v>
      </c>
      <c r="CE3864">
        <v>0.56000000000000005</v>
      </c>
      <c r="CF3864">
        <v>-0.01</v>
      </c>
      <c r="CG3864">
        <v>0.53</v>
      </c>
      <c r="CH3864">
        <v>0.44</v>
      </c>
      <c r="CI3864">
        <v>0.42</v>
      </c>
      <c r="CJ3864">
        <v>0</v>
      </c>
      <c r="CK3864">
        <v>0.4</v>
      </c>
      <c r="CL3864">
        <v>5.29</v>
      </c>
      <c r="CM3864">
        <v>0.17</v>
      </c>
      <c r="CN3864">
        <v>-0.79</v>
      </c>
      <c r="CO3864">
        <v>29200</v>
      </c>
      <c r="CP3864">
        <v>7977</v>
      </c>
      <c r="CQ3864" t="s">
        <v>11031</v>
      </c>
      <c r="CR3864">
        <v>10.6</v>
      </c>
      <c r="CS3864">
        <v>25.15</v>
      </c>
      <c r="CT3864">
        <v>2.09</v>
      </c>
      <c r="CU3864">
        <v>142.07</v>
      </c>
      <c r="CV3864">
        <v>3.34</v>
      </c>
      <c r="CW3864">
        <v>1.06</v>
      </c>
      <c r="CX3864" t="s">
        <v>411</v>
      </c>
      <c r="CY3864">
        <v>2.72</v>
      </c>
      <c r="CZ3864">
        <v>0</v>
      </c>
      <c r="DA3864">
        <v>0.31</v>
      </c>
      <c r="DB3864">
        <v>1.23</v>
      </c>
      <c r="DC3864">
        <v>0.04</v>
      </c>
      <c r="DD3864">
        <v>48.48</v>
      </c>
      <c r="DE3864" t="s">
        <v>8072</v>
      </c>
      <c r="DF3864">
        <v>63.57</v>
      </c>
      <c r="DG3864">
        <v>7.66</v>
      </c>
      <c r="DH3864">
        <v>5.81</v>
      </c>
      <c r="DI3864">
        <v>0.22</v>
      </c>
      <c r="DJ3864">
        <v>2627</v>
      </c>
      <c r="DK3864">
        <v>603998</v>
      </c>
      <c r="DL3864" t="s">
        <v>120</v>
      </c>
      <c r="DM3864" t="s">
        <v>120</v>
      </c>
      <c r="DN3864" t="s">
        <v>120</v>
      </c>
    </row>
    <row r="3865" spans="1:118">
      <c r="A3865" t="str">
        <f>"603999"</f>
        <v>603999</v>
      </c>
      <c r="B3865" t="s">
        <v>15847</v>
      </c>
      <c r="C3865">
        <v>-2.3199999999999998</v>
      </c>
      <c r="D3865">
        <v>-0.38</v>
      </c>
      <c r="E3865">
        <v>0</v>
      </c>
      <c r="F3865">
        <v>2885</v>
      </c>
      <c r="G3865" t="s">
        <v>4132</v>
      </c>
      <c r="H3865">
        <v>1668.34</v>
      </c>
      <c r="I3865">
        <v>1.3</v>
      </c>
      <c r="J3865" t="s">
        <v>120</v>
      </c>
      <c r="K3865" t="s">
        <v>6669</v>
      </c>
      <c r="L3865">
        <v>0.56999999999999995</v>
      </c>
      <c r="M3865">
        <v>5.0599999999999996</v>
      </c>
      <c r="N3865">
        <v>1.08</v>
      </c>
      <c r="O3865">
        <v>0.39</v>
      </c>
      <c r="P3865">
        <v>5.2</v>
      </c>
      <c r="Q3865">
        <v>-2.3199999999999998</v>
      </c>
      <c r="R3865">
        <v>5.0599999999999996</v>
      </c>
      <c r="S3865">
        <v>5.18</v>
      </c>
      <c r="T3865">
        <v>32561</v>
      </c>
      <c r="U3865">
        <v>5.07</v>
      </c>
      <c r="V3865">
        <v>5.18</v>
      </c>
      <c r="W3865">
        <v>52.03</v>
      </c>
      <c r="X3865" t="s">
        <v>1730</v>
      </c>
      <c r="Y3865" t="s">
        <v>1082</v>
      </c>
      <c r="Z3865">
        <v>2.7</v>
      </c>
      <c r="AA3865">
        <v>5.12</v>
      </c>
      <c r="AB3865">
        <v>19875</v>
      </c>
      <c r="AC3865">
        <v>12686</v>
      </c>
      <c r="AD3865">
        <v>1.57</v>
      </c>
      <c r="AE3865">
        <v>845</v>
      </c>
      <c r="AF3865">
        <v>106</v>
      </c>
      <c r="AG3865" t="s">
        <v>120</v>
      </c>
      <c r="AH3865">
        <v>0</v>
      </c>
      <c r="AI3865" t="s">
        <v>120</v>
      </c>
      <c r="AJ3865">
        <v>5.76</v>
      </c>
      <c r="AK3865" t="s">
        <v>6669</v>
      </c>
      <c r="AL3865">
        <v>-0.97</v>
      </c>
      <c r="AM3865">
        <v>1113</v>
      </c>
      <c r="AN3865">
        <v>29</v>
      </c>
      <c r="AO3865">
        <v>5.0000000000000001E-4</v>
      </c>
      <c r="AP3865">
        <v>-1</v>
      </c>
      <c r="AQ3865">
        <v>1.97</v>
      </c>
      <c r="AR3865">
        <v>-2.31</v>
      </c>
      <c r="AS3865">
        <v>4.33</v>
      </c>
      <c r="AT3865">
        <v>-5.77</v>
      </c>
      <c r="AU3865">
        <v>-7.68</v>
      </c>
      <c r="AV3865">
        <v>1</v>
      </c>
      <c r="AW3865">
        <v>1.34</v>
      </c>
      <c r="AX3865">
        <v>42.16</v>
      </c>
      <c r="AY3865">
        <v>39.22</v>
      </c>
      <c r="AZ3865">
        <v>40.08</v>
      </c>
      <c r="BA3865">
        <v>0.65</v>
      </c>
      <c r="BB3865" t="s">
        <v>184</v>
      </c>
      <c r="BF3865">
        <v>-1.08</v>
      </c>
      <c r="BG3865">
        <v>-2.3199999999999998</v>
      </c>
      <c r="BH3865">
        <v>-2.69</v>
      </c>
      <c r="BI3865">
        <v>0</v>
      </c>
      <c r="BJ3865">
        <v>20210826</v>
      </c>
      <c r="BK3865">
        <v>20151210</v>
      </c>
      <c r="BL3865">
        <v>5.76</v>
      </c>
      <c r="BM3865" t="s">
        <v>120</v>
      </c>
      <c r="BN3865" t="s">
        <v>120</v>
      </c>
      <c r="BO3865">
        <v>22.06</v>
      </c>
      <c r="BP3865">
        <v>5.0599999999999996</v>
      </c>
      <c r="BQ3865">
        <v>17.57</v>
      </c>
      <c r="BR3865">
        <v>0.3</v>
      </c>
      <c r="BS3865">
        <v>19.03</v>
      </c>
      <c r="BT3865">
        <v>14.53</v>
      </c>
      <c r="BU3865">
        <v>2.2400000000000002</v>
      </c>
      <c r="BV3865">
        <v>0.3</v>
      </c>
      <c r="BW3865">
        <v>3.22</v>
      </c>
      <c r="BX3865">
        <v>6.55</v>
      </c>
      <c r="BY3865">
        <v>1.07</v>
      </c>
      <c r="BZ3865">
        <v>1.26</v>
      </c>
      <c r="CA3865">
        <v>0.11</v>
      </c>
      <c r="CB3865">
        <v>2.4500000000000002</v>
      </c>
      <c r="CC3865">
        <v>4.53</v>
      </c>
      <c r="CD3865">
        <v>3.66</v>
      </c>
      <c r="CE3865">
        <v>0.28000000000000003</v>
      </c>
      <c r="CF3865">
        <v>0.03</v>
      </c>
      <c r="CG3865">
        <v>0.28000000000000003</v>
      </c>
      <c r="CH3865">
        <v>0.28000000000000003</v>
      </c>
      <c r="CI3865">
        <v>0.28000000000000003</v>
      </c>
      <c r="CJ3865">
        <v>-0.12</v>
      </c>
      <c r="CK3865">
        <v>0.2</v>
      </c>
      <c r="CL3865">
        <v>8.4499999999999993</v>
      </c>
      <c r="CM3865">
        <v>0.31</v>
      </c>
      <c r="CN3865">
        <v>-0.68</v>
      </c>
      <c r="CO3865">
        <v>28020</v>
      </c>
      <c r="CP3865">
        <v>8667</v>
      </c>
      <c r="CQ3865" t="s">
        <v>283</v>
      </c>
      <c r="CR3865">
        <v>6.19</v>
      </c>
      <c r="CS3865">
        <v>20.85</v>
      </c>
      <c r="CT3865">
        <v>1.66</v>
      </c>
      <c r="CU3865">
        <v>95.18</v>
      </c>
      <c r="CV3865">
        <v>6.44</v>
      </c>
      <c r="CW3865">
        <v>0.75</v>
      </c>
      <c r="CX3865" t="s">
        <v>1248</v>
      </c>
      <c r="CY3865">
        <v>3.05</v>
      </c>
      <c r="CZ3865">
        <v>0</v>
      </c>
      <c r="DA3865">
        <v>0.43</v>
      </c>
      <c r="DB3865">
        <v>1.47</v>
      </c>
      <c r="DC3865">
        <v>0.05</v>
      </c>
      <c r="DD3865">
        <v>79.63</v>
      </c>
      <c r="DE3865" t="s">
        <v>179</v>
      </c>
      <c r="DF3865">
        <v>19.07</v>
      </c>
      <c r="DG3865">
        <v>6.1</v>
      </c>
      <c r="DH3865">
        <v>6.19</v>
      </c>
      <c r="DI3865">
        <v>0.01</v>
      </c>
      <c r="DJ3865">
        <v>480</v>
      </c>
      <c r="DK3865">
        <v>603999</v>
      </c>
      <c r="DL3865" t="s">
        <v>120</v>
      </c>
      <c r="DM3865" t="s">
        <v>120</v>
      </c>
      <c r="DN3865" t="s">
        <v>120</v>
      </c>
    </row>
    <row r="3866" spans="1:118">
      <c r="A3866" t="str">
        <f>"605001"</f>
        <v>605001</v>
      </c>
      <c r="B3866" t="s">
        <v>15848</v>
      </c>
      <c r="C3866">
        <v>-2.72</v>
      </c>
      <c r="D3866">
        <v>0</v>
      </c>
      <c r="E3866">
        <v>-0.34</v>
      </c>
      <c r="F3866">
        <v>428</v>
      </c>
      <c r="G3866" t="s">
        <v>6031</v>
      </c>
      <c r="H3866">
        <v>1850.73</v>
      </c>
      <c r="I3866">
        <v>10.81</v>
      </c>
      <c r="J3866" t="s">
        <v>120</v>
      </c>
      <c r="K3866" t="s">
        <v>15849</v>
      </c>
      <c r="L3866">
        <v>0.89</v>
      </c>
      <c r="M3866">
        <v>8.58</v>
      </c>
      <c r="N3866">
        <v>0.61</v>
      </c>
      <c r="O3866">
        <v>-0.34</v>
      </c>
      <c r="P3866">
        <v>8.7899999999999991</v>
      </c>
      <c r="Q3866">
        <v>-2.83</v>
      </c>
      <c r="R3866">
        <v>8.57</v>
      </c>
      <c r="S3866">
        <v>8.7899999999999991</v>
      </c>
      <c r="T3866">
        <v>21282</v>
      </c>
      <c r="U3866">
        <v>8.59</v>
      </c>
      <c r="V3866">
        <v>8.82</v>
      </c>
      <c r="W3866" t="s">
        <v>120</v>
      </c>
      <c r="X3866" t="s">
        <v>157</v>
      </c>
      <c r="Y3866" t="s">
        <v>638</v>
      </c>
      <c r="Z3866">
        <v>2.4900000000000002</v>
      </c>
      <c r="AA3866">
        <v>8.6999999999999993</v>
      </c>
      <c r="AB3866">
        <v>13954</v>
      </c>
      <c r="AC3866">
        <v>7328</v>
      </c>
      <c r="AD3866">
        <v>1.9</v>
      </c>
      <c r="AE3866">
        <v>128</v>
      </c>
      <c r="AF3866">
        <v>187</v>
      </c>
      <c r="AG3866" t="s">
        <v>120</v>
      </c>
      <c r="AH3866">
        <v>0.01</v>
      </c>
      <c r="AI3866" t="s">
        <v>120</v>
      </c>
      <c r="AJ3866">
        <v>2.39</v>
      </c>
      <c r="AK3866" t="s">
        <v>5763</v>
      </c>
      <c r="AL3866">
        <v>-1.38</v>
      </c>
      <c r="AM3866">
        <v>974</v>
      </c>
      <c r="AN3866">
        <v>22</v>
      </c>
      <c r="AO3866">
        <v>8.9999999999999998E-4</v>
      </c>
      <c r="AP3866">
        <v>-2</v>
      </c>
      <c r="AQ3866">
        <v>-0.34</v>
      </c>
      <c r="AR3866">
        <v>-1.49</v>
      </c>
      <c r="AS3866">
        <v>1.3</v>
      </c>
      <c r="AT3866">
        <v>-7.34</v>
      </c>
      <c r="AU3866">
        <v>-34.39</v>
      </c>
      <c r="AV3866">
        <v>0</v>
      </c>
      <c r="AW3866">
        <v>1.24</v>
      </c>
      <c r="AX3866">
        <v>43.57</v>
      </c>
      <c r="AY3866">
        <v>170.07</v>
      </c>
      <c r="AZ3866">
        <v>20.96</v>
      </c>
      <c r="BA3866">
        <v>0.56000000000000005</v>
      </c>
      <c r="BB3866" t="s">
        <v>143</v>
      </c>
      <c r="BF3866">
        <v>-1.4</v>
      </c>
      <c r="BG3866">
        <v>-2.39</v>
      </c>
      <c r="BH3866">
        <v>-2.39</v>
      </c>
      <c r="BI3866">
        <v>0.12</v>
      </c>
      <c r="BJ3866">
        <v>20210831</v>
      </c>
      <c r="BK3866">
        <v>20200522</v>
      </c>
      <c r="BL3866">
        <v>3.93</v>
      </c>
      <c r="BM3866" t="s">
        <v>120</v>
      </c>
      <c r="BN3866" t="s">
        <v>120</v>
      </c>
      <c r="BO3866">
        <v>47.09</v>
      </c>
      <c r="BP3866">
        <v>8.58</v>
      </c>
      <c r="BQ3866">
        <v>27.1</v>
      </c>
      <c r="BR3866">
        <v>0.1</v>
      </c>
      <c r="BS3866">
        <v>42.25</v>
      </c>
      <c r="BT3866">
        <v>31.81</v>
      </c>
      <c r="BU3866">
        <v>4.8</v>
      </c>
      <c r="BV3866">
        <v>1.51</v>
      </c>
      <c r="BW3866">
        <v>15.38</v>
      </c>
      <c r="BX3866">
        <v>5.74</v>
      </c>
      <c r="BY3866">
        <v>7.95</v>
      </c>
      <c r="BZ3866">
        <v>9.02</v>
      </c>
      <c r="CA3866">
        <v>0.16</v>
      </c>
      <c r="CB3866">
        <v>16.260000000000002</v>
      </c>
      <c r="CC3866">
        <v>2.1800000000000002</v>
      </c>
      <c r="CD3866">
        <v>2.0699999999999998</v>
      </c>
      <c r="CE3866">
        <v>-1.25</v>
      </c>
      <c r="CF3866">
        <v>0.02</v>
      </c>
      <c r="CG3866">
        <v>-1.25</v>
      </c>
      <c r="CH3866">
        <v>-1.02</v>
      </c>
      <c r="CI3866">
        <v>-1.01</v>
      </c>
      <c r="CJ3866">
        <v>-0.24</v>
      </c>
      <c r="CK3866">
        <v>-1.1200000000000001</v>
      </c>
      <c r="CL3866">
        <v>6.47</v>
      </c>
      <c r="CM3866">
        <v>-0.84</v>
      </c>
      <c r="CN3866">
        <v>-4.55</v>
      </c>
      <c r="CO3866">
        <v>23384</v>
      </c>
      <c r="CP3866">
        <v>7321</v>
      </c>
      <c r="CQ3866" t="s">
        <v>5571</v>
      </c>
      <c r="CR3866">
        <v>-329.29</v>
      </c>
      <c r="CS3866">
        <v>-59.09</v>
      </c>
      <c r="CT3866">
        <v>1.24</v>
      </c>
      <c r="CU3866">
        <v>-40.36</v>
      </c>
      <c r="CV3866">
        <v>15.47</v>
      </c>
      <c r="CW3866">
        <v>1.74</v>
      </c>
      <c r="CX3866" t="s">
        <v>15850</v>
      </c>
      <c r="CY3866">
        <v>6.9</v>
      </c>
      <c r="CZ3866">
        <v>0</v>
      </c>
      <c r="DA3866">
        <v>4.1399999999999997</v>
      </c>
      <c r="DB3866">
        <v>1.65</v>
      </c>
      <c r="DC3866">
        <v>-0.21</v>
      </c>
      <c r="DD3866">
        <v>57.55</v>
      </c>
      <c r="DE3866" t="s">
        <v>15851</v>
      </c>
      <c r="DF3866">
        <v>5.21</v>
      </c>
      <c r="DG3866">
        <v>-57.38</v>
      </c>
      <c r="DH3866">
        <v>-46.32</v>
      </c>
      <c r="DI3866">
        <v>0.3</v>
      </c>
      <c r="DJ3866">
        <v>2849</v>
      </c>
      <c r="DK3866">
        <v>605001</v>
      </c>
      <c r="DL3866" t="s">
        <v>120</v>
      </c>
      <c r="DM3866" t="s">
        <v>120</v>
      </c>
      <c r="DN3866" t="s">
        <v>120</v>
      </c>
    </row>
    <row r="3867" spans="1:118">
      <c r="A3867" t="str">
        <f>"605003"</f>
        <v>605003</v>
      </c>
      <c r="B3867" t="s">
        <v>15852</v>
      </c>
      <c r="C3867">
        <v>-2.35</v>
      </c>
      <c r="D3867">
        <v>-0.08</v>
      </c>
      <c r="E3867">
        <v>0.63</v>
      </c>
      <c r="F3867">
        <v>65</v>
      </c>
      <c r="G3867" t="s">
        <v>15853</v>
      </c>
      <c r="H3867">
        <v>560.01</v>
      </c>
      <c r="I3867">
        <v>0</v>
      </c>
      <c r="J3867" t="s">
        <v>120</v>
      </c>
      <c r="K3867" t="s">
        <v>15853</v>
      </c>
      <c r="L3867">
        <v>0.86</v>
      </c>
      <c r="M3867">
        <v>23.27</v>
      </c>
      <c r="N3867">
        <v>0.43</v>
      </c>
      <c r="O3867">
        <v>0.67</v>
      </c>
      <c r="P3867">
        <v>23.99</v>
      </c>
      <c r="Q3867">
        <v>-2.39</v>
      </c>
      <c r="R3867">
        <v>23.26</v>
      </c>
      <c r="S3867">
        <v>23.98</v>
      </c>
      <c r="T3867">
        <v>2377</v>
      </c>
      <c r="U3867">
        <v>23.28</v>
      </c>
      <c r="V3867">
        <v>23.83</v>
      </c>
      <c r="W3867">
        <v>16.78</v>
      </c>
      <c r="X3867" t="s">
        <v>1766</v>
      </c>
      <c r="Y3867" t="s">
        <v>585</v>
      </c>
      <c r="Z3867">
        <v>3.06</v>
      </c>
      <c r="AA3867">
        <v>23.56</v>
      </c>
      <c r="AB3867">
        <v>1679</v>
      </c>
      <c r="AC3867">
        <v>698</v>
      </c>
      <c r="AD3867">
        <v>2.41</v>
      </c>
      <c r="AE3867">
        <v>57</v>
      </c>
      <c r="AF3867">
        <v>33</v>
      </c>
      <c r="AG3867" t="s">
        <v>120</v>
      </c>
      <c r="AH3867">
        <v>0</v>
      </c>
      <c r="AI3867" t="s">
        <v>120</v>
      </c>
      <c r="AJ3867">
        <v>0.28000000000000003</v>
      </c>
      <c r="AK3867" t="s">
        <v>5340</v>
      </c>
      <c r="AL3867">
        <v>-1.01</v>
      </c>
      <c r="AM3867">
        <v>355</v>
      </c>
      <c r="AN3867">
        <v>7</v>
      </c>
      <c r="AO3867">
        <v>2.3999999999999998E-3</v>
      </c>
      <c r="AP3867">
        <v>-1</v>
      </c>
      <c r="AQ3867">
        <v>0.51</v>
      </c>
      <c r="AR3867">
        <v>-3.64</v>
      </c>
      <c r="AS3867">
        <v>6.11</v>
      </c>
      <c r="AT3867">
        <v>-1.1499999999999999</v>
      </c>
      <c r="AU3867">
        <v>0.72</v>
      </c>
      <c r="AV3867">
        <v>0</v>
      </c>
      <c r="AW3867">
        <v>0.86</v>
      </c>
      <c r="AX3867">
        <v>25</v>
      </c>
      <c r="AY3867">
        <v>16.37</v>
      </c>
      <c r="AZ3867">
        <v>18.66</v>
      </c>
      <c r="BA3867">
        <v>0.77</v>
      </c>
      <c r="BB3867" t="s">
        <v>143</v>
      </c>
      <c r="BF3867">
        <v>-1.1499999999999999</v>
      </c>
      <c r="BG3867">
        <v>-2.96</v>
      </c>
      <c r="BH3867">
        <v>-3</v>
      </c>
      <c r="BI3867">
        <v>0.04</v>
      </c>
      <c r="BJ3867">
        <v>20210727</v>
      </c>
      <c r="BK3867">
        <v>20200908</v>
      </c>
      <c r="BL3867">
        <v>1.1000000000000001</v>
      </c>
      <c r="BM3867" t="s">
        <v>120</v>
      </c>
      <c r="BN3867" t="s">
        <v>120</v>
      </c>
      <c r="BO3867">
        <v>11.26</v>
      </c>
      <c r="BP3867">
        <v>23.27</v>
      </c>
      <c r="BQ3867">
        <v>10.15</v>
      </c>
      <c r="BR3867" t="s">
        <v>120</v>
      </c>
      <c r="BS3867">
        <v>9.84</v>
      </c>
      <c r="BT3867">
        <v>7.13</v>
      </c>
      <c r="BU3867">
        <v>0.69</v>
      </c>
      <c r="BV3867">
        <v>0.7</v>
      </c>
      <c r="BW3867">
        <v>1.07</v>
      </c>
      <c r="BX3867">
        <v>3.38</v>
      </c>
      <c r="BY3867">
        <v>0.9</v>
      </c>
      <c r="BZ3867">
        <v>0.71</v>
      </c>
      <c r="CA3867" t="s">
        <v>120</v>
      </c>
      <c r="CB3867">
        <v>5.55</v>
      </c>
      <c r="CC3867">
        <v>2.77</v>
      </c>
      <c r="CD3867">
        <v>1.71</v>
      </c>
      <c r="CE3867">
        <v>0.89</v>
      </c>
      <c r="CF3867">
        <v>0.02</v>
      </c>
      <c r="CG3867">
        <v>0.89</v>
      </c>
      <c r="CH3867">
        <v>0.76</v>
      </c>
      <c r="CI3867">
        <v>0.76</v>
      </c>
      <c r="CJ3867">
        <v>-0.56000000000000005</v>
      </c>
      <c r="CK3867">
        <v>0.7</v>
      </c>
      <c r="CL3867">
        <v>3.15</v>
      </c>
      <c r="CM3867">
        <v>0.57999999999999996</v>
      </c>
      <c r="CN3867">
        <v>-2.42</v>
      </c>
      <c r="CO3867">
        <v>7692</v>
      </c>
      <c r="CP3867">
        <v>3575</v>
      </c>
      <c r="CQ3867" t="s">
        <v>9104</v>
      </c>
      <c r="CR3867">
        <v>34.630000000000003</v>
      </c>
      <c r="CS3867">
        <v>42.63</v>
      </c>
      <c r="CT3867">
        <v>2.52</v>
      </c>
      <c r="CU3867">
        <v>44.22</v>
      </c>
      <c r="CV3867">
        <v>9.25</v>
      </c>
      <c r="CW3867">
        <v>1.68</v>
      </c>
      <c r="CX3867" t="s">
        <v>2797</v>
      </c>
      <c r="CY3867">
        <v>9.23</v>
      </c>
      <c r="CZ3867">
        <v>0</v>
      </c>
      <c r="DA3867">
        <v>5.05</v>
      </c>
      <c r="DB3867">
        <v>2.87</v>
      </c>
      <c r="DC3867">
        <v>0.53</v>
      </c>
      <c r="DD3867">
        <v>90.16</v>
      </c>
      <c r="DE3867" t="s">
        <v>7320</v>
      </c>
      <c r="DF3867">
        <v>38.299999999999997</v>
      </c>
      <c r="DG3867">
        <v>32.020000000000003</v>
      </c>
      <c r="DH3867">
        <v>27.56</v>
      </c>
      <c r="DI3867">
        <v>0.09</v>
      </c>
      <c r="DJ3867">
        <v>654</v>
      </c>
      <c r="DK3867">
        <v>605003</v>
      </c>
      <c r="DL3867" t="s">
        <v>120</v>
      </c>
      <c r="DM3867" t="s">
        <v>120</v>
      </c>
      <c r="DN3867" t="s">
        <v>120</v>
      </c>
    </row>
    <row r="3868" spans="1:118">
      <c r="A3868" t="str">
        <f>"605005"</f>
        <v>605005</v>
      </c>
      <c r="B3868" t="s">
        <v>15854</v>
      </c>
      <c r="C3868">
        <v>-5.26</v>
      </c>
      <c r="D3868">
        <v>0</v>
      </c>
      <c r="E3868">
        <v>-1.6</v>
      </c>
      <c r="F3868">
        <v>406</v>
      </c>
      <c r="G3868" t="s">
        <v>6340</v>
      </c>
      <c r="H3868">
        <v>6639.72</v>
      </c>
      <c r="I3868">
        <v>13.17</v>
      </c>
      <c r="J3868" t="s">
        <v>120</v>
      </c>
      <c r="K3868" t="s">
        <v>6340</v>
      </c>
      <c r="L3868">
        <v>8.8699999999999992</v>
      </c>
      <c r="M3868">
        <v>18.38</v>
      </c>
      <c r="N3868">
        <v>1.01</v>
      </c>
      <c r="O3868">
        <v>-0.26</v>
      </c>
      <c r="P3868">
        <v>19.350000000000001</v>
      </c>
      <c r="Q3868">
        <v>-5.67</v>
      </c>
      <c r="R3868">
        <v>18.3</v>
      </c>
      <c r="S3868">
        <v>19.09</v>
      </c>
      <c r="T3868">
        <v>35569</v>
      </c>
      <c r="U3868">
        <v>18.39</v>
      </c>
      <c r="V3868">
        <v>19.399999999999999</v>
      </c>
      <c r="W3868">
        <v>34.68</v>
      </c>
      <c r="X3868" t="s">
        <v>289</v>
      </c>
      <c r="Y3868" t="s">
        <v>585</v>
      </c>
      <c r="Z3868">
        <v>5.41</v>
      </c>
      <c r="AA3868">
        <v>18.670000000000002</v>
      </c>
      <c r="AB3868">
        <v>24057</v>
      </c>
      <c r="AC3868">
        <v>11512</v>
      </c>
      <c r="AD3868">
        <v>2.09</v>
      </c>
      <c r="AE3868">
        <v>104</v>
      </c>
      <c r="AF3868">
        <v>97</v>
      </c>
      <c r="AG3868" t="s">
        <v>120</v>
      </c>
      <c r="AH3868">
        <v>0.02</v>
      </c>
      <c r="AI3868" t="s">
        <v>120</v>
      </c>
      <c r="AJ3868">
        <v>0.4</v>
      </c>
      <c r="AK3868" t="s">
        <v>15855</v>
      </c>
      <c r="AL3868">
        <v>-3.91</v>
      </c>
      <c r="AM3868">
        <v>2040</v>
      </c>
      <c r="AN3868">
        <v>17</v>
      </c>
      <c r="AO3868">
        <v>4.3E-3</v>
      </c>
      <c r="AP3868">
        <v>-2</v>
      </c>
      <c r="AQ3868">
        <v>-1.57</v>
      </c>
      <c r="AR3868">
        <v>-4.26</v>
      </c>
      <c r="AS3868">
        <v>-0.8</v>
      </c>
      <c r="AT3868">
        <v>11.73</v>
      </c>
      <c r="AU3868">
        <v>195.03</v>
      </c>
      <c r="AV3868">
        <v>12</v>
      </c>
      <c r="AW3868">
        <v>8.8699999999999992</v>
      </c>
      <c r="AX3868">
        <v>10</v>
      </c>
      <c r="AY3868">
        <v>33.270000000000003</v>
      </c>
      <c r="AZ3868">
        <v>40.99</v>
      </c>
      <c r="BA3868">
        <v>0.57999999999999996</v>
      </c>
      <c r="BB3868" t="s">
        <v>143</v>
      </c>
      <c r="BF3868">
        <v>-3.78</v>
      </c>
      <c r="BG3868">
        <v>-3.72</v>
      </c>
      <c r="BH3868">
        <v>-5.01</v>
      </c>
      <c r="BI3868">
        <v>0.44</v>
      </c>
      <c r="BJ3868">
        <v>20210820</v>
      </c>
      <c r="BK3868">
        <v>20210119</v>
      </c>
      <c r="BL3868">
        <v>4.01</v>
      </c>
      <c r="BM3868" t="s">
        <v>120</v>
      </c>
      <c r="BN3868" t="s">
        <v>120</v>
      </c>
      <c r="BO3868">
        <v>16.37</v>
      </c>
      <c r="BP3868">
        <v>18.38</v>
      </c>
      <c r="BQ3868">
        <v>13.48</v>
      </c>
      <c r="BR3868" t="s">
        <v>120</v>
      </c>
      <c r="BS3868">
        <v>17.690000000000001</v>
      </c>
      <c r="BT3868">
        <v>10.28</v>
      </c>
      <c r="BU3868">
        <v>3.63</v>
      </c>
      <c r="BV3868">
        <v>0.53</v>
      </c>
      <c r="BW3868">
        <v>2.4</v>
      </c>
      <c r="BX3868">
        <v>0.79</v>
      </c>
      <c r="BY3868">
        <v>4.1399999999999997</v>
      </c>
      <c r="BZ3868">
        <v>2.95</v>
      </c>
      <c r="CA3868" t="s">
        <v>120</v>
      </c>
      <c r="CB3868">
        <v>3.87</v>
      </c>
      <c r="CC3868">
        <v>6.71</v>
      </c>
      <c r="CD3868">
        <v>4.3600000000000003</v>
      </c>
      <c r="CE3868">
        <v>1.21</v>
      </c>
      <c r="CF3868">
        <v>0.02</v>
      </c>
      <c r="CG3868">
        <v>1.21</v>
      </c>
      <c r="CH3868">
        <v>1.06</v>
      </c>
      <c r="CI3868">
        <v>1.06</v>
      </c>
      <c r="CJ3868">
        <v>-1.02</v>
      </c>
      <c r="CK3868">
        <v>0.99</v>
      </c>
      <c r="CL3868">
        <v>5.32</v>
      </c>
      <c r="CM3868">
        <v>0.28000000000000003</v>
      </c>
      <c r="CN3868">
        <v>-0.85</v>
      </c>
      <c r="CO3868">
        <v>15681</v>
      </c>
      <c r="CP3868">
        <v>2557</v>
      </c>
      <c r="CQ3868" t="s">
        <v>5667</v>
      </c>
      <c r="CR3868">
        <v>70.790000000000006</v>
      </c>
      <c r="CS3868">
        <v>44.86</v>
      </c>
      <c r="CT3868">
        <v>5.47</v>
      </c>
      <c r="CU3868">
        <v>260.94</v>
      </c>
      <c r="CV3868">
        <v>10.98</v>
      </c>
      <c r="CW3868">
        <v>0.77</v>
      </c>
      <c r="CX3868" t="s">
        <v>1233</v>
      </c>
      <c r="CY3868">
        <v>3.36</v>
      </c>
      <c r="CZ3868">
        <v>0</v>
      </c>
      <c r="DA3868">
        <v>0.97</v>
      </c>
      <c r="DB3868">
        <v>1.33</v>
      </c>
      <c r="DC3868">
        <v>7.0000000000000007E-2</v>
      </c>
      <c r="DD3868">
        <v>82.31</v>
      </c>
      <c r="DE3868" t="s">
        <v>4218</v>
      </c>
      <c r="DF3868">
        <v>35.07</v>
      </c>
      <c r="DG3868">
        <v>18</v>
      </c>
      <c r="DH3868">
        <v>15.83</v>
      </c>
      <c r="DI3868">
        <v>0.33</v>
      </c>
      <c r="DJ3868">
        <v>1980</v>
      </c>
      <c r="DK3868">
        <v>605005</v>
      </c>
      <c r="DL3868" t="s">
        <v>120</v>
      </c>
      <c r="DM3868" t="s">
        <v>120</v>
      </c>
      <c r="DN3868" t="s">
        <v>120</v>
      </c>
    </row>
    <row r="3869" spans="1:118">
      <c r="A3869" t="str">
        <f>"605006"</f>
        <v>605006</v>
      </c>
      <c r="B3869" t="s">
        <v>15856</v>
      </c>
      <c r="C3869">
        <v>-2.21</v>
      </c>
      <c r="D3869">
        <v>0.06</v>
      </c>
      <c r="E3869">
        <v>0.12</v>
      </c>
      <c r="F3869">
        <v>605</v>
      </c>
      <c r="G3869" t="s">
        <v>15857</v>
      </c>
      <c r="H3869">
        <v>21212.27</v>
      </c>
      <c r="I3869">
        <v>66.069999999999993</v>
      </c>
      <c r="J3869" t="s">
        <v>120</v>
      </c>
      <c r="K3869" t="s">
        <v>8244</v>
      </c>
      <c r="L3869">
        <v>5.25</v>
      </c>
      <c r="M3869">
        <v>16.850000000000001</v>
      </c>
      <c r="N3869">
        <v>0.89</v>
      </c>
      <c r="O3869">
        <v>3.6</v>
      </c>
      <c r="P3869">
        <v>17.850000000000001</v>
      </c>
      <c r="Q3869">
        <v>-3.66</v>
      </c>
      <c r="R3869">
        <v>16.600000000000001</v>
      </c>
      <c r="S3869">
        <v>17.25</v>
      </c>
      <c r="T3869">
        <v>124097</v>
      </c>
      <c r="U3869">
        <v>16.86</v>
      </c>
      <c r="V3869">
        <v>17.23</v>
      </c>
      <c r="W3869">
        <v>12.74</v>
      </c>
      <c r="X3869" t="s">
        <v>191</v>
      </c>
      <c r="Y3869" t="s">
        <v>638</v>
      </c>
      <c r="Z3869">
        <v>7.25</v>
      </c>
      <c r="AA3869">
        <v>17.09</v>
      </c>
      <c r="AB3869">
        <v>69512</v>
      </c>
      <c r="AC3869">
        <v>54585</v>
      </c>
      <c r="AD3869">
        <v>1.27</v>
      </c>
      <c r="AE3869">
        <v>30</v>
      </c>
      <c r="AF3869">
        <v>28</v>
      </c>
      <c r="AG3869" t="s">
        <v>120</v>
      </c>
      <c r="AH3869">
        <v>0.03</v>
      </c>
      <c r="AI3869" t="s">
        <v>120</v>
      </c>
      <c r="AJ3869">
        <v>2.36</v>
      </c>
      <c r="AK3869" t="s">
        <v>15858</v>
      </c>
      <c r="AL3869">
        <v>-0.86</v>
      </c>
      <c r="AM3869">
        <v>3513</v>
      </c>
      <c r="AN3869">
        <v>35</v>
      </c>
      <c r="AO3869">
        <v>1.5E-3</v>
      </c>
      <c r="AP3869">
        <v>-1</v>
      </c>
      <c r="AQ3869">
        <v>5.19</v>
      </c>
      <c r="AR3869">
        <v>-2.15</v>
      </c>
      <c r="AS3869">
        <v>15.57</v>
      </c>
      <c r="AT3869">
        <v>38.57</v>
      </c>
      <c r="AU3869">
        <v>107.76</v>
      </c>
      <c r="AV3869">
        <v>15</v>
      </c>
      <c r="AW3869">
        <v>11.33</v>
      </c>
      <c r="AX3869">
        <v>21.9</v>
      </c>
      <c r="AY3869">
        <v>19.54</v>
      </c>
      <c r="AZ3869">
        <v>49.98</v>
      </c>
      <c r="BA3869">
        <v>1.31</v>
      </c>
      <c r="BB3869" t="s">
        <v>184</v>
      </c>
      <c r="BF3869">
        <v>-0.79</v>
      </c>
      <c r="BG3869">
        <v>-2.3199999999999998</v>
      </c>
      <c r="BH3869">
        <v>-5.6</v>
      </c>
      <c r="BI3869">
        <v>1.51</v>
      </c>
      <c r="BJ3869">
        <v>20210908</v>
      </c>
      <c r="BK3869">
        <v>20200903</v>
      </c>
      <c r="BL3869">
        <v>5</v>
      </c>
      <c r="BM3869" t="s">
        <v>120</v>
      </c>
      <c r="BN3869" t="s">
        <v>120</v>
      </c>
      <c r="BO3869">
        <v>47.11</v>
      </c>
      <c r="BP3869">
        <v>16.850000000000001</v>
      </c>
      <c r="BQ3869">
        <v>20.37</v>
      </c>
      <c r="BR3869" t="s">
        <v>120</v>
      </c>
      <c r="BS3869">
        <v>56.76</v>
      </c>
      <c r="BT3869">
        <v>13.06</v>
      </c>
      <c r="BU3869">
        <v>31.42</v>
      </c>
      <c r="BV3869">
        <v>1.36</v>
      </c>
      <c r="BW3869">
        <v>16.93</v>
      </c>
      <c r="BX3869">
        <v>3.47</v>
      </c>
      <c r="BY3869">
        <v>1.03</v>
      </c>
      <c r="BZ3869">
        <v>0.7</v>
      </c>
      <c r="CA3869" t="s">
        <v>120</v>
      </c>
      <c r="CB3869">
        <v>5.86</v>
      </c>
      <c r="CC3869">
        <v>14.47</v>
      </c>
      <c r="CD3869">
        <v>8.92</v>
      </c>
      <c r="CE3869">
        <v>3.97</v>
      </c>
      <c r="CF3869">
        <v>0</v>
      </c>
      <c r="CG3869">
        <v>3.98</v>
      </c>
      <c r="CH3869">
        <v>3.31</v>
      </c>
      <c r="CI3869">
        <v>3.31</v>
      </c>
      <c r="CJ3869">
        <v>-0.38</v>
      </c>
      <c r="CK3869">
        <v>3.23</v>
      </c>
      <c r="CL3869">
        <v>8.7899999999999991</v>
      </c>
      <c r="CM3869">
        <v>2.84</v>
      </c>
      <c r="CN3869">
        <v>0.35</v>
      </c>
      <c r="CO3869">
        <v>26580</v>
      </c>
      <c r="CP3869">
        <v>4120</v>
      </c>
      <c r="CQ3869" t="s">
        <v>5975</v>
      </c>
      <c r="CR3869">
        <v>433.32</v>
      </c>
      <c r="CS3869">
        <v>61.04</v>
      </c>
      <c r="CT3869">
        <v>4.1399999999999997</v>
      </c>
      <c r="CU3869">
        <v>29.69</v>
      </c>
      <c r="CV3869">
        <v>5.82</v>
      </c>
      <c r="CW3869">
        <v>0.87</v>
      </c>
      <c r="CX3869" t="s">
        <v>2533</v>
      </c>
      <c r="CY3869">
        <v>4.07</v>
      </c>
      <c r="CZ3869">
        <v>0</v>
      </c>
      <c r="DA3869">
        <v>1.17</v>
      </c>
      <c r="DB3869">
        <v>1.76</v>
      </c>
      <c r="DC3869">
        <v>0.56999999999999995</v>
      </c>
      <c r="DD3869">
        <v>43.24</v>
      </c>
      <c r="DE3869" t="s">
        <v>15859</v>
      </c>
      <c r="DF3869">
        <v>38.35</v>
      </c>
      <c r="DG3869">
        <v>27.46</v>
      </c>
      <c r="DH3869">
        <v>22.85</v>
      </c>
      <c r="DI3869">
        <v>0.38</v>
      </c>
      <c r="DJ3869">
        <v>2951</v>
      </c>
      <c r="DK3869">
        <v>605006</v>
      </c>
      <c r="DL3869">
        <v>20210905</v>
      </c>
      <c r="DM3869">
        <v>16.79</v>
      </c>
      <c r="DN3869">
        <v>0.36</v>
      </c>
    </row>
    <row r="3870" spans="1:118">
      <c r="A3870" t="str">
        <f>"605007"</f>
        <v>605007</v>
      </c>
      <c r="B3870" t="s">
        <v>15860</v>
      </c>
      <c r="C3870">
        <v>0.1</v>
      </c>
      <c r="D3870">
        <v>0</v>
      </c>
      <c r="E3870">
        <v>0.61</v>
      </c>
      <c r="F3870">
        <v>160</v>
      </c>
      <c r="G3870" t="s">
        <v>15832</v>
      </c>
      <c r="H3870">
        <v>4970.5</v>
      </c>
      <c r="I3870">
        <v>12.55</v>
      </c>
      <c r="J3870" t="s">
        <v>120</v>
      </c>
      <c r="K3870" t="s">
        <v>15832</v>
      </c>
      <c r="L3870">
        <v>6.23</v>
      </c>
      <c r="M3870">
        <v>19.82</v>
      </c>
      <c r="N3870">
        <v>1.28</v>
      </c>
      <c r="O3870">
        <v>2.63</v>
      </c>
      <c r="P3870">
        <v>20.32</v>
      </c>
      <c r="Q3870">
        <v>-0.51</v>
      </c>
      <c r="R3870">
        <v>19.7</v>
      </c>
      <c r="S3870">
        <v>19.920000000000002</v>
      </c>
      <c r="T3870">
        <v>24941</v>
      </c>
      <c r="U3870">
        <v>19.82</v>
      </c>
      <c r="V3870">
        <v>19.8</v>
      </c>
      <c r="W3870">
        <v>15.18</v>
      </c>
      <c r="X3870" t="s">
        <v>814</v>
      </c>
      <c r="Y3870" t="s">
        <v>585</v>
      </c>
      <c r="Z3870">
        <v>3.13</v>
      </c>
      <c r="AA3870">
        <v>19.93</v>
      </c>
      <c r="AB3870">
        <v>11910</v>
      </c>
      <c r="AC3870">
        <v>13031</v>
      </c>
      <c r="AD3870">
        <v>0.91</v>
      </c>
      <c r="AE3870">
        <v>21</v>
      </c>
      <c r="AF3870">
        <v>34</v>
      </c>
      <c r="AG3870" t="s">
        <v>120</v>
      </c>
      <c r="AH3870">
        <v>0.02</v>
      </c>
      <c r="AI3870" t="s">
        <v>120</v>
      </c>
      <c r="AJ3870">
        <v>0.4</v>
      </c>
      <c r="AK3870" t="s">
        <v>15861</v>
      </c>
      <c r="AL3870">
        <v>1.44</v>
      </c>
      <c r="AM3870">
        <v>1348</v>
      </c>
      <c r="AN3870">
        <v>19</v>
      </c>
      <c r="AO3870">
        <v>4.5999999999999999E-3</v>
      </c>
      <c r="AP3870">
        <v>2</v>
      </c>
      <c r="AQ3870">
        <v>1.33</v>
      </c>
      <c r="AR3870">
        <v>-0.05</v>
      </c>
      <c r="AS3870">
        <v>6.85</v>
      </c>
      <c r="AT3870">
        <v>2.58</v>
      </c>
      <c r="AU3870">
        <v>-17.04</v>
      </c>
      <c r="AV3870">
        <v>3</v>
      </c>
      <c r="AW3870">
        <v>6.23</v>
      </c>
      <c r="AX3870">
        <v>10</v>
      </c>
      <c r="AY3870">
        <v>18.29</v>
      </c>
      <c r="AZ3870">
        <v>23.39</v>
      </c>
      <c r="BA3870">
        <v>0.5</v>
      </c>
      <c r="BB3870" t="s">
        <v>184</v>
      </c>
      <c r="BF3870">
        <v>0.65</v>
      </c>
      <c r="BG3870">
        <v>-0.5</v>
      </c>
      <c r="BH3870">
        <v>-2.46</v>
      </c>
      <c r="BI3870">
        <v>0.61</v>
      </c>
      <c r="BJ3870">
        <v>20210817</v>
      </c>
      <c r="BK3870">
        <v>20201110</v>
      </c>
      <c r="BL3870">
        <v>4</v>
      </c>
      <c r="BM3870" t="s">
        <v>120</v>
      </c>
      <c r="BN3870" t="s">
        <v>120</v>
      </c>
      <c r="BO3870">
        <v>34.92</v>
      </c>
      <c r="BP3870">
        <v>19.809999999999999</v>
      </c>
      <c r="BQ3870">
        <v>18.29</v>
      </c>
      <c r="BR3870" t="s">
        <v>120</v>
      </c>
      <c r="BS3870">
        <v>47.64</v>
      </c>
      <c r="BT3870">
        <v>15.63</v>
      </c>
      <c r="BU3870">
        <v>11.74</v>
      </c>
      <c r="BV3870">
        <v>0.83</v>
      </c>
      <c r="BW3870">
        <v>14.54</v>
      </c>
      <c r="BX3870">
        <v>2.69</v>
      </c>
      <c r="BY3870">
        <v>4.6900000000000004</v>
      </c>
      <c r="BZ3870">
        <v>5.35</v>
      </c>
      <c r="CA3870" t="s">
        <v>120</v>
      </c>
      <c r="CB3870">
        <v>4.6100000000000003</v>
      </c>
      <c r="CC3870">
        <v>16.350000000000001</v>
      </c>
      <c r="CD3870">
        <v>12.26</v>
      </c>
      <c r="CE3870">
        <v>3.19</v>
      </c>
      <c r="CF3870">
        <v>-0.05</v>
      </c>
      <c r="CG3870">
        <v>3.47</v>
      </c>
      <c r="CH3870">
        <v>2.61</v>
      </c>
      <c r="CI3870">
        <v>2.61</v>
      </c>
      <c r="CJ3870">
        <v>0.02</v>
      </c>
      <c r="CK3870">
        <v>2.37</v>
      </c>
      <c r="CL3870">
        <v>9.4</v>
      </c>
      <c r="CM3870">
        <v>2.75</v>
      </c>
      <c r="CN3870">
        <v>0.62</v>
      </c>
      <c r="CO3870">
        <v>15947</v>
      </c>
      <c r="CP3870">
        <v>2509</v>
      </c>
      <c r="CQ3870" t="s">
        <v>7410</v>
      </c>
      <c r="CR3870">
        <v>56.7</v>
      </c>
      <c r="CS3870">
        <v>41.57</v>
      </c>
      <c r="CT3870">
        <v>4.34</v>
      </c>
      <c r="CU3870">
        <v>28.79</v>
      </c>
      <c r="CV3870">
        <v>4.8499999999999996</v>
      </c>
      <c r="CW3870">
        <v>1.52</v>
      </c>
      <c r="CX3870" t="s">
        <v>2783</v>
      </c>
      <c r="CY3870">
        <v>4.57</v>
      </c>
      <c r="CZ3870">
        <v>0</v>
      </c>
      <c r="DA3870">
        <v>1.1499999999999999</v>
      </c>
      <c r="DB3870">
        <v>2.35</v>
      </c>
      <c r="DC3870">
        <v>0.69</v>
      </c>
      <c r="DD3870">
        <v>52.36</v>
      </c>
      <c r="DE3870" t="s">
        <v>4338</v>
      </c>
      <c r="DF3870">
        <v>25.03</v>
      </c>
      <c r="DG3870">
        <v>19.52</v>
      </c>
      <c r="DH3870">
        <v>15.97</v>
      </c>
      <c r="DI3870">
        <v>0.24</v>
      </c>
      <c r="DJ3870">
        <v>921</v>
      </c>
      <c r="DK3870">
        <v>605007</v>
      </c>
      <c r="DL3870" t="s">
        <v>120</v>
      </c>
      <c r="DM3870" t="s">
        <v>120</v>
      </c>
      <c r="DN3870" t="s">
        <v>120</v>
      </c>
    </row>
    <row r="3871" spans="1:118">
      <c r="A3871" t="str">
        <f>"605008"</f>
        <v>605008</v>
      </c>
      <c r="B3871" t="s">
        <v>15862</v>
      </c>
      <c r="C3871">
        <v>1.37</v>
      </c>
      <c r="D3871">
        <v>-0.05</v>
      </c>
      <c r="E3871">
        <v>0.39</v>
      </c>
      <c r="F3871">
        <v>186</v>
      </c>
      <c r="G3871" t="s">
        <v>15756</v>
      </c>
      <c r="H3871">
        <v>8495.32</v>
      </c>
      <c r="I3871">
        <v>93.75</v>
      </c>
      <c r="J3871" t="s">
        <v>120</v>
      </c>
      <c r="K3871" t="s">
        <v>15863</v>
      </c>
      <c r="L3871">
        <v>2.65</v>
      </c>
      <c r="M3871">
        <v>15.57</v>
      </c>
      <c r="N3871">
        <v>1.59</v>
      </c>
      <c r="O3871">
        <v>5.66</v>
      </c>
      <c r="P3871">
        <v>16.23</v>
      </c>
      <c r="Q3871">
        <v>0.39</v>
      </c>
      <c r="R3871">
        <v>15.42</v>
      </c>
      <c r="S3871">
        <v>15.42</v>
      </c>
      <c r="T3871">
        <v>53679</v>
      </c>
      <c r="U3871">
        <v>15.58</v>
      </c>
      <c r="V3871">
        <v>15.36</v>
      </c>
      <c r="W3871">
        <v>59.79</v>
      </c>
      <c r="X3871" t="s">
        <v>2211</v>
      </c>
      <c r="Y3871" t="s">
        <v>585</v>
      </c>
      <c r="Z3871">
        <v>5.27</v>
      </c>
      <c r="AA3871">
        <v>15.83</v>
      </c>
      <c r="AB3871">
        <v>25929</v>
      </c>
      <c r="AC3871">
        <v>27750</v>
      </c>
      <c r="AD3871">
        <v>0.93</v>
      </c>
      <c r="AE3871">
        <v>262</v>
      </c>
      <c r="AF3871">
        <v>71</v>
      </c>
      <c r="AG3871" t="s">
        <v>120</v>
      </c>
      <c r="AH3871">
        <v>0.05</v>
      </c>
      <c r="AI3871" t="s">
        <v>120</v>
      </c>
      <c r="AJ3871">
        <v>2.0299999999999998</v>
      </c>
      <c r="AK3871" t="s">
        <v>15864</v>
      </c>
      <c r="AL3871">
        <v>2.71</v>
      </c>
      <c r="AM3871">
        <v>2106</v>
      </c>
      <c r="AN3871">
        <v>25</v>
      </c>
      <c r="AO3871">
        <v>1.2999999999999999E-3</v>
      </c>
      <c r="AP3871">
        <v>2</v>
      </c>
      <c r="AQ3871">
        <v>1.99</v>
      </c>
      <c r="AR3871">
        <v>1.17</v>
      </c>
      <c r="AS3871">
        <v>-4.71</v>
      </c>
      <c r="AT3871">
        <v>-17.45</v>
      </c>
      <c r="AU3871">
        <v>-11.14</v>
      </c>
      <c r="AV3871">
        <v>12</v>
      </c>
      <c r="AW3871">
        <v>4.75</v>
      </c>
      <c r="AX3871">
        <v>17.59</v>
      </c>
      <c r="AY3871">
        <v>32.200000000000003</v>
      </c>
      <c r="AZ3871">
        <v>32.71</v>
      </c>
      <c r="BA3871">
        <v>0.85</v>
      </c>
      <c r="BB3871" t="s">
        <v>143</v>
      </c>
      <c r="BF3871">
        <v>3.04</v>
      </c>
      <c r="BG3871">
        <v>0.97</v>
      </c>
      <c r="BH3871">
        <v>-4.07</v>
      </c>
      <c r="BI3871">
        <v>0.97</v>
      </c>
      <c r="BJ3871">
        <v>20210831</v>
      </c>
      <c r="BK3871">
        <v>20200821</v>
      </c>
      <c r="BL3871">
        <v>6.42</v>
      </c>
      <c r="BM3871" t="s">
        <v>120</v>
      </c>
      <c r="BN3871" t="s">
        <v>120</v>
      </c>
      <c r="BO3871">
        <v>26.85</v>
      </c>
      <c r="BP3871">
        <v>15.57</v>
      </c>
      <c r="BQ3871">
        <v>17.23</v>
      </c>
      <c r="BR3871" t="s">
        <v>120</v>
      </c>
      <c r="BS3871">
        <v>35.85</v>
      </c>
      <c r="BT3871">
        <v>12.28</v>
      </c>
      <c r="BU3871">
        <v>7.31</v>
      </c>
      <c r="BV3871">
        <v>0.93</v>
      </c>
      <c r="BW3871">
        <v>6.84</v>
      </c>
      <c r="BX3871">
        <v>2.98</v>
      </c>
      <c r="BY3871">
        <v>1.65</v>
      </c>
      <c r="BZ3871">
        <v>2.2999999999999998</v>
      </c>
      <c r="CA3871">
        <v>0</v>
      </c>
      <c r="CB3871">
        <v>3.48</v>
      </c>
      <c r="CC3871">
        <v>7.75</v>
      </c>
      <c r="CD3871">
        <v>6.23</v>
      </c>
      <c r="CE3871">
        <v>0.99</v>
      </c>
      <c r="CF3871">
        <v>0.03</v>
      </c>
      <c r="CG3871">
        <v>0.98</v>
      </c>
      <c r="CH3871">
        <v>0.84</v>
      </c>
      <c r="CI3871">
        <v>0.84</v>
      </c>
      <c r="CJ3871">
        <v>0.21</v>
      </c>
      <c r="CK3871">
        <v>0.8</v>
      </c>
      <c r="CL3871">
        <v>6.59</v>
      </c>
      <c r="CM3871">
        <v>0.48</v>
      </c>
      <c r="CN3871">
        <v>-1.52</v>
      </c>
      <c r="CO3871">
        <v>16665</v>
      </c>
      <c r="CP3871">
        <v>6780</v>
      </c>
      <c r="CQ3871" t="s">
        <v>5885</v>
      </c>
      <c r="CR3871">
        <v>6.06</v>
      </c>
      <c r="CS3871">
        <v>36.36</v>
      </c>
      <c r="CT3871">
        <v>5.81</v>
      </c>
      <c r="CU3871">
        <v>210.53</v>
      </c>
      <c r="CV3871">
        <v>12.9</v>
      </c>
      <c r="CW3871">
        <v>1.1599999999999999</v>
      </c>
      <c r="CX3871" t="s">
        <v>242</v>
      </c>
      <c r="CY3871">
        <v>2.68</v>
      </c>
      <c r="CZ3871">
        <v>0</v>
      </c>
      <c r="DA3871">
        <v>0.54</v>
      </c>
      <c r="DB3871">
        <v>1.03</v>
      </c>
      <c r="DC3871">
        <v>7.0000000000000007E-2</v>
      </c>
      <c r="DD3871">
        <v>64.150000000000006</v>
      </c>
      <c r="DE3871" t="s">
        <v>1010</v>
      </c>
      <c r="DF3871">
        <v>19.59</v>
      </c>
      <c r="DG3871">
        <v>12.71</v>
      </c>
      <c r="DH3871">
        <v>10.79</v>
      </c>
      <c r="DI3871">
        <v>0.21</v>
      </c>
      <c r="DJ3871">
        <v>236</v>
      </c>
      <c r="DK3871">
        <v>605008</v>
      </c>
      <c r="DL3871" t="s">
        <v>120</v>
      </c>
      <c r="DM3871" t="s">
        <v>120</v>
      </c>
      <c r="DN3871" t="s">
        <v>120</v>
      </c>
    </row>
    <row r="3872" spans="1:118">
      <c r="A3872" t="str">
        <f>"605009"</f>
        <v>605009</v>
      </c>
      <c r="B3872" t="s">
        <v>15865</v>
      </c>
      <c r="C3872">
        <v>-2.23</v>
      </c>
      <c r="D3872">
        <v>-1.43</v>
      </c>
      <c r="E3872">
        <v>-0.56999999999999995</v>
      </c>
      <c r="F3872">
        <v>1508</v>
      </c>
      <c r="G3872" t="s">
        <v>15866</v>
      </c>
      <c r="H3872">
        <v>5426.57</v>
      </c>
      <c r="I3872">
        <v>33.61</v>
      </c>
      <c r="J3872" t="s">
        <v>120</v>
      </c>
      <c r="K3872" t="s">
        <v>5023</v>
      </c>
      <c r="L3872">
        <v>1.9</v>
      </c>
      <c r="M3872">
        <v>50.08</v>
      </c>
      <c r="N3872">
        <v>0.85</v>
      </c>
      <c r="O3872">
        <v>0.53</v>
      </c>
      <c r="P3872">
        <v>51.49</v>
      </c>
      <c r="Q3872">
        <v>-2.23</v>
      </c>
      <c r="R3872">
        <v>50.08</v>
      </c>
      <c r="S3872">
        <v>50.93</v>
      </c>
      <c r="T3872">
        <v>10648</v>
      </c>
      <c r="U3872">
        <v>50.41</v>
      </c>
      <c r="V3872">
        <v>51.22</v>
      </c>
      <c r="W3872">
        <v>20.68</v>
      </c>
      <c r="X3872" t="s">
        <v>814</v>
      </c>
      <c r="Y3872" t="s">
        <v>585</v>
      </c>
      <c r="Z3872">
        <v>2.75</v>
      </c>
      <c r="AA3872">
        <v>50.96</v>
      </c>
      <c r="AB3872">
        <v>5946</v>
      </c>
      <c r="AC3872">
        <v>4702</v>
      </c>
      <c r="AD3872">
        <v>1.26</v>
      </c>
      <c r="AE3872">
        <v>98</v>
      </c>
      <c r="AF3872">
        <v>7</v>
      </c>
      <c r="AG3872" t="s">
        <v>120</v>
      </c>
      <c r="AH3872">
        <v>0.01</v>
      </c>
      <c r="AI3872" t="s">
        <v>120</v>
      </c>
      <c r="AJ3872">
        <v>0.56000000000000005</v>
      </c>
      <c r="AK3872" t="s">
        <v>15867</v>
      </c>
      <c r="AL3872">
        <v>-0.88</v>
      </c>
      <c r="AM3872">
        <v>1715</v>
      </c>
      <c r="AN3872">
        <v>6</v>
      </c>
      <c r="AO3872">
        <v>1.1000000000000001E-3</v>
      </c>
      <c r="AP3872">
        <v>-7</v>
      </c>
      <c r="AQ3872">
        <v>-4.53</v>
      </c>
      <c r="AR3872">
        <v>-7.86</v>
      </c>
      <c r="AS3872">
        <v>-23.35</v>
      </c>
      <c r="AT3872">
        <v>-35.380000000000003</v>
      </c>
      <c r="AU3872">
        <v>-60.58</v>
      </c>
      <c r="AV3872">
        <v>5</v>
      </c>
      <c r="AW3872">
        <v>2.3199999999999998</v>
      </c>
      <c r="AX3872">
        <v>28.88</v>
      </c>
      <c r="AY3872">
        <v>19.440000000000001</v>
      </c>
      <c r="AZ3872">
        <v>13.52</v>
      </c>
      <c r="BA3872">
        <v>1.32</v>
      </c>
      <c r="BB3872" t="s">
        <v>134</v>
      </c>
      <c r="BF3872">
        <v>-0.5</v>
      </c>
      <c r="BG3872">
        <v>-1.67</v>
      </c>
      <c r="BH3872">
        <v>-2.74</v>
      </c>
      <c r="BI3872">
        <v>0</v>
      </c>
      <c r="BJ3872">
        <v>20210910</v>
      </c>
      <c r="BK3872">
        <v>20200911</v>
      </c>
      <c r="BL3872">
        <v>1.59</v>
      </c>
      <c r="BM3872" t="s">
        <v>120</v>
      </c>
      <c r="BN3872" t="s">
        <v>120</v>
      </c>
      <c r="BO3872">
        <v>36.29</v>
      </c>
      <c r="BP3872">
        <v>50.08</v>
      </c>
      <c r="BQ3872">
        <v>28.68</v>
      </c>
      <c r="BR3872" t="s">
        <v>120</v>
      </c>
      <c r="BS3872">
        <v>20.97</v>
      </c>
      <c r="BT3872">
        <v>23.55</v>
      </c>
      <c r="BU3872">
        <v>8.52</v>
      </c>
      <c r="BV3872">
        <v>0.74</v>
      </c>
      <c r="BW3872">
        <v>6.84</v>
      </c>
      <c r="BX3872">
        <v>11.31</v>
      </c>
      <c r="BY3872">
        <v>2.2200000000000002</v>
      </c>
      <c r="BZ3872">
        <v>1.52</v>
      </c>
      <c r="CA3872" t="s">
        <v>120</v>
      </c>
      <c r="CB3872">
        <v>15.41</v>
      </c>
      <c r="CC3872">
        <v>10.85</v>
      </c>
      <c r="CD3872">
        <v>7.54</v>
      </c>
      <c r="CE3872">
        <v>2.2000000000000002</v>
      </c>
      <c r="CF3872">
        <v>0.09</v>
      </c>
      <c r="CG3872">
        <v>2.29</v>
      </c>
      <c r="CH3872">
        <v>1.92</v>
      </c>
      <c r="CI3872">
        <v>1.92</v>
      </c>
      <c r="CJ3872">
        <v>-1.1399999999999999</v>
      </c>
      <c r="CK3872">
        <v>1.73</v>
      </c>
      <c r="CL3872">
        <v>10.72</v>
      </c>
      <c r="CM3872">
        <v>3.72</v>
      </c>
      <c r="CN3872">
        <v>-0.57999999999999996</v>
      </c>
      <c r="CO3872">
        <v>25491</v>
      </c>
      <c r="CP3872">
        <v>1801</v>
      </c>
      <c r="CQ3872" t="s">
        <v>15868</v>
      </c>
      <c r="CR3872">
        <v>-48.76</v>
      </c>
      <c r="CS3872">
        <v>-21.72</v>
      </c>
      <c r="CT3872">
        <v>2.78</v>
      </c>
      <c r="CU3872">
        <v>21.42</v>
      </c>
      <c r="CV3872">
        <v>7.34</v>
      </c>
      <c r="CW3872">
        <v>1.31</v>
      </c>
      <c r="CX3872" t="s">
        <v>15869</v>
      </c>
      <c r="CY3872">
        <v>18.05</v>
      </c>
      <c r="CZ3872">
        <v>0</v>
      </c>
      <c r="DA3872">
        <v>9.69</v>
      </c>
      <c r="DB3872">
        <v>6.75</v>
      </c>
      <c r="DC3872">
        <v>2.34</v>
      </c>
      <c r="DD3872">
        <v>79.03</v>
      </c>
      <c r="DE3872" t="s">
        <v>2941</v>
      </c>
      <c r="DF3872">
        <v>30.5</v>
      </c>
      <c r="DG3872">
        <v>20.27</v>
      </c>
      <c r="DH3872">
        <v>17.739999999999998</v>
      </c>
      <c r="DI3872">
        <v>0.39</v>
      </c>
      <c r="DJ3872">
        <v>1757</v>
      </c>
      <c r="DK3872">
        <v>605009</v>
      </c>
      <c r="DL3872" t="s">
        <v>120</v>
      </c>
      <c r="DM3872" t="s">
        <v>120</v>
      </c>
      <c r="DN3872" t="s">
        <v>120</v>
      </c>
    </row>
    <row r="3873" spans="1:118">
      <c r="A3873" t="str">
        <f>"605011"</f>
        <v>605011</v>
      </c>
      <c r="B3873" t="s">
        <v>15870</v>
      </c>
      <c r="C3873">
        <v>-5.32</v>
      </c>
      <c r="D3873">
        <v>0.05</v>
      </c>
      <c r="E3873">
        <v>-0.99</v>
      </c>
      <c r="F3873">
        <v>1324</v>
      </c>
      <c r="G3873" t="s">
        <v>10701</v>
      </c>
      <c r="H3873">
        <v>13743.08</v>
      </c>
      <c r="I3873">
        <v>43.95</v>
      </c>
      <c r="J3873" t="s">
        <v>120</v>
      </c>
      <c r="K3873" t="s">
        <v>10701</v>
      </c>
      <c r="L3873">
        <v>16.38</v>
      </c>
      <c r="M3873">
        <v>20.11</v>
      </c>
      <c r="N3873">
        <v>0.55000000000000004</v>
      </c>
      <c r="O3873">
        <v>2.59</v>
      </c>
      <c r="P3873">
        <v>21.79</v>
      </c>
      <c r="Q3873">
        <v>-5.56</v>
      </c>
      <c r="R3873">
        <v>20.059999999999999</v>
      </c>
      <c r="S3873">
        <v>21.03</v>
      </c>
      <c r="T3873">
        <v>65696</v>
      </c>
      <c r="U3873">
        <v>20.12</v>
      </c>
      <c r="V3873">
        <v>21.24</v>
      </c>
      <c r="W3873">
        <v>30.13</v>
      </c>
      <c r="X3873" t="s">
        <v>684</v>
      </c>
      <c r="Y3873" t="s">
        <v>585</v>
      </c>
      <c r="Z3873">
        <v>8.15</v>
      </c>
      <c r="AA3873">
        <v>20.92</v>
      </c>
      <c r="AB3873">
        <v>39047</v>
      </c>
      <c r="AC3873">
        <v>26649</v>
      </c>
      <c r="AD3873">
        <v>1.47</v>
      </c>
      <c r="AE3873">
        <v>53</v>
      </c>
      <c r="AF3873">
        <v>26</v>
      </c>
      <c r="AG3873" t="s">
        <v>120</v>
      </c>
      <c r="AH3873">
        <v>0.05</v>
      </c>
      <c r="AI3873" t="s">
        <v>120</v>
      </c>
      <c r="AJ3873">
        <v>0.4</v>
      </c>
      <c r="AK3873" t="s">
        <v>15871</v>
      </c>
      <c r="AL3873">
        <v>-3.98</v>
      </c>
      <c r="AM3873">
        <v>3236</v>
      </c>
      <c r="AN3873">
        <v>20</v>
      </c>
      <c r="AO3873">
        <v>5.1000000000000004E-3</v>
      </c>
      <c r="AP3873">
        <v>-1</v>
      </c>
      <c r="AQ3873">
        <v>1.82</v>
      </c>
      <c r="AR3873">
        <v>-6.94</v>
      </c>
      <c r="AS3873">
        <v>-16.66</v>
      </c>
      <c r="AT3873">
        <v>225.94</v>
      </c>
      <c r="AU3873">
        <v>225.94</v>
      </c>
      <c r="AV3873">
        <v>7</v>
      </c>
      <c r="AW3873">
        <v>16.38</v>
      </c>
      <c r="AX3873">
        <v>10.02</v>
      </c>
      <c r="AY3873">
        <v>29.8</v>
      </c>
      <c r="AZ3873">
        <v>36.33</v>
      </c>
      <c r="BA3873">
        <v>0</v>
      </c>
      <c r="BB3873" t="s">
        <v>143</v>
      </c>
      <c r="BF3873">
        <v>-1.51</v>
      </c>
      <c r="BG3873">
        <v>-4.37</v>
      </c>
      <c r="BH3873">
        <v>-7.71</v>
      </c>
      <c r="BI3873">
        <v>0.25</v>
      </c>
      <c r="BJ3873">
        <v>20210826</v>
      </c>
      <c r="BK3873">
        <v>20210630</v>
      </c>
      <c r="BL3873">
        <v>4</v>
      </c>
      <c r="BM3873" t="s">
        <v>120</v>
      </c>
      <c r="BN3873" t="s">
        <v>120</v>
      </c>
      <c r="BO3873">
        <v>37.32</v>
      </c>
      <c r="BP3873">
        <v>20.11</v>
      </c>
      <c r="BQ3873">
        <v>18.68</v>
      </c>
      <c r="BR3873">
        <v>3.84</v>
      </c>
      <c r="BS3873">
        <v>39.65</v>
      </c>
      <c r="BT3873">
        <v>12.93</v>
      </c>
      <c r="BU3873">
        <v>20.9</v>
      </c>
      <c r="BV3873">
        <v>1.1399999999999999</v>
      </c>
      <c r="BW3873">
        <v>9.27</v>
      </c>
      <c r="BX3873">
        <v>6.69</v>
      </c>
      <c r="BY3873">
        <v>0.72</v>
      </c>
      <c r="BZ3873">
        <v>2.11</v>
      </c>
      <c r="CA3873" t="s">
        <v>120</v>
      </c>
      <c r="CB3873">
        <v>7.16</v>
      </c>
      <c r="CC3873">
        <v>13.92</v>
      </c>
      <c r="CD3873">
        <v>11.68</v>
      </c>
      <c r="CE3873">
        <v>1.96</v>
      </c>
      <c r="CF3873">
        <v>0.34</v>
      </c>
      <c r="CG3873">
        <v>1.96</v>
      </c>
      <c r="CH3873">
        <v>1.74</v>
      </c>
      <c r="CI3873">
        <v>1.34</v>
      </c>
      <c r="CJ3873">
        <v>-1.1299999999999999</v>
      </c>
      <c r="CK3873">
        <v>1.1499999999999999</v>
      </c>
      <c r="CL3873">
        <v>6.77</v>
      </c>
      <c r="CM3873">
        <v>1.56</v>
      </c>
      <c r="CN3873">
        <v>2.2400000000000002</v>
      </c>
      <c r="CO3873">
        <v>48782</v>
      </c>
      <c r="CP3873">
        <v>822</v>
      </c>
      <c r="CQ3873" t="s">
        <v>15872</v>
      </c>
      <c r="CR3873">
        <v>0</v>
      </c>
      <c r="CS3873">
        <v>0</v>
      </c>
      <c r="CT3873">
        <v>4.3099999999999996</v>
      </c>
      <c r="CU3873">
        <v>51.55</v>
      </c>
      <c r="CV3873">
        <v>5.78</v>
      </c>
      <c r="CW3873">
        <v>0.85</v>
      </c>
      <c r="CX3873" t="s">
        <v>709</v>
      </c>
      <c r="CY3873">
        <v>4.67</v>
      </c>
      <c r="CZ3873">
        <v>0</v>
      </c>
      <c r="DA3873">
        <v>1.79</v>
      </c>
      <c r="DB3873">
        <v>1.69</v>
      </c>
      <c r="DC3873">
        <v>0.39</v>
      </c>
      <c r="DD3873">
        <v>50.05</v>
      </c>
      <c r="DE3873" t="s">
        <v>15873</v>
      </c>
      <c r="DF3873">
        <v>16.09</v>
      </c>
      <c r="DG3873">
        <v>14.09</v>
      </c>
      <c r="DH3873">
        <v>9.59</v>
      </c>
      <c r="DI3873">
        <v>0.01</v>
      </c>
      <c r="DJ3873">
        <v>804</v>
      </c>
      <c r="DK3873">
        <v>605011</v>
      </c>
      <c r="DL3873" t="s">
        <v>120</v>
      </c>
      <c r="DM3873" t="s">
        <v>120</v>
      </c>
      <c r="DN3873" t="s">
        <v>120</v>
      </c>
    </row>
    <row r="3874" spans="1:118">
      <c r="A3874" t="str">
        <f>"605016"</f>
        <v>605016</v>
      </c>
      <c r="B3874" t="s">
        <v>15874</v>
      </c>
      <c r="C3874">
        <v>-1</v>
      </c>
      <c r="D3874">
        <v>-0.08</v>
      </c>
      <c r="E3874">
        <v>1.55</v>
      </c>
      <c r="F3874">
        <v>193</v>
      </c>
      <c r="G3874" t="s">
        <v>15875</v>
      </c>
      <c r="H3874">
        <v>4681.1099999999997</v>
      </c>
      <c r="I3874">
        <v>55.61</v>
      </c>
      <c r="J3874" t="s">
        <v>120</v>
      </c>
      <c r="K3874" t="s">
        <v>15875</v>
      </c>
      <c r="L3874">
        <v>4.4800000000000004</v>
      </c>
      <c r="M3874">
        <v>32.659999999999997</v>
      </c>
      <c r="N3874">
        <v>0.66</v>
      </c>
      <c r="O3874">
        <v>1.55</v>
      </c>
      <c r="P3874">
        <v>33.5</v>
      </c>
      <c r="Q3874">
        <v>-1.27</v>
      </c>
      <c r="R3874">
        <v>32.57</v>
      </c>
      <c r="S3874">
        <v>33.5</v>
      </c>
      <c r="T3874">
        <v>14237</v>
      </c>
      <c r="U3874">
        <v>32.659999999999997</v>
      </c>
      <c r="V3874">
        <v>32.99</v>
      </c>
      <c r="W3874">
        <v>39.99</v>
      </c>
      <c r="X3874" t="s">
        <v>847</v>
      </c>
      <c r="Y3874" t="s">
        <v>638</v>
      </c>
      <c r="Z3874">
        <v>2.82</v>
      </c>
      <c r="AA3874">
        <v>32.880000000000003</v>
      </c>
      <c r="AB3874">
        <v>7469</v>
      </c>
      <c r="AC3874">
        <v>6768</v>
      </c>
      <c r="AD3874">
        <v>1.1000000000000001</v>
      </c>
      <c r="AE3874">
        <v>8</v>
      </c>
      <c r="AF3874">
        <v>43</v>
      </c>
      <c r="AG3874" t="s">
        <v>120</v>
      </c>
      <c r="AH3874">
        <v>0.05</v>
      </c>
      <c r="AI3874" t="s">
        <v>120</v>
      </c>
      <c r="AJ3874">
        <v>0.32</v>
      </c>
      <c r="AK3874" t="s">
        <v>15876</v>
      </c>
      <c r="AL3874">
        <v>0.34</v>
      </c>
      <c r="AM3874">
        <v>1476</v>
      </c>
      <c r="AN3874">
        <v>10</v>
      </c>
      <c r="AO3874">
        <v>3.0000000000000001E-3</v>
      </c>
      <c r="AP3874">
        <v>-1</v>
      </c>
      <c r="AQ3874">
        <v>1.2</v>
      </c>
      <c r="AR3874">
        <v>-1.02</v>
      </c>
      <c r="AS3874">
        <v>12.24</v>
      </c>
      <c r="AT3874">
        <v>1.87</v>
      </c>
      <c r="AU3874">
        <v>123.39</v>
      </c>
      <c r="AV3874">
        <v>8</v>
      </c>
      <c r="AW3874">
        <v>4.4800000000000004</v>
      </c>
      <c r="AX3874">
        <v>25.08</v>
      </c>
      <c r="AY3874">
        <v>43.26</v>
      </c>
      <c r="AZ3874">
        <v>43.78</v>
      </c>
      <c r="BA3874">
        <v>1.17</v>
      </c>
      <c r="BB3874" t="s">
        <v>125</v>
      </c>
      <c r="BF3874">
        <v>-0.34</v>
      </c>
      <c r="BG3874">
        <v>-2.5099999999999998</v>
      </c>
      <c r="BH3874">
        <v>-2.5099999999999998</v>
      </c>
      <c r="BI3874">
        <v>0.28000000000000003</v>
      </c>
      <c r="BJ3874">
        <v>20210913</v>
      </c>
      <c r="BK3874">
        <v>20210421</v>
      </c>
      <c r="BL3874">
        <v>1.27</v>
      </c>
      <c r="BM3874" t="s">
        <v>120</v>
      </c>
      <c r="BN3874" t="s">
        <v>120</v>
      </c>
      <c r="BO3874">
        <v>12.68</v>
      </c>
      <c r="BP3874">
        <v>32.65</v>
      </c>
      <c r="BQ3874">
        <v>11.5</v>
      </c>
      <c r="BR3874" t="s">
        <v>120</v>
      </c>
      <c r="BS3874">
        <v>9.26</v>
      </c>
      <c r="BT3874">
        <v>8.1999999999999993</v>
      </c>
      <c r="BU3874">
        <v>3.6</v>
      </c>
      <c r="BV3874">
        <v>0.16</v>
      </c>
      <c r="BW3874">
        <v>1.0900000000000001</v>
      </c>
      <c r="BX3874">
        <v>5.37</v>
      </c>
      <c r="BY3874">
        <v>0.96</v>
      </c>
      <c r="BZ3874">
        <v>1.67</v>
      </c>
      <c r="CA3874" t="s">
        <v>120</v>
      </c>
      <c r="CB3874">
        <v>6.31</v>
      </c>
      <c r="CC3874">
        <v>3.06</v>
      </c>
      <c r="CD3874">
        <v>2.2400000000000002</v>
      </c>
      <c r="CE3874">
        <v>0.61</v>
      </c>
      <c r="CF3874">
        <v>0.02</v>
      </c>
      <c r="CG3874">
        <v>0.6</v>
      </c>
      <c r="CH3874">
        <v>0.52</v>
      </c>
      <c r="CI3874">
        <v>0.52</v>
      </c>
      <c r="CJ3874">
        <v>-0.33</v>
      </c>
      <c r="CK3874">
        <v>0.48</v>
      </c>
      <c r="CL3874">
        <v>3.46</v>
      </c>
      <c r="CM3874">
        <v>0.15</v>
      </c>
      <c r="CN3874">
        <v>3.92</v>
      </c>
      <c r="CO3874">
        <v>12697</v>
      </c>
      <c r="CP3874">
        <v>2505</v>
      </c>
      <c r="CQ3874" t="s">
        <v>5342</v>
      </c>
      <c r="CR3874">
        <v>0</v>
      </c>
      <c r="CS3874">
        <v>0</v>
      </c>
      <c r="CT3874">
        <v>3.6</v>
      </c>
      <c r="CU3874">
        <v>270.52</v>
      </c>
      <c r="CV3874">
        <v>13.51</v>
      </c>
      <c r="CW3874">
        <v>0</v>
      </c>
      <c r="CX3874" t="s">
        <v>3347</v>
      </c>
      <c r="CY3874">
        <v>9.07</v>
      </c>
      <c r="CZ3874">
        <v>0</v>
      </c>
      <c r="DA3874">
        <v>4.97</v>
      </c>
      <c r="DB3874">
        <v>2.73</v>
      </c>
      <c r="DC3874">
        <v>0.12</v>
      </c>
      <c r="DD3874">
        <v>90.74</v>
      </c>
      <c r="DE3874" t="s">
        <v>3283</v>
      </c>
      <c r="DF3874">
        <v>26.85</v>
      </c>
      <c r="DG3874">
        <v>19.75</v>
      </c>
      <c r="DH3874">
        <v>16.899999999999999</v>
      </c>
      <c r="DI3874">
        <v>0.05</v>
      </c>
      <c r="DJ3874">
        <v>531</v>
      </c>
      <c r="DK3874">
        <v>605016</v>
      </c>
      <c r="DL3874" t="s">
        <v>120</v>
      </c>
      <c r="DM3874" t="s">
        <v>120</v>
      </c>
      <c r="DN3874" t="s">
        <v>120</v>
      </c>
    </row>
    <row r="3875" spans="1:118">
      <c r="A3875" t="str">
        <f>"605018"</f>
        <v>605018</v>
      </c>
      <c r="B3875" t="s">
        <v>15877</v>
      </c>
      <c r="C3875">
        <v>-7.09</v>
      </c>
      <c r="D3875">
        <v>0.14000000000000001</v>
      </c>
      <c r="E3875">
        <v>-0.33</v>
      </c>
      <c r="F3875">
        <v>912</v>
      </c>
      <c r="G3875" t="s">
        <v>6681</v>
      </c>
      <c r="H3875">
        <v>12070.85</v>
      </c>
      <c r="I3875">
        <v>322.37</v>
      </c>
      <c r="J3875" t="s">
        <v>120</v>
      </c>
      <c r="K3875" t="s">
        <v>6681</v>
      </c>
      <c r="L3875">
        <v>20.03</v>
      </c>
      <c r="M3875">
        <v>14.03</v>
      </c>
      <c r="N3875">
        <v>0.97</v>
      </c>
      <c r="O3875">
        <v>-0.33</v>
      </c>
      <c r="P3875">
        <v>15.05</v>
      </c>
      <c r="Q3875">
        <v>-7.42</v>
      </c>
      <c r="R3875">
        <v>13.98</v>
      </c>
      <c r="S3875">
        <v>15.05</v>
      </c>
      <c r="T3875">
        <v>83475</v>
      </c>
      <c r="U3875">
        <v>14.05</v>
      </c>
      <c r="V3875">
        <v>15.1</v>
      </c>
      <c r="W3875">
        <v>33.07</v>
      </c>
      <c r="X3875" t="s">
        <v>289</v>
      </c>
      <c r="Y3875" t="s">
        <v>585</v>
      </c>
      <c r="Z3875">
        <v>7.09</v>
      </c>
      <c r="AA3875">
        <v>14.46</v>
      </c>
      <c r="AB3875">
        <v>54082</v>
      </c>
      <c r="AC3875">
        <v>29393</v>
      </c>
      <c r="AD3875">
        <v>1.84</v>
      </c>
      <c r="AE3875">
        <v>314</v>
      </c>
      <c r="AF3875">
        <v>33</v>
      </c>
      <c r="AG3875" t="s">
        <v>120</v>
      </c>
      <c r="AH3875">
        <v>0.51</v>
      </c>
      <c r="AI3875" t="s">
        <v>120</v>
      </c>
      <c r="AJ3875">
        <v>0.42</v>
      </c>
      <c r="AK3875" t="s">
        <v>15878</v>
      </c>
      <c r="AL3875">
        <v>-5.74</v>
      </c>
      <c r="AM3875">
        <v>2648</v>
      </c>
      <c r="AN3875">
        <v>32</v>
      </c>
      <c r="AO3875">
        <v>7.6E-3</v>
      </c>
      <c r="AP3875">
        <v>-2</v>
      </c>
      <c r="AQ3875">
        <v>-1.63</v>
      </c>
      <c r="AR3875">
        <v>-6.53</v>
      </c>
      <c r="AS3875">
        <v>3.31</v>
      </c>
      <c r="AT3875">
        <v>8.25</v>
      </c>
      <c r="AU3875">
        <v>15</v>
      </c>
      <c r="AV3875">
        <v>14</v>
      </c>
      <c r="AW3875">
        <v>20.03</v>
      </c>
      <c r="AX3875">
        <v>10</v>
      </c>
      <c r="AY3875">
        <v>25.99</v>
      </c>
      <c r="AZ3875">
        <v>31.35</v>
      </c>
      <c r="BA3875">
        <v>0.76</v>
      </c>
      <c r="BB3875" t="s">
        <v>143</v>
      </c>
      <c r="BF3875">
        <v>-4.24</v>
      </c>
      <c r="BG3875">
        <v>-6.78</v>
      </c>
      <c r="BH3875">
        <v>-6.78</v>
      </c>
      <c r="BI3875">
        <v>0.36</v>
      </c>
      <c r="BJ3875">
        <v>20210827</v>
      </c>
      <c r="BK3875">
        <v>20200929</v>
      </c>
      <c r="BL3875">
        <v>4.17</v>
      </c>
      <c r="BM3875" t="s">
        <v>120</v>
      </c>
      <c r="BN3875" t="s">
        <v>120</v>
      </c>
      <c r="BO3875">
        <v>23.49</v>
      </c>
      <c r="BP3875">
        <v>14.03</v>
      </c>
      <c r="BQ3875">
        <v>19.510000000000002</v>
      </c>
      <c r="BR3875" t="s">
        <v>120</v>
      </c>
      <c r="BS3875">
        <v>16.96</v>
      </c>
      <c r="BT3875">
        <v>10.14</v>
      </c>
      <c r="BU3875">
        <v>6.1</v>
      </c>
      <c r="BV3875">
        <v>1.92</v>
      </c>
      <c r="BW3875">
        <v>3.31</v>
      </c>
      <c r="BX3875">
        <v>2.63</v>
      </c>
      <c r="BY3875">
        <v>3.78</v>
      </c>
      <c r="BZ3875">
        <v>1.56</v>
      </c>
      <c r="CA3875" t="s">
        <v>120</v>
      </c>
      <c r="CB3875">
        <v>7.85</v>
      </c>
      <c r="CC3875">
        <v>7.08</v>
      </c>
      <c r="CD3875">
        <v>5.29</v>
      </c>
      <c r="CE3875">
        <v>1</v>
      </c>
      <c r="CF3875">
        <v>0.25</v>
      </c>
      <c r="CG3875">
        <v>0.99</v>
      </c>
      <c r="CH3875">
        <v>0.88</v>
      </c>
      <c r="CI3875">
        <v>0.88</v>
      </c>
      <c r="CJ3875">
        <v>-1.07</v>
      </c>
      <c r="CK3875">
        <v>0.87</v>
      </c>
      <c r="CL3875">
        <v>7.08</v>
      </c>
      <c r="CM3875">
        <v>1.24</v>
      </c>
      <c r="CN3875">
        <v>-1.92</v>
      </c>
      <c r="CO3875">
        <v>15236</v>
      </c>
      <c r="CP3875">
        <v>2736</v>
      </c>
      <c r="CQ3875" t="s">
        <v>1986</v>
      </c>
      <c r="CR3875">
        <v>87.79</v>
      </c>
      <c r="CS3875">
        <v>29.87</v>
      </c>
      <c r="CT3875">
        <v>3</v>
      </c>
      <c r="CU3875">
        <v>47.25</v>
      </c>
      <c r="CV3875">
        <v>8.25</v>
      </c>
      <c r="CW3875">
        <v>1.32</v>
      </c>
      <c r="CX3875" t="s">
        <v>2097</v>
      </c>
      <c r="CY3875">
        <v>4.68</v>
      </c>
      <c r="CZ3875">
        <v>0</v>
      </c>
      <c r="DA3875">
        <v>1.89</v>
      </c>
      <c r="DB3875">
        <v>1.7</v>
      </c>
      <c r="DC3875">
        <v>0.3</v>
      </c>
      <c r="DD3875">
        <v>83.04</v>
      </c>
      <c r="DE3875" t="s">
        <v>13371</v>
      </c>
      <c r="DF3875">
        <v>25.36</v>
      </c>
      <c r="DG3875">
        <v>14.12</v>
      </c>
      <c r="DH3875">
        <v>12.48</v>
      </c>
      <c r="DI3875">
        <v>0.43</v>
      </c>
      <c r="DJ3875">
        <v>2286</v>
      </c>
      <c r="DK3875">
        <v>605018</v>
      </c>
      <c r="DL3875" t="s">
        <v>120</v>
      </c>
      <c r="DM3875" t="s">
        <v>120</v>
      </c>
      <c r="DN3875" t="s">
        <v>120</v>
      </c>
    </row>
    <row r="3876" spans="1:118">
      <c r="A3876" t="str">
        <f>"605020"</f>
        <v>605020</v>
      </c>
      <c r="B3876" t="s">
        <v>15879</v>
      </c>
      <c r="C3876">
        <v>-4.24</v>
      </c>
      <c r="D3876">
        <v>-0.12</v>
      </c>
      <c r="E3876">
        <v>6.56</v>
      </c>
      <c r="F3876">
        <v>1452</v>
      </c>
      <c r="G3876" t="s">
        <v>8371</v>
      </c>
      <c r="H3876">
        <v>80915.990000000005</v>
      </c>
      <c r="I3876">
        <v>2032.44</v>
      </c>
      <c r="J3876" t="s">
        <v>120</v>
      </c>
      <c r="K3876" t="s">
        <v>8371</v>
      </c>
      <c r="L3876">
        <v>25.2</v>
      </c>
      <c r="M3876">
        <v>44.99</v>
      </c>
      <c r="N3876">
        <v>1.77</v>
      </c>
      <c r="O3876">
        <v>9.73</v>
      </c>
      <c r="P3876">
        <v>51.55</v>
      </c>
      <c r="Q3876">
        <v>-4.28</v>
      </c>
      <c r="R3876">
        <v>44.97</v>
      </c>
      <c r="S3876">
        <v>50.06</v>
      </c>
      <c r="T3876">
        <v>167984</v>
      </c>
      <c r="U3876">
        <v>44.99</v>
      </c>
      <c r="V3876">
        <v>46.98</v>
      </c>
      <c r="W3876">
        <v>55.43</v>
      </c>
      <c r="X3876" t="s">
        <v>868</v>
      </c>
      <c r="Y3876" t="s">
        <v>585</v>
      </c>
      <c r="Z3876">
        <v>14.01</v>
      </c>
      <c r="AA3876">
        <v>48.17</v>
      </c>
      <c r="AB3876">
        <v>89001</v>
      </c>
      <c r="AC3876">
        <v>78983</v>
      </c>
      <c r="AD3876">
        <v>1.1299999999999999</v>
      </c>
      <c r="AE3876">
        <v>15</v>
      </c>
      <c r="AF3876">
        <v>273</v>
      </c>
      <c r="AG3876" t="s">
        <v>120</v>
      </c>
      <c r="AH3876">
        <v>0.61</v>
      </c>
      <c r="AI3876" t="s">
        <v>120</v>
      </c>
      <c r="AJ3876">
        <v>0.67</v>
      </c>
      <c r="AK3876" t="s">
        <v>12768</v>
      </c>
      <c r="AL3876">
        <v>-2.89</v>
      </c>
      <c r="AM3876">
        <v>4085</v>
      </c>
      <c r="AN3876">
        <v>41</v>
      </c>
      <c r="AO3876">
        <v>6.1999999999999998E-3</v>
      </c>
      <c r="AP3876">
        <v>-1</v>
      </c>
      <c r="AQ3876">
        <v>10</v>
      </c>
      <c r="AR3876">
        <v>1.89</v>
      </c>
      <c r="AS3876">
        <v>12.23</v>
      </c>
      <c r="AT3876">
        <v>549.20000000000005</v>
      </c>
      <c r="AU3876">
        <v>549.20000000000005</v>
      </c>
      <c r="AV3876">
        <v>9</v>
      </c>
      <c r="AW3876">
        <v>25.2</v>
      </c>
      <c r="AX3876">
        <v>25</v>
      </c>
      <c r="AY3876">
        <v>85.92</v>
      </c>
      <c r="AZ3876">
        <v>123.08</v>
      </c>
      <c r="BA3876">
        <v>0</v>
      </c>
      <c r="BB3876" t="s">
        <v>168</v>
      </c>
      <c r="BF3876">
        <v>2.5299999999999998</v>
      </c>
      <c r="BG3876">
        <v>-10.130000000000001</v>
      </c>
      <c r="BH3876">
        <v>-12.73</v>
      </c>
      <c r="BI3876">
        <v>0.04</v>
      </c>
      <c r="BJ3876">
        <v>20210830</v>
      </c>
      <c r="BK3876">
        <v>20210709</v>
      </c>
      <c r="BL3876">
        <v>2.67</v>
      </c>
      <c r="BM3876" t="s">
        <v>120</v>
      </c>
      <c r="BN3876" t="s">
        <v>120</v>
      </c>
      <c r="BO3876">
        <v>27.82</v>
      </c>
      <c r="BP3876">
        <v>44.98</v>
      </c>
      <c r="BQ3876">
        <v>14.44</v>
      </c>
      <c r="BR3876">
        <v>0.01</v>
      </c>
      <c r="BS3876">
        <v>48.04</v>
      </c>
      <c r="BT3876">
        <v>11.36</v>
      </c>
      <c r="BU3876">
        <v>9.41</v>
      </c>
      <c r="BV3876">
        <v>1.38</v>
      </c>
      <c r="BW3876">
        <v>12.4</v>
      </c>
      <c r="BX3876">
        <v>1.61</v>
      </c>
      <c r="BY3876">
        <v>3.3</v>
      </c>
      <c r="BZ3876">
        <v>2.33</v>
      </c>
      <c r="CA3876" t="s">
        <v>120</v>
      </c>
      <c r="CB3876">
        <v>3.74</v>
      </c>
      <c r="CC3876">
        <v>12.61</v>
      </c>
      <c r="CD3876">
        <v>9.93</v>
      </c>
      <c r="CE3876">
        <v>1.41</v>
      </c>
      <c r="CF3876">
        <v>0.01</v>
      </c>
      <c r="CG3876">
        <v>1.39</v>
      </c>
      <c r="CH3876">
        <v>1.08</v>
      </c>
      <c r="CI3876">
        <v>1.08</v>
      </c>
      <c r="CJ3876">
        <v>-1.99</v>
      </c>
      <c r="CK3876">
        <v>1.04</v>
      </c>
      <c r="CL3876">
        <v>7.73</v>
      </c>
      <c r="CM3876">
        <v>0.99</v>
      </c>
      <c r="CN3876">
        <v>0.23</v>
      </c>
      <c r="CO3876">
        <v>72777</v>
      </c>
      <c r="CP3876">
        <v>916</v>
      </c>
      <c r="CQ3876" t="s">
        <v>10766</v>
      </c>
      <c r="CR3876">
        <v>0</v>
      </c>
      <c r="CS3876">
        <v>0</v>
      </c>
      <c r="CT3876">
        <v>6.44</v>
      </c>
      <c r="CU3876">
        <v>120.86</v>
      </c>
      <c r="CV3876">
        <v>9.52</v>
      </c>
      <c r="CW3876">
        <v>0</v>
      </c>
      <c r="CX3876" t="s">
        <v>263</v>
      </c>
      <c r="CY3876">
        <v>6.98</v>
      </c>
      <c r="CZ3876">
        <v>6.98</v>
      </c>
      <c r="DA3876">
        <v>1.4</v>
      </c>
      <c r="DB3876">
        <v>2.9</v>
      </c>
      <c r="DC3876">
        <v>0.37</v>
      </c>
      <c r="DD3876">
        <v>51.91</v>
      </c>
      <c r="DE3876" t="s">
        <v>15880</v>
      </c>
      <c r="DF3876">
        <v>21.23</v>
      </c>
      <c r="DG3876">
        <v>11.16</v>
      </c>
      <c r="DH3876">
        <v>8.59</v>
      </c>
      <c r="DI3876">
        <v>0.17</v>
      </c>
      <c r="DJ3876">
        <v>1696</v>
      </c>
      <c r="DK3876">
        <v>605020</v>
      </c>
      <c r="DL3876">
        <v>20210728</v>
      </c>
      <c r="DM3876">
        <v>31.35</v>
      </c>
      <c r="DN3876">
        <v>43.51</v>
      </c>
    </row>
    <row r="3877" spans="1:118">
      <c r="A3877" t="str">
        <f>"605028"</f>
        <v>605028</v>
      </c>
      <c r="B3877" t="s">
        <v>15881</v>
      </c>
      <c r="C3877">
        <v>-4.0199999999999996</v>
      </c>
      <c r="D3877">
        <v>0.05</v>
      </c>
      <c r="E3877">
        <v>0.17</v>
      </c>
      <c r="F3877">
        <v>283</v>
      </c>
      <c r="G3877" t="s">
        <v>15882</v>
      </c>
      <c r="H3877">
        <v>7923.25</v>
      </c>
      <c r="I3877">
        <v>20.39</v>
      </c>
      <c r="J3877" t="s">
        <v>120</v>
      </c>
      <c r="K3877" t="s">
        <v>15882</v>
      </c>
      <c r="L3877">
        <v>8.7200000000000006</v>
      </c>
      <c r="M3877">
        <v>22.2</v>
      </c>
      <c r="N3877">
        <v>0.52</v>
      </c>
      <c r="O3877">
        <v>0.69</v>
      </c>
      <c r="P3877">
        <v>23.29</v>
      </c>
      <c r="Q3877">
        <v>-4.37</v>
      </c>
      <c r="R3877">
        <v>22.12</v>
      </c>
      <c r="S3877">
        <v>23.17</v>
      </c>
      <c r="T3877">
        <v>34897</v>
      </c>
      <c r="U3877">
        <v>22.22</v>
      </c>
      <c r="V3877">
        <v>23.13</v>
      </c>
      <c r="W3877">
        <v>21.3</v>
      </c>
      <c r="X3877" t="s">
        <v>684</v>
      </c>
      <c r="Y3877" t="s">
        <v>585</v>
      </c>
      <c r="Z3877">
        <v>5.0599999999999996</v>
      </c>
      <c r="AA3877">
        <v>22.7</v>
      </c>
      <c r="AB3877">
        <v>22931</v>
      </c>
      <c r="AC3877">
        <v>11966</v>
      </c>
      <c r="AD3877">
        <v>1.92</v>
      </c>
      <c r="AE3877">
        <v>190</v>
      </c>
      <c r="AF3877">
        <v>6</v>
      </c>
      <c r="AG3877" t="s">
        <v>120</v>
      </c>
      <c r="AH3877">
        <v>0.02</v>
      </c>
      <c r="AI3877" t="s">
        <v>120</v>
      </c>
      <c r="AJ3877">
        <v>0.4</v>
      </c>
      <c r="AK3877" t="s">
        <v>10263</v>
      </c>
      <c r="AL3877">
        <v>-2.68</v>
      </c>
      <c r="AM3877">
        <v>2333</v>
      </c>
      <c r="AN3877">
        <v>15</v>
      </c>
      <c r="AO3877">
        <v>3.7000000000000002E-3</v>
      </c>
      <c r="AP3877">
        <v>-1</v>
      </c>
      <c r="AQ3877">
        <v>1</v>
      </c>
      <c r="AR3877">
        <v>-8.42</v>
      </c>
      <c r="AS3877">
        <v>-4.8499999999999996</v>
      </c>
      <c r="AT3877">
        <v>56.56</v>
      </c>
      <c r="AU3877">
        <v>56.56</v>
      </c>
      <c r="AV3877">
        <v>2</v>
      </c>
      <c r="AW3877">
        <v>8.7200000000000006</v>
      </c>
      <c r="AX3877">
        <v>25</v>
      </c>
      <c r="AY3877">
        <v>22.67</v>
      </c>
      <c r="AZ3877">
        <v>30.53</v>
      </c>
      <c r="BA3877">
        <v>0</v>
      </c>
      <c r="BB3877" t="s">
        <v>143</v>
      </c>
      <c r="BF3877">
        <v>-1.84</v>
      </c>
      <c r="BG3877">
        <v>-4.1900000000000004</v>
      </c>
      <c r="BH3877">
        <v>-4.68</v>
      </c>
      <c r="BI3877">
        <v>0.36</v>
      </c>
      <c r="BJ3877">
        <v>20210825</v>
      </c>
      <c r="BK3877">
        <v>20210712</v>
      </c>
      <c r="BL3877">
        <v>1.6</v>
      </c>
      <c r="BM3877" t="s">
        <v>120</v>
      </c>
      <c r="BN3877" t="s">
        <v>120</v>
      </c>
      <c r="BO3877">
        <v>6.26</v>
      </c>
      <c r="BP3877">
        <v>22.2</v>
      </c>
      <c r="BQ3877">
        <v>5.19</v>
      </c>
      <c r="BR3877" t="s">
        <v>120</v>
      </c>
      <c r="BS3877">
        <v>17.190000000000001</v>
      </c>
      <c r="BT3877">
        <v>2.4300000000000002</v>
      </c>
      <c r="BU3877">
        <v>3.34</v>
      </c>
      <c r="BV3877">
        <v>0.31</v>
      </c>
      <c r="BW3877">
        <v>0.72</v>
      </c>
      <c r="BX3877">
        <v>1.21</v>
      </c>
      <c r="BY3877">
        <v>0.09</v>
      </c>
      <c r="BZ3877">
        <v>0.73</v>
      </c>
      <c r="CA3877" t="s">
        <v>120</v>
      </c>
      <c r="CB3877">
        <v>0.79</v>
      </c>
      <c r="CC3877">
        <v>1.84</v>
      </c>
      <c r="CD3877">
        <v>0.66</v>
      </c>
      <c r="CE3877">
        <v>0.99</v>
      </c>
      <c r="CF3877">
        <v>0</v>
      </c>
      <c r="CG3877">
        <v>0.97</v>
      </c>
      <c r="CH3877">
        <v>0.83</v>
      </c>
      <c r="CI3877">
        <v>0.83</v>
      </c>
      <c r="CJ3877">
        <v>-0.93</v>
      </c>
      <c r="CK3877">
        <v>0.82</v>
      </c>
      <c r="CL3877">
        <v>2.88</v>
      </c>
      <c r="CM3877">
        <v>0.85</v>
      </c>
      <c r="CN3877">
        <v>0.73</v>
      </c>
      <c r="CO3877">
        <v>48201</v>
      </c>
      <c r="CP3877">
        <v>830</v>
      </c>
      <c r="CQ3877" t="s">
        <v>15883</v>
      </c>
      <c r="CR3877">
        <v>0</v>
      </c>
      <c r="CS3877">
        <v>0</v>
      </c>
      <c r="CT3877">
        <v>3.48</v>
      </c>
      <c r="CU3877">
        <v>41.55</v>
      </c>
      <c r="CV3877">
        <v>19.34</v>
      </c>
      <c r="CW3877">
        <v>2.16</v>
      </c>
      <c r="CX3877" t="s">
        <v>2797</v>
      </c>
      <c r="CY3877">
        <v>6.38</v>
      </c>
      <c r="CZ3877">
        <v>6.38</v>
      </c>
      <c r="DA3877">
        <v>0.49</v>
      </c>
      <c r="DB3877">
        <v>1.8</v>
      </c>
      <c r="DC3877">
        <v>0.53</v>
      </c>
      <c r="DD3877">
        <v>82.81</v>
      </c>
      <c r="DE3877" t="s">
        <v>15884</v>
      </c>
      <c r="DF3877">
        <v>64.06</v>
      </c>
      <c r="DG3877">
        <v>53.66</v>
      </c>
      <c r="DH3877">
        <v>45.39</v>
      </c>
      <c r="DI3877">
        <v>0.06</v>
      </c>
      <c r="DJ3877">
        <v>181</v>
      </c>
      <c r="DK3877">
        <v>605028</v>
      </c>
      <c r="DL3877" t="s">
        <v>120</v>
      </c>
      <c r="DM3877" t="s">
        <v>120</v>
      </c>
      <c r="DN3877" t="s">
        <v>120</v>
      </c>
    </row>
    <row r="3878" spans="1:118">
      <c r="A3878" t="str">
        <f>"605050"</f>
        <v>605050</v>
      </c>
      <c r="B3878" t="s">
        <v>15885</v>
      </c>
      <c r="C3878">
        <v>-2.4500000000000002</v>
      </c>
      <c r="D3878">
        <v>-0.08</v>
      </c>
      <c r="E3878">
        <v>0.96</v>
      </c>
      <c r="F3878">
        <v>374</v>
      </c>
      <c r="G3878" t="s">
        <v>9374</v>
      </c>
      <c r="H3878">
        <v>2159.73</v>
      </c>
      <c r="I3878">
        <v>16.53</v>
      </c>
      <c r="J3878" t="s">
        <v>120</v>
      </c>
      <c r="K3878" t="s">
        <v>9374</v>
      </c>
      <c r="L3878">
        <v>2.5499999999999998</v>
      </c>
      <c r="M3878">
        <v>11.17</v>
      </c>
      <c r="N3878">
        <v>0.84</v>
      </c>
      <c r="O3878">
        <v>0.96</v>
      </c>
      <c r="P3878">
        <v>11.56</v>
      </c>
      <c r="Q3878">
        <v>-2.88</v>
      </c>
      <c r="R3878">
        <v>11.12</v>
      </c>
      <c r="S3878">
        <v>11.56</v>
      </c>
      <c r="T3878">
        <v>19093</v>
      </c>
      <c r="U3878">
        <v>11.17</v>
      </c>
      <c r="V3878">
        <v>11.45</v>
      </c>
      <c r="W3878">
        <v>13</v>
      </c>
      <c r="X3878" t="s">
        <v>2775</v>
      </c>
      <c r="Y3878" t="s">
        <v>1510</v>
      </c>
      <c r="Z3878">
        <v>3.84</v>
      </c>
      <c r="AA3878">
        <v>11.31</v>
      </c>
      <c r="AB3878">
        <v>13305</v>
      </c>
      <c r="AC3878">
        <v>5788</v>
      </c>
      <c r="AD3878">
        <v>2.2999999999999998</v>
      </c>
      <c r="AE3878">
        <v>16</v>
      </c>
      <c r="AF3878">
        <v>122</v>
      </c>
      <c r="AG3878" t="s">
        <v>120</v>
      </c>
      <c r="AH3878">
        <v>0.02</v>
      </c>
      <c r="AI3878" t="s">
        <v>120</v>
      </c>
      <c r="AJ3878">
        <v>0.75</v>
      </c>
      <c r="AK3878" t="s">
        <v>4239</v>
      </c>
      <c r="AL3878">
        <v>-1.1000000000000001</v>
      </c>
      <c r="AM3878">
        <v>1047</v>
      </c>
      <c r="AN3878">
        <v>18</v>
      </c>
      <c r="AO3878">
        <v>2.3999999999999998E-3</v>
      </c>
      <c r="AP3878">
        <v>-1</v>
      </c>
      <c r="AQ3878">
        <v>0.44</v>
      </c>
      <c r="AR3878">
        <v>-3.53</v>
      </c>
      <c r="AS3878">
        <v>3.23</v>
      </c>
      <c r="AT3878">
        <v>3.43</v>
      </c>
      <c r="AU3878">
        <v>5.48</v>
      </c>
      <c r="AV3878">
        <v>1</v>
      </c>
      <c r="AW3878">
        <v>2.5499999999999998</v>
      </c>
      <c r="AX3878">
        <v>17.239999999999998</v>
      </c>
      <c r="AY3878">
        <v>13.06</v>
      </c>
      <c r="AZ3878">
        <v>16.23</v>
      </c>
      <c r="BA3878">
        <v>0.48</v>
      </c>
      <c r="BB3878" t="s">
        <v>184</v>
      </c>
      <c r="BF3878">
        <v>-1.21</v>
      </c>
      <c r="BG3878">
        <v>-3.37</v>
      </c>
      <c r="BH3878">
        <v>-3.37</v>
      </c>
      <c r="BI3878">
        <v>0.45</v>
      </c>
      <c r="BJ3878">
        <v>20210906</v>
      </c>
      <c r="BK3878">
        <v>20200924</v>
      </c>
      <c r="BL3878">
        <v>4.3499999999999996</v>
      </c>
      <c r="BM3878" t="s">
        <v>120</v>
      </c>
      <c r="BN3878" t="s">
        <v>120</v>
      </c>
      <c r="BO3878">
        <v>60.09</v>
      </c>
      <c r="BP3878">
        <v>11.16</v>
      </c>
      <c r="BQ3878">
        <v>29.92</v>
      </c>
      <c r="BR3878">
        <v>0.98</v>
      </c>
      <c r="BS3878">
        <v>48.59</v>
      </c>
      <c r="BT3878">
        <v>54.51</v>
      </c>
      <c r="BU3878">
        <v>4.1100000000000003</v>
      </c>
      <c r="BV3878">
        <v>1</v>
      </c>
      <c r="BW3878">
        <v>29.13</v>
      </c>
      <c r="BX3878">
        <v>10.66</v>
      </c>
      <c r="BY3878">
        <v>14.2</v>
      </c>
      <c r="BZ3878">
        <v>9.8800000000000008</v>
      </c>
      <c r="CA3878" t="s">
        <v>120</v>
      </c>
      <c r="CB3878">
        <v>13.93</v>
      </c>
      <c r="CC3878">
        <v>44.99</v>
      </c>
      <c r="CD3878">
        <v>42.17</v>
      </c>
      <c r="CE3878">
        <v>2.44</v>
      </c>
      <c r="CF3878">
        <v>0</v>
      </c>
      <c r="CG3878">
        <v>2.4500000000000002</v>
      </c>
      <c r="CH3878">
        <v>1.85</v>
      </c>
      <c r="CI3878">
        <v>1.87</v>
      </c>
      <c r="CJ3878">
        <v>-0.28000000000000003</v>
      </c>
      <c r="CK3878">
        <v>1.73</v>
      </c>
      <c r="CL3878">
        <v>10.6</v>
      </c>
      <c r="CM3878">
        <v>-1.97</v>
      </c>
      <c r="CN3878">
        <v>0.56000000000000005</v>
      </c>
      <c r="CO3878">
        <v>20000</v>
      </c>
      <c r="CP3878">
        <v>3750</v>
      </c>
      <c r="CQ3878" t="s">
        <v>1993</v>
      </c>
      <c r="CR3878">
        <v>66.260000000000005</v>
      </c>
      <c r="CS3878">
        <v>82.02</v>
      </c>
      <c r="CT3878">
        <v>1.62</v>
      </c>
      <c r="CU3878">
        <v>-24.66</v>
      </c>
      <c r="CV3878">
        <v>1.08</v>
      </c>
      <c r="CW3878">
        <v>1.92</v>
      </c>
      <c r="CX3878" t="s">
        <v>1462</v>
      </c>
      <c r="CY3878">
        <v>6.88</v>
      </c>
      <c r="CZ3878">
        <v>0</v>
      </c>
      <c r="DA3878">
        <v>3.2</v>
      </c>
      <c r="DB3878">
        <v>2.44</v>
      </c>
      <c r="DC3878">
        <v>-0.45</v>
      </c>
      <c r="DD3878">
        <v>49.79</v>
      </c>
      <c r="DE3878" t="s">
        <v>15805</v>
      </c>
      <c r="DF3878">
        <v>6.29</v>
      </c>
      <c r="DG3878">
        <v>5.43</v>
      </c>
      <c r="DH3878">
        <v>4.1500000000000004</v>
      </c>
      <c r="DI3878">
        <v>0.01</v>
      </c>
      <c r="DJ3878">
        <v>473</v>
      </c>
      <c r="DK3878">
        <v>605050</v>
      </c>
      <c r="DL3878" t="s">
        <v>120</v>
      </c>
      <c r="DM3878" t="s">
        <v>120</v>
      </c>
      <c r="DN3878" t="s">
        <v>120</v>
      </c>
    </row>
    <row r="3879" spans="1:118">
      <c r="A3879" t="str">
        <f>"605055"</f>
        <v>605055</v>
      </c>
      <c r="B3879" t="s">
        <v>15886</v>
      </c>
      <c r="C3879">
        <v>-1.48</v>
      </c>
      <c r="D3879">
        <v>0</v>
      </c>
      <c r="E3879">
        <v>0</v>
      </c>
      <c r="F3879">
        <v>221</v>
      </c>
      <c r="G3879" t="s">
        <v>15278</v>
      </c>
      <c r="H3879">
        <v>2316.27</v>
      </c>
      <c r="I3879">
        <v>1.3</v>
      </c>
      <c r="J3879" t="s">
        <v>120</v>
      </c>
      <c r="K3879" t="s">
        <v>15278</v>
      </c>
      <c r="L3879">
        <v>3.58</v>
      </c>
      <c r="M3879">
        <v>8.01</v>
      </c>
      <c r="N3879">
        <v>1.07</v>
      </c>
      <c r="O3879">
        <v>0.62</v>
      </c>
      <c r="P3879">
        <v>8.18</v>
      </c>
      <c r="Q3879">
        <v>-1.6</v>
      </c>
      <c r="R3879">
        <v>8</v>
      </c>
      <c r="S3879">
        <v>8.1300000000000008</v>
      </c>
      <c r="T3879">
        <v>28662</v>
      </c>
      <c r="U3879">
        <v>8.02</v>
      </c>
      <c r="V3879">
        <v>8.1300000000000008</v>
      </c>
      <c r="W3879">
        <v>31.44</v>
      </c>
      <c r="X3879" t="s">
        <v>1766</v>
      </c>
      <c r="Y3879" t="s">
        <v>585</v>
      </c>
      <c r="Z3879">
        <v>2.21</v>
      </c>
      <c r="AA3879">
        <v>8.08</v>
      </c>
      <c r="AB3879">
        <v>17987</v>
      </c>
      <c r="AC3879">
        <v>10675</v>
      </c>
      <c r="AD3879">
        <v>1.68</v>
      </c>
      <c r="AE3879">
        <v>478</v>
      </c>
      <c r="AF3879">
        <v>227</v>
      </c>
      <c r="AG3879" t="s">
        <v>120</v>
      </c>
      <c r="AH3879">
        <v>0</v>
      </c>
      <c r="AI3879" t="s">
        <v>120</v>
      </c>
      <c r="AJ3879">
        <v>0.8</v>
      </c>
      <c r="AK3879" t="s">
        <v>7457</v>
      </c>
      <c r="AL3879">
        <v>-0.13</v>
      </c>
      <c r="AM3879">
        <v>1193</v>
      </c>
      <c r="AN3879">
        <v>24</v>
      </c>
      <c r="AO3879">
        <v>3.0000000000000001E-3</v>
      </c>
      <c r="AP3879">
        <v>-3</v>
      </c>
      <c r="AQ3879">
        <v>-0.37</v>
      </c>
      <c r="AR3879">
        <v>-4.08</v>
      </c>
      <c r="AS3879">
        <v>-3.72</v>
      </c>
      <c r="AT3879">
        <v>-16.22</v>
      </c>
      <c r="AU3879">
        <v>66.180000000000007</v>
      </c>
      <c r="AV3879">
        <v>14</v>
      </c>
      <c r="AW3879">
        <v>3.58</v>
      </c>
      <c r="AX3879">
        <v>18.18</v>
      </c>
      <c r="AY3879">
        <v>33.78</v>
      </c>
      <c r="AZ3879">
        <v>44.36</v>
      </c>
      <c r="BA3879">
        <v>1.04</v>
      </c>
      <c r="BB3879" t="s">
        <v>125</v>
      </c>
      <c r="BF3879">
        <v>-0.6</v>
      </c>
      <c r="BG3879">
        <v>-1.48</v>
      </c>
      <c r="BH3879">
        <v>-2.08</v>
      </c>
      <c r="BI3879">
        <v>0.13</v>
      </c>
      <c r="BJ3879">
        <v>20210824</v>
      </c>
      <c r="BK3879">
        <v>20210129</v>
      </c>
      <c r="BL3879">
        <v>4.4000000000000004</v>
      </c>
      <c r="BM3879" t="s">
        <v>120</v>
      </c>
      <c r="BN3879" t="s">
        <v>120</v>
      </c>
      <c r="BO3879">
        <v>19.399999999999999</v>
      </c>
      <c r="BP3879">
        <v>8.01</v>
      </c>
      <c r="BQ3879">
        <v>11.23</v>
      </c>
      <c r="BR3879" t="s">
        <v>120</v>
      </c>
      <c r="BS3879">
        <v>42.1</v>
      </c>
      <c r="BT3879">
        <v>4.28</v>
      </c>
      <c r="BU3879">
        <v>11.1</v>
      </c>
      <c r="BV3879">
        <v>1.26</v>
      </c>
      <c r="BW3879">
        <v>5.92</v>
      </c>
      <c r="BX3879">
        <v>0.83</v>
      </c>
      <c r="BY3879">
        <v>1.06</v>
      </c>
      <c r="BZ3879">
        <v>0.88</v>
      </c>
      <c r="CA3879" t="s">
        <v>120</v>
      </c>
      <c r="CB3879">
        <v>2.94</v>
      </c>
      <c r="CC3879">
        <v>4.5</v>
      </c>
      <c r="CD3879">
        <v>3.51</v>
      </c>
      <c r="CE3879">
        <v>0.64</v>
      </c>
      <c r="CF3879">
        <v>0.01</v>
      </c>
      <c r="CG3879">
        <v>0.64</v>
      </c>
      <c r="CH3879">
        <v>0.56000000000000005</v>
      </c>
      <c r="CI3879">
        <v>0.56000000000000005</v>
      </c>
      <c r="CJ3879">
        <v>-0.12</v>
      </c>
      <c r="CK3879">
        <v>0.35</v>
      </c>
      <c r="CL3879">
        <v>3.41</v>
      </c>
      <c r="CM3879">
        <v>1.42</v>
      </c>
      <c r="CN3879">
        <v>0.13</v>
      </c>
      <c r="CO3879">
        <v>29801</v>
      </c>
      <c r="CP3879">
        <v>2684</v>
      </c>
      <c r="CQ3879" t="s">
        <v>10895</v>
      </c>
      <c r="CR3879">
        <v>82.03</v>
      </c>
      <c r="CS3879">
        <v>50.02</v>
      </c>
      <c r="CT3879">
        <v>3.14</v>
      </c>
      <c r="CU3879">
        <v>24.77</v>
      </c>
      <c r="CV3879">
        <v>7.84</v>
      </c>
      <c r="CW3879">
        <v>0</v>
      </c>
      <c r="CX3879" t="s">
        <v>986</v>
      </c>
      <c r="CY3879">
        <v>2.5499999999999998</v>
      </c>
      <c r="CZ3879">
        <v>0</v>
      </c>
      <c r="DA3879">
        <v>0.67</v>
      </c>
      <c r="DB3879">
        <v>0.78</v>
      </c>
      <c r="DC3879">
        <v>0.32</v>
      </c>
      <c r="DD3879">
        <v>57.9</v>
      </c>
      <c r="DE3879" t="s">
        <v>3959</v>
      </c>
      <c r="DF3879">
        <v>21.99</v>
      </c>
      <c r="DG3879">
        <v>14.27</v>
      </c>
      <c r="DH3879">
        <v>12.47</v>
      </c>
      <c r="DI3879">
        <v>0.2</v>
      </c>
      <c r="DJ3879">
        <v>2229</v>
      </c>
      <c r="DK3879">
        <v>605055</v>
      </c>
      <c r="DL3879" t="s">
        <v>120</v>
      </c>
      <c r="DM3879" t="s">
        <v>120</v>
      </c>
      <c r="DN3879" t="s">
        <v>120</v>
      </c>
    </row>
    <row r="3880" spans="1:118">
      <c r="A3880" t="str">
        <f>"605056"</f>
        <v>605056</v>
      </c>
      <c r="B3880" t="s">
        <v>15887</v>
      </c>
      <c r="C3880">
        <v>-1.36</v>
      </c>
      <c r="D3880">
        <v>0</v>
      </c>
      <c r="E3880">
        <v>0</v>
      </c>
      <c r="F3880">
        <v>772</v>
      </c>
      <c r="G3880" t="s">
        <v>15888</v>
      </c>
      <c r="H3880">
        <v>5905.74</v>
      </c>
      <c r="I3880">
        <v>31.64</v>
      </c>
      <c r="J3880" t="s">
        <v>120</v>
      </c>
      <c r="K3880" t="s">
        <v>15888</v>
      </c>
      <c r="L3880">
        <v>7.42</v>
      </c>
      <c r="M3880">
        <v>19.63</v>
      </c>
      <c r="N3880">
        <v>0.39</v>
      </c>
      <c r="O3880">
        <v>1.41</v>
      </c>
      <c r="P3880">
        <v>20.18</v>
      </c>
      <c r="Q3880">
        <v>-1.36</v>
      </c>
      <c r="R3880">
        <v>19.63</v>
      </c>
      <c r="S3880">
        <v>19.899999999999999</v>
      </c>
      <c r="T3880">
        <v>29701</v>
      </c>
      <c r="U3880">
        <v>19.64</v>
      </c>
      <c r="V3880">
        <v>19.899999999999999</v>
      </c>
      <c r="W3880">
        <v>42.46</v>
      </c>
      <c r="X3880" t="s">
        <v>2717</v>
      </c>
      <c r="Y3880" t="s">
        <v>585</v>
      </c>
      <c r="Z3880">
        <v>2.76</v>
      </c>
      <c r="AA3880">
        <v>19.88</v>
      </c>
      <c r="AB3880">
        <v>17320</v>
      </c>
      <c r="AC3880">
        <v>12381</v>
      </c>
      <c r="AD3880">
        <v>1.4</v>
      </c>
      <c r="AE3880">
        <v>261</v>
      </c>
      <c r="AF3880">
        <v>18</v>
      </c>
      <c r="AG3880" t="s">
        <v>120</v>
      </c>
      <c r="AH3880">
        <v>0.04</v>
      </c>
      <c r="AI3880" t="s">
        <v>120</v>
      </c>
      <c r="AJ3880">
        <v>0.4</v>
      </c>
      <c r="AK3880" t="s">
        <v>15889</v>
      </c>
      <c r="AL3880">
        <v>-0.01</v>
      </c>
      <c r="AM3880">
        <v>1972</v>
      </c>
      <c r="AN3880">
        <v>15</v>
      </c>
      <c r="AO3880">
        <v>3.8E-3</v>
      </c>
      <c r="AP3880">
        <v>-3</v>
      </c>
      <c r="AQ3880">
        <v>-1</v>
      </c>
      <c r="AR3880">
        <v>-7.32</v>
      </c>
      <c r="AS3880">
        <v>-1.36</v>
      </c>
      <c r="AT3880">
        <v>43.81</v>
      </c>
      <c r="AU3880">
        <v>43.81</v>
      </c>
      <c r="AV3880">
        <v>4</v>
      </c>
      <c r="AW3880">
        <v>7.42</v>
      </c>
      <c r="AX3880">
        <v>10</v>
      </c>
      <c r="AY3880">
        <v>30.2</v>
      </c>
      <c r="AZ3880">
        <v>33.51</v>
      </c>
      <c r="BA3880">
        <v>0</v>
      </c>
      <c r="BB3880" t="s">
        <v>143</v>
      </c>
      <c r="BF3880">
        <v>-0.08</v>
      </c>
      <c r="BG3880">
        <v>-1.36</v>
      </c>
      <c r="BH3880">
        <v>-2.73</v>
      </c>
      <c r="BI3880">
        <v>0</v>
      </c>
      <c r="BJ3880">
        <v>20210719</v>
      </c>
      <c r="BK3880">
        <v>20210720</v>
      </c>
      <c r="BL3880">
        <v>4</v>
      </c>
      <c r="BM3880" t="s">
        <v>120</v>
      </c>
      <c r="BN3880" t="s">
        <v>120</v>
      </c>
      <c r="BO3880">
        <v>15.54</v>
      </c>
      <c r="BP3880">
        <v>19.63</v>
      </c>
      <c r="BQ3880">
        <v>10.43</v>
      </c>
      <c r="BR3880">
        <v>0.15</v>
      </c>
      <c r="BS3880">
        <v>31.91</v>
      </c>
      <c r="BT3880">
        <v>11.45</v>
      </c>
      <c r="BU3880">
        <v>2.04</v>
      </c>
      <c r="BV3880">
        <v>1.43</v>
      </c>
      <c r="BW3880">
        <v>4.96</v>
      </c>
      <c r="BX3880">
        <v>2.5099999999999998</v>
      </c>
      <c r="BY3880">
        <v>1.64</v>
      </c>
      <c r="BZ3880">
        <v>5.69</v>
      </c>
      <c r="CA3880" t="s">
        <v>120</v>
      </c>
      <c r="CB3880">
        <v>1.67</v>
      </c>
      <c r="CC3880">
        <v>8.2100000000000009</v>
      </c>
      <c r="CD3880">
        <v>5.03</v>
      </c>
      <c r="CE3880">
        <v>1.1599999999999999</v>
      </c>
      <c r="CF3880">
        <v>0</v>
      </c>
      <c r="CG3880">
        <v>1.1599999999999999</v>
      </c>
      <c r="CH3880">
        <v>0.91</v>
      </c>
      <c r="CI3880">
        <v>0.92</v>
      </c>
      <c r="CJ3880">
        <v>-0.27</v>
      </c>
      <c r="CK3880">
        <v>0.89</v>
      </c>
      <c r="CL3880">
        <v>4.49</v>
      </c>
      <c r="CM3880">
        <v>-0.13</v>
      </c>
      <c r="CN3880">
        <v>-0.46</v>
      </c>
      <c r="CO3880">
        <v>47090</v>
      </c>
      <c r="CP3880">
        <v>850</v>
      </c>
      <c r="CQ3880" t="s">
        <v>15890</v>
      </c>
      <c r="CR3880">
        <v>0</v>
      </c>
      <c r="CS3880">
        <v>0</v>
      </c>
      <c r="CT3880">
        <v>5.17</v>
      </c>
      <c r="CU3880">
        <v>-587.01</v>
      </c>
      <c r="CV3880">
        <v>9.57</v>
      </c>
      <c r="CW3880">
        <v>2.0099999999999998</v>
      </c>
      <c r="CX3880" t="s">
        <v>15891</v>
      </c>
      <c r="CY3880">
        <v>3.8</v>
      </c>
      <c r="CZ3880">
        <v>3.8</v>
      </c>
      <c r="DA3880">
        <v>0.42</v>
      </c>
      <c r="DB3880">
        <v>1.1200000000000001</v>
      </c>
      <c r="DC3880">
        <v>-0.03</v>
      </c>
      <c r="DD3880">
        <v>67.13</v>
      </c>
      <c r="DE3880" t="s">
        <v>3167</v>
      </c>
      <c r="DF3880">
        <v>38.72</v>
      </c>
      <c r="DG3880">
        <v>14.13</v>
      </c>
      <c r="DH3880">
        <v>11.27</v>
      </c>
      <c r="DI3880">
        <v>0.12</v>
      </c>
      <c r="DJ3880">
        <v>1383</v>
      </c>
      <c r="DK3880">
        <v>605056</v>
      </c>
      <c r="DL3880" t="s">
        <v>120</v>
      </c>
      <c r="DM3880" t="s">
        <v>120</v>
      </c>
      <c r="DN3880" t="s">
        <v>120</v>
      </c>
    </row>
    <row r="3881" spans="1:118">
      <c r="A3881" t="str">
        <f>"605058"</f>
        <v>605058</v>
      </c>
      <c r="B3881" t="s">
        <v>15892</v>
      </c>
      <c r="C3881">
        <v>-2.35</v>
      </c>
      <c r="D3881">
        <v>0</v>
      </c>
      <c r="E3881">
        <v>-0.28999999999999998</v>
      </c>
      <c r="F3881">
        <v>211</v>
      </c>
      <c r="G3881" t="s">
        <v>15893</v>
      </c>
      <c r="H3881">
        <v>2602.4899999999998</v>
      </c>
      <c r="I3881">
        <v>3.8</v>
      </c>
      <c r="J3881" t="s">
        <v>120</v>
      </c>
      <c r="K3881" t="s">
        <v>15893</v>
      </c>
      <c r="L3881">
        <v>3.08</v>
      </c>
      <c r="M3881">
        <v>23.23</v>
      </c>
      <c r="N3881">
        <v>0.85</v>
      </c>
      <c r="O3881">
        <v>0.8</v>
      </c>
      <c r="P3881">
        <v>23.98</v>
      </c>
      <c r="Q3881">
        <v>-2.56</v>
      </c>
      <c r="R3881">
        <v>23.18</v>
      </c>
      <c r="S3881">
        <v>23.72</v>
      </c>
      <c r="T3881">
        <v>11018</v>
      </c>
      <c r="U3881">
        <v>23.25</v>
      </c>
      <c r="V3881">
        <v>23.79</v>
      </c>
      <c r="W3881">
        <v>21.53</v>
      </c>
      <c r="X3881" t="s">
        <v>229</v>
      </c>
      <c r="Y3881" t="s">
        <v>319</v>
      </c>
      <c r="Z3881">
        <v>3.36</v>
      </c>
      <c r="AA3881">
        <v>23.62</v>
      </c>
      <c r="AB3881">
        <v>7567</v>
      </c>
      <c r="AC3881">
        <v>3451</v>
      </c>
      <c r="AD3881">
        <v>2.19</v>
      </c>
      <c r="AE3881">
        <v>30</v>
      </c>
      <c r="AF3881">
        <v>15</v>
      </c>
      <c r="AG3881" t="s">
        <v>120</v>
      </c>
      <c r="AH3881">
        <v>0</v>
      </c>
      <c r="AI3881" t="s">
        <v>120</v>
      </c>
      <c r="AJ3881">
        <v>0.36</v>
      </c>
      <c r="AK3881" t="s">
        <v>10002</v>
      </c>
      <c r="AL3881">
        <v>-1.01</v>
      </c>
      <c r="AM3881">
        <v>1035</v>
      </c>
      <c r="AN3881">
        <v>11</v>
      </c>
      <c r="AO3881">
        <v>3.0000000000000001E-3</v>
      </c>
      <c r="AP3881">
        <v>-1</v>
      </c>
      <c r="AQ3881">
        <v>0.13</v>
      </c>
      <c r="AR3881">
        <v>-4.79</v>
      </c>
      <c r="AS3881">
        <v>-3.97</v>
      </c>
      <c r="AT3881">
        <v>-2.97</v>
      </c>
      <c r="AU3881">
        <v>-2.93</v>
      </c>
      <c r="AV3881">
        <v>2</v>
      </c>
      <c r="AW3881">
        <v>3.08</v>
      </c>
      <c r="AX3881">
        <v>25</v>
      </c>
      <c r="AY3881">
        <v>24.11</v>
      </c>
      <c r="AZ3881">
        <v>27.25</v>
      </c>
      <c r="BA3881">
        <v>0.77</v>
      </c>
      <c r="BB3881" t="s">
        <v>143</v>
      </c>
      <c r="BF3881">
        <v>-0.71</v>
      </c>
      <c r="BG3881">
        <v>-2.0699999999999998</v>
      </c>
      <c r="BH3881">
        <v>-3.13</v>
      </c>
      <c r="BI3881">
        <v>0.22</v>
      </c>
      <c r="BJ3881">
        <v>20210806</v>
      </c>
      <c r="BK3881">
        <v>20201021</v>
      </c>
      <c r="BL3881">
        <v>1.43</v>
      </c>
      <c r="BM3881" t="s">
        <v>120</v>
      </c>
      <c r="BN3881" t="s">
        <v>120</v>
      </c>
      <c r="BO3881">
        <v>20.93</v>
      </c>
      <c r="BP3881">
        <v>23.23</v>
      </c>
      <c r="BQ3881">
        <v>13.66</v>
      </c>
      <c r="BR3881" t="s">
        <v>120</v>
      </c>
      <c r="BS3881">
        <v>34.75</v>
      </c>
      <c r="BT3881">
        <v>18.149999999999999</v>
      </c>
      <c r="BU3881">
        <v>1.47</v>
      </c>
      <c r="BV3881">
        <v>0.42</v>
      </c>
      <c r="BW3881">
        <v>7.1</v>
      </c>
      <c r="BX3881">
        <v>6.42</v>
      </c>
      <c r="BY3881">
        <v>2.74</v>
      </c>
      <c r="BZ3881">
        <v>3.28</v>
      </c>
      <c r="CA3881" t="s">
        <v>120</v>
      </c>
      <c r="CB3881">
        <v>7.81</v>
      </c>
      <c r="CC3881">
        <v>5.19</v>
      </c>
      <c r="CD3881">
        <v>3.76</v>
      </c>
      <c r="CE3881">
        <v>0.82</v>
      </c>
      <c r="CF3881">
        <v>7.0000000000000007E-2</v>
      </c>
      <c r="CG3881">
        <v>0.86</v>
      </c>
      <c r="CH3881">
        <v>0.77</v>
      </c>
      <c r="CI3881">
        <v>0.77</v>
      </c>
      <c r="CJ3881">
        <v>-0.56000000000000005</v>
      </c>
      <c r="CK3881">
        <v>0.66</v>
      </c>
      <c r="CL3881">
        <v>4.2699999999999996</v>
      </c>
      <c r="CM3881">
        <v>0.85</v>
      </c>
      <c r="CN3881">
        <v>0.56000000000000005</v>
      </c>
      <c r="CO3881">
        <v>18117</v>
      </c>
      <c r="CP3881">
        <v>1972</v>
      </c>
      <c r="CQ3881" t="s">
        <v>3986</v>
      </c>
      <c r="CR3881">
        <v>26.7</v>
      </c>
      <c r="CS3881">
        <v>31.59</v>
      </c>
      <c r="CT3881">
        <v>2.4300000000000002</v>
      </c>
      <c r="CU3881">
        <v>39.159999999999997</v>
      </c>
      <c r="CV3881">
        <v>6.4</v>
      </c>
      <c r="CW3881">
        <v>0.42</v>
      </c>
      <c r="CX3881" t="s">
        <v>263</v>
      </c>
      <c r="CY3881">
        <v>9.56</v>
      </c>
      <c r="CZ3881">
        <v>0</v>
      </c>
      <c r="DA3881">
        <v>5.47</v>
      </c>
      <c r="DB3881">
        <v>2.99</v>
      </c>
      <c r="DC3881">
        <v>0.59</v>
      </c>
      <c r="DD3881">
        <v>65.25</v>
      </c>
      <c r="DE3881" t="s">
        <v>4488</v>
      </c>
      <c r="DF3881">
        <v>27.52</v>
      </c>
      <c r="DG3881">
        <v>15.88</v>
      </c>
      <c r="DH3881">
        <v>14.85</v>
      </c>
      <c r="DI3881">
        <v>0.27</v>
      </c>
      <c r="DJ3881">
        <v>1058</v>
      </c>
      <c r="DK3881">
        <v>605058</v>
      </c>
      <c r="DL3881" t="s">
        <v>120</v>
      </c>
      <c r="DM3881" t="s">
        <v>120</v>
      </c>
      <c r="DN3881" t="s">
        <v>120</v>
      </c>
    </row>
    <row r="3882" spans="1:118">
      <c r="A3882" t="str">
        <f>"605060"</f>
        <v>605060</v>
      </c>
      <c r="B3882" t="s">
        <v>15894</v>
      </c>
      <c r="C3882">
        <v>-2.37</v>
      </c>
      <c r="D3882">
        <v>0.33</v>
      </c>
      <c r="E3882">
        <v>-0.38</v>
      </c>
      <c r="F3882">
        <v>249</v>
      </c>
      <c r="G3882" t="s">
        <v>9494</v>
      </c>
      <c r="H3882">
        <v>2674.26</v>
      </c>
      <c r="I3882">
        <v>4.82</v>
      </c>
      <c r="J3882" t="s">
        <v>120</v>
      </c>
      <c r="K3882" t="s">
        <v>9494</v>
      </c>
      <c r="L3882">
        <v>2.89</v>
      </c>
      <c r="M3882">
        <v>15.25</v>
      </c>
      <c r="N3882">
        <v>1.42</v>
      </c>
      <c r="O3882">
        <v>0.64</v>
      </c>
      <c r="P3882">
        <v>15.72</v>
      </c>
      <c r="Q3882">
        <v>-2.69</v>
      </c>
      <c r="R3882">
        <v>15.2</v>
      </c>
      <c r="S3882">
        <v>15.56</v>
      </c>
      <c r="T3882">
        <v>17365</v>
      </c>
      <c r="U3882">
        <v>15.26</v>
      </c>
      <c r="V3882">
        <v>15.62</v>
      </c>
      <c r="W3882">
        <v>22.78</v>
      </c>
      <c r="X3882" t="s">
        <v>959</v>
      </c>
      <c r="Y3882" t="s">
        <v>585</v>
      </c>
      <c r="Z3882">
        <v>3.33</v>
      </c>
      <c r="AA3882">
        <v>15.4</v>
      </c>
      <c r="AB3882">
        <v>11426</v>
      </c>
      <c r="AC3882">
        <v>5939</v>
      </c>
      <c r="AD3882">
        <v>1.92</v>
      </c>
      <c r="AE3882">
        <v>77</v>
      </c>
      <c r="AF3882">
        <v>10</v>
      </c>
      <c r="AG3882" t="s">
        <v>120</v>
      </c>
      <c r="AH3882">
        <v>0.01</v>
      </c>
      <c r="AI3882" t="s">
        <v>120</v>
      </c>
      <c r="AJ3882">
        <v>0.6</v>
      </c>
      <c r="AK3882" t="s">
        <v>15895</v>
      </c>
      <c r="AL3882">
        <v>-1.03</v>
      </c>
      <c r="AM3882">
        <v>1115</v>
      </c>
      <c r="AN3882">
        <v>16</v>
      </c>
      <c r="AO3882">
        <v>2.5999999999999999E-3</v>
      </c>
      <c r="AP3882">
        <v>-1</v>
      </c>
      <c r="AQ3882">
        <v>0.64</v>
      </c>
      <c r="AR3882">
        <v>-3.31</v>
      </c>
      <c r="AS3882">
        <v>-1.04</v>
      </c>
      <c r="AT3882">
        <v>-4.03</v>
      </c>
      <c r="AU3882">
        <v>-0.04</v>
      </c>
      <c r="AV3882">
        <v>0</v>
      </c>
      <c r="AW3882">
        <v>2.89</v>
      </c>
      <c r="AX3882">
        <v>25</v>
      </c>
      <c r="AY3882">
        <v>21.85</v>
      </c>
      <c r="AZ3882">
        <v>22.41</v>
      </c>
      <c r="BA3882">
        <v>0.95</v>
      </c>
      <c r="BB3882" t="s">
        <v>143</v>
      </c>
      <c r="BF3882">
        <v>-1.41</v>
      </c>
      <c r="BG3882">
        <v>-1.99</v>
      </c>
      <c r="BH3882">
        <v>-2.99</v>
      </c>
      <c r="BI3882">
        <v>0.33</v>
      </c>
      <c r="BJ3882">
        <v>20210818</v>
      </c>
      <c r="BK3882">
        <v>20210301</v>
      </c>
      <c r="BL3882">
        <v>2.4</v>
      </c>
      <c r="BM3882" t="s">
        <v>120</v>
      </c>
      <c r="BN3882" t="s">
        <v>120</v>
      </c>
      <c r="BO3882">
        <v>19.57</v>
      </c>
      <c r="BP3882">
        <v>15.25</v>
      </c>
      <c r="BQ3882">
        <v>17.96</v>
      </c>
      <c r="BR3882" t="s">
        <v>120</v>
      </c>
      <c r="BS3882">
        <v>8.24</v>
      </c>
      <c r="BT3882">
        <v>15.88</v>
      </c>
      <c r="BU3882">
        <v>2.95</v>
      </c>
      <c r="BV3882">
        <v>0.41</v>
      </c>
      <c r="BW3882">
        <v>1.25</v>
      </c>
      <c r="BX3882">
        <v>3.78</v>
      </c>
      <c r="BY3882">
        <v>1.23</v>
      </c>
      <c r="BZ3882">
        <v>2.4500000000000002</v>
      </c>
      <c r="CA3882" t="s">
        <v>120</v>
      </c>
      <c r="CB3882">
        <v>9.19</v>
      </c>
      <c r="CC3882">
        <v>3.64</v>
      </c>
      <c r="CD3882">
        <v>2.2999999999999998</v>
      </c>
      <c r="CE3882">
        <v>0.89</v>
      </c>
      <c r="CF3882">
        <v>0.05</v>
      </c>
      <c r="CG3882">
        <v>0.9</v>
      </c>
      <c r="CH3882">
        <v>0.8</v>
      </c>
      <c r="CI3882">
        <v>0.8</v>
      </c>
      <c r="CJ3882">
        <v>-0.37</v>
      </c>
      <c r="CK3882">
        <v>0.69</v>
      </c>
      <c r="CL3882">
        <v>5.65</v>
      </c>
      <c r="CM3882">
        <v>0.55000000000000004</v>
      </c>
      <c r="CN3882">
        <v>2.2999999999999998</v>
      </c>
      <c r="CO3882">
        <v>28308</v>
      </c>
      <c r="CP3882">
        <v>2120</v>
      </c>
      <c r="CQ3882" t="s">
        <v>15896</v>
      </c>
      <c r="CR3882">
        <v>5.67</v>
      </c>
      <c r="CS3882">
        <v>22.65</v>
      </c>
      <c r="CT3882">
        <v>2.04</v>
      </c>
      <c r="CU3882">
        <v>66.23</v>
      </c>
      <c r="CV3882">
        <v>10.039999999999999</v>
      </c>
      <c r="CW3882">
        <v>2.14</v>
      </c>
      <c r="CX3882" t="s">
        <v>709</v>
      </c>
      <c r="CY3882">
        <v>7.48</v>
      </c>
      <c r="CZ3882">
        <v>0</v>
      </c>
      <c r="DA3882">
        <v>3.83</v>
      </c>
      <c r="DB3882">
        <v>2.35</v>
      </c>
      <c r="DC3882">
        <v>0.23</v>
      </c>
      <c r="DD3882">
        <v>91.76</v>
      </c>
      <c r="DE3882" t="s">
        <v>2444</v>
      </c>
      <c r="DF3882">
        <v>36.99</v>
      </c>
      <c r="DG3882">
        <v>24.43</v>
      </c>
      <c r="DH3882">
        <v>22.04</v>
      </c>
      <c r="DI3882">
        <v>0.24</v>
      </c>
      <c r="DJ3882">
        <v>1158</v>
      </c>
      <c r="DK3882">
        <v>605060</v>
      </c>
      <c r="DL3882" t="s">
        <v>120</v>
      </c>
      <c r="DM3882" t="s">
        <v>120</v>
      </c>
      <c r="DN3882" t="s">
        <v>120</v>
      </c>
    </row>
    <row r="3883" spans="1:118">
      <c r="A3883" t="str">
        <f>"605066"</f>
        <v>605066</v>
      </c>
      <c r="B3883" t="s">
        <v>15897</v>
      </c>
      <c r="C3883">
        <v>-4.16</v>
      </c>
      <c r="D3883">
        <v>0</v>
      </c>
      <c r="E3883">
        <v>-7.0000000000000007E-2</v>
      </c>
      <c r="F3883">
        <v>595</v>
      </c>
      <c r="G3883" t="s">
        <v>15898</v>
      </c>
      <c r="H3883">
        <v>10613.45</v>
      </c>
      <c r="I3883">
        <v>52.78</v>
      </c>
      <c r="J3883" t="s">
        <v>120</v>
      </c>
      <c r="K3883" t="s">
        <v>14216</v>
      </c>
      <c r="L3883">
        <v>3.21</v>
      </c>
      <c r="M3883">
        <v>14.3</v>
      </c>
      <c r="N3883">
        <v>0.55000000000000004</v>
      </c>
      <c r="O3883">
        <v>-7.0000000000000007E-2</v>
      </c>
      <c r="P3883">
        <v>14.91</v>
      </c>
      <c r="Q3883">
        <v>-4.49</v>
      </c>
      <c r="R3883">
        <v>14.25</v>
      </c>
      <c r="S3883">
        <v>14.91</v>
      </c>
      <c r="T3883">
        <v>73227</v>
      </c>
      <c r="U3883">
        <v>14.31</v>
      </c>
      <c r="V3883">
        <v>14.92</v>
      </c>
      <c r="W3883">
        <v>19.920000000000002</v>
      </c>
      <c r="X3883" t="s">
        <v>394</v>
      </c>
      <c r="Y3883" t="s">
        <v>585</v>
      </c>
      <c r="Z3883">
        <v>4.42</v>
      </c>
      <c r="AA3883">
        <v>14.49</v>
      </c>
      <c r="AB3883">
        <v>45068</v>
      </c>
      <c r="AC3883">
        <v>28159</v>
      </c>
      <c r="AD3883">
        <v>1.6</v>
      </c>
      <c r="AE3883">
        <v>85</v>
      </c>
      <c r="AF3883">
        <v>29</v>
      </c>
      <c r="AG3883" t="s">
        <v>120</v>
      </c>
      <c r="AH3883">
        <v>0.02</v>
      </c>
      <c r="AI3883" t="s">
        <v>120</v>
      </c>
      <c r="AJ3883">
        <v>2.2799999999999998</v>
      </c>
      <c r="AK3883" t="s">
        <v>6787</v>
      </c>
      <c r="AL3883">
        <v>-2.81</v>
      </c>
      <c r="AM3883">
        <v>2866</v>
      </c>
      <c r="AN3883">
        <v>26</v>
      </c>
      <c r="AO3883">
        <v>1.1000000000000001E-3</v>
      </c>
      <c r="AP3883">
        <v>-1</v>
      </c>
      <c r="AQ3883">
        <v>2.54</v>
      </c>
      <c r="AR3883">
        <v>-3.58</v>
      </c>
      <c r="AS3883">
        <v>-13.13</v>
      </c>
      <c r="AT3883">
        <v>11.54</v>
      </c>
      <c r="AU3883">
        <v>11.89</v>
      </c>
      <c r="AV3883">
        <v>4</v>
      </c>
      <c r="AW3883">
        <v>3.38</v>
      </c>
      <c r="AX3883">
        <v>53.67</v>
      </c>
      <c r="AY3883">
        <v>20.100000000000001</v>
      </c>
      <c r="AZ3883">
        <v>24.43</v>
      </c>
      <c r="BA3883">
        <v>0</v>
      </c>
      <c r="BB3883" t="s">
        <v>143</v>
      </c>
      <c r="BF3883">
        <v>-2.86</v>
      </c>
      <c r="BG3883">
        <v>-4.09</v>
      </c>
      <c r="BH3883">
        <v>-4.09</v>
      </c>
      <c r="BI3883">
        <v>0.35</v>
      </c>
      <c r="BJ3883">
        <v>20210806</v>
      </c>
      <c r="BK3883">
        <v>20200807</v>
      </c>
      <c r="BL3883">
        <v>4.04</v>
      </c>
      <c r="BM3883" t="s">
        <v>120</v>
      </c>
      <c r="BN3883" t="s">
        <v>120</v>
      </c>
      <c r="BO3883">
        <v>35.979999999999997</v>
      </c>
      <c r="BP3883">
        <v>14.3</v>
      </c>
      <c r="BQ3883">
        <v>17.62</v>
      </c>
      <c r="BR3883" t="s">
        <v>120</v>
      </c>
      <c r="BS3883">
        <v>51.04</v>
      </c>
      <c r="BT3883">
        <v>30.13</v>
      </c>
      <c r="BU3883">
        <v>3.2</v>
      </c>
      <c r="BV3883">
        <v>1.1499999999999999</v>
      </c>
      <c r="BW3883">
        <v>18.13</v>
      </c>
      <c r="BX3883">
        <v>9.27</v>
      </c>
      <c r="BY3883">
        <v>3.41</v>
      </c>
      <c r="BZ3883">
        <v>12.74</v>
      </c>
      <c r="CA3883" t="s">
        <v>120</v>
      </c>
      <c r="CB3883">
        <v>6.78</v>
      </c>
      <c r="CC3883">
        <v>16.649999999999999</v>
      </c>
      <c r="CD3883">
        <v>12.68</v>
      </c>
      <c r="CE3883">
        <v>1.59</v>
      </c>
      <c r="CF3883">
        <v>0.01</v>
      </c>
      <c r="CG3883">
        <v>1.6</v>
      </c>
      <c r="CH3883">
        <v>1.45</v>
      </c>
      <c r="CI3883">
        <v>1.45</v>
      </c>
      <c r="CJ3883">
        <v>-0.62</v>
      </c>
      <c r="CK3883">
        <v>1.1599999999999999</v>
      </c>
      <c r="CL3883">
        <v>5.97</v>
      </c>
      <c r="CM3883">
        <v>-0.05</v>
      </c>
      <c r="CN3883">
        <v>-1.43</v>
      </c>
      <c r="CO3883">
        <v>21174</v>
      </c>
      <c r="CP3883">
        <v>10244</v>
      </c>
      <c r="CQ3883" t="s">
        <v>14266</v>
      </c>
      <c r="CR3883">
        <v>57.87</v>
      </c>
      <c r="CS3883">
        <v>57.57</v>
      </c>
      <c r="CT3883">
        <v>3.28</v>
      </c>
      <c r="CU3883">
        <v>-1198.1099999999999</v>
      </c>
      <c r="CV3883">
        <v>3.47</v>
      </c>
      <c r="CW3883">
        <v>2.0099999999999998</v>
      </c>
      <c r="CX3883" t="s">
        <v>472</v>
      </c>
      <c r="CY3883">
        <v>4.3600000000000003</v>
      </c>
      <c r="CZ3883">
        <v>0</v>
      </c>
      <c r="DA3883">
        <v>1.68</v>
      </c>
      <c r="DB3883">
        <v>1.48</v>
      </c>
      <c r="DC3883">
        <v>-0.01</v>
      </c>
      <c r="DD3883">
        <v>48.96</v>
      </c>
      <c r="DE3883" t="s">
        <v>6084</v>
      </c>
      <c r="DF3883">
        <v>23.84</v>
      </c>
      <c r="DG3883">
        <v>9.57</v>
      </c>
      <c r="DH3883">
        <v>8.7100000000000009</v>
      </c>
      <c r="DI3883">
        <v>0.54</v>
      </c>
      <c r="DJ3883">
        <v>3713</v>
      </c>
      <c r="DK3883">
        <v>605066</v>
      </c>
      <c r="DL3883" t="s">
        <v>120</v>
      </c>
      <c r="DM3883" t="s">
        <v>120</v>
      </c>
      <c r="DN3883" t="s">
        <v>120</v>
      </c>
    </row>
    <row r="3884" spans="1:118">
      <c r="A3884" t="str">
        <f>"605068"</f>
        <v>605068</v>
      </c>
      <c r="B3884" t="s">
        <v>15899</v>
      </c>
      <c r="C3884">
        <v>-2.88</v>
      </c>
      <c r="D3884">
        <v>-0.41</v>
      </c>
      <c r="E3884">
        <v>0.27</v>
      </c>
      <c r="F3884">
        <v>10</v>
      </c>
      <c r="G3884" t="s">
        <v>6785</v>
      </c>
      <c r="H3884">
        <v>4067.25</v>
      </c>
      <c r="I3884">
        <v>0</v>
      </c>
      <c r="J3884" t="s">
        <v>120</v>
      </c>
      <c r="K3884" t="s">
        <v>6785</v>
      </c>
      <c r="L3884">
        <v>3.38</v>
      </c>
      <c r="M3884">
        <v>28.67</v>
      </c>
      <c r="N3884">
        <v>1.83</v>
      </c>
      <c r="O3884">
        <v>0.27</v>
      </c>
      <c r="P3884">
        <v>29.6</v>
      </c>
      <c r="Q3884">
        <v>-3.25</v>
      </c>
      <c r="R3884">
        <v>28.56</v>
      </c>
      <c r="S3884">
        <v>29.6</v>
      </c>
      <c r="T3884">
        <v>14031</v>
      </c>
      <c r="U3884">
        <v>28.67</v>
      </c>
      <c r="V3884">
        <v>29.52</v>
      </c>
      <c r="W3884">
        <v>23.26</v>
      </c>
      <c r="X3884" t="s">
        <v>289</v>
      </c>
      <c r="Y3884" t="s">
        <v>585</v>
      </c>
      <c r="Z3884">
        <v>3.52</v>
      </c>
      <c r="AA3884">
        <v>28.99</v>
      </c>
      <c r="AB3884">
        <v>7311</v>
      </c>
      <c r="AC3884">
        <v>6720</v>
      </c>
      <c r="AD3884">
        <v>1.0900000000000001</v>
      </c>
      <c r="AE3884">
        <v>9</v>
      </c>
      <c r="AF3884">
        <v>21</v>
      </c>
      <c r="AG3884" t="s">
        <v>120</v>
      </c>
      <c r="AH3884">
        <v>0</v>
      </c>
      <c r="AI3884" t="s">
        <v>120</v>
      </c>
      <c r="AJ3884">
        <v>0.42</v>
      </c>
      <c r="AK3884" t="s">
        <v>14302</v>
      </c>
      <c r="AL3884">
        <v>-1.54</v>
      </c>
      <c r="AM3884">
        <v>969</v>
      </c>
      <c r="AN3884">
        <v>14</v>
      </c>
      <c r="AO3884">
        <v>3.5000000000000001E-3</v>
      </c>
      <c r="AP3884">
        <v>-3</v>
      </c>
      <c r="AQ3884">
        <v>-1.53</v>
      </c>
      <c r="AR3884">
        <v>-6.82</v>
      </c>
      <c r="AS3884">
        <v>-11.54</v>
      </c>
      <c r="AT3884">
        <v>-17.86</v>
      </c>
      <c r="AU3884">
        <v>-10.85</v>
      </c>
      <c r="AV3884">
        <v>4</v>
      </c>
      <c r="AW3884">
        <v>3.38</v>
      </c>
      <c r="AX3884">
        <v>25</v>
      </c>
      <c r="AY3884">
        <v>21.68</v>
      </c>
      <c r="AZ3884">
        <v>22.22</v>
      </c>
      <c r="BA3884">
        <v>0.67</v>
      </c>
      <c r="BB3884" t="s">
        <v>143</v>
      </c>
      <c r="BF3884">
        <v>-1.8</v>
      </c>
      <c r="BG3884">
        <v>-3.14</v>
      </c>
      <c r="BH3884">
        <v>-3.14</v>
      </c>
      <c r="BI3884">
        <v>0.39</v>
      </c>
      <c r="BJ3884">
        <v>20210907</v>
      </c>
      <c r="BK3884">
        <v>20201123</v>
      </c>
      <c r="BL3884">
        <v>1.66</v>
      </c>
      <c r="BM3884" t="s">
        <v>120</v>
      </c>
      <c r="BN3884" t="s">
        <v>120</v>
      </c>
      <c r="BO3884">
        <v>23.58</v>
      </c>
      <c r="BP3884">
        <v>28.62</v>
      </c>
      <c r="BQ3884">
        <v>16.84</v>
      </c>
      <c r="BR3884" t="s">
        <v>120</v>
      </c>
      <c r="BS3884">
        <v>28.57</v>
      </c>
      <c r="BT3884">
        <v>17.059999999999999</v>
      </c>
      <c r="BU3884">
        <v>2.76</v>
      </c>
      <c r="BV3884">
        <v>0.83</v>
      </c>
      <c r="BW3884">
        <v>5.13</v>
      </c>
      <c r="BX3884">
        <v>9.68</v>
      </c>
      <c r="BY3884">
        <v>4.8499999999999996</v>
      </c>
      <c r="BZ3884">
        <v>1.57</v>
      </c>
      <c r="CA3884" t="s">
        <v>120</v>
      </c>
      <c r="CB3884">
        <v>9.1300000000000008</v>
      </c>
      <c r="CC3884">
        <v>3.73</v>
      </c>
      <c r="CD3884">
        <v>1.99</v>
      </c>
      <c r="CE3884">
        <v>1.2</v>
      </c>
      <c r="CF3884">
        <v>-0.01</v>
      </c>
      <c r="CG3884">
        <v>1.19</v>
      </c>
      <c r="CH3884">
        <v>1.02</v>
      </c>
      <c r="CI3884">
        <v>1.02</v>
      </c>
      <c r="CJ3884">
        <v>-0.85</v>
      </c>
      <c r="CK3884">
        <v>0.96</v>
      </c>
      <c r="CL3884">
        <v>5.57</v>
      </c>
      <c r="CM3884">
        <v>1.53</v>
      </c>
      <c r="CN3884">
        <v>2.41</v>
      </c>
      <c r="CO3884">
        <v>9230</v>
      </c>
      <c r="CP3884">
        <v>4496</v>
      </c>
      <c r="CQ3884" t="s">
        <v>15900</v>
      </c>
      <c r="CR3884">
        <v>5.66</v>
      </c>
      <c r="CS3884">
        <v>8.14</v>
      </c>
      <c r="CT3884">
        <v>2.83</v>
      </c>
      <c r="CU3884">
        <v>31.16</v>
      </c>
      <c r="CV3884">
        <v>12.76</v>
      </c>
      <c r="CW3884">
        <v>2.54</v>
      </c>
      <c r="CX3884" t="s">
        <v>8995</v>
      </c>
      <c r="CY3884">
        <v>10.14</v>
      </c>
      <c r="CZ3884">
        <v>0</v>
      </c>
      <c r="DA3884">
        <v>5.5</v>
      </c>
      <c r="DB3884">
        <v>3.36</v>
      </c>
      <c r="DC3884">
        <v>0.92</v>
      </c>
      <c r="DD3884">
        <v>71.430000000000007</v>
      </c>
      <c r="DE3884" t="s">
        <v>10197</v>
      </c>
      <c r="DF3884">
        <v>46.71</v>
      </c>
      <c r="DG3884">
        <v>32.21</v>
      </c>
      <c r="DH3884">
        <v>27.43</v>
      </c>
      <c r="DI3884">
        <v>0.37</v>
      </c>
      <c r="DJ3884">
        <v>893</v>
      </c>
      <c r="DK3884">
        <v>605068</v>
      </c>
      <c r="DL3884" t="s">
        <v>120</v>
      </c>
      <c r="DM3884" t="s">
        <v>120</v>
      </c>
      <c r="DN3884" t="s">
        <v>120</v>
      </c>
    </row>
    <row r="3885" spans="1:118">
      <c r="A3885" t="str">
        <f>"605069"</f>
        <v>605069</v>
      </c>
      <c r="B3885" t="s">
        <v>15901</v>
      </c>
      <c r="C3885">
        <v>-3.69</v>
      </c>
      <c r="D3885">
        <v>-0.04</v>
      </c>
      <c r="E3885">
        <v>-0.39</v>
      </c>
      <c r="F3885">
        <v>397</v>
      </c>
      <c r="G3885" t="s">
        <v>11007</v>
      </c>
      <c r="H3885">
        <v>7724.71</v>
      </c>
      <c r="I3885">
        <v>3.69</v>
      </c>
      <c r="J3885" t="s">
        <v>120</v>
      </c>
      <c r="K3885" t="s">
        <v>11007</v>
      </c>
      <c r="L3885">
        <v>9.43</v>
      </c>
      <c r="M3885">
        <v>19.84</v>
      </c>
      <c r="N3885">
        <v>0.79</v>
      </c>
      <c r="O3885">
        <v>-0.15</v>
      </c>
      <c r="P3885">
        <v>20.57</v>
      </c>
      <c r="Q3885">
        <v>-3.79</v>
      </c>
      <c r="R3885">
        <v>19.82</v>
      </c>
      <c r="S3885">
        <v>20.52</v>
      </c>
      <c r="T3885">
        <v>38402</v>
      </c>
      <c r="U3885">
        <v>19.84</v>
      </c>
      <c r="V3885">
        <v>20.6</v>
      </c>
      <c r="W3885">
        <v>33.229999999999997</v>
      </c>
      <c r="X3885" t="s">
        <v>318</v>
      </c>
      <c r="Y3885" t="s">
        <v>158</v>
      </c>
      <c r="Z3885">
        <v>3.64</v>
      </c>
      <c r="AA3885">
        <v>20.12</v>
      </c>
      <c r="AB3885">
        <v>24888</v>
      </c>
      <c r="AC3885">
        <v>13514</v>
      </c>
      <c r="AD3885">
        <v>1.84</v>
      </c>
      <c r="AE3885">
        <v>39</v>
      </c>
      <c r="AF3885">
        <v>81</v>
      </c>
      <c r="AG3885" t="s">
        <v>120</v>
      </c>
      <c r="AH3885">
        <v>0</v>
      </c>
      <c r="AI3885" t="s">
        <v>120</v>
      </c>
      <c r="AJ3885">
        <v>0.41</v>
      </c>
      <c r="AK3885" t="s">
        <v>15902</v>
      </c>
      <c r="AL3885">
        <v>-2.35</v>
      </c>
      <c r="AM3885">
        <v>2333</v>
      </c>
      <c r="AN3885">
        <v>16</v>
      </c>
      <c r="AO3885">
        <v>4.0000000000000001E-3</v>
      </c>
      <c r="AP3885">
        <v>-1</v>
      </c>
      <c r="AQ3885">
        <v>0.64</v>
      </c>
      <c r="AR3885">
        <v>-7.07</v>
      </c>
      <c r="AS3885">
        <v>-31.61</v>
      </c>
      <c r="AT3885">
        <v>31.13</v>
      </c>
      <c r="AU3885">
        <v>31.13</v>
      </c>
      <c r="AV3885">
        <v>1</v>
      </c>
      <c r="AW3885">
        <v>9.43</v>
      </c>
      <c r="AX3885">
        <v>25</v>
      </c>
      <c r="AY3885">
        <v>22.67</v>
      </c>
      <c r="AZ3885">
        <v>30.28</v>
      </c>
      <c r="BA3885">
        <v>0</v>
      </c>
      <c r="BB3885" t="s">
        <v>143</v>
      </c>
      <c r="BF3885">
        <v>-2.35</v>
      </c>
      <c r="BG3885">
        <v>-3.31</v>
      </c>
      <c r="BH3885">
        <v>-3.55</v>
      </c>
      <c r="BI3885">
        <v>0.1</v>
      </c>
      <c r="BJ3885">
        <v>20210813</v>
      </c>
      <c r="BK3885">
        <v>20210816</v>
      </c>
      <c r="BL3885">
        <v>1.63</v>
      </c>
      <c r="BM3885" t="s">
        <v>120</v>
      </c>
      <c r="BN3885" t="s">
        <v>120</v>
      </c>
      <c r="BO3885">
        <v>39.409999999999997</v>
      </c>
      <c r="BP3885">
        <v>19.829999999999998</v>
      </c>
      <c r="BQ3885">
        <v>12.62</v>
      </c>
      <c r="BR3885">
        <v>1.34</v>
      </c>
      <c r="BS3885">
        <v>64.599999999999994</v>
      </c>
      <c r="BT3885">
        <v>23.38</v>
      </c>
      <c r="BU3885">
        <v>0.05</v>
      </c>
      <c r="BV3885">
        <v>0.01</v>
      </c>
      <c r="BW3885">
        <v>16.77</v>
      </c>
      <c r="BX3885">
        <v>0.89</v>
      </c>
      <c r="BY3885">
        <v>0.02</v>
      </c>
      <c r="BZ3885">
        <v>15.76</v>
      </c>
      <c r="CA3885" t="s">
        <v>120</v>
      </c>
      <c r="CB3885">
        <v>4.16</v>
      </c>
      <c r="CC3885">
        <v>4.82</v>
      </c>
      <c r="CD3885">
        <v>3.25</v>
      </c>
      <c r="CE3885">
        <v>0.53</v>
      </c>
      <c r="CF3885">
        <v>0</v>
      </c>
      <c r="CG3885">
        <v>0.53</v>
      </c>
      <c r="CH3885">
        <v>0.5</v>
      </c>
      <c r="CI3885">
        <v>0.49</v>
      </c>
      <c r="CJ3885">
        <v>-0.76</v>
      </c>
      <c r="CK3885">
        <v>0.46</v>
      </c>
      <c r="CL3885">
        <v>6.53</v>
      </c>
      <c r="CM3885">
        <v>-2.99</v>
      </c>
      <c r="CN3885">
        <v>-0.18</v>
      </c>
      <c r="CO3885">
        <v>48009</v>
      </c>
      <c r="CP3885">
        <v>848</v>
      </c>
      <c r="CQ3885" t="s">
        <v>10334</v>
      </c>
      <c r="CR3885">
        <v>0</v>
      </c>
      <c r="CS3885">
        <v>0</v>
      </c>
      <c r="CT3885">
        <v>1.8</v>
      </c>
      <c r="CU3885">
        <v>-10.81</v>
      </c>
      <c r="CV3885">
        <v>6.71</v>
      </c>
      <c r="CW3885">
        <v>0</v>
      </c>
      <c r="CX3885" t="s">
        <v>9460</v>
      </c>
      <c r="CY3885">
        <v>10.99</v>
      </c>
      <c r="CZ3885">
        <v>10.99</v>
      </c>
      <c r="DA3885">
        <v>2.56</v>
      </c>
      <c r="DB3885">
        <v>4.01</v>
      </c>
      <c r="DC3885">
        <v>-1.83</v>
      </c>
      <c r="DD3885">
        <v>32.01</v>
      </c>
      <c r="DE3885" t="s">
        <v>6494</v>
      </c>
      <c r="DF3885">
        <v>32.43</v>
      </c>
      <c r="DG3885">
        <v>11</v>
      </c>
      <c r="DH3885">
        <v>10.1</v>
      </c>
      <c r="DI3885">
        <v>0.2</v>
      </c>
      <c r="DJ3885">
        <v>619</v>
      </c>
      <c r="DK3885">
        <v>605069</v>
      </c>
      <c r="DL3885" t="s">
        <v>120</v>
      </c>
      <c r="DM3885" t="s">
        <v>120</v>
      </c>
      <c r="DN3885" t="s">
        <v>120</v>
      </c>
    </row>
    <row r="3886" spans="1:118">
      <c r="A3886" t="str">
        <f>"605077"</f>
        <v>605077</v>
      </c>
      <c r="B3886" t="s">
        <v>15903</v>
      </c>
      <c r="C3886">
        <v>7.0000000000000007E-2</v>
      </c>
      <c r="D3886">
        <v>-0.01</v>
      </c>
      <c r="E3886">
        <v>-0.52</v>
      </c>
      <c r="F3886">
        <v>78</v>
      </c>
      <c r="G3886" t="s">
        <v>6302</v>
      </c>
      <c r="H3886">
        <v>2596.85</v>
      </c>
      <c r="I3886">
        <v>14.42</v>
      </c>
      <c r="J3886" t="s">
        <v>120</v>
      </c>
      <c r="K3886" t="s">
        <v>6302</v>
      </c>
      <c r="L3886">
        <v>1.45</v>
      </c>
      <c r="M3886">
        <v>43.96</v>
      </c>
      <c r="N3886">
        <v>0.82</v>
      </c>
      <c r="O3886">
        <v>1.3</v>
      </c>
      <c r="P3886">
        <v>44.5</v>
      </c>
      <c r="Q3886">
        <v>-1.71</v>
      </c>
      <c r="R3886">
        <v>43.18</v>
      </c>
      <c r="S3886">
        <v>43.7</v>
      </c>
      <c r="T3886">
        <v>5926</v>
      </c>
      <c r="U3886">
        <v>43.96</v>
      </c>
      <c r="V3886">
        <v>43.93</v>
      </c>
      <c r="W3886">
        <v>31</v>
      </c>
      <c r="X3886" t="s">
        <v>847</v>
      </c>
      <c r="Y3886" t="s">
        <v>585</v>
      </c>
      <c r="Z3886">
        <v>3</v>
      </c>
      <c r="AA3886">
        <v>43.82</v>
      </c>
      <c r="AB3886">
        <v>3545</v>
      </c>
      <c r="AC3886">
        <v>2381</v>
      </c>
      <c r="AD3886">
        <v>1.49</v>
      </c>
      <c r="AE3886">
        <v>1</v>
      </c>
      <c r="AF3886">
        <v>41</v>
      </c>
      <c r="AG3886" t="s">
        <v>120</v>
      </c>
      <c r="AH3886">
        <v>0.01</v>
      </c>
      <c r="AI3886" t="s">
        <v>120</v>
      </c>
      <c r="AJ3886">
        <v>0.41</v>
      </c>
      <c r="AK3886" t="s">
        <v>15306</v>
      </c>
      <c r="AL3886">
        <v>1.41</v>
      </c>
      <c r="AM3886">
        <v>1029</v>
      </c>
      <c r="AN3886">
        <v>6</v>
      </c>
      <c r="AO3886">
        <v>1.4E-3</v>
      </c>
      <c r="AP3886">
        <v>2</v>
      </c>
      <c r="AQ3886">
        <v>1.41</v>
      </c>
      <c r="AR3886">
        <v>0.3</v>
      </c>
      <c r="AS3886">
        <v>4.62</v>
      </c>
      <c r="AT3886">
        <v>-8.8000000000000007</v>
      </c>
      <c r="AU3886">
        <v>21.55</v>
      </c>
      <c r="AV3886">
        <v>2</v>
      </c>
      <c r="AW3886">
        <v>1.45</v>
      </c>
      <c r="AX3886">
        <v>25</v>
      </c>
      <c r="AY3886">
        <v>30.2</v>
      </c>
      <c r="AZ3886">
        <v>23.34</v>
      </c>
      <c r="BA3886">
        <v>0.67</v>
      </c>
      <c r="BB3886" t="s">
        <v>143</v>
      </c>
      <c r="BF3886">
        <v>-0.25</v>
      </c>
      <c r="BG3886">
        <v>0.59</v>
      </c>
      <c r="BH3886">
        <v>-1.21</v>
      </c>
      <c r="BI3886">
        <v>1.81</v>
      </c>
      <c r="BJ3886">
        <v>20210819</v>
      </c>
      <c r="BK3886">
        <v>20210209</v>
      </c>
      <c r="BL3886">
        <v>1.63</v>
      </c>
      <c r="BM3886" t="s">
        <v>120</v>
      </c>
      <c r="BN3886" t="s">
        <v>120</v>
      </c>
      <c r="BO3886">
        <v>27.09</v>
      </c>
      <c r="BP3886">
        <v>43.94</v>
      </c>
      <c r="BQ3886">
        <v>23.13</v>
      </c>
      <c r="BR3886" t="s">
        <v>120</v>
      </c>
      <c r="BS3886">
        <v>14.61</v>
      </c>
      <c r="BT3886">
        <v>18.52</v>
      </c>
      <c r="BU3886">
        <v>6.48</v>
      </c>
      <c r="BV3886">
        <v>0.43</v>
      </c>
      <c r="BW3886">
        <v>3.18</v>
      </c>
      <c r="BX3886">
        <v>13.16</v>
      </c>
      <c r="BY3886">
        <v>2.17</v>
      </c>
      <c r="BZ3886">
        <v>2.42</v>
      </c>
      <c r="CA3886" t="s">
        <v>120</v>
      </c>
      <c r="CB3886">
        <v>14.7</v>
      </c>
      <c r="CC3886">
        <v>7.31</v>
      </c>
      <c r="CD3886">
        <v>5.47</v>
      </c>
      <c r="CE3886">
        <v>1.3</v>
      </c>
      <c r="CF3886">
        <v>0.19</v>
      </c>
      <c r="CG3886">
        <v>1.3</v>
      </c>
      <c r="CH3886">
        <v>1.1599999999999999</v>
      </c>
      <c r="CI3886">
        <v>1.1599999999999999</v>
      </c>
      <c r="CJ3886">
        <v>0.03</v>
      </c>
      <c r="CK3886">
        <v>1.02</v>
      </c>
      <c r="CL3886">
        <v>6.01</v>
      </c>
      <c r="CM3886">
        <v>-0.47</v>
      </c>
      <c r="CN3886">
        <v>2.68</v>
      </c>
      <c r="CO3886">
        <v>18867</v>
      </c>
      <c r="CP3886">
        <v>2162</v>
      </c>
      <c r="CQ3886" t="s">
        <v>4767</v>
      </c>
      <c r="CR3886">
        <v>-37.630000000000003</v>
      </c>
      <c r="CS3886">
        <v>3.4</v>
      </c>
      <c r="CT3886">
        <v>3.1</v>
      </c>
      <c r="CU3886">
        <v>-151.09</v>
      </c>
      <c r="CV3886">
        <v>9.81</v>
      </c>
      <c r="CW3886">
        <v>1.63</v>
      </c>
      <c r="CX3886" t="s">
        <v>15593</v>
      </c>
      <c r="CY3886">
        <v>14.18</v>
      </c>
      <c r="CZ3886">
        <v>0</v>
      </c>
      <c r="DA3886">
        <v>9.01</v>
      </c>
      <c r="DB3886">
        <v>3.68</v>
      </c>
      <c r="DC3886">
        <v>-0.28999999999999998</v>
      </c>
      <c r="DD3886">
        <v>85.39</v>
      </c>
      <c r="DE3886" t="s">
        <v>6258</v>
      </c>
      <c r="DF3886">
        <v>25.19</v>
      </c>
      <c r="DG3886">
        <v>17.75</v>
      </c>
      <c r="DH3886">
        <v>15.82</v>
      </c>
      <c r="DI3886">
        <v>0.34</v>
      </c>
      <c r="DJ3886">
        <v>1041</v>
      </c>
      <c r="DK3886">
        <v>605077</v>
      </c>
      <c r="DL3886" t="s">
        <v>120</v>
      </c>
      <c r="DM3886" t="s">
        <v>120</v>
      </c>
      <c r="DN3886" t="s">
        <v>120</v>
      </c>
    </row>
    <row r="3887" spans="1:118">
      <c r="A3887" t="str">
        <f>"605080"</f>
        <v>605080</v>
      </c>
      <c r="B3887" t="s">
        <v>15904</v>
      </c>
      <c r="C3887">
        <v>0.56000000000000005</v>
      </c>
      <c r="D3887">
        <v>-0.18</v>
      </c>
      <c r="E3887">
        <v>0.25</v>
      </c>
      <c r="F3887">
        <v>11</v>
      </c>
      <c r="G3887" t="s">
        <v>12748</v>
      </c>
      <c r="H3887">
        <v>2405.2399999999998</v>
      </c>
      <c r="I3887">
        <v>0.63</v>
      </c>
      <c r="J3887" t="s">
        <v>120</v>
      </c>
      <c r="K3887" t="s">
        <v>12748</v>
      </c>
      <c r="L3887">
        <v>1.51</v>
      </c>
      <c r="M3887">
        <v>63.2</v>
      </c>
      <c r="N3887">
        <v>0.84</v>
      </c>
      <c r="O3887">
        <v>1.67</v>
      </c>
      <c r="P3887">
        <v>63.9</v>
      </c>
      <c r="Q3887">
        <v>-2.2400000000000002</v>
      </c>
      <c r="R3887">
        <v>61.44</v>
      </c>
      <c r="S3887">
        <v>63.01</v>
      </c>
      <c r="T3887">
        <v>3825</v>
      </c>
      <c r="U3887">
        <v>63.31</v>
      </c>
      <c r="V3887">
        <v>62.85</v>
      </c>
      <c r="W3887">
        <v>23.26</v>
      </c>
      <c r="X3887" t="s">
        <v>1766</v>
      </c>
      <c r="Y3887" t="s">
        <v>585</v>
      </c>
      <c r="Z3887">
        <v>3.91</v>
      </c>
      <c r="AA3887">
        <v>62.89</v>
      </c>
      <c r="AB3887">
        <v>1462</v>
      </c>
      <c r="AC3887">
        <v>2363</v>
      </c>
      <c r="AD3887">
        <v>0.62</v>
      </c>
      <c r="AE3887">
        <v>20</v>
      </c>
      <c r="AF3887">
        <v>2</v>
      </c>
      <c r="AG3887" t="s">
        <v>120</v>
      </c>
      <c r="AH3887">
        <v>0</v>
      </c>
      <c r="AI3887" t="s">
        <v>120</v>
      </c>
      <c r="AJ3887">
        <v>0.25</v>
      </c>
      <c r="AK3887" t="s">
        <v>15905</v>
      </c>
      <c r="AL3887">
        <v>1.9</v>
      </c>
      <c r="AM3887">
        <v>922</v>
      </c>
      <c r="AN3887">
        <v>4</v>
      </c>
      <c r="AO3887">
        <v>1.6000000000000001E-3</v>
      </c>
      <c r="AP3887">
        <v>1</v>
      </c>
      <c r="AQ3887">
        <v>-3.07</v>
      </c>
      <c r="AR3887">
        <v>-6.37</v>
      </c>
      <c r="AS3887">
        <v>-3.17</v>
      </c>
      <c r="AT3887">
        <v>2.33</v>
      </c>
      <c r="AU3887">
        <v>102.82</v>
      </c>
      <c r="AV3887">
        <v>7</v>
      </c>
      <c r="AW3887">
        <v>1.51</v>
      </c>
      <c r="AX3887">
        <v>25</v>
      </c>
      <c r="AY3887">
        <v>31.46</v>
      </c>
      <c r="AZ3887">
        <v>39.840000000000003</v>
      </c>
      <c r="BA3887">
        <v>0.86</v>
      </c>
      <c r="BB3887" t="s">
        <v>143</v>
      </c>
      <c r="BF3887">
        <v>0.06</v>
      </c>
      <c r="BG3887">
        <v>0.3</v>
      </c>
      <c r="BH3887">
        <v>-1.1000000000000001</v>
      </c>
      <c r="BI3887">
        <v>2.86</v>
      </c>
      <c r="BJ3887">
        <v>20210819</v>
      </c>
      <c r="BK3887">
        <v>20210506</v>
      </c>
      <c r="BL3887">
        <v>1.01</v>
      </c>
      <c r="BM3887" t="s">
        <v>120</v>
      </c>
      <c r="BN3887" t="s">
        <v>120</v>
      </c>
      <c r="BO3887">
        <v>17.28</v>
      </c>
      <c r="BP3887">
        <v>63.16</v>
      </c>
      <c r="BQ3887">
        <v>15.37</v>
      </c>
      <c r="BR3887" t="s">
        <v>120</v>
      </c>
      <c r="BS3887">
        <v>11.04</v>
      </c>
      <c r="BT3887">
        <v>12.38</v>
      </c>
      <c r="BU3887">
        <v>2.44</v>
      </c>
      <c r="BV3887">
        <v>1.1599999999999999</v>
      </c>
      <c r="BW3887">
        <v>1.71</v>
      </c>
      <c r="BX3887">
        <v>9.0299999999999994</v>
      </c>
      <c r="BY3887">
        <v>1.22</v>
      </c>
      <c r="BZ3887">
        <v>1.77</v>
      </c>
      <c r="CA3887" t="s">
        <v>120</v>
      </c>
      <c r="CB3887">
        <v>9.52</v>
      </c>
      <c r="CC3887">
        <v>4.95</v>
      </c>
      <c r="CD3887">
        <v>2.93</v>
      </c>
      <c r="CE3887">
        <v>1.61</v>
      </c>
      <c r="CF3887">
        <v>7.0000000000000007E-2</v>
      </c>
      <c r="CG3887">
        <v>1.61</v>
      </c>
      <c r="CH3887">
        <v>1.37</v>
      </c>
      <c r="CI3887">
        <v>1.37</v>
      </c>
      <c r="CJ3887">
        <v>0.35</v>
      </c>
      <c r="CK3887">
        <v>1.32</v>
      </c>
      <c r="CL3887">
        <v>4.42</v>
      </c>
      <c r="CM3887">
        <v>0.85</v>
      </c>
      <c r="CN3887">
        <v>7.55</v>
      </c>
      <c r="CO3887">
        <v>7045</v>
      </c>
      <c r="CP3887">
        <v>3588</v>
      </c>
      <c r="CQ3887" t="s">
        <v>15906</v>
      </c>
      <c r="CR3887">
        <v>0</v>
      </c>
      <c r="CS3887">
        <v>0</v>
      </c>
      <c r="CT3887">
        <v>4.16</v>
      </c>
      <c r="CU3887">
        <v>75.48</v>
      </c>
      <c r="CV3887">
        <v>12.9</v>
      </c>
      <c r="CW3887">
        <v>0</v>
      </c>
      <c r="CX3887" t="s">
        <v>15907</v>
      </c>
      <c r="CY3887">
        <v>15.2</v>
      </c>
      <c r="CZ3887">
        <v>0</v>
      </c>
      <c r="DA3887">
        <v>9.41</v>
      </c>
      <c r="DB3887">
        <v>4.37</v>
      </c>
      <c r="DC3887">
        <v>0.84</v>
      </c>
      <c r="DD3887">
        <v>88.96</v>
      </c>
      <c r="DE3887" t="s">
        <v>9131</v>
      </c>
      <c r="DF3887">
        <v>40.75</v>
      </c>
      <c r="DG3887">
        <v>32.409999999999997</v>
      </c>
      <c r="DH3887">
        <v>27.74</v>
      </c>
      <c r="DI3887">
        <v>0.11</v>
      </c>
      <c r="DJ3887">
        <v>1105</v>
      </c>
      <c r="DK3887">
        <v>605080</v>
      </c>
      <c r="DL3887" t="s">
        <v>120</v>
      </c>
      <c r="DM3887" t="s">
        <v>120</v>
      </c>
      <c r="DN3887" t="s">
        <v>120</v>
      </c>
    </row>
    <row r="3888" spans="1:118">
      <c r="A3888" t="str">
        <f>"605081"</f>
        <v>605081</v>
      </c>
      <c r="B3888" t="s">
        <v>15908</v>
      </c>
      <c r="C3888">
        <v>-0.14000000000000001</v>
      </c>
      <c r="D3888">
        <v>0.23</v>
      </c>
      <c r="E3888">
        <v>0.14000000000000001</v>
      </c>
      <c r="F3888">
        <v>40</v>
      </c>
      <c r="G3888" t="s">
        <v>15909</v>
      </c>
      <c r="H3888">
        <v>1550.45</v>
      </c>
      <c r="I3888">
        <v>6.71</v>
      </c>
      <c r="J3888" t="s">
        <v>120</v>
      </c>
      <c r="K3888" t="s">
        <v>15909</v>
      </c>
      <c r="L3888">
        <v>2.2400000000000002</v>
      </c>
      <c r="M3888">
        <v>35.200000000000003</v>
      </c>
      <c r="N3888">
        <v>0.91</v>
      </c>
      <c r="O3888">
        <v>1.65</v>
      </c>
      <c r="P3888">
        <v>35.83</v>
      </c>
      <c r="Q3888">
        <v>-0.4</v>
      </c>
      <c r="R3888">
        <v>35.11</v>
      </c>
      <c r="S3888">
        <v>35.299999999999997</v>
      </c>
      <c r="T3888">
        <v>4366</v>
      </c>
      <c r="U3888">
        <v>35.200000000000003</v>
      </c>
      <c r="V3888">
        <v>35.25</v>
      </c>
      <c r="W3888">
        <v>32.89</v>
      </c>
      <c r="X3888" t="s">
        <v>318</v>
      </c>
      <c r="Y3888" t="s">
        <v>1510</v>
      </c>
      <c r="Z3888">
        <v>2.04</v>
      </c>
      <c r="AA3888">
        <v>35.51</v>
      </c>
      <c r="AB3888">
        <v>2376</v>
      </c>
      <c r="AC3888">
        <v>1990</v>
      </c>
      <c r="AD3888">
        <v>1.19</v>
      </c>
      <c r="AE3888">
        <v>32</v>
      </c>
      <c r="AF3888">
        <v>24</v>
      </c>
      <c r="AG3888" t="s">
        <v>120</v>
      </c>
      <c r="AH3888">
        <v>0.01</v>
      </c>
      <c r="AI3888" t="s">
        <v>120</v>
      </c>
      <c r="AJ3888">
        <v>0.2</v>
      </c>
      <c r="AK3888" t="s">
        <v>5071</v>
      </c>
      <c r="AL3888">
        <v>1.2</v>
      </c>
      <c r="AM3888">
        <v>769</v>
      </c>
      <c r="AN3888">
        <v>6</v>
      </c>
      <c r="AO3888">
        <v>2.8999999999999998E-3</v>
      </c>
      <c r="AP3888">
        <v>-1</v>
      </c>
      <c r="AQ3888">
        <v>0.17</v>
      </c>
      <c r="AR3888">
        <v>-1.7</v>
      </c>
      <c r="AS3888">
        <v>-1.79</v>
      </c>
      <c r="AT3888">
        <v>-11.23</v>
      </c>
      <c r="AU3888">
        <v>-18.71</v>
      </c>
      <c r="AV3888">
        <v>1</v>
      </c>
      <c r="AW3888">
        <v>2.2400000000000002</v>
      </c>
      <c r="AX3888">
        <v>25.01</v>
      </c>
      <c r="AY3888">
        <v>18.489999999999998</v>
      </c>
      <c r="AZ3888">
        <v>17.04</v>
      </c>
      <c r="BA3888">
        <v>0.72</v>
      </c>
      <c r="BB3888" t="s">
        <v>125</v>
      </c>
      <c r="BF3888">
        <v>0.74</v>
      </c>
      <c r="BG3888">
        <v>-0.28000000000000003</v>
      </c>
      <c r="BH3888">
        <v>-1.76</v>
      </c>
      <c r="BI3888">
        <v>0.26</v>
      </c>
      <c r="BJ3888">
        <v>20210914</v>
      </c>
      <c r="BK3888">
        <v>20210209</v>
      </c>
      <c r="BL3888">
        <v>0.78</v>
      </c>
      <c r="BM3888" t="s">
        <v>120</v>
      </c>
      <c r="BN3888" t="s">
        <v>120</v>
      </c>
      <c r="BO3888">
        <v>20.38</v>
      </c>
      <c r="BP3888">
        <v>35.19</v>
      </c>
      <c r="BQ3888">
        <v>17.89</v>
      </c>
      <c r="BR3888">
        <v>0.01</v>
      </c>
      <c r="BS3888">
        <v>12.18</v>
      </c>
      <c r="BT3888">
        <v>17.39</v>
      </c>
      <c r="BU3888">
        <v>0.12</v>
      </c>
      <c r="BV3888">
        <v>0.01</v>
      </c>
      <c r="BW3888">
        <v>2.23</v>
      </c>
      <c r="BX3888">
        <v>8.51</v>
      </c>
      <c r="BY3888">
        <v>0.09</v>
      </c>
      <c r="BZ3888">
        <v>4.6900000000000004</v>
      </c>
      <c r="CA3888" t="s">
        <v>120</v>
      </c>
      <c r="CB3888">
        <v>12.67</v>
      </c>
      <c r="CC3888">
        <v>1.81</v>
      </c>
      <c r="CD3888">
        <v>0.72</v>
      </c>
      <c r="CE3888">
        <v>0.44</v>
      </c>
      <c r="CF3888">
        <v>0</v>
      </c>
      <c r="CG3888">
        <v>0.46</v>
      </c>
      <c r="CH3888">
        <v>0.42</v>
      </c>
      <c r="CI3888">
        <v>0.42</v>
      </c>
      <c r="CJ3888">
        <v>-0.05</v>
      </c>
      <c r="CK3888">
        <v>0.4</v>
      </c>
      <c r="CL3888">
        <v>4.05</v>
      </c>
      <c r="CM3888">
        <v>-1.2</v>
      </c>
      <c r="CN3888">
        <v>5.92</v>
      </c>
      <c r="CO3888">
        <v>12309</v>
      </c>
      <c r="CP3888">
        <v>1587</v>
      </c>
      <c r="CQ3888" t="s">
        <v>11115</v>
      </c>
      <c r="CR3888">
        <v>-23.34</v>
      </c>
      <c r="CS3888">
        <v>-16.97</v>
      </c>
      <c r="CT3888">
        <v>1.54</v>
      </c>
      <c r="CU3888">
        <v>-22.91</v>
      </c>
      <c r="CV3888">
        <v>15.18</v>
      </c>
      <c r="CW3888">
        <v>0</v>
      </c>
      <c r="CX3888" t="s">
        <v>1656</v>
      </c>
      <c r="CY3888">
        <v>22.91</v>
      </c>
      <c r="CZ3888">
        <v>0</v>
      </c>
      <c r="DA3888">
        <v>16.23</v>
      </c>
      <c r="DB3888">
        <v>5.19</v>
      </c>
      <c r="DC3888">
        <v>-1.54</v>
      </c>
      <c r="DD3888">
        <v>87.77</v>
      </c>
      <c r="DE3888" t="s">
        <v>14943</v>
      </c>
      <c r="DF3888">
        <v>60.18</v>
      </c>
      <c r="DG3888">
        <v>24.29</v>
      </c>
      <c r="DH3888">
        <v>23.08</v>
      </c>
      <c r="DI3888">
        <v>0.11</v>
      </c>
      <c r="DJ3888">
        <v>993</v>
      </c>
      <c r="DK3888">
        <v>605081</v>
      </c>
      <c r="DL3888" t="s">
        <v>120</v>
      </c>
      <c r="DM3888" t="s">
        <v>120</v>
      </c>
      <c r="DN3888" t="s">
        <v>120</v>
      </c>
    </row>
    <row r="3889" spans="1:118">
      <c r="A3889" t="str">
        <f>"605086"</f>
        <v>605086</v>
      </c>
      <c r="B3889" t="s">
        <v>15910</v>
      </c>
      <c r="C3889">
        <v>-4.5</v>
      </c>
      <c r="D3889">
        <v>-0.11</v>
      </c>
      <c r="E3889">
        <v>0.15</v>
      </c>
      <c r="F3889">
        <v>394</v>
      </c>
      <c r="G3889" t="s">
        <v>15275</v>
      </c>
      <c r="H3889">
        <v>8962.86</v>
      </c>
      <c r="I3889">
        <v>12.65</v>
      </c>
      <c r="J3889" t="s">
        <v>120</v>
      </c>
      <c r="K3889" t="s">
        <v>15275</v>
      </c>
      <c r="L3889">
        <v>10.65</v>
      </c>
      <c r="M3889">
        <v>25.66</v>
      </c>
      <c r="N3889">
        <v>0.8</v>
      </c>
      <c r="O3889">
        <v>1.23</v>
      </c>
      <c r="P3889">
        <v>27.2</v>
      </c>
      <c r="Q3889">
        <v>-4.6100000000000003</v>
      </c>
      <c r="R3889">
        <v>25.63</v>
      </c>
      <c r="S3889">
        <v>26.91</v>
      </c>
      <c r="T3889">
        <v>34087</v>
      </c>
      <c r="U3889">
        <v>25.69</v>
      </c>
      <c r="V3889">
        <v>26.87</v>
      </c>
      <c r="W3889">
        <v>35.69</v>
      </c>
      <c r="X3889" t="s">
        <v>1991</v>
      </c>
      <c r="Y3889" t="s">
        <v>937</v>
      </c>
      <c r="Z3889">
        <v>5.84</v>
      </c>
      <c r="AA3889">
        <v>26.29</v>
      </c>
      <c r="AB3889">
        <v>21248</v>
      </c>
      <c r="AC3889">
        <v>12839</v>
      </c>
      <c r="AD3889">
        <v>1.65</v>
      </c>
      <c r="AE3889">
        <v>101</v>
      </c>
      <c r="AF3889">
        <v>38</v>
      </c>
      <c r="AG3889" t="s">
        <v>120</v>
      </c>
      <c r="AH3889">
        <v>0.01</v>
      </c>
      <c r="AI3889" t="s">
        <v>120</v>
      </c>
      <c r="AJ3889">
        <v>0.32</v>
      </c>
      <c r="AK3889" t="s">
        <v>5963</v>
      </c>
      <c r="AL3889">
        <v>-3.16</v>
      </c>
      <c r="AM3889">
        <v>2623</v>
      </c>
      <c r="AN3889">
        <v>13</v>
      </c>
      <c r="AO3889">
        <v>4.1000000000000003E-3</v>
      </c>
      <c r="AP3889">
        <v>-1</v>
      </c>
      <c r="AQ3889">
        <v>1.4</v>
      </c>
      <c r="AR3889">
        <v>-6.58</v>
      </c>
      <c r="AS3889">
        <v>-0.2</v>
      </c>
      <c r="AT3889">
        <v>7.95</v>
      </c>
      <c r="AU3889">
        <v>99.53</v>
      </c>
      <c r="AV3889">
        <v>7</v>
      </c>
      <c r="AW3889">
        <v>10.65</v>
      </c>
      <c r="AX3889">
        <v>25</v>
      </c>
      <c r="AY3889">
        <v>36.92</v>
      </c>
      <c r="AZ3889">
        <v>45.13</v>
      </c>
      <c r="BA3889">
        <v>1.53</v>
      </c>
      <c r="BB3889" t="s">
        <v>143</v>
      </c>
      <c r="BF3889">
        <v>-2.14</v>
      </c>
      <c r="BG3889">
        <v>-4.6500000000000004</v>
      </c>
      <c r="BH3889">
        <v>-5.66</v>
      </c>
      <c r="BI3889">
        <v>0.12</v>
      </c>
      <c r="BJ3889">
        <v>20210824</v>
      </c>
      <c r="BK3889">
        <v>20210416</v>
      </c>
      <c r="BL3889">
        <v>1.28</v>
      </c>
      <c r="BM3889" t="s">
        <v>120</v>
      </c>
      <c r="BN3889" t="s">
        <v>120</v>
      </c>
      <c r="BO3889">
        <v>10.76</v>
      </c>
      <c r="BP3889">
        <v>25.66</v>
      </c>
      <c r="BQ3889">
        <v>10.1</v>
      </c>
      <c r="BR3889" t="s">
        <v>120</v>
      </c>
      <c r="BS3889">
        <v>6.14</v>
      </c>
      <c r="BT3889">
        <v>5.59</v>
      </c>
      <c r="BU3889">
        <v>1.2</v>
      </c>
      <c r="BV3889">
        <v>3.56</v>
      </c>
      <c r="BW3889">
        <v>0.65</v>
      </c>
      <c r="BX3889">
        <v>4.12</v>
      </c>
      <c r="BY3889">
        <v>0.24</v>
      </c>
      <c r="BZ3889">
        <v>0</v>
      </c>
      <c r="CA3889" t="s">
        <v>120</v>
      </c>
      <c r="CB3889">
        <v>5.9</v>
      </c>
      <c r="CC3889">
        <v>1.36</v>
      </c>
      <c r="CD3889">
        <v>0.45</v>
      </c>
      <c r="CE3889">
        <v>0.6</v>
      </c>
      <c r="CF3889">
        <v>0.01</v>
      </c>
      <c r="CG3889">
        <v>0.6</v>
      </c>
      <c r="CH3889">
        <v>0.46</v>
      </c>
      <c r="CI3889">
        <v>0.46</v>
      </c>
      <c r="CJ3889">
        <v>-1.21</v>
      </c>
      <c r="CK3889">
        <v>0.46</v>
      </c>
      <c r="CL3889">
        <v>2.63</v>
      </c>
      <c r="CM3889">
        <v>0.51</v>
      </c>
      <c r="CN3889">
        <v>3.83</v>
      </c>
      <c r="CO3889">
        <v>17768</v>
      </c>
      <c r="CP3889">
        <v>1801</v>
      </c>
      <c r="CQ3889" t="s">
        <v>3282</v>
      </c>
      <c r="CR3889">
        <v>58.28</v>
      </c>
      <c r="CS3889">
        <v>49.67</v>
      </c>
      <c r="CT3889">
        <v>3.25</v>
      </c>
      <c r="CU3889">
        <v>63.88</v>
      </c>
      <c r="CV3889">
        <v>24.08</v>
      </c>
      <c r="CW3889">
        <v>0</v>
      </c>
      <c r="CX3889" t="s">
        <v>1462</v>
      </c>
      <c r="CY3889">
        <v>7.89</v>
      </c>
      <c r="CZ3889">
        <v>0</v>
      </c>
      <c r="DA3889">
        <v>4.6100000000000003</v>
      </c>
      <c r="DB3889">
        <v>2.0499999999999998</v>
      </c>
      <c r="DC3889">
        <v>0.4</v>
      </c>
      <c r="DD3889">
        <v>93.86</v>
      </c>
      <c r="DE3889" t="s">
        <v>5919</v>
      </c>
      <c r="DF3889">
        <v>67.16</v>
      </c>
      <c r="DG3889">
        <v>44.08</v>
      </c>
      <c r="DH3889">
        <v>33.74</v>
      </c>
      <c r="DI3889">
        <v>0.04</v>
      </c>
      <c r="DJ3889">
        <v>261</v>
      </c>
      <c r="DK3889">
        <v>605086</v>
      </c>
      <c r="DL3889" t="s">
        <v>120</v>
      </c>
      <c r="DM3889" t="s">
        <v>120</v>
      </c>
      <c r="DN3889" t="s">
        <v>120</v>
      </c>
    </row>
    <row r="3890" spans="1:118">
      <c r="A3890" t="str">
        <f>"605088"</f>
        <v>605088</v>
      </c>
      <c r="B3890" t="s">
        <v>15911</v>
      </c>
      <c r="C3890">
        <v>0.63</v>
      </c>
      <c r="D3890">
        <v>0.35</v>
      </c>
      <c r="E3890">
        <v>7.0000000000000007E-2</v>
      </c>
      <c r="F3890">
        <v>308</v>
      </c>
      <c r="G3890" t="s">
        <v>15912</v>
      </c>
      <c r="H3890">
        <v>1625.71</v>
      </c>
      <c r="I3890">
        <v>0</v>
      </c>
      <c r="J3890" t="s">
        <v>120</v>
      </c>
      <c r="K3890" t="s">
        <v>6715</v>
      </c>
      <c r="L3890">
        <v>1.52</v>
      </c>
      <c r="M3890">
        <v>14.28</v>
      </c>
      <c r="N3890">
        <v>1.1299999999999999</v>
      </c>
      <c r="O3890">
        <v>1.48</v>
      </c>
      <c r="P3890">
        <v>14.4</v>
      </c>
      <c r="Q3890">
        <v>-0.21</v>
      </c>
      <c r="R3890">
        <v>14.16</v>
      </c>
      <c r="S3890">
        <v>14.2</v>
      </c>
      <c r="T3890">
        <v>11367</v>
      </c>
      <c r="U3890">
        <v>14.28</v>
      </c>
      <c r="V3890">
        <v>14.19</v>
      </c>
      <c r="W3890">
        <v>18.37</v>
      </c>
      <c r="X3890" t="s">
        <v>289</v>
      </c>
      <c r="Y3890" t="s">
        <v>585</v>
      </c>
      <c r="Z3890">
        <v>1.69</v>
      </c>
      <c r="AA3890">
        <v>14.3</v>
      </c>
      <c r="AB3890">
        <v>4399</v>
      </c>
      <c r="AC3890">
        <v>6968</v>
      </c>
      <c r="AD3890">
        <v>0.63</v>
      </c>
      <c r="AE3890">
        <v>5</v>
      </c>
      <c r="AF3890">
        <v>2</v>
      </c>
      <c r="AG3890" t="s">
        <v>120</v>
      </c>
      <c r="AH3890">
        <v>0</v>
      </c>
      <c r="AI3890" t="s">
        <v>120</v>
      </c>
      <c r="AJ3890">
        <v>0.75</v>
      </c>
      <c r="AK3890" t="s">
        <v>15913</v>
      </c>
      <c r="AL3890">
        <v>1.98</v>
      </c>
      <c r="AM3890">
        <v>913</v>
      </c>
      <c r="AN3890">
        <v>12</v>
      </c>
      <c r="AO3890">
        <v>1.6999999999999999E-3</v>
      </c>
      <c r="AP3890">
        <v>1</v>
      </c>
      <c r="AQ3890">
        <v>-2.0699999999999998</v>
      </c>
      <c r="AR3890">
        <v>-1.59</v>
      </c>
      <c r="AS3890">
        <v>2.66</v>
      </c>
      <c r="AT3890">
        <v>-11.41</v>
      </c>
      <c r="AU3890">
        <v>-32.74</v>
      </c>
      <c r="AV3890">
        <v>1</v>
      </c>
      <c r="AW3890">
        <v>1.74</v>
      </c>
      <c r="AX3890">
        <v>39.26</v>
      </c>
      <c r="AY3890">
        <v>26.74</v>
      </c>
      <c r="AZ3890">
        <v>25.53</v>
      </c>
      <c r="BA3890">
        <v>0.83</v>
      </c>
      <c r="BB3890" t="s">
        <v>143</v>
      </c>
      <c r="BF3890">
        <v>0.79</v>
      </c>
      <c r="BG3890">
        <v>0.56000000000000005</v>
      </c>
      <c r="BH3890">
        <v>-0.83</v>
      </c>
      <c r="BI3890">
        <v>0.85</v>
      </c>
      <c r="BJ3890">
        <v>20210824</v>
      </c>
      <c r="BK3890">
        <v>20200817</v>
      </c>
      <c r="BL3890">
        <v>1.66</v>
      </c>
      <c r="BM3890" t="s">
        <v>120</v>
      </c>
      <c r="BN3890" t="s">
        <v>120</v>
      </c>
      <c r="BO3890">
        <v>23.27</v>
      </c>
      <c r="BP3890">
        <v>14.27</v>
      </c>
      <c r="BQ3890">
        <v>14.68</v>
      </c>
      <c r="BR3890" t="s">
        <v>120</v>
      </c>
      <c r="BS3890">
        <v>36.92</v>
      </c>
      <c r="BT3890">
        <v>18.91</v>
      </c>
      <c r="BU3890">
        <v>3.22</v>
      </c>
      <c r="BV3890">
        <v>0.5</v>
      </c>
      <c r="BW3890">
        <v>8.16</v>
      </c>
      <c r="BX3890">
        <v>5.36</v>
      </c>
      <c r="BY3890">
        <v>4.8099999999999996</v>
      </c>
      <c r="BZ3890">
        <v>4.46</v>
      </c>
      <c r="CA3890" t="s">
        <v>120</v>
      </c>
      <c r="CB3890">
        <v>6.68</v>
      </c>
      <c r="CC3890">
        <v>11.54</v>
      </c>
      <c r="CD3890">
        <v>9.42</v>
      </c>
      <c r="CE3890">
        <v>0.72</v>
      </c>
      <c r="CF3890">
        <v>0.19</v>
      </c>
      <c r="CG3890">
        <v>0.73</v>
      </c>
      <c r="CH3890">
        <v>0.64</v>
      </c>
      <c r="CI3890">
        <v>0.64</v>
      </c>
      <c r="CJ3890">
        <v>0.09</v>
      </c>
      <c r="CK3890">
        <v>0.41</v>
      </c>
      <c r="CL3890">
        <v>5.84</v>
      </c>
      <c r="CM3890">
        <v>-0.85</v>
      </c>
      <c r="CN3890">
        <v>-0.67</v>
      </c>
      <c r="CO3890">
        <v>14837</v>
      </c>
      <c r="CP3890">
        <v>4391</v>
      </c>
      <c r="CQ3890" t="s">
        <v>4771</v>
      </c>
      <c r="CR3890">
        <v>-6.09</v>
      </c>
      <c r="CS3890">
        <v>32.35</v>
      </c>
      <c r="CT3890">
        <v>1.61</v>
      </c>
      <c r="CU3890">
        <v>-27.91</v>
      </c>
      <c r="CV3890">
        <v>2.0499999999999998</v>
      </c>
      <c r="CW3890">
        <v>1.41</v>
      </c>
      <c r="CX3890" t="s">
        <v>3527</v>
      </c>
      <c r="CY3890">
        <v>8.85</v>
      </c>
      <c r="CZ3890">
        <v>0</v>
      </c>
      <c r="DA3890">
        <v>4.03</v>
      </c>
      <c r="DB3890">
        <v>3.52</v>
      </c>
      <c r="DC3890">
        <v>-0.51</v>
      </c>
      <c r="DD3890">
        <v>63.08</v>
      </c>
      <c r="DE3890" t="s">
        <v>2820</v>
      </c>
      <c r="DF3890">
        <v>18.38</v>
      </c>
      <c r="DG3890">
        <v>6.27</v>
      </c>
      <c r="DH3890">
        <v>5.59</v>
      </c>
      <c r="DI3890">
        <v>0.42</v>
      </c>
      <c r="DJ3890">
        <v>2274</v>
      </c>
      <c r="DK3890">
        <v>605088</v>
      </c>
      <c r="DL3890" t="s">
        <v>120</v>
      </c>
      <c r="DM3890" t="s">
        <v>120</v>
      </c>
      <c r="DN3890" t="s">
        <v>120</v>
      </c>
    </row>
    <row r="3891" spans="1:118">
      <c r="A3891" t="str">
        <f>"605089"</f>
        <v>605089</v>
      </c>
      <c r="B3891" t="s">
        <v>15914</v>
      </c>
      <c r="C3891">
        <v>0.13</v>
      </c>
      <c r="D3891">
        <v>-0.06</v>
      </c>
      <c r="E3891">
        <v>-0.22</v>
      </c>
      <c r="F3891">
        <v>252</v>
      </c>
      <c r="G3891" t="s">
        <v>422</v>
      </c>
      <c r="H3891">
        <v>11271.72</v>
      </c>
      <c r="I3891">
        <v>29.67</v>
      </c>
      <c r="J3891" t="s">
        <v>120</v>
      </c>
      <c r="K3891" t="s">
        <v>422</v>
      </c>
      <c r="L3891">
        <v>6.45</v>
      </c>
      <c r="M3891">
        <v>69.239999999999995</v>
      </c>
      <c r="N3891">
        <v>0.81</v>
      </c>
      <c r="O3891">
        <v>3.53</v>
      </c>
      <c r="P3891">
        <v>71.59</v>
      </c>
      <c r="Q3891">
        <v>-1.95</v>
      </c>
      <c r="R3891">
        <v>67.8</v>
      </c>
      <c r="S3891">
        <v>69</v>
      </c>
      <c r="T3891">
        <v>16117</v>
      </c>
      <c r="U3891">
        <v>69.239999999999995</v>
      </c>
      <c r="V3891">
        <v>69.150000000000006</v>
      </c>
      <c r="W3891">
        <v>56.37</v>
      </c>
      <c r="X3891" t="s">
        <v>847</v>
      </c>
      <c r="Y3891" t="s">
        <v>319</v>
      </c>
      <c r="Z3891">
        <v>5.48</v>
      </c>
      <c r="AA3891">
        <v>69.94</v>
      </c>
      <c r="AB3891">
        <v>7786</v>
      </c>
      <c r="AC3891">
        <v>8331</v>
      </c>
      <c r="AD3891">
        <v>0.93</v>
      </c>
      <c r="AE3891">
        <v>2</v>
      </c>
      <c r="AF3891">
        <v>36</v>
      </c>
      <c r="AG3891" t="s">
        <v>120</v>
      </c>
      <c r="AH3891">
        <v>0.02</v>
      </c>
      <c r="AI3891" t="s">
        <v>120</v>
      </c>
      <c r="AJ3891">
        <v>0.25</v>
      </c>
      <c r="AK3891" t="s">
        <v>15915</v>
      </c>
      <c r="AL3891">
        <v>1.47</v>
      </c>
      <c r="AM3891">
        <v>2276</v>
      </c>
      <c r="AN3891">
        <v>7</v>
      </c>
      <c r="AO3891">
        <v>2.8E-3</v>
      </c>
      <c r="AP3891">
        <v>1</v>
      </c>
      <c r="AQ3891">
        <v>-5.79</v>
      </c>
      <c r="AR3891">
        <v>-4.7300000000000004</v>
      </c>
      <c r="AS3891">
        <v>3.15</v>
      </c>
      <c r="AT3891">
        <v>-23.89</v>
      </c>
      <c r="AU3891">
        <v>142.69999999999999</v>
      </c>
      <c r="AV3891">
        <v>8</v>
      </c>
      <c r="AW3891">
        <v>6.45</v>
      </c>
      <c r="AX3891">
        <v>25</v>
      </c>
      <c r="AY3891">
        <v>51.55</v>
      </c>
      <c r="AZ3891">
        <v>55.3</v>
      </c>
      <c r="BA3891">
        <v>0.86</v>
      </c>
      <c r="BB3891" t="s">
        <v>143</v>
      </c>
      <c r="BF3891">
        <v>1.1399999999999999</v>
      </c>
      <c r="BG3891">
        <v>0.35</v>
      </c>
      <c r="BH3891">
        <v>-3.28</v>
      </c>
      <c r="BI3891">
        <v>2.12</v>
      </c>
      <c r="BJ3891">
        <v>20210819</v>
      </c>
      <c r="BK3891">
        <v>20210427</v>
      </c>
      <c r="BL3891">
        <v>1</v>
      </c>
      <c r="BM3891" t="s">
        <v>120</v>
      </c>
      <c r="BN3891" t="s">
        <v>120</v>
      </c>
      <c r="BO3891">
        <v>11.57</v>
      </c>
      <c r="BP3891">
        <v>69.23</v>
      </c>
      <c r="BQ3891">
        <v>10.99</v>
      </c>
      <c r="BR3891" t="s">
        <v>120</v>
      </c>
      <c r="BS3891">
        <v>4.97</v>
      </c>
      <c r="BT3891">
        <v>10.91</v>
      </c>
      <c r="BU3891">
        <v>0.12</v>
      </c>
      <c r="BV3891">
        <v>0.1</v>
      </c>
      <c r="BW3891">
        <v>0.49</v>
      </c>
      <c r="BX3891">
        <v>5.45</v>
      </c>
      <c r="BY3891">
        <v>0.41</v>
      </c>
      <c r="BZ3891">
        <v>0.05</v>
      </c>
      <c r="CA3891" t="s">
        <v>120</v>
      </c>
      <c r="CB3891">
        <v>6.51</v>
      </c>
      <c r="CC3891">
        <v>3.65</v>
      </c>
      <c r="CD3891">
        <v>2.71</v>
      </c>
      <c r="CE3891">
        <v>0.66</v>
      </c>
      <c r="CF3891">
        <v>0</v>
      </c>
      <c r="CG3891">
        <v>0.65</v>
      </c>
      <c r="CH3891">
        <v>0.61</v>
      </c>
      <c r="CI3891">
        <v>0.61</v>
      </c>
      <c r="CJ3891">
        <v>0.09</v>
      </c>
      <c r="CK3891">
        <v>0.61</v>
      </c>
      <c r="CL3891">
        <v>3.14</v>
      </c>
      <c r="CM3891">
        <v>0.74</v>
      </c>
      <c r="CN3891">
        <v>2.14</v>
      </c>
      <c r="CO3891">
        <v>17179</v>
      </c>
      <c r="CP3891">
        <v>1455</v>
      </c>
      <c r="CQ3891" t="s">
        <v>6843</v>
      </c>
      <c r="CR3891">
        <v>0</v>
      </c>
      <c r="CS3891">
        <v>0</v>
      </c>
      <c r="CT3891">
        <v>6.3</v>
      </c>
      <c r="CU3891">
        <v>92.98</v>
      </c>
      <c r="CV3891">
        <v>18.95</v>
      </c>
      <c r="CW3891">
        <v>0</v>
      </c>
      <c r="CX3891" t="s">
        <v>10740</v>
      </c>
      <c r="CY3891">
        <v>10.99</v>
      </c>
      <c r="CZ3891">
        <v>0</v>
      </c>
      <c r="DA3891">
        <v>6.51</v>
      </c>
      <c r="DB3891">
        <v>3.14</v>
      </c>
      <c r="DC3891">
        <v>0.74</v>
      </c>
      <c r="DD3891">
        <v>95.03</v>
      </c>
      <c r="DE3891" t="s">
        <v>7117</v>
      </c>
      <c r="DF3891">
        <v>25.91</v>
      </c>
      <c r="DG3891">
        <v>17.97</v>
      </c>
      <c r="DH3891">
        <v>16.809999999999999</v>
      </c>
      <c r="DI3891">
        <v>0.01</v>
      </c>
      <c r="DJ3891">
        <v>411</v>
      </c>
      <c r="DK3891">
        <v>605089</v>
      </c>
      <c r="DL3891">
        <v>20210810</v>
      </c>
      <c r="DM3891">
        <v>77.180000000000007</v>
      </c>
      <c r="DN3891">
        <v>-10.29</v>
      </c>
    </row>
    <row r="3892" spans="1:118">
      <c r="A3892" t="str">
        <f>"605090"</f>
        <v>605090</v>
      </c>
      <c r="B3892" t="s">
        <v>15916</v>
      </c>
      <c r="C3892">
        <v>3.8</v>
      </c>
      <c r="D3892">
        <v>0</v>
      </c>
      <c r="E3892">
        <v>1.1399999999999999</v>
      </c>
      <c r="F3892">
        <v>871</v>
      </c>
      <c r="G3892" t="s">
        <v>6092</v>
      </c>
      <c r="H3892">
        <v>76424</v>
      </c>
      <c r="I3892">
        <v>219.6</v>
      </c>
      <c r="J3892" t="s">
        <v>120</v>
      </c>
      <c r="K3892" t="s">
        <v>6092</v>
      </c>
      <c r="L3892">
        <v>23.42</v>
      </c>
      <c r="M3892">
        <v>38.200000000000003</v>
      </c>
      <c r="N3892">
        <v>1.53</v>
      </c>
      <c r="O3892">
        <v>10</v>
      </c>
      <c r="P3892">
        <v>40.479999999999997</v>
      </c>
      <c r="Q3892">
        <v>1.0900000000000001</v>
      </c>
      <c r="R3892">
        <v>37.200000000000003</v>
      </c>
      <c r="S3892">
        <v>37.22</v>
      </c>
      <c r="T3892">
        <v>194281</v>
      </c>
      <c r="U3892">
        <v>38.22</v>
      </c>
      <c r="V3892">
        <v>36.799999999999997</v>
      </c>
      <c r="W3892">
        <v>21.3</v>
      </c>
      <c r="X3892" t="s">
        <v>684</v>
      </c>
      <c r="Y3892" t="s">
        <v>676</v>
      </c>
      <c r="Z3892">
        <v>8.91</v>
      </c>
      <c r="AA3892">
        <v>39.340000000000003</v>
      </c>
      <c r="AB3892">
        <v>89678</v>
      </c>
      <c r="AC3892">
        <v>104603</v>
      </c>
      <c r="AD3892">
        <v>0.86</v>
      </c>
      <c r="AE3892">
        <v>673</v>
      </c>
      <c r="AF3892">
        <v>29</v>
      </c>
      <c r="AG3892" t="s">
        <v>120</v>
      </c>
      <c r="AH3892">
        <v>7.0000000000000007E-2</v>
      </c>
      <c r="AI3892" t="s">
        <v>120</v>
      </c>
      <c r="AJ3892">
        <v>0.83</v>
      </c>
      <c r="AK3892" t="s">
        <v>8914</v>
      </c>
      <c r="AL3892">
        <v>5.15</v>
      </c>
      <c r="AM3892">
        <v>4017</v>
      </c>
      <c r="AN3892">
        <v>48</v>
      </c>
      <c r="AO3892">
        <v>5.7999999999999996E-3</v>
      </c>
      <c r="AP3892">
        <v>2</v>
      </c>
      <c r="AQ3892">
        <v>2.62</v>
      </c>
      <c r="AR3892">
        <v>3.78</v>
      </c>
      <c r="AS3892">
        <v>11.99</v>
      </c>
      <c r="AT3892">
        <v>12.92</v>
      </c>
      <c r="AU3892">
        <v>10.5</v>
      </c>
      <c r="AV3892">
        <v>1</v>
      </c>
      <c r="AW3892">
        <v>23.42</v>
      </c>
      <c r="AX3892">
        <v>18.73</v>
      </c>
      <c r="AY3892">
        <v>20.05</v>
      </c>
      <c r="AZ3892">
        <v>21.24</v>
      </c>
      <c r="BA3892">
        <v>1.54</v>
      </c>
      <c r="BB3892" t="s">
        <v>143</v>
      </c>
      <c r="BF3892">
        <v>6.89</v>
      </c>
      <c r="BG3892">
        <v>2.63</v>
      </c>
      <c r="BH3892">
        <v>-5.63</v>
      </c>
      <c r="BI3892">
        <v>2.69</v>
      </c>
      <c r="BJ3892">
        <v>20210823</v>
      </c>
      <c r="BK3892">
        <v>20210525</v>
      </c>
      <c r="BL3892">
        <v>4.43</v>
      </c>
      <c r="BM3892" t="s">
        <v>120</v>
      </c>
      <c r="BN3892" t="s">
        <v>120</v>
      </c>
      <c r="BO3892">
        <v>79.790000000000006</v>
      </c>
      <c r="BP3892">
        <v>38.200000000000003</v>
      </c>
      <c r="BQ3892">
        <v>55.89</v>
      </c>
      <c r="BR3892">
        <v>1.82</v>
      </c>
      <c r="BS3892">
        <v>27.68</v>
      </c>
      <c r="BT3892">
        <v>50.85</v>
      </c>
      <c r="BU3892">
        <v>18.100000000000001</v>
      </c>
      <c r="BV3892">
        <v>1.39</v>
      </c>
      <c r="BW3892">
        <v>15.62</v>
      </c>
      <c r="BX3892">
        <v>35.979999999999997</v>
      </c>
      <c r="BY3892">
        <v>4.78</v>
      </c>
      <c r="BZ3892">
        <v>4.1900000000000004</v>
      </c>
      <c r="CA3892">
        <v>7.0000000000000007E-2</v>
      </c>
      <c r="CB3892">
        <v>32.85</v>
      </c>
      <c r="CC3892">
        <v>66.33</v>
      </c>
      <c r="CD3892">
        <v>59.42</v>
      </c>
      <c r="CE3892">
        <v>4.6900000000000004</v>
      </c>
      <c r="CF3892">
        <v>-1.23</v>
      </c>
      <c r="CG3892">
        <v>4.72</v>
      </c>
      <c r="CH3892">
        <v>3.99</v>
      </c>
      <c r="CI3892">
        <v>3.97</v>
      </c>
      <c r="CJ3892">
        <v>1.4</v>
      </c>
      <c r="CK3892">
        <v>4.3899999999999997</v>
      </c>
      <c r="CL3892">
        <v>18.37</v>
      </c>
      <c r="CM3892">
        <v>1.56</v>
      </c>
      <c r="CN3892">
        <v>23.51</v>
      </c>
      <c r="CO3892">
        <v>54787</v>
      </c>
      <c r="CP3892">
        <v>1514</v>
      </c>
      <c r="CQ3892" t="s">
        <v>4197</v>
      </c>
      <c r="CR3892">
        <v>0</v>
      </c>
      <c r="CS3892">
        <v>0</v>
      </c>
      <c r="CT3892">
        <v>3.03</v>
      </c>
      <c r="CU3892">
        <v>108.19</v>
      </c>
      <c r="CV3892">
        <v>2.5499999999999998</v>
      </c>
      <c r="CW3892">
        <v>0.49</v>
      </c>
      <c r="CX3892" t="s">
        <v>3039</v>
      </c>
      <c r="CY3892">
        <v>12.62</v>
      </c>
      <c r="CZ3892">
        <v>0</v>
      </c>
      <c r="DA3892">
        <v>7.42</v>
      </c>
      <c r="DB3892">
        <v>4.1500000000000004</v>
      </c>
      <c r="DC3892">
        <v>0.35</v>
      </c>
      <c r="DD3892">
        <v>70.040000000000006</v>
      </c>
      <c r="DE3892" t="s">
        <v>14200</v>
      </c>
      <c r="DF3892">
        <v>10.42</v>
      </c>
      <c r="DG3892">
        <v>7.07</v>
      </c>
      <c r="DH3892">
        <v>5.99</v>
      </c>
      <c r="DI3892" t="s">
        <v>120</v>
      </c>
      <c r="DJ3892">
        <v>805</v>
      </c>
      <c r="DK3892">
        <v>605090</v>
      </c>
      <c r="DL3892" t="s">
        <v>120</v>
      </c>
      <c r="DM3892" t="s">
        <v>120</v>
      </c>
      <c r="DN3892" t="s">
        <v>120</v>
      </c>
    </row>
    <row r="3893" spans="1:118">
      <c r="A3893" t="str">
        <f>"605098"</f>
        <v>605098</v>
      </c>
      <c r="B3893" t="s">
        <v>15917</v>
      </c>
      <c r="C3893">
        <v>-4.62</v>
      </c>
      <c r="D3893">
        <v>0.05</v>
      </c>
      <c r="E3893">
        <v>-0.59</v>
      </c>
      <c r="F3893">
        <v>108</v>
      </c>
      <c r="G3893" t="s">
        <v>9448</v>
      </c>
      <c r="H3893">
        <v>3125.51</v>
      </c>
      <c r="I3893">
        <v>14.46</v>
      </c>
      <c r="J3893" t="s">
        <v>120</v>
      </c>
      <c r="K3893" t="s">
        <v>9448</v>
      </c>
      <c r="L3893">
        <v>3.38</v>
      </c>
      <c r="M3893">
        <v>43.35</v>
      </c>
      <c r="N3893">
        <v>1.06</v>
      </c>
      <c r="O3893">
        <v>-0.59</v>
      </c>
      <c r="P3893">
        <v>45.18</v>
      </c>
      <c r="Q3893">
        <v>-4.91</v>
      </c>
      <c r="R3893">
        <v>43.22</v>
      </c>
      <c r="S3893">
        <v>45.18</v>
      </c>
      <c r="T3893">
        <v>7121</v>
      </c>
      <c r="U3893">
        <v>43.4</v>
      </c>
      <c r="V3893">
        <v>45.45</v>
      </c>
      <c r="W3893">
        <v>23.85</v>
      </c>
      <c r="X3893" t="s">
        <v>213</v>
      </c>
      <c r="Y3893" t="s">
        <v>1510</v>
      </c>
      <c r="Z3893">
        <v>4.3099999999999996</v>
      </c>
      <c r="AA3893">
        <v>43.89</v>
      </c>
      <c r="AB3893">
        <v>4511</v>
      </c>
      <c r="AC3893">
        <v>2610</v>
      </c>
      <c r="AD3893">
        <v>1.73</v>
      </c>
      <c r="AE3893">
        <v>61</v>
      </c>
      <c r="AF3893">
        <v>1</v>
      </c>
      <c r="AG3893" t="s">
        <v>120</v>
      </c>
      <c r="AH3893">
        <v>0.02</v>
      </c>
      <c r="AI3893" t="s">
        <v>120</v>
      </c>
      <c r="AJ3893">
        <v>0.21</v>
      </c>
      <c r="AK3893" t="s">
        <v>15918</v>
      </c>
      <c r="AL3893">
        <v>-3.28</v>
      </c>
      <c r="AM3893">
        <v>1132</v>
      </c>
      <c r="AN3893">
        <v>6</v>
      </c>
      <c r="AO3893">
        <v>3.0000000000000001E-3</v>
      </c>
      <c r="AP3893">
        <v>-1</v>
      </c>
      <c r="AQ3893">
        <v>0.33</v>
      </c>
      <c r="AR3893">
        <v>-3.56</v>
      </c>
      <c r="AS3893">
        <v>-12.07</v>
      </c>
      <c r="AT3893">
        <v>-14.8</v>
      </c>
      <c r="AU3893">
        <v>57.18</v>
      </c>
      <c r="AV3893">
        <v>4</v>
      </c>
      <c r="AW3893">
        <v>3.38</v>
      </c>
      <c r="AX3893">
        <v>25.01</v>
      </c>
      <c r="AY3893">
        <v>26.67</v>
      </c>
      <c r="AZ3893">
        <v>35.92</v>
      </c>
      <c r="BA3893">
        <v>0</v>
      </c>
      <c r="BB3893" t="s">
        <v>143</v>
      </c>
      <c r="BF3893">
        <v>-3.43</v>
      </c>
      <c r="BG3893">
        <v>-4.05</v>
      </c>
      <c r="BH3893">
        <v>-4.05</v>
      </c>
      <c r="BI3893">
        <v>0.3</v>
      </c>
      <c r="BJ3893">
        <v>20210903</v>
      </c>
      <c r="BK3893">
        <v>20210421</v>
      </c>
      <c r="BL3893">
        <v>0.84</v>
      </c>
      <c r="BM3893" t="s">
        <v>120</v>
      </c>
      <c r="BN3893" t="s">
        <v>120</v>
      </c>
      <c r="BO3893">
        <v>18.420000000000002</v>
      </c>
      <c r="BP3893">
        <v>43.35</v>
      </c>
      <c r="BQ3893">
        <v>10.4</v>
      </c>
      <c r="BR3893">
        <v>0.02</v>
      </c>
      <c r="BS3893">
        <v>43.45</v>
      </c>
      <c r="BT3893">
        <v>15.77</v>
      </c>
      <c r="BU3893">
        <v>1.82</v>
      </c>
      <c r="BV3893">
        <v>0.01</v>
      </c>
      <c r="BW3893">
        <v>7.74</v>
      </c>
      <c r="BX3893">
        <v>9.49</v>
      </c>
      <c r="BY3893">
        <v>0.03</v>
      </c>
      <c r="BZ3893">
        <v>0</v>
      </c>
      <c r="CA3893" t="s">
        <v>120</v>
      </c>
      <c r="CB3893">
        <v>5.03</v>
      </c>
      <c r="CC3893">
        <v>2.42</v>
      </c>
      <c r="CD3893">
        <v>0.49</v>
      </c>
      <c r="CE3893">
        <v>0.89</v>
      </c>
      <c r="CF3893">
        <v>0.03</v>
      </c>
      <c r="CG3893">
        <v>0.9</v>
      </c>
      <c r="CH3893">
        <v>0.77</v>
      </c>
      <c r="CI3893">
        <v>0.77</v>
      </c>
      <c r="CJ3893">
        <v>-2.1</v>
      </c>
      <c r="CK3893">
        <v>0.68</v>
      </c>
      <c r="CL3893">
        <v>4.0999999999999996</v>
      </c>
      <c r="CM3893">
        <v>-4.18</v>
      </c>
      <c r="CN3893">
        <v>-5.0199999999999996</v>
      </c>
      <c r="CO3893">
        <v>6433</v>
      </c>
      <c r="CP3893">
        <v>3278</v>
      </c>
      <c r="CQ3893" t="s">
        <v>15919</v>
      </c>
      <c r="CR3893">
        <v>0</v>
      </c>
      <c r="CS3893">
        <v>0</v>
      </c>
      <c r="CT3893">
        <v>3.52</v>
      </c>
      <c r="CU3893">
        <v>-8.74</v>
      </c>
      <c r="CV3893">
        <v>15.11</v>
      </c>
      <c r="CW3893">
        <v>1.54</v>
      </c>
      <c r="CX3893" t="s">
        <v>1953</v>
      </c>
      <c r="CY3893">
        <v>12.33</v>
      </c>
      <c r="CZ3893">
        <v>0</v>
      </c>
      <c r="DA3893">
        <v>5.96</v>
      </c>
      <c r="DB3893">
        <v>4.8600000000000003</v>
      </c>
      <c r="DC3893">
        <v>-4.96</v>
      </c>
      <c r="DD3893">
        <v>56.42</v>
      </c>
      <c r="DE3893" t="s">
        <v>15920</v>
      </c>
      <c r="DF3893">
        <v>79.7</v>
      </c>
      <c r="DG3893">
        <v>36.869999999999997</v>
      </c>
      <c r="DH3893">
        <v>31.69</v>
      </c>
      <c r="DI3893">
        <v>0.13</v>
      </c>
      <c r="DJ3893">
        <v>741</v>
      </c>
      <c r="DK3893">
        <v>605098</v>
      </c>
      <c r="DL3893" t="s">
        <v>120</v>
      </c>
      <c r="DM3893" t="s">
        <v>120</v>
      </c>
      <c r="DN3893" t="s">
        <v>120</v>
      </c>
    </row>
    <row r="3894" spans="1:118">
      <c r="A3894" t="str">
        <f>"605099"</f>
        <v>605099</v>
      </c>
      <c r="B3894" t="s">
        <v>15921</v>
      </c>
      <c r="C3894">
        <v>-1.08</v>
      </c>
      <c r="D3894">
        <v>0</v>
      </c>
      <c r="E3894">
        <v>0.87</v>
      </c>
      <c r="F3894">
        <v>35</v>
      </c>
      <c r="G3894" t="s">
        <v>15922</v>
      </c>
      <c r="H3894">
        <v>2363.54</v>
      </c>
      <c r="I3894">
        <v>4.37</v>
      </c>
      <c r="J3894" t="s">
        <v>120</v>
      </c>
      <c r="K3894" t="s">
        <v>15922</v>
      </c>
      <c r="L3894">
        <v>1.78</v>
      </c>
      <c r="M3894">
        <v>32.97</v>
      </c>
      <c r="N3894">
        <v>0.65</v>
      </c>
      <c r="O3894">
        <v>0.96</v>
      </c>
      <c r="P3894">
        <v>33.65</v>
      </c>
      <c r="Q3894">
        <v>-1.44</v>
      </c>
      <c r="R3894">
        <v>32.85</v>
      </c>
      <c r="S3894">
        <v>33.619999999999997</v>
      </c>
      <c r="T3894">
        <v>7128</v>
      </c>
      <c r="U3894">
        <v>32.97</v>
      </c>
      <c r="V3894">
        <v>33.33</v>
      </c>
      <c r="W3894">
        <v>30.64</v>
      </c>
      <c r="X3894" t="s">
        <v>213</v>
      </c>
      <c r="Y3894" t="s">
        <v>319</v>
      </c>
      <c r="Z3894">
        <v>2.4</v>
      </c>
      <c r="AA3894">
        <v>33.159999999999997</v>
      </c>
      <c r="AB3894">
        <v>4704</v>
      </c>
      <c r="AC3894">
        <v>2424</v>
      </c>
      <c r="AD3894">
        <v>1.94</v>
      </c>
      <c r="AE3894">
        <v>74</v>
      </c>
      <c r="AF3894">
        <v>72</v>
      </c>
      <c r="AG3894" t="s">
        <v>120</v>
      </c>
      <c r="AH3894">
        <v>0</v>
      </c>
      <c r="AI3894" t="s">
        <v>120</v>
      </c>
      <c r="AJ3894">
        <v>0.4</v>
      </c>
      <c r="AK3894" t="s">
        <v>15923</v>
      </c>
      <c r="AL3894">
        <v>0.26</v>
      </c>
      <c r="AM3894">
        <v>929</v>
      </c>
      <c r="AN3894">
        <v>8</v>
      </c>
      <c r="AO3894">
        <v>1.9E-3</v>
      </c>
      <c r="AP3894">
        <v>-1</v>
      </c>
      <c r="AQ3894">
        <v>0.33</v>
      </c>
      <c r="AR3894">
        <v>-1.59</v>
      </c>
      <c r="AS3894">
        <v>-12.78</v>
      </c>
      <c r="AT3894">
        <v>-25.98</v>
      </c>
      <c r="AU3894">
        <v>7.92</v>
      </c>
      <c r="AV3894">
        <v>13</v>
      </c>
      <c r="AW3894">
        <v>1.78</v>
      </c>
      <c r="AX3894">
        <v>9.9700000000000006</v>
      </c>
      <c r="AY3894">
        <v>29.98</v>
      </c>
      <c r="AZ3894">
        <v>32.630000000000003</v>
      </c>
      <c r="BA3894">
        <v>0.72</v>
      </c>
      <c r="BB3894" t="s">
        <v>143</v>
      </c>
      <c r="BF3894">
        <v>-0.51</v>
      </c>
      <c r="BG3894">
        <v>-1.93</v>
      </c>
      <c r="BH3894">
        <v>-2.02</v>
      </c>
      <c r="BI3894">
        <v>0.37</v>
      </c>
      <c r="BJ3894">
        <v>20210913</v>
      </c>
      <c r="BK3894">
        <v>20200930</v>
      </c>
      <c r="BL3894">
        <v>4.0199999999999996</v>
      </c>
      <c r="BM3894" t="s">
        <v>120</v>
      </c>
      <c r="BN3894" t="s">
        <v>120</v>
      </c>
      <c r="BO3894">
        <v>21.97</v>
      </c>
      <c r="BP3894">
        <v>32.950000000000003</v>
      </c>
      <c r="BQ3894">
        <v>18.37</v>
      </c>
      <c r="BR3894" t="s">
        <v>120</v>
      </c>
      <c r="BS3894">
        <v>16.38</v>
      </c>
      <c r="BT3894">
        <v>13.63</v>
      </c>
      <c r="BU3894">
        <v>6.47</v>
      </c>
      <c r="BV3894">
        <v>1.37</v>
      </c>
      <c r="BW3894">
        <v>3.04</v>
      </c>
      <c r="BX3894">
        <v>3.03</v>
      </c>
      <c r="BY3894">
        <v>5.09</v>
      </c>
      <c r="BZ3894">
        <v>4.13</v>
      </c>
      <c r="CA3894" t="s">
        <v>120</v>
      </c>
      <c r="CB3894">
        <v>6.3</v>
      </c>
      <c r="CC3894">
        <v>11.65</v>
      </c>
      <c r="CD3894">
        <v>8.1300000000000008</v>
      </c>
      <c r="CE3894">
        <v>2.2200000000000002</v>
      </c>
      <c r="CF3894">
        <v>0.04</v>
      </c>
      <c r="CG3894">
        <v>2.21</v>
      </c>
      <c r="CH3894">
        <v>2.16</v>
      </c>
      <c r="CI3894">
        <v>2.16</v>
      </c>
      <c r="CJ3894">
        <v>-0.36</v>
      </c>
      <c r="CK3894">
        <v>1.98</v>
      </c>
      <c r="CL3894">
        <v>7.88</v>
      </c>
      <c r="CM3894">
        <v>-0.42</v>
      </c>
      <c r="CN3894">
        <v>-1.1499999999999999</v>
      </c>
      <c r="CO3894">
        <v>12170</v>
      </c>
      <c r="CP3894">
        <v>3294</v>
      </c>
      <c r="CQ3894" t="s">
        <v>5704</v>
      </c>
      <c r="CR3894">
        <v>20.100000000000001</v>
      </c>
      <c r="CS3894">
        <v>45.01</v>
      </c>
      <c r="CT3894">
        <v>7.22</v>
      </c>
      <c r="CU3894">
        <v>-313.76</v>
      </c>
      <c r="CV3894">
        <v>11.38</v>
      </c>
      <c r="CW3894">
        <v>1.5</v>
      </c>
      <c r="CX3894" t="s">
        <v>263</v>
      </c>
      <c r="CY3894">
        <v>4.57</v>
      </c>
      <c r="CZ3894">
        <v>0</v>
      </c>
      <c r="DA3894">
        <v>1.57</v>
      </c>
      <c r="DB3894">
        <v>1.96</v>
      </c>
      <c r="DC3894">
        <v>-0.11</v>
      </c>
      <c r="DD3894">
        <v>83.62</v>
      </c>
      <c r="DE3894" t="s">
        <v>10541</v>
      </c>
      <c r="DF3894">
        <v>30.26</v>
      </c>
      <c r="DG3894">
        <v>19.03</v>
      </c>
      <c r="DH3894">
        <v>18.57</v>
      </c>
      <c r="DI3894">
        <v>0.45</v>
      </c>
      <c r="DJ3894">
        <v>4343</v>
      </c>
      <c r="DK3894">
        <v>605099</v>
      </c>
      <c r="DL3894" t="s">
        <v>120</v>
      </c>
      <c r="DM3894" t="s">
        <v>120</v>
      </c>
      <c r="DN3894" t="s">
        <v>120</v>
      </c>
    </row>
    <row r="3895" spans="1:118">
      <c r="A3895" t="str">
        <f>"605100"</f>
        <v>605100</v>
      </c>
      <c r="B3895" t="s">
        <v>15924</v>
      </c>
      <c r="C3895">
        <v>-1.01</v>
      </c>
      <c r="D3895">
        <v>-0.01</v>
      </c>
      <c r="E3895">
        <v>0</v>
      </c>
      <c r="F3895">
        <v>61</v>
      </c>
      <c r="G3895" t="s">
        <v>8504</v>
      </c>
      <c r="H3895">
        <v>1758.42</v>
      </c>
      <c r="I3895">
        <v>2.08</v>
      </c>
      <c r="J3895" t="s">
        <v>120</v>
      </c>
      <c r="K3895" t="s">
        <v>8504</v>
      </c>
      <c r="L3895">
        <v>1.0900000000000001</v>
      </c>
      <c r="M3895">
        <v>41.1</v>
      </c>
      <c r="N3895">
        <v>0.74</v>
      </c>
      <c r="O3895">
        <v>0.72</v>
      </c>
      <c r="P3895">
        <v>41.82</v>
      </c>
      <c r="Q3895">
        <v>-1.2</v>
      </c>
      <c r="R3895">
        <v>41.02</v>
      </c>
      <c r="S3895">
        <v>41.52</v>
      </c>
      <c r="T3895">
        <v>4254</v>
      </c>
      <c r="U3895">
        <v>41.1</v>
      </c>
      <c r="V3895">
        <v>41.52</v>
      </c>
      <c r="W3895">
        <v>16.43</v>
      </c>
      <c r="X3895" t="s">
        <v>959</v>
      </c>
      <c r="Y3895" t="s">
        <v>638</v>
      </c>
      <c r="Z3895">
        <v>1.93</v>
      </c>
      <c r="AA3895">
        <v>41.34</v>
      </c>
      <c r="AB3895">
        <v>2643</v>
      </c>
      <c r="AC3895">
        <v>1611</v>
      </c>
      <c r="AD3895">
        <v>1.64</v>
      </c>
      <c r="AE3895">
        <v>6</v>
      </c>
      <c r="AF3895">
        <v>57</v>
      </c>
      <c r="AG3895" t="s">
        <v>120</v>
      </c>
      <c r="AH3895">
        <v>0</v>
      </c>
      <c r="AI3895" t="s">
        <v>120</v>
      </c>
      <c r="AJ3895">
        <v>0.39</v>
      </c>
      <c r="AK3895" t="s">
        <v>9325</v>
      </c>
      <c r="AL3895">
        <v>0.33</v>
      </c>
      <c r="AM3895">
        <v>833</v>
      </c>
      <c r="AN3895">
        <v>5</v>
      </c>
      <c r="AO3895">
        <v>1.2999999999999999E-3</v>
      </c>
      <c r="AP3895">
        <v>-1</v>
      </c>
      <c r="AQ3895">
        <v>0.48</v>
      </c>
      <c r="AR3895">
        <v>-1.91</v>
      </c>
      <c r="AS3895">
        <v>8.5299999999999994</v>
      </c>
      <c r="AT3895">
        <v>3.5</v>
      </c>
      <c r="AU3895">
        <v>-5.67</v>
      </c>
      <c r="AV3895">
        <v>1</v>
      </c>
      <c r="AW3895">
        <v>1.0900000000000001</v>
      </c>
      <c r="AX3895">
        <v>45.21</v>
      </c>
      <c r="AY3895">
        <v>17.48</v>
      </c>
      <c r="AZ3895">
        <v>18.89</v>
      </c>
      <c r="BA3895">
        <v>0.9</v>
      </c>
      <c r="BB3895" t="s">
        <v>143</v>
      </c>
      <c r="BF3895">
        <v>-0.44</v>
      </c>
      <c r="BG3895">
        <v>-1.01</v>
      </c>
      <c r="BH3895">
        <v>-1.72</v>
      </c>
      <c r="BI3895">
        <v>0.2</v>
      </c>
      <c r="BJ3895">
        <v>20210821</v>
      </c>
      <c r="BK3895">
        <v>20200811</v>
      </c>
      <c r="BL3895">
        <v>0.87</v>
      </c>
      <c r="BM3895" t="s">
        <v>120</v>
      </c>
      <c r="BN3895" t="s">
        <v>120</v>
      </c>
      <c r="BO3895">
        <v>22.44</v>
      </c>
      <c r="BP3895">
        <v>41.09</v>
      </c>
      <c r="BQ3895">
        <v>17.79</v>
      </c>
      <c r="BR3895" t="s">
        <v>120</v>
      </c>
      <c r="BS3895">
        <v>20.73</v>
      </c>
      <c r="BT3895">
        <v>14.74</v>
      </c>
      <c r="BU3895">
        <v>5.2</v>
      </c>
      <c r="BV3895">
        <v>0.94</v>
      </c>
      <c r="BW3895">
        <v>4.2300000000000004</v>
      </c>
      <c r="BX3895">
        <v>5.87</v>
      </c>
      <c r="BY3895">
        <v>1.46</v>
      </c>
      <c r="BZ3895">
        <v>3.35</v>
      </c>
      <c r="CA3895" t="s">
        <v>120</v>
      </c>
      <c r="CB3895">
        <v>11.06</v>
      </c>
      <c r="CC3895">
        <v>9.08</v>
      </c>
      <c r="CD3895">
        <v>7.29</v>
      </c>
      <c r="CE3895">
        <v>1.34</v>
      </c>
      <c r="CF3895">
        <v>0.04</v>
      </c>
      <c r="CG3895">
        <v>1.35</v>
      </c>
      <c r="CH3895">
        <v>1.0900000000000001</v>
      </c>
      <c r="CI3895">
        <v>1.08</v>
      </c>
      <c r="CJ3895">
        <v>-0.42</v>
      </c>
      <c r="CK3895">
        <v>1.08</v>
      </c>
      <c r="CL3895">
        <v>5.56</v>
      </c>
      <c r="CM3895">
        <v>1.02</v>
      </c>
      <c r="CN3895">
        <v>-0.49</v>
      </c>
      <c r="CO3895">
        <v>12576</v>
      </c>
      <c r="CP3895">
        <v>3117</v>
      </c>
      <c r="CQ3895" t="s">
        <v>15925</v>
      </c>
      <c r="CR3895">
        <v>16.489999999999998</v>
      </c>
      <c r="CS3895">
        <v>22.62</v>
      </c>
      <c r="CT3895">
        <v>2</v>
      </c>
      <c r="CU3895">
        <v>34.78</v>
      </c>
      <c r="CV3895">
        <v>3.92</v>
      </c>
      <c r="CW3895">
        <v>1.69</v>
      </c>
      <c r="CX3895" t="s">
        <v>15926</v>
      </c>
      <c r="CY3895">
        <v>20.52</v>
      </c>
      <c r="CZ3895">
        <v>0</v>
      </c>
      <c r="DA3895">
        <v>12.75</v>
      </c>
      <c r="DB3895">
        <v>6.41</v>
      </c>
      <c r="DC3895">
        <v>1.18</v>
      </c>
      <c r="DD3895">
        <v>79.27</v>
      </c>
      <c r="DE3895" t="s">
        <v>2904</v>
      </c>
      <c r="DF3895">
        <v>19.79</v>
      </c>
      <c r="DG3895">
        <v>14.81</v>
      </c>
      <c r="DH3895">
        <v>11.94</v>
      </c>
      <c r="DI3895">
        <v>0.11</v>
      </c>
      <c r="DJ3895">
        <v>910</v>
      </c>
      <c r="DK3895">
        <v>605100</v>
      </c>
      <c r="DL3895" t="s">
        <v>120</v>
      </c>
      <c r="DM3895" t="s">
        <v>120</v>
      </c>
      <c r="DN3895" t="s">
        <v>120</v>
      </c>
    </row>
    <row r="3896" spans="1:118">
      <c r="A3896" t="str">
        <f>"605108"</f>
        <v>605108</v>
      </c>
      <c r="B3896" t="s">
        <v>15927</v>
      </c>
      <c r="C3896">
        <v>-2.19</v>
      </c>
      <c r="D3896">
        <v>0</v>
      </c>
      <c r="E3896">
        <v>-0.55000000000000004</v>
      </c>
      <c r="F3896">
        <v>208</v>
      </c>
      <c r="G3896" t="s">
        <v>12377</v>
      </c>
      <c r="H3896">
        <v>3971.56</v>
      </c>
      <c r="I3896">
        <v>61.35</v>
      </c>
      <c r="J3896" t="s">
        <v>120</v>
      </c>
      <c r="K3896" t="s">
        <v>12377</v>
      </c>
      <c r="L3896">
        <v>2.69</v>
      </c>
      <c r="M3896">
        <v>17.850000000000001</v>
      </c>
      <c r="N3896">
        <v>0.86</v>
      </c>
      <c r="O3896">
        <v>0.82</v>
      </c>
      <c r="P3896">
        <v>18.399999999999999</v>
      </c>
      <c r="Q3896">
        <v>-2.2999999999999998</v>
      </c>
      <c r="R3896">
        <v>17.829999999999998</v>
      </c>
      <c r="S3896">
        <v>18.149999999999999</v>
      </c>
      <c r="T3896">
        <v>21929</v>
      </c>
      <c r="U3896">
        <v>17.899999999999999</v>
      </c>
      <c r="V3896">
        <v>18.25</v>
      </c>
      <c r="W3896">
        <v>32.65</v>
      </c>
      <c r="X3896" t="s">
        <v>793</v>
      </c>
      <c r="Y3896" t="s">
        <v>570</v>
      </c>
      <c r="Z3896">
        <v>3.12</v>
      </c>
      <c r="AA3896">
        <v>18.11</v>
      </c>
      <c r="AB3896">
        <v>12312</v>
      </c>
      <c r="AC3896">
        <v>9617</v>
      </c>
      <c r="AD3896">
        <v>1.28</v>
      </c>
      <c r="AE3896">
        <v>60</v>
      </c>
      <c r="AF3896">
        <v>114</v>
      </c>
      <c r="AG3896" t="s">
        <v>120</v>
      </c>
      <c r="AH3896">
        <v>0.04</v>
      </c>
      <c r="AI3896" t="s">
        <v>120</v>
      </c>
      <c r="AJ3896">
        <v>0.82</v>
      </c>
      <c r="AK3896" t="s">
        <v>9326</v>
      </c>
      <c r="AL3896">
        <v>-0.85</v>
      </c>
      <c r="AM3896">
        <v>1468</v>
      </c>
      <c r="AN3896">
        <v>15</v>
      </c>
      <c r="AO3896">
        <v>1.8E-3</v>
      </c>
      <c r="AP3896">
        <v>-1</v>
      </c>
      <c r="AQ3896">
        <v>5.37</v>
      </c>
      <c r="AR3896">
        <v>-0.23</v>
      </c>
      <c r="AS3896">
        <v>6.7</v>
      </c>
      <c r="AT3896">
        <v>-10.93</v>
      </c>
      <c r="AU3896">
        <v>-2.13</v>
      </c>
      <c r="AV3896">
        <v>4</v>
      </c>
      <c r="AW3896">
        <v>2.69</v>
      </c>
      <c r="AX3896">
        <v>31.41</v>
      </c>
      <c r="AY3896">
        <v>26.92</v>
      </c>
      <c r="AZ3896">
        <v>25.63</v>
      </c>
      <c r="BA3896">
        <v>0.65</v>
      </c>
      <c r="BB3896" t="s">
        <v>143</v>
      </c>
      <c r="BF3896">
        <v>-0.76</v>
      </c>
      <c r="BG3896">
        <v>-1.65</v>
      </c>
      <c r="BH3896">
        <v>-2.99</v>
      </c>
      <c r="BI3896">
        <v>0.11</v>
      </c>
      <c r="BJ3896">
        <v>20210818</v>
      </c>
      <c r="BK3896">
        <v>20200716</v>
      </c>
      <c r="BL3896">
        <v>2.6</v>
      </c>
      <c r="BM3896" t="s">
        <v>120</v>
      </c>
      <c r="BN3896" t="s">
        <v>120</v>
      </c>
      <c r="BO3896">
        <v>26.46</v>
      </c>
      <c r="BP3896">
        <v>17.850000000000001</v>
      </c>
      <c r="BQ3896">
        <v>18.73</v>
      </c>
      <c r="BR3896" t="s">
        <v>120</v>
      </c>
      <c r="BS3896">
        <v>29.23</v>
      </c>
      <c r="BT3896">
        <v>11.34</v>
      </c>
      <c r="BU3896">
        <v>3.39</v>
      </c>
      <c r="BV3896">
        <v>1.48</v>
      </c>
      <c r="BW3896">
        <v>2.87</v>
      </c>
      <c r="BX3896">
        <v>5.73</v>
      </c>
      <c r="BY3896">
        <v>0.75</v>
      </c>
      <c r="BZ3896">
        <v>7.0000000000000007E-2</v>
      </c>
      <c r="CA3896" t="s">
        <v>120</v>
      </c>
      <c r="CB3896">
        <v>7.42</v>
      </c>
      <c r="CC3896">
        <v>7.92</v>
      </c>
      <c r="CD3896">
        <v>3.73</v>
      </c>
      <c r="CE3896">
        <v>0.94</v>
      </c>
      <c r="CF3896">
        <v>0.09</v>
      </c>
      <c r="CG3896">
        <v>0.95</v>
      </c>
      <c r="CH3896">
        <v>0.71</v>
      </c>
      <c r="CI3896">
        <v>0.71</v>
      </c>
      <c r="CJ3896">
        <v>-0.4</v>
      </c>
      <c r="CK3896">
        <v>0.61</v>
      </c>
      <c r="CL3896">
        <v>7.98</v>
      </c>
      <c r="CM3896">
        <v>1.39</v>
      </c>
      <c r="CN3896">
        <v>1.2</v>
      </c>
      <c r="CO3896">
        <v>12739</v>
      </c>
      <c r="CP3896">
        <v>6410</v>
      </c>
      <c r="CQ3896" t="s">
        <v>12439</v>
      </c>
      <c r="CR3896">
        <v>-11.08</v>
      </c>
      <c r="CS3896">
        <v>68.22</v>
      </c>
      <c r="CT3896">
        <v>2.48</v>
      </c>
      <c r="CU3896">
        <v>33.33</v>
      </c>
      <c r="CV3896">
        <v>5.86</v>
      </c>
      <c r="CW3896">
        <v>0.42</v>
      </c>
      <c r="CX3896" t="s">
        <v>1233</v>
      </c>
      <c r="CY3896">
        <v>7.2</v>
      </c>
      <c r="CZ3896">
        <v>0</v>
      </c>
      <c r="DA3896">
        <v>2.85</v>
      </c>
      <c r="DB3896">
        <v>3.07</v>
      </c>
      <c r="DC3896">
        <v>0.54</v>
      </c>
      <c r="DD3896">
        <v>70.77</v>
      </c>
      <c r="DE3896" t="s">
        <v>8945</v>
      </c>
      <c r="DF3896">
        <v>52.87</v>
      </c>
      <c r="DG3896">
        <v>11.91</v>
      </c>
      <c r="DH3896">
        <v>8.9700000000000006</v>
      </c>
      <c r="DI3896">
        <v>0.01</v>
      </c>
      <c r="DJ3896">
        <v>4829</v>
      </c>
      <c r="DK3896">
        <v>605108</v>
      </c>
      <c r="DL3896" t="s">
        <v>120</v>
      </c>
      <c r="DM3896" t="s">
        <v>120</v>
      </c>
      <c r="DN3896" t="s">
        <v>120</v>
      </c>
    </row>
    <row r="3897" spans="1:118">
      <c r="A3897" t="str">
        <f>"605111"</f>
        <v>605111</v>
      </c>
      <c r="B3897" t="s">
        <v>15928</v>
      </c>
      <c r="C3897">
        <v>-2.98</v>
      </c>
      <c r="D3897">
        <v>0</v>
      </c>
      <c r="E3897">
        <v>-0.83</v>
      </c>
      <c r="F3897">
        <v>146</v>
      </c>
      <c r="G3897" t="s">
        <v>15929</v>
      </c>
      <c r="H3897">
        <v>15090.55</v>
      </c>
      <c r="I3897">
        <v>112.5</v>
      </c>
      <c r="J3897" t="s">
        <v>120</v>
      </c>
      <c r="K3897" t="s">
        <v>15929</v>
      </c>
      <c r="L3897">
        <v>3.45</v>
      </c>
      <c r="M3897">
        <v>122.3</v>
      </c>
      <c r="N3897">
        <v>0.63</v>
      </c>
      <c r="O3897">
        <v>-0.02</v>
      </c>
      <c r="P3897">
        <v>126.03</v>
      </c>
      <c r="Q3897">
        <v>-2.98</v>
      </c>
      <c r="R3897">
        <v>122.3</v>
      </c>
      <c r="S3897">
        <v>125</v>
      </c>
      <c r="T3897">
        <v>12216</v>
      </c>
      <c r="U3897">
        <v>122.3</v>
      </c>
      <c r="V3897">
        <v>126.05</v>
      </c>
      <c r="W3897">
        <v>49.66</v>
      </c>
      <c r="X3897" t="s">
        <v>3245</v>
      </c>
      <c r="Y3897" t="s">
        <v>319</v>
      </c>
      <c r="Z3897">
        <v>2.96</v>
      </c>
      <c r="AA3897">
        <v>123.53</v>
      </c>
      <c r="AB3897">
        <v>7329</v>
      </c>
      <c r="AC3897">
        <v>4887</v>
      </c>
      <c r="AD3897">
        <v>1.5</v>
      </c>
      <c r="AE3897">
        <v>3</v>
      </c>
      <c r="AF3897">
        <v>55</v>
      </c>
      <c r="AG3897" t="s">
        <v>120</v>
      </c>
      <c r="AH3897">
        <v>0.03</v>
      </c>
      <c r="AI3897" t="s">
        <v>120</v>
      </c>
      <c r="AJ3897">
        <v>0.35</v>
      </c>
      <c r="AK3897" t="s">
        <v>15930</v>
      </c>
      <c r="AL3897">
        <v>-1.63</v>
      </c>
      <c r="AM3897">
        <v>2458</v>
      </c>
      <c r="AN3897">
        <v>5</v>
      </c>
      <c r="AO3897">
        <v>1.4E-3</v>
      </c>
      <c r="AP3897">
        <v>-1</v>
      </c>
      <c r="AQ3897">
        <v>1</v>
      </c>
      <c r="AR3897">
        <v>-3.17</v>
      </c>
      <c r="AS3897">
        <v>-17.36</v>
      </c>
      <c r="AT3897">
        <v>-24.99</v>
      </c>
      <c r="AU3897">
        <v>-12.25</v>
      </c>
      <c r="AV3897">
        <v>14</v>
      </c>
      <c r="AW3897">
        <v>3.45</v>
      </c>
      <c r="AX3897">
        <v>25</v>
      </c>
      <c r="AY3897">
        <v>69.09</v>
      </c>
      <c r="AZ3897">
        <v>128.15</v>
      </c>
      <c r="BA3897">
        <v>0.56999999999999995</v>
      </c>
      <c r="BB3897" t="s">
        <v>168</v>
      </c>
      <c r="BF3897">
        <v>-2</v>
      </c>
      <c r="BG3897">
        <v>-2.16</v>
      </c>
      <c r="BH3897">
        <v>-2.96</v>
      </c>
      <c r="BI3897">
        <v>0</v>
      </c>
      <c r="BJ3897">
        <v>20210826</v>
      </c>
      <c r="BK3897">
        <v>20200928</v>
      </c>
      <c r="BL3897">
        <v>1.42</v>
      </c>
      <c r="BM3897" t="s">
        <v>120</v>
      </c>
      <c r="BN3897" t="s">
        <v>120</v>
      </c>
      <c r="BO3897">
        <v>15.69</v>
      </c>
      <c r="BP3897">
        <v>122.29</v>
      </c>
      <c r="BQ3897">
        <v>12.92</v>
      </c>
      <c r="BR3897" t="s">
        <v>120</v>
      </c>
      <c r="BS3897">
        <v>17.62</v>
      </c>
      <c r="BT3897">
        <v>13.54</v>
      </c>
      <c r="BU3897">
        <v>1.37</v>
      </c>
      <c r="BV3897">
        <v>0.13</v>
      </c>
      <c r="BW3897">
        <v>2.61</v>
      </c>
      <c r="BX3897">
        <v>8.07</v>
      </c>
      <c r="BY3897">
        <v>1.2</v>
      </c>
      <c r="BZ3897">
        <v>1.23</v>
      </c>
      <c r="CA3897" t="s">
        <v>120</v>
      </c>
      <c r="CB3897">
        <v>5.75</v>
      </c>
      <c r="CC3897">
        <v>6.77</v>
      </c>
      <c r="CD3897">
        <v>4.2699999999999996</v>
      </c>
      <c r="CE3897">
        <v>1.99</v>
      </c>
      <c r="CF3897">
        <v>0.01</v>
      </c>
      <c r="CG3897">
        <v>1.99</v>
      </c>
      <c r="CH3897">
        <v>1.74</v>
      </c>
      <c r="CI3897">
        <v>1.74</v>
      </c>
      <c r="CJ3897">
        <v>-3.75</v>
      </c>
      <c r="CK3897">
        <v>1.7</v>
      </c>
      <c r="CL3897">
        <v>5.25</v>
      </c>
      <c r="CM3897">
        <v>2.08</v>
      </c>
      <c r="CN3897">
        <v>1.23</v>
      </c>
      <c r="CO3897">
        <v>28739</v>
      </c>
      <c r="CP3897">
        <v>1232</v>
      </c>
      <c r="CQ3897" t="s">
        <v>2889</v>
      </c>
      <c r="CR3897">
        <v>215.29</v>
      </c>
      <c r="CS3897">
        <v>76.209999999999994</v>
      </c>
      <c r="CT3897">
        <v>13.41</v>
      </c>
      <c r="CU3897">
        <v>83.38</v>
      </c>
      <c r="CV3897">
        <v>25.59</v>
      </c>
      <c r="CW3897">
        <v>0.24</v>
      </c>
      <c r="CX3897" t="s">
        <v>12054</v>
      </c>
      <c r="CY3897">
        <v>9.1199999999999992</v>
      </c>
      <c r="CZ3897">
        <v>0</v>
      </c>
      <c r="DA3897">
        <v>4.0599999999999996</v>
      </c>
      <c r="DB3897">
        <v>3.7</v>
      </c>
      <c r="DC3897">
        <v>1.47</v>
      </c>
      <c r="DD3897">
        <v>82.38</v>
      </c>
      <c r="DE3897" t="s">
        <v>15931</v>
      </c>
      <c r="DF3897">
        <v>36.93</v>
      </c>
      <c r="DG3897">
        <v>29.44</v>
      </c>
      <c r="DH3897">
        <v>25.77</v>
      </c>
      <c r="DI3897">
        <v>0.35</v>
      </c>
      <c r="DJ3897">
        <v>219</v>
      </c>
      <c r="DK3897">
        <v>605111</v>
      </c>
      <c r="DL3897" t="s">
        <v>120</v>
      </c>
      <c r="DM3897" t="s">
        <v>120</v>
      </c>
      <c r="DN3897" t="s">
        <v>120</v>
      </c>
    </row>
    <row r="3898" spans="1:118">
      <c r="A3898" t="str">
        <f>"605116"</f>
        <v>605116</v>
      </c>
      <c r="B3898" t="s">
        <v>15932</v>
      </c>
      <c r="C3898">
        <v>-0.15</v>
      </c>
      <c r="D3898">
        <v>7.0000000000000007E-2</v>
      </c>
      <c r="E3898">
        <v>-0.52</v>
      </c>
      <c r="F3898">
        <v>159</v>
      </c>
      <c r="G3898" t="s">
        <v>15933</v>
      </c>
      <c r="H3898">
        <v>1328.95</v>
      </c>
      <c r="I3898">
        <v>1.47</v>
      </c>
      <c r="J3898" t="s">
        <v>120</v>
      </c>
      <c r="K3898" t="s">
        <v>15933</v>
      </c>
      <c r="L3898">
        <v>2.4</v>
      </c>
      <c r="M3898">
        <v>13.4</v>
      </c>
      <c r="N3898">
        <v>1.1100000000000001</v>
      </c>
      <c r="O3898">
        <v>2.68</v>
      </c>
      <c r="P3898">
        <v>13.78</v>
      </c>
      <c r="Q3898">
        <v>-0.67</v>
      </c>
      <c r="R3898">
        <v>13.33</v>
      </c>
      <c r="S3898">
        <v>13.35</v>
      </c>
      <c r="T3898">
        <v>9857</v>
      </c>
      <c r="U3898">
        <v>13.41</v>
      </c>
      <c r="V3898">
        <v>13.42</v>
      </c>
      <c r="W3898">
        <v>32.380000000000003</v>
      </c>
      <c r="X3898" t="s">
        <v>569</v>
      </c>
      <c r="Y3898" t="s">
        <v>585</v>
      </c>
      <c r="Z3898">
        <v>3.35</v>
      </c>
      <c r="AA3898">
        <v>13.48</v>
      </c>
      <c r="AB3898">
        <v>4939</v>
      </c>
      <c r="AC3898">
        <v>4918</v>
      </c>
      <c r="AD3898">
        <v>1</v>
      </c>
      <c r="AE3898">
        <v>403</v>
      </c>
      <c r="AF3898">
        <v>21</v>
      </c>
      <c r="AG3898" t="s">
        <v>120</v>
      </c>
      <c r="AH3898">
        <v>0</v>
      </c>
      <c r="AI3898" t="s">
        <v>120</v>
      </c>
      <c r="AJ3898">
        <v>0.41</v>
      </c>
      <c r="AK3898" t="s">
        <v>15934</v>
      </c>
      <c r="AL3898">
        <v>1.19</v>
      </c>
      <c r="AM3898">
        <v>570</v>
      </c>
      <c r="AN3898">
        <v>17</v>
      </c>
      <c r="AO3898">
        <v>4.1999999999999997E-3</v>
      </c>
      <c r="AP3898">
        <v>-7</v>
      </c>
      <c r="AQ3898">
        <v>-7.0000000000000007E-2</v>
      </c>
      <c r="AR3898">
        <v>-2.1800000000000002</v>
      </c>
      <c r="AS3898">
        <v>-6.16</v>
      </c>
      <c r="AT3898">
        <v>-3.87</v>
      </c>
      <c r="AU3898">
        <v>-14.92</v>
      </c>
      <c r="AV3898">
        <v>4</v>
      </c>
      <c r="AW3898">
        <v>2.4</v>
      </c>
      <c r="AX3898">
        <v>10.220000000000001</v>
      </c>
      <c r="AY3898">
        <v>39.24</v>
      </c>
      <c r="AZ3898">
        <v>34.229999999999997</v>
      </c>
      <c r="BA3898">
        <v>0.67</v>
      </c>
      <c r="BB3898" t="s">
        <v>134</v>
      </c>
      <c r="BF3898">
        <v>0.46</v>
      </c>
      <c r="BG3898">
        <v>0.37</v>
      </c>
      <c r="BH3898">
        <v>-2.76</v>
      </c>
      <c r="BI3898">
        <v>0.53</v>
      </c>
      <c r="BJ3898">
        <v>20210831</v>
      </c>
      <c r="BK3898">
        <v>20200921</v>
      </c>
      <c r="BL3898">
        <v>4.01</v>
      </c>
      <c r="BM3898" t="s">
        <v>120</v>
      </c>
      <c r="BN3898" t="s">
        <v>120</v>
      </c>
      <c r="BO3898">
        <v>15.66</v>
      </c>
      <c r="BP3898">
        <v>13.4</v>
      </c>
      <c r="BQ3898">
        <v>14.22</v>
      </c>
      <c r="BR3898" t="s">
        <v>120</v>
      </c>
      <c r="BS3898">
        <v>9.2100000000000009</v>
      </c>
      <c r="BT3898">
        <v>9.56</v>
      </c>
      <c r="BU3898">
        <v>4.76</v>
      </c>
      <c r="BV3898">
        <v>0.41</v>
      </c>
      <c r="BW3898">
        <v>1.37</v>
      </c>
      <c r="BX3898">
        <v>4.93</v>
      </c>
      <c r="BY3898">
        <v>2.69</v>
      </c>
      <c r="BZ3898">
        <v>1.52</v>
      </c>
      <c r="CA3898" t="s">
        <v>120</v>
      </c>
      <c r="CB3898">
        <v>4.9000000000000004</v>
      </c>
      <c r="CC3898">
        <v>4.0199999999999996</v>
      </c>
      <c r="CD3898">
        <v>2.16</v>
      </c>
      <c r="CE3898">
        <v>0.99</v>
      </c>
      <c r="CF3898">
        <v>0</v>
      </c>
      <c r="CG3898">
        <v>0.98</v>
      </c>
      <c r="CH3898">
        <v>0.83</v>
      </c>
      <c r="CI3898">
        <v>0.83</v>
      </c>
      <c r="CJ3898">
        <v>-0.02</v>
      </c>
      <c r="CK3898">
        <v>0.78</v>
      </c>
      <c r="CL3898">
        <v>4.6399999999999997</v>
      </c>
      <c r="CM3898">
        <v>0.89</v>
      </c>
      <c r="CN3898">
        <v>-0.71</v>
      </c>
      <c r="CO3898">
        <v>12665</v>
      </c>
      <c r="CP3898">
        <v>3237</v>
      </c>
      <c r="CQ3898" t="s">
        <v>3950</v>
      </c>
      <c r="CR3898">
        <v>-19.489999999999998</v>
      </c>
      <c r="CS3898">
        <v>4.99</v>
      </c>
      <c r="CT3898">
        <v>3.78</v>
      </c>
      <c r="CU3898">
        <v>60.52</v>
      </c>
      <c r="CV3898">
        <v>13.37</v>
      </c>
      <c r="CW3898">
        <v>0.89</v>
      </c>
      <c r="CX3898" t="s">
        <v>2097</v>
      </c>
      <c r="CY3898">
        <v>3.55</v>
      </c>
      <c r="CZ3898">
        <v>0</v>
      </c>
      <c r="DA3898">
        <v>1.22</v>
      </c>
      <c r="DB3898">
        <v>1.1599999999999999</v>
      </c>
      <c r="DC3898">
        <v>0.22</v>
      </c>
      <c r="DD3898">
        <v>90.79</v>
      </c>
      <c r="DE3898" t="s">
        <v>1929</v>
      </c>
      <c r="DF3898">
        <v>46.14</v>
      </c>
      <c r="DG3898">
        <v>24.53</v>
      </c>
      <c r="DH3898">
        <v>20.65</v>
      </c>
      <c r="DI3898">
        <v>0.28000000000000003</v>
      </c>
      <c r="DJ3898">
        <v>939</v>
      </c>
      <c r="DK3898">
        <v>605116</v>
      </c>
      <c r="DL3898" t="s">
        <v>120</v>
      </c>
      <c r="DM3898" t="s">
        <v>120</v>
      </c>
      <c r="DN3898" t="s">
        <v>120</v>
      </c>
    </row>
    <row r="3899" spans="1:118">
      <c r="A3899" t="str">
        <f>"605117"</f>
        <v>605117</v>
      </c>
      <c r="B3899" t="s">
        <v>15935</v>
      </c>
      <c r="C3899">
        <v>-10</v>
      </c>
      <c r="D3899">
        <v>0</v>
      </c>
      <c r="E3899">
        <v>-1.83</v>
      </c>
      <c r="F3899">
        <v>17</v>
      </c>
      <c r="G3899" t="s">
        <v>15936</v>
      </c>
      <c r="H3899">
        <v>44910.49</v>
      </c>
      <c r="I3899">
        <v>100.83</v>
      </c>
      <c r="J3899">
        <v>1407.25</v>
      </c>
      <c r="K3899" t="s">
        <v>15936</v>
      </c>
      <c r="L3899">
        <v>5.43</v>
      </c>
      <c r="M3899">
        <v>188.64</v>
      </c>
      <c r="N3899">
        <v>1.1100000000000001</v>
      </c>
      <c r="O3899">
        <v>0.96</v>
      </c>
      <c r="P3899">
        <v>211.62</v>
      </c>
      <c r="Q3899">
        <v>-10</v>
      </c>
      <c r="R3899">
        <v>188.64</v>
      </c>
      <c r="S3899">
        <v>205.77</v>
      </c>
      <c r="T3899">
        <v>23184</v>
      </c>
      <c r="U3899">
        <v>188.64</v>
      </c>
      <c r="V3899">
        <v>209.6</v>
      </c>
      <c r="W3899">
        <v>71.61</v>
      </c>
      <c r="X3899" t="s">
        <v>205</v>
      </c>
      <c r="Y3899" t="s">
        <v>585</v>
      </c>
      <c r="Z3899">
        <v>10.96</v>
      </c>
      <c r="AA3899">
        <v>193.71</v>
      </c>
      <c r="AB3899">
        <v>13212</v>
      </c>
      <c r="AC3899">
        <v>9972</v>
      </c>
      <c r="AD3899">
        <v>1.32</v>
      </c>
      <c r="AE3899">
        <v>0</v>
      </c>
      <c r="AF3899">
        <v>746</v>
      </c>
      <c r="AG3899" t="s">
        <v>120</v>
      </c>
      <c r="AH3899">
        <v>0.01</v>
      </c>
      <c r="AI3899">
        <v>0.03</v>
      </c>
      <c r="AJ3899">
        <v>0.43</v>
      </c>
      <c r="AK3899" t="s">
        <v>15937</v>
      </c>
      <c r="AL3899">
        <v>-8.66</v>
      </c>
      <c r="AM3899">
        <v>2366</v>
      </c>
      <c r="AN3899">
        <v>10</v>
      </c>
      <c r="AO3899">
        <v>2.3E-3</v>
      </c>
      <c r="AP3899">
        <v>-2</v>
      </c>
      <c r="AQ3899">
        <v>-0.24</v>
      </c>
      <c r="AR3899">
        <v>-1.24</v>
      </c>
      <c r="AS3899">
        <v>8.1999999999999993</v>
      </c>
      <c r="AT3899">
        <v>62.34</v>
      </c>
      <c r="AU3899">
        <v>490.61</v>
      </c>
      <c r="AV3899">
        <v>14</v>
      </c>
      <c r="AW3899">
        <v>5.43</v>
      </c>
      <c r="AX3899">
        <v>25</v>
      </c>
      <c r="AY3899">
        <v>82.91</v>
      </c>
      <c r="AZ3899">
        <v>94.65</v>
      </c>
      <c r="BA3899">
        <v>0.11</v>
      </c>
      <c r="BB3899" t="s">
        <v>143</v>
      </c>
      <c r="BF3899">
        <v>-7.58</v>
      </c>
      <c r="BG3899">
        <v>-8.32</v>
      </c>
      <c r="BH3899">
        <v>-10.86</v>
      </c>
      <c r="BI3899">
        <v>0</v>
      </c>
      <c r="BJ3899">
        <v>20210827</v>
      </c>
      <c r="BK3899">
        <v>20210420</v>
      </c>
      <c r="BL3899">
        <v>1.71</v>
      </c>
      <c r="BM3899" t="s">
        <v>120</v>
      </c>
      <c r="BN3899" t="s">
        <v>120</v>
      </c>
      <c r="BO3899">
        <v>32.299999999999997</v>
      </c>
      <c r="BP3899" t="s">
        <v>120</v>
      </c>
      <c r="BQ3899">
        <v>22.86</v>
      </c>
      <c r="BR3899" t="s">
        <v>120</v>
      </c>
      <c r="BS3899">
        <v>29.2</v>
      </c>
      <c r="BT3899">
        <v>27.5</v>
      </c>
      <c r="BU3899">
        <v>2.64</v>
      </c>
      <c r="BV3899">
        <v>0.61</v>
      </c>
      <c r="BW3899">
        <v>9.2100000000000009</v>
      </c>
      <c r="BX3899">
        <v>9.01</v>
      </c>
      <c r="BY3899">
        <v>4.49</v>
      </c>
      <c r="BZ3899">
        <v>3.24</v>
      </c>
      <c r="CA3899" t="s">
        <v>120</v>
      </c>
      <c r="CB3899">
        <v>13.71</v>
      </c>
      <c r="CC3899">
        <v>19.25</v>
      </c>
      <c r="CD3899">
        <v>15.26</v>
      </c>
      <c r="CE3899">
        <v>2.57</v>
      </c>
      <c r="CF3899">
        <v>0.03</v>
      </c>
      <c r="CG3899">
        <v>2.57</v>
      </c>
      <c r="CH3899">
        <v>2.25</v>
      </c>
      <c r="CI3899">
        <v>2.25</v>
      </c>
      <c r="CJ3899">
        <v>-20.96</v>
      </c>
      <c r="CK3899">
        <v>2.14</v>
      </c>
      <c r="CL3899">
        <v>6.78</v>
      </c>
      <c r="CM3899">
        <v>1.98</v>
      </c>
      <c r="CN3899">
        <v>4.07</v>
      </c>
      <c r="CO3899">
        <v>10624</v>
      </c>
      <c r="CP3899">
        <v>4016</v>
      </c>
      <c r="CQ3899" t="s">
        <v>15938</v>
      </c>
      <c r="CR3899">
        <v>31.23</v>
      </c>
      <c r="CS3899">
        <v>33.57</v>
      </c>
      <c r="CT3899">
        <v>14.08</v>
      </c>
      <c r="CU3899">
        <v>162.53</v>
      </c>
      <c r="CV3899">
        <v>16.72</v>
      </c>
      <c r="CW3899">
        <v>0.38</v>
      </c>
      <c r="CX3899" t="s">
        <v>8733</v>
      </c>
      <c r="CY3899">
        <v>13.4</v>
      </c>
      <c r="CZ3899">
        <v>0</v>
      </c>
      <c r="DA3899">
        <v>8.0299999999999994</v>
      </c>
      <c r="DB3899">
        <v>3.97</v>
      </c>
      <c r="DC3899">
        <v>1.1599999999999999</v>
      </c>
      <c r="DD3899">
        <v>70.8</v>
      </c>
      <c r="DE3899" t="s">
        <v>3241</v>
      </c>
      <c r="DF3899">
        <v>20.76</v>
      </c>
      <c r="DG3899">
        <v>13.33</v>
      </c>
      <c r="DH3899">
        <v>11.68</v>
      </c>
      <c r="DI3899">
        <v>0.61</v>
      </c>
      <c r="DJ3899">
        <v>2411</v>
      </c>
      <c r="DK3899">
        <v>605117</v>
      </c>
      <c r="DL3899" t="s">
        <v>120</v>
      </c>
      <c r="DM3899" t="s">
        <v>120</v>
      </c>
      <c r="DN3899" t="s">
        <v>120</v>
      </c>
    </row>
    <row r="3900" spans="1:118">
      <c r="A3900" t="str">
        <f>"605118"</f>
        <v>605118</v>
      </c>
      <c r="B3900" t="s">
        <v>15939</v>
      </c>
      <c r="C3900">
        <v>-1.56</v>
      </c>
      <c r="D3900">
        <v>0</v>
      </c>
      <c r="E3900">
        <v>-0.99</v>
      </c>
      <c r="F3900">
        <v>316</v>
      </c>
      <c r="G3900" t="s">
        <v>10715</v>
      </c>
      <c r="H3900">
        <v>2080.8200000000002</v>
      </c>
      <c r="I3900">
        <v>38.19</v>
      </c>
      <c r="J3900" t="s">
        <v>120</v>
      </c>
      <c r="K3900" t="s">
        <v>10715</v>
      </c>
      <c r="L3900">
        <v>3.61</v>
      </c>
      <c r="M3900">
        <v>13.91</v>
      </c>
      <c r="N3900">
        <v>0.61</v>
      </c>
      <c r="O3900">
        <v>0.56999999999999995</v>
      </c>
      <c r="P3900">
        <v>14.21</v>
      </c>
      <c r="Q3900">
        <v>-1.63</v>
      </c>
      <c r="R3900">
        <v>13.9</v>
      </c>
      <c r="S3900">
        <v>13.99</v>
      </c>
      <c r="T3900">
        <v>14821</v>
      </c>
      <c r="U3900">
        <v>13.91</v>
      </c>
      <c r="V3900">
        <v>14.13</v>
      </c>
      <c r="W3900">
        <v>39.61</v>
      </c>
      <c r="X3900" t="s">
        <v>229</v>
      </c>
      <c r="Y3900" t="s">
        <v>937</v>
      </c>
      <c r="Z3900">
        <v>2.19</v>
      </c>
      <c r="AA3900">
        <v>14.04</v>
      </c>
      <c r="AB3900">
        <v>8938</v>
      </c>
      <c r="AC3900">
        <v>5883</v>
      </c>
      <c r="AD3900">
        <v>1.52</v>
      </c>
      <c r="AE3900">
        <v>373</v>
      </c>
      <c r="AF3900">
        <v>250</v>
      </c>
      <c r="AG3900" t="s">
        <v>120</v>
      </c>
      <c r="AH3900">
        <v>7.0000000000000007E-2</v>
      </c>
      <c r="AI3900" t="s">
        <v>120</v>
      </c>
      <c r="AJ3900">
        <v>0.41</v>
      </c>
      <c r="AK3900" t="s">
        <v>15940</v>
      </c>
      <c r="AL3900">
        <v>-0.21</v>
      </c>
      <c r="AM3900">
        <v>935</v>
      </c>
      <c r="AN3900">
        <v>16</v>
      </c>
      <c r="AO3900">
        <v>3.8999999999999998E-3</v>
      </c>
      <c r="AP3900">
        <v>-1</v>
      </c>
      <c r="AQ3900">
        <v>0.43</v>
      </c>
      <c r="AR3900">
        <v>-2.52</v>
      </c>
      <c r="AS3900">
        <v>-0.5</v>
      </c>
      <c r="AT3900">
        <v>-4</v>
      </c>
      <c r="AU3900">
        <v>-7.27</v>
      </c>
      <c r="AV3900">
        <v>5</v>
      </c>
      <c r="AW3900">
        <v>3.61</v>
      </c>
      <c r="AX3900">
        <v>10.06</v>
      </c>
      <c r="AY3900">
        <v>41.53</v>
      </c>
      <c r="AZ3900">
        <v>38.24</v>
      </c>
      <c r="BA3900">
        <v>0.96</v>
      </c>
      <c r="BB3900" t="s">
        <v>143</v>
      </c>
      <c r="BF3900">
        <v>-0.64</v>
      </c>
      <c r="BG3900">
        <v>-0.56999999999999995</v>
      </c>
      <c r="BH3900">
        <v>-2.11</v>
      </c>
      <c r="BI3900">
        <v>7.0000000000000007E-2</v>
      </c>
      <c r="BJ3900">
        <v>20210904</v>
      </c>
      <c r="BK3900">
        <v>20200730</v>
      </c>
      <c r="BL3900">
        <v>4.08</v>
      </c>
      <c r="BM3900" t="s">
        <v>120</v>
      </c>
      <c r="BN3900" t="s">
        <v>120</v>
      </c>
      <c r="BO3900">
        <v>12.79</v>
      </c>
      <c r="BP3900">
        <v>13.9</v>
      </c>
      <c r="BQ3900">
        <v>11.34</v>
      </c>
      <c r="BR3900">
        <v>0.02</v>
      </c>
      <c r="BS3900">
        <v>11.2</v>
      </c>
      <c r="BT3900">
        <v>9.0399999999999991</v>
      </c>
      <c r="BU3900">
        <v>1.71</v>
      </c>
      <c r="BV3900">
        <v>7.0000000000000007E-2</v>
      </c>
      <c r="BW3900">
        <v>1.18</v>
      </c>
      <c r="BX3900">
        <v>2.92</v>
      </c>
      <c r="BY3900">
        <v>1.89</v>
      </c>
      <c r="BZ3900">
        <v>0.63</v>
      </c>
      <c r="CA3900" t="s">
        <v>120</v>
      </c>
      <c r="CB3900">
        <v>3.29</v>
      </c>
      <c r="CC3900">
        <v>2.08</v>
      </c>
      <c r="CD3900">
        <v>1.1299999999999999</v>
      </c>
      <c r="CE3900">
        <v>0.83</v>
      </c>
      <c r="CF3900">
        <v>0.03</v>
      </c>
      <c r="CG3900">
        <v>0.83</v>
      </c>
      <c r="CH3900">
        <v>0.71</v>
      </c>
      <c r="CI3900">
        <v>0.72</v>
      </c>
      <c r="CJ3900">
        <v>-0.22</v>
      </c>
      <c r="CK3900">
        <v>0.61</v>
      </c>
      <c r="CL3900">
        <v>3.5</v>
      </c>
      <c r="CM3900">
        <v>0.6</v>
      </c>
      <c r="CN3900">
        <v>0.51</v>
      </c>
      <c r="CO3900">
        <v>15895</v>
      </c>
      <c r="CP3900">
        <v>2579</v>
      </c>
      <c r="CQ3900" t="s">
        <v>5207</v>
      </c>
      <c r="CR3900">
        <v>-14.27</v>
      </c>
      <c r="CS3900">
        <v>-0.45</v>
      </c>
      <c r="CT3900">
        <v>4.97</v>
      </c>
      <c r="CU3900">
        <v>95.19</v>
      </c>
      <c r="CV3900">
        <v>27.22</v>
      </c>
      <c r="CW3900">
        <v>1.06</v>
      </c>
      <c r="CX3900" t="s">
        <v>242</v>
      </c>
      <c r="CY3900">
        <v>2.8</v>
      </c>
      <c r="CZ3900">
        <v>2.8</v>
      </c>
      <c r="DA3900">
        <v>0.81</v>
      </c>
      <c r="DB3900">
        <v>0.86</v>
      </c>
      <c r="DC3900">
        <v>0.15</v>
      </c>
      <c r="DD3900">
        <v>88.65</v>
      </c>
      <c r="DE3900" t="s">
        <v>7317</v>
      </c>
      <c r="DF3900">
        <v>45.71</v>
      </c>
      <c r="DG3900">
        <v>39.82</v>
      </c>
      <c r="DH3900">
        <v>34.36</v>
      </c>
      <c r="DI3900">
        <v>0.14000000000000001</v>
      </c>
      <c r="DJ3900">
        <v>980</v>
      </c>
      <c r="DK3900">
        <v>605118</v>
      </c>
      <c r="DL3900" t="s">
        <v>120</v>
      </c>
      <c r="DM3900" t="s">
        <v>120</v>
      </c>
      <c r="DN3900" t="s">
        <v>120</v>
      </c>
    </row>
    <row r="3901" spans="1:118">
      <c r="A3901" t="str">
        <f>"605122"</f>
        <v>605122</v>
      </c>
      <c r="B3901" t="s">
        <v>15941</v>
      </c>
      <c r="C3901">
        <v>-1.7</v>
      </c>
      <c r="D3901">
        <v>-0.16</v>
      </c>
      <c r="E3901">
        <v>-0.21</v>
      </c>
      <c r="F3901">
        <v>153</v>
      </c>
      <c r="G3901" t="s">
        <v>9003</v>
      </c>
      <c r="H3901">
        <v>3121.83</v>
      </c>
      <c r="I3901">
        <v>7.05</v>
      </c>
      <c r="J3901" t="s">
        <v>120</v>
      </c>
      <c r="K3901" t="s">
        <v>9003</v>
      </c>
      <c r="L3901">
        <v>3.09</v>
      </c>
      <c r="M3901">
        <v>23.15</v>
      </c>
      <c r="N3901">
        <v>0.44</v>
      </c>
      <c r="O3901">
        <v>1.06</v>
      </c>
      <c r="P3901">
        <v>23.8</v>
      </c>
      <c r="Q3901">
        <v>-1.78</v>
      </c>
      <c r="R3901">
        <v>23.13</v>
      </c>
      <c r="S3901">
        <v>23.5</v>
      </c>
      <c r="T3901">
        <v>13355</v>
      </c>
      <c r="U3901">
        <v>23.15</v>
      </c>
      <c r="V3901">
        <v>23.55</v>
      </c>
      <c r="W3901">
        <v>29.03</v>
      </c>
      <c r="X3901" t="s">
        <v>247</v>
      </c>
      <c r="Y3901" t="s">
        <v>883</v>
      </c>
      <c r="Z3901">
        <v>2.85</v>
      </c>
      <c r="AA3901">
        <v>23.38</v>
      </c>
      <c r="AB3901">
        <v>8126</v>
      </c>
      <c r="AC3901">
        <v>5229</v>
      </c>
      <c r="AD3901">
        <v>1.55</v>
      </c>
      <c r="AE3901">
        <v>38</v>
      </c>
      <c r="AF3901">
        <v>5</v>
      </c>
      <c r="AG3901" t="s">
        <v>120</v>
      </c>
      <c r="AH3901">
        <v>0.01</v>
      </c>
      <c r="AI3901" t="s">
        <v>120</v>
      </c>
      <c r="AJ3901">
        <v>0.43</v>
      </c>
      <c r="AK3901" t="s">
        <v>15942</v>
      </c>
      <c r="AL3901">
        <v>-0.35</v>
      </c>
      <c r="AM3901">
        <v>1184</v>
      </c>
      <c r="AN3901">
        <v>11</v>
      </c>
      <c r="AO3901">
        <v>2.5999999999999999E-3</v>
      </c>
      <c r="AP3901">
        <v>-3</v>
      </c>
      <c r="AQ3901">
        <v>-2.04</v>
      </c>
      <c r="AR3901">
        <v>-6.65</v>
      </c>
      <c r="AS3901">
        <v>2.84</v>
      </c>
      <c r="AT3901">
        <v>-12.88</v>
      </c>
      <c r="AU3901">
        <v>-23.34</v>
      </c>
      <c r="AV3901">
        <v>0</v>
      </c>
      <c r="AW3901">
        <v>3.09</v>
      </c>
      <c r="AX3901">
        <v>25.1</v>
      </c>
      <c r="AY3901">
        <v>19.36</v>
      </c>
      <c r="AZ3901">
        <v>16.649999999999999</v>
      </c>
      <c r="BA3901">
        <v>1.25</v>
      </c>
      <c r="BB3901" t="s">
        <v>143</v>
      </c>
      <c r="BF3901">
        <v>-0.74</v>
      </c>
      <c r="BG3901">
        <v>-1.49</v>
      </c>
      <c r="BH3901">
        <v>-2.73</v>
      </c>
      <c r="BI3901">
        <v>0.09</v>
      </c>
      <c r="BJ3901">
        <v>20210824</v>
      </c>
      <c r="BK3901">
        <v>20210310</v>
      </c>
      <c r="BL3901">
        <v>1.72</v>
      </c>
      <c r="BM3901" t="s">
        <v>120</v>
      </c>
      <c r="BN3901" t="s">
        <v>120</v>
      </c>
      <c r="BO3901">
        <v>29.77</v>
      </c>
      <c r="BP3901">
        <v>23.14</v>
      </c>
      <c r="BQ3901">
        <v>22.48</v>
      </c>
      <c r="BR3901" t="s">
        <v>120</v>
      </c>
      <c r="BS3901">
        <v>24.5</v>
      </c>
      <c r="BT3901">
        <v>24.95</v>
      </c>
      <c r="BU3901">
        <v>2.19</v>
      </c>
      <c r="BV3901">
        <v>2.04</v>
      </c>
      <c r="BW3901">
        <v>6.33</v>
      </c>
      <c r="BX3901">
        <v>7.49</v>
      </c>
      <c r="BY3901">
        <v>0.15</v>
      </c>
      <c r="BZ3901">
        <v>10.43</v>
      </c>
      <c r="CA3901" t="s">
        <v>120</v>
      </c>
      <c r="CB3901">
        <v>13.37</v>
      </c>
      <c r="CC3901">
        <v>5.08</v>
      </c>
      <c r="CD3901">
        <v>3.81</v>
      </c>
      <c r="CE3901">
        <v>0.77</v>
      </c>
      <c r="CF3901">
        <v>0</v>
      </c>
      <c r="CG3901">
        <v>0.8</v>
      </c>
      <c r="CH3901">
        <v>0.69</v>
      </c>
      <c r="CI3901">
        <v>0.69</v>
      </c>
      <c r="CJ3901">
        <v>-0.4</v>
      </c>
      <c r="CK3901">
        <v>0.64</v>
      </c>
      <c r="CL3901">
        <v>6.46</v>
      </c>
      <c r="CM3901">
        <v>-0.64</v>
      </c>
      <c r="CN3901">
        <v>6.48</v>
      </c>
      <c r="CO3901">
        <v>23059</v>
      </c>
      <c r="CP3901">
        <v>1876</v>
      </c>
      <c r="CQ3901" t="s">
        <v>3950</v>
      </c>
      <c r="CR3901">
        <v>-33.11</v>
      </c>
      <c r="CS3901">
        <v>1.39</v>
      </c>
      <c r="CT3901">
        <v>1.78</v>
      </c>
      <c r="CU3901">
        <v>-62.47</v>
      </c>
      <c r="CV3901">
        <v>7.86</v>
      </c>
      <c r="CW3901">
        <v>1.82</v>
      </c>
      <c r="CX3901" t="s">
        <v>194</v>
      </c>
      <c r="CY3901">
        <v>13.04</v>
      </c>
      <c r="CZ3901">
        <v>0</v>
      </c>
      <c r="DA3901">
        <v>7.76</v>
      </c>
      <c r="DB3901">
        <v>3.75</v>
      </c>
      <c r="DC3901">
        <v>-0.37</v>
      </c>
      <c r="DD3901">
        <v>75.5</v>
      </c>
      <c r="DE3901" t="s">
        <v>4082</v>
      </c>
      <c r="DF3901">
        <v>24.95</v>
      </c>
      <c r="DG3901">
        <v>15.07</v>
      </c>
      <c r="DH3901">
        <v>13.54</v>
      </c>
      <c r="DI3901">
        <v>0.02</v>
      </c>
      <c r="DJ3901">
        <v>700</v>
      </c>
      <c r="DK3901">
        <v>605122</v>
      </c>
      <c r="DL3901" t="s">
        <v>120</v>
      </c>
      <c r="DM3901" t="s">
        <v>120</v>
      </c>
      <c r="DN3901" t="s">
        <v>120</v>
      </c>
    </row>
    <row r="3902" spans="1:118">
      <c r="A3902" t="str">
        <f>"605123"</f>
        <v>605123</v>
      </c>
      <c r="B3902" t="s">
        <v>15943</v>
      </c>
      <c r="C3902">
        <v>-1.66</v>
      </c>
      <c r="D3902">
        <v>0.19</v>
      </c>
      <c r="E3902">
        <v>0.31</v>
      </c>
      <c r="F3902">
        <v>26</v>
      </c>
      <c r="G3902" t="s">
        <v>1144</v>
      </c>
      <c r="H3902">
        <v>10731.79</v>
      </c>
      <c r="I3902">
        <v>6.42</v>
      </c>
      <c r="J3902" t="s">
        <v>120</v>
      </c>
      <c r="K3902" t="s">
        <v>15823</v>
      </c>
      <c r="L3902">
        <v>2.85</v>
      </c>
      <c r="M3902">
        <v>89.88</v>
      </c>
      <c r="N3902">
        <v>0.83</v>
      </c>
      <c r="O3902">
        <v>2.9</v>
      </c>
      <c r="P3902">
        <v>94.05</v>
      </c>
      <c r="Q3902">
        <v>-2.59</v>
      </c>
      <c r="R3902">
        <v>89.03</v>
      </c>
      <c r="S3902">
        <v>91.68</v>
      </c>
      <c r="T3902">
        <v>11807</v>
      </c>
      <c r="U3902">
        <v>89.88</v>
      </c>
      <c r="V3902">
        <v>91.4</v>
      </c>
      <c r="W3902">
        <v>38.46</v>
      </c>
      <c r="X3902" t="s">
        <v>1925</v>
      </c>
      <c r="Y3902" t="s">
        <v>319</v>
      </c>
      <c r="Z3902">
        <v>5.49</v>
      </c>
      <c r="AA3902">
        <v>90.9</v>
      </c>
      <c r="AB3902">
        <v>5798</v>
      </c>
      <c r="AC3902">
        <v>6009</v>
      </c>
      <c r="AD3902">
        <v>0.96</v>
      </c>
      <c r="AE3902">
        <v>14</v>
      </c>
      <c r="AF3902">
        <v>15</v>
      </c>
      <c r="AG3902" t="s">
        <v>120</v>
      </c>
      <c r="AH3902">
        <v>0</v>
      </c>
      <c r="AI3902" t="s">
        <v>120</v>
      </c>
      <c r="AJ3902">
        <v>0.41</v>
      </c>
      <c r="AK3902" t="s">
        <v>15944</v>
      </c>
      <c r="AL3902">
        <v>-0.32</v>
      </c>
      <c r="AM3902">
        <v>1759</v>
      </c>
      <c r="AN3902">
        <v>7</v>
      </c>
      <c r="AO3902">
        <v>1.6000000000000001E-3</v>
      </c>
      <c r="AP3902">
        <v>-1</v>
      </c>
      <c r="AQ3902">
        <v>3.04</v>
      </c>
      <c r="AR3902">
        <v>-4</v>
      </c>
      <c r="AS3902">
        <v>-13.99</v>
      </c>
      <c r="AT3902">
        <v>19.329999999999998</v>
      </c>
      <c r="AU3902">
        <v>12.58</v>
      </c>
      <c r="AV3902">
        <v>1</v>
      </c>
      <c r="AW3902">
        <v>3.43</v>
      </c>
      <c r="AX3902">
        <v>31.9</v>
      </c>
      <c r="AY3902">
        <v>44.21</v>
      </c>
      <c r="AZ3902">
        <v>59.27</v>
      </c>
      <c r="BA3902">
        <v>1.46</v>
      </c>
      <c r="BB3902" t="s">
        <v>143</v>
      </c>
      <c r="BF3902">
        <v>-0.55000000000000004</v>
      </c>
      <c r="BG3902">
        <v>-1.96</v>
      </c>
      <c r="BH3902">
        <v>-4.43</v>
      </c>
      <c r="BI3902">
        <v>0.95</v>
      </c>
      <c r="BJ3902">
        <v>20210915</v>
      </c>
      <c r="BK3902">
        <v>20200825</v>
      </c>
      <c r="BL3902">
        <v>1.08</v>
      </c>
      <c r="BM3902" t="s">
        <v>120</v>
      </c>
      <c r="BN3902" t="s">
        <v>120</v>
      </c>
      <c r="BO3902">
        <v>26.42</v>
      </c>
      <c r="BP3902">
        <v>89.72</v>
      </c>
      <c r="BQ3902">
        <v>16.45</v>
      </c>
      <c r="BR3902" t="s">
        <v>120</v>
      </c>
      <c r="BS3902">
        <v>37.72</v>
      </c>
      <c r="BT3902">
        <v>18.86</v>
      </c>
      <c r="BU3902">
        <v>3.69</v>
      </c>
      <c r="BV3902">
        <v>0.35</v>
      </c>
      <c r="BW3902">
        <v>7.73</v>
      </c>
      <c r="BX3902">
        <v>4.51</v>
      </c>
      <c r="BY3902">
        <v>3.34</v>
      </c>
      <c r="BZ3902">
        <v>6.52</v>
      </c>
      <c r="CA3902" t="s">
        <v>120</v>
      </c>
      <c r="CB3902">
        <v>9.39</v>
      </c>
      <c r="CC3902">
        <v>7.64</v>
      </c>
      <c r="CD3902">
        <v>5.4</v>
      </c>
      <c r="CE3902">
        <v>1.62</v>
      </c>
      <c r="CF3902">
        <v>0.06</v>
      </c>
      <c r="CG3902">
        <v>1.63</v>
      </c>
      <c r="CH3902">
        <v>1.26</v>
      </c>
      <c r="CI3902">
        <v>1.26</v>
      </c>
      <c r="CJ3902">
        <v>-1.52</v>
      </c>
      <c r="CK3902">
        <v>1.1599999999999999</v>
      </c>
      <c r="CL3902">
        <v>5.45</v>
      </c>
      <c r="CM3902">
        <v>0.56999999999999995</v>
      </c>
      <c r="CN3902">
        <v>1.8</v>
      </c>
      <c r="CO3902">
        <v>8582</v>
      </c>
      <c r="CP3902">
        <v>4014</v>
      </c>
      <c r="CQ3902" t="s">
        <v>15945</v>
      </c>
      <c r="CR3902">
        <v>81.680000000000007</v>
      </c>
      <c r="CS3902">
        <v>82.14</v>
      </c>
      <c r="CT3902">
        <v>5.9</v>
      </c>
      <c r="CU3902">
        <v>170.29</v>
      </c>
      <c r="CV3902">
        <v>12.7</v>
      </c>
      <c r="CW3902">
        <v>0.56999999999999995</v>
      </c>
      <c r="CX3902" t="s">
        <v>15946</v>
      </c>
      <c r="CY3902">
        <v>15.24</v>
      </c>
      <c r="CZ3902">
        <v>0</v>
      </c>
      <c r="DA3902">
        <v>8.6999999999999993</v>
      </c>
      <c r="DB3902">
        <v>5.05</v>
      </c>
      <c r="DC3902">
        <v>0.53</v>
      </c>
      <c r="DD3902">
        <v>62.28</v>
      </c>
      <c r="DE3902" t="s">
        <v>3613</v>
      </c>
      <c r="DF3902">
        <v>29.29</v>
      </c>
      <c r="DG3902">
        <v>21.22</v>
      </c>
      <c r="DH3902">
        <v>16.510000000000002</v>
      </c>
      <c r="DI3902">
        <v>0.34</v>
      </c>
      <c r="DJ3902">
        <v>476</v>
      </c>
      <c r="DK3902">
        <v>605123</v>
      </c>
      <c r="DL3902" t="s">
        <v>120</v>
      </c>
      <c r="DM3902" t="s">
        <v>120</v>
      </c>
      <c r="DN3902" t="s">
        <v>120</v>
      </c>
    </row>
    <row r="3903" spans="1:118">
      <c r="A3903" t="str">
        <f>"605128"</f>
        <v>605128</v>
      </c>
      <c r="B3903" t="s">
        <v>15947</v>
      </c>
      <c r="C3903">
        <v>1.17</v>
      </c>
      <c r="D3903">
        <v>-0.13</v>
      </c>
      <c r="E3903">
        <v>-0.64</v>
      </c>
      <c r="F3903">
        <v>139</v>
      </c>
      <c r="G3903" t="s">
        <v>10531</v>
      </c>
      <c r="H3903">
        <v>2138.62</v>
      </c>
      <c r="I3903">
        <v>2.04</v>
      </c>
      <c r="J3903" t="s">
        <v>120</v>
      </c>
      <c r="K3903" t="s">
        <v>15948</v>
      </c>
      <c r="L3903">
        <v>1.52</v>
      </c>
      <c r="M3903">
        <v>34.6</v>
      </c>
      <c r="N3903">
        <v>0.7</v>
      </c>
      <c r="O3903">
        <v>2.02</v>
      </c>
      <c r="P3903">
        <v>34.89</v>
      </c>
      <c r="Q3903">
        <v>-3.33</v>
      </c>
      <c r="R3903">
        <v>33.06</v>
      </c>
      <c r="S3903">
        <v>33.979999999999997</v>
      </c>
      <c r="T3903">
        <v>6343</v>
      </c>
      <c r="U3903">
        <v>34.6</v>
      </c>
      <c r="V3903">
        <v>34.200000000000003</v>
      </c>
      <c r="W3903">
        <v>36.14</v>
      </c>
      <c r="X3903" t="s">
        <v>289</v>
      </c>
      <c r="Y3903" t="s">
        <v>1510</v>
      </c>
      <c r="Z3903">
        <v>5.35</v>
      </c>
      <c r="AA3903">
        <v>33.72</v>
      </c>
      <c r="AB3903">
        <v>2698</v>
      </c>
      <c r="AC3903">
        <v>3645</v>
      </c>
      <c r="AD3903">
        <v>0.74</v>
      </c>
      <c r="AE3903">
        <v>5</v>
      </c>
      <c r="AF3903">
        <v>64</v>
      </c>
      <c r="AG3903" t="s">
        <v>120</v>
      </c>
      <c r="AH3903">
        <v>0</v>
      </c>
      <c r="AI3903" t="s">
        <v>120</v>
      </c>
      <c r="AJ3903">
        <v>0.42</v>
      </c>
      <c r="AK3903" t="s">
        <v>3784</v>
      </c>
      <c r="AL3903">
        <v>2.5099999999999998</v>
      </c>
      <c r="AM3903">
        <v>749</v>
      </c>
      <c r="AN3903">
        <v>8</v>
      </c>
      <c r="AO3903">
        <v>2E-3</v>
      </c>
      <c r="AP3903">
        <v>2</v>
      </c>
      <c r="AQ3903">
        <v>1.82</v>
      </c>
      <c r="AR3903">
        <v>0.28999999999999998</v>
      </c>
      <c r="AS3903">
        <v>-18.2</v>
      </c>
      <c r="AT3903">
        <v>1.32</v>
      </c>
      <c r="AU3903">
        <v>21.98</v>
      </c>
      <c r="AV3903">
        <v>1</v>
      </c>
      <c r="AW3903">
        <v>1.68</v>
      </c>
      <c r="AX3903">
        <v>47.14</v>
      </c>
      <c r="AY3903">
        <v>30.33</v>
      </c>
      <c r="AZ3903">
        <v>33.68</v>
      </c>
      <c r="BA3903">
        <v>0</v>
      </c>
      <c r="BB3903" t="s">
        <v>143</v>
      </c>
      <c r="BF3903">
        <v>-1.41</v>
      </c>
      <c r="BG3903">
        <v>1.82</v>
      </c>
      <c r="BH3903">
        <v>-0.83</v>
      </c>
      <c r="BI3903">
        <v>4.66</v>
      </c>
      <c r="BJ3903">
        <v>20210914</v>
      </c>
      <c r="BK3903">
        <v>20200915</v>
      </c>
      <c r="BL3903">
        <v>0.8</v>
      </c>
      <c r="BM3903" t="s">
        <v>120</v>
      </c>
      <c r="BN3903" t="s">
        <v>120</v>
      </c>
      <c r="BO3903">
        <v>12.94</v>
      </c>
      <c r="BP3903">
        <v>34.53</v>
      </c>
      <c r="BQ3903">
        <v>9.9600000000000009</v>
      </c>
      <c r="BR3903" t="s">
        <v>120</v>
      </c>
      <c r="BS3903">
        <v>23</v>
      </c>
      <c r="BT3903">
        <v>8.08</v>
      </c>
      <c r="BU3903">
        <v>2.37</v>
      </c>
      <c r="BV3903">
        <v>0.41</v>
      </c>
      <c r="BW3903">
        <v>2.71</v>
      </c>
      <c r="BX3903">
        <v>3.6</v>
      </c>
      <c r="BY3903">
        <v>1.07</v>
      </c>
      <c r="BZ3903">
        <v>2.88</v>
      </c>
      <c r="CA3903" t="s">
        <v>120</v>
      </c>
      <c r="CB3903">
        <v>5.43</v>
      </c>
      <c r="CC3903">
        <v>3.84</v>
      </c>
      <c r="CD3903">
        <v>2.99</v>
      </c>
      <c r="CE3903">
        <v>0.45</v>
      </c>
      <c r="CF3903">
        <v>0.01</v>
      </c>
      <c r="CG3903">
        <v>0.45</v>
      </c>
      <c r="CH3903">
        <v>0.38</v>
      </c>
      <c r="CI3903">
        <v>0.38</v>
      </c>
      <c r="CJ3903">
        <v>0.4</v>
      </c>
      <c r="CK3903">
        <v>0.35</v>
      </c>
      <c r="CL3903">
        <v>3.39</v>
      </c>
      <c r="CM3903">
        <v>0.42</v>
      </c>
      <c r="CN3903">
        <v>1.37</v>
      </c>
      <c r="CO3903">
        <v>4206</v>
      </c>
      <c r="CP3903">
        <v>8966</v>
      </c>
      <c r="CQ3903" t="s">
        <v>15949</v>
      </c>
      <c r="CR3903">
        <v>30.61</v>
      </c>
      <c r="CS3903">
        <v>24.52</v>
      </c>
      <c r="CT3903">
        <v>2.78</v>
      </c>
      <c r="CU3903">
        <v>66.510000000000005</v>
      </c>
      <c r="CV3903">
        <v>7.21</v>
      </c>
      <c r="CW3903">
        <v>1.83</v>
      </c>
      <c r="CX3903" t="s">
        <v>780</v>
      </c>
      <c r="CY3903">
        <v>12.45</v>
      </c>
      <c r="CZ3903">
        <v>0</v>
      </c>
      <c r="DA3903">
        <v>6.79</v>
      </c>
      <c r="DB3903">
        <v>4.24</v>
      </c>
      <c r="DC3903">
        <v>0.52</v>
      </c>
      <c r="DD3903">
        <v>77</v>
      </c>
      <c r="DE3903" t="s">
        <v>11137</v>
      </c>
      <c r="DF3903">
        <v>22.04</v>
      </c>
      <c r="DG3903">
        <v>11.72</v>
      </c>
      <c r="DH3903">
        <v>9.9700000000000006</v>
      </c>
      <c r="DI3903">
        <v>0.16</v>
      </c>
      <c r="DJ3903">
        <v>868</v>
      </c>
      <c r="DK3903">
        <v>605128</v>
      </c>
      <c r="DL3903" t="s">
        <v>120</v>
      </c>
      <c r="DM3903" t="s">
        <v>120</v>
      </c>
      <c r="DN3903" t="s">
        <v>120</v>
      </c>
    </row>
    <row r="3904" spans="1:118">
      <c r="A3904" t="str">
        <f>"605133"</f>
        <v>605133</v>
      </c>
      <c r="B3904" t="s">
        <v>15950</v>
      </c>
      <c r="C3904">
        <v>-1.58</v>
      </c>
      <c r="D3904">
        <v>-0.21</v>
      </c>
      <c r="E3904">
        <v>0.05</v>
      </c>
      <c r="F3904">
        <v>191</v>
      </c>
      <c r="G3904" t="s">
        <v>15951</v>
      </c>
      <c r="H3904">
        <v>1708.96</v>
      </c>
      <c r="I3904">
        <v>0.37</v>
      </c>
      <c r="J3904" t="s">
        <v>120</v>
      </c>
      <c r="K3904" t="s">
        <v>15951</v>
      </c>
      <c r="L3904">
        <v>2.34</v>
      </c>
      <c r="M3904">
        <v>18.05</v>
      </c>
      <c r="N3904">
        <v>1.06</v>
      </c>
      <c r="O3904">
        <v>0.76</v>
      </c>
      <c r="P3904">
        <v>18.48</v>
      </c>
      <c r="Q3904">
        <v>-1.69</v>
      </c>
      <c r="R3904">
        <v>18.03</v>
      </c>
      <c r="S3904">
        <v>18.350000000000001</v>
      </c>
      <c r="T3904">
        <v>9370</v>
      </c>
      <c r="U3904">
        <v>18.059999999999999</v>
      </c>
      <c r="V3904">
        <v>18.34</v>
      </c>
      <c r="W3904">
        <v>22.53</v>
      </c>
      <c r="X3904" t="s">
        <v>289</v>
      </c>
      <c r="Y3904" t="s">
        <v>319</v>
      </c>
      <c r="Z3904">
        <v>2.4500000000000002</v>
      </c>
      <c r="AA3904">
        <v>18.239999999999998</v>
      </c>
      <c r="AB3904">
        <v>6448</v>
      </c>
      <c r="AC3904">
        <v>2922</v>
      </c>
      <c r="AD3904">
        <v>2.21</v>
      </c>
      <c r="AE3904">
        <v>43</v>
      </c>
      <c r="AF3904">
        <v>32</v>
      </c>
      <c r="AG3904" t="s">
        <v>120</v>
      </c>
      <c r="AH3904">
        <v>0</v>
      </c>
      <c r="AI3904" t="s">
        <v>120</v>
      </c>
      <c r="AJ3904">
        <v>0.4</v>
      </c>
      <c r="AK3904" t="s">
        <v>11079</v>
      </c>
      <c r="AL3904">
        <v>-0.24</v>
      </c>
      <c r="AM3904">
        <v>799</v>
      </c>
      <c r="AN3904">
        <v>12</v>
      </c>
      <c r="AO3904">
        <v>2.8999999999999998E-3</v>
      </c>
      <c r="AP3904">
        <v>-3</v>
      </c>
      <c r="AQ3904">
        <v>-0.43</v>
      </c>
      <c r="AR3904">
        <v>-3.63</v>
      </c>
      <c r="AS3904">
        <v>-4.95</v>
      </c>
      <c r="AT3904">
        <v>-17.690000000000001</v>
      </c>
      <c r="AU3904">
        <v>-10.15</v>
      </c>
      <c r="AV3904">
        <v>0</v>
      </c>
      <c r="AW3904">
        <v>2.34</v>
      </c>
      <c r="AX3904">
        <v>25</v>
      </c>
      <c r="AY3904">
        <v>22.91</v>
      </c>
      <c r="AZ3904">
        <v>22.96</v>
      </c>
      <c r="BA3904">
        <v>1.04</v>
      </c>
      <c r="BB3904" t="s">
        <v>134</v>
      </c>
      <c r="BF3904">
        <v>-0.56000000000000005</v>
      </c>
      <c r="BG3904">
        <v>-1.63</v>
      </c>
      <c r="BH3904">
        <v>-2.33</v>
      </c>
      <c r="BI3904">
        <v>0.11</v>
      </c>
      <c r="BJ3904">
        <v>20210814</v>
      </c>
      <c r="BK3904">
        <v>20210224</v>
      </c>
      <c r="BL3904">
        <v>1.6</v>
      </c>
      <c r="BM3904" t="s">
        <v>120</v>
      </c>
      <c r="BN3904" t="s">
        <v>120</v>
      </c>
      <c r="BO3904">
        <v>19.55</v>
      </c>
      <c r="BP3904">
        <v>18.05</v>
      </c>
      <c r="BQ3904">
        <v>16.28</v>
      </c>
      <c r="BR3904" t="s">
        <v>120</v>
      </c>
      <c r="BS3904">
        <v>16.760000000000002</v>
      </c>
      <c r="BT3904">
        <v>9.83</v>
      </c>
      <c r="BU3904">
        <v>7.67</v>
      </c>
      <c r="BV3904">
        <v>0.73</v>
      </c>
      <c r="BW3904">
        <v>2.84</v>
      </c>
      <c r="BX3904">
        <v>2.38</v>
      </c>
      <c r="BY3904">
        <v>2.57</v>
      </c>
      <c r="BZ3904">
        <v>2.79</v>
      </c>
      <c r="CA3904" t="s">
        <v>120</v>
      </c>
      <c r="CB3904">
        <v>9.08</v>
      </c>
      <c r="CC3904">
        <v>5.59</v>
      </c>
      <c r="CD3904">
        <v>4.01</v>
      </c>
      <c r="CE3904">
        <v>0.74</v>
      </c>
      <c r="CF3904">
        <v>0</v>
      </c>
      <c r="CG3904">
        <v>0.75</v>
      </c>
      <c r="CH3904">
        <v>0.64</v>
      </c>
      <c r="CI3904">
        <v>0.64</v>
      </c>
      <c r="CJ3904">
        <v>-0.28999999999999998</v>
      </c>
      <c r="CK3904">
        <v>0.57999999999999996</v>
      </c>
      <c r="CL3904">
        <v>5.43</v>
      </c>
      <c r="CM3904">
        <v>0.67</v>
      </c>
      <c r="CN3904">
        <v>1.33</v>
      </c>
      <c r="CO3904">
        <v>20914</v>
      </c>
      <c r="CP3904">
        <v>1913</v>
      </c>
      <c r="CQ3904" t="s">
        <v>15496</v>
      </c>
      <c r="CR3904">
        <v>0.49</v>
      </c>
      <c r="CS3904">
        <v>45.01</v>
      </c>
      <c r="CT3904">
        <v>1.77</v>
      </c>
      <c r="CU3904">
        <v>43.06</v>
      </c>
      <c r="CV3904">
        <v>5.16</v>
      </c>
      <c r="CW3904">
        <v>1.36</v>
      </c>
      <c r="CX3904" t="s">
        <v>194</v>
      </c>
      <c r="CY3904">
        <v>10.17</v>
      </c>
      <c r="CZ3904">
        <v>0</v>
      </c>
      <c r="DA3904">
        <v>5.68</v>
      </c>
      <c r="DB3904">
        <v>3.4</v>
      </c>
      <c r="DC3904">
        <v>0.42</v>
      </c>
      <c r="DD3904">
        <v>83.24</v>
      </c>
      <c r="DE3904" t="s">
        <v>4916</v>
      </c>
      <c r="DF3904">
        <v>28.4</v>
      </c>
      <c r="DG3904">
        <v>13.29</v>
      </c>
      <c r="DH3904">
        <v>11.46</v>
      </c>
      <c r="DI3904">
        <v>0.22</v>
      </c>
      <c r="DJ3904">
        <v>2022</v>
      </c>
      <c r="DK3904">
        <v>605133</v>
      </c>
      <c r="DL3904" t="s">
        <v>120</v>
      </c>
      <c r="DM3904" t="s">
        <v>120</v>
      </c>
      <c r="DN3904" t="s">
        <v>120</v>
      </c>
    </row>
    <row r="3905" spans="1:118">
      <c r="A3905" t="str">
        <f>"605136"</f>
        <v>605136</v>
      </c>
      <c r="B3905" t="s">
        <v>15952</v>
      </c>
      <c r="C3905">
        <v>0.57999999999999996</v>
      </c>
      <c r="D3905">
        <v>-0.11</v>
      </c>
      <c r="E3905">
        <v>-0.08</v>
      </c>
      <c r="F3905">
        <v>351</v>
      </c>
      <c r="G3905" t="s">
        <v>15953</v>
      </c>
      <c r="H3905">
        <v>2807.81</v>
      </c>
      <c r="I3905">
        <v>13.09</v>
      </c>
      <c r="J3905" t="s">
        <v>120</v>
      </c>
      <c r="K3905" t="s">
        <v>15953</v>
      </c>
      <c r="L3905">
        <v>2.88</v>
      </c>
      <c r="M3905">
        <v>24.4</v>
      </c>
      <c r="N3905">
        <v>0.68</v>
      </c>
      <c r="O3905">
        <v>1.48</v>
      </c>
      <c r="P3905">
        <v>24.62</v>
      </c>
      <c r="Q3905">
        <v>-0.54</v>
      </c>
      <c r="R3905">
        <v>24.13</v>
      </c>
      <c r="S3905">
        <v>24.24</v>
      </c>
      <c r="T3905">
        <v>11504</v>
      </c>
      <c r="U3905">
        <v>24.41</v>
      </c>
      <c r="V3905">
        <v>24.26</v>
      </c>
      <c r="W3905">
        <v>23.86</v>
      </c>
      <c r="X3905" t="s">
        <v>221</v>
      </c>
      <c r="Y3905" t="s">
        <v>1510</v>
      </c>
      <c r="Z3905">
        <v>2.02</v>
      </c>
      <c r="AA3905">
        <v>24.41</v>
      </c>
      <c r="AB3905">
        <v>5847</v>
      </c>
      <c r="AC3905">
        <v>5657</v>
      </c>
      <c r="AD3905">
        <v>1.03</v>
      </c>
      <c r="AE3905">
        <v>195</v>
      </c>
      <c r="AF3905">
        <v>2</v>
      </c>
      <c r="AG3905" t="s">
        <v>120</v>
      </c>
      <c r="AH3905">
        <v>0.01</v>
      </c>
      <c r="AI3905" t="s">
        <v>120</v>
      </c>
      <c r="AJ3905">
        <v>0.4</v>
      </c>
      <c r="AK3905" t="s">
        <v>15954</v>
      </c>
      <c r="AL3905">
        <v>1.92</v>
      </c>
      <c r="AM3905">
        <v>1286</v>
      </c>
      <c r="AN3905">
        <v>9</v>
      </c>
      <c r="AO3905">
        <v>2.2000000000000001E-3</v>
      </c>
      <c r="AP3905">
        <v>1</v>
      </c>
      <c r="AQ3905">
        <v>-3.73</v>
      </c>
      <c r="AR3905">
        <v>-6.26</v>
      </c>
      <c r="AS3905">
        <v>-2.86</v>
      </c>
      <c r="AT3905">
        <v>-23.68</v>
      </c>
      <c r="AU3905">
        <v>-13.13</v>
      </c>
      <c r="AV3905">
        <v>9</v>
      </c>
      <c r="AW3905">
        <v>2.88</v>
      </c>
      <c r="AX3905">
        <v>9.9600000000000009</v>
      </c>
      <c r="AY3905">
        <v>24.7</v>
      </c>
      <c r="AZ3905">
        <v>28.7</v>
      </c>
      <c r="BA3905">
        <v>1.31</v>
      </c>
      <c r="BB3905" t="s">
        <v>143</v>
      </c>
      <c r="BF3905">
        <v>0.61</v>
      </c>
      <c r="BG3905">
        <v>0.66</v>
      </c>
      <c r="BH3905">
        <v>-0.89</v>
      </c>
      <c r="BI3905">
        <v>1.1200000000000001</v>
      </c>
      <c r="BJ3905">
        <v>20210827</v>
      </c>
      <c r="BK3905">
        <v>20200929</v>
      </c>
      <c r="BL3905">
        <v>4.0199999999999996</v>
      </c>
      <c r="BM3905" t="s">
        <v>120</v>
      </c>
      <c r="BN3905" t="s">
        <v>120</v>
      </c>
      <c r="BO3905">
        <v>33.630000000000003</v>
      </c>
      <c r="BP3905">
        <v>24.4</v>
      </c>
      <c r="BQ3905">
        <v>24.78</v>
      </c>
      <c r="BR3905">
        <v>-0.01</v>
      </c>
      <c r="BS3905">
        <v>26.35</v>
      </c>
      <c r="BT3905">
        <v>30.87</v>
      </c>
      <c r="BU3905">
        <v>0.33</v>
      </c>
      <c r="BV3905">
        <v>0.01</v>
      </c>
      <c r="BW3905">
        <v>8.56</v>
      </c>
      <c r="BX3905">
        <v>13.21</v>
      </c>
      <c r="BY3905">
        <v>8.5299999999999994</v>
      </c>
      <c r="BZ3905">
        <v>0.96</v>
      </c>
      <c r="CA3905">
        <v>0</v>
      </c>
      <c r="CB3905">
        <v>7.46</v>
      </c>
      <c r="CC3905">
        <v>18.559999999999999</v>
      </c>
      <c r="CD3905">
        <v>10.84</v>
      </c>
      <c r="CE3905">
        <v>2.7</v>
      </c>
      <c r="CF3905">
        <v>0.01</v>
      </c>
      <c r="CG3905">
        <v>2.69</v>
      </c>
      <c r="CH3905">
        <v>2.0499999999999998</v>
      </c>
      <c r="CI3905">
        <v>2.0499999999999998</v>
      </c>
      <c r="CJ3905">
        <v>0.14000000000000001</v>
      </c>
      <c r="CK3905">
        <v>1.61</v>
      </c>
      <c r="CL3905">
        <v>12.91</v>
      </c>
      <c r="CM3905">
        <v>1.32</v>
      </c>
      <c r="CN3905">
        <v>-0.6</v>
      </c>
      <c r="CO3905">
        <v>22694</v>
      </c>
      <c r="CP3905">
        <v>1763</v>
      </c>
      <c r="CQ3905" t="s">
        <v>160</v>
      </c>
      <c r="CR3905">
        <v>36.64</v>
      </c>
      <c r="CS3905">
        <v>2.83</v>
      </c>
      <c r="CT3905">
        <v>3.95</v>
      </c>
      <c r="CU3905">
        <v>74.03</v>
      </c>
      <c r="CV3905">
        <v>5.28</v>
      </c>
      <c r="CW3905">
        <v>0.74</v>
      </c>
      <c r="CX3905" t="s">
        <v>1001</v>
      </c>
      <c r="CY3905">
        <v>6.17</v>
      </c>
      <c r="CZ3905">
        <v>0</v>
      </c>
      <c r="DA3905">
        <v>1.86</v>
      </c>
      <c r="DB3905">
        <v>3.21</v>
      </c>
      <c r="DC3905">
        <v>0.33</v>
      </c>
      <c r="DD3905">
        <v>73.67</v>
      </c>
      <c r="DE3905" t="s">
        <v>15955</v>
      </c>
      <c r="DF3905">
        <v>41.56</v>
      </c>
      <c r="DG3905">
        <v>14.55</v>
      </c>
      <c r="DH3905">
        <v>11.06</v>
      </c>
      <c r="DI3905">
        <v>0.06</v>
      </c>
      <c r="DJ3905">
        <v>945</v>
      </c>
      <c r="DK3905">
        <v>605136</v>
      </c>
      <c r="DL3905" t="s">
        <v>120</v>
      </c>
      <c r="DM3905" t="s">
        <v>120</v>
      </c>
      <c r="DN3905" t="s">
        <v>120</v>
      </c>
    </row>
    <row r="3906" spans="1:118">
      <c r="A3906" t="str">
        <f>"605151"</f>
        <v>605151</v>
      </c>
      <c r="B3906" t="s">
        <v>15956</v>
      </c>
      <c r="C3906">
        <v>0.68</v>
      </c>
      <c r="D3906">
        <v>0.06</v>
      </c>
      <c r="E3906">
        <v>0.23</v>
      </c>
      <c r="F3906">
        <v>126</v>
      </c>
      <c r="G3906" t="s">
        <v>15957</v>
      </c>
      <c r="H3906">
        <v>2045.87</v>
      </c>
      <c r="I3906">
        <v>1.06</v>
      </c>
      <c r="J3906" t="s">
        <v>120</v>
      </c>
      <c r="K3906" t="s">
        <v>15957</v>
      </c>
      <c r="L3906">
        <v>3.45</v>
      </c>
      <c r="M3906">
        <v>17.68</v>
      </c>
      <c r="N3906">
        <v>1.55</v>
      </c>
      <c r="O3906">
        <v>2.33</v>
      </c>
      <c r="P3906">
        <v>17.97</v>
      </c>
      <c r="Q3906">
        <v>-0.06</v>
      </c>
      <c r="R3906">
        <v>17.55</v>
      </c>
      <c r="S3906">
        <v>17.600000000000001</v>
      </c>
      <c r="T3906">
        <v>11517</v>
      </c>
      <c r="U3906">
        <v>17.68</v>
      </c>
      <c r="V3906">
        <v>17.559999999999999</v>
      </c>
      <c r="W3906">
        <v>21.33</v>
      </c>
      <c r="X3906" t="s">
        <v>289</v>
      </c>
      <c r="Y3906" t="s">
        <v>1510</v>
      </c>
      <c r="Z3906">
        <v>2.39</v>
      </c>
      <c r="AA3906">
        <v>17.760000000000002</v>
      </c>
      <c r="AB3906">
        <v>5330</v>
      </c>
      <c r="AC3906">
        <v>6187</v>
      </c>
      <c r="AD3906">
        <v>0.86</v>
      </c>
      <c r="AE3906">
        <v>120</v>
      </c>
      <c r="AF3906">
        <v>50</v>
      </c>
      <c r="AG3906" t="s">
        <v>120</v>
      </c>
      <c r="AH3906">
        <v>0</v>
      </c>
      <c r="AI3906" t="s">
        <v>120</v>
      </c>
      <c r="AJ3906">
        <v>0.33</v>
      </c>
      <c r="AK3906" t="s">
        <v>6856</v>
      </c>
      <c r="AL3906">
        <v>2.0299999999999998</v>
      </c>
      <c r="AM3906">
        <v>810</v>
      </c>
      <c r="AN3906">
        <v>14</v>
      </c>
      <c r="AO3906">
        <v>4.3E-3</v>
      </c>
      <c r="AP3906">
        <v>1</v>
      </c>
      <c r="AQ3906">
        <v>-0.28000000000000003</v>
      </c>
      <c r="AR3906">
        <v>-0.16</v>
      </c>
      <c r="AS3906">
        <v>-4.4800000000000004</v>
      </c>
      <c r="AT3906">
        <v>-7.38</v>
      </c>
      <c r="AU3906">
        <v>-14.83</v>
      </c>
      <c r="AV3906">
        <v>4</v>
      </c>
      <c r="AW3906">
        <v>3.45</v>
      </c>
      <c r="AX3906">
        <v>25</v>
      </c>
      <c r="AY3906">
        <v>20.51</v>
      </c>
      <c r="AZ3906">
        <v>21.79</v>
      </c>
      <c r="BA3906">
        <v>0.48</v>
      </c>
      <c r="BB3906" t="s">
        <v>125</v>
      </c>
      <c r="BF3906">
        <v>1.1599999999999999</v>
      </c>
      <c r="BG3906">
        <v>0.45</v>
      </c>
      <c r="BH3906">
        <v>-1.61</v>
      </c>
      <c r="BI3906">
        <v>0.74</v>
      </c>
      <c r="BJ3906">
        <v>20210915</v>
      </c>
      <c r="BK3906">
        <v>20201215</v>
      </c>
      <c r="BL3906">
        <v>1.33</v>
      </c>
      <c r="BM3906" t="s">
        <v>120</v>
      </c>
      <c r="BN3906" t="s">
        <v>120</v>
      </c>
      <c r="BO3906">
        <v>17.04</v>
      </c>
      <c r="BP3906">
        <v>17.670000000000002</v>
      </c>
      <c r="BQ3906">
        <v>11.56</v>
      </c>
      <c r="BR3906">
        <v>0.5</v>
      </c>
      <c r="BS3906">
        <v>29.23</v>
      </c>
      <c r="BT3906">
        <v>13.29</v>
      </c>
      <c r="BU3906">
        <v>1.44</v>
      </c>
      <c r="BV3906">
        <v>1.45</v>
      </c>
      <c r="BW3906">
        <v>4.59</v>
      </c>
      <c r="BX3906">
        <v>5.28</v>
      </c>
      <c r="BY3906">
        <v>0.38</v>
      </c>
      <c r="BZ3906">
        <v>3.38</v>
      </c>
      <c r="CA3906">
        <v>0.01</v>
      </c>
      <c r="CB3906">
        <v>4.45</v>
      </c>
      <c r="CC3906">
        <v>5.28</v>
      </c>
      <c r="CD3906">
        <v>4</v>
      </c>
      <c r="CE3906">
        <v>0.78</v>
      </c>
      <c r="CF3906">
        <v>0.01</v>
      </c>
      <c r="CG3906">
        <v>0.78</v>
      </c>
      <c r="CH3906">
        <v>0.59</v>
      </c>
      <c r="CI3906">
        <v>0.55000000000000004</v>
      </c>
      <c r="CJ3906">
        <v>0.12</v>
      </c>
      <c r="CK3906">
        <v>0.48</v>
      </c>
      <c r="CL3906">
        <v>5.36</v>
      </c>
      <c r="CM3906">
        <v>0.47</v>
      </c>
      <c r="CN3906">
        <v>-2.81</v>
      </c>
      <c r="CO3906">
        <v>12795</v>
      </c>
      <c r="CP3906">
        <v>2606</v>
      </c>
      <c r="CQ3906" t="s">
        <v>1642</v>
      </c>
      <c r="CR3906">
        <v>13.84</v>
      </c>
      <c r="CS3906">
        <v>9.8800000000000008</v>
      </c>
      <c r="CT3906">
        <v>2.04</v>
      </c>
      <c r="CU3906">
        <v>50.26</v>
      </c>
      <c r="CV3906">
        <v>4.47</v>
      </c>
      <c r="CW3906">
        <v>1.65</v>
      </c>
      <c r="CX3906" t="s">
        <v>803</v>
      </c>
      <c r="CY3906">
        <v>8.67</v>
      </c>
      <c r="CZ3906">
        <v>0</v>
      </c>
      <c r="DA3906">
        <v>3.33</v>
      </c>
      <c r="DB3906">
        <v>4.0199999999999996</v>
      </c>
      <c r="DC3906">
        <v>0.35</v>
      </c>
      <c r="DD3906">
        <v>67.84</v>
      </c>
      <c r="DE3906" t="s">
        <v>1592</v>
      </c>
      <c r="DF3906">
        <v>24.23</v>
      </c>
      <c r="DG3906">
        <v>14.7</v>
      </c>
      <c r="DH3906">
        <v>10.47</v>
      </c>
      <c r="DI3906">
        <v>0.22</v>
      </c>
      <c r="DJ3906">
        <v>1588</v>
      </c>
      <c r="DK3906">
        <v>605151</v>
      </c>
      <c r="DL3906" t="s">
        <v>120</v>
      </c>
      <c r="DM3906" t="s">
        <v>120</v>
      </c>
      <c r="DN3906" t="s">
        <v>120</v>
      </c>
    </row>
    <row r="3907" spans="1:118">
      <c r="A3907" t="str">
        <f>"605155"</f>
        <v>605155</v>
      </c>
      <c r="B3907" t="s">
        <v>15958</v>
      </c>
      <c r="C3907">
        <v>-1.83</v>
      </c>
      <c r="D3907">
        <v>-0.13</v>
      </c>
      <c r="E3907">
        <v>-0.5</v>
      </c>
      <c r="F3907">
        <v>429</v>
      </c>
      <c r="G3907" t="s">
        <v>15959</v>
      </c>
      <c r="H3907">
        <v>5119.55</v>
      </c>
      <c r="I3907">
        <v>55.74</v>
      </c>
      <c r="J3907" t="s">
        <v>120</v>
      </c>
      <c r="K3907" t="s">
        <v>15959</v>
      </c>
      <c r="L3907">
        <v>9.83</v>
      </c>
      <c r="M3907">
        <v>21.4</v>
      </c>
      <c r="N3907">
        <v>1.64</v>
      </c>
      <c r="O3907">
        <v>0.92</v>
      </c>
      <c r="P3907">
        <v>22</v>
      </c>
      <c r="Q3907">
        <v>-1.93</v>
      </c>
      <c r="R3907">
        <v>21.38</v>
      </c>
      <c r="S3907">
        <v>21.69</v>
      </c>
      <c r="T3907">
        <v>23585</v>
      </c>
      <c r="U3907">
        <v>21.41</v>
      </c>
      <c r="V3907">
        <v>21.8</v>
      </c>
      <c r="W3907">
        <v>22.58</v>
      </c>
      <c r="X3907" t="s">
        <v>868</v>
      </c>
      <c r="Y3907" t="s">
        <v>585</v>
      </c>
      <c r="Z3907">
        <v>2.84</v>
      </c>
      <c r="AA3907">
        <v>21.71</v>
      </c>
      <c r="AB3907">
        <v>13083</v>
      </c>
      <c r="AC3907">
        <v>10502</v>
      </c>
      <c r="AD3907">
        <v>1.25</v>
      </c>
      <c r="AE3907">
        <v>34</v>
      </c>
      <c r="AF3907">
        <v>61</v>
      </c>
      <c r="AG3907" t="s">
        <v>120</v>
      </c>
      <c r="AH3907">
        <v>0.11</v>
      </c>
      <c r="AI3907" t="s">
        <v>120</v>
      </c>
      <c r="AJ3907">
        <v>0.24</v>
      </c>
      <c r="AK3907" t="s">
        <v>15849</v>
      </c>
      <c r="AL3907">
        <v>-0.49</v>
      </c>
      <c r="AM3907">
        <v>1552</v>
      </c>
      <c r="AN3907">
        <v>15</v>
      </c>
      <c r="AO3907">
        <v>6.3E-3</v>
      </c>
      <c r="AP3907">
        <v>-1</v>
      </c>
      <c r="AQ3907">
        <v>4.66</v>
      </c>
      <c r="AR3907">
        <v>0.56999999999999995</v>
      </c>
      <c r="AS3907">
        <v>-1.1100000000000001</v>
      </c>
      <c r="AT3907">
        <v>-3.73</v>
      </c>
      <c r="AU3907">
        <v>-29.21</v>
      </c>
      <c r="AV3907">
        <v>7</v>
      </c>
      <c r="AW3907">
        <v>9.83</v>
      </c>
      <c r="AX3907">
        <v>25</v>
      </c>
      <c r="AY3907">
        <v>23.57</v>
      </c>
      <c r="AZ3907">
        <v>26.89</v>
      </c>
      <c r="BA3907">
        <v>0.56999999999999995</v>
      </c>
      <c r="BB3907" t="s">
        <v>143</v>
      </c>
      <c r="BF3907">
        <v>-0.43</v>
      </c>
      <c r="BG3907">
        <v>-1.34</v>
      </c>
      <c r="BH3907">
        <v>-2.73</v>
      </c>
      <c r="BI3907">
        <v>0.09</v>
      </c>
      <c r="BJ3907">
        <v>20210821</v>
      </c>
      <c r="BK3907">
        <v>20201231</v>
      </c>
      <c r="BL3907">
        <v>0.96</v>
      </c>
      <c r="BM3907" t="s">
        <v>120</v>
      </c>
      <c r="BN3907" t="s">
        <v>120</v>
      </c>
      <c r="BO3907">
        <v>11</v>
      </c>
      <c r="BP3907">
        <v>21.4</v>
      </c>
      <c r="BQ3907">
        <v>10.33</v>
      </c>
      <c r="BR3907" t="s">
        <v>120</v>
      </c>
      <c r="BS3907">
        <v>6.07</v>
      </c>
      <c r="BT3907">
        <v>7.17</v>
      </c>
      <c r="BU3907">
        <v>2.61</v>
      </c>
      <c r="BV3907">
        <v>0.35</v>
      </c>
      <c r="BW3907">
        <v>0.62</v>
      </c>
      <c r="BX3907">
        <v>0.84</v>
      </c>
      <c r="BY3907">
        <v>1.1100000000000001</v>
      </c>
      <c r="BZ3907">
        <v>0.32</v>
      </c>
      <c r="CA3907" t="s">
        <v>120</v>
      </c>
      <c r="CB3907">
        <v>6.36</v>
      </c>
      <c r="CC3907">
        <v>2.08</v>
      </c>
      <c r="CD3907">
        <v>1.29</v>
      </c>
      <c r="CE3907">
        <v>0.53</v>
      </c>
      <c r="CF3907">
        <v>0.01</v>
      </c>
      <c r="CG3907">
        <v>0.52</v>
      </c>
      <c r="CH3907">
        <v>0.45</v>
      </c>
      <c r="CI3907">
        <v>0.45</v>
      </c>
      <c r="CJ3907">
        <v>-0.4</v>
      </c>
      <c r="CK3907">
        <v>0.41</v>
      </c>
      <c r="CL3907">
        <v>2.67</v>
      </c>
      <c r="CM3907">
        <v>0.43</v>
      </c>
      <c r="CN3907">
        <v>-5.42</v>
      </c>
      <c r="CO3907">
        <v>12922</v>
      </c>
      <c r="CP3907">
        <v>1857</v>
      </c>
      <c r="CQ3907" t="s">
        <v>1185</v>
      </c>
      <c r="CR3907">
        <v>31.75</v>
      </c>
      <c r="CS3907">
        <v>39.58</v>
      </c>
      <c r="CT3907">
        <v>1.99</v>
      </c>
      <c r="CU3907">
        <v>47.88</v>
      </c>
      <c r="CV3907">
        <v>9.8699999999999992</v>
      </c>
      <c r="CW3907">
        <v>1.1499999999999999</v>
      </c>
      <c r="CX3907" t="s">
        <v>1071</v>
      </c>
      <c r="CY3907">
        <v>10.76</v>
      </c>
      <c r="CZ3907">
        <v>0</v>
      </c>
      <c r="DA3907">
        <v>6.63</v>
      </c>
      <c r="DB3907">
        <v>2.78</v>
      </c>
      <c r="DC3907">
        <v>0.45</v>
      </c>
      <c r="DD3907">
        <v>93.93</v>
      </c>
      <c r="DE3907" t="s">
        <v>1194</v>
      </c>
      <c r="DF3907">
        <v>38.14</v>
      </c>
      <c r="DG3907">
        <v>25.32</v>
      </c>
      <c r="DH3907">
        <v>21.86</v>
      </c>
      <c r="DI3907">
        <v>0.08</v>
      </c>
      <c r="DJ3907">
        <v>637</v>
      </c>
      <c r="DK3907">
        <v>605155</v>
      </c>
      <c r="DL3907" t="s">
        <v>120</v>
      </c>
      <c r="DM3907" t="s">
        <v>120</v>
      </c>
      <c r="DN3907" t="s">
        <v>120</v>
      </c>
    </row>
    <row r="3908" spans="1:118">
      <c r="A3908" t="str">
        <f>"605158"</f>
        <v>605158</v>
      </c>
      <c r="B3908" t="s">
        <v>15960</v>
      </c>
      <c r="C3908">
        <v>-0.68</v>
      </c>
      <c r="D3908">
        <v>-0.1</v>
      </c>
      <c r="E3908">
        <v>0.91</v>
      </c>
      <c r="F3908">
        <v>263</v>
      </c>
      <c r="G3908" t="s">
        <v>12819</v>
      </c>
      <c r="H3908">
        <v>3139.9</v>
      </c>
      <c r="I3908">
        <v>85.06</v>
      </c>
      <c r="J3908" t="s">
        <v>120</v>
      </c>
      <c r="K3908" t="s">
        <v>14892</v>
      </c>
      <c r="L3908">
        <v>2.4700000000000002</v>
      </c>
      <c r="M3908">
        <v>8.7200000000000006</v>
      </c>
      <c r="N3908">
        <v>0.77</v>
      </c>
      <c r="O3908">
        <v>1.59</v>
      </c>
      <c r="P3908">
        <v>8.92</v>
      </c>
      <c r="Q3908">
        <v>-1.25</v>
      </c>
      <c r="R3908">
        <v>8.67</v>
      </c>
      <c r="S3908">
        <v>8.86</v>
      </c>
      <c r="T3908">
        <v>35678</v>
      </c>
      <c r="U3908">
        <v>8.7200000000000006</v>
      </c>
      <c r="V3908">
        <v>8.7799999999999994</v>
      </c>
      <c r="W3908">
        <v>14.08</v>
      </c>
      <c r="X3908" t="s">
        <v>1925</v>
      </c>
      <c r="Y3908" t="s">
        <v>585</v>
      </c>
      <c r="Z3908">
        <v>2.85</v>
      </c>
      <c r="AA3908">
        <v>8.8000000000000007</v>
      </c>
      <c r="AB3908">
        <v>17471</v>
      </c>
      <c r="AC3908">
        <v>18207</v>
      </c>
      <c r="AD3908">
        <v>0.96</v>
      </c>
      <c r="AE3908">
        <v>137</v>
      </c>
      <c r="AF3908">
        <v>30</v>
      </c>
      <c r="AG3908" t="s">
        <v>120</v>
      </c>
      <c r="AH3908">
        <v>7.0000000000000007E-2</v>
      </c>
      <c r="AI3908" t="s">
        <v>120</v>
      </c>
      <c r="AJ3908">
        <v>1.44</v>
      </c>
      <c r="AK3908" t="s">
        <v>13030</v>
      </c>
      <c r="AL3908">
        <v>0.66</v>
      </c>
      <c r="AM3908">
        <v>1248</v>
      </c>
      <c r="AN3908">
        <v>29</v>
      </c>
      <c r="AO3908">
        <v>2E-3</v>
      </c>
      <c r="AP3908">
        <v>-1</v>
      </c>
      <c r="AQ3908">
        <v>1.39</v>
      </c>
      <c r="AR3908">
        <v>-2.34</v>
      </c>
      <c r="AS3908">
        <v>6.47</v>
      </c>
      <c r="AT3908">
        <v>2.58</v>
      </c>
      <c r="AU3908">
        <v>3.91</v>
      </c>
      <c r="AV3908">
        <v>1</v>
      </c>
      <c r="AW3908">
        <v>2.62</v>
      </c>
      <c r="AX3908">
        <v>26.6</v>
      </c>
      <c r="AY3908">
        <v>13.47</v>
      </c>
      <c r="AZ3908">
        <v>16.32</v>
      </c>
      <c r="BA3908">
        <v>0.77</v>
      </c>
      <c r="BB3908" t="s">
        <v>143</v>
      </c>
      <c r="BF3908">
        <v>0.23</v>
      </c>
      <c r="BG3908">
        <v>-1.58</v>
      </c>
      <c r="BH3908">
        <v>-2.2400000000000002</v>
      </c>
      <c r="BI3908">
        <v>0.57999999999999996</v>
      </c>
      <c r="BJ3908">
        <v>20210827</v>
      </c>
      <c r="BK3908">
        <v>20200805</v>
      </c>
      <c r="BL3908">
        <v>5.1100000000000003</v>
      </c>
      <c r="BM3908" t="s">
        <v>120</v>
      </c>
      <c r="BN3908" t="s">
        <v>120</v>
      </c>
      <c r="BO3908">
        <v>32.83</v>
      </c>
      <c r="BP3908">
        <v>8.7100000000000009</v>
      </c>
      <c r="BQ3908">
        <v>20.25</v>
      </c>
      <c r="BR3908" t="s">
        <v>120</v>
      </c>
      <c r="BS3908">
        <v>38.31</v>
      </c>
      <c r="BT3908">
        <v>27.63</v>
      </c>
      <c r="BU3908">
        <v>4.53</v>
      </c>
      <c r="BV3908">
        <v>0.56999999999999995</v>
      </c>
      <c r="BW3908">
        <v>12.43</v>
      </c>
      <c r="BX3908">
        <v>4.05</v>
      </c>
      <c r="BY3908">
        <v>12.64</v>
      </c>
      <c r="BZ3908">
        <v>1.46</v>
      </c>
      <c r="CA3908" t="s">
        <v>120</v>
      </c>
      <c r="CB3908">
        <v>6.52</v>
      </c>
      <c r="CC3908">
        <v>39.97</v>
      </c>
      <c r="CD3908">
        <v>36.340000000000003</v>
      </c>
      <c r="CE3908">
        <v>1.87</v>
      </c>
      <c r="CF3908">
        <v>0.06</v>
      </c>
      <c r="CG3908">
        <v>1.87</v>
      </c>
      <c r="CH3908">
        <v>1.58</v>
      </c>
      <c r="CI3908">
        <v>1.58</v>
      </c>
      <c r="CJ3908">
        <v>-0.06</v>
      </c>
      <c r="CK3908">
        <v>1.51</v>
      </c>
      <c r="CL3908">
        <v>7.78</v>
      </c>
      <c r="CM3908">
        <v>-0.59</v>
      </c>
      <c r="CN3908">
        <v>-0.45</v>
      </c>
      <c r="CO3908">
        <v>26283</v>
      </c>
      <c r="CP3908">
        <v>5176</v>
      </c>
      <c r="CQ3908" t="s">
        <v>7273</v>
      </c>
      <c r="CR3908">
        <v>57.86</v>
      </c>
      <c r="CS3908">
        <v>46.37</v>
      </c>
      <c r="CT3908">
        <v>2.2000000000000002</v>
      </c>
      <c r="CU3908">
        <v>-76.22</v>
      </c>
      <c r="CV3908">
        <v>1.1200000000000001</v>
      </c>
      <c r="CW3908">
        <v>2.19</v>
      </c>
      <c r="CX3908" t="s">
        <v>3527</v>
      </c>
      <c r="CY3908">
        <v>3.96</v>
      </c>
      <c r="CZ3908">
        <v>0</v>
      </c>
      <c r="DA3908">
        <v>1.27</v>
      </c>
      <c r="DB3908">
        <v>1.52</v>
      </c>
      <c r="DC3908">
        <v>-0.11</v>
      </c>
      <c r="DD3908">
        <v>61.69</v>
      </c>
      <c r="DE3908" t="s">
        <v>5430</v>
      </c>
      <c r="DF3908">
        <v>9.07</v>
      </c>
      <c r="DG3908">
        <v>4.68</v>
      </c>
      <c r="DH3908">
        <v>3.96</v>
      </c>
      <c r="DI3908">
        <v>1.28</v>
      </c>
      <c r="DJ3908">
        <v>920</v>
      </c>
      <c r="DK3908">
        <v>605158</v>
      </c>
      <c r="DL3908" t="s">
        <v>120</v>
      </c>
      <c r="DM3908" t="s">
        <v>120</v>
      </c>
      <c r="DN3908" t="s">
        <v>120</v>
      </c>
    </row>
    <row r="3909" spans="1:118">
      <c r="A3909" t="str">
        <f>"605162"</f>
        <v>605162</v>
      </c>
      <c r="B3909" t="s">
        <v>15961</v>
      </c>
      <c r="C3909">
        <v>-2.95</v>
      </c>
      <c r="D3909">
        <v>0</v>
      </c>
      <c r="E3909">
        <v>-0.95</v>
      </c>
      <c r="F3909">
        <v>825</v>
      </c>
      <c r="G3909" t="s">
        <v>9478</v>
      </c>
      <c r="H3909">
        <v>8468.89</v>
      </c>
      <c r="I3909">
        <v>17.36</v>
      </c>
      <c r="J3909" t="s">
        <v>120</v>
      </c>
      <c r="K3909" t="s">
        <v>9478</v>
      </c>
      <c r="L3909">
        <v>9.3000000000000007</v>
      </c>
      <c r="M3909">
        <v>11.19</v>
      </c>
      <c r="N3909">
        <v>0.47</v>
      </c>
      <c r="O3909">
        <v>0.61</v>
      </c>
      <c r="P3909">
        <v>11.6</v>
      </c>
      <c r="Q3909">
        <v>-3.12</v>
      </c>
      <c r="R3909">
        <v>11.17</v>
      </c>
      <c r="S3909">
        <v>11.42</v>
      </c>
      <c r="T3909">
        <v>74505</v>
      </c>
      <c r="U3909">
        <v>11.2</v>
      </c>
      <c r="V3909">
        <v>11.53</v>
      </c>
      <c r="W3909">
        <v>37.6</v>
      </c>
      <c r="X3909" t="s">
        <v>684</v>
      </c>
      <c r="Y3909" t="s">
        <v>585</v>
      </c>
      <c r="Z3909">
        <v>3.73</v>
      </c>
      <c r="AA3909">
        <v>11.37</v>
      </c>
      <c r="AB3909">
        <v>47198</v>
      </c>
      <c r="AC3909">
        <v>27307</v>
      </c>
      <c r="AD3909">
        <v>1.73</v>
      </c>
      <c r="AE3909">
        <v>319</v>
      </c>
      <c r="AF3909">
        <v>78</v>
      </c>
      <c r="AG3909" t="s">
        <v>120</v>
      </c>
      <c r="AH3909">
        <v>0.02</v>
      </c>
      <c r="AI3909" t="s">
        <v>120</v>
      </c>
      <c r="AJ3909">
        <v>0.8</v>
      </c>
      <c r="AK3909" t="s">
        <v>15962</v>
      </c>
      <c r="AL3909">
        <v>-1.61</v>
      </c>
      <c r="AM3909">
        <v>2707</v>
      </c>
      <c r="AN3909">
        <v>28</v>
      </c>
      <c r="AO3909">
        <v>3.3999999999999998E-3</v>
      </c>
      <c r="AP3909">
        <v>-1</v>
      </c>
      <c r="AQ3909">
        <v>0.87</v>
      </c>
      <c r="AR3909">
        <v>-4.37</v>
      </c>
      <c r="AS3909">
        <v>-4.8499999999999996</v>
      </c>
      <c r="AT3909">
        <v>84.35</v>
      </c>
      <c r="AU3909">
        <v>84.35</v>
      </c>
      <c r="AV3909">
        <v>3</v>
      </c>
      <c r="AW3909">
        <v>9.3000000000000007</v>
      </c>
      <c r="AX3909">
        <v>20</v>
      </c>
      <c r="AY3909">
        <v>29.89</v>
      </c>
      <c r="AZ3909">
        <v>29.35</v>
      </c>
      <c r="BA3909">
        <v>0</v>
      </c>
      <c r="BB3909" t="s">
        <v>143</v>
      </c>
      <c r="BF3909">
        <v>-1.41</v>
      </c>
      <c r="BG3909">
        <v>-2.0099999999999998</v>
      </c>
      <c r="BH3909">
        <v>-3.53</v>
      </c>
      <c r="BI3909">
        <v>0.18</v>
      </c>
      <c r="BJ3909">
        <v>20210820</v>
      </c>
      <c r="BK3909">
        <v>20210707</v>
      </c>
      <c r="BL3909">
        <v>4</v>
      </c>
      <c r="BM3909" t="s">
        <v>120</v>
      </c>
      <c r="BN3909" t="s">
        <v>120</v>
      </c>
      <c r="BO3909">
        <v>9.6199999999999992</v>
      </c>
      <c r="BP3909">
        <v>11.19</v>
      </c>
      <c r="BQ3909">
        <v>6.53</v>
      </c>
      <c r="BR3909" t="s">
        <v>120</v>
      </c>
      <c r="BS3909">
        <v>32.049999999999997</v>
      </c>
      <c r="BT3909">
        <v>3.04</v>
      </c>
      <c r="BU3909">
        <v>2.71</v>
      </c>
      <c r="BV3909">
        <v>0.35</v>
      </c>
      <c r="BW3909">
        <v>1.7</v>
      </c>
      <c r="BX3909">
        <v>0.98</v>
      </c>
      <c r="BY3909">
        <v>0.48</v>
      </c>
      <c r="BZ3909">
        <v>0.72</v>
      </c>
      <c r="CA3909" t="s">
        <v>120</v>
      </c>
      <c r="CB3909">
        <v>0.02</v>
      </c>
      <c r="CC3909">
        <v>3.31</v>
      </c>
      <c r="CD3909">
        <v>2.33</v>
      </c>
      <c r="CE3909">
        <v>0.79</v>
      </c>
      <c r="CF3909">
        <v>0</v>
      </c>
      <c r="CG3909">
        <v>0.8</v>
      </c>
      <c r="CH3909">
        <v>0.6</v>
      </c>
      <c r="CI3909">
        <v>0.6</v>
      </c>
      <c r="CJ3909">
        <v>-0.34</v>
      </c>
      <c r="CK3909">
        <v>0.59</v>
      </c>
      <c r="CL3909">
        <v>2.86</v>
      </c>
      <c r="CM3909">
        <v>0.65</v>
      </c>
      <c r="CN3909">
        <v>-0.9</v>
      </c>
      <c r="CO3909">
        <v>83098</v>
      </c>
      <c r="CP3909">
        <v>964</v>
      </c>
      <c r="CQ3909" t="s">
        <v>15963</v>
      </c>
      <c r="CR3909">
        <v>0</v>
      </c>
      <c r="CS3909">
        <v>0</v>
      </c>
      <c r="CT3909">
        <v>4.13</v>
      </c>
      <c r="CU3909">
        <v>69.2</v>
      </c>
      <c r="CV3909">
        <v>13.54</v>
      </c>
      <c r="CW3909">
        <v>0</v>
      </c>
      <c r="CX3909" t="s">
        <v>442</v>
      </c>
      <c r="CY3909">
        <v>2.71</v>
      </c>
      <c r="CZ3909">
        <v>2.71</v>
      </c>
      <c r="DA3909">
        <v>0</v>
      </c>
      <c r="DB3909">
        <v>0.71</v>
      </c>
      <c r="DC3909">
        <v>0.16</v>
      </c>
      <c r="DD3909">
        <v>67.95</v>
      </c>
      <c r="DE3909" t="s">
        <v>10393</v>
      </c>
      <c r="DF3909">
        <v>29.73</v>
      </c>
      <c r="DG3909">
        <v>23.94</v>
      </c>
      <c r="DH3909">
        <v>18.010000000000002</v>
      </c>
      <c r="DI3909" t="s">
        <v>120</v>
      </c>
      <c r="DJ3909">
        <v>343</v>
      </c>
      <c r="DK3909">
        <v>605162</v>
      </c>
      <c r="DL3909" t="s">
        <v>120</v>
      </c>
      <c r="DM3909" t="s">
        <v>120</v>
      </c>
      <c r="DN3909" t="s">
        <v>120</v>
      </c>
    </row>
    <row r="3910" spans="1:118">
      <c r="A3910" t="str">
        <f>"605166"</f>
        <v>605166</v>
      </c>
      <c r="B3910" t="s">
        <v>15964</v>
      </c>
      <c r="C3910">
        <v>-0.64</v>
      </c>
      <c r="D3910">
        <v>0</v>
      </c>
      <c r="E3910">
        <v>1.27</v>
      </c>
      <c r="F3910">
        <v>316</v>
      </c>
      <c r="G3910" t="s">
        <v>7751</v>
      </c>
      <c r="H3910">
        <v>10541.13</v>
      </c>
      <c r="I3910">
        <v>50.11</v>
      </c>
      <c r="J3910" t="s">
        <v>120</v>
      </c>
      <c r="K3910" t="s">
        <v>7751</v>
      </c>
      <c r="L3910">
        <v>4.38</v>
      </c>
      <c r="M3910">
        <v>12.51</v>
      </c>
      <c r="N3910">
        <v>1.23</v>
      </c>
      <c r="O3910">
        <v>4.7699999999999996</v>
      </c>
      <c r="P3910">
        <v>13.19</v>
      </c>
      <c r="Q3910">
        <v>-0.71</v>
      </c>
      <c r="R3910">
        <v>12.5</v>
      </c>
      <c r="S3910">
        <v>12.75</v>
      </c>
      <c r="T3910">
        <v>82228</v>
      </c>
      <c r="U3910">
        <v>12.52</v>
      </c>
      <c r="V3910">
        <v>12.59</v>
      </c>
      <c r="W3910">
        <v>13.52</v>
      </c>
      <c r="X3910" t="s">
        <v>868</v>
      </c>
      <c r="Y3910" t="s">
        <v>585</v>
      </c>
      <c r="Z3910">
        <v>5.48</v>
      </c>
      <c r="AA3910">
        <v>12.82</v>
      </c>
      <c r="AB3910">
        <v>41088</v>
      </c>
      <c r="AC3910">
        <v>41140</v>
      </c>
      <c r="AD3910">
        <v>1</v>
      </c>
      <c r="AE3910">
        <v>369</v>
      </c>
      <c r="AF3910">
        <v>196</v>
      </c>
      <c r="AG3910" t="s">
        <v>120</v>
      </c>
      <c r="AH3910">
        <v>0.02</v>
      </c>
      <c r="AI3910" t="s">
        <v>120</v>
      </c>
      <c r="AJ3910">
        <v>1.88</v>
      </c>
      <c r="AK3910" t="s">
        <v>15965</v>
      </c>
      <c r="AL3910">
        <v>0.71</v>
      </c>
      <c r="AM3910">
        <v>2783</v>
      </c>
      <c r="AN3910">
        <v>30</v>
      </c>
      <c r="AO3910">
        <v>1.6000000000000001E-3</v>
      </c>
      <c r="AP3910">
        <v>-1</v>
      </c>
      <c r="AQ3910">
        <v>1.7</v>
      </c>
      <c r="AR3910">
        <v>-2.2599999999999998</v>
      </c>
      <c r="AS3910">
        <v>10.9</v>
      </c>
      <c r="AT3910">
        <v>36.28</v>
      </c>
      <c r="AU3910">
        <v>26.62</v>
      </c>
      <c r="AV3910">
        <v>4</v>
      </c>
      <c r="AW3910">
        <v>4.38</v>
      </c>
      <c r="AX3910">
        <v>59.45</v>
      </c>
      <c r="AY3910">
        <v>18.05</v>
      </c>
      <c r="AZ3910">
        <v>34.299999999999997</v>
      </c>
      <c r="BA3910">
        <v>0.24</v>
      </c>
      <c r="BB3910" t="s">
        <v>143</v>
      </c>
      <c r="BF3910">
        <v>1.82</v>
      </c>
      <c r="BG3910">
        <v>-1.88</v>
      </c>
      <c r="BH3910">
        <v>-5.16</v>
      </c>
      <c r="BI3910">
        <v>0.08</v>
      </c>
      <c r="BJ3910">
        <v>20210914</v>
      </c>
      <c r="BK3910">
        <v>20200618</v>
      </c>
      <c r="BL3910">
        <v>3.16</v>
      </c>
      <c r="BM3910" t="s">
        <v>120</v>
      </c>
      <c r="BN3910" t="s">
        <v>120</v>
      </c>
      <c r="BO3910">
        <v>31.15</v>
      </c>
      <c r="BP3910">
        <v>12.51</v>
      </c>
      <c r="BQ3910">
        <v>12.81</v>
      </c>
      <c r="BR3910">
        <v>1.96</v>
      </c>
      <c r="BS3910">
        <v>52.58</v>
      </c>
      <c r="BT3910">
        <v>24.22</v>
      </c>
      <c r="BU3910">
        <v>4.92</v>
      </c>
      <c r="BV3910">
        <v>0.48</v>
      </c>
      <c r="BW3910">
        <v>16.079999999999998</v>
      </c>
      <c r="BX3910">
        <v>12.88</v>
      </c>
      <c r="BY3910">
        <v>4.74</v>
      </c>
      <c r="BZ3910">
        <v>1.97</v>
      </c>
      <c r="CA3910" t="s">
        <v>120</v>
      </c>
      <c r="CB3910">
        <v>5.03</v>
      </c>
      <c r="CC3910">
        <v>24.62</v>
      </c>
      <c r="CD3910">
        <v>22.1</v>
      </c>
      <c r="CE3910">
        <v>1.73</v>
      </c>
      <c r="CF3910">
        <v>0</v>
      </c>
      <c r="CG3910">
        <v>1.74</v>
      </c>
      <c r="CH3910">
        <v>1.46</v>
      </c>
      <c r="CI3910">
        <v>1.46</v>
      </c>
      <c r="CJ3910">
        <v>-0.08</v>
      </c>
      <c r="CK3910">
        <v>1.44</v>
      </c>
      <c r="CL3910">
        <v>4.2300000000000004</v>
      </c>
      <c r="CM3910">
        <v>1.86</v>
      </c>
      <c r="CN3910">
        <v>-0.11</v>
      </c>
      <c r="CO3910">
        <v>17154</v>
      </c>
      <c r="CP3910">
        <v>10937</v>
      </c>
      <c r="CQ3910" t="s">
        <v>12271</v>
      </c>
      <c r="CR3910">
        <v>250.31</v>
      </c>
      <c r="CS3910">
        <v>138.04</v>
      </c>
      <c r="CT3910">
        <v>3.08</v>
      </c>
      <c r="CU3910">
        <v>21.19</v>
      </c>
      <c r="CV3910">
        <v>1.6</v>
      </c>
      <c r="CW3910">
        <v>0.79</v>
      </c>
      <c r="CX3910" t="s">
        <v>1631</v>
      </c>
      <c r="CY3910">
        <v>4.0599999999999996</v>
      </c>
      <c r="CZ3910">
        <v>0</v>
      </c>
      <c r="DA3910">
        <v>1.59</v>
      </c>
      <c r="DB3910">
        <v>1.34</v>
      </c>
      <c r="DC3910">
        <v>0.59</v>
      </c>
      <c r="DD3910">
        <v>41.13</v>
      </c>
      <c r="DE3910" t="s">
        <v>10056</v>
      </c>
      <c r="DF3910">
        <v>10.210000000000001</v>
      </c>
      <c r="DG3910">
        <v>7.04</v>
      </c>
      <c r="DH3910">
        <v>5.93</v>
      </c>
      <c r="DI3910">
        <v>0.56000000000000005</v>
      </c>
      <c r="DJ3910">
        <v>348</v>
      </c>
      <c r="DK3910">
        <v>605166</v>
      </c>
      <c r="DL3910" t="s">
        <v>120</v>
      </c>
      <c r="DM3910" t="s">
        <v>120</v>
      </c>
      <c r="DN3910" t="s">
        <v>120</v>
      </c>
    </row>
    <row r="3911" spans="1:118">
      <c r="A3911" t="str">
        <f>"605167"</f>
        <v>605167</v>
      </c>
      <c r="B3911" t="s">
        <v>15966</v>
      </c>
      <c r="C3911">
        <v>-2.2200000000000002</v>
      </c>
      <c r="D3911">
        <v>-0.09</v>
      </c>
      <c r="E3911">
        <v>0.67</v>
      </c>
      <c r="F3911">
        <v>1772</v>
      </c>
      <c r="G3911" t="s">
        <v>2789</v>
      </c>
      <c r="H3911">
        <v>14655.34</v>
      </c>
      <c r="I3911">
        <v>32.71</v>
      </c>
      <c r="J3911" t="s">
        <v>120</v>
      </c>
      <c r="K3911" t="s">
        <v>2789</v>
      </c>
      <c r="L3911">
        <v>12.47</v>
      </c>
      <c r="M3911">
        <v>10.15</v>
      </c>
      <c r="N3911">
        <v>0.91</v>
      </c>
      <c r="O3911">
        <v>3.47</v>
      </c>
      <c r="P3911">
        <v>10.74</v>
      </c>
      <c r="Q3911">
        <v>-2.31</v>
      </c>
      <c r="R3911">
        <v>10.14</v>
      </c>
      <c r="S3911">
        <v>10.45</v>
      </c>
      <c r="T3911">
        <v>139982</v>
      </c>
      <c r="U3911">
        <v>10.16</v>
      </c>
      <c r="V3911">
        <v>10.38</v>
      </c>
      <c r="W3911">
        <v>68.510000000000005</v>
      </c>
      <c r="X3911" t="s">
        <v>675</v>
      </c>
      <c r="Y3911" t="s">
        <v>319</v>
      </c>
      <c r="Z3911">
        <v>5.78</v>
      </c>
      <c r="AA3911">
        <v>10.47</v>
      </c>
      <c r="AB3911">
        <v>78242</v>
      </c>
      <c r="AC3911">
        <v>61740</v>
      </c>
      <c r="AD3911">
        <v>1.27</v>
      </c>
      <c r="AE3911">
        <v>1378</v>
      </c>
      <c r="AF3911">
        <v>546</v>
      </c>
      <c r="AG3911" t="s">
        <v>120</v>
      </c>
      <c r="AH3911">
        <v>0.03</v>
      </c>
      <c r="AI3911" t="s">
        <v>120</v>
      </c>
      <c r="AJ3911">
        <v>1.1200000000000001</v>
      </c>
      <c r="AK3911" t="s">
        <v>15967</v>
      </c>
      <c r="AL3911">
        <v>-0.87</v>
      </c>
      <c r="AM3911">
        <v>3373</v>
      </c>
      <c r="AN3911">
        <v>42</v>
      </c>
      <c r="AO3911">
        <v>3.7000000000000002E-3</v>
      </c>
      <c r="AP3911">
        <v>-8</v>
      </c>
      <c r="AQ3911">
        <v>-1.61</v>
      </c>
      <c r="AR3911">
        <v>-5.39</v>
      </c>
      <c r="AS3911">
        <v>1.42</v>
      </c>
      <c r="AT3911">
        <v>114.68</v>
      </c>
      <c r="AU3911">
        <v>114.68</v>
      </c>
      <c r="AV3911">
        <v>4</v>
      </c>
      <c r="AW3911">
        <v>12.47</v>
      </c>
      <c r="AX3911">
        <v>25</v>
      </c>
      <c r="AY3911">
        <v>43.59</v>
      </c>
      <c r="AZ3911">
        <v>44.74</v>
      </c>
      <c r="BA3911">
        <v>0</v>
      </c>
      <c r="BB3911" t="s">
        <v>143</v>
      </c>
      <c r="BF3911">
        <v>0.86</v>
      </c>
      <c r="BG3911">
        <v>-2.87</v>
      </c>
      <c r="BH3911">
        <v>-5.49</v>
      </c>
      <c r="BI3911">
        <v>0.1</v>
      </c>
      <c r="BJ3911">
        <v>20210725</v>
      </c>
      <c r="BK3911">
        <v>20210726</v>
      </c>
      <c r="BL3911">
        <v>4.49</v>
      </c>
      <c r="BM3911" t="s">
        <v>120</v>
      </c>
      <c r="BN3911" t="s">
        <v>120</v>
      </c>
      <c r="BO3911">
        <v>16.73</v>
      </c>
      <c r="BP3911">
        <v>10.15</v>
      </c>
      <c r="BQ3911">
        <v>8.35</v>
      </c>
      <c r="BR3911" t="s">
        <v>120</v>
      </c>
      <c r="BS3911">
        <v>50.09</v>
      </c>
      <c r="BT3911">
        <v>9.32</v>
      </c>
      <c r="BU3911">
        <v>3.22</v>
      </c>
      <c r="BV3911">
        <v>1.93</v>
      </c>
      <c r="BW3911">
        <v>6.86</v>
      </c>
      <c r="BX3911">
        <v>2.09</v>
      </c>
      <c r="BY3911">
        <v>1.43</v>
      </c>
      <c r="BZ3911">
        <v>2.13</v>
      </c>
      <c r="CA3911" t="s">
        <v>120</v>
      </c>
      <c r="CB3911">
        <v>0.51</v>
      </c>
      <c r="CC3911">
        <v>8.33</v>
      </c>
      <c r="CD3911">
        <v>7.21</v>
      </c>
      <c r="CE3911">
        <v>0.42</v>
      </c>
      <c r="CF3911">
        <v>-0.01</v>
      </c>
      <c r="CG3911">
        <v>0.42</v>
      </c>
      <c r="CH3911">
        <v>0.33</v>
      </c>
      <c r="CI3911">
        <v>0.33</v>
      </c>
      <c r="CJ3911">
        <v>-0.23</v>
      </c>
      <c r="CK3911">
        <v>0.3</v>
      </c>
      <c r="CL3911">
        <v>4.13</v>
      </c>
      <c r="CM3911">
        <v>0.42</v>
      </c>
      <c r="CN3911">
        <v>-0.25</v>
      </c>
      <c r="CO3911">
        <v>112914</v>
      </c>
      <c r="CP3911">
        <v>994</v>
      </c>
      <c r="CQ3911" t="s">
        <v>15968</v>
      </c>
      <c r="CR3911">
        <v>0</v>
      </c>
      <c r="CS3911">
        <v>0</v>
      </c>
      <c r="CT3911">
        <v>3.45</v>
      </c>
      <c r="CU3911">
        <v>108.13</v>
      </c>
      <c r="CV3911">
        <v>5.47</v>
      </c>
      <c r="CW3911">
        <v>1.08</v>
      </c>
      <c r="CX3911" t="s">
        <v>15969</v>
      </c>
      <c r="CY3911">
        <v>2.94</v>
      </c>
      <c r="CZ3911">
        <v>2.94</v>
      </c>
      <c r="DA3911">
        <v>0.11</v>
      </c>
      <c r="DB3911">
        <v>0.92</v>
      </c>
      <c r="DC3911">
        <v>0.09</v>
      </c>
      <c r="DD3911">
        <v>49.91</v>
      </c>
      <c r="DE3911" t="s">
        <v>12387</v>
      </c>
      <c r="DF3911">
        <v>13.47</v>
      </c>
      <c r="DG3911">
        <v>5.05</v>
      </c>
      <c r="DH3911">
        <v>3.99</v>
      </c>
      <c r="DI3911">
        <v>0.08</v>
      </c>
      <c r="DJ3911">
        <v>3239</v>
      </c>
      <c r="DK3911">
        <v>605167</v>
      </c>
      <c r="DL3911" t="s">
        <v>120</v>
      </c>
      <c r="DM3911" t="s">
        <v>120</v>
      </c>
      <c r="DN3911" t="s">
        <v>120</v>
      </c>
    </row>
    <row r="3912" spans="1:118">
      <c r="A3912" t="str">
        <f>"605168"</f>
        <v>605168</v>
      </c>
      <c r="B3912" t="s">
        <v>15970</v>
      </c>
      <c r="C3912">
        <v>-1.25</v>
      </c>
      <c r="D3912">
        <v>-7.0000000000000007E-2</v>
      </c>
      <c r="E3912">
        <v>-0.42</v>
      </c>
      <c r="F3912">
        <v>30</v>
      </c>
      <c r="G3912" t="s">
        <v>15971</v>
      </c>
      <c r="H3912">
        <v>3208.86</v>
      </c>
      <c r="I3912">
        <v>0</v>
      </c>
      <c r="J3912" t="s">
        <v>120</v>
      </c>
      <c r="K3912" t="s">
        <v>15971</v>
      </c>
      <c r="L3912">
        <v>0.84</v>
      </c>
      <c r="M3912">
        <v>124.21</v>
      </c>
      <c r="N3912">
        <v>0.82</v>
      </c>
      <c r="O3912">
        <v>0.77</v>
      </c>
      <c r="P3912">
        <v>126.75</v>
      </c>
      <c r="Q3912">
        <v>-1.31</v>
      </c>
      <c r="R3912">
        <v>124.13</v>
      </c>
      <c r="S3912">
        <v>125.25</v>
      </c>
      <c r="T3912">
        <v>2557</v>
      </c>
      <c r="U3912">
        <v>124.26</v>
      </c>
      <c r="V3912">
        <v>125.78</v>
      </c>
      <c r="W3912">
        <v>25.93</v>
      </c>
      <c r="X3912" t="s">
        <v>1531</v>
      </c>
      <c r="Y3912" t="s">
        <v>890</v>
      </c>
      <c r="Z3912">
        <v>2.08</v>
      </c>
      <c r="AA3912">
        <v>125.52</v>
      </c>
      <c r="AB3912">
        <v>1210</v>
      </c>
      <c r="AC3912">
        <v>1347</v>
      </c>
      <c r="AD3912">
        <v>0.9</v>
      </c>
      <c r="AE3912">
        <v>16</v>
      </c>
      <c r="AF3912">
        <v>4</v>
      </c>
      <c r="AG3912" t="s">
        <v>120</v>
      </c>
      <c r="AH3912">
        <v>0</v>
      </c>
      <c r="AI3912" t="s">
        <v>120</v>
      </c>
      <c r="AJ3912">
        <v>0.3</v>
      </c>
      <c r="AK3912" t="s">
        <v>15972</v>
      </c>
      <c r="AL3912">
        <v>0.1</v>
      </c>
      <c r="AM3912">
        <v>947</v>
      </c>
      <c r="AN3912">
        <v>3</v>
      </c>
      <c r="AO3912">
        <v>8.9999999999999998E-4</v>
      </c>
      <c r="AP3912">
        <v>-3</v>
      </c>
      <c r="AQ3912">
        <v>-1.31</v>
      </c>
      <c r="AR3912">
        <v>-3.73</v>
      </c>
      <c r="AS3912">
        <v>-1.36</v>
      </c>
      <c r="AT3912">
        <v>-11.08</v>
      </c>
      <c r="AU3912">
        <v>-30.36</v>
      </c>
      <c r="AV3912">
        <v>2</v>
      </c>
      <c r="AW3912">
        <v>0.84</v>
      </c>
      <c r="AX3912">
        <v>43.52</v>
      </c>
      <c r="AY3912">
        <v>20.53</v>
      </c>
      <c r="AZ3912">
        <v>24.16</v>
      </c>
      <c r="BA3912">
        <v>1.01</v>
      </c>
      <c r="BB3912" t="s">
        <v>143</v>
      </c>
      <c r="BF3912">
        <v>-0.21</v>
      </c>
      <c r="BG3912">
        <v>-0.83</v>
      </c>
      <c r="BH3912">
        <v>-2</v>
      </c>
      <c r="BI3912">
        <v>0.06</v>
      </c>
      <c r="BJ3912">
        <v>20210907</v>
      </c>
      <c r="BK3912">
        <v>20200528</v>
      </c>
      <c r="BL3912">
        <v>0.7</v>
      </c>
      <c r="BM3912" t="s">
        <v>120</v>
      </c>
      <c r="BN3912" t="s">
        <v>120</v>
      </c>
      <c r="BO3912">
        <v>23.4</v>
      </c>
      <c r="BP3912">
        <v>124.21</v>
      </c>
      <c r="BQ3912">
        <v>16.59</v>
      </c>
      <c r="BR3912" t="s">
        <v>120</v>
      </c>
      <c r="BS3912">
        <v>29.11</v>
      </c>
      <c r="BT3912">
        <v>19.82</v>
      </c>
      <c r="BU3912">
        <v>0.04</v>
      </c>
      <c r="BV3912">
        <v>0.01</v>
      </c>
      <c r="BW3912">
        <v>6.65</v>
      </c>
      <c r="BX3912">
        <v>6.62</v>
      </c>
      <c r="BY3912">
        <v>0.08</v>
      </c>
      <c r="BZ3912">
        <v>11.4</v>
      </c>
      <c r="CA3912" t="s">
        <v>120</v>
      </c>
      <c r="CB3912">
        <v>10.67</v>
      </c>
      <c r="CC3912">
        <v>14.03</v>
      </c>
      <c r="CD3912">
        <v>11.4</v>
      </c>
      <c r="CE3912">
        <v>1.95</v>
      </c>
      <c r="CF3912">
        <v>0.05</v>
      </c>
      <c r="CG3912">
        <v>1.94</v>
      </c>
      <c r="CH3912">
        <v>1.67</v>
      </c>
      <c r="CI3912">
        <v>1.67</v>
      </c>
      <c r="CJ3912">
        <v>-1.57</v>
      </c>
      <c r="CK3912">
        <v>1.42</v>
      </c>
      <c r="CL3912">
        <v>4.4800000000000004</v>
      </c>
      <c r="CM3912">
        <v>-2.4</v>
      </c>
      <c r="CN3912">
        <v>-4.45</v>
      </c>
      <c r="CO3912">
        <v>10332</v>
      </c>
      <c r="CP3912">
        <v>2935</v>
      </c>
      <c r="CQ3912" t="s">
        <v>15973</v>
      </c>
      <c r="CR3912">
        <v>62.47</v>
      </c>
      <c r="CS3912">
        <v>22.09</v>
      </c>
      <c r="CT3912">
        <v>5.22</v>
      </c>
      <c r="CU3912">
        <v>-36</v>
      </c>
      <c r="CV3912">
        <v>6.17</v>
      </c>
      <c r="CW3912">
        <v>2.39</v>
      </c>
      <c r="CX3912" t="s">
        <v>15974</v>
      </c>
      <c r="CY3912">
        <v>23.81</v>
      </c>
      <c r="CZ3912">
        <v>0</v>
      </c>
      <c r="DA3912">
        <v>15.31</v>
      </c>
      <c r="DB3912">
        <v>6.43</v>
      </c>
      <c r="DC3912">
        <v>-3.45</v>
      </c>
      <c r="DD3912">
        <v>70.89</v>
      </c>
      <c r="DE3912" t="s">
        <v>15975</v>
      </c>
      <c r="DF3912">
        <v>18.739999999999998</v>
      </c>
      <c r="DG3912">
        <v>13.9</v>
      </c>
      <c r="DH3912">
        <v>11.89</v>
      </c>
      <c r="DI3912">
        <v>0.13</v>
      </c>
      <c r="DJ3912">
        <v>606</v>
      </c>
      <c r="DK3912">
        <v>605168</v>
      </c>
      <c r="DL3912" t="s">
        <v>120</v>
      </c>
      <c r="DM3912" t="s">
        <v>120</v>
      </c>
      <c r="DN3912" t="s">
        <v>120</v>
      </c>
    </row>
    <row r="3913" spans="1:118">
      <c r="A3913" t="str">
        <f>"605169"</f>
        <v>605169</v>
      </c>
      <c r="B3913" t="s">
        <v>15976</v>
      </c>
      <c r="C3913">
        <v>7.6</v>
      </c>
      <c r="D3913">
        <v>-0.04</v>
      </c>
      <c r="E3913">
        <v>4.88</v>
      </c>
      <c r="F3913">
        <v>1526</v>
      </c>
      <c r="G3913" t="s">
        <v>15564</v>
      </c>
      <c r="H3913">
        <v>36863</v>
      </c>
      <c r="I3913">
        <v>822.79</v>
      </c>
      <c r="J3913" t="s">
        <v>120</v>
      </c>
      <c r="K3913" t="s">
        <v>15564</v>
      </c>
      <c r="L3913">
        <v>37.020000000000003</v>
      </c>
      <c r="M3913">
        <v>18.98</v>
      </c>
      <c r="N3913">
        <v>2.04</v>
      </c>
      <c r="O3913">
        <v>9.98</v>
      </c>
      <c r="P3913">
        <v>19.399999999999999</v>
      </c>
      <c r="Q3913">
        <v>4.88</v>
      </c>
      <c r="R3913">
        <v>18.5</v>
      </c>
      <c r="S3913">
        <v>18.5</v>
      </c>
      <c r="T3913">
        <v>192491</v>
      </c>
      <c r="U3913">
        <v>18.98</v>
      </c>
      <c r="V3913">
        <v>17.64</v>
      </c>
      <c r="W3913">
        <v>26.9</v>
      </c>
      <c r="X3913" t="s">
        <v>684</v>
      </c>
      <c r="Y3913" t="s">
        <v>609</v>
      </c>
      <c r="Z3913">
        <v>5.0999999999999996</v>
      </c>
      <c r="AA3913">
        <v>19.149999999999999</v>
      </c>
      <c r="AB3913">
        <v>114868</v>
      </c>
      <c r="AC3913">
        <v>77623</v>
      </c>
      <c r="AD3913">
        <v>1.48</v>
      </c>
      <c r="AE3913">
        <v>5</v>
      </c>
      <c r="AF3913">
        <v>96</v>
      </c>
      <c r="AG3913" t="s">
        <v>120</v>
      </c>
      <c r="AH3913">
        <v>0.86</v>
      </c>
      <c r="AI3913" t="s">
        <v>120</v>
      </c>
      <c r="AJ3913">
        <v>0.52</v>
      </c>
      <c r="AK3913" t="s">
        <v>2469</v>
      </c>
      <c r="AL3913">
        <v>8.94</v>
      </c>
      <c r="AM3913">
        <v>3347</v>
      </c>
      <c r="AN3913">
        <v>58</v>
      </c>
      <c r="AO3913">
        <v>1.11E-2</v>
      </c>
      <c r="AP3913">
        <v>2</v>
      </c>
      <c r="AQ3913">
        <v>2.62</v>
      </c>
      <c r="AR3913">
        <v>4.4000000000000004</v>
      </c>
      <c r="AS3913">
        <v>21.28</v>
      </c>
      <c r="AT3913">
        <v>22.22</v>
      </c>
      <c r="AU3913">
        <v>0.05</v>
      </c>
      <c r="AV3913">
        <v>7</v>
      </c>
      <c r="AW3913">
        <v>37.020000000000003</v>
      </c>
      <c r="AX3913">
        <v>25</v>
      </c>
      <c r="AY3913">
        <v>25.73</v>
      </c>
      <c r="AZ3913">
        <v>29.66</v>
      </c>
      <c r="BA3913">
        <v>1.58</v>
      </c>
      <c r="BB3913" t="s">
        <v>143</v>
      </c>
      <c r="BF3913">
        <v>8.56</v>
      </c>
      <c r="BG3913">
        <v>2.59</v>
      </c>
      <c r="BH3913">
        <v>-2.16</v>
      </c>
      <c r="BI3913">
        <v>2.59</v>
      </c>
      <c r="BJ3913">
        <v>20210820</v>
      </c>
      <c r="BK3913">
        <v>20201030</v>
      </c>
      <c r="BL3913">
        <v>2.08</v>
      </c>
      <c r="BM3913" t="s">
        <v>120</v>
      </c>
      <c r="BN3913" t="s">
        <v>120</v>
      </c>
      <c r="BO3913">
        <v>19.489999999999998</v>
      </c>
      <c r="BP3913">
        <v>18.97</v>
      </c>
      <c r="BQ3913">
        <v>15.45</v>
      </c>
      <c r="BR3913">
        <v>0.56000000000000005</v>
      </c>
      <c r="BS3913">
        <v>17.87</v>
      </c>
      <c r="BT3913">
        <v>10.26</v>
      </c>
      <c r="BU3913">
        <v>4.05</v>
      </c>
      <c r="BV3913">
        <v>1.04</v>
      </c>
      <c r="BW3913">
        <v>2.23</v>
      </c>
      <c r="BX3913">
        <v>9.34</v>
      </c>
      <c r="BY3913">
        <v>0.19</v>
      </c>
      <c r="BZ3913">
        <v>0.24</v>
      </c>
      <c r="CA3913" t="s">
        <v>120</v>
      </c>
      <c r="CB3913">
        <v>8.8800000000000008</v>
      </c>
      <c r="CC3913">
        <v>4.67</v>
      </c>
      <c r="CD3913">
        <v>3.24</v>
      </c>
      <c r="CE3913">
        <v>0.9</v>
      </c>
      <c r="CF3913">
        <v>0.06</v>
      </c>
      <c r="CG3913">
        <v>0.9</v>
      </c>
      <c r="CH3913">
        <v>0.75</v>
      </c>
      <c r="CI3913">
        <v>0.73</v>
      </c>
      <c r="CJ3913">
        <v>1.34</v>
      </c>
      <c r="CK3913">
        <v>0.68</v>
      </c>
      <c r="CL3913">
        <v>3.76</v>
      </c>
      <c r="CM3913">
        <v>0.55000000000000004</v>
      </c>
      <c r="CN3913">
        <v>-1.47</v>
      </c>
      <c r="CO3913">
        <v>20394</v>
      </c>
      <c r="CP3913">
        <v>2550</v>
      </c>
      <c r="CQ3913" t="s">
        <v>6195</v>
      </c>
      <c r="CR3913">
        <v>34.61</v>
      </c>
      <c r="CS3913">
        <v>27.45</v>
      </c>
      <c r="CT3913">
        <v>2.56</v>
      </c>
      <c r="CU3913">
        <v>72</v>
      </c>
      <c r="CV3913">
        <v>8.4499999999999993</v>
      </c>
      <c r="CW3913">
        <v>2.62</v>
      </c>
      <c r="CX3913" t="s">
        <v>6807</v>
      </c>
      <c r="CY3913">
        <v>7.43</v>
      </c>
      <c r="CZ3913">
        <v>0</v>
      </c>
      <c r="DA3913">
        <v>4.2699999999999996</v>
      </c>
      <c r="DB3913">
        <v>1.81</v>
      </c>
      <c r="DC3913">
        <v>0.26</v>
      </c>
      <c r="DD3913">
        <v>79.28</v>
      </c>
      <c r="DE3913" t="s">
        <v>5314</v>
      </c>
      <c r="DF3913">
        <v>30.58</v>
      </c>
      <c r="DG3913">
        <v>19.23</v>
      </c>
      <c r="DH3913">
        <v>15.71</v>
      </c>
      <c r="DI3913" t="s">
        <v>120</v>
      </c>
      <c r="DJ3913">
        <v>716</v>
      </c>
      <c r="DK3913">
        <v>605169</v>
      </c>
      <c r="DL3913" t="s">
        <v>120</v>
      </c>
      <c r="DM3913" t="s">
        <v>120</v>
      </c>
      <c r="DN3913" t="s">
        <v>120</v>
      </c>
    </row>
    <row r="3914" spans="1:118">
      <c r="A3914" t="str">
        <f>"605177"</f>
        <v>605177</v>
      </c>
      <c r="B3914" t="s">
        <v>15977</v>
      </c>
      <c r="C3914">
        <v>-0.41</v>
      </c>
      <c r="D3914">
        <v>-0.19</v>
      </c>
      <c r="E3914">
        <v>0.03</v>
      </c>
      <c r="F3914">
        <v>66</v>
      </c>
      <c r="G3914" t="s">
        <v>15692</v>
      </c>
      <c r="H3914">
        <v>1312.3</v>
      </c>
      <c r="I3914">
        <v>0</v>
      </c>
      <c r="J3914" t="s">
        <v>120</v>
      </c>
      <c r="K3914" t="s">
        <v>15692</v>
      </c>
      <c r="L3914">
        <v>1.57</v>
      </c>
      <c r="M3914">
        <v>29.28</v>
      </c>
      <c r="N3914">
        <v>1.1599999999999999</v>
      </c>
      <c r="O3914">
        <v>0.54</v>
      </c>
      <c r="P3914">
        <v>29.56</v>
      </c>
      <c r="Q3914">
        <v>-0.51</v>
      </c>
      <c r="R3914">
        <v>29.25</v>
      </c>
      <c r="S3914">
        <v>29.41</v>
      </c>
      <c r="T3914">
        <v>4471</v>
      </c>
      <c r="U3914">
        <v>29.3</v>
      </c>
      <c r="V3914">
        <v>29.4</v>
      </c>
      <c r="W3914">
        <v>28.62</v>
      </c>
      <c r="X3914" t="s">
        <v>569</v>
      </c>
      <c r="Y3914" t="s">
        <v>585</v>
      </c>
      <c r="Z3914">
        <v>1.05</v>
      </c>
      <c r="AA3914">
        <v>29.35</v>
      </c>
      <c r="AB3914">
        <v>3082</v>
      </c>
      <c r="AC3914">
        <v>1389</v>
      </c>
      <c r="AD3914">
        <v>2.2200000000000002</v>
      </c>
      <c r="AE3914">
        <v>3</v>
      </c>
      <c r="AF3914">
        <v>4</v>
      </c>
      <c r="AG3914" t="s">
        <v>120</v>
      </c>
      <c r="AH3914">
        <v>0</v>
      </c>
      <c r="AI3914" t="s">
        <v>120</v>
      </c>
      <c r="AJ3914">
        <v>0.28000000000000003</v>
      </c>
      <c r="AK3914" t="s">
        <v>4436</v>
      </c>
      <c r="AL3914">
        <v>0.94</v>
      </c>
      <c r="AM3914">
        <v>522</v>
      </c>
      <c r="AN3914">
        <v>9</v>
      </c>
      <c r="AO3914">
        <v>3.0000000000000001E-3</v>
      </c>
      <c r="AP3914">
        <v>-5</v>
      </c>
      <c r="AQ3914">
        <v>-0.74</v>
      </c>
      <c r="AR3914">
        <v>-2.0299999999999998</v>
      </c>
      <c r="AS3914">
        <v>-5.8</v>
      </c>
      <c r="AT3914">
        <v>-12.78</v>
      </c>
      <c r="AU3914">
        <v>-16.7</v>
      </c>
      <c r="AV3914">
        <v>4</v>
      </c>
      <c r="AW3914">
        <v>1.57</v>
      </c>
      <c r="AX3914">
        <v>25</v>
      </c>
      <c r="AY3914">
        <v>38.6</v>
      </c>
      <c r="AZ3914">
        <v>29.17</v>
      </c>
      <c r="BA3914">
        <v>0.3</v>
      </c>
      <c r="BB3914" t="s">
        <v>134</v>
      </c>
      <c r="BF3914">
        <v>-0.17</v>
      </c>
      <c r="BG3914">
        <v>-0.44</v>
      </c>
      <c r="BH3914">
        <v>-0.95</v>
      </c>
      <c r="BI3914">
        <v>0.1</v>
      </c>
      <c r="BJ3914">
        <v>20210816</v>
      </c>
      <c r="BK3914">
        <v>20201125</v>
      </c>
      <c r="BL3914">
        <v>1.1399999999999999</v>
      </c>
      <c r="BM3914" t="s">
        <v>120</v>
      </c>
      <c r="BN3914" t="s">
        <v>120</v>
      </c>
      <c r="BO3914">
        <v>22.01</v>
      </c>
      <c r="BP3914">
        <v>29.28</v>
      </c>
      <c r="BQ3914">
        <v>17.48</v>
      </c>
      <c r="BR3914" t="s">
        <v>120</v>
      </c>
      <c r="BS3914">
        <v>20.59</v>
      </c>
      <c r="BT3914">
        <v>12.36</v>
      </c>
      <c r="BU3914">
        <v>4.84</v>
      </c>
      <c r="BV3914">
        <v>0.46</v>
      </c>
      <c r="BW3914">
        <v>4.16</v>
      </c>
      <c r="BX3914">
        <v>6.98</v>
      </c>
      <c r="BY3914">
        <v>3.76</v>
      </c>
      <c r="BZ3914">
        <v>0.65</v>
      </c>
      <c r="CA3914">
        <v>0</v>
      </c>
      <c r="CB3914">
        <v>11.29</v>
      </c>
      <c r="CC3914">
        <v>3.45</v>
      </c>
      <c r="CD3914">
        <v>2.29</v>
      </c>
      <c r="CE3914">
        <v>0.68</v>
      </c>
      <c r="CF3914">
        <v>0.03</v>
      </c>
      <c r="CG3914">
        <v>0.67</v>
      </c>
      <c r="CH3914">
        <v>0.57999999999999996</v>
      </c>
      <c r="CI3914">
        <v>0.57999999999999996</v>
      </c>
      <c r="CJ3914">
        <v>-0.12</v>
      </c>
      <c r="CK3914">
        <v>0.44</v>
      </c>
      <c r="CL3914">
        <v>4.84</v>
      </c>
      <c r="CM3914">
        <v>0.52</v>
      </c>
      <c r="CN3914">
        <v>-2.83</v>
      </c>
      <c r="CO3914">
        <v>16097</v>
      </c>
      <c r="CP3914">
        <v>1764</v>
      </c>
      <c r="CQ3914" t="s">
        <v>4390</v>
      </c>
      <c r="CR3914">
        <v>-32.47</v>
      </c>
      <c r="CS3914">
        <v>-31.91</v>
      </c>
      <c r="CT3914">
        <v>1.9</v>
      </c>
      <c r="CU3914">
        <v>64.2</v>
      </c>
      <c r="CV3914">
        <v>9.64</v>
      </c>
      <c r="CW3914">
        <v>1.19</v>
      </c>
      <c r="CX3914" t="s">
        <v>1001</v>
      </c>
      <c r="CY3914">
        <v>15.39</v>
      </c>
      <c r="CZ3914">
        <v>0</v>
      </c>
      <c r="DA3914">
        <v>9.94</v>
      </c>
      <c r="DB3914">
        <v>4.26</v>
      </c>
      <c r="DC3914">
        <v>0.46</v>
      </c>
      <c r="DD3914">
        <v>79.41</v>
      </c>
      <c r="DE3914" t="s">
        <v>2187</v>
      </c>
      <c r="DF3914">
        <v>33.58</v>
      </c>
      <c r="DG3914">
        <v>19.8</v>
      </c>
      <c r="DH3914">
        <v>16.84</v>
      </c>
      <c r="DI3914">
        <v>0.18</v>
      </c>
      <c r="DJ3914">
        <v>1233</v>
      </c>
      <c r="DK3914">
        <v>605177</v>
      </c>
      <c r="DL3914" t="s">
        <v>120</v>
      </c>
      <c r="DM3914" t="s">
        <v>120</v>
      </c>
      <c r="DN3914" t="s">
        <v>120</v>
      </c>
    </row>
    <row r="3915" spans="1:118">
      <c r="A3915" t="str">
        <f>"605178"</f>
        <v>605178</v>
      </c>
      <c r="B3915" t="s">
        <v>15978</v>
      </c>
      <c r="C3915">
        <v>0.1</v>
      </c>
      <c r="D3915">
        <v>0</v>
      </c>
      <c r="E3915">
        <v>-0.61</v>
      </c>
      <c r="F3915">
        <v>85</v>
      </c>
      <c r="G3915" t="s">
        <v>15979</v>
      </c>
      <c r="H3915">
        <v>1509.04</v>
      </c>
      <c r="I3915">
        <v>3.69</v>
      </c>
      <c r="J3915" t="s">
        <v>120</v>
      </c>
      <c r="K3915" t="s">
        <v>15980</v>
      </c>
      <c r="L3915">
        <v>1.17</v>
      </c>
      <c r="M3915">
        <v>41.28</v>
      </c>
      <c r="N3915">
        <v>0.8</v>
      </c>
      <c r="O3915">
        <v>0.34</v>
      </c>
      <c r="P3915">
        <v>41.38</v>
      </c>
      <c r="Q3915">
        <v>-0.82</v>
      </c>
      <c r="R3915">
        <v>40.9</v>
      </c>
      <c r="S3915">
        <v>40.99</v>
      </c>
      <c r="T3915">
        <v>3667</v>
      </c>
      <c r="U3915">
        <v>41.28</v>
      </c>
      <c r="V3915">
        <v>41.24</v>
      </c>
      <c r="W3915">
        <v>64.33</v>
      </c>
      <c r="X3915" t="s">
        <v>3122</v>
      </c>
      <c r="Y3915" t="s">
        <v>158</v>
      </c>
      <c r="Z3915">
        <v>1.1599999999999999</v>
      </c>
      <c r="AA3915">
        <v>41.15</v>
      </c>
      <c r="AB3915">
        <v>1578</v>
      </c>
      <c r="AC3915">
        <v>2089</v>
      </c>
      <c r="AD3915">
        <v>0.76</v>
      </c>
      <c r="AE3915">
        <v>37</v>
      </c>
      <c r="AF3915">
        <v>9</v>
      </c>
      <c r="AG3915" t="s">
        <v>120</v>
      </c>
      <c r="AH3915">
        <v>0</v>
      </c>
      <c r="AI3915" t="s">
        <v>120</v>
      </c>
      <c r="AJ3915">
        <v>0.31</v>
      </c>
      <c r="AK3915" t="s">
        <v>15981</v>
      </c>
      <c r="AL3915">
        <v>1.44</v>
      </c>
      <c r="AM3915">
        <v>515</v>
      </c>
      <c r="AN3915">
        <v>7</v>
      </c>
      <c r="AO3915">
        <v>2.3E-3</v>
      </c>
      <c r="AP3915">
        <v>1</v>
      </c>
      <c r="AQ3915">
        <v>0</v>
      </c>
      <c r="AR3915">
        <v>1.53</v>
      </c>
      <c r="AS3915">
        <v>8.17</v>
      </c>
      <c r="AT3915">
        <v>9.48</v>
      </c>
      <c r="AU3915">
        <v>17.2</v>
      </c>
      <c r="AV3915">
        <v>0</v>
      </c>
      <c r="AW3915">
        <v>1.47</v>
      </c>
      <c r="AX3915">
        <v>25.14</v>
      </c>
      <c r="AY3915">
        <v>44.87</v>
      </c>
      <c r="AZ3915">
        <v>30.82</v>
      </c>
      <c r="BA3915">
        <v>0.42</v>
      </c>
      <c r="BB3915" t="s">
        <v>143</v>
      </c>
      <c r="BF3915">
        <v>-0.22</v>
      </c>
      <c r="BG3915">
        <v>0.71</v>
      </c>
      <c r="BH3915">
        <v>-0.24</v>
      </c>
      <c r="BI3915">
        <v>0.93</v>
      </c>
      <c r="BJ3915">
        <v>20210827</v>
      </c>
      <c r="BK3915">
        <v>20200821</v>
      </c>
      <c r="BL3915">
        <v>0.99</v>
      </c>
      <c r="BM3915" t="s">
        <v>120</v>
      </c>
      <c r="BN3915" t="s">
        <v>120</v>
      </c>
      <c r="BO3915">
        <v>26.42</v>
      </c>
      <c r="BP3915">
        <v>41.23</v>
      </c>
      <c r="BQ3915">
        <v>20.83</v>
      </c>
      <c r="BR3915">
        <v>-0.01</v>
      </c>
      <c r="BS3915">
        <v>21.18</v>
      </c>
      <c r="BT3915">
        <v>24.89</v>
      </c>
      <c r="BU3915">
        <v>0.94</v>
      </c>
      <c r="BV3915">
        <v>0.01</v>
      </c>
      <c r="BW3915">
        <v>5.6</v>
      </c>
      <c r="BX3915">
        <v>6.15</v>
      </c>
      <c r="BY3915">
        <v>0.09</v>
      </c>
      <c r="BZ3915">
        <v>2.61</v>
      </c>
      <c r="CA3915" t="s">
        <v>120</v>
      </c>
      <c r="CB3915">
        <v>12.26</v>
      </c>
      <c r="CC3915">
        <v>4.1500000000000004</v>
      </c>
      <c r="CD3915">
        <v>2.87</v>
      </c>
      <c r="CE3915">
        <v>0.36</v>
      </c>
      <c r="CF3915">
        <v>0.04</v>
      </c>
      <c r="CG3915">
        <v>0.39</v>
      </c>
      <c r="CH3915">
        <v>0.31</v>
      </c>
      <c r="CI3915">
        <v>0.32</v>
      </c>
      <c r="CJ3915">
        <v>0.04</v>
      </c>
      <c r="CK3915">
        <v>0.22</v>
      </c>
      <c r="CL3915">
        <v>6.94</v>
      </c>
      <c r="CM3915">
        <v>-2.89</v>
      </c>
      <c r="CN3915">
        <v>0.46</v>
      </c>
      <c r="CO3915">
        <v>11059</v>
      </c>
      <c r="CP3915">
        <v>2256</v>
      </c>
      <c r="CQ3915" t="s">
        <v>9603</v>
      </c>
      <c r="CR3915">
        <v>-56.64</v>
      </c>
      <c r="CS3915">
        <v>0.36</v>
      </c>
      <c r="CT3915">
        <v>1.97</v>
      </c>
      <c r="CU3915">
        <v>-14.16</v>
      </c>
      <c r="CV3915">
        <v>9.8699999999999992</v>
      </c>
      <c r="CW3915">
        <v>0.33</v>
      </c>
      <c r="CX3915" t="s">
        <v>966</v>
      </c>
      <c r="CY3915">
        <v>20.99</v>
      </c>
      <c r="CZ3915">
        <v>0</v>
      </c>
      <c r="DA3915">
        <v>12.36</v>
      </c>
      <c r="DB3915">
        <v>6.99</v>
      </c>
      <c r="DC3915">
        <v>-2.92</v>
      </c>
      <c r="DD3915">
        <v>78.84</v>
      </c>
      <c r="DE3915" t="s">
        <v>2358</v>
      </c>
      <c r="DF3915">
        <v>30.9</v>
      </c>
      <c r="DG3915">
        <v>8.74</v>
      </c>
      <c r="DH3915">
        <v>7.67</v>
      </c>
      <c r="DI3915">
        <v>0.18</v>
      </c>
      <c r="DJ3915">
        <v>453</v>
      </c>
      <c r="DK3915">
        <v>605178</v>
      </c>
      <c r="DL3915" t="s">
        <v>120</v>
      </c>
      <c r="DM3915" t="s">
        <v>120</v>
      </c>
      <c r="DN3915" t="s">
        <v>120</v>
      </c>
    </row>
    <row r="3916" spans="1:118">
      <c r="A3916" t="str">
        <f>"605179"</f>
        <v>605179</v>
      </c>
      <c r="B3916" t="s">
        <v>15982</v>
      </c>
      <c r="C3916">
        <v>3.62</v>
      </c>
      <c r="D3916">
        <v>0</v>
      </c>
      <c r="E3916">
        <v>0.55000000000000004</v>
      </c>
      <c r="F3916">
        <v>619</v>
      </c>
      <c r="G3916" t="s">
        <v>6194</v>
      </c>
      <c r="H3916">
        <v>5553.33</v>
      </c>
      <c r="I3916">
        <v>2.5</v>
      </c>
      <c r="J3916" t="s">
        <v>120</v>
      </c>
      <c r="K3916" t="s">
        <v>6194</v>
      </c>
      <c r="L3916">
        <v>6.04</v>
      </c>
      <c r="M3916">
        <v>15.18</v>
      </c>
      <c r="N3916">
        <v>2.79</v>
      </c>
      <c r="O3916">
        <v>5.73</v>
      </c>
      <c r="P3916">
        <v>15.49</v>
      </c>
      <c r="Q3916">
        <v>-0.14000000000000001</v>
      </c>
      <c r="R3916">
        <v>14.63</v>
      </c>
      <c r="S3916">
        <v>14.73</v>
      </c>
      <c r="T3916">
        <v>36836</v>
      </c>
      <c r="U3916">
        <v>15.19</v>
      </c>
      <c r="V3916">
        <v>14.65</v>
      </c>
      <c r="W3916">
        <v>50.71</v>
      </c>
      <c r="X3916" t="s">
        <v>4454</v>
      </c>
      <c r="Y3916" t="s">
        <v>585</v>
      </c>
      <c r="Z3916">
        <v>5.87</v>
      </c>
      <c r="AA3916">
        <v>15.08</v>
      </c>
      <c r="AB3916">
        <v>16216</v>
      </c>
      <c r="AC3916">
        <v>20620</v>
      </c>
      <c r="AD3916">
        <v>0.79</v>
      </c>
      <c r="AE3916">
        <v>152</v>
      </c>
      <c r="AF3916">
        <v>282</v>
      </c>
      <c r="AG3916" t="s">
        <v>120</v>
      </c>
      <c r="AH3916">
        <v>0</v>
      </c>
      <c r="AI3916" t="s">
        <v>120</v>
      </c>
      <c r="AJ3916">
        <v>0.61</v>
      </c>
      <c r="AK3916" t="s">
        <v>15983</v>
      </c>
      <c r="AL3916">
        <v>4.96</v>
      </c>
      <c r="AM3916">
        <v>1661</v>
      </c>
      <c r="AN3916">
        <v>22</v>
      </c>
      <c r="AO3916">
        <v>3.5999999999999999E-3</v>
      </c>
      <c r="AP3916">
        <v>1</v>
      </c>
      <c r="AQ3916">
        <v>-0.61</v>
      </c>
      <c r="AR3916">
        <v>1.81</v>
      </c>
      <c r="AS3916">
        <v>-3.07</v>
      </c>
      <c r="AT3916">
        <v>-17.54</v>
      </c>
      <c r="AU3916">
        <v>-12.91</v>
      </c>
      <c r="AV3916">
        <v>6</v>
      </c>
      <c r="AW3916">
        <v>6.04</v>
      </c>
      <c r="AX3916">
        <v>15.21</v>
      </c>
      <c r="AY3916">
        <v>43.57</v>
      </c>
      <c r="AZ3916">
        <v>44.36</v>
      </c>
      <c r="BA3916">
        <v>0.91</v>
      </c>
      <c r="BB3916" t="s">
        <v>134</v>
      </c>
      <c r="BF3916">
        <v>2.91</v>
      </c>
      <c r="BG3916">
        <v>3.05</v>
      </c>
      <c r="BH3916">
        <v>-2</v>
      </c>
      <c r="BI3916">
        <v>3.76</v>
      </c>
      <c r="BJ3916">
        <v>20210831</v>
      </c>
      <c r="BK3916">
        <v>20201228</v>
      </c>
      <c r="BL3916">
        <v>4.01</v>
      </c>
      <c r="BM3916" t="s">
        <v>120</v>
      </c>
      <c r="BN3916" t="s">
        <v>120</v>
      </c>
      <c r="BO3916">
        <v>24.36</v>
      </c>
      <c r="BP3916">
        <v>15.18</v>
      </c>
      <c r="BQ3916">
        <v>12.58</v>
      </c>
      <c r="BR3916" t="s">
        <v>120</v>
      </c>
      <c r="BS3916">
        <v>48.38</v>
      </c>
      <c r="BT3916">
        <v>6.36</v>
      </c>
      <c r="BU3916">
        <v>8.4700000000000006</v>
      </c>
      <c r="BV3916">
        <v>1.24</v>
      </c>
      <c r="BW3916">
        <v>7.48</v>
      </c>
      <c r="BX3916">
        <v>3.6</v>
      </c>
      <c r="BY3916">
        <v>0.86</v>
      </c>
      <c r="BZ3916">
        <v>0.73</v>
      </c>
      <c r="CA3916">
        <v>0</v>
      </c>
      <c r="CB3916">
        <v>4.6100000000000003</v>
      </c>
      <c r="CC3916">
        <v>11.01</v>
      </c>
      <c r="CD3916">
        <v>7.29</v>
      </c>
      <c r="CE3916">
        <v>0.68</v>
      </c>
      <c r="CF3916">
        <v>0</v>
      </c>
      <c r="CG3916">
        <v>0.67</v>
      </c>
      <c r="CH3916">
        <v>0.6</v>
      </c>
      <c r="CI3916">
        <v>0.6</v>
      </c>
      <c r="CJ3916">
        <v>0.53</v>
      </c>
      <c r="CK3916">
        <v>0.47</v>
      </c>
      <c r="CL3916">
        <v>3.2</v>
      </c>
      <c r="CM3916">
        <v>0.76</v>
      </c>
      <c r="CN3916">
        <v>-4.76</v>
      </c>
      <c r="CO3916">
        <v>24208</v>
      </c>
      <c r="CP3916">
        <v>2520</v>
      </c>
      <c r="CQ3916" t="s">
        <v>3176</v>
      </c>
      <c r="CR3916">
        <v>4.1500000000000004</v>
      </c>
      <c r="CS3916">
        <v>37.83</v>
      </c>
      <c r="CT3916">
        <v>4.84</v>
      </c>
      <c r="CU3916">
        <v>80.02</v>
      </c>
      <c r="CV3916">
        <v>5.53</v>
      </c>
      <c r="CW3916">
        <v>1.57</v>
      </c>
      <c r="CX3916" t="s">
        <v>373</v>
      </c>
      <c r="CY3916">
        <v>3.14</v>
      </c>
      <c r="CZ3916">
        <v>0</v>
      </c>
      <c r="DA3916">
        <v>1.1499999999999999</v>
      </c>
      <c r="DB3916">
        <v>0.8</v>
      </c>
      <c r="DC3916">
        <v>0.19</v>
      </c>
      <c r="DD3916">
        <v>51.62</v>
      </c>
      <c r="DE3916" t="s">
        <v>649</v>
      </c>
      <c r="DF3916">
        <v>33.82</v>
      </c>
      <c r="DG3916">
        <v>6.19</v>
      </c>
      <c r="DH3916">
        <v>5.45</v>
      </c>
      <c r="DI3916">
        <v>0.21</v>
      </c>
      <c r="DJ3916">
        <v>4490</v>
      </c>
      <c r="DK3916">
        <v>605179</v>
      </c>
      <c r="DL3916" t="s">
        <v>120</v>
      </c>
      <c r="DM3916" t="s">
        <v>120</v>
      </c>
      <c r="DN3916" t="s">
        <v>120</v>
      </c>
    </row>
    <row r="3917" spans="1:118">
      <c r="A3917" t="str">
        <f>"605180"</f>
        <v>605180</v>
      </c>
      <c r="B3917" t="s">
        <v>15984</v>
      </c>
      <c r="C3917">
        <v>-3.28</v>
      </c>
      <c r="D3917">
        <v>0.36</v>
      </c>
      <c r="E3917">
        <v>-0.2</v>
      </c>
      <c r="F3917">
        <v>94</v>
      </c>
      <c r="G3917" t="s">
        <v>15985</v>
      </c>
      <c r="H3917">
        <v>4348.1400000000003</v>
      </c>
      <c r="I3917">
        <v>2.39</v>
      </c>
      <c r="J3917" t="s">
        <v>120</v>
      </c>
      <c r="K3917" t="s">
        <v>15985</v>
      </c>
      <c r="L3917">
        <v>4.47</v>
      </c>
      <c r="M3917">
        <v>38.65</v>
      </c>
      <c r="N3917">
        <v>1.1599999999999999</v>
      </c>
      <c r="O3917">
        <v>0.08</v>
      </c>
      <c r="P3917">
        <v>39.99</v>
      </c>
      <c r="Q3917">
        <v>-3.98</v>
      </c>
      <c r="R3917">
        <v>38.369999999999997</v>
      </c>
      <c r="S3917">
        <v>39.880000000000003</v>
      </c>
      <c r="T3917">
        <v>11168</v>
      </c>
      <c r="U3917">
        <v>38.65</v>
      </c>
      <c r="V3917">
        <v>39.96</v>
      </c>
      <c r="W3917">
        <v>18.86</v>
      </c>
      <c r="X3917" t="s">
        <v>2211</v>
      </c>
      <c r="Y3917" t="s">
        <v>585</v>
      </c>
      <c r="Z3917">
        <v>4.05</v>
      </c>
      <c r="AA3917">
        <v>38.94</v>
      </c>
      <c r="AB3917">
        <v>7472</v>
      </c>
      <c r="AC3917">
        <v>3696</v>
      </c>
      <c r="AD3917">
        <v>2.02</v>
      </c>
      <c r="AE3917">
        <v>1</v>
      </c>
      <c r="AF3917">
        <v>69</v>
      </c>
      <c r="AG3917" t="s">
        <v>120</v>
      </c>
      <c r="AH3917">
        <v>0</v>
      </c>
      <c r="AI3917" t="s">
        <v>120</v>
      </c>
      <c r="AJ3917">
        <v>0.25</v>
      </c>
      <c r="AK3917" t="s">
        <v>7111</v>
      </c>
      <c r="AL3917">
        <v>-1.93</v>
      </c>
      <c r="AM3917">
        <v>1585</v>
      </c>
      <c r="AN3917">
        <v>7</v>
      </c>
      <c r="AO3917">
        <v>2.8E-3</v>
      </c>
      <c r="AP3917">
        <v>-1</v>
      </c>
      <c r="AQ3917">
        <v>0.4</v>
      </c>
      <c r="AR3917">
        <v>-3.54</v>
      </c>
      <c r="AS3917">
        <v>3.87</v>
      </c>
      <c r="AT3917">
        <v>9.43</v>
      </c>
      <c r="AU3917">
        <v>72.7</v>
      </c>
      <c r="AV3917">
        <v>1</v>
      </c>
      <c r="AW3917">
        <v>4.47</v>
      </c>
      <c r="AX3917">
        <v>25</v>
      </c>
      <c r="AY3917">
        <v>23.33</v>
      </c>
      <c r="AZ3917">
        <v>37.159999999999997</v>
      </c>
      <c r="BA3917">
        <v>0.15</v>
      </c>
      <c r="BB3917" t="s">
        <v>143</v>
      </c>
      <c r="BF3917">
        <v>-2.56</v>
      </c>
      <c r="BG3917">
        <v>-3.08</v>
      </c>
      <c r="BH3917">
        <v>-3.35</v>
      </c>
      <c r="BI3917">
        <v>0.73</v>
      </c>
      <c r="BJ3917">
        <v>20210817</v>
      </c>
      <c r="BK3917">
        <v>20210430</v>
      </c>
      <c r="BL3917">
        <v>1</v>
      </c>
      <c r="BM3917" t="s">
        <v>120</v>
      </c>
      <c r="BN3917" t="s">
        <v>120</v>
      </c>
      <c r="BO3917">
        <v>11.22</v>
      </c>
      <c r="BP3917">
        <v>38.630000000000003</v>
      </c>
      <c r="BQ3917">
        <v>10.66</v>
      </c>
      <c r="BR3917" t="s">
        <v>120</v>
      </c>
      <c r="BS3917">
        <v>5.0199999999999996</v>
      </c>
      <c r="BT3917">
        <v>8.94</v>
      </c>
      <c r="BU3917">
        <v>1.07</v>
      </c>
      <c r="BV3917">
        <v>0.36</v>
      </c>
      <c r="BW3917">
        <v>0.56000000000000005</v>
      </c>
      <c r="BX3917">
        <v>5.58</v>
      </c>
      <c r="BY3917">
        <v>0.84</v>
      </c>
      <c r="BZ3917">
        <v>2.17</v>
      </c>
      <c r="CA3917">
        <v>0</v>
      </c>
      <c r="CB3917">
        <v>6.36</v>
      </c>
      <c r="CC3917">
        <v>3.34</v>
      </c>
      <c r="CD3917">
        <v>1.9</v>
      </c>
      <c r="CE3917">
        <v>1.19</v>
      </c>
      <c r="CF3917">
        <v>0</v>
      </c>
      <c r="CG3917">
        <v>1.19</v>
      </c>
      <c r="CH3917">
        <v>1.02</v>
      </c>
      <c r="CI3917">
        <v>1.02</v>
      </c>
      <c r="CJ3917">
        <v>-1.31</v>
      </c>
      <c r="CK3917">
        <v>1.02</v>
      </c>
      <c r="CL3917">
        <v>3.02</v>
      </c>
      <c r="CM3917">
        <v>0.04</v>
      </c>
      <c r="CN3917">
        <v>4.3600000000000003</v>
      </c>
      <c r="CO3917">
        <v>12055</v>
      </c>
      <c r="CP3917">
        <v>2074</v>
      </c>
      <c r="CQ3917" t="s">
        <v>7907</v>
      </c>
      <c r="CR3917">
        <v>0</v>
      </c>
      <c r="CS3917">
        <v>0</v>
      </c>
      <c r="CT3917">
        <v>3.63</v>
      </c>
      <c r="CU3917">
        <v>930.59</v>
      </c>
      <c r="CV3917">
        <v>11.56</v>
      </c>
      <c r="CW3917">
        <v>0</v>
      </c>
      <c r="CX3917" t="s">
        <v>12054</v>
      </c>
      <c r="CY3917">
        <v>10.66</v>
      </c>
      <c r="CZ3917">
        <v>0</v>
      </c>
      <c r="DA3917">
        <v>6.36</v>
      </c>
      <c r="DB3917">
        <v>3.02</v>
      </c>
      <c r="DC3917">
        <v>0.04</v>
      </c>
      <c r="DD3917">
        <v>94.98</v>
      </c>
      <c r="DE3917" t="s">
        <v>15986</v>
      </c>
      <c r="DF3917">
        <v>43.09</v>
      </c>
      <c r="DG3917">
        <v>35.630000000000003</v>
      </c>
      <c r="DH3917">
        <v>30.64</v>
      </c>
      <c r="DI3917">
        <v>0.09</v>
      </c>
      <c r="DJ3917">
        <v>256</v>
      </c>
      <c r="DK3917">
        <v>605180</v>
      </c>
      <c r="DL3917" t="s">
        <v>120</v>
      </c>
      <c r="DM3917" t="s">
        <v>120</v>
      </c>
      <c r="DN3917" t="s">
        <v>120</v>
      </c>
    </row>
    <row r="3918" spans="1:118">
      <c r="A3918" t="str">
        <f>"605183"</f>
        <v>605183</v>
      </c>
      <c r="B3918" t="s">
        <v>15987</v>
      </c>
      <c r="C3918">
        <v>-2.5499999999999998</v>
      </c>
      <c r="D3918">
        <v>0.16</v>
      </c>
      <c r="E3918">
        <v>-0.31</v>
      </c>
      <c r="F3918">
        <v>361</v>
      </c>
      <c r="G3918" t="s">
        <v>211</v>
      </c>
      <c r="H3918">
        <v>6801.36</v>
      </c>
      <c r="I3918">
        <v>2.68</v>
      </c>
      <c r="J3918" t="s">
        <v>120</v>
      </c>
      <c r="K3918" t="s">
        <v>211</v>
      </c>
      <c r="L3918">
        <v>7.31</v>
      </c>
      <c r="M3918">
        <v>18.71</v>
      </c>
      <c r="N3918">
        <v>1.07</v>
      </c>
      <c r="O3918">
        <v>3.91</v>
      </c>
      <c r="P3918">
        <v>19.95</v>
      </c>
      <c r="Q3918">
        <v>-3.54</v>
      </c>
      <c r="R3918">
        <v>18.52</v>
      </c>
      <c r="S3918">
        <v>19.14</v>
      </c>
      <c r="T3918">
        <v>35612</v>
      </c>
      <c r="U3918">
        <v>18.72</v>
      </c>
      <c r="V3918">
        <v>19.2</v>
      </c>
      <c r="W3918">
        <v>27.48</v>
      </c>
      <c r="X3918" t="s">
        <v>868</v>
      </c>
      <c r="Y3918" t="s">
        <v>319</v>
      </c>
      <c r="Z3918">
        <v>7.45</v>
      </c>
      <c r="AA3918">
        <v>19.100000000000001</v>
      </c>
      <c r="AB3918">
        <v>22790</v>
      </c>
      <c r="AC3918">
        <v>12822</v>
      </c>
      <c r="AD3918">
        <v>1.78</v>
      </c>
      <c r="AE3918">
        <v>28</v>
      </c>
      <c r="AF3918">
        <v>39</v>
      </c>
      <c r="AG3918" t="s">
        <v>120</v>
      </c>
      <c r="AH3918">
        <v>0</v>
      </c>
      <c r="AI3918" t="s">
        <v>120</v>
      </c>
      <c r="AJ3918">
        <v>0.49</v>
      </c>
      <c r="AK3918" t="s">
        <v>14704</v>
      </c>
      <c r="AL3918">
        <v>-1.21</v>
      </c>
      <c r="AM3918">
        <v>2284</v>
      </c>
      <c r="AN3918">
        <v>16</v>
      </c>
      <c r="AO3918">
        <v>3.2000000000000002E-3</v>
      </c>
      <c r="AP3918">
        <v>-1</v>
      </c>
      <c r="AQ3918">
        <v>1.59</v>
      </c>
      <c r="AR3918">
        <v>-3.85</v>
      </c>
      <c r="AS3918">
        <v>-1.84</v>
      </c>
      <c r="AT3918">
        <v>11.7</v>
      </c>
      <c r="AU3918">
        <v>13.67</v>
      </c>
      <c r="AV3918">
        <v>8</v>
      </c>
      <c r="AW3918">
        <v>7.31</v>
      </c>
      <c r="AX3918">
        <v>11.67</v>
      </c>
      <c r="AY3918">
        <v>32.54</v>
      </c>
      <c r="AZ3918">
        <v>41.46</v>
      </c>
      <c r="BA3918">
        <v>0.86</v>
      </c>
      <c r="BB3918" t="s">
        <v>143</v>
      </c>
      <c r="BF3918">
        <v>-0.53</v>
      </c>
      <c r="BG3918">
        <v>-2.25</v>
      </c>
      <c r="BH3918">
        <v>-6.22</v>
      </c>
      <c r="BI3918">
        <v>1.03</v>
      </c>
      <c r="BJ3918">
        <v>20210826</v>
      </c>
      <c r="BK3918">
        <v>20201207</v>
      </c>
      <c r="BL3918">
        <v>4.18</v>
      </c>
      <c r="BM3918" t="s">
        <v>120</v>
      </c>
      <c r="BN3918" t="s">
        <v>120</v>
      </c>
      <c r="BO3918">
        <v>26.77</v>
      </c>
      <c r="BP3918">
        <v>18.71</v>
      </c>
      <c r="BQ3918">
        <v>23.15</v>
      </c>
      <c r="BR3918" t="s">
        <v>120</v>
      </c>
      <c r="BS3918">
        <v>13.5</v>
      </c>
      <c r="BT3918">
        <v>17.18</v>
      </c>
      <c r="BU3918">
        <v>6.43</v>
      </c>
      <c r="BV3918">
        <v>1.01</v>
      </c>
      <c r="BW3918">
        <v>3.56</v>
      </c>
      <c r="BX3918">
        <v>7.25</v>
      </c>
      <c r="BY3918">
        <v>1.37</v>
      </c>
      <c r="BZ3918">
        <v>3.84</v>
      </c>
      <c r="CA3918" t="s">
        <v>120</v>
      </c>
      <c r="CB3918">
        <v>7.66</v>
      </c>
      <c r="CC3918">
        <v>7.04</v>
      </c>
      <c r="CD3918">
        <v>4.7</v>
      </c>
      <c r="CE3918">
        <v>1.69</v>
      </c>
      <c r="CF3918">
        <v>0.01</v>
      </c>
      <c r="CG3918">
        <v>1.72</v>
      </c>
      <c r="CH3918">
        <v>1.42</v>
      </c>
      <c r="CI3918">
        <v>1.42</v>
      </c>
      <c r="CJ3918">
        <v>-0.49</v>
      </c>
      <c r="CK3918">
        <v>1.39</v>
      </c>
      <c r="CL3918">
        <v>9.76</v>
      </c>
      <c r="CM3918">
        <v>1.87</v>
      </c>
      <c r="CN3918">
        <v>-4.26</v>
      </c>
      <c r="CO3918">
        <v>19721</v>
      </c>
      <c r="CP3918">
        <v>2470</v>
      </c>
      <c r="CQ3918" t="s">
        <v>3282</v>
      </c>
      <c r="CR3918">
        <v>59.41</v>
      </c>
      <c r="CS3918">
        <v>59.75</v>
      </c>
      <c r="CT3918">
        <v>3.35</v>
      </c>
      <c r="CU3918">
        <v>41.7</v>
      </c>
      <c r="CV3918">
        <v>11.1</v>
      </c>
      <c r="CW3918">
        <v>2.58</v>
      </c>
      <c r="CX3918" t="s">
        <v>1574</v>
      </c>
      <c r="CY3918">
        <v>5.59</v>
      </c>
      <c r="CZ3918">
        <v>5.59</v>
      </c>
      <c r="DA3918">
        <v>1.83</v>
      </c>
      <c r="DB3918">
        <v>2.34</v>
      </c>
      <c r="DC3918">
        <v>0.45</v>
      </c>
      <c r="DD3918">
        <v>86.5</v>
      </c>
      <c r="DE3918" t="s">
        <v>2620</v>
      </c>
      <c r="DF3918">
        <v>33.29</v>
      </c>
      <c r="DG3918">
        <v>24.07</v>
      </c>
      <c r="DH3918">
        <v>20.190000000000001</v>
      </c>
      <c r="DI3918">
        <v>0.24</v>
      </c>
      <c r="DJ3918">
        <v>656</v>
      </c>
      <c r="DK3918">
        <v>605183</v>
      </c>
      <c r="DL3918" t="s">
        <v>120</v>
      </c>
      <c r="DM3918" t="s">
        <v>120</v>
      </c>
      <c r="DN3918" t="s">
        <v>120</v>
      </c>
    </row>
    <row r="3919" spans="1:118">
      <c r="A3919" t="str">
        <f>"605186"</f>
        <v>605186</v>
      </c>
      <c r="B3919" t="s">
        <v>15988</v>
      </c>
      <c r="C3919">
        <v>-3.66</v>
      </c>
      <c r="D3919">
        <v>0.15</v>
      </c>
      <c r="E3919">
        <v>0.25</v>
      </c>
      <c r="F3919">
        <v>158</v>
      </c>
      <c r="G3919" t="s">
        <v>15989</v>
      </c>
      <c r="H3919">
        <v>7044.36</v>
      </c>
      <c r="I3919">
        <v>231.31</v>
      </c>
      <c r="J3919" t="s">
        <v>120</v>
      </c>
      <c r="K3919" t="s">
        <v>15989</v>
      </c>
      <c r="L3919">
        <v>5.28</v>
      </c>
      <c r="M3919">
        <v>39</v>
      </c>
      <c r="N3919">
        <v>0.97</v>
      </c>
      <c r="O3919">
        <v>1.1399999999999999</v>
      </c>
      <c r="P3919">
        <v>40.94</v>
      </c>
      <c r="Q3919">
        <v>-4.37</v>
      </c>
      <c r="R3919">
        <v>38.71</v>
      </c>
      <c r="S3919">
        <v>40.58</v>
      </c>
      <c r="T3919">
        <v>17943</v>
      </c>
      <c r="U3919">
        <v>39.01</v>
      </c>
      <c r="V3919">
        <v>40.479999999999997</v>
      </c>
      <c r="W3919">
        <v>51.23</v>
      </c>
      <c r="X3919" t="s">
        <v>555</v>
      </c>
      <c r="Y3919" t="s">
        <v>1510</v>
      </c>
      <c r="Z3919">
        <v>5.51</v>
      </c>
      <c r="AA3919">
        <v>39.26</v>
      </c>
      <c r="AB3919">
        <v>10799</v>
      </c>
      <c r="AC3919">
        <v>7144</v>
      </c>
      <c r="AD3919">
        <v>1.51</v>
      </c>
      <c r="AE3919">
        <v>1</v>
      </c>
      <c r="AF3919">
        <v>14</v>
      </c>
      <c r="AG3919" t="s">
        <v>120</v>
      </c>
      <c r="AH3919">
        <v>0.17</v>
      </c>
      <c r="AI3919" t="s">
        <v>120</v>
      </c>
      <c r="AJ3919">
        <v>0.34</v>
      </c>
      <c r="AK3919" t="s">
        <v>12701</v>
      </c>
      <c r="AL3919">
        <v>-2.31</v>
      </c>
      <c r="AM3919">
        <v>1836</v>
      </c>
      <c r="AN3919">
        <v>10</v>
      </c>
      <c r="AO3919">
        <v>2.8999999999999998E-3</v>
      </c>
      <c r="AP3919">
        <v>-2</v>
      </c>
      <c r="AQ3919">
        <v>-5.95</v>
      </c>
      <c r="AR3919">
        <v>-0.34</v>
      </c>
      <c r="AS3919">
        <v>2.4500000000000002</v>
      </c>
      <c r="AT3919">
        <v>11.7</v>
      </c>
      <c r="AU3919">
        <v>39.71</v>
      </c>
      <c r="AV3919">
        <v>15</v>
      </c>
      <c r="AW3919">
        <v>5.28</v>
      </c>
      <c r="AX3919">
        <v>25</v>
      </c>
      <c r="AY3919">
        <v>52.5</v>
      </c>
      <c r="AZ3919">
        <v>57.5</v>
      </c>
      <c r="BA3919">
        <v>0.95</v>
      </c>
      <c r="BB3919" t="s">
        <v>143</v>
      </c>
      <c r="BF3919">
        <v>-3.02</v>
      </c>
      <c r="BG3919">
        <v>-3.89</v>
      </c>
      <c r="BH3919">
        <v>-4.74</v>
      </c>
      <c r="BI3919">
        <v>0.75</v>
      </c>
      <c r="BJ3919">
        <v>20210831</v>
      </c>
      <c r="BK3919">
        <v>20201222</v>
      </c>
      <c r="BL3919">
        <v>1.36</v>
      </c>
      <c r="BM3919" t="s">
        <v>120</v>
      </c>
      <c r="BN3919" t="s">
        <v>120</v>
      </c>
      <c r="BO3919">
        <v>10.37</v>
      </c>
      <c r="BP3919">
        <v>38.96</v>
      </c>
      <c r="BQ3919">
        <v>8.65</v>
      </c>
      <c r="BR3919">
        <v>0.69</v>
      </c>
      <c r="BS3919">
        <v>9.9499999999999993</v>
      </c>
      <c r="BT3919">
        <v>8.1</v>
      </c>
      <c r="BU3919">
        <v>0.34</v>
      </c>
      <c r="BV3919">
        <v>0.16</v>
      </c>
      <c r="BW3919">
        <v>1.01</v>
      </c>
      <c r="BX3919">
        <v>4.17</v>
      </c>
      <c r="BY3919">
        <v>0.39</v>
      </c>
      <c r="BZ3919">
        <v>2.21</v>
      </c>
      <c r="CA3919" t="s">
        <v>120</v>
      </c>
      <c r="CB3919">
        <v>3.59</v>
      </c>
      <c r="CC3919">
        <v>1.52</v>
      </c>
      <c r="CD3919">
        <v>0.61</v>
      </c>
      <c r="CE3919">
        <v>0.65</v>
      </c>
      <c r="CF3919">
        <v>0</v>
      </c>
      <c r="CG3919">
        <v>0.65</v>
      </c>
      <c r="CH3919">
        <v>0.56000000000000005</v>
      </c>
      <c r="CI3919">
        <v>0.52</v>
      </c>
      <c r="CJ3919">
        <v>-1.48</v>
      </c>
      <c r="CK3919">
        <v>0.46</v>
      </c>
      <c r="CL3919">
        <v>3.55</v>
      </c>
      <c r="CM3919">
        <v>0.27</v>
      </c>
      <c r="CN3919">
        <v>-1.43</v>
      </c>
      <c r="CO3919">
        <v>9502</v>
      </c>
      <c r="CP3919">
        <v>3578</v>
      </c>
      <c r="CQ3919" t="s">
        <v>15990</v>
      </c>
      <c r="CR3919">
        <v>21.4</v>
      </c>
      <c r="CS3919">
        <v>20.74</v>
      </c>
      <c r="CT3919">
        <v>6.13</v>
      </c>
      <c r="CU3919">
        <v>193.03</v>
      </c>
      <c r="CV3919">
        <v>34.97</v>
      </c>
      <c r="CW3919">
        <v>0.53</v>
      </c>
      <c r="CX3919" t="s">
        <v>2429</v>
      </c>
      <c r="CY3919">
        <v>6.36</v>
      </c>
      <c r="CZ3919">
        <v>0</v>
      </c>
      <c r="DA3919">
        <v>2.64</v>
      </c>
      <c r="DB3919">
        <v>2.61</v>
      </c>
      <c r="DC3919">
        <v>0.2</v>
      </c>
      <c r="DD3919">
        <v>83.4</v>
      </c>
      <c r="DE3919" t="s">
        <v>4397</v>
      </c>
      <c r="DF3919">
        <v>59.65</v>
      </c>
      <c r="DG3919">
        <v>42.62</v>
      </c>
      <c r="DH3919">
        <v>34.130000000000003</v>
      </c>
      <c r="DI3919">
        <v>0.1</v>
      </c>
      <c r="DJ3919">
        <v>341</v>
      </c>
      <c r="DK3919">
        <v>605186</v>
      </c>
      <c r="DL3919" t="s">
        <v>120</v>
      </c>
      <c r="DM3919" t="s">
        <v>120</v>
      </c>
      <c r="DN3919" t="s">
        <v>120</v>
      </c>
    </row>
    <row r="3920" spans="1:118">
      <c r="A3920" t="str">
        <f>"605188"</f>
        <v>605188</v>
      </c>
      <c r="B3920" t="s">
        <v>15991</v>
      </c>
      <c r="C3920">
        <v>-1.24</v>
      </c>
      <c r="D3920">
        <v>-0.12</v>
      </c>
      <c r="E3920">
        <v>-0.12</v>
      </c>
      <c r="F3920">
        <v>263</v>
      </c>
      <c r="G3920" t="s">
        <v>15992</v>
      </c>
      <c r="H3920">
        <v>1034.25</v>
      </c>
      <c r="I3920">
        <v>17.07</v>
      </c>
      <c r="J3920" t="s">
        <v>120</v>
      </c>
      <c r="K3920" t="s">
        <v>15992</v>
      </c>
      <c r="L3920">
        <v>2.13</v>
      </c>
      <c r="M3920">
        <v>7.96</v>
      </c>
      <c r="N3920">
        <v>1.0900000000000001</v>
      </c>
      <c r="O3920">
        <v>0.99</v>
      </c>
      <c r="P3920">
        <v>8.14</v>
      </c>
      <c r="Q3920">
        <v>-1.24</v>
      </c>
      <c r="R3920">
        <v>7.96</v>
      </c>
      <c r="S3920">
        <v>8.0500000000000007</v>
      </c>
      <c r="T3920">
        <v>12871</v>
      </c>
      <c r="U3920">
        <v>7.98</v>
      </c>
      <c r="V3920">
        <v>8.06</v>
      </c>
      <c r="W3920">
        <v>62.44</v>
      </c>
      <c r="X3920" t="s">
        <v>1872</v>
      </c>
      <c r="Y3920" t="s">
        <v>676</v>
      </c>
      <c r="Z3920">
        <v>2.23</v>
      </c>
      <c r="AA3920">
        <v>8.0399999999999991</v>
      </c>
      <c r="AB3920">
        <v>7166</v>
      </c>
      <c r="AC3920">
        <v>5705</v>
      </c>
      <c r="AD3920">
        <v>1.26</v>
      </c>
      <c r="AE3920">
        <v>62</v>
      </c>
      <c r="AF3920">
        <v>123</v>
      </c>
      <c r="AG3920" t="s">
        <v>120</v>
      </c>
      <c r="AH3920">
        <v>0.04</v>
      </c>
      <c r="AI3920" t="s">
        <v>120</v>
      </c>
      <c r="AJ3920">
        <v>0.6</v>
      </c>
      <c r="AK3920" t="s">
        <v>15993</v>
      </c>
      <c r="AL3920">
        <v>0.1</v>
      </c>
      <c r="AM3920">
        <v>599</v>
      </c>
      <c r="AN3920">
        <v>21</v>
      </c>
      <c r="AO3920">
        <v>3.5999999999999999E-3</v>
      </c>
      <c r="AP3920">
        <v>-1</v>
      </c>
      <c r="AQ3920">
        <v>0.62</v>
      </c>
      <c r="AR3920">
        <v>-1.85</v>
      </c>
      <c r="AS3920">
        <v>0.88</v>
      </c>
      <c r="AT3920">
        <v>-12.48</v>
      </c>
      <c r="AU3920">
        <v>-19.55</v>
      </c>
      <c r="AV3920">
        <v>6</v>
      </c>
      <c r="AW3920">
        <v>2.13</v>
      </c>
      <c r="AX3920">
        <v>12.18</v>
      </c>
      <c r="AY3920">
        <v>65.89</v>
      </c>
      <c r="AZ3920">
        <v>37.69</v>
      </c>
      <c r="BA3920">
        <v>0.81</v>
      </c>
      <c r="BB3920" t="s">
        <v>143</v>
      </c>
      <c r="BF3920">
        <v>-0.3</v>
      </c>
      <c r="BG3920">
        <v>-1.1200000000000001</v>
      </c>
      <c r="BH3920">
        <v>-2.21</v>
      </c>
      <c r="BI3920">
        <v>0</v>
      </c>
      <c r="BJ3920">
        <v>20210827</v>
      </c>
      <c r="BK3920">
        <v>20200728</v>
      </c>
      <c r="BL3920">
        <v>4.96</v>
      </c>
      <c r="BM3920" t="s">
        <v>120</v>
      </c>
      <c r="BN3920" t="s">
        <v>120</v>
      </c>
      <c r="BO3920">
        <v>24.28</v>
      </c>
      <c r="BP3920">
        <v>7.96</v>
      </c>
      <c r="BQ3920">
        <v>11.02</v>
      </c>
      <c r="BR3920" t="s">
        <v>120</v>
      </c>
      <c r="BS3920">
        <v>54.62</v>
      </c>
      <c r="BT3920">
        <v>9.89</v>
      </c>
      <c r="BU3920">
        <v>7.47</v>
      </c>
      <c r="BV3920">
        <v>1.1200000000000001</v>
      </c>
      <c r="BW3920">
        <v>8.08</v>
      </c>
      <c r="BX3920">
        <v>4.32</v>
      </c>
      <c r="BY3920">
        <v>2.0299999999999998</v>
      </c>
      <c r="BZ3920">
        <v>0.65</v>
      </c>
      <c r="CA3920">
        <v>0.11</v>
      </c>
      <c r="CB3920">
        <v>3.26</v>
      </c>
      <c r="CC3920">
        <v>10.77</v>
      </c>
      <c r="CD3920">
        <v>7.86</v>
      </c>
      <c r="CE3920">
        <v>0.42</v>
      </c>
      <c r="CF3920">
        <v>0.03</v>
      </c>
      <c r="CG3920">
        <v>0.44</v>
      </c>
      <c r="CH3920">
        <v>0.32</v>
      </c>
      <c r="CI3920">
        <v>0.32</v>
      </c>
      <c r="CJ3920">
        <v>-0.1</v>
      </c>
      <c r="CK3920">
        <v>0.11</v>
      </c>
      <c r="CL3920">
        <v>2.62</v>
      </c>
      <c r="CM3920">
        <v>1.04</v>
      </c>
      <c r="CN3920">
        <v>0.48</v>
      </c>
      <c r="CO3920">
        <v>13838</v>
      </c>
      <c r="CP3920">
        <v>4363</v>
      </c>
      <c r="CQ3920" t="s">
        <v>758</v>
      </c>
      <c r="CR3920">
        <v>-58.95</v>
      </c>
      <c r="CS3920">
        <v>-9.5500000000000007</v>
      </c>
      <c r="CT3920">
        <v>3.58</v>
      </c>
      <c r="CU3920">
        <v>37.840000000000003</v>
      </c>
      <c r="CV3920">
        <v>3.66</v>
      </c>
      <c r="CW3920">
        <v>0.93</v>
      </c>
      <c r="CX3920" t="s">
        <v>1064</v>
      </c>
      <c r="CY3920">
        <v>2.2200000000000002</v>
      </c>
      <c r="CZ3920">
        <v>0</v>
      </c>
      <c r="DA3920">
        <v>0.66</v>
      </c>
      <c r="DB3920">
        <v>0.53</v>
      </c>
      <c r="DC3920">
        <v>0.21</v>
      </c>
      <c r="DD3920">
        <v>45.38</v>
      </c>
      <c r="DE3920" t="s">
        <v>6766</v>
      </c>
      <c r="DF3920">
        <v>27.03</v>
      </c>
      <c r="DG3920">
        <v>3.92</v>
      </c>
      <c r="DH3920">
        <v>2.93</v>
      </c>
      <c r="DI3920" t="s">
        <v>120</v>
      </c>
      <c r="DJ3920">
        <v>4353</v>
      </c>
      <c r="DK3920">
        <v>605188</v>
      </c>
      <c r="DL3920" t="s">
        <v>120</v>
      </c>
      <c r="DM3920" t="s">
        <v>120</v>
      </c>
      <c r="DN3920" t="s">
        <v>120</v>
      </c>
    </row>
    <row r="3921" spans="1:118">
      <c r="A3921" t="str">
        <f>"605189"</f>
        <v>605189</v>
      </c>
      <c r="B3921" t="s">
        <v>15994</v>
      </c>
      <c r="C3921">
        <v>-0.26</v>
      </c>
      <c r="D3921">
        <v>0</v>
      </c>
      <c r="E3921">
        <v>-0.31</v>
      </c>
      <c r="F3921">
        <v>146</v>
      </c>
      <c r="G3921" t="s">
        <v>15995</v>
      </c>
      <c r="H3921">
        <v>2945.14</v>
      </c>
      <c r="I3921">
        <v>4.54</v>
      </c>
      <c r="J3921" t="s">
        <v>120</v>
      </c>
      <c r="K3921" t="s">
        <v>15995</v>
      </c>
      <c r="L3921">
        <v>4.12</v>
      </c>
      <c r="M3921">
        <v>22.7</v>
      </c>
      <c r="N3921">
        <v>0.81</v>
      </c>
      <c r="O3921">
        <v>1.58</v>
      </c>
      <c r="P3921">
        <v>23.12</v>
      </c>
      <c r="Q3921">
        <v>-0.56999999999999995</v>
      </c>
      <c r="R3921">
        <v>22.63</v>
      </c>
      <c r="S3921">
        <v>22.69</v>
      </c>
      <c r="T3921">
        <v>12866</v>
      </c>
      <c r="U3921">
        <v>22.7</v>
      </c>
      <c r="V3921">
        <v>22.76</v>
      </c>
      <c r="W3921">
        <v>13.81</v>
      </c>
      <c r="X3921" t="s">
        <v>1766</v>
      </c>
      <c r="Y3921" t="s">
        <v>570</v>
      </c>
      <c r="Z3921">
        <v>2.15</v>
      </c>
      <c r="AA3921">
        <v>22.89</v>
      </c>
      <c r="AB3921">
        <v>6276</v>
      </c>
      <c r="AC3921">
        <v>6590</v>
      </c>
      <c r="AD3921">
        <v>0.95</v>
      </c>
      <c r="AE3921">
        <v>16</v>
      </c>
      <c r="AF3921">
        <v>18</v>
      </c>
      <c r="AG3921" t="s">
        <v>120</v>
      </c>
      <c r="AH3921">
        <v>0.01</v>
      </c>
      <c r="AI3921" t="s">
        <v>120</v>
      </c>
      <c r="AJ3921">
        <v>0.31</v>
      </c>
      <c r="AK3921" t="s">
        <v>15996</v>
      </c>
      <c r="AL3921">
        <v>1.08</v>
      </c>
      <c r="AM3921">
        <v>1062</v>
      </c>
      <c r="AN3921">
        <v>12</v>
      </c>
      <c r="AO3921">
        <v>3.8999999999999998E-3</v>
      </c>
      <c r="AP3921">
        <v>-5</v>
      </c>
      <c r="AQ3921">
        <v>-1.47</v>
      </c>
      <c r="AR3921">
        <v>-3.08</v>
      </c>
      <c r="AS3921">
        <v>-3.6</v>
      </c>
      <c r="AT3921">
        <v>-5.65</v>
      </c>
      <c r="AU3921">
        <v>13.79</v>
      </c>
      <c r="AV3921">
        <v>1</v>
      </c>
      <c r="AW3921">
        <v>4.12</v>
      </c>
      <c r="AX3921">
        <v>25</v>
      </c>
      <c r="AY3921">
        <v>14.84</v>
      </c>
      <c r="AZ3921">
        <v>25.07</v>
      </c>
      <c r="BA3921">
        <v>0.47</v>
      </c>
      <c r="BB3921" t="s">
        <v>1723</v>
      </c>
      <c r="BF3921">
        <v>0.56999999999999995</v>
      </c>
      <c r="BG3921">
        <v>0.04</v>
      </c>
      <c r="BH3921">
        <v>-1.82</v>
      </c>
      <c r="BI3921">
        <v>0.31</v>
      </c>
      <c r="BJ3921">
        <v>20210805</v>
      </c>
      <c r="BK3921">
        <v>20210528</v>
      </c>
      <c r="BL3921">
        <v>1.25</v>
      </c>
      <c r="BM3921" t="s">
        <v>120</v>
      </c>
      <c r="BN3921" t="s">
        <v>120</v>
      </c>
      <c r="BO3921">
        <v>20.68</v>
      </c>
      <c r="BP3921">
        <v>22.68</v>
      </c>
      <c r="BQ3921">
        <v>14.3</v>
      </c>
      <c r="BR3921" t="s">
        <v>120</v>
      </c>
      <c r="BS3921">
        <v>30.86</v>
      </c>
      <c r="BT3921">
        <v>13.9</v>
      </c>
      <c r="BU3921">
        <v>4.62</v>
      </c>
      <c r="BV3921">
        <v>0.74</v>
      </c>
      <c r="BW3921">
        <v>5.27</v>
      </c>
      <c r="BX3921">
        <v>5.43</v>
      </c>
      <c r="BY3921">
        <v>3.53</v>
      </c>
      <c r="BZ3921">
        <v>0.34</v>
      </c>
      <c r="CA3921" t="s">
        <v>120</v>
      </c>
      <c r="CB3921">
        <v>8.24</v>
      </c>
      <c r="CC3921">
        <v>9.25</v>
      </c>
      <c r="CD3921">
        <v>7.41</v>
      </c>
      <c r="CE3921">
        <v>1.18</v>
      </c>
      <c r="CF3921">
        <v>0</v>
      </c>
      <c r="CG3921">
        <v>1.19</v>
      </c>
      <c r="CH3921">
        <v>1.03</v>
      </c>
      <c r="CI3921">
        <v>1.03</v>
      </c>
      <c r="CJ3921">
        <v>-0.06</v>
      </c>
      <c r="CK3921">
        <v>1</v>
      </c>
      <c r="CL3921">
        <v>4.29</v>
      </c>
      <c r="CM3921">
        <v>0.61</v>
      </c>
      <c r="CN3921">
        <v>2.4</v>
      </c>
      <c r="CO3921">
        <v>20565</v>
      </c>
      <c r="CP3921">
        <v>1517</v>
      </c>
      <c r="CQ3921" t="s">
        <v>3648</v>
      </c>
      <c r="CR3921">
        <v>0</v>
      </c>
      <c r="CS3921">
        <v>0</v>
      </c>
      <c r="CT3921">
        <v>1.98</v>
      </c>
      <c r="CU3921">
        <v>46.61</v>
      </c>
      <c r="CV3921">
        <v>3.06</v>
      </c>
      <c r="CW3921">
        <v>2.2000000000000002</v>
      </c>
      <c r="CX3921" t="s">
        <v>3739</v>
      </c>
      <c r="CY3921">
        <v>11.46</v>
      </c>
      <c r="CZ3921">
        <v>0</v>
      </c>
      <c r="DA3921">
        <v>6.6</v>
      </c>
      <c r="DB3921">
        <v>3.44</v>
      </c>
      <c r="DC3921">
        <v>0.49</v>
      </c>
      <c r="DD3921">
        <v>69.14</v>
      </c>
      <c r="DE3921" t="s">
        <v>7938</v>
      </c>
      <c r="DF3921">
        <v>19.86</v>
      </c>
      <c r="DG3921">
        <v>12.79</v>
      </c>
      <c r="DH3921">
        <v>11.1</v>
      </c>
      <c r="DI3921">
        <v>0.32</v>
      </c>
      <c r="DJ3921">
        <v>1275</v>
      </c>
      <c r="DK3921">
        <v>605189</v>
      </c>
      <c r="DL3921" t="s">
        <v>120</v>
      </c>
      <c r="DM3921" t="s">
        <v>120</v>
      </c>
      <c r="DN3921" t="s">
        <v>120</v>
      </c>
    </row>
    <row r="3922" spans="1:118">
      <c r="A3922" t="str">
        <f>"605196"</f>
        <v>605196</v>
      </c>
      <c r="B3922" t="s">
        <v>15997</v>
      </c>
      <c r="C3922">
        <v>-1.46</v>
      </c>
      <c r="D3922">
        <v>0</v>
      </c>
      <c r="E3922">
        <v>0.39</v>
      </c>
      <c r="F3922">
        <v>756</v>
      </c>
      <c r="G3922" t="s">
        <v>9601</v>
      </c>
      <c r="H3922">
        <v>4124.8900000000003</v>
      </c>
      <c r="I3922">
        <v>11.48</v>
      </c>
      <c r="J3922" t="s">
        <v>120</v>
      </c>
      <c r="K3922" t="s">
        <v>9601</v>
      </c>
      <c r="L3922">
        <v>5.28</v>
      </c>
      <c r="M3922">
        <v>10.15</v>
      </c>
      <c r="N3922">
        <v>0.64</v>
      </c>
      <c r="O3922">
        <v>1.46</v>
      </c>
      <c r="P3922">
        <v>10.45</v>
      </c>
      <c r="Q3922">
        <v>-1.55</v>
      </c>
      <c r="R3922">
        <v>10.14</v>
      </c>
      <c r="S3922">
        <v>10.34</v>
      </c>
      <c r="T3922">
        <v>40144</v>
      </c>
      <c r="U3922">
        <v>10.16</v>
      </c>
      <c r="V3922">
        <v>10.3</v>
      </c>
      <c r="W3922">
        <v>58.95</v>
      </c>
      <c r="X3922" t="s">
        <v>394</v>
      </c>
      <c r="Y3922" t="s">
        <v>602</v>
      </c>
      <c r="Z3922">
        <v>3.01</v>
      </c>
      <c r="AA3922">
        <v>10.28</v>
      </c>
      <c r="AB3922">
        <v>24196</v>
      </c>
      <c r="AC3922">
        <v>15948</v>
      </c>
      <c r="AD3922">
        <v>1.52</v>
      </c>
      <c r="AE3922">
        <v>377</v>
      </c>
      <c r="AF3922">
        <v>51</v>
      </c>
      <c r="AG3922" t="s">
        <v>120</v>
      </c>
      <c r="AH3922">
        <v>0.01</v>
      </c>
      <c r="AI3922" t="s">
        <v>120</v>
      </c>
      <c r="AJ3922">
        <v>0.76</v>
      </c>
      <c r="AK3922" t="s">
        <v>15998</v>
      </c>
      <c r="AL3922">
        <v>-0.11</v>
      </c>
      <c r="AM3922">
        <v>1780</v>
      </c>
      <c r="AN3922">
        <v>23</v>
      </c>
      <c r="AO3922">
        <v>3.0000000000000001E-3</v>
      </c>
      <c r="AP3922">
        <v>-3</v>
      </c>
      <c r="AQ3922">
        <v>-2.83</v>
      </c>
      <c r="AR3922">
        <v>-5.93</v>
      </c>
      <c r="AS3922">
        <v>-14.41</v>
      </c>
      <c r="AT3922">
        <v>-23.51</v>
      </c>
      <c r="AU3922">
        <v>100.99</v>
      </c>
      <c r="AV3922">
        <v>8</v>
      </c>
      <c r="AW3922">
        <v>5.28</v>
      </c>
      <c r="AX3922">
        <v>15</v>
      </c>
      <c r="AY3922">
        <v>46.15</v>
      </c>
      <c r="AZ3922">
        <v>33.83</v>
      </c>
      <c r="BA3922">
        <v>0.98</v>
      </c>
      <c r="BB3922" t="s">
        <v>134</v>
      </c>
      <c r="BF3922">
        <v>-0.24</v>
      </c>
      <c r="BG3922">
        <v>-1.84</v>
      </c>
      <c r="BH3922">
        <v>-2.87</v>
      </c>
      <c r="BI3922">
        <v>0.1</v>
      </c>
      <c r="BJ3922">
        <v>20210828</v>
      </c>
      <c r="BK3922">
        <v>20210511</v>
      </c>
      <c r="BL3922">
        <v>5.07</v>
      </c>
      <c r="BM3922" t="s">
        <v>120</v>
      </c>
      <c r="BN3922" t="s">
        <v>120</v>
      </c>
      <c r="BO3922">
        <v>36.81</v>
      </c>
      <c r="BP3922">
        <v>10.15</v>
      </c>
      <c r="BQ3922">
        <v>21.22</v>
      </c>
      <c r="BR3922">
        <v>0.01</v>
      </c>
      <c r="BS3922">
        <v>42.31</v>
      </c>
      <c r="BT3922">
        <v>28.13</v>
      </c>
      <c r="BU3922">
        <v>6.24</v>
      </c>
      <c r="BV3922">
        <v>0.39</v>
      </c>
      <c r="BW3922">
        <v>14.86</v>
      </c>
      <c r="BX3922">
        <v>3.71</v>
      </c>
      <c r="BY3922">
        <v>10.19</v>
      </c>
      <c r="BZ3922">
        <v>11.78</v>
      </c>
      <c r="CA3922" t="s">
        <v>120</v>
      </c>
      <c r="CB3922">
        <v>9.6</v>
      </c>
      <c r="CC3922">
        <v>18.8</v>
      </c>
      <c r="CD3922">
        <v>16.27</v>
      </c>
      <c r="CE3922">
        <v>0.65</v>
      </c>
      <c r="CF3922">
        <v>0.05</v>
      </c>
      <c r="CG3922">
        <v>0.6</v>
      </c>
      <c r="CH3922">
        <v>0.43</v>
      </c>
      <c r="CI3922">
        <v>0.44</v>
      </c>
      <c r="CJ3922">
        <v>-0.15</v>
      </c>
      <c r="CK3922">
        <v>0.24</v>
      </c>
      <c r="CL3922">
        <v>6.23</v>
      </c>
      <c r="CM3922">
        <v>-4.32</v>
      </c>
      <c r="CN3922">
        <v>-0.83</v>
      </c>
      <c r="CO3922">
        <v>35909</v>
      </c>
      <c r="CP3922">
        <v>2116</v>
      </c>
      <c r="CQ3922" t="s">
        <v>10895</v>
      </c>
      <c r="CR3922">
        <v>0</v>
      </c>
      <c r="CS3922">
        <v>0</v>
      </c>
      <c r="CT3922">
        <v>2.42</v>
      </c>
      <c r="CU3922">
        <v>-11.92</v>
      </c>
      <c r="CV3922">
        <v>2.74</v>
      </c>
      <c r="CW3922">
        <v>0</v>
      </c>
      <c r="CX3922" t="s">
        <v>411</v>
      </c>
      <c r="CY3922">
        <v>4.1900000000000004</v>
      </c>
      <c r="CZ3922">
        <v>0</v>
      </c>
      <c r="DA3922">
        <v>1.89</v>
      </c>
      <c r="DB3922">
        <v>1.23</v>
      </c>
      <c r="DC3922">
        <v>-0.85</v>
      </c>
      <c r="DD3922">
        <v>57.65</v>
      </c>
      <c r="DE3922" t="s">
        <v>1890</v>
      </c>
      <c r="DF3922">
        <v>13.48</v>
      </c>
      <c r="DG3922">
        <v>3.43</v>
      </c>
      <c r="DH3922">
        <v>2.3199999999999998</v>
      </c>
      <c r="DI3922">
        <v>0.6</v>
      </c>
      <c r="DJ3922">
        <v>1836</v>
      </c>
      <c r="DK3922">
        <v>605196</v>
      </c>
      <c r="DL3922" t="s">
        <v>120</v>
      </c>
      <c r="DM3922" t="s">
        <v>120</v>
      </c>
      <c r="DN3922" t="s">
        <v>120</v>
      </c>
    </row>
    <row r="3923" spans="1:118">
      <c r="A3923" t="str">
        <f>"605198"</f>
        <v>605198</v>
      </c>
      <c r="B3923" t="s">
        <v>15999</v>
      </c>
      <c r="C3923">
        <v>-1.24</v>
      </c>
      <c r="D3923">
        <v>-0.05</v>
      </c>
      <c r="E3923">
        <v>0.06</v>
      </c>
      <c r="F3923">
        <v>56</v>
      </c>
      <c r="G3923" t="s">
        <v>16000</v>
      </c>
      <c r="H3923">
        <v>645.29</v>
      </c>
      <c r="I3923">
        <v>0</v>
      </c>
      <c r="J3923" t="s">
        <v>120</v>
      </c>
      <c r="K3923" t="s">
        <v>16000</v>
      </c>
      <c r="L3923">
        <v>1.83</v>
      </c>
      <c r="M3923">
        <v>17.54</v>
      </c>
      <c r="N3923">
        <v>0.64</v>
      </c>
      <c r="O3923">
        <v>0.84</v>
      </c>
      <c r="P3923">
        <v>17.91</v>
      </c>
      <c r="Q3923">
        <v>-1.41</v>
      </c>
      <c r="R3923">
        <v>17.510000000000002</v>
      </c>
      <c r="S3923">
        <v>17.77</v>
      </c>
      <c r="T3923">
        <v>3659</v>
      </c>
      <c r="U3923">
        <v>17.55</v>
      </c>
      <c r="V3923">
        <v>17.760000000000002</v>
      </c>
      <c r="W3923">
        <v>62.14</v>
      </c>
      <c r="X3923" t="s">
        <v>2180</v>
      </c>
      <c r="Y3923" t="s">
        <v>638</v>
      </c>
      <c r="Z3923">
        <v>2.25</v>
      </c>
      <c r="AA3923">
        <v>17.64</v>
      </c>
      <c r="AB3923">
        <v>2466</v>
      </c>
      <c r="AC3923">
        <v>1193</v>
      </c>
      <c r="AD3923">
        <v>2.0699999999999998</v>
      </c>
      <c r="AE3923">
        <v>138</v>
      </c>
      <c r="AF3923">
        <v>99</v>
      </c>
      <c r="AG3923" t="s">
        <v>120</v>
      </c>
      <c r="AH3923">
        <v>0</v>
      </c>
      <c r="AI3923" t="s">
        <v>120</v>
      </c>
      <c r="AJ3923">
        <v>0.2</v>
      </c>
      <c r="AK3923" t="s">
        <v>3909</v>
      </c>
      <c r="AL3923">
        <v>0.1</v>
      </c>
      <c r="AM3923">
        <v>440</v>
      </c>
      <c r="AN3923">
        <v>8</v>
      </c>
      <c r="AO3923">
        <v>4.1999999999999997E-3</v>
      </c>
      <c r="AP3923">
        <v>-1</v>
      </c>
      <c r="AQ3923">
        <v>0.06</v>
      </c>
      <c r="AR3923">
        <v>-3.09</v>
      </c>
      <c r="AS3923">
        <v>-8.98</v>
      </c>
      <c r="AT3923">
        <v>-24.56</v>
      </c>
      <c r="AU3923">
        <v>-22.39</v>
      </c>
      <c r="AV3923">
        <v>9</v>
      </c>
      <c r="AW3923">
        <v>1.83</v>
      </c>
      <c r="AX3923">
        <v>7.39</v>
      </c>
      <c r="AY3923">
        <v>55.69</v>
      </c>
      <c r="AZ3923">
        <v>42.98</v>
      </c>
      <c r="BA3923">
        <v>0.84</v>
      </c>
      <c r="BB3923" t="s">
        <v>125</v>
      </c>
      <c r="BF3923">
        <v>-0.69</v>
      </c>
      <c r="BG3923">
        <v>-1.29</v>
      </c>
      <c r="BH3923">
        <v>-2.0699999999999998</v>
      </c>
      <c r="BI3923">
        <v>0.17</v>
      </c>
      <c r="BJ3923">
        <v>20210914</v>
      </c>
      <c r="BK3923">
        <v>20200918</v>
      </c>
      <c r="BL3923">
        <v>3.67</v>
      </c>
      <c r="BM3923" t="s">
        <v>120</v>
      </c>
      <c r="BN3923">
        <v>0.97</v>
      </c>
      <c r="BO3923">
        <v>22.79</v>
      </c>
      <c r="BP3923">
        <v>17.54</v>
      </c>
      <c r="BQ3923">
        <v>21.17</v>
      </c>
      <c r="BR3923" t="s">
        <v>120</v>
      </c>
      <c r="BS3923">
        <v>7.1</v>
      </c>
      <c r="BT3923">
        <v>14.92</v>
      </c>
      <c r="BU3923">
        <v>6.59</v>
      </c>
      <c r="BV3923">
        <v>1.01</v>
      </c>
      <c r="BW3923">
        <v>1.48</v>
      </c>
      <c r="BX3923">
        <v>3.5</v>
      </c>
      <c r="BY3923">
        <v>3.96</v>
      </c>
      <c r="BZ3923">
        <v>2.1</v>
      </c>
      <c r="CA3923" t="s">
        <v>120</v>
      </c>
      <c r="CB3923">
        <v>0.52</v>
      </c>
      <c r="CC3923">
        <v>4.18</v>
      </c>
      <c r="CD3923">
        <v>3.4</v>
      </c>
      <c r="CE3923">
        <v>0.52</v>
      </c>
      <c r="CF3923">
        <v>0.1</v>
      </c>
      <c r="CG3923">
        <v>0.52</v>
      </c>
      <c r="CH3923">
        <v>0.52</v>
      </c>
      <c r="CI3923">
        <v>0.52</v>
      </c>
      <c r="CJ3923">
        <v>-0.22</v>
      </c>
      <c r="CK3923">
        <v>0.56999999999999995</v>
      </c>
      <c r="CL3923">
        <v>15.86</v>
      </c>
      <c r="CM3923">
        <v>3.7</v>
      </c>
      <c r="CN3923">
        <v>1.64</v>
      </c>
      <c r="CO3923">
        <v>7200</v>
      </c>
      <c r="CP3923">
        <v>2778</v>
      </c>
      <c r="CQ3923" t="s">
        <v>10820</v>
      </c>
      <c r="CR3923">
        <v>-40.07</v>
      </c>
      <c r="CS3923">
        <v>-11.01</v>
      </c>
      <c r="CT3923">
        <v>3.04</v>
      </c>
      <c r="CU3923">
        <v>17.39</v>
      </c>
      <c r="CV3923">
        <v>15.4</v>
      </c>
      <c r="CW3923">
        <v>0.28000000000000003</v>
      </c>
      <c r="CX3923" t="s">
        <v>300</v>
      </c>
      <c r="CY3923">
        <v>5.76</v>
      </c>
      <c r="CZ3923">
        <v>0</v>
      </c>
      <c r="DA3923">
        <v>0.14000000000000001</v>
      </c>
      <c r="DB3923">
        <v>4.32</v>
      </c>
      <c r="DC3923">
        <v>1.01</v>
      </c>
      <c r="DD3923">
        <v>92.9</v>
      </c>
      <c r="DE3923" t="s">
        <v>2665</v>
      </c>
      <c r="DF3923">
        <v>18.78</v>
      </c>
      <c r="DG3923">
        <v>12.37</v>
      </c>
      <c r="DH3923">
        <v>12.39</v>
      </c>
      <c r="DI3923">
        <v>0.01</v>
      </c>
      <c r="DJ3923">
        <v>865</v>
      </c>
      <c r="DK3923">
        <v>605198</v>
      </c>
      <c r="DL3923" t="s">
        <v>120</v>
      </c>
      <c r="DM3923" t="s">
        <v>120</v>
      </c>
      <c r="DN3923" t="s">
        <v>120</v>
      </c>
    </row>
    <row r="3924" spans="1:118">
      <c r="A3924" t="str">
        <f>"605199"</f>
        <v>605199</v>
      </c>
      <c r="B3924" t="s">
        <v>16001</v>
      </c>
      <c r="C3924">
        <v>-0.9</v>
      </c>
      <c r="D3924">
        <v>-0.04</v>
      </c>
      <c r="E3924">
        <v>-0.33</v>
      </c>
      <c r="F3924">
        <v>500</v>
      </c>
      <c r="G3924" t="s">
        <v>422</v>
      </c>
      <c r="H3924">
        <v>3362.26</v>
      </c>
      <c r="I3924">
        <v>2.74</v>
      </c>
      <c r="J3924" t="s">
        <v>120</v>
      </c>
      <c r="K3924" t="s">
        <v>422</v>
      </c>
      <c r="L3924">
        <v>1.92</v>
      </c>
      <c r="M3924">
        <v>20.92</v>
      </c>
      <c r="N3924">
        <v>0.64</v>
      </c>
      <c r="O3924">
        <v>1.37</v>
      </c>
      <c r="P3924">
        <v>21.4</v>
      </c>
      <c r="Q3924">
        <v>-0.9</v>
      </c>
      <c r="R3924">
        <v>20.92</v>
      </c>
      <c r="S3924">
        <v>21.04</v>
      </c>
      <c r="T3924">
        <v>15906</v>
      </c>
      <c r="U3924">
        <v>20.92</v>
      </c>
      <c r="V3924">
        <v>21.11</v>
      </c>
      <c r="W3924">
        <v>80.62</v>
      </c>
      <c r="X3924" t="s">
        <v>771</v>
      </c>
      <c r="Y3924" t="s">
        <v>835</v>
      </c>
      <c r="Z3924">
        <v>2.27</v>
      </c>
      <c r="AA3924">
        <v>21.14</v>
      </c>
      <c r="AB3924">
        <v>8608</v>
      </c>
      <c r="AC3924">
        <v>7298</v>
      </c>
      <c r="AD3924">
        <v>1.18</v>
      </c>
      <c r="AE3924">
        <v>145</v>
      </c>
      <c r="AF3924">
        <v>74</v>
      </c>
      <c r="AG3924" t="s">
        <v>120</v>
      </c>
      <c r="AH3924">
        <v>0</v>
      </c>
      <c r="AI3924" t="s">
        <v>120</v>
      </c>
      <c r="AJ3924">
        <v>0.83</v>
      </c>
      <c r="AK3924" t="s">
        <v>16002</v>
      </c>
      <c r="AL3924">
        <v>0.44</v>
      </c>
      <c r="AM3924">
        <v>1558</v>
      </c>
      <c r="AN3924">
        <v>10</v>
      </c>
      <c r="AO3924">
        <v>1.1999999999999999E-3</v>
      </c>
      <c r="AP3924">
        <v>-3</v>
      </c>
      <c r="AQ3924">
        <v>-1.1200000000000001</v>
      </c>
      <c r="AR3924">
        <v>-5.33</v>
      </c>
      <c r="AS3924">
        <v>-3.28</v>
      </c>
      <c r="AT3924">
        <v>-21.21</v>
      </c>
      <c r="AU3924">
        <v>-12.72</v>
      </c>
      <c r="AV3924">
        <v>13</v>
      </c>
      <c r="AW3924">
        <v>1.92</v>
      </c>
      <c r="AX3924">
        <v>20.68</v>
      </c>
      <c r="AY3924">
        <v>64.52</v>
      </c>
      <c r="AZ3924">
        <v>69.52</v>
      </c>
      <c r="BA3924">
        <v>0.89</v>
      </c>
      <c r="BB3924" t="s">
        <v>143</v>
      </c>
      <c r="BF3924">
        <v>0.13</v>
      </c>
      <c r="BG3924">
        <v>-0.56999999999999995</v>
      </c>
      <c r="BH3924">
        <v>-2.2400000000000002</v>
      </c>
      <c r="BI3924">
        <v>0</v>
      </c>
      <c r="BJ3924">
        <v>20210827</v>
      </c>
      <c r="BK3924">
        <v>20200710</v>
      </c>
      <c r="BL3924">
        <v>4</v>
      </c>
      <c r="BM3924" t="s">
        <v>120</v>
      </c>
      <c r="BN3924" t="s">
        <v>120</v>
      </c>
      <c r="BO3924">
        <v>14.02</v>
      </c>
      <c r="BP3924">
        <v>20.91</v>
      </c>
      <c r="BQ3924">
        <v>9.08</v>
      </c>
      <c r="BR3924">
        <v>0.04</v>
      </c>
      <c r="BS3924">
        <v>34.97</v>
      </c>
      <c r="BT3924">
        <v>7.9</v>
      </c>
      <c r="BU3924">
        <v>3.79</v>
      </c>
      <c r="BV3924">
        <v>1.19</v>
      </c>
      <c r="BW3924">
        <v>3.56</v>
      </c>
      <c r="BX3924">
        <v>2.69</v>
      </c>
      <c r="BY3924">
        <v>1.9</v>
      </c>
      <c r="BZ3924">
        <v>2.61</v>
      </c>
      <c r="CA3924" t="s">
        <v>120</v>
      </c>
      <c r="CB3924">
        <v>2.91</v>
      </c>
      <c r="CC3924">
        <v>6.31</v>
      </c>
      <c r="CD3924">
        <v>2.74</v>
      </c>
      <c r="CE3924">
        <v>0.56999999999999995</v>
      </c>
      <c r="CF3924">
        <v>-0.02</v>
      </c>
      <c r="CG3924">
        <v>0.56000000000000005</v>
      </c>
      <c r="CH3924">
        <v>0.51</v>
      </c>
      <c r="CI3924">
        <v>0.52</v>
      </c>
      <c r="CJ3924">
        <v>-0.19</v>
      </c>
      <c r="CK3924">
        <v>0.32</v>
      </c>
      <c r="CL3924">
        <v>1.74</v>
      </c>
      <c r="CM3924">
        <v>0.23</v>
      </c>
      <c r="CN3924">
        <v>-0.76</v>
      </c>
      <c r="CO3924">
        <v>33783</v>
      </c>
      <c r="CP3924">
        <v>2449</v>
      </c>
      <c r="CQ3924" t="s">
        <v>3339</v>
      </c>
      <c r="CR3924">
        <v>22.11</v>
      </c>
      <c r="CS3924">
        <v>9.67</v>
      </c>
      <c r="CT3924">
        <v>9.2100000000000009</v>
      </c>
      <c r="CU3924">
        <v>370.82</v>
      </c>
      <c r="CV3924">
        <v>13.26</v>
      </c>
      <c r="CW3924">
        <v>0.71</v>
      </c>
      <c r="CX3924" t="s">
        <v>986</v>
      </c>
      <c r="CY3924">
        <v>2.27</v>
      </c>
      <c r="CZ3924">
        <v>0</v>
      </c>
      <c r="DA3924">
        <v>0.73</v>
      </c>
      <c r="DB3924">
        <v>0.43</v>
      </c>
      <c r="DC3924">
        <v>0.06</v>
      </c>
      <c r="DD3924">
        <v>64.77</v>
      </c>
      <c r="DE3924" t="s">
        <v>3074</v>
      </c>
      <c r="DF3924">
        <v>56.65</v>
      </c>
      <c r="DG3924">
        <v>9.02</v>
      </c>
      <c r="DH3924">
        <v>8.2200000000000006</v>
      </c>
      <c r="DI3924">
        <v>0.41</v>
      </c>
      <c r="DJ3924">
        <v>2008</v>
      </c>
      <c r="DK3924">
        <v>605199</v>
      </c>
      <c r="DL3924" t="s">
        <v>120</v>
      </c>
      <c r="DM3924" t="s">
        <v>120</v>
      </c>
      <c r="DN3924" t="s">
        <v>120</v>
      </c>
    </row>
    <row r="3925" spans="1:118">
      <c r="A3925" t="str">
        <f>"605208"</f>
        <v>605208</v>
      </c>
      <c r="B3925" t="s">
        <v>16003</v>
      </c>
      <c r="C3925">
        <v>-3.08</v>
      </c>
      <c r="D3925">
        <v>0.17</v>
      </c>
      <c r="E3925">
        <v>-0.79</v>
      </c>
      <c r="F3925">
        <v>576</v>
      </c>
      <c r="G3925" t="s">
        <v>15367</v>
      </c>
      <c r="H3925">
        <v>7782.79</v>
      </c>
      <c r="I3925">
        <v>71.16</v>
      </c>
      <c r="J3925" t="s">
        <v>120</v>
      </c>
      <c r="K3925" t="s">
        <v>15367</v>
      </c>
      <c r="L3925">
        <v>7.01</v>
      </c>
      <c r="M3925">
        <v>23.25</v>
      </c>
      <c r="N3925">
        <v>0.74</v>
      </c>
      <c r="O3925">
        <v>0.79</v>
      </c>
      <c r="P3925">
        <v>24.18</v>
      </c>
      <c r="Q3925">
        <v>-3.25</v>
      </c>
      <c r="R3925">
        <v>23.21</v>
      </c>
      <c r="S3925">
        <v>23.8</v>
      </c>
      <c r="T3925">
        <v>32956</v>
      </c>
      <c r="U3925">
        <v>23.25</v>
      </c>
      <c r="V3925">
        <v>23.99</v>
      </c>
      <c r="W3925">
        <v>17.940000000000001</v>
      </c>
      <c r="X3925" t="s">
        <v>289</v>
      </c>
      <c r="Y3925" t="s">
        <v>1510</v>
      </c>
      <c r="Z3925">
        <v>4.04</v>
      </c>
      <c r="AA3925">
        <v>23.62</v>
      </c>
      <c r="AB3925">
        <v>21241</v>
      </c>
      <c r="AC3925">
        <v>11715</v>
      </c>
      <c r="AD3925">
        <v>1.81</v>
      </c>
      <c r="AE3925">
        <v>153</v>
      </c>
      <c r="AF3925">
        <v>46</v>
      </c>
      <c r="AG3925" t="s">
        <v>120</v>
      </c>
      <c r="AH3925">
        <v>0.06</v>
      </c>
      <c r="AI3925" t="s">
        <v>120</v>
      </c>
      <c r="AJ3925">
        <v>0.47</v>
      </c>
      <c r="AK3925" t="s">
        <v>4576</v>
      </c>
      <c r="AL3925">
        <v>-1.74</v>
      </c>
      <c r="AM3925">
        <v>2059</v>
      </c>
      <c r="AN3925">
        <v>16</v>
      </c>
      <c r="AO3925">
        <v>3.3999999999999998E-3</v>
      </c>
      <c r="AP3925">
        <v>-1</v>
      </c>
      <c r="AQ3925">
        <v>0.5</v>
      </c>
      <c r="AR3925">
        <v>-6.67</v>
      </c>
      <c r="AS3925">
        <v>-13.25</v>
      </c>
      <c r="AT3925">
        <v>6.11</v>
      </c>
      <c r="AU3925">
        <v>75.47</v>
      </c>
      <c r="AV3925">
        <v>13</v>
      </c>
      <c r="AW3925">
        <v>7.01</v>
      </c>
      <c r="AX3925">
        <v>25</v>
      </c>
      <c r="AY3925">
        <v>19.95</v>
      </c>
      <c r="AZ3925">
        <v>26.04</v>
      </c>
      <c r="BA3925">
        <v>0.79</v>
      </c>
      <c r="BB3925" t="s">
        <v>143</v>
      </c>
      <c r="BF3925">
        <v>-1.56</v>
      </c>
      <c r="BG3925">
        <v>-2.31</v>
      </c>
      <c r="BH3925">
        <v>-3.85</v>
      </c>
      <c r="BI3925">
        <v>0.17</v>
      </c>
      <c r="BJ3925">
        <v>20210826</v>
      </c>
      <c r="BK3925">
        <v>20210308</v>
      </c>
      <c r="BL3925">
        <v>1.88</v>
      </c>
      <c r="BM3925" t="s">
        <v>120</v>
      </c>
      <c r="BN3925" t="s">
        <v>120</v>
      </c>
      <c r="BO3925">
        <v>26.22</v>
      </c>
      <c r="BP3925">
        <v>23.22</v>
      </c>
      <c r="BQ3925">
        <v>19.02</v>
      </c>
      <c r="BR3925" t="s">
        <v>120</v>
      </c>
      <c r="BS3925">
        <v>27.46</v>
      </c>
      <c r="BT3925">
        <v>13.53</v>
      </c>
      <c r="BU3925">
        <v>8.7100000000000009</v>
      </c>
      <c r="BV3925">
        <v>0.52</v>
      </c>
      <c r="BW3925">
        <v>6.57</v>
      </c>
      <c r="BX3925">
        <v>2.57</v>
      </c>
      <c r="BY3925">
        <v>3.52</v>
      </c>
      <c r="BZ3925">
        <v>3.9</v>
      </c>
      <c r="CA3925" t="s">
        <v>120</v>
      </c>
      <c r="CB3925">
        <v>9.68</v>
      </c>
      <c r="CC3925">
        <v>14.44</v>
      </c>
      <c r="CD3925">
        <v>12.15</v>
      </c>
      <c r="CE3925">
        <v>1.59</v>
      </c>
      <c r="CF3925">
        <v>0.25</v>
      </c>
      <c r="CG3925">
        <v>1.58</v>
      </c>
      <c r="CH3925">
        <v>1.22</v>
      </c>
      <c r="CI3925">
        <v>1.22</v>
      </c>
      <c r="CJ3925">
        <v>-0.74</v>
      </c>
      <c r="CK3925">
        <v>0.8</v>
      </c>
      <c r="CL3925">
        <v>7.11</v>
      </c>
      <c r="CM3925">
        <v>-0.49</v>
      </c>
      <c r="CN3925">
        <v>1.86</v>
      </c>
      <c r="CO3925">
        <v>23619</v>
      </c>
      <c r="CP3925">
        <v>1990</v>
      </c>
      <c r="CQ3925" t="s">
        <v>1096</v>
      </c>
      <c r="CR3925">
        <v>76.48</v>
      </c>
      <c r="CS3925">
        <v>32.119999999999997</v>
      </c>
      <c r="CT3925">
        <v>2.2999999999999998</v>
      </c>
      <c r="CU3925">
        <v>-88.57</v>
      </c>
      <c r="CV3925">
        <v>3.03</v>
      </c>
      <c r="CW3925">
        <v>0.63</v>
      </c>
      <c r="CX3925" t="s">
        <v>10740</v>
      </c>
      <c r="CY3925">
        <v>10.119999999999999</v>
      </c>
      <c r="CZ3925">
        <v>0</v>
      </c>
      <c r="DA3925">
        <v>5.15</v>
      </c>
      <c r="DB3925">
        <v>3.78</v>
      </c>
      <c r="DC3925">
        <v>-0.26</v>
      </c>
      <c r="DD3925">
        <v>72.540000000000006</v>
      </c>
      <c r="DE3925" t="s">
        <v>8910</v>
      </c>
      <c r="DF3925">
        <v>15.83</v>
      </c>
      <c r="DG3925">
        <v>11.02</v>
      </c>
      <c r="DH3925">
        <v>8.44</v>
      </c>
      <c r="DI3925">
        <v>0.22</v>
      </c>
      <c r="DJ3925">
        <v>1434</v>
      </c>
      <c r="DK3925">
        <v>605208</v>
      </c>
      <c r="DL3925" t="s">
        <v>120</v>
      </c>
      <c r="DM3925" t="s">
        <v>120</v>
      </c>
      <c r="DN3925" t="s">
        <v>120</v>
      </c>
    </row>
    <row r="3926" spans="1:118">
      <c r="A3926" t="str">
        <f>"605218"</f>
        <v>605218</v>
      </c>
      <c r="B3926" t="s">
        <v>16004</v>
      </c>
      <c r="C3926">
        <v>-0.93</v>
      </c>
      <c r="D3926">
        <v>0</v>
      </c>
      <c r="E3926">
        <v>0</v>
      </c>
      <c r="F3926">
        <v>192</v>
      </c>
      <c r="G3926" t="s">
        <v>16005</v>
      </c>
      <c r="H3926">
        <v>2599.88</v>
      </c>
      <c r="I3926">
        <v>13.5</v>
      </c>
      <c r="J3926" t="s">
        <v>120</v>
      </c>
      <c r="K3926" t="s">
        <v>16005</v>
      </c>
      <c r="L3926">
        <v>3.52</v>
      </c>
      <c r="M3926">
        <v>13.79</v>
      </c>
      <c r="N3926">
        <v>0.96</v>
      </c>
      <c r="O3926">
        <v>0.93</v>
      </c>
      <c r="P3926">
        <v>14.05</v>
      </c>
      <c r="Q3926">
        <v>-1.51</v>
      </c>
      <c r="R3926">
        <v>13.71</v>
      </c>
      <c r="S3926">
        <v>13.92</v>
      </c>
      <c r="T3926">
        <v>18724</v>
      </c>
      <c r="U3926">
        <v>13.8</v>
      </c>
      <c r="V3926">
        <v>13.92</v>
      </c>
      <c r="W3926">
        <v>37.47</v>
      </c>
      <c r="X3926" t="s">
        <v>229</v>
      </c>
      <c r="Y3926" t="s">
        <v>319</v>
      </c>
      <c r="Z3926">
        <v>2.44</v>
      </c>
      <c r="AA3926">
        <v>13.88</v>
      </c>
      <c r="AB3926">
        <v>12348</v>
      </c>
      <c r="AC3926">
        <v>6376</v>
      </c>
      <c r="AD3926">
        <v>1.94</v>
      </c>
      <c r="AE3926">
        <v>42</v>
      </c>
      <c r="AF3926">
        <v>61</v>
      </c>
      <c r="AG3926" t="s">
        <v>120</v>
      </c>
      <c r="AH3926">
        <v>0.02</v>
      </c>
      <c r="AI3926" t="s">
        <v>120</v>
      </c>
      <c r="AJ3926">
        <v>0.53</v>
      </c>
      <c r="AK3926" t="s">
        <v>5610</v>
      </c>
      <c r="AL3926">
        <v>0.41</v>
      </c>
      <c r="AM3926">
        <v>1289</v>
      </c>
      <c r="AN3926">
        <v>15</v>
      </c>
      <c r="AO3926">
        <v>2.7000000000000001E-3</v>
      </c>
      <c r="AP3926">
        <v>-4</v>
      </c>
      <c r="AQ3926">
        <v>-0.56999999999999995</v>
      </c>
      <c r="AR3926">
        <v>-3.7</v>
      </c>
      <c r="AS3926">
        <v>-7.57</v>
      </c>
      <c r="AT3926">
        <v>-2.89</v>
      </c>
      <c r="AU3926">
        <v>-2.82</v>
      </c>
      <c r="AV3926">
        <v>4</v>
      </c>
      <c r="AW3926">
        <v>3.52</v>
      </c>
      <c r="AX3926">
        <v>25</v>
      </c>
      <c r="AY3926">
        <v>35.69</v>
      </c>
      <c r="AZ3926">
        <v>36.270000000000003</v>
      </c>
      <c r="BA3926">
        <v>0.59</v>
      </c>
      <c r="BB3926" t="s">
        <v>134</v>
      </c>
      <c r="BF3926">
        <v>-0.25</v>
      </c>
      <c r="BG3926">
        <v>-0.93</v>
      </c>
      <c r="BH3926">
        <v>-1.85</v>
      </c>
      <c r="BI3926">
        <v>0.57999999999999996</v>
      </c>
      <c r="BJ3926">
        <v>20210818</v>
      </c>
      <c r="BK3926">
        <v>20200928</v>
      </c>
      <c r="BL3926">
        <v>2.13</v>
      </c>
      <c r="BM3926" t="s">
        <v>120</v>
      </c>
      <c r="BN3926" t="s">
        <v>120</v>
      </c>
      <c r="BO3926">
        <v>14.05</v>
      </c>
      <c r="BP3926">
        <v>13.79</v>
      </c>
      <c r="BQ3926">
        <v>11.28</v>
      </c>
      <c r="BR3926" t="s">
        <v>120</v>
      </c>
      <c r="BS3926">
        <v>19.690000000000001</v>
      </c>
      <c r="BT3926">
        <v>9.5</v>
      </c>
      <c r="BU3926">
        <v>2.23</v>
      </c>
      <c r="BV3926">
        <v>0.1</v>
      </c>
      <c r="BW3926">
        <v>2.56</v>
      </c>
      <c r="BX3926">
        <v>2.97</v>
      </c>
      <c r="BY3926">
        <v>1.41</v>
      </c>
      <c r="BZ3926">
        <v>2.27</v>
      </c>
      <c r="CA3926" t="s">
        <v>120</v>
      </c>
      <c r="CB3926">
        <v>6.39</v>
      </c>
      <c r="CC3926">
        <v>5.9</v>
      </c>
      <c r="CD3926">
        <v>4.75</v>
      </c>
      <c r="CE3926">
        <v>0.4</v>
      </c>
      <c r="CF3926">
        <v>0.15</v>
      </c>
      <c r="CG3926">
        <v>0.4</v>
      </c>
      <c r="CH3926">
        <v>0.39</v>
      </c>
      <c r="CI3926">
        <v>0.39</v>
      </c>
      <c r="CJ3926">
        <v>-0.13</v>
      </c>
      <c r="CK3926">
        <v>0.31</v>
      </c>
      <c r="CL3926">
        <v>2.48</v>
      </c>
      <c r="CM3926">
        <v>0.43</v>
      </c>
      <c r="CN3926">
        <v>0.06</v>
      </c>
      <c r="CO3926">
        <v>17524</v>
      </c>
      <c r="CP3926">
        <v>3036</v>
      </c>
      <c r="CQ3926" t="s">
        <v>1993</v>
      </c>
      <c r="CR3926">
        <v>3.46</v>
      </c>
      <c r="CS3926">
        <v>26.21</v>
      </c>
      <c r="CT3926">
        <v>2.6</v>
      </c>
      <c r="CU3926">
        <v>68.14</v>
      </c>
      <c r="CV3926">
        <v>4.97</v>
      </c>
      <c r="CW3926">
        <v>0.86</v>
      </c>
      <c r="CX3926" t="s">
        <v>7233</v>
      </c>
      <c r="CY3926">
        <v>5.3</v>
      </c>
      <c r="CZ3926">
        <v>0</v>
      </c>
      <c r="DA3926">
        <v>3</v>
      </c>
      <c r="DB3926">
        <v>1.17</v>
      </c>
      <c r="DC3926">
        <v>0.2</v>
      </c>
      <c r="DD3926">
        <v>80.31</v>
      </c>
      <c r="DE3926" t="s">
        <v>2135</v>
      </c>
      <c r="DF3926">
        <v>19.5</v>
      </c>
      <c r="DG3926">
        <v>6.76</v>
      </c>
      <c r="DH3926">
        <v>6.64</v>
      </c>
      <c r="DI3926">
        <v>0.35</v>
      </c>
      <c r="DJ3926">
        <v>2413</v>
      </c>
      <c r="DK3926">
        <v>605218</v>
      </c>
      <c r="DL3926" t="s">
        <v>120</v>
      </c>
      <c r="DM3926" t="s">
        <v>120</v>
      </c>
      <c r="DN3926" t="s">
        <v>120</v>
      </c>
    </row>
    <row r="3927" spans="1:118">
      <c r="A3927" t="str">
        <f>"605222"</f>
        <v>605222</v>
      </c>
      <c r="B3927" t="s">
        <v>16006</v>
      </c>
      <c r="C3927">
        <v>-3.25</v>
      </c>
      <c r="D3927">
        <v>0.14000000000000001</v>
      </c>
      <c r="E3927">
        <v>-0.04</v>
      </c>
      <c r="F3927">
        <v>238</v>
      </c>
      <c r="G3927" t="s">
        <v>10422</v>
      </c>
      <c r="H3927">
        <v>6338.69</v>
      </c>
      <c r="I3927">
        <v>9.33</v>
      </c>
      <c r="J3927" t="s">
        <v>120</v>
      </c>
      <c r="K3927" t="s">
        <v>3578</v>
      </c>
      <c r="L3927">
        <v>2.82</v>
      </c>
      <c r="M3927">
        <v>22.03</v>
      </c>
      <c r="N3927">
        <v>0.96</v>
      </c>
      <c r="O3927">
        <v>1.23</v>
      </c>
      <c r="P3927">
        <v>23.05</v>
      </c>
      <c r="Q3927">
        <v>-3.38</v>
      </c>
      <c r="R3927">
        <v>22</v>
      </c>
      <c r="S3927">
        <v>22.76</v>
      </c>
      <c r="T3927">
        <v>28169</v>
      </c>
      <c r="U3927">
        <v>22.04</v>
      </c>
      <c r="V3927">
        <v>22.77</v>
      </c>
      <c r="W3927">
        <v>13.01</v>
      </c>
      <c r="X3927" t="s">
        <v>394</v>
      </c>
      <c r="Y3927" t="s">
        <v>1510</v>
      </c>
      <c r="Z3927">
        <v>4.6100000000000003</v>
      </c>
      <c r="AA3927">
        <v>22.5</v>
      </c>
      <c r="AB3927">
        <v>18245</v>
      </c>
      <c r="AC3927">
        <v>9924</v>
      </c>
      <c r="AD3927">
        <v>1.84</v>
      </c>
      <c r="AE3927">
        <v>127</v>
      </c>
      <c r="AF3927">
        <v>106</v>
      </c>
      <c r="AG3927" t="s">
        <v>120</v>
      </c>
      <c r="AH3927">
        <v>0.01</v>
      </c>
      <c r="AI3927" t="s">
        <v>120</v>
      </c>
      <c r="AJ3927">
        <v>1</v>
      </c>
      <c r="AK3927" t="s">
        <v>16007</v>
      </c>
      <c r="AL3927">
        <v>-1.91</v>
      </c>
      <c r="AM3927">
        <v>2079</v>
      </c>
      <c r="AN3927">
        <v>14</v>
      </c>
      <c r="AO3927">
        <v>1.4E-3</v>
      </c>
      <c r="AP3927">
        <v>-1</v>
      </c>
      <c r="AQ3927">
        <v>2.02</v>
      </c>
      <c r="AR3927">
        <v>-4.67</v>
      </c>
      <c r="AS3927">
        <v>-2.13</v>
      </c>
      <c r="AT3927">
        <v>8.52</v>
      </c>
      <c r="AU3927">
        <v>3.12</v>
      </c>
      <c r="AV3927">
        <v>1</v>
      </c>
      <c r="AW3927">
        <v>3.84</v>
      </c>
      <c r="AX3927">
        <v>18.3</v>
      </c>
      <c r="AY3927">
        <v>15.21</v>
      </c>
      <c r="AZ3927">
        <v>22.23</v>
      </c>
      <c r="BA3927">
        <v>1.17</v>
      </c>
      <c r="BB3927" t="s">
        <v>143</v>
      </c>
      <c r="BF3927">
        <v>-1.18</v>
      </c>
      <c r="BG3927">
        <v>-3.21</v>
      </c>
      <c r="BH3927">
        <v>-4.43</v>
      </c>
      <c r="BI3927">
        <v>0.14000000000000001</v>
      </c>
      <c r="BJ3927">
        <v>20210824</v>
      </c>
      <c r="BK3927">
        <v>20200731</v>
      </c>
      <c r="BL3927">
        <v>4.01</v>
      </c>
      <c r="BM3927" t="s">
        <v>120</v>
      </c>
      <c r="BN3927" t="s">
        <v>120</v>
      </c>
      <c r="BO3927">
        <v>84.47</v>
      </c>
      <c r="BP3927">
        <v>22.03</v>
      </c>
      <c r="BQ3927">
        <v>32.369999999999997</v>
      </c>
      <c r="BR3927" t="s">
        <v>120</v>
      </c>
      <c r="BS3927">
        <v>61.67</v>
      </c>
      <c r="BT3927">
        <v>73.88</v>
      </c>
      <c r="BU3927">
        <v>6.15</v>
      </c>
      <c r="BV3927">
        <v>0.89</v>
      </c>
      <c r="BW3927">
        <v>42.16</v>
      </c>
      <c r="BX3927">
        <v>9.86</v>
      </c>
      <c r="BY3927">
        <v>29.26</v>
      </c>
      <c r="BZ3927">
        <v>23.73</v>
      </c>
      <c r="CA3927" t="s">
        <v>120</v>
      </c>
      <c r="CB3927">
        <v>10.82</v>
      </c>
      <c r="CC3927">
        <v>74.78</v>
      </c>
      <c r="CD3927">
        <v>67.25</v>
      </c>
      <c r="CE3927">
        <v>4.66</v>
      </c>
      <c r="CF3927">
        <v>0.01</v>
      </c>
      <c r="CG3927">
        <v>4.66</v>
      </c>
      <c r="CH3927">
        <v>3.39</v>
      </c>
      <c r="CI3927">
        <v>3.39</v>
      </c>
      <c r="CJ3927">
        <v>-0.74</v>
      </c>
      <c r="CK3927">
        <v>3.35</v>
      </c>
      <c r="CL3927">
        <v>15.03</v>
      </c>
      <c r="CM3927">
        <v>-9.3699999999999992</v>
      </c>
      <c r="CN3927">
        <v>2.11</v>
      </c>
      <c r="CO3927">
        <v>21784</v>
      </c>
      <c r="CP3927">
        <v>3365</v>
      </c>
      <c r="CQ3927" t="s">
        <v>965</v>
      </c>
      <c r="CR3927">
        <v>126.62</v>
      </c>
      <c r="CS3927">
        <v>111.26</v>
      </c>
      <c r="CT3927">
        <v>2.84</v>
      </c>
      <c r="CU3927">
        <v>-9.41</v>
      </c>
      <c r="CV3927">
        <v>1.18</v>
      </c>
      <c r="CW3927">
        <v>0</v>
      </c>
      <c r="CX3927" t="s">
        <v>3253</v>
      </c>
      <c r="CY3927">
        <v>7.76</v>
      </c>
      <c r="CZ3927">
        <v>7.76</v>
      </c>
      <c r="DA3927">
        <v>2.7</v>
      </c>
      <c r="DB3927">
        <v>3.75</v>
      </c>
      <c r="DC3927">
        <v>-2.34</v>
      </c>
      <c r="DD3927">
        <v>38.33</v>
      </c>
      <c r="DE3927" t="s">
        <v>13967</v>
      </c>
      <c r="DF3927">
        <v>10.07</v>
      </c>
      <c r="DG3927">
        <v>6.24</v>
      </c>
      <c r="DH3927">
        <v>4.53</v>
      </c>
      <c r="DI3927">
        <v>0.24</v>
      </c>
      <c r="DJ3927">
        <v>3048</v>
      </c>
      <c r="DK3927">
        <v>605222</v>
      </c>
      <c r="DL3927" t="s">
        <v>120</v>
      </c>
      <c r="DM3927" t="s">
        <v>120</v>
      </c>
      <c r="DN3927" t="s">
        <v>120</v>
      </c>
    </row>
    <row r="3928" spans="1:118">
      <c r="A3928" t="str">
        <f>"605228"</f>
        <v>605228</v>
      </c>
      <c r="B3928" t="s">
        <v>16008</v>
      </c>
      <c r="C3928">
        <v>-1.52</v>
      </c>
      <c r="D3928">
        <v>-0.1</v>
      </c>
      <c r="E3928">
        <v>0</v>
      </c>
      <c r="F3928">
        <v>207</v>
      </c>
      <c r="G3928" t="s">
        <v>16009</v>
      </c>
      <c r="H3928">
        <v>2413.04</v>
      </c>
      <c r="I3928">
        <v>4.78</v>
      </c>
      <c r="J3928" t="s">
        <v>120</v>
      </c>
      <c r="K3928" t="s">
        <v>16009</v>
      </c>
      <c r="L3928">
        <v>3.29</v>
      </c>
      <c r="M3928">
        <v>9.0500000000000007</v>
      </c>
      <c r="N3928">
        <v>0.86</v>
      </c>
      <c r="O3928">
        <v>1.41</v>
      </c>
      <c r="P3928">
        <v>9.32</v>
      </c>
      <c r="Q3928">
        <v>-1.52</v>
      </c>
      <c r="R3928">
        <v>9.0500000000000007</v>
      </c>
      <c r="S3928">
        <v>9.19</v>
      </c>
      <c r="T3928">
        <v>26310</v>
      </c>
      <c r="U3928">
        <v>9.06</v>
      </c>
      <c r="V3928">
        <v>9.19</v>
      </c>
      <c r="W3928">
        <v>36.979999999999997</v>
      </c>
      <c r="X3928" t="s">
        <v>289</v>
      </c>
      <c r="Y3928" t="s">
        <v>585</v>
      </c>
      <c r="Z3928">
        <v>2.94</v>
      </c>
      <c r="AA3928">
        <v>9.17</v>
      </c>
      <c r="AB3928">
        <v>15848</v>
      </c>
      <c r="AC3928">
        <v>10462</v>
      </c>
      <c r="AD3928">
        <v>1.51</v>
      </c>
      <c r="AE3928">
        <v>712</v>
      </c>
      <c r="AF3928">
        <v>219</v>
      </c>
      <c r="AG3928" t="s">
        <v>120</v>
      </c>
      <c r="AH3928">
        <v>0.01</v>
      </c>
      <c r="AI3928" t="s">
        <v>120</v>
      </c>
      <c r="AJ3928">
        <v>0.8</v>
      </c>
      <c r="AK3928" t="s">
        <v>5095</v>
      </c>
      <c r="AL3928">
        <v>-0.18</v>
      </c>
      <c r="AM3928">
        <v>1345</v>
      </c>
      <c r="AN3928">
        <v>20</v>
      </c>
      <c r="AO3928">
        <v>2.3999999999999998E-3</v>
      </c>
      <c r="AP3928">
        <v>-1</v>
      </c>
      <c r="AQ3928">
        <v>0</v>
      </c>
      <c r="AR3928">
        <v>-4.03</v>
      </c>
      <c r="AS3928">
        <v>0.45</v>
      </c>
      <c r="AT3928">
        <v>-7.18</v>
      </c>
      <c r="AU3928">
        <v>55.9</v>
      </c>
      <c r="AV3928">
        <v>7</v>
      </c>
      <c r="AW3928">
        <v>3.29</v>
      </c>
      <c r="AX3928">
        <v>19.05</v>
      </c>
      <c r="AY3928">
        <v>31.26</v>
      </c>
      <c r="AZ3928">
        <v>32.75</v>
      </c>
      <c r="BA3928">
        <v>1.1100000000000001</v>
      </c>
      <c r="BB3928" t="s">
        <v>143</v>
      </c>
      <c r="BF3928">
        <v>-0.2</v>
      </c>
      <c r="BG3928">
        <v>-1.52</v>
      </c>
      <c r="BH3928">
        <v>-2.9</v>
      </c>
      <c r="BI3928">
        <v>0</v>
      </c>
      <c r="BJ3928">
        <v>20210910</v>
      </c>
      <c r="BK3928">
        <v>20210120</v>
      </c>
      <c r="BL3928">
        <v>4.2</v>
      </c>
      <c r="BM3928" t="s">
        <v>120</v>
      </c>
      <c r="BN3928" t="s">
        <v>120</v>
      </c>
      <c r="BO3928">
        <v>20.190000000000001</v>
      </c>
      <c r="BP3928">
        <v>9.0500000000000007</v>
      </c>
      <c r="BQ3928">
        <v>14.07</v>
      </c>
      <c r="BR3928">
        <v>0.01</v>
      </c>
      <c r="BS3928">
        <v>30.22</v>
      </c>
      <c r="BT3928">
        <v>11.76</v>
      </c>
      <c r="BU3928">
        <v>5.13</v>
      </c>
      <c r="BV3928">
        <v>1.64</v>
      </c>
      <c r="BW3928">
        <v>5.68</v>
      </c>
      <c r="BX3928">
        <v>2.8</v>
      </c>
      <c r="BY3928">
        <v>2.81</v>
      </c>
      <c r="BZ3928">
        <v>2.61</v>
      </c>
      <c r="CA3928" t="s">
        <v>120</v>
      </c>
      <c r="CB3928">
        <v>6.23</v>
      </c>
      <c r="CC3928">
        <v>6.62</v>
      </c>
      <c r="CD3928">
        <v>5.09</v>
      </c>
      <c r="CE3928">
        <v>0.56999999999999995</v>
      </c>
      <c r="CF3928">
        <v>0</v>
      </c>
      <c r="CG3928">
        <v>0.56999999999999995</v>
      </c>
      <c r="CH3928">
        <v>0.51</v>
      </c>
      <c r="CI3928">
        <v>0.51</v>
      </c>
      <c r="CJ3928">
        <v>-0.14000000000000001</v>
      </c>
      <c r="CK3928">
        <v>0.46</v>
      </c>
      <c r="CL3928">
        <v>3.42</v>
      </c>
      <c r="CM3928">
        <v>0.94</v>
      </c>
      <c r="CN3928">
        <v>0.65</v>
      </c>
      <c r="CO3928">
        <v>28991</v>
      </c>
      <c r="CP3928">
        <v>2759</v>
      </c>
      <c r="CQ3928" t="s">
        <v>16010</v>
      </c>
      <c r="CR3928">
        <v>12.22</v>
      </c>
      <c r="CS3928">
        <v>14.35</v>
      </c>
      <c r="CT3928">
        <v>2.7</v>
      </c>
      <c r="CU3928">
        <v>40.369999999999997</v>
      </c>
      <c r="CV3928">
        <v>5.74</v>
      </c>
      <c r="CW3928">
        <v>0.92</v>
      </c>
      <c r="CX3928" t="s">
        <v>986</v>
      </c>
      <c r="CY3928">
        <v>3.35</v>
      </c>
      <c r="CZ3928">
        <v>0</v>
      </c>
      <c r="DA3928">
        <v>1.48</v>
      </c>
      <c r="DB3928">
        <v>0.81</v>
      </c>
      <c r="DC3928">
        <v>0.22</v>
      </c>
      <c r="DD3928">
        <v>69.72</v>
      </c>
      <c r="DE3928" t="s">
        <v>11758</v>
      </c>
      <c r="DF3928">
        <v>23.02</v>
      </c>
      <c r="DG3928">
        <v>8.69</v>
      </c>
      <c r="DH3928">
        <v>7.77</v>
      </c>
      <c r="DI3928">
        <v>0.3</v>
      </c>
      <c r="DJ3928">
        <v>1795</v>
      </c>
      <c r="DK3928">
        <v>605228</v>
      </c>
      <c r="DL3928" t="s">
        <v>120</v>
      </c>
      <c r="DM3928" t="s">
        <v>120</v>
      </c>
      <c r="DN3928" t="s">
        <v>120</v>
      </c>
    </row>
    <row r="3929" spans="1:118">
      <c r="A3929" t="str">
        <f>"605255"</f>
        <v>605255</v>
      </c>
      <c r="B3929" t="s">
        <v>16011</v>
      </c>
      <c r="C3929">
        <v>-3.05</v>
      </c>
      <c r="D3929">
        <v>0.06</v>
      </c>
      <c r="E3929">
        <v>0.18</v>
      </c>
      <c r="F3929">
        <v>434</v>
      </c>
      <c r="G3929" t="s">
        <v>16012</v>
      </c>
      <c r="H3929">
        <v>2856.09</v>
      </c>
      <c r="I3929">
        <v>4.4400000000000004</v>
      </c>
      <c r="J3929" t="s">
        <v>120</v>
      </c>
      <c r="K3929" t="s">
        <v>16012</v>
      </c>
      <c r="L3929">
        <v>5.08</v>
      </c>
      <c r="M3929">
        <v>16.510000000000002</v>
      </c>
      <c r="N3929">
        <v>0.82</v>
      </c>
      <c r="O3929">
        <v>0.41</v>
      </c>
      <c r="P3929">
        <v>17.100000000000001</v>
      </c>
      <c r="Q3929">
        <v>-3.11</v>
      </c>
      <c r="R3929">
        <v>16.5</v>
      </c>
      <c r="S3929">
        <v>17.059999999999999</v>
      </c>
      <c r="T3929">
        <v>17028</v>
      </c>
      <c r="U3929">
        <v>16.52</v>
      </c>
      <c r="V3929">
        <v>17.03</v>
      </c>
      <c r="W3929">
        <v>38.119999999999997</v>
      </c>
      <c r="X3929" t="s">
        <v>289</v>
      </c>
      <c r="Y3929" t="s">
        <v>585</v>
      </c>
      <c r="Z3929">
        <v>3.52</v>
      </c>
      <c r="AA3929">
        <v>16.77</v>
      </c>
      <c r="AB3929">
        <v>10973</v>
      </c>
      <c r="AC3929">
        <v>6055</v>
      </c>
      <c r="AD3929">
        <v>1.81</v>
      </c>
      <c r="AE3929">
        <v>113</v>
      </c>
      <c r="AF3929">
        <v>52</v>
      </c>
      <c r="AG3929" t="s">
        <v>120</v>
      </c>
      <c r="AH3929">
        <v>0.01</v>
      </c>
      <c r="AI3929" t="s">
        <v>120</v>
      </c>
      <c r="AJ3929">
        <v>0.34</v>
      </c>
      <c r="AK3929" t="s">
        <v>4209</v>
      </c>
      <c r="AL3929">
        <v>-1.71</v>
      </c>
      <c r="AM3929">
        <v>1155</v>
      </c>
      <c r="AN3929">
        <v>15</v>
      </c>
      <c r="AO3929">
        <v>4.4000000000000003E-3</v>
      </c>
      <c r="AP3929">
        <v>-1</v>
      </c>
      <c r="AQ3929">
        <v>1.61</v>
      </c>
      <c r="AR3929">
        <v>-2.88</v>
      </c>
      <c r="AS3929">
        <v>4.0999999999999996</v>
      </c>
      <c r="AT3929">
        <v>10.210000000000001</v>
      </c>
      <c r="AU3929">
        <v>7.52</v>
      </c>
      <c r="AV3929">
        <v>6</v>
      </c>
      <c r="AW3929">
        <v>5.08</v>
      </c>
      <c r="AX3929">
        <v>25</v>
      </c>
      <c r="AY3929">
        <v>32.619999999999997</v>
      </c>
      <c r="AZ3929">
        <v>36.44</v>
      </c>
      <c r="BA3929">
        <v>0.77</v>
      </c>
      <c r="BB3929" t="s">
        <v>751</v>
      </c>
      <c r="BF3929">
        <v>-1.51</v>
      </c>
      <c r="BG3929">
        <v>-3.22</v>
      </c>
      <c r="BH3929">
        <v>-3.45</v>
      </c>
      <c r="BI3929">
        <v>0.06</v>
      </c>
      <c r="BJ3929">
        <v>20210824</v>
      </c>
      <c r="BK3929">
        <v>20200825</v>
      </c>
      <c r="BL3929">
        <v>1.34</v>
      </c>
      <c r="BM3929" t="s">
        <v>120</v>
      </c>
      <c r="BN3929" t="s">
        <v>120</v>
      </c>
      <c r="BO3929">
        <v>9.2899999999999991</v>
      </c>
      <c r="BP3929">
        <v>16.510000000000002</v>
      </c>
      <c r="BQ3929">
        <v>8.66</v>
      </c>
      <c r="BR3929" t="s">
        <v>120</v>
      </c>
      <c r="BS3929">
        <v>6.77</v>
      </c>
      <c r="BT3929">
        <v>4.3099999999999996</v>
      </c>
      <c r="BU3929">
        <v>1.8</v>
      </c>
      <c r="BV3929">
        <v>1</v>
      </c>
      <c r="BW3929">
        <v>0.6</v>
      </c>
      <c r="BX3929">
        <v>1.48</v>
      </c>
      <c r="BY3929">
        <v>0.52</v>
      </c>
      <c r="BZ3929">
        <v>0.77</v>
      </c>
      <c r="CA3929" t="s">
        <v>120</v>
      </c>
      <c r="CB3929">
        <v>5.69</v>
      </c>
      <c r="CC3929">
        <v>1.55</v>
      </c>
      <c r="CD3929">
        <v>0.93</v>
      </c>
      <c r="CE3929">
        <v>0.33</v>
      </c>
      <c r="CF3929">
        <v>0.06</v>
      </c>
      <c r="CG3929">
        <v>0.33</v>
      </c>
      <c r="CH3929">
        <v>0.28999999999999998</v>
      </c>
      <c r="CI3929">
        <v>0.28999999999999998</v>
      </c>
      <c r="CJ3929">
        <v>-0.52</v>
      </c>
      <c r="CK3929">
        <v>0.26</v>
      </c>
      <c r="CL3929">
        <v>1.48</v>
      </c>
      <c r="CM3929">
        <v>0.3</v>
      </c>
      <c r="CN3929">
        <v>-0.49</v>
      </c>
      <c r="CO3929">
        <v>11115</v>
      </c>
      <c r="CP3929">
        <v>3016</v>
      </c>
      <c r="CQ3929" t="s">
        <v>6713</v>
      </c>
      <c r="CR3929">
        <v>33.770000000000003</v>
      </c>
      <c r="CS3929">
        <v>21.48</v>
      </c>
      <c r="CT3929">
        <v>2.5499999999999998</v>
      </c>
      <c r="CU3929">
        <v>73.319999999999993</v>
      </c>
      <c r="CV3929">
        <v>14.3</v>
      </c>
      <c r="CW3929">
        <v>4.37</v>
      </c>
      <c r="CX3929" t="s">
        <v>3361</v>
      </c>
      <c r="CY3929">
        <v>6.46</v>
      </c>
      <c r="CZ3929">
        <v>0</v>
      </c>
      <c r="DA3929">
        <v>4.24</v>
      </c>
      <c r="DB3929">
        <v>1.1100000000000001</v>
      </c>
      <c r="DC3929">
        <v>0.23</v>
      </c>
      <c r="DD3929">
        <v>93.23</v>
      </c>
      <c r="DE3929" t="s">
        <v>739</v>
      </c>
      <c r="DF3929">
        <v>39.92</v>
      </c>
      <c r="DG3929">
        <v>21.28</v>
      </c>
      <c r="DH3929">
        <v>18.75</v>
      </c>
      <c r="DI3929">
        <v>0.13</v>
      </c>
      <c r="DJ3929">
        <v>816</v>
      </c>
      <c r="DK3929">
        <v>605255</v>
      </c>
      <c r="DL3929" t="s">
        <v>120</v>
      </c>
      <c r="DM3929" t="s">
        <v>120</v>
      </c>
      <c r="DN3929" t="s">
        <v>120</v>
      </c>
    </row>
    <row r="3930" spans="1:118">
      <c r="A3930" t="str">
        <f>"605258"</f>
        <v>605258</v>
      </c>
      <c r="B3930" t="s">
        <v>16013</v>
      </c>
      <c r="C3930">
        <v>-1.1499999999999999</v>
      </c>
      <c r="D3930">
        <v>-0.02</v>
      </c>
      <c r="E3930">
        <v>0.75</v>
      </c>
      <c r="F3930">
        <v>60</v>
      </c>
      <c r="G3930" t="s">
        <v>16014</v>
      </c>
      <c r="H3930">
        <v>1589.86</v>
      </c>
      <c r="I3930">
        <v>6.46</v>
      </c>
      <c r="J3930" t="s">
        <v>120</v>
      </c>
      <c r="K3930" t="s">
        <v>16014</v>
      </c>
      <c r="L3930">
        <v>2.37</v>
      </c>
      <c r="M3930">
        <v>30.2</v>
      </c>
      <c r="N3930">
        <v>0.87</v>
      </c>
      <c r="O3930">
        <v>0.75</v>
      </c>
      <c r="P3930">
        <v>30.78</v>
      </c>
      <c r="Q3930">
        <v>-1.28</v>
      </c>
      <c r="R3930">
        <v>30.16</v>
      </c>
      <c r="S3930">
        <v>30.78</v>
      </c>
      <c r="T3930">
        <v>5223</v>
      </c>
      <c r="U3930">
        <v>30.21</v>
      </c>
      <c r="V3930">
        <v>30.55</v>
      </c>
      <c r="W3930">
        <v>29.08</v>
      </c>
      <c r="X3930" t="s">
        <v>229</v>
      </c>
      <c r="Y3930" t="s">
        <v>319</v>
      </c>
      <c r="Z3930">
        <v>2.0299999999999998</v>
      </c>
      <c r="AA3930">
        <v>30.44</v>
      </c>
      <c r="AB3930">
        <v>3532</v>
      </c>
      <c r="AC3930">
        <v>1691</v>
      </c>
      <c r="AD3930">
        <v>2.09</v>
      </c>
      <c r="AE3930">
        <v>92</v>
      </c>
      <c r="AF3930">
        <v>4</v>
      </c>
      <c r="AG3930" t="s">
        <v>120</v>
      </c>
      <c r="AH3930">
        <v>0.01</v>
      </c>
      <c r="AI3930" t="s">
        <v>120</v>
      </c>
      <c r="AJ3930">
        <v>0.22</v>
      </c>
      <c r="AK3930" t="s">
        <v>3646</v>
      </c>
      <c r="AL3930">
        <v>0.2</v>
      </c>
      <c r="AM3930">
        <v>707</v>
      </c>
      <c r="AN3930">
        <v>7</v>
      </c>
      <c r="AO3930">
        <v>3.3999999999999998E-3</v>
      </c>
      <c r="AP3930">
        <v>-4</v>
      </c>
      <c r="AQ3930">
        <v>-0.46</v>
      </c>
      <c r="AR3930">
        <v>-2.5299999999999998</v>
      </c>
      <c r="AS3930">
        <v>-3.05</v>
      </c>
      <c r="AT3930">
        <v>-9.1199999999999992</v>
      </c>
      <c r="AU3930">
        <v>-16.18</v>
      </c>
      <c r="AV3930">
        <v>5</v>
      </c>
      <c r="AW3930">
        <v>2.37</v>
      </c>
      <c r="AX3930">
        <v>25</v>
      </c>
      <c r="AY3930">
        <v>29.25</v>
      </c>
      <c r="AZ3930">
        <v>29.34</v>
      </c>
      <c r="BA3930">
        <v>0.04</v>
      </c>
      <c r="BB3930" t="s">
        <v>134</v>
      </c>
      <c r="BF3930">
        <v>-0.36</v>
      </c>
      <c r="BG3930">
        <v>-1.88</v>
      </c>
      <c r="BH3930">
        <v>-1.88</v>
      </c>
      <c r="BI3930">
        <v>0.13</v>
      </c>
      <c r="BJ3930">
        <v>20210906</v>
      </c>
      <c r="BK3930">
        <v>20201203</v>
      </c>
      <c r="BL3930">
        <v>0.88</v>
      </c>
      <c r="BM3930" t="s">
        <v>120</v>
      </c>
      <c r="BN3930" t="s">
        <v>120</v>
      </c>
      <c r="BO3930">
        <v>13.7</v>
      </c>
      <c r="BP3930">
        <v>30.2</v>
      </c>
      <c r="BQ3930">
        <v>10.92</v>
      </c>
      <c r="BR3930">
        <v>0.01</v>
      </c>
      <c r="BS3930">
        <v>20.27</v>
      </c>
      <c r="BT3930">
        <v>8.77</v>
      </c>
      <c r="BU3930">
        <v>3.03</v>
      </c>
      <c r="BV3930">
        <v>0.75</v>
      </c>
      <c r="BW3930">
        <v>2.4300000000000002</v>
      </c>
      <c r="BX3930">
        <v>0.96</v>
      </c>
      <c r="BY3930">
        <v>1.93</v>
      </c>
      <c r="BZ3930">
        <v>2.4900000000000002</v>
      </c>
      <c r="CA3930" t="s">
        <v>120</v>
      </c>
      <c r="CB3930">
        <v>5.72</v>
      </c>
      <c r="CC3930">
        <v>3.62</v>
      </c>
      <c r="CD3930">
        <v>2.62</v>
      </c>
      <c r="CE3930">
        <v>0.56000000000000005</v>
      </c>
      <c r="CF3930">
        <v>0.03</v>
      </c>
      <c r="CG3930">
        <v>0.55000000000000004</v>
      </c>
      <c r="CH3930">
        <v>0.47</v>
      </c>
      <c r="CI3930">
        <v>0.46</v>
      </c>
      <c r="CJ3930">
        <v>-0.35</v>
      </c>
      <c r="CK3930">
        <v>0.42</v>
      </c>
      <c r="CL3930">
        <v>3.92</v>
      </c>
      <c r="CM3930">
        <v>0.09</v>
      </c>
      <c r="CN3930">
        <v>-2.2000000000000002</v>
      </c>
      <c r="CO3930">
        <v>12869</v>
      </c>
      <c r="CP3930">
        <v>1710</v>
      </c>
      <c r="CQ3930" t="s">
        <v>1724</v>
      </c>
      <c r="CR3930">
        <v>0.56000000000000005</v>
      </c>
      <c r="CS3930">
        <v>32.61</v>
      </c>
      <c r="CT3930">
        <v>2.4300000000000002</v>
      </c>
      <c r="CU3930">
        <v>279.85000000000002</v>
      </c>
      <c r="CV3930">
        <v>7.33</v>
      </c>
      <c r="CW3930">
        <v>1.64</v>
      </c>
      <c r="CX3930" t="s">
        <v>16015</v>
      </c>
      <c r="CY3930">
        <v>12.4</v>
      </c>
      <c r="CZ3930">
        <v>0</v>
      </c>
      <c r="DA3930">
        <v>6.51</v>
      </c>
      <c r="DB3930">
        <v>4.45</v>
      </c>
      <c r="DC3930">
        <v>0.11</v>
      </c>
      <c r="DD3930">
        <v>79.67</v>
      </c>
      <c r="DE3930" t="s">
        <v>1055</v>
      </c>
      <c r="DF3930">
        <v>27.65</v>
      </c>
      <c r="DG3930">
        <v>15.39</v>
      </c>
      <c r="DH3930">
        <v>12.61</v>
      </c>
      <c r="DI3930">
        <v>0.17</v>
      </c>
      <c r="DJ3930">
        <v>1127</v>
      </c>
      <c r="DK3930">
        <v>605258</v>
      </c>
      <c r="DL3930" t="s">
        <v>120</v>
      </c>
      <c r="DM3930" t="s">
        <v>120</v>
      </c>
      <c r="DN3930" t="s">
        <v>120</v>
      </c>
    </row>
    <row r="3931" spans="1:118">
      <c r="A3931" t="str">
        <f>"605259"</f>
        <v>605259</v>
      </c>
      <c r="B3931" t="s">
        <v>16016</v>
      </c>
      <c r="C3931">
        <v>-0.97</v>
      </c>
      <c r="D3931">
        <v>0.03</v>
      </c>
      <c r="E3931">
        <v>0</v>
      </c>
      <c r="F3931">
        <v>214</v>
      </c>
      <c r="G3931" t="s">
        <v>14646</v>
      </c>
      <c r="H3931">
        <v>1676.31</v>
      </c>
      <c r="I3931">
        <v>4.79</v>
      </c>
      <c r="J3931" t="s">
        <v>120</v>
      </c>
      <c r="K3931" t="s">
        <v>14646</v>
      </c>
      <c r="L3931">
        <v>2.56</v>
      </c>
      <c r="M3931">
        <v>29.63</v>
      </c>
      <c r="N3931">
        <v>0.63</v>
      </c>
      <c r="O3931">
        <v>0.4</v>
      </c>
      <c r="P3931">
        <v>30.04</v>
      </c>
      <c r="Q3931">
        <v>-1</v>
      </c>
      <c r="R3931">
        <v>29.62</v>
      </c>
      <c r="S3931">
        <v>29.92</v>
      </c>
      <c r="T3931">
        <v>5623</v>
      </c>
      <c r="U3931">
        <v>29.64</v>
      </c>
      <c r="V3931">
        <v>29.92</v>
      </c>
      <c r="W3931">
        <v>18.05</v>
      </c>
      <c r="X3931" t="s">
        <v>2079</v>
      </c>
      <c r="Y3931" t="s">
        <v>585</v>
      </c>
      <c r="Z3931">
        <v>1.4</v>
      </c>
      <c r="AA3931">
        <v>29.81</v>
      </c>
      <c r="AB3931">
        <v>3546</v>
      </c>
      <c r="AC3931">
        <v>2077</v>
      </c>
      <c r="AD3931">
        <v>1.71</v>
      </c>
      <c r="AE3931">
        <v>6</v>
      </c>
      <c r="AF3931">
        <v>6</v>
      </c>
      <c r="AG3931" t="s">
        <v>120</v>
      </c>
      <c r="AH3931">
        <v>0.01</v>
      </c>
      <c r="AI3931" t="s">
        <v>120</v>
      </c>
      <c r="AJ3931">
        <v>0.22</v>
      </c>
      <c r="AK3931" t="s">
        <v>11464</v>
      </c>
      <c r="AL3931">
        <v>0.37</v>
      </c>
      <c r="AM3931">
        <v>757</v>
      </c>
      <c r="AN3931">
        <v>7</v>
      </c>
      <c r="AO3931">
        <v>3.3999999999999998E-3</v>
      </c>
      <c r="AP3931">
        <v>-6</v>
      </c>
      <c r="AQ3931">
        <v>-0.27</v>
      </c>
      <c r="AR3931">
        <v>-3.36</v>
      </c>
      <c r="AS3931">
        <v>-3.14</v>
      </c>
      <c r="AT3931">
        <v>-22.84</v>
      </c>
      <c r="AU3931">
        <v>9.34</v>
      </c>
      <c r="AV3931">
        <v>0</v>
      </c>
      <c r="AW3931">
        <v>2.56</v>
      </c>
      <c r="AX3931">
        <v>25</v>
      </c>
      <c r="AY3931">
        <v>20.41</v>
      </c>
      <c r="AZ3931">
        <v>22.7</v>
      </c>
      <c r="BA3931">
        <v>0.88</v>
      </c>
      <c r="BB3931" t="s">
        <v>143</v>
      </c>
      <c r="BF3931">
        <v>-0.36</v>
      </c>
      <c r="BG3931">
        <v>-0.97</v>
      </c>
      <c r="BH3931">
        <v>-1.36</v>
      </c>
      <c r="BI3931">
        <v>0.03</v>
      </c>
      <c r="BJ3931">
        <v>20210826</v>
      </c>
      <c r="BK3931">
        <v>20210615</v>
      </c>
      <c r="BL3931">
        <v>0.88</v>
      </c>
      <c r="BM3931" t="s">
        <v>120</v>
      </c>
      <c r="BN3931" t="s">
        <v>120</v>
      </c>
      <c r="BO3931">
        <v>18.48</v>
      </c>
      <c r="BP3931">
        <v>29.63</v>
      </c>
      <c r="BQ3931">
        <v>12.63</v>
      </c>
      <c r="BR3931" t="s">
        <v>120</v>
      </c>
      <c r="BS3931">
        <v>31.64</v>
      </c>
      <c r="BT3931">
        <v>13.69</v>
      </c>
      <c r="BU3931">
        <v>3.99</v>
      </c>
      <c r="BV3931">
        <v>0.47</v>
      </c>
      <c r="BW3931">
        <v>5.73</v>
      </c>
      <c r="BX3931">
        <v>7.33</v>
      </c>
      <c r="BY3931">
        <v>4.5599999999999996</v>
      </c>
      <c r="BZ3931">
        <v>1.52</v>
      </c>
      <c r="CA3931" t="s">
        <v>120</v>
      </c>
      <c r="CB3931">
        <v>6.08</v>
      </c>
      <c r="CC3931">
        <v>7.85</v>
      </c>
      <c r="CD3931">
        <v>6.37</v>
      </c>
      <c r="CE3931">
        <v>0.81</v>
      </c>
      <c r="CF3931">
        <v>0.02</v>
      </c>
      <c r="CG3931">
        <v>0.82</v>
      </c>
      <c r="CH3931">
        <v>0.72</v>
      </c>
      <c r="CI3931">
        <v>0.72</v>
      </c>
      <c r="CJ3931">
        <v>-0.28999999999999998</v>
      </c>
      <c r="CK3931">
        <v>0.66</v>
      </c>
      <c r="CL3931">
        <v>5.26</v>
      </c>
      <c r="CM3931">
        <v>-0.16</v>
      </c>
      <c r="CN3931">
        <v>5.15</v>
      </c>
      <c r="CO3931">
        <v>18706</v>
      </c>
      <c r="CP3931">
        <v>1176</v>
      </c>
      <c r="CQ3931" t="s">
        <v>978</v>
      </c>
      <c r="CR3931">
        <v>0</v>
      </c>
      <c r="CS3931">
        <v>0</v>
      </c>
      <c r="CT3931">
        <v>2.06</v>
      </c>
      <c r="CU3931">
        <v>-159.22999999999999</v>
      </c>
      <c r="CV3931">
        <v>3.32</v>
      </c>
      <c r="CW3931">
        <v>0</v>
      </c>
      <c r="CX3931" t="s">
        <v>1953</v>
      </c>
      <c r="CY3931">
        <v>14.35</v>
      </c>
      <c r="CZ3931">
        <v>0</v>
      </c>
      <c r="DA3931">
        <v>6.91</v>
      </c>
      <c r="DB3931">
        <v>5.98</v>
      </c>
      <c r="DC3931">
        <v>-0.19</v>
      </c>
      <c r="DD3931">
        <v>68.36</v>
      </c>
      <c r="DE3931" t="s">
        <v>3074</v>
      </c>
      <c r="DF3931">
        <v>18.760000000000002</v>
      </c>
      <c r="DG3931">
        <v>10.35</v>
      </c>
      <c r="DH3931">
        <v>9.2100000000000009</v>
      </c>
      <c r="DI3931">
        <v>0.27</v>
      </c>
      <c r="DJ3931">
        <v>1872</v>
      </c>
      <c r="DK3931">
        <v>605259</v>
      </c>
      <c r="DL3931" t="s">
        <v>120</v>
      </c>
      <c r="DM3931" t="s">
        <v>120</v>
      </c>
      <c r="DN3931" t="s">
        <v>120</v>
      </c>
    </row>
    <row r="3932" spans="1:118">
      <c r="A3932" t="str">
        <f>"605266"</f>
        <v>605266</v>
      </c>
      <c r="B3932" t="s">
        <v>16017</v>
      </c>
      <c r="C3932">
        <v>-0.26</v>
      </c>
      <c r="D3932">
        <v>-0.34</v>
      </c>
      <c r="E3932">
        <v>0</v>
      </c>
      <c r="F3932">
        <v>33</v>
      </c>
      <c r="G3932" t="s">
        <v>14892</v>
      </c>
      <c r="H3932">
        <v>1956.18</v>
      </c>
      <c r="I3932">
        <v>0</v>
      </c>
      <c r="J3932" t="s">
        <v>120</v>
      </c>
      <c r="K3932" t="s">
        <v>14892</v>
      </c>
      <c r="L3932">
        <v>1.55</v>
      </c>
      <c r="M3932">
        <v>73.02</v>
      </c>
      <c r="N3932">
        <v>2.23</v>
      </c>
      <c r="O3932">
        <v>1.76</v>
      </c>
      <c r="P3932">
        <v>74.5</v>
      </c>
      <c r="Q3932">
        <v>-0.56000000000000005</v>
      </c>
      <c r="R3932">
        <v>72.8</v>
      </c>
      <c r="S3932">
        <v>73.209999999999994</v>
      </c>
      <c r="T3932">
        <v>2673</v>
      </c>
      <c r="U3932">
        <v>73.239999999999995</v>
      </c>
      <c r="V3932">
        <v>73.209999999999994</v>
      </c>
      <c r="W3932">
        <v>20.72</v>
      </c>
      <c r="X3932" t="s">
        <v>274</v>
      </c>
      <c r="Y3932" t="s">
        <v>1006</v>
      </c>
      <c r="Z3932">
        <v>2.3199999999999998</v>
      </c>
      <c r="AA3932">
        <v>73.17</v>
      </c>
      <c r="AB3932">
        <v>918</v>
      </c>
      <c r="AC3932">
        <v>1755</v>
      </c>
      <c r="AD3932">
        <v>0.52</v>
      </c>
      <c r="AE3932">
        <v>7</v>
      </c>
      <c r="AF3932">
        <v>8</v>
      </c>
      <c r="AG3932" t="s">
        <v>120</v>
      </c>
      <c r="AH3932">
        <v>0</v>
      </c>
      <c r="AI3932" t="s">
        <v>120</v>
      </c>
      <c r="AJ3932">
        <v>0.17</v>
      </c>
      <c r="AK3932" t="s">
        <v>10416</v>
      </c>
      <c r="AL3932">
        <v>1.08</v>
      </c>
      <c r="AM3932">
        <v>439</v>
      </c>
      <c r="AN3932">
        <v>6</v>
      </c>
      <c r="AO3932">
        <v>3.5000000000000001E-3</v>
      </c>
      <c r="AP3932">
        <v>-6</v>
      </c>
      <c r="AQ3932">
        <v>-0.87</v>
      </c>
      <c r="AR3932">
        <v>-2.31</v>
      </c>
      <c r="AS3932">
        <v>-9.42</v>
      </c>
      <c r="AT3932">
        <v>-19.940000000000001</v>
      </c>
      <c r="AU3932">
        <v>-12.77</v>
      </c>
      <c r="AV3932">
        <v>2</v>
      </c>
      <c r="AW3932">
        <v>1.55</v>
      </c>
      <c r="AX3932">
        <v>24.77</v>
      </c>
      <c r="AY3932">
        <v>19.39</v>
      </c>
      <c r="AZ3932">
        <v>20.27</v>
      </c>
      <c r="BA3932">
        <v>0.96</v>
      </c>
      <c r="BB3932" t="s">
        <v>240</v>
      </c>
      <c r="BF3932">
        <v>-0.05</v>
      </c>
      <c r="BG3932">
        <v>-0.26</v>
      </c>
      <c r="BH3932">
        <v>-1.99</v>
      </c>
      <c r="BI3932">
        <v>0.3</v>
      </c>
      <c r="BJ3932">
        <v>20210828</v>
      </c>
      <c r="BK3932">
        <v>20201201</v>
      </c>
      <c r="BL3932">
        <v>0.7</v>
      </c>
      <c r="BM3932" t="s">
        <v>120</v>
      </c>
      <c r="BN3932" t="s">
        <v>120</v>
      </c>
      <c r="BO3932">
        <v>45.16</v>
      </c>
      <c r="BP3932">
        <v>73.02</v>
      </c>
      <c r="BQ3932">
        <v>17.22</v>
      </c>
      <c r="BR3932">
        <v>-0.17</v>
      </c>
      <c r="BS3932">
        <v>62.25</v>
      </c>
      <c r="BT3932">
        <v>24.9</v>
      </c>
      <c r="BU3932">
        <v>3.78</v>
      </c>
      <c r="BV3932">
        <v>0.36</v>
      </c>
      <c r="BW3932">
        <v>20.69</v>
      </c>
      <c r="BX3932">
        <v>9.5500000000000007</v>
      </c>
      <c r="BY3932">
        <v>8.5299999999999994</v>
      </c>
      <c r="BZ3932">
        <v>2.52</v>
      </c>
      <c r="CA3932">
        <v>0.01</v>
      </c>
      <c r="CB3932">
        <v>9.99</v>
      </c>
      <c r="CC3932">
        <v>23.79</v>
      </c>
      <c r="CD3932">
        <v>15.44</v>
      </c>
      <c r="CE3932">
        <v>1.45</v>
      </c>
      <c r="CF3932">
        <v>0.02</v>
      </c>
      <c r="CG3932">
        <v>1.44</v>
      </c>
      <c r="CH3932">
        <v>1.21</v>
      </c>
      <c r="CI3932">
        <v>1.22</v>
      </c>
      <c r="CJ3932">
        <v>-0.19</v>
      </c>
      <c r="CK3932">
        <v>1.1599999999999999</v>
      </c>
      <c r="CL3932">
        <v>6.29</v>
      </c>
      <c r="CM3932">
        <v>2.99</v>
      </c>
      <c r="CN3932">
        <v>-6.26</v>
      </c>
      <c r="CO3932">
        <v>9200</v>
      </c>
      <c r="CP3932">
        <v>1872</v>
      </c>
      <c r="CQ3932" t="s">
        <v>7603</v>
      </c>
      <c r="CR3932">
        <v>10.17</v>
      </c>
      <c r="CS3932">
        <v>12.83</v>
      </c>
      <c r="CT3932">
        <v>2.95</v>
      </c>
      <c r="CU3932">
        <v>16.97</v>
      </c>
      <c r="CV3932">
        <v>2.13</v>
      </c>
      <c r="CW3932">
        <v>2.39</v>
      </c>
      <c r="CX3932" t="s">
        <v>6550</v>
      </c>
      <c r="CY3932">
        <v>24.76</v>
      </c>
      <c r="CZ3932">
        <v>0</v>
      </c>
      <c r="DA3932">
        <v>14.37</v>
      </c>
      <c r="DB3932">
        <v>9.0500000000000007</v>
      </c>
      <c r="DC3932">
        <v>4.3</v>
      </c>
      <c r="DD3932">
        <v>38.119999999999997</v>
      </c>
      <c r="DE3932" t="s">
        <v>14200</v>
      </c>
      <c r="DF3932">
        <v>35.11</v>
      </c>
      <c r="DG3932">
        <v>6.1</v>
      </c>
      <c r="DH3932">
        <v>5.15</v>
      </c>
      <c r="DI3932" t="s">
        <v>120</v>
      </c>
      <c r="DJ3932">
        <v>8774</v>
      </c>
      <c r="DK3932">
        <v>605266</v>
      </c>
      <c r="DL3932" t="s">
        <v>120</v>
      </c>
      <c r="DM3932" t="s">
        <v>120</v>
      </c>
      <c r="DN3932" t="s">
        <v>120</v>
      </c>
    </row>
    <row r="3933" spans="1:118">
      <c r="A3933" t="str">
        <f>"605268"</f>
        <v>605268</v>
      </c>
      <c r="B3933" t="s">
        <v>16018</v>
      </c>
      <c r="C3933">
        <v>-1.51</v>
      </c>
      <c r="D3933">
        <v>0</v>
      </c>
      <c r="E3933">
        <v>0.56000000000000005</v>
      </c>
      <c r="F3933">
        <v>365</v>
      </c>
      <c r="G3933" t="s">
        <v>11564</v>
      </c>
      <c r="H3933">
        <v>2111.21</v>
      </c>
      <c r="I3933">
        <v>3.03</v>
      </c>
      <c r="J3933" t="s">
        <v>120</v>
      </c>
      <c r="K3933" t="s">
        <v>11564</v>
      </c>
      <c r="L3933">
        <v>2.5299999999999998</v>
      </c>
      <c r="M3933">
        <v>12.37</v>
      </c>
      <c r="N3933">
        <v>0.92</v>
      </c>
      <c r="O3933">
        <v>0.64</v>
      </c>
      <c r="P3933">
        <v>12.64</v>
      </c>
      <c r="Q3933">
        <v>-1.59</v>
      </c>
      <c r="R3933">
        <v>12.36</v>
      </c>
      <c r="S3933">
        <v>12.63</v>
      </c>
      <c r="T3933">
        <v>16946</v>
      </c>
      <c r="U3933">
        <v>12.38</v>
      </c>
      <c r="V3933">
        <v>12.56</v>
      </c>
      <c r="W3933">
        <v>34.82</v>
      </c>
      <c r="X3933" t="s">
        <v>2409</v>
      </c>
      <c r="Y3933" t="s">
        <v>585</v>
      </c>
      <c r="Z3933">
        <v>2.23</v>
      </c>
      <c r="AA3933">
        <v>12.46</v>
      </c>
      <c r="AB3933">
        <v>12434</v>
      </c>
      <c r="AC3933">
        <v>4512</v>
      </c>
      <c r="AD3933">
        <v>2.76</v>
      </c>
      <c r="AE3933">
        <v>416</v>
      </c>
      <c r="AF3933">
        <v>180</v>
      </c>
      <c r="AG3933" t="s">
        <v>120</v>
      </c>
      <c r="AH3933">
        <v>0</v>
      </c>
      <c r="AI3933" t="s">
        <v>120</v>
      </c>
      <c r="AJ3933">
        <v>0.67</v>
      </c>
      <c r="AK3933" t="s">
        <v>16019</v>
      </c>
      <c r="AL3933">
        <v>-0.17</v>
      </c>
      <c r="AM3933">
        <v>879</v>
      </c>
      <c r="AN3933">
        <v>19</v>
      </c>
      <c r="AO3933">
        <v>2.8999999999999998E-3</v>
      </c>
      <c r="AP3933">
        <v>-1</v>
      </c>
      <c r="AQ3933">
        <v>1.29</v>
      </c>
      <c r="AR3933">
        <v>-2.06</v>
      </c>
      <c r="AS3933">
        <v>-11.01</v>
      </c>
      <c r="AT3933">
        <v>-8.51</v>
      </c>
      <c r="AU3933">
        <v>22.84</v>
      </c>
      <c r="AV3933">
        <v>5</v>
      </c>
      <c r="AW3933">
        <v>2.5299999999999998</v>
      </c>
      <c r="AX3933">
        <v>15.37</v>
      </c>
      <c r="AY3933">
        <v>21.25</v>
      </c>
      <c r="AZ3933">
        <v>22.84</v>
      </c>
      <c r="BA3933">
        <v>0.56999999999999995</v>
      </c>
      <c r="BB3933" t="s">
        <v>143</v>
      </c>
      <c r="BF3933">
        <v>-0.81</v>
      </c>
      <c r="BG3933">
        <v>-2.06</v>
      </c>
      <c r="BH3933">
        <v>-2.14</v>
      </c>
      <c r="BI3933">
        <v>0.08</v>
      </c>
      <c r="BJ3933">
        <v>20210818</v>
      </c>
      <c r="BK3933">
        <v>20210224</v>
      </c>
      <c r="BL3933">
        <v>4.3600000000000003</v>
      </c>
      <c r="BM3933" t="s">
        <v>120</v>
      </c>
      <c r="BN3933" t="s">
        <v>120</v>
      </c>
      <c r="BO3933">
        <v>32.83</v>
      </c>
      <c r="BP3933">
        <v>12.37</v>
      </c>
      <c r="BQ3933">
        <v>16.670000000000002</v>
      </c>
      <c r="BR3933">
        <v>-0.01</v>
      </c>
      <c r="BS3933">
        <v>49.24</v>
      </c>
      <c r="BT3933">
        <v>18.14</v>
      </c>
      <c r="BU3933">
        <v>8</v>
      </c>
      <c r="BV3933">
        <v>1.57</v>
      </c>
      <c r="BW3933">
        <v>15.74</v>
      </c>
      <c r="BX3933">
        <v>3.21</v>
      </c>
      <c r="BY3933">
        <v>4</v>
      </c>
      <c r="BZ3933">
        <v>6.52</v>
      </c>
      <c r="CA3933" t="s">
        <v>120</v>
      </c>
      <c r="CB3933">
        <v>6.47</v>
      </c>
      <c r="CC3933">
        <v>10.210000000000001</v>
      </c>
      <c r="CD3933">
        <v>7.31</v>
      </c>
      <c r="CE3933">
        <v>1.01</v>
      </c>
      <c r="CF3933">
        <v>0</v>
      </c>
      <c r="CG3933">
        <v>1.01</v>
      </c>
      <c r="CH3933">
        <v>0.77</v>
      </c>
      <c r="CI3933">
        <v>0.77</v>
      </c>
      <c r="CJ3933">
        <v>-0.19</v>
      </c>
      <c r="CK3933">
        <v>0.73</v>
      </c>
      <c r="CL3933">
        <v>4.96</v>
      </c>
      <c r="CM3933">
        <v>-2.3199999999999998</v>
      </c>
      <c r="CN3933">
        <v>0.47</v>
      </c>
      <c r="CO3933">
        <v>27161</v>
      </c>
      <c r="CP3933">
        <v>2467</v>
      </c>
      <c r="CQ3933" t="s">
        <v>856</v>
      </c>
      <c r="CR3933">
        <v>30.13</v>
      </c>
      <c r="CS3933">
        <v>50.73</v>
      </c>
      <c r="CT3933">
        <v>3.23</v>
      </c>
      <c r="CU3933">
        <v>-23.21</v>
      </c>
      <c r="CV3933">
        <v>5.28</v>
      </c>
      <c r="CW3933">
        <v>1.99</v>
      </c>
      <c r="CX3933" t="s">
        <v>442</v>
      </c>
      <c r="CY3933">
        <v>3.82</v>
      </c>
      <c r="CZ3933">
        <v>0</v>
      </c>
      <c r="DA3933">
        <v>1.48</v>
      </c>
      <c r="DB3933">
        <v>1.1399999999999999</v>
      </c>
      <c r="DC3933">
        <v>-0.53</v>
      </c>
      <c r="DD3933">
        <v>50.79</v>
      </c>
      <c r="DE3933" t="s">
        <v>8869</v>
      </c>
      <c r="DF3933">
        <v>28.37</v>
      </c>
      <c r="DG3933">
        <v>9.8800000000000008</v>
      </c>
      <c r="DH3933">
        <v>7.59</v>
      </c>
      <c r="DI3933">
        <v>0.28999999999999998</v>
      </c>
      <c r="DJ3933">
        <v>4546</v>
      </c>
      <c r="DK3933">
        <v>605268</v>
      </c>
      <c r="DL3933" t="s">
        <v>120</v>
      </c>
      <c r="DM3933" t="s">
        <v>120</v>
      </c>
      <c r="DN3933" t="s">
        <v>120</v>
      </c>
    </row>
    <row r="3934" spans="1:118">
      <c r="A3934" t="str">
        <f>"605277"</f>
        <v>605277</v>
      </c>
      <c r="B3934" t="s">
        <v>16020</v>
      </c>
      <c r="C3934">
        <v>2.0699999999999998</v>
      </c>
      <c r="D3934">
        <v>0</v>
      </c>
      <c r="E3934">
        <v>-0.26</v>
      </c>
      <c r="F3934">
        <v>456</v>
      </c>
      <c r="G3934" t="s">
        <v>16021</v>
      </c>
      <c r="H3934">
        <v>6876.11</v>
      </c>
      <c r="I3934">
        <v>14.85</v>
      </c>
      <c r="J3934" t="s">
        <v>120</v>
      </c>
      <c r="K3934" t="s">
        <v>16021</v>
      </c>
      <c r="L3934">
        <v>7.5</v>
      </c>
      <c r="M3934">
        <v>27.63</v>
      </c>
      <c r="N3934">
        <v>1.02</v>
      </c>
      <c r="O3934">
        <v>3.4</v>
      </c>
      <c r="P3934">
        <v>27.99</v>
      </c>
      <c r="Q3934">
        <v>-1.1499999999999999</v>
      </c>
      <c r="R3934">
        <v>26.76</v>
      </c>
      <c r="S3934">
        <v>27</v>
      </c>
      <c r="T3934">
        <v>25016</v>
      </c>
      <c r="U3934">
        <v>27.64</v>
      </c>
      <c r="V3934">
        <v>27.07</v>
      </c>
      <c r="W3934">
        <v>21.15</v>
      </c>
      <c r="X3934" t="s">
        <v>394</v>
      </c>
      <c r="Y3934" t="s">
        <v>585</v>
      </c>
      <c r="Z3934">
        <v>4.54</v>
      </c>
      <c r="AA3934">
        <v>27.49</v>
      </c>
      <c r="AB3934">
        <v>12570</v>
      </c>
      <c r="AC3934">
        <v>12446</v>
      </c>
      <c r="AD3934">
        <v>1.01</v>
      </c>
      <c r="AE3934">
        <v>17</v>
      </c>
      <c r="AF3934">
        <v>50</v>
      </c>
      <c r="AG3934" t="s">
        <v>120</v>
      </c>
      <c r="AH3934">
        <v>0.02</v>
      </c>
      <c r="AI3934" t="s">
        <v>120</v>
      </c>
      <c r="AJ3934">
        <v>0.33</v>
      </c>
      <c r="AK3934" t="s">
        <v>5162</v>
      </c>
      <c r="AL3934">
        <v>3.41</v>
      </c>
      <c r="AM3934">
        <v>1835</v>
      </c>
      <c r="AN3934">
        <v>14</v>
      </c>
      <c r="AO3934">
        <v>4.1000000000000003E-3</v>
      </c>
      <c r="AP3934">
        <v>1</v>
      </c>
      <c r="AQ3934">
        <v>-0.88</v>
      </c>
      <c r="AR3934">
        <v>3.91</v>
      </c>
      <c r="AS3934">
        <v>22.04</v>
      </c>
      <c r="AT3934">
        <v>29.23</v>
      </c>
      <c r="AU3934">
        <v>65.94</v>
      </c>
      <c r="AV3934">
        <v>4</v>
      </c>
      <c r="AW3934">
        <v>7.5</v>
      </c>
      <c r="AX3934">
        <v>24.45</v>
      </c>
      <c r="AY3934">
        <v>23.68</v>
      </c>
      <c r="AZ3934">
        <v>31.01</v>
      </c>
      <c r="BA3934">
        <v>0.06</v>
      </c>
      <c r="BB3934" t="s">
        <v>184</v>
      </c>
      <c r="BF3934">
        <v>1.54</v>
      </c>
      <c r="BG3934">
        <v>2.33</v>
      </c>
      <c r="BH3934">
        <v>-1.29</v>
      </c>
      <c r="BI3934">
        <v>3.25</v>
      </c>
      <c r="BJ3934">
        <v>20210826</v>
      </c>
      <c r="BK3934">
        <v>20210106</v>
      </c>
      <c r="BL3934">
        <v>1.36</v>
      </c>
      <c r="BM3934" t="s">
        <v>120</v>
      </c>
      <c r="BN3934" t="s">
        <v>120</v>
      </c>
      <c r="BO3934">
        <v>12.61</v>
      </c>
      <c r="BP3934">
        <v>27.63</v>
      </c>
      <c r="BQ3934">
        <v>10.97</v>
      </c>
      <c r="BR3934" t="s">
        <v>120</v>
      </c>
      <c r="BS3934">
        <v>12.96</v>
      </c>
      <c r="BT3934">
        <v>10.199999999999999</v>
      </c>
      <c r="BU3934">
        <v>0.56000000000000005</v>
      </c>
      <c r="BV3934">
        <v>0.55000000000000004</v>
      </c>
      <c r="BW3934">
        <v>1.61</v>
      </c>
      <c r="BX3934">
        <v>1.1299999999999999</v>
      </c>
      <c r="BY3934">
        <v>1.37</v>
      </c>
      <c r="BZ3934">
        <v>3.74</v>
      </c>
      <c r="CA3934" t="s">
        <v>120</v>
      </c>
      <c r="CB3934">
        <v>6.7</v>
      </c>
      <c r="CC3934">
        <v>7.16</v>
      </c>
      <c r="CD3934">
        <v>5.54</v>
      </c>
      <c r="CE3934">
        <v>1.1399999999999999</v>
      </c>
      <c r="CF3934">
        <v>0.02</v>
      </c>
      <c r="CG3934">
        <v>1.1200000000000001</v>
      </c>
      <c r="CH3934">
        <v>0.89</v>
      </c>
      <c r="CI3934">
        <v>0.89</v>
      </c>
      <c r="CJ3934">
        <v>0.56000000000000005</v>
      </c>
      <c r="CK3934">
        <v>0.84</v>
      </c>
      <c r="CL3934">
        <v>2.65</v>
      </c>
      <c r="CM3934">
        <v>-0.08</v>
      </c>
      <c r="CN3934">
        <v>-4.71</v>
      </c>
      <c r="CO3934">
        <v>15849</v>
      </c>
      <c r="CP3934">
        <v>2105</v>
      </c>
      <c r="CQ3934" t="s">
        <v>5913</v>
      </c>
      <c r="CR3934">
        <v>70.680000000000007</v>
      </c>
      <c r="CS3934">
        <v>75.900000000000006</v>
      </c>
      <c r="CT3934">
        <v>3.43</v>
      </c>
      <c r="CU3934">
        <v>-481.66</v>
      </c>
      <c r="CV3934">
        <v>5.27</v>
      </c>
      <c r="CW3934">
        <v>1.08</v>
      </c>
      <c r="CX3934" t="s">
        <v>1469</v>
      </c>
      <c r="CY3934">
        <v>8.0399999999999991</v>
      </c>
      <c r="CZ3934">
        <v>0</v>
      </c>
      <c r="DA3934">
        <v>4.91</v>
      </c>
      <c r="DB3934">
        <v>1.94</v>
      </c>
      <c r="DC3934">
        <v>-0.06</v>
      </c>
      <c r="DD3934">
        <v>87.04</v>
      </c>
      <c r="DE3934" t="s">
        <v>6561</v>
      </c>
      <c r="DF3934">
        <v>22.62</v>
      </c>
      <c r="DG3934">
        <v>15.96</v>
      </c>
      <c r="DH3934">
        <v>12.45</v>
      </c>
      <c r="DI3934">
        <v>0.2</v>
      </c>
      <c r="DJ3934">
        <v>685</v>
      </c>
      <c r="DK3934">
        <v>605277</v>
      </c>
      <c r="DL3934" t="s">
        <v>120</v>
      </c>
      <c r="DM3934" t="s">
        <v>120</v>
      </c>
      <c r="DN3934" t="s">
        <v>120</v>
      </c>
    </row>
    <row r="3935" spans="1:118">
      <c r="A3935" t="str">
        <f>"605286"</f>
        <v>605286</v>
      </c>
      <c r="B3935" t="s">
        <v>16022</v>
      </c>
      <c r="C3935">
        <v>-1.01</v>
      </c>
      <c r="D3935">
        <v>-0.16</v>
      </c>
      <c r="E3935">
        <v>0.34</v>
      </c>
      <c r="F3935">
        <v>416</v>
      </c>
      <c r="G3935" t="s">
        <v>7297</v>
      </c>
      <c r="H3935">
        <v>1374.64</v>
      </c>
      <c r="I3935">
        <v>3.05</v>
      </c>
      <c r="J3935" t="s">
        <v>120</v>
      </c>
      <c r="K3935" t="s">
        <v>7297</v>
      </c>
      <c r="L3935">
        <v>1.83</v>
      </c>
      <c r="M3935">
        <v>17.71</v>
      </c>
      <c r="N3935">
        <v>0.53</v>
      </c>
      <c r="O3935">
        <v>0.5</v>
      </c>
      <c r="P3935">
        <v>17.98</v>
      </c>
      <c r="Q3935">
        <v>-1.1200000000000001</v>
      </c>
      <c r="R3935">
        <v>17.690000000000001</v>
      </c>
      <c r="S3935">
        <v>17.95</v>
      </c>
      <c r="T3935">
        <v>7697</v>
      </c>
      <c r="U3935">
        <v>17.73</v>
      </c>
      <c r="V3935">
        <v>17.89</v>
      </c>
      <c r="W3935">
        <v>23.91</v>
      </c>
      <c r="X3935" t="s">
        <v>157</v>
      </c>
      <c r="Y3935" t="s">
        <v>319</v>
      </c>
      <c r="Z3935">
        <v>1.62</v>
      </c>
      <c r="AA3935">
        <v>17.86</v>
      </c>
      <c r="AB3935">
        <v>5290</v>
      </c>
      <c r="AC3935">
        <v>2407</v>
      </c>
      <c r="AD3935">
        <v>2.2000000000000002</v>
      </c>
      <c r="AE3935">
        <v>49</v>
      </c>
      <c r="AF3935">
        <v>20</v>
      </c>
      <c r="AG3935" t="s">
        <v>120</v>
      </c>
      <c r="AH3935">
        <v>0</v>
      </c>
      <c r="AI3935" t="s">
        <v>120</v>
      </c>
      <c r="AJ3935">
        <v>0.42</v>
      </c>
      <c r="AK3935" t="s">
        <v>6570</v>
      </c>
      <c r="AL3935">
        <v>0.34</v>
      </c>
      <c r="AM3935">
        <v>865</v>
      </c>
      <c r="AN3935">
        <v>9</v>
      </c>
      <c r="AO3935">
        <v>2.0999999999999999E-3</v>
      </c>
      <c r="AP3935">
        <v>-1</v>
      </c>
      <c r="AQ3935">
        <v>1.19</v>
      </c>
      <c r="AR3935">
        <v>-1.28</v>
      </c>
      <c r="AS3935">
        <v>-8.9</v>
      </c>
      <c r="AT3935">
        <v>-13.1</v>
      </c>
      <c r="AU3935">
        <v>18.47</v>
      </c>
      <c r="AV3935">
        <v>6</v>
      </c>
      <c r="AW3935">
        <v>1.83</v>
      </c>
      <c r="AX3935">
        <v>25</v>
      </c>
      <c r="AY3935">
        <v>19.510000000000002</v>
      </c>
      <c r="AZ3935">
        <v>20.45</v>
      </c>
      <c r="BA3935">
        <v>0.99</v>
      </c>
      <c r="BB3935" t="s">
        <v>168</v>
      </c>
      <c r="BF3935">
        <v>-0.17</v>
      </c>
      <c r="BG3935">
        <v>-1.34</v>
      </c>
      <c r="BH3935">
        <v>-1.5</v>
      </c>
      <c r="BI3935">
        <v>0.11</v>
      </c>
      <c r="BJ3935">
        <v>20210820</v>
      </c>
      <c r="BK3935">
        <v>20210322</v>
      </c>
      <c r="BL3935">
        <v>1.68</v>
      </c>
      <c r="BM3935" t="s">
        <v>120</v>
      </c>
      <c r="BN3935" t="s">
        <v>120</v>
      </c>
      <c r="BO3935">
        <v>17.809999999999999</v>
      </c>
      <c r="BP3935">
        <v>17.71</v>
      </c>
      <c r="BQ3935">
        <v>13.86</v>
      </c>
      <c r="BR3935" t="s">
        <v>120</v>
      </c>
      <c r="BS3935">
        <v>22.2</v>
      </c>
      <c r="BT3935">
        <v>13.86</v>
      </c>
      <c r="BU3935">
        <v>2.5499999999999998</v>
      </c>
      <c r="BV3935">
        <v>0.87</v>
      </c>
      <c r="BW3935">
        <v>3.9</v>
      </c>
      <c r="BX3935">
        <v>2.15</v>
      </c>
      <c r="BY3935">
        <v>2.58</v>
      </c>
      <c r="BZ3935">
        <v>5.44</v>
      </c>
      <c r="CA3935" t="s">
        <v>120</v>
      </c>
      <c r="CB3935">
        <v>7.52</v>
      </c>
      <c r="CC3935">
        <v>10.02</v>
      </c>
      <c r="CD3935">
        <v>8.5500000000000007</v>
      </c>
      <c r="CE3935">
        <v>0.73</v>
      </c>
      <c r="CF3935">
        <v>0</v>
      </c>
      <c r="CG3935">
        <v>0.71</v>
      </c>
      <c r="CH3935">
        <v>0.62</v>
      </c>
      <c r="CI3935">
        <v>0.62</v>
      </c>
      <c r="CJ3935">
        <v>-0.18</v>
      </c>
      <c r="CK3935">
        <v>0.59</v>
      </c>
      <c r="CL3935">
        <v>4.55</v>
      </c>
      <c r="CM3935">
        <v>-1.65</v>
      </c>
      <c r="CN3935">
        <v>0.88</v>
      </c>
      <c r="CO3935">
        <v>23713</v>
      </c>
      <c r="CP3935">
        <v>1771</v>
      </c>
      <c r="CQ3935" t="s">
        <v>10463</v>
      </c>
      <c r="CR3935">
        <v>12.85</v>
      </c>
      <c r="CS3935">
        <v>31.35</v>
      </c>
      <c r="CT3935">
        <v>2.15</v>
      </c>
      <c r="CU3935">
        <v>-17.989999999999998</v>
      </c>
      <c r="CV3935">
        <v>2.97</v>
      </c>
      <c r="CW3935">
        <v>0.73</v>
      </c>
      <c r="CX3935" t="s">
        <v>1327</v>
      </c>
      <c r="CY3935">
        <v>8.25</v>
      </c>
      <c r="CZ3935">
        <v>0</v>
      </c>
      <c r="DA3935">
        <v>4.47</v>
      </c>
      <c r="DB3935">
        <v>2.71</v>
      </c>
      <c r="DC3935">
        <v>-0.98</v>
      </c>
      <c r="DD3935">
        <v>77.8</v>
      </c>
      <c r="DE3935" t="s">
        <v>4105</v>
      </c>
      <c r="DF3935">
        <v>14.72</v>
      </c>
      <c r="DG3935">
        <v>7.26</v>
      </c>
      <c r="DH3935">
        <v>6.21</v>
      </c>
      <c r="DI3935">
        <v>0.28999999999999998</v>
      </c>
      <c r="DJ3935">
        <v>1615</v>
      </c>
      <c r="DK3935">
        <v>605286</v>
      </c>
      <c r="DL3935" t="s">
        <v>120</v>
      </c>
      <c r="DM3935" t="s">
        <v>120</v>
      </c>
      <c r="DN3935" t="s">
        <v>120</v>
      </c>
    </row>
    <row r="3936" spans="1:118">
      <c r="A3936" t="str">
        <f>"605287"</f>
        <v>605287</v>
      </c>
      <c r="B3936" t="s">
        <v>16023</v>
      </c>
      <c r="C3936">
        <v>-1.98</v>
      </c>
      <c r="D3936">
        <v>0</v>
      </c>
      <c r="E3936">
        <v>0</v>
      </c>
      <c r="F3936">
        <v>95</v>
      </c>
      <c r="G3936" t="s">
        <v>10441</v>
      </c>
      <c r="H3936">
        <v>3090.32</v>
      </c>
      <c r="I3936">
        <v>12.73</v>
      </c>
      <c r="J3936" t="s">
        <v>120</v>
      </c>
      <c r="K3936" t="s">
        <v>10441</v>
      </c>
      <c r="L3936">
        <v>4.12</v>
      </c>
      <c r="M3936">
        <v>29.7</v>
      </c>
      <c r="N3936">
        <v>0.56999999999999995</v>
      </c>
      <c r="O3936">
        <v>0</v>
      </c>
      <c r="P3936">
        <v>30.3</v>
      </c>
      <c r="Q3936">
        <v>-2.0099999999999998</v>
      </c>
      <c r="R3936">
        <v>29.69</v>
      </c>
      <c r="S3936">
        <v>30.3</v>
      </c>
      <c r="T3936">
        <v>10310</v>
      </c>
      <c r="U3936">
        <v>29.71</v>
      </c>
      <c r="V3936">
        <v>30.3</v>
      </c>
      <c r="W3936">
        <v>12</v>
      </c>
      <c r="X3936" t="s">
        <v>3122</v>
      </c>
      <c r="Y3936" t="s">
        <v>638</v>
      </c>
      <c r="Z3936">
        <v>2.0099999999999998</v>
      </c>
      <c r="AA3936">
        <v>29.97</v>
      </c>
      <c r="AB3936">
        <v>6779</v>
      </c>
      <c r="AC3936">
        <v>3531</v>
      </c>
      <c r="AD3936">
        <v>1.92</v>
      </c>
      <c r="AE3936">
        <v>123</v>
      </c>
      <c r="AF3936">
        <v>41</v>
      </c>
      <c r="AG3936" t="s">
        <v>120</v>
      </c>
      <c r="AH3936">
        <v>0.02</v>
      </c>
      <c r="AI3936" t="s">
        <v>120</v>
      </c>
      <c r="AJ3936">
        <v>0.25</v>
      </c>
      <c r="AK3936" t="s">
        <v>1385</v>
      </c>
      <c r="AL3936">
        <v>-0.64</v>
      </c>
      <c r="AM3936">
        <v>1215</v>
      </c>
      <c r="AN3936">
        <v>8</v>
      </c>
      <c r="AO3936">
        <v>3.3999999999999998E-3</v>
      </c>
      <c r="AP3936">
        <v>-3</v>
      </c>
      <c r="AQ3936">
        <v>-1.1100000000000001</v>
      </c>
      <c r="AR3936">
        <v>-5.66</v>
      </c>
      <c r="AS3936">
        <v>-2.27</v>
      </c>
      <c r="AT3936">
        <v>-5.89</v>
      </c>
      <c r="AU3936">
        <v>-5.89</v>
      </c>
      <c r="AV3936">
        <v>0</v>
      </c>
      <c r="AW3936">
        <v>4.12</v>
      </c>
      <c r="AX3936">
        <v>25</v>
      </c>
      <c r="AY3936">
        <v>14.2</v>
      </c>
      <c r="AZ3936">
        <v>16.53</v>
      </c>
      <c r="BA3936">
        <v>0</v>
      </c>
      <c r="BB3936" t="s">
        <v>125</v>
      </c>
      <c r="BF3936">
        <v>-1.08</v>
      </c>
      <c r="BG3936">
        <v>-1.98</v>
      </c>
      <c r="BH3936">
        <v>-1.98</v>
      </c>
      <c r="BI3936">
        <v>0.03</v>
      </c>
      <c r="BJ3936">
        <v>20210827</v>
      </c>
      <c r="BK3936">
        <v>20210706</v>
      </c>
      <c r="BL3936">
        <v>1</v>
      </c>
      <c r="BM3936" t="s">
        <v>120</v>
      </c>
      <c r="BN3936" t="s">
        <v>120</v>
      </c>
      <c r="BO3936">
        <v>77.14</v>
      </c>
      <c r="BP3936">
        <v>29.7</v>
      </c>
      <c r="BQ3936">
        <v>15.06</v>
      </c>
      <c r="BR3936">
        <v>0.35</v>
      </c>
      <c r="BS3936">
        <v>80.02</v>
      </c>
      <c r="BT3936">
        <v>71.849999999999994</v>
      </c>
      <c r="BU3936">
        <v>2.93</v>
      </c>
      <c r="BV3936">
        <v>0.53</v>
      </c>
      <c r="BW3936">
        <v>61.63</v>
      </c>
      <c r="BX3936">
        <v>18.86</v>
      </c>
      <c r="BY3936">
        <v>0.6</v>
      </c>
      <c r="BZ3936">
        <v>29.33</v>
      </c>
      <c r="CA3936" t="s">
        <v>120</v>
      </c>
      <c r="CB3936">
        <v>8.89</v>
      </c>
      <c r="CC3936">
        <v>22.39</v>
      </c>
      <c r="CD3936">
        <v>19.37</v>
      </c>
      <c r="CE3936">
        <v>1.49</v>
      </c>
      <c r="CF3936">
        <v>0</v>
      </c>
      <c r="CG3936">
        <v>1.5</v>
      </c>
      <c r="CH3936">
        <v>1.26</v>
      </c>
      <c r="CI3936">
        <v>1.24</v>
      </c>
      <c r="CJ3936">
        <v>-0.6</v>
      </c>
      <c r="CK3936">
        <v>1.07</v>
      </c>
      <c r="CL3936">
        <v>4.8</v>
      </c>
      <c r="CM3936">
        <v>1.97</v>
      </c>
      <c r="CN3936">
        <v>9.9700000000000006</v>
      </c>
      <c r="CO3936">
        <v>34880</v>
      </c>
      <c r="CP3936">
        <v>717</v>
      </c>
      <c r="CQ3936" t="s">
        <v>16024</v>
      </c>
      <c r="CR3936">
        <v>0</v>
      </c>
      <c r="CS3936">
        <v>0</v>
      </c>
      <c r="CT3936">
        <v>1.97</v>
      </c>
      <c r="CU3936">
        <v>15.11</v>
      </c>
      <c r="CV3936">
        <v>1.33</v>
      </c>
      <c r="CW3936">
        <v>0</v>
      </c>
      <c r="CX3936" t="s">
        <v>16025</v>
      </c>
      <c r="CY3936">
        <v>15.06</v>
      </c>
      <c r="CZ3936">
        <v>0</v>
      </c>
      <c r="DA3936">
        <v>8.89</v>
      </c>
      <c r="DB3936">
        <v>4.8</v>
      </c>
      <c r="DC3936">
        <v>1.97</v>
      </c>
      <c r="DD3936">
        <v>19.53</v>
      </c>
      <c r="DE3936" t="s">
        <v>9875</v>
      </c>
      <c r="DF3936">
        <v>13.45</v>
      </c>
      <c r="DG3936">
        <v>6.68</v>
      </c>
      <c r="DH3936">
        <v>5.53</v>
      </c>
      <c r="DI3936">
        <v>0.48</v>
      </c>
      <c r="DJ3936">
        <v>1609</v>
      </c>
      <c r="DK3936">
        <v>605287</v>
      </c>
      <c r="DL3936" t="s">
        <v>120</v>
      </c>
      <c r="DM3936" t="s">
        <v>120</v>
      </c>
      <c r="DN3936" t="s">
        <v>120</v>
      </c>
    </row>
    <row r="3937" spans="1:118">
      <c r="A3937" t="str">
        <f>"605288"</f>
        <v>605288</v>
      </c>
      <c r="B3937" t="s">
        <v>16026</v>
      </c>
      <c r="C3937">
        <v>0.85</v>
      </c>
      <c r="D3937">
        <v>0</v>
      </c>
      <c r="E3937">
        <v>-0.24</v>
      </c>
      <c r="F3937">
        <v>46</v>
      </c>
      <c r="G3937" t="s">
        <v>8324</v>
      </c>
      <c r="H3937">
        <v>3590.12</v>
      </c>
      <c r="I3937">
        <v>6.26</v>
      </c>
      <c r="J3937" t="s">
        <v>120</v>
      </c>
      <c r="K3937" t="s">
        <v>8324</v>
      </c>
      <c r="L3937">
        <v>3.64</v>
      </c>
      <c r="M3937">
        <v>55.5</v>
      </c>
      <c r="N3937">
        <v>1.26</v>
      </c>
      <c r="O3937">
        <v>4.3600000000000003</v>
      </c>
      <c r="P3937">
        <v>57.43</v>
      </c>
      <c r="Q3937">
        <v>-0.24</v>
      </c>
      <c r="R3937">
        <v>54.9</v>
      </c>
      <c r="S3937">
        <v>54.9</v>
      </c>
      <c r="T3937">
        <v>6375</v>
      </c>
      <c r="U3937">
        <v>55.55</v>
      </c>
      <c r="V3937">
        <v>55.03</v>
      </c>
      <c r="W3937">
        <v>32.479999999999997</v>
      </c>
      <c r="X3937" t="s">
        <v>394</v>
      </c>
      <c r="Y3937" t="s">
        <v>319</v>
      </c>
      <c r="Z3937">
        <v>4.5999999999999996</v>
      </c>
      <c r="AA3937">
        <v>56.31</v>
      </c>
      <c r="AB3937">
        <v>2544</v>
      </c>
      <c r="AC3937">
        <v>3831</v>
      </c>
      <c r="AD3937">
        <v>0.66</v>
      </c>
      <c r="AE3937">
        <v>9</v>
      </c>
      <c r="AF3937">
        <v>28</v>
      </c>
      <c r="AG3937" t="s">
        <v>120</v>
      </c>
      <c r="AH3937">
        <v>0.01</v>
      </c>
      <c r="AI3937" t="s">
        <v>120</v>
      </c>
      <c r="AJ3937">
        <v>0.18</v>
      </c>
      <c r="AK3937" t="s">
        <v>6337</v>
      </c>
      <c r="AL3937">
        <v>2.2000000000000002</v>
      </c>
      <c r="AM3937">
        <v>1201</v>
      </c>
      <c r="AN3937">
        <v>5</v>
      </c>
      <c r="AO3937">
        <v>3.0000000000000001E-3</v>
      </c>
      <c r="AP3937">
        <v>1</v>
      </c>
      <c r="AQ3937">
        <v>-2.17</v>
      </c>
      <c r="AR3937">
        <v>-6.22</v>
      </c>
      <c r="AS3937">
        <v>-3.61</v>
      </c>
      <c r="AT3937">
        <v>-23.77</v>
      </c>
      <c r="AU3937">
        <v>-37.28</v>
      </c>
      <c r="AV3937">
        <v>0</v>
      </c>
      <c r="AW3937">
        <v>3.64</v>
      </c>
      <c r="AX3937">
        <v>24.76</v>
      </c>
      <c r="AY3937">
        <v>23.62</v>
      </c>
      <c r="AZ3937">
        <v>22.55</v>
      </c>
      <c r="BA3937">
        <v>1.31</v>
      </c>
      <c r="BB3937" t="s">
        <v>143</v>
      </c>
      <c r="BF3937">
        <v>2.33</v>
      </c>
      <c r="BG3937">
        <v>1.0900000000000001</v>
      </c>
      <c r="BH3937">
        <v>-3.36</v>
      </c>
      <c r="BI3937">
        <v>1.0900000000000001</v>
      </c>
      <c r="BJ3937">
        <v>20210915</v>
      </c>
      <c r="BK3937">
        <v>20200601</v>
      </c>
      <c r="BL3937">
        <v>0.71</v>
      </c>
      <c r="BM3937" t="s">
        <v>120</v>
      </c>
      <c r="BN3937" t="s">
        <v>120</v>
      </c>
      <c r="BO3937">
        <v>27.72</v>
      </c>
      <c r="BP3937">
        <v>55.5</v>
      </c>
      <c r="BQ3937">
        <v>19.87</v>
      </c>
      <c r="BR3937" t="s">
        <v>120</v>
      </c>
      <c r="BS3937">
        <v>28.31</v>
      </c>
      <c r="BT3937">
        <v>20.71</v>
      </c>
      <c r="BU3937">
        <v>2.17</v>
      </c>
      <c r="BV3937">
        <v>1.05</v>
      </c>
      <c r="BW3937">
        <v>7.38</v>
      </c>
      <c r="BX3937">
        <v>5.49</v>
      </c>
      <c r="BY3937">
        <v>3.84</v>
      </c>
      <c r="BZ3937">
        <v>3.77</v>
      </c>
      <c r="CA3937" t="s">
        <v>120</v>
      </c>
      <c r="CB3937">
        <v>13.5</v>
      </c>
      <c r="CC3937">
        <v>7.71</v>
      </c>
      <c r="CD3937">
        <v>5.94</v>
      </c>
      <c r="CE3937">
        <v>0.69</v>
      </c>
      <c r="CF3937">
        <v>0.13</v>
      </c>
      <c r="CG3937">
        <v>0.68</v>
      </c>
      <c r="CH3937">
        <v>0.6</v>
      </c>
      <c r="CI3937">
        <v>0.6</v>
      </c>
      <c r="CJ3937">
        <v>0.47</v>
      </c>
      <c r="CK3937">
        <v>0.48</v>
      </c>
      <c r="CL3937">
        <v>4.99</v>
      </c>
      <c r="CM3937">
        <v>-0.19</v>
      </c>
      <c r="CN3937">
        <v>-0.93</v>
      </c>
      <c r="CO3937">
        <v>9247</v>
      </c>
      <c r="CP3937">
        <v>1893</v>
      </c>
      <c r="CQ3937" t="s">
        <v>6746</v>
      </c>
      <c r="CR3937">
        <v>-11.44</v>
      </c>
      <c r="CS3937">
        <v>58.92</v>
      </c>
      <c r="CT3937">
        <v>1.97</v>
      </c>
      <c r="CU3937">
        <v>-203.13</v>
      </c>
      <c r="CV3937">
        <v>5.09</v>
      </c>
      <c r="CW3937">
        <v>1.33</v>
      </c>
      <c r="CX3937" t="s">
        <v>16027</v>
      </c>
      <c r="CY3937">
        <v>28.11</v>
      </c>
      <c r="CZ3937">
        <v>0</v>
      </c>
      <c r="DA3937">
        <v>19.100000000000001</v>
      </c>
      <c r="DB3937">
        <v>7.06</v>
      </c>
      <c r="DC3937">
        <v>-0.27</v>
      </c>
      <c r="DD3937">
        <v>71.69</v>
      </c>
      <c r="DE3937" t="s">
        <v>10405</v>
      </c>
      <c r="DF3937">
        <v>22.97</v>
      </c>
      <c r="DG3937">
        <v>8.9499999999999993</v>
      </c>
      <c r="DH3937">
        <v>7.83</v>
      </c>
      <c r="DI3937">
        <v>0.33</v>
      </c>
      <c r="DJ3937">
        <v>2622</v>
      </c>
      <c r="DK3937">
        <v>605288</v>
      </c>
      <c r="DL3937" t="s">
        <v>120</v>
      </c>
      <c r="DM3937" t="s">
        <v>120</v>
      </c>
      <c r="DN3937" t="s">
        <v>120</v>
      </c>
    </row>
    <row r="3938" spans="1:118">
      <c r="A3938" t="str">
        <f>"605289"</f>
        <v>605289</v>
      </c>
      <c r="B3938" t="s">
        <v>16028</v>
      </c>
      <c r="C3938">
        <v>0.96</v>
      </c>
      <c r="D3938">
        <v>0</v>
      </c>
      <c r="E3938">
        <v>0.6</v>
      </c>
      <c r="F3938">
        <v>203</v>
      </c>
      <c r="G3938" t="s">
        <v>2774</v>
      </c>
      <c r="H3938">
        <v>1654.1</v>
      </c>
      <c r="I3938">
        <v>0</v>
      </c>
      <c r="J3938" t="s">
        <v>120</v>
      </c>
      <c r="K3938" t="s">
        <v>2774</v>
      </c>
      <c r="L3938">
        <v>3.01</v>
      </c>
      <c r="M3938">
        <v>25.25</v>
      </c>
      <c r="N3938">
        <v>1.1299999999999999</v>
      </c>
      <c r="O3938">
        <v>2.16</v>
      </c>
      <c r="P3938">
        <v>25.55</v>
      </c>
      <c r="Q3938">
        <v>0.36</v>
      </c>
      <c r="R3938">
        <v>25.1</v>
      </c>
      <c r="S3938">
        <v>25.16</v>
      </c>
      <c r="T3938">
        <v>6532</v>
      </c>
      <c r="U3938">
        <v>25.25</v>
      </c>
      <c r="V3938">
        <v>25.01</v>
      </c>
      <c r="W3938">
        <v>23.87</v>
      </c>
      <c r="X3938" t="s">
        <v>175</v>
      </c>
      <c r="Y3938" t="s">
        <v>1510</v>
      </c>
      <c r="Z3938">
        <v>1.8</v>
      </c>
      <c r="AA3938">
        <v>25.32</v>
      </c>
      <c r="AB3938">
        <v>3563</v>
      </c>
      <c r="AC3938">
        <v>2969</v>
      </c>
      <c r="AD3938">
        <v>1.2</v>
      </c>
      <c r="AE3938">
        <v>33</v>
      </c>
      <c r="AF3938">
        <v>7</v>
      </c>
      <c r="AG3938" t="s">
        <v>120</v>
      </c>
      <c r="AH3938">
        <v>0</v>
      </c>
      <c r="AI3938" t="s">
        <v>120</v>
      </c>
      <c r="AJ3938">
        <v>0.22</v>
      </c>
      <c r="AK3938" t="s">
        <v>5922</v>
      </c>
      <c r="AL3938">
        <v>2.2999999999999998</v>
      </c>
      <c r="AM3938">
        <v>843</v>
      </c>
      <c r="AN3938">
        <v>8</v>
      </c>
      <c r="AO3938">
        <v>3.5999999999999999E-3</v>
      </c>
      <c r="AP3938">
        <v>1</v>
      </c>
      <c r="AQ3938">
        <v>-0.2</v>
      </c>
      <c r="AR3938">
        <v>-1.06</v>
      </c>
      <c r="AS3938">
        <v>-0.75</v>
      </c>
      <c r="AT3938">
        <v>-6.93</v>
      </c>
      <c r="AU3938">
        <v>-7.41</v>
      </c>
      <c r="AV3938">
        <v>2</v>
      </c>
      <c r="AW3938">
        <v>3.01</v>
      </c>
      <c r="AX3938">
        <v>25</v>
      </c>
      <c r="AY3938">
        <v>17.7</v>
      </c>
      <c r="AZ3938">
        <v>20.079999999999998</v>
      </c>
      <c r="BA3938">
        <v>0.87</v>
      </c>
      <c r="BB3938" t="s">
        <v>4676</v>
      </c>
      <c r="BF3938">
        <v>1.25</v>
      </c>
      <c r="BG3938">
        <v>0.36</v>
      </c>
      <c r="BH3938">
        <v>-1.17</v>
      </c>
      <c r="BI3938">
        <v>0.6</v>
      </c>
      <c r="BJ3938">
        <v>20210820</v>
      </c>
      <c r="BK3938">
        <v>20210426</v>
      </c>
      <c r="BL3938">
        <v>0.87</v>
      </c>
      <c r="BM3938" t="s">
        <v>120</v>
      </c>
      <c r="BN3938" t="s">
        <v>120</v>
      </c>
      <c r="BO3938">
        <v>17.29</v>
      </c>
      <c r="BP3938">
        <v>25.24</v>
      </c>
      <c r="BQ3938">
        <v>12.34</v>
      </c>
      <c r="BR3938">
        <v>0.02</v>
      </c>
      <c r="BS3938">
        <v>28.46</v>
      </c>
      <c r="BT3938">
        <v>16.18</v>
      </c>
      <c r="BU3938">
        <v>0.08</v>
      </c>
      <c r="BV3938">
        <v>0</v>
      </c>
      <c r="BW3938">
        <v>4.79</v>
      </c>
      <c r="BX3938">
        <v>3.95</v>
      </c>
      <c r="BY3938">
        <v>0.71</v>
      </c>
      <c r="BZ3938">
        <v>4.7300000000000004</v>
      </c>
      <c r="CA3938" t="s">
        <v>120</v>
      </c>
      <c r="CB3938">
        <v>5.96</v>
      </c>
      <c r="CC3938">
        <v>2.5299999999999998</v>
      </c>
      <c r="CD3938">
        <v>1.7</v>
      </c>
      <c r="CE3938">
        <v>0.5</v>
      </c>
      <c r="CF3938">
        <v>0</v>
      </c>
      <c r="CG3938">
        <v>0.55000000000000004</v>
      </c>
      <c r="CH3938">
        <v>0.46</v>
      </c>
      <c r="CI3938">
        <v>0.46</v>
      </c>
      <c r="CJ3938">
        <v>0.24</v>
      </c>
      <c r="CK3938">
        <v>0.42</v>
      </c>
      <c r="CL3938">
        <v>4.96</v>
      </c>
      <c r="CM3938">
        <v>-1.4</v>
      </c>
      <c r="CN3938">
        <v>1.0900000000000001</v>
      </c>
      <c r="CO3938">
        <v>16164</v>
      </c>
      <c r="CP3938">
        <v>1341</v>
      </c>
      <c r="CQ3938" t="s">
        <v>14120</v>
      </c>
      <c r="CR3938">
        <v>46.56</v>
      </c>
      <c r="CS3938">
        <v>56.8</v>
      </c>
      <c r="CT3938">
        <v>1.77</v>
      </c>
      <c r="CU3938">
        <v>-15.62</v>
      </c>
      <c r="CV3938">
        <v>8.66</v>
      </c>
      <c r="CW3938">
        <v>0</v>
      </c>
      <c r="CX3938" t="s">
        <v>4650</v>
      </c>
      <c r="CY3938">
        <v>14.24</v>
      </c>
      <c r="CZ3938">
        <v>0</v>
      </c>
      <c r="DA3938">
        <v>6.88</v>
      </c>
      <c r="DB3938">
        <v>5.73</v>
      </c>
      <c r="DC3938">
        <v>-1.62</v>
      </c>
      <c r="DD3938">
        <v>71.400000000000006</v>
      </c>
      <c r="DE3938" t="s">
        <v>3172</v>
      </c>
      <c r="DF3938">
        <v>32.65</v>
      </c>
      <c r="DG3938">
        <v>19.93</v>
      </c>
      <c r="DH3938">
        <v>18.14</v>
      </c>
      <c r="DI3938">
        <v>0.1</v>
      </c>
      <c r="DJ3938">
        <v>220</v>
      </c>
      <c r="DK3938">
        <v>605289</v>
      </c>
      <c r="DL3938" t="s">
        <v>120</v>
      </c>
      <c r="DM3938" t="s">
        <v>120</v>
      </c>
      <c r="DN3938" t="s">
        <v>120</v>
      </c>
    </row>
    <row r="3939" spans="1:118">
      <c r="A3939" t="str">
        <f>"605296"</f>
        <v>605296</v>
      </c>
      <c r="B3939" t="s">
        <v>16029</v>
      </c>
      <c r="C3939">
        <v>3.77</v>
      </c>
      <c r="D3939">
        <v>0.03</v>
      </c>
      <c r="E3939">
        <v>-0.18</v>
      </c>
      <c r="F3939">
        <v>544</v>
      </c>
      <c r="G3939" t="s">
        <v>12748</v>
      </c>
      <c r="H3939">
        <v>13383.55</v>
      </c>
      <c r="I3939">
        <v>3.84</v>
      </c>
      <c r="J3939" t="s">
        <v>120</v>
      </c>
      <c r="K3939" t="s">
        <v>12748</v>
      </c>
      <c r="L3939">
        <v>8.4</v>
      </c>
      <c r="M3939">
        <v>39.93</v>
      </c>
      <c r="N3939">
        <v>3.18</v>
      </c>
      <c r="O3939">
        <v>5.98</v>
      </c>
      <c r="P3939">
        <v>40.78</v>
      </c>
      <c r="Q3939">
        <v>-0.18</v>
      </c>
      <c r="R3939">
        <v>38.409999999999997</v>
      </c>
      <c r="S3939">
        <v>38.409999999999997</v>
      </c>
      <c r="T3939">
        <v>33630</v>
      </c>
      <c r="U3939">
        <v>39.94</v>
      </c>
      <c r="V3939">
        <v>38.479999999999997</v>
      </c>
      <c r="W3939">
        <v>21.96</v>
      </c>
      <c r="X3939" t="s">
        <v>447</v>
      </c>
      <c r="Y3939" t="s">
        <v>1006</v>
      </c>
      <c r="Z3939">
        <v>6.16</v>
      </c>
      <c r="AA3939">
        <v>39.799999999999997</v>
      </c>
      <c r="AB3939">
        <v>14062</v>
      </c>
      <c r="AC3939">
        <v>19568</v>
      </c>
      <c r="AD3939">
        <v>0.72</v>
      </c>
      <c r="AE3939">
        <v>43</v>
      </c>
      <c r="AF3939">
        <v>30</v>
      </c>
      <c r="AG3939" t="s">
        <v>120</v>
      </c>
      <c r="AH3939">
        <v>0</v>
      </c>
      <c r="AI3939" t="s">
        <v>120</v>
      </c>
      <c r="AJ3939">
        <v>0.4</v>
      </c>
      <c r="AK3939" t="s">
        <v>16030</v>
      </c>
      <c r="AL3939">
        <v>5.1100000000000003</v>
      </c>
      <c r="AM3939">
        <v>2563</v>
      </c>
      <c r="AN3939">
        <v>13</v>
      </c>
      <c r="AO3939">
        <v>3.3E-3</v>
      </c>
      <c r="AP3939">
        <v>1</v>
      </c>
      <c r="AQ3939">
        <v>-0.67</v>
      </c>
      <c r="AR3939">
        <v>2.7</v>
      </c>
      <c r="AS3939">
        <v>1.76</v>
      </c>
      <c r="AT3939">
        <v>-16.170000000000002</v>
      </c>
      <c r="AU3939">
        <v>-28.79</v>
      </c>
      <c r="AV3939">
        <v>0</v>
      </c>
      <c r="AW3939">
        <v>8.4</v>
      </c>
      <c r="AX3939">
        <v>10</v>
      </c>
      <c r="AY3939">
        <v>17.66</v>
      </c>
      <c r="AZ3939">
        <v>13.53</v>
      </c>
      <c r="BA3939">
        <v>0.69</v>
      </c>
      <c r="BB3939" t="s">
        <v>143</v>
      </c>
      <c r="BF3939">
        <v>3.42</v>
      </c>
      <c r="BG3939">
        <v>3.96</v>
      </c>
      <c r="BH3939">
        <v>-2.08</v>
      </c>
      <c r="BI3939">
        <v>3.96</v>
      </c>
      <c r="BJ3939">
        <v>20210817</v>
      </c>
      <c r="BK3939">
        <v>20210528</v>
      </c>
      <c r="BL3939">
        <v>4</v>
      </c>
      <c r="BM3939" t="s">
        <v>120</v>
      </c>
      <c r="BN3939" t="s">
        <v>120</v>
      </c>
      <c r="BO3939">
        <v>52.91</v>
      </c>
      <c r="BP3939">
        <v>39.93</v>
      </c>
      <c r="BQ3939">
        <v>47.15</v>
      </c>
      <c r="BR3939" t="s">
        <v>120</v>
      </c>
      <c r="BS3939">
        <v>10.9</v>
      </c>
      <c r="BT3939">
        <v>31.72</v>
      </c>
      <c r="BU3939">
        <v>11.84</v>
      </c>
      <c r="BV3939">
        <v>1.05</v>
      </c>
      <c r="BW3939">
        <v>4.4000000000000004</v>
      </c>
      <c r="BX3939">
        <v>18.170000000000002</v>
      </c>
      <c r="BY3939">
        <v>7.57</v>
      </c>
      <c r="BZ3939">
        <v>0.63</v>
      </c>
      <c r="CA3939">
        <v>0.01</v>
      </c>
      <c r="CB3939">
        <v>20.63</v>
      </c>
      <c r="CC3939">
        <v>15.88</v>
      </c>
      <c r="CD3939">
        <v>10.96</v>
      </c>
      <c r="CE3939">
        <v>3.79</v>
      </c>
      <c r="CF3939">
        <v>0.06</v>
      </c>
      <c r="CG3939">
        <v>3.71</v>
      </c>
      <c r="CH3939">
        <v>3.64</v>
      </c>
      <c r="CI3939">
        <v>3.64</v>
      </c>
      <c r="CJ3939">
        <v>1.45</v>
      </c>
      <c r="CK3939">
        <v>3.64</v>
      </c>
      <c r="CL3939">
        <v>21.34</v>
      </c>
      <c r="CM3939">
        <v>0.86</v>
      </c>
      <c r="CN3939">
        <v>15.39</v>
      </c>
      <c r="CO3939">
        <v>39530</v>
      </c>
      <c r="CP3939">
        <v>1013</v>
      </c>
      <c r="CQ3939" t="s">
        <v>849</v>
      </c>
      <c r="CR3939">
        <v>0</v>
      </c>
      <c r="CS3939">
        <v>0</v>
      </c>
      <c r="CT3939">
        <v>3.39</v>
      </c>
      <c r="CU3939">
        <v>185.71</v>
      </c>
      <c r="CV3939">
        <v>10.06</v>
      </c>
      <c r="CW3939">
        <v>0.65</v>
      </c>
      <c r="CX3939" t="s">
        <v>9562</v>
      </c>
      <c r="CY3939">
        <v>11.78</v>
      </c>
      <c r="CZ3939">
        <v>0</v>
      </c>
      <c r="DA3939">
        <v>5.16</v>
      </c>
      <c r="DB3939">
        <v>5.33</v>
      </c>
      <c r="DC3939">
        <v>0.22</v>
      </c>
      <c r="DD3939">
        <v>89.1</v>
      </c>
      <c r="DE3939" t="s">
        <v>16031</v>
      </c>
      <c r="DF3939">
        <v>31</v>
      </c>
      <c r="DG3939">
        <v>23.84</v>
      </c>
      <c r="DH3939">
        <v>22.92</v>
      </c>
      <c r="DI3939">
        <v>0.12</v>
      </c>
      <c r="DJ3939">
        <v>1683</v>
      </c>
      <c r="DK3939">
        <v>605296</v>
      </c>
      <c r="DL3939" t="s">
        <v>120</v>
      </c>
      <c r="DM3939" t="s">
        <v>120</v>
      </c>
      <c r="DN3939" t="s">
        <v>120</v>
      </c>
    </row>
    <row r="3940" spans="1:118">
      <c r="A3940" t="str">
        <f>"605298"</f>
        <v>605298</v>
      </c>
      <c r="B3940" t="s">
        <v>16032</v>
      </c>
      <c r="C3940">
        <v>-0.78</v>
      </c>
      <c r="D3940">
        <v>0.05</v>
      </c>
      <c r="E3940">
        <v>0.36</v>
      </c>
      <c r="F3940">
        <v>39</v>
      </c>
      <c r="G3940" t="s">
        <v>6748</v>
      </c>
      <c r="H3940">
        <v>1343.02</v>
      </c>
      <c r="I3940">
        <v>0.57999999999999996</v>
      </c>
      <c r="J3940" t="s">
        <v>120</v>
      </c>
      <c r="K3940" t="s">
        <v>6748</v>
      </c>
      <c r="L3940">
        <v>2.59</v>
      </c>
      <c r="M3940">
        <v>19.079999999999998</v>
      </c>
      <c r="N3940">
        <v>0.81</v>
      </c>
      <c r="O3940">
        <v>0.99</v>
      </c>
      <c r="P3940">
        <v>19.420000000000002</v>
      </c>
      <c r="Q3940">
        <v>-0.94</v>
      </c>
      <c r="R3940">
        <v>19.05</v>
      </c>
      <c r="S3940">
        <v>19.3</v>
      </c>
      <c r="T3940">
        <v>6988</v>
      </c>
      <c r="U3940">
        <v>19.100000000000001</v>
      </c>
      <c r="V3940">
        <v>19.23</v>
      </c>
      <c r="W3940">
        <v>21.92</v>
      </c>
      <c r="X3940" t="s">
        <v>157</v>
      </c>
      <c r="Y3940" t="s">
        <v>319</v>
      </c>
      <c r="Z3940">
        <v>1.92</v>
      </c>
      <c r="AA3940">
        <v>19.22</v>
      </c>
      <c r="AB3940">
        <v>4957</v>
      </c>
      <c r="AC3940">
        <v>2031</v>
      </c>
      <c r="AD3940">
        <v>2.44</v>
      </c>
      <c r="AE3940">
        <v>73</v>
      </c>
      <c r="AF3940">
        <v>3</v>
      </c>
      <c r="AG3940" t="s">
        <v>120</v>
      </c>
      <c r="AH3940">
        <v>0</v>
      </c>
      <c r="AI3940" t="s">
        <v>120</v>
      </c>
      <c r="AJ3940">
        <v>0.27</v>
      </c>
      <c r="AK3940" t="s">
        <v>15316</v>
      </c>
      <c r="AL3940">
        <v>0.56000000000000005</v>
      </c>
      <c r="AM3940">
        <v>749</v>
      </c>
      <c r="AN3940">
        <v>9</v>
      </c>
      <c r="AO3940">
        <v>3.5000000000000001E-3</v>
      </c>
      <c r="AP3940">
        <v>-1</v>
      </c>
      <c r="AQ3940">
        <v>0.52</v>
      </c>
      <c r="AR3940">
        <v>-2.71</v>
      </c>
      <c r="AS3940">
        <v>0.1</v>
      </c>
      <c r="AT3940">
        <v>-4.12</v>
      </c>
      <c r="AU3940">
        <v>22.39</v>
      </c>
      <c r="AV3940">
        <v>1</v>
      </c>
      <c r="AW3940">
        <v>2.59</v>
      </c>
      <c r="AX3940">
        <v>25</v>
      </c>
      <c r="AY3940">
        <v>18.63</v>
      </c>
      <c r="AZ3940">
        <v>19.87</v>
      </c>
      <c r="BA3940">
        <v>0.66</v>
      </c>
      <c r="BB3940" t="s">
        <v>143</v>
      </c>
      <c r="BF3940">
        <v>-0.05</v>
      </c>
      <c r="BG3940">
        <v>-1.1399999999999999</v>
      </c>
      <c r="BH3940">
        <v>-1.75</v>
      </c>
      <c r="BI3940">
        <v>0.16</v>
      </c>
      <c r="BJ3940">
        <v>20210820</v>
      </c>
      <c r="BK3940">
        <v>20210301</v>
      </c>
      <c r="BL3940">
        <v>1.08</v>
      </c>
      <c r="BM3940" t="s">
        <v>120</v>
      </c>
      <c r="BN3940" t="s">
        <v>120</v>
      </c>
      <c r="BO3940">
        <v>10.24</v>
      </c>
      <c r="BP3940">
        <v>19.079999999999998</v>
      </c>
      <c r="BQ3940">
        <v>9.3000000000000007</v>
      </c>
      <c r="BR3940" t="s">
        <v>120</v>
      </c>
      <c r="BS3940">
        <v>9.18</v>
      </c>
      <c r="BT3940">
        <v>7.55</v>
      </c>
      <c r="BU3940">
        <v>0.35</v>
      </c>
      <c r="BV3940">
        <v>0.57999999999999996</v>
      </c>
      <c r="BW3940">
        <v>0.94</v>
      </c>
      <c r="BX3940">
        <v>3.45</v>
      </c>
      <c r="BY3940">
        <v>1.2</v>
      </c>
      <c r="BZ3940">
        <v>2.46</v>
      </c>
      <c r="CA3940" t="s">
        <v>120</v>
      </c>
      <c r="CB3940">
        <v>4.59</v>
      </c>
      <c r="CC3940">
        <v>1.59</v>
      </c>
      <c r="CD3940">
        <v>0.64</v>
      </c>
      <c r="CE3940">
        <v>0.55000000000000004</v>
      </c>
      <c r="CF3940">
        <v>0</v>
      </c>
      <c r="CG3940">
        <v>0.55000000000000004</v>
      </c>
      <c r="CH3940">
        <v>0.47</v>
      </c>
      <c r="CI3940">
        <v>0.47</v>
      </c>
      <c r="CJ3940">
        <v>-0.15</v>
      </c>
      <c r="CK3940">
        <v>0.47</v>
      </c>
      <c r="CL3940">
        <v>3.18</v>
      </c>
      <c r="CM3940">
        <v>0.08</v>
      </c>
      <c r="CN3940">
        <v>2.31</v>
      </c>
      <c r="CO3940">
        <v>14259</v>
      </c>
      <c r="CP3940">
        <v>1894</v>
      </c>
      <c r="CQ3940" t="s">
        <v>918</v>
      </c>
      <c r="CR3940">
        <v>17.489999999999998</v>
      </c>
      <c r="CS3940">
        <v>1.1399999999999999</v>
      </c>
      <c r="CT3940">
        <v>2.2200000000000002</v>
      </c>
      <c r="CU3940">
        <v>265.01</v>
      </c>
      <c r="CV3940">
        <v>12.97</v>
      </c>
      <c r="CW3940">
        <v>2.08</v>
      </c>
      <c r="CX3940" t="s">
        <v>1071</v>
      </c>
      <c r="CY3940">
        <v>8.61</v>
      </c>
      <c r="CZ3940">
        <v>0</v>
      </c>
      <c r="DA3940">
        <v>4.25</v>
      </c>
      <c r="DB3940">
        <v>2.94</v>
      </c>
      <c r="DC3940">
        <v>7.0000000000000007E-2</v>
      </c>
      <c r="DD3940">
        <v>90.82</v>
      </c>
      <c r="DE3940" t="s">
        <v>710</v>
      </c>
      <c r="DF3940">
        <v>59.49</v>
      </c>
      <c r="DG3940">
        <v>34.72</v>
      </c>
      <c r="DH3940">
        <v>29.6</v>
      </c>
      <c r="DI3940">
        <v>0.1</v>
      </c>
      <c r="DJ3940">
        <v>331</v>
      </c>
      <c r="DK3940">
        <v>605298</v>
      </c>
      <c r="DL3940" t="s">
        <v>120</v>
      </c>
      <c r="DM3940" t="s">
        <v>120</v>
      </c>
      <c r="DN3940" t="s">
        <v>120</v>
      </c>
    </row>
    <row r="3941" spans="1:118">
      <c r="A3941" t="str">
        <f>"605299"</f>
        <v>605299</v>
      </c>
      <c r="B3941" t="s">
        <v>16033</v>
      </c>
      <c r="C3941">
        <v>-6.76</v>
      </c>
      <c r="D3941">
        <v>0</v>
      </c>
      <c r="E3941">
        <v>-1.17</v>
      </c>
      <c r="F3941">
        <v>899</v>
      </c>
      <c r="G3941" t="s">
        <v>7304</v>
      </c>
      <c r="H3941">
        <v>13223</v>
      </c>
      <c r="I3941">
        <v>71.44</v>
      </c>
      <c r="J3941" t="s">
        <v>120</v>
      </c>
      <c r="K3941" t="s">
        <v>7304</v>
      </c>
      <c r="L3941">
        <v>12.76</v>
      </c>
      <c r="M3941">
        <v>20</v>
      </c>
      <c r="N3941">
        <v>1.01</v>
      </c>
      <c r="O3941">
        <v>1.54</v>
      </c>
      <c r="P3941">
        <v>21.78</v>
      </c>
      <c r="Q3941">
        <v>-6.9</v>
      </c>
      <c r="R3941">
        <v>19.97</v>
      </c>
      <c r="S3941">
        <v>21.2</v>
      </c>
      <c r="T3941">
        <v>63801</v>
      </c>
      <c r="U3941">
        <v>20.010000000000002</v>
      </c>
      <c r="V3941">
        <v>21.45</v>
      </c>
      <c r="W3941">
        <v>71.12</v>
      </c>
      <c r="X3941" t="s">
        <v>213</v>
      </c>
      <c r="Y3941" t="s">
        <v>937</v>
      </c>
      <c r="Z3941">
        <v>8.44</v>
      </c>
      <c r="AA3941">
        <v>20.73</v>
      </c>
      <c r="AB3941">
        <v>36700</v>
      </c>
      <c r="AC3941">
        <v>27101</v>
      </c>
      <c r="AD3941">
        <v>1.35</v>
      </c>
      <c r="AE3941">
        <v>332</v>
      </c>
      <c r="AF3941">
        <v>10</v>
      </c>
      <c r="AG3941" t="s">
        <v>120</v>
      </c>
      <c r="AH3941">
        <v>7.0000000000000007E-2</v>
      </c>
      <c r="AI3941" t="s">
        <v>120</v>
      </c>
      <c r="AJ3941">
        <v>0.5</v>
      </c>
      <c r="AK3941" t="s">
        <v>2048</v>
      </c>
      <c r="AL3941">
        <v>-5.42</v>
      </c>
      <c r="AM3941">
        <v>2963</v>
      </c>
      <c r="AN3941">
        <v>22</v>
      </c>
      <c r="AO3941">
        <v>4.3E-3</v>
      </c>
      <c r="AP3941">
        <v>-3</v>
      </c>
      <c r="AQ3941">
        <v>-3.38</v>
      </c>
      <c r="AR3941">
        <v>-13.61</v>
      </c>
      <c r="AS3941">
        <v>-2.91</v>
      </c>
      <c r="AT3941">
        <v>0.5</v>
      </c>
      <c r="AU3941">
        <v>61.94</v>
      </c>
      <c r="AV3941">
        <v>15</v>
      </c>
      <c r="AW3941">
        <v>12.76</v>
      </c>
      <c r="AX3941">
        <v>12.15</v>
      </c>
      <c r="AY3941">
        <v>62.61</v>
      </c>
      <c r="AZ3941">
        <v>64.45</v>
      </c>
      <c r="BA3941">
        <v>1.63</v>
      </c>
      <c r="BB3941" t="s">
        <v>240</v>
      </c>
      <c r="BF3941">
        <v>-3.38</v>
      </c>
      <c r="BG3941">
        <v>-5.66</v>
      </c>
      <c r="BH3941">
        <v>-8.17</v>
      </c>
      <c r="BI3941">
        <v>0.15</v>
      </c>
      <c r="BJ3941">
        <v>20210824</v>
      </c>
      <c r="BK3941">
        <v>20201215</v>
      </c>
      <c r="BL3941">
        <v>4.1100000000000003</v>
      </c>
      <c r="BM3941" t="s">
        <v>120</v>
      </c>
      <c r="BN3941" t="s">
        <v>120</v>
      </c>
      <c r="BO3941">
        <v>18.02</v>
      </c>
      <c r="BP3941">
        <v>20</v>
      </c>
      <c r="BQ3941">
        <v>12.27</v>
      </c>
      <c r="BR3941" t="s">
        <v>120</v>
      </c>
      <c r="BS3941">
        <v>31.92</v>
      </c>
      <c r="BT3941">
        <v>9.06</v>
      </c>
      <c r="BU3941">
        <v>7.12</v>
      </c>
      <c r="BV3941">
        <v>1.02</v>
      </c>
      <c r="BW3941">
        <v>5.01</v>
      </c>
      <c r="BX3941">
        <v>1.61</v>
      </c>
      <c r="BY3941">
        <v>3</v>
      </c>
      <c r="BZ3941">
        <v>2.71</v>
      </c>
      <c r="CA3941" t="s">
        <v>120</v>
      </c>
      <c r="CB3941">
        <v>3.5</v>
      </c>
      <c r="CC3941">
        <v>7.28</v>
      </c>
      <c r="CD3941">
        <v>5.2</v>
      </c>
      <c r="CE3941">
        <v>0.75</v>
      </c>
      <c r="CF3941">
        <v>0.03</v>
      </c>
      <c r="CG3941">
        <v>0.74</v>
      </c>
      <c r="CH3941">
        <v>0.57999999999999996</v>
      </c>
      <c r="CI3941">
        <v>0.57999999999999996</v>
      </c>
      <c r="CJ3941">
        <v>-1.45</v>
      </c>
      <c r="CK3941">
        <v>0.49</v>
      </c>
      <c r="CL3941">
        <v>3.88</v>
      </c>
      <c r="CM3941">
        <v>-0.95</v>
      </c>
      <c r="CN3941">
        <v>-2.71</v>
      </c>
      <c r="CO3941">
        <v>13437</v>
      </c>
      <c r="CP3941">
        <v>3721</v>
      </c>
      <c r="CQ3941" t="s">
        <v>6671</v>
      </c>
      <c r="CR3941">
        <v>7.48</v>
      </c>
      <c r="CS3941">
        <v>18.72</v>
      </c>
      <c r="CT3941">
        <v>6.71</v>
      </c>
      <c r="CU3941">
        <v>-86.92</v>
      </c>
      <c r="CV3941">
        <v>11.31</v>
      </c>
      <c r="CW3941">
        <v>1.4</v>
      </c>
      <c r="CX3941" t="s">
        <v>300</v>
      </c>
      <c r="CY3941">
        <v>2.98</v>
      </c>
      <c r="CZ3941">
        <v>0</v>
      </c>
      <c r="DA3941">
        <v>0.85</v>
      </c>
      <c r="DB3941">
        <v>0.94</v>
      </c>
      <c r="DC3941">
        <v>-0.23</v>
      </c>
      <c r="DD3941">
        <v>68.08</v>
      </c>
      <c r="DE3941" t="s">
        <v>2571</v>
      </c>
      <c r="DF3941">
        <v>28.59</v>
      </c>
      <c r="DG3941">
        <v>10.33</v>
      </c>
      <c r="DH3941">
        <v>7.95</v>
      </c>
      <c r="DI3941">
        <v>0.16</v>
      </c>
      <c r="DJ3941">
        <v>2577</v>
      </c>
      <c r="DK3941">
        <v>605299</v>
      </c>
      <c r="DL3941">
        <v>20210725</v>
      </c>
      <c r="DM3941">
        <v>16.73</v>
      </c>
      <c r="DN3941">
        <v>19.55</v>
      </c>
    </row>
    <row r="3942" spans="1:118">
      <c r="A3942" t="str">
        <f>"605300"</f>
        <v>605300</v>
      </c>
      <c r="B3942" t="s">
        <v>16034</v>
      </c>
      <c r="C3942">
        <v>0.11</v>
      </c>
      <c r="D3942">
        <v>0.05</v>
      </c>
      <c r="E3942">
        <v>0</v>
      </c>
      <c r="F3942">
        <v>153</v>
      </c>
      <c r="G3942" t="s">
        <v>16035</v>
      </c>
      <c r="H3942">
        <v>3214.57</v>
      </c>
      <c r="I3942">
        <v>1.28</v>
      </c>
      <c r="J3942" t="s">
        <v>120</v>
      </c>
      <c r="K3942" t="s">
        <v>16035</v>
      </c>
      <c r="L3942">
        <v>4.3499999999999996</v>
      </c>
      <c r="M3942">
        <v>18.309999999999999</v>
      </c>
      <c r="N3942">
        <v>1.01</v>
      </c>
      <c r="O3942">
        <v>2.84</v>
      </c>
      <c r="P3942">
        <v>18.809999999999999</v>
      </c>
      <c r="Q3942">
        <v>-1.0900000000000001</v>
      </c>
      <c r="R3942">
        <v>18.09</v>
      </c>
      <c r="S3942">
        <v>18.29</v>
      </c>
      <c r="T3942">
        <v>17398</v>
      </c>
      <c r="U3942">
        <v>18.309999999999999</v>
      </c>
      <c r="V3942">
        <v>18.29</v>
      </c>
      <c r="W3942">
        <v>50.86</v>
      </c>
      <c r="X3942" t="s">
        <v>847</v>
      </c>
      <c r="Y3942" t="s">
        <v>319</v>
      </c>
      <c r="Z3942">
        <v>3.94</v>
      </c>
      <c r="AA3942">
        <v>18.48</v>
      </c>
      <c r="AB3942">
        <v>7402</v>
      </c>
      <c r="AC3942">
        <v>9996</v>
      </c>
      <c r="AD3942">
        <v>0.74</v>
      </c>
      <c r="AE3942">
        <v>107</v>
      </c>
      <c r="AF3942">
        <v>84</v>
      </c>
      <c r="AG3942" t="s">
        <v>120</v>
      </c>
      <c r="AH3942">
        <v>0</v>
      </c>
      <c r="AI3942" t="s">
        <v>120</v>
      </c>
      <c r="AJ3942">
        <v>0.4</v>
      </c>
      <c r="AK3942" t="s">
        <v>11805</v>
      </c>
      <c r="AL3942">
        <v>1.45</v>
      </c>
      <c r="AM3942">
        <v>1427</v>
      </c>
      <c r="AN3942">
        <v>12</v>
      </c>
      <c r="AO3942">
        <v>3.0000000000000001E-3</v>
      </c>
      <c r="AP3942">
        <v>1</v>
      </c>
      <c r="AQ3942">
        <v>-2.2400000000000002</v>
      </c>
      <c r="AR3942">
        <v>-4.4800000000000004</v>
      </c>
      <c r="AS3942">
        <v>-9.4499999999999993</v>
      </c>
      <c r="AT3942">
        <v>-28.53</v>
      </c>
      <c r="AU3942">
        <v>62.76</v>
      </c>
      <c r="AV3942">
        <v>7</v>
      </c>
      <c r="AW3942">
        <v>4.3499999999999996</v>
      </c>
      <c r="AX3942">
        <v>10</v>
      </c>
      <c r="AY3942">
        <v>34.869999999999997</v>
      </c>
      <c r="AZ3942">
        <v>33.89</v>
      </c>
      <c r="BA3942">
        <v>2.0099999999999998</v>
      </c>
      <c r="BB3942" t="s">
        <v>134</v>
      </c>
      <c r="BF3942">
        <v>1.02</v>
      </c>
      <c r="BG3942">
        <v>0.11</v>
      </c>
      <c r="BH3942">
        <v>-2.66</v>
      </c>
      <c r="BI3942">
        <v>1.22</v>
      </c>
      <c r="BJ3942">
        <v>20210825</v>
      </c>
      <c r="BK3942">
        <v>20210430</v>
      </c>
      <c r="BL3942">
        <v>4</v>
      </c>
      <c r="BM3942" t="s">
        <v>120</v>
      </c>
      <c r="BN3942" t="s">
        <v>120</v>
      </c>
      <c r="BO3942">
        <v>22.7</v>
      </c>
      <c r="BP3942">
        <v>18.3</v>
      </c>
      <c r="BQ3942">
        <v>18.77</v>
      </c>
      <c r="BR3942">
        <v>0.01</v>
      </c>
      <c r="BS3942">
        <v>17.25</v>
      </c>
      <c r="BT3942">
        <v>15.18</v>
      </c>
      <c r="BU3942">
        <v>5.42</v>
      </c>
      <c r="BV3942">
        <v>0.57999999999999996</v>
      </c>
      <c r="BW3942">
        <v>3.54</v>
      </c>
      <c r="BX3942">
        <v>4.12</v>
      </c>
      <c r="BY3942">
        <v>3.48</v>
      </c>
      <c r="BZ3942">
        <v>1.87</v>
      </c>
      <c r="CA3942" t="s">
        <v>120</v>
      </c>
      <c r="CB3942">
        <v>7.95</v>
      </c>
      <c r="CC3942">
        <v>11.09</v>
      </c>
      <c r="CD3942">
        <v>9.51</v>
      </c>
      <c r="CE3942">
        <v>0.96</v>
      </c>
      <c r="CF3942">
        <v>0</v>
      </c>
      <c r="CG3942">
        <v>0.93</v>
      </c>
      <c r="CH3942">
        <v>0.72</v>
      </c>
      <c r="CI3942">
        <v>0.72</v>
      </c>
      <c r="CJ3942">
        <v>0.02</v>
      </c>
      <c r="CK3942">
        <v>0.66</v>
      </c>
      <c r="CL3942">
        <v>6.23</v>
      </c>
      <c r="CM3942">
        <v>-0.3</v>
      </c>
      <c r="CN3942">
        <v>1.2</v>
      </c>
      <c r="CO3942">
        <v>19278</v>
      </c>
      <c r="CP3942">
        <v>2075</v>
      </c>
      <c r="CQ3942" t="s">
        <v>1349</v>
      </c>
      <c r="CR3942">
        <v>0</v>
      </c>
      <c r="CS3942">
        <v>0</v>
      </c>
      <c r="CT3942">
        <v>3.9</v>
      </c>
      <c r="CU3942">
        <v>-245.55</v>
      </c>
      <c r="CV3942">
        <v>6.61</v>
      </c>
      <c r="CW3942">
        <v>0</v>
      </c>
      <c r="CX3942" t="s">
        <v>442</v>
      </c>
      <c r="CY3942">
        <v>4.6900000000000004</v>
      </c>
      <c r="CZ3942">
        <v>0</v>
      </c>
      <c r="DA3942">
        <v>1.99</v>
      </c>
      <c r="DB3942">
        <v>1.56</v>
      </c>
      <c r="DC3942">
        <v>-7.0000000000000007E-2</v>
      </c>
      <c r="DD3942">
        <v>82.7</v>
      </c>
      <c r="DE3942" t="s">
        <v>11137</v>
      </c>
      <c r="DF3942">
        <v>14.21</v>
      </c>
      <c r="DG3942">
        <v>8.6300000000000008</v>
      </c>
      <c r="DH3942">
        <v>6.49</v>
      </c>
      <c r="DI3942">
        <v>0.12</v>
      </c>
      <c r="DJ3942">
        <v>804</v>
      </c>
      <c r="DK3942">
        <v>605300</v>
      </c>
      <c r="DL3942" t="s">
        <v>120</v>
      </c>
      <c r="DM3942" t="s">
        <v>120</v>
      </c>
      <c r="DN3942" t="s">
        <v>120</v>
      </c>
    </row>
    <row r="3943" spans="1:118">
      <c r="A3943" t="str">
        <f>"605303"</f>
        <v>605303</v>
      </c>
      <c r="B3943" t="s">
        <v>16036</v>
      </c>
      <c r="C3943">
        <v>0.44</v>
      </c>
      <c r="D3943">
        <v>0</v>
      </c>
      <c r="E3943">
        <v>0.44</v>
      </c>
      <c r="F3943">
        <v>170</v>
      </c>
      <c r="G3943" t="s">
        <v>15853</v>
      </c>
      <c r="H3943">
        <v>2113.94</v>
      </c>
      <c r="I3943">
        <v>10.48</v>
      </c>
      <c r="J3943" t="s">
        <v>120</v>
      </c>
      <c r="K3943" t="s">
        <v>15853</v>
      </c>
      <c r="L3943">
        <v>3.29</v>
      </c>
      <c r="M3943">
        <v>15.88</v>
      </c>
      <c r="N3943">
        <v>0.95</v>
      </c>
      <c r="O3943">
        <v>1.64</v>
      </c>
      <c r="P3943">
        <v>16.07</v>
      </c>
      <c r="Q3943">
        <v>0</v>
      </c>
      <c r="R3943">
        <v>15.81</v>
      </c>
      <c r="S3943">
        <v>15.88</v>
      </c>
      <c r="T3943">
        <v>13259</v>
      </c>
      <c r="U3943">
        <v>15.89</v>
      </c>
      <c r="V3943">
        <v>15.81</v>
      </c>
      <c r="W3943">
        <v>38.64</v>
      </c>
      <c r="X3943" t="s">
        <v>175</v>
      </c>
      <c r="Y3943" t="s">
        <v>585</v>
      </c>
      <c r="Z3943">
        <v>1.64</v>
      </c>
      <c r="AA3943">
        <v>15.94</v>
      </c>
      <c r="AB3943">
        <v>7009</v>
      </c>
      <c r="AC3943">
        <v>6250</v>
      </c>
      <c r="AD3943">
        <v>1.1200000000000001</v>
      </c>
      <c r="AE3943">
        <v>17</v>
      </c>
      <c r="AF3943">
        <v>204</v>
      </c>
      <c r="AG3943" t="s">
        <v>120</v>
      </c>
      <c r="AH3943">
        <v>0.02</v>
      </c>
      <c r="AI3943" t="s">
        <v>120</v>
      </c>
      <c r="AJ3943">
        <v>0.4</v>
      </c>
      <c r="AK3943" t="s">
        <v>5340</v>
      </c>
      <c r="AL3943">
        <v>1.79</v>
      </c>
      <c r="AM3943">
        <v>1049</v>
      </c>
      <c r="AN3943">
        <v>13</v>
      </c>
      <c r="AO3943">
        <v>3.0999999999999999E-3</v>
      </c>
      <c r="AP3943">
        <v>1</v>
      </c>
      <c r="AQ3943">
        <v>-0.32</v>
      </c>
      <c r="AR3943">
        <v>-1.68</v>
      </c>
      <c r="AS3943">
        <v>0.06</v>
      </c>
      <c r="AT3943">
        <v>-15.13</v>
      </c>
      <c r="AU3943">
        <v>-2.46</v>
      </c>
      <c r="AV3943">
        <v>6</v>
      </c>
      <c r="AW3943">
        <v>3.29</v>
      </c>
      <c r="AX3943">
        <v>25</v>
      </c>
      <c r="AY3943">
        <v>25.8</v>
      </c>
      <c r="AZ3943">
        <v>23.23</v>
      </c>
      <c r="BA3943">
        <v>0.95</v>
      </c>
      <c r="BB3943" t="s">
        <v>125</v>
      </c>
      <c r="BF3943">
        <v>0.85</v>
      </c>
      <c r="BG3943">
        <v>0</v>
      </c>
      <c r="BH3943">
        <v>-1.18</v>
      </c>
      <c r="BI3943">
        <v>0.44</v>
      </c>
      <c r="BJ3943">
        <v>20210827</v>
      </c>
      <c r="BK3943">
        <v>20210301</v>
      </c>
      <c r="BL3943">
        <v>1.61</v>
      </c>
      <c r="BM3943" t="s">
        <v>120</v>
      </c>
      <c r="BN3943" t="s">
        <v>120</v>
      </c>
      <c r="BO3943">
        <v>31.84</v>
      </c>
      <c r="BP3943">
        <v>15.88</v>
      </c>
      <c r="BQ3943">
        <v>16.47</v>
      </c>
      <c r="BR3943">
        <v>0.01</v>
      </c>
      <c r="BS3943">
        <v>48.23</v>
      </c>
      <c r="BT3943">
        <v>27.85</v>
      </c>
      <c r="BU3943">
        <v>0.02</v>
      </c>
      <c r="BV3943">
        <v>0.06</v>
      </c>
      <c r="BW3943">
        <v>13.84</v>
      </c>
      <c r="BX3943">
        <v>4.42</v>
      </c>
      <c r="BY3943">
        <v>0.24</v>
      </c>
      <c r="BZ3943">
        <v>11.8</v>
      </c>
      <c r="CA3943" t="s">
        <v>120</v>
      </c>
      <c r="CB3943">
        <v>8.9600000000000009</v>
      </c>
      <c r="CC3943">
        <v>6.22</v>
      </c>
      <c r="CD3943">
        <v>4.91</v>
      </c>
      <c r="CE3943">
        <v>0.39</v>
      </c>
      <c r="CF3943">
        <v>0</v>
      </c>
      <c r="CG3943">
        <v>0.38</v>
      </c>
      <c r="CH3943">
        <v>0.33</v>
      </c>
      <c r="CI3943">
        <v>0.33</v>
      </c>
      <c r="CJ3943">
        <v>7.0000000000000007E-2</v>
      </c>
      <c r="CK3943">
        <v>0.32</v>
      </c>
      <c r="CL3943">
        <v>5.27</v>
      </c>
      <c r="CM3943">
        <v>-2.4300000000000002</v>
      </c>
      <c r="CN3943">
        <v>1</v>
      </c>
      <c r="CO3943">
        <v>20511</v>
      </c>
      <c r="CP3943">
        <v>1965</v>
      </c>
      <c r="CQ3943" t="s">
        <v>5237</v>
      </c>
      <c r="CR3943">
        <v>-24.81</v>
      </c>
      <c r="CS3943">
        <v>-9.48</v>
      </c>
      <c r="CT3943">
        <v>1.55</v>
      </c>
      <c r="CU3943">
        <v>-10.52</v>
      </c>
      <c r="CV3943">
        <v>4.12</v>
      </c>
      <c r="CW3943">
        <v>0.63</v>
      </c>
      <c r="CX3943" t="s">
        <v>3361</v>
      </c>
      <c r="CY3943">
        <v>10.220000000000001</v>
      </c>
      <c r="CZ3943">
        <v>0</v>
      </c>
      <c r="DA3943">
        <v>5.56</v>
      </c>
      <c r="DB3943">
        <v>3.27</v>
      </c>
      <c r="DC3943">
        <v>-1.51</v>
      </c>
      <c r="DD3943">
        <v>51.73</v>
      </c>
      <c r="DE3943" t="s">
        <v>493</v>
      </c>
      <c r="DF3943">
        <v>20.98</v>
      </c>
      <c r="DG3943">
        <v>6.23</v>
      </c>
      <c r="DH3943">
        <v>5.33</v>
      </c>
      <c r="DI3943">
        <v>0.17</v>
      </c>
      <c r="DJ3943">
        <v>512</v>
      </c>
      <c r="DK3943">
        <v>605303</v>
      </c>
      <c r="DL3943" t="s">
        <v>120</v>
      </c>
      <c r="DM3943" t="s">
        <v>120</v>
      </c>
      <c r="DN3943" t="s">
        <v>120</v>
      </c>
    </row>
    <row r="3944" spans="1:118">
      <c r="A3944" t="str">
        <f>"605305"</f>
        <v>605305</v>
      </c>
      <c r="B3944" t="s">
        <v>16037</v>
      </c>
      <c r="C3944">
        <v>0.08</v>
      </c>
      <c r="D3944">
        <v>-0.2</v>
      </c>
      <c r="E3944">
        <v>0.15</v>
      </c>
      <c r="F3944">
        <v>204</v>
      </c>
      <c r="G3944" t="s">
        <v>140</v>
      </c>
      <c r="H3944">
        <v>15804.79</v>
      </c>
      <c r="I3944">
        <v>202.09</v>
      </c>
      <c r="J3944" t="s">
        <v>120</v>
      </c>
      <c r="K3944" t="s">
        <v>140</v>
      </c>
      <c r="L3944">
        <v>6.72</v>
      </c>
      <c r="M3944">
        <v>84</v>
      </c>
      <c r="N3944">
        <v>1.18</v>
      </c>
      <c r="O3944">
        <v>5.9</v>
      </c>
      <c r="P3944">
        <v>88.88</v>
      </c>
      <c r="Q3944">
        <v>-2.2799999999999998</v>
      </c>
      <c r="R3944">
        <v>82.02</v>
      </c>
      <c r="S3944">
        <v>84.06</v>
      </c>
      <c r="T3944">
        <v>18482</v>
      </c>
      <c r="U3944">
        <v>84.01</v>
      </c>
      <c r="V3944">
        <v>83.93</v>
      </c>
      <c r="W3944">
        <v>37.51</v>
      </c>
      <c r="X3944" t="s">
        <v>675</v>
      </c>
      <c r="Y3944" t="s">
        <v>158</v>
      </c>
      <c r="Z3944">
        <v>8.17</v>
      </c>
      <c r="AA3944">
        <v>85.51</v>
      </c>
      <c r="AB3944">
        <v>9733</v>
      </c>
      <c r="AC3944">
        <v>8749</v>
      </c>
      <c r="AD3944">
        <v>1.1100000000000001</v>
      </c>
      <c r="AE3944">
        <v>16</v>
      </c>
      <c r="AF3944">
        <v>8</v>
      </c>
      <c r="AG3944" t="s">
        <v>120</v>
      </c>
      <c r="AH3944">
        <v>0.09</v>
      </c>
      <c r="AI3944" t="s">
        <v>120</v>
      </c>
      <c r="AJ3944">
        <v>0.28000000000000003</v>
      </c>
      <c r="AK3944" t="s">
        <v>16038</v>
      </c>
      <c r="AL3944">
        <v>1.43</v>
      </c>
      <c r="AM3944">
        <v>2480</v>
      </c>
      <c r="AN3944">
        <v>7</v>
      </c>
      <c r="AO3944">
        <v>2.7000000000000001E-3</v>
      </c>
      <c r="AP3944">
        <v>4</v>
      </c>
      <c r="AQ3944">
        <v>3.81</v>
      </c>
      <c r="AR3944">
        <v>8.32</v>
      </c>
      <c r="AS3944">
        <v>40.94</v>
      </c>
      <c r="AT3944">
        <v>57.42</v>
      </c>
      <c r="AU3944">
        <v>121.4</v>
      </c>
      <c r="AV3944">
        <v>8</v>
      </c>
      <c r="AW3944">
        <v>6.72</v>
      </c>
      <c r="AX3944">
        <v>25</v>
      </c>
      <c r="AY3944">
        <v>43.51</v>
      </c>
      <c r="AZ3944">
        <v>49.87</v>
      </c>
      <c r="BA3944">
        <v>0.72</v>
      </c>
      <c r="BB3944" t="s">
        <v>184</v>
      </c>
      <c r="BF3944">
        <v>1.89</v>
      </c>
      <c r="BG3944">
        <v>-7.0000000000000007E-2</v>
      </c>
      <c r="BH3944">
        <v>-5.49</v>
      </c>
      <c r="BI3944">
        <v>2.41</v>
      </c>
      <c r="BJ3944">
        <v>20210825</v>
      </c>
      <c r="BK3944">
        <v>20210506</v>
      </c>
      <c r="BL3944">
        <v>1.1000000000000001</v>
      </c>
      <c r="BM3944" t="s">
        <v>120</v>
      </c>
      <c r="BN3944" t="s">
        <v>120</v>
      </c>
      <c r="BO3944">
        <v>22.71</v>
      </c>
      <c r="BP3944">
        <v>84</v>
      </c>
      <c r="BQ3944">
        <v>20.079999999999998</v>
      </c>
      <c r="BR3944" t="s">
        <v>120</v>
      </c>
      <c r="BS3944">
        <v>11.57</v>
      </c>
      <c r="BT3944">
        <v>21.72</v>
      </c>
      <c r="BU3944">
        <v>0.66</v>
      </c>
      <c r="BV3944">
        <v>0.14000000000000001</v>
      </c>
      <c r="BW3944">
        <v>2.4900000000000002</v>
      </c>
      <c r="BX3944">
        <v>15.66</v>
      </c>
      <c r="BY3944">
        <v>1.89</v>
      </c>
      <c r="BZ3944">
        <v>2.2400000000000002</v>
      </c>
      <c r="CA3944" t="s">
        <v>120</v>
      </c>
      <c r="CB3944">
        <v>12.63</v>
      </c>
      <c r="CC3944">
        <v>3.86</v>
      </c>
      <c r="CD3944">
        <v>1.61</v>
      </c>
      <c r="CE3944">
        <v>1.41</v>
      </c>
      <c r="CF3944">
        <v>0.02</v>
      </c>
      <c r="CG3944">
        <v>1.41</v>
      </c>
      <c r="CH3944">
        <v>1.23</v>
      </c>
      <c r="CI3944">
        <v>1.23</v>
      </c>
      <c r="CJ3944">
        <v>7.0000000000000007E-2</v>
      </c>
      <c r="CK3944">
        <v>1.17</v>
      </c>
      <c r="CL3944">
        <v>5.73</v>
      </c>
      <c r="CM3944">
        <v>0.4</v>
      </c>
      <c r="CN3944">
        <v>10.039999999999999</v>
      </c>
      <c r="CO3944">
        <v>9971</v>
      </c>
      <c r="CP3944">
        <v>2758</v>
      </c>
      <c r="CQ3944" t="s">
        <v>16039</v>
      </c>
      <c r="CR3944">
        <v>0</v>
      </c>
      <c r="CS3944">
        <v>0</v>
      </c>
      <c r="CT3944">
        <v>4.5999999999999996</v>
      </c>
      <c r="CU3944">
        <v>231.04</v>
      </c>
      <c r="CV3944">
        <v>23.94</v>
      </c>
      <c r="CW3944">
        <v>0.6</v>
      </c>
      <c r="CX3944" t="s">
        <v>9552</v>
      </c>
      <c r="CY3944">
        <v>18.260000000000002</v>
      </c>
      <c r="CZ3944">
        <v>0</v>
      </c>
      <c r="DA3944">
        <v>11.48</v>
      </c>
      <c r="DB3944">
        <v>5.21</v>
      </c>
      <c r="DC3944">
        <v>0.36</v>
      </c>
      <c r="DD3944">
        <v>88.43</v>
      </c>
      <c r="DE3944" t="s">
        <v>3432</v>
      </c>
      <c r="DF3944">
        <v>58.17</v>
      </c>
      <c r="DG3944">
        <v>36.5</v>
      </c>
      <c r="DH3944">
        <v>31.91</v>
      </c>
      <c r="DI3944">
        <v>0.24</v>
      </c>
      <c r="DJ3944">
        <v>700</v>
      </c>
      <c r="DK3944">
        <v>605305</v>
      </c>
      <c r="DL3944">
        <v>20210728</v>
      </c>
      <c r="DM3944">
        <v>55.1</v>
      </c>
      <c r="DN3944">
        <v>52.45</v>
      </c>
    </row>
    <row r="3945" spans="1:118">
      <c r="A3945" t="str">
        <f>"605318"</f>
        <v>605318</v>
      </c>
      <c r="B3945" t="s">
        <v>16040</v>
      </c>
      <c r="C3945">
        <v>-1.1100000000000001</v>
      </c>
      <c r="D3945">
        <v>7.0000000000000007E-2</v>
      </c>
      <c r="E3945">
        <v>0</v>
      </c>
      <c r="F3945">
        <v>106</v>
      </c>
      <c r="G3945" t="s">
        <v>16041</v>
      </c>
      <c r="H3945">
        <v>1356.35</v>
      </c>
      <c r="I3945">
        <v>0.14000000000000001</v>
      </c>
      <c r="J3945" t="s">
        <v>120</v>
      </c>
      <c r="K3945" t="s">
        <v>16041</v>
      </c>
      <c r="L3945">
        <v>2.91</v>
      </c>
      <c r="M3945">
        <v>14.27</v>
      </c>
      <c r="N3945">
        <v>1.19</v>
      </c>
      <c r="O3945">
        <v>0.9</v>
      </c>
      <c r="P3945">
        <v>14.56</v>
      </c>
      <c r="Q3945">
        <v>-1.18</v>
      </c>
      <c r="R3945">
        <v>14.26</v>
      </c>
      <c r="S3945">
        <v>14.43</v>
      </c>
      <c r="T3945">
        <v>9401</v>
      </c>
      <c r="U3945">
        <v>14.28</v>
      </c>
      <c r="V3945">
        <v>14.43</v>
      </c>
      <c r="W3945">
        <v>32.51</v>
      </c>
      <c r="X3945" t="s">
        <v>3122</v>
      </c>
      <c r="Y3945" t="s">
        <v>585</v>
      </c>
      <c r="Z3945">
        <v>2.08</v>
      </c>
      <c r="AA3945">
        <v>14.43</v>
      </c>
      <c r="AB3945">
        <v>4501</v>
      </c>
      <c r="AC3945">
        <v>4900</v>
      </c>
      <c r="AD3945">
        <v>0.92</v>
      </c>
      <c r="AE3945">
        <v>33</v>
      </c>
      <c r="AF3945">
        <v>48</v>
      </c>
      <c r="AG3945" t="s">
        <v>120</v>
      </c>
      <c r="AH3945">
        <v>0</v>
      </c>
      <c r="AI3945" t="s">
        <v>120</v>
      </c>
      <c r="AJ3945">
        <v>0.32</v>
      </c>
      <c r="AK3945" t="s">
        <v>16042</v>
      </c>
      <c r="AL3945">
        <v>0.23</v>
      </c>
      <c r="AM3945">
        <v>789</v>
      </c>
      <c r="AN3945">
        <v>12</v>
      </c>
      <c r="AO3945">
        <v>3.7000000000000002E-3</v>
      </c>
      <c r="AP3945">
        <v>-1</v>
      </c>
      <c r="AQ3945">
        <v>1.19</v>
      </c>
      <c r="AR3945">
        <v>-1.59</v>
      </c>
      <c r="AS3945">
        <v>2.96</v>
      </c>
      <c r="AT3945">
        <v>-0.76</v>
      </c>
      <c r="AU3945">
        <v>-0.76</v>
      </c>
      <c r="AV3945">
        <v>3</v>
      </c>
      <c r="AW3945">
        <v>2.91</v>
      </c>
      <c r="AX3945">
        <v>25</v>
      </c>
      <c r="AY3945">
        <v>26.67</v>
      </c>
      <c r="AZ3945">
        <v>29.04</v>
      </c>
      <c r="BA3945">
        <v>0.52</v>
      </c>
      <c r="BB3945" t="s">
        <v>184</v>
      </c>
      <c r="BF3945">
        <v>-0.02</v>
      </c>
      <c r="BG3945">
        <v>-1.1100000000000001</v>
      </c>
      <c r="BH3945">
        <v>-1.99</v>
      </c>
      <c r="BI3945">
        <v>7.0000000000000007E-2</v>
      </c>
      <c r="BJ3945">
        <v>20210913</v>
      </c>
      <c r="BK3945">
        <v>20200803</v>
      </c>
      <c r="BL3945">
        <v>1.29</v>
      </c>
      <c r="BM3945" t="s">
        <v>120</v>
      </c>
      <c r="BN3945" t="s">
        <v>120</v>
      </c>
      <c r="BO3945">
        <v>11.75</v>
      </c>
      <c r="BP3945">
        <v>14.27</v>
      </c>
      <c r="BQ3945">
        <v>8.4</v>
      </c>
      <c r="BR3945" t="s">
        <v>120</v>
      </c>
      <c r="BS3945">
        <v>28.5</v>
      </c>
      <c r="BT3945">
        <v>8.66</v>
      </c>
      <c r="BU3945">
        <v>2.29</v>
      </c>
      <c r="BV3945">
        <v>0.54</v>
      </c>
      <c r="BW3945">
        <v>3.33</v>
      </c>
      <c r="BX3945">
        <v>6.15</v>
      </c>
      <c r="BY3945">
        <v>1.19</v>
      </c>
      <c r="BZ3945">
        <v>0.48</v>
      </c>
      <c r="CA3945" t="s">
        <v>120</v>
      </c>
      <c r="CB3945">
        <v>4.99</v>
      </c>
      <c r="CC3945">
        <v>2.38</v>
      </c>
      <c r="CD3945">
        <v>1.66</v>
      </c>
      <c r="CE3945">
        <v>0.32</v>
      </c>
      <c r="CF3945">
        <v>0.02</v>
      </c>
      <c r="CG3945">
        <v>0.32</v>
      </c>
      <c r="CH3945">
        <v>0.28000000000000003</v>
      </c>
      <c r="CI3945">
        <v>0.28000000000000003</v>
      </c>
      <c r="CJ3945">
        <v>-0.16</v>
      </c>
      <c r="CK3945">
        <v>0.27</v>
      </c>
      <c r="CL3945">
        <v>1.91</v>
      </c>
      <c r="CM3945">
        <v>0.16</v>
      </c>
      <c r="CN3945">
        <v>0.75</v>
      </c>
      <c r="CO3945">
        <v>11448</v>
      </c>
      <c r="CP3945">
        <v>2821</v>
      </c>
      <c r="CQ3945" t="s">
        <v>483</v>
      </c>
      <c r="CR3945">
        <v>25.11</v>
      </c>
      <c r="CS3945">
        <v>50.53</v>
      </c>
      <c r="CT3945">
        <v>2.19</v>
      </c>
      <c r="CU3945">
        <v>116.98</v>
      </c>
      <c r="CV3945">
        <v>7.75</v>
      </c>
      <c r="CW3945">
        <v>2.08</v>
      </c>
      <c r="CX3945" t="s">
        <v>3361</v>
      </c>
      <c r="CY3945">
        <v>6.5</v>
      </c>
      <c r="CZ3945">
        <v>0</v>
      </c>
      <c r="DA3945">
        <v>3.86</v>
      </c>
      <c r="DB3945">
        <v>1.48</v>
      </c>
      <c r="DC3945">
        <v>0.12</v>
      </c>
      <c r="DD3945">
        <v>71.5</v>
      </c>
      <c r="DE3945" t="s">
        <v>543</v>
      </c>
      <c r="DF3945">
        <v>30.35</v>
      </c>
      <c r="DG3945">
        <v>13.51</v>
      </c>
      <c r="DH3945">
        <v>11.93</v>
      </c>
      <c r="DI3945">
        <v>0.09</v>
      </c>
      <c r="DJ3945">
        <v>620</v>
      </c>
      <c r="DK3945">
        <v>605318</v>
      </c>
      <c r="DL3945" t="s">
        <v>120</v>
      </c>
      <c r="DM3945" t="s">
        <v>120</v>
      </c>
      <c r="DN3945" t="s">
        <v>120</v>
      </c>
    </row>
    <row r="3946" spans="1:118">
      <c r="A3946" t="str">
        <f>"605319"</f>
        <v>605319</v>
      </c>
      <c r="B3946" t="s">
        <v>16043</v>
      </c>
      <c r="C3946">
        <v>-2</v>
      </c>
      <c r="D3946">
        <v>-0.06</v>
      </c>
      <c r="E3946">
        <v>-0.67</v>
      </c>
      <c r="F3946">
        <v>202</v>
      </c>
      <c r="G3946" t="s">
        <v>15149</v>
      </c>
      <c r="H3946">
        <v>2528.9899999999998</v>
      </c>
      <c r="I3946">
        <v>5.66</v>
      </c>
      <c r="J3946" t="s">
        <v>120</v>
      </c>
      <c r="K3946" t="s">
        <v>15149</v>
      </c>
      <c r="L3946">
        <v>3.41</v>
      </c>
      <c r="M3946">
        <v>14.7</v>
      </c>
      <c r="N3946">
        <v>0.97</v>
      </c>
      <c r="O3946">
        <v>0.33</v>
      </c>
      <c r="P3946">
        <v>15.05</v>
      </c>
      <c r="Q3946">
        <v>-2</v>
      </c>
      <c r="R3946">
        <v>14.7</v>
      </c>
      <c r="S3946">
        <v>14.9</v>
      </c>
      <c r="T3946">
        <v>17035</v>
      </c>
      <c r="U3946">
        <v>14.71</v>
      </c>
      <c r="V3946">
        <v>15</v>
      </c>
      <c r="W3946">
        <v>36.39</v>
      </c>
      <c r="X3946" t="s">
        <v>289</v>
      </c>
      <c r="Y3946" t="s">
        <v>319</v>
      </c>
      <c r="Z3946">
        <v>2.33</v>
      </c>
      <c r="AA3946">
        <v>14.85</v>
      </c>
      <c r="AB3946">
        <v>11562</v>
      </c>
      <c r="AC3946">
        <v>5473</v>
      </c>
      <c r="AD3946">
        <v>2.11</v>
      </c>
      <c r="AE3946">
        <v>283</v>
      </c>
      <c r="AF3946">
        <v>247</v>
      </c>
      <c r="AG3946" t="s">
        <v>120</v>
      </c>
      <c r="AH3946">
        <v>0.01</v>
      </c>
      <c r="AI3946" t="s">
        <v>120</v>
      </c>
      <c r="AJ3946">
        <v>0.5</v>
      </c>
      <c r="AK3946" t="s">
        <v>3427</v>
      </c>
      <c r="AL3946">
        <v>-0.66</v>
      </c>
      <c r="AM3946">
        <v>1139</v>
      </c>
      <c r="AN3946">
        <v>15</v>
      </c>
      <c r="AO3946">
        <v>3.0000000000000001E-3</v>
      </c>
      <c r="AP3946">
        <v>-1</v>
      </c>
      <c r="AQ3946">
        <v>0.13</v>
      </c>
      <c r="AR3946">
        <v>-3.3</v>
      </c>
      <c r="AS3946">
        <v>-11.34</v>
      </c>
      <c r="AT3946">
        <v>-24.62</v>
      </c>
      <c r="AU3946">
        <v>31.02</v>
      </c>
      <c r="AV3946">
        <v>2</v>
      </c>
      <c r="AW3946">
        <v>3.41</v>
      </c>
      <c r="AX3946">
        <v>25</v>
      </c>
      <c r="AY3946">
        <v>26.98</v>
      </c>
      <c r="AZ3946">
        <v>28.46</v>
      </c>
      <c r="BA3946">
        <v>0.74</v>
      </c>
      <c r="BB3946" t="s">
        <v>143</v>
      </c>
      <c r="BF3946">
        <v>-1.03</v>
      </c>
      <c r="BG3946">
        <v>-1.34</v>
      </c>
      <c r="BH3946">
        <v>-2.33</v>
      </c>
      <c r="BI3946">
        <v>0</v>
      </c>
      <c r="BJ3946">
        <v>20210827</v>
      </c>
      <c r="BK3946">
        <v>20210607</v>
      </c>
      <c r="BL3946">
        <v>2</v>
      </c>
      <c r="BM3946" t="s">
        <v>120</v>
      </c>
      <c r="BN3946" t="s">
        <v>120</v>
      </c>
      <c r="BO3946">
        <v>26.88</v>
      </c>
      <c r="BP3946">
        <v>14.7</v>
      </c>
      <c r="BQ3946">
        <v>17.09</v>
      </c>
      <c r="BR3946" t="s">
        <v>120</v>
      </c>
      <c r="BS3946">
        <v>36.409999999999997</v>
      </c>
      <c r="BT3946">
        <v>12.73</v>
      </c>
      <c r="BU3946">
        <v>9.8800000000000008</v>
      </c>
      <c r="BV3946">
        <v>1.89</v>
      </c>
      <c r="BW3946">
        <v>8.94</v>
      </c>
      <c r="BX3946">
        <v>2.9</v>
      </c>
      <c r="BY3946">
        <v>2.41</v>
      </c>
      <c r="BZ3946">
        <v>5.84</v>
      </c>
      <c r="CA3946" t="s">
        <v>120</v>
      </c>
      <c r="CB3946">
        <v>11.11</v>
      </c>
      <c r="CC3946">
        <v>6.58</v>
      </c>
      <c r="CD3946">
        <v>5.43</v>
      </c>
      <c r="CE3946">
        <v>0.53</v>
      </c>
      <c r="CF3946">
        <v>0</v>
      </c>
      <c r="CG3946">
        <v>0.5</v>
      </c>
      <c r="CH3946">
        <v>0.4</v>
      </c>
      <c r="CI3946">
        <v>0.4</v>
      </c>
      <c r="CJ3946">
        <v>-0.3</v>
      </c>
      <c r="CK3946">
        <v>0.4</v>
      </c>
      <c r="CL3946">
        <v>3.74</v>
      </c>
      <c r="CM3946">
        <v>0.68</v>
      </c>
      <c r="CN3946">
        <v>1.63</v>
      </c>
      <c r="CO3946">
        <v>30603</v>
      </c>
      <c r="CP3946">
        <v>1634</v>
      </c>
      <c r="CQ3946" t="s">
        <v>11981</v>
      </c>
      <c r="CR3946">
        <v>0</v>
      </c>
      <c r="CS3946">
        <v>0</v>
      </c>
      <c r="CT3946">
        <v>1.72</v>
      </c>
      <c r="CU3946">
        <v>42.97</v>
      </c>
      <c r="CV3946">
        <v>4.47</v>
      </c>
      <c r="CW3946">
        <v>0</v>
      </c>
      <c r="CX3946" t="s">
        <v>1233</v>
      </c>
      <c r="CY3946">
        <v>8.5399999999999991</v>
      </c>
      <c r="CZ3946">
        <v>0</v>
      </c>
      <c r="DA3946">
        <v>5.56</v>
      </c>
      <c r="DB3946">
        <v>1.87</v>
      </c>
      <c r="DC3946">
        <v>0.34</v>
      </c>
      <c r="DD3946">
        <v>63.59</v>
      </c>
      <c r="DE3946" t="s">
        <v>8303</v>
      </c>
      <c r="DF3946">
        <v>17.45</v>
      </c>
      <c r="DG3946">
        <v>8.02</v>
      </c>
      <c r="DH3946">
        <v>6.14</v>
      </c>
      <c r="DI3946">
        <v>0.21</v>
      </c>
      <c r="DJ3946">
        <v>1904</v>
      </c>
      <c r="DK3946">
        <v>605319</v>
      </c>
      <c r="DL3946" t="s">
        <v>120</v>
      </c>
      <c r="DM3946" t="s">
        <v>120</v>
      </c>
      <c r="DN3946" t="s">
        <v>120</v>
      </c>
    </row>
    <row r="3947" spans="1:118">
      <c r="A3947" t="str">
        <f>"605333"</f>
        <v>605333</v>
      </c>
      <c r="B3947" t="s">
        <v>16044</v>
      </c>
      <c r="C3947">
        <v>-0.79</v>
      </c>
      <c r="D3947">
        <v>-0.06</v>
      </c>
      <c r="E3947">
        <v>-1.08</v>
      </c>
      <c r="F3947">
        <v>287</v>
      </c>
      <c r="G3947" t="s">
        <v>9885</v>
      </c>
      <c r="H3947">
        <v>3233.65</v>
      </c>
      <c r="I3947">
        <v>14.77</v>
      </c>
      <c r="J3947" t="s">
        <v>120</v>
      </c>
      <c r="K3947" t="s">
        <v>9885</v>
      </c>
      <c r="L3947">
        <v>3.74</v>
      </c>
      <c r="M3947">
        <v>13.84</v>
      </c>
      <c r="N3947">
        <v>0.72</v>
      </c>
      <c r="O3947">
        <v>0.43</v>
      </c>
      <c r="P3947">
        <v>14.01</v>
      </c>
      <c r="Q3947">
        <v>-1.79</v>
      </c>
      <c r="R3947">
        <v>13.7</v>
      </c>
      <c r="S3947">
        <v>13.8</v>
      </c>
      <c r="T3947">
        <v>23381</v>
      </c>
      <c r="U3947">
        <v>13.85</v>
      </c>
      <c r="V3947">
        <v>13.95</v>
      </c>
      <c r="W3947">
        <v>106.23</v>
      </c>
      <c r="X3947" t="s">
        <v>289</v>
      </c>
      <c r="Y3947" t="s">
        <v>319</v>
      </c>
      <c r="Z3947">
        <v>2.2200000000000002</v>
      </c>
      <c r="AA3947">
        <v>13.83</v>
      </c>
      <c r="AB3947">
        <v>15329</v>
      </c>
      <c r="AC3947">
        <v>8052</v>
      </c>
      <c r="AD3947">
        <v>1.9</v>
      </c>
      <c r="AE3947">
        <v>77</v>
      </c>
      <c r="AF3947">
        <v>98</v>
      </c>
      <c r="AG3947" t="s">
        <v>120</v>
      </c>
      <c r="AH3947">
        <v>0.02</v>
      </c>
      <c r="AI3947" t="s">
        <v>120</v>
      </c>
      <c r="AJ3947">
        <v>0.63</v>
      </c>
      <c r="AK3947" t="s">
        <v>16045</v>
      </c>
      <c r="AL3947">
        <v>0.56000000000000005</v>
      </c>
      <c r="AM3947">
        <v>1411</v>
      </c>
      <c r="AN3947">
        <v>17</v>
      </c>
      <c r="AO3947">
        <v>2.5999999999999999E-3</v>
      </c>
      <c r="AP3947">
        <v>-1</v>
      </c>
      <c r="AQ3947">
        <v>2.8</v>
      </c>
      <c r="AR3947">
        <v>1.32</v>
      </c>
      <c r="AS3947">
        <v>-0.36</v>
      </c>
      <c r="AT3947">
        <v>-2.7</v>
      </c>
      <c r="AU3947">
        <v>-6.96</v>
      </c>
      <c r="AV3947">
        <v>10</v>
      </c>
      <c r="AW3947">
        <v>3.74</v>
      </c>
      <c r="AX3947">
        <v>15.6</v>
      </c>
      <c r="AY3947">
        <v>72.459999999999994</v>
      </c>
      <c r="AZ3947">
        <v>75.36</v>
      </c>
      <c r="BA3947">
        <v>0.93</v>
      </c>
      <c r="BB3947" t="s">
        <v>184</v>
      </c>
      <c r="BF3947">
        <v>-0.86</v>
      </c>
      <c r="BG3947">
        <v>0.28999999999999998</v>
      </c>
      <c r="BH3947">
        <v>-1.21</v>
      </c>
      <c r="BI3947">
        <v>1.02</v>
      </c>
      <c r="BJ3947">
        <v>20210827</v>
      </c>
      <c r="BK3947">
        <v>20200818</v>
      </c>
      <c r="BL3947">
        <v>4.01</v>
      </c>
      <c r="BM3947" t="s">
        <v>120</v>
      </c>
      <c r="BN3947" t="s">
        <v>120</v>
      </c>
      <c r="BO3947">
        <v>23.77</v>
      </c>
      <c r="BP3947">
        <v>13.84</v>
      </c>
      <c r="BQ3947">
        <v>7.8</v>
      </c>
      <c r="BR3947" t="s">
        <v>120</v>
      </c>
      <c r="BS3947">
        <v>67.19</v>
      </c>
      <c r="BT3947">
        <v>14.56</v>
      </c>
      <c r="BU3947">
        <v>6.25</v>
      </c>
      <c r="BV3947">
        <v>0.93</v>
      </c>
      <c r="BW3947">
        <v>11.99</v>
      </c>
      <c r="BX3947">
        <v>1.37</v>
      </c>
      <c r="BY3947">
        <v>3.85</v>
      </c>
      <c r="BZ3947">
        <v>8.51</v>
      </c>
      <c r="CA3947" t="s">
        <v>120</v>
      </c>
      <c r="CB3947">
        <v>1.32</v>
      </c>
      <c r="CC3947">
        <v>9.85</v>
      </c>
      <c r="CD3947">
        <v>8.51</v>
      </c>
      <c r="CE3947">
        <v>0.3</v>
      </c>
      <c r="CF3947">
        <v>0.03</v>
      </c>
      <c r="CG3947">
        <v>0.28999999999999998</v>
      </c>
      <c r="CH3947">
        <v>0.26</v>
      </c>
      <c r="CI3947">
        <v>0.26</v>
      </c>
      <c r="CJ3947">
        <v>-0.11</v>
      </c>
      <c r="CK3947">
        <v>0.22</v>
      </c>
      <c r="CL3947">
        <v>2.19</v>
      </c>
      <c r="CM3947">
        <v>-0.48</v>
      </c>
      <c r="CN3947">
        <v>0.25</v>
      </c>
      <c r="CO3947">
        <v>15404</v>
      </c>
      <c r="CP3947">
        <v>4062</v>
      </c>
      <c r="CQ3947" t="s">
        <v>5313</v>
      </c>
      <c r="CR3947">
        <v>12.85</v>
      </c>
      <c r="CS3947">
        <v>70.180000000000007</v>
      </c>
      <c r="CT3947">
        <v>7.12</v>
      </c>
      <c r="CU3947">
        <v>-116.11</v>
      </c>
      <c r="CV3947">
        <v>5.64</v>
      </c>
      <c r="CW3947">
        <v>0.47</v>
      </c>
      <c r="CX3947" t="s">
        <v>1064</v>
      </c>
      <c r="CY3947">
        <v>1.95</v>
      </c>
      <c r="CZ3947">
        <v>0</v>
      </c>
      <c r="DA3947">
        <v>0.33</v>
      </c>
      <c r="DB3947">
        <v>0.55000000000000004</v>
      </c>
      <c r="DC3947">
        <v>-0.12</v>
      </c>
      <c r="DD3947">
        <v>32.81</v>
      </c>
      <c r="DE3947" t="s">
        <v>739</v>
      </c>
      <c r="DF3947">
        <v>13.59</v>
      </c>
      <c r="DG3947">
        <v>3.04</v>
      </c>
      <c r="DH3947">
        <v>2.65</v>
      </c>
      <c r="DI3947">
        <v>0.52</v>
      </c>
      <c r="DJ3947">
        <v>3320</v>
      </c>
      <c r="DK3947">
        <v>605333</v>
      </c>
      <c r="DL3947" t="s">
        <v>120</v>
      </c>
      <c r="DM3947" t="s">
        <v>120</v>
      </c>
      <c r="DN3947" t="s">
        <v>120</v>
      </c>
    </row>
    <row r="3948" spans="1:118">
      <c r="A3948" t="str">
        <f>"605336"</f>
        <v>605336</v>
      </c>
      <c r="B3948" t="s">
        <v>16046</v>
      </c>
      <c r="C3948">
        <v>-4.16</v>
      </c>
      <c r="D3948">
        <v>0</v>
      </c>
      <c r="E3948">
        <v>-0.3</v>
      </c>
      <c r="F3948">
        <v>507</v>
      </c>
      <c r="G3948" t="s">
        <v>16047</v>
      </c>
      <c r="H3948">
        <v>3258.41</v>
      </c>
      <c r="I3948">
        <v>7.6</v>
      </c>
      <c r="J3948" t="s">
        <v>120</v>
      </c>
      <c r="K3948" t="s">
        <v>16047</v>
      </c>
      <c r="L3948">
        <v>3.11</v>
      </c>
      <c r="M3948">
        <v>29.23</v>
      </c>
      <c r="N3948">
        <v>1.3</v>
      </c>
      <c r="O3948">
        <v>-0.2</v>
      </c>
      <c r="P3948">
        <v>30.44</v>
      </c>
      <c r="Q3948">
        <v>-4.2300000000000004</v>
      </c>
      <c r="R3948">
        <v>29.21</v>
      </c>
      <c r="S3948">
        <v>30.41</v>
      </c>
      <c r="T3948">
        <v>10949</v>
      </c>
      <c r="U3948">
        <v>29.25</v>
      </c>
      <c r="V3948">
        <v>30.5</v>
      </c>
      <c r="W3948">
        <v>16.68</v>
      </c>
      <c r="X3948" t="s">
        <v>205</v>
      </c>
      <c r="Y3948" t="s">
        <v>585</v>
      </c>
      <c r="Z3948">
        <v>4.03</v>
      </c>
      <c r="AA3948">
        <v>29.76</v>
      </c>
      <c r="AB3948">
        <v>7631</v>
      </c>
      <c r="AC3948">
        <v>3318</v>
      </c>
      <c r="AD3948">
        <v>2.2999999999999998</v>
      </c>
      <c r="AE3948">
        <v>21</v>
      </c>
      <c r="AF3948">
        <v>8</v>
      </c>
      <c r="AG3948" t="s">
        <v>120</v>
      </c>
      <c r="AH3948">
        <v>0.01</v>
      </c>
      <c r="AI3948" t="s">
        <v>120</v>
      </c>
      <c r="AJ3948">
        <v>0.35</v>
      </c>
      <c r="AK3948" t="s">
        <v>16048</v>
      </c>
      <c r="AL3948">
        <v>-2.82</v>
      </c>
      <c r="AM3948">
        <v>1267</v>
      </c>
      <c r="AN3948">
        <v>9</v>
      </c>
      <c r="AO3948">
        <v>2.5000000000000001E-3</v>
      </c>
      <c r="AP3948">
        <v>-2</v>
      </c>
      <c r="AQ3948">
        <v>-0.36</v>
      </c>
      <c r="AR3948">
        <v>-3.09</v>
      </c>
      <c r="AS3948">
        <v>-0.92</v>
      </c>
      <c r="AT3948">
        <v>5.22</v>
      </c>
      <c r="AU3948">
        <v>4.5999999999999996</v>
      </c>
      <c r="AV3948">
        <v>1</v>
      </c>
      <c r="AW3948">
        <v>3.11</v>
      </c>
      <c r="AX3948">
        <v>24.78</v>
      </c>
      <c r="AY3948">
        <v>17.829999999999998</v>
      </c>
      <c r="AZ3948">
        <v>22.3</v>
      </c>
      <c r="BA3948">
        <v>0.6</v>
      </c>
      <c r="BB3948" t="s">
        <v>143</v>
      </c>
      <c r="BF3948">
        <v>-2.4300000000000002</v>
      </c>
      <c r="BG3948">
        <v>-3.88</v>
      </c>
      <c r="BH3948">
        <v>-3.98</v>
      </c>
      <c r="BI3948">
        <v>7.0000000000000007E-2</v>
      </c>
      <c r="BJ3948">
        <v>20210825</v>
      </c>
      <c r="BK3948">
        <v>20201019</v>
      </c>
      <c r="BL3948">
        <v>1.42</v>
      </c>
      <c r="BM3948" t="s">
        <v>120</v>
      </c>
      <c r="BN3948" t="s">
        <v>120</v>
      </c>
      <c r="BO3948">
        <v>21.01</v>
      </c>
      <c r="BP3948">
        <v>29.23</v>
      </c>
      <c r="BQ3948">
        <v>17.66</v>
      </c>
      <c r="BR3948" t="s">
        <v>120</v>
      </c>
      <c r="BS3948">
        <v>15.95</v>
      </c>
      <c r="BT3948">
        <v>11.31</v>
      </c>
      <c r="BU3948">
        <v>2.44</v>
      </c>
      <c r="BV3948">
        <v>0.57999999999999996</v>
      </c>
      <c r="BW3948">
        <v>3.22</v>
      </c>
      <c r="BX3948">
        <v>4.92</v>
      </c>
      <c r="BY3948">
        <v>1.1100000000000001</v>
      </c>
      <c r="BZ3948">
        <v>0.03</v>
      </c>
      <c r="CA3948" t="s">
        <v>120</v>
      </c>
      <c r="CB3948">
        <v>10.36</v>
      </c>
      <c r="CC3948">
        <v>4.1900000000000004</v>
      </c>
      <c r="CD3948">
        <v>2.14</v>
      </c>
      <c r="CE3948">
        <v>1.45</v>
      </c>
      <c r="CF3948">
        <v>0.03</v>
      </c>
      <c r="CG3948">
        <v>1.45</v>
      </c>
      <c r="CH3948">
        <v>1.24</v>
      </c>
      <c r="CI3948">
        <v>1.24</v>
      </c>
      <c r="CJ3948">
        <v>-1.27</v>
      </c>
      <c r="CK3948">
        <v>1.08</v>
      </c>
      <c r="CL3948">
        <v>5.5</v>
      </c>
      <c r="CM3948">
        <v>0.67</v>
      </c>
      <c r="CN3948">
        <v>-3.9</v>
      </c>
      <c r="CO3948">
        <v>12755</v>
      </c>
      <c r="CP3948">
        <v>2760</v>
      </c>
      <c r="CQ3948" t="s">
        <v>8269</v>
      </c>
      <c r="CR3948">
        <v>64.19</v>
      </c>
      <c r="CS3948">
        <v>60.15</v>
      </c>
      <c r="CT3948">
        <v>2.35</v>
      </c>
      <c r="CU3948">
        <v>61.68</v>
      </c>
      <c r="CV3948">
        <v>9.91</v>
      </c>
      <c r="CW3948">
        <v>1.35</v>
      </c>
      <c r="CX3948" t="s">
        <v>465</v>
      </c>
      <c r="CY3948">
        <v>12.44</v>
      </c>
      <c r="CZ3948">
        <v>0</v>
      </c>
      <c r="DA3948">
        <v>7.29</v>
      </c>
      <c r="DB3948">
        <v>3.87</v>
      </c>
      <c r="DC3948">
        <v>0.47</v>
      </c>
      <c r="DD3948">
        <v>84.05</v>
      </c>
      <c r="DE3948" t="s">
        <v>6037</v>
      </c>
      <c r="DF3948">
        <v>48.96</v>
      </c>
      <c r="DG3948">
        <v>34.520000000000003</v>
      </c>
      <c r="DH3948">
        <v>29.71</v>
      </c>
      <c r="DI3948">
        <v>0.16</v>
      </c>
      <c r="DJ3948">
        <v>1036</v>
      </c>
      <c r="DK3948">
        <v>605336</v>
      </c>
      <c r="DL3948" t="s">
        <v>120</v>
      </c>
      <c r="DM3948" t="s">
        <v>120</v>
      </c>
      <c r="DN3948" t="s">
        <v>120</v>
      </c>
    </row>
    <row r="3949" spans="1:118">
      <c r="A3949" t="str">
        <f>"605337"</f>
        <v>605337</v>
      </c>
      <c r="B3949" t="s">
        <v>16049</v>
      </c>
      <c r="C3949">
        <v>1.06</v>
      </c>
      <c r="D3949">
        <v>0</v>
      </c>
      <c r="E3949">
        <v>-0.08</v>
      </c>
      <c r="F3949">
        <v>187</v>
      </c>
      <c r="G3949" t="s">
        <v>16050</v>
      </c>
      <c r="H3949">
        <v>8296.9500000000007</v>
      </c>
      <c r="I3949">
        <v>29.57</v>
      </c>
      <c r="J3949" t="s">
        <v>120</v>
      </c>
      <c r="K3949" t="s">
        <v>16050</v>
      </c>
      <c r="L3949">
        <v>3.83</v>
      </c>
      <c r="M3949">
        <v>39.880000000000003</v>
      </c>
      <c r="N3949">
        <v>1.6</v>
      </c>
      <c r="O3949">
        <v>4.87</v>
      </c>
      <c r="P3949">
        <v>41.38</v>
      </c>
      <c r="Q3949">
        <v>-0.96</v>
      </c>
      <c r="R3949">
        <v>39.08</v>
      </c>
      <c r="S3949">
        <v>39.43</v>
      </c>
      <c r="T3949">
        <v>20762</v>
      </c>
      <c r="U3949">
        <v>39.89</v>
      </c>
      <c r="V3949">
        <v>39.46</v>
      </c>
      <c r="W3949">
        <v>33.51</v>
      </c>
      <c r="X3949" t="s">
        <v>4454</v>
      </c>
      <c r="Y3949" t="s">
        <v>585</v>
      </c>
      <c r="Z3949">
        <v>5.83</v>
      </c>
      <c r="AA3949">
        <v>39.96</v>
      </c>
      <c r="AB3949">
        <v>9734</v>
      </c>
      <c r="AC3949">
        <v>11028</v>
      </c>
      <c r="AD3949">
        <v>0.88</v>
      </c>
      <c r="AE3949">
        <v>132</v>
      </c>
      <c r="AF3949">
        <v>44</v>
      </c>
      <c r="AG3949" t="s">
        <v>120</v>
      </c>
      <c r="AH3949">
        <v>0.01</v>
      </c>
      <c r="AI3949" t="s">
        <v>120</v>
      </c>
      <c r="AJ3949">
        <v>0.54</v>
      </c>
      <c r="AK3949" t="s">
        <v>16051</v>
      </c>
      <c r="AL3949">
        <v>2.41</v>
      </c>
      <c r="AM3949">
        <v>2238</v>
      </c>
      <c r="AN3949">
        <v>9</v>
      </c>
      <c r="AO3949">
        <v>1.6999999999999999E-3</v>
      </c>
      <c r="AP3949">
        <v>1</v>
      </c>
      <c r="AQ3949">
        <v>-1.1000000000000001</v>
      </c>
      <c r="AR3949">
        <v>-1.1200000000000001</v>
      </c>
      <c r="AS3949">
        <v>-16.22</v>
      </c>
      <c r="AT3949">
        <v>-32.909999999999997</v>
      </c>
      <c r="AU3949">
        <v>185.73</v>
      </c>
      <c r="AV3949">
        <v>13</v>
      </c>
      <c r="AW3949">
        <v>3.83</v>
      </c>
      <c r="AX3949">
        <v>25</v>
      </c>
      <c r="AY3949">
        <v>32.74</v>
      </c>
      <c r="AZ3949">
        <v>39.86</v>
      </c>
      <c r="BA3949">
        <v>1.29</v>
      </c>
      <c r="BB3949" t="s">
        <v>134</v>
      </c>
      <c r="BF3949">
        <v>1.27</v>
      </c>
      <c r="BG3949">
        <v>1.1399999999999999</v>
      </c>
      <c r="BH3949">
        <v>-3.62</v>
      </c>
      <c r="BI3949">
        <v>2.0499999999999998</v>
      </c>
      <c r="BJ3949">
        <v>20210827</v>
      </c>
      <c r="BK3949">
        <v>20210208</v>
      </c>
      <c r="BL3949">
        <v>2.17</v>
      </c>
      <c r="BM3949" t="s">
        <v>120</v>
      </c>
      <c r="BN3949" t="s">
        <v>120</v>
      </c>
      <c r="BO3949">
        <v>18.78</v>
      </c>
      <c r="BP3949">
        <v>39.880000000000003</v>
      </c>
      <c r="BQ3949">
        <v>14.72</v>
      </c>
      <c r="BR3949" t="s">
        <v>120</v>
      </c>
      <c r="BS3949">
        <v>21.64</v>
      </c>
      <c r="BT3949">
        <v>10.66</v>
      </c>
      <c r="BU3949">
        <v>4.49</v>
      </c>
      <c r="BV3949">
        <v>1.29</v>
      </c>
      <c r="BW3949">
        <v>3.43</v>
      </c>
      <c r="BX3949">
        <v>6.99</v>
      </c>
      <c r="BY3949">
        <v>2.2000000000000002</v>
      </c>
      <c r="BZ3949">
        <v>0.02</v>
      </c>
      <c r="CA3949">
        <v>0</v>
      </c>
      <c r="CB3949">
        <v>7.47</v>
      </c>
      <c r="CC3949">
        <v>6.8</v>
      </c>
      <c r="CD3949">
        <v>4.29</v>
      </c>
      <c r="CE3949">
        <v>1.68</v>
      </c>
      <c r="CF3949">
        <v>0</v>
      </c>
      <c r="CG3949">
        <v>1.67</v>
      </c>
      <c r="CH3949">
        <v>1.29</v>
      </c>
      <c r="CI3949">
        <v>1.29</v>
      </c>
      <c r="CJ3949">
        <v>0.42</v>
      </c>
      <c r="CK3949">
        <v>1.1599999999999999</v>
      </c>
      <c r="CL3949">
        <v>4.63</v>
      </c>
      <c r="CM3949">
        <v>1.06</v>
      </c>
      <c r="CN3949">
        <v>4.37</v>
      </c>
      <c r="CO3949">
        <v>30830</v>
      </c>
      <c r="CP3949">
        <v>1757</v>
      </c>
      <c r="CQ3949" t="s">
        <v>8990</v>
      </c>
      <c r="CR3949">
        <v>56.63</v>
      </c>
      <c r="CS3949">
        <v>58.2</v>
      </c>
      <c r="CT3949">
        <v>5.87</v>
      </c>
      <c r="CU3949">
        <v>81.650000000000006</v>
      </c>
      <c r="CV3949">
        <v>12.71</v>
      </c>
      <c r="CW3949">
        <v>0.91</v>
      </c>
      <c r="CX3949" t="s">
        <v>8995</v>
      </c>
      <c r="CY3949">
        <v>6.79</v>
      </c>
      <c r="CZ3949">
        <v>0</v>
      </c>
      <c r="DA3949">
        <v>3.45</v>
      </c>
      <c r="DB3949">
        <v>2.14</v>
      </c>
      <c r="DC3949">
        <v>0.49</v>
      </c>
      <c r="DD3949">
        <v>78.36</v>
      </c>
      <c r="DE3949" t="s">
        <v>598</v>
      </c>
      <c r="DF3949">
        <v>36.99</v>
      </c>
      <c r="DG3949">
        <v>24.68</v>
      </c>
      <c r="DH3949">
        <v>18.96</v>
      </c>
      <c r="DI3949">
        <v>0.05</v>
      </c>
      <c r="DJ3949">
        <v>1457</v>
      </c>
      <c r="DK3949">
        <v>605337</v>
      </c>
      <c r="DL3949" t="s">
        <v>120</v>
      </c>
      <c r="DM3949" t="s">
        <v>120</v>
      </c>
      <c r="DN3949" t="s">
        <v>120</v>
      </c>
    </row>
    <row r="3950" spans="1:118">
      <c r="A3950" t="str">
        <f>"605338"</f>
        <v>605338</v>
      </c>
      <c r="B3950" t="s">
        <v>16052</v>
      </c>
      <c r="C3950">
        <v>-2.89</v>
      </c>
      <c r="D3950">
        <v>-0.43</v>
      </c>
      <c r="E3950">
        <v>-0.46</v>
      </c>
      <c r="F3950">
        <v>267</v>
      </c>
      <c r="G3950" t="s">
        <v>16053</v>
      </c>
      <c r="H3950">
        <v>5215.67</v>
      </c>
      <c r="I3950">
        <v>28.29</v>
      </c>
      <c r="J3950" t="s">
        <v>120</v>
      </c>
      <c r="K3950" t="s">
        <v>16053</v>
      </c>
      <c r="L3950">
        <v>2.46</v>
      </c>
      <c r="M3950">
        <v>33.659999999999997</v>
      </c>
      <c r="N3950">
        <v>0.9</v>
      </c>
      <c r="O3950">
        <v>0.81</v>
      </c>
      <c r="P3950">
        <v>34.94</v>
      </c>
      <c r="Q3950">
        <v>-3.61</v>
      </c>
      <c r="R3950">
        <v>33.409999999999997</v>
      </c>
      <c r="S3950">
        <v>34.5</v>
      </c>
      <c r="T3950">
        <v>15262</v>
      </c>
      <c r="U3950">
        <v>33.71</v>
      </c>
      <c r="V3950">
        <v>34.659999999999997</v>
      </c>
      <c r="W3950">
        <v>19.760000000000002</v>
      </c>
      <c r="X3950" t="s">
        <v>847</v>
      </c>
      <c r="Y3950" t="s">
        <v>1510</v>
      </c>
      <c r="Z3950">
        <v>4.41</v>
      </c>
      <c r="AA3950">
        <v>34.17</v>
      </c>
      <c r="AB3950">
        <v>8965</v>
      </c>
      <c r="AC3950">
        <v>6297</v>
      </c>
      <c r="AD3950">
        <v>1.42</v>
      </c>
      <c r="AE3950">
        <v>11</v>
      </c>
      <c r="AF3950">
        <v>29</v>
      </c>
      <c r="AG3950" t="s">
        <v>120</v>
      </c>
      <c r="AH3950">
        <v>0.01</v>
      </c>
      <c r="AI3950" t="s">
        <v>120</v>
      </c>
      <c r="AJ3950">
        <v>0.62</v>
      </c>
      <c r="AK3950" t="s">
        <v>16054</v>
      </c>
      <c r="AL3950">
        <v>-1.54</v>
      </c>
      <c r="AM3950">
        <v>1812</v>
      </c>
      <c r="AN3950">
        <v>8</v>
      </c>
      <c r="AO3950">
        <v>1.4E-3</v>
      </c>
      <c r="AP3950">
        <v>-1</v>
      </c>
      <c r="AQ3950">
        <v>1.1399999999999999</v>
      </c>
      <c r="AR3950">
        <v>-1.49</v>
      </c>
      <c r="AS3950">
        <v>4.8600000000000003</v>
      </c>
      <c r="AT3950">
        <v>0.06</v>
      </c>
      <c r="AU3950">
        <v>-10.48</v>
      </c>
      <c r="AV3950">
        <v>10</v>
      </c>
      <c r="AW3950">
        <v>2.46</v>
      </c>
      <c r="AX3950">
        <v>25</v>
      </c>
      <c r="AY3950">
        <v>25.97</v>
      </c>
      <c r="AZ3950">
        <v>48.99</v>
      </c>
      <c r="BA3950">
        <v>1.8</v>
      </c>
      <c r="BB3950" t="s">
        <v>143</v>
      </c>
      <c r="BF3950">
        <v>-1.4</v>
      </c>
      <c r="BG3950">
        <v>-2.4300000000000002</v>
      </c>
      <c r="BH3950">
        <v>-3.66</v>
      </c>
      <c r="BI3950">
        <v>0.75</v>
      </c>
      <c r="BJ3950">
        <v>20210827</v>
      </c>
      <c r="BK3950">
        <v>20201012</v>
      </c>
      <c r="BL3950">
        <v>2.48</v>
      </c>
      <c r="BM3950" t="s">
        <v>120</v>
      </c>
      <c r="BN3950" t="s">
        <v>120</v>
      </c>
      <c r="BO3950">
        <v>22.49</v>
      </c>
      <c r="BP3950">
        <v>33.659999999999997</v>
      </c>
      <c r="BQ3950">
        <v>18.059999999999999</v>
      </c>
      <c r="BR3950">
        <v>0.01</v>
      </c>
      <c r="BS3950">
        <v>19.7</v>
      </c>
      <c r="BT3950">
        <v>14.8</v>
      </c>
      <c r="BU3950">
        <v>3.36</v>
      </c>
      <c r="BV3950">
        <v>0.51</v>
      </c>
      <c r="BW3950">
        <v>3.26</v>
      </c>
      <c r="BX3950">
        <v>12.99</v>
      </c>
      <c r="BY3950">
        <v>0.55000000000000004</v>
      </c>
      <c r="BZ3950">
        <v>0.54</v>
      </c>
      <c r="CA3950" t="s">
        <v>120</v>
      </c>
      <c r="CB3950">
        <v>7.69</v>
      </c>
      <c r="CC3950">
        <v>5.95</v>
      </c>
      <c r="CD3950">
        <v>4.4800000000000004</v>
      </c>
      <c r="CE3950">
        <v>2.8</v>
      </c>
      <c r="CF3950">
        <v>0</v>
      </c>
      <c r="CG3950">
        <v>2.83</v>
      </c>
      <c r="CH3950">
        <v>2.11</v>
      </c>
      <c r="CI3950">
        <v>2.11</v>
      </c>
      <c r="CJ3950">
        <v>-1</v>
      </c>
      <c r="CK3950">
        <v>0.57999999999999996</v>
      </c>
      <c r="CL3950">
        <v>7.21</v>
      </c>
      <c r="CM3950">
        <v>0.63</v>
      </c>
      <c r="CN3950">
        <v>2.29</v>
      </c>
      <c r="CO3950">
        <v>17502</v>
      </c>
      <c r="CP3950">
        <v>3542</v>
      </c>
      <c r="CQ3950" t="s">
        <v>13528</v>
      </c>
      <c r="CR3950">
        <v>279.04000000000002</v>
      </c>
      <c r="CS3950">
        <v>68.12</v>
      </c>
      <c r="CT3950">
        <v>4.62</v>
      </c>
      <c r="CU3950">
        <v>131.91999999999999</v>
      </c>
      <c r="CV3950">
        <v>14.03</v>
      </c>
      <c r="CW3950">
        <v>0.46</v>
      </c>
      <c r="CX3950" t="s">
        <v>3253</v>
      </c>
      <c r="CY3950">
        <v>7.28</v>
      </c>
      <c r="CZ3950">
        <v>0</v>
      </c>
      <c r="DA3950">
        <v>3.1</v>
      </c>
      <c r="DB3950">
        <v>2.91</v>
      </c>
      <c r="DC3950">
        <v>0.26</v>
      </c>
      <c r="DD3950">
        <v>80.28</v>
      </c>
      <c r="DE3950" t="s">
        <v>7259</v>
      </c>
      <c r="DF3950">
        <v>24.78</v>
      </c>
      <c r="DG3950">
        <v>47.04</v>
      </c>
      <c r="DH3950">
        <v>35.49</v>
      </c>
      <c r="DI3950">
        <v>0.03</v>
      </c>
      <c r="DJ3950">
        <v>1354</v>
      </c>
      <c r="DK3950">
        <v>605338</v>
      </c>
      <c r="DL3950" t="s">
        <v>120</v>
      </c>
      <c r="DM3950" t="s">
        <v>120</v>
      </c>
      <c r="DN3950" t="s">
        <v>120</v>
      </c>
    </row>
    <row r="3951" spans="1:118">
      <c r="A3951" t="str">
        <f>"605339"</f>
        <v>605339</v>
      </c>
      <c r="B3951" t="s">
        <v>16055</v>
      </c>
      <c r="C3951">
        <v>-0.52</v>
      </c>
      <c r="D3951">
        <v>-0.11</v>
      </c>
      <c r="E3951">
        <v>0.03</v>
      </c>
      <c r="F3951">
        <v>721</v>
      </c>
      <c r="G3951" t="s">
        <v>2589</v>
      </c>
      <c r="H3951">
        <v>6014.65</v>
      </c>
      <c r="I3951">
        <v>6.49</v>
      </c>
      <c r="J3951" t="s">
        <v>120</v>
      </c>
      <c r="K3951" t="s">
        <v>2589</v>
      </c>
      <c r="L3951">
        <v>2.9</v>
      </c>
      <c r="M3951">
        <v>32.26</v>
      </c>
      <c r="N3951">
        <v>0.84</v>
      </c>
      <c r="O3951">
        <v>2.2200000000000002</v>
      </c>
      <c r="P3951">
        <v>33.15</v>
      </c>
      <c r="Q3951">
        <v>-0.59</v>
      </c>
      <c r="R3951">
        <v>32.24</v>
      </c>
      <c r="S3951">
        <v>32.44</v>
      </c>
      <c r="T3951">
        <v>18442</v>
      </c>
      <c r="U3951">
        <v>32.270000000000003</v>
      </c>
      <c r="V3951">
        <v>32.43</v>
      </c>
      <c r="W3951">
        <v>34.97</v>
      </c>
      <c r="X3951" t="s">
        <v>847</v>
      </c>
      <c r="Y3951" t="s">
        <v>1510</v>
      </c>
      <c r="Z3951">
        <v>2.81</v>
      </c>
      <c r="AA3951">
        <v>32.61</v>
      </c>
      <c r="AB3951">
        <v>10009</v>
      </c>
      <c r="AC3951">
        <v>8433</v>
      </c>
      <c r="AD3951">
        <v>1.19</v>
      </c>
      <c r="AE3951">
        <v>174</v>
      </c>
      <c r="AF3951">
        <v>20</v>
      </c>
      <c r="AG3951" t="s">
        <v>120</v>
      </c>
      <c r="AH3951">
        <v>0</v>
      </c>
      <c r="AI3951" t="s">
        <v>120</v>
      </c>
      <c r="AJ3951">
        <v>0.64</v>
      </c>
      <c r="AK3951" t="s">
        <v>16056</v>
      </c>
      <c r="AL3951">
        <v>0.82</v>
      </c>
      <c r="AM3951">
        <v>1756</v>
      </c>
      <c r="AN3951">
        <v>11</v>
      </c>
      <c r="AO3951">
        <v>1.6999999999999999E-3</v>
      </c>
      <c r="AP3951">
        <v>-2</v>
      </c>
      <c r="AQ3951">
        <v>-2.17</v>
      </c>
      <c r="AR3951">
        <v>-2.33</v>
      </c>
      <c r="AS3951">
        <v>-8.58</v>
      </c>
      <c r="AT3951">
        <v>-29.38</v>
      </c>
      <c r="AU3951">
        <v>89.99</v>
      </c>
      <c r="AV3951">
        <v>0</v>
      </c>
      <c r="AW3951">
        <v>2.9</v>
      </c>
      <c r="AX3951">
        <v>15</v>
      </c>
      <c r="AY3951">
        <v>34.270000000000003</v>
      </c>
      <c r="AZ3951">
        <v>42.23</v>
      </c>
      <c r="BA3951">
        <v>1.4</v>
      </c>
      <c r="BB3951" t="s">
        <v>143</v>
      </c>
      <c r="BF3951">
        <v>0.56999999999999995</v>
      </c>
      <c r="BG3951">
        <v>-0.55000000000000004</v>
      </c>
      <c r="BH3951">
        <v>-2.68</v>
      </c>
      <c r="BI3951">
        <v>0.06</v>
      </c>
      <c r="BJ3951">
        <v>20210813</v>
      </c>
      <c r="BK3951">
        <v>20210518</v>
      </c>
      <c r="BL3951">
        <v>4.24</v>
      </c>
      <c r="BM3951" t="s">
        <v>120</v>
      </c>
      <c r="BN3951" t="s">
        <v>120</v>
      </c>
      <c r="BO3951">
        <v>40.6</v>
      </c>
      <c r="BP3951">
        <v>32.26</v>
      </c>
      <c r="BQ3951">
        <v>31.31</v>
      </c>
      <c r="BR3951">
        <v>0.02</v>
      </c>
      <c r="BS3951">
        <v>22.83</v>
      </c>
      <c r="BT3951">
        <v>27.89</v>
      </c>
      <c r="BU3951">
        <v>10.66</v>
      </c>
      <c r="BV3951">
        <v>0.59</v>
      </c>
      <c r="BW3951">
        <v>8.4700000000000006</v>
      </c>
      <c r="BX3951">
        <v>21.55</v>
      </c>
      <c r="BY3951">
        <v>4.5599999999999996</v>
      </c>
      <c r="BZ3951">
        <v>1.48</v>
      </c>
      <c r="CA3951" t="s">
        <v>120</v>
      </c>
      <c r="CB3951">
        <v>11.73</v>
      </c>
      <c r="CC3951">
        <v>13.62</v>
      </c>
      <c r="CD3951">
        <v>8.5399999999999991</v>
      </c>
      <c r="CE3951">
        <v>2.4</v>
      </c>
      <c r="CF3951">
        <v>0</v>
      </c>
      <c r="CG3951">
        <v>2.4500000000000002</v>
      </c>
      <c r="CH3951">
        <v>1.96</v>
      </c>
      <c r="CI3951">
        <v>1.95</v>
      </c>
      <c r="CJ3951">
        <v>-0.17</v>
      </c>
      <c r="CK3951">
        <v>1.91</v>
      </c>
      <c r="CL3951">
        <v>13.46</v>
      </c>
      <c r="CM3951">
        <v>1.1000000000000001</v>
      </c>
      <c r="CN3951">
        <v>10.66</v>
      </c>
      <c r="CO3951">
        <v>35771</v>
      </c>
      <c r="CP3951">
        <v>1776</v>
      </c>
      <c r="CQ3951" t="s">
        <v>1461</v>
      </c>
      <c r="CR3951">
        <v>0</v>
      </c>
      <c r="CS3951">
        <v>0</v>
      </c>
      <c r="CT3951">
        <v>4.3600000000000003</v>
      </c>
      <c r="CU3951">
        <v>124.08</v>
      </c>
      <c r="CV3951">
        <v>10.029999999999999</v>
      </c>
      <c r="CW3951">
        <v>1.6</v>
      </c>
      <c r="CX3951" t="s">
        <v>948</v>
      </c>
      <c r="CY3951">
        <v>7.39</v>
      </c>
      <c r="CZ3951">
        <v>0</v>
      </c>
      <c r="DA3951">
        <v>2.77</v>
      </c>
      <c r="DB3951">
        <v>3.18</v>
      </c>
      <c r="DC3951">
        <v>0.26</v>
      </c>
      <c r="DD3951">
        <v>77.12</v>
      </c>
      <c r="DE3951" t="s">
        <v>5330</v>
      </c>
      <c r="DF3951">
        <v>37.29</v>
      </c>
      <c r="DG3951">
        <v>17.649999999999999</v>
      </c>
      <c r="DH3951">
        <v>14.34</v>
      </c>
      <c r="DI3951">
        <v>0.37</v>
      </c>
      <c r="DJ3951">
        <v>1344</v>
      </c>
      <c r="DK3951">
        <v>605339</v>
      </c>
      <c r="DL3951" t="s">
        <v>120</v>
      </c>
      <c r="DM3951" t="s">
        <v>120</v>
      </c>
      <c r="DN3951" t="s">
        <v>120</v>
      </c>
    </row>
    <row r="3952" spans="1:118">
      <c r="A3952" t="str">
        <f>"605358"</f>
        <v>605358</v>
      </c>
      <c r="B3952" t="s">
        <v>16057</v>
      </c>
      <c r="C3952">
        <v>1.95</v>
      </c>
      <c r="D3952">
        <v>0</v>
      </c>
      <c r="E3952">
        <v>-1.87</v>
      </c>
      <c r="F3952">
        <v>528</v>
      </c>
      <c r="G3952" t="s">
        <v>16058</v>
      </c>
      <c r="H3952">
        <v>171653.85</v>
      </c>
      <c r="I3952">
        <v>10260.530000000001</v>
      </c>
      <c r="J3952" t="s">
        <v>120</v>
      </c>
      <c r="K3952" t="s">
        <v>16059</v>
      </c>
      <c r="L3952">
        <v>5.61</v>
      </c>
      <c r="M3952">
        <v>109.1</v>
      </c>
      <c r="N3952">
        <v>1.63</v>
      </c>
      <c r="O3952">
        <v>5.6</v>
      </c>
      <c r="P3952">
        <v>113</v>
      </c>
      <c r="Q3952">
        <v>-2.5299999999999998</v>
      </c>
      <c r="R3952">
        <v>104.3</v>
      </c>
      <c r="S3952">
        <v>105.01</v>
      </c>
      <c r="T3952">
        <v>158493</v>
      </c>
      <c r="U3952">
        <v>109.1</v>
      </c>
      <c r="V3952">
        <v>107.01</v>
      </c>
      <c r="W3952">
        <v>104.57</v>
      </c>
      <c r="X3952" t="s">
        <v>3245</v>
      </c>
      <c r="Y3952" t="s">
        <v>585</v>
      </c>
      <c r="Z3952">
        <v>8.1300000000000008</v>
      </c>
      <c r="AA3952">
        <v>108.3</v>
      </c>
      <c r="AB3952">
        <v>71944</v>
      </c>
      <c r="AC3952">
        <v>86549</v>
      </c>
      <c r="AD3952">
        <v>0.83</v>
      </c>
      <c r="AE3952">
        <v>3</v>
      </c>
      <c r="AF3952">
        <v>62</v>
      </c>
      <c r="AG3952" t="s">
        <v>120</v>
      </c>
      <c r="AH3952">
        <v>0.38</v>
      </c>
      <c r="AI3952" t="s">
        <v>120</v>
      </c>
      <c r="AJ3952">
        <v>2.83</v>
      </c>
      <c r="AK3952" t="s">
        <v>16060</v>
      </c>
      <c r="AL3952">
        <v>3.3</v>
      </c>
      <c r="AM3952">
        <v>4589</v>
      </c>
      <c r="AN3952">
        <v>35</v>
      </c>
      <c r="AO3952">
        <v>1.1999999999999999E-3</v>
      </c>
      <c r="AP3952">
        <v>2</v>
      </c>
      <c r="AQ3952">
        <v>4.34</v>
      </c>
      <c r="AR3952">
        <v>-4.26</v>
      </c>
      <c r="AS3952">
        <v>-18.77</v>
      </c>
      <c r="AT3952">
        <v>13.5</v>
      </c>
      <c r="AU3952">
        <v>-9.3000000000000007</v>
      </c>
      <c r="AV3952">
        <v>20</v>
      </c>
      <c r="AW3952">
        <v>6.21</v>
      </c>
      <c r="AX3952">
        <v>63.76</v>
      </c>
      <c r="AY3952">
        <v>128.06</v>
      </c>
      <c r="AZ3952">
        <v>212.25</v>
      </c>
      <c r="BA3952">
        <v>0.39</v>
      </c>
      <c r="BB3952" t="s">
        <v>168</v>
      </c>
      <c r="BF3952">
        <v>1.21</v>
      </c>
      <c r="BG3952">
        <v>3.89</v>
      </c>
      <c r="BH3952">
        <v>-3.45</v>
      </c>
      <c r="BI3952">
        <v>4.5999999999999996</v>
      </c>
      <c r="BJ3952">
        <v>20210910</v>
      </c>
      <c r="BK3952">
        <v>20200911</v>
      </c>
      <c r="BL3952">
        <v>4.01</v>
      </c>
      <c r="BM3952" t="s">
        <v>120</v>
      </c>
      <c r="BN3952" t="s">
        <v>120</v>
      </c>
      <c r="BO3952">
        <v>75.97</v>
      </c>
      <c r="BP3952">
        <v>109.08</v>
      </c>
      <c r="BQ3952">
        <v>20.28</v>
      </c>
      <c r="BR3952">
        <v>6.57</v>
      </c>
      <c r="BS3952">
        <v>64.67</v>
      </c>
      <c r="BT3952">
        <v>31.47</v>
      </c>
      <c r="BU3952">
        <v>28.91</v>
      </c>
      <c r="BV3952">
        <v>1.24</v>
      </c>
      <c r="BW3952">
        <v>25.42</v>
      </c>
      <c r="BX3952">
        <v>13.85</v>
      </c>
      <c r="BY3952">
        <v>6.46</v>
      </c>
      <c r="BZ3952">
        <v>5.85</v>
      </c>
      <c r="CA3952" t="s">
        <v>120</v>
      </c>
      <c r="CB3952">
        <v>7.34</v>
      </c>
      <c r="CC3952">
        <v>10.28</v>
      </c>
      <c r="CD3952">
        <v>5.96</v>
      </c>
      <c r="CE3952">
        <v>2.4500000000000002</v>
      </c>
      <c r="CF3952">
        <v>0</v>
      </c>
      <c r="CG3952">
        <v>2.46</v>
      </c>
      <c r="CH3952">
        <v>2.17</v>
      </c>
      <c r="CI3952">
        <v>2.09</v>
      </c>
      <c r="CJ3952">
        <v>2.09</v>
      </c>
      <c r="CK3952">
        <v>1.84</v>
      </c>
      <c r="CL3952">
        <v>8.41</v>
      </c>
      <c r="CM3952">
        <v>0.81</v>
      </c>
      <c r="CN3952">
        <v>-4.28</v>
      </c>
      <c r="CO3952">
        <v>32309</v>
      </c>
      <c r="CP3952">
        <v>7906</v>
      </c>
      <c r="CQ3952" t="s">
        <v>16061</v>
      </c>
      <c r="CR3952">
        <v>174.21</v>
      </c>
      <c r="CS3952">
        <v>58.57</v>
      </c>
      <c r="CT3952">
        <v>21.55</v>
      </c>
      <c r="CU3952">
        <v>537.9</v>
      </c>
      <c r="CV3952">
        <v>42.5</v>
      </c>
      <c r="CW3952">
        <v>0.1</v>
      </c>
      <c r="CX3952" t="s">
        <v>948</v>
      </c>
      <c r="CY3952">
        <v>5.0599999999999996</v>
      </c>
      <c r="CZ3952">
        <v>0</v>
      </c>
      <c r="DA3952">
        <v>1.83</v>
      </c>
      <c r="DB3952">
        <v>2.1</v>
      </c>
      <c r="DC3952">
        <v>0.2</v>
      </c>
      <c r="DD3952">
        <v>26.69</v>
      </c>
      <c r="DE3952" t="s">
        <v>16062</v>
      </c>
      <c r="DF3952">
        <v>42.05</v>
      </c>
      <c r="DG3952">
        <v>23.86</v>
      </c>
      <c r="DH3952">
        <v>20.32</v>
      </c>
      <c r="DI3952">
        <v>0.87</v>
      </c>
      <c r="DJ3952">
        <v>1651</v>
      </c>
      <c r="DK3952">
        <v>605358</v>
      </c>
      <c r="DL3952">
        <v>20210617</v>
      </c>
      <c r="DM3952">
        <v>101.86</v>
      </c>
      <c r="DN3952">
        <v>7.22</v>
      </c>
    </row>
    <row r="3953" spans="1:118">
      <c r="A3953" t="str">
        <f>"605365"</f>
        <v>605365</v>
      </c>
      <c r="B3953" t="s">
        <v>16063</v>
      </c>
      <c r="C3953">
        <v>-2.3199999999999998</v>
      </c>
      <c r="D3953">
        <v>0</v>
      </c>
      <c r="E3953">
        <v>-0.84</v>
      </c>
      <c r="F3953">
        <v>619</v>
      </c>
      <c r="G3953" t="s">
        <v>11900</v>
      </c>
      <c r="H3953">
        <v>4661.37</v>
      </c>
      <c r="I3953">
        <v>60.5</v>
      </c>
      <c r="J3953" t="s">
        <v>120</v>
      </c>
      <c r="K3953" t="s">
        <v>11900</v>
      </c>
      <c r="L3953">
        <v>4.6500000000000004</v>
      </c>
      <c r="M3953">
        <v>19.8</v>
      </c>
      <c r="N3953">
        <v>1.18</v>
      </c>
      <c r="O3953">
        <v>0.49</v>
      </c>
      <c r="P3953">
        <v>20.37</v>
      </c>
      <c r="Q3953">
        <v>-2.3199999999999998</v>
      </c>
      <c r="R3953">
        <v>19.8</v>
      </c>
      <c r="S3953">
        <v>20.100000000000001</v>
      </c>
      <c r="T3953">
        <v>23244</v>
      </c>
      <c r="U3953">
        <v>19.8</v>
      </c>
      <c r="V3953">
        <v>20.27</v>
      </c>
      <c r="W3953">
        <v>27.83</v>
      </c>
      <c r="X3953" t="s">
        <v>205</v>
      </c>
      <c r="Y3953" t="s">
        <v>937</v>
      </c>
      <c r="Z3953">
        <v>2.81</v>
      </c>
      <c r="AA3953">
        <v>20.05</v>
      </c>
      <c r="AB3953">
        <v>14650</v>
      </c>
      <c r="AC3953">
        <v>8594</v>
      </c>
      <c r="AD3953">
        <v>1.7</v>
      </c>
      <c r="AE3953">
        <v>26</v>
      </c>
      <c r="AF3953">
        <v>526</v>
      </c>
      <c r="AG3953" t="s">
        <v>120</v>
      </c>
      <c r="AH3953">
        <v>0.06</v>
      </c>
      <c r="AI3953" t="s">
        <v>120</v>
      </c>
      <c r="AJ3953">
        <v>0.5</v>
      </c>
      <c r="AK3953" t="s">
        <v>10006</v>
      </c>
      <c r="AL3953">
        <v>-0.97</v>
      </c>
      <c r="AM3953">
        <v>1667</v>
      </c>
      <c r="AN3953">
        <v>14</v>
      </c>
      <c r="AO3953">
        <v>2.8E-3</v>
      </c>
      <c r="AP3953">
        <v>-4</v>
      </c>
      <c r="AQ3953">
        <v>-1.03</v>
      </c>
      <c r="AR3953">
        <v>-4.4000000000000004</v>
      </c>
      <c r="AS3953">
        <v>-15.35</v>
      </c>
      <c r="AT3953">
        <v>16.68</v>
      </c>
      <c r="AU3953">
        <v>16.68</v>
      </c>
      <c r="AV3953">
        <v>0</v>
      </c>
      <c r="AW3953">
        <v>4.6500000000000004</v>
      </c>
      <c r="AX3953">
        <v>10</v>
      </c>
      <c r="AY3953">
        <v>22.16</v>
      </c>
      <c r="AZ3953">
        <v>22.7</v>
      </c>
      <c r="BA3953">
        <v>0</v>
      </c>
      <c r="BB3953" t="s">
        <v>240</v>
      </c>
      <c r="BF3953">
        <v>-1.07</v>
      </c>
      <c r="BG3953">
        <v>-1.49</v>
      </c>
      <c r="BH3953">
        <v>-2.8</v>
      </c>
      <c r="BI3953">
        <v>0</v>
      </c>
      <c r="BJ3953">
        <v>20210830</v>
      </c>
      <c r="BK3953">
        <v>20210720</v>
      </c>
      <c r="BL3953">
        <v>5</v>
      </c>
      <c r="BM3953" t="s">
        <v>120</v>
      </c>
      <c r="BN3953" t="s">
        <v>120</v>
      </c>
      <c r="BO3953">
        <v>41.73</v>
      </c>
      <c r="BP3953">
        <v>19.79</v>
      </c>
      <c r="BQ3953">
        <v>20.02</v>
      </c>
      <c r="BR3953">
        <v>0.02</v>
      </c>
      <c r="BS3953">
        <v>51.97</v>
      </c>
      <c r="BT3953">
        <v>31.75</v>
      </c>
      <c r="BU3953">
        <v>5.87</v>
      </c>
      <c r="BV3953">
        <v>1.35</v>
      </c>
      <c r="BW3953">
        <v>20.77</v>
      </c>
      <c r="BX3953">
        <v>6.48</v>
      </c>
      <c r="BY3953">
        <v>11.99</v>
      </c>
      <c r="BZ3953">
        <v>10.62</v>
      </c>
      <c r="CA3953" t="s">
        <v>120</v>
      </c>
      <c r="CB3953">
        <v>0.88</v>
      </c>
      <c r="CC3953">
        <v>27.78</v>
      </c>
      <c r="CD3953">
        <v>20.71</v>
      </c>
      <c r="CE3953">
        <v>1.62</v>
      </c>
      <c r="CF3953">
        <v>7.0000000000000007E-2</v>
      </c>
      <c r="CG3953">
        <v>1.63</v>
      </c>
      <c r="CH3953">
        <v>1.77</v>
      </c>
      <c r="CI3953">
        <v>1.78</v>
      </c>
      <c r="CJ3953">
        <v>-0.47</v>
      </c>
      <c r="CK3953">
        <v>1.38</v>
      </c>
      <c r="CL3953">
        <v>14.61</v>
      </c>
      <c r="CM3953">
        <v>-0.03</v>
      </c>
      <c r="CN3953">
        <v>0.83</v>
      </c>
      <c r="CO3953">
        <v>58233</v>
      </c>
      <c r="CP3953">
        <v>859</v>
      </c>
      <c r="CQ3953" t="s">
        <v>16064</v>
      </c>
      <c r="CR3953">
        <v>0</v>
      </c>
      <c r="CS3953">
        <v>0</v>
      </c>
      <c r="CT3953">
        <v>3.57</v>
      </c>
      <c r="CU3953">
        <v>-3948</v>
      </c>
      <c r="CV3953">
        <v>3.56</v>
      </c>
      <c r="CW3953">
        <v>0</v>
      </c>
      <c r="CX3953" t="s">
        <v>3527</v>
      </c>
      <c r="CY3953">
        <v>5.55</v>
      </c>
      <c r="CZ3953">
        <v>5.55</v>
      </c>
      <c r="DA3953">
        <v>0.18</v>
      </c>
      <c r="DB3953">
        <v>2.92</v>
      </c>
      <c r="DC3953">
        <v>-0.01</v>
      </c>
      <c r="DD3953">
        <v>47.99</v>
      </c>
      <c r="DE3953" t="s">
        <v>16065</v>
      </c>
      <c r="DF3953">
        <v>25.45</v>
      </c>
      <c r="DG3953">
        <v>5.84</v>
      </c>
      <c r="DH3953">
        <v>6.4</v>
      </c>
      <c r="DI3953">
        <v>1.95</v>
      </c>
      <c r="DJ3953">
        <v>9623</v>
      </c>
      <c r="DK3953">
        <v>605365</v>
      </c>
      <c r="DL3953" t="s">
        <v>120</v>
      </c>
      <c r="DM3953" t="s">
        <v>120</v>
      </c>
      <c r="DN3953" t="s">
        <v>120</v>
      </c>
    </row>
    <row r="3954" spans="1:118">
      <c r="A3954" t="str">
        <f>"605366"</f>
        <v>605366</v>
      </c>
      <c r="B3954" t="s">
        <v>16066</v>
      </c>
      <c r="C3954">
        <v>-5.85</v>
      </c>
      <c r="D3954">
        <v>-0.06</v>
      </c>
      <c r="E3954">
        <v>0.06</v>
      </c>
      <c r="F3954">
        <v>824</v>
      </c>
      <c r="G3954" t="s">
        <v>2401</v>
      </c>
      <c r="H3954">
        <v>17560.900000000001</v>
      </c>
      <c r="I3954">
        <v>103.96</v>
      </c>
      <c r="J3954" t="s">
        <v>120</v>
      </c>
      <c r="K3954" t="s">
        <v>742</v>
      </c>
      <c r="L3954">
        <v>6.98</v>
      </c>
      <c r="M3954">
        <v>14.98</v>
      </c>
      <c r="N3954">
        <v>0.79</v>
      </c>
      <c r="O3954">
        <v>1.76</v>
      </c>
      <c r="P3954">
        <v>16.190000000000001</v>
      </c>
      <c r="Q3954">
        <v>-6.41</v>
      </c>
      <c r="R3954">
        <v>14.89</v>
      </c>
      <c r="S3954">
        <v>15.92</v>
      </c>
      <c r="T3954">
        <v>112902</v>
      </c>
      <c r="U3954">
        <v>14.98</v>
      </c>
      <c r="V3954">
        <v>15.91</v>
      </c>
      <c r="W3954">
        <v>40.56</v>
      </c>
      <c r="X3954" t="s">
        <v>868</v>
      </c>
      <c r="Y3954" t="s">
        <v>676</v>
      </c>
      <c r="Z3954">
        <v>8.17</v>
      </c>
      <c r="AA3954">
        <v>15.55</v>
      </c>
      <c r="AB3954">
        <v>69189</v>
      </c>
      <c r="AC3954">
        <v>43713</v>
      </c>
      <c r="AD3954">
        <v>1.58</v>
      </c>
      <c r="AE3954">
        <v>88</v>
      </c>
      <c r="AF3954">
        <v>57</v>
      </c>
      <c r="AG3954" t="s">
        <v>120</v>
      </c>
      <c r="AH3954">
        <v>0.06</v>
      </c>
      <c r="AI3954" t="s">
        <v>120</v>
      </c>
      <c r="AJ3954">
        <v>1.62</v>
      </c>
      <c r="AK3954" t="s">
        <v>16067</v>
      </c>
      <c r="AL3954">
        <v>-4.5</v>
      </c>
      <c r="AM3954">
        <v>3329</v>
      </c>
      <c r="AN3954">
        <v>34</v>
      </c>
      <c r="AO3954">
        <v>2.0999999999999999E-3</v>
      </c>
      <c r="AP3954">
        <v>-1</v>
      </c>
      <c r="AQ3954">
        <v>1.4</v>
      </c>
      <c r="AR3954">
        <v>-6.14</v>
      </c>
      <c r="AS3954">
        <v>10.72</v>
      </c>
      <c r="AT3954">
        <v>30.94</v>
      </c>
      <c r="AU3954">
        <v>25.88</v>
      </c>
      <c r="AV3954">
        <v>6</v>
      </c>
      <c r="AW3954">
        <v>9.6999999999999993</v>
      </c>
      <c r="AX3954">
        <v>35.06</v>
      </c>
      <c r="AY3954">
        <v>46.04</v>
      </c>
      <c r="AZ3954">
        <v>43.06</v>
      </c>
      <c r="BA3954">
        <v>1.22</v>
      </c>
      <c r="BB3954" t="s">
        <v>143</v>
      </c>
      <c r="BF3954">
        <v>-2.2400000000000002</v>
      </c>
      <c r="BG3954">
        <v>-5.9</v>
      </c>
      <c r="BH3954">
        <v>-7.47</v>
      </c>
      <c r="BI3954">
        <v>0.6</v>
      </c>
      <c r="BJ3954">
        <v>20210825</v>
      </c>
      <c r="BK3954">
        <v>20200812</v>
      </c>
      <c r="BL3954">
        <v>3.32</v>
      </c>
      <c r="BM3954" t="s">
        <v>120</v>
      </c>
      <c r="BN3954" t="s">
        <v>120</v>
      </c>
      <c r="BO3954">
        <v>19.88</v>
      </c>
      <c r="BP3954">
        <v>14.97</v>
      </c>
      <c r="BQ3954">
        <v>16.41</v>
      </c>
      <c r="BR3954" t="s">
        <v>120</v>
      </c>
      <c r="BS3954">
        <v>17.43</v>
      </c>
      <c r="BT3954">
        <v>12.11</v>
      </c>
      <c r="BU3954">
        <v>4.87</v>
      </c>
      <c r="BV3954">
        <v>1.48</v>
      </c>
      <c r="BW3954">
        <v>2.96</v>
      </c>
      <c r="BX3954">
        <v>2.72</v>
      </c>
      <c r="BY3954">
        <v>2.0099999999999998</v>
      </c>
      <c r="BZ3954">
        <v>2.4</v>
      </c>
      <c r="CA3954" t="s">
        <v>120</v>
      </c>
      <c r="CB3954">
        <v>8.26</v>
      </c>
      <c r="CC3954">
        <v>5.25</v>
      </c>
      <c r="CD3954">
        <v>4.01</v>
      </c>
      <c r="CE3954">
        <v>0.71</v>
      </c>
      <c r="CF3954">
        <v>0.01</v>
      </c>
      <c r="CG3954">
        <v>0.7</v>
      </c>
      <c r="CH3954">
        <v>0.61</v>
      </c>
      <c r="CI3954">
        <v>0.61</v>
      </c>
      <c r="CJ3954">
        <v>-0.93</v>
      </c>
      <c r="CK3954">
        <v>0.47</v>
      </c>
      <c r="CL3954">
        <v>4.16</v>
      </c>
      <c r="CM3954">
        <v>0.62</v>
      </c>
      <c r="CN3954">
        <v>-3.07</v>
      </c>
      <c r="CO3954">
        <v>25503</v>
      </c>
      <c r="CP3954">
        <v>4564</v>
      </c>
      <c r="CQ3954" t="s">
        <v>4587</v>
      </c>
      <c r="CR3954">
        <v>-11.47</v>
      </c>
      <c r="CS3954">
        <v>21.26</v>
      </c>
      <c r="CT3954">
        <v>3.03</v>
      </c>
      <c r="CU3954">
        <v>80.86</v>
      </c>
      <c r="CV3954">
        <v>9.4700000000000006</v>
      </c>
      <c r="CW3954">
        <v>1.89</v>
      </c>
      <c r="CX3954" t="s">
        <v>242</v>
      </c>
      <c r="CY3954">
        <v>4.9400000000000004</v>
      </c>
      <c r="CZ3954">
        <v>0</v>
      </c>
      <c r="DA3954">
        <v>2.4900000000000002</v>
      </c>
      <c r="DB3954">
        <v>1.25</v>
      </c>
      <c r="DC3954">
        <v>0.19</v>
      </c>
      <c r="DD3954">
        <v>82.57</v>
      </c>
      <c r="DE3954" t="s">
        <v>5491</v>
      </c>
      <c r="DF3954">
        <v>23.58</v>
      </c>
      <c r="DG3954">
        <v>13.59</v>
      </c>
      <c r="DH3954">
        <v>11.68</v>
      </c>
      <c r="DI3954">
        <v>0.19</v>
      </c>
      <c r="DJ3954">
        <v>1057</v>
      </c>
      <c r="DK3954">
        <v>605366</v>
      </c>
      <c r="DL3954" t="s">
        <v>120</v>
      </c>
      <c r="DM3954" t="s">
        <v>120</v>
      </c>
      <c r="DN3954" t="s">
        <v>120</v>
      </c>
    </row>
    <row r="3955" spans="1:118">
      <c r="A3955" t="str">
        <f>"605368"</f>
        <v>605368</v>
      </c>
      <c r="B3955" t="s">
        <v>16068</v>
      </c>
      <c r="C3955">
        <v>2.25</v>
      </c>
      <c r="D3955">
        <v>0</v>
      </c>
      <c r="E3955">
        <v>0.39</v>
      </c>
      <c r="F3955">
        <v>1221</v>
      </c>
      <c r="G3955" t="s">
        <v>16069</v>
      </c>
      <c r="H3955">
        <v>20138.12</v>
      </c>
      <c r="I3955">
        <v>118.94</v>
      </c>
      <c r="J3955" t="s">
        <v>120</v>
      </c>
      <c r="K3955" t="s">
        <v>16069</v>
      </c>
      <c r="L3955">
        <v>19.059999999999999</v>
      </c>
      <c r="M3955">
        <v>15.92</v>
      </c>
      <c r="N3955">
        <v>1.2</v>
      </c>
      <c r="O3955">
        <v>6.17</v>
      </c>
      <c r="P3955">
        <v>16.53</v>
      </c>
      <c r="Q3955">
        <v>0.32</v>
      </c>
      <c r="R3955">
        <v>15.62</v>
      </c>
      <c r="S3955">
        <v>15.63</v>
      </c>
      <c r="T3955">
        <v>124816</v>
      </c>
      <c r="U3955">
        <v>15.92</v>
      </c>
      <c r="V3955">
        <v>15.57</v>
      </c>
      <c r="W3955">
        <v>19.079999999999998</v>
      </c>
      <c r="X3955" t="s">
        <v>684</v>
      </c>
      <c r="Y3955" t="s">
        <v>645</v>
      </c>
      <c r="Z3955">
        <v>5.84</v>
      </c>
      <c r="AA3955">
        <v>16.13</v>
      </c>
      <c r="AB3955">
        <v>59607</v>
      </c>
      <c r="AC3955">
        <v>65209</v>
      </c>
      <c r="AD3955">
        <v>0.91</v>
      </c>
      <c r="AE3955">
        <v>12</v>
      </c>
      <c r="AF3955">
        <v>11</v>
      </c>
      <c r="AG3955" t="s">
        <v>120</v>
      </c>
      <c r="AH3955">
        <v>0.12</v>
      </c>
      <c r="AI3955" t="s">
        <v>120</v>
      </c>
      <c r="AJ3955">
        <v>0.66</v>
      </c>
      <c r="AK3955" t="s">
        <v>16070</v>
      </c>
      <c r="AL3955">
        <v>3.59</v>
      </c>
      <c r="AM3955">
        <v>3335</v>
      </c>
      <c r="AN3955">
        <v>37</v>
      </c>
      <c r="AO3955">
        <v>5.7000000000000002E-3</v>
      </c>
      <c r="AP3955">
        <v>2</v>
      </c>
      <c r="AQ3955">
        <v>1.9</v>
      </c>
      <c r="AR3955">
        <v>1.1499999999999999</v>
      </c>
      <c r="AS3955">
        <v>13.63</v>
      </c>
      <c r="AT3955">
        <v>10.71</v>
      </c>
      <c r="AU3955">
        <v>10.1</v>
      </c>
      <c r="AV3955">
        <v>4</v>
      </c>
      <c r="AW3955">
        <v>19.059999999999999</v>
      </c>
      <c r="AX3955">
        <v>14.16</v>
      </c>
      <c r="AY3955">
        <v>19.66</v>
      </c>
      <c r="AZ3955">
        <v>21.65</v>
      </c>
      <c r="BA3955">
        <v>1.06</v>
      </c>
      <c r="BB3955" t="s">
        <v>143</v>
      </c>
      <c r="BF3955">
        <v>3.62</v>
      </c>
      <c r="BG3955">
        <v>1.86</v>
      </c>
      <c r="BH3955">
        <v>-3.69</v>
      </c>
      <c r="BI3955">
        <v>1.92</v>
      </c>
      <c r="BJ3955">
        <v>20210831</v>
      </c>
      <c r="BK3955">
        <v>20210129</v>
      </c>
      <c r="BL3955">
        <v>4.63</v>
      </c>
      <c r="BM3955" t="s">
        <v>120</v>
      </c>
      <c r="BN3955" t="s">
        <v>120</v>
      </c>
      <c r="BO3955">
        <v>42.99</v>
      </c>
      <c r="BP3955">
        <v>15.91</v>
      </c>
      <c r="BQ3955">
        <v>26.78</v>
      </c>
      <c r="BR3955">
        <v>0.01</v>
      </c>
      <c r="BS3955">
        <v>37.67</v>
      </c>
      <c r="BT3955">
        <v>14.09</v>
      </c>
      <c r="BU3955">
        <v>23.58</v>
      </c>
      <c r="BV3955">
        <v>2.1800000000000002</v>
      </c>
      <c r="BW3955">
        <v>13.26</v>
      </c>
      <c r="BX3955">
        <v>11.84</v>
      </c>
      <c r="BY3955">
        <v>0.48</v>
      </c>
      <c r="BZ3955">
        <v>0.43</v>
      </c>
      <c r="CA3955" t="s">
        <v>120</v>
      </c>
      <c r="CB3955">
        <v>10.17</v>
      </c>
      <c r="CC3955">
        <v>18.98</v>
      </c>
      <c r="CD3955">
        <v>15.58</v>
      </c>
      <c r="CE3955">
        <v>2.58</v>
      </c>
      <c r="CF3955">
        <v>0.04</v>
      </c>
      <c r="CG3955">
        <v>2.59</v>
      </c>
      <c r="CH3955">
        <v>1.93</v>
      </c>
      <c r="CI3955">
        <v>1.93</v>
      </c>
      <c r="CJ3955">
        <v>0.35</v>
      </c>
      <c r="CK3955">
        <v>1.88</v>
      </c>
      <c r="CL3955">
        <v>9.5299999999999994</v>
      </c>
      <c r="CM3955">
        <v>1.1299999999999999</v>
      </c>
      <c r="CN3955">
        <v>6.2</v>
      </c>
      <c r="CO3955">
        <v>29157</v>
      </c>
      <c r="CP3955">
        <v>2246</v>
      </c>
      <c r="CQ3955" t="s">
        <v>5490</v>
      </c>
      <c r="CR3955">
        <v>21.14</v>
      </c>
      <c r="CS3955">
        <v>5.97</v>
      </c>
      <c r="CT3955">
        <v>2.75</v>
      </c>
      <c r="CU3955">
        <v>64.930000000000007</v>
      </c>
      <c r="CV3955">
        <v>3.88</v>
      </c>
      <c r="CW3955">
        <v>3.21</v>
      </c>
      <c r="CX3955" t="s">
        <v>1462</v>
      </c>
      <c r="CY3955">
        <v>5.79</v>
      </c>
      <c r="CZ3955">
        <v>0</v>
      </c>
      <c r="DA3955">
        <v>2.2000000000000002</v>
      </c>
      <c r="DB3955">
        <v>2.06</v>
      </c>
      <c r="DC3955">
        <v>0.25</v>
      </c>
      <c r="DD3955">
        <v>62.31</v>
      </c>
      <c r="DE3955" t="s">
        <v>16071</v>
      </c>
      <c r="DF3955">
        <v>17.920000000000002</v>
      </c>
      <c r="DG3955">
        <v>13.59</v>
      </c>
      <c r="DH3955">
        <v>10.17</v>
      </c>
      <c r="DI3955" t="s">
        <v>120</v>
      </c>
      <c r="DJ3955">
        <v>1358</v>
      </c>
      <c r="DK3955">
        <v>605368</v>
      </c>
      <c r="DL3955" t="s">
        <v>120</v>
      </c>
      <c r="DM3955" t="s">
        <v>120</v>
      </c>
      <c r="DN3955" t="s">
        <v>120</v>
      </c>
    </row>
    <row r="3956" spans="1:118">
      <c r="A3956" t="str">
        <f>"605369"</f>
        <v>605369</v>
      </c>
      <c r="B3956" t="s">
        <v>16072</v>
      </c>
      <c r="C3956">
        <v>-4.8099999999999996</v>
      </c>
      <c r="D3956">
        <v>0.02</v>
      </c>
      <c r="E3956">
        <v>-0.31</v>
      </c>
      <c r="F3956">
        <v>48</v>
      </c>
      <c r="G3956" t="s">
        <v>16073</v>
      </c>
      <c r="H3956">
        <v>3725.64</v>
      </c>
      <c r="I3956">
        <v>2.12</v>
      </c>
      <c r="J3956" t="s">
        <v>120</v>
      </c>
      <c r="K3956" t="s">
        <v>16073</v>
      </c>
      <c r="L3956">
        <v>1.3</v>
      </c>
      <c r="M3956">
        <v>101.02</v>
      </c>
      <c r="N3956">
        <v>0.72</v>
      </c>
      <c r="O3956">
        <v>-0.31</v>
      </c>
      <c r="P3956">
        <v>105.8</v>
      </c>
      <c r="Q3956">
        <v>-4.83</v>
      </c>
      <c r="R3956">
        <v>101</v>
      </c>
      <c r="S3956">
        <v>105.8</v>
      </c>
      <c r="T3956">
        <v>3628</v>
      </c>
      <c r="U3956">
        <v>101.1</v>
      </c>
      <c r="V3956">
        <v>106.13</v>
      </c>
      <c r="W3956">
        <v>32.119999999999997</v>
      </c>
      <c r="X3956" t="s">
        <v>555</v>
      </c>
      <c r="Y3956" t="s">
        <v>585</v>
      </c>
      <c r="Z3956">
        <v>4.5199999999999996</v>
      </c>
      <c r="AA3956">
        <v>102.69</v>
      </c>
      <c r="AB3956">
        <v>2187</v>
      </c>
      <c r="AC3956">
        <v>1441</v>
      </c>
      <c r="AD3956">
        <v>1.52</v>
      </c>
      <c r="AE3956">
        <v>56</v>
      </c>
      <c r="AF3956">
        <v>1</v>
      </c>
      <c r="AG3956" t="s">
        <v>120</v>
      </c>
      <c r="AH3956">
        <v>0</v>
      </c>
      <c r="AI3956" t="s">
        <v>120</v>
      </c>
      <c r="AJ3956">
        <v>0.28000000000000003</v>
      </c>
      <c r="AK3956" t="s">
        <v>16074</v>
      </c>
      <c r="AL3956">
        <v>-3.47</v>
      </c>
      <c r="AM3956">
        <v>944</v>
      </c>
      <c r="AN3956">
        <v>4</v>
      </c>
      <c r="AO3956">
        <v>1.4E-3</v>
      </c>
      <c r="AP3956">
        <v>-1</v>
      </c>
      <c r="AQ3956">
        <v>6.26</v>
      </c>
      <c r="AR3956">
        <v>0.52</v>
      </c>
      <c r="AS3956">
        <v>-13.58</v>
      </c>
      <c r="AT3956">
        <v>-9.8000000000000007</v>
      </c>
      <c r="AU3956">
        <v>152.77000000000001</v>
      </c>
      <c r="AV3956">
        <v>7</v>
      </c>
      <c r="AW3956">
        <v>1.3</v>
      </c>
      <c r="AX3956">
        <v>24.87</v>
      </c>
      <c r="AY3956">
        <v>38.130000000000003</v>
      </c>
      <c r="AZ3956">
        <v>52.91</v>
      </c>
      <c r="BA3956">
        <v>0.99</v>
      </c>
      <c r="BB3956" t="s">
        <v>751</v>
      </c>
      <c r="BF3956">
        <v>-3.24</v>
      </c>
      <c r="BG3956">
        <v>-4.5199999999999996</v>
      </c>
      <c r="BH3956">
        <v>-4.5199999999999996</v>
      </c>
      <c r="BI3956">
        <v>0.02</v>
      </c>
      <c r="BJ3956">
        <v>20210825</v>
      </c>
      <c r="BK3956">
        <v>20200916</v>
      </c>
      <c r="BL3956">
        <v>1.1299999999999999</v>
      </c>
      <c r="BM3956" t="s">
        <v>120</v>
      </c>
      <c r="BN3956" t="s">
        <v>120</v>
      </c>
      <c r="BO3956">
        <v>14.29</v>
      </c>
      <c r="BP3956">
        <v>101.02</v>
      </c>
      <c r="BQ3956">
        <v>12.41</v>
      </c>
      <c r="BR3956" t="s">
        <v>120</v>
      </c>
      <c r="BS3956">
        <v>13.18</v>
      </c>
      <c r="BT3956">
        <v>10.17</v>
      </c>
      <c r="BU3956">
        <v>1.1299999999999999</v>
      </c>
      <c r="BV3956">
        <v>0.82</v>
      </c>
      <c r="BW3956">
        <v>1.84</v>
      </c>
      <c r="BX3956">
        <v>6.68</v>
      </c>
      <c r="BY3956">
        <v>1.05</v>
      </c>
      <c r="BZ3956">
        <v>1.21</v>
      </c>
      <c r="CA3956" t="s">
        <v>120</v>
      </c>
      <c r="CB3956">
        <v>6.92</v>
      </c>
      <c r="CC3956">
        <v>5.76</v>
      </c>
      <c r="CD3956">
        <v>2.99</v>
      </c>
      <c r="CE3956">
        <v>2.0099999999999998</v>
      </c>
      <c r="CF3956">
        <v>0.03</v>
      </c>
      <c r="CG3956">
        <v>2.04</v>
      </c>
      <c r="CH3956">
        <v>1.77</v>
      </c>
      <c r="CI3956">
        <v>1.77</v>
      </c>
      <c r="CJ3956">
        <v>-5.1100000000000003</v>
      </c>
      <c r="CK3956">
        <v>1.64</v>
      </c>
      <c r="CL3956">
        <v>3.91</v>
      </c>
      <c r="CM3956">
        <v>2.02</v>
      </c>
      <c r="CN3956">
        <v>-1.1100000000000001</v>
      </c>
      <c r="CO3956">
        <v>9730</v>
      </c>
      <c r="CP3956">
        <v>2878</v>
      </c>
      <c r="CQ3956" t="s">
        <v>16075</v>
      </c>
      <c r="CR3956">
        <v>97.74</v>
      </c>
      <c r="CS3956">
        <v>70.760000000000005</v>
      </c>
      <c r="CT3956">
        <v>9.1199999999999992</v>
      </c>
      <c r="CU3956">
        <v>56.27</v>
      </c>
      <c r="CV3956">
        <v>19.75</v>
      </c>
      <c r="CW3956">
        <v>1.2</v>
      </c>
      <c r="CX3956" t="s">
        <v>2480</v>
      </c>
      <c r="CY3956">
        <v>11.08</v>
      </c>
      <c r="CZ3956">
        <v>11.08</v>
      </c>
      <c r="DA3956">
        <v>6.14</v>
      </c>
      <c r="DB3956">
        <v>3.47</v>
      </c>
      <c r="DC3956">
        <v>1.8</v>
      </c>
      <c r="DD3956">
        <v>86.82</v>
      </c>
      <c r="DE3956" t="s">
        <v>872</v>
      </c>
      <c r="DF3956">
        <v>48.01</v>
      </c>
      <c r="DG3956">
        <v>34.979999999999997</v>
      </c>
      <c r="DH3956">
        <v>30.74</v>
      </c>
      <c r="DI3956">
        <v>0.26</v>
      </c>
      <c r="DJ3956">
        <v>1058</v>
      </c>
      <c r="DK3956">
        <v>605369</v>
      </c>
      <c r="DL3956" t="s">
        <v>120</v>
      </c>
      <c r="DM3956" t="s">
        <v>120</v>
      </c>
      <c r="DN3956" t="s">
        <v>120</v>
      </c>
    </row>
    <row r="3957" spans="1:118">
      <c r="A3957" t="str">
        <f>"605376"</f>
        <v>605376</v>
      </c>
      <c r="B3957" t="s">
        <v>16076</v>
      </c>
      <c r="C3957">
        <v>-2.5</v>
      </c>
      <c r="D3957">
        <v>0</v>
      </c>
      <c r="E3957">
        <v>0.38</v>
      </c>
      <c r="F3957">
        <v>457</v>
      </c>
      <c r="G3957" t="s">
        <v>16077</v>
      </c>
      <c r="H3957">
        <v>16745.71</v>
      </c>
      <c r="I3957">
        <v>67.39</v>
      </c>
      <c r="J3957" t="s">
        <v>120</v>
      </c>
      <c r="K3957" t="s">
        <v>16077</v>
      </c>
      <c r="L3957">
        <v>2.94</v>
      </c>
      <c r="M3957">
        <v>85.01</v>
      </c>
      <c r="N3957">
        <v>1.04</v>
      </c>
      <c r="O3957">
        <v>3.1</v>
      </c>
      <c r="P3957">
        <v>89.89</v>
      </c>
      <c r="Q3957">
        <v>-2.5099999999999998</v>
      </c>
      <c r="R3957">
        <v>85</v>
      </c>
      <c r="S3957">
        <v>87.52</v>
      </c>
      <c r="T3957">
        <v>19243</v>
      </c>
      <c r="U3957">
        <v>85.02</v>
      </c>
      <c r="V3957">
        <v>87.19</v>
      </c>
      <c r="W3957">
        <v>99.62</v>
      </c>
      <c r="X3957" t="s">
        <v>1390</v>
      </c>
      <c r="Y3957" t="s">
        <v>319</v>
      </c>
      <c r="Z3957">
        <v>5.61</v>
      </c>
      <c r="AA3957">
        <v>87.02</v>
      </c>
      <c r="AB3957">
        <v>10898</v>
      </c>
      <c r="AC3957">
        <v>8345</v>
      </c>
      <c r="AD3957">
        <v>1.31</v>
      </c>
      <c r="AE3957">
        <v>4</v>
      </c>
      <c r="AF3957">
        <v>2</v>
      </c>
      <c r="AG3957" t="s">
        <v>120</v>
      </c>
      <c r="AH3957">
        <v>0.01</v>
      </c>
      <c r="AI3957" t="s">
        <v>120</v>
      </c>
      <c r="AJ3957">
        <v>0.65</v>
      </c>
      <c r="AK3957" t="s">
        <v>8386</v>
      </c>
      <c r="AL3957">
        <v>-1.1599999999999999</v>
      </c>
      <c r="AM3957">
        <v>2410</v>
      </c>
      <c r="AN3957">
        <v>8</v>
      </c>
      <c r="AO3957">
        <v>1.1999999999999999E-3</v>
      </c>
      <c r="AP3957">
        <v>-4</v>
      </c>
      <c r="AQ3957">
        <v>-1.65</v>
      </c>
      <c r="AR3957">
        <v>-4.38</v>
      </c>
      <c r="AS3957">
        <v>7.3</v>
      </c>
      <c r="AT3957">
        <v>24.64</v>
      </c>
      <c r="AU3957">
        <v>81.95</v>
      </c>
      <c r="AV3957">
        <v>11</v>
      </c>
      <c r="AW3957">
        <v>2.94</v>
      </c>
      <c r="AX3957">
        <v>25</v>
      </c>
      <c r="AY3957">
        <v>114.36</v>
      </c>
      <c r="AZ3957">
        <v>143.46</v>
      </c>
      <c r="BA3957">
        <v>0.5</v>
      </c>
      <c r="BB3957" t="s">
        <v>143</v>
      </c>
      <c r="BF3957">
        <v>-0.19</v>
      </c>
      <c r="BG3957">
        <v>-2.87</v>
      </c>
      <c r="BH3957">
        <v>-5.43</v>
      </c>
      <c r="BI3957">
        <v>0.01</v>
      </c>
      <c r="BJ3957">
        <v>20210818</v>
      </c>
      <c r="BK3957">
        <v>20201208</v>
      </c>
      <c r="BL3957">
        <v>2.62</v>
      </c>
      <c r="BM3957" t="s">
        <v>120</v>
      </c>
      <c r="BN3957" t="s">
        <v>120</v>
      </c>
      <c r="BO3957">
        <v>15.9</v>
      </c>
      <c r="BP3957">
        <v>85.01</v>
      </c>
      <c r="BQ3957">
        <v>14.62</v>
      </c>
      <c r="BR3957" t="s">
        <v>120</v>
      </c>
      <c r="BS3957">
        <v>8.07</v>
      </c>
      <c r="BT3957">
        <v>9.94</v>
      </c>
      <c r="BU3957">
        <v>4.24</v>
      </c>
      <c r="BV3957">
        <v>0.7</v>
      </c>
      <c r="BW3957">
        <v>1.1499999999999999</v>
      </c>
      <c r="BX3957">
        <v>3.64</v>
      </c>
      <c r="BY3957">
        <v>1.45</v>
      </c>
      <c r="BZ3957">
        <v>1.45</v>
      </c>
      <c r="CA3957" t="s">
        <v>120</v>
      </c>
      <c r="CB3957">
        <v>7.08</v>
      </c>
      <c r="CC3957">
        <v>4.58</v>
      </c>
      <c r="CD3957">
        <v>2.76</v>
      </c>
      <c r="CE3957">
        <v>1.33</v>
      </c>
      <c r="CF3957">
        <v>0</v>
      </c>
      <c r="CG3957">
        <v>1.36</v>
      </c>
      <c r="CH3957">
        <v>1.1200000000000001</v>
      </c>
      <c r="CI3957">
        <v>1.1200000000000001</v>
      </c>
      <c r="CJ3957">
        <v>-2.1800000000000002</v>
      </c>
      <c r="CK3957">
        <v>1.0900000000000001</v>
      </c>
      <c r="CL3957">
        <v>4.6100000000000003</v>
      </c>
      <c r="CM3957">
        <v>0.34</v>
      </c>
      <c r="CN3957">
        <v>-4.26</v>
      </c>
      <c r="CO3957">
        <v>14205</v>
      </c>
      <c r="CP3957">
        <v>4604</v>
      </c>
      <c r="CQ3957" t="s">
        <v>16078</v>
      </c>
      <c r="CR3957">
        <v>56.84</v>
      </c>
      <c r="CS3957">
        <v>78.83</v>
      </c>
      <c r="CT3957">
        <v>15.21</v>
      </c>
      <c r="CU3957">
        <v>656.06</v>
      </c>
      <c r="CV3957">
        <v>48.57</v>
      </c>
      <c r="CW3957">
        <v>0.32</v>
      </c>
      <c r="CX3957" t="s">
        <v>1462</v>
      </c>
      <c r="CY3957">
        <v>5.59</v>
      </c>
      <c r="CZ3957">
        <v>0</v>
      </c>
      <c r="DA3957">
        <v>2.71</v>
      </c>
      <c r="DB3957">
        <v>1.76</v>
      </c>
      <c r="DC3957">
        <v>0.13</v>
      </c>
      <c r="DD3957">
        <v>91.93</v>
      </c>
      <c r="DE3957" t="s">
        <v>4011</v>
      </c>
      <c r="DF3957">
        <v>39.78</v>
      </c>
      <c r="DG3957">
        <v>29.06</v>
      </c>
      <c r="DH3957">
        <v>24.38</v>
      </c>
      <c r="DI3957">
        <v>0.2</v>
      </c>
      <c r="DJ3957">
        <v>677</v>
      </c>
      <c r="DK3957">
        <v>605376</v>
      </c>
      <c r="DL3957">
        <v>20210514</v>
      </c>
      <c r="DM3957">
        <v>60.48</v>
      </c>
      <c r="DN3957">
        <v>41.02</v>
      </c>
    </row>
    <row r="3958" spans="1:118">
      <c r="A3958" t="str">
        <f>"605377"</f>
        <v>605377</v>
      </c>
      <c r="B3958" t="s">
        <v>16079</v>
      </c>
      <c r="C3958">
        <v>-2.64</v>
      </c>
      <c r="D3958">
        <v>-0.05</v>
      </c>
      <c r="E3958">
        <v>0</v>
      </c>
      <c r="F3958">
        <v>45</v>
      </c>
      <c r="G3958" t="s">
        <v>9497</v>
      </c>
      <c r="H3958">
        <v>3557.02</v>
      </c>
      <c r="I3958">
        <v>2.27</v>
      </c>
      <c r="J3958" t="s">
        <v>120</v>
      </c>
      <c r="K3958" t="s">
        <v>9497</v>
      </c>
      <c r="L3958">
        <v>2.89</v>
      </c>
      <c r="M3958">
        <v>16.989999999999998</v>
      </c>
      <c r="N3958">
        <v>1</v>
      </c>
      <c r="O3958">
        <v>2.1800000000000002</v>
      </c>
      <c r="P3958">
        <v>17.829999999999998</v>
      </c>
      <c r="Q3958">
        <v>-3.15</v>
      </c>
      <c r="R3958">
        <v>16.899999999999999</v>
      </c>
      <c r="S3958">
        <v>17.45</v>
      </c>
      <c r="T3958">
        <v>20638</v>
      </c>
      <c r="U3958">
        <v>17</v>
      </c>
      <c r="V3958">
        <v>17.45</v>
      </c>
      <c r="W3958">
        <v>11.14</v>
      </c>
      <c r="X3958" t="s">
        <v>814</v>
      </c>
      <c r="Y3958" t="s">
        <v>585</v>
      </c>
      <c r="Z3958">
        <v>5.33</v>
      </c>
      <c r="AA3958">
        <v>17.239999999999998</v>
      </c>
      <c r="AB3958">
        <v>12495</v>
      </c>
      <c r="AC3958">
        <v>8143</v>
      </c>
      <c r="AD3958">
        <v>1.53</v>
      </c>
      <c r="AE3958">
        <v>153</v>
      </c>
      <c r="AF3958">
        <v>82</v>
      </c>
      <c r="AG3958" t="s">
        <v>120</v>
      </c>
      <c r="AH3958">
        <v>0</v>
      </c>
      <c r="AI3958" t="s">
        <v>120</v>
      </c>
      <c r="AJ3958">
        <v>0.71</v>
      </c>
      <c r="AK3958" t="s">
        <v>12027</v>
      </c>
      <c r="AL3958">
        <v>-1.29</v>
      </c>
      <c r="AM3958">
        <v>1282</v>
      </c>
      <c r="AN3958">
        <v>16</v>
      </c>
      <c r="AO3958">
        <v>2.3E-3</v>
      </c>
      <c r="AP3958">
        <v>-5</v>
      </c>
      <c r="AQ3958">
        <v>-1.69</v>
      </c>
      <c r="AR3958">
        <v>-4.82</v>
      </c>
      <c r="AS3958">
        <v>1.1299999999999999</v>
      </c>
      <c r="AT3958">
        <v>13.42</v>
      </c>
      <c r="AU3958">
        <v>22.8</v>
      </c>
      <c r="AV3958">
        <v>0</v>
      </c>
      <c r="AW3958">
        <v>2.89</v>
      </c>
      <c r="AX3958">
        <v>24.86</v>
      </c>
      <c r="AY3958">
        <v>13.01</v>
      </c>
      <c r="AZ3958">
        <v>19.27</v>
      </c>
      <c r="BA3958">
        <v>1.0900000000000001</v>
      </c>
      <c r="BB3958" t="s">
        <v>143</v>
      </c>
      <c r="BF3958">
        <v>-1.23</v>
      </c>
      <c r="BG3958">
        <v>-2.64</v>
      </c>
      <c r="BH3958">
        <v>-4.71</v>
      </c>
      <c r="BI3958">
        <v>0.53</v>
      </c>
      <c r="BJ3958">
        <v>20210827</v>
      </c>
      <c r="BK3958">
        <v>20201228</v>
      </c>
      <c r="BL3958">
        <v>2.87</v>
      </c>
      <c r="BM3958" t="s">
        <v>120</v>
      </c>
      <c r="BN3958" t="s">
        <v>120</v>
      </c>
      <c r="BO3958">
        <v>35.33</v>
      </c>
      <c r="BP3958">
        <v>16.989999999999998</v>
      </c>
      <c r="BQ3958">
        <v>23.15</v>
      </c>
      <c r="BR3958">
        <v>0.08</v>
      </c>
      <c r="BS3958">
        <v>34.28</v>
      </c>
      <c r="BT3958">
        <v>26.2</v>
      </c>
      <c r="BU3958">
        <v>7.13</v>
      </c>
      <c r="BV3958">
        <v>0.68</v>
      </c>
      <c r="BW3958">
        <v>12.1</v>
      </c>
      <c r="BX3958">
        <v>4.37</v>
      </c>
      <c r="BY3958">
        <v>5.75</v>
      </c>
      <c r="BZ3958">
        <v>4.28</v>
      </c>
      <c r="CA3958" t="s">
        <v>120</v>
      </c>
      <c r="CB3958">
        <v>11.49</v>
      </c>
      <c r="CC3958">
        <v>13.3</v>
      </c>
      <c r="CD3958">
        <v>9.84</v>
      </c>
      <c r="CE3958">
        <v>2.58</v>
      </c>
      <c r="CF3958">
        <v>0.05</v>
      </c>
      <c r="CG3958">
        <v>2.56</v>
      </c>
      <c r="CH3958">
        <v>2.17</v>
      </c>
      <c r="CI3958">
        <v>2.19</v>
      </c>
      <c r="CJ3958">
        <v>-0.46</v>
      </c>
      <c r="CK3958">
        <v>2.09</v>
      </c>
      <c r="CL3958">
        <v>7.96</v>
      </c>
      <c r="CM3958">
        <v>0.74</v>
      </c>
      <c r="CN3958">
        <v>-6.68</v>
      </c>
      <c r="CO3958">
        <v>18242</v>
      </c>
      <c r="CP3958">
        <v>3911</v>
      </c>
      <c r="CQ3958" t="s">
        <v>3590</v>
      </c>
      <c r="CR3958">
        <v>133.46</v>
      </c>
      <c r="CS3958">
        <v>98.37</v>
      </c>
      <c r="CT3958">
        <v>2.09</v>
      </c>
      <c r="CU3958">
        <v>65.72</v>
      </c>
      <c r="CV3958">
        <v>3.67</v>
      </c>
      <c r="CW3958">
        <v>2.44</v>
      </c>
      <c r="CX3958" t="s">
        <v>1914</v>
      </c>
      <c r="CY3958">
        <v>8.11</v>
      </c>
      <c r="CZ3958">
        <v>8.11</v>
      </c>
      <c r="DA3958">
        <v>4</v>
      </c>
      <c r="DB3958">
        <v>2.77</v>
      </c>
      <c r="DC3958">
        <v>0.26</v>
      </c>
      <c r="DD3958">
        <v>65.510000000000005</v>
      </c>
      <c r="DE3958" t="s">
        <v>16080</v>
      </c>
      <c r="DF3958">
        <v>25.97</v>
      </c>
      <c r="DG3958">
        <v>19.420000000000002</v>
      </c>
      <c r="DH3958">
        <v>16.46</v>
      </c>
      <c r="DI3958">
        <v>0.4</v>
      </c>
      <c r="DJ3958">
        <v>855</v>
      </c>
      <c r="DK3958">
        <v>605377</v>
      </c>
      <c r="DL3958" t="s">
        <v>120</v>
      </c>
      <c r="DM3958" t="s">
        <v>120</v>
      </c>
      <c r="DN3958" t="s">
        <v>120</v>
      </c>
    </row>
    <row r="3959" spans="1:118">
      <c r="A3959" t="str">
        <f>"605378"</f>
        <v>605378</v>
      </c>
      <c r="B3959" t="s">
        <v>16081</v>
      </c>
      <c r="C3959">
        <v>-3.93</v>
      </c>
      <c r="D3959">
        <v>-0.16</v>
      </c>
      <c r="E3959">
        <v>-0.87</v>
      </c>
      <c r="F3959">
        <v>284</v>
      </c>
      <c r="G3959" t="s">
        <v>16082</v>
      </c>
      <c r="H3959">
        <v>6047.65</v>
      </c>
      <c r="I3959">
        <v>23.62</v>
      </c>
      <c r="J3959" t="s">
        <v>120</v>
      </c>
      <c r="K3959" t="s">
        <v>16082</v>
      </c>
      <c r="L3959">
        <v>6.2</v>
      </c>
      <c r="M3959">
        <v>28.61</v>
      </c>
      <c r="N3959">
        <v>1.01</v>
      </c>
      <c r="O3959">
        <v>0.74</v>
      </c>
      <c r="P3959">
        <v>30</v>
      </c>
      <c r="Q3959">
        <v>-3.96</v>
      </c>
      <c r="R3959">
        <v>28.6</v>
      </c>
      <c r="S3959">
        <v>29.52</v>
      </c>
      <c r="T3959">
        <v>20670</v>
      </c>
      <c r="U3959">
        <v>28.62</v>
      </c>
      <c r="V3959">
        <v>29.78</v>
      </c>
      <c r="W3959">
        <v>49.41</v>
      </c>
      <c r="X3959" t="s">
        <v>394</v>
      </c>
      <c r="Y3959" t="s">
        <v>585</v>
      </c>
      <c r="Z3959">
        <v>4.7</v>
      </c>
      <c r="AA3959">
        <v>29.26</v>
      </c>
      <c r="AB3959">
        <v>12337</v>
      </c>
      <c r="AC3959">
        <v>8333</v>
      </c>
      <c r="AD3959">
        <v>1.48</v>
      </c>
      <c r="AE3959">
        <v>8</v>
      </c>
      <c r="AF3959">
        <v>7</v>
      </c>
      <c r="AG3959" t="s">
        <v>120</v>
      </c>
      <c r="AH3959">
        <v>0.02</v>
      </c>
      <c r="AI3959" t="s">
        <v>120</v>
      </c>
      <c r="AJ3959">
        <v>0.33</v>
      </c>
      <c r="AK3959" t="s">
        <v>16083</v>
      </c>
      <c r="AL3959">
        <v>-2.59</v>
      </c>
      <c r="AM3959">
        <v>1960</v>
      </c>
      <c r="AN3959">
        <v>11</v>
      </c>
      <c r="AO3959">
        <v>3.2000000000000002E-3</v>
      </c>
      <c r="AP3959">
        <v>-4</v>
      </c>
      <c r="AQ3959">
        <v>-0.27</v>
      </c>
      <c r="AR3959">
        <v>-5.58</v>
      </c>
      <c r="AS3959">
        <v>-15.28</v>
      </c>
      <c r="AT3959">
        <v>-26.98</v>
      </c>
      <c r="AU3959">
        <v>67.12</v>
      </c>
      <c r="AV3959">
        <v>6</v>
      </c>
      <c r="AW3959">
        <v>6.2</v>
      </c>
      <c r="AX3959">
        <v>25</v>
      </c>
      <c r="AY3959">
        <v>33.909999999999997</v>
      </c>
      <c r="AZ3959">
        <v>33.58</v>
      </c>
      <c r="BA3959">
        <v>1.35</v>
      </c>
      <c r="BB3959" t="s">
        <v>125</v>
      </c>
      <c r="BF3959">
        <v>-1.75</v>
      </c>
      <c r="BG3959">
        <v>-3.08</v>
      </c>
      <c r="BH3959">
        <v>-4.63</v>
      </c>
      <c r="BI3959">
        <v>0.03</v>
      </c>
      <c r="BJ3959">
        <v>20210824</v>
      </c>
      <c r="BK3959">
        <v>20210412</v>
      </c>
      <c r="BL3959">
        <v>1.33</v>
      </c>
      <c r="BM3959" t="s">
        <v>120</v>
      </c>
      <c r="BN3959" t="s">
        <v>120</v>
      </c>
      <c r="BO3959">
        <v>14.29</v>
      </c>
      <c r="BP3959">
        <v>28.61</v>
      </c>
      <c r="BQ3959">
        <v>11</v>
      </c>
      <c r="BR3959" t="s">
        <v>120</v>
      </c>
      <c r="BS3959">
        <v>23.02</v>
      </c>
      <c r="BT3959">
        <v>11.47</v>
      </c>
      <c r="BU3959">
        <v>1.84</v>
      </c>
      <c r="BV3959">
        <v>0.52</v>
      </c>
      <c r="BW3959">
        <v>2.86</v>
      </c>
      <c r="BX3959">
        <v>1.61</v>
      </c>
      <c r="BY3959">
        <v>2.4</v>
      </c>
      <c r="BZ3959">
        <v>1.49</v>
      </c>
      <c r="CA3959" t="s">
        <v>120</v>
      </c>
      <c r="CB3959">
        <v>6.95</v>
      </c>
      <c r="CC3959">
        <v>5.63</v>
      </c>
      <c r="CD3959">
        <v>4.6100000000000003</v>
      </c>
      <c r="CE3959">
        <v>0.41</v>
      </c>
      <c r="CF3959">
        <v>0.05</v>
      </c>
      <c r="CG3959">
        <v>0.46</v>
      </c>
      <c r="CH3959">
        <v>0.39</v>
      </c>
      <c r="CI3959">
        <v>0.39</v>
      </c>
      <c r="CJ3959">
        <v>-1.17</v>
      </c>
      <c r="CK3959">
        <v>0.3</v>
      </c>
      <c r="CL3959">
        <v>2.2799999999999998</v>
      </c>
      <c r="CM3959">
        <v>0.4</v>
      </c>
      <c r="CN3959">
        <v>1.25</v>
      </c>
      <c r="CO3959">
        <v>25975</v>
      </c>
      <c r="CP3959">
        <v>1284</v>
      </c>
      <c r="CQ3959" t="s">
        <v>1702</v>
      </c>
      <c r="CR3959">
        <v>-2.91</v>
      </c>
      <c r="CS3959">
        <v>28.39</v>
      </c>
      <c r="CT3959">
        <v>3.47</v>
      </c>
      <c r="CU3959">
        <v>94.43</v>
      </c>
      <c r="CV3959">
        <v>6.77</v>
      </c>
      <c r="CW3959">
        <v>1.68</v>
      </c>
      <c r="CX3959" t="s">
        <v>269</v>
      </c>
      <c r="CY3959">
        <v>8.25</v>
      </c>
      <c r="CZ3959">
        <v>0</v>
      </c>
      <c r="DA3959">
        <v>5.21</v>
      </c>
      <c r="DB3959">
        <v>1.71</v>
      </c>
      <c r="DC3959">
        <v>0.3</v>
      </c>
      <c r="DD3959">
        <v>76.98</v>
      </c>
      <c r="DE3959" t="s">
        <v>9578</v>
      </c>
      <c r="DF3959">
        <v>18.14</v>
      </c>
      <c r="DG3959">
        <v>7.22</v>
      </c>
      <c r="DH3959">
        <v>6.85</v>
      </c>
      <c r="DI3959">
        <v>0.19</v>
      </c>
      <c r="DJ3959">
        <v>884</v>
      </c>
      <c r="DK3959">
        <v>605378</v>
      </c>
      <c r="DL3959" t="s">
        <v>120</v>
      </c>
      <c r="DM3959" t="s">
        <v>120</v>
      </c>
      <c r="DN3959" t="s">
        <v>120</v>
      </c>
    </row>
    <row r="3960" spans="1:118">
      <c r="A3960" t="str">
        <f>"605388"</f>
        <v>605388</v>
      </c>
      <c r="B3960" t="s">
        <v>16084</v>
      </c>
      <c r="C3960">
        <v>0.66</v>
      </c>
      <c r="D3960">
        <v>0.06</v>
      </c>
      <c r="E3960">
        <v>0.18</v>
      </c>
      <c r="F3960">
        <v>251</v>
      </c>
      <c r="G3960" t="s">
        <v>958</v>
      </c>
      <c r="H3960">
        <v>4552.67</v>
      </c>
      <c r="I3960">
        <v>6.01</v>
      </c>
      <c r="J3960" t="s">
        <v>120</v>
      </c>
      <c r="K3960" t="s">
        <v>958</v>
      </c>
      <c r="L3960">
        <v>1.92</v>
      </c>
      <c r="M3960">
        <v>16.78</v>
      </c>
      <c r="N3960">
        <v>0.99</v>
      </c>
      <c r="O3960">
        <v>2.2200000000000002</v>
      </c>
      <c r="P3960">
        <v>17.04</v>
      </c>
      <c r="Q3960">
        <v>-0.24</v>
      </c>
      <c r="R3960">
        <v>16.63</v>
      </c>
      <c r="S3960">
        <v>16.7</v>
      </c>
      <c r="T3960">
        <v>27051</v>
      </c>
      <c r="U3960">
        <v>16.79</v>
      </c>
      <c r="V3960">
        <v>16.670000000000002</v>
      </c>
      <c r="W3960">
        <v>28.98</v>
      </c>
      <c r="X3960" t="s">
        <v>2180</v>
      </c>
      <c r="Y3960" t="s">
        <v>763</v>
      </c>
      <c r="Z3960">
        <v>2.46</v>
      </c>
      <c r="AA3960">
        <v>16.829999999999998</v>
      </c>
      <c r="AB3960">
        <v>13904</v>
      </c>
      <c r="AC3960">
        <v>13147</v>
      </c>
      <c r="AD3960">
        <v>1.06</v>
      </c>
      <c r="AE3960">
        <v>340</v>
      </c>
      <c r="AF3960">
        <v>17</v>
      </c>
      <c r="AG3960" t="s">
        <v>120</v>
      </c>
      <c r="AH3960">
        <v>0</v>
      </c>
      <c r="AI3960" t="s">
        <v>120</v>
      </c>
      <c r="AJ3960">
        <v>1.41</v>
      </c>
      <c r="AK3960" t="s">
        <v>16085</v>
      </c>
      <c r="AL3960">
        <v>2</v>
      </c>
      <c r="AM3960">
        <v>1723</v>
      </c>
      <c r="AN3960">
        <v>16</v>
      </c>
      <c r="AO3960">
        <v>1.1000000000000001E-3</v>
      </c>
      <c r="AP3960">
        <v>1</v>
      </c>
      <c r="AQ3960">
        <v>-0.66</v>
      </c>
      <c r="AR3960">
        <v>-1.58</v>
      </c>
      <c r="AS3960">
        <v>-6.1</v>
      </c>
      <c r="AT3960">
        <v>-27.68</v>
      </c>
      <c r="AU3960">
        <v>-23.93</v>
      </c>
      <c r="AV3960">
        <v>8</v>
      </c>
      <c r="AW3960">
        <v>1.92</v>
      </c>
      <c r="AX3960">
        <v>32.76</v>
      </c>
      <c r="AY3960">
        <v>37.86</v>
      </c>
      <c r="AZ3960">
        <v>33.520000000000003</v>
      </c>
      <c r="BA3960">
        <v>0.92</v>
      </c>
      <c r="BB3960" t="s">
        <v>143</v>
      </c>
      <c r="BF3960">
        <v>0.96</v>
      </c>
      <c r="BG3960">
        <v>0.48</v>
      </c>
      <c r="BH3960">
        <v>-1.53</v>
      </c>
      <c r="BI3960">
        <v>0.9</v>
      </c>
      <c r="BJ3960">
        <v>20210902</v>
      </c>
      <c r="BK3960">
        <v>20200818</v>
      </c>
      <c r="BL3960">
        <v>4.3</v>
      </c>
      <c r="BM3960" t="s">
        <v>120</v>
      </c>
      <c r="BN3960" t="s">
        <v>120</v>
      </c>
      <c r="BO3960">
        <v>22.25</v>
      </c>
      <c r="BP3960">
        <v>16.78</v>
      </c>
      <c r="BQ3960">
        <v>19.170000000000002</v>
      </c>
      <c r="BR3960">
        <v>0.08</v>
      </c>
      <c r="BS3960">
        <v>13.48</v>
      </c>
      <c r="BT3960">
        <v>16.82</v>
      </c>
      <c r="BU3960">
        <v>3.73</v>
      </c>
      <c r="BV3960">
        <v>0.89</v>
      </c>
      <c r="BW3960">
        <v>2.82</v>
      </c>
      <c r="BX3960">
        <v>10.53</v>
      </c>
      <c r="BY3960">
        <v>0.42</v>
      </c>
      <c r="BZ3960">
        <v>0.02</v>
      </c>
      <c r="CA3960" t="s">
        <v>120</v>
      </c>
      <c r="CB3960">
        <v>8.67</v>
      </c>
      <c r="CC3960">
        <v>4.7699999999999996</v>
      </c>
      <c r="CD3960">
        <v>2.75</v>
      </c>
      <c r="CE3960">
        <v>1.62</v>
      </c>
      <c r="CF3960">
        <v>0.19</v>
      </c>
      <c r="CG3960">
        <v>1.67</v>
      </c>
      <c r="CH3960">
        <v>1.24</v>
      </c>
      <c r="CI3960">
        <v>1.24</v>
      </c>
      <c r="CJ3960">
        <v>0.11</v>
      </c>
      <c r="CK3960">
        <v>0.89</v>
      </c>
      <c r="CL3960">
        <v>5.42</v>
      </c>
      <c r="CM3960">
        <v>0.77</v>
      </c>
      <c r="CN3960">
        <v>0.23</v>
      </c>
      <c r="CO3960">
        <v>22924</v>
      </c>
      <c r="CP3960">
        <v>6145</v>
      </c>
      <c r="CQ3960" t="s">
        <v>4207</v>
      </c>
      <c r="CR3960">
        <v>-16.45</v>
      </c>
      <c r="CS3960">
        <v>-4.46</v>
      </c>
      <c r="CT3960">
        <v>3.76</v>
      </c>
      <c r="CU3960">
        <v>93.28</v>
      </c>
      <c r="CV3960">
        <v>15.13</v>
      </c>
      <c r="CW3960">
        <v>1.92</v>
      </c>
      <c r="CX3960" t="s">
        <v>293</v>
      </c>
      <c r="CY3960">
        <v>4.46</v>
      </c>
      <c r="CZ3960">
        <v>0</v>
      </c>
      <c r="DA3960">
        <v>2.02</v>
      </c>
      <c r="DB3960">
        <v>1.26</v>
      </c>
      <c r="DC3960">
        <v>0.18</v>
      </c>
      <c r="DD3960">
        <v>86.14</v>
      </c>
      <c r="DE3960" t="s">
        <v>3395</v>
      </c>
      <c r="DF3960">
        <v>42.28</v>
      </c>
      <c r="DG3960">
        <v>34.04</v>
      </c>
      <c r="DH3960">
        <v>26.11</v>
      </c>
      <c r="DI3960">
        <v>0.03</v>
      </c>
      <c r="DJ3960">
        <v>686</v>
      </c>
      <c r="DK3960">
        <v>605388</v>
      </c>
      <c r="DL3960" t="s">
        <v>120</v>
      </c>
      <c r="DM3960" t="s">
        <v>120</v>
      </c>
      <c r="DN3960" t="s">
        <v>120</v>
      </c>
    </row>
    <row r="3961" spans="1:118">
      <c r="A3961" t="str">
        <f>"605389"</f>
        <v>605389</v>
      </c>
      <c r="B3961" t="s">
        <v>16086</v>
      </c>
      <c r="C3961">
        <v>-1.54</v>
      </c>
      <c r="D3961">
        <v>0</v>
      </c>
      <c r="E3961">
        <v>0.26</v>
      </c>
      <c r="F3961">
        <v>57</v>
      </c>
      <c r="G3961" t="s">
        <v>16087</v>
      </c>
      <c r="H3961">
        <v>3854.76</v>
      </c>
      <c r="I3961">
        <v>9.14</v>
      </c>
      <c r="J3961" t="s">
        <v>120</v>
      </c>
      <c r="K3961" t="s">
        <v>16087</v>
      </c>
      <c r="L3961">
        <v>3.15</v>
      </c>
      <c r="M3961">
        <v>49.89</v>
      </c>
      <c r="N3961">
        <v>0.84</v>
      </c>
      <c r="O3961">
        <v>0.75</v>
      </c>
      <c r="P3961">
        <v>51.05</v>
      </c>
      <c r="Q3961">
        <v>-1.91</v>
      </c>
      <c r="R3961">
        <v>49.7</v>
      </c>
      <c r="S3961">
        <v>50.8</v>
      </c>
      <c r="T3961">
        <v>7666</v>
      </c>
      <c r="U3961">
        <v>49.9</v>
      </c>
      <c r="V3961">
        <v>50.67</v>
      </c>
      <c r="W3961">
        <v>20.16</v>
      </c>
      <c r="X3961" t="s">
        <v>959</v>
      </c>
      <c r="Y3961" t="s">
        <v>319</v>
      </c>
      <c r="Z3961">
        <v>2.66</v>
      </c>
      <c r="AA3961">
        <v>50.28</v>
      </c>
      <c r="AB3961">
        <v>4725</v>
      </c>
      <c r="AC3961">
        <v>2941</v>
      </c>
      <c r="AD3961">
        <v>1.61</v>
      </c>
      <c r="AE3961">
        <v>11</v>
      </c>
      <c r="AF3961">
        <v>17</v>
      </c>
      <c r="AG3961" t="s">
        <v>120</v>
      </c>
      <c r="AH3961">
        <v>0.01</v>
      </c>
      <c r="AI3961" t="s">
        <v>120</v>
      </c>
      <c r="AJ3961">
        <v>0.24</v>
      </c>
      <c r="AK3961" t="s">
        <v>1919</v>
      </c>
      <c r="AL3961">
        <v>-0.2</v>
      </c>
      <c r="AM3961">
        <v>1207</v>
      </c>
      <c r="AN3961">
        <v>6</v>
      </c>
      <c r="AO3961">
        <v>2.5999999999999999E-3</v>
      </c>
      <c r="AP3961">
        <v>-3</v>
      </c>
      <c r="AQ3961">
        <v>-1.23</v>
      </c>
      <c r="AR3961">
        <v>-4.57</v>
      </c>
      <c r="AS3961">
        <v>-6.05</v>
      </c>
      <c r="AT3961">
        <v>-13.3</v>
      </c>
      <c r="AU3961">
        <v>27.6</v>
      </c>
      <c r="AV3961">
        <v>3</v>
      </c>
      <c r="AW3961">
        <v>3.15</v>
      </c>
      <c r="AX3961">
        <v>25</v>
      </c>
      <c r="AY3961">
        <v>20.54</v>
      </c>
      <c r="AZ3961">
        <v>20.91</v>
      </c>
      <c r="BA3961">
        <v>1.47</v>
      </c>
      <c r="BB3961" t="s">
        <v>134</v>
      </c>
      <c r="BF3961">
        <v>-0.76</v>
      </c>
      <c r="BG3961">
        <v>-1.79</v>
      </c>
      <c r="BH3961">
        <v>-2.27</v>
      </c>
      <c r="BI3961">
        <v>0.38</v>
      </c>
      <c r="BJ3961">
        <v>20210825</v>
      </c>
      <c r="BK3961">
        <v>20210322</v>
      </c>
      <c r="BL3961">
        <v>0.97</v>
      </c>
      <c r="BM3961" t="s">
        <v>120</v>
      </c>
      <c r="BN3961" t="s">
        <v>120</v>
      </c>
      <c r="BO3961">
        <v>19.63</v>
      </c>
      <c r="BP3961">
        <v>49.89</v>
      </c>
      <c r="BQ3961">
        <v>17.010000000000002</v>
      </c>
      <c r="BR3961" t="s">
        <v>120</v>
      </c>
      <c r="BS3961">
        <v>13.33</v>
      </c>
      <c r="BT3961">
        <v>16.34</v>
      </c>
      <c r="BU3961">
        <v>1.62</v>
      </c>
      <c r="BV3961">
        <v>0.54</v>
      </c>
      <c r="BW3961">
        <v>2.46</v>
      </c>
      <c r="BX3961">
        <v>11.12</v>
      </c>
      <c r="BY3961">
        <v>1.17</v>
      </c>
      <c r="BZ3961">
        <v>2.0499999999999998</v>
      </c>
      <c r="CA3961" t="s">
        <v>120</v>
      </c>
      <c r="CB3961">
        <v>10.76</v>
      </c>
      <c r="CC3961">
        <v>5.19</v>
      </c>
      <c r="CD3961">
        <v>3.37</v>
      </c>
      <c r="CE3961">
        <v>1.41</v>
      </c>
      <c r="CF3961">
        <v>0</v>
      </c>
      <c r="CG3961">
        <v>1.42</v>
      </c>
      <c r="CH3961">
        <v>1.2</v>
      </c>
      <c r="CI3961">
        <v>1.2</v>
      </c>
      <c r="CJ3961">
        <v>-0.78</v>
      </c>
      <c r="CK3961">
        <v>1.19</v>
      </c>
      <c r="CL3961">
        <v>4.7300000000000004</v>
      </c>
      <c r="CM3961">
        <v>0.51</v>
      </c>
      <c r="CN3961">
        <v>8.76</v>
      </c>
      <c r="CO3961">
        <v>18199</v>
      </c>
      <c r="CP3961">
        <v>1337</v>
      </c>
      <c r="CQ3961" t="s">
        <v>4824</v>
      </c>
      <c r="CR3961">
        <v>3.71</v>
      </c>
      <c r="CS3961">
        <v>29.03</v>
      </c>
      <c r="CT3961">
        <v>2.85</v>
      </c>
      <c r="CU3961">
        <v>95.16</v>
      </c>
      <c r="CV3961">
        <v>9.36</v>
      </c>
      <c r="CW3961">
        <v>0.59</v>
      </c>
      <c r="CX3961" t="s">
        <v>1009</v>
      </c>
      <c r="CY3961">
        <v>17.48</v>
      </c>
      <c r="CZ3961">
        <v>0</v>
      </c>
      <c r="DA3961">
        <v>11.06</v>
      </c>
      <c r="DB3961">
        <v>4.8600000000000003</v>
      </c>
      <c r="DC3961">
        <v>0.52</v>
      </c>
      <c r="DD3961">
        <v>86.67</v>
      </c>
      <c r="DE3961" t="s">
        <v>5021</v>
      </c>
      <c r="DF3961">
        <v>35.020000000000003</v>
      </c>
      <c r="DG3961">
        <v>27.25</v>
      </c>
      <c r="DH3961">
        <v>23.22</v>
      </c>
      <c r="DI3961">
        <v>0.21</v>
      </c>
      <c r="DJ3961">
        <v>520</v>
      </c>
      <c r="DK3961">
        <v>605389</v>
      </c>
      <c r="DL3961" t="s">
        <v>120</v>
      </c>
      <c r="DM3961" t="s">
        <v>120</v>
      </c>
      <c r="DN3961" t="s">
        <v>120</v>
      </c>
    </row>
    <row r="3962" spans="1:118">
      <c r="A3962" t="str">
        <f>"605398"</f>
        <v>605398</v>
      </c>
      <c r="B3962" t="s">
        <v>16088</v>
      </c>
      <c r="C3962">
        <v>-0.56999999999999995</v>
      </c>
      <c r="D3962">
        <v>0.18</v>
      </c>
      <c r="E3962">
        <v>-0.1</v>
      </c>
      <c r="F3962">
        <v>133</v>
      </c>
      <c r="G3962" t="s">
        <v>16089</v>
      </c>
      <c r="H3962">
        <v>1450.56</v>
      </c>
      <c r="I3962">
        <v>0</v>
      </c>
      <c r="J3962" t="s">
        <v>120</v>
      </c>
      <c r="K3962" t="s">
        <v>16089</v>
      </c>
      <c r="L3962">
        <v>2.5499999999999998</v>
      </c>
      <c r="M3962">
        <v>38.1</v>
      </c>
      <c r="N3962">
        <v>1.05</v>
      </c>
      <c r="O3962">
        <v>0.63</v>
      </c>
      <c r="P3962">
        <v>38.56</v>
      </c>
      <c r="Q3962">
        <v>-0.78</v>
      </c>
      <c r="R3962">
        <v>38.020000000000003</v>
      </c>
      <c r="S3962">
        <v>38.28</v>
      </c>
      <c r="T3962">
        <v>3793</v>
      </c>
      <c r="U3962">
        <v>38.11</v>
      </c>
      <c r="V3962">
        <v>38.32</v>
      </c>
      <c r="W3962">
        <v>34.57</v>
      </c>
      <c r="X3962" t="s">
        <v>141</v>
      </c>
      <c r="Y3962" t="s">
        <v>1510</v>
      </c>
      <c r="Z3962">
        <v>1.41</v>
      </c>
      <c r="AA3962">
        <v>38.24</v>
      </c>
      <c r="AB3962">
        <v>2291</v>
      </c>
      <c r="AC3962">
        <v>1502</v>
      </c>
      <c r="AD3962">
        <v>1.53</v>
      </c>
      <c r="AE3962">
        <v>2</v>
      </c>
      <c r="AF3962">
        <v>4</v>
      </c>
      <c r="AG3962" t="s">
        <v>120</v>
      </c>
      <c r="AH3962">
        <v>0</v>
      </c>
      <c r="AI3962" t="s">
        <v>120</v>
      </c>
      <c r="AJ3962">
        <v>0.15</v>
      </c>
      <c r="AK3962" t="s">
        <v>10030</v>
      </c>
      <c r="AL3962">
        <v>0.77</v>
      </c>
      <c r="AM3962">
        <v>656</v>
      </c>
      <c r="AN3962">
        <v>6</v>
      </c>
      <c r="AO3962">
        <v>3.8999999999999998E-3</v>
      </c>
      <c r="AP3962">
        <v>-1</v>
      </c>
      <c r="AQ3962">
        <v>0.34</v>
      </c>
      <c r="AR3962">
        <v>-1.34</v>
      </c>
      <c r="AS3962">
        <v>-2.95</v>
      </c>
      <c r="AT3962">
        <v>-9.9700000000000006</v>
      </c>
      <c r="AU3962">
        <v>2.39</v>
      </c>
      <c r="AV3962">
        <v>0</v>
      </c>
      <c r="AW3962">
        <v>2.5499999999999998</v>
      </c>
      <c r="AX3962">
        <v>25</v>
      </c>
      <c r="AY3962">
        <v>25.53</v>
      </c>
      <c r="AZ3962">
        <v>21.02</v>
      </c>
      <c r="BA3962">
        <v>0.88</v>
      </c>
      <c r="BB3962" t="s">
        <v>143</v>
      </c>
      <c r="BF3962">
        <v>-0.2</v>
      </c>
      <c r="BG3962">
        <v>-0.47</v>
      </c>
      <c r="BH3962">
        <v>-1.19</v>
      </c>
      <c r="BI3962">
        <v>0.21</v>
      </c>
      <c r="BJ3962">
        <v>20210828</v>
      </c>
      <c r="BK3962">
        <v>20210121</v>
      </c>
      <c r="BL3962">
        <v>0.59</v>
      </c>
      <c r="BM3962" t="s">
        <v>120</v>
      </c>
      <c r="BN3962" t="s">
        <v>120</v>
      </c>
      <c r="BO3962">
        <v>11.35</v>
      </c>
      <c r="BP3962">
        <v>38.08</v>
      </c>
      <c r="BQ3962">
        <v>9.4</v>
      </c>
      <c r="BR3962">
        <v>0</v>
      </c>
      <c r="BS3962">
        <v>17.190000000000001</v>
      </c>
      <c r="BT3962">
        <v>11.16</v>
      </c>
      <c r="BU3962">
        <v>0.03</v>
      </c>
      <c r="BV3962">
        <v>0.01</v>
      </c>
      <c r="BW3962">
        <v>1.88</v>
      </c>
      <c r="BX3962">
        <v>6.36</v>
      </c>
      <c r="BY3962">
        <v>0.49</v>
      </c>
      <c r="BZ3962">
        <v>0.73</v>
      </c>
      <c r="CA3962" t="s">
        <v>120</v>
      </c>
      <c r="CB3962">
        <v>5.66</v>
      </c>
      <c r="CC3962">
        <v>2.4300000000000002</v>
      </c>
      <c r="CD3962">
        <v>1.39</v>
      </c>
      <c r="CE3962">
        <v>0.38</v>
      </c>
      <c r="CF3962">
        <v>0</v>
      </c>
      <c r="CG3962">
        <v>0.38</v>
      </c>
      <c r="CH3962">
        <v>0.33</v>
      </c>
      <c r="CI3962">
        <v>0.33</v>
      </c>
      <c r="CJ3962">
        <v>-0.22</v>
      </c>
      <c r="CK3962">
        <v>0.27</v>
      </c>
      <c r="CL3962">
        <v>2.91</v>
      </c>
      <c r="CM3962">
        <v>-0.53</v>
      </c>
      <c r="CN3962">
        <v>2.9</v>
      </c>
      <c r="CO3962">
        <v>10771</v>
      </c>
      <c r="CP3962">
        <v>1381</v>
      </c>
      <c r="CQ3962" t="s">
        <v>7799</v>
      </c>
      <c r="CR3962">
        <v>-36.92</v>
      </c>
      <c r="CS3962">
        <v>1.25</v>
      </c>
      <c r="CT3962">
        <v>2.41</v>
      </c>
      <c r="CU3962">
        <v>-43.11</v>
      </c>
      <c r="CV3962">
        <v>9.34</v>
      </c>
      <c r="CW3962">
        <v>1.04</v>
      </c>
      <c r="CX3962" t="s">
        <v>2614</v>
      </c>
      <c r="CY3962">
        <v>15.79</v>
      </c>
      <c r="CZ3962">
        <v>0</v>
      </c>
      <c r="DA3962">
        <v>9.51</v>
      </c>
      <c r="DB3962">
        <v>4.8899999999999997</v>
      </c>
      <c r="DC3962">
        <v>-0.88</v>
      </c>
      <c r="DD3962">
        <v>82.79</v>
      </c>
      <c r="DE3962" t="s">
        <v>4293</v>
      </c>
      <c r="DF3962">
        <v>42.79</v>
      </c>
      <c r="DG3962">
        <v>15.6</v>
      </c>
      <c r="DH3962">
        <v>13.52</v>
      </c>
      <c r="DI3962">
        <v>0.39</v>
      </c>
      <c r="DJ3962">
        <v>1202</v>
      </c>
      <c r="DK3962">
        <v>605398</v>
      </c>
      <c r="DL3962" t="s">
        <v>120</v>
      </c>
      <c r="DM3962" t="s">
        <v>120</v>
      </c>
      <c r="DN3962" t="s">
        <v>120</v>
      </c>
    </row>
    <row r="3963" spans="1:118">
      <c r="A3963" t="str">
        <f>"605399"</f>
        <v>605399</v>
      </c>
      <c r="B3963" t="s">
        <v>16090</v>
      </c>
      <c r="C3963">
        <v>-8.93</v>
      </c>
      <c r="D3963">
        <v>-0.04</v>
      </c>
      <c r="E3963">
        <v>1.1599999999999999</v>
      </c>
      <c r="F3963">
        <v>243</v>
      </c>
      <c r="G3963" t="s">
        <v>1224</v>
      </c>
      <c r="H3963">
        <v>28808.01</v>
      </c>
      <c r="I3963">
        <v>235.34</v>
      </c>
      <c r="J3963" t="s">
        <v>120</v>
      </c>
      <c r="K3963" t="s">
        <v>16091</v>
      </c>
      <c r="L3963">
        <v>10.85</v>
      </c>
      <c r="M3963">
        <v>39.159999999999997</v>
      </c>
      <c r="N3963">
        <v>1.03</v>
      </c>
      <c r="O3963">
        <v>1.74</v>
      </c>
      <c r="P3963">
        <v>43.75</v>
      </c>
      <c r="Q3963">
        <v>-10</v>
      </c>
      <c r="R3963">
        <v>38.700000000000003</v>
      </c>
      <c r="S3963">
        <v>43.5</v>
      </c>
      <c r="T3963">
        <v>70627</v>
      </c>
      <c r="U3963">
        <v>39.159999999999997</v>
      </c>
      <c r="V3963">
        <v>43</v>
      </c>
      <c r="W3963">
        <v>22.31</v>
      </c>
      <c r="X3963" t="s">
        <v>868</v>
      </c>
      <c r="Y3963" t="s">
        <v>676</v>
      </c>
      <c r="Z3963">
        <v>11.74</v>
      </c>
      <c r="AA3963">
        <v>40.79</v>
      </c>
      <c r="AB3963">
        <v>42970</v>
      </c>
      <c r="AC3963">
        <v>27657</v>
      </c>
      <c r="AD3963">
        <v>1.55</v>
      </c>
      <c r="AE3963">
        <v>273</v>
      </c>
      <c r="AF3963">
        <v>101</v>
      </c>
      <c r="AG3963" t="s">
        <v>120</v>
      </c>
      <c r="AH3963">
        <v>0.1</v>
      </c>
      <c r="AI3963" t="s">
        <v>120</v>
      </c>
      <c r="AJ3963">
        <v>0.65</v>
      </c>
      <c r="AK3963" t="s">
        <v>8623</v>
      </c>
      <c r="AL3963">
        <v>-7.59</v>
      </c>
      <c r="AM3963">
        <v>3686</v>
      </c>
      <c r="AN3963">
        <v>19</v>
      </c>
      <c r="AO3963">
        <v>2.8999999999999998E-3</v>
      </c>
      <c r="AP3963">
        <v>-1</v>
      </c>
      <c r="AQ3963">
        <v>3.32</v>
      </c>
      <c r="AR3963">
        <v>-4.3899999999999997</v>
      </c>
      <c r="AS3963">
        <v>4.7300000000000004</v>
      </c>
      <c r="AT3963">
        <v>101.86</v>
      </c>
      <c r="AU3963">
        <v>123.51</v>
      </c>
      <c r="AV3963">
        <v>11</v>
      </c>
      <c r="AW3963">
        <v>13.28</v>
      </c>
      <c r="AX3963">
        <v>28.91</v>
      </c>
      <c r="AY3963">
        <v>33.729999999999997</v>
      </c>
      <c r="AZ3963">
        <v>62.03</v>
      </c>
      <c r="BA3963">
        <v>0.59</v>
      </c>
      <c r="BB3963" t="s">
        <v>168</v>
      </c>
      <c r="BF3963">
        <v>-5.14</v>
      </c>
      <c r="BG3963">
        <v>-9.98</v>
      </c>
      <c r="BH3963">
        <v>-10.49</v>
      </c>
      <c r="BI3963">
        <v>1.19</v>
      </c>
      <c r="BJ3963">
        <v>20210817</v>
      </c>
      <c r="BK3963">
        <v>20200804</v>
      </c>
      <c r="BL3963">
        <v>1.84</v>
      </c>
      <c r="BM3963" t="s">
        <v>120</v>
      </c>
      <c r="BN3963" t="s">
        <v>120</v>
      </c>
      <c r="BO3963">
        <v>14.01</v>
      </c>
      <c r="BP3963">
        <v>39.15</v>
      </c>
      <c r="BQ3963">
        <v>12.57</v>
      </c>
      <c r="BR3963" t="s">
        <v>120</v>
      </c>
      <c r="BS3963">
        <v>10.220000000000001</v>
      </c>
      <c r="BT3963">
        <v>11.06</v>
      </c>
      <c r="BU3963">
        <v>2.35</v>
      </c>
      <c r="BV3963">
        <v>0.14000000000000001</v>
      </c>
      <c r="BW3963">
        <v>1.41</v>
      </c>
      <c r="BX3963">
        <v>7.64</v>
      </c>
      <c r="BY3963">
        <v>1</v>
      </c>
      <c r="BZ3963">
        <v>1.36</v>
      </c>
      <c r="CA3963" t="s">
        <v>120</v>
      </c>
      <c r="CB3963">
        <v>5.84</v>
      </c>
      <c r="CC3963">
        <v>6.43</v>
      </c>
      <c r="CD3963">
        <v>4.1900000000000004</v>
      </c>
      <c r="CE3963">
        <v>1.83</v>
      </c>
      <c r="CF3963">
        <v>0</v>
      </c>
      <c r="CG3963">
        <v>1.88</v>
      </c>
      <c r="CH3963">
        <v>1.61</v>
      </c>
      <c r="CI3963">
        <v>1.61</v>
      </c>
      <c r="CJ3963">
        <v>-3.84</v>
      </c>
      <c r="CK3963">
        <v>1.56</v>
      </c>
      <c r="CL3963">
        <v>4.4800000000000004</v>
      </c>
      <c r="CM3963">
        <v>1.1100000000000001</v>
      </c>
      <c r="CN3963">
        <v>0.62</v>
      </c>
      <c r="CO3963">
        <v>19057</v>
      </c>
      <c r="CP3963">
        <v>2791</v>
      </c>
      <c r="CQ3963" t="s">
        <v>3072</v>
      </c>
      <c r="CR3963">
        <v>196.58</v>
      </c>
      <c r="CS3963">
        <v>103.35</v>
      </c>
      <c r="CT3963">
        <v>5.73</v>
      </c>
      <c r="CU3963">
        <v>65.19</v>
      </c>
      <c r="CV3963">
        <v>11.2</v>
      </c>
      <c r="CW3963">
        <v>0.49</v>
      </c>
      <c r="CX3963" t="s">
        <v>465</v>
      </c>
      <c r="CY3963">
        <v>6.83</v>
      </c>
      <c r="CZ3963">
        <v>0</v>
      </c>
      <c r="DA3963">
        <v>3.17</v>
      </c>
      <c r="DB3963">
        <v>2.4300000000000002</v>
      </c>
      <c r="DC3963">
        <v>0.6</v>
      </c>
      <c r="DD3963">
        <v>89.78</v>
      </c>
      <c r="DE3963" t="s">
        <v>16092</v>
      </c>
      <c r="DF3963">
        <v>34.85</v>
      </c>
      <c r="DG3963">
        <v>28.45</v>
      </c>
      <c r="DH3963">
        <v>25.11</v>
      </c>
      <c r="DI3963">
        <v>0.21</v>
      </c>
      <c r="DJ3963">
        <v>721</v>
      </c>
      <c r="DK3963">
        <v>605399</v>
      </c>
      <c r="DL3963">
        <v>20210729</v>
      </c>
      <c r="DM3963">
        <v>24.12</v>
      </c>
      <c r="DN3963">
        <v>62.35</v>
      </c>
    </row>
    <row r="3964" spans="1:118">
      <c r="A3964" t="str">
        <f>"605488"</f>
        <v>605488</v>
      </c>
      <c r="B3964" t="s">
        <v>16093</v>
      </c>
      <c r="C3964">
        <v>-0.88</v>
      </c>
      <c r="D3964">
        <v>0</v>
      </c>
      <c r="E3964">
        <v>0.15</v>
      </c>
      <c r="F3964">
        <v>108</v>
      </c>
      <c r="G3964" t="s">
        <v>3878</v>
      </c>
      <c r="H3964">
        <v>2348.5500000000002</v>
      </c>
      <c r="I3964">
        <v>4.8899999999999997</v>
      </c>
      <c r="J3964" t="s">
        <v>120</v>
      </c>
      <c r="K3964" t="s">
        <v>3878</v>
      </c>
      <c r="L3964">
        <v>2.86</v>
      </c>
      <c r="M3964">
        <v>26.9</v>
      </c>
      <c r="N3964">
        <v>0.7</v>
      </c>
      <c r="O3964">
        <v>1.66</v>
      </c>
      <c r="P3964">
        <v>27.59</v>
      </c>
      <c r="Q3964">
        <v>-0.96</v>
      </c>
      <c r="R3964">
        <v>26.88</v>
      </c>
      <c r="S3964">
        <v>27.18</v>
      </c>
      <c r="T3964">
        <v>8587</v>
      </c>
      <c r="U3964">
        <v>26.91</v>
      </c>
      <c r="V3964">
        <v>27.14</v>
      </c>
      <c r="W3964">
        <v>21.78</v>
      </c>
      <c r="X3964" t="s">
        <v>2211</v>
      </c>
      <c r="Y3964" t="s">
        <v>585</v>
      </c>
      <c r="Z3964">
        <v>2.62</v>
      </c>
      <c r="AA3964">
        <v>27.35</v>
      </c>
      <c r="AB3964">
        <v>4575</v>
      </c>
      <c r="AC3964">
        <v>4012</v>
      </c>
      <c r="AD3964">
        <v>1.1399999999999999</v>
      </c>
      <c r="AE3964">
        <v>8</v>
      </c>
      <c r="AF3964">
        <v>16</v>
      </c>
      <c r="AG3964" t="s">
        <v>120</v>
      </c>
      <c r="AH3964">
        <v>0.01</v>
      </c>
      <c r="AI3964" t="s">
        <v>120</v>
      </c>
      <c r="AJ3964">
        <v>0.3</v>
      </c>
      <c r="AK3964" t="s">
        <v>9413</v>
      </c>
      <c r="AL3964">
        <v>0.46</v>
      </c>
      <c r="AM3964">
        <v>1022</v>
      </c>
      <c r="AN3964">
        <v>8</v>
      </c>
      <c r="AO3964">
        <v>2.8E-3</v>
      </c>
      <c r="AP3964">
        <v>-1</v>
      </c>
      <c r="AQ3964">
        <v>7.0000000000000007E-2</v>
      </c>
      <c r="AR3964">
        <v>-3.69</v>
      </c>
      <c r="AS3964">
        <v>-0.45</v>
      </c>
      <c r="AT3964">
        <v>-4.3</v>
      </c>
      <c r="AU3964">
        <v>31.67</v>
      </c>
      <c r="AV3964">
        <v>2</v>
      </c>
      <c r="AW3964">
        <v>2.86</v>
      </c>
      <c r="AX3964">
        <v>25</v>
      </c>
      <c r="AY3964">
        <v>20.32</v>
      </c>
      <c r="AZ3964">
        <v>27.06</v>
      </c>
      <c r="BA3964">
        <v>1.03</v>
      </c>
      <c r="BB3964" t="s">
        <v>240</v>
      </c>
      <c r="BF3964">
        <v>0.77</v>
      </c>
      <c r="BG3964">
        <v>-1.03</v>
      </c>
      <c r="BH3964">
        <v>-2.5</v>
      </c>
      <c r="BI3964">
        <v>7.0000000000000007E-2</v>
      </c>
      <c r="BJ3964">
        <v>20210826</v>
      </c>
      <c r="BK3964">
        <v>20210513</v>
      </c>
      <c r="BL3964">
        <v>1.2</v>
      </c>
      <c r="BM3964" t="s">
        <v>120</v>
      </c>
      <c r="BN3964" t="s">
        <v>120</v>
      </c>
      <c r="BO3964">
        <v>14.27</v>
      </c>
      <c r="BP3964">
        <v>26.89</v>
      </c>
      <c r="BQ3964">
        <v>10.33</v>
      </c>
      <c r="BR3964">
        <v>0</v>
      </c>
      <c r="BS3964">
        <v>27.63</v>
      </c>
      <c r="BT3964">
        <v>11.4</v>
      </c>
      <c r="BU3964">
        <v>1.94</v>
      </c>
      <c r="BV3964">
        <v>0.33</v>
      </c>
      <c r="BW3964">
        <v>3.9</v>
      </c>
      <c r="BX3964">
        <v>1.94</v>
      </c>
      <c r="BY3964">
        <v>1.42</v>
      </c>
      <c r="BZ3964">
        <v>2.77</v>
      </c>
      <c r="CA3964" t="s">
        <v>120</v>
      </c>
      <c r="CB3964">
        <v>6.17</v>
      </c>
      <c r="CC3964">
        <v>7.94</v>
      </c>
      <c r="CD3964">
        <v>6.3</v>
      </c>
      <c r="CE3964">
        <v>0.82</v>
      </c>
      <c r="CF3964">
        <v>0.01</v>
      </c>
      <c r="CG3964">
        <v>0.82</v>
      </c>
      <c r="CH3964">
        <v>0.74</v>
      </c>
      <c r="CI3964">
        <v>0.74</v>
      </c>
      <c r="CJ3964">
        <v>-0.24</v>
      </c>
      <c r="CK3964">
        <v>0.72</v>
      </c>
      <c r="CL3964">
        <v>2.62</v>
      </c>
      <c r="CM3964">
        <v>-0.06</v>
      </c>
      <c r="CN3964">
        <v>0.19</v>
      </c>
      <c r="CO3964">
        <v>17868</v>
      </c>
      <c r="CP3964">
        <v>1679</v>
      </c>
      <c r="CQ3964" t="s">
        <v>5804</v>
      </c>
      <c r="CR3964">
        <v>0</v>
      </c>
      <c r="CS3964">
        <v>0</v>
      </c>
      <c r="CT3964">
        <v>3.13</v>
      </c>
      <c r="CU3964">
        <v>-581.73</v>
      </c>
      <c r="CV3964">
        <v>4.07</v>
      </c>
      <c r="CW3964">
        <v>1.84</v>
      </c>
      <c r="CX3964" t="s">
        <v>3993</v>
      </c>
      <c r="CY3964">
        <v>8.6</v>
      </c>
      <c r="CZ3964">
        <v>0</v>
      </c>
      <c r="DA3964">
        <v>5.15</v>
      </c>
      <c r="DB3964">
        <v>2.1800000000000002</v>
      </c>
      <c r="DC3964">
        <v>-0.05</v>
      </c>
      <c r="DD3964">
        <v>72.36</v>
      </c>
      <c r="DE3964" t="s">
        <v>7938</v>
      </c>
      <c r="DF3964">
        <v>20.63</v>
      </c>
      <c r="DG3964">
        <v>10.33</v>
      </c>
      <c r="DH3964">
        <v>9.33</v>
      </c>
      <c r="DI3964">
        <v>0.3</v>
      </c>
      <c r="DJ3964">
        <v>949</v>
      </c>
      <c r="DK3964">
        <v>605488</v>
      </c>
      <c r="DL3964" t="s">
        <v>120</v>
      </c>
      <c r="DM3964" t="s">
        <v>120</v>
      </c>
      <c r="DN3964" t="s">
        <v>120</v>
      </c>
    </row>
    <row r="3965" spans="1:118">
      <c r="A3965" t="str">
        <f>"605499"</f>
        <v>605499</v>
      </c>
      <c r="B3965" t="s">
        <v>16094</v>
      </c>
      <c r="C3965">
        <v>1.69</v>
      </c>
      <c r="D3965">
        <v>0</v>
      </c>
      <c r="E3965">
        <v>-0.82</v>
      </c>
      <c r="F3965">
        <v>58</v>
      </c>
      <c r="G3965" t="s">
        <v>16095</v>
      </c>
      <c r="H3965">
        <v>26278.33</v>
      </c>
      <c r="I3965">
        <v>56.18</v>
      </c>
      <c r="J3965" t="s">
        <v>120</v>
      </c>
      <c r="K3965" t="s">
        <v>16095</v>
      </c>
      <c r="L3965">
        <v>3.67</v>
      </c>
      <c r="M3965">
        <v>180</v>
      </c>
      <c r="N3965">
        <v>1.53</v>
      </c>
      <c r="O3965">
        <v>4.5199999999999996</v>
      </c>
      <c r="P3965">
        <v>185</v>
      </c>
      <c r="Q3965">
        <v>-3.41</v>
      </c>
      <c r="R3965">
        <v>170.96</v>
      </c>
      <c r="S3965">
        <v>175.55</v>
      </c>
      <c r="T3965">
        <v>14664</v>
      </c>
      <c r="U3965">
        <v>180</v>
      </c>
      <c r="V3965">
        <v>177</v>
      </c>
      <c r="W3965">
        <v>53.27</v>
      </c>
      <c r="X3965" t="s">
        <v>2180</v>
      </c>
      <c r="Y3965" t="s">
        <v>123</v>
      </c>
      <c r="Z3965">
        <v>7.93</v>
      </c>
      <c r="AA3965">
        <v>179.2</v>
      </c>
      <c r="AB3965">
        <v>6622</v>
      </c>
      <c r="AC3965">
        <v>8042</v>
      </c>
      <c r="AD3965">
        <v>0.82</v>
      </c>
      <c r="AE3965">
        <v>1</v>
      </c>
      <c r="AF3965">
        <v>29</v>
      </c>
      <c r="AG3965" t="s">
        <v>120</v>
      </c>
      <c r="AH3965">
        <v>0.01</v>
      </c>
      <c r="AI3965" t="s">
        <v>120</v>
      </c>
      <c r="AJ3965">
        <v>0.4</v>
      </c>
      <c r="AK3965" t="s">
        <v>16096</v>
      </c>
      <c r="AL3965">
        <v>3.04</v>
      </c>
      <c r="AM3965">
        <v>2930</v>
      </c>
      <c r="AN3965">
        <v>5</v>
      </c>
      <c r="AO3965">
        <v>1.2999999999999999E-3</v>
      </c>
      <c r="AP3965">
        <v>1</v>
      </c>
      <c r="AQ3965">
        <v>-4.99</v>
      </c>
      <c r="AR3965">
        <v>-3.21</v>
      </c>
      <c r="AS3965">
        <v>-6.98</v>
      </c>
      <c r="AT3965">
        <v>-22.96</v>
      </c>
      <c r="AU3965">
        <v>302.05</v>
      </c>
      <c r="AV3965">
        <v>3</v>
      </c>
      <c r="AW3965">
        <v>3.67</v>
      </c>
      <c r="AX3965">
        <v>10</v>
      </c>
      <c r="AY3965">
        <v>67.650000000000006</v>
      </c>
      <c r="AZ3965">
        <v>87.19</v>
      </c>
      <c r="BA3965">
        <v>1.54</v>
      </c>
      <c r="BB3965" t="s">
        <v>125</v>
      </c>
      <c r="BF3965">
        <v>1.24</v>
      </c>
      <c r="BG3965">
        <v>2.5299999999999998</v>
      </c>
      <c r="BH3965">
        <v>-2.7</v>
      </c>
      <c r="BI3965">
        <v>5.29</v>
      </c>
      <c r="BJ3965">
        <v>20210729</v>
      </c>
      <c r="BK3965">
        <v>20210527</v>
      </c>
      <c r="BL3965">
        <v>4</v>
      </c>
      <c r="BM3965" t="s">
        <v>120</v>
      </c>
      <c r="BN3965" t="s">
        <v>120</v>
      </c>
      <c r="BO3965">
        <v>70.97</v>
      </c>
      <c r="BP3965">
        <v>179.99</v>
      </c>
      <c r="BQ3965">
        <v>43.21</v>
      </c>
      <c r="BR3965" t="s">
        <v>120</v>
      </c>
      <c r="BS3965">
        <v>39.11</v>
      </c>
      <c r="BT3965">
        <v>39.79</v>
      </c>
      <c r="BU3965">
        <v>18.86</v>
      </c>
      <c r="BV3965">
        <v>2.33</v>
      </c>
      <c r="BW3965">
        <v>26.42</v>
      </c>
      <c r="BX3965">
        <v>25.31</v>
      </c>
      <c r="BY3965">
        <v>2.74</v>
      </c>
      <c r="BZ3965">
        <v>0.28000000000000003</v>
      </c>
      <c r="CA3965" t="s">
        <v>120</v>
      </c>
      <c r="CB3965">
        <v>20.8</v>
      </c>
      <c r="CC3965">
        <v>36.82</v>
      </c>
      <c r="CD3965">
        <v>18.53</v>
      </c>
      <c r="CE3965">
        <v>8.67</v>
      </c>
      <c r="CF3965">
        <v>0.1</v>
      </c>
      <c r="CG3965">
        <v>8.6</v>
      </c>
      <c r="CH3965">
        <v>6.76</v>
      </c>
      <c r="CI3965">
        <v>6.76</v>
      </c>
      <c r="CJ3965">
        <v>3</v>
      </c>
      <c r="CK3965">
        <v>6.6</v>
      </c>
      <c r="CL3965">
        <v>17.28</v>
      </c>
      <c r="CM3965">
        <v>11.79</v>
      </c>
      <c r="CN3965">
        <v>12.85</v>
      </c>
      <c r="CO3965">
        <v>24808</v>
      </c>
      <c r="CP3965">
        <v>1613</v>
      </c>
      <c r="CQ3965" t="s">
        <v>16097</v>
      </c>
      <c r="CR3965">
        <v>0</v>
      </c>
      <c r="CS3965">
        <v>0</v>
      </c>
      <c r="CT3965">
        <v>16.66</v>
      </c>
      <c r="CU3965">
        <v>61.06</v>
      </c>
      <c r="CV3965">
        <v>19.55</v>
      </c>
      <c r="CW3965">
        <v>0.85</v>
      </c>
      <c r="CX3965" t="s">
        <v>16098</v>
      </c>
      <c r="CY3965">
        <v>10.8</v>
      </c>
      <c r="CZ3965">
        <v>0</v>
      </c>
      <c r="DA3965">
        <v>5.2</v>
      </c>
      <c r="DB3965">
        <v>4.32</v>
      </c>
      <c r="DC3965">
        <v>2.95</v>
      </c>
      <c r="DD3965">
        <v>60.89</v>
      </c>
      <c r="DE3965" t="s">
        <v>16099</v>
      </c>
      <c r="DF3965">
        <v>49.68</v>
      </c>
      <c r="DG3965">
        <v>23.55</v>
      </c>
      <c r="DH3965">
        <v>18.350000000000001</v>
      </c>
      <c r="DI3965">
        <v>0.2</v>
      </c>
      <c r="DJ3965">
        <v>7046</v>
      </c>
      <c r="DK3965">
        <v>605499</v>
      </c>
      <c r="DL3965" t="s">
        <v>120</v>
      </c>
      <c r="DM3965" t="s">
        <v>120</v>
      </c>
      <c r="DN3965" t="s">
        <v>120</v>
      </c>
    </row>
    <row r="3966" spans="1:118">
      <c r="A3966" t="str">
        <f>"605500"</f>
        <v>605500</v>
      </c>
      <c r="B3966" t="s">
        <v>16100</v>
      </c>
      <c r="C3966">
        <v>3.43</v>
      </c>
      <c r="D3966">
        <v>0.11</v>
      </c>
      <c r="E3966">
        <v>0.46</v>
      </c>
      <c r="F3966">
        <v>828</v>
      </c>
      <c r="G3966" t="s">
        <v>6067</v>
      </c>
      <c r="H3966">
        <v>11769.99</v>
      </c>
      <c r="I3966">
        <v>39.53</v>
      </c>
      <c r="J3966" t="s">
        <v>120</v>
      </c>
      <c r="K3966" t="s">
        <v>6067</v>
      </c>
      <c r="L3966">
        <v>12.91</v>
      </c>
      <c r="M3966">
        <v>18.09</v>
      </c>
      <c r="N3966">
        <v>3.79</v>
      </c>
      <c r="O3966">
        <v>7.49</v>
      </c>
      <c r="P3966">
        <v>18.8</v>
      </c>
      <c r="Q3966">
        <v>0.46</v>
      </c>
      <c r="R3966">
        <v>17.57</v>
      </c>
      <c r="S3966">
        <v>17.57</v>
      </c>
      <c r="T3966">
        <v>64573</v>
      </c>
      <c r="U3966">
        <v>18.09</v>
      </c>
      <c r="V3966">
        <v>17.489999999999998</v>
      </c>
      <c r="W3966">
        <v>13.24</v>
      </c>
      <c r="X3966" t="s">
        <v>814</v>
      </c>
      <c r="Y3966" t="s">
        <v>585</v>
      </c>
      <c r="Z3966">
        <v>7.03</v>
      </c>
      <c r="AA3966">
        <v>18.23</v>
      </c>
      <c r="AB3966">
        <v>29936</v>
      </c>
      <c r="AC3966">
        <v>34637</v>
      </c>
      <c r="AD3966">
        <v>0.86</v>
      </c>
      <c r="AE3966">
        <v>146</v>
      </c>
      <c r="AF3966">
        <v>143</v>
      </c>
      <c r="AG3966" t="s">
        <v>120</v>
      </c>
      <c r="AH3966">
        <v>0.04</v>
      </c>
      <c r="AI3966" t="s">
        <v>120</v>
      </c>
      <c r="AJ3966">
        <v>0.5</v>
      </c>
      <c r="AK3966" t="s">
        <v>5263</v>
      </c>
      <c r="AL3966">
        <v>4.7699999999999996</v>
      </c>
      <c r="AM3966">
        <v>2557</v>
      </c>
      <c r="AN3966">
        <v>25</v>
      </c>
      <c r="AO3966">
        <v>5.1000000000000004E-3</v>
      </c>
      <c r="AP3966">
        <v>1</v>
      </c>
      <c r="AQ3966">
        <v>-0.11</v>
      </c>
      <c r="AR3966">
        <v>2.04</v>
      </c>
      <c r="AS3966">
        <v>4.74</v>
      </c>
      <c r="AT3966">
        <v>2.2599999999999998</v>
      </c>
      <c r="AU3966">
        <v>-6.32</v>
      </c>
      <c r="AV3966">
        <v>1</v>
      </c>
      <c r="AW3966">
        <v>12.91</v>
      </c>
      <c r="AX3966">
        <v>25</v>
      </c>
      <c r="AY3966">
        <v>11.64</v>
      </c>
      <c r="AZ3966">
        <v>15.88</v>
      </c>
      <c r="BA3966">
        <v>0.61</v>
      </c>
      <c r="BB3966" t="s">
        <v>240</v>
      </c>
      <c r="BF3966">
        <v>4.22</v>
      </c>
      <c r="BG3966">
        <v>2.96</v>
      </c>
      <c r="BH3966">
        <v>-3.78</v>
      </c>
      <c r="BI3966">
        <v>2.96</v>
      </c>
      <c r="BJ3966">
        <v>20210903</v>
      </c>
      <c r="BK3966">
        <v>20201222</v>
      </c>
      <c r="BL3966">
        <v>2</v>
      </c>
      <c r="BM3966" t="s">
        <v>120</v>
      </c>
      <c r="BN3966" t="s">
        <v>120</v>
      </c>
      <c r="BO3966">
        <v>25.23</v>
      </c>
      <c r="BP3966">
        <v>18.079999999999998</v>
      </c>
      <c r="BQ3966">
        <v>21.42</v>
      </c>
      <c r="BR3966">
        <v>0.78</v>
      </c>
      <c r="BS3966">
        <v>12.01</v>
      </c>
      <c r="BT3966">
        <v>14.13</v>
      </c>
      <c r="BU3966">
        <v>6.73</v>
      </c>
      <c r="BV3966">
        <v>2.04</v>
      </c>
      <c r="BW3966">
        <v>2.63</v>
      </c>
      <c r="BX3966">
        <v>2.8</v>
      </c>
      <c r="BY3966">
        <v>2.1800000000000002</v>
      </c>
      <c r="BZ3966">
        <v>2.74</v>
      </c>
      <c r="CA3966" t="s">
        <v>120</v>
      </c>
      <c r="CB3966">
        <v>10.95</v>
      </c>
      <c r="CC3966">
        <v>13.41</v>
      </c>
      <c r="CD3966">
        <v>11.39</v>
      </c>
      <c r="CE3966">
        <v>1.56</v>
      </c>
      <c r="CF3966">
        <v>0</v>
      </c>
      <c r="CG3966">
        <v>1.55</v>
      </c>
      <c r="CH3966">
        <v>1.37</v>
      </c>
      <c r="CI3966">
        <v>1.37</v>
      </c>
      <c r="CJ3966">
        <v>0.6</v>
      </c>
      <c r="CK3966">
        <v>1.24</v>
      </c>
      <c r="CL3966">
        <v>8.2100000000000009</v>
      </c>
      <c r="CM3966">
        <v>0.49</v>
      </c>
      <c r="CN3966">
        <v>-5.9</v>
      </c>
      <c r="CO3966">
        <v>20681</v>
      </c>
      <c r="CP3966">
        <v>2418</v>
      </c>
      <c r="CQ3966" t="s">
        <v>1675</v>
      </c>
      <c r="CR3966">
        <v>141.65</v>
      </c>
      <c r="CS3966">
        <v>59.21</v>
      </c>
      <c r="CT3966">
        <v>1.69</v>
      </c>
      <c r="CU3966">
        <v>73.22</v>
      </c>
      <c r="CV3966">
        <v>2.7</v>
      </c>
      <c r="CW3966">
        <v>2</v>
      </c>
      <c r="CX3966" t="s">
        <v>527</v>
      </c>
      <c r="CY3966">
        <v>10.71</v>
      </c>
      <c r="CZ3966">
        <v>0</v>
      </c>
      <c r="DA3966">
        <v>5.47</v>
      </c>
      <c r="DB3966">
        <v>4.0999999999999996</v>
      </c>
      <c r="DC3966">
        <v>0.25</v>
      </c>
      <c r="DD3966">
        <v>84.91</v>
      </c>
      <c r="DE3966" t="s">
        <v>3384</v>
      </c>
      <c r="DF3966">
        <v>15.03</v>
      </c>
      <c r="DG3966">
        <v>11.66</v>
      </c>
      <c r="DH3966">
        <v>10.19</v>
      </c>
      <c r="DI3966">
        <v>0.43</v>
      </c>
      <c r="DJ3966">
        <v>1751</v>
      </c>
      <c r="DK3966">
        <v>605500</v>
      </c>
      <c r="DL3966" t="s">
        <v>120</v>
      </c>
      <c r="DM3966" t="s">
        <v>120</v>
      </c>
      <c r="DN3966" t="s">
        <v>120</v>
      </c>
    </row>
    <row r="3967" spans="1:118">
      <c r="A3967" t="str">
        <f>"605507"</f>
        <v>605507</v>
      </c>
      <c r="B3967" t="s">
        <v>16101</v>
      </c>
      <c r="C3967">
        <v>-0.47</v>
      </c>
      <c r="D3967">
        <v>0</v>
      </c>
      <c r="E3967">
        <v>0.27</v>
      </c>
      <c r="F3967">
        <v>402</v>
      </c>
      <c r="G3967" t="s">
        <v>9572</v>
      </c>
      <c r="H3967">
        <v>5952.72</v>
      </c>
      <c r="I3967">
        <v>3.3</v>
      </c>
      <c r="J3967" t="s">
        <v>120</v>
      </c>
      <c r="K3967" t="s">
        <v>9572</v>
      </c>
      <c r="L3967">
        <v>2.38</v>
      </c>
      <c r="M3967">
        <v>29.75</v>
      </c>
      <c r="N3967">
        <v>1.04</v>
      </c>
      <c r="O3967">
        <v>0.7</v>
      </c>
      <c r="P3967">
        <v>30.1</v>
      </c>
      <c r="Q3967">
        <v>-0.47</v>
      </c>
      <c r="R3967">
        <v>29.75</v>
      </c>
      <c r="S3967">
        <v>29.97</v>
      </c>
      <c r="T3967">
        <v>19911</v>
      </c>
      <c r="U3967">
        <v>29.75</v>
      </c>
      <c r="V3967">
        <v>29.89</v>
      </c>
      <c r="W3967">
        <v>22.01</v>
      </c>
      <c r="X3967" t="s">
        <v>569</v>
      </c>
      <c r="Y3967" t="s">
        <v>585</v>
      </c>
      <c r="Z3967">
        <v>1.17</v>
      </c>
      <c r="AA3967">
        <v>29.9</v>
      </c>
      <c r="AB3967">
        <v>11424</v>
      </c>
      <c r="AC3967">
        <v>8487</v>
      </c>
      <c r="AD3967">
        <v>1.35</v>
      </c>
      <c r="AE3967">
        <v>29</v>
      </c>
      <c r="AF3967">
        <v>244</v>
      </c>
      <c r="AG3967" t="s">
        <v>120</v>
      </c>
      <c r="AH3967">
        <v>0</v>
      </c>
      <c r="AI3967" t="s">
        <v>120</v>
      </c>
      <c r="AJ3967">
        <v>0.84</v>
      </c>
      <c r="AK3967" t="s">
        <v>16102</v>
      </c>
      <c r="AL3967">
        <v>0.88</v>
      </c>
      <c r="AM3967">
        <v>1730</v>
      </c>
      <c r="AN3967">
        <v>12</v>
      </c>
      <c r="AO3967">
        <v>1.4E-3</v>
      </c>
      <c r="AP3967">
        <v>-4</v>
      </c>
      <c r="AQ3967">
        <v>-0.13</v>
      </c>
      <c r="AR3967">
        <v>-1.68</v>
      </c>
      <c r="AS3967">
        <v>-10.44</v>
      </c>
      <c r="AT3967">
        <v>-8.66</v>
      </c>
      <c r="AU3967">
        <v>-8.66</v>
      </c>
      <c r="AV3967">
        <v>0</v>
      </c>
      <c r="AW3967">
        <v>2.38</v>
      </c>
      <c r="AX3967">
        <v>15</v>
      </c>
      <c r="AY3967">
        <v>22.54</v>
      </c>
      <c r="AZ3967">
        <v>20.62</v>
      </c>
      <c r="BA3967">
        <v>0</v>
      </c>
      <c r="BB3967" t="s">
        <v>134</v>
      </c>
      <c r="BF3967">
        <v>0.02</v>
      </c>
      <c r="BG3967">
        <v>-0.73</v>
      </c>
      <c r="BH3967">
        <v>-1.1599999999999999</v>
      </c>
      <c r="BI3967">
        <v>0</v>
      </c>
      <c r="BJ3967">
        <v>20210730</v>
      </c>
      <c r="BK3967">
        <v>20210802</v>
      </c>
      <c r="BL3967">
        <v>5.59</v>
      </c>
      <c r="BM3967" t="s">
        <v>120</v>
      </c>
      <c r="BN3967" t="s">
        <v>120</v>
      </c>
      <c r="BO3967">
        <v>54.33</v>
      </c>
      <c r="BP3967">
        <v>29.74</v>
      </c>
      <c r="BQ3967">
        <v>36.520000000000003</v>
      </c>
      <c r="BR3967">
        <v>0</v>
      </c>
      <c r="BS3967">
        <v>32.78</v>
      </c>
      <c r="BT3967">
        <v>26.85</v>
      </c>
      <c r="BU3967">
        <v>15.73</v>
      </c>
      <c r="BV3967">
        <v>2.63</v>
      </c>
      <c r="BW3967">
        <v>15.62</v>
      </c>
      <c r="BX3967">
        <v>8.4600000000000009</v>
      </c>
      <c r="BY3967">
        <v>10.84</v>
      </c>
      <c r="BZ3967">
        <v>4.9800000000000004</v>
      </c>
      <c r="CA3967" t="s">
        <v>120</v>
      </c>
      <c r="CB3967">
        <v>10.47</v>
      </c>
      <c r="CC3967">
        <v>22.42</v>
      </c>
      <c r="CD3967">
        <v>15.53</v>
      </c>
      <c r="CE3967">
        <v>4.4000000000000004</v>
      </c>
      <c r="CF3967">
        <v>0</v>
      </c>
      <c r="CG3967">
        <v>4.37</v>
      </c>
      <c r="CH3967">
        <v>3.78</v>
      </c>
      <c r="CI3967">
        <v>3.78</v>
      </c>
      <c r="CJ3967">
        <v>-0.14000000000000001</v>
      </c>
      <c r="CK3967">
        <v>3.75</v>
      </c>
      <c r="CL3967">
        <v>21.06</v>
      </c>
      <c r="CM3967">
        <v>2.11</v>
      </c>
      <c r="CN3967">
        <v>-2.93</v>
      </c>
      <c r="CO3967">
        <v>88501</v>
      </c>
      <c r="CP3967">
        <v>947</v>
      </c>
      <c r="CQ3967" t="s">
        <v>16103</v>
      </c>
      <c r="CR3967">
        <v>0</v>
      </c>
      <c r="CS3967">
        <v>0</v>
      </c>
      <c r="CT3967">
        <v>2.64</v>
      </c>
      <c r="CU3967">
        <v>78.959999999999994</v>
      </c>
      <c r="CV3967">
        <v>7.41</v>
      </c>
      <c r="CW3967">
        <v>0</v>
      </c>
      <c r="CX3967" t="s">
        <v>16104</v>
      </c>
      <c r="CY3967">
        <v>11.27</v>
      </c>
      <c r="CZ3967">
        <v>11.27</v>
      </c>
      <c r="DA3967">
        <v>1.87</v>
      </c>
      <c r="DB3967">
        <v>3.77</v>
      </c>
      <c r="DC3967">
        <v>0.38</v>
      </c>
      <c r="DD3967">
        <v>67.22</v>
      </c>
      <c r="DE3967" t="s">
        <v>14093</v>
      </c>
      <c r="DF3967">
        <v>30.76</v>
      </c>
      <c r="DG3967">
        <v>19.61</v>
      </c>
      <c r="DH3967">
        <v>16.84</v>
      </c>
      <c r="DI3967">
        <v>0.68</v>
      </c>
      <c r="DJ3967">
        <v>3037</v>
      </c>
      <c r="DK3967">
        <v>605507</v>
      </c>
      <c r="DL3967" t="s">
        <v>120</v>
      </c>
      <c r="DM3967" t="s">
        <v>120</v>
      </c>
      <c r="DN3967" t="s">
        <v>120</v>
      </c>
    </row>
    <row r="3968" spans="1:118">
      <c r="A3968" t="str">
        <f>"605577"</f>
        <v>605577</v>
      </c>
      <c r="B3968" t="s">
        <v>16105</v>
      </c>
      <c r="C3968">
        <v>-8.76</v>
      </c>
      <c r="D3968">
        <v>0</v>
      </c>
      <c r="E3968">
        <v>-2</v>
      </c>
      <c r="F3968">
        <v>2307</v>
      </c>
      <c r="G3968" t="s">
        <v>16106</v>
      </c>
      <c r="H3968">
        <v>16766.34</v>
      </c>
      <c r="I3968">
        <v>252.38</v>
      </c>
      <c r="J3968" t="s">
        <v>120</v>
      </c>
      <c r="K3968" t="s">
        <v>16106</v>
      </c>
      <c r="L3968">
        <v>29.34</v>
      </c>
      <c r="M3968">
        <v>12.29</v>
      </c>
      <c r="N3968">
        <v>0.9</v>
      </c>
      <c r="O3968">
        <v>-0.45</v>
      </c>
      <c r="P3968">
        <v>13.41</v>
      </c>
      <c r="Q3968">
        <v>-10.02</v>
      </c>
      <c r="R3968">
        <v>12.12</v>
      </c>
      <c r="S3968">
        <v>13.2</v>
      </c>
      <c r="T3968">
        <v>130420</v>
      </c>
      <c r="U3968">
        <v>12.3</v>
      </c>
      <c r="V3968">
        <v>13.47</v>
      </c>
      <c r="W3968">
        <v>36.270000000000003</v>
      </c>
      <c r="X3968" t="s">
        <v>1730</v>
      </c>
      <c r="Y3968" t="s">
        <v>1686</v>
      </c>
      <c r="Z3968">
        <v>9.58</v>
      </c>
      <c r="AA3968">
        <v>12.86</v>
      </c>
      <c r="AB3968">
        <v>76403</v>
      </c>
      <c r="AC3968">
        <v>54017</v>
      </c>
      <c r="AD3968">
        <v>1.41</v>
      </c>
      <c r="AE3968">
        <v>15</v>
      </c>
      <c r="AF3968">
        <v>106</v>
      </c>
      <c r="AG3968" t="s">
        <v>120</v>
      </c>
      <c r="AH3968">
        <v>0.43</v>
      </c>
      <c r="AI3968" t="s">
        <v>120</v>
      </c>
      <c r="AJ3968">
        <v>0.44</v>
      </c>
      <c r="AK3968" t="s">
        <v>16107</v>
      </c>
      <c r="AL3968">
        <v>-7.42</v>
      </c>
      <c r="AM3968">
        <v>3234</v>
      </c>
      <c r="AN3968">
        <v>40</v>
      </c>
      <c r="AO3968">
        <v>9.1000000000000004E-3</v>
      </c>
      <c r="AP3968">
        <v>-2</v>
      </c>
      <c r="AQ3968">
        <v>-6</v>
      </c>
      <c r="AR3968">
        <v>-5.68</v>
      </c>
      <c r="AS3968">
        <v>105.17</v>
      </c>
      <c r="AT3968">
        <v>105.17</v>
      </c>
      <c r="AU3968">
        <v>105.17</v>
      </c>
      <c r="AV3968">
        <v>2</v>
      </c>
      <c r="AW3968">
        <v>29.34</v>
      </c>
      <c r="AX3968">
        <v>10</v>
      </c>
      <c r="AY3968">
        <v>30.2</v>
      </c>
      <c r="AZ3968">
        <v>33.119999999999997</v>
      </c>
      <c r="BA3968">
        <v>0</v>
      </c>
      <c r="BB3968" t="s">
        <v>143</v>
      </c>
      <c r="BF3968">
        <v>-4.5599999999999996</v>
      </c>
      <c r="BG3968">
        <v>-6.89</v>
      </c>
      <c r="BH3968">
        <v>-8.35</v>
      </c>
      <c r="BI3968">
        <v>1.4</v>
      </c>
      <c r="BJ3968">
        <v>20210823</v>
      </c>
      <c r="BK3968">
        <v>20210824</v>
      </c>
      <c r="BL3968">
        <v>4.4400000000000004</v>
      </c>
      <c r="BM3968" t="s">
        <v>120</v>
      </c>
      <c r="BN3968" t="s">
        <v>120</v>
      </c>
      <c r="BO3968">
        <v>42.79</v>
      </c>
      <c r="BP3968">
        <v>12.29</v>
      </c>
      <c r="BQ3968">
        <v>24.53</v>
      </c>
      <c r="BR3968" t="s">
        <v>120</v>
      </c>
      <c r="BS3968">
        <v>42.67</v>
      </c>
      <c r="BT3968">
        <v>20.37</v>
      </c>
      <c r="BU3968">
        <v>18.88</v>
      </c>
      <c r="BV3968">
        <v>2.76</v>
      </c>
      <c r="BW3968">
        <v>7.06</v>
      </c>
      <c r="BX3968">
        <v>15.08</v>
      </c>
      <c r="BY3968">
        <v>2.06</v>
      </c>
      <c r="BZ3968">
        <v>2.76</v>
      </c>
      <c r="CA3968">
        <v>0.11</v>
      </c>
      <c r="CB3968">
        <v>9.94</v>
      </c>
      <c r="CC3968">
        <v>7.66</v>
      </c>
      <c r="CD3968">
        <v>4.22</v>
      </c>
      <c r="CE3968">
        <v>0.74</v>
      </c>
      <c r="CF3968">
        <v>0.08</v>
      </c>
      <c r="CG3968">
        <v>0.75</v>
      </c>
      <c r="CH3968">
        <v>0.75</v>
      </c>
      <c r="CI3968">
        <v>0.75</v>
      </c>
      <c r="CJ3968">
        <v>-1.18</v>
      </c>
      <c r="CK3968">
        <v>0.59</v>
      </c>
      <c r="CL3968">
        <v>8.76</v>
      </c>
      <c r="CM3968">
        <v>-0.36</v>
      </c>
      <c r="CN3968">
        <v>3.13</v>
      </c>
      <c r="CO3968">
        <v>52264</v>
      </c>
      <c r="CP3968">
        <v>850</v>
      </c>
      <c r="CQ3968" t="s">
        <v>16108</v>
      </c>
      <c r="CR3968">
        <v>0</v>
      </c>
      <c r="CS3968">
        <v>0</v>
      </c>
      <c r="CT3968">
        <v>2.04</v>
      </c>
      <c r="CU3968">
        <v>-153.85</v>
      </c>
      <c r="CV3968">
        <v>7.14</v>
      </c>
      <c r="CW3968">
        <v>0</v>
      </c>
      <c r="CX3968" t="s">
        <v>16109</v>
      </c>
      <c r="CY3968">
        <v>6.03</v>
      </c>
      <c r="CZ3968">
        <v>6.03</v>
      </c>
      <c r="DA3968">
        <v>2.2400000000000002</v>
      </c>
      <c r="DB3968">
        <v>1.97</v>
      </c>
      <c r="DC3968">
        <v>-0.08</v>
      </c>
      <c r="DD3968">
        <v>57.33</v>
      </c>
      <c r="DE3968" t="s">
        <v>9800</v>
      </c>
      <c r="DF3968">
        <v>44.89</v>
      </c>
      <c r="DG3968">
        <v>9.6999999999999993</v>
      </c>
      <c r="DH3968">
        <v>9.84</v>
      </c>
      <c r="DI3968">
        <v>0.02</v>
      </c>
      <c r="DJ3968">
        <v>3162</v>
      </c>
      <c r="DK3968">
        <v>605577</v>
      </c>
      <c r="DL3968">
        <v>20210901</v>
      </c>
      <c r="DM3968">
        <v>15.28</v>
      </c>
      <c r="DN3968">
        <v>-19.57</v>
      </c>
    </row>
    <row r="3969" spans="1:118">
      <c r="A3969" t="str">
        <f>"605580"</f>
        <v>605580</v>
      </c>
      <c r="B3969" t="s">
        <v>16110</v>
      </c>
      <c r="C3969">
        <v>-4</v>
      </c>
      <c r="D3969">
        <v>0.13</v>
      </c>
      <c r="E3969">
        <v>-1.33</v>
      </c>
      <c r="F3969">
        <v>898</v>
      </c>
      <c r="G3969" t="s">
        <v>15832</v>
      </c>
      <c r="H3969">
        <v>11349.56</v>
      </c>
      <c r="I3969">
        <v>139.19999999999999</v>
      </c>
      <c r="J3969" t="s">
        <v>120</v>
      </c>
      <c r="K3969" t="s">
        <v>15832</v>
      </c>
      <c r="L3969">
        <v>14.09</v>
      </c>
      <c r="M3969">
        <v>15.86</v>
      </c>
      <c r="N3969">
        <v>0.66</v>
      </c>
      <c r="O3969">
        <v>-0.12</v>
      </c>
      <c r="P3969">
        <v>16.5</v>
      </c>
      <c r="Q3969">
        <v>-4.18</v>
      </c>
      <c r="R3969">
        <v>15.83</v>
      </c>
      <c r="S3969">
        <v>16.3</v>
      </c>
      <c r="T3969">
        <v>70437</v>
      </c>
      <c r="U3969">
        <v>15.87</v>
      </c>
      <c r="V3969">
        <v>16.52</v>
      </c>
      <c r="W3969">
        <v>24.52</v>
      </c>
      <c r="X3969" t="s">
        <v>684</v>
      </c>
      <c r="Y3969" t="s">
        <v>585</v>
      </c>
      <c r="Z3969">
        <v>4.0599999999999996</v>
      </c>
      <c r="AA3969">
        <v>16.11</v>
      </c>
      <c r="AB3969">
        <v>43153</v>
      </c>
      <c r="AC3969">
        <v>27284</v>
      </c>
      <c r="AD3969">
        <v>1.58</v>
      </c>
      <c r="AE3969">
        <v>18</v>
      </c>
      <c r="AF3969">
        <v>45</v>
      </c>
      <c r="AG3969" t="s">
        <v>120</v>
      </c>
      <c r="AH3969">
        <v>0.17</v>
      </c>
      <c r="AI3969" t="s">
        <v>120</v>
      </c>
      <c r="AJ3969">
        <v>0.5</v>
      </c>
      <c r="AK3969" t="s">
        <v>5912</v>
      </c>
      <c r="AL3969">
        <v>-2.65</v>
      </c>
      <c r="AM3969">
        <v>2872</v>
      </c>
      <c r="AN3969">
        <v>25</v>
      </c>
      <c r="AO3969">
        <v>4.8999999999999998E-3</v>
      </c>
      <c r="AP3969">
        <v>-2</v>
      </c>
      <c r="AQ3969">
        <v>-2.59</v>
      </c>
      <c r="AR3969">
        <v>-4.22</v>
      </c>
      <c r="AS3969">
        <v>31.4</v>
      </c>
      <c r="AT3969">
        <v>89.26</v>
      </c>
      <c r="AU3969">
        <v>89.26</v>
      </c>
      <c r="AV3969">
        <v>1</v>
      </c>
      <c r="AW3969">
        <v>14.09</v>
      </c>
      <c r="AX3969">
        <v>25</v>
      </c>
      <c r="AY3969">
        <v>25.96</v>
      </c>
      <c r="AZ3969">
        <v>30.25</v>
      </c>
      <c r="BA3969">
        <v>0</v>
      </c>
      <c r="BB3969" t="s">
        <v>143</v>
      </c>
      <c r="BF3969">
        <v>-2.46</v>
      </c>
      <c r="BG3969">
        <v>-2.7</v>
      </c>
      <c r="BH3969">
        <v>-3.88</v>
      </c>
      <c r="BI3969">
        <v>0.19</v>
      </c>
      <c r="BJ3969">
        <v>20210818</v>
      </c>
      <c r="BK3969">
        <v>20210819</v>
      </c>
      <c r="BL3969">
        <v>2</v>
      </c>
      <c r="BM3969" t="s">
        <v>120</v>
      </c>
      <c r="BN3969" t="s">
        <v>120</v>
      </c>
      <c r="BO3969">
        <v>6.75</v>
      </c>
      <c r="BP3969">
        <v>15.86</v>
      </c>
      <c r="BQ3969">
        <v>4.2300000000000004</v>
      </c>
      <c r="BR3969" t="s">
        <v>120</v>
      </c>
      <c r="BS3969">
        <v>37.35</v>
      </c>
      <c r="BT3969">
        <v>2.02</v>
      </c>
      <c r="BU3969">
        <v>4.5</v>
      </c>
      <c r="BV3969">
        <v>0.17</v>
      </c>
      <c r="BW3969">
        <v>2.4</v>
      </c>
      <c r="BX3969">
        <v>0.24</v>
      </c>
      <c r="BY3969">
        <v>0.22</v>
      </c>
      <c r="BZ3969">
        <v>1.26</v>
      </c>
      <c r="CA3969" t="s">
        <v>120</v>
      </c>
      <c r="CB3969">
        <v>0.35</v>
      </c>
      <c r="CC3969">
        <v>3.42</v>
      </c>
      <c r="CD3969">
        <v>2.42</v>
      </c>
      <c r="CE3969">
        <v>0.86</v>
      </c>
      <c r="CF3969">
        <v>0</v>
      </c>
      <c r="CG3969">
        <v>0.86</v>
      </c>
      <c r="CH3969">
        <v>0.65</v>
      </c>
      <c r="CI3969">
        <v>0.65</v>
      </c>
      <c r="CJ3969">
        <v>-0.66</v>
      </c>
      <c r="CK3969">
        <v>0.65</v>
      </c>
      <c r="CL3969">
        <v>2.13</v>
      </c>
      <c r="CM3969">
        <v>0.66</v>
      </c>
      <c r="CN3969">
        <v>-0.09</v>
      </c>
      <c r="CO3969">
        <v>58113</v>
      </c>
      <c r="CP3969">
        <v>860</v>
      </c>
      <c r="CQ3969" t="s">
        <v>16111</v>
      </c>
      <c r="CR3969">
        <v>0</v>
      </c>
      <c r="CS3969">
        <v>0</v>
      </c>
      <c r="CT3969">
        <v>4.03</v>
      </c>
      <c r="CU3969">
        <v>48.02</v>
      </c>
      <c r="CV3969">
        <v>9.2799999999999994</v>
      </c>
      <c r="CW3969">
        <v>0</v>
      </c>
      <c r="CX3969" t="s">
        <v>16112</v>
      </c>
      <c r="CY3969">
        <v>3.94</v>
      </c>
      <c r="CZ3969">
        <v>3.94</v>
      </c>
      <c r="DA3969">
        <v>0.17</v>
      </c>
      <c r="DB3969">
        <v>1.07</v>
      </c>
      <c r="DC3969">
        <v>0.33</v>
      </c>
      <c r="DD3969">
        <v>62.65</v>
      </c>
      <c r="DE3969" t="s">
        <v>16113</v>
      </c>
      <c r="DF3969">
        <v>29.12</v>
      </c>
      <c r="DG3969">
        <v>25.07</v>
      </c>
      <c r="DH3969">
        <v>18.920000000000002</v>
      </c>
      <c r="DI3969" t="s">
        <v>120</v>
      </c>
      <c r="DJ3969">
        <v>217</v>
      </c>
      <c r="DK3969">
        <v>605580</v>
      </c>
      <c r="DL3969" t="s">
        <v>120</v>
      </c>
      <c r="DM3969" t="s">
        <v>120</v>
      </c>
      <c r="DN3969" t="s">
        <v>120</v>
      </c>
    </row>
    <row r="3970" spans="1:118">
      <c r="A3970" t="str">
        <f>"605588"</f>
        <v>605588</v>
      </c>
      <c r="B3970" t="s">
        <v>16114</v>
      </c>
      <c r="C3970">
        <v>-4.83</v>
      </c>
      <c r="D3970">
        <v>0.05</v>
      </c>
      <c r="E3970">
        <v>0.11</v>
      </c>
      <c r="F3970">
        <v>271</v>
      </c>
      <c r="G3970" t="s">
        <v>10022</v>
      </c>
      <c r="H3970">
        <v>8178.29</v>
      </c>
      <c r="I3970">
        <v>25.85</v>
      </c>
      <c r="J3970" t="s">
        <v>120</v>
      </c>
      <c r="K3970" t="s">
        <v>10022</v>
      </c>
      <c r="L3970">
        <v>10.130000000000001</v>
      </c>
      <c r="M3970">
        <v>43.11</v>
      </c>
      <c r="N3970">
        <v>0.88</v>
      </c>
      <c r="O3970">
        <v>0.44</v>
      </c>
      <c r="P3970">
        <v>45.5</v>
      </c>
      <c r="Q3970">
        <v>-4.9400000000000004</v>
      </c>
      <c r="R3970">
        <v>43.06</v>
      </c>
      <c r="S3970">
        <v>45.35</v>
      </c>
      <c r="T3970">
        <v>18518</v>
      </c>
      <c r="U3970">
        <v>43.12</v>
      </c>
      <c r="V3970">
        <v>45.3</v>
      </c>
      <c r="W3970">
        <v>31.58</v>
      </c>
      <c r="X3970" t="s">
        <v>3245</v>
      </c>
      <c r="Y3970" t="s">
        <v>319</v>
      </c>
      <c r="Z3970">
        <v>5.39</v>
      </c>
      <c r="AA3970">
        <v>44.16</v>
      </c>
      <c r="AB3970">
        <v>12096</v>
      </c>
      <c r="AC3970">
        <v>6422</v>
      </c>
      <c r="AD3970">
        <v>1.88</v>
      </c>
      <c r="AE3970">
        <v>51</v>
      </c>
      <c r="AF3970">
        <v>7</v>
      </c>
      <c r="AG3970" t="s">
        <v>120</v>
      </c>
      <c r="AH3970">
        <v>0.03</v>
      </c>
      <c r="AI3970" t="s">
        <v>120</v>
      </c>
      <c r="AJ3970">
        <v>0.18</v>
      </c>
      <c r="AK3970" t="s">
        <v>3422</v>
      </c>
      <c r="AL3970">
        <v>-3.49</v>
      </c>
      <c r="AM3970">
        <v>2139</v>
      </c>
      <c r="AN3970">
        <v>9</v>
      </c>
      <c r="AO3970">
        <v>4.7000000000000002E-3</v>
      </c>
      <c r="AP3970">
        <v>-1</v>
      </c>
      <c r="AQ3970">
        <v>0.22</v>
      </c>
      <c r="AR3970">
        <v>-4.01</v>
      </c>
      <c r="AS3970">
        <v>-32.200000000000003</v>
      </c>
      <c r="AT3970">
        <v>57.22</v>
      </c>
      <c r="AU3970">
        <v>57.22</v>
      </c>
      <c r="AV3970">
        <v>2</v>
      </c>
      <c r="AW3970">
        <v>10.130000000000001</v>
      </c>
      <c r="AX3970">
        <v>25</v>
      </c>
      <c r="AY3970">
        <v>32.450000000000003</v>
      </c>
      <c r="AZ3970">
        <v>36.49</v>
      </c>
      <c r="BA3970">
        <v>0</v>
      </c>
      <c r="BB3970" t="s">
        <v>143</v>
      </c>
      <c r="BF3970">
        <v>-2.5099999999999998</v>
      </c>
      <c r="BG3970">
        <v>-4.9400000000000004</v>
      </c>
      <c r="BH3970">
        <v>-5.25</v>
      </c>
      <c r="BI3970">
        <v>0.12</v>
      </c>
      <c r="BJ3970">
        <v>20210811</v>
      </c>
      <c r="BK3970">
        <v>20210812</v>
      </c>
      <c r="BL3970">
        <v>0.73</v>
      </c>
      <c r="BM3970" t="s">
        <v>120</v>
      </c>
      <c r="BN3970" t="s">
        <v>120</v>
      </c>
      <c r="BO3970">
        <v>8.8000000000000007</v>
      </c>
      <c r="BP3970">
        <v>43.11</v>
      </c>
      <c r="BQ3970">
        <v>4.2699999999999996</v>
      </c>
      <c r="BR3970" t="s">
        <v>120</v>
      </c>
      <c r="BS3970">
        <v>51.54</v>
      </c>
      <c r="BT3970">
        <v>6.2</v>
      </c>
      <c r="BU3970">
        <v>1.57</v>
      </c>
      <c r="BV3970">
        <v>0.36</v>
      </c>
      <c r="BW3970">
        <v>4.4800000000000004</v>
      </c>
      <c r="BX3970">
        <v>1.42</v>
      </c>
      <c r="BY3970">
        <v>1.03</v>
      </c>
      <c r="BZ3970">
        <v>3.32</v>
      </c>
      <c r="CA3970" t="s">
        <v>120</v>
      </c>
      <c r="CB3970">
        <v>1.89</v>
      </c>
      <c r="CC3970">
        <v>7.64</v>
      </c>
      <c r="CD3970">
        <v>6.65</v>
      </c>
      <c r="CE3970">
        <v>0.56999999999999995</v>
      </c>
      <c r="CF3970">
        <v>0</v>
      </c>
      <c r="CG3970">
        <v>0.57999999999999996</v>
      </c>
      <c r="CH3970">
        <v>0.5</v>
      </c>
      <c r="CI3970">
        <v>0.5</v>
      </c>
      <c r="CJ3970">
        <v>-2.19</v>
      </c>
      <c r="CK3970">
        <v>0.47</v>
      </c>
      <c r="CL3970">
        <v>1.77</v>
      </c>
      <c r="CM3970">
        <v>-0.15</v>
      </c>
      <c r="CN3970">
        <v>-0.19</v>
      </c>
      <c r="CO3970">
        <v>18280</v>
      </c>
      <c r="CP3970">
        <v>1000</v>
      </c>
      <c r="CQ3970" t="s">
        <v>223</v>
      </c>
      <c r="CR3970">
        <v>0</v>
      </c>
      <c r="CS3970">
        <v>0</v>
      </c>
      <c r="CT3970">
        <v>3.57</v>
      </c>
      <c r="CU3970">
        <v>-208.94</v>
      </c>
      <c r="CV3970">
        <v>4.13</v>
      </c>
      <c r="CW3970">
        <v>0</v>
      </c>
      <c r="CX3970" t="s">
        <v>16115</v>
      </c>
      <c r="CY3970">
        <v>12.07</v>
      </c>
      <c r="CZ3970">
        <v>12.07</v>
      </c>
      <c r="DA3970">
        <v>2.58</v>
      </c>
      <c r="DB3970">
        <v>2.4300000000000002</v>
      </c>
      <c r="DC3970">
        <v>-0.21</v>
      </c>
      <c r="DD3970">
        <v>48.46</v>
      </c>
      <c r="DE3970" t="s">
        <v>16116</v>
      </c>
      <c r="DF3970">
        <v>12.89</v>
      </c>
      <c r="DG3970">
        <v>7.4</v>
      </c>
      <c r="DH3970">
        <v>6.53</v>
      </c>
      <c r="DI3970">
        <v>0.15</v>
      </c>
      <c r="DJ3970">
        <v>662</v>
      </c>
      <c r="DK3970">
        <v>605588</v>
      </c>
      <c r="DL3970" t="s">
        <v>120</v>
      </c>
      <c r="DM3970" t="s">
        <v>120</v>
      </c>
      <c r="DN3970" t="s">
        <v>120</v>
      </c>
    </row>
    <row r="3971" spans="1:118">
      <c r="A3971" t="str">
        <f>"605589"</f>
        <v>605589</v>
      </c>
      <c r="B3971" t="s">
        <v>16117</v>
      </c>
      <c r="C3971">
        <v>-7.78</v>
      </c>
      <c r="D3971">
        <v>-0.04</v>
      </c>
      <c r="E3971">
        <v>2.0099999999999998</v>
      </c>
      <c r="F3971">
        <v>1463</v>
      </c>
      <c r="G3971" t="s">
        <v>1893</v>
      </c>
      <c r="H3971">
        <v>72072.160000000003</v>
      </c>
      <c r="I3971">
        <v>1684.41</v>
      </c>
      <c r="J3971" t="s">
        <v>120</v>
      </c>
      <c r="K3971" t="s">
        <v>1893</v>
      </c>
      <c r="L3971">
        <v>23.05</v>
      </c>
      <c r="M3971">
        <v>37.590000000000003</v>
      </c>
      <c r="N3971">
        <v>1.38</v>
      </c>
      <c r="O3971">
        <v>2.0099999999999998</v>
      </c>
      <c r="P3971">
        <v>41.58</v>
      </c>
      <c r="Q3971">
        <v>-8.76</v>
      </c>
      <c r="R3971">
        <v>37.19</v>
      </c>
      <c r="S3971">
        <v>41.58</v>
      </c>
      <c r="T3971">
        <v>186838</v>
      </c>
      <c r="U3971">
        <v>37.6</v>
      </c>
      <c r="V3971">
        <v>40.76</v>
      </c>
      <c r="W3971">
        <v>39.130000000000003</v>
      </c>
      <c r="X3971" t="s">
        <v>868</v>
      </c>
      <c r="Y3971" t="s">
        <v>638</v>
      </c>
      <c r="Z3971">
        <v>10.77</v>
      </c>
      <c r="AA3971">
        <v>38.57</v>
      </c>
      <c r="AB3971">
        <v>111744</v>
      </c>
      <c r="AC3971">
        <v>75094</v>
      </c>
      <c r="AD3971">
        <v>1.49</v>
      </c>
      <c r="AE3971">
        <v>163</v>
      </c>
      <c r="AF3971">
        <v>57</v>
      </c>
      <c r="AG3971" t="s">
        <v>120</v>
      </c>
      <c r="AH3971">
        <v>0.5</v>
      </c>
      <c r="AI3971" t="s">
        <v>120</v>
      </c>
      <c r="AJ3971">
        <v>0.81</v>
      </c>
      <c r="AK3971" t="s">
        <v>16118</v>
      </c>
      <c r="AL3971">
        <v>-6.43</v>
      </c>
      <c r="AM3971">
        <v>4313</v>
      </c>
      <c r="AN3971">
        <v>43</v>
      </c>
      <c r="AO3971">
        <v>5.3E-3</v>
      </c>
      <c r="AP3971">
        <v>-1</v>
      </c>
      <c r="AQ3971">
        <v>10.01</v>
      </c>
      <c r="AR3971">
        <v>-0.53</v>
      </c>
      <c r="AS3971">
        <v>2.99</v>
      </c>
      <c r="AT3971">
        <v>56.56</v>
      </c>
      <c r="AU3971">
        <v>56.56</v>
      </c>
      <c r="AV3971">
        <v>3</v>
      </c>
      <c r="AW3971">
        <v>23.05</v>
      </c>
      <c r="AX3971">
        <v>10.46</v>
      </c>
      <c r="AY3971">
        <v>37.450000000000003</v>
      </c>
      <c r="AZ3971">
        <v>36</v>
      </c>
      <c r="BA3971">
        <v>0</v>
      </c>
      <c r="BB3971" t="s">
        <v>143</v>
      </c>
      <c r="BF3971">
        <v>-5.36</v>
      </c>
      <c r="BG3971">
        <v>-9.6</v>
      </c>
      <c r="BH3971">
        <v>-9.6</v>
      </c>
      <c r="BI3971">
        <v>1.08</v>
      </c>
      <c r="BJ3971">
        <v>20210809</v>
      </c>
      <c r="BK3971">
        <v>20210810</v>
      </c>
      <c r="BL3971">
        <v>7.75</v>
      </c>
      <c r="BM3971" t="s">
        <v>120</v>
      </c>
      <c r="BN3971" t="s">
        <v>120</v>
      </c>
      <c r="BO3971">
        <v>119.1</v>
      </c>
      <c r="BP3971">
        <v>37.590000000000003</v>
      </c>
      <c r="BQ3971">
        <v>59.78</v>
      </c>
      <c r="BR3971">
        <v>1.52</v>
      </c>
      <c r="BS3971">
        <v>48.53</v>
      </c>
      <c r="BT3971">
        <v>58.48</v>
      </c>
      <c r="BU3971">
        <v>24.8</v>
      </c>
      <c r="BV3971">
        <v>6.91</v>
      </c>
      <c r="BW3971">
        <v>23.64</v>
      </c>
      <c r="BX3971">
        <v>11.86</v>
      </c>
      <c r="BY3971">
        <v>14.04</v>
      </c>
      <c r="BZ3971">
        <v>15.04</v>
      </c>
      <c r="CA3971" t="s">
        <v>120</v>
      </c>
      <c r="CB3971">
        <v>8.11</v>
      </c>
      <c r="CC3971">
        <v>40.83</v>
      </c>
      <c r="CD3971">
        <v>29.99</v>
      </c>
      <c r="CE3971">
        <v>4.76</v>
      </c>
      <c r="CF3971">
        <v>0.19</v>
      </c>
      <c r="CG3971">
        <v>4.2300000000000004</v>
      </c>
      <c r="CH3971">
        <v>3.85</v>
      </c>
      <c r="CI3971">
        <v>3.72</v>
      </c>
      <c r="CJ3971">
        <v>-3.17</v>
      </c>
      <c r="CK3971">
        <v>3.03</v>
      </c>
      <c r="CL3971">
        <v>41.71</v>
      </c>
      <c r="CM3971">
        <v>-12.44</v>
      </c>
      <c r="CN3971">
        <v>-8.84</v>
      </c>
      <c r="CO3971">
        <v>86779</v>
      </c>
      <c r="CP3971">
        <v>934</v>
      </c>
      <c r="CQ3971" t="s">
        <v>16119</v>
      </c>
      <c r="CR3971">
        <v>0</v>
      </c>
      <c r="CS3971">
        <v>0</v>
      </c>
      <c r="CT3971">
        <v>3.73</v>
      </c>
      <c r="CU3971">
        <v>-23.41</v>
      </c>
      <c r="CV3971">
        <v>7.13</v>
      </c>
      <c r="CW3971">
        <v>0.61</v>
      </c>
      <c r="CX3971" t="s">
        <v>780</v>
      </c>
      <c r="CY3971">
        <v>10.09</v>
      </c>
      <c r="CZ3971">
        <v>10.09</v>
      </c>
      <c r="DA3971">
        <v>1.05</v>
      </c>
      <c r="DB3971">
        <v>5.38</v>
      </c>
      <c r="DC3971">
        <v>-1.61</v>
      </c>
      <c r="DD3971">
        <v>50.19</v>
      </c>
      <c r="DE3971" t="s">
        <v>3273</v>
      </c>
      <c r="DF3971">
        <v>26.57</v>
      </c>
      <c r="DG3971">
        <v>11.66</v>
      </c>
      <c r="DH3971">
        <v>9.11</v>
      </c>
      <c r="DI3971">
        <v>2</v>
      </c>
      <c r="DJ3971">
        <v>3527</v>
      </c>
      <c r="DK3971">
        <v>605589</v>
      </c>
      <c r="DL3971">
        <v>20210906</v>
      </c>
      <c r="DM3971">
        <v>36.840000000000003</v>
      </c>
      <c r="DN3971">
        <v>2.04</v>
      </c>
    </row>
    <row r="3972" spans="1:118">
      <c r="A3972" t="str">
        <f>"605599"</f>
        <v>605599</v>
      </c>
      <c r="B3972" t="s">
        <v>16120</v>
      </c>
      <c r="C3972">
        <v>-4.01</v>
      </c>
      <c r="D3972">
        <v>0</v>
      </c>
      <c r="E3972">
        <v>-1.7</v>
      </c>
      <c r="F3972">
        <v>2208</v>
      </c>
      <c r="G3972" t="s">
        <v>16121</v>
      </c>
      <c r="H3972">
        <v>25175.67</v>
      </c>
      <c r="I3972">
        <v>555.65</v>
      </c>
      <c r="J3972" t="s">
        <v>120</v>
      </c>
      <c r="K3972" t="s">
        <v>16121</v>
      </c>
      <c r="L3972">
        <v>22.43</v>
      </c>
      <c r="M3972">
        <v>14.13</v>
      </c>
      <c r="N3972">
        <v>1.1499999999999999</v>
      </c>
      <c r="O3972">
        <v>1.56</v>
      </c>
      <c r="P3972">
        <v>14.95</v>
      </c>
      <c r="Q3972">
        <v>-4.62</v>
      </c>
      <c r="R3972">
        <v>14.04</v>
      </c>
      <c r="S3972">
        <v>14.47</v>
      </c>
      <c r="T3972">
        <v>174457</v>
      </c>
      <c r="U3972">
        <v>14.14</v>
      </c>
      <c r="V3972">
        <v>14.72</v>
      </c>
      <c r="W3972">
        <v>28</v>
      </c>
      <c r="X3972" t="s">
        <v>855</v>
      </c>
      <c r="Y3972" t="s">
        <v>158</v>
      </c>
      <c r="Z3972">
        <v>6.18</v>
      </c>
      <c r="AA3972">
        <v>14.43</v>
      </c>
      <c r="AB3972">
        <v>96066</v>
      </c>
      <c r="AC3972">
        <v>78391</v>
      </c>
      <c r="AD3972">
        <v>1.23</v>
      </c>
      <c r="AE3972">
        <v>910</v>
      </c>
      <c r="AF3972">
        <v>147</v>
      </c>
      <c r="AG3972" t="s">
        <v>120</v>
      </c>
      <c r="AH3972">
        <v>0.49</v>
      </c>
      <c r="AI3972" t="s">
        <v>120</v>
      </c>
      <c r="AJ3972">
        <v>0.78</v>
      </c>
      <c r="AK3972" t="s">
        <v>16122</v>
      </c>
      <c r="AL3972">
        <v>-2.66</v>
      </c>
      <c r="AM3972">
        <v>4160</v>
      </c>
      <c r="AN3972">
        <v>42</v>
      </c>
      <c r="AO3972">
        <v>5.4000000000000003E-3</v>
      </c>
      <c r="AP3972">
        <v>-3</v>
      </c>
      <c r="AQ3972">
        <v>-9.64</v>
      </c>
      <c r="AR3972">
        <v>-18.89</v>
      </c>
      <c r="AS3972">
        <v>41.3</v>
      </c>
      <c r="AT3972">
        <v>41.3</v>
      </c>
      <c r="AU3972">
        <v>41.3</v>
      </c>
      <c r="AV3972">
        <v>0</v>
      </c>
      <c r="AW3972">
        <v>22.43</v>
      </c>
      <c r="AX3972">
        <v>10</v>
      </c>
      <c r="AY3972">
        <v>29.01</v>
      </c>
      <c r="AZ3972">
        <v>31.65</v>
      </c>
      <c r="BA3972">
        <v>0</v>
      </c>
      <c r="BB3972" t="s">
        <v>143</v>
      </c>
      <c r="BF3972">
        <v>-1.96</v>
      </c>
      <c r="BG3972">
        <v>-2.35</v>
      </c>
      <c r="BH3972">
        <v>-5.48</v>
      </c>
      <c r="BI3972">
        <v>0.64</v>
      </c>
      <c r="BJ3972">
        <v>20210908</v>
      </c>
      <c r="BK3972">
        <v>20210909</v>
      </c>
      <c r="BL3972">
        <v>7.78</v>
      </c>
      <c r="BM3972" t="s">
        <v>120</v>
      </c>
      <c r="BN3972" t="s">
        <v>120</v>
      </c>
      <c r="BO3972">
        <v>40.18</v>
      </c>
      <c r="BP3972">
        <v>14.13</v>
      </c>
      <c r="BQ3972">
        <v>22.87</v>
      </c>
      <c r="BR3972">
        <v>0.11</v>
      </c>
      <c r="BS3972">
        <v>42.81</v>
      </c>
      <c r="BT3972">
        <v>36.24</v>
      </c>
      <c r="BU3972">
        <v>1.75</v>
      </c>
      <c r="BV3972">
        <v>7.0000000000000007E-2</v>
      </c>
      <c r="BW3972">
        <v>16.09</v>
      </c>
      <c r="BX3972">
        <v>7.29</v>
      </c>
      <c r="BY3972">
        <v>17.68</v>
      </c>
      <c r="BZ3972">
        <v>1.02</v>
      </c>
      <c r="CA3972">
        <v>0.02</v>
      </c>
      <c r="CB3972">
        <v>1.86</v>
      </c>
      <c r="CC3972">
        <v>51.46</v>
      </c>
      <c r="CD3972">
        <v>45.4</v>
      </c>
      <c r="CE3972">
        <v>2.66</v>
      </c>
      <c r="CF3972">
        <v>-0.09</v>
      </c>
      <c r="CG3972">
        <v>2.66</v>
      </c>
      <c r="CH3972">
        <v>1.96</v>
      </c>
      <c r="CI3972">
        <v>1.96</v>
      </c>
      <c r="CJ3972">
        <v>-0.59</v>
      </c>
      <c r="CK3972">
        <v>2</v>
      </c>
      <c r="CL3972">
        <v>6.83</v>
      </c>
      <c r="CM3972">
        <v>1.95</v>
      </c>
      <c r="CN3972">
        <v>0.14000000000000001</v>
      </c>
      <c r="CO3972">
        <v>83613</v>
      </c>
      <c r="CP3972">
        <v>930</v>
      </c>
      <c r="CQ3972" t="s">
        <v>16123</v>
      </c>
      <c r="CR3972">
        <v>0</v>
      </c>
      <c r="CS3972">
        <v>0</v>
      </c>
      <c r="CT3972">
        <v>3.65</v>
      </c>
      <c r="CU3972">
        <v>56.22</v>
      </c>
      <c r="CV3972">
        <v>2.14</v>
      </c>
      <c r="CW3972">
        <v>0</v>
      </c>
      <c r="CX3972" t="s">
        <v>11198</v>
      </c>
      <c r="CY3972">
        <v>3.87</v>
      </c>
      <c r="CZ3972">
        <v>3.87</v>
      </c>
      <c r="DA3972">
        <v>0.24</v>
      </c>
      <c r="DB3972">
        <v>0.88</v>
      </c>
      <c r="DC3972">
        <v>0.25</v>
      </c>
      <c r="DD3972">
        <v>56.91</v>
      </c>
      <c r="DE3972" t="s">
        <v>16124</v>
      </c>
      <c r="DF3972">
        <v>11.78</v>
      </c>
      <c r="DG3972">
        <v>5.18</v>
      </c>
      <c r="DH3972">
        <v>3.81</v>
      </c>
      <c r="DI3972">
        <v>0.03</v>
      </c>
      <c r="DJ3972">
        <v>1023</v>
      </c>
      <c r="DK3972">
        <v>605599</v>
      </c>
      <c r="DL3972" t="s">
        <v>120</v>
      </c>
      <c r="DM3972" t="s">
        <v>120</v>
      </c>
      <c r="DN3972" t="s">
        <v>120</v>
      </c>
    </row>
    <row r="3973" spans="1:118">
      <c r="A3973" t="str">
        <f>"601206"</f>
        <v>601206</v>
      </c>
      <c r="B3973" t="s">
        <v>16125</v>
      </c>
      <c r="C3973" t="s">
        <v>120</v>
      </c>
      <c r="D3973" t="s">
        <v>120</v>
      </c>
      <c r="E3973" t="s">
        <v>120</v>
      </c>
      <c r="F3973">
        <v>0</v>
      </c>
      <c r="G3973" t="s">
        <v>120</v>
      </c>
      <c r="H3973">
        <v>0</v>
      </c>
      <c r="I3973">
        <v>0</v>
      </c>
      <c r="J3973" t="s">
        <v>120</v>
      </c>
      <c r="K3973" t="s">
        <v>120</v>
      </c>
      <c r="L3973" t="s">
        <v>120</v>
      </c>
      <c r="M3973">
        <v>0</v>
      </c>
      <c r="N3973" t="s">
        <v>120</v>
      </c>
      <c r="O3973" t="s">
        <v>120</v>
      </c>
      <c r="P3973" t="s">
        <v>120</v>
      </c>
      <c r="Q3973" t="s">
        <v>120</v>
      </c>
      <c r="R3973" t="s">
        <v>120</v>
      </c>
      <c r="S3973" t="s">
        <v>120</v>
      </c>
      <c r="T3973">
        <v>0</v>
      </c>
      <c r="U3973" t="s">
        <v>120</v>
      </c>
      <c r="V3973" t="s">
        <v>120</v>
      </c>
      <c r="W3973" t="s">
        <v>120</v>
      </c>
      <c r="X3973" t="s">
        <v>666</v>
      </c>
      <c r="Y3973" t="s">
        <v>585</v>
      </c>
      <c r="Z3973" t="s">
        <v>120</v>
      </c>
      <c r="AA3973">
        <v>0</v>
      </c>
      <c r="AB3973">
        <v>0</v>
      </c>
      <c r="AC3973">
        <v>0</v>
      </c>
      <c r="AD3973" t="s">
        <v>120</v>
      </c>
      <c r="AE3973">
        <v>0</v>
      </c>
      <c r="AF3973">
        <v>0</v>
      </c>
      <c r="AG3973" t="s">
        <v>120</v>
      </c>
      <c r="AH3973" t="s">
        <v>120</v>
      </c>
      <c r="AI3973" t="s">
        <v>120</v>
      </c>
      <c r="AJ3973" t="s">
        <v>120</v>
      </c>
      <c r="AK3973" t="s">
        <v>120</v>
      </c>
      <c r="AL3973" t="s">
        <v>120</v>
      </c>
      <c r="AM3973">
        <v>0</v>
      </c>
      <c r="AN3973" t="s">
        <v>120</v>
      </c>
      <c r="AO3973" t="s">
        <v>120</v>
      </c>
      <c r="AP3973" t="s">
        <v>120</v>
      </c>
      <c r="AQ3973" t="s">
        <v>120</v>
      </c>
      <c r="AR3973" t="s">
        <v>120</v>
      </c>
      <c r="AS3973" t="s">
        <v>120</v>
      </c>
      <c r="AT3973" t="s">
        <v>120</v>
      </c>
      <c r="AU3973" t="s">
        <v>120</v>
      </c>
      <c r="AV3973">
        <v>0</v>
      </c>
      <c r="AW3973" t="s">
        <v>120</v>
      </c>
      <c r="AX3973" t="s">
        <v>120</v>
      </c>
      <c r="AY3973" t="s">
        <v>120</v>
      </c>
      <c r="AZ3973" t="s">
        <v>120</v>
      </c>
      <c r="BA3973" t="s">
        <v>120</v>
      </c>
      <c r="BB3973" t="s">
        <v>143</v>
      </c>
      <c r="BF3973">
        <v>0</v>
      </c>
      <c r="BG3973" t="s">
        <v>120</v>
      </c>
      <c r="BH3973" t="s">
        <v>120</v>
      </c>
      <c r="BI3973" t="s">
        <v>120</v>
      </c>
      <c r="BJ3973">
        <v>20210719</v>
      </c>
      <c r="BK3973" t="s">
        <v>120</v>
      </c>
      <c r="BL3973" t="s">
        <v>120</v>
      </c>
      <c r="BM3973" t="s">
        <v>120</v>
      </c>
      <c r="BN3973" t="s">
        <v>120</v>
      </c>
      <c r="BO3973">
        <v>19.62</v>
      </c>
      <c r="BP3973" t="s">
        <v>120</v>
      </c>
      <c r="BQ3973">
        <v>7.46</v>
      </c>
      <c r="BR3973">
        <v>0.15</v>
      </c>
      <c r="BS3973">
        <v>61.18</v>
      </c>
      <c r="BT3973">
        <v>13.87</v>
      </c>
      <c r="BU3973">
        <v>2.74</v>
      </c>
      <c r="BV3973">
        <v>1.5</v>
      </c>
      <c r="BW3973">
        <v>11.84</v>
      </c>
      <c r="BX3973" t="s">
        <v>120</v>
      </c>
      <c r="BY3973">
        <v>3.54</v>
      </c>
      <c r="BZ3973">
        <v>7.47</v>
      </c>
      <c r="CA3973" t="s">
        <v>120</v>
      </c>
      <c r="CB3973">
        <v>0.86</v>
      </c>
      <c r="CC3973">
        <v>8.2799999999999994</v>
      </c>
      <c r="CD3973">
        <v>5.81</v>
      </c>
      <c r="CE3973">
        <v>0.88</v>
      </c>
      <c r="CF3973">
        <v>0.02</v>
      </c>
      <c r="CG3973">
        <v>1.1100000000000001</v>
      </c>
      <c r="CH3973">
        <v>0.77</v>
      </c>
      <c r="CI3973">
        <v>0.77</v>
      </c>
      <c r="CJ3973" t="s">
        <v>120</v>
      </c>
      <c r="CK3973" t="s">
        <v>120</v>
      </c>
      <c r="CL3973">
        <v>4.0999999999999996</v>
      </c>
      <c r="CM3973">
        <v>-1.38</v>
      </c>
      <c r="CN3973">
        <v>0.01</v>
      </c>
      <c r="CO3973">
        <v>0</v>
      </c>
      <c r="CP3973" t="s">
        <v>120</v>
      </c>
      <c r="CQ3973" t="s">
        <v>120</v>
      </c>
      <c r="CR3973">
        <v>0</v>
      </c>
      <c r="CS3973">
        <v>0</v>
      </c>
      <c r="CT3973" t="s">
        <v>120</v>
      </c>
      <c r="CU3973">
        <v>0</v>
      </c>
      <c r="CV3973">
        <v>0</v>
      </c>
      <c r="CW3973">
        <v>0</v>
      </c>
      <c r="CX3973" t="s">
        <v>2834</v>
      </c>
      <c r="CY3973" t="s">
        <v>120</v>
      </c>
      <c r="CZ3973">
        <v>0</v>
      </c>
      <c r="DA3973" t="s">
        <v>120</v>
      </c>
      <c r="DB3973" t="s">
        <v>120</v>
      </c>
      <c r="DC3973" t="s">
        <v>120</v>
      </c>
      <c r="DD3973">
        <v>38.04</v>
      </c>
      <c r="DE3973" t="s">
        <v>16126</v>
      </c>
      <c r="DF3973">
        <v>29.76</v>
      </c>
      <c r="DG3973">
        <v>10.63</v>
      </c>
      <c r="DH3973">
        <v>9.31</v>
      </c>
      <c r="DI3973" t="s">
        <v>120</v>
      </c>
      <c r="DJ3973" t="s">
        <v>120</v>
      </c>
      <c r="DK3973">
        <v>601206</v>
      </c>
      <c r="DL3973" t="s">
        <v>120</v>
      </c>
      <c r="DM3973" t="s">
        <v>120</v>
      </c>
      <c r="DN3973" t="s">
        <v>120</v>
      </c>
    </row>
    <row r="3974" spans="1:118">
      <c r="A3974" t="str">
        <f>"603302"</f>
        <v>603302</v>
      </c>
      <c r="B3974" t="s">
        <v>16127</v>
      </c>
      <c r="C3974" t="s">
        <v>120</v>
      </c>
      <c r="D3974" t="s">
        <v>120</v>
      </c>
      <c r="E3974" t="s">
        <v>120</v>
      </c>
      <c r="F3974">
        <v>0</v>
      </c>
      <c r="G3974" t="s">
        <v>120</v>
      </c>
      <c r="H3974">
        <v>0</v>
      </c>
      <c r="I3974">
        <v>0</v>
      </c>
      <c r="J3974" t="s">
        <v>120</v>
      </c>
      <c r="K3974" t="s">
        <v>120</v>
      </c>
      <c r="L3974" t="s">
        <v>120</v>
      </c>
      <c r="M3974">
        <v>0</v>
      </c>
      <c r="N3974" t="s">
        <v>120</v>
      </c>
      <c r="O3974" t="s">
        <v>120</v>
      </c>
      <c r="P3974" t="s">
        <v>120</v>
      </c>
      <c r="Q3974" t="s">
        <v>120</v>
      </c>
      <c r="R3974" t="s">
        <v>120</v>
      </c>
      <c r="S3974" t="s">
        <v>120</v>
      </c>
      <c r="T3974">
        <v>0</v>
      </c>
      <c r="U3974" t="s">
        <v>120</v>
      </c>
      <c r="V3974" t="s">
        <v>120</v>
      </c>
      <c r="W3974" t="s">
        <v>120</v>
      </c>
      <c r="X3974" t="s">
        <v>318</v>
      </c>
      <c r="Y3974" t="s">
        <v>638</v>
      </c>
      <c r="Z3974" t="s">
        <v>120</v>
      </c>
      <c r="AA3974">
        <v>0</v>
      </c>
      <c r="AB3974">
        <v>0</v>
      </c>
      <c r="AC3974">
        <v>0</v>
      </c>
      <c r="AD3974" t="s">
        <v>120</v>
      </c>
      <c r="AE3974">
        <v>0</v>
      </c>
      <c r="AF3974">
        <v>0</v>
      </c>
      <c r="AG3974" t="s">
        <v>120</v>
      </c>
      <c r="AH3974" t="s">
        <v>120</v>
      </c>
      <c r="AI3974" t="s">
        <v>120</v>
      </c>
      <c r="AJ3974" t="s">
        <v>120</v>
      </c>
      <c r="AK3974" t="s">
        <v>120</v>
      </c>
      <c r="AL3974" t="s">
        <v>120</v>
      </c>
      <c r="AM3974">
        <v>0</v>
      </c>
      <c r="AN3974" t="s">
        <v>120</v>
      </c>
      <c r="AO3974" t="s">
        <v>120</v>
      </c>
      <c r="AP3974" t="s">
        <v>120</v>
      </c>
      <c r="AQ3974" t="s">
        <v>120</v>
      </c>
      <c r="AR3974" t="s">
        <v>120</v>
      </c>
      <c r="AS3974" t="s">
        <v>120</v>
      </c>
      <c r="AT3974" t="s">
        <v>120</v>
      </c>
      <c r="AU3974" t="s">
        <v>120</v>
      </c>
      <c r="AV3974">
        <v>0</v>
      </c>
      <c r="AW3974" t="s">
        <v>120</v>
      </c>
      <c r="AX3974" t="s">
        <v>120</v>
      </c>
      <c r="AY3974" t="s">
        <v>120</v>
      </c>
      <c r="AZ3974" t="s">
        <v>120</v>
      </c>
      <c r="BA3974" t="s">
        <v>120</v>
      </c>
      <c r="BB3974" t="s">
        <v>143</v>
      </c>
      <c r="BF3974">
        <v>0</v>
      </c>
      <c r="BG3974" t="s">
        <v>120</v>
      </c>
      <c r="BH3974" t="s">
        <v>120</v>
      </c>
      <c r="BI3974" t="s">
        <v>120</v>
      </c>
      <c r="BJ3974">
        <v>20210719</v>
      </c>
      <c r="BK3974" t="s">
        <v>120</v>
      </c>
      <c r="BL3974" t="s">
        <v>120</v>
      </c>
      <c r="BM3974" t="s">
        <v>120</v>
      </c>
      <c r="BN3974" t="s">
        <v>120</v>
      </c>
      <c r="BO3974">
        <v>11.05</v>
      </c>
      <c r="BP3974" t="s">
        <v>120</v>
      </c>
      <c r="BQ3974">
        <v>7.96</v>
      </c>
      <c r="BR3974">
        <v>0.01</v>
      </c>
      <c r="BS3974">
        <v>27.88</v>
      </c>
      <c r="BT3974">
        <v>4.2</v>
      </c>
      <c r="BU3974">
        <v>4.2</v>
      </c>
      <c r="BV3974">
        <v>1.22</v>
      </c>
      <c r="BW3974">
        <v>1.65</v>
      </c>
      <c r="BX3974" t="s">
        <v>120</v>
      </c>
      <c r="BY3974">
        <v>0.31</v>
      </c>
      <c r="BZ3974">
        <v>2.8</v>
      </c>
      <c r="CA3974" t="s">
        <v>120</v>
      </c>
      <c r="CB3974">
        <v>0.18</v>
      </c>
      <c r="CC3974">
        <v>5.44</v>
      </c>
      <c r="CD3974">
        <v>3.44</v>
      </c>
      <c r="CE3974">
        <v>1.62</v>
      </c>
      <c r="CF3974">
        <v>-0.01</v>
      </c>
      <c r="CG3974">
        <v>1.67</v>
      </c>
      <c r="CH3974">
        <v>1.26</v>
      </c>
      <c r="CI3974">
        <v>1.26</v>
      </c>
      <c r="CJ3974" t="s">
        <v>120</v>
      </c>
      <c r="CK3974" t="s">
        <v>120</v>
      </c>
      <c r="CL3974">
        <v>3.66</v>
      </c>
      <c r="CM3974">
        <v>0.78</v>
      </c>
      <c r="CN3974">
        <v>-0.49</v>
      </c>
      <c r="CO3974">
        <v>0</v>
      </c>
      <c r="CP3974" t="s">
        <v>120</v>
      </c>
      <c r="CQ3974" t="s">
        <v>120</v>
      </c>
      <c r="CR3974">
        <v>0</v>
      </c>
      <c r="CS3974">
        <v>0</v>
      </c>
      <c r="CT3974" t="s">
        <v>120</v>
      </c>
      <c r="CU3974">
        <v>0</v>
      </c>
      <c r="CV3974">
        <v>0</v>
      </c>
      <c r="CW3974">
        <v>0</v>
      </c>
      <c r="CX3974" t="s">
        <v>11162</v>
      </c>
      <c r="CY3974" t="s">
        <v>120</v>
      </c>
      <c r="CZ3974">
        <v>0</v>
      </c>
      <c r="DA3974" t="s">
        <v>120</v>
      </c>
      <c r="DB3974" t="s">
        <v>120</v>
      </c>
      <c r="DC3974" t="s">
        <v>120</v>
      </c>
      <c r="DD3974">
        <v>72.040000000000006</v>
      </c>
      <c r="DE3974" t="s">
        <v>16128</v>
      </c>
      <c r="DF3974">
        <v>36.9</v>
      </c>
      <c r="DG3974">
        <v>29.79</v>
      </c>
      <c r="DH3974">
        <v>23.22</v>
      </c>
      <c r="DI3974" t="s">
        <v>120</v>
      </c>
      <c r="DJ3974" t="s">
        <v>120</v>
      </c>
      <c r="DK3974">
        <v>603302</v>
      </c>
      <c r="DL3974" t="s">
        <v>120</v>
      </c>
      <c r="DM3974" t="s">
        <v>120</v>
      </c>
      <c r="DN3974" t="s">
        <v>120</v>
      </c>
    </row>
    <row r="3975" spans="1:118">
      <c r="A3975" t="str">
        <f>"605138"</f>
        <v>605138</v>
      </c>
      <c r="B3975" t="s">
        <v>16129</v>
      </c>
      <c r="C3975" t="s">
        <v>120</v>
      </c>
      <c r="D3975" t="s">
        <v>120</v>
      </c>
      <c r="E3975" t="s">
        <v>120</v>
      </c>
      <c r="F3975">
        <v>0</v>
      </c>
      <c r="G3975" t="s">
        <v>120</v>
      </c>
      <c r="H3975">
        <v>0</v>
      </c>
      <c r="I3975">
        <v>0</v>
      </c>
      <c r="J3975" t="s">
        <v>120</v>
      </c>
      <c r="K3975" t="s">
        <v>120</v>
      </c>
      <c r="L3975" t="s">
        <v>120</v>
      </c>
      <c r="M3975">
        <v>0</v>
      </c>
      <c r="N3975" t="s">
        <v>120</v>
      </c>
      <c r="O3975" t="s">
        <v>120</v>
      </c>
      <c r="P3975" t="s">
        <v>120</v>
      </c>
      <c r="Q3975" t="s">
        <v>120</v>
      </c>
      <c r="R3975" t="s">
        <v>120</v>
      </c>
      <c r="S3975" t="s">
        <v>120</v>
      </c>
      <c r="T3975">
        <v>0</v>
      </c>
      <c r="U3975" t="s">
        <v>120</v>
      </c>
      <c r="V3975" t="s">
        <v>120</v>
      </c>
      <c r="W3975" t="s">
        <v>120</v>
      </c>
      <c r="X3975" t="s">
        <v>2806</v>
      </c>
      <c r="Y3975" t="s">
        <v>585</v>
      </c>
      <c r="Z3975" t="s">
        <v>120</v>
      </c>
      <c r="AA3975">
        <v>0</v>
      </c>
      <c r="AB3975">
        <v>0</v>
      </c>
      <c r="AC3975">
        <v>0</v>
      </c>
      <c r="AD3975" t="s">
        <v>120</v>
      </c>
      <c r="AE3975">
        <v>0</v>
      </c>
      <c r="AF3975">
        <v>0</v>
      </c>
      <c r="AG3975" t="s">
        <v>120</v>
      </c>
      <c r="AH3975" t="s">
        <v>120</v>
      </c>
      <c r="AI3975" t="s">
        <v>120</v>
      </c>
      <c r="AJ3975" t="s">
        <v>120</v>
      </c>
      <c r="AK3975" t="s">
        <v>120</v>
      </c>
      <c r="AL3975" t="s">
        <v>120</v>
      </c>
      <c r="AM3975">
        <v>0</v>
      </c>
      <c r="AN3975" t="s">
        <v>120</v>
      </c>
      <c r="AO3975" t="s">
        <v>120</v>
      </c>
      <c r="AP3975" t="s">
        <v>120</v>
      </c>
      <c r="AQ3975" t="s">
        <v>120</v>
      </c>
      <c r="AR3975" t="s">
        <v>120</v>
      </c>
      <c r="AS3975" t="s">
        <v>120</v>
      </c>
      <c r="AT3975" t="s">
        <v>120</v>
      </c>
      <c r="AU3975" t="s">
        <v>120</v>
      </c>
      <c r="AV3975">
        <v>0</v>
      </c>
      <c r="AW3975" t="s">
        <v>120</v>
      </c>
      <c r="AX3975" t="s">
        <v>120</v>
      </c>
      <c r="AY3975" t="s">
        <v>120</v>
      </c>
      <c r="AZ3975" t="s">
        <v>120</v>
      </c>
      <c r="BA3975" t="s">
        <v>120</v>
      </c>
      <c r="BB3975" t="s">
        <v>143</v>
      </c>
      <c r="BF3975">
        <v>0</v>
      </c>
      <c r="BG3975" t="s">
        <v>120</v>
      </c>
      <c r="BH3975" t="s">
        <v>120</v>
      </c>
      <c r="BI3975" t="s">
        <v>120</v>
      </c>
      <c r="BJ3975">
        <v>20210914</v>
      </c>
      <c r="BK3975" t="s">
        <v>120</v>
      </c>
      <c r="BL3975" t="s">
        <v>120</v>
      </c>
      <c r="BM3975" t="s">
        <v>120</v>
      </c>
      <c r="BN3975" t="s">
        <v>120</v>
      </c>
      <c r="BO3975">
        <v>52.63</v>
      </c>
      <c r="BP3975" t="s">
        <v>120</v>
      </c>
      <c r="BQ3975">
        <v>15.58</v>
      </c>
      <c r="BR3975">
        <v>0.45</v>
      </c>
      <c r="BS3975">
        <v>69.540000000000006</v>
      </c>
      <c r="BT3975">
        <v>23.98</v>
      </c>
      <c r="BU3975">
        <v>19.54</v>
      </c>
      <c r="BV3975">
        <v>2.56</v>
      </c>
      <c r="BW3975">
        <v>35.07</v>
      </c>
      <c r="BX3975">
        <v>2.31</v>
      </c>
      <c r="BY3975">
        <v>9.27</v>
      </c>
      <c r="BZ3975">
        <v>6.58</v>
      </c>
      <c r="CA3975" t="s">
        <v>120</v>
      </c>
      <c r="CB3975">
        <v>2.06</v>
      </c>
      <c r="CC3975">
        <v>22.79</v>
      </c>
      <c r="CD3975">
        <v>18.91</v>
      </c>
      <c r="CE3975">
        <v>1.87</v>
      </c>
      <c r="CF3975">
        <v>0.12</v>
      </c>
      <c r="CG3975">
        <v>1.93</v>
      </c>
      <c r="CH3975">
        <v>1.79</v>
      </c>
      <c r="CI3975">
        <v>1.75</v>
      </c>
      <c r="CJ3975" t="s">
        <v>120</v>
      </c>
      <c r="CK3975">
        <v>0.84</v>
      </c>
      <c r="CL3975">
        <v>9.44</v>
      </c>
      <c r="CM3975">
        <v>1.24</v>
      </c>
      <c r="CN3975">
        <v>-0.52</v>
      </c>
      <c r="CO3975">
        <v>0</v>
      </c>
      <c r="CP3975" t="s">
        <v>120</v>
      </c>
      <c r="CQ3975" t="s">
        <v>120</v>
      </c>
      <c r="CR3975">
        <v>0</v>
      </c>
      <c r="CS3975">
        <v>0</v>
      </c>
      <c r="CT3975" t="s">
        <v>120</v>
      </c>
      <c r="CU3975">
        <v>0</v>
      </c>
      <c r="CV3975">
        <v>0</v>
      </c>
      <c r="CW3975">
        <v>0</v>
      </c>
      <c r="CX3975" t="s">
        <v>2834</v>
      </c>
      <c r="CY3975" t="s">
        <v>120</v>
      </c>
      <c r="CZ3975">
        <v>0</v>
      </c>
      <c r="DA3975" t="s">
        <v>120</v>
      </c>
      <c r="DB3975" t="s">
        <v>120</v>
      </c>
      <c r="DC3975" t="s">
        <v>120</v>
      </c>
      <c r="DD3975">
        <v>29.61</v>
      </c>
      <c r="DE3975" t="s">
        <v>7513</v>
      </c>
      <c r="DF3975">
        <v>17.04</v>
      </c>
      <c r="DG3975">
        <v>8.2100000000000009</v>
      </c>
      <c r="DH3975">
        <v>7.66</v>
      </c>
      <c r="DI3975">
        <v>0.32</v>
      </c>
      <c r="DJ3975" t="s">
        <v>120</v>
      </c>
      <c r="DK3975">
        <v>605138</v>
      </c>
      <c r="DL3975" t="s">
        <v>120</v>
      </c>
      <c r="DM3975" t="s">
        <v>120</v>
      </c>
      <c r="DN3975" t="s">
        <v>120</v>
      </c>
    </row>
    <row r="3976" spans="1:118">
      <c r="A3976" t="str">
        <f>"605567"</f>
        <v>605567</v>
      </c>
      <c r="B3976" t="s">
        <v>16130</v>
      </c>
      <c r="C3976" t="s">
        <v>120</v>
      </c>
      <c r="D3976" t="s">
        <v>120</v>
      </c>
      <c r="E3976" t="s">
        <v>120</v>
      </c>
      <c r="F3976">
        <v>0</v>
      </c>
      <c r="G3976" t="s">
        <v>120</v>
      </c>
      <c r="H3976">
        <v>0</v>
      </c>
      <c r="I3976">
        <v>0</v>
      </c>
      <c r="J3976" t="s">
        <v>120</v>
      </c>
      <c r="K3976" t="s">
        <v>120</v>
      </c>
      <c r="L3976" t="s">
        <v>120</v>
      </c>
      <c r="M3976">
        <v>0</v>
      </c>
      <c r="N3976" t="s">
        <v>120</v>
      </c>
      <c r="O3976" t="s">
        <v>120</v>
      </c>
      <c r="P3976" t="s">
        <v>120</v>
      </c>
      <c r="Q3976" t="s">
        <v>120</v>
      </c>
      <c r="R3976" t="s">
        <v>120</v>
      </c>
      <c r="S3976" t="s">
        <v>120</v>
      </c>
      <c r="T3976">
        <v>0</v>
      </c>
      <c r="U3976" t="s">
        <v>120</v>
      </c>
      <c r="V3976" t="s">
        <v>120</v>
      </c>
      <c r="W3976" t="s">
        <v>120</v>
      </c>
      <c r="X3976" t="s">
        <v>447</v>
      </c>
      <c r="Y3976" t="s">
        <v>638</v>
      </c>
      <c r="Z3976" t="s">
        <v>120</v>
      </c>
      <c r="AA3976">
        <v>0</v>
      </c>
      <c r="AB3976">
        <v>0</v>
      </c>
      <c r="AC3976">
        <v>0</v>
      </c>
      <c r="AD3976" t="s">
        <v>120</v>
      </c>
      <c r="AE3976">
        <v>0</v>
      </c>
      <c r="AF3976">
        <v>0</v>
      </c>
      <c r="AG3976" t="s">
        <v>120</v>
      </c>
      <c r="AH3976" t="s">
        <v>120</v>
      </c>
      <c r="AI3976" t="s">
        <v>120</v>
      </c>
      <c r="AJ3976" t="s">
        <v>120</v>
      </c>
      <c r="AK3976" t="s">
        <v>120</v>
      </c>
      <c r="AL3976" t="s">
        <v>120</v>
      </c>
      <c r="AM3976">
        <v>0</v>
      </c>
      <c r="AN3976" t="s">
        <v>120</v>
      </c>
      <c r="AO3976" t="s">
        <v>120</v>
      </c>
      <c r="AP3976" t="s">
        <v>120</v>
      </c>
      <c r="AQ3976" t="s">
        <v>120</v>
      </c>
      <c r="AR3976" t="s">
        <v>120</v>
      </c>
      <c r="AS3976" t="s">
        <v>120</v>
      </c>
      <c r="AT3976" t="s">
        <v>120</v>
      </c>
      <c r="AU3976" t="s">
        <v>120</v>
      </c>
      <c r="AV3976">
        <v>0</v>
      </c>
      <c r="AW3976" t="s">
        <v>120</v>
      </c>
      <c r="AX3976" t="s">
        <v>120</v>
      </c>
      <c r="AY3976" t="s">
        <v>120</v>
      </c>
      <c r="AZ3976" t="s">
        <v>120</v>
      </c>
      <c r="BA3976" t="s">
        <v>120</v>
      </c>
      <c r="BB3976" t="s">
        <v>143</v>
      </c>
      <c r="BF3976">
        <v>0</v>
      </c>
      <c r="BG3976" t="s">
        <v>120</v>
      </c>
      <c r="BH3976" t="s">
        <v>120</v>
      </c>
      <c r="BI3976" t="s">
        <v>120</v>
      </c>
      <c r="BJ3976">
        <v>20210914</v>
      </c>
      <c r="BK3976" t="s">
        <v>120</v>
      </c>
      <c r="BL3976" t="s">
        <v>120</v>
      </c>
      <c r="BM3976" t="s">
        <v>120</v>
      </c>
      <c r="BN3976" t="s">
        <v>120</v>
      </c>
      <c r="BO3976">
        <v>11.62</v>
      </c>
      <c r="BP3976" t="s">
        <v>120</v>
      </c>
      <c r="BQ3976">
        <v>5.31</v>
      </c>
      <c r="BR3976" t="s">
        <v>120</v>
      </c>
      <c r="BS3976">
        <v>54.33</v>
      </c>
      <c r="BT3976">
        <v>5.92</v>
      </c>
      <c r="BU3976">
        <v>4.24</v>
      </c>
      <c r="BV3976">
        <v>0.34</v>
      </c>
      <c r="BW3976">
        <v>6.12</v>
      </c>
      <c r="BX3976">
        <v>1.52</v>
      </c>
      <c r="BY3976">
        <v>3.16</v>
      </c>
      <c r="BZ3976">
        <v>0.78</v>
      </c>
      <c r="CA3976">
        <v>0</v>
      </c>
      <c r="CB3976">
        <v>1.21</v>
      </c>
      <c r="CC3976">
        <v>9.89</v>
      </c>
      <c r="CD3976">
        <v>8.8699999999999992</v>
      </c>
      <c r="CE3976">
        <v>0.37</v>
      </c>
      <c r="CF3976">
        <v>0</v>
      </c>
      <c r="CG3976">
        <v>0.38</v>
      </c>
      <c r="CH3976">
        <v>0.38</v>
      </c>
      <c r="CI3976">
        <v>0.38</v>
      </c>
      <c r="CJ3976" t="s">
        <v>120</v>
      </c>
      <c r="CK3976">
        <v>0.35</v>
      </c>
      <c r="CL3976">
        <v>2.4900000000000002</v>
      </c>
      <c r="CM3976">
        <v>0.21</v>
      </c>
      <c r="CN3976">
        <v>0.13</v>
      </c>
      <c r="CO3976">
        <v>0</v>
      </c>
      <c r="CP3976" t="s">
        <v>120</v>
      </c>
      <c r="CQ3976" t="s">
        <v>120</v>
      </c>
      <c r="CR3976">
        <v>0</v>
      </c>
      <c r="CS3976">
        <v>0</v>
      </c>
      <c r="CT3976" t="s">
        <v>120</v>
      </c>
      <c r="CU3976">
        <v>0</v>
      </c>
      <c r="CV3976">
        <v>0</v>
      </c>
      <c r="CW3976">
        <v>0</v>
      </c>
      <c r="CX3976" t="s">
        <v>2834</v>
      </c>
      <c r="CY3976" t="s">
        <v>120</v>
      </c>
      <c r="CZ3976">
        <v>0</v>
      </c>
      <c r="DA3976" t="s">
        <v>120</v>
      </c>
      <c r="DB3976" t="s">
        <v>120</v>
      </c>
      <c r="DC3976" t="s">
        <v>120</v>
      </c>
      <c r="DD3976">
        <v>45.67</v>
      </c>
      <c r="DE3976" t="s">
        <v>15873</v>
      </c>
      <c r="DF3976">
        <v>10.36</v>
      </c>
      <c r="DG3976">
        <v>3.71</v>
      </c>
      <c r="DH3976">
        <v>3.83</v>
      </c>
      <c r="DI3976">
        <v>0.02</v>
      </c>
      <c r="DJ3976" t="s">
        <v>120</v>
      </c>
      <c r="DK3976">
        <v>605567</v>
      </c>
      <c r="DL3976" t="s">
        <v>120</v>
      </c>
      <c r="DM3976" t="s">
        <v>120</v>
      </c>
      <c r="DN3976" t="s">
        <v>120</v>
      </c>
    </row>
    <row r="3977" spans="1:118">
      <c r="A3977" t="str">
        <f>"605598"</f>
        <v>605598</v>
      </c>
      <c r="B3977" t="s">
        <v>16131</v>
      </c>
      <c r="C3977" t="s">
        <v>120</v>
      </c>
      <c r="D3977" t="s">
        <v>120</v>
      </c>
      <c r="E3977" t="s">
        <v>120</v>
      </c>
      <c r="F3977">
        <v>0</v>
      </c>
      <c r="G3977" t="s">
        <v>120</v>
      </c>
      <c r="H3977">
        <v>0</v>
      </c>
      <c r="I3977">
        <v>0</v>
      </c>
      <c r="J3977" t="s">
        <v>120</v>
      </c>
      <c r="K3977" t="s">
        <v>120</v>
      </c>
      <c r="L3977" t="s">
        <v>120</v>
      </c>
      <c r="M3977">
        <v>0</v>
      </c>
      <c r="N3977" t="s">
        <v>120</v>
      </c>
      <c r="O3977" t="s">
        <v>120</v>
      </c>
      <c r="P3977" t="s">
        <v>120</v>
      </c>
      <c r="Q3977" t="s">
        <v>120</v>
      </c>
      <c r="R3977" t="s">
        <v>120</v>
      </c>
      <c r="S3977" t="s">
        <v>120</v>
      </c>
      <c r="T3977">
        <v>0</v>
      </c>
      <c r="U3977" t="s">
        <v>120</v>
      </c>
      <c r="V3977" t="s">
        <v>120</v>
      </c>
      <c r="W3977" t="s">
        <v>120</v>
      </c>
      <c r="X3977" t="s">
        <v>175</v>
      </c>
      <c r="Y3977" t="s">
        <v>1510</v>
      </c>
      <c r="Z3977" t="s">
        <v>120</v>
      </c>
      <c r="AA3977">
        <v>0</v>
      </c>
      <c r="AB3977">
        <v>0</v>
      </c>
      <c r="AC3977">
        <v>0</v>
      </c>
      <c r="AD3977" t="s">
        <v>120</v>
      </c>
      <c r="AE3977">
        <v>0</v>
      </c>
      <c r="AF3977">
        <v>0</v>
      </c>
      <c r="AG3977" t="s">
        <v>120</v>
      </c>
      <c r="AH3977" t="s">
        <v>120</v>
      </c>
      <c r="AI3977" t="s">
        <v>120</v>
      </c>
      <c r="AJ3977" t="s">
        <v>120</v>
      </c>
      <c r="AK3977" t="s">
        <v>120</v>
      </c>
      <c r="AL3977" t="s">
        <v>120</v>
      </c>
      <c r="AM3977">
        <v>0</v>
      </c>
      <c r="AN3977" t="s">
        <v>120</v>
      </c>
      <c r="AO3977" t="s">
        <v>120</v>
      </c>
      <c r="AP3977" t="s">
        <v>120</v>
      </c>
      <c r="AQ3977" t="s">
        <v>120</v>
      </c>
      <c r="AR3977" t="s">
        <v>120</v>
      </c>
      <c r="AS3977" t="s">
        <v>120</v>
      </c>
      <c r="AT3977" t="s">
        <v>120</v>
      </c>
      <c r="AU3977" t="s">
        <v>120</v>
      </c>
      <c r="AV3977">
        <v>0</v>
      </c>
      <c r="AW3977" t="s">
        <v>120</v>
      </c>
      <c r="AX3977" t="s">
        <v>120</v>
      </c>
      <c r="AY3977" t="s">
        <v>120</v>
      </c>
      <c r="AZ3977" t="s">
        <v>120</v>
      </c>
      <c r="BA3977" t="s">
        <v>120</v>
      </c>
      <c r="BB3977" t="s">
        <v>143</v>
      </c>
      <c r="BF3977">
        <v>0</v>
      </c>
      <c r="BG3977" t="s">
        <v>120</v>
      </c>
      <c r="BH3977" t="s">
        <v>120</v>
      </c>
      <c r="BI3977" t="s">
        <v>120</v>
      </c>
      <c r="BJ3977">
        <v>20210810</v>
      </c>
      <c r="BK3977" t="s">
        <v>120</v>
      </c>
      <c r="BL3977" t="s">
        <v>120</v>
      </c>
      <c r="BM3977" t="s">
        <v>120</v>
      </c>
      <c r="BN3977" t="s">
        <v>120</v>
      </c>
      <c r="BO3977">
        <v>12.15</v>
      </c>
      <c r="BP3977" t="s">
        <v>120</v>
      </c>
      <c r="BQ3977">
        <v>8.75</v>
      </c>
      <c r="BR3977" t="s">
        <v>120</v>
      </c>
      <c r="BS3977">
        <v>27.95</v>
      </c>
      <c r="BT3977">
        <v>9.4600000000000009</v>
      </c>
      <c r="BU3977">
        <v>2.2400000000000002</v>
      </c>
      <c r="BV3977">
        <v>0.01</v>
      </c>
      <c r="BW3977">
        <v>3.12</v>
      </c>
      <c r="BX3977">
        <v>3.14</v>
      </c>
      <c r="BY3977">
        <v>0.64</v>
      </c>
      <c r="BZ3977">
        <v>2.86</v>
      </c>
      <c r="CA3977" t="s">
        <v>120</v>
      </c>
      <c r="CB3977">
        <v>2.2000000000000002</v>
      </c>
      <c r="CC3977">
        <v>4.01</v>
      </c>
      <c r="CD3977">
        <v>2.83</v>
      </c>
      <c r="CE3977">
        <v>0.66</v>
      </c>
      <c r="CF3977">
        <v>0</v>
      </c>
      <c r="CG3977">
        <v>0.65</v>
      </c>
      <c r="CH3977">
        <v>0.5</v>
      </c>
      <c r="CI3977">
        <v>0.5</v>
      </c>
      <c r="CJ3977" t="s">
        <v>120</v>
      </c>
      <c r="CK3977">
        <v>0.49</v>
      </c>
      <c r="CL3977">
        <v>5.75</v>
      </c>
      <c r="CM3977">
        <v>0.62</v>
      </c>
      <c r="CN3977">
        <v>0.5</v>
      </c>
      <c r="CO3977">
        <v>0</v>
      </c>
      <c r="CP3977" t="s">
        <v>120</v>
      </c>
      <c r="CQ3977" t="s">
        <v>120</v>
      </c>
      <c r="CR3977">
        <v>0</v>
      </c>
      <c r="CS3977">
        <v>0</v>
      </c>
      <c r="CT3977" t="s">
        <v>120</v>
      </c>
      <c r="CU3977">
        <v>0</v>
      </c>
      <c r="CV3977">
        <v>0</v>
      </c>
      <c r="CW3977">
        <v>0</v>
      </c>
      <c r="CX3977" t="s">
        <v>2834</v>
      </c>
      <c r="CY3977" t="s">
        <v>120</v>
      </c>
      <c r="CZ3977">
        <v>0</v>
      </c>
      <c r="DA3977" t="s">
        <v>120</v>
      </c>
      <c r="DB3977" t="s">
        <v>120</v>
      </c>
      <c r="DC3977" t="s">
        <v>120</v>
      </c>
      <c r="DD3977">
        <v>72.05</v>
      </c>
      <c r="DE3977" t="s">
        <v>9474</v>
      </c>
      <c r="DF3977">
        <v>29.3</v>
      </c>
      <c r="DG3977">
        <v>16.36</v>
      </c>
      <c r="DH3977">
        <v>12.46</v>
      </c>
      <c r="DI3977">
        <v>0.05</v>
      </c>
      <c r="DJ3977">
        <v>527</v>
      </c>
      <c r="DK3977">
        <v>605598</v>
      </c>
      <c r="DL3977" t="s">
        <v>120</v>
      </c>
      <c r="DM3977" t="s">
        <v>120</v>
      </c>
      <c r="DN3977" t="s">
        <v>120</v>
      </c>
    </row>
    <row r="3978" spans="1:118">
      <c r="A3978" t="s">
        <v>16132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沪深Ａ股20210916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MARK</cp:lastModifiedBy>
  <dcterms:created xsi:type="dcterms:W3CDTF">2021-09-16T08:22:18Z</dcterms:created>
  <dcterms:modified xsi:type="dcterms:W3CDTF">2021-09-16T08:22:18Z</dcterms:modified>
</cp:coreProperties>
</file>